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mnfilesv\10103000総務課\02 財産係\_堀内PC\04_財産台帳関係\【新台帳（AsyzAP）】固定資産台帳関係\R5\02_ホームページへの掲載\03_公表用データ\"/>
    </mc:Choice>
  </mc:AlternateContent>
  <bookViews>
    <workbookView xWindow="0" yWindow="0" windowWidth="14040" windowHeight="8355"/>
  </bookViews>
  <sheets>
    <sheet name="インフラ土地" sheetId="1" r:id="rId1"/>
  </sheets>
  <definedNames>
    <definedName name="_xlnm._FilterDatabase" localSheetId="0" hidden="1">インフラ土地!$A$1:$IQ$1</definedName>
  </definedNames>
  <calcPr calcId="162913" concurrentCalc="0"/>
</workbook>
</file>

<file path=xl/calcChain.xml><?xml version="1.0" encoding="utf-8"?>
<calcChain xmlns="http://schemas.openxmlformats.org/spreadsheetml/2006/main">
  <c r="DE3210" i="1" l="1"/>
  <c r="CY3210" i="1"/>
  <c r="K3210" i="1"/>
  <c r="CX3210" i="1"/>
  <c r="CW3210" i="1"/>
  <c r="CV3210" i="1"/>
  <c r="CU3210" i="1"/>
  <c r="I3210" i="1"/>
  <c r="CT3210" i="1"/>
  <c r="BI3210" i="1"/>
  <c r="BH3210" i="1"/>
  <c r="DE3221" i="1"/>
  <c r="CY3221" i="1"/>
  <c r="K3221" i="1"/>
  <c r="CX3221" i="1"/>
  <c r="CW3221" i="1"/>
  <c r="CV3221" i="1"/>
  <c r="CU3221" i="1"/>
  <c r="I3221" i="1"/>
  <c r="CT3221" i="1"/>
  <c r="BI3221" i="1"/>
  <c r="BH3221" i="1"/>
  <c r="DE3254" i="1"/>
  <c r="CY3254" i="1"/>
  <c r="K3254" i="1"/>
  <c r="CX3254" i="1"/>
  <c r="CW3254" i="1"/>
  <c r="CV3254" i="1"/>
  <c r="CU3254" i="1"/>
  <c r="I3254" i="1"/>
  <c r="CT3254" i="1"/>
  <c r="BI3254" i="1"/>
  <c r="BH3254" i="1"/>
  <c r="DE3229" i="1"/>
  <c r="CY3229" i="1"/>
  <c r="K3229" i="1"/>
  <c r="CX3229" i="1"/>
  <c r="CW3229" i="1"/>
  <c r="CV3229" i="1"/>
  <c r="CU3229" i="1"/>
  <c r="I3229" i="1"/>
  <c r="CT3229" i="1"/>
  <c r="BI3229" i="1"/>
  <c r="BH3229" i="1"/>
  <c r="DE3762" i="1"/>
  <c r="CY3762" i="1"/>
  <c r="K3762" i="1"/>
  <c r="CX3762" i="1"/>
  <c r="CW3762" i="1"/>
  <c r="CV3762" i="1"/>
  <c r="CU3762" i="1"/>
  <c r="I3762" i="1"/>
  <c r="CT3762" i="1"/>
  <c r="BI3762" i="1"/>
  <c r="BH3762" i="1"/>
  <c r="DE3761" i="1"/>
  <c r="CY3761" i="1"/>
  <c r="K3761" i="1"/>
  <c r="CX3761" i="1"/>
  <c r="CW3761" i="1"/>
  <c r="CV3761" i="1"/>
  <c r="CU3761" i="1"/>
  <c r="I3761" i="1"/>
  <c r="CT3761" i="1"/>
  <c r="BI3761" i="1"/>
  <c r="BH3761" i="1"/>
  <c r="DE69" i="1"/>
  <c r="CY69" i="1"/>
  <c r="K69" i="1"/>
  <c r="CX69" i="1"/>
  <c r="CV69" i="1"/>
  <c r="CU69" i="1"/>
  <c r="I69" i="1"/>
  <c r="CT69" i="1"/>
  <c r="BI69" i="1"/>
  <c r="BH69" i="1"/>
  <c r="DE3216" i="1"/>
  <c r="CY3216" i="1"/>
  <c r="K3216" i="1"/>
  <c r="CX3216" i="1"/>
  <c r="CW3216" i="1"/>
  <c r="CV3216" i="1"/>
  <c r="CU3216" i="1"/>
  <c r="I3216" i="1"/>
  <c r="CT3216" i="1"/>
  <c r="BI3216" i="1"/>
  <c r="BH3216" i="1"/>
  <c r="DE3209" i="1"/>
  <c r="CY3209" i="1"/>
  <c r="K3209" i="1"/>
  <c r="CX3209" i="1"/>
  <c r="CW3209" i="1"/>
  <c r="CV3209" i="1"/>
  <c r="CU3209" i="1"/>
  <c r="I3209" i="1"/>
  <c r="CT3209" i="1"/>
  <c r="BI3209" i="1"/>
  <c r="BH3209" i="1"/>
  <c r="DE3270" i="1"/>
  <c r="CY3270" i="1"/>
  <c r="K3270" i="1"/>
  <c r="CX3270" i="1"/>
  <c r="CW3270" i="1"/>
  <c r="CV3270" i="1"/>
  <c r="CU3270" i="1"/>
  <c r="I3270" i="1"/>
  <c r="CT3270" i="1"/>
  <c r="BI3270" i="1"/>
  <c r="BH3270" i="1"/>
  <c r="DE3223" i="1"/>
  <c r="CY3223" i="1"/>
  <c r="K3223" i="1"/>
  <c r="CX3223" i="1"/>
  <c r="CW3223" i="1"/>
  <c r="CV3223" i="1"/>
  <c r="CU3223" i="1"/>
  <c r="I3223" i="1"/>
  <c r="CT3223" i="1"/>
  <c r="BI3223" i="1"/>
  <c r="BH3223" i="1"/>
  <c r="DE3271" i="1"/>
  <c r="CY3271" i="1"/>
  <c r="K3271" i="1"/>
  <c r="CX3271" i="1"/>
  <c r="CW3271" i="1"/>
  <c r="CV3271" i="1"/>
  <c r="CU3271" i="1"/>
  <c r="I3271" i="1"/>
  <c r="CT3271" i="1"/>
  <c r="BI3271" i="1"/>
  <c r="BH3271" i="1"/>
  <c r="DE3235" i="1"/>
  <c r="CY3235" i="1"/>
  <c r="K3235" i="1"/>
  <c r="CX3235" i="1"/>
  <c r="CW3235" i="1"/>
  <c r="CV3235" i="1"/>
  <c r="CU3235" i="1"/>
  <c r="I3235" i="1"/>
  <c r="CT3235" i="1"/>
  <c r="BI3235" i="1"/>
  <c r="BH3235" i="1"/>
  <c r="DE3230" i="1"/>
  <c r="CY3230" i="1"/>
  <c r="K3230" i="1"/>
  <c r="CX3230" i="1"/>
  <c r="CW3230" i="1"/>
  <c r="CV3230" i="1"/>
  <c r="CU3230" i="1"/>
  <c r="I3230" i="1"/>
  <c r="CT3230" i="1"/>
  <c r="BI3230" i="1"/>
  <c r="BH3230" i="1"/>
  <c r="DE3291" i="1"/>
  <c r="CY3291" i="1"/>
  <c r="K3291" i="1"/>
  <c r="CX3291" i="1"/>
  <c r="CV3291" i="1"/>
  <c r="CU3291" i="1"/>
  <c r="I3291" i="1"/>
  <c r="CT3291" i="1"/>
  <c r="BI3291" i="1"/>
  <c r="BH3291" i="1"/>
  <c r="DE221" i="1"/>
  <c r="CY221" i="1"/>
  <c r="K221" i="1"/>
  <c r="CX221" i="1"/>
  <c r="CV221" i="1"/>
  <c r="CU221" i="1"/>
  <c r="I221" i="1"/>
  <c r="BI221" i="1"/>
  <c r="BH221" i="1"/>
  <c r="DE3228" i="1"/>
  <c r="CY3228" i="1"/>
  <c r="K3228" i="1"/>
  <c r="CX3228" i="1"/>
  <c r="CW3228" i="1"/>
  <c r="CV3228" i="1"/>
  <c r="CU3228" i="1"/>
  <c r="I3228" i="1"/>
  <c r="CT3228" i="1"/>
  <c r="BI3228" i="1"/>
  <c r="BH3228" i="1"/>
  <c r="DE200" i="1"/>
  <c r="CY200" i="1"/>
  <c r="K200" i="1"/>
  <c r="CX200" i="1"/>
  <c r="CV200" i="1"/>
  <c r="CU200" i="1"/>
  <c r="I200" i="1"/>
  <c r="BI200" i="1"/>
  <c r="BH200" i="1"/>
  <c r="DE3267" i="1"/>
  <c r="CY3267" i="1"/>
  <c r="K3267" i="1"/>
  <c r="CX3267" i="1"/>
  <c r="CW3267" i="1"/>
  <c r="CV3267" i="1"/>
  <c r="CU3267" i="1"/>
  <c r="I3267" i="1"/>
  <c r="CT3267" i="1"/>
  <c r="BI3267" i="1"/>
  <c r="BH3267" i="1"/>
  <c r="DE3222" i="1"/>
  <c r="CY3222" i="1"/>
  <c r="K3222" i="1"/>
  <c r="CX3222" i="1"/>
  <c r="CW3222" i="1"/>
  <c r="CV3222" i="1"/>
  <c r="CU3222" i="1"/>
  <c r="I3222" i="1"/>
  <c r="CT3222" i="1"/>
  <c r="BI3222" i="1"/>
  <c r="BH3222" i="1"/>
  <c r="DE211" i="1"/>
  <c r="CY211" i="1"/>
  <c r="K211" i="1"/>
  <c r="CX211" i="1"/>
  <c r="CV211" i="1"/>
  <c r="CU211" i="1"/>
  <c r="I211" i="1"/>
  <c r="BI211" i="1"/>
  <c r="BH211" i="1"/>
  <c r="DE3231" i="1"/>
  <c r="CY3231" i="1"/>
  <c r="K3231" i="1"/>
  <c r="CX3231" i="1"/>
  <c r="CW3231" i="1"/>
  <c r="CV3231" i="1"/>
  <c r="CU3231" i="1"/>
  <c r="I3231" i="1"/>
  <c r="CT3231" i="1"/>
  <c r="BI3231" i="1"/>
  <c r="BH3231" i="1"/>
  <c r="DE3289" i="1"/>
  <c r="CY3289" i="1"/>
  <c r="K3289" i="1"/>
  <c r="CX3289" i="1"/>
  <c r="CV3289" i="1"/>
  <c r="CU3289" i="1"/>
  <c r="I3289" i="1"/>
  <c r="CT3289" i="1"/>
  <c r="BI3289" i="1"/>
  <c r="BH3289" i="1"/>
  <c r="DE3233" i="1"/>
  <c r="CY3233" i="1"/>
  <c r="K3233" i="1"/>
  <c r="CX3233" i="1"/>
  <c r="CW3233" i="1"/>
  <c r="CV3233" i="1"/>
  <c r="CU3233" i="1"/>
  <c r="I3233" i="1"/>
  <c r="CT3233" i="1"/>
  <c r="BI3233" i="1"/>
  <c r="BH3233" i="1"/>
  <c r="DE183" i="1"/>
  <c r="CY183" i="1"/>
  <c r="K183" i="1"/>
  <c r="CX183" i="1"/>
  <c r="CV183" i="1"/>
  <c r="CU183" i="1"/>
  <c r="I183" i="1"/>
  <c r="BI183" i="1"/>
  <c r="BH183" i="1"/>
  <c r="DE226" i="1"/>
  <c r="CY226" i="1"/>
  <c r="K226" i="1"/>
  <c r="CX226" i="1"/>
  <c r="CV226" i="1"/>
  <c r="CU226" i="1"/>
  <c r="I226" i="1"/>
  <c r="BI226" i="1"/>
  <c r="BH226" i="1"/>
  <c r="DE3252" i="1"/>
  <c r="CY3252" i="1"/>
  <c r="K3252" i="1"/>
  <c r="CX3252" i="1"/>
  <c r="CW3252" i="1"/>
  <c r="CV3252" i="1"/>
  <c r="CU3252" i="1"/>
  <c r="I3252" i="1"/>
  <c r="CT3252" i="1"/>
  <c r="BI3252" i="1"/>
  <c r="BH3252" i="1"/>
  <c r="DE3212" i="1"/>
  <c r="CY3212" i="1"/>
  <c r="K3212" i="1"/>
  <c r="CX3212" i="1"/>
  <c r="CW3212" i="1"/>
  <c r="CV3212" i="1"/>
  <c r="CU3212" i="1"/>
  <c r="I3212" i="1"/>
  <c r="CT3212" i="1"/>
  <c r="BI3212" i="1"/>
  <c r="BH3212" i="1"/>
  <c r="DE3266" i="1"/>
  <c r="CY3266" i="1"/>
  <c r="K3266" i="1"/>
  <c r="CX3266" i="1"/>
  <c r="CW3266" i="1"/>
  <c r="CV3266" i="1"/>
  <c r="CU3266" i="1"/>
  <c r="I3266" i="1"/>
  <c r="CT3266" i="1"/>
  <c r="BI3266" i="1"/>
  <c r="BH3266" i="1"/>
  <c r="DE3269" i="1"/>
  <c r="CY3269" i="1"/>
  <c r="K3269" i="1"/>
  <c r="CX3269" i="1"/>
  <c r="CW3269" i="1"/>
  <c r="CV3269" i="1"/>
  <c r="CU3269" i="1"/>
  <c r="I3269" i="1"/>
  <c r="CT3269" i="1"/>
  <c r="BI3269" i="1"/>
  <c r="BH3269" i="1"/>
  <c r="DE193" i="1"/>
  <c r="CY193" i="1"/>
  <c r="K193" i="1"/>
  <c r="CX193" i="1"/>
  <c r="CV193" i="1"/>
  <c r="CU193" i="1"/>
  <c r="I193" i="1"/>
  <c r="BI193" i="1"/>
  <c r="BH193" i="1"/>
  <c r="DE330" i="1"/>
  <c r="CY330" i="1"/>
  <c r="K330" i="1"/>
  <c r="CX330" i="1"/>
  <c r="CV330" i="1"/>
  <c r="CU330" i="1"/>
  <c r="I330" i="1"/>
  <c r="CT330" i="1"/>
  <c r="BI330" i="1"/>
  <c r="BH330" i="1"/>
  <c r="DE182" i="1"/>
  <c r="CY182" i="1"/>
  <c r="K182" i="1"/>
  <c r="CX182" i="1"/>
  <c r="CV182" i="1"/>
  <c r="CU182" i="1"/>
  <c r="I182" i="1"/>
  <c r="BI182" i="1"/>
  <c r="BH182" i="1"/>
  <c r="DE215" i="1"/>
  <c r="CY215" i="1"/>
  <c r="K215" i="1"/>
  <c r="CX215" i="1"/>
  <c r="CV215" i="1"/>
  <c r="CU215" i="1"/>
  <c r="I215" i="1"/>
  <c r="BI215" i="1"/>
  <c r="BH215" i="1"/>
  <c r="DE3213" i="1"/>
  <c r="CY3213" i="1"/>
  <c r="K3213" i="1"/>
  <c r="CX3213" i="1"/>
  <c r="CW3213" i="1"/>
  <c r="CV3213" i="1"/>
  <c r="CU3213" i="1"/>
  <c r="I3213" i="1"/>
  <c r="CT3213" i="1"/>
  <c r="BI3213" i="1"/>
  <c r="BH3213" i="1"/>
  <c r="DE227" i="1"/>
  <c r="CY227" i="1"/>
  <c r="K227" i="1"/>
  <c r="CX227" i="1"/>
  <c r="CV227" i="1"/>
  <c r="CU227" i="1"/>
  <c r="I227" i="1"/>
  <c r="BI227" i="1"/>
  <c r="BH227" i="1"/>
  <c r="DE180" i="1"/>
  <c r="CY180" i="1"/>
  <c r="K180" i="1"/>
  <c r="CX180" i="1"/>
  <c r="CV180" i="1"/>
  <c r="CU180" i="1"/>
  <c r="I180" i="1"/>
  <c r="BI180" i="1"/>
  <c r="BH180" i="1"/>
  <c r="DE3265" i="1"/>
  <c r="CY3265" i="1"/>
  <c r="K3265" i="1"/>
  <c r="CX3265" i="1"/>
  <c r="CW3265" i="1"/>
  <c r="CV3265" i="1"/>
  <c r="CU3265" i="1"/>
  <c r="I3265" i="1"/>
  <c r="CT3265" i="1"/>
  <c r="BI3265" i="1"/>
  <c r="BH3265" i="1"/>
  <c r="DE3293" i="1"/>
  <c r="CY3293" i="1"/>
  <c r="K3293" i="1"/>
  <c r="CX3293" i="1"/>
  <c r="CV3293" i="1"/>
  <c r="CU3293" i="1"/>
  <c r="I3293" i="1"/>
  <c r="CT3293" i="1"/>
  <c r="BI3293" i="1"/>
  <c r="BH3293" i="1"/>
  <c r="DE224" i="1"/>
  <c r="CY224" i="1"/>
  <c r="K224" i="1"/>
  <c r="CX224" i="1"/>
  <c r="CV224" i="1"/>
  <c r="CU224" i="1"/>
  <c r="I224" i="1"/>
  <c r="BI224" i="1"/>
  <c r="BH224" i="1"/>
  <c r="DE217" i="1"/>
  <c r="CY217" i="1"/>
  <c r="K217" i="1"/>
  <c r="CX217" i="1"/>
  <c r="CV217" i="1"/>
  <c r="CU217" i="1"/>
  <c r="I217" i="1"/>
  <c r="BI217" i="1"/>
  <c r="BH217" i="1"/>
  <c r="DE3246" i="1"/>
  <c r="CY3246" i="1"/>
  <c r="K3246" i="1"/>
  <c r="CX3246" i="1"/>
  <c r="CW3246" i="1"/>
  <c r="CV3246" i="1"/>
  <c r="CU3246" i="1"/>
  <c r="I3246" i="1"/>
  <c r="CT3246" i="1"/>
  <c r="BI3246" i="1"/>
  <c r="BH3246" i="1"/>
  <c r="DE3292" i="1"/>
  <c r="CY3292" i="1"/>
  <c r="K3292" i="1"/>
  <c r="CX3292" i="1"/>
  <c r="CV3292" i="1"/>
  <c r="CU3292" i="1"/>
  <c r="I3292" i="1"/>
  <c r="CT3292" i="1"/>
  <c r="BI3292" i="1"/>
  <c r="BH3292" i="1"/>
  <c r="DE3238" i="1"/>
  <c r="CY3238" i="1"/>
  <c r="K3238" i="1"/>
  <c r="CX3238" i="1"/>
  <c r="CW3238" i="1"/>
  <c r="CV3238" i="1"/>
  <c r="CU3238" i="1"/>
  <c r="I3238" i="1"/>
  <c r="CT3238" i="1"/>
  <c r="BI3238" i="1"/>
  <c r="BH3238" i="1"/>
  <c r="DE214" i="1"/>
  <c r="CY214" i="1"/>
  <c r="K214" i="1"/>
  <c r="CX214" i="1"/>
  <c r="CV214" i="1"/>
  <c r="CU214" i="1"/>
  <c r="I214" i="1"/>
  <c r="BI214" i="1"/>
  <c r="BH214" i="1"/>
  <c r="DE3257" i="1"/>
  <c r="CY3257" i="1"/>
  <c r="K3257" i="1"/>
  <c r="CX3257" i="1"/>
  <c r="CV3257" i="1"/>
  <c r="CU3257" i="1"/>
  <c r="I3257" i="1"/>
  <c r="CT3257" i="1"/>
  <c r="BI3257" i="1"/>
  <c r="BH3257" i="1"/>
  <c r="DE3218" i="1"/>
  <c r="CY3218" i="1"/>
  <c r="K3218" i="1"/>
  <c r="CX3218" i="1"/>
  <c r="CW3218" i="1"/>
  <c r="CV3218" i="1"/>
  <c r="CU3218" i="1"/>
  <c r="I3218" i="1"/>
  <c r="CT3218" i="1"/>
  <c r="BI3218" i="1"/>
  <c r="BH3218" i="1"/>
  <c r="DE3217" i="1"/>
  <c r="CY3217" i="1"/>
  <c r="K3217" i="1"/>
  <c r="CX3217" i="1"/>
  <c r="CW3217" i="1"/>
  <c r="CV3217" i="1"/>
  <c r="CU3217" i="1"/>
  <c r="I3217" i="1"/>
  <c r="CT3217" i="1"/>
  <c r="BI3217" i="1"/>
  <c r="BH3217" i="1"/>
  <c r="DE192" i="1"/>
  <c r="CY192" i="1"/>
  <c r="K192" i="1"/>
  <c r="CX192" i="1"/>
  <c r="CV192" i="1"/>
  <c r="CU192" i="1"/>
  <c r="I192" i="1"/>
  <c r="BI192" i="1"/>
  <c r="BH192" i="1"/>
  <c r="DE191" i="1"/>
  <c r="CY191" i="1"/>
  <c r="K191" i="1"/>
  <c r="CX191" i="1"/>
  <c r="CV191" i="1"/>
  <c r="CU191" i="1"/>
  <c r="I191" i="1"/>
  <c r="BI191" i="1"/>
  <c r="BH191" i="1"/>
  <c r="DE196" i="1"/>
  <c r="CY196" i="1"/>
  <c r="K196" i="1"/>
  <c r="CX196" i="1"/>
  <c r="CV196" i="1"/>
  <c r="CU196" i="1"/>
  <c r="I196" i="1"/>
  <c r="BI196" i="1"/>
  <c r="BH196" i="1"/>
  <c r="DE213" i="1"/>
  <c r="CY213" i="1"/>
  <c r="K213" i="1"/>
  <c r="CX213" i="1"/>
  <c r="CV213" i="1"/>
  <c r="CU213" i="1"/>
  <c r="I213" i="1"/>
  <c r="BI213" i="1"/>
  <c r="BH213" i="1"/>
  <c r="DE3255" i="1"/>
  <c r="CY3255" i="1"/>
  <c r="K3255" i="1"/>
  <c r="CX3255" i="1"/>
  <c r="CW3255" i="1"/>
  <c r="CV3255" i="1"/>
  <c r="CU3255" i="1"/>
  <c r="I3255" i="1"/>
  <c r="CT3255" i="1"/>
  <c r="BI3255" i="1"/>
  <c r="BH3255" i="1"/>
  <c r="DE3268" i="1"/>
  <c r="CY3268" i="1"/>
  <c r="K3268" i="1"/>
  <c r="CX3268" i="1"/>
  <c r="CW3268" i="1"/>
  <c r="CV3268" i="1"/>
  <c r="CU3268" i="1"/>
  <c r="I3268" i="1"/>
  <c r="CT3268" i="1"/>
  <c r="BI3268" i="1"/>
  <c r="BH3268" i="1"/>
  <c r="DE3249" i="1"/>
  <c r="CY3249" i="1"/>
  <c r="K3249" i="1"/>
  <c r="CX3249" i="1"/>
  <c r="CW3249" i="1"/>
  <c r="CV3249" i="1"/>
  <c r="CU3249" i="1"/>
  <c r="I3249" i="1"/>
  <c r="CT3249" i="1"/>
  <c r="BI3249" i="1"/>
  <c r="BH3249" i="1"/>
  <c r="DE3226" i="1"/>
  <c r="CY3226" i="1"/>
  <c r="K3226" i="1"/>
  <c r="CX3226" i="1"/>
  <c r="CW3226" i="1"/>
  <c r="CV3226" i="1"/>
  <c r="CU3226" i="1"/>
  <c r="I3226" i="1"/>
  <c r="CT3226" i="1"/>
  <c r="BI3226" i="1"/>
  <c r="BH3226" i="1"/>
  <c r="DE197" i="1"/>
  <c r="CY197" i="1"/>
  <c r="K197" i="1"/>
  <c r="CX197" i="1"/>
  <c r="CV197" i="1"/>
  <c r="CU197" i="1"/>
  <c r="I197" i="1"/>
  <c r="BI197" i="1"/>
  <c r="BH197" i="1"/>
  <c r="DE222" i="1"/>
  <c r="CY222" i="1"/>
  <c r="K222" i="1"/>
  <c r="CX222" i="1"/>
  <c r="CV222" i="1"/>
  <c r="CU222" i="1"/>
  <c r="I222" i="1"/>
  <c r="BI222" i="1"/>
  <c r="BH222" i="1"/>
  <c r="DE3256" i="1"/>
  <c r="CY3256" i="1"/>
  <c r="K3256" i="1"/>
  <c r="CX3256" i="1"/>
  <c r="CW3256" i="1"/>
  <c r="CV3256" i="1"/>
  <c r="CU3256" i="1"/>
  <c r="I3256" i="1"/>
  <c r="CT3256" i="1"/>
  <c r="BI3256" i="1"/>
  <c r="BH3256" i="1"/>
  <c r="DE198" i="1"/>
  <c r="CY198" i="1"/>
  <c r="K198" i="1"/>
  <c r="CX198" i="1"/>
  <c r="CV198" i="1"/>
  <c r="CU198" i="1"/>
  <c r="I198" i="1"/>
  <c r="BI198" i="1"/>
  <c r="BH198" i="1"/>
  <c r="DE225" i="1"/>
  <c r="CY225" i="1"/>
  <c r="K225" i="1"/>
  <c r="CX225" i="1"/>
  <c r="CV225" i="1"/>
  <c r="CU225" i="1"/>
  <c r="I225" i="1"/>
  <c r="BI225" i="1"/>
  <c r="BH225" i="1"/>
  <c r="DE3236" i="1"/>
  <c r="CY3236" i="1"/>
  <c r="K3236" i="1"/>
  <c r="CX3236" i="1"/>
  <c r="CW3236" i="1"/>
  <c r="CV3236" i="1"/>
  <c r="CU3236" i="1"/>
  <c r="I3236" i="1"/>
  <c r="CT3236" i="1"/>
  <c r="BI3236" i="1"/>
  <c r="BH3236" i="1"/>
  <c r="DE3206" i="1"/>
  <c r="CY3206" i="1"/>
  <c r="K3206" i="1"/>
  <c r="CX3206" i="1"/>
  <c r="CW3206" i="1"/>
  <c r="CV3206" i="1"/>
  <c r="CU3206" i="1"/>
  <c r="I3206" i="1"/>
  <c r="CT3206" i="1"/>
  <c r="BI3206" i="1"/>
  <c r="BH3206" i="1"/>
  <c r="DE3234" i="1"/>
  <c r="CY3234" i="1"/>
  <c r="K3234" i="1"/>
  <c r="CX3234" i="1"/>
  <c r="CW3234" i="1"/>
  <c r="CV3234" i="1"/>
  <c r="CU3234" i="1"/>
  <c r="I3234" i="1"/>
  <c r="CT3234" i="1"/>
  <c r="BI3234" i="1"/>
  <c r="BH3234" i="1"/>
  <c r="DE3241" i="1"/>
  <c r="CY3241" i="1"/>
  <c r="K3241" i="1"/>
  <c r="CX3241" i="1"/>
  <c r="CW3241" i="1"/>
  <c r="CV3241" i="1"/>
  <c r="CU3241" i="1"/>
  <c r="I3241" i="1"/>
  <c r="CT3241" i="1"/>
  <c r="BI3241" i="1"/>
  <c r="BH3241" i="1"/>
  <c r="DE3264" i="1"/>
  <c r="CY3264" i="1"/>
  <c r="K3264" i="1"/>
  <c r="CX3264" i="1"/>
  <c r="CW3264" i="1"/>
  <c r="CV3264" i="1"/>
  <c r="CU3264" i="1"/>
  <c r="I3264" i="1"/>
  <c r="CT3264" i="1"/>
  <c r="BI3264" i="1"/>
  <c r="BH3264" i="1"/>
  <c r="DE3237" i="1"/>
  <c r="CY3237" i="1"/>
  <c r="K3237" i="1"/>
  <c r="CX3237" i="1"/>
  <c r="CW3237" i="1"/>
  <c r="CV3237" i="1"/>
  <c r="CU3237" i="1"/>
  <c r="I3237" i="1"/>
  <c r="CT3237" i="1"/>
  <c r="BI3237" i="1"/>
  <c r="BH3237" i="1"/>
  <c r="DE3203" i="1"/>
  <c r="CY3203" i="1"/>
  <c r="K3203" i="1"/>
  <c r="CX3203" i="1"/>
  <c r="CW3203" i="1"/>
  <c r="CV3203" i="1"/>
  <c r="CU3203" i="1"/>
  <c r="I3203" i="1"/>
  <c r="CT3203" i="1"/>
  <c r="BI3203" i="1"/>
  <c r="BH3203" i="1"/>
  <c r="DE3215" i="1"/>
  <c r="CY3215" i="1"/>
  <c r="K3215" i="1"/>
  <c r="CX3215" i="1"/>
  <c r="CW3215" i="1"/>
  <c r="CV3215" i="1"/>
  <c r="CU3215" i="1"/>
  <c r="I3215" i="1"/>
  <c r="CT3215" i="1"/>
  <c r="BI3215" i="1"/>
  <c r="BH3215" i="1"/>
  <c r="DE190" i="1"/>
  <c r="CY190" i="1"/>
  <c r="K190" i="1"/>
  <c r="CX190" i="1"/>
  <c r="CV190" i="1"/>
  <c r="CU190" i="1"/>
  <c r="I190" i="1"/>
  <c r="BI190" i="1"/>
  <c r="BH190" i="1"/>
  <c r="DE209" i="1"/>
  <c r="CY209" i="1"/>
  <c r="K209" i="1"/>
  <c r="CX209" i="1"/>
  <c r="CV209" i="1"/>
  <c r="CU209" i="1"/>
  <c r="I209" i="1"/>
  <c r="BI209" i="1"/>
  <c r="BH209" i="1"/>
  <c r="DE3224" i="1"/>
  <c r="CY3224" i="1"/>
  <c r="K3224" i="1"/>
  <c r="CX3224" i="1"/>
  <c r="CW3224" i="1"/>
  <c r="CV3224" i="1"/>
  <c r="CU3224" i="1"/>
  <c r="I3224" i="1"/>
  <c r="CT3224" i="1"/>
  <c r="BI3224" i="1"/>
  <c r="BH3224" i="1"/>
  <c r="DE3225" i="1"/>
  <c r="CY3225" i="1"/>
  <c r="K3225" i="1"/>
  <c r="CX3225" i="1"/>
  <c r="CW3225" i="1"/>
  <c r="CV3225" i="1"/>
  <c r="CU3225" i="1"/>
  <c r="I3225" i="1"/>
  <c r="CT3225" i="1"/>
  <c r="BI3225" i="1"/>
  <c r="BH3225" i="1"/>
  <c r="DE186" i="1"/>
  <c r="CY186" i="1"/>
  <c r="K186" i="1"/>
  <c r="CX186" i="1"/>
  <c r="CV186" i="1"/>
  <c r="CU186" i="1"/>
  <c r="I186" i="1"/>
  <c r="BI186" i="1"/>
  <c r="BH186" i="1"/>
  <c r="DE181" i="1"/>
  <c r="CY181" i="1"/>
  <c r="K181" i="1"/>
  <c r="CX181" i="1"/>
  <c r="CV181" i="1"/>
  <c r="CU181" i="1"/>
  <c r="I181" i="1"/>
  <c r="BI181" i="1"/>
  <c r="BH181" i="1"/>
  <c r="DE3245" i="1"/>
  <c r="CY3245" i="1"/>
  <c r="K3245" i="1"/>
  <c r="CX3245" i="1"/>
  <c r="CW3245" i="1"/>
  <c r="CV3245" i="1"/>
  <c r="CU3245" i="1"/>
  <c r="I3245" i="1"/>
  <c r="CT3245" i="1"/>
  <c r="BI3245" i="1"/>
  <c r="BH3245" i="1"/>
  <c r="DE216" i="1"/>
  <c r="CY216" i="1"/>
  <c r="K216" i="1"/>
  <c r="CX216" i="1"/>
  <c r="CV216" i="1"/>
  <c r="CU216" i="1"/>
  <c r="I216" i="1"/>
  <c r="BI216" i="1"/>
  <c r="BH216" i="1"/>
  <c r="DE3232" i="1"/>
  <c r="CY3232" i="1"/>
  <c r="K3232" i="1"/>
  <c r="CX3232" i="1"/>
  <c r="CW3232" i="1"/>
  <c r="CV3232" i="1"/>
  <c r="CU3232" i="1"/>
  <c r="I3232" i="1"/>
  <c r="CT3232" i="1"/>
  <c r="BI3232" i="1"/>
  <c r="BH3232" i="1"/>
  <c r="DE3204" i="1"/>
  <c r="CY3204" i="1"/>
  <c r="K3204" i="1"/>
  <c r="CX3204" i="1"/>
  <c r="CW3204" i="1"/>
  <c r="CV3204" i="1"/>
  <c r="CU3204" i="1"/>
  <c r="I3204" i="1"/>
  <c r="CT3204" i="1"/>
  <c r="BI3204" i="1"/>
  <c r="BH3204" i="1"/>
  <c r="DE3253" i="1"/>
  <c r="CY3253" i="1"/>
  <c r="K3253" i="1"/>
  <c r="CX3253" i="1"/>
  <c r="CW3253" i="1"/>
  <c r="CV3253" i="1"/>
  <c r="CU3253" i="1"/>
  <c r="I3253" i="1"/>
  <c r="CT3253" i="1"/>
  <c r="BI3253" i="1"/>
  <c r="BH3253" i="1"/>
  <c r="DE207" i="1"/>
  <c r="CY207" i="1"/>
  <c r="K207" i="1"/>
  <c r="CX207" i="1"/>
  <c r="CV207" i="1"/>
  <c r="CU207" i="1"/>
  <c r="I207" i="1"/>
  <c r="BI207" i="1"/>
  <c r="BH207" i="1"/>
  <c r="DE189" i="1"/>
  <c r="CY189" i="1"/>
  <c r="K189" i="1"/>
  <c r="CX189" i="1"/>
  <c r="CV189" i="1"/>
  <c r="CU189" i="1"/>
  <c r="I189" i="1"/>
  <c r="BI189" i="1"/>
  <c r="BH189" i="1"/>
  <c r="DE3318" i="1"/>
  <c r="CY3318" i="1"/>
  <c r="K3318" i="1"/>
  <c r="CX3318" i="1"/>
  <c r="CV3318" i="1"/>
  <c r="CU3318" i="1"/>
  <c r="I3318" i="1"/>
  <c r="CT3318" i="1"/>
  <c r="BI3318" i="1"/>
  <c r="BH3318" i="1"/>
  <c r="DE194" i="1"/>
  <c r="CY194" i="1"/>
  <c r="K194" i="1"/>
  <c r="CX194" i="1"/>
  <c r="CV194" i="1"/>
  <c r="CU194" i="1"/>
  <c r="I194" i="1"/>
  <c r="BI194" i="1"/>
  <c r="BH194" i="1"/>
  <c r="DE212" i="1"/>
  <c r="CY212" i="1"/>
  <c r="K212" i="1"/>
  <c r="CX212" i="1"/>
  <c r="CV212" i="1"/>
  <c r="CU212" i="1"/>
  <c r="I212" i="1"/>
  <c r="BI212" i="1"/>
  <c r="BH212" i="1"/>
  <c r="DE3214" i="1"/>
  <c r="CY3214" i="1"/>
  <c r="K3214" i="1"/>
  <c r="CX3214" i="1"/>
  <c r="CW3214" i="1"/>
  <c r="CV3214" i="1"/>
  <c r="CU3214" i="1"/>
  <c r="I3214" i="1"/>
  <c r="CT3214" i="1"/>
  <c r="BI3214" i="1"/>
  <c r="BH3214" i="1"/>
  <c r="DE3259" i="1"/>
  <c r="CY3259" i="1"/>
  <c r="K3259" i="1"/>
  <c r="CX3259" i="1"/>
  <c r="CW3259" i="1"/>
  <c r="CV3259" i="1"/>
  <c r="CU3259" i="1"/>
  <c r="I3259" i="1"/>
  <c r="CT3259" i="1"/>
  <c r="BI3259" i="1"/>
  <c r="BH3259" i="1"/>
  <c r="DE3247" i="1"/>
  <c r="CY3247" i="1"/>
  <c r="K3247" i="1"/>
  <c r="CX3247" i="1"/>
  <c r="CW3247" i="1"/>
  <c r="CV3247" i="1"/>
  <c r="CU3247" i="1"/>
  <c r="I3247" i="1"/>
  <c r="CT3247" i="1"/>
  <c r="BI3247" i="1"/>
  <c r="BH3247" i="1"/>
  <c r="DE3219" i="1"/>
  <c r="CY3219" i="1"/>
  <c r="K3219" i="1"/>
  <c r="CX3219" i="1"/>
  <c r="CW3219" i="1"/>
  <c r="CV3219" i="1"/>
  <c r="CU3219" i="1"/>
  <c r="I3219" i="1"/>
  <c r="CT3219" i="1"/>
  <c r="BI3219" i="1"/>
  <c r="BH3219" i="1"/>
  <c r="DE3251" i="1"/>
  <c r="CY3251" i="1"/>
  <c r="K3251" i="1"/>
  <c r="CX3251" i="1"/>
  <c r="CW3251" i="1"/>
  <c r="CV3251" i="1"/>
  <c r="CU3251" i="1"/>
  <c r="I3251" i="1"/>
  <c r="CT3251" i="1"/>
  <c r="BI3251" i="1"/>
  <c r="BH3251" i="1"/>
  <c r="DE3297" i="1"/>
  <c r="CY3297" i="1"/>
  <c r="K3297" i="1"/>
  <c r="CX3297" i="1"/>
  <c r="CV3297" i="1"/>
  <c r="CU3297" i="1"/>
  <c r="I3297" i="1"/>
  <c r="CT3297" i="1"/>
  <c r="BI3297" i="1"/>
  <c r="BH3297" i="1"/>
  <c r="DE3260" i="1"/>
  <c r="CY3260" i="1"/>
  <c r="K3260" i="1"/>
  <c r="CX3260" i="1"/>
  <c r="CW3260" i="1"/>
  <c r="CV3260" i="1"/>
  <c r="CU3260" i="1"/>
  <c r="I3260" i="1"/>
  <c r="CT3260" i="1"/>
  <c r="BI3260" i="1"/>
  <c r="BH3260" i="1"/>
  <c r="DE223" i="1"/>
  <c r="CY223" i="1"/>
  <c r="K223" i="1"/>
  <c r="CX223" i="1"/>
  <c r="CV223" i="1"/>
  <c r="CU223" i="1"/>
  <c r="I223" i="1"/>
  <c r="BI223" i="1"/>
  <c r="BH223" i="1"/>
  <c r="DE185" i="1"/>
  <c r="CY185" i="1"/>
  <c r="K185" i="1"/>
  <c r="CX185" i="1"/>
  <c r="CV185" i="1"/>
  <c r="CU185" i="1"/>
  <c r="I185" i="1"/>
  <c r="BI185" i="1"/>
  <c r="BH185" i="1"/>
  <c r="DE3261" i="1"/>
  <c r="CY3261" i="1"/>
  <c r="K3261" i="1"/>
  <c r="CX3261" i="1"/>
  <c r="CW3261" i="1"/>
  <c r="CV3261" i="1"/>
  <c r="CU3261" i="1"/>
  <c r="I3261" i="1"/>
  <c r="CT3261" i="1"/>
  <c r="BI3261" i="1"/>
  <c r="BH3261" i="1"/>
  <c r="DE219" i="1"/>
  <c r="CY219" i="1"/>
  <c r="K219" i="1"/>
  <c r="CX219" i="1"/>
  <c r="CV219" i="1"/>
  <c r="CU219" i="1"/>
  <c r="I219" i="1"/>
  <c r="BI219" i="1"/>
  <c r="BH219" i="1"/>
  <c r="DE3205" i="1"/>
  <c r="CY3205" i="1"/>
  <c r="K3205" i="1"/>
  <c r="CX3205" i="1"/>
  <c r="CW3205" i="1"/>
  <c r="CV3205" i="1"/>
  <c r="CU3205" i="1"/>
  <c r="I3205" i="1"/>
  <c r="CT3205" i="1"/>
  <c r="BI3205" i="1"/>
  <c r="BH3205" i="1"/>
  <c r="DE3294" i="1"/>
  <c r="CY3294" i="1"/>
  <c r="K3294" i="1"/>
  <c r="CX3294" i="1"/>
  <c r="CV3294" i="1"/>
  <c r="CU3294" i="1"/>
  <c r="I3294" i="1"/>
  <c r="CT3294" i="1"/>
  <c r="BI3294" i="1"/>
  <c r="BH3294" i="1"/>
  <c r="DE3243" i="1"/>
  <c r="CY3243" i="1"/>
  <c r="K3243" i="1"/>
  <c r="CX3243" i="1"/>
  <c r="CW3243" i="1"/>
  <c r="CV3243" i="1"/>
  <c r="CU3243" i="1"/>
  <c r="I3243" i="1"/>
  <c r="CT3243" i="1"/>
  <c r="BI3243" i="1"/>
  <c r="BH3243" i="1"/>
  <c r="DE218" i="1"/>
  <c r="CY218" i="1"/>
  <c r="K218" i="1"/>
  <c r="CX218" i="1"/>
  <c r="CV218" i="1"/>
  <c r="CU218" i="1"/>
  <c r="I218" i="1"/>
  <c r="BI218" i="1"/>
  <c r="BH218" i="1"/>
  <c r="DE187" i="1"/>
  <c r="CY187" i="1"/>
  <c r="K187" i="1"/>
  <c r="CX187" i="1"/>
  <c r="CV187" i="1"/>
  <c r="CU187" i="1"/>
  <c r="I187" i="1"/>
  <c r="BI187" i="1"/>
  <c r="BH187" i="1"/>
  <c r="DE3263" i="1"/>
  <c r="CY3263" i="1"/>
  <c r="K3263" i="1"/>
  <c r="CX3263" i="1"/>
  <c r="CW3263" i="1"/>
  <c r="CV3263" i="1"/>
  <c r="CU3263" i="1"/>
  <c r="I3263" i="1"/>
  <c r="CT3263" i="1"/>
  <c r="BI3263" i="1"/>
  <c r="BH3263" i="1"/>
  <c r="DE3296" i="1"/>
  <c r="CY3296" i="1"/>
  <c r="K3296" i="1"/>
  <c r="CX3296" i="1"/>
  <c r="CV3296" i="1"/>
  <c r="CU3296" i="1"/>
  <c r="I3296" i="1"/>
  <c r="CT3296" i="1"/>
  <c r="BI3296" i="1"/>
  <c r="BH3296" i="1"/>
  <c r="DE195" i="1"/>
  <c r="CY195" i="1"/>
  <c r="K195" i="1"/>
  <c r="CX195" i="1"/>
  <c r="CV195" i="1"/>
  <c r="CU195" i="1"/>
  <c r="I195" i="1"/>
  <c r="BI195" i="1"/>
  <c r="BH195" i="1"/>
  <c r="DE3290" i="1"/>
  <c r="CY3290" i="1"/>
  <c r="K3290" i="1"/>
  <c r="CX3290" i="1"/>
  <c r="CV3290" i="1"/>
  <c r="CU3290" i="1"/>
  <c r="I3290" i="1"/>
  <c r="CT3290" i="1"/>
  <c r="BI3290" i="1"/>
  <c r="BH3290" i="1"/>
  <c r="DE3295" i="1"/>
  <c r="CY3295" i="1"/>
  <c r="K3295" i="1"/>
  <c r="CX3295" i="1"/>
  <c r="CV3295" i="1"/>
  <c r="CU3295" i="1"/>
  <c r="I3295" i="1"/>
  <c r="CT3295" i="1"/>
  <c r="BI3295" i="1"/>
  <c r="BH3295" i="1"/>
  <c r="DE3211" i="1"/>
  <c r="CY3211" i="1"/>
  <c r="K3211" i="1"/>
  <c r="CX3211" i="1"/>
  <c r="CW3211" i="1"/>
  <c r="CV3211" i="1"/>
  <c r="CU3211" i="1"/>
  <c r="I3211" i="1"/>
  <c r="CT3211" i="1"/>
  <c r="BI3211" i="1"/>
  <c r="BH3211" i="1"/>
  <c r="DE3220" i="1"/>
  <c r="CY3220" i="1"/>
  <c r="K3220" i="1"/>
  <c r="CX3220" i="1"/>
  <c r="CW3220" i="1"/>
  <c r="CV3220" i="1"/>
  <c r="CU3220" i="1"/>
  <c r="I3220" i="1"/>
  <c r="CT3220" i="1"/>
  <c r="BI3220" i="1"/>
  <c r="BH3220" i="1"/>
  <c r="DE3207" i="1"/>
  <c r="CY3207" i="1"/>
  <c r="K3207" i="1"/>
  <c r="CX3207" i="1"/>
  <c r="CW3207" i="1"/>
  <c r="CV3207" i="1"/>
  <c r="CU3207" i="1"/>
  <c r="I3207" i="1"/>
  <c r="CT3207" i="1"/>
  <c r="BI3207" i="1"/>
  <c r="BH3207" i="1"/>
  <c r="DE3227" i="1"/>
  <c r="CY3227" i="1"/>
  <c r="K3227" i="1"/>
  <c r="CX3227" i="1"/>
  <c r="CW3227" i="1"/>
  <c r="CV3227" i="1"/>
  <c r="CU3227" i="1"/>
  <c r="I3227" i="1"/>
  <c r="CT3227" i="1"/>
  <c r="BI3227" i="1"/>
  <c r="BH3227" i="1"/>
  <c r="DE3244" i="1"/>
  <c r="CY3244" i="1"/>
  <c r="K3244" i="1"/>
  <c r="CX3244" i="1"/>
  <c r="CW3244" i="1"/>
  <c r="CV3244" i="1"/>
  <c r="CU3244" i="1"/>
  <c r="I3244" i="1"/>
  <c r="CT3244" i="1"/>
  <c r="BI3244" i="1"/>
  <c r="BH3244" i="1"/>
  <c r="DE3242" i="1"/>
  <c r="CY3242" i="1"/>
  <c r="K3242" i="1"/>
  <c r="CX3242" i="1"/>
  <c r="CW3242" i="1"/>
  <c r="CV3242" i="1"/>
  <c r="CU3242" i="1"/>
  <c r="I3242" i="1"/>
  <c r="CT3242" i="1"/>
  <c r="BI3242" i="1"/>
  <c r="BH3242" i="1"/>
  <c r="DE3763" i="1"/>
  <c r="CY3763" i="1"/>
  <c r="K3763" i="1"/>
  <c r="CX3763" i="1"/>
  <c r="CW3763" i="1"/>
  <c r="CV3763" i="1"/>
  <c r="CU3763" i="1"/>
  <c r="I3763" i="1"/>
  <c r="CT3763" i="1"/>
  <c r="BI3763" i="1"/>
  <c r="BH3763" i="1"/>
  <c r="DE3258" i="1"/>
  <c r="CY3258" i="1"/>
  <c r="K3258" i="1"/>
  <c r="CX3258" i="1"/>
  <c r="CV3258" i="1"/>
  <c r="CU3258" i="1"/>
  <c r="I3258" i="1"/>
  <c r="CT3258" i="1"/>
  <c r="BI3258" i="1"/>
  <c r="BH3258" i="1"/>
  <c r="DE199" i="1"/>
  <c r="CY199" i="1"/>
  <c r="K199" i="1"/>
  <c r="CX199" i="1"/>
  <c r="CV199" i="1"/>
  <c r="CU199" i="1"/>
  <c r="I199" i="1"/>
  <c r="BI199" i="1"/>
  <c r="BH199" i="1"/>
  <c r="DE208" i="1"/>
  <c r="CY208" i="1"/>
  <c r="K208" i="1"/>
  <c r="CX208" i="1"/>
  <c r="CV208" i="1"/>
  <c r="CU208" i="1"/>
  <c r="I208" i="1"/>
  <c r="BI208" i="1"/>
  <c r="BH208" i="1"/>
  <c r="DE3764" i="1"/>
  <c r="CY3764" i="1"/>
  <c r="K3764" i="1"/>
  <c r="CX3764" i="1"/>
  <c r="CW3764" i="1"/>
  <c r="CV3764" i="1"/>
  <c r="CU3764" i="1"/>
  <c r="I3764" i="1"/>
  <c r="CT3764" i="1"/>
  <c r="BI3764" i="1"/>
  <c r="BH3764" i="1"/>
  <c r="DE188" i="1"/>
  <c r="CY188" i="1"/>
  <c r="K188" i="1"/>
  <c r="CX188" i="1"/>
  <c r="CV188" i="1"/>
  <c r="CU188" i="1"/>
  <c r="I188" i="1"/>
  <c r="BI188" i="1"/>
  <c r="BH188" i="1"/>
  <c r="DE184" i="1"/>
  <c r="CY184" i="1"/>
  <c r="K184" i="1"/>
  <c r="CX184" i="1"/>
  <c r="CV184" i="1"/>
  <c r="CU184" i="1"/>
  <c r="I184" i="1"/>
  <c r="BI184" i="1"/>
  <c r="BH184" i="1"/>
  <c r="DE210" i="1"/>
  <c r="CY210" i="1"/>
  <c r="K210" i="1"/>
  <c r="CX210" i="1"/>
  <c r="CV210" i="1"/>
  <c r="CU210" i="1"/>
  <c r="I210" i="1"/>
  <c r="BI210" i="1"/>
  <c r="BH210" i="1"/>
  <c r="DE228" i="1"/>
  <c r="CY228" i="1"/>
  <c r="K228" i="1"/>
  <c r="CX228" i="1"/>
  <c r="CV228" i="1"/>
  <c r="CU228" i="1"/>
  <c r="I228" i="1"/>
  <c r="BI228" i="1"/>
  <c r="BH228" i="1"/>
  <c r="DE3262" i="1"/>
  <c r="CY3262" i="1"/>
  <c r="K3262" i="1"/>
  <c r="CX3262" i="1"/>
  <c r="CW3262" i="1"/>
  <c r="CV3262" i="1"/>
  <c r="CU3262" i="1"/>
  <c r="I3262" i="1"/>
  <c r="CT3262" i="1"/>
  <c r="BI3262" i="1"/>
  <c r="BH3262" i="1"/>
  <c r="DE3240" i="1"/>
  <c r="CY3240" i="1"/>
  <c r="K3240" i="1"/>
  <c r="CX3240" i="1"/>
  <c r="CW3240" i="1"/>
  <c r="CV3240" i="1"/>
  <c r="CU3240" i="1"/>
  <c r="I3240" i="1"/>
  <c r="CT3240" i="1"/>
  <c r="BI3240" i="1"/>
  <c r="BH3240" i="1"/>
  <c r="DE3250" i="1"/>
  <c r="CY3250" i="1"/>
  <c r="K3250" i="1"/>
  <c r="CX3250" i="1"/>
  <c r="CW3250" i="1"/>
  <c r="CV3250" i="1"/>
  <c r="CU3250" i="1"/>
  <c r="I3250" i="1"/>
  <c r="CT3250" i="1"/>
  <c r="BI3250" i="1"/>
  <c r="BH3250" i="1"/>
  <c r="DE3208" i="1"/>
  <c r="CY3208" i="1"/>
  <c r="K3208" i="1"/>
  <c r="CX3208" i="1"/>
  <c r="CW3208" i="1"/>
  <c r="CV3208" i="1"/>
  <c r="CU3208" i="1"/>
  <c r="I3208" i="1"/>
  <c r="CT3208" i="1"/>
  <c r="BI3208" i="1"/>
  <c r="BH3208" i="1"/>
  <c r="DE3239" i="1"/>
  <c r="CY3239" i="1"/>
  <c r="K3239" i="1"/>
  <c r="CX3239" i="1"/>
  <c r="CW3239" i="1"/>
  <c r="CV3239" i="1"/>
  <c r="CU3239" i="1"/>
  <c r="I3239" i="1"/>
  <c r="CT3239" i="1"/>
  <c r="BI3239" i="1"/>
  <c r="BH3239" i="1"/>
  <c r="DE3248" i="1"/>
  <c r="CY3248" i="1"/>
  <c r="K3248" i="1"/>
  <c r="CX3248" i="1"/>
  <c r="CW3248" i="1"/>
  <c r="CV3248" i="1"/>
  <c r="CU3248" i="1"/>
  <c r="I3248" i="1"/>
  <c r="CT3248" i="1"/>
  <c r="BI3248" i="1"/>
  <c r="BH3248" i="1"/>
  <c r="DE3202" i="1"/>
  <c r="CY3202" i="1"/>
  <c r="K3202" i="1"/>
  <c r="CX3202" i="1"/>
  <c r="CW3202" i="1"/>
  <c r="CV3202" i="1"/>
  <c r="CU3202" i="1"/>
  <c r="I3202" i="1"/>
  <c r="CT3202" i="1"/>
  <c r="BI3202" i="1"/>
  <c r="BH3202" i="1"/>
  <c r="DE3325" i="1"/>
  <c r="CY3325" i="1"/>
  <c r="K3325" i="1"/>
  <c r="CX3325" i="1"/>
  <c r="CV3325" i="1"/>
  <c r="CU3325" i="1"/>
  <c r="I3325" i="1"/>
  <c r="CT3325" i="1"/>
  <c r="BI3325" i="1"/>
  <c r="BH3325" i="1"/>
  <c r="DE304" i="1"/>
  <c r="CY304" i="1"/>
  <c r="K304" i="1"/>
  <c r="CX304" i="1"/>
  <c r="CV304" i="1"/>
  <c r="CU304" i="1"/>
  <c r="I304" i="1"/>
  <c r="BI304" i="1"/>
  <c r="BH304" i="1"/>
  <c r="DE308" i="1"/>
  <c r="CY308" i="1"/>
  <c r="K308" i="1"/>
  <c r="CX308" i="1"/>
  <c r="CV308" i="1"/>
  <c r="CU308" i="1"/>
  <c r="I308" i="1"/>
  <c r="BI308" i="1"/>
  <c r="BH308" i="1"/>
  <c r="DE293" i="1"/>
  <c r="CY293" i="1"/>
  <c r="K293" i="1"/>
  <c r="CX293" i="1"/>
  <c r="CV293" i="1"/>
  <c r="CU293" i="1"/>
  <c r="I293" i="1"/>
  <c r="BI293" i="1"/>
  <c r="BH293" i="1"/>
  <c r="DE310" i="1"/>
  <c r="CY310" i="1"/>
  <c r="K310" i="1"/>
  <c r="CX310" i="1"/>
  <c r="CV310" i="1"/>
  <c r="CU310" i="1"/>
  <c r="I310" i="1"/>
  <c r="BI310" i="1"/>
  <c r="BH310" i="1"/>
  <c r="DE344" i="1"/>
  <c r="CY344" i="1"/>
  <c r="K344" i="1"/>
  <c r="CX344" i="1"/>
  <c r="CV344" i="1"/>
  <c r="CU344" i="1"/>
  <c r="I344" i="1"/>
  <c r="BI344" i="1"/>
  <c r="BH344" i="1"/>
  <c r="DE351" i="1"/>
  <c r="CY351" i="1"/>
  <c r="K351" i="1"/>
  <c r="CX351" i="1"/>
  <c r="CV351" i="1"/>
  <c r="CU351" i="1"/>
  <c r="I351" i="1"/>
  <c r="BI351" i="1"/>
  <c r="BH351" i="1"/>
  <c r="DE359" i="1"/>
  <c r="CY359" i="1"/>
  <c r="K359" i="1"/>
  <c r="CX359" i="1"/>
  <c r="CV359" i="1"/>
  <c r="CU359" i="1"/>
  <c r="I359" i="1"/>
  <c r="BI359" i="1"/>
  <c r="BH359" i="1"/>
  <c r="DE354" i="1"/>
  <c r="CY354" i="1"/>
  <c r="K354" i="1"/>
  <c r="CX354" i="1"/>
  <c r="CV354" i="1"/>
  <c r="CU354" i="1"/>
  <c r="I354" i="1"/>
  <c r="BI354" i="1"/>
  <c r="BH354" i="1"/>
  <c r="DE347" i="1"/>
  <c r="CY347" i="1"/>
  <c r="K347" i="1"/>
  <c r="CX347" i="1"/>
  <c r="CV347" i="1"/>
  <c r="CU347" i="1"/>
  <c r="I347" i="1"/>
  <c r="BI347" i="1"/>
  <c r="BH347" i="1"/>
  <c r="DE366" i="1"/>
  <c r="CY366" i="1"/>
  <c r="K366" i="1"/>
  <c r="CX366" i="1"/>
  <c r="CV366" i="1"/>
  <c r="CU366" i="1"/>
  <c r="I366" i="1"/>
  <c r="BI366" i="1"/>
  <c r="BH366" i="1"/>
  <c r="DE394" i="1"/>
  <c r="CY394" i="1"/>
  <c r="K394" i="1"/>
  <c r="CX394" i="1"/>
  <c r="CV394" i="1"/>
  <c r="CU394" i="1"/>
  <c r="I394" i="1"/>
  <c r="BI394" i="1"/>
  <c r="BH394" i="1"/>
  <c r="DE377" i="1"/>
  <c r="CY377" i="1"/>
  <c r="K377" i="1"/>
  <c r="CX377" i="1"/>
  <c r="CV377" i="1"/>
  <c r="CU377" i="1"/>
  <c r="I377" i="1"/>
  <c r="BI377" i="1"/>
  <c r="BH377" i="1"/>
  <c r="DE435" i="1"/>
  <c r="CY435" i="1"/>
  <c r="K435" i="1"/>
  <c r="CX435" i="1"/>
  <c r="CV435" i="1"/>
  <c r="CU435" i="1"/>
  <c r="I435" i="1"/>
  <c r="BI435" i="1"/>
  <c r="BH435" i="1"/>
  <c r="DE430" i="1"/>
  <c r="CY430" i="1"/>
  <c r="K430" i="1"/>
  <c r="CX430" i="1"/>
  <c r="CV430" i="1"/>
  <c r="CU430" i="1"/>
  <c r="I430" i="1"/>
  <c r="BI430" i="1"/>
  <c r="BH430" i="1"/>
  <c r="DE425" i="1"/>
  <c r="CY425" i="1"/>
  <c r="K425" i="1"/>
  <c r="CX425" i="1"/>
  <c r="CV425" i="1"/>
  <c r="CU425" i="1"/>
  <c r="I425" i="1"/>
  <c r="BI425" i="1"/>
  <c r="BH425" i="1"/>
  <c r="DE420" i="1"/>
  <c r="CY420" i="1"/>
  <c r="K420" i="1"/>
  <c r="CX420" i="1"/>
  <c r="CV420" i="1"/>
  <c r="CU420" i="1"/>
  <c r="I420" i="1"/>
  <c r="BI420" i="1"/>
  <c r="BH420" i="1"/>
  <c r="DE415" i="1"/>
  <c r="CY415" i="1"/>
  <c r="K415" i="1"/>
  <c r="CX415" i="1"/>
  <c r="CV415" i="1"/>
  <c r="CU415" i="1"/>
  <c r="I415" i="1"/>
  <c r="BI415" i="1"/>
  <c r="BH415" i="1"/>
  <c r="DE409" i="1"/>
  <c r="CY409" i="1"/>
  <c r="K409" i="1"/>
  <c r="CX409" i="1"/>
  <c r="CV409" i="1"/>
  <c r="CU409" i="1"/>
  <c r="I409" i="1"/>
  <c r="BI409" i="1"/>
  <c r="BH409" i="1"/>
  <c r="DE404" i="1"/>
  <c r="CY404" i="1"/>
  <c r="K404" i="1"/>
  <c r="CX404" i="1"/>
  <c r="CV404" i="1"/>
  <c r="CU404" i="1"/>
  <c r="I404" i="1"/>
  <c r="BI404" i="1"/>
  <c r="BH404" i="1"/>
  <c r="DE395" i="1"/>
  <c r="CY395" i="1"/>
  <c r="K395" i="1"/>
  <c r="CX395" i="1"/>
  <c r="CV395" i="1"/>
  <c r="CU395" i="1"/>
  <c r="I395" i="1"/>
  <c r="BI395" i="1"/>
  <c r="BH395" i="1"/>
  <c r="DE371" i="1"/>
  <c r="CY371" i="1"/>
  <c r="K371" i="1"/>
  <c r="CX371" i="1"/>
  <c r="CV371" i="1"/>
  <c r="CU371" i="1"/>
  <c r="I371" i="1"/>
  <c r="BI371" i="1"/>
  <c r="BH371" i="1"/>
  <c r="DE440" i="1"/>
  <c r="CY440" i="1"/>
  <c r="K440" i="1"/>
  <c r="CX440" i="1"/>
  <c r="CV440" i="1"/>
  <c r="CU440" i="1"/>
  <c r="I440" i="1"/>
  <c r="BI440" i="1"/>
  <c r="BH440" i="1"/>
  <c r="DE442" i="1"/>
  <c r="CY442" i="1"/>
  <c r="K442" i="1"/>
  <c r="CX442" i="1"/>
  <c r="CV442" i="1"/>
  <c r="CU442" i="1"/>
  <c r="I442" i="1"/>
  <c r="BI442" i="1"/>
  <c r="BH442" i="1"/>
  <c r="DE444" i="1"/>
  <c r="CY444" i="1"/>
  <c r="K444" i="1"/>
  <c r="CX444" i="1"/>
  <c r="CV444" i="1"/>
  <c r="CU444" i="1"/>
  <c r="I444" i="1"/>
  <c r="BI444" i="1"/>
  <c r="BH444" i="1"/>
  <c r="DE3701" i="1"/>
  <c r="CY3701" i="1"/>
  <c r="K3701" i="1"/>
  <c r="CX3701" i="1"/>
  <c r="CV3701" i="1"/>
  <c r="CU3701" i="1"/>
  <c r="I3701" i="1"/>
  <c r="CT3701" i="1"/>
  <c r="BI3701" i="1"/>
  <c r="BH3701" i="1"/>
  <c r="DE3733" i="1"/>
  <c r="CY3733" i="1"/>
  <c r="K3733" i="1"/>
  <c r="CX3733" i="1"/>
  <c r="CV3733" i="1"/>
  <c r="CU3733" i="1"/>
  <c r="I3733" i="1"/>
  <c r="CT3733" i="1"/>
  <c r="BI3733" i="1"/>
  <c r="BH3733" i="1"/>
  <c r="DE3681" i="1"/>
  <c r="CY3681" i="1"/>
  <c r="K3681" i="1"/>
  <c r="CX3681" i="1"/>
  <c r="CV3681" i="1"/>
  <c r="CU3681" i="1"/>
  <c r="I3681" i="1"/>
  <c r="CT3681" i="1"/>
  <c r="BI3681" i="1"/>
  <c r="BH3681" i="1"/>
  <c r="DE3300" i="1"/>
  <c r="CY3300" i="1"/>
  <c r="K3300" i="1"/>
  <c r="CX3300" i="1"/>
  <c r="CV3300" i="1"/>
  <c r="CU3300" i="1"/>
  <c r="I3300" i="1"/>
  <c r="CT3300" i="1"/>
  <c r="BI3300" i="1"/>
  <c r="BH3300" i="1"/>
  <c r="DE656" i="1"/>
  <c r="CY656" i="1"/>
  <c r="K656" i="1"/>
  <c r="CX656" i="1"/>
  <c r="CV656" i="1"/>
  <c r="CU656" i="1"/>
  <c r="I656" i="1"/>
  <c r="BI656" i="1"/>
  <c r="BH656" i="1"/>
  <c r="DE3460" i="1"/>
  <c r="CY3460" i="1"/>
  <c r="K3460" i="1"/>
  <c r="CX3460" i="1"/>
  <c r="CV3460" i="1"/>
  <c r="CU3460" i="1"/>
  <c r="I3460" i="1"/>
  <c r="CT3460" i="1"/>
  <c r="BI3460" i="1"/>
  <c r="BH3460" i="1"/>
  <c r="DE3717" i="1"/>
  <c r="CY3717" i="1"/>
  <c r="K3717" i="1"/>
  <c r="CX3717" i="1"/>
  <c r="CV3717" i="1"/>
  <c r="CU3717" i="1"/>
  <c r="I3717" i="1"/>
  <c r="CT3717" i="1"/>
  <c r="BI3717" i="1"/>
  <c r="BH3717" i="1"/>
  <c r="DE3601" i="1"/>
  <c r="CY3601" i="1"/>
  <c r="K3601" i="1"/>
  <c r="CX3601" i="1"/>
  <c r="CV3601" i="1"/>
  <c r="CU3601" i="1"/>
  <c r="I3601" i="1"/>
  <c r="CT3601" i="1"/>
  <c r="BI3601" i="1"/>
  <c r="BH3601" i="1"/>
  <c r="DE3496" i="1"/>
  <c r="CY3496" i="1"/>
  <c r="K3496" i="1"/>
  <c r="CX3496" i="1"/>
  <c r="CV3496" i="1"/>
  <c r="CU3496" i="1"/>
  <c r="I3496" i="1"/>
  <c r="CT3496" i="1"/>
  <c r="BI3496" i="1"/>
  <c r="BH3496" i="1"/>
  <c r="DE3469" i="1"/>
  <c r="CY3469" i="1"/>
  <c r="K3469" i="1"/>
  <c r="CX3469" i="1"/>
  <c r="CV3469" i="1"/>
  <c r="CU3469" i="1"/>
  <c r="I3469" i="1"/>
  <c r="CT3469" i="1"/>
  <c r="BI3469" i="1"/>
  <c r="BH3469" i="1"/>
  <c r="DE3760" i="1"/>
  <c r="CY3760" i="1"/>
  <c r="K3760" i="1"/>
  <c r="CX3760" i="1"/>
  <c r="CV3760" i="1"/>
  <c r="CU3760" i="1"/>
  <c r="I3760" i="1"/>
  <c r="CT3760" i="1"/>
  <c r="BI3760" i="1"/>
  <c r="BH3760" i="1"/>
  <c r="DE3497" i="1"/>
  <c r="CY3497" i="1"/>
  <c r="K3497" i="1"/>
  <c r="CX3497" i="1"/>
  <c r="CV3497" i="1"/>
  <c r="CU3497" i="1"/>
  <c r="I3497" i="1"/>
  <c r="CT3497" i="1"/>
  <c r="BI3497" i="1"/>
  <c r="BH3497" i="1"/>
  <c r="DE3594" i="1"/>
  <c r="CY3594" i="1"/>
  <c r="K3594" i="1"/>
  <c r="CX3594" i="1"/>
  <c r="CV3594" i="1"/>
  <c r="CU3594" i="1"/>
  <c r="I3594" i="1"/>
  <c r="CT3594" i="1"/>
  <c r="BI3594" i="1"/>
  <c r="BH3594" i="1"/>
  <c r="DE3351" i="1"/>
  <c r="CY3351" i="1"/>
  <c r="K3351" i="1"/>
  <c r="CX3351" i="1"/>
  <c r="CV3351" i="1"/>
  <c r="CU3351" i="1"/>
  <c r="I3351" i="1"/>
  <c r="CT3351" i="1"/>
  <c r="BI3351" i="1"/>
  <c r="BH3351" i="1"/>
  <c r="DE3336" i="1"/>
  <c r="CY3336" i="1"/>
  <c r="K3336" i="1"/>
  <c r="CX3336" i="1"/>
  <c r="CV3336" i="1"/>
  <c r="CU3336" i="1"/>
  <c r="I3336" i="1"/>
  <c r="CT3336" i="1"/>
  <c r="BI3336" i="1"/>
  <c r="BH3336" i="1"/>
  <c r="DE3631" i="1"/>
  <c r="CY3631" i="1"/>
  <c r="K3631" i="1"/>
  <c r="CX3631" i="1"/>
  <c r="CV3631" i="1"/>
  <c r="CU3631" i="1"/>
  <c r="I3631" i="1"/>
  <c r="CT3631" i="1"/>
  <c r="BI3631" i="1"/>
  <c r="BH3631" i="1"/>
  <c r="DE3306" i="1"/>
  <c r="CY3306" i="1"/>
  <c r="K3306" i="1"/>
  <c r="CX3306" i="1"/>
  <c r="CV3306" i="1"/>
  <c r="CU3306" i="1"/>
  <c r="I3306" i="1"/>
  <c r="CT3306" i="1"/>
  <c r="BI3306" i="1"/>
  <c r="BH3306" i="1"/>
  <c r="DE3721" i="1"/>
  <c r="CY3721" i="1"/>
  <c r="K3721" i="1"/>
  <c r="CX3721" i="1"/>
  <c r="CV3721" i="1"/>
  <c r="CU3721" i="1"/>
  <c r="I3721" i="1"/>
  <c r="CT3721" i="1"/>
  <c r="BI3721" i="1"/>
  <c r="BH3721" i="1"/>
  <c r="DE487" i="1"/>
  <c r="CY487" i="1"/>
  <c r="K487" i="1"/>
  <c r="CX487" i="1"/>
  <c r="CV487" i="1"/>
  <c r="CU487" i="1"/>
  <c r="I487" i="1"/>
  <c r="BI487" i="1"/>
  <c r="BH487" i="1"/>
  <c r="DE3714" i="1"/>
  <c r="CY3714" i="1"/>
  <c r="K3714" i="1"/>
  <c r="CX3714" i="1"/>
  <c r="CV3714" i="1"/>
  <c r="CU3714" i="1"/>
  <c r="I3714" i="1"/>
  <c r="CT3714" i="1"/>
  <c r="BI3714" i="1"/>
  <c r="BH3714" i="1"/>
  <c r="DE3600" i="1"/>
  <c r="CY3600" i="1"/>
  <c r="K3600" i="1"/>
  <c r="CX3600" i="1"/>
  <c r="CV3600" i="1"/>
  <c r="CU3600" i="1"/>
  <c r="I3600" i="1"/>
  <c r="CT3600" i="1"/>
  <c r="BI3600" i="1"/>
  <c r="BH3600" i="1"/>
  <c r="DE3492" i="1"/>
  <c r="CY3492" i="1"/>
  <c r="K3492" i="1"/>
  <c r="CX3492" i="1"/>
  <c r="CV3492" i="1"/>
  <c r="CU3492" i="1"/>
  <c r="I3492" i="1"/>
  <c r="CT3492" i="1"/>
  <c r="BI3492" i="1"/>
  <c r="BH3492" i="1"/>
  <c r="DE3561" i="1"/>
  <c r="CY3561" i="1"/>
  <c r="K3561" i="1"/>
  <c r="CX3561" i="1"/>
  <c r="CV3561" i="1"/>
  <c r="CU3561" i="1"/>
  <c r="I3561" i="1"/>
  <c r="CT3561" i="1"/>
  <c r="BI3561" i="1"/>
  <c r="BH3561" i="1"/>
  <c r="DE3582" i="1"/>
  <c r="CY3582" i="1"/>
  <c r="K3582" i="1"/>
  <c r="CX3582" i="1"/>
  <c r="CV3582" i="1"/>
  <c r="CU3582" i="1"/>
  <c r="I3582" i="1"/>
  <c r="CT3582" i="1"/>
  <c r="BI3582" i="1"/>
  <c r="BH3582" i="1"/>
  <c r="DE3313" i="1"/>
  <c r="CY3313" i="1"/>
  <c r="K3313" i="1"/>
  <c r="CX3313" i="1"/>
  <c r="CV3313" i="1"/>
  <c r="CU3313" i="1"/>
  <c r="I3313" i="1"/>
  <c r="CT3313" i="1"/>
  <c r="BI3313" i="1"/>
  <c r="BH3313" i="1"/>
  <c r="DE3754" i="1"/>
  <c r="CY3754" i="1"/>
  <c r="K3754" i="1"/>
  <c r="CX3754" i="1"/>
  <c r="CV3754" i="1"/>
  <c r="CU3754" i="1"/>
  <c r="I3754" i="1"/>
  <c r="CT3754" i="1"/>
  <c r="BI3754" i="1"/>
  <c r="BH3754" i="1"/>
  <c r="DE3693" i="1"/>
  <c r="CY3693" i="1"/>
  <c r="K3693" i="1"/>
  <c r="CX3693" i="1"/>
  <c r="CV3693" i="1"/>
  <c r="CU3693" i="1"/>
  <c r="I3693" i="1"/>
  <c r="CT3693" i="1"/>
  <c r="BI3693" i="1"/>
  <c r="BH3693" i="1"/>
  <c r="DE3370" i="1"/>
  <c r="CY3370" i="1"/>
  <c r="K3370" i="1"/>
  <c r="CX3370" i="1"/>
  <c r="CV3370" i="1"/>
  <c r="CU3370" i="1"/>
  <c r="I3370" i="1"/>
  <c r="CT3370" i="1"/>
  <c r="BI3370" i="1"/>
  <c r="BH3370" i="1"/>
  <c r="DE3673" i="1"/>
  <c r="CY3673" i="1"/>
  <c r="K3673" i="1"/>
  <c r="CX3673" i="1"/>
  <c r="CV3673" i="1"/>
  <c r="CU3673" i="1"/>
  <c r="I3673" i="1"/>
  <c r="CT3673" i="1"/>
  <c r="BI3673" i="1"/>
  <c r="BH3673" i="1"/>
  <c r="DE3299" i="1"/>
  <c r="CY3299" i="1"/>
  <c r="K3299" i="1"/>
  <c r="CX3299" i="1"/>
  <c r="CV3299" i="1"/>
  <c r="CU3299" i="1"/>
  <c r="I3299" i="1"/>
  <c r="CT3299" i="1"/>
  <c r="BI3299" i="1"/>
  <c r="BH3299" i="1"/>
  <c r="DE3554" i="1"/>
  <c r="CY3554" i="1"/>
  <c r="K3554" i="1"/>
  <c r="CX3554" i="1"/>
  <c r="CV3554" i="1"/>
  <c r="CU3554" i="1"/>
  <c r="I3554" i="1"/>
  <c r="CT3554" i="1"/>
  <c r="BI3554" i="1"/>
  <c r="BH3554" i="1"/>
  <c r="DE3302" i="1"/>
  <c r="CY3302" i="1"/>
  <c r="K3302" i="1"/>
  <c r="CX3302" i="1"/>
  <c r="CV3302" i="1"/>
  <c r="CU3302" i="1"/>
  <c r="I3302" i="1"/>
  <c r="CT3302" i="1"/>
  <c r="BI3302" i="1"/>
  <c r="BH3302" i="1"/>
  <c r="DE3599" i="1"/>
  <c r="CY3599" i="1"/>
  <c r="K3599" i="1"/>
  <c r="CX3599" i="1"/>
  <c r="CV3599" i="1"/>
  <c r="CU3599" i="1"/>
  <c r="I3599" i="1"/>
  <c r="CT3599" i="1"/>
  <c r="BI3599" i="1"/>
  <c r="BH3599" i="1"/>
  <c r="DE3604" i="1"/>
  <c r="CY3604" i="1"/>
  <c r="K3604" i="1"/>
  <c r="CX3604" i="1"/>
  <c r="CV3604" i="1"/>
  <c r="CU3604" i="1"/>
  <c r="I3604" i="1"/>
  <c r="CT3604" i="1"/>
  <c r="BI3604" i="1"/>
  <c r="BH3604" i="1"/>
  <c r="DE3462" i="1"/>
  <c r="CY3462" i="1"/>
  <c r="K3462" i="1"/>
  <c r="CX3462" i="1"/>
  <c r="CV3462" i="1"/>
  <c r="CU3462" i="1"/>
  <c r="I3462" i="1"/>
  <c r="CT3462" i="1"/>
  <c r="BI3462" i="1"/>
  <c r="BH3462" i="1"/>
  <c r="DE3519" i="1"/>
  <c r="CY3519" i="1"/>
  <c r="K3519" i="1"/>
  <c r="CX3519" i="1"/>
  <c r="CV3519" i="1"/>
  <c r="CU3519" i="1"/>
  <c r="I3519" i="1"/>
  <c r="CT3519" i="1"/>
  <c r="BI3519" i="1"/>
  <c r="BH3519" i="1"/>
  <c r="DE3395" i="1"/>
  <c r="CY3395" i="1"/>
  <c r="K3395" i="1"/>
  <c r="CX3395" i="1"/>
  <c r="CV3395" i="1"/>
  <c r="CU3395" i="1"/>
  <c r="I3395" i="1"/>
  <c r="CT3395" i="1"/>
  <c r="BI3395" i="1"/>
  <c r="BH3395" i="1"/>
  <c r="DE3480" i="1"/>
  <c r="CY3480" i="1"/>
  <c r="K3480" i="1"/>
  <c r="CX3480" i="1"/>
  <c r="CV3480" i="1"/>
  <c r="CU3480" i="1"/>
  <c r="I3480" i="1"/>
  <c r="CT3480" i="1"/>
  <c r="BI3480" i="1"/>
  <c r="BH3480" i="1"/>
  <c r="DE3555" i="1"/>
  <c r="CY3555" i="1"/>
  <c r="K3555" i="1"/>
  <c r="CX3555" i="1"/>
  <c r="CV3555" i="1"/>
  <c r="CU3555" i="1"/>
  <c r="I3555" i="1"/>
  <c r="CT3555" i="1"/>
  <c r="BI3555" i="1"/>
  <c r="BH3555" i="1"/>
  <c r="DE3436" i="1"/>
  <c r="CY3436" i="1"/>
  <c r="K3436" i="1"/>
  <c r="CX3436" i="1"/>
  <c r="CV3436" i="1"/>
  <c r="CU3436" i="1"/>
  <c r="I3436" i="1"/>
  <c r="CT3436" i="1"/>
  <c r="BI3436" i="1"/>
  <c r="BH3436" i="1"/>
  <c r="DE3567" i="1"/>
  <c r="CY3567" i="1"/>
  <c r="K3567" i="1"/>
  <c r="CX3567" i="1"/>
  <c r="CV3567" i="1"/>
  <c r="CU3567" i="1"/>
  <c r="I3567" i="1"/>
  <c r="CT3567" i="1"/>
  <c r="BI3567" i="1"/>
  <c r="BH3567" i="1"/>
  <c r="DE3547" i="1"/>
  <c r="CY3547" i="1"/>
  <c r="K3547" i="1"/>
  <c r="CX3547" i="1"/>
  <c r="CV3547" i="1"/>
  <c r="CU3547" i="1"/>
  <c r="I3547" i="1"/>
  <c r="CT3547" i="1"/>
  <c r="BI3547" i="1"/>
  <c r="BH3547" i="1"/>
  <c r="DE3628" i="1"/>
  <c r="CY3628" i="1"/>
  <c r="K3628" i="1"/>
  <c r="CX3628" i="1"/>
  <c r="CV3628" i="1"/>
  <c r="CU3628" i="1"/>
  <c r="I3628" i="1"/>
  <c r="CT3628" i="1"/>
  <c r="BI3628" i="1"/>
  <c r="BH3628" i="1"/>
  <c r="DE3517" i="1"/>
  <c r="CY3517" i="1"/>
  <c r="K3517" i="1"/>
  <c r="CX3517" i="1"/>
  <c r="CV3517" i="1"/>
  <c r="CU3517" i="1"/>
  <c r="I3517" i="1"/>
  <c r="CT3517" i="1"/>
  <c r="BI3517" i="1"/>
  <c r="BH3517" i="1"/>
  <c r="DE3311" i="1"/>
  <c r="CY3311" i="1"/>
  <c r="K3311" i="1"/>
  <c r="CX3311" i="1"/>
  <c r="CV3311" i="1"/>
  <c r="CU3311" i="1"/>
  <c r="I3311" i="1"/>
  <c r="CT3311" i="1"/>
  <c r="BI3311" i="1"/>
  <c r="BH3311" i="1"/>
  <c r="DE3541" i="1"/>
  <c r="CY3541" i="1"/>
  <c r="K3541" i="1"/>
  <c r="CX3541" i="1"/>
  <c r="CV3541" i="1"/>
  <c r="CU3541" i="1"/>
  <c r="I3541" i="1"/>
  <c r="CT3541" i="1"/>
  <c r="BI3541" i="1"/>
  <c r="BH3541" i="1"/>
  <c r="DE3663" i="1"/>
  <c r="CY3663" i="1"/>
  <c r="K3663" i="1"/>
  <c r="CX3663" i="1"/>
  <c r="CV3663" i="1"/>
  <c r="CU3663" i="1"/>
  <c r="I3663" i="1"/>
  <c r="CT3663" i="1"/>
  <c r="BI3663" i="1"/>
  <c r="BH3663" i="1"/>
  <c r="DE3669" i="1"/>
  <c r="CY3669" i="1"/>
  <c r="K3669" i="1"/>
  <c r="CX3669" i="1"/>
  <c r="CV3669" i="1"/>
  <c r="CU3669" i="1"/>
  <c r="I3669" i="1"/>
  <c r="CT3669" i="1"/>
  <c r="BI3669" i="1"/>
  <c r="BH3669" i="1"/>
  <c r="DE3326" i="1"/>
  <c r="CY3326" i="1"/>
  <c r="K3326" i="1"/>
  <c r="CX3326" i="1"/>
  <c r="CV3326" i="1"/>
  <c r="CU3326" i="1"/>
  <c r="I3326" i="1"/>
  <c r="CT3326" i="1"/>
  <c r="BI3326" i="1"/>
  <c r="BH3326" i="1"/>
  <c r="DE582" i="1"/>
  <c r="CY582" i="1"/>
  <c r="K582" i="1"/>
  <c r="CX582" i="1"/>
  <c r="CV582" i="1"/>
  <c r="CU582" i="1"/>
  <c r="I582" i="1"/>
  <c r="BI582" i="1"/>
  <c r="BH582" i="1"/>
  <c r="DE3337" i="1"/>
  <c r="CY3337" i="1"/>
  <c r="K3337" i="1"/>
  <c r="CX3337" i="1"/>
  <c r="CV3337" i="1"/>
  <c r="CU3337" i="1"/>
  <c r="I3337" i="1"/>
  <c r="CT3337" i="1"/>
  <c r="BI3337" i="1"/>
  <c r="BH3337" i="1"/>
  <c r="DE3650" i="1"/>
  <c r="CY3650" i="1"/>
  <c r="K3650" i="1"/>
  <c r="CX3650" i="1"/>
  <c r="CV3650" i="1"/>
  <c r="CU3650" i="1"/>
  <c r="I3650" i="1"/>
  <c r="CT3650" i="1"/>
  <c r="BI3650" i="1"/>
  <c r="BH3650" i="1"/>
  <c r="DE3440" i="1"/>
  <c r="CY3440" i="1"/>
  <c r="K3440" i="1"/>
  <c r="CX3440" i="1"/>
  <c r="CV3440" i="1"/>
  <c r="CU3440" i="1"/>
  <c r="I3440" i="1"/>
  <c r="CT3440" i="1"/>
  <c r="BI3440" i="1"/>
  <c r="BH3440" i="1"/>
  <c r="DE566" i="1"/>
  <c r="CY566" i="1"/>
  <c r="K566" i="1"/>
  <c r="CX566" i="1"/>
  <c r="CV566" i="1"/>
  <c r="CU566" i="1"/>
  <c r="I566" i="1"/>
  <c r="BI566" i="1"/>
  <c r="BH566" i="1"/>
  <c r="DE3687" i="1"/>
  <c r="CY3687" i="1"/>
  <c r="K3687" i="1"/>
  <c r="CX3687" i="1"/>
  <c r="CV3687" i="1"/>
  <c r="CU3687" i="1"/>
  <c r="I3687" i="1"/>
  <c r="CT3687" i="1"/>
  <c r="BI3687" i="1"/>
  <c r="BH3687" i="1"/>
  <c r="DE3453" i="1"/>
  <c r="CY3453" i="1"/>
  <c r="K3453" i="1"/>
  <c r="CX3453" i="1"/>
  <c r="CV3453" i="1"/>
  <c r="CU3453" i="1"/>
  <c r="I3453" i="1"/>
  <c r="CT3453" i="1"/>
  <c r="BI3453" i="1"/>
  <c r="BH3453" i="1"/>
  <c r="DE3312" i="1"/>
  <c r="CY3312" i="1"/>
  <c r="K3312" i="1"/>
  <c r="CX3312" i="1"/>
  <c r="CV3312" i="1"/>
  <c r="CU3312" i="1"/>
  <c r="I3312" i="1"/>
  <c r="CT3312" i="1"/>
  <c r="BI3312" i="1"/>
  <c r="BH3312" i="1"/>
  <c r="DE3422" i="1"/>
  <c r="CY3422" i="1"/>
  <c r="K3422" i="1"/>
  <c r="CX3422" i="1"/>
  <c r="CV3422" i="1"/>
  <c r="CU3422" i="1"/>
  <c r="I3422" i="1"/>
  <c r="CT3422" i="1"/>
  <c r="BI3422" i="1"/>
  <c r="BH3422" i="1"/>
  <c r="DE291" i="1"/>
  <c r="CY291" i="1"/>
  <c r="K291" i="1"/>
  <c r="CX291" i="1"/>
  <c r="CV291" i="1"/>
  <c r="CU291" i="1"/>
  <c r="I291" i="1"/>
  <c r="BI291" i="1"/>
  <c r="BH291" i="1"/>
  <c r="DE262" i="1"/>
  <c r="CY262" i="1"/>
  <c r="K262" i="1"/>
  <c r="CX262" i="1"/>
  <c r="CV262" i="1"/>
  <c r="CU262" i="1"/>
  <c r="I262" i="1"/>
  <c r="BI262" i="1"/>
  <c r="BH262" i="1"/>
  <c r="DE266" i="1"/>
  <c r="CY266" i="1"/>
  <c r="K266" i="1"/>
  <c r="CX266" i="1"/>
  <c r="CV266" i="1"/>
  <c r="CU266" i="1"/>
  <c r="I266" i="1"/>
  <c r="BI266" i="1"/>
  <c r="BH266" i="1"/>
  <c r="DE272" i="1"/>
  <c r="CY272" i="1"/>
  <c r="K272" i="1"/>
  <c r="CX272" i="1"/>
  <c r="CV272" i="1"/>
  <c r="CU272" i="1"/>
  <c r="I272" i="1"/>
  <c r="BI272" i="1"/>
  <c r="BH272" i="1"/>
  <c r="DE267" i="1"/>
  <c r="CY267" i="1"/>
  <c r="K267" i="1"/>
  <c r="CX267" i="1"/>
  <c r="CV267" i="1"/>
  <c r="CU267" i="1"/>
  <c r="I267" i="1"/>
  <c r="BI267" i="1"/>
  <c r="BH267" i="1"/>
  <c r="DE254" i="1"/>
  <c r="CY254" i="1"/>
  <c r="K254" i="1"/>
  <c r="CX254" i="1"/>
  <c r="CV254" i="1"/>
  <c r="CU254" i="1"/>
  <c r="I254" i="1"/>
  <c r="BI254" i="1"/>
  <c r="BH254" i="1"/>
  <c r="DE321" i="1"/>
  <c r="CY321" i="1"/>
  <c r="K321" i="1"/>
  <c r="CX321" i="1"/>
  <c r="CV321" i="1"/>
  <c r="CU321" i="1"/>
  <c r="I321" i="1"/>
  <c r="BI321" i="1"/>
  <c r="BH321" i="1"/>
  <c r="DE316" i="1"/>
  <c r="CY316" i="1"/>
  <c r="K316" i="1"/>
  <c r="CX316" i="1"/>
  <c r="CV316" i="1"/>
  <c r="CU316" i="1"/>
  <c r="I316" i="1"/>
  <c r="BI316" i="1"/>
  <c r="BH316" i="1"/>
  <c r="DE323" i="1"/>
  <c r="CY323" i="1"/>
  <c r="K323" i="1"/>
  <c r="CX323" i="1"/>
  <c r="CV323" i="1"/>
  <c r="CU323" i="1"/>
  <c r="I323" i="1"/>
  <c r="BI323" i="1"/>
  <c r="BH323" i="1"/>
  <c r="DE329" i="1"/>
  <c r="CY329" i="1"/>
  <c r="K329" i="1"/>
  <c r="CX329" i="1"/>
  <c r="CV329" i="1"/>
  <c r="CU329" i="1"/>
  <c r="I329" i="1"/>
  <c r="BI329" i="1"/>
  <c r="BH329" i="1"/>
  <c r="DE730" i="1"/>
  <c r="CY730" i="1"/>
  <c r="K730" i="1"/>
  <c r="CX730" i="1"/>
  <c r="CV730" i="1"/>
  <c r="CU730" i="1"/>
  <c r="I730" i="1"/>
  <c r="BI730" i="1"/>
  <c r="BH730" i="1"/>
  <c r="DE249" i="1"/>
  <c r="CY249" i="1"/>
  <c r="K249" i="1"/>
  <c r="CX249" i="1"/>
  <c r="CV249" i="1"/>
  <c r="CU249" i="1"/>
  <c r="I249" i="1"/>
  <c r="BI249" i="1"/>
  <c r="BH249" i="1"/>
  <c r="DE248" i="1"/>
  <c r="CY248" i="1"/>
  <c r="K248" i="1"/>
  <c r="CX248" i="1"/>
  <c r="CV248" i="1"/>
  <c r="CU248" i="1"/>
  <c r="I248" i="1"/>
  <c r="BI248" i="1"/>
  <c r="BH248" i="1"/>
  <c r="DE243" i="1"/>
  <c r="CY243" i="1"/>
  <c r="K243" i="1"/>
  <c r="CX243" i="1"/>
  <c r="CV243" i="1"/>
  <c r="CU243" i="1"/>
  <c r="I243" i="1"/>
  <c r="BI243" i="1"/>
  <c r="BH243" i="1"/>
  <c r="DE245" i="1"/>
  <c r="CY245" i="1"/>
  <c r="K245" i="1"/>
  <c r="CX245" i="1"/>
  <c r="CV245" i="1"/>
  <c r="CU245" i="1"/>
  <c r="I245" i="1"/>
  <c r="BI245" i="1"/>
  <c r="BH245" i="1"/>
  <c r="DE236" i="1"/>
  <c r="CY236" i="1"/>
  <c r="K236" i="1"/>
  <c r="CX236" i="1"/>
  <c r="CV236" i="1"/>
  <c r="CU236" i="1"/>
  <c r="I236" i="1"/>
  <c r="BI236" i="1"/>
  <c r="BH236" i="1"/>
  <c r="DE237" i="1"/>
  <c r="CY237" i="1"/>
  <c r="K237" i="1"/>
  <c r="CX237" i="1"/>
  <c r="CV237" i="1"/>
  <c r="CU237" i="1"/>
  <c r="I237" i="1"/>
  <c r="BI237" i="1"/>
  <c r="BH237" i="1"/>
  <c r="DE232" i="1"/>
  <c r="CY232" i="1"/>
  <c r="K232" i="1"/>
  <c r="CX232" i="1"/>
  <c r="CV232" i="1"/>
  <c r="CU232" i="1"/>
  <c r="I232" i="1"/>
  <c r="BI232" i="1"/>
  <c r="BH232" i="1"/>
  <c r="DE229" i="1"/>
  <c r="CY229" i="1"/>
  <c r="K229" i="1"/>
  <c r="CX229" i="1"/>
  <c r="CV229" i="1"/>
  <c r="CU229" i="1"/>
  <c r="I229" i="1"/>
  <c r="BI229" i="1"/>
  <c r="BH229" i="1"/>
  <c r="DE205" i="1"/>
  <c r="CY205" i="1"/>
  <c r="K205" i="1"/>
  <c r="CX205" i="1"/>
  <c r="CV205" i="1"/>
  <c r="CU205" i="1"/>
  <c r="I205" i="1"/>
  <c r="BI205" i="1"/>
  <c r="BH205" i="1"/>
  <c r="DE201" i="1"/>
  <c r="CY201" i="1"/>
  <c r="K201" i="1"/>
  <c r="CX201" i="1"/>
  <c r="CV201" i="1"/>
  <c r="CU201" i="1"/>
  <c r="I201" i="1"/>
  <c r="BI201" i="1"/>
  <c r="BH201" i="1"/>
  <c r="DE204" i="1"/>
  <c r="CY204" i="1"/>
  <c r="K204" i="1"/>
  <c r="CX204" i="1"/>
  <c r="CV204" i="1"/>
  <c r="CU204" i="1"/>
  <c r="I204" i="1"/>
  <c r="BI204" i="1"/>
  <c r="BH204" i="1"/>
  <c r="DE177" i="1"/>
  <c r="CY177" i="1"/>
  <c r="K177" i="1"/>
  <c r="CX177" i="1"/>
  <c r="CV177" i="1"/>
  <c r="CU177" i="1"/>
  <c r="I177" i="1"/>
  <c r="BI177" i="1"/>
  <c r="BH177" i="1"/>
  <c r="DE178" i="1"/>
  <c r="CY178" i="1"/>
  <c r="K178" i="1"/>
  <c r="CX178" i="1"/>
  <c r="CV178" i="1"/>
  <c r="CU178" i="1"/>
  <c r="I178" i="1"/>
  <c r="BI178" i="1"/>
  <c r="BH178" i="1"/>
  <c r="DE172" i="1"/>
  <c r="CY172" i="1"/>
  <c r="K172" i="1"/>
  <c r="CX172" i="1"/>
  <c r="CV172" i="1"/>
  <c r="CU172" i="1"/>
  <c r="I172" i="1"/>
  <c r="BI172" i="1"/>
  <c r="BH172" i="1"/>
  <c r="DE174" i="1"/>
  <c r="CY174" i="1"/>
  <c r="K174" i="1"/>
  <c r="CX174" i="1"/>
  <c r="CV174" i="1"/>
  <c r="CU174" i="1"/>
  <c r="I174" i="1"/>
  <c r="BI174" i="1"/>
  <c r="BH174" i="1"/>
  <c r="DE170" i="1"/>
  <c r="CY170" i="1"/>
  <c r="K170" i="1"/>
  <c r="CX170" i="1"/>
  <c r="CV170" i="1"/>
  <c r="CU170" i="1"/>
  <c r="I170" i="1"/>
  <c r="BI170" i="1"/>
  <c r="BH170" i="1"/>
  <c r="DE161" i="1"/>
  <c r="CY161" i="1"/>
  <c r="K161" i="1"/>
  <c r="CX161" i="1"/>
  <c r="CV161" i="1"/>
  <c r="CU161" i="1"/>
  <c r="I161" i="1"/>
  <c r="BI161" i="1"/>
  <c r="BH161" i="1"/>
  <c r="DE162" i="1"/>
  <c r="CY162" i="1"/>
  <c r="K162" i="1"/>
  <c r="CX162" i="1"/>
  <c r="CV162" i="1"/>
  <c r="CU162" i="1"/>
  <c r="I162" i="1"/>
  <c r="BI162" i="1"/>
  <c r="BH162" i="1"/>
  <c r="DE163" i="1"/>
  <c r="CY163" i="1"/>
  <c r="K163" i="1"/>
  <c r="CX163" i="1"/>
  <c r="CV163" i="1"/>
  <c r="CU163" i="1"/>
  <c r="I163" i="1"/>
  <c r="BI163" i="1"/>
  <c r="BH163" i="1"/>
  <c r="DE167" i="1"/>
  <c r="CY167" i="1"/>
  <c r="K167" i="1"/>
  <c r="CX167" i="1"/>
  <c r="CV167" i="1"/>
  <c r="CU167" i="1"/>
  <c r="I167" i="1"/>
  <c r="BI167" i="1"/>
  <c r="BH167" i="1"/>
  <c r="DE169" i="1"/>
  <c r="CY169" i="1"/>
  <c r="K169" i="1"/>
  <c r="CX169" i="1"/>
  <c r="CV169" i="1"/>
  <c r="CU169" i="1"/>
  <c r="I169" i="1"/>
  <c r="BI169" i="1"/>
  <c r="BH169" i="1"/>
  <c r="DE158" i="1"/>
  <c r="CY158" i="1"/>
  <c r="K158" i="1"/>
  <c r="CX158" i="1"/>
  <c r="CV158" i="1"/>
  <c r="CU158" i="1"/>
  <c r="I158" i="1"/>
  <c r="BI158" i="1"/>
  <c r="BH158" i="1"/>
  <c r="DE154" i="1"/>
  <c r="CY154" i="1"/>
  <c r="K154" i="1"/>
  <c r="CX154" i="1"/>
  <c r="CV154" i="1"/>
  <c r="CU154" i="1"/>
  <c r="I154" i="1"/>
  <c r="BI154" i="1"/>
  <c r="BH154" i="1"/>
  <c r="DE153" i="1"/>
  <c r="CY153" i="1"/>
  <c r="K153" i="1"/>
  <c r="CX153" i="1"/>
  <c r="CV153" i="1"/>
  <c r="CU153" i="1"/>
  <c r="I153" i="1"/>
  <c r="BI153" i="1"/>
  <c r="BH153" i="1"/>
  <c r="DE150" i="1"/>
  <c r="CY150" i="1"/>
  <c r="K150" i="1"/>
  <c r="CX150" i="1"/>
  <c r="CV150" i="1"/>
  <c r="CU150" i="1"/>
  <c r="I150" i="1"/>
  <c r="BI150" i="1"/>
  <c r="BH150" i="1"/>
  <c r="DE146" i="1"/>
  <c r="CY146" i="1"/>
  <c r="K146" i="1"/>
  <c r="CX146" i="1"/>
  <c r="CV146" i="1"/>
  <c r="CU146" i="1"/>
  <c r="I146" i="1"/>
  <c r="BI146" i="1"/>
  <c r="BH146" i="1"/>
  <c r="DE144" i="1"/>
  <c r="CY144" i="1"/>
  <c r="K144" i="1"/>
  <c r="CX144" i="1"/>
  <c r="CV144" i="1"/>
  <c r="CU144" i="1"/>
  <c r="I144" i="1"/>
  <c r="BI144" i="1"/>
  <c r="BH144" i="1"/>
  <c r="DE142" i="1"/>
  <c r="CY142" i="1"/>
  <c r="K142" i="1"/>
  <c r="CX142" i="1"/>
  <c r="CV142" i="1"/>
  <c r="CU142" i="1"/>
  <c r="I142" i="1"/>
  <c r="BI142" i="1"/>
  <c r="BH142" i="1"/>
  <c r="DE138" i="1"/>
  <c r="CY138" i="1"/>
  <c r="K138" i="1"/>
  <c r="CX138" i="1"/>
  <c r="CV138" i="1"/>
  <c r="CU138" i="1"/>
  <c r="I138" i="1"/>
  <c r="BI138" i="1"/>
  <c r="BH138" i="1"/>
  <c r="DE136" i="1"/>
  <c r="CY136" i="1"/>
  <c r="K136" i="1"/>
  <c r="CX136" i="1"/>
  <c r="CV136" i="1"/>
  <c r="CU136" i="1"/>
  <c r="I136" i="1"/>
  <c r="BI136" i="1"/>
  <c r="BH136" i="1"/>
  <c r="DE135" i="1"/>
  <c r="CY135" i="1"/>
  <c r="K135" i="1"/>
  <c r="CX135" i="1"/>
  <c r="CV135" i="1"/>
  <c r="CU135" i="1"/>
  <c r="I135" i="1"/>
  <c r="BI135" i="1"/>
  <c r="BH135" i="1"/>
  <c r="DE134" i="1"/>
  <c r="CY134" i="1"/>
  <c r="K134" i="1"/>
  <c r="CX134" i="1"/>
  <c r="CV134" i="1"/>
  <c r="CU134" i="1"/>
  <c r="I134" i="1"/>
  <c r="BI134" i="1"/>
  <c r="BH134" i="1"/>
  <c r="DE129" i="1"/>
  <c r="CY129" i="1"/>
  <c r="K129" i="1"/>
  <c r="CX129" i="1"/>
  <c r="CV129" i="1"/>
  <c r="CU129" i="1"/>
  <c r="I129" i="1"/>
  <c r="BI129" i="1"/>
  <c r="BH129" i="1"/>
  <c r="DE128" i="1"/>
  <c r="CY128" i="1"/>
  <c r="K128" i="1"/>
  <c r="CX128" i="1"/>
  <c r="CV128" i="1"/>
  <c r="CU128" i="1"/>
  <c r="I128" i="1"/>
  <c r="BI128" i="1"/>
  <c r="BH128" i="1"/>
  <c r="DE123" i="1"/>
  <c r="CY123" i="1"/>
  <c r="K123" i="1"/>
  <c r="CX123" i="1"/>
  <c r="CV123" i="1"/>
  <c r="CU123" i="1"/>
  <c r="I123" i="1"/>
  <c r="BI123" i="1"/>
  <c r="BH123" i="1"/>
  <c r="DE120" i="1"/>
  <c r="CY120" i="1"/>
  <c r="K120" i="1"/>
  <c r="CX120" i="1"/>
  <c r="CV120" i="1"/>
  <c r="CU120" i="1"/>
  <c r="I120" i="1"/>
  <c r="BI120" i="1"/>
  <c r="BH120" i="1"/>
  <c r="DE121" i="1"/>
  <c r="CY121" i="1"/>
  <c r="K121" i="1"/>
  <c r="CX121" i="1"/>
  <c r="CV121" i="1"/>
  <c r="CU121" i="1"/>
  <c r="I121" i="1"/>
  <c r="BI121" i="1"/>
  <c r="BH121" i="1"/>
  <c r="DE119" i="1"/>
  <c r="CY119" i="1"/>
  <c r="K119" i="1"/>
  <c r="CX119" i="1"/>
  <c r="CV119" i="1"/>
  <c r="CU119" i="1"/>
  <c r="I119" i="1"/>
  <c r="BI119" i="1"/>
  <c r="BH119" i="1"/>
  <c r="DE116" i="1"/>
  <c r="CY116" i="1"/>
  <c r="K116" i="1"/>
  <c r="CX116" i="1"/>
  <c r="CV116" i="1"/>
  <c r="CU116" i="1"/>
  <c r="I116" i="1"/>
  <c r="BI116" i="1"/>
  <c r="BH116" i="1"/>
  <c r="DE115" i="1"/>
  <c r="CY115" i="1"/>
  <c r="K115" i="1"/>
  <c r="CX115" i="1"/>
  <c r="CV115" i="1"/>
  <c r="CU115" i="1"/>
  <c r="I115" i="1"/>
  <c r="BI115" i="1"/>
  <c r="BH115" i="1"/>
  <c r="DE114" i="1"/>
  <c r="CY114" i="1"/>
  <c r="K114" i="1"/>
  <c r="CX114" i="1"/>
  <c r="CV114" i="1"/>
  <c r="CU114" i="1"/>
  <c r="I114" i="1"/>
  <c r="BI114" i="1"/>
  <c r="BH114" i="1"/>
  <c r="DE113" i="1"/>
  <c r="CY113" i="1"/>
  <c r="K113" i="1"/>
  <c r="CX113" i="1"/>
  <c r="CV113" i="1"/>
  <c r="CU113" i="1"/>
  <c r="I113" i="1"/>
  <c r="BI113" i="1"/>
  <c r="BH113" i="1"/>
  <c r="DE112" i="1"/>
  <c r="CY112" i="1"/>
  <c r="K112" i="1"/>
  <c r="CX112" i="1"/>
  <c r="CV112" i="1"/>
  <c r="CU112" i="1"/>
  <c r="I112" i="1"/>
  <c r="BI112" i="1"/>
  <c r="BH112" i="1"/>
  <c r="DE117" i="1"/>
  <c r="CY117" i="1"/>
  <c r="K117" i="1"/>
  <c r="CX117" i="1"/>
  <c r="CV117" i="1"/>
  <c r="CU117" i="1"/>
  <c r="I117" i="1"/>
  <c r="BI117" i="1"/>
  <c r="BH117" i="1"/>
  <c r="DE118" i="1"/>
  <c r="CY118" i="1"/>
  <c r="K118" i="1"/>
  <c r="CX118" i="1"/>
  <c r="CV118" i="1"/>
  <c r="CU118" i="1"/>
  <c r="I118" i="1"/>
  <c r="BI118" i="1"/>
  <c r="BH118" i="1"/>
  <c r="DE122" i="1"/>
  <c r="CY122" i="1"/>
  <c r="K122" i="1"/>
  <c r="CX122" i="1"/>
  <c r="CV122" i="1"/>
  <c r="CU122" i="1"/>
  <c r="I122" i="1"/>
  <c r="BI122" i="1"/>
  <c r="BH122" i="1"/>
  <c r="DE126" i="1"/>
  <c r="CY126" i="1"/>
  <c r="K126" i="1"/>
  <c r="CX126" i="1"/>
  <c r="CV126" i="1"/>
  <c r="CU126" i="1"/>
  <c r="I126" i="1"/>
  <c r="BI126" i="1"/>
  <c r="BH126" i="1"/>
  <c r="DE125" i="1"/>
  <c r="CY125" i="1"/>
  <c r="K125" i="1"/>
  <c r="CX125" i="1"/>
  <c r="CV125" i="1"/>
  <c r="CU125" i="1"/>
  <c r="I125" i="1"/>
  <c r="BI125" i="1"/>
  <c r="BH125" i="1"/>
  <c r="DE124" i="1"/>
  <c r="CY124" i="1"/>
  <c r="K124" i="1"/>
  <c r="CX124" i="1"/>
  <c r="CV124" i="1"/>
  <c r="CU124" i="1"/>
  <c r="I124" i="1"/>
  <c r="BI124" i="1"/>
  <c r="BH124" i="1"/>
  <c r="DE127" i="1"/>
  <c r="CY127" i="1"/>
  <c r="K127" i="1"/>
  <c r="CX127" i="1"/>
  <c r="CV127" i="1"/>
  <c r="CU127" i="1"/>
  <c r="I127" i="1"/>
  <c r="BI127" i="1"/>
  <c r="BH127" i="1"/>
  <c r="DE130" i="1"/>
  <c r="CY130" i="1"/>
  <c r="K130" i="1"/>
  <c r="CX130" i="1"/>
  <c r="CV130" i="1"/>
  <c r="CU130" i="1"/>
  <c r="I130" i="1"/>
  <c r="BI130" i="1"/>
  <c r="BH130" i="1"/>
  <c r="DE131" i="1"/>
  <c r="CY131" i="1"/>
  <c r="K131" i="1"/>
  <c r="CX131" i="1"/>
  <c r="CV131" i="1"/>
  <c r="CU131" i="1"/>
  <c r="I131" i="1"/>
  <c r="BI131" i="1"/>
  <c r="BH131" i="1"/>
  <c r="DE132" i="1"/>
  <c r="CY132" i="1"/>
  <c r="K132" i="1"/>
  <c r="CX132" i="1"/>
  <c r="CV132" i="1"/>
  <c r="CU132" i="1"/>
  <c r="I132" i="1"/>
  <c r="BI132" i="1"/>
  <c r="BH132" i="1"/>
  <c r="DE133" i="1"/>
  <c r="CY133" i="1"/>
  <c r="K133" i="1"/>
  <c r="CX133" i="1"/>
  <c r="CV133" i="1"/>
  <c r="CU133" i="1"/>
  <c r="I133" i="1"/>
  <c r="BI133" i="1"/>
  <c r="BH133" i="1"/>
  <c r="DE137" i="1"/>
  <c r="CY137" i="1"/>
  <c r="K137" i="1"/>
  <c r="CX137" i="1"/>
  <c r="CV137" i="1"/>
  <c r="CU137" i="1"/>
  <c r="I137" i="1"/>
  <c r="BI137" i="1"/>
  <c r="BH137" i="1"/>
  <c r="DE139" i="1"/>
  <c r="CY139" i="1"/>
  <c r="K139" i="1"/>
  <c r="CX139" i="1"/>
  <c r="CV139" i="1"/>
  <c r="CU139" i="1"/>
  <c r="I139" i="1"/>
  <c r="BI139" i="1"/>
  <c r="BH139" i="1"/>
  <c r="DE140" i="1"/>
  <c r="CY140" i="1"/>
  <c r="K140" i="1"/>
  <c r="CX140" i="1"/>
  <c r="CV140" i="1"/>
  <c r="CU140" i="1"/>
  <c r="I140" i="1"/>
  <c r="BI140" i="1"/>
  <c r="BH140" i="1"/>
  <c r="DE141" i="1"/>
  <c r="CY141" i="1"/>
  <c r="K141" i="1"/>
  <c r="CX141" i="1"/>
  <c r="CV141" i="1"/>
  <c r="CU141" i="1"/>
  <c r="I141" i="1"/>
  <c r="BI141" i="1"/>
  <c r="BH141" i="1"/>
  <c r="DE143" i="1"/>
  <c r="CY143" i="1"/>
  <c r="K143" i="1"/>
  <c r="CX143" i="1"/>
  <c r="CV143" i="1"/>
  <c r="CU143" i="1"/>
  <c r="I143" i="1"/>
  <c r="BI143" i="1"/>
  <c r="BH143" i="1"/>
  <c r="DE145" i="1"/>
  <c r="CY145" i="1"/>
  <c r="K145" i="1"/>
  <c r="CX145" i="1"/>
  <c r="CV145" i="1"/>
  <c r="CU145" i="1"/>
  <c r="I145" i="1"/>
  <c r="BI145" i="1"/>
  <c r="BH145" i="1"/>
  <c r="DE147" i="1"/>
  <c r="CY147" i="1"/>
  <c r="K147" i="1"/>
  <c r="CX147" i="1"/>
  <c r="CV147" i="1"/>
  <c r="CU147" i="1"/>
  <c r="I147" i="1"/>
  <c r="BI147" i="1"/>
  <c r="BH147" i="1"/>
  <c r="DE148" i="1"/>
  <c r="CY148" i="1"/>
  <c r="K148" i="1"/>
  <c r="CX148" i="1"/>
  <c r="CV148" i="1"/>
  <c r="CU148" i="1"/>
  <c r="I148" i="1"/>
  <c r="BI148" i="1"/>
  <c r="BH148" i="1"/>
  <c r="DE149" i="1"/>
  <c r="CY149" i="1"/>
  <c r="K149" i="1"/>
  <c r="CX149" i="1"/>
  <c r="CV149" i="1"/>
  <c r="CU149" i="1"/>
  <c r="I149" i="1"/>
  <c r="BI149" i="1"/>
  <c r="BH149" i="1"/>
  <c r="DE151" i="1"/>
  <c r="CY151" i="1"/>
  <c r="K151" i="1"/>
  <c r="CX151" i="1"/>
  <c r="CV151" i="1"/>
  <c r="CU151" i="1"/>
  <c r="I151" i="1"/>
  <c r="BI151" i="1"/>
  <c r="BH151" i="1"/>
  <c r="DE152" i="1"/>
  <c r="CY152" i="1"/>
  <c r="K152" i="1"/>
  <c r="CX152" i="1"/>
  <c r="CV152" i="1"/>
  <c r="CU152" i="1"/>
  <c r="I152" i="1"/>
  <c r="BI152" i="1"/>
  <c r="BH152" i="1"/>
  <c r="DE155" i="1"/>
  <c r="CY155" i="1"/>
  <c r="K155" i="1"/>
  <c r="CX155" i="1"/>
  <c r="CV155" i="1"/>
  <c r="CU155" i="1"/>
  <c r="I155" i="1"/>
  <c r="BI155" i="1"/>
  <c r="BH155" i="1"/>
  <c r="DE156" i="1"/>
  <c r="CY156" i="1"/>
  <c r="K156" i="1"/>
  <c r="CX156" i="1"/>
  <c r="CV156" i="1"/>
  <c r="CU156" i="1"/>
  <c r="I156" i="1"/>
  <c r="BI156" i="1"/>
  <c r="BH156" i="1"/>
  <c r="DE157" i="1"/>
  <c r="CY157" i="1"/>
  <c r="K157" i="1"/>
  <c r="CX157" i="1"/>
  <c r="CV157" i="1"/>
  <c r="CU157" i="1"/>
  <c r="I157" i="1"/>
  <c r="BI157" i="1"/>
  <c r="BH157" i="1"/>
  <c r="DE159" i="1"/>
  <c r="CY159" i="1"/>
  <c r="K159" i="1"/>
  <c r="CX159" i="1"/>
  <c r="CV159" i="1"/>
  <c r="CU159" i="1"/>
  <c r="I159" i="1"/>
  <c r="BI159" i="1"/>
  <c r="BH159" i="1"/>
  <c r="DE168" i="1"/>
  <c r="CY168" i="1"/>
  <c r="K168" i="1"/>
  <c r="CX168" i="1"/>
  <c r="CV168" i="1"/>
  <c r="CU168" i="1"/>
  <c r="I168" i="1"/>
  <c r="BI168" i="1"/>
  <c r="BH168" i="1"/>
  <c r="DE166" i="1"/>
  <c r="CY166" i="1"/>
  <c r="K166" i="1"/>
  <c r="CX166" i="1"/>
  <c r="CV166" i="1"/>
  <c r="CU166" i="1"/>
  <c r="I166" i="1"/>
  <c r="BI166" i="1"/>
  <c r="BH166" i="1"/>
  <c r="DE165" i="1"/>
  <c r="CY165" i="1"/>
  <c r="K165" i="1"/>
  <c r="CX165" i="1"/>
  <c r="CV165" i="1"/>
  <c r="CU165" i="1"/>
  <c r="I165" i="1"/>
  <c r="BI165" i="1"/>
  <c r="BH165" i="1"/>
  <c r="DE164" i="1"/>
  <c r="CY164" i="1"/>
  <c r="K164" i="1"/>
  <c r="CX164" i="1"/>
  <c r="CV164" i="1"/>
  <c r="CU164" i="1"/>
  <c r="I164" i="1"/>
  <c r="BI164" i="1"/>
  <c r="BH164" i="1"/>
  <c r="DE160" i="1"/>
  <c r="CY160" i="1"/>
  <c r="K160" i="1"/>
  <c r="CX160" i="1"/>
  <c r="CV160" i="1"/>
  <c r="CU160" i="1"/>
  <c r="I160" i="1"/>
  <c r="BI160" i="1"/>
  <c r="BH160" i="1"/>
  <c r="DE171" i="1"/>
  <c r="CY171" i="1"/>
  <c r="K171" i="1"/>
  <c r="CX171" i="1"/>
  <c r="CV171" i="1"/>
  <c r="CU171" i="1"/>
  <c r="I171" i="1"/>
  <c r="BI171" i="1"/>
  <c r="BH171" i="1"/>
  <c r="DE173" i="1"/>
  <c r="CY173" i="1"/>
  <c r="K173" i="1"/>
  <c r="CX173" i="1"/>
  <c r="CV173" i="1"/>
  <c r="CU173" i="1"/>
  <c r="I173" i="1"/>
  <c r="BI173" i="1"/>
  <c r="BH173" i="1"/>
  <c r="DE175" i="1"/>
  <c r="CY175" i="1"/>
  <c r="K175" i="1"/>
  <c r="CX175" i="1"/>
  <c r="CV175" i="1"/>
  <c r="CU175" i="1"/>
  <c r="I175" i="1"/>
  <c r="BI175" i="1"/>
  <c r="BH175" i="1"/>
  <c r="DE179" i="1"/>
  <c r="CY179" i="1"/>
  <c r="K179" i="1"/>
  <c r="CX179" i="1"/>
  <c r="CV179" i="1"/>
  <c r="CU179" i="1"/>
  <c r="I179" i="1"/>
  <c r="BI179" i="1"/>
  <c r="BH179" i="1"/>
  <c r="DE176" i="1"/>
  <c r="CY176" i="1"/>
  <c r="K176" i="1"/>
  <c r="CX176" i="1"/>
  <c r="CV176" i="1"/>
  <c r="CU176" i="1"/>
  <c r="I176" i="1"/>
  <c r="BI176" i="1"/>
  <c r="BH176" i="1"/>
  <c r="DE111" i="1"/>
  <c r="CY111" i="1"/>
  <c r="K111" i="1"/>
  <c r="CX111" i="1"/>
  <c r="CV111" i="1"/>
  <c r="CU111" i="1"/>
  <c r="I111" i="1"/>
  <c r="BI111" i="1"/>
  <c r="BH111" i="1"/>
  <c r="DE735" i="1"/>
  <c r="CY735" i="1"/>
  <c r="K735" i="1"/>
  <c r="CX735" i="1"/>
  <c r="CV735" i="1"/>
  <c r="CU735" i="1"/>
  <c r="I735" i="1"/>
  <c r="BI735" i="1"/>
  <c r="BH735" i="1"/>
  <c r="DE740" i="1"/>
  <c r="CY740" i="1"/>
  <c r="K740" i="1"/>
  <c r="CX740" i="1"/>
  <c r="CV740" i="1"/>
  <c r="CU740" i="1"/>
  <c r="I740" i="1"/>
  <c r="BI740" i="1"/>
  <c r="BH740" i="1"/>
  <c r="DE738" i="1"/>
  <c r="CY738" i="1"/>
  <c r="K738" i="1"/>
  <c r="CX738" i="1"/>
  <c r="CV738" i="1"/>
  <c r="CU738" i="1"/>
  <c r="I738" i="1"/>
  <c r="BI738" i="1"/>
  <c r="BH738" i="1"/>
  <c r="DE737" i="1"/>
  <c r="CY737" i="1"/>
  <c r="K737" i="1"/>
  <c r="CX737" i="1"/>
  <c r="CV737" i="1"/>
  <c r="CU737" i="1"/>
  <c r="I737" i="1"/>
  <c r="BI737" i="1"/>
  <c r="BH737" i="1"/>
  <c r="DE202" i="1"/>
  <c r="CY202" i="1"/>
  <c r="K202" i="1"/>
  <c r="CX202" i="1"/>
  <c r="CV202" i="1"/>
  <c r="CU202" i="1"/>
  <c r="I202" i="1"/>
  <c r="BI202" i="1"/>
  <c r="BH202" i="1"/>
  <c r="DE203" i="1"/>
  <c r="CY203" i="1"/>
  <c r="K203" i="1"/>
  <c r="CX203" i="1"/>
  <c r="CV203" i="1"/>
  <c r="CU203" i="1"/>
  <c r="I203" i="1"/>
  <c r="BI203" i="1"/>
  <c r="BH203" i="1"/>
  <c r="DE206" i="1"/>
  <c r="CY206" i="1"/>
  <c r="K206" i="1"/>
  <c r="CX206" i="1"/>
  <c r="CV206" i="1"/>
  <c r="CU206" i="1"/>
  <c r="I206" i="1"/>
  <c r="BI206" i="1"/>
  <c r="BH206" i="1"/>
  <c r="DE220" i="1"/>
  <c r="CY220" i="1"/>
  <c r="K220" i="1"/>
  <c r="CX220" i="1"/>
  <c r="CV220" i="1"/>
  <c r="CU220" i="1"/>
  <c r="I220" i="1"/>
  <c r="BI220" i="1"/>
  <c r="BH220" i="1"/>
  <c r="DE238" i="1"/>
  <c r="CY238" i="1"/>
  <c r="K238" i="1"/>
  <c r="CX238" i="1"/>
  <c r="CV238" i="1"/>
  <c r="CU238" i="1"/>
  <c r="I238" i="1"/>
  <c r="BI238" i="1"/>
  <c r="BH238" i="1"/>
  <c r="DE231" i="1"/>
  <c r="CY231" i="1"/>
  <c r="K231" i="1"/>
  <c r="CX231" i="1"/>
  <c r="CV231" i="1"/>
  <c r="CU231" i="1"/>
  <c r="I231" i="1"/>
  <c r="BI231" i="1"/>
  <c r="BH231" i="1"/>
  <c r="DE230" i="1"/>
  <c r="CY230" i="1"/>
  <c r="K230" i="1"/>
  <c r="CX230" i="1"/>
  <c r="CV230" i="1"/>
  <c r="CU230" i="1"/>
  <c r="I230" i="1"/>
  <c r="BI230" i="1"/>
  <c r="BH230" i="1"/>
  <c r="DE235" i="1"/>
  <c r="CY235" i="1"/>
  <c r="K235" i="1"/>
  <c r="CX235" i="1"/>
  <c r="CV235" i="1"/>
  <c r="CU235" i="1"/>
  <c r="I235" i="1"/>
  <c r="BI235" i="1"/>
  <c r="BH235" i="1"/>
  <c r="DE234" i="1"/>
  <c r="CY234" i="1"/>
  <c r="K234" i="1"/>
  <c r="CX234" i="1"/>
  <c r="CV234" i="1"/>
  <c r="CU234" i="1"/>
  <c r="I234" i="1"/>
  <c r="BI234" i="1"/>
  <c r="BH234" i="1"/>
  <c r="DE233" i="1"/>
  <c r="CY233" i="1"/>
  <c r="K233" i="1"/>
  <c r="CX233" i="1"/>
  <c r="CV233" i="1"/>
  <c r="CU233" i="1"/>
  <c r="I233" i="1"/>
  <c r="BI233" i="1"/>
  <c r="BH233" i="1"/>
  <c r="DE239" i="1"/>
  <c r="CY239" i="1"/>
  <c r="K239" i="1"/>
  <c r="CX239" i="1"/>
  <c r="CV239" i="1"/>
  <c r="CU239" i="1"/>
  <c r="I239" i="1"/>
  <c r="BI239" i="1"/>
  <c r="BH239" i="1"/>
  <c r="DE241" i="1"/>
  <c r="CY241" i="1"/>
  <c r="K241" i="1"/>
  <c r="CX241" i="1"/>
  <c r="CV241" i="1"/>
  <c r="CU241" i="1"/>
  <c r="I241" i="1"/>
  <c r="BI241" i="1"/>
  <c r="BH241" i="1"/>
  <c r="DE240" i="1"/>
  <c r="CY240" i="1"/>
  <c r="K240" i="1"/>
  <c r="CX240" i="1"/>
  <c r="CV240" i="1"/>
  <c r="CU240" i="1"/>
  <c r="I240" i="1"/>
  <c r="BI240" i="1"/>
  <c r="BH240" i="1"/>
  <c r="DE242" i="1"/>
  <c r="CY242" i="1"/>
  <c r="K242" i="1"/>
  <c r="CX242" i="1"/>
  <c r="CV242" i="1"/>
  <c r="CU242" i="1"/>
  <c r="I242" i="1"/>
  <c r="BI242" i="1"/>
  <c r="BH242" i="1"/>
  <c r="DE244" i="1"/>
  <c r="CY244" i="1"/>
  <c r="K244" i="1"/>
  <c r="CX244" i="1"/>
  <c r="CV244" i="1"/>
  <c r="CU244" i="1"/>
  <c r="I244" i="1"/>
  <c r="BI244" i="1"/>
  <c r="BH244" i="1"/>
  <c r="DE247" i="1"/>
  <c r="CY247" i="1"/>
  <c r="K247" i="1"/>
  <c r="CX247" i="1"/>
  <c r="CV247" i="1"/>
  <c r="CU247" i="1"/>
  <c r="I247" i="1"/>
  <c r="BI247" i="1"/>
  <c r="BH247" i="1"/>
  <c r="DE246" i="1"/>
  <c r="CY246" i="1"/>
  <c r="K246" i="1"/>
  <c r="CX246" i="1"/>
  <c r="CV246" i="1"/>
  <c r="CU246" i="1"/>
  <c r="I246" i="1"/>
  <c r="BI246" i="1"/>
  <c r="BH246" i="1"/>
  <c r="DE252" i="1"/>
  <c r="CY252" i="1"/>
  <c r="K252" i="1"/>
  <c r="CX252" i="1"/>
  <c r="CV252" i="1"/>
  <c r="CU252" i="1"/>
  <c r="I252" i="1"/>
  <c r="BI252" i="1"/>
  <c r="BH252" i="1"/>
  <c r="DE251" i="1"/>
  <c r="CY251" i="1"/>
  <c r="K251" i="1"/>
  <c r="CX251" i="1"/>
  <c r="CV251" i="1"/>
  <c r="CU251" i="1"/>
  <c r="I251" i="1"/>
  <c r="BI251" i="1"/>
  <c r="BH251" i="1"/>
  <c r="DE250" i="1"/>
  <c r="CY250" i="1"/>
  <c r="K250" i="1"/>
  <c r="CX250" i="1"/>
  <c r="CV250" i="1"/>
  <c r="CU250" i="1"/>
  <c r="I250" i="1"/>
  <c r="BI250" i="1"/>
  <c r="BH250" i="1"/>
  <c r="DE253" i="1"/>
  <c r="CY253" i="1"/>
  <c r="K253" i="1"/>
  <c r="CX253" i="1"/>
  <c r="CV253" i="1"/>
  <c r="CU253" i="1"/>
  <c r="I253" i="1"/>
  <c r="BI253" i="1"/>
  <c r="BH253" i="1"/>
  <c r="DE729" i="1"/>
  <c r="CY729" i="1"/>
  <c r="K729" i="1"/>
  <c r="CX729" i="1"/>
  <c r="CV729" i="1"/>
  <c r="CU729" i="1"/>
  <c r="I729" i="1"/>
  <c r="BI729" i="1"/>
  <c r="BH729" i="1"/>
  <c r="DE728" i="1"/>
  <c r="CY728" i="1"/>
  <c r="K728" i="1"/>
  <c r="CX728" i="1"/>
  <c r="CV728" i="1"/>
  <c r="CU728" i="1"/>
  <c r="I728" i="1"/>
  <c r="BI728" i="1"/>
  <c r="BH728" i="1"/>
  <c r="DE324" i="1"/>
  <c r="CY324" i="1"/>
  <c r="K324" i="1"/>
  <c r="CX324" i="1"/>
  <c r="CV324" i="1"/>
  <c r="CU324" i="1"/>
  <c r="I324" i="1"/>
  <c r="BI324" i="1"/>
  <c r="BH324" i="1"/>
  <c r="DE327" i="1"/>
  <c r="CY327" i="1"/>
  <c r="K327" i="1"/>
  <c r="CX327" i="1"/>
  <c r="CV327" i="1"/>
  <c r="CU327" i="1"/>
  <c r="I327" i="1"/>
  <c r="BI327" i="1"/>
  <c r="BH327" i="1"/>
  <c r="DE325" i="1"/>
  <c r="CY325" i="1"/>
  <c r="K325" i="1"/>
  <c r="CX325" i="1"/>
  <c r="CV325" i="1"/>
  <c r="CU325" i="1"/>
  <c r="I325" i="1"/>
  <c r="BI325" i="1"/>
  <c r="BH325" i="1"/>
  <c r="DE326" i="1"/>
  <c r="CY326" i="1"/>
  <c r="K326" i="1"/>
  <c r="CX326" i="1"/>
  <c r="CV326" i="1"/>
  <c r="CU326" i="1"/>
  <c r="I326" i="1"/>
  <c r="BI326" i="1"/>
  <c r="BH326" i="1"/>
  <c r="DE328" i="1"/>
  <c r="CY328" i="1"/>
  <c r="K328" i="1"/>
  <c r="CX328" i="1"/>
  <c r="CV328" i="1"/>
  <c r="CU328" i="1"/>
  <c r="I328" i="1"/>
  <c r="BI328" i="1"/>
  <c r="BH328" i="1"/>
  <c r="DE317" i="1"/>
  <c r="CY317" i="1"/>
  <c r="K317" i="1"/>
  <c r="CX317" i="1"/>
  <c r="CV317" i="1"/>
  <c r="CU317" i="1"/>
  <c r="I317" i="1"/>
  <c r="BI317" i="1"/>
  <c r="BH317" i="1"/>
  <c r="DE318" i="1"/>
  <c r="CY318" i="1"/>
  <c r="K318" i="1"/>
  <c r="CX318" i="1"/>
  <c r="CV318" i="1"/>
  <c r="CU318" i="1"/>
  <c r="I318" i="1"/>
  <c r="BI318" i="1"/>
  <c r="BH318" i="1"/>
  <c r="DE322" i="1"/>
  <c r="CY322" i="1"/>
  <c r="K322" i="1"/>
  <c r="CX322" i="1"/>
  <c r="CV322" i="1"/>
  <c r="CU322" i="1"/>
  <c r="I322" i="1"/>
  <c r="BI322" i="1"/>
  <c r="BH322" i="1"/>
  <c r="DE319" i="1"/>
  <c r="CY319" i="1"/>
  <c r="K319" i="1"/>
  <c r="CX319" i="1"/>
  <c r="CV319" i="1"/>
  <c r="CU319" i="1"/>
  <c r="I319" i="1"/>
  <c r="BI319" i="1"/>
  <c r="BH319" i="1"/>
  <c r="DE320" i="1"/>
  <c r="CY320" i="1"/>
  <c r="K320" i="1"/>
  <c r="CX320" i="1"/>
  <c r="CV320" i="1"/>
  <c r="CU320" i="1"/>
  <c r="I320" i="1"/>
  <c r="BI320" i="1"/>
  <c r="BH320" i="1"/>
  <c r="DE259" i="1"/>
  <c r="CY259" i="1"/>
  <c r="K259" i="1"/>
  <c r="CX259" i="1"/>
  <c r="CV259" i="1"/>
  <c r="CU259" i="1"/>
  <c r="I259" i="1"/>
  <c r="BI259" i="1"/>
  <c r="BH259" i="1"/>
  <c r="DE256" i="1"/>
  <c r="CY256" i="1"/>
  <c r="K256" i="1"/>
  <c r="CX256" i="1"/>
  <c r="CV256" i="1"/>
  <c r="CU256" i="1"/>
  <c r="I256" i="1"/>
  <c r="BI256" i="1"/>
  <c r="BH256" i="1"/>
  <c r="DE255" i="1"/>
  <c r="CY255" i="1"/>
  <c r="K255" i="1"/>
  <c r="CX255" i="1"/>
  <c r="CV255" i="1"/>
  <c r="CU255" i="1"/>
  <c r="I255" i="1"/>
  <c r="BI255" i="1"/>
  <c r="BH255" i="1"/>
  <c r="DE275" i="1"/>
  <c r="CY275" i="1"/>
  <c r="K275" i="1"/>
  <c r="CX275" i="1"/>
  <c r="CV275" i="1"/>
  <c r="CU275" i="1"/>
  <c r="I275" i="1"/>
  <c r="BI275" i="1"/>
  <c r="BH275" i="1"/>
  <c r="DE271" i="1"/>
  <c r="CY271" i="1"/>
  <c r="K271" i="1"/>
  <c r="CX271" i="1"/>
  <c r="CV271" i="1"/>
  <c r="CU271" i="1"/>
  <c r="I271" i="1"/>
  <c r="BI271" i="1"/>
  <c r="BH271" i="1"/>
  <c r="DE257" i="1"/>
  <c r="CY257" i="1"/>
  <c r="K257" i="1"/>
  <c r="CX257" i="1"/>
  <c r="CV257" i="1"/>
  <c r="CU257" i="1"/>
  <c r="I257" i="1"/>
  <c r="BI257" i="1"/>
  <c r="BH257" i="1"/>
  <c r="DE280" i="1"/>
  <c r="CY280" i="1"/>
  <c r="K280" i="1"/>
  <c r="CX280" i="1"/>
  <c r="CV280" i="1"/>
  <c r="CU280" i="1"/>
  <c r="I280" i="1"/>
  <c r="BI280" i="1"/>
  <c r="BH280" i="1"/>
  <c r="DE279" i="1"/>
  <c r="CY279" i="1"/>
  <c r="K279" i="1"/>
  <c r="CX279" i="1"/>
  <c r="CV279" i="1"/>
  <c r="CU279" i="1"/>
  <c r="I279" i="1"/>
  <c r="BI279" i="1"/>
  <c r="BH279" i="1"/>
  <c r="DE278" i="1"/>
  <c r="CY278" i="1"/>
  <c r="K278" i="1"/>
  <c r="CX278" i="1"/>
  <c r="CV278" i="1"/>
  <c r="CU278" i="1"/>
  <c r="I278" i="1"/>
  <c r="BI278" i="1"/>
  <c r="BH278" i="1"/>
  <c r="DE277" i="1"/>
  <c r="CY277" i="1"/>
  <c r="K277" i="1"/>
  <c r="CX277" i="1"/>
  <c r="CV277" i="1"/>
  <c r="CU277" i="1"/>
  <c r="I277" i="1"/>
  <c r="BI277" i="1"/>
  <c r="BH277" i="1"/>
  <c r="DE276" i="1"/>
  <c r="CY276" i="1"/>
  <c r="K276" i="1"/>
  <c r="CX276" i="1"/>
  <c r="CV276" i="1"/>
  <c r="CU276" i="1"/>
  <c r="I276" i="1"/>
  <c r="BI276" i="1"/>
  <c r="BH276" i="1"/>
  <c r="DE274" i="1"/>
  <c r="CY274" i="1"/>
  <c r="K274" i="1"/>
  <c r="CX274" i="1"/>
  <c r="CV274" i="1"/>
  <c r="CU274" i="1"/>
  <c r="I274" i="1"/>
  <c r="BI274" i="1"/>
  <c r="BH274" i="1"/>
  <c r="DE273" i="1"/>
  <c r="CY273" i="1"/>
  <c r="K273" i="1"/>
  <c r="CX273" i="1"/>
  <c r="CV273" i="1"/>
  <c r="CU273" i="1"/>
  <c r="I273" i="1"/>
  <c r="BI273" i="1"/>
  <c r="BH273" i="1"/>
  <c r="DE270" i="1"/>
  <c r="CY270" i="1"/>
  <c r="K270" i="1"/>
  <c r="CX270" i="1"/>
  <c r="CV270" i="1"/>
  <c r="CU270" i="1"/>
  <c r="I270" i="1"/>
  <c r="BI270" i="1"/>
  <c r="BH270" i="1"/>
  <c r="DE269" i="1"/>
  <c r="CY269" i="1"/>
  <c r="K269" i="1"/>
  <c r="CX269" i="1"/>
  <c r="CV269" i="1"/>
  <c r="CU269" i="1"/>
  <c r="I269" i="1"/>
  <c r="BI269" i="1"/>
  <c r="BH269" i="1"/>
  <c r="DE268" i="1"/>
  <c r="CY268" i="1"/>
  <c r="K268" i="1"/>
  <c r="CX268" i="1"/>
  <c r="CV268" i="1"/>
  <c r="CU268" i="1"/>
  <c r="I268" i="1"/>
  <c r="BI268" i="1"/>
  <c r="BH268" i="1"/>
  <c r="DE265" i="1"/>
  <c r="CY265" i="1"/>
  <c r="K265" i="1"/>
  <c r="CX265" i="1"/>
  <c r="CV265" i="1"/>
  <c r="CU265" i="1"/>
  <c r="I265" i="1"/>
  <c r="BI265" i="1"/>
  <c r="BH265" i="1"/>
  <c r="DE264" i="1"/>
  <c r="CY264" i="1"/>
  <c r="K264" i="1"/>
  <c r="CX264" i="1"/>
  <c r="CV264" i="1"/>
  <c r="CU264" i="1"/>
  <c r="I264" i="1"/>
  <c r="BI264" i="1"/>
  <c r="BH264" i="1"/>
  <c r="DE263" i="1"/>
  <c r="CY263" i="1"/>
  <c r="K263" i="1"/>
  <c r="CX263" i="1"/>
  <c r="CV263" i="1"/>
  <c r="CU263" i="1"/>
  <c r="I263" i="1"/>
  <c r="BI263" i="1"/>
  <c r="BH263" i="1"/>
  <c r="DE261" i="1"/>
  <c r="CY261" i="1"/>
  <c r="K261" i="1"/>
  <c r="CX261" i="1"/>
  <c r="CV261" i="1"/>
  <c r="CU261" i="1"/>
  <c r="I261" i="1"/>
  <c r="BI261" i="1"/>
  <c r="BH261" i="1"/>
  <c r="DE260" i="1"/>
  <c r="CY260" i="1"/>
  <c r="K260" i="1"/>
  <c r="CX260" i="1"/>
  <c r="CV260" i="1"/>
  <c r="CU260" i="1"/>
  <c r="I260" i="1"/>
  <c r="BI260" i="1"/>
  <c r="BH260" i="1"/>
  <c r="DE258" i="1"/>
  <c r="CY258" i="1"/>
  <c r="K258" i="1"/>
  <c r="CX258" i="1"/>
  <c r="CV258" i="1"/>
  <c r="CU258" i="1"/>
  <c r="I258" i="1"/>
  <c r="BI258" i="1"/>
  <c r="BH258" i="1"/>
  <c r="DE281" i="1"/>
  <c r="CY281" i="1"/>
  <c r="K281" i="1"/>
  <c r="CX281" i="1"/>
  <c r="CV281" i="1"/>
  <c r="CU281" i="1"/>
  <c r="I281" i="1"/>
  <c r="BI281" i="1"/>
  <c r="BH281" i="1"/>
  <c r="DE283" i="1"/>
  <c r="CY283" i="1"/>
  <c r="K283" i="1"/>
  <c r="CX283" i="1"/>
  <c r="CV283" i="1"/>
  <c r="CU283" i="1"/>
  <c r="I283" i="1"/>
  <c r="BI283" i="1"/>
  <c r="BH283" i="1"/>
  <c r="DE282" i="1"/>
  <c r="CY282" i="1"/>
  <c r="K282" i="1"/>
  <c r="CX282" i="1"/>
  <c r="CV282" i="1"/>
  <c r="CU282" i="1"/>
  <c r="I282" i="1"/>
  <c r="BI282" i="1"/>
  <c r="BH282" i="1"/>
  <c r="DE299" i="1"/>
  <c r="CY299" i="1"/>
  <c r="K299" i="1"/>
  <c r="CX299" i="1"/>
  <c r="CV299" i="1"/>
  <c r="CU299" i="1"/>
  <c r="I299" i="1"/>
  <c r="BI299" i="1"/>
  <c r="BH299" i="1"/>
  <c r="DE303" i="1"/>
  <c r="CY303" i="1"/>
  <c r="K303" i="1"/>
  <c r="CX303" i="1"/>
  <c r="CV303" i="1"/>
  <c r="CU303" i="1"/>
  <c r="I303" i="1"/>
  <c r="BI303" i="1"/>
  <c r="BH303" i="1"/>
  <c r="DE287" i="1"/>
  <c r="CY287" i="1"/>
  <c r="K287" i="1"/>
  <c r="CX287" i="1"/>
  <c r="CV287" i="1"/>
  <c r="CU287" i="1"/>
  <c r="I287" i="1"/>
  <c r="BI287" i="1"/>
  <c r="BH287" i="1"/>
  <c r="DE284" i="1"/>
  <c r="CY284" i="1"/>
  <c r="K284" i="1"/>
  <c r="CX284" i="1"/>
  <c r="CV284" i="1"/>
  <c r="CU284" i="1"/>
  <c r="I284" i="1"/>
  <c r="BI284" i="1"/>
  <c r="BH284" i="1"/>
  <c r="DE307" i="1"/>
  <c r="CY307" i="1"/>
  <c r="K307" i="1"/>
  <c r="CX307" i="1"/>
  <c r="CV307" i="1"/>
  <c r="CU307" i="1"/>
  <c r="I307" i="1"/>
  <c r="BI307" i="1"/>
  <c r="BH307" i="1"/>
  <c r="DE306" i="1"/>
  <c r="CY306" i="1"/>
  <c r="K306" i="1"/>
  <c r="CX306" i="1"/>
  <c r="CV306" i="1"/>
  <c r="CU306" i="1"/>
  <c r="I306" i="1"/>
  <c r="BI306" i="1"/>
  <c r="BH306" i="1"/>
  <c r="DE305" i="1"/>
  <c r="CY305" i="1"/>
  <c r="K305" i="1"/>
  <c r="CX305" i="1"/>
  <c r="CV305" i="1"/>
  <c r="CU305" i="1"/>
  <c r="I305" i="1"/>
  <c r="BI305" i="1"/>
  <c r="BH305" i="1"/>
  <c r="DE302" i="1"/>
  <c r="CY302" i="1"/>
  <c r="K302" i="1"/>
  <c r="CX302" i="1"/>
  <c r="CV302" i="1"/>
  <c r="CU302" i="1"/>
  <c r="I302" i="1"/>
  <c r="BI302" i="1"/>
  <c r="BH302" i="1"/>
  <c r="DE301" i="1"/>
  <c r="CY301" i="1"/>
  <c r="K301" i="1"/>
  <c r="CX301" i="1"/>
  <c r="CV301" i="1"/>
  <c r="CU301" i="1"/>
  <c r="I301" i="1"/>
  <c r="BI301" i="1"/>
  <c r="BH301" i="1"/>
  <c r="DE300" i="1"/>
  <c r="CY300" i="1"/>
  <c r="K300" i="1"/>
  <c r="CX300" i="1"/>
  <c r="CV300" i="1"/>
  <c r="CU300" i="1"/>
  <c r="I300" i="1"/>
  <c r="BI300" i="1"/>
  <c r="BH300" i="1"/>
  <c r="DE297" i="1"/>
  <c r="CY297" i="1"/>
  <c r="K297" i="1"/>
  <c r="CX297" i="1"/>
  <c r="CV297" i="1"/>
  <c r="CU297" i="1"/>
  <c r="I297" i="1"/>
  <c r="BI297" i="1"/>
  <c r="BH297" i="1"/>
  <c r="DE296" i="1"/>
  <c r="CY296" i="1"/>
  <c r="K296" i="1"/>
  <c r="CX296" i="1"/>
  <c r="CV296" i="1"/>
  <c r="CU296" i="1"/>
  <c r="I296" i="1"/>
  <c r="BI296" i="1"/>
  <c r="BH296" i="1"/>
  <c r="DE295" i="1"/>
  <c r="CY295" i="1"/>
  <c r="K295" i="1"/>
  <c r="CX295" i="1"/>
  <c r="CV295" i="1"/>
  <c r="CU295" i="1"/>
  <c r="I295" i="1"/>
  <c r="BI295" i="1"/>
  <c r="BH295" i="1"/>
  <c r="DE294" i="1"/>
  <c r="CY294" i="1"/>
  <c r="K294" i="1"/>
  <c r="CX294" i="1"/>
  <c r="CV294" i="1"/>
  <c r="CU294" i="1"/>
  <c r="I294" i="1"/>
  <c r="BI294" i="1"/>
  <c r="BH294" i="1"/>
  <c r="DE292" i="1"/>
  <c r="CY292" i="1"/>
  <c r="K292" i="1"/>
  <c r="CX292" i="1"/>
  <c r="CV292" i="1"/>
  <c r="CU292" i="1"/>
  <c r="I292" i="1"/>
  <c r="BI292" i="1"/>
  <c r="BH292" i="1"/>
  <c r="DE298" i="1"/>
  <c r="CY298" i="1"/>
  <c r="K298" i="1"/>
  <c r="CX298" i="1"/>
  <c r="CV298" i="1"/>
  <c r="CU298" i="1"/>
  <c r="I298" i="1"/>
  <c r="BI298" i="1"/>
  <c r="BH298" i="1"/>
  <c r="DE289" i="1"/>
  <c r="CY289" i="1"/>
  <c r="K289" i="1"/>
  <c r="CX289" i="1"/>
  <c r="CV289" i="1"/>
  <c r="CU289" i="1"/>
  <c r="I289" i="1"/>
  <c r="BI289" i="1"/>
  <c r="BH289" i="1"/>
  <c r="DE288" i="1"/>
  <c r="CY288" i="1"/>
  <c r="K288" i="1"/>
  <c r="CX288" i="1"/>
  <c r="CV288" i="1"/>
  <c r="CU288" i="1"/>
  <c r="I288" i="1"/>
  <c r="BI288" i="1"/>
  <c r="BH288" i="1"/>
  <c r="DE290" i="1"/>
  <c r="CY290" i="1"/>
  <c r="K290" i="1"/>
  <c r="CX290" i="1"/>
  <c r="CV290" i="1"/>
  <c r="CU290" i="1"/>
  <c r="I290" i="1"/>
  <c r="BI290" i="1"/>
  <c r="BH290" i="1"/>
  <c r="DE285" i="1"/>
  <c r="CY285" i="1"/>
  <c r="K285" i="1"/>
  <c r="CX285" i="1"/>
  <c r="CV285" i="1"/>
  <c r="CU285" i="1"/>
  <c r="I285" i="1"/>
  <c r="BI285" i="1"/>
  <c r="BH285" i="1"/>
  <c r="DE286" i="1"/>
  <c r="CY286" i="1"/>
  <c r="K286" i="1"/>
  <c r="CX286" i="1"/>
  <c r="CV286" i="1"/>
  <c r="CU286" i="1"/>
  <c r="I286" i="1"/>
  <c r="BI286" i="1"/>
  <c r="BH286" i="1"/>
  <c r="DE312" i="1"/>
  <c r="CY312" i="1"/>
  <c r="K312" i="1"/>
  <c r="CX312" i="1"/>
  <c r="CV312" i="1"/>
  <c r="CU312" i="1"/>
  <c r="I312" i="1"/>
  <c r="BI312" i="1"/>
  <c r="BH312" i="1"/>
  <c r="DE311" i="1"/>
  <c r="CY311" i="1"/>
  <c r="K311" i="1"/>
  <c r="CX311" i="1"/>
  <c r="CV311" i="1"/>
  <c r="CU311" i="1"/>
  <c r="I311" i="1"/>
  <c r="BI311" i="1"/>
  <c r="BH311" i="1"/>
  <c r="DE314" i="1"/>
  <c r="CY314" i="1"/>
  <c r="K314" i="1"/>
  <c r="CX314" i="1"/>
  <c r="CV314" i="1"/>
  <c r="CU314" i="1"/>
  <c r="I314" i="1"/>
  <c r="BI314" i="1"/>
  <c r="BH314" i="1"/>
  <c r="DE309" i="1"/>
  <c r="CY309" i="1"/>
  <c r="K309" i="1"/>
  <c r="CX309" i="1"/>
  <c r="CV309" i="1"/>
  <c r="CU309" i="1"/>
  <c r="I309" i="1"/>
  <c r="BI309" i="1"/>
  <c r="BH309" i="1"/>
  <c r="DE313" i="1"/>
  <c r="CY313" i="1"/>
  <c r="K313" i="1"/>
  <c r="CX313" i="1"/>
  <c r="CV313" i="1"/>
  <c r="CU313" i="1"/>
  <c r="I313" i="1"/>
  <c r="BI313" i="1"/>
  <c r="BH313" i="1"/>
  <c r="DE315" i="1"/>
  <c r="CY315" i="1"/>
  <c r="K315" i="1"/>
  <c r="CX315" i="1"/>
  <c r="CV315" i="1"/>
  <c r="CU315" i="1"/>
  <c r="I315" i="1"/>
  <c r="BI315" i="1"/>
  <c r="BH315" i="1"/>
  <c r="DE338" i="1"/>
  <c r="CY338" i="1"/>
  <c r="K338" i="1"/>
  <c r="CX338" i="1"/>
  <c r="CV338" i="1"/>
  <c r="CU338" i="1"/>
  <c r="I338" i="1"/>
  <c r="BI338" i="1"/>
  <c r="BH338" i="1"/>
  <c r="DE343" i="1"/>
  <c r="CY343" i="1"/>
  <c r="K343" i="1"/>
  <c r="CX343" i="1"/>
  <c r="CV343" i="1"/>
  <c r="CU343" i="1"/>
  <c r="I343" i="1"/>
  <c r="BI343" i="1"/>
  <c r="BH343" i="1"/>
  <c r="DE342" i="1"/>
  <c r="CY342" i="1"/>
  <c r="K342" i="1"/>
  <c r="CX342" i="1"/>
  <c r="CV342" i="1"/>
  <c r="CU342" i="1"/>
  <c r="I342" i="1"/>
  <c r="BI342" i="1"/>
  <c r="BH342" i="1"/>
  <c r="DE341" i="1"/>
  <c r="CY341" i="1"/>
  <c r="K341" i="1"/>
  <c r="CX341" i="1"/>
  <c r="CV341" i="1"/>
  <c r="CU341" i="1"/>
  <c r="I341" i="1"/>
  <c r="BI341" i="1"/>
  <c r="BH341" i="1"/>
  <c r="DE340" i="1"/>
  <c r="CY340" i="1"/>
  <c r="K340" i="1"/>
  <c r="CX340" i="1"/>
  <c r="CV340" i="1"/>
  <c r="CU340" i="1"/>
  <c r="I340" i="1"/>
  <c r="BI340" i="1"/>
  <c r="BH340" i="1"/>
  <c r="DE339" i="1"/>
  <c r="CY339" i="1"/>
  <c r="K339" i="1"/>
  <c r="CX339" i="1"/>
  <c r="CV339" i="1"/>
  <c r="CU339" i="1"/>
  <c r="I339" i="1"/>
  <c r="BI339" i="1"/>
  <c r="BH339" i="1"/>
  <c r="DE337" i="1"/>
  <c r="CY337" i="1"/>
  <c r="K337" i="1"/>
  <c r="CX337" i="1"/>
  <c r="CV337" i="1"/>
  <c r="CU337" i="1"/>
  <c r="I337" i="1"/>
  <c r="BI337" i="1"/>
  <c r="BH337" i="1"/>
  <c r="DE336" i="1"/>
  <c r="CY336" i="1"/>
  <c r="K336" i="1"/>
  <c r="CX336" i="1"/>
  <c r="CV336" i="1"/>
  <c r="CU336" i="1"/>
  <c r="I336" i="1"/>
  <c r="BI336" i="1"/>
  <c r="BH336" i="1"/>
  <c r="DE335" i="1"/>
  <c r="CY335" i="1"/>
  <c r="K335" i="1"/>
  <c r="CX335" i="1"/>
  <c r="CV335" i="1"/>
  <c r="CU335" i="1"/>
  <c r="I335" i="1"/>
  <c r="BI335" i="1"/>
  <c r="BH335" i="1"/>
  <c r="DE332" i="1"/>
  <c r="CY332" i="1"/>
  <c r="K332" i="1"/>
  <c r="CX332" i="1"/>
  <c r="CV332" i="1"/>
  <c r="CU332" i="1"/>
  <c r="I332" i="1"/>
  <c r="BI332" i="1"/>
  <c r="BH332" i="1"/>
  <c r="DE331" i="1"/>
  <c r="CY331" i="1"/>
  <c r="K331" i="1"/>
  <c r="CX331" i="1"/>
  <c r="CV331" i="1"/>
  <c r="CU331" i="1"/>
  <c r="I331" i="1"/>
  <c r="BI331" i="1"/>
  <c r="BH331" i="1"/>
  <c r="DE333" i="1"/>
  <c r="CY333" i="1"/>
  <c r="K333" i="1"/>
  <c r="CX333" i="1"/>
  <c r="CV333" i="1"/>
  <c r="CU333" i="1"/>
  <c r="I333" i="1"/>
  <c r="BI333" i="1"/>
  <c r="BH333" i="1"/>
  <c r="DE334" i="1"/>
  <c r="CY334" i="1"/>
  <c r="K334" i="1"/>
  <c r="CX334" i="1"/>
  <c r="CV334" i="1"/>
  <c r="CU334" i="1"/>
  <c r="I334" i="1"/>
  <c r="BI334" i="1"/>
  <c r="BH334" i="1"/>
  <c r="DE345" i="1"/>
  <c r="CY345" i="1"/>
  <c r="K345" i="1"/>
  <c r="CX345" i="1"/>
  <c r="CV345" i="1"/>
  <c r="CU345" i="1"/>
  <c r="I345" i="1"/>
  <c r="BI345" i="1"/>
  <c r="BH345" i="1"/>
  <c r="DE355" i="1"/>
  <c r="CY355" i="1"/>
  <c r="K355" i="1"/>
  <c r="CX355" i="1"/>
  <c r="CV355" i="1"/>
  <c r="CU355" i="1"/>
  <c r="I355" i="1"/>
  <c r="BI355" i="1"/>
  <c r="BH355" i="1"/>
  <c r="DE349" i="1"/>
  <c r="CY349" i="1"/>
  <c r="K349" i="1"/>
  <c r="CX349" i="1"/>
  <c r="CV349" i="1"/>
  <c r="CU349" i="1"/>
  <c r="I349" i="1"/>
  <c r="BI349" i="1"/>
  <c r="BH349" i="1"/>
  <c r="DE361" i="1"/>
  <c r="CY361" i="1"/>
  <c r="K361" i="1"/>
  <c r="CX361" i="1"/>
  <c r="CV361" i="1"/>
  <c r="CU361" i="1"/>
  <c r="I361" i="1"/>
  <c r="BI361" i="1"/>
  <c r="BH361" i="1"/>
  <c r="DE360" i="1"/>
  <c r="CY360" i="1"/>
  <c r="K360" i="1"/>
  <c r="CX360" i="1"/>
  <c r="CV360" i="1"/>
  <c r="CU360" i="1"/>
  <c r="I360" i="1"/>
  <c r="BI360" i="1"/>
  <c r="BH360" i="1"/>
  <c r="DE358" i="1"/>
  <c r="CY358" i="1"/>
  <c r="K358" i="1"/>
  <c r="CX358" i="1"/>
  <c r="CV358" i="1"/>
  <c r="CU358" i="1"/>
  <c r="I358" i="1"/>
  <c r="BI358" i="1"/>
  <c r="BH358" i="1"/>
  <c r="DE357" i="1"/>
  <c r="CY357" i="1"/>
  <c r="K357" i="1"/>
  <c r="CX357" i="1"/>
  <c r="CV357" i="1"/>
  <c r="CU357" i="1"/>
  <c r="I357" i="1"/>
  <c r="BI357" i="1"/>
  <c r="BH357" i="1"/>
  <c r="DE356" i="1"/>
  <c r="CY356" i="1"/>
  <c r="K356" i="1"/>
  <c r="CX356" i="1"/>
  <c r="CV356" i="1"/>
  <c r="CU356" i="1"/>
  <c r="I356" i="1"/>
  <c r="BI356" i="1"/>
  <c r="BH356" i="1"/>
  <c r="DE353" i="1"/>
  <c r="CY353" i="1"/>
  <c r="K353" i="1"/>
  <c r="CX353" i="1"/>
  <c r="CV353" i="1"/>
  <c r="CU353" i="1"/>
  <c r="I353" i="1"/>
  <c r="BI353" i="1"/>
  <c r="BH353" i="1"/>
  <c r="DE352" i="1"/>
  <c r="CY352" i="1"/>
  <c r="K352" i="1"/>
  <c r="CX352" i="1"/>
  <c r="CV352" i="1"/>
  <c r="CU352" i="1"/>
  <c r="I352" i="1"/>
  <c r="BI352" i="1"/>
  <c r="BH352" i="1"/>
  <c r="DE348" i="1"/>
  <c r="CY348" i="1"/>
  <c r="K348" i="1"/>
  <c r="CX348" i="1"/>
  <c r="CV348" i="1"/>
  <c r="CU348" i="1"/>
  <c r="I348" i="1"/>
  <c r="BI348" i="1"/>
  <c r="BH348" i="1"/>
  <c r="DE362" i="1"/>
  <c r="CY362" i="1"/>
  <c r="K362" i="1"/>
  <c r="CX362" i="1"/>
  <c r="CV362" i="1"/>
  <c r="CU362" i="1"/>
  <c r="I362" i="1"/>
  <c r="BI362" i="1"/>
  <c r="BH362" i="1"/>
  <c r="DE346" i="1"/>
  <c r="CY346" i="1"/>
  <c r="K346" i="1"/>
  <c r="CX346" i="1"/>
  <c r="CV346" i="1"/>
  <c r="CU346" i="1"/>
  <c r="I346" i="1"/>
  <c r="BI346" i="1"/>
  <c r="BH346" i="1"/>
  <c r="DE350" i="1"/>
  <c r="CY350" i="1"/>
  <c r="K350" i="1"/>
  <c r="CX350" i="1"/>
  <c r="CV350" i="1"/>
  <c r="CU350" i="1"/>
  <c r="I350" i="1"/>
  <c r="BI350" i="1"/>
  <c r="BH350" i="1"/>
  <c r="DE363" i="1"/>
  <c r="CY363" i="1"/>
  <c r="K363" i="1"/>
  <c r="CX363" i="1"/>
  <c r="CV363" i="1"/>
  <c r="CU363" i="1"/>
  <c r="I363" i="1"/>
  <c r="BI363" i="1"/>
  <c r="BH363" i="1"/>
  <c r="DE369" i="1"/>
  <c r="CY369" i="1"/>
  <c r="K369" i="1"/>
  <c r="CX369" i="1"/>
  <c r="CV369" i="1"/>
  <c r="CU369" i="1"/>
  <c r="I369" i="1"/>
  <c r="BI369" i="1"/>
  <c r="BH369" i="1"/>
  <c r="DE368" i="1"/>
  <c r="CY368" i="1"/>
  <c r="K368" i="1"/>
  <c r="CX368" i="1"/>
  <c r="CV368" i="1"/>
  <c r="CU368" i="1"/>
  <c r="I368" i="1"/>
  <c r="BI368" i="1"/>
  <c r="BH368" i="1"/>
  <c r="DE364" i="1"/>
  <c r="CY364" i="1"/>
  <c r="K364" i="1"/>
  <c r="CX364" i="1"/>
  <c r="CV364" i="1"/>
  <c r="CU364" i="1"/>
  <c r="I364" i="1"/>
  <c r="BI364" i="1"/>
  <c r="BH364" i="1"/>
  <c r="DE365" i="1"/>
  <c r="CY365" i="1"/>
  <c r="K365" i="1"/>
  <c r="CX365" i="1"/>
  <c r="CV365" i="1"/>
  <c r="CU365" i="1"/>
  <c r="I365" i="1"/>
  <c r="BI365" i="1"/>
  <c r="BH365" i="1"/>
  <c r="DE367" i="1"/>
  <c r="CY367" i="1"/>
  <c r="K367" i="1"/>
  <c r="CX367" i="1"/>
  <c r="CV367" i="1"/>
  <c r="CU367" i="1"/>
  <c r="I367" i="1"/>
  <c r="BI367" i="1"/>
  <c r="BH367" i="1"/>
  <c r="DE370" i="1"/>
  <c r="CY370" i="1"/>
  <c r="K370" i="1"/>
  <c r="CX370" i="1"/>
  <c r="CV370" i="1"/>
  <c r="CU370" i="1"/>
  <c r="I370" i="1"/>
  <c r="BI370" i="1"/>
  <c r="BH370" i="1"/>
  <c r="DE406" i="1"/>
  <c r="CY406" i="1"/>
  <c r="K406" i="1"/>
  <c r="CX406" i="1"/>
  <c r="CV406" i="1"/>
  <c r="CU406" i="1"/>
  <c r="I406" i="1"/>
  <c r="BI406" i="1"/>
  <c r="BH406" i="1"/>
  <c r="DE410" i="1"/>
  <c r="CY410" i="1"/>
  <c r="K410" i="1"/>
  <c r="CX410" i="1"/>
  <c r="CV410" i="1"/>
  <c r="CU410" i="1"/>
  <c r="I410" i="1"/>
  <c r="BI410" i="1"/>
  <c r="BH410" i="1"/>
  <c r="DE402" i="1"/>
  <c r="CY402" i="1"/>
  <c r="K402" i="1"/>
  <c r="CX402" i="1"/>
  <c r="CV402" i="1"/>
  <c r="CU402" i="1"/>
  <c r="I402" i="1"/>
  <c r="BI402" i="1"/>
  <c r="BH402" i="1"/>
  <c r="DE414" i="1"/>
  <c r="CY414" i="1"/>
  <c r="K414" i="1"/>
  <c r="CX414" i="1"/>
  <c r="CV414" i="1"/>
  <c r="CU414" i="1"/>
  <c r="I414" i="1"/>
  <c r="BI414" i="1"/>
  <c r="BH414" i="1"/>
  <c r="DE418" i="1"/>
  <c r="CY418" i="1"/>
  <c r="K418" i="1"/>
  <c r="CX418" i="1"/>
  <c r="CV418" i="1"/>
  <c r="CU418" i="1"/>
  <c r="I418" i="1"/>
  <c r="BI418" i="1"/>
  <c r="BH418" i="1"/>
  <c r="DE422" i="1"/>
  <c r="CY422" i="1"/>
  <c r="K422" i="1"/>
  <c r="CX422" i="1"/>
  <c r="CV422" i="1"/>
  <c r="CU422" i="1"/>
  <c r="I422" i="1"/>
  <c r="BI422" i="1"/>
  <c r="BH422" i="1"/>
  <c r="DE426" i="1"/>
  <c r="CY426" i="1"/>
  <c r="K426" i="1"/>
  <c r="CX426" i="1"/>
  <c r="CV426" i="1"/>
  <c r="CU426" i="1"/>
  <c r="I426" i="1"/>
  <c r="BI426" i="1"/>
  <c r="BH426" i="1"/>
  <c r="DE433" i="1"/>
  <c r="CY433" i="1"/>
  <c r="K433" i="1"/>
  <c r="CX433" i="1"/>
  <c r="CV433" i="1"/>
  <c r="CU433" i="1"/>
  <c r="I433" i="1"/>
  <c r="BI433" i="1"/>
  <c r="BH433" i="1"/>
  <c r="DE390" i="1"/>
  <c r="CY390" i="1"/>
  <c r="K390" i="1"/>
  <c r="CX390" i="1"/>
  <c r="CV390" i="1"/>
  <c r="CU390" i="1"/>
  <c r="I390" i="1"/>
  <c r="BI390" i="1"/>
  <c r="BH390" i="1"/>
  <c r="DE373" i="1"/>
  <c r="CY373" i="1"/>
  <c r="K373" i="1"/>
  <c r="CX373" i="1"/>
  <c r="CV373" i="1"/>
  <c r="CU373" i="1"/>
  <c r="I373" i="1"/>
  <c r="BI373" i="1"/>
  <c r="BH373" i="1"/>
  <c r="DE372" i="1"/>
  <c r="CY372" i="1"/>
  <c r="K372" i="1"/>
  <c r="CX372" i="1"/>
  <c r="CV372" i="1"/>
  <c r="CU372" i="1"/>
  <c r="I372" i="1"/>
  <c r="BI372" i="1"/>
  <c r="BH372" i="1"/>
  <c r="DE389" i="1"/>
  <c r="CY389" i="1"/>
  <c r="K389" i="1"/>
  <c r="CX389" i="1"/>
  <c r="CV389" i="1"/>
  <c r="CU389" i="1"/>
  <c r="I389" i="1"/>
  <c r="BI389" i="1"/>
  <c r="BH389" i="1"/>
  <c r="DE385" i="1"/>
  <c r="CY385" i="1"/>
  <c r="K385" i="1"/>
  <c r="CX385" i="1"/>
  <c r="CV385" i="1"/>
  <c r="CU385" i="1"/>
  <c r="I385" i="1"/>
  <c r="BI385" i="1"/>
  <c r="BH385" i="1"/>
  <c r="DE436" i="1"/>
  <c r="CY436" i="1"/>
  <c r="K436" i="1"/>
  <c r="CX436" i="1"/>
  <c r="CV436" i="1"/>
  <c r="CU436" i="1"/>
  <c r="I436" i="1"/>
  <c r="BI436" i="1"/>
  <c r="BH436" i="1"/>
  <c r="DE2247" i="1"/>
  <c r="CY2247" i="1"/>
  <c r="K2247" i="1"/>
  <c r="CX2247" i="1"/>
  <c r="CV2247" i="1"/>
  <c r="CU2247" i="1"/>
  <c r="I2247" i="1"/>
  <c r="BI2247" i="1"/>
  <c r="BH2247" i="1"/>
  <c r="DE434" i="1"/>
  <c r="CY434" i="1"/>
  <c r="K434" i="1"/>
  <c r="CX434" i="1"/>
  <c r="CV434" i="1"/>
  <c r="CU434" i="1"/>
  <c r="I434" i="1"/>
  <c r="BI434" i="1"/>
  <c r="BH434" i="1"/>
  <c r="DE432" i="1"/>
  <c r="CY432" i="1"/>
  <c r="K432" i="1"/>
  <c r="CX432" i="1"/>
  <c r="CV432" i="1"/>
  <c r="CU432" i="1"/>
  <c r="I432" i="1"/>
  <c r="BI432" i="1"/>
  <c r="BH432" i="1"/>
  <c r="DE431" i="1"/>
  <c r="CY431" i="1"/>
  <c r="K431" i="1"/>
  <c r="CX431" i="1"/>
  <c r="CV431" i="1"/>
  <c r="CU431" i="1"/>
  <c r="I431" i="1"/>
  <c r="BI431" i="1"/>
  <c r="BH431" i="1"/>
  <c r="DE2246" i="1"/>
  <c r="CY2246" i="1"/>
  <c r="K2246" i="1"/>
  <c r="CX2246" i="1"/>
  <c r="CV2246" i="1"/>
  <c r="CU2246" i="1"/>
  <c r="I2246" i="1"/>
  <c r="BI2246" i="1"/>
  <c r="BH2246" i="1"/>
  <c r="DE429" i="1"/>
  <c r="CY429" i="1"/>
  <c r="K429" i="1"/>
  <c r="CX429" i="1"/>
  <c r="CV429" i="1"/>
  <c r="CU429" i="1"/>
  <c r="I429" i="1"/>
  <c r="BI429" i="1"/>
  <c r="BH429" i="1"/>
  <c r="DE428" i="1"/>
  <c r="CY428" i="1"/>
  <c r="K428" i="1"/>
  <c r="CX428" i="1"/>
  <c r="CV428" i="1"/>
  <c r="CU428" i="1"/>
  <c r="I428" i="1"/>
  <c r="BI428" i="1"/>
  <c r="BH428" i="1"/>
  <c r="DE427" i="1"/>
  <c r="CY427" i="1"/>
  <c r="K427" i="1"/>
  <c r="CX427" i="1"/>
  <c r="CV427" i="1"/>
  <c r="CU427" i="1"/>
  <c r="I427" i="1"/>
  <c r="BI427" i="1"/>
  <c r="BH427" i="1"/>
  <c r="DE424" i="1"/>
  <c r="CY424" i="1"/>
  <c r="K424" i="1"/>
  <c r="CX424" i="1"/>
  <c r="CV424" i="1"/>
  <c r="CU424" i="1"/>
  <c r="I424" i="1"/>
  <c r="BI424" i="1"/>
  <c r="BH424" i="1"/>
  <c r="DE423" i="1"/>
  <c r="CY423" i="1"/>
  <c r="K423" i="1"/>
  <c r="CX423" i="1"/>
  <c r="CV423" i="1"/>
  <c r="CU423" i="1"/>
  <c r="I423" i="1"/>
  <c r="BI423" i="1"/>
  <c r="BH423" i="1"/>
  <c r="DE421" i="1"/>
  <c r="CY421" i="1"/>
  <c r="K421" i="1"/>
  <c r="CX421" i="1"/>
  <c r="CV421" i="1"/>
  <c r="CU421" i="1"/>
  <c r="I421" i="1"/>
  <c r="BI421" i="1"/>
  <c r="BH421" i="1"/>
  <c r="DE2322" i="1"/>
  <c r="CY2322" i="1"/>
  <c r="K2322" i="1"/>
  <c r="CX2322" i="1"/>
  <c r="CV2322" i="1"/>
  <c r="CU2322" i="1"/>
  <c r="I2322" i="1"/>
  <c r="BI2322" i="1"/>
  <c r="BH2322" i="1"/>
  <c r="DE419" i="1"/>
  <c r="CY419" i="1"/>
  <c r="K419" i="1"/>
  <c r="CX419" i="1"/>
  <c r="CV419" i="1"/>
  <c r="CU419" i="1"/>
  <c r="I419" i="1"/>
  <c r="BI419" i="1"/>
  <c r="BH419" i="1"/>
  <c r="DE417" i="1"/>
  <c r="CY417" i="1"/>
  <c r="K417" i="1"/>
  <c r="CX417" i="1"/>
  <c r="CV417" i="1"/>
  <c r="CU417" i="1"/>
  <c r="I417" i="1"/>
  <c r="BI417" i="1"/>
  <c r="BH417" i="1"/>
  <c r="DE416" i="1"/>
  <c r="CY416" i="1"/>
  <c r="K416" i="1"/>
  <c r="CX416" i="1"/>
  <c r="CV416" i="1"/>
  <c r="CU416" i="1"/>
  <c r="I416" i="1"/>
  <c r="BI416" i="1"/>
  <c r="BH416" i="1"/>
  <c r="DE2292" i="1"/>
  <c r="CY2292" i="1"/>
  <c r="K2292" i="1"/>
  <c r="CX2292" i="1"/>
  <c r="CV2292" i="1"/>
  <c r="CU2292" i="1"/>
  <c r="I2292" i="1"/>
  <c r="BI2292" i="1"/>
  <c r="BH2292" i="1"/>
  <c r="DE413" i="1"/>
  <c r="CY413" i="1"/>
  <c r="K413" i="1"/>
  <c r="CX413" i="1"/>
  <c r="CV413" i="1"/>
  <c r="CU413" i="1"/>
  <c r="I413" i="1"/>
  <c r="BI413" i="1"/>
  <c r="BH413" i="1"/>
  <c r="DE412" i="1"/>
  <c r="CY412" i="1"/>
  <c r="K412" i="1"/>
  <c r="CX412" i="1"/>
  <c r="CV412" i="1"/>
  <c r="CU412" i="1"/>
  <c r="I412" i="1"/>
  <c r="BI412" i="1"/>
  <c r="BH412" i="1"/>
  <c r="DE411" i="1"/>
  <c r="CY411" i="1"/>
  <c r="K411" i="1"/>
  <c r="CX411" i="1"/>
  <c r="CV411" i="1"/>
  <c r="CU411" i="1"/>
  <c r="I411" i="1"/>
  <c r="BI411" i="1"/>
  <c r="BH411" i="1"/>
  <c r="DE2290" i="1"/>
  <c r="CY2290" i="1"/>
  <c r="K2290" i="1"/>
  <c r="CX2290" i="1"/>
  <c r="CV2290" i="1"/>
  <c r="CU2290" i="1"/>
  <c r="I2290" i="1"/>
  <c r="BI2290" i="1"/>
  <c r="BH2290" i="1"/>
  <c r="DE408" i="1"/>
  <c r="CY408" i="1"/>
  <c r="K408" i="1"/>
  <c r="CX408" i="1"/>
  <c r="CV408" i="1"/>
  <c r="CU408" i="1"/>
  <c r="I408" i="1"/>
  <c r="BI408" i="1"/>
  <c r="BH408" i="1"/>
  <c r="DE407" i="1"/>
  <c r="CY407" i="1"/>
  <c r="K407" i="1"/>
  <c r="CX407" i="1"/>
  <c r="CV407" i="1"/>
  <c r="CU407" i="1"/>
  <c r="I407" i="1"/>
  <c r="BI407" i="1"/>
  <c r="BH407" i="1"/>
  <c r="DE405" i="1"/>
  <c r="CY405" i="1"/>
  <c r="K405" i="1"/>
  <c r="CX405" i="1"/>
  <c r="CV405" i="1"/>
  <c r="CU405" i="1"/>
  <c r="I405" i="1"/>
  <c r="BI405" i="1"/>
  <c r="BH405" i="1"/>
  <c r="DE2273" i="1"/>
  <c r="CY2273" i="1"/>
  <c r="K2273" i="1"/>
  <c r="CX2273" i="1"/>
  <c r="CV2273" i="1"/>
  <c r="CU2273" i="1"/>
  <c r="I2273" i="1"/>
  <c r="BI2273" i="1"/>
  <c r="BH2273" i="1"/>
  <c r="DE403" i="1"/>
  <c r="CY403" i="1"/>
  <c r="K403" i="1"/>
  <c r="CX403" i="1"/>
  <c r="CV403" i="1"/>
  <c r="CU403" i="1"/>
  <c r="I403" i="1"/>
  <c r="BI403" i="1"/>
  <c r="BH403" i="1"/>
  <c r="DE401" i="1"/>
  <c r="CY401" i="1"/>
  <c r="K401" i="1"/>
  <c r="CX401" i="1"/>
  <c r="CV401" i="1"/>
  <c r="CU401" i="1"/>
  <c r="I401" i="1"/>
  <c r="BI401" i="1"/>
  <c r="BH401" i="1"/>
  <c r="DE400" i="1"/>
  <c r="CY400" i="1"/>
  <c r="K400" i="1"/>
  <c r="CX400" i="1"/>
  <c r="CV400" i="1"/>
  <c r="CU400" i="1"/>
  <c r="I400" i="1"/>
  <c r="BI400" i="1"/>
  <c r="BH400" i="1"/>
  <c r="DE399" i="1"/>
  <c r="CY399" i="1"/>
  <c r="K399" i="1"/>
  <c r="CX399" i="1"/>
  <c r="CV399" i="1"/>
  <c r="CU399" i="1"/>
  <c r="I399" i="1"/>
  <c r="BI399" i="1"/>
  <c r="BH399" i="1"/>
  <c r="DE398" i="1"/>
  <c r="CY398" i="1"/>
  <c r="K398" i="1"/>
  <c r="CX398" i="1"/>
  <c r="CV398" i="1"/>
  <c r="CU398" i="1"/>
  <c r="I398" i="1"/>
  <c r="BI398" i="1"/>
  <c r="BH398" i="1"/>
  <c r="DE397" i="1"/>
  <c r="CY397" i="1"/>
  <c r="K397" i="1"/>
  <c r="CX397" i="1"/>
  <c r="CV397" i="1"/>
  <c r="CU397" i="1"/>
  <c r="I397" i="1"/>
  <c r="BI397" i="1"/>
  <c r="BH397" i="1"/>
  <c r="DE396" i="1"/>
  <c r="CY396" i="1"/>
  <c r="K396" i="1"/>
  <c r="CX396" i="1"/>
  <c r="CV396" i="1"/>
  <c r="CU396" i="1"/>
  <c r="I396" i="1"/>
  <c r="BI396" i="1"/>
  <c r="BH396" i="1"/>
  <c r="DE2288" i="1"/>
  <c r="CY2288" i="1"/>
  <c r="K2288" i="1"/>
  <c r="CX2288" i="1"/>
  <c r="CV2288" i="1"/>
  <c r="CU2288" i="1"/>
  <c r="I2288" i="1"/>
  <c r="BI2288" i="1"/>
  <c r="BH2288" i="1"/>
  <c r="DE393" i="1"/>
  <c r="CY393" i="1"/>
  <c r="K393" i="1"/>
  <c r="CX393" i="1"/>
  <c r="CV393" i="1"/>
  <c r="CU393" i="1"/>
  <c r="I393" i="1"/>
  <c r="BI393" i="1"/>
  <c r="BH393" i="1"/>
  <c r="DE392" i="1"/>
  <c r="CY392" i="1"/>
  <c r="K392" i="1"/>
  <c r="CX392" i="1"/>
  <c r="CV392" i="1"/>
  <c r="CU392" i="1"/>
  <c r="I392" i="1"/>
  <c r="BI392" i="1"/>
  <c r="BH392" i="1"/>
  <c r="DE391" i="1"/>
  <c r="CY391" i="1"/>
  <c r="K391" i="1"/>
  <c r="CX391" i="1"/>
  <c r="CV391" i="1"/>
  <c r="CU391" i="1"/>
  <c r="I391" i="1"/>
  <c r="BI391" i="1"/>
  <c r="BH391" i="1"/>
  <c r="DE388" i="1"/>
  <c r="CY388" i="1"/>
  <c r="K388" i="1"/>
  <c r="CX388" i="1"/>
  <c r="CV388" i="1"/>
  <c r="CU388" i="1"/>
  <c r="I388" i="1"/>
  <c r="BI388" i="1"/>
  <c r="BH388" i="1"/>
  <c r="DE387" i="1"/>
  <c r="CY387" i="1"/>
  <c r="K387" i="1"/>
  <c r="CX387" i="1"/>
  <c r="CV387" i="1"/>
  <c r="CU387" i="1"/>
  <c r="I387" i="1"/>
  <c r="BI387" i="1"/>
  <c r="BH387" i="1"/>
  <c r="DE386" i="1"/>
  <c r="CY386" i="1"/>
  <c r="K386" i="1"/>
  <c r="CX386" i="1"/>
  <c r="CV386" i="1"/>
  <c r="CU386" i="1"/>
  <c r="I386" i="1"/>
  <c r="BI386" i="1"/>
  <c r="BH386" i="1"/>
  <c r="DE383" i="1"/>
  <c r="CY383" i="1"/>
  <c r="K383" i="1"/>
  <c r="CX383" i="1"/>
  <c r="CV383" i="1"/>
  <c r="CU383" i="1"/>
  <c r="I383" i="1"/>
  <c r="BI383" i="1"/>
  <c r="BH383" i="1"/>
  <c r="DE382" i="1"/>
  <c r="CY382" i="1"/>
  <c r="K382" i="1"/>
  <c r="CX382" i="1"/>
  <c r="CV382" i="1"/>
  <c r="CU382" i="1"/>
  <c r="I382" i="1"/>
  <c r="BI382" i="1"/>
  <c r="BH382" i="1"/>
  <c r="DE381" i="1"/>
  <c r="CY381" i="1"/>
  <c r="K381" i="1"/>
  <c r="CX381" i="1"/>
  <c r="CV381" i="1"/>
  <c r="CU381" i="1"/>
  <c r="I381" i="1"/>
  <c r="BI381" i="1"/>
  <c r="BH381" i="1"/>
  <c r="DE380" i="1"/>
  <c r="CY380" i="1"/>
  <c r="K380" i="1"/>
  <c r="CX380" i="1"/>
  <c r="CV380" i="1"/>
  <c r="CU380" i="1"/>
  <c r="I380" i="1"/>
  <c r="BI380" i="1"/>
  <c r="BH380" i="1"/>
  <c r="DE379" i="1"/>
  <c r="CY379" i="1"/>
  <c r="K379" i="1"/>
  <c r="CX379" i="1"/>
  <c r="CV379" i="1"/>
  <c r="CU379" i="1"/>
  <c r="I379" i="1"/>
  <c r="BI379" i="1"/>
  <c r="BH379" i="1"/>
  <c r="DE378" i="1"/>
  <c r="CY378" i="1"/>
  <c r="K378" i="1"/>
  <c r="CX378" i="1"/>
  <c r="CV378" i="1"/>
  <c r="CU378" i="1"/>
  <c r="I378" i="1"/>
  <c r="BI378" i="1"/>
  <c r="BH378" i="1"/>
  <c r="DE375" i="1"/>
  <c r="CY375" i="1"/>
  <c r="K375" i="1"/>
  <c r="CX375" i="1"/>
  <c r="CV375" i="1"/>
  <c r="CU375" i="1"/>
  <c r="I375" i="1"/>
  <c r="BI375" i="1"/>
  <c r="BH375" i="1"/>
  <c r="DE374" i="1"/>
  <c r="CY374" i="1"/>
  <c r="K374" i="1"/>
  <c r="CX374" i="1"/>
  <c r="CV374" i="1"/>
  <c r="CU374" i="1"/>
  <c r="I374" i="1"/>
  <c r="BI374" i="1"/>
  <c r="BH374" i="1"/>
  <c r="DE384" i="1"/>
  <c r="CY384" i="1"/>
  <c r="K384" i="1"/>
  <c r="CX384" i="1"/>
  <c r="CV384" i="1"/>
  <c r="CU384" i="1"/>
  <c r="I384" i="1"/>
  <c r="BI384" i="1"/>
  <c r="BH384" i="1"/>
  <c r="DE2297" i="1"/>
  <c r="CY2297" i="1"/>
  <c r="K2297" i="1"/>
  <c r="CX2297" i="1"/>
  <c r="CV2297" i="1"/>
  <c r="CU2297" i="1"/>
  <c r="I2297" i="1"/>
  <c r="BI2297" i="1"/>
  <c r="BH2297" i="1"/>
  <c r="DE376" i="1"/>
  <c r="CY376" i="1"/>
  <c r="K376" i="1"/>
  <c r="CX376" i="1"/>
  <c r="CV376" i="1"/>
  <c r="CU376" i="1"/>
  <c r="I376" i="1"/>
  <c r="BI376" i="1"/>
  <c r="BH376" i="1"/>
  <c r="DE437" i="1"/>
  <c r="CY437" i="1"/>
  <c r="K437" i="1"/>
  <c r="CX437" i="1"/>
  <c r="CV437" i="1"/>
  <c r="CU437" i="1"/>
  <c r="I437" i="1"/>
  <c r="BI437" i="1"/>
  <c r="BH437" i="1"/>
  <c r="DE439" i="1"/>
  <c r="CY439" i="1"/>
  <c r="K439" i="1"/>
  <c r="CX439" i="1"/>
  <c r="CV439" i="1"/>
  <c r="CU439" i="1"/>
  <c r="I439" i="1"/>
  <c r="BI439" i="1"/>
  <c r="BH439" i="1"/>
  <c r="DE2269" i="1"/>
  <c r="CY2269" i="1"/>
  <c r="K2269" i="1"/>
  <c r="CX2269" i="1"/>
  <c r="CV2269" i="1"/>
  <c r="CU2269" i="1"/>
  <c r="I2269" i="1"/>
  <c r="BI2269" i="1"/>
  <c r="BH2269" i="1"/>
  <c r="DE438" i="1"/>
  <c r="CY438" i="1"/>
  <c r="K438" i="1"/>
  <c r="CX438" i="1"/>
  <c r="CV438" i="1"/>
  <c r="CU438" i="1"/>
  <c r="I438" i="1"/>
  <c r="BI438" i="1"/>
  <c r="BH438" i="1"/>
  <c r="DE441" i="1"/>
  <c r="CY441" i="1"/>
  <c r="K441" i="1"/>
  <c r="CX441" i="1"/>
  <c r="CV441" i="1"/>
  <c r="CU441" i="1"/>
  <c r="I441" i="1"/>
  <c r="BI441" i="1"/>
  <c r="BH441" i="1"/>
  <c r="DE449" i="1"/>
  <c r="CY449" i="1"/>
  <c r="K449" i="1"/>
  <c r="CX449" i="1"/>
  <c r="CV449" i="1"/>
  <c r="CU449" i="1"/>
  <c r="I449" i="1"/>
  <c r="BI449" i="1"/>
  <c r="BH449" i="1"/>
  <c r="DE2264" i="1"/>
  <c r="CY2264" i="1"/>
  <c r="K2264" i="1"/>
  <c r="CX2264" i="1"/>
  <c r="CV2264" i="1"/>
  <c r="CU2264" i="1"/>
  <c r="I2264" i="1"/>
  <c r="BI2264" i="1"/>
  <c r="BH2264" i="1"/>
  <c r="DE452" i="1"/>
  <c r="CY452" i="1"/>
  <c r="K452" i="1"/>
  <c r="CX452" i="1"/>
  <c r="CV452" i="1"/>
  <c r="CU452" i="1"/>
  <c r="I452" i="1"/>
  <c r="BI452" i="1"/>
  <c r="BH452" i="1"/>
  <c r="DE451" i="1"/>
  <c r="CY451" i="1"/>
  <c r="K451" i="1"/>
  <c r="CX451" i="1"/>
  <c r="CV451" i="1"/>
  <c r="CU451" i="1"/>
  <c r="I451" i="1"/>
  <c r="BI451" i="1"/>
  <c r="BH451" i="1"/>
  <c r="DE450" i="1"/>
  <c r="CY450" i="1"/>
  <c r="K450" i="1"/>
  <c r="CX450" i="1"/>
  <c r="CV450" i="1"/>
  <c r="CU450" i="1"/>
  <c r="I450" i="1"/>
  <c r="BI450" i="1"/>
  <c r="BH450" i="1"/>
  <c r="DE448" i="1"/>
  <c r="CY448" i="1"/>
  <c r="K448" i="1"/>
  <c r="CX448" i="1"/>
  <c r="CV448" i="1"/>
  <c r="CU448" i="1"/>
  <c r="I448" i="1"/>
  <c r="BI448" i="1"/>
  <c r="BH448" i="1"/>
  <c r="DE447" i="1"/>
  <c r="CY447" i="1"/>
  <c r="K447" i="1"/>
  <c r="CX447" i="1"/>
  <c r="CV447" i="1"/>
  <c r="CU447" i="1"/>
  <c r="I447" i="1"/>
  <c r="BI447" i="1"/>
  <c r="BH447" i="1"/>
  <c r="DE446" i="1"/>
  <c r="CY446" i="1"/>
  <c r="K446" i="1"/>
  <c r="CX446" i="1"/>
  <c r="CV446" i="1"/>
  <c r="CU446" i="1"/>
  <c r="I446" i="1"/>
  <c r="BI446" i="1"/>
  <c r="BH446" i="1"/>
  <c r="DE445" i="1"/>
  <c r="CY445" i="1"/>
  <c r="K445" i="1"/>
  <c r="CX445" i="1"/>
  <c r="CV445" i="1"/>
  <c r="CU445" i="1"/>
  <c r="I445" i="1"/>
  <c r="BI445" i="1"/>
  <c r="BH445" i="1"/>
  <c r="DE2324" i="1"/>
  <c r="CY2324" i="1"/>
  <c r="K2324" i="1"/>
  <c r="CX2324" i="1"/>
  <c r="CV2324" i="1"/>
  <c r="CU2324" i="1"/>
  <c r="I2324" i="1"/>
  <c r="BI2324" i="1"/>
  <c r="BH2324" i="1"/>
  <c r="DE443" i="1"/>
  <c r="CY443" i="1"/>
  <c r="K443" i="1"/>
  <c r="CX443" i="1"/>
  <c r="CV443" i="1"/>
  <c r="CU443" i="1"/>
  <c r="I443" i="1"/>
  <c r="BI443" i="1"/>
  <c r="BH443" i="1"/>
  <c r="DE453" i="1"/>
  <c r="CY453" i="1"/>
  <c r="K453" i="1"/>
  <c r="CX453" i="1"/>
  <c r="CV453" i="1"/>
  <c r="CU453" i="1"/>
  <c r="I453" i="1"/>
  <c r="BI453" i="1"/>
  <c r="BH453" i="1"/>
  <c r="DE455" i="1"/>
  <c r="CY455" i="1"/>
  <c r="K455" i="1"/>
  <c r="CX455" i="1"/>
  <c r="CV455" i="1"/>
  <c r="CU455" i="1"/>
  <c r="I455" i="1"/>
  <c r="BI455" i="1"/>
  <c r="BH455" i="1"/>
  <c r="DE456" i="1"/>
  <c r="CY456" i="1"/>
  <c r="K456" i="1"/>
  <c r="CX456" i="1"/>
  <c r="CV456" i="1"/>
  <c r="CU456" i="1"/>
  <c r="I456" i="1"/>
  <c r="BI456" i="1"/>
  <c r="BH456" i="1"/>
  <c r="DE457" i="1"/>
  <c r="CY457" i="1"/>
  <c r="K457" i="1"/>
  <c r="CX457" i="1"/>
  <c r="CV457" i="1"/>
  <c r="CU457" i="1"/>
  <c r="I457" i="1"/>
  <c r="BI457" i="1"/>
  <c r="BH457" i="1"/>
  <c r="DE460" i="1"/>
  <c r="CY460" i="1"/>
  <c r="K460" i="1"/>
  <c r="CX460" i="1"/>
  <c r="CV460" i="1"/>
  <c r="CU460" i="1"/>
  <c r="I460" i="1"/>
  <c r="BI460" i="1"/>
  <c r="BH460" i="1"/>
  <c r="DE459" i="1"/>
  <c r="CY459" i="1"/>
  <c r="K459" i="1"/>
  <c r="CX459" i="1"/>
  <c r="CV459" i="1"/>
  <c r="CU459" i="1"/>
  <c r="I459" i="1"/>
  <c r="BI459" i="1"/>
  <c r="BH459" i="1"/>
  <c r="DE458" i="1"/>
  <c r="CY458" i="1"/>
  <c r="K458" i="1"/>
  <c r="CX458" i="1"/>
  <c r="CV458" i="1"/>
  <c r="CU458" i="1"/>
  <c r="I458" i="1"/>
  <c r="BI458" i="1"/>
  <c r="BH458" i="1"/>
  <c r="DE461" i="1"/>
  <c r="CY461" i="1"/>
  <c r="K461" i="1"/>
  <c r="CX461" i="1"/>
  <c r="CV461" i="1"/>
  <c r="CU461" i="1"/>
  <c r="I461" i="1"/>
  <c r="BI461" i="1"/>
  <c r="BH461" i="1"/>
  <c r="DE462" i="1"/>
  <c r="CY462" i="1"/>
  <c r="K462" i="1"/>
  <c r="CX462" i="1"/>
  <c r="CV462" i="1"/>
  <c r="CU462" i="1"/>
  <c r="I462" i="1"/>
  <c r="BI462" i="1"/>
  <c r="BH462" i="1"/>
  <c r="DE463" i="1"/>
  <c r="CY463" i="1"/>
  <c r="K463" i="1"/>
  <c r="CX463" i="1"/>
  <c r="CV463" i="1"/>
  <c r="CU463" i="1"/>
  <c r="I463" i="1"/>
  <c r="BI463" i="1"/>
  <c r="BH463" i="1"/>
  <c r="DE725" i="1"/>
  <c r="CY725" i="1"/>
  <c r="K725" i="1"/>
  <c r="CX725" i="1"/>
  <c r="CV725" i="1"/>
  <c r="CU725" i="1"/>
  <c r="I725" i="1"/>
  <c r="BI725" i="1"/>
  <c r="BH725" i="1"/>
  <c r="DE715" i="1"/>
  <c r="CY715" i="1"/>
  <c r="K715" i="1"/>
  <c r="CX715" i="1"/>
  <c r="CV715" i="1"/>
  <c r="CU715" i="1"/>
  <c r="I715" i="1"/>
  <c r="BI715" i="1"/>
  <c r="BH715" i="1"/>
  <c r="DE528" i="1"/>
  <c r="CY528" i="1"/>
  <c r="K528" i="1"/>
  <c r="CX528" i="1"/>
  <c r="CV528" i="1"/>
  <c r="CU528" i="1"/>
  <c r="I528" i="1"/>
  <c r="BI528" i="1"/>
  <c r="BH528" i="1"/>
  <c r="DE532" i="1"/>
  <c r="CY532" i="1"/>
  <c r="K532" i="1"/>
  <c r="CX532" i="1"/>
  <c r="CV532" i="1"/>
  <c r="CU532" i="1"/>
  <c r="I532" i="1"/>
  <c r="BI532" i="1"/>
  <c r="BH532" i="1"/>
  <c r="DE2268" i="1"/>
  <c r="CY2268" i="1"/>
  <c r="K2268" i="1"/>
  <c r="CX2268" i="1"/>
  <c r="CV2268" i="1"/>
  <c r="CU2268" i="1"/>
  <c r="I2268" i="1"/>
  <c r="BI2268" i="1"/>
  <c r="BH2268" i="1"/>
  <c r="DE489" i="1"/>
  <c r="CY489" i="1"/>
  <c r="K489" i="1"/>
  <c r="CX489" i="1"/>
  <c r="CV489" i="1"/>
  <c r="CU489" i="1"/>
  <c r="I489" i="1"/>
  <c r="BI489" i="1"/>
  <c r="BH489" i="1"/>
  <c r="DE3612" i="1"/>
  <c r="CY3612" i="1"/>
  <c r="K3612" i="1"/>
  <c r="CX3612" i="1"/>
  <c r="CV3612" i="1"/>
  <c r="CU3612" i="1"/>
  <c r="I3612" i="1"/>
  <c r="CT3612" i="1"/>
  <c r="BI3612" i="1"/>
  <c r="BH3612" i="1"/>
  <c r="DE657" i="1"/>
  <c r="CY657" i="1"/>
  <c r="K657" i="1"/>
  <c r="CX657" i="1"/>
  <c r="CV657" i="1"/>
  <c r="CU657" i="1"/>
  <c r="I657" i="1"/>
  <c r="BI657" i="1"/>
  <c r="BH657" i="1"/>
  <c r="DE2257" i="1"/>
  <c r="CY2257" i="1"/>
  <c r="K2257" i="1"/>
  <c r="CX2257" i="1"/>
  <c r="CV2257" i="1"/>
  <c r="CU2257" i="1"/>
  <c r="I2257" i="1"/>
  <c r="BI2257" i="1"/>
  <c r="BH2257" i="1"/>
  <c r="DE658" i="1"/>
  <c r="CY658" i="1"/>
  <c r="K658" i="1"/>
  <c r="CX658" i="1"/>
  <c r="CV658" i="1"/>
  <c r="CU658" i="1"/>
  <c r="I658" i="1"/>
  <c r="BI658" i="1"/>
  <c r="BH658" i="1"/>
  <c r="DE3507" i="1"/>
  <c r="CY3507" i="1"/>
  <c r="K3507" i="1"/>
  <c r="CX3507" i="1"/>
  <c r="CV3507" i="1"/>
  <c r="CU3507" i="1"/>
  <c r="I3507" i="1"/>
  <c r="CT3507" i="1"/>
  <c r="BI3507" i="1"/>
  <c r="BH3507" i="1"/>
  <c r="DE659" i="1"/>
  <c r="CY659" i="1"/>
  <c r="K659" i="1"/>
  <c r="CX659" i="1"/>
  <c r="CV659" i="1"/>
  <c r="CU659" i="1"/>
  <c r="I659" i="1"/>
  <c r="BI659" i="1"/>
  <c r="BH659" i="1"/>
  <c r="DE2253" i="1"/>
  <c r="CY2253" i="1"/>
  <c r="K2253" i="1"/>
  <c r="CX2253" i="1"/>
  <c r="CV2253" i="1"/>
  <c r="CU2253" i="1"/>
  <c r="I2253" i="1"/>
  <c r="BI2253" i="1"/>
  <c r="BH2253" i="1"/>
  <c r="DE536" i="1"/>
  <c r="CY536" i="1"/>
  <c r="K536" i="1"/>
  <c r="CX536" i="1"/>
  <c r="CV536" i="1"/>
  <c r="CU536" i="1"/>
  <c r="I536" i="1"/>
  <c r="BI536" i="1"/>
  <c r="BH536" i="1"/>
  <c r="DE3571" i="1"/>
  <c r="CY3571" i="1"/>
  <c r="K3571" i="1"/>
  <c r="CX3571" i="1"/>
  <c r="CV3571" i="1"/>
  <c r="CU3571" i="1"/>
  <c r="I3571" i="1"/>
  <c r="CT3571" i="1"/>
  <c r="BI3571" i="1"/>
  <c r="BH3571" i="1"/>
  <c r="DE660" i="1"/>
  <c r="CY660" i="1"/>
  <c r="K660" i="1"/>
  <c r="CX660" i="1"/>
  <c r="CV660" i="1"/>
  <c r="CU660" i="1"/>
  <c r="I660" i="1"/>
  <c r="BI660" i="1"/>
  <c r="BH660" i="1"/>
  <c r="DE2278" i="1"/>
  <c r="CY2278" i="1"/>
  <c r="K2278" i="1"/>
  <c r="CX2278" i="1"/>
  <c r="CV2278" i="1"/>
  <c r="CU2278" i="1"/>
  <c r="I2278" i="1"/>
  <c r="BI2278" i="1"/>
  <c r="BH2278" i="1"/>
  <c r="DE540" i="1"/>
  <c r="CY540" i="1"/>
  <c r="K540" i="1"/>
  <c r="CX540" i="1"/>
  <c r="CV540" i="1"/>
  <c r="CU540" i="1"/>
  <c r="I540" i="1"/>
  <c r="BI540" i="1"/>
  <c r="BH540" i="1"/>
  <c r="DE3506" i="1"/>
  <c r="CY3506" i="1"/>
  <c r="K3506" i="1"/>
  <c r="CX3506" i="1"/>
  <c r="CV3506" i="1"/>
  <c r="CU3506" i="1"/>
  <c r="I3506" i="1"/>
  <c r="CT3506" i="1"/>
  <c r="BI3506" i="1"/>
  <c r="BH3506" i="1"/>
  <c r="DE661" i="1"/>
  <c r="CY661" i="1"/>
  <c r="K661" i="1"/>
  <c r="CX661" i="1"/>
  <c r="CV661" i="1"/>
  <c r="CU661" i="1"/>
  <c r="I661" i="1"/>
  <c r="BI661" i="1"/>
  <c r="BH661" i="1"/>
  <c r="DE2272" i="1"/>
  <c r="CY2272" i="1"/>
  <c r="K2272" i="1"/>
  <c r="CX2272" i="1"/>
  <c r="CV2272" i="1"/>
  <c r="CU2272" i="1"/>
  <c r="I2272" i="1"/>
  <c r="BI2272" i="1"/>
  <c r="BH2272" i="1"/>
  <c r="DE662" i="1"/>
  <c r="CY662" i="1"/>
  <c r="K662" i="1"/>
  <c r="CX662" i="1"/>
  <c r="CV662" i="1"/>
  <c r="CU662" i="1"/>
  <c r="I662" i="1"/>
  <c r="BI662" i="1"/>
  <c r="BH662" i="1"/>
  <c r="DE3592" i="1"/>
  <c r="CY3592" i="1"/>
  <c r="K3592" i="1"/>
  <c r="CX3592" i="1"/>
  <c r="CV3592" i="1"/>
  <c r="CU3592" i="1"/>
  <c r="I3592" i="1"/>
  <c r="CT3592" i="1"/>
  <c r="BI3592" i="1"/>
  <c r="BH3592" i="1"/>
  <c r="DE544" i="1"/>
  <c r="CY544" i="1"/>
  <c r="K544" i="1"/>
  <c r="CX544" i="1"/>
  <c r="CV544" i="1"/>
  <c r="CU544" i="1"/>
  <c r="I544" i="1"/>
  <c r="BI544" i="1"/>
  <c r="BH544" i="1"/>
  <c r="DE3603" i="1"/>
  <c r="CY3603" i="1"/>
  <c r="K3603" i="1"/>
  <c r="CX3603" i="1"/>
  <c r="CV3603" i="1"/>
  <c r="CU3603" i="1"/>
  <c r="I3603" i="1"/>
  <c r="CT3603" i="1"/>
  <c r="BI3603" i="1"/>
  <c r="BH3603" i="1"/>
  <c r="DE663" i="1"/>
  <c r="CY663" i="1"/>
  <c r="K663" i="1"/>
  <c r="CX663" i="1"/>
  <c r="CV663" i="1"/>
  <c r="CU663" i="1"/>
  <c r="I663" i="1"/>
  <c r="BI663" i="1"/>
  <c r="BH663" i="1"/>
  <c r="DE3622" i="1"/>
  <c r="CY3622" i="1"/>
  <c r="K3622" i="1"/>
  <c r="CX3622" i="1"/>
  <c r="CV3622" i="1"/>
  <c r="CU3622" i="1"/>
  <c r="I3622" i="1"/>
  <c r="CT3622" i="1"/>
  <c r="BI3622" i="1"/>
  <c r="BH3622" i="1"/>
  <c r="DE564" i="1"/>
  <c r="CY564" i="1"/>
  <c r="K564" i="1"/>
  <c r="CX564" i="1"/>
  <c r="CV564" i="1"/>
  <c r="CU564" i="1"/>
  <c r="I564" i="1"/>
  <c r="BI564" i="1"/>
  <c r="BH564" i="1"/>
  <c r="DE2301" i="1"/>
  <c r="CY2301" i="1"/>
  <c r="K2301" i="1"/>
  <c r="CX2301" i="1"/>
  <c r="CV2301" i="1"/>
  <c r="CU2301" i="1"/>
  <c r="I2301" i="1"/>
  <c r="BI2301" i="1"/>
  <c r="BH2301" i="1"/>
  <c r="DE646" i="1"/>
  <c r="CY646" i="1"/>
  <c r="K646" i="1"/>
  <c r="CX646" i="1"/>
  <c r="CV646" i="1"/>
  <c r="CU646" i="1"/>
  <c r="I646" i="1"/>
  <c r="BI646" i="1"/>
  <c r="BH646" i="1"/>
  <c r="DE3595" i="1"/>
  <c r="CY3595" i="1"/>
  <c r="K3595" i="1"/>
  <c r="CX3595" i="1"/>
  <c r="CV3595" i="1"/>
  <c r="CU3595" i="1"/>
  <c r="I3595" i="1"/>
  <c r="CT3595" i="1"/>
  <c r="BI3595" i="1"/>
  <c r="BH3595" i="1"/>
  <c r="DE664" i="1"/>
  <c r="CY664" i="1"/>
  <c r="K664" i="1"/>
  <c r="CX664" i="1"/>
  <c r="CV664" i="1"/>
  <c r="CU664" i="1"/>
  <c r="I664" i="1"/>
  <c r="BI664" i="1"/>
  <c r="BH664" i="1"/>
  <c r="DE2252" i="1"/>
  <c r="CY2252" i="1"/>
  <c r="K2252" i="1"/>
  <c r="CX2252" i="1"/>
  <c r="CV2252" i="1"/>
  <c r="CU2252" i="1"/>
  <c r="I2252" i="1"/>
  <c r="BI2252" i="1"/>
  <c r="BH2252" i="1"/>
  <c r="DE665" i="1"/>
  <c r="CY665" i="1"/>
  <c r="K665" i="1"/>
  <c r="CX665" i="1"/>
  <c r="CV665" i="1"/>
  <c r="CU665" i="1"/>
  <c r="I665" i="1"/>
  <c r="BI665" i="1"/>
  <c r="BH665" i="1"/>
  <c r="DE3479" i="1"/>
  <c r="CY3479" i="1"/>
  <c r="K3479" i="1"/>
  <c r="CX3479" i="1"/>
  <c r="CV3479" i="1"/>
  <c r="CU3479" i="1"/>
  <c r="I3479" i="1"/>
  <c r="CT3479" i="1"/>
  <c r="BI3479" i="1"/>
  <c r="BH3479" i="1"/>
  <c r="DE552" i="1"/>
  <c r="CY552" i="1"/>
  <c r="K552" i="1"/>
  <c r="CX552" i="1"/>
  <c r="CV552" i="1"/>
  <c r="CU552" i="1"/>
  <c r="I552" i="1"/>
  <c r="BI552" i="1"/>
  <c r="BH552" i="1"/>
  <c r="DE2238" i="1"/>
  <c r="CY2238" i="1"/>
  <c r="K2238" i="1"/>
  <c r="CX2238" i="1"/>
  <c r="CV2238" i="1"/>
  <c r="CU2238" i="1"/>
  <c r="I2238" i="1"/>
  <c r="BI2238" i="1"/>
  <c r="BH2238" i="1"/>
  <c r="DE666" i="1"/>
  <c r="CY666" i="1"/>
  <c r="K666" i="1"/>
  <c r="CX666" i="1"/>
  <c r="CV666" i="1"/>
  <c r="CU666" i="1"/>
  <c r="I666" i="1"/>
  <c r="BI666" i="1"/>
  <c r="BH666" i="1"/>
  <c r="DE667" i="1"/>
  <c r="CY667" i="1"/>
  <c r="K667" i="1"/>
  <c r="CX667" i="1"/>
  <c r="CV667" i="1"/>
  <c r="CU667" i="1"/>
  <c r="I667" i="1"/>
  <c r="BI667" i="1"/>
  <c r="BH667" i="1"/>
  <c r="DE2358" i="1"/>
  <c r="CY2358" i="1"/>
  <c r="K2358" i="1"/>
  <c r="CX2358" i="1"/>
  <c r="CV2358" i="1"/>
  <c r="CU2358" i="1"/>
  <c r="I2358" i="1"/>
  <c r="BI2358" i="1"/>
  <c r="BH2358" i="1"/>
  <c r="DE556" i="1"/>
  <c r="CY556" i="1"/>
  <c r="K556" i="1"/>
  <c r="CX556" i="1"/>
  <c r="CV556" i="1"/>
  <c r="CU556" i="1"/>
  <c r="I556" i="1"/>
  <c r="BI556" i="1"/>
  <c r="BH556" i="1"/>
  <c r="DE529" i="1"/>
  <c r="CY529" i="1"/>
  <c r="K529" i="1"/>
  <c r="CX529" i="1"/>
  <c r="CV529" i="1"/>
  <c r="CU529" i="1"/>
  <c r="I529" i="1"/>
  <c r="BI529" i="1"/>
  <c r="BH529" i="1"/>
  <c r="DE668" i="1"/>
  <c r="CY668" i="1"/>
  <c r="K668" i="1"/>
  <c r="CX668" i="1"/>
  <c r="CV668" i="1"/>
  <c r="CU668" i="1"/>
  <c r="I668" i="1"/>
  <c r="BI668" i="1"/>
  <c r="BH668" i="1"/>
  <c r="DE3043" i="1"/>
  <c r="CY3043" i="1"/>
  <c r="K3043" i="1"/>
  <c r="CX3043" i="1"/>
  <c r="CV3043" i="1"/>
  <c r="CU3043" i="1"/>
  <c r="I3043" i="1"/>
  <c r="BI3043" i="1"/>
  <c r="BH3043" i="1"/>
  <c r="DE560" i="1"/>
  <c r="CY560" i="1"/>
  <c r="K560" i="1"/>
  <c r="CX560" i="1"/>
  <c r="CV560" i="1"/>
  <c r="CU560" i="1"/>
  <c r="I560" i="1"/>
  <c r="BI560" i="1"/>
  <c r="BH560" i="1"/>
  <c r="DE3578" i="1"/>
  <c r="CY3578" i="1"/>
  <c r="K3578" i="1"/>
  <c r="CX3578" i="1"/>
  <c r="CV3578" i="1"/>
  <c r="CU3578" i="1"/>
  <c r="I3578" i="1"/>
  <c r="CT3578" i="1"/>
  <c r="BI3578" i="1"/>
  <c r="BH3578" i="1"/>
  <c r="DE569" i="1"/>
  <c r="CY569" i="1"/>
  <c r="K569" i="1"/>
  <c r="CX569" i="1"/>
  <c r="CV569" i="1"/>
  <c r="CU569" i="1"/>
  <c r="I569" i="1"/>
  <c r="BI569" i="1"/>
  <c r="BH569" i="1"/>
  <c r="DE3437" i="1"/>
  <c r="CY3437" i="1"/>
  <c r="K3437" i="1"/>
  <c r="CX3437" i="1"/>
  <c r="CV3437" i="1"/>
  <c r="CU3437" i="1"/>
  <c r="I3437" i="1"/>
  <c r="CT3437" i="1"/>
  <c r="BI3437" i="1"/>
  <c r="BH3437" i="1"/>
  <c r="DE501" i="1"/>
  <c r="CY501" i="1"/>
  <c r="K501" i="1"/>
  <c r="CX501" i="1"/>
  <c r="CV501" i="1"/>
  <c r="CU501" i="1"/>
  <c r="I501" i="1"/>
  <c r="BI501" i="1"/>
  <c r="BH501" i="1"/>
  <c r="DE3552" i="1"/>
  <c r="CY3552" i="1"/>
  <c r="K3552" i="1"/>
  <c r="CX3552" i="1"/>
  <c r="CV3552" i="1"/>
  <c r="CU3552" i="1"/>
  <c r="I3552" i="1"/>
  <c r="CT3552" i="1"/>
  <c r="BI3552" i="1"/>
  <c r="BH3552" i="1"/>
  <c r="DE568" i="1"/>
  <c r="CY568" i="1"/>
  <c r="K568" i="1"/>
  <c r="CX568" i="1"/>
  <c r="CV568" i="1"/>
  <c r="CU568" i="1"/>
  <c r="I568" i="1"/>
  <c r="BI568" i="1"/>
  <c r="BH568" i="1"/>
  <c r="DE2359" i="1"/>
  <c r="CY2359" i="1"/>
  <c r="K2359" i="1"/>
  <c r="CX2359" i="1"/>
  <c r="CV2359" i="1"/>
  <c r="CU2359" i="1"/>
  <c r="I2359" i="1"/>
  <c r="BI2359" i="1"/>
  <c r="BH2359" i="1"/>
  <c r="DE576" i="1"/>
  <c r="CY576" i="1"/>
  <c r="K576" i="1"/>
  <c r="CX576" i="1"/>
  <c r="CV576" i="1"/>
  <c r="CU576" i="1"/>
  <c r="I576" i="1"/>
  <c r="BI576" i="1"/>
  <c r="BH576" i="1"/>
  <c r="DE3666" i="1"/>
  <c r="CY3666" i="1"/>
  <c r="K3666" i="1"/>
  <c r="CX3666" i="1"/>
  <c r="CV3666" i="1"/>
  <c r="CU3666" i="1"/>
  <c r="I3666" i="1"/>
  <c r="CT3666" i="1"/>
  <c r="BI3666" i="1"/>
  <c r="BH3666" i="1"/>
  <c r="DE572" i="1"/>
  <c r="CY572" i="1"/>
  <c r="K572" i="1"/>
  <c r="CX572" i="1"/>
  <c r="CV572" i="1"/>
  <c r="CU572" i="1"/>
  <c r="I572" i="1"/>
  <c r="BI572" i="1"/>
  <c r="BH572" i="1"/>
  <c r="DE3516" i="1"/>
  <c r="CY3516" i="1"/>
  <c r="K3516" i="1"/>
  <c r="CX3516" i="1"/>
  <c r="CV3516" i="1"/>
  <c r="CU3516" i="1"/>
  <c r="I3516" i="1"/>
  <c r="CT3516" i="1"/>
  <c r="BI3516" i="1"/>
  <c r="BH3516" i="1"/>
  <c r="DE578" i="1"/>
  <c r="CY578" i="1"/>
  <c r="K578" i="1"/>
  <c r="CX578" i="1"/>
  <c r="CV578" i="1"/>
  <c r="CU578" i="1"/>
  <c r="I578" i="1"/>
  <c r="BI578" i="1"/>
  <c r="BH578" i="1"/>
  <c r="DE3463" i="1"/>
  <c r="CY3463" i="1"/>
  <c r="K3463" i="1"/>
  <c r="CX3463" i="1"/>
  <c r="CV3463" i="1"/>
  <c r="CU3463" i="1"/>
  <c r="I3463" i="1"/>
  <c r="CT3463" i="1"/>
  <c r="BI3463" i="1"/>
  <c r="BH3463" i="1"/>
  <c r="DE647" i="1"/>
  <c r="CY647" i="1"/>
  <c r="K647" i="1"/>
  <c r="CX647" i="1"/>
  <c r="CV647" i="1"/>
  <c r="CU647" i="1"/>
  <c r="I647" i="1"/>
  <c r="BI647" i="1"/>
  <c r="BH647" i="1"/>
  <c r="DE3389" i="1"/>
  <c r="CY3389" i="1"/>
  <c r="K3389" i="1"/>
  <c r="CX3389" i="1"/>
  <c r="CV3389" i="1"/>
  <c r="CU3389" i="1"/>
  <c r="I3389" i="1"/>
  <c r="CT3389" i="1"/>
  <c r="BI3389" i="1"/>
  <c r="BH3389" i="1"/>
  <c r="DE490" i="1"/>
  <c r="CY490" i="1"/>
  <c r="K490" i="1"/>
  <c r="CX490" i="1"/>
  <c r="CV490" i="1"/>
  <c r="CU490" i="1"/>
  <c r="I490" i="1"/>
  <c r="BI490" i="1"/>
  <c r="BH490" i="1"/>
  <c r="DE3639" i="1"/>
  <c r="CY3639" i="1"/>
  <c r="K3639" i="1"/>
  <c r="CX3639" i="1"/>
  <c r="CV3639" i="1"/>
  <c r="CU3639" i="1"/>
  <c r="I3639" i="1"/>
  <c r="CT3639" i="1"/>
  <c r="BI3639" i="1"/>
  <c r="BH3639" i="1"/>
  <c r="DE644" i="1"/>
  <c r="CY644" i="1"/>
  <c r="K644" i="1"/>
  <c r="CX644" i="1"/>
  <c r="CV644" i="1"/>
  <c r="CU644" i="1"/>
  <c r="I644" i="1"/>
  <c r="BI644" i="1"/>
  <c r="BH644" i="1"/>
  <c r="DE2467" i="1"/>
  <c r="CY2467" i="1"/>
  <c r="K2467" i="1"/>
  <c r="CX2467" i="1"/>
  <c r="CV2467" i="1"/>
  <c r="CU2467" i="1"/>
  <c r="I2467" i="1"/>
  <c r="BI2467" i="1"/>
  <c r="BH2467" i="1"/>
  <c r="DE504" i="1"/>
  <c r="CY504" i="1"/>
  <c r="K504" i="1"/>
  <c r="CX504" i="1"/>
  <c r="CV504" i="1"/>
  <c r="CU504" i="1"/>
  <c r="I504" i="1"/>
  <c r="BI504" i="1"/>
  <c r="BH504" i="1"/>
  <c r="DE3502" i="1"/>
  <c r="CY3502" i="1"/>
  <c r="K3502" i="1"/>
  <c r="CX3502" i="1"/>
  <c r="CV3502" i="1"/>
  <c r="CU3502" i="1"/>
  <c r="I3502" i="1"/>
  <c r="CT3502" i="1"/>
  <c r="BI3502" i="1"/>
  <c r="BH3502" i="1"/>
  <c r="DE503" i="1"/>
  <c r="CY503" i="1"/>
  <c r="K503" i="1"/>
  <c r="CX503" i="1"/>
  <c r="CV503" i="1"/>
  <c r="CU503" i="1"/>
  <c r="I503" i="1"/>
  <c r="BI503" i="1"/>
  <c r="BH503" i="1"/>
  <c r="DE3029" i="1"/>
  <c r="CY3029" i="1"/>
  <c r="K3029" i="1"/>
  <c r="CX3029" i="1"/>
  <c r="CV3029" i="1"/>
  <c r="CU3029" i="1"/>
  <c r="I3029" i="1"/>
  <c r="BI3029" i="1"/>
  <c r="BH3029" i="1"/>
  <c r="DE608" i="1"/>
  <c r="CY608" i="1"/>
  <c r="K608" i="1"/>
  <c r="CX608" i="1"/>
  <c r="CV608" i="1"/>
  <c r="CU608" i="1"/>
  <c r="I608" i="1"/>
  <c r="BI608" i="1"/>
  <c r="BH608" i="1"/>
  <c r="DE3378" i="1"/>
  <c r="CY3378" i="1"/>
  <c r="K3378" i="1"/>
  <c r="CX3378" i="1"/>
  <c r="CV3378" i="1"/>
  <c r="CU3378" i="1"/>
  <c r="I3378" i="1"/>
  <c r="CT3378" i="1"/>
  <c r="BI3378" i="1"/>
  <c r="BH3378" i="1"/>
  <c r="DE607" i="1"/>
  <c r="CY607" i="1"/>
  <c r="K607" i="1"/>
  <c r="CX607" i="1"/>
  <c r="CV607" i="1"/>
  <c r="CU607" i="1"/>
  <c r="I607" i="1"/>
  <c r="BI607" i="1"/>
  <c r="BH607" i="1"/>
  <c r="DE3025" i="1"/>
  <c r="CY3025" i="1"/>
  <c r="K3025" i="1"/>
  <c r="CX3025" i="1"/>
  <c r="CV3025" i="1"/>
  <c r="CU3025" i="1"/>
  <c r="I3025" i="1"/>
  <c r="BI3025" i="1"/>
  <c r="BH3025" i="1"/>
  <c r="DE584" i="1"/>
  <c r="CY584" i="1"/>
  <c r="K584" i="1"/>
  <c r="CX584" i="1"/>
  <c r="CV584" i="1"/>
  <c r="CU584" i="1"/>
  <c r="I584" i="1"/>
  <c r="BI584" i="1"/>
  <c r="BH584" i="1"/>
  <c r="DE3633" i="1"/>
  <c r="CY3633" i="1"/>
  <c r="K3633" i="1"/>
  <c r="CX3633" i="1"/>
  <c r="CV3633" i="1"/>
  <c r="CU3633" i="1"/>
  <c r="I3633" i="1"/>
  <c r="CT3633" i="1"/>
  <c r="BI3633" i="1"/>
  <c r="BH3633" i="1"/>
  <c r="DE685" i="1"/>
  <c r="CY685" i="1"/>
  <c r="K685" i="1"/>
  <c r="CX685" i="1"/>
  <c r="CV685" i="1"/>
  <c r="CU685" i="1"/>
  <c r="I685" i="1"/>
  <c r="BI685" i="1"/>
  <c r="BH685" i="1"/>
  <c r="DE3019" i="1"/>
  <c r="CY3019" i="1"/>
  <c r="K3019" i="1"/>
  <c r="CX3019" i="1"/>
  <c r="CV3019" i="1"/>
  <c r="CU3019" i="1"/>
  <c r="I3019" i="1"/>
  <c r="BI3019" i="1"/>
  <c r="BH3019" i="1"/>
  <c r="DE686" i="1"/>
  <c r="CY686" i="1"/>
  <c r="K686" i="1"/>
  <c r="CX686" i="1"/>
  <c r="CV686" i="1"/>
  <c r="CU686" i="1"/>
  <c r="I686" i="1"/>
  <c r="BI686" i="1"/>
  <c r="BH686" i="1"/>
  <c r="DE3276" i="1"/>
  <c r="CY3276" i="1"/>
  <c r="K3276" i="1"/>
  <c r="CX3276" i="1"/>
  <c r="CV3276" i="1"/>
  <c r="CU3276" i="1"/>
  <c r="I3276" i="1"/>
  <c r="CT3276" i="1"/>
  <c r="BI3276" i="1"/>
  <c r="BH3276" i="1"/>
  <c r="DE687" i="1"/>
  <c r="CY687" i="1"/>
  <c r="K687" i="1"/>
  <c r="CX687" i="1"/>
  <c r="CV687" i="1"/>
  <c r="CU687" i="1"/>
  <c r="I687" i="1"/>
  <c r="BI687" i="1"/>
  <c r="BH687" i="1"/>
  <c r="DE3565" i="1"/>
  <c r="CY3565" i="1"/>
  <c r="K3565" i="1"/>
  <c r="CX3565" i="1"/>
  <c r="CV3565" i="1"/>
  <c r="CU3565" i="1"/>
  <c r="I3565" i="1"/>
  <c r="CT3565" i="1"/>
  <c r="BI3565" i="1"/>
  <c r="BH3565" i="1"/>
  <c r="DE474" i="1"/>
  <c r="CY474" i="1"/>
  <c r="K474" i="1"/>
  <c r="CX474" i="1"/>
  <c r="CV474" i="1"/>
  <c r="CU474" i="1"/>
  <c r="I474" i="1"/>
  <c r="BI474" i="1"/>
  <c r="BH474" i="1"/>
  <c r="DE3613" i="1"/>
  <c r="CY3613" i="1"/>
  <c r="K3613" i="1"/>
  <c r="CX3613" i="1"/>
  <c r="CV3613" i="1"/>
  <c r="CU3613" i="1"/>
  <c r="I3613" i="1"/>
  <c r="CT3613" i="1"/>
  <c r="BI3613" i="1"/>
  <c r="BH3613" i="1"/>
  <c r="DE696" i="1"/>
  <c r="CY696" i="1"/>
  <c r="K696" i="1"/>
  <c r="CX696" i="1"/>
  <c r="CV696" i="1"/>
  <c r="CU696" i="1"/>
  <c r="I696" i="1"/>
  <c r="BI696" i="1"/>
  <c r="BH696" i="1"/>
  <c r="DE3004" i="1"/>
  <c r="CY3004" i="1"/>
  <c r="K3004" i="1"/>
  <c r="CX3004" i="1"/>
  <c r="CV3004" i="1"/>
  <c r="CU3004" i="1"/>
  <c r="I3004" i="1"/>
  <c r="BI3004" i="1"/>
  <c r="BH3004" i="1"/>
  <c r="DE695" i="1"/>
  <c r="CY695" i="1"/>
  <c r="K695" i="1"/>
  <c r="CX695" i="1"/>
  <c r="CV695" i="1"/>
  <c r="CU695" i="1"/>
  <c r="I695" i="1"/>
  <c r="BI695" i="1"/>
  <c r="BH695" i="1"/>
  <c r="DE3334" i="1"/>
  <c r="CY3334" i="1"/>
  <c r="K3334" i="1"/>
  <c r="CX3334" i="1"/>
  <c r="CV3334" i="1"/>
  <c r="CU3334" i="1"/>
  <c r="I3334" i="1"/>
  <c r="CT3334" i="1"/>
  <c r="BI3334" i="1"/>
  <c r="BH3334" i="1"/>
  <c r="DE694" i="1"/>
  <c r="CY694" i="1"/>
  <c r="K694" i="1"/>
  <c r="CX694" i="1"/>
  <c r="CV694" i="1"/>
  <c r="CU694" i="1"/>
  <c r="I694" i="1"/>
  <c r="BI694" i="1"/>
  <c r="BH694" i="1"/>
  <c r="DE3420" i="1"/>
  <c r="CY3420" i="1"/>
  <c r="K3420" i="1"/>
  <c r="CX3420" i="1"/>
  <c r="CV3420" i="1"/>
  <c r="CU3420" i="1"/>
  <c r="I3420" i="1"/>
  <c r="CT3420" i="1"/>
  <c r="BI3420" i="1"/>
  <c r="BH3420" i="1"/>
  <c r="DE693" i="1"/>
  <c r="CY693" i="1"/>
  <c r="K693" i="1"/>
  <c r="CX693" i="1"/>
  <c r="CV693" i="1"/>
  <c r="CU693" i="1"/>
  <c r="I693" i="1"/>
  <c r="BI693" i="1"/>
  <c r="BH693" i="1"/>
  <c r="DE3533" i="1"/>
  <c r="CY3533" i="1"/>
  <c r="K3533" i="1"/>
  <c r="CX3533" i="1"/>
  <c r="CV3533" i="1"/>
  <c r="CU3533" i="1"/>
  <c r="I3533" i="1"/>
  <c r="CT3533" i="1"/>
  <c r="BI3533" i="1"/>
  <c r="BH3533" i="1"/>
  <c r="DE692" i="1"/>
  <c r="CY692" i="1"/>
  <c r="K692" i="1"/>
  <c r="CX692" i="1"/>
  <c r="CV692" i="1"/>
  <c r="CU692" i="1"/>
  <c r="I692" i="1"/>
  <c r="BI692" i="1"/>
  <c r="BH692" i="1"/>
  <c r="DE2670" i="1"/>
  <c r="CY2670" i="1"/>
  <c r="K2670" i="1"/>
  <c r="CX2670" i="1"/>
  <c r="CV2670" i="1"/>
  <c r="CU2670" i="1"/>
  <c r="I2670" i="1"/>
  <c r="BI2670" i="1"/>
  <c r="BH2670" i="1"/>
  <c r="DE691" i="1"/>
  <c r="CY691" i="1"/>
  <c r="K691" i="1"/>
  <c r="CX691" i="1"/>
  <c r="CV691" i="1"/>
  <c r="CU691" i="1"/>
  <c r="I691" i="1"/>
  <c r="BI691" i="1"/>
  <c r="BH691" i="1"/>
  <c r="DE3676" i="1"/>
  <c r="CY3676" i="1"/>
  <c r="K3676" i="1"/>
  <c r="CX3676" i="1"/>
  <c r="CV3676" i="1"/>
  <c r="CU3676" i="1"/>
  <c r="I3676" i="1"/>
  <c r="CT3676" i="1"/>
  <c r="BI3676" i="1"/>
  <c r="BH3676" i="1"/>
  <c r="DE690" i="1"/>
  <c r="CY690" i="1"/>
  <c r="K690" i="1"/>
  <c r="CX690" i="1"/>
  <c r="CV690" i="1"/>
  <c r="CU690" i="1"/>
  <c r="I690" i="1"/>
  <c r="BI690" i="1"/>
  <c r="BH690" i="1"/>
  <c r="DE2673" i="1"/>
  <c r="CY2673" i="1"/>
  <c r="K2673" i="1"/>
  <c r="CX2673" i="1"/>
  <c r="CV2673" i="1"/>
  <c r="CU2673" i="1"/>
  <c r="I2673" i="1"/>
  <c r="BI2673" i="1"/>
  <c r="BH2673" i="1"/>
  <c r="DE689" i="1"/>
  <c r="CY689" i="1"/>
  <c r="K689" i="1"/>
  <c r="CX689" i="1"/>
  <c r="CV689" i="1"/>
  <c r="CU689" i="1"/>
  <c r="I689" i="1"/>
  <c r="BI689" i="1"/>
  <c r="BH689" i="1"/>
  <c r="DE3739" i="1"/>
  <c r="CY3739" i="1"/>
  <c r="K3739" i="1"/>
  <c r="CX3739" i="1"/>
  <c r="CV3739" i="1"/>
  <c r="CU3739" i="1"/>
  <c r="I3739" i="1"/>
  <c r="CT3739" i="1"/>
  <c r="BI3739" i="1"/>
  <c r="BH3739" i="1"/>
  <c r="DE688" i="1"/>
  <c r="CY688" i="1"/>
  <c r="K688" i="1"/>
  <c r="CX688" i="1"/>
  <c r="CV688" i="1"/>
  <c r="CU688" i="1"/>
  <c r="I688" i="1"/>
  <c r="BI688" i="1"/>
  <c r="BH688" i="1"/>
  <c r="DE2978" i="1"/>
  <c r="CY2978" i="1"/>
  <c r="K2978" i="1"/>
  <c r="CX2978" i="1"/>
  <c r="CV2978" i="1"/>
  <c r="CU2978" i="1"/>
  <c r="I2978" i="1"/>
  <c r="BI2978" i="1"/>
  <c r="BH2978" i="1"/>
  <c r="DE2976" i="1"/>
  <c r="CY2976" i="1"/>
  <c r="K2976" i="1"/>
  <c r="CX2976" i="1"/>
  <c r="CV2976" i="1"/>
  <c r="CU2976" i="1"/>
  <c r="I2976" i="1"/>
  <c r="BI2976" i="1"/>
  <c r="BH2976" i="1"/>
  <c r="DE2974" i="1"/>
  <c r="CY2974" i="1"/>
  <c r="K2974" i="1"/>
  <c r="CX2974" i="1"/>
  <c r="CV2974" i="1"/>
  <c r="CU2974" i="1"/>
  <c r="I2974" i="1"/>
  <c r="BI2974" i="1"/>
  <c r="BH2974" i="1"/>
  <c r="DE486" i="1"/>
  <c r="CY486" i="1"/>
  <c r="K486" i="1"/>
  <c r="CX486" i="1"/>
  <c r="CV486" i="1"/>
  <c r="CU486" i="1"/>
  <c r="I486" i="1"/>
  <c r="BI486" i="1"/>
  <c r="BH486" i="1"/>
  <c r="DE2971" i="1"/>
  <c r="CY2971" i="1"/>
  <c r="K2971" i="1"/>
  <c r="CX2971" i="1"/>
  <c r="CV2971" i="1"/>
  <c r="CU2971" i="1"/>
  <c r="I2971" i="1"/>
  <c r="BI2971" i="1"/>
  <c r="BH2971" i="1"/>
  <c r="DE684" i="1"/>
  <c r="CY684" i="1"/>
  <c r="K684" i="1"/>
  <c r="CX684" i="1"/>
  <c r="CV684" i="1"/>
  <c r="CU684" i="1"/>
  <c r="I684" i="1"/>
  <c r="BI684" i="1"/>
  <c r="BH684" i="1"/>
  <c r="DE2362" i="1"/>
  <c r="CY2362" i="1"/>
  <c r="K2362" i="1"/>
  <c r="CX2362" i="1"/>
  <c r="CV2362" i="1"/>
  <c r="CU2362" i="1"/>
  <c r="I2362" i="1"/>
  <c r="BI2362" i="1"/>
  <c r="BH2362" i="1"/>
  <c r="DE683" i="1"/>
  <c r="CY683" i="1"/>
  <c r="K683" i="1"/>
  <c r="CX683" i="1"/>
  <c r="CV683" i="1"/>
  <c r="CU683" i="1"/>
  <c r="I683" i="1"/>
  <c r="BI683" i="1"/>
  <c r="BH683" i="1"/>
  <c r="DE2965" i="1"/>
  <c r="CY2965" i="1"/>
  <c r="K2965" i="1"/>
  <c r="CX2965" i="1"/>
  <c r="CV2965" i="1"/>
  <c r="CU2965" i="1"/>
  <c r="I2965" i="1"/>
  <c r="BI2965" i="1"/>
  <c r="BH2965" i="1"/>
  <c r="DE682" i="1"/>
  <c r="CY682" i="1"/>
  <c r="K682" i="1"/>
  <c r="CX682" i="1"/>
  <c r="CV682" i="1"/>
  <c r="CU682" i="1"/>
  <c r="I682" i="1"/>
  <c r="BI682" i="1"/>
  <c r="BH682" i="1"/>
  <c r="DE3467" i="1"/>
  <c r="CY3467" i="1"/>
  <c r="K3467" i="1"/>
  <c r="CX3467" i="1"/>
  <c r="CV3467" i="1"/>
  <c r="CU3467" i="1"/>
  <c r="I3467" i="1"/>
  <c r="CT3467" i="1"/>
  <c r="BI3467" i="1"/>
  <c r="BH3467" i="1"/>
  <c r="DE681" i="1"/>
  <c r="CY681" i="1"/>
  <c r="K681" i="1"/>
  <c r="CX681" i="1"/>
  <c r="CV681" i="1"/>
  <c r="CU681" i="1"/>
  <c r="I681" i="1"/>
  <c r="BI681" i="1"/>
  <c r="BH681" i="1"/>
  <c r="DE3569" i="1"/>
  <c r="CY3569" i="1"/>
  <c r="K3569" i="1"/>
  <c r="CX3569" i="1"/>
  <c r="CV3569" i="1"/>
  <c r="CU3569" i="1"/>
  <c r="I3569" i="1"/>
  <c r="CT3569" i="1"/>
  <c r="BI3569" i="1"/>
  <c r="BH3569" i="1"/>
  <c r="DE484" i="1"/>
  <c r="CY484" i="1"/>
  <c r="K484" i="1"/>
  <c r="CX484" i="1"/>
  <c r="CV484" i="1"/>
  <c r="CU484" i="1"/>
  <c r="I484" i="1"/>
  <c r="BI484" i="1"/>
  <c r="BH484" i="1"/>
  <c r="DE3710" i="1"/>
  <c r="CY3710" i="1"/>
  <c r="K3710" i="1"/>
  <c r="CX3710" i="1"/>
  <c r="CV3710" i="1"/>
  <c r="CU3710" i="1"/>
  <c r="I3710" i="1"/>
  <c r="CT3710" i="1"/>
  <c r="BI3710" i="1"/>
  <c r="BH3710" i="1"/>
  <c r="DE680" i="1"/>
  <c r="CY680" i="1"/>
  <c r="K680" i="1"/>
  <c r="CX680" i="1"/>
  <c r="CV680" i="1"/>
  <c r="CU680" i="1"/>
  <c r="I680" i="1"/>
  <c r="BI680" i="1"/>
  <c r="BH680" i="1"/>
  <c r="DE2642" i="1"/>
  <c r="CY2642" i="1"/>
  <c r="K2642" i="1"/>
  <c r="CX2642" i="1"/>
  <c r="CV2642" i="1"/>
  <c r="CU2642" i="1"/>
  <c r="I2642" i="1"/>
  <c r="BI2642" i="1"/>
  <c r="BH2642" i="1"/>
  <c r="DE679" i="1"/>
  <c r="CY679" i="1"/>
  <c r="K679" i="1"/>
  <c r="CX679" i="1"/>
  <c r="CV679" i="1"/>
  <c r="CU679" i="1"/>
  <c r="I679" i="1"/>
  <c r="BI679" i="1"/>
  <c r="BH679" i="1"/>
  <c r="DE3656" i="1"/>
  <c r="CY3656" i="1"/>
  <c r="K3656" i="1"/>
  <c r="CX3656" i="1"/>
  <c r="CV3656" i="1"/>
  <c r="CU3656" i="1"/>
  <c r="I3656" i="1"/>
  <c r="CT3656" i="1"/>
  <c r="BI3656" i="1"/>
  <c r="BH3656" i="1"/>
  <c r="DE678" i="1"/>
  <c r="CY678" i="1"/>
  <c r="K678" i="1"/>
  <c r="CX678" i="1"/>
  <c r="CV678" i="1"/>
  <c r="CU678" i="1"/>
  <c r="I678" i="1"/>
  <c r="BI678" i="1"/>
  <c r="BH678" i="1"/>
  <c r="DE493" i="1"/>
  <c r="CY493" i="1"/>
  <c r="K493" i="1"/>
  <c r="CX493" i="1"/>
  <c r="CV493" i="1"/>
  <c r="CU493" i="1"/>
  <c r="I493" i="1"/>
  <c r="BI493" i="1"/>
  <c r="BH493" i="1"/>
  <c r="DE677" i="1"/>
  <c r="CY677" i="1"/>
  <c r="K677" i="1"/>
  <c r="CX677" i="1"/>
  <c r="CV677" i="1"/>
  <c r="CU677" i="1"/>
  <c r="I677" i="1"/>
  <c r="BI677" i="1"/>
  <c r="BH677" i="1"/>
  <c r="DE2945" i="1"/>
  <c r="CY2945" i="1"/>
  <c r="K2945" i="1"/>
  <c r="CX2945" i="1"/>
  <c r="CV2945" i="1"/>
  <c r="CU2945" i="1"/>
  <c r="I2945" i="1"/>
  <c r="BI2945" i="1"/>
  <c r="BH2945" i="1"/>
  <c r="DE676" i="1"/>
  <c r="CY676" i="1"/>
  <c r="K676" i="1"/>
  <c r="CX676" i="1"/>
  <c r="CV676" i="1"/>
  <c r="CU676" i="1"/>
  <c r="I676" i="1"/>
  <c r="BI676" i="1"/>
  <c r="BH676" i="1"/>
  <c r="DE3581" i="1"/>
  <c r="CY3581" i="1"/>
  <c r="K3581" i="1"/>
  <c r="CX3581" i="1"/>
  <c r="CV3581" i="1"/>
  <c r="CU3581" i="1"/>
  <c r="I3581" i="1"/>
  <c r="CT3581" i="1"/>
  <c r="BI3581" i="1"/>
  <c r="BH3581" i="1"/>
  <c r="DE675" i="1"/>
  <c r="CY675" i="1"/>
  <c r="K675" i="1"/>
  <c r="CX675" i="1"/>
  <c r="CV675" i="1"/>
  <c r="CU675" i="1"/>
  <c r="I675" i="1"/>
  <c r="BI675" i="1"/>
  <c r="BH675" i="1"/>
  <c r="DE3342" i="1"/>
  <c r="CY3342" i="1"/>
  <c r="K3342" i="1"/>
  <c r="CX3342" i="1"/>
  <c r="CV3342" i="1"/>
  <c r="CU3342" i="1"/>
  <c r="I3342" i="1"/>
  <c r="CT3342" i="1"/>
  <c r="BI3342" i="1"/>
  <c r="BH3342" i="1"/>
  <c r="DE674" i="1"/>
  <c r="CY674" i="1"/>
  <c r="K674" i="1"/>
  <c r="CX674" i="1"/>
  <c r="CV674" i="1"/>
  <c r="CU674" i="1"/>
  <c r="I674" i="1"/>
  <c r="BI674" i="1"/>
  <c r="BH674" i="1"/>
  <c r="DE3684" i="1"/>
  <c r="CY3684" i="1"/>
  <c r="K3684" i="1"/>
  <c r="CX3684" i="1"/>
  <c r="CV3684" i="1"/>
  <c r="CU3684" i="1"/>
  <c r="I3684" i="1"/>
  <c r="CT3684" i="1"/>
  <c r="BI3684" i="1"/>
  <c r="BH3684" i="1"/>
  <c r="DE673" i="1"/>
  <c r="CY673" i="1"/>
  <c r="K673" i="1"/>
  <c r="CX673" i="1"/>
  <c r="CV673" i="1"/>
  <c r="CU673" i="1"/>
  <c r="I673" i="1"/>
  <c r="BI673" i="1"/>
  <c r="BH673" i="1"/>
  <c r="DE3647" i="1"/>
  <c r="CY3647" i="1"/>
  <c r="K3647" i="1"/>
  <c r="CX3647" i="1"/>
  <c r="CV3647" i="1"/>
  <c r="CU3647" i="1"/>
  <c r="I3647" i="1"/>
  <c r="CT3647" i="1"/>
  <c r="BI3647" i="1"/>
  <c r="BH3647" i="1"/>
  <c r="DE672" i="1"/>
  <c r="CY672" i="1"/>
  <c r="K672" i="1"/>
  <c r="CX672" i="1"/>
  <c r="CV672" i="1"/>
  <c r="CU672" i="1"/>
  <c r="I672" i="1"/>
  <c r="BI672" i="1"/>
  <c r="BH672" i="1"/>
  <c r="DE2930" i="1"/>
  <c r="CY2930" i="1"/>
  <c r="K2930" i="1"/>
  <c r="CX2930" i="1"/>
  <c r="CV2930" i="1"/>
  <c r="CU2930" i="1"/>
  <c r="I2930" i="1"/>
  <c r="BI2930" i="1"/>
  <c r="BH2930" i="1"/>
  <c r="DE671" i="1"/>
  <c r="CY671" i="1"/>
  <c r="K671" i="1"/>
  <c r="CX671" i="1"/>
  <c r="CV671" i="1"/>
  <c r="CU671" i="1"/>
  <c r="I671" i="1"/>
  <c r="BI671" i="1"/>
  <c r="BH671" i="1"/>
  <c r="DE2929" i="1"/>
  <c r="CY2929" i="1"/>
  <c r="K2929" i="1"/>
  <c r="CX2929" i="1"/>
  <c r="CV2929" i="1"/>
  <c r="CU2929" i="1"/>
  <c r="I2929" i="1"/>
  <c r="BI2929" i="1"/>
  <c r="BH2929" i="1"/>
  <c r="DE670" i="1"/>
  <c r="CY670" i="1"/>
  <c r="K670" i="1"/>
  <c r="CX670" i="1"/>
  <c r="CV670" i="1"/>
  <c r="CU670" i="1"/>
  <c r="I670" i="1"/>
  <c r="BI670" i="1"/>
  <c r="BH670" i="1"/>
  <c r="DE2925" i="1"/>
  <c r="CY2925" i="1"/>
  <c r="K2925" i="1"/>
  <c r="CX2925" i="1"/>
  <c r="CV2925" i="1"/>
  <c r="CU2925" i="1"/>
  <c r="I2925" i="1"/>
  <c r="BI2925" i="1"/>
  <c r="BH2925" i="1"/>
  <c r="DE669" i="1"/>
  <c r="CY669" i="1"/>
  <c r="K669" i="1"/>
  <c r="CX669" i="1"/>
  <c r="CV669" i="1"/>
  <c r="CU669" i="1"/>
  <c r="I669" i="1"/>
  <c r="BI669" i="1"/>
  <c r="BH669" i="1"/>
  <c r="DE3735" i="1"/>
  <c r="CY3735" i="1"/>
  <c r="K3735" i="1"/>
  <c r="CX3735" i="1"/>
  <c r="CV3735" i="1"/>
  <c r="CU3735" i="1"/>
  <c r="I3735" i="1"/>
  <c r="CT3735" i="1"/>
  <c r="BI3735" i="1"/>
  <c r="BH3735" i="1"/>
  <c r="DE639" i="1"/>
  <c r="CY639" i="1"/>
  <c r="K639" i="1"/>
  <c r="CX639" i="1"/>
  <c r="CV639" i="1"/>
  <c r="CU639" i="1"/>
  <c r="I639" i="1"/>
  <c r="BI639" i="1"/>
  <c r="BH639" i="1"/>
  <c r="DE2366" i="1"/>
  <c r="CY2366" i="1"/>
  <c r="K2366" i="1"/>
  <c r="CX2366" i="1"/>
  <c r="CV2366" i="1"/>
  <c r="CU2366" i="1"/>
  <c r="I2366" i="1"/>
  <c r="BI2366" i="1"/>
  <c r="BH2366" i="1"/>
  <c r="DE638" i="1"/>
  <c r="CY638" i="1"/>
  <c r="K638" i="1"/>
  <c r="CX638" i="1"/>
  <c r="CV638" i="1"/>
  <c r="CU638" i="1"/>
  <c r="I638" i="1"/>
  <c r="BI638" i="1"/>
  <c r="BH638" i="1"/>
  <c r="DE3591" i="1"/>
  <c r="CY3591" i="1"/>
  <c r="K3591" i="1"/>
  <c r="CX3591" i="1"/>
  <c r="CV3591" i="1"/>
  <c r="CU3591" i="1"/>
  <c r="I3591" i="1"/>
  <c r="CT3591" i="1"/>
  <c r="BI3591" i="1"/>
  <c r="BH3591" i="1"/>
  <c r="DE637" i="1"/>
  <c r="CY637" i="1"/>
  <c r="K637" i="1"/>
  <c r="CX637" i="1"/>
  <c r="CV637" i="1"/>
  <c r="CU637" i="1"/>
  <c r="I637" i="1"/>
  <c r="BI637" i="1"/>
  <c r="BH637" i="1"/>
  <c r="DE3500" i="1"/>
  <c r="CY3500" i="1"/>
  <c r="K3500" i="1"/>
  <c r="CX3500" i="1"/>
  <c r="CV3500" i="1"/>
  <c r="CU3500" i="1"/>
  <c r="I3500" i="1"/>
  <c r="CT3500" i="1"/>
  <c r="BI3500" i="1"/>
  <c r="BH3500" i="1"/>
  <c r="DE636" i="1"/>
  <c r="CY636" i="1"/>
  <c r="K636" i="1"/>
  <c r="CX636" i="1"/>
  <c r="CV636" i="1"/>
  <c r="CU636" i="1"/>
  <c r="I636" i="1"/>
  <c r="BI636" i="1"/>
  <c r="BH636" i="1"/>
  <c r="DE3447" i="1"/>
  <c r="CY3447" i="1"/>
  <c r="K3447" i="1"/>
  <c r="CX3447" i="1"/>
  <c r="CV3447" i="1"/>
  <c r="CU3447" i="1"/>
  <c r="I3447" i="1"/>
  <c r="CT3447" i="1"/>
  <c r="BI3447" i="1"/>
  <c r="BH3447" i="1"/>
  <c r="DE635" i="1"/>
  <c r="CY635" i="1"/>
  <c r="K635" i="1"/>
  <c r="CX635" i="1"/>
  <c r="CV635" i="1"/>
  <c r="CU635" i="1"/>
  <c r="I635" i="1"/>
  <c r="BI635" i="1"/>
  <c r="BH635" i="1"/>
  <c r="DE2228" i="1"/>
  <c r="CY2228" i="1"/>
  <c r="K2228" i="1"/>
  <c r="CX2228" i="1"/>
  <c r="CV2228" i="1"/>
  <c r="CU2228" i="1"/>
  <c r="I2228" i="1"/>
  <c r="BI2228" i="1"/>
  <c r="BH2228" i="1"/>
  <c r="DE634" i="1"/>
  <c r="CY634" i="1"/>
  <c r="K634" i="1"/>
  <c r="CX634" i="1"/>
  <c r="CV634" i="1"/>
  <c r="CU634" i="1"/>
  <c r="I634" i="1"/>
  <c r="BI634" i="1"/>
  <c r="BH634" i="1"/>
  <c r="DE2225" i="1"/>
  <c r="CY2225" i="1"/>
  <c r="K2225" i="1"/>
  <c r="CX2225" i="1"/>
  <c r="CV2225" i="1"/>
  <c r="CU2225" i="1"/>
  <c r="I2225" i="1"/>
  <c r="BI2225" i="1"/>
  <c r="BH2225" i="1"/>
  <c r="DE631" i="1"/>
  <c r="CY631" i="1"/>
  <c r="K631" i="1"/>
  <c r="CX631" i="1"/>
  <c r="CV631" i="1"/>
  <c r="CU631" i="1"/>
  <c r="I631" i="1"/>
  <c r="BI631" i="1"/>
  <c r="BH631" i="1"/>
  <c r="DE2223" i="1"/>
  <c r="CY2223" i="1"/>
  <c r="K2223" i="1"/>
  <c r="CX2223" i="1"/>
  <c r="CV2223" i="1"/>
  <c r="CU2223" i="1"/>
  <c r="I2223" i="1"/>
  <c r="BI2223" i="1"/>
  <c r="BH2223" i="1"/>
  <c r="DE632" i="1"/>
  <c r="CY632" i="1"/>
  <c r="K632" i="1"/>
  <c r="CX632" i="1"/>
  <c r="CV632" i="1"/>
  <c r="CU632" i="1"/>
  <c r="I632" i="1"/>
  <c r="BI632" i="1"/>
  <c r="BH632" i="1"/>
  <c r="DE3539" i="1"/>
  <c r="CY3539" i="1"/>
  <c r="K3539" i="1"/>
  <c r="CX3539" i="1"/>
  <c r="CV3539" i="1"/>
  <c r="CU3539" i="1"/>
  <c r="I3539" i="1"/>
  <c r="CT3539" i="1"/>
  <c r="BI3539" i="1"/>
  <c r="BH3539" i="1"/>
  <c r="DE630" i="1"/>
  <c r="CY630" i="1"/>
  <c r="K630" i="1"/>
  <c r="CX630" i="1"/>
  <c r="CV630" i="1"/>
  <c r="CU630" i="1"/>
  <c r="I630" i="1"/>
  <c r="BI630" i="1"/>
  <c r="BH630" i="1"/>
  <c r="DE2368" i="1"/>
  <c r="CY2368" i="1"/>
  <c r="K2368" i="1"/>
  <c r="CX2368" i="1"/>
  <c r="CV2368" i="1"/>
  <c r="CU2368" i="1"/>
  <c r="I2368" i="1"/>
  <c r="BI2368" i="1"/>
  <c r="BH2368" i="1"/>
  <c r="DE629" i="1"/>
  <c r="CY629" i="1"/>
  <c r="K629" i="1"/>
  <c r="CX629" i="1"/>
  <c r="CV629" i="1"/>
  <c r="CU629" i="1"/>
  <c r="I629" i="1"/>
  <c r="BI629" i="1"/>
  <c r="BH629" i="1"/>
  <c r="DE2903" i="1"/>
  <c r="CY2903" i="1"/>
  <c r="K2903" i="1"/>
  <c r="CX2903" i="1"/>
  <c r="CV2903" i="1"/>
  <c r="CU2903" i="1"/>
  <c r="I2903" i="1"/>
  <c r="BI2903" i="1"/>
  <c r="BH2903" i="1"/>
  <c r="DE466" i="1"/>
  <c r="CY466" i="1"/>
  <c r="K466" i="1"/>
  <c r="CX466" i="1"/>
  <c r="CV466" i="1"/>
  <c r="CU466" i="1"/>
  <c r="I466" i="1"/>
  <c r="BI466" i="1"/>
  <c r="BH466" i="1"/>
  <c r="DE3653" i="1"/>
  <c r="CY3653" i="1"/>
  <c r="K3653" i="1"/>
  <c r="CX3653" i="1"/>
  <c r="CV3653" i="1"/>
  <c r="CU3653" i="1"/>
  <c r="I3653" i="1"/>
  <c r="CT3653" i="1"/>
  <c r="BI3653" i="1"/>
  <c r="BH3653" i="1"/>
  <c r="DE628" i="1"/>
  <c r="CY628" i="1"/>
  <c r="K628" i="1"/>
  <c r="CX628" i="1"/>
  <c r="CV628" i="1"/>
  <c r="CU628" i="1"/>
  <c r="I628" i="1"/>
  <c r="BI628" i="1"/>
  <c r="BH628" i="1"/>
  <c r="DE3636" i="1"/>
  <c r="CY3636" i="1"/>
  <c r="K3636" i="1"/>
  <c r="CX3636" i="1"/>
  <c r="CV3636" i="1"/>
  <c r="CU3636" i="1"/>
  <c r="I3636" i="1"/>
  <c r="CT3636" i="1"/>
  <c r="BI3636" i="1"/>
  <c r="BH3636" i="1"/>
  <c r="DE627" i="1"/>
  <c r="CY627" i="1"/>
  <c r="K627" i="1"/>
  <c r="CX627" i="1"/>
  <c r="CV627" i="1"/>
  <c r="CU627" i="1"/>
  <c r="I627" i="1"/>
  <c r="BI627" i="1"/>
  <c r="BH627" i="1"/>
  <c r="DE2904" i="1"/>
  <c r="CY2904" i="1"/>
  <c r="K2904" i="1"/>
  <c r="CX2904" i="1"/>
  <c r="CV2904" i="1"/>
  <c r="CU2904" i="1"/>
  <c r="I2904" i="1"/>
  <c r="BI2904" i="1"/>
  <c r="BH2904" i="1"/>
  <c r="DE626" i="1"/>
  <c r="CY626" i="1"/>
  <c r="K626" i="1"/>
  <c r="CX626" i="1"/>
  <c r="CV626" i="1"/>
  <c r="CU626" i="1"/>
  <c r="I626" i="1"/>
  <c r="BI626" i="1"/>
  <c r="BH626" i="1"/>
  <c r="DE3379" i="1"/>
  <c r="CY3379" i="1"/>
  <c r="K3379" i="1"/>
  <c r="CX3379" i="1"/>
  <c r="CV3379" i="1"/>
  <c r="CU3379" i="1"/>
  <c r="I3379" i="1"/>
  <c r="CT3379" i="1"/>
  <c r="BI3379" i="1"/>
  <c r="BH3379" i="1"/>
  <c r="DE625" i="1"/>
  <c r="CY625" i="1"/>
  <c r="K625" i="1"/>
  <c r="CX625" i="1"/>
  <c r="CV625" i="1"/>
  <c r="CU625" i="1"/>
  <c r="I625" i="1"/>
  <c r="BI625" i="1"/>
  <c r="BH625" i="1"/>
  <c r="DE2204" i="1"/>
  <c r="CY2204" i="1"/>
  <c r="K2204" i="1"/>
  <c r="CX2204" i="1"/>
  <c r="CV2204" i="1"/>
  <c r="CU2204" i="1"/>
  <c r="I2204" i="1"/>
  <c r="BI2204" i="1"/>
  <c r="BH2204" i="1"/>
  <c r="DE624" i="1"/>
  <c r="CY624" i="1"/>
  <c r="K624" i="1"/>
  <c r="CX624" i="1"/>
  <c r="CV624" i="1"/>
  <c r="CU624" i="1"/>
  <c r="I624" i="1"/>
  <c r="BI624" i="1"/>
  <c r="BH624" i="1"/>
  <c r="DE3452" i="1"/>
  <c r="CY3452" i="1"/>
  <c r="K3452" i="1"/>
  <c r="CX3452" i="1"/>
  <c r="CV3452" i="1"/>
  <c r="CU3452" i="1"/>
  <c r="I3452" i="1"/>
  <c r="CT3452" i="1"/>
  <c r="BI3452" i="1"/>
  <c r="BH3452" i="1"/>
  <c r="DE623" i="1"/>
  <c r="CY623" i="1"/>
  <c r="K623" i="1"/>
  <c r="CX623" i="1"/>
  <c r="CV623" i="1"/>
  <c r="CU623" i="1"/>
  <c r="I623" i="1"/>
  <c r="BI623" i="1"/>
  <c r="BH623" i="1"/>
  <c r="DE2200" i="1"/>
  <c r="CY2200" i="1"/>
  <c r="K2200" i="1"/>
  <c r="CX2200" i="1"/>
  <c r="CV2200" i="1"/>
  <c r="CU2200" i="1"/>
  <c r="I2200" i="1"/>
  <c r="BI2200" i="1"/>
  <c r="BH2200" i="1"/>
  <c r="DE622" i="1"/>
  <c r="CY622" i="1"/>
  <c r="K622" i="1"/>
  <c r="CX622" i="1"/>
  <c r="CV622" i="1"/>
  <c r="CU622" i="1"/>
  <c r="I622" i="1"/>
  <c r="BI622" i="1"/>
  <c r="BH622" i="1"/>
  <c r="DE3749" i="1"/>
  <c r="CY3749" i="1"/>
  <c r="K3749" i="1"/>
  <c r="CX3749" i="1"/>
  <c r="CV3749" i="1"/>
  <c r="CU3749" i="1"/>
  <c r="I3749" i="1"/>
  <c r="CT3749" i="1"/>
  <c r="BI3749" i="1"/>
  <c r="BH3749" i="1"/>
  <c r="DE621" i="1"/>
  <c r="CY621" i="1"/>
  <c r="K621" i="1"/>
  <c r="CX621" i="1"/>
  <c r="CV621" i="1"/>
  <c r="CU621" i="1"/>
  <c r="I621" i="1"/>
  <c r="BI621" i="1"/>
  <c r="BH621" i="1"/>
  <c r="DE2893" i="1"/>
  <c r="CY2893" i="1"/>
  <c r="K2893" i="1"/>
  <c r="CX2893" i="1"/>
  <c r="CV2893" i="1"/>
  <c r="CU2893" i="1"/>
  <c r="I2893" i="1"/>
  <c r="BI2893" i="1"/>
  <c r="BH2893" i="1"/>
  <c r="DE470" i="1"/>
  <c r="CY470" i="1"/>
  <c r="K470" i="1"/>
  <c r="CX470" i="1"/>
  <c r="CV470" i="1"/>
  <c r="CU470" i="1"/>
  <c r="I470" i="1"/>
  <c r="BI470" i="1"/>
  <c r="BH470" i="1"/>
  <c r="DE3705" i="1"/>
  <c r="CY3705" i="1"/>
  <c r="K3705" i="1"/>
  <c r="CX3705" i="1"/>
  <c r="CV3705" i="1"/>
  <c r="CU3705" i="1"/>
  <c r="I3705" i="1"/>
  <c r="CT3705" i="1"/>
  <c r="BI3705" i="1"/>
  <c r="BH3705" i="1"/>
  <c r="DE620" i="1"/>
  <c r="CY620" i="1"/>
  <c r="K620" i="1"/>
  <c r="CX620" i="1"/>
  <c r="CV620" i="1"/>
  <c r="CU620" i="1"/>
  <c r="I620" i="1"/>
  <c r="BI620" i="1"/>
  <c r="BH620" i="1"/>
  <c r="DE2370" i="1"/>
  <c r="CY2370" i="1"/>
  <c r="K2370" i="1"/>
  <c r="CX2370" i="1"/>
  <c r="CV2370" i="1"/>
  <c r="CU2370" i="1"/>
  <c r="I2370" i="1"/>
  <c r="BI2370" i="1"/>
  <c r="BH2370" i="1"/>
  <c r="DE723" i="1"/>
  <c r="CY723" i="1"/>
  <c r="K723" i="1"/>
  <c r="CX723" i="1"/>
  <c r="CV723" i="1"/>
  <c r="CU723" i="1"/>
  <c r="I723" i="1"/>
  <c r="BI723" i="1"/>
  <c r="BH723" i="1"/>
  <c r="DE3590" i="1"/>
  <c r="CY3590" i="1"/>
  <c r="K3590" i="1"/>
  <c r="CX3590" i="1"/>
  <c r="CV3590" i="1"/>
  <c r="CU3590" i="1"/>
  <c r="I3590" i="1"/>
  <c r="CT3590" i="1"/>
  <c r="BI3590" i="1"/>
  <c r="BH3590" i="1"/>
  <c r="DE722" i="1"/>
  <c r="CY722" i="1"/>
  <c r="K722" i="1"/>
  <c r="CX722" i="1"/>
  <c r="CV722" i="1"/>
  <c r="CU722" i="1"/>
  <c r="I722" i="1"/>
  <c r="BI722" i="1"/>
  <c r="BH722" i="1"/>
  <c r="DE2184" i="1"/>
  <c r="CY2184" i="1"/>
  <c r="K2184" i="1"/>
  <c r="CX2184" i="1"/>
  <c r="CV2184" i="1"/>
  <c r="CU2184" i="1"/>
  <c r="I2184" i="1"/>
  <c r="BI2184" i="1"/>
  <c r="BH2184" i="1"/>
  <c r="DE721" i="1"/>
  <c r="CY721" i="1"/>
  <c r="K721" i="1"/>
  <c r="CX721" i="1"/>
  <c r="CV721" i="1"/>
  <c r="CU721" i="1"/>
  <c r="I721" i="1"/>
  <c r="BI721" i="1"/>
  <c r="BH721" i="1"/>
  <c r="DE3707" i="1"/>
  <c r="CY3707" i="1"/>
  <c r="K3707" i="1"/>
  <c r="CX3707" i="1"/>
  <c r="CV3707" i="1"/>
  <c r="CU3707" i="1"/>
  <c r="I3707" i="1"/>
  <c r="CT3707" i="1"/>
  <c r="BI3707" i="1"/>
  <c r="BH3707" i="1"/>
  <c r="DE619" i="1"/>
  <c r="CY619" i="1"/>
  <c r="K619" i="1"/>
  <c r="CX619" i="1"/>
  <c r="CV619" i="1"/>
  <c r="CU619" i="1"/>
  <c r="I619" i="1"/>
  <c r="BI619" i="1"/>
  <c r="BH619" i="1"/>
  <c r="DE2180" i="1"/>
  <c r="CY2180" i="1"/>
  <c r="K2180" i="1"/>
  <c r="CX2180" i="1"/>
  <c r="CV2180" i="1"/>
  <c r="CU2180" i="1"/>
  <c r="I2180" i="1"/>
  <c r="BI2180" i="1"/>
  <c r="BH2180" i="1"/>
  <c r="DE720" i="1"/>
  <c r="CY720" i="1"/>
  <c r="K720" i="1"/>
  <c r="CX720" i="1"/>
  <c r="CV720" i="1"/>
  <c r="CU720" i="1"/>
  <c r="I720" i="1"/>
  <c r="BI720" i="1"/>
  <c r="BH720" i="1"/>
  <c r="DE3644" i="1"/>
  <c r="CY3644" i="1"/>
  <c r="K3644" i="1"/>
  <c r="CX3644" i="1"/>
  <c r="CV3644" i="1"/>
  <c r="CU3644" i="1"/>
  <c r="I3644" i="1"/>
  <c r="CT3644" i="1"/>
  <c r="BI3644" i="1"/>
  <c r="BH3644" i="1"/>
  <c r="DE719" i="1"/>
  <c r="CY719" i="1"/>
  <c r="K719" i="1"/>
  <c r="CX719" i="1"/>
  <c r="CV719" i="1"/>
  <c r="CU719" i="1"/>
  <c r="I719" i="1"/>
  <c r="BI719" i="1"/>
  <c r="BH719" i="1"/>
  <c r="DE3634" i="1"/>
  <c r="CY3634" i="1"/>
  <c r="K3634" i="1"/>
  <c r="CX3634" i="1"/>
  <c r="CV3634" i="1"/>
  <c r="CU3634" i="1"/>
  <c r="I3634" i="1"/>
  <c r="CT3634" i="1"/>
  <c r="BI3634" i="1"/>
  <c r="BH3634" i="1"/>
  <c r="DE618" i="1"/>
  <c r="CY618" i="1"/>
  <c r="K618" i="1"/>
  <c r="CX618" i="1"/>
  <c r="CV618" i="1"/>
  <c r="CU618" i="1"/>
  <c r="I618" i="1"/>
  <c r="BI618" i="1"/>
  <c r="BH618" i="1"/>
  <c r="DE3374" i="1"/>
  <c r="CY3374" i="1"/>
  <c r="K3374" i="1"/>
  <c r="CX3374" i="1"/>
  <c r="CV3374" i="1"/>
  <c r="CU3374" i="1"/>
  <c r="I3374" i="1"/>
  <c r="CT3374" i="1"/>
  <c r="BI3374" i="1"/>
  <c r="BH3374" i="1"/>
  <c r="DE652" i="1"/>
  <c r="CY652" i="1"/>
  <c r="K652" i="1"/>
  <c r="CX652" i="1"/>
  <c r="CV652" i="1"/>
  <c r="CU652" i="1"/>
  <c r="I652" i="1"/>
  <c r="BI652" i="1"/>
  <c r="BH652" i="1"/>
  <c r="DE2372" i="1"/>
  <c r="CY2372" i="1"/>
  <c r="K2372" i="1"/>
  <c r="CX2372" i="1"/>
  <c r="CV2372" i="1"/>
  <c r="CU2372" i="1"/>
  <c r="I2372" i="1"/>
  <c r="BI2372" i="1"/>
  <c r="BH2372" i="1"/>
  <c r="DE714" i="1"/>
  <c r="CY714" i="1"/>
  <c r="K714" i="1"/>
  <c r="CX714" i="1"/>
  <c r="CV714" i="1"/>
  <c r="CU714" i="1"/>
  <c r="I714" i="1"/>
  <c r="BI714" i="1"/>
  <c r="BH714" i="1"/>
  <c r="DE3286" i="1"/>
  <c r="CY3286" i="1"/>
  <c r="K3286" i="1"/>
  <c r="CX3286" i="1"/>
  <c r="CV3286" i="1"/>
  <c r="CU3286" i="1"/>
  <c r="I3286" i="1"/>
  <c r="CT3286" i="1"/>
  <c r="BI3286" i="1"/>
  <c r="BH3286" i="1"/>
  <c r="DE713" i="1"/>
  <c r="CY713" i="1"/>
  <c r="K713" i="1"/>
  <c r="CX713" i="1"/>
  <c r="CV713" i="1"/>
  <c r="CU713" i="1"/>
  <c r="I713" i="1"/>
  <c r="BI713" i="1"/>
  <c r="BH713" i="1"/>
  <c r="DE2373" i="1"/>
  <c r="CY2373" i="1"/>
  <c r="K2373" i="1"/>
  <c r="CX2373" i="1"/>
  <c r="CV2373" i="1"/>
  <c r="CU2373" i="1"/>
  <c r="I2373" i="1"/>
  <c r="BI2373" i="1"/>
  <c r="BH2373" i="1"/>
  <c r="DE617" i="1"/>
  <c r="CY617" i="1"/>
  <c r="K617" i="1"/>
  <c r="CX617" i="1"/>
  <c r="CV617" i="1"/>
  <c r="CU617" i="1"/>
  <c r="I617" i="1"/>
  <c r="BI617" i="1"/>
  <c r="BH617" i="1"/>
  <c r="DE3323" i="1"/>
  <c r="CY3323" i="1"/>
  <c r="K3323" i="1"/>
  <c r="CX3323" i="1"/>
  <c r="CV3323" i="1"/>
  <c r="CU3323" i="1"/>
  <c r="I3323" i="1"/>
  <c r="CT3323" i="1"/>
  <c r="BI3323" i="1"/>
  <c r="BH3323" i="1"/>
  <c r="DE712" i="1"/>
  <c r="CY712" i="1"/>
  <c r="K712" i="1"/>
  <c r="CX712" i="1"/>
  <c r="CV712" i="1"/>
  <c r="CU712" i="1"/>
  <c r="I712" i="1"/>
  <c r="BI712" i="1"/>
  <c r="BH712" i="1"/>
  <c r="DE2635" i="1"/>
  <c r="CY2635" i="1"/>
  <c r="K2635" i="1"/>
  <c r="CX2635" i="1"/>
  <c r="CV2635" i="1"/>
  <c r="CU2635" i="1"/>
  <c r="I2635" i="1"/>
  <c r="BI2635" i="1"/>
  <c r="BH2635" i="1"/>
  <c r="DE711" i="1"/>
  <c r="CY711" i="1"/>
  <c r="K711" i="1"/>
  <c r="CX711" i="1"/>
  <c r="CV711" i="1"/>
  <c r="CU711" i="1"/>
  <c r="I711" i="1"/>
  <c r="BI711" i="1"/>
  <c r="BH711" i="1"/>
  <c r="DE3466" i="1"/>
  <c r="CY3466" i="1"/>
  <c r="K3466" i="1"/>
  <c r="CX3466" i="1"/>
  <c r="CV3466" i="1"/>
  <c r="CU3466" i="1"/>
  <c r="I3466" i="1"/>
  <c r="CT3466" i="1"/>
  <c r="BI3466" i="1"/>
  <c r="BH3466" i="1"/>
  <c r="DE710" i="1"/>
  <c r="CY710" i="1"/>
  <c r="K710" i="1"/>
  <c r="CX710" i="1"/>
  <c r="CV710" i="1"/>
  <c r="CU710" i="1"/>
  <c r="I710" i="1"/>
  <c r="BI710" i="1"/>
  <c r="BH710" i="1"/>
  <c r="DE3416" i="1"/>
  <c r="CY3416" i="1"/>
  <c r="K3416" i="1"/>
  <c r="CX3416" i="1"/>
  <c r="CV3416" i="1"/>
  <c r="CU3416" i="1"/>
  <c r="I3416" i="1"/>
  <c r="CT3416" i="1"/>
  <c r="BI3416" i="1"/>
  <c r="BH3416" i="1"/>
  <c r="DE709" i="1"/>
  <c r="CY709" i="1"/>
  <c r="K709" i="1"/>
  <c r="CX709" i="1"/>
  <c r="CV709" i="1"/>
  <c r="CU709" i="1"/>
  <c r="I709" i="1"/>
  <c r="BI709" i="1"/>
  <c r="BH709" i="1"/>
  <c r="DE2873" i="1"/>
  <c r="CY2873" i="1"/>
  <c r="K2873" i="1"/>
  <c r="CX2873" i="1"/>
  <c r="CV2873" i="1"/>
  <c r="CU2873" i="1"/>
  <c r="I2873" i="1"/>
  <c r="BI2873" i="1"/>
  <c r="BH2873" i="1"/>
  <c r="DE616" i="1"/>
  <c r="CY616" i="1"/>
  <c r="K616" i="1"/>
  <c r="CX616" i="1"/>
  <c r="CV616" i="1"/>
  <c r="CU616" i="1"/>
  <c r="I616" i="1"/>
  <c r="BI616" i="1"/>
  <c r="BH616" i="1"/>
  <c r="DE2151" i="1"/>
  <c r="CY2151" i="1"/>
  <c r="K2151" i="1"/>
  <c r="CX2151" i="1"/>
  <c r="CV2151" i="1"/>
  <c r="CU2151" i="1"/>
  <c r="I2151" i="1"/>
  <c r="BI2151" i="1"/>
  <c r="BH2151" i="1"/>
  <c r="DE708" i="1"/>
  <c r="CY708" i="1"/>
  <c r="K708" i="1"/>
  <c r="CX708" i="1"/>
  <c r="CV708" i="1"/>
  <c r="CU708" i="1"/>
  <c r="I708" i="1"/>
  <c r="BI708" i="1"/>
  <c r="BH708" i="1"/>
  <c r="DE3680" i="1"/>
  <c r="CY3680" i="1"/>
  <c r="K3680" i="1"/>
  <c r="CX3680" i="1"/>
  <c r="CV3680" i="1"/>
  <c r="CU3680" i="1"/>
  <c r="I3680" i="1"/>
  <c r="CT3680" i="1"/>
  <c r="BI3680" i="1"/>
  <c r="BH3680" i="1"/>
  <c r="DE707" i="1"/>
  <c r="CY707" i="1"/>
  <c r="K707" i="1"/>
  <c r="CX707" i="1"/>
  <c r="CV707" i="1"/>
  <c r="CU707" i="1"/>
  <c r="I707" i="1"/>
  <c r="BI707" i="1"/>
  <c r="BH707" i="1"/>
  <c r="DE3439" i="1"/>
  <c r="CY3439" i="1"/>
  <c r="K3439" i="1"/>
  <c r="CX3439" i="1"/>
  <c r="CV3439" i="1"/>
  <c r="CU3439" i="1"/>
  <c r="I3439" i="1"/>
  <c r="CT3439" i="1"/>
  <c r="BI3439" i="1"/>
  <c r="BH3439" i="1"/>
  <c r="DE706" i="1"/>
  <c r="CY706" i="1"/>
  <c r="K706" i="1"/>
  <c r="CX706" i="1"/>
  <c r="CV706" i="1"/>
  <c r="CU706" i="1"/>
  <c r="I706" i="1"/>
  <c r="BI706" i="1"/>
  <c r="BH706" i="1"/>
  <c r="DE3752" i="1"/>
  <c r="CY3752" i="1"/>
  <c r="K3752" i="1"/>
  <c r="CX3752" i="1"/>
  <c r="CV3752" i="1"/>
  <c r="CU3752" i="1"/>
  <c r="I3752" i="1"/>
  <c r="CT3752" i="1"/>
  <c r="BI3752" i="1"/>
  <c r="BH3752" i="1"/>
  <c r="DE705" i="1"/>
  <c r="CY705" i="1"/>
  <c r="K705" i="1"/>
  <c r="CX705" i="1"/>
  <c r="CV705" i="1"/>
  <c r="CU705" i="1"/>
  <c r="I705" i="1"/>
  <c r="BI705" i="1"/>
  <c r="BH705" i="1"/>
  <c r="DE3586" i="1"/>
  <c r="CY3586" i="1"/>
  <c r="K3586" i="1"/>
  <c r="CX3586" i="1"/>
  <c r="CV3586" i="1"/>
  <c r="CU3586" i="1"/>
  <c r="I3586" i="1"/>
  <c r="CT3586" i="1"/>
  <c r="BI3586" i="1"/>
  <c r="BH3586" i="1"/>
  <c r="DE615" i="1"/>
  <c r="CY615" i="1"/>
  <c r="K615" i="1"/>
  <c r="CX615" i="1"/>
  <c r="CV615" i="1"/>
  <c r="CU615" i="1"/>
  <c r="I615" i="1"/>
  <c r="BI615" i="1"/>
  <c r="BH615" i="1"/>
  <c r="DE3740" i="1"/>
  <c r="CY3740" i="1"/>
  <c r="K3740" i="1"/>
  <c r="CX3740" i="1"/>
  <c r="CV3740" i="1"/>
  <c r="CU3740" i="1"/>
  <c r="I3740" i="1"/>
  <c r="CT3740" i="1"/>
  <c r="BI3740" i="1"/>
  <c r="BH3740" i="1"/>
  <c r="DE704" i="1"/>
  <c r="CY704" i="1"/>
  <c r="K704" i="1"/>
  <c r="CX704" i="1"/>
  <c r="CV704" i="1"/>
  <c r="CU704" i="1"/>
  <c r="I704" i="1"/>
  <c r="BI704" i="1"/>
  <c r="BH704" i="1"/>
  <c r="DE3429" i="1"/>
  <c r="CY3429" i="1"/>
  <c r="K3429" i="1"/>
  <c r="CX3429" i="1"/>
  <c r="CV3429" i="1"/>
  <c r="CU3429" i="1"/>
  <c r="I3429" i="1"/>
  <c r="CT3429" i="1"/>
  <c r="BI3429" i="1"/>
  <c r="BH3429" i="1"/>
  <c r="DE703" i="1"/>
  <c r="CY703" i="1"/>
  <c r="K703" i="1"/>
  <c r="CX703" i="1"/>
  <c r="CV703" i="1"/>
  <c r="CU703" i="1"/>
  <c r="I703" i="1"/>
  <c r="BI703" i="1"/>
  <c r="BH703" i="1"/>
  <c r="DE3748" i="1"/>
  <c r="CY3748" i="1"/>
  <c r="K3748" i="1"/>
  <c r="CX3748" i="1"/>
  <c r="CV3748" i="1"/>
  <c r="CU3748" i="1"/>
  <c r="I3748" i="1"/>
  <c r="CT3748" i="1"/>
  <c r="BI3748" i="1"/>
  <c r="BH3748" i="1"/>
  <c r="DE702" i="1"/>
  <c r="CY702" i="1"/>
  <c r="K702" i="1"/>
  <c r="CX702" i="1"/>
  <c r="CV702" i="1"/>
  <c r="CU702" i="1"/>
  <c r="I702" i="1"/>
  <c r="BI702" i="1"/>
  <c r="BH702" i="1"/>
  <c r="DE2862" i="1"/>
  <c r="CY2862" i="1"/>
  <c r="K2862" i="1"/>
  <c r="CX2862" i="1"/>
  <c r="CV2862" i="1"/>
  <c r="CU2862" i="1"/>
  <c r="I2862" i="1"/>
  <c r="BI2862" i="1"/>
  <c r="BH2862" i="1"/>
  <c r="DE701" i="1"/>
  <c r="CY701" i="1"/>
  <c r="K701" i="1"/>
  <c r="CX701" i="1"/>
  <c r="CV701" i="1"/>
  <c r="CU701" i="1"/>
  <c r="I701" i="1"/>
  <c r="BI701" i="1"/>
  <c r="BH701" i="1"/>
  <c r="DE3322" i="1"/>
  <c r="CY3322" i="1"/>
  <c r="K3322" i="1"/>
  <c r="CX3322" i="1"/>
  <c r="CV3322" i="1"/>
  <c r="CU3322" i="1"/>
  <c r="I3322" i="1"/>
  <c r="CT3322" i="1"/>
  <c r="BI3322" i="1"/>
  <c r="BH3322" i="1"/>
  <c r="DE614" i="1"/>
  <c r="CY614" i="1"/>
  <c r="K614" i="1"/>
  <c r="CX614" i="1"/>
  <c r="CV614" i="1"/>
  <c r="CU614" i="1"/>
  <c r="I614" i="1"/>
  <c r="BI614" i="1"/>
  <c r="BH614" i="1"/>
  <c r="DE3401" i="1"/>
  <c r="CY3401" i="1"/>
  <c r="K3401" i="1"/>
  <c r="CX3401" i="1"/>
  <c r="CV3401" i="1"/>
  <c r="CU3401" i="1"/>
  <c r="I3401" i="1"/>
  <c r="CT3401" i="1"/>
  <c r="BI3401" i="1"/>
  <c r="BH3401" i="1"/>
  <c r="DE700" i="1"/>
  <c r="CY700" i="1"/>
  <c r="K700" i="1"/>
  <c r="CX700" i="1"/>
  <c r="CV700" i="1"/>
  <c r="CU700" i="1"/>
  <c r="I700" i="1"/>
  <c r="BI700" i="1"/>
  <c r="BH700" i="1"/>
  <c r="DE3530" i="1"/>
  <c r="CY3530" i="1"/>
  <c r="K3530" i="1"/>
  <c r="CX3530" i="1"/>
  <c r="CV3530" i="1"/>
  <c r="CU3530" i="1"/>
  <c r="I3530" i="1"/>
  <c r="CT3530" i="1"/>
  <c r="BI3530" i="1"/>
  <c r="BH3530" i="1"/>
  <c r="DE699" i="1"/>
  <c r="CY699" i="1"/>
  <c r="K699" i="1"/>
  <c r="CX699" i="1"/>
  <c r="CV699" i="1"/>
  <c r="CU699" i="1"/>
  <c r="I699" i="1"/>
  <c r="BI699" i="1"/>
  <c r="BH699" i="1"/>
  <c r="DE2857" i="1"/>
  <c r="CY2857" i="1"/>
  <c r="K2857" i="1"/>
  <c r="CX2857" i="1"/>
  <c r="CV2857" i="1"/>
  <c r="CU2857" i="1"/>
  <c r="I2857" i="1"/>
  <c r="BI2857" i="1"/>
  <c r="BH2857" i="1"/>
  <c r="DE698" i="1"/>
  <c r="CY698" i="1"/>
  <c r="K698" i="1"/>
  <c r="CX698" i="1"/>
  <c r="CV698" i="1"/>
  <c r="CU698" i="1"/>
  <c r="I698" i="1"/>
  <c r="BI698" i="1"/>
  <c r="BH698" i="1"/>
  <c r="DE3280" i="1"/>
  <c r="CY3280" i="1"/>
  <c r="K3280" i="1"/>
  <c r="CX3280" i="1"/>
  <c r="CV3280" i="1"/>
  <c r="CU3280" i="1"/>
  <c r="I3280" i="1"/>
  <c r="CT3280" i="1"/>
  <c r="BI3280" i="1"/>
  <c r="BH3280" i="1"/>
  <c r="DE697" i="1"/>
  <c r="CY697" i="1"/>
  <c r="K697" i="1"/>
  <c r="CX697" i="1"/>
  <c r="CV697" i="1"/>
  <c r="CU697" i="1"/>
  <c r="I697" i="1"/>
  <c r="BI697" i="1"/>
  <c r="BH697" i="1"/>
  <c r="DE3441" i="1"/>
  <c r="CY3441" i="1"/>
  <c r="K3441" i="1"/>
  <c r="CX3441" i="1"/>
  <c r="CV3441" i="1"/>
  <c r="CU3441" i="1"/>
  <c r="I3441" i="1"/>
  <c r="CT3441" i="1"/>
  <c r="BI3441" i="1"/>
  <c r="BH3441" i="1"/>
  <c r="DE613" i="1"/>
  <c r="CY613" i="1"/>
  <c r="K613" i="1"/>
  <c r="CX613" i="1"/>
  <c r="CV613" i="1"/>
  <c r="CU613" i="1"/>
  <c r="I613" i="1"/>
  <c r="BI613" i="1"/>
  <c r="BH613" i="1"/>
  <c r="DE3683" i="1"/>
  <c r="CY3683" i="1"/>
  <c r="K3683" i="1"/>
  <c r="CX3683" i="1"/>
  <c r="CV3683" i="1"/>
  <c r="CU3683" i="1"/>
  <c r="I3683" i="1"/>
  <c r="CT3683" i="1"/>
  <c r="BI3683" i="1"/>
  <c r="BH3683" i="1"/>
  <c r="DE612" i="1"/>
  <c r="CY612" i="1"/>
  <c r="K612" i="1"/>
  <c r="CX612" i="1"/>
  <c r="CV612" i="1"/>
  <c r="CU612" i="1"/>
  <c r="I612" i="1"/>
  <c r="BI612" i="1"/>
  <c r="BH612" i="1"/>
  <c r="DE2852" i="1"/>
  <c r="CY2852" i="1"/>
  <c r="K2852" i="1"/>
  <c r="CX2852" i="1"/>
  <c r="CV2852" i="1"/>
  <c r="CU2852" i="1"/>
  <c r="I2852" i="1"/>
  <c r="BI2852" i="1"/>
  <c r="BH2852" i="1"/>
  <c r="DE611" i="1"/>
  <c r="CY611" i="1"/>
  <c r="K611" i="1"/>
  <c r="CX611" i="1"/>
  <c r="CV611" i="1"/>
  <c r="CU611" i="1"/>
  <c r="I611" i="1"/>
  <c r="BI611" i="1"/>
  <c r="BH611" i="1"/>
  <c r="DE3744" i="1"/>
  <c r="CY3744" i="1"/>
  <c r="K3744" i="1"/>
  <c r="CX3744" i="1"/>
  <c r="CV3744" i="1"/>
  <c r="CU3744" i="1"/>
  <c r="I3744" i="1"/>
  <c r="CT3744" i="1"/>
  <c r="BI3744" i="1"/>
  <c r="BH3744" i="1"/>
  <c r="DE610" i="1"/>
  <c r="CY610" i="1"/>
  <c r="K610" i="1"/>
  <c r="CX610" i="1"/>
  <c r="CV610" i="1"/>
  <c r="CU610" i="1"/>
  <c r="I610" i="1"/>
  <c r="BI610" i="1"/>
  <c r="BH610" i="1"/>
  <c r="DE3360" i="1"/>
  <c r="CY3360" i="1"/>
  <c r="K3360" i="1"/>
  <c r="CX3360" i="1"/>
  <c r="CV3360" i="1"/>
  <c r="CU3360" i="1"/>
  <c r="I3360" i="1"/>
  <c r="CT3360" i="1"/>
  <c r="BI3360" i="1"/>
  <c r="BH3360" i="1"/>
  <c r="DE609" i="1"/>
  <c r="CY609" i="1"/>
  <c r="K609" i="1"/>
  <c r="CX609" i="1"/>
  <c r="CV609" i="1"/>
  <c r="CU609" i="1"/>
  <c r="I609" i="1"/>
  <c r="BI609" i="1"/>
  <c r="BH609" i="1"/>
  <c r="DE3577" i="1"/>
  <c r="CY3577" i="1"/>
  <c r="K3577" i="1"/>
  <c r="CX3577" i="1"/>
  <c r="CV3577" i="1"/>
  <c r="CU3577" i="1"/>
  <c r="I3577" i="1"/>
  <c r="CT3577" i="1"/>
  <c r="BI3577" i="1"/>
  <c r="BH3577" i="1"/>
  <c r="DE606" i="1"/>
  <c r="CY606" i="1"/>
  <c r="K606" i="1"/>
  <c r="CX606" i="1"/>
  <c r="CV606" i="1"/>
  <c r="CU606" i="1"/>
  <c r="I606" i="1"/>
  <c r="BI606" i="1"/>
  <c r="BH606" i="1"/>
  <c r="DE2101" i="1"/>
  <c r="CY2101" i="1"/>
  <c r="K2101" i="1"/>
  <c r="CX2101" i="1"/>
  <c r="CV2101" i="1"/>
  <c r="CU2101" i="1"/>
  <c r="I2101" i="1"/>
  <c r="BI2101" i="1"/>
  <c r="BH2101" i="1"/>
  <c r="DE605" i="1"/>
  <c r="CY605" i="1"/>
  <c r="K605" i="1"/>
  <c r="CX605" i="1"/>
  <c r="CV605" i="1"/>
  <c r="CU605" i="1"/>
  <c r="I605" i="1"/>
  <c r="BI605" i="1"/>
  <c r="BH605" i="1"/>
  <c r="DE2098" i="1"/>
  <c r="CY2098" i="1"/>
  <c r="K2098" i="1"/>
  <c r="CX2098" i="1"/>
  <c r="CV2098" i="1"/>
  <c r="CU2098" i="1"/>
  <c r="I2098" i="1"/>
  <c r="BI2098" i="1"/>
  <c r="BH2098" i="1"/>
  <c r="DE648" i="1"/>
  <c r="CY648" i="1"/>
  <c r="K648" i="1"/>
  <c r="CX648" i="1"/>
  <c r="CV648" i="1"/>
  <c r="CU648" i="1"/>
  <c r="I648" i="1"/>
  <c r="BI648" i="1"/>
  <c r="BH648" i="1"/>
  <c r="DE3750" i="1"/>
  <c r="CY3750" i="1"/>
  <c r="K3750" i="1"/>
  <c r="CX3750" i="1"/>
  <c r="CV3750" i="1"/>
  <c r="CU3750" i="1"/>
  <c r="I3750" i="1"/>
  <c r="CT3750" i="1"/>
  <c r="BI3750" i="1"/>
  <c r="BH3750" i="1"/>
  <c r="DE643" i="1"/>
  <c r="CY643" i="1"/>
  <c r="K643" i="1"/>
  <c r="CX643" i="1"/>
  <c r="CV643" i="1"/>
  <c r="CU643" i="1"/>
  <c r="I643" i="1"/>
  <c r="BI643" i="1"/>
  <c r="BH643" i="1"/>
  <c r="DE3477" i="1"/>
  <c r="CY3477" i="1"/>
  <c r="K3477" i="1"/>
  <c r="CX3477" i="1"/>
  <c r="CV3477" i="1"/>
  <c r="CU3477" i="1"/>
  <c r="I3477" i="1"/>
  <c r="CT3477" i="1"/>
  <c r="BI3477" i="1"/>
  <c r="BH3477" i="1"/>
  <c r="DE641" i="1"/>
  <c r="CY641" i="1"/>
  <c r="K641" i="1"/>
  <c r="CX641" i="1"/>
  <c r="CV641" i="1"/>
  <c r="CU641" i="1"/>
  <c r="I641" i="1"/>
  <c r="BI641" i="1"/>
  <c r="BH641" i="1"/>
  <c r="DE2090" i="1"/>
  <c r="CY2090" i="1"/>
  <c r="K2090" i="1"/>
  <c r="CX2090" i="1"/>
  <c r="CV2090" i="1"/>
  <c r="CU2090" i="1"/>
  <c r="I2090" i="1"/>
  <c r="BI2090" i="1"/>
  <c r="BH2090" i="1"/>
  <c r="DE531" i="1"/>
  <c r="CY531" i="1"/>
  <c r="K531" i="1"/>
  <c r="CX531" i="1"/>
  <c r="CV531" i="1"/>
  <c r="CU531" i="1"/>
  <c r="I531" i="1"/>
  <c r="BI531" i="1"/>
  <c r="BH531" i="1"/>
  <c r="DE3606" i="1"/>
  <c r="CY3606" i="1"/>
  <c r="K3606" i="1"/>
  <c r="CX3606" i="1"/>
  <c r="CV3606" i="1"/>
  <c r="CU3606" i="1"/>
  <c r="I3606" i="1"/>
  <c r="CT3606" i="1"/>
  <c r="BI3606" i="1"/>
  <c r="BH3606" i="1"/>
  <c r="DE640" i="1"/>
  <c r="CY640" i="1"/>
  <c r="K640" i="1"/>
  <c r="CX640" i="1"/>
  <c r="CV640" i="1"/>
  <c r="CU640" i="1"/>
  <c r="I640" i="1"/>
  <c r="BI640" i="1"/>
  <c r="BH640" i="1"/>
  <c r="DE2085" i="1"/>
  <c r="CY2085" i="1"/>
  <c r="K2085" i="1"/>
  <c r="CX2085" i="1"/>
  <c r="CV2085" i="1"/>
  <c r="CU2085" i="1"/>
  <c r="I2085" i="1"/>
  <c r="BI2085" i="1"/>
  <c r="BH2085" i="1"/>
  <c r="DE633" i="1"/>
  <c r="CY633" i="1"/>
  <c r="K633" i="1"/>
  <c r="CX633" i="1"/>
  <c r="CV633" i="1"/>
  <c r="CU633" i="1"/>
  <c r="I633" i="1"/>
  <c r="BI633" i="1"/>
  <c r="BH633" i="1"/>
  <c r="DE3314" i="1"/>
  <c r="CY3314" i="1"/>
  <c r="K3314" i="1"/>
  <c r="CX3314" i="1"/>
  <c r="CV3314" i="1"/>
  <c r="CU3314" i="1"/>
  <c r="I3314" i="1"/>
  <c r="CT3314" i="1"/>
  <c r="BI3314" i="1"/>
  <c r="BH3314" i="1"/>
  <c r="DE604" i="1"/>
  <c r="CY604" i="1"/>
  <c r="K604" i="1"/>
  <c r="CX604" i="1"/>
  <c r="CV604" i="1"/>
  <c r="CU604" i="1"/>
  <c r="I604" i="1"/>
  <c r="BI604" i="1"/>
  <c r="BH604" i="1"/>
  <c r="DE2080" i="1"/>
  <c r="CY2080" i="1"/>
  <c r="K2080" i="1"/>
  <c r="CX2080" i="1"/>
  <c r="CV2080" i="1"/>
  <c r="CU2080" i="1"/>
  <c r="I2080" i="1"/>
  <c r="BI2080" i="1"/>
  <c r="BH2080" i="1"/>
  <c r="DE603" i="1"/>
  <c r="CY603" i="1"/>
  <c r="K603" i="1"/>
  <c r="CX603" i="1"/>
  <c r="CV603" i="1"/>
  <c r="CU603" i="1"/>
  <c r="I603" i="1"/>
  <c r="BI603" i="1"/>
  <c r="BH603" i="1"/>
  <c r="DE3364" i="1"/>
  <c r="CY3364" i="1"/>
  <c r="K3364" i="1"/>
  <c r="CX3364" i="1"/>
  <c r="CV3364" i="1"/>
  <c r="CU3364" i="1"/>
  <c r="I3364" i="1"/>
  <c r="CT3364" i="1"/>
  <c r="BI3364" i="1"/>
  <c r="BH3364" i="1"/>
  <c r="DE602" i="1"/>
  <c r="CY602" i="1"/>
  <c r="K602" i="1"/>
  <c r="CX602" i="1"/>
  <c r="CV602" i="1"/>
  <c r="CU602" i="1"/>
  <c r="I602" i="1"/>
  <c r="BI602" i="1"/>
  <c r="BH602" i="1"/>
  <c r="DE3451" i="1"/>
  <c r="CY3451" i="1"/>
  <c r="K3451" i="1"/>
  <c r="CX3451" i="1"/>
  <c r="CV3451" i="1"/>
  <c r="CU3451" i="1"/>
  <c r="I3451" i="1"/>
  <c r="CT3451" i="1"/>
  <c r="BI3451" i="1"/>
  <c r="BH3451" i="1"/>
  <c r="DE601" i="1"/>
  <c r="CY601" i="1"/>
  <c r="K601" i="1"/>
  <c r="CX601" i="1"/>
  <c r="CV601" i="1"/>
  <c r="CU601" i="1"/>
  <c r="I601" i="1"/>
  <c r="BI601" i="1"/>
  <c r="BH601" i="1"/>
  <c r="DE3545" i="1"/>
  <c r="CY3545" i="1"/>
  <c r="K3545" i="1"/>
  <c r="CX3545" i="1"/>
  <c r="CV3545" i="1"/>
  <c r="CU3545" i="1"/>
  <c r="I3545" i="1"/>
  <c r="CT3545" i="1"/>
  <c r="BI3545" i="1"/>
  <c r="BH3545" i="1"/>
  <c r="DE482" i="1"/>
  <c r="CY482" i="1"/>
  <c r="K482" i="1"/>
  <c r="CX482" i="1"/>
  <c r="CV482" i="1"/>
  <c r="CU482" i="1"/>
  <c r="I482" i="1"/>
  <c r="BI482" i="1"/>
  <c r="BH482" i="1"/>
  <c r="DE2069" i="1"/>
  <c r="CY2069" i="1"/>
  <c r="K2069" i="1"/>
  <c r="CX2069" i="1"/>
  <c r="CV2069" i="1"/>
  <c r="CU2069" i="1"/>
  <c r="I2069" i="1"/>
  <c r="BI2069" i="1"/>
  <c r="BH2069" i="1"/>
  <c r="DE600" i="1"/>
  <c r="CY600" i="1"/>
  <c r="K600" i="1"/>
  <c r="CX600" i="1"/>
  <c r="CV600" i="1"/>
  <c r="CU600" i="1"/>
  <c r="I600" i="1"/>
  <c r="BI600" i="1"/>
  <c r="BH600" i="1"/>
  <c r="DE3509" i="1"/>
  <c r="CY3509" i="1"/>
  <c r="K3509" i="1"/>
  <c r="CX3509" i="1"/>
  <c r="CV3509" i="1"/>
  <c r="CU3509" i="1"/>
  <c r="I3509" i="1"/>
  <c r="CT3509" i="1"/>
  <c r="BI3509" i="1"/>
  <c r="BH3509" i="1"/>
  <c r="DE599" i="1"/>
  <c r="CY599" i="1"/>
  <c r="K599" i="1"/>
  <c r="CX599" i="1"/>
  <c r="CV599" i="1"/>
  <c r="CU599" i="1"/>
  <c r="I599" i="1"/>
  <c r="BI599" i="1"/>
  <c r="BH599" i="1"/>
  <c r="DE3677" i="1"/>
  <c r="CY3677" i="1"/>
  <c r="K3677" i="1"/>
  <c r="CX3677" i="1"/>
  <c r="CV3677" i="1"/>
  <c r="CU3677" i="1"/>
  <c r="I3677" i="1"/>
  <c r="CT3677" i="1"/>
  <c r="BI3677" i="1"/>
  <c r="BH3677" i="1"/>
  <c r="DE598" i="1"/>
  <c r="CY598" i="1"/>
  <c r="K598" i="1"/>
  <c r="CX598" i="1"/>
  <c r="CV598" i="1"/>
  <c r="CU598" i="1"/>
  <c r="I598" i="1"/>
  <c r="BI598" i="1"/>
  <c r="BH598" i="1"/>
  <c r="DE3357" i="1"/>
  <c r="CY3357" i="1"/>
  <c r="K3357" i="1"/>
  <c r="CX3357" i="1"/>
  <c r="CV3357" i="1"/>
  <c r="CU3357" i="1"/>
  <c r="I3357" i="1"/>
  <c r="CT3357" i="1"/>
  <c r="BI3357" i="1"/>
  <c r="BH3357" i="1"/>
  <c r="DE597" i="1"/>
  <c r="CY597" i="1"/>
  <c r="K597" i="1"/>
  <c r="CX597" i="1"/>
  <c r="CV597" i="1"/>
  <c r="CU597" i="1"/>
  <c r="I597" i="1"/>
  <c r="BI597" i="1"/>
  <c r="BH597" i="1"/>
  <c r="DE2060" i="1"/>
  <c r="CY2060" i="1"/>
  <c r="K2060" i="1"/>
  <c r="CX2060" i="1"/>
  <c r="CV2060" i="1"/>
  <c r="CU2060" i="1"/>
  <c r="I2060" i="1"/>
  <c r="BI2060" i="1"/>
  <c r="BH2060" i="1"/>
  <c r="DE596" i="1"/>
  <c r="CY596" i="1"/>
  <c r="K596" i="1"/>
  <c r="CX596" i="1"/>
  <c r="CV596" i="1"/>
  <c r="CU596" i="1"/>
  <c r="I596" i="1"/>
  <c r="BI596" i="1"/>
  <c r="BH596" i="1"/>
  <c r="DE3675" i="1"/>
  <c r="CY3675" i="1"/>
  <c r="K3675" i="1"/>
  <c r="CX3675" i="1"/>
  <c r="CV3675" i="1"/>
  <c r="CU3675" i="1"/>
  <c r="I3675" i="1"/>
  <c r="CT3675" i="1"/>
  <c r="BI3675" i="1"/>
  <c r="BH3675" i="1"/>
  <c r="DE595" i="1"/>
  <c r="CY595" i="1"/>
  <c r="K595" i="1"/>
  <c r="CX595" i="1"/>
  <c r="CV595" i="1"/>
  <c r="CU595" i="1"/>
  <c r="I595" i="1"/>
  <c r="BI595" i="1"/>
  <c r="BH595" i="1"/>
  <c r="DE3711" i="1"/>
  <c r="CY3711" i="1"/>
  <c r="K3711" i="1"/>
  <c r="CX3711" i="1"/>
  <c r="CV3711" i="1"/>
  <c r="CU3711" i="1"/>
  <c r="I3711" i="1"/>
  <c r="CT3711" i="1"/>
  <c r="BI3711" i="1"/>
  <c r="BH3711" i="1"/>
  <c r="DE594" i="1"/>
  <c r="CY594" i="1"/>
  <c r="K594" i="1"/>
  <c r="CX594" i="1"/>
  <c r="CV594" i="1"/>
  <c r="CU594" i="1"/>
  <c r="I594" i="1"/>
  <c r="BI594" i="1"/>
  <c r="BH594" i="1"/>
  <c r="DE3281" i="1"/>
  <c r="CY3281" i="1"/>
  <c r="K3281" i="1"/>
  <c r="CX3281" i="1"/>
  <c r="CV3281" i="1"/>
  <c r="CU3281" i="1"/>
  <c r="I3281" i="1"/>
  <c r="CT3281" i="1"/>
  <c r="BI3281" i="1"/>
  <c r="BH3281" i="1"/>
  <c r="DE593" i="1"/>
  <c r="CY593" i="1"/>
  <c r="K593" i="1"/>
  <c r="CX593" i="1"/>
  <c r="CV593" i="1"/>
  <c r="CU593" i="1"/>
  <c r="I593" i="1"/>
  <c r="BI593" i="1"/>
  <c r="BH593" i="1"/>
  <c r="DE2051" i="1"/>
  <c r="CY2051" i="1"/>
  <c r="K2051" i="1"/>
  <c r="CX2051" i="1"/>
  <c r="CV2051" i="1"/>
  <c r="CU2051" i="1"/>
  <c r="I2051" i="1"/>
  <c r="BI2051" i="1"/>
  <c r="BH2051" i="1"/>
  <c r="DE586" i="1"/>
  <c r="CY586" i="1"/>
  <c r="K586" i="1"/>
  <c r="CX586" i="1"/>
  <c r="CV586" i="1"/>
  <c r="CU586" i="1"/>
  <c r="I586" i="1"/>
  <c r="BI586" i="1"/>
  <c r="BH586" i="1"/>
  <c r="DE3284" i="1"/>
  <c r="CY3284" i="1"/>
  <c r="K3284" i="1"/>
  <c r="CX3284" i="1"/>
  <c r="CV3284" i="1"/>
  <c r="CU3284" i="1"/>
  <c r="I3284" i="1"/>
  <c r="CT3284" i="1"/>
  <c r="BI3284" i="1"/>
  <c r="BH3284" i="1"/>
  <c r="DE585" i="1"/>
  <c r="CY585" i="1"/>
  <c r="K585" i="1"/>
  <c r="CX585" i="1"/>
  <c r="CV585" i="1"/>
  <c r="CU585" i="1"/>
  <c r="I585" i="1"/>
  <c r="BI585" i="1"/>
  <c r="BH585" i="1"/>
  <c r="DE3573" i="1"/>
  <c r="CY3573" i="1"/>
  <c r="K3573" i="1"/>
  <c r="CX3573" i="1"/>
  <c r="CV3573" i="1"/>
  <c r="CU3573" i="1"/>
  <c r="I3573" i="1"/>
  <c r="CT3573" i="1"/>
  <c r="BI3573" i="1"/>
  <c r="BH3573" i="1"/>
  <c r="DE592" i="1"/>
  <c r="CY592" i="1"/>
  <c r="K592" i="1"/>
  <c r="CX592" i="1"/>
  <c r="CV592" i="1"/>
  <c r="CU592" i="1"/>
  <c r="I592" i="1"/>
  <c r="BI592" i="1"/>
  <c r="BH592" i="1"/>
  <c r="DE3712" i="1"/>
  <c r="CY3712" i="1"/>
  <c r="K3712" i="1"/>
  <c r="CX3712" i="1"/>
  <c r="CV3712" i="1"/>
  <c r="CU3712" i="1"/>
  <c r="I3712" i="1"/>
  <c r="CT3712" i="1"/>
  <c r="BI3712" i="1"/>
  <c r="BH3712" i="1"/>
  <c r="DE583" i="1"/>
  <c r="CY583" i="1"/>
  <c r="K583" i="1"/>
  <c r="CX583" i="1"/>
  <c r="CV583" i="1"/>
  <c r="CU583" i="1"/>
  <c r="I583" i="1"/>
  <c r="BI583" i="1"/>
  <c r="BH583" i="1"/>
  <c r="DE2380" i="1"/>
  <c r="CY2380" i="1"/>
  <c r="K2380" i="1"/>
  <c r="CX2380" i="1"/>
  <c r="CV2380" i="1"/>
  <c r="CU2380" i="1"/>
  <c r="I2380" i="1"/>
  <c r="BI2380" i="1"/>
  <c r="BH2380" i="1"/>
  <c r="DE2816" i="1"/>
  <c r="CY2816" i="1"/>
  <c r="K2816" i="1"/>
  <c r="CX2816" i="1"/>
  <c r="CV2816" i="1"/>
  <c r="CU2816" i="1"/>
  <c r="I2816" i="1"/>
  <c r="BI2816" i="1"/>
  <c r="BH2816" i="1"/>
  <c r="DE3390" i="1"/>
  <c r="CY3390" i="1"/>
  <c r="K3390" i="1"/>
  <c r="CX3390" i="1"/>
  <c r="CV3390" i="1"/>
  <c r="CU3390" i="1"/>
  <c r="I3390" i="1"/>
  <c r="CT3390" i="1"/>
  <c r="BI3390" i="1"/>
  <c r="BH3390" i="1"/>
  <c r="DE581" i="1"/>
  <c r="CY581" i="1"/>
  <c r="K581" i="1"/>
  <c r="CX581" i="1"/>
  <c r="CV581" i="1"/>
  <c r="CU581" i="1"/>
  <c r="I581" i="1"/>
  <c r="BI581" i="1"/>
  <c r="BH581" i="1"/>
  <c r="DE3737" i="1"/>
  <c r="CY3737" i="1"/>
  <c r="K3737" i="1"/>
  <c r="CX3737" i="1"/>
  <c r="CV3737" i="1"/>
  <c r="CU3737" i="1"/>
  <c r="I3737" i="1"/>
  <c r="CT3737" i="1"/>
  <c r="BI3737" i="1"/>
  <c r="BH3737" i="1"/>
  <c r="DE580" i="1"/>
  <c r="CY580" i="1"/>
  <c r="K580" i="1"/>
  <c r="CX580" i="1"/>
  <c r="CV580" i="1"/>
  <c r="CU580" i="1"/>
  <c r="I580" i="1"/>
  <c r="BI580" i="1"/>
  <c r="BH580" i="1"/>
  <c r="DE3445" i="1"/>
  <c r="CY3445" i="1"/>
  <c r="K3445" i="1"/>
  <c r="CX3445" i="1"/>
  <c r="CV3445" i="1"/>
  <c r="CU3445" i="1"/>
  <c r="I3445" i="1"/>
  <c r="CT3445" i="1"/>
  <c r="BI3445" i="1"/>
  <c r="BH3445" i="1"/>
  <c r="DE591" i="1"/>
  <c r="CY591" i="1"/>
  <c r="K591" i="1"/>
  <c r="CX591" i="1"/>
  <c r="CV591" i="1"/>
  <c r="CU591" i="1"/>
  <c r="I591" i="1"/>
  <c r="BI591" i="1"/>
  <c r="BH591" i="1"/>
  <c r="DE579" i="1"/>
  <c r="CY579" i="1"/>
  <c r="K579" i="1"/>
  <c r="CX579" i="1"/>
  <c r="CV579" i="1"/>
  <c r="CU579" i="1"/>
  <c r="I579" i="1"/>
  <c r="BI579" i="1"/>
  <c r="BH579" i="1"/>
  <c r="DE3387" i="1"/>
  <c r="CY3387" i="1"/>
  <c r="K3387" i="1"/>
  <c r="CX3387" i="1"/>
  <c r="CV3387" i="1"/>
  <c r="CU3387" i="1"/>
  <c r="I3387" i="1"/>
  <c r="CT3387" i="1"/>
  <c r="BI3387" i="1"/>
  <c r="BH3387" i="1"/>
  <c r="DE577" i="1"/>
  <c r="CY577" i="1"/>
  <c r="K577" i="1"/>
  <c r="CX577" i="1"/>
  <c r="CV577" i="1"/>
  <c r="CU577" i="1"/>
  <c r="I577" i="1"/>
  <c r="BI577" i="1"/>
  <c r="BH577" i="1"/>
  <c r="DE3485" i="1"/>
  <c r="CY3485" i="1"/>
  <c r="K3485" i="1"/>
  <c r="CX3485" i="1"/>
  <c r="CV3485" i="1"/>
  <c r="CU3485" i="1"/>
  <c r="I3485" i="1"/>
  <c r="CT3485" i="1"/>
  <c r="BI3485" i="1"/>
  <c r="BH3485" i="1"/>
  <c r="DE590" i="1"/>
  <c r="CY590" i="1"/>
  <c r="K590" i="1"/>
  <c r="CX590" i="1"/>
  <c r="CV590" i="1"/>
  <c r="CU590" i="1"/>
  <c r="I590" i="1"/>
  <c r="BI590" i="1"/>
  <c r="BH590" i="1"/>
  <c r="DE3563" i="1"/>
  <c r="CY3563" i="1"/>
  <c r="K3563" i="1"/>
  <c r="CX3563" i="1"/>
  <c r="CV3563" i="1"/>
  <c r="CU3563" i="1"/>
  <c r="I3563" i="1"/>
  <c r="CT3563" i="1"/>
  <c r="BI3563" i="1"/>
  <c r="BH3563" i="1"/>
  <c r="DE575" i="1"/>
  <c r="CY575" i="1"/>
  <c r="K575" i="1"/>
  <c r="CX575" i="1"/>
  <c r="CV575" i="1"/>
  <c r="CU575" i="1"/>
  <c r="I575" i="1"/>
  <c r="BI575" i="1"/>
  <c r="BH575" i="1"/>
  <c r="DE574" i="1"/>
  <c r="CY574" i="1"/>
  <c r="K574" i="1"/>
  <c r="CX574" i="1"/>
  <c r="CV574" i="1"/>
  <c r="CU574" i="1"/>
  <c r="I574" i="1"/>
  <c r="BI574" i="1"/>
  <c r="BH574" i="1"/>
  <c r="DE3528" i="1"/>
  <c r="CY3528" i="1"/>
  <c r="K3528" i="1"/>
  <c r="CX3528" i="1"/>
  <c r="CV3528" i="1"/>
  <c r="CU3528" i="1"/>
  <c r="I3528" i="1"/>
  <c r="CT3528" i="1"/>
  <c r="BI3528" i="1"/>
  <c r="BH3528" i="1"/>
  <c r="DE573" i="1"/>
  <c r="CY573" i="1"/>
  <c r="K573" i="1"/>
  <c r="CX573" i="1"/>
  <c r="CV573" i="1"/>
  <c r="CU573" i="1"/>
  <c r="I573" i="1"/>
  <c r="BI573" i="1"/>
  <c r="BH573" i="1"/>
  <c r="DE104" i="1"/>
  <c r="CY104" i="1"/>
  <c r="K104" i="1"/>
  <c r="CX104" i="1"/>
  <c r="CV104" i="1"/>
  <c r="CU104" i="1"/>
  <c r="I104" i="1"/>
  <c r="BI104" i="1"/>
  <c r="BH104" i="1"/>
  <c r="DE571" i="1"/>
  <c r="CY571" i="1"/>
  <c r="K571" i="1"/>
  <c r="CX571" i="1"/>
  <c r="CV571" i="1"/>
  <c r="CU571" i="1"/>
  <c r="I571" i="1"/>
  <c r="BI571" i="1"/>
  <c r="BH571" i="1"/>
  <c r="DE3629" i="1"/>
  <c r="CY3629" i="1"/>
  <c r="K3629" i="1"/>
  <c r="CX3629" i="1"/>
  <c r="CV3629" i="1"/>
  <c r="CU3629" i="1"/>
  <c r="I3629" i="1"/>
  <c r="CT3629" i="1"/>
  <c r="BI3629" i="1"/>
  <c r="BH3629" i="1"/>
  <c r="DE570" i="1"/>
  <c r="CY570" i="1"/>
  <c r="K570" i="1"/>
  <c r="CX570" i="1"/>
  <c r="CV570" i="1"/>
  <c r="CU570" i="1"/>
  <c r="I570" i="1"/>
  <c r="BI570" i="1"/>
  <c r="BH570" i="1"/>
  <c r="DE106" i="1"/>
  <c r="CY106" i="1"/>
  <c r="K106" i="1"/>
  <c r="CX106" i="1"/>
  <c r="CV106" i="1"/>
  <c r="CU106" i="1"/>
  <c r="I106" i="1"/>
  <c r="BI106" i="1"/>
  <c r="BH106" i="1"/>
  <c r="DE589" i="1"/>
  <c r="CY589" i="1"/>
  <c r="K589" i="1"/>
  <c r="CX589" i="1"/>
  <c r="CV589" i="1"/>
  <c r="CU589" i="1"/>
  <c r="I589" i="1"/>
  <c r="BI589" i="1"/>
  <c r="BH589" i="1"/>
  <c r="DE3397" i="1"/>
  <c r="CY3397" i="1"/>
  <c r="K3397" i="1"/>
  <c r="CX3397" i="1"/>
  <c r="CV3397" i="1"/>
  <c r="CU3397" i="1"/>
  <c r="I3397" i="1"/>
  <c r="CT3397" i="1"/>
  <c r="BI3397" i="1"/>
  <c r="BH3397" i="1"/>
  <c r="DE588" i="1"/>
  <c r="CY588" i="1"/>
  <c r="K588" i="1"/>
  <c r="CX588" i="1"/>
  <c r="CV588" i="1"/>
  <c r="CU588" i="1"/>
  <c r="I588" i="1"/>
  <c r="BI588" i="1"/>
  <c r="BH588" i="1"/>
  <c r="DE587" i="1"/>
  <c r="CY587" i="1"/>
  <c r="K587" i="1"/>
  <c r="CX587" i="1"/>
  <c r="CV587" i="1"/>
  <c r="CU587" i="1"/>
  <c r="I587" i="1"/>
  <c r="BI587" i="1"/>
  <c r="BH587" i="1"/>
  <c r="DE3645" i="1"/>
  <c r="CY3645" i="1"/>
  <c r="K3645" i="1"/>
  <c r="CX3645" i="1"/>
  <c r="CV3645" i="1"/>
  <c r="CU3645" i="1"/>
  <c r="I3645" i="1"/>
  <c r="CT3645" i="1"/>
  <c r="BI3645" i="1"/>
  <c r="BH3645" i="1"/>
  <c r="DE567" i="1"/>
  <c r="CY567" i="1"/>
  <c r="K567" i="1"/>
  <c r="CX567" i="1"/>
  <c r="CV567" i="1"/>
  <c r="CU567" i="1"/>
  <c r="I567" i="1"/>
  <c r="BI567" i="1"/>
  <c r="BH567" i="1"/>
  <c r="DE103" i="1"/>
  <c r="CY103" i="1"/>
  <c r="K103" i="1"/>
  <c r="CX103" i="1"/>
  <c r="CV103" i="1"/>
  <c r="CU103" i="1"/>
  <c r="I103" i="1"/>
  <c r="BI103" i="1"/>
  <c r="BH103" i="1"/>
  <c r="DE3474" i="1"/>
  <c r="CY3474" i="1"/>
  <c r="K3474" i="1"/>
  <c r="CX3474" i="1"/>
  <c r="CV3474" i="1"/>
  <c r="CU3474" i="1"/>
  <c r="I3474" i="1"/>
  <c r="CT3474" i="1"/>
  <c r="BI3474" i="1"/>
  <c r="BH3474" i="1"/>
  <c r="DE565" i="1"/>
  <c r="CY565" i="1"/>
  <c r="K565" i="1"/>
  <c r="CX565" i="1"/>
  <c r="CV565" i="1"/>
  <c r="CU565" i="1"/>
  <c r="I565" i="1"/>
  <c r="BI565" i="1"/>
  <c r="BH565" i="1"/>
  <c r="DE3380" i="1"/>
  <c r="CY3380" i="1"/>
  <c r="K3380" i="1"/>
  <c r="CX3380" i="1"/>
  <c r="CV3380" i="1"/>
  <c r="CU3380" i="1"/>
  <c r="I3380" i="1"/>
  <c r="CT3380" i="1"/>
  <c r="BI3380" i="1"/>
  <c r="BH3380" i="1"/>
  <c r="DE563" i="1"/>
  <c r="CY563" i="1"/>
  <c r="K563" i="1"/>
  <c r="CX563" i="1"/>
  <c r="CV563" i="1"/>
  <c r="CU563" i="1"/>
  <c r="I563" i="1"/>
  <c r="BI563" i="1"/>
  <c r="BH563" i="1"/>
  <c r="DE3756" i="1"/>
  <c r="CY3756" i="1"/>
  <c r="K3756" i="1"/>
  <c r="CX3756" i="1"/>
  <c r="CV3756" i="1"/>
  <c r="CU3756" i="1"/>
  <c r="I3756" i="1"/>
  <c r="CT3756" i="1"/>
  <c r="BI3756" i="1"/>
  <c r="BH3756" i="1"/>
  <c r="DE562" i="1"/>
  <c r="CY562" i="1"/>
  <c r="K562" i="1"/>
  <c r="CX562" i="1"/>
  <c r="CV562" i="1"/>
  <c r="CU562" i="1"/>
  <c r="I562" i="1"/>
  <c r="BI562" i="1"/>
  <c r="BH562" i="1"/>
  <c r="DE110" i="1"/>
  <c r="CY110" i="1"/>
  <c r="K110" i="1"/>
  <c r="CX110" i="1"/>
  <c r="CV110" i="1"/>
  <c r="CU110" i="1"/>
  <c r="I110" i="1"/>
  <c r="BI110" i="1"/>
  <c r="BH110" i="1"/>
  <c r="DE561" i="1"/>
  <c r="CY561" i="1"/>
  <c r="K561" i="1"/>
  <c r="CX561" i="1"/>
  <c r="CV561" i="1"/>
  <c r="CU561" i="1"/>
  <c r="I561" i="1"/>
  <c r="BI561" i="1"/>
  <c r="BH561" i="1"/>
  <c r="DE3411" i="1"/>
  <c r="CY3411" i="1"/>
  <c r="K3411" i="1"/>
  <c r="CX3411" i="1"/>
  <c r="CV3411" i="1"/>
  <c r="CU3411" i="1"/>
  <c r="I3411" i="1"/>
  <c r="CT3411" i="1"/>
  <c r="BI3411" i="1"/>
  <c r="BH3411" i="1"/>
  <c r="DE559" i="1"/>
  <c r="CY559" i="1"/>
  <c r="K559" i="1"/>
  <c r="CX559" i="1"/>
  <c r="CV559" i="1"/>
  <c r="CU559" i="1"/>
  <c r="I559" i="1"/>
  <c r="BI559" i="1"/>
  <c r="BH559" i="1"/>
  <c r="DE3309" i="1"/>
  <c r="CY3309" i="1"/>
  <c r="K3309" i="1"/>
  <c r="CX3309" i="1"/>
  <c r="CV3309" i="1"/>
  <c r="CU3309" i="1"/>
  <c r="I3309" i="1"/>
  <c r="CT3309" i="1"/>
  <c r="BI3309" i="1"/>
  <c r="BH3309" i="1"/>
  <c r="DE558" i="1"/>
  <c r="CY558" i="1"/>
  <c r="K558" i="1"/>
  <c r="CX558" i="1"/>
  <c r="CV558" i="1"/>
  <c r="CU558" i="1"/>
  <c r="I558" i="1"/>
  <c r="BI558" i="1"/>
  <c r="BH558" i="1"/>
  <c r="DE3524" i="1"/>
  <c r="CY3524" i="1"/>
  <c r="K3524" i="1"/>
  <c r="CX3524" i="1"/>
  <c r="CV3524" i="1"/>
  <c r="CU3524" i="1"/>
  <c r="I3524" i="1"/>
  <c r="CT3524" i="1"/>
  <c r="BI3524" i="1"/>
  <c r="BH3524" i="1"/>
  <c r="DE557" i="1"/>
  <c r="CY557" i="1"/>
  <c r="K557" i="1"/>
  <c r="CX557" i="1"/>
  <c r="CV557" i="1"/>
  <c r="CU557" i="1"/>
  <c r="I557" i="1"/>
  <c r="BI557" i="1"/>
  <c r="BH557" i="1"/>
  <c r="DE3454" i="1"/>
  <c r="CY3454" i="1"/>
  <c r="K3454" i="1"/>
  <c r="CX3454" i="1"/>
  <c r="CV3454" i="1"/>
  <c r="CU3454" i="1"/>
  <c r="I3454" i="1"/>
  <c r="CT3454" i="1"/>
  <c r="BI3454" i="1"/>
  <c r="BH3454" i="1"/>
  <c r="DE555" i="1"/>
  <c r="CY555" i="1"/>
  <c r="K555" i="1"/>
  <c r="CX555" i="1"/>
  <c r="CV555" i="1"/>
  <c r="CU555" i="1"/>
  <c r="I555" i="1"/>
  <c r="BI555" i="1"/>
  <c r="BH555" i="1"/>
  <c r="DE3430" i="1"/>
  <c r="CY3430" i="1"/>
  <c r="K3430" i="1"/>
  <c r="CX3430" i="1"/>
  <c r="CV3430" i="1"/>
  <c r="CU3430" i="1"/>
  <c r="I3430" i="1"/>
  <c r="CT3430" i="1"/>
  <c r="BI3430" i="1"/>
  <c r="BH3430" i="1"/>
  <c r="DE554" i="1"/>
  <c r="CY554" i="1"/>
  <c r="K554" i="1"/>
  <c r="CX554" i="1"/>
  <c r="CV554" i="1"/>
  <c r="CU554" i="1"/>
  <c r="I554" i="1"/>
  <c r="BI554" i="1"/>
  <c r="BH554" i="1"/>
  <c r="DE3614" i="1"/>
  <c r="CY3614" i="1"/>
  <c r="K3614" i="1"/>
  <c r="CX3614" i="1"/>
  <c r="CV3614" i="1"/>
  <c r="CU3614" i="1"/>
  <c r="I3614" i="1"/>
  <c r="CT3614" i="1"/>
  <c r="BI3614" i="1"/>
  <c r="BH3614" i="1"/>
  <c r="DE553" i="1"/>
  <c r="CY553" i="1"/>
  <c r="K553" i="1"/>
  <c r="CX553" i="1"/>
  <c r="CV553" i="1"/>
  <c r="CU553" i="1"/>
  <c r="I553" i="1"/>
  <c r="BI553" i="1"/>
  <c r="BH553" i="1"/>
  <c r="DE3625" i="1"/>
  <c r="CY3625" i="1"/>
  <c r="K3625" i="1"/>
  <c r="CX3625" i="1"/>
  <c r="CV3625" i="1"/>
  <c r="CU3625" i="1"/>
  <c r="I3625" i="1"/>
  <c r="CT3625" i="1"/>
  <c r="BI3625" i="1"/>
  <c r="BH3625" i="1"/>
  <c r="DE551" i="1"/>
  <c r="CY551" i="1"/>
  <c r="K551" i="1"/>
  <c r="CX551" i="1"/>
  <c r="CV551" i="1"/>
  <c r="CU551" i="1"/>
  <c r="I551" i="1"/>
  <c r="BI551" i="1"/>
  <c r="BH551" i="1"/>
  <c r="DE550" i="1"/>
  <c r="CY550" i="1"/>
  <c r="K550" i="1"/>
  <c r="CX550" i="1"/>
  <c r="CV550" i="1"/>
  <c r="CU550" i="1"/>
  <c r="I550" i="1"/>
  <c r="BI550" i="1"/>
  <c r="BH550" i="1"/>
  <c r="DE3695" i="1"/>
  <c r="CY3695" i="1"/>
  <c r="K3695" i="1"/>
  <c r="CX3695" i="1"/>
  <c r="CV3695" i="1"/>
  <c r="CU3695" i="1"/>
  <c r="I3695" i="1"/>
  <c r="CT3695" i="1"/>
  <c r="BI3695" i="1"/>
  <c r="BH3695" i="1"/>
  <c r="DE549" i="1"/>
  <c r="CY549" i="1"/>
  <c r="K549" i="1"/>
  <c r="CX549" i="1"/>
  <c r="CV549" i="1"/>
  <c r="CU549" i="1"/>
  <c r="I549" i="1"/>
  <c r="BI549" i="1"/>
  <c r="BH549" i="1"/>
  <c r="DE3747" i="1"/>
  <c r="CY3747" i="1"/>
  <c r="K3747" i="1"/>
  <c r="CX3747" i="1"/>
  <c r="CV3747" i="1"/>
  <c r="CU3747" i="1"/>
  <c r="I3747" i="1"/>
  <c r="CT3747" i="1"/>
  <c r="BI3747" i="1"/>
  <c r="BH3747" i="1"/>
  <c r="DE548" i="1"/>
  <c r="CY548" i="1"/>
  <c r="K548" i="1"/>
  <c r="CX548" i="1"/>
  <c r="CV548" i="1"/>
  <c r="CU548" i="1"/>
  <c r="I548" i="1"/>
  <c r="BI548" i="1"/>
  <c r="BH548" i="1"/>
  <c r="DE107" i="1"/>
  <c r="CY107" i="1"/>
  <c r="K107" i="1"/>
  <c r="CX107" i="1"/>
  <c r="CV107" i="1"/>
  <c r="CU107" i="1"/>
  <c r="I107" i="1"/>
  <c r="BI107" i="1"/>
  <c r="BH107" i="1"/>
  <c r="DE547" i="1"/>
  <c r="CY547" i="1"/>
  <c r="K547" i="1"/>
  <c r="CX547" i="1"/>
  <c r="CV547" i="1"/>
  <c r="CU547" i="1"/>
  <c r="I547" i="1"/>
  <c r="BI547" i="1"/>
  <c r="BH547" i="1"/>
  <c r="DE727" i="1"/>
  <c r="CY727" i="1"/>
  <c r="K727" i="1"/>
  <c r="CX727" i="1"/>
  <c r="CV727" i="1"/>
  <c r="CU727" i="1"/>
  <c r="I727" i="1"/>
  <c r="BI727" i="1"/>
  <c r="BH727" i="1"/>
  <c r="DE546" i="1"/>
  <c r="CY546" i="1"/>
  <c r="K546" i="1"/>
  <c r="CX546" i="1"/>
  <c r="CV546" i="1"/>
  <c r="CU546" i="1"/>
  <c r="I546" i="1"/>
  <c r="BI546" i="1"/>
  <c r="BH546" i="1"/>
  <c r="DE3344" i="1"/>
  <c r="CY3344" i="1"/>
  <c r="K3344" i="1"/>
  <c r="CX3344" i="1"/>
  <c r="CV3344" i="1"/>
  <c r="CU3344" i="1"/>
  <c r="I3344" i="1"/>
  <c r="CT3344" i="1"/>
  <c r="BI3344" i="1"/>
  <c r="BH3344" i="1"/>
  <c r="DE545" i="1"/>
  <c r="CY545" i="1"/>
  <c r="K545" i="1"/>
  <c r="CX545" i="1"/>
  <c r="CV545" i="1"/>
  <c r="CU545" i="1"/>
  <c r="I545" i="1"/>
  <c r="BI545" i="1"/>
  <c r="BH545" i="1"/>
  <c r="DE3458" i="1"/>
  <c r="CY3458" i="1"/>
  <c r="K3458" i="1"/>
  <c r="CX3458" i="1"/>
  <c r="CV3458" i="1"/>
  <c r="CU3458" i="1"/>
  <c r="I3458" i="1"/>
  <c r="CT3458" i="1"/>
  <c r="BI3458" i="1"/>
  <c r="BH3458" i="1"/>
  <c r="DE543" i="1"/>
  <c r="CY543" i="1"/>
  <c r="K543" i="1"/>
  <c r="CX543" i="1"/>
  <c r="CV543" i="1"/>
  <c r="CU543" i="1"/>
  <c r="I543" i="1"/>
  <c r="BI543" i="1"/>
  <c r="BH543" i="1"/>
  <c r="DE3279" i="1"/>
  <c r="CY3279" i="1"/>
  <c r="K3279" i="1"/>
  <c r="CX3279" i="1"/>
  <c r="CV3279" i="1"/>
  <c r="CU3279" i="1"/>
  <c r="I3279" i="1"/>
  <c r="CT3279" i="1"/>
  <c r="BI3279" i="1"/>
  <c r="BH3279" i="1"/>
  <c r="DE542" i="1"/>
  <c r="CY542" i="1"/>
  <c r="K542" i="1"/>
  <c r="CX542" i="1"/>
  <c r="CV542" i="1"/>
  <c r="CU542" i="1"/>
  <c r="I542" i="1"/>
  <c r="BI542" i="1"/>
  <c r="BH542" i="1"/>
  <c r="DE108" i="1"/>
  <c r="CY108" i="1"/>
  <c r="K108" i="1"/>
  <c r="CX108" i="1"/>
  <c r="CV108" i="1"/>
  <c r="CU108" i="1"/>
  <c r="I108" i="1"/>
  <c r="BI108" i="1"/>
  <c r="BH108" i="1"/>
  <c r="DE541" i="1"/>
  <c r="CY541" i="1"/>
  <c r="K541" i="1"/>
  <c r="CX541" i="1"/>
  <c r="CV541" i="1"/>
  <c r="CU541" i="1"/>
  <c r="I541" i="1"/>
  <c r="BI541" i="1"/>
  <c r="BH541" i="1"/>
  <c r="DE3618" i="1"/>
  <c r="CY3618" i="1"/>
  <c r="K3618" i="1"/>
  <c r="CX3618" i="1"/>
  <c r="CV3618" i="1"/>
  <c r="CU3618" i="1"/>
  <c r="I3618" i="1"/>
  <c r="CT3618" i="1"/>
  <c r="BI3618" i="1"/>
  <c r="BH3618" i="1"/>
  <c r="DE539" i="1"/>
  <c r="CY539" i="1"/>
  <c r="K539" i="1"/>
  <c r="CX539" i="1"/>
  <c r="CV539" i="1"/>
  <c r="CU539" i="1"/>
  <c r="I539" i="1"/>
  <c r="BI539" i="1"/>
  <c r="BH539" i="1"/>
  <c r="DE3751" i="1"/>
  <c r="CY3751" i="1"/>
  <c r="K3751" i="1"/>
  <c r="CX3751" i="1"/>
  <c r="CV3751" i="1"/>
  <c r="CU3751" i="1"/>
  <c r="I3751" i="1"/>
  <c r="CT3751" i="1"/>
  <c r="BI3751" i="1"/>
  <c r="BH3751" i="1"/>
  <c r="DE538" i="1"/>
  <c r="CY538" i="1"/>
  <c r="K538" i="1"/>
  <c r="CX538" i="1"/>
  <c r="CV538" i="1"/>
  <c r="CU538" i="1"/>
  <c r="I538" i="1"/>
  <c r="BI538" i="1"/>
  <c r="BH538" i="1"/>
  <c r="DE3736" i="1"/>
  <c r="CY3736" i="1"/>
  <c r="K3736" i="1"/>
  <c r="CX3736" i="1"/>
  <c r="CV3736" i="1"/>
  <c r="CU3736" i="1"/>
  <c r="I3736" i="1"/>
  <c r="CT3736" i="1"/>
  <c r="BI3736" i="1"/>
  <c r="BH3736" i="1"/>
  <c r="DE537" i="1"/>
  <c r="CY537" i="1"/>
  <c r="K537" i="1"/>
  <c r="CX537" i="1"/>
  <c r="CV537" i="1"/>
  <c r="CU537" i="1"/>
  <c r="I537" i="1"/>
  <c r="BI537" i="1"/>
  <c r="BH537" i="1"/>
  <c r="DE3588" i="1"/>
  <c r="CY3588" i="1"/>
  <c r="K3588" i="1"/>
  <c r="CX3588" i="1"/>
  <c r="CV3588" i="1"/>
  <c r="CU3588" i="1"/>
  <c r="I3588" i="1"/>
  <c r="CT3588" i="1"/>
  <c r="BI3588" i="1"/>
  <c r="BH3588" i="1"/>
  <c r="DE488" i="1"/>
  <c r="CY488" i="1"/>
  <c r="K488" i="1"/>
  <c r="CX488" i="1"/>
  <c r="CV488" i="1"/>
  <c r="CU488" i="1"/>
  <c r="I488" i="1"/>
  <c r="BI488" i="1"/>
  <c r="BH488" i="1"/>
  <c r="DE3662" i="1"/>
  <c r="CY3662" i="1"/>
  <c r="K3662" i="1"/>
  <c r="CX3662" i="1"/>
  <c r="CV3662" i="1"/>
  <c r="CU3662" i="1"/>
  <c r="I3662" i="1"/>
  <c r="CT3662" i="1"/>
  <c r="BI3662" i="1"/>
  <c r="BH3662" i="1"/>
  <c r="DE535" i="1"/>
  <c r="CY535" i="1"/>
  <c r="K535" i="1"/>
  <c r="CX535" i="1"/>
  <c r="CV535" i="1"/>
  <c r="CU535" i="1"/>
  <c r="I535" i="1"/>
  <c r="BI535" i="1"/>
  <c r="BH535" i="1"/>
  <c r="DE3546" i="1"/>
  <c r="CY3546" i="1"/>
  <c r="K3546" i="1"/>
  <c r="CX3546" i="1"/>
  <c r="CV3546" i="1"/>
  <c r="CU3546" i="1"/>
  <c r="I3546" i="1"/>
  <c r="CT3546" i="1"/>
  <c r="BI3546" i="1"/>
  <c r="BH3546" i="1"/>
  <c r="DE534" i="1"/>
  <c r="CY534" i="1"/>
  <c r="K534" i="1"/>
  <c r="CX534" i="1"/>
  <c r="CV534" i="1"/>
  <c r="CU534" i="1"/>
  <c r="I534" i="1"/>
  <c r="BI534" i="1"/>
  <c r="BH534" i="1"/>
  <c r="DE3407" i="1"/>
  <c r="CY3407" i="1"/>
  <c r="K3407" i="1"/>
  <c r="CX3407" i="1"/>
  <c r="CV3407" i="1"/>
  <c r="CU3407" i="1"/>
  <c r="I3407" i="1"/>
  <c r="CT3407" i="1"/>
  <c r="BI3407" i="1"/>
  <c r="BH3407" i="1"/>
  <c r="DE533" i="1"/>
  <c r="CY533" i="1"/>
  <c r="K533" i="1"/>
  <c r="CX533" i="1"/>
  <c r="CV533" i="1"/>
  <c r="CU533" i="1"/>
  <c r="I533" i="1"/>
  <c r="BI533" i="1"/>
  <c r="BH533" i="1"/>
  <c r="DE716" i="1"/>
  <c r="CY716" i="1"/>
  <c r="K716" i="1"/>
  <c r="CX716" i="1"/>
  <c r="CV716" i="1"/>
  <c r="CU716" i="1"/>
  <c r="I716" i="1"/>
  <c r="BI716" i="1"/>
  <c r="BH716" i="1"/>
  <c r="DE718" i="1"/>
  <c r="CY718" i="1"/>
  <c r="K718" i="1"/>
  <c r="CX718" i="1"/>
  <c r="CV718" i="1"/>
  <c r="CU718" i="1"/>
  <c r="I718" i="1"/>
  <c r="BI718" i="1"/>
  <c r="BH718" i="1"/>
  <c r="DE109" i="1"/>
  <c r="CY109" i="1"/>
  <c r="K109" i="1"/>
  <c r="CX109" i="1"/>
  <c r="CV109" i="1"/>
  <c r="CU109" i="1"/>
  <c r="I109" i="1"/>
  <c r="BI109" i="1"/>
  <c r="BH109" i="1"/>
  <c r="DE102" i="1"/>
  <c r="CY102" i="1"/>
  <c r="K102" i="1"/>
  <c r="CX102" i="1"/>
  <c r="CV102" i="1"/>
  <c r="CU102" i="1"/>
  <c r="I102" i="1"/>
  <c r="BI102" i="1"/>
  <c r="BH102" i="1"/>
  <c r="DE105" i="1"/>
  <c r="CY105" i="1"/>
  <c r="K105" i="1"/>
  <c r="CX105" i="1"/>
  <c r="CV105" i="1"/>
  <c r="CU105" i="1"/>
  <c r="I105" i="1"/>
  <c r="BI105" i="1"/>
  <c r="BH105" i="1"/>
  <c r="DE101" i="1"/>
  <c r="CY101" i="1"/>
  <c r="K101" i="1"/>
  <c r="CX101" i="1"/>
  <c r="CV101" i="1"/>
  <c r="CU101" i="1"/>
  <c r="I101" i="1"/>
  <c r="BI101" i="1"/>
  <c r="BH101" i="1"/>
  <c r="DE100" i="1"/>
  <c r="CY100" i="1"/>
  <c r="K100" i="1"/>
  <c r="CX100" i="1"/>
  <c r="CV100" i="1"/>
  <c r="CU100" i="1"/>
  <c r="I100" i="1"/>
  <c r="BI100" i="1"/>
  <c r="BH100" i="1"/>
  <c r="DE3646" i="1"/>
  <c r="CY3646" i="1"/>
  <c r="K3646" i="1"/>
  <c r="CX3646" i="1"/>
  <c r="CV3646" i="1"/>
  <c r="CU3646" i="1"/>
  <c r="I3646" i="1"/>
  <c r="CT3646" i="1"/>
  <c r="BI3646" i="1"/>
  <c r="BH3646" i="1"/>
  <c r="DE95" i="1"/>
  <c r="CY95" i="1"/>
  <c r="K95" i="1"/>
  <c r="CX95" i="1"/>
  <c r="CV95" i="1"/>
  <c r="CU95" i="1"/>
  <c r="I95" i="1"/>
  <c r="BI95" i="1"/>
  <c r="BH95" i="1"/>
  <c r="DE99" i="1"/>
  <c r="CY99" i="1"/>
  <c r="K99" i="1"/>
  <c r="CX99" i="1"/>
  <c r="CV99" i="1"/>
  <c r="CU99" i="1"/>
  <c r="I99" i="1"/>
  <c r="BI99" i="1"/>
  <c r="BH99" i="1"/>
  <c r="DE97" i="1"/>
  <c r="CY97" i="1"/>
  <c r="K97" i="1"/>
  <c r="CX97" i="1"/>
  <c r="CV97" i="1"/>
  <c r="CU97" i="1"/>
  <c r="I97" i="1"/>
  <c r="BI97" i="1"/>
  <c r="BH97" i="1"/>
  <c r="DE96" i="1"/>
  <c r="CY96" i="1"/>
  <c r="K96" i="1"/>
  <c r="CX96" i="1"/>
  <c r="CV96" i="1"/>
  <c r="CU96" i="1"/>
  <c r="I96" i="1"/>
  <c r="BI96" i="1"/>
  <c r="BH96" i="1"/>
  <c r="DE491" i="1"/>
  <c r="CY491" i="1"/>
  <c r="K491" i="1"/>
  <c r="CX491" i="1"/>
  <c r="CV491" i="1"/>
  <c r="CU491" i="1"/>
  <c r="I491" i="1"/>
  <c r="BI491" i="1"/>
  <c r="BH491" i="1"/>
  <c r="DE98" i="1"/>
  <c r="CY98" i="1"/>
  <c r="K98" i="1"/>
  <c r="CX98" i="1"/>
  <c r="CV98" i="1"/>
  <c r="CU98" i="1"/>
  <c r="I98" i="1"/>
  <c r="BI98" i="1"/>
  <c r="BH98" i="1"/>
  <c r="DE94" i="1"/>
  <c r="CY94" i="1"/>
  <c r="K94" i="1"/>
  <c r="CX94" i="1"/>
  <c r="CV94" i="1"/>
  <c r="CU94" i="1"/>
  <c r="I94" i="1"/>
  <c r="BI94" i="1"/>
  <c r="BH94" i="1"/>
  <c r="DE92" i="1"/>
  <c r="CY92" i="1"/>
  <c r="K92" i="1"/>
  <c r="CX92" i="1"/>
  <c r="CV92" i="1"/>
  <c r="CU92" i="1"/>
  <c r="I92" i="1"/>
  <c r="BI92" i="1"/>
  <c r="BH92" i="1"/>
  <c r="DE93" i="1"/>
  <c r="CY93" i="1"/>
  <c r="K93" i="1"/>
  <c r="CX93" i="1"/>
  <c r="CV93" i="1"/>
  <c r="CU93" i="1"/>
  <c r="I93" i="1"/>
  <c r="BI93" i="1"/>
  <c r="BH93" i="1"/>
  <c r="DE3448" i="1"/>
  <c r="CY3448" i="1"/>
  <c r="K3448" i="1"/>
  <c r="CX3448" i="1"/>
  <c r="CV3448" i="1"/>
  <c r="CU3448" i="1"/>
  <c r="I3448" i="1"/>
  <c r="CT3448" i="1"/>
  <c r="BI3448" i="1"/>
  <c r="BH3448" i="1"/>
  <c r="DE91" i="1"/>
  <c r="CY91" i="1"/>
  <c r="K91" i="1"/>
  <c r="CX91" i="1"/>
  <c r="CV91" i="1"/>
  <c r="CU91" i="1"/>
  <c r="I91" i="1"/>
  <c r="BI91" i="1"/>
  <c r="BH91" i="1"/>
  <c r="DE90" i="1"/>
  <c r="CY90" i="1"/>
  <c r="K90" i="1"/>
  <c r="CX90" i="1"/>
  <c r="CV90" i="1"/>
  <c r="CU90" i="1"/>
  <c r="I90" i="1"/>
  <c r="BI90" i="1"/>
  <c r="BH90" i="1"/>
  <c r="DE3659" i="1"/>
  <c r="CY3659" i="1"/>
  <c r="K3659" i="1"/>
  <c r="CX3659" i="1"/>
  <c r="CV3659" i="1"/>
  <c r="CU3659" i="1"/>
  <c r="I3659" i="1"/>
  <c r="CT3659" i="1"/>
  <c r="BI3659" i="1"/>
  <c r="BH3659" i="1"/>
  <c r="DE3199" i="1"/>
  <c r="CY3199" i="1"/>
  <c r="K3199" i="1"/>
  <c r="CX3199" i="1"/>
  <c r="CV3199" i="1"/>
  <c r="CU3199" i="1"/>
  <c r="I3199" i="1"/>
  <c r="BI3199" i="1"/>
  <c r="BH3199" i="1"/>
  <c r="DE3476" i="1"/>
  <c r="CY3476" i="1"/>
  <c r="K3476" i="1"/>
  <c r="CX3476" i="1"/>
  <c r="CV3476" i="1"/>
  <c r="CU3476" i="1"/>
  <c r="I3476" i="1"/>
  <c r="CT3476" i="1"/>
  <c r="BI3476" i="1"/>
  <c r="BH3476" i="1"/>
  <c r="DE89" i="1"/>
  <c r="CY89" i="1"/>
  <c r="K89" i="1"/>
  <c r="CX89" i="1"/>
  <c r="CV89" i="1"/>
  <c r="CU89" i="1"/>
  <c r="I89" i="1"/>
  <c r="BI89" i="1"/>
  <c r="BH89" i="1"/>
  <c r="DE88" i="1"/>
  <c r="CY88" i="1"/>
  <c r="K88" i="1"/>
  <c r="CX88" i="1"/>
  <c r="CV88" i="1"/>
  <c r="CU88" i="1"/>
  <c r="I88" i="1"/>
  <c r="BI88" i="1"/>
  <c r="BH88" i="1"/>
  <c r="DE87" i="1"/>
  <c r="CY87" i="1"/>
  <c r="K87" i="1"/>
  <c r="CX87" i="1"/>
  <c r="CV87" i="1"/>
  <c r="CU87" i="1"/>
  <c r="I87" i="1"/>
  <c r="BI87" i="1"/>
  <c r="BH87" i="1"/>
  <c r="DE3317" i="1"/>
  <c r="CY3317" i="1"/>
  <c r="K3317" i="1"/>
  <c r="CX3317" i="1"/>
  <c r="CV3317" i="1"/>
  <c r="CU3317" i="1"/>
  <c r="I3317" i="1"/>
  <c r="CT3317" i="1"/>
  <c r="BI3317" i="1"/>
  <c r="BH3317" i="1"/>
  <c r="DE85" i="1"/>
  <c r="CY85" i="1"/>
  <c r="K85" i="1"/>
  <c r="CX85" i="1"/>
  <c r="CV85" i="1"/>
  <c r="CU85" i="1"/>
  <c r="I85" i="1"/>
  <c r="BI85" i="1"/>
  <c r="BH85" i="1"/>
  <c r="DE86" i="1"/>
  <c r="CY86" i="1"/>
  <c r="K86" i="1"/>
  <c r="CX86" i="1"/>
  <c r="CV86" i="1"/>
  <c r="CU86" i="1"/>
  <c r="I86" i="1"/>
  <c r="BI86" i="1"/>
  <c r="BH86" i="1"/>
  <c r="DE3702" i="1"/>
  <c r="CY3702" i="1"/>
  <c r="K3702" i="1"/>
  <c r="CX3702" i="1"/>
  <c r="CV3702" i="1"/>
  <c r="CU3702" i="1"/>
  <c r="I3702" i="1"/>
  <c r="CT3702" i="1"/>
  <c r="BI3702" i="1"/>
  <c r="BH3702" i="1"/>
  <c r="DE84" i="1"/>
  <c r="CY84" i="1"/>
  <c r="K84" i="1"/>
  <c r="CX84" i="1"/>
  <c r="CV84" i="1"/>
  <c r="CU84" i="1"/>
  <c r="I84" i="1"/>
  <c r="BI84" i="1"/>
  <c r="BH84" i="1"/>
  <c r="DE83" i="1"/>
  <c r="CY83" i="1"/>
  <c r="K83" i="1"/>
  <c r="CX83" i="1"/>
  <c r="CV83" i="1"/>
  <c r="CU83" i="1"/>
  <c r="I83" i="1"/>
  <c r="BI83" i="1"/>
  <c r="BH83" i="1"/>
  <c r="DE78" i="1"/>
  <c r="CY78" i="1"/>
  <c r="K78" i="1"/>
  <c r="CX78" i="1"/>
  <c r="CV78" i="1"/>
  <c r="CU78" i="1"/>
  <c r="I78" i="1"/>
  <c r="BI78" i="1"/>
  <c r="BH78" i="1"/>
  <c r="DE80" i="1"/>
  <c r="CY80" i="1"/>
  <c r="K80" i="1"/>
  <c r="CX80" i="1"/>
  <c r="CV80" i="1"/>
  <c r="CU80" i="1"/>
  <c r="I80" i="1"/>
  <c r="BI80" i="1"/>
  <c r="BH80" i="1"/>
  <c r="DE81" i="1"/>
  <c r="CY81" i="1"/>
  <c r="K81" i="1"/>
  <c r="CX81" i="1"/>
  <c r="CV81" i="1"/>
  <c r="CU81" i="1"/>
  <c r="I81" i="1"/>
  <c r="BI81" i="1"/>
  <c r="BH81" i="1"/>
  <c r="DE79" i="1"/>
  <c r="CY79" i="1"/>
  <c r="K79" i="1"/>
  <c r="CX79" i="1"/>
  <c r="CV79" i="1"/>
  <c r="CU79" i="1"/>
  <c r="I79" i="1"/>
  <c r="BI79" i="1"/>
  <c r="BH79" i="1"/>
  <c r="DE3716" i="1"/>
  <c r="CY3716" i="1"/>
  <c r="K3716" i="1"/>
  <c r="CX3716" i="1"/>
  <c r="CV3716" i="1"/>
  <c r="CU3716" i="1"/>
  <c r="I3716" i="1"/>
  <c r="CT3716" i="1"/>
  <c r="BI3716" i="1"/>
  <c r="BH3716" i="1"/>
  <c r="DE77" i="1"/>
  <c r="CY77" i="1"/>
  <c r="K77" i="1"/>
  <c r="CX77" i="1"/>
  <c r="CV77" i="1"/>
  <c r="CU77" i="1"/>
  <c r="I77" i="1"/>
  <c r="BI77" i="1"/>
  <c r="BH77" i="1"/>
  <c r="DE82" i="1"/>
  <c r="CY82" i="1"/>
  <c r="K82" i="1"/>
  <c r="CX82" i="1"/>
  <c r="CV82" i="1"/>
  <c r="CU82" i="1"/>
  <c r="I82" i="1"/>
  <c r="BI82" i="1"/>
  <c r="BH82" i="1"/>
  <c r="DE3757" i="1"/>
  <c r="CY3757" i="1"/>
  <c r="K3757" i="1"/>
  <c r="CX3757" i="1"/>
  <c r="CV3757" i="1"/>
  <c r="CU3757" i="1"/>
  <c r="I3757" i="1"/>
  <c r="CT3757" i="1"/>
  <c r="BI3757" i="1"/>
  <c r="BH3757" i="1"/>
  <c r="DE75" i="1"/>
  <c r="CY75" i="1"/>
  <c r="K75" i="1"/>
  <c r="CX75" i="1"/>
  <c r="CV75" i="1"/>
  <c r="CU75" i="1"/>
  <c r="I75" i="1"/>
  <c r="BI75" i="1"/>
  <c r="BH75" i="1"/>
  <c r="DE76" i="1"/>
  <c r="CY76" i="1"/>
  <c r="K76" i="1"/>
  <c r="CX76" i="1"/>
  <c r="CV76" i="1"/>
  <c r="CU76" i="1"/>
  <c r="I76" i="1"/>
  <c r="BI76" i="1"/>
  <c r="BH76" i="1"/>
  <c r="DE3377" i="1"/>
  <c r="CY3377" i="1"/>
  <c r="K3377" i="1"/>
  <c r="CX3377" i="1"/>
  <c r="CV3377" i="1"/>
  <c r="CU3377" i="1"/>
  <c r="I3377" i="1"/>
  <c r="CT3377" i="1"/>
  <c r="BI3377" i="1"/>
  <c r="BH3377" i="1"/>
  <c r="DE454" i="1"/>
  <c r="CY454" i="1"/>
  <c r="K454" i="1"/>
  <c r="CX454" i="1"/>
  <c r="CV454" i="1"/>
  <c r="CU454" i="1"/>
  <c r="I454" i="1"/>
  <c r="BI454" i="1"/>
  <c r="BH454" i="1"/>
  <c r="DE73" i="1"/>
  <c r="CY73" i="1"/>
  <c r="K73" i="1"/>
  <c r="CX73" i="1"/>
  <c r="CV73" i="1"/>
  <c r="CU73" i="1"/>
  <c r="I73" i="1"/>
  <c r="BI73" i="1"/>
  <c r="BH73" i="1"/>
  <c r="DE74" i="1"/>
  <c r="CY74" i="1"/>
  <c r="K74" i="1"/>
  <c r="CX74" i="1"/>
  <c r="CV74" i="1"/>
  <c r="CU74" i="1"/>
  <c r="I74" i="1"/>
  <c r="BI74" i="1"/>
  <c r="BH74" i="1"/>
  <c r="DE72" i="1"/>
  <c r="CY72" i="1"/>
  <c r="K72" i="1"/>
  <c r="CX72" i="1"/>
  <c r="CV72" i="1"/>
  <c r="CU72" i="1"/>
  <c r="I72" i="1"/>
  <c r="BI72" i="1"/>
  <c r="BH72" i="1"/>
  <c r="DE3667" i="1"/>
  <c r="CY3667" i="1"/>
  <c r="K3667" i="1"/>
  <c r="CX3667" i="1"/>
  <c r="CV3667" i="1"/>
  <c r="CU3667" i="1"/>
  <c r="I3667" i="1"/>
  <c r="CT3667" i="1"/>
  <c r="BI3667" i="1"/>
  <c r="BH3667" i="1"/>
  <c r="DE70" i="1"/>
  <c r="CY70" i="1"/>
  <c r="K70" i="1"/>
  <c r="CX70" i="1"/>
  <c r="CV70" i="1"/>
  <c r="CU70" i="1"/>
  <c r="I70" i="1"/>
  <c r="BI70" i="1"/>
  <c r="BH70" i="1"/>
  <c r="DE3619" i="1"/>
  <c r="CY3619" i="1"/>
  <c r="K3619" i="1"/>
  <c r="CX3619" i="1"/>
  <c r="CV3619" i="1"/>
  <c r="CU3619" i="1"/>
  <c r="I3619" i="1"/>
  <c r="CT3619" i="1"/>
  <c r="BI3619" i="1"/>
  <c r="BH3619" i="1"/>
  <c r="DE3275" i="1"/>
  <c r="CY3275" i="1"/>
  <c r="K3275" i="1"/>
  <c r="CX3275" i="1"/>
  <c r="CV3275" i="1"/>
  <c r="CU3275" i="1"/>
  <c r="I3275" i="1"/>
  <c r="CT3275" i="1"/>
  <c r="BI3275" i="1"/>
  <c r="BH3275" i="1"/>
  <c r="DE3584" i="1"/>
  <c r="CY3584" i="1"/>
  <c r="K3584" i="1"/>
  <c r="CX3584" i="1"/>
  <c r="CV3584" i="1"/>
  <c r="CU3584" i="1"/>
  <c r="I3584" i="1"/>
  <c r="CT3584" i="1"/>
  <c r="BI3584" i="1"/>
  <c r="BH3584" i="1"/>
  <c r="DE3700" i="1"/>
  <c r="CY3700" i="1"/>
  <c r="K3700" i="1"/>
  <c r="CX3700" i="1"/>
  <c r="CV3700" i="1"/>
  <c r="CU3700" i="1"/>
  <c r="I3700" i="1"/>
  <c r="CT3700" i="1"/>
  <c r="BI3700" i="1"/>
  <c r="BH3700" i="1"/>
  <c r="DE71" i="1"/>
  <c r="CY71" i="1"/>
  <c r="K71" i="1"/>
  <c r="CX71" i="1"/>
  <c r="CV71" i="1"/>
  <c r="CU71" i="1"/>
  <c r="I71" i="1"/>
  <c r="BI71" i="1"/>
  <c r="BH71" i="1"/>
  <c r="DE3536" i="1"/>
  <c r="CY3536" i="1"/>
  <c r="K3536" i="1"/>
  <c r="CX3536" i="1"/>
  <c r="CV3536" i="1"/>
  <c r="CU3536" i="1"/>
  <c r="I3536" i="1"/>
  <c r="CT3536" i="1"/>
  <c r="BI3536" i="1"/>
  <c r="BH3536" i="1"/>
  <c r="DE3682" i="1"/>
  <c r="CY3682" i="1"/>
  <c r="K3682" i="1"/>
  <c r="CX3682" i="1"/>
  <c r="CV3682" i="1"/>
  <c r="CU3682" i="1"/>
  <c r="I3682" i="1"/>
  <c r="CT3682" i="1"/>
  <c r="BI3682" i="1"/>
  <c r="BH3682" i="1"/>
  <c r="DE52" i="1"/>
  <c r="CY52" i="1"/>
  <c r="K52" i="1"/>
  <c r="CX52" i="1"/>
  <c r="CV52" i="1"/>
  <c r="CU52" i="1"/>
  <c r="I52" i="1"/>
  <c r="BI52" i="1"/>
  <c r="BH52" i="1"/>
  <c r="DE51" i="1"/>
  <c r="CY51" i="1"/>
  <c r="K51" i="1"/>
  <c r="CX51" i="1"/>
  <c r="CV51" i="1"/>
  <c r="CU51" i="1"/>
  <c r="I51" i="1"/>
  <c r="BI51" i="1"/>
  <c r="BH51" i="1"/>
  <c r="DE3473" i="1"/>
  <c r="CY3473" i="1"/>
  <c r="K3473" i="1"/>
  <c r="CX3473" i="1"/>
  <c r="CV3473" i="1"/>
  <c r="CU3473" i="1"/>
  <c r="I3473" i="1"/>
  <c r="CT3473" i="1"/>
  <c r="BI3473" i="1"/>
  <c r="BH3473" i="1"/>
  <c r="DE49" i="1"/>
  <c r="CY49" i="1"/>
  <c r="K49" i="1"/>
  <c r="CX49" i="1"/>
  <c r="CV49" i="1"/>
  <c r="CU49" i="1"/>
  <c r="I49" i="1"/>
  <c r="BI49" i="1"/>
  <c r="BH49" i="1"/>
  <c r="DE58" i="1"/>
  <c r="CY58" i="1"/>
  <c r="K58" i="1"/>
  <c r="CX58" i="1"/>
  <c r="CV58" i="1"/>
  <c r="CU58" i="1"/>
  <c r="I58" i="1"/>
  <c r="BI58" i="1"/>
  <c r="BH58" i="1"/>
  <c r="DE3626" i="1"/>
  <c r="CY3626" i="1"/>
  <c r="K3626" i="1"/>
  <c r="CX3626" i="1"/>
  <c r="CV3626" i="1"/>
  <c r="CU3626" i="1"/>
  <c r="I3626" i="1"/>
  <c r="CT3626" i="1"/>
  <c r="BI3626" i="1"/>
  <c r="BH3626" i="1"/>
  <c r="DE57" i="1"/>
  <c r="CY57" i="1"/>
  <c r="K57" i="1"/>
  <c r="CX57" i="1"/>
  <c r="CV57" i="1"/>
  <c r="CU57" i="1"/>
  <c r="I57" i="1"/>
  <c r="BI57" i="1"/>
  <c r="BH57" i="1"/>
  <c r="DE50" i="1"/>
  <c r="CY50" i="1"/>
  <c r="K50" i="1"/>
  <c r="CX50" i="1"/>
  <c r="CV50" i="1"/>
  <c r="CU50" i="1"/>
  <c r="I50" i="1"/>
  <c r="BI50" i="1"/>
  <c r="BH50" i="1"/>
  <c r="DE48" i="1"/>
  <c r="CY48" i="1"/>
  <c r="K48" i="1"/>
  <c r="CX48" i="1"/>
  <c r="CV48" i="1"/>
  <c r="CU48" i="1"/>
  <c r="I48" i="1"/>
  <c r="BI48" i="1"/>
  <c r="BH48" i="1"/>
  <c r="DE64" i="1"/>
  <c r="CY64" i="1"/>
  <c r="K64" i="1"/>
  <c r="CX64" i="1"/>
  <c r="CV64" i="1"/>
  <c r="CU64" i="1"/>
  <c r="I64" i="1"/>
  <c r="BI64" i="1"/>
  <c r="BH64" i="1"/>
  <c r="DE3597" i="1"/>
  <c r="CY3597" i="1"/>
  <c r="K3597" i="1"/>
  <c r="CX3597" i="1"/>
  <c r="CV3597" i="1"/>
  <c r="CU3597" i="1"/>
  <c r="I3597" i="1"/>
  <c r="CT3597" i="1"/>
  <c r="BI3597" i="1"/>
  <c r="BH3597" i="1"/>
  <c r="DE63" i="1"/>
  <c r="CY63" i="1"/>
  <c r="K63" i="1"/>
  <c r="CX63" i="1"/>
  <c r="CV63" i="1"/>
  <c r="CU63" i="1"/>
  <c r="I63" i="1"/>
  <c r="BI63" i="1"/>
  <c r="BH63" i="1"/>
  <c r="DE47" i="1"/>
  <c r="CY47" i="1"/>
  <c r="K47" i="1"/>
  <c r="CX47" i="1"/>
  <c r="CV47" i="1"/>
  <c r="CU47" i="1"/>
  <c r="I47" i="1"/>
  <c r="BI47" i="1"/>
  <c r="BH47" i="1"/>
  <c r="DE3273" i="1"/>
  <c r="CY3273" i="1"/>
  <c r="K3273" i="1"/>
  <c r="CX3273" i="1"/>
  <c r="CV3273" i="1"/>
  <c r="CU3273" i="1"/>
  <c r="I3273" i="1"/>
  <c r="CT3273" i="1"/>
  <c r="BI3273" i="1"/>
  <c r="BH3273" i="1"/>
  <c r="DE62" i="1"/>
  <c r="CY62" i="1"/>
  <c r="K62" i="1"/>
  <c r="CX62" i="1"/>
  <c r="CV62" i="1"/>
  <c r="CU62" i="1"/>
  <c r="I62" i="1"/>
  <c r="BI62" i="1"/>
  <c r="BH62" i="1"/>
  <c r="DE44" i="1"/>
  <c r="CY44" i="1"/>
  <c r="K44" i="1"/>
  <c r="CX44" i="1"/>
  <c r="CV44" i="1"/>
  <c r="CU44" i="1"/>
  <c r="I44" i="1"/>
  <c r="BI44" i="1"/>
  <c r="BH44" i="1"/>
  <c r="DE3635" i="1"/>
  <c r="CY3635" i="1"/>
  <c r="K3635" i="1"/>
  <c r="CX3635" i="1"/>
  <c r="CV3635" i="1"/>
  <c r="CU3635" i="1"/>
  <c r="I3635" i="1"/>
  <c r="CT3635" i="1"/>
  <c r="BI3635" i="1"/>
  <c r="BH3635" i="1"/>
  <c r="DE43" i="1"/>
  <c r="CY43" i="1"/>
  <c r="K43" i="1"/>
  <c r="CX43" i="1"/>
  <c r="CV43" i="1"/>
  <c r="CU43" i="1"/>
  <c r="I43" i="1"/>
  <c r="BI43" i="1"/>
  <c r="BH43" i="1"/>
  <c r="DE37" i="1"/>
  <c r="CY37" i="1"/>
  <c r="K37" i="1"/>
  <c r="CX37" i="1"/>
  <c r="CV37" i="1"/>
  <c r="CU37" i="1"/>
  <c r="I37" i="1"/>
  <c r="BI37" i="1"/>
  <c r="BH37" i="1"/>
  <c r="DE67" i="1"/>
  <c r="CY67" i="1"/>
  <c r="K67" i="1"/>
  <c r="CX67" i="1"/>
  <c r="CV67" i="1"/>
  <c r="CU67" i="1"/>
  <c r="I67" i="1"/>
  <c r="BI67" i="1"/>
  <c r="BH67" i="1"/>
  <c r="DE45" i="1"/>
  <c r="CY45" i="1"/>
  <c r="K45" i="1"/>
  <c r="CX45" i="1"/>
  <c r="CV45" i="1"/>
  <c r="CU45" i="1"/>
  <c r="I45" i="1"/>
  <c r="BI45" i="1"/>
  <c r="BH45" i="1"/>
  <c r="DE3637" i="1"/>
  <c r="CY3637" i="1"/>
  <c r="K3637" i="1"/>
  <c r="CX3637" i="1"/>
  <c r="CV3637" i="1"/>
  <c r="CU3637" i="1"/>
  <c r="I3637" i="1"/>
  <c r="CT3637" i="1"/>
  <c r="BI3637" i="1"/>
  <c r="BH3637" i="1"/>
  <c r="DE53" i="1"/>
  <c r="CY53" i="1"/>
  <c r="K53" i="1"/>
  <c r="CX53" i="1"/>
  <c r="CV53" i="1"/>
  <c r="CU53" i="1"/>
  <c r="I53" i="1"/>
  <c r="BI53" i="1"/>
  <c r="BH53" i="1"/>
  <c r="DE66" i="1"/>
  <c r="CY66" i="1"/>
  <c r="K66" i="1"/>
  <c r="CX66" i="1"/>
  <c r="CV66" i="1"/>
  <c r="CU66" i="1"/>
  <c r="I66" i="1"/>
  <c r="BI66" i="1"/>
  <c r="BH66" i="1"/>
  <c r="DE3449" i="1"/>
  <c r="CY3449" i="1"/>
  <c r="K3449" i="1"/>
  <c r="CX3449" i="1"/>
  <c r="CV3449" i="1"/>
  <c r="CU3449" i="1"/>
  <c r="I3449" i="1"/>
  <c r="CT3449" i="1"/>
  <c r="BI3449" i="1"/>
  <c r="BH3449" i="1"/>
  <c r="DE68" i="1"/>
  <c r="CY68" i="1"/>
  <c r="K68" i="1"/>
  <c r="CX68" i="1"/>
  <c r="CV68" i="1"/>
  <c r="CU68" i="1"/>
  <c r="I68" i="1"/>
  <c r="BI68" i="1"/>
  <c r="BH68" i="1"/>
  <c r="DE3375" i="1"/>
  <c r="CY3375" i="1"/>
  <c r="K3375" i="1"/>
  <c r="CX3375" i="1"/>
  <c r="CV3375" i="1"/>
  <c r="CU3375" i="1"/>
  <c r="I3375" i="1"/>
  <c r="CT3375" i="1"/>
  <c r="BI3375" i="1"/>
  <c r="BH3375" i="1"/>
  <c r="DE3457" i="1"/>
  <c r="CY3457" i="1"/>
  <c r="K3457" i="1"/>
  <c r="CX3457" i="1"/>
  <c r="CV3457" i="1"/>
  <c r="CU3457" i="1"/>
  <c r="I3457" i="1"/>
  <c r="CT3457" i="1"/>
  <c r="BI3457" i="1"/>
  <c r="BH3457" i="1"/>
  <c r="DE55" i="1"/>
  <c r="CY55" i="1"/>
  <c r="K55" i="1"/>
  <c r="CX55" i="1"/>
  <c r="CV55" i="1"/>
  <c r="CU55" i="1"/>
  <c r="I55" i="1"/>
  <c r="BI55" i="1"/>
  <c r="BH55" i="1"/>
  <c r="DE61" i="1"/>
  <c r="CY61" i="1"/>
  <c r="K61" i="1"/>
  <c r="CX61" i="1"/>
  <c r="CV61" i="1"/>
  <c r="CU61" i="1"/>
  <c r="I61" i="1"/>
  <c r="BI61" i="1"/>
  <c r="BH61" i="1"/>
  <c r="DE38" i="1"/>
  <c r="CY38" i="1"/>
  <c r="K38" i="1"/>
  <c r="CX38" i="1"/>
  <c r="CV38" i="1"/>
  <c r="CU38" i="1"/>
  <c r="I38" i="1"/>
  <c r="BI38" i="1"/>
  <c r="BH38" i="1"/>
  <c r="DE40" i="1"/>
  <c r="CY40" i="1"/>
  <c r="K40" i="1"/>
  <c r="CX40" i="1"/>
  <c r="CV40" i="1"/>
  <c r="CU40" i="1"/>
  <c r="I40" i="1"/>
  <c r="BI40" i="1"/>
  <c r="BH40" i="1"/>
  <c r="DE54" i="1"/>
  <c r="CY54" i="1"/>
  <c r="K54" i="1"/>
  <c r="CX54" i="1"/>
  <c r="CV54" i="1"/>
  <c r="CU54" i="1"/>
  <c r="I54" i="1"/>
  <c r="BI54" i="1"/>
  <c r="BH54" i="1"/>
  <c r="DE3310" i="1"/>
  <c r="CY3310" i="1"/>
  <c r="K3310" i="1"/>
  <c r="CX3310" i="1"/>
  <c r="CV3310" i="1"/>
  <c r="CU3310" i="1"/>
  <c r="I3310" i="1"/>
  <c r="CT3310" i="1"/>
  <c r="BI3310" i="1"/>
  <c r="BH3310" i="1"/>
  <c r="DE56" i="1"/>
  <c r="CY56" i="1"/>
  <c r="K56" i="1"/>
  <c r="CX56" i="1"/>
  <c r="CV56" i="1"/>
  <c r="CU56" i="1"/>
  <c r="I56" i="1"/>
  <c r="BI56" i="1"/>
  <c r="BH56" i="1"/>
  <c r="DE59" i="1"/>
  <c r="CY59" i="1"/>
  <c r="K59" i="1"/>
  <c r="CX59" i="1"/>
  <c r="CV59" i="1"/>
  <c r="CU59" i="1"/>
  <c r="I59" i="1"/>
  <c r="BI59" i="1"/>
  <c r="BH59" i="1"/>
  <c r="DE60" i="1"/>
  <c r="CY60" i="1"/>
  <c r="K60" i="1"/>
  <c r="CX60" i="1"/>
  <c r="CV60" i="1"/>
  <c r="CU60" i="1"/>
  <c r="I60" i="1"/>
  <c r="BI60" i="1"/>
  <c r="BH60" i="1"/>
  <c r="DE41" i="1"/>
  <c r="CY41" i="1"/>
  <c r="K41" i="1"/>
  <c r="CX41" i="1"/>
  <c r="CV41" i="1"/>
  <c r="CU41" i="1"/>
  <c r="I41" i="1"/>
  <c r="BI41" i="1"/>
  <c r="BH41" i="1"/>
  <c r="DE651" i="1"/>
  <c r="CY651" i="1"/>
  <c r="K651" i="1"/>
  <c r="CX651" i="1"/>
  <c r="CV651" i="1"/>
  <c r="CU651" i="1"/>
  <c r="I651" i="1"/>
  <c r="BI651" i="1"/>
  <c r="BH651" i="1"/>
  <c r="DE46" i="1"/>
  <c r="CY46" i="1"/>
  <c r="K46" i="1"/>
  <c r="CX46" i="1"/>
  <c r="CV46" i="1"/>
  <c r="CU46" i="1"/>
  <c r="I46" i="1"/>
  <c r="BI46" i="1"/>
  <c r="BH46" i="1"/>
  <c r="DE42" i="1"/>
  <c r="CY42" i="1"/>
  <c r="K42" i="1"/>
  <c r="CX42" i="1"/>
  <c r="CV42" i="1"/>
  <c r="CU42" i="1"/>
  <c r="I42" i="1"/>
  <c r="BI42" i="1"/>
  <c r="BH42" i="1"/>
  <c r="DE39" i="1"/>
  <c r="CY39" i="1"/>
  <c r="K39" i="1"/>
  <c r="CX39" i="1"/>
  <c r="CV39" i="1"/>
  <c r="CU39" i="1"/>
  <c r="I39" i="1"/>
  <c r="BI39" i="1"/>
  <c r="BH39" i="1"/>
  <c r="DE65" i="1"/>
  <c r="CY65" i="1"/>
  <c r="K65" i="1"/>
  <c r="CX65" i="1"/>
  <c r="CV65" i="1"/>
  <c r="CU65" i="1"/>
  <c r="I65" i="1"/>
  <c r="BI65" i="1"/>
  <c r="BH65" i="1"/>
  <c r="DE3434" i="1"/>
  <c r="CY3434" i="1"/>
  <c r="K3434" i="1"/>
  <c r="CX3434" i="1"/>
  <c r="CV3434" i="1"/>
  <c r="CU3434" i="1"/>
  <c r="I3434" i="1"/>
  <c r="CT3434" i="1"/>
  <c r="BI3434" i="1"/>
  <c r="BH3434" i="1"/>
  <c r="DE36" i="1"/>
  <c r="CY36" i="1"/>
  <c r="K36" i="1"/>
  <c r="CX36" i="1"/>
  <c r="CV36" i="1"/>
  <c r="CU36" i="1"/>
  <c r="I36" i="1"/>
  <c r="BI36" i="1"/>
  <c r="BH36" i="1"/>
  <c r="DE31" i="1"/>
  <c r="CY31" i="1"/>
  <c r="K31" i="1"/>
  <c r="CX31" i="1"/>
  <c r="CV31" i="1"/>
  <c r="CU31" i="1"/>
  <c r="I31" i="1"/>
  <c r="BI31" i="1"/>
  <c r="BH31" i="1"/>
  <c r="DE3514" i="1"/>
  <c r="CY3514" i="1"/>
  <c r="K3514" i="1"/>
  <c r="CX3514" i="1"/>
  <c r="CV3514" i="1"/>
  <c r="CU3514" i="1"/>
  <c r="I3514" i="1"/>
  <c r="CT3514" i="1"/>
  <c r="BI3514" i="1"/>
  <c r="BH3514" i="1"/>
  <c r="DE30" i="1"/>
  <c r="CY30" i="1"/>
  <c r="K30" i="1"/>
  <c r="CX30" i="1"/>
  <c r="CV30" i="1"/>
  <c r="CU30" i="1"/>
  <c r="I30" i="1"/>
  <c r="BI30" i="1"/>
  <c r="BH30" i="1"/>
  <c r="DE29" i="1"/>
  <c r="CY29" i="1"/>
  <c r="K29" i="1"/>
  <c r="CX29" i="1"/>
  <c r="CV29" i="1"/>
  <c r="CU29" i="1"/>
  <c r="I29" i="1"/>
  <c r="BI29" i="1"/>
  <c r="BH29" i="1"/>
  <c r="DE3412" i="1"/>
  <c r="CY3412" i="1"/>
  <c r="K3412" i="1"/>
  <c r="CX3412" i="1"/>
  <c r="CV3412" i="1"/>
  <c r="CU3412" i="1"/>
  <c r="I3412" i="1"/>
  <c r="CT3412" i="1"/>
  <c r="BI3412" i="1"/>
  <c r="BH3412" i="1"/>
  <c r="DE34" i="1"/>
  <c r="CY34" i="1"/>
  <c r="K34" i="1"/>
  <c r="CX34" i="1"/>
  <c r="CV34" i="1"/>
  <c r="CU34" i="1"/>
  <c r="I34" i="1"/>
  <c r="BI34" i="1"/>
  <c r="BH34" i="1"/>
  <c r="DE33" i="1"/>
  <c r="CY33" i="1"/>
  <c r="K33" i="1"/>
  <c r="CX33" i="1"/>
  <c r="CV33" i="1"/>
  <c r="CU33" i="1"/>
  <c r="I33" i="1"/>
  <c r="BI33" i="1"/>
  <c r="BH33" i="1"/>
  <c r="DE35" i="1"/>
  <c r="CY35" i="1"/>
  <c r="K35" i="1"/>
  <c r="CX35" i="1"/>
  <c r="CV35" i="1"/>
  <c r="CU35" i="1"/>
  <c r="I35" i="1"/>
  <c r="BI35" i="1"/>
  <c r="BH35" i="1"/>
  <c r="DE32" i="1"/>
  <c r="CY32" i="1"/>
  <c r="K32" i="1"/>
  <c r="CX32" i="1"/>
  <c r="CV32" i="1"/>
  <c r="CU32" i="1"/>
  <c r="I32" i="1"/>
  <c r="BI32" i="1"/>
  <c r="BH32" i="1"/>
  <c r="DE3315" i="1"/>
  <c r="CY3315" i="1"/>
  <c r="K3315" i="1"/>
  <c r="CX3315" i="1"/>
  <c r="CV3315" i="1"/>
  <c r="CU3315" i="1"/>
  <c r="I3315" i="1"/>
  <c r="CT3315" i="1"/>
  <c r="BI3315" i="1"/>
  <c r="BH3315" i="1"/>
  <c r="DE28" i="1"/>
  <c r="CY28" i="1"/>
  <c r="K28" i="1"/>
  <c r="CX28" i="1"/>
  <c r="CV28" i="1"/>
  <c r="CU28" i="1"/>
  <c r="I28" i="1"/>
  <c r="BI28" i="1"/>
  <c r="BH28" i="1"/>
  <c r="DE24" i="1"/>
  <c r="CY24" i="1"/>
  <c r="K24" i="1"/>
  <c r="CX24" i="1"/>
  <c r="CV24" i="1"/>
  <c r="CU24" i="1"/>
  <c r="I24" i="1"/>
  <c r="BI24" i="1"/>
  <c r="BH24" i="1"/>
  <c r="DE3400" i="1"/>
  <c r="CY3400" i="1"/>
  <c r="K3400" i="1"/>
  <c r="CX3400" i="1"/>
  <c r="CV3400" i="1"/>
  <c r="CU3400" i="1"/>
  <c r="I3400" i="1"/>
  <c r="CT3400" i="1"/>
  <c r="BI3400" i="1"/>
  <c r="BH3400" i="1"/>
  <c r="DE26" i="1"/>
  <c r="CY26" i="1"/>
  <c r="K26" i="1"/>
  <c r="CX26" i="1"/>
  <c r="CV26" i="1"/>
  <c r="CU26" i="1"/>
  <c r="I26" i="1"/>
  <c r="BI26" i="1"/>
  <c r="BH26" i="1"/>
  <c r="DE27" i="1"/>
  <c r="CY27" i="1"/>
  <c r="K27" i="1"/>
  <c r="CX27" i="1"/>
  <c r="CV27" i="1"/>
  <c r="CU27" i="1"/>
  <c r="I27" i="1"/>
  <c r="BI27" i="1"/>
  <c r="BH27" i="1"/>
  <c r="DE3392" i="1"/>
  <c r="CY3392" i="1"/>
  <c r="K3392" i="1"/>
  <c r="CX3392" i="1"/>
  <c r="CV3392" i="1"/>
  <c r="CU3392" i="1"/>
  <c r="I3392" i="1"/>
  <c r="CT3392" i="1"/>
  <c r="BI3392" i="1"/>
  <c r="BH3392" i="1"/>
  <c r="DE25" i="1"/>
  <c r="CY25" i="1"/>
  <c r="K25" i="1"/>
  <c r="CX25" i="1"/>
  <c r="CV25" i="1"/>
  <c r="CU25" i="1"/>
  <c r="I25" i="1"/>
  <c r="BI25" i="1"/>
  <c r="BH25" i="1"/>
  <c r="DE23" i="1"/>
  <c r="CY23" i="1"/>
  <c r="K23" i="1"/>
  <c r="CX23" i="1"/>
  <c r="CV23" i="1"/>
  <c r="CU23" i="1"/>
  <c r="I23" i="1"/>
  <c r="BI23" i="1"/>
  <c r="BH23" i="1"/>
  <c r="DE21" i="1"/>
  <c r="CY21" i="1"/>
  <c r="K21" i="1"/>
  <c r="CX21" i="1"/>
  <c r="CV21" i="1"/>
  <c r="CU21" i="1"/>
  <c r="I21" i="1"/>
  <c r="BI21" i="1"/>
  <c r="BH21" i="1"/>
  <c r="DE22" i="1"/>
  <c r="CY22" i="1"/>
  <c r="K22" i="1"/>
  <c r="CX22" i="1"/>
  <c r="CV22" i="1"/>
  <c r="CU22" i="1"/>
  <c r="I22" i="1"/>
  <c r="BI22" i="1"/>
  <c r="BH22" i="1"/>
  <c r="DE530" i="1"/>
  <c r="CY530" i="1"/>
  <c r="K530" i="1"/>
  <c r="CX530" i="1"/>
  <c r="CV530" i="1"/>
  <c r="CU530" i="1"/>
  <c r="I530" i="1"/>
  <c r="BI530" i="1"/>
  <c r="BH530" i="1"/>
  <c r="DE20" i="1"/>
  <c r="CY20" i="1"/>
  <c r="K20" i="1"/>
  <c r="CX20" i="1"/>
  <c r="CV20" i="1"/>
  <c r="CU20" i="1"/>
  <c r="I20" i="1"/>
  <c r="BI20" i="1"/>
  <c r="BH20" i="1"/>
  <c r="DE3678" i="1"/>
  <c r="CY3678" i="1"/>
  <c r="K3678" i="1"/>
  <c r="CX3678" i="1"/>
  <c r="CV3678" i="1"/>
  <c r="CU3678" i="1"/>
  <c r="I3678" i="1"/>
  <c r="CT3678" i="1"/>
  <c r="BI3678" i="1"/>
  <c r="BH3678" i="1"/>
  <c r="DE19" i="1"/>
  <c r="CY19" i="1"/>
  <c r="K19" i="1"/>
  <c r="CX19" i="1"/>
  <c r="CV19" i="1"/>
  <c r="CU19" i="1"/>
  <c r="I19" i="1"/>
  <c r="BI19" i="1"/>
  <c r="BH19" i="1"/>
  <c r="DE3415" i="1"/>
  <c r="CY3415" i="1"/>
  <c r="K3415" i="1"/>
  <c r="CX3415" i="1"/>
  <c r="CV3415" i="1"/>
  <c r="CU3415" i="1"/>
  <c r="I3415" i="1"/>
  <c r="CT3415" i="1"/>
  <c r="BI3415" i="1"/>
  <c r="BH3415" i="1"/>
  <c r="DE3527" i="1"/>
  <c r="CY3527" i="1"/>
  <c r="K3527" i="1"/>
  <c r="CX3527" i="1"/>
  <c r="CV3527" i="1"/>
  <c r="CU3527" i="1"/>
  <c r="I3527" i="1"/>
  <c r="CT3527" i="1"/>
  <c r="BI3527" i="1"/>
  <c r="BH3527" i="1"/>
  <c r="DE18" i="1"/>
  <c r="CY18" i="1"/>
  <c r="K18" i="1"/>
  <c r="CX18" i="1"/>
  <c r="CV18" i="1"/>
  <c r="CU18" i="1"/>
  <c r="I18" i="1"/>
  <c r="BI18" i="1"/>
  <c r="BH18" i="1"/>
  <c r="DE3490" i="1"/>
  <c r="CY3490" i="1"/>
  <c r="K3490" i="1"/>
  <c r="CX3490" i="1"/>
  <c r="CV3490" i="1"/>
  <c r="CU3490" i="1"/>
  <c r="I3490" i="1"/>
  <c r="CT3490" i="1"/>
  <c r="BI3490" i="1"/>
  <c r="BH3490" i="1"/>
  <c r="DE3384" i="1"/>
  <c r="CY3384" i="1"/>
  <c r="K3384" i="1"/>
  <c r="CX3384" i="1"/>
  <c r="CV3384" i="1"/>
  <c r="CU3384" i="1"/>
  <c r="I3384" i="1"/>
  <c r="CT3384" i="1"/>
  <c r="BI3384" i="1"/>
  <c r="BH3384" i="1"/>
  <c r="DE17" i="1"/>
  <c r="CY17" i="1"/>
  <c r="K17" i="1"/>
  <c r="CX17" i="1"/>
  <c r="CV17" i="1"/>
  <c r="CU17" i="1"/>
  <c r="I17" i="1"/>
  <c r="BI17" i="1"/>
  <c r="BH17" i="1"/>
  <c r="DE3305" i="1"/>
  <c r="CY3305" i="1"/>
  <c r="K3305" i="1"/>
  <c r="CX3305" i="1"/>
  <c r="CV3305" i="1"/>
  <c r="CU3305" i="1"/>
  <c r="I3305" i="1"/>
  <c r="CT3305" i="1"/>
  <c r="BI3305" i="1"/>
  <c r="BH3305" i="1"/>
  <c r="DE3538" i="1"/>
  <c r="CY3538" i="1"/>
  <c r="K3538" i="1"/>
  <c r="CX3538" i="1"/>
  <c r="CV3538" i="1"/>
  <c r="CU3538" i="1"/>
  <c r="I3538" i="1"/>
  <c r="CT3538" i="1"/>
  <c r="BI3538" i="1"/>
  <c r="BH3538" i="1"/>
  <c r="DE3679" i="1"/>
  <c r="CY3679" i="1"/>
  <c r="K3679" i="1"/>
  <c r="CX3679" i="1"/>
  <c r="CV3679" i="1"/>
  <c r="CU3679" i="1"/>
  <c r="I3679" i="1"/>
  <c r="CT3679" i="1"/>
  <c r="BI3679" i="1"/>
  <c r="BH3679" i="1"/>
  <c r="DE16" i="1"/>
  <c r="CY16" i="1"/>
  <c r="K16" i="1"/>
  <c r="CX16" i="1"/>
  <c r="CV16" i="1"/>
  <c r="CU16" i="1"/>
  <c r="I16" i="1"/>
  <c r="BI16" i="1"/>
  <c r="BH16" i="1"/>
  <c r="DE3369" i="1"/>
  <c r="CY3369" i="1"/>
  <c r="K3369" i="1"/>
  <c r="CX3369" i="1"/>
  <c r="CV3369" i="1"/>
  <c r="CU3369" i="1"/>
  <c r="I3369" i="1"/>
  <c r="CT3369" i="1"/>
  <c r="BI3369" i="1"/>
  <c r="BH3369" i="1"/>
  <c r="DE3464" i="1"/>
  <c r="CY3464" i="1"/>
  <c r="K3464" i="1"/>
  <c r="CX3464" i="1"/>
  <c r="CV3464" i="1"/>
  <c r="CU3464" i="1"/>
  <c r="I3464" i="1"/>
  <c r="CT3464" i="1"/>
  <c r="BI3464" i="1"/>
  <c r="BH3464" i="1"/>
  <c r="DE3720" i="1"/>
  <c r="CY3720" i="1"/>
  <c r="K3720" i="1"/>
  <c r="CX3720" i="1"/>
  <c r="CV3720" i="1"/>
  <c r="CU3720" i="1"/>
  <c r="I3720" i="1"/>
  <c r="CT3720" i="1"/>
  <c r="BI3720" i="1"/>
  <c r="BH3720" i="1"/>
  <c r="DE3674" i="1"/>
  <c r="CY3674" i="1"/>
  <c r="K3674" i="1"/>
  <c r="CX3674" i="1"/>
  <c r="CV3674" i="1"/>
  <c r="CU3674" i="1"/>
  <c r="I3674" i="1"/>
  <c r="CT3674" i="1"/>
  <c r="BI3674" i="1"/>
  <c r="BH3674" i="1"/>
  <c r="DE3489" i="1"/>
  <c r="CY3489" i="1"/>
  <c r="K3489" i="1"/>
  <c r="CX3489" i="1"/>
  <c r="CV3489" i="1"/>
  <c r="CU3489" i="1"/>
  <c r="I3489" i="1"/>
  <c r="CT3489" i="1"/>
  <c r="BI3489" i="1"/>
  <c r="BH3489" i="1"/>
  <c r="DE3531" i="1"/>
  <c r="CY3531" i="1"/>
  <c r="K3531" i="1"/>
  <c r="CX3531" i="1"/>
  <c r="CV3531" i="1"/>
  <c r="CU3531" i="1"/>
  <c r="I3531" i="1"/>
  <c r="CT3531" i="1"/>
  <c r="BI3531" i="1"/>
  <c r="BH3531" i="1"/>
  <c r="DE3697" i="1"/>
  <c r="CY3697" i="1"/>
  <c r="K3697" i="1"/>
  <c r="CX3697" i="1"/>
  <c r="CV3697" i="1"/>
  <c r="CU3697" i="1"/>
  <c r="I3697" i="1"/>
  <c r="CT3697" i="1"/>
  <c r="BI3697" i="1"/>
  <c r="BH3697" i="1"/>
  <c r="DE3511" i="1"/>
  <c r="CY3511" i="1"/>
  <c r="K3511" i="1"/>
  <c r="CX3511" i="1"/>
  <c r="CV3511" i="1"/>
  <c r="CU3511" i="1"/>
  <c r="I3511" i="1"/>
  <c r="CT3511" i="1"/>
  <c r="BI3511" i="1"/>
  <c r="BH3511" i="1"/>
  <c r="DE3579" i="1"/>
  <c r="CY3579" i="1"/>
  <c r="K3579" i="1"/>
  <c r="CX3579" i="1"/>
  <c r="CV3579" i="1"/>
  <c r="CU3579" i="1"/>
  <c r="I3579" i="1"/>
  <c r="CT3579" i="1"/>
  <c r="BI3579" i="1"/>
  <c r="BH3579" i="1"/>
  <c r="DE3596" i="1"/>
  <c r="CY3596" i="1"/>
  <c r="K3596" i="1"/>
  <c r="CX3596" i="1"/>
  <c r="CV3596" i="1"/>
  <c r="CU3596" i="1"/>
  <c r="I3596" i="1"/>
  <c r="CT3596" i="1"/>
  <c r="BI3596" i="1"/>
  <c r="BH3596" i="1"/>
  <c r="DE3544" i="1"/>
  <c r="CY3544" i="1"/>
  <c r="K3544" i="1"/>
  <c r="CX3544" i="1"/>
  <c r="CV3544" i="1"/>
  <c r="CU3544" i="1"/>
  <c r="I3544" i="1"/>
  <c r="CT3544" i="1"/>
  <c r="BI3544" i="1"/>
  <c r="BH3544" i="1"/>
  <c r="DE3685" i="1"/>
  <c r="CY3685" i="1"/>
  <c r="K3685" i="1"/>
  <c r="CX3685" i="1"/>
  <c r="CV3685" i="1"/>
  <c r="CU3685" i="1"/>
  <c r="I3685" i="1"/>
  <c r="CT3685" i="1"/>
  <c r="BI3685" i="1"/>
  <c r="BH3685" i="1"/>
  <c r="DE3298" i="1"/>
  <c r="CY3298" i="1"/>
  <c r="K3298" i="1"/>
  <c r="CX3298" i="1"/>
  <c r="CV3298" i="1"/>
  <c r="CU3298" i="1"/>
  <c r="I3298" i="1"/>
  <c r="CT3298" i="1"/>
  <c r="BI3298" i="1"/>
  <c r="BH3298" i="1"/>
  <c r="DE3388" i="1"/>
  <c r="CY3388" i="1"/>
  <c r="K3388" i="1"/>
  <c r="CX3388" i="1"/>
  <c r="CV3388" i="1"/>
  <c r="CU3388" i="1"/>
  <c r="I3388" i="1"/>
  <c r="CT3388" i="1"/>
  <c r="BI3388" i="1"/>
  <c r="BH3388" i="1"/>
  <c r="DE3465" i="1"/>
  <c r="CY3465" i="1"/>
  <c r="K3465" i="1"/>
  <c r="CX3465" i="1"/>
  <c r="CV3465" i="1"/>
  <c r="CU3465" i="1"/>
  <c r="I3465" i="1"/>
  <c r="CT3465" i="1"/>
  <c r="BI3465" i="1"/>
  <c r="BH3465" i="1"/>
  <c r="DE3366" i="1"/>
  <c r="CY3366" i="1"/>
  <c r="K3366" i="1"/>
  <c r="CX3366" i="1"/>
  <c r="CV3366" i="1"/>
  <c r="CU3366" i="1"/>
  <c r="I3366" i="1"/>
  <c r="CT3366" i="1"/>
  <c r="BI3366" i="1"/>
  <c r="BH3366" i="1"/>
  <c r="DE3332" i="1"/>
  <c r="CY3332" i="1"/>
  <c r="K3332" i="1"/>
  <c r="CX3332" i="1"/>
  <c r="CV3332" i="1"/>
  <c r="CU3332" i="1"/>
  <c r="I3332" i="1"/>
  <c r="CT3332" i="1"/>
  <c r="BI3332" i="1"/>
  <c r="BH3332" i="1"/>
  <c r="DE3421" i="1"/>
  <c r="CY3421" i="1"/>
  <c r="K3421" i="1"/>
  <c r="CX3421" i="1"/>
  <c r="CV3421" i="1"/>
  <c r="CU3421" i="1"/>
  <c r="I3421" i="1"/>
  <c r="CT3421" i="1"/>
  <c r="BI3421" i="1"/>
  <c r="BH3421" i="1"/>
  <c r="DE3382" i="1"/>
  <c r="CY3382" i="1"/>
  <c r="K3382" i="1"/>
  <c r="CX3382" i="1"/>
  <c r="CV3382" i="1"/>
  <c r="CU3382" i="1"/>
  <c r="I3382" i="1"/>
  <c r="CT3382" i="1"/>
  <c r="BI3382" i="1"/>
  <c r="BH3382" i="1"/>
  <c r="DE3617" i="1"/>
  <c r="CY3617" i="1"/>
  <c r="K3617" i="1"/>
  <c r="CX3617" i="1"/>
  <c r="CV3617" i="1"/>
  <c r="CU3617" i="1"/>
  <c r="I3617" i="1"/>
  <c r="CT3617" i="1"/>
  <c r="BI3617" i="1"/>
  <c r="BH3617" i="1"/>
  <c r="DE3738" i="1"/>
  <c r="CY3738" i="1"/>
  <c r="K3738" i="1"/>
  <c r="CX3738" i="1"/>
  <c r="CV3738" i="1"/>
  <c r="CU3738" i="1"/>
  <c r="I3738" i="1"/>
  <c r="CT3738" i="1"/>
  <c r="BI3738" i="1"/>
  <c r="BH3738" i="1"/>
  <c r="DE3501" i="1"/>
  <c r="CY3501" i="1"/>
  <c r="K3501" i="1"/>
  <c r="CX3501" i="1"/>
  <c r="CV3501" i="1"/>
  <c r="CU3501" i="1"/>
  <c r="I3501" i="1"/>
  <c r="CT3501" i="1"/>
  <c r="BI3501" i="1"/>
  <c r="BH3501" i="1"/>
  <c r="DE3610" i="1"/>
  <c r="CY3610" i="1"/>
  <c r="K3610" i="1"/>
  <c r="CX3610" i="1"/>
  <c r="CV3610" i="1"/>
  <c r="CU3610" i="1"/>
  <c r="I3610" i="1"/>
  <c r="CT3610" i="1"/>
  <c r="BI3610" i="1"/>
  <c r="BH3610" i="1"/>
  <c r="DE3346" i="1"/>
  <c r="CY3346" i="1"/>
  <c r="K3346" i="1"/>
  <c r="CX3346" i="1"/>
  <c r="CV3346" i="1"/>
  <c r="CU3346" i="1"/>
  <c r="I3346" i="1"/>
  <c r="CT3346" i="1"/>
  <c r="BI3346" i="1"/>
  <c r="BH3346" i="1"/>
  <c r="DE3689" i="1"/>
  <c r="CY3689" i="1"/>
  <c r="K3689" i="1"/>
  <c r="CX3689" i="1"/>
  <c r="CV3689" i="1"/>
  <c r="CU3689" i="1"/>
  <c r="I3689" i="1"/>
  <c r="CT3689" i="1"/>
  <c r="BI3689" i="1"/>
  <c r="BH3689" i="1"/>
  <c r="DE3734" i="1"/>
  <c r="CY3734" i="1"/>
  <c r="K3734" i="1"/>
  <c r="CX3734" i="1"/>
  <c r="CV3734" i="1"/>
  <c r="CU3734" i="1"/>
  <c r="I3734" i="1"/>
  <c r="CT3734" i="1"/>
  <c r="BI3734" i="1"/>
  <c r="BH3734" i="1"/>
  <c r="DE3402" i="1"/>
  <c r="CY3402" i="1"/>
  <c r="K3402" i="1"/>
  <c r="CX3402" i="1"/>
  <c r="CV3402" i="1"/>
  <c r="CU3402" i="1"/>
  <c r="I3402" i="1"/>
  <c r="CT3402" i="1"/>
  <c r="BI3402" i="1"/>
  <c r="BH3402" i="1"/>
  <c r="DE3696" i="1"/>
  <c r="CY3696" i="1"/>
  <c r="K3696" i="1"/>
  <c r="CX3696" i="1"/>
  <c r="CV3696" i="1"/>
  <c r="CU3696" i="1"/>
  <c r="I3696" i="1"/>
  <c r="CT3696" i="1"/>
  <c r="BI3696" i="1"/>
  <c r="BH3696" i="1"/>
  <c r="DE15" i="1"/>
  <c r="CY15" i="1"/>
  <c r="K15" i="1"/>
  <c r="CX15" i="1"/>
  <c r="CV15" i="1"/>
  <c r="CU15" i="1"/>
  <c r="I15" i="1"/>
  <c r="BI15" i="1"/>
  <c r="BH15" i="1"/>
  <c r="DE3285" i="1"/>
  <c r="CY3285" i="1"/>
  <c r="K3285" i="1"/>
  <c r="CX3285" i="1"/>
  <c r="CV3285" i="1"/>
  <c r="CU3285" i="1"/>
  <c r="I3285" i="1"/>
  <c r="CT3285" i="1"/>
  <c r="BI3285" i="1"/>
  <c r="BH3285" i="1"/>
  <c r="DE3358" i="1"/>
  <c r="CY3358" i="1"/>
  <c r="K3358" i="1"/>
  <c r="CX3358" i="1"/>
  <c r="CV3358" i="1"/>
  <c r="CU3358" i="1"/>
  <c r="I3358" i="1"/>
  <c r="CT3358" i="1"/>
  <c r="BI3358" i="1"/>
  <c r="BH3358" i="1"/>
  <c r="DE3719" i="1"/>
  <c r="CY3719" i="1"/>
  <c r="K3719" i="1"/>
  <c r="CX3719" i="1"/>
  <c r="CV3719" i="1"/>
  <c r="CU3719" i="1"/>
  <c r="I3719" i="1"/>
  <c r="CT3719" i="1"/>
  <c r="BI3719" i="1"/>
  <c r="BH3719" i="1"/>
  <c r="DE494" i="1"/>
  <c r="CY494" i="1"/>
  <c r="K494" i="1"/>
  <c r="CX494" i="1"/>
  <c r="CV494" i="1"/>
  <c r="CU494" i="1"/>
  <c r="I494" i="1"/>
  <c r="BI494" i="1"/>
  <c r="BH494" i="1"/>
  <c r="DE3611" i="1"/>
  <c r="CY3611" i="1"/>
  <c r="K3611" i="1"/>
  <c r="CX3611" i="1"/>
  <c r="CV3611" i="1"/>
  <c r="CU3611" i="1"/>
  <c r="I3611" i="1"/>
  <c r="CT3611" i="1"/>
  <c r="BI3611" i="1"/>
  <c r="BH3611" i="1"/>
  <c r="DE3329" i="1"/>
  <c r="CY3329" i="1"/>
  <c r="K3329" i="1"/>
  <c r="CX3329" i="1"/>
  <c r="CV3329" i="1"/>
  <c r="CU3329" i="1"/>
  <c r="I3329" i="1"/>
  <c r="CT3329" i="1"/>
  <c r="BI3329" i="1"/>
  <c r="BH3329" i="1"/>
  <c r="DE3652" i="1"/>
  <c r="CY3652" i="1"/>
  <c r="K3652" i="1"/>
  <c r="CX3652" i="1"/>
  <c r="CV3652" i="1"/>
  <c r="CU3652" i="1"/>
  <c r="I3652" i="1"/>
  <c r="CT3652" i="1"/>
  <c r="BI3652" i="1"/>
  <c r="BH3652" i="1"/>
  <c r="DE3301" i="1"/>
  <c r="CY3301" i="1"/>
  <c r="K3301" i="1"/>
  <c r="CX3301" i="1"/>
  <c r="CV3301" i="1"/>
  <c r="CU3301" i="1"/>
  <c r="I3301" i="1"/>
  <c r="CT3301" i="1"/>
  <c r="BI3301" i="1"/>
  <c r="BH3301" i="1"/>
  <c r="DE3307" i="1"/>
  <c r="CY3307" i="1"/>
  <c r="K3307" i="1"/>
  <c r="CX3307" i="1"/>
  <c r="CV3307" i="1"/>
  <c r="CU3307" i="1"/>
  <c r="I3307" i="1"/>
  <c r="CT3307" i="1"/>
  <c r="BI3307" i="1"/>
  <c r="BH3307" i="1"/>
  <c r="DE3574" i="1"/>
  <c r="CY3574" i="1"/>
  <c r="K3574" i="1"/>
  <c r="CX3574" i="1"/>
  <c r="CV3574" i="1"/>
  <c r="CU3574" i="1"/>
  <c r="I3574" i="1"/>
  <c r="CT3574" i="1"/>
  <c r="BI3574" i="1"/>
  <c r="BH3574" i="1"/>
  <c r="DE3481" i="1"/>
  <c r="CY3481" i="1"/>
  <c r="K3481" i="1"/>
  <c r="CX3481" i="1"/>
  <c r="CV3481" i="1"/>
  <c r="CU3481" i="1"/>
  <c r="I3481" i="1"/>
  <c r="CT3481" i="1"/>
  <c r="BI3481" i="1"/>
  <c r="BH3481" i="1"/>
  <c r="DE3335" i="1"/>
  <c r="CY3335" i="1"/>
  <c r="K3335" i="1"/>
  <c r="CX3335" i="1"/>
  <c r="CV3335" i="1"/>
  <c r="CU3335" i="1"/>
  <c r="I3335" i="1"/>
  <c r="CT3335" i="1"/>
  <c r="BI3335" i="1"/>
  <c r="BH3335" i="1"/>
  <c r="DE3410" i="1"/>
  <c r="CY3410" i="1"/>
  <c r="K3410" i="1"/>
  <c r="CX3410" i="1"/>
  <c r="CV3410" i="1"/>
  <c r="CU3410" i="1"/>
  <c r="I3410" i="1"/>
  <c r="CT3410" i="1"/>
  <c r="BI3410" i="1"/>
  <c r="BH3410" i="1"/>
  <c r="DE3428" i="1"/>
  <c r="CY3428" i="1"/>
  <c r="K3428" i="1"/>
  <c r="CX3428" i="1"/>
  <c r="CV3428" i="1"/>
  <c r="CU3428" i="1"/>
  <c r="I3428" i="1"/>
  <c r="CT3428" i="1"/>
  <c r="BI3428" i="1"/>
  <c r="BH3428" i="1"/>
  <c r="DE3559" i="1"/>
  <c r="CY3559" i="1"/>
  <c r="K3559" i="1"/>
  <c r="CX3559" i="1"/>
  <c r="CV3559" i="1"/>
  <c r="CU3559" i="1"/>
  <c r="I3559" i="1"/>
  <c r="CT3559" i="1"/>
  <c r="BI3559" i="1"/>
  <c r="BH3559" i="1"/>
  <c r="DE3274" i="1"/>
  <c r="CY3274" i="1"/>
  <c r="K3274" i="1"/>
  <c r="CX3274" i="1"/>
  <c r="CV3274" i="1"/>
  <c r="CU3274" i="1"/>
  <c r="I3274" i="1"/>
  <c r="CT3274" i="1"/>
  <c r="BI3274" i="1"/>
  <c r="BH3274" i="1"/>
  <c r="DE3513" i="1"/>
  <c r="CY3513" i="1"/>
  <c r="K3513" i="1"/>
  <c r="CX3513" i="1"/>
  <c r="CV3513" i="1"/>
  <c r="CU3513" i="1"/>
  <c r="I3513" i="1"/>
  <c r="CT3513" i="1"/>
  <c r="BI3513" i="1"/>
  <c r="BH3513" i="1"/>
  <c r="DE3376" i="1"/>
  <c r="CY3376" i="1"/>
  <c r="K3376" i="1"/>
  <c r="CX3376" i="1"/>
  <c r="CV3376" i="1"/>
  <c r="CU3376" i="1"/>
  <c r="I3376" i="1"/>
  <c r="CT3376" i="1"/>
  <c r="BI3376" i="1"/>
  <c r="BH3376" i="1"/>
  <c r="DE3556" i="1"/>
  <c r="CY3556" i="1"/>
  <c r="K3556" i="1"/>
  <c r="CX3556" i="1"/>
  <c r="CV3556" i="1"/>
  <c r="CU3556" i="1"/>
  <c r="I3556" i="1"/>
  <c r="CT3556" i="1"/>
  <c r="BI3556" i="1"/>
  <c r="BH3556" i="1"/>
  <c r="DE3549" i="1"/>
  <c r="CY3549" i="1"/>
  <c r="K3549" i="1"/>
  <c r="CX3549" i="1"/>
  <c r="CV3549" i="1"/>
  <c r="CU3549" i="1"/>
  <c r="I3549" i="1"/>
  <c r="CT3549" i="1"/>
  <c r="BI3549" i="1"/>
  <c r="BH3549" i="1"/>
  <c r="DE3621" i="1"/>
  <c r="CY3621" i="1"/>
  <c r="K3621" i="1"/>
  <c r="CX3621" i="1"/>
  <c r="CV3621" i="1"/>
  <c r="CU3621" i="1"/>
  <c r="I3621" i="1"/>
  <c r="CT3621" i="1"/>
  <c r="BI3621" i="1"/>
  <c r="BH3621" i="1"/>
  <c r="DE14" i="1"/>
  <c r="CY14" i="1"/>
  <c r="K14" i="1"/>
  <c r="CX14" i="1"/>
  <c r="CV14" i="1"/>
  <c r="CU14" i="1"/>
  <c r="I14" i="1"/>
  <c r="BI14" i="1"/>
  <c r="BH14" i="1"/>
  <c r="DE3658" i="1"/>
  <c r="CY3658" i="1"/>
  <c r="K3658" i="1"/>
  <c r="CX3658" i="1"/>
  <c r="CV3658" i="1"/>
  <c r="CU3658" i="1"/>
  <c r="I3658" i="1"/>
  <c r="CT3658" i="1"/>
  <c r="BI3658" i="1"/>
  <c r="BH3658" i="1"/>
  <c r="DE3651" i="1"/>
  <c r="CY3651" i="1"/>
  <c r="K3651" i="1"/>
  <c r="CX3651" i="1"/>
  <c r="CV3651" i="1"/>
  <c r="CU3651" i="1"/>
  <c r="I3651" i="1"/>
  <c r="CT3651" i="1"/>
  <c r="BI3651" i="1"/>
  <c r="BH3651" i="1"/>
  <c r="DE3419" i="1"/>
  <c r="CY3419" i="1"/>
  <c r="K3419" i="1"/>
  <c r="CX3419" i="1"/>
  <c r="CV3419" i="1"/>
  <c r="CU3419" i="1"/>
  <c r="I3419" i="1"/>
  <c r="CT3419" i="1"/>
  <c r="BI3419" i="1"/>
  <c r="BH3419" i="1"/>
  <c r="DE3602" i="1"/>
  <c r="CY3602" i="1"/>
  <c r="K3602" i="1"/>
  <c r="CX3602" i="1"/>
  <c r="CV3602" i="1"/>
  <c r="CU3602" i="1"/>
  <c r="I3602" i="1"/>
  <c r="CT3602" i="1"/>
  <c r="BI3602" i="1"/>
  <c r="BH3602" i="1"/>
  <c r="DE3327" i="1"/>
  <c r="CY3327" i="1"/>
  <c r="K3327" i="1"/>
  <c r="CX3327" i="1"/>
  <c r="CV3327" i="1"/>
  <c r="CU3327" i="1"/>
  <c r="I3327" i="1"/>
  <c r="CT3327" i="1"/>
  <c r="BI3327" i="1"/>
  <c r="BH3327" i="1"/>
  <c r="DE3433" i="1"/>
  <c r="CY3433" i="1"/>
  <c r="K3433" i="1"/>
  <c r="CX3433" i="1"/>
  <c r="CV3433" i="1"/>
  <c r="CU3433" i="1"/>
  <c r="I3433" i="1"/>
  <c r="CT3433" i="1"/>
  <c r="BI3433" i="1"/>
  <c r="BH3433" i="1"/>
  <c r="DE13" i="1"/>
  <c r="CY13" i="1"/>
  <c r="K13" i="1"/>
  <c r="CX13" i="1"/>
  <c r="CV13" i="1"/>
  <c r="CU13" i="1"/>
  <c r="I13" i="1"/>
  <c r="BI13" i="1"/>
  <c r="BH13" i="1"/>
  <c r="DE3670" i="1"/>
  <c r="CY3670" i="1"/>
  <c r="K3670" i="1"/>
  <c r="CX3670" i="1"/>
  <c r="CV3670" i="1"/>
  <c r="CU3670" i="1"/>
  <c r="I3670" i="1"/>
  <c r="CT3670" i="1"/>
  <c r="BI3670" i="1"/>
  <c r="BH3670" i="1"/>
  <c r="DE3553" i="1"/>
  <c r="CY3553" i="1"/>
  <c r="K3553" i="1"/>
  <c r="CX3553" i="1"/>
  <c r="CV3553" i="1"/>
  <c r="CU3553" i="1"/>
  <c r="I3553" i="1"/>
  <c r="CT3553" i="1"/>
  <c r="BI3553" i="1"/>
  <c r="BH3553" i="1"/>
  <c r="DE3272" i="1"/>
  <c r="CY3272" i="1"/>
  <c r="K3272" i="1"/>
  <c r="CX3272" i="1"/>
  <c r="CV3272" i="1"/>
  <c r="CU3272" i="1"/>
  <c r="I3272" i="1"/>
  <c r="CT3272" i="1"/>
  <c r="BI3272" i="1"/>
  <c r="BH3272" i="1"/>
  <c r="DE3403" i="1"/>
  <c r="CY3403" i="1"/>
  <c r="K3403" i="1"/>
  <c r="CX3403" i="1"/>
  <c r="CV3403" i="1"/>
  <c r="CU3403" i="1"/>
  <c r="I3403" i="1"/>
  <c r="CT3403" i="1"/>
  <c r="BI3403" i="1"/>
  <c r="BH3403" i="1"/>
  <c r="DE3753" i="1"/>
  <c r="CY3753" i="1"/>
  <c r="K3753" i="1"/>
  <c r="CX3753" i="1"/>
  <c r="CV3753" i="1"/>
  <c r="CU3753" i="1"/>
  <c r="I3753" i="1"/>
  <c r="CT3753" i="1"/>
  <c r="BI3753" i="1"/>
  <c r="BH3753" i="1"/>
  <c r="DE3277" i="1"/>
  <c r="CY3277" i="1"/>
  <c r="K3277" i="1"/>
  <c r="CX3277" i="1"/>
  <c r="CV3277" i="1"/>
  <c r="CU3277" i="1"/>
  <c r="I3277" i="1"/>
  <c r="CT3277" i="1"/>
  <c r="BI3277" i="1"/>
  <c r="BH3277" i="1"/>
  <c r="DE3758" i="1"/>
  <c r="CY3758" i="1"/>
  <c r="K3758" i="1"/>
  <c r="CX3758" i="1"/>
  <c r="CV3758" i="1"/>
  <c r="CU3758" i="1"/>
  <c r="I3758" i="1"/>
  <c r="CT3758" i="1"/>
  <c r="BI3758" i="1"/>
  <c r="BH3758" i="1"/>
  <c r="DE3486" i="1"/>
  <c r="CY3486" i="1"/>
  <c r="K3486" i="1"/>
  <c r="CX3486" i="1"/>
  <c r="CV3486" i="1"/>
  <c r="CU3486" i="1"/>
  <c r="I3486" i="1"/>
  <c r="CT3486" i="1"/>
  <c r="BI3486" i="1"/>
  <c r="BH3486" i="1"/>
  <c r="DE3746" i="1"/>
  <c r="CY3746" i="1"/>
  <c r="K3746" i="1"/>
  <c r="CX3746" i="1"/>
  <c r="CV3746" i="1"/>
  <c r="CU3746" i="1"/>
  <c r="I3746" i="1"/>
  <c r="CT3746" i="1"/>
  <c r="BI3746" i="1"/>
  <c r="BH3746" i="1"/>
  <c r="DE3540" i="1"/>
  <c r="CY3540" i="1"/>
  <c r="K3540" i="1"/>
  <c r="CX3540" i="1"/>
  <c r="CV3540" i="1"/>
  <c r="CU3540" i="1"/>
  <c r="I3540" i="1"/>
  <c r="CT3540" i="1"/>
  <c r="BI3540" i="1"/>
  <c r="BH3540" i="1"/>
  <c r="DE655" i="1"/>
  <c r="CY655" i="1"/>
  <c r="K655" i="1"/>
  <c r="CX655" i="1"/>
  <c r="CV655" i="1"/>
  <c r="CU655" i="1"/>
  <c r="I655" i="1"/>
  <c r="BI655" i="1"/>
  <c r="BH655" i="1"/>
  <c r="DE3324" i="1"/>
  <c r="CY3324" i="1"/>
  <c r="K3324" i="1"/>
  <c r="CX3324" i="1"/>
  <c r="CV3324" i="1"/>
  <c r="CU3324" i="1"/>
  <c r="I3324" i="1"/>
  <c r="CT3324" i="1"/>
  <c r="BI3324" i="1"/>
  <c r="BH3324" i="1"/>
  <c r="DE3352" i="1"/>
  <c r="CY3352" i="1"/>
  <c r="K3352" i="1"/>
  <c r="CX3352" i="1"/>
  <c r="CV3352" i="1"/>
  <c r="CU3352" i="1"/>
  <c r="I3352" i="1"/>
  <c r="CT3352" i="1"/>
  <c r="BI3352" i="1"/>
  <c r="BH3352" i="1"/>
  <c r="DE12" i="1"/>
  <c r="CY12" i="1"/>
  <c r="K12" i="1"/>
  <c r="CX12" i="1"/>
  <c r="CV12" i="1"/>
  <c r="CU12" i="1"/>
  <c r="I12" i="1"/>
  <c r="BI12" i="1"/>
  <c r="BH12" i="1"/>
  <c r="DE3724" i="1"/>
  <c r="CY3724" i="1"/>
  <c r="K3724" i="1"/>
  <c r="CX3724" i="1"/>
  <c r="CV3724" i="1"/>
  <c r="CU3724" i="1"/>
  <c r="I3724" i="1"/>
  <c r="CT3724" i="1"/>
  <c r="BI3724" i="1"/>
  <c r="BH3724" i="1"/>
  <c r="DE3320" i="1"/>
  <c r="CY3320" i="1"/>
  <c r="K3320" i="1"/>
  <c r="CX3320" i="1"/>
  <c r="CV3320" i="1"/>
  <c r="CU3320" i="1"/>
  <c r="I3320" i="1"/>
  <c r="CT3320" i="1"/>
  <c r="BI3320" i="1"/>
  <c r="BH3320" i="1"/>
  <c r="DE3661" i="1"/>
  <c r="CY3661" i="1"/>
  <c r="K3661" i="1"/>
  <c r="CX3661" i="1"/>
  <c r="CV3661" i="1"/>
  <c r="CU3661" i="1"/>
  <c r="I3661" i="1"/>
  <c r="CT3661" i="1"/>
  <c r="BI3661" i="1"/>
  <c r="BH3661" i="1"/>
  <c r="DE3598" i="1"/>
  <c r="CY3598" i="1"/>
  <c r="K3598" i="1"/>
  <c r="CX3598" i="1"/>
  <c r="CV3598" i="1"/>
  <c r="CU3598" i="1"/>
  <c r="I3598" i="1"/>
  <c r="CT3598" i="1"/>
  <c r="BI3598" i="1"/>
  <c r="BH3598" i="1"/>
  <c r="DE3510" i="1"/>
  <c r="CY3510" i="1"/>
  <c r="K3510" i="1"/>
  <c r="CX3510" i="1"/>
  <c r="CV3510" i="1"/>
  <c r="CU3510" i="1"/>
  <c r="I3510" i="1"/>
  <c r="CT3510" i="1"/>
  <c r="BI3510" i="1"/>
  <c r="BH3510" i="1"/>
  <c r="DE3406" i="1"/>
  <c r="CY3406" i="1"/>
  <c r="K3406" i="1"/>
  <c r="CX3406" i="1"/>
  <c r="CV3406" i="1"/>
  <c r="CU3406" i="1"/>
  <c r="I3406" i="1"/>
  <c r="CT3406" i="1"/>
  <c r="BI3406" i="1"/>
  <c r="BH3406" i="1"/>
  <c r="DE3542" i="1"/>
  <c r="CY3542" i="1"/>
  <c r="K3542" i="1"/>
  <c r="CX3542" i="1"/>
  <c r="CV3542" i="1"/>
  <c r="CU3542" i="1"/>
  <c r="I3542" i="1"/>
  <c r="CT3542" i="1"/>
  <c r="BI3542" i="1"/>
  <c r="BH3542" i="1"/>
  <c r="DE3471" i="1"/>
  <c r="CY3471" i="1"/>
  <c r="K3471" i="1"/>
  <c r="CX3471" i="1"/>
  <c r="CV3471" i="1"/>
  <c r="CU3471" i="1"/>
  <c r="I3471" i="1"/>
  <c r="CT3471" i="1"/>
  <c r="BI3471" i="1"/>
  <c r="BH3471" i="1"/>
  <c r="DE653" i="1"/>
  <c r="CY653" i="1"/>
  <c r="K653" i="1"/>
  <c r="CX653" i="1"/>
  <c r="CV653" i="1"/>
  <c r="CU653" i="1"/>
  <c r="I653" i="1"/>
  <c r="BI653" i="1"/>
  <c r="BH653" i="1"/>
  <c r="DE3347" i="1"/>
  <c r="CY3347" i="1"/>
  <c r="K3347" i="1"/>
  <c r="CX3347" i="1"/>
  <c r="CV3347" i="1"/>
  <c r="CU3347" i="1"/>
  <c r="I3347" i="1"/>
  <c r="CT3347" i="1"/>
  <c r="BI3347" i="1"/>
  <c r="BH3347" i="1"/>
  <c r="DE3443" i="1"/>
  <c r="CY3443" i="1"/>
  <c r="K3443" i="1"/>
  <c r="CX3443" i="1"/>
  <c r="CV3443" i="1"/>
  <c r="CU3443" i="1"/>
  <c r="I3443" i="1"/>
  <c r="CT3443" i="1"/>
  <c r="BI3443" i="1"/>
  <c r="BH3443" i="1"/>
  <c r="DE3583" i="1"/>
  <c r="CY3583" i="1"/>
  <c r="K3583" i="1"/>
  <c r="CX3583" i="1"/>
  <c r="CV3583" i="1"/>
  <c r="CU3583" i="1"/>
  <c r="I3583" i="1"/>
  <c r="CT3583" i="1"/>
  <c r="BI3583" i="1"/>
  <c r="BH3583" i="1"/>
  <c r="DE650" i="1"/>
  <c r="CY650" i="1"/>
  <c r="K650" i="1"/>
  <c r="CX650" i="1"/>
  <c r="CV650" i="1"/>
  <c r="CU650" i="1"/>
  <c r="I650" i="1"/>
  <c r="BI650" i="1"/>
  <c r="BH650" i="1"/>
  <c r="DE3688" i="1"/>
  <c r="CY3688" i="1"/>
  <c r="K3688" i="1"/>
  <c r="CX3688" i="1"/>
  <c r="CV3688" i="1"/>
  <c r="CU3688" i="1"/>
  <c r="I3688" i="1"/>
  <c r="CT3688" i="1"/>
  <c r="BI3688" i="1"/>
  <c r="BH3688" i="1"/>
  <c r="DE3624" i="1"/>
  <c r="CY3624" i="1"/>
  <c r="K3624" i="1"/>
  <c r="CX3624" i="1"/>
  <c r="CV3624" i="1"/>
  <c r="CU3624" i="1"/>
  <c r="I3624" i="1"/>
  <c r="CT3624" i="1"/>
  <c r="BI3624" i="1"/>
  <c r="BH3624" i="1"/>
  <c r="DE3399" i="1"/>
  <c r="CY3399" i="1"/>
  <c r="K3399" i="1"/>
  <c r="CX3399" i="1"/>
  <c r="CV3399" i="1"/>
  <c r="CU3399" i="1"/>
  <c r="I3399" i="1"/>
  <c r="CT3399" i="1"/>
  <c r="BI3399" i="1"/>
  <c r="BH3399" i="1"/>
  <c r="DE11" i="1"/>
  <c r="CY11" i="1"/>
  <c r="K11" i="1"/>
  <c r="CX11" i="1"/>
  <c r="CV11" i="1"/>
  <c r="CU11" i="1"/>
  <c r="I11" i="1"/>
  <c r="BI11" i="1"/>
  <c r="BH11" i="1"/>
  <c r="DE3655" i="1"/>
  <c r="CY3655" i="1"/>
  <c r="K3655" i="1"/>
  <c r="CX3655" i="1"/>
  <c r="CV3655" i="1"/>
  <c r="CU3655" i="1"/>
  <c r="I3655" i="1"/>
  <c r="CT3655" i="1"/>
  <c r="BI3655" i="1"/>
  <c r="BH3655" i="1"/>
  <c r="DE3356" i="1"/>
  <c r="CY3356" i="1"/>
  <c r="K3356" i="1"/>
  <c r="CX3356" i="1"/>
  <c r="CV3356" i="1"/>
  <c r="CU3356" i="1"/>
  <c r="I3356" i="1"/>
  <c r="CT3356" i="1"/>
  <c r="BI3356" i="1"/>
  <c r="BH3356" i="1"/>
  <c r="DE3512" i="1"/>
  <c r="CY3512" i="1"/>
  <c r="K3512" i="1"/>
  <c r="CX3512" i="1"/>
  <c r="CV3512" i="1"/>
  <c r="CU3512" i="1"/>
  <c r="I3512" i="1"/>
  <c r="CT3512" i="1"/>
  <c r="BI3512" i="1"/>
  <c r="BH3512" i="1"/>
  <c r="DE3288" i="1"/>
  <c r="CY3288" i="1"/>
  <c r="K3288" i="1"/>
  <c r="CX3288" i="1"/>
  <c r="CV3288" i="1"/>
  <c r="CU3288" i="1"/>
  <c r="I3288" i="1"/>
  <c r="CT3288" i="1"/>
  <c r="BI3288" i="1"/>
  <c r="BH3288" i="1"/>
  <c r="DE3472" i="1"/>
  <c r="CY3472" i="1"/>
  <c r="K3472" i="1"/>
  <c r="CX3472" i="1"/>
  <c r="CV3472" i="1"/>
  <c r="CU3472" i="1"/>
  <c r="I3472" i="1"/>
  <c r="CT3472" i="1"/>
  <c r="BI3472" i="1"/>
  <c r="BH3472" i="1"/>
  <c r="DE654" i="1"/>
  <c r="CY654" i="1"/>
  <c r="K654" i="1"/>
  <c r="CX654" i="1"/>
  <c r="CV654" i="1"/>
  <c r="CU654" i="1"/>
  <c r="I654" i="1"/>
  <c r="BI654" i="1"/>
  <c r="BH654" i="1"/>
  <c r="DE3425" i="1"/>
  <c r="CY3425" i="1"/>
  <c r="K3425" i="1"/>
  <c r="CX3425" i="1"/>
  <c r="CV3425" i="1"/>
  <c r="CU3425" i="1"/>
  <c r="I3425" i="1"/>
  <c r="CT3425" i="1"/>
  <c r="BI3425" i="1"/>
  <c r="BH3425" i="1"/>
  <c r="DE10" i="1"/>
  <c r="CY10" i="1"/>
  <c r="K10" i="1"/>
  <c r="CX10" i="1"/>
  <c r="CV10" i="1"/>
  <c r="CU10" i="1"/>
  <c r="I10" i="1"/>
  <c r="BI10" i="1"/>
  <c r="BH10" i="1"/>
  <c r="DE3394" i="1"/>
  <c r="CY3394" i="1"/>
  <c r="K3394" i="1"/>
  <c r="CX3394" i="1"/>
  <c r="CV3394" i="1"/>
  <c r="CU3394" i="1"/>
  <c r="I3394" i="1"/>
  <c r="CT3394" i="1"/>
  <c r="BI3394" i="1"/>
  <c r="BH3394" i="1"/>
  <c r="DE3709" i="1"/>
  <c r="CY3709" i="1"/>
  <c r="K3709" i="1"/>
  <c r="CX3709" i="1"/>
  <c r="CV3709" i="1"/>
  <c r="CU3709" i="1"/>
  <c r="I3709" i="1"/>
  <c r="CT3709" i="1"/>
  <c r="BI3709" i="1"/>
  <c r="BH3709" i="1"/>
  <c r="DE3385" i="1"/>
  <c r="CY3385" i="1"/>
  <c r="K3385" i="1"/>
  <c r="CX3385" i="1"/>
  <c r="CV3385" i="1"/>
  <c r="CU3385" i="1"/>
  <c r="I3385" i="1"/>
  <c r="CT3385" i="1"/>
  <c r="BI3385" i="1"/>
  <c r="BH3385" i="1"/>
  <c r="DE9" i="1"/>
  <c r="CY9" i="1"/>
  <c r="K9" i="1"/>
  <c r="CX9" i="1"/>
  <c r="CV9" i="1"/>
  <c r="CU9" i="1"/>
  <c r="I9" i="1"/>
  <c r="BI9" i="1"/>
  <c r="BH9" i="1"/>
  <c r="DE3362" i="1"/>
  <c r="CY3362" i="1"/>
  <c r="K3362" i="1"/>
  <c r="CX3362" i="1"/>
  <c r="CV3362" i="1"/>
  <c r="CU3362" i="1"/>
  <c r="I3362" i="1"/>
  <c r="CT3362" i="1"/>
  <c r="BI3362" i="1"/>
  <c r="BH3362" i="1"/>
  <c r="DE3580" i="1"/>
  <c r="CY3580" i="1"/>
  <c r="K3580" i="1"/>
  <c r="CX3580" i="1"/>
  <c r="CV3580" i="1"/>
  <c r="CU3580" i="1"/>
  <c r="I3580" i="1"/>
  <c r="CT3580" i="1"/>
  <c r="BI3580" i="1"/>
  <c r="BH3580" i="1"/>
  <c r="DE3620" i="1"/>
  <c r="CY3620" i="1"/>
  <c r="K3620" i="1"/>
  <c r="CX3620" i="1"/>
  <c r="CV3620" i="1"/>
  <c r="CU3620" i="1"/>
  <c r="I3620" i="1"/>
  <c r="CT3620" i="1"/>
  <c r="BI3620" i="1"/>
  <c r="BH3620" i="1"/>
  <c r="DE3715" i="1"/>
  <c r="CY3715" i="1"/>
  <c r="K3715" i="1"/>
  <c r="CX3715" i="1"/>
  <c r="CV3715" i="1"/>
  <c r="CU3715" i="1"/>
  <c r="I3715" i="1"/>
  <c r="CT3715" i="1"/>
  <c r="BI3715" i="1"/>
  <c r="BH3715" i="1"/>
  <c r="DE3654" i="1"/>
  <c r="CY3654" i="1"/>
  <c r="K3654" i="1"/>
  <c r="CX3654" i="1"/>
  <c r="CV3654" i="1"/>
  <c r="CU3654" i="1"/>
  <c r="I3654" i="1"/>
  <c r="CT3654" i="1"/>
  <c r="BI3654" i="1"/>
  <c r="BH3654" i="1"/>
  <c r="DE3398" i="1"/>
  <c r="CY3398" i="1"/>
  <c r="K3398" i="1"/>
  <c r="CX3398" i="1"/>
  <c r="CV3398" i="1"/>
  <c r="CU3398" i="1"/>
  <c r="I3398" i="1"/>
  <c r="CT3398" i="1"/>
  <c r="BI3398" i="1"/>
  <c r="BH3398" i="1"/>
  <c r="DE3478" i="1"/>
  <c r="CY3478" i="1"/>
  <c r="K3478" i="1"/>
  <c r="CX3478" i="1"/>
  <c r="CV3478" i="1"/>
  <c r="CU3478" i="1"/>
  <c r="I3478" i="1"/>
  <c r="CT3478" i="1"/>
  <c r="BI3478" i="1"/>
  <c r="BH3478" i="1"/>
  <c r="DE3708" i="1"/>
  <c r="CY3708" i="1"/>
  <c r="K3708" i="1"/>
  <c r="CX3708" i="1"/>
  <c r="CV3708" i="1"/>
  <c r="CU3708" i="1"/>
  <c r="I3708" i="1"/>
  <c r="CT3708" i="1"/>
  <c r="BI3708" i="1"/>
  <c r="BH3708" i="1"/>
  <c r="DE3367" i="1"/>
  <c r="CY3367" i="1"/>
  <c r="K3367" i="1"/>
  <c r="CX3367" i="1"/>
  <c r="CV3367" i="1"/>
  <c r="CU3367" i="1"/>
  <c r="I3367" i="1"/>
  <c r="CT3367" i="1"/>
  <c r="BI3367" i="1"/>
  <c r="BH3367" i="1"/>
  <c r="DE3726" i="1"/>
  <c r="CY3726" i="1"/>
  <c r="K3726" i="1"/>
  <c r="CX3726" i="1"/>
  <c r="CV3726" i="1"/>
  <c r="CU3726" i="1"/>
  <c r="I3726" i="1"/>
  <c r="CT3726" i="1"/>
  <c r="BI3726" i="1"/>
  <c r="BH3726" i="1"/>
  <c r="DE3537" i="1"/>
  <c r="CY3537" i="1"/>
  <c r="K3537" i="1"/>
  <c r="CX3537" i="1"/>
  <c r="CV3537" i="1"/>
  <c r="CU3537" i="1"/>
  <c r="I3537" i="1"/>
  <c r="CT3537" i="1"/>
  <c r="BI3537" i="1"/>
  <c r="BH3537" i="1"/>
  <c r="DE3408" i="1"/>
  <c r="CY3408" i="1"/>
  <c r="K3408" i="1"/>
  <c r="CX3408" i="1"/>
  <c r="CV3408" i="1"/>
  <c r="CU3408" i="1"/>
  <c r="I3408" i="1"/>
  <c r="CT3408" i="1"/>
  <c r="BI3408" i="1"/>
  <c r="BH3408" i="1"/>
  <c r="DE8" i="1"/>
  <c r="CY8" i="1"/>
  <c r="K8" i="1"/>
  <c r="CX8" i="1"/>
  <c r="CV8" i="1"/>
  <c r="CU8" i="1"/>
  <c r="I8" i="1"/>
  <c r="BI8" i="1"/>
  <c r="BH8" i="1"/>
  <c r="DE3484" i="1"/>
  <c r="CY3484" i="1"/>
  <c r="K3484" i="1"/>
  <c r="CX3484" i="1"/>
  <c r="CV3484" i="1"/>
  <c r="CU3484" i="1"/>
  <c r="I3484" i="1"/>
  <c r="CT3484" i="1"/>
  <c r="BI3484" i="1"/>
  <c r="BH3484" i="1"/>
  <c r="DE3505" i="1"/>
  <c r="CY3505" i="1"/>
  <c r="K3505" i="1"/>
  <c r="CX3505" i="1"/>
  <c r="CV3505" i="1"/>
  <c r="CU3505" i="1"/>
  <c r="I3505" i="1"/>
  <c r="CT3505" i="1"/>
  <c r="BI3505" i="1"/>
  <c r="BH3505" i="1"/>
  <c r="DE3727" i="1"/>
  <c r="CY3727" i="1"/>
  <c r="K3727" i="1"/>
  <c r="CX3727" i="1"/>
  <c r="CV3727" i="1"/>
  <c r="CU3727" i="1"/>
  <c r="I3727" i="1"/>
  <c r="CT3727" i="1"/>
  <c r="BI3727" i="1"/>
  <c r="BH3727" i="1"/>
  <c r="DE3393" i="1"/>
  <c r="CY3393" i="1"/>
  <c r="K3393" i="1"/>
  <c r="CX3393" i="1"/>
  <c r="CV3393" i="1"/>
  <c r="CU3393" i="1"/>
  <c r="I3393" i="1"/>
  <c r="CT3393" i="1"/>
  <c r="BI3393" i="1"/>
  <c r="BH3393" i="1"/>
  <c r="DE3435" i="1"/>
  <c r="CY3435" i="1"/>
  <c r="K3435" i="1"/>
  <c r="CX3435" i="1"/>
  <c r="CV3435" i="1"/>
  <c r="CU3435" i="1"/>
  <c r="I3435" i="1"/>
  <c r="CT3435" i="1"/>
  <c r="BI3435" i="1"/>
  <c r="BH3435" i="1"/>
  <c r="DE3741" i="1"/>
  <c r="CY3741" i="1"/>
  <c r="K3741" i="1"/>
  <c r="CX3741" i="1"/>
  <c r="CV3741" i="1"/>
  <c r="CU3741" i="1"/>
  <c r="I3741" i="1"/>
  <c r="CT3741" i="1"/>
  <c r="BI3741" i="1"/>
  <c r="BH3741" i="1"/>
  <c r="DE3731" i="1"/>
  <c r="CY3731" i="1"/>
  <c r="K3731" i="1"/>
  <c r="CX3731" i="1"/>
  <c r="CV3731" i="1"/>
  <c r="CU3731" i="1"/>
  <c r="I3731" i="1"/>
  <c r="CT3731" i="1"/>
  <c r="BI3731" i="1"/>
  <c r="BH3731" i="1"/>
  <c r="DE3643" i="1"/>
  <c r="CY3643" i="1"/>
  <c r="K3643" i="1"/>
  <c r="CX3643" i="1"/>
  <c r="CV3643" i="1"/>
  <c r="CU3643" i="1"/>
  <c r="I3643" i="1"/>
  <c r="CT3643" i="1"/>
  <c r="BI3643" i="1"/>
  <c r="BH3643" i="1"/>
  <c r="DE3404" i="1"/>
  <c r="CY3404" i="1"/>
  <c r="K3404" i="1"/>
  <c r="CX3404" i="1"/>
  <c r="CV3404" i="1"/>
  <c r="CU3404" i="1"/>
  <c r="I3404" i="1"/>
  <c r="CT3404" i="1"/>
  <c r="BI3404" i="1"/>
  <c r="BH3404" i="1"/>
  <c r="DE3455" i="1"/>
  <c r="CY3455" i="1"/>
  <c r="K3455" i="1"/>
  <c r="CX3455" i="1"/>
  <c r="CV3455" i="1"/>
  <c r="CU3455" i="1"/>
  <c r="I3455" i="1"/>
  <c r="CT3455" i="1"/>
  <c r="BI3455" i="1"/>
  <c r="BH3455" i="1"/>
  <c r="DE3355" i="1"/>
  <c r="CY3355" i="1"/>
  <c r="K3355" i="1"/>
  <c r="CX3355" i="1"/>
  <c r="CV3355" i="1"/>
  <c r="CU3355" i="1"/>
  <c r="I3355" i="1"/>
  <c r="CT3355" i="1"/>
  <c r="BI3355" i="1"/>
  <c r="BH3355" i="1"/>
  <c r="DE3706" i="1"/>
  <c r="CY3706" i="1"/>
  <c r="K3706" i="1"/>
  <c r="CX3706" i="1"/>
  <c r="CV3706" i="1"/>
  <c r="CU3706" i="1"/>
  <c r="I3706" i="1"/>
  <c r="CT3706" i="1"/>
  <c r="BI3706" i="1"/>
  <c r="BH3706" i="1"/>
  <c r="DE3615" i="1"/>
  <c r="CY3615" i="1"/>
  <c r="K3615" i="1"/>
  <c r="CX3615" i="1"/>
  <c r="CV3615" i="1"/>
  <c r="CU3615" i="1"/>
  <c r="I3615" i="1"/>
  <c r="CT3615" i="1"/>
  <c r="BI3615" i="1"/>
  <c r="BH3615" i="1"/>
  <c r="DE3444" i="1"/>
  <c r="CY3444" i="1"/>
  <c r="K3444" i="1"/>
  <c r="CX3444" i="1"/>
  <c r="CV3444" i="1"/>
  <c r="CU3444" i="1"/>
  <c r="I3444" i="1"/>
  <c r="CT3444" i="1"/>
  <c r="BI3444" i="1"/>
  <c r="BH3444" i="1"/>
  <c r="DE3690" i="1"/>
  <c r="CY3690" i="1"/>
  <c r="K3690" i="1"/>
  <c r="CX3690" i="1"/>
  <c r="CV3690" i="1"/>
  <c r="CU3690" i="1"/>
  <c r="I3690" i="1"/>
  <c r="CT3690" i="1"/>
  <c r="BI3690" i="1"/>
  <c r="BH3690" i="1"/>
  <c r="DE3350" i="1"/>
  <c r="CY3350" i="1"/>
  <c r="K3350" i="1"/>
  <c r="CX3350" i="1"/>
  <c r="CV3350" i="1"/>
  <c r="CU3350" i="1"/>
  <c r="I3350" i="1"/>
  <c r="CT3350" i="1"/>
  <c r="BI3350" i="1"/>
  <c r="BH3350" i="1"/>
  <c r="DE3557" i="1"/>
  <c r="CY3557" i="1"/>
  <c r="K3557" i="1"/>
  <c r="CX3557" i="1"/>
  <c r="CV3557" i="1"/>
  <c r="CU3557" i="1"/>
  <c r="I3557" i="1"/>
  <c r="CT3557" i="1"/>
  <c r="BI3557" i="1"/>
  <c r="BH3557" i="1"/>
  <c r="DE3729" i="1"/>
  <c r="CY3729" i="1"/>
  <c r="K3729" i="1"/>
  <c r="CX3729" i="1"/>
  <c r="CV3729" i="1"/>
  <c r="CU3729" i="1"/>
  <c r="I3729" i="1"/>
  <c r="CT3729" i="1"/>
  <c r="BI3729" i="1"/>
  <c r="BH3729" i="1"/>
  <c r="DE3742" i="1"/>
  <c r="CY3742" i="1"/>
  <c r="K3742" i="1"/>
  <c r="CX3742" i="1"/>
  <c r="CV3742" i="1"/>
  <c r="CU3742" i="1"/>
  <c r="I3742" i="1"/>
  <c r="CT3742" i="1"/>
  <c r="BI3742" i="1"/>
  <c r="BH3742" i="1"/>
  <c r="DE3560" i="1"/>
  <c r="CY3560" i="1"/>
  <c r="K3560" i="1"/>
  <c r="CX3560" i="1"/>
  <c r="CV3560" i="1"/>
  <c r="CU3560" i="1"/>
  <c r="I3560" i="1"/>
  <c r="CT3560" i="1"/>
  <c r="BI3560" i="1"/>
  <c r="BH3560" i="1"/>
  <c r="DE3718" i="1"/>
  <c r="CY3718" i="1"/>
  <c r="K3718" i="1"/>
  <c r="CX3718" i="1"/>
  <c r="CV3718" i="1"/>
  <c r="CU3718" i="1"/>
  <c r="I3718" i="1"/>
  <c r="CT3718" i="1"/>
  <c r="BI3718" i="1"/>
  <c r="BH3718" i="1"/>
  <c r="DE7" i="1"/>
  <c r="CY7" i="1"/>
  <c r="K7" i="1"/>
  <c r="CX7" i="1"/>
  <c r="CV7" i="1"/>
  <c r="CU7" i="1"/>
  <c r="I7" i="1"/>
  <c r="BI7" i="1"/>
  <c r="BH7" i="1"/>
  <c r="DE3627" i="1"/>
  <c r="CY3627" i="1"/>
  <c r="K3627" i="1"/>
  <c r="CX3627" i="1"/>
  <c r="CV3627" i="1"/>
  <c r="CU3627" i="1"/>
  <c r="I3627" i="1"/>
  <c r="CT3627" i="1"/>
  <c r="BI3627" i="1"/>
  <c r="BH3627" i="1"/>
  <c r="DE3759" i="1"/>
  <c r="CY3759" i="1"/>
  <c r="K3759" i="1"/>
  <c r="CX3759" i="1"/>
  <c r="CV3759" i="1"/>
  <c r="CU3759" i="1"/>
  <c r="I3759" i="1"/>
  <c r="CT3759" i="1"/>
  <c r="BI3759" i="1"/>
  <c r="BH3759" i="1"/>
  <c r="DE3551" i="1"/>
  <c r="CY3551" i="1"/>
  <c r="K3551" i="1"/>
  <c r="CX3551" i="1"/>
  <c r="CV3551" i="1"/>
  <c r="CU3551" i="1"/>
  <c r="I3551" i="1"/>
  <c r="CT3551" i="1"/>
  <c r="BI3551" i="1"/>
  <c r="BH3551" i="1"/>
  <c r="DE3482" i="1"/>
  <c r="CY3482" i="1"/>
  <c r="K3482" i="1"/>
  <c r="CX3482" i="1"/>
  <c r="CV3482" i="1"/>
  <c r="CU3482" i="1"/>
  <c r="I3482" i="1"/>
  <c r="CT3482" i="1"/>
  <c r="BI3482" i="1"/>
  <c r="BH3482" i="1"/>
  <c r="DE3498" i="1"/>
  <c r="CY3498" i="1"/>
  <c r="K3498" i="1"/>
  <c r="CX3498" i="1"/>
  <c r="CV3498" i="1"/>
  <c r="CU3498" i="1"/>
  <c r="I3498" i="1"/>
  <c r="CT3498" i="1"/>
  <c r="BI3498" i="1"/>
  <c r="BH3498" i="1"/>
  <c r="DE3381" i="1"/>
  <c r="CY3381" i="1"/>
  <c r="K3381" i="1"/>
  <c r="CX3381" i="1"/>
  <c r="CV3381" i="1"/>
  <c r="CU3381" i="1"/>
  <c r="I3381" i="1"/>
  <c r="CT3381" i="1"/>
  <c r="BI3381" i="1"/>
  <c r="BH3381" i="1"/>
  <c r="DE3515" i="1"/>
  <c r="CY3515" i="1"/>
  <c r="K3515" i="1"/>
  <c r="CX3515" i="1"/>
  <c r="CV3515" i="1"/>
  <c r="CU3515" i="1"/>
  <c r="I3515" i="1"/>
  <c r="CT3515" i="1"/>
  <c r="BI3515" i="1"/>
  <c r="BH3515" i="1"/>
  <c r="DE3427" i="1"/>
  <c r="CY3427" i="1"/>
  <c r="K3427" i="1"/>
  <c r="CX3427" i="1"/>
  <c r="CV3427" i="1"/>
  <c r="CU3427" i="1"/>
  <c r="I3427" i="1"/>
  <c r="CT3427" i="1"/>
  <c r="BI3427" i="1"/>
  <c r="BH3427" i="1"/>
  <c r="DE3686" i="1"/>
  <c r="CY3686" i="1"/>
  <c r="K3686" i="1"/>
  <c r="CX3686" i="1"/>
  <c r="CV3686" i="1"/>
  <c r="CU3686" i="1"/>
  <c r="I3686" i="1"/>
  <c r="CT3686" i="1"/>
  <c r="BI3686" i="1"/>
  <c r="BH3686" i="1"/>
  <c r="DE3495" i="1"/>
  <c r="CY3495" i="1"/>
  <c r="K3495" i="1"/>
  <c r="CX3495" i="1"/>
  <c r="CV3495" i="1"/>
  <c r="CU3495" i="1"/>
  <c r="I3495" i="1"/>
  <c r="CT3495" i="1"/>
  <c r="BI3495" i="1"/>
  <c r="BH3495" i="1"/>
  <c r="DE6" i="1"/>
  <c r="CY6" i="1"/>
  <c r="K6" i="1"/>
  <c r="CX6" i="1"/>
  <c r="CV6" i="1"/>
  <c r="CU6" i="1"/>
  <c r="I6" i="1"/>
  <c r="BI6" i="1"/>
  <c r="BH6" i="1"/>
  <c r="DE3487" i="1"/>
  <c r="CY3487" i="1"/>
  <c r="K3487" i="1"/>
  <c r="CX3487" i="1"/>
  <c r="CV3487" i="1"/>
  <c r="CU3487" i="1"/>
  <c r="I3487" i="1"/>
  <c r="CT3487" i="1"/>
  <c r="BI3487" i="1"/>
  <c r="BH3487" i="1"/>
  <c r="DE3568" i="1"/>
  <c r="CY3568" i="1"/>
  <c r="K3568" i="1"/>
  <c r="CX3568" i="1"/>
  <c r="CV3568" i="1"/>
  <c r="CU3568" i="1"/>
  <c r="I3568" i="1"/>
  <c r="CT3568" i="1"/>
  <c r="BI3568" i="1"/>
  <c r="BH3568" i="1"/>
  <c r="DE3704" i="1"/>
  <c r="CY3704" i="1"/>
  <c r="K3704" i="1"/>
  <c r="CX3704" i="1"/>
  <c r="CV3704" i="1"/>
  <c r="CU3704" i="1"/>
  <c r="I3704" i="1"/>
  <c r="CT3704" i="1"/>
  <c r="BI3704" i="1"/>
  <c r="BH3704" i="1"/>
  <c r="DE3638" i="1"/>
  <c r="CY3638" i="1"/>
  <c r="K3638" i="1"/>
  <c r="CX3638" i="1"/>
  <c r="CV3638" i="1"/>
  <c r="CU3638" i="1"/>
  <c r="I3638" i="1"/>
  <c r="CT3638" i="1"/>
  <c r="BI3638" i="1"/>
  <c r="BH3638" i="1"/>
  <c r="DE3321" i="1"/>
  <c r="CY3321" i="1"/>
  <c r="K3321" i="1"/>
  <c r="CX3321" i="1"/>
  <c r="CV3321" i="1"/>
  <c r="CU3321" i="1"/>
  <c r="I3321" i="1"/>
  <c r="CT3321" i="1"/>
  <c r="BI3321" i="1"/>
  <c r="BH3321" i="1"/>
  <c r="DE3349" i="1"/>
  <c r="CY3349" i="1"/>
  <c r="K3349" i="1"/>
  <c r="CX3349" i="1"/>
  <c r="CV3349" i="1"/>
  <c r="CU3349" i="1"/>
  <c r="I3349" i="1"/>
  <c r="CT3349" i="1"/>
  <c r="BI3349" i="1"/>
  <c r="BH3349" i="1"/>
  <c r="DE3339" i="1"/>
  <c r="CY3339" i="1"/>
  <c r="K3339" i="1"/>
  <c r="CX3339" i="1"/>
  <c r="CV3339" i="1"/>
  <c r="CU3339" i="1"/>
  <c r="I3339" i="1"/>
  <c r="CT3339" i="1"/>
  <c r="BI3339" i="1"/>
  <c r="BH3339" i="1"/>
  <c r="DE3743" i="1"/>
  <c r="CY3743" i="1"/>
  <c r="K3743" i="1"/>
  <c r="CX3743" i="1"/>
  <c r="CV3743" i="1"/>
  <c r="CU3743" i="1"/>
  <c r="I3743" i="1"/>
  <c r="CT3743" i="1"/>
  <c r="BI3743" i="1"/>
  <c r="BH3743" i="1"/>
  <c r="DE3520" i="1"/>
  <c r="CY3520" i="1"/>
  <c r="K3520" i="1"/>
  <c r="CX3520" i="1"/>
  <c r="CV3520" i="1"/>
  <c r="CU3520" i="1"/>
  <c r="I3520" i="1"/>
  <c r="CT3520" i="1"/>
  <c r="BI3520" i="1"/>
  <c r="BH3520" i="1"/>
  <c r="DE3341" i="1"/>
  <c r="CY3341" i="1"/>
  <c r="K3341" i="1"/>
  <c r="CX3341" i="1"/>
  <c r="CV3341" i="1"/>
  <c r="CU3341" i="1"/>
  <c r="I3341" i="1"/>
  <c r="CT3341" i="1"/>
  <c r="BI3341" i="1"/>
  <c r="BH3341" i="1"/>
  <c r="DE3576" i="1"/>
  <c r="CY3576" i="1"/>
  <c r="K3576" i="1"/>
  <c r="CX3576" i="1"/>
  <c r="CV3576" i="1"/>
  <c r="CU3576" i="1"/>
  <c r="I3576" i="1"/>
  <c r="CT3576" i="1"/>
  <c r="BI3576" i="1"/>
  <c r="BH3576" i="1"/>
  <c r="DE3409" i="1"/>
  <c r="CY3409" i="1"/>
  <c r="K3409" i="1"/>
  <c r="CX3409" i="1"/>
  <c r="CV3409" i="1"/>
  <c r="CU3409" i="1"/>
  <c r="I3409" i="1"/>
  <c r="CT3409" i="1"/>
  <c r="BI3409" i="1"/>
  <c r="BH3409" i="1"/>
  <c r="DE3461" i="1"/>
  <c r="CY3461" i="1"/>
  <c r="K3461" i="1"/>
  <c r="CX3461" i="1"/>
  <c r="CV3461" i="1"/>
  <c r="CU3461" i="1"/>
  <c r="I3461" i="1"/>
  <c r="CT3461" i="1"/>
  <c r="BI3461" i="1"/>
  <c r="BH3461" i="1"/>
  <c r="DE3432" i="1"/>
  <c r="CY3432" i="1"/>
  <c r="K3432" i="1"/>
  <c r="CX3432" i="1"/>
  <c r="CV3432" i="1"/>
  <c r="CU3432" i="1"/>
  <c r="I3432" i="1"/>
  <c r="CT3432" i="1"/>
  <c r="BI3432" i="1"/>
  <c r="BH3432" i="1"/>
  <c r="DE5" i="1"/>
  <c r="CY5" i="1"/>
  <c r="K5" i="1"/>
  <c r="CX5" i="1"/>
  <c r="CV5" i="1"/>
  <c r="CU5" i="1"/>
  <c r="I5" i="1"/>
  <c r="BI5" i="1"/>
  <c r="BH5" i="1"/>
  <c r="DE3523" i="1"/>
  <c r="CY3523" i="1"/>
  <c r="K3523" i="1"/>
  <c r="CX3523" i="1"/>
  <c r="CV3523" i="1"/>
  <c r="CU3523" i="1"/>
  <c r="I3523" i="1"/>
  <c r="CT3523" i="1"/>
  <c r="BI3523" i="1"/>
  <c r="BH3523" i="1"/>
  <c r="DE3648" i="1"/>
  <c r="CY3648" i="1"/>
  <c r="K3648" i="1"/>
  <c r="CX3648" i="1"/>
  <c r="CV3648" i="1"/>
  <c r="CU3648" i="1"/>
  <c r="I3648" i="1"/>
  <c r="CT3648" i="1"/>
  <c r="BI3648" i="1"/>
  <c r="BH3648" i="1"/>
  <c r="DE3672" i="1"/>
  <c r="CY3672" i="1"/>
  <c r="K3672" i="1"/>
  <c r="CX3672" i="1"/>
  <c r="CV3672" i="1"/>
  <c r="CU3672" i="1"/>
  <c r="I3672" i="1"/>
  <c r="CT3672" i="1"/>
  <c r="BI3672" i="1"/>
  <c r="BH3672" i="1"/>
  <c r="DE3468" i="1"/>
  <c r="CY3468" i="1"/>
  <c r="K3468" i="1"/>
  <c r="CX3468" i="1"/>
  <c r="CV3468" i="1"/>
  <c r="CU3468" i="1"/>
  <c r="I3468" i="1"/>
  <c r="CT3468" i="1"/>
  <c r="BI3468" i="1"/>
  <c r="BH3468" i="1"/>
  <c r="DE3508" i="1"/>
  <c r="CY3508" i="1"/>
  <c r="K3508" i="1"/>
  <c r="CX3508" i="1"/>
  <c r="CV3508" i="1"/>
  <c r="CU3508" i="1"/>
  <c r="I3508" i="1"/>
  <c r="CT3508" i="1"/>
  <c r="BI3508" i="1"/>
  <c r="BH3508" i="1"/>
  <c r="DE724" i="1"/>
  <c r="CY724" i="1"/>
  <c r="K724" i="1"/>
  <c r="CX724" i="1"/>
  <c r="CV724" i="1"/>
  <c r="CU724" i="1"/>
  <c r="I724" i="1"/>
  <c r="BI724" i="1"/>
  <c r="BH724" i="1"/>
  <c r="DE3525" i="1"/>
  <c r="CY3525" i="1"/>
  <c r="K3525" i="1"/>
  <c r="CX3525" i="1"/>
  <c r="CV3525" i="1"/>
  <c r="CU3525" i="1"/>
  <c r="I3525" i="1"/>
  <c r="CT3525" i="1"/>
  <c r="BI3525" i="1"/>
  <c r="BH3525" i="1"/>
  <c r="DE717" i="1"/>
  <c r="CY717" i="1"/>
  <c r="K717" i="1"/>
  <c r="CX717" i="1"/>
  <c r="CV717" i="1"/>
  <c r="CU717" i="1"/>
  <c r="I717" i="1"/>
  <c r="BI717" i="1"/>
  <c r="BH717" i="1"/>
  <c r="DE4" i="1"/>
  <c r="CY4" i="1"/>
  <c r="K4" i="1"/>
  <c r="CX4" i="1"/>
  <c r="CV4" i="1"/>
  <c r="CU4" i="1"/>
  <c r="I4" i="1"/>
  <c r="BI4" i="1"/>
  <c r="BH4" i="1"/>
  <c r="DE726" i="1"/>
  <c r="CY726" i="1"/>
  <c r="K726" i="1"/>
  <c r="CX726" i="1"/>
  <c r="CV726" i="1"/>
  <c r="CU726" i="1"/>
  <c r="I726" i="1"/>
  <c r="BI726" i="1"/>
  <c r="BH726" i="1"/>
  <c r="DE731" i="1"/>
  <c r="CY731" i="1"/>
  <c r="K731" i="1"/>
  <c r="CX731" i="1"/>
  <c r="CV731" i="1"/>
  <c r="CU731" i="1"/>
  <c r="I731" i="1"/>
  <c r="BI731" i="1"/>
  <c r="BH731" i="1"/>
  <c r="DE732" i="1"/>
  <c r="CY732" i="1"/>
  <c r="K732" i="1"/>
  <c r="CX732" i="1"/>
  <c r="CV732" i="1"/>
  <c r="CU732" i="1"/>
  <c r="I732" i="1"/>
  <c r="BI732" i="1"/>
  <c r="BH732" i="1"/>
  <c r="DE485" i="1"/>
  <c r="CY485" i="1"/>
  <c r="K485" i="1"/>
  <c r="CX485" i="1"/>
  <c r="CV485" i="1"/>
  <c r="CU485" i="1"/>
  <c r="I485" i="1"/>
  <c r="BI485" i="1"/>
  <c r="BH485" i="1"/>
  <c r="DE3331" i="1"/>
  <c r="CY3331" i="1"/>
  <c r="K3331" i="1"/>
  <c r="CX3331" i="1"/>
  <c r="CV3331" i="1"/>
  <c r="CU3331" i="1"/>
  <c r="I3331" i="1"/>
  <c r="CT3331" i="1"/>
  <c r="BI3331" i="1"/>
  <c r="BH3331" i="1"/>
  <c r="DE3" i="1"/>
  <c r="CY3" i="1"/>
  <c r="K3" i="1"/>
  <c r="CX3" i="1"/>
  <c r="CV3" i="1"/>
  <c r="CU3" i="1"/>
  <c r="I3" i="1"/>
  <c r="BI3" i="1"/>
  <c r="BH3" i="1"/>
  <c r="DE3665" i="1"/>
  <c r="CY3665" i="1"/>
  <c r="K3665" i="1"/>
  <c r="CX3665" i="1"/>
  <c r="CV3665" i="1"/>
  <c r="CU3665" i="1"/>
  <c r="I3665" i="1"/>
  <c r="CT3665" i="1"/>
  <c r="BI3665" i="1"/>
  <c r="BH3665" i="1"/>
  <c r="DE3587" i="1"/>
  <c r="CY3587" i="1"/>
  <c r="K3587" i="1"/>
  <c r="CX3587" i="1"/>
  <c r="CV3587" i="1"/>
  <c r="CU3587" i="1"/>
  <c r="I3587" i="1"/>
  <c r="CT3587" i="1"/>
  <c r="BI3587" i="1"/>
  <c r="BH3587" i="1"/>
  <c r="DE2" i="1"/>
  <c r="CY2" i="1"/>
  <c r="K2" i="1"/>
  <c r="CX2" i="1"/>
  <c r="CV2" i="1"/>
  <c r="CU2" i="1"/>
  <c r="I2" i="1"/>
  <c r="BI2" i="1"/>
  <c r="BH2" i="1"/>
  <c r="DE3373" i="1"/>
  <c r="CY3373" i="1"/>
  <c r="K3373" i="1"/>
  <c r="CX3373" i="1"/>
  <c r="CV3373" i="1"/>
  <c r="CU3373" i="1"/>
  <c r="I3373" i="1"/>
  <c r="CT3373" i="1"/>
  <c r="BI3373" i="1"/>
  <c r="BH3373" i="1"/>
  <c r="DE3532" i="1"/>
  <c r="CY3532" i="1"/>
  <c r="K3532" i="1"/>
  <c r="CX3532" i="1"/>
  <c r="CV3532" i="1"/>
  <c r="CU3532" i="1"/>
  <c r="I3532" i="1"/>
  <c r="CT3532" i="1"/>
  <c r="BI3532" i="1"/>
  <c r="BH3532" i="1"/>
  <c r="DE3521" i="1"/>
  <c r="CY3521" i="1"/>
  <c r="K3521" i="1"/>
  <c r="CX3521" i="1"/>
  <c r="CV3521" i="1"/>
  <c r="CU3521" i="1"/>
  <c r="I3521" i="1"/>
  <c r="CT3521" i="1"/>
  <c r="BI3521" i="1"/>
  <c r="BH3521" i="1"/>
  <c r="DE492" i="1"/>
  <c r="CY492" i="1"/>
  <c r="K492" i="1"/>
  <c r="CX492" i="1"/>
  <c r="CV492" i="1"/>
  <c r="CU492" i="1"/>
  <c r="I492" i="1"/>
  <c r="BI492" i="1"/>
  <c r="BH492" i="1"/>
  <c r="DE3459" i="1"/>
  <c r="CY3459" i="1"/>
  <c r="K3459" i="1"/>
  <c r="CX3459" i="1"/>
  <c r="CV3459" i="1"/>
  <c r="CU3459" i="1"/>
  <c r="I3459" i="1"/>
  <c r="CT3459" i="1"/>
  <c r="BI3459" i="1"/>
  <c r="BH3459" i="1"/>
  <c r="DE3483" i="1"/>
  <c r="CY3483" i="1"/>
  <c r="K3483" i="1"/>
  <c r="CX3483" i="1"/>
  <c r="CV3483" i="1"/>
  <c r="CU3483" i="1"/>
  <c r="I3483" i="1"/>
  <c r="CT3483" i="1"/>
  <c r="BI3483" i="1"/>
  <c r="BH3483" i="1"/>
  <c r="DE3417" i="1"/>
  <c r="CY3417" i="1"/>
  <c r="K3417" i="1"/>
  <c r="CX3417" i="1"/>
  <c r="CV3417" i="1"/>
  <c r="CU3417" i="1"/>
  <c r="I3417" i="1"/>
  <c r="CT3417" i="1"/>
  <c r="BI3417" i="1"/>
  <c r="BH3417" i="1"/>
  <c r="DE3456" i="1"/>
  <c r="CY3456" i="1"/>
  <c r="K3456" i="1"/>
  <c r="CX3456" i="1"/>
  <c r="CV3456" i="1"/>
  <c r="CU3456" i="1"/>
  <c r="I3456" i="1"/>
  <c r="CT3456" i="1"/>
  <c r="BI3456" i="1"/>
  <c r="BH3456" i="1"/>
  <c r="DE3585" i="1"/>
  <c r="CY3585" i="1"/>
  <c r="K3585" i="1"/>
  <c r="CX3585" i="1"/>
  <c r="CV3585" i="1"/>
  <c r="CU3585" i="1"/>
  <c r="I3585" i="1"/>
  <c r="CT3585" i="1"/>
  <c r="BI3585" i="1"/>
  <c r="BH3585" i="1"/>
  <c r="DE3494" i="1"/>
  <c r="CY3494" i="1"/>
  <c r="K3494" i="1"/>
  <c r="CX3494" i="1"/>
  <c r="CV3494" i="1"/>
  <c r="CU3494" i="1"/>
  <c r="I3494" i="1"/>
  <c r="CT3494" i="1"/>
  <c r="BI3494" i="1"/>
  <c r="BH3494" i="1"/>
  <c r="DE3562" i="1"/>
  <c r="CY3562" i="1"/>
  <c r="K3562" i="1"/>
  <c r="CX3562" i="1"/>
  <c r="CV3562" i="1"/>
  <c r="CU3562" i="1"/>
  <c r="I3562" i="1"/>
  <c r="CT3562" i="1"/>
  <c r="BI3562" i="1"/>
  <c r="BH3562" i="1"/>
  <c r="DE3470" i="1"/>
  <c r="CY3470" i="1"/>
  <c r="K3470" i="1"/>
  <c r="CX3470" i="1"/>
  <c r="CV3470" i="1"/>
  <c r="CU3470" i="1"/>
  <c r="I3470" i="1"/>
  <c r="CT3470" i="1"/>
  <c r="BI3470" i="1"/>
  <c r="BH3470" i="1"/>
  <c r="DE3396" i="1"/>
  <c r="CY3396" i="1"/>
  <c r="K3396" i="1"/>
  <c r="CX3396" i="1"/>
  <c r="CV3396" i="1"/>
  <c r="CU3396" i="1"/>
  <c r="I3396" i="1"/>
  <c r="CT3396" i="1"/>
  <c r="BI3396" i="1"/>
  <c r="BH3396" i="1"/>
  <c r="DE3649" i="1"/>
  <c r="CY3649" i="1"/>
  <c r="K3649" i="1"/>
  <c r="CX3649" i="1"/>
  <c r="CV3649" i="1"/>
  <c r="CU3649" i="1"/>
  <c r="I3649" i="1"/>
  <c r="CT3649" i="1"/>
  <c r="BI3649" i="1"/>
  <c r="BH3649" i="1"/>
  <c r="DE3282" i="1"/>
  <c r="CY3282" i="1"/>
  <c r="K3282" i="1"/>
  <c r="CX3282" i="1"/>
  <c r="CV3282" i="1"/>
  <c r="CU3282" i="1"/>
  <c r="I3282" i="1"/>
  <c r="CT3282" i="1"/>
  <c r="BI3282" i="1"/>
  <c r="BH3282" i="1"/>
  <c r="DE496" i="1"/>
  <c r="CY496" i="1"/>
  <c r="K496" i="1"/>
  <c r="CX496" i="1"/>
  <c r="CV496" i="1"/>
  <c r="CU496" i="1"/>
  <c r="I496" i="1"/>
  <c r="BI496" i="1"/>
  <c r="BH496" i="1"/>
  <c r="DE3609" i="1"/>
  <c r="CY3609" i="1"/>
  <c r="K3609" i="1"/>
  <c r="CX3609" i="1"/>
  <c r="CV3609" i="1"/>
  <c r="CU3609" i="1"/>
  <c r="I3609" i="1"/>
  <c r="CT3609" i="1"/>
  <c r="BI3609" i="1"/>
  <c r="BH3609" i="1"/>
  <c r="DE3338" i="1"/>
  <c r="CY3338" i="1"/>
  <c r="K3338" i="1"/>
  <c r="CX3338" i="1"/>
  <c r="CV3338" i="1"/>
  <c r="CU3338" i="1"/>
  <c r="I3338" i="1"/>
  <c r="CT3338" i="1"/>
  <c r="BI3338" i="1"/>
  <c r="BH3338" i="1"/>
  <c r="DE3664" i="1"/>
  <c r="CY3664" i="1"/>
  <c r="K3664" i="1"/>
  <c r="CX3664" i="1"/>
  <c r="CV3664" i="1"/>
  <c r="CU3664" i="1"/>
  <c r="I3664" i="1"/>
  <c r="CT3664" i="1"/>
  <c r="BI3664" i="1"/>
  <c r="BH3664" i="1"/>
  <c r="DE3493" i="1"/>
  <c r="CY3493" i="1"/>
  <c r="K3493" i="1"/>
  <c r="CX3493" i="1"/>
  <c r="CV3493" i="1"/>
  <c r="CU3493" i="1"/>
  <c r="I3493" i="1"/>
  <c r="CT3493" i="1"/>
  <c r="BI3493" i="1"/>
  <c r="BH3493" i="1"/>
  <c r="DE3570" i="1"/>
  <c r="CY3570" i="1"/>
  <c r="K3570" i="1"/>
  <c r="CX3570" i="1"/>
  <c r="CV3570" i="1"/>
  <c r="CU3570" i="1"/>
  <c r="I3570" i="1"/>
  <c r="CT3570" i="1"/>
  <c r="BI3570" i="1"/>
  <c r="BH3570" i="1"/>
  <c r="DE3745" i="1"/>
  <c r="CY3745" i="1"/>
  <c r="K3745" i="1"/>
  <c r="CX3745" i="1"/>
  <c r="CV3745" i="1"/>
  <c r="CU3745" i="1"/>
  <c r="I3745" i="1"/>
  <c r="CT3745" i="1"/>
  <c r="BI3745" i="1"/>
  <c r="BH3745" i="1"/>
  <c r="DE3413" i="1"/>
  <c r="CY3413" i="1"/>
  <c r="K3413" i="1"/>
  <c r="CX3413" i="1"/>
  <c r="CV3413" i="1"/>
  <c r="CU3413" i="1"/>
  <c r="I3413" i="1"/>
  <c r="CT3413" i="1"/>
  <c r="BI3413" i="1"/>
  <c r="BH3413" i="1"/>
  <c r="DE3703" i="1"/>
  <c r="CY3703" i="1"/>
  <c r="K3703" i="1"/>
  <c r="CX3703" i="1"/>
  <c r="CV3703" i="1"/>
  <c r="CU3703" i="1"/>
  <c r="I3703" i="1"/>
  <c r="CT3703" i="1"/>
  <c r="BI3703" i="1"/>
  <c r="BH3703" i="1"/>
  <c r="DE3438" i="1"/>
  <c r="CY3438" i="1"/>
  <c r="K3438" i="1"/>
  <c r="CX3438" i="1"/>
  <c r="CV3438" i="1"/>
  <c r="CU3438" i="1"/>
  <c r="I3438" i="1"/>
  <c r="CT3438" i="1"/>
  <c r="BI3438" i="1"/>
  <c r="BH3438" i="1"/>
  <c r="DE495" i="1"/>
  <c r="CY495" i="1"/>
  <c r="K495" i="1"/>
  <c r="CX495" i="1"/>
  <c r="CV495" i="1"/>
  <c r="CU495" i="1"/>
  <c r="I495" i="1"/>
  <c r="BI495" i="1"/>
  <c r="BH495" i="1"/>
  <c r="DE3442" i="1"/>
  <c r="CY3442" i="1"/>
  <c r="K3442" i="1"/>
  <c r="CX3442" i="1"/>
  <c r="CV3442" i="1"/>
  <c r="CU3442" i="1"/>
  <c r="I3442" i="1"/>
  <c r="CT3442" i="1"/>
  <c r="BI3442" i="1"/>
  <c r="BH3442" i="1"/>
  <c r="DE3491" i="1"/>
  <c r="CY3491" i="1"/>
  <c r="K3491" i="1"/>
  <c r="CX3491" i="1"/>
  <c r="CV3491" i="1"/>
  <c r="CU3491" i="1"/>
  <c r="I3491" i="1"/>
  <c r="CT3491" i="1"/>
  <c r="BI3491" i="1"/>
  <c r="BH3491" i="1"/>
  <c r="DE736" i="1"/>
  <c r="CY736" i="1"/>
  <c r="K736" i="1"/>
  <c r="CX736" i="1"/>
  <c r="CV736" i="1"/>
  <c r="CU736" i="1"/>
  <c r="I736" i="1"/>
  <c r="BI736" i="1"/>
  <c r="BH736" i="1"/>
  <c r="DE3304" i="1"/>
  <c r="CY3304" i="1"/>
  <c r="K3304" i="1"/>
  <c r="CX3304" i="1"/>
  <c r="CV3304" i="1"/>
  <c r="CU3304" i="1"/>
  <c r="I3304" i="1"/>
  <c r="CT3304" i="1"/>
  <c r="BI3304" i="1"/>
  <c r="BH3304" i="1"/>
  <c r="DE734" i="1"/>
  <c r="CY734" i="1"/>
  <c r="K734" i="1"/>
  <c r="CX734" i="1"/>
  <c r="CV734" i="1"/>
  <c r="CU734" i="1"/>
  <c r="I734" i="1"/>
  <c r="BI734" i="1"/>
  <c r="BH734" i="1"/>
  <c r="DE3607" i="1"/>
  <c r="CY3607" i="1"/>
  <c r="K3607" i="1"/>
  <c r="CX3607" i="1"/>
  <c r="CV3607" i="1"/>
  <c r="CU3607" i="1"/>
  <c r="I3607" i="1"/>
  <c r="CT3607" i="1"/>
  <c r="BI3607" i="1"/>
  <c r="BH3607" i="1"/>
  <c r="DE3414" i="1"/>
  <c r="CY3414" i="1"/>
  <c r="K3414" i="1"/>
  <c r="CX3414" i="1"/>
  <c r="CV3414" i="1"/>
  <c r="CU3414" i="1"/>
  <c r="I3414" i="1"/>
  <c r="CT3414" i="1"/>
  <c r="BI3414" i="1"/>
  <c r="BH3414" i="1"/>
  <c r="DE733" i="1"/>
  <c r="CY733" i="1"/>
  <c r="K733" i="1"/>
  <c r="CX733" i="1"/>
  <c r="CV733" i="1"/>
  <c r="CU733" i="1"/>
  <c r="I733" i="1"/>
  <c r="BI733" i="1"/>
  <c r="BH733" i="1"/>
  <c r="DE3424" i="1"/>
  <c r="CY3424" i="1"/>
  <c r="K3424" i="1"/>
  <c r="CX3424" i="1"/>
  <c r="CV3424" i="1"/>
  <c r="CU3424" i="1"/>
  <c r="I3424" i="1"/>
  <c r="CT3424" i="1"/>
  <c r="BI3424" i="1"/>
  <c r="BH3424" i="1"/>
  <c r="DE739" i="1"/>
  <c r="CY739" i="1"/>
  <c r="K739" i="1"/>
  <c r="CX739" i="1"/>
  <c r="CV739" i="1"/>
  <c r="CU739" i="1"/>
  <c r="I739" i="1"/>
  <c r="BI739" i="1"/>
  <c r="BH739" i="1"/>
  <c r="DE3668" i="1"/>
  <c r="CY3668" i="1"/>
  <c r="K3668" i="1"/>
  <c r="CX3668" i="1"/>
  <c r="CV3668" i="1"/>
  <c r="CU3668" i="1"/>
  <c r="I3668" i="1"/>
  <c r="CT3668" i="1"/>
  <c r="BI3668" i="1"/>
  <c r="BH3668" i="1"/>
  <c r="DE3363" i="1"/>
  <c r="CY3363" i="1"/>
  <c r="K3363" i="1"/>
  <c r="CX3363" i="1"/>
  <c r="CV3363" i="1"/>
  <c r="CU3363" i="1"/>
  <c r="I3363" i="1"/>
  <c r="CT3363" i="1"/>
  <c r="BI3363" i="1"/>
  <c r="BH3363" i="1"/>
  <c r="DE3488" i="1"/>
  <c r="CY3488" i="1"/>
  <c r="K3488" i="1"/>
  <c r="CX3488" i="1"/>
  <c r="CV3488" i="1"/>
  <c r="CU3488" i="1"/>
  <c r="I3488" i="1"/>
  <c r="CT3488" i="1"/>
  <c r="BI3488" i="1"/>
  <c r="BH3488" i="1"/>
  <c r="DE3303" i="1"/>
  <c r="CY3303" i="1"/>
  <c r="K3303" i="1"/>
  <c r="CX3303" i="1"/>
  <c r="CV3303" i="1"/>
  <c r="CU3303" i="1"/>
  <c r="I3303" i="1"/>
  <c r="CT3303" i="1"/>
  <c r="BI3303" i="1"/>
  <c r="BH3303" i="1"/>
  <c r="DE3730" i="1"/>
  <c r="CY3730" i="1"/>
  <c r="K3730" i="1"/>
  <c r="CX3730" i="1"/>
  <c r="CV3730" i="1"/>
  <c r="CU3730" i="1"/>
  <c r="I3730" i="1"/>
  <c r="CT3730" i="1"/>
  <c r="BI3730" i="1"/>
  <c r="BH3730" i="1"/>
  <c r="DE3732" i="1"/>
  <c r="CY3732" i="1"/>
  <c r="K3732" i="1"/>
  <c r="CX3732" i="1"/>
  <c r="CV3732" i="1"/>
  <c r="CU3732" i="1"/>
  <c r="I3732" i="1"/>
  <c r="CT3732" i="1"/>
  <c r="BI3732" i="1"/>
  <c r="BH3732" i="1"/>
  <c r="DE3642" i="1"/>
  <c r="CY3642" i="1"/>
  <c r="K3642" i="1"/>
  <c r="CX3642" i="1"/>
  <c r="CV3642" i="1"/>
  <c r="CU3642" i="1"/>
  <c r="I3642" i="1"/>
  <c r="CT3642" i="1"/>
  <c r="BI3642" i="1"/>
  <c r="BH3642" i="1"/>
  <c r="DE3353" i="1"/>
  <c r="CY3353" i="1"/>
  <c r="K3353" i="1"/>
  <c r="CX3353" i="1"/>
  <c r="CV3353" i="1"/>
  <c r="CU3353" i="1"/>
  <c r="I3353" i="1"/>
  <c r="CT3353" i="1"/>
  <c r="BI3353" i="1"/>
  <c r="BH3353" i="1"/>
  <c r="DE3616" i="1"/>
  <c r="CY3616" i="1"/>
  <c r="K3616" i="1"/>
  <c r="CX3616" i="1"/>
  <c r="CV3616" i="1"/>
  <c r="CU3616" i="1"/>
  <c r="I3616" i="1"/>
  <c r="CT3616" i="1"/>
  <c r="BI3616" i="1"/>
  <c r="BH3616" i="1"/>
  <c r="DE3694" i="1"/>
  <c r="CY3694" i="1"/>
  <c r="K3694" i="1"/>
  <c r="CX3694" i="1"/>
  <c r="CV3694" i="1"/>
  <c r="CU3694" i="1"/>
  <c r="I3694" i="1"/>
  <c r="CT3694" i="1"/>
  <c r="BI3694" i="1"/>
  <c r="BH3694" i="1"/>
  <c r="DE497" i="1"/>
  <c r="CY497" i="1"/>
  <c r="K497" i="1"/>
  <c r="CX497" i="1"/>
  <c r="CV497" i="1"/>
  <c r="CU497" i="1"/>
  <c r="I497" i="1"/>
  <c r="BI497" i="1"/>
  <c r="BH497" i="1"/>
  <c r="DE3575" i="1"/>
  <c r="CY3575" i="1"/>
  <c r="K3575" i="1"/>
  <c r="CX3575" i="1"/>
  <c r="CV3575" i="1"/>
  <c r="CU3575" i="1"/>
  <c r="I3575" i="1"/>
  <c r="CT3575" i="1"/>
  <c r="BI3575" i="1"/>
  <c r="BH3575" i="1"/>
  <c r="DE3386" i="1"/>
  <c r="CY3386" i="1"/>
  <c r="K3386" i="1"/>
  <c r="CX3386" i="1"/>
  <c r="CV3386" i="1"/>
  <c r="CU3386" i="1"/>
  <c r="I3386" i="1"/>
  <c r="CT3386" i="1"/>
  <c r="BI3386" i="1"/>
  <c r="BH3386" i="1"/>
  <c r="DE3558" i="1"/>
  <c r="CY3558" i="1"/>
  <c r="K3558" i="1"/>
  <c r="CX3558" i="1"/>
  <c r="CV3558" i="1"/>
  <c r="CU3558" i="1"/>
  <c r="I3558" i="1"/>
  <c r="CT3558" i="1"/>
  <c r="BI3558" i="1"/>
  <c r="BH3558" i="1"/>
  <c r="DE3345" i="1"/>
  <c r="CY3345" i="1"/>
  <c r="K3345" i="1"/>
  <c r="CX3345" i="1"/>
  <c r="CV3345" i="1"/>
  <c r="CU3345" i="1"/>
  <c r="I3345" i="1"/>
  <c r="CT3345" i="1"/>
  <c r="BI3345" i="1"/>
  <c r="BH3345" i="1"/>
  <c r="DE3526" i="1"/>
  <c r="CY3526" i="1"/>
  <c r="K3526" i="1"/>
  <c r="CX3526" i="1"/>
  <c r="CV3526" i="1"/>
  <c r="CU3526" i="1"/>
  <c r="I3526" i="1"/>
  <c r="CT3526" i="1"/>
  <c r="BI3526" i="1"/>
  <c r="BH3526" i="1"/>
  <c r="DE3572" i="1"/>
  <c r="CY3572" i="1"/>
  <c r="K3572" i="1"/>
  <c r="CX3572" i="1"/>
  <c r="CV3572" i="1"/>
  <c r="CU3572" i="1"/>
  <c r="I3572" i="1"/>
  <c r="CT3572" i="1"/>
  <c r="BI3572" i="1"/>
  <c r="BH3572" i="1"/>
  <c r="DE3566" i="1"/>
  <c r="CY3566" i="1"/>
  <c r="K3566" i="1"/>
  <c r="CX3566" i="1"/>
  <c r="CV3566" i="1"/>
  <c r="CU3566" i="1"/>
  <c r="I3566" i="1"/>
  <c r="CT3566" i="1"/>
  <c r="BI3566" i="1"/>
  <c r="BH3566" i="1"/>
  <c r="DE3623" i="1"/>
  <c r="CY3623" i="1"/>
  <c r="K3623" i="1"/>
  <c r="CX3623" i="1"/>
  <c r="CV3623" i="1"/>
  <c r="CU3623" i="1"/>
  <c r="I3623" i="1"/>
  <c r="CT3623" i="1"/>
  <c r="BI3623" i="1"/>
  <c r="BH3623" i="1"/>
  <c r="DE3605" i="1"/>
  <c r="CY3605" i="1"/>
  <c r="K3605" i="1"/>
  <c r="CX3605" i="1"/>
  <c r="CV3605" i="1"/>
  <c r="CU3605" i="1"/>
  <c r="I3605" i="1"/>
  <c r="CT3605" i="1"/>
  <c r="BI3605" i="1"/>
  <c r="BH3605" i="1"/>
  <c r="DE3365" i="1"/>
  <c r="CY3365" i="1"/>
  <c r="K3365" i="1"/>
  <c r="CX3365" i="1"/>
  <c r="CV3365" i="1"/>
  <c r="CU3365" i="1"/>
  <c r="I3365" i="1"/>
  <c r="CT3365" i="1"/>
  <c r="BI3365" i="1"/>
  <c r="BH3365" i="1"/>
  <c r="DE3660" i="1"/>
  <c r="CY3660" i="1"/>
  <c r="K3660" i="1"/>
  <c r="CX3660" i="1"/>
  <c r="CV3660" i="1"/>
  <c r="CU3660" i="1"/>
  <c r="I3660" i="1"/>
  <c r="CT3660" i="1"/>
  <c r="BI3660" i="1"/>
  <c r="BH3660" i="1"/>
  <c r="DE3692" i="1"/>
  <c r="CY3692" i="1"/>
  <c r="K3692" i="1"/>
  <c r="CX3692" i="1"/>
  <c r="CV3692" i="1"/>
  <c r="CU3692" i="1"/>
  <c r="I3692" i="1"/>
  <c r="CT3692" i="1"/>
  <c r="BI3692" i="1"/>
  <c r="BH3692" i="1"/>
  <c r="DE3608" i="1"/>
  <c r="CY3608" i="1"/>
  <c r="K3608" i="1"/>
  <c r="CX3608" i="1"/>
  <c r="CV3608" i="1"/>
  <c r="CU3608" i="1"/>
  <c r="I3608" i="1"/>
  <c r="CT3608" i="1"/>
  <c r="BI3608" i="1"/>
  <c r="BH3608" i="1"/>
  <c r="DE3522" i="1"/>
  <c r="CY3522" i="1"/>
  <c r="K3522" i="1"/>
  <c r="CX3522" i="1"/>
  <c r="CV3522" i="1"/>
  <c r="CU3522" i="1"/>
  <c r="I3522" i="1"/>
  <c r="CT3522" i="1"/>
  <c r="BI3522" i="1"/>
  <c r="BH3522" i="1"/>
  <c r="DE3319" i="1"/>
  <c r="CY3319" i="1"/>
  <c r="K3319" i="1"/>
  <c r="CX3319" i="1"/>
  <c r="CV3319" i="1"/>
  <c r="CU3319" i="1"/>
  <c r="I3319" i="1"/>
  <c r="CT3319" i="1"/>
  <c r="BI3319" i="1"/>
  <c r="BH3319" i="1"/>
  <c r="DE3328" i="1"/>
  <c r="CY3328" i="1"/>
  <c r="K3328" i="1"/>
  <c r="CX3328" i="1"/>
  <c r="CV3328" i="1"/>
  <c r="CU3328" i="1"/>
  <c r="I3328" i="1"/>
  <c r="CT3328" i="1"/>
  <c r="BI3328" i="1"/>
  <c r="BH3328" i="1"/>
  <c r="DE3534" i="1"/>
  <c r="CY3534" i="1"/>
  <c r="K3534" i="1"/>
  <c r="CX3534" i="1"/>
  <c r="CV3534" i="1"/>
  <c r="CU3534" i="1"/>
  <c r="I3534" i="1"/>
  <c r="CT3534" i="1"/>
  <c r="BI3534" i="1"/>
  <c r="BH3534" i="1"/>
  <c r="DE3405" i="1"/>
  <c r="CY3405" i="1"/>
  <c r="K3405" i="1"/>
  <c r="CX3405" i="1"/>
  <c r="CV3405" i="1"/>
  <c r="CU3405" i="1"/>
  <c r="I3405" i="1"/>
  <c r="CT3405" i="1"/>
  <c r="BI3405" i="1"/>
  <c r="BH3405" i="1"/>
  <c r="DE3641" i="1"/>
  <c r="CY3641" i="1"/>
  <c r="K3641" i="1"/>
  <c r="CX3641" i="1"/>
  <c r="CV3641" i="1"/>
  <c r="CU3641" i="1"/>
  <c r="I3641" i="1"/>
  <c r="CT3641" i="1"/>
  <c r="BI3641" i="1"/>
  <c r="BH3641" i="1"/>
  <c r="DE3503" i="1"/>
  <c r="CY3503" i="1"/>
  <c r="K3503" i="1"/>
  <c r="CX3503" i="1"/>
  <c r="CV3503" i="1"/>
  <c r="CU3503" i="1"/>
  <c r="I3503" i="1"/>
  <c r="CT3503" i="1"/>
  <c r="BI3503" i="1"/>
  <c r="BH3503" i="1"/>
  <c r="DE3723" i="1"/>
  <c r="CY3723" i="1"/>
  <c r="K3723" i="1"/>
  <c r="CX3723" i="1"/>
  <c r="CV3723" i="1"/>
  <c r="CU3723" i="1"/>
  <c r="I3723" i="1"/>
  <c r="CT3723" i="1"/>
  <c r="BI3723" i="1"/>
  <c r="BH3723" i="1"/>
  <c r="DE3383" i="1"/>
  <c r="CY3383" i="1"/>
  <c r="K3383" i="1"/>
  <c r="CX3383" i="1"/>
  <c r="CV3383" i="1"/>
  <c r="CU3383" i="1"/>
  <c r="I3383" i="1"/>
  <c r="CT3383" i="1"/>
  <c r="BI3383" i="1"/>
  <c r="BH3383" i="1"/>
  <c r="DE741" i="1"/>
  <c r="CY741" i="1"/>
  <c r="K741" i="1"/>
  <c r="CX741" i="1"/>
  <c r="CV741" i="1"/>
  <c r="CU741" i="1"/>
  <c r="I741" i="1"/>
  <c r="BI741" i="1"/>
  <c r="BH741" i="1"/>
  <c r="DE3722" i="1"/>
  <c r="CY3722" i="1"/>
  <c r="K3722" i="1"/>
  <c r="CX3722" i="1"/>
  <c r="CV3722" i="1"/>
  <c r="CU3722" i="1"/>
  <c r="I3722" i="1"/>
  <c r="CT3722" i="1"/>
  <c r="BI3722" i="1"/>
  <c r="BH3722" i="1"/>
  <c r="DE3287" i="1"/>
  <c r="CY3287" i="1"/>
  <c r="K3287" i="1"/>
  <c r="CX3287" i="1"/>
  <c r="CV3287" i="1"/>
  <c r="CU3287" i="1"/>
  <c r="I3287" i="1"/>
  <c r="CT3287" i="1"/>
  <c r="BI3287" i="1"/>
  <c r="BH3287" i="1"/>
  <c r="DE3640" i="1"/>
  <c r="CY3640" i="1"/>
  <c r="K3640" i="1"/>
  <c r="CX3640" i="1"/>
  <c r="CV3640" i="1"/>
  <c r="CU3640" i="1"/>
  <c r="I3640" i="1"/>
  <c r="CT3640" i="1"/>
  <c r="BI3640" i="1"/>
  <c r="BH3640" i="1"/>
  <c r="DE3330" i="1"/>
  <c r="CY3330" i="1"/>
  <c r="K3330" i="1"/>
  <c r="CX3330" i="1"/>
  <c r="CV3330" i="1"/>
  <c r="CU3330" i="1"/>
  <c r="I3330" i="1"/>
  <c r="CT3330" i="1"/>
  <c r="BI3330" i="1"/>
  <c r="BH3330" i="1"/>
  <c r="DE520" i="1"/>
  <c r="CY520" i="1"/>
  <c r="K520" i="1"/>
  <c r="CX520" i="1"/>
  <c r="CV520" i="1"/>
  <c r="CU520" i="1"/>
  <c r="I520" i="1"/>
  <c r="BI520" i="1"/>
  <c r="BH520" i="1"/>
  <c r="DE3423" i="1"/>
  <c r="CY3423" i="1"/>
  <c r="K3423" i="1"/>
  <c r="CX3423" i="1"/>
  <c r="CV3423" i="1"/>
  <c r="CU3423" i="1"/>
  <c r="I3423" i="1"/>
  <c r="CT3423" i="1"/>
  <c r="BI3423" i="1"/>
  <c r="BH3423" i="1"/>
  <c r="DE516" i="1"/>
  <c r="CY516" i="1"/>
  <c r="K516" i="1"/>
  <c r="CX516" i="1"/>
  <c r="CV516" i="1"/>
  <c r="CU516" i="1"/>
  <c r="I516" i="1"/>
  <c r="BI516" i="1"/>
  <c r="BH516" i="1"/>
  <c r="DE3699" i="1"/>
  <c r="CY3699" i="1"/>
  <c r="K3699" i="1"/>
  <c r="CX3699" i="1"/>
  <c r="CV3699" i="1"/>
  <c r="CU3699" i="1"/>
  <c r="I3699" i="1"/>
  <c r="CT3699" i="1"/>
  <c r="BI3699" i="1"/>
  <c r="BH3699" i="1"/>
  <c r="DE2422" i="1"/>
  <c r="CY2422" i="1"/>
  <c r="K2422" i="1"/>
  <c r="CX2422" i="1"/>
  <c r="CV2422" i="1"/>
  <c r="CU2422" i="1"/>
  <c r="I2422" i="1"/>
  <c r="BI2422" i="1"/>
  <c r="BH2422" i="1"/>
  <c r="DE3081" i="1"/>
  <c r="CY3081" i="1"/>
  <c r="K3081" i="1"/>
  <c r="CX3081" i="1"/>
  <c r="CV3081" i="1"/>
  <c r="CU3081" i="1"/>
  <c r="I3081" i="1"/>
  <c r="BI3081" i="1"/>
  <c r="BH3081" i="1"/>
  <c r="DE524" i="1"/>
  <c r="CY524" i="1"/>
  <c r="K524" i="1"/>
  <c r="CX524" i="1"/>
  <c r="CV524" i="1"/>
  <c r="CU524" i="1"/>
  <c r="I524" i="1"/>
  <c r="BI524" i="1"/>
  <c r="BH524" i="1"/>
  <c r="DE2568" i="1"/>
  <c r="CY2568" i="1"/>
  <c r="K2568" i="1"/>
  <c r="CX2568" i="1"/>
  <c r="CV2568" i="1"/>
  <c r="CU2568" i="1"/>
  <c r="I2568" i="1"/>
  <c r="BI2568" i="1"/>
  <c r="BH2568" i="1"/>
  <c r="DE2287" i="1"/>
  <c r="CY2287" i="1"/>
  <c r="K2287" i="1"/>
  <c r="CX2287" i="1"/>
  <c r="CV2287" i="1"/>
  <c r="CU2287" i="1"/>
  <c r="I2287" i="1"/>
  <c r="BI2287" i="1"/>
  <c r="BH2287" i="1"/>
  <c r="DE2567" i="1"/>
  <c r="CY2567" i="1"/>
  <c r="K2567" i="1"/>
  <c r="CX2567" i="1"/>
  <c r="CV2567" i="1"/>
  <c r="CU2567" i="1"/>
  <c r="I2567" i="1"/>
  <c r="BI2567" i="1"/>
  <c r="BH2567" i="1"/>
  <c r="DE2433" i="1"/>
  <c r="CY2433" i="1"/>
  <c r="K2433" i="1"/>
  <c r="CX2433" i="1"/>
  <c r="CV2433" i="1"/>
  <c r="CU2433" i="1"/>
  <c r="I2433" i="1"/>
  <c r="BI2433" i="1"/>
  <c r="BH2433" i="1"/>
  <c r="DE3080" i="1"/>
  <c r="CY3080" i="1"/>
  <c r="K3080" i="1"/>
  <c r="CX3080" i="1"/>
  <c r="CV3080" i="1"/>
  <c r="CU3080" i="1"/>
  <c r="I3080" i="1"/>
  <c r="BI3080" i="1"/>
  <c r="BH3080" i="1"/>
  <c r="DE2291" i="1"/>
  <c r="CY2291" i="1"/>
  <c r="K2291" i="1"/>
  <c r="CX2291" i="1"/>
  <c r="CV2291" i="1"/>
  <c r="CU2291" i="1"/>
  <c r="I2291" i="1"/>
  <c r="BI2291" i="1"/>
  <c r="BH2291" i="1"/>
  <c r="DE2566" i="1"/>
  <c r="CY2566" i="1"/>
  <c r="K2566" i="1"/>
  <c r="CX2566" i="1"/>
  <c r="CV2566" i="1"/>
  <c r="CU2566" i="1"/>
  <c r="I2566" i="1"/>
  <c r="BI2566" i="1"/>
  <c r="BH2566" i="1"/>
  <c r="DE2565" i="1"/>
  <c r="CY2565" i="1"/>
  <c r="K2565" i="1"/>
  <c r="CX2565" i="1"/>
  <c r="CV2565" i="1"/>
  <c r="CU2565" i="1"/>
  <c r="I2565" i="1"/>
  <c r="BI2565" i="1"/>
  <c r="BH2565" i="1"/>
  <c r="DE2283" i="1"/>
  <c r="CY2283" i="1"/>
  <c r="K2283" i="1"/>
  <c r="CX2283" i="1"/>
  <c r="CV2283" i="1"/>
  <c r="CU2283" i="1"/>
  <c r="I2283" i="1"/>
  <c r="BI2283" i="1"/>
  <c r="BH2283" i="1"/>
  <c r="DE3079" i="1"/>
  <c r="CY3079" i="1"/>
  <c r="K3079" i="1"/>
  <c r="CX3079" i="1"/>
  <c r="CV3079" i="1"/>
  <c r="CU3079" i="1"/>
  <c r="I3079" i="1"/>
  <c r="BI3079" i="1"/>
  <c r="BH3079" i="1"/>
  <c r="DE2320" i="1"/>
  <c r="CY2320" i="1"/>
  <c r="K2320" i="1"/>
  <c r="CX2320" i="1"/>
  <c r="CV2320" i="1"/>
  <c r="CU2320" i="1"/>
  <c r="I2320" i="1"/>
  <c r="BI2320" i="1"/>
  <c r="BH2320" i="1"/>
  <c r="DE2353" i="1"/>
  <c r="CY2353" i="1"/>
  <c r="K2353" i="1"/>
  <c r="CX2353" i="1"/>
  <c r="CV2353" i="1"/>
  <c r="CU2353" i="1"/>
  <c r="I2353" i="1"/>
  <c r="BI2353" i="1"/>
  <c r="BH2353" i="1"/>
  <c r="DE2564" i="1"/>
  <c r="CY2564" i="1"/>
  <c r="K2564" i="1"/>
  <c r="CX2564" i="1"/>
  <c r="CV2564" i="1"/>
  <c r="CU2564" i="1"/>
  <c r="I2564" i="1"/>
  <c r="BI2564" i="1"/>
  <c r="BH2564" i="1"/>
  <c r="DE649" i="1"/>
  <c r="CY649" i="1"/>
  <c r="K649" i="1"/>
  <c r="CX649" i="1"/>
  <c r="CV649" i="1"/>
  <c r="CU649" i="1"/>
  <c r="I649" i="1"/>
  <c r="BI649" i="1"/>
  <c r="BH649" i="1"/>
  <c r="DE2563" i="1"/>
  <c r="CY2563" i="1"/>
  <c r="K2563" i="1"/>
  <c r="CX2563" i="1"/>
  <c r="CV2563" i="1"/>
  <c r="CU2563" i="1"/>
  <c r="I2563" i="1"/>
  <c r="BI2563" i="1"/>
  <c r="BH2563" i="1"/>
  <c r="DE2318" i="1"/>
  <c r="CY2318" i="1"/>
  <c r="K2318" i="1"/>
  <c r="CX2318" i="1"/>
  <c r="CV2318" i="1"/>
  <c r="CU2318" i="1"/>
  <c r="I2318" i="1"/>
  <c r="BI2318" i="1"/>
  <c r="BH2318" i="1"/>
  <c r="DE3078" i="1"/>
  <c r="CY3078" i="1"/>
  <c r="K3078" i="1"/>
  <c r="CX3078" i="1"/>
  <c r="CV3078" i="1"/>
  <c r="CU3078" i="1"/>
  <c r="I3078" i="1"/>
  <c r="BI3078" i="1"/>
  <c r="BH3078" i="1"/>
  <c r="DE2298" i="1"/>
  <c r="CY2298" i="1"/>
  <c r="K2298" i="1"/>
  <c r="CX2298" i="1"/>
  <c r="CV2298" i="1"/>
  <c r="CU2298" i="1"/>
  <c r="I2298" i="1"/>
  <c r="BI2298" i="1"/>
  <c r="BH2298" i="1"/>
  <c r="DE2562" i="1"/>
  <c r="CY2562" i="1"/>
  <c r="K2562" i="1"/>
  <c r="CX2562" i="1"/>
  <c r="CV2562" i="1"/>
  <c r="CU2562" i="1"/>
  <c r="I2562" i="1"/>
  <c r="BI2562" i="1"/>
  <c r="BH2562" i="1"/>
  <c r="DE2315" i="1"/>
  <c r="CY2315" i="1"/>
  <c r="K2315" i="1"/>
  <c r="CX2315" i="1"/>
  <c r="CV2315" i="1"/>
  <c r="CU2315" i="1"/>
  <c r="I2315" i="1"/>
  <c r="BI2315" i="1"/>
  <c r="BH2315" i="1"/>
  <c r="DE2561" i="1"/>
  <c r="CY2561" i="1"/>
  <c r="K2561" i="1"/>
  <c r="CX2561" i="1"/>
  <c r="CV2561" i="1"/>
  <c r="CU2561" i="1"/>
  <c r="I2561" i="1"/>
  <c r="BI2561" i="1"/>
  <c r="BH2561" i="1"/>
  <c r="DE3391" i="1"/>
  <c r="CY3391" i="1"/>
  <c r="K3391" i="1"/>
  <c r="CX3391" i="1"/>
  <c r="CV3391" i="1"/>
  <c r="CU3391" i="1"/>
  <c r="I3391" i="1"/>
  <c r="CT3391" i="1"/>
  <c r="BI3391" i="1"/>
  <c r="BH3391" i="1"/>
  <c r="DE3077" i="1"/>
  <c r="CY3077" i="1"/>
  <c r="K3077" i="1"/>
  <c r="CX3077" i="1"/>
  <c r="CV3077" i="1"/>
  <c r="CU3077" i="1"/>
  <c r="I3077" i="1"/>
  <c r="BI3077" i="1"/>
  <c r="BH3077" i="1"/>
  <c r="DE2265" i="1"/>
  <c r="CY2265" i="1"/>
  <c r="K2265" i="1"/>
  <c r="CX2265" i="1"/>
  <c r="CV2265" i="1"/>
  <c r="CU2265" i="1"/>
  <c r="I2265" i="1"/>
  <c r="BI2265" i="1"/>
  <c r="BH2265" i="1"/>
  <c r="DE2560" i="1"/>
  <c r="CY2560" i="1"/>
  <c r="K2560" i="1"/>
  <c r="CX2560" i="1"/>
  <c r="CV2560" i="1"/>
  <c r="CU2560" i="1"/>
  <c r="I2560" i="1"/>
  <c r="BI2560" i="1"/>
  <c r="BH2560" i="1"/>
  <c r="DE2236" i="1"/>
  <c r="CY2236" i="1"/>
  <c r="K2236" i="1"/>
  <c r="CX2236" i="1"/>
  <c r="CV2236" i="1"/>
  <c r="CU2236" i="1"/>
  <c r="I2236" i="1"/>
  <c r="BI2236" i="1"/>
  <c r="BH2236" i="1"/>
  <c r="DE2559" i="1"/>
  <c r="CY2559" i="1"/>
  <c r="K2559" i="1"/>
  <c r="CX2559" i="1"/>
  <c r="CV2559" i="1"/>
  <c r="CU2559" i="1"/>
  <c r="I2559" i="1"/>
  <c r="BI2559" i="1"/>
  <c r="BH2559" i="1"/>
  <c r="DE2314" i="1"/>
  <c r="CY2314" i="1"/>
  <c r="K2314" i="1"/>
  <c r="CX2314" i="1"/>
  <c r="CV2314" i="1"/>
  <c r="CU2314" i="1"/>
  <c r="I2314" i="1"/>
  <c r="BI2314" i="1"/>
  <c r="BH2314" i="1"/>
  <c r="DE3076" i="1"/>
  <c r="CY3076" i="1"/>
  <c r="K3076" i="1"/>
  <c r="CX3076" i="1"/>
  <c r="CV3076" i="1"/>
  <c r="CU3076" i="1"/>
  <c r="I3076" i="1"/>
  <c r="BI3076" i="1"/>
  <c r="BH3076" i="1"/>
  <c r="DE2558" i="1"/>
  <c r="CY2558" i="1"/>
  <c r="K2558" i="1"/>
  <c r="CX2558" i="1"/>
  <c r="CV2558" i="1"/>
  <c r="CU2558" i="1"/>
  <c r="I2558" i="1"/>
  <c r="BI2558" i="1"/>
  <c r="BH2558" i="1"/>
  <c r="DE2316" i="1"/>
  <c r="CY2316" i="1"/>
  <c r="K2316" i="1"/>
  <c r="CX2316" i="1"/>
  <c r="CV2316" i="1"/>
  <c r="CU2316" i="1"/>
  <c r="I2316" i="1"/>
  <c r="BI2316" i="1"/>
  <c r="BH2316" i="1"/>
  <c r="DE2557" i="1"/>
  <c r="CY2557" i="1"/>
  <c r="K2557" i="1"/>
  <c r="CX2557" i="1"/>
  <c r="CV2557" i="1"/>
  <c r="CU2557" i="1"/>
  <c r="I2557" i="1"/>
  <c r="BI2557" i="1"/>
  <c r="BH2557" i="1"/>
  <c r="DE3192" i="1"/>
  <c r="CY3192" i="1"/>
  <c r="K3192" i="1"/>
  <c r="CX3192" i="1"/>
  <c r="CV3192" i="1"/>
  <c r="CU3192" i="1"/>
  <c r="I3192" i="1"/>
  <c r="BI3192" i="1"/>
  <c r="BH3192" i="1"/>
  <c r="DE2337" i="1"/>
  <c r="CY2337" i="1"/>
  <c r="K2337" i="1"/>
  <c r="CX2337" i="1"/>
  <c r="CV2337" i="1"/>
  <c r="CU2337" i="1"/>
  <c r="I2337" i="1"/>
  <c r="BI2337" i="1"/>
  <c r="BH2337" i="1"/>
  <c r="DE2312" i="1"/>
  <c r="CY2312" i="1"/>
  <c r="K2312" i="1"/>
  <c r="CX2312" i="1"/>
  <c r="CV2312" i="1"/>
  <c r="CU2312" i="1"/>
  <c r="I2312" i="1"/>
  <c r="BI2312" i="1"/>
  <c r="BH2312" i="1"/>
  <c r="DE3075" i="1"/>
  <c r="CY3075" i="1"/>
  <c r="K3075" i="1"/>
  <c r="CX3075" i="1"/>
  <c r="CV3075" i="1"/>
  <c r="CU3075" i="1"/>
  <c r="I3075" i="1"/>
  <c r="BI3075" i="1"/>
  <c r="BH3075" i="1"/>
  <c r="DE645" i="1"/>
  <c r="CY645" i="1"/>
  <c r="K645" i="1"/>
  <c r="CX645" i="1"/>
  <c r="CV645" i="1"/>
  <c r="CU645" i="1"/>
  <c r="I645" i="1"/>
  <c r="BI645" i="1"/>
  <c r="BH645" i="1"/>
  <c r="DE2556" i="1"/>
  <c r="CY2556" i="1"/>
  <c r="K2556" i="1"/>
  <c r="CX2556" i="1"/>
  <c r="CV2556" i="1"/>
  <c r="CU2556" i="1"/>
  <c r="I2556" i="1"/>
  <c r="BI2556" i="1"/>
  <c r="BH2556" i="1"/>
  <c r="DE3475" i="1"/>
  <c r="CY3475" i="1"/>
  <c r="K3475" i="1"/>
  <c r="CX3475" i="1"/>
  <c r="CV3475" i="1"/>
  <c r="CU3475" i="1"/>
  <c r="I3475" i="1"/>
  <c r="CT3475" i="1"/>
  <c r="BI3475" i="1"/>
  <c r="BH3475" i="1"/>
  <c r="DE2555" i="1"/>
  <c r="CY2555" i="1"/>
  <c r="K2555" i="1"/>
  <c r="CX2555" i="1"/>
  <c r="CV2555" i="1"/>
  <c r="CU2555" i="1"/>
  <c r="I2555" i="1"/>
  <c r="BI2555" i="1"/>
  <c r="BH2555" i="1"/>
  <c r="DE2286" i="1"/>
  <c r="CY2286" i="1"/>
  <c r="K2286" i="1"/>
  <c r="CX2286" i="1"/>
  <c r="CV2286" i="1"/>
  <c r="CU2286" i="1"/>
  <c r="I2286" i="1"/>
  <c r="BI2286" i="1"/>
  <c r="BH2286" i="1"/>
  <c r="DE3074" i="1"/>
  <c r="CY3074" i="1"/>
  <c r="K3074" i="1"/>
  <c r="CX3074" i="1"/>
  <c r="CV3074" i="1"/>
  <c r="CU3074" i="1"/>
  <c r="I3074" i="1"/>
  <c r="BI3074" i="1"/>
  <c r="BH3074" i="1"/>
  <c r="DE2425" i="1"/>
  <c r="CY2425" i="1"/>
  <c r="K2425" i="1"/>
  <c r="CX2425" i="1"/>
  <c r="CV2425" i="1"/>
  <c r="CU2425" i="1"/>
  <c r="I2425" i="1"/>
  <c r="BI2425" i="1"/>
  <c r="BH2425" i="1"/>
  <c r="DE2554" i="1"/>
  <c r="CY2554" i="1"/>
  <c r="K2554" i="1"/>
  <c r="CX2554" i="1"/>
  <c r="CV2554" i="1"/>
  <c r="CU2554" i="1"/>
  <c r="I2554" i="1"/>
  <c r="BI2554" i="1"/>
  <c r="BH2554" i="1"/>
  <c r="DE2553" i="1"/>
  <c r="CY2553" i="1"/>
  <c r="K2553" i="1"/>
  <c r="CX2553" i="1"/>
  <c r="CV2553" i="1"/>
  <c r="CU2553" i="1"/>
  <c r="I2553" i="1"/>
  <c r="BI2553" i="1"/>
  <c r="BH2553" i="1"/>
  <c r="DE2250" i="1"/>
  <c r="CY2250" i="1"/>
  <c r="K2250" i="1"/>
  <c r="CX2250" i="1"/>
  <c r="CV2250" i="1"/>
  <c r="CU2250" i="1"/>
  <c r="I2250" i="1"/>
  <c r="BI2250" i="1"/>
  <c r="BH2250" i="1"/>
  <c r="DE3135" i="1"/>
  <c r="CY3135" i="1"/>
  <c r="K3135" i="1"/>
  <c r="CX3135" i="1"/>
  <c r="CV3135" i="1"/>
  <c r="CU3135" i="1"/>
  <c r="I3135" i="1"/>
  <c r="BI3135" i="1"/>
  <c r="BH3135" i="1"/>
  <c r="DE2254" i="1"/>
  <c r="CY2254" i="1"/>
  <c r="K2254" i="1"/>
  <c r="CX2254" i="1"/>
  <c r="CV2254" i="1"/>
  <c r="CU2254" i="1"/>
  <c r="I2254" i="1"/>
  <c r="BI2254" i="1"/>
  <c r="BH2254" i="1"/>
  <c r="DE2552" i="1"/>
  <c r="CY2552" i="1"/>
  <c r="K2552" i="1"/>
  <c r="CX2552" i="1"/>
  <c r="CV2552" i="1"/>
  <c r="CU2552" i="1"/>
  <c r="I2552" i="1"/>
  <c r="BI2552" i="1"/>
  <c r="BH2552" i="1"/>
  <c r="DE2263" i="1"/>
  <c r="CY2263" i="1"/>
  <c r="K2263" i="1"/>
  <c r="CX2263" i="1"/>
  <c r="CV2263" i="1"/>
  <c r="CU2263" i="1"/>
  <c r="I2263" i="1"/>
  <c r="BI2263" i="1"/>
  <c r="BH2263" i="1"/>
  <c r="DE2551" i="1"/>
  <c r="CY2551" i="1"/>
  <c r="K2551" i="1"/>
  <c r="CX2551" i="1"/>
  <c r="CV2551" i="1"/>
  <c r="CU2551" i="1"/>
  <c r="I2551" i="1"/>
  <c r="BI2551" i="1"/>
  <c r="BH2551" i="1"/>
  <c r="DE2451" i="1"/>
  <c r="CY2451" i="1"/>
  <c r="K2451" i="1"/>
  <c r="CX2451" i="1"/>
  <c r="CV2451" i="1"/>
  <c r="CU2451" i="1"/>
  <c r="I2451" i="1"/>
  <c r="BI2451" i="1"/>
  <c r="BH2451" i="1"/>
  <c r="DE3073" i="1"/>
  <c r="CY3073" i="1"/>
  <c r="K3073" i="1"/>
  <c r="CX3073" i="1"/>
  <c r="CV3073" i="1"/>
  <c r="CU3073" i="1"/>
  <c r="I3073" i="1"/>
  <c r="BI3073" i="1"/>
  <c r="BH3073" i="1"/>
  <c r="DE2277" i="1"/>
  <c r="CY2277" i="1"/>
  <c r="K2277" i="1"/>
  <c r="CX2277" i="1"/>
  <c r="CV2277" i="1"/>
  <c r="CU2277" i="1"/>
  <c r="I2277" i="1"/>
  <c r="BI2277" i="1"/>
  <c r="BH2277" i="1"/>
  <c r="DE3072" i="1"/>
  <c r="CY3072" i="1"/>
  <c r="K3072" i="1"/>
  <c r="CX3072" i="1"/>
  <c r="CV3072" i="1"/>
  <c r="CU3072" i="1"/>
  <c r="I3072" i="1"/>
  <c r="BI3072" i="1"/>
  <c r="BH3072" i="1"/>
  <c r="DE2260" i="1"/>
  <c r="CY2260" i="1"/>
  <c r="K2260" i="1"/>
  <c r="CX2260" i="1"/>
  <c r="CV2260" i="1"/>
  <c r="CU2260" i="1"/>
  <c r="I2260" i="1"/>
  <c r="BI2260" i="1"/>
  <c r="BH2260" i="1"/>
  <c r="DE2550" i="1"/>
  <c r="CY2550" i="1"/>
  <c r="K2550" i="1"/>
  <c r="CX2550" i="1"/>
  <c r="CV2550" i="1"/>
  <c r="CU2550" i="1"/>
  <c r="I2550" i="1"/>
  <c r="BI2550" i="1"/>
  <c r="BH2550" i="1"/>
  <c r="DE2307" i="1"/>
  <c r="CY2307" i="1"/>
  <c r="K2307" i="1"/>
  <c r="CX2307" i="1"/>
  <c r="CV2307" i="1"/>
  <c r="CU2307" i="1"/>
  <c r="I2307" i="1"/>
  <c r="BI2307" i="1"/>
  <c r="BH2307" i="1"/>
  <c r="DE2549" i="1"/>
  <c r="CY2549" i="1"/>
  <c r="K2549" i="1"/>
  <c r="CX2549" i="1"/>
  <c r="CV2549" i="1"/>
  <c r="CU2549" i="1"/>
  <c r="I2549" i="1"/>
  <c r="BI2549" i="1"/>
  <c r="BH2549" i="1"/>
  <c r="DE642" i="1"/>
  <c r="CY642" i="1"/>
  <c r="K642" i="1"/>
  <c r="CX642" i="1"/>
  <c r="CV642" i="1"/>
  <c r="CU642" i="1"/>
  <c r="I642" i="1"/>
  <c r="BI642" i="1"/>
  <c r="BH642" i="1"/>
  <c r="DE2330" i="1"/>
  <c r="CY2330" i="1"/>
  <c r="K2330" i="1"/>
  <c r="CX2330" i="1"/>
  <c r="CV2330" i="1"/>
  <c r="CU2330" i="1"/>
  <c r="I2330" i="1"/>
  <c r="BI2330" i="1"/>
  <c r="BH2330" i="1"/>
  <c r="DE2281" i="1"/>
  <c r="CY2281" i="1"/>
  <c r="K2281" i="1"/>
  <c r="CX2281" i="1"/>
  <c r="CV2281" i="1"/>
  <c r="CU2281" i="1"/>
  <c r="I2281" i="1"/>
  <c r="BI2281" i="1"/>
  <c r="BH2281" i="1"/>
  <c r="DE3071" i="1"/>
  <c r="CY3071" i="1"/>
  <c r="K3071" i="1"/>
  <c r="CX3071" i="1"/>
  <c r="CV3071" i="1"/>
  <c r="CU3071" i="1"/>
  <c r="I3071" i="1"/>
  <c r="BI3071" i="1"/>
  <c r="BH3071" i="1"/>
  <c r="DE2423" i="1"/>
  <c r="CY2423" i="1"/>
  <c r="K2423" i="1"/>
  <c r="CX2423" i="1"/>
  <c r="CV2423" i="1"/>
  <c r="CU2423" i="1"/>
  <c r="I2423" i="1"/>
  <c r="BI2423" i="1"/>
  <c r="BH2423" i="1"/>
  <c r="DE2548" i="1"/>
  <c r="CY2548" i="1"/>
  <c r="K2548" i="1"/>
  <c r="CX2548" i="1"/>
  <c r="CV2548" i="1"/>
  <c r="CU2548" i="1"/>
  <c r="I2548" i="1"/>
  <c r="BI2548" i="1"/>
  <c r="BH2548" i="1"/>
  <c r="DE3194" i="1"/>
  <c r="CY3194" i="1"/>
  <c r="K3194" i="1"/>
  <c r="CX3194" i="1"/>
  <c r="CV3194" i="1"/>
  <c r="CU3194" i="1"/>
  <c r="I3194" i="1"/>
  <c r="BI3194" i="1"/>
  <c r="BH3194" i="1"/>
  <c r="DE2547" i="1"/>
  <c r="CY2547" i="1"/>
  <c r="K2547" i="1"/>
  <c r="CX2547" i="1"/>
  <c r="CV2547" i="1"/>
  <c r="CU2547" i="1"/>
  <c r="I2547" i="1"/>
  <c r="BI2547" i="1"/>
  <c r="BH2547" i="1"/>
  <c r="DE3070" i="1"/>
  <c r="CY3070" i="1"/>
  <c r="K3070" i="1"/>
  <c r="CX3070" i="1"/>
  <c r="CV3070" i="1"/>
  <c r="CU3070" i="1"/>
  <c r="I3070" i="1"/>
  <c r="BI3070" i="1"/>
  <c r="BH3070" i="1"/>
  <c r="DE3630" i="1"/>
  <c r="CY3630" i="1"/>
  <c r="K3630" i="1"/>
  <c r="CX3630" i="1"/>
  <c r="CV3630" i="1"/>
  <c r="CU3630" i="1"/>
  <c r="I3630" i="1"/>
  <c r="CT3630" i="1"/>
  <c r="BI3630" i="1"/>
  <c r="BH3630" i="1"/>
  <c r="DE2546" i="1"/>
  <c r="CY2546" i="1"/>
  <c r="K2546" i="1"/>
  <c r="CX2546" i="1"/>
  <c r="CV2546" i="1"/>
  <c r="CU2546" i="1"/>
  <c r="I2546" i="1"/>
  <c r="BI2546" i="1"/>
  <c r="BH2546" i="1"/>
  <c r="DE3193" i="1"/>
  <c r="CY3193" i="1"/>
  <c r="K3193" i="1"/>
  <c r="CX3193" i="1"/>
  <c r="CV3193" i="1"/>
  <c r="CU3193" i="1"/>
  <c r="I3193" i="1"/>
  <c r="BI3193" i="1"/>
  <c r="BH3193" i="1"/>
  <c r="DE2545" i="1"/>
  <c r="CY2545" i="1"/>
  <c r="K2545" i="1"/>
  <c r="CX2545" i="1"/>
  <c r="CV2545" i="1"/>
  <c r="CU2545" i="1"/>
  <c r="I2545" i="1"/>
  <c r="BI2545" i="1"/>
  <c r="BH2545" i="1"/>
  <c r="DE2237" i="1"/>
  <c r="CY2237" i="1"/>
  <c r="K2237" i="1"/>
  <c r="CX2237" i="1"/>
  <c r="CV2237" i="1"/>
  <c r="CU2237" i="1"/>
  <c r="I2237" i="1"/>
  <c r="BI2237" i="1"/>
  <c r="BH2237" i="1"/>
  <c r="DE2638" i="1"/>
  <c r="CY2638" i="1"/>
  <c r="K2638" i="1"/>
  <c r="CX2638" i="1"/>
  <c r="CV2638" i="1"/>
  <c r="CU2638" i="1"/>
  <c r="I2638" i="1"/>
  <c r="BI2638" i="1"/>
  <c r="BH2638" i="1"/>
  <c r="DE2311" i="1"/>
  <c r="CY2311" i="1"/>
  <c r="K2311" i="1"/>
  <c r="CX2311" i="1"/>
  <c r="CV2311" i="1"/>
  <c r="CU2311" i="1"/>
  <c r="I2311" i="1"/>
  <c r="BI2311" i="1"/>
  <c r="BH2311" i="1"/>
  <c r="DE3069" i="1"/>
  <c r="CY3069" i="1"/>
  <c r="K3069" i="1"/>
  <c r="CX3069" i="1"/>
  <c r="CV3069" i="1"/>
  <c r="CU3069" i="1"/>
  <c r="I3069" i="1"/>
  <c r="BI3069" i="1"/>
  <c r="BH3069" i="1"/>
  <c r="DE2276" i="1"/>
  <c r="CY2276" i="1"/>
  <c r="K2276" i="1"/>
  <c r="CX2276" i="1"/>
  <c r="CV2276" i="1"/>
  <c r="CU2276" i="1"/>
  <c r="I2276" i="1"/>
  <c r="BI2276" i="1"/>
  <c r="BH2276" i="1"/>
  <c r="DE2544" i="1"/>
  <c r="CY2544" i="1"/>
  <c r="K2544" i="1"/>
  <c r="CX2544" i="1"/>
  <c r="CV2544" i="1"/>
  <c r="CU2544" i="1"/>
  <c r="I2544" i="1"/>
  <c r="BI2544" i="1"/>
  <c r="BH2544" i="1"/>
  <c r="DE2289" i="1"/>
  <c r="CY2289" i="1"/>
  <c r="K2289" i="1"/>
  <c r="CX2289" i="1"/>
  <c r="CV2289" i="1"/>
  <c r="CU2289" i="1"/>
  <c r="I2289" i="1"/>
  <c r="BI2289" i="1"/>
  <c r="BH2289" i="1"/>
  <c r="DE2543" i="1"/>
  <c r="CY2543" i="1"/>
  <c r="K2543" i="1"/>
  <c r="CX2543" i="1"/>
  <c r="CV2543" i="1"/>
  <c r="CU2543" i="1"/>
  <c r="I2543" i="1"/>
  <c r="BI2543" i="1"/>
  <c r="BH2543" i="1"/>
  <c r="DE2305" i="1"/>
  <c r="CY2305" i="1"/>
  <c r="K2305" i="1"/>
  <c r="CX2305" i="1"/>
  <c r="CV2305" i="1"/>
  <c r="CU2305" i="1"/>
  <c r="I2305" i="1"/>
  <c r="BI2305" i="1"/>
  <c r="BH2305" i="1"/>
  <c r="DE3068" i="1"/>
  <c r="CY3068" i="1"/>
  <c r="K3068" i="1"/>
  <c r="CX3068" i="1"/>
  <c r="CV3068" i="1"/>
  <c r="CU3068" i="1"/>
  <c r="I3068" i="1"/>
  <c r="BI3068" i="1"/>
  <c r="BH3068" i="1"/>
  <c r="DE2306" i="1"/>
  <c r="CY2306" i="1"/>
  <c r="K2306" i="1"/>
  <c r="CX2306" i="1"/>
  <c r="CV2306" i="1"/>
  <c r="CU2306" i="1"/>
  <c r="I2306" i="1"/>
  <c r="BI2306" i="1"/>
  <c r="BH2306" i="1"/>
  <c r="DE2542" i="1"/>
  <c r="CY2542" i="1"/>
  <c r="K2542" i="1"/>
  <c r="CX2542" i="1"/>
  <c r="CV2542" i="1"/>
  <c r="CU2542" i="1"/>
  <c r="I2542" i="1"/>
  <c r="BI2542" i="1"/>
  <c r="BH2542" i="1"/>
  <c r="DE2300" i="1"/>
  <c r="CY2300" i="1"/>
  <c r="K2300" i="1"/>
  <c r="CX2300" i="1"/>
  <c r="CV2300" i="1"/>
  <c r="CU2300" i="1"/>
  <c r="I2300" i="1"/>
  <c r="BI2300" i="1"/>
  <c r="BH2300" i="1"/>
  <c r="DE2541" i="1"/>
  <c r="CY2541" i="1"/>
  <c r="K2541" i="1"/>
  <c r="CX2541" i="1"/>
  <c r="CV2541" i="1"/>
  <c r="CU2541" i="1"/>
  <c r="I2541" i="1"/>
  <c r="BI2541" i="1"/>
  <c r="BH2541" i="1"/>
  <c r="DE2249" i="1"/>
  <c r="CY2249" i="1"/>
  <c r="K2249" i="1"/>
  <c r="CX2249" i="1"/>
  <c r="CV2249" i="1"/>
  <c r="CU2249" i="1"/>
  <c r="I2249" i="1"/>
  <c r="BI2249" i="1"/>
  <c r="BH2249" i="1"/>
  <c r="DE3067" i="1"/>
  <c r="CY3067" i="1"/>
  <c r="K3067" i="1"/>
  <c r="CX3067" i="1"/>
  <c r="CV3067" i="1"/>
  <c r="CU3067" i="1"/>
  <c r="I3067" i="1"/>
  <c r="BI3067" i="1"/>
  <c r="BH3067" i="1"/>
  <c r="DE2267" i="1"/>
  <c r="CY2267" i="1"/>
  <c r="K2267" i="1"/>
  <c r="CX2267" i="1"/>
  <c r="CV2267" i="1"/>
  <c r="CU2267" i="1"/>
  <c r="I2267" i="1"/>
  <c r="BI2267" i="1"/>
  <c r="BH2267" i="1"/>
  <c r="DE2540" i="1"/>
  <c r="CY2540" i="1"/>
  <c r="K2540" i="1"/>
  <c r="CX2540" i="1"/>
  <c r="CV2540" i="1"/>
  <c r="CU2540" i="1"/>
  <c r="I2540" i="1"/>
  <c r="BI2540" i="1"/>
  <c r="BH2540" i="1"/>
  <c r="DE2539" i="1"/>
  <c r="CY2539" i="1"/>
  <c r="K2539" i="1"/>
  <c r="CX2539" i="1"/>
  <c r="CV2539" i="1"/>
  <c r="CU2539" i="1"/>
  <c r="I2539" i="1"/>
  <c r="BI2539" i="1"/>
  <c r="BH2539" i="1"/>
  <c r="DE2319" i="1"/>
  <c r="CY2319" i="1"/>
  <c r="K2319" i="1"/>
  <c r="CX2319" i="1"/>
  <c r="CV2319" i="1"/>
  <c r="CU2319" i="1"/>
  <c r="I2319" i="1"/>
  <c r="BI2319" i="1"/>
  <c r="BH2319" i="1"/>
  <c r="DE3066" i="1"/>
  <c r="CY3066" i="1"/>
  <c r="K3066" i="1"/>
  <c r="CX3066" i="1"/>
  <c r="CV3066" i="1"/>
  <c r="CU3066" i="1"/>
  <c r="I3066" i="1"/>
  <c r="BI3066" i="1"/>
  <c r="BH3066" i="1"/>
  <c r="DE2271" i="1"/>
  <c r="CY2271" i="1"/>
  <c r="K2271" i="1"/>
  <c r="CX2271" i="1"/>
  <c r="CV2271" i="1"/>
  <c r="CU2271" i="1"/>
  <c r="I2271" i="1"/>
  <c r="BI2271" i="1"/>
  <c r="BH2271" i="1"/>
  <c r="DE2538" i="1"/>
  <c r="CY2538" i="1"/>
  <c r="K2538" i="1"/>
  <c r="CX2538" i="1"/>
  <c r="CV2538" i="1"/>
  <c r="CU2538" i="1"/>
  <c r="I2538" i="1"/>
  <c r="BI2538" i="1"/>
  <c r="BH2538" i="1"/>
  <c r="DE2304" i="1"/>
  <c r="CY2304" i="1"/>
  <c r="K2304" i="1"/>
  <c r="CX2304" i="1"/>
  <c r="CV2304" i="1"/>
  <c r="CU2304" i="1"/>
  <c r="I2304" i="1"/>
  <c r="BI2304" i="1"/>
  <c r="BH2304" i="1"/>
  <c r="DE2537" i="1"/>
  <c r="CY2537" i="1"/>
  <c r="K2537" i="1"/>
  <c r="CX2537" i="1"/>
  <c r="CV2537" i="1"/>
  <c r="CU2537" i="1"/>
  <c r="I2537" i="1"/>
  <c r="BI2537" i="1"/>
  <c r="BH2537" i="1"/>
  <c r="DE2354" i="1"/>
  <c r="CY2354" i="1"/>
  <c r="K2354" i="1"/>
  <c r="CX2354" i="1"/>
  <c r="CV2354" i="1"/>
  <c r="CU2354" i="1"/>
  <c r="I2354" i="1"/>
  <c r="BI2354" i="1"/>
  <c r="BH2354" i="1"/>
  <c r="DE2294" i="1"/>
  <c r="CY2294" i="1"/>
  <c r="K2294" i="1"/>
  <c r="CX2294" i="1"/>
  <c r="CV2294" i="1"/>
  <c r="CU2294" i="1"/>
  <c r="I2294" i="1"/>
  <c r="BI2294" i="1"/>
  <c r="BH2294" i="1"/>
  <c r="DE3065" i="1"/>
  <c r="CY3065" i="1"/>
  <c r="K3065" i="1"/>
  <c r="CX3065" i="1"/>
  <c r="CV3065" i="1"/>
  <c r="CU3065" i="1"/>
  <c r="I3065" i="1"/>
  <c r="BI3065" i="1"/>
  <c r="BH3065" i="1"/>
  <c r="DE2299" i="1"/>
  <c r="CY2299" i="1"/>
  <c r="K2299" i="1"/>
  <c r="CX2299" i="1"/>
  <c r="CV2299" i="1"/>
  <c r="CU2299" i="1"/>
  <c r="I2299" i="1"/>
  <c r="BI2299" i="1"/>
  <c r="BH2299" i="1"/>
  <c r="DE3064" i="1"/>
  <c r="CY3064" i="1"/>
  <c r="K3064" i="1"/>
  <c r="CX3064" i="1"/>
  <c r="CV3064" i="1"/>
  <c r="CU3064" i="1"/>
  <c r="I3064" i="1"/>
  <c r="BI3064" i="1"/>
  <c r="BH3064" i="1"/>
  <c r="DE2452" i="1"/>
  <c r="CY2452" i="1"/>
  <c r="K2452" i="1"/>
  <c r="CX2452" i="1"/>
  <c r="CV2452" i="1"/>
  <c r="CU2452" i="1"/>
  <c r="I2452" i="1"/>
  <c r="BI2452" i="1"/>
  <c r="BH2452" i="1"/>
  <c r="DE2536" i="1"/>
  <c r="CY2536" i="1"/>
  <c r="K2536" i="1"/>
  <c r="CX2536" i="1"/>
  <c r="CV2536" i="1"/>
  <c r="CU2536" i="1"/>
  <c r="I2536" i="1"/>
  <c r="BI2536" i="1"/>
  <c r="BH2536" i="1"/>
  <c r="DE2535" i="1"/>
  <c r="CY2535" i="1"/>
  <c r="K2535" i="1"/>
  <c r="CX2535" i="1"/>
  <c r="CV2535" i="1"/>
  <c r="CU2535" i="1"/>
  <c r="I2535" i="1"/>
  <c r="BI2535" i="1"/>
  <c r="BH2535" i="1"/>
  <c r="DE2255" i="1"/>
  <c r="CY2255" i="1"/>
  <c r="K2255" i="1"/>
  <c r="CX2255" i="1"/>
  <c r="CV2255" i="1"/>
  <c r="CU2255" i="1"/>
  <c r="I2255" i="1"/>
  <c r="BI2255" i="1"/>
  <c r="BH2255" i="1"/>
  <c r="DE2534" i="1"/>
  <c r="CY2534" i="1"/>
  <c r="K2534" i="1"/>
  <c r="CX2534" i="1"/>
  <c r="CV2534" i="1"/>
  <c r="CU2534" i="1"/>
  <c r="I2534" i="1"/>
  <c r="BI2534" i="1"/>
  <c r="BH2534" i="1"/>
  <c r="DE2302" i="1"/>
  <c r="CY2302" i="1"/>
  <c r="K2302" i="1"/>
  <c r="CX2302" i="1"/>
  <c r="CV2302" i="1"/>
  <c r="CU2302" i="1"/>
  <c r="I2302" i="1"/>
  <c r="BI2302" i="1"/>
  <c r="BH2302" i="1"/>
  <c r="DE2533" i="1"/>
  <c r="CY2533" i="1"/>
  <c r="K2533" i="1"/>
  <c r="CX2533" i="1"/>
  <c r="CV2533" i="1"/>
  <c r="CU2533" i="1"/>
  <c r="I2533" i="1"/>
  <c r="BI2533" i="1"/>
  <c r="BH2533" i="1"/>
  <c r="DE2917" i="1"/>
  <c r="CY2917" i="1"/>
  <c r="K2917" i="1"/>
  <c r="CX2917" i="1"/>
  <c r="CV2917" i="1"/>
  <c r="CU2917" i="1"/>
  <c r="I2917" i="1"/>
  <c r="BI2917" i="1"/>
  <c r="BH2917" i="1"/>
  <c r="DE3063" i="1"/>
  <c r="CY3063" i="1"/>
  <c r="K3063" i="1"/>
  <c r="CX3063" i="1"/>
  <c r="CV3063" i="1"/>
  <c r="CU3063" i="1"/>
  <c r="I3063" i="1"/>
  <c r="BI3063" i="1"/>
  <c r="BH3063" i="1"/>
  <c r="DE2245" i="1"/>
  <c r="CY2245" i="1"/>
  <c r="K2245" i="1"/>
  <c r="CX2245" i="1"/>
  <c r="CV2245" i="1"/>
  <c r="CU2245" i="1"/>
  <c r="I2245" i="1"/>
  <c r="BI2245" i="1"/>
  <c r="BH2245" i="1"/>
  <c r="DE2355" i="1"/>
  <c r="CY2355" i="1"/>
  <c r="K2355" i="1"/>
  <c r="CX2355" i="1"/>
  <c r="CV2355" i="1"/>
  <c r="CU2355" i="1"/>
  <c r="I2355" i="1"/>
  <c r="BI2355" i="1"/>
  <c r="BH2355" i="1"/>
  <c r="DE2239" i="1"/>
  <c r="CY2239" i="1"/>
  <c r="K2239" i="1"/>
  <c r="CX2239" i="1"/>
  <c r="CV2239" i="1"/>
  <c r="CU2239" i="1"/>
  <c r="I2239" i="1"/>
  <c r="BI2239" i="1"/>
  <c r="BH2239" i="1"/>
  <c r="DE2532" i="1"/>
  <c r="CY2532" i="1"/>
  <c r="K2532" i="1"/>
  <c r="CX2532" i="1"/>
  <c r="CV2532" i="1"/>
  <c r="CU2532" i="1"/>
  <c r="I2532" i="1"/>
  <c r="BI2532" i="1"/>
  <c r="BH2532" i="1"/>
  <c r="DE2275" i="1"/>
  <c r="CY2275" i="1"/>
  <c r="K2275" i="1"/>
  <c r="CX2275" i="1"/>
  <c r="CV2275" i="1"/>
  <c r="CU2275" i="1"/>
  <c r="I2275" i="1"/>
  <c r="BI2275" i="1"/>
  <c r="BH2275" i="1"/>
  <c r="DE2531" i="1"/>
  <c r="CY2531" i="1"/>
  <c r="K2531" i="1"/>
  <c r="CX2531" i="1"/>
  <c r="CV2531" i="1"/>
  <c r="CU2531" i="1"/>
  <c r="I2531" i="1"/>
  <c r="BI2531" i="1"/>
  <c r="BH2531" i="1"/>
  <c r="DE2262" i="1"/>
  <c r="CY2262" i="1"/>
  <c r="K2262" i="1"/>
  <c r="CX2262" i="1"/>
  <c r="CV2262" i="1"/>
  <c r="CU2262" i="1"/>
  <c r="I2262" i="1"/>
  <c r="BI2262" i="1"/>
  <c r="BH2262" i="1"/>
  <c r="DE3062" i="1"/>
  <c r="CY3062" i="1"/>
  <c r="K3062" i="1"/>
  <c r="CX3062" i="1"/>
  <c r="CV3062" i="1"/>
  <c r="CU3062" i="1"/>
  <c r="I3062" i="1"/>
  <c r="BI3062" i="1"/>
  <c r="BH3062" i="1"/>
  <c r="DE500" i="1"/>
  <c r="CY500" i="1"/>
  <c r="K500" i="1"/>
  <c r="CX500" i="1"/>
  <c r="CV500" i="1"/>
  <c r="CU500" i="1"/>
  <c r="I500" i="1"/>
  <c r="BI500" i="1"/>
  <c r="BH500" i="1"/>
  <c r="DE2530" i="1"/>
  <c r="CY2530" i="1"/>
  <c r="K2530" i="1"/>
  <c r="CX2530" i="1"/>
  <c r="CV2530" i="1"/>
  <c r="CU2530" i="1"/>
  <c r="I2530" i="1"/>
  <c r="BI2530" i="1"/>
  <c r="BH2530" i="1"/>
  <c r="DE2435" i="1"/>
  <c r="CY2435" i="1"/>
  <c r="K2435" i="1"/>
  <c r="CX2435" i="1"/>
  <c r="CV2435" i="1"/>
  <c r="CU2435" i="1"/>
  <c r="I2435" i="1"/>
  <c r="BI2435" i="1"/>
  <c r="BH2435" i="1"/>
  <c r="DE2529" i="1"/>
  <c r="CY2529" i="1"/>
  <c r="K2529" i="1"/>
  <c r="CX2529" i="1"/>
  <c r="CV2529" i="1"/>
  <c r="CU2529" i="1"/>
  <c r="I2529" i="1"/>
  <c r="BI2529" i="1"/>
  <c r="BH2529" i="1"/>
  <c r="DE2438" i="1"/>
  <c r="CY2438" i="1"/>
  <c r="K2438" i="1"/>
  <c r="CX2438" i="1"/>
  <c r="CV2438" i="1"/>
  <c r="CU2438" i="1"/>
  <c r="I2438" i="1"/>
  <c r="BI2438" i="1"/>
  <c r="BH2438" i="1"/>
  <c r="DE3061" i="1"/>
  <c r="CY3061" i="1"/>
  <c r="K3061" i="1"/>
  <c r="CX3061" i="1"/>
  <c r="CV3061" i="1"/>
  <c r="CU3061" i="1"/>
  <c r="I3061" i="1"/>
  <c r="BI3061" i="1"/>
  <c r="BH3061" i="1"/>
  <c r="DE2235" i="1"/>
  <c r="CY2235" i="1"/>
  <c r="K2235" i="1"/>
  <c r="CX2235" i="1"/>
  <c r="CV2235" i="1"/>
  <c r="CU2235" i="1"/>
  <c r="I2235" i="1"/>
  <c r="BI2235" i="1"/>
  <c r="BH2235" i="1"/>
  <c r="DE3060" i="1"/>
  <c r="CY3060" i="1"/>
  <c r="K3060" i="1"/>
  <c r="CX3060" i="1"/>
  <c r="CV3060" i="1"/>
  <c r="CU3060" i="1"/>
  <c r="I3060" i="1"/>
  <c r="BI3060" i="1"/>
  <c r="BH3060" i="1"/>
  <c r="DE2259" i="1"/>
  <c r="CY2259" i="1"/>
  <c r="K2259" i="1"/>
  <c r="CX2259" i="1"/>
  <c r="CV2259" i="1"/>
  <c r="CU2259" i="1"/>
  <c r="I2259" i="1"/>
  <c r="BI2259" i="1"/>
  <c r="BH2259" i="1"/>
  <c r="DE2528" i="1"/>
  <c r="CY2528" i="1"/>
  <c r="K2528" i="1"/>
  <c r="CX2528" i="1"/>
  <c r="CV2528" i="1"/>
  <c r="CU2528" i="1"/>
  <c r="I2528" i="1"/>
  <c r="BI2528" i="1"/>
  <c r="BH2528" i="1"/>
  <c r="DE2248" i="1"/>
  <c r="CY2248" i="1"/>
  <c r="K2248" i="1"/>
  <c r="CX2248" i="1"/>
  <c r="CV2248" i="1"/>
  <c r="CU2248" i="1"/>
  <c r="I2248" i="1"/>
  <c r="BI2248" i="1"/>
  <c r="BH2248" i="1"/>
  <c r="DE2527" i="1"/>
  <c r="CY2527" i="1"/>
  <c r="K2527" i="1"/>
  <c r="CX2527" i="1"/>
  <c r="CV2527" i="1"/>
  <c r="CU2527" i="1"/>
  <c r="I2527" i="1"/>
  <c r="BI2527" i="1"/>
  <c r="BH2527" i="1"/>
  <c r="DE2266" i="1"/>
  <c r="CY2266" i="1"/>
  <c r="K2266" i="1"/>
  <c r="CX2266" i="1"/>
  <c r="CV2266" i="1"/>
  <c r="CU2266" i="1"/>
  <c r="I2266" i="1"/>
  <c r="BI2266" i="1"/>
  <c r="BH2266" i="1"/>
  <c r="DE2526" i="1"/>
  <c r="CY2526" i="1"/>
  <c r="K2526" i="1"/>
  <c r="CX2526" i="1"/>
  <c r="CV2526" i="1"/>
  <c r="CU2526" i="1"/>
  <c r="I2526" i="1"/>
  <c r="BI2526" i="1"/>
  <c r="BH2526" i="1"/>
  <c r="DE2295" i="1"/>
  <c r="CY2295" i="1"/>
  <c r="K2295" i="1"/>
  <c r="CX2295" i="1"/>
  <c r="CV2295" i="1"/>
  <c r="CU2295" i="1"/>
  <c r="I2295" i="1"/>
  <c r="BI2295" i="1"/>
  <c r="BH2295" i="1"/>
  <c r="DE2525" i="1"/>
  <c r="CY2525" i="1"/>
  <c r="K2525" i="1"/>
  <c r="CX2525" i="1"/>
  <c r="CV2525" i="1"/>
  <c r="CU2525" i="1"/>
  <c r="I2525" i="1"/>
  <c r="BI2525" i="1"/>
  <c r="BH2525" i="1"/>
  <c r="DE2284" i="1"/>
  <c r="CY2284" i="1"/>
  <c r="K2284" i="1"/>
  <c r="CX2284" i="1"/>
  <c r="CV2284" i="1"/>
  <c r="CU2284" i="1"/>
  <c r="I2284" i="1"/>
  <c r="BI2284" i="1"/>
  <c r="BH2284" i="1"/>
  <c r="DE3059" i="1"/>
  <c r="CY3059" i="1"/>
  <c r="K3059" i="1"/>
  <c r="CX3059" i="1"/>
  <c r="CV3059" i="1"/>
  <c r="CU3059" i="1"/>
  <c r="I3059" i="1"/>
  <c r="BI3059" i="1"/>
  <c r="BH3059" i="1"/>
  <c r="DE2317" i="1"/>
  <c r="CY2317" i="1"/>
  <c r="K2317" i="1"/>
  <c r="CX2317" i="1"/>
  <c r="CV2317" i="1"/>
  <c r="CU2317" i="1"/>
  <c r="I2317" i="1"/>
  <c r="BI2317" i="1"/>
  <c r="BH2317" i="1"/>
  <c r="DE2524" i="1"/>
  <c r="CY2524" i="1"/>
  <c r="K2524" i="1"/>
  <c r="CX2524" i="1"/>
  <c r="CV2524" i="1"/>
  <c r="CU2524" i="1"/>
  <c r="I2524" i="1"/>
  <c r="BI2524" i="1"/>
  <c r="BH2524" i="1"/>
  <c r="DE2240" i="1"/>
  <c r="CY2240" i="1"/>
  <c r="K2240" i="1"/>
  <c r="CX2240" i="1"/>
  <c r="CV2240" i="1"/>
  <c r="CU2240" i="1"/>
  <c r="I2240" i="1"/>
  <c r="BI2240" i="1"/>
  <c r="BH2240" i="1"/>
  <c r="DE2523" i="1"/>
  <c r="CY2523" i="1"/>
  <c r="K2523" i="1"/>
  <c r="CX2523" i="1"/>
  <c r="CV2523" i="1"/>
  <c r="CU2523" i="1"/>
  <c r="I2523" i="1"/>
  <c r="BI2523" i="1"/>
  <c r="BH2523" i="1"/>
  <c r="DE2296" i="1"/>
  <c r="CY2296" i="1"/>
  <c r="K2296" i="1"/>
  <c r="CX2296" i="1"/>
  <c r="CV2296" i="1"/>
  <c r="CU2296" i="1"/>
  <c r="I2296" i="1"/>
  <c r="BI2296" i="1"/>
  <c r="BH2296" i="1"/>
  <c r="DE3058" i="1"/>
  <c r="CY3058" i="1"/>
  <c r="K3058" i="1"/>
  <c r="CX3058" i="1"/>
  <c r="CV3058" i="1"/>
  <c r="CU3058" i="1"/>
  <c r="I3058" i="1"/>
  <c r="BI3058" i="1"/>
  <c r="BH3058" i="1"/>
  <c r="DE2258" i="1"/>
  <c r="CY2258" i="1"/>
  <c r="K2258" i="1"/>
  <c r="CX2258" i="1"/>
  <c r="CV2258" i="1"/>
  <c r="CU2258" i="1"/>
  <c r="I2258" i="1"/>
  <c r="BI2258" i="1"/>
  <c r="BH2258" i="1"/>
  <c r="DE2356" i="1"/>
  <c r="CY2356" i="1"/>
  <c r="K2356" i="1"/>
  <c r="CX2356" i="1"/>
  <c r="CV2356" i="1"/>
  <c r="CU2356" i="1"/>
  <c r="I2356" i="1"/>
  <c r="BI2356" i="1"/>
  <c r="BH2356" i="1"/>
  <c r="DE2251" i="1"/>
  <c r="CY2251" i="1"/>
  <c r="K2251" i="1"/>
  <c r="CX2251" i="1"/>
  <c r="CV2251" i="1"/>
  <c r="CU2251" i="1"/>
  <c r="I2251" i="1"/>
  <c r="BI2251" i="1"/>
  <c r="BH2251" i="1"/>
  <c r="DE2522" i="1"/>
  <c r="CY2522" i="1"/>
  <c r="K2522" i="1"/>
  <c r="CX2522" i="1"/>
  <c r="CV2522" i="1"/>
  <c r="CU2522" i="1"/>
  <c r="I2522" i="1"/>
  <c r="BI2522" i="1"/>
  <c r="BH2522" i="1"/>
  <c r="DE2261" i="1"/>
  <c r="CY2261" i="1"/>
  <c r="K2261" i="1"/>
  <c r="CX2261" i="1"/>
  <c r="CV2261" i="1"/>
  <c r="CU2261" i="1"/>
  <c r="I2261" i="1"/>
  <c r="BI2261" i="1"/>
  <c r="BH2261" i="1"/>
  <c r="DE2521" i="1"/>
  <c r="CY2521" i="1"/>
  <c r="K2521" i="1"/>
  <c r="CX2521" i="1"/>
  <c r="CV2521" i="1"/>
  <c r="CU2521" i="1"/>
  <c r="I2521" i="1"/>
  <c r="BI2521" i="1"/>
  <c r="BH2521" i="1"/>
  <c r="DE2256" i="1"/>
  <c r="CY2256" i="1"/>
  <c r="K2256" i="1"/>
  <c r="CX2256" i="1"/>
  <c r="CV2256" i="1"/>
  <c r="CU2256" i="1"/>
  <c r="I2256" i="1"/>
  <c r="BI2256" i="1"/>
  <c r="BH2256" i="1"/>
  <c r="DE3057" i="1"/>
  <c r="CY3057" i="1"/>
  <c r="K3057" i="1"/>
  <c r="CX3057" i="1"/>
  <c r="CV3057" i="1"/>
  <c r="CU3057" i="1"/>
  <c r="I3057" i="1"/>
  <c r="BI3057" i="1"/>
  <c r="BH3057" i="1"/>
  <c r="DE3278" i="1"/>
  <c r="CY3278" i="1"/>
  <c r="K3278" i="1"/>
  <c r="CX3278" i="1"/>
  <c r="CV3278" i="1"/>
  <c r="CU3278" i="1"/>
  <c r="I3278" i="1"/>
  <c r="CT3278" i="1"/>
  <c r="BI3278" i="1"/>
  <c r="BH3278" i="1"/>
  <c r="DE3056" i="1"/>
  <c r="CY3056" i="1"/>
  <c r="K3056" i="1"/>
  <c r="CX3056" i="1"/>
  <c r="CV3056" i="1"/>
  <c r="CU3056" i="1"/>
  <c r="I3056" i="1"/>
  <c r="BI3056" i="1"/>
  <c r="BH3056" i="1"/>
  <c r="DE2280" i="1"/>
  <c r="CY2280" i="1"/>
  <c r="K2280" i="1"/>
  <c r="CX2280" i="1"/>
  <c r="CV2280" i="1"/>
  <c r="CU2280" i="1"/>
  <c r="I2280" i="1"/>
  <c r="BI2280" i="1"/>
  <c r="BH2280" i="1"/>
  <c r="DE2520" i="1"/>
  <c r="CY2520" i="1"/>
  <c r="K2520" i="1"/>
  <c r="CX2520" i="1"/>
  <c r="CV2520" i="1"/>
  <c r="CU2520" i="1"/>
  <c r="I2520" i="1"/>
  <c r="BI2520" i="1"/>
  <c r="BH2520" i="1"/>
  <c r="DE2323" i="1"/>
  <c r="CY2323" i="1"/>
  <c r="K2323" i="1"/>
  <c r="CX2323" i="1"/>
  <c r="CV2323" i="1"/>
  <c r="CU2323" i="1"/>
  <c r="I2323" i="1"/>
  <c r="BI2323" i="1"/>
  <c r="BH2323" i="1"/>
  <c r="DE2519" i="1"/>
  <c r="CY2519" i="1"/>
  <c r="K2519" i="1"/>
  <c r="CX2519" i="1"/>
  <c r="CV2519" i="1"/>
  <c r="CU2519" i="1"/>
  <c r="I2519" i="1"/>
  <c r="BI2519" i="1"/>
  <c r="BH2519" i="1"/>
  <c r="DE2241" i="1"/>
  <c r="CY2241" i="1"/>
  <c r="K2241" i="1"/>
  <c r="CX2241" i="1"/>
  <c r="CV2241" i="1"/>
  <c r="CU2241" i="1"/>
  <c r="I2241" i="1"/>
  <c r="BI2241" i="1"/>
  <c r="BH2241" i="1"/>
  <c r="DE2518" i="1"/>
  <c r="CY2518" i="1"/>
  <c r="K2518" i="1"/>
  <c r="CX2518" i="1"/>
  <c r="CV2518" i="1"/>
  <c r="CU2518" i="1"/>
  <c r="I2518" i="1"/>
  <c r="BI2518" i="1"/>
  <c r="BH2518" i="1"/>
  <c r="DE2517" i="1"/>
  <c r="CY2517" i="1"/>
  <c r="K2517" i="1"/>
  <c r="CX2517" i="1"/>
  <c r="CV2517" i="1"/>
  <c r="CU2517" i="1"/>
  <c r="I2517" i="1"/>
  <c r="BI2517" i="1"/>
  <c r="BH2517" i="1"/>
  <c r="DE3055" i="1"/>
  <c r="CY3055" i="1"/>
  <c r="K3055" i="1"/>
  <c r="CX3055" i="1"/>
  <c r="CV3055" i="1"/>
  <c r="CU3055" i="1"/>
  <c r="I3055" i="1"/>
  <c r="BI3055" i="1"/>
  <c r="BH3055" i="1"/>
  <c r="DE2432" i="1"/>
  <c r="CY2432" i="1"/>
  <c r="K2432" i="1"/>
  <c r="CX2432" i="1"/>
  <c r="CV2432" i="1"/>
  <c r="CU2432" i="1"/>
  <c r="I2432" i="1"/>
  <c r="BI2432" i="1"/>
  <c r="BH2432" i="1"/>
  <c r="DE2516" i="1"/>
  <c r="CY2516" i="1"/>
  <c r="K2516" i="1"/>
  <c r="CX2516" i="1"/>
  <c r="CV2516" i="1"/>
  <c r="CU2516" i="1"/>
  <c r="I2516" i="1"/>
  <c r="BI2516" i="1"/>
  <c r="BH2516" i="1"/>
  <c r="DE2308" i="1"/>
  <c r="CY2308" i="1"/>
  <c r="K2308" i="1"/>
  <c r="CX2308" i="1"/>
  <c r="CV2308" i="1"/>
  <c r="CU2308" i="1"/>
  <c r="I2308" i="1"/>
  <c r="BI2308" i="1"/>
  <c r="BH2308" i="1"/>
  <c r="DE2515" i="1"/>
  <c r="CY2515" i="1"/>
  <c r="K2515" i="1"/>
  <c r="CX2515" i="1"/>
  <c r="CV2515" i="1"/>
  <c r="CU2515" i="1"/>
  <c r="I2515" i="1"/>
  <c r="BI2515" i="1"/>
  <c r="BH2515" i="1"/>
  <c r="DE502" i="1"/>
  <c r="CY502" i="1"/>
  <c r="K502" i="1"/>
  <c r="CX502" i="1"/>
  <c r="CV502" i="1"/>
  <c r="CU502" i="1"/>
  <c r="I502" i="1"/>
  <c r="BI502" i="1"/>
  <c r="BH502" i="1"/>
  <c r="DE3054" i="1"/>
  <c r="CY3054" i="1"/>
  <c r="K3054" i="1"/>
  <c r="CX3054" i="1"/>
  <c r="CV3054" i="1"/>
  <c r="CU3054" i="1"/>
  <c r="I3054" i="1"/>
  <c r="BI3054" i="1"/>
  <c r="BH3054" i="1"/>
  <c r="DE2285" i="1"/>
  <c r="CY2285" i="1"/>
  <c r="K2285" i="1"/>
  <c r="CX2285" i="1"/>
  <c r="CV2285" i="1"/>
  <c r="CU2285" i="1"/>
  <c r="I2285" i="1"/>
  <c r="BI2285" i="1"/>
  <c r="BH2285" i="1"/>
  <c r="DE2514" i="1"/>
  <c r="CY2514" i="1"/>
  <c r="K2514" i="1"/>
  <c r="CX2514" i="1"/>
  <c r="CV2514" i="1"/>
  <c r="CU2514" i="1"/>
  <c r="I2514" i="1"/>
  <c r="BI2514" i="1"/>
  <c r="BH2514" i="1"/>
  <c r="DE2234" i="1"/>
  <c r="CY2234" i="1"/>
  <c r="K2234" i="1"/>
  <c r="CX2234" i="1"/>
  <c r="CV2234" i="1"/>
  <c r="CU2234" i="1"/>
  <c r="I2234" i="1"/>
  <c r="BI2234" i="1"/>
  <c r="BH2234" i="1"/>
  <c r="DE2513" i="1"/>
  <c r="CY2513" i="1"/>
  <c r="K2513" i="1"/>
  <c r="CX2513" i="1"/>
  <c r="CV2513" i="1"/>
  <c r="CU2513" i="1"/>
  <c r="I2513" i="1"/>
  <c r="BI2513" i="1"/>
  <c r="BH2513" i="1"/>
  <c r="DE2457" i="1"/>
  <c r="CY2457" i="1"/>
  <c r="K2457" i="1"/>
  <c r="CX2457" i="1"/>
  <c r="CV2457" i="1"/>
  <c r="CU2457" i="1"/>
  <c r="I2457" i="1"/>
  <c r="BI2457" i="1"/>
  <c r="BH2457" i="1"/>
  <c r="DE2325" i="1"/>
  <c r="CY2325" i="1"/>
  <c r="K2325" i="1"/>
  <c r="CX2325" i="1"/>
  <c r="CV2325" i="1"/>
  <c r="CU2325" i="1"/>
  <c r="I2325" i="1"/>
  <c r="BI2325" i="1"/>
  <c r="BH2325" i="1"/>
  <c r="DE3632" i="1"/>
  <c r="CY3632" i="1"/>
  <c r="K3632" i="1"/>
  <c r="CX3632" i="1"/>
  <c r="CV3632" i="1"/>
  <c r="CU3632" i="1"/>
  <c r="I3632" i="1"/>
  <c r="CT3632" i="1"/>
  <c r="BI3632" i="1"/>
  <c r="BH3632" i="1"/>
  <c r="DE2357" i="1"/>
  <c r="CY2357" i="1"/>
  <c r="K2357" i="1"/>
  <c r="CX2357" i="1"/>
  <c r="CV2357" i="1"/>
  <c r="CU2357" i="1"/>
  <c r="I2357" i="1"/>
  <c r="BI2357" i="1"/>
  <c r="BH2357" i="1"/>
  <c r="DE2441" i="1"/>
  <c r="CY2441" i="1"/>
  <c r="K2441" i="1"/>
  <c r="CX2441" i="1"/>
  <c r="CV2441" i="1"/>
  <c r="CU2441" i="1"/>
  <c r="I2441" i="1"/>
  <c r="BI2441" i="1"/>
  <c r="BH2441" i="1"/>
  <c r="DE3053" i="1"/>
  <c r="CY3053" i="1"/>
  <c r="K3053" i="1"/>
  <c r="CX3053" i="1"/>
  <c r="CV3053" i="1"/>
  <c r="CU3053" i="1"/>
  <c r="I3053" i="1"/>
  <c r="BI3053" i="1"/>
  <c r="BH3053" i="1"/>
  <c r="DE2313" i="1"/>
  <c r="CY2313" i="1"/>
  <c r="K2313" i="1"/>
  <c r="CX2313" i="1"/>
  <c r="CV2313" i="1"/>
  <c r="CU2313" i="1"/>
  <c r="I2313" i="1"/>
  <c r="BI2313" i="1"/>
  <c r="BH2313" i="1"/>
  <c r="DE2512" i="1"/>
  <c r="CY2512" i="1"/>
  <c r="K2512" i="1"/>
  <c r="CX2512" i="1"/>
  <c r="CV2512" i="1"/>
  <c r="CU2512" i="1"/>
  <c r="I2512" i="1"/>
  <c r="BI2512" i="1"/>
  <c r="BH2512" i="1"/>
  <c r="DE2454" i="1"/>
  <c r="CY2454" i="1"/>
  <c r="K2454" i="1"/>
  <c r="CX2454" i="1"/>
  <c r="CV2454" i="1"/>
  <c r="CU2454" i="1"/>
  <c r="I2454" i="1"/>
  <c r="BI2454" i="1"/>
  <c r="BH2454" i="1"/>
  <c r="DE2511" i="1"/>
  <c r="CY2511" i="1"/>
  <c r="K2511" i="1"/>
  <c r="CX2511" i="1"/>
  <c r="CV2511" i="1"/>
  <c r="CU2511" i="1"/>
  <c r="I2511" i="1"/>
  <c r="BI2511" i="1"/>
  <c r="BH2511" i="1"/>
  <c r="DE3052" i="1"/>
  <c r="CY3052" i="1"/>
  <c r="K3052" i="1"/>
  <c r="CX3052" i="1"/>
  <c r="CV3052" i="1"/>
  <c r="CU3052" i="1"/>
  <c r="I3052" i="1"/>
  <c r="BI3052" i="1"/>
  <c r="BH3052" i="1"/>
  <c r="DE2310" i="1"/>
  <c r="CY2310" i="1"/>
  <c r="K2310" i="1"/>
  <c r="CX2310" i="1"/>
  <c r="CV2310" i="1"/>
  <c r="CU2310" i="1"/>
  <c r="I2310" i="1"/>
  <c r="BI2310" i="1"/>
  <c r="BH2310" i="1"/>
  <c r="DE2510" i="1"/>
  <c r="CY2510" i="1"/>
  <c r="K2510" i="1"/>
  <c r="CX2510" i="1"/>
  <c r="CV2510" i="1"/>
  <c r="CU2510" i="1"/>
  <c r="I2510" i="1"/>
  <c r="BI2510" i="1"/>
  <c r="BH2510" i="1"/>
  <c r="DE2303" i="1"/>
  <c r="CY2303" i="1"/>
  <c r="K2303" i="1"/>
  <c r="CX2303" i="1"/>
  <c r="CV2303" i="1"/>
  <c r="CU2303" i="1"/>
  <c r="I2303" i="1"/>
  <c r="BI2303" i="1"/>
  <c r="BH2303" i="1"/>
  <c r="DE2509" i="1"/>
  <c r="CY2509" i="1"/>
  <c r="K2509" i="1"/>
  <c r="CX2509" i="1"/>
  <c r="CV2509" i="1"/>
  <c r="CU2509" i="1"/>
  <c r="I2509" i="1"/>
  <c r="BI2509" i="1"/>
  <c r="BH2509" i="1"/>
  <c r="DE2309" i="1"/>
  <c r="CY2309" i="1"/>
  <c r="K2309" i="1"/>
  <c r="CX2309" i="1"/>
  <c r="CV2309" i="1"/>
  <c r="CU2309" i="1"/>
  <c r="I2309" i="1"/>
  <c r="BI2309" i="1"/>
  <c r="BH2309" i="1"/>
  <c r="DE3051" i="1"/>
  <c r="CY3051" i="1"/>
  <c r="K3051" i="1"/>
  <c r="CX3051" i="1"/>
  <c r="CV3051" i="1"/>
  <c r="CU3051" i="1"/>
  <c r="I3051" i="1"/>
  <c r="BI3051" i="1"/>
  <c r="BH3051" i="1"/>
  <c r="DE2242" i="1"/>
  <c r="CY2242" i="1"/>
  <c r="K2242" i="1"/>
  <c r="CX2242" i="1"/>
  <c r="CV2242" i="1"/>
  <c r="CU2242" i="1"/>
  <c r="I2242" i="1"/>
  <c r="BI2242" i="1"/>
  <c r="BH2242" i="1"/>
  <c r="DE2508" i="1"/>
  <c r="CY2508" i="1"/>
  <c r="K2508" i="1"/>
  <c r="CX2508" i="1"/>
  <c r="CV2508" i="1"/>
  <c r="CU2508" i="1"/>
  <c r="I2508" i="1"/>
  <c r="BI2508" i="1"/>
  <c r="BH2508" i="1"/>
  <c r="DE2459" i="1"/>
  <c r="CY2459" i="1"/>
  <c r="K2459" i="1"/>
  <c r="CX2459" i="1"/>
  <c r="CV2459" i="1"/>
  <c r="CU2459" i="1"/>
  <c r="I2459" i="1"/>
  <c r="BI2459" i="1"/>
  <c r="BH2459" i="1"/>
  <c r="DE2507" i="1"/>
  <c r="CY2507" i="1"/>
  <c r="K2507" i="1"/>
  <c r="CX2507" i="1"/>
  <c r="CV2507" i="1"/>
  <c r="CU2507" i="1"/>
  <c r="I2507" i="1"/>
  <c r="BI2507" i="1"/>
  <c r="BH2507" i="1"/>
  <c r="DE2279" i="1"/>
  <c r="CY2279" i="1"/>
  <c r="K2279" i="1"/>
  <c r="CX2279" i="1"/>
  <c r="CV2279" i="1"/>
  <c r="CU2279" i="1"/>
  <c r="I2279" i="1"/>
  <c r="BI2279" i="1"/>
  <c r="BH2279" i="1"/>
  <c r="DE3050" i="1"/>
  <c r="CY3050" i="1"/>
  <c r="K3050" i="1"/>
  <c r="CX3050" i="1"/>
  <c r="CV3050" i="1"/>
  <c r="CU3050" i="1"/>
  <c r="I3050" i="1"/>
  <c r="BI3050" i="1"/>
  <c r="BH3050" i="1"/>
  <c r="DE2436" i="1"/>
  <c r="CY2436" i="1"/>
  <c r="K2436" i="1"/>
  <c r="CX2436" i="1"/>
  <c r="CV2436" i="1"/>
  <c r="CU2436" i="1"/>
  <c r="I2436" i="1"/>
  <c r="BI2436" i="1"/>
  <c r="BH2436" i="1"/>
  <c r="DE2506" i="1"/>
  <c r="CY2506" i="1"/>
  <c r="K2506" i="1"/>
  <c r="CX2506" i="1"/>
  <c r="CV2506" i="1"/>
  <c r="CU2506" i="1"/>
  <c r="I2506" i="1"/>
  <c r="BI2506" i="1"/>
  <c r="BH2506" i="1"/>
  <c r="DE2505" i="1"/>
  <c r="CY2505" i="1"/>
  <c r="K2505" i="1"/>
  <c r="CX2505" i="1"/>
  <c r="CV2505" i="1"/>
  <c r="CU2505" i="1"/>
  <c r="I2505" i="1"/>
  <c r="BI2505" i="1"/>
  <c r="BH2505" i="1"/>
  <c r="DE3191" i="1"/>
  <c r="CY3191" i="1"/>
  <c r="K3191" i="1"/>
  <c r="CX3191" i="1"/>
  <c r="CV3191" i="1"/>
  <c r="CU3191" i="1"/>
  <c r="I3191" i="1"/>
  <c r="BI3191" i="1"/>
  <c r="BH3191" i="1"/>
  <c r="DE3049" i="1"/>
  <c r="CY3049" i="1"/>
  <c r="K3049" i="1"/>
  <c r="CX3049" i="1"/>
  <c r="CV3049" i="1"/>
  <c r="CU3049" i="1"/>
  <c r="I3049" i="1"/>
  <c r="BI3049" i="1"/>
  <c r="BH3049" i="1"/>
  <c r="DE2244" i="1"/>
  <c r="CY2244" i="1"/>
  <c r="K2244" i="1"/>
  <c r="CX2244" i="1"/>
  <c r="CV2244" i="1"/>
  <c r="CU2244" i="1"/>
  <c r="I2244" i="1"/>
  <c r="BI2244" i="1"/>
  <c r="BH2244" i="1"/>
  <c r="DE3048" i="1"/>
  <c r="CY3048" i="1"/>
  <c r="K3048" i="1"/>
  <c r="CX3048" i="1"/>
  <c r="CV3048" i="1"/>
  <c r="CU3048" i="1"/>
  <c r="I3048" i="1"/>
  <c r="BI3048" i="1"/>
  <c r="BH3048" i="1"/>
  <c r="DE2270" i="1"/>
  <c r="CY2270" i="1"/>
  <c r="K2270" i="1"/>
  <c r="CX2270" i="1"/>
  <c r="CV2270" i="1"/>
  <c r="CU2270" i="1"/>
  <c r="I2270" i="1"/>
  <c r="BI2270" i="1"/>
  <c r="BH2270" i="1"/>
  <c r="DE2504" i="1"/>
  <c r="CY2504" i="1"/>
  <c r="K2504" i="1"/>
  <c r="CX2504" i="1"/>
  <c r="CV2504" i="1"/>
  <c r="CU2504" i="1"/>
  <c r="I2504" i="1"/>
  <c r="BI2504" i="1"/>
  <c r="BH2504" i="1"/>
  <c r="DE464" i="1"/>
  <c r="CY464" i="1"/>
  <c r="K464" i="1"/>
  <c r="CX464" i="1"/>
  <c r="CV464" i="1"/>
  <c r="CU464" i="1"/>
  <c r="I464" i="1"/>
  <c r="BI464" i="1"/>
  <c r="BH464" i="1"/>
  <c r="DE2503" i="1"/>
  <c r="CY2503" i="1"/>
  <c r="K2503" i="1"/>
  <c r="CX2503" i="1"/>
  <c r="CV2503" i="1"/>
  <c r="CU2503" i="1"/>
  <c r="I2503" i="1"/>
  <c r="BI2503" i="1"/>
  <c r="BH2503" i="1"/>
  <c r="DE2293" i="1"/>
  <c r="CY2293" i="1"/>
  <c r="K2293" i="1"/>
  <c r="CX2293" i="1"/>
  <c r="CV2293" i="1"/>
  <c r="CU2293" i="1"/>
  <c r="I2293" i="1"/>
  <c r="BI2293" i="1"/>
  <c r="BH2293" i="1"/>
  <c r="DE2502" i="1"/>
  <c r="CY2502" i="1"/>
  <c r="K2502" i="1"/>
  <c r="CX2502" i="1"/>
  <c r="CV2502" i="1"/>
  <c r="CU2502" i="1"/>
  <c r="I2502" i="1"/>
  <c r="BI2502" i="1"/>
  <c r="BH2502" i="1"/>
  <c r="DE2274" i="1"/>
  <c r="CY2274" i="1"/>
  <c r="K2274" i="1"/>
  <c r="CX2274" i="1"/>
  <c r="CV2274" i="1"/>
  <c r="CU2274" i="1"/>
  <c r="I2274" i="1"/>
  <c r="BI2274" i="1"/>
  <c r="BH2274" i="1"/>
  <c r="DE2501" i="1"/>
  <c r="CY2501" i="1"/>
  <c r="K2501" i="1"/>
  <c r="CX2501" i="1"/>
  <c r="CV2501" i="1"/>
  <c r="CU2501" i="1"/>
  <c r="I2501" i="1"/>
  <c r="BI2501" i="1"/>
  <c r="BH2501" i="1"/>
  <c r="DE2321" i="1"/>
  <c r="CY2321" i="1"/>
  <c r="K2321" i="1"/>
  <c r="CX2321" i="1"/>
  <c r="CV2321" i="1"/>
  <c r="CU2321" i="1"/>
  <c r="I2321" i="1"/>
  <c r="BI2321" i="1"/>
  <c r="BH2321" i="1"/>
  <c r="DE3047" i="1"/>
  <c r="CY3047" i="1"/>
  <c r="K3047" i="1"/>
  <c r="CX3047" i="1"/>
  <c r="CV3047" i="1"/>
  <c r="CU3047" i="1"/>
  <c r="I3047" i="1"/>
  <c r="BI3047" i="1"/>
  <c r="BH3047" i="1"/>
  <c r="DE3431" i="1"/>
  <c r="CY3431" i="1"/>
  <c r="K3431" i="1"/>
  <c r="CX3431" i="1"/>
  <c r="CV3431" i="1"/>
  <c r="CU3431" i="1"/>
  <c r="I3431" i="1"/>
  <c r="CT3431" i="1"/>
  <c r="BI3431" i="1"/>
  <c r="BH3431" i="1"/>
  <c r="DE2500" i="1"/>
  <c r="CY2500" i="1"/>
  <c r="K2500" i="1"/>
  <c r="CX2500" i="1"/>
  <c r="CV2500" i="1"/>
  <c r="CU2500" i="1"/>
  <c r="I2500" i="1"/>
  <c r="BI2500" i="1"/>
  <c r="BH2500" i="1"/>
  <c r="DE2282" i="1"/>
  <c r="CY2282" i="1"/>
  <c r="K2282" i="1"/>
  <c r="CX2282" i="1"/>
  <c r="CV2282" i="1"/>
  <c r="CU2282" i="1"/>
  <c r="I2282" i="1"/>
  <c r="BI2282" i="1"/>
  <c r="BH2282" i="1"/>
  <c r="DE2499" i="1"/>
  <c r="CY2499" i="1"/>
  <c r="K2499" i="1"/>
  <c r="CX2499" i="1"/>
  <c r="CV2499" i="1"/>
  <c r="CU2499" i="1"/>
  <c r="I2499" i="1"/>
  <c r="BI2499" i="1"/>
  <c r="BH2499" i="1"/>
  <c r="DE3046" i="1"/>
  <c r="CY3046" i="1"/>
  <c r="K3046" i="1"/>
  <c r="CX3046" i="1"/>
  <c r="CV3046" i="1"/>
  <c r="CU3046" i="1"/>
  <c r="I3046" i="1"/>
  <c r="BI3046" i="1"/>
  <c r="BH3046" i="1"/>
  <c r="DE2243" i="1"/>
  <c r="CY2243" i="1"/>
  <c r="K2243" i="1"/>
  <c r="CX2243" i="1"/>
  <c r="CV2243" i="1"/>
  <c r="CU2243" i="1"/>
  <c r="I2243" i="1"/>
  <c r="BI2243" i="1"/>
  <c r="BH2243" i="1"/>
  <c r="DE2498" i="1"/>
  <c r="CY2498" i="1"/>
  <c r="K2498" i="1"/>
  <c r="CX2498" i="1"/>
  <c r="CV2498" i="1"/>
  <c r="CU2498" i="1"/>
  <c r="I2498" i="1"/>
  <c r="BI2498" i="1"/>
  <c r="BH2498" i="1"/>
  <c r="DE465" i="1"/>
  <c r="CY465" i="1"/>
  <c r="K465" i="1"/>
  <c r="CX465" i="1"/>
  <c r="CV465" i="1"/>
  <c r="CU465" i="1"/>
  <c r="I465" i="1"/>
  <c r="BI465" i="1"/>
  <c r="BH465" i="1"/>
  <c r="DE2497" i="1"/>
  <c r="CY2497" i="1"/>
  <c r="K2497" i="1"/>
  <c r="CX2497" i="1"/>
  <c r="CV2497" i="1"/>
  <c r="CU2497" i="1"/>
  <c r="I2497" i="1"/>
  <c r="BI2497" i="1"/>
  <c r="BH2497" i="1"/>
  <c r="DE3045" i="1"/>
  <c r="CY3045" i="1"/>
  <c r="K3045" i="1"/>
  <c r="CX3045" i="1"/>
  <c r="CV3045" i="1"/>
  <c r="CU3045" i="1"/>
  <c r="I3045" i="1"/>
  <c r="BI3045" i="1"/>
  <c r="BH3045" i="1"/>
  <c r="DE3044" i="1"/>
  <c r="CY3044" i="1"/>
  <c r="K3044" i="1"/>
  <c r="CX3044" i="1"/>
  <c r="CV3044" i="1"/>
  <c r="CU3044" i="1"/>
  <c r="I3044" i="1"/>
  <c r="BI3044" i="1"/>
  <c r="BH3044" i="1"/>
  <c r="DE2496" i="1"/>
  <c r="CY2496" i="1"/>
  <c r="K2496" i="1"/>
  <c r="CX2496" i="1"/>
  <c r="CV2496" i="1"/>
  <c r="CU2496" i="1"/>
  <c r="I2496" i="1"/>
  <c r="BI2496" i="1"/>
  <c r="BH2496" i="1"/>
  <c r="DE2495" i="1"/>
  <c r="CY2495" i="1"/>
  <c r="K2495" i="1"/>
  <c r="CX2495" i="1"/>
  <c r="CV2495" i="1"/>
  <c r="CU2495" i="1"/>
  <c r="I2495" i="1"/>
  <c r="BI2495" i="1"/>
  <c r="BH2495" i="1"/>
  <c r="DE2494" i="1"/>
  <c r="CY2494" i="1"/>
  <c r="K2494" i="1"/>
  <c r="CX2494" i="1"/>
  <c r="CV2494" i="1"/>
  <c r="CU2494" i="1"/>
  <c r="I2494" i="1"/>
  <c r="BI2494" i="1"/>
  <c r="BH2494" i="1"/>
  <c r="DE2493" i="1"/>
  <c r="CY2493" i="1"/>
  <c r="K2493" i="1"/>
  <c r="CX2493" i="1"/>
  <c r="CV2493" i="1"/>
  <c r="CU2493" i="1"/>
  <c r="I2493" i="1"/>
  <c r="BI2493" i="1"/>
  <c r="BH2493" i="1"/>
  <c r="DE3343" i="1"/>
  <c r="CY3343" i="1"/>
  <c r="K3343" i="1"/>
  <c r="CX3343" i="1"/>
  <c r="CV3343" i="1"/>
  <c r="CU3343" i="1"/>
  <c r="I3343" i="1"/>
  <c r="CT3343" i="1"/>
  <c r="BI3343" i="1"/>
  <c r="BH3343" i="1"/>
  <c r="DE2492" i="1"/>
  <c r="CY2492" i="1"/>
  <c r="K2492" i="1"/>
  <c r="CX2492" i="1"/>
  <c r="CV2492" i="1"/>
  <c r="CU2492" i="1"/>
  <c r="I2492" i="1"/>
  <c r="BI2492" i="1"/>
  <c r="BH2492" i="1"/>
  <c r="DE2491" i="1"/>
  <c r="CY2491" i="1"/>
  <c r="K2491" i="1"/>
  <c r="CX2491" i="1"/>
  <c r="CV2491" i="1"/>
  <c r="CU2491" i="1"/>
  <c r="I2491" i="1"/>
  <c r="BI2491" i="1"/>
  <c r="BH2491" i="1"/>
  <c r="DE3042" i="1"/>
  <c r="CY3042" i="1"/>
  <c r="K3042" i="1"/>
  <c r="CX3042" i="1"/>
  <c r="CV3042" i="1"/>
  <c r="CU3042" i="1"/>
  <c r="I3042" i="1"/>
  <c r="BI3042" i="1"/>
  <c r="BH3042" i="1"/>
  <c r="DE2490" i="1"/>
  <c r="CY2490" i="1"/>
  <c r="K2490" i="1"/>
  <c r="CX2490" i="1"/>
  <c r="CV2490" i="1"/>
  <c r="CU2490" i="1"/>
  <c r="I2490" i="1"/>
  <c r="BI2490" i="1"/>
  <c r="BH2490" i="1"/>
  <c r="DE2489" i="1"/>
  <c r="CY2489" i="1"/>
  <c r="K2489" i="1"/>
  <c r="CX2489" i="1"/>
  <c r="CV2489" i="1"/>
  <c r="CU2489" i="1"/>
  <c r="I2489" i="1"/>
  <c r="BI2489" i="1"/>
  <c r="BH2489" i="1"/>
  <c r="DE3041" i="1"/>
  <c r="CY3041" i="1"/>
  <c r="K3041" i="1"/>
  <c r="CX3041" i="1"/>
  <c r="CV3041" i="1"/>
  <c r="CU3041" i="1"/>
  <c r="I3041" i="1"/>
  <c r="BI3041" i="1"/>
  <c r="BH3041" i="1"/>
  <c r="DE3040" i="1"/>
  <c r="CY3040" i="1"/>
  <c r="K3040" i="1"/>
  <c r="CX3040" i="1"/>
  <c r="CV3040" i="1"/>
  <c r="CU3040" i="1"/>
  <c r="I3040" i="1"/>
  <c r="BI3040" i="1"/>
  <c r="BH3040" i="1"/>
  <c r="DE2488" i="1"/>
  <c r="CY2488" i="1"/>
  <c r="K2488" i="1"/>
  <c r="CX2488" i="1"/>
  <c r="CV2488" i="1"/>
  <c r="CU2488" i="1"/>
  <c r="I2488" i="1"/>
  <c r="BI2488" i="1"/>
  <c r="BH2488" i="1"/>
  <c r="DE2487" i="1"/>
  <c r="CY2487" i="1"/>
  <c r="K2487" i="1"/>
  <c r="CX2487" i="1"/>
  <c r="CV2487" i="1"/>
  <c r="CU2487" i="1"/>
  <c r="I2487" i="1"/>
  <c r="BI2487" i="1"/>
  <c r="BH2487" i="1"/>
  <c r="DE2486" i="1"/>
  <c r="CY2486" i="1"/>
  <c r="K2486" i="1"/>
  <c r="CX2486" i="1"/>
  <c r="CV2486" i="1"/>
  <c r="CU2486" i="1"/>
  <c r="I2486" i="1"/>
  <c r="BI2486" i="1"/>
  <c r="BH2486" i="1"/>
  <c r="DE2485" i="1"/>
  <c r="CY2485" i="1"/>
  <c r="K2485" i="1"/>
  <c r="CX2485" i="1"/>
  <c r="CV2485" i="1"/>
  <c r="CU2485" i="1"/>
  <c r="I2485" i="1"/>
  <c r="BI2485" i="1"/>
  <c r="BH2485" i="1"/>
  <c r="DE3039" i="1"/>
  <c r="CY3039" i="1"/>
  <c r="K3039" i="1"/>
  <c r="CX3039" i="1"/>
  <c r="CV3039" i="1"/>
  <c r="CU3039" i="1"/>
  <c r="I3039" i="1"/>
  <c r="BI3039" i="1"/>
  <c r="BH3039" i="1"/>
  <c r="DE2484" i="1"/>
  <c r="CY2484" i="1"/>
  <c r="K2484" i="1"/>
  <c r="CX2484" i="1"/>
  <c r="CV2484" i="1"/>
  <c r="CU2484" i="1"/>
  <c r="I2484" i="1"/>
  <c r="BI2484" i="1"/>
  <c r="BH2484" i="1"/>
  <c r="DE2483" i="1"/>
  <c r="CY2483" i="1"/>
  <c r="K2483" i="1"/>
  <c r="CX2483" i="1"/>
  <c r="CV2483" i="1"/>
  <c r="CU2483" i="1"/>
  <c r="I2483" i="1"/>
  <c r="BI2483" i="1"/>
  <c r="BH2483" i="1"/>
  <c r="DE3038" i="1"/>
  <c r="CY3038" i="1"/>
  <c r="K3038" i="1"/>
  <c r="CX3038" i="1"/>
  <c r="CV3038" i="1"/>
  <c r="CU3038" i="1"/>
  <c r="I3038" i="1"/>
  <c r="BI3038" i="1"/>
  <c r="BH3038" i="1"/>
  <c r="DE2482" i="1"/>
  <c r="CY2482" i="1"/>
  <c r="K2482" i="1"/>
  <c r="CX2482" i="1"/>
  <c r="CV2482" i="1"/>
  <c r="CU2482" i="1"/>
  <c r="I2482" i="1"/>
  <c r="BI2482" i="1"/>
  <c r="BH2482" i="1"/>
  <c r="DE2481" i="1"/>
  <c r="CY2481" i="1"/>
  <c r="K2481" i="1"/>
  <c r="CX2481" i="1"/>
  <c r="CV2481" i="1"/>
  <c r="CU2481" i="1"/>
  <c r="I2481" i="1"/>
  <c r="BI2481" i="1"/>
  <c r="BH2481" i="1"/>
  <c r="DE2639" i="1"/>
  <c r="CY2639" i="1"/>
  <c r="K2639" i="1"/>
  <c r="CX2639" i="1"/>
  <c r="CV2639" i="1"/>
  <c r="CU2639" i="1"/>
  <c r="I2639" i="1"/>
  <c r="BI2639" i="1"/>
  <c r="BH2639" i="1"/>
  <c r="DE3037" i="1"/>
  <c r="CY3037" i="1"/>
  <c r="K3037" i="1"/>
  <c r="CX3037" i="1"/>
  <c r="CV3037" i="1"/>
  <c r="CU3037" i="1"/>
  <c r="I3037" i="1"/>
  <c r="BI3037" i="1"/>
  <c r="BH3037" i="1"/>
  <c r="DE2480" i="1"/>
  <c r="CY2480" i="1"/>
  <c r="K2480" i="1"/>
  <c r="CX2480" i="1"/>
  <c r="CV2480" i="1"/>
  <c r="CU2480" i="1"/>
  <c r="I2480" i="1"/>
  <c r="BI2480" i="1"/>
  <c r="BH2480" i="1"/>
  <c r="DE2479" i="1"/>
  <c r="CY2479" i="1"/>
  <c r="K2479" i="1"/>
  <c r="CX2479" i="1"/>
  <c r="CV2479" i="1"/>
  <c r="CU2479" i="1"/>
  <c r="I2479" i="1"/>
  <c r="BI2479" i="1"/>
  <c r="BH2479" i="1"/>
  <c r="DE3036" i="1"/>
  <c r="CY3036" i="1"/>
  <c r="K3036" i="1"/>
  <c r="CX3036" i="1"/>
  <c r="CV3036" i="1"/>
  <c r="CU3036" i="1"/>
  <c r="I3036" i="1"/>
  <c r="BI3036" i="1"/>
  <c r="BH3036" i="1"/>
  <c r="DE2478" i="1"/>
  <c r="CY2478" i="1"/>
  <c r="K2478" i="1"/>
  <c r="CX2478" i="1"/>
  <c r="CV2478" i="1"/>
  <c r="CU2478" i="1"/>
  <c r="I2478" i="1"/>
  <c r="BI2478" i="1"/>
  <c r="BH2478" i="1"/>
  <c r="DE2477" i="1"/>
  <c r="CY2477" i="1"/>
  <c r="K2477" i="1"/>
  <c r="CX2477" i="1"/>
  <c r="CV2477" i="1"/>
  <c r="CU2477" i="1"/>
  <c r="I2477" i="1"/>
  <c r="BI2477" i="1"/>
  <c r="BH2477" i="1"/>
  <c r="DE3035" i="1"/>
  <c r="CY3035" i="1"/>
  <c r="K3035" i="1"/>
  <c r="CX3035" i="1"/>
  <c r="CV3035" i="1"/>
  <c r="CU3035" i="1"/>
  <c r="I3035" i="1"/>
  <c r="BI3035" i="1"/>
  <c r="BH3035" i="1"/>
  <c r="DE2476" i="1"/>
  <c r="CY2476" i="1"/>
  <c r="K2476" i="1"/>
  <c r="CX2476" i="1"/>
  <c r="CV2476" i="1"/>
  <c r="CU2476" i="1"/>
  <c r="I2476" i="1"/>
  <c r="BI2476" i="1"/>
  <c r="BH2476" i="1"/>
  <c r="DE2475" i="1"/>
  <c r="CY2475" i="1"/>
  <c r="K2475" i="1"/>
  <c r="CX2475" i="1"/>
  <c r="CV2475" i="1"/>
  <c r="CU2475" i="1"/>
  <c r="I2475" i="1"/>
  <c r="BI2475" i="1"/>
  <c r="BH2475" i="1"/>
  <c r="DE3034" i="1"/>
  <c r="CY3034" i="1"/>
  <c r="K3034" i="1"/>
  <c r="CX3034" i="1"/>
  <c r="CV3034" i="1"/>
  <c r="CU3034" i="1"/>
  <c r="I3034" i="1"/>
  <c r="BI3034" i="1"/>
  <c r="BH3034" i="1"/>
  <c r="DE2474" i="1"/>
  <c r="CY2474" i="1"/>
  <c r="K2474" i="1"/>
  <c r="CX2474" i="1"/>
  <c r="CV2474" i="1"/>
  <c r="CU2474" i="1"/>
  <c r="I2474" i="1"/>
  <c r="BI2474" i="1"/>
  <c r="BH2474" i="1"/>
  <c r="DE2473" i="1"/>
  <c r="CY2473" i="1"/>
  <c r="K2473" i="1"/>
  <c r="CX2473" i="1"/>
  <c r="CV2473" i="1"/>
  <c r="CU2473" i="1"/>
  <c r="I2473" i="1"/>
  <c r="BI2473" i="1"/>
  <c r="BH2473" i="1"/>
  <c r="DE3032" i="1"/>
  <c r="CY3032" i="1"/>
  <c r="K3032" i="1"/>
  <c r="CX3032" i="1"/>
  <c r="CV3032" i="1"/>
  <c r="CU3032" i="1"/>
  <c r="I3032" i="1"/>
  <c r="BI3032" i="1"/>
  <c r="BH3032" i="1"/>
  <c r="DE2472" i="1"/>
  <c r="CY2472" i="1"/>
  <c r="K2472" i="1"/>
  <c r="CX2472" i="1"/>
  <c r="CV2472" i="1"/>
  <c r="CU2472" i="1"/>
  <c r="I2472" i="1"/>
  <c r="BI2472" i="1"/>
  <c r="BH2472" i="1"/>
  <c r="DE2471" i="1"/>
  <c r="CY2471" i="1"/>
  <c r="K2471" i="1"/>
  <c r="CX2471" i="1"/>
  <c r="CV2471" i="1"/>
  <c r="CU2471" i="1"/>
  <c r="I2471" i="1"/>
  <c r="BI2471" i="1"/>
  <c r="BH2471" i="1"/>
  <c r="DE2470" i="1"/>
  <c r="CY2470" i="1"/>
  <c r="K2470" i="1"/>
  <c r="CX2470" i="1"/>
  <c r="CV2470" i="1"/>
  <c r="CU2470" i="1"/>
  <c r="I2470" i="1"/>
  <c r="BI2470" i="1"/>
  <c r="BH2470" i="1"/>
  <c r="DE2360" i="1"/>
  <c r="CY2360" i="1"/>
  <c r="K2360" i="1"/>
  <c r="CX2360" i="1"/>
  <c r="CV2360" i="1"/>
  <c r="CU2360" i="1"/>
  <c r="I2360" i="1"/>
  <c r="BI2360" i="1"/>
  <c r="BH2360" i="1"/>
  <c r="DE2469" i="1"/>
  <c r="CY2469" i="1"/>
  <c r="K2469" i="1"/>
  <c r="CX2469" i="1"/>
  <c r="CV2469" i="1"/>
  <c r="CU2469" i="1"/>
  <c r="I2469" i="1"/>
  <c r="BI2469" i="1"/>
  <c r="BH2469" i="1"/>
  <c r="DE3031" i="1"/>
  <c r="CY3031" i="1"/>
  <c r="K3031" i="1"/>
  <c r="CX3031" i="1"/>
  <c r="CV3031" i="1"/>
  <c r="CU3031" i="1"/>
  <c r="I3031" i="1"/>
  <c r="BI3031" i="1"/>
  <c r="BH3031" i="1"/>
  <c r="DE2468" i="1"/>
  <c r="CY2468" i="1"/>
  <c r="K2468" i="1"/>
  <c r="CX2468" i="1"/>
  <c r="CV2468" i="1"/>
  <c r="CU2468" i="1"/>
  <c r="I2468" i="1"/>
  <c r="BI2468" i="1"/>
  <c r="BH2468" i="1"/>
  <c r="DE3030" i="1"/>
  <c r="CY3030" i="1"/>
  <c r="K3030" i="1"/>
  <c r="CX3030" i="1"/>
  <c r="CV3030" i="1"/>
  <c r="CU3030" i="1"/>
  <c r="I3030" i="1"/>
  <c r="BI3030" i="1"/>
  <c r="BH3030" i="1"/>
  <c r="DE2361" i="1"/>
  <c r="CY2361" i="1"/>
  <c r="K2361" i="1"/>
  <c r="CX2361" i="1"/>
  <c r="CV2361" i="1"/>
  <c r="CU2361" i="1"/>
  <c r="I2361" i="1"/>
  <c r="BI2361" i="1"/>
  <c r="BH2361" i="1"/>
  <c r="DE2466" i="1"/>
  <c r="CY2466" i="1"/>
  <c r="K2466" i="1"/>
  <c r="CX2466" i="1"/>
  <c r="CV2466" i="1"/>
  <c r="CU2466" i="1"/>
  <c r="I2466" i="1"/>
  <c r="BI2466" i="1"/>
  <c r="BH2466" i="1"/>
  <c r="DE2460" i="1"/>
  <c r="CY2460" i="1"/>
  <c r="K2460" i="1"/>
  <c r="CX2460" i="1"/>
  <c r="CV2460" i="1"/>
  <c r="CU2460" i="1"/>
  <c r="I2460" i="1"/>
  <c r="BI2460" i="1"/>
  <c r="BH2460" i="1"/>
  <c r="DE3033" i="1"/>
  <c r="CY3033" i="1"/>
  <c r="K3033" i="1"/>
  <c r="CX3033" i="1"/>
  <c r="CV3033" i="1"/>
  <c r="CU3033" i="1"/>
  <c r="I3033" i="1"/>
  <c r="BI3033" i="1"/>
  <c r="BH3033" i="1"/>
  <c r="DE3028" i="1"/>
  <c r="CY3028" i="1"/>
  <c r="K3028" i="1"/>
  <c r="CX3028" i="1"/>
  <c r="CV3028" i="1"/>
  <c r="CU3028" i="1"/>
  <c r="I3028" i="1"/>
  <c r="BI3028" i="1"/>
  <c r="BH3028" i="1"/>
  <c r="DE2461" i="1"/>
  <c r="CY2461" i="1"/>
  <c r="K2461" i="1"/>
  <c r="CX2461" i="1"/>
  <c r="CV2461" i="1"/>
  <c r="CU2461" i="1"/>
  <c r="I2461" i="1"/>
  <c r="BI2461" i="1"/>
  <c r="BH2461" i="1"/>
  <c r="DE467" i="1"/>
  <c r="CY467" i="1"/>
  <c r="K467" i="1"/>
  <c r="CX467" i="1"/>
  <c r="CV467" i="1"/>
  <c r="CU467" i="1"/>
  <c r="I467" i="1"/>
  <c r="BI467" i="1"/>
  <c r="BH467" i="1"/>
  <c r="DE2462" i="1"/>
  <c r="CY2462" i="1"/>
  <c r="K2462" i="1"/>
  <c r="CX2462" i="1"/>
  <c r="CV2462" i="1"/>
  <c r="CU2462" i="1"/>
  <c r="I2462" i="1"/>
  <c r="BI2462" i="1"/>
  <c r="BH2462" i="1"/>
  <c r="DE3117" i="1"/>
  <c r="CY3117" i="1"/>
  <c r="K3117" i="1"/>
  <c r="CX3117" i="1"/>
  <c r="CV3117" i="1"/>
  <c r="CU3117" i="1"/>
  <c r="I3117" i="1"/>
  <c r="BI3117" i="1"/>
  <c r="BH3117" i="1"/>
  <c r="DE3027" i="1"/>
  <c r="CY3027" i="1"/>
  <c r="K3027" i="1"/>
  <c r="CX3027" i="1"/>
  <c r="CV3027" i="1"/>
  <c r="CU3027" i="1"/>
  <c r="I3027" i="1"/>
  <c r="BI3027" i="1"/>
  <c r="BH3027" i="1"/>
  <c r="DE2463" i="1"/>
  <c r="CY2463" i="1"/>
  <c r="K2463" i="1"/>
  <c r="CX2463" i="1"/>
  <c r="CV2463" i="1"/>
  <c r="CU2463" i="1"/>
  <c r="I2463" i="1"/>
  <c r="BI2463" i="1"/>
  <c r="BH2463" i="1"/>
  <c r="DE3026" i="1"/>
  <c r="CY3026" i="1"/>
  <c r="K3026" i="1"/>
  <c r="CX3026" i="1"/>
  <c r="CV3026" i="1"/>
  <c r="CU3026" i="1"/>
  <c r="I3026" i="1"/>
  <c r="BI3026" i="1"/>
  <c r="BH3026" i="1"/>
  <c r="DE2464" i="1"/>
  <c r="CY2464" i="1"/>
  <c r="K2464" i="1"/>
  <c r="CX2464" i="1"/>
  <c r="CV2464" i="1"/>
  <c r="CU2464" i="1"/>
  <c r="I2464" i="1"/>
  <c r="BI2464" i="1"/>
  <c r="BH2464" i="1"/>
  <c r="DE2465" i="1"/>
  <c r="CY2465" i="1"/>
  <c r="K2465" i="1"/>
  <c r="CX2465" i="1"/>
  <c r="CV2465" i="1"/>
  <c r="CU2465" i="1"/>
  <c r="I2465" i="1"/>
  <c r="BI2465" i="1"/>
  <c r="BH2465" i="1"/>
  <c r="DE3543" i="1"/>
  <c r="CY3543" i="1"/>
  <c r="K3543" i="1"/>
  <c r="CX3543" i="1"/>
  <c r="CV3543" i="1"/>
  <c r="CU3543" i="1"/>
  <c r="I3543" i="1"/>
  <c r="CT3543" i="1"/>
  <c r="BI3543" i="1"/>
  <c r="BH3543" i="1"/>
  <c r="DE3024" i="1"/>
  <c r="CY3024" i="1"/>
  <c r="K3024" i="1"/>
  <c r="CX3024" i="1"/>
  <c r="CV3024" i="1"/>
  <c r="CU3024" i="1"/>
  <c r="I3024" i="1"/>
  <c r="BI3024" i="1"/>
  <c r="BH3024" i="1"/>
  <c r="DE3023" i="1"/>
  <c r="CY3023" i="1"/>
  <c r="K3023" i="1"/>
  <c r="CX3023" i="1"/>
  <c r="CV3023" i="1"/>
  <c r="CU3023" i="1"/>
  <c r="I3023" i="1"/>
  <c r="BI3023" i="1"/>
  <c r="BH3023" i="1"/>
  <c r="DE3022" i="1"/>
  <c r="CY3022" i="1"/>
  <c r="K3022" i="1"/>
  <c r="CX3022" i="1"/>
  <c r="CV3022" i="1"/>
  <c r="CU3022" i="1"/>
  <c r="I3022" i="1"/>
  <c r="BI3022" i="1"/>
  <c r="BH3022" i="1"/>
  <c r="DE2643" i="1"/>
  <c r="CY2643" i="1"/>
  <c r="K2643" i="1"/>
  <c r="CX2643" i="1"/>
  <c r="CV2643" i="1"/>
  <c r="CU2643" i="1"/>
  <c r="I2643" i="1"/>
  <c r="BI2643" i="1"/>
  <c r="BH2643" i="1"/>
  <c r="DE3021" i="1"/>
  <c r="CY3021" i="1"/>
  <c r="K3021" i="1"/>
  <c r="CX3021" i="1"/>
  <c r="CV3021" i="1"/>
  <c r="CU3021" i="1"/>
  <c r="I3021" i="1"/>
  <c r="BI3021" i="1"/>
  <c r="BH3021" i="1"/>
  <c r="DE3020" i="1"/>
  <c r="CY3020" i="1"/>
  <c r="K3020" i="1"/>
  <c r="CX3020" i="1"/>
  <c r="CV3020" i="1"/>
  <c r="CU3020" i="1"/>
  <c r="I3020" i="1"/>
  <c r="BI3020" i="1"/>
  <c r="BH3020" i="1"/>
  <c r="DE2667" i="1"/>
  <c r="CY2667" i="1"/>
  <c r="K2667" i="1"/>
  <c r="CX2667" i="1"/>
  <c r="CV2667" i="1"/>
  <c r="CU2667" i="1"/>
  <c r="I2667" i="1"/>
  <c r="BI2667" i="1"/>
  <c r="BH2667" i="1"/>
  <c r="DE3018" i="1"/>
  <c r="CY3018" i="1"/>
  <c r="K3018" i="1"/>
  <c r="CX3018" i="1"/>
  <c r="CV3018" i="1"/>
  <c r="CU3018" i="1"/>
  <c r="I3018" i="1"/>
  <c r="BI3018" i="1"/>
  <c r="BH3018" i="1"/>
  <c r="DE3016" i="1"/>
  <c r="CY3016" i="1"/>
  <c r="K3016" i="1"/>
  <c r="CX3016" i="1"/>
  <c r="CV3016" i="1"/>
  <c r="CU3016" i="1"/>
  <c r="I3016" i="1"/>
  <c r="BI3016" i="1"/>
  <c r="BH3016" i="1"/>
  <c r="DE3017" i="1"/>
  <c r="CY3017" i="1"/>
  <c r="K3017" i="1"/>
  <c r="CX3017" i="1"/>
  <c r="CV3017" i="1"/>
  <c r="CU3017" i="1"/>
  <c r="I3017" i="1"/>
  <c r="BI3017" i="1"/>
  <c r="BH3017" i="1"/>
  <c r="DE3015" i="1"/>
  <c r="CY3015" i="1"/>
  <c r="K3015" i="1"/>
  <c r="CX3015" i="1"/>
  <c r="CV3015" i="1"/>
  <c r="CU3015" i="1"/>
  <c r="I3015" i="1"/>
  <c r="BI3015" i="1"/>
  <c r="BH3015" i="1"/>
  <c r="DE3014" i="1"/>
  <c r="CY3014" i="1"/>
  <c r="K3014" i="1"/>
  <c r="CX3014" i="1"/>
  <c r="CV3014" i="1"/>
  <c r="CU3014" i="1"/>
  <c r="I3014" i="1"/>
  <c r="BI3014" i="1"/>
  <c r="BH3014" i="1"/>
  <c r="DE3012" i="1"/>
  <c r="CY3012" i="1"/>
  <c r="K3012" i="1"/>
  <c r="CX3012" i="1"/>
  <c r="CV3012" i="1"/>
  <c r="CU3012" i="1"/>
  <c r="I3012" i="1"/>
  <c r="BI3012" i="1"/>
  <c r="BH3012" i="1"/>
  <c r="DE3013" i="1"/>
  <c r="CY3013" i="1"/>
  <c r="K3013" i="1"/>
  <c r="CX3013" i="1"/>
  <c r="CV3013" i="1"/>
  <c r="CU3013" i="1"/>
  <c r="I3013" i="1"/>
  <c r="BI3013" i="1"/>
  <c r="BH3013" i="1"/>
  <c r="DE3011" i="1"/>
  <c r="CY3011" i="1"/>
  <c r="K3011" i="1"/>
  <c r="CX3011" i="1"/>
  <c r="CV3011" i="1"/>
  <c r="CU3011" i="1"/>
  <c r="I3011" i="1"/>
  <c r="BI3011" i="1"/>
  <c r="BH3011" i="1"/>
  <c r="DE3010" i="1"/>
  <c r="CY3010" i="1"/>
  <c r="K3010" i="1"/>
  <c r="CX3010" i="1"/>
  <c r="CV3010" i="1"/>
  <c r="CU3010" i="1"/>
  <c r="I3010" i="1"/>
  <c r="BI3010" i="1"/>
  <c r="BH3010" i="1"/>
  <c r="DE3009" i="1"/>
  <c r="CY3009" i="1"/>
  <c r="K3009" i="1"/>
  <c r="CX3009" i="1"/>
  <c r="CV3009" i="1"/>
  <c r="CU3009" i="1"/>
  <c r="I3009" i="1"/>
  <c r="BI3009" i="1"/>
  <c r="BH3009" i="1"/>
  <c r="DE3008" i="1"/>
  <c r="CY3008" i="1"/>
  <c r="K3008" i="1"/>
  <c r="CX3008" i="1"/>
  <c r="CV3008" i="1"/>
  <c r="CU3008" i="1"/>
  <c r="I3008" i="1"/>
  <c r="BI3008" i="1"/>
  <c r="BH3008" i="1"/>
  <c r="DE2331" i="1"/>
  <c r="CY2331" i="1"/>
  <c r="K2331" i="1"/>
  <c r="CX2331" i="1"/>
  <c r="CV2331" i="1"/>
  <c r="CU2331" i="1"/>
  <c r="I2331" i="1"/>
  <c r="BI2331" i="1"/>
  <c r="BH2331" i="1"/>
  <c r="DE3007" i="1"/>
  <c r="CY3007" i="1"/>
  <c r="K3007" i="1"/>
  <c r="CX3007" i="1"/>
  <c r="CV3007" i="1"/>
  <c r="CU3007" i="1"/>
  <c r="I3007" i="1"/>
  <c r="BI3007" i="1"/>
  <c r="BH3007" i="1"/>
  <c r="DE3006" i="1"/>
  <c r="CY3006" i="1"/>
  <c r="K3006" i="1"/>
  <c r="CX3006" i="1"/>
  <c r="CV3006" i="1"/>
  <c r="CU3006" i="1"/>
  <c r="I3006" i="1"/>
  <c r="BI3006" i="1"/>
  <c r="BH3006" i="1"/>
  <c r="DE2668" i="1"/>
  <c r="CY2668" i="1"/>
  <c r="K2668" i="1"/>
  <c r="CX2668" i="1"/>
  <c r="CV2668" i="1"/>
  <c r="CU2668" i="1"/>
  <c r="I2668" i="1"/>
  <c r="BI2668" i="1"/>
  <c r="BH2668" i="1"/>
  <c r="DE468" i="1"/>
  <c r="CY468" i="1"/>
  <c r="K468" i="1"/>
  <c r="CX468" i="1"/>
  <c r="CV468" i="1"/>
  <c r="CU468" i="1"/>
  <c r="I468" i="1"/>
  <c r="BI468" i="1"/>
  <c r="BH468" i="1"/>
  <c r="DE2669" i="1"/>
  <c r="CY2669" i="1"/>
  <c r="K2669" i="1"/>
  <c r="CX2669" i="1"/>
  <c r="CV2669" i="1"/>
  <c r="CU2669" i="1"/>
  <c r="I2669" i="1"/>
  <c r="BI2669" i="1"/>
  <c r="BH2669" i="1"/>
  <c r="DE3005" i="1"/>
  <c r="CY3005" i="1"/>
  <c r="K3005" i="1"/>
  <c r="CX3005" i="1"/>
  <c r="CV3005" i="1"/>
  <c r="CU3005" i="1"/>
  <c r="I3005" i="1"/>
  <c r="BI3005" i="1"/>
  <c r="BH3005" i="1"/>
  <c r="DE3003" i="1"/>
  <c r="CY3003" i="1"/>
  <c r="K3003" i="1"/>
  <c r="CX3003" i="1"/>
  <c r="CV3003" i="1"/>
  <c r="CU3003" i="1"/>
  <c r="I3003" i="1"/>
  <c r="BI3003" i="1"/>
  <c r="BH3003" i="1"/>
  <c r="DE3002" i="1"/>
  <c r="CY3002" i="1"/>
  <c r="K3002" i="1"/>
  <c r="CX3002" i="1"/>
  <c r="CV3002" i="1"/>
  <c r="CU3002" i="1"/>
  <c r="I3002" i="1"/>
  <c r="BI3002" i="1"/>
  <c r="BH3002" i="1"/>
  <c r="DE3001" i="1"/>
  <c r="CY3001" i="1"/>
  <c r="K3001" i="1"/>
  <c r="CX3001" i="1"/>
  <c r="CV3001" i="1"/>
  <c r="CU3001" i="1"/>
  <c r="I3001" i="1"/>
  <c r="BI3001" i="1"/>
  <c r="BH3001" i="1"/>
  <c r="DE3000" i="1"/>
  <c r="CY3000" i="1"/>
  <c r="K3000" i="1"/>
  <c r="CX3000" i="1"/>
  <c r="CV3000" i="1"/>
  <c r="CU3000" i="1"/>
  <c r="I3000" i="1"/>
  <c r="BI3000" i="1"/>
  <c r="BH3000" i="1"/>
  <c r="DE2999" i="1"/>
  <c r="CY2999" i="1"/>
  <c r="K2999" i="1"/>
  <c r="CX2999" i="1"/>
  <c r="CV2999" i="1"/>
  <c r="CU2999" i="1"/>
  <c r="I2999" i="1"/>
  <c r="BI2999" i="1"/>
  <c r="BH2999" i="1"/>
  <c r="DE2998" i="1"/>
  <c r="CY2998" i="1"/>
  <c r="K2998" i="1"/>
  <c r="CX2998" i="1"/>
  <c r="CV2998" i="1"/>
  <c r="CU2998" i="1"/>
  <c r="I2998" i="1"/>
  <c r="BI2998" i="1"/>
  <c r="BH2998" i="1"/>
  <c r="DE2997" i="1"/>
  <c r="CY2997" i="1"/>
  <c r="K2997" i="1"/>
  <c r="CX2997" i="1"/>
  <c r="CV2997" i="1"/>
  <c r="CU2997" i="1"/>
  <c r="I2997" i="1"/>
  <c r="BI2997" i="1"/>
  <c r="BH2997" i="1"/>
  <c r="DE2996" i="1"/>
  <c r="CY2996" i="1"/>
  <c r="K2996" i="1"/>
  <c r="CX2996" i="1"/>
  <c r="CV2996" i="1"/>
  <c r="CU2996" i="1"/>
  <c r="I2996" i="1"/>
  <c r="BI2996" i="1"/>
  <c r="BH2996" i="1"/>
  <c r="DE2995" i="1"/>
  <c r="CY2995" i="1"/>
  <c r="K2995" i="1"/>
  <c r="CX2995" i="1"/>
  <c r="CV2995" i="1"/>
  <c r="CU2995" i="1"/>
  <c r="I2995" i="1"/>
  <c r="BI2995" i="1"/>
  <c r="BH2995" i="1"/>
  <c r="DE2994" i="1"/>
  <c r="CY2994" i="1"/>
  <c r="K2994" i="1"/>
  <c r="CX2994" i="1"/>
  <c r="CV2994" i="1"/>
  <c r="CU2994" i="1"/>
  <c r="I2994" i="1"/>
  <c r="BI2994" i="1"/>
  <c r="BH2994" i="1"/>
  <c r="DE2671" i="1"/>
  <c r="CY2671" i="1"/>
  <c r="K2671" i="1"/>
  <c r="CX2671" i="1"/>
  <c r="CV2671" i="1"/>
  <c r="CU2671" i="1"/>
  <c r="I2671" i="1"/>
  <c r="BI2671" i="1"/>
  <c r="BH2671" i="1"/>
  <c r="DE2992" i="1"/>
  <c r="CY2992" i="1"/>
  <c r="K2992" i="1"/>
  <c r="CX2992" i="1"/>
  <c r="CV2992" i="1"/>
  <c r="CU2992" i="1"/>
  <c r="I2992" i="1"/>
  <c r="BI2992" i="1"/>
  <c r="BH2992" i="1"/>
  <c r="DE2993" i="1"/>
  <c r="CY2993" i="1"/>
  <c r="K2993" i="1"/>
  <c r="CX2993" i="1"/>
  <c r="CV2993" i="1"/>
  <c r="CU2993" i="1"/>
  <c r="I2993" i="1"/>
  <c r="BI2993" i="1"/>
  <c r="BH2993" i="1"/>
  <c r="DE3426" i="1"/>
  <c r="CY3426" i="1"/>
  <c r="K3426" i="1"/>
  <c r="CX3426" i="1"/>
  <c r="CV3426" i="1"/>
  <c r="CU3426" i="1"/>
  <c r="I3426" i="1"/>
  <c r="CT3426" i="1"/>
  <c r="BI3426" i="1"/>
  <c r="BH3426" i="1"/>
  <c r="DE2991" i="1"/>
  <c r="CY2991" i="1"/>
  <c r="K2991" i="1"/>
  <c r="CX2991" i="1"/>
  <c r="CV2991" i="1"/>
  <c r="CU2991" i="1"/>
  <c r="I2991" i="1"/>
  <c r="BI2991" i="1"/>
  <c r="BH2991" i="1"/>
  <c r="DE2990" i="1"/>
  <c r="CY2990" i="1"/>
  <c r="K2990" i="1"/>
  <c r="CX2990" i="1"/>
  <c r="CV2990" i="1"/>
  <c r="CU2990" i="1"/>
  <c r="I2990" i="1"/>
  <c r="BI2990" i="1"/>
  <c r="BH2990" i="1"/>
  <c r="DE2988" i="1"/>
  <c r="CY2988" i="1"/>
  <c r="K2988" i="1"/>
  <c r="CX2988" i="1"/>
  <c r="CV2988" i="1"/>
  <c r="CU2988" i="1"/>
  <c r="I2988" i="1"/>
  <c r="BI2988" i="1"/>
  <c r="BH2988" i="1"/>
  <c r="DE2989" i="1"/>
  <c r="CY2989" i="1"/>
  <c r="K2989" i="1"/>
  <c r="CX2989" i="1"/>
  <c r="CV2989" i="1"/>
  <c r="CU2989" i="1"/>
  <c r="I2989" i="1"/>
  <c r="BI2989" i="1"/>
  <c r="BH2989" i="1"/>
  <c r="DE2987" i="1"/>
  <c r="CY2987" i="1"/>
  <c r="K2987" i="1"/>
  <c r="CX2987" i="1"/>
  <c r="CV2987" i="1"/>
  <c r="CU2987" i="1"/>
  <c r="I2987" i="1"/>
  <c r="BI2987" i="1"/>
  <c r="BH2987" i="1"/>
  <c r="DE2986" i="1"/>
  <c r="CY2986" i="1"/>
  <c r="K2986" i="1"/>
  <c r="CX2986" i="1"/>
  <c r="CV2986" i="1"/>
  <c r="CU2986" i="1"/>
  <c r="I2986" i="1"/>
  <c r="BI2986" i="1"/>
  <c r="BH2986" i="1"/>
  <c r="DE2984" i="1"/>
  <c r="CY2984" i="1"/>
  <c r="K2984" i="1"/>
  <c r="CX2984" i="1"/>
  <c r="CV2984" i="1"/>
  <c r="CU2984" i="1"/>
  <c r="I2984" i="1"/>
  <c r="BI2984" i="1"/>
  <c r="BH2984" i="1"/>
  <c r="DE2985" i="1"/>
  <c r="CY2985" i="1"/>
  <c r="K2985" i="1"/>
  <c r="CX2985" i="1"/>
  <c r="CV2985" i="1"/>
  <c r="CU2985" i="1"/>
  <c r="I2985" i="1"/>
  <c r="BI2985" i="1"/>
  <c r="BH2985" i="1"/>
  <c r="DE2983" i="1"/>
  <c r="CY2983" i="1"/>
  <c r="K2983" i="1"/>
  <c r="CX2983" i="1"/>
  <c r="CV2983" i="1"/>
  <c r="CU2983" i="1"/>
  <c r="I2983" i="1"/>
  <c r="BI2983" i="1"/>
  <c r="BH2983" i="1"/>
  <c r="DE2982" i="1"/>
  <c r="CY2982" i="1"/>
  <c r="K2982" i="1"/>
  <c r="CX2982" i="1"/>
  <c r="CV2982" i="1"/>
  <c r="CU2982" i="1"/>
  <c r="I2982" i="1"/>
  <c r="BI2982" i="1"/>
  <c r="BH2982" i="1"/>
  <c r="DE2981" i="1"/>
  <c r="CY2981" i="1"/>
  <c r="K2981" i="1"/>
  <c r="CX2981" i="1"/>
  <c r="CV2981" i="1"/>
  <c r="CU2981" i="1"/>
  <c r="I2981" i="1"/>
  <c r="BI2981" i="1"/>
  <c r="BH2981" i="1"/>
  <c r="DE2980" i="1"/>
  <c r="CY2980" i="1"/>
  <c r="K2980" i="1"/>
  <c r="CX2980" i="1"/>
  <c r="CV2980" i="1"/>
  <c r="CU2980" i="1"/>
  <c r="I2980" i="1"/>
  <c r="BI2980" i="1"/>
  <c r="BH2980" i="1"/>
  <c r="DE2338" i="1"/>
  <c r="CY2338" i="1"/>
  <c r="K2338" i="1"/>
  <c r="CX2338" i="1"/>
  <c r="CV2338" i="1"/>
  <c r="CU2338" i="1"/>
  <c r="I2338" i="1"/>
  <c r="BI2338" i="1"/>
  <c r="BH2338" i="1"/>
  <c r="DE2979" i="1"/>
  <c r="CY2979" i="1"/>
  <c r="K2979" i="1"/>
  <c r="CX2979" i="1"/>
  <c r="CV2979" i="1"/>
  <c r="CU2979" i="1"/>
  <c r="I2979" i="1"/>
  <c r="BI2979" i="1"/>
  <c r="BH2979" i="1"/>
  <c r="DE469" i="1"/>
  <c r="CY469" i="1"/>
  <c r="K469" i="1"/>
  <c r="CX469" i="1"/>
  <c r="CV469" i="1"/>
  <c r="CU469" i="1"/>
  <c r="I469" i="1"/>
  <c r="BI469" i="1"/>
  <c r="BH469" i="1"/>
  <c r="DE2977" i="1"/>
  <c r="CY2977" i="1"/>
  <c r="K2977" i="1"/>
  <c r="CX2977" i="1"/>
  <c r="CV2977" i="1"/>
  <c r="CU2977" i="1"/>
  <c r="I2977" i="1"/>
  <c r="BI2977" i="1"/>
  <c r="BH2977" i="1"/>
  <c r="DE3333" i="1"/>
  <c r="CY3333" i="1"/>
  <c r="K3333" i="1"/>
  <c r="CX3333" i="1"/>
  <c r="CV3333" i="1"/>
  <c r="CU3333" i="1"/>
  <c r="I3333" i="1"/>
  <c r="CT3333" i="1"/>
  <c r="BI3333" i="1"/>
  <c r="BH3333" i="1"/>
  <c r="DE2975" i="1"/>
  <c r="CY2975" i="1"/>
  <c r="K2975" i="1"/>
  <c r="CX2975" i="1"/>
  <c r="CV2975" i="1"/>
  <c r="CU2975" i="1"/>
  <c r="I2975" i="1"/>
  <c r="BI2975" i="1"/>
  <c r="BH2975" i="1"/>
  <c r="DE471" i="1"/>
  <c r="CY471" i="1"/>
  <c r="K471" i="1"/>
  <c r="CX471" i="1"/>
  <c r="CV471" i="1"/>
  <c r="CU471" i="1"/>
  <c r="I471" i="1"/>
  <c r="BI471" i="1"/>
  <c r="BH471" i="1"/>
  <c r="DE2641" i="1"/>
  <c r="CY2641" i="1"/>
  <c r="K2641" i="1"/>
  <c r="CX2641" i="1"/>
  <c r="CV2641" i="1"/>
  <c r="CU2641" i="1"/>
  <c r="I2641" i="1"/>
  <c r="BI2641" i="1"/>
  <c r="BH2641" i="1"/>
  <c r="DE2973" i="1"/>
  <c r="CY2973" i="1"/>
  <c r="K2973" i="1"/>
  <c r="CX2973" i="1"/>
  <c r="CV2973" i="1"/>
  <c r="CU2973" i="1"/>
  <c r="I2973" i="1"/>
  <c r="BI2973" i="1"/>
  <c r="BH2973" i="1"/>
  <c r="DE2972" i="1"/>
  <c r="CY2972" i="1"/>
  <c r="K2972" i="1"/>
  <c r="CX2972" i="1"/>
  <c r="CV2972" i="1"/>
  <c r="CU2972" i="1"/>
  <c r="I2972" i="1"/>
  <c r="BI2972" i="1"/>
  <c r="BH2972" i="1"/>
  <c r="DE3728" i="1"/>
  <c r="CY3728" i="1"/>
  <c r="K3728" i="1"/>
  <c r="CX3728" i="1"/>
  <c r="CV3728" i="1"/>
  <c r="CU3728" i="1"/>
  <c r="I3728" i="1"/>
  <c r="CT3728" i="1"/>
  <c r="BI3728" i="1"/>
  <c r="BH3728" i="1"/>
  <c r="DE2339" i="1"/>
  <c r="CY2339" i="1"/>
  <c r="K2339" i="1"/>
  <c r="CX2339" i="1"/>
  <c r="CV2339" i="1"/>
  <c r="CU2339" i="1"/>
  <c r="I2339" i="1"/>
  <c r="BI2339" i="1"/>
  <c r="BH2339" i="1"/>
  <c r="DE2970" i="1"/>
  <c r="CY2970" i="1"/>
  <c r="K2970" i="1"/>
  <c r="CX2970" i="1"/>
  <c r="CV2970" i="1"/>
  <c r="CU2970" i="1"/>
  <c r="I2970" i="1"/>
  <c r="BI2970" i="1"/>
  <c r="BH2970" i="1"/>
  <c r="DE2969" i="1"/>
  <c r="CY2969" i="1"/>
  <c r="K2969" i="1"/>
  <c r="CX2969" i="1"/>
  <c r="CV2969" i="1"/>
  <c r="CU2969" i="1"/>
  <c r="I2969" i="1"/>
  <c r="BI2969" i="1"/>
  <c r="BH2969" i="1"/>
  <c r="DE2968" i="1"/>
  <c r="CY2968" i="1"/>
  <c r="K2968" i="1"/>
  <c r="CX2968" i="1"/>
  <c r="CV2968" i="1"/>
  <c r="CU2968" i="1"/>
  <c r="I2968" i="1"/>
  <c r="BI2968" i="1"/>
  <c r="BH2968" i="1"/>
  <c r="DE2967" i="1"/>
  <c r="CY2967" i="1"/>
  <c r="K2967" i="1"/>
  <c r="CX2967" i="1"/>
  <c r="CV2967" i="1"/>
  <c r="CU2967" i="1"/>
  <c r="I2967" i="1"/>
  <c r="BI2967" i="1"/>
  <c r="BH2967" i="1"/>
  <c r="DE2966" i="1"/>
  <c r="CY2966" i="1"/>
  <c r="K2966" i="1"/>
  <c r="CX2966" i="1"/>
  <c r="CV2966" i="1"/>
  <c r="CU2966" i="1"/>
  <c r="I2966" i="1"/>
  <c r="BI2966" i="1"/>
  <c r="BH2966" i="1"/>
  <c r="DE2964" i="1"/>
  <c r="CY2964" i="1"/>
  <c r="K2964" i="1"/>
  <c r="CX2964" i="1"/>
  <c r="CV2964" i="1"/>
  <c r="CU2964" i="1"/>
  <c r="I2964" i="1"/>
  <c r="BI2964" i="1"/>
  <c r="BH2964" i="1"/>
  <c r="DE2675" i="1"/>
  <c r="CY2675" i="1"/>
  <c r="K2675" i="1"/>
  <c r="CX2675" i="1"/>
  <c r="CV2675" i="1"/>
  <c r="CU2675" i="1"/>
  <c r="I2675" i="1"/>
  <c r="BI2675" i="1"/>
  <c r="BH2675" i="1"/>
  <c r="DE2963" i="1"/>
  <c r="CY2963" i="1"/>
  <c r="K2963" i="1"/>
  <c r="CX2963" i="1"/>
  <c r="CV2963" i="1"/>
  <c r="CU2963" i="1"/>
  <c r="I2963" i="1"/>
  <c r="BI2963" i="1"/>
  <c r="BH2963" i="1"/>
  <c r="DE2962" i="1"/>
  <c r="CY2962" i="1"/>
  <c r="K2962" i="1"/>
  <c r="CX2962" i="1"/>
  <c r="CV2962" i="1"/>
  <c r="CU2962" i="1"/>
  <c r="I2962" i="1"/>
  <c r="BI2962" i="1"/>
  <c r="BH2962" i="1"/>
  <c r="DE2328" i="1"/>
  <c r="CY2328" i="1"/>
  <c r="K2328" i="1"/>
  <c r="CX2328" i="1"/>
  <c r="CV2328" i="1"/>
  <c r="CU2328" i="1"/>
  <c r="I2328" i="1"/>
  <c r="BI2328" i="1"/>
  <c r="BH2328" i="1"/>
  <c r="DE2961" i="1"/>
  <c r="CY2961" i="1"/>
  <c r="K2961" i="1"/>
  <c r="CX2961" i="1"/>
  <c r="CV2961" i="1"/>
  <c r="CU2961" i="1"/>
  <c r="I2961" i="1"/>
  <c r="BI2961" i="1"/>
  <c r="BH2961" i="1"/>
  <c r="DE2960" i="1"/>
  <c r="CY2960" i="1"/>
  <c r="K2960" i="1"/>
  <c r="CX2960" i="1"/>
  <c r="CV2960" i="1"/>
  <c r="CU2960" i="1"/>
  <c r="I2960" i="1"/>
  <c r="BI2960" i="1"/>
  <c r="BH2960" i="1"/>
  <c r="DE2674" i="1"/>
  <c r="CY2674" i="1"/>
  <c r="K2674" i="1"/>
  <c r="CX2674" i="1"/>
  <c r="CV2674" i="1"/>
  <c r="CU2674" i="1"/>
  <c r="I2674" i="1"/>
  <c r="BI2674" i="1"/>
  <c r="BH2674" i="1"/>
  <c r="DE2959" i="1"/>
  <c r="CY2959" i="1"/>
  <c r="K2959" i="1"/>
  <c r="CX2959" i="1"/>
  <c r="CV2959" i="1"/>
  <c r="CU2959" i="1"/>
  <c r="I2959" i="1"/>
  <c r="BI2959" i="1"/>
  <c r="BH2959" i="1"/>
  <c r="DE2363" i="1"/>
  <c r="CY2363" i="1"/>
  <c r="K2363" i="1"/>
  <c r="CX2363" i="1"/>
  <c r="CV2363" i="1"/>
  <c r="CU2363" i="1"/>
  <c r="I2363" i="1"/>
  <c r="BI2363" i="1"/>
  <c r="BH2363" i="1"/>
  <c r="DE2958" i="1"/>
  <c r="CY2958" i="1"/>
  <c r="K2958" i="1"/>
  <c r="CX2958" i="1"/>
  <c r="CV2958" i="1"/>
  <c r="CU2958" i="1"/>
  <c r="I2958" i="1"/>
  <c r="BI2958" i="1"/>
  <c r="BH2958" i="1"/>
  <c r="DE2957" i="1"/>
  <c r="CY2957" i="1"/>
  <c r="K2957" i="1"/>
  <c r="CX2957" i="1"/>
  <c r="CV2957" i="1"/>
  <c r="CU2957" i="1"/>
  <c r="I2957" i="1"/>
  <c r="BI2957" i="1"/>
  <c r="BH2957" i="1"/>
  <c r="DE2956" i="1"/>
  <c r="CY2956" i="1"/>
  <c r="K2956" i="1"/>
  <c r="CX2956" i="1"/>
  <c r="CV2956" i="1"/>
  <c r="CU2956" i="1"/>
  <c r="I2956" i="1"/>
  <c r="BI2956" i="1"/>
  <c r="BH2956" i="1"/>
  <c r="DE2955" i="1"/>
  <c r="CY2955" i="1"/>
  <c r="K2955" i="1"/>
  <c r="CX2955" i="1"/>
  <c r="CV2955" i="1"/>
  <c r="CU2955" i="1"/>
  <c r="I2955" i="1"/>
  <c r="BI2955" i="1"/>
  <c r="BH2955" i="1"/>
  <c r="DE2954" i="1"/>
  <c r="CY2954" i="1"/>
  <c r="K2954" i="1"/>
  <c r="CX2954" i="1"/>
  <c r="CV2954" i="1"/>
  <c r="CU2954" i="1"/>
  <c r="I2954" i="1"/>
  <c r="BI2954" i="1"/>
  <c r="BH2954" i="1"/>
  <c r="DE2952" i="1"/>
  <c r="CY2952" i="1"/>
  <c r="K2952" i="1"/>
  <c r="CX2952" i="1"/>
  <c r="CV2952" i="1"/>
  <c r="CU2952" i="1"/>
  <c r="I2952" i="1"/>
  <c r="BI2952" i="1"/>
  <c r="BH2952" i="1"/>
  <c r="DE2626" i="1"/>
  <c r="CY2626" i="1"/>
  <c r="K2626" i="1"/>
  <c r="CX2626" i="1"/>
  <c r="CV2626" i="1"/>
  <c r="CU2626" i="1"/>
  <c r="I2626" i="1"/>
  <c r="BI2626" i="1"/>
  <c r="BH2626" i="1"/>
  <c r="DE2953" i="1"/>
  <c r="CY2953" i="1"/>
  <c r="K2953" i="1"/>
  <c r="CX2953" i="1"/>
  <c r="CV2953" i="1"/>
  <c r="CU2953" i="1"/>
  <c r="I2953" i="1"/>
  <c r="BI2953" i="1"/>
  <c r="BH2953" i="1"/>
  <c r="DE2364" i="1"/>
  <c r="CY2364" i="1"/>
  <c r="K2364" i="1"/>
  <c r="CX2364" i="1"/>
  <c r="CV2364" i="1"/>
  <c r="CU2364" i="1"/>
  <c r="I2364" i="1"/>
  <c r="BI2364" i="1"/>
  <c r="BH2364" i="1"/>
  <c r="DE2951" i="1"/>
  <c r="CY2951" i="1"/>
  <c r="K2951" i="1"/>
  <c r="CX2951" i="1"/>
  <c r="CV2951" i="1"/>
  <c r="CU2951" i="1"/>
  <c r="I2951" i="1"/>
  <c r="BI2951" i="1"/>
  <c r="BH2951" i="1"/>
  <c r="DE2950" i="1"/>
  <c r="CY2950" i="1"/>
  <c r="K2950" i="1"/>
  <c r="CX2950" i="1"/>
  <c r="CV2950" i="1"/>
  <c r="CU2950" i="1"/>
  <c r="I2950" i="1"/>
  <c r="BI2950" i="1"/>
  <c r="BH2950" i="1"/>
  <c r="DE2949" i="1"/>
  <c r="CY2949" i="1"/>
  <c r="K2949" i="1"/>
  <c r="CX2949" i="1"/>
  <c r="CV2949" i="1"/>
  <c r="CU2949" i="1"/>
  <c r="I2949" i="1"/>
  <c r="BI2949" i="1"/>
  <c r="BH2949" i="1"/>
  <c r="DE2948" i="1"/>
  <c r="CY2948" i="1"/>
  <c r="K2948" i="1"/>
  <c r="CX2948" i="1"/>
  <c r="CV2948" i="1"/>
  <c r="CU2948" i="1"/>
  <c r="I2948" i="1"/>
  <c r="BI2948" i="1"/>
  <c r="BH2948" i="1"/>
  <c r="DE2947" i="1"/>
  <c r="CY2947" i="1"/>
  <c r="K2947" i="1"/>
  <c r="CX2947" i="1"/>
  <c r="CV2947" i="1"/>
  <c r="CU2947" i="1"/>
  <c r="I2947" i="1"/>
  <c r="BI2947" i="1"/>
  <c r="BH2947" i="1"/>
  <c r="DE2946" i="1"/>
  <c r="CY2946" i="1"/>
  <c r="K2946" i="1"/>
  <c r="CX2946" i="1"/>
  <c r="CV2946" i="1"/>
  <c r="CU2946" i="1"/>
  <c r="I2946" i="1"/>
  <c r="BI2946" i="1"/>
  <c r="BH2946" i="1"/>
  <c r="DE2944" i="1"/>
  <c r="CY2944" i="1"/>
  <c r="K2944" i="1"/>
  <c r="CX2944" i="1"/>
  <c r="CV2944" i="1"/>
  <c r="CU2944" i="1"/>
  <c r="I2944" i="1"/>
  <c r="BI2944" i="1"/>
  <c r="BH2944" i="1"/>
  <c r="DE2943" i="1"/>
  <c r="CY2943" i="1"/>
  <c r="K2943" i="1"/>
  <c r="CX2943" i="1"/>
  <c r="CV2943" i="1"/>
  <c r="CU2943" i="1"/>
  <c r="I2943" i="1"/>
  <c r="BI2943" i="1"/>
  <c r="BH2943" i="1"/>
  <c r="DE2942" i="1"/>
  <c r="CY2942" i="1"/>
  <c r="K2942" i="1"/>
  <c r="CX2942" i="1"/>
  <c r="CV2942" i="1"/>
  <c r="CU2942" i="1"/>
  <c r="I2942" i="1"/>
  <c r="BI2942" i="1"/>
  <c r="BH2942" i="1"/>
  <c r="DE2941" i="1"/>
  <c r="CY2941" i="1"/>
  <c r="K2941" i="1"/>
  <c r="CX2941" i="1"/>
  <c r="CV2941" i="1"/>
  <c r="CU2941" i="1"/>
  <c r="I2941" i="1"/>
  <c r="BI2941" i="1"/>
  <c r="BH2941" i="1"/>
  <c r="DE2365" i="1"/>
  <c r="CY2365" i="1"/>
  <c r="K2365" i="1"/>
  <c r="CX2365" i="1"/>
  <c r="CV2365" i="1"/>
  <c r="CU2365" i="1"/>
  <c r="I2365" i="1"/>
  <c r="BI2365" i="1"/>
  <c r="BH2365" i="1"/>
  <c r="DE2940" i="1"/>
  <c r="CY2940" i="1"/>
  <c r="K2940" i="1"/>
  <c r="CX2940" i="1"/>
  <c r="CV2940" i="1"/>
  <c r="CU2940" i="1"/>
  <c r="I2940" i="1"/>
  <c r="BI2940" i="1"/>
  <c r="BH2940" i="1"/>
  <c r="DE3127" i="1"/>
  <c r="CY3127" i="1"/>
  <c r="K3127" i="1"/>
  <c r="CX3127" i="1"/>
  <c r="CV3127" i="1"/>
  <c r="CU3127" i="1"/>
  <c r="I3127" i="1"/>
  <c r="BI3127" i="1"/>
  <c r="BH3127" i="1"/>
  <c r="DE2939" i="1"/>
  <c r="CY2939" i="1"/>
  <c r="K2939" i="1"/>
  <c r="CX2939" i="1"/>
  <c r="CV2939" i="1"/>
  <c r="CU2939" i="1"/>
  <c r="I2939" i="1"/>
  <c r="BI2939" i="1"/>
  <c r="BH2939" i="1"/>
  <c r="DE2938" i="1"/>
  <c r="CY2938" i="1"/>
  <c r="K2938" i="1"/>
  <c r="CX2938" i="1"/>
  <c r="CV2938" i="1"/>
  <c r="CU2938" i="1"/>
  <c r="I2938" i="1"/>
  <c r="BI2938" i="1"/>
  <c r="BH2938" i="1"/>
  <c r="DE2676" i="1"/>
  <c r="CY2676" i="1"/>
  <c r="K2676" i="1"/>
  <c r="CX2676" i="1"/>
  <c r="CV2676" i="1"/>
  <c r="CU2676" i="1"/>
  <c r="I2676" i="1"/>
  <c r="BI2676" i="1"/>
  <c r="BH2676" i="1"/>
  <c r="DE2936" i="1"/>
  <c r="CY2936" i="1"/>
  <c r="K2936" i="1"/>
  <c r="CX2936" i="1"/>
  <c r="CV2936" i="1"/>
  <c r="CU2936" i="1"/>
  <c r="I2936" i="1"/>
  <c r="BI2936" i="1"/>
  <c r="BH2936" i="1"/>
  <c r="DE2937" i="1"/>
  <c r="CY2937" i="1"/>
  <c r="K2937" i="1"/>
  <c r="CX2937" i="1"/>
  <c r="CV2937" i="1"/>
  <c r="CU2937" i="1"/>
  <c r="I2937" i="1"/>
  <c r="BI2937" i="1"/>
  <c r="BH2937" i="1"/>
  <c r="DE2935" i="1"/>
  <c r="CY2935" i="1"/>
  <c r="K2935" i="1"/>
  <c r="CX2935" i="1"/>
  <c r="CV2935" i="1"/>
  <c r="CU2935" i="1"/>
  <c r="I2935" i="1"/>
  <c r="BI2935" i="1"/>
  <c r="BH2935" i="1"/>
  <c r="DE2934" i="1"/>
  <c r="CY2934" i="1"/>
  <c r="K2934" i="1"/>
  <c r="CX2934" i="1"/>
  <c r="CV2934" i="1"/>
  <c r="CU2934" i="1"/>
  <c r="I2934" i="1"/>
  <c r="BI2934" i="1"/>
  <c r="BH2934" i="1"/>
  <c r="DE2621" i="1"/>
  <c r="CY2621" i="1"/>
  <c r="K2621" i="1"/>
  <c r="CX2621" i="1"/>
  <c r="CV2621" i="1"/>
  <c r="CU2621" i="1"/>
  <c r="I2621" i="1"/>
  <c r="BI2621" i="1"/>
  <c r="BH2621" i="1"/>
  <c r="DE2932" i="1"/>
  <c r="CY2932" i="1"/>
  <c r="K2932" i="1"/>
  <c r="CX2932" i="1"/>
  <c r="CV2932" i="1"/>
  <c r="CU2932" i="1"/>
  <c r="I2932" i="1"/>
  <c r="BI2932" i="1"/>
  <c r="BH2932" i="1"/>
  <c r="DE2677" i="1"/>
  <c r="CY2677" i="1"/>
  <c r="K2677" i="1"/>
  <c r="CX2677" i="1"/>
  <c r="CV2677" i="1"/>
  <c r="CU2677" i="1"/>
  <c r="I2677" i="1"/>
  <c r="BI2677" i="1"/>
  <c r="BH2677" i="1"/>
  <c r="DE472" i="1"/>
  <c r="CY472" i="1"/>
  <c r="K472" i="1"/>
  <c r="CX472" i="1"/>
  <c r="CV472" i="1"/>
  <c r="CU472" i="1"/>
  <c r="I472" i="1"/>
  <c r="BI472" i="1"/>
  <c r="BH472" i="1"/>
  <c r="DE3359" i="1"/>
  <c r="CY3359" i="1"/>
  <c r="K3359" i="1"/>
  <c r="CX3359" i="1"/>
  <c r="CV3359" i="1"/>
  <c r="CU3359" i="1"/>
  <c r="I3359" i="1"/>
  <c r="CT3359" i="1"/>
  <c r="BI3359" i="1"/>
  <c r="BH3359" i="1"/>
  <c r="DE473" i="1"/>
  <c r="CY473" i="1"/>
  <c r="K473" i="1"/>
  <c r="CX473" i="1"/>
  <c r="CV473" i="1"/>
  <c r="CU473" i="1"/>
  <c r="I473" i="1"/>
  <c r="BI473" i="1"/>
  <c r="BH473" i="1"/>
  <c r="DE3550" i="1"/>
  <c r="CY3550" i="1"/>
  <c r="K3550" i="1"/>
  <c r="CX3550" i="1"/>
  <c r="CV3550" i="1"/>
  <c r="CU3550" i="1"/>
  <c r="I3550" i="1"/>
  <c r="CT3550" i="1"/>
  <c r="BI3550" i="1"/>
  <c r="BH3550" i="1"/>
  <c r="DE475" i="1"/>
  <c r="CY475" i="1"/>
  <c r="K475" i="1"/>
  <c r="CX475" i="1"/>
  <c r="CV475" i="1"/>
  <c r="CU475" i="1"/>
  <c r="I475" i="1"/>
  <c r="BI475" i="1"/>
  <c r="BH475" i="1"/>
  <c r="DE3725" i="1"/>
  <c r="CY3725" i="1"/>
  <c r="K3725" i="1"/>
  <c r="CX3725" i="1"/>
  <c r="CV3725" i="1"/>
  <c r="CU3725" i="1"/>
  <c r="I3725" i="1"/>
  <c r="CT3725" i="1"/>
  <c r="BI3725" i="1"/>
  <c r="BH3725" i="1"/>
  <c r="DE476" i="1"/>
  <c r="CY476" i="1"/>
  <c r="K476" i="1"/>
  <c r="CX476" i="1"/>
  <c r="CV476" i="1"/>
  <c r="CU476" i="1"/>
  <c r="I476" i="1"/>
  <c r="BI476" i="1"/>
  <c r="BH476" i="1"/>
  <c r="DE3593" i="1"/>
  <c r="CY3593" i="1"/>
  <c r="K3593" i="1"/>
  <c r="CX3593" i="1"/>
  <c r="CV3593" i="1"/>
  <c r="CU3593" i="1"/>
  <c r="I3593" i="1"/>
  <c r="CT3593" i="1"/>
  <c r="BI3593" i="1"/>
  <c r="BH3593" i="1"/>
  <c r="DE477" i="1"/>
  <c r="CY477" i="1"/>
  <c r="K477" i="1"/>
  <c r="CX477" i="1"/>
  <c r="CV477" i="1"/>
  <c r="CU477" i="1"/>
  <c r="I477" i="1"/>
  <c r="BI477" i="1"/>
  <c r="BH477" i="1"/>
  <c r="DE478" i="1"/>
  <c r="CY478" i="1"/>
  <c r="K478" i="1"/>
  <c r="CX478" i="1"/>
  <c r="CV478" i="1"/>
  <c r="CU478" i="1"/>
  <c r="I478" i="1"/>
  <c r="BI478" i="1"/>
  <c r="BH478" i="1"/>
  <c r="DE3283" i="1"/>
  <c r="CY3283" i="1"/>
  <c r="K3283" i="1"/>
  <c r="CX3283" i="1"/>
  <c r="CV3283" i="1"/>
  <c r="CU3283" i="1"/>
  <c r="I3283" i="1"/>
  <c r="CT3283" i="1"/>
  <c r="BI3283" i="1"/>
  <c r="BH3283" i="1"/>
  <c r="DE479" i="1"/>
  <c r="CY479" i="1"/>
  <c r="K479" i="1"/>
  <c r="CX479" i="1"/>
  <c r="CV479" i="1"/>
  <c r="CU479" i="1"/>
  <c r="I479" i="1"/>
  <c r="BI479" i="1"/>
  <c r="BH479" i="1"/>
  <c r="DE3340" i="1"/>
  <c r="CY3340" i="1"/>
  <c r="K3340" i="1"/>
  <c r="CX3340" i="1"/>
  <c r="CV3340" i="1"/>
  <c r="CU3340" i="1"/>
  <c r="I3340" i="1"/>
  <c r="CT3340" i="1"/>
  <c r="BI3340" i="1"/>
  <c r="BH3340" i="1"/>
  <c r="DE480" i="1"/>
  <c r="CY480" i="1"/>
  <c r="K480" i="1"/>
  <c r="CX480" i="1"/>
  <c r="CV480" i="1"/>
  <c r="CU480" i="1"/>
  <c r="I480" i="1"/>
  <c r="BI480" i="1"/>
  <c r="BH480" i="1"/>
  <c r="DE3368" i="1"/>
  <c r="CY3368" i="1"/>
  <c r="K3368" i="1"/>
  <c r="CX3368" i="1"/>
  <c r="CV3368" i="1"/>
  <c r="CU3368" i="1"/>
  <c r="I3368" i="1"/>
  <c r="CT3368" i="1"/>
  <c r="BI3368" i="1"/>
  <c r="BH3368" i="1"/>
  <c r="DE481" i="1"/>
  <c r="CY481" i="1"/>
  <c r="K481" i="1"/>
  <c r="CX481" i="1"/>
  <c r="CV481" i="1"/>
  <c r="CU481" i="1"/>
  <c r="I481" i="1"/>
  <c r="BI481" i="1"/>
  <c r="BH481" i="1"/>
  <c r="DE3535" i="1"/>
  <c r="CY3535" i="1"/>
  <c r="K3535" i="1"/>
  <c r="CX3535" i="1"/>
  <c r="CV3535" i="1"/>
  <c r="CU3535" i="1"/>
  <c r="I3535" i="1"/>
  <c r="CT3535" i="1"/>
  <c r="BI3535" i="1"/>
  <c r="BH3535" i="1"/>
  <c r="DE483" i="1"/>
  <c r="CY483" i="1"/>
  <c r="K483" i="1"/>
  <c r="CX483" i="1"/>
  <c r="CV483" i="1"/>
  <c r="CU483" i="1"/>
  <c r="I483" i="1"/>
  <c r="BI483" i="1"/>
  <c r="BH483" i="1"/>
  <c r="DE3308" i="1"/>
  <c r="CY3308" i="1"/>
  <c r="K3308" i="1"/>
  <c r="CX3308" i="1"/>
  <c r="CV3308" i="1"/>
  <c r="CU3308" i="1"/>
  <c r="I3308" i="1"/>
  <c r="CT3308" i="1"/>
  <c r="BI3308" i="1"/>
  <c r="BH3308" i="1"/>
  <c r="DE498" i="1"/>
  <c r="CY498" i="1"/>
  <c r="K498" i="1"/>
  <c r="CX498" i="1"/>
  <c r="CV498" i="1"/>
  <c r="CU498" i="1"/>
  <c r="I498" i="1"/>
  <c r="BI498" i="1"/>
  <c r="BH498" i="1"/>
  <c r="DE3361" i="1"/>
  <c r="CY3361" i="1"/>
  <c r="K3361" i="1"/>
  <c r="CX3361" i="1"/>
  <c r="CV3361" i="1"/>
  <c r="CU3361" i="1"/>
  <c r="I3361" i="1"/>
  <c r="CT3361" i="1"/>
  <c r="BI3361" i="1"/>
  <c r="BH3361" i="1"/>
  <c r="DE499" i="1"/>
  <c r="CY499" i="1"/>
  <c r="K499" i="1"/>
  <c r="CX499" i="1"/>
  <c r="CV499" i="1"/>
  <c r="CU499" i="1"/>
  <c r="I499" i="1"/>
  <c r="BI499" i="1"/>
  <c r="BH499" i="1"/>
  <c r="DE3348" i="1"/>
  <c r="CY3348" i="1"/>
  <c r="K3348" i="1"/>
  <c r="CX3348" i="1"/>
  <c r="CV3348" i="1"/>
  <c r="CU3348" i="1"/>
  <c r="I3348" i="1"/>
  <c r="CT3348" i="1"/>
  <c r="BI3348" i="1"/>
  <c r="BH3348" i="1"/>
  <c r="DE505" i="1"/>
  <c r="CY505" i="1"/>
  <c r="K505" i="1"/>
  <c r="CX505" i="1"/>
  <c r="CV505" i="1"/>
  <c r="CU505" i="1"/>
  <c r="I505" i="1"/>
  <c r="BI505" i="1"/>
  <c r="BH505" i="1"/>
  <c r="DE3316" i="1"/>
  <c r="CY3316" i="1"/>
  <c r="K3316" i="1"/>
  <c r="CX3316" i="1"/>
  <c r="CV3316" i="1"/>
  <c r="CU3316" i="1"/>
  <c r="I3316" i="1"/>
  <c r="CT3316" i="1"/>
  <c r="BI3316" i="1"/>
  <c r="BH3316" i="1"/>
  <c r="DE506" i="1"/>
  <c r="CY506" i="1"/>
  <c r="K506" i="1"/>
  <c r="CX506" i="1"/>
  <c r="CV506" i="1"/>
  <c r="CU506" i="1"/>
  <c r="I506" i="1"/>
  <c r="BI506" i="1"/>
  <c r="BH506" i="1"/>
  <c r="DE3446" i="1"/>
  <c r="CY3446" i="1"/>
  <c r="K3446" i="1"/>
  <c r="CX3446" i="1"/>
  <c r="CV3446" i="1"/>
  <c r="CU3446" i="1"/>
  <c r="I3446" i="1"/>
  <c r="CT3446" i="1"/>
  <c r="BI3446" i="1"/>
  <c r="BH3446" i="1"/>
  <c r="DE507" i="1"/>
  <c r="CY507" i="1"/>
  <c r="K507" i="1"/>
  <c r="CX507" i="1"/>
  <c r="CV507" i="1"/>
  <c r="CU507" i="1"/>
  <c r="I507" i="1"/>
  <c r="BI507" i="1"/>
  <c r="BH507" i="1"/>
  <c r="DE3548" i="1"/>
  <c r="CY3548" i="1"/>
  <c r="K3548" i="1"/>
  <c r="CX3548" i="1"/>
  <c r="CV3548" i="1"/>
  <c r="CU3548" i="1"/>
  <c r="I3548" i="1"/>
  <c r="CT3548" i="1"/>
  <c r="BI3548" i="1"/>
  <c r="BH3548" i="1"/>
  <c r="DE509" i="1"/>
  <c r="CY509" i="1"/>
  <c r="K509" i="1"/>
  <c r="CX509" i="1"/>
  <c r="CV509" i="1"/>
  <c r="CU509" i="1"/>
  <c r="I509" i="1"/>
  <c r="BI509" i="1"/>
  <c r="BH509" i="1"/>
  <c r="DE3504" i="1"/>
  <c r="CY3504" i="1"/>
  <c r="K3504" i="1"/>
  <c r="CX3504" i="1"/>
  <c r="CV3504" i="1"/>
  <c r="CU3504" i="1"/>
  <c r="I3504" i="1"/>
  <c r="CT3504" i="1"/>
  <c r="BI3504" i="1"/>
  <c r="BH3504" i="1"/>
  <c r="DE510" i="1"/>
  <c r="CY510" i="1"/>
  <c r="K510" i="1"/>
  <c r="CX510" i="1"/>
  <c r="CV510" i="1"/>
  <c r="CU510" i="1"/>
  <c r="I510" i="1"/>
  <c r="BI510" i="1"/>
  <c r="BH510" i="1"/>
  <c r="DE3529" i="1"/>
  <c r="CY3529" i="1"/>
  <c r="K3529" i="1"/>
  <c r="CX3529" i="1"/>
  <c r="CV3529" i="1"/>
  <c r="CU3529" i="1"/>
  <c r="I3529" i="1"/>
  <c r="CT3529" i="1"/>
  <c r="BI3529" i="1"/>
  <c r="BH3529" i="1"/>
  <c r="DE3197" i="1"/>
  <c r="CY3197" i="1"/>
  <c r="K3197" i="1"/>
  <c r="CX3197" i="1"/>
  <c r="CV3197" i="1"/>
  <c r="CU3197" i="1"/>
  <c r="I3197" i="1"/>
  <c r="BI3197" i="1"/>
  <c r="BH3197" i="1"/>
  <c r="DE3198" i="1"/>
  <c r="CY3198" i="1"/>
  <c r="K3198" i="1"/>
  <c r="CX3198" i="1"/>
  <c r="CV3198" i="1"/>
  <c r="CU3198" i="1"/>
  <c r="I3198" i="1"/>
  <c r="BI3198" i="1"/>
  <c r="BH3198" i="1"/>
  <c r="DE1569" i="1"/>
  <c r="CY1569" i="1"/>
  <c r="K1569" i="1"/>
  <c r="CX1569" i="1"/>
  <c r="CV1569" i="1"/>
  <c r="CU1569" i="1"/>
  <c r="I1569" i="1"/>
  <c r="BI1569" i="1"/>
  <c r="BH1569" i="1"/>
  <c r="DE1570" i="1"/>
  <c r="CY1570" i="1"/>
  <c r="K1570" i="1"/>
  <c r="CX1570" i="1"/>
  <c r="CV1570" i="1"/>
  <c r="CU1570" i="1"/>
  <c r="I1570" i="1"/>
  <c r="BI1570" i="1"/>
  <c r="BH1570" i="1"/>
  <c r="DE1896" i="1"/>
  <c r="CY1896" i="1"/>
  <c r="K1896" i="1"/>
  <c r="CX1896" i="1"/>
  <c r="CV1896" i="1"/>
  <c r="CU1896" i="1"/>
  <c r="I1896" i="1"/>
  <c r="BI1896" i="1"/>
  <c r="BH1896" i="1"/>
  <c r="DE1571" i="1"/>
  <c r="CY1571" i="1"/>
  <c r="K1571" i="1"/>
  <c r="CX1571" i="1"/>
  <c r="CV1571" i="1"/>
  <c r="CU1571" i="1"/>
  <c r="I1571" i="1"/>
  <c r="BI1571" i="1"/>
  <c r="BH1571" i="1"/>
  <c r="DE1572" i="1"/>
  <c r="CY1572" i="1"/>
  <c r="K1572" i="1"/>
  <c r="CX1572" i="1"/>
  <c r="CV1572" i="1"/>
  <c r="CU1572" i="1"/>
  <c r="I1572" i="1"/>
  <c r="BI1572" i="1"/>
  <c r="BH1572" i="1"/>
  <c r="DE1573" i="1"/>
  <c r="CY1573" i="1"/>
  <c r="K1573" i="1"/>
  <c r="CX1573" i="1"/>
  <c r="CV1573" i="1"/>
  <c r="CU1573" i="1"/>
  <c r="I1573" i="1"/>
  <c r="BI1573" i="1"/>
  <c r="BH1573" i="1"/>
  <c r="DE1574" i="1"/>
  <c r="CY1574" i="1"/>
  <c r="K1574" i="1"/>
  <c r="CX1574" i="1"/>
  <c r="CV1574" i="1"/>
  <c r="CU1574" i="1"/>
  <c r="I1574" i="1"/>
  <c r="BI1574" i="1"/>
  <c r="BH1574" i="1"/>
  <c r="DE1575" i="1"/>
  <c r="CY1575" i="1"/>
  <c r="K1575" i="1"/>
  <c r="CX1575" i="1"/>
  <c r="CV1575" i="1"/>
  <c r="CU1575" i="1"/>
  <c r="I1575" i="1"/>
  <c r="BI1575" i="1"/>
  <c r="BH1575" i="1"/>
  <c r="DE1576" i="1"/>
  <c r="CY1576" i="1"/>
  <c r="K1576" i="1"/>
  <c r="CX1576" i="1"/>
  <c r="CV1576" i="1"/>
  <c r="CU1576" i="1"/>
  <c r="I1576" i="1"/>
  <c r="BI1576" i="1"/>
  <c r="BH1576" i="1"/>
  <c r="DE1764" i="1"/>
  <c r="CY1764" i="1"/>
  <c r="K1764" i="1"/>
  <c r="CX1764" i="1"/>
  <c r="CV1764" i="1"/>
  <c r="CU1764" i="1"/>
  <c r="I1764" i="1"/>
  <c r="BI1764" i="1"/>
  <c r="BH1764" i="1"/>
  <c r="DE1895" i="1"/>
  <c r="CY1895" i="1"/>
  <c r="K1895" i="1"/>
  <c r="CX1895" i="1"/>
  <c r="CV1895" i="1"/>
  <c r="CU1895" i="1"/>
  <c r="I1895" i="1"/>
  <c r="BI1895" i="1"/>
  <c r="BH1895" i="1"/>
  <c r="DE1577" i="1"/>
  <c r="CY1577" i="1"/>
  <c r="K1577" i="1"/>
  <c r="CX1577" i="1"/>
  <c r="CV1577" i="1"/>
  <c r="CU1577" i="1"/>
  <c r="I1577" i="1"/>
  <c r="BI1577" i="1"/>
  <c r="BH1577" i="1"/>
  <c r="DE1578" i="1"/>
  <c r="CY1578" i="1"/>
  <c r="K1578" i="1"/>
  <c r="CX1578" i="1"/>
  <c r="CV1578" i="1"/>
  <c r="CU1578" i="1"/>
  <c r="I1578" i="1"/>
  <c r="BI1578" i="1"/>
  <c r="BH1578" i="1"/>
  <c r="DE1579" i="1"/>
  <c r="CY1579" i="1"/>
  <c r="K1579" i="1"/>
  <c r="CX1579" i="1"/>
  <c r="CV1579" i="1"/>
  <c r="CU1579" i="1"/>
  <c r="I1579" i="1"/>
  <c r="BI1579" i="1"/>
  <c r="BH1579" i="1"/>
  <c r="DE1580" i="1"/>
  <c r="CY1580" i="1"/>
  <c r="K1580" i="1"/>
  <c r="CX1580" i="1"/>
  <c r="CV1580" i="1"/>
  <c r="CU1580" i="1"/>
  <c r="I1580" i="1"/>
  <c r="BI1580" i="1"/>
  <c r="BH1580" i="1"/>
  <c r="DE1581" i="1"/>
  <c r="CY1581" i="1"/>
  <c r="K1581" i="1"/>
  <c r="CX1581" i="1"/>
  <c r="CV1581" i="1"/>
  <c r="CU1581" i="1"/>
  <c r="I1581" i="1"/>
  <c r="BI1581" i="1"/>
  <c r="BH1581" i="1"/>
  <c r="DE1894" i="1"/>
  <c r="CY1894" i="1"/>
  <c r="K1894" i="1"/>
  <c r="CX1894" i="1"/>
  <c r="CV1894" i="1"/>
  <c r="CU1894" i="1"/>
  <c r="I1894" i="1"/>
  <c r="BI1894" i="1"/>
  <c r="BH1894" i="1"/>
  <c r="DE1582" i="1"/>
  <c r="CY1582" i="1"/>
  <c r="K1582" i="1"/>
  <c r="CX1582" i="1"/>
  <c r="CV1582" i="1"/>
  <c r="CU1582" i="1"/>
  <c r="I1582" i="1"/>
  <c r="BI1582" i="1"/>
  <c r="BH1582" i="1"/>
  <c r="DE1583" i="1"/>
  <c r="CY1583" i="1"/>
  <c r="K1583" i="1"/>
  <c r="CX1583" i="1"/>
  <c r="CV1583" i="1"/>
  <c r="CU1583" i="1"/>
  <c r="I1583" i="1"/>
  <c r="BI1583" i="1"/>
  <c r="BH1583" i="1"/>
  <c r="DE1584" i="1"/>
  <c r="CY1584" i="1"/>
  <c r="K1584" i="1"/>
  <c r="CX1584" i="1"/>
  <c r="CV1584" i="1"/>
  <c r="CU1584" i="1"/>
  <c r="I1584" i="1"/>
  <c r="BI1584" i="1"/>
  <c r="BH1584" i="1"/>
  <c r="DE1585" i="1"/>
  <c r="CY1585" i="1"/>
  <c r="K1585" i="1"/>
  <c r="CX1585" i="1"/>
  <c r="CV1585" i="1"/>
  <c r="CU1585" i="1"/>
  <c r="I1585" i="1"/>
  <c r="BI1585" i="1"/>
  <c r="BH1585" i="1"/>
  <c r="DE1586" i="1"/>
  <c r="CY1586" i="1"/>
  <c r="K1586" i="1"/>
  <c r="CX1586" i="1"/>
  <c r="CV1586" i="1"/>
  <c r="CU1586" i="1"/>
  <c r="I1586" i="1"/>
  <c r="BI1586" i="1"/>
  <c r="BH1586" i="1"/>
  <c r="DE1587" i="1"/>
  <c r="CY1587" i="1"/>
  <c r="K1587" i="1"/>
  <c r="CX1587" i="1"/>
  <c r="CV1587" i="1"/>
  <c r="CU1587" i="1"/>
  <c r="I1587" i="1"/>
  <c r="BI1587" i="1"/>
  <c r="BH1587" i="1"/>
  <c r="DE1588" i="1"/>
  <c r="CY1588" i="1"/>
  <c r="K1588" i="1"/>
  <c r="CX1588" i="1"/>
  <c r="CV1588" i="1"/>
  <c r="CU1588" i="1"/>
  <c r="I1588" i="1"/>
  <c r="BI1588" i="1"/>
  <c r="BH1588" i="1"/>
  <c r="DE1893" i="1"/>
  <c r="CY1893" i="1"/>
  <c r="K1893" i="1"/>
  <c r="CX1893" i="1"/>
  <c r="CV1893" i="1"/>
  <c r="CU1893" i="1"/>
  <c r="I1893" i="1"/>
  <c r="BI1893" i="1"/>
  <c r="BH1893" i="1"/>
  <c r="DE1589" i="1"/>
  <c r="CY1589" i="1"/>
  <c r="K1589" i="1"/>
  <c r="CX1589" i="1"/>
  <c r="CV1589" i="1"/>
  <c r="CU1589" i="1"/>
  <c r="I1589" i="1"/>
  <c r="BI1589" i="1"/>
  <c r="BH1589" i="1"/>
  <c r="DE1590" i="1"/>
  <c r="CY1590" i="1"/>
  <c r="K1590" i="1"/>
  <c r="CX1590" i="1"/>
  <c r="CV1590" i="1"/>
  <c r="CU1590" i="1"/>
  <c r="I1590" i="1"/>
  <c r="BI1590" i="1"/>
  <c r="BH1590" i="1"/>
  <c r="DE1591" i="1"/>
  <c r="CY1591" i="1"/>
  <c r="K1591" i="1"/>
  <c r="CX1591" i="1"/>
  <c r="CV1591" i="1"/>
  <c r="CU1591" i="1"/>
  <c r="I1591" i="1"/>
  <c r="BI1591" i="1"/>
  <c r="BH1591" i="1"/>
  <c r="DE1592" i="1"/>
  <c r="CY1592" i="1"/>
  <c r="K1592" i="1"/>
  <c r="CX1592" i="1"/>
  <c r="CV1592" i="1"/>
  <c r="CU1592" i="1"/>
  <c r="I1592" i="1"/>
  <c r="BI1592" i="1"/>
  <c r="BH1592" i="1"/>
  <c r="DE1762" i="1"/>
  <c r="CY1762" i="1"/>
  <c r="K1762" i="1"/>
  <c r="CX1762" i="1"/>
  <c r="CV1762" i="1"/>
  <c r="CU1762" i="1"/>
  <c r="I1762" i="1"/>
  <c r="BI1762" i="1"/>
  <c r="BH1762" i="1"/>
  <c r="DE1593" i="1"/>
  <c r="CY1593" i="1"/>
  <c r="K1593" i="1"/>
  <c r="CX1593" i="1"/>
  <c r="CV1593" i="1"/>
  <c r="CU1593" i="1"/>
  <c r="I1593" i="1"/>
  <c r="BI1593" i="1"/>
  <c r="BH1593" i="1"/>
  <c r="DE1594" i="1"/>
  <c r="CY1594" i="1"/>
  <c r="K1594" i="1"/>
  <c r="CX1594" i="1"/>
  <c r="CV1594" i="1"/>
  <c r="CU1594" i="1"/>
  <c r="I1594" i="1"/>
  <c r="BI1594" i="1"/>
  <c r="BH1594" i="1"/>
  <c r="DE1595" i="1"/>
  <c r="CY1595" i="1"/>
  <c r="K1595" i="1"/>
  <c r="CX1595" i="1"/>
  <c r="CV1595" i="1"/>
  <c r="CU1595" i="1"/>
  <c r="I1595" i="1"/>
  <c r="BI1595" i="1"/>
  <c r="BH1595" i="1"/>
  <c r="DE1892" i="1"/>
  <c r="CY1892" i="1"/>
  <c r="K1892" i="1"/>
  <c r="CX1892" i="1"/>
  <c r="CV1892" i="1"/>
  <c r="CU1892" i="1"/>
  <c r="I1892" i="1"/>
  <c r="BI1892" i="1"/>
  <c r="BH1892" i="1"/>
  <c r="DE1596" i="1"/>
  <c r="CY1596" i="1"/>
  <c r="K1596" i="1"/>
  <c r="CX1596" i="1"/>
  <c r="CV1596" i="1"/>
  <c r="CU1596" i="1"/>
  <c r="I1596" i="1"/>
  <c r="BI1596" i="1"/>
  <c r="BH1596" i="1"/>
  <c r="DE1597" i="1"/>
  <c r="CY1597" i="1"/>
  <c r="K1597" i="1"/>
  <c r="CX1597" i="1"/>
  <c r="CV1597" i="1"/>
  <c r="CU1597" i="1"/>
  <c r="I1597" i="1"/>
  <c r="BI1597" i="1"/>
  <c r="BH1597" i="1"/>
  <c r="DE1598" i="1"/>
  <c r="CY1598" i="1"/>
  <c r="K1598" i="1"/>
  <c r="CX1598" i="1"/>
  <c r="CV1598" i="1"/>
  <c r="CU1598" i="1"/>
  <c r="I1598" i="1"/>
  <c r="BI1598" i="1"/>
  <c r="BH1598" i="1"/>
  <c r="DE1599" i="1"/>
  <c r="CY1599" i="1"/>
  <c r="K1599" i="1"/>
  <c r="CX1599" i="1"/>
  <c r="CV1599" i="1"/>
  <c r="CU1599" i="1"/>
  <c r="I1599" i="1"/>
  <c r="BI1599" i="1"/>
  <c r="BH1599" i="1"/>
  <c r="DE1600" i="1"/>
  <c r="CY1600" i="1"/>
  <c r="K1600" i="1"/>
  <c r="CX1600" i="1"/>
  <c r="CV1600" i="1"/>
  <c r="CU1600" i="1"/>
  <c r="I1600" i="1"/>
  <c r="BI1600" i="1"/>
  <c r="BH1600" i="1"/>
  <c r="DE1763" i="1"/>
  <c r="CY1763" i="1"/>
  <c r="K1763" i="1"/>
  <c r="CX1763" i="1"/>
  <c r="CV1763" i="1"/>
  <c r="CU1763" i="1"/>
  <c r="I1763" i="1"/>
  <c r="BI1763" i="1"/>
  <c r="BH1763" i="1"/>
  <c r="DE1601" i="1"/>
  <c r="CY1601" i="1"/>
  <c r="K1601" i="1"/>
  <c r="CX1601" i="1"/>
  <c r="CV1601" i="1"/>
  <c r="CU1601" i="1"/>
  <c r="I1601" i="1"/>
  <c r="BI1601" i="1"/>
  <c r="BH1601" i="1"/>
  <c r="DE1891" i="1"/>
  <c r="CY1891" i="1"/>
  <c r="K1891" i="1"/>
  <c r="CX1891" i="1"/>
  <c r="CV1891" i="1"/>
  <c r="CU1891" i="1"/>
  <c r="I1891" i="1"/>
  <c r="BI1891" i="1"/>
  <c r="BH1891" i="1"/>
  <c r="DE1602" i="1"/>
  <c r="CY1602" i="1"/>
  <c r="K1602" i="1"/>
  <c r="CX1602" i="1"/>
  <c r="CV1602" i="1"/>
  <c r="CU1602" i="1"/>
  <c r="I1602" i="1"/>
  <c r="BI1602" i="1"/>
  <c r="BH1602" i="1"/>
  <c r="DE1603" i="1"/>
  <c r="CY1603" i="1"/>
  <c r="K1603" i="1"/>
  <c r="CX1603" i="1"/>
  <c r="CV1603" i="1"/>
  <c r="CU1603" i="1"/>
  <c r="I1603" i="1"/>
  <c r="BI1603" i="1"/>
  <c r="BH1603" i="1"/>
  <c r="DE1604" i="1"/>
  <c r="CY1604" i="1"/>
  <c r="K1604" i="1"/>
  <c r="CX1604" i="1"/>
  <c r="CV1604" i="1"/>
  <c r="CU1604" i="1"/>
  <c r="I1604" i="1"/>
  <c r="BI1604" i="1"/>
  <c r="BH1604" i="1"/>
  <c r="DE1605" i="1"/>
  <c r="CY1605" i="1"/>
  <c r="K1605" i="1"/>
  <c r="CX1605" i="1"/>
  <c r="CV1605" i="1"/>
  <c r="CU1605" i="1"/>
  <c r="I1605" i="1"/>
  <c r="BI1605" i="1"/>
  <c r="BH1605" i="1"/>
  <c r="DE1606" i="1"/>
  <c r="CY1606" i="1"/>
  <c r="K1606" i="1"/>
  <c r="CX1606" i="1"/>
  <c r="CV1606" i="1"/>
  <c r="CU1606" i="1"/>
  <c r="I1606" i="1"/>
  <c r="BI1606" i="1"/>
  <c r="BH1606" i="1"/>
  <c r="DE1607" i="1"/>
  <c r="CY1607" i="1"/>
  <c r="K1607" i="1"/>
  <c r="CX1607" i="1"/>
  <c r="CV1607" i="1"/>
  <c r="CU1607" i="1"/>
  <c r="I1607" i="1"/>
  <c r="BI1607" i="1"/>
  <c r="BH1607" i="1"/>
  <c r="DE1608" i="1"/>
  <c r="CY1608" i="1"/>
  <c r="K1608" i="1"/>
  <c r="CX1608" i="1"/>
  <c r="CV1608" i="1"/>
  <c r="CU1608" i="1"/>
  <c r="I1608" i="1"/>
  <c r="BI1608" i="1"/>
  <c r="BH1608" i="1"/>
  <c r="DE1761" i="1"/>
  <c r="CY1761" i="1"/>
  <c r="K1761" i="1"/>
  <c r="CX1761" i="1"/>
  <c r="CV1761" i="1"/>
  <c r="CU1761" i="1"/>
  <c r="I1761" i="1"/>
  <c r="BI1761" i="1"/>
  <c r="BH1761" i="1"/>
  <c r="DE1609" i="1"/>
  <c r="CY1609" i="1"/>
  <c r="K1609" i="1"/>
  <c r="CX1609" i="1"/>
  <c r="CV1609" i="1"/>
  <c r="CU1609" i="1"/>
  <c r="I1609" i="1"/>
  <c r="BI1609" i="1"/>
  <c r="BH1609" i="1"/>
  <c r="DE1610" i="1"/>
  <c r="CY1610" i="1"/>
  <c r="K1610" i="1"/>
  <c r="CX1610" i="1"/>
  <c r="CV1610" i="1"/>
  <c r="CU1610" i="1"/>
  <c r="I1610" i="1"/>
  <c r="BI1610" i="1"/>
  <c r="BH1610" i="1"/>
  <c r="DE1611" i="1"/>
  <c r="CY1611" i="1"/>
  <c r="K1611" i="1"/>
  <c r="CX1611" i="1"/>
  <c r="CV1611" i="1"/>
  <c r="CU1611" i="1"/>
  <c r="I1611" i="1"/>
  <c r="BI1611" i="1"/>
  <c r="BH1611" i="1"/>
  <c r="DE1612" i="1"/>
  <c r="CY1612" i="1"/>
  <c r="K1612" i="1"/>
  <c r="CX1612" i="1"/>
  <c r="CV1612" i="1"/>
  <c r="CU1612" i="1"/>
  <c r="I1612" i="1"/>
  <c r="BI1612" i="1"/>
  <c r="BH1612" i="1"/>
  <c r="DE1613" i="1"/>
  <c r="CY1613" i="1"/>
  <c r="K1613" i="1"/>
  <c r="CX1613" i="1"/>
  <c r="CV1613" i="1"/>
  <c r="CU1613" i="1"/>
  <c r="I1613" i="1"/>
  <c r="BI1613" i="1"/>
  <c r="BH1613" i="1"/>
  <c r="DE1614" i="1"/>
  <c r="CY1614" i="1"/>
  <c r="K1614" i="1"/>
  <c r="CX1614" i="1"/>
  <c r="CV1614" i="1"/>
  <c r="CU1614" i="1"/>
  <c r="I1614" i="1"/>
  <c r="BI1614" i="1"/>
  <c r="BH1614" i="1"/>
  <c r="DE1890" i="1"/>
  <c r="CY1890" i="1"/>
  <c r="K1890" i="1"/>
  <c r="CX1890" i="1"/>
  <c r="CV1890" i="1"/>
  <c r="CU1890" i="1"/>
  <c r="I1890" i="1"/>
  <c r="BI1890" i="1"/>
  <c r="BH1890" i="1"/>
  <c r="DE1889" i="1"/>
  <c r="CY1889" i="1"/>
  <c r="K1889" i="1"/>
  <c r="CX1889" i="1"/>
  <c r="CV1889" i="1"/>
  <c r="CU1889" i="1"/>
  <c r="I1889" i="1"/>
  <c r="BI1889" i="1"/>
  <c r="BH1889" i="1"/>
  <c r="DE1615" i="1"/>
  <c r="CY1615" i="1"/>
  <c r="K1615" i="1"/>
  <c r="CX1615" i="1"/>
  <c r="CV1615" i="1"/>
  <c r="CU1615" i="1"/>
  <c r="I1615" i="1"/>
  <c r="BI1615" i="1"/>
  <c r="BH1615" i="1"/>
  <c r="DE1616" i="1"/>
  <c r="CY1616" i="1"/>
  <c r="K1616" i="1"/>
  <c r="CX1616" i="1"/>
  <c r="CV1616" i="1"/>
  <c r="CU1616" i="1"/>
  <c r="I1616" i="1"/>
  <c r="BI1616" i="1"/>
  <c r="BH1616" i="1"/>
  <c r="DE1617" i="1"/>
  <c r="CY1617" i="1"/>
  <c r="K1617" i="1"/>
  <c r="CX1617" i="1"/>
  <c r="CV1617" i="1"/>
  <c r="CU1617" i="1"/>
  <c r="I1617" i="1"/>
  <c r="BI1617" i="1"/>
  <c r="BH1617" i="1"/>
  <c r="DE1618" i="1"/>
  <c r="CY1618" i="1"/>
  <c r="K1618" i="1"/>
  <c r="CX1618" i="1"/>
  <c r="CV1618" i="1"/>
  <c r="CU1618" i="1"/>
  <c r="I1618" i="1"/>
  <c r="BI1618" i="1"/>
  <c r="BH1618" i="1"/>
  <c r="DE1619" i="1"/>
  <c r="CY1619" i="1"/>
  <c r="K1619" i="1"/>
  <c r="CX1619" i="1"/>
  <c r="CV1619" i="1"/>
  <c r="CU1619" i="1"/>
  <c r="I1619" i="1"/>
  <c r="BI1619" i="1"/>
  <c r="BH1619" i="1"/>
  <c r="DE1620" i="1"/>
  <c r="CY1620" i="1"/>
  <c r="K1620" i="1"/>
  <c r="CX1620" i="1"/>
  <c r="CV1620" i="1"/>
  <c r="CU1620" i="1"/>
  <c r="I1620" i="1"/>
  <c r="BI1620" i="1"/>
  <c r="BH1620" i="1"/>
  <c r="DE1888" i="1"/>
  <c r="CY1888" i="1"/>
  <c r="K1888" i="1"/>
  <c r="CX1888" i="1"/>
  <c r="CV1888" i="1"/>
  <c r="CU1888" i="1"/>
  <c r="I1888" i="1"/>
  <c r="BI1888" i="1"/>
  <c r="BH1888" i="1"/>
  <c r="DE1621" i="1"/>
  <c r="CY1621" i="1"/>
  <c r="K1621" i="1"/>
  <c r="CX1621" i="1"/>
  <c r="CV1621" i="1"/>
  <c r="CU1621" i="1"/>
  <c r="I1621" i="1"/>
  <c r="BI1621" i="1"/>
  <c r="BH1621" i="1"/>
  <c r="DE1622" i="1"/>
  <c r="CY1622" i="1"/>
  <c r="K1622" i="1"/>
  <c r="CX1622" i="1"/>
  <c r="CV1622" i="1"/>
  <c r="CU1622" i="1"/>
  <c r="I1622" i="1"/>
  <c r="BI1622" i="1"/>
  <c r="BH1622" i="1"/>
  <c r="DE1623" i="1"/>
  <c r="CY1623" i="1"/>
  <c r="K1623" i="1"/>
  <c r="CX1623" i="1"/>
  <c r="CV1623" i="1"/>
  <c r="CU1623" i="1"/>
  <c r="I1623" i="1"/>
  <c r="BI1623" i="1"/>
  <c r="BH1623" i="1"/>
  <c r="DE1624" i="1"/>
  <c r="CY1624" i="1"/>
  <c r="K1624" i="1"/>
  <c r="CX1624" i="1"/>
  <c r="CV1624" i="1"/>
  <c r="CU1624" i="1"/>
  <c r="I1624" i="1"/>
  <c r="BI1624" i="1"/>
  <c r="BH1624" i="1"/>
  <c r="DE1665" i="1"/>
  <c r="CY1665" i="1"/>
  <c r="K1665" i="1"/>
  <c r="CX1665" i="1"/>
  <c r="CV1665" i="1"/>
  <c r="CU1665" i="1"/>
  <c r="I1665" i="1"/>
  <c r="BI1665" i="1"/>
  <c r="BH1665" i="1"/>
  <c r="DE1625" i="1"/>
  <c r="CY1625" i="1"/>
  <c r="K1625" i="1"/>
  <c r="CX1625" i="1"/>
  <c r="CV1625" i="1"/>
  <c r="CU1625" i="1"/>
  <c r="I1625" i="1"/>
  <c r="BI1625" i="1"/>
  <c r="BH1625" i="1"/>
  <c r="DE1626" i="1"/>
  <c r="CY1626" i="1"/>
  <c r="K1626" i="1"/>
  <c r="CX1626" i="1"/>
  <c r="CV1626" i="1"/>
  <c r="CU1626" i="1"/>
  <c r="I1626" i="1"/>
  <c r="BI1626" i="1"/>
  <c r="BH1626" i="1"/>
  <c r="DE1886" i="1"/>
  <c r="CY1886" i="1"/>
  <c r="K1886" i="1"/>
  <c r="CX1886" i="1"/>
  <c r="CV1886" i="1"/>
  <c r="CU1886" i="1"/>
  <c r="I1886" i="1"/>
  <c r="BI1886" i="1"/>
  <c r="BH1886" i="1"/>
  <c r="DE1627" i="1"/>
  <c r="CY1627" i="1"/>
  <c r="K1627" i="1"/>
  <c r="CX1627" i="1"/>
  <c r="CV1627" i="1"/>
  <c r="CU1627" i="1"/>
  <c r="I1627" i="1"/>
  <c r="BI1627" i="1"/>
  <c r="BH1627" i="1"/>
  <c r="DE1628" i="1"/>
  <c r="CY1628" i="1"/>
  <c r="K1628" i="1"/>
  <c r="CX1628" i="1"/>
  <c r="CV1628" i="1"/>
  <c r="CU1628" i="1"/>
  <c r="I1628" i="1"/>
  <c r="BI1628" i="1"/>
  <c r="BH1628" i="1"/>
  <c r="DE1629" i="1"/>
  <c r="CY1629" i="1"/>
  <c r="K1629" i="1"/>
  <c r="CX1629" i="1"/>
  <c r="CV1629" i="1"/>
  <c r="CU1629" i="1"/>
  <c r="I1629" i="1"/>
  <c r="BI1629" i="1"/>
  <c r="BH1629" i="1"/>
  <c r="DE1630" i="1"/>
  <c r="CY1630" i="1"/>
  <c r="K1630" i="1"/>
  <c r="CX1630" i="1"/>
  <c r="CV1630" i="1"/>
  <c r="CU1630" i="1"/>
  <c r="I1630" i="1"/>
  <c r="BI1630" i="1"/>
  <c r="BH1630" i="1"/>
  <c r="DE1631" i="1"/>
  <c r="CY1631" i="1"/>
  <c r="K1631" i="1"/>
  <c r="CX1631" i="1"/>
  <c r="CV1631" i="1"/>
  <c r="CU1631" i="1"/>
  <c r="I1631" i="1"/>
  <c r="BI1631" i="1"/>
  <c r="BH1631" i="1"/>
  <c r="DE1632" i="1"/>
  <c r="CY1632" i="1"/>
  <c r="K1632" i="1"/>
  <c r="CX1632" i="1"/>
  <c r="CV1632" i="1"/>
  <c r="CU1632" i="1"/>
  <c r="I1632" i="1"/>
  <c r="BI1632" i="1"/>
  <c r="BH1632" i="1"/>
  <c r="DE1633" i="1"/>
  <c r="CY1633" i="1"/>
  <c r="K1633" i="1"/>
  <c r="CX1633" i="1"/>
  <c r="CV1633" i="1"/>
  <c r="CU1633" i="1"/>
  <c r="I1633" i="1"/>
  <c r="BI1633" i="1"/>
  <c r="BH1633" i="1"/>
  <c r="DE1634" i="1"/>
  <c r="CY1634" i="1"/>
  <c r="K1634" i="1"/>
  <c r="CX1634" i="1"/>
  <c r="CV1634" i="1"/>
  <c r="CU1634" i="1"/>
  <c r="I1634" i="1"/>
  <c r="BI1634" i="1"/>
  <c r="BH1634" i="1"/>
  <c r="DE1635" i="1"/>
  <c r="CY1635" i="1"/>
  <c r="K1635" i="1"/>
  <c r="CX1635" i="1"/>
  <c r="CV1635" i="1"/>
  <c r="CU1635" i="1"/>
  <c r="I1635" i="1"/>
  <c r="BI1635" i="1"/>
  <c r="BH1635" i="1"/>
  <c r="DE1636" i="1"/>
  <c r="CY1636" i="1"/>
  <c r="K1636" i="1"/>
  <c r="CX1636" i="1"/>
  <c r="CV1636" i="1"/>
  <c r="CU1636" i="1"/>
  <c r="I1636" i="1"/>
  <c r="BI1636" i="1"/>
  <c r="BH1636" i="1"/>
  <c r="DE1637" i="1"/>
  <c r="CY1637" i="1"/>
  <c r="K1637" i="1"/>
  <c r="CX1637" i="1"/>
  <c r="CV1637" i="1"/>
  <c r="CU1637" i="1"/>
  <c r="I1637" i="1"/>
  <c r="BI1637" i="1"/>
  <c r="BH1637" i="1"/>
  <c r="DE1638" i="1"/>
  <c r="CY1638" i="1"/>
  <c r="K1638" i="1"/>
  <c r="CX1638" i="1"/>
  <c r="CV1638" i="1"/>
  <c r="CU1638" i="1"/>
  <c r="I1638" i="1"/>
  <c r="BI1638" i="1"/>
  <c r="BH1638" i="1"/>
  <c r="DE1639" i="1"/>
  <c r="CY1639" i="1"/>
  <c r="K1639" i="1"/>
  <c r="CX1639" i="1"/>
  <c r="CV1639" i="1"/>
  <c r="CU1639" i="1"/>
  <c r="I1639" i="1"/>
  <c r="BI1639" i="1"/>
  <c r="BH1639" i="1"/>
  <c r="DE1640" i="1"/>
  <c r="CY1640" i="1"/>
  <c r="K1640" i="1"/>
  <c r="CX1640" i="1"/>
  <c r="CV1640" i="1"/>
  <c r="CU1640" i="1"/>
  <c r="I1640" i="1"/>
  <c r="BI1640" i="1"/>
  <c r="BH1640" i="1"/>
  <c r="DE1885" i="1"/>
  <c r="CY1885" i="1"/>
  <c r="K1885" i="1"/>
  <c r="CX1885" i="1"/>
  <c r="CV1885" i="1"/>
  <c r="CU1885" i="1"/>
  <c r="I1885" i="1"/>
  <c r="BI1885" i="1"/>
  <c r="BH1885" i="1"/>
  <c r="DE1884" i="1"/>
  <c r="CY1884" i="1"/>
  <c r="K1884" i="1"/>
  <c r="CX1884" i="1"/>
  <c r="CV1884" i="1"/>
  <c r="CU1884" i="1"/>
  <c r="I1884" i="1"/>
  <c r="BI1884" i="1"/>
  <c r="BH1884" i="1"/>
  <c r="DE1641" i="1"/>
  <c r="CY1641" i="1"/>
  <c r="K1641" i="1"/>
  <c r="CX1641" i="1"/>
  <c r="CV1641" i="1"/>
  <c r="CU1641" i="1"/>
  <c r="I1641" i="1"/>
  <c r="BI1641" i="1"/>
  <c r="BH1641" i="1"/>
  <c r="DE1642" i="1"/>
  <c r="CY1642" i="1"/>
  <c r="K1642" i="1"/>
  <c r="CX1642" i="1"/>
  <c r="CV1642" i="1"/>
  <c r="CU1642" i="1"/>
  <c r="I1642" i="1"/>
  <c r="BI1642" i="1"/>
  <c r="BH1642" i="1"/>
  <c r="DE1643" i="1"/>
  <c r="CY1643" i="1"/>
  <c r="K1643" i="1"/>
  <c r="CX1643" i="1"/>
  <c r="CV1643" i="1"/>
  <c r="CU1643" i="1"/>
  <c r="I1643" i="1"/>
  <c r="BI1643" i="1"/>
  <c r="BH1643" i="1"/>
  <c r="DE1759" i="1"/>
  <c r="CY1759" i="1"/>
  <c r="K1759" i="1"/>
  <c r="CX1759" i="1"/>
  <c r="CV1759" i="1"/>
  <c r="CU1759" i="1"/>
  <c r="I1759" i="1"/>
  <c r="BI1759" i="1"/>
  <c r="BH1759" i="1"/>
  <c r="DE1760" i="1"/>
  <c r="CY1760" i="1"/>
  <c r="K1760" i="1"/>
  <c r="CX1760" i="1"/>
  <c r="CV1760" i="1"/>
  <c r="CU1760" i="1"/>
  <c r="I1760" i="1"/>
  <c r="BI1760" i="1"/>
  <c r="BH1760" i="1"/>
  <c r="DE1758" i="1"/>
  <c r="CY1758" i="1"/>
  <c r="K1758" i="1"/>
  <c r="CX1758" i="1"/>
  <c r="CV1758" i="1"/>
  <c r="CU1758" i="1"/>
  <c r="I1758" i="1"/>
  <c r="BI1758" i="1"/>
  <c r="BH1758" i="1"/>
  <c r="DE1655" i="1"/>
  <c r="CY1655" i="1"/>
  <c r="K1655" i="1"/>
  <c r="CX1655" i="1"/>
  <c r="CV1655" i="1"/>
  <c r="CU1655" i="1"/>
  <c r="I1655" i="1"/>
  <c r="BI1655" i="1"/>
  <c r="BH1655" i="1"/>
  <c r="DE1756" i="1"/>
  <c r="CY1756" i="1"/>
  <c r="K1756" i="1"/>
  <c r="CX1756" i="1"/>
  <c r="CV1756" i="1"/>
  <c r="CU1756" i="1"/>
  <c r="I1756" i="1"/>
  <c r="BI1756" i="1"/>
  <c r="BH1756" i="1"/>
  <c r="DE813" i="1"/>
  <c r="CY813" i="1"/>
  <c r="K813" i="1"/>
  <c r="CX813" i="1"/>
  <c r="CV813" i="1"/>
  <c r="CU813" i="1"/>
  <c r="I813" i="1"/>
  <c r="BI813" i="1"/>
  <c r="BH813" i="1"/>
  <c r="DE1883" i="1"/>
  <c r="CY1883" i="1"/>
  <c r="K1883" i="1"/>
  <c r="CX1883" i="1"/>
  <c r="CV1883" i="1"/>
  <c r="CU1883" i="1"/>
  <c r="I1883" i="1"/>
  <c r="BI1883" i="1"/>
  <c r="BH1883" i="1"/>
  <c r="DE812" i="1"/>
  <c r="CY812" i="1"/>
  <c r="K812" i="1"/>
  <c r="CX812" i="1"/>
  <c r="CV812" i="1"/>
  <c r="CU812" i="1"/>
  <c r="I812" i="1"/>
  <c r="BI812" i="1"/>
  <c r="BH812" i="1"/>
  <c r="DE811" i="1"/>
  <c r="CY811" i="1"/>
  <c r="K811" i="1"/>
  <c r="CX811" i="1"/>
  <c r="CV811" i="1"/>
  <c r="CU811" i="1"/>
  <c r="I811" i="1"/>
  <c r="BI811" i="1"/>
  <c r="BH811" i="1"/>
  <c r="DE810" i="1"/>
  <c r="CY810" i="1"/>
  <c r="K810" i="1"/>
  <c r="CX810" i="1"/>
  <c r="CV810" i="1"/>
  <c r="CU810" i="1"/>
  <c r="I810" i="1"/>
  <c r="BI810" i="1"/>
  <c r="BH810" i="1"/>
  <c r="DE806" i="1"/>
  <c r="CY806" i="1"/>
  <c r="K806" i="1"/>
  <c r="CX806" i="1"/>
  <c r="CV806" i="1"/>
  <c r="CU806" i="1"/>
  <c r="I806" i="1"/>
  <c r="BI806" i="1"/>
  <c r="BH806" i="1"/>
  <c r="DE809" i="1"/>
  <c r="CY809" i="1"/>
  <c r="K809" i="1"/>
  <c r="CX809" i="1"/>
  <c r="CV809" i="1"/>
  <c r="CU809" i="1"/>
  <c r="I809" i="1"/>
  <c r="BI809" i="1"/>
  <c r="BH809" i="1"/>
  <c r="DE808" i="1"/>
  <c r="CY808" i="1"/>
  <c r="K808" i="1"/>
  <c r="CX808" i="1"/>
  <c r="CV808" i="1"/>
  <c r="CU808" i="1"/>
  <c r="I808" i="1"/>
  <c r="BI808" i="1"/>
  <c r="BH808" i="1"/>
  <c r="DE1882" i="1"/>
  <c r="CY1882" i="1"/>
  <c r="K1882" i="1"/>
  <c r="CX1882" i="1"/>
  <c r="CV1882" i="1"/>
  <c r="CU1882" i="1"/>
  <c r="I1882" i="1"/>
  <c r="BI1882" i="1"/>
  <c r="BH1882" i="1"/>
  <c r="DE1755" i="1"/>
  <c r="CY1755" i="1"/>
  <c r="K1755" i="1"/>
  <c r="CX1755" i="1"/>
  <c r="CV1755" i="1"/>
  <c r="CU1755" i="1"/>
  <c r="I1755" i="1"/>
  <c r="BI1755" i="1"/>
  <c r="BH1755" i="1"/>
  <c r="DE1753" i="1"/>
  <c r="CY1753" i="1"/>
  <c r="K1753" i="1"/>
  <c r="CX1753" i="1"/>
  <c r="CV1753" i="1"/>
  <c r="CU1753" i="1"/>
  <c r="I1753" i="1"/>
  <c r="BI1753" i="1"/>
  <c r="BH1753" i="1"/>
  <c r="DE1754" i="1"/>
  <c r="CY1754" i="1"/>
  <c r="K1754" i="1"/>
  <c r="CX1754" i="1"/>
  <c r="CV1754" i="1"/>
  <c r="CU1754" i="1"/>
  <c r="I1754" i="1"/>
  <c r="BI1754" i="1"/>
  <c r="BH1754" i="1"/>
  <c r="DE1757" i="1"/>
  <c r="CY1757" i="1"/>
  <c r="K1757" i="1"/>
  <c r="CX1757" i="1"/>
  <c r="CV1757" i="1"/>
  <c r="CU1757" i="1"/>
  <c r="I1757" i="1"/>
  <c r="BI1757" i="1"/>
  <c r="BH1757" i="1"/>
  <c r="DE807" i="1"/>
  <c r="CY807" i="1"/>
  <c r="K807" i="1"/>
  <c r="CX807" i="1"/>
  <c r="CV807" i="1"/>
  <c r="CU807" i="1"/>
  <c r="I807" i="1"/>
  <c r="BI807" i="1"/>
  <c r="BH807" i="1"/>
  <c r="DE1881" i="1"/>
  <c r="CY1881" i="1"/>
  <c r="K1881" i="1"/>
  <c r="CX1881" i="1"/>
  <c r="CV1881" i="1"/>
  <c r="CU1881" i="1"/>
  <c r="I1881" i="1"/>
  <c r="BI1881" i="1"/>
  <c r="BH1881" i="1"/>
  <c r="DE1651" i="1"/>
  <c r="CY1651" i="1"/>
  <c r="K1651" i="1"/>
  <c r="CX1651" i="1"/>
  <c r="CV1651" i="1"/>
  <c r="CU1651" i="1"/>
  <c r="I1651" i="1"/>
  <c r="BI1651" i="1"/>
  <c r="BH1651" i="1"/>
  <c r="DE1663" i="1"/>
  <c r="CY1663" i="1"/>
  <c r="K1663" i="1"/>
  <c r="CX1663" i="1"/>
  <c r="CV1663" i="1"/>
  <c r="CU1663" i="1"/>
  <c r="I1663" i="1"/>
  <c r="BI1663" i="1"/>
  <c r="BH1663" i="1"/>
  <c r="DE1652" i="1"/>
  <c r="CY1652" i="1"/>
  <c r="K1652" i="1"/>
  <c r="CX1652" i="1"/>
  <c r="CV1652" i="1"/>
  <c r="CU1652" i="1"/>
  <c r="I1652" i="1"/>
  <c r="BI1652" i="1"/>
  <c r="BH1652" i="1"/>
  <c r="DE1664" i="1"/>
  <c r="CY1664" i="1"/>
  <c r="K1664" i="1"/>
  <c r="CX1664" i="1"/>
  <c r="CV1664" i="1"/>
  <c r="CU1664" i="1"/>
  <c r="I1664" i="1"/>
  <c r="BI1664" i="1"/>
  <c r="BH1664" i="1"/>
  <c r="DE1801" i="1"/>
  <c r="CY1801" i="1"/>
  <c r="K1801" i="1"/>
  <c r="CX1801" i="1"/>
  <c r="CV1801" i="1"/>
  <c r="CU1801" i="1"/>
  <c r="I1801" i="1"/>
  <c r="BI1801" i="1"/>
  <c r="BH1801" i="1"/>
  <c r="DE1880" i="1"/>
  <c r="CY1880" i="1"/>
  <c r="K1880" i="1"/>
  <c r="CX1880" i="1"/>
  <c r="CV1880" i="1"/>
  <c r="CU1880" i="1"/>
  <c r="I1880" i="1"/>
  <c r="BI1880" i="1"/>
  <c r="BH1880" i="1"/>
  <c r="DE1827" i="1"/>
  <c r="CY1827" i="1"/>
  <c r="K1827" i="1"/>
  <c r="CX1827" i="1"/>
  <c r="CV1827" i="1"/>
  <c r="CU1827" i="1"/>
  <c r="I1827" i="1"/>
  <c r="BI1827" i="1"/>
  <c r="BH1827" i="1"/>
  <c r="DE1866" i="1"/>
  <c r="CY1866" i="1"/>
  <c r="K1866" i="1"/>
  <c r="CX1866" i="1"/>
  <c r="CV1866" i="1"/>
  <c r="CU1866" i="1"/>
  <c r="I1866" i="1"/>
  <c r="BI1866" i="1"/>
  <c r="BH1866" i="1"/>
  <c r="DE1842" i="1"/>
  <c r="CY1842" i="1"/>
  <c r="K1842" i="1"/>
  <c r="CX1842" i="1"/>
  <c r="CV1842" i="1"/>
  <c r="CU1842" i="1"/>
  <c r="I1842" i="1"/>
  <c r="BI1842" i="1"/>
  <c r="BH1842" i="1"/>
  <c r="DE1840" i="1"/>
  <c r="CY1840" i="1"/>
  <c r="K1840" i="1"/>
  <c r="CX1840" i="1"/>
  <c r="CV1840" i="1"/>
  <c r="CU1840" i="1"/>
  <c r="I1840" i="1"/>
  <c r="BI1840" i="1"/>
  <c r="BH1840" i="1"/>
  <c r="DE1826" i="1"/>
  <c r="CY1826" i="1"/>
  <c r="K1826" i="1"/>
  <c r="CX1826" i="1"/>
  <c r="CV1826" i="1"/>
  <c r="CU1826" i="1"/>
  <c r="I1826" i="1"/>
  <c r="BI1826" i="1"/>
  <c r="BH1826" i="1"/>
  <c r="DE1825" i="1"/>
  <c r="CY1825" i="1"/>
  <c r="K1825" i="1"/>
  <c r="CX1825" i="1"/>
  <c r="CV1825" i="1"/>
  <c r="CU1825" i="1"/>
  <c r="I1825" i="1"/>
  <c r="BI1825" i="1"/>
  <c r="BH1825" i="1"/>
  <c r="DE1824" i="1"/>
  <c r="CY1824" i="1"/>
  <c r="K1824" i="1"/>
  <c r="CX1824" i="1"/>
  <c r="CV1824" i="1"/>
  <c r="CU1824" i="1"/>
  <c r="I1824" i="1"/>
  <c r="BI1824" i="1"/>
  <c r="BH1824" i="1"/>
  <c r="DE1823" i="1"/>
  <c r="CY1823" i="1"/>
  <c r="K1823" i="1"/>
  <c r="CX1823" i="1"/>
  <c r="CV1823" i="1"/>
  <c r="CU1823" i="1"/>
  <c r="I1823" i="1"/>
  <c r="BI1823" i="1"/>
  <c r="BH1823" i="1"/>
  <c r="DE1822" i="1"/>
  <c r="CY1822" i="1"/>
  <c r="K1822" i="1"/>
  <c r="CX1822" i="1"/>
  <c r="CV1822" i="1"/>
  <c r="CU1822" i="1"/>
  <c r="I1822" i="1"/>
  <c r="BI1822" i="1"/>
  <c r="BH1822" i="1"/>
  <c r="DE1821" i="1"/>
  <c r="CY1821" i="1"/>
  <c r="K1821" i="1"/>
  <c r="CX1821" i="1"/>
  <c r="CV1821" i="1"/>
  <c r="CU1821" i="1"/>
  <c r="I1821" i="1"/>
  <c r="BI1821" i="1"/>
  <c r="BH1821" i="1"/>
  <c r="DE1820" i="1"/>
  <c r="CY1820" i="1"/>
  <c r="K1820" i="1"/>
  <c r="CX1820" i="1"/>
  <c r="CV1820" i="1"/>
  <c r="CU1820" i="1"/>
  <c r="I1820" i="1"/>
  <c r="BI1820" i="1"/>
  <c r="BH1820" i="1"/>
  <c r="DE1668" i="1"/>
  <c r="CY1668" i="1"/>
  <c r="K1668" i="1"/>
  <c r="CX1668" i="1"/>
  <c r="CV1668" i="1"/>
  <c r="CU1668" i="1"/>
  <c r="I1668" i="1"/>
  <c r="BI1668" i="1"/>
  <c r="BH1668" i="1"/>
  <c r="DE1879" i="1"/>
  <c r="CY1879" i="1"/>
  <c r="K1879" i="1"/>
  <c r="CX1879" i="1"/>
  <c r="CV1879" i="1"/>
  <c r="CU1879" i="1"/>
  <c r="I1879" i="1"/>
  <c r="BI1879" i="1"/>
  <c r="BH1879" i="1"/>
  <c r="DE1669" i="1"/>
  <c r="CY1669" i="1"/>
  <c r="K1669" i="1"/>
  <c r="CX1669" i="1"/>
  <c r="CV1669" i="1"/>
  <c r="CU1669" i="1"/>
  <c r="I1669" i="1"/>
  <c r="BI1669" i="1"/>
  <c r="BH1669" i="1"/>
  <c r="DE1747" i="1"/>
  <c r="CY1747" i="1"/>
  <c r="K1747" i="1"/>
  <c r="CX1747" i="1"/>
  <c r="CV1747" i="1"/>
  <c r="CU1747" i="1"/>
  <c r="I1747" i="1"/>
  <c r="BI1747" i="1"/>
  <c r="BH1747" i="1"/>
  <c r="DE1910" i="1"/>
  <c r="CY1910" i="1"/>
  <c r="K1910" i="1"/>
  <c r="CX1910" i="1"/>
  <c r="CV1910" i="1"/>
  <c r="CU1910" i="1"/>
  <c r="I1910" i="1"/>
  <c r="BI1910" i="1"/>
  <c r="BH1910" i="1"/>
  <c r="DE1746" i="1"/>
  <c r="CY1746" i="1"/>
  <c r="K1746" i="1"/>
  <c r="CX1746" i="1"/>
  <c r="CV1746" i="1"/>
  <c r="CU1746" i="1"/>
  <c r="I1746" i="1"/>
  <c r="BI1746" i="1"/>
  <c r="BH1746" i="1"/>
  <c r="DE1670" i="1"/>
  <c r="CY1670" i="1"/>
  <c r="K1670" i="1"/>
  <c r="CX1670" i="1"/>
  <c r="CV1670" i="1"/>
  <c r="CU1670" i="1"/>
  <c r="I1670" i="1"/>
  <c r="BI1670" i="1"/>
  <c r="BH1670" i="1"/>
  <c r="DE1677" i="1"/>
  <c r="CY1677" i="1"/>
  <c r="K1677" i="1"/>
  <c r="CX1677" i="1"/>
  <c r="CV1677" i="1"/>
  <c r="CU1677" i="1"/>
  <c r="I1677" i="1"/>
  <c r="BI1677" i="1"/>
  <c r="BH1677" i="1"/>
  <c r="DE1909" i="1"/>
  <c r="CY1909" i="1"/>
  <c r="K1909" i="1"/>
  <c r="CX1909" i="1"/>
  <c r="CV1909" i="1"/>
  <c r="CU1909" i="1"/>
  <c r="I1909" i="1"/>
  <c r="BI1909" i="1"/>
  <c r="BH1909" i="1"/>
  <c r="DE1878" i="1"/>
  <c r="CY1878" i="1"/>
  <c r="K1878" i="1"/>
  <c r="CX1878" i="1"/>
  <c r="CV1878" i="1"/>
  <c r="CU1878" i="1"/>
  <c r="I1878" i="1"/>
  <c r="BI1878" i="1"/>
  <c r="BH1878" i="1"/>
  <c r="DE1748" i="1"/>
  <c r="CY1748" i="1"/>
  <c r="K1748" i="1"/>
  <c r="CX1748" i="1"/>
  <c r="CV1748" i="1"/>
  <c r="CU1748" i="1"/>
  <c r="I1748" i="1"/>
  <c r="BI1748" i="1"/>
  <c r="BH1748" i="1"/>
  <c r="DE1908" i="1"/>
  <c r="CY1908" i="1"/>
  <c r="K1908" i="1"/>
  <c r="CX1908" i="1"/>
  <c r="CV1908" i="1"/>
  <c r="CU1908" i="1"/>
  <c r="I1908" i="1"/>
  <c r="BI1908" i="1"/>
  <c r="BH1908" i="1"/>
  <c r="DE1676" i="1"/>
  <c r="CY1676" i="1"/>
  <c r="K1676" i="1"/>
  <c r="CX1676" i="1"/>
  <c r="CV1676" i="1"/>
  <c r="CU1676" i="1"/>
  <c r="I1676" i="1"/>
  <c r="BI1676" i="1"/>
  <c r="BH1676" i="1"/>
  <c r="DE1679" i="1"/>
  <c r="CY1679" i="1"/>
  <c r="K1679" i="1"/>
  <c r="CX1679" i="1"/>
  <c r="CV1679" i="1"/>
  <c r="CU1679" i="1"/>
  <c r="I1679" i="1"/>
  <c r="BI1679" i="1"/>
  <c r="BH1679" i="1"/>
  <c r="DE1907" i="1"/>
  <c r="CY1907" i="1"/>
  <c r="K1907" i="1"/>
  <c r="CX1907" i="1"/>
  <c r="CV1907" i="1"/>
  <c r="CU1907" i="1"/>
  <c r="I1907" i="1"/>
  <c r="BI1907" i="1"/>
  <c r="BH1907" i="1"/>
  <c r="DE1877" i="1"/>
  <c r="CY1877" i="1"/>
  <c r="K1877" i="1"/>
  <c r="CX1877" i="1"/>
  <c r="CV1877" i="1"/>
  <c r="CU1877" i="1"/>
  <c r="I1877" i="1"/>
  <c r="BI1877" i="1"/>
  <c r="BH1877" i="1"/>
  <c r="DE1745" i="1"/>
  <c r="CY1745" i="1"/>
  <c r="K1745" i="1"/>
  <c r="CX1745" i="1"/>
  <c r="CV1745" i="1"/>
  <c r="CU1745" i="1"/>
  <c r="I1745" i="1"/>
  <c r="BI1745" i="1"/>
  <c r="BH1745" i="1"/>
  <c r="DE815" i="1"/>
  <c r="CY815" i="1"/>
  <c r="K815" i="1"/>
  <c r="CX815" i="1"/>
  <c r="CV815" i="1"/>
  <c r="CU815" i="1"/>
  <c r="I815" i="1"/>
  <c r="BI815" i="1"/>
  <c r="BH815" i="1"/>
  <c r="DE1906" i="1"/>
  <c r="CY1906" i="1"/>
  <c r="K1906" i="1"/>
  <c r="CX1906" i="1"/>
  <c r="CV1906" i="1"/>
  <c r="CU1906" i="1"/>
  <c r="I1906" i="1"/>
  <c r="BI1906" i="1"/>
  <c r="BH1906" i="1"/>
  <c r="DE1685" i="1"/>
  <c r="CY1685" i="1"/>
  <c r="K1685" i="1"/>
  <c r="CX1685" i="1"/>
  <c r="CV1685" i="1"/>
  <c r="CU1685" i="1"/>
  <c r="I1685" i="1"/>
  <c r="BI1685" i="1"/>
  <c r="BH1685" i="1"/>
  <c r="DE1819" i="1"/>
  <c r="CY1819" i="1"/>
  <c r="K1819" i="1"/>
  <c r="CX1819" i="1"/>
  <c r="CV1819" i="1"/>
  <c r="CU1819" i="1"/>
  <c r="I1819" i="1"/>
  <c r="BI1819" i="1"/>
  <c r="BH1819" i="1"/>
  <c r="DE1658" i="1"/>
  <c r="CY1658" i="1"/>
  <c r="K1658" i="1"/>
  <c r="CX1658" i="1"/>
  <c r="CV1658" i="1"/>
  <c r="CU1658" i="1"/>
  <c r="I1658" i="1"/>
  <c r="BI1658" i="1"/>
  <c r="BH1658" i="1"/>
  <c r="DE1903" i="1"/>
  <c r="CY1903" i="1"/>
  <c r="K1903" i="1"/>
  <c r="CX1903" i="1"/>
  <c r="CV1903" i="1"/>
  <c r="CU1903" i="1"/>
  <c r="I1903" i="1"/>
  <c r="BI1903" i="1"/>
  <c r="BH1903" i="1"/>
  <c r="DE1876" i="1"/>
  <c r="CY1876" i="1"/>
  <c r="K1876" i="1"/>
  <c r="CX1876" i="1"/>
  <c r="CV1876" i="1"/>
  <c r="CU1876" i="1"/>
  <c r="I1876" i="1"/>
  <c r="BI1876" i="1"/>
  <c r="BH1876" i="1"/>
  <c r="DE1671" i="1"/>
  <c r="CY1671" i="1"/>
  <c r="K1671" i="1"/>
  <c r="CX1671" i="1"/>
  <c r="CV1671" i="1"/>
  <c r="CU1671" i="1"/>
  <c r="I1671" i="1"/>
  <c r="BI1671" i="1"/>
  <c r="BH1671" i="1"/>
  <c r="DE1689" i="1"/>
  <c r="CY1689" i="1"/>
  <c r="K1689" i="1"/>
  <c r="CX1689" i="1"/>
  <c r="CV1689" i="1"/>
  <c r="CU1689" i="1"/>
  <c r="I1689" i="1"/>
  <c r="BI1689" i="1"/>
  <c r="BH1689" i="1"/>
  <c r="DE1744" i="1"/>
  <c r="CY1744" i="1"/>
  <c r="K1744" i="1"/>
  <c r="CX1744" i="1"/>
  <c r="CV1744" i="1"/>
  <c r="CU1744" i="1"/>
  <c r="I1744" i="1"/>
  <c r="BI1744" i="1"/>
  <c r="BH1744" i="1"/>
  <c r="DE1686" i="1"/>
  <c r="CY1686" i="1"/>
  <c r="K1686" i="1"/>
  <c r="CX1686" i="1"/>
  <c r="CV1686" i="1"/>
  <c r="CU1686" i="1"/>
  <c r="I1686" i="1"/>
  <c r="BI1686" i="1"/>
  <c r="BH1686" i="1"/>
  <c r="DE1897" i="1"/>
  <c r="CY1897" i="1"/>
  <c r="K1897" i="1"/>
  <c r="CX1897" i="1"/>
  <c r="CV1897" i="1"/>
  <c r="CU1897" i="1"/>
  <c r="I1897" i="1"/>
  <c r="BI1897" i="1"/>
  <c r="BH1897" i="1"/>
  <c r="DE1688" i="1"/>
  <c r="CY1688" i="1"/>
  <c r="K1688" i="1"/>
  <c r="CX1688" i="1"/>
  <c r="CV1688" i="1"/>
  <c r="CU1688" i="1"/>
  <c r="I1688" i="1"/>
  <c r="BI1688" i="1"/>
  <c r="BH1688" i="1"/>
  <c r="DE1653" i="1"/>
  <c r="CY1653" i="1"/>
  <c r="K1653" i="1"/>
  <c r="CX1653" i="1"/>
  <c r="CV1653" i="1"/>
  <c r="CU1653" i="1"/>
  <c r="I1653" i="1"/>
  <c r="BI1653" i="1"/>
  <c r="BH1653" i="1"/>
  <c r="DE1858" i="1"/>
  <c r="CY1858" i="1"/>
  <c r="K1858" i="1"/>
  <c r="CX1858" i="1"/>
  <c r="CV1858" i="1"/>
  <c r="CU1858" i="1"/>
  <c r="I1858" i="1"/>
  <c r="BI1858" i="1"/>
  <c r="BH1858" i="1"/>
  <c r="DE1875" i="1"/>
  <c r="CY1875" i="1"/>
  <c r="K1875" i="1"/>
  <c r="CX1875" i="1"/>
  <c r="CV1875" i="1"/>
  <c r="CU1875" i="1"/>
  <c r="I1875" i="1"/>
  <c r="BI1875" i="1"/>
  <c r="BH1875" i="1"/>
  <c r="DE1687" i="1"/>
  <c r="CY1687" i="1"/>
  <c r="K1687" i="1"/>
  <c r="CX1687" i="1"/>
  <c r="CV1687" i="1"/>
  <c r="CU1687" i="1"/>
  <c r="I1687" i="1"/>
  <c r="BI1687" i="1"/>
  <c r="BH1687" i="1"/>
  <c r="DE1853" i="1"/>
  <c r="CY1853" i="1"/>
  <c r="K1853" i="1"/>
  <c r="CX1853" i="1"/>
  <c r="CV1853" i="1"/>
  <c r="CU1853" i="1"/>
  <c r="I1853" i="1"/>
  <c r="BI1853" i="1"/>
  <c r="BH1853" i="1"/>
  <c r="DE1673" i="1"/>
  <c r="CY1673" i="1"/>
  <c r="K1673" i="1"/>
  <c r="CX1673" i="1"/>
  <c r="CV1673" i="1"/>
  <c r="CU1673" i="1"/>
  <c r="I1673" i="1"/>
  <c r="BI1673" i="1"/>
  <c r="BH1673" i="1"/>
  <c r="DE1672" i="1"/>
  <c r="CY1672" i="1"/>
  <c r="K1672" i="1"/>
  <c r="CX1672" i="1"/>
  <c r="CV1672" i="1"/>
  <c r="CU1672" i="1"/>
  <c r="I1672" i="1"/>
  <c r="BI1672" i="1"/>
  <c r="BH1672" i="1"/>
  <c r="DE1863" i="1"/>
  <c r="CY1863" i="1"/>
  <c r="K1863" i="1"/>
  <c r="CX1863" i="1"/>
  <c r="CV1863" i="1"/>
  <c r="CU1863" i="1"/>
  <c r="I1863" i="1"/>
  <c r="BI1863" i="1"/>
  <c r="BH1863" i="1"/>
  <c r="DE1874" i="1"/>
  <c r="CY1874" i="1"/>
  <c r="K1874" i="1"/>
  <c r="CX1874" i="1"/>
  <c r="CV1874" i="1"/>
  <c r="CU1874" i="1"/>
  <c r="I1874" i="1"/>
  <c r="BI1874" i="1"/>
  <c r="BH1874" i="1"/>
  <c r="DE1674" i="1"/>
  <c r="CY1674" i="1"/>
  <c r="K1674" i="1"/>
  <c r="CX1674" i="1"/>
  <c r="CV1674" i="1"/>
  <c r="CU1674" i="1"/>
  <c r="I1674" i="1"/>
  <c r="BI1674" i="1"/>
  <c r="BH1674" i="1"/>
  <c r="DE1690" i="1"/>
  <c r="CY1690" i="1"/>
  <c r="K1690" i="1"/>
  <c r="CX1690" i="1"/>
  <c r="CV1690" i="1"/>
  <c r="CU1690" i="1"/>
  <c r="I1690" i="1"/>
  <c r="BI1690" i="1"/>
  <c r="BH1690" i="1"/>
  <c r="DE1683" i="1"/>
  <c r="CY1683" i="1"/>
  <c r="K1683" i="1"/>
  <c r="CX1683" i="1"/>
  <c r="CV1683" i="1"/>
  <c r="CU1683" i="1"/>
  <c r="I1683" i="1"/>
  <c r="BI1683" i="1"/>
  <c r="BH1683" i="1"/>
  <c r="DE1852" i="1"/>
  <c r="CY1852" i="1"/>
  <c r="K1852" i="1"/>
  <c r="CX1852" i="1"/>
  <c r="CV1852" i="1"/>
  <c r="CU1852" i="1"/>
  <c r="I1852" i="1"/>
  <c r="BI1852" i="1"/>
  <c r="BH1852" i="1"/>
  <c r="DE1692" i="1"/>
  <c r="CY1692" i="1"/>
  <c r="K1692" i="1"/>
  <c r="CX1692" i="1"/>
  <c r="CV1692" i="1"/>
  <c r="CU1692" i="1"/>
  <c r="I1692" i="1"/>
  <c r="BI1692" i="1"/>
  <c r="BH1692" i="1"/>
  <c r="DE1741" i="1"/>
  <c r="CY1741" i="1"/>
  <c r="K1741" i="1"/>
  <c r="CX1741" i="1"/>
  <c r="CV1741" i="1"/>
  <c r="CU1741" i="1"/>
  <c r="I1741" i="1"/>
  <c r="BI1741" i="1"/>
  <c r="BH1741" i="1"/>
  <c r="DE1860" i="1"/>
  <c r="CY1860" i="1"/>
  <c r="K1860" i="1"/>
  <c r="CX1860" i="1"/>
  <c r="CV1860" i="1"/>
  <c r="CU1860" i="1"/>
  <c r="I1860" i="1"/>
  <c r="BI1860" i="1"/>
  <c r="BH1860" i="1"/>
  <c r="DE1873" i="1"/>
  <c r="CY1873" i="1"/>
  <c r="K1873" i="1"/>
  <c r="CX1873" i="1"/>
  <c r="CV1873" i="1"/>
  <c r="CU1873" i="1"/>
  <c r="I1873" i="1"/>
  <c r="BI1873" i="1"/>
  <c r="BH1873" i="1"/>
  <c r="DE816" i="1"/>
  <c r="CY816" i="1"/>
  <c r="K816" i="1"/>
  <c r="CX816" i="1"/>
  <c r="CV816" i="1"/>
  <c r="CU816" i="1"/>
  <c r="I816" i="1"/>
  <c r="BI816" i="1"/>
  <c r="BH816" i="1"/>
  <c r="DE1742" i="1"/>
  <c r="CY1742" i="1"/>
  <c r="K1742" i="1"/>
  <c r="CX1742" i="1"/>
  <c r="CV1742" i="1"/>
  <c r="CU1742" i="1"/>
  <c r="I1742" i="1"/>
  <c r="BI1742" i="1"/>
  <c r="BH1742" i="1"/>
  <c r="DE1859" i="1"/>
  <c r="CY1859" i="1"/>
  <c r="K1859" i="1"/>
  <c r="CX1859" i="1"/>
  <c r="CV1859" i="1"/>
  <c r="CU1859" i="1"/>
  <c r="I1859" i="1"/>
  <c r="BI1859" i="1"/>
  <c r="BH1859" i="1"/>
  <c r="DE1691" i="1"/>
  <c r="CY1691" i="1"/>
  <c r="K1691" i="1"/>
  <c r="CX1691" i="1"/>
  <c r="CV1691" i="1"/>
  <c r="CU1691" i="1"/>
  <c r="I1691" i="1"/>
  <c r="BI1691" i="1"/>
  <c r="BH1691" i="1"/>
  <c r="DE1694" i="1"/>
  <c r="CY1694" i="1"/>
  <c r="K1694" i="1"/>
  <c r="CX1694" i="1"/>
  <c r="CV1694" i="1"/>
  <c r="CU1694" i="1"/>
  <c r="I1694" i="1"/>
  <c r="BI1694" i="1"/>
  <c r="BH1694" i="1"/>
  <c r="DE1693" i="1"/>
  <c r="CY1693" i="1"/>
  <c r="K1693" i="1"/>
  <c r="CX1693" i="1"/>
  <c r="CV1693" i="1"/>
  <c r="CU1693" i="1"/>
  <c r="I1693" i="1"/>
  <c r="BI1693" i="1"/>
  <c r="BH1693" i="1"/>
  <c r="DE1851" i="1"/>
  <c r="CY1851" i="1"/>
  <c r="K1851" i="1"/>
  <c r="CX1851" i="1"/>
  <c r="CV1851" i="1"/>
  <c r="CU1851" i="1"/>
  <c r="I1851" i="1"/>
  <c r="BI1851" i="1"/>
  <c r="BH1851" i="1"/>
  <c r="DE1872" i="1"/>
  <c r="CY1872" i="1"/>
  <c r="K1872" i="1"/>
  <c r="CX1872" i="1"/>
  <c r="CV1872" i="1"/>
  <c r="CU1872" i="1"/>
  <c r="I1872" i="1"/>
  <c r="BI1872" i="1"/>
  <c r="BH1872" i="1"/>
  <c r="DE1675" i="1"/>
  <c r="CY1675" i="1"/>
  <c r="K1675" i="1"/>
  <c r="CX1675" i="1"/>
  <c r="CV1675" i="1"/>
  <c r="CU1675" i="1"/>
  <c r="I1675" i="1"/>
  <c r="BI1675" i="1"/>
  <c r="BH1675" i="1"/>
  <c r="DE1696" i="1"/>
  <c r="CY1696" i="1"/>
  <c r="K1696" i="1"/>
  <c r="CX1696" i="1"/>
  <c r="CV1696" i="1"/>
  <c r="CU1696" i="1"/>
  <c r="I1696" i="1"/>
  <c r="BI1696" i="1"/>
  <c r="BH1696" i="1"/>
  <c r="DE1740" i="1"/>
  <c r="CY1740" i="1"/>
  <c r="K1740" i="1"/>
  <c r="CX1740" i="1"/>
  <c r="CV1740" i="1"/>
  <c r="CU1740" i="1"/>
  <c r="I1740" i="1"/>
  <c r="BI1740" i="1"/>
  <c r="BH1740" i="1"/>
  <c r="DE1857" i="1"/>
  <c r="CY1857" i="1"/>
  <c r="K1857" i="1"/>
  <c r="CX1857" i="1"/>
  <c r="CV1857" i="1"/>
  <c r="CU1857" i="1"/>
  <c r="I1857" i="1"/>
  <c r="BI1857" i="1"/>
  <c r="BH1857" i="1"/>
  <c r="DE1654" i="1"/>
  <c r="CY1654" i="1"/>
  <c r="K1654" i="1"/>
  <c r="CX1654" i="1"/>
  <c r="CV1654" i="1"/>
  <c r="CU1654" i="1"/>
  <c r="I1654" i="1"/>
  <c r="BI1654" i="1"/>
  <c r="BH1654" i="1"/>
  <c r="DE1695" i="1"/>
  <c r="CY1695" i="1"/>
  <c r="K1695" i="1"/>
  <c r="CX1695" i="1"/>
  <c r="CV1695" i="1"/>
  <c r="CU1695" i="1"/>
  <c r="I1695" i="1"/>
  <c r="BI1695" i="1"/>
  <c r="BH1695" i="1"/>
  <c r="DE1856" i="1"/>
  <c r="CY1856" i="1"/>
  <c r="K1856" i="1"/>
  <c r="CX1856" i="1"/>
  <c r="CV1856" i="1"/>
  <c r="CU1856" i="1"/>
  <c r="I1856" i="1"/>
  <c r="BI1856" i="1"/>
  <c r="BH1856" i="1"/>
  <c r="DE1871" i="1"/>
  <c r="CY1871" i="1"/>
  <c r="K1871" i="1"/>
  <c r="CX1871" i="1"/>
  <c r="CV1871" i="1"/>
  <c r="CU1871" i="1"/>
  <c r="I1871" i="1"/>
  <c r="BI1871" i="1"/>
  <c r="BH1871" i="1"/>
  <c r="DE1697" i="1"/>
  <c r="CY1697" i="1"/>
  <c r="K1697" i="1"/>
  <c r="CX1697" i="1"/>
  <c r="CV1697" i="1"/>
  <c r="CU1697" i="1"/>
  <c r="I1697" i="1"/>
  <c r="BI1697" i="1"/>
  <c r="BH1697" i="1"/>
  <c r="DE805" i="1"/>
  <c r="CY805" i="1"/>
  <c r="K805" i="1"/>
  <c r="CX805" i="1"/>
  <c r="CV805" i="1"/>
  <c r="CU805" i="1"/>
  <c r="I805" i="1"/>
  <c r="BI805" i="1"/>
  <c r="BH805" i="1"/>
  <c r="DE1854" i="1"/>
  <c r="CY1854" i="1"/>
  <c r="K1854" i="1"/>
  <c r="CX1854" i="1"/>
  <c r="CV1854" i="1"/>
  <c r="CU1854" i="1"/>
  <c r="I1854" i="1"/>
  <c r="BI1854" i="1"/>
  <c r="BH1854" i="1"/>
  <c r="DE1649" i="1"/>
  <c r="CY1649" i="1"/>
  <c r="K1649" i="1"/>
  <c r="CX1649" i="1"/>
  <c r="CV1649" i="1"/>
  <c r="CU1649" i="1"/>
  <c r="I1649" i="1"/>
  <c r="BI1649" i="1"/>
  <c r="BH1649" i="1"/>
  <c r="DE1698" i="1"/>
  <c r="CY1698" i="1"/>
  <c r="K1698" i="1"/>
  <c r="CX1698" i="1"/>
  <c r="CV1698" i="1"/>
  <c r="CU1698" i="1"/>
  <c r="I1698" i="1"/>
  <c r="BI1698" i="1"/>
  <c r="BH1698" i="1"/>
  <c r="DE804" i="1"/>
  <c r="CY804" i="1"/>
  <c r="K804" i="1"/>
  <c r="CX804" i="1"/>
  <c r="CV804" i="1"/>
  <c r="CU804" i="1"/>
  <c r="I804" i="1"/>
  <c r="BI804" i="1"/>
  <c r="BH804" i="1"/>
  <c r="DE1850" i="1"/>
  <c r="CY1850" i="1"/>
  <c r="K1850" i="1"/>
  <c r="CX1850" i="1"/>
  <c r="CV1850" i="1"/>
  <c r="CU1850" i="1"/>
  <c r="I1850" i="1"/>
  <c r="BI1850" i="1"/>
  <c r="BH1850" i="1"/>
  <c r="DE1870" i="1"/>
  <c r="CY1870" i="1"/>
  <c r="K1870" i="1"/>
  <c r="CX1870" i="1"/>
  <c r="CV1870" i="1"/>
  <c r="CU1870" i="1"/>
  <c r="I1870" i="1"/>
  <c r="BI1870" i="1"/>
  <c r="BH1870" i="1"/>
  <c r="DE803" i="1"/>
  <c r="CY803" i="1"/>
  <c r="K803" i="1"/>
  <c r="CX803" i="1"/>
  <c r="CV803" i="1"/>
  <c r="CU803" i="1"/>
  <c r="I803" i="1"/>
  <c r="BI803" i="1"/>
  <c r="BH803" i="1"/>
  <c r="DE1849" i="1"/>
  <c r="CY1849" i="1"/>
  <c r="K1849" i="1"/>
  <c r="CX1849" i="1"/>
  <c r="CV1849" i="1"/>
  <c r="CU1849" i="1"/>
  <c r="I1849" i="1"/>
  <c r="BI1849" i="1"/>
  <c r="BH1849" i="1"/>
  <c r="DE802" i="1"/>
  <c r="CY802" i="1"/>
  <c r="K802" i="1"/>
  <c r="CX802" i="1"/>
  <c r="CV802" i="1"/>
  <c r="CU802" i="1"/>
  <c r="I802" i="1"/>
  <c r="BI802" i="1"/>
  <c r="BH802" i="1"/>
  <c r="DE1678" i="1"/>
  <c r="CY1678" i="1"/>
  <c r="K1678" i="1"/>
  <c r="CX1678" i="1"/>
  <c r="CV1678" i="1"/>
  <c r="CU1678" i="1"/>
  <c r="I1678" i="1"/>
  <c r="BI1678" i="1"/>
  <c r="BH1678" i="1"/>
  <c r="DE1645" i="1"/>
  <c r="CY1645" i="1"/>
  <c r="K1645" i="1"/>
  <c r="CX1645" i="1"/>
  <c r="CV1645" i="1"/>
  <c r="CU1645" i="1"/>
  <c r="I1645" i="1"/>
  <c r="BI1645" i="1"/>
  <c r="BH1645" i="1"/>
  <c r="DE1848" i="1"/>
  <c r="CY1848" i="1"/>
  <c r="K1848" i="1"/>
  <c r="CX1848" i="1"/>
  <c r="CV1848" i="1"/>
  <c r="CU1848" i="1"/>
  <c r="I1848" i="1"/>
  <c r="BI1848" i="1"/>
  <c r="BH1848" i="1"/>
  <c r="DE742" i="1"/>
  <c r="CY742" i="1"/>
  <c r="K742" i="1"/>
  <c r="CX742" i="1"/>
  <c r="CV742" i="1"/>
  <c r="CU742" i="1"/>
  <c r="I742" i="1"/>
  <c r="BI742" i="1"/>
  <c r="BH742" i="1"/>
  <c r="DE1847" i="1"/>
  <c r="CY1847" i="1"/>
  <c r="K1847" i="1"/>
  <c r="CX1847" i="1"/>
  <c r="CV1847" i="1"/>
  <c r="CU1847" i="1"/>
  <c r="I1847" i="1"/>
  <c r="BI1847" i="1"/>
  <c r="BH1847" i="1"/>
  <c r="DE1167" i="1"/>
  <c r="CY1167" i="1"/>
  <c r="K1167" i="1"/>
  <c r="CX1167" i="1"/>
  <c r="CV1167" i="1"/>
  <c r="CU1167" i="1"/>
  <c r="I1167" i="1"/>
  <c r="BI1167" i="1"/>
  <c r="BH1167" i="1"/>
  <c r="DE1650" i="1"/>
  <c r="CY1650" i="1"/>
  <c r="K1650" i="1"/>
  <c r="CX1650" i="1"/>
  <c r="CV1650" i="1"/>
  <c r="CU1650" i="1"/>
  <c r="I1650" i="1"/>
  <c r="BI1650" i="1"/>
  <c r="BH1650" i="1"/>
  <c r="DE1869" i="1"/>
  <c r="CY1869" i="1"/>
  <c r="K1869" i="1"/>
  <c r="CX1869" i="1"/>
  <c r="CV1869" i="1"/>
  <c r="CU1869" i="1"/>
  <c r="I1869" i="1"/>
  <c r="BI1869" i="1"/>
  <c r="BH1869" i="1"/>
  <c r="DE1868" i="1"/>
  <c r="CY1868" i="1"/>
  <c r="K1868" i="1"/>
  <c r="CX1868" i="1"/>
  <c r="CV1868" i="1"/>
  <c r="CU1868" i="1"/>
  <c r="I1868" i="1"/>
  <c r="BI1868" i="1"/>
  <c r="BH1868" i="1"/>
  <c r="DE1682" i="1"/>
  <c r="CY1682" i="1"/>
  <c r="K1682" i="1"/>
  <c r="CX1682" i="1"/>
  <c r="CV1682" i="1"/>
  <c r="CU1682" i="1"/>
  <c r="I1682" i="1"/>
  <c r="BI1682" i="1"/>
  <c r="BH1682" i="1"/>
  <c r="DE1738" i="1"/>
  <c r="CY1738" i="1"/>
  <c r="K1738" i="1"/>
  <c r="CX1738" i="1"/>
  <c r="CV1738" i="1"/>
  <c r="CU1738" i="1"/>
  <c r="I1738" i="1"/>
  <c r="BI1738" i="1"/>
  <c r="BH1738" i="1"/>
  <c r="DE1739" i="1"/>
  <c r="CY1739" i="1"/>
  <c r="K1739" i="1"/>
  <c r="CX1739" i="1"/>
  <c r="CV1739" i="1"/>
  <c r="CU1739" i="1"/>
  <c r="I1739" i="1"/>
  <c r="BI1739" i="1"/>
  <c r="BH1739" i="1"/>
  <c r="DE1656" i="1"/>
  <c r="CY1656" i="1"/>
  <c r="K1656" i="1"/>
  <c r="CX1656" i="1"/>
  <c r="CV1656" i="1"/>
  <c r="CU1656" i="1"/>
  <c r="I1656" i="1"/>
  <c r="BI1656" i="1"/>
  <c r="BH1656" i="1"/>
  <c r="DE1684" i="1"/>
  <c r="CY1684" i="1"/>
  <c r="K1684" i="1"/>
  <c r="CX1684" i="1"/>
  <c r="CV1684" i="1"/>
  <c r="CU1684" i="1"/>
  <c r="I1684" i="1"/>
  <c r="BI1684" i="1"/>
  <c r="BH1684" i="1"/>
  <c r="DE1699" i="1"/>
  <c r="CY1699" i="1"/>
  <c r="K1699" i="1"/>
  <c r="CX1699" i="1"/>
  <c r="CV1699" i="1"/>
  <c r="CU1699" i="1"/>
  <c r="I1699" i="1"/>
  <c r="BI1699" i="1"/>
  <c r="BH1699" i="1"/>
  <c r="DE801" i="1"/>
  <c r="CY801" i="1"/>
  <c r="K801" i="1"/>
  <c r="CX801" i="1"/>
  <c r="CV801" i="1"/>
  <c r="CU801" i="1"/>
  <c r="I801" i="1"/>
  <c r="BI801" i="1"/>
  <c r="BH801" i="1"/>
  <c r="DE800" i="1"/>
  <c r="CY800" i="1"/>
  <c r="K800" i="1"/>
  <c r="CX800" i="1"/>
  <c r="CV800" i="1"/>
  <c r="CU800" i="1"/>
  <c r="I800" i="1"/>
  <c r="BI800" i="1"/>
  <c r="BH800" i="1"/>
  <c r="DE1867" i="1"/>
  <c r="CY1867" i="1"/>
  <c r="K1867" i="1"/>
  <c r="CX1867" i="1"/>
  <c r="CV1867" i="1"/>
  <c r="CU1867" i="1"/>
  <c r="I1867" i="1"/>
  <c r="BI1867" i="1"/>
  <c r="BH1867" i="1"/>
  <c r="DE799" i="1"/>
  <c r="CY799" i="1"/>
  <c r="K799" i="1"/>
  <c r="CX799" i="1"/>
  <c r="CV799" i="1"/>
  <c r="CU799" i="1"/>
  <c r="I799" i="1"/>
  <c r="BI799" i="1"/>
  <c r="BH799" i="1"/>
  <c r="DE1743" i="1"/>
  <c r="CY1743" i="1"/>
  <c r="K1743" i="1"/>
  <c r="CX1743" i="1"/>
  <c r="CV1743" i="1"/>
  <c r="CU1743" i="1"/>
  <c r="I1743" i="1"/>
  <c r="BI1743" i="1"/>
  <c r="BH1743" i="1"/>
  <c r="DE1736" i="1"/>
  <c r="CY1736" i="1"/>
  <c r="K1736" i="1"/>
  <c r="CX1736" i="1"/>
  <c r="CV1736" i="1"/>
  <c r="CU1736" i="1"/>
  <c r="I1736" i="1"/>
  <c r="BI1736" i="1"/>
  <c r="BH1736" i="1"/>
  <c r="DE1818" i="1"/>
  <c r="CY1818" i="1"/>
  <c r="K1818" i="1"/>
  <c r="CX1818" i="1"/>
  <c r="CV1818" i="1"/>
  <c r="CU1818" i="1"/>
  <c r="I1818" i="1"/>
  <c r="BI1818" i="1"/>
  <c r="BH1818" i="1"/>
  <c r="DE1817" i="1"/>
  <c r="CY1817" i="1"/>
  <c r="K1817" i="1"/>
  <c r="CX1817" i="1"/>
  <c r="CV1817" i="1"/>
  <c r="CU1817" i="1"/>
  <c r="I1817" i="1"/>
  <c r="BI1817" i="1"/>
  <c r="BH1817" i="1"/>
  <c r="DE1735" i="1"/>
  <c r="CY1735" i="1"/>
  <c r="K1735" i="1"/>
  <c r="CX1735" i="1"/>
  <c r="CV1735" i="1"/>
  <c r="CU1735" i="1"/>
  <c r="I1735" i="1"/>
  <c r="BI1735" i="1"/>
  <c r="BH1735" i="1"/>
  <c r="DE1657" i="1"/>
  <c r="CY1657" i="1"/>
  <c r="K1657" i="1"/>
  <c r="CX1657" i="1"/>
  <c r="CV1657" i="1"/>
  <c r="CU1657" i="1"/>
  <c r="I1657" i="1"/>
  <c r="BI1657" i="1"/>
  <c r="BH1657" i="1"/>
  <c r="DE819" i="1"/>
  <c r="CY819" i="1"/>
  <c r="K819" i="1"/>
  <c r="CX819" i="1"/>
  <c r="CV819" i="1"/>
  <c r="CU819" i="1"/>
  <c r="I819" i="1"/>
  <c r="BI819" i="1"/>
  <c r="BH819" i="1"/>
  <c r="DE1806" i="1"/>
  <c r="CY1806" i="1"/>
  <c r="K1806" i="1"/>
  <c r="CX1806" i="1"/>
  <c r="CV1806" i="1"/>
  <c r="CU1806" i="1"/>
  <c r="I1806" i="1"/>
  <c r="BI1806" i="1"/>
  <c r="BH1806" i="1"/>
  <c r="DE1734" i="1"/>
  <c r="CY1734" i="1"/>
  <c r="K1734" i="1"/>
  <c r="CX1734" i="1"/>
  <c r="CV1734" i="1"/>
  <c r="CU1734" i="1"/>
  <c r="I1734" i="1"/>
  <c r="BI1734" i="1"/>
  <c r="BH1734" i="1"/>
  <c r="DE1816" i="1"/>
  <c r="CY1816" i="1"/>
  <c r="K1816" i="1"/>
  <c r="CX1816" i="1"/>
  <c r="CV1816" i="1"/>
  <c r="CU1816" i="1"/>
  <c r="I1816" i="1"/>
  <c r="BI1816" i="1"/>
  <c r="BH1816" i="1"/>
  <c r="DE1737" i="1"/>
  <c r="CY1737" i="1"/>
  <c r="K1737" i="1"/>
  <c r="CX1737" i="1"/>
  <c r="CV1737" i="1"/>
  <c r="CU1737" i="1"/>
  <c r="I1737" i="1"/>
  <c r="BI1737" i="1"/>
  <c r="BH1737" i="1"/>
  <c r="DE1702" i="1"/>
  <c r="CY1702" i="1"/>
  <c r="K1702" i="1"/>
  <c r="CX1702" i="1"/>
  <c r="CV1702" i="1"/>
  <c r="CU1702" i="1"/>
  <c r="I1702" i="1"/>
  <c r="BI1702" i="1"/>
  <c r="BH1702" i="1"/>
  <c r="DE1733" i="1"/>
  <c r="CY1733" i="1"/>
  <c r="K1733" i="1"/>
  <c r="CX1733" i="1"/>
  <c r="CV1733" i="1"/>
  <c r="CU1733" i="1"/>
  <c r="I1733" i="1"/>
  <c r="BI1733" i="1"/>
  <c r="BH1733" i="1"/>
  <c r="DE1765" i="1"/>
  <c r="CY1765" i="1"/>
  <c r="K1765" i="1"/>
  <c r="CX1765" i="1"/>
  <c r="CV1765" i="1"/>
  <c r="CU1765" i="1"/>
  <c r="I1765" i="1"/>
  <c r="BI1765" i="1"/>
  <c r="BH1765" i="1"/>
  <c r="DE1646" i="1"/>
  <c r="CY1646" i="1"/>
  <c r="K1646" i="1"/>
  <c r="CX1646" i="1"/>
  <c r="CV1646" i="1"/>
  <c r="CU1646" i="1"/>
  <c r="I1646" i="1"/>
  <c r="BI1646" i="1"/>
  <c r="BH1646" i="1"/>
  <c r="DE1731" i="1"/>
  <c r="CY1731" i="1"/>
  <c r="K1731" i="1"/>
  <c r="CX1731" i="1"/>
  <c r="CV1731" i="1"/>
  <c r="CU1731" i="1"/>
  <c r="I1731" i="1"/>
  <c r="BI1731" i="1"/>
  <c r="BH1731" i="1"/>
  <c r="DE1666" i="1"/>
  <c r="CY1666" i="1"/>
  <c r="K1666" i="1"/>
  <c r="CX1666" i="1"/>
  <c r="CV1666" i="1"/>
  <c r="CU1666" i="1"/>
  <c r="I1666" i="1"/>
  <c r="BI1666" i="1"/>
  <c r="BH1666" i="1"/>
  <c r="DE1732" i="1"/>
  <c r="CY1732" i="1"/>
  <c r="K1732" i="1"/>
  <c r="CX1732" i="1"/>
  <c r="CV1732" i="1"/>
  <c r="CU1732" i="1"/>
  <c r="I1732" i="1"/>
  <c r="BI1732" i="1"/>
  <c r="BH1732" i="1"/>
  <c r="DE1749" i="1"/>
  <c r="CY1749" i="1"/>
  <c r="K1749" i="1"/>
  <c r="CX1749" i="1"/>
  <c r="CV1749" i="1"/>
  <c r="CU1749" i="1"/>
  <c r="I1749" i="1"/>
  <c r="BI1749" i="1"/>
  <c r="BH1749" i="1"/>
  <c r="DE1700" i="1"/>
  <c r="CY1700" i="1"/>
  <c r="K1700" i="1"/>
  <c r="CX1700" i="1"/>
  <c r="CV1700" i="1"/>
  <c r="CU1700" i="1"/>
  <c r="I1700" i="1"/>
  <c r="BI1700" i="1"/>
  <c r="BH1700" i="1"/>
  <c r="DE1730" i="1"/>
  <c r="CY1730" i="1"/>
  <c r="K1730" i="1"/>
  <c r="CX1730" i="1"/>
  <c r="CV1730" i="1"/>
  <c r="CU1730" i="1"/>
  <c r="I1730" i="1"/>
  <c r="BI1730" i="1"/>
  <c r="BH1730" i="1"/>
  <c r="DE1662" i="1"/>
  <c r="CY1662" i="1"/>
  <c r="K1662" i="1"/>
  <c r="CX1662" i="1"/>
  <c r="CV1662" i="1"/>
  <c r="CU1662" i="1"/>
  <c r="I1662" i="1"/>
  <c r="BI1662" i="1"/>
  <c r="BH1662" i="1"/>
  <c r="DE1815" i="1"/>
  <c r="CY1815" i="1"/>
  <c r="K1815" i="1"/>
  <c r="CX1815" i="1"/>
  <c r="CV1815" i="1"/>
  <c r="CU1815" i="1"/>
  <c r="I1815" i="1"/>
  <c r="BI1815" i="1"/>
  <c r="BH1815" i="1"/>
  <c r="DE1729" i="1"/>
  <c r="CY1729" i="1"/>
  <c r="K1729" i="1"/>
  <c r="CX1729" i="1"/>
  <c r="CV1729" i="1"/>
  <c r="CU1729" i="1"/>
  <c r="I1729" i="1"/>
  <c r="BI1729" i="1"/>
  <c r="BH1729" i="1"/>
  <c r="DE1705" i="1"/>
  <c r="CY1705" i="1"/>
  <c r="K1705" i="1"/>
  <c r="CX1705" i="1"/>
  <c r="CV1705" i="1"/>
  <c r="CU1705" i="1"/>
  <c r="I1705" i="1"/>
  <c r="BI1705" i="1"/>
  <c r="BH1705" i="1"/>
  <c r="DE1703" i="1"/>
  <c r="CY1703" i="1"/>
  <c r="K1703" i="1"/>
  <c r="CX1703" i="1"/>
  <c r="CV1703" i="1"/>
  <c r="CU1703" i="1"/>
  <c r="I1703" i="1"/>
  <c r="BI1703" i="1"/>
  <c r="BH1703" i="1"/>
  <c r="DE814" i="1"/>
  <c r="CY814" i="1"/>
  <c r="K814" i="1"/>
  <c r="CX814" i="1"/>
  <c r="CV814" i="1"/>
  <c r="CU814" i="1"/>
  <c r="I814" i="1"/>
  <c r="BI814" i="1"/>
  <c r="BH814" i="1"/>
  <c r="DE1725" i="1"/>
  <c r="CY1725" i="1"/>
  <c r="K1725" i="1"/>
  <c r="CX1725" i="1"/>
  <c r="CV1725" i="1"/>
  <c r="CU1725" i="1"/>
  <c r="I1725" i="1"/>
  <c r="BI1725" i="1"/>
  <c r="BH1725" i="1"/>
  <c r="DE1727" i="1"/>
  <c r="CY1727" i="1"/>
  <c r="K1727" i="1"/>
  <c r="CX1727" i="1"/>
  <c r="CV1727" i="1"/>
  <c r="CU1727" i="1"/>
  <c r="I1727" i="1"/>
  <c r="BI1727" i="1"/>
  <c r="BH1727" i="1"/>
  <c r="DE1726" i="1"/>
  <c r="CY1726" i="1"/>
  <c r="K1726" i="1"/>
  <c r="CX1726" i="1"/>
  <c r="CV1726" i="1"/>
  <c r="CU1726" i="1"/>
  <c r="I1726" i="1"/>
  <c r="BI1726" i="1"/>
  <c r="BH1726" i="1"/>
  <c r="DE1750" i="1"/>
  <c r="CY1750" i="1"/>
  <c r="K1750" i="1"/>
  <c r="CX1750" i="1"/>
  <c r="CV1750" i="1"/>
  <c r="CU1750" i="1"/>
  <c r="I1750" i="1"/>
  <c r="BI1750" i="1"/>
  <c r="BH1750" i="1"/>
  <c r="DE1724" i="1"/>
  <c r="CY1724" i="1"/>
  <c r="K1724" i="1"/>
  <c r="CX1724" i="1"/>
  <c r="CV1724" i="1"/>
  <c r="CU1724" i="1"/>
  <c r="I1724" i="1"/>
  <c r="BI1724" i="1"/>
  <c r="BH1724" i="1"/>
  <c r="DE1814" i="1"/>
  <c r="CY1814" i="1"/>
  <c r="K1814" i="1"/>
  <c r="CX1814" i="1"/>
  <c r="CV1814" i="1"/>
  <c r="CU1814" i="1"/>
  <c r="I1814" i="1"/>
  <c r="BI1814" i="1"/>
  <c r="BH1814" i="1"/>
  <c r="DE1723" i="1"/>
  <c r="CY1723" i="1"/>
  <c r="K1723" i="1"/>
  <c r="CX1723" i="1"/>
  <c r="CV1723" i="1"/>
  <c r="CU1723" i="1"/>
  <c r="I1723" i="1"/>
  <c r="BI1723" i="1"/>
  <c r="BH1723" i="1"/>
  <c r="DE1803" i="1"/>
  <c r="CY1803" i="1"/>
  <c r="K1803" i="1"/>
  <c r="CX1803" i="1"/>
  <c r="CV1803" i="1"/>
  <c r="CU1803" i="1"/>
  <c r="I1803" i="1"/>
  <c r="BI1803" i="1"/>
  <c r="BH1803" i="1"/>
  <c r="DE1721" i="1"/>
  <c r="CY1721" i="1"/>
  <c r="K1721" i="1"/>
  <c r="CX1721" i="1"/>
  <c r="CV1721" i="1"/>
  <c r="CU1721" i="1"/>
  <c r="I1721" i="1"/>
  <c r="BI1721" i="1"/>
  <c r="BH1721" i="1"/>
  <c r="DE1648" i="1"/>
  <c r="CY1648" i="1"/>
  <c r="K1648" i="1"/>
  <c r="CX1648" i="1"/>
  <c r="CV1648" i="1"/>
  <c r="CU1648" i="1"/>
  <c r="I1648" i="1"/>
  <c r="BI1648" i="1"/>
  <c r="BH1648" i="1"/>
  <c r="DE1807" i="1"/>
  <c r="CY1807" i="1"/>
  <c r="K1807" i="1"/>
  <c r="CX1807" i="1"/>
  <c r="CV1807" i="1"/>
  <c r="CU1807" i="1"/>
  <c r="I1807" i="1"/>
  <c r="BI1807" i="1"/>
  <c r="BH1807" i="1"/>
  <c r="DE1722" i="1"/>
  <c r="CY1722" i="1"/>
  <c r="K1722" i="1"/>
  <c r="CX1722" i="1"/>
  <c r="CV1722" i="1"/>
  <c r="CU1722" i="1"/>
  <c r="I1722" i="1"/>
  <c r="BI1722" i="1"/>
  <c r="BH1722" i="1"/>
  <c r="DE903" i="1"/>
  <c r="CY903" i="1"/>
  <c r="K903" i="1"/>
  <c r="CX903" i="1"/>
  <c r="CV903" i="1"/>
  <c r="CU903" i="1"/>
  <c r="I903" i="1"/>
  <c r="BI903" i="1"/>
  <c r="BH903" i="1"/>
  <c r="DE1813" i="1"/>
  <c r="CY1813" i="1"/>
  <c r="K1813" i="1"/>
  <c r="CX1813" i="1"/>
  <c r="CV1813" i="1"/>
  <c r="CU1813" i="1"/>
  <c r="I1813" i="1"/>
  <c r="BI1813" i="1"/>
  <c r="BH1813" i="1"/>
  <c r="DE1720" i="1"/>
  <c r="CY1720" i="1"/>
  <c r="K1720" i="1"/>
  <c r="CX1720" i="1"/>
  <c r="CV1720" i="1"/>
  <c r="CU1720" i="1"/>
  <c r="I1720" i="1"/>
  <c r="BI1720" i="1"/>
  <c r="BH1720" i="1"/>
  <c r="DE1805" i="1"/>
  <c r="CY1805" i="1"/>
  <c r="K1805" i="1"/>
  <c r="CX1805" i="1"/>
  <c r="CV1805" i="1"/>
  <c r="CU1805" i="1"/>
  <c r="I1805" i="1"/>
  <c r="BI1805" i="1"/>
  <c r="BH1805" i="1"/>
  <c r="DE1659" i="1"/>
  <c r="CY1659" i="1"/>
  <c r="K1659" i="1"/>
  <c r="CX1659" i="1"/>
  <c r="CV1659" i="1"/>
  <c r="CU1659" i="1"/>
  <c r="I1659" i="1"/>
  <c r="BI1659" i="1"/>
  <c r="BH1659" i="1"/>
  <c r="DE758" i="1"/>
  <c r="CY758" i="1"/>
  <c r="K758" i="1"/>
  <c r="CX758" i="1"/>
  <c r="CV758" i="1"/>
  <c r="CU758" i="1"/>
  <c r="I758" i="1"/>
  <c r="BI758" i="1"/>
  <c r="BH758" i="1"/>
  <c r="DE1680" i="1"/>
  <c r="CY1680" i="1"/>
  <c r="K1680" i="1"/>
  <c r="CX1680" i="1"/>
  <c r="CV1680" i="1"/>
  <c r="CU1680" i="1"/>
  <c r="I1680" i="1"/>
  <c r="BI1680" i="1"/>
  <c r="BH1680" i="1"/>
  <c r="DE1701" i="1"/>
  <c r="CY1701" i="1"/>
  <c r="K1701" i="1"/>
  <c r="CX1701" i="1"/>
  <c r="CV1701" i="1"/>
  <c r="CU1701" i="1"/>
  <c r="I1701" i="1"/>
  <c r="BI1701" i="1"/>
  <c r="BH1701" i="1"/>
  <c r="DE749" i="1"/>
  <c r="CY749" i="1"/>
  <c r="K749" i="1"/>
  <c r="CX749" i="1"/>
  <c r="CV749" i="1"/>
  <c r="CU749" i="1"/>
  <c r="I749" i="1"/>
  <c r="BI749" i="1"/>
  <c r="BH749" i="1"/>
  <c r="DE821" i="1"/>
  <c r="CY821" i="1"/>
  <c r="K821" i="1"/>
  <c r="CX821" i="1"/>
  <c r="CV821" i="1"/>
  <c r="CU821" i="1"/>
  <c r="I821" i="1"/>
  <c r="BI821" i="1"/>
  <c r="BH821" i="1"/>
  <c r="DE751" i="1"/>
  <c r="CY751" i="1"/>
  <c r="K751" i="1"/>
  <c r="CX751" i="1"/>
  <c r="CV751" i="1"/>
  <c r="CU751" i="1"/>
  <c r="I751" i="1"/>
  <c r="BI751" i="1"/>
  <c r="BH751" i="1"/>
  <c r="DE752" i="1"/>
  <c r="CY752" i="1"/>
  <c r="K752" i="1"/>
  <c r="CX752" i="1"/>
  <c r="CV752" i="1"/>
  <c r="CU752" i="1"/>
  <c r="I752" i="1"/>
  <c r="BI752" i="1"/>
  <c r="BH752" i="1"/>
  <c r="DE753" i="1"/>
  <c r="CY753" i="1"/>
  <c r="K753" i="1"/>
  <c r="CX753" i="1"/>
  <c r="CV753" i="1"/>
  <c r="CU753" i="1"/>
  <c r="I753" i="1"/>
  <c r="BI753" i="1"/>
  <c r="BH753" i="1"/>
  <c r="DE754" i="1"/>
  <c r="CY754" i="1"/>
  <c r="K754" i="1"/>
  <c r="CX754" i="1"/>
  <c r="CV754" i="1"/>
  <c r="CU754" i="1"/>
  <c r="I754" i="1"/>
  <c r="BI754" i="1"/>
  <c r="BH754" i="1"/>
  <c r="DE755" i="1"/>
  <c r="CY755" i="1"/>
  <c r="K755" i="1"/>
  <c r="CX755" i="1"/>
  <c r="CV755" i="1"/>
  <c r="CU755" i="1"/>
  <c r="I755" i="1"/>
  <c r="BI755" i="1"/>
  <c r="BH755" i="1"/>
  <c r="DE756" i="1"/>
  <c r="CY756" i="1"/>
  <c r="K756" i="1"/>
  <c r="CX756" i="1"/>
  <c r="CV756" i="1"/>
  <c r="CU756" i="1"/>
  <c r="I756" i="1"/>
  <c r="BI756" i="1"/>
  <c r="BH756" i="1"/>
  <c r="DE757" i="1"/>
  <c r="CY757" i="1"/>
  <c r="K757" i="1"/>
  <c r="CX757" i="1"/>
  <c r="CV757" i="1"/>
  <c r="CU757" i="1"/>
  <c r="I757" i="1"/>
  <c r="BI757" i="1"/>
  <c r="BH757" i="1"/>
  <c r="DE759" i="1"/>
  <c r="CY759" i="1"/>
  <c r="K759" i="1"/>
  <c r="CX759" i="1"/>
  <c r="CV759" i="1"/>
  <c r="CU759" i="1"/>
  <c r="I759" i="1"/>
  <c r="BI759" i="1"/>
  <c r="BH759" i="1"/>
  <c r="DE760" i="1"/>
  <c r="CY760" i="1"/>
  <c r="K760" i="1"/>
  <c r="CX760" i="1"/>
  <c r="CV760" i="1"/>
  <c r="CU760" i="1"/>
  <c r="I760" i="1"/>
  <c r="BI760" i="1"/>
  <c r="BH760" i="1"/>
  <c r="DE761" i="1"/>
  <c r="CY761" i="1"/>
  <c r="K761" i="1"/>
  <c r="CX761" i="1"/>
  <c r="CV761" i="1"/>
  <c r="CU761" i="1"/>
  <c r="I761" i="1"/>
  <c r="BI761" i="1"/>
  <c r="BH761" i="1"/>
  <c r="DE762" i="1"/>
  <c r="CY762" i="1"/>
  <c r="K762" i="1"/>
  <c r="CX762" i="1"/>
  <c r="CV762" i="1"/>
  <c r="CU762" i="1"/>
  <c r="I762" i="1"/>
  <c r="BI762" i="1"/>
  <c r="BH762" i="1"/>
  <c r="DE763" i="1"/>
  <c r="CY763" i="1"/>
  <c r="K763" i="1"/>
  <c r="CX763" i="1"/>
  <c r="CV763" i="1"/>
  <c r="CU763" i="1"/>
  <c r="I763" i="1"/>
  <c r="BI763" i="1"/>
  <c r="BH763" i="1"/>
  <c r="DE766" i="1"/>
  <c r="CY766" i="1"/>
  <c r="K766" i="1"/>
  <c r="CX766" i="1"/>
  <c r="CV766" i="1"/>
  <c r="CU766" i="1"/>
  <c r="I766" i="1"/>
  <c r="BI766" i="1"/>
  <c r="BH766" i="1"/>
  <c r="DE767" i="1"/>
  <c r="CY767" i="1"/>
  <c r="K767" i="1"/>
  <c r="CX767" i="1"/>
  <c r="CV767" i="1"/>
  <c r="CU767" i="1"/>
  <c r="I767" i="1"/>
  <c r="BI767" i="1"/>
  <c r="BH767" i="1"/>
  <c r="DE768" i="1"/>
  <c r="CY768" i="1"/>
  <c r="K768" i="1"/>
  <c r="CX768" i="1"/>
  <c r="CV768" i="1"/>
  <c r="CU768" i="1"/>
  <c r="I768" i="1"/>
  <c r="BI768" i="1"/>
  <c r="BH768" i="1"/>
  <c r="DE769" i="1"/>
  <c r="CY769" i="1"/>
  <c r="K769" i="1"/>
  <c r="CX769" i="1"/>
  <c r="CV769" i="1"/>
  <c r="CU769" i="1"/>
  <c r="I769" i="1"/>
  <c r="BI769" i="1"/>
  <c r="BH769" i="1"/>
  <c r="DE770" i="1"/>
  <c r="CY770" i="1"/>
  <c r="K770" i="1"/>
  <c r="CX770" i="1"/>
  <c r="CV770" i="1"/>
  <c r="CU770" i="1"/>
  <c r="I770" i="1"/>
  <c r="BI770" i="1"/>
  <c r="BH770" i="1"/>
  <c r="DE771" i="1"/>
  <c r="CY771" i="1"/>
  <c r="K771" i="1"/>
  <c r="CX771" i="1"/>
  <c r="CV771" i="1"/>
  <c r="CU771" i="1"/>
  <c r="I771" i="1"/>
  <c r="BI771" i="1"/>
  <c r="BH771" i="1"/>
  <c r="DE772" i="1"/>
  <c r="CY772" i="1"/>
  <c r="K772" i="1"/>
  <c r="CX772" i="1"/>
  <c r="CV772" i="1"/>
  <c r="CU772" i="1"/>
  <c r="I772" i="1"/>
  <c r="BI772" i="1"/>
  <c r="BH772" i="1"/>
  <c r="DE773" i="1"/>
  <c r="CY773" i="1"/>
  <c r="K773" i="1"/>
  <c r="CX773" i="1"/>
  <c r="CV773" i="1"/>
  <c r="CU773" i="1"/>
  <c r="I773" i="1"/>
  <c r="BI773" i="1"/>
  <c r="BH773" i="1"/>
  <c r="DE774" i="1"/>
  <c r="CY774" i="1"/>
  <c r="K774" i="1"/>
  <c r="CX774" i="1"/>
  <c r="CV774" i="1"/>
  <c r="CU774" i="1"/>
  <c r="I774" i="1"/>
  <c r="BI774" i="1"/>
  <c r="BH774" i="1"/>
  <c r="DE775" i="1"/>
  <c r="CY775" i="1"/>
  <c r="K775" i="1"/>
  <c r="CX775" i="1"/>
  <c r="CV775" i="1"/>
  <c r="CU775" i="1"/>
  <c r="I775" i="1"/>
  <c r="BI775" i="1"/>
  <c r="BH775" i="1"/>
  <c r="DE776" i="1"/>
  <c r="CY776" i="1"/>
  <c r="K776" i="1"/>
  <c r="CX776" i="1"/>
  <c r="CV776" i="1"/>
  <c r="CU776" i="1"/>
  <c r="I776" i="1"/>
  <c r="BI776" i="1"/>
  <c r="BH776" i="1"/>
  <c r="DE777" i="1"/>
  <c r="CY777" i="1"/>
  <c r="K777" i="1"/>
  <c r="CX777" i="1"/>
  <c r="CV777" i="1"/>
  <c r="CU777" i="1"/>
  <c r="I777" i="1"/>
  <c r="BI777" i="1"/>
  <c r="BH777" i="1"/>
  <c r="DE778" i="1"/>
  <c r="CY778" i="1"/>
  <c r="K778" i="1"/>
  <c r="CX778" i="1"/>
  <c r="CV778" i="1"/>
  <c r="CU778" i="1"/>
  <c r="I778" i="1"/>
  <c r="BI778" i="1"/>
  <c r="BH778" i="1"/>
  <c r="DE779" i="1"/>
  <c r="CY779" i="1"/>
  <c r="K779" i="1"/>
  <c r="CX779" i="1"/>
  <c r="CV779" i="1"/>
  <c r="CU779" i="1"/>
  <c r="I779" i="1"/>
  <c r="BI779" i="1"/>
  <c r="BH779" i="1"/>
  <c r="DE780" i="1"/>
  <c r="CY780" i="1"/>
  <c r="K780" i="1"/>
  <c r="CX780" i="1"/>
  <c r="CV780" i="1"/>
  <c r="CU780" i="1"/>
  <c r="I780" i="1"/>
  <c r="BI780" i="1"/>
  <c r="BH780" i="1"/>
  <c r="DE781" i="1"/>
  <c r="CY781" i="1"/>
  <c r="K781" i="1"/>
  <c r="CX781" i="1"/>
  <c r="CV781" i="1"/>
  <c r="CU781" i="1"/>
  <c r="I781" i="1"/>
  <c r="BI781" i="1"/>
  <c r="BH781" i="1"/>
  <c r="DE782" i="1"/>
  <c r="CY782" i="1"/>
  <c r="K782" i="1"/>
  <c r="CX782" i="1"/>
  <c r="CV782" i="1"/>
  <c r="CU782" i="1"/>
  <c r="I782" i="1"/>
  <c r="BI782" i="1"/>
  <c r="BH782" i="1"/>
  <c r="DE783" i="1"/>
  <c r="CY783" i="1"/>
  <c r="K783" i="1"/>
  <c r="CX783" i="1"/>
  <c r="CV783" i="1"/>
  <c r="CU783" i="1"/>
  <c r="I783" i="1"/>
  <c r="BI783" i="1"/>
  <c r="BH783" i="1"/>
  <c r="DE784" i="1"/>
  <c r="CY784" i="1"/>
  <c r="K784" i="1"/>
  <c r="CX784" i="1"/>
  <c r="CV784" i="1"/>
  <c r="CU784" i="1"/>
  <c r="I784" i="1"/>
  <c r="BI784" i="1"/>
  <c r="BH784" i="1"/>
  <c r="DE785" i="1"/>
  <c r="CY785" i="1"/>
  <c r="K785" i="1"/>
  <c r="CX785" i="1"/>
  <c r="CV785" i="1"/>
  <c r="CU785" i="1"/>
  <c r="I785" i="1"/>
  <c r="BI785" i="1"/>
  <c r="BH785" i="1"/>
  <c r="DE786" i="1"/>
  <c r="CY786" i="1"/>
  <c r="K786" i="1"/>
  <c r="CX786" i="1"/>
  <c r="CV786" i="1"/>
  <c r="CU786" i="1"/>
  <c r="I786" i="1"/>
  <c r="BI786" i="1"/>
  <c r="BH786" i="1"/>
  <c r="DE787" i="1"/>
  <c r="CY787" i="1"/>
  <c r="K787" i="1"/>
  <c r="CX787" i="1"/>
  <c r="CV787" i="1"/>
  <c r="CU787" i="1"/>
  <c r="I787" i="1"/>
  <c r="BI787" i="1"/>
  <c r="BH787" i="1"/>
  <c r="DE788" i="1"/>
  <c r="CY788" i="1"/>
  <c r="K788" i="1"/>
  <c r="CX788" i="1"/>
  <c r="CV788" i="1"/>
  <c r="CU788" i="1"/>
  <c r="I788" i="1"/>
  <c r="BI788" i="1"/>
  <c r="BH788" i="1"/>
  <c r="DE789" i="1"/>
  <c r="CY789" i="1"/>
  <c r="K789" i="1"/>
  <c r="CX789" i="1"/>
  <c r="CV789" i="1"/>
  <c r="CU789" i="1"/>
  <c r="I789" i="1"/>
  <c r="BI789" i="1"/>
  <c r="BH789" i="1"/>
  <c r="DE790" i="1"/>
  <c r="CY790" i="1"/>
  <c r="K790" i="1"/>
  <c r="CX790" i="1"/>
  <c r="CV790" i="1"/>
  <c r="CU790" i="1"/>
  <c r="I790" i="1"/>
  <c r="BI790" i="1"/>
  <c r="BH790" i="1"/>
  <c r="DE791" i="1"/>
  <c r="CY791" i="1"/>
  <c r="K791" i="1"/>
  <c r="CX791" i="1"/>
  <c r="CV791" i="1"/>
  <c r="CU791" i="1"/>
  <c r="I791" i="1"/>
  <c r="BI791" i="1"/>
  <c r="BH791" i="1"/>
  <c r="DE792" i="1"/>
  <c r="CY792" i="1"/>
  <c r="K792" i="1"/>
  <c r="CX792" i="1"/>
  <c r="CV792" i="1"/>
  <c r="CU792" i="1"/>
  <c r="I792" i="1"/>
  <c r="BI792" i="1"/>
  <c r="BH792" i="1"/>
  <c r="DE793" i="1"/>
  <c r="CY793" i="1"/>
  <c r="K793" i="1"/>
  <c r="CX793" i="1"/>
  <c r="CV793" i="1"/>
  <c r="CU793" i="1"/>
  <c r="I793" i="1"/>
  <c r="BI793" i="1"/>
  <c r="BH793" i="1"/>
  <c r="DE794" i="1"/>
  <c r="CY794" i="1"/>
  <c r="K794" i="1"/>
  <c r="CX794" i="1"/>
  <c r="CV794" i="1"/>
  <c r="CU794" i="1"/>
  <c r="I794" i="1"/>
  <c r="BI794" i="1"/>
  <c r="BH794" i="1"/>
  <c r="DE822" i="1"/>
  <c r="CY822" i="1"/>
  <c r="K822" i="1"/>
  <c r="CX822" i="1"/>
  <c r="CV822" i="1"/>
  <c r="CU822" i="1"/>
  <c r="I822" i="1"/>
  <c r="BI822" i="1"/>
  <c r="BH822" i="1"/>
  <c r="DE823" i="1"/>
  <c r="CY823" i="1"/>
  <c r="K823" i="1"/>
  <c r="CX823" i="1"/>
  <c r="CV823" i="1"/>
  <c r="CU823" i="1"/>
  <c r="I823" i="1"/>
  <c r="BI823" i="1"/>
  <c r="BH823" i="1"/>
  <c r="DE824" i="1"/>
  <c r="CY824" i="1"/>
  <c r="K824" i="1"/>
  <c r="CX824" i="1"/>
  <c r="CV824" i="1"/>
  <c r="CU824" i="1"/>
  <c r="I824" i="1"/>
  <c r="BI824" i="1"/>
  <c r="BH824" i="1"/>
  <c r="DE825" i="1"/>
  <c r="CY825" i="1"/>
  <c r="K825" i="1"/>
  <c r="CX825" i="1"/>
  <c r="CV825" i="1"/>
  <c r="CU825" i="1"/>
  <c r="I825" i="1"/>
  <c r="BI825" i="1"/>
  <c r="BH825" i="1"/>
  <c r="DE826" i="1"/>
  <c r="CY826" i="1"/>
  <c r="K826" i="1"/>
  <c r="CX826" i="1"/>
  <c r="CV826" i="1"/>
  <c r="CU826" i="1"/>
  <c r="I826" i="1"/>
  <c r="BI826" i="1"/>
  <c r="BH826" i="1"/>
  <c r="DE1812" i="1"/>
  <c r="CY1812" i="1"/>
  <c r="K1812" i="1"/>
  <c r="CX1812" i="1"/>
  <c r="CV1812" i="1"/>
  <c r="CU1812" i="1"/>
  <c r="I1812" i="1"/>
  <c r="BI1812" i="1"/>
  <c r="BH1812" i="1"/>
  <c r="DE827" i="1"/>
  <c r="CY827" i="1"/>
  <c r="K827" i="1"/>
  <c r="CX827" i="1"/>
  <c r="CV827" i="1"/>
  <c r="CU827" i="1"/>
  <c r="I827" i="1"/>
  <c r="BI827" i="1"/>
  <c r="BH827" i="1"/>
  <c r="DE828" i="1"/>
  <c r="CY828" i="1"/>
  <c r="K828" i="1"/>
  <c r="CX828" i="1"/>
  <c r="CV828" i="1"/>
  <c r="CU828" i="1"/>
  <c r="I828" i="1"/>
  <c r="BI828" i="1"/>
  <c r="BH828" i="1"/>
  <c r="DE829" i="1"/>
  <c r="CY829" i="1"/>
  <c r="K829" i="1"/>
  <c r="CX829" i="1"/>
  <c r="CV829" i="1"/>
  <c r="CU829" i="1"/>
  <c r="I829" i="1"/>
  <c r="BI829" i="1"/>
  <c r="BH829" i="1"/>
  <c r="DE830" i="1"/>
  <c r="CY830" i="1"/>
  <c r="K830" i="1"/>
  <c r="CX830" i="1"/>
  <c r="CV830" i="1"/>
  <c r="CU830" i="1"/>
  <c r="I830" i="1"/>
  <c r="BI830" i="1"/>
  <c r="BH830" i="1"/>
  <c r="DE831" i="1"/>
  <c r="CY831" i="1"/>
  <c r="K831" i="1"/>
  <c r="CX831" i="1"/>
  <c r="CV831" i="1"/>
  <c r="CU831" i="1"/>
  <c r="I831" i="1"/>
  <c r="BI831" i="1"/>
  <c r="BH831" i="1"/>
  <c r="DE832" i="1"/>
  <c r="CY832" i="1"/>
  <c r="K832" i="1"/>
  <c r="CX832" i="1"/>
  <c r="CV832" i="1"/>
  <c r="CU832" i="1"/>
  <c r="I832" i="1"/>
  <c r="BI832" i="1"/>
  <c r="BH832" i="1"/>
  <c r="DE833" i="1"/>
  <c r="CY833" i="1"/>
  <c r="K833" i="1"/>
  <c r="CX833" i="1"/>
  <c r="CV833" i="1"/>
  <c r="CU833" i="1"/>
  <c r="I833" i="1"/>
  <c r="BI833" i="1"/>
  <c r="BH833" i="1"/>
  <c r="DE834" i="1"/>
  <c r="CY834" i="1"/>
  <c r="K834" i="1"/>
  <c r="CX834" i="1"/>
  <c r="CV834" i="1"/>
  <c r="CU834" i="1"/>
  <c r="I834" i="1"/>
  <c r="BI834" i="1"/>
  <c r="BH834" i="1"/>
  <c r="DE835" i="1"/>
  <c r="CY835" i="1"/>
  <c r="K835" i="1"/>
  <c r="CX835" i="1"/>
  <c r="CV835" i="1"/>
  <c r="CU835" i="1"/>
  <c r="I835" i="1"/>
  <c r="BI835" i="1"/>
  <c r="BH835" i="1"/>
  <c r="DE836" i="1"/>
  <c r="CY836" i="1"/>
  <c r="K836" i="1"/>
  <c r="CX836" i="1"/>
  <c r="CV836" i="1"/>
  <c r="CU836" i="1"/>
  <c r="I836" i="1"/>
  <c r="BI836" i="1"/>
  <c r="BH836" i="1"/>
  <c r="DE837" i="1"/>
  <c r="CY837" i="1"/>
  <c r="K837" i="1"/>
  <c r="CX837" i="1"/>
  <c r="CV837" i="1"/>
  <c r="CU837" i="1"/>
  <c r="I837" i="1"/>
  <c r="BI837" i="1"/>
  <c r="BH837" i="1"/>
  <c r="DE839" i="1"/>
  <c r="CY839" i="1"/>
  <c r="K839" i="1"/>
  <c r="CX839" i="1"/>
  <c r="CV839" i="1"/>
  <c r="CU839" i="1"/>
  <c r="I839" i="1"/>
  <c r="BI839" i="1"/>
  <c r="BH839" i="1"/>
  <c r="DE840" i="1"/>
  <c r="CY840" i="1"/>
  <c r="K840" i="1"/>
  <c r="CX840" i="1"/>
  <c r="CV840" i="1"/>
  <c r="CU840" i="1"/>
  <c r="I840" i="1"/>
  <c r="BI840" i="1"/>
  <c r="BH840" i="1"/>
  <c r="DE841" i="1"/>
  <c r="CY841" i="1"/>
  <c r="K841" i="1"/>
  <c r="CX841" i="1"/>
  <c r="CV841" i="1"/>
  <c r="CU841" i="1"/>
  <c r="I841" i="1"/>
  <c r="BI841" i="1"/>
  <c r="BH841" i="1"/>
  <c r="DE842" i="1"/>
  <c r="CY842" i="1"/>
  <c r="K842" i="1"/>
  <c r="CX842" i="1"/>
  <c r="CV842" i="1"/>
  <c r="CU842" i="1"/>
  <c r="I842" i="1"/>
  <c r="BI842" i="1"/>
  <c r="BH842" i="1"/>
  <c r="DE843" i="1"/>
  <c r="CY843" i="1"/>
  <c r="K843" i="1"/>
  <c r="CX843" i="1"/>
  <c r="CV843" i="1"/>
  <c r="CU843" i="1"/>
  <c r="I843" i="1"/>
  <c r="BI843" i="1"/>
  <c r="BH843" i="1"/>
  <c r="DE844" i="1"/>
  <c r="CY844" i="1"/>
  <c r="K844" i="1"/>
  <c r="CX844" i="1"/>
  <c r="CV844" i="1"/>
  <c r="CU844" i="1"/>
  <c r="I844" i="1"/>
  <c r="BI844" i="1"/>
  <c r="BH844" i="1"/>
  <c r="DE845" i="1"/>
  <c r="CY845" i="1"/>
  <c r="K845" i="1"/>
  <c r="CX845" i="1"/>
  <c r="CV845" i="1"/>
  <c r="CU845" i="1"/>
  <c r="I845" i="1"/>
  <c r="BI845" i="1"/>
  <c r="BH845" i="1"/>
  <c r="DE846" i="1"/>
  <c r="CY846" i="1"/>
  <c r="K846" i="1"/>
  <c r="CX846" i="1"/>
  <c r="CV846" i="1"/>
  <c r="CU846" i="1"/>
  <c r="I846" i="1"/>
  <c r="BI846" i="1"/>
  <c r="BH846" i="1"/>
  <c r="DE847" i="1"/>
  <c r="CY847" i="1"/>
  <c r="K847" i="1"/>
  <c r="CX847" i="1"/>
  <c r="CV847" i="1"/>
  <c r="CU847" i="1"/>
  <c r="I847" i="1"/>
  <c r="BI847" i="1"/>
  <c r="BH847" i="1"/>
  <c r="DE848" i="1"/>
  <c r="CY848" i="1"/>
  <c r="K848" i="1"/>
  <c r="CX848" i="1"/>
  <c r="CV848" i="1"/>
  <c r="CU848" i="1"/>
  <c r="I848" i="1"/>
  <c r="BI848" i="1"/>
  <c r="BH848" i="1"/>
  <c r="DE849" i="1"/>
  <c r="CY849" i="1"/>
  <c r="K849" i="1"/>
  <c r="CX849" i="1"/>
  <c r="CV849" i="1"/>
  <c r="CU849" i="1"/>
  <c r="I849" i="1"/>
  <c r="BI849" i="1"/>
  <c r="BH849" i="1"/>
  <c r="DE850" i="1"/>
  <c r="CY850" i="1"/>
  <c r="K850" i="1"/>
  <c r="CX850" i="1"/>
  <c r="CV850" i="1"/>
  <c r="CU850" i="1"/>
  <c r="I850" i="1"/>
  <c r="BI850" i="1"/>
  <c r="BH850" i="1"/>
  <c r="DE851" i="1"/>
  <c r="CY851" i="1"/>
  <c r="K851" i="1"/>
  <c r="CX851" i="1"/>
  <c r="CV851" i="1"/>
  <c r="CU851" i="1"/>
  <c r="I851" i="1"/>
  <c r="BI851" i="1"/>
  <c r="BH851" i="1"/>
  <c r="DE852" i="1"/>
  <c r="CY852" i="1"/>
  <c r="K852" i="1"/>
  <c r="CX852" i="1"/>
  <c r="CV852" i="1"/>
  <c r="CU852" i="1"/>
  <c r="I852" i="1"/>
  <c r="BI852" i="1"/>
  <c r="BH852" i="1"/>
  <c r="DE853" i="1"/>
  <c r="CY853" i="1"/>
  <c r="K853" i="1"/>
  <c r="CX853" i="1"/>
  <c r="CV853" i="1"/>
  <c r="CU853" i="1"/>
  <c r="I853" i="1"/>
  <c r="BI853" i="1"/>
  <c r="BH853" i="1"/>
  <c r="DE854" i="1"/>
  <c r="CY854" i="1"/>
  <c r="K854" i="1"/>
  <c r="CX854" i="1"/>
  <c r="CV854" i="1"/>
  <c r="CU854" i="1"/>
  <c r="I854" i="1"/>
  <c r="BI854" i="1"/>
  <c r="BH854" i="1"/>
  <c r="DE855" i="1"/>
  <c r="CY855" i="1"/>
  <c r="K855" i="1"/>
  <c r="CX855" i="1"/>
  <c r="CV855" i="1"/>
  <c r="CU855" i="1"/>
  <c r="I855" i="1"/>
  <c r="BI855" i="1"/>
  <c r="BH855" i="1"/>
  <c r="DE856" i="1"/>
  <c r="CY856" i="1"/>
  <c r="K856" i="1"/>
  <c r="CX856" i="1"/>
  <c r="CV856" i="1"/>
  <c r="CU856" i="1"/>
  <c r="I856" i="1"/>
  <c r="BI856" i="1"/>
  <c r="BH856" i="1"/>
  <c r="DE857" i="1"/>
  <c r="CY857" i="1"/>
  <c r="K857" i="1"/>
  <c r="CX857" i="1"/>
  <c r="CV857" i="1"/>
  <c r="CU857" i="1"/>
  <c r="I857" i="1"/>
  <c r="BI857" i="1"/>
  <c r="BH857" i="1"/>
  <c r="DE858" i="1"/>
  <c r="CY858" i="1"/>
  <c r="K858" i="1"/>
  <c r="CX858" i="1"/>
  <c r="CV858" i="1"/>
  <c r="CU858" i="1"/>
  <c r="I858" i="1"/>
  <c r="BI858" i="1"/>
  <c r="BH858" i="1"/>
  <c r="DE859" i="1"/>
  <c r="CY859" i="1"/>
  <c r="K859" i="1"/>
  <c r="CX859" i="1"/>
  <c r="CV859" i="1"/>
  <c r="CU859" i="1"/>
  <c r="I859" i="1"/>
  <c r="BI859" i="1"/>
  <c r="BH859" i="1"/>
  <c r="DE860" i="1"/>
  <c r="CY860" i="1"/>
  <c r="K860" i="1"/>
  <c r="CX860" i="1"/>
  <c r="CV860" i="1"/>
  <c r="CU860" i="1"/>
  <c r="I860" i="1"/>
  <c r="BI860" i="1"/>
  <c r="BH860" i="1"/>
  <c r="DE861" i="1"/>
  <c r="CY861" i="1"/>
  <c r="K861" i="1"/>
  <c r="CX861" i="1"/>
  <c r="CV861" i="1"/>
  <c r="CU861" i="1"/>
  <c r="I861" i="1"/>
  <c r="BI861" i="1"/>
  <c r="BH861" i="1"/>
  <c r="DE862" i="1"/>
  <c r="CY862" i="1"/>
  <c r="K862" i="1"/>
  <c r="CX862" i="1"/>
  <c r="CV862" i="1"/>
  <c r="CU862" i="1"/>
  <c r="I862" i="1"/>
  <c r="BI862" i="1"/>
  <c r="BH862" i="1"/>
  <c r="DE863" i="1"/>
  <c r="CY863" i="1"/>
  <c r="K863" i="1"/>
  <c r="CX863" i="1"/>
  <c r="CV863" i="1"/>
  <c r="CU863" i="1"/>
  <c r="I863" i="1"/>
  <c r="BI863" i="1"/>
  <c r="BH863" i="1"/>
  <c r="DE864" i="1"/>
  <c r="CY864" i="1"/>
  <c r="K864" i="1"/>
  <c r="CX864" i="1"/>
  <c r="CV864" i="1"/>
  <c r="CU864" i="1"/>
  <c r="I864" i="1"/>
  <c r="BI864" i="1"/>
  <c r="BH864" i="1"/>
  <c r="DE865" i="1"/>
  <c r="CY865" i="1"/>
  <c r="K865" i="1"/>
  <c r="CX865" i="1"/>
  <c r="CV865" i="1"/>
  <c r="CU865" i="1"/>
  <c r="I865" i="1"/>
  <c r="BI865" i="1"/>
  <c r="BH865" i="1"/>
  <c r="DE866" i="1"/>
  <c r="CY866" i="1"/>
  <c r="K866" i="1"/>
  <c r="CX866" i="1"/>
  <c r="CV866" i="1"/>
  <c r="CU866" i="1"/>
  <c r="I866" i="1"/>
  <c r="BI866" i="1"/>
  <c r="BH866" i="1"/>
  <c r="DE867" i="1"/>
  <c r="CY867" i="1"/>
  <c r="K867" i="1"/>
  <c r="CX867" i="1"/>
  <c r="CV867" i="1"/>
  <c r="CU867" i="1"/>
  <c r="I867" i="1"/>
  <c r="BI867" i="1"/>
  <c r="BH867" i="1"/>
  <c r="DE868" i="1"/>
  <c r="CY868" i="1"/>
  <c r="K868" i="1"/>
  <c r="CX868" i="1"/>
  <c r="CV868" i="1"/>
  <c r="CU868" i="1"/>
  <c r="I868" i="1"/>
  <c r="BI868" i="1"/>
  <c r="BH868" i="1"/>
  <c r="DE869" i="1"/>
  <c r="CY869" i="1"/>
  <c r="K869" i="1"/>
  <c r="CX869" i="1"/>
  <c r="CV869" i="1"/>
  <c r="CU869" i="1"/>
  <c r="I869" i="1"/>
  <c r="BI869" i="1"/>
  <c r="BH869" i="1"/>
  <c r="DE871" i="1"/>
  <c r="CY871" i="1"/>
  <c r="K871" i="1"/>
  <c r="CX871" i="1"/>
  <c r="CV871" i="1"/>
  <c r="CU871" i="1"/>
  <c r="I871" i="1"/>
  <c r="BI871" i="1"/>
  <c r="BH871" i="1"/>
  <c r="DE872" i="1"/>
  <c r="CY872" i="1"/>
  <c r="K872" i="1"/>
  <c r="CX872" i="1"/>
  <c r="CV872" i="1"/>
  <c r="CU872" i="1"/>
  <c r="I872" i="1"/>
  <c r="BI872" i="1"/>
  <c r="BH872" i="1"/>
  <c r="DE873" i="1"/>
  <c r="CY873" i="1"/>
  <c r="K873" i="1"/>
  <c r="CX873" i="1"/>
  <c r="CV873" i="1"/>
  <c r="CU873" i="1"/>
  <c r="I873" i="1"/>
  <c r="BI873" i="1"/>
  <c r="BH873" i="1"/>
  <c r="DE874" i="1"/>
  <c r="CY874" i="1"/>
  <c r="K874" i="1"/>
  <c r="CX874" i="1"/>
  <c r="CV874" i="1"/>
  <c r="CU874" i="1"/>
  <c r="I874" i="1"/>
  <c r="BI874" i="1"/>
  <c r="BH874" i="1"/>
  <c r="DE875" i="1"/>
  <c r="CY875" i="1"/>
  <c r="K875" i="1"/>
  <c r="CX875" i="1"/>
  <c r="CV875" i="1"/>
  <c r="CU875" i="1"/>
  <c r="I875" i="1"/>
  <c r="BI875" i="1"/>
  <c r="BH875" i="1"/>
  <c r="DE876" i="1"/>
  <c r="CY876" i="1"/>
  <c r="K876" i="1"/>
  <c r="CX876" i="1"/>
  <c r="CV876" i="1"/>
  <c r="CU876" i="1"/>
  <c r="I876" i="1"/>
  <c r="BI876" i="1"/>
  <c r="BH876" i="1"/>
  <c r="DE877" i="1"/>
  <c r="CY877" i="1"/>
  <c r="K877" i="1"/>
  <c r="CX877" i="1"/>
  <c r="CV877" i="1"/>
  <c r="CU877" i="1"/>
  <c r="I877" i="1"/>
  <c r="BI877" i="1"/>
  <c r="BH877" i="1"/>
  <c r="DE878" i="1"/>
  <c r="CY878" i="1"/>
  <c r="K878" i="1"/>
  <c r="CX878" i="1"/>
  <c r="CV878" i="1"/>
  <c r="CU878" i="1"/>
  <c r="I878" i="1"/>
  <c r="BI878" i="1"/>
  <c r="BH878" i="1"/>
  <c r="DE765" i="1"/>
  <c r="CY765" i="1"/>
  <c r="K765" i="1"/>
  <c r="CX765" i="1"/>
  <c r="CV765" i="1"/>
  <c r="CU765" i="1"/>
  <c r="I765" i="1"/>
  <c r="BI765" i="1"/>
  <c r="BH765" i="1"/>
  <c r="DE879" i="1"/>
  <c r="CY879" i="1"/>
  <c r="K879" i="1"/>
  <c r="CX879" i="1"/>
  <c r="CV879" i="1"/>
  <c r="CU879" i="1"/>
  <c r="I879" i="1"/>
  <c r="BI879" i="1"/>
  <c r="BH879" i="1"/>
  <c r="DE880" i="1"/>
  <c r="CY880" i="1"/>
  <c r="K880" i="1"/>
  <c r="CX880" i="1"/>
  <c r="CV880" i="1"/>
  <c r="CU880" i="1"/>
  <c r="I880" i="1"/>
  <c r="BI880" i="1"/>
  <c r="BH880" i="1"/>
  <c r="DE881" i="1"/>
  <c r="CY881" i="1"/>
  <c r="K881" i="1"/>
  <c r="CX881" i="1"/>
  <c r="CV881" i="1"/>
  <c r="CU881" i="1"/>
  <c r="I881" i="1"/>
  <c r="BI881" i="1"/>
  <c r="BH881" i="1"/>
  <c r="DE882" i="1"/>
  <c r="CY882" i="1"/>
  <c r="K882" i="1"/>
  <c r="CX882" i="1"/>
  <c r="CV882" i="1"/>
  <c r="CU882" i="1"/>
  <c r="I882" i="1"/>
  <c r="BI882" i="1"/>
  <c r="BH882" i="1"/>
  <c r="DE883" i="1"/>
  <c r="CY883" i="1"/>
  <c r="K883" i="1"/>
  <c r="CX883" i="1"/>
  <c r="CV883" i="1"/>
  <c r="CU883" i="1"/>
  <c r="I883" i="1"/>
  <c r="BI883" i="1"/>
  <c r="BH883" i="1"/>
  <c r="DE884" i="1"/>
  <c r="CY884" i="1"/>
  <c r="K884" i="1"/>
  <c r="CX884" i="1"/>
  <c r="CV884" i="1"/>
  <c r="CU884" i="1"/>
  <c r="I884" i="1"/>
  <c r="BI884" i="1"/>
  <c r="BH884" i="1"/>
  <c r="DE885" i="1"/>
  <c r="CY885" i="1"/>
  <c r="K885" i="1"/>
  <c r="CX885" i="1"/>
  <c r="CV885" i="1"/>
  <c r="CU885" i="1"/>
  <c r="I885" i="1"/>
  <c r="BI885" i="1"/>
  <c r="BH885" i="1"/>
  <c r="DE886" i="1"/>
  <c r="CY886" i="1"/>
  <c r="K886" i="1"/>
  <c r="CX886" i="1"/>
  <c r="CV886" i="1"/>
  <c r="CU886" i="1"/>
  <c r="I886" i="1"/>
  <c r="BI886" i="1"/>
  <c r="BH886" i="1"/>
  <c r="DE887" i="1"/>
  <c r="CY887" i="1"/>
  <c r="K887" i="1"/>
  <c r="CX887" i="1"/>
  <c r="CV887" i="1"/>
  <c r="CU887" i="1"/>
  <c r="I887" i="1"/>
  <c r="BI887" i="1"/>
  <c r="BH887" i="1"/>
  <c r="DE888" i="1"/>
  <c r="CY888" i="1"/>
  <c r="K888" i="1"/>
  <c r="CX888" i="1"/>
  <c r="CV888" i="1"/>
  <c r="CU888" i="1"/>
  <c r="I888" i="1"/>
  <c r="BI888" i="1"/>
  <c r="BH888" i="1"/>
  <c r="DE889" i="1"/>
  <c r="CY889" i="1"/>
  <c r="K889" i="1"/>
  <c r="CX889" i="1"/>
  <c r="CV889" i="1"/>
  <c r="CU889" i="1"/>
  <c r="I889" i="1"/>
  <c r="BI889" i="1"/>
  <c r="BH889" i="1"/>
  <c r="DE890" i="1"/>
  <c r="CY890" i="1"/>
  <c r="K890" i="1"/>
  <c r="CX890" i="1"/>
  <c r="CV890" i="1"/>
  <c r="CU890" i="1"/>
  <c r="I890" i="1"/>
  <c r="BI890" i="1"/>
  <c r="BH890" i="1"/>
  <c r="DE891" i="1"/>
  <c r="CY891" i="1"/>
  <c r="K891" i="1"/>
  <c r="CX891" i="1"/>
  <c r="CV891" i="1"/>
  <c r="CU891" i="1"/>
  <c r="I891" i="1"/>
  <c r="BI891" i="1"/>
  <c r="BH891" i="1"/>
  <c r="DE892" i="1"/>
  <c r="CY892" i="1"/>
  <c r="K892" i="1"/>
  <c r="CX892" i="1"/>
  <c r="CV892" i="1"/>
  <c r="CU892" i="1"/>
  <c r="I892" i="1"/>
  <c r="BI892" i="1"/>
  <c r="BH892" i="1"/>
  <c r="DE893" i="1"/>
  <c r="CY893" i="1"/>
  <c r="K893" i="1"/>
  <c r="CX893" i="1"/>
  <c r="CV893" i="1"/>
  <c r="CU893" i="1"/>
  <c r="I893" i="1"/>
  <c r="BI893" i="1"/>
  <c r="BH893" i="1"/>
  <c r="DE894" i="1"/>
  <c r="CY894" i="1"/>
  <c r="K894" i="1"/>
  <c r="CX894" i="1"/>
  <c r="CV894" i="1"/>
  <c r="CU894" i="1"/>
  <c r="I894" i="1"/>
  <c r="BI894" i="1"/>
  <c r="BH894" i="1"/>
  <c r="DE895" i="1"/>
  <c r="CY895" i="1"/>
  <c r="K895" i="1"/>
  <c r="CX895" i="1"/>
  <c r="CV895" i="1"/>
  <c r="CU895" i="1"/>
  <c r="I895" i="1"/>
  <c r="BI895" i="1"/>
  <c r="BH895" i="1"/>
  <c r="DE896" i="1"/>
  <c r="CY896" i="1"/>
  <c r="K896" i="1"/>
  <c r="CX896" i="1"/>
  <c r="CV896" i="1"/>
  <c r="CU896" i="1"/>
  <c r="I896" i="1"/>
  <c r="BI896" i="1"/>
  <c r="BH896" i="1"/>
  <c r="DE897" i="1"/>
  <c r="CY897" i="1"/>
  <c r="K897" i="1"/>
  <c r="CX897" i="1"/>
  <c r="CV897" i="1"/>
  <c r="CU897" i="1"/>
  <c r="I897" i="1"/>
  <c r="BI897" i="1"/>
  <c r="BH897" i="1"/>
  <c r="DE898" i="1"/>
  <c r="CY898" i="1"/>
  <c r="K898" i="1"/>
  <c r="CX898" i="1"/>
  <c r="CV898" i="1"/>
  <c r="CU898" i="1"/>
  <c r="I898" i="1"/>
  <c r="BI898" i="1"/>
  <c r="BH898" i="1"/>
  <c r="DE899" i="1"/>
  <c r="CY899" i="1"/>
  <c r="K899" i="1"/>
  <c r="CX899" i="1"/>
  <c r="CV899" i="1"/>
  <c r="CU899" i="1"/>
  <c r="I899" i="1"/>
  <c r="BI899" i="1"/>
  <c r="BH899" i="1"/>
  <c r="DE900" i="1"/>
  <c r="CY900" i="1"/>
  <c r="K900" i="1"/>
  <c r="CX900" i="1"/>
  <c r="CV900" i="1"/>
  <c r="CU900" i="1"/>
  <c r="I900" i="1"/>
  <c r="BI900" i="1"/>
  <c r="BH900" i="1"/>
  <c r="DE901" i="1"/>
  <c r="CY901" i="1"/>
  <c r="K901" i="1"/>
  <c r="CX901" i="1"/>
  <c r="CV901" i="1"/>
  <c r="CU901" i="1"/>
  <c r="I901" i="1"/>
  <c r="BI901" i="1"/>
  <c r="BH901" i="1"/>
  <c r="DE902" i="1"/>
  <c r="CY902" i="1"/>
  <c r="K902" i="1"/>
  <c r="CX902" i="1"/>
  <c r="CV902" i="1"/>
  <c r="CU902" i="1"/>
  <c r="I902" i="1"/>
  <c r="BI902" i="1"/>
  <c r="BH902" i="1"/>
  <c r="DE1718" i="1"/>
  <c r="CY1718" i="1"/>
  <c r="K1718" i="1"/>
  <c r="CX1718" i="1"/>
  <c r="CV1718" i="1"/>
  <c r="CU1718" i="1"/>
  <c r="I1718" i="1"/>
  <c r="BI1718" i="1"/>
  <c r="BH1718" i="1"/>
  <c r="DE904" i="1"/>
  <c r="CY904" i="1"/>
  <c r="K904" i="1"/>
  <c r="CX904" i="1"/>
  <c r="CV904" i="1"/>
  <c r="CU904" i="1"/>
  <c r="I904" i="1"/>
  <c r="BI904" i="1"/>
  <c r="BH904" i="1"/>
  <c r="DE1751" i="1"/>
  <c r="CY1751" i="1"/>
  <c r="K1751" i="1"/>
  <c r="CX1751" i="1"/>
  <c r="CV1751" i="1"/>
  <c r="CU1751" i="1"/>
  <c r="I1751" i="1"/>
  <c r="BI1751" i="1"/>
  <c r="BH1751" i="1"/>
  <c r="DE905" i="1"/>
  <c r="CY905" i="1"/>
  <c r="K905" i="1"/>
  <c r="CX905" i="1"/>
  <c r="CV905" i="1"/>
  <c r="CU905" i="1"/>
  <c r="I905" i="1"/>
  <c r="BI905" i="1"/>
  <c r="BH905" i="1"/>
  <c r="DE906" i="1"/>
  <c r="CY906" i="1"/>
  <c r="K906" i="1"/>
  <c r="CX906" i="1"/>
  <c r="CV906" i="1"/>
  <c r="CU906" i="1"/>
  <c r="I906" i="1"/>
  <c r="BI906" i="1"/>
  <c r="BH906" i="1"/>
  <c r="DE907" i="1"/>
  <c r="CY907" i="1"/>
  <c r="K907" i="1"/>
  <c r="CX907" i="1"/>
  <c r="CV907" i="1"/>
  <c r="CU907" i="1"/>
  <c r="I907" i="1"/>
  <c r="BI907" i="1"/>
  <c r="BH907" i="1"/>
  <c r="DE908" i="1"/>
  <c r="CY908" i="1"/>
  <c r="K908" i="1"/>
  <c r="CX908" i="1"/>
  <c r="CV908" i="1"/>
  <c r="CU908" i="1"/>
  <c r="I908" i="1"/>
  <c r="BI908" i="1"/>
  <c r="BH908" i="1"/>
  <c r="DE909" i="1"/>
  <c r="CY909" i="1"/>
  <c r="K909" i="1"/>
  <c r="CX909" i="1"/>
  <c r="CV909" i="1"/>
  <c r="CU909" i="1"/>
  <c r="I909" i="1"/>
  <c r="BI909" i="1"/>
  <c r="BH909" i="1"/>
  <c r="DE910" i="1"/>
  <c r="CY910" i="1"/>
  <c r="K910" i="1"/>
  <c r="CX910" i="1"/>
  <c r="CV910" i="1"/>
  <c r="CU910" i="1"/>
  <c r="I910" i="1"/>
  <c r="BI910" i="1"/>
  <c r="BH910" i="1"/>
  <c r="DE911" i="1"/>
  <c r="CY911" i="1"/>
  <c r="K911" i="1"/>
  <c r="CX911" i="1"/>
  <c r="CV911" i="1"/>
  <c r="CU911" i="1"/>
  <c r="I911" i="1"/>
  <c r="BI911" i="1"/>
  <c r="BH911" i="1"/>
  <c r="DE912" i="1"/>
  <c r="CY912" i="1"/>
  <c r="K912" i="1"/>
  <c r="CX912" i="1"/>
  <c r="CV912" i="1"/>
  <c r="CU912" i="1"/>
  <c r="I912" i="1"/>
  <c r="BI912" i="1"/>
  <c r="BH912" i="1"/>
  <c r="DE913" i="1"/>
  <c r="CY913" i="1"/>
  <c r="K913" i="1"/>
  <c r="CX913" i="1"/>
  <c r="CV913" i="1"/>
  <c r="CU913" i="1"/>
  <c r="I913" i="1"/>
  <c r="BI913" i="1"/>
  <c r="BH913" i="1"/>
  <c r="DE914" i="1"/>
  <c r="CY914" i="1"/>
  <c r="K914" i="1"/>
  <c r="CX914" i="1"/>
  <c r="CV914" i="1"/>
  <c r="CU914" i="1"/>
  <c r="I914" i="1"/>
  <c r="BI914" i="1"/>
  <c r="BH914" i="1"/>
  <c r="DE915" i="1"/>
  <c r="CY915" i="1"/>
  <c r="K915" i="1"/>
  <c r="CX915" i="1"/>
  <c r="CV915" i="1"/>
  <c r="CU915" i="1"/>
  <c r="I915" i="1"/>
  <c r="BI915" i="1"/>
  <c r="BH915" i="1"/>
  <c r="DE916" i="1"/>
  <c r="CY916" i="1"/>
  <c r="K916" i="1"/>
  <c r="CX916" i="1"/>
  <c r="CV916" i="1"/>
  <c r="CU916" i="1"/>
  <c r="I916" i="1"/>
  <c r="BI916" i="1"/>
  <c r="BH916" i="1"/>
  <c r="DE917" i="1"/>
  <c r="CY917" i="1"/>
  <c r="K917" i="1"/>
  <c r="CX917" i="1"/>
  <c r="CV917" i="1"/>
  <c r="CU917" i="1"/>
  <c r="I917" i="1"/>
  <c r="BI917" i="1"/>
  <c r="BH917" i="1"/>
  <c r="DE918" i="1"/>
  <c r="CY918" i="1"/>
  <c r="K918" i="1"/>
  <c r="CX918" i="1"/>
  <c r="CV918" i="1"/>
  <c r="CU918" i="1"/>
  <c r="I918" i="1"/>
  <c r="BI918" i="1"/>
  <c r="BH918" i="1"/>
  <c r="DE919" i="1"/>
  <c r="CY919" i="1"/>
  <c r="K919" i="1"/>
  <c r="CX919" i="1"/>
  <c r="CV919" i="1"/>
  <c r="CU919" i="1"/>
  <c r="I919" i="1"/>
  <c r="BI919" i="1"/>
  <c r="BH919" i="1"/>
  <c r="DE920" i="1"/>
  <c r="CY920" i="1"/>
  <c r="K920" i="1"/>
  <c r="CX920" i="1"/>
  <c r="CV920" i="1"/>
  <c r="CU920" i="1"/>
  <c r="I920" i="1"/>
  <c r="BI920" i="1"/>
  <c r="BH920" i="1"/>
  <c r="DE1681" i="1"/>
  <c r="CY1681" i="1"/>
  <c r="K1681" i="1"/>
  <c r="CX1681" i="1"/>
  <c r="CV1681" i="1"/>
  <c r="CU1681" i="1"/>
  <c r="I1681" i="1"/>
  <c r="BI1681" i="1"/>
  <c r="BH1681" i="1"/>
  <c r="DE921" i="1"/>
  <c r="CY921" i="1"/>
  <c r="K921" i="1"/>
  <c r="CX921" i="1"/>
  <c r="CV921" i="1"/>
  <c r="CU921" i="1"/>
  <c r="I921" i="1"/>
  <c r="BI921" i="1"/>
  <c r="BH921" i="1"/>
  <c r="DE922" i="1"/>
  <c r="CY922" i="1"/>
  <c r="K922" i="1"/>
  <c r="CX922" i="1"/>
  <c r="CV922" i="1"/>
  <c r="CU922" i="1"/>
  <c r="I922" i="1"/>
  <c r="BI922" i="1"/>
  <c r="BH922" i="1"/>
  <c r="DE923" i="1"/>
  <c r="CY923" i="1"/>
  <c r="K923" i="1"/>
  <c r="CX923" i="1"/>
  <c r="CV923" i="1"/>
  <c r="CU923" i="1"/>
  <c r="I923" i="1"/>
  <c r="BI923" i="1"/>
  <c r="BH923" i="1"/>
  <c r="DE924" i="1"/>
  <c r="CY924" i="1"/>
  <c r="K924" i="1"/>
  <c r="CX924" i="1"/>
  <c r="CV924" i="1"/>
  <c r="CU924" i="1"/>
  <c r="I924" i="1"/>
  <c r="BI924" i="1"/>
  <c r="BH924" i="1"/>
  <c r="DE764" i="1"/>
  <c r="CY764" i="1"/>
  <c r="K764" i="1"/>
  <c r="CX764" i="1"/>
  <c r="CV764" i="1"/>
  <c r="CU764" i="1"/>
  <c r="I764" i="1"/>
  <c r="BI764" i="1"/>
  <c r="BH764" i="1"/>
  <c r="DE925" i="1"/>
  <c r="CY925" i="1"/>
  <c r="K925" i="1"/>
  <c r="CX925" i="1"/>
  <c r="CV925" i="1"/>
  <c r="CU925" i="1"/>
  <c r="I925" i="1"/>
  <c r="BI925" i="1"/>
  <c r="BH925" i="1"/>
  <c r="DE926" i="1"/>
  <c r="CY926" i="1"/>
  <c r="K926" i="1"/>
  <c r="CX926" i="1"/>
  <c r="CV926" i="1"/>
  <c r="CU926" i="1"/>
  <c r="I926" i="1"/>
  <c r="BI926" i="1"/>
  <c r="BH926" i="1"/>
  <c r="DE927" i="1"/>
  <c r="CY927" i="1"/>
  <c r="K927" i="1"/>
  <c r="CX927" i="1"/>
  <c r="CV927" i="1"/>
  <c r="CU927" i="1"/>
  <c r="I927" i="1"/>
  <c r="BI927" i="1"/>
  <c r="BH927" i="1"/>
  <c r="DE928" i="1"/>
  <c r="CY928" i="1"/>
  <c r="K928" i="1"/>
  <c r="CX928" i="1"/>
  <c r="CV928" i="1"/>
  <c r="CU928" i="1"/>
  <c r="I928" i="1"/>
  <c r="BI928" i="1"/>
  <c r="BH928" i="1"/>
  <c r="DE929" i="1"/>
  <c r="CY929" i="1"/>
  <c r="K929" i="1"/>
  <c r="CX929" i="1"/>
  <c r="CV929" i="1"/>
  <c r="CU929" i="1"/>
  <c r="I929" i="1"/>
  <c r="BI929" i="1"/>
  <c r="BH929" i="1"/>
  <c r="DE930" i="1"/>
  <c r="CY930" i="1"/>
  <c r="K930" i="1"/>
  <c r="CX930" i="1"/>
  <c r="CV930" i="1"/>
  <c r="CU930" i="1"/>
  <c r="I930" i="1"/>
  <c r="BI930" i="1"/>
  <c r="BH930" i="1"/>
  <c r="DE931" i="1"/>
  <c r="CY931" i="1"/>
  <c r="K931" i="1"/>
  <c r="CX931" i="1"/>
  <c r="CV931" i="1"/>
  <c r="CU931" i="1"/>
  <c r="I931" i="1"/>
  <c r="BI931" i="1"/>
  <c r="BH931" i="1"/>
  <c r="DE932" i="1"/>
  <c r="CY932" i="1"/>
  <c r="K932" i="1"/>
  <c r="CX932" i="1"/>
  <c r="CV932" i="1"/>
  <c r="CU932" i="1"/>
  <c r="I932" i="1"/>
  <c r="BI932" i="1"/>
  <c r="BH932" i="1"/>
  <c r="DE933" i="1"/>
  <c r="CY933" i="1"/>
  <c r="K933" i="1"/>
  <c r="CX933" i="1"/>
  <c r="CV933" i="1"/>
  <c r="CU933" i="1"/>
  <c r="I933" i="1"/>
  <c r="BI933" i="1"/>
  <c r="BH933" i="1"/>
  <c r="DE934" i="1"/>
  <c r="CY934" i="1"/>
  <c r="K934" i="1"/>
  <c r="CX934" i="1"/>
  <c r="CV934" i="1"/>
  <c r="CU934" i="1"/>
  <c r="I934" i="1"/>
  <c r="BI934" i="1"/>
  <c r="BH934" i="1"/>
  <c r="DE935" i="1"/>
  <c r="CY935" i="1"/>
  <c r="K935" i="1"/>
  <c r="CX935" i="1"/>
  <c r="CV935" i="1"/>
  <c r="CU935" i="1"/>
  <c r="I935" i="1"/>
  <c r="BI935" i="1"/>
  <c r="BH935" i="1"/>
  <c r="DE936" i="1"/>
  <c r="CY936" i="1"/>
  <c r="K936" i="1"/>
  <c r="CX936" i="1"/>
  <c r="CV936" i="1"/>
  <c r="CU936" i="1"/>
  <c r="I936" i="1"/>
  <c r="BI936" i="1"/>
  <c r="BH936" i="1"/>
  <c r="DE1661" i="1"/>
  <c r="CY1661" i="1"/>
  <c r="K1661" i="1"/>
  <c r="CX1661" i="1"/>
  <c r="CV1661" i="1"/>
  <c r="CU1661" i="1"/>
  <c r="I1661" i="1"/>
  <c r="BI1661" i="1"/>
  <c r="BH1661" i="1"/>
  <c r="DE937" i="1"/>
  <c r="CY937" i="1"/>
  <c r="K937" i="1"/>
  <c r="CX937" i="1"/>
  <c r="CV937" i="1"/>
  <c r="CU937" i="1"/>
  <c r="I937" i="1"/>
  <c r="BI937" i="1"/>
  <c r="BH937" i="1"/>
  <c r="DE938" i="1"/>
  <c r="CY938" i="1"/>
  <c r="K938" i="1"/>
  <c r="CX938" i="1"/>
  <c r="CV938" i="1"/>
  <c r="CU938" i="1"/>
  <c r="I938" i="1"/>
  <c r="BI938" i="1"/>
  <c r="BH938" i="1"/>
  <c r="DE939" i="1"/>
  <c r="CY939" i="1"/>
  <c r="K939" i="1"/>
  <c r="CX939" i="1"/>
  <c r="CV939" i="1"/>
  <c r="CU939" i="1"/>
  <c r="I939" i="1"/>
  <c r="BI939" i="1"/>
  <c r="BH939" i="1"/>
  <c r="DE940" i="1"/>
  <c r="CY940" i="1"/>
  <c r="K940" i="1"/>
  <c r="CX940" i="1"/>
  <c r="CV940" i="1"/>
  <c r="CU940" i="1"/>
  <c r="I940" i="1"/>
  <c r="BI940" i="1"/>
  <c r="BH940" i="1"/>
  <c r="DE941" i="1"/>
  <c r="CY941" i="1"/>
  <c r="K941" i="1"/>
  <c r="CX941" i="1"/>
  <c r="CV941" i="1"/>
  <c r="CU941" i="1"/>
  <c r="I941" i="1"/>
  <c r="BI941" i="1"/>
  <c r="BH941" i="1"/>
  <c r="DE942" i="1"/>
  <c r="CY942" i="1"/>
  <c r="K942" i="1"/>
  <c r="CX942" i="1"/>
  <c r="CV942" i="1"/>
  <c r="CU942" i="1"/>
  <c r="I942" i="1"/>
  <c r="BI942" i="1"/>
  <c r="BH942" i="1"/>
  <c r="DE943" i="1"/>
  <c r="CY943" i="1"/>
  <c r="K943" i="1"/>
  <c r="CX943" i="1"/>
  <c r="CV943" i="1"/>
  <c r="CU943" i="1"/>
  <c r="I943" i="1"/>
  <c r="BI943" i="1"/>
  <c r="BH943" i="1"/>
  <c r="DE944" i="1"/>
  <c r="CY944" i="1"/>
  <c r="K944" i="1"/>
  <c r="CX944" i="1"/>
  <c r="CV944" i="1"/>
  <c r="CU944" i="1"/>
  <c r="I944" i="1"/>
  <c r="BI944" i="1"/>
  <c r="BH944" i="1"/>
  <c r="DE945" i="1"/>
  <c r="CY945" i="1"/>
  <c r="K945" i="1"/>
  <c r="CX945" i="1"/>
  <c r="CV945" i="1"/>
  <c r="CU945" i="1"/>
  <c r="I945" i="1"/>
  <c r="BI945" i="1"/>
  <c r="BH945" i="1"/>
  <c r="DE946" i="1"/>
  <c r="CY946" i="1"/>
  <c r="K946" i="1"/>
  <c r="CX946" i="1"/>
  <c r="CV946" i="1"/>
  <c r="CU946" i="1"/>
  <c r="I946" i="1"/>
  <c r="BI946" i="1"/>
  <c r="BH946" i="1"/>
  <c r="DE947" i="1"/>
  <c r="CY947" i="1"/>
  <c r="K947" i="1"/>
  <c r="CX947" i="1"/>
  <c r="CV947" i="1"/>
  <c r="CU947" i="1"/>
  <c r="I947" i="1"/>
  <c r="BI947" i="1"/>
  <c r="BH947" i="1"/>
  <c r="DE948" i="1"/>
  <c r="CY948" i="1"/>
  <c r="K948" i="1"/>
  <c r="CX948" i="1"/>
  <c r="CV948" i="1"/>
  <c r="CU948" i="1"/>
  <c r="I948" i="1"/>
  <c r="BI948" i="1"/>
  <c r="BH948" i="1"/>
  <c r="DE950" i="1"/>
  <c r="CY950" i="1"/>
  <c r="K950" i="1"/>
  <c r="CX950" i="1"/>
  <c r="CV950" i="1"/>
  <c r="CU950" i="1"/>
  <c r="I950" i="1"/>
  <c r="BI950" i="1"/>
  <c r="BH950" i="1"/>
  <c r="DE951" i="1"/>
  <c r="CY951" i="1"/>
  <c r="K951" i="1"/>
  <c r="CX951" i="1"/>
  <c r="CV951" i="1"/>
  <c r="CU951" i="1"/>
  <c r="I951" i="1"/>
  <c r="BI951" i="1"/>
  <c r="BH951" i="1"/>
  <c r="DE952" i="1"/>
  <c r="CY952" i="1"/>
  <c r="K952" i="1"/>
  <c r="CX952" i="1"/>
  <c r="CV952" i="1"/>
  <c r="CU952" i="1"/>
  <c r="I952" i="1"/>
  <c r="BI952" i="1"/>
  <c r="BH952" i="1"/>
  <c r="DE953" i="1"/>
  <c r="CY953" i="1"/>
  <c r="K953" i="1"/>
  <c r="CX953" i="1"/>
  <c r="CV953" i="1"/>
  <c r="CU953" i="1"/>
  <c r="I953" i="1"/>
  <c r="BI953" i="1"/>
  <c r="BH953" i="1"/>
  <c r="DE954" i="1"/>
  <c r="CY954" i="1"/>
  <c r="K954" i="1"/>
  <c r="CX954" i="1"/>
  <c r="CV954" i="1"/>
  <c r="CU954" i="1"/>
  <c r="I954" i="1"/>
  <c r="BI954" i="1"/>
  <c r="BH954" i="1"/>
  <c r="DE955" i="1"/>
  <c r="CY955" i="1"/>
  <c r="K955" i="1"/>
  <c r="CX955" i="1"/>
  <c r="CV955" i="1"/>
  <c r="CU955" i="1"/>
  <c r="I955" i="1"/>
  <c r="BI955" i="1"/>
  <c r="BH955" i="1"/>
  <c r="DE957" i="1"/>
  <c r="CY957" i="1"/>
  <c r="K957" i="1"/>
  <c r="CX957" i="1"/>
  <c r="CV957" i="1"/>
  <c r="CU957" i="1"/>
  <c r="I957" i="1"/>
  <c r="BI957" i="1"/>
  <c r="BH957" i="1"/>
  <c r="DE1667" i="1"/>
  <c r="CY1667" i="1"/>
  <c r="K1667" i="1"/>
  <c r="CX1667" i="1"/>
  <c r="CV1667" i="1"/>
  <c r="CU1667" i="1"/>
  <c r="I1667" i="1"/>
  <c r="BI1667" i="1"/>
  <c r="BH1667" i="1"/>
  <c r="DE1215" i="1"/>
  <c r="CY1215" i="1"/>
  <c r="K1215" i="1"/>
  <c r="CX1215" i="1"/>
  <c r="CV1215" i="1"/>
  <c r="CU1215" i="1"/>
  <c r="I1215" i="1"/>
  <c r="BI1215" i="1"/>
  <c r="BH1215" i="1"/>
  <c r="DE1660" i="1"/>
  <c r="CY1660" i="1"/>
  <c r="K1660" i="1"/>
  <c r="CX1660" i="1"/>
  <c r="CV1660" i="1"/>
  <c r="CU1660" i="1"/>
  <c r="I1660" i="1"/>
  <c r="BI1660" i="1"/>
  <c r="BH1660" i="1"/>
  <c r="DE1811" i="1"/>
  <c r="CY1811" i="1"/>
  <c r="K1811" i="1"/>
  <c r="CX1811" i="1"/>
  <c r="CV1811" i="1"/>
  <c r="CU1811" i="1"/>
  <c r="I1811" i="1"/>
  <c r="BI1811" i="1"/>
  <c r="BH1811" i="1"/>
  <c r="DE817" i="1"/>
  <c r="CY817" i="1"/>
  <c r="K817" i="1"/>
  <c r="CX817" i="1"/>
  <c r="CV817" i="1"/>
  <c r="CU817" i="1"/>
  <c r="I817" i="1"/>
  <c r="BI817" i="1"/>
  <c r="BH817" i="1"/>
  <c r="DE988" i="1"/>
  <c r="CY988" i="1"/>
  <c r="K988" i="1"/>
  <c r="CX988" i="1"/>
  <c r="CV988" i="1"/>
  <c r="CU988" i="1"/>
  <c r="I988" i="1"/>
  <c r="BI988" i="1"/>
  <c r="BH988" i="1"/>
  <c r="DE989" i="1"/>
  <c r="CY989" i="1"/>
  <c r="K989" i="1"/>
  <c r="CX989" i="1"/>
  <c r="CV989" i="1"/>
  <c r="CU989" i="1"/>
  <c r="I989" i="1"/>
  <c r="BI989" i="1"/>
  <c r="BH989" i="1"/>
  <c r="DE990" i="1"/>
  <c r="CY990" i="1"/>
  <c r="K990" i="1"/>
  <c r="CX990" i="1"/>
  <c r="CV990" i="1"/>
  <c r="CU990" i="1"/>
  <c r="I990" i="1"/>
  <c r="BI990" i="1"/>
  <c r="BH990" i="1"/>
  <c r="DE991" i="1"/>
  <c r="CY991" i="1"/>
  <c r="K991" i="1"/>
  <c r="CX991" i="1"/>
  <c r="CV991" i="1"/>
  <c r="CU991" i="1"/>
  <c r="I991" i="1"/>
  <c r="BI991" i="1"/>
  <c r="BH991" i="1"/>
  <c r="DE992" i="1"/>
  <c r="CY992" i="1"/>
  <c r="K992" i="1"/>
  <c r="CX992" i="1"/>
  <c r="CV992" i="1"/>
  <c r="CU992" i="1"/>
  <c r="I992" i="1"/>
  <c r="BI992" i="1"/>
  <c r="BH992" i="1"/>
  <c r="DE993" i="1"/>
  <c r="CY993" i="1"/>
  <c r="K993" i="1"/>
  <c r="CX993" i="1"/>
  <c r="CV993" i="1"/>
  <c r="CU993" i="1"/>
  <c r="I993" i="1"/>
  <c r="BI993" i="1"/>
  <c r="BH993" i="1"/>
  <c r="DE994" i="1"/>
  <c r="CY994" i="1"/>
  <c r="K994" i="1"/>
  <c r="CX994" i="1"/>
  <c r="CV994" i="1"/>
  <c r="CU994" i="1"/>
  <c r="I994" i="1"/>
  <c r="BI994" i="1"/>
  <c r="BH994" i="1"/>
  <c r="DE995" i="1"/>
  <c r="CY995" i="1"/>
  <c r="K995" i="1"/>
  <c r="CX995" i="1"/>
  <c r="CV995" i="1"/>
  <c r="CU995" i="1"/>
  <c r="I995" i="1"/>
  <c r="BI995" i="1"/>
  <c r="BH995" i="1"/>
  <c r="DE996" i="1"/>
  <c r="CY996" i="1"/>
  <c r="K996" i="1"/>
  <c r="CX996" i="1"/>
  <c r="CV996" i="1"/>
  <c r="CU996" i="1"/>
  <c r="I996" i="1"/>
  <c r="BI996" i="1"/>
  <c r="BH996" i="1"/>
  <c r="DE997" i="1"/>
  <c r="CY997" i="1"/>
  <c r="K997" i="1"/>
  <c r="CX997" i="1"/>
  <c r="CV997" i="1"/>
  <c r="CU997" i="1"/>
  <c r="I997" i="1"/>
  <c r="BI997" i="1"/>
  <c r="BH997" i="1"/>
  <c r="DE998" i="1"/>
  <c r="CY998" i="1"/>
  <c r="K998" i="1"/>
  <c r="CX998" i="1"/>
  <c r="CV998" i="1"/>
  <c r="CU998" i="1"/>
  <c r="I998" i="1"/>
  <c r="BI998" i="1"/>
  <c r="BH998" i="1"/>
  <c r="DE999" i="1"/>
  <c r="CY999" i="1"/>
  <c r="K999" i="1"/>
  <c r="CX999" i="1"/>
  <c r="CV999" i="1"/>
  <c r="CU999" i="1"/>
  <c r="I999" i="1"/>
  <c r="BI999" i="1"/>
  <c r="BH999" i="1"/>
  <c r="DE1000" i="1"/>
  <c r="CY1000" i="1"/>
  <c r="K1000" i="1"/>
  <c r="CX1000" i="1"/>
  <c r="CV1000" i="1"/>
  <c r="CU1000" i="1"/>
  <c r="I1000" i="1"/>
  <c r="BI1000" i="1"/>
  <c r="BH1000" i="1"/>
  <c r="DE1001" i="1"/>
  <c r="CY1001" i="1"/>
  <c r="K1001" i="1"/>
  <c r="CX1001" i="1"/>
  <c r="CV1001" i="1"/>
  <c r="CU1001" i="1"/>
  <c r="I1001" i="1"/>
  <c r="BI1001" i="1"/>
  <c r="BH1001" i="1"/>
  <c r="DE1002" i="1"/>
  <c r="CY1002" i="1"/>
  <c r="K1002" i="1"/>
  <c r="CX1002" i="1"/>
  <c r="CV1002" i="1"/>
  <c r="CU1002" i="1"/>
  <c r="I1002" i="1"/>
  <c r="BI1002" i="1"/>
  <c r="BH1002" i="1"/>
  <c r="DE798" i="1"/>
  <c r="CY798" i="1"/>
  <c r="K798" i="1"/>
  <c r="CX798" i="1"/>
  <c r="CV798" i="1"/>
  <c r="CU798" i="1"/>
  <c r="I798" i="1"/>
  <c r="BI798" i="1"/>
  <c r="BH798" i="1"/>
  <c r="DE1003" i="1"/>
  <c r="CY1003" i="1"/>
  <c r="K1003" i="1"/>
  <c r="CX1003" i="1"/>
  <c r="CV1003" i="1"/>
  <c r="CU1003" i="1"/>
  <c r="I1003" i="1"/>
  <c r="BI1003" i="1"/>
  <c r="BH1003" i="1"/>
  <c r="DE1004" i="1"/>
  <c r="CY1004" i="1"/>
  <c r="K1004" i="1"/>
  <c r="CX1004" i="1"/>
  <c r="CV1004" i="1"/>
  <c r="CU1004" i="1"/>
  <c r="I1004" i="1"/>
  <c r="BI1004" i="1"/>
  <c r="BH1004" i="1"/>
  <c r="DE1005" i="1"/>
  <c r="CY1005" i="1"/>
  <c r="K1005" i="1"/>
  <c r="CX1005" i="1"/>
  <c r="CV1005" i="1"/>
  <c r="CU1005" i="1"/>
  <c r="I1005" i="1"/>
  <c r="BI1005" i="1"/>
  <c r="BH1005" i="1"/>
  <c r="DE1006" i="1"/>
  <c r="CY1006" i="1"/>
  <c r="K1006" i="1"/>
  <c r="CX1006" i="1"/>
  <c r="CV1006" i="1"/>
  <c r="CU1006" i="1"/>
  <c r="I1006" i="1"/>
  <c r="BI1006" i="1"/>
  <c r="BH1006" i="1"/>
  <c r="DE1007" i="1"/>
  <c r="CY1007" i="1"/>
  <c r="K1007" i="1"/>
  <c r="CX1007" i="1"/>
  <c r="CV1007" i="1"/>
  <c r="CU1007" i="1"/>
  <c r="I1007" i="1"/>
  <c r="BI1007" i="1"/>
  <c r="BH1007" i="1"/>
  <c r="DE1008" i="1"/>
  <c r="CY1008" i="1"/>
  <c r="K1008" i="1"/>
  <c r="CX1008" i="1"/>
  <c r="CV1008" i="1"/>
  <c r="CU1008" i="1"/>
  <c r="I1008" i="1"/>
  <c r="BI1008" i="1"/>
  <c r="BH1008" i="1"/>
  <c r="DE1009" i="1"/>
  <c r="CY1009" i="1"/>
  <c r="K1009" i="1"/>
  <c r="CX1009" i="1"/>
  <c r="CV1009" i="1"/>
  <c r="CU1009" i="1"/>
  <c r="I1009" i="1"/>
  <c r="BI1009" i="1"/>
  <c r="BH1009" i="1"/>
  <c r="DE1010" i="1"/>
  <c r="CY1010" i="1"/>
  <c r="K1010" i="1"/>
  <c r="CX1010" i="1"/>
  <c r="CV1010" i="1"/>
  <c r="CU1010" i="1"/>
  <c r="I1010" i="1"/>
  <c r="BI1010" i="1"/>
  <c r="BH1010" i="1"/>
  <c r="DE1011" i="1"/>
  <c r="CY1011" i="1"/>
  <c r="K1011" i="1"/>
  <c r="CX1011" i="1"/>
  <c r="CV1011" i="1"/>
  <c r="CU1011" i="1"/>
  <c r="I1011" i="1"/>
  <c r="BI1011" i="1"/>
  <c r="BH1011" i="1"/>
  <c r="DE1012" i="1"/>
  <c r="CY1012" i="1"/>
  <c r="K1012" i="1"/>
  <c r="CX1012" i="1"/>
  <c r="CV1012" i="1"/>
  <c r="CU1012" i="1"/>
  <c r="I1012" i="1"/>
  <c r="BI1012" i="1"/>
  <c r="BH1012" i="1"/>
  <c r="DE1719" i="1"/>
  <c r="CY1719" i="1"/>
  <c r="K1719" i="1"/>
  <c r="CX1719" i="1"/>
  <c r="CV1719" i="1"/>
  <c r="CU1719" i="1"/>
  <c r="I1719" i="1"/>
  <c r="BI1719" i="1"/>
  <c r="BH1719" i="1"/>
  <c r="DE1013" i="1"/>
  <c r="CY1013" i="1"/>
  <c r="K1013" i="1"/>
  <c r="CX1013" i="1"/>
  <c r="CV1013" i="1"/>
  <c r="CU1013" i="1"/>
  <c r="I1013" i="1"/>
  <c r="BI1013" i="1"/>
  <c r="BH1013" i="1"/>
  <c r="DE1014" i="1"/>
  <c r="CY1014" i="1"/>
  <c r="K1014" i="1"/>
  <c r="CX1014" i="1"/>
  <c r="CV1014" i="1"/>
  <c r="CU1014" i="1"/>
  <c r="I1014" i="1"/>
  <c r="BI1014" i="1"/>
  <c r="BH1014" i="1"/>
  <c r="DE1015" i="1"/>
  <c r="CY1015" i="1"/>
  <c r="K1015" i="1"/>
  <c r="CX1015" i="1"/>
  <c r="CV1015" i="1"/>
  <c r="CU1015" i="1"/>
  <c r="I1015" i="1"/>
  <c r="BI1015" i="1"/>
  <c r="BH1015" i="1"/>
  <c r="DE1016" i="1"/>
  <c r="CY1016" i="1"/>
  <c r="K1016" i="1"/>
  <c r="CX1016" i="1"/>
  <c r="CV1016" i="1"/>
  <c r="CU1016" i="1"/>
  <c r="I1016" i="1"/>
  <c r="BI1016" i="1"/>
  <c r="BH1016" i="1"/>
  <c r="DE1017" i="1"/>
  <c r="CY1017" i="1"/>
  <c r="K1017" i="1"/>
  <c r="CX1017" i="1"/>
  <c r="CV1017" i="1"/>
  <c r="CU1017" i="1"/>
  <c r="I1017" i="1"/>
  <c r="BI1017" i="1"/>
  <c r="BH1017" i="1"/>
  <c r="DE1018" i="1"/>
  <c r="CY1018" i="1"/>
  <c r="K1018" i="1"/>
  <c r="CX1018" i="1"/>
  <c r="CV1018" i="1"/>
  <c r="CU1018" i="1"/>
  <c r="I1018" i="1"/>
  <c r="BI1018" i="1"/>
  <c r="BH1018" i="1"/>
  <c r="DE1019" i="1"/>
  <c r="CY1019" i="1"/>
  <c r="K1019" i="1"/>
  <c r="CX1019" i="1"/>
  <c r="CV1019" i="1"/>
  <c r="CU1019" i="1"/>
  <c r="I1019" i="1"/>
  <c r="BI1019" i="1"/>
  <c r="BH1019" i="1"/>
  <c r="DE1020" i="1"/>
  <c r="CY1020" i="1"/>
  <c r="K1020" i="1"/>
  <c r="CX1020" i="1"/>
  <c r="CV1020" i="1"/>
  <c r="CU1020" i="1"/>
  <c r="I1020" i="1"/>
  <c r="BI1020" i="1"/>
  <c r="BH1020" i="1"/>
  <c r="DE797" i="1"/>
  <c r="CY797" i="1"/>
  <c r="K797" i="1"/>
  <c r="CX797" i="1"/>
  <c r="CV797" i="1"/>
  <c r="CU797" i="1"/>
  <c r="I797" i="1"/>
  <c r="BI797" i="1"/>
  <c r="BH797" i="1"/>
  <c r="DE1021" i="1"/>
  <c r="CY1021" i="1"/>
  <c r="K1021" i="1"/>
  <c r="CX1021" i="1"/>
  <c r="CV1021" i="1"/>
  <c r="CU1021" i="1"/>
  <c r="I1021" i="1"/>
  <c r="BI1021" i="1"/>
  <c r="BH1021" i="1"/>
  <c r="DE1022" i="1"/>
  <c r="CY1022" i="1"/>
  <c r="K1022" i="1"/>
  <c r="CX1022" i="1"/>
  <c r="CV1022" i="1"/>
  <c r="CU1022" i="1"/>
  <c r="I1022" i="1"/>
  <c r="BI1022" i="1"/>
  <c r="BH1022" i="1"/>
  <c r="DE1023" i="1"/>
  <c r="CY1023" i="1"/>
  <c r="K1023" i="1"/>
  <c r="CX1023" i="1"/>
  <c r="CV1023" i="1"/>
  <c r="CU1023" i="1"/>
  <c r="I1023" i="1"/>
  <c r="BI1023" i="1"/>
  <c r="BH1023" i="1"/>
  <c r="DE1024" i="1"/>
  <c r="CY1024" i="1"/>
  <c r="K1024" i="1"/>
  <c r="CX1024" i="1"/>
  <c r="CV1024" i="1"/>
  <c r="CU1024" i="1"/>
  <c r="I1024" i="1"/>
  <c r="BI1024" i="1"/>
  <c r="BH1024" i="1"/>
  <c r="DE1025" i="1"/>
  <c r="CY1025" i="1"/>
  <c r="K1025" i="1"/>
  <c r="CX1025" i="1"/>
  <c r="CV1025" i="1"/>
  <c r="CU1025" i="1"/>
  <c r="I1025" i="1"/>
  <c r="BI1025" i="1"/>
  <c r="BH1025" i="1"/>
  <c r="DE1026" i="1"/>
  <c r="CY1026" i="1"/>
  <c r="K1026" i="1"/>
  <c r="CX1026" i="1"/>
  <c r="CV1026" i="1"/>
  <c r="CU1026" i="1"/>
  <c r="I1026" i="1"/>
  <c r="BI1026" i="1"/>
  <c r="BH1026" i="1"/>
  <c r="DE796" i="1"/>
  <c r="CY796" i="1"/>
  <c r="K796" i="1"/>
  <c r="CX796" i="1"/>
  <c r="CV796" i="1"/>
  <c r="CU796" i="1"/>
  <c r="I796" i="1"/>
  <c r="BI796" i="1"/>
  <c r="BH796" i="1"/>
  <c r="DE1027" i="1"/>
  <c r="CY1027" i="1"/>
  <c r="K1027" i="1"/>
  <c r="CX1027" i="1"/>
  <c r="CV1027" i="1"/>
  <c r="CU1027" i="1"/>
  <c r="I1027" i="1"/>
  <c r="BI1027" i="1"/>
  <c r="BH1027" i="1"/>
  <c r="DE1028" i="1"/>
  <c r="CY1028" i="1"/>
  <c r="K1028" i="1"/>
  <c r="CX1028" i="1"/>
  <c r="CV1028" i="1"/>
  <c r="CU1028" i="1"/>
  <c r="I1028" i="1"/>
  <c r="BI1028" i="1"/>
  <c r="BH1028" i="1"/>
  <c r="DE1029" i="1"/>
  <c r="CY1029" i="1"/>
  <c r="K1029" i="1"/>
  <c r="CX1029" i="1"/>
  <c r="CV1029" i="1"/>
  <c r="CU1029" i="1"/>
  <c r="I1029" i="1"/>
  <c r="BI1029" i="1"/>
  <c r="BH1029" i="1"/>
  <c r="DE1030" i="1"/>
  <c r="CY1030" i="1"/>
  <c r="K1030" i="1"/>
  <c r="CX1030" i="1"/>
  <c r="CV1030" i="1"/>
  <c r="CU1030" i="1"/>
  <c r="I1030" i="1"/>
  <c r="BI1030" i="1"/>
  <c r="BH1030" i="1"/>
  <c r="DE1031" i="1"/>
  <c r="CY1031" i="1"/>
  <c r="K1031" i="1"/>
  <c r="CX1031" i="1"/>
  <c r="CV1031" i="1"/>
  <c r="CU1031" i="1"/>
  <c r="I1031" i="1"/>
  <c r="BI1031" i="1"/>
  <c r="BH1031" i="1"/>
  <c r="DE1032" i="1"/>
  <c r="CY1032" i="1"/>
  <c r="K1032" i="1"/>
  <c r="CX1032" i="1"/>
  <c r="CV1032" i="1"/>
  <c r="CU1032" i="1"/>
  <c r="I1032" i="1"/>
  <c r="BI1032" i="1"/>
  <c r="BH1032" i="1"/>
  <c r="DE1033" i="1"/>
  <c r="CY1033" i="1"/>
  <c r="K1033" i="1"/>
  <c r="CX1033" i="1"/>
  <c r="CV1033" i="1"/>
  <c r="CU1033" i="1"/>
  <c r="I1033" i="1"/>
  <c r="BI1033" i="1"/>
  <c r="BH1033" i="1"/>
  <c r="DE1034" i="1"/>
  <c r="CY1034" i="1"/>
  <c r="K1034" i="1"/>
  <c r="CX1034" i="1"/>
  <c r="CV1034" i="1"/>
  <c r="CU1034" i="1"/>
  <c r="I1034" i="1"/>
  <c r="BI1034" i="1"/>
  <c r="BH1034" i="1"/>
  <c r="DE1035" i="1"/>
  <c r="CY1035" i="1"/>
  <c r="K1035" i="1"/>
  <c r="CX1035" i="1"/>
  <c r="CV1035" i="1"/>
  <c r="CU1035" i="1"/>
  <c r="I1035" i="1"/>
  <c r="BI1035" i="1"/>
  <c r="BH1035" i="1"/>
  <c r="DE1036" i="1"/>
  <c r="CY1036" i="1"/>
  <c r="K1036" i="1"/>
  <c r="CX1036" i="1"/>
  <c r="CV1036" i="1"/>
  <c r="CU1036" i="1"/>
  <c r="I1036" i="1"/>
  <c r="BI1036" i="1"/>
  <c r="BH1036" i="1"/>
  <c r="DE1037" i="1"/>
  <c r="CY1037" i="1"/>
  <c r="K1037" i="1"/>
  <c r="CX1037" i="1"/>
  <c r="CV1037" i="1"/>
  <c r="CU1037" i="1"/>
  <c r="I1037" i="1"/>
  <c r="BI1037" i="1"/>
  <c r="BH1037" i="1"/>
  <c r="DE1038" i="1"/>
  <c r="CY1038" i="1"/>
  <c r="K1038" i="1"/>
  <c r="CX1038" i="1"/>
  <c r="CV1038" i="1"/>
  <c r="CU1038" i="1"/>
  <c r="I1038" i="1"/>
  <c r="BI1038" i="1"/>
  <c r="BH1038" i="1"/>
  <c r="DE1039" i="1"/>
  <c r="CY1039" i="1"/>
  <c r="K1039" i="1"/>
  <c r="CX1039" i="1"/>
  <c r="CV1039" i="1"/>
  <c r="CU1039" i="1"/>
  <c r="I1039" i="1"/>
  <c r="BI1039" i="1"/>
  <c r="BH1039" i="1"/>
  <c r="DE1040" i="1"/>
  <c r="CY1040" i="1"/>
  <c r="K1040" i="1"/>
  <c r="CX1040" i="1"/>
  <c r="CV1040" i="1"/>
  <c r="CU1040" i="1"/>
  <c r="I1040" i="1"/>
  <c r="BI1040" i="1"/>
  <c r="BH1040" i="1"/>
  <c r="DE1041" i="1"/>
  <c r="CY1041" i="1"/>
  <c r="K1041" i="1"/>
  <c r="CX1041" i="1"/>
  <c r="CV1041" i="1"/>
  <c r="CU1041" i="1"/>
  <c r="I1041" i="1"/>
  <c r="BI1041" i="1"/>
  <c r="BH1041" i="1"/>
  <c r="DE1042" i="1"/>
  <c r="CY1042" i="1"/>
  <c r="K1042" i="1"/>
  <c r="CX1042" i="1"/>
  <c r="CV1042" i="1"/>
  <c r="CU1042" i="1"/>
  <c r="I1042" i="1"/>
  <c r="BI1042" i="1"/>
  <c r="BH1042" i="1"/>
  <c r="DE1043" i="1"/>
  <c r="CY1043" i="1"/>
  <c r="K1043" i="1"/>
  <c r="CX1043" i="1"/>
  <c r="CV1043" i="1"/>
  <c r="CU1043" i="1"/>
  <c r="I1043" i="1"/>
  <c r="BI1043" i="1"/>
  <c r="BH1043" i="1"/>
  <c r="DE1044" i="1"/>
  <c r="CY1044" i="1"/>
  <c r="K1044" i="1"/>
  <c r="CX1044" i="1"/>
  <c r="CV1044" i="1"/>
  <c r="CU1044" i="1"/>
  <c r="I1044" i="1"/>
  <c r="BI1044" i="1"/>
  <c r="BH1044" i="1"/>
  <c r="DE1045" i="1"/>
  <c r="CY1045" i="1"/>
  <c r="K1045" i="1"/>
  <c r="CX1045" i="1"/>
  <c r="CV1045" i="1"/>
  <c r="CU1045" i="1"/>
  <c r="I1045" i="1"/>
  <c r="BI1045" i="1"/>
  <c r="BH1045" i="1"/>
  <c r="DE1046" i="1"/>
  <c r="CY1046" i="1"/>
  <c r="K1046" i="1"/>
  <c r="CX1046" i="1"/>
  <c r="CV1046" i="1"/>
  <c r="CU1046" i="1"/>
  <c r="I1046" i="1"/>
  <c r="BI1046" i="1"/>
  <c r="BH1046" i="1"/>
  <c r="DE1047" i="1"/>
  <c r="CY1047" i="1"/>
  <c r="K1047" i="1"/>
  <c r="CX1047" i="1"/>
  <c r="CV1047" i="1"/>
  <c r="CU1047" i="1"/>
  <c r="I1047" i="1"/>
  <c r="BI1047" i="1"/>
  <c r="BH1047" i="1"/>
  <c r="DE1048" i="1"/>
  <c r="CY1048" i="1"/>
  <c r="K1048" i="1"/>
  <c r="CX1048" i="1"/>
  <c r="CV1048" i="1"/>
  <c r="CU1048" i="1"/>
  <c r="I1048" i="1"/>
  <c r="BI1048" i="1"/>
  <c r="BH1048" i="1"/>
  <c r="DE1049" i="1"/>
  <c r="CY1049" i="1"/>
  <c r="K1049" i="1"/>
  <c r="CX1049" i="1"/>
  <c r="CV1049" i="1"/>
  <c r="CU1049" i="1"/>
  <c r="I1049" i="1"/>
  <c r="BI1049" i="1"/>
  <c r="BH1049" i="1"/>
  <c r="DE1050" i="1"/>
  <c r="CY1050" i="1"/>
  <c r="K1050" i="1"/>
  <c r="CX1050" i="1"/>
  <c r="CV1050" i="1"/>
  <c r="CU1050" i="1"/>
  <c r="I1050" i="1"/>
  <c r="BI1050" i="1"/>
  <c r="BH1050" i="1"/>
  <c r="DE1051" i="1"/>
  <c r="CY1051" i="1"/>
  <c r="K1051" i="1"/>
  <c r="CX1051" i="1"/>
  <c r="CV1051" i="1"/>
  <c r="CU1051" i="1"/>
  <c r="I1051" i="1"/>
  <c r="BI1051" i="1"/>
  <c r="BH1051" i="1"/>
  <c r="DE1052" i="1"/>
  <c r="CY1052" i="1"/>
  <c r="K1052" i="1"/>
  <c r="CX1052" i="1"/>
  <c r="CV1052" i="1"/>
  <c r="CU1052" i="1"/>
  <c r="I1052" i="1"/>
  <c r="BI1052" i="1"/>
  <c r="BH1052" i="1"/>
  <c r="DE987" i="1"/>
  <c r="CY987" i="1"/>
  <c r="K987" i="1"/>
  <c r="CX987" i="1"/>
  <c r="CV987" i="1"/>
  <c r="CU987" i="1"/>
  <c r="I987" i="1"/>
  <c r="BI987" i="1"/>
  <c r="BH987" i="1"/>
  <c r="DE986" i="1"/>
  <c r="CY986" i="1"/>
  <c r="K986" i="1"/>
  <c r="CX986" i="1"/>
  <c r="CV986" i="1"/>
  <c r="CU986" i="1"/>
  <c r="I986" i="1"/>
  <c r="BI986" i="1"/>
  <c r="BH986" i="1"/>
  <c r="DE795" i="1"/>
  <c r="CY795" i="1"/>
  <c r="K795" i="1"/>
  <c r="CX795" i="1"/>
  <c r="CV795" i="1"/>
  <c r="CU795" i="1"/>
  <c r="I795" i="1"/>
  <c r="BI795" i="1"/>
  <c r="BH795" i="1"/>
  <c r="DE984" i="1"/>
  <c r="CY984" i="1"/>
  <c r="K984" i="1"/>
  <c r="CX984" i="1"/>
  <c r="CV984" i="1"/>
  <c r="CU984" i="1"/>
  <c r="I984" i="1"/>
  <c r="BI984" i="1"/>
  <c r="BH984" i="1"/>
  <c r="DE1053" i="1"/>
  <c r="CY1053" i="1"/>
  <c r="K1053" i="1"/>
  <c r="CX1053" i="1"/>
  <c r="CV1053" i="1"/>
  <c r="CU1053" i="1"/>
  <c r="I1053" i="1"/>
  <c r="BI1053" i="1"/>
  <c r="BH1053" i="1"/>
  <c r="DE982" i="1"/>
  <c r="CY982" i="1"/>
  <c r="K982" i="1"/>
  <c r="CX982" i="1"/>
  <c r="CV982" i="1"/>
  <c r="CU982" i="1"/>
  <c r="I982" i="1"/>
  <c r="BI982" i="1"/>
  <c r="BH982" i="1"/>
  <c r="DE980" i="1"/>
  <c r="CY980" i="1"/>
  <c r="K980" i="1"/>
  <c r="CX980" i="1"/>
  <c r="CV980" i="1"/>
  <c r="CU980" i="1"/>
  <c r="I980" i="1"/>
  <c r="BI980" i="1"/>
  <c r="BH980" i="1"/>
  <c r="DE978" i="1"/>
  <c r="CY978" i="1"/>
  <c r="K978" i="1"/>
  <c r="CX978" i="1"/>
  <c r="CV978" i="1"/>
  <c r="CU978" i="1"/>
  <c r="I978" i="1"/>
  <c r="BI978" i="1"/>
  <c r="BH978" i="1"/>
  <c r="DE976" i="1"/>
  <c r="CY976" i="1"/>
  <c r="K976" i="1"/>
  <c r="CX976" i="1"/>
  <c r="CV976" i="1"/>
  <c r="CU976" i="1"/>
  <c r="I976" i="1"/>
  <c r="BI976" i="1"/>
  <c r="BH976" i="1"/>
  <c r="DE1054" i="1"/>
  <c r="CY1054" i="1"/>
  <c r="K1054" i="1"/>
  <c r="CX1054" i="1"/>
  <c r="CV1054" i="1"/>
  <c r="CU1054" i="1"/>
  <c r="I1054" i="1"/>
  <c r="BI1054" i="1"/>
  <c r="BH1054" i="1"/>
  <c r="DE974" i="1"/>
  <c r="CY974" i="1"/>
  <c r="K974" i="1"/>
  <c r="CX974" i="1"/>
  <c r="CV974" i="1"/>
  <c r="CU974" i="1"/>
  <c r="I974" i="1"/>
  <c r="BI974" i="1"/>
  <c r="BH974" i="1"/>
  <c r="DE1531" i="1"/>
  <c r="CY1531" i="1"/>
  <c r="K1531" i="1"/>
  <c r="CX1531" i="1"/>
  <c r="CV1531" i="1"/>
  <c r="CU1531" i="1"/>
  <c r="I1531" i="1"/>
  <c r="BI1531" i="1"/>
  <c r="BH1531" i="1"/>
  <c r="DE972" i="1"/>
  <c r="CY972" i="1"/>
  <c r="K972" i="1"/>
  <c r="CX972" i="1"/>
  <c r="CV972" i="1"/>
  <c r="CU972" i="1"/>
  <c r="I972" i="1"/>
  <c r="BI972" i="1"/>
  <c r="BH972" i="1"/>
  <c r="DE1055" i="1"/>
  <c r="CY1055" i="1"/>
  <c r="K1055" i="1"/>
  <c r="CX1055" i="1"/>
  <c r="CV1055" i="1"/>
  <c r="CU1055" i="1"/>
  <c r="I1055" i="1"/>
  <c r="BI1055" i="1"/>
  <c r="BH1055" i="1"/>
  <c r="DE970" i="1"/>
  <c r="CY970" i="1"/>
  <c r="K970" i="1"/>
  <c r="CX970" i="1"/>
  <c r="CV970" i="1"/>
  <c r="CU970" i="1"/>
  <c r="I970" i="1"/>
  <c r="BI970" i="1"/>
  <c r="BH970" i="1"/>
  <c r="DE1056" i="1"/>
  <c r="CY1056" i="1"/>
  <c r="K1056" i="1"/>
  <c r="CX1056" i="1"/>
  <c r="CV1056" i="1"/>
  <c r="CU1056" i="1"/>
  <c r="I1056" i="1"/>
  <c r="BI1056" i="1"/>
  <c r="BH1056" i="1"/>
  <c r="DE968" i="1"/>
  <c r="CY968" i="1"/>
  <c r="K968" i="1"/>
  <c r="CX968" i="1"/>
  <c r="CV968" i="1"/>
  <c r="CU968" i="1"/>
  <c r="I968" i="1"/>
  <c r="BI968" i="1"/>
  <c r="BH968" i="1"/>
  <c r="DE1057" i="1"/>
  <c r="CY1057" i="1"/>
  <c r="K1057" i="1"/>
  <c r="CX1057" i="1"/>
  <c r="CV1057" i="1"/>
  <c r="CU1057" i="1"/>
  <c r="I1057" i="1"/>
  <c r="BI1057" i="1"/>
  <c r="BH1057" i="1"/>
  <c r="DE966" i="1"/>
  <c r="CY966" i="1"/>
  <c r="K966" i="1"/>
  <c r="CX966" i="1"/>
  <c r="CV966" i="1"/>
  <c r="CU966" i="1"/>
  <c r="I966" i="1"/>
  <c r="BI966" i="1"/>
  <c r="BH966" i="1"/>
  <c r="DE1058" i="1"/>
  <c r="CY1058" i="1"/>
  <c r="K1058" i="1"/>
  <c r="CX1058" i="1"/>
  <c r="CV1058" i="1"/>
  <c r="CU1058" i="1"/>
  <c r="I1058" i="1"/>
  <c r="BI1058" i="1"/>
  <c r="BH1058" i="1"/>
  <c r="DE964" i="1"/>
  <c r="CY964" i="1"/>
  <c r="K964" i="1"/>
  <c r="CX964" i="1"/>
  <c r="CV964" i="1"/>
  <c r="CU964" i="1"/>
  <c r="I964" i="1"/>
  <c r="BI964" i="1"/>
  <c r="BH964" i="1"/>
  <c r="DE1059" i="1"/>
  <c r="CY1059" i="1"/>
  <c r="K1059" i="1"/>
  <c r="CX1059" i="1"/>
  <c r="CV1059" i="1"/>
  <c r="CU1059" i="1"/>
  <c r="I1059" i="1"/>
  <c r="BI1059" i="1"/>
  <c r="BH1059" i="1"/>
  <c r="DE962" i="1"/>
  <c r="CY962" i="1"/>
  <c r="K962" i="1"/>
  <c r="CX962" i="1"/>
  <c r="CV962" i="1"/>
  <c r="CU962" i="1"/>
  <c r="I962" i="1"/>
  <c r="BI962" i="1"/>
  <c r="BH962" i="1"/>
  <c r="DE1060" i="1"/>
  <c r="CY1060" i="1"/>
  <c r="K1060" i="1"/>
  <c r="CX1060" i="1"/>
  <c r="CV1060" i="1"/>
  <c r="CU1060" i="1"/>
  <c r="I1060" i="1"/>
  <c r="BI1060" i="1"/>
  <c r="BH1060" i="1"/>
  <c r="DE960" i="1"/>
  <c r="CY960" i="1"/>
  <c r="K960" i="1"/>
  <c r="CX960" i="1"/>
  <c r="CV960" i="1"/>
  <c r="CU960" i="1"/>
  <c r="I960" i="1"/>
  <c r="BI960" i="1"/>
  <c r="BH960" i="1"/>
  <c r="DE1780" i="1"/>
  <c r="CY1780" i="1"/>
  <c r="K1780" i="1"/>
  <c r="CX1780" i="1"/>
  <c r="CV1780" i="1"/>
  <c r="CU1780" i="1"/>
  <c r="I1780" i="1"/>
  <c r="BI1780" i="1"/>
  <c r="BH1780" i="1"/>
  <c r="DE958" i="1"/>
  <c r="CY958" i="1"/>
  <c r="K958" i="1"/>
  <c r="CX958" i="1"/>
  <c r="CV958" i="1"/>
  <c r="CU958" i="1"/>
  <c r="I958" i="1"/>
  <c r="BI958" i="1"/>
  <c r="BH958" i="1"/>
  <c r="DE1061" i="1"/>
  <c r="CY1061" i="1"/>
  <c r="K1061" i="1"/>
  <c r="CX1061" i="1"/>
  <c r="CV1061" i="1"/>
  <c r="CU1061" i="1"/>
  <c r="I1061" i="1"/>
  <c r="BI1061" i="1"/>
  <c r="BH1061" i="1"/>
  <c r="DE956" i="1"/>
  <c r="CY956" i="1"/>
  <c r="K956" i="1"/>
  <c r="CX956" i="1"/>
  <c r="CV956" i="1"/>
  <c r="CU956" i="1"/>
  <c r="I956" i="1"/>
  <c r="BI956" i="1"/>
  <c r="BH956" i="1"/>
  <c r="DE1062" i="1"/>
  <c r="CY1062" i="1"/>
  <c r="K1062" i="1"/>
  <c r="CX1062" i="1"/>
  <c r="CV1062" i="1"/>
  <c r="CU1062" i="1"/>
  <c r="I1062" i="1"/>
  <c r="BI1062" i="1"/>
  <c r="BH1062" i="1"/>
  <c r="DE1063" i="1"/>
  <c r="CY1063" i="1"/>
  <c r="K1063" i="1"/>
  <c r="CX1063" i="1"/>
  <c r="CV1063" i="1"/>
  <c r="CU1063" i="1"/>
  <c r="I1063" i="1"/>
  <c r="BI1063" i="1"/>
  <c r="BH1063" i="1"/>
  <c r="DE1064" i="1"/>
  <c r="CY1064" i="1"/>
  <c r="K1064" i="1"/>
  <c r="CX1064" i="1"/>
  <c r="CV1064" i="1"/>
  <c r="CU1064" i="1"/>
  <c r="I1064" i="1"/>
  <c r="BI1064" i="1"/>
  <c r="BH1064" i="1"/>
  <c r="DE1065" i="1"/>
  <c r="CY1065" i="1"/>
  <c r="K1065" i="1"/>
  <c r="CX1065" i="1"/>
  <c r="CV1065" i="1"/>
  <c r="CU1065" i="1"/>
  <c r="I1065" i="1"/>
  <c r="BI1065" i="1"/>
  <c r="BH1065" i="1"/>
  <c r="DE1066" i="1"/>
  <c r="CY1066" i="1"/>
  <c r="K1066" i="1"/>
  <c r="CX1066" i="1"/>
  <c r="CV1066" i="1"/>
  <c r="CU1066" i="1"/>
  <c r="I1066" i="1"/>
  <c r="BI1066" i="1"/>
  <c r="BH1066" i="1"/>
  <c r="DE1067" i="1"/>
  <c r="CY1067" i="1"/>
  <c r="K1067" i="1"/>
  <c r="CX1067" i="1"/>
  <c r="CV1067" i="1"/>
  <c r="CU1067" i="1"/>
  <c r="I1067" i="1"/>
  <c r="BI1067" i="1"/>
  <c r="BH1067" i="1"/>
  <c r="DE1068" i="1"/>
  <c r="CY1068" i="1"/>
  <c r="K1068" i="1"/>
  <c r="CX1068" i="1"/>
  <c r="CV1068" i="1"/>
  <c r="CU1068" i="1"/>
  <c r="I1068" i="1"/>
  <c r="BI1068" i="1"/>
  <c r="BH1068" i="1"/>
  <c r="DE1781" i="1"/>
  <c r="CY1781" i="1"/>
  <c r="K1781" i="1"/>
  <c r="CX1781" i="1"/>
  <c r="CV1781" i="1"/>
  <c r="CU1781" i="1"/>
  <c r="I1781" i="1"/>
  <c r="BI1781" i="1"/>
  <c r="BH1781" i="1"/>
  <c r="DE1069" i="1"/>
  <c r="CY1069" i="1"/>
  <c r="K1069" i="1"/>
  <c r="CX1069" i="1"/>
  <c r="CV1069" i="1"/>
  <c r="CU1069" i="1"/>
  <c r="I1069" i="1"/>
  <c r="BI1069" i="1"/>
  <c r="BH1069" i="1"/>
  <c r="DE1070" i="1"/>
  <c r="CY1070" i="1"/>
  <c r="K1070" i="1"/>
  <c r="CX1070" i="1"/>
  <c r="CV1070" i="1"/>
  <c r="CU1070" i="1"/>
  <c r="I1070" i="1"/>
  <c r="BI1070" i="1"/>
  <c r="BH1070" i="1"/>
  <c r="DE1071" i="1"/>
  <c r="CY1071" i="1"/>
  <c r="K1071" i="1"/>
  <c r="CX1071" i="1"/>
  <c r="CV1071" i="1"/>
  <c r="CU1071" i="1"/>
  <c r="I1071" i="1"/>
  <c r="BI1071" i="1"/>
  <c r="BH1071" i="1"/>
  <c r="DE1072" i="1"/>
  <c r="CY1072" i="1"/>
  <c r="K1072" i="1"/>
  <c r="CX1072" i="1"/>
  <c r="CV1072" i="1"/>
  <c r="CU1072" i="1"/>
  <c r="I1072" i="1"/>
  <c r="BI1072" i="1"/>
  <c r="BH1072" i="1"/>
  <c r="DE1073" i="1"/>
  <c r="CY1073" i="1"/>
  <c r="K1073" i="1"/>
  <c r="CX1073" i="1"/>
  <c r="CV1073" i="1"/>
  <c r="CU1073" i="1"/>
  <c r="I1073" i="1"/>
  <c r="BI1073" i="1"/>
  <c r="BH1073" i="1"/>
  <c r="DE1074" i="1"/>
  <c r="CY1074" i="1"/>
  <c r="K1074" i="1"/>
  <c r="CX1074" i="1"/>
  <c r="CV1074" i="1"/>
  <c r="CU1074" i="1"/>
  <c r="I1074" i="1"/>
  <c r="BI1074" i="1"/>
  <c r="BH1074" i="1"/>
  <c r="DE1075" i="1"/>
  <c r="CY1075" i="1"/>
  <c r="K1075" i="1"/>
  <c r="CX1075" i="1"/>
  <c r="CV1075" i="1"/>
  <c r="CU1075" i="1"/>
  <c r="I1075" i="1"/>
  <c r="BI1075" i="1"/>
  <c r="BH1075" i="1"/>
  <c r="DE1076" i="1"/>
  <c r="CY1076" i="1"/>
  <c r="K1076" i="1"/>
  <c r="CX1076" i="1"/>
  <c r="CV1076" i="1"/>
  <c r="CU1076" i="1"/>
  <c r="I1076" i="1"/>
  <c r="BI1076" i="1"/>
  <c r="BH1076" i="1"/>
  <c r="DE1077" i="1"/>
  <c r="CY1077" i="1"/>
  <c r="K1077" i="1"/>
  <c r="CX1077" i="1"/>
  <c r="CV1077" i="1"/>
  <c r="CU1077" i="1"/>
  <c r="I1077" i="1"/>
  <c r="BI1077" i="1"/>
  <c r="BH1077" i="1"/>
  <c r="DE1078" i="1"/>
  <c r="CY1078" i="1"/>
  <c r="K1078" i="1"/>
  <c r="CX1078" i="1"/>
  <c r="CV1078" i="1"/>
  <c r="CU1078" i="1"/>
  <c r="I1078" i="1"/>
  <c r="BI1078" i="1"/>
  <c r="BH1078" i="1"/>
  <c r="DE1079" i="1"/>
  <c r="CY1079" i="1"/>
  <c r="K1079" i="1"/>
  <c r="CX1079" i="1"/>
  <c r="CV1079" i="1"/>
  <c r="CU1079" i="1"/>
  <c r="I1079" i="1"/>
  <c r="BI1079" i="1"/>
  <c r="BH1079" i="1"/>
  <c r="DE1080" i="1"/>
  <c r="CY1080" i="1"/>
  <c r="K1080" i="1"/>
  <c r="CX1080" i="1"/>
  <c r="CV1080" i="1"/>
  <c r="CU1080" i="1"/>
  <c r="I1080" i="1"/>
  <c r="BI1080" i="1"/>
  <c r="BH1080" i="1"/>
  <c r="DE1081" i="1"/>
  <c r="CY1081" i="1"/>
  <c r="K1081" i="1"/>
  <c r="CX1081" i="1"/>
  <c r="CV1081" i="1"/>
  <c r="CU1081" i="1"/>
  <c r="I1081" i="1"/>
  <c r="BI1081" i="1"/>
  <c r="BH1081" i="1"/>
  <c r="DE1082" i="1"/>
  <c r="CY1082" i="1"/>
  <c r="K1082" i="1"/>
  <c r="CX1082" i="1"/>
  <c r="CV1082" i="1"/>
  <c r="CU1082" i="1"/>
  <c r="I1082" i="1"/>
  <c r="BI1082" i="1"/>
  <c r="BH1082" i="1"/>
  <c r="DE1083" i="1"/>
  <c r="CY1083" i="1"/>
  <c r="K1083" i="1"/>
  <c r="CX1083" i="1"/>
  <c r="CV1083" i="1"/>
  <c r="CU1083" i="1"/>
  <c r="I1083" i="1"/>
  <c r="BI1083" i="1"/>
  <c r="BH1083" i="1"/>
  <c r="DE1084" i="1"/>
  <c r="CY1084" i="1"/>
  <c r="K1084" i="1"/>
  <c r="CX1084" i="1"/>
  <c r="CV1084" i="1"/>
  <c r="CU1084" i="1"/>
  <c r="I1084" i="1"/>
  <c r="BI1084" i="1"/>
  <c r="BH1084" i="1"/>
  <c r="DE1085" i="1"/>
  <c r="CY1085" i="1"/>
  <c r="K1085" i="1"/>
  <c r="CX1085" i="1"/>
  <c r="CV1085" i="1"/>
  <c r="CU1085" i="1"/>
  <c r="I1085" i="1"/>
  <c r="BI1085" i="1"/>
  <c r="BH1085" i="1"/>
  <c r="DE1086" i="1"/>
  <c r="CY1086" i="1"/>
  <c r="K1086" i="1"/>
  <c r="CX1086" i="1"/>
  <c r="CV1086" i="1"/>
  <c r="CU1086" i="1"/>
  <c r="I1086" i="1"/>
  <c r="BI1086" i="1"/>
  <c r="BH1086" i="1"/>
  <c r="DE1087" i="1"/>
  <c r="CY1087" i="1"/>
  <c r="K1087" i="1"/>
  <c r="CX1087" i="1"/>
  <c r="CV1087" i="1"/>
  <c r="CU1087" i="1"/>
  <c r="I1087" i="1"/>
  <c r="BI1087" i="1"/>
  <c r="BH1087" i="1"/>
  <c r="DE1088" i="1"/>
  <c r="CY1088" i="1"/>
  <c r="K1088" i="1"/>
  <c r="CX1088" i="1"/>
  <c r="CV1088" i="1"/>
  <c r="CU1088" i="1"/>
  <c r="I1088" i="1"/>
  <c r="BI1088" i="1"/>
  <c r="BH1088" i="1"/>
  <c r="DE1089" i="1"/>
  <c r="CY1089" i="1"/>
  <c r="K1089" i="1"/>
  <c r="CX1089" i="1"/>
  <c r="CV1089" i="1"/>
  <c r="CU1089" i="1"/>
  <c r="I1089" i="1"/>
  <c r="BI1089" i="1"/>
  <c r="BH1089" i="1"/>
  <c r="DE1090" i="1"/>
  <c r="CY1090" i="1"/>
  <c r="K1090" i="1"/>
  <c r="CX1090" i="1"/>
  <c r="CV1090" i="1"/>
  <c r="CU1090" i="1"/>
  <c r="I1090" i="1"/>
  <c r="BI1090" i="1"/>
  <c r="BH1090" i="1"/>
  <c r="DE1091" i="1"/>
  <c r="CY1091" i="1"/>
  <c r="K1091" i="1"/>
  <c r="CX1091" i="1"/>
  <c r="CV1091" i="1"/>
  <c r="CU1091" i="1"/>
  <c r="I1091" i="1"/>
  <c r="BI1091" i="1"/>
  <c r="BH1091" i="1"/>
  <c r="DE1092" i="1"/>
  <c r="CY1092" i="1"/>
  <c r="K1092" i="1"/>
  <c r="CX1092" i="1"/>
  <c r="CV1092" i="1"/>
  <c r="CU1092" i="1"/>
  <c r="I1092" i="1"/>
  <c r="BI1092" i="1"/>
  <c r="BH1092" i="1"/>
  <c r="DE1778" i="1"/>
  <c r="CY1778" i="1"/>
  <c r="K1778" i="1"/>
  <c r="CX1778" i="1"/>
  <c r="CV1778" i="1"/>
  <c r="CU1778" i="1"/>
  <c r="I1778" i="1"/>
  <c r="BI1778" i="1"/>
  <c r="BH1778" i="1"/>
  <c r="DE1093" i="1"/>
  <c r="CY1093" i="1"/>
  <c r="K1093" i="1"/>
  <c r="CX1093" i="1"/>
  <c r="CV1093" i="1"/>
  <c r="CU1093" i="1"/>
  <c r="I1093" i="1"/>
  <c r="BI1093" i="1"/>
  <c r="BH1093" i="1"/>
  <c r="DE1094" i="1"/>
  <c r="CY1094" i="1"/>
  <c r="K1094" i="1"/>
  <c r="CX1094" i="1"/>
  <c r="CV1094" i="1"/>
  <c r="CU1094" i="1"/>
  <c r="I1094" i="1"/>
  <c r="BI1094" i="1"/>
  <c r="BH1094" i="1"/>
  <c r="DE1095" i="1"/>
  <c r="CY1095" i="1"/>
  <c r="K1095" i="1"/>
  <c r="CX1095" i="1"/>
  <c r="CV1095" i="1"/>
  <c r="CU1095" i="1"/>
  <c r="I1095" i="1"/>
  <c r="BI1095" i="1"/>
  <c r="BH1095" i="1"/>
  <c r="DE1096" i="1"/>
  <c r="CY1096" i="1"/>
  <c r="K1096" i="1"/>
  <c r="CX1096" i="1"/>
  <c r="CV1096" i="1"/>
  <c r="CU1096" i="1"/>
  <c r="I1096" i="1"/>
  <c r="BI1096" i="1"/>
  <c r="BH1096" i="1"/>
  <c r="DE1644" i="1"/>
  <c r="CY1644" i="1"/>
  <c r="K1644" i="1"/>
  <c r="CX1644" i="1"/>
  <c r="CV1644" i="1"/>
  <c r="CU1644" i="1"/>
  <c r="I1644" i="1"/>
  <c r="BI1644" i="1"/>
  <c r="BH1644" i="1"/>
  <c r="DE1097" i="1"/>
  <c r="CY1097" i="1"/>
  <c r="K1097" i="1"/>
  <c r="CX1097" i="1"/>
  <c r="CV1097" i="1"/>
  <c r="CU1097" i="1"/>
  <c r="I1097" i="1"/>
  <c r="BI1097" i="1"/>
  <c r="BH1097" i="1"/>
  <c r="DE1098" i="1"/>
  <c r="CY1098" i="1"/>
  <c r="K1098" i="1"/>
  <c r="CX1098" i="1"/>
  <c r="CV1098" i="1"/>
  <c r="CU1098" i="1"/>
  <c r="I1098" i="1"/>
  <c r="BI1098" i="1"/>
  <c r="BH1098" i="1"/>
  <c r="DE1099" i="1"/>
  <c r="CY1099" i="1"/>
  <c r="K1099" i="1"/>
  <c r="CX1099" i="1"/>
  <c r="CV1099" i="1"/>
  <c r="CU1099" i="1"/>
  <c r="I1099" i="1"/>
  <c r="BI1099" i="1"/>
  <c r="BH1099" i="1"/>
  <c r="DE1100" i="1"/>
  <c r="CY1100" i="1"/>
  <c r="K1100" i="1"/>
  <c r="CX1100" i="1"/>
  <c r="CV1100" i="1"/>
  <c r="CU1100" i="1"/>
  <c r="I1100" i="1"/>
  <c r="BI1100" i="1"/>
  <c r="BH1100" i="1"/>
  <c r="DE1101" i="1"/>
  <c r="CY1101" i="1"/>
  <c r="K1101" i="1"/>
  <c r="CX1101" i="1"/>
  <c r="CV1101" i="1"/>
  <c r="CU1101" i="1"/>
  <c r="I1101" i="1"/>
  <c r="BI1101" i="1"/>
  <c r="BH1101" i="1"/>
  <c r="DE1102" i="1"/>
  <c r="CY1102" i="1"/>
  <c r="K1102" i="1"/>
  <c r="CX1102" i="1"/>
  <c r="CV1102" i="1"/>
  <c r="CU1102" i="1"/>
  <c r="I1102" i="1"/>
  <c r="BI1102" i="1"/>
  <c r="BH1102" i="1"/>
  <c r="DE1103" i="1"/>
  <c r="CY1103" i="1"/>
  <c r="K1103" i="1"/>
  <c r="CX1103" i="1"/>
  <c r="CV1103" i="1"/>
  <c r="CU1103" i="1"/>
  <c r="I1103" i="1"/>
  <c r="BI1103" i="1"/>
  <c r="BH1103" i="1"/>
  <c r="DE1104" i="1"/>
  <c r="CY1104" i="1"/>
  <c r="K1104" i="1"/>
  <c r="CX1104" i="1"/>
  <c r="CV1104" i="1"/>
  <c r="CU1104" i="1"/>
  <c r="I1104" i="1"/>
  <c r="BI1104" i="1"/>
  <c r="BH1104" i="1"/>
  <c r="DE1105" i="1"/>
  <c r="CY1105" i="1"/>
  <c r="K1105" i="1"/>
  <c r="CX1105" i="1"/>
  <c r="CV1105" i="1"/>
  <c r="CU1105" i="1"/>
  <c r="I1105" i="1"/>
  <c r="BI1105" i="1"/>
  <c r="BH1105" i="1"/>
  <c r="DE1106" i="1"/>
  <c r="CY1106" i="1"/>
  <c r="K1106" i="1"/>
  <c r="CX1106" i="1"/>
  <c r="CV1106" i="1"/>
  <c r="CU1106" i="1"/>
  <c r="I1106" i="1"/>
  <c r="BI1106" i="1"/>
  <c r="BH1106" i="1"/>
  <c r="DE1107" i="1"/>
  <c r="CY1107" i="1"/>
  <c r="K1107" i="1"/>
  <c r="CX1107" i="1"/>
  <c r="CV1107" i="1"/>
  <c r="CU1107" i="1"/>
  <c r="I1107" i="1"/>
  <c r="BI1107" i="1"/>
  <c r="BH1107" i="1"/>
  <c r="DE1108" i="1"/>
  <c r="CY1108" i="1"/>
  <c r="K1108" i="1"/>
  <c r="CX1108" i="1"/>
  <c r="CV1108" i="1"/>
  <c r="CU1108" i="1"/>
  <c r="I1108" i="1"/>
  <c r="BI1108" i="1"/>
  <c r="BH1108" i="1"/>
  <c r="DE1715" i="1"/>
  <c r="CY1715" i="1"/>
  <c r="K1715" i="1"/>
  <c r="CX1715" i="1"/>
  <c r="CV1715" i="1"/>
  <c r="CU1715" i="1"/>
  <c r="I1715" i="1"/>
  <c r="BI1715" i="1"/>
  <c r="BH1715" i="1"/>
  <c r="DE1109" i="1"/>
  <c r="CY1109" i="1"/>
  <c r="K1109" i="1"/>
  <c r="CX1109" i="1"/>
  <c r="CV1109" i="1"/>
  <c r="CU1109" i="1"/>
  <c r="I1109" i="1"/>
  <c r="BI1109" i="1"/>
  <c r="BH1109" i="1"/>
  <c r="DE1110" i="1"/>
  <c r="CY1110" i="1"/>
  <c r="K1110" i="1"/>
  <c r="CX1110" i="1"/>
  <c r="CV1110" i="1"/>
  <c r="CU1110" i="1"/>
  <c r="I1110" i="1"/>
  <c r="BI1110" i="1"/>
  <c r="BH1110" i="1"/>
  <c r="DE1111" i="1"/>
  <c r="CY1111" i="1"/>
  <c r="K1111" i="1"/>
  <c r="CX1111" i="1"/>
  <c r="CV1111" i="1"/>
  <c r="CU1111" i="1"/>
  <c r="I1111" i="1"/>
  <c r="BI1111" i="1"/>
  <c r="BH1111" i="1"/>
  <c r="DE1112" i="1"/>
  <c r="CY1112" i="1"/>
  <c r="K1112" i="1"/>
  <c r="CX1112" i="1"/>
  <c r="CV1112" i="1"/>
  <c r="CU1112" i="1"/>
  <c r="I1112" i="1"/>
  <c r="BI1112" i="1"/>
  <c r="BH1112" i="1"/>
  <c r="DE1716" i="1"/>
  <c r="CY1716" i="1"/>
  <c r="K1716" i="1"/>
  <c r="CX1716" i="1"/>
  <c r="CV1716" i="1"/>
  <c r="CU1716" i="1"/>
  <c r="I1716" i="1"/>
  <c r="BI1716" i="1"/>
  <c r="BH1716" i="1"/>
  <c r="DE1113" i="1"/>
  <c r="CY1113" i="1"/>
  <c r="K1113" i="1"/>
  <c r="CX1113" i="1"/>
  <c r="CV1113" i="1"/>
  <c r="CU1113" i="1"/>
  <c r="I1113" i="1"/>
  <c r="BI1113" i="1"/>
  <c r="BH1113" i="1"/>
  <c r="DE1114" i="1"/>
  <c r="CY1114" i="1"/>
  <c r="K1114" i="1"/>
  <c r="CX1114" i="1"/>
  <c r="CV1114" i="1"/>
  <c r="CU1114" i="1"/>
  <c r="I1114" i="1"/>
  <c r="BI1114" i="1"/>
  <c r="BH1114" i="1"/>
  <c r="DE1779" i="1"/>
  <c r="CY1779" i="1"/>
  <c r="K1779" i="1"/>
  <c r="CX1779" i="1"/>
  <c r="CV1779" i="1"/>
  <c r="CU1779" i="1"/>
  <c r="I1779" i="1"/>
  <c r="BI1779" i="1"/>
  <c r="BH1779" i="1"/>
  <c r="DE1115" i="1"/>
  <c r="CY1115" i="1"/>
  <c r="K1115" i="1"/>
  <c r="CX1115" i="1"/>
  <c r="CV1115" i="1"/>
  <c r="CU1115" i="1"/>
  <c r="I1115" i="1"/>
  <c r="BI1115" i="1"/>
  <c r="BH1115" i="1"/>
  <c r="DE1116" i="1"/>
  <c r="CY1116" i="1"/>
  <c r="K1116" i="1"/>
  <c r="CX1116" i="1"/>
  <c r="CV1116" i="1"/>
  <c r="CU1116" i="1"/>
  <c r="I1116" i="1"/>
  <c r="BI1116" i="1"/>
  <c r="BH1116" i="1"/>
  <c r="DE1117" i="1"/>
  <c r="CY1117" i="1"/>
  <c r="K1117" i="1"/>
  <c r="CX1117" i="1"/>
  <c r="CV1117" i="1"/>
  <c r="CU1117" i="1"/>
  <c r="I1117" i="1"/>
  <c r="BI1117" i="1"/>
  <c r="BH1117" i="1"/>
  <c r="DE1118" i="1"/>
  <c r="CY1118" i="1"/>
  <c r="K1118" i="1"/>
  <c r="CX1118" i="1"/>
  <c r="CV1118" i="1"/>
  <c r="CU1118" i="1"/>
  <c r="I1118" i="1"/>
  <c r="BI1118" i="1"/>
  <c r="BH1118" i="1"/>
  <c r="DE1119" i="1"/>
  <c r="CY1119" i="1"/>
  <c r="K1119" i="1"/>
  <c r="CX1119" i="1"/>
  <c r="CV1119" i="1"/>
  <c r="CU1119" i="1"/>
  <c r="I1119" i="1"/>
  <c r="BI1119" i="1"/>
  <c r="BH1119" i="1"/>
  <c r="DE1120" i="1"/>
  <c r="CY1120" i="1"/>
  <c r="K1120" i="1"/>
  <c r="CX1120" i="1"/>
  <c r="CV1120" i="1"/>
  <c r="CU1120" i="1"/>
  <c r="I1120" i="1"/>
  <c r="BI1120" i="1"/>
  <c r="BH1120" i="1"/>
  <c r="DE1121" i="1"/>
  <c r="CY1121" i="1"/>
  <c r="K1121" i="1"/>
  <c r="CX1121" i="1"/>
  <c r="CV1121" i="1"/>
  <c r="CU1121" i="1"/>
  <c r="I1121" i="1"/>
  <c r="BI1121" i="1"/>
  <c r="BH1121" i="1"/>
  <c r="DE1122" i="1"/>
  <c r="CY1122" i="1"/>
  <c r="K1122" i="1"/>
  <c r="CX1122" i="1"/>
  <c r="CV1122" i="1"/>
  <c r="CU1122" i="1"/>
  <c r="I1122" i="1"/>
  <c r="BI1122" i="1"/>
  <c r="BH1122" i="1"/>
  <c r="DE1123" i="1"/>
  <c r="CY1123" i="1"/>
  <c r="K1123" i="1"/>
  <c r="CX1123" i="1"/>
  <c r="CV1123" i="1"/>
  <c r="CU1123" i="1"/>
  <c r="I1123" i="1"/>
  <c r="BI1123" i="1"/>
  <c r="BH1123" i="1"/>
  <c r="DE1124" i="1"/>
  <c r="CY1124" i="1"/>
  <c r="K1124" i="1"/>
  <c r="CX1124" i="1"/>
  <c r="CV1124" i="1"/>
  <c r="CU1124" i="1"/>
  <c r="I1124" i="1"/>
  <c r="BI1124" i="1"/>
  <c r="BH1124" i="1"/>
  <c r="DE1125" i="1"/>
  <c r="CY1125" i="1"/>
  <c r="K1125" i="1"/>
  <c r="CX1125" i="1"/>
  <c r="CV1125" i="1"/>
  <c r="CU1125" i="1"/>
  <c r="I1125" i="1"/>
  <c r="BI1125" i="1"/>
  <c r="BH1125" i="1"/>
  <c r="DE1126" i="1"/>
  <c r="CY1126" i="1"/>
  <c r="K1126" i="1"/>
  <c r="CX1126" i="1"/>
  <c r="CV1126" i="1"/>
  <c r="CU1126" i="1"/>
  <c r="I1126" i="1"/>
  <c r="BI1126" i="1"/>
  <c r="BH1126" i="1"/>
  <c r="DE1127" i="1"/>
  <c r="CY1127" i="1"/>
  <c r="K1127" i="1"/>
  <c r="CX1127" i="1"/>
  <c r="CV1127" i="1"/>
  <c r="CU1127" i="1"/>
  <c r="I1127" i="1"/>
  <c r="BI1127" i="1"/>
  <c r="BH1127" i="1"/>
  <c r="DE1128" i="1"/>
  <c r="CY1128" i="1"/>
  <c r="K1128" i="1"/>
  <c r="CX1128" i="1"/>
  <c r="CV1128" i="1"/>
  <c r="CU1128" i="1"/>
  <c r="I1128" i="1"/>
  <c r="BI1128" i="1"/>
  <c r="BH1128" i="1"/>
  <c r="DE1713" i="1"/>
  <c r="CY1713" i="1"/>
  <c r="K1713" i="1"/>
  <c r="CX1713" i="1"/>
  <c r="CV1713" i="1"/>
  <c r="CU1713" i="1"/>
  <c r="I1713" i="1"/>
  <c r="BI1713" i="1"/>
  <c r="BH1713" i="1"/>
  <c r="DE1129" i="1"/>
  <c r="CY1129" i="1"/>
  <c r="K1129" i="1"/>
  <c r="CX1129" i="1"/>
  <c r="CV1129" i="1"/>
  <c r="CU1129" i="1"/>
  <c r="I1129" i="1"/>
  <c r="BI1129" i="1"/>
  <c r="BH1129" i="1"/>
  <c r="DE1130" i="1"/>
  <c r="CY1130" i="1"/>
  <c r="K1130" i="1"/>
  <c r="CX1130" i="1"/>
  <c r="CV1130" i="1"/>
  <c r="CU1130" i="1"/>
  <c r="I1130" i="1"/>
  <c r="BI1130" i="1"/>
  <c r="BH1130" i="1"/>
  <c r="DE1131" i="1"/>
  <c r="CY1131" i="1"/>
  <c r="K1131" i="1"/>
  <c r="CX1131" i="1"/>
  <c r="CV1131" i="1"/>
  <c r="CU1131" i="1"/>
  <c r="I1131" i="1"/>
  <c r="BI1131" i="1"/>
  <c r="BH1131" i="1"/>
  <c r="DE1132" i="1"/>
  <c r="CY1132" i="1"/>
  <c r="K1132" i="1"/>
  <c r="CX1132" i="1"/>
  <c r="CV1132" i="1"/>
  <c r="CU1132" i="1"/>
  <c r="I1132" i="1"/>
  <c r="BI1132" i="1"/>
  <c r="BH1132" i="1"/>
  <c r="DE1133" i="1"/>
  <c r="CY1133" i="1"/>
  <c r="K1133" i="1"/>
  <c r="CX1133" i="1"/>
  <c r="CV1133" i="1"/>
  <c r="CU1133" i="1"/>
  <c r="I1133" i="1"/>
  <c r="BI1133" i="1"/>
  <c r="BH1133" i="1"/>
  <c r="DE1134" i="1"/>
  <c r="CY1134" i="1"/>
  <c r="K1134" i="1"/>
  <c r="CX1134" i="1"/>
  <c r="CV1134" i="1"/>
  <c r="CU1134" i="1"/>
  <c r="I1134" i="1"/>
  <c r="BI1134" i="1"/>
  <c r="BH1134" i="1"/>
  <c r="DE1135" i="1"/>
  <c r="CY1135" i="1"/>
  <c r="K1135" i="1"/>
  <c r="CX1135" i="1"/>
  <c r="CV1135" i="1"/>
  <c r="CU1135" i="1"/>
  <c r="I1135" i="1"/>
  <c r="BI1135" i="1"/>
  <c r="BH1135" i="1"/>
  <c r="DE1136" i="1"/>
  <c r="CY1136" i="1"/>
  <c r="K1136" i="1"/>
  <c r="CX1136" i="1"/>
  <c r="CV1136" i="1"/>
  <c r="CU1136" i="1"/>
  <c r="I1136" i="1"/>
  <c r="BI1136" i="1"/>
  <c r="BH1136" i="1"/>
  <c r="DE1137" i="1"/>
  <c r="CY1137" i="1"/>
  <c r="K1137" i="1"/>
  <c r="CX1137" i="1"/>
  <c r="CV1137" i="1"/>
  <c r="CU1137" i="1"/>
  <c r="I1137" i="1"/>
  <c r="BI1137" i="1"/>
  <c r="BH1137" i="1"/>
  <c r="DE1138" i="1"/>
  <c r="CY1138" i="1"/>
  <c r="K1138" i="1"/>
  <c r="CX1138" i="1"/>
  <c r="CV1138" i="1"/>
  <c r="CU1138" i="1"/>
  <c r="I1138" i="1"/>
  <c r="BI1138" i="1"/>
  <c r="BH1138" i="1"/>
  <c r="DE870" i="1"/>
  <c r="CY870" i="1"/>
  <c r="K870" i="1"/>
  <c r="CX870" i="1"/>
  <c r="CV870" i="1"/>
  <c r="CU870" i="1"/>
  <c r="I870" i="1"/>
  <c r="BI870" i="1"/>
  <c r="BH870" i="1"/>
  <c r="DE1139" i="1"/>
  <c r="CY1139" i="1"/>
  <c r="K1139" i="1"/>
  <c r="CX1139" i="1"/>
  <c r="CV1139" i="1"/>
  <c r="CU1139" i="1"/>
  <c r="I1139" i="1"/>
  <c r="BI1139" i="1"/>
  <c r="BH1139" i="1"/>
  <c r="DE1140" i="1"/>
  <c r="CY1140" i="1"/>
  <c r="K1140" i="1"/>
  <c r="CX1140" i="1"/>
  <c r="CV1140" i="1"/>
  <c r="CU1140" i="1"/>
  <c r="I1140" i="1"/>
  <c r="BI1140" i="1"/>
  <c r="BH1140" i="1"/>
  <c r="DE1714" i="1"/>
  <c r="CY1714" i="1"/>
  <c r="K1714" i="1"/>
  <c r="CX1714" i="1"/>
  <c r="CV1714" i="1"/>
  <c r="CU1714" i="1"/>
  <c r="I1714" i="1"/>
  <c r="BI1714" i="1"/>
  <c r="BH1714" i="1"/>
  <c r="DE1141" i="1"/>
  <c r="CY1141" i="1"/>
  <c r="K1141" i="1"/>
  <c r="CX1141" i="1"/>
  <c r="CV1141" i="1"/>
  <c r="CU1141" i="1"/>
  <c r="I1141" i="1"/>
  <c r="BI1141" i="1"/>
  <c r="BH1141" i="1"/>
  <c r="DE1142" i="1"/>
  <c r="CY1142" i="1"/>
  <c r="K1142" i="1"/>
  <c r="CX1142" i="1"/>
  <c r="CV1142" i="1"/>
  <c r="CU1142" i="1"/>
  <c r="I1142" i="1"/>
  <c r="BI1142" i="1"/>
  <c r="BH1142" i="1"/>
  <c r="DE1143" i="1"/>
  <c r="CY1143" i="1"/>
  <c r="K1143" i="1"/>
  <c r="CX1143" i="1"/>
  <c r="CV1143" i="1"/>
  <c r="CU1143" i="1"/>
  <c r="I1143" i="1"/>
  <c r="BI1143" i="1"/>
  <c r="BH1143" i="1"/>
  <c r="DE1144" i="1"/>
  <c r="CY1144" i="1"/>
  <c r="K1144" i="1"/>
  <c r="CX1144" i="1"/>
  <c r="CV1144" i="1"/>
  <c r="CU1144" i="1"/>
  <c r="I1144" i="1"/>
  <c r="BI1144" i="1"/>
  <c r="BH1144" i="1"/>
  <c r="DE1776" i="1"/>
  <c r="CY1776" i="1"/>
  <c r="K1776" i="1"/>
  <c r="CX1776" i="1"/>
  <c r="CV1776" i="1"/>
  <c r="CU1776" i="1"/>
  <c r="I1776" i="1"/>
  <c r="BI1776" i="1"/>
  <c r="BH1776" i="1"/>
  <c r="DE1145" i="1"/>
  <c r="CY1145" i="1"/>
  <c r="K1145" i="1"/>
  <c r="CX1145" i="1"/>
  <c r="CV1145" i="1"/>
  <c r="CU1145" i="1"/>
  <c r="I1145" i="1"/>
  <c r="BI1145" i="1"/>
  <c r="BH1145" i="1"/>
  <c r="DE1146" i="1"/>
  <c r="CY1146" i="1"/>
  <c r="K1146" i="1"/>
  <c r="CX1146" i="1"/>
  <c r="CV1146" i="1"/>
  <c r="CU1146" i="1"/>
  <c r="I1146" i="1"/>
  <c r="BI1146" i="1"/>
  <c r="BH1146" i="1"/>
  <c r="DE1147" i="1"/>
  <c r="CY1147" i="1"/>
  <c r="K1147" i="1"/>
  <c r="CX1147" i="1"/>
  <c r="CV1147" i="1"/>
  <c r="CU1147" i="1"/>
  <c r="I1147" i="1"/>
  <c r="BI1147" i="1"/>
  <c r="BH1147" i="1"/>
  <c r="DE1148" i="1"/>
  <c r="CY1148" i="1"/>
  <c r="K1148" i="1"/>
  <c r="CX1148" i="1"/>
  <c r="CV1148" i="1"/>
  <c r="CU1148" i="1"/>
  <c r="I1148" i="1"/>
  <c r="BI1148" i="1"/>
  <c r="BH1148" i="1"/>
  <c r="DE1777" i="1"/>
  <c r="CY1777" i="1"/>
  <c r="K1777" i="1"/>
  <c r="CX1777" i="1"/>
  <c r="CV1777" i="1"/>
  <c r="CU1777" i="1"/>
  <c r="I1777" i="1"/>
  <c r="BI1777" i="1"/>
  <c r="BH1777" i="1"/>
  <c r="DE1149" i="1"/>
  <c r="CY1149" i="1"/>
  <c r="K1149" i="1"/>
  <c r="CX1149" i="1"/>
  <c r="CV1149" i="1"/>
  <c r="CU1149" i="1"/>
  <c r="I1149" i="1"/>
  <c r="BI1149" i="1"/>
  <c r="BH1149" i="1"/>
  <c r="DE1150" i="1"/>
  <c r="CY1150" i="1"/>
  <c r="K1150" i="1"/>
  <c r="CX1150" i="1"/>
  <c r="CV1150" i="1"/>
  <c r="CU1150" i="1"/>
  <c r="I1150" i="1"/>
  <c r="BI1150" i="1"/>
  <c r="BH1150" i="1"/>
  <c r="DE1151" i="1"/>
  <c r="CY1151" i="1"/>
  <c r="K1151" i="1"/>
  <c r="CX1151" i="1"/>
  <c r="CV1151" i="1"/>
  <c r="CU1151" i="1"/>
  <c r="I1151" i="1"/>
  <c r="BI1151" i="1"/>
  <c r="BH1151" i="1"/>
  <c r="DE1152" i="1"/>
  <c r="CY1152" i="1"/>
  <c r="K1152" i="1"/>
  <c r="CX1152" i="1"/>
  <c r="CV1152" i="1"/>
  <c r="CU1152" i="1"/>
  <c r="I1152" i="1"/>
  <c r="BI1152" i="1"/>
  <c r="BH1152" i="1"/>
  <c r="DE1153" i="1"/>
  <c r="CY1153" i="1"/>
  <c r="K1153" i="1"/>
  <c r="CX1153" i="1"/>
  <c r="CV1153" i="1"/>
  <c r="CU1153" i="1"/>
  <c r="I1153" i="1"/>
  <c r="BI1153" i="1"/>
  <c r="BH1153" i="1"/>
  <c r="DE1154" i="1"/>
  <c r="CY1154" i="1"/>
  <c r="K1154" i="1"/>
  <c r="CX1154" i="1"/>
  <c r="CV1154" i="1"/>
  <c r="CU1154" i="1"/>
  <c r="I1154" i="1"/>
  <c r="BI1154" i="1"/>
  <c r="BH1154" i="1"/>
  <c r="DE1155" i="1"/>
  <c r="CY1155" i="1"/>
  <c r="K1155" i="1"/>
  <c r="CX1155" i="1"/>
  <c r="CV1155" i="1"/>
  <c r="CU1155" i="1"/>
  <c r="I1155" i="1"/>
  <c r="BI1155" i="1"/>
  <c r="BH1155" i="1"/>
  <c r="DE1156" i="1"/>
  <c r="CY1156" i="1"/>
  <c r="K1156" i="1"/>
  <c r="CX1156" i="1"/>
  <c r="CV1156" i="1"/>
  <c r="CU1156" i="1"/>
  <c r="I1156" i="1"/>
  <c r="BI1156" i="1"/>
  <c r="BH1156" i="1"/>
  <c r="DE1752" i="1"/>
  <c r="CY1752" i="1"/>
  <c r="K1752" i="1"/>
  <c r="CX1752" i="1"/>
  <c r="CV1752" i="1"/>
  <c r="CU1752" i="1"/>
  <c r="I1752" i="1"/>
  <c r="BI1752" i="1"/>
  <c r="BH1752" i="1"/>
  <c r="DE1157" i="1"/>
  <c r="CY1157" i="1"/>
  <c r="K1157" i="1"/>
  <c r="CX1157" i="1"/>
  <c r="CV1157" i="1"/>
  <c r="CU1157" i="1"/>
  <c r="I1157" i="1"/>
  <c r="BI1157" i="1"/>
  <c r="BH1157" i="1"/>
  <c r="DE1158" i="1"/>
  <c r="CY1158" i="1"/>
  <c r="K1158" i="1"/>
  <c r="CX1158" i="1"/>
  <c r="CV1158" i="1"/>
  <c r="CU1158" i="1"/>
  <c r="I1158" i="1"/>
  <c r="BI1158" i="1"/>
  <c r="BH1158" i="1"/>
  <c r="DE1159" i="1"/>
  <c r="CY1159" i="1"/>
  <c r="K1159" i="1"/>
  <c r="CX1159" i="1"/>
  <c r="CV1159" i="1"/>
  <c r="CU1159" i="1"/>
  <c r="I1159" i="1"/>
  <c r="BI1159" i="1"/>
  <c r="BH1159" i="1"/>
  <c r="DE1160" i="1"/>
  <c r="CY1160" i="1"/>
  <c r="K1160" i="1"/>
  <c r="CX1160" i="1"/>
  <c r="CV1160" i="1"/>
  <c r="CU1160" i="1"/>
  <c r="I1160" i="1"/>
  <c r="BI1160" i="1"/>
  <c r="BH1160" i="1"/>
  <c r="DE1161" i="1"/>
  <c r="CY1161" i="1"/>
  <c r="K1161" i="1"/>
  <c r="CX1161" i="1"/>
  <c r="CV1161" i="1"/>
  <c r="CU1161" i="1"/>
  <c r="I1161" i="1"/>
  <c r="BI1161" i="1"/>
  <c r="BH1161" i="1"/>
  <c r="DE1162" i="1"/>
  <c r="CY1162" i="1"/>
  <c r="K1162" i="1"/>
  <c r="CX1162" i="1"/>
  <c r="CV1162" i="1"/>
  <c r="CU1162" i="1"/>
  <c r="I1162" i="1"/>
  <c r="BI1162" i="1"/>
  <c r="BH1162" i="1"/>
  <c r="DE1782" i="1"/>
  <c r="CY1782" i="1"/>
  <c r="K1782" i="1"/>
  <c r="CX1782" i="1"/>
  <c r="CV1782" i="1"/>
  <c r="CU1782" i="1"/>
  <c r="I1782" i="1"/>
  <c r="BI1782" i="1"/>
  <c r="BH1782" i="1"/>
  <c r="DE1163" i="1"/>
  <c r="CY1163" i="1"/>
  <c r="K1163" i="1"/>
  <c r="CX1163" i="1"/>
  <c r="CV1163" i="1"/>
  <c r="CU1163" i="1"/>
  <c r="I1163" i="1"/>
  <c r="BI1163" i="1"/>
  <c r="BH1163" i="1"/>
  <c r="DE1164" i="1"/>
  <c r="CY1164" i="1"/>
  <c r="K1164" i="1"/>
  <c r="CX1164" i="1"/>
  <c r="CV1164" i="1"/>
  <c r="CU1164" i="1"/>
  <c r="I1164" i="1"/>
  <c r="BI1164" i="1"/>
  <c r="BH1164" i="1"/>
  <c r="DE1165" i="1"/>
  <c r="CY1165" i="1"/>
  <c r="K1165" i="1"/>
  <c r="CX1165" i="1"/>
  <c r="CV1165" i="1"/>
  <c r="CU1165" i="1"/>
  <c r="I1165" i="1"/>
  <c r="BI1165" i="1"/>
  <c r="BH1165" i="1"/>
  <c r="DE1166" i="1"/>
  <c r="CY1166" i="1"/>
  <c r="K1166" i="1"/>
  <c r="CX1166" i="1"/>
  <c r="CV1166" i="1"/>
  <c r="CU1166" i="1"/>
  <c r="I1166" i="1"/>
  <c r="BI1166" i="1"/>
  <c r="BH1166" i="1"/>
  <c r="DE1168" i="1"/>
  <c r="CY1168" i="1"/>
  <c r="K1168" i="1"/>
  <c r="CX1168" i="1"/>
  <c r="CV1168" i="1"/>
  <c r="CU1168" i="1"/>
  <c r="I1168" i="1"/>
  <c r="BI1168" i="1"/>
  <c r="BH1168" i="1"/>
  <c r="DE1169" i="1"/>
  <c r="CY1169" i="1"/>
  <c r="K1169" i="1"/>
  <c r="CX1169" i="1"/>
  <c r="CV1169" i="1"/>
  <c r="CU1169" i="1"/>
  <c r="I1169" i="1"/>
  <c r="BI1169" i="1"/>
  <c r="BH1169" i="1"/>
  <c r="DE1170" i="1"/>
  <c r="CY1170" i="1"/>
  <c r="K1170" i="1"/>
  <c r="CX1170" i="1"/>
  <c r="CV1170" i="1"/>
  <c r="CU1170" i="1"/>
  <c r="I1170" i="1"/>
  <c r="BI1170" i="1"/>
  <c r="BH1170" i="1"/>
  <c r="DE1171" i="1"/>
  <c r="CY1171" i="1"/>
  <c r="K1171" i="1"/>
  <c r="CX1171" i="1"/>
  <c r="CV1171" i="1"/>
  <c r="CU1171" i="1"/>
  <c r="I1171" i="1"/>
  <c r="BI1171" i="1"/>
  <c r="BH1171" i="1"/>
  <c r="DE1172" i="1"/>
  <c r="CY1172" i="1"/>
  <c r="K1172" i="1"/>
  <c r="CX1172" i="1"/>
  <c r="CV1172" i="1"/>
  <c r="CU1172" i="1"/>
  <c r="I1172" i="1"/>
  <c r="BI1172" i="1"/>
  <c r="BH1172" i="1"/>
  <c r="DE1173" i="1"/>
  <c r="CY1173" i="1"/>
  <c r="K1173" i="1"/>
  <c r="CX1173" i="1"/>
  <c r="CV1173" i="1"/>
  <c r="CU1173" i="1"/>
  <c r="I1173" i="1"/>
  <c r="BI1173" i="1"/>
  <c r="BH1173" i="1"/>
  <c r="DE1775" i="1"/>
  <c r="CY1775" i="1"/>
  <c r="K1775" i="1"/>
  <c r="CX1775" i="1"/>
  <c r="CV1775" i="1"/>
  <c r="CU1775" i="1"/>
  <c r="I1775" i="1"/>
  <c r="BI1775" i="1"/>
  <c r="BH1775" i="1"/>
  <c r="DE1174" i="1"/>
  <c r="CY1174" i="1"/>
  <c r="K1174" i="1"/>
  <c r="CX1174" i="1"/>
  <c r="CV1174" i="1"/>
  <c r="CU1174" i="1"/>
  <c r="I1174" i="1"/>
  <c r="BI1174" i="1"/>
  <c r="BH1174" i="1"/>
  <c r="DE1175" i="1"/>
  <c r="CY1175" i="1"/>
  <c r="K1175" i="1"/>
  <c r="CX1175" i="1"/>
  <c r="CV1175" i="1"/>
  <c r="CU1175" i="1"/>
  <c r="I1175" i="1"/>
  <c r="BI1175" i="1"/>
  <c r="BH1175" i="1"/>
  <c r="DE1176" i="1"/>
  <c r="CY1176" i="1"/>
  <c r="K1176" i="1"/>
  <c r="CX1176" i="1"/>
  <c r="CV1176" i="1"/>
  <c r="CU1176" i="1"/>
  <c r="I1176" i="1"/>
  <c r="BI1176" i="1"/>
  <c r="BH1176" i="1"/>
  <c r="DE1177" i="1"/>
  <c r="CY1177" i="1"/>
  <c r="K1177" i="1"/>
  <c r="CX1177" i="1"/>
  <c r="CV1177" i="1"/>
  <c r="CU1177" i="1"/>
  <c r="I1177" i="1"/>
  <c r="BI1177" i="1"/>
  <c r="BH1177" i="1"/>
  <c r="DE1178" i="1"/>
  <c r="CY1178" i="1"/>
  <c r="K1178" i="1"/>
  <c r="CX1178" i="1"/>
  <c r="CV1178" i="1"/>
  <c r="CU1178" i="1"/>
  <c r="I1178" i="1"/>
  <c r="BI1178" i="1"/>
  <c r="BH1178" i="1"/>
  <c r="DE1179" i="1"/>
  <c r="CY1179" i="1"/>
  <c r="K1179" i="1"/>
  <c r="CX1179" i="1"/>
  <c r="CV1179" i="1"/>
  <c r="CU1179" i="1"/>
  <c r="I1179" i="1"/>
  <c r="BI1179" i="1"/>
  <c r="BH1179" i="1"/>
  <c r="DE1180" i="1"/>
  <c r="CY1180" i="1"/>
  <c r="K1180" i="1"/>
  <c r="CX1180" i="1"/>
  <c r="CV1180" i="1"/>
  <c r="CU1180" i="1"/>
  <c r="I1180" i="1"/>
  <c r="BI1180" i="1"/>
  <c r="BH1180" i="1"/>
  <c r="DE1181" i="1"/>
  <c r="CY1181" i="1"/>
  <c r="K1181" i="1"/>
  <c r="CX1181" i="1"/>
  <c r="CV1181" i="1"/>
  <c r="CU1181" i="1"/>
  <c r="I1181" i="1"/>
  <c r="BI1181" i="1"/>
  <c r="BH1181" i="1"/>
  <c r="DE1182" i="1"/>
  <c r="CY1182" i="1"/>
  <c r="K1182" i="1"/>
  <c r="CX1182" i="1"/>
  <c r="CV1182" i="1"/>
  <c r="CU1182" i="1"/>
  <c r="I1182" i="1"/>
  <c r="BI1182" i="1"/>
  <c r="BH1182" i="1"/>
  <c r="DE1183" i="1"/>
  <c r="CY1183" i="1"/>
  <c r="K1183" i="1"/>
  <c r="CX1183" i="1"/>
  <c r="CV1183" i="1"/>
  <c r="CU1183" i="1"/>
  <c r="I1183" i="1"/>
  <c r="BI1183" i="1"/>
  <c r="BH1183" i="1"/>
  <c r="DE1184" i="1"/>
  <c r="CY1184" i="1"/>
  <c r="K1184" i="1"/>
  <c r="CX1184" i="1"/>
  <c r="CV1184" i="1"/>
  <c r="CU1184" i="1"/>
  <c r="I1184" i="1"/>
  <c r="BI1184" i="1"/>
  <c r="BH1184" i="1"/>
  <c r="DE1185" i="1"/>
  <c r="CY1185" i="1"/>
  <c r="K1185" i="1"/>
  <c r="CX1185" i="1"/>
  <c r="CV1185" i="1"/>
  <c r="CU1185" i="1"/>
  <c r="I1185" i="1"/>
  <c r="BI1185" i="1"/>
  <c r="BH1185" i="1"/>
  <c r="DE1186" i="1"/>
  <c r="CY1186" i="1"/>
  <c r="K1186" i="1"/>
  <c r="CX1186" i="1"/>
  <c r="CV1186" i="1"/>
  <c r="CU1186" i="1"/>
  <c r="I1186" i="1"/>
  <c r="BI1186" i="1"/>
  <c r="BH1186" i="1"/>
  <c r="DE1187" i="1"/>
  <c r="CY1187" i="1"/>
  <c r="K1187" i="1"/>
  <c r="CX1187" i="1"/>
  <c r="CV1187" i="1"/>
  <c r="CU1187" i="1"/>
  <c r="I1187" i="1"/>
  <c r="BI1187" i="1"/>
  <c r="BH1187" i="1"/>
  <c r="DE1188" i="1"/>
  <c r="CY1188" i="1"/>
  <c r="K1188" i="1"/>
  <c r="CX1188" i="1"/>
  <c r="CV1188" i="1"/>
  <c r="CU1188" i="1"/>
  <c r="I1188" i="1"/>
  <c r="BI1188" i="1"/>
  <c r="BH1188" i="1"/>
  <c r="DE1189" i="1"/>
  <c r="CY1189" i="1"/>
  <c r="K1189" i="1"/>
  <c r="CX1189" i="1"/>
  <c r="CV1189" i="1"/>
  <c r="CU1189" i="1"/>
  <c r="I1189" i="1"/>
  <c r="BI1189" i="1"/>
  <c r="BH1189" i="1"/>
  <c r="DE1772" i="1"/>
  <c r="CY1772" i="1"/>
  <c r="K1772" i="1"/>
  <c r="CX1772" i="1"/>
  <c r="CV1772" i="1"/>
  <c r="CU1772" i="1"/>
  <c r="I1772" i="1"/>
  <c r="BI1772" i="1"/>
  <c r="BH1772" i="1"/>
  <c r="DE1190" i="1"/>
  <c r="CY1190" i="1"/>
  <c r="K1190" i="1"/>
  <c r="CX1190" i="1"/>
  <c r="CV1190" i="1"/>
  <c r="CU1190" i="1"/>
  <c r="I1190" i="1"/>
  <c r="BI1190" i="1"/>
  <c r="BH1190" i="1"/>
  <c r="DE1191" i="1"/>
  <c r="CY1191" i="1"/>
  <c r="K1191" i="1"/>
  <c r="CX1191" i="1"/>
  <c r="CV1191" i="1"/>
  <c r="CU1191" i="1"/>
  <c r="I1191" i="1"/>
  <c r="BI1191" i="1"/>
  <c r="BH1191" i="1"/>
  <c r="DE1192" i="1"/>
  <c r="CY1192" i="1"/>
  <c r="K1192" i="1"/>
  <c r="CX1192" i="1"/>
  <c r="CV1192" i="1"/>
  <c r="CU1192" i="1"/>
  <c r="I1192" i="1"/>
  <c r="BI1192" i="1"/>
  <c r="BH1192" i="1"/>
  <c r="DE1193" i="1"/>
  <c r="CY1193" i="1"/>
  <c r="K1193" i="1"/>
  <c r="CX1193" i="1"/>
  <c r="CV1193" i="1"/>
  <c r="CU1193" i="1"/>
  <c r="I1193" i="1"/>
  <c r="BI1193" i="1"/>
  <c r="BH1193" i="1"/>
  <c r="DE1194" i="1"/>
  <c r="CY1194" i="1"/>
  <c r="K1194" i="1"/>
  <c r="CX1194" i="1"/>
  <c r="CV1194" i="1"/>
  <c r="CU1194" i="1"/>
  <c r="I1194" i="1"/>
  <c r="BI1194" i="1"/>
  <c r="BH1194" i="1"/>
  <c r="DE1195" i="1"/>
  <c r="CY1195" i="1"/>
  <c r="K1195" i="1"/>
  <c r="CX1195" i="1"/>
  <c r="CV1195" i="1"/>
  <c r="CU1195" i="1"/>
  <c r="I1195" i="1"/>
  <c r="BI1195" i="1"/>
  <c r="BH1195" i="1"/>
  <c r="DE1196" i="1"/>
  <c r="CY1196" i="1"/>
  <c r="K1196" i="1"/>
  <c r="CX1196" i="1"/>
  <c r="CV1196" i="1"/>
  <c r="CU1196" i="1"/>
  <c r="I1196" i="1"/>
  <c r="BI1196" i="1"/>
  <c r="BH1196" i="1"/>
  <c r="DE1197" i="1"/>
  <c r="CY1197" i="1"/>
  <c r="K1197" i="1"/>
  <c r="CX1197" i="1"/>
  <c r="CV1197" i="1"/>
  <c r="CU1197" i="1"/>
  <c r="I1197" i="1"/>
  <c r="BI1197" i="1"/>
  <c r="BH1197" i="1"/>
  <c r="DE1198" i="1"/>
  <c r="CY1198" i="1"/>
  <c r="K1198" i="1"/>
  <c r="CX1198" i="1"/>
  <c r="CV1198" i="1"/>
  <c r="CU1198" i="1"/>
  <c r="I1198" i="1"/>
  <c r="BI1198" i="1"/>
  <c r="BH1198" i="1"/>
  <c r="DE1199" i="1"/>
  <c r="CY1199" i="1"/>
  <c r="K1199" i="1"/>
  <c r="CX1199" i="1"/>
  <c r="CV1199" i="1"/>
  <c r="CU1199" i="1"/>
  <c r="I1199" i="1"/>
  <c r="BI1199" i="1"/>
  <c r="BH1199" i="1"/>
  <c r="DE1200" i="1"/>
  <c r="CY1200" i="1"/>
  <c r="K1200" i="1"/>
  <c r="CX1200" i="1"/>
  <c r="CV1200" i="1"/>
  <c r="CU1200" i="1"/>
  <c r="I1200" i="1"/>
  <c r="BI1200" i="1"/>
  <c r="BH1200" i="1"/>
  <c r="DE1201" i="1"/>
  <c r="CY1201" i="1"/>
  <c r="K1201" i="1"/>
  <c r="CX1201" i="1"/>
  <c r="CV1201" i="1"/>
  <c r="CU1201" i="1"/>
  <c r="I1201" i="1"/>
  <c r="BI1201" i="1"/>
  <c r="BH1201" i="1"/>
  <c r="DE1202" i="1"/>
  <c r="CY1202" i="1"/>
  <c r="K1202" i="1"/>
  <c r="CX1202" i="1"/>
  <c r="CV1202" i="1"/>
  <c r="CU1202" i="1"/>
  <c r="I1202" i="1"/>
  <c r="BI1202" i="1"/>
  <c r="BH1202" i="1"/>
  <c r="DE1203" i="1"/>
  <c r="CY1203" i="1"/>
  <c r="K1203" i="1"/>
  <c r="CX1203" i="1"/>
  <c r="CV1203" i="1"/>
  <c r="CU1203" i="1"/>
  <c r="I1203" i="1"/>
  <c r="BI1203" i="1"/>
  <c r="BH1203" i="1"/>
  <c r="DE1204" i="1"/>
  <c r="CY1204" i="1"/>
  <c r="K1204" i="1"/>
  <c r="CX1204" i="1"/>
  <c r="CV1204" i="1"/>
  <c r="CU1204" i="1"/>
  <c r="I1204" i="1"/>
  <c r="BI1204" i="1"/>
  <c r="BH1204" i="1"/>
  <c r="DE1205" i="1"/>
  <c r="CY1205" i="1"/>
  <c r="K1205" i="1"/>
  <c r="CX1205" i="1"/>
  <c r="CV1205" i="1"/>
  <c r="CU1205" i="1"/>
  <c r="I1205" i="1"/>
  <c r="BI1205" i="1"/>
  <c r="BH1205" i="1"/>
  <c r="DE1206" i="1"/>
  <c r="CY1206" i="1"/>
  <c r="K1206" i="1"/>
  <c r="CX1206" i="1"/>
  <c r="CV1206" i="1"/>
  <c r="CU1206" i="1"/>
  <c r="I1206" i="1"/>
  <c r="BI1206" i="1"/>
  <c r="BH1206" i="1"/>
  <c r="DE1207" i="1"/>
  <c r="CY1207" i="1"/>
  <c r="K1207" i="1"/>
  <c r="CX1207" i="1"/>
  <c r="CV1207" i="1"/>
  <c r="CU1207" i="1"/>
  <c r="I1207" i="1"/>
  <c r="BI1207" i="1"/>
  <c r="BH1207" i="1"/>
  <c r="DE1208" i="1"/>
  <c r="CY1208" i="1"/>
  <c r="K1208" i="1"/>
  <c r="CX1208" i="1"/>
  <c r="CV1208" i="1"/>
  <c r="CU1208" i="1"/>
  <c r="I1208" i="1"/>
  <c r="BI1208" i="1"/>
  <c r="BH1208" i="1"/>
  <c r="DE1209" i="1"/>
  <c r="CY1209" i="1"/>
  <c r="K1209" i="1"/>
  <c r="CX1209" i="1"/>
  <c r="CV1209" i="1"/>
  <c r="CU1209" i="1"/>
  <c r="I1209" i="1"/>
  <c r="BI1209" i="1"/>
  <c r="BH1209" i="1"/>
  <c r="DE1773" i="1"/>
  <c r="CY1773" i="1"/>
  <c r="K1773" i="1"/>
  <c r="CX1773" i="1"/>
  <c r="CV1773" i="1"/>
  <c r="CU1773" i="1"/>
  <c r="I1773" i="1"/>
  <c r="BI1773" i="1"/>
  <c r="BH1773" i="1"/>
  <c r="DE1210" i="1"/>
  <c r="CY1210" i="1"/>
  <c r="K1210" i="1"/>
  <c r="CX1210" i="1"/>
  <c r="CV1210" i="1"/>
  <c r="CU1210" i="1"/>
  <c r="I1210" i="1"/>
  <c r="BI1210" i="1"/>
  <c r="BH1210" i="1"/>
  <c r="DE1211" i="1"/>
  <c r="CY1211" i="1"/>
  <c r="K1211" i="1"/>
  <c r="CX1211" i="1"/>
  <c r="CV1211" i="1"/>
  <c r="CU1211" i="1"/>
  <c r="I1211" i="1"/>
  <c r="BI1211" i="1"/>
  <c r="BH1211" i="1"/>
  <c r="DE1212" i="1"/>
  <c r="CY1212" i="1"/>
  <c r="K1212" i="1"/>
  <c r="CX1212" i="1"/>
  <c r="CV1212" i="1"/>
  <c r="CU1212" i="1"/>
  <c r="I1212" i="1"/>
  <c r="BI1212" i="1"/>
  <c r="BH1212" i="1"/>
  <c r="DE1213" i="1"/>
  <c r="CY1213" i="1"/>
  <c r="K1213" i="1"/>
  <c r="CX1213" i="1"/>
  <c r="CV1213" i="1"/>
  <c r="CU1213" i="1"/>
  <c r="I1213" i="1"/>
  <c r="BI1213" i="1"/>
  <c r="BH1213" i="1"/>
  <c r="DE1214" i="1"/>
  <c r="CY1214" i="1"/>
  <c r="K1214" i="1"/>
  <c r="CX1214" i="1"/>
  <c r="CV1214" i="1"/>
  <c r="CU1214" i="1"/>
  <c r="I1214" i="1"/>
  <c r="BI1214" i="1"/>
  <c r="BH1214" i="1"/>
  <c r="DE1216" i="1"/>
  <c r="CY1216" i="1"/>
  <c r="K1216" i="1"/>
  <c r="CX1216" i="1"/>
  <c r="CV1216" i="1"/>
  <c r="CU1216" i="1"/>
  <c r="I1216" i="1"/>
  <c r="BI1216" i="1"/>
  <c r="BH1216" i="1"/>
  <c r="DE1217" i="1"/>
  <c r="CY1217" i="1"/>
  <c r="K1217" i="1"/>
  <c r="CX1217" i="1"/>
  <c r="CV1217" i="1"/>
  <c r="CU1217" i="1"/>
  <c r="I1217" i="1"/>
  <c r="BI1217" i="1"/>
  <c r="BH1217" i="1"/>
  <c r="DE1218" i="1"/>
  <c r="CY1218" i="1"/>
  <c r="K1218" i="1"/>
  <c r="CX1218" i="1"/>
  <c r="CV1218" i="1"/>
  <c r="CU1218" i="1"/>
  <c r="I1218" i="1"/>
  <c r="BI1218" i="1"/>
  <c r="BH1218" i="1"/>
  <c r="DE1810" i="1"/>
  <c r="CY1810" i="1"/>
  <c r="K1810" i="1"/>
  <c r="CX1810" i="1"/>
  <c r="CV1810" i="1"/>
  <c r="CU1810" i="1"/>
  <c r="I1810" i="1"/>
  <c r="BI1810" i="1"/>
  <c r="BH1810" i="1"/>
  <c r="DE1219" i="1"/>
  <c r="CY1219" i="1"/>
  <c r="K1219" i="1"/>
  <c r="CX1219" i="1"/>
  <c r="CV1219" i="1"/>
  <c r="CU1219" i="1"/>
  <c r="I1219" i="1"/>
  <c r="BI1219" i="1"/>
  <c r="BH1219" i="1"/>
  <c r="DE1220" i="1"/>
  <c r="CY1220" i="1"/>
  <c r="K1220" i="1"/>
  <c r="CX1220" i="1"/>
  <c r="CV1220" i="1"/>
  <c r="CU1220" i="1"/>
  <c r="I1220" i="1"/>
  <c r="BI1220" i="1"/>
  <c r="BH1220" i="1"/>
  <c r="DE1221" i="1"/>
  <c r="CY1221" i="1"/>
  <c r="K1221" i="1"/>
  <c r="CX1221" i="1"/>
  <c r="CV1221" i="1"/>
  <c r="CU1221" i="1"/>
  <c r="I1221" i="1"/>
  <c r="BI1221" i="1"/>
  <c r="BH1221" i="1"/>
  <c r="DE1222" i="1"/>
  <c r="CY1222" i="1"/>
  <c r="K1222" i="1"/>
  <c r="CX1222" i="1"/>
  <c r="CV1222" i="1"/>
  <c r="CU1222" i="1"/>
  <c r="I1222" i="1"/>
  <c r="BI1222" i="1"/>
  <c r="BH1222" i="1"/>
  <c r="DE1770" i="1"/>
  <c r="CY1770" i="1"/>
  <c r="K1770" i="1"/>
  <c r="CX1770" i="1"/>
  <c r="CV1770" i="1"/>
  <c r="CU1770" i="1"/>
  <c r="I1770" i="1"/>
  <c r="BI1770" i="1"/>
  <c r="BH1770" i="1"/>
  <c r="DE1223" i="1"/>
  <c r="CY1223" i="1"/>
  <c r="K1223" i="1"/>
  <c r="CX1223" i="1"/>
  <c r="CV1223" i="1"/>
  <c r="CU1223" i="1"/>
  <c r="I1223" i="1"/>
  <c r="BI1223" i="1"/>
  <c r="BH1223" i="1"/>
  <c r="DE1224" i="1"/>
  <c r="CY1224" i="1"/>
  <c r="K1224" i="1"/>
  <c r="CX1224" i="1"/>
  <c r="CV1224" i="1"/>
  <c r="CU1224" i="1"/>
  <c r="I1224" i="1"/>
  <c r="BI1224" i="1"/>
  <c r="BH1224" i="1"/>
  <c r="DE747" i="1"/>
  <c r="CY747" i="1"/>
  <c r="K747" i="1"/>
  <c r="CX747" i="1"/>
  <c r="CV747" i="1"/>
  <c r="CU747" i="1"/>
  <c r="I747" i="1"/>
  <c r="BI747" i="1"/>
  <c r="BH747" i="1"/>
  <c r="DE1225" i="1"/>
  <c r="CY1225" i="1"/>
  <c r="K1225" i="1"/>
  <c r="CX1225" i="1"/>
  <c r="CV1225" i="1"/>
  <c r="CU1225" i="1"/>
  <c r="I1225" i="1"/>
  <c r="BI1225" i="1"/>
  <c r="BH1225" i="1"/>
  <c r="DE745" i="1"/>
  <c r="CY745" i="1"/>
  <c r="K745" i="1"/>
  <c r="CX745" i="1"/>
  <c r="CV745" i="1"/>
  <c r="CU745" i="1"/>
  <c r="I745" i="1"/>
  <c r="BI745" i="1"/>
  <c r="BH745" i="1"/>
  <c r="DE1226" i="1"/>
  <c r="CY1226" i="1"/>
  <c r="K1226" i="1"/>
  <c r="CX1226" i="1"/>
  <c r="CV1226" i="1"/>
  <c r="CU1226" i="1"/>
  <c r="I1226" i="1"/>
  <c r="BI1226" i="1"/>
  <c r="BH1226" i="1"/>
  <c r="DE743" i="1"/>
  <c r="CY743" i="1"/>
  <c r="K743" i="1"/>
  <c r="CX743" i="1"/>
  <c r="CV743" i="1"/>
  <c r="CU743" i="1"/>
  <c r="I743" i="1"/>
  <c r="BI743" i="1"/>
  <c r="BH743" i="1"/>
  <c r="DE1771" i="1"/>
  <c r="CY1771" i="1"/>
  <c r="K1771" i="1"/>
  <c r="CX1771" i="1"/>
  <c r="CV1771" i="1"/>
  <c r="CU1771" i="1"/>
  <c r="I1771" i="1"/>
  <c r="BI1771" i="1"/>
  <c r="BH1771" i="1"/>
  <c r="DE1227" i="1"/>
  <c r="CY1227" i="1"/>
  <c r="K1227" i="1"/>
  <c r="CX1227" i="1"/>
  <c r="CV1227" i="1"/>
  <c r="CU1227" i="1"/>
  <c r="I1227" i="1"/>
  <c r="BI1227" i="1"/>
  <c r="BH1227" i="1"/>
  <c r="DE1228" i="1"/>
  <c r="CY1228" i="1"/>
  <c r="K1228" i="1"/>
  <c r="CX1228" i="1"/>
  <c r="CV1228" i="1"/>
  <c r="CU1228" i="1"/>
  <c r="I1228" i="1"/>
  <c r="BI1228" i="1"/>
  <c r="BH1228" i="1"/>
  <c r="DE1229" i="1"/>
  <c r="CY1229" i="1"/>
  <c r="K1229" i="1"/>
  <c r="CX1229" i="1"/>
  <c r="CV1229" i="1"/>
  <c r="CU1229" i="1"/>
  <c r="I1229" i="1"/>
  <c r="BI1229" i="1"/>
  <c r="BH1229" i="1"/>
  <c r="DE1230" i="1"/>
  <c r="CY1230" i="1"/>
  <c r="K1230" i="1"/>
  <c r="CX1230" i="1"/>
  <c r="CV1230" i="1"/>
  <c r="CU1230" i="1"/>
  <c r="I1230" i="1"/>
  <c r="BI1230" i="1"/>
  <c r="BH1230" i="1"/>
  <c r="DE1231" i="1"/>
  <c r="CY1231" i="1"/>
  <c r="K1231" i="1"/>
  <c r="CX1231" i="1"/>
  <c r="CV1231" i="1"/>
  <c r="CU1231" i="1"/>
  <c r="I1231" i="1"/>
  <c r="BI1231" i="1"/>
  <c r="BH1231" i="1"/>
  <c r="DE1232" i="1"/>
  <c r="CY1232" i="1"/>
  <c r="K1232" i="1"/>
  <c r="CX1232" i="1"/>
  <c r="CV1232" i="1"/>
  <c r="CU1232" i="1"/>
  <c r="I1232" i="1"/>
  <c r="BI1232" i="1"/>
  <c r="BH1232" i="1"/>
  <c r="DE1233" i="1"/>
  <c r="CY1233" i="1"/>
  <c r="K1233" i="1"/>
  <c r="CX1233" i="1"/>
  <c r="CV1233" i="1"/>
  <c r="CU1233" i="1"/>
  <c r="I1233" i="1"/>
  <c r="BI1233" i="1"/>
  <c r="BH1233" i="1"/>
  <c r="DE1234" i="1"/>
  <c r="CY1234" i="1"/>
  <c r="K1234" i="1"/>
  <c r="CX1234" i="1"/>
  <c r="CV1234" i="1"/>
  <c r="CU1234" i="1"/>
  <c r="I1234" i="1"/>
  <c r="BI1234" i="1"/>
  <c r="BH1234" i="1"/>
  <c r="DE1235" i="1"/>
  <c r="CY1235" i="1"/>
  <c r="K1235" i="1"/>
  <c r="CX1235" i="1"/>
  <c r="CV1235" i="1"/>
  <c r="CU1235" i="1"/>
  <c r="I1235" i="1"/>
  <c r="BI1235" i="1"/>
  <c r="BH1235" i="1"/>
  <c r="DE1236" i="1"/>
  <c r="CY1236" i="1"/>
  <c r="K1236" i="1"/>
  <c r="CX1236" i="1"/>
  <c r="CV1236" i="1"/>
  <c r="CU1236" i="1"/>
  <c r="I1236" i="1"/>
  <c r="BI1236" i="1"/>
  <c r="BH1236" i="1"/>
  <c r="DE1237" i="1"/>
  <c r="CY1237" i="1"/>
  <c r="K1237" i="1"/>
  <c r="CX1237" i="1"/>
  <c r="CV1237" i="1"/>
  <c r="CU1237" i="1"/>
  <c r="I1237" i="1"/>
  <c r="BI1237" i="1"/>
  <c r="BH1237" i="1"/>
  <c r="DE1238" i="1"/>
  <c r="CY1238" i="1"/>
  <c r="K1238" i="1"/>
  <c r="CX1238" i="1"/>
  <c r="CV1238" i="1"/>
  <c r="CU1238" i="1"/>
  <c r="I1238" i="1"/>
  <c r="BI1238" i="1"/>
  <c r="BH1238" i="1"/>
  <c r="DE1239" i="1"/>
  <c r="CY1239" i="1"/>
  <c r="K1239" i="1"/>
  <c r="CX1239" i="1"/>
  <c r="CV1239" i="1"/>
  <c r="CU1239" i="1"/>
  <c r="I1239" i="1"/>
  <c r="BI1239" i="1"/>
  <c r="BH1239" i="1"/>
  <c r="DE1240" i="1"/>
  <c r="CY1240" i="1"/>
  <c r="K1240" i="1"/>
  <c r="CX1240" i="1"/>
  <c r="CV1240" i="1"/>
  <c r="CU1240" i="1"/>
  <c r="I1240" i="1"/>
  <c r="BI1240" i="1"/>
  <c r="BH1240" i="1"/>
  <c r="DE1241" i="1"/>
  <c r="CY1241" i="1"/>
  <c r="K1241" i="1"/>
  <c r="CX1241" i="1"/>
  <c r="CV1241" i="1"/>
  <c r="CU1241" i="1"/>
  <c r="I1241" i="1"/>
  <c r="BI1241" i="1"/>
  <c r="BH1241" i="1"/>
  <c r="DE1242" i="1"/>
  <c r="CY1242" i="1"/>
  <c r="K1242" i="1"/>
  <c r="CX1242" i="1"/>
  <c r="CV1242" i="1"/>
  <c r="CU1242" i="1"/>
  <c r="I1242" i="1"/>
  <c r="BI1242" i="1"/>
  <c r="BH1242" i="1"/>
  <c r="DE1647" i="1"/>
  <c r="CY1647" i="1"/>
  <c r="K1647" i="1"/>
  <c r="CX1647" i="1"/>
  <c r="CV1647" i="1"/>
  <c r="CU1647" i="1"/>
  <c r="I1647" i="1"/>
  <c r="BI1647" i="1"/>
  <c r="BH1647" i="1"/>
  <c r="DE1243" i="1"/>
  <c r="CY1243" i="1"/>
  <c r="K1243" i="1"/>
  <c r="CX1243" i="1"/>
  <c r="CV1243" i="1"/>
  <c r="CU1243" i="1"/>
  <c r="I1243" i="1"/>
  <c r="BI1243" i="1"/>
  <c r="BH1243" i="1"/>
  <c r="DE1244" i="1"/>
  <c r="CY1244" i="1"/>
  <c r="K1244" i="1"/>
  <c r="CX1244" i="1"/>
  <c r="CV1244" i="1"/>
  <c r="CU1244" i="1"/>
  <c r="I1244" i="1"/>
  <c r="BI1244" i="1"/>
  <c r="BH1244" i="1"/>
  <c r="DE1245" i="1"/>
  <c r="CY1245" i="1"/>
  <c r="K1245" i="1"/>
  <c r="CX1245" i="1"/>
  <c r="CV1245" i="1"/>
  <c r="CU1245" i="1"/>
  <c r="I1245" i="1"/>
  <c r="BI1245" i="1"/>
  <c r="BH1245" i="1"/>
  <c r="DE1246" i="1"/>
  <c r="CY1246" i="1"/>
  <c r="K1246" i="1"/>
  <c r="CX1246" i="1"/>
  <c r="CV1246" i="1"/>
  <c r="CU1246" i="1"/>
  <c r="I1246" i="1"/>
  <c r="BI1246" i="1"/>
  <c r="BH1246" i="1"/>
  <c r="DE1247" i="1"/>
  <c r="CY1247" i="1"/>
  <c r="K1247" i="1"/>
  <c r="CX1247" i="1"/>
  <c r="CV1247" i="1"/>
  <c r="CU1247" i="1"/>
  <c r="I1247" i="1"/>
  <c r="BI1247" i="1"/>
  <c r="BH1247" i="1"/>
  <c r="DE1248" i="1"/>
  <c r="CY1248" i="1"/>
  <c r="K1248" i="1"/>
  <c r="CX1248" i="1"/>
  <c r="CV1248" i="1"/>
  <c r="CU1248" i="1"/>
  <c r="I1248" i="1"/>
  <c r="BI1248" i="1"/>
  <c r="BH1248" i="1"/>
  <c r="DE1249" i="1"/>
  <c r="CY1249" i="1"/>
  <c r="K1249" i="1"/>
  <c r="CX1249" i="1"/>
  <c r="CV1249" i="1"/>
  <c r="CU1249" i="1"/>
  <c r="I1249" i="1"/>
  <c r="BI1249" i="1"/>
  <c r="BH1249" i="1"/>
  <c r="DE1250" i="1"/>
  <c r="CY1250" i="1"/>
  <c r="K1250" i="1"/>
  <c r="CX1250" i="1"/>
  <c r="CV1250" i="1"/>
  <c r="CU1250" i="1"/>
  <c r="I1250" i="1"/>
  <c r="BI1250" i="1"/>
  <c r="BH1250" i="1"/>
  <c r="DE1251" i="1"/>
  <c r="CY1251" i="1"/>
  <c r="K1251" i="1"/>
  <c r="CX1251" i="1"/>
  <c r="CV1251" i="1"/>
  <c r="CU1251" i="1"/>
  <c r="I1251" i="1"/>
  <c r="BI1251" i="1"/>
  <c r="BH1251" i="1"/>
  <c r="DE1252" i="1"/>
  <c r="CY1252" i="1"/>
  <c r="K1252" i="1"/>
  <c r="CX1252" i="1"/>
  <c r="CV1252" i="1"/>
  <c r="CU1252" i="1"/>
  <c r="I1252" i="1"/>
  <c r="BI1252" i="1"/>
  <c r="BH1252" i="1"/>
  <c r="DE1253" i="1"/>
  <c r="CY1253" i="1"/>
  <c r="K1253" i="1"/>
  <c r="CX1253" i="1"/>
  <c r="CV1253" i="1"/>
  <c r="CU1253" i="1"/>
  <c r="I1253" i="1"/>
  <c r="BI1253" i="1"/>
  <c r="BH1253" i="1"/>
  <c r="DE1254" i="1"/>
  <c r="CY1254" i="1"/>
  <c r="K1254" i="1"/>
  <c r="CX1254" i="1"/>
  <c r="CV1254" i="1"/>
  <c r="CU1254" i="1"/>
  <c r="I1254" i="1"/>
  <c r="BI1254" i="1"/>
  <c r="BH1254" i="1"/>
  <c r="DE1768" i="1"/>
  <c r="CY1768" i="1"/>
  <c r="K1768" i="1"/>
  <c r="CX1768" i="1"/>
  <c r="CV1768" i="1"/>
  <c r="CU1768" i="1"/>
  <c r="I1768" i="1"/>
  <c r="BI1768" i="1"/>
  <c r="BH1768" i="1"/>
  <c r="DE1255" i="1"/>
  <c r="CY1255" i="1"/>
  <c r="K1255" i="1"/>
  <c r="CX1255" i="1"/>
  <c r="CV1255" i="1"/>
  <c r="CU1255" i="1"/>
  <c r="I1255" i="1"/>
  <c r="BI1255" i="1"/>
  <c r="BH1255" i="1"/>
  <c r="DE1256" i="1"/>
  <c r="CY1256" i="1"/>
  <c r="K1256" i="1"/>
  <c r="CX1256" i="1"/>
  <c r="CV1256" i="1"/>
  <c r="CU1256" i="1"/>
  <c r="I1256" i="1"/>
  <c r="BI1256" i="1"/>
  <c r="BH1256" i="1"/>
  <c r="DE1257" i="1"/>
  <c r="CY1257" i="1"/>
  <c r="K1257" i="1"/>
  <c r="CX1257" i="1"/>
  <c r="CV1257" i="1"/>
  <c r="CU1257" i="1"/>
  <c r="I1257" i="1"/>
  <c r="BI1257" i="1"/>
  <c r="BH1257" i="1"/>
  <c r="DE1258" i="1"/>
  <c r="CY1258" i="1"/>
  <c r="K1258" i="1"/>
  <c r="CX1258" i="1"/>
  <c r="CV1258" i="1"/>
  <c r="CU1258" i="1"/>
  <c r="I1258" i="1"/>
  <c r="BI1258" i="1"/>
  <c r="BH1258" i="1"/>
  <c r="DE1259" i="1"/>
  <c r="CY1259" i="1"/>
  <c r="K1259" i="1"/>
  <c r="CX1259" i="1"/>
  <c r="CV1259" i="1"/>
  <c r="CU1259" i="1"/>
  <c r="I1259" i="1"/>
  <c r="BI1259" i="1"/>
  <c r="BH1259" i="1"/>
  <c r="DE1260" i="1"/>
  <c r="CY1260" i="1"/>
  <c r="K1260" i="1"/>
  <c r="CX1260" i="1"/>
  <c r="CV1260" i="1"/>
  <c r="CU1260" i="1"/>
  <c r="I1260" i="1"/>
  <c r="BI1260" i="1"/>
  <c r="BH1260" i="1"/>
  <c r="DE1261" i="1"/>
  <c r="CY1261" i="1"/>
  <c r="K1261" i="1"/>
  <c r="CX1261" i="1"/>
  <c r="CV1261" i="1"/>
  <c r="CU1261" i="1"/>
  <c r="I1261" i="1"/>
  <c r="BI1261" i="1"/>
  <c r="BH1261" i="1"/>
  <c r="DE1262" i="1"/>
  <c r="CY1262" i="1"/>
  <c r="K1262" i="1"/>
  <c r="CX1262" i="1"/>
  <c r="CV1262" i="1"/>
  <c r="CU1262" i="1"/>
  <c r="I1262" i="1"/>
  <c r="BI1262" i="1"/>
  <c r="BH1262" i="1"/>
  <c r="DE1263" i="1"/>
  <c r="CY1263" i="1"/>
  <c r="K1263" i="1"/>
  <c r="CX1263" i="1"/>
  <c r="CV1263" i="1"/>
  <c r="CU1263" i="1"/>
  <c r="I1263" i="1"/>
  <c r="BI1263" i="1"/>
  <c r="BH1263" i="1"/>
  <c r="DE1264" i="1"/>
  <c r="CY1264" i="1"/>
  <c r="K1264" i="1"/>
  <c r="CX1264" i="1"/>
  <c r="CV1264" i="1"/>
  <c r="CU1264" i="1"/>
  <c r="I1264" i="1"/>
  <c r="BI1264" i="1"/>
  <c r="BH1264" i="1"/>
  <c r="DE1774" i="1"/>
  <c r="CY1774" i="1"/>
  <c r="K1774" i="1"/>
  <c r="CX1774" i="1"/>
  <c r="CV1774" i="1"/>
  <c r="CU1774" i="1"/>
  <c r="I1774" i="1"/>
  <c r="BI1774" i="1"/>
  <c r="BH1774" i="1"/>
  <c r="DE1265" i="1"/>
  <c r="CY1265" i="1"/>
  <c r="K1265" i="1"/>
  <c r="CX1265" i="1"/>
  <c r="CV1265" i="1"/>
  <c r="CU1265" i="1"/>
  <c r="I1265" i="1"/>
  <c r="BI1265" i="1"/>
  <c r="BH1265" i="1"/>
  <c r="DE1266" i="1"/>
  <c r="CY1266" i="1"/>
  <c r="K1266" i="1"/>
  <c r="CX1266" i="1"/>
  <c r="CV1266" i="1"/>
  <c r="CU1266" i="1"/>
  <c r="I1266" i="1"/>
  <c r="BI1266" i="1"/>
  <c r="BH1266" i="1"/>
  <c r="DE1267" i="1"/>
  <c r="CY1267" i="1"/>
  <c r="K1267" i="1"/>
  <c r="CX1267" i="1"/>
  <c r="CV1267" i="1"/>
  <c r="CU1267" i="1"/>
  <c r="I1267" i="1"/>
  <c r="BI1267" i="1"/>
  <c r="BH1267" i="1"/>
  <c r="DE1268" i="1"/>
  <c r="CY1268" i="1"/>
  <c r="K1268" i="1"/>
  <c r="CX1268" i="1"/>
  <c r="CV1268" i="1"/>
  <c r="CU1268" i="1"/>
  <c r="I1268" i="1"/>
  <c r="BI1268" i="1"/>
  <c r="BH1268" i="1"/>
  <c r="DE1269" i="1"/>
  <c r="CY1269" i="1"/>
  <c r="K1269" i="1"/>
  <c r="CX1269" i="1"/>
  <c r="CV1269" i="1"/>
  <c r="CU1269" i="1"/>
  <c r="I1269" i="1"/>
  <c r="BI1269" i="1"/>
  <c r="BH1269" i="1"/>
  <c r="DE1270" i="1"/>
  <c r="CY1270" i="1"/>
  <c r="K1270" i="1"/>
  <c r="CX1270" i="1"/>
  <c r="CV1270" i="1"/>
  <c r="CU1270" i="1"/>
  <c r="I1270" i="1"/>
  <c r="BI1270" i="1"/>
  <c r="BH1270" i="1"/>
  <c r="DE1271" i="1"/>
  <c r="CY1271" i="1"/>
  <c r="K1271" i="1"/>
  <c r="CX1271" i="1"/>
  <c r="CV1271" i="1"/>
  <c r="CU1271" i="1"/>
  <c r="I1271" i="1"/>
  <c r="BI1271" i="1"/>
  <c r="BH1271" i="1"/>
  <c r="DE1272" i="1"/>
  <c r="CY1272" i="1"/>
  <c r="K1272" i="1"/>
  <c r="CX1272" i="1"/>
  <c r="CV1272" i="1"/>
  <c r="CU1272" i="1"/>
  <c r="I1272" i="1"/>
  <c r="BI1272" i="1"/>
  <c r="BH1272" i="1"/>
  <c r="DE1273" i="1"/>
  <c r="CY1273" i="1"/>
  <c r="K1273" i="1"/>
  <c r="CX1273" i="1"/>
  <c r="CV1273" i="1"/>
  <c r="CU1273" i="1"/>
  <c r="I1273" i="1"/>
  <c r="BI1273" i="1"/>
  <c r="BH1273" i="1"/>
  <c r="DE1274" i="1"/>
  <c r="CY1274" i="1"/>
  <c r="K1274" i="1"/>
  <c r="CX1274" i="1"/>
  <c r="CV1274" i="1"/>
  <c r="CU1274" i="1"/>
  <c r="I1274" i="1"/>
  <c r="BI1274" i="1"/>
  <c r="BH1274" i="1"/>
  <c r="DE1769" i="1"/>
  <c r="CY1769" i="1"/>
  <c r="K1769" i="1"/>
  <c r="CX1769" i="1"/>
  <c r="CV1769" i="1"/>
  <c r="CU1769" i="1"/>
  <c r="I1769" i="1"/>
  <c r="BI1769" i="1"/>
  <c r="BH1769" i="1"/>
  <c r="DE1275" i="1"/>
  <c r="CY1275" i="1"/>
  <c r="K1275" i="1"/>
  <c r="CX1275" i="1"/>
  <c r="CV1275" i="1"/>
  <c r="CU1275" i="1"/>
  <c r="I1275" i="1"/>
  <c r="BI1275" i="1"/>
  <c r="BH1275" i="1"/>
  <c r="DE1276" i="1"/>
  <c r="CY1276" i="1"/>
  <c r="K1276" i="1"/>
  <c r="CX1276" i="1"/>
  <c r="CV1276" i="1"/>
  <c r="CU1276" i="1"/>
  <c r="I1276" i="1"/>
  <c r="BI1276" i="1"/>
  <c r="BH1276" i="1"/>
  <c r="DE1277" i="1"/>
  <c r="CY1277" i="1"/>
  <c r="K1277" i="1"/>
  <c r="CX1277" i="1"/>
  <c r="CV1277" i="1"/>
  <c r="CU1277" i="1"/>
  <c r="I1277" i="1"/>
  <c r="BI1277" i="1"/>
  <c r="BH1277" i="1"/>
  <c r="DE1278" i="1"/>
  <c r="CY1278" i="1"/>
  <c r="K1278" i="1"/>
  <c r="CX1278" i="1"/>
  <c r="CV1278" i="1"/>
  <c r="CU1278" i="1"/>
  <c r="I1278" i="1"/>
  <c r="BI1278" i="1"/>
  <c r="BH1278" i="1"/>
  <c r="DE1279" i="1"/>
  <c r="CY1279" i="1"/>
  <c r="K1279" i="1"/>
  <c r="CX1279" i="1"/>
  <c r="CV1279" i="1"/>
  <c r="CU1279" i="1"/>
  <c r="I1279" i="1"/>
  <c r="BI1279" i="1"/>
  <c r="BH1279" i="1"/>
  <c r="DE1280" i="1"/>
  <c r="CY1280" i="1"/>
  <c r="K1280" i="1"/>
  <c r="CX1280" i="1"/>
  <c r="CV1280" i="1"/>
  <c r="CU1280" i="1"/>
  <c r="I1280" i="1"/>
  <c r="BI1280" i="1"/>
  <c r="BH1280" i="1"/>
  <c r="DE1281" i="1"/>
  <c r="CY1281" i="1"/>
  <c r="K1281" i="1"/>
  <c r="CX1281" i="1"/>
  <c r="CV1281" i="1"/>
  <c r="CU1281" i="1"/>
  <c r="I1281" i="1"/>
  <c r="BI1281" i="1"/>
  <c r="BH1281" i="1"/>
  <c r="DE1282" i="1"/>
  <c r="CY1282" i="1"/>
  <c r="K1282" i="1"/>
  <c r="CX1282" i="1"/>
  <c r="CV1282" i="1"/>
  <c r="CU1282" i="1"/>
  <c r="I1282" i="1"/>
  <c r="BI1282" i="1"/>
  <c r="BH1282" i="1"/>
  <c r="DE1712" i="1"/>
  <c r="CY1712" i="1"/>
  <c r="K1712" i="1"/>
  <c r="CX1712" i="1"/>
  <c r="CV1712" i="1"/>
  <c r="CU1712" i="1"/>
  <c r="I1712" i="1"/>
  <c r="BI1712" i="1"/>
  <c r="BH1712" i="1"/>
  <c r="DE1283" i="1"/>
  <c r="CY1283" i="1"/>
  <c r="K1283" i="1"/>
  <c r="CX1283" i="1"/>
  <c r="CV1283" i="1"/>
  <c r="CU1283" i="1"/>
  <c r="I1283" i="1"/>
  <c r="BI1283" i="1"/>
  <c r="BH1283" i="1"/>
  <c r="DE1284" i="1"/>
  <c r="CY1284" i="1"/>
  <c r="K1284" i="1"/>
  <c r="CX1284" i="1"/>
  <c r="CV1284" i="1"/>
  <c r="CU1284" i="1"/>
  <c r="I1284" i="1"/>
  <c r="BI1284" i="1"/>
  <c r="BH1284" i="1"/>
  <c r="DE1717" i="1"/>
  <c r="CY1717" i="1"/>
  <c r="K1717" i="1"/>
  <c r="CX1717" i="1"/>
  <c r="CV1717" i="1"/>
  <c r="CU1717" i="1"/>
  <c r="I1717" i="1"/>
  <c r="BI1717" i="1"/>
  <c r="BH1717" i="1"/>
  <c r="DE1285" i="1"/>
  <c r="CY1285" i="1"/>
  <c r="K1285" i="1"/>
  <c r="CX1285" i="1"/>
  <c r="CV1285" i="1"/>
  <c r="CU1285" i="1"/>
  <c r="I1285" i="1"/>
  <c r="BI1285" i="1"/>
  <c r="BH1285" i="1"/>
  <c r="DE1286" i="1"/>
  <c r="CY1286" i="1"/>
  <c r="K1286" i="1"/>
  <c r="CX1286" i="1"/>
  <c r="CV1286" i="1"/>
  <c r="CU1286" i="1"/>
  <c r="I1286" i="1"/>
  <c r="BI1286" i="1"/>
  <c r="BH1286" i="1"/>
  <c r="DE1287" i="1"/>
  <c r="CY1287" i="1"/>
  <c r="K1287" i="1"/>
  <c r="CX1287" i="1"/>
  <c r="CV1287" i="1"/>
  <c r="CU1287" i="1"/>
  <c r="I1287" i="1"/>
  <c r="BI1287" i="1"/>
  <c r="BH1287" i="1"/>
  <c r="DE1288" i="1"/>
  <c r="CY1288" i="1"/>
  <c r="K1288" i="1"/>
  <c r="CX1288" i="1"/>
  <c r="CV1288" i="1"/>
  <c r="CU1288" i="1"/>
  <c r="I1288" i="1"/>
  <c r="BI1288" i="1"/>
  <c r="BH1288" i="1"/>
  <c r="DE1289" i="1"/>
  <c r="CY1289" i="1"/>
  <c r="K1289" i="1"/>
  <c r="CX1289" i="1"/>
  <c r="CV1289" i="1"/>
  <c r="CU1289" i="1"/>
  <c r="I1289" i="1"/>
  <c r="BI1289" i="1"/>
  <c r="BH1289" i="1"/>
  <c r="DE1865" i="1"/>
  <c r="CY1865" i="1"/>
  <c r="K1865" i="1"/>
  <c r="CX1865" i="1"/>
  <c r="CV1865" i="1"/>
  <c r="CU1865" i="1"/>
  <c r="I1865" i="1"/>
  <c r="BI1865" i="1"/>
  <c r="BH1865" i="1"/>
  <c r="DE1290" i="1"/>
  <c r="CY1290" i="1"/>
  <c r="K1290" i="1"/>
  <c r="CX1290" i="1"/>
  <c r="CV1290" i="1"/>
  <c r="CU1290" i="1"/>
  <c r="I1290" i="1"/>
  <c r="BI1290" i="1"/>
  <c r="BH1290" i="1"/>
  <c r="DE1291" i="1"/>
  <c r="CY1291" i="1"/>
  <c r="K1291" i="1"/>
  <c r="CX1291" i="1"/>
  <c r="CV1291" i="1"/>
  <c r="CU1291" i="1"/>
  <c r="I1291" i="1"/>
  <c r="BI1291" i="1"/>
  <c r="BH1291" i="1"/>
  <c r="DE1292" i="1"/>
  <c r="CY1292" i="1"/>
  <c r="K1292" i="1"/>
  <c r="CX1292" i="1"/>
  <c r="CV1292" i="1"/>
  <c r="CU1292" i="1"/>
  <c r="I1292" i="1"/>
  <c r="BI1292" i="1"/>
  <c r="BH1292" i="1"/>
  <c r="DE1293" i="1"/>
  <c r="CY1293" i="1"/>
  <c r="K1293" i="1"/>
  <c r="CX1293" i="1"/>
  <c r="CV1293" i="1"/>
  <c r="CU1293" i="1"/>
  <c r="I1293" i="1"/>
  <c r="BI1293" i="1"/>
  <c r="BH1293" i="1"/>
  <c r="DE1294" i="1"/>
  <c r="CY1294" i="1"/>
  <c r="K1294" i="1"/>
  <c r="CX1294" i="1"/>
  <c r="CV1294" i="1"/>
  <c r="CU1294" i="1"/>
  <c r="I1294" i="1"/>
  <c r="BI1294" i="1"/>
  <c r="BH1294" i="1"/>
  <c r="DE1295" i="1"/>
  <c r="CY1295" i="1"/>
  <c r="K1295" i="1"/>
  <c r="CX1295" i="1"/>
  <c r="CV1295" i="1"/>
  <c r="CU1295" i="1"/>
  <c r="I1295" i="1"/>
  <c r="BI1295" i="1"/>
  <c r="BH1295" i="1"/>
  <c r="DE1296" i="1"/>
  <c r="CY1296" i="1"/>
  <c r="K1296" i="1"/>
  <c r="CX1296" i="1"/>
  <c r="CV1296" i="1"/>
  <c r="CU1296" i="1"/>
  <c r="I1296" i="1"/>
  <c r="BI1296" i="1"/>
  <c r="BH1296" i="1"/>
  <c r="DE1297" i="1"/>
  <c r="CY1297" i="1"/>
  <c r="K1297" i="1"/>
  <c r="CX1297" i="1"/>
  <c r="CV1297" i="1"/>
  <c r="CU1297" i="1"/>
  <c r="I1297" i="1"/>
  <c r="BI1297" i="1"/>
  <c r="BH1297" i="1"/>
  <c r="DE1298" i="1"/>
  <c r="CY1298" i="1"/>
  <c r="K1298" i="1"/>
  <c r="CX1298" i="1"/>
  <c r="CV1298" i="1"/>
  <c r="CU1298" i="1"/>
  <c r="I1298" i="1"/>
  <c r="BI1298" i="1"/>
  <c r="BH1298" i="1"/>
  <c r="DE1299" i="1"/>
  <c r="CY1299" i="1"/>
  <c r="K1299" i="1"/>
  <c r="CX1299" i="1"/>
  <c r="CV1299" i="1"/>
  <c r="CU1299" i="1"/>
  <c r="I1299" i="1"/>
  <c r="BI1299" i="1"/>
  <c r="BH1299" i="1"/>
  <c r="DE1300" i="1"/>
  <c r="CY1300" i="1"/>
  <c r="K1300" i="1"/>
  <c r="CX1300" i="1"/>
  <c r="CV1300" i="1"/>
  <c r="CU1300" i="1"/>
  <c r="I1300" i="1"/>
  <c r="BI1300" i="1"/>
  <c r="BH1300" i="1"/>
  <c r="DE1301" i="1"/>
  <c r="CY1301" i="1"/>
  <c r="K1301" i="1"/>
  <c r="CX1301" i="1"/>
  <c r="CV1301" i="1"/>
  <c r="CU1301" i="1"/>
  <c r="I1301" i="1"/>
  <c r="BI1301" i="1"/>
  <c r="BH1301" i="1"/>
  <c r="DE1302" i="1"/>
  <c r="CY1302" i="1"/>
  <c r="K1302" i="1"/>
  <c r="CX1302" i="1"/>
  <c r="CV1302" i="1"/>
  <c r="CU1302" i="1"/>
  <c r="I1302" i="1"/>
  <c r="BI1302" i="1"/>
  <c r="BH1302" i="1"/>
  <c r="DE1303" i="1"/>
  <c r="CY1303" i="1"/>
  <c r="K1303" i="1"/>
  <c r="CX1303" i="1"/>
  <c r="CV1303" i="1"/>
  <c r="CU1303" i="1"/>
  <c r="I1303" i="1"/>
  <c r="BI1303" i="1"/>
  <c r="BH1303" i="1"/>
  <c r="DE1304" i="1"/>
  <c r="CY1304" i="1"/>
  <c r="K1304" i="1"/>
  <c r="CX1304" i="1"/>
  <c r="CV1304" i="1"/>
  <c r="CU1304" i="1"/>
  <c r="I1304" i="1"/>
  <c r="BI1304" i="1"/>
  <c r="BH1304" i="1"/>
  <c r="DE1305" i="1"/>
  <c r="CY1305" i="1"/>
  <c r="K1305" i="1"/>
  <c r="CX1305" i="1"/>
  <c r="CV1305" i="1"/>
  <c r="CU1305" i="1"/>
  <c r="I1305" i="1"/>
  <c r="BI1305" i="1"/>
  <c r="BH1305" i="1"/>
  <c r="DE1306" i="1"/>
  <c r="CY1306" i="1"/>
  <c r="K1306" i="1"/>
  <c r="CX1306" i="1"/>
  <c r="CV1306" i="1"/>
  <c r="CU1306" i="1"/>
  <c r="I1306" i="1"/>
  <c r="BI1306" i="1"/>
  <c r="BH1306" i="1"/>
  <c r="DE1767" i="1"/>
  <c r="CY1767" i="1"/>
  <c r="K1767" i="1"/>
  <c r="CX1767" i="1"/>
  <c r="CV1767" i="1"/>
  <c r="CU1767" i="1"/>
  <c r="I1767" i="1"/>
  <c r="BI1767" i="1"/>
  <c r="BH1767" i="1"/>
  <c r="DE1307" i="1"/>
  <c r="CY1307" i="1"/>
  <c r="K1307" i="1"/>
  <c r="CX1307" i="1"/>
  <c r="CV1307" i="1"/>
  <c r="CU1307" i="1"/>
  <c r="I1307" i="1"/>
  <c r="BI1307" i="1"/>
  <c r="BH1307" i="1"/>
  <c r="DE1308" i="1"/>
  <c r="CY1308" i="1"/>
  <c r="K1308" i="1"/>
  <c r="CX1308" i="1"/>
  <c r="CV1308" i="1"/>
  <c r="CU1308" i="1"/>
  <c r="I1308" i="1"/>
  <c r="BI1308" i="1"/>
  <c r="BH1308" i="1"/>
  <c r="DE1309" i="1"/>
  <c r="CY1309" i="1"/>
  <c r="K1309" i="1"/>
  <c r="CX1309" i="1"/>
  <c r="CV1309" i="1"/>
  <c r="CU1309" i="1"/>
  <c r="I1309" i="1"/>
  <c r="BI1309" i="1"/>
  <c r="BH1309" i="1"/>
  <c r="DE1310" i="1"/>
  <c r="CY1310" i="1"/>
  <c r="K1310" i="1"/>
  <c r="CX1310" i="1"/>
  <c r="CV1310" i="1"/>
  <c r="CU1310" i="1"/>
  <c r="I1310" i="1"/>
  <c r="BI1310" i="1"/>
  <c r="BH1310" i="1"/>
  <c r="DE1311" i="1"/>
  <c r="CY1311" i="1"/>
  <c r="K1311" i="1"/>
  <c r="CX1311" i="1"/>
  <c r="CV1311" i="1"/>
  <c r="CU1311" i="1"/>
  <c r="I1311" i="1"/>
  <c r="BI1311" i="1"/>
  <c r="BH1311" i="1"/>
  <c r="DE1312" i="1"/>
  <c r="CY1312" i="1"/>
  <c r="K1312" i="1"/>
  <c r="CX1312" i="1"/>
  <c r="CV1312" i="1"/>
  <c r="CU1312" i="1"/>
  <c r="I1312" i="1"/>
  <c r="BI1312" i="1"/>
  <c r="BH1312" i="1"/>
  <c r="DE1313" i="1"/>
  <c r="CY1313" i="1"/>
  <c r="K1313" i="1"/>
  <c r="CX1313" i="1"/>
  <c r="CV1313" i="1"/>
  <c r="CU1313" i="1"/>
  <c r="I1313" i="1"/>
  <c r="BI1313" i="1"/>
  <c r="BH1313" i="1"/>
  <c r="DE1314" i="1"/>
  <c r="CY1314" i="1"/>
  <c r="K1314" i="1"/>
  <c r="CX1314" i="1"/>
  <c r="CV1314" i="1"/>
  <c r="CU1314" i="1"/>
  <c r="I1314" i="1"/>
  <c r="BI1314" i="1"/>
  <c r="BH1314" i="1"/>
  <c r="DE1315" i="1"/>
  <c r="CY1315" i="1"/>
  <c r="K1315" i="1"/>
  <c r="CX1315" i="1"/>
  <c r="CV1315" i="1"/>
  <c r="CU1315" i="1"/>
  <c r="I1315" i="1"/>
  <c r="BI1315" i="1"/>
  <c r="BH1315" i="1"/>
  <c r="DE1316" i="1"/>
  <c r="CY1316" i="1"/>
  <c r="K1316" i="1"/>
  <c r="CX1316" i="1"/>
  <c r="CV1316" i="1"/>
  <c r="CU1316" i="1"/>
  <c r="I1316" i="1"/>
  <c r="BI1316" i="1"/>
  <c r="BH1316" i="1"/>
  <c r="DE1317" i="1"/>
  <c r="CY1317" i="1"/>
  <c r="K1317" i="1"/>
  <c r="CX1317" i="1"/>
  <c r="CV1317" i="1"/>
  <c r="CU1317" i="1"/>
  <c r="I1317" i="1"/>
  <c r="BI1317" i="1"/>
  <c r="BH1317" i="1"/>
  <c r="DE1864" i="1"/>
  <c r="CY1864" i="1"/>
  <c r="K1864" i="1"/>
  <c r="CX1864" i="1"/>
  <c r="CV1864" i="1"/>
  <c r="CU1864" i="1"/>
  <c r="I1864" i="1"/>
  <c r="BI1864" i="1"/>
  <c r="BH1864" i="1"/>
  <c r="DE1318" i="1"/>
  <c r="CY1318" i="1"/>
  <c r="K1318" i="1"/>
  <c r="CX1318" i="1"/>
  <c r="CV1318" i="1"/>
  <c r="CU1318" i="1"/>
  <c r="I1318" i="1"/>
  <c r="BI1318" i="1"/>
  <c r="BH1318" i="1"/>
  <c r="DE1319" i="1"/>
  <c r="CY1319" i="1"/>
  <c r="K1319" i="1"/>
  <c r="CX1319" i="1"/>
  <c r="CV1319" i="1"/>
  <c r="CU1319" i="1"/>
  <c r="I1319" i="1"/>
  <c r="BI1319" i="1"/>
  <c r="BH1319" i="1"/>
  <c r="DE1320" i="1"/>
  <c r="CY1320" i="1"/>
  <c r="K1320" i="1"/>
  <c r="CX1320" i="1"/>
  <c r="CV1320" i="1"/>
  <c r="CU1320" i="1"/>
  <c r="I1320" i="1"/>
  <c r="BI1320" i="1"/>
  <c r="BH1320" i="1"/>
  <c r="DE1321" i="1"/>
  <c r="CY1321" i="1"/>
  <c r="K1321" i="1"/>
  <c r="CX1321" i="1"/>
  <c r="CV1321" i="1"/>
  <c r="CU1321" i="1"/>
  <c r="I1321" i="1"/>
  <c r="BI1321" i="1"/>
  <c r="BH1321" i="1"/>
  <c r="DE1322" i="1"/>
  <c r="CY1322" i="1"/>
  <c r="K1322" i="1"/>
  <c r="CX1322" i="1"/>
  <c r="CV1322" i="1"/>
  <c r="CU1322" i="1"/>
  <c r="I1322" i="1"/>
  <c r="BI1322" i="1"/>
  <c r="BH1322" i="1"/>
  <c r="DE1323" i="1"/>
  <c r="CY1323" i="1"/>
  <c r="K1323" i="1"/>
  <c r="CX1323" i="1"/>
  <c r="CV1323" i="1"/>
  <c r="CU1323" i="1"/>
  <c r="I1323" i="1"/>
  <c r="BI1323" i="1"/>
  <c r="BH1323" i="1"/>
  <c r="DE1324" i="1"/>
  <c r="CY1324" i="1"/>
  <c r="K1324" i="1"/>
  <c r="CX1324" i="1"/>
  <c r="CV1324" i="1"/>
  <c r="CU1324" i="1"/>
  <c r="I1324" i="1"/>
  <c r="BI1324" i="1"/>
  <c r="BH1324" i="1"/>
  <c r="DE1766" i="1"/>
  <c r="CY1766" i="1"/>
  <c r="K1766" i="1"/>
  <c r="CX1766" i="1"/>
  <c r="CV1766" i="1"/>
  <c r="CU1766" i="1"/>
  <c r="I1766" i="1"/>
  <c r="BI1766" i="1"/>
  <c r="BH1766" i="1"/>
  <c r="DE1325" i="1"/>
  <c r="CY1325" i="1"/>
  <c r="K1325" i="1"/>
  <c r="CX1325" i="1"/>
  <c r="CV1325" i="1"/>
  <c r="CU1325" i="1"/>
  <c r="I1325" i="1"/>
  <c r="BI1325" i="1"/>
  <c r="BH1325" i="1"/>
  <c r="DE1326" i="1"/>
  <c r="CY1326" i="1"/>
  <c r="K1326" i="1"/>
  <c r="CX1326" i="1"/>
  <c r="CV1326" i="1"/>
  <c r="CU1326" i="1"/>
  <c r="I1326" i="1"/>
  <c r="BI1326" i="1"/>
  <c r="BH1326" i="1"/>
  <c r="DE1327" i="1"/>
  <c r="CY1327" i="1"/>
  <c r="K1327" i="1"/>
  <c r="CX1327" i="1"/>
  <c r="CV1327" i="1"/>
  <c r="CU1327" i="1"/>
  <c r="I1327" i="1"/>
  <c r="BI1327" i="1"/>
  <c r="BH1327" i="1"/>
  <c r="DE1328" i="1"/>
  <c r="CY1328" i="1"/>
  <c r="K1328" i="1"/>
  <c r="CX1328" i="1"/>
  <c r="CV1328" i="1"/>
  <c r="CU1328" i="1"/>
  <c r="I1328" i="1"/>
  <c r="BI1328" i="1"/>
  <c r="BH1328" i="1"/>
  <c r="DE1329" i="1"/>
  <c r="CY1329" i="1"/>
  <c r="K1329" i="1"/>
  <c r="CX1329" i="1"/>
  <c r="CV1329" i="1"/>
  <c r="CU1329" i="1"/>
  <c r="I1329" i="1"/>
  <c r="BI1329" i="1"/>
  <c r="BH1329" i="1"/>
  <c r="DE1330" i="1"/>
  <c r="CY1330" i="1"/>
  <c r="K1330" i="1"/>
  <c r="CX1330" i="1"/>
  <c r="CV1330" i="1"/>
  <c r="CU1330" i="1"/>
  <c r="I1330" i="1"/>
  <c r="BI1330" i="1"/>
  <c r="BH1330" i="1"/>
  <c r="DE1331" i="1"/>
  <c r="CY1331" i="1"/>
  <c r="K1331" i="1"/>
  <c r="CX1331" i="1"/>
  <c r="CV1331" i="1"/>
  <c r="CU1331" i="1"/>
  <c r="I1331" i="1"/>
  <c r="BI1331" i="1"/>
  <c r="BH1331" i="1"/>
  <c r="DE1332" i="1"/>
  <c r="CY1332" i="1"/>
  <c r="K1332" i="1"/>
  <c r="CX1332" i="1"/>
  <c r="CV1332" i="1"/>
  <c r="CU1332" i="1"/>
  <c r="I1332" i="1"/>
  <c r="BI1332" i="1"/>
  <c r="BH1332" i="1"/>
  <c r="DE1333" i="1"/>
  <c r="CY1333" i="1"/>
  <c r="K1333" i="1"/>
  <c r="CX1333" i="1"/>
  <c r="CV1333" i="1"/>
  <c r="CU1333" i="1"/>
  <c r="I1333" i="1"/>
  <c r="BI1333" i="1"/>
  <c r="BH1333" i="1"/>
  <c r="DE1334" i="1"/>
  <c r="CY1334" i="1"/>
  <c r="K1334" i="1"/>
  <c r="CX1334" i="1"/>
  <c r="CV1334" i="1"/>
  <c r="CU1334" i="1"/>
  <c r="I1334" i="1"/>
  <c r="BI1334" i="1"/>
  <c r="BH1334" i="1"/>
  <c r="DE1710" i="1"/>
  <c r="CY1710" i="1"/>
  <c r="K1710" i="1"/>
  <c r="CX1710" i="1"/>
  <c r="CV1710" i="1"/>
  <c r="CU1710" i="1"/>
  <c r="I1710" i="1"/>
  <c r="BI1710" i="1"/>
  <c r="BH1710" i="1"/>
  <c r="DE1335" i="1"/>
  <c r="CY1335" i="1"/>
  <c r="K1335" i="1"/>
  <c r="CX1335" i="1"/>
  <c r="CV1335" i="1"/>
  <c r="CU1335" i="1"/>
  <c r="I1335" i="1"/>
  <c r="BI1335" i="1"/>
  <c r="BH1335" i="1"/>
  <c r="DE1336" i="1"/>
  <c r="CY1336" i="1"/>
  <c r="K1336" i="1"/>
  <c r="CX1336" i="1"/>
  <c r="CV1336" i="1"/>
  <c r="CU1336" i="1"/>
  <c r="I1336" i="1"/>
  <c r="BI1336" i="1"/>
  <c r="BH1336" i="1"/>
  <c r="DE1337" i="1"/>
  <c r="CY1337" i="1"/>
  <c r="K1337" i="1"/>
  <c r="CX1337" i="1"/>
  <c r="CV1337" i="1"/>
  <c r="CU1337" i="1"/>
  <c r="I1337" i="1"/>
  <c r="BI1337" i="1"/>
  <c r="BH1337" i="1"/>
  <c r="DE1338" i="1"/>
  <c r="CY1338" i="1"/>
  <c r="K1338" i="1"/>
  <c r="CX1338" i="1"/>
  <c r="CV1338" i="1"/>
  <c r="CU1338" i="1"/>
  <c r="I1338" i="1"/>
  <c r="BI1338" i="1"/>
  <c r="BH1338" i="1"/>
  <c r="DE1711" i="1"/>
  <c r="CY1711" i="1"/>
  <c r="K1711" i="1"/>
  <c r="CX1711" i="1"/>
  <c r="CV1711" i="1"/>
  <c r="CU1711" i="1"/>
  <c r="I1711" i="1"/>
  <c r="BI1711" i="1"/>
  <c r="BH1711" i="1"/>
  <c r="DE1339" i="1"/>
  <c r="CY1339" i="1"/>
  <c r="K1339" i="1"/>
  <c r="CX1339" i="1"/>
  <c r="CV1339" i="1"/>
  <c r="CU1339" i="1"/>
  <c r="I1339" i="1"/>
  <c r="BI1339" i="1"/>
  <c r="BH1339" i="1"/>
  <c r="DE1340" i="1"/>
  <c r="CY1340" i="1"/>
  <c r="K1340" i="1"/>
  <c r="CX1340" i="1"/>
  <c r="CV1340" i="1"/>
  <c r="CU1340" i="1"/>
  <c r="I1340" i="1"/>
  <c r="BI1340" i="1"/>
  <c r="BH1340" i="1"/>
  <c r="DE1728" i="1"/>
  <c r="CY1728" i="1"/>
  <c r="K1728" i="1"/>
  <c r="CX1728" i="1"/>
  <c r="CV1728" i="1"/>
  <c r="CU1728" i="1"/>
  <c r="I1728" i="1"/>
  <c r="BI1728" i="1"/>
  <c r="BH1728" i="1"/>
  <c r="DE1341" i="1"/>
  <c r="CY1341" i="1"/>
  <c r="K1341" i="1"/>
  <c r="CX1341" i="1"/>
  <c r="CV1341" i="1"/>
  <c r="CU1341" i="1"/>
  <c r="I1341" i="1"/>
  <c r="BI1341" i="1"/>
  <c r="BH1341" i="1"/>
  <c r="DE1862" i="1"/>
  <c r="CY1862" i="1"/>
  <c r="K1862" i="1"/>
  <c r="CX1862" i="1"/>
  <c r="CV1862" i="1"/>
  <c r="CU1862" i="1"/>
  <c r="I1862" i="1"/>
  <c r="BI1862" i="1"/>
  <c r="BH1862" i="1"/>
  <c r="DE1342" i="1"/>
  <c r="CY1342" i="1"/>
  <c r="K1342" i="1"/>
  <c r="CX1342" i="1"/>
  <c r="CV1342" i="1"/>
  <c r="CU1342" i="1"/>
  <c r="I1342" i="1"/>
  <c r="BI1342" i="1"/>
  <c r="BH1342" i="1"/>
  <c r="DE1343" i="1"/>
  <c r="CY1343" i="1"/>
  <c r="K1343" i="1"/>
  <c r="CX1343" i="1"/>
  <c r="CV1343" i="1"/>
  <c r="CU1343" i="1"/>
  <c r="I1343" i="1"/>
  <c r="BI1343" i="1"/>
  <c r="BH1343" i="1"/>
  <c r="DE1344" i="1"/>
  <c r="CY1344" i="1"/>
  <c r="K1344" i="1"/>
  <c r="CX1344" i="1"/>
  <c r="CV1344" i="1"/>
  <c r="CU1344" i="1"/>
  <c r="I1344" i="1"/>
  <c r="BI1344" i="1"/>
  <c r="BH1344" i="1"/>
  <c r="DE1345" i="1"/>
  <c r="CY1345" i="1"/>
  <c r="K1345" i="1"/>
  <c r="CX1345" i="1"/>
  <c r="CV1345" i="1"/>
  <c r="CU1345" i="1"/>
  <c r="I1345" i="1"/>
  <c r="BI1345" i="1"/>
  <c r="BH1345" i="1"/>
  <c r="DE1346" i="1"/>
  <c r="CY1346" i="1"/>
  <c r="K1346" i="1"/>
  <c r="CX1346" i="1"/>
  <c r="CV1346" i="1"/>
  <c r="CU1346" i="1"/>
  <c r="I1346" i="1"/>
  <c r="BI1346" i="1"/>
  <c r="BH1346" i="1"/>
  <c r="DE1347" i="1"/>
  <c r="CY1347" i="1"/>
  <c r="K1347" i="1"/>
  <c r="CX1347" i="1"/>
  <c r="CV1347" i="1"/>
  <c r="CU1347" i="1"/>
  <c r="I1347" i="1"/>
  <c r="BI1347" i="1"/>
  <c r="BH1347" i="1"/>
  <c r="DE1348" i="1"/>
  <c r="CY1348" i="1"/>
  <c r="K1348" i="1"/>
  <c r="CX1348" i="1"/>
  <c r="CV1348" i="1"/>
  <c r="CU1348" i="1"/>
  <c r="I1348" i="1"/>
  <c r="BI1348" i="1"/>
  <c r="BH1348" i="1"/>
  <c r="DE1349" i="1"/>
  <c r="CY1349" i="1"/>
  <c r="K1349" i="1"/>
  <c r="CX1349" i="1"/>
  <c r="CV1349" i="1"/>
  <c r="CU1349" i="1"/>
  <c r="I1349" i="1"/>
  <c r="BI1349" i="1"/>
  <c r="BH1349" i="1"/>
  <c r="DE1350" i="1"/>
  <c r="CY1350" i="1"/>
  <c r="K1350" i="1"/>
  <c r="CX1350" i="1"/>
  <c r="CV1350" i="1"/>
  <c r="CU1350" i="1"/>
  <c r="I1350" i="1"/>
  <c r="BI1350" i="1"/>
  <c r="BH1350" i="1"/>
  <c r="DE1351" i="1"/>
  <c r="CY1351" i="1"/>
  <c r="K1351" i="1"/>
  <c r="CX1351" i="1"/>
  <c r="CV1351" i="1"/>
  <c r="CU1351" i="1"/>
  <c r="I1351" i="1"/>
  <c r="BI1351" i="1"/>
  <c r="BH1351" i="1"/>
  <c r="DE1352" i="1"/>
  <c r="CY1352" i="1"/>
  <c r="K1352" i="1"/>
  <c r="CX1352" i="1"/>
  <c r="CV1352" i="1"/>
  <c r="CU1352" i="1"/>
  <c r="I1352" i="1"/>
  <c r="BI1352" i="1"/>
  <c r="BH1352" i="1"/>
  <c r="DE1353" i="1"/>
  <c r="CY1353" i="1"/>
  <c r="K1353" i="1"/>
  <c r="CX1353" i="1"/>
  <c r="CV1353" i="1"/>
  <c r="CU1353" i="1"/>
  <c r="I1353" i="1"/>
  <c r="BI1353" i="1"/>
  <c r="BH1353" i="1"/>
  <c r="DE1354" i="1"/>
  <c r="CY1354" i="1"/>
  <c r="K1354" i="1"/>
  <c r="CX1354" i="1"/>
  <c r="CV1354" i="1"/>
  <c r="CU1354" i="1"/>
  <c r="I1354" i="1"/>
  <c r="BI1354" i="1"/>
  <c r="BH1354" i="1"/>
  <c r="DE1355" i="1"/>
  <c r="CY1355" i="1"/>
  <c r="K1355" i="1"/>
  <c r="CX1355" i="1"/>
  <c r="CV1355" i="1"/>
  <c r="CU1355" i="1"/>
  <c r="I1355" i="1"/>
  <c r="BI1355" i="1"/>
  <c r="BH1355" i="1"/>
  <c r="DE3195" i="1"/>
  <c r="CY3195" i="1"/>
  <c r="K3195" i="1"/>
  <c r="CX3195" i="1"/>
  <c r="CV3195" i="1"/>
  <c r="CU3195" i="1"/>
  <c r="I3195" i="1"/>
  <c r="BI3195" i="1"/>
  <c r="BH3195" i="1"/>
  <c r="DE1356" i="1"/>
  <c r="CY1356" i="1"/>
  <c r="K1356" i="1"/>
  <c r="CX1356" i="1"/>
  <c r="CV1356" i="1"/>
  <c r="CU1356" i="1"/>
  <c r="I1356" i="1"/>
  <c r="BI1356" i="1"/>
  <c r="BH1356" i="1"/>
  <c r="DE1357" i="1"/>
  <c r="CY1357" i="1"/>
  <c r="K1357" i="1"/>
  <c r="CX1357" i="1"/>
  <c r="CV1357" i="1"/>
  <c r="CU1357" i="1"/>
  <c r="I1357" i="1"/>
  <c r="BI1357" i="1"/>
  <c r="BH1357" i="1"/>
  <c r="DE1358" i="1"/>
  <c r="CY1358" i="1"/>
  <c r="K1358" i="1"/>
  <c r="CX1358" i="1"/>
  <c r="CV1358" i="1"/>
  <c r="CU1358" i="1"/>
  <c r="I1358" i="1"/>
  <c r="BI1358" i="1"/>
  <c r="BH1358" i="1"/>
  <c r="DE1359" i="1"/>
  <c r="CY1359" i="1"/>
  <c r="K1359" i="1"/>
  <c r="CX1359" i="1"/>
  <c r="CV1359" i="1"/>
  <c r="CU1359" i="1"/>
  <c r="I1359" i="1"/>
  <c r="BI1359" i="1"/>
  <c r="BH1359" i="1"/>
  <c r="DE1360" i="1"/>
  <c r="CY1360" i="1"/>
  <c r="K1360" i="1"/>
  <c r="CX1360" i="1"/>
  <c r="CV1360" i="1"/>
  <c r="CU1360" i="1"/>
  <c r="I1360" i="1"/>
  <c r="BI1360" i="1"/>
  <c r="BH1360" i="1"/>
  <c r="DE1361" i="1"/>
  <c r="CY1361" i="1"/>
  <c r="K1361" i="1"/>
  <c r="CX1361" i="1"/>
  <c r="CV1361" i="1"/>
  <c r="CU1361" i="1"/>
  <c r="I1361" i="1"/>
  <c r="BI1361" i="1"/>
  <c r="BH1361" i="1"/>
  <c r="DE1362" i="1"/>
  <c r="CY1362" i="1"/>
  <c r="K1362" i="1"/>
  <c r="CX1362" i="1"/>
  <c r="CV1362" i="1"/>
  <c r="CU1362" i="1"/>
  <c r="I1362" i="1"/>
  <c r="BI1362" i="1"/>
  <c r="BH1362" i="1"/>
  <c r="DE1363" i="1"/>
  <c r="CY1363" i="1"/>
  <c r="K1363" i="1"/>
  <c r="CX1363" i="1"/>
  <c r="CV1363" i="1"/>
  <c r="CU1363" i="1"/>
  <c r="I1363" i="1"/>
  <c r="BI1363" i="1"/>
  <c r="BH1363" i="1"/>
  <c r="DE1364" i="1"/>
  <c r="CY1364" i="1"/>
  <c r="K1364" i="1"/>
  <c r="CX1364" i="1"/>
  <c r="CV1364" i="1"/>
  <c r="CU1364" i="1"/>
  <c r="I1364" i="1"/>
  <c r="BI1364" i="1"/>
  <c r="BH1364" i="1"/>
  <c r="DE1365" i="1"/>
  <c r="CY1365" i="1"/>
  <c r="K1365" i="1"/>
  <c r="CX1365" i="1"/>
  <c r="CV1365" i="1"/>
  <c r="CU1365" i="1"/>
  <c r="I1365" i="1"/>
  <c r="BI1365" i="1"/>
  <c r="BH1365" i="1"/>
  <c r="DE1366" i="1"/>
  <c r="CY1366" i="1"/>
  <c r="K1366" i="1"/>
  <c r="CX1366" i="1"/>
  <c r="CV1366" i="1"/>
  <c r="CU1366" i="1"/>
  <c r="I1366" i="1"/>
  <c r="BI1366" i="1"/>
  <c r="BH1366" i="1"/>
  <c r="DE1367" i="1"/>
  <c r="CY1367" i="1"/>
  <c r="K1367" i="1"/>
  <c r="CX1367" i="1"/>
  <c r="CV1367" i="1"/>
  <c r="CU1367" i="1"/>
  <c r="I1367" i="1"/>
  <c r="BI1367" i="1"/>
  <c r="BH1367" i="1"/>
  <c r="DE1368" i="1"/>
  <c r="CY1368" i="1"/>
  <c r="K1368" i="1"/>
  <c r="CX1368" i="1"/>
  <c r="CV1368" i="1"/>
  <c r="CU1368" i="1"/>
  <c r="I1368" i="1"/>
  <c r="BI1368" i="1"/>
  <c r="BH1368" i="1"/>
  <c r="DE1369" i="1"/>
  <c r="CY1369" i="1"/>
  <c r="K1369" i="1"/>
  <c r="CX1369" i="1"/>
  <c r="CV1369" i="1"/>
  <c r="CU1369" i="1"/>
  <c r="I1369" i="1"/>
  <c r="BI1369" i="1"/>
  <c r="BH1369" i="1"/>
  <c r="DE1846" i="1"/>
  <c r="CY1846" i="1"/>
  <c r="K1846" i="1"/>
  <c r="CX1846" i="1"/>
  <c r="CV1846" i="1"/>
  <c r="CU1846" i="1"/>
  <c r="I1846" i="1"/>
  <c r="BI1846" i="1"/>
  <c r="BH1846" i="1"/>
  <c r="DE1370" i="1"/>
  <c r="CY1370" i="1"/>
  <c r="K1370" i="1"/>
  <c r="CX1370" i="1"/>
  <c r="CV1370" i="1"/>
  <c r="CU1370" i="1"/>
  <c r="I1370" i="1"/>
  <c r="BI1370" i="1"/>
  <c r="BH1370" i="1"/>
  <c r="DE1371" i="1"/>
  <c r="CY1371" i="1"/>
  <c r="K1371" i="1"/>
  <c r="CX1371" i="1"/>
  <c r="CV1371" i="1"/>
  <c r="CU1371" i="1"/>
  <c r="I1371" i="1"/>
  <c r="BI1371" i="1"/>
  <c r="BH1371" i="1"/>
  <c r="DE1372" i="1"/>
  <c r="CY1372" i="1"/>
  <c r="K1372" i="1"/>
  <c r="CX1372" i="1"/>
  <c r="CV1372" i="1"/>
  <c r="CU1372" i="1"/>
  <c r="I1372" i="1"/>
  <c r="BI1372" i="1"/>
  <c r="BH1372" i="1"/>
  <c r="DE1373" i="1"/>
  <c r="CY1373" i="1"/>
  <c r="K1373" i="1"/>
  <c r="CX1373" i="1"/>
  <c r="CV1373" i="1"/>
  <c r="CU1373" i="1"/>
  <c r="I1373" i="1"/>
  <c r="BI1373" i="1"/>
  <c r="BH1373" i="1"/>
  <c r="DE1374" i="1"/>
  <c r="CY1374" i="1"/>
  <c r="K1374" i="1"/>
  <c r="CX1374" i="1"/>
  <c r="CV1374" i="1"/>
  <c r="CU1374" i="1"/>
  <c r="I1374" i="1"/>
  <c r="BI1374" i="1"/>
  <c r="BH1374" i="1"/>
  <c r="DE750" i="1"/>
  <c r="CY750" i="1"/>
  <c r="K750" i="1"/>
  <c r="CX750" i="1"/>
  <c r="CV750" i="1"/>
  <c r="CU750" i="1"/>
  <c r="I750" i="1"/>
  <c r="BI750" i="1"/>
  <c r="BH750" i="1"/>
  <c r="DE1375" i="1"/>
  <c r="CY1375" i="1"/>
  <c r="K1375" i="1"/>
  <c r="CX1375" i="1"/>
  <c r="CV1375" i="1"/>
  <c r="CU1375" i="1"/>
  <c r="I1375" i="1"/>
  <c r="BI1375" i="1"/>
  <c r="BH1375" i="1"/>
  <c r="DE1376" i="1"/>
  <c r="CY1376" i="1"/>
  <c r="K1376" i="1"/>
  <c r="CX1376" i="1"/>
  <c r="CV1376" i="1"/>
  <c r="CU1376" i="1"/>
  <c r="I1376" i="1"/>
  <c r="BI1376" i="1"/>
  <c r="BH1376" i="1"/>
  <c r="DE1377" i="1"/>
  <c r="CY1377" i="1"/>
  <c r="K1377" i="1"/>
  <c r="CX1377" i="1"/>
  <c r="CV1377" i="1"/>
  <c r="CU1377" i="1"/>
  <c r="I1377" i="1"/>
  <c r="BI1377" i="1"/>
  <c r="BH1377" i="1"/>
  <c r="DE1378" i="1"/>
  <c r="CY1378" i="1"/>
  <c r="K1378" i="1"/>
  <c r="CX1378" i="1"/>
  <c r="CV1378" i="1"/>
  <c r="CU1378" i="1"/>
  <c r="I1378" i="1"/>
  <c r="BI1378" i="1"/>
  <c r="BH1378" i="1"/>
  <c r="DE1379" i="1"/>
  <c r="CY1379" i="1"/>
  <c r="K1379" i="1"/>
  <c r="CX1379" i="1"/>
  <c r="CV1379" i="1"/>
  <c r="CU1379" i="1"/>
  <c r="I1379" i="1"/>
  <c r="BI1379" i="1"/>
  <c r="BH1379" i="1"/>
  <c r="DE1380" i="1"/>
  <c r="CY1380" i="1"/>
  <c r="K1380" i="1"/>
  <c r="CX1380" i="1"/>
  <c r="CV1380" i="1"/>
  <c r="CU1380" i="1"/>
  <c r="I1380" i="1"/>
  <c r="BI1380" i="1"/>
  <c r="BH1380" i="1"/>
  <c r="DE1381" i="1"/>
  <c r="CY1381" i="1"/>
  <c r="K1381" i="1"/>
  <c r="CX1381" i="1"/>
  <c r="CV1381" i="1"/>
  <c r="CU1381" i="1"/>
  <c r="I1381" i="1"/>
  <c r="BI1381" i="1"/>
  <c r="BH1381" i="1"/>
  <c r="DE1382" i="1"/>
  <c r="CY1382" i="1"/>
  <c r="K1382" i="1"/>
  <c r="CX1382" i="1"/>
  <c r="CV1382" i="1"/>
  <c r="CU1382" i="1"/>
  <c r="I1382" i="1"/>
  <c r="BI1382" i="1"/>
  <c r="BH1382" i="1"/>
  <c r="DE1383" i="1"/>
  <c r="CY1383" i="1"/>
  <c r="K1383" i="1"/>
  <c r="CX1383" i="1"/>
  <c r="CV1383" i="1"/>
  <c r="CU1383" i="1"/>
  <c r="I1383" i="1"/>
  <c r="BI1383" i="1"/>
  <c r="BH1383" i="1"/>
  <c r="DE1384" i="1"/>
  <c r="CY1384" i="1"/>
  <c r="K1384" i="1"/>
  <c r="CX1384" i="1"/>
  <c r="CV1384" i="1"/>
  <c r="CU1384" i="1"/>
  <c r="I1384" i="1"/>
  <c r="BI1384" i="1"/>
  <c r="BH1384" i="1"/>
  <c r="DE1385" i="1"/>
  <c r="CY1385" i="1"/>
  <c r="K1385" i="1"/>
  <c r="CX1385" i="1"/>
  <c r="CV1385" i="1"/>
  <c r="CU1385" i="1"/>
  <c r="I1385" i="1"/>
  <c r="BI1385" i="1"/>
  <c r="BH1385" i="1"/>
  <c r="DE1386" i="1"/>
  <c r="CY1386" i="1"/>
  <c r="K1386" i="1"/>
  <c r="CX1386" i="1"/>
  <c r="CV1386" i="1"/>
  <c r="CU1386" i="1"/>
  <c r="I1386" i="1"/>
  <c r="BI1386" i="1"/>
  <c r="BH1386" i="1"/>
  <c r="DE1387" i="1"/>
  <c r="CY1387" i="1"/>
  <c r="K1387" i="1"/>
  <c r="CX1387" i="1"/>
  <c r="CV1387" i="1"/>
  <c r="CU1387" i="1"/>
  <c r="I1387" i="1"/>
  <c r="BI1387" i="1"/>
  <c r="BH1387" i="1"/>
  <c r="DE1388" i="1"/>
  <c r="CY1388" i="1"/>
  <c r="K1388" i="1"/>
  <c r="CX1388" i="1"/>
  <c r="CV1388" i="1"/>
  <c r="CU1388" i="1"/>
  <c r="I1388" i="1"/>
  <c r="BI1388" i="1"/>
  <c r="BH1388" i="1"/>
  <c r="DE1389" i="1"/>
  <c r="CY1389" i="1"/>
  <c r="K1389" i="1"/>
  <c r="CX1389" i="1"/>
  <c r="CV1389" i="1"/>
  <c r="CU1389" i="1"/>
  <c r="I1389" i="1"/>
  <c r="BI1389" i="1"/>
  <c r="BH1389" i="1"/>
  <c r="DE1390" i="1"/>
  <c r="CY1390" i="1"/>
  <c r="K1390" i="1"/>
  <c r="CX1390" i="1"/>
  <c r="CV1390" i="1"/>
  <c r="CU1390" i="1"/>
  <c r="I1390" i="1"/>
  <c r="BI1390" i="1"/>
  <c r="BH1390" i="1"/>
  <c r="DE1391" i="1"/>
  <c r="CY1391" i="1"/>
  <c r="K1391" i="1"/>
  <c r="CX1391" i="1"/>
  <c r="CV1391" i="1"/>
  <c r="CU1391" i="1"/>
  <c r="I1391" i="1"/>
  <c r="BI1391" i="1"/>
  <c r="BH1391" i="1"/>
  <c r="DE1392" i="1"/>
  <c r="CY1392" i="1"/>
  <c r="K1392" i="1"/>
  <c r="CX1392" i="1"/>
  <c r="CV1392" i="1"/>
  <c r="CU1392" i="1"/>
  <c r="I1392" i="1"/>
  <c r="BI1392" i="1"/>
  <c r="BH1392" i="1"/>
  <c r="DE1393" i="1"/>
  <c r="CY1393" i="1"/>
  <c r="K1393" i="1"/>
  <c r="CX1393" i="1"/>
  <c r="CV1393" i="1"/>
  <c r="CU1393" i="1"/>
  <c r="I1393" i="1"/>
  <c r="BI1393" i="1"/>
  <c r="BH1393" i="1"/>
  <c r="DE1394" i="1"/>
  <c r="CY1394" i="1"/>
  <c r="K1394" i="1"/>
  <c r="CX1394" i="1"/>
  <c r="CV1394" i="1"/>
  <c r="CU1394" i="1"/>
  <c r="I1394" i="1"/>
  <c r="BI1394" i="1"/>
  <c r="BH1394" i="1"/>
  <c r="DE1395" i="1"/>
  <c r="CY1395" i="1"/>
  <c r="K1395" i="1"/>
  <c r="CX1395" i="1"/>
  <c r="CV1395" i="1"/>
  <c r="CU1395" i="1"/>
  <c r="I1395" i="1"/>
  <c r="BI1395" i="1"/>
  <c r="BH1395" i="1"/>
  <c r="DE1396" i="1"/>
  <c r="CY1396" i="1"/>
  <c r="K1396" i="1"/>
  <c r="CX1396" i="1"/>
  <c r="CV1396" i="1"/>
  <c r="CU1396" i="1"/>
  <c r="I1396" i="1"/>
  <c r="BI1396" i="1"/>
  <c r="BH1396" i="1"/>
  <c r="DE1397" i="1"/>
  <c r="CY1397" i="1"/>
  <c r="K1397" i="1"/>
  <c r="CX1397" i="1"/>
  <c r="CV1397" i="1"/>
  <c r="CU1397" i="1"/>
  <c r="I1397" i="1"/>
  <c r="BI1397" i="1"/>
  <c r="BH1397" i="1"/>
  <c r="DE1398" i="1"/>
  <c r="CY1398" i="1"/>
  <c r="K1398" i="1"/>
  <c r="CX1398" i="1"/>
  <c r="CV1398" i="1"/>
  <c r="CU1398" i="1"/>
  <c r="I1398" i="1"/>
  <c r="BI1398" i="1"/>
  <c r="BH1398" i="1"/>
  <c r="DE1399" i="1"/>
  <c r="CY1399" i="1"/>
  <c r="K1399" i="1"/>
  <c r="CX1399" i="1"/>
  <c r="CV1399" i="1"/>
  <c r="CU1399" i="1"/>
  <c r="I1399" i="1"/>
  <c r="BI1399" i="1"/>
  <c r="BH1399" i="1"/>
  <c r="DE1400" i="1"/>
  <c r="CY1400" i="1"/>
  <c r="K1400" i="1"/>
  <c r="CX1400" i="1"/>
  <c r="CV1400" i="1"/>
  <c r="CU1400" i="1"/>
  <c r="I1400" i="1"/>
  <c r="BI1400" i="1"/>
  <c r="BH1400" i="1"/>
  <c r="DE985" i="1"/>
  <c r="CY985" i="1"/>
  <c r="K985" i="1"/>
  <c r="CX985" i="1"/>
  <c r="CV985" i="1"/>
  <c r="CU985" i="1"/>
  <c r="I985" i="1"/>
  <c r="BI985" i="1"/>
  <c r="BH985" i="1"/>
  <c r="DE1401" i="1"/>
  <c r="CY1401" i="1"/>
  <c r="K1401" i="1"/>
  <c r="CX1401" i="1"/>
  <c r="CV1401" i="1"/>
  <c r="CU1401" i="1"/>
  <c r="I1401" i="1"/>
  <c r="BI1401" i="1"/>
  <c r="BH1401" i="1"/>
  <c r="DE1402" i="1"/>
  <c r="CY1402" i="1"/>
  <c r="K1402" i="1"/>
  <c r="CX1402" i="1"/>
  <c r="CV1402" i="1"/>
  <c r="CU1402" i="1"/>
  <c r="I1402" i="1"/>
  <c r="BI1402" i="1"/>
  <c r="BH1402" i="1"/>
  <c r="DE983" i="1"/>
  <c r="CY983" i="1"/>
  <c r="K983" i="1"/>
  <c r="CX983" i="1"/>
  <c r="CV983" i="1"/>
  <c r="CU983" i="1"/>
  <c r="I983" i="1"/>
  <c r="BI983" i="1"/>
  <c r="BH983" i="1"/>
  <c r="DE1403" i="1"/>
  <c r="CY1403" i="1"/>
  <c r="K1403" i="1"/>
  <c r="CX1403" i="1"/>
  <c r="CV1403" i="1"/>
  <c r="CU1403" i="1"/>
  <c r="I1403" i="1"/>
  <c r="BI1403" i="1"/>
  <c r="BH1403" i="1"/>
  <c r="DE1404" i="1"/>
  <c r="CY1404" i="1"/>
  <c r="K1404" i="1"/>
  <c r="CX1404" i="1"/>
  <c r="CV1404" i="1"/>
  <c r="CU1404" i="1"/>
  <c r="I1404" i="1"/>
  <c r="BI1404" i="1"/>
  <c r="BH1404" i="1"/>
  <c r="DE1405" i="1"/>
  <c r="CY1405" i="1"/>
  <c r="K1405" i="1"/>
  <c r="CX1405" i="1"/>
  <c r="CV1405" i="1"/>
  <c r="CU1405" i="1"/>
  <c r="I1405" i="1"/>
  <c r="BI1405" i="1"/>
  <c r="BH1405" i="1"/>
  <c r="DE1406" i="1"/>
  <c r="CY1406" i="1"/>
  <c r="K1406" i="1"/>
  <c r="CX1406" i="1"/>
  <c r="CV1406" i="1"/>
  <c r="CU1406" i="1"/>
  <c r="I1406" i="1"/>
  <c r="BI1406" i="1"/>
  <c r="BH1406" i="1"/>
  <c r="DE1407" i="1"/>
  <c r="CY1407" i="1"/>
  <c r="K1407" i="1"/>
  <c r="CX1407" i="1"/>
  <c r="CV1407" i="1"/>
  <c r="CU1407" i="1"/>
  <c r="I1407" i="1"/>
  <c r="BI1407" i="1"/>
  <c r="BH1407" i="1"/>
  <c r="DE1408" i="1"/>
  <c r="CY1408" i="1"/>
  <c r="K1408" i="1"/>
  <c r="CX1408" i="1"/>
  <c r="CV1408" i="1"/>
  <c r="CU1408" i="1"/>
  <c r="I1408" i="1"/>
  <c r="BI1408" i="1"/>
  <c r="BH1408" i="1"/>
  <c r="DE1809" i="1"/>
  <c r="CY1809" i="1"/>
  <c r="K1809" i="1"/>
  <c r="CX1809" i="1"/>
  <c r="CV1809" i="1"/>
  <c r="CU1809" i="1"/>
  <c r="I1809" i="1"/>
  <c r="BI1809" i="1"/>
  <c r="BH1809" i="1"/>
  <c r="DE1409" i="1"/>
  <c r="CY1409" i="1"/>
  <c r="K1409" i="1"/>
  <c r="CX1409" i="1"/>
  <c r="CV1409" i="1"/>
  <c r="CU1409" i="1"/>
  <c r="I1409" i="1"/>
  <c r="BI1409" i="1"/>
  <c r="BH1409" i="1"/>
  <c r="DE1410" i="1"/>
  <c r="CY1410" i="1"/>
  <c r="K1410" i="1"/>
  <c r="CX1410" i="1"/>
  <c r="CV1410" i="1"/>
  <c r="CU1410" i="1"/>
  <c r="I1410" i="1"/>
  <c r="BI1410" i="1"/>
  <c r="BH1410" i="1"/>
  <c r="DE1411" i="1"/>
  <c r="CY1411" i="1"/>
  <c r="K1411" i="1"/>
  <c r="CX1411" i="1"/>
  <c r="CV1411" i="1"/>
  <c r="CU1411" i="1"/>
  <c r="I1411" i="1"/>
  <c r="BI1411" i="1"/>
  <c r="BH1411" i="1"/>
  <c r="DE1412" i="1"/>
  <c r="CY1412" i="1"/>
  <c r="K1412" i="1"/>
  <c r="CX1412" i="1"/>
  <c r="CV1412" i="1"/>
  <c r="CU1412" i="1"/>
  <c r="I1412" i="1"/>
  <c r="BI1412" i="1"/>
  <c r="BH1412" i="1"/>
  <c r="DE1413" i="1"/>
  <c r="CY1413" i="1"/>
  <c r="K1413" i="1"/>
  <c r="CX1413" i="1"/>
  <c r="CV1413" i="1"/>
  <c r="CU1413" i="1"/>
  <c r="I1413" i="1"/>
  <c r="BI1413" i="1"/>
  <c r="BH1413" i="1"/>
  <c r="DE1414" i="1"/>
  <c r="CY1414" i="1"/>
  <c r="K1414" i="1"/>
  <c r="CX1414" i="1"/>
  <c r="CV1414" i="1"/>
  <c r="CU1414" i="1"/>
  <c r="I1414" i="1"/>
  <c r="BI1414" i="1"/>
  <c r="BH1414" i="1"/>
  <c r="DE1415" i="1"/>
  <c r="CY1415" i="1"/>
  <c r="K1415" i="1"/>
  <c r="CX1415" i="1"/>
  <c r="CV1415" i="1"/>
  <c r="CU1415" i="1"/>
  <c r="I1415" i="1"/>
  <c r="BI1415" i="1"/>
  <c r="BH1415" i="1"/>
  <c r="DE1839" i="1"/>
  <c r="CY1839" i="1"/>
  <c r="K1839" i="1"/>
  <c r="CX1839" i="1"/>
  <c r="CV1839" i="1"/>
  <c r="CU1839" i="1"/>
  <c r="I1839" i="1"/>
  <c r="BI1839" i="1"/>
  <c r="BH1839" i="1"/>
  <c r="DE1416" i="1"/>
  <c r="CY1416" i="1"/>
  <c r="K1416" i="1"/>
  <c r="CX1416" i="1"/>
  <c r="CV1416" i="1"/>
  <c r="CU1416" i="1"/>
  <c r="I1416" i="1"/>
  <c r="BI1416" i="1"/>
  <c r="BH1416" i="1"/>
  <c r="DE979" i="1"/>
  <c r="CY979" i="1"/>
  <c r="K979" i="1"/>
  <c r="CX979" i="1"/>
  <c r="CV979" i="1"/>
  <c r="CU979" i="1"/>
  <c r="I979" i="1"/>
  <c r="BI979" i="1"/>
  <c r="BH979" i="1"/>
  <c r="DE981" i="1"/>
  <c r="CY981" i="1"/>
  <c r="K981" i="1"/>
  <c r="CX981" i="1"/>
  <c r="CV981" i="1"/>
  <c r="CU981" i="1"/>
  <c r="I981" i="1"/>
  <c r="BI981" i="1"/>
  <c r="BH981" i="1"/>
  <c r="DE1417" i="1"/>
  <c r="CY1417" i="1"/>
  <c r="K1417" i="1"/>
  <c r="CX1417" i="1"/>
  <c r="CV1417" i="1"/>
  <c r="CU1417" i="1"/>
  <c r="I1417" i="1"/>
  <c r="BI1417" i="1"/>
  <c r="BH1417" i="1"/>
  <c r="DE1418" i="1"/>
  <c r="CY1418" i="1"/>
  <c r="K1418" i="1"/>
  <c r="CX1418" i="1"/>
  <c r="CV1418" i="1"/>
  <c r="CU1418" i="1"/>
  <c r="I1418" i="1"/>
  <c r="BI1418" i="1"/>
  <c r="BH1418" i="1"/>
  <c r="DE1419" i="1"/>
  <c r="CY1419" i="1"/>
  <c r="K1419" i="1"/>
  <c r="CX1419" i="1"/>
  <c r="CV1419" i="1"/>
  <c r="CU1419" i="1"/>
  <c r="I1419" i="1"/>
  <c r="BI1419" i="1"/>
  <c r="BH1419" i="1"/>
  <c r="DE1420" i="1"/>
  <c r="CY1420" i="1"/>
  <c r="K1420" i="1"/>
  <c r="CX1420" i="1"/>
  <c r="CV1420" i="1"/>
  <c r="CU1420" i="1"/>
  <c r="I1420" i="1"/>
  <c r="BI1420" i="1"/>
  <c r="BH1420" i="1"/>
  <c r="DE1804" i="1"/>
  <c r="CY1804" i="1"/>
  <c r="K1804" i="1"/>
  <c r="CX1804" i="1"/>
  <c r="CV1804" i="1"/>
  <c r="CU1804" i="1"/>
  <c r="I1804" i="1"/>
  <c r="BI1804" i="1"/>
  <c r="BH1804" i="1"/>
  <c r="DE977" i="1"/>
  <c r="CY977" i="1"/>
  <c r="K977" i="1"/>
  <c r="CX977" i="1"/>
  <c r="CV977" i="1"/>
  <c r="CU977" i="1"/>
  <c r="I977" i="1"/>
  <c r="BI977" i="1"/>
  <c r="BH977" i="1"/>
  <c r="DE1421" i="1"/>
  <c r="CY1421" i="1"/>
  <c r="K1421" i="1"/>
  <c r="CX1421" i="1"/>
  <c r="CV1421" i="1"/>
  <c r="CU1421" i="1"/>
  <c r="I1421" i="1"/>
  <c r="BI1421" i="1"/>
  <c r="BH1421" i="1"/>
  <c r="DE1422" i="1"/>
  <c r="CY1422" i="1"/>
  <c r="K1422" i="1"/>
  <c r="CX1422" i="1"/>
  <c r="CV1422" i="1"/>
  <c r="CU1422" i="1"/>
  <c r="I1422" i="1"/>
  <c r="BI1422" i="1"/>
  <c r="BH1422" i="1"/>
  <c r="DE1423" i="1"/>
  <c r="CY1423" i="1"/>
  <c r="K1423" i="1"/>
  <c r="CX1423" i="1"/>
  <c r="CV1423" i="1"/>
  <c r="CU1423" i="1"/>
  <c r="I1423" i="1"/>
  <c r="BI1423" i="1"/>
  <c r="BH1423" i="1"/>
  <c r="DE1424" i="1"/>
  <c r="CY1424" i="1"/>
  <c r="K1424" i="1"/>
  <c r="CX1424" i="1"/>
  <c r="CV1424" i="1"/>
  <c r="CU1424" i="1"/>
  <c r="I1424" i="1"/>
  <c r="BI1424" i="1"/>
  <c r="BH1424" i="1"/>
  <c r="DE1425" i="1"/>
  <c r="CY1425" i="1"/>
  <c r="K1425" i="1"/>
  <c r="CX1425" i="1"/>
  <c r="CV1425" i="1"/>
  <c r="CU1425" i="1"/>
  <c r="I1425" i="1"/>
  <c r="BI1425" i="1"/>
  <c r="BH1425" i="1"/>
  <c r="DE1838" i="1"/>
  <c r="CY1838" i="1"/>
  <c r="K1838" i="1"/>
  <c r="CX1838" i="1"/>
  <c r="CV1838" i="1"/>
  <c r="CU1838" i="1"/>
  <c r="I1838" i="1"/>
  <c r="BI1838" i="1"/>
  <c r="BH1838" i="1"/>
  <c r="DE1426" i="1"/>
  <c r="CY1426" i="1"/>
  <c r="K1426" i="1"/>
  <c r="CX1426" i="1"/>
  <c r="CV1426" i="1"/>
  <c r="CU1426" i="1"/>
  <c r="I1426" i="1"/>
  <c r="BI1426" i="1"/>
  <c r="BH1426" i="1"/>
  <c r="DE1427" i="1"/>
  <c r="CY1427" i="1"/>
  <c r="K1427" i="1"/>
  <c r="CX1427" i="1"/>
  <c r="CV1427" i="1"/>
  <c r="CU1427" i="1"/>
  <c r="I1427" i="1"/>
  <c r="BI1427" i="1"/>
  <c r="BH1427" i="1"/>
  <c r="DE1428" i="1"/>
  <c r="CY1428" i="1"/>
  <c r="K1428" i="1"/>
  <c r="CX1428" i="1"/>
  <c r="CV1428" i="1"/>
  <c r="CU1428" i="1"/>
  <c r="I1428" i="1"/>
  <c r="BI1428" i="1"/>
  <c r="BH1428" i="1"/>
  <c r="DE973" i="1"/>
  <c r="CY973" i="1"/>
  <c r="K973" i="1"/>
  <c r="CX973" i="1"/>
  <c r="CV973" i="1"/>
  <c r="CU973" i="1"/>
  <c r="I973" i="1"/>
  <c r="BI973" i="1"/>
  <c r="BH973" i="1"/>
  <c r="DE1429" i="1"/>
  <c r="CY1429" i="1"/>
  <c r="K1429" i="1"/>
  <c r="CX1429" i="1"/>
  <c r="CV1429" i="1"/>
  <c r="CU1429" i="1"/>
  <c r="I1429" i="1"/>
  <c r="BI1429" i="1"/>
  <c r="BH1429" i="1"/>
  <c r="DE1430" i="1"/>
  <c r="CY1430" i="1"/>
  <c r="K1430" i="1"/>
  <c r="CX1430" i="1"/>
  <c r="CV1430" i="1"/>
  <c r="CU1430" i="1"/>
  <c r="I1430" i="1"/>
  <c r="BI1430" i="1"/>
  <c r="BH1430" i="1"/>
  <c r="DE1431" i="1"/>
  <c r="CY1431" i="1"/>
  <c r="K1431" i="1"/>
  <c r="CX1431" i="1"/>
  <c r="CV1431" i="1"/>
  <c r="CU1431" i="1"/>
  <c r="I1431" i="1"/>
  <c r="BI1431" i="1"/>
  <c r="BH1431" i="1"/>
  <c r="DE1432" i="1"/>
  <c r="CY1432" i="1"/>
  <c r="K1432" i="1"/>
  <c r="CX1432" i="1"/>
  <c r="CV1432" i="1"/>
  <c r="CU1432" i="1"/>
  <c r="I1432" i="1"/>
  <c r="BI1432" i="1"/>
  <c r="BH1432" i="1"/>
  <c r="DE818" i="1"/>
  <c r="CY818" i="1"/>
  <c r="K818" i="1"/>
  <c r="CX818" i="1"/>
  <c r="CV818" i="1"/>
  <c r="CU818" i="1"/>
  <c r="I818" i="1"/>
  <c r="BI818" i="1"/>
  <c r="BH818" i="1"/>
  <c r="DE1433" i="1"/>
  <c r="CY1433" i="1"/>
  <c r="K1433" i="1"/>
  <c r="CX1433" i="1"/>
  <c r="CV1433" i="1"/>
  <c r="CU1433" i="1"/>
  <c r="I1433" i="1"/>
  <c r="BI1433" i="1"/>
  <c r="BH1433" i="1"/>
  <c r="DE1434" i="1"/>
  <c r="CY1434" i="1"/>
  <c r="K1434" i="1"/>
  <c r="CX1434" i="1"/>
  <c r="CV1434" i="1"/>
  <c r="CU1434" i="1"/>
  <c r="I1434" i="1"/>
  <c r="BI1434" i="1"/>
  <c r="BH1434" i="1"/>
  <c r="DE1435" i="1"/>
  <c r="CY1435" i="1"/>
  <c r="K1435" i="1"/>
  <c r="CX1435" i="1"/>
  <c r="CV1435" i="1"/>
  <c r="CU1435" i="1"/>
  <c r="I1435" i="1"/>
  <c r="BI1435" i="1"/>
  <c r="BH1435" i="1"/>
  <c r="DE1436" i="1"/>
  <c r="CY1436" i="1"/>
  <c r="K1436" i="1"/>
  <c r="CX1436" i="1"/>
  <c r="CV1436" i="1"/>
  <c r="CU1436" i="1"/>
  <c r="I1436" i="1"/>
  <c r="BI1436" i="1"/>
  <c r="BH1436" i="1"/>
  <c r="DE971" i="1"/>
  <c r="CY971" i="1"/>
  <c r="K971" i="1"/>
  <c r="CX971" i="1"/>
  <c r="CV971" i="1"/>
  <c r="CU971" i="1"/>
  <c r="I971" i="1"/>
  <c r="BI971" i="1"/>
  <c r="BH971" i="1"/>
  <c r="DE1837" i="1"/>
  <c r="CY1837" i="1"/>
  <c r="K1837" i="1"/>
  <c r="CX1837" i="1"/>
  <c r="CV1837" i="1"/>
  <c r="CU1837" i="1"/>
  <c r="I1837" i="1"/>
  <c r="BI1837" i="1"/>
  <c r="BH1837" i="1"/>
  <c r="DE1437" i="1"/>
  <c r="CY1437" i="1"/>
  <c r="K1437" i="1"/>
  <c r="CX1437" i="1"/>
  <c r="CV1437" i="1"/>
  <c r="CU1437" i="1"/>
  <c r="I1437" i="1"/>
  <c r="BI1437" i="1"/>
  <c r="BH1437" i="1"/>
  <c r="DE1438" i="1"/>
  <c r="CY1438" i="1"/>
  <c r="K1438" i="1"/>
  <c r="CX1438" i="1"/>
  <c r="CV1438" i="1"/>
  <c r="CU1438" i="1"/>
  <c r="I1438" i="1"/>
  <c r="BI1438" i="1"/>
  <c r="BH1438" i="1"/>
  <c r="DE748" i="1"/>
  <c r="CY748" i="1"/>
  <c r="K748" i="1"/>
  <c r="CX748" i="1"/>
  <c r="CV748" i="1"/>
  <c r="CU748" i="1"/>
  <c r="I748" i="1"/>
  <c r="BI748" i="1"/>
  <c r="BH748" i="1"/>
  <c r="DE1439" i="1"/>
  <c r="CY1439" i="1"/>
  <c r="K1439" i="1"/>
  <c r="CX1439" i="1"/>
  <c r="CV1439" i="1"/>
  <c r="CU1439" i="1"/>
  <c r="I1439" i="1"/>
  <c r="BI1439" i="1"/>
  <c r="BH1439" i="1"/>
  <c r="DE1440" i="1"/>
  <c r="CY1440" i="1"/>
  <c r="K1440" i="1"/>
  <c r="CX1440" i="1"/>
  <c r="CV1440" i="1"/>
  <c r="CU1440" i="1"/>
  <c r="I1440" i="1"/>
  <c r="BI1440" i="1"/>
  <c r="BH1440" i="1"/>
  <c r="DE975" i="1"/>
  <c r="CY975" i="1"/>
  <c r="K975" i="1"/>
  <c r="CX975" i="1"/>
  <c r="CV975" i="1"/>
  <c r="CU975" i="1"/>
  <c r="I975" i="1"/>
  <c r="BI975" i="1"/>
  <c r="BH975" i="1"/>
  <c r="DE1441" i="1"/>
  <c r="CY1441" i="1"/>
  <c r="K1441" i="1"/>
  <c r="CX1441" i="1"/>
  <c r="CV1441" i="1"/>
  <c r="CU1441" i="1"/>
  <c r="I1441" i="1"/>
  <c r="BI1441" i="1"/>
  <c r="BH1441" i="1"/>
  <c r="DE1442" i="1"/>
  <c r="CY1442" i="1"/>
  <c r="K1442" i="1"/>
  <c r="CX1442" i="1"/>
  <c r="CV1442" i="1"/>
  <c r="CU1442" i="1"/>
  <c r="I1442" i="1"/>
  <c r="BI1442" i="1"/>
  <c r="BH1442" i="1"/>
  <c r="DE1443" i="1"/>
  <c r="CY1443" i="1"/>
  <c r="K1443" i="1"/>
  <c r="CX1443" i="1"/>
  <c r="CV1443" i="1"/>
  <c r="CU1443" i="1"/>
  <c r="I1443" i="1"/>
  <c r="BI1443" i="1"/>
  <c r="BH1443" i="1"/>
  <c r="DE1444" i="1"/>
  <c r="CY1444" i="1"/>
  <c r="K1444" i="1"/>
  <c r="CX1444" i="1"/>
  <c r="CV1444" i="1"/>
  <c r="CU1444" i="1"/>
  <c r="I1444" i="1"/>
  <c r="BI1444" i="1"/>
  <c r="BH1444" i="1"/>
  <c r="DE967" i="1"/>
  <c r="CY967" i="1"/>
  <c r="K967" i="1"/>
  <c r="CX967" i="1"/>
  <c r="CV967" i="1"/>
  <c r="CU967" i="1"/>
  <c r="I967" i="1"/>
  <c r="BI967" i="1"/>
  <c r="BH967" i="1"/>
  <c r="DE1445" i="1"/>
  <c r="CY1445" i="1"/>
  <c r="K1445" i="1"/>
  <c r="CX1445" i="1"/>
  <c r="CV1445" i="1"/>
  <c r="CU1445" i="1"/>
  <c r="I1445" i="1"/>
  <c r="BI1445" i="1"/>
  <c r="BH1445" i="1"/>
  <c r="DE1446" i="1"/>
  <c r="CY1446" i="1"/>
  <c r="K1446" i="1"/>
  <c r="CX1446" i="1"/>
  <c r="CV1446" i="1"/>
  <c r="CU1446" i="1"/>
  <c r="I1446" i="1"/>
  <c r="BI1446" i="1"/>
  <c r="BH1446" i="1"/>
  <c r="DE1836" i="1"/>
  <c r="CY1836" i="1"/>
  <c r="K1836" i="1"/>
  <c r="CX1836" i="1"/>
  <c r="CV1836" i="1"/>
  <c r="CU1836" i="1"/>
  <c r="I1836" i="1"/>
  <c r="BI1836" i="1"/>
  <c r="BH1836" i="1"/>
  <c r="DE1447" i="1"/>
  <c r="CY1447" i="1"/>
  <c r="K1447" i="1"/>
  <c r="CX1447" i="1"/>
  <c r="CV1447" i="1"/>
  <c r="CU1447" i="1"/>
  <c r="I1447" i="1"/>
  <c r="BI1447" i="1"/>
  <c r="BH1447" i="1"/>
  <c r="DE1448" i="1"/>
  <c r="CY1448" i="1"/>
  <c r="K1448" i="1"/>
  <c r="CX1448" i="1"/>
  <c r="CV1448" i="1"/>
  <c r="CU1448" i="1"/>
  <c r="I1448" i="1"/>
  <c r="BI1448" i="1"/>
  <c r="BH1448" i="1"/>
  <c r="DE1449" i="1"/>
  <c r="CY1449" i="1"/>
  <c r="K1449" i="1"/>
  <c r="CX1449" i="1"/>
  <c r="CV1449" i="1"/>
  <c r="CU1449" i="1"/>
  <c r="I1449" i="1"/>
  <c r="BI1449" i="1"/>
  <c r="BH1449" i="1"/>
  <c r="DE1450" i="1"/>
  <c r="CY1450" i="1"/>
  <c r="K1450" i="1"/>
  <c r="CX1450" i="1"/>
  <c r="CV1450" i="1"/>
  <c r="CU1450" i="1"/>
  <c r="I1450" i="1"/>
  <c r="BI1450" i="1"/>
  <c r="BH1450" i="1"/>
  <c r="DE1451" i="1"/>
  <c r="CY1451" i="1"/>
  <c r="K1451" i="1"/>
  <c r="CX1451" i="1"/>
  <c r="CV1451" i="1"/>
  <c r="CU1451" i="1"/>
  <c r="I1451" i="1"/>
  <c r="BI1451" i="1"/>
  <c r="BH1451" i="1"/>
  <c r="DE1452" i="1"/>
  <c r="CY1452" i="1"/>
  <c r="K1452" i="1"/>
  <c r="CX1452" i="1"/>
  <c r="CV1452" i="1"/>
  <c r="CU1452" i="1"/>
  <c r="I1452" i="1"/>
  <c r="BI1452" i="1"/>
  <c r="BH1452" i="1"/>
  <c r="DE1453" i="1"/>
  <c r="CY1453" i="1"/>
  <c r="K1453" i="1"/>
  <c r="CX1453" i="1"/>
  <c r="CV1453" i="1"/>
  <c r="CU1453" i="1"/>
  <c r="I1453" i="1"/>
  <c r="BI1453" i="1"/>
  <c r="BH1453" i="1"/>
  <c r="DE1454" i="1"/>
  <c r="CY1454" i="1"/>
  <c r="K1454" i="1"/>
  <c r="CX1454" i="1"/>
  <c r="CV1454" i="1"/>
  <c r="CU1454" i="1"/>
  <c r="I1454" i="1"/>
  <c r="BI1454" i="1"/>
  <c r="BH1454" i="1"/>
  <c r="DE1455" i="1"/>
  <c r="CY1455" i="1"/>
  <c r="K1455" i="1"/>
  <c r="CX1455" i="1"/>
  <c r="CV1455" i="1"/>
  <c r="CU1455" i="1"/>
  <c r="I1455" i="1"/>
  <c r="BI1455" i="1"/>
  <c r="BH1455" i="1"/>
  <c r="DE1456" i="1"/>
  <c r="CY1456" i="1"/>
  <c r="K1456" i="1"/>
  <c r="CX1456" i="1"/>
  <c r="CV1456" i="1"/>
  <c r="CU1456" i="1"/>
  <c r="I1456" i="1"/>
  <c r="BI1456" i="1"/>
  <c r="BH1456" i="1"/>
  <c r="DE963" i="1"/>
  <c r="CY963" i="1"/>
  <c r="K963" i="1"/>
  <c r="CX963" i="1"/>
  <c r="CV963" i="1"/>
  <c r="CU963" i="1"/>
  <c r="I963" i="1"/>
  <c r="BI963" i="1"/>
  <c r="BH963" i="1"/>
  <c r="DE965" i="1"/>
  <c r="CY965" i="1"/>
  <c r="K965" i="1"/>
  <c r="CX965" i="1"/>
  <c r="CV965" i="1"/>
  <c r="CU965" i="1"/>
  <c r="I965" i="1"/>
  <c r="BI965" i="1"/>
  <c r="BH965" i="1"/>
  <c r="DE1835" i="1"/>
  <c r="CY1835" i="1"/>
  <c r="K1835" i="1"/>
  <c r="CX1835" i="1"/>
  <c r="CV1835" i="1"/>
  <c r="CU1835" i="1"/>
  <c r="I1835" i="1"/>
  <c r="BI1835" i="1"/>
  <c r="BH1835" i="1"/>
  <c r="DE969" i="1"/>
  <c r="CY969" i="1"/>
  <c r="K969" i="1"/>
  <c r="CX969" i="1"/>
  <c r="CV969" i="1"/>
  <c r="CU969" i="1"/>
  <c r="I969" i="1"/>
  <c r="BI969" i="1"/>
  <c r="BH969" i="1"/>
  <c r="DE1457" i="1"/>
  <c r="CY1457" i="1"/>
  <c r="K1457" i="1"/>
  <c r="CX1457" i="1"/>
  <c r="CV1457" i="1"/>
  <c r="CU1457" i="1"/>
  <c r="I1457" i="1"/>
  <c r="BI1457" i="1"/>
  <c r="BH1457" i="1"/>
  <c r="DE1458" i="1"/>
  <c r="CY1458" i="1"/>
  <c r="K1458" i="1"/>
  <c r="CX1458" i="1"/>
  <c r="CV1458" i="1"/>
  <c r="CU1458" i="1"/>
  <c r="I1458" i="1"/>
  <c r="BI1458" i="1"/>
  <c r="BH1458" i="1"/>
  <c r="DE1459" i="1"/>
  <c r="CY1459" i="1"/>
  <c r="K1459" i="1"/>
  <c r="CX1459" i="1"/>
  <c r="CV1459" i="1"/>
  <c r="CU1459" i="1"/>
  <c r="I1459" i="1"/>
  <c r="BI1459" i="1"/>
  <c r="BH1459" i="1"/>
  <c r="DE1460" i="1"/>
  <c r="CY1460" i="1"/>
  <c r="K1460" i="1"/>
  <c r="CX1460" i="1"/>
  <c r="CV1460" i="1"/>
  <c r="CU1460" i="1"/>
  <c r="I1460" i="1"/>
  <c r="BI1460" i="1"/>
  <c r="BH1460" i="1"/>
  <c r="DE961" i="1"/>
  <c r="CY961" i="1"/>
  <c r="K961" i="1"/>
  <c r="CX961" i="1"/>
  <c r="CV961" i="1"/>
  <c r="CU961" i="1"/>
  <c r="I961" i="1"/>
  <c r="BI961" i="1"/>
  <c r="BH961" i="1"/>
  <c r="DE1461" i="1"/>
  <c r="CY1461" i="1"/>
  <c r="K1461" i="1"/>
  <c r="CX1461" i="1"/>
  <c r="CV1461" i="1"/>
  <c r="CU1461" i="1"/>
  <c r="I1461" i="1"/>
  <c r="BI1461" i="1"/>
  <c r="BH1461" i="1"/>
  <c r="DE1462" i="1"/>
  <c r="CY1462" i="1"/>
  <c r="K1462" i="1"/>
  <c r="CX1462" i="1"/>
  <c r="CV1462" i="1"/>
  <c r="CU1462" i="1"/>
  <c r="I1462" i="1"/>
  <c r="BI1462" i="1"/>
  <c r="BH1462" i="1"/>
  <c r="DE959" i="1"/>
  <c r="CY959" i="1"/>
  <c r="K959" i="1"/>
  <c r="CX959" i="1"/>
  <c r="CV959" i="1"/>
  <c r="CU959" i="1"/>
  <c r="I959" i="1"/>
  <c r="BI959" i="1"/>
  <c r="BH959" i="1"/>
  <c r="DE1463" i="1"/>
  <c r="CY1463" i="1"/>
  <c r="K1463" i="1"/>
  <c r="CX1463" i="1"/>
  <c r="CV1463" i="1"/>
  <c r="CU1463" i="1"/>
  <c r="I1463" i="1"/>
  <c r="BI1463" i="1"/>
  <c r="BH1463" i="1"/>
  <c r="DE1464" i="1"/>
  <c r="CY1464" i="1"/>
  <c r="K1464" i="1"/>
  <c r="CX1464" i="1"/>
  <c r="CV1464" i="1"/>
  <c r="CU1464" i="1"/>
  <c r="I1464" i="1"/>
  <c r="BI1464" i="1"/>
  <c r="BH1464" i="1"/>
  <c r="DE1465" i="1"/>
  <c r="CY1465" i="1"/>
  <c r="K1465" i="1"/>
  <c r="CX1465" i="1"/>
  <c r="CV1465" i="1"/>
  <c r="CU1465" i="1"/>
  <c r="I1465" i="1"/>
  <c r="BI1465" i="1"/>
  <c r="BH1465" i="1"/>
  <c r="DE1887" i="1"/>
  <c r="CY1887" i="1"/>
  <c r="K1887" i="1"/>
  <c r="CX1887" i="1"/>
  <c r="CV1887" i="1"/>
  <c r="CU1887" i="1"/>
  <c r="I1887" i="1"/>
  <c r="BI1887" i="1"/>
  <c r="BH1887" i="1"/>
  <c r="DE1466" i="1"/>
  <c r="CY1466" i="1"/>
  <c r="K1466" i="1"/>
  <c r="CX1466" i="1"/>
  <c r="CV1466" i="1"/>
  <c r="CU1466" i="1"/>
  <c r="I1466" i="1"/>
  <c r="BI1466" i="1"/>
  <c r="BH1466" i="1"/>
  <c r="DE1467" i="1"/>
  <c r="CY1467" i="1"/>
  <c r="K1467" i="1"/>
  <c r="CX1467" i="1"/>
  <c r="CV1467" i="1"/>
  <c r="CU1467" i="1"/>
  <c r="I1467" i="1"/>
  <c r="BI1467" i="1"/>
  <c r="BH1467" i="1"/>
  <c r="DE1468" i="1"/>
  <c r="CY1468" i="1"/>
  <c r="K1468" i="1"/>
  <c r="CX1468" i="1"/>
  <c r="CV1468" i="1"/>
  <c r="CU1468" i="1"/>
  <c r="I1468" i="1"/>
  <c r="BI1468" i="1"/>
  <c r="BH1468" i="1"/>
  <c r="DE1861" i="1"/>
  <c r="CY1861" i="1"/>
  <c r="K1861" i="1"/>
  <c r="CX1861" i="1"/>
  <c r="CV1861" i="1"/>
  <c r="CU1861" i="1"/>
  <c r="I1861" i="1"/>
  <c r="BI1861" i="1"/>
  <c r="BH1861" i="1"/>
  <c r="DE1469" i="1"/>
  <c r="CY1469" i="1"/>
  <c r="K1469" i="1"/>
  <c r="CX1469" i="1"/>
  <c r="CV1469" i="1"/>
  <c r="CU1469" i="1"/>
  <c r="I1469" i="1"/>
  <c r="BI1469" i="1"/>
  <c r="BH1469" i="1"/>
  <c r="DE1855" i="1"/>
  <c r="CY1855" i="1"/>
  <c r="K1855" i="1"/>
  <c r="CX1855" i="1"/>
  <c r="CV1855" i="1"/>
  <c r="CU1855" i="1"/>
  <c r="I1855" i="1"/>
  <c r="BI1855" i="1"/>
  <c r="BH1855" i="1"/>
  <c r="DE1470" i="1"/>
  <c r="CY1470" i="1"/>
  <c r="K1470" i="1"/>
  <c r="CX1470" i="1"/>
  <c r="CV1470" i="1"/>
  <c r="CU1470" i="1"/>
  <c r="I1470" i="1"/>
  <c r="BI1470" i="1"/>
  <c r="BH1470" i="1"/>
  <c r="DE1471" i="1"/>
  <c r="CY1471" i="1"/>
  <c r="K1471" i="1"/>
  <c r="CX1471" i="1"/>
  <c r="CV1471" i="1"/>
  <c r="CU1471" i="1"/>
  <c r="I1471" i="1"/>
  <c r="BI1471" i="1"/>
  <c r="BH1471" i="1"/>
  <c r="DE1845" i="1"/>
  <c r="CY1845" i="1"/>
  <c r="K1845" i="1"/>
  <c r="CX1845" i="1"/>
  <c r="CV1845" i="1"/>
  <c r="CU1845" i="1"/>
  <c r="I1845" i="1"/>
  <c r="BI1845" i="1"/>
  <c r="BH1845" i="1"/>
  <c r="DE1472" i="1"/>
  <c r="CY1472" i="1"/>
  <c r="K1472" i="1"/>
  <c r="CX1472" i="1"/>
  <c r="CV1472" i="1"/>
  <c r="CU1472" i="1"/>
  <c r="I1472" i="1"/>
  <c r="BI1472" i="1"/>
  <c r="BH1472" i="1"/>
  <c r="DE1473" i="1"/>
  <c r="CY1473" i="1"/>
  <c r="K1473" i="1"/>
  <c r="CX1473" i="1"/>
  <c r="CV1473" i="1"/>
  <c r="CU1473" i="1"/>
  <c r="I1473" i="1"/>
  <c r="BI1473" i="1"/>
  <c r="BH1473" i="1"/>
  <c r="DE1843" i="1"/>
  <c r="CY1843" i="1"/>
  <c r="K1843" i="1"/>
  <c r="CX1843" i="1"/>
  <c r="CV1843" i="1"/>
  <c r="CU1843" i="1"/>
  <c r="I1843" i="1"/>
  <c r="BI1843" i="1"/>
  <c r="BH1843" i="1"/>
  <c r="DE1844" i="1"/>
  <c r="CY1844" i="1"/>
  <c r="K1844" i="1"/>
  <c r="CX1844" i="1"/>
  <c r="CV1844" i="1"/>
  <c r="CU1844" i="1"/>
  <c r="I1844" i="1"/>
  <c r="BI1844" i="1"/>
  <c r="BH1844" i="1"/>
  <c r="DE1834" i="1"/>
  <c r="CY1834" i="1"/>
  <c r="K1834" i="1"/>
  <c r="CX1834" i="1"/>
  <c r="CV1834" i="1"/>
  <c r="CU1834" i="1"/>
  <c r="I1834" i="1"/>
  <c r="BI1834" i="1"/>
  <c r="BH1834" i="1"/>
  <c r="DE1833" i="1"/>
  <c r="CY1833" i="1"/>
  <c r="K1833" i="1"/>
  <c r="CX1833" i="1"/>
  <c r="CV1833" i="1"/>
  <c r="CU1833" i="1"/>
  <c r="I1833" i="1"/>
  <c r="BI1833" i="1"/>
  <c r="BH1833" i="1"/>
  <c r="DE1474" i="1"/>
  <c r="CY1474" i="1"/>
  <c r="K1474" i="1"/>
  <c r="CX1474" i="1"/>
  <c r="CV1474" i="1"/>
  <c r="CU1474" i="1"/>
  <c r="I1474" i="1"/>
  <c r="BI1474" i="1"/>
  <c r="BH1474" i="1"/>
  <c r="DE1475" i="1"/>
  <c r="CY1475" i="1"/>
  <c r="K1475" i="1"/>
  <c r="CX1475" i="1"/>
  <c r="CV1475" i="1"/>
  <c r="CU1475" i="1"/>
  <c r="I1475" i="1"/>
  <c r="BI1475" i="1"/>
  <c r="BH1475" i="1"/>
  <c r="DE1476" i="1"/>
  <c r="CY1476" i="1"/>
  <c r="K1476" i="1"/>
  <c r="CX1476" i="1"/>
  <c r="CV1476" i="1"/>
  <c r="CU1476" i="1"/>
  <c r="I1476" i="1"/>
  <c r="BI1476" i="1"/>
  <c r="BH1476" i="1"/>
  <c r="DE1477" i="1"/>
  <c r="CY1477" i="1"/>
  <c r="K1477" i="1"/>
  <c r="CX1477" i="1"/>
  <c r="CV1477" i="1"/>
  <c r="CU1477" i="1"/>
  <c r="I1477" i="1"/>
  <c r="BI1477" i="1"/>
  <c r="BH1477" i="1"/>
  <c r="DE1478" i="1"/>
  <c r="CY1478" i="1"/>
  <c r="K1478" i="1"/>
  <c r="CX1478" i="1"/>
  <c r="CV1478" i="1"/>
  <c r="CU1478" i="1"/>
  <c r="I1478" i="1"/>
  <c r="BI1478" i="1"/>
  <c r="BH1478" i="1"/>
  <c r="DE1479" i="1"/>
  <c r="CY1479" i="1"/>
  <c r="K1479" i="1"/>
  <c r="CX1479" i="1"/>
  <c r="CV1479" i="1"/>
  <c r="CU1479" i="1"/>
  <c r="I1479" i="1"/>
  <c r="BI1479" i="1"/>
  <c r="BH1479" i="1"/>
  <c r="DE1480" i="1"/>
  <c r="CY1480" i="1"/>
  <c r="K1480" i="1"/>
  <c r="CX1480" i="1"/>
  <c r="CV1480" i="1"/>
  <c r="CU1480" i="1"/>
  <c r="I1480" i="1"/>
  <c r="BI1480" i="1"/>
  <c r="BH1480" i="1"/>
  <c r="DE1481" i="1"/>
  <c r="CY1481" i="1"/>
  <c r="K1481" i="1"/>
  <c r="CX1481" i="1"/>
  <c r="CV1481" i="1"/>
  <c r="CU1481" i="1"/>
  <c r="I1481" i="1"/>
  <c r="BI1481" i="1"/>
  <c r="BH1481" i="1"/>
  <c r="DE1482" i="1"/>
  <c r="CY1482" i="1"/>
  <c r="K1482" i="1"/>
  <c r="CX1482" i="1"/>
  <c r="CV1482" i="1"/>
  <c r="CU1482" i="1"/>
  <c r="I1482" i="1"/>
  <c r="BI1482" i="1"/>
  <c r="BH1482" i="1"/>
  <c r="DE1483" i="1"/>
  <c r="CY1483" i="1"/>
  <c r="K1483" i="1"/>
  <c r="CX1483" i="1"/>
  <c r="CV1483" i="1"/>
  <c r="CU1483" i="1"/>
  <c r="I1483" i="1"/>
  <c r="BI1483" i="1"/>
  <c r="BH1483" i="1"/>
  <c r="DE1484" i="1"/>
  <c r="CY1484" i="1"/>
  <c r="K1484" i="1"/>
  <c r="CX1484" i="1"/>
  <c r="CV1484" i="1"/>
  <c r="CU1484" i="1"/>
  <c r="I1484" i="1"/>
  <c r="BI1484" i="1"/>
  <c r="BH1484" i="1"/>
  <c r="DE1485" i="1"/>
  <c r="CY1485" i="1"/>
  <c r="K1485" i="1"/>
  <c r="CX1485" i="1"/>
  <c r="CV1485" i="1"/>
  <c r="CU1485" i="1"/>
  <c r="I1485" i="1"/>
  <c r="BI1485" i="1"/>
  <c r="BH1485" i="1"/>
  <c r="DE1486" i="1"/>
  <c r="CY1486" i="1"/>
  <c r="K1486" i="1"/>
  <c r="CX1486" i="1"/>
  <c r="CV1486" i="1"/>
  <c r="CU1486" i="1"/>
  <c r="I1486" i="1"/>
  <c r="BI1486" i="1"/>
  <c r="BH1486" i="1"/>
  <c r="DE949" i="1"/>
  <c r="CY949" i="1"/>
  <c r="K949" i="1"/>
  <c r="CX949" i="1"/>
  <c r="CV949" i="1"/>
  <c r="CU949" i="1"/>
  <c r="I949" i="1"/>
  <c r="BI949" i="1"/>
  <c r="BH949" i="1"/>
  <c r="DE1487" i="1"/>
  <c r="CY1487" i="1"/>
  <c r="K1487" i="1"/>
  <c r="CX1487" i="1"/>
  <c r="CV1487" i="1"/>
  <c r="CU1487" i="1"/>
  <c r="I1487" i="1"/>
  <c r="BI1487" i="1"/>
  <c r="BH1487" i="1"/>
  <c r="DE1832" i="1"/>
  <c r="CY1832" i="1"/>
  <c r="K1832" i="1"/>
  <c r="CX1832" i="1"/>
  <c r="CV1832" i="1"/>
  <c r="CU1832" i="1"/>
  <c r="I1832" i="1"/>
  <c r="BI1832" i="1"/>
  <c r="BH1832" i="1"/>
  <c r="DE1488" i="1"/>
  <c r="CY1488" i="1"/>
  <c r="K1488" i="1"/>
  <c r="CX1488" i="1"/>
  <c r="CV1488" i="1"/>
  <c r="CU1488" i="1"/>
  <c r="I1488" i="1"/>
  <c r="BI1488" i="1"/>
  <c r="BH1488" i="1"/>
  <c r="DE1489" i="1"/>
  <c r="CY1489" i="1"/>
  <c r="K1489" i="1"/>
  <c r="CX1489" i="1"/>
  <c r="CV1489" i="1"/>
  <c r="CU1489" i="1"/>
  <c r="I1489" i="1"/>
  <c r="BI1489" i="1"/>
  <c r="BH1489" i="1"/>
  <c r="DE1490" i="1"/>
  <c r="CY1490" i="1"/>
  <c r="K1490" i="1"/>
  <c r="CX1490" i="1"/>
  <c r="CV1490" i="1"/>
  <c r="CU1490" i="1"/>
  <c r="I1490" i="1"/>
  <c r="BI1490" i="1"/>
  <c r="BH1490" i="1"/>
  <c r="DE1491" i="1"/>
  <c r="CY1491" i="1"/>
  <c r="K1491" i="1"/>
  <c r="CX1491" i="1"/>
  <c r="CV1491" i="1"/>
  <c r="CU1491" i="1"/>
  <c r="I1491" i="1"/>
  <c r="BI1491" i="1"/>
  <c r="BH1491" i="1"/>
  <c r="DE1492" i="1"/>
  <c r="CY1492" i="1"/>
  <c r="K1492" i="1"/>
  <c r="CX1492" i="1"/>
  <c r="CV1492" i="1"/>
  <c r="CU1492" i="1"/>
  <c r="I1492" i="1"/>
  <c r="BI1492" i="1"/>
  <c r="BH1492" i="1"/>
  <c r="DE1493" i="1"/>
  <c r="CY1493" i="1"/>
  <c r="K1493" i="1"/>
  <c r="CX1493" i="1"/>
  <c r="CV1493" i="1"/>
  <c r="CU1493" i="1"/>
  <c r="I1493" i="1"/>
  <c r="BI1493" i="1"/>
  <c r="BH1493" i="1"/>
  <c r="DE1494" i="1"/>
  <c r="CY1494" i="1"/>
  <c r="K1494" i="1"/>
  <c r="CX1494" i="1"/>
  <c r="CV1494" i="1"/>
  <c r="CU1494" i="1"/>
  <c r="I1494" i="1"/>
  <c r="BI1494" i="1"/>
  <c r="BH1494" i="1"/>
  <c r="DE1495" i="1"/>
  <c r="CY1495" i="1"/>
  <c r="K1495" i="1"/>
  <c r="CX1495" i="1"/>
  <c r="CV1495" i="1"/>
  <c r="CU1495" i="1"/>
  <c r="I1495" i="1"/>
  <c r="BI1495" i="1"/>
  <c r="BH1495" i="1"/>
  <c r="DE1496" i="1"/>
  <c r="CY1496" i="1"/>
  <c r="K1496" i="1"/>
  <c r="CX1496" i="1"/>
  <c r="CV1496" i="1"/>
  <c r="CU1496" i="1"/>
  <c r="I1496" i="1"/>
  <c r="BI1496" i="1"/>
  <c r="BH1496" i="1"/>
  <c r="DE1497" i="1"/>
  <c r="CY1497" i="1"/>
  <c r="K1497" i="1"/>
  <c r="CX1497" i="1"/>
  <c r="CV1497" i="1"/>
  <c r="CU1497" i="1"/>
  <c r="I1497" i="1"/>
  <c r="BI1497" i="1"/>
  <c r="BH1497" i="1"/>
  <c r="DE1498" i="1"/>
  <c r="CY1498" i="1"/>
  <c r="K1498" i="1"/>
  <c r="CX1498" i="1"/>
  <c r="CV1498" i="1"/>
  <c r="CU1498" i="1"/>
  <c r="I1498" i="1"/>
  <c r="BI1498" i="1"/>
  <c r="BH1498" i="1"/>
  <c r="DE1499" i="1"/>
  <c r="CY1499" i="1"/>
  <c r="K1499" i="1"/>
  <c r="CX1499" i="1"/>
  <c r="CV1499" i="1"/>
  <c r="CU1499" i="1"/>
  <c r="I1499" i="1"/>
  <c r="BI1499" i="1"/>
  <c r="BH1499" i="1"/>
  <c r="DE1831" i="1"/>
  <c r="CY1831" i="1"/>
  <c r="K1831" i="1"/>
  <c r="CX1831" i="1"/>
  <c r="CV1831" i="1"/>
  <c r="CU1831" i="1"/>
  <c r="I1831" i="1"/>
  <c r="BI1831" i="1"/>
  <c r="BH1831" i="1"/>
  <c r="DE1500" i="1"/>
  <c r="CY1500" i="1"/>
  <c r="K1500" i="1"/>
  <c r="CX1500" i="1"/>
  <c r="CV1500" i="1"/>
  <c r="CU1500" i="1"/>
  <c r="I1500" i="1"/>
  <c r="BI1500" i="1"/>
  <c r="BH1500" i="1"/>
  <c r="DE1501" i="1"/>
  <c r="CY1501" i="1"/>
  <c r="K1501" i="1"/>
  <c r="CX1501" i="1"/>
  <c r="CV1501" i="1"/>
  <c r="CU1501" i="1"/>
  <c r="I1501" i="1"/>
  <c r="BI1501" i="1"/>
  <c r="BH1501" i="1"/>
  <c r="DE1502" i="1"/>
  <c r="CY1502" i="1"/>
  <c r="K1502" i="1"/>
  <c r="CX1502" i="1"/>
  <c r="CV1502" i="1"/>
  <c r="CU1502" i="1"/>
  <c r="I1502" i="1"/>
  <c r="BI1502" i="1"/>
  <c r="BH1502" i="1"/>
  <c r="DE3196" i="1"/>
  <c r="CY3196" i="1"/>
  <c r="K3196" i="1"/>
  <c r="CX3196" i="1"/>
  <c r="CV3196" i="1"/>
  <c r="CU3196" i="1"/>
  <c r="I3196" i="1"/>
  <c r="BI3196" i="1"/>
  <c r="BH3196" i="1"/>
  <c r="DE746" i="1"/>
  <c r="CY746" i="1"/>
  <c r="K746" i="1"/>
  <c r="CX746" i="1"/>
  <c r="CV746" i="1"/>
  <c r="CU746" i="1"/>
  <c r="I746" i="1"/>
  <c r="BI746" i="1"/>
  <c r="BH746" i="1"/>
  <c r="DE1503" i="1"/>
  <c r="CY1503" i="1"/>
  <c r="K1503" i="1"/>
  <c r="CX1503" i="1"/>
  <c r="CV1503" i="1"/>
  <c r="CU1503" i="1"/>
  <c r="I1503" i="1"/>
  <c r="BI1503" i="1"/>
  <c r="BH1503" i="1"/>
  <c r="DE1504" i="1"/>
  <c r="CY1504" i="1"/>
  <c r="K1504" i="1"/>
  <c r="CX1504" i="1"/>
  <c r="CV1504" i="1"/>
  <c r="CU1504" i="1"/>
  <c r="I1504" i="1"/>
  <c r="BI1504" i="1"/>
  <c r="BH1504" i="1"/>
  <c r="DE1505" i="1"/>
  <c r="CY1505" i="1"/>
  <c r="K1505" i="1"/>
  <c r="CX1505" i="1"/>
  <c r="CV1505" i="1"/>
  <c r="CU1505" i="1"/>
  <c r="I1505" i="1"/>
  <c r="BI1505" i="1"/>
  <c r="BH1505" i="1"/>
  <c r="DE1506" i="1"/>
  <c r="CY1506" i="1"/>
  <c r="K1506" i="1"/>
  <c r="CX1506" i="1"/>
  <c r="CV1506" i="1"/>
  <c r="CU1506" i="1"/>
  <c r="I1506" i="1"/>
  <c r="BI1506" i="1"/>
  <c r="BH1506" i="1"/>
  <c r="DE1507" i="1"/>
  <c r="CY1507" i="1"/>
  <c r="K1507" i="1"/>
  <c r="CX1507" i="1"/>
  <c r="CV1507" i="1"/>
  <c r="CU1507" i="1"/>
  <c r="I1507" i="1"/>
  <c r="BI1507" i="1"/>
  <c r="BH1507" i="1"/>
  <c r="DE1508" i="1"/>
  <c r="CY1508" i="1"/>
  <c r="K1508" i="1"/>
  <c r="CX1508" i="1"/>
  <c r="CV1508" i="1"/>
  <c r="CU1508" i="1"/>
  <c r="I1508" i="1"/>
  <c r="BI1508" i="1"/>
  <c r="BH1508" i="1"/>
  <c r="DE1830" i="1"/>
  <c r="CY1830" i="1"/>
  <c r="K1830" i="1"/>
  <c r="CX1830" i="1"/>
  <c r="CV1830" i="1"/>
  <c r="CU1830" i="1"/>
  <c r="I1830" i="1"/>
  <c r="BI1830" i="1"/>
  <c r="BH1830" i="1"/>
  <c r="DE1509" i="1"/>
  <c r="CY1509" i="1"/>
  <c r="K1509" i="1"/>
  <c r="CX1509" i="1"/>
  <c r="CV1509" i="1"/>
  <c r="CU1509" i="1"/>
  <c r="I1509" i="1"/>
  <c r="BI1509" i="1"/>
  <c r="BH1509" i="1"/>
  <c r="DE1510" i="1"/>
  <c r="CY1510" i="1"/>
  <c r="K1510" i="1"/>
  <c r="CX1510" i="1"/>
  <c r="CV1510" i="1"/>
  <c r="CU1510" i="1"/>
  <c r="I1510" i="1"/>
  <c r="BI1510" i="1"/>
  <c r="BH1510" i="1"/>
  <c r="DE1511" i="1"/>
  <c r="CY1511" i="1"/>
  <c r="K1511" i="1"/>
  <c r="CX1511" i="1"/>
  <c r="CV1511" i="1"/>
  <c r="CU1511" i="1"/>
  <c r="I1511" i="1"/>
  <c r="BI1511" i="1"/>
  <c r="BH1511" i="1"/>
  <c r="DE1512" i="1"/>
  <c r="CY1512" i="1"/>
  <c r="K1512" i="1"/>
  <c r="CX1512" i="1"/>
  <c r="CV1512" i="1"/>
  <c r="CU1512" i="1"/>
  <c r="I1512" i="1"/>
  <c r="BI1512" i="1"/>
  <c r="BH1512" i="1"/>
  <c r="DE838" i="1"/>
  <c r="CY838" i="1"/>
  <c r="K838" i="1"/>
  <c r="CX838" i="1"/>
  <c r="CV838" i="1"/>
  <c r="CU838" i="1"/>
  <c r="I838" i="1"/>
  <c r="BI838" i="1"/>
  <c r="BH838" i="1"/>
  <c r="DE1513" i="1"/>
  <c r="CY1513" i="1"/>
  <c r="K1513" i="1"/>
  <c r="CX1513" i="1"/>
  <c r="CV1513" i="1"/>
  <c r="CU1513" i="1"/>
  <c r="I1513" i="1"/>
  <c r="BI1513" i="1"/>
  <c r="BH1513" i="1"/>
  <c r="DE1514" i="1"/>
  <c r="CY1514" i="1"/>
  <c r="K1514" i="1"/>
  <c r="CX1514" i="1"/>
  <c r="CV1514" i="1"/>
  <c r="CU1514" i="1"/>
  <c r="I1514" i="1"/>
  <c r="BI1514" i="1"/>
  <c r="BH1514" i="1"/>
  <c r="DE1808" i="1"/>
  <c r="CY1808" i="1"/>
  <c r="K1808" i="1"/>
  <c r="CX1808" i="1"/>
  <c r="CV1808" i="1"/>
  <c r="CU1808" i="1"/>
  <c r="I1808" i="1"/>
  <c r="BI1808" i="1"/>
  <c r="BH1808" i="1"/>
  <c r="DE1515" i="1"/>
  <c r="CY1515" i="1"/>
  <c r="K1515" i="1"/>
  <c r="CX1515" i="1"/>
  <c r="CV1515" i="1"/>
  <c r="CU1515" i="1"/>
  <c r="I1515" i="1"/>
  <c r="BI1515" i="1"/>
  <c r="BH1515" i="1"/>
  <c r="DE1516" i="1"/>
  <c r="CY1516" i="1"/>
  <c r="K1516" i="1"/>
  <c r="CX1516" i="1"/>
  <c r="CV1516" i="1"/>
  <c r="CU1516" i="1"/>
  <c r="I1516" i="1"/>
  <c r="BI1516" i="1"/>
  <c r="BH1516" i="1"/>
  <c r="DE511" i="1"/>
  <c r="CY511" i="1"/>
  <c r="K511" i="1"/>
  <c r="CX511" i="1"/>
  <c r="CV511" i="1"/>
  <c r="CU511" i="1"/>
  <c r="I511" i="1"/>
  <c r="BI511" i="1"/>
  <c r="BH511" i="1"/>
  <c r="DE1517" i="1"/>
  <c r="CY1517" i="1"/>
  <c r="K1517" i="1"/>
  <c r="CX1517" i="1"/>
  <c r="CV1517" i="1"/>
  <c r="CU1517" i="1"/>
  <c r="I1517" i="1"/>
  <c r="BI1517" i="1"/>
  <c r="BH1517" i="1"/>
  <c r="DE1798" i="1"/>
  <c r="CY1798" i="1"/>
  <c r="K1798" i="1"/>
  <c r="CX1798" i="1"/>
  <c r="CV1798" i="1"/>
  <c r="CU1798" i="1"/>
  <c r="I1798" i="1"/>
  <c r="BI1798" i="1"/>
  <c r="BH1798" i="1"/>
  <c r="DE3371" i="1"/>
  <c r="CY3371" i="1"/>
  <c r="K3371" i="1"/>
  <c r="CX3371" i="1"/>
  <c r="CV3371" i="1"/>
  <c r="CU3371" i="1"/>
  <c r="I3371" i="1"/>
  <c r="CT3371" i="1"/>
  <c r="BI3371" i="1"/>
  <c r="BH3371" i="1"/>
  <c r="DE1829" i="1"/>
  <c r="CY1829" i="1"/>
  <c r="K1829" i="1"/>
  <c r="CX1829" i="1"/>
  <c r="CV1829" i="1"/>
  <c r="CU1829" i="1"/>
  <c r="I1829" i="1"/>
  <c r="BI1829" i="1"/>
  <c r="BH1829" i="1"/>
  <c r="DE1518" i="1"/>
  <c r="CY1518" i="1"/>
  <c r="K1518" i="1"/>
  <c r="CX1518" i="1"/>
  <c r="CV1518" i="1"/>
  <c r="CU1518" i="1"/>
  <c r="I1518" i="1"/>
  <c r="BI1518" i="1"/>
  <c r="BH1518" i="1"/>
  <c r="DE1519" i="1"/>
  <c r="CY1519" i="1"/>
  <c r="K1519" i="1"/>
  <c r="CX1519" i="1"/>
  <c r="CV1519" i="1"/>
  <c r="CU1519" i="1"/>
  <c r="I1519" i="1"/>
  <c r="BI1519" i="1"/>
  <c r="BH1519" i="1"/>
  <c r="DE1795" i="1"/>
  <c r="CY1795" i="1"/>
  <c r="K1795" i="1"/>
  <c r="CX1795" i="1"/>
  <c r="CV1795" i="1"/>
  <c r="CU1795" i="1"/>
  <c r="I1795" i="1"/>
  <c r="BI1795" i="1"/>
  <c r="BH1795" i="1"/>
  <c r="DE1520" i="1"/>
  <c r="CY1520" i="1"/>
  <c r="K1520" i="1"/>
  <c r="CX1520" i="1"/>
  <c r="CV1520" i="1"/>
  <c r="CU1520" i="1"/>
  <c r="I1520" i="1"/>
  <c r="BI1520" i="1"/>
  <c r="BH1520" i="1"/>
  <c r="DE1802" i="1"/>
  <c r="CY1802" i="1"/>
  <c r="K1802" i="1"/>
  <c r="CX1802" i="1"/>
  <c r="CV1802" i="1"/>
  <c r="CU1802" i="1"/>
  <c r="I1802" i="1"/>
  <c r="BI1802" i="1"/>
  <c r="BH1802" i="1"/>
  <c r="DE512" i="1"/>
  <c r="CY512" i="1"/>
  <c r="K512" i="1"/>
  <c r="CX512" i="1"/>
  <c r="CV512" i="1"/>
  <c r="CU512" i="1"/>
  <c r="I512" i="1"/>
  <c r="BI512" i="1"/>
  <c r="BH512" i="1"/>
  <c r="DE1521" i="1"/>
  <c r="CY1521" i="1"/>
  <c r="K1521" i="1"/>
  <c r="CX1521" i="1"/>
  <c r="CV1521" i="1"/>
  <c r="CU1521" i="1"/>
  <c r="I1521" i="1"/>
  <c r="BI1521" i="1"/>
  <c r="BH1521" i="1"/>
  <c r="DE3499" i="1"/>
  <c r="CY3499" i="1"/>
  <c r="K3499" i="1"/>
  <c r="CX3499" i="1"/>
  <c r="CV3499" i="1"/>
  <c r="CU3499" i="1"/>
  <c r="I3499" i="1"/>
  <c r="CT3499" i="1"/>
  <c r="BI3499" i="1"/>
  <c r="BH3499" i="1"/>
  <c r="DE1522" i="1"/>
  <c r="CY1522" i="1"/>
  <c r="K1522" i="1"/>
  <c r="CX1522" i="1"/>
  <c r="CV1522" i="1"/>
  <c r="CU1522" i="1"/>
  <c r="I1522" i="1"/>
  <c r="BI1522" i="1"/>
  <c r="BH1522" i="1"/>
  <c r="DE1523" i="1"/>
  <c r="CY1523" i="1"/>
  <c r="K1523" i="1"/>
  <c r="CX1523" i="1"/>
  <c r="CV1523" i="1"/>
  <c r="CU1523" i="1"/>
  <c r="I1523" i="1"/>
  <c r="BI1523" i="1"/>
  <c r="BH1523" i="1"/>
  <c r="DE1789" i="1"/>
  <c r="CY1789" i="1"/>
  <c r="K1789" i="1"/>
  <c r="CX1789" i="1"/>
  <c r="CV1789" i="1"/>
  <c r="CU1789" i="1"/>
  <c r="I1789" i="1"/>
  <c r="BI1789" i="1"/>
  <c r="BH1789" i="1"/>
  <c r="DE513" i="1"/>
  <c r="CY513" i="1"/>
  <c r="K513" i="1"/>
  <c r="CX513" i="1"/>
  <c r="CV513" i="1"/>
  <c r="CU513" i="1"/>
  <c r="I513" i="1"/>
  <c r="BI513" i="1"/>
  <c r="BH513" i="1"/>
  <c r="DE1524" i="1"/>
  <c r="CY1524" i="1"/>
  <c r="K1524" i="1"/>
  <c r="CX1524" i="1"/>
  <c r="CV1524" i="1"/>
  <c r="CU1524" i="1"/>
  <c r="I1524" i="1"/>
  <c r="BI1524" i="1"/>
  <c r="BH1524" i="1"/>
  <c r="DE1525" i="1"/>
  <c r="CY1525" i="1"/>
  <c r="K1525" i="1"/>
  <c r="CX1525" i="1"/>
  <c r="CV1525" i="1"/>
  <c r="CU1525" i="1"/>
  <c r="I1525" i="1"/>
  <c r="BI1525" i="1"/>
  <c r="BH1525" i="1"/>
  <c r="DE1905" i="1"/>
  <c r="CY1905" i="1"/>
  <c r="K1905" i="1"/>
  <c r="CX1905" i="1"/>
  <c r="CV1905" i="1"/>
  <c r="CU1905" i="1"/>
  <c r="I1905" i="1"/>
  <c r="BI1905" i="1"/>
  <c r="BH1905" i="1"/>
  <c r="DE1526" i="1"/>
  <c r="CY1526" i="1"/>
  <c r="K1526" i="1"/>
  <c r="CX1526" i="1"/>
  <c r="CV1526" i="1"/>
  <c r="CU1526" i="1"/>
  <c r="I1526" i="1"/>
  <c r="BI1526" i="1"/>
  <c r="BH1526" i="1"/>
  <c r="DE1913" i="1"/>
  <c r="CY1913" i="1"/>
  <c r="K1913" i="1"/>
  <c r="CX1913" i="1"/>
  <c r="CV1913" i="1"/>
  <c r="CU1913" i="1"/>
  <c r="I1913" i="1"/>
  <c r="BI1913" i="1"/>
  <c r="BH1913" i="1"/>
  <c r="DE1527" i="1"/>
  <c r="CY1527" i="1"/>
  <c r="K1527" i="1"/>
  <c r="CX1527" i="1"/>
  <c r="CV1527" i="1"/>
  <c r="CU1527" i="1"/>
  <c r="I1527" i="1"/>
  <c r="BI1527" i="1"/>
  <c r="BH1527" i="1"/>
  <c r="DE1912" i="1"/>
  <c r="CY1912" i="1"/>
  <c r="K1912" i="1"/>
  <c r="CX1912" i="1"/>
  <c r="CV1912" i="1"/>
  <c r="CU1912" i="1"/>
  <c r="I1912" i="1"/>
  <c r="BI1912" i="1"/>
  <c r="BH1912" i="1"/>
  <c r="DE1528" i="1"/>
  <c r="CY1528" i="1"/>
  <c r="K1528" i="1"/>
  <c r="CX1528" i="1"/>
  <c r="CV1528" i="1"/>
  <c r="CU1528" i="1"/>
  <c r="I1528" i="1"/>
  <c r="BI1528" i="1"/>
  <c r="BH1528" i="1"/>
  <c r="DE1529" i="1"/>
  <c r="CY1529" i="1"/>
  <c r="K1529" i="1"/>
  <c r="CX1529" i="1"/>
  <c r="CV1529" i="1"/>
  <c r="CU1529" i="1"/>
  <c r="I1529" i="1"/>
  <c r="BI1529" i="1"/>
  <c r="BH1529" i="1"/>
  <c r="DE3657" i="1"/>
  <c r="CY3657" i="1"/>
  <c r="K3657" i="1"/>
  <c r="CX3657" i="1"/>
  <c r="CV3657" i="1"/>
  <c r="CU3657" i="1"/>
  <c r="I3657" i="1"/>
  <c r="CT3657" i="1"/>
  <c r="BI3657" i="1"/>
  <c r="BH3657" i="1"/>
  <c r="DE1797" i="1"/>
  <c r="CY1797" i="1"/>
  <c r="K1797" i="1"/>
  <c r="CX1797" i="1"/>
  <c r="CV1797" i="1"/>
  <c r="CU1797" i="1"/>
  <c r="I1797" i="1"/>
  <c r="BI1797" i="1"/>
  <c r="BH1797" i="1"/>
  <c r="DE1828" i="1"/>
  <c r="CY1828" i="1"/>
  <c r="K1828" i="1"/>
  <c r="CX1828" i="1"/>
  <c r="CV1828" i="1"/>
  <c r="CU1828" i="1"/>
  <c r="I1828" i="1"/>
  <c r="BI1828" i="1"/>
  <c r="BH1828" i="1"/>
  <c r="DE1904" i="1"/>
  <c r="CY1904" i="1"/>
  <c r="K1904" i="1"/>
  <c r="CX1904" i="1"/>
  <c r="CV1904" i="1"/>
  <c r="CU1904" i="1"/>
  <c r="I1904" i="1"/>
  <c r="BI1904" i="1"/>
  <c r="BH1904" i="1"/>
  <c r="DE1530" i="1"/>
  <c r="CY1530" i="1"/>
  <c r="K1530" i="1"/>
  <c r="CX1530" i="1"/>
  <c r="CV1530" i="1"/>
  <c r="CU1530" i="1"/>
  <c r="I1530" i="1"/>
  <c r="BI1530" i="1"/>
  <c r="BH1530" i="1"/>
  <c r="DE820" i="1"/>
  <c r="CY820" i="1"/>
  <c r="K820" i="1"/>
  <c r="CX820" i="1"/>
  <c r="CV820" i="1"/>
  <c r="CU820" i="1"/>
  <c r="I820" i="1"/>
  <c r="BI820" i="1"/>
  <c r="BH820" i="1"/>
  <c r="DE1532" i="1"/>
  <c r="CY1532" i="1"/>
  <c r="K1532" i="1"/>
  <c r="CX1532" i="1"/>
  <c r="CV1532" i="1"/>
  <c r="CU1532" i="1"/>
  <c r="I1532" i="1"/>
  <c r="BI1532" i="1"/>
  <c r="BH1532" i="1"/>
  <c r="DE1533" i="1"/>
  <c r="CY1533" i="1"/>
  <c r="K1533" i="1"/>
  <c r="CX1533" i="1"/>
  <c r="CV1533" i="1"/>
  <c r="CU1533" i="1"/>
  <c r="I1533" i="1"/>
  <c r="BI1533" i="1"/>
  <c r="BH1533" i="1"/>
  <c r="DE1786" i="1"/>
  <c r="CY1786" i="1"/>
  <c r="K1786" i="1"/>
  <c r="CX1786" i="1"/>
  <c r="CV1786" i="1"/>
  <c r="CU1786" i="1"/>
  <c r="I1786" i="1"/>
  <c r="BI1786" i="1"/>
  <c r="BH1786" i="1"/>
  <c r="DE1534" i="1"/>
  <c r="CY1534" i="1"/>
  <c r="K1534" i="1"/>
  <c r="CX1534" i="1"/>
  <c r="CV1534" i="1"/>
  <c r="CU1534" i="1"/>
  <c r="I1534" i="1"/>
  <c r="BI1534" i="1"/>
  <c r="BH1534" i="1"/>
  <c r="DE1707" i="1"/>
  <c r="CY1707" i="1"/>
  <c r="K1707" i="1"/>
  <c r="CX1707" i="1"/>
  <c r="CV1707" i="1"/>
  <c r="CU1707" i="1"/>
  <c r="I1707" i="1"/>
  <c r="BI1707" i="1"/>
  <c r="BH1707" i="1"/>
  <c r="DE1796" i="1"/>
  <c r="CY1796" i="1"/>
  <c r="K1796" i="1"/>
  <c r="CX1796" i="1"/>
  <c r="CV1796" i="1"/>
  <c r="CU1796" i="1"/>
  <c r="I1796" i="1"/>
  <c r="BI1796" i="1"/>
  <c r="BH1796" i="1"/>
  <c r="DE1535" i="1"/>
  <c r="CY1535" i="1"/>
  <c r="K1535" i="1"/>
  <c r="CX1535" i="1"/>
  <c r="CV1535" i="1"/>
  <c r="CU1535" i="1"/>
  <c r="I1535" i="1"/>
  <c r="BI1535" i="1"/>
  <c r="BH1535" i="1"/>
  <c r="DE1911" i="1"/>
  <c r="CY1911" i="1"/>
  <c r="K1911" i="1"/>
  <c r="CX1911" i="1"/>
  <c r="CV1911" i="1"/>
  <c r="CU1911" i="1"/>
  <c r="I1911" i="1"/>
  <c r="BI1911" i="1"/>
  <c r="BH1911" i="1"/>
  <c r="DE1536" i="1"/>
  <c r="CY1536" i="1"/>
  <c r="K1536" i="1"/>
  <c r="CX1536" i="1"/>
  <c r="CV1536" i="1"/>
  <c r="CU1536" i="1"/>
  <c r="I1536" i="1"/>
  <c r="BI1536" i="1"/>
  <c r="BH1536" i="1"/>
  <c r="CY3200" i="1"/>
  <c r="K3200" i="1"/>
  <c r="CX3200" i="1"/>
  <c r="CU3200" i="1"/>
  <c r="BI3200" i="1"/>
  <c r="BH3200" i="1"/>
  <c r="DE1708" i="1"/>
  <c r="CY1708" i="1"/>
  <c r="K1708" i="1"/>
  <c r="CX1708" i="1"/>
  <c r="CV1708" i="1"/>
  <c r="CU1708" i="1"/>
  <c r="I1708" i="1"/>
  <c r="BI1708" i="1"/>
  <c r="BH1708" i="1"/>
  <c r="DE514" i="1"/>
  <c r="CY514" i="1"/>
  <c r="K514" i="1"/>
  <c r="CX514" i="1"/>
  <c r="CV514" i="1"/>
  <c r="CU514" i="1"/>
  <c r="I514" i="1"/>
  <c r="BI514" i="1"/>
  <c r="BH514" i="1"/>
  <c r="DE1537" i="1"/>
  <c r="CY1537" i="1"/>
  <c r="K1537" i="1"/>
  <c r="CX1537" i="1"/>
  <c r="CV1537" i="1"/>
  <c r="CU1537" i="1"/>
  <c r="I1537" i="1"/>
  <c r="BI1537" i="1"/>
  <c r="BH1537" i="1"/>
  <c r="DE1914" i="1"/>
  <c r="CY1914" i="1"/>
  <c r="K1914" i="1"/>
  <c r="CX1914" i="1"/>
  <c r="CV1914" i="1"/>
  <c r="CU1914" i="1"/>
  <c r="I1914" i="1"/>
  <c r="BI1914" i="1"/>
  <c r="BH1914" i="1"/>
  <c r="DE1538" i="1"/>
  <c r="CY1538" i="1"/>
  <c r="K1538" i="1"/>
  <c r="CX1538" i="1"/>
  <c r="CV1538" i="1"/>
  <c r="CU1538" i="1"/>
  <c r="I1538" i="1"/>
  <c r="BI1538" i="1"/>
  <c r="BH1538" i="1"/>
  <c r="DE1785" i="1"/>
  <c r="CY1785" i="1"/>
  <c r="K1785" i="1"/>
  <c r="CX1785" i="1"/>
  <c r="CV1785" i="1"/>
  <c r="CU1785" i="1"/>
  <c r="I1785" i="1"/>
  <c r="BI1785" i="1"/>
  <c r="BH1785" i="1"/>
  <c r="DE1539" i="1"/>
  <c r="CY1539" i="1"/>
  <c r="K1539" i="1"/>
  <c r="CX1539" i="1"/>
  <c r="CV1539" i="1"/>
  <c r="CU1539" i="1"/>
  <c r="I1539" i="1"/>
  <c r="BI1539" i="1"/>
  <c r="BH1539" i="1"/>
  <c r="DE3518" i="1"/>
  <c r="CY3518" i="1"/>
  <c r="K3518" i="1"/>
  <c r="CX3518" i="1"/>
  <c r="CV3518" i="1"/>
  <c r="CU3518" i="1"/>
  <c r="I3518" i="1"/>
  <c r="CT3518" i="1"/>
  <c r="BI3518" i="1"/>
  <c r="BH3518" i="1"/>
  <c r="DE1540" i="1"/>
  <c r="CY1540" i="1"/>
  <c r="K1540" i="1"/>
  <c r="CX1540" i="1"/>
  <c r="CV1540" i="1"/>
  <c r="CU1540" i="1"/>
  <c r="I1540" i="1"/>
  <c r="BI1540" i="1"/>
  <c r="BH1540" i="1"/>
  <c r="DE1541" i="1"/>
  <c r="CY1541" i="1"/>
  <c r="K1541" i="1"/>
  <c r="CX1541" i="1"/>
  <c r="CV1541" i="1"/>
  <c r="CU1541" i="1"/>
  <c r="I1541" i="1"/>
  <c r="BI1541" i="1"/>
  <c r="BH1541" i="1"/>
  <c r="DE1901" i="1"/>
  <c r="CY1901" i="1"/>
  <c r="K1901" i="1"/>
  <c r="CX1901" i="1"/>
  <c r="CV1901" i="1"/>
  <c r="CU1901" i="1"/>
  <c r="I1901" i="1"/>
  <c r="BI1901" i="1"/>
  <c r="BH1901" i="1"/>
  <c r="DE1542" i="1"/>
  <c r="CY1542" i="1"/>
  <c r="K1542" i="1"/>
  <c r="CX1542" i="1"/>
  <c r="CV1542" i="1"/>
  <c r="CU1542" i="1"/>
  <c r="I1542" i="1"/>
  <c r="BI1542" i="1"/>
  <c r="BH1542" i="1"/>
  <c r="DE1899" i="1"/>
  <c r="CY1899" i="1"/>
  <c r="K1899" i="1"/>
  <c r="CX1899" i="1"/>
  <c r="CV1899" i="1"/>
  <c r="CU1899" i="1"/>
  <c r="I1899" i="1"/>
  <c r="BI1899" i="1"/>
  <c r="BH1899" i="1"/>
  <c r="DE1543" i="1"/>
  <c r="CY1543" i="1"/>
  <c r="K1543" i="1"/>
  <c r="CX1543" i="1"/>
  <c r="CV1543" i="1"/>
  <c r="CU1543" i="1"/>
  <c r="I1543" i="1"/>
  <c r="BI1543" i="1"/>
  <c r="BH1543" i="1"/>
  <c r="DE515" i="1"/>
  <c r="CY515" i="1"/>
  <c r="K515" i="1"/>
  <c r="CX515" i="1"/>
  <c r="CV515" i="1"/>
  <c r="CU515" i="1"/>
  <c r="I515" i="1"/>
  <c r="BI515" i="1"/>
  <c r="BH515" i="1"/>
  <c r="DE1544" i="1"/>
  <c r="CY1544" i="1"/>
  <c r="K1544" i="1"/>
  <c r="CX1544" i="1"/>
  <c r="CV1544" i="1"/>
  <c r="CU1544" i="1"/>
  <c r="I1544" i="1"/>
  <c r="BI1544" i="1"/>
  <c r="BH1544" i="1"/>
  <c r="DE3755" i="1"/>
  <c r="CY3755" i="1"/>
  <c r="K3755" i="1"/>
  <c r="CX3755" i="1"/>
  <c r="CV3755" i="1"/>
  <c r="CU3755" i="1"/>
  <c r="I3755" i="1"/>
  <c r="CT3755" i="1"/>
  <c r="BI3755" i="1"/>
  <c r="BH3755" i="1"/>
  <c r="DE1545" i="1"/>
  <c r="CY1545" i="1"/>
  <c r="K1545" i="1"/>
  <c r="CX1545" i="1"/>
  <c r="CV1545" i="1"/>
  <c r="CU1545" i="1"/>
  <c r="I1545" i="1"/>
  <c r="BI1545" i="1"/>
  <c r="BH1545" i="1"/>
  <c r="DE1546" i="1"/>
  <c r="CY1546" i="1"/>
  <c r="K1546" i="1"/>
  <c r="CX1546" i="1"/>
  <c r="CV1546" i="1"/>
  <c r="CU1546" i="1"/>
  <c r="I1546" i="1"/>
  <c r="BI1546" i="1"/>
  <c r="BH1546" i="1"/>
  <c r="DE1547" i="1"/>
  <c r="CY1547" i="1"/>
  <c r="K1547" i="1"/>
  <c r="CX1547" i="1"/>
  <c r="CV1547" i="1"/>
  <c r="CU1547" i="1"/>
  <c r="I1547" i="1"/>
  <c r="BI1547" i="1"/>
  <c r="BH1547" i="1"/>
  <c r="DE508" i="1"/>
  <c r="CY508" i="1"/>
  <c r="K508" i="1"/>
  <c r="CX508" i="1"/>
  <c r="CV508" i="1"/>
  <c r="CU508" i="1"/>
  <c r="I508" i="1"/>
  <c r="BI508" i="1"/>
  <c r="BH508" i="1"/>
  <c r="DE1548" i="1"/>
  <c r="CY1548" i="1"/>
  <c r="K1548" i="1"/>
  <c r="CX1548" i="1"/>
  <c r="CV1548" i="1"/>
  <c r="CU1548" i="1"/>
  <c r="I1548" i="1"/>
  <c r="BI1548" i="1"/>
  <c r="BH1548" i="1"/>
  <c r="DE1841" i="1"/>
  <c r="CY1841" i="1"/>
  <c r="K1841" i="1"/>
  <c r="CX1841" i="1"/>
  <c r="CV1841" i="1"/>
  <c r="CU1841" i="1"/>
  <c r="I1841" i="1"/>
  <c r="BI1841" i="1"/>
  <c r="BH1841" i="1"/>
  <c r="DE1549" i="1"/>
  <c r="CY1549" i="1"/>
  <c r="K1549" i="1"/>
  <c r="CX1549" i="1"/>
  <c r="CV1549" i="1"/>
  <c r="CU1549" i="1"/>
  <c r="I1549" i="1"/>
  <c r="BI1549" i="1"/>
  <c r="BH1549" i="1"/>
  <c r="DE3450" i="1"/>
  <c r="CY3450" i="1"/>
  <c r="K3450" i="1"/>
  <c r="CX3450" i="1"/>
  <c r="CV3450" i="1"/>
  <c r="CU3450" i="1"/>
  <c r="I3450" i="1"/>
  <c r="CT3450" i="1"/>
  <c r="BI3450" i="1"/>
  <c r="BH3450" i="1"/>
  <c r="DE1550" i="1"/>
  <c r="CY1550" i="1"/>
  <c r="K1550" i="1"/>
  <c r="CX1550" i="1"/>
  <c r="CV1550" i="1"/>
  <c r="CU1550" i="1"/>
  <c r="I1550" i="1"/>
  <c r="BI1550" i="1"/>
  <c r="BH1550" i="1"/>
  <c r="DE1902" i="1"/>
  <c r="CY1902" i="1"/>
  <c r="K1902" i="1"/>
  <c r="CX1902" i="1"/>
  <c r="CV1902" i="1"/>
  <c r="CU1902" i="1"/>
  <c r="I1902" i="1"/>
  <c r="BI1902" i="1"/>
  <c r="BH1902" i="1"/>
  <c r="DE1704" i="1"/>
  <c r="CY1704" i="1"/>
  <c r="K1704" i="1"/>
  <c r="CX1704" i="1"/>
  <c r="CV1704" i="1"/>
  <c r="CU1704" i="1"/>
  <c r="I1704" i="1"/>
  <c r="BI1704" i="1"/>
  <c r="BH1704" i="1"/>
  <c r="DE1900" i="1"/>
  <c r="CY1900" i="1"/>
  <c r="K1900" i="1"/>
  <c r="CX1900" i="1"/>
  <c r="CV1900" i="1"/>
  <c r="CU1900" i="1"/>
  <c r="I1900" i="1"/>
  <c r="BI1900" i="1"/>
  <c r="BH1900" i="1"/>
  <c r="DE1551" i="1"/>
  <c r="CY1551" i="1"/>
  <c r="K1551" i="1"/>
  <c r="CX1551" i="1"/>
  <c r="CV1551" i="1"/>
  <c r="CU1551" i="1"/>
  <c r="I1551" i="1"/>
  <c r="BI1551" i="1"/>
  <c r="BH1551" i="1"/>
  <c r="DE1792" i="1"/>
  <c r="CY1792" i="1"/>
  <c r="K1792" i="1"/>
  <c r="CX1792" i="1"/>
  <c r="CV1792" i="1"/>
  <c r="CU1792" i="1"/>
  <c r="I1792" i="1"/>
  <c r="BI1792" i="1"/>
  <c r="BH1792" i="1"/>
  <c r="DE1552" i="1"/>
  <c r="CY1552" i="1"/>
  <c r="K1552" i="1"/>
  <c r="CX1552" i="1"/>
  <c r="CV1552" i="1"/>
  <c r="CU1552" i="1"/>
  <c r="I1552" i="1"/>
  <c r="BI1552" i="1"/>
  <c r="BH1552" i="1"/>
  <c r="DE1553" i="1"/>
  <c r="CY1553" i="1"/>
  <c r="K1553" i="1"/>
  <c r="CX1553" i="1"/>
  <c r="CV1553" i="1"/>
  <c r="CU1553" i="1"/>
  <c r="I1553" i="1"/>
  <c r="BI1553" i="1"/>
  <c r="BH1553" i="1"/>
  <c r="DE1898" i="1"/>
  <c r="CY1898" i="1"/>
  <c r="K1898" i="1"/>
  <c r="CX1898" i="1"/>
  <c r="CV1898" i="1"/>
  <c r="CU1898" i="1"/>
  <c r="I1898" i="1"/>
  <c r="BI1898" i="1"/>
  <c r="BH1898" i="1"/>
  <c r="DE1554" i="1"/>
  <c r="CY1554" i="1"/>
  <c r="K1554" i="1"/>
  <c r="CX1554" i="1"/>
  <c r="CV1554" i="1"/>
  <c r="CU1554" i="1"/>
  <c r="I1554" i="1"/>
  <c r="BI1554" i="1"/>
  <c r="BH1554" i="1"/>
  <c r="DE517" i="1"/>
  <c r="CY517" i="1"/>
  <c r="K517" i="1"/>
  <c r="CX517" i="1"/>
  <c r="CV517" i="1"/>
  <c r="CU517" i="1"/>
  <c r="I517" i="1"/>
  <c r="BI517" i="1"/>
  <c r="BH517" i="1"/>
  <c r="DE1555" i="1"/>
  <c r="CY1555" i="1"/>
  <c r="K1555" i="1"/>
  <c r="CX1555" i="1"/>
  <c r="CV1555" i="1"/>
  <c r="CU1555" i="1"/>
  <c r="I1555" i="1"/>
  <c r="BI1555" i="1"/>
  <c r="BH1555" i="1"/>
  <c r="DE3691" i="1"/>
  <c r="CY3691" i="1"/>
  <c r="K3691" i="1"/>
  <c r="CX3691" i="1"/>
  <c r="CV3691" i="1"/>
  <c r="CU3691" i="1"/>
  <c r="I3691" i="1"/>
  <c r="CT3691" i="1"/>
  <c r="BI3691" i="1"/>
  <c r="BH3691" i="1"/>
  <c r="DE1556" i="1"/>
  <c r="CY1556" i="1"/>
  <c r="K1556" i="1"/>
  <c r="CX1556" i="1"/>
  <c r="CV1556" i="1"/>
  <c r="CU1556" i="1"/>
  <c r="I1556" i="1"/>
  <c r="BI1556" i="1"/>
  <c r="BH1556" i="1"/>
  <c r="DE1790" i="1"/>
  <c r="CY1790" i="1"/>
  <c r="K1790" i="1"/>
  <c r="CX1790" i="1"/>
  <c r="CV1790" i="1"/>
  <c r="CU1790" i="1"/>
  <c r="I1790" i="1"/>
  <c r="BI1790" i="1"/>
  <c r="BH1790" i="1"/>
  <c r="DE1794" i="1"/>
  <c r="CY1794" i="1"/>
  <c r="K1794" i="1"/>
  <c r="CX1794" i="1"/>
  <c r="CV1794" i="1"/>
  <c r="CU1794" i="1"/>
  <c r="I1794" i="1"/>
  <c r="BI1794" i="1"/>
  <c r="BH1794" i="1"/>
  <c r="DE1557" i="1"/>
  <c r="CY1557" i="1"/>
  <c r="K1557" i="1"/>
  <c r="CX1557" i="1"/>
  <c r="CV1557" i="1"/>
  <c r="CU1557" i="1"/>
  <c r="I1557" i="1"/>
  <c r="BI1557" i="1"/>
  <c r="BH1557" i="1"/>
  <c r="CY3201" i="1"/>
  <c r="K3201" i="1"/>
  <c r="CX3201" i="1"/>
  <c r="CU3201" i="1"/>
  <c r="I3201" i="1"/>
  <c r="CT3201" i="1"/>
  <c r="BI3201" i="1"/>
  <c r="BH3201" i="1"/>
  <c r="DE1558" i="1"/>
  <c r="CY1558" i="1"/>
  <c r="K1558" i="1"/>
  <c r="CX1558" i="1"/>
  <c r="CV1558" i="1"/>
  <c r="CU1558" i="1"/>
  <c r="I1558" i="1"/>
  <c r="BI1558" i="1"/>
  <c r="BH1558" i="1"/>
  <c r="DE1916" i="1"/>
  <c r="CY1916" i="1"/>
  <c r="K1916" i="1"/>
  <c r="CX1916" i="1"/>
  <c r="CV1916" i="1"/>
  <c r="CU1916" i="1"/>
  <c r="I1916" i="1"/>
  <c r="BI1916" i="1"/>
  <c r="BH1916" i="1"/>
  <c r="DE1559" i="1"/>
  <c r="CY1559" i="1"/>
  <c r="K1559" i="1"/>
  <c r="CX1559" i="1"/>
  <c r="CV1559" i="1"/>
  <c r="CU1559" i="1"/>
  <c r="I1559" i="1"/>
  <c r="BI1559" i="1"/>
  <c r="BH1559" i="1"/>
  <c r="DE1793" i="1"/>
  <c r="CY1793" i="1"/>
  <c r="K1793" i="1"/>
  <c r="CX1793" i="1"/>
  <c r="CV1793" i="1"/>
  <c r="CU1793" i="1"/>
  <c r="I1793" i="1"/>
  <c r="BI1793" i="1"/>
  <c r="BH1793" i="1"/>
  <c r="DE1560" i="1"/>
  <c r="CY1560" i="1"/>
  <c r="K1560" i="1"/>
  <c r="CX1560" i="1"/>
  <c r="CV1560" i="1"/>
  <c r="CU1560" i="1"/>
  <c r="I1560" i="1"/>
  <c r="BI1560" i="1"/>
  <c r="BH1560" i="1"/>
  <c r="DE1783" i="1"/>
  <c r="CY1783" i="1"/>
  <c r="K1783" i="1"/>
  <c r="CX1783" i="1"/>
  <c r="CV1783" i="1"/>
  <c r="CU1783" i="1"/>
  <c r="I1783" i="1"/>
  <c r="BI1783" i="1"/>
  <c r="BH1783" i="1"/>
  <c r="DE744" i="1"/>
  <c r="CY744" i="1"/>
  <c r="K744" i="1"/>
  <c r="CX744" i="1"/>
  <c r="CV744" i="1"/>
  <c r="CU744" i="1"/>
  <c r="I744" i="1"/>
  <c r="BI744" i="1"/>
  <c r="BH744" i="1"/>
  <c r="DE1561" i="1"/>
  <c r="CY1561" i="1"/>
  <c r="K1561" i="1"/>
  <c r="CX1561" i="1"/>
  <c r="CV1561" i="1"/>
  <c r="CU1561" i="1"/>
  <c r="I1561" i="1"/>
  <c r="BI1561" i="1"/>
  <c r="BH1561" i="1"/>
  <c r="DE1787" i="1"/>
  <c r="CY1787" i="1"/>
  <c r="K1787" i="1"/>
  <c r="CX1787" i="1"/>
  <c r="CV1787" i="1"/>
  <c r="CU1787" i="1"/>
  <c r="I1787" i="1"/>
  <c r="BI1787" i="1"/>
  <c r="BH1787" i="1"/>
  <c r="DE1562" i="1"/>
  <c r="CY1562" i="1"/>
  <c r="K1562" i="1"/>
  <c r="CX1562" i="1"/>
  <c r="CV1562" i="1"/>
  <c r="CU1562" i="1"/>
  <c r="I1562" i="1"/>
  <c r="BI1562" i="1"/>
  <c r="BH1562" i="1"/>
  <c r="DE1788" i="1"/>
  <c r="CY1788" i="1"/>
  <c r="K1788" i="1"/>
  <c r="CX1788" i="1"/>
  <c r="CV1788" i="1"/>
  <c r="CU1788" i="1"/>
  <c r="I1788" i="1"/>
  <c r="BI1788" i="1"/>
  <c r="BH1788" i="1"/>
  <c r="DE1563" i="1"/>
  <c r="CY1563" i="1"/>
  <c r="K1563" i="1"/>
  <c r="CX1563" i="1"/>
  <c r="CV1563" i="1"/>
  <c r="CU1563" i="1"/>
  <c r="I1563" i="1"/>
  <c r="BI1563" i="1"/>
  <c r="BH1563" i="1"/>
  <c r="DE1564" i="1"/>
  <c r="CY1564" i="1"/>
  <c r="K1564" i="1"/>
  <c r="CX1564" i="1"/>
  <c r="CV1564" i="1"/>
  <c r="CU1564" i="1"/>
  <c r="I1564" i="1"/>
  <c r="BI1564" i="1"/>
  <c r="BH1564" i="1"/>
  <c r="DE1915" i="1"/>
  <c r="CY1915" i="1"/>
  <c r="K1915" i="1"/>
  <c r="CX1915" i="1"/>
  <c r="CV1915" i="1"/>
  <c r="CU1915" i="1"/>
  <c r="I1915" i="1"/>
  <c r="BI1915" i="1"/>
  <c r="BH1915" i="1"/>
  <c r="DE1565" i="1"/>
  <c r="CY1565" i="1"/>
  <c r="K1565" i="1"/>
  <c r="CX1565" i="1"/>
  <c r="CV1565" i="1"/>
  <c r="CU1565" i="1"/>
  <c r="I1565" i="1"/>
  <c r="BI1565" i="1"/>
  <c r="BH1565" i="1"/>
  <c r="DE1799" i="1"/>
  <c r="CY1799" i="1"/>
  <c r="K1799" i="1"/>
  <c r="CX1799" i="1"/>
  <c r="CV1799" i="1"/>
  <c r="CU1799" i="1"/>
  <c r="I1799" i="1"/>
  <c r="BI1799" i="1"/>
  <c r="BH1799" i="1"/>
  <c r="DE1566" i="1"/>
  <c r="CY1566" i="1"/>
  <c r="K1566" i="1"/>
  <c r="CX1566" i="1"/>
  <c r="CV1566" i="1"/>
  <c r="CU1566" i="1"/>
  <c r="I1566" i="1"/>
  <c r="BI1566" i="1"/>
  <c r="BH1566" i="1"/>
  <c r="DE1791" i="1"/>
  <c r="CY1791" i="1"/>
  <c r="K1791" i="1"/>
  <c r="CX1791" i="1"/>
  <c r="CV1791" i="1"/>
  <c r="CU1791" i="1"/>
  <c r="I1791" i="1"/>
  <c r="BI1791" i="1"/>
  <c r="BH1791" i="1"/>
  <c r="DE1706" i="1"/>
  <c r="CY1706" i="1"/>
  <c r="K1706" i="1"/>
  <c r="CX1706" i="1"/>
  <c r="CV1706" i="1"/>
  <c r="CU1706" i="1"/>
  <c r="I1706" i="1"/>
  <c r="BI1706" i="1"/>
  <c r="BH1706" i="1"/>
  <c r="DE1784" i="1"/>
  <c r="CY1784" i="1"/>
  <c r="K1784" i="1"/>
  <c r="CX1784" i="1"/>
  <c r="CV1784" i="1"/>
  <c r="CU1784" i="1"/>
  <c r="I1784" i="1"/>
  <c r="BI1784" i="1"/>
  <c r="BH1784" i="1"/>
  <c r="DE1567" i="1"/>
  <c r="CY1567" i="1"/>
  <c r="K1567" i="1"/>
  <c r="CX1567" i="1"/>
  <c r="CV1567" i="1"/>
  <c r="CU1567" i="1"/>
  <c r="I1567" i="1"/>
  <c r="BI1567" i="1"/>
  <c r="BH1567" i="1"/>
  <c r="DE1568" i="1"/>
  <c r="CY1568" i="1"/>
  <c r="K1568" i="1"/>
  <c r="CX1568" i="1"/>
  <c r="CV1568" i="1"/>
  <c r="CU1568" i="1"/>
  <c r="I1568" i="1"/>
  <c r="BI1568" i="1"/>
  <c r="BH1568" i="1"/>
  <c r="DE1800" i="1"/>
  <c r="CY1800" i="1"/>
  <c r="K1800" i="1"/>
  <c r="CX1800" i="1"/>
  <c r="CV1800" i="1"/>
  <c r="CU1800" i="1"/>
  <c r="I1800" i="1"/>
  <c r="BI1800" i="1"/>
  <c r="BH1800" i="1"/>
  <c r="DE1709" i="1"/>
  <c r="CY1709" i="1"/>
  <c r="K1709" i="1"/>
  <c r="CX1709" i="1"/>
  <c r="CV1709" i="1"/>
  <c r="CU1709" i="1"/>
  <c r="I1709" i="1"/>
  <c r="BI1709" i="1"/>
  <c r="BH1709" i="1"/>
  <c r="DE2569" i="1"/>
  <c r="CY2569" i="1"/>
  <c r="K2569" i="1"/>
  <c r="CX2569" i="1"/>
  <c r="CV2569" i="1"/>
  <c r="CU2569" i="1"/>
  <c r="I2569" i="1"/>
  <c r="BI2569" i="1"/>
  <c r="BH2569" i="1"/>
  <c r="DE2421" i="1"/>
  <c r="CY2421" i="1"/>
  <c r="K2421" i="1"/>
  <c r="CX2421" i="1"/>
  <c r="CV2421" i="1"/>
  <c r="CU2421" i="1"/>
  <c r="I2421" i="1"/>
  <c r="BI2421" i="1"/>
  <c r="BH2421" i="1"/>
  <c r="DE2570" i="1"/>
  <c r="CY2570" i="1"/>
  <c r="K2570" i="1"/>
  <c r="CX2570" i="1"/>
  <c r="CV2570" i="1"/>
  <c r="CU2570" i="1"/>
  <c r="I2570" i="1"/>
  <c r="BI2570" i="1"/>
  <c r="BH2570" i="1"/>
  <c r="DE2420" i="1"/>
  <c r="CY2420" i="1"/>
  <c r="K2420" i="1"/>
  <c r="CX2420" i="1"/>
  <c r="CV2420" i="1"/>
  <c r="CU2420" i="1"/>
  <c r="I2420" i="1"/>
  <c r="BI2420" i="1"/>
  <c r="BH2420" i="1"/>
  <c r="DE3082" i="1"/>
  <c r="CY3082" i="1"/>
  <c r="K3082" i="1"/>
  <c r="CX3082" i="1"/>
  <c r="CV3082" i="1"/>
  <c r="CU3082" i="1"/>
  <c r="I3082" i="1"/>
  <c r="BI3082" i="1"/>
  <c r="BH3082" i="1"/>
  <c r="DE2571" i="1"/>
  <c r="CY2571" i="1"/>
  <c r="K2571" i="1"/>
  <c r="CX2571" i="1"/>
  <c r="CV2571" i="1"/>
  <c r="CU2571" i="1"/>
  <c r="I2571" i="1"/>
  <c r="BI2571" i="1"/>
  <c r="BH2571" i="1"/>
  <c r="DE2572" i="1"/>
  <c r="CY2572" i="1"/>
  <c r="K2572" i="1"/>
  <c r="CX2572" i="1"/>
  <c r="CV2572" i="1"/>
  <c r="CU2572" i="1"/>
  <c r="I2572" i="1"/>
  <c r="BI2572" i="1"/>
  <c r="BH2572" i="1"/>
  <c r="DE3083" i="1"/>
  <c r="CY3083" i="1"/>
  <c r="K3083" i="1"/>
  <c r="CX3083" i="1"/>
  <c r="CV3083" i="1"/>
  <c r="CU3083" i="1"/>
  <c r="I3083" i="1"/>
  <c r="BI3083" i="1"/>
  <c r="BH3083" i="1"/>
  <c r="DE2419" i="1"/>
  <c r="CY2419" i="1"/>
  <c r="K2419" i="1"/>
  <c r="CX2419" i="1"/>
  <c r="CV2419" i="1"/>
  <c r="CU2419" i="1"/>
  <c r="I2419" i="1"/>
  <c r="BI2419" i="1"/>
  <c r="BH2419" i="1"/>
  <c r="DE2418" i="1"/>
  <c r="CY2418" i="1"/>
  <c r="K2418" i="1"/>
  <c r="CX2418" i="1"/>
  <c r="CV2418" i="1"/>
  <c r="CU2418" i="1"/>
  <c r="I2418" i="1"/>
  <c r="BI2418" i="1"/>
  <c r="BH2418" i="1"/>
  <c r="DE2573" i="1"/>
  <c r="CY2573" i="1"/>
  <c r="K2573" i="1"/>
  <c r="CX2573" i="1"/>
  <c r="CV2573" i="1"/>
  <c r="CU2573" i="1"/>
  <c r="I2573" i="1"/>
  <c r="BI2573" i="1"/>
  <c r="BH2573" i="1"/>
  <c r="DE2574" i="1"/>
  <c r="CY2574" i="1"/>
  <c r="K2574" i="1"/>
  <c r="CX2574" i="1"/>
  <c r="CV2574" i="1"/>
  <c r="CU2574" i="1"/>
  <c r="I2574" i="1"/>
  <c r="BI2574" i="1"/>
  <c r="BH2574" i="1"/>
  <c r="DE3084" i="1"/>
  <c r="CY3084" i="1"/>
  <c r="K3084" i="1"/>
  <c r="CX3084" i="1"/>
  <c r="CV3084" i="1"/>
  <c r="CU3084" i="1"/>
  <c r="I3084" i="1"/>
  <c r="BI3084" i="1"/>
  <c r="BH3084" i="1"/>
  <c r="DE2575" i="1"/>
  <c r="CY2575" i="1"/>
  <c r="K2575" i="1"/>
  <c r="CX2575" i="1"/>
  <c r="CV2575" i="1"/>
  <c r="CU2575" i="1"/>
  <c r="I2575" i="1"/>
  <c r="BI2575" i="1"/>
  <c r="BH2575" i="1"/>
  <c r="DE2576" i="1"/>
  <c r="CY2576" i="1"/>
  <c r="K2576" i="1"/>
  <c r="CX2576" i="1"/>
  <c r="CV2576" i="1"/>
  <c r="CU2576" i="1"/>
  <c r="I2576" i="1"/>
  <c r="BI2576" i="1"/>
  <c r="BH2576" i="1"/>
  <c r="DE3085" i="1"/>
  <c r="CY3085" i="1"/>
  <c r="K3085" i="1"/>
  <c r="CX3085" i="1"/>
  <c r="CV3085" i="1"/>
  <c r="CU3085" i="1"/>
  <c r="I3085" i="1"/>
  <c r="BI3085" i="1"/>
  <c r="BH3085" i="1"/>
  <c r="DE2417" i="1"/>
  <c r="CY2417" i="1"/>
  <c r="K2417" i="1"/>
  <c r="CX2417" i="1"/>
  <c r="CV2417" i="1"/>
  <c r="CU2417" i="1"/>
  <c r="I2417" i="1"/>
  <c r="BI2417" i="1"/>
  <c r="BH2417" i="1"/>
  <c r="DE2577" i="1"/>
  <c r="CY2577" i="1"/>
  <c r="K2577" i="1"/>
  <c r="CX2577" i="1"/>
  <c r="CV2577" i="1"/>
  <c r="CU2577" i="1"/>
  <c r="I2577" i="1"/>
  <c r="BI2577" i="1"/>
  <c r="BH2577" i="1"/>
  <c r="DE2416" i="1"/>
  <c r="CY2416" i="1"/>
  <c r="K2416" i="1"/>
  <c r="CX2416" i="1"/>
  <c r="CV2416" i="1"/>
  <c r="CU2416" i="1"/>
  <c r="I2416" i="1"/>
  <c r="BI2416" i="1"/>
  <c r="BH2416" i="1"/>
  <c r="DE2578" i="1"/>
  <c r="CY2578" i="1"/>
  <c r="K2578" i="1"/>
  <c r="CX2578" i="1"/>
  <c r="CV2578" i="1"/>
  <c r="CU2578" i="1"/>
  <c r="I2578" i="1"/>
  <c r="BI2578" i="1"/>
  <c r="BH2578" i="1"/>
  <c r="DE3086" i="1"/>
  <c r="CY3086" i="1"/>
  <c r="K3086" i="1"/>
  <c r="CX3086" i="1"/>
  <c r="CV3086" i="1"/>
  <c r="CU3086" i="1"/>
  <c r="I3086" i="1"/>
  <c r="BI3086" i="1"/>
  <c r="BH3086" i="1"/>
  <c r="DE2579" i="1"/>
  <c r="CY2579" i="1"/>
  <c r="K2579" i="1"/>
  <c r="CX2579" i="1"/>
  <c r="CV2579" i="1"/>
  <c r="CU2579" i="1"/>
  <c r="I2579" i="1"/>
  <c r="BI2579" i="1"/>
  <c r="BH2579" i="1"/>
  <c r="DE2580" i="1"/>
  <c r="CY2580" i="1"/>
  <c r="K2580" i="1"/>
  <c r="CX2580" i="1"/>
  <c r="CV2580" i="1"/>
  <c r="CU2580" i="1"/>
  <c r="I2580" i="1"/>
  <c r="BI2580" i="1"/>
  <c r="BH2580" i="1"/>
  <c r="DE2415" i="1"/>
  <c r="CY2415" i="1"/>
  <c r="K2415" i="1"/>
  <c r="CX2415" i="1"/>
  <c r="CV2415" i="1"/>
  <c r="CU2415" i="1"/>
  <c r="I2415" i="1"/>
  <c r="BI2415" i="1"/>
  <c r="BH2415" i="1"/>
  <c r="DE3087" i="1"/>
  <c r="CY3087" i="1"/>
  <c r="K3087" i="1"/>
  <c r="CX3087" i="1"/>
  <c r="CV3087" i="1"/>
  <c r="CU3087" i="1"/>
  <c r="I3087" i="1"/>
  <c r="BI3087" i="1"/>
  <c r="BH3087" i="1"/>
  <c r="DE2414" i="1"/>
  <c r="CY2414" i="1"/>
  <c r="K2414" i="1"/>
  <c r="CX2414" i="1"/>
  <c r="CV2414" i="1"/>
  <c r="CU2414" i="1"/>
  <c r="I2414" i="1"/>
  <c r="BI2414" i="1"/>
  <c r="BH2414" i="1"/>
  <c r="DE2581" i="1"/>
  <c r="CY2581" i="1"/>
  <c r="K2581" i="1"/>
  <c r="CX2581" i="1"/>
  <c r="CV2581" i="1"/>
  <c r="CU2581" i="1"/>
  <c r="I2581" i="1"/>
  <c r="BI2581" i="1"/>
  <c r="BH2581" i="1"/>
  <c r="DE2582" i="1"/>
  <c r="CY2582" i="1"/>
  <c r="K2582" i="1"/>
  <c r="CX2582" i="1"/>
  <c r="CV2582" i="1"/>
  <c r="CU2582" i="1"/>
  <c r="I2582" i="1"/>
  <c r="BI2582" i="1"/>
  <c r="BH2582" i="1"/>
  <c r="DE3088" i="1"/>
  <c r="CY3088" i="1"/>
  <c r="K3088" i="1"/>
  <c r="CX3088" i="1"/>
  <c r="CV3088" i="1"/>
  <c r="CU3088" i="1"/>
  <c r="I3088" i="1"/>
  <c r="BI3088" i="1"/>
  <c r="BH3088" i="1"/>
  <c r="DE2583" i="1"/>
  <c r="CY2583" i="1"/>
  <c r="K2583" i="1"/>
  <c r="CX2583" i="1"/>
  <c r="CV2583" i="1"/>
  <c r="CU2583" i="1"/>
  <c r="I2583" i="1"/>
  <c r="BI2583" i="1"/>
  <c r="BH2583" i="1"/>
  <c r="DE2584" i="1"/>
  <c r="CY2584" i="1"/>
  <c r="K2584" i="1"/>
  <c r="CX2584" i="1"/>
  <c r="CV2584" i="1"/>
  <c r="CU2584" i="1"/>
  <c r="I2584" i="1"/>
  <c r="BI2584" i="1"/>
  <c r="BH2584" i="1"/>
  <c r="DE2413" i="1"/>
  <c r="CY2413" i="1"/>
  <c r="K2413" i="1"/>
  <c r="CX2413" i="1"/>
  <c r="CV2413" i="1"/>
  <c r="CU2413" i="1"/>
  <c r="I2413" i="1"/>
  <c r="BI2413" i="1"/>
  <c r="BH2413" i="1"/>
  <c r="DE3089" i="1"/>
  <c r="CY3089" i="1"/>
  <c r="K3089" i="1"/>
  <c r="CX3089" i="1"/>
  <c r="CV3089" i="1"/>
  <c r="CU3089" i="1"/>
  <c r="I3089" i="1"/>
  <c r="BI3089" i="1"/>
  <c r="BH3089" i="1"/>
  <c r="DE2412" i="1"/>
  <c r="CY2412" i="1"/>
  <c r="K2412" i="1"/>
  <c r="CX2412" i="1"/>
  <c r="CV2412" i="1"/>
  <c r="CU2412" i="1"/>
  <c r="I2412" i="1"/>
  <c r="BI2412" i="1"/>
  <c r="BH2412" i="1"/>
  <c r="DE2327" i="1"/>
  <c r="CY2327" i="1"/>
  <c r="K2327" i="1"/>
  <c r="CX2327" i="1"/>
  <c r="CV2327" i="1"/>
  <c r="CU2327" i="1"/>
  <c r="I2327" i="1"/>
  <c r="BI2327" i="1"/>
  <c r="BH2327" i="1"/>
  <c r="DE2585" i="1"/>
  <c r="CY2585" i="1"/>
  <c r="K2585" i="1"/>
  <c r="CX2585" i="1"/>
  <c r="CV2585" i="1"/>
  <c r="CU2585" i="1"/>
  <c r="I2585" i="1"/>
  <c r="BI2585" i="1"/>
  <c r="BH2585" i="1"/>
  <c r="DE2586" i="1"/>
  <c r="CY2586" i="1"/>
  <c r="K2586" i="1"/>
  <c r="CX2586" i="1"/>
  <c r="CV2586" i="1"/>
  <c r="CU2586" i="1"/>
  <c r="I2586" i="1"/>
  <c r="BI2586" i="1"/>
  <c r="BH2586" i="1"/>
  <c r="DE3090" i="1"/>
  <c r="CY3090" i="1"/>
  <c r="K3090" i="1"/>
  <c r="CX3090" i="1"/>
  <c r="CV3090" i="1"/>
  <c r="CU3090" i="1"/>
  <c r="I3090" i="1"/>
  <c r="BI3090" i="1"/>
  <c r="BH3090" i="1"/>
  <c r="DE2411" i="1"/>
  <c r="CY2411" i="1"/>
  <c r="K2411" i="1"/>
  <c r="CX2411" i="1"/>
  <c r="CV2411" i="1"/>
  <c r="CU2411" i="1"/>
  <c r="I2411" i="1"/>
  <c r="BI2411" i="1"/>
  <c r="BH2411" i="1"/>
  <c r="DE2587" i="1"/>
  <c r="CY2587" i="1"/>
  <c r="K2587" i="1"/>
  <c r="CX2587" i="1"/>
  <c r="CV2587" i="1"/>
  <c r="CU2587" i="1"/>
  <c r="I2587" i="1"/>
  <c r="BI2587" i="1"/>
  <c r="BH2587" i="1"/>
  <c r="DE2588" i="1"/>
  <c r="CY2588" i="1"/>
  <c r="K2588" i="1"/>
  <c r="CX2588" i="1"/>
  <c r="CV2588" i="1"/>
  <c r="CU2588" i="1"/>
  <c r="I2588" i="1"/>
  <c r="BI2588" i="1"/>
  <c r="BH2588" i="1"/>
  <c r="DE3091" i="1"/>
  <c r="CY3091" i="1"/>
  <c r="K3091" i="1"/>
  <c r="CX3091" i="1"/>
  <c r="CV3091" i="1"/>
  <c r="CU3091" i="1"/>
  <c r="I3091" i="1"/>
  <c r="BI3091" i="1"/>
  <c r="BH3091" i="1"/>
  <c r="DE2589" i="1"/>
  <c r="CY2589" i="1"/>
  <c r="K2589" i="1"/>
  <c r="CX2589" i="1"/>
  <c r="CV2589" i="1"/>
  <c r="CU2589" i="1"/>
  <c r="I2589" i="1"/>
  <c r="BI2589" i="1"/>
  <c r="BH2589" i="1"/>
  <c r="DE2590" i="1"/>
  <c r="CY2590" i="1"/>
  <c r="K2590" i="1"/>
  <c r="CX2590" i="1"/>
  <c r="CV2590" i="1"/>
  <c r="CU2590" i="1"/>
  <c r="I2590" i="1"/>
  <c r="BI2590" i="1"/>
  <c r="BH2590" i="1"/>
  <c r="DE3092" i="1"/>
  <c r="CY3092" i="1"/>
  <c r="K3092" i="1"/>
  <c r="CX3092" i="1"/>
  <c r="CV3092" i="1"/>
  <c r="CU3092" i="1"/>
  <c r="I3092" i="1"/>
  <c r="BI3092" i="1"/>
  <c r="BH3092" i="1"/>
  <c r="DE2410" i="1"/>
  <c r="CY2410" i="1"/>
  <c r="K2410" i="1"/>
  <c r="CX2410" i="1"/>
  <c r="CV2410" i="1"/>
  <c r="CU2410" i="1"/>
  <c r="I2410" i="1"/>
  <c r="BI2410" i="1"/>
  <c r="BH2410" i="1"/>
  <c r="DE2591" i="1"/>
  <c r="CY2591" i="1"/>
  <c r="K2591" i="1"/>
  <c r="CX2591" i="1"/>
  <c r="CV2591" i="1"/>
  <c r="CU2591" i="1"/>
  <c r="I2591" i="1"/>
  <c r="BI2591" i="1"/>
  <c r="BH2591" i="1"/>
  <c r="DE2592" i="1"/>
  <c r="CY2592" i="1"/>
  <c r="K2592" i="1"/>
  <c r="CX2592" i="1"/>
  <c r="CV2592" i="1"/>
  <c r="CU2592" i="1"/>
  <c r="I2592" i="1"/>
  <c r="BI2592" i="1"/>
  <c r="BH2592" i="1"/>
  <c r="DE3093" i="1"/>
  <c r="CY3093" i="1"/>
  <c r="K3093" i="1"/>
  <c r="CX3093" i="1"/>
  <c r="CV3093" i="1"/>
  <c r="CU3093" i="1"/>
  <c r="I3093" i="1"/>
  <c r="BI3093" i="1"/>
  <c r="BH3093" i="1"/>
  <c r="DE2665" i="1"/>
  <c r="CY2665" i="1"/>
  <c r="K2665" i="1"/>
  <c r="CX2665" i="1"/>
  <c r="CV2665" i="1"/>
  <c r="CU2665" i="1"/>
  <c r="I2665" i="1"/>
  <c r="BI2665" i="1"/>
  <c r="BH2665" i="1"/>
  <c r="DE2593" i="1"/>
  <c r="CY2593" i="1"/>
  <c r="K2593" i="1"/>
  <c r="CX2593" i="1"/>
  <c r="CV2593" i="1"/>
  <c r="CU2593" i="1"/>
  <c r="I2593" i="1"/>
  <c r="BI2593" i="1"/>
  <c r="BH2593" i="1"/>
  <c r="DE2594" i="1"/>
  <c r="CY2594" i="1"/>
  <c r="K2594" i="1"/>
  <c r="CX2594" i="1"/>
  <c r="CV2594" i="1"/>
  <c r="CU2594" i="1"/>
  <c r="I2594" i="1"/>
  <c r="BI2594" i="1"/>
  <c r="BH2594" i="1"/>
  <c r="DE3094" i="1"/>
  <c r="CY3094" i="1"/>
  <c r="K3094" i="1"/>
  <c r="CX3094" i="1"/>
  <c r="CV3094" i="1"/>
  <c r="CU3094" i="1"/>
  <c r="I3094" i="1"/>
  <c r="BI3094" i="1"/>
  <c r="BH3094" i="1"/>
  <c r="DE2595" i="1"/>
  <c r="CY2595" i="1"/>
  <c r="K2595" i="1"/>
  <c r="CX2595" i="1"/>
  <c r="CV2595" i="1"/>
  <c r="CU2595" i="1"/>
  <c r="I2595" i="1"/>
  <c r="BI2595" i="1"/>
  <c r="BH2595" i="1"/>
  <c r="DE2596" i="1"/>
  <c r="CY2596" i="1"/>
  <c r="K2596" i="1"/>
  <c r="CX2596" i="1"/>
  <c r="CV2596" i="1"/>
  <c r="CU2596" i="1"/>
  <c r="I2596" i="1"/>
  <c r="BI2596" i="1"/>
  <c r="BH2596" i="1"/>
  <c r="DE3095" i="1"/>
  <c r="CY3095" i="1"/>
  <c r="K3095" i="1"/>
  <c r="CX3095" i="1"/>
  <c r="CV3095" i="1"/>
  <c r="CU3095" i="1"/>
  <c r="I3095" i="1"/>
  <c r="BI3095" i="1"/>
  <c r="BH3095" i="1"/>
  <c r="DE2597" i="1"/>
  <c r="CY2597" i="1"/>
  <c r="K2597" i="1"/>
  <c r="CX2597" i="1"/>
  <c r="CV2597" i="1"/>
  <c r="CU2597" i="1"/>
  <c r="I2597" i="1"/>
  <c r="BI2597" i="1"/>
  <c r="BH2597" i="1"/>
  <c r="DE2598" i="1"/>
  <c r="CY2598" i="1"/>
  <c r="K2598" i="1"/>
  <c r="CX2598" i="1"/>
  <c r="CV2598" i="1"/>
  <c r="CU2598" i="1"/>
  <c r="I2598" i="1"/>
  <c r="BI2598" i="1"/>
  <c r="BH2598" i="1"/>
  <c r="DE3096" i="1"/>
  <c r="CY3096" i="1"/>
  <c r="K3096" i="1"/>
  <c r="CX3096" i="1"/>
  <c r="CV3096" i="1"/>
  <c r="CU3096" i="1"/>
  <c r="I3096" i="1"/>
  <c r="BI3096" i="1"/>
  <c r="BH3096" i="1"/>
  <c r="DE2409" i="1"/>
  <c r="CY2409" i="1"/>
  <c r="K2409" i="1"/>
  <c r="CX2409" i="1"/>
  <c r="CV2409" i="1"/>
  <c r="CU2409" i="1"/>
  <c r="I2409" i="1"/>
  <c r="BI2409" i="1"/>
  <c r="BH2409" i="1"/>
  <c r="DE2599" i="1"/>
  <c r="CY2599" i="1"/>
  <c r="K2599" i="1"/>
  <c r="CX2599" i="1"/>
  <c r="CV2599" i="1"/>
  <c r="CU2599" i="1"/>
  <c r="I2599" i="1"/>
  <c r="BI2599" i="1"/>
  <c r="BH2599" i="1"/>
  <c r="DE2600" i="1"/>
  <c r="CY2600" i="1"/>
  <c r="K2600" i="1"/>
  <c r="CX2600" i="1"/>
  <c r="CV2600" i="1"/>
  <c r="CU2600" i="1"/>
  <c r="I2600" i="1"/>
  <c r="BI2600" i="1"/>
  <c r="BH2600" i="1"/>
  <c r="DE2408" i="1"/>
  <c r="CY2408" i="1"/>
  <c r="K2408" i="1"/>
  <c r="CX2408" i="1"/>
  <c r="CV2408" i="1"/>
  <c r="CU2408" i="1"/>
  <c r="I2408" i="1"/>
  <c r="BI2408" i="1"/>
  <c r="BH2408" i="1"/>
  <c r="DE3097" i="1"/>
  <c r="CY3097" i="1"/>
  <c r="K3097" i="1"/>
  <c r="CX3097" i="1"/>
  <c r="CV3097" i="1"/>
  <c r="CU3097" i="1"/>
  <c r="I3097" i="1"/>
  <c r="BI3097" i="1"/>
  <c r="BH3097" i="1"/>
  <c r="DE2666" i="1"/>
  <c r="CY2666" i="1"/>
  <c r="K2666" i="1"/>
  <c r="CX2666" i="1"/>
  <c r="CV2666" i="1"/>
  <c r="CU2666" i="1"/>
  <c r="I2666" i="1"/>
  <c r="BI2666" i="1"/>
  <c r="BH2666" i="1"/>
  <c r="DE2601" i="1"/>
  <c r="CY2601" i="1"/>
  <c r="K2601" i="1"/>
  <c r="CX2601" i="1"/>
  <c r="CV2601" i="1"/>
  <c r="CU2601" i="1"/>
  <c r="I2601" i="1"/>
  <c r="BI2601" i="1"/>
  <c r="BH2601" i="1"/>
  <c r="DE2602" i="1"/>
  <c r="CY2602" i="1"/>
  <c r="K2602" i="1"/>
  <c r="CX2602" i="1"/>
  <c r="CV2602" i="1"/>
  <c r="CU2602" i="1"/>
  <c r="I2602" i="1"/>
  <c r="BI2602" i="1"/>
  <c r="BH2602" i="1"/>
  <c r="DE2424" i="1"/>
  <c r="CY2424" i="1"/>
  <c r="K2424" i="1"/>
  <c r="CX2424" i="1"/>
  <c r="CV2424" i="1"/>
  <c r="CU2424" i="1"/>
  <c r="I2424" i="1"/>
  <c r="BI2424" i="1"/>
  <c r="BH2424" i="1"/>
  <c r="DE3098" i="1"/>
  <c r="CY3098" i="1"/>
  <c r="K3098" i="1"/>
  <c r="CX3098" i="1"/>
  <c r="CV3098" i="1"/>
  <c r="CU3098" i="1"/>
  <c r="I3098" i="1"/>
  <c r="BI3098" i="1"/>
  <c r="BH3098" i="1"/>
  <c r="DE2603" i="1"/>
  <c r="CY2603" i="1"/>
  <c r="K2603" i="1"/>
  <c r="CX2603" i="1"/>
  <c r="CV2603" i="1"/>
  <c r="CU2603" i="1"/>
  <c r="I2603" i="1"/>
  <c r="BI2603" i="1"/>
  <c r="BH2603" i="1"/>
  <c r="DE2604" i="1"/>
  <c r="CY2604" i="1"/>
  <c r="K2604" i="1"/>
  <c r="CX2604" i="1"/>
  <c r="CV2604" i="1"/>
  <c r="CU2604" i="1"/>
  <c r="I2604" i="1"/>
  <c r="BI2604" i="1"/>
  <c r="BH2604" i="1"/>
  <c r="DE3099" i="1"/>
  <c r="CY3099" i="1"/>
  <c r="K3099" i="1"/>
  <c r="CX3099" i="1"/>
  <c r="CV3099" i="1"/>
  <c r="CU3099" i="1"/>
  <c r="I3099" i="1"/>
  <c r="BI3099" i="1"/>
  <c r="BH3099" i="1"/>
  <c r="DE2336" i="1"/>
  <c r="CY2336" i="1"/>
  <c r="K2336" i="1"/>
  <c r="CX2336" i="1"/>
  <c r="CV2336" i="1"/>
  <c r="CU2336" i="1"/>
  <c r="I2336" i="1"/>
  <c r="BI2336" i="1"/>
  <c r="BH2336" i="1"/>
  <c r="DE2605" i="1"/>
  <c r="CY2605" i="1"/>
  <c r="K2605" i="1"/>
  <c r="CX2605" i="1"/>
  <c r="CV2605" i="1"/>
  <c r="CU2605" i="1"/>
  <c r="I2605" i="1"/>
  <c r="BI2605" i="1"/>
  <c r="BH2605" i="1"/>
  <c r="DE2606" i="1"/>
  <c r="CY2606" i="1"/>
  <c r="K2606" i="1"/>
  <c r="CX2606" i="1"/>
  <c r="CV2606" i="1"/>
  <c r="CU2606" i="1"/>
  <c r="I2606" i="1"/>
  <c r="BI2606" i="1"/>
  <c r="BH2606" i="1"/>
  <c r="DE3100" i="1"/>
  <c r="CY3100" i="1"/>
  <c r="K3100" i="1"/>
  <c r="CX3100" i="1"/>
  <c r="CV3100" i="1"/>
  <c r="CU3100" i="1"/>
  <c r="I3100" i="1"/>
  <c r="BI3100" i="1"/>
  <c r="BH3100" i="1"/>
  <c r="DE2608" i="1"/>
  <c r="CY2608" i="1"/>
  <c r="K2608" i="1"/>
  <c r="CX2608" i="1"/>
  <c r="CV2608" i="1"/>
  <c r="CU2608" i="1"/>
  <c r="I2608" i="1"/>
  <c r="BI2608" i="1"/>
  <c r="BH2608" i="1"/>
  <c r="DE3102" i="1"/>
  <c r="CY3102" i="1"/>
  <c r="K3102" i="1"/>
  <c r="CX3102" i="1"/>
  <c r="CV3102" i="1"/>
  <c r="CU3102" i="1"/>
  <c r="I3102" i="1"/>
  <c r="BI3102" i="1"/>
  <c r="BH3102" i="1"/>
  <c r="DE3129" i="1"/>
  <c r="CY3129" i="1"/>
  <c r="K3129" i="1"/>
  <c r="CX3129" i="1"/>
  <c r="CV3129" i="1"/>
  <c r="CU3129" i="1"/>
  <c r="I3129" i="1"/>
  <c r="BI3129" i="1"/>
  <c r="BH3129" i="1"/>
  <c r="DE3103" i="1"/>
  <c r="CY3103" i="1"/>
  <c r="K3103" i="1"/>
  <c r="CX3103" i="1"/>
  <c r="CV3103" i="1"/>
  <c r="CU3103" i="1"/>
  <c r="I3103" i="1"/>
  <c r="BI3103" i="1"/>
  <c r="BH3103" i="1"/>
  <c r="DE3104" i="1"/>
  <c r="CY3104" i="1"/>
  <c r="K3104" i="1"/>
  <c r="CX3104" i="1"/>
  <c r="CV3104" i="1"/>
  <c r="CU3104" i="1"/>
  <c r="I3104" i="1"/>
  <c r="BI3104" i="1"/>
  <c r="BH3104" i="1"/>
  <c r="DE2616" i="1"/>
  <c r="CY2616" i="1"/>
  <c r="K2616" i="1"/>
  <c r="CX2616" i="1"/>
  <c r="CV2616" i="1"/>
  <c r="CU2616" i="1"/>
  <c r="I2616" i="1"/>
  <c r="BI2616" i="1"/>
  <c r="BH2616" i="1"/>
  <c r="DE2426" i="1"/>
  <c r="CY2426" i="1"/>
  <c r="K2426" i="1"/>
  <c r="CX2426" i="1"/>
  <c r="CV2426" i="1"/>
  <c r="CU2426" i="1"/>
  <c r="I2426" i="1"/>
  <c r="BI2426" i="1"/>
  <c r="BH2426" i="1"/>
  <c r="DE3106" i="1"/>
  <c r="CY3106" i="1"/>
  <c r="K3106" i="1"/>
  <c r="CX3106" i="1"/>
  <c r="CV3106" i="1"/>
  <c r="CU3106" i="1"/>
  <c r="I3106" i="1"/>
  <c r="BI3106" i="1"/>
  <c r="BH3106" i="1"/>
  <c r="DE2427" i="1"/>
  <c r="CY2427" i="1"/>
  <c r="K2427" i="1"/>
  <c r="CX2427" i="1"/>
  <c r="CV2427" i="1"/>
  <c r="CU2427" i="1"/>
  <c r="I2427" i="1"/>
  <c r="BI2427" i="1"/>
  <c r="BH2427" i="1"/>
  <c r="DE2407" i="1"/>
  <c r="CY2407" i="1"/>
  <c r="K2407" i="1"/>
  <c r="CX2407" i="1"/>
  <c r="CV2407" i="1"/>
  <c r="CU2407" i="1"/>
  <c r="I2407" i="1"/>
  <c r="BI2407" i="1"/>
  <c r="BH2407" i="1"/>
  <c r="DE2663" i="1"/>
  <c r="CY2663" i="1"/>
  <c r="K2663" i="1"/>
  <c r="CX2663" i="1"/>
  <c r="CV2663" i="1"/>
  <c r="CU2663" i="1"/>
  <c r="I2663" i="1"/>
  <c r="BI2663" i="1"/>
  <c r="BH2663" i="1"/>
  <c r="DE2620" i="1"/>
  <c r="CY2620" i="1"/>
  <c r="K2620" i="1"/>
  <c r="CX2620" i="1"/>
  <c r="CV2620" i="1"/>
  <c r="CU2620" i="1"/>
  <c r="I2620" i="1"/>
  <c r="BI2620" i="1"/>
  <c r="BH2620" i="1"/>
  <c r="DE2428" i="1"/>
  <c r="CY2428" i="1"/>
  <c r="K2428" i="1"/>
  <c r="CX2428" i="1"/>
  <c r="CV2428" i="1"/>
  <c r="CU2428" i="1"/>
  <c r="I2428" i="1"/>
  <c r="BI2428" i="1"/>
  <c r="BH2428" i="1"/>
  <c r="DE3109" i="1"/>
  <c r="CY3109" i="1"/>
  <c r="K3109" i="1"/>
  <c r="CX3109" i="1"/>
  <c r="CV3109" i="1"/>
  <c r="CU3109" i="1"/>
  <c r="I3109" i="1"/>
  <c r="BI3109" i="1"/>
  <c r="BH3109" i="1"/>
  <c r="DE2429" i="1"/>
  <c r="CY2429" i="1"/>
  <c r="K2429" i="1"/>
  <c r="CX2429" i="1"/>
  <c r="CV2429" i="1"/>
  <c r="CU2429" i="1"/>
  <c r="I2429" i="1"/>
  <c r="BI2429" i="1"/>
  <c r="BH2429" i="1"/>
  <c r="DE3108" i="1"/>
  <c r="CY3108" i="1"/>
  <c r="K3108" i="1"/>
  <c r="CX3108" i="1"/>
  <c r="CV3108" i="1"/>
  <c r="CU3108" i="1"/>
  <c r="I3108" i="1"/>
  <c r="BI3108" i="1"/>
  <c r="BH3108" i="1"/>
  <c r="DE2622" i="1"/>
  <c r="CY2622" i="1"/>
  <c r="K2622" i="1"/>
  <c r="CX2622" i="1"/>
  <c r="CV2622" i="1"/>
  <c r="CU2622" i="1"/>
  <c r="I2622" i="1"/>
  <c r="BI2622" i="1"/>
  <c r="BH2622" i="1"/>
  <c r="DE2406" i="1"/>
  <c r="CY2406" i="1"/>
  <c r="K2406" i="1"/>
  <c r="CX2406" i="1"/>
  <c r="CV2406" i="1"/>
  <c r="CU2406" i="1"/>
  <c r="I2406" i="1"/>
  <c r="BI2406" i="1"/>
  <c r="BH2406" i="1"/>
  <c r="DE2611" i="1"/>
  <c r="CY2611" i="1"/>
  <c r="K2611" i="1"/>
  <c r="CX2611" i="1"/>
  <c r="CV2611" i="1"/>
  <c r="CU2611" i="1"/>
  <c r="I2611" i="1"/>
  <c r="BI2611" i="1"/>
  <c r="BH2611" i="1"/>
  <c r="DE2623" i="1"/>
  <c r="CY2623" i="1"/>
  <c r="K2623" i="1"/>
  <c r="CX2623" i="1"/>
  <c r="CV2623" i="1"/>
  <c r="CU2623" i="1"/>
  <c r="I2623" i="1"/>
  <c r="BI2623" i="1"/>
  <c r="BH2623" i="1"/>
  <c r="DE2430" i="1"/>
  <c r="CY2430" i="1"/>
  <c r="K2430" i="1"/>
  <c r="CX2430" i="1"/>
  <c r="CV2430" i="1"/>
  <c r="CU2430" i="1"/>
  <c r="I2430" i="1"/>
  <c r="BI2430" i="1"/>
  <c r="BH2430" i="1"/>
  <c r="DE2612" i="1"/>
  <c r="CY2612" i="1"/>
  <c r="K2612" i="1"/>
  <c r="CX2612" i="1"/>
  <c r="CV2612" i="1"/>
  <c r="CU2612" i="1"/>
  <c r="I2612" i="1"/>
  <c r="BI2612" i="1"/>
  <c r="BH2612" i="1"/>
  <c r="DE2431" i="1"/>
  <c r="CY2431" i="1"/>
  <c r="K2431" i="1"/>
  <c r="CX2431" i="1"/>
  <c r="CV2431" i="1"/>
  <c r="CU2431" i="1"/>
  <c r="I2431" i="1"/>
  <c r="BI2431" i="1"/>
  <c r="BH2431" i="1"/>
  <c r="DE2624" i="1"/>
  <c r="CY2624" i="1"/>
  <c r="K2624" i="1"/>
  <c r="CX2624" i="1"/>
  <c r="CV2624" i="1"/>
  <c r="CU2624" i="1"/>
  <c r="I2624" i="1"/>
  <c r="BI2624" i="1"/>
  <c r="BH2624" i="1"/>
  <c r="DE3110" i="1"/>
  <c r="CY3110" i="1"/>
  <c r="K3110" i="1"/>
  <c r="CX3110" i="1"/>
  <c r="CV3110" i="1"/>
  <c r="CU3110" i="1"/>
  <c r="I3110" i="1"/>
  <c r="BI3110" i="1"/>
  <c r="BH3110" i="1"/>
  <c r="DE3111" i="1"/>
  <c r="CY3111" i="1"/>
  <c r="K3111" i="1"/>
  <c r="CX3111" i="1"/>
  <c r="CV3111" i="1"/>
  <c r="CU3111" i="1"/>
  <c r="I3111" i="1"/>
  <c r="BI3111" i="1"/>
  <c r="BH3111" i="1"/>
  <c r="DE3112" i="1"/>
  <c r="CY3112" i="1"/>
  <c r="K3112" i="1"/>
  <c r="CX3112" i="1"/>
  <c r="CV3112" i="1"/>
  <c r="CU3112" i="1"/>
  <c r="I3112" i="1"/>
  <c r="BI3112" i="1"/>
  <c r="BH3112" i="1"/>
  <c r="DE2632" i="1"/>
  <c r="CY2632" i="1"/>
  <c r="K2632" i="1"/>
  <c r="CX2632" i="1"/>
  <c r="CV2632" i="1"/>
  <c r="CU2632" i="1"/>
  <c r="I2632" i="1"/>
  <c r="BI2632" i="1"/>
  <c r="BH2632" i="1"/>
  <c r="DE2662" i="1"/>
  <c r="CY2662" i="1"/>
  <c r="K2662" i="1"/>
  <c r="CX2662" i="1"/>
  <c r="CV2662" i="1"/>
  <c r="CU2662" i="1"/>
  <c r="I2662" i="1"/>
  <c r="BI2662" i="1"/>
  <c r="BH2662" i="1"/>
  <c r="DE3114" i="1"/>
  <c r="CY3114" i="1"/>
  <c r="K3114" i="1"/>
  <c r="CX3114" i="1"/>
  <c r="CV3114" i="1"/>
  <c r="CU3114" i="1"/>
  <c r="I3114" i="1"/>
  <c r="BI3114" i="1"/>
  <c r="BH3114" i="1"/>
  <c r="DE2636" i="1"/>
  <c r="CY2636" i="1"/>
  <c r="K2636" i="1"/>
  <c r="CX2636" i="1"/>
  <c r="CV2636" i="1"/>
  <c r="CU2636" i="1"/>
  <c r="I2636" i="1"/>
  <c r="BI2636" i="1"/>
  <c r="BH2636" i="1"/>
  <c r="DE3116" i="1"/>
  <c r="CY3116" i="1"/>
  <c r="K3116" i="1"/>
  <c r="CX3116" i="1"/>
  <c r="CV3116" i="1"/>
  <c r="CU3116" i="1"/>
  <c r="I3116" i="1"/>
  <c r="BI3116" i="1"/>
  <c r="BH3116" i="1"/>
  <c r="DE3145" i="1"/>
  <c r="CY3145" i="1"/>
  <c r="K3145" i="1"/>
  <c r="CX3145" i="1"/>
  <c r="CV3145" i="1"/>
  <c r="CU3145" i="1"/>
  <c r="I3145" i="1"/>
  <c r="BI3145" i="1"/>
  <c r="BH3145" i="1"/>
  <c r="DE2640" i="1"/>
  <c r="CY2640" i="1"/>
  <c r="K2640" i="1"/>
  <c r="CX2640" i="1"/>
  <c r="CV2640" i="1"/>
  <c r="CU2640" i="1"/>
  <c r="I2640" i="1"/>
  <c r="BI2640" i="1"/>
  <c r="BH2640" i="1"/>
  <c r="DE2434" i="1"/>
  <c r="CY2434" i="1"/>
  <c r="K2434" i="1"/>
  <c r="CX2434" i="1"/>
  <c r="CV2434" i="1"/>
  <c r="CU2434" i="1"/>
  <c r="I2434" i="1"/>
  <c r="BI2434" i="1"/>
  <c r="BH2434" i="1"/>
  <c r="DE3118" i="1"/>
  <c r="CY3118" i="1"/>
  <c r="K3118" i="1"/>
  <c r="CX3118" i="1"/>
  <c r="CV3118" i="1"/>
  <c r="CU3118" i="1"/>
  <c r="I3118" i="1"/>
  <c r="BI3118" i="1"/>
  <c r="BH3118" i="1"/>
  <c r="DE3119" i="1"/>
  <c r="CY3119" i="1"/>
  <c r="K3119" i="1"/>
  <c r="CX3119" i="1"/>
  <c r="CV3119" i="1"/>
  <c r="CU3119" i="1"/>
  <c r="I3119" i="1"/>
  <c r="BI3119" i="1"/>
  <c r="BH3119" i="1"/>
  <c r="DE3120" i="1"/>
  <c r="CY3120" i="1"/>
  <c r="K3120" i="1"/>
  <c r="CX3120" i="1"/>
  <c r="CV3120" i="1"/>
  <c r="CU3120" i="1"/>
  <c r="I3120" i="1"/>
  <c r="BI3120" i="1"/>
  <c r="BH3120" i="1"/>
  <c r="DE3121" i="1"/>
  <c r="CY3121" i="1"/>
  <c r="K3121" i="1"/>
  <c r="CX3121" i="1"/>
  <c r="CV3121" i="1"/>
  <c r="CU3121" i="1"/>
  <c r="I3121" i="1"/>
  <c r="BI3121" i="1"/>
  <c r="BH3121" i="1"/>
  <c r="DE3122" i="1"/>
  <c r="CY3122" i="1"/>
  <c r="K3122" i="1"/>
  <c r="CX3122" i="1"/>
  <c r="CV3122" i="1"/>
  <c r="CU3122" i="1"/>
  <c r="I3122" i="1"/>
  <c r="BI3122" i="1"/>
  <c r="BH3122" i="1"/>
  <c r="DE2405" i="1"/>
  <c r="CY2405" i="1"/>
  <c r="K2405" i="1"/>
  <c r="CX2405" i="1"/>
  <c r="CV2405" i="1"/>
  <c r="CU2405" i="1"/>
  <c r="I2405" i="1"/>
  <c r="BI2405" i="1"/>
  <c r="BH2405" i="1"/>
  <c r="DE3123" i="1"/>
  <c r="CY3123" i="1"/>
  <c r="K3123" i="1"/>
  <c r="CX3123" i="1"/>
  <c r="CV3123" i="1"/>
  <c r="CU3123" i="1"/>
  <c r="I3123" i="1"/>
  <c r="BI3123" i="1"/>
  <c r="BH3123" i="1"/>
  <c r="DE2437" i="1"/>
  <c r="CY2437" i="1"/>
  <c r="K2437" i="1"/>
  <c r="CX2437" i="1"/>
  <c r="CV2437" i="1"/>
  <c r="CU2437" i="1"/>
  <c r="I2437" i="1"/>
  <c r="BI2437" i="1"/>
  <c r="BH2437" i="1"/>
  <c r="DE2661" i="1"/>
  <c r="CY2661" i="1"/>
  <c r="K2661" i="1"/>
  <c r="CX2661" i="1"/>
  <c r="CV2661" i="1"/>
  <c r="CU2661" i="1"/>
  <c r="I2661" i="1"/>
  <c r="BI2661" i="1"/>
  <c r="BH2661" i="1"/>
  <c r="DE3124" i="1"/>
  <c r="CY3124" i="1"/>
  <c r="K3124" i="1"/>
  <c r="CX3124" i="1"/>
  <c r="CV3124" i="1"/>
  <c r="CU3124" i="1"/>
  <c r="I3124" i="1"/>
  <c r="BI3124" i="1"/>
  <c r="BH3124" i="1"/>
  <c r="DE2656" i="1"/>
  <c r="CY2656" i="1"/>
  <c r="K2656" i="1"/>
  <c r="CX2656" i="1"/>
  <c r="CV2656" i="1"/>
  <c r="CU2656" i="1"/>
  <c r="I2656" i="1"/>
  <c r="BI2656" i="1"/>
  <c r="BH2656" i="1"/>
  <c r="DE3126" i="1"/>
  <c r="CY3126" i="1"/>
  <c r="K3126" i="1"/>
  <c r="CX3126" i="1"/>
  <c r="CV3126" i="1"/>
  <c r="CU3126" i="1"/>
  <c r="I3126" i="1"/>
  <c r="BI3126" i="1"/>
  <c r="BH3126" i="1"/>
  <c r="DE2660" i="1"/>
  <c r="CY2660" i="1"/>
  <c r="K2660" i="1"/>
  <c r="CX2660" i="1"/>
  <c r="CV2660" i="1"/>
  <c r="CU2660" i="1"/>
  <c r="I2660" i="1"/>
  <c r="BI2660" i="1"/>
  <c r="BH2660" i="1"/>
  <c r="DE2404" i="1"/>
  <c r="CY2404" i="1"/>
  <c r="K2404" i="1"/>
  <c r="CX2404" i="1"/>
  <c r="CV2404" i="1"/>
  <c r="CU2404" i="1"/>
  <c r="I2404" i="1"/>
  <c r="BI2404" i="1"/>
  <c r="BH2404" i="1"/>
  <c r="DE3128" i="1"/>
  <c r="CY3128" i="1"/>
  <c r="K3128" i="1"/>
  <c r="CX3128" i="1"/>
  <c r="CV3128" i="1"/>
  <c r="CU3128" i="1"/>
  <c r="I3128" i="1"/>
  <c r="BI3128" i="1"/>
  <c r="BH3128" i="1"/>
  <c r="DE2439" i="1"/>
  <c r="CY2439" i="1"/>
  <c r="K2439" i="1"/>
  <c r="CX2439" i="1"/>
  <c r="CV2439" i="1"/>
  <c r="CU2439" i="1"/>
  <c r="I2439" i="1"/>
  <c r="BI2439" i="1"/>
  <c r="BH2439" i="1"/>
  <c r="DE2664" i="1"/>
  <c r="CY2664" i="1"/>
  <c r="K2664" i="1"/>
  <c r="CX2664" i="1"/>
  <c r="CV2664" i="1"/>
  <c r="CU2664" i="1"/>
  <c r="I2664" i="1"/>
  <c r="BI2664" i="1"/>
  <c r="BH2664" i="1"/>
  <c r="DE3130" i="1"/>
  <c r="CY3130" i="1"/>
  <c r="K3130" i="1"/>
  <c r="CX3130" i="1"/>
  <c r="CV3130" i="1"/>
  <c r="CU3130" i="1"/>
  <c r="I3130" i="1"/>
  <c r="BI3130" i="1"/>
  <c r="BH3130" i="1"/>
  <c r="DE2440" i="1"/>
  <c r="CY2440" i="1"/>
  <c r="K2440" i="1"/>
  <c r="CX2440" i="1"/>
  <c r="CV2440" i="1"/>
  <c r="CU2440" i="1"/>
  <c r="I2440" i="1"/>
  <c r="BI2440" i="1"/>
  <c r="BH2440" i="1"/>
  <c r="DE3131" i="1"/>
  <c r="CY3131" i="1"/>
  <c r="K3131" i="1"/>
  <c r="CX3131" i="1"/>
  <c r="CV3131" i="1"/>
  <c r="CU3131" i="1"/>
  <c r="I3131" i="1"/>
  <c r="BI3131" i="1"/>
  <c r="BH3131" i="1"/>
  <c r="DE3132" i="1"/>
  <c r="CY3132" i="1"/>
  <c r="K3132" i="1"/>
  <c r="CX3132" i="1"/>
  <c r="CV3132" i="1"/>
  <c r="CU3132" i="1"/>
  <c r="I3132" i="1"/>
  <c r="BI3132" i="1"/>
  <c r="BH3132" i="1"/>
  <c r="DE3133" i="1"/>
  <c r="CY3133" i="1"/>
  <c r="K3133" i="1"/>
  <c r="CX3133" i="1"/>
  <c r="CV3133" i="1"/>
  <c r="CU3133" i="1"/>
  <c r="I3133" i="1"/>
  <c r="BI3133" i="1"/>
  <c r="BH3133" i="1"/>
  <c r="DE2672" i="1"/>
  <c r="CY2672" i="1"/>
  <c r="K2672" i="1"/>
  <c r="CX2672" i="1"/>
  <c r="CV2672" i="1"/>
  <c r="CU2672" i="1"/>
  <c r="I2672" i="1"/>
  <c r="BI2672" i="1"/>
  <c r="BH2672" i="1"/>
  <c r="DE3134" i="1"/>
  <c r="CY3134" i="1"/>
  <c r="K3134" i="1"/>
  <c r="CX3134" i="1"/>
  <c r="CV3134" i="1"/>
  <c r="CU3134" i="1"/>
  <c r="I3134" i="1"/>
  <c r="BI3134" i="1"/>
  <c r="BH3134" i="1"/>
  <c r="DE2680" i="1"/>
  <c r="CY2680" i="1"/>
  <c r="K2680" i="1"/>
  <c r="CX2680" i="1"/>
  <c r="CV2680" i="1"/>
  <c r="CU2680" i="1"/>
  <c r="I2680" i="1"/>
  <c r="BI2680" i="1"/>
  <c r="BH2680" i="1"/>
  <c r="DE2615" i="1"/>
  <c r="CY2615" i="1"/>
  <c r="K2615" i="1"/>
  <c r="CX2615" i="1"/>
  <c r="CV2615" i="1"/>
  <c r="CU2615" i="1"/>
  <c r="I2615" i="1"/>
  <c r="BI2615" i="1"/>
  <c r="BH2615" i="1"/>
  <c r="DE3138" i="1"/>
  <c r="CY3138" i="1"/>
  <c r="K3138" i="1"/>
  <c r="CX3138" i="1"/>
  <c r="CV3138" i="1"/>
  <c r="CU3138" i="1"/>
  <c r="I3138" i="1"/>
  <c r="BI3138" i="1"/>
  <c r="BH3138" i="1"/>
  <c r="DE2403" i="1"/>
  <c r="CY2403" i="1"/>
  <c r="K2403" i="1"/>
  <c r="CX2403" i="1"/>
  <c r="CV2403" i="1"/>
  <c r="CU2403" i="1"/>
  <c r="I2403" i="1"/>
  <c r="BI2403" i="1"/>
  <c r="BH2403" i="1"/>
  <c r="DE2442" i="1"/>
  <c r="CY2442" i="1"/>
  <c r="K2442" i="1"/>
  <c r="CX2442" i="1"/>
  <c r="CV2442" i="1"/>
  <c r="CU2442" i="1"/>
  <c r="I2442" i="1"/>
  <c r="BI2442" i="1"/>
  <c r="BH2442" i="1"/>
  <c r="DE2682" i="1"/>
  <c r="CY2682" i="1"/>
  <c r="K2682" i="1"/>
  <c r="CX2682" i="1"/>
  <c r="CV2682" i="1"/>
  <c r="CU2682" i="1"/>
  <c r="I2682" i="1"/>
  <c r="BI2682" i="1"/>
  <c r="BH2682" i="1"/>
  <c r="DE2443" i="1"/>
  <c r="CY2443" i="1"/>
  <c r="K2443" i="1"/>
  <c r="CX2443" i="1"/>
  <c r="CV2443" i="1"/>
  <c r="CU2443" i="1"/>
  <c r="I2443" i="1"/>
  <c r="BI2443" i="1"/>
  <c r="BH2443" i="1"/>
  <c r="DE3105" i="1"/>
  <c r="CY3105" i="1"/>
  <c r="K3105" i="1"/>
  <c r="CX3105" i="1"/>
  <c r="CV3105" i="1"/>
  <c r="CU3105" i="1"/>
  <c r="I3105" i="1"/>
  <c r="BI3105" i="1"/>
  <c r="BH3105" i="1"/>
  <c r="DE2610" i="1"/>
  <c r="CY2610" i="1"/>
  <c r="K2610" i="1"/>
  <c r="CX2610" i="1"/>
  <c r="CV2610" i="1"/>
  <c r="CU2610" i="1"/>
  <c r="I2610" i="1"/>
  <c r="BI2610" i="1"/>
  <c r="BH2610" i="1"/>
  <c r="DE2683" i="1"/>
  <c r="CY2683" i="1"/>
  <c r="K2683" i="1"/>
  <c r="CX2683" i="1"/>
  <c r="CV2683" i="1"/>
  <c r="CU2683" i="1"/>
  <c r="I2683" i="1"/>
  <c r="BI2683" i="1"/>
  <c r="BH2683" i="1"/>
  <c r="DE2444" i="1"/>
  <c r="CY2444" i="1"/>
  <c r="K2444" i="1"/>
  <c r="CX2444" i="1"/>
  <c r="CV2444" i="1"/>
  <c r="CU2444" i="1"/>
  <c r="I2444" i="1"/>
  <c r="BI2444" i="1"/>
  <c r="BH2444" i="1"/>
  <c r="DE2659" i="1"/>
  <c r="CY2659" i="1"/>
  <c r="K2659" i="1"/>
  <c r="CX2659" i="1"/>
  <c r="CV2659" i="1"/>
  <c r="CU2659" i="1"/>
  <c r="I2659" i="1"/>
  <c r="BI2659" i="1"/>
  <c r="BH2659" i="1"/>
  <c r="DE2445" i="1"/>
  <c r="CY2445" i="1"/>
  <c r="K2445" i="1"/>
  <c r="CX2445" i="1"/>
  <c r="CV2445" i="1"/>
  <c r="CU2445" i="1"/>
  <c r="I2445" i="1"/>
  <c r="BI2445" i="1"/>
  <c r="BH2445" i="1"/>
  <c r="DE3139" i="1"/>
  <c r="CY3139" i="1"/>
  <c r="K3139" i="1"/>
  <c r="CX3139" i="1"/>
  <c r="CV3139" i="1"/>
  <c r="CU3139" i="1"/>
  <c r="I3139" i="1"/>
  <c r="BI3139" i="1"/>
  <c r="BH3139" i="1"/>
  <c r="DE2684" i="1"/>
  <c r="CY2684" i="1"/>
  <c r="K2684" i="1"/>
  <c r="CX2684" i="1"/>
  <c r="CV2684" i="1"/>
  <c r="CU2684" i="1"/>
  <c r="I2684" i="1"/>
  <c r="BI2684" i="1"/>
  <c r="BH2684" i="1"/>
  <c r="DE2335" i="1"/>
  <c r="CY2335" i="1"/>
  <c r="K2335" i="1"/>
  <c r="CX2335" i="1"/>
  <c r="CV2335" i="1"/>
  <c r="CU2335" i="1"/>
  <c r="I2335" i="1"/>
  <c r="BI2335" i="1"/>
  <c r="BH2335" i="1"/>
  <c r="DE2685" i="1"/>
  <c r="CY2685" i="1"/>
  <c r="K2685" i="1"/>
  <c r="CX2685" i="1"/>
  <c r="CV2685" i="1"/>
  <c r="CU2685" i="1"/>
  <c r="I2685" i="1"/>
  <c r="BI2685" i="1"/>
  <c r="BH2685" i="1"/>
  <c r="DE3140" i="1"/>
  <c r="CY3140" i="1"/>
  <c r="K3140" i="1"/>
  <c r="CX3140" i="1"/>
  <c r="CV3140" i="1"/>
  <c r="CU3140" i="1"/>
  <c r="I3140" i="1"/>
  <c r="BI3140" i="1"/>
  <c r="BH3140" i="1"/>
  <c r="DE2446" i="1"/>
  <c r="CY2446" i="1"/>
  <c r="K2446" i="1"/>
  <c r="CX2446" i="1"/>
  <c r="CV2446" i="1"/>
  <c r="CU2446" i="1"/>
  <c r="I2446" i="1"/>
  <c r="BI2446" i="1"/>
  <c r="BH2446" i="1"/>
  <c r="DE2402" i="1"/>
  <c r="CY2402" i="1"/>
  <c r="K2402" i="1"/>
  <c r="CX2402" i="1"/>
  <c r="CV2402" i="1"/>
  <c r="CU2402" i="1"/>
  <c r="I2402" i="1"/>
  <c r="BI2402" i="1"/>
  <c r="BH2402" i="1"/>
  <c r="DE2447" i="1"/>
  <c r="CY2447" i="1"/>
  <c r="K2447" i="1"/>
  <c r="CX2447" i="1"/>
  <c r="CV2447" i="1"/>
  <c r="CU2447" i="1"/>
  <c r="I2447" i="1"/>
  <c r="BI2447" i="1"/>
  <c r="BH2447" i="1"/>
  <c r="DE2686" i="1"/>
  <c r="CY2686" i="1"/>
  <c r="K2686" i="1"/>
  <c r="CX2686" i="1"/>
  <c r="CV2686" i="1"/>
  <c r="CU2686" i="1"/>
  <c r="I2686" i="1"/>
  <c r="BI2686" i="1"/>
  <c r="BH2686" i="1"/>
  <c r="DE2687" i="1"/>
  <c r="CY2687" i="1"/>
  <c r="K2687" i="1"/>
  <c r="CX2687" i="1"/>
  <c r="CV2687" i="1"/>
  <c r="CU2687" i="1"/>
  <c r="I2687" i="1"/>
  <c r="BI2687" i="1"/>
  <c r="BH2687" i="1"/>
  <c r="DE2688" i="1"/>
  <c r="CY2688" i="1"/>
  <c r="K2688" i="1"/>
  <c r="CX2688" i="1"/>
  <c r="CV2688" i="1"/>
  <c r="CU2688" i="1"/>
  <c r="I2688" i="1"/>
  <c r="BI2688" i="1"/>
  <c r="BH2688" i="1"/>
  <c r="DE2448" i="1"/>
  <c r="CY2448" i="1"/>
  <c r="K2448" i="1"/>
  <c r="CX2448" i="1"/>
  <c r="CV2448" i="1"/>
  <c r="CU2448" i="1"/>
  <c r="I2448" i="1"/>
  <c r="BI2448" i="1"/>
  <c r="BH2448" i="1"/>
  <c r="DE3141" i="1"/>
  <c r="CY3141" i="1"/>
  <c r="K3141" i="1"/>
  <c r="CX3141" i="1"/>
  <c r="CV3141" i="1"/>
  <c r="CU3141" i="1"/>
  <c r="I3141" i="1"/>
  <c r="BI3141" i="1"/>
  <c r="BH3141" i="1"/>
  <c r="DE2449" i="1"/>
  <c r="CY2449" i="1"/>
  <c r="K2449" i="1"/>
  <c r="CX2449" i="1"/>
  <c r="CV2449" i="1"/>
  <c r="CU2449" i="1"/>
  <c r="I2449" i="1"/>
  <c r="BI2449" i="1"/>
  <c r="BH2449" i="1"/>
  <c r="DE2617" i="1"/>
  <c r="CY2617" i="1"/>
  <c r="K2617" i="1"/>
  <c r="CX2617" i="1"/>
  <c r="CV2617" i="1"/>
  <c r="CU2617" i="1"/>
  <c r="I2617" i="1"/>
  <c r="BI2617" i="1"/>
  <c r="BH2617" i="1"/>
  <c r="DE2689" i="1"/>
  <c r="CY2689" i="1"/>
  <c r="K2689" i="1"/>
  <c r="CX2689" i="1"/>
  <c r="CV2689" i="1"/>
  <c r="CU2689" i="1"/>
  <c r="I2689" i="1"/>
  <c r="BI2689" i="1"/>
  <c r="BH2689" i="1"/>
  <c r="DE3142" i="1"/>
  <c r="CY3142" i="1"/>
  <c r="K3142" i="1"/>
  <c r="CX3142" i="1"/>
  <c r="CV3142" i="1"/>
  <c r="CU3142" i="1"/>
  <c r="I3142" i="1"/>
  <c r="BI3142" i="1"/>
  <c r="BH3142" i="1"/>
  <c r="DE2690" i="1"/>
  <c r="CY2690" i="1"/>
  <c r="K2690" i="1"/>
  <c r="CX2690" i="1"/>
  <c r="CV2690" i="1"/>
  <c r="CU2690" i="1"/>
  <c r="I2690" i="1"/>
  <c r="BI2690" i="1"/>
  <c r="BH2690" i="1"/>
  <c r="DE2691" i="1"/>
  <c r="CY2691" i="1"/>
  <c r="K2691" i="1"/>
  <c r="CX2691" i="1"/>
  <c r="CV2691" i="1"/>
  <c r="CU2691" i="1"/>
  <c r="I2691" i="1"/>
  <c r="BI2691" i="1"/>
  <c r="BH2691" i="1"/>
  <c r="DE2450" i="1"/>
  <c r="CY2450" i="1"/>
  <c r="K2450" i="1"/>
  <c r="CX2450" i="1"/>
  <c r="CV2450" i="1"/>
  <c r="CU2450" i="1"/>
  <c r="I2450" i="1"/>
  <c r="BI2450" i="1"/>
  <c r="BH2450" i="1"/>
  <c r="DE2692" i="1"/>
  <c r="CY2692" i="1"/>
  <c r="K2692" i="1"/>
  <c r="CX2692" i="1"/>
  <c r="CV2692" i="1"/>
  <c r="CU2692" i="1"/>
  <c r="I2692" i="1"/>
  <c r="BI2692" i="1"/>
  <c r="BH2692" i="1"/>
  <c r="DE3143" i="1"/>
  <c r="CY3143" i="1"/>
  <c r="K3143" i="1"/>
  <c r="CX3143" i="1"/>
  <c r="CV3143" i="1"/>
  <c r="CU3143" i="1"/>
  <c r="I3143" i="1"/>
  <c r="BI3143" i="1"/>
  <c r="BH3143" i="1"/>
  <c r="DE2351" i="1"/>
  <c r="CY2351" i="1"/>
  <c r="K2351" i="1"/>
  <c r="CX2351" i="1"/>
  <c r="CV2351" i="1"/>
  <c r="CU2351" i="1"/>
  <c r="I2351" i="1"/>
  <c r="BI2351" i="1"/>
  <c r="BH2351" i="1"/>
  <c r="DE2350" i="1"/>
  <c r="CY2350" i="1"/>
  <c r="K2350" i="1"/>
  <c r="CX2350" i="1"/>
  <c r="CV2350" i="1"/>
  <c r="CU2350" i="1"/>
  <c r="I2350" i="1"/>
  <c r="BI2350" i="1"/>
  <c r="BH2350" i="1"/>
  <c r="DE2349" i="1"/>
  <c r="CY2349" i="1"/>
  <c r="K2349" i="1"/>
  <c r="CX2349" i="1"/>
  <c r="CV2349" i="1"/>
  <c r="CU2349" i="1"/>
  <c r="I2349" i="1"/>
  <c r="BI2349" i="1"/>
  <c r="BH2349" i="1"/>
  <c r="DE2693" i="1"/>
  <c r="CY2693" i="1"/>
  <c r="K2693" i="1"/>
  <c r="CX2693" i="1"/>
  <c r="CV2693" i="1"/>
  <c r="CU2693" i="1"/>
  <c r="I2693" i="1"/>
  <c r="BI2693" i="1"/>
  <c r="BH2693" i="1"/>
  <c r="DE2694" i="1"/>
  <c r="CY2694" i="1"/>
  <c r="K2694" i="1"/>
  <c r="CX2694" i="1"/>
  <c r="CV2694" i="1"/>
  <c r="CU2694" i="1"/>
  <c r="I2694" i="1"/>
  <c r="BI2694" i="1"/>
  <c r="BH2694" i="1"/>
  <c r="DE2348" i="1"/>
  <c r="CY2348" i="1"/>
  <c r="K2348" i="1"/>
  <c r="CX2348" i="1"/>
  <c r="CV2348" i="1"/>
  <c r="CU2348" i="1"/>
  <c r="I2348" i="1"/>
  <c r="BI2348" i="1"/>
  <c r="BH2348" i="1"/>
  <c r="DE3144" i="1"/>
  <c r="CY3144" i="1"/>
  <c r="K3144" i="1"/>
  <c r="CX3144" i="1"/>
  <c r="CV3144" i="1"/>
  <c r="CU3144" i="1"/>
  <c r="I3144" i="1"/>
  <c r="BI3144" i="1"/>
  <c r="BH3144" i="1"/>
  <c r="DE2696" i="1"/>
  <c r="CY2696" i="1"/>
  <c r="K2696" i="1"/>
  <c r="CX2696" i="1"/>
  <c r="CV2696" i="1"/>
  <c r="CU2696" i="1"/>
  <c r="I2696" i="1"/>
  <c r="BI2696" i="1"/>
  <c r="BH2696" i="1"/>
  <c r="DE2697" i="1"/>
  <c r="CY2697" i="1"/>
  <c r="K2697" i="1"/>
  <c r="CX2697" i="1"/>
  <c r="CV2697" i="1"/>
  <c r="CU2697" i="1"/>
  <c r="I2697" i="1"/>
  <c r="BI2697" i="1"/>
  <c r="BH2697" i="1"/>
  <c r="DE3146" i="1"/>
  <c r="CY3146" i="1"/>
  <c r="K3146" i="1"/>
  <c r="CX3146" i="1"/>
  <c r="CV3146" i="1"/>
  <c r="CU3146" i="1"/>
  <c r="I3146" i="1"/>
  <c r="BI3146" i="1"/>
  <c r="BH3146" i="1"/>
  <c r="DE2453" i="1"/>
  <c r="CY2453" i="1"/>
  <c r="K2453" i="1"/>
  <c r="CX2453" i="1"/>
  <c r="CV2453" i="1"/>
  <c r="CU2453" i="1"/>
  <c r="I2453" i="1"/>
  <c r="BI2453" i="1"/>
  <c r="BH2453" i="1"/>
  <c r="DE2698" i="1"/>
  <c r="CY2698" i="1"/>
  <c r="K2698" i="1"/>
  <c r="CX2698" i="1"/>
  <c r="CV2698" i="1"/>
  <c r="CU2698" i="1"/>
  <c r="I2698" i="1"/>
  <c r="BI2698" i="1"/>
  <c r="BH2698" i="1"/>
  <c r="DE2699" i="1"/>
  <c r="CY2699" i="1"/>
  <c r="K2699" i="1"/>
  <c r="CX2699" i="1"/>
  <c r="CV2699" i="1"/>
  <c r="CU2699" i="1"/>
  <c r="I2699" i="1"/>
  <c r="BI2699" i="1"/>
  <c r="BH2699" i="1"/>
  <c r="DE2700" i="1"/>
  <c r="CY2700" i="1"/>
  <c r="K2700" i="1"/>
  <c r="CX2700" i="1"/>
  <c r="CV2700" i="1"/>
  <c r="CU2700" i="1"/>
  <c r="I2700" i="1"/>
  <c r="BI2700" i="1"/>
  <c r="BH2700" i="1"/>
  <c r="DE3147" i="1"/>
  <c r="CY3147" i="1"/>
  <c r="K3147" i="1"/>
  <c r="CX3147" i="1"/>
  <c r="CV3147" i="1"/>
  <c r="CU3147" i="1"/>
  <c r="I3147" i="1"/>
  <c r="BI3147" i="1"/>
  <c r="BH3147" i="1"/>
  <c r="DE2701" i="1"/>
  <c r="CY2701" i="1"/>
  <c r="K2701" i="1"/>
  <c r="CX2701" i="1"/>
  <c r="CV2701" i="1"/>
  <c r="CU2701" i="1"/>
  <c r="I2701" i="1"/>
  <c r="BI2701" i="1"/>
  <c r="BH2701" i="1"/>
  <c r="DE2347" i="1"/>
  <c r="CY2347" i="1"/>
  <c r="K2347" i="1"/>
  <c r="CX2347" i="1"/>
  <c r="CV2347" i="1"/>
  <c r="CU2347" i="1"/>
  <c r="I2347" i="1"/>
  <c r="BI2347" i="1"/>
  <c r="BH2347" i="1"/>
  <c r="DE3148" i="1"/>
  <c r="CY3148" i="1"/>
  <c r="K3148" i="1"/>
  <c r="CX3148" i="1"/>
  <c r="CV3148" i="1"/>
  <c r="CU3148" i="1"/>
  <c r="I3148" i="1"/>
  <c r="BI3148" i="1"/>
  <c r="BH3148" i="1"/>
  <c r="DE2455" i="1"/>
  <c r="CY2455" i="1"/>
  <c r="K2455" i="1"/>
  <c r="CX2455" i="1"/>
  <c r="CV2455" i="1"/>
  <c r="CU2455" i="1"/>
  <c r="I2455" i="1"/>
  <c r="BI2455" i="1"/>
  <c r="BH2455" i="1"/>
  <c r="DE2618" i="1"/>
  <c r="CY2618" i="1"/>
  <c r="K2618" i="1"/>
  <c r="CX2618" i="1"/>
  <c r="CV2618" i="1"/>
  <c r="CU2618" i="1"/>
  <c r="I2618" i="1"/>
  <c r="BI2618" i="1"/>
  <c r="BH2618" i="1"/>
  <c r="DE2702" i="1"/>
  <c r="CY2702" i="1"/>
  <c r="K2702" i="1"/>
  <c r="CX2702" i="1"/>
  <c r="CV2702" i="1"/>
  <c r="CU2702" i="1"/>
  <c r="I2702" i="1"/>
  <c r="BI2702" i="1"/>
  <c r="BH2702" i="1"/>
  <c r="DE2703" i="1"/>
  <c r="CY2703" i="1"/>
  <c r="K2703" i="1"/>
  <c r="CX2703" i="1"/>
  <c r="CV2703" i="1"/>
  <c r="CU2703" i="1"/>
  <c r="I2703" i="1"/>
  <c r="BI2703" i="1"/>
  <c r="BH2703" i="1"/>
  <c r="DE2456" i="1"/>
  <c r="CY2456" i="1"/>
  <c r="K2456" i="1"/>
  <c r="CX2456" i="1"/>
  <c r="CV2456" i="1"/>
  <c r="CU2456" i="1"/>
  <c r="I2456" i="1"/>
  <c r="BI2456" i="1"/>
  <c r="BH2456" i="1"/>
  <c r="DE2704" i="1"/>
  <c r="CY2704" i="1"/>
  <c r="K2704" i="1"/>
  <c r="CX2704" i="1"/>
  <c r="CV2704" i="1"/>
  <c r="CU2704" i="1"/>
  <c r="I2704" i="1"/>
  <c r="BI2704" i="1"/>
  <c r="BH2704" i="1"/>
  <c r="DE2401" i="1"/>
  <c r="CY2401" i="1"/>
  <c r="K2401" i="1"/>
  <c r="CX2401" i="1"/>
  <c r="CV2401" i="1"/>
  <c r="CU2401" i="1"/>
  <c r="I2401" i="1"/>
  <c r="BI2401" i="1"/>
  <c r="BH2401" i="1"/>
  <c r="DE3149" i="1"/>
  <c r="CY3149" i="1"/>
  <c r="K3149" i="1"/>
  <c r="CX3149" i="1"/>
  <c r="CV3149" i="1"/>
  <c r="CU3149" i="1"/>
  <c r="I3149" i="1"/>
  <c r="BI3149" i="1"/>
  <c r="BH3149" i="1"/>
  <c r="DE2619" i="1"/>
  <c r="CY2619" i="1"/>
  <c r="K2619" i="1"/>
  <c r="CX2619" i="1"/>
  <c r="CV2619" i="1"/>
  <c r="CU2619" i="1"/>
  <c r="I2619" i="1"/>
  <c r="BI2619" i="1"/>
  <c r="BH2619" i="1"/>
  <c r="DE2705" i="1"/>
  <c r="CY2705" i="1"/>
  <c r="K2705" i="1"/>
  <c r="CX2705" i="1"/>
  <c r="CV2705" i="1"/>
  <c r="CU2705" i="1"/>
  <c r="I2705" i="1"/>
  <c r="BI2705" i="1"/>
  <c r="BH2705" i="1"/>
  <c r="DE3150" i="1"/>
  <c r="CY3150" i="1"/>
  <c r="K3150" i="1"/>
  <c r="CX3150" i="1"/>
  <c r="CV3150" i="1"/>
  <c r="CU3150" i="1"/>
  <c r="I3150" i="1"/>
  <c r="BI3150" i="1"/>
  <c r="BH3150" i="1"/>
  <c r="DE2706" i="1"/>
  <c r="CY2706" i="1"/>
  <c r="K2706" i="1"/>
  <c r="CX2706" i="1"/>
  <c r="CV2706" i="1"/>
  <c r="CU2706" i="1"/>
  <c r="I2706" i="1"/>
  <c r="BI2706" i="1"/>
  <c r="BH2706" i="1"/>
  <c r="DE2400" i="1"/>
  <c r="CY2400" i="1"/>
  <c r="K2400" i="1"/>
  <c r="CX2400" i="1"/>
  <c r="CV2400" i="1"/>
  <c r="CU2400" i="1"/>
  <c r="I2400" i="1"/>
  <c r="BI2400" i="1"/>
  <c r="BH2400" i="1"/>
  <c r="DE2707" i="1"/>
  <c r="CY2707" i="1"/>
  <c r="K2707" i="1"/>
  <c r="CX2707" i="1"/>
  <c r="CV2707" i="1"/>
  <c r="CU2707" i="1"/>
  <c r="I2707" i="1"/>
  <c r="BI2707" i="1"/>
  <c r="BH2707" i="1"/>
  <c r="DE3151" i="1"/>
  <c r="CY3151" i="1"/>
  <c r="K3151" i="1"/>
  <c r="CX3151" i="1"/>
  <c r="CV3151" i="1"/>
  <c r="CU3151" i="1"/>
  <c r="I3151" i="1"/>
  <c r="BI3151" i="1"/>
  <c r="BH3151" i="1"/>
  <c r="DE2708" i="1"/>
  <c r="CY2708" i="1"/>
  <c r="K2708" i="1"/>
  <c r="CX2708" i="1"/>
  <c r="CV2708" i="1"/>
  <c r="CU2708" i="1"/>
  <c r="I2708" i="1"/>
  <c r="BI2708" i="1"/>
  <c r="BH2708" i="1"/>
  <c r="DE2658" i="1"/>
  <c r="CY2658" i="1"/>
  <c r="K2658" i="1"/>
  <c r="CX2658" i="1"/>
  <c r="CV2658" i="1"/>
  <c r="CU2658" i="1"/>
  <c r="I2658" i="1"/>
  <c r="BI2658" i="1"/>
  <c r="BH2658" i="1"/>
  <c r="DE2458" i="1"/>
  <c r="CY2458" i="1"/>
  <c r="K2458" i="1"/>
  <c r="CX2458" i="1"/>
  <c r="CV2458" i="1"/>
  <c r="CU2458" i="1"/>
  <c r="I2458" i="1"/>
  <c r="BI2458" i="1"/>
  <c r="BH2458" i="1"/>
  <c r="DE2709" i="1"/>
  <c r="CY2709" i="1"/>
  <c r="K2709" i="1"/>
  <c r="CX2709" i="1"/>
  <c r="CV2709" i="1"/>
  <c r="CU2709" i="1"/>
  <c r="I2709" i="1"/>
  <c r="BI2709" i="1"/>
  <c r="BH2709" i="1"/>
  <c r="DE3152" i="1"/>
  <c r="CY3152" i="1"/>
  <c r="K3152" i="1"/>
  <c r="CX3152" i="1"/>
  <c r="CV3152" i="1"/>
  <c r="CU3152" i="1"/>
  <c r="I3152" i="1"/>
  <c r="BI3152" i="1"/>
  <c r="BH3152" i="1"/>
  <c r="DE3107" i="1"/>
  <c r="CY3107" i="1"/>
  <c r="K3107" i="1"/>
  <c r="CX3107" i="1"/>
  <c r="CV3107" i="1"/>
  <c r="CU3107" i="1"/>
  <c r="I3107" i="1"/>
  <c r="BI3107" i="1"/>
  <c r="BH3107" i="1"/>
  <c r="DE2710" i="1"/>
  <c r="CY2710" i="1"/>
  <c r="K2710" i="1"/>
  <c r="CX2710" i="1"/>
  <c r="CV2710" i="1"/>
  <c r="CU2710" i="1"/>
  <c r="I2710" i="1"/>
  <c r="BI2710" i="1"/>
  <c r="BH2710" i="1"/>
  <c r="DE2711" i="1"/>
  <c r="CY2711" i="1"/>
  <c r="K2711" i="1"/>
  <c r="CX2711" i="1"/>
  <c r="CV2711" i="1"/>
  <c r="CU2711" i="1"/>
  <c r="I2711" i="1"/>
  <c r="BI2711" i="1"/>
  <c r="BH2711" i="1"/>
  <c r="DE2712" i="1"/>
  <c r="CY2712" i="1"/>
  <c r="K2712" i="1"/>
  <c r="CX2712" i="1"/>
  <c r="CV2712" i="1"/>
  <c r="CU2712" i="1"/>
  <c r="I2712" i="1"/>
  <c r="BI2712" i="1"/>
  <c r="BH2712" i="1"/>
  <c r="DE3153" i="1"/>
  <c r="CY3153" i="1"/>
  <c r="K3153" i="1"/>
  <c r="CX3153" i="1"/>
  <c r="CV3153" i="1"/>
  <c r="CU3153" i="1"/>
  <c r="I3153" i="1"/>
  <c r="BI3153" i="1"/>
  <c r="BH3153" i="1"/>
  <c r="DE2713" i="1"/>
  <c r="CY2713" i="1"/>
  <c r="K2713" i="1"/>
  <c r="CX2713" i="1"/>
  <c r="CV2713" i="1"/>
  <c r="CU2713" i="1"/>
  <c r="I2713" i="1"/>
  <c r="BI2713" i="1"/>
  <c r="BH2713" i="1"/>
  <c r="DE2399" i="1"/>
  <c r="CY2399" i="1"/>
  <c r="K2399" i="1"/>
  <c r="CX2399" i="1"/>
  <c r="CV2399" i="1"/>
  <c r="CU2399" i="1"/>
  <c r="I2399" i="1"/>
  <c r="BI2399" i="1"/>
  <c r="BH2399" i="1"/>
  <c r="DE3154" i="1"/>
  <c r="CY3154" i="1"/>
  <c r="K3154" i="1"/>
  <c r="CX3154" i="1"/>
  <c r="CV3154" i="1"/>
  <c r="CU3154" i="1"/>
  <c r="I3154" i="1"/>
  <c r="BI3154" i="1"/>
  <c r="BH3154" i="1"/>
  <c r="DE2714" i="1"/>
  <c r="CY2714" i="1"/>
  <c r="K2714" i="1"/>
  <c r="CX2714" i="1"/>
  <c r="CV2714" i="1"/>
  <c r="CU2714" i="1"/>
  <c r="I2714" i="1"/>
  <c r="BI2714" i="1"/>
  <c r="BH2714" i="1"/>
  <c r="DE1937" i="1"/>
  <c r="CY1937" i="1"/>
  <c r="K1937" i="1"/>
  <c r="CX1937" i="1"/>
  <c r="CV1937" i="1"/>
  <c r="CU1937" i="1"/>
  <c r="I1937" i="1"/>
  <c r="BI1937" i="1"/>
  <c r="BH1937" i="1"/>
  <c r="DE2715" i="1"/>
  <c r="CY2715" i="1"/>
  <c r="K2715" i="1"/>
  <c r="CX2715" i="1"/>
  <c r="CV2715" i="1"/>
  <c r="CU2715" i="1"/>
  <c r="I2715" i="1"/>
  <c r="BI2715" i="1"/>
  <c r="BH2715" i="1"/>
  <c r="DE3155" i="1"/>
  <c r="CY3155" i="1"/>
  <c r="K3155" i="1"/>
  <c r="CX3155" i="1"/>
  <c r="CV3155" i="1"/>
  <c r="CU3155" i="1"/>
  <c r="I3155" i="1"/>
  <c r="BI3155" i="1"/>
  <c r="BH3155" i="1"/>
  <c r="DE2716" i="1"/>
  <c r="CY2716" i="1"/>
  <c r="K2716" i="1"/>
  <c r="CX2716" i="1"/>
  <c r="CV2716" i="1"/>
  <c r="CU2716" i="1"/>
  <c r="I2716" i="1"/>
  <c r="BI2716" i="1"/>
  <c r="BH2716" i="1"/>
  <c r="DE2717" i="1"/>
  <c r="CY2717" i="1"/>
  <c r="K2717" i="1"/>
  <c r="CX2717" i="1"/>
  <c r="CV2717" i="1"/>
  <c r="CU2717" i="1"/>
  <c r="I2717" i="1"/>
  <c r="BI2717" i="1"/>
  <c r="BH2717" i="1"/>
  <c r="DE3156" i="1"/>
  <c r="CY3156" i="1"/>
  <c r="K3156" i="1"/>
  <c r="CX3156" i="1"/>
  <c r="CV3156" i="1"/>
  <c r="CU3156" i="1"/>
  <c r="I3156" i="1"/>
  <c r="BI3156" i="1"/>
  <c r="BH3156" i="1"/>
  <c r="DE2718" i="1"/>
  <c r="CY2718" i="1"/>
  <c r="K2718" i="1"/>
  <c r="CX2718" i="1"/>
  <c r="CV2718" i="1"/>
  <c r="CU2718" i="1"/>
  <c r="I2718" i="1"/>
  <c r="BI2718" i="1"/>
  <c r="BH2718" i="1"/>
  <c r="DE2627" i="1"/>
  <c r="CY2627" i="1"/>
  <c r="K2627" i="1"/>
  <c r="CX2627" i="1"/>
  <c r="CV2627" i="1"/>
  <c r="CU2627" i="1"/>
  <c r="I2627" i="1"/>
  <c r="BI2627" i="1"/>
  <c r="BH2627" i="1"/>
  <c r="DE2334" i="1"/>
  <c r="CY2334" i="1"/>
  <c r="K2334" i="1"/>
  <c r="CX2334" i="1"/>
  <c r="CV2334" i="1"/>
  <c r="CU2334" i="1"/>
  <c r="I2334" i="1"/>
  <c r="BI2334" i="1"/>
  <c r="BH2334" i="1"/>
  <c r="DE2398" i="1"/>
  <c r="CY2398" i="1"/>
  <c r="K2398" i="1"/>
  <c r="CX2398" i="1"/>
  <c r="CV2398" i="1"/>
  <c r="CU2398" i="1"/>
  <c r="I2398" i="1"/>
  <c r="BI2398" i="1"/>
  <c r="BH2398" i="1"/>
  <c r="DE2719" i="1"/>
  <c r="CY2719" i="1"/>
  <c r="K2719" i="1"/>
  <c r="CX2719" i="1"/>
  <c r="CV2719" i="1"/>
  <c r="CU2719" i="1"/>
  <c r="I2719" i="1"/>
  <c r="BI2719" i="1"/>
  <c r="BH2719" i="1"/>
  <c r="DE3157" i="1"/>
  <c r="CY3157" i="1"/>
  <c r="K3157" i="1"/>
  <c r="CX3157" i="1"/>
  <c r="CV3157" i="1"/>
  <c r="CU3157" i="1"/>
  <c r="I3157" i="1"/>
  <c r="BI3157" i="1"/>
  <c r="BH3157" i="1"/>
  <c r="DE2720" i="1"/>
  <c r="CY2720" i="1"/>
  <c r="K2720" i="1"/>
  <c r="CX2720" i="1"/>
  <c r="CV2720" i="1"/>
  <c r="CU2720" i="1"/>
  <c r="I2720" i="1"/>
  <c r="BI2720" i="1"/>
  <c r="BH2720" i="1"/>
  <c r="DE2625" i="1"/>
  <c r="CY2625" i="1"/>
  <c r="K2625" i="1"/>
  <c r="CX2625" i="1"/>
  <c r="CV2625" i="1"/>
  <c r="CU2625" i="1"/>
  <c r="I2625" i="1"/>
  <c r="BI2625" i="1"/>
  <c r="BH2625" i="1"/>
  <c r="DE2721" i="1"/>
  <c r="CY2721" i="1"/>
  <c r="K2721" i="1"/>
  <c r="CX2721" i="1"/>
  <c r="CV2721" i="1"/>
  <c r="CU2721" i="1"/>
  <c r="I2721" i="1"/>
  <c r="BI2721" i="1"/>
  <c r="BH2721" i="1"/>
  <c r="DE3158" i="1"/>
  <c r="CY3158" i="1"/>
  <c r="K3158" i="1"/>
  <c r="CX3158" i="1"/>
  <c r="CV3158" i="1"/>
  <c r="CU3158" i="1"/>
  <c r="I3158" i="1"/>
  <c r="BI3158" i="1"/>
  <c r="BH3158" i="1"/>
  <c r="DE2722" i="1"/>
  <c r="CY2722" i="1"/>
  <c r="K2722" i="1"/>
  <c r="CX2722" i="1"/>
  <c r="CV2722" i="1"/>
  <c r="CU2722" i="1"/>
  <c r="I2722" i="1"/>
  <c r="BI2722" i="1"/>
  <c r="BH2722" i="1"/>
  <c r="DE2723" i="1"/>
  <c r="CY2723" i="1"/>
  <c r="K2723" i="1"/>
  <c r="CX2723" i="1"/>
  <c r="CV2723" i="1"/>
  <c r="CU2723" i="1"/>
  <c r="I2723" i="1"/>
  <c r="BI2723" i="1"/>
  <c r="BH2723" i="1"/>
  <c r="DE1929" i="1"/>
  <c r="CY1929" i="1"/>
  <c r="K1929" i="1"/>
  <c r="CX1929" i="1"/>
  <c r="CV1929" i="1"/>
  <c r="CU1929" i="1"/>
  <c r="I1929" i="1"/>
  <c r="BI1929" i="1"/>
  <c r="BH1929" i="1"/>
  <c r="DE3159" i="1"/>
  <c r="CY3159" i="1"/>
  <c r="K3159" i="1"/>
  <c r="CX3159" i="1"/>
  <c r="CV3159" i="1"/>
  <c r="CU3159" i="1"/>
  <c r="I3159" i="1"/>
  <c r="BI3159" i="1"/>
  <c r="BH3159" i="1"/>
  <c r="DE2724" i="1"/>
  <c r="CY2724" i="1"/>
  <c r="K2724" i="1"/>
  <c r="CX2724" i="1"/>
  <c r="CV2724" i="1"/>
  <c r="CU2724" i="1"/>
  <c r="I2724" i="1"/>
  <c r="BI2724" i="1"/>
  <c r="BH2724" i="1"/>
  <c r="DE2725" i="1"/>
  <c r="CY2725" i="1"/>
  <c r="K2725" i="1"/>
  <c r="CX2725" i="1"/>
  <c r="CV2725" i="1"/>
  <c r="CU2725" i="1"/>
  <c r="I2725" i="1"/>
  <c r="BI2725" i="1"/>
  <c r="BH2725" i="1"/>
  <c r="DE2657" i="1"/>
  <c r="CY2657" i="1"/>
  <c r="K2657" i="1"/>
  <c r="CX2657" i="1"/>
  <c r="CV2657" i="1"/>
  <c r="CU2657" i="1"/>
  <c r="I2657" i="1"/>
  <c r="BI2657" i="1"/>
  <c r="BH2657" i="1"/>
  <c r="DE3160" i="1"/>
  <c r="CY3160" i="1"/>
  <c r="K3160" i="1"/>
  <c r="CX3160" i="1"/>
  <c r="CV3160" i="1"/>
  <c r="CU3160" i="1"/>
  <c r="I3160" i="1"/>
  <c r="BI3160" i="1"/>
  <c r="BH3160" i="1"/>
  <c r="DE2726" i="1"/>
  <c r="CY2726" i="1"/>
  <c r="K2726" i="1"/>
  <c r="CX2726" i="1"/>
  <c r="CV2726" i="1"/>
  <c r="CU2726" i="1"/>
  <c r="I2726" i="1"/>
  <c r="BI2726" i="1"/>
  <c r="BH2726" i="1"/>
  <c r="DE2727" i="1"/>
  <c r="CY2727" i="1"/>
  <c r="K2727" i="1"/>
  <c r="CX2727" i="1"/>
  <c r="CV2727" i="1"/>
  <c r="CU2727" i="1"/>
  <c r="I2727" i="1"/>
  <c r="BI2727" i="1"/>
  <c r="BH2727" i="1"/>
  <c r="DE2728" i="1"/>
  <c r="CY2728" i="1"/>
  <c r="K2728" i="1"/>
  <c r="CX2728" i="1"/>
  <c r="CV2728" i="1"/>
  <c r="CU2728" i="1"/>
  <c r="I2728" i="1"/>
  <c r="BI2728" i="1"/>
  <c r="BH2728" i="1"/>
  <c r="DE3161" i="1"/>
  <c r="CY3161" i="1"/>
  <c r="K3161" i="1"/>
  <c r="CX3161" i="1"/>
  <c r="CV3161" i="1"/>
  <c r="CU3161" i="1"/>
  <c r="I3161" i="1"/>
  <c r="BI3161" i="1"/>
  <c r="BH3161" i="1"/>
  <c r="DE2628" i="1"/>
  <c r="CY2628" i="1"/>
  <c r="K2628" i="1"/>
  <c r="CX2628" i="1"/>
  <c r="CV2628" i="1"/>
  <c r="CU2628" i="1"/>
  <c r="I2628" i="1"/>
  <c r="BI2628" i="1"/>
  <c r="BH2628" i="1"/>
  <c r="DE2397" i="1"/>
  <c r="CY2397" i="1"/>
  <c r="K2397" i="1"/>
  <c r="CX2397" i="1"/>
  <c r="CV2397" i="1"/>
  <c r="CU2397" i="1"/>
  <c r="I2397" i="1"/>
  <c r="BI2397" i="1"/>
  <c r="BH2397" i="1"/>
  <c r="DE2655" i="1"/>
  <c r="CY2655" i="1"/>
  <c r="K2655" i="1"/>
  <c r="CX2655" i="1"/>
  <c r="CV2655" i="1"/>
  <c r="CU2655" i="1"/>
  <c r="I2655" i="1"/>
  <c r="BI2655" i="1"/>
  <c r="BH2655" i="1"/>
  <c r="DE2729" i="1"/>
  <c r="CY2729" i="1"/>
  <c r="K2729" i="1"/>
  <c r="CX2729" i="1"/>
  <c r="CV2729" i="1"/>
  <c r="CU2729" i="1"/>
  <c r="I2729" i="1"/>
  <c r="BI2729" i="1"/>
  <c r="BH2729" i="1"/>
  <c r="DE2346" i="1"/>
  <c r="CY2346" i="1"/>
  <c r="K2346" i="1"/>
  <c r="CX2346" i="1"/>
  <c r="CV2346" i="1"/>
  <c r="CU2346" i="1"/>
  <c r="I2346" i="1"/>
  <c r="BI2346" i="1"/>
  <c r="BH2346" i="1"/>
  <c r="DE3162" i="1"/>
  <c r="CY3162" i="1"/>
  <c r="K3162" i="1"/>
  <c r="CX3162" i="1"/>
  <c r="CV3162" i="1"/>
  <c r="CU3162" i="1"/>
  <c r="I3162" i="1"/>
  <c r="BI3162" i="1"/>
  <c r="BH3162" i="1"/>
  <c r="DE2730" i="1"/>
  <c r="CY2730" i="1"/>
  <c r="K2730" i="1"/>
  <c r="CX2730" i="1"/>
  <c r="CV2730" i="1"/>
  <c r="CU2730" i="1"/>
  <c r="I2730" i="1"/>
  <c r="BI2730" i="1"/>
  <c r="BH2730" i="1"/>
  <c r="DE2629" i="1"/>
  <c r="CY2629" i="1"/>
  <c r="K2629" i="1"/>
  <c r="CX2629" i="1"/>
  <c r="CV2629" i="1"/>
  <c r="CU2629" i="1"/>
  <c r="I2629" i="1"/>
  <c r="BI2629" i="1"/>
  <c r="BH2629" i="1"/>
  <c r="DE2152" i="1"/>
  <c r="CY2152" i="1"/>
  <c r="K2152" i="1"/>
  <c r="CX2152" i="1"/>
  <c r="CV2152" i="1"/>
  <c r="CU2152" i="1"/>
  <c r="I2152" i="1"/>
  <c r="BI2152" i="1"/>
  <c r="BH2152" i="1"/>
  <c r="DE2731" i="1"/>
  <c r="CY2731" i="1"/>
  <c r="K2731" i="1"/>
  <c r="CX2731" i="1"/>
  <c r="CV2731" i="1"/>
  <c r="CU2731" i="1"/>
  <c r="I2731" i="1"/>
  <c r="BI2731" i="1"/>
  <c r="BH2731" i="1"/>
  <c r="DE3163" i="1"/>
  <c r="CY3163" i="1"/>
  <c r="K3163" i="1"/>
  <c r="CX3163" i="1"/>
  <c r="CV3163" i="1"/>
  <c r="CU3163" i="1"/>
  <c r="I3163" i="1"/>
  <c r="BI3163" i="1"/>
  <c r="BH3163" i="1"/>
  <c r="DE2732" i="1"/>
  <c r="CY2732" i="1"/>
  <c r="K2732" i="1"/>
  <c r="CX2732" i="1"/>
  <c r="CV2732" i="1"/>
  <c r="CU2732" i="1"/>
  <c r="I2732" i="1"/>
  <c r="BI2732" i="1"/>
  <c r="BH2732" i="1"/>
  <c r="DE2733" i="1"/>
  <c r="CY2733" i="1"/>
  <c r="K2733" i="1"/>
  <c r="CX2733" i="1"/>
  <c r="CV2733" i="1"/>
  <c r="CU2733" i="1"/>
  <c r="I2733" i="1"/>
  <c r="BI2733" i="1"/>
  <c r="BH2733" i="1"/>
  <c r="DE2396" i="1"/>
  <c r="CY2396" i="1"/>
  <c r="K2396" i="1"/>
  <c r="CX2396" i="1"/>
  <c r="CV2396" i="1"/>
  <c r="CU2396" i="1"/>
  <c r="I2396" i="1"/>
  <c r="BI2396" i="1"/>
  <c r="BH2396" i="1"/>
  <c r="DE3164" i="1"/>
  <c r="CY3164" i="1"/>
  <c r="K3164" i="1"/>
  <c r="CX3164" i="1"/>
  <c r="CV3164" i="1"/>
  <c r="CU3164" i="1"/>
  <c r="I3164" i="1"/>
  <c r="BI3164" i="1"/>
  <c r="BH3164" i="1"/>
  <c r="DE2734" i="1"/>
  <c r="CY2734" i="1"/>
  <c r="K2734" i="1"/>
  <c r="CX2734" i="1"/>
  <c r="CV2734" i="1"/>
  <c r="CU2734" i="1"/>
  <c r="I2734" i="1"/>
  <c r="BI2734" i="1"/>
  <c r="BH2734" i="1"/>
  <c r="DE2630" i="1"/>
  <c r="CY2630" i="1"/>
  <c r="K2630" i="1"/>
  <c r="CX2630" i="1"/>
  <c r="CV2630" i="1"/>
  <c r="CU2630" i="1"/>
  <c r="I2630" i="1"/>
  <c r="BI2630" i="1"/>
  <c r="BH2630" i="1"/>
  <c r="DE2735" i="1"/>
  <c r="CY2735" i="1"/>
  <c r="K2735" i="1"/>
  <c r="CX2735" i="1"/>
  <c r="CV2735" i="1"/>
  <c r="CU2735" i="1"/>
  <c r="I2735" i="1"/>
  <c r="BI2735" i="1"/>
  <c r="BH2735" i="1"/>
  <c r="DE2631" i="1"/>
  <c r="CY2631" i="1"/>
  <c r="K2631" i="1"/>
  <c r="CX2631" i="1"/>
  <c r="CV2631" i="1"/>
  <c r="CU2631" i="1"/>
  <c r="I2631" i="1"/>
  <c r="BI2631" i="1"/>
  <c r="BH2631" i="1"/>
  <c r="DE3165" i="1"/>
  <c r="CY3165" i="1"/>
  <c r="K3165" i="1"/>
  <c r="CX3165" i="1"/>
  <c r="CV3165" i="1"/>
  <c r="CU3165" i="1"/>
  <c r="I3165" i="1"/>
  <c r="BI3165" i="1"/>
  <c r="BH3165" i="1"/>
  <c r="DE3113" i="1"/>
  <c r="CY3113" i="1"/>
  <c r="K3113" i="1"/>
  <c r="CX3113" i="1"/>
  <c r="CV3113" i="1"/>
  <c r="CU3113" i="1"/>
  <c r="I3113" i="1"/>
  <c r="BI3113" i="1"/>
  <c r="BH3113" i="1"/>
  <c r="DE2736" i="1"/>
  <c r="CY2736" i="1"/>
  <c r="K2736" i="1"/>
  <c r="CX2736" i="1"/>
  <c r="CV2736" i="1"/>
  <c r="CU2736" i="1"/>
  <c r="I2736" i="1"/>
  <c r="BI2736" i="1"/>
  <c r="BH2736" i="1"/>
  <c r="DE2737" i="1"/>
  <c r="CY2737" i="1"/>
  <c r="K2737" i="1"/>
  <c r="CX2737" i="1"/>
  <c r="CV2737" i="1"/>
  <c r="CU2737" i="1"/>
  <c r="I2737" i="1"/>
  <c r="BI2737" i="1"/>
  <c r="BH2737" i="1"/>
  <c r="DE3166" i="1"/>
  <c r="CY3166" i="1"/>
  <c r="K3166" i="1"/>
  <c r="CX3166" i="1"/>
  <c r="CV3166" i="1"/>
  <c r="CU3166" i="1"/>
  <c r="I3166" i="1"/>
  <c r="BI3166" i="1"/>
  <c r="BH3166" i="1"/>
  <c r="DE2738" i="1"/>
  <c r="CY2738" i="1"/>
  <c r="K2738" i="1"/>
  <c r="CX2738" i="1"/>
  <c r="CV2738" i="1"/>
  <c r="CU2738" i="1"/>
  <c r="I2738" i="1"/>
  <c r="BI2738" i="1"/>
  <c r="BH2738" i="1"/>
  <c r="DE2395" i="1"/>
  <c r="CY2395" i="1"/>
  <c r="K2395" i="1"/>
  <c r="CX2395" i="1"/>
  <c r="CV2395" i="1"/>
  <c r="CU2395" i="1"/>
  <c r="I2395" i="1"/>
  <c r="BI2395" i="1"/>
  <c r="BH2395" i="1"/>
  <c r="DE2222" i="1"/>
  <c r="CY2222" i="1"/>
  <c r="K2222" i="1"/>
  <c r="CX2222" i="1"/>
  <c r="CV2222" i="1"/>
  <c r="CU2222" i="1"/>
  <c r="I2222" i="1"/>
  <c r="BI2222" i="1"/>
  <c r="BH2222" i="1"/>
  <c r="DE2739" i="1"/>
  <c r="CY2739" i="1"/>
  <c r="K2739" i="1"/>
  <c r="CX2739" i="1"/>
  <c r="CV2739" i="1"/>
  <c r="CU2739" i="1"/>
  <c r="I2739" i="1"/>
  <c r="BI2739" i="1"/>
  <c r="BH2739" i="1"/>
  <c r="DE3167" i="1"/>
  <c r="CY3167" i="1"/>
  <c r="K3167" i="1"/>
  <c r="CX3167" i="1"/>
  <c r="CV3167" i="1"/>
  <c r="CU3167" i="1"/>
  <c r="I3167" i="1"/>
  <c r="BI3167" i="1"/>
  <c r="BH3167" i="1"/>
  <c r="DE2394" i="1"/>
  <c r="CY2394" i="1"/>
  <c r="K2394" i="1"/>
  <c r="CX2394" i="1"/>
  <c r="CV2394" i="1"/>
  <c r="CU2394" i="1"/>
  <c r="I2394" i="1"/>
  <c r="BI2394" i="1"/>
  <c r="BH2394" i="1"/>
  <c r="DE2740" i="1"/>
  <c r="CY2740" i="1"/>
  <c r="K2740" i="1"/>
  <c r="CX2740" i="1"/>
  <c r="CV2740" i="1"/>
  <c r="CU2740" i="1"/>
  <c r="I2740" i="1"/>
  <c r="BI2740" i="1"/>
  <c r="BH2740" i="1"/>
  <c r="DE2633" i="1"/>
  <c r="CY2633" i="1"/>
  <c r="K2633" i="1"/>
  <c r="CX2633" i="1"/>
  <c r="CV2633" i="1"/>
  <c r="CU2633" i="1"/>
  <c r="I2633" i="1"/>
  <c r="BI2633" i="1"/>
  <c r="BH2633" i="1"/>
  <c r="DE2741" i="1"/>
  <c r="CY2741" i="1"/>
  <c r="K2741" i="1"/>
  <c r="CX2741" i="1"/>
  <c r="CV2741" i="1"/>
  <c r="CU2741" i="1"/>
  <c r="I2741" i="1"/>
  <c r="BI2741" i="1"/>
  <c r="BH2741" i="1"/>
  <c r="DE2345" i="1"/>
  <c r="CY2345" i="1"/>
  <c r="K2345" i="1"/>
  <c r="CX2345" i="1"/>
  <c r="CV2345" i="1"/>
  <c r="CU2345" i="1"/>
  <c r="I2345" i="1"/>
  <c r="BI2345" i="1"/>
  <c r="BH2345" i="1"/>
  <c r="DE3168" i="1"/>
  <c r="CY3168" i="1"/>
  <c r="K3168" i="1"/>
  <c r="CX3168" i="1"/>
  <c r="CV3168" i="1"/>
  <c r="CU3168" i="1"/>
  <c r="I3168" i="1"/>
  <c r="BI3168" i="1"/>
  <c r="BH3168" i="1"/>
  <c r="DE2742" i="1"/>
  <c r="CY2742" i="1"/>
  <c r="K2742" i="1"/>
  <c r="CX2742" i="1"/>
  <c r="CV2742" i="1"/>
  <c r="CU2742" i="1"/>
  <c r="I2742" i="1"/>
  <c r="BI2742" i="1"/>
  <c r="BH2742" i="1"/>
  <c r="DE2609" i="1"/>
  <c r="CY2609" i="1"/>
  <c r="K2609" i="1"/>
  <c r="CX2609" i="1"/>
  <c r="CV2609" i="1"/>
  <c r="CU2609" i="1"/>
  <c r="I2609" i="1"/>
  <c r="BI2609" i="1"/>
  <c r="BH2609" i="1"/>
  <c r="DE3125" i="1"/>
  <c r="CY3125" i="1"/>
  <c r="K3125" i="1"/>
  <c r="CX3125" i="1"/>
  <c r="CV3125" i="1"/>
  <c r="CU3125" i="1"/>
  <c r="I3125" i="1"/>
  <c r="BI3125" i="1"/>
  <c r="BH3125" i="1"/>
  <c r="DE2743" i="1"/>
  <c r="CY2743" i="1"/>
  <c r="K2743" i="1"/>
  <c r="CX2743" i="1"/>
  <c r="CV2743" i="1"/>
  <c r="CU2743" i="1"/>
  <c r="I2743" i="1"/>
  <c r="BI2743" i="1"/>
  <c r="BH2743" i="1"/>
  <c r="DE2744" i="1"/>
  <c r="CY2744" i="1"/>
  <c r="K2744" i="1"/>
  <c r="CX2744" i="1"/>
  <c r="CV2744" i="1"/>
  <c r="CU2744" i="1"/>
  <c r="I2744" i="1"/>
  <c r="BI2744" i="1"/>
  <c r="BH2744" i="1"/>
  <c r="DE3169" i="1"/>
  <c r="CY3169" i="1"/>
  <c r="K3169" i="1"/>
  <c r="CX3169" i="1"/>
  <c r="CV3169" i="1"/>
  <c r="CU3169" i="1"/>
  <c r="I3169" i="1"/>
  <c r="BI3169" i="1"/>
  <c r="BH3169" i="1"/>
  <c r="DE2745" i="1"/>
  <c r="CY2745" i="1"/>
  <c r="K2745" i="1"/>
  <c r="CX2745" i="1"/>
  <c r="CV2745" i="1"/>
  <c r="CU2745" i="1"/>
  <c r="I2745" i="1"/>
  <c r="BI2745" i="1"/>
  <c r="BH2745" i="1"/>
  <c r="DE3170" i="1"/>
  <c r="CY3170" i="1"/>
  <c r="K3170" i="1"/>
  <c r="CX3170" i="1"/>
  <c r="CV3170" i="1"/>
  <c r="CU3170" i="1"/>
  <c r="I3170" i="1"/>
  <c r="BI3170" i="1"/>
  <c r="BH3170" i="1"/>
  <c r="DE2746" i="1"/>
  <c r="CY2746" i="1"/>
  <c r="K2746" i="1"/>
  <c r="CX2746" i="1"/>
  <c r="CV2746" i="1"/>
  <c r="CU2746" i="1"/>
  <c r="I2746" i="1"/>
  <c r="BI2746" i="1"/>
  <c r="BH2746" i="1"/>
  <c r="DE2343" i="1"/>
  <c r="CY2343" i="1"/>
  <c r="K2343" i="1"/>
  <c r="CX2343" i="1"/>
  <c r="CV2343" i="1"/>
  <c r="CU2343" i="1"/>
  <c r="I2343" i="1"/>
  <c r="BI2343" i="1"/>
  <c r="BH2343" i="1"/>
  <c r="DE2342" i="1"/>
  <c r="CY2342" i="1"/>
  <c r="K2342" i="1"/>
  <c r="CX2342" i="1"/>
  <c r="CV2342" i="1"/>
  <c r="CU2342" i="1"/>
  <c r="I2342" i="1"/>
  <c r="BI2342" i="1"/>
  <c r="BH2342" i="1"/>
  <c r="DE2607" i="1"/>
  <c r="CY2607" i="1"/>
  <c r="K2607" i="1"/>
  <c r="CX2607" i="1"/>
  <c r="CV2607" i="1"/>
  <c r="CU2607" i="1"/>
  <c r="I2607" i="1"/>
  <c r="BI2607" i="1"/>
  <c r="BH2607" i="1"/>
  <c r="DE2747" i="1"/>
  <c r="CY2747" i="1"/>
  <c r="K2747" i="1"/>
  <c r="CX2747" i="1"/>
  <c r="CV2747" i="1"/>
  <c r="CU2747" i="1"/>
  <c r="I2747" i="1"/>
  <c r="BI2747" i="1"/>
  <c r="BH2747" i="1"/>
  <c r="DE3101" i="1"/>
  <c r="CY3101" i="1"/>
  <c r="K3101" i="1"/>
  <c r="CX3101" i="1"/>
  <c r="CV3101" i="1"/>
  <c r="CU3101" i="1"/>
  <c r="I3101" i="1"/>
  <c r="BI3101" i="1"/>
  <c r="BH3101" i="1"/>
  <c r="DE3171" i="1"/>
  <c r="CY3171" i="1"/>
  <c r="K3171" i="1"/>
  <c r="CX3171" i="1"/>
  <c r="CV3171" i="1"/>
  <c r="CU3171" i="1"/>
  <c r="I3171" i="1"/>
  <c r="BI3171" i="1"/>
  <c r="BH3171" i="1"/>
  <c r="DE2748" i="1"/>
  <c r="CY2748" i="1"/>
  <c r="K2748" i="1"/>
  <c r="CX2748" i="1"/>
  <c r="CV2748" i="1"/>
  <c r="CU2748" i="1"/>
  <c r="I2748" i="1"/>
  <c r="BI2748" i="1"/>
  <c r="BH2748" i="1"/>
  <c r="DE1989" i="1"/>
  <c r="CY1989" i="1"/>
  <c r="K1989" i="1"/>
  <c r="CX1989" i="1"/>
  <c r="CV1989" i="1"/>
  <c r="CU1989" i="1"/>
  <c r="I1989" i="1"/>
  <c r="BI1989" i="1"/>
  <c r="BH1989" i="1"/>
  <c r="DE2749" i="1"/>
  <c r="CY2749" i="1"/>
  <c r="K2749" i="1"/>
  <c r="CX2749" i="1"/>
  <c r="CV2749" i="1"/>
  <c r="CU2749" i="1"/>
  <c r="I2749" i="1"/>
  <c r="BI2749" i="1"/>
  <c r="BH2749" i="1"/>
  <c r="DE3172" i="1"/>
  <c r="CY3172" i="1"/>
  <c r="K3172" i="1"/>
  <c r="CX3172" i="1"/>
  <c r="CV3172" i="1"/>
  <c r="CU3172" i="1"/>
  <c r="I3172" i="1"/>
  <c r="BI3172" i="1"/>
  <c r="BH3172" i="1"/>
  <c r="DE2344" i="1"/>
  <c r="CY2344" i="1"/>
  <c r="K2344" i="1"/>
  <c r="CX2344" i="1"/>
  <c r="CV2344" i="1"/>
  <c r="CU2344" i="1"/>
  <c r="I2344" i="1"/>
  <c r="BI2344" i="1"/>
  <c r="BH2344" i="1"/>
  <c r="DE2750" i="1"/>
  <c r="CY2750" i="1"/>
  <c r="K2750" i="1"/>
  <c r="CX2750" i="1"/>
  <c r="CV2750" i="1"/>
  <c r="CU2750" i="1"/>
  <c r="I2750" i="1"/>
  <c r="BI2750" i="1"/>
  <c r="BH2750" i="1"/>
  <c r="DE2751" i="1"/>
  <c r="CY2751" i="1"/>
  <c r="K2751" i="1"/>
  <c r="CX2751" i="1"/>
  <c r="CV2751" i="1"/>
  <c r="CU2751" i="1"/>
  <c r="I2751" i="1"/>
  <c r="BI2751" i="1"/>
  <c r="BH2751" i="1"/>
  <c r="DE2752" i="1"/>
  <c r="CY2752" i="1"/>
  <c r="K2752" i="1"/>
  <c r="CX2752" i="1"/>
  <c r="CV2752" i="1"/>
  <c r="CU2752" i="1"/>
  <c r="I2752" i="1"/>
  <c r="BI2752" i="1"/>
  <c r="BH2752" i="1"/>
  <c r="DE3173" i="1"/>
  <c r="CY3173" i="1"/>
  <c r="K3173" i="1"/>
  <c r="CX3173" i="1"/>
  <c r="CV3173" i="1"/>
  <c r="CU3173" i="1"/>
  <c r="I3173" i="1"/>
  <c r="BI3173" i="1"/>
  <c r="BH3173" i="1"/>
  <c r="DE2613" i="1"/>
  <c r="CY2613" i="1"/>
  <c r="K2613" i="1"/>
  <c r="CX2613" i="1"/>
  <c r="CV2613" i="1"/>
  <c r="CU2613" i="1"/>
  <c r="I2613" i="1"/>
  <c r="BI2613" i="1"/>
  <c r="BH2613" i="1"/>
  <c r="DE2753" i="1"/>
  <c r="CY2753" i="1"/>
  <c r="K2753" i="1"/>
  <c r="CX2753" i="1"/>
  <c r="CV2753" i="1"/>
  <c r="CU2753" i="1"/>
  <c r="I2753" i="1"/>
  <c r="BI2753" i="1"/>
  <c r="BH2753" i="1"/>
  <c r="DE3174" i="1"/>
  <c r="CY3174" i="1"/>
  <c r="K3174" i="1"/>
  <c r="CX3174" i="1"/>
  <c r="CV3174" i="1"/>
  <c r="CU3174" i="1"/>
  <c r="I3174" i="1"/>
  <c r="BI3174" i="1"/>
  <c r="BH3174" i="1"/>
  <c r="DE2754" i="1"/>
  <c r="CY2754" i="1"/>
  <c r="K2754" i="1"/>
  <c r="CX2754" i="1"/>
  <c r="CV2754" i="1"/>
  <c r="CU2754" i="1"/>
  <c r="I2754" i="1"/>
  <c r="BI2754" i="1"/>
  <c r="BH2754" i="1"/>
  <c r="DE2634" i="1"/>
  <c r="CY2634" i="1"/>
  <c r="K2634" i="1"/>
  <c r="CX2634" i="1"/>
  <c r="CV2634" i="1"/>
  <c r="CU2634" i="1"/>
  <c r="I2634" i="1"/>
  <c r="BI2634" i="1"/>
  <c r="BH2634" i="1"/>
  <c r="DE2755" i="1"/>
  <c r="CY2755" i="1"/>
  <c r="K2755" i="1"/>
  <c r="CX2755" i="1"/>
  <c r="CV2755" i="1"/>
  <c r="CU2755" i="1"/>
  <c r="I2755" i="1"/>
  <c r="BI2755" i="1"/>
  <c r="BH2755" i="1"/>
  <c r="DE2756" i="1"/>
  <c r="CY2756" i="1"/>
  <c r="K2756" i="1"/>
  <c r="CX2756" i="1"/>
  <c r="CV2756" i="1"/>
  <c r="CU2756" i="1"/>
  <c r="I2756" i="1"/>
  <c r="BI2756" i="1"/>
  <c r="BH2756" i="1"/>
  <c r="DE1917" i="1"/>
  <c r="CY1917" i="1"/>
  <c r="K1917" i="1"/>
  <c r="CX1917" i="1"/>
  <c r="CV1917" i="1"/>
  <c r="CU1917" i="1"/>
  <c r="I1917" i="1"/>
  <c r="BI1917" i="1"/>
  <c r="BH1917" i="1"/>
  <c r="DE3175" i="1"/>
  <c r="CY3175" i="1"/>
  <c r="K3175" i="1"/>
  <c r="CX3175" i="1"/>
  <c r="CV3175" i="1"/>
  <c r="CU3175" i="1"/>
  <c r="I3175" i="1"/>
  <c r="BI3175" i="1"/>
  <c r="BH3175" i="1"/>
  <c r="DE2757" i="1"/>
  <c r="CY2757" i="1"/>
  <c r="K2757" i="1"/>
  <c r="CX2757" i="1"/>
  <c r="CV2757" i="1"/>
  <c r="CU2757" i="1"/>
  <c r="I2757" i="1"/>
  <c r="BI2757" i="1"/>
  <c r="BH2757" i="1"/>
  <c r="DE1918" i="1"/>
  <c r="CY1918" i="1"/>
  <c r="K1918" i="1"/>
  <c r="CX1918" i="1"/>
  <c r="CV1918" i="1"/>
  <c r="CU1918" i="1"/>
  <c r="I1918" i="1"/>
  <c r="BI1918" i="1"/>
  <c r="BH1918" i="1"/>
  <c r="DE1919" i="1"/>
  <c r="CY1919" i="1"/>
  <c r="K1919" i="1"/>
  <c r="CX1919" i="1"/>
  <c r="CV1919" i="1"/>
  <c r="CU1919" i="1"/>
  <c r="I1919" i="1"/>
  <c r="BI1919" i="1"/>
  <c r="BH1919" i="1"/>
  <c r="DE3176" i="1"/>
  <c r="CY3176" i="1"/>
  <c r="K3176" i="1"/>
  <c r="CX3176" i="1"/>
  <c r="CV3176" i="1"/>
  <c r="CU3176" i="1"/>
  <c r="I3176" i="1"/>
  <c r="BI3176" i="1"/>
  <c r="BH3176" i="1"/>
  <c r="DE1920" i="1"/>
  <c r="CY1920" i="1"/>
  <c r="K1920" i="1"/>
  <c r="CX1920" i="1"/>
  <c r="CV1920" i="1"/>
  <c r="CU1920" i="1"/>
  <c r="I1920" i="1"/>
  <c r="BI1920" i="1"/>
  <c r="BH1920" i="1"/>
  <c r="DE2654" i="1"/>
  <c r="CY2654" i="1"/>
  <c r="K2654" i="1"/>
  <c r="CX2654" i="1"/>
  <c r="CV2654" i="1"/>
  <c r="CU2654" i="1"/>
  <c r="I2654" i="1"/>
  <c r="BI2654" i="1"/>
  <c r="BH2654" i="1"/>
  <c r="DE1921" i="1"/>
  <c r="CY1921" i="1"/>
  <c r="K1921" i="1"/>
  <c r="CX1921" i="1"/>
  <c r="CV1921" i="1"/>
  <c r="CU1921" i="1"/>
  <c r="I1921" i="1"/>
  <c r="BI1921" i="1"/>
  <c r="BH1921" i="1"/>
  <c r="DE2758" i="1"/>
  <c r="CY2758" i="1"/>
  <c r="K2758" i="1"/>
  <c r="CX2758" i="1"/>
  <c r="CV2758" i="1"/>
  <c r="CU2758" i="1"/>
  <c r="I2758" i="1"/>
  <c r="BI2758" i="1"/>
  <c r="BH2758" i="1"/>
  <c r="DE1922" i="1"/>
  <c r="CY1922" i="1"/>
  <c r="K1922" i="1"/>
  <c r="CX1922" i="1"/>
  <c r="CV1922" i="1"/>
  <c r="CU1922" i="1"/>
  <c r="I1922" i="1"/>
  <c r="BI1922" i="1"/>
  <c r="BH1922" i="1"/>
  <c r="DE2393" i="1"/>
  <c r="CY2393" i="1"/>
  <c r="K2393" i="1"/>
  <c r="CX2393" i="1"/>
  <c r="CV2393" i="1"/>
  <c r="CU2393" i="1"/>
  <c r="I2393" i="1"/>
  <c r="BI2393" i="1"/>
  <c r="BH2393" i="1"/>
  <c r="DE2759" i="1"/>
  <c r="CY2759" i="1"/>
  <c r="K2759" i="1"/>
  <c r="CX2759" i="1"/>
  <c r="CV2759" i="1"/>
  <c r="CU2759" i="1"/>
  <c r="I2759" i="1"/>
  <c r="BI2759" i="1"/>
  <c r="BH2759" i="1"/>
  <c r="DE1923" i="1"/>
  <c r="CY1923" i="1"/>
  <c r="K1923" i="1"/>
  <c r="CX1923" i="1"/>
  <c r="CV1923" i="1"/>
  <c r="CU1923" i="1"/>
  <c r="I1923" i="1"/>
  <c r="BI1923" i="1"/>
  <c r="BH1923" i="1"/>
  <c r="DE3177" i="1"/>
  <c r="CY3177" i="1"/>
  <c r="K3177" i="1"/>
  <c r="CX3177" i="1"/>
  <c r="CV3177" i="1"/>
  <c r="CU3177" i="1"/>
  <c r="I3177" i="1"/>
  <c r="BI3177" i="1"/>
  <c r="BH3177" i="1"/>
  <c r="DE1924" i="1"/>
  <c r="CY1924" i="1"/>
  <c r="K1924" i="1"/>
  <c r="CX1924" i="1"/>
  <c r="CV1924" i="1"/>
  <c r="CU1924" i="1"/>
  <c r="I1924" i="1"/>
  <c r="BI1924" i="1"/>
  <c r="BH1924" i="1"/>
  <c r="DE1925" i="1"/>
  <c r="CY1925" i="1"/>
  <c r="K1925" i="1"/>
  <c r="CX1925" i="1"/>
  <c r="CV1925" i="1"/>
  <c r="CU1925" i="1"/>
  <c r="I1925" i="1"/>
  <c r="BI1925" i="1"/>
  <c r="BH1925" i="1"/>
  <c r="DE2392" i="1"/>
  <c r="CY2392" i="1"/>
  <c r="K2392" i="1"/>
  <c r="CX2392" i="1"/>
  <c r="CV2392" i="1"/>
  <c r="CU2392" i="1"/>
  <c r="I2392" i="1"/>
  <c r="BI2392" i="1"/>
  <c r="BH2392" i="1"/>
  <c r="DE2760" i="1"/>
  <c r="CY2760" i="1"/>
  <c r="K2760" i="1"/>
  <c r="CX2760" i="1"/>
  <c r="CV2760" i="1"/>
  <c r="CU2760" i="1"/>
  <c r="I2760" i="1"/>
  <c r="BI2760" i="1"/>
  <c r="BH2760" i="1"/>
  <c r="DE1926" i="1"/>
  <c r="CY1926" i="1"/>
  <c r="K1926" i="1"/>
  <c r="CX1926" i="1"/>
  <c r="CV1926" i="1"/>
  <c r="CU1926" i="1"/>
  <c r="I1926" i="1"/>
  <c r="BI1926" i="1"/>
  <c r="BH1926" i="1"/>
  <c r="DE2761" i="1"/>
  <c r="CY2761" i="1"/>
  <c r="K2761" i="1"/>
  <c r="CX2761" i="1"/>
  <c r="CV2761" i="1"/>
  <c r="CU2761" i="1"/>
  <c r="I2761" i="1"/>
  <c r="BI2761" i="1"/>
  <c r="BH2761" i="1"/>
  <c r="DE1927" i="1"/>
  <c r="CY1927" i="1"/>
  <c r="K1927" i="1"/>
  <c r="CX1927" i="1"/>
  <c r="CV1927" i="1"/>
  <c r="CU1927" i="1"/>
  <c r="I1927" i="1"/>
  <c r="BI1927" i="1"/>
  <c r="BH1927" i="1"/>
  <c r="DE1928" i="1"/>
  <c r="CY1928" i="1"/>
  <c r="K1928" i="1"/>
  <c r="CX1928" i="1"/>
  <c r="CV1928" i="1"/>
  <c r="CU1928" i="1"/>
  <c r="I1928" i="1"/>
  <c r="BI1928" i="1"/>
  <c r="BH1928" i="1"/>
  <c r="DE2762" i="1"/>
  <c r="CY2762" i="1"/>
  <c r="K2762" i="1"/>
  <c r="CX2762" i="1"/>
  <c r="CV2762" i="1"/>
  <c r="CU2762" i="1"/>
  <c r="I2762" i="1"/>
  <c r="BI2762" i="1"/>
  <c r="BH2762" i="1"/>
  <c r="DE1930" i="1"/>
  <c r="CY1930" i="1"/>
  <c r="K1930" i="1"/>
  <c r="CX1930" i="1"/>
  <c r="CV1930" i="1"/>
  <c r="CU1930" i="1"/>
  <c r="I1930" i="1"/>
  <c r="BI1930" i="1"/>
  <c r="BH1930" i="1"/>
  <c r="DE3178" i="1"/>
  <c r="CY3178" i="1"/>
  <c r="K3178" i="1"/>
  <c r="CX3178" i="1"/>
  <c r="CV3178" i="1"/>
  <c r="CU3178" i="1"/>
  <c r="I3178" i="1"/>
  <c r="BI3178" i="1"/>
  <c r="BH3178" i="1"/>
  <c r="DE1931" i="1"/>
  <c r="CY1931" i="1"/>
  <c r="K1931" i="1"/>
  <c r="CX1931" i="1"/>
  <c r="CV1931" i="1"/>
  <c r="CU1931" i="1"/>
  <c r="I1931" i="1"/>
  <c r="BI1931" i="1"/>
  <c r="BH1931" i="1"/>
  <c r="DE2763" i="1"/>
  <c r="CY2763" i="1"/>
  <c r="K2763" i="1"/>
  <c r="CX2763" i="1"/>
  <c r="CV2763" i="1"/>
  <c r="CU2763" i="1"/>
  <c r="I2763" i="1"/>
  <c r="BI2763" i="1"/>
  <c r="BH2763" i="1"/>
  <c r="DE1932" i="1"/>
  <c r="CY1932" i="1"/>
  <c r="K1932" i="1"/>
  <c r="CX1932" i="1"/>
  <c r="CV1932" i="1"/>
  <c r="CU1932" i="1"/>
  <c r="I1932" i="1"/>
  <c r="BI1932" i="1"/>
  <c r="BH1932" i="1"/>
  <c r="DE3179" i="1"/>
  <c r="CY3179" i="1"/>
  <c r="K3179" i="1"/>
  <c r="CX3179" i="1"/>
  <c r="CV3179" i="1"/>
  <c r="CU3179" i="1"/>
  <c r="I3179" i="1"/>
  <c r="BI3179" i="1"/>
  <c r="BH3179" i="1"/>
  <c r="DE1933" i="1"/>
  <c r="CY1933" i="1"/>
  <c r="K1933" i="1"/>
  <c r="CX1933" i="1"/>
  <c r="CV1933" i="1"/>
  <c r="CU1933" i="1"/>
  <c r="I1933" i="1"/>
  <c r="BI1933" i="1"/>
  <c r="BH1933" i="1"/>
  <c r="DE2391" i="1"/>
  <c r="CY2391" i="1"/>
  <c r="K2391" i="1"/>
  <c r="CX2391" i="1"/>
  <c r="CV2391" i="1"/>
  <c r="CU2391" i="1"/>
  <c r="I2391" i="1"/>
  <c r="BI2391" i="1"/>
  <c r="BH2391" i="1"/>
  <c r="DE1934" i="1"/>
  <c r="CY1934" i="1"/>
  <c r="K1934" i="1"/>
  <c r="CX1934" i="1"/>
  <c r="CV1934" i="1"/>
  <c r="CU1934" i="1"/>
  <c r="I1934" i="1"/>
  <c r="BI1934" i="1"/>
  <c r="BH1934" i="1"/>
  <c r="DE2764" i="1"/>
  <c r="CY2764" i="1"/>
  <c r="K2764" i="1"/>
  <c r="CX2764" i="1"/>
  <c r="CV2764" i="1"/>
  <c r="CU2764" i="1"/>
  <c r="I2764" i="1"/>
  <c r="BI2764" i="1"/>
  <c r="BH2764" i="1"/>
  <c r="DE1935" i="1"/>
  <c r="CY1935" i="1"/>
  <c r="K1935" i="1"/>
  <c r="CX1935" i="1"/>
  <c r="CV1935" i="1"/>
  <c r="CU1935" i="1"/>
  <c r="I1935" i="1"/>
  <c r="BI1935" i="1"/>
  <c r="BH1935" i="1"/>
  <c r="DE1936" i="1"/>
  <c r="CY1936" i="1"/>
  <c r="K1936" i="1"/>
  <c r="CX1936" i="1"/>
  <c r="CV1936" i="1"/>
  <c r="CU1936" i="1"/>
  <c r="I1936" i="1"/>
  <c r="BI1936" i="1"/>
  <c r="BH1936" i="1"/>
  <c r="DE2765" i="1"/>
  <c r="CY2765" i="1"/>
  <c r="K2765" i="1"/>
  <c r="CX2765" i="1"/>
  <c r="CV2765" i="1"/>
  <c r="CU2765" i="1"/>
  <c r="I2765" i="1"/>
  <c r="BI2765" i="1"/>
  <c r="BH2765" i="1"/>
  <c r="DE1938" i="1"/>
  <c r="CY1938" i="1"/>
  <c r="K1938" i="1"/>
  <c r="CX1938" i="1"/>
  <c r="CV1938" i="1"/>
  <c r="CU1938" i="1"/>
  <c r="I1938" i="1"/>
  <c r="BI1938" i="1"/>
  <c r="BH1938" i="1"/>
  <c r="DE1939" i="1"/>
  <c r="CY1939" i="1"/>
  <c r="K1939" i="1"/>
  <c r="CX1939" i="1"/>
  <c r="CV1939" i="1"/>
  <c r="CU1939" i="1"/>
  <c r="I1939" i="1"/>
  <c r="BI1939" i="1"/>
  <c r="BH1939" i="1"/>
  <c r="DE2766" i="1"/>
  <c r="CY2766" i="1"/>
  <c r="K2766" i="1"/>
  <c r="CX2766" i="1"/>
  <c r="CV2766" i="1"/>
  <c r="CU2766" i="1"/>
  <c r="I2766" i="1"/>
  <c r="BI2766" i="1"/>
  <c r="BH2766" i="1"/>
  <c r="DE3180" i="1"/>
  <c r="CY3180" i="1"/>
  <c r="K3180" i="1"/>
  <c r="CX3180" i="1"/>
  <c r="CV3180" i="1"/>
  <c r="CU3180" i="1"/>
  <c r="I3180" i="1"/>
  <c r="BI3180" i="1"/>
  <c r="BH3180" i="1"/>
  <c r="DE1940" i="1"/>
  <c r="CY1940" i="1"/>
  <c r="K1940" i="1"/>
  <c r="CX1940" i="1"/>
  <c r="CV1940" i="1"/>
  <c r="CU1940" i="1"/>
  <c r="I1940" i="1"/>
  <c r="BI1940" i="1"/>
  <c r="BH1940" i="1"/>
  <c r="DE1941" i="1"/>
  <c r="CY1941" i="1"/>
  <c r="K1941" i="1"/>
  <c r="CX1941" i="1"/>
  <c r="CV1941" i="1"/>
  <c r="CU1941" i="1"/>
  <c r="I1941" i="1"/>
  <c r="BI1941" i="1"/>
  <c r="BH1941" i="1"/>
  <c r="DE2767" i="1"/>
  <c r="CY2767" i="1"/>
  <c r="K2767" i="1"/>
  <c r="CX2767" i="1"/>
  <c r="CV2767" i="1"/>
  <c r="CU2767" i="1"/>
  <c r="I2767" i="1"/>
  <c r="BI2767" i="1"/>
  <c r="BH2767" i="1"/>
  <c r="DE1942" i="1"/>
  <c r="CY1942" i="1"/>
  <c r="K1942" i="1"/>
  <c r="CX1942" i="1"/>
  <c r="CV1942" i="1"/>
  <c r="CU1942" i="1"/>
  <c r="I1942" i="1"/>
  <c r="BI1942" i="1"/>
  <c r="BH1942" i="1"/>
  <c r="DE1943" i="1"/>
  <c r="CY1943" i="1"/>
  <c r="K1943" i="1"/>
  <c r="CX1943" i="1"/>
  <c r="CV1943" i="1"/>
  <c r="CU1943" i="1"/>
  <c r="I1943" i="1"/>
  <c r="BI1943" i="1"/>
  <c r="BH1943" i="1"/>
  <c r="DE2768" i="1"/>
  <c r="CY2768" i="1"/>
  <c r="K2768" i="1"/>
  <c r="CX2768" i="1"/>
  <c r="CV2768" i="1"/>
  <c r="CU2768" i="1"/>
  <c r="I2768" i="1"/>
  <c r="BI2768" i="1"/>
  <c r="BH2768" i="1"/>
  <c r="DE3181" i="1"/>
  <c r="CY3181" i="1"/>
  <c r="K3181" i="1"/>
  <c r="CX3181" i="1"/>
  <c r="CV3181" i="1"/>
  <c r="CU3181" i="1"/>
  <c r="I3181" i="1"/>
  <c r="BI3181" i="1"/>
  <c r="BH3181" i="1"/>
  <c r="DE1944" i="1"/>
  <c r="CY1944" i="1"/>
  <c r="K1944" i="1"/>
  <c r="CX1944" i="1"/>
  <c r="CV1944" i="1"/>
  <c r="CU1944" i="1"/>
  <c r="I1944" i="1"/>
  <c r="BI1944" i="1"/>
  <c r="BH1944" i="1"/>
  <c r="DE1945" i="1"/>
  <c r="CY1945" i="1"/>
  <c r="K1945" i="1"/>
  <c r="CX1945" i="1"/>
  <c r="CV1945" i="1"/>
  <c r="CU1945" i="1"/>
  <c r="I1945" i="1"/>
  <c r="BI1945" i="1"/>
  <c r="BH1945" i="1"/>
  <c r="DE2769" i="1"/>
  <c r="CY2769" i="1"/>
  <c r="K2769" i="1"/>
  <c r="CX2769" i="1"/>
  <c r="CV2769" i="1"/>
  <c r="CU2769" i="1"/>
  <c r="I2769" i="1"/>
  <c r="BI2769" i="1"/>
  <c r="BH2769" i="1"/>
  <c r="DE1946" i="1"/>
  <c r="CY1946" i="1"/>
  <c r="K1946" i="1"/>
  <c r="CX1946" i="1"/>
  <c r="CV1946" i="1"/>
  <c r="CU1946" i="1"/>
  <c r="I1946" i="1"/>
  <c r="BI1946" i="1"/>
  <c r="BH1946" i="1"/>
  <c r="DE1947" i="1"/>
  <c r="CY1947" i="1"/>
  <c r="K1947" i="1"/>
  <c r="CX1947" i="1"/>
  <c r="CV1947" i="1"/>
  <c r="CU1947" i="1"/>
  <c r="I1947" i="1"/>
  <c r="BI1947" i="1"/>
  <c r="BH1947" i="1"/>
  <c r="DE2770" i="1"/>
  <c r="CY2770" i="1"/>
  <c r="K2770" i="1"/>
  <c r="CX2770" i="1"/>
  <c r="CV2770" i="1"/>
  <c r="CU2770" i="1"/>
  <c r="I2770" i="1"/>
  <c r="BI2770" i="1"/>
  <c r="BH2770" i="1"/>
  <c r="DE3182" i="1"/>
  <c r="CY3182" i="1"/>
  <c r="K3182" i="1"/>
  <c r="CX3182" i="1"/>
  <c r="CV3182" i="1"/>
  <c r="CU3182" i="1"/>
  <c r="I3182" i="1"/>
  <c r="BI3182" i="1"/>
  <c r="BH3182" i="1"/>
  <c r="DE2390" i="1"/>
  <c r="CY2390" i="1"/>
  <c r="K2390" i="1"/>
  <c r="CX2390" i="1"/>
  <c r="CV2390" i="1"/>
  <c r="CU2390" i="1"/>
  <c r="I2390" i="1"/>
  <c r="BI2390" i="1"/>
  <c r="BH2390" i="1"/>
  <c r="DE1948" i="1"/>
  <c r="CY1948" i="1"/>
  <c r="K1948" i="1"/>
  <c r="CX1948" i="1"/>
  <c r="CV1948" i="1"/>
  <c r="CU1948" i="1"/>
  <c r="I1948" i="1"/>
  <c r="BI1948" i="1"/>
  <c r="BH1948" i="1"/>
  <c r="DE1949" i="1"/>
  <c r="CY1949" i="1"/>
  <c r="K1949" i="1"/>
  <c r="CX1949" i="1"/>
  <c r="CV1949" i="1"/>
  <c r="CU1949" i="1"/>
  <c r="I1949" i="1"/>
  <c r="BI1949" i="1"/>
  <c r="BH1949" i="1"/>
  <c r="DE2771" i="1"/>
  <c r="CY2771" i="1"/>
  <c r="K2771" i="1"/>
  <c r="CX2771" i="1"/>
  <c r="CV2771" i="1"/>
  <c r="CU2771" i="1"/>
  <c r="I2771" i="1"/>
  <c r="BI2771" i="1"/>
  <c r="BH2771" i="1"/>
  <c r="DE1950" i="1"/>
  <c r="CY1950" i="1"/>
  <c r="K1950" i="1"/>
  <c r="CX1950" i="1"/>
  <c r="CV1950" i="1"/>
  <c r="CU1950" i="1"/>
  <c r="I1950" i="1"/>
  <c r="BI1950" i="1"/>
  <c r="BH1950" i="1"/>
  <c r="DE1951" i="1"/>
  <c r="CY1951" i="1"/>
  <c r="K1951" i="1"/>
  <c r="CX1951" i="1"/>
  <c r="CV1951" i="1"/>
  <c r="CU1951" i="1"/>
  <c r="I1951" i="1"/>
  <c r="BI1951" i="1"/>
  <c r="BH1951" i="1"/>
  <c r="DE2772" i="1"/>
  <c r="CY2772" i="1"/>
  <c r="K2772" i="1"/>
  <c r="CX2772" i="1"/>
  <c r="CV2772" i="1"/>
  <c r="CU2772" i="1"/>
  <c r="I2772" i="1"/>
  <c r="BI2772" i="1"/>
  <c r="BH2772" i="1"/>
  <c r="DE3183" i="1"/>
  <c r="CY3183" i="1"/>
  <c r="K3183" i="1"/>
  <c r="CX3183" i="1"/>
  <c r="CV3183" i="1"/>
  <c r="CU3183" i="1"/>
  <c r="I3183" i="1"/>
  <c r="BI3183" i="1"/>
  <c r="BH3183" i="1"/>
  <c r="DE2773" i="1"/>
  <c r="CY2773" i="1"/>
  <c r="K2773" i="1"/>
  <c r="CX2773" i="1"/>
  <c r="CV2773" i="1"/>
  <c r="CU2773" i="1"/>
  <c r="I2773" i="1"/>
  <c r="BI2773" i="1"/>
  <c r="BH2773" i="1"/>
  <c r="DE1952" i="1"/>
  <c r="CY1952" i="1"/>
  <c r="K1952" i="1"/>
  <c r="CX1952" i="1"/>
  <c r="CV1952" i="1"/>
  <c r="CU1952" i="1"/>
  <c r="I1952" i="1"/>
  <c r="BI1952" i="1"/>
  <c r="BH1952" i="1"/>
  <c r="DE1953" i="1"/>
  <c r="CY1953" i="1"/>
  <c r="K1953" i="1"/>
  <c r="CX1953" i="1"/>
  <c r="CV1953" i="1"/>
  <c r="CU1953" i="1"/>
  <c r="I1953" i="1"/>
  <c r="BI1953" i="1"/>
  <c r="BH1953" i="1"/>
  <c r="DE3184" i="1"/>
  <c r="CY3184" i="1"/>
  <c r="K3184" i="1"/>
  <c r="CX3184" i="1"/>
  <c r="CV3184" i="1"/>
  <c r="CU3184" i="1"/>
  <c r="I3184" i="1"/>
  <c r="BI3184" i="1"/>
  <c r="BH3184" i="1"/>
  <c r="DE1954" i="1"/>
  <c r="CY1954" i="1"/>
  <c r="K1954" i="1"/>
  <c r="CX1954" i="1"/>
  <c r="CV1954" i="1"/>
  <c r="CU1954" i="1"/>
  <c r="I1954" i="1"/>
  <c r="BI1954" i="1"/>
  <c r="BH1954" i="1"/>
  <c r="DE1955" i="1"/>
  <c r="CY1955" i="1"/>
  <c r="K1955" i="1"/>
  <c r="CX1955" i="1"/>
  <c r="CV1955" i="1"/>
  <c r="CU1955" i="1"/>
  <c r="I1955" i="1"/>
  <c r="BI1955" i="1"/>
  <c r="BH1955" i="1"/>
  <c r="DE2774" i="1"/>
  <c r="CY2774" i="1"/>
  <c r="K2774" i="1"/>
  <c r="CX2774" i="1"/>
  <c r="CV2774" i="1"/>
  <c r="CU2774" i="1"/>
  <c r="I2774" i="1"/>
  <c r="BI2774" i="1"/>
  <c r="BH2774" i="1"/>
  <c r="DE2775" i="1"/>
  <c r="CY2775" i="1"/>
  <c r="K2775" i="1"/>
  <c r="CX2775" i="1"/>
  <c r="CV2775" i="1"/>
  <c r="CU2775" i="1"/>
  <c r="I2775" i="1"/>
  <c r="BI2775" i="1"/>
  <c r="BH2775" i="1"/>
  <c r="DE1956" i="1"/>
  <c r="CY1956" i="1"/>
  <c r="K1956" i="1"/>
  <c r="CX1956" i="1"/>
  <c r="CV1956" i="1"/>
  <c r="CU1956" i="1"/>
  <c r="I1956" i="1"/>
  <c r="BI1956" i="1"/>
  <c r="BH1956" i="1"/>
  <c r="DE2652" i="1"/>
  <c r="CY2652" i="1"/>
  <c r="K2652" i="1"/>
  <c r="CX2652" i="1"/>
  <c r="CV2652" i="1"/>
  <c r="CU2652" i="1"/>
  <c r="I2652" i="1"/>
  <c r="BI2652" i="1"/>
  <c r="BH2652" i="1"/>
  <c r="DE1957" i="1"/>
  <c r="CY1957" i="1"/>
  <c r="K1957" i="1"/>
  <c r="CX1957" i="1"/>
  <c r="CV1957" i="1"/>
  <c r="CU1957" i="1"/>
  <c r="I1957" i="1"/>
  <c r="BI1957" i="1"/>
  <c r="BH1957" i="1"/>
  <c r="DE1958" i="1"/>
  <c r="CY1958" i="1"/>
  <c r="K1958" i="1"/>
  <c r="CX1958" i="1"/>
  <c r="CV1958" i="1"/>
  <c r="CU1958" i="1"/>
  <c r="I1958" i="1"/>
  <c r="BI1958" i="1"/>
  <c r="BH1958" i="1"/>
  <c r="DE2389" i="1"/>
  <c r="CY2389" i="1"/>
  <c r="K2389" i="1"/>
  <c r="CX2389" i="1"/>
  <c r="CV2389" i="1"/>
  <c r="CU2389" i="1"/>
  <c r="I2389" i="1"/>
  <c r="BI2389" i="1"/>
  <c r="BH2389" i="1"/>
  <c r="DE1959" i="1"/>
  <c r="CY1959" i="1"/>
  <c r="K1959" i="1"/>
  <c r="CX1959" i="1"/>
  <c r="CV1959" i="1"/>
  <c r="CU1959" i="1"/>
  <c r="I1959" i="1"/>
  <c r="BI1959" i="1"/>
  <c r="BH1959" i="1"/>
  <c r="DE2776" i="1"/>
  <c r="CY2776" i="1"/>
  <c r="K2776" i="1"/>
  <c r="CX2776" i="1"/>
  <c r="CV2776" i="1"/>
  <c r="CU2776" i="1"/>
  <c r="I2776" i="1"/>
  <c r="BI2776" i="1"/>
  <c r="BH2776" i="1"/>
  <c r="DE3185" i="1"/>
  <c r="CY3185" i="1"/>
  <c r="K3185" i="1"/>
  <c r="CX3185" i="1"/>
  <c r="CV3185" i="1"/>
  <c r="CU3185" i="1"/>
  <c r="I3185" i="1"/>
  <c r="BI3185" i="1"/>
  <c r="BH3185" i="1"/>
  <c r="DE1960" i="1"/>
  <c r="CY1960" i="1"/>
  <c r="K1960" i="1"/>
  <c r="CX1960" i="1"/>
  <c r="CV1960" i="1"/>
  <c r="CU1960" i="1"/>
  <c r="I1960" i="1"/>
  <c r="BI1960" i="1"/>
  <c r="BH1960" i="1"/>
  <c r="DE2777" i="1"/>
  <c r="CY2777" i="1"/>
  <c r="K2777" i="1"/>
  <c r="CX2777" i="1"/>
  <c r="CV2777" i="1"/>
  <c r="CU2777" i="1"/>
  <c r="I2777" i="1"/>
  <c r="BI2777" i="1"/>
  <c r="BH2777" i="1"/>
  <c r="DE1961" i="1"/>
  <c r="CY1961" i="1"/>
  <c r="K1961" i="1"/>
  <c r="CX1961" i="1"/>
  <c r="CV1961" i="1"/>
  <c r="CU1961" i="1"/>
  <c r="I1961" i="1"/>
  <c r="BI1961" i="1"/>
  <c r="BH1961" i="1"/>
  <c r="DE1962" i="1"/>
  <c r="CY1962" i="1"/>
  <c r="K1962" i="1"/>
  <c r="CX1962" i="1"/>
  <c r="CV1962" i="1"/>
  <c r="CU1962" i="1"/>
  <c r="I1962" i="1"/>
  <c r="BI1962" i="1"/>
  <c r="BH1962" i="1"/>
  <c r="DE2388" i="1"/>
  <c r="CY2388" i="1"/>
  <c r="K2388" i="1"/>
  <c r="CX2388" i="1"/>
  <c r="CV2388" i="1"/>
  <c r="CU2388" i="1"/>
  <c r="I2388" i="1"/>
  <c r="BI2388" i="1"/>
  <c r="BH2388" i="1"/>
  <c r="DE3186" i="1"/>
  <c r="CY3186" i="1"/>
  <c r="K3186" i="1"/>
  <c r="CX3186" i="1"/>
  <c r="CV3186" i="1"/>
  <c r="CU3186" i="1"/>
  <c r="I3186" i="1"/>
  <c r="BI3186" i="1"/>
  <c r="BH3186" i="1"/>
  <c r="DE1963" i="1"/>
  <c r="CY1963" i="1"/>
  <c r="K1963" i="1"/>
  <c r="CX1963" i="1"/>
  <c r="CV1963" i="1"/>
  <c r="CU1963" i="1"/>
  <c r="I1963" i="1"/>
  <c r="BI1963" i="1"/>
  <c r="BH1963" i="1"/>
  <c r="DE2778" i="1"/>
  <c r="CY2778" i="1"/>
  <c r="K2778" i="1"/>
  <c r="CX2778" i="1"/>
  <c r="CV2778" i="1"/>
  <c r="CU2778" i="1"/>
  <c r="I2778" i="1"/>
  <c r="BI2778" i="1"/>
  <c r="BH2778" i="1"/>
  <c r="DE1964" i="1"/>
  <c r="CY1964" i="1"/>
  <c r="K1964" i="1"/>
  <c r="CX1964" i="1"/>
  <c r="CV1964" i="1"/>
  <c r="CU1964" i="1"/>
  <c r="I1964" i="1"/>
  <c r="BI1964" i="1"/>
  <c r="BH1964" i="1"/>
  <c r="DE1965" i="1"/>
  <c r="CY1965" i="1"/>
  <c r="K1965" i="1"/>
  <c r="CX1965" i="1"/>
  <c r="CV1965" i="1"/>
  <c r="CU1965" i="1"/>
  <c r="I1965" i="1"/>
  <c r="BI1965" i="1"/>
  <c r="BH1965" i="1"/>
  <c r="DE2779" i="1"/>
  <c r="CY2779" i="1"/>
  <c r="K2779" i="1"/>
  <c r="CX2779" i="1"/>
  <c r="CV2779" i="1"/>
  <c r="CU2779" i="1"/>
  <c r="I2779" i="1"/>
  <c r="BI2779" i="1"/>
  <c r="BH2779" i="1"/>
  <c r="DE1966" i="1"/>
  <c r="CY1966" i="1"/>
  <c r="K1966" i="1"/>
  <c r="CX1966" i="1"/>
  <c r="CV1966" i="1"/>
  <c r="CU1966" i="1"/>
  <c r="I1966" i="1"/>
  <c r="BI1966" i="1"/>
  <c r="BH1966" i="1"/>
  <c r="DE3187" i="1"/>
  <c r="CY3187" i="1"/>
  <c r="K3187" i="1"/>
  <c r="CX3187" i="1"/>
  <c r="CV3187" i="1"/>
  <c r="CU3187" i="1"/>
  <c r="I3187" i="1"/>
  <c r="BI3187" i="1"/>
  <c r="BH3187" i="1"/>
  <c r="DE1967" i="1"/>
  <c r="CY1967" i="1"/>
  <c r="K1967" i="1"/>
  <c r="CX1967" i="1"/>
  <c r="CV1967" i="1"/>
  <c r="CU1967" i="1"/>
  <c r="I1967" i="1"/>
  <c r="BI1967" i="1"/>
  <c r="BH1967" i="1"/>
  <c r="DE2780" i="1"/>
  <c r="CY2780" i="1"/>
  <c r="K2780" i="1"/>
  <c r="CX2780" i="1"/>
  <c r="CV2780" i="1"/>
  <c r="CU2780" i="1"/>
  <c r="I2780" i="1"/>
  <c r="BI2780" i="1"/>
  <c r="BH2780" i="1"/>
  <c r="DE2651" i="1"/>
  <c r="CY2651" i="1"/>
  <c r="K2651" i="1"/>
  <c r="CX2651" i="1"/>
  <c r="CV2651" i="1"/>
  <c r="CU2651" i="1"/>
  <c r="I2651" i="1"/>
  <c r="BI2651" i="1"/>
  <c r="BH2651" i="1"/>
  <c r="DE1968" i="1"/>
  <c r="CY1968" i="1"/>
  <c r="K1968" i="1"/>
  <c r="CX1968" i="1"/>
  <c r="CV1968" i="1"/>
  <c r="CU1968" i="1"/>
  <c r="I1968" i="1"/>
  <c r="BI1968" i="1"/>
  <c r="BH1968" i="1"/>
  <c r="DE1969" i="1"/>
  <c r="CY1969" i="1"/>
  <c r="K1969" i="1"/>
  <c r="CX1969" i="1"/>
  <c r="CV1969" i="1"/>
  <c r="CU1969" i="1"/>
  <c r="I1969" i="1"/>
  <c r="BI1969" i="1"/>
  <c r="BH1969" i="1"/>
  <c r="DE2781" i="1"/>
  <c r="CY2781" i="1"/>
  <c r="K2781" i="1"/>
  <c r="CX2781" i="1"/>
  <c r="CV2781" i="1"/>
  <c r="CU2781" i="1"/>
  <c r="I2781" i="1"/>
  <c r="BI2781" i="1"/>
  <c r="BH2781" i="1"/>
  <c r="DE3188" i="1"/>
  <c r="CY3188" i="1"/>
  <c r="K3188" i="1"/>
  <c r="CX3188" i="1"/>
  <c r="CV3188" i="1"/>
  <c r="CU3188" i="1"/>
  <c r="I3188" i="1"/>
  <c r="BI3188" i="1"/>
  <c r="BH3188" i="1"/>
  <c r="DE1970" i="1"/>
  <c r="CY1970" i="1"/>
  <c r="K1970" i="1"/>
  <c r="CX1970" i="1"/>
  <c r="CV1970" i="1"/>
  <c r="CU1970" i="1"/>
  <c r="I1970" i="1"/>
  <c r="BI1970" i="1"/>
  <c r="BH1970" i="1"/>
  <c r="DE1971" i="1"/>
  <c r="CY1971" i="1"/>
  <c r="K1971" i="1"/>
  <c r="CX1971" i="1"/>
  <c r="CV1971" i="1"/>
  <c r="CU1971" i="1"/>
  <c r="I1971" i="1"/>
  <c r="BI1971" i="1"/>
  <c r="BH1971" i="1"/>
  <c r="DE2782" i="1"/>
  <c r="CY2782" i="1"/>
  <c r="K2782" i="1"/>
  <c r="CX2782" i="1"/>
  <c r="CV2782" i="1"/>
  <c r="CU2782" i="1"/>
  <c r="I2782" i="1"/>
  <c r="BI2782" i="1"/>
  <c r="BH2782" i="1"/>
  <c r="DE1972" i="1"/>
  <c r="CY1972" i="1"/>
  <c r="K1972" i="1"/>
  <c r="CX1972" i="1"/>
  <c r="CV1972" i="1"/>
  <c r="CU1972" i="1"/>
  <c r="I1972" i="1"/>
  <c r="BI1972" i="1"/>
  <c r="BH1972" i="1"/>
  <c r="DE2387" i="1"/>
  <c r="CY2387" i="1"/>
  <c r="K2387" i="1"/>
  <c r="CX2387" i="1"/>
  <c r="CV2387" i="1"/>
  <c r="CU2387" i="1"/>
  <c r="I2387" i="1"/>
  <c r="BI2387" i="1"/>
  <c r="BH2387" i="1"/>
  <c r="DE2783" i="1"/>
  <c r="CY2783" i="1"/>
  <c r="K2783" i="1"/>
  <c r="CX2783" i="1"/>
  <c r="CV2783" i="1"/>
  <c r="CU2783" i="1"/>
  <c r="I2783" i="1"/>
  <c r="BI2783" i="1"/>
  <c r="BH2783" i="1"/>
  <c r="DE1973" i="1"/>
  <c r="CY1973" i="1"/>
  <c r="K1973" i="1"/>
  <c r="CX1973" i="1"/>
  <c r="CV1973" i="1"/>
  <c r="CU1973" i="1"/>
  <c r="I1973" i="1"/>
  <c r="BI1973" i="1"/>
  <c r="BH1973" i="1"/>
  <c r="DE1974" i="1"/>
  <c r="CY1974" i="1"/>
  <c r="K1974" i="1"/>
  <c r="CX1974" i="1"/>
  <c r="CV1974" i="1"/>
  <c r="CU1974" i="1"/>
  <c r="I1974" i="1"/>
  <c r="BI1974" i="1"/>
  <c r="BH1974" i="1"/>
  <c r="DE3189" i="1"/>
  <c r="CY3189" i="1"/>
  <c r="K3189" i="1"/>
  <c r="CX3189" i="1"/>
  <c r="CV3189" i="1"/>
  <c r="CU3189" i="1"/>
  <c r="I3189" i="1"/>
  <c r="BI3189" i="1"/>
  <c r="BH3189" i="1"/>
  <c r="DE1975" i="1"/>
  <c r="CY1975" i="1"/>
  <c r="K1975" i="1"/>
  <c r="CX1975" i="1"/>
  <c r="CV1975" i="1"/>
  <c r="CU1975" i="1"/>
  <c r="I1975" i="1"/>
  <c r="BI1975" i="1"/>
  <c r="BH1975" i="1"/>
  <c r="DE2784" i="1"/>
  <c r="CY2784" i="1"/>
  <c r="K2784" i="1"/>
  <c r="CX2784" i="1"/>
  <c r="CV2784" i="1"/>
  <c r="CU2784" i="1"/>
  <c r="I2784" i="1"/>
  <c r="BI2784" i="1"/>
  <c r="BH2784" i="1"/>
  <c r="DE1976" i="1"/>
  <c r="CY1976" i="1"/>
  <c r="K1976" i="1"/>
  <c r="CX1976" i="1"/>
  <c r="CV1976" i="1"/>
  <c r="CU1976" i="1"/>
  <c r="I1976" i="1"/>
  <c r="BI1976" i="1"/>
  <c r="BH1976" i="1"/>
  <c r="DE2386" i="1"/>
  <c r="CY2386" i="1"/>
  <c r="K2386" i="1"/>
  <c r="CX2386" i="1"/>
  <c r="CV2386" i="1"/>
  <c r="CU2386" i="1"/>
  <c r="I2386" i="1"/>
  <c r="BI2386" i="1"/>
  <c r="BH2386" i="1"/>
  <c r="DE2785" i="1"/>
  <c r="CY2785" i="1"/>
  <c r="K2785" i="1"/>
  <c r="CX2785" i="1"/>
  <c r="CV2785" i="1"/>
  <c r="CU2785" i="1"/>
  <c r="I2785" i="1"/>
  <c r="BI2785" i="1"/>
  <c r="BH2785" i="1"/>
  <c r="DE1977" i="1"/>
  <c r="CY1977" i="1"/>
  <c r="K1977" i="1"/>
  <c r="CX1977" i="1"/>
  <c r="CV1977" i="1"/>
  <c r="CU1977" i="1"/>
  <c r="I1977" i="1"/>
  <c r="BI1977" i="1"/>
  <c r="BH1977" i="1"/>
  <c r="DE3190" i="1"/>
  <c r="CY3190" i="1"/>
  <c r="K3190" i="1"/>
  <c r="CX3190" i="1"/>
  <c r="CV3190" i="1"/>
  <c r="CU3190" i="1"/>
  <c r="I3190" i="1"/>
  <c r="BI3190" i="1"/>
  <c r="BH3190" i="1"/>
  <c r="DE1978" i="1"/>
  <c r="CY1978" i="1"/>
  <c r="K1978" i="1"/>
  <c r="CX1978" i="1"/>
  <c r="CV1978" i="1"/>
  <c r="CU1978" i="1"/>
  <c r="I1978" i="1"/>
  <c r="BI1978" i="1"/>
  <c r="BH1978" i="1"/>
  <c r="DE1979" i="1"/>
  <c r="CY1979" i="1"/>
  <c r="K1979" i="1"/>
  <c r="CX1979" i="1"/>
  <c r="CV1979" i="1"/>
  <c r="CU1979" i="1"/>
  <c r="I1979" i="1"/>
  <c r="BI1979" i="1"/>
  <c r="BH1979" i="1"/>
  <c r="DE2786" i="1"/>
  <c r="CY2786" i="1"/>
  <c r="K2786" i="1"/>
  <c r="CX2786" i="1"/>
  <c r="CV2786" i="1"/>
  <c r="CU2786" i="1"/>
  <c r="I2786" i="1"/>
  <c r="BI2786" i="1"/>
  <c r="BH2786" i="1"/>
  <c r="DE1980" i="1"/>
  <c r="CY1980" i="1"/>
  <c r="K1980" i="1"/>
  <c r="CX1980" i="1"/>
  <c r="CV1980" i="1"/>
  <c r="CU1980" i="1"/>
  <c r="I1980" i="1"/>
  <c r="BI1980" i="1"/>
  <c r="BH1980" i="1"/>
  <c r="DE2787" i="1"/>
  <c r="CY2787" i="1"/>
  <c r="K2787" i="1"/>
  <c r="CX2787" i="1"/>
  <c r="CV2787" i="1"/>
  <c r="CU2787" i="1"/>
  <c r="I2787" i="1"/>
  <c r="BI2787" i="1"/>
  <c r="BH2787" i="1"/>
  <c r="DE1981" i="1"/>
  <c r="CY1981" i="1"/>
  <c r="K1981" i="1"/>
  <c r="CX1981" i="1"/>
  <c r="CV1981" i="1"/>
  <c r="CU1981" i="1"/>
  <c r="I1981" i="1"/>
  <c r="BI1981" i="1"/>
  <c r="BH1981" i="1"/>
  <c r="DE1982" i="1"/>
  <c r="CY1982" i="1"/>
  <c r="K1982" i="1"/>
  <c r="CX1982" i="1"/>
  <c r="CV1982" i="1"/>
  <c r="CU1982" i="1"/>
  <c r="I1982" i="1"/>
  <c r="BI1982" i="1"/>
  <c r="BH1982" i="1"/>
  <c r="DE1983" i="1"/>
  <c r="CY1983" i="1"/>
  <c r="K1983" i="1"/>
  <c r="CX1983" i="1"/>
  <c r="CV1983" i="1"/>
  <c r="CU1983" i="1"/>
  <c r="I1983" i="1"/>
  <c r="BI1983" i="1"/>
  <c r="BH1983" i="1"/>
  <c r="DE2788" i="1"/>
  <c r="CY2788" i="1"/>
  <c r="K2788" i="1"/>
  <c r="CX2788" i="1"/>
  <c r="CV2788" i="1"/>
  <c r="CU2788" i="1"/>
  <c r="I2788" i="1"/>
  <c r="BI2788" i="1"/>
  <c r="BH2788" i="1"/>
  <c r="DE1984" i="1"/>
  <c r="CY1984" i="1"/>
  <c r="K1984" i="1"/>
  <c r="CX1984" i="1"/>
  <c r="CV1984" i="1"/>
  <c r="CU1984" i="1"/>
  <c r="I1984" i="1"/>
  <c r="BI1984" i="1"/>
  <c r="BH1984" i="1"/>
  <c r="DE1985" i="1"/>
  <c r="CY1985" i="1"/>
  <c r="K1985" i="1"/>
  <c r="CX1985" i="1"/>
  <c r="CV1985" i="1"/>
  <c r="CU1985" i="1"/>
  <c r="I1985" i="1"/>
  <c r="BI1985" i="1"/>
  <c r="BH1985" i="1"/>
  <c r="DE2789" i="1"/>
  <c r="CY2789" i="1"/>
  <c r="K2789" i="1"/>
  <c r="CX2789" i="1"/>
  <c r="CV2789" i="1"/>
  <c r="CU2789" i="1"/>
  <c r="I2789" i="1"/>
  <c r="BI2789" i="1"/>
  <c r="BH2789" i="1"/>
  <c r="DE1986" i="1"/>
  <c r="CY1986" i="1"/>
  <c r="K1986" i="1"/>
  <c r="CX1986" i="1"/>
  <c r="CV1986" i="1"/>
  <c r="CU1986" i="1"/>
  <c r="I1986" i="1"/>
  <c r="BI1986" i="1"/>
  <c r="BH1986" i="1"/>
  <c r="DE2790" i="1"/>
  <c r="CY2790" i="1"/>
  <c r="K2790" i="1"/>
  <c r="CX2790" i="1"/>
  <c r="CV2790" i="1"/>
  <c r="CU2790" i="1"/>
  <c r="I2790" i="1"/>
  <c r="BI2790" i="1"/>
  <c r="BH2790" i="1"/>
  <c r="DE1987" i="1"/>
  <c r="CY1987" i="1"/>
  <c r="K1987" i="1"/>
  <c r="CX1987" i="1"/>
  <c r="CV1987" i="1"/>
  <c r="CU1987" i="1"/>
  <c r="I1987" i="1"/>
  <c r="BI1987" i="1"/>
  <c r="BH1987" i="1"/>
  <c r="DE1988" i="1"/>
  <c r="CY1988" i="1"/>
  <c r="K1988" i="1"/>
  <c r="CX1988" i="1"/>
  <c r="CV1988" i="1"/>
  <c r="CU1988" i="1"/>
  <c r="I1988" i="1"/>
  <c r="BI1988" i="1"/>
  <c r="BH1988" i="1"/>
  <c r="DE2791" i="1"/>
  <c r="CY2791" i="1"/>
  <c r="K2791" i="1"/>
  <c r="CX2791" i="1"/>
  <c r="CV2791" i="1"/>
  <c r="CU2791" i="1"/>
  <c r="I2791" i="1"/>
  <c r="BI2791" i="1"/>
  <c r="BH2791" i="1"/>
  <c r="DE1990" i="1"/>
  <c r="CY1990" i="1"/>
  <c r="K1990" i="1"/>
  <c r="CX1990" i="1"/>
  <c r="CV1990" i="1"/>
  <c r="CU1990" i="1"/>
  <c r="I1990" i="1"/>
  <c r="BI1990" i="1"/>
  <c r="BH1990" i="1"/>
  <c r="DE2792" i="1"/>
  <c r="CY2792" i="1"/>
  <c r="K2792" i="1"/>
  <c r="CX2792" i="1"/>
  <c r="CV2792" i="1"/>
  <c r="CU2792" i="1"/>
  <c r="I2792" i="1"/>
  <c r="BI2792" i="1"/>
  <c r="BH2792" i="1"/>
  <c r="DE1991" i="1"/>
  <c r="CY1991" i="1"/>
  <c r="K1991" i="1"/>
  <c r="CX1991" i="1"/>
  <c r="CV1991" i="1"/>
  <c r="CU1991" i="1"/>
  <c r="I1991" i="1"/>
  <c r="BI1991" i="1"/>
  <c r="BH1991" i="1"/>
  <c r="DE1992" i="1"/>
  <c r="CY1992" i="1"/>
  <c r="K1992" i="1"/>
  <c r="CX1992" i="1"/>
  <c r="CV1992" i="1"/>
  <c r="CU1992" i="1"/>
  <c r="I1992" i="1"/>
  <c r="BI1992" i="1"/>
  <c r="BH1992" i="1"/>
  <c r="DE1993" i="1"/>
  <c r="CY1993" i="1"/>
  <c r="K1993" i="1"/>
  <c r="CX1993" i="1"/>
  <c r="CV1993" i="1"/>
  <c r="CU1993" i="1"/>
  <c r="I1993" i="1"/>
  <c r="BI1993" i="1"/>
  <c r="BH1993" i="1"/>
  <c r="DE2793" i="1"/>
  <c r="CY2793" i="1"/>
  <c r="K2793" i="1"/>
  <c r="CX2793" i="1"/>
  <c r="CV2793" i="1"/>
  <c r="CU2793" i="1"/>
  <c r="I2793" i="1"/>
  <c r="BI2793" i="1"/>
  <c r="BH2793" i="1"/>
  <c r="DE1994" i="1"/>
  <c r="CY1994" i="1"/>
  <c r="K1994" i="1"/>
  <c r="CX1994" i="1"/>
  <c r="CV1994" i="1"/>
  <c r="CU1994" i="1"/>
  <c r="I1994" i="1"/>
  <c r="BI1994" i="1"/>
  <c r="BH1994" i="1"/>
  <c r="DE2681" i="1"/>
  <c r="CY2681" i="1"/>
  <c r="K2681" i="1"/>
  <c r="CX2681" i="1"/>
  <c r="CV2681" i="1"/>
  <c r="CU2681" i="1"/>
  <c r="I2681" i="1"/>
  <c r="BI2681" i="1"/>
  <c r="BH2681" i="1"/>
  <c r="DE1995" i="1"/>
  <c r="CY1995" i="1"/>
  <c r="K1995" i="1"/>
  <c r="CX1995" i="1"/>
  <c r="CV1995" i="1"/>
  <c r="CU1995" i="1"/>
  <c r="I1995" i="1"/>
  <c r="BI1995" i="1"/>
  <c r="BH1995" i="1"/>
  <c r="DE1996" i="1"/>
  <c r="CY1996" i="1"/>
  <c r="K1996" i="1"/>
  <c r="CX1996" i="1"/>
  <c r="CV1996" i="1"/>
  <c r="CU1996" i="1"/>
  <c r="I1996" i="1"/>
  <c r="BI1996" i="1"/>
  <c r="BH1996" i="1"/>
  <c r="DE2794" i="1"/>
  <c r="CY2794" i="1"/>
  <c r="K2794" i="1"/>
  <c r="CX2794" i="1"/>
  <c r="CV2794" i="1"/>
  <c r="CU2794" i="1"/>
  <c r="I2794" i="1"/>
  <c r="BI2794" i="1"/>
  <c r="BH2794" i="1"/>
  <c r="DE1997" i="1"/>
  <c r="CY1997" i="1"/>
  <c r="K1997" i="1"/>
  <c r="CX1997" i="1"/>
  <c r="CV1997" i="1"/>
  <c r="CU1997" i="1"/>
  <c r="I1997" i="1"/>
  <c r="BI1997" i="1"/>
  <c r="BH1997" i="1"/>
  <c r="DE1998" i="1"/>
  <c r="CY1998" i="1"/>
  <c r="K1998" i="1"/>
  <c r="CX1998" i="1"/>
  <c r="CV1998" i="1"/>
  <c r="CU1998" i="1"/>
  <c r="I1998" i="1"/>
  <c r="BI1998" i="1"/>
  <c r="BH1998" i="1"/>
  <c r="DE2795" i="1"/>
  <c r="CY2795" i="1"/>
  <c r="K2795" i="1"/>
  <c r="CX2795" i="1"/>
  <c r="CV2795" i="1"/>
  <c r="CU2795" i="1"/>
  <c r="I2795" i="1"/>
  <c r="BI2795" i="1"/>
  <c r="BH2795" i="1"/>
  <c r="DE1999" i="1"/>
  <c r="CY1999" i="1"/>
  <c r="K1999" i="1"/>
  <c r="CX1999" i="1"/>
  <c r="CV1999" i="1"/>
  <c r="CU1999" i="1"/>
  <c r="I1999" i="1"/>
  <c r="BI1999" i="1"/>
  <c r="BH1999" i="1"/>
  <c r="DE2385" i="1"/>
  <c r="CY2385" i="1"/>
  <c r="K2385" i="1"/>
  <c r="CX2385" i="1"/>
  <c r="CV2385" i="1"/>
  <c r="CU2385" i="1"/>
  <c r="I2385" i="1"/>
  <c r="BI2385" i="1"/>
  <c r="BH2385" i="1"/>
  <c r="DE2000" i="1"/>
  <c r="CY2000" i="1"/>
  <c r="K2000" i="1"/>
  <c r="CX2000" i="1"/>
  <c r="CV2000" i="1"/>
  <c r="CU2000" i="1"/>
  <c r="I2000" i="1"/>
  <c r="BI2000" i="1"/>
  <c r="BH2000" i="1"/>
  <c r="DE2796" i="1"/>
  <c r="CY2796" i="1"/>
  <c r="K2796" i="1"/>
  <c r="CX2796" i="1"/>
  <c r="CV2796" i="1"/>
  <c r="CU2796" i="1"/>
  <c r="I2796" i="1"/>
  <c r="BI2796" i="1"/>
  <c r="BH2796" i="1"/>
  <c r="DE2001" i="1"/>
  <c r="CY2001" i="1"/>
  <c r="K2001" i="1"/>
  <c r="CX2001" i="1"/>
  <c r="CV2001" i="1"/>
  <c r="CU2001" i="1"/>
  <c r="I2001" i="1"/>
  <c r="BI2001" i="1"/>
  <c r="BH2001" i="1"/>
  <c r="DE2797" i="1"/>
  <c r="CY2797" i="1"/>
  <c r="K2797" i="1"/>
  <c r="CX2797" i="1"/>
  <c r="CV2797" i="1"/>
  <c r="CU2797" i="1"/>
  <c r="I2797" i="1"/>
  <c r="BI2797" i="1"/>
  <c r="BH2797" i="1"/>
  <c r="DE2002" i="1"/>
  <c r="CY2002" i="1"/>
  <c r="K2002" i="1"/>
  <c r="CX2002" i="1"/>
  <c r="CV2002" i="1"/>
  <c r="CU2002" i="1"/>
  <c r="I2002" i="1"/>
  <c r="BI2002" i="1"/>
  <c r="BH2002" i="1"/>
  <c r="DE2003" i="1"/>
  <c r="CY2003" i="1"/>
  <c r="K2003" i="1"/>
  <c r="CX2003" i="1"/>
  <c r="CV2003" i="1"/>
  <c r="CU2003" i="1"/>
  <c r="I2003" i="1"/>
  <c r="BI2003" i="1"/>
  <c r="BH2003" i="1"/>
  <c r="DE2650" i="1"/>
  <c r="CY2650" i="1"/>
  <c r="K2650" i="1"/>
  <c r="CX2650" i="1"/>
  <c r="CV2650" i="1"/>
  <c r="CU2650" i="1"/>
  <c r="I2650" i="1"/>
  <c r="BI2650" i="1"/>
  <c r="BH2650" i="1"/>
  <c r="DE2004" i="1"/>
  <c r="CY2004" i="1"/>
  <c r="K2004" i="1"/>
  <c r="CX2004" i="1"/>
  <c r="CV2004" i="1"/>
  <c r="CU2004" i="1"/>
  <c r="I2004" i="1"/>
  <c r="BI2004" i="1"/>
  <c r="BH2004" i="1"/>
  <c r="DE2798" i="1"/>
  <c r="CY2798" i="1"/>
  <c r="K2798" i="1"/>
  <c r="CX2798" i="1"/>
  <c r="CV2798" i="1"/>
  <c r="CU2798" i="1"/>
  <c r="I2798" i="1"/>
  <c r="BI2798" i="1"/>
  <c r="BH2798" i="1"/>
  <c r="DE2005" i="1"/>
  <c r="CY2005" i="1"/>
  <c r="K2005" i="1"/>
  <c r="CX2005" i="1"/>
  <c r="CV2005" i="1"/>
  <c r="CU2005" i="1"/>
  <c r="I2005" i="1"/>
  <c r="BI2005" i="1"/>
  <c r="BH2005" i="1"/>
  <c r="DE2799" i="1"/>
  <c r="CY2799" i="1"/>
  <c r="K2799" i="1"/>
  <c r="CX2799" i="1"/>
  <c r="CV2799" i="1"/>
  <c r="CU2799" i="1"/>
  <c r="I2799" i="1"/>
  <c r="BI2799" i="1"/>
  <c r="BH2799" i="1"/>
  <c r="DE2006" i="1"/>
  <c r="CY2006" i="1"/>
  <c r="K2006" i="1"/>
  <c r="CX2006" i="1"/>
  <c r="CV2006" i="1"/>
  <c r="CU2006" i="1"/>
  <c r="I2006" i="1"/>
  <c r="BI2006" i="1"/>
  <c r="BH2006" i="1"/>
  <c r="DE2653" i="1"/>
  <c r="CY2653" i="1"/>
  <c r="K2653" i="1"/>
  <c r="CX2653" i="1"/>
  <c r="CV2653" i="1"/>
  <c r="CU2653" i="1"/>
  <c r="I2653" i="1"/>
  <c r="BI2653" i="1"/>
  <c r="BH2653" i="1"/>
  <c r="DE2384" i="1"/>
  <c r="CY2384" i="1"/>
  <c r="K2384" i="1"/>
  <c r="CX2384" i="1"/>
  <c r="CV2384" i="1"/>
  <c r="CU2384" i="1"/>
  <c r="I2384" i="1"/>
  <c r="BI2384" i="1"/>
  <c r="BH2384" i="1"/>
  <c r="DE2007" i="1"/>
  <c r="CY2007" i="1"/>
  <c r="K2007" i="1"/>
  <c r="CX2007" i="1"/>
  <c r="CV2007" i="1"/>
  <c r="CU2007" i="1"/>
  <c r="I2007" i="1"/>
  <c r="BI2007" i="1"/>
  <c r="BH2007" i="1"/>
  <c r="DE2008" i="1"/>
  <c r="CY2008" i="1"/>
  <c r="K2008" i="1"/>
  <c r="CX2008" i="1"/>
  <c r="CV2008" i="1"/>
  <c r="CU2008" i="1"/>
  <c r="I2008" i="1"/>
  <c r="BI2008" i="1"/>
  <c r="BH2008" i="1"/>
  <c r="DE2800" i="1"/>
  <c r="CY2800" i="1"/>
  <c r="K2800" i="1"/>
  <c r="CX2800" i="1"/>
  <c r="CV2800" i="1"/>
  <c r="CU2800" i="1"/>
  <c r="I2800" i="1"/>
  <c r="BI2800" i="1"/>
  <c r="BH2800" i="1"/>
  <c r="DE2009" i="1"/>
  <c r="CY2009" i="1"/>
  <c r="K2009" i="1"/>
  <c r="CX2009" i="1"/>
  <c r="CV2009" i="1"/>
  <c r="CU2009" i="1"/>
  <c r="I2009" i="1"/>
  <c r="BI2009" i="1"/>
  <c r="BH2009" i="1"/>
  <c r="DE2010" i="1"/>
  <c r="CY2010" i="1"/>
  <c r="K2010" i="1"/>
  <c r="CX2010" i="1"/>
  <c r="CV2010" i="1"/>
  <c r="CU2010" i="1"/>
  <c r="I2010" i="1"/>
  <c r="BI2010" i="1"/>
  <c r="BH2010" i="1"/>
  <c r="DE2801" i="1"/>
  <c r="CY2801" i="1"/>
  <c r="K2801" i="1"/>
  <c r="CX2801" i="1"/>
  <c r="CV2801" i="1"/>
  <c r="CU2801" i="1"/>
  <c r="I2801" i="1"/>
  <c r="BI2801" i="1"/>
  <c r="BH2801" i="1"/>
  <c r="DE2649" i="1"/>
  <c r="CY2649" i="1"/>
  <c r="K2649" i="1"/>
  <c r="CX2649" i="1"/>
  <c r="CV2649" i="1"/>
  <c r="CU2649" i="1"/>
  <c r="I2649" i="1"/>
  <c r="BI2649" i="1"/>
  <c r="BH2649" i="1"/>
  <c r="DE2011" i="1"/>
  <c r="CY2011" i="1"/>
  <c r="K2011" i="1"/>
  <c r="CX2011" i="1"/>
  <c r="CV2011" i="1"/>
  <c r="CU2011" i="1"/>
  <c r="I2011" i="1"/>
  <c r="BI2011" i="1"/>
  <c r="BH2011" i="1"/>
  <c r="DE2012" i="1"/>
  <c r="CY2012" i="1"/>
  <c r="K2012" i="1"/>
  <c r="CX2012" i="1"/>
  <c r="CV2012" i="1"/>
  <c r="CU2012" i="1"/>
  <c r="I2012" i="1"/>
  <c r="BI2012" i="1"/>
  <c r="BH2012" i="1"/>
  <c r="DE2802" i="1"/>
  <c r="CY2802" i="1"/>
  <c r="K2802" i="1"/>
  <c r="CX2802" i="1"/>
  <c r="CV2802" i="1"/>
  <c r="CU2802" i="1"/>
  <c r="I2802" i="1"/>
  <c r="BI2802" i="1"/>
  <c r="BH2802" i="1"/>
  <c r="DE2013" i="1"/>
  <c r="CY2013" i="1"/>
  <c r="K2013" i="1"/>
  <c r="CX2013" i="1"/>
  <c r="CV2013" i="1"/>
  <c r="CU2013" i="1"/>
  <c r="I2013" i="1"/>
  <c r="BI2013" i="1"/>
  <c r="BH2013" i="1"/>
  <c r="DE2803" i="1"/>
  <c r="CY2803" i="1"/>
  <c r="K2803" i="1"/>
  <c r="CX2803" i="1"/>
  <c r="CV2803" i="1"/>
  <c r="CU2803" i="1"/>
  <c r="I2803" i="1"/>
  <c r="BI2803" i="1"/>
  <c r="BH2803" i="1"/>
  <c r="DE2014" i="1"/>
  <c r="CY2014" i="1"/>
  <c r="K2014" i="1"/>
  <c r="CX2014" i="1"/>
  <c r="CV2014" i="1"/>
  <c r="CU2014" i="1"/>
  <c r="I2014" i="1"/>
  <c r="BI2014" i="1"/>
  <c r="BH2014" i="1"/>
  <c r="DE2383" i="1"/>
  <c r="CY2383" i="1"/>
  <c r="K2383" i="1"/>
  <c r="CX2383" i="1"/>
  <c r="CV2383" i="1"/>
  <c r="CU2383" i="1"/>
  <c r="I2383" i="1"/>
  <c r="BI2383" i="1"/>
  <c r="BH2383" i="1"/>
  <c r="DE2015" i="1"/>
  <c r="CY2015" i="1"/>
  <c r="K2015" i="1"/>
  <c r="CX2015" i="1"/>
  <c r="CV2015" i="1"/>
  <c r="CU2015" i="1"/>
  <c r="I2015" i="1"/>
  <c r="BI2015" i="1"/>
  <c r="BH2015" i="1"/>
  <c r="DE2016" i="1"/>
  <c r="CY2016" i="1"/>
  <c r="K2016" i="1"/>
  <c r="CX2016" i="1"/>
  <c r="CV2016" i="1"/>
  <c r="CU2016" i="1"/>
  <c r="I2016" i="1"/>
  <c r="BI2016" i="1"/>
  <c r="BH2016" i="1"/>
  <c r="DE2804" i="1"/>
  <c r="CY2804" i="1"/>
  <c r="K2804" i="1"/>
  <c r="CX2804" i="1"/>
  <c r="CV2804" i="1"/>
  <c r="CU2804" i="1"/>
  <c r="I2804" i="1"/>
  <c r="BI2804" i="1"/>
  <c r="BH2804" i="1"/>
  <c r="DE2382" i="1"/>
  <c r="CY2382" i="1"/>
  <c r="K2382" i="1"/>
  <c r="CX2382" i="1"/>
  <c r="CV2382" i="1"/>
  <c r="CU2382" i="1"/>
  <c r="I2382" i="1"/>
  <c r="BI2382" i="1"/>
  <c r="BH2382" i="1"/>
  <c r="DE2017" i="1"/>
  <c r="CY2017" i="1"/>
  <c r="K2017" i="1"/>
  <c r="CX2017" i="1"/>
  <c r="CV2017" i="1"/>
  <c r="CU2017" i="1"/>
  <c r="I2017" i="1"/>
  <c r="BI2017" i="1"/>
  <c r="BH2017" i="1"/>
  <c r="DE2805" i="1"/>
  <c r="CY2805" i="1"/>
  <c r="K2805" i="1"/>
  <c r="CX2805" i="1"/>
  <c r="CV2805" i="1"/>
  <c r="CU2805" i="1"/>
  <c r="I2805" i="1"/>
  <c r="BI2805" i="1"/>
  <c r="BH2805" i="1"/>
  <c r="DE2018" i="1"/>
  <c r="CY2018" i="1"/>
  <c r="K2018" i="1"/>
  <c r="CX2018" i="1"/>
  <c r="CV2018" i="1"/>
  <c r="CU2018" i="1"/>
  <c r="I2018" i="1"/>
  <c r="BI2018" i="1"/>
  <c r="BH2018" i="1"/>
  <c r="DE2019" i="1"/>
  <c r="CY2019" i="1"/>
  <c r="K2019" i="1"/>
  <c r="CX2019" i="1"/>
  <c r="CV2019" i="1"/>
  <c r="CU2019" i="1"/>
  <c r="I2019" i="1"/>
  <c r="BI2019" i="1"/>
  <c r="BH2019" i="1"/>
  <c r="DE2020" i="1"/>
  <c r="CY2020" i="1"/>
  <c r="K2020" i="1"/>
  <c r="CX2020" i="1"/>
  <c r="CV2020" i="1"/>
  <c r="CU2020" i="1"/>
  <c r="I2020" i="1"/>
  <c r="BI2020" i="1"/>
  <c r="BH2020" i="1"/>
  <c r="DE2806" i="1"/>
  <c r="CY2806" i="1"/>
  <c r="K2806" i="1"/>
  <c r="CX2806" i="1"/>
  <c r="CV2806" i="1"/>
  <c r="CU2806" i="1"/>
  <c r="I2806" i="1"/>
  <c r="BI2806" i="1"/>
  <c r="BH2806" i="1"/>
  <c r="DE2021" i="1"/>
  <c r="CY2021" i="1"/>
  <c r="K2021" i="1"/>
  <c r="CX2021" i="1"/>
  <c r="CV2021" i="1"/>
  <c r="CU2021" i="1"/>
  <c r="I2021" i="1"/>
  <c r="BI2021" i="1"/>
  <c r="BH2021" i="1"/>
  <c r="DE2807" i="1"/>
  <c r="CY2807" i="1"/>
  <c r="K2807" i="1"/>
  <c r="CX2807" i="1"/>
  <c r="CV2807" i="1"/>
  <c r="CU2807" i="1"/>
  <c r="I2807" i="1"/>
  <c r="BI2807" i="1"/>
  <c r="BH2807" i="1"/>
  <c r="DE2022" i="1"/>
  <c r="CY2022" i="1"/>
  <c r="K2022" i="1"/>
  <c r="CX2022" i="1"/>
  <c r="CV2022" i="1"/>
  <c r="CU2022" i="1"/>
  <c r="I2022" i="1"/>
  <c r="BI2022" i="1"/>
  <c r="BH2022" i="1"/>
  <c r="DE2023" i="1"/>
  <c r="CY2023" i="1"/>
  <c r="K2023" i="1"/>
  <c r="CX2023" i="1"/>
  <c r="CV2023" i="1"/>
  <c r="CU2023" i="1"/>
  <c r="I2023" i="1"/>
  <c r="BI2023" i="1"/>
  <c r="BH2023" i="1"/>
  <c r="DE2024" i="1"/>
  <c r="CY2024" i="1"/>
  <c r="K2024" i="1"/>
  <c r="CX2024" i="1"/>
  <c r="CV2024" i="1"/>
  <c r="CU2024" i="1"/>
  <c r="I2024" i="1"/>
  <c r="BI2024" i="1"/>
  <c r="BH2024" i="1"/>
  <c r="DE2808" i="1"/>
  <c r="CY2808" i="1"/>
  <c r="K2808" i="1"/>
  <c r="CX2808" i="1"/>
  <c r="CV2808" i="1"/>
  <c r="CU2808" i="1"/>
  <c r="I2808" i="1"/>
  <c r="BI2808" i="1"/>
  <c r="BH2808" i="1"/>
  <c r="DE2025" i="1"/>
  <c r="CY2025" i="1"/>
  <c r="K2025" i="1"/>
  <c r="CX2025" i="1"/>
  <c r="CV2025" i="1"/>
  <c r="CU2025" i="1"/>
  <c r="I2025" i="1"/>
  <c r="BI2025" i="1"/>
  <c r="BH2025" i="1"/>
  <c r="DE2809" i="1"/>
  <c r="CY2809" i="1"/>
  <c r="K2809" i="1"/>
  <c r="CX2809" i="1"/>
  <c r="CV2809" i="1"/>
  <c r="CU2809" i="1"/>
  <c r="I2809" i="1"/>
  <c r="BI2809" i="1"/>
  <c r="BH2809" i="1"/>
  <c r="DE2026" i="1"/>
  <c r="CY2026" i="1"/>
  <c r="K2026" i="1"/>
  <c r="CX2026" i="1"/>
  <c r="CV2026" i="1"/>
  <c r="CU2026" i="1"/>
  <c r="I2026" i="1"/>
  <c r="BI2026" i="1"/>
  <c r="BH2026" i="1"/>
  <c r="DE2027" i="1"/>
  <c r="CY2027" i="1"/>
  <c r="K2027" i="1"/>
  <c r="CX2027" i="1"/>
  <c r="CV2027" i="1"/>
  <c r="CU2027" i="1"/>
  <c r="I2027" i="1"/>
  <c r="BI2027" i="1"/>
  <c r="BH2027" i="1"/>
  <c r="DE2028" i="1"/>
  <c r="CY2028" i="1"/>
  <c r="K2028" i="1"/>
  <c r="CX2028" i="1"/>
  <c r="CV2028" i="1"/>
  <c r="CU2028" i="1"/>
  <c r="I2028" i="1"/>
  <c r="BI2028" i="1"/>
  <c r="BH2028" i="1"/>
  <c r="DE2810" i="1"/>
  <c r="CY2810" i="1"/>
  <c r="K2810" i="1"/>
  <c r="CX2810" i="1"/>
  <c r="CV2810" i="1"/>
  <c r="CU2810" i="1"/>
  <c r="I2810" i="1"/>
  <c r="BI2810" i="1"/>
  <c r="BH2810" i="1"/>
  <c r="DE2029" i="1"/>
  <c r="CY2029" i="1"/>
  <c r="K2029" i="1"/>
  <c r="CX2029" i="1"/>
  <c r="CV2029" i="1"/>
  <c r="CU2029" i="1"/>
  <c r="I2029" i="1"/>
  <c r="BI2029" i="1"/>
  <c r="BH2029" i="1"/>
  <c r="DE2811" i="1"/>
  <c r="CY2811" i="1"/>
  <c r="K2811" i="1"/>
  <c r="CX2811" i="1"/>
  <c r="CV2811" i="1"/>
  <c r="CU2811" i="1"/>
  <c r="I2811" i="1"/>
  <c r="BI2811" i="1"/>
  <c r="BH2811" i="1"/>
  <c r="DE2030" i="1"/>
  <c r="CY2030" i="1"/>
  <c r="K2030" i="1"/>
  <c r="CX2030" i="1"/>
  <c r="CV2030" i="1"/>
  <c r="CU2030" i="1"/>
  <c r="I2030" i="1"/>
  <c r="BI2030" i="1"/>
  <c r="BH2030" i="1"/>
  <c r="DE2031" i="1"/>
  <c r="CY2031" i="1"/>
  <c r="K2031" i="1"/>
  <c r="CX2031" i="1"/>
  <c r="CV2031" i="1"/>
  <c r="CU2031" i="1"/>
  <c r="I2031" i="1"/>
  <c r="BI2031" i="1"/>
  <c r="BH2031" i="1"/>
  <c r="DE2812" i="1"/>
  <c r="CY2812" i="1"/>
  <c r="K2812" i="1"/>
  <c r="CX2812" i="1"/>
  <c r="CV2812" i="1"/>
  <c r="CU2812" i="1"/>
  <c r="I2812" i="1"/>
  <c r="BI2812" i="1"/>
  <c r="BH2812" i="1"/>
  <c r="DE2032" i="1"/>
  <c r="CY2032" i="1"/>
  <c r="K2032" i="1"/>
  <c r="CX2032" i="1"/>
  <c r="CV2032" i="1"/>
  <c r="CU2032" i="1"/>
  <c r="I2032" i="1"/>
  <c r="BI2032" i="1"/>
  <c r="BH2032" i="1"/>
  <c r="DE3115" i="1"/>
  <c r="CY3115" i="1"/>
  <c r="K3115" i="1"/>
  <c r="CX3115" i="1"/>
  <c r="CV3115" i="1"/>
  <c r="CU3115" i="1"/>
  <c r="I3115" i="1"/>
  <c r="BI3115" i="1"/>
  <c r="BH3115" i="1"/>
  <c r="DE2033" i="1"/>
  <c r="CY2033" i="1"/>
  <c r="K2033" i="1"/>
  <c r="CX2033" i="1"/>
  <c r="CV2033" i="1"/>
  <c r="CU2033" i="1"/>
  <c r="I2033" i="1"/>
  <c r="BI2033" i="1"/>
  <c r="BH2033" i="1"/>
  <c r="DE2813" i="1"/>
  <c r="CY2813" i="1"/>
  <c r="K2813" i="1"/>
  <c r="CX2813" i="1"/>
  <c r="CV2813" i="1"/>
  <c r="CU2813" i="1"/>
  <c r="I2813" i="1"/>
  <c r="BI2813" i="1"/>
  <c r="BH2813" i="1"/>
  <c r="DE2034" i="1"/>
  <c r="CY2034" i="1"/>
  <c r="K2034" i="1"/>
  <c r="CX2034" i="1"/>
  <c r="CV2034" i="1"/>
  <c r="CU2034" i="1"/>
  <c r="I2034" i="1"/>
  <c r="BI2034" i="1"/>
  <c r="BH2034" i="1"/>
  <c r="DE2035" i="1"/>
  <c r="CY2035" i="1"/>
  <c r="K2035" i="1"/>
  <c r="CX2035" i="1"/>
  <c r="CV2035" i="1"/>
  <c r="CU2035" i="1"/>
  <c r="I2035" i="1"/>
  <c r="BI2035" i="1"/>
  <c r="BH2035" i="1"/>
  <c r="DE2814" i="1"/>
  <c r="CY2814" i="1"/>
  <c r="K2814" i="1"/>
  <c r="CX2814" i="1"/>
  <c r="CV2814" i="1"/>
  <c r="CU2814" i="1"/>
  <c r="I2814" i="1"/>
  <c r="BI2814" i="1"/>
  <c r="BH2814" i="1"/>
  <c r="DE2933" i="1"/>
  <c r="CY2933" i="1"/>
  <c r="K2933" i="1"/>
  <c r="CX2933" i="1"/>
  <c r="CV2933" i="1"/>
  <c r="CU2933" i="1"/>
  <c r="I2933" i="1"/>
  <c r="BI2933" i="1"/>
  <c r="BH2933" i="1"/>
  <c r="DE2648" i="1"/>
  <c r="CY2648" i="1"/>
  <c r="K2648" i="1"/>
  <c r="CX2648" i="1"/>
  <c r="CV2648" i="1"/>
  <c r="CU2648" i="1"/>
  <c r="I2648" i="1"/>
  <c r="BI2648" i="1"/>
  <c r="BH2648" i="1"/>
  <c r="DE2931" i="1"/>
  <c r="CY2931" i="1"/>
  <c r="K2931" i="1"/>
  <c r="CX2931" i="1"/>
  <c r="CV2931" i="1"/>
  <c r="CU2931" i="1"/>
  <c r="I2931" i="1"/>
  <c r="BI2931" i="1"/>
  <c r="BH2931" i="1"/>
  <c r="DE518" i="1"/>
  <c r="CY518" i="1"/>
  <c r="K518" i="1"/>
  <c r="CX518" i="1"/>
  <c r="CV518" i="1"/>
  <c r="CU518" i="1"/>
  <c r="I518" i="1"/>
  <c r="BI518" i="1"/>
  <c r="BH518" i="1"/>
  <c r="DE2678" i="1"/>
  <c r="CY2678" i="1"/>
  <c r="K2678" i="1"/>
  <c r="CX2678" i="1"/>
  <c r="CV2678" i="1"/>
  <c r="CU2678" i="1"/>
  <c r="I2678" i="1"/>
  <c r="BI2678" i="1"/>
  <c r="BH2678" i="1"/>
  <c r="DE2928" i="1"/>
  <c r="CY2928" i="1"/>
  <c r="K2928" i="1"/>
  <c r="CX2928" i="1"/>
  <c r="CV2928" i="1"/>
  <c r="CU2928" i="1"/>
  <c r="I2928" i="1"/>
  <c r="BI2928" i="1"/>
  <c r="BH2928" i="1"/>
  <c r="DE2340" i="1"/>
  <c r="CY2340" i="1"/>
  <c r="K2340" i="1"/>
  <c r="CX2340" i="1"/>
  <c r="CV2340" i="1"/>
  <c r="CU2340" i="1"/>
  <c r="I2340" i="1"/>
  <c r="BI2340" i="1"/>
  <c r="BH2340" i="1"/>
  <c r="DE3372" i="1"/>
  <c r="CY3372" i="1"/>
  <c r="K3372" i="1"/>
  <c r="CX3372" i="1"/>
  <c r="CV3372" i="1"/>
  <c r="CU3372" i="1"/>
  <c r="I3372" i="1"/>
  <c r="CT3372" i="1"/>
  <c r="BI3372" i="1"/>
  <c r="BH3372" i="1"/>
  <c r="DE2614" i="1"/>
  <c r="CY2614" i="1"/>
  <c r="K2614" i="1"/>
  <c r="CX2614" i="1"/>
  <c r="CV2614" i="1"/>
  <c r="CU2614" i="1"/>
  <c r="I2614" i="1"/>
  <c r="BI2614" i="1"/>
  <c r="BH2614" i="1"/>
  <c r="DE2927" i="1"/>
  <c r="CY2927" i="1"/>
  <c r="K2927" i="1"/>
  <c r="CX2927" i="1"/>
  <c r="CV2927" i="1"/>
  <c r="CU2927" i="1"/>
  <c r="I2927" i="1"/>
  <c r="BI2927" i="1"/>
  <c r="BH2927" i="1"/>
  <c r="DE2926" i="1"/>
  <c r="CY2926" i="1"/>
  <c r="K2926" i="1"/>
  <c r="CX2926" i="1"/>
  <c r="CV2926" i="1"/>
  <c r="CU2926" i="1"/>
  <c r="I2926" i="1"/>
  <c r="BI2926" i="1"/>
  <c r="BH2926" i="1"/>
  <c r="DE2924" i="1"/>
  <c r="CY2924" i="1"/>
  <c r="K2924" i="1"/>
  <c r="CX2924" i="1"/>
  <c r="CV2924" i="1"/>
  <c r="CU2924" i="1"/>
  <c r="I2924" i="1"/>
  <c r="BI2924" i="1"/>
  <c r="BH2924" i="1"/>
  <c r="DE2923" i="1"/>
  <c r="CY2923" i="1"/>
  <c r="K2923" i="1"/>
  <c r="CX2923" i="1"/>
  <c r="CV2923" i="1"/>
  <c r="CU2923" i="1"/>
  <c r="I2923" i="1"/>
  <c r="BI2923" i="1"/>
  <c r="BH2923" i="1"/>
  <c r="DE3136" i="1"/>
  <c r="CY3136" i="1"/>
  <c r="K3136" i="1"/>
  <c r="CX3136" i="1"/>
  <c r="CV3136" i="1"/>
  <c r="CU3136" i="1"/>
  <c r="I3136" i="1"/>
  <c r="BI3136" i="1"/>
  <c r="BH3136" i="1"/>
  <c r="DE2922" i="1"/>
  <c r="CY2922" i="1"/>
  <c r="K2922" i="1"/>
  <c r="CX2922" i="1"/>
  <c r="CV2922" i="1"/>
  <c r="CU2922" i="1"/>
  <c r="I2922" i="1"/>
  <c r="BI2922" i="1"/>
  <c r="BH2922" i="1"/>
  <c r="DE2920" i="1"/>
  <c r="CY2920" i="1"/>
  <c r="K2920" i="1"/>
  <c r="CX2920" i="1"/>
  <c r="CV2920" i="1"/>
  <c r="CU2920" i="1"/>
  <c r="I2920" i="1"/>
  <c r="BI2920" i="1"/>
  <c r="BH2920" i="1"/>
  <c r="DE2921" i="1"/>
  <c r="CY2921" i="1"/>
  <c r="K2921" i="1"/>
  <c r="CX2921" i="1"/>
  <c r="CV2921" i="1"/>
  <c r="CU2921" i="1"/>
  <c r="I2921" i="1"/>
  <c r="BI2921" i="1"/>
  <c r="BH2921" i="1"/>
  <c r="DE2919" i="1"/>
  <c r="CY2919" i="1"/>
  <c r="K2919" i="1"/>
  <c r="CX2919" i="1"/>
  <c r="CV2919" i="1"/>
  <c r="CU2919" i="1"/>
  <c r="I2919" i="1"/>
  <c r="BI2919" i="1"/>
  <c r="BH2919" i="1"/>
  <c r="DE519" i="1"/>
  <c r="CY519" i="1"/>
  <c r="K519" i="1"/>
  <c r="CX519" i="1"/>
  <c r="CV519" i="1"/>
  <c r="CU519" i="1"/>
  <c r="I519" i="1"/>
  <c r="BI519" i="1"/>
  <c r="BH519" i="1"/>
  <c r="DE2918" i="1"/>
  <c r="CY2918" i="1"/>
  <c r="K2918" i="1"/>
  <c r="CX2918" i="1"/>
  <c r="CV2918" i="1"/>
  <c r="CU2918" i="1"/>
  <c r="I2918" i="1"/>
  <c r="BI2918" i="1"/>
  <c r="BH2918" i="1"/>
  <c r="DE2915" i="1"/>
  <c r="CY2915" i="1"/>
  <c r="K2915" i="1"/>
  <c r="CX2915" i="1"/>
  <c r="CV2915" i="1"/>
  <c r="CU2915" i="1"/>
  <c r="I2915" i="1"/>
  <c r="BI2915" i="1"/>
  <c r="BH2915" i="1"/>
  <c r="DE2916" i="1"/>
  <c r="CY2916" i="1"/>
  <c r="K2916" i="1"/>
  <c r="CX2916" i="1"/>
  <c r="CV2916" i="1"/>
  <c r="CU2916" i="1"/>
  <c r="I2916" i="1"/>
  <c r="BI2916" i="1"/>
  <c r="BH2916" i="1"/>
  <c r="DE2679" i="1"/>
  <c r="CY2679" i="1"/>
  <c r="K2679" i="1"/>
  <c r="CX2679" i="1"/>
  <c r="CV2679" i="1"/>
  <c r="CU2679" i="1"/>
  <c r="I2679" i="1"/>
  <c r="BI2679" i="1"/>
  <c r="BH2679" i="1"/>
  <c r="DE2914" i="1"/>
  <c r="CY2914" i="1"/>
  <c r="K2914" i="1"/>
  <c r="CX2914" i="1"/>
  <c r="CV2914" i="1"/>
  <c r="CU2914" i="1"/>
  <c r="I2914" i="1"/>
  <c r="BI2914" i="1"/>
  <c r="BH2914" i="1"/>
  <c r="DE2913" i="1"/>
  <c r="CY2913" i="1"/>
  <c r="K2913" i="1"/>
  <c r="CX2913" i="1"/>
  <c r="CV2913" i="1"/>
  <c r="CU2913" i="1"/>
  <c r="I2913" i="1"/>
  <c r="BI2913" i="1"/>
  <c r="BH2913" i="1"/>
  <c r="DE2233" i="1"/>
  <c r="CY2233" i="1"/>
  <c r="K2233" i="1"/>
  <c r="CX2233" i="1"/>
  <c r="CV2233" i="1"/>
  <c r="CU2233" i="1"/>
  <c r="I2233" i="1"/>
  <c r="BI2233" i="1"/>
  <c r="BH2233" i="1"/>
  <c r="DE2912" i="1"/>
  <c r="CY2912" i="1"/>
  <c r="K2912" i="1"/>
  <c r="CX2912" i="1"/>
  <c r="CV2912" i="1"/>
  <c r="CU2912" i="1"/>
  <c r="I2912" i="1"/>
  <c r="BI2912" i="1"/>
  <c r="BH2912" i="1"/>
  <c r="DE2911" i="1"/>
  <c r="CY2911" i="1"/>
  <c r="K2911" i="1"/>
  <c r="CX2911" i="1"/>
  <c r="CV2911" i="1"/>
  <c r="CU2911" i="1"/>
  <c r="I2911" i="1"/>
  <c r="BI2911" i="1"/>
  <c r="BH2911" i="1"/>
  <c r="DE2367" i="1"/>
  <c r="CY2367" i="1"/>
  <c r="K2367" i="1"/>
  <c r="CX2367" i="1"/>
  <c r="CV2367" i="1"/>
  <c r="CU2367" i="1"/>
  <c r="I2367" i="1"/>
  <c r="BI2367" i="1"/>
  <c r="BH2367" i="1"/>
  <c r="DE2232" i="1"/>
  <c r="CY2232" i="1"/>
  <c r="K2232" i="1"/>
  <c r="CX2232" i="1"/>
  <c r="CV2232" i="1"/>
  <c r="CU2232" i="1"/>
  <c r="I2232" i="1"/>
  <c r="BI2232" i="1"/>
  <c r="BH2232" i="1"/>
  <c r="DE2231" i="1"/>
  <c r="CY2231" i="1"/>
  <c r="K2231" i="1"/>
  <c r="CX2231" i="1"/>
  <c r="CV2231" i="1"/>
  <c r="CU2231" i="1"/>
  <c r="I2231" i="1"/>
  <c r="BI2231" i="1"/>
  <c r="BH2231" i="1"/>
  <c r="DE2230" i="1"/>
  <c r="CY2230" i="1"/>
  <c r="K2230" i="1"/>
  <c r="CX2230" i="1"/>
  <c r="CV2230" i="1"/>
  <c r="CU2230" i="1"/>
  <c r="I2230" i="1"/>
  <c r="BI2230" i="1"/>
  <c r="BH2230" i="1"/>
  <c r="DE2229" i="1"/>
  <c r="CY2229" i="1"/>
  <c r="K2229" i="1"/>
  <c r="CX2229" i="1"/>
  <c r="CV2229" i="1"/>
  <c r="CU2229" i="1"/>
  <c r="I2229" i="1"/>
  <c r="BI2229" i="1"/>
  <c r="BH2229" i="1"/>
  <c r="DE2910" i="1"/>
  <c r="CY2910" i="1"/>
  <c r="K2910" i="1"/>
  <c r="CX2910" i="1"/>
  <c r="CV2910" i="1"/>
  <c r="CU2910" i="1"/>
  <c r="I2910" i="1"/>
  <c r="BI2910" i="1"/>
  <c r="BH2910" i="1"/>
  <c r="DE3418" i="1"/>
  <c r="CY3418" i="1"/>
  <c r="K3418" i="1"/>
  <c r="CX3418" i="1"/>
  <c r="CV3418" i="1"/>
  <c r="CU3418" i="1"/>
  <c r="I3418" i="1"/>
  <c r="CT3418" i="1"/>
  <c r="BI3418" i="1"/>
  <c r="BH3418" i="1"/>
  <c r="DE2227" i="1"/>
  <c r="CY2227" i="1"/>
  <c r="K2227" i="1"/>
  <c r="CX2227" i="1"/>
  <c r="CV2227" i="1"/>
  <c r="CU2227" i="1"/>
  <c r="I2227" i="1"/>
  <c r="BI2227" i="1"/>
  <c r="BH2227" i="1"/>
  <c r="DE2909" i="1"/>
  <c r="CY2909" i="1"/>
  <c r="K2909" i="1"/>
  <c r="CX2909" i="1"/>
  <c r="CV2909" i="1"/>
  <c r="CU2909" i="1"/>
  <c r="I2909" i="1"/>
  <c r="BI2909" i="1"/>
  <c r="BH2909" i="1"/>
  <c r="DE2226" i="1"/>
  <c r="CY2226" i="1"/>
  <c r="K2226" i="1"/>
  <c r="CX2226" i="1"/>
  <c r="CV2226" i="1"/>
  <c r="CU2226" i="1"/>
  <c r="I2226" i="1"/>
  <c r="BI2226" i="1"/>
  <c r="BH2226" i="1"/>
  <c r="DE3137" i="1"/>
  <c r="CY3137" i="1"/>
  <c r="K3137" i="1"/>
  <c r="CX3137" i="1"/>
  <c r="CV3137" i="1"/>
  <c r="CU3137" i="1"/>
  <c r="I3137" i="1"/>
  <c r="BI3137" i="1"/>
  <c r="BH3137" i="1"/>
  <c r="DE2341" i="1"/>
  <c r="CY2341" i="1"/>
  <c r="K2341" i="1"/>
  <c r="CX2341" i="1"/>
  <c r="CV2341" i="1"/>
  <c r="CU2341" i="1"/>
  <c r="I2341" i="1"/>
  <c r="BI2341" i="1"/>
  <c r="BH2341" i="1"/>
  <c r="DE2224" i="1"/>
  <c r="CY2224" i="1"/>
  <c r="K2224" i="1"/>
  <c r="CX2224" i="1"/>
  <c r="CV2224" i="1"/>
  <c r="CU2224" i="1"/>
  <c r="I2224" i="1"/>
  <c r="BI2224" i="1"/>
  <c r="BH2224" i="1"/>
  <c r="DE2908" i="1"/>
  <c r="CY2908" i="1"/>
  <c r="K2908" i="1"/>
  <c r="CX2908" i="1"/>
  <c r="CV2908" i="1"/>
  <c r="CU2908" i="1"/>
  <c r="I2908" i="1"/>
  <c r="BI2908" i="1"/>
  <c r="BH2908" i="1"/>
  <c r="DE2907" i="1"/>
  <c r="CY2907" i="1"/>
  <c r="K2907" i="1"/>
  <c r="CX2907" i="1"/>
  <c r="CV2907" i="1"/>
  <c r="CU2907" i="1"/>
  <c r="I2907" i="1"/>
  <c r="BI2907" i="1"/>
  <c r="BH2907" i="1"/>
  <c r="DE2221" i="1"/>
  <c r="CY2221" i="1"/>
  <c r="K2221" i="1"/>
  <c r="CX2221" i="1"/>
  <c r="CV2221" i="1"/>
  <c r="CU2221" i="1"/>
  <c r="I2221" i="1"/>
  <c r="BI2221" i="1"/>
  <c r="BH2221" i="1"/>
  <c r="DE2637" i="1"/>
  <c r="CY2637" i="1"/>
  <c r="K2637" i="1"/>
  <c r="CX2637" i="1"/>
  <c r="CV2637" i="1"/>
  <c r="CU2637" i="1"/>
  <c r="I2637" i="1"/>
  <c r="BI2637" i="1"/>
  <c r="BH2637" i="1"/>
  <c r="DE2906" i="1"/>
  <c r="CY2906" i="1"/>
  <c r="K2906" i="1"/>
  <c r="CX2906" i="1"/>
  <c r="CV2906" i="1"/>
  <c r="CU2906" i="1"/>
  <c r="I2906" i="1"/>
  <c r="BI2906" i="1"/>
  <c r="BH2906" i="1"/>
  <c r="DE2220" i="1"/>
  <c r="CY2220" i="1"/>
  <c r="K2220" i="1"/>
  <c r="CX2220" i="1"/>
  <c r="CV2220" i="1"/>
  <c r="CU2220" i="1"/>
  <c r="I2220" i="1"/>
  <c r="BI2220" i="1"/>
  <c r="BH2220" i="1"/>
  <c r="DE2219" i="1"/>
  <c r="CY2219" i="1"/>
  <c r="K2219" i="1"/>
  <c r="CX2219" i="1"/>
  <c r="CV2219" i="1"/>
  <c r="CU2219" i="1"/>
  <c r="I2219" i="1"/>
  <c r="BI2219" i="1"/>
  <c r="BH2219" i="1"/>
  <c r="DE521" i="1"/>
  <c r="CY521" i="1"/>
  <c r="K521" i="1"/>
  <c r="CX521" i="1"/>
  <c r="CV521" i="1"/>
  <c r="CU521" i="1"/>
  <c r="I521" i="1"/>
  <c r="BI521" i="1"/>
  <c r="BH521" i="1"/>
  <c r="DE2905" i="1"/>
  <c r="CY2905" i="1"/>
  <c r="K2905" i="1"/>
  <c r="CX2905" i="1"/>
  <c r="CV2905" i="1"/>
  <c r="CU2905" i="1"/>
  <c r="I2905" i="1"/>
  <c r="BI2905" i="1"/>
  <c r="BH2905" i="1"/>
  <c r="DE2218" i="1"/>
  <c r="CY2218" i="1"/>
  <c r="K2218" i="1"/>
  <c r="CX2218" i="1"/>
  <c r="CV2218" i="1"/>
  <c r="CU2218" i="1"/>
  <c r="I2218" i="1"/>
  <c r="BI2218" i="1"/>
  <c r="BH2218" i="1"/>
  <c r="DE2217" i="1"/>
  <c r="CY2217" i="1"/>
  <c r="K2217" i="1"/>
  <c r="CX2217" i="1"/>
  <c r="CV2217" i="1"/>
  <c r="CU2217" i="1"/>
  <c r="I2217" i="1"/>
  <c r="BI2217" i="1"/>
  <c r="BH2217" i="1"/>
  <c r="DE3354" i="1"/>
  <c r="CY3354" i="1"/>
  <c r="K3354" i="1"/>
  <c r="CX3354" i="1"/>
  <c r="CV3354" i="1"/>
  <c r="CU3354" i="1"/>
  <c r="I3354" i="1"/>
  <c r="CT3354" i="1"/>
  <c r="BI3354" i="1"/>
  <c r="BH3354" i="1"/>
  <c r="DE2216" i="1"/>
  <c r="CY2216" i="1"/>
  <c r="K2216" i="1"/>
  <c r="CX2216" i="1"/>
  <c r="CV2216" i="1"/>
  <c r="CU2216" i="1"/>
  <c r="I2216" i="1"/>
  <c r="BI2216" i="1"/>
  <c r="BH2216" i="1"/>
  <c r="DE2215" i="1"/>
  <c r="CY2215" i="1"/>
  <c r="K2215" i="1"/>
  <c r="CX2215" i="1"/>
  <c r="CV2215" i="1"/>
  <c r="CU2215" i="1"/>
  <c r="I2215" i="1"/>
  <c r="BI2215" i="1"/>
  <c r="BH2215" i="1"/>
  <c r="DE2214" i="1"/>
  <c r="CY2214" i="1"/>
  <c r="K2214" i="1"/>
  <c r="CX2214" i="1"/>
  <c r="CV2214" i="1"/>
  <c r="CU2214" i="1"/>
  <c r="I2214" i="1"/>
  <c r="BI2214" i="1"/>
  <c r="BH2214" i="1"/>
  <c r="DE2369" i="1"/>
  <c r="CY2369" i="1"/>
  <c r="K2369" i="1"/>
  <c r="CX2369" i="1"/>
  <c r="CV2369" i="1"/>
  <c r="CU2369" i="1"/>
  <c r="I2369" i="1"/>
  <c r="BI2369" i="1"/>
  <c r="BH2369" i="1"/>
  <c r="DE2213" i="1"/>
  <c r="CY2213" i="1"/>
  <c r="K2213" i="1"/>
  <c r="CX2213" i="1"/>
  <c r="CV2213" i="1"/>
  <c r="CU2213" i="1"/>
  <c r="I2213" i="1"/>
  <c r="BI2213" i="1"/>
  <c r="BH2213" i="1"/>
  <c r="DE2902" i="1"/>
  <c r="CY2902" i="1"/>
  <c r="K2902" i="1"/>
  <c r="CX2902" i="1"/>
  <c r="CV2902" i="1"/>
  <c r="CU2902" i="1"/>
  <c r="I2902" i="1"/>
  <c r="BI2902" i="1"/>
  <c r="BH2902" i="1"/>
  <c r="DE2212" i="1"/>
  <c r="CY2212" i="1"/>
  <c r="K2212" i="1"/>
  <c r="CX2212" i="1"/>
  <c r="CV2212" i="1"/>
  <c r="CU2212" i="1"/>
  <c r="I2212" i="1"/>
  <c r="BI2212" i="1"/>
  <c r="BH2212" i="1"/>
  <c r="DE2211" i="1"/>
  <c r="CY2211" i="1"/>
  <c r="K2211" i="1"/>
  <c r="CX2211" i="1"/>
  <c r="CV2211" i="1"/>
  <c r="CU2211" i="1"/>
  <c r="I2211" i="1"/>
  <c r="BI2211" i="1"/>
  <c r="BH2211" i="1"/>
  <c r="DE2901" i="1"/>
  <c r="CY2901" i="1"/>
  <c r="K2901" i="1"/>
  <c r="CX2901" i="1"/>
  <c r="CV2901" i="1"/>
  <c r="CU2901" i="1"/>
  <c r="I2901" i="1"/>
  <c r="BI2901" i="1"/>
  <c r="BH2901" i="1"/>
  <c r="DE2210" i="1"/>
  <c r="CY2210" i="1"/>
  <c r="K2210" i="1"/>
  <c r="CX2210" i="1"/>
  <c r="CV2210" i="1"/>
  <c r="CU2210" i="1"/>
  <c r="I2210" i="1"/>
  <c r="BI2210" i="1"/>
  <c r="BH2210" i="1"/>
  <c r="DE2209" i="1"/>
  <c r="CY2209" i="1"/>
  <c r="K2209" i="1"/>
  <c r="CX2209" i="1"/>
  <c r="CV2209" i="1"/>
  <c r="CU2209" i="1"/>
  <c r="I2209" i="1"/>
  <c r="BI2209" i="1"/>
  <c r="BH2209" i="1"/>
  <c r="DE2899" i="1"/>
  <c r="CY2899" i="1"/>
  <c r="K2899" i="1"/>
  <c r="CX2899" i="1"/>
  <c r="CV2899" i="1"/>
  <c r="CU2899" i="1"/>
  <c r="I2899" i="1"/>
  <c r="BI2899" i="1"/>
  <c r="BH2899" i="1"/>
  <c r="DE2208" i="1"/>
  <c r="CY2208" i="1"/>
  <c r="K2208" i="1"/>
  <c r="CX2208" i="1"/>
  <c r="CV2208" i="1"/>
  <c r="CU2208" i="1"/>
  <c r="I2208" i="1"/>
  <c r="BI2208" i="1"/>
  <c r="BH2208" i="1"/>
  <c r="DE2207" i="1"/>
  <c r="CY2207" i="1"/>
  <c r="K2207" i="1"/>
  <c r="CX2207" i="1"/>
  <c r="CV2207" i="1"/>
  <c r="CU2207" i="1"/>
  <c r="I2207" i="1"/>
  <c r="BI2207" i="1"/>
  <c r="BH2207" i="1"/>
  <c r="DE2206" i="1"/>
  <c r="CY2206" i="1"/>
  <c r="K2206" i="1"/>
  <c r="CX2206" i="1"/>
  <c r="CV2206" i="1"/>
  <c r="CU2206" i="1"/>
  <c r="I2206" i="1"/>
  <c r="BI2206" i="1"/>
  <c r="BH2206" i="1"/>
  <c r="DE2205" i="1"/>
  <c r="CY2205" i="1"/>
  <c r="K2205" i="1"/>
  <c r="CX2205" i="1"/>
  <c r="CV2205" i="1"/>
  <c r="CU2205" i="1"/>
  <c r="I2205" i="1"/>
  <c r="BI2205" i="1"/>
  <c r="BH2205" i="1"/>
  <c r="DE2900" i="1"/>
  <c r="CY2900" i="1"/>
  <c r="K2900" i="1"/>
  <c r="CX2900" i="1"/>
  <c r="CV2900" i="1"/>
  <c r="CU2900" i="1"/>
  <c r="I2900" i="1"/>
  <c r="BI2900" i="1"/>
  <c r="BH2900" i="1"/>
  <c r="DE2898" i="1"/>
  <c r="CY2898" i="1"/>
  <c r="K2898" i="1"/>
  <c r="CX2898" i="1"/>
  <c r="CV2898" i="1"/>
  <c r="CU2898" i="1"/>
  <c r="I2898" i="1"/>
  <c r="BI2898" i="1"/>
  <c r="BH2898" i="1"/>
  <c r="DE522" i="1"/>
  <c r="CY522" i="1"/>
  <c r="K522" i="1"/>
  <c r="CX522" i="1"/>
  <c r="CV522" i="1"/>
  <c r="CU522" i="1"/>
  <c r="I522" i="1"/>
  <c r="BI522" i="1"/>
  <c r="BH522" i="1"/>
  <c r="DE2203" i="1"/>
  <c r="CY2203" i="1"/>
  <c r="K2203" i="1"/>
  <c r="CX2203" i="1"/>
  <c r="CV2203" i="1"/>
  <c r="CU2203" i="1"/>
  <c r="I2203" i="1"/>
  <c r="BI2203" i="1"/>
  <c r="BH2203" i="1"/>
  <c r="DE2897" i="1"/>
  <c r="CY2897" i="1"/>
  <c r="K2897" i="1"/>
  <c r="CX2897" i="1"/>
  <c r="CV2897" i="1"/>
  <c r="CU2897" i="1"/>
  <c r="I2897" i="1"/>
  <c r="BI2897" i="1"/>
  <c r="BH2897" i="1"/>
  <c r="DE2202" i="1"/>
  <c r="CY2202" i="1"/>
  <c r="K2202" i="1"/>
  <c r="CX2202" i="1"/>
  <c r="CV2202" i="1"/>
  <c r="CU2202" i="1"/>
  <c r="I2202" i="1"/>
  <c r="BI2202" i="1"/>
  <c r="BH2202" i="1"/>
  <c r="DE2201" i="1"/>
  <c r="CY2201" i="1"/>
  <c r="K2201" i="1"/>
  <c r="CX2201" i="1"/>
  <c r="CV2201" i="1"/>
  <c r="CU2201" i="1"/>
  <c r="I2201" i="1"/>
  <c r="BI2201" i="1"/>
  <c r="BH2201" i="1"/>
  <c r="DE2329" i="1"/>
  <c r="CY2329" i="1"/>
  <c r="K2329" i="1"/>
  <c r="CX2329" i="1"/>
  <c r="CV2329" i="1"/>
  <c r="CU2329" i="1"/>
  <c r="I2329" i="1"/>
  <c r="BI2329" i="1"/>
  <c r="BH2329" i="1"/>
  <c r="DE2332" i="1"/>
  <c r="CY2332" i="1"/>
  <c r="K2332" i="1"/>
  <c r="CX2332" i="1"/>
  <c r="CV2332" i="1"/>
  <c r="CU2332" i="1"/>
  <c r="I2332" i="1"/>
  <c r="BI2332" i="1"/>
  <c r="BH2332" i="1"/>
  <c r="DE2896" i="1"/>
  <c r="CY2896" i="1"/>
  <c r="K2896" i="1"/>
  <c r="CX2896" i="1"/>
  <c r="CV2896" i="1"/>
  <c r="CU2896" i="1"/>
  <c r="I2896" i="1"/>
  <c r="BI2896" i="1"/>
  <c r="BH2896" i="1"/>
  <c r="DE3589" i="1"/>
  <c r="CY3589" i="1"/>
  <c r="K3589" i="1"/>
  <c r="CX3589" i="1"/>
  <c r="CV3589" i="1"/>
  <c r="CU3589" i="1"/>
  <c r="I3589" i="1"/>
  <c r="CT3589" i="1"/>
  <c r="BI3589" i="1"/>
  <c r="BH3589" i="1"/>
  <c r="DE2199" i="1"/>
  <c r="CY2199" i="1"/>
  <c r="K2199" i="1"/>
  <c r="CX2199" i="1"/>
  <c r="CV2199" i="1"/>
  <c r="CU2199" i="1"/>
  <c r="I2199" i="1"/>
  <c r="BI2199" i="1"/>
  <c r="BH2199" i="1"/>
  <c r="DE2895" i="1"/>
  <c r="CY2895" i="1"/>
  <c r="K2895" i="1"/>
  <c r="CX2895" i="1"/>
  <c r="CV2895" i="1"/>
  <c r="CU2895" i="1"/>
  <c r="I2895" i="1"/>
  <c r="BI2895" i="1"/>
  <c r="BH2895" i="1"/>
  <c r="DE2198" i="1"/>
  <c r="CY2198" i="1"/>
  <c r="K2198" i="1"/>
  <c r="CX2198" i="1"/>
  <c r="CV2198" i="1"/>
  <c r="CU2198" i="1"/>
  <c r="I2198" i="1"/>
  <c r="BI2198" i="1"/>
  <c r="BH2198" i="1"/>
  <c r="DE2197" i="1"/>
  <c r="CY2197" i="1"/>
  <c r="K2197" i="1"/>
  <c r="CX2197" i="1"/>
  <c r="CV2197" i="1"/>
  <c r="CU2197" i="1"/>
  <c r="I2197" i="1"/>
  <c r="BI2197" i="1"/>
  <c r="BH2197" i="1"/>
  <c r="DE2894" i="1"/>
  <c r="CY2894" i="1"/>
  <c r="K2894" i="1"/>
  <c r="CX2894" i="1"/>
  <c r="CV2894" i="1"/>
  <c r="CU2894" i="1"/>
  <c r="I2894" i="1"/>
  <c r="BI2894" i="1"/>
  <c r="BH2894" i="1"/>
  <c r="DE2196" i="1"/>
  <c r="CY2196" i="1"/>
  <c r="K2196" i="1"/>
  <c r="CX2196" i="1"/>
  <c r="CV2196" i="1"/>
  <c r="CU2196" i="1"/>
  <c r="I2196" i="1"/>
  <c r="BI2196" i="1"/>
  <c r="BH2196" i="1"/>
  <c r="DE2195" i="1"/>
  <c r="CY2195" i="1"/>
  <c r="K2195" i="1"/>
  <c r="CX2195" i="1"/>
  <c r="CV2195" i="1"/>
  <c r="CU2195" i="1"/>
  <c r="I2195" i="1"/>
  <c r="BI2195" i="1"/>
  <c r="BH2195" i="1"/>
  <c r="DE2194" i="1"/>
  <c r="CY2194" i="1"/>
  <c r="K2194" i="1"/>
  <c r="CX2194" i="1"/>
  <c r="CV2194" i="1"/>
  <c r="CU2194" i="1"/>
  <c r="I2194" i="1"/>
  <c r="BI2194" i="1"/>
  <c r="BH2194" i="1"/>
  <c r="DE2193" i="1"/>
  <c r="CY2193" i="1"/>
  <c r="K2193" i="1"/>
  <c r="CX2193" i="1"/>
  <c r="CV2193" i="1"/>
  <c r="CU2193" i="1"/>
  <c r="I2193" i="1"/>
  <c r="BI2193" i="1"/>
  <c r="BH2193" i="1"/>
  <c r="DE2892" i="1"/>
  <c r="CY2892" i="1"/>
  <c r="K2892" i="1"/>
  <c r="CX2892" i="1"/>
  <c r="CV2892" i="1"/>
  <c r="CU2892" i="1"/>
  <c r="I2892" i="1"/>
  <c r="BI2892" i="1"/>
  <c r="BH2892" i="1"/>
  <c r="DE2891" i="1"/>
  <c r="CY2891" i="1"/>
  <c r="K2891" i="1"/>
  <c r="CX2891" i="1"/>
  <c r="CV2891" i="1"/>
  <c r="CU2891" i="1"/>
  <c r="I2891" i="1"/>
  <c r="BI2891" i="1"/>
  <c r="BH2891" i="1"/>
  <c r="DE2192" i="1"/>
  <c r="CY2192" i="1"/>
  <c r="K2192" i="1"/>
  <c r="CX2192" i="1"/>
  <c r="CV2192" i="1"/>
  <c r="CU2192" i="1"/>
  <c r="I2192" i="1"/>
  <c r="BI2192" i="1"/>
  <c r="BH2192" i="1"/>
  <c r="DE2191" i="1"/>
  <c r="CY2191" i="1"/>
  <c r="K2191" i="1"/>
  <c r="CX2191" i="1"/>
  <c r="CV2191" i="1"/>
  <c r="CU2191" i="1"/>
  <c r="I2191" i="1"/>
  <c r="BI2191" i="1"/>
  <c r="BH2191" i="1"/>
  <c r="DE2190" i="1"/>
  <c r="CY2190" i="1"/>
  <c r="K2190" i="1"/>
  <c r="CX2190" i="1"/>
  <c r="CV2190" i="1"/>
  <c r="CU2190" i="1"/>
  <c r="I2190" i="1"/>
  <c r="BI2190" i="1"/>
  <c r="BH2190" i="1"/>
  <c r="DE2189" i="1"/>
  <c r="CY2189" i="1"/>
  <c r="K2189" i="1"/>
  <c r="CX2189" i="1"/>
  <c r="CV2189" i="1"/>
  <c r="CU2189" i="1"/>
  <c r="I2189" i="1"/>
  <c r="BI2189" i="1"/>
  <c r="BH2189" i="1"/>
  <c r="DE2890" i="1"/>
  <c r="CY2890" i="1"/>
  <c r="K2890" i="1"/>
  <c r="CX2890" i="1"/>
  <c r="CV2890" i="1"/>
  <c r="CU2890" i="1"/>
  <c r="I2890" i="1"/>
  <c r="BI2890" i="1"/>
  <c r="BH2890" i="1"/>
  <c r="DE2188" i="1"/>
  <c r="CY2188" i="1"/>
  <c r="K2188" i="1"/>
  <c r="CX2188" i="1"/>
  <c r="CV2188" i="1"/>
  <c r="CU2188" i="1"/>
  <c r="I2188" i="1"/>
  <c r="BI2188" i="1"/>
  <c r="BH2188" i="1"/>
  <c r="DE2187" i="1"/>
  <c r="CY2187" i="1"/>
  <c r="K2187" i="1"/>
  <c r="CX2187" i="1"/>
  <c r="CV2187" i="1"/>
  <c r="CU2187" i="1"/>
  <c r="I2187" i="1"/>
  <c r="BI2187" i="1"/>
  <c r="BH2187" i="1"/>
  <c r="DE2889" i="1"/>
  <c r="CY2889" i="1"/>
  <c r="K2889" i="1"/>
  <c r="CX2889" i="1"/>
  <c r="CV2889" i="1"/>
  <c r="CU2889" i="1"/>
  <c r="I2889" i="1"/>
  <c r="BI2889" i="1"/>
  <c r="BH2889" i="1"/>
  <c r="DE2186" i="1"/>
  <c r="CY2186" i="1"/>
  <c r="K2186" i="1"/>
  <c r="CX2186" i="1"/>
  <c r="CV2186" i="1"/>
  <c r="CU2186" i="1"/>
  <c r="I2186" i="1"/>
  <c r="BI2186" i="1"/>
  <c r="BH2186" i="1"/>
  <c r="DE2185" i="1"/>
  <c r="CY2185" i="1"/>
  <c r="K2185" i="1"/>
  <c r="CX2185" i="1"/>
  <c r="CV2185" i="1"/>
  <c r="CU2185" i="1"/>
  <c r="I2185" i="1"/>
  <c r="BI2185" i="1"/>
  <c r="BH2185" i="1"/>
  <c r="DE523" i="1"/>
  <c r="CY523" i="1"/>
  <c r="K523" i="1"/>
  <c r="CX523" i="1"/>
  <c r="CV523" i="1"/>
  <c r="CU523" i="1"/>
  <c r="I523" i="1"/>
  <c r="BI523" i="1"/>
  <c r="BH523" i="1"/>
  <c r="DE2183" i="1"/>
  <c r="CY2183" i="1"/>
  <c r="K2183" i="1"/>
  <c r="CX2183" i="1"/>
  <c r="CV2183" i="1"/>
  <c r="CU2183" i="1"/>
  <c r="I2183" i="1"/>
  <c r="BI2183" i="1"/>
  <c r="BH2183" i="1"/>
  <c r="DE2182" i="1"/>
  <c r="CY2182" i="1"/>
  <c r="K2182" i="1"/>
  <c r="CX2182" i="1"/>
  <c r="CV2182" i="1"/>
  <c r="CU2182" i="1"/>
  <c r="I2182" i="1"/>
  <c r="BI2182" i="1"/>
  <c r="BH2182" i="1"/>
  <c r="DE2888" i="1"/>
  <c r="CY2888" i="1"/>
  <c r="K2888" i="1"/>
  <c r="CX2888" i="1"/>
  <c r="CV2888" i="1"/>
  <c r="CU2888" i="1"/>
  <c r="I2888" i="1"/>
  <c r="BI2888" i="1"/>
  <c r="BH2888" i="1"/>
  <c r="DE2371" i="1"/>
  <c r="CY2371" i="1"/>
  <c r="K2371" i="1"/>
  <c r="CX2371" i="1"/>
  <c r="CV2371" i="1"/>
  <c r="CU2371" i="1"/>
  <c r="I2371" i="1"/>
  <c r="BI2371" i="1"/>
  <c r="BH2371" i="1"/>
  <c r="DE2181" i="1"/>
  <c r="CY2181" i="1"/>
  <c r="K2181" i="1"/>
  <c r="CX2181" i="1"/>
  <c r="CV2181" i="1"/>
  <c r="CU2181" i="1"/>
  <c r="I2181" i="1"/>
  <c r="BI2181" i="1"/>
  <c r="BH2181" i="1"/>
  <c r="DE2887" i="1"/>
  <c r="CY2887" i="1"/>
  <c r="K2887" i="1"/>
  <c r="CX2887" i="1"/>
  <c r="CV2887" i="1"/>
  <c r="CU2887" i="1"/>
  <c r="I2887" i="1"/>
  <c r="BI2887" i="1"/>
  <c r="BH2887" i="1"/>
  <c r="DE2886" i="1"/>
  <c r="CY2886" i="1"/>
  <c r="K2886" i="1"/>
  <c r="CX2886" i="1"/>
  <c r="CV2886" i="1"/>
  <c r="CU2886" i="1"/>
  <c r="I2886" i="1"/>
  <c r="BI2886" i="1"/>
  <c r="BH2886" i="1"/>
  <c r="DE3564" i="1"/>
  <c r="CY3564" i="1"/>
  <c r="K3564" i="1"/>
  <c r="CX3564" i="1"/>
  <c r="CV3564" i="1"/>
  <c r="CU3564" i="1"/>
  <c r="I3564" i="1"/>
  <c r="CT3564" i="1"/>
  <c r="BI3564" i="1"/>
  <c r="BH3564" i="1"/>
  <c r="DE2179" i="1"/>
  <c r="CY2179" i="1"/>
  <c r="K2179" i="1"/>
  <c r="CX2179" i="1"/>
  <c r="CV2179" i="1"/>
  <c r="CU2179" i="1"/>
  <c r="I2179" i="1"/>
  <c r="BI2179" i="1"/>
  <c r="BH2179" i="1"/>
  <c r="DE2885" i="1"/>
  <c r="CY2885" i="1"/>
  <c r="K2885" i="1"/>
  <c r="CX2885" i="1"/>
  <c r="CV2885" i="1"/>
  <c r="CU2885" i="1"/>
  <c r="I2885" i="1"/>
  <c r="BI2885" i="1"/>
  <c r="BH2885" i="1"/>
  <c r="DE2178" i="1"/>
  <c r="CY2178" i="1"/>
  <c r="K2178" i="1"/>
  <c r="CX2178" i="1"/>
  <c r="CV2178" i="1"/>
  <c r="CU2178" i="1"/>
  <c r="I2178" i="1"/>
  <c r="BI2178" i="1"/>
  <c r="BH2178" i="1"/>
  <c r="DE2177" i="1"/>
  <c r="CY2177" i="1"/>
  <c r="K2177" i="1"/>
  <c r="CX2177" i="1"/>
  <c r="CV2177" i="1"/>
  <c r="CU2177" i="1"/>
  <c r="I2177" i="1"/>
  <c r="BI2177" i="1"/>
  <c r="BH2177" i="1"/>
  <c r="DE2884" i="1"/>
  <c r="CY2884" i="1"/>
  <c r="K2884" i="1"/>
  <c r="CX2884" i="1"/>
  <c r="CV2884" i="1"/>
  <c r="CU2884" i="1"/>
  <c r="I2884" i="1"/>
  <c r="BI2884" i="1"/>
  <c r="BH2884" i="1"/>
  <c r="DE2176" i="1"/>
  <c r="CY2176" i="1"/>
  <c r="K2176" i="1"/>
  <c r="CX2176" i="1"/>
  <c r="CV2176" i="1"/>
  <c r="CU2176" i="1"/>
  <c r="I2176" i="1"/>
  <c r="BI2176" i="1"/>
  <c r="BH2176" i="1"/>
  <c r="DE2175" i="1"/>
  <c r="CY2175" i="1"/>
  <c r="K2175" i="1"/>
  <c r="CX2175" i="1"/>
  <c r="CV2175" i="1"/>
  <c r="CU2175" i="1"/>
  <c r="I2175" i="1"/>
  <c r="BI2175" i="1"/>
  <c r="BH2175" i="1"/>
  <c r="DE2883" i="1"/>
  <c r="CY2883" i="1"/>
  <c r="K2883" i="1"/>
  <c r="CX2883" i="1"/>
  <c r="CV2883" i="1"/>
  <c r="CU2883" i="1"/>
  <c r="I2883" i="1"/>
  <c r="BI2883" i="1"/>
  <c r="BH2883" i="1"/>
  <c r="DE2174" i="1"/>
  <c r="CY2174" i="1"/>
  <c r="K2174" i="1"/>
  <c r="CX2174" i="1"/>
  <c r="CV2174" i="1"/>
  <c r="CU2174" i="1"/>
  <c r="I2174" i="1"/>
  <c r="BI2174" i="1"/>
  <c r="BH2174" i="1"/>
  <c r="DE2173" i="1"/>
  <c r="CY2173" i="1"/>
  <c r="K2173" i="1"/>
  <c r="CX2173" i="1"/>
  <c r="CV2173" i="1"/>
  <c r="CU2173" i="1"/>
  <c r="I2173" i="1"/>
  <c r="BI2173" i="1"/>
  <c r="BH2173" i="1"/>
  <c r="DE2882" i="1"/>
  <c r="CY2882" i="1"/>
  <c r="K2882" i="1"/>
  <c r="CX2882" i="1"/>
  <c r="CV2882" i="1"/>
  <c r="CU2882" i="1"/>
  <c r="I2882" i="1"/>
  <c r="BI2882" i="1"/>
  <c r="BH2882" i="1"/>
  <c r="DE2172" i="1"/>
  <c r="CY2172" i="1"/>
  <c r="K2172" i="1"/>
  <c r="CX2172" i="1"/>
  <c r="CV2172" i="1"/>
  <c r="CU2172" i="1"/>
  <c r="I2172" i="1"/>
  <c r="BI2172" i="1"/>
  <c r="BH2172" i="1"/>
  <c r="DE2171" i="1"/>
  <c r="CY2171" i="1"/>
  <c r="K2171" i="1"/>
  <c r="CX2171" i="1"/>
  <c r="CV2171" i="1"/>
  <c r="CU2171" i="1"/>
  <c r="I2171" i="1"/>
  <c r="BI2171" i="1"/>
  <c r="BH2171" i="1"/>
  <c r="DE2170" i="1"/>
  <c r="CY2170" i="1"/>
  <c r="K2170" i="1"/>
  <c r="CX2170" i="1"/>
  <c r="CV2170" i="1"/>
  <c r="CU2170" i="1"/>
  <c r="I2170" i="1"/>
  <c r="BI2170" i="1"/>
  <c r="BH2170" i="1"/>
  <c r="DE2881" i="1"/>
  <c r="CY2881" i="1"/>
  <c r="K2881" i="1"/>
  <c r="CX2881" i="1"/>
  <c r="CV2881" i="1"/>
  <c r="CU2881" i="1"/>
  <c r="I2881" i="1"/>
  <c r="BI2881" i="1"/>
  <c r="BH2881" i="1"/>
  <c r="DE2169" i="1"/>
  <c r="CY2169" i="1"/>
  <c r="K2169" i="1"/>
  <c r="CX2169" i="1"/>
  <c r="CV2169" i="1"/>
  <c r="CU2169" i="1"/>
  <c r="I2169" i="1"/>
  <c r="BI2169" i="1"/>
  <c r="BH2169" i="1"/>
  <c r="DE2352" i="1"/>
  <c r="CY2352" i="1"/>
  <c r="K2352" i="1"/>
  <c r="CX2352" i="1"/>
  <c r="CV2352" i="1"/>
  <c r="CU2352" i="1"/>
  <c r="I2352" i="1"/>
  <c r="BI2352" i="1"/>
  <c r="BH2352" i="1"/>
  <c r="DE2879" i="1"/>
  <c r="CY2879" i="1"/>
  <c r="K2879" i="1"/>
  <c r="CX2879" i="1"/>
  <c r="CV2879" i="1"/>
  <c r="CU2879" i="1"/>
  <c r="I2879" i="1"/>
  <c r="BI2879" i="1"/>
  <c r="BH2879" i="1"/>
  <c r="DE2168" i="1"/>
  <c r="CY2168" i="1"/>
  <c r="K2168" i="1"/>
  <c r="CX2168" i="1"/>
  <c r="CV2168" i="1"/>
  <c r="CU2168" i="1"/>
  <c r="I2168" i="1"/>
  <c r="BI2168" i="1"/>
  <c r="BH2168" i="1"/>
  <c r="DE2167" i="1"/>
  <c r="CY2167" i="1"/>
  <c r="K2167" i="1"/>
  <c r="CX2167" i="1"/>
  <c r="CV2167" i="1"/>
  <c r="CU2167" i="1"/>
  <c r="I2167" i="1"/>
  <c r="BI2167" i="1"/>
  <c r="BH2167" i="1"/>
  <c r="DE2880" i="1"/>
  <c r="CY2880" i="1"/>
  <c r="K2880" i="1"/>
  <c r="CX2880" i="1"/>
  <c r="CV2880" i="1"/>
  <c r="CU2880" i="1"/>
  <c r="I2880" i="1"/>
  <c r="BI2880" i="1"/>
  <c r="BH2880" i="1"/>
  <c r="DE2166" i="1"/>
  <c r="CY2166" i="1"/>
  <c r="K2166" i="1"/>
  <c r="CX2166" i="1"/>
  <c r="CV2166" i="1"/>
  <c r="CU2166" i="1"/>
  <c r="I2166" i="1"/>
  <c r="BI2166" i="1"/>
  <c r="BH2166" i="1"/>
  <c r="DE525" i="1"/>
  <c r="CY525" i="1"/>
  <c r="K525" i="1"/>
  <c r="CX525" i="1"/>
  <c r="CV525" i="1"/>
  <c r="CU525" i="1"/>
  <c r="I525" i="1"/>
  <c r="BI525" i="1"/>
  <c r="BH525" i="1"/>
  <c r="DE2165" i="1"/>
  <c r="CY2165" i="1"/>
  <c r="K2165" i="1"/>
  <c r="CX2165" i="1"/>
  <c r="CV2165" i="1"/>
  <c r="CU2165" i="1"/>
  <c r="I2165" i="1"/>
  <c r="BI2165" i="1"/>
  <c r="BH2165" i="1"/>
  <c r="DE2164" i="1"/>
  <c r="CY2164" i="1"/>
  <c r="K2164" i="1"/>
  <c r="CX2164" i="1"/>
  <c r="CV2164" i="1"/>
  <c r="CU2164" i="1"/>
  <c r="I2164" i="1"/>
  <c r="BI2164" i="1"/>
  <c r="BH2164" i="1"/>
  <c r="DE2163" i="1"/>
  <c r="CY2163" i="1"/>
  <c r="K2163" i="1"/>
  <c r="CX2163" i="1"/>
  <c r="CV2163" i="1"/>
  <c r="CU2163" i="1"/>
  <c r="I2163" i="1"/>
  <c r="BI2163" i="1"/>
  <c r="BH2163" i="1"/>
  <c r="DE2878" i="1"/>
  <c r="CY2878" i="1"/>
  <c r="K2878" i="1"/>
  <c r="CX2878" i="1"/>
  <c r="CV2878" i="1"/>
  <c r="CU2878" i="1"/>
  <c r="I2878" i="1"/>
  <c r="BI2878" i="1"/>
  <c r="BH2878" i="1"/>
  <c r="DE2162" i="1"/>
  <c r="CY2162" i="1"/>
  <c r="K2162" i="1"/>
  <c r="CX2162" i="1"/>
  <c r="CV2162" i="1"/>
  <c r="CU2162" i="1"/>
  <c r="I2162" i="1"/>
  <c r="BI2162" i="1"/>
  <c r="BH2162" i="1"/>
  <c r="DE2877" i="1"/>
  <c r="CY2877" i="1"/>
  <c r="K2877" i="1"/>
  <c r="CX2877" i="1"/>
  <c r="CV2877" i="1"/>
  <c r="CU2877" i="1"/>
  <c r="I2877" i="1"/>
  <c r="BI2877" i="1"/>
  <c r="BH2877" i="1"/>
  <c r="DE2161" i="1"/>
  <c r="CY2161" i="1"/>
  <c r="K2161" i="1"/>
  <c r="CX2161" i="1"/>
  <c r="CV2161" i="1"/>
  <c r="CU2161" i="1"/>
  <c r="I2161" i="1"/>
  <c r="BI2161" i="1"/>
  <c r="BH2161" i="1"/>
  <c r="DE3671" i="1"/>
  <c r="CY3671" i="1"/>
  <c r="K3671" i="1"/>
  <c r="CX3671" i="1"/>
  <c r="CV3671" i="1"/>
  <c r="CU3671" i="1"/>
  <c r="I3671" i="1"/>
  <c r="CT3671" i="1"/>
  <c r="BI3671" i="1"/>
  <c r="BH3671" i="1"/>
  <c r="DE2876" i="1"/>
  <c r="CY2876" i="1"/>
  <c r="K2876" i="1"/>
  <c r="CX2876" i="1"/>
  <c r="CV2876" i="1"/>
  <c r="CU2876" i="1"/>
  <c r="I2876" i="1"/>
  <c r="BI2876" i="1"/>
  <c r="BH2876" i="1"/>
  <c r="DE2160" i="1"/>
  <c r="CY2160" i="1"/>
  <c r="K2160" i="1"/>
  <c r="CX2160" i="1"/>
  <c r="CV2160" i="1"/>
  <c r="CU2160" i="1"/>
  <c r="I2160" i="1"/>
  <c r="BI2160" i="1"/>
  <c r="BH2160" i="1"/>
  <c r="DE2159" i="1"/>
  <c r="CY2159" i="1"/>
  <c r="K2159" i="1"/>
  <c r="CX2159" i="1"/>
  <c r="CV2159" i="1"/>
  <c r="CU2159" i="1"/>
  <c r="I2159" i="1"/>
  <c r="BI2159" i="1"/>
  <c r="BH2159" i="1"/>
  <c r="DE2158" i="1"/>
  <c r="CY2158" i="1"/>
  <c r="K2158" i="1"/>
  <c r="CX2158" i="1"/>
  <c r="CV2158" i="1"/>
  <c r="CU2158" i="1"/>
  <c r="I2158" i="1"/>
  <c r="BI2158" i="1"/>
  <c r="BH2158" i="1"/>
  <c r="DE2875" i="1"/>
  <c r="CY2875" i="1"/>
  <c r="K2875" i="1"/>
  <c r="CX2875" i="1"/>
  <c r="CV2875" i="1"/>
  <c r="CU2875" i="1"/>
  <c r="I2875" i="1"/>
  <c r="BI2875" i="1"/>
  <c r="BH2875" i="1"/>
  <c r="DE2157" i="1"/>
  <c r="CY2157" i="1"/>
  <c r="K2157" i="1"/>
  <c r="CX2157" i="1"/>
  <c r="CV2157" i="1"/>
  <c r="CU2157" i="1"/>
  <c r="I2157" i="1"/>
  <c r="BI2157" i="1"/>
  <c r="BH2157" i="1"/>
  <c r="DE2333" i="1"/>
  <c r="CY2333" i="1"/>
  <c r="K2333" i="1"/>
  <c r="CX2333" i="1"/>
  <c r="CV2333" i="1"/>
  <c r="CU2333" i="1"/>
  <c r="I2333" i="1"/>
  <c r="BI2333" i="1"/>
  <c r="BH2333" i="1"/>
  <c r="DE2156" i="1"/>
  <c r="CY2156" i="1"/>
  <c r="K2156" i="1"/>
  <c r="CX2156" i="1"/>
  <c r="CV2156" i="1"/>
  <c r="CU2156" i="1"/>
  <c r="I2156" i="1"/>
  <c r="BI2156" i="1"/>
  <c r="BH2156" i="1"/>
  <c r="DE2874" i="1"/>
  <c r="CY2874" i="1"/>
  <c r="K2874" i="1"/>
  <c r="CX2874" i="1"/>
  <c r="CV2874" i="1"/>
  <c r="CU2874" i="1"/>
  <c r="I2874" i="1"/>
  <c r="BI2874" i="1"/>
  <c r="BH2874" i="1"/>
  <c r="DE2155" i="1"/>
  <c r="CY2155" i="1"/>
  <c r="K2155" i="1"/>
  <c r="CX2155" i="1"/>
  <c r="CV2155" i="1"/>
  <c r="CU2155" i="1"/>
  <c r="I2155" i="1"/>
  <c r="BI2155" i="1"/>
  <c r="BH2155" i="1"/>
  <c r="DE2154" i="1"/>
  <c r="CY2154" i="1"/>
  <c r="K2154" i="1"/>
  <c r="CX2154" i="1"/>
  <c r="CV2154" i="1"/>
  <c r="CU2154" i="1"/>
  <c r="I2154" i="1"/>
  <c r="BI2154" i="1"/>
  <c r="BH2154" i="1"/>
  <c r="DE2153" i="1"/>
  <c r="CY2153" i="1"/>
  <c r="K2153" i="1"/>
  <c r="CX2153" i="1"/>
  <c r="CV2153" i="1"/>
  <c r="CU2153" i="1"/>
  <c r="I2153" i="1"/>
  <c r="BI2153" i="1"/>
  <c r="BH2153" i="1"/>
  <c r="DE2644" i="1"/>
  <c r="CY2644" i="1"/>
  <c r="K2644" i="1"/>
  <c r="CX2644" i="1"/>
  <c r="CV2644" i="1"/>
  <c r="CU2644" i="1"/>
  <c r="I2644" i="1"/>
  <c r="BI2644" i="1"/>
  <c r="BH2644" i="1"/>
  <c r="DE2872" i="1"/>
  <c r="CY2872" i="1"/>
  <c r="K2872" i="1"/>
  <c r="CX2872" i="1"/>
  <c r="CV2872" i="1"/>
  <c r="CU2872" i="1"/>
  <c r="I2872" i="1"/>
  <c r="BI2872" i="1"/>
  <c r="BH2872" i="1"/>
  <c r="DE526" i="1"/>
  <c r="CY526" i="1"/>
  <c r="K526" i="1"/>
  <c r="CX526" i="1"/>
  <c r="CV526" i="1"/>
  <c r="CU526" i="1"/>
  <c r="I526" i="1"/>
  <c r="BI526" i="1"/>
  <c r="BH526" i="1"/>
  <c r="DE2150" i="1"/>
  <c r="CY2150" i="1"/>
  <c r="K2150" i="1"/>
  <c r="CX2150" i="1"/>
  <c r="CV2150" i="1"/>
  <c r="CU2150" i="1"/>
  <c r="I2150" i="1"/>
  <c r="BI2150" i="1"/>
  <c r="BH2150" i="1"/>
  <c r="DE2871" i="1"/>
  <c r="CY2871" i="1"/>
  <c r="K2871" i="1"/>
  <c r="CX2871" i="1"/>
  <c r="CV2871" i="1"/>
  <c r="CU2871" i="1"/>
  <c r="I2871" i="1"/>
  <c r="BI2871" i="1"/>
  <c r="BH2871" i="1"/>
  <c r="DE2149" i="1"/>
  <c r="CY2149" i="1"/>
  <c r="K2149" i="1"/>
  <c r="CX2149" i="1"/>
  <c r="CV2149" i="1"/>
  <c r="CU2149" i="1"/>
  <c r="I2149" i="1"/>
  <c r="BI2149" i="1"/>
  <c r="BH2149" i="1"/>
  <c r="DE2148" i="1"/>
  <c r="CY2148" i="1"/>
  <c r="K2148" i="1"/>
  <c r="CX2148" i="1"/>
  <c r="CV2148" i="1"/>
  <c r="CU2148" i="1"/>
  <c r="I2148" i="1"/>
  <c r="BI2148" i="1"/>
  <c r="BH2148" i="1"/>
  <c r="DE2870" i="1"/>
  <c r="CY2870" i="1"/>
  <c r="K2870" i="1"/>
  <c r="CX2870" i="1"/>
  <c r="CV2870" i="1"/>
  <c r="CU2870" i="1"/>
  <c r="I2870" i="1"/>
  <c r="BI2870" i="1"/>
  <c r="BH2870" i="1"/>
  <c r="DE2147" i="1"/>
  <c r="CY2147" i="1"/>
  <c r="K2147" i="1"/>
  <c r="CX2147" i="1"/>
  <c r="CV2147" i="1"/>
  <c r="CU2147" i="1"/>
  <c r="I2147" i="1"/>
  <c r="BI2147" i="1"/>
  <c r="BH2147" i="1"/>
  <c r="DE2146" i="1"/>
  <c r="CY2146" i="1"/>
  <c r="K2146" i="1"/>
  <c r="CX2146" i="1"/>
  <c r="CV2146" i="1"/>
  <c r="CU2146" i="1"/>
  <c r="I2146" i="1"/>
  <c r="BI2146" i="1"/>
  <c r="BH2146" i="1"/>
  <c r="DE2869" i="1"/>
  <c r="CY2869" i="1"/>
  <c r="K2869" i="1"/>
  <c r="CX2869" i="1"/>
  <c r="CV2869" i="1"/>
  <c r="CU2869" i="1"/>
  <c r="I2869" i="1"/>
  <c r="BI2869" i="1"/>
  <c r="BH2869" i="1"/>
  <c r="DE2145" i="1"/>
  <c r="CY2145" i="1"/>
  <c r="K2145" i="1"/>
  <c r="CX2145" i="1"/>
  <c r="CV2145" i="1"/>
  <c r="CU2145" i="1"/>
  <c r="I2145" i="1"/>
  <c r="BI2145" i="1"/>
  <c r="BH2145" i="1"/>
  <c r="DE2645" i="1"/>
  <c r="CY2645" i="1"/>
  <c r="K2645" i="1"/>
  <c r="CX2645" i="1"/>
  <c r="CV2645" i="1"/>
  <c r="CU2645" i="1"/>
  <c r="I2645" i="1"/>
  <c r="BI2645" i="1"/>
  <c r="BH2645" i="1"/>
  <c r="DE2144" i="1"/>
  <c r="CY2144" i="1"/>
  <c r="K2144" i="1"/>
  <c r="CX2144" i="1"/>
  <c r="CV2144" i="1"/>
  <c r="CU2144" i="1"/>
  <c r="I2144" i="1"/>
  <c r="BI2144" i="1"/>
  <c r="BH2144" i="1"/>
  <c r="DE2374" i="1"/>
  <c r="CY2374" i="1"/>
  <c r="K2374" i="1"/>
  <c r="CX2374" i="1"/>
  <c r="CV2374" i="1"/>
  <c r="CU2374" i="1"/>
  <c r="I2374" i="1"/>
  <c r="BI2374" i="1"/>
  <c r="BH2374" i="1"/>
  <c r="DE2868" i="1"/>
  <c r="CY2868" i="1"/>
  <c r="K2868" i="1"/>
  <c r="CX2868" i="1"/>
  <c r="CV2868" i="1"/>
  <c r="CU2868" i="1"/>
  <c r="I2868" i="1"/>
  <c r="BI2868" i="1"/>
  <c r="BH2868" i="1"/>
  <c r="DE2143" i="1"/>
  <c r="CY2143" i="1"/>
  <c r="K2143" i="1"/>
  <c r="CX2143" i="1"/>
  <c r="CV2143" i="1"/>
  <c r="CU2143" i="1"/>
  <c r="I2143" i="1"/>
  <c r="BI2143" i="1"/>
  <c r="BH2143" i="1"/>
  <c r="DE2142" i="1"/>
  <c r="CY2142" i="1"/>
  <c r="K2142" i="1"/>
  <c r="CX2142" i="1"/>
  <c r="CV2142" i="1"/>
  <c r="CU2142" i="1"/>
  <c r="I2142" i="1"/>
  <c r="BI2142" i="1"/>
  <c r="BH2142" i="1"/>
  <c r="DE2867" i="1"/>
  <c r="CY2867" i="1"/>
  <c r="K2867" i="1"/>
  <c r="CX2867" i="1"/>
  <c r="CV2867" i="1"/>
  <c r="CU2867" i="1"/>
  <c r="I2867" i="1"/>
  <c r="BI2867" i="1"/>
  <c r="BH2867" i="1"/>
  <c r="DE2141" i="1"/>
  <c r="CY2141" i="1"/>
  <c r="K2141" i="1"/>
  <c r="CX2141" i="1"/>
  <c r="CV2141" i="1"/>
  <c r="CU2141" i="1"/>
  <c r="I2141" i="1"/>
  <c r="BI2141" i="1"/>
  <c r="BH2141" i="1"/>
  <c r="DE2140" i="1"/>
  <c r="CY2140" i="1"/>
  <c r="K2140" i="1"/>
  <c r="CX2140" i="1"/>
  <c r="CV2140" i="1"/>
  <c r="CU2140" i="1"/>
  <c r="I2140" i="1"/>
  <c r="BI2140" i="1"/>
  <c r="BH2140" i="1"/>
  <c r="DE2866" i="1"/>
  <c r="CY2866" i="1"/>
  <c r="K2866" i="1"/>
  <c r="CX2866" i="1"/>
  <c r="CV2866" i="1"/>
  <c r="CU2866" i="1"/>
  <c r="I2866" i="1"/>
  <c r="BI2866" i="1"/>
  <c r="BH2866" i="1"/>
  <c r="DE2375" i="1"/>
  <c r="CY2375" i="1"/>
  <c r="K2375" i="1"/>
  <c r="CX2375" i="1"/>
  <c r="CV2375" i="1"/>
  <c r="CU2375" i="1"/>
  <c r="I2375" i="1"/>
  <c r="BI2375" i="1"/>
  <c r="BH2375" i="1"/>
  <c r="DE2139" i="1"/>
  <c r="CY2139" i="1"/>
  <c r="K2139" i="1"/>
  <c r="CX2139" i="1"/>
  <c r="CV2139" i="1"/>
  <c r="CU2139" i="1"/>
  <c r="I2139" i="1"/>
  <c r="BI2139" i="1"/>
  <c r="BH2139" i="1"/>
  <c r="DE2138" i="1"/>
  <c r="CY2138" i="1"/>
  <c r="K2138" i="1"/>
  <c r="CX2138" i="1"/>
  <c r="CV2138" i="1"/>
  <c r="CU2138" i="1"/>
  <c r="I2138" i="1"/>
  <c r="BI2138" i="1"/>
  <c r="BH2138" i="1"/>
  <c r="DE2865" i="1"/>
  <c r="CY2865" i="1"/>
  <c r="K2865" i="1"/>
  <c r="CX2865" i="1"/>
  <c r="CV2865" i="1"/>
  <c r="CU2865" i="1"/>
  <c r="I2865" i="1"/>
  <c r="BI2865" i="1"/>
  <c r="BH2865" i="1"/>
  <c r="DE2137" i="1"/>
  <c r="CY2137" i="1"/>
  <c r="K2137" i="1"/>
  <c r="CX2137" i="1"/>
  <c r="CV2137" i="1"/>
  <c r="CU2137" i="1"/>
  <c r="I2137" i="1"/>
  <c r="BI2137" i="1"/>
  <c r="BH2137" i="1"/>
  <c r="DE2864" i="1"/>
  <c r="CY2864" i="1"/>
  <c r="K2864" i="1"/>
  <c r="CX2864" i="1"/>
  <c r="CV2864" i="1"/>
  <c r="CU2864" i="1"/>
  <c r="I2864" i="1"/>
  <c r="BI2864" i="1"/>
  <c r="BH2864" i="1"/>
  <c r="DE2136" i="1"/>
  <c r="CY2136" i="1"/>
  <c r="K2136" i="1"/>
  <c r="CX2136" i="1"/>
  <c r="CV2136" i="1"/>
  <c r="CU2136" i="1"/>
  <c r="I2136" i="1"/>
  <c r="BI2136" i="1"/>
  <c r="BH2136" i="1"/>
  <c r="DE2135" i="1"/>
  <c r="CY2135" i="1"/>
  <c r="K2135" i="1"/>
  <c r="CX2135" i="1"/>
  <c r="CV2135" i="1"/>
  <c r="CU2135" i="1"/>
  <c r="I2135" i="1"/>
  <c r="BI2135" i="1"/>
  <c r="BH2135" i="1"/>
  <c r="DE2134" i="1"/>
  <c r="CY2134" i="1"/>
  <c r="K2134" i="1"/>
  <c r="CX2134" i="1"/>
  <c r="CV2134" i="1"/>
  <c r="CU2134" i="1"/>
  <c r="I2134" i="1"/>
  <c r="BI2134" i="1"/>
  <c r="BH2134" i="1"/>
  <c r="DE2863" i="1"/>
  <c r="CY2863" i="1"/>
  <c r="K2863" i="1"/>
  <c r="CX2863" i="1"/>
  <c r="CV2863" i="1"/>
  <c r="CU2863" i="1"/>
  <c r="I2863" i="1"/>
  <c r="BI2863" i="1"/>
  <c r="BH2863" i="1"/>
  <c r="DE2133" i="1"/>
  <c r="CY2133" i="1"/>
  <c r="K2133" i="1"/>
  <c r="CX2133" i="1"/>
  <c r="CV2133" i="1"/>
  <c r="CU2133" i="1"/>
  <c r="I2133" i="1"/>
  <c r="BI2133" i="1"/>
  <c r="BH2133" i="1"/>
  <c r="DE2132" i="1"/>
  <c r="CY2132" i="1"/>
  <c r="K2132" i="1"/>
  <c r="CX2132" i="1"/>
  <c r="CV2132" i="1"/>
  <c r="CU2132" i="1"/>
  <c r="I2132" i="1"/>
  <c r="BI2132" i="1"/>
  <c r="BH2132" i="1"/>
  <c r="DE3713" i="1"/>
  <c r="CY3713" i="1"/>
  <c r="K3713" i="1"/>
  <c r="CX3713" i="1"/>
  <c r="CV3713" i="1"/>
  <c r="CU3713" i="1"/>
  <c r="I3713" i="1"/>
  <c r="CT3713" i="1"/>
  <c r="BI3713" i="1"/>
  <c r="BH3713" i="1"/>
  <c r="DE2131" i="1"/>
  <c r="CY2131" i="1"/>
  <c r="K2131" i="1"/>
  <c r="CX2131" i="1"/>
  <c r="CV2131" i="1"/>
  <c r="CU2131" i="1"/>
  <c r="I2131" i="1"/>
  <c r="BI2131" i="1"/>
  <c r="BH2131" i="1"/>
  <c r="DE2861" i="1"/>
  <c r="CY2861" i="1"/>
  <c r="K2861" i="1"/>
  <c r="CX2861" i="1"/>
  <c r="CV2861" i="1"/>
  <c r="CU2861" i="1"/>
  <c r="I2861" i="1"/>
  <c r="BI2861" i="1"/>
  <c r="BH2861" i="1"/>
  <c r="DE2130" i="1"/>
  <c r="CY2130" i="1"/>
  <c r="K2130" i="1"/>
  <c r="CX2130" i="1"/>
  <c r="CV2130" i="1"/>
  <c r="CU2130" i="1"/>
  <c r="I2130" i="1"/>
  <c r="BI2130" i="1"/>
  <c r="BH2130" i="1"/>
  <c r="DE2129" i="1"/>
  <c r="CY2129" i="1"/>
  <c r="K2129" i="1"/>
  <c r="CX2129" i="1"/>
  <c r="CV2129" i="1"/>
  <c r="CU2129" i="1"/>
  <c r="I2129" i="1"/>
  <c r="BI2129" i="1"/>
  <c r="BH2129" i="1"/>
  <c r="DE2860" i="1"/>
  <c r="CY2860" i="1"/>
  <c r="K2860" i="1"/>
  <c r="CX2860" i="1"/>
  <c r="CV2860" i="1"/>
  <c r="CU2860" i="1"/>
  <c r="I2860" i="1"/>
  <c r="BI2860" i="1"/>
  <c r="BH2860" i="1"/>
  <c r="DE2128" i="1"/>
  <c r="CY2128" i="1"/>
  <c r="K2128" i="1"/>
  <c r="CX2128" i="1"/>
  <c r="CV2128" i="1"/>
  <c r="CU2128" i="1"/>
  <c r="I2128" i="1"/>
  <c r="BI2128" i="1"/>
  <c r="BH2128" i="1"/>
  <c r="DE2127" i="1"/>
  <c r="CY2127" i="1"/>
  <c r="K2127" i="1"/>
  <c r="CX2127" i="1"/>
  <c r="CV2127" i="1"/>
  <c r="CU2127" i="1"/>
  <c r="I2127" i="1"/>
  <c r="BI2127" i="1"/>
  <c r="BH2127" i="1"/>
  <c r="DE2376" i="1"/>
  <c r="CY2376" i="1"/>
  <c r="K2376" i="1"/>
  <c r="CX2376" i="1"/>
  <c r="CV2376" i="1"/>
  <c r="CU2376" i="1"/>
  <c r="I2376" i="1"/>
  <c r="BI2376" i="1"/>
  <c r="BH2376" i="1"/>
  <c r="DE2126" i="1"/>
  <c r="CY2126" i="1"/>
  <c r="K2126" i="1"/>
  <c r="CX2126" i="1"/>
  <c r="CV2126" i="1"/>
  <c r="CU2126" i="1"/>
  <c r="I2126" i="1"/>
  <c r="BI2126" i="1"/>
  <c r="BH2126" i="1"/>
  <c r="DE2859" i="1"/>
  <c r="CY2859" i="1"/>
  <c r="K2859" i="1"/>
  <c r="CX2859" i="1"/>
  <c r="CV2859" i="1"/>
  <c r="CU2859" i="1"/>
  <c r="I2859" i="1"/>
  <c r="BI2859" i="1"/>
  <c r="BH2859" i="1"/>
  <c r="DE2125" i="1"/>
  <c r="CY2125" i="1"/>
  <c r="K2125" i="1"/>
  <c r="CX2125" i="1"/>
  <c r="CV2125" i="1"/>
  <c r="CU2125" i="1"/>
  <c r="I2125" i="1"/>
  <c r="BI2125" i="1"/>
  <c r="BH2125" i="1"/>
  <c r="DE2124" i="1"/>
  <c r="CY2124" i="1"/>
  <c r="K2124" i="1"/>
  <c r="CX2124" i="1"/>
  <c r="CV2124" i="1"/>
  <c r="CU2124" i="1"/>
  <c r="I2124" i="1"/>
  <c r="BI2124" i="1"/>
  <c r="BH2124" i="1"/>
  <c r="DE2858" i="1"/>
  <c r="CY2858" i="1"/>
  <c r="K2858" i="1"/>
  <c r="CX2858" i="1"/>
  <c r="CV2858" i="1"/>
  <c r="CU2858" i="1"/>
  <c r="I2858" i="1"/>
  <c r="BI2858" i="1"/>
  <c r="BH2858" i="1"/>
  <c r="DE2123" i="1"/>
  <c r="CY2123" i="1"/>
  <c r="K2123" i="1"/>
  <c r="CX2123" i="1"/>
  <c r="CV2123" i="1"/>
  <c r="CU2123" i="1"/>
  <c r="I2123" i="1"/>
  <c r="BI2123" i="1"/>
  <c r="BH2123" i="1"/>
  <c r="DE2122" i="1"/>
  <c r="CY2122" i="1"/>
  <c r="K2122" i="1"/>
  <c r="CX2122" i="1"/>
  <c r="CV2122" i="1"/>
  <c r="CU2122" i="1"/>
  <c r="I2122" i="1"/>
  <c r="BI2122" i="1"/>
  <c r="BH2122" i="1"/>
  <c r="DE2121" i="1"/>
  <c r="CY2121" i="1"/>
  <c r="K2121" i="1"/>
  <c r="CX2121" i="1"/>
  <c r="CV2121" i="1"/>
  <c r="CU2121" i="1"/>
  <c r="I2121" i="1"/>
  <c r="BI2121" i="1"/>
  <c r="BH2121" i="1"/>
  <c r="DE2856" i="1"/>
  <c r="CY2856" i="1"/>
  <c r="K2856" i="1"/>
  <c r="CX2856" i="1"/>
  <c r="CV2856" i="1"/>
  <c r="CU2856" i="1"/>
  <c r="I2856" i="1"/>
  <c r="BI2856" i="1"/>
  <c r="BH2856" i="1"/>
  <c r="DE2120" i="1"/>
  <c r="CY2120" i="1"/>
  <c r="K2120" i="1"/>
  <c r="CX2120" i="1"/>
  <c r="CV2120" i="1"/>
  <c r="CU2120" i="1"/>
  <c r="I2120" i="1"/>
  <c r="BI2120" i="1"/>
  <c r="BH2120" i="1"/>
  <c r="DE2119" i="1"/>
  <c r="CY2119" i="1"/>
  <c r="K2119" i="1"/>
  <c r="CX2119" i="1"/>
  <c r="CV2119" i="1"/>
  <c r="CU2119" i="1"/>
  <c r="I2119" i="1"/>
  <c r="BI2119" i="1"/>
  <c r="BH2119" i="1"/>
  <c r="DE2118" i="1"/>
  <c r="CY2118" i="1"/>
  <c r="K2118" i="1"/>
  <c r="CX2118" i="1"/>
  <c r="CV2118" i="1"/>
  <c r="CU2118" i="1"/>
  <c r="I2118" i="1"/>
  <c r="BI2118" i="1"/>
  <c r="BH2118" i="1"/>
  <c r="DE2855" i="1"/>
  <c r="CY2855" i="1"/>
  <c r="K2855" i="1"/>
  <c r="CX2855" i="1"/>
  <c r="CV2855" i="1"/>
  <c r="CU2855" i="1"/>
  <c r="I2855" i="1"/>
  <c r="BI2855" i="1"/>
  <c r="BH2855" i="1"/>
  <c r="DE2117" i="1"/>
  <c r="CY2117" i="1"/>
  <c r="K2117" i="1"/>
  <c r="CX2117" i="1"/>
  <c r="CV2117" i="1"/>
  <c r="CU2117" i="1"/>
  <c r="I2117" i="1"/>
  <c r="BI2117" i="1"/>
  <c r="BH2117" i="1"/>
  <c r="DE2377" i="1"/>
  <c r="CY2377" i="1"/>
  <c r="K2377" i="1"/>
  <c r="CX2377" i="1"/>
  <c r="CV2377" i="1"/>
  <c r="CU2377" i="1"/>
  <c r="I2377" i="1"/>
  <c r="BI2377" i="1"/>
  <c r="BH2377" i="1"/>
  <c r="DE2116" i="1"/>
  <c r="CY2116" i="1"/>
  <c r="K2116" i="1"/>
  <c r="CX2116" i="1"/>
  <c r="CV2116" i="1"/>
  <c r="CU2116" i="1"/>
  <c r="I2116" i="1"/>
  <c r="BI2116" i="1"/>
  <c r="BH2116" i="1"/>
  <c r="DE2854" i="1"/>
  <c r="CY2854" i="1"/>
  <c r="K2854" i="1"/>
  <c r="CX2854" i="1"/>
  <c r="CV2854" i="1"/>
  <c r="CU2854" i="1"/>
  <c r="I2854" i="1"/>
  <c r="BI2854" i="1"/>
  <c r="BH2854" i="1"/>
  <c r="DE2115" i="1"/>
  <c r="CY2115" i="1"/>
  <c r="K2115" i="1"/>
  <c r="CX2115" i="1"/>
  <c r="CV2115" i="1"/>
  <c r="CU2115" i="1"/>
  <c r="I2115" i="1"/>
  <c r="BI2115" i="1"/>
  <c r="BH2115" i="1"/>
  <c r="DE2646" i="1"/>
  <c r="CY2646" i="1"/>
  <c r="K2646" i="1"/>
  <c r="CX2646" i="1"/>
  <c r="CV2646" i="1"/>
  <c r="CU2646" i="1"/>
  <c r="I2646" i="1"/>
  <c r="BI2646" i="1"/>
  <c r="BH2646" i="1"/>
  <c r="DE2114" i="1"/>
  <c r="CY2114" i="1"/>
  <c r="K2114" i="1"/>
  <c r="CX2114" i="1"/>
  <c r="CV2114" i="1"/>
  <c r="CU2114" i="1"/>
  <c r="I2114" i="1"/>
  <c r="BI2114" i="1"/>
  <c r="BH2114" i="1"/>
  <c r="DE2853" i="1"/>
  <c r="CY2853" i="1"/>
  <c r="K2853" i="1"/>
  <c r="CX2853" i="1"/>
  <c r="CV2853" i="1"/>
  <c r="CU2853" i="1"/>
  <c r="I2853" i="1"/>
  <c r="BI2853" i="1"/>
  <c r="BH2853" i="1"/>
  <c r="DE2113" i="1"/>
  <c r="CY2113" i="1"/>
  <c r="K2113" i="1"/>
  <c r="CX2113" i="1"/>
  <c r="CV2113" i="1"/>
  <c r="CU2113" i="1"/>
  <c r="I2113" i="1"/>
  <c r="BI2113" i="1"/>
  <c r="BH2113" i="1"/>
  <c r="DE527" i="1"/>
  <c r="CY527" i="1"/>
  <c r="K527" i="1"/>
  <c r="CX527" i="1"/>
  <c r="CV527" i="1"/>
  <c r="CU527" i="1"/>
  <c r="I527" i="1"/>
  <c r="BI527" i="1"/>
  <c r="BH527" i="1"/>
  <c r="DE2112" i="1"/>
  <c r="CY2112" i="1"/>
  <c r="K2112" i="1"/>
  <c r="CX2112" i="1"/>
  <c r="CV2112" i="1"/>
  <c r="CU2112" i="1"/>
  <c r="I2112" i="1"/>
  <c r="BI2112" i="1"/>
  <c r="BH2112" i="1"/>
  <c r="DE2111" i="1"/>
  <c r="CY2111" i="1"/>
  <c r="K2111" i="1"/>
  <c r="CX2111" i="1"/>
  <c r="CV2111" i="1"/>
  <c r="CU2111" i="1"/>
  <c r="I2111" i="1"/>
  <c r="BI2111" i="1"/>
  <c r="BH2111" i="1"/>
  <c r="DE2110" i="1"/>
  <c r="CY2110" i="1"/>
  <c r="K2110" i="1"/>
  <c r="CX2110" i="1"/>
  <c r="CV2110" i="1"/>
  <c r="CU2110" i="1"/>
  <c r="I2110" i="1"/>
  <c r="BI2110" i="1"/>
  <c r="BH2110" i="1"/>
  <c r="DE2851" i="1"/>
  <c r="CY2851" i="1"/>
  <c r="K2851" i="1"/>
  <c r="CX2851" i="1"/>
  <c r="CV2851" i="1"/>
  <c r="CU2851" i="1"/>
  <c r="I2851" i="1"/>
  <c r="BI2851" i="1"/>
  <c r="BH2851" i="1"/>
  <c r="DE2109" i="1"/>
  <c r="CY2109" i="1"/>
  <c r="K2109" i="1"/>
  <c r="CX2109" i="1"/>
  <c r="CV2109" i="1"/>
  <c r="CU2109" i="1"/>
  <c r="I2109" i="1"/>
  <c r="BI2109" i="1"/>
  <c r="BH2109" i="1"/>
  <c r="DE2108" i="1"/>
  <c r="CY2108" i="1"/>
  <c r="K2108" i="1"/>
  <c r="CX2108" i="1"/>
  <c r="CV2108" i="1"/>
  <c r="CU2108" i="1"/>
  <c r="I2108" i="1"/>
  <c r="BI2108" i="1"/>
  <c r="BH2108" i="1"/>
  <c r="DE2107" i="1"/>
  <c r="CY2107" i="1"/>
  <c r="K2107" i="1"/>
  <c r="CX2107" i="1"/>
  <c r="CV2107" i="1"/>
  <c r="CU2107" i="1"/>
  <c r="I2107" i="1"/>
  <c r="BI2107" i="1"/>
  <c r="BH2107" i="1"/>
  <c r="DE2106" i="1"/>
  <c r="CY2106" i="1"/>
  <c r="K2106" i="1"/>
  <c r="CX2106" i="1"/>
  <c r="CV2106" i="1"/>
  <c r="CU2106" i="1"/>
  <c r="I2106" i="1"/>
  <c r="BI2106" i="1"/>
  <c r="BH2106" i="1"/>
  <c r="DE2849" i="1"/>
  <c r="CY2849" i="1"/>
  <c r="K2849" i="1"/>
  <c r="CX2849" i="1"/>
  <c r="CV2849" i="1"/>
  <c r="CU2849" i="1"/>
  <c r="I2849" i="1"/>
  <c r="BI2849" i="1"/>
  <c r="BH2849" i="1"/>
  <c r="DE2105" i="1"/>
  <c r="CY2105" i="1"/>
  <c r="K2105" i="1"/>
  <c r="CX2105" i="1"/>
  <c r="CV2105" i="1"/>
  <c r="CU2105" i="1"/>
  <c r="I2105" i="1"/>
  <c r="BI2105" i="1"/>
  <c r="BH2105" i="1"/>
  <c r="DE2847" i="1"/>
  <c r="CY2847" i="1"/>
  <c r="K2847" i="1"/>
  <c r="CX2847" i="1"/>
  <c r="CV2847" i="1"/>
  <c r="CU2847" i="1"/>
  <c r="I2847" i="1"/>
  <c r="BI2847" i="1"/>
  <c r="BH2847" i="1"/>
  <c r="DE2104" i="1"/>
  <c r="CY2104" i="1"/>
  <c r="K2104" i="1"/>
  <c r="CX2104" i="1"/>
  <c r="CV2104" i="1"/>
  <c r="CU2104" i="1"/>
  <c r="I2104" i="1"/>
  <c r="BI2104" i="1"/>
  <c r="BH2104" i="1"/>
  <c r="DE2103" i="1"/>
  <c r="CY2103" i="1"/>
  <c r="K2103" i="1"/>
  <c r="CX2103" i="1"/>
  <c r="CV2103" i="1"/>
  <c r="CU2103" i="1"/>
  <c r="I2103" i="1"/>
  <c r="BI2103" i="1"/>
  <c r="BH2103" i="1"/>
  <c r="DE2848" i="1"/>
  <c r="CY2848" i="1"/>
  <c r="K2848" i="1"/>
  <c r="CX2848" i="1"/>
  <c r="CV2848" i="1"/>
  <c r="CU2848" i="1"/>
  <c r="I2848" i="1"/>
  <c r="BI2848" i="1"/>
  <c r="BH2848" i="1"/>
  <c r="DE2102" i="1"/>
  <c r="CY2102" i="1"/>
  <c r="K2102" i="1"/>
  <c r="CX2102" i="1"/>
  <c r="CV2102" i="1"/>
  <c r="CU2102" i="1"/>
  <c r="I2102" i="1"/>
  <c r="BI2102" i="1"/>
  <c r="BH2102" i="1"/>
  <c r="DE3698" i="1"/>
  <c r="CY3698" i="1"/>
  <c r="K3698" i="1"/>
  <c r="CX3698" i="1"/>
  <c r="CV3698" i="1"/>
  <c r="CU3698" i="1"/>
  <c r="I3698" i="1"/>
  <c r="CT3698" i="1"/>
  <c r="BI3698" i="1"/>
  <c r="BH3698" i="1"/>
  <c r="DE2846" i="1"/>
  <c r="CY2846" i="1"/>
  <c r="K2846" i="1"/>
  <c r="CX2846" i="1"/>
  <c r="CV2846" i="1"/>
  <c r="CU2846" i="1"/>
  <c r="I2846" i="1"/>
  <c r="BI2846" i="1"/>
  <c r="BH2846" i="1"/>
  <c r="DE2100" i="1"/>
  <c r="CY2100" i="1"/>
  <c r="K2100" i="1"/>
  <c r="CX2100" i="1"/>
  <c r="CV2100" i="1"/>
  <c r="CU2100" i="1"/>
  <c r="I2100" i="1"/>
  <c r="BI2100" i="1"/>
  <c r="BH2100" i="1"/>
  <c r="DE2099" i="1"/>
  <c r="CY2099" i="1"/>
  <c r="K2099" i="1"/>
  <c r="CX2099" i="1"/>
  <c r="CV2099" i="1"/>
  <c r="CU2099" i="1"/>
  <c r="I2099" i="1"/>
  <c r="BI2099" i="1"/>
  <c r="BH2099" i="1"/>
  <c r="DE2845" i="1"/>
  <c r="CY2845" i="1"/>
  <c r="K2845" i="1"/>
  <c r="CX2845" i="1"/>
  <c r="CV2845" i="1"/>
  <c r="CU2845" i="1"/>
  <c r="I2845" i="1"/>
  <c r="BI2845" i="1"/>
  <c r="BH2845" i="1"/>
  <c r="DE2097" i="1"/>
  <c r="CY2097" i="1"/>
  <c r="K2097" i="1"/>
  <c r="CX2097" i="1"/>
  <c r="CV2097" i="1"/>
  <c r="CU2097" i="1"/>
  <c r="I2097" i="1"/>
  <c r="BI2097" i="1"/>
  <c r="BH2097" i="1"/>
  <c r="DE2843" i="1"/>
  <c r="CY2843" i="1"/>
  <c r="K2843" i="1"/>
  <c r="CX2843" i="1"/>
  <c r="CV2843" i="1"/>
  <c r="CU2843" i="1"/>
  <c r="I2843" i="1"/>
  <c r="BI2843" i="1"/>
  <c r="BH2843" i="1"/>
  <c r="DE2096" i="1"/>
  <c r="CY2096" i="1"/>
  <c r="K2096" i="1"/>
  <c r="CX2096" i="1"/>
  <c r="CV2096" i="1"/>
  <c r="CU2096" i="1"/>
  <c r="I2096" i="1"/>
  <c r="BI2096" i="1"/>
  <c r="BH2096" i="1"/>
  <c r="DE2095" i="1"/>
  <c r="CY2095" i="1"/>
  <c r="K2095" i="1"/>
  <c r="CX2095" i="1"/>
  <c r="CV2095" i="1"/>
  <c r="CU2095" i="1"/>
  <c r="I2095" i="1"/>
  <c r="BI2095" i="1"/>
  <c r="BH2095" i="1"/>
  <c r="DE2844" i="1"/>
  <c r="CY2844" i="1"/>
  <c r="K2844" i="1"/>
  <c r="CX2844" i="1"/>
  <c r="CV2844" i="1"/>
  <c r="CU2844" i="1"/>
  <c r="I2844" i="1"/>
  <c r="BI2844" i="1"/>
  <c r="BH2844" i="1"/>
  <c r="DE2094" i="1"/>
  <c r="CY2094" i="1"/>
  <c r="K2094" i="1"/>
  <c r="CX2094" i="1"/>
  <c r="CV2094" i="1"/>
  <c r="CU2094" i="1"/>
  <c r="I2094" i="1"/>
  <c r="BI2094" i="1"/>
  <c r="BH2094" i="1"/>
  <c r="DE2093" i="1"/>
  <c r="CY2093" i="1"/>
  <c r="K2093" i="1"/>
  <c r="CX2093" i="1"/>
  <c r="CV2093" i="1"/>
  <c r="CU2093" i="1"/>
  <c r="I2093" i="1"/>
  <c r="BI2093" i="1"/>
  <c r="BH2093" i="1"/>
  <c r="DE2842" i="1"/>
  <c r="CY2842" i="1"/>
  <c r="K2842" i="1"/>
  <c r="CX2842" i="1"/>
  <c r="CV2842" i="1"/>
  <c r="CU2842" i="1"/>
  <c r="I2842" i="1"/>
  <c r="BI2842" i="1"/>
  <c r="BH2842" i="1"/>
  <c r="DE2092" i="1"/>
  <c r="CY2092" i="1"/>
  <c r="K2092" i="1"/>
  <c r="CX2092" i="1"/>
  <c r="CV2092" i="1"/>
  <c r="CU2092" i="1"/>
  <c r="I2092" i="1"/>
  <c r="BI2092" i="1"/>
  <c r="BH2092" i="1"/>
  <c r="DE2091" i="1"/>
  <c r="CY2091" i="1"/>
  <c r="K2091" i="1"/>
  <c r="CX2091" i="1"/>
  <c r="CV2091" i="1"/>
  <c r="CU2091" i="1"/>
  <c r="I2091" i="1"/>
  <c r="BI2091" i="1"/>
  <c r="BH2091" i="1"/>
  <c r="DE2841" i="1"/>
  <c r="CY2841" i="1"/>
  <c r="K2841" i="1"/>
  <c r="CX2841" i="1"/>
  <c r="CV2841" i="1"/>
  <c r="CU2841" i="1"/>
  <c r="I2841" i="1"/>
  <c r="BI2841" i="1"/>
  <c r="BH2841" i="1"/>
  <c r="DE2089" i="1"/>
  <c r="CY2089" i="1"/>
  <c r="K2089" i="1"/>
  <c r="CX2089" i="1"/>
  <c r="CV2089" i="1"/>
  <c r="CU2089" i="1"/>
  <c r="I2089" i="1"/>
  <c r="BI2089" i="1"/>
  <c r="BH2089" i="1"/>
  <c r="DE2839" i="1"/>
  <c r="CY2839" i="1"/>
  <c r="K2839" i="1"/>
  <c r="CX2839" i="1"/>
  <c r="CV2839" i="1"/>
  <c r="CU2839" i="1"/>
  <c r="I2839" i="1"/>
  <c r="BI2839" i="1"/>
  <c r="BH2839" i="1"/>
  <c r="DE2088" i="1"/>
  <c r="CY2088" i="1"/>
  <c r="K2088" i="1"/>
  <c r="CX2088" i="1"/>
  <c r="CV2088" i="1"/>
  <c r="CU2088" i="1"/>
  <c r="I2088" i="1"/>
  <c r="BI2088" i="1"/>
  <c r="BH2088" i="1"/>
  <c r="DE2087" i="1"/>
  <c r="CY2087" i="1"/>
  <c r="K2087" i="1"/>
  <c r="CX2087" i="1"/>
  <c r="CV2087" i="1"/>
  <c r="CU2087" i="1"/>
  <c r="I2087" i="1"/>
  <c r="BI2087" i="1"/>
  <c r="BH2087" i="1"/>
  <c r="DE2840" i="1"/>
  <c r="CY2840" i="1"/>
  <c r="K2840" i="1"/>
  <c r="CX2840" i="1"/>
  <c r="CV2840" i="1"/>
  <c r="CU2840" i="1"/>
  <c r="I2840" i="1"/>
  <c r="BI2840" i="1"/>
  <c r="BH2840" i="1"/>
  <c r="DE2086" i="1"/>
  <c r="CY2086" i="1"/>
  <c r="K2086" i="1"/>
  <c r="CX2086" i="1"/>
  <c r="CV2086" i="1"/>
  <c r="CU2086" i="1"/>
  <c r="I2086" i="1"/>
  <c r="BI2086" i="1"/>
  <c r="BH2086" i="1"/>
  <c r="DE2838" i="1"/>
  <c r="CY2838" i="1"/>
  <c r="K2838" i="1"/>
  <c r="CX2838" i="1"/>
  <c r="CV2838" i="1"/>
  <c r="CU2838" i="1"/>
  <c r="I2838" i="1"/>
  <c r="BI2838" i="1"/>
  <c r="BH2838" i="1"/>
  <c r="DE2084" i="1"/>
  <c r="CY2084" i="1"/>
  <c r="K2084" i="1"/>
  <c r="CX2084" i="1"/>
  <c r="CV2084" i="1"/>
  <c r="CU2084" i="1"/>
  <c r="I2084" i="1"/>
  <c r="BI2084" i="1"/>
  <c r="BH2084" i="1"/>
  <c r="DE2083" i="1"/>
  <c r="CY2083" i="1"/>
  <c r="K2083" i="1"/>
  <c r="CX2083" i="1"/>
  <c r="CV2083" i="1"/>
  <c r="CU2083" i="1"/>
  <c r="I2083" i="1"/>
  <c r="BI2083" i="1"/>
  <c r="BH2083" i="1"/>
  <c r="DE2082" i="1"/>
  <c r="CY2082" i="1"/>
  <c r="K2082" i="1"/>
  <c r="CX2082" i="1"/>
  <c r="CV2082" i="1"/>
  <c r="CU2082" i="1"/>
  <c r="I2082" i="1"/>
  <c r="BI2082" i="1"/>
  <c r="BH2082" i="1"/>
  <c r="DE2837" i="1"/>
  <c r="CY2837" i="1"/>
  <c r="K2837" i="1"/>
  <c r="CX2837" i="1"/>
  <c r="CV2837" i="1"/>
  <c r="CU2837" i="1"/>
  <c r="I2837" i="1"/>
  <c r="BI2837" i="1"/>
  <c r="BH2837" i="1"/>
  <c r="DE2081" i="1"/>
  <c r="CY2081" i="1"/>
  <c r="K2081" i="1"/>
  <c r="CX2081" i="1"/>
  <c r="CV2081" i="1"/>
  <c r="CU2081" i="1"/>
  <c r="I2081" i="1"/>
  <c r="BI2081" i="1"/>
  <c r="BH2081" i="1"/>
  <c r="DE2836" i="1"/>
  <c r="CY2836" i="1"/>
  <c r="K2836" i="1"/>
  <c r="CX2836" i="1"/>
  <c r="CV2836" i="1"/>
  <c r="CU2836" i="1"/>
  <c r="I2836" i="1"/>
  <c r="BI2836" i="1"/>
  <c r="BH2836" i="1"/>
  <c r="DE2079" i="1"/>
  <c r="CY2079" i="1"/>
  <c r="K2079" i="1"/>
  <c r="CX2079" i="1"/>
  <c r="CV2079" i="1"/>
  <c r="CU2079" i="1"/>
  <c r="I2079" i="1"/>
  <c r="BI2079" i="1"/>
  <c r="BH2079" i="1"/>
  <c r="DE2078" i="1"/>
  <c r="CY2078" i="1"/>
  <c r="K2078" i="1"/>
  <c r="CX2078" i="1"/>
  <c r="CV2078" i="1"/>
  <c r="CU2078" i="1"/>
  <c r="I2078" i="1"/>
  <c r="BI2078" i="1"/>
  <c r="BH2078" i="1"/>
  <c r="DE2835" i="1"/>
  <c r="CY2835" i="1"/>
  <c r="K2835" i="1"/>
  <c r="CX2835" i="1"/>
  <c r="CV2835" i="1"/>
  <c r="CU2835" i="1"/>
  <c r="I2835" i="1"/>
  <c r="BI2835" i="1"/>
  <c r="BH2835" i="1"/>
  <c r="DE2077" i="1"/>
  <c r="CY2077" i="1"/>
  <c r="K2077" i="1"/>
  <c r="CX2077" i="1"/>
  <c r="CV2077" i="1"/>
  <c r="CU2077" i="1"/>
  <c r="I2077" i="1"/>
  <c r="BI2077" i="1"/>
  <c r="BH2077" i="1"/>
  <c r="DE2834" i="1"/>
  <c r="CY2834" i="1"/>
  <c r="K2834" i="1"/>
  <c r="CX2834" i="1"/>
  <c r="CV2834" i="1"/>
  <c r="CU2834" i="1"/>
  <c r="I2834" i="1"/>
  <c r="BI2834" i="1"/>
  <c r="BH2834" i="1"/>
  <c r="DE2076" i="1"/>
  <c r="CY2076" i="1"/>
  <c r="K2076" i="1"/>
  <c r="CX2076" i="1"/>
  <c r="CV2076" i="1"/>
  <c r="CU2076" i="1"/>
  <c r="I2076" i="1"/>
  <c r="BI2076" i="1"/>
  <c r="BH2076" i="1"/>
  <c r="DE2075" i="1"/>
  <c r="CY2075" i="1"/>
  <c r="K2075" i="1"/>
  <c r="CX2075" i="1"/>
  <c r="CV2075" i="1"/>
  <c r="CU2075" i="1"/>
  <c r="I2075" i="1"/>
  <c r="BI2075" i="1"/>
  <c r="BH2075" i="1"/>
  <c r="DE2074" i="1"/>
  <c r="CY2074" i="1"/>
  <c r="K2074" i="1"/>
  <c r="CX2074" i="1"/>
  <c r="CV2074" i="1"/>
  <c r="CU2074" i="1"/>
  <c r="I2074" i="1"/>
  <c r="BI2074" i="1"/>
  <c r="BH2074" i="1"/>
  <c r="DE2833" i="1"/>
  <c r="CY2833" i="1"/>
  <c r="K2833" i="1"/>
  <c r="CX2833" i="1"/>
  <c r="CV2833" i="1"/>
  <c r="CU2833" i="1"/>
  <c r="I2833" i="1"/>
  <c r="BI2833" i="1"/>
  <c r="BH2833" i="1"/>
  <c r="DE2073" i="1"/>
  <c r="CY2073" i="1"/>
  <c r="K2073" i="1"/>
  <c r="CX2073" i="1"/>
  <c r="CV2073" i="1"/>
  <c r="CU2073" i="1"/>
  <c r="I2073" i="1"/>
  <c r="BI2073" i="1"/>
  <c r="BH2073" i="1"/>
  <c r="DE2832" i="1"/>
  <c r="CY2832" i="1"/>
  <c r="K2832" i="1"/>
  <c r="CX2832" i="1"/>
  <c r="CV2832" i="1"/>
  <c r="CU2832" i="1"/>
  <c r="I2832" i="1"/>
  <c r="BI2832" i="1"/>
  <c r="BH2832" i="1"/>
  <c r="DE2072" i="1"/>
  <c r="CY2072" i="1"/>
  <c r="K2072" i="1"/>
  <c r="CX2072" i="1"/>
  <c r="CV2072" i="1"/>
  <c r="CU2072" i="1"/>
  <c r="I2072" i="1"/>
  <c r="BI2072" i="1"/>
  <c r="BH2072" i="1"/>
  <c r="DE2831" i="1"/>
  <c r="CY2831" i="1"/>
  <c r="K2831" i="1"/>
  <c r="CX2831" i="1"/>
  <c r="CV2831" i="1"/>
  <c r="CU2831" i="1"/>
  <c r="I2831" i="1"/>
  <c r="BI2831" i="1"/>
  <c r="BH2831" i="1"/>
  <c r="DE2071" i="1"/>
  <c r="CY2071" i="1"/>
  <c r="K2071" i="1"/>
  <c r="CX2071" i="1"/>
  <c r="CV2071" i="1"/>
  <c r="CU2071" i="1"/>
  <c r="I2071" i="1"/>
  <c r="BI2071" i="1"/>
  <c r="BH2071" i="1"/>
  <c r="DE2070" i="1"/>
  <c r="CY2070" i="1"/>
  <c r="K2070" i="1"/>
  <c r="CX2070" i="1"/>
  <c r="CV2070" i="1"/>
  <c r="CU2070" i="1"/>
  <c r="I2070" i="1"/>
  <c r="BI2070" i="1"/>
  <c r="BH2070" i="1"/>
  <c r="DE2695" i="1"/>
  <c r="CY2695" i="1"/>
  <c r="K2695" i="1"/>
  <c r="CX2695" i="1"/>
  <c r="CV2695" i="1"/>
  <c r="CU2695" i="1"/>
  <c r="I2695" i="1"/>
  <c r="BI2695" i="1"/>
  <c r="BH2695" i="1"/>
  <c r="DE2068" i="1"/>
  <c r="CY2068" i="1"/>
  <c r="K2068" i="1"/>
  <c r="CX2068" i="1"/>
  <c r="CV2068" i="1"/>
  <c r="CU2068" i="1"/>
  <c r="I2068" i="1"/>
  <c r="BI2068" i="1"/>
  <c r="BH2068" i="1"/>
  <c r="DE2830" i="1"/>
  <c r="CY2830" i="1"/>
  <c r="K2830" i="1"/>
  <c r="CX2830" i="1"/>
  <c r="CV2830" i="1"/>
  <c r="CU2830" i="1"/>
  <c r="I2830" i="1"/>
  <c r="BI2830" i="1"/>
  <c r="BH2830" i="1"/>
  <c r="DE2067" i="1"/>
  <c r="CY2067" i="1"/>
  <c r="K2067" i="1"/>
  <c r="CX2067" i="1"/>
  <c r="CV2067" i="1"/>
  <c r="CU2067" i="1"/>
  <c r="I2067" i="1"/>
  <c r="BI2067" i="1"/>
  <c r="BH2067" i="1"/>
  <c r="DE2066" i="1"/>
  <c r="CY2066" i="1"/>
  <c r="K2066" i="1"/>
  <c r="CX2066" i="1"/>
  <c r="CV2066" i="1"/>
  <c r="CU2066" i="1"/>
  <c r="I2066" i="1"/>
  <c r="BI2066" i="1"/>
  <c r="BH2066" i="1"/>
  <c r="DE2829" i="1"/>
  <c r="CY2829" i="1"/>
  <c r="K2829" i="1"/>
  <c r="CX2829" i="1"/>
  <c r="CV2829" i="1"/>
  <c r="CU2829" i="1"/>
  <c r="I2829" i="1"/>
  <c r="BI2829" i="1"/>
  <c r="BH2829" i="1"/>
  <c r="DE2065" i="1"/>
  <c r="CY2065" i="1"/>
  <c r="K2065" i="1"/>
  <c r="CX2065" i="1"/>
  <c r="CV2065" i="1"/>
  <c r="CU2065" i="1"/>
  <c r="I2065" i="1"/>
  <c r="BI2065" i="1"/>
  <c r="BH2065" i="1"/>
  <c r="DE2378" i="1"/>
  <c r="CY2378" i="1"/>
  <c r="K2378" i="1"/>
  <c r="CX2378" i="1"/>
  <c r="CV2378" i="1"/>
  <c r="CU2378" i="1"/>
  <c r="I2378" i="1"/>
  <c r="BI2378" i="1"/>
  <c r="BH2378" i="1"/>
  <c r="DE2064" i="1"/>
  <c r="CY2064" i="1"/>
  <c r="K2064" i="1"/>
  <c r="CX2064" i="1"/>
  <c r="CV2064" i="1"/>
  <c r="CU2064" i="1"/>
  <c r="I2064" i="1"/>
  <c r="BI2064" i="1"/>
  <c r="BH2064" i="1"/>
  <c r="DE2828" i="1"/>
  <c r="CY2828" i="1"/>
  <c r="K2828" i="1"/>
  <c r="CX2828" i="1"/>
  <c r="CV2828" i="1"/>
  <c r="CU2828" i="1"/>
  <c r="I2828" i="1"/>
  <c r="BI2828" i="1"/>
  <c r="BH2828" i="1"/>
  <c r="DE2063" i="1"/>
  <c r="CY2063" i="1"/>
  <c r="K2063" i="1"/>
  <c r="CX2063" i="1"/>
  <c r="CV2063" i="1"/>
  <c r="CU2063" i="1"/>
  <c r="I2063" i="1"/>
  <c r="BI2063" i="1"/>
  <c r="BH2063" i="1"/>
  <c r="DE2062" i="1"/>
  <c r="CY2062" i="1"/>
  <c r="K2062" i="1"/>
  <c r="CX2062" i="1"/>
  <c r="CV2062" i="1"/>
  <c r="CU2062" i="1"/>
  <c r="I2062" i="1"/>
  <c r="BI2062" i="1"/>
  <c r="BH2062" i="1"/>
  <c r="DE2827" i="1"/>
  <c r="CY2827" i="1"/>
  <c r="K2827" i="1"/>
  <c r="CX2827" i="1"/>
  <c r="CV2827" i="1"/>
  <c r="CU2827" i="1"/>
  <c r="I2827" i="1"/>
  <c r="BI2827" i="1"/>
  <c r="BH2827" i="1"/>
  <c r="DE2061" i="1"/>
  <c r="CY2061" i="1"/>
  <c r="K2061" i="1"/>
  <c r="CX2061" i="1"/>
  <c r="CV2061" i="1"/>
  <c r="CU2061" i="1"/>
  <c r="I2061" i="1"/>
  <c r="BI2061" i="1"/>
  <c r="BH2061" i="1"/>
  <c r="DE2647" i="1"/>
  <c r="CY2647" i="1"/>
  <c r="K2647" i="1"/>
  <c r="CX2647" i="1"/>
  <c r="CV2647" i="1"/>
  <c r="CU2647" i="1"/>
  <c r="I2647" i="1"/>
  <c r="BI2647" i="1"/>
  <c r="BH2647" i="1"/>
  <c r="DE2826" i="1"/>
  <c r="CY2826" i="1"/>
  <c r="K2826" i="1"/>
  <c r="CX2826" i="1"/>
  <c r="CV2826" i="1"/>
  <c r="CU2826" i="1"/>
  <c r="I2826" i="1"/>
  <c r="BI2826" i="1"/>
  <c r="BH2826" i="1"/>
  <c r="DE2059" i="1"/>
  <c r="CY2059" i="1"/>
  <c r="K2059" i="1"/>
  <c r="CX2059" i="1"/>
  <c r="CV2059" i="1"/>
  <c r="CU2059" i="1"/>
  <c r="I2059" i="1"/>
  <c r="BI2059" i="1"/>
  <c r="BH2059" i="1"/>
  <c r="DE2326" i="1"/>
  <c r="CY2326" i="1"/>
  <c r="K2326" i="1"/>
  <c r="CX2326" i="1"/>
  <c r="CV2326" i="1"/>
  <c r="CU2326" i="1"/>
  <c r="I2326" i="1"/>
  <c r="BI2326" i="1"/>
  <c r="BH2326" i="1"/>
  <c r="DE2379" i="1"/>
  <c r="CY2379" i="1"/>
  <c r="K2379" i="1"/>
  <c r="CX2379" i="1"/>
  <c r="CV2379" i="1"/>
  <c r="CU2379" i="1"/>
  <c r="I2379" i="1"/>
  <c r="BI2379" i="1"/>
  <c r="BH2379" i="1"/>
  <c r="DE2058" i="1"/>
  <c r="CY2058" i="1"/>
  <c r="K2058" i="1"/>
  <c r="CX2058" i="1"/>
  <c r="CV2058" i="1"/>
  <c r="CU2058" i="1"/>
  <c r="I2058" i="1"/>
  <c r="BI2058" i="1"/>
  <c r="BH2058" i="1"/>
  <c r="DE2825" i="1"/>
  <c r="CY2825" i="1"/>
  <c r="K2825" i="1"/>
  <c r="CX2825" i="1"/>
  <c r="CV2825" i="1"/>
  <c r="CU2825" i="1"/>
  <c r="I2825" i="1"/>
  <c r="BI2825" i="1"/>
  <c r="BH2825" i="1"/>
  <c r="DE2057" i="1"/>
  <c r="CY2057" i="1"/>
  <c r="K2057" i="1"/>
  <c r="CX2057" i="1"/>
  <c r="CV2057" i="1"/>
  <c r="CU2057" i="1"/>
  <c r="I2057" i="1"/>
  <c r="BI2057" i="1"/>
  <c r="BH2057" i="1"/>
  <c r="DE2056" i="1"/>
  <c r="CY2056" i="1"/>
  <c r="K2056" i="1"/>
  <c r="CX2056" i="1"/>
  <c r="CV2056" i="1"/>
  <c r="CU2056" i="1"/>
  <c r="I2056" i="1"/>
  <c r="BI2056" i="1"/>
  <c r="BH2056" i="1"/>
  <c r="DE2824" i="1"/>
  <c r="CY2824" i="1"/>
  <c r="K2824" i="1"/>
  <c r="CX2824" i="1"/>
  <c r="CV2824" i="1"/>
  <c r="CU2824" i="1"/>
  <c r="I2824" i="1"/>
  <c r="BI2824" i="1"/>
  <c r="BH2824" i="1"/>
  <c r="DE2055" i="1"/>
  <c r="CY2055" i="1"/>
  <c r="K2055" i="1"/>
  <c r="CX2055" i="1"/>
  <c r="CV2055" i="1"/>
  <c r="CU2055" i="1"/>
  <c r="I2055" i="1"/>
  <c r="BI2055" i="1"/>
  <c r="BH2055" i="1"/>
  <c r="DE2823" i="1"/>
  <c r="CY2823" i="1"/>
  <c r="K2823" i="1"/>
  <c r="CX2823" i="1"/>
  <c r="CV2823" i="1"/>
  <c r="CU2823" i="1"/>
  <c r="I2823" i="1"/>
  <c r="BI2823" i="1"/>
  <c r="BH2823" i="1"/>
  <c r="DE2054" i="1"/>
  <c r="CY2054" i="1"/>
  <c r="K2054" i="1"/>
  <c r="CX2054" i="1"/>
  <c r="CV2054" i="1"/>
  <c r="CU2054" i="1"/>
  <c r="I2054" i="1"/>
  <c r="BI2054" i="1"/>
  <c r="BH2054" i="1"/>
  <c r="DE2053" i="1"/>
  <c r="CY2053" i="1"/>
  <c r="K2053" i="1"/>
  <c r="CX2053" i="1"/>
  <c r="CV2053" i="1"/>
  <c r="CU2053" i="1"/>
  <c r="I2053" i="1"/>
  <c r="BI2053" i="1"/>
  <c r="BH2053" i="1"/>
  <c r="DE2822" i="1"/>
  <c r="CY2822" i="1"/>
  <c r="K2822" i="1"/>
  <c r="CX2822" i="1"/>
  <c r="CV2822" i="1"/>
  <c r="CU2822" i="1"/>
  <c r="I2822" i="1"/>
  <c r="BI2822" i="1"/>
  <c r="BH2822" i="1"/>
  <c r="DE2052" i="1"/>
  <c r="CY2052" i="1"/>
  <c r="K2052" i="1"/>
  <c r="CX2052" i="1"/>
  <c r="CV2052" i="1"/>
  <c r="CU2052" i="1"/>
  <c r="I2052" i="1"/>
  <c r="BI2052" i="1"/>
  <c r="BH2052" i="1"/>
  <c r="DE2050" i="1"/>
  <c r="CY2050" i="1"/>
  <c r="K2050" i="1"/>
  <c r="CX2050" i="1"/>
  <c r="CV2050" i="1"/>
  <c r="CU2050" i="1"/>
  <c r="I2050" i="1"/>
  <c r="BI2050" i="1"/>
  <c r="BH2050" i="1"/>
  <c r="DE2821" i="1"/>
  <c r="CY2821" i="1"/>
  <c r="K2821" i="1"/>
  <c r="CX2821" i="1"/>
  <c r="CV2821" i="1"/>
  <c r="CU2821" i="1"/>
  <c r="I2821" i="1"/>
  <c r="BI2821" i="1"/>
  <c r="BH2821" i="1"/>
  <c r="DE2049" i="1"/>
  <c r="CY2049" i="1"/>
  <c r="K2049" i="1"/>
  <c r="CX2049" i="1"/>
  <c r="CV2049" i="1"/>
  <c r="CU2049" i="1"/>
  <c r="I2049" i="1"/>
  <c r="BI2049" i="1"/>
  <c r="BH2049" i="1"/>
  <c r="DE2820" i="1"/>
  <c r="CY2820" i="1"/>
  <c r="K2820" i="1"/>
  <c r="CX2820" i="1"/>
  <c r="CV2820" i="1"/>
  <c r="CU2820" i="1"/>
  <c r="I2820" i="1"/>
  <c r="BI2820" i="1"/>
  <c r="BH2820" i="1"/>
  <c r="DE2048" i="1"/>
  <c r="CY2048" i="1"/>
  <c r="K2048" i="1"/>
  <c r="CX2048" i="1"/>
  <c r="CV2048" i="1"/>
  <c r="CU2048" i="1"/>
  <c r="I2048" i="1"/>
  <c r="BI2048" i="1"/>
  <c r="BH2048" i="1"/>
  <c r="DE2047" i="1"/>
  <c r="CY2047" i="1"/>
  <c r="K2047" i="1"/>
  <c r="CX2047" i="1"/>
  <c r="CV2047" i="1"/>
  <c r="CU2047" i="1"/>
  <c r="I2047" i="1"/>
  <c r="BI2047" i="1"/>
  <c r="BH2047" i="1"/>
  <c r="DE2046" i="1"/>
  <c r="CY2046" i="1"/>
  <c r="K2046" i="1"/>
  <c r="CX2046" i="1"/>
  <c r="CV2046" i="1"/>
  <c r="CU2046" i="1"/>
  <c r="I2046" i="1"/>
  <c r="BI2046" i="1"/>
  <c r="BH2046" i="1"/>
  <c r="DE2819" i="1"/>
  <c r="CY2819" i="1"/>
  <c r="K2819" i="1"/>
  <c r="CX2819" i="1"/>
  <c r="CV2819" i="1"/>
  <c r="CU2819" i="1"/>
  <c r="I2819" i="1"/>
  <c r="BI2819" i="1"/>
  <c r="BH2819" i="1"/>
  <c r="DE2045" i="1"/>
  <c r="CY2045" i="1"/>
  <c r="K2045" i="1"/>
  <c r="CX2045" i="1"/>
  <c r="CV2045" i="1"/>
  <c r="CU2045" i="1"/>
  <c r="I2045" i="1"/>
  <c r="BI2045" i="1"/>
  <c r="BH2045" i="1"/>
  <c r="DE2818" i="1"/>
  <c r="CY2818" i="1"/>
  <c r="K2818" i="1"/>
  <c r="CX2818" i="1"/>
  <c r="CV2818" i="1"/>
  <c r="CU2818" i="1"/>
  <c r="I2818" i="1"/>
  <c r="BI2818" i="1"/>
  <c r="BH2818" i="1"/>
  <c r="DE2044" i="1"/>
  <c r="CY2044" i="1"/>
  <c r="K2044" i="1"/>
  <c r="CX2044" i="1"/>
  <c r="CV2044" i="1"/>
  <c r="CU2044" i="1"/>
  <c r="I2044" i="1"/>
  <c r="BI2044" i="1"/>
  <c r="BH2044" i="1"/>
  <c r="DE2850" i="1"/>
  <c r="CY2850" i="1"/>
  <c r="K2850" i="1"/>
  <c r="CX2850" i="1"/>
  <c r="CV2850" i="1"/>
  <c r="CU2850" i="1"/>
  <c r="I2850" i="1"/>
  <c r="BI2850" i="1"/>
  <c r="BH2850" i="1"/>
  <c r="DE2043" i="1"/>
  <c r="CY2043" i="1"/>
  <c r="K2043" i="1"/>
  <c r="CX2043" i="1"/>
  <c r="CV2043" i="1"/>
  <c r="CU2043" i="1"/>
  <c r="I2043" i="1"/>
  <c r="BI2043" i="1"/>
  <c r="BH2043" i="1"/>
  <c r="DE2042" i="1"/>
  <c r="CY2042" i="1"/>
  <c r="K2042" i="1"/>
  <c r="CX2042" i="1"/>
  <c r="CV2042" i="1"/>
  <c r="CU2042" i="1"/>
  <c r="I2042" i="1"/>
  <c r="BI2042" i="1"/>
  <c r="BH2042" i="1"/>
  <c r="DE2817" i="1"/>
  <c r="CY2817" i="1"/>
  <c r="K2817" i="1"/>
  <c r="CX2817" i="1"/>
  <c r="CV2817" i="1"/>
  <c r="CU2817" i="1"/>
  <c r="I2817" i="1"/>
  <c r="BI2817" i="1"/>
  <c r="BH2817" i="1"/>
  <c r="DE2041" i="1"/>
  <c r="CY2041" i="1"/>
  <c r="K2041" i="1"/>
  <c r="CX2041" i="1"/>
  <c r="CV2041" i="1"/>
  <c r="CU2041" i="1"/>
  <c r="I2041" i="1"/>
  <c r="BI2041" i="1"/>
  <c r="BH2041" i="1"/>
  <c r="DE2040" i="1"/>
  <c r="CY2040" i="1"/>
  <c r="K2040" i="1"/>
  <c r="CX2040" i="1"/>
  <c r="CV2040" i="1"/>
  <c r="CU2040" i="1"/>
  <c r="I2040" i="1"/>
  <c r="BI2040" i="1"/>
  <c r="BH2040" i="1"/>
  <c r="DE2381" i="1"/>
  <c r="CY2381" i="1"/>
  <c r="K2381" i="1"/>
  <c r="CX2381" i="1"/>
  <c r="CV2381" i="1"/>
  <c r="CU2381" i="1"/>
  <c r="I2381" i="1"/>
  <c r="BI2381" i="1"/>
  <c r="BH2381" i="1"/>
  <c r="DE2039" i="1"/>
  <c r="CY2039" i="1"/>
  <c r="K2039" i="1"/>
  <c r="CX2039" i="1"/>
  <c r="CV2039" i="1"/>
  <c r="CU2039" i="1"/>
  <c r="I2039" i="1"/>
  <c r="BI2039" i="1"/>
  <c r="BH2039" i="1"/>
  <c r="DE2038" i="1"/>
  <c r="CY2038" i="1"/>
  <c r="K2038" i="1"/>
  <c r="CX2038" i="1"/>
  <c r="CV2038" i="1"/>
  <c r="CU2038" i="1"/>
  <c r="I2038" i="1"/>
  <c r="BI2038" i="1"/>
  <c r="BH2038" i="1"/>
  <c r="DE2815" i="1"/>
  <c r="CY2815" i="1"/>
  <c r="K2815" i="1"/>
  <c r="CX2815" i="1"/>
  <c r="CV2815" i="1"/>
  <c r="CU2815" i="1"/>
  <c r="I2815" i="1"/>
  <c r="BI2815" i="1"/>
  <c r="BH2815" i="1"/>
  <c r="DE2037" i="1"/>
  <c r="CY2037" i="1"/>
  <c r="K2037" i="1"/>
  <c r="CX2037" i="1"/>
  <c r="CV2037" i="1"/>
  <c r="CU2037" i="1"/>
  <c r="I2037" i="1"/>
  <c r="BI2037" i="1"/>
  <c r="BH2037" i="1"/>
  <c r="DE2036" i="1"/>
  <c r="CY2036" i="1"/>
  <c r="K2036" i="1"/>
  <c r="CX2036" i="1"/>
  <c r="CV2036" i="1"/>
  <c r="CU2036" i="1"/>
  <c r="I2036" i="1"/>
  <c r="BI2036" i="1"/>
  <c r="BH2036" i="1"/>
</calcChain>
</file>

<file path=xl/sharedStrings.xml><?xml version="1.0" encoding="utf-8"?>
<sst xmlns="http://schemas.openxmlformats.org/spreadsheetml/2006/main" count="313220" uniqueCount="6926">
  <si>
    <t>資産負債番号</t>
  </si>
  <si>
    <t>資産負債枝番</t>
  </si>
  <si>
    <t>資産負債履歴番号</t>
  </si>
  <si>
    <t>他台帳区分</t>
  </si>
  <si>
    <t>他台帳番号</t>
  </si>
  <si>
    <t>他台帳枝番</t>
  </si>
  <si>
    <t>資産名称</t>
  </si>
  <si>
    <t>資産負債区分</t>
  </si>
  <si>
    <t>資産負債内訳区分</t>
  </si>
  <si>
    <t>施設コード</t>
  </si>
  <si>
    <t>目的別資産区分</t>
  </si>
  <si>
    <t>勘定科目区分</t>
  </si>
  <si>
    <t>勘定科目連番</t>
  </si>
  <si>
    <t>勘定科目枝番</t>
  </si>
  <si>
    <t>所属コード</t>
  </si>
  <si>
    <t>執行課</t>
  </si>
  <si>
    <t>取得年月日</t>
  </si>
  <si>
    <t>完成日</t>
  </si>
  <si>
    <t>供用開始年月日</t>
  </si>
  <si>
    <t>供用開始回数</t>
  </si>
  <si>
    <t>売却予定日</t>
  </si>
  <si>
    <t>登録年月日</t>
  </si>
  <si>
    <t>用途</t>
  </si>
  <si>
    <t>廃止フラグ</t>
  </si>
  <si>
    <t>所有割合</t>
  </si>
  <si>
    <t>郵便番号</t>
  </si>
  <si>
    <t>都道府県コード</t>
  </si>
  <si>
    <t>自治体コード</t>
  </si>
  <si>
    <t>大字通称コード</t>
  </si>
  <si>
    <t>字丁目コード</t>
  </si>
  <si>
    <t>都道府県名称</t>
  </si>
  <si>
    <t>市区郡町村名称</t>
  </si>
  <si>
    <t>大字通称名称</t>
  </si>
  <si>
    <t>所在地</t>
  </si>
  <si>
    <t>番地</t>
  </si>
  <si>
    <t>方書</t>
  </si>
  <si>
    <t>設置場所</t>
  </si>
  <si>
    <t>設計書番号</t>
  </si>
  <si>
    <t>管理番号等</t>
  </si>
  <si>
    <t>緯度</t>
  </si>
  <si>
    <t>経度</t>
  </si>
  <si>
    <t>資産計上区分</t>
  </si>
  <si>
    <t>資産登録区分</t>
  </si>
  <si>
    <t>所有関係区分</t>
  </si>
  <si>
    <t>財産区分</t>
  </si>
  <si>
    <t>未利用財産</t>
  </si>
  <si>
    <t>売却可能区分</t>
  </si>
  <si>
    <t>売却可能ランク</t>
  </si>
  <si>
    <t>仕訳帳反映フラグ</t>
  </si>
  <si>
    <t>財産調書分類</t>
  </si>
  <si>
    <t>取込ファイル名</t>
  </si>
  <si>
    <t>異動年度</t>
  </si>
  <si>
    <t>異動年月日</t>
  </si>
  <si>
    <t>異動事由コード</t>
  </si>
  <si>
    <t>異動事由コード（変換元）</t>
  </si>
  <si>
    <t>異動内訳区分</t>
  </si>
  <si>
    <t>数量(異動数量)</t>
  </si>
  <si>
    <t>異動増減額</t>
  </si>
  <si>
    <t>団体コード</t>
  </si>
  <si>
    <t>会計</t>
  </si>
  <si>
    <t>予算科目（款）</t>
  </si>
  <si>
    <t>予算科目（項）</t>
  </si>
  <si>
    <t>予算科目（目）</t>
  </si>
  <si>
    <t>予算科目（事業１）</t>
  </si>
  <si>
    <t>予算科目（事業２）</t>
  </si>
  <si>
    <t>予算科目（事業３）</t>
  </si>
  <si>
    <t>予算科目（事業４）</t>
  </si>
  <si>
    <t>予算科目（事業５）</t>
  </si>
  <si>
    <t>伝票番号</t>
  </si>
  <si>
    <t>伝票枝番</t>
  </si>
  <si>
    <t>相手番号</t>
  </si>
  <si>
    <t>相手枝番</t>
  </si>
  <si>
    <t>相手コード</t>
  </si>
  <si>
    <t>事業分類</t>
  </si>
  <si>
    <t>取得財源内訳</t>
  </si>
  <si>
    <t>建設仮勘定番号</t>
  </si>
  <si>
    <t>建設仮勘定枝番</t>
  </si>
  <si>
    <t>建設仮勘定履歴番号</t>
  </si>
  <si>
    <t>資産評価区分</t>
  </si>
  <si>
    <t>資産評価方法</t>
  </si>
  <si>
    <t>単価ID</t>
  </si>
  <si>
    <t>資産評価概要</t>
  </si>
  <si>
    <t>償却開始年月日</t>
  </si>
  <si>
    <t>償却対象区分</t>
  </si>
  <si>
    <t>償却開始区分</t>
  </si>
  <si>
    <t>備忘価額区分</t>
  </si>
  <si>
    <t>中古区分</t>
  </si>
  <si>
    <t>減価償却計算</t>
  </si>
  <si>
    <t>減価償却率</t>
  </si>
  <si>
    <t>耐用年数大分類</t>
  </si>
  <si>
    <t>耐用年数中分類</t>
  </si>
  <si>
    <t>耐用年数小分類</t>
  </si>
  <si>
    <t>耐用年数</t>
  </si>
  <si>
    <t>稼働年数</t>
  </si>
  <si>
    <t>単価</t>
  </si>
  <si>
    <t>数量</t>
  </si>
  <si>
    <t>単位</t>
  </si>
  <si>
    <t>時価等</t>
  </si>
  <si>
    <t>減価償却累計額</t>
  </si>
  <si>
    <t>減価償却年額</t>
  </si>
  <si>
    <t>異動前簿価</t>
  </si>
  <si>
    <t>簿価</t>
  </si>
  <si>
    <t>開始取得価額等</t>
  </si>
  <si>
    <t>供用開始額</t>
  </si>
  <si>
    <t>現況地目</t>
  </si>
  <si>
    <t>地区</t>
  </si>
  <si>
    <t>路線番号</t>
  </si>
  <si>
    <t>登記地目</t>
  </si>
  <si>
    <t>登記面積</t>
  </si>
  <si>
    <t>登記日</t>
  </si>
  <si>
    <t>評価地目</t>
  </si>
  <si>
    <t>構造</t>
  </si>
  <si>
    <t>屋根</t>
  </si>
  <si>
    <t>地上階数</t>
  </si>
  <si>
    <t>地下階数</t>
  </si>
  <si>
    <t>建面積</t>
  </si>
  <si>
    <t>分類</t>
  </si>
  <si>
    <t>重要区分</t>
  </si>
  <si>
    <t>種目</t>
  </si>
  <si>
    <t>権利</t>
  </si>
  <si>
    <t>樹齢</t>
  </si>
  <si>
    <t>幅員</t>
  </si>
  <si>
    <t>財産番号（旧）</t>
  </si>
  <si>
    <t>明細番号（旧）</t>
  </si>
  <si>
    <t>自由入力３</t>
  </si>
  <si>
    <t>自由入力４</t>
  </si>
  <si>
    <t>自由入力５</t>
  </si>
  <si>
    <t>自由入力６</t>
  </si>
  <si>
    <t>自由入力７</t>
  </si>
  <si>
    <t>自由入力８</t>
  </si>
  <si>
    <t>自由入力９</t>
  </si>
  <si>
    <t>自由入力１０</t>
  </si>
  <si>
    <t>自由入力１１</t>
  </si>
  <si>
    <t>自由入力１２</t>
  </si>
  <si>
    <t>自由入力１３</t>
  </si>
  <si>
    <t>自由入力１４</t>
  </si>
  <si>
    <t>自由入力１５</t>
  </si>
  <si>
    <t>自由入力１６</t>
  </si>
  <si>
    <t>自由入力１７</t>
  </si>
  <si>
    <t>自由入力１８</t>
  </si>
  <si>
    <t>自由入力１９</t>
  </si>
  <si>
    <t>自由入力２０</t>
  </si>
  <si>
    <t>自由入力２１</t>
  </si>
  <si>
    <t>自由入力２２</t>
  </si>
  <si>
    <t>自由入力２３</t>
  </si>
  <si>
    <t>自由入力２４</t>
  </si>
  <si>
    <t>自由入力２５</t>
  </si>
  <si>
    <t>自由入力２６</t>
  </si>
  <si>
    <t>自由入力２７</t>
  </si>
  <si>
    <t>自由入力２８</t>
  </si>
  <si>
    <t>自由入力２９</t>
  </si>
  <si>
    <t>自由入力３０</t>
  </si>
  <si>
    <t>自由入力３１</t>
  </si>
  <si>
    <t>自由入力３２</t>
  </si>
  <si>
    <t>自由入力３３</t>
  </si>
  <si>
    <t>自由入力３４</t>
  </si>
  <si>
    <t>自由入力３５</t>
  </si>
  <si>
    <t>自由入力３６</t>
  </si>
  <si>
    <t>自由入力３７</t>
  </si>
  <si>
    <t>自由入力３８</t>
  </si>
  <si>
    <t>自由入力３９</t>
  </si>
  <si>
    <t>自由入力４０</t>
  </si>
  <si>
    <t>自由入力４１</t>
  </si>
  <si>
    <t>自由入力４２</t>
  </si>
  <si>
    <t>自由入力４３</t>
  </si>
  <si>
    <t>自由入力４４</t>
  </si>
  <si>
    <t>自由入力４５</t>
  </si>
  <si>
    <t>自由入力４６</t>
  </si>
  <si>
    <t>自由入力４７</t>
  </si>
  <si>
    <t>自由入力４８</t>
  </si>
  <si>
    <t>自由入力４９</t>
  </si>
  <si>
    <t>自由入力５０</t>
  </si>
  <si>
    <t>自由入力５１</t>
  </si>
  <si>
    <t>自由入力５２</t>
  </si>
  <si>
    <t>自由入力５３</t>
  </si>
  <si>
    <t>自由入力５４</t>
  </si>
  <si>
    <t>自由入力５５</t>
  </si>
  <si>
    <t>自由入力５６</t>
  </si>
  <si>
    <t>自由入力５７</t>
  </si>
  <si>
    <t>自由入力５８</t>
  </si>
  <si>
    <t>自由入力５９</t>
  </si>
  <si>
    <t>自由入力６０</t>
  </si>
  <si>
    <t>自由入力６１</t>
  </si>
  <si>
    <t>自由入力６２</t>
  </si>
  <si>
    <t>自由入力６３</t>
  </si>
  <si>
    <t>自由入力６４</t>
  </si>
  <si>
    <t>自由入力６５</t>
  </si>
  <si>
    <t>自由入力６６</t>
  </si>
  <si>
    <t>自由入力６７</t>
  </si>
  <si>
    <t>自由入力６８</t>
  </si>
  <si>
    <t>自由入力６９</t>
  </si>
  <si>
    <t>自由入力７０</t>
  </si>
  <si>
    <t>追加項目１</t>
  </si>
  <si>
    <t>追加項目２</t>
  </si>
  <si>
    <t>追加項目３</t>
  </si>
  <si>
    <t>追加項目４</t>
  </si>
  <si>
    <t>追加項目５</t>
  </si>
  <si>
    <t>追加項目６</t>
  </si>
  <si>
    <t>追加項目７</t>
  </si>
  <si>
    <t>追加項目８</t>
  </si>
  <si>
    <t>追加項目９</t>
  </si>
  <si>
    <t>追加項目１０</t>
  </si>
  <si>
    <t>追加項目１１</t>
  </si>
  <si>
    <t>追加項目１２</t>
  </si>
  <si>
    <t>追加項目１３</t>
  </si>
  <si>
    <t>追加項目１４</t>
  </si>
  <si>
    <t>追加項目１５</t>
  </si>
  <si>
    <t>追加項目１６</t>
  </si>
  <si>
    <t>追加項目１７</t>
  </si>
  <si>
    <t>追加項目１８</t>
  </si>
  <si>
    <t>追加項目１９</t>
  </si>
  <si>
    <t>追加項目２０</t>
  </si>
  <si>
    <t>追加項目２１</t>
  </si>
  <si>
    <t>追加項目２２</t>
  </si>
  <si>
    <t>追加項目２３</t>
  </si>
  <si>
    <t>追加項目２４</t>
  </si>
  <si>
    <t>追加項目２５</t>
  </si>
  <si>
    <t>追加項目２６</t>
  </si>
  <si>
    <t>追加項目２７</t>
  </si>
  <si>
    <t>追加項目２８</t>
  </si>
  <si>
    <t>追加項目２９</t>
  </si>
  <si>
    <t>追加項目３０</t>
  </si>
  <si>
    <t>耐震診断状況(建物)</t>
  </si>
  <si>
    <t>耐震化状況(建物)</t>
  </si>
  <si>
    <t>長寿命化履歴</t>
  </si>
  <si>
    <t>複合化状況</t>
  </si>
  <si>
    <t>利用者数(件数)</t>
  </si>
  <si>
    <t>稼働率</t>
  </si>
  <si>
    <t>運営方式</t>
  </si>
  <si>
    <t>運営時間</t>
  </si>
  <si>
    <t>職員人数</t>
  </si>
  <si>
    <t>ランニングコスト</t>
  </si>
  <si>
    <t>第１資産負債属性情報</t>
  </si>
  <si>
    <t>第２資産負債属性情報</t>
  </si>
  <si>
    <t>第３資産負債属性情報</t>
  </si>
  <si>
    <t>第４資産負債属性情報</t>
  </si>
  <si>
    <t>第５資産負債属性情報</t>
  </si>
  <si>
    <t>01:公有財産土地台帳</t>
  </si>
  <si>
    <t/>
  </si>
  <si>
    <t>0:その他</t>
  </si>
  <si>
    <t>7:総務（総務）</t>
  </si>
  <si>
    <t>1045100000:迫総合支所市民課</t>
  </si>
  <si>
    <t>1900/01/01</t>
  </si>
  <si>
    <t>2016/03/31</t>
  </si>
  <si>
    <t>0:通常</t>
  </si>
  <si>
    <t>100</t>
  </si>
  <si>
    <t>0:計上対象</t>
  </si>
  <si>
    <t>0:自己資産</t>
  </si>
  <si>
    <t>1:行政財産</t>
  </si>
  <si>
    <t>0:売却不可資産</t>
  </si>
  <si>
    <t>2015</t>
  </si>
  <si>
    <t>25:訂正</t>
  </si>
  <si>
    <t>3104:運用開始時</t>
  </si>
  <si>
    <t>001</t>
  </si>
  <si>
    <t>01</t>
  </si>
  <si>
    <t>2:再調達原価</t>
  </si>
  <si>
    <t>0:個別評価</t>
  </si>
  <si>
    <t>1:償却対象でない</t>
  </si>
  <si>
    <t>1:一円残しする</t>
  </si>
  <si>
    <t>1050000:事業用／土地</t>
  </si>
  <si>
    <t xml:space="preserve">0: </t>
  </si>
  <si>
    <t>0</t>
  </si>
  <si>
    <t>01:平方メートル</t>
  </si>
  <si>
    <t>03:宅地</t>
  </si>
  <si>
    <t>1</t>
  </si>
  <si>
    <t>99:その他</t>
  </si>
  <si>
    <t>用悪水路</t>
  </si>
  <si>
    <t>41:インフラ資産／土地</t>
  </si>
  <si>
    <t>1:道路河川及び水路の敷地</t>
  </si>
  <si>
    <t>002007:用悪水路</t>
  </si>
  <si>
    <t>1:生活インフラ・国土保全（生活インフラ・国土保全）</t>
  </si>
  <si>
    <t>1040100000:建設総務課</t>
  </si>
  <si>
    <t>迫町新田字新蓮沼106</t>
  </si>
  <si>
    <t>9:評価しない</t>
  </si>
  <si>
    <t>19:用悪水路</t>
  </si>
  <si>
    <t>0750002</t>
  </si>
  <si>
    <t>120</t>
  </si>
  <si>
    <t>迫町新田字新蓮沼107</t>
  </si>
  <si>
    <t>121</t>
  </si>
  <si>
    <t>中田町石森字小倉南105</t>
  </si>
  <si>
    <t>899</t>
  </si>
  <si>
    <t>迫町新田字新蓮沼113</t>
  </si>
  <si>
    <t>122</t>
  </si>
  <si>
    <t>迫町新田字新蓮沼114</t>
  </si>
  <si>
    <t>123</t>
  </si>
  <si>
    <t>中田町石森字東蓬田50</t>
  </si>
  <si>
    <t>465</t>
  </si>
  <si>
    <t>迫町新田字新蓮沼119</t>
  </si>
  <si>
    <t>124</t>
  </si>
  <si>
    <t>1060100000:中田総合支所市民課</t>
  </si>
  <si>
    <t>中田町上沼字西桜場18</t>
  </si>
  <si>
    <t>迫町新田字新蓮沼120</t>
  </si>
  <si>
    <t>125</t>
  </si>
  <si>
    <t>1:取得価額等</t>
  </si>
  <si>
    <t>2</t>
  </si>
  <si>
    <t>中田町石森字小倉南107</t>
  </si>
  <si>
    <t>901</t>
  </si>
  <si>
    <t>迫町新田字新蓮沼123</t>
  </si>
  <si>
    <t>126</t>
  </si>
  <si>
    <t>迫町新田字新蓮沼124</t>
  </si>
  <si>
    <t>127</t>
  </si>
  <si>
    <t>中田町上沼字金谷西92</t>
  </si>
  <si>
    <t>934</t>
  </si>
  <si>
    <t>迫町新田字新蓮沼126</t>
  </si>
  <si>
    <t>128</t>
  </si>
  <si>
    <t>中田町石森字中田西90</t>
  </si>
  <si>
    <t>902</t>
  </si>
  <si>
    <t>迫町新田字新蓮沼129</t>
  </si>
  <si>
    <t>129</t>
  </si>
  <si>
    <t>中田町石森字中田西91</t>
  </si>
  <si>
    <t>903</t>
  </si>
  <si>
    <t>迫町新田字新蓮沼131</t>
  </si>
  <si>
    <t>130</t>
  </si>
  <si>
    <t>迫町新田字松原東69</t>
  </si>
  <si>
    <t>131</t>
  </si>
  <si>
    <t>迫町新田字松原東75</t>
  </si>
  <si>
    <t>132</t>
  </si>
  <si>
    <t>中田町石森字中田西92</t>
  </si>
  <si>
    <t>904</t>
  </si>
  <si>
    <t>迫町新田字松原東76</t>
  </si>
  <si>
    <t>133</t>
  </si>
  <si>
    <t>中田町石森字中田西93</t>
  </si>
  <si>
    <t>905</t>
  </si>
  <si>
    <t>迫町新田字松原東77</t>
  </si>
  <si>
    <t>134</t>
  </si>
  <si>
    <t>迫町新田字松原東81</t>
  </si>
  <si>
    <t>136</t>
  </si>
  <si>
    <t>中田町石森字中田西94</t>
  </si>
  <si>
    <t>906</t>
  </si>
  <si>
    <t>迫町新田字松原東83</t>
  </si>
  <si>
    <t>137</t>
  </si>
  <si>
    <t>迫町新田字松原東84</t>
  </si>
  <si>
    <t>138</t>
  </si>
  <si>
    <t>中田町石森字中田西95</t>
  </si>
  <si>
    <t>907</t>
  </si>
  <si>
    <t>迫町新田字松原東85</t>
  </si>
  <si>
    <t>139</t>
  </si>
  <si>
    <t>中田町石森字中田西96</t>
  </si>
  <si>
    <t>908</t>
  </si>
  <si>
    <t>迫町新田字松原東86</t>
  </si>
  <si>
    <t>140</t>
  </si>
  <si>
    <t>東和町米川字新青木88</t>
  </si>
  <si>
    <t>141</t>
  </si>
  <si>
    <t>中田町石森字中田西97</t>
  </si>
  <si>
    <t>909</t>
  </si>
  <si>
    <t>東和町米川字新青木89</t>
  </si>
  <si>
    <t>142</t>
  </si>
  <si>
    <t>中田町上沼字北新田41</t>
  </si>
  <si>
    <t>463</t>
  </si>
  <si>
    <t>中田町上沼字新八幡浦55</t>
  </si>
  <si>
    <t>410</t>
  </si>
  <si>
    <t>東和町米川字新青木90</t>
  </si>
  <si>
    <t>143</t>
  </si>
  <si>
    <t>中田町石森字中田西98</t>
  </si>
  <si>
    <t>910</t>
  </si>
  <si>
    <t>7010300000:消防本部警防課</t>
  </si>
  <si>
    <t>25:その他</t>
  </si>
  <si>
    <t>02:畑</t>
  </si>
  <si>
    <t>34</t>
  </si>
  <si>
    <t>中田町石森字霜田前61</t>
  </si>
  <si>
    <t>731</t>
  </si>
  <si>
    <t>東和町米川字新青木92</t>
  </si>
  <si>
    <t>145</t>
  </si>
  <si>
    <t>中田町石森字中田西99</t>
  </si>
  <si>
    <t>911</t>
  </si>
  <si>
    <t>東和町米川字新青木93</t>
  </si>
  <si>
    <t>146</t>
  </si>
  <si>
    <t>東和町米川字新青木94</t>
  </si>
  <si>
    <t>147</t>
  </si>
  <si>
    <t>中田町石森字中田西100</t>
  </si>
  <si>
    <t>912</t>
  </si>
  <si>
    <t>東和町米川字新青木95</t>
  </si>
  <si>
    <t>148</t>
  </si>
  <si>
    <t>中田町上沼字北新田40</t>
  </si>
  <si>
    <t>462</t>
  </si>
  <si>
    <t>東和町米川字新青木96</t>
  </si>
  <si>
    <t>149</t>
  </si>
  <si>
    <t>中田町石森字中田西101</t>
  </si>
  <si>
    <t>913</t>
  </si>
  <si>
    <t>東和町米川字新青木97</t>
  </si>
  <si>
    <t>150</t>
  </si>
  <si>
    <t>東和町米川字新青木98</t>
  </si>
  <si>
    <t>151</t>
  </si>
  <si>
    <t>中田町石森字中田西102</t>
  </si>
  <si>
    <t>914</t>
  </si>
  <si>
    <t>東和町米川字新青木99</t>
  </si>
  <si>
    <t>152</t>
  </si>
  <si>
    <t>中田町石森字西長根84</t>
  </si>
  <si>
    <t>779</t>
  </si>
  <si>
    <t>10:雑種地</t>
  </si>
  <si>
    <t>75</t>
  </si>
  <si>
    <t>東和町米川字新青木101</t>
  </si>
  <si>
    <t>154</t>
  </si>
  <si>
    <t>東和町米川字新青木102</t>
  </si>
  <si>
    <t>155</t>
  </si>
  <si>
    <t>中田町石森字中田西103</t>
  </si>
  <si>
    <t>915</t>
  </si>
  <si>
    <t>東和町米川字新青木103</t>
  </si>
  <si>
    <t>156</t>
  </si>
  <si>
    <t>中田町石森字中田西104</t>
  </si>
  <si>
    <t>916</t>
  </si>
  <si>
    <t>東和町米川字新青木104</t>
  </si>
  <si>
    <t>157</t>
  </si>
  <si>
    <t>中田町石森字中田西105</t>
  </si>
  <si>
    <t>917</t>
  </si>
  <si>
    <t>東和町米川字新青木105</t>
  </si>
  <si>
    <t>158</t>
  </si>
  <si>
    <t>東和町米川字新青木106</t>
  </si>
  <si>
    <t>159</t>
  </si>
  <si>
    <t>東和町米川字新青木107</t>
  </si>
  <si>
    <t>160</t>
  </si>
  <si>
    <t>中田町石森字中田西106</t>
  </si>
  <si>
    <t>918</t>
  </si>
  <si>
    <t>東和町米川字新青木108</t>
  </si>
  <si>
    <t>161</t>
  </si>
  <si>
    <t>中田町石森字中田西107</t>
  </si>
  <si>
    <t>919</t>
  </si>
  <si>
    <t>東和町米川字新青木109</t>
  </si>
  <si>
    <t>162</t>
  </si>
  <si>
    <t>東和町米川字新青木110</t>
  </si>
  <si>
    <t>163</t>
  </si>
  <si>
    <t>05:山林</t>
  </si>
  <si>
    <t>78</t>
  </si>
  <si>
    <t>中田町石森字中田西108</t>
  </si>
  <si>
    <t>920</t>
  </si>
  <si>
    <t>東和町米川字新青木112</t>
  </si>
  <si>
    <t>165</t>
  </si>
  <si>
    <t>中田町石森字中田西109</t>
  </si>
  <si>
    <t>921</t>
  </si>
  <si>
    <t>東和町米川字新青木113</t>
  </si>
  <si>
    <t>166</t>
  </si>
  <si>
    <t>東和町米川字新青木114</t>
  </si>
  <si>
    <t>167</t>
  </si>
  <si>
    <t>東和町米川字新青木115</t>
  </si>
  <si>
    <t>168</t>
  </si>
  <si>
    <t>中田町石森字中田西110</t>
  </si>
  <si>
    <t>922</t>
  </si>
  <si>
    <t>3010150000:生涯学習課</t>
  </si>
  <si>
    <t>南方町八の森10-1</t>
  </si>
  <si>
    <t>東和町米川字新青木117</t>
  </si>
  <si>
    <t>170</t>
  </si>
  <si>
    <t>中田町石森字中田西112</t>
  </si>
  <si>
    <t>924</t>
  </si>
  <si>
    <t>東和町米川字新青木118</t>
  </si>
  <si>
    <t>171</t>
  </si>
  <si>
    <t>東和町米川字新青木119</t>
  </si>
  <si>
    <t>172</t>
  </si>
  <si>
    <t>中田町石森字中田西111</t>
  </si>
  <si>
    <t>923</t>
  </si>
  <si>
    <t>東和町米川字新寺前27</t>
  </si>
  <si>
    <t>173</t>
  </si>
  <si>
    <t>中田町石森字中田西113</t>
  </si>
  <si>
    <t>925</t>
  </si>
  <si>
    <t>東和町米川字新寺前29</t>
  </si>
  <si>
    <t>175</t>
  </si>
  <si>
    <t>東和町米川字新寺前30</t>
  </si>
  <si>
    <t>176</t>
  </si>
  <si>
    <t>中田町石森字中田西114</t>
  </si>
  <si>
    <t>926</t>
  </si>
  <si>
    <t>東和町米川字新寺前31</t>
  </si>
  <si>
    <t>177</t>
  </si>
  <si>
    <t>東和町米川字新寺前32</t>
  </si>
  <si>
    <t>178</t>
  </si>
  <si>
    <t>中田町上沼字金谷西86</t>
  </si>
  <si>
    <t>928</t>
  </si>
  <si>
    <t>東和町米川字新寺前33</t>
  </si>
  <si>
    <t>179</t>
  </si>
  <si>
    <t>東和町米川字新寺前34</t>
  </si>
  <si>
    <t>180</t>
  </si>
  <si>
    <t>中田町石森字中田西115</t>
  </si>
  <si>
    <t>927</t>
  </si>
  <si>
    <t>東和町米川字新寺前35</t>
  </si>
  <si>
    <t>181</t>
  </si>
  <si>
    <t>中田町上沼字金谷西87</t>
  </si>
  <si>
    <t>929</t>
  </si>
  <si>
    <t>1040300000:住宅都市整備課</t>
  </si>
  <si>
    <t>東和町錦織字嵯峨立23</t>
  </si>
  <si>
    <t>183</t>
  </si>
  <si>
    <t>東和町錦織字嵯峨立24</t>
  </si>
  <si>
    <t>184</t>
  </si>
  <si>
    <t>中田町上沼字金谷西88</t>
  </si>
  <si>
    <t>930</t>
  </si>
  <si>
    <t>12:ため池台帳</t>
  </si>
  <si>
    <t>迫町新田錠穴24番地ため池</t>
  </si>
  <si>
    <t>001639:ため池</t>
  </si>
  <si>
    <t>1035400000:農林振興課</t>
  </si>
  <si>
    <t>AsyzAP</t>
  </si>
  <si>
    <t>迫町新田錠穴24番地</t>
  </si>
  <si>
    <t>0.0000000000</t>
  </si>
  <si>
    <t>0:通常資産</t>
  </si>
  <si>
    <t>0:　</t>
  </si>
  <si>
    <t>2022</t>
  </si>
  <si>
    <t>2023/03/31</t>
  </si>
  <si>
    <t>31:調査判明</t>
  </si>
  <si>
    <t>1900/04/01</t>
  </si>
  <si>
    <t>0:翌年度から開始</t>
  </si>
  <si>
    <t>0:新規資産</t>
  </si>
  <si>
    <t>1210000:インフラ／土地</t>
  </si>
  <si>
    <t>116</t>
  </si>
  <si>
    <t>33:面</t>
  </si>
  <si>
    <t>0910001</t>
  </si>
  <si>
    <t>東和町錦織字嵯峨立26</t>
  </si>
  <si>
    <t>186</t>
  </si>
  <si>
    <t>中田町上沼字金谷西90</t>
  </si>
  <si>
    <t>932</t>
  </si>
  <si>
    <t>東和町錦織字嵯峨立27</t>
  </si>
  <si>
    <t>187</t>
  </si>
  <si>
    <t>東和町錦織字嵯峨立28</t>
  </si>
  <si>
    <t>188</t>
  </si>
  <si>
    <t>中田町上沼字金谷西89</t>
  </si>
  <si>
    <t>931</t>
  </si>
  <si>
    <t>東和町錦織字嵯峨立29</t>
  </si>
  <si>
    <t>189</t>
  </si>
  <si>
    <t>中田町上沼字金谷西91</t>
  </si>
  <si>
    <t>933</t>
  </si>
  <si>
    <t>東和町錦織字嵯峨立30</t>
  </si>
  <si>
    <t>190</t>
  </si>
  <si>
    <t>東和町錦織字嵯峨立31</t>
  </si>
  <si>
    <t>191</t>
  </si>
  <si>
    <t>東和町錦織字嵯峨立32</t>
  </si>
  <si>
    <t>192</t>
  </si>
  <si>
    <t>東和町米谷字新吉田31</t>
  </si>
  <si>
    <t>193</t>
  </si>
  <si>
    <t>中田町上沼字金谷西93</t>
  </si>
  <si>
    <t>935</t>
  </si>
  <si>
    <t>東和町米谷字新吉田32</t>
  </si>
  <si>
    <t>194</t>
  </si>
  <si>
    <t>東和町米谷字新吉田33</t>
  </si>
  <si>
    <t>195</t>
  </si>
  <si>
    <t>東和町米谷字新吉田34</t>
  </si>
  <si>
    <t>196</t>
  </si>
  <si>
    <t>ため池</t>
  </si>
  <si>
    <t>迫町新田字苗代沢46</t>
  </si>
  <si>
    <t>12:溜池</t>
  </si>
  <si>
    <t>04:池沼</t>
  </si>
  <si>
    <t>0260001</t>
  </si>
  <si>
    <t>64</t>
  </si>
  <si>
    <t>東和町米谷字新吉田35</t>
  </si>
  <si>
    <t>197</t>
  </si>
  <si>
    <t>中田町上沼字金谷西95</t>
  </si>
  <si>
    <t>937</t>
  </si>
  <si>
    <t>東和町米谷字新吉田36</t>
  </si>
  <si>
    <t>198</t>
  </si>
  <si>
    <t>中田町石森字霜田前60</t>
  </si>
  <si>
    <t>730</t>
  </si>
  <si>
    <t>東和町米谷字新吉田37</t>
  </si>
  <si>
    <t>199</t>
  </si>
  <si>
    <t>中田町上沼字金谷西96</t>
  </si>
  <si>
    <t>938</t>
  </si>
  <si>
    <t>東和町米谷字新中渡戸27</t>
  </si>
  <si>
    <t>200</t>
  </si>
  <si>
    <t>中田町上沼字北新田38</t>
  </si>
  <si>
    <t>461</t>
  </si>
  <si>
    <t>東和町米谷字新中渡戸28</t>
  </si>
  <si>
    <t>201</t>
  </si>
  <si>
    <t>中田町上沼字金谷西97</t>
  </si>
  <si>
    <t>939</t>
  </si>
  <si>
    <t>東和町米谷字新中渡戸29</t>
  </si>
  <si>
    <t>202</t>
  </si>
  <si>
    <t>東和町米谷字新中渡戸30</t>
  </si>
  <si>
    <t>203</t>
  </si>
  <si>
    <t>東和町米谷字新中渡戸31</t>
  </si>
  <si>
    <t>204</t>
  </si>
  <si>
    <t>中田町上沼字金谷西98</t>
  </si>
  <si>
    <t>940</t>
  </si>
  <si>
    <t>東和町米谷字新中渡戸32</t>
  </si>
  <si>
    <t>205</t>
  </si>
  <si>
    <t>東和町米谷字新中渡戸33</t>
  </si>
  <si>
    <t>206</t>
  </si>
  <si>
    <t>東和町米谷字新中渡戸34</t>
  </si>
  <si>
    <t>207</t>
  </si>
  <si>
    <t>中田町上沼字中田東72</t>
  </si>
  <si>
    <t>942</t>
  </si>
  <si>
    <t>東和町米谷字新中渡戸35</t>
  </si>
  <si>
    <t>208</t>
  </si>
  <si>
    <t>東和町米谷字新中渡戸36</t>
  </si>
  <si>
    <t>209</t>
  </si>
  <si>
    <t>中田町上沼字中田東73</t>
  </si>
  <si>
    <t>943</t>
  </si>
  <si>
    <t>東和町米谷字新中渡戸37</t>
  </si>
  <si>
    <t>210</t>
  </si>
  <si>
    <t>中田町上沼字北新田37</t>
  </si>
  <si>
    <t>460</t>
  </si>
  <si>
    <t>東和町錦織字新川端40</t>
  </si>
  <si>
    <t>211</t>
  </si>
  <si>
    <t>東和町錦織字新川端41</t>
  </si>
  <si>
    <t>212</t>
  </si>
  <si>
    <t>中田町上沼字中田東74</t>
  </si>
  <si>
    <t>944</t>
  </si>
  <si>
    <t>東和町錦織字新川端42</t>
  </si>
  <si>
    <t>213</t>
  </si>
  <si>
    <t>東和町錦織字新川端43</t>
  </si>
  <si>
    <t>214</t>
  </si>
  <si>
    <t>中田町上沼字中田東75</t>
  </si>
  <si>
    <t>945</t>
  </si>
  <si>
    <t>東和町錦織字新川端44</t>
  </si>
  <si>
    <t>215</t>
  </si>
  <si>
    <t>東和町米川町144-1番地ため池</t>
  </si>
  <si>
    <t>AsyzAPH27.3.31産業経済部農林政課所管替予定ため池</t>
  </si>
  <si>
    <t>東和町米川町144-1番地</t>
  </si>
  <si>
    <t>0:通常財産</t>
  </si>
  <si>
    <t>0920002</t>
  </si>
  <si>
    <t>27</t>
  </si>
  <si>
    <t>東和町錦織字新川端45</t>
  </si>
  <si>
    <t>216</t>
  </si>
  <si>
    <t>東和町錦織字新川端46</t>
  </si>
  <si>
    <t>217</t>
  </si>
  <si>
    <t>中田町上沼字中田東77</t>
  </si>
  <si>
    <t>947</t>
  </si>
  <si>
    <t>東和町錦織字新川端47</t>
  </si>
  <si>
    <t>218</t>
  </si>
  <si>
    <t>東和町錦織字新川端48</t>
  </si>
  <si>
    <t>219</t>
  </si>
  <si>
    <t>東和町錦織字新二良根30</t>
  </si>
  <si>
    <t>220</t>
  </si>
  <si>
    <t>中田町上沼字中田東78</t>
  </si>
  <si>
    <t>948</t>
  </si>
  <si>
    <t>東和町錦織字新二良根49</t>
  </si>
  <si>
    <t>221</t>
  </si>
  <si>
    <t>中田町上沼字中田東79</t>
  </si>
  <si>
    <t>949</t>
  </si>
  <si>
    <t>東和町錦織字新二良根45</t>
  </si>
  <si>
    <t>222</t>
  </si>
  <si>
    <t>東和町錦織字新二良根46</t>
  </si>
  <si>
    <t>223</t>
  </si>
  <si>
    <t>中田町上沼字北新田36</t>
  </si>
  <si>
    <t>459</t>
  </si>
  <si>
    <t>中田町上沼字中田東80</t>
  </si>
  <si>
    <t>950</t>
  </si>
  <si>
    <t>東和町錦織字新二良根47</t>
  </si>
  <si>
    <t>224</t>
  </si>
  <si>
    <t>東和町錦織字新二良根48</t>
  </si>
  <si>
    <t>225</t>
  </si>
  <si>
    <t>中田町上沼字中田東81</t>
  </si>
  <si>
    <t>951</t>
  </si>
  <si>
    <t>東和町錦織字新二良根50</t>
  </si>
  <si>
    <t>226</t>
  </si>
  <si>
    <t>東和町錦織字新二良根51</t>
  </si>
  <si>
    <t>227</t>
  </si>
  <si>
    <t>中田町上沼字中田東82</t>
  </si>
  <si>
    <t>952</t>
  </si>
  <si>
    <t>中田町上沼字北新田35</t>
  </si>
  <si>
    <t>458</t>
  </si>
  <si>
    <t>東和町錦織字新二良根52</t>
  </si>
  <si>
    <t>228</t>
  </si>
  <si>
    <t>中田町石森字霜田前59</t>
  </si>
  <si>
    <t>729</t>
  </si>
  <si>
    <t>東和町錦織字新二良根53</t>
  </si>
  <si>
    <t>229</t>
  </si>
  <si>
    <t>中田町上沼字中田東83</t>
  </si>
  <si>
    <t>953</t>
  </si>
  <si>
    <t>東和町錦織字新二良根54</t>
  </si>
  <si>
    <t>230</t>
  </si>
  <si>
    <t>東和町米谷字沖ノ田118</t>
  </si>
  <si>
    <t>231</t>
  </si>
  <si>
    <t>中田町上沼字中田東84</t>
  </si>
  <si>
    <t>954</t>
  </si>
  <si>
    <t>東和町米谷字沖ノ田119</t>
  </si>
  <si>
    <t>232</t>
  </si>
  <si>
    <t>東和町米谷字沖ノ田120</t>
  </si>
  <si>
    <t>233</t>
  </si>
  <si>
    <t>中田町上沼字中田東85</t>
  </si>
  <si>
    <t>955</t>
  </si>
  <si>
    <t>東和町米谷字沖ノ田121</t>
  </si>
  <si>
    <t>234</t>
  </si>
  <si>
    <t>迫町新田字苗代沢1</t>
  </si>
  <si>
    <t>63</t>
  </si>
  <si>
    <t>中田町上沼字中田東86</t>
  </si>
  <si>
    <t>956</t>
  </si>
  <si>
    <t>中田町石森字霜田前58</t>
  </si>
  <si>
    <t>728</t>
  </si>
  <si>
    <t>東和町米谷字沖ノ田124</t>
  </si>
  <si>
    <t>237</t>
  </si>
  <si>
    <t>11:公衆用道路</t>
  </si>
  <si>
    <t>東和町米谷字沖ノ田125</t>
  </si>
  <si>
    <t>238</t>
  </si>
  <si>
    <t>東和町米谷字沖ノ田126</t>
  </si>
  <si>
    <t>239</t>
  </si>
  <si>
    <t>中田町上沼字中田南128</t>
  </si>
  <si>
    <t>958</t>
  </si>
  <si>
    <t>東和町米谷字沖ノ田127</t>
  </si>
  <si>
    <t>240</t>
  </si>
  <si>
    <t>中田町上沼字新八幡浦63</t>
  </si>
  <si>
    <t>417</t>
  </si>
  <si>
    <t>東和町米谷字沖ノ田128</t>
  </si>
  <si>
    <t>241</t>
  </si>
  <si>
    <t>中田町上沼字中田南129</t>
  </si>
  <si>
    <t>959</t>
  </si>
  <si>
    <t>東和町米谷字沖ノ田129</t>
  </si>
  <si>
    <t>242</t>
  </si>
  <si>
    <t>東和町米谷字沖ノ田130</t>
  </si>
  <si>
    <t>243</t>
  </si>
  <si>
    <t>東和町米谷字沖ノ田131</t>
  </si>
  <si>
    <t>244</t>
  </si>
  <si>
    <t>中田町上沼字中田南130</t>
  </si>
  <si>
    <t>960</t>
  </si>
  <si>
    <t>東和町米谷福平124番地ため池</t>
  </si>
  <si>
    <t>東和町米谷福平124番地</t>
  </si>
  <si>
    <t>268</t>
  </si>
  <si>
    <t>東和町米谷字沖ノ田132</t>
  </si>
  <si>
    <t>245</t>
  </si>
  <si>
    <t>中田町上沼字中田南131</t>
  </si>
  <si>
    <t>961</t>
  </si>
  <si>
    <t>東和町米谷字沖ノ田133</t>
  </si>
  <si>
    <t>246</t>
  </si>
  <si>
    <t>中田町上沼字中田南132</t>
  </si>
  <si>
    <t>962</t>
  </si>
  <si>
    <t>東和町米谷字沖ノ田134</t>
  </si>
  <si>
    <t>247</t>
  </si>
  <si>
    <t>東和町米谷字沖ノ田135</t>
  </si>
  <si>
    <t>248</t>
  </si>
  <si>
    <t>東和町米谷字沖ノ田136</t>
  </si>
  <si>
    <t>249</t>
  </si>
  <si>
    <t>迫町新田字境田3</t>
  </si>
  <si>
    <t>62</t>
  </si>
  <si>
    <t>東和町米谷字沖ノ田137</t>
  </si>
  <si>
    <t>250</t>
  </si>
  <si>
    <t>中田町上沼字中田南134</t>
  </si>
  <si>
    <t>964</t>
  </si>
  <si>
    <t>東和町米谷字沖ノ田138</t>
  </si>
  <si>
    <t>251</t>
  </si>
  <si>
    <t>東和町米谷字沖ノ田139</t>
  </si>
  <si>
    <t>252</t>
  </si>
  <si>
    <t>中田町上沼字中田南133</t>
  </si>
  <si>
    <t>963</t>
  </si>
  <si>
    <t>中田町上沼字新南要害浦75</t>
  </si>
  <si>
    <t>436</t>
  </si>
  <si>
    <t>東和町米谷字沖ノ田140</t>
  </si>
  <si>
    <t>253</t>
  </si>
  <si>
    <t>中田町上沼字中田南135</t>
  </si>
  <si>
    <t>965</t>
  </si>
  <si>
    <t>東和町米谷字沖ノ田141</t>
  </si>
  <si>
    <t>254</t>
  </si>
  <si>
    <t>東和町米谷字沖ノ田142</t>
  </si>
  <si>
    <t>255</t>
  </si>
  <si>
    <t>東和町米谷字沖ノ田143</t>
  </si>
  <si>
    <t>256</t>
  </si>
  <si>
    <t>中田町上沼字中田南136</t>
  </si>
  <si>
    <t>966</t>
  </si>
  <si>
    <t>東和町米谷字沖ノ田144</t>
  </si>
  <si>
    <t>257</t>
  </si>
  <si>
    <t>東和町米谷字沖ノ田145</t>
  </si>
  <si>
    <t>258</t>
  </si>
  <si>
    <t>中田町上沼字中田南141</t>
  </si>
  <si>
    <t>967</t>
  </si>
  <si>
    <t>東和町米谷字沖ノ田146</t>
  </si>
  <si>
    <t>259</t>
  </si>
  <si>
    <t>東和町米谷字沖ノ田147</t>
  </si>
  <si>
    <t>260</t>
  </si>
  <si>
    <t>中田町上沼字中田南140</t>
  </si>
  <si>
    <t>968</t>
  </si>
  <si>
    <t>東和町米谷字沖ノ田148</t>
  </si>
  <si>
    <t>261</t>
  </si>
  <si>
    <t>東和町米谷字沖ノ田149</t>
  </si>
  <si>
    <t>262</t>
  </si>
  <si>
    <t>中田町上沼字中田南139</t>
  </si>
  <si>
    <t>969</t>
  </si>
  <si>
    <t>東和町米谷字沖ノ田150</t>
  </si>
  <si>
    <t>263</t>
  </si>
  <si>
    <t>南方町沼崎7番地ため池</t>
  </si>
  <si>
    <t>南方町沼崎7番地</t>
  </si>
  <si>
    <t>中田町上沼字新東金谷39</t>
  </si>
  <si>
    <t>970</t>
  </si>
  <si>
    <t>中田町上沼字新東金谷40</t>
  </si>
  <si>
    <t>971</t>
  </si>
  <si>
    <t>東和町米谷字沖ノ田152</t>
  </si>
  <si>
    <t>265</t>
  </si>
  <si>
    <t>中田町上沼字北新田32</t>
  </si>
  <si>
    <t>455</t>
  </si>
  <si>
    <t>中田町上沼字新東金谷41</t>
  </si>
  <si>
    <t>972</t>
  </si>
  <si>
    <t>東和町米谷字沖ノ田153</t>
  </si>
  <si>
    <t>266</t>
  </si>
  <si>
    <t>東和町米谷字沖ノ田155</t>
  </si>
  <si>
    <t>267</t>
  </si>
  <si>
    <t>迫町新田字寺志田110-1</t>
  </si>
  <si>
    <t>60</t>
  </si>
  <si>
    <t>東和町米谷字沖ノ田157</t>
  </si>
  <si>
    <t>269</t>
  </si>
  <si>
    <t>東和町米谷字沖ノ田158</t>
  </si>
  <si>
    <t>270</t>
  </si>
  <si>
    <t>中田町上沼字新東金谷42</t>
  </si>
  <si>
    <t>973</t>
  </si>
  <si>
    <t>東和町米谷字沖ノ田159</t>
  </si>
  <si>
    <t>271</t>
  </si>
  <si>
    <t>東和町米谷字沖ノ田160</t>
  </si>
  <si>
    <t>272</t>
  </si>
  <si>
    <t>中田町上沼字新東金谷43</t>
  </si>
  <si>
    <t>974</t>
  </si>
  <si>
    <t>東和町米谷字沖ノ田161</t>
  </si>
  <si>
    <t>273</t>
  </si>
  <si>
    <t>南方町八の森11-1</t>
  </si>
  <si>
    <t>東和町米谷字沖ノ田162</t>
  </si>
  <si>
    <t>274</t>
  </si>
  <si>
    <t>東和町米谷字沖ノ田163</t>
  </si>
  <si>
    <t>275</t>
  </si>
  <si>
    <t>東和町米谷字沖ノ田164</t>
  </si>
  <si>
    <t>276</t>
  </si>
  <si>
    <t>中田町上沼字新東金谷44</t>
  </si>
  <si>
    <t>975</t>
  </si>
  <si>
    <t>中田町上沼字新東金谷45</t>
  </si>
  <si>
    <t>976</t>
  </si>
  <si>
    <t>東和町米谷字沖ノ田165</t>
  </si>
  <si>
    <t>277</t>
  </si>
  <si>
    <t>東和町米谷字沖ノ田166</t>
  </si>
  <si>
    <t>278</t>
  </si>
  <si>
    <t>3</t>
  </si>
  <si>
    <t>東和町米谷字沖ノ田167</t>
  </si>
  <si>
    <t>279</t>
  </si>
  <si>
    <t>東和町米谷字楼台95</t>
  </si>
  <si>
    <t>280</t>
  </si>
  <si>
    <t>中田町上沼字新東金谷47</t>
  </si>
  <si>
    <t>978</t>
  </si>
  <si>
    <t>東和町米谷字楼台96</t>
  </si>
  <si>
    <t>281</t>
  </si>
  <si>
    <t>東和町米谷字楼台97</t>
  </si>
  <si>
    <t>282</t>
  </si>
  <si>
    <t>中田町上沼字新東金谷48</t>
  </si>
  <si>
    <t>979</t>
  </si>
  <si>
    <t>東和町米谷字楼台98</t>
  </si>
  <si>
    <t>283</t>
  </si>
  <si>
    <t>迫町新田山ノ神276番地ため池</t>
  </si>
  <si>
    <t>AsyzAP042120027：山の神下溜池</t>
  </si>
  <si>
    <t>迫町新田山ノ神276番地</t>
  </si>
  <si>
    <t>中田町上沼字新東金谷49</t>
  </si>
  <si>
    <t>980</t>
  </si>
  <si>
    <t>中田町上沼字新八幡浦62</t>
  </si>
  <si>
    <t>416</t>
  </si>
  <si>
    <t>中田町上沼字新八幡浦58</t>
  </si>
  <si>
    <t>413</t>
  </si>
  <si>
    <t>東和町米谷字楼台100</t>
  </si>
  <si>
    <t>285</t>
  </si>
  <si>
    <t>東和町米谷字楼台104</t>
  </si>
  <si>
    <t>286</t>
  </si>
  <si>
    <t>中田町上沼字新東金谷50</t>
  </si>
  <si>
    <t>981</t>
  </si>
  <si>
    <t>東和町米谷字楼台105</t>
  </si>
  <si>
    <t>287</t>
  </si>
  <si>
    <t>迫町新田字寺志田58</t>
  </si>
  <si>
    <t>59</t>
  </si>
  <si>
    <t>中田町上沼字新東金谷51</t>
  </si>
  <si>
    <t>982</t>
  </si>
  <si>
    <t>中田町上沼字新東金谷53</t>
  </si>
  <si>
    <t>984</t>
  </si>
  <si>
    <t>東和町米谷字楼台109</t>
  </si>
  <si>
    <t>289</t>
  </si>
  <si>
    <t>東和町米谷字楼台111</t>
  </si>
  <si>
    <t>290</t>
  </si>
  <si>
    <t>東和町米谷字楼台112</t>
  </si>
  <si>
    <t>291</t>
  </si>
  <si>
    <t>東和町米谷字楼台113</t>
  </si>
  <si>
    <t>292</t>
  </si>
  <si>
    <t>中田町上沼字新東金谷52</t>
  </si>
  <si>
    <t>983</t>
  </si>
  <si>
    <t>4</t>
  </si>
  <si>
    <t>東和町米谷字楼台114</t>
  </si>
  <si>
    <t>293</t>
  </si>
  <si>
    <t>東和町米谷字楼台115</t>
  </si>
  <si>
    <t>294</t>
  </si>
  <si>
    <t>中田町上沼字新東金谷54</t>
  </si>
  <si>
    <t>985</t>
  </si>
  <si>
    <t>東和町米谷字楼台116</t>
  </si>
  <si>
    <t>295</t>
  </si>
  <si>
    <t>東和町米谷字楼台117</t>
  </si>
  <si>
    <t>296</t>
  </si>
  <si>
    <t>中田町上沼字新東金谷55</t>
  </si>
  <si>
    <t>986</t>
  </si>
  <si>
    <t>東和町米谷字楼台118</t>
  </si>
  <si>
    <t>297</t>
  </si>
  <si>
    <t>中田町上沼字新南要害浦92</t>
  </si>
  <si>
    <t>453</t>
  </si>
  <si>
    <t>東和町米谷字楼台119</t>
  </si>
  <si>
    <t>298</t>
  </si>
  <si>
    <t>東和町米谷字楼台120</t>
  </si>
  <si>
    <t>299</t>
  </si>
  <si>
    <t>東和町米谷字楼台121</t>
  </si>
  <si>
    <t>300</t>
  </si>
  <si>
    <t>迫町新田畑中43番地ため池</t>
  </si>
  <si>
    <t>1010300000:総務課</t>
  </si>
  <si>
    <t>AsyzAPH27.3.31総務部総務課所管替予定ため池</t>
  </si>
  <si>
    <t>迫町新田畑中43番地</t>
  </si>
  <si>
    <t>0920001</t>
  </si>
  <si>
    <t>20</t>
  </si>
  <si>
    <t>東和町米谷字楼台122</t>
  </si>
  <si>
    <t>301</t>
  </si>
  <si>
    <t>東和町米谷字楼台123</t>
  </si>
  <si>
    <t>302</t>
  </si>
  <si>
    <t>中田町上沼字新東金谷58</t>
  </si>
  <si>
    <t>989</t>
  </si>
  <si>
    <t>迫町新田字寺志田57</t>
  </si>
  <si>
    <t>58</t>
  </si>
  <si>
    <t>東和町米谷字楼台124</t>
  </si>
  <si>
    <t>303</t>
  </si>
  <si>
    <t>東和町米谷字楼台125</t>
  </si>
  <si>
    <t>304</t>
  </si>
  <si>
    <t>中田町上沼字新東金谷59</t>
  </si>
  <si>
    <t>990</t>
  </si>
  <si>
    <t>中田町石森字霜田前51</t>
  </si>
  <si>
    <t>721</t>
  </si>
  <si>
    <t>登米町大字日根牛新北沢54</t>
  </si>
  <si>
    <t>305</t>
  </si>
  <si>
    <t>石越町北郷字新押込45</t>
  </si>
  <si>
    <t>991</t>
  </si>
  <si>
    <t>石越町北郷字新押込46</t>
  </si>
  <si>
    <t>992</t>
  </si>
  <si>
    <t>登米町大字日根牛新北沢55</t>
  </si>
  <si>
    <t>308</t>
  </si>
  <si>
    <t>中田町上沼字新北要害浦73</t>
  </si>
  <si>
    <t>425</t>
  </si>
  <si>
    <t>石越町北郷字新南64</t>
  </si>
  <si>
    <t>1221</t>
  </si>
  <si>
    <t>5</t>
  </si>
  <si>
    <t>登米町大字日根牛新北沢56</t>
  </si>
  <si>
    <t>310</t>
  </si>
  <si>
    <t>石越町北郷字新押込47</t>
  </si>
  <si>
    <t>993</t>
  </si>
  <si>
    <t>登米町大字日根牛新中田62</t>
  </si>
  <si>
    <t>311</t>
  </si>
  <si>
    <t>上葉の木沢溜池</t>
  </si>
  <si>
    <t>AsyzAP迫町新田字大浦</t>
  </si>
  <si>
    <t>321</t>
  </si>
  <si>
    <t>石越町北郷字新押込48</t>
  </si>
  <si>
    <t>994</t>
  </si>
  <si>
    <t>登米町大字日根牛新中田66</t>
  </si>
  <si>
    <t>313</t>
  </si>
  <si>
    <t>登米町大字日根牛新中田68</t>
  </si>
  <si>
    <t>314</t>
  </si>
  <si>
    <t>登米町大字日根牛新中田63</t>
  </si>
  <si>
    <t>315</t>
  </si>
  <si>
    <t>登米町大字日根牛新中田65</t>
  </si>
  <si>
    <t>316</t>
  </si>
  <si>
    <t>中田町上沼字新南要害浦90</t>
  </si>
  <si>
    <t>451</t>
  </si>
  <si>
    <t>石越町北郷字新押込49</t>
  </si>
  <si>
    <t>995</t>
  </si>
  <si>
    <t>石越町北郷字新押込50</t>
  </si>
  <si>
    <t>996</t>
  </si>
  <si>
    <t>登米町大字日根牛新中田67</t>
  </si>
  <si>
    <t>317</t>
  </si>
  <si>
    <t>石越町北郷字新押込51</t>
  </si>
  <si>
    <t>997</t>
  </si>
  <si>
    <t>石越町北郷字新押込52</t>
  </si>
  <si>
    <t>998</t>
  </si>
  <si>
    <t>中田町石森字北川前86</t>
  </si>
  <si>
    <t>763</t>
  </si>
  <si>
    <t>石越町北郷字新押込54</t>
  </si>
  <si>
    <t>1000</t>
  </si>
  <si>
    <t>石越町北郷字新押込53</t>
  </si>
  <si>
    <t>999</t>
  </si>
  <si>
    <t>石越町北郷字新押込56</t>
  </si>
  <si>
    <t>1002</t>
  </si>
  <si>
    <t>迫町新田字寺志田24</t>
  </si>
  <si>
    <t>56</t>
  </si>
  <si>
    <t>石越町北郷字新押込57</t>
  </si>
  <si>
    <t>1003</t>
  </si>
  <si>
    <t>石越町北郷字新粒庭61</t>
  </si>
  <si>
    <t>1005</t>
  </si>
  <si>
    <t>石越町北郷字新粒庭60</t>
  </si>
  <si>
    <t>1004</t>
  </si>
  <si>
    <t>石越町北郷字新粒庭62</t>
  </si>
  <si>
    <t>1006</t>
  </si>
  <si>
    <t>石越町北郷字新南63</t>
  </si>
  <si>
    <t>1220</t>
  </si>
  <si>
    <t>石越町北郷字新粒庭63</t>
  </si>
  <si>
    <t>1007</t>
  </si>
  <si>
    <t>石越町北郷字新粒庭64</t>
  </si>
  <si>
    <t>1008</t>
  </si>
  <si>
    <t>6</t>
  </si>
  <si>
    <t>石越町北郷字新粒庭66</t>
  </si>
  <si>
    <t>1010</t>
  </si>
  <si>
    <t>石越町北郷字新粒庭67</t>
  </si>
  <si>
    <t>1011</t>
  </si>
  <si>
    <t>中田町石森字脇谷前71</t>
  </si>
  <si>
    <t>698</t>
  </si>
  <si>
    <t>迫町新田大上27番地ため池</t>
  </si>
  <si>
    <t>迫町新田大上27番地</t>
  </si>
  <si>
    <t>13</t>
  </si>
  <si>
    <t>中田町上沼字新北要害浦72</t>
  </si>
  <si>
    <t>424</t>
  </si>
  <si>
    <t>石越町北郷字新粒庭68</t>
  </si>
  <si>
    <t>1012</t>
  </si>
  <si>
    <t>中田町石森字北川前85</t>
  </si>
  <si>
    <t>762</t>
  </si>
  <si>
    <t>迫町新田字寺志田20</t>
  </si>
  <si>
    <t>55</t>
  </si>
  <si>
    <t>石越町北郷字新粒庭71</t>
  </si>
  <si>
    <t>1015</t>
  </si>
  <si>
    <t>中田町石森字霜田前62</t>
  </si>
  <si>
    <t>732</t>
  </si>
  <si>
    <t>石越町北郷字新粒庭73</t>
  </si>
  <si>
    <t>1017</t>
  </si>
  <si>
    <t>中田町石森字小倉南104</t>
  </si>
  <si>
    <t>898</t>
  </si>
  <si>
    <t>迫町新田字新蓮沼104</t>
  </si>
  <si>
    <t>119</t>
  </si>
  <si>
    <t>迫町新田字新蒲西125</t>
  </si>
  <si>
    <t>118</t>
  </si>
  <si>
    <t>中田町石森字小倉南103</t>
  </si>
  <si>
    <t>897</t>
  </si>
  <si>
    <t>迫町新田字新蒲西124</t>
  </si>
  <si>
    <t>117</t>
  </si>
  <si>
    <t>石越町北郷字新東44</t>
  </si>
  <si>
    <t>1199</t>
  </si>
  <si>
    <t>迫町新田字新蒲西119</t>
  </si>
  <si>
    <t>中田町石森字小倉南102</t>
  </si>
  <si>
    <t>896</t>
  </si>
  <si>
    <t>迫町新田字新蒲西117</t>
  </si>
  <si>
    <t>115</t>
  </si>
  <si>
    <t>迫町新田字新蒲西116</t>
  </si>
  <si>
    <t>114</t>
  </si>
  <si>
    <t>中田町石森字小倉南101</t>
  </si>
  <si>
    <t>895</t>
  </si>
  <si>
    <t>迫町新田字新蒲西113</t>
  </si>
  <si>
    <t>113</t>
  </si>
  <si>
    <t>中田町石森字小倉南100</t>
  </si>
  <si>
    <t>894</t>
  </si>
  <si>
    <t>迫町新田字新蒲西112</t>
  </si>
  <si>
    <t>112</t>
  </si>
  <si>
    <t>迫町新田字新蒲西106</t>
  </si>
  <si>
    <t>111</t>
  </si>
  <si>
    <t>迫町新田字新東坂戸73</t>
  </si>
  <si>
    <t>110</t>
  </si>
  <si>
    <t>中田町石森字小倉南99</t>
  </si>
  <si>
    <t>893</t>
  </si>
  <si>
    <t>迫町新田字新東坂戸71</t>
  </si>
  <si>
    <t>109</t>
  </si>
  <si>
    <t>中田町石森字小倉南98</t>
  </si>
  <si>
    <t>892</t>
  </si>
  <si>
    <t>迫町新田字新舟崎173</t>
  </si>
  <si>
    <t>108</t>
  </si>
  <si>
    <t>迫町新田字新舟崎172</t>
  </si>
  <si>
    <t>107</t>
  </si>
  <si>
    <t>迫町新田字新舟崎171</t>
  </si>
  <si>
    <t>106</t>
  </si>
  <si>
    <t>中田町石森字小倉南97</t>
  </si>
  <si>
    <t>891</t>
  </si>
  <si>
    <t>迫町新田字新舟崎170</t>
  </si>
  <si>
    <t>105</t>
  </si>
  <si>
    <t>中田町石森字小倉南96</t>
  </si>
  <si>
    <t>890</t>
  </si>
  <si>
    <t>迫町新田字新舟崎169</t>
  </si>
  <si>
    <t>104</t>
  </si>
  <si>
    <t>迫町新田字新舟崎168</t>
  </si>
  <si>
    <t>103</t>
  </si>
  <si>
    <t>迫町新田字新舟崎167</t>
  </si>
  <si>
    <t>102</t>
  </si>
  <si>
    <t>中田町石森字小倉南95</t>
  </si>
  <si>
    <t>889</t>
  </si>
  <si>
    <t>迫町新田字新舟崎166</t>
  </si>
  <si>
    <t>101</t>
  </si>
  <si>
    <t>中田町石森字東蓬田51</t>
  </si>
  <si>
    <t>466</t>
  </si>
  <si>
    <t>中田町石森字小倉南94</t>
  </si>
  <si>
    <t>888</t>
  </si>
  <si>
    <t>迫町新田字新舟崎165</t>
  </si>
  <si>
    <t>迫町新田字新舟崎164</t>
  </si>
  <si>
    <t>99</t>
  </si>
  <si>
    <t>中田町石森字東蓬田52</t>
  </si>
  <si>
    <t>467</t>
  </si>
  <si>
    <t>迫町新田字新舟崎163</t>
  </si>
  <si>
    <t>98</t>
  </si>
  <si>
    <t>中田町石森字小倉南93</t>
  </si>
  <si>
    <t>887</t>
  </si>
  <si>
    <t>迫町新田字新舟崎162</t>
  </si>
  <si>
    <t>97</t>
  </si>
  <si>
    <t>中田町石森字新小倉109</t>
  </si>
  <si>
    <t>886</t>
  </si>
  <si>
    <t>迫町新田字新舟崎161</t>
  </si>
  <si>
    <t>96</t>
  </si>
  <si>
    <t>迫町新田字新舟崎160</t>
  </si>
  <si>
    <t>95</t>
  </si>
  <si>
    <t>中田町石森字霜田前63</t>
  </si>
  <si>
    <t>733</t>
  </si>
  <si>
    <t>中田町石森字新小倉108</t>
  </si>
  <si>
    <t>885</t>
  </si>
  <si>
    <t>迫町新田字新舟崎159</t>
  </si>
  <si>
    <t>94</t>
  </si>
  <si>
    <t>迫町新田字新舟崎158</t>
  </si>
  <si>
    <t>93</t>
  </si>
  <si>
    <t>中田町石森字新小倉107</t>
  </si>
  <si>
    <t>884</t>
  </si>
  <si>
    <t>迫町新田字新舟崎157</t>
  </si>
  <si>
    <t>92</t>
  </si>
  <si>
    <t>迫町新田字新舟崎156</t>
  </si>
  <si>
    <t>91</t>
  </si>
  <si>
    <t>中田町石森字東蓬田53</t>
  </si>
  <si>
    <t>468</t>
  </si>
  <si>
    <t>中田町石森字高見前23</t>
  </si>
  <si>
    <t>737</t>
  </si>
  <si>
    <t>迫町新田字新舟崎155</t>
  </si>
  <si>
    <t>90</t>
  </si>
  <si>
    <t>中田町石森字新小倉106</t>
  </si>
  <si>
    <t>883</t>
  </si>
  <si>
    <t>迫町新田字新舟崎154</t>
  </si>
  <si>
    <t>89</t>
  </si>
  <si>
    <t>中田町石森字新小倉105</t>
  </si>
  <si>
    <t>882</t>
  </si>
  <si>
    <t>迫町新田字新舟崎153</t>
  </si>
  <si>
    <t>88</t>
  </si>
  <si>
    <t>中田町石森字霜田前64</t>
  </si>
  <si>
    <t>734</t>
  </si>
  <si>
    <t>迫町新田字新舟崎152</t>
  </si>
  <si>
    <t>87</t>
  </si>
  <si>
    <t>迫町新田字新舟崎151</t>
  </si>
  <si>
    <t>86</t>
  </si>
  <si>
    <t>中田町石森字新小倉104</t>
  </si>
  <si>
    <t>881</t>
  </si>
  <si>
    <t>迫町新田字新舟崎150</t>
  </si>
  <si>
    <t>85</t>
  </si>
  <si>
    <t>中田町石森字新小倉103</t>
  </si>
  <si>
    <t>880</t>
  </si>
  <si>
    <t>迫町新田字新舟崎149</t>
  </si>
  <si>
    <t>84</t>
  </si>
  <si>
    <t>中田町石森字東蓬田54</t>
  </si>
  <si>
    <t>469</t>
  </si>
  <si>
    <t>迫町新田字新舟崎148</t>
  </si>
  <si>
    <t>83</t>
  </si>
  <si>
    <t>中田町石森字新小倉102</t>
  </si>
  <si>
    <t>879</t>
  </si>
  <si>
    <t>迫町新田字新舟崎147</t>
  </si>
  <si>
    <t>82</t>
  </si>
  <si>
    <t>迫町新田字新舟崎146</t>
  </si>
  <si>
    <t>81</t>
  </si>
  <si>
    <t>中田町石森字新小倉101</t>
  </si>
  <si>
    <t>878</t>
  </si>
  <si>
    <t>迫町新田字新舟崎145</t>
  </si>
  <si>
    <t>80</t>
  </si>
  <si>
    <t>迫町新田字新舟崎144</t>
  </si>
  <si>
    <t>79</t>
  </si>
  <si>
    <t>中田町石森字北川前88</t>
  </si>
  <si>
    <t>765</t>
  </si>
  <si>
    <t>迫町新田字新舟崎143</t>
  </si>
  <si>
    <t>中田町石森字新小倉100</t>
  </si>
  <si>
    <t>877</t>
  </si>
  <si>
    <t>迫町新田字新舟崎142</t>
  </si>
  <si>
    <t>77</t>
  </si>
  <si>
    <t>迫町新田字新舟崎141</t>
  </si>
  <si>
    <t>76</t>
  </si>
  <si>
    <t>迫町新田字新舟崎140</t>
  </si>
  <si>
    <t>中田町石森字新小倉99</t>
  </si>
  <si>
    <t>876</t>
  </si>
  <si>
    <t>迫町新田字新舟崎139</t>
  </si>
  <si>
    <t>74</t>
  </si>
  <si>
    <t>中田町石森字新小倉98</t>
  </si>
  <si>
    <t>875</t>
  </si>
  <si>
    <t>迫町新田字新舟崎137</t>
  </si>
  <si>
    <t>72</t>
  </si>
  <si>
    <t>迫町新田字新舟崎136</t>
  </si>
  <si>
    <t>71</t>
  </si>
  <si>
    <t>中田町石森字新小倉97</t>
  </si>
  <si>
    <t>874</t>
  </si>
  <si>
    <t>迫町新田字新舟崎135</t>
  </si>
  <si>
    <t>70</t>
  </si>
  <si>
    <t>中田町石森字新小倉96</t>
  </si>
  <si>
    <t>873</t>
  </si>
  <si>
    <t>迫町新田字新舟崎134</t>
  </si>
  <si>
    <t>69</t>
  </si>
  <si>
    <t>迫町新田字新舟崎133</t>
  </si>
  <si>
    <t>68</t>
  </si>
  <si>
    <t>中田町石森字新小倉95</t>
  </si>
  <si>
    <t>872</t>
  </si>
  <si>
    <t>迫町新田字新舟崎132</t>
  </si>
  <si>
    <t>67</t>
  </si>
  <si>
    <t>迫町新田字新舟崎131</t>
  </si>
  <si>
    <t>66</t>
  </si>
  <si>
    <t>迫町新田字新舟崎130</t>
  </si>
  <si>
    <t>65</t>
  </si>
  <si>
    <t>中田町石森字新小倉94</t>
  </si>
  <si>
    <t>871</t>
  </si>
  <si>
    <t>迫町新田字新舟崎129</t>
  </si>
  <si>
    <t>中田町石森字新小倉93</t>
  </si>
  <si>
    <t>870</t>
  </si>
  <si>
    <t>迫町新田字新舟崎128</t>
  </si>
  <si>
    <t>迫町新田字新舟崎127</t>
  </si>
  <si>
    <t>津山町横山字北沢上90</t>
  </si>
  <si>
    <t>1991/12/10</t>
  </si>
  <si>
    <t>1274</t>
  </si>
  <si>
    <t>迫町新田字新舟崎126-3</t>
  </si>
  <si>
    <t>61</t>
  </si>
  <si>
    <t>中田町石森字新小倉92</t>
  </si>
  <si>
    <t>869</t>
  </si>
  <si>
    <t>中田町石森字東蓬田55</t>
  </si>
  <si>
    <t>470</t>
  </si>
  <si>
    <t>迫町新田字新舟崎126-1</t>
  </si>
  <si>
    <t>中田町石森字新小倉91</t>
  </si>
  <si>
    <t>868</t>
  </si>
  <si>
    <t>迫町新田字新舟崎125</t>
  </si>
  <si>
    <t>津山町横山字北沢上80</t>
  </si>
  <si>
    <t>1995/01/26</t>
  </si>
  <si>
    <t>1273</t>
  </si>
  <si>
    <t>迫町新田字新舟崎124</t>
  </si>
  <si>
    <t>迫町新田字新舟崎123</t>
  </si>
  <si>
    <t>57</t>
  </si>
  <si>
    <t>中田町石森字新小倉90</t>
  </si>
  <si>
    <t>867</t>
  </si>
  <si>
    <t>中田町石森字東蓬田56</t>
  </si>
  <si>
    <t>471</t>
  </si>
  <si>
    <t>迫町新田字新舟崎122</t>
  </si>
  <si>
    <t>中田町石森字新小倉89</t>
  </si>
  <si>
    <t>866</t>
  </si>
  <si>
    <t>迫町新田字新伊豆崎141</t>
  </si>
  <si>
    <t>迫町新田字新伊豆崎140</t>
  </si>
  <si>
    <t>54</t>
  </si>
  <si>
    <t>津山町横山字北沢上79</t>
  </si>
  <si>
    <t>1991/11/15</t>
  </si>
  <si>
    <t>1272</t>
  </si>
  <si>
    <t>中田町石森字新小倉88</t>
  </si>
  <si>
    <t>865</t>
  </si>
  <si>
    <t>迫町新田字新伊豆崎139</t>
  </si>
  <si>
    <t>53</t>
  </si>
  <si>
    <t>迫町新田字新伊豆崎138</t>
  </si>
  <si>
    <t>52</t>
  </si>
  <si>
    <t>中田町石森字霜田前65</t>
  </si>
  <si>
    <t>735</t>
  </si>
  <si>
    <t>中田町石森字新小倉87</t>
  </si>
  <si>
    <t>864</t>
  </si>
  <si>
    <t>迫町新田字新伊豆崎137</t>
  </si>
  <si>
    <t>51</t>
  </si>
  <si>
    <t>津山町横山字南沢中12</t>
  </si>
  <si>
    <t>1992/01/08</t>
  </si>
  <si>
    <t>1271</t>
  </si>
  <si>
    <t>迫町新田字新伊豆崎136</t>
  </si>
  <si>
    <t>50</t>
  </si>
  <si>
    <t>中田町石森字新小倉86</t>
  </si>
  <si>
    <t>863</t>
  </si>
  <si>
    <t>迫町新田字新伊豆崎135</t>
  </si>
  <si>
    <t>49</t>
  </si>
  <si>
    <t>迫町新田字新伊豆崎134</t>
  </si>
  <si>
    <t>48</t>
  </si>
  <si>
    <t>中田町石森字新小倉85</t>
  </si>
  <si>
    <t>862</t>
  </si>
  <si>
    <t>迫町新田字新伊豆崎133</t>
  </si>
  <si>
    <t>47</t>
  </si>
  <si>
    <t>津山町横山字南沢中11</t>
  </si>
  <si>
    <t>1991/12/24</t>
  </si>
  <si>
    <t>1270</t>
  </si>
  <si>
    <t>中田町石森字東蓬田57</t>
  </si>
  <si>
    <t>472</t>
  </si>
  <si>
    <t>迫町新田字新伊豆崎132</t>
  </si>
  <si>
    <t>46</t>
  </si>
  <si>
    <t>迫町新田字新伊豆崎131</t>
  </si>
  <si>
    <t>45</t>
  </si>
  <si>
    <t>中田町石森字小倉北72</t>
  </si>
  <si>
    <t>861</t>
  </si>
  <si>
    <t>迫町新田字新伊豆崎130</t>
  </si>
  <si>
    <t>44</t>
  </si>
  <si>
    <t>津山町横山字南沢中10</t>
  </si>
  <si>
    <t>1992/02/06</t>
  </si>
  <si>
    <t>1269</t>
  </si>
  <si>
    <t>中田町石森字小倉北71</t>
  </si>
  <si>
    <t>860</t>
  </si>
  <si>
    <t>迫町新田字新伊豆崎129</t>
  </si>
  <si>
    <t>43</t>
  </si>
  <si>
    <t>中田町石森字東蓬田58</t>
  </si>
  <si>
    <t>473</t>
  </si>
  <si>
    <t>迫町新田字新伊豆崎155</t>
  </si>
  <si>
    <t>42</t>
  </si>
  <si>
    <t>迫町新田字新伊豆崎154</t>
  </si>
  <si>
    <t>41</t>
  </si>
  <si>
    <t>中田町石森字高見前22</t>
  </si>
  <si>
    <t>736</t>
  </si>
  <si>
    <t>迫町新田字新伊豆崎153</t>
  </si>
  <si>
    <t>40</t>
  </si>
  <si>
    <t>中田町石森字小倉北70</t>
  </si>
  <si>
    <t>859</t>
  </si>
  <si>
    <t>中田町石森字小倉北69</t>
  </si>
  <si>
    <t>858</t>
  </si>
  <si>
    <t>迫町新田字新伊豆崎152</t>
  </si>
  <si>
    <t>39</t>
  </si>
  <si>
    <t>迫町新田字新伊豆崎151</t>
  </si>
  <si>
    <t>38</t>
  </si>
  <si>
    <t>津山町横山字南沢上83</t>
  </si>
  <si>
    <t>1268</t>
  </si>
  <si>
    <t>迫町新田字新伊豆崎150</t>
  </si>
  <si>
    <t>37</t>
  </si>
  <si>
    <t>迫町新田字新伊豆崎149</t>
  </si>
  <si>
    <t>36</t>
  </si>
  <si>
    <t>中田町石森字小倉北68</t>
  </si>
  <si>
    <t>857</t>
  </si>
  <si>
    <t>津山町横山字南沢上82</t>
  </si>
  <si>
    <t>1267</t>
  </si>
  <si>
    <t>中田町石森字小倉北65</t>
  </si>
  <si>
    <t>856</t>
  </si>
  <si>
    <t>迫町新田字新伊豆崎148</t>
  </si>
  <si>
    <t>35</t>
  </si>
  <si>
    <t>迫町新田字新伊豆崎147</t>
  </si>
  <si>
    <t>中田町石森字小倉北64</t>
  </si>
  <si>
    <t>855</t>
  </si>
  <si>
    <t>迫町新田字新伊豆崎146</t>
  </si>
  <si>
    <t>33</t>
  </si>
  <si>
    <t>迫町新田字新伊豆崎145</t>
  </si>
  <si>
    <t>32</t>
  </si>
  <si>
    <t>中田町石森字小塚南47</t>
  </si>
  <si>
    <t>474</t>
  </si>
  <si>
    <t>津山町横山字南沢上81</t>
  </si>
  <si>
    <t>1266</t>
  </si>
  <si>
    <t>中田町石森字小倉北62</t>
  </si>
  <si>
    <t>854</t>
  </si>
  <si>
    <t>迫町新田字新伊豆崎144</t>
  </si>
  <si>
    <t>31</t>
  </si>
  <si>
    <t>迫町新田字新伊豆崎143</t>
  </si>
  <si>
    <t>30</t>
  </si>
  <si>
    <t>中田町石森字小倉北63</t>
  </si>
  <si>
    <t>853</t>
  </si>
  <si>
    <t>迫町新田字新伊豆崎142</t>
  </si>
  <si>
    <t>29</t>
  </si>
  <si>
    <t>迫町新田字新茂栗111</t>
  </si>
  <si>
    <t>28</t>
  </si>
  <si>
    <t>津山町横山字南沢上78</t>
  </si>
  <si>
    <t>1265</t>
  </si>
  <si>
    <t>中田町石森字小倉北66</t>
  </si>
  <si>
    <t>852</t>
  </si>
  <si>
    <t>迫町新田字新茂栗110</t>
  </si>
  <si>
    <t>迫町新田字新茂栗109</t>
  </si>
  <si>
    <t>26</t>
  </si>
  <si>
    <t>中田町石森字小倉北67</t>
  </si>
  <si>
    <t>851</t>
  </si>
  <si>
    <t>迫町新田字新茂栗108</t>
  </si>
  <si>
    <t>25</t>
  </si>
  <si>
    <t>迫町新田字新茂栗107</t>
  </si>
  <si>
    <t>24</t>
  </si>
  <si>
    <t>津山町横山字高谷地56</t>
  </si>
  <si>
    <t>2014/02/21</t>
  </si>
  <si>
    <t>1264</t>
  </si>
  <si>
    <t>中田町石森字小倉北58</t>
  </si>
  <si>
    <t>850</t>
  </si>
  <si>
    <t>迫町新田字新茂栗106</t>
  </si>
  <si>
    <t>23</t>
  </si>
  <si>
    <t>迫町新田字新茂栗105</t>
  </si>
  <si>
    <t>22</t>
  </si>
  <si>
    <t>中田町石森字小倉北55</t>
  </si>
  <si>
    <t>849</t>
  </si>
  <si>
    <t>迫町新田字新茂栗103</t>
  </si>
  <si>
    <t>迫町新田字新茂栗129</t>
  </si>
  <si>
    <t>19</t>
  </si>
  <si>
    <t>中田町石森字小倉北57</t>
  </si>
  <si>
    <t>848</t>
  </si>
  <si>
    <t>迫町新田字新茂栗128</t>
  </si>
  <si>
    <t>18</t>
  </si>
  <si>
    <t>中田町石森字小塚南48</t>
  </si>
  <si>
    <t>475</t>
  </si>
  <si>
    <t>迫町新田字新茂栗127</t>
  </si>
  <si>
    <t>17</t>
  </si>
  <si>
    <t>津山町横山字高谷地55</t>
  </si>
  <si>
    <t>1263</t>
  </si>
  <si>
    <t>迫町新田字新茂栗126</t>
  </si>
  <si>
    <t>16</t>
  </si>
  <si>
    <t>中田町石森字小倉北56</t>
  </si>
  <si>
    <t>847</t>
  </si>
  <si>
    <t>迫町新田字新茂栗125</t>
  </si>
  <si>
    <t>15</t>
  </si>
  <si>
    <t>津山町横山字高谷地54</t>
  </si>
  <si>
    <t>1262</t>
  </si>
  <si>
    <t>迫町新田字新茂栗124</t>
  </si>
  <si>
    <t>14</t>
  </si>
  <si>
    <t>中田町石森字小倉北54</t>
  </si>
  <si>
    <t>846</t>
  </si>
  <si>
    <t>迫町新田字新茂栗122</t>
  </si>
  <si>
    <t>12</t>
  </si>
  <si>
    <t>迫町新田字新茂栗121</t>
  </si>
  <si>
    <t>11</t>
  </si>
  <si>
    <t>石越町東郷字北今道37</t>
  </si>
  <si>
    <t>845</t>
  </si>
  <si>
    <t>迫町新田字新茂栗120</t>
  </si>
  <si>
    <t>10</t>
  </si>
  <si>
    <t>石越町東郷字北今道36</t>
  </si>
  <si>
    <t>844</t>
  </si>
  <si>
    <t>中田町石森字小塚南49</t>
  </si>
  <si>
    <t>476</t>
  </si>
  <si>
    <t>迫町新田字新茂栗119</t>
  </si>
  <si>
    <t>9</t>
  </si>
  <si>
    <t>迫町新田字新茂栗118</t>
  </si>
  <si>
    <t>8</t>
  </si>
  <si>
    <t>津山町横山字高谷地53</t>
  </si>
  <si>
    <t>1261</t>
  </si>
  <si>
    <t>迫町新田字新茂栗117</t>
  </si>
  <si>
    <t>7</t>
  </si>
  <si>
    <t>石越町東郷字北今道35</t>
  </si>
  <si>
    <t>843</t>
  </si>
  <si>
    <t>中田町石森字小塚南50</t>
  </si>
  <si>
    <t>477</t>
  </si>
  <si>
    <t>迫町新田字新茂栗116</t>
  </si>
  <si>
    <t>石越町東郷字北今道34</t>
  </si>
  <si>
    <t>842</t>
  </si>
  <si>
    <t>迫町新田字新茂栗115</t>
  </si>
  <si>
    <t>中田町石森字高見前24</t>
  </si>
  <si>
    <t>738</t>
  </si>
  <si>
    <t>迫町新田字新茂栗114</t>
  </si>
  <si>
    <t>津山町横山字高谷地52</t>
  </si>
  <si>
    <t>1260</t>
  </si>
  <si>
    <t>迫町新田字新茂栗113</t>
  </si>
  <si>
    <t>迫町新田字新茂栗112</t>
  </si>
  <si>
    <t>石越町東郷字北今道33</t>
  </si>
  <si>
    <t>841</t>
  </si>
  <si>
    <t>津山町柳津字締切沼上37</t>
  </si>
  <si>
    <t>1259</t>
  </si>
  <si>
    <t>迫町新田字新茂栗102</t>
  </si>
  <si>
    <t>01_01_09:（１）土地及び建物　行政財産　公共用財産　その他の施設</t>
  </si>
  <si>
    <t>石越町東郷字北今道32</t>
  </si>
  <si>
    <t>840</t>
  </si>
  <si>
    <t>石越町東郷字北今道31</t>
  </si>
  <si>
    <t>839</t>
  </si>
  <si>
    <t>中田町石森字脇谷前92</t>
  </si>
  <si>
    <t>718</t>
  </si>
  <si>
    <t>石越町東郷字北今道30</t>
  </si>
  <si>
    <t>838</t>
  </si>
  <si>
    <t>石越町南郷字新南埣190</t>
  </si>
  <si>
    <t>1980/08/29</t>
  </si>
  <si>
    <t>1258</t>
  </si>
  <si>
    <t>石越町東郷字北今道29</t>
  </si>
  <si>
    <t>837</t>
  </si>
  <si>
    <t>中田町石森字二木前62</t>
  </si>
  <si>
    <t>697</t>
  </si>
  <si>
    <t>石越町南郷字新南埣189</t>
  </si>
  <si>
    <t>1257</t>
  </si>
  <si>
    <t>中田町石森字若林前54</t>
  </si>
  <si>
    <t>836</t>
  </si>
  <si>
    <t>中田町石森字若林前53</t>
  </si>
  <si>
    <t>835</t>
  </si>
  <si>
    <t>中田町石森字若林前52</t>
  </si>
  <si>
    <t>834</t>
  </si>
  <si>
    <t>中田町上沼字新北要害浦76</t>
  </si>
  <si>
    <t>428</t>
  </si>
  <si>
    <t>石越町南郷字新南埣188</t>
  </si>
  <si>
    <t>1256</t>
  </si>
  <si>
    <t>中田町石森字若林前51</t>
  </si>
  <si>
    <t>833</t>
  </si>
  <si>
    <t>迫町新田字新舟崎138</t>
  </si>
  <si>
    <t>73</t>
  </si>
  <si>
    <t>中田町石森字若林前50</t>
  </si>
  <si>
    <t>832</t>
  </si>
  <si>
    <t>2018/01/22</t>
  </si>
  <si>
    <t>石越町南郷字新南埣187</t>
  </si>
  <si>
    <t>2018</t>
  </si>
  <si>
    <t>2018/04/01</t>
  </si>
  <si>
    <t>1255</t>
  </si>
  <si>
    <t>石越町北郷字新橋向120</t>
  </si>
  <si>
    <t>1185</t>
  </si>
  <si>
    <t>中田町石森字若林前49</t>
  </si>
  <si>
    <t>831</t>
  </si>
  <si>
    <t>中田町石森字二木前56</t>
  </si>
  <si>
    <t>691</t>
  </si>
  <si>
    <t>中田町上沼字新北要害浦74</t>
  </si>
  <si>
    <t>426</t>
  </si>
  <si>
    <t>中田町上沼字新北要害浦75</t>
  </si>
  <si>
    <t>427</t>
  </si>
  <si>
    <t>中田町石森字若林前48</t>
  </si>
  <si>
    <t>830</t>
  </si>
  <si>
    <t>2019/03/31</t>
  </si>
  <si>
    <t>石越町北郷字新北72</t>
  </si>
  <si>
    <t>1254</t>
  </si>
  <si>
    <t>中田町石森字若林前47</t>
  </si>
  <si>
    <t>829</t>
  </si>
  <si>
    <t>2018/12/27</t>
  </si>
  <si>
    <t>石越町北郷字新北71</t>
  </si>
  <si>
    <t>1253</t>
  </si>
  <si>
    <t>中田町石森字若林前46</t>
  </si>
  <si>
    <t>828</t>
  </si>
  <si>
    <t>中田町石森字若林前45</t>
  </si>
  <si>
    <t>827</t>
  </si>
  <si>
    <t>石越町北郷字新西38</t>
  </si>
  <si>
    <t>1209</t>
  </si>
  <si>
    <t>中田町石森字二木前58</t>
  </si>
  <si>
    <t>693</t>
  </si>
  <si>
    <t>中田町石森字藤崎85</t>
  </si>
  <si>
    <t>826</t>
  </si>
  <si>
    <t>2017/05/01</t>
  </si>
  <si>
    <t>石越町北郷字新北70</t>
  </si>
  <si>
    <t>2017</t>
  </si>
  <si>
    <t>2017/04/18</t>
  </si>
  <si>
    <t>1252</t>
  </si>
  <si>
    <t>中田町上沼字新北要害浦77</t>
  </si>
  <si>
    <t>429</t>
  </si>
  <si>
    <t>中田町石森字藤崎84</t>
  </si>
  <si>
    <t>825</t>
  </si>
  <si>
    <t>中田町石森字脇谷前91</t>
  </si>
  <si>
    <t>717</t>
  </si>
  <si>
    <t>中田町石森字藤崎83</t>
  </si>
  <si>
    <t>824</t>
  </si>
  <si>
    <t>中田町石森字小塚南51</t>
  </si>
  <si>
    <t>478</t>
  </si>
  <si>
    <t>2018/11/20</t>
  </si>
  <si>
    <t>石越町北郷字新北69</t>
  </si>
  <si>
    <t>1251</t>
  </si>
  <si>
    <t>中田町石森字藤崎82</t>
  </si>
  <si>
    <t>823</t>
  </si>
  <si>
    <t>登米町大字日根牛新北沢53</t>
  </si>
  <si>
    <t>306</t>
  </si>
  <si>
    <t>中田町石森字小塚南52</t>
  </si>
  <si>
    <t>479</t>
  </si>
  <si>
    <t>中田町石森字藤崎81</t>
  </si>
  <si>
    <t>822</t>
  </si>
  <si>
    <t>石越町北郷字新北68</t>
  </si>
  <si>
    <t>1250</t>
  </si>
  <si>
    <t>中田町石森字藤崎80</t>
  </si>
  <si>
    <t>821</t>
  </si>
  <si>
    <t>中田町石森字藤崎79</t>
  </si>
  <si>
    <t>820</t>
  </si>
  <si>
    <t>石越町北郷字新的場下44</t>
  </si>
  <si>
    <t>1197</t>
  </si>
  <si>
    <t>石越町北郷字新北67</t>
  </si>
  <si>
    <t>1249</t>
  </si>
  <si>
    <t>中田町石森字脇谷前89</t>
  </si>
  <si>
    <t>715</t>
  </si>
  <si>
    <t>中田町石森字藤崎78</t>
  </si>
  <si>
    <t>819</t>
  </si>
  <si>
    <t>中田町石森字脇谷前88</t>
  </si>
  <si>
    <t>714</t>
  </si>
  <si>
    <t>中田町石森字藤崎77</t>
  </si>
  <si>
    <t>818</t>
  </si>
  <si>
    <t>石越町北郷字新北66</t>
  </si>
  <si>
    <t>1248</t>
  </si>
  <si>
    <t>中田町石森字小塚南53</t>
  </si>
  <si>
    <t>480</t>
  </si>
  <si>
    <t>中田町石森字藤崎76</t>
  </si>
  <si>
    <t>817</t>
  </si>
  <si>
    <t>中田町石森字藤崎75</t>
  </si>
  <si>
    <t>816</t>
  </si>
  <si>
    <t>石越町北郷字新北65</t>
  </si>
  <si>
    <t>1247</t>
  </si>
  <si>
    <t>中田町石森字藤崎74</t>
  </si>
  <si>
    <t>815</t>
  </si>
  <si>
    <t>東和町米谷字沖ノ田123</t>
  </si>
  <si>
    <t>236</t>
  </si>
  <si>
    <t>中田町石森字脇谷前87</t>
  </si>
  <si>
    <t>713</t>
  </si>
  <si>
    <t>中田町石森字藤崎73</t>
  </si>
  <si>
    <t>814</t>
  </si>
  <si>
    <t>石越町北郷字新北64</t>
  </si>
  <si>
    <t>1246</t>
  </si>
  <si>
    <t>中田町上沼字新北要害浦78</t>
  </si>
  <si>
    <t>430</t>
  </si>
  <si>
    <t>中田町石森字藤崎72</t>
  </si>
  <si>
    <t>813</t>
  </si>
  <si>
    <t>中田町石森字高見前25</t>
  </si>
  <si>
    <t>739</t>
  </si>
  <si>
    <t>中田町石森字寺浦45</t>
  </si>
  <si>
    <t>481</t>
  </si>
  <si>
    <t>中田町石森字脇谷前86</t>
  </si>
  <si>
    <t>712</t>
  </si>
  <si>
    <t>石越町北郷字新北63</t>
  </si>
  <si>
    <t>1245</t>
  </si>
  <si>
    <t>中田町石森字藤崎71</t>
  </si>
  <si>
    <t>812</t>
  </si>
  <si>
    <t>中田町石森字藤崎70</t>
  </si>
  <si>
    <t>811</t>
  </si>
  <si>
    <t>中田町石森字藤崎69</t>
  </si>
  <si>
    <t>810</t>
  </si>
  <si>
    <t>石越町北郷字新北62</t>
  </si>
  <si>
    <t>1244</t>
  </si>
  <si>
    <t>中田町石森字高見前27</t>
  </si>
  <si>
    <t>741</t>
  </si>
  <si>
    <t>中田町石森字藤崎68</t>
  </si>
  <si>
    <t>809</t>
  </si>
  <si>
    <t>中田町石森字藤崎67</t>
  </si>
  <si>
    <t>808</t>
  </si>
  <si>
    <t>石越町北郷字新北61</t>
  </si>
  <si>
    <t>1243</t>
  </si>
  <si>
    <t>迫町新田字新茂栗123</t>
  </si>
  <si>
    <t>中田町石森字藤崎66</t>
  </si>
  <si>
    <t>807</t>
  </si>
  <si>
    <t>中田町石森字藤崎65</t>
  </si>
  <si>
    <t>806</t>
  </si>
  <si>
    <t>石越町北郷字新北60</t>
  </si>
  <si>
    <t>1242</t>
  </si>
  <si>
    <t>中田町石森字藤崎64</t>
  </si>
  <si>
    <t>805</t>
  </si>
  <si>
    <t>中田町石森字脇谷前83</t>
  </si>
  <si>
    <t>709</t>
  </si>
  <si>
    <t>中田町石森字藤崎63</t>
  </si>
  <si>
    <t>804</t>
  </si>
  <si>
    <t>石越町北郷字新北59</t>
  </si>
  <si>
    <t>1241</t>
  </si>
  <si>
    <t>中田町石森字藤崎62</t>
  </si>
  <si>
    <t>803</t>
  </si>
  <si>
    <t>中田町石森字寺浦47</t>
  </si>
  <si>
    <t>482</t>
  </si>
  <si>
    <t>中田町上沼字新八幡浦64</t>
  </si>
  <si>
    <t>418</t>
  </si>
  <si>
    <t>中田町石森字脇谷前85</t>
  </si>
  <si>
    <t>711</t>
  </si>
  <si>
    <t>中田町石森字藤崎61</t>
  </si>
  <si>
    <t>802</t>
  </si>
  <si>
    <t>石越町北郷字新北58</t>
  </si>
  <si>
    <t>1240</t>
  </si>
  <si>
    <t>中田町石森字藤崎60</t>
  </si>
  <si>
    <t>801</t>
  </si>
  <si>
    <t>中田町石森字藤崎59</t>
  </si>
  <si>
    <t>800</t>
  </si>
  <si>
    <t>石越町北郷字新北57</t>
  </si>
  <si>
    <t>1239</t>
  </si>
  <si>
    <t>中田町石森字西長根104</t>
  </si>
  <si>
    <t>799</t>
  </si>
  <si>
    <t>迫町新田字新茂栗104</t>
  </si>
  <si>
    <t>21</t>
  </si>
  <si>
    <t>中田町石森字西長根103</t>
  </si>
  <si>
    <t>798</t>
  </si>
  <si>
    <t>石越町北郷字新北56</t>
  </si>
  <si>
    <t>1238</t>
  </si>
  <si>
    <t>中田町石森字寺浦49</t>
  </si>
  <si>
    <t>483</t>
  </si>
  <si>
    <t>中田町石森字西長根102</t>
  </si>
  <si>
    <t>797</t>
  </si>
  <si>
    <t>石越町北郷字新北55</t>
  </si>
  <si>
    <t>1237</t>
  </si>
  <si>
    <t>中田町石森字西長根101</t>
  </si>
  <si>
    <t>796</t>
  </si>
  <si>
    <t>中田町石森字西長根100</t>
  </si>
  <si>
    <t>795</t>
  </si>
  <si>
    <t>中田町石森字西長根99</t>
  </si>
  <si>
    <t>794</t>
  </si>
  <si>
    <t>石越町北郷字新橋向137</t>
  </si>
  <si>
    <t>1191</t>
  </si>
  <si>
    <t>石越町北郷字新北54</t>
  </si>
  <si>
    <t>1236</t>
  </si>
  <si>
    <t>中田町石森字西長根98</t>
  </si>
  <si>
    <t>793</t>
  </si>
  <si>
    <t>中田町宝江新井田字東大谷地55</t>
  </si>
  <si>
    <t>542</t>
  </si>
  <si>
    <t>中田町石森字高見前28</t>
  </si>
  <si>
    <t>742</t>
  </si>
  <si>
    <t>中田町石森字西長根97</t>
  </si>
  <si>
    <t>792</t>
  </si>
  <si>
    <t>石越町北郷字新北53</t>
  </si>
  <si>
    <t>1235</t>
  </si>
  <si>
    <t>中田町石森字西長根96</t>
  </si>
  <si>
    <t>791</t>
  </si>
  <si>
    <t>中田町石森字寺浦50</t>
  </si>
  <si>
    <t>484</t>
  </si>
  <si>
    <t>中田町石森字西長根95</t>
  </si>
  <si>
    <t>790</t>
  </si>
  <si>
    <t>石越町北郷字新北52</t>
  </si>
  <si>
    <t>1234</t>
  </si>
  <si>
    <t>中田町石森字西長根94</t>
  </si>
  <si>
    <t>789</t>
  </si>
  <si>
    <t>中田町石森字脇谷前76</t>
  </si>
  <si>
    <t>703</t>
  </si>
  <si>
    <t>石越町北郷字新北51</t>
  </si>
  <si>
    <t>1233</t>
  </si>
  <si>
    <t>中田町石森字寺浦51</t>
  </si>
  <si>
    <t>485</t>
  </si>
  <si>
    <t>中田町石森字西長根93</t>
  </si>
  <si>
    <t>788</t>
  </si>
  <si>
    <t>中田町宝江新井田字東大谷地53</t>
  </si>
  <si>
    <t>540</t>
  </si>
  <si>
    <t>中田町石森字西長根92</t>
  </si>
  <si>
    <t>787</t>
  </si>
  <si>
    <t>中田町石森字西長根91</t>
  </si>
  <si>
    <t>786</t>
  </si>
  <si>
    <t>中田町石森字脇谷前75</t>
  </si>
  <si>
    <t>702</t>
  </si>
  <si>
    <t>中田町宝江新井田字東大谷地52</t>
  </si>
  <si>
    <t>539</t>
  </si>
  <si>
    <t>石越町北郷字新北50</t>
  </si>
  <si>
    <t>1232</t>
  </si>
  <si>
    <t>中田町上沼字新北要害浦79</t>
  </si>
  <si>
    <t>431</t>
  </si>
  <si>
    <t>中田町石森字西長根90</t>
  </si>
  <si>
    <t>785</t>
  </si>
  <si>
    <t>石越町北郷字新北39</t>
  </si>
  <si>
    <t>14:河川敷</t>
  </si>
  <si>
    <t>1231</t>
  </si>
  <si>
    <t>中田町石森字西長根89</t>
  </si>
  <si>
    <t>784</t>
  </si>
  <si>
    <t>中田町石森字西長根88</t>
  </si>
  <si>
    <t>783</t>
  </si>
  <si>
    <t>中田町石森字西長根87</t>
  </si>
  <si>
    <t>782</t>
  </si>
  <si>
    <t>中田町宝江新井田字東大谷地50</t>
  </si>
  <si>
    <t>537</t>
  </si>
  <si>
    <t>石越町北郷字新南73</t>
  </si>
  <si>
    <t>1230</t>
  </si>
  <si>
    <t>中田町石森字西長根86</t>
  </si>
  <si>
    <t>781</t>
  </si>
  <si>
    <t>中田町石森字西長根85</t>
  </si>
  <si>
    <t>780</t>
  </si>
  <si>
    <t>石越町北郷字新南71</t>
  </si>
  <si>
    <t>1228</t>
  </si>
  <si>
    <t>中田町上沼字新北要害浦80</t>
  </si>
  <si>
    <t>432</t>
  </si>
  <si>
    <t>中田町石森字西長根83</t>
  </si>
  <si>
    <t>778</t>
  </si>
  <si>
    <t>中田町石森字西長根82</t>
  </si>
  <si>
    <t>777</t>
  </si>
  <si>
    <t>0:普通財産</t>
  </si>
  <si>
    <t>中田町上沼字新北要害浦81</t>
  </si>
  <si>
    <t>433</t>
  </si>
  <si>
    <t>中田町上沼字新南要害浦73</t>
  </si>
  <si>
    <t>434</t>
  </si>
  <si>
    <t>中田町上沼字新南要害浦74</t>
  </si>
  <si>
    <t>435</t>
  </si>
  <si>
    <t>石越町北郷字新南70</t>
  </si>
  <si>
    <t>1227</t>
  </si>
  <si>
    <t>中田町石森字西長根81</t>
  </si>
  <si>
    <t>776</t>
  </si>
  <si>
    <t>中田町宝江新井田字西芝尻94</t>
  </si>
  <si>
    <t>534</t>
  </si>
  <si>
    <t>中田町石森字西長根80</t>
  </si>
  <si>
    <t>775</t>
  </si>
  <si>
    <t>中田町石森字西長根79</t>
  </si>
  <si>
    <t>774</t>
  </si>
  <si>
    <t>石越町北郷字新南69</t>
  </si>
  <si>
    <t>1226</t>
  </si>
  <si>
    <t>中田町石森字西長根78</t>
  </si>
  <si>
    <t>773</t>
  </si>
  <si>
    <t>中田町石森字脇谷前74</t>
  </si>
  <si>
    <t>701</t>
  </si>
  <si>
    <t>中田町宝江新井田字西芝尻93</t>
  </si>
  <si>
    <t>533</t>
  </si>
  <si>
    <t>石越町北郷字新南68</t>
  </si>
  <si>
    <t>1225</t>
  </si>
  <si>
    <t>中田町宝江新井田字西芝尻92</t>
  </si>
  <si>
    <t>532</t>
  </si>
  <si>
    <t>中田町石森字西長根77</t>
  </si>
  <si>
    <t>772</t>
  </si>
  <si>
    <t>中田町石森字西長根76</t>
  </si>
  <si>
    <t>771</t>
  </si>
  <si>
    <t>中田町石森字北川前93</t>
  </si>
  <si>
    <t>770</t>
  </si>
  <si>
    <t>中田町宝江新井田字西芝尻91</t>
  </si>
  <si>
    <t>531</t>
  </si>
  <si>
    <t>中田町石森字寺浦52</t>
  </si>
  <si>
    <t>486</t>
  </si>
  <si>
    <t>中田町宝江新井田字西芝尻90</t>
  </si>
  <si>
    <t>530</t>
  </si>
  <si>
    <t>石越町北郷字新南67</t>
  </si>
  <si>
    <t>1224</t>
  </si>
  <si>
    <t>中田町石森字北川前92</t>
  </si>
  <si>
    <t>769</t>
  </si>
  <si>
    <t>中田町上沼字新北要害浦67</t>
  </si>
  <si>
    <t>419</t>
  </si>
  <si>
    <t>中田町石森字北川前91</t>
  </si>
  <si>
    <t>768</t>
  </si>
  <si>
    <t>石越町北郷字新南66</t>
  </si>
  <si>
    <t>1223</t>
  </si>
  <si>
    <t>中田町宝江新井田字西芝尻89</t>
  </si>
  <si>
    <t>529</t>
  </si>
  <si>
    <t>中田町石森字高見前29</t>
  </si>
  <si>
    <t>743</t>
  </si>
  <si>
    <t>中田町宝江新井田字西芝尻88</t>
  </si>
  <si>
    <t>528</t>
  </si>
  <si>
    <t>中田町石森字北川前90</t>
  </si>
  <si>
    <t>767</t>
  </si>
  <si>
    <t>中田町石森字二木前59</t>
  </si>
  <si>
    <t>694</t>
  </si>
  <si>
    <t>石越町北郷字新橋向126</t>
  </si>
  <si>
    <t>1189</t>
  </si>
  <si>
    <t>中田町宝江新井田字西芝尻87</t>
  </si>
  <si>
    <t>527</t>
  </si>
  <si>
    <t>中田町石森字北川前89</t>
  </si>
  <si>
    <t>766</t>
  </si>
  <si>
    <t>中田町宝江新井田字西芝尻86</t>
  </si>
  <si>
    <t>526</t>
  </si>
  <si>
    <t>中田町石森字寺浦55</t>
  </si>
  <si>
    <t>487</t>
  </si>
  <si>
    <t>石越町北郷字新南65</t>
  </si>
  <si>
    <t>1222</t>
  </si>
  <si>
    <t>中田町石森字脇谷前72</t>
  </si>
  <si>
    <t>699</t>
  </si>
  <si>
    <t>中田町石森字北川前87</t>
  </si>
  <si>
    <t>764</t>
  </si>
  <si>
    <t>石越町北郷字新西47</t>
  </si>
  <si>
    <t>1218</t>
  </si>
  <si>
    <t>中田町石森字北川前79</t>
  </si>
  <si>
    <t>756</t>
  </si>
  <si>
    <t>石越町北郷字新西46</t>
  </si>
  <si>
    <t>1217</t>
  </si>
  <si>
    <t>石越町北郷字新西45</t>
  </si>
  <si>
    <t>1216</t>
  </si>
  <si>
    <t>石越町北郷字新西44</t>
  </si>
  <si>
    <t>1215</t>
  </si>
  <si>
    <t>中田町宝江新井田字西芝尻84</t>
  </si>
  <si>
    <t>524</t>
  </si>
  <si>
    <t>石越町北郷字新西43</t>
  </si>
  <si>
    <t>1214</t>
  </si>
  <si>
    <t>中田町石森字北川前71</t>
  </si>
  <si>
    <t>748</t>
  </si>
  <si>
    <t>中田町宝江新井田字西芝尻83</t>
  </si>
  <si>
    <t>523</t>
  </si>
  <si>
    <t>石越町北郷字新西41</t>
  </si>
  <si>
    <t>1212</t>
  </si>
  <si>
    <t>中田町石森字寺浦56</t>
  </si>
  <si>
    <t>488</t>
  </si>
  <si>
    <t>中田町石森字北川前67</t>
  </si>
  <si>
    <t>744</t>
  </si>
  <si>
    <t>石越町北郷字新西39</t>
  </si>
  <si>
    <t>1210</t>
  </si>
  <si>
    <t>中田町石森字高見前26</t>
  </si>
  <si>
    <t>740</t>
  </si>
  <si>
    <t>石越町北郷字新東53</t>
  </si>
  <si>
    <t>1208</t>
  </si>
  <si>
    <t>中田町石森字北川前68</t>
  </si>
  <si>
    <t>745</t>
  </si>
  <si>
    <t>中田町宝江新井田字西芝尻81</t>
  </si>
  <si>
    <t>521</t>
  </si>
  <si>
    <t>石越町北郷字新東52</t>
  </si>
  <si>
    <t>1207</t>
  </si>
  <si>
    <t>中田町石森字寺浦57</t>
  </si>
  <si>
    <t>489</t>
  </si>
  <si>
    <t>石越町北郷字新東51</t>
  </si>
  <si>
    <t>1206</t>
  </si>
  <si>
    <t>石越町北郷字新東50</t>
  </si>
  <si>
    <t>1205</t>
  </si>
  <si>
    <t>石越町北郷字新東49</t>
  </si>
  <si>
    <t>1204</t>
  </si>
  <si>
    <t>石越町北郷字新東48</t>
  </si>
  <si>
    <t>1203</t>
  </si>
  <si>
    <t>石越町北郷字新東47</t>
  </si>
  <si>
    <t>1202</t>
  </si>
  <si>
    <t>中田町宝江新井田字西芝尻78</t>
  </si>
  <si>
    <t>518</t>
  </si>
  <si>
    <t>中田町石森字霜田前54</t>
  </si>
  <si>
    <t>724</t>
  </si>
  <si>
    <t>石越町北郷字新南72</t>
  </si>
  <si>
    <t>1229</t>
  </si>
  <si>
    <t>石越町北郷字新東45</t>
  </si>
  <si>
    <t>1200</t>
  </si>
  <si>
    <t>中田町石森字霜田前50</t>
  </si>
  <si>
    <t>720</t>
  </si>
  <si>
    <t>石越町北郷字新的場下45</t>
  </si>
  <si>
    <t>1198</t>
  </si>
  <si>
    <t>中田町石森字北川前69</t>
  </si>
  <si>
    <t>746</t>
  </si>
  <si>
    <t>中田町石森字脇谷前90</t>
  </si>
  <si>
    <t>716</t>
  </si>
  <si>
    <t>石越町北郷字新的場下43</t>
  </si>
  <si>
    <t>1196</t>
  </si>
  <si>
    <t>石越町北郷字新的場下42</t>
  </si>
  <si>
    <t>1195</t>
  </si>
  <si>
    <t>石越町北郷字新橋向111</t>
  </si>
  <si>
    <t>1194</t>
  </si>
  <si>
    <t>中田町石森字脇谷前81</t>
  </si>
  <si>
    <t>708</t>
  </si>
  <si>
    <t>中田町石森字野元北58</t>
  </si>
  <si>
    <t>515</t>
  </si>
  <si>
    <t>中田町石森字二木前61</t>
  </si>
  <si>
    <t>696</t>
  </si>
  <si>
    <t>中田町石森字野元北57</t>
  </si>
  <si>
    <t>514</t>
  </si>
  <si>
    <t>中田町石森字脇谷前80</t>
  </si>
  <si>
    <t>707</t>
  </si>
  <si>
    <t>中田町石森字二木前60</t>
  </si>
  <si>
    <t>695</t>
  </si>
  <si>
    <t>中田町石森字寺浦58</t>
  </si>
  <si>
    <t>490</t>
  </si>
  <si>
    <t>中田町石森字脇谷前79</t>
  </si>
  <si>
    <t>706</t>
  </si>
  <si>
    <t>石越町北郷字新橋向112</t>
  </si>
  <si>
    <t>1192</t>
  </si>
  <si>
    <t>中田町石森字野元北56</t>
  </si>
  <si>
    <t>513</t>
  </si>
  <si>
    <t>石越町北郷字新橋向114</t>
  </si>
  <si>
    <t>1193</t>
  </si>
  <si>
    <t>中田町石森字野元北55</t>
  </si>
  <si>
    <t>512</t>
  </si>
  <si>
    <t>中田町石森字脇谷前77</t>
  </si>
  <si>
    <t>704</t>
  </si>
  <si>
    <t>中田町石森字北川前70</t>
  </si>
  <si>
    <t>747</t>
  </si>
  <si>
    <t>中田町石森字新駒牽北38</t>
  </si>
  <si>
    <t>491</t>
  </si>
  <si>
    <t>中田町石森字野元北54</t>
  </si>
  <si>
    <t>511</t>
  </si>
  <si>
    <t>石越町北郷字新橋向125</t>
  </si>
  <si>
    <t>1190</t>
  </si>
  <si>
    <t>中田町石森字野元北53</t>
  </si>
  <si>
    <t>510</t>
  </si>
  <si>
    <t>中田町石森字脇谷前73</t>
  </si>
  <si>
    <t>700</t>
  </si>
  <si>
    <t>石越町北郷字新橋向123</t>
  </si>
  <si>
    <t>1188</t>
  </si>
  <si>
    <t>石越町北郷字新橋向124</t>
  </si>
  <si>
    <t>1187</t>
  </si>
  <si>
    <t>石越町北郷字新西42</t>
  </si>
  <si>
    <t>1213</t>
  </si>
  <si>
    <t>石越町北郷字新橋向122</t>
  </si>
  <si>
    <t>1186</t>
  </si>
  <si>
    <t>中田町石森字二木前57</t>
  </si>
  <si>
    <t>692</t>
  </si>
  <si>
    <t>石越町北郷字新橋向119</t>
  </si>
  <si>
    <t>1184</t>
  </si>
  <si>
    <t>中田町石森字二木前55</t>
  </si>
  <si>
    <t>690</t>
  </si>
  <si>
    <t>中田町石森字二木前54</t>
  </si>
  <si>
    <t>689</t>
  </si>
  <si>
    <t>中田町上沼字新北要害浦68</t>
  </si>
  <si>
    <t>420</t>
  </si>
  <si>
    <t>石越町北郷字新橋向121</t>
  </si>
  <si>
    <t>1183</t>
  </si>
  <si>
    <t>中田町石森字二木前53</t>
  </si>
  <si>
    <t>688</t>
  </si>
  <si>
    <t>中田町石森字二木前52</t>
  </si>
  <si>
    <t>687</t>
  </si>
  <si>
    <t>石越町北郷字新橋向118</t>
  </si>
  <si>
    <t>1182</t>
  </si>
  <si>
    <t>中田町石森字野元北51</t>
  </si>
  <si>
    <t>508</t>
  </si>
  <si>
    <t>中田町石森字二木前51</t>
  </si>
  <si>
    <t>686</t>
  </si>
  <si>
    <t>中田町石森字二木前50</t>
  </si>
  <si>
    <t>685</t>
  </si>
  <si>
    <t>中田町石森字北川前73</t>
  </si>
  <si>
    <t>750</t>
  </si>
  <si>
    <t>石越町北郷字新橋向117</t>
  </si>
  <si>
    <t>1181</t>
  </si>
  <si>
    <t>中田町石森字新駒牽北39</t>
  </si>
  <si>
    <t>492</t>
  </si>
  <si>
    <t>中田町石森字二木前49</t>
  </si>
  <si>
    <t>684</t>
  </si>
  <si>
    <t>中田町石森字桑代前69</t>
  </si>
  <si>
    <t>683</t>
  </si>
  <si>
    <t>中田町石森字新駒牽北40</t>
  </si>
  <si>
    <t>493</t>
  </si>
  <si>
    <t>石越町北郷字新橋向116</t>
  </si>
  <si>
    <t>1180</t>
  </si>
  <si>
    <t>中田町石森字桑代前68</t>
  </si>
  <si>
    <t>682</t>
  </si>
  <si>
    <t>中田町石森字桑代前67</t>
  </si>
  <si>
    <t>681</t>
  </si>
  <si>
    <t>石越町北郷字新橋向115</t>
  </si>
  <si>
    <t>1179</t>
  </si>
  <si>
    <t>中田町石森字桑代前66</t>
  </si>
  <si>
    <t>680</t>
  </si>
  <si>
    <t>中田町石森字桑代前65</t>
  </si>
  <si>
    <t>679</t>
  </si>
  <si>
    <t>石越町北郷字新橋向105</t>
  </si>
  <si>
    <t>1178</t>
  </si>
  <si>
    <t>中田町石森字桑代前64</t>
  </si>
  <si>
    <t>678</t>
  </si>
  <si>
    <t>中田町石森字桑代前63</t>
  </si>
  <si>
    <t>677</t>
  </si>
  <si>
    <t>中田町石森字北川前72</t>
  </si>
  <si>
    <t>749</t>
  </si>
  <si>
    <t>石越町北郷字新橋向110</t>
  </si>
  <si>
    <t>1177</t>
  </si>
  <si>
    <t>中田町石森字桑代前62</t>
  </si>
  <si>
    <t>676</t>
  </si>
  <si>
    <t>中田町石森字桑代前61</t>
  </si>
  <si>
    <t>675</t>
  </si>
  <si>
    <t>中田町石森字新駒牽北41</t>
  </si>
  <si>
    <t>494</t>
  </si>
  <si>
    <t>石越町北郷字新橋向109</t>
  </si>
  <si>
    <t>1176</t>
  </si>
  <si>
    <t>中田町石森字桑代前60</t>
  </si>
  <si>
    <t>674</t>
  </si>
  <si>
    <t>石越町東郷字新今道24</t>
  </si>
  <si>
    <t>673</t>
  </si>
  <si>
    <t>石越町北郷字新橋向113</t>
  </si>
  <si>
    <t>1175</t>
  </si>
  <si>
    <t>石越町東郷字新今道23</t>
  </si>
  <si>
    <t>672</t>
  </si>
  <si>
    <t>石越町東郷字新今道22</t>
  </si>
  <si>
    <t>671</t>
  </si>
  <si>
    <t>中田町石森字新駒牽北42</t>
  </si>
  <si>
    <t>495</t>
  </si>
  <si>
    <t>石越町北郷字新橋向108</t>
  </si>
  <si>
    <t>1174</t>
  </si>
  <si>
    <t>石越町東郷字新今道21</t>
  </si>
  <si>
    <t>670</t>
  </si>
  <si>
    <t>石越町東郷字新今道18</t>
  </si>
  <si>
    <t>669</t>
  </si>
  <si>
    <t>中田町上沼字新八幡浦56</t>
  </si>
  <si>
    <t>411</t>
  </si>
  <si>
    <t>中田町石森字新駒牽北44</t>
  </si>
  <si>
    <t>496</t>
  </si>
  <si>
    <t>石越町北郷字新橋向106</t>
  </si>
  <si>
    <t>1173</t>
  </si>
  <si>
    <t>中田町石森字新駒牽北45</t>
  </si>
  <si>
    <t>497</t>
  </si>
  <si>
    <t>公衆用道路</t>
  </si>
  <si>
    <t>石越町東郷字新今道17</t>
  </si>
  <si>
    <t>668</t>
  </si>
  <si>
    <t>中田町石森字南川前121</t>
  </si>
  <si>
    <t>667</t>
  </si>
  <si>
    <t>石越町北郷字新橋向107</t>
  </si>
  <si>
    <t>1172</t>
  </si>
  <si>
    <t>中田町石森字南川前120</t>
  </si>
  <si>
    <t>666</t>
  </si>
  <si>
    <t>中田町石森字南川前119</t>
  </si>
  <si>
    <t>665</t>
  </si>
  <si>
    <t>中田町石森字新駒牽北46</t>
  </si>
  <si>
    <t>498</t>
  </si>
  <si>
    <t>石越町北郷字新橋向141</t>
  </si>
  <si>
    <t>1171</t>
  </si>
  <si>
    <t>中田町石森字新駒牽北47</t>
  </si>
  <si>
    <t>499</t>
  </si>
  <si>
    <t>中田町石森字南川前118</t>
  </si>
  <si>
    <t>664</t>
  </si>
  <si>
    <t>中田町石森字南川前117</t>
  </si>
  <si>
    <t>663</t>
  </si>
  <si>
    <t>石越町北郷字新橋向142</t>
  </si>
  <si>
    <t>1170</t>
  </si>
  <si>
    <t>中田町石森字南川前116</t>
  </si>
  <si>
    <t>662</t>
  </si>
  <si>
    <t>中田町石森字新駒牽北48</t>
  </si>
  <si>
    <t>500</t>
  </si>
  <si>
    <t>中田町石森字南川前115</t>
  </si>
  <si>
    <t>661</t>
  </si>
  <si>
    <t>中田町石森字新駒牽北49</t>
  </si>
  <si>
    <t>501</t>
  </si>
  <si>
    <t>石越町北郷字新橋向140</t>
  </si>
  <si>
    <t>1169</t>
  </si>
  <si>
    <t>中田町石森字南川前111</t>
  </si>
  <si>
    <t>660</t>
  </si>
  <si>
    <t>中田町石森字南川前110</t>
  </si>
  <si>
    <t>659</t>
  </si>
  <si>
    <t>石越町北郷字新橋向139</t>
  </si>
  <si>
    <t>1168</t>
  </si>
  <si>
    <t>中田町石森字南川前109</t>
  </si>
  <si>
    <t>658</t>
  </si>
  <si>
    <t>中田町石森字南川前108</t>
  </si>
  <si>
    <t>657</t>
  </si>
  <si>
    <t>中田町石森字新駒牽北52</t>
  </si>
  <si>
    <t>502</t>
  </si>
  <si>
    <t>中田町石森字新駒牽北53</t>
  </si>
  <si>
    <t>503</t>
  </si>
  <si>
    <t>石越町北郷字新橋向138</t>
  </si>
  <si>
    <t>1167</t>
  </si>
  <si>
    <t>中田町石森字南川前107</t>
  </si>
  <si>
    <t>656</t>
  </si>
  <si>
    <t>中田町石森字南川前106</t>
  </si>
  <si>
    <t>655</t>
  </si>
  <si>
    <t>石越町北郷字新橋向136</t>
  </si>
  <si>
    <t>1166</t>
  </si>
  <si>
    <t>中田町石森字新駒牽北54</t>
  </si>
  <si>
    <t>504</t>
  </si>
  <si>
    <t>中田町石森字南川前105</t>
  </si>
  <si>
    <t>654</t>
  </si>
  <si>
    <t>中田町石森字新駒牽北55</t>
  </si>
  <si>
    <t>505</t>
  </si>
  <si>
    <t>中田町石森字南川前103</t>
  </si>
  <si>
    <t>653</t>
  </si>
  <si>
    <t>08:公園</t>
  </si>
  <si>
    <t>2008/03/31</t>
  </si>
  <si>
    <t>2010/03/31</t>
  </si>
  <si>
    <t>2016</t>
  </si>
  <si>
    <t>3101:調査判明（増）</t>
  </si>
  <si>
    <t>002018:公衆用道路</t>
  </si>
  <si>
    <t>石越町北郷字新東40</t>
  </si>
  <si>
    <t>0750001</t>
  </si>
  <si>
    <t>H29三沼線土地購入</t>
  </si>
  <si>
    <t>2018/03/28</t>
  </si>
  <si>
    <t>迫町北方字石打坂85-1</t>
  </si>
  <si>
    <t>0102:売買（受）</t>
  </si>
  <si>
    <t>1082</t>
  </si>
  <si>
    <t>石越町北郷字新長下田59</t>
  </si>
  <si>
    <t>石越町北郷字新長下田58</t>
  </si>
  <si>
    <t>H29遠見台渋江線土地購入</t>
  </si>
  <si>
    <t>2017/05/05</t>
  </si>
  <si>
    <t>登米町日野渡内の目</t>
  </si>
  <si>
    <t>1065</t>
  </si>
  <si>
    <t>石越町北郷字新東37</t>
  </si>
  <si>
    <t>H29公民館東線土地購入</t>
  </si>
  <si>
    <t>2017/12/08</t>
  </si>
  <si>
    <t>登米町寺池目子待井</t>
  </si>
  <si>
    <t>1073</t>
  </si>
  <si>
    <t>石越町北郷字新長下田57</t>
  </si>
  <si>
    <t>H29八丁田待井・亀ヶ下線土地購入</t>
  </si>
  <si>
    <t>2018/03/27</t>
  </si>
  <si>
    <t>登米町寺池八丁田待井</t>
  </si>
  <si>
    <t>1081</t>
  </si>
  <si>
    <t>石越町北郷字新長下田56</t>
  </si>
  <si>
    <t>R2上の山・黄牛線（土地購入）</t>
  </si>
  <si>
    <t>2020/10/01</t>
  </si>
  <si>
    <t>津山町横山字上の山</t>
  </si>
  <si>
    <t>1211</t>
  </si>
  <si>
    <t>石越町北郷字新長下田55</t>
  </si>
  <si>
    <t>南方町八の森30-1</t>
  </si>
  <si>
    <t>石越町北郷字新長下田54</t>
  </si>
  <si>
    <t>H29藤渡戸線土地購入</t>
  </si>
  <si>
    <t>2018/03/14</t>
  </si>
  <si>
    <t>米山町西野字藤渡戸</t>
  </si>
  <si>
    <t>1070</t>
  </si>
  <si>
    <t>石越町北郷字新長下田53</t>
  </si>
  <si>
    <t>H29川面・高石線土地購入</t>
  </si>
  <si>
    <t>2017/06/14</t>
  </si>
  <si>
    <t>南方町新中山</t>
  </si>
  <si>
    <t>1068</t>
  </si>
  <si>
    <t>石越町北郷字新長下田52</t>
  </si>
  <si>
    <t>迫町新田字新茂栗87</t>
  </si>
  <si>
    <t>H29浦小路黄牛線土地購入</t>
  </si>
  <si>
    <t>2017/06/01</t>
  </si>
  <si>
    <t>登米町大字日根牛中山</t>
  </si>
  <si>
    <t>1064</t>
  </si>
  <si>
    <t>石越町北郷字新長下田51</t>
  </si>
  <si>
    <t>H29梅ノ木・平柳線土地購入</t>
  </si>
  <si>
    <t>2018/03/22</t>
  </si>
  <si>
    <t>迫町佐沼字北散田</t>
  </si>
  <si>
    <t>1075</t>
  </si>
  <si>
    <t>石越町北郷字新長下田50</t>
  </si>
  <si>
    <t>R2上の山・黄牛線（移転補償）</t>
  </si>
  <si>
    <t>石越町北郷字新長下田49</t>
  </si>
  <si>
    <t>03:道路台帳</t>
  </si>
  <si>
    <t>R2公民館東線（土地購入）</t>
  </si>
  <si>
    <t>2020/10/02</t>
  </si>
  <si>
    <t>2020</t>
  </si>
  <si>
    <t>石越町北郷字新長下田48</t>
  </si>
  <si>
    <t>H29天神前2号線土地購入</t>
  </si>
  <si>
    <t>2018/01/18</t>
  </si>
  <si>
    <t>迫町佐沼字天神前</t>
  </si>
  <si>
    <t>1076</t>
  </si>
  <si>
    <t>2504:変更</t>
  </si>
  <si>
    <t>H29川戸沼線土地購入</t>
  </si>
  <si>
    <t>2017/11/17</t>
  </si>
  <si>
    <t>迫町北方字大洞</t>
  </si>
  <si>
    <t>1072</t>
  </si>
  <si>
    <t>石越町北郷字新長下田47</t>
  </si>
  <si>
    <t>南方町中須崎46番地ため池</t>
  </si>
  <si>
    <t>南方町中須崎46番地</t>
  </si>
  <si>
    <t>石越町北郷字新長下田46-3</t>
  </si>
  <si>
    <t>迫町新田字寺志田19</t>
  </si>
  <si>
    <t>石越町北郷字新粒庭59</t>
  </si>
  <si>
    <t>R2公民館東線（移転補償）</t>
  </si>
  <si>
    <t>2020/09/25</t>
  </si>
  <si>
    <t>石越町北郷字新粒庭58</t>
  </si>
  <si>
    <t>石越町北郷字新粒庭56</t>
  </si>
  <si>
    <t>H29駒木・赤沼線土地購入</t>
  </si>
  <si>
    <t>2017/12/11</t>
  </si>
  <si>
    <t>迫町佐沼字新駒木袋</t>
  </si>
  <si>
    <t>1074</t>
  </si>
  <si>
    <t>石越町北郷字新粒庭55</t>
  </si>
  <si>
    <t>R2軍場線（移転補償）</t>
  </si>
  <si>
    <t>2021/03/26</t>
  </si>
  <si>
    <t>登米町日野渡軍場</t>
  </si>
  <si>
    <t>石越町北郷字新東35</t>
  </si>
  <si>
    <t>R2辺室山中道線（移転補償）</t>
  </si>
  <si>
    <t>2021/02/25</t>
  </si>
  <si>
    <t>登米町寺池辺室山</t>
  </si>
  <si>
    <t>石越町北郷字新粒庭54</t>
  </si>
  <si>
    <t>米山町桜岡貝待井257番地ため池</t>
  </si>
  <si>
    <t>米山町桜岡貝待井257番地</t>
  </si>
  <si>
    <t>309</t>
  </si>
  <si>
    <t>石越町北郷字新粒庭53</t>
  </si>
  <si>
    <t>H30桜岡善王寺境線（土地購入）</t>
  </si>
  <si>
    <t>2019/03/25</t>
  </si>
  <si>
    <t>2018/03/30</t>
  </si>
  <si>
    <t>米山町字桜岡貝待井</t>
  </si>
  <si>
    <t>1126</t>
  </si>
  <si>
    <t>石越町北郷字新粒庭52</t>
  </si>
  <si>
    <t>迫町新田字大沢1</t>
  </si>
  <si>
    <t>石越町北郷字新粒庭51</t>
  </si>
  <si>
    <t>石越町北郷字新粒庭50</t>
  </si>
  <si>
    <t>石越町北郷字新粒庭49</t>
  </si>
  <si>
    <t>東和町錦織山居沢38番地ため池</t>
  </si>
  <si>
    <t>東和町錦織山居沢38番地</t>
  </si>
  <si>
    <t>石越町北郷字新粒庭48</t>
  </si>
  <si>
    <t>迫町新田字大樟49</t>
  </si>
  <si>
    <t>石越町北郷字新粒庭47</t>
  </si>
  <si>
    <t>R2軍場線（土地購入）</t>
  </si>
  <si>
    <t>2020/12/10</t>
  </si>
  <si>
    <t>石越町北郷字新粒庭46</t>
  </si>
  <si>
    <t>R2辺室山中道線（土地購入）</t>
  </si>
  <si>
    <t>2021/03/01</t>
  </si>
  <si>
    <t>0301:所管換</t>
  </si>
  <si>
    <t>1045</t>
  </si>
  <si>
    <t>石越町北郷字新粒庭45</t>
  </si>
  <si>
    <t>石越町北郷字新粒庭44</t>
  </si>
  <si>
    <t>石越町東郷登戸22番地ため池</t>
  </si>
  <si>
    <t>AsyzAP042120106：登戸上溜池</t>
  </si>
  <si>
    <t>石越町東郷登戸22番地</t>
  </si>
  <si>
    <t>石越町北郷字新粒庭43</t>
  </si>
  <si>
    <t>H29野出来千才線土地購入</t>
  </si>
  <si>
    <t>2018/03/23</t>
  </si>
  <si>
    <t>石越町南郷字前久保</t>
  </si>
  <si>
    <t>1066</t>
  </si>
  <si>
    <t>石越町北郷字新押込44</t>
  </si>
  <si>
    <t>R2支所線（土地購入）</t>
  </si>
  <si>
    <t>2021/02/08</t>
  </si>
  <si>
    <t>迫町新田字山守屋敷211</t>
  </si>
  <si>
    <t>石越町北郷字新押込43</t>
  </si>
  <si>
    <t>迫町新田字大樟18</t>
  </si>
  <si>
    <t>石越町北郷字新東39</t>
  </si>
  <si>
    <t>R2瀬ヶ崎・萩洗線（移転補償）</t>
  </si>
  <si>
    <t>2020/06/02</t>
  </si>
  <si>
    <t>迫町北方字日向前下8</t>
  </si>
  <si>
    <t>石越町北郷字新押込42</t>
  </si>
  <si>
    <t>R2永田・板倉線（土地購入）</t>
  </si>
  <si>
    <t>2021/02/12</t>
  </si>
  <si>
    <t>迫町北方字新永田前</t>
  </si>
  <si>
    <t>1046</t>
  </si>
  <si>
    <t>石越町北郷字新押込41</t>
  </si>
  <si>
    <t>H29沢田3号線土地購入</t>
  </si>
  <si>
    <t>2018/03/26</t>
  </si>
  <si>
    <t>迫町新田字駒林</t>
  </si>
  <si>
    <t>1078</t>
  </si>
  <si>
    <t>石越町北郷字新東38</t>
  </si>
  <si>
    <t>石越町北郷字新押込40</t>
  </si>
  <si>
    <t>H29白鳥1号線土地購入</t>
  </si>
  <si>
    <t>2017/05/17</t>
  </si>
  <si>
    <t>豊里町白鳥89-11</t>
  </si>
  <si>
    <t>1067</t>
  </si>
  <si>
    <t>石越町北郷字新押込39</t>
  </si>
  <si>
    <t>中田町上沼字新東金谷38</t>
  </si>
  <si>
    <t>迫町新田字新舟崎109</t>
  </si>
  <si>
    <t>中田町上沼字新東金谷36</t>
  </si>
  <si>
    <t>R2米袋線（土地購入）</t>
  </si>
  <si>
    <t>2020/11/27</t>
  </si>
  <si>
    <t>南方町米袋</t>
  </si>
  <si>
    <t>H30中沢線（移転補償）</t>
  </si>
  <si>
    <t>2019/03/19</t>
  </si>
  <si>
    <t>迫町北方字舟橋前</t>
  </si>
  <si>
    <t>1113</t>
  </si>
  <si>
    <t>H29駒木1号線土地購入</t>
  </si>
  <si>
    <t>迫町佐沼字駒木袋106</t>
  </si>
  <si>
    <t>1079</t>
  </si>
  <si>
    <t>1047</t>
  </si>
  <si>
    <t>中島（１）溜池</t>
  </si>
  <si>
    <t>AsyzAP迫町新田字駒林</t>
  </si>
  <si>
    <t>324</t>
  </si>
  <si>
    <t>中田町上沼字新東金谷35</t>
  </si>
  <si>
    <t>01_02_04:（１）土地及び建物　普通財産　その他　</t>
  </si>
  <si>
    <t>01:田</t>
  </si>
  <si>
    <t>中田町上沼字新東金谷34</t>
  </si>
  <si>
    <t>R2北大畑3号線（土地購入）</t>
  </si>
  <si>
    <t>2021/03/16</t>
  </si>
  <si>
    <t>南方町大畑</t>
  </si>
  <si>
    <t>中田町上沼字新東金谷33</t>
  </si>
  <si>
    <t>R2北大畑3号線（移転補償）</t>
  </si>
  <si>
    <t>2021/03/15</t>
  </si>
  <si>
    <t>中田町上沼字新東金谷32</t>
  </si>
  <si>
    <t>R2米袋線（移転補償）</t>
  </si>
  <si>
    <t>2020/11/05</t>
  </si>
  <si>
    <t>中田町上沼字新東金谷31</t>
  </si>
  <si>
    <t>中田町上沼字新東金谷30</t>
  </si>
  <si>
    <t>迫町新田字彦道183-1</t>
  </si>
  <si>
    <t>1048</t>
  </si>
  <si>
    <t>H29下道・大柳線土地購入</t>
  </si>
  <si>
    <t>2017/09/19</t>
  </si>
  <si>
    <t>1071</t>
  </si>
  <si>
    <t>中田町上沼字新東金谷29</t>
  </si>
  <si>
    <t>中田町上沼字新東金谷28</t>
  </si>
  <si>
    <t>南方町大上103-1番地ため池番地ため池</t>
  </si>
  <si>
    <t>AsyzAP042120126：滝沢堤</t>
  </si>
  <si>
    <t>南方町大上103-1番地番地</t>
  </si>
  <si>
    <t>中田町上沼字新東金谷27</t>
  </si>
  <si>
    <t>迫町新田字彦道53</t>
  </si>
  <si>
    <t>H29迫・石越地区（きめ細）土地購入</t>
  </si>
  <si>
    <t>迫町新田字狼ノ欠58-2</t>
  </si>
  <si>
    <t>1084</t>
  </si>
  <si>
    <t>中田町上沼字新東金谷26</t>
  </si>
  <si>
    <t>H29新小路・山崎線土地購入</t>
  </si>
  <si>
    <t>東和町米谷字天神峯</t>
  </si>
  <si>
    <t>1077</t>
  </si>
  <si>
    <t>中田町上沼字新東金谷25</t>
  </si>
  <si>
    <t>中田町上沼字中田南126</t>
  </si>
  <si>
    <t>H30中沢線（土地購入）</t>
  </si>
  <si>
    <t>1114</t>
  </si>
  <si>
    <t>南方町横代46-1番地ため池</t>
  </si>
  <si>
    <t>南方町横代46-1番地</t>
  </si>
  <si>
    <t>06:原野</t>
  </si>
  <si>
    <t>1049</t>
  </si>
  <si>
    <t>H29的場2号線土地購入</t>
  </si>
  <si>
    <t>米山町中津山字的場39-4</t>
  </si>
  <si>
    <t>1080</t>
  </si>
  <si>
    <t>中田町上沼字中田南125</t>
  </si>
  <si>
    <t>迫町新田字新板橋1-1</t>
  </si>
  <si>
    <t>中田町上沼字中田南124</t>
  </si>
  <si>
    <t>中田町上沼字中田南123</t>
  </si>
  <si>
    <t>H30穴山・南大畑線（移転補償）</t>
  </si>
  <si>
    <t>2019/03/08</t>
  </si>
  <si>
    <t>伝票：81496-001、002　</t>
  </si>
  <si>
    <t>米山町字桜岡峯前子</t>
  </si>
  <si>
    <t>1090</t>
  </si>
  <si>
    <t>中田町上沼字中田南122</t>
  </si>
  <si>
    <t>中田町上沼字中田南121</t>
  </si>
  <si>
    <t>迫町新田字新蒲西107</t>
  </si>
  <si>
    <t>1050</t>
  </si>
  <si>
    <t>中田町上沼字中田南120</t>
  </si>
  <si>
    <t>中田町上沼字中田南119</t>
  </si>
  <si>
    <t>中田町上沼字中田南118</t>
  </si>
  <si>
    <t>中田町上沼字中田南117</t>
  </si>
  <si>
    <t>H30東表前4号線（移転補償）</t>
  </si>
  <si>
    <t>2019/03/26</t>
  </si>
  <si>
    <t>迫町森字表前</t>
  </si>
  <si>
    <t>1115</t>
  </si>
  <si>
    <t>1051</t>
  </si>
  <si>
    <t>中田町上沼字中田南116</t>
  </si>
  <si>
    <t>中田町上沼字中田南115</t>
  </si>
  <si>
    <t>中田町上沼字中田南114</t>
  </si>
  <si>
    <t>中田町上沼字中田南113</t>
  </si>
  <si>
    <t>1052</t>
  </si>
  <si>
    <t>中田町上沼字中田南112</t>
  </si>
  <si>
    <t>中田町上沼字中田南111</t>
  </si>
  <si>
    <t>迫町新田字新茂栗89</t>
  </si>
  <si>
    <t>道路用地（山林）</t>
  </si>
  <si>
    <t>産業振興課から所管替え　</t>
  </si>
  <si>
    <t>東和町米谷字福平山1-33</t>
  </si>
  <si>
    <t>2000/10/18</t>
  </si>
  <si>
    <t>0750011</t>
  </si>
  <si>
    <t>中田町上沼字中田東70</t>
  </si>
  <si>
    <t>761</t>
  </si>
  <si>
    <t>中田町上沼字中田東69</t>
  </si>
  <si>
    <t>760</t>
  </si>
  <si>
    <t>中田町上沼字中田東68</t>
  </si>
  <si>
    <t>759</t>
  </si>
  <si>
    <t>H30東表前4号線（土地購入）</t>
  </si>
  <si>
    <t>2019/03/28</t>
  </si>
  <si>
    <t>1116</t>
  </si>
  <si>
    <t>1054</t>
  </si>
  <si>
    <t>中田町上沼字中田東67</t>
  </si>
  <si>
    <t>758</t>
  </si>
  <si>
    <t>中田町上沼字中田東66</t>
  </si>
  <si>
    <t>757</t>
  </si>
  <si>
    <t>中田町上沼字中田東65</t>
  </si>
  <si>
    <t>中田町上沼字中田東64</t>
  </si>
  <si>
    <t>755</t>
  </si>
  <si>
    <t>中田町上沼字中田東63</t>
  </si>
  <si>
    <t>754</t>
  </si>
  <si>
    <t>中田町上沼字中田東62</t>
  </si>
  <si>
    <t>753</t>
  </si>
  <si>
    <t>1055</t>
  </si>
  <si>
    <t>中田町上沼字金谷西83</t>
  </si>
  <si>
    <t>752</t>
  </si>
  <si>
    <t>中田町上沼字金谷西82</t>
  </si>
  <si>
    <t>751</t>
  </si>
  <si>
    <t>中田町上沼字金谷西81</t>
  </si>
  <si>
    <t>中田町上沼字金谷西80</t>
  </si>
  <si>
    <t>中田町上沼字金谷西79</t>
  </si>
  <si>
    <t>中田町上沼字金谷西78</t>
  </si>
  <si>
    <t>H30東待井下2号線（移転補償）</t>
  </si>
  <si>
    <t>2018/06/25</t>
  </si>
  <si>
    <t>豊里町東待井下</t>
  </si>
  <si>
    <t>1117</t>
  </si>
  <si>
    <t>1056</t>
  </si>
  <si>
    <t>中田町上沼字金谷西77</t>
  </si>
  <si>
    <t>東和町米谷字沖ノ田87</t>
  </si>
  <si>
    <t>中田町上沼字金谷西76</t>
  </si>
  <si>
    <t>中田町上沼字金谷西75</t>
  </si>
  <si>
    <t>中田町上沼字金谷西74</t>
  </si>
  <si>
    <t>中田町上沼字金谷西73</t>
  </si>
  <si>
    <t>1057</t>
  </si>
  <si>
    <t>中田町石森字中田西89</t>
  </si>
  <si>
    <t>中田町石森字中田西88</t>
  </si>
  <si>
    <t>中田町石森字中田西87</t>
  </si>
  <si>
    <t>中田町石森字中田西86</t>
  </si>
  <si>
    <t>中田町石森字中田西85</t>
  </si>
  <si>
    <t>中田町石森字中田西84</t>
  </si>
  <si>
    <t>中田町石森字中田西83</t>
  </si>
  <si>
    <t>中田町石森字中田西82</t>
  </si>
  <si>
    <t>中田町石森字中田西81</t>
  </si>
  <si>
    <t>H30東待井下2号線（土地購入）</t>
  </si>
  <si>
    <t>2018/09/18</t>
  </si>
  <si>
    <t>1118</t>
  </si>
  <si>
    <t>H30舟越線（土地購入）</t>
  </si>
  <si>
    <t>2019/03/29</t>
  </si>
  <si>
    <t>南方町翌沢</t>
  </si>
  <si>
    <t>1119</t>
  </si>
  <si>
    <t>1058</t>
  </si>
  <si>
    <t>Ｈ29筒場埣７号線（土地購入）</t>
  </si>
  <si>
    <t>2017/09/12</t>
  </si>
  <si>
    <t>2019/03/18</t>
  </si>
  <si>
    <t>定住促進宅地造成事業により土地購入　</t>
  </si>
  <si>
    <t>米山町中津山字筒場埣</t>
  </si>
  <si>
    <t>1129</t>
  </si>
  <si>
    <t>Ｈ29筒場埣６号線（土地購入）</t>
  </si>
  <si>
    <t>2018/03/20</t>
  </si>
  <si>
    <t>1128</t>
  </si>
  <si>
    <t>中田町石森字中田西80</t>
  </si>
  <si>
    <t>中田町石森字中田西79</t>
  </si>
  <si>
    <t>Ｈ29筒場埣８号線（土地購入）</t>
  </si>
  <si>
    <t>1130</t>
  </si>
  <si>
    <t>中田町石森字中田西78</t>
  </si>
  <si>
    <t>中田町石森字中田西77</t>
  </si>
  <si>
    <t>1059</t>
  </si>
  <si>
    <t>道路用地</t>
  </si>
  <si>
    <t>2019/03/15</t>
  </si>
  <si>
    <t>迫町新田字駒林41-2</t>
  </si>
  <si>
    <t>1140</t>
  </si>
  <si>
    <t>中田町石森字中田西76</t>
  </si>
  <si>
    <t>2019/09/02</t>
  </si>
  <si>
    <t>豊里町小口前80-2</t>
  </si>
  <si>
    <t>1146</t>
  </si>
  <si>
    <t>中田町石森字中田西75</t>
  </si>
  <si>
    <t>727</t>
  </si>
  <si>
    <t>中田町石森字中田西74</t>
  </si>
  <si>
    <t>726</t>
  </si>
  <si>
    <t>中田町石森字中田西73</t>
  </si>
  <si>
    <t>725</t>
  </si>
  <si>
    <t>1060</t>
  </si>
  <si>
    <t>2021/03/31</t>
  </si>
  <si>
    <t>中田町石森字前田29</t>
  </si>
  <si>
    <t>中田町石森字中田西72</t>
  </si>
  <si>
    <t>中田町石森字小倉南92</t>
  </si>
  <si>
    <t>723</t>
  </si>
  <si>
    <t>中田町石森字小倉南91</t>
  </si>
  <si>
    <t>722</t>
  </si>
  <si>
    <t>東和町米谷字沖ノ田97</t>
  </si>
  <si>
    <t>中田町石森字小倉南90</t>
  </si>
  <si>
    <t>中田町石森字小倉南89</t>
  </si>
  <si>
    <t>1061</t>
  </si>
  <si>
    <t>東和町米谷字沖ノ田99</t>
  </si>
  <si>
    <t>中田町石森字小倉南88</t>
  </si>
  <si>
    <t>719</t>
  </si>
  <si>
    <t>中田町石森字小倉南87</t>
  </si>
  <si>
    <t>中田町石森字小倉南86</t>
  </si>
  <si>
    <t>中田町石森字小倉南85</t>
  </si>
  <si>
    <t>東和町米谷字沖ノ田107</t>
  </si>
  <si>
    <t>H30的場2号線（移転補償）</t>
  </si>
  <si>
    <t>2019/02/25</t>
  </si>
  <si>
    <t>迫町佐沼字的場</t>
  </si>
  <si>
    <t>1120</t>
  </si>
  <si>
    <t>1062</t>
  </si>
  <si>
    <t>東和町米谷字沖ノ田103</t>
  </si>
  <si>
    <t>東和町米谷字沖ノ田101</t>
  </si>
  <si>
    <t>中田町石森字小倉南84</t>
  </si>
  <si>
    <t>中田町石森字小倉南83</t>
  </si>
  <si>
    <t>中田町石森字小倉南82</t>
  </si>
  <si>
    <t>中田町石森字小倉南81</t>
  </si>
  <si>
    <t>1063</t>
  </si>
  <si>
    <t>中田町石森字小倉南80</t>
  </si>
  <si>
    <t>中田町石森字小倉南79</t>
  </si>
  <si>
    <t>710</t>
  </si>
  <si>
    <t>中田町石森字小倉南78</t>
  </si>
  <si>
    <t>中田町石森字新小倉84</t>
  </si>
  <si>
    <t>中田町石森字新小倉83</t>
  </si>
  <si>
    <t>中田町石森字新小倉82</t>
  </si>
  <si>
    <t>H30的場2号線（土地購入）</t>
  </si>
  <si>
    <t>2019/02/27</t>
  </si>
  <si>
    <t>1121</t>
  </si>
  <si>
    <t>1053</t>
  </si>
  <si>
    <t>中田町石森字新小倉81</t>
  </si>
  <si>
    <t>705</t>
  </si>
  <si>
    <t>中田町石森字新小倉80</t>
  </si>
  <si>
    <t>東和町米谷字沖ノ田105</t>
  </si>
  <si>
    <t>中田町石森字新小倉79</t>
  </si>
  <si>
    <t>中田町石森字新小倉78</t>
  </si>
  <si>
    <t>中田町石森字新小倉77</t>
  </si>
  <si>
    <t>1042</t>
  </si>
  <si>
    <t>中田町石森字新小倉76</t>
  </si>
  <si>
    <t>東和町米谷字沖ノ田113</t>
  </si>
  <si>
    <t>中田町石森字新小倉75</t>
  </si>
  <si>
    <t>中田町石森字新小倉74</t>
  </si>
  <si>
    <t>迫町新田字新茂栗91-1</t>
  </si>
  <si>
    <t>中田町石森字新小倉73</t>
  </si>
  <si>
    <t>中田町石森字新小倉72</t>
  </si>
  <si>
    <t>H30水沢線（移転補償）</t>
  </si>
  <si>
    <t>津山町横山字久保</t>
  </si>
  <si>
    <t>1122</t>
  </si>
  <si>
    <t>1043</t>
  </si>
  <si>
    <t>東和町米谷字沖ノ田109</t>
  </si>
  <si>
    <t>中田町石森字新小倉71</t>
  </si>
  <si>
    <t>中田町石森字新小倉70</t>
  </si>
  <si>
    <t>中田町石森字新小倉69</t>
  </si>
  <si>
    <t>中田町石森字新小倉68</t>
  </si>
  <si>
    <t>迫町新田字新舟崎107</t>
  </si>
  <si>
    <t>中田町石森字新小倉67</t>
  </si>
  <si>
    <t>中田町石森字新小倉66</t>
  </si>
  <si>
    <t>中田町石森字新小倉65</t>
  </si>
  <si>
    <t>中田町石森字新小倉64</t>
  </si>
  <si>
    <t>東和町米谷字沖ノ田111</t>
  </si>
  <si>
    <t>中田町石森字新小倉63</t>
  </si>
  <si>
    <t>中田町石森字新小倉62</t>
  </si>
  <si>
    <t>中田町石森字新小倉61</t>
  </si>
  <si>
    <t>H30水沢線（土地購入）</t>
  </si>
  <si>
    <t>2019/03/20</t>
  </si>
  <si>
    <t>2018/03/29</t>
  </si>
  <si>
    <t>1123</t>
  </si>
  <si>
    <t>中田町石森字新小倉60</t>
  </si>
  <si>
    <t>中田町石森字小倉北50</t>
  </si>
  <si>
    <t>中田町石森字小倉北51</t>
  </si>
  <si>
    <t>中田町石森字小倉北49</t>
  </si>
  <si>
    <t>中田町石森字小倉北48</t>
  </si>
  <si>
    <t>東和町米谷字沖ノ田115</t>
  </si>
  <si>
    <t>H29下在線（物件移転補償費）</t>
  </si>
  <si>
    <t>津山町柳津字茶臼</t>
  </si>
  <si>
    <t>1086</t>
  </si>
  <si>
    <t>中田町石森字小倉北47</t>
  </si>
  <si>
    <t>中田町石森字小倉北46</t>
  </si>
  <si>
    <t>中田町石森字小倉北45</t>
  </si>
  <si>
    <t>中田町石森字小倉北44</t>
  </si>
  <si>
    <t>東和町米谷字楼台71</t>
  </si>
  <si>
    <t>東和町米谷字楼台69</t>
  </si>
  <si>
    <t>中田町石森字小倉北43</t>
  </si>
  <si>
    <t>H30柳津駅前１号線（土地購入）</t>
  </si>
  <si>
    <t>2018/07/10</t>
  </si>
  <si>
    <t>津山町柳津字新形沼96-6</t>
  </si>
  <si>
    <t>1124</t>
  </si>
  <si>
    <t>中田町石森字小倉北42</t>
  </si>
  <si>
    <t>中田町石森字小倉北41</t>
  </si>
  <si>
    <t>中田町石森字小倉北40</t>
  </si>
  <si>
    <t>石越町東郷字北今道28</t>
  </si>
  <si>
    <t>石越町東郷字北今道27</t>
  </si>
  <si>
    <t>石越町東郷字北今道26</t>
  </si>
  <si>
    <t>石越町東郷字北今道25</t>
  </si>
  <si>
    <t>H30穴山・南大畑線（土地購入）</t>
  </si>
  <si>
    <t>2019/03/11</t>
  </si>
  <si>
    <t>伝票：81493-001　</t>
  </si>
  <si>
    <t>1091</t>
  </si>
  <si>
    <t>石越町東郷字北今道24</t>
  </si>
  <si>
    <t>石越町東郷字北今道23</t>
  </si>
  <si>
    <t>石越町東郷字北今道22</t>
  </si>
  <si>
    <t>中田町石森字若林前44</t>
  </si>
  <si>
    <t>中田町石森字若林前43</t>
  </si>
  <si>
    <t>中田町石森字若林前42</t>
  </si>
  <si>
    <t>東和町米谷字楼台73</t>
  </si>
  <si>
    <t>中田町石森字若林前41</t>
  </si>
  <si>
    <t>中田町石森字若林前40</t>
  </si>
  <si>
    <t>東和町米谷字楼台75</t>
  </si>
  <si>
    <t>中田町石森字若林前39</t>
  </si>
  <si>
    <t>中田町石森字若林前38</t>
  </si>
  <si>
    <t>中田町石森字藤崎58</t>
  </si>
  <si>
    <t>中田町石森字藤崎57</t>
  </si>
  <si>
    <t>中田町石森字藤崎56</t>
  </si>
  <si>
    <t>中田町石森字藤崎55</t>
  </si>
  <si>
    <t>中田町石森字藤崎54</t>
  </si>
  <si>
    <t>中田町石森字藤崎53</t>
  </si>
  <si>
    <t>652</t>
  </si>
  <si>
    <t>中田町石森字藤崎52</t>
  </si>
  <si>
    <t>651</t>
  </si>
  <si>
    <t>中田町石森字藤崎51</t>
  </si>
  <si>
    <t>650</t>
  </si>
  <si>
    <t>中田町石森字藤崎50</t>
  </si>
  <si>
    <t>649</t>
  </si>
  <si>
    <t>中田町石森字藤崎49</t>
  </si>
  <si>
    <t>648</t>
  </si>
  <si>
    <t>中田町石森字藤崎48</t>
  </si>
  <si>
    <t>647</t>
  </si>
  <si>
    <t>中田町石森字藤崎47</t>
  </si>
  <si>
    <t>646</t>
  </si>
  <si>
    <t>中田町石森字藤崎46</t>
  </si>
  <si>
    <t>645</t>
  </si>
  <si>
    <t>中田町石森字西長根74</t>
  </si>
  <si>
    <t>644</t>
  </si>
  <si>
    <t>中田町石森字西長根73</t>
  </si>
  <si>
    <t>643</t>
  </si>
  <si>
    <t>中田町石森字西長根72</t>
  </si>
  <si>
    <t>642</t>
  </si>
  <si>
    <t>中田町石森字西長根71</t>
  </si>
  <si>
    <t>641</t>
  </si>
  <si>
    <t>中田町石森字西長根70</t>
  </si>
  <si>
    <t>640</t>
  </si>
  <si>
    <t>中田町石森字西長根69</t>
  </si>
  <si>
    <t>639</t>
  </si>
  <si>
    <t>中田町石森字西長根68</t>
  </si>
  <si>
    <t>638</t>
  </si>
  <si>
    <t>中田町石森字西長根67</t>
  </si>
  <si>
    <t>637</t>
  </si>
  <si>
    <t>中田町石森字西長根66</t>
  </si>
  <si>
    <t>636</t>
  </si>
  <si>
    <t>中田町石森字西長根65</t>
  </si>
  <si>
    <t>635</t>
  </si>
  <si>
    <t>中田町石森字西長根64</t>
  </si>
  <si>
    <t>634</t>
  </si>
  <si>
    <t>迫町新田字新茂栗93-1</t>
  </si>
  <si>
    <t>中田町石森字西長根63</t>
  </si>
  <si>
    <t>633</t>
  </si>
  <si>
    <t>中田町石森字西長根62</t>
  </si>
  <si>
    <t>632</t>
  </si>
  <si>
    <t>中田町石森字西長根61</t>
  </si>
  <si>
    <t>631</t>
  </si>
  <si>
    <t>中田町石森字西長根60</t>
  </si>
  <si>
    <t>630</t>
  </si>
  <si>
    <t>中田町石森字西長根59</t>
  </si>
  <si>
    <t>629</t>
  </si>
  <si>
    <t>H30糠塚線（土地購入）H29繰災害復旧</t>
  </si>
  <si>
    <t>2018/04/20</t>
  </si>
  <si>
    <t>迫町新田字糠塚</t>
  </si>
  <si>
    <t>1131</t>
  </si>
  <si>
    <t>中田町石森字西長根58</t>
  </si>
  <si>
    <t>628</t>
  </si>
  <si>
    <t>中田町石森字西長根57</t>
  </si>
  <si>
    <t>627</t>
  </si>
  <si>
    <t>中田町石森字西長根56</t>
  </si>
  <si>
    <t>626</t>
  </si>
  <si>
    <t>中田町石森字西長根55</t>
  </si>
  <si>
    <t>625</t>
  </si>
  <si>
    <t>中田町石森字北川前66</t>
  </si>
  <si>
    <t>624</t>
  </si>
  <si>
    <t>中田町石森字北川前65</t>
  </si>
  <si>
    <t>623</t>
  </si>
  <si>
    <t>中田町石森字北川前64</t>
  </si>
  <si>
    <t>622</t>
  </si>
  <si>
    <t>中田町石森字北川前63</t>
  </si>
  <si>
    <t>621</t>
  </si>
  <si>
    <t>中田町石森字北川前62</t>
  </si>
  <si>
    <t>620</t>
  </si>
  <si>
    <t>中田町石森字北川前61</t>
  </si>
  <si>
    <t>619</t>
  </si>
  <si>
    <t>中田町石森字北川前60</t>
  </si>
  <si>
    <t>618</t>
  </si>
  <si>
    <t>中田町石森字北川前59</t>
  </si>
  <si>
    <t>617</t>
  </si>
  <si>
    <t>中田町石森字北川前58</t>
  </si>
  <si>
    <t>616</t>
  </si>
  <si>
    <t>2017/09/01</t>
  </si>
  <si>
    <t>中田町石森字北川前57</t>
  </si>
  <si>
    <t>615</t>
  </si>
  <si>
    <t>1040200000:道路課</t>
  </si>
  <si>
    <t>迫町新田字狼ノ欠20-432</t>
  </si>
  <si>
    <t>1601:分割（増）</t>
  </si>
  <si>
    <t>16:学校用地</t>
  </si>
  <si>
    <t>0750010</t>
  </si>
  <si>
    <t>中田町石森字北川前56</t>
  </si>
  <si>
    <t>614</t>
  </si>
  <si>
    <t>中田町石森字北川前55</t>
  </si>
  <si>
    <t>613</t>
  </si>
  <si>
    <t>中田町石森字北川前54</t>
  </si>
  <si>
    <t>612</t>
  </si>
  <si>
    <t>中田町石森字北川前53</t>
  </si>
  <si>
    <t>611</t>
  </si>
  <si>
    <t>中田町石森字北川前52</t>
  </si>
  <si>
    <t>610</t>
  </si>
  <si>
    <t>中田町石森字北川前51</t>
  </si>
  <si>
    <t>609</t>
  </si>
  <si>
    <t>中田町石森字高見前21</t>
  </si>
  <si>
    <t>608</t>
  </si>
  <si>
    <t>中田町石森字高見前20</t>
  </si>
  <si>
    <t>607</t>
  </si>
  <si>
    <t>中田町石森字高見前19</t>
  </si>
  <si>
    <t>606</t>
  </si>
  <si>
    <t>中田町石森字霜田前49</t>
  </si>
  <si>
    <t>605</t>
  </si>
  <si>
    <t>中田町石森字霜田前48</t>
  </si>
  <si>
    <t>604</t>
  </si>
  <si>
    <t>中田町石森字霜田前47</t>
  </si>
  <si>
    <t>603</t>
  </si>
  <si>
    <t>中田町石森字霜田前46</t>
  </si>
  <si>
    <t>602</t>
  </si>
  <si>
    <t>中田町石森字霜田前45</t>
  </si>
  <si>
    <t>601</t>
  </si>
  <si>
    <t>R1日野渡・窪田線（土地購入）</t>
  </si>
  <si>
    <t>2019/07/10</t>
  </si>
  <si>
    <t>2019/02/08</t>
  </si>
  <si>
    <t>中田町浅水字窪田216-2</t>
  </si>
  <si>
    <t>1147</t>
  </si>
  <si>
    <t>中田町石森字霜田前44</t>
  </si>
  <si>
    <t>600</t>
  </si>
  <si>
    <t>石越町北郷字新南55</t>
  </si>
  <si>
    <t>987</t>
  </si>
  <si>
    <t>中田町石森字霜田前43</t>
  </si>
  <si>
    <t>599</t>
  </si>
  <si>
    <t>中田町石森字霜田前42</t>
  </si>
  <si>
    <t>598</t>
  </si>
  <si>
    <t>石越町北郷字新東42</t>
  </si>
  <si>
    <t>中田町石森字霜田前41</t>
  </si>
  <si>
    <t>597</t>
  </si>
  <si>
    <t>中田町石森字霜田前40</t>
  </si>
  <si>
    <t>596</t>
  </si>
  <si>
    <t>中田町石森字霜田前39</t>
  </si>
  <si>
    <t>595</t>
  </si>
  <si>
    <t>中田町石森字脇谷前70</t>
  </si>
  <si>
    <t>594</t>
  </si>
  <si>
    <t>石越町北郷字新東41</t>
  </si>
  <si>
    <t>中田町石森字脇谷前69</t>
  </si>
  <si>
    <t>593</t>
  </si>
  <si>
    <t>中田町石森字脇谷前68</t>
  </si>
  <si>
    <t>592</t>
  </si>
  <si>
    <t>中田町石森字脇谷前67</t>
  </si>
  <si>
    <t>591</t>
  </si>
  <si>
    <t>中田町石森字脇谷前66</t>
  </si>
  <si>
    <t>590</t>
  </si>
  <si>
    <t>中田町石森字脇谷前65</t>
  </si>
  <si>
    <t>589</t>
  </si>
  <si>
    <t>中田町石森字脇谷前64</t>
  </si>
  <si>
    <t>588</t>
  </si>
  <si>
    <t>中田町石森字脇谷前63</t>
  </si>
  <si>
    <t>587</t>
  </si>
  <si>
    <t>中田町石森字脇谷前62</t>
  </si>
  <si>
    <t>586</t>
  </si>
  <si>
    <t>中田町石森字脇谷前61</t>
  </si>
  <si>
    <t>585</t>
  </si>
  <si>
    <t>中田町石森字脇谷前60</t>
  </si>
  <si>
    <t>584</t>
  </si>
  <si>
    <t>津山町横山字南沢上73</t>
  </si>
  <si>
    <t>1025</t>
  </si>
  <si>
    <t>中田町石森字脇谷前59</t>
  </si>
  <si>
    <t>583</t>
  </si>
  <si>
    <t>中田町石森字脇谷前58</t>
  </si>
  <si>
    <t>582</t>
  </si>
  <si>
    <t>中田町石森字脇谷前57</t>
  </si>
  <si>
    <t>581</t>
  </si>
  <si>
    <t>中田町石森字脇谷前56</t>
  </si>
  <si>
    <t>580</t>
  </si>
  <si>
    <t>中田町石森字脇谷前55</t>
  </si>
  <si>
    <t>579</t>
  </si>
  <si>
    <t>中田町石森字脇谷前54</t>
  </si>
  <si>
    <t>578</t>
  </si>
  <si>
    <t>中田町石森字脇谷前53</t>
  </si>
  <si>
    <t>577</t>
  </si>
  <si>
    <t>R1穴山・南大畑線（土地購入）</t>
  </si>
  <si>
    <t>2019/12/10</t>
  </si>
  <si>
    <t>米山町内</t>
  </si>
  <si>
    <t>1149</t>
  </si>
  <si>
    <t>中田町石森字脇谷前52</t>
  </si>
  <si>
    <t>576</t>
  </si>
  <si>
    <t>中田町石森字脇谷前51</t>
  </si>
  <si>
    <t>575</t>
  </si>
  <si>
    <t>中田町石森字脇谷前50</t>
  </si>
  <si>
    <t>574</t>
  </si>
  <si>
    <t>中田町石森字脇谷前49</t>
  </si>
  <si>
    <t>573</t>
  </si>
  <si>
    <t>中田町石森字二木前47</t>
  </si>
  <si>
    <t>572</t>
  </si>
  <si>
    <t>中田町石森字二木前46</t>
  </si>
  <si>
    <t>571</t>
  </si>
  <si>
    <t>中田町石森字二木前45</t>
  </si>
  <si>
    <t>570</t>
  </si>
  <si>
    <t>中田町石森字二木前44</t>
  </si>
  <si>
    <t>569</t>
  </si>
  <si>
    <t>中田町石森字二木前43</t>
  </si>
  <si>
    <t>568</t>
  </si>
  <si>
    <t>中田町石森字二木前42</t>
  </si>
  <si>
    <t>567</t>
  </si>
  <si>
    <t>中田町石森字二木前41</t>
  </si>
  <si>
    <t>566</t>
  </si>
  <si>
    <t>津山町横山字南沢上74</t>
  </si>
  <si>
    <t>1026</t>
  </si>
  <si>
    <t>中田町石森字二木前40</t>
  </si>
  <si>
    <t>565</t>
  </si>
  <si>
    <t>中田町石森字二木前39</t>
  </si>
  <si>
    <t>564</t>
  </si>
  <si>
    <t>中田町石森字桑代前59</t>
  </si>
  <si>
    <t>563</t>
  </si>
  <si>
    <t>中田町石森字桑代前58</t>
  </si>
  <si>
    <t>562</t>
  </si>
  <si>
    <t>中田町石森字桑代前57</t>
  </si>
  <si>
    <t>561</t>
  </si>
  <si>
    <t>中田町石森字桑代前56</t>
  </si>
  <si>
    <t>560</t>
  </si>
  <si>
    <t>中田町石森字桑代前55</t>
  </si>
  <si>
    <t>559</t>
  </si>
  <si>
    <t>中田町石森字桑代前54</t>
  </si>
  <si>
    <t>558</t>
  </si>
  <si>
    <t>中田町石森字桑代前53</t>
  </si>
  <si>
    <t>557</t>
  </si>
  <si>
    <t>中田町石森字桑代前52</t>
  </si>
  <si>
    <t>556</t>
  </si>
  <si>
    <t>石越町東郷字新今道15</t>
  </si>
  <si>
    <t>555</t>
  </si>
  <si>
    <t>石越町東郷字新今道14</t>
  </si>
  <si>
    <t>554</t>
  </si>
  <si>
    <t>石越町東郷字新今道13</t>
  </si>
  <si>
    <t>553</t>
  </si>
  <si>
    <t>石越町東郷字新今道12</t>
  </si>
  <si>
    <t>552</t>
  </si>
  <si>
    <t>石越町東郷字新今道11</t>
  </si>
  <si>
    <t>551</t>
  </si>
  <si>
    <t>中田町石森字南川前92</t>
  </si>
  <si>
    <t>550</t>
  </si>
  <si>
    <t>中田町石森字南川前91</t>
  </si>
  <si>
    <t>549</t>
  </si>
  <si>
    <t>R1大網４号線（土地購入）</t>
  </si>
  <si>
    <t>2020/02/10</t>
  </si>
  <si>
    <t>迫町内</t>
  </si>
  <si>
    <t>1150</t>
  </si>
  <si>
    <t>中田町石森字南川前90</t>
  </si>
  <si>
    <t>548</t>
  </si>
  <si>
    <t>中田町石森字南川前89</t>
  </si>
  <si>
    <t>547</t>
  </si>
  <si>
    <t>中田町石森字南川前88</t>
  </si>
  <si>
    <t>546</t>
  </si>
  <si>
    <t>中田町石森字南川前87</t>
  </si>
  <si>
    <t>545</t>
  </si>
  <si>
    <t>中田町石森字南川前86</t>
  </si>
  <si>
    <t>544</t>
  </si>
  <si>
    <t>石越町北郷字新西33</t>
  </si>
  <si>
    <t>中田町石森字南川前85</t>
  </si>
  <si>
    <t>543</t>
  </si>
  <si>
    <t>中田町石森字南川前84</t>
  </si>
  <si>
    <t>石越町北郷字新東43</t>
  </si>
  <si>
    <t>中田町石森字南川前83</t>
  </si>
  <si>
    <t>541</t>
  </si>
  <si>
    <t>中田町石森字南川前82</t>
  </si>
  <si>
    <t>中田町石森字南川前81</t>
  </si>
  <si>
    <t>中田町石森字南川前80</t>
  </si>
  <si>
    <t>538</t>
  </si>
  <si>
    <t>中田町石森字西田北147</t>
  </si>
  <si>
    <t>中田町石森字西田北146</t>
  </si>
  <si>
    <t>536</t>
  </si>
  <si>
    <t>中田町石森字西田北145</t>
  </si>
  <si>
    <t>535</t>
  </si>
  <si>
    <t>中田町石森字西田北144</t>
  </si>
  <si>
    <t>津山町横山字南沢上76</t>
  </si>
  <si>
    <t>1028</t>
  </si>
  <si>
    <t>中田町石森字西田北143</t>
  </si>
  <si>
    <t>中田町石森字西田北141</t>
  </si>
  <si>
    <t>中田町石森字西田北139</t>
  </si>
  <si>
    <t>中田町石森字西田北138</t>
  </si>
  <si>
    <t>中田町石森字西田北137</t>
  </si>
  <si>
    <t>中田町石森字西田北136</t>
  </si>
  <si>
    <t>中田町石森字西田北135</t>
  </si>
  <si>
    <t>中田町石森字西田南146</t>
  </si>
  <si>
    <t>中田町石森字西田南145</t>
  </si>
  <si>
    <t>525</t>
  </si>
  <si>
    <t>中田町石森字西田南144</t>
  </si>
  <si>
    <t>津山町横山字北沢上71</t>
  </si>
  <si>
    <t>1033</t>
  </si>
  <si>
    <t>中田町石森字西田南143</t>
  </si>
  <si>
    <t>中田町石森字西田南142</t>
  </si>
  <si>
    <t>522</t>
  </si>
  <si>
    <t>中田町石森字西田南141</t>
  </si>
  <si>
    <t>中田町石森字西田南140</t>
  </si>
  <si>
    <t>520</t>
  </si>
  <si>
    <t>中田町石森字西田南139</t>
  </si>
  <si>
    <t>519</t>
  </si>
  <si>
    <t>中田町石森字西田南138</t>
  </si>
  <si>
    <t>中田町石森字西田南136</t>
  </si>
  <si>
    <t>517</t>
  </si>
  <si>
    <t>中田町石森字西田南135</t>
  </si>
  <si>
    <t>516</t>
  </si>
  <si>
    <t>中田町石森字西田南134</t>
  </si>
  <si>
    <t>中田町石森字西田南133</t>
  </si>
  <si>
    <t>津山町横山字南沢上75</t>
  </si>
  <si>
    <t>1027</t>
  </si>
  <si>
    <t>中田町石森字西田南132</t>
  </si>
  <si>
    <t>中田町石森字西田南131</t>
  </si>
  <si>
    <t>中田町石森字西田南129</t>
  </si>
  <si>
    <t>中田町石森字新西細谷121</t>
  </si>
  <si>
    <t>中田町石森字新西細谷120</t>
  </si>
  <si>
    <t>509</t>
  </si>
  <si>
    <t>中田町石森字新西細谷119</t>
  </si>
  <si>
    <t>中田町石森字新西細谷118</t>
  </si>
  <si>
    <t>507</t>
  </si>
  <si>
    <t>中田町石森字新西細谷117</t>
  </si>
  <si>
    <t>506</t>
  </si>
  <si>
    <t>中田町石森字新西細谷116</t>
  </si>
  <si>
    <t>中田町石森字新西細谷115</t>
  </si>
  <si>
    <t>中田町石森字新西細谷114</t>
  </si>
  <si>
    <t>中田町石森字新西細谷112</t>
  </si>
  <si>
    <t>石越町北郷字新丸谷地61</t>
  </si>
  <si>
    <t>中田町石森字新西細谷110</t>
  </si>
  <si>
    <t>中田町石森字新西細谷108</t>
  </si>
  <si>
    <t>中田町石森字新西細谷106</t>
  </si>
  <si>
    <t>中田町石森字新西細谷105</t>
  </si>
  <si>
    <t>中田町石森字新西細谷104</t>
  </si>
  <si>
    <t>中田町石森字新西細谷103</t>
  </si>
  <si>
    <t>中田町石森字新西細谷102</t>
  </si>
  <si>
    <t>中田町石森字新牡丹埣101</t>
  </si>
  <si>
    <t>中田町石森字新牡丹埣99</t>
  </si>
  <si>
    <t>中田町石森字新牡丹埣98</t>
  </si>
  <si>
    <t>中田町石森字新牡丹埣97</t>
  </si>
  <si>
    <t>中田町石森字新牡丹埣96</t>
  </si>
  <si>
    <t>中田町石森字新牡丹埣95</t>
  </si>
  <si>
    <t>中田町石森字新牡丹埣94</t>
  </si>
  <si>
    <t>中田町石森字新牡丹埣93</t>
  </si>
  <si>
    <t>中田町石森字新牡丹埣92</t>
  </si>
  <si>
    <t>津山町横山字南沢中9</t>
  </si>
  <si>
    <t>1030</t>
  </si>
  <si>
    <t>迫町新田字新茂栗83</t>
  </si>
  <si>
    <t>中田町石森字新牡丹埣91</t>
  </si>
  <si>
    <t>迫町新田字新茂栗88</t>
  </si>
  <si>
    <t>中田町石森字新牡丹埣90</t>
  </si>
  <si>
    <t>迫町新田字新茂栗90</t>
  </si>
  <si>
    <t>中田町宝江新井田字南下道53</t>
  </si>
  <si>
    <t>中田町宝江新井田字南下道52</t>
  </si>
  <si>
    <t>津山町横山字南沢上77</t>
  </si>
  <si>
    <t>1029</t>
  </si>
  <si>
    <t>中田町宝江新井田字南下道51</t>
  </si>
  <si>
    <t>中田町宝江新井田字南下道50</t>
  </si>
  <si>
    <t>中田町宝江新井田字南下道49</t>
  </si>
  <si>
    <t>中田町宝江新井田字南下道48</t>
  </si>
  <si>
    <t>H30荒戸沢線（移転補償）</t>
  </si>
  <si>
    <t>2019/02/19</t>
  </si>
  <si>
    <t>1092</t>
  </si>
  <si>
    <t>中田町宝江新井田字南下道47</t>
  </si>
  <si>
    <t>中田町宝江新井田字南下道46</t>
  </si>
  <si>
    <t>中田町宝江新井田字南下道45</t>
  </si>
  <si>
    <t>中田町宝江新井田字南下道43</t>
  </si>
  <si>
    <t>中田町宝江新井田字南下道42</t>
  </si>
  <si>
    <t>中田町宝江新井田字南下道41</t>
  </si>
  <si>
    <t>中田町宝江新井田字東大谷地47</t>
  </si>
  <si>
    <t>中田町宝江新井田字東大谷地46</t>
  </si>
  <si>
    <t>津山町横山字北沢上70</t>
  </si>
  <si>
    <t>1032</t>
  </si>
  <si>
    <t>中田町宝江新井田字東大谷地45</t>
  </si>
  <si>
    <t>中田町宝江新井田字東大谷地44</t>
  </si>
  <si>
    <t>中田町宝江新井田字東大谷地43</t>
  </si>
  <si>
    <t>中田町宝江新井田字東大谷地42</t>
  </si>
  <si>
    <t>中田町宝江新井田字東大谷地41</t>
  </si>
  <si>
    <t>464</t>
  </si>
  <si>
    <t>中田町宝江新井田字東大谷地40</t>
  </si>
  <si>
    <t>中田町宝江新井田字東大谷地39</t>
  </si>
  <si>
    <t>中田町宝江新井田字東大谷地38</t>
  </si>
  <si>
    <t>中田町宝江新井田字西芝尻77</t>
  </si>
  <si>
    <t>中田町宝江新井田字西芝尻76</t>
  </si>
  <si>
    <t>中田町宝江新井田字西芝尻75</t>
  </si>
  <si>
    <t>中田町宝江新井田字西芝尻74</t>
  </si>
  <si>
    <t>457</t>
  </si>
  <si>
    <t>中田町宝江新井田字西芝尻73</t>
  </si>
  <si>
    <t>456</t>
  </si>
  <si>
    <t>中田町宝江新井田字西芝尻72</t>
  </si>
  <si>
    <t>中田町宝江新井田字西芝尻71</t>
  </si>
  <si>
    <t>454</t>
  </si>
  <si>
    <t>中田町宝江新井田字西芝尻70</t>
  </si>
  <si>
    <t>中田町宝江新井田字西芝尻69</t>
  </si>
  <si>
    <t>452</t>
  </si>
  <si>
    <t>中田町宝江新井田字西芝尻68</t>
  </si>
  <si>
    <t>中田町宝江新井田字西芝尻67</t>
  </si>
  <si>
    <t>450</t>
  </si>
  <si>
    <t>中田町宝江新井田字西芝尻66</t>
  </si>
  <si>
    <t>449</t>
  </si>
  <si>
    <t>津山町横山字南沢下6</t>
  </si>
  <si>
    <t>1031</t>
  </si>
  <si>
    <t>中田町宝江新井田字西芝尻65</t>
  </si>
  <si>
    <t>448</t>
  </si>
  <si>
    <t>中田町石森字野元北48</t>
  </si>
  <si>
    <t>447</t>
  </si>
  <si>
    <t>中田町石森字野元北47</t>
  </si>
  <si>
    <t>446</t>
  </si>
  <si>
    <t>中田町石森字野元北46</t>
  </si>
  <si>
    <t>445</t>
  </si>
  <si>
    <t>中田町石森字野元北45</t>
  </si>
  <si>
    <t>444</t>
  </si>
  <si>
    <t>中田町石森字野元北44</t>
  </si>
  <si>
    <t>443</t>
  </si>
  <si>
    <t>中田町石森字野元北43</t>
  </si>
  <si>
    <t>442</t>
  </si>
  <si>
    <t>中田町石森字野元北42</t>
  </si>
  <si>
    <t>441</t>
  </si>
  <si>
    <t>中田町石森字新駒牽北37</t>
  </si>
  <si>
    <t>440</t>
  </si>
  <si>
    <t>中田町石森字新駒牽北36</t>
  </si>
  <si>
    <t>439</t>
  </si>
  <si>
    <t>中田町石森字新駒牽北35</t>
  </si>
  <si>
    <t>438</t>
  </si>
  <si>
    <t>中田町石森字新駒牽北34</t>
  </si>
  <si>
    <t>437</t>
  </si>
  <si>
    <t>中田町石森字新駒牽北33</t>
  </si>
  <si>
    <t>中田町石森字寺浦43</t>
  </si>
  <si>
    <t>中田町石森字寺浦42</t>
  </si>
  <si>
    <t>中田町石森字寺浦41</t>
  </si>
  <si>
    <t>津山町横山字北沢上72</t>
  </si>
  <si>
    <t>1034</t>
  </si>
  <si>
    <t>中田町石森字寺浦40</t>
  </si>
  <si>
    <t>中田町石森字寺浦39</t>
  </si>
  <si>
    <t>中田町石森字寺浦38</t>
  </si>
  <si>
    <t>中田町石森字寺浦37</t>
  </si>
  <si>
    <t>中田町石森字寺浦36</t>
  </si>
  <si>
    <t>中田町石森字寺浦35</t>
  </si>
  <si>
    <t>中田町石森字寺浦33</t>
  </si>
  <si>
    <t>中田町石森字寺浦32</t>
  </si>
  <si>
    <t>中田町石森字小塚南45</t>
  </si>
  <si>
    <t>423</t>
  </si>
  <si>
    <t>中田町石森字小塚南44</t>
  </si>
  <si>
    <t>422</t>
  </si>
  <si>
    <t>津山町横山字北沢下2</t>
  </si>
  <si>
    <t>1041</t>
  </si>
  <si>
    <t>中田町石森字小塚南43</t>
  </si>
  <si>
    <t>421</t>
  </si>
  <si>
    <t>中田町石森字小塚南42</t>
  </si>
  <si>
    <t>中田町石森字小塚南41</t>
  </si>
  <si>
    <t>中田町石森字小塚南40</t>
  </si>
  <si>
    <t>中田町石森字小塚南39</t>
  </si>
  <si>
    <t>中田町石森字小塚南38</t>
  </si>
  <si>
    <t>津山町横山字高谷地45</t>
  </si>
  <si>
    <t>中田町石森字小塚南37</t>
  </si>
  <si>
    <t>415</t>
  </si>
  <si>
    <t>中田町石森字東蓬田48</t>
  </si>
  <si>
    <t>414</t>
  </si>
  <si>
    <t>中田町石森字東蓬田47</t>
  </si>
  <si>
    <t>中田町石森字東蓬田46</t>
  </si>
  <si>
    <t>412</t>
  </si>
  <si>
    <t>中田町石森字東蓬田45</t>
  </si>
  <si>
    <t>中田町石森字東蓬田44</t>
  </si>
  <si>
    <t>中田町石森字東蓬田43</t>
  </si>
  <si>
    <t>409</t>
  </si>
  <si>
    <t>中田町石森字東蓬田42</t>
  </si>
  <si>
    <t>408</t>
  </si>
  <si>
    <t>津山町横山字北沢上74</t>
  </si>
  <si>
    <t>1036</t>
  </si>
  <si>
    <t>中田町上沼字北新田31</t>
  </si>
  <si>
    <t>407</t>
  </si>
  <si>
    <t>中田町上沼字北新田30</t>
  </si>
  <si>
    <t>406</t>
  </si>
  <si>
    <t>中田町上沼字北新田29</t>
  </si>
  <si>
    <t>405</t>
  </si>
  <si>
    <t>中田町上沼字北新田28</t>
  </si>
  <si>
    <t>404</t>
  </si>
  <si>
    <t>津山町横山字北沢上73</t>
  </si>
  <si>
    <t>1035</t>
  </si>
  <si>
    <t>中田町上沼字北新田27</t>
  </si>
  <si>
    <t>403</t>
  </si>
  <si>
    <t>中田町上沼字北新田26</t>
  </si>
  <si>
    <t>402</t>
  </si>
  <si>
    <t>中田町上沼字北新田25</t>
  </si>
  <si>
    <t>401</t>
  </si>
  <si>
    <t>中田町上沼字新南要害浦72</t>
  </si>
  <si>
    <t>400</t>
  </si>
  <si>
    <t>石越町北郷字新西30</t>
  </si>
  <si>
    <t>中田町上沼字新南要害浦71</t>
  </si>
  <si>
    <t>399</t>
  </si>
  <si>
    <t>中田町上沼字新南要害浦70</t>
  </si>
  <si>
    <t>398</t>
  </si>
  <si>
    <t>迫町新田字松原東88</t>
  </si>
  <si>
    <t>中田町上沼字新南要害浦69</t>
  </si>
  <si>
    <t>397</t>
  </si>
  <si>
    <t>中田町上沼字新南要害浦68</t>
  </si>
  <si>
    <t>396</t>
  </si>
  <si>
    <t>中田町上沼字新南要害浦67</t>
  </si>
  <si>
    <t>395</t>
  </si>
  <si>
    <t>中田町上沼字新南要害浦66</t>
  </si>
  <si>
    <t>394</t>
  </si>
  <si>
    <t>中田町上沼字新南要害浦65</t>
  </si>
  <si>
    <t>393</t>
  </si>
  <si>
    <t>中田町上沼字新南要害浦64</t>
  </si>
  <si>
    <t>392</t>
  </si>
  <si>
    <t>中田町上沼字新南要害浦63</t>
  </si>
  <si>
    <t>391</t>
  </si>
  <si>
    <t>中田町上沼字新南要害浦62</t>
  </si>
  <si>
    <t>390</t>
  </si>
  <si>
    <t>中田町上沼字新南要害浦61</t>
  </si>
  <si>
    <t>389</t>
  </si>
  <si>
    <t>中田町上沼字新南要害浦60</t>
  </si>
  <si>
    <t>388</t>
  </si>
  <si>
    <t>石越町北郷字新西29</t>
  </si>
  <si>
    <t>中田町上沼字新北要害浦66</t>
  </si>
  <si>
    <t>387</t>
  </si>
  <si>
    <t>中田町上沼字新北要害浦65</t>
  </si>
  <si>
    <t>386</t>
  </si>
  <si>
    <t>中田町上沼字新北要害浦64</t>
  </si>
  <si>
    <t>385</t>
  </si>
  <si>
    <t>中田町上沼字新北要害浦63</t>
  </si>
  <si>
    <t>384</t>
  </si>
  <si>
    <t>中田町上沼字新北要害浦62</t>
  </si>
  <si>
    <t>383</t>
  </si>
  <si>
    <t>中田町上沼字新北要害浦61</t>
  </si>
  <si>
    <t>382</t>
  </si>
  <si>
    <t>中田町上沼字新北要害浦60</t>
  </si>
  <si>
    <t>381</t>
  </si>
  <si>
    <t>中田町上沼字新北要害浦59</t>
  </si>
  <si>
    <t>380</t>
  </si>
  <si>
    <t>中田町上沼字新北要害浦58</t>
  </si>
  <si>
    <t>379</t>
  </si>
  <si>
    <t>中田町上沼字新北要害浦57</t>
  </si>
  <si>
    <t>378</t>
  </si>
  <si>
    <t>中田町上沼字新北要害浦56</t>
  </si>
  <si>
    <t>377</t>
  </si>
  <si>
    <t>中田町上沼字新北要害浦55</t>
  </si>
  <si>
    <t>376</t>
  </si>
  <si>
    <t>中田町上沼字新北要害浦54</t>
  </si>
  <si>
    <t>375</t>
  </si>
  <si>
    <t>中田町上沼字新北要害浦53</t>
  </si>
  <si>
    <t>374</t>
  </si>
  <si>
    <t>津山町横山字北沢上76</t>
  </si>
  <si>
    <t>1038</t>
  </si>
  <si>
    <t>中田町上沼字新北要害浦52</t>
  </si>
  <si>
    <t>373</t>
  </si>
  <si>
    <t>中田町上沼字新北要害浦51</t>
  </si>
  <si>
    <t>372</t>
  </si>
  <si>
    <t>石越町北郷字新西32</t>
  </si>
  <si>
    <t>中田町上沼字新北要害浦50</t>
  </si>
  <si>
    <t>371</t>
  </si>
  <si>
    <t>中田町上沼字新八幡浦50</t>
  </si>
  <si>
    <t>370</t>
  </si>
  <si>
    <t>中田町上沼字新八幡浦49</t>
  </si>
  <si>
    <t>369</t>
  </si>
  <si>
    <t>中田町上沼字新八幡浦48</t>
  </si>
  <si>
    <t>368</t>
  </si>
  <si>
    <t>石越町北郷字新西31</t>
  </si>
  <si>
    <t>中田町上沼字新八幡浦47</t>
  </si>
  <si>
    <t>367</t>
  </si>
  <si>
    <t>中田町上沼字新八幡浦46</t>
  </si>
  <si>
    <t>366</t>
  </si>
  <si>
    <t>中田町上沼字新八幡浦45</t>
  </si>
  <si>
    <t>365</t>
  </si>
  <si>
    <t>中田町上沼字新八幡浦44</t>
  </si>
  <si>
    <t>364</t>
  </si>
  <si>
    <t>中田町上沼字新八幡浦43</t>
  </si>
  <si>
    <t>363</t>
  </si>
  <si>
    <t>中田町上沼字新八幡浦42</t>
  </si>
  <si>
    <t>362</t>
  </si>
  <si>
    <t>中田町上沼字新八幡浦41</t>
  </si>
  <si>
    <t>361</t>
  </si>
  <si>
    <t>中田町上沼字新八幡浦40</t>
  </si>
  <si>
    <t>360</t>
  </si>
  <si>
    <t>中田町上沼字揚地南22</t>
  </si>
  <si>
    <t>359</t>
  </si>
  <si>
    <t>中田町上沼字揚地南21</t>
  </si>
  <si>
    <t>358</t>
  </si>
  <si>
    <t>中田町上沼字揚地南20</t>
  </si>
  <si>
    <t>357</t>
  </si>
  <si>
    <t>中田町上沼字揚地南19</t>
  </si>
  <si>
    <t>356</t>
  </si>
  <si>
    <t>石越町北郷字新丸谷地58</t>
  </si>
  <si>
    <t>中田町上沼字揚地南18</t>
  </si>
  <si>
    <t>355</t>
  </si>
  <si>
    <t>中田町上沼字新大柳25</t>
  </si>
  <si>
    <t>354</t>
  </si>
  <si>
    <t>中田町上沼字新大柳24</t>
  </si>
  <si>
    <t>353</t>
  </si>
  <si>
    <t>中田町上沼字新大柳23</t>
  </si>
  <si>
    <t>352</t>
  </si>
  <si>
    <t>津山町横山字北沢上75</t>
  </si>
  <si>
    <t>1037</t>
  </si>
  <si>
    <t>中田町上沼字新大柳22</t>
  </si>
  <si>
    <t>351</t>
  </si>
  <si>
    <t>中田町上沼字新大柳21-3</t>
  </si>
  <si>
    <t>350</t>
  </si>
  <si>
    <t>中田町上沼字新大柳21-2</t>
  </si>
  <si>
    <t>349</t>
  </si>
  <si>
    <t>中田町上沼字新大柳21-1</t>
  </si>
  <si>
    <t>348</t>
  </si>
  <si>
    <t>中田町上沼字新大柳20</t>
  </si>
  <si>
    <t>347</t>
  </si>
  <si>
    <t>中田町上沼字新御蔵39</t>
  </si>
  <si>
    <t>346</t>
  </si>
  <si>
    <t>中田町上沼字新御蔵38</t>
  </si>
  <si>
    <t>345</t>
  </si>
  <si>
    <t>中田町上沼字新御蔵37</t>
  </si>
  <si>
    <t>344</t>
  </si>
  <si>
    <t>中田町上沼字新御蔵36</t>
  </si>
  <si>
    <t>343</t>
  </si>
  <si>
    <t>中田町浅水字曲袋南88</t>
  </si>
  <si>
    <t>342</t>
  </si>
  <si>
    <t>中田町浅水字曲袋南84</t>
  </si>
  <si>
    <t>341</t>
  </si>
  <si>
    <t>中田町浅水字曲袋南85</t>
  </si>
  <si>
    <t>340</t>
  </si>
  <si>
    <t>中田町浅水字曲袋南83</t>
  </si>
  <si>
    <t>339</t>
  </si>
  <si>
    <t>中田町浅水字曲袋南89</t>
  </si>
  <si>
    <t>338</t>
  </si>
  <si>
    <t>中田町浅水字曲袋南86</t>
  </si>
  <si>
    <t>337</t>
  </si>
  <si>
    <t>中田町浅水字曲袋北93</t>
  </si>
  <si>
    <t>336</t>
  </si>
  <si>
    <t>中田町浅水字曲袋南81</t>
  </si>
  <si>
    <t>335</t>
  </si>
  <si>
    <t>登米町大字日根牛新峯畑103</t>
  </si>
  <si>
    <t>334</t>
  </si>
  <si>
    <t>登米町大字日根牛新峯畑97</t>
  </si>
  <si>
    <t>333</t>
  </si>
  <si>
    <t>登米町大字日根牛新五郎峯127</t>
  </si>
  <si>
    <t>332</t>
  </si>
  <si>
    <t>登米町大字日根牛新五郎峯104</t>
  </si>
  <si>
    <t>331</t>
  </si>
  <si>
    <t>登米町大字日根牛新五郎峯103</t>
  </si>
  <si>
    <t>330</t>
  </si>
  <si>
    <t>登米町大字日根牛新五郎峯99</t>
  </si>
  <si>
    <t>329</t>
  </si>
  <si>
    <t>登米町大字日根牛新五郎峯96</t>
  </si>
  <si>
    <t>328</t>
  </si>
  <si>
    <t>津山町横山字北沢上78</t>
  </si>
  <si>
    <t>1040</t>
  </si>
  <si>
    <t>登米町大字日根牛新五郎峯90</t>
  </si>
  <si>
    <t>327</t>
  </si>
  <si>
    <t>登米町大字日根牛新五郎峯89</t>
  </si>
  <si>
    <t>326</t>
  </si>
  <si>
    <t>登米町大字日根牛新五郎峯87</t>
  </si>
  <si>
    <t>325</t>
  </si>
  <si>
    <t>登米町大字日根牛新北沢44</t>
  </si>
  <si>
    <t>登米町大字日根牛新北沢43</t>
  </si>
  <si>
    <t>323</t>
  </si>
  <si>
    <t>登米町大字日根牛新峯畑114</t>
  </si>
  <si>
    <t>322</t>
  </si>
  <si>
    <t>登米町大字日根牛新峯畑115</t>
  </si>
  <si>
    <t>東和町米谷字沖ノ田94</t>
  </si>
  <si>
    <t>登米町大字日根牛新峯畑109</t>
  </si>
  <si>
    <t>320</t>
  </si>
  <si>
    <t>東和町米谷字沖ノ田96</t>
  </si>
  <si>
    <t>津山町横山字北沢上77</t>
  </si>
  <si>
    <t>1039</t>
  </si>
  <si>
    <t>東和町米谷字沖ノ田98</t>
  </si>
  <si>
    <t>登米町大字日根牛新峯畑92</t>
  </si>
  <si>
    <t>319</t>
  </si>
  <si>
    <t>東和町米谷字沖ノ田100</t>
  </si>
  <si>
    <t>登米町大字日根牛新峯畑93</t>
  </si>
  <si>
    <t>318</t>
  </si>
  <si>
    <t>東和町米谷字沖ノ田102</t>
  </si>
  <si>
    <t>登米町大字日根牛新峯畑94</t>
  </si>
  <si>
    <t>東和町米谷字沖ノ田104</t>
  </si>
  <si>
    <t>登米町大字日根牛新峯畑95</t>
  </si>
  <si>
    <t>東和町米谷字沖ノ田106</t>
  </si>
  <si>
    <t>登米町大字日根牛新峯畑101</t>
  </si>
  <si>
    <t>東和町米谷字沖ノ田108</t>
  </si>
  <si>
    <t>登米町大字日根牛新峯畑91</t>
  </si>
  <si>
    <t>東和町米谷字沖ノ田110</t>
  </si>
  <si>
    <t>中田町上沼字新東金谷37</t>
  </si>
  <si>
    <t>東和町米谷字沖ノ田112</t>
  </si>
  <si>
    <t>登米町大字日根牛新峯畑102</t>
  </si>
  <si>
    <t>東和町米谷字沖ノ田114</t>
  </si>
  <si>
    <t>235</t>
  </si>
  <si>
    <t>東和町米谷字楼台68</t>
  </si>
  <si>
    <t>東和町米谷字楼台70</t>
  </si>
  <si>
    <t>東和町米谷字楼台72</t>
  </si>
  <si>
    <t>登米町大字日根牛新峯畑90</t>
  </si>
  <si>
    <t>312</t>
  </si>
  <si>
    <t>東和町米谷字楼台74</t>
  </si>
  <si>
    <t>迫町新田字新舟崎84</t>
  </si>
  <si>
    <t>東和町米谷字楼台76</t>
  </si>
  <si>
    <t>東和町米谷字楼台77</t>
  </si>
  <si>
    <t>登米町大字日根牛新峯畑96</t>
  </si>
  <si>
    <t>登米町大字日根牛新峯畑99</t>
  </si>
  <si>
    <t>登米町大字日根牛新峯畑98</t>
  </si>
  <si>
    <t>登米町大字日根牛新峯畑104</t>
  </si>
  <si>
    <t>登米町大字日根牛新峯畑100</t>
  </si>
  <si>
    <t>307</t>
  </si>
  <si>
    <t>登米町大字日根牛新五郎峯132</t>
  </si>
  <si>
    <t>登米町大字日根牛新五郎峯129</t>
  </si>
  <si>
    <t>登米町大字日根牛新五郎峯113</t>
  </si>
  <si>
    <t>登米町大字日根牛新五郎峯126</t>
  </si>
  <si>
    <t>登米町大字日根牛新五郎峯123</t>
  </si>
  <si>
    <t>登米町大字日根牛新五郎峯128</t>
  </si>
  <si>
    <t>登米町大字日根牛新五郎峯93</t>
  </si>
  <si>
    <t>登米町大字日根牛新五郎峯102</t>
  </si>
  <si>
    <t>登米町大字日根牛新五郎峯101</t>
  </si>
  <si>
    <t>登米町大字日根牛新五郎峯122</t>
  </si>
  <si>
    <t>登米町大字日根牛新五郎峯100</t>
  </si>
  <si>
    <t>登米町大字日根牛新五郎峯125</t>
  </si>
  <si>
    <t>登米町大字日根牛新五郎峯95</t>
  </si>
  <si>
    <t>登米町大字日根牛新五郎峯94</t>
  </si>
  <si>
    <t>登米町大字日根牛新五郎峯85</t>
  </si>
  <si>
    <t>登米町大字日根牛新五郎峯97</t>
  </si>
  <si>
    <t>登米町大字日根牛新五郎峯86</t>
  </si>
  <si>
    <t>登米町大字日根牛新五郎峯98</t>
  </si>
  <si>
    <t>登米町大字日根牛新五郎峯88</t>
  </si>
  <si>
    <t>288</t>
  </si>
  <si>
    <t>登米町大字日根牛新五郎峯91</t>
  </si>
  <si>
    <t>登米町大字日根牛新五郎峯114</t>
  </si>
  <si>
    <t>迫町新田字新舟崎85</t>
  </si>
  <si>
    <t>登米町大字日根牛新五郎峯115</t>
  </si>
  <si>
    <t>登米町大字日根牛新五郎峯105</t>
  </si>
  <si>
    <t>284</t>
  </si>
  <si>
    <t>登米町大字日根牛新五郎峯92</t>
  </si>
  <si>
    <t>登米町大字日根牛新中田57</t>
  </si>
  <si>
    <t>登米町大字日根牛新中田58</t>
  </si>
  <si>
    <t>登米町大字日根牛新中田59</t>
  </si>
  <si>
    <t>迫町新田字新舟崎86</t>
  </si>
  <si>
    <t>登米町大字日根牛新中田60</t>
  </si>
  <si>
    <t>登米町大字日根牛新中田49</t>
  </si>
  <si>
    <t>登米町大字日根牛新中田48</t>
  </si>
  <si>
    <t>登米町大字日根牛新中田47</t>
  </si>
  <si>
    <t>登米町大字日根牛新中田46</t>
  </si>
  <si>
    <t>登米町大字日根牛新中田45</t>
  </si>
  <si>
    <t>登米町大字日根牛新中田44</t>
  </si>
  <si>
    <t>登米町大字日根牛新中田50</t>
  </si>
  <si>
    <t>石越町北郷字新西35</t>
  </si>
  <si>
    <t>登米町大字日根牛新北沢49</t>
  </si>
  <si>
    <t>登米町大字日根牛新北沢47</t>
  </si>
  <si>
    <t>登米町大字日根牛新北沢38</t>
  </si>
  <si>
    <t>登米町大字日根牛新北沢39</t>
  </si>
  <si>
    <t>登米町大字日根牛新北沢45</t>
  </si>
  <si>
    <t>登米町大字日根牛新北沢40</t>
  </si>
  <si>
    <t>登米町大字日根牛新北沢41</t>
  </si>
  <si>
    <t>登米町大字日根牛新北沢42</t>
  </si>
  <si>
    <t>264</t>
  </si>
  <si>
    <t>東和町米谷字楼台94</t>
  </si>
  <si>
    <t>東和町米谷字楼台93</t>
  </si>
  <si>
    <t>迫町新田字新舟崎87</t>
  </si>
  <si>
    <t>東和町米谷字楼台92</t>
  </si>
  <si>
    <t>東和町米谷字楼台91</t>
  </si>
  <si>
    <t>東和町米谷字楼台90</t>
  </si>
  <si>
    <t>東和町米谷字楼台89</t>
  </si>
  <si>
    <t>東和町米谷字楼台88</t>
  </si>
  <si>
    <t>東和町米谷字楼台87</t>
  </si>
  <si>
    <t>東和町米谷字楼台86</t>
  </si>
  <si>
    <t>東和町米谷字楼台85</t>
  </si>
  <si>
    <t>東和町米谷字楼台84</t>
  </si>
  <si>
    <t>東和町米谷字楼台83</t>
  </si>
  <si>
    <t>東和町米谷字楼台82</t>
  </si>
  <si>
    <t>東和町米谷字楼台81</t>
  </si>
  <si>
    <t>東和町米谷字楼台80</t>
  </si>
  <si>
    <t>東和町米谷字楼台79</t>
  </si>
  <si>
    <t>東和町米谷字楼台78</t>
  </si>
  <si>
    <t>迫町新田字新舟崎106</t>
  </si>
  <si>
    <t>H30荒戸沢線（土地購入）</t>
  </si>
  <si>
    <t>1093</t>
  </si>
  <si>
    <t>石越町北郷字新傾城渕56</t>
  </si>
  <si>
    <t>中田町宝江新井田字南下道44</t>
  </si>
  <si>
    <t>石越町北郷字新傾城渕63</t>
  </si>
  <si>
    <t>東和町米谷字沖ノ田95</t>
  </si>
  <si>
    <t>東和町米谷字沖ノ田93</t>
  </si>
  <si>
    <t>東和町米谷字沖ノ田92</t>
  </si>
  <si>
    <t>東和町米谷字沖ノ田91</t>
  </si>
  <si>
    <t>東和町米谷字沖ノ田90</t>
  </si>
  <si>
    <t>東和町米谷字沖ノ田89</t>
  </si>
  <si>
    <t>東和町米谷字沖ノ田88</t>
  </si>
  <si>
    <t>東和町米谷字沖ノ田86</t>
  </si>
  <si>
    <t>東和町米谷字沖ノ田85</t>
  </si>
  <si>
    <t>東和町米谷字沖ノ田84</t>
  </si>
  <si>
    <t>東和町米谷字沖ノ田83</t>
  </si>
  <si>
    <t>東和町米谷字沖ノ田82</t>
  </si>
  <si>
    <t>東和町米谷字沖ノ田81</t>
  </si>
  <si>
    <t>東和町米谷字沖ノ田80</t>
  </si>
  <si>
    <t>東和町米谷字沖ノ田79</t>
  </si>
  <si>
    <t>東和町米谷字沖ノ田78</t>
  </si>
  <si>
    <t>東和町米谷字沖ノ田77</t>
  </si>
  <si>
    <t>東和町米谷字沖ノ田76</t>
  </si>
  <si>
    <t>東和町米谷字沖ノ田75</t>
  </si>
  <si>
    <t>石越町北郷字新傾城渕57</t>
  </si>
  <si>
    <t>東和町米谷字沖ノ田74</t>
  </si>
  <si>
    <t>東和町米谷字沖ノ田73</t>
  </si>
  <si>
    <t>東和町錦織字新二良根44</t>
  </si>
  <si>
    <t>東和町錦織字新二良根43</t>
  </si>
  <si>
    <t>東和町錦織字新二良根42</t>
  </si>
  <si>
    <t>東和町錦織字新二良根41</t>
  </si>
  <si>
    <t>東和町錦織字新二良根40</t>
  </si>
  <si>
    <t>東和町錦織字新二良根38</t>
  </si>
  <si>
    <t>東和町錦織字新二良根37</t>
  </si>
  <si>
    <t>東和町錦織字新二良根39</t>
  </si>
  <si>
    <t>東和町錦織字新二良根29</t>
  </si>
  <si>
    <t>185</t>
  </si>
  <si>
    <t>東和町錦織字新川端39</t>
  </si>
  <si>
    <t>迫町新田字新茂栗74</t>
  </si>
  <si>
    <t>東和町錦織字新川端38</t>
  </si>
  <si>
    <t>東和町錦織字新川端37</t>
  </si>
  <si>
    <t>182</t>
  </si>
  <si>
    <t>東和町錦織字新川端36</t>
  </si>
  <si>
    <t>東和町錦織字新川端35</t>
  </si>
  <si>
    <t>石越町北郷字新橋向77</t>
  </si>
  <si>
    <t>東和町米谷字中渡戸241</t>
  </si>
  <si>
    <t>東和町米谷字中渡戸240</t>
  </si>
  <si>
    <t>東和町米谷字中渡戸239</t>
  </si>
  <si>
    <t>東和町米谷字中渡戸238</t>
  </si>
  <si>
    <t>東和町米谷字中渡戸237</t>
  </si>
  <si>
    <t>東和町米谷字中渡戸236</t>
  </si>
  <si>
    <t>174</t>
  </si>
  <si>
    <t>東和町米谷字中渡戸235</t>
  </si>
  <si>
    <t>東和町米谷字中渡戸234</t>
  </si>
  <si>
    <t>東和町米谷字新中渡戸26</t>
  </si>
  <si>
    <t>東和町米谷字新中渡戸25</t>
  </si>
  <si>
    <t>東和町米谷字新中渡戸24</t>
  </si>
  <si>
    <t>169</t>
  </si>
  <si>
    <t>東和町米谷字新中渡戸23</t>
  </si>
  <si>
    <t>東和町米谷字新中渡戸22</t>
  </si>
  <si>
    <t>東和町米谷字新中渡戸21</t>
  </si>
  <si>
    <t>東和町米谷字新中渡戸20</t>
  </si>
  <si>
    <t>東和町米谷字新中渡戸19</t>
  </si>
  <si>
    <t>164</t>
  </si>
  <si>
    <t>津山町横山字高谷地44</t>
  </si>
  <si>
    <t>東和町米谷字新吉田28</t>
  </si>
  <si>
    <t>石越町北郷字新西34</t>
  </si>
  <si>
    <t>977</t>
  </si>
  <si>
    <t>東和町米谷字新吉田26</t>
  </si>
  <si>
    <t>東和町米谷字新吉田23</t>
  </si>
  <si>
    <t>東和町米谷字新吉田22</t>
  </si>
  <si>
    <t>東和町錦織字嵯峨立22</t>
  </si>
  <si>
    <t>東和町錦織字嵯峨立21</t>
  </si>
  <si>
    <t>東和町錦織字嵯峨立20</t>
  </si>
  <si>
    <t>東和町錦織字嵯峨立19</t>
  </si>
  <si>
    <t>東和町錦織字嵯峨立18</t>
  </si>
  <si>
    <t>東和町錦織字嵯峨立17</t>
  </si>
  <si>
    <t>153</t>
  </si>
  <si>
    <t>東和町錦織字嵯峨立16</t>
  </si>
  <si>
    <t>東和町米川字新寺前26</t>
  </si>
  <si>
    <t>東和町米川字新寺前25</t>
  </si>
  <si>
    <t>1035500000:地域ビジネス支援課</t>
  </si>
  <si>
    <t>東和町米川字新寺前24</t>
  </si>
  <si>
    <t>東和町米川字新寺前23</t>
  </si>
  <si>
    <t>東和町米川字新寺前22</t>
  </si>
  <si>
    <t>東和町米川字新寺前21</t>
  </si>
  <si>
    <t>東和町米川字新青木87</t>
  </si>
  <si>
    <t>東和町米川字新青木86</t>
  </si>
  <si>
    <t>144</t>
  </si>
  <si>
    <t>東和町米川字新青木85</t>
  </si>
  <si>
    <t>東和町米川字新青木83</t>
  </si>
  <si>
    <t>東和町米川字新青木82</t>
  </si>
  <si>
    <t>東和町米川字新青木81</t>
  </si>
  <si>
    <t>東和町米川字新青木80</t>
  </si>
  <si>
    <t>東和町米川字新青木79</t>
  </si>
  <si>
    <t>迫町新田字新茂栗75</t>
  </si>
  <si>
    <t>1975/08/21</t>
  </si>
  <si>
    <t>東和町米川字新青木78</t>
  </si>
  <si>
    <t>東和町米川字新青木77</t>
  </si>
  <si>
    <t>東和町米川字新青木76</t>
  </si>
  <si>
    <t>135</t>
  </si>
  <si>
    <t>東和町米川字新青木75</t>
  </si>
  <si>
    <t>東和町米川字新青木74</t>
  </si>
  <si>
    <t>東和町米川字新青木73</t>
  </si>
  <si>
    <t>東和町米川字新青木72</t>
  </si>
  <si>
    <t>東和町米川字新青木71</t>
  </si>
  <si>
    <t>迫町新田字松原東87</t>
  </si>
  <si>
    <t>迫町新田字松原東82</t>
  </si>
  <si>
    <t>迫町新田字松原東80</t>
  </si>
  <si>
    <t>迫町新田字松原東79</t>
  </si>
  <si>
    <t>迫町新田字松原東73</t>
  </si>
  <si>
    <t>迫町新田字松原東72</t>
  </si>
  <si>
    <t>迫町新田字松原東70</t>
  </si>
  <si>
    <t>迫町新田字松原東68</t>
  </si>
  <si>
    <t>迫町新田字松原東67</t>
  </si>
  <si>
    <t>迫町新田字松原東66</t>
  </si>
  <si>
    <t>迫町新田字新蓮沼132</t>
  </si>
  <si>
    <t>迫町新田字新蓮沼130</t>
  </si>
  <si>
    <t>迫町新田字新蓮沼128</t>
  </si>
  <si>
    <t>迫町新田字新蓮沼125</t>
  </si>
  <si>
    <t>迫町新田字新蓮沼122</t>
  </si>
  <si>
    <t>迫町新田字新蓮沼121</t>
  </si>
  <si>
    <t>迫町新田字新蓮沼118</t>
  </si>
  <si>
    <t>迫町新田字新蓮沼117</t>
  </si>
  <si>
    <t>迫町新田字新蓮沼116</t>
  </si>
  <si>
    <t>迫町新田字新蓮沼115</t>
  </si>
  <si>
    <t>迫町新田字新蓮沼112</t>
  </si>
  <si>
    <t>迫町新田字新蓮沼108</t>
  </si>
  <si>
    <t>迫町新田字新蓮沼105</t>
  </si>
  <si>
    <t>迫町新田字新蓮沼103</t>
  </si>
  <si>
    <t>迫町新田字新蒲西118</t>
  </si>
  <si>
    <t>迫町新田字新蒲西115</t>
  </si>
  <si>
    <t>迫町新田字新蒲西114</t>
  </si>
  <si>
    <t>迫町新田字新蒲西111</t>
  </si>
  <si>
    <t>迫町新田字新蒲西110</t>
  </si>
  <si>
    <t>迫町新田字新蒲西109</t>
  </si>
  <si>
    <t>迫町新田字新蒲西108</t>
  </si>
  <si>
    <t>迫町新田字新東坂戸74</t>
  </si>
  <si>
    <t>迫町新田字新東坂戸72</t>
  </si>
  <si>
    <t>迫町新田字松原東74</t>
  </si>
  <si>
    <t>迫町新田字新舟崎174</t>
  </si>
  <si>
    <t>迫町新田字新茂栗93-2</t>
  </si>
  <si>
    <t>迫町新田字新伊豆崎156</t>
  </si>
  <si>
    <t>迫町新田字新舟崎121</t>
  </si>
  <si>
    <t>迫町新田字新舟崎120</t>
  </si>
  <si>
    <t>迫町新田字新舟崎119</t>
  </si>
  <si>
    <t>迫町新田字新舟崎118</t>
  </si>
  <si>
    <t>迫町新田字新舟崎116</t>
  </si>
  <si>
    <t>H30石打坂・一ツ塚線（移転補償）</t>
  </si>
  <si>
    <t>2019/03/05</t>
  </si>
  <si>
    <t>迫町北方字石打坂</t>
  </si>
  <si>
    <t>1094</t>
  </si>
  <si>
    <t>迫町新田字新舟崎115</t>
  </si>
  <si>
    <t>迫町新田字新舟崎114</t>
  </si>
  <si>
    <t>迫町新田字新舟崎113</t>
  </si>
  <si>
    <t>迫町新田字新舟崎112</t>
  </si>
  <si>
    <t>迫町新田字新舟崎111</t>
  </si>
  <si>
    <t>迫町新田字新舟崎83</t>
  </si>
  <si>
    <t>迫町新田字新舟崎82</t>
  </si>
  <si>
    <t>迫町新田字新舟崎81</t>
  </si>
  <si>
    <t>迫町新田字新舟崎80</t>
  </si>
  <si>
    <t>迫町新田字新伊豆崎121</t>
  </si>
  <si>
    <t>迫町新田字新伊豆崎120</t>
  </si>
  <si>
    <t>迫町新田字新伊豆崎119</t>
  </si>
  <si>
    <t>迫町新田字新伊豆崎118</t>
  </si>
  <si>
    <t>迫町新田字新伊豆崎117</t>
  </si>
  <si>
    <t>迫町新田字新伊豆崎116</t>
  </si>
  <si>
    <t>迫町新田字新伊豆崎115</t>
  </si>
  <si>
    <t>迫町新田字新伊豆崎114</t>
  </si>
  <si>
    <t>迫町新田字新伊豆崎113</t>
  </si>
  <si>
    <t>迫町新田字新伊豆崎112</t>
  </si>
  <si>
    <t>迫町新田字新伊豆崎111</t>
  </si>
  <si>
    <t>迫町新田字新伊豆崎128</t>
  </si>
  <si>
    <t>迫町新田字新伊豆崎127</t>
  </si>
  <si>
    <t>迫町新田字新伊豆崎126</t>
  </si>
  <si>
    <t>迫町新田字新伊豆崎125</t>
  </si>
  <si>
    <t>迫町新田字新伊豆崎124</t>
  </si>
  <si>
    <t>迫町新田字新伊豆崎123</t>
  </si>
  <si>
    <t>迫町新田字新伊豆崎122</t>
  </si>
  <si>
    <t>迫町新田字新茂栗82</t>
  </si>
  <si>
    <t>迫町新田字新茂栗81</t>
  </si>
  <si>
    <t>迫町新田字新茂栗80</t>
  </si>
  <si>
    <t>2018/04/26</t>
  </si>
  <si>
    <t>迫町新田字新茂栗79</t>
  </si>
  <si>
    <t>2016/04/01</t>
  </si>
  <si>
    <t>迫町新田字新茂栗78</t>
  </si>
  <si>
    <t>迫町新田字新茂栗77</t>
  </si>
  <si>
    <t>迫町新田字新茂栗76</t>
  </si>
  <si>
    <t>1975/05/10</t>
  </si>
  <si>
    <t>迫町新田字新茂栗73</t>
  </si>
  <si>
    <t>迫町新田字新茂栗72</t>
  </si>
  <si>
    <t>迫町新田字新茂栗71</t>
  </si>
  <si>
    <t>迫町新田字新茂栗70</t>
  </si>
  <si>
    <t>迫町新田字新茂栗69</t>
  </si>
  <si>
    <t>迫町新田字新茂栗100</t>
  </si>
  <si>
    <t>迫町新田字新茂栗99</t>
  </si>
  <si>
    <t>迫町新田字新茂栗98</t>
  </si>
  <si>
    <t>迫町新田字新茂栗97</t>
  </si>
  <si>
    <t>迫町新田字新茂栗96</t>
  </si>
  <si>
    <t>迫町新田字新茂栗95</t>
  </si>
  <si>
    <t>迫町新田字新茂栗94</t>
  </si>
  <si>
    <t>2008/06/10</t>
  </si>
  <si>
    <t>迫町新田字新舟崎110</t>
  </si>
  <si>
    <t>迫町新田字新茂栗92</t>
  </si>
  <si>
    <t>石越町北郷字新的場下39</t>
  </si>
  <si>
    <t>石越町北郷字新橋向104</t>
  </si>
  <si>
    <t>迫町新田字新茂栗101</t>
  </si>
  <si>
    <t>石越町北郷字新傾城渕55</t>
  </si>
  <si>
    <t>H29新堀2号線（物件移転補償費）</t>
  </si>
  <si>
    <t>中田町石森字茶畑</t>
  </si>
  <si>
    <t>1087</t>
  </si>
  <si>
    <t>石越町北郷字新西36</t>
  </si>
  <si>
    <t>H30石打坂・一ツ塚線（土地購入）</t>
  </si>
  <si>
    <t>1095</t>
  </si>
  <si>
    <t>東和町米谷字新吉田27</t>
  </si>
  <si>
    <t>石越町北郷字新南50-1</t>
  </si>
  <si>
    <t>H30浅水・登米線（土地購入）</t>
  </si>
  <si>
    <t>中田町浅水</t>
  </si>
  <si>
    <t>1089</t>
  </si>
  <si>
    <t>石越町北郷字新丸谷地62</t>
  </si>
  <si>
    <t>石越町北郷字新西37</t>
  </si>
  <si>
    <t>2019/03/30</t>
  </si>
  <si>
    <t>H29桜岡善王寺境線土地購入</t>
  </si>
  <si>
    <t>米山町字善王寺相ノ田</t>
  </si>
  <si>
    <t>1085</t>
  </si>
  <si>
    <t>石越町北郷字新南50-2</t>
  </si>
  <si>
    <t>H30瀬ヶ崎・萩洗線（移転補償）</t>
  </si>
  <si>
    <t>米山町中津山字小深</t>
  </si>
  <si>
    <t>1096</t>
  </si>
  <si>
    <t>石越町北郷字新南51</t>
  </si>
  <si>
    <t>津山町横山字高谷地43</t>
  </si>
  <si>
    <t>1009</t>
  </si>
  <si>
    <t>石越町北郷字新南53</t>
  </si>
  <si>
    <t>石越町北郷字新南54</t>
  </si>
  <si>
    <t>石越町北郷字新南52</t>
  </si>
  <si>
    <t>迫町新田字新舟崎103</t>
  </si>
  <si>
    <t>石越町北郷字新的場下41</t>
  </si>
  <si>
    <t>石越町北郷字新東36</t>
  </si>
  <si>
    <t>石越町北郷字新南56</t>
  </si>
  <si>
    <t>988</t>
  </si>
  <si>
    <t>H30瀬ヶ崎・萩洗線（土地購入）</t>
  </si>
  <si>
    <t>1097</t>
  </si>
  <si>
    <t>石越町北郷字新傾城渕58</t>
  </si>
  <si>
    <t>石越町北郷字新南57</t>
  </si>
  <si>
    <t>石越町北郷字新的場下38-3</t>
  </si>
  <si>
    <t>津山町柳津字締切沼上41</t>
  </si>
  <si>
    <t>石越町北郷字新南59</t>
  </si>
  <si>
    <t>石越町北郷字新傾城渕62</t>
  </si>
  <si>
    <t>石越町北郷字新南58</t>
  </si>
  <si>
    <t>石越町北郷字新丸谷地60</t>
  </si>
  <si>
    <t>津山町横山字南沢上72</t>
  </si>
  <si>
    <t>1024</t>
  </si>
  <si>
    <t>石越町北郷字新南60</t>
  </si>
  <si>
    <t>石越町北郷字新的場下40</t>
  </si>
  <si>
    <t>石越町北郷字新北43</t>
  </si>
  <si>
    <t>H30駅前油島線（移転補償）</t>
  </si>
  <si>
    <t>石越町南郷字西門沖</t>
  </si>
  <si>
    <t>1099</t>
  </si>
  <si>
    <t>石越町北郷字新南61</t>
  </si>
  <si>
    <t>H29石打坂・西舘線（物件移転補償費）</t>
  </si>
  <si>
    <t>関連伝票：0090445001　</t>
  </si>
  <si>
    <t>迫町北方字日向前</t>
  </si>
  <si>
    <t>1088</t>
  </si>
  <si>
    <t>迫町新田字新舟崎108</t>
  </si>
  <si>
    <t>石越町北郷字新丸谷地71</t>
  </si>
  <si>
    <t>石越町北郷字新北41</t>
  </si>
  <si>
    <t>H30駅前油島線（土地購入）</t>
  </si>
  <si>
    <t>1100</t>
  </si>
  <si>
    <t>H30大沢長久保線（移転補償）</t>
  </si>
  <si>
    <t>東和町米谷字長円田</t>
  </si>
  <si>
    <t>1101</t>
  </si>
  <si>
    <t>石越町北郷字新北42</t>
  </si>
  <si>
    <t>石越町北郷字新北49</t>
  </si>
  <si>
    <t>迫町新田字新舟崎88</t>
  </si>
  <si>
    <t>R1駅前油島線（土地購入）</t>
  </si>
  <si>
    <t>2019/06/25</t>
  </si>
  <si>
    <t>石越町北郷</t>
  </si>
  <si>
    <t>1152</t>
  </si>
  <si>
    <t>迫町新田字新舟崎89</t>
  </si>
  <si>
    <t>迫町新田字新舟崎90</t>
  </si>
  <si>
    <t>石越町北郷字新的場下38-1</t>
  </si>
  <si>
    <t>石越町北郷字新橋向84</t>
  </si>
  <si>
    <t>石越町北郷字新丸谷地70</t>
  </si>
  <si>
    <t>石越町北郷字新北45</t>
  </si>
  <si>
    <t>石越町北郷字新北44</t>
  </si>
  <si>
    <t>石越町北郷字新橋向78</t>
  </si>
  <si>
    <t>941</t>
  </si>
  <si>
    <t>R1駅前油島線（移転補償）</t>
  </si>
  <si>
    <t>2019/06/21</t>
  </si>
  <si>
    <t>1153</t>
  </si>
  <si>
    <t>R1鴻ノ木・薬師島線（土地購入）</t>
  </si>
  <si>
    <t>2020/03/30</t>
  </si>
  <si>
    <t>1154</t>
  </si>
  <si>
    <t>石越町北郷字新丸谷地64</t>
  </si>
  <si>
    <t>中田町石森字寺浦34</t>
  </si>
  <si>
    <t>H28川面・高石線土地購入</t>
  </si>
  <si>
    <t>2018/11/13</t>
  </si>
  <si>
    <t>2401:新規（本勘定振替）</t>
  </si>
  <si>
    <t>1132</t>
  </si>
  <si>
    <t>迫町新田字新茂栗68</t>
  </si>
  <si>
    <t>H28H29峯前子線（土地購入）</t>
  </si>
  <si>
    <t>1133</t>
  </si>
  <si>
    <t>石越町北郷字新丸谷地59</t>
  </si>
  <si>
    <t>石越町北郷字新橋向101</t>
  </si>
  <si>
    <t>迫町新田字新舟崎91</t>
  </si>
  <si>
    <t>H28H29峯前子線（移転補償）</t>
  </si>
  <si>
    <t>1134</t>
  </si>
  <si>
    <t>迫町新田字新舟崎92</t>
  </si>
  <si>
    <t>R1駒木・赤沼線（土地購入）</t>
  </si>
  <si>
    <t>2019/07/09</t>
  </si>
  <si>
    <t>1155</t>
  </si>
  <si>
    <t>筒場埣６号線（測量）</t>
  </si>
  <si>
    <t>住宅都市整備課宅地造成事業にて測量　</t>
  </si>
  <si>
    <t>1135</t>
  </si>
  <si>
    <t>迫町新田字新舟崎93</t>
  </si>
  <si>
    <t>石越町北郷字新的場下38-2</t>
  </si>
  <si>
    <t>957</t>
  </si>
  <si>
    <t>石越町北郷字新丸谷地63</t>
  </si>
  <si>
    <t>H30東待井下２号線（用地測量）</t>
  </si>
  <si>
    <t>2019/02/28</t>
  </si>
  <si>
    <t>1139</t>
  </si>
  <si>
    <t>迫町新田字新舟崎94</t>
  </si>
  <si>
    <t>石越町北郷字新的場下37</t>
  </si>
  <si>
    <t>R1米袋線（土地購入）</t>
  </si>
  <si>
    <t>2020/03/11</t>
  </si>
  <si>
    <t>1156</t>
  </si>
  <si>
    <t>H28浦小路黄牛線（土地購入）</t>
  </si>
  <si>
    <t>測量・移転補償込み　</t>
  </si>
  <si>
    <t>登米町大字日根牛浦小路</t>
  </si>
  <si>
    <t>1141</t>
  </si>
  <si>
    <t>石越町北郷字新橋向83</t>
  </si>
  <si>
    <t>石越町北郷字新丸谷地68</t>
  </si>
  <si>
    <t>H28長橋成沢線（土地購入）</t>
  </si>
  <si>
    <t>2019/02/12</t>
  </si>
  <si>
    <t>移転補償込み　</t>
  </si>
  <si>
    <t>登米町小島長橋</t>
  </si>
  <si>
    <t>1142</t>
  </si>
  <si>
    <t>石越町北郷字新北46</t>
  </si>
  <si>
    <t>石越町北郷字新的場下36</t>
  </si>
  <si>
    <t>石越町北郷字新橋向98</t>
  </si>
  <si>
    <t>R1米袋線（移転補償）</t>
  </si>
  <si>
    <t>2020/03/09</t>
  </si>
  <si>
    <t>1157</t>
  </si>
  <si>
    <t>筒場埣７号線（測量）</t>
  </si>
  <si>
    <t>1136</t>
  </si>
  <si>
    <t>石越町北郷字新橋向99</t>
  </si>
  <si>
    <t>石越町北郷字新橋向94</t>
  </si>
  <si>
    <t>石越町北郷字新橋向92</t>
  </si>
  <si>
    <t>H28下道・大柳線土地購入</t>
  </si>
  <si>
    <t>2019/03/27</t>
  </si>
  <si>
    <t>移転補償込み。前払金のため面積はH29購入分に計上。　</t>
  </si>
  <si>
    <t>1144</t>
  </si>
  <si>
    <t>石越町北郷字新北48</t>
  </si>
  <si>
    <t>1001</t>
  </si>
  <si>
    <t>迫町新田字新舟崎105</t>
  </si>
  <si>
    <t>R1白地５号線（土地購入）</t>
  </si>
  <si>
    <t>中田町内</t>
  </si>
  <si>
    <t>1158</t>
  </si>
  <si>
    <t>H29西門新田線土地購入</t>
  </si>
  <si>
    <t>2019/03/07</t>
  </si>
  <si>
    <t>分筆測量含む　</t>
  </si>
  <si>
    <t>石越町南郷字峯</t>
  </si>
  <si>
    <t>1145</t>
  </si>
  <si>
    <t>石越町北郷字新北47</t>
  </si>
  <si>
    <t>石越町北郷字新橋向90</t>
  </si>
  <si>
    <t>筒場埣８号線（測量）</t>
  </si>
  <si>
    <t>1137</t>
  </si>
  <si>
    <t>石越町北郷字新橋向79</t>
  </si>
  <si>
    <t>石越町北郷字新橋向91</t>
  </si>
  <si>
    <t>石越町北郷字新橋向95</t>
  </si>
  <si>
    <t>R1白地５号線（移転補償）</t>
  </si>
  <si>
    <t>2020/03/05</t>
  </si>
  <si>
    <t>1159</t>
  </si>
  <si>
    <t>R1浅水・登米線整備事業</t>
  </si>
  <si>
    <t>2020/03/23</t>
  </si>
  <si>
    <t>2019/02/13</t>
  </si>
  <si>
    <t>1148</t>
  </si>
  <si>
    <t>石越町北郷字新橋向97</t>
  </si>
  <si>
    <t>石越町北郷字新橋向96</t>
  </si>
  <si>
    <t>H28H29峯前子線（用地測量）</t>
  </si>
  <si>
    <t>2018/12/19</t>
  </si>
  <si>
    <t>1138</t>
  </si>
  <si>
    <t>石越町北郷字新橋向87</t>
  </si>
  <si>
    <t>946</t>
  </si>
  <si>
    <t>R1白鳥１号線（土地購入）</t>
  </si>
  <si>
    <t>2019/12/16</t>
  </si>
  <si>
    <t>豊里町白鳥</t>
  </si>
  <si>
    <t>1160</t>
  </si>
  <si>
    <t>H28筒場埣２号線（土地購入）</t>
  </si>
  <si>
    <t>測量込み　</t>
  </si>
  <si>
    <t>1143</t>
  </si>
  <si>
    <t>石越町北郷字新丸谷地67</t>
  </si>
  <si>
    <t>石越町北郷字新橋向88</t>
  </si>
  <si>
    <t>R2大沢長久保線（用地測量）</t>
  </si>
  <si>
    <t>2021/03/25</t>
  </si>
  <si>
    <t>東和町内</t>
  </si>
  <si>
    <t>石越町北郷字新橋向86</t>
  </si>
  <si>
    <t>石越町南郷字新南埣169-1</t>
  </si>
  <si>
    <t>石越町北郷字新橋向89</t>
  </si>
  <si>
    <t>石越町北郷字新傾城渕67</t>
  </si>
  <si>
    <t>R1白鳥１号線（移転補償）</t>
  </si>
  <si>
    <t>1161</t>
  </si>
  <si>
    <t>R2駒木・赤沼線（用地測量）</t>
  </si>
  <si>
    <t>2021/03/10</t>
  </si>
  <si>
    <t>石越町北郷字新丸谷地72</t>
  </si>
  <si>
    <t>H30大沢長久保線（土地購入）</t>
  </si>
  <si>
    <t>1102</t>
  </si>
  <si>
    <t>石越町北郷字新橋向85</t>
  </si>
  <si>
    <t>R2下在線（用地測量）</t>
  </si>
  <si>
    <t>2021/02/26</t>
  </si>
  <si>
    <t>迫町新田字新舟崎104</t>
  </si>
  <si>
    <t>石越町南郷字新南埣169-2</t>
  </si>
  <si>
    <t>R1新北谷地・菱ノ倉線（土地購入）</t>
  </si>
  <si>
    <t>2019/10/18</t>
  </si>
  <si>
    <t>1162</t>
  </si>
  <si>
    <t>R2遠見台渋江線（用地測量）</t>
  </si>
  <si>
    <t>2021/01/19</t>
  </si>
  <si>
    <t>石越町北郷字新橋向103</t>
  </si>
  <si>
    <t>石越町北郷字新橋向100</t>
  </si>
  <si>
    <t>R2遠見台渋江線（土地購入）</t>
  </si>
  <si>
    <t>石越町南郷字新南埣169-5</t>
  </si>
  <si>
    <t>R1新北谷地・菱ノ倉線（移転補償）</t>
  </si>
  <si>
    <t>2020/03/27</t>
  </si>
  <si>
    <t>1163</t>
  </si>
  <si>
    <t>R2遠見台渋江線（移転補償）</t>
  </si>
  <si>
    <t>石越町北郷字新橋向102</t>
  </si>
  <si>
    <t>936</t>
  </si>
  <si>
    <t>石越町北郷字新傾城渕66</t>
  </si>
  <si>
    <t>石越町南郷字新南埣169-3</t>
  </si>
  <si>
    <t>R2亀ヶ岡・舘野線（用地測量）</t>
  </si>
  <si>
    <t>2021/03/30</t>
  </si>
  <si>
    <t>石越町南郷字新南埣169-4</t>
  </si>
  <si>
    <t>石越町北郷字新傾城渕65</t>
  </si>
  <si>
    <t>R1中沢線（土地購入）</t>
  </si>
  <si>
    <t>1164</t>
  </si>
  <si>
    <t>石越町北郷字新傾城渕64</t>
  </si>
  <si>
    <t>H30駒木・赤沼線（移転補償）</t>
  </si>
  <si>
    <t>迫町佐沼字南駒木袋</t>
  </si>
  <si>
    <t>1103</t>
  </si>
  <si>
    <t>H30白鳥1号線（移転補償）</t>
  </si>
  <si>
    <t>1106</t>
  </si>
  <si>
    <t>H30白鳥1号線（土地購入）</t>
  </si>
  <si>
    <t>1107</t>
  </si>
  <si>
    <t>H30新北谷地・菱ノ倉線（移転補償）</t>
  </si>
  <si>
    <t>迫町新田字倉崎</t>
  </si>
  <si>
    <t>1108</t>
  </si>
  <si>
    <t>H30新北谷地・菱ノ倉線（土地購入）</t>
  </si>
  <si>
    <t>1109</t>
  </si>
  <si>
    <t>H30新田駅前・山ノ神線（移転補償）</t>
  </si>
  <si>
    <t>迫町新田字狼ノ欠</t>
  </si>
  <si>
    <t>1110</t>
  </si>
  <si>
    <t>H30新田駅前・山ノ神線（土地購入）</t>
  </si>
  <si>
    <t>1111</t>
  </si>
  <si>
    <t>H30桜岡善王寺境線（移転補償）</t>
  </si>
  <si>
    <t>1125</t>
  </si>
  <si>
    <t>H30梅ノ木・平柳線（土地購入）</t>
  </si>
  <si>
    <t>迫町森字赤沼</t>
  </si>
  <si>
    <t>1127</t>
  </si>
  <si>
    <t>R1梅ノ木・平柳線（移転補償）</t>
  </si>
  <si>
    <t>2020/01/31</t>
  </si>
  <si>
    <t>1151</t>
  </si>
  <si>
    <t>1044</t>
  </si>
  <si>
    <t>H30仲浦2号線（土地購入）</t>
  </si>
  <si>
    <t>豊里町新田町</t>
  </si>
  <si>
    <t>1112</t>
  </si>
  <si>
    <t>R1中沢線（移転補償）</t>
  </si>
  <si>
    <t>2019/11/29</t>
  </si>
  <si>
    <t>1165</t>
  </si>
  <si>
    <t>H29東待井下2号線土地購入</t>
  </si>
  <si>
    <t>1083</t>
  </si>
  <si>
    <t>石越町北郷字新傾城渕60</t>
  </si>
  <si>
    <t>石越町北郷字新丸谷地66</t>
  </si>
  <si>
    <t>石越町北郷字新傾城渕59</t>
  </si>
  <si>
    <t>石越町北郷字新丸谷地65</t>
  </si>
  <si>
    <t>R1野出来千才線（土地購入）</t>
  </si>
  <si>
    <t>2020/01/14</t>
  </si>
  <si>
    <t>石越町内</t>
  </si>
  <si>
    <t>迫町新田字新舟崎96</t>
  </si>
  <si>
    <t>津山町横山字高谷地51</t>
  </si>
  <si>
    <t>1016</t>
  </si>
  <si>
    <t>津山町横山字高谷地47</t>
  </si>
  <si>
    <t>1013</t>
  </si>
  <si>
    <t>津山町横山字高谷地46</t>
  </si>
  <si>
    <t>津山町横山字高谷地48</t>
  </si>
  <si>
    <t>1014</t>
  </si>
  <si>
    <t>R1野出来千才線（移転補償）</t>
  </si>
  <si>
    <t>2019/11/11</t>
  </si>
  <si>
    <t>迫町新田字新舟崎97</t>
  </si>
  <si>
    <t>迫町新田字新舟崎98</t>
  </si>
  <si>
    <t>迫町新田字新舟崎95</t>
  </si>
  <si>
    <t>迫町新田字新舟崎99</t>
  </si>
  <si>
    <t>迫町新田字新舟崎100</t>
  </si>
  <si>
    <t>迫町新田字新舟崎101</t>
  </si>
  <si>
    <t>R1堀米・下川面線（土地購入）</t>
  </si>
  <si>
    <t>迫町新田字新舟崎102</t>
  </si>
  <si>
    <t>津山町横山字高谷地49</t>
  </si>
  <si>
    <t>石越町北郷字新丸谷地69</t>
  </si>
  <si>
    <t>津山町横山字南沢上61</t>
  </si>
  <si>
    <t>津山町横山字南沢上65</t>
  </si>
  <si>
    <t>1019</t>
  </si>
  <si>
    <t>津山町横山字南沢上62</t>
  </si>
  <si>
    <t>1018</t>
  </si>
  <si>
    <t>石越町北郷字新丸谷地57</t>
  </si>
  <si>
    <t>石越町北郷字新丸谷地56</t>
  </si>
  <si>
    <t>石越町北郷字新大和田59</t>
  </si>
  <si>
    <t>900</t>
  </si>
  <si>
    <t>R1堀米・下川面線（移転補償）</t>
  </si>
  <si>
    <t>R1亀ヶ岡・舘野線（土地購入）</t>
  </si>
  <si>
    <t>2020/02/28</t>
  </si>
  <si>
    <t>石越町北郷字新大和田58</t>
  </si>
  <si>
    <t>石越町北郷字新大和田57</t>
  </si>
  <si>
    <t>石越町北郷字新大和田55</t>
  </si>
  <si>
    <t>石越町北郷字新大和田54</t>
  </si>
  <si>
    <t>石越町北郷字新大和田53</t>
  </si>
  <si>
    <t>石越町北郷字新大和田51</t>
  </si>
  <si>
    <t>石越町北郷字新大和田50</t>
  </si>
  <si>
    <t>石越町北郷字新大和田49</t>
  </si>
  <si>
    <t>石越町北郷字新大和田48</t>
  </si>
  <si>
    <t>石越町北郷字新大和田47</t>
  </si>
  <si>
    <t>石越町北郷字新大和田46</t>
  </si>
  <si>
    <t>石越町北郷字新大和田45</t>
  </si>
  <si>
    <t>石越町北郷字新大和田44</t>
  </si>
  <si>
    <t>石越町北郷字新富崎前55</t>
  </si>
  <si>
    <t>R1西上沢線（土地購入）</t>
  </si>
  <si>
    <t>2019/08/02</t>
  </si>
  <si>
    <t>石越町北郷字新富崎前54</t>
  </si>
  <si>
    <t>石越町北郷字新富崎前53</t>
  </si>
  <si>
    <t>石越町北郷字新傾城渕61</t>
  </si>
  <si>
    <t>石越町北郷字新富崎前52</t>
  </si>
  <si>
    <t>石越町北郷字新富崎前51</t>
  </si>
  <si>
    <t>石越町北郷字新富崎前50</t>
  </si>
  <si>
    <t>石越町北郷字新富崎前49</t>
  </si>
  <si>
    <t>沢田７号線</t>
  </si>
  <si>
    <t>2020/08/21</t>
  </si>
  <si>
    <t>南方町松島屋敷130-4</t>
  </si>
  <si>
    <t>石越町北郷字新富崎前48</t>
  </si>
  <si>
    <t>石越町北郷字新富崎前47</t>
  </si>
  <si>
    <t>石越町北郷字新富崎前46</t>
  </si>
  <si>
    <t>石越町北郷字新富崎前45</t>
  </si>
  <si>
    <t>石越町北郷字新堀内前64-1</t>
  </si>
  <si>
    <t>石越町北郷字新堀内前63</t>
  </si>
  <si>
    <t>大泉・小名倉線</t>
  </si>
  <si>
    <t>中田町上沼字大泉天神山106-2</t>
  </si>
  <si>
    <t>R2赤坂線（土地購入）</t>
  </si>
  <si>
    <t>2020/12/01</t>
  </si>
  <si>
    <t>迫町新田字山守屋敷120-2</t>
  </si>
  <si>
    <t>石越町北郷字新堀内前62</t>
  </si>
  <si>
    <t>石越町北郷字新堀内前61</t>
  </si>
  <si>
    <t>石越町北郷字新堀内前60-1</t>
  </si>
  <si>
    <t>石越町北郷字新堀内前59</t>
  </si>
  <si>
    <t>石越町北郷字新堀内前58</t>
  </si>
  <si>
    <t>石越町北郷字新堀内前57</t>
  </si>
  <si>
    <t>津山町横山字南沢上66</t>
  </si>
  <si>
    <t>1020</t>
  </si>
  <si>
    <t>石越町北郷字新堀内前56</t>
  </si>
  <si>
    <t>石越町北郷字新堀内前55</t>
  </si>
  <si>
    <t>石越町北郷字新堀内前54</t>
  </si>
  <si>
    <t>石越町北郷字新堀内前53</t>
  </si>
  <si>
    <t>石越町北郷字新堀内前52</t>
  </si>
  <si>
    <t>石越町北郷字新堀内前51</t>
  </si>
  <si>
    <t>石越町北郷字新堀内前50</t>
  </si>
  <si>
    <t>R2石打坂・一ツ塚線（土地購入）</t>
  </si>
  <si>
    <t>迫町北方字新八ノ森前113-1</t>
  </si>
  <si>
    <t>石越町北郷字新堀内前49</t>
  </si>
  <si>
    <t>津山町横山字南沢上68</t>
  </si>
  <si>
    <t>1022</t>
  </si>
  <si>
    <t>石越町北郷字新堀内前48</t>
  </si>
  <si>
    <t>石越町北郷字新堀内前47</t>
  </si>
  <si>
    <t>石越町北郷字新堀内前46</t>
  </si>
  <si>
    <t>石越町北郷字新内の目117</t>
  </si>
  <si>
    <t>石越町北郷字新内の目116</t>
  </si>
  <si>
    <t>R2新中道4号線（土地購入）</t>
  </si>
  <si>
    <t>迫町北方字別当</t>
  </si>
  <si>
    <t>石越町北郷字新内の目115</t>
  </si>
  <si>
    <t>石越町北郷字新内の目114</t>
  </si>
  <si>
    <t>石越町北郷字新内の目109-2</t>
  </si>
  <si>
    <t>津山町横山字南沢上67</t>
  </si>
  <si>
    <t>1021</t>
  </si>
  <si>
    <t>石越町北郷字新内の目107</t>
  </si>
  <si>
    <t>石越町北郷字新内の目106</t>
  </si>
  <si>
    <t>石越町北郷字新内の目104</t>
  </si>
  <si>
    <t>石越町北郷字新内の目103</t>
  </si>
  <si>
    <t>R2新中道4号線（移転補償）</t>
  </si>
  <si>
    <t>2020/09/30</t>
  </si>
  <si>
    <t>石越町北郷字新内の目102</t>
  </si>
  <si>
    <t>石越町北郷字新内の目101</t>
  </si>
  <si>
    <t>石越町北郷字新内の目100</t>
  </si>
  <si>
    <t>石越町北郷字新内の目99</t>
  </si>
  <si>
    <t>石越町北郷字新内の目98</t>
  </si>
  <si>
    <t>石越町北郷字新内の目97</t>
  </si>
  <si>
    <t>石越町北郷字新内の目96</t>
  </si>
  <si>
    <t>R2瀬ヶ崎・萩洗線（土地購入）</t>
  </si>
  <si>
    <t>石越町北郷字新内の目95</t>
  </si>
  <si>
    <t>石越町北郷字新内の目94</t>
  </si>
  <si>
    <t>石越町北郷字新内の目93</t>
  </si>
  <si>
    <t>石越町北郷字新内の目92</t>
  </si>
  <si>
    <t>石越町北郷字新内の目91</t>
  </si>
  <si>
    <t>R2梅ノ木・平柳線（土地購入）</t>
  </si>
  <si>
    <t>2021/03/19</t>
  </si>
  <si>
    <t>津山町横山字南沢上69</t>
  </si>
  <si>
    <t>1023</t>
  </si>
  <si>
    <t>石越町北郷字新内の目90</t>
  </si>
  <si>
    <t>石越町北郷字新内の目89</t>
  </si>
  <si>
    <t>石越町北郷字新長下田66</t>
  </si>
  <si>
    <t>石越町北郷字新長下田64</t>
  </si>
  <si>
    <t>石越町北郷字新長下田63</t>
  </si>
  <si>
    <t>石越町北郷字新長下田62</t>
  </si>
  <si>
    <t>R2梅ノ木・平柳線（移転補償）</t>
  </si>
  <si>
    <t>石越町北郷字新長下田61</t>
  </si>
  <si>
    <t>石越町北郷字新長下田60</t>
  </si>
  <si>
    <t>H29蛭沢いたち沢線土地購入</t>
  </si>
  <si>
    <t>002030:蛭沢いたち沢線</t>
  </si>
  <si>
    <t>登米町日野渡鼬沢</t>
  </si>
  <si>
    <t>2000/11/08</t>
  </si>
  <si>
    <t>0750013</t>
  </si>
  <si>
    <t>蛭沢いたち沢線（H28購入分）</t>
  </si>
  <si>
    <t>登米町寺池金沢山46</t>
  </si>
  <si>
    <t>1975/02/17</t>
  </si>
  <si>
    <t>17:墓地</t>
  </si>
  <si>
    <t>1975/07/02</t>
  </si>
  <si>
    <t>迫町新田中葉ノ木沢21番地ため池</t>
  </si>
  <si>
    <t>迫町新田中葉ノ木沢21番地</t>
  </si>
  <si>
    <t>2018/08/01</t>
  </si>
  <si>
    <t>迫町佐沼字光ケ丘1-1</t>
  </si>
  <si>
    <t>石越町北郷字芦倉156</t>
  </si>
  <si>
    <t>石越町南郷字矢作91</t>
  </si>
  <si>
    <t>石越町東郷字蕪木60-3</t>
  </si>
  <si>
    <t>3102:調査判明（減）</t>
  </si>
  <si>
    <t>迫町新田字大沢3</t>
  </si>
  <si>
    <t>豊里町笑沢153-25</t>
  </si>
  <si>
    <t>1030300000:子育て支援課</t>
  </si>
  <si>
    <t>1992/05/28</t>
  </si>
  <si>
    <t>13:保安林</t>
  </si>
  <si>
    <t>登米町大字日根牛上羽沢158-2</t>
  </si>
  <si>
    <t>豊里町笑沢153-22</t>
  </si>
  <si>
    <t>1501:併合（減）</t>
  </si>
  <si>
    <t>迫町新田十五丸40番地ため池</t>
  </si>
  <si>
    <t>迫町新田十五丸40番地</t>
  </si>
  <si>
    <t>迫町新田字大沢2</t>
  </si>
  <si>
    <t>東和町錦織雷神山6-2番地ため池</t>
  </si>
  <si>
    <t>東和町錦織雷神山6-2番地</t>
  </si>
  <si>
    <t>迫町新田字飯島34</t>
  </si>
  <si>
    <t>迫町新田日向60-1番地ため池</t>
  </si>
  <si>
    <t>迫町新田日向60-1番地</t>
  </si>
  <si>
    <t>迫町新田字高森41</t>
  </si>
  <si>
    <t>迫町北方永田101番地ため池</t>
  </si>
  <si>
    <t>AsyzAPH27.3.31総務部総務課所管替予定ため池　042120054：永田溜池</t>
  </si>
  <si>
    <t>迫町北方永田101番地</t>
  </si>
  <si>
    <t>迫町新田字下品ノ浦55</t>
  </si>
  <si>
    <t>迫町北方漆沢58番地ため池</t>
  </si>
  <si>
    <t>迫町北方漆沢58番地</t>
  </si>
  <si>
    <t>迫町新田字山守屋敷209</t>
  </si>
  <si>
    <t>南方町沼崎50番地ため池</t>
  </si>
  <si>
    <t>南方町沼崎50番地</t>
  </si>
  <si>
    <t>迫町新田字山守屋敷72</t>
  </si>
  <si>
    <t>迫町北方字天形114-2</t>
  </si>
  <si>
    <t>迫町新田深間内45番地ため池</t>
  </si>
  <si>
    <t>迫町新田深間内45番地</t>
  </si>
  <si>
    <t>迫町新田字田上70</t>
  </si>
  <si>
    <t>豊里町笑沢153-33番地ため池</t>
  </si>
  <si>
    <t>豊里町笑沢153-33番地</t>
  </si>
  <si>
    <t>迫町新田字田上22-1</t>
  </si>
  <si>
    <t>南方町実沢42番地ため池</t>
  </si>
  <si>
    <t>AsyzAP042120135：実沢溜池</t>
  </si>
  <si>
    <t>南方町実沢42番地</t>
  </si>
  <si>
    <t>迫町新田字田上21</t>
  </si>
  <si>
    <t>南方町沼崎53番地ため池</t>
  </si>
  <si>
    <t>南方町沼崎53番地</t>
  </si>
  <si>
    <t>迫町新田字大上28</t>
  </si>
  <si>
    <t>迫町新田深間内48番地ため池</t>
  </si>
  <si>
    <t>迫町新田深間内48番地</t>
  </si>
  <si>
    <t>迫町新田字大上27</t>
  </si>
  <si>
    <t>迫町新田字大上21</t>
  </si>
  <si>
    <t>1998/10/22</t>
  </si>
  <si>
    <t>東和町錦織字山居沢94-1</t>
  </si>
  <si>
    <t>東和町錦織字中畑106-1</t>
  </si>
  <si>
    <t>石越町南郷字西門沖49</t>
  </si>
  <si>
    <t>（他施設と土地併用）　</t>
  </si>
  <si>
    <t>津山町柳津字黄牛山窪36</t>
  </si>
  <si>
    <t>豊里町大沢77-1番地ため池</t>
  </si>
  <si>
    <t>AsyzAP042120103：菖蒲沢溜池</t>
  </si>
  <si>
    <t>豊里町大沢77-1番地</t>
  </si>
  <si>
    <t>迫町新田字大久保228</t>
  </si>
  <si>
    <t>東和町米谷平倉86番地ため池</t>
  </si>
  <si>
    <t>東和町米谷平倉86番地</t>
  </si>
  <si>
    <t>迫町新田字品ノ浦162</t>
  </si>
  <si>
    <t>石越町北郷長根100番地ため池</t>
  </si>
  <si>
    <t>AsyzAP042120118：西風田裏溜池</t>
  </si>
  <si>
    <t>石越町北郷長根100番地</t>
  </si>
  <si>
    <t>迫町北方字丸森65</t>
  </si>
  <si>
    <t>迫町新田山崎136番地ため池</t>
  </si>
  <si>
    <t>迫町新田山崎136番地</t>
  </si>
  <si>
    <t>迫町北方字地粮41-6</t>
  </si>
  <si>
    <t>中田町石森字北川前84</t>
  </si>
  <si>
    <t>石越町北郷字新粒庭72</t>
  </si>
  <si>
    <t>中田町石森字脇谷前78</t>
  </si>
  <si>
    <t>石越町北郷字新粒庭74</t>
  </si>
  <si>
    <t>石越町北郷字新長下田68</t>
  </si>
  <si>
    <t>石越町北郷字新長下田70</t>
  </si>
  <si>
    <t>石越町北郷字新長下田69</t>
  </si>
  <si>
    <t>中田町石森字北川前83</t>
  </si>
  <si>
    <t>石越町北郷字新長下田71</t>
  </si>
  <si>
    <t>石越町北郷字新長下田72</t>
  </si>
  <si>
    <t>石越町北郷字新西40</t>
  </si>
  <si>
    <t>石越町北郷字新長下田73</t>
  </si>
  <si>
    <t>中田町上沼字新南要害浦88</t>
  </si>
  <si>
    <t>石越町北郷字新長下田74</t>
  </si>
  <si>
    <t>石越町北郷字新長下田75</t>
  </si>
  <si>
    <t>石越町北郷字新長下田76</t>
  </si>
  <si>
    <t>石越町北郷字新長下田77</t>
  </si>
  <si>
    <t>石越町北郷字新長下田79</t>
  </si>
  <si>
    <t>石越町北郷字新長下田80</t>
  </si>
  <si>
    <t>石越町北郷字新長下田81</t>
  </si>
  <si>
    <t>石越町北郷字新長下田82</t>
  </si>
  <si>
    <t>石越町北郷字新長下田83</t>
  </si>
  <si>
    <t>石越町北郷字新長下田84</t>
  </si>
  <si>
    <t>中田町上沼字新南要害浦87</t>
  </si>
  <si>
    <t>石越町北郷字新長下田86</t>
  </si>
  <si>
    <t>中田町石森字脇谷前84</t>
  </si>
  <si>
    <t>石越町北郷字新長下田85</t>
  </si>
  <si>
    <t>石越町北郷字新内の目118</t>
  </si>
  <si>
    <t>石越町北郷字新内の目119</t>
  </si>
  <si>
    <t>石越町北郷字新内の目120</t>
  </si>
  <si>
    <t>石越町北郷字新内の目121</t>
  </si>
  <si>
    <t>石越町北郷字新内の目122</t>
  </si>
  <si>
    <t>中田町上沼字新南要害浦86</t>
  </si>
  <si>
    <t>石越町北郷字新内の目123</t>
  </si>
  <si>
    <t>中田町石森字北川前81</t>
  </si>
  <si>
    <t>石越町北郷字新内の目124</t>
  </si>
  <si>
    <t>石越町北郷字新内の目125</t>
  </si>
  <si>
    <t>中田町上沼字新八幡浦57</t>
  </si>
  <si>
    <t>石越町北郷字新内の目126</t>
  </si>
  <si>
    <t>石越町北郷字新内の目127</t>
  </si>
  <si>
    <t>中田町石森字北川前82</t>
  </si>
  <si>
    <t>石越町北郷字新内の目128</t>
  </si>
  <si>
    <t>石越町北郷字新内の目130</t>
  </si>
  <si>
    <t>石越町北郷字新内の目131</t>
  </si>
  <si>
    <t>石越町北郷字新内の目132</t>
  </si>
  <si>
    <t>石越町北郷字新内の目133</t>
  </si>
  <si>
    <t>石越町北郷字新内の目134</t>
  </si>
  <si>
    <t>中田町上沼字新北要害浦71</t>
  </si>
  <si>
    <t>東和町米谷平倉164番地ため池</t>
  </si>
  <si>
    <t>東和町米谷平倉164番地</t>
  </si>
  <si>
    <t>石越町北郷字新内の目136</t>
  </si>
  <si>
    <t>石越町北郷字新内の目137</t>
  </si>
  <si>
    <t>中田町石森字霜田前55</t>
  </si>
  <si>
    <t>迫町北方字川戸沼53</t>
  </si>
  <si>
    <t>石越町北郷字新内の目139</t>
  </si>
  <si>
    <t>迫町新田梅ヶ沢39番地ため池</t>
  </si>
  <si>
    <t>迫町新田梅ヶ沢39番地</t>
  </si>
  <si>
    <t>石越町北郷字新内の目141</t>
  </si>
  <si>
    <t>迫町北方字金ケ森29</t>
  </si>
  <si>
    <t>石越町北郷字新内の目143</t>
  </si>
  <si>
    <t>中田町上沼字新北要害浦70</t>
  </si>
  <si>
    <t>石越町北郷字新内の目144</t>
  </si>
  <si>
    <t>石越町北郷字新内の目145</t>
  </si>
  <si>
    <t>石越町北郷字新内の目146</t>
  </si>
  <si>
    <t>石越町北郷字新内の目147</t>
  </si>
  <si>
    <t>石越町北郷字新内の目149</t>
  </si>
  <si>
    <t>1069</t>
  </si>
  <si>
    <t>石越町北郷字新内の目148</t>
  </si>
  <si>
    <t>石越町北郷字新内の目150</t>
  </si>
  <si>
    <t>石越町北郷字新内の目151</t>
  </si>
  <si>
    <t>石越町北郷字新内の目153</t>
  </si>
  <si>
    <t>石越町北郷字新内の目152</t>
  </si>
  <si>
    <t>石越町北郷字新堀内前65</t>
  </si>
  <si>
    <t>石越町北郷字新堀内前66</t>
  </si>
  <si>
    <t>迫町新田西坂戸109番地ため池</t>
  </si>
  <si>
    <t>迫町新田西坂戸109番地</t>
  </si>
  <si>
    <t>石越町北郷字新堀内前68</t>
  </si>
  <si>
    <t>石越町北郷字新堀内前67</t>
  </si>
  <si>
    <t>中田町石森字北川前78</t>
  </si>
  <si>
    <t>石越町北郷字新堀内前69</t>
  </si>
  <si>
    <t>石越町北郷字新堀内前70</t>
  </si>
  <si>
    <t>石越町北郷字新堀内前71</t>
  </si>
  <si>
    <t>石越町北郷字新堀内前72</t>
  </si>
  <si>
    <t>石越町北郷字新堀内前73</t>
  </si>
  <si>
    <t>石越町北郷字新堀内前74</t>
  </si>
  <si>
    <t>石越町北郷字新堀内前75</t>
  </si>
  <si>
    <t>石越町北郷字新堀内前76</t>
  </si>
  <si>
    <t>石越町北郷字新堀内前77</t>
  </si>
  <si>
    <t>石越町北郷字新堀内前78</t>
  </si>
  <si>
    <t>石越町北郷字新堀内前80</t>
  </si>
  <si>
    <t>中田町石森字北川前76</t>
  </si>
  <si>
    <t>迫町北方字三ツ目沢57</t>
  </si>
  <si>
    <t>中田町石森字北川前75</t>
  </si>
  <si>
    <t>石越町北郷字新堀内前81</t>
  </si>
  <si>
    <t>石越町北郷字新堀内前82</t>
  </si>
  <si>
    <t>中田町上沼字新八幡浦60</t>
  </si>
  <si>
    <t>石越町北郷字新堀内前83</t>
  </si>
  <si>
    <t>石越町北郷字新堀内前84</t>
  </si>
  <si>
    <t>石越町北郷字新堀内前85</t>
  </si>
  <si>
    <t>石越町北郷字新堀内前86</t>
  </si>
  <si>
    <t>石越町北郷字新富崎前57</t>
  </si>
  <si>
    <t>石越町北郷字新富崎前56</t>
  </si>
  <si>
    <t>石越町北郷字新富崎前58</t>
  </si>
  <si>
    <t>1098</t>
  </si>
  <si>
    <t>石越町北郷字新富崎前59</t>
  </si>
  <si>
    <t>石越町北郷字新富崎前61</t>
  </si>
  <si>
    <t>石越町北郷字新富崎前60</t>
  </si>
  <si>
    <t>石越町北郷字新富崎前62</t>
  </si>
  <si>
    <t>中田町石森字北川前74</t>
  </si>
  <si>
    <t>石越町北郷字新富崎前64</t>
  </si>
  <si>
    <t>1104</t>
  </si>
  <si>
    <t>石越町北郷字新富崎前65</t>
  </si>
  <si>
    <t>1105</t>
  </si>
  <si>
    <t>中田町石森字霜田前57</t>
  </si>
  <si>
    <t>石越町北郷字新富崎前66</t>
  </si>
  <si>
    <t>石越町北郷字新富崎前67</t>
  </si>
  <si>
    <t>石越町北郷字新富崎前68</t>
  </si>
  <si>
    <t>迫町新田中葉ノ木沢40番地ため池</t>
  </si>
  <si>
    <t>迫町新田中葉ノ木沢40番地</t>
  </si>
  <si>
    <t>中田町宝江新井田字南下道60</t>
  </si>
  <si>
    <t>中田町宝江新井田字南下道59</t>
  </si>
  <si>
    <t>石越町北郷字新富崎前70</t>
  </si>
  <si>
    <t>中田町宝江新井田字南下道58</t>
  </si>
  <si>
    <t>石越町北郷字新富崎前71</t>
  </si>
  <si>
    <t>石越町北郷字新東46</t>
  </si>
  <si>
    <t>1201</t>
  </si>
  <si>
    <t>中田町宝江新井田字南下道57</t>
  </si>
  <si>
    <t>迫町北方字三ツ目沢41</t>
  </si>
  <si>
    <t>中田町宝江新井田字南下道56</t>
  </si>
  <si>
    <t>石越町北郷字新富崎前72</t>
  </si>
  <si>
    <t>石越町北郷字新大和田60</t>
  </si>
  <si>
    <t>中田町宝江新井田字南下道55</t>
  </si>
  <si>
    <t>中田町宝江新井田字南下道61</t>
  </si>
  <si>
    <t>中田町上沼字新南要害浦84</t>
  </si>
  <si>
    <t>石越町北郷字新富崎前74</t>
  </si>
  <si>
    <t>中田町宝江新井田字南下道63</t>
  </si>
  <si>
    <t>石越町北郷字新富崎前75</t>
  </si>
  <si>
    <t>中田町宝江新井田字南下道64</t>
  </si>
  <si>
    <t>中田町上沼字新南要害浦83</t>
  </si>
  <si>
    <t>中田町宝江新井田字南下道65</t>
  </si>
  <si>
    <t>中田町宝江新井田字南下道66</t>
  </si>
  <si>
    <t>中田町宝江新井田字南下道67</t>
  </si>
  <si>
    <t>石越町北郷字新富崎前76</t>
  </si>
  <si>
    <t>中田町石森字新牡丹埣103</t>
  </si>
  <si>
    <t>中田町石森字新牡丹埣104</t>
  </si>
  <si>
    <t>石越町北郷字新大和田61</t>
  </si>
  <si>
    <t>中田町石森字新牡丹埣105</t>
  </si>
  <si>
    <t>中田町石森字新牡丹埣106</t>
  </si>
  <si>
    <t>石越町北郷字新大和田62</t>
  </si>
  <si>
    <t>中田町石森字新牡丹埣107</t>
  </si>
  <si>
    <t>中田町石森字新牡丹埣110</t>
  </si>
  <si>
    <t>石越町北郷字新大和田63</t>
  </si>
  <si>
    <t>中田町石森字新牡丹埣112</t>
  </si>
  <si>
    <t>中田町石森字新牡丹埣115</t>
  </si>
  <si>
    <t>石越町北郷字新大和田64</t>
  </si>
  <si>
    <t>中田町石森字霜田前53</t>
  </si>
  <si>
    <t>中田町石森字新牡丹埣116</t>
  </si>
  <si>
    <t>中田町石森字新牡丹埣118</t>
  </si>
  <si>
    <t>石越町北郷字新大和田65</t>
  </si>
  <si>
    <t>中田町石森字新牡丹埣119</t>
  </si>
  <si>
    <t>中田町石森字新牡丹埣123</t>
  </si>
  <si>
    <t>石越町北郷字新大和田66</t>
  </si>
  <si>
    <t>中田町石森字新牡丹埣124</t>
  </si>
  <si>
    <t>中田町石森字新牡丹埣125</t>
  </si>
  <si>
    <t>中田町石森字新牡丹埣127</t>
  </si>
  <si>
    <t>中田町石森字新西細谷122</t>
  </si>
  <si>
    <t>石越町北郷字新大和田67</t>
  </si>
  <si>
    <t>石越町北郷字新丸谷地73</t>
  </si>
  <si>
    <t>中田町石森字新西細谷123</t>
  </si>
  <si>
    <t>中田町石森字新西細谷124</t>
  </si>
  <si>
    <t>石越町北郷字新丸谷地74</t>
  </si>
  <si>
    <t>中田町石森字新西細谷125</t>
  </si>
  <si>
    <t>中田町石森字新西細谷126</t>
  </si>
  <si>
    <t>迫町新田南深沢12番地ため池</t>
  </si>
  <si>
    <t>迫町新田南深沢12番地</t>
  </si>
  <si>
    <t>中田町石森字新西細谷127</t>
  </si>
  <si>
    <t>中田町石森字新西細谷128</t>
  </si>
  <si>
    <t>中田町石森字新西細谷129</t>
  </si>
  <si>
    <t>中田町石森字新西細谷130</t>
  </si>
  <si>
    <t>石越町北郷字新丸谷地76</t>
  </si>
  <si>
    <t>石越町北郷字新丸谷地77</t>
  </si>
  <si>
    <t>中田町石森字新西細谷131</t>
  </si>
  <si>
    <t>迫町北方字来田126</t>
  </si>
  <si>
    <t>中田町石森字新西細谷132</t>
  </si>
  <si>
    <t>登米町大字日根牛新五郎峯139</t>
  </si>
  <si>
    <t>石越町北郷字新丸谷地78</t>
  </si>
  <si>
    <t>中田町石森字新西細谷133</t>
  </si>
  <si>
    <t>登米町大字日根牛新峯畑122</t>
  </si>
  <si>
    <t>中田町石森字新西細谷134</t>
  </si>
  <si>
    <t>迫町新田小待井19番地ため池</t>
  </si>
  <si>
    <t>迫町新田小待井19番地</t>
  </si>
  <si>
    <t>石越町北郷字新丸谷地79</t>
  </si>
  <si>
    <t>中田町上沼字揚地南26</t>
  </si>
  <si>
    <t>中田町石森字新西細谷135</t>
  </si>
  <si>
    <t>登米町大字日根牛新峯畑129</t>
  </si>
  <si>
    <t>中田町石森字新西細谷136</t>
  </si>
  <si>
    <t>中田町浅水字曲袋北104</t>
  </si>
  <si>
    <t>中田町石森字新西細谷137</t>
  </si>
  <si>
    <t>迫町北方字天形173-1</t>
  </si>
  <si>
    <t>中田町石森字新西細谷138</t>
  </si>
  <si>
    <t>登米町大字日根牛新峯畑124</t>
  </si>
  <si>
    <t>石越町北郷字新丸谷地80</t>
  </si>
  <si>
    <t>登米町大字日根牛新五郎峯138</t>
  </si>
  <si>
    <t>石越町北郷字新丸谷地81</t>
  </si>
  <si>
    <t>用悪水路（南方町細川地内）</t>
  </si>
  <si>
    <t>南方町細川</t>
  </si>
  <si>
    <t>1275</t>
  </si>
  <si>
    <t>中田町石森字新西細谷140</t>
  </si>
  <si>
    <t>中田町石森字新西細谷141</t>
  </si>
  <si>
    <t>中田町宝江新井田字西芝尻80</t>
  </si>
  <si>
    <t>石越町北郷字新丸谷地82</t>
  </si>
  <si>
    <t>登米町大字日根牛新峯畑135</t>
  </si>
  <si>
    <t>中田町石森字新西細谷143</t>
  </si>
  <si>
    <t>中田町宝江新井田字南下道54</t>
  </si>
  <si>
    <t>中田町石森字新西細谷144</t>
  </si>
  <si>
    <t>登米町大字日根牛新五郎峯140</t>
  </si>
  <si>
    <t>石越町北郷字新丸谷地83</t>
  </si>
  <si>
    <t>中田町上沼字新大柳26</t>
  </si>
  <si>
    <t>中田町石森字新西細谷146</t>
  </si>
  <si>
    <t>中田町浅水字曲袋南92</t>
  </si>
  <si>
    <t>中田町石森字新西細谷147</t>
  </si>
  <si>
    <t>中田町上沼字新大柳28</t>
  </si>
  <si>
    <t>石越町北郷字新丸谷地84</t>
  </si>
  <si>
    <t>中田町石森字新西細谷148</t>
  </si>
  <si>
    <t>中田町宝江新井田字東大谷地51</t>
  </si>
  <si>
    <t>中田町石森字新西細谷149</t>
  </si>
  <si>
    <t>中田町上沼字新大柳32</t>
  </si>
  <si>
    <t>石越町北郷字新丸谷地85</t>
  </si>
  <si>
    <t>中田町宝江新井田字西芝尻85</t>
  </si>
  <si>
    <t>中田町上沼字新南要害浦80</t>
  </si>
  <si>
    <t>迫町新田南深沢4番地ため池</t>
  </si>
  <si>
    <t>AsyzAP042120006：南深沢（２）溜池</t>
  </si>
  <si>
    <t>迫町新田南深沢4番地</t>
  </si>
  <si>
    <t>中田町上沼字新八幡浦54</t>
  </si>
  <si>
    <t>中田町宝江新井田字東大谷地54</t>
  </si>
  <si>
    <t>中田町石森字新西細谷150</t>
  </si>
  <si>
    <t>登米町大字日根牛新中田69</t>
  </si>
  <si>
    <t>中田町石森字新西細谷151</t>
  </si>
  <si>
    <t>登米町大字日根牛新五郎峯144</t>
  </si>
  <si>
    <t>石越町北郷字新丸谷地86</t>
  </si>
  <si>
    <t>迫町新田字菱ノ倉19</t>
  </si>
  <si>
    <t>中田町石森字新西細谷152</t>
  </si>
  <si>
    <t>中田町上沼字新御蔵42</t>
  </si>
  <si>
    <t>中田町石森字新西細谷153</t>
  </si>
  <si>
    <t>中田町石森字野元北59</t>
  </si>
  <si>
    <t>石越町北郷字新丸谷地87</t>
  </si>
  <si>
    <t>中田町石森字新西細谷154</t>
  </si>
  <si>
    <t>中田町石森字新西細谷155</t>
  </si>
  <si>
    <t>登米町大字日根牛新五郎峯162</t>
  </si>
  <si>
    <t>中田町石森字西田南148</t>
  </si>
  <si>
    <t>中田町上沼字揚地南28</t>
  </si>
  <si>
    <t>中田町石森字西田南149</t>
  </si>
  <si>
    <t>登米町大字日根牛新峯畑134</t>
  </si>
  <si>
    <t>石越町北郷字新丸谷地88</t>
  </si>
  <si>
    <t>迫町新田台所60番地ため池</t>
  </si>
  <si>
    <t>迫町新田台所60番地</t>
  </si>
  <si>
    <t>石越町北郷字新丸谷地89</t>
  </si>
  <si>
    <t>登米町大字日根牛新五郎峯149</t>
  </si>
  <si>
    <t>中田町石森字西田南150</t>
  </si>
  <si>
    <t>登米町大字日根牛新五郎峯167</t>
  </si>
  <si>
    <t>中田町石森字西田南151</t>
  </si>
  <si>
    <t>登米町大字日根牛新五郎峯142</t>
  </si>
  <si>
    <t>中田町上沼字新南要害浦79</t>
  </si>
  <si>
    <t>登米町大字日根牛新五郎峯157</t>
  </si>
  <si>
    <t>石越町北郷字新丸谷地90</t>
  </si>
  <si>
    <t>中田町浅水字曲袋北103</t>
  </si>
  <si>
    <t>中田町石森字西田南153</t>
  </si>
  <si>
    <t>登米町大字日根牛新五郎峯155</t>
  </si>
  <si>
    <t>中田町石森字西田南154</t>
  </si>
  <si>
    <t>中田町上沼字新大柳37</t>
  </si>
  <si>
    <t>石越町北郷字新丸谷地91</t>
  </si>
  <si>
    <t>登米町大字日根牛新北沢52</t>
  </si>
  <si>
    <t>中田町石森字西田南155</t>
  </si>
  <si>
    <t>中田町浅水字曲袋北108</t>
  </si>
  <si>
    <t>中田町石森字西田南156</t>
  </si>
  <si>
    <t>登米町大字日根牛新峯畑136</t>
  </si>
  <si>
    <t>中田町石森字西田南157</t>
  </si>
  <si>
    <t>登米町大字日根牛新五郎峯156</t>
  </si>
  <si>
    <t>中田町石森字西田南158</t>
  </si>
  <si>
    <t>登米町大字日根牛新五郎峯148</t>
  </si>
  <si>
    <t>石越町北郷字新丸谷地92</t>
  </si>
  <si>
    <t>登米町大字日根牛新中田70</t>
  </si>
  <si>
    <t>石越町北郷字新傾城渕68</t>
  </si>
  <si>
    <t>中田町宝江新井田字西芝尻82</t>
  </si>
  <si>
    <t>中田町石森字西田南159</t>
  </si>
  <si>
    <t>中田町宝江新井田字西芝尻79</t>
  </si>
  <si>
    <t>中田町石森字西田南160</t>
  </si>
  <si>
    <t>迫町新田字菱ノ倉10-1</t>
  </si>
  <si>
    <t>石越町北郷字新傾城渕69</t>
  </si>
  <si>
    <t>登米町大字日根牛新五郎峯165</t>
  </si>
  <si>
    <t>中田町石森字西田南161</t>
  </si>
  <si>
    <t>登米町大字日根牛新峯畑126</t>
  </si>
  <si>
    <t>中田町石森字西田南162</t>
  </si>
  <si>
    <t>登米町大字日根牛新五郎峯154</t>
  </si>
  <si>
    <t>中田町上沼字新南要害浦78</t>
  </si>
  <si>
    <t>登米町大字日根牛新五郎峯137</t>
  </si>
  <si>
    <t>石越町北郷字新傾城渕70</t>
  </si>
  <si>
    <t>石越町北郷字新押込55</t>
  </si>
  <si>
    <t>中田町石森字西田南163</t>
  </si>
  <si>
    <t>中田町浅水字曲袋南96</t>
  </si>
  <si>
    <t>中田町石森字西田南164</t>
  </si>
  <si>
    <t>登米町大字日根牛新五郎峯151</t>
  </si>
  <si>
    <t>中田町石森字西田南165</t>
  </si>
  <si>
    <t>中田町石森字西田南166</t>
  </si>
  <si>
    <t>中田町宝江新井田字東大谷地49</t>
  </si>
  <si>
    <t>石越町北郷字新傾城渕71</t>
  </si>
  <si>
    <t>中田町浅水字曲袋南94</t>
  </si>
  <si>
    <t>石越町北郷字新傾城渕72</t>
  </si>
  <si>
    <t>中田町浅水字曲袋北106</t>
  </si>
  <si>
    <t>中田町上沼字新南要害浦77</t>
  </si>
  <si>
    <t>中田町石森字西田南167</t>
  </si>
  <si>
    <t>中田町浅水字曲袋南95</t>
  </si>
  <si>
    <t>中田町石森字西田南168</t>
  </si>
  <si>
    <t>登米町大字日根牛新峯畑130</t>
  </si>
  <si>
    <t>石越町北郷字新傾城渕73</t>
  </si>
  <si>
    <t>中田町上沼字揚地南23</t>
  </si>
  <si>
    <t>中田町石森字西田南169</t>
  </si>
  <si>
    <t>中田町石森字西田南170</t>
  </si>
  <si>
    <t>登米町大字日根牛新峯畑141</t>
  </si>
  <si>
    <t>石越町北郷字新傾城渕74</t>
  </si>
  <si>
    <t>登米町大字日根牛新五郎峯136</t>
  </si>
  <si>
    <t>中田町石森字西田北148</t>
  </si>
  <si>
    <t>中田町浅水字曲袋南97</t>
  </si>
  <si>
    <t>中田町石森字西田北149</t>
  </si>
  <si>
    <t>中田町浅水字曲袋南90</t>
  </si>
  <si>
    <t>石越町北郷字新傾城渕75</t>
  </si>
  <si>
    <t>中田町浅水字曲袋南91</t>
  </si>
  <si>
    <t>中田町石森字西田北150</t>
  </si>
  <si>
    <t>登米町大字日根牛新五郎峯160</t>
  </si>
  <si>
    <t>中田町石森字西田北151</t>
  </si>
  <si>
    <t>登米町大字日根牛新峯畑127</t>
  </si>
  <si>
    <t>石越町北郷字新傾城渕76</t>
  </si>
  <si>
    <t>中田町上沼字新大柳29</t>
  </si>
  <si>
    <t>中田町石森字霜田前52</t>
  </si>
  <si>
    <t>登米町大字日根牛新五郎峯141</t>
  </si>
  <si>
    <t>中田町石森字西田北152</t>
  </si>
  <si>
    <t>豊里町小口前64-2</t>
  </si>
  <si>
    <t>1991/11/26</t>
  </si>
  <si>
    <t>1277</t>
  </si>
  <si>
    <t>中田町石森字西田北153</t>
  </si>
  <si>
    <t>迫町新田東原51番地ため池</t>
  </si>
  <si>
    <t>迫町新田東原51番地</t>
  </si>
  <si>
    <t>石越町北郷字新傾城渕77</t>
  </si>
  <si>
    <t>中田町石森字西田北154</t>
  </si>
  <si>
    <t>豊里町小口前80-5</t>
  </si>
  <si>
    <t>1278</t>
  </si>
  <si>
    <t>中田町石森字西田北155</t>
  </si>
  <si>
    <t>中田町石森字野元北50</t>
  </si>
  <si>
    <t>石越町北郷字新傾城渕78</t>
  </si>
  <si>
    <t>登米町大字日根牛新峯畑139</t>
  </si>
  <si>
    <t>中田町上沼字新八幡浦59</t>
  </si>
  <si>
    <t>南方町三代前206</t>
  </si>
  <si>
    <t>中田町石森字西田北156</t>
  </si>
  <si>
    <t>中田町上沼字新御蔵41</t>
  </si>
  <si>
    <t>中田町石森字西田北157</t>
  </si>
  <si>
    <t>登米町大字日根牛新五郎峯161</t>
  </si>
  <si>
    <t>石越町北郷字新傾城渕79</t>
  </si>
  <si>
    <t>登米町大字日根牛新峯畑128</t>
  </si>
  <si>
    <t>石越町北郷字新橋向130</t>
  </si>
  <si>
    <t>中田町宝江新井田字東大谷地48</t>
  </si>
  <si>
    <t>中田町石森字西田北158</t>
  </si>
  <si>
    <t>登米町大字日根牛新峯畑120</t>
  </si>
  <si>
    <t>中田町石森字西田北159</t>
  </si>
  <si>
    <t>登米町大字日根牛新五郎峯158</t>
  </si>
  <si>
    <t>石越町北郷字新南62</t>
  </si>
  <si>
    <t>1219</t>
  </si>
  <si>
    <t>登米町大字日根牛新五郎峯164</t>
  </si>
  <si>
    <t>中田町石森字西田北160</t>
  </si>
  <si>
    <t>中田町石森字西田北161</t>
  </si>
  <si>
    <t>中田町石森字野元北52</t>
  </si>
  <si>
    <t>石越町北郷字新橋向128</t>
  </si>
  <si>
    <t>登米町大字日根牛新五郎峯147</t>
  </si>
  <si>
    <t>中田町石森字西田北162</t>
  </si>
  <si>
    <t>迫町新田大田切72番地ため池</t>
  </si>
  <si>
    <t>迫町新田大田切72番地</t>
  </si>
  <si>
    <t>中田町石森字西田北163</t>
  </si>
  <si>
    <t>南方町銭金壇4</t>
  </si>
  <si>
    <t>石越町北郷字新橋向127</t>
  </si>
  <si>
    <t>中田町上沼字新大柳30</t>
  </si>
  <si>
    <t>中田町上沼字新北要害浦69</t>
  </si>
  <si>
    <t>豊里町小口前73-5</t>
  </si>
  <si>
    <t>1276</t>
  </si>
  <si>
    <t>中田町石森字西田北164</t>
  </si>
  <si>
    <t>中田町上沼字新大柳36</t>
  </si>
  <si>
    <t>中田町石森字西田北165</t>
  </si>
  <si>
    <t>石越町北郷字新橋向129</t>
  </si>
  <si>
    <t>中田町上沼字新大柳33</t>
  </si>
  <si>
    <t>中田町石森字南川前93</t>
  </si>
  <si>
    <t>登米町大字日根牛新中田71</t>
  </si>
  <si>
    <t>中田町石森字南川前94</t>
  </si>
  <si>
    <t>登米町大字日根牛新峯畑137</t>
  </si>
  <si>
    <t>石越町北郷字新橋向131</t>
  </si>
  <si>
    <t>迫町新田寺志田58番地ため池</t>
  </si>
  <si>
    <t>迫町新田寺志田58番地</t>
  </si>
  <si>
    <t>中田町石森字南川前95</t>
  </si>
  <si>
    <t>中田町上沼字新大柳34</t>
  </si>
  <si>
    <t>中田町石森字南川前96</t>
  </si>
  <si>
    <t>中田町浅水字曲袋北107</t>
  </si>
  <si>
    <t>石越町北郷字新橋向132</t>
  </si>
  <si>
    <t>中田町上沼字新大柳38</t>
  </si>
  <si>
    <t>中田町石森字南川前97</t>
  </si>
  <si>
    <t>南方町銭金壇73-2</t>
  </si>
  <si>
    <t>中田町石森字南川前98</t>
  </si>
  <si>
    <t>中田町上沼字新南要害浦76</t>
  </si>
  <si>
    <t>中田町上沼字揚地南24</t>
  </si>
  <si>
    <t>石越町北郷字新橋向133</t>
  </si>
  <si>
    <t>登米町大字日根牛新北沢51</t>
  </si>
  <si>
    <t>中田町石森字南川前99</t>
  </si>
  <si>
    <t>中田町石森字南川前100</t>
  </si>
  <si>
    <t>登米町大字日根牛新峯畑132</t>
  </si>
  <si>
    <t>石越町北郷字新橋向134</t>
  </si>
  <si>
    <t>中田町石森字野元北60</t>
  </si>
  <si>
    <t>中田町石森字南川前101</t>
  </si>
  <si>
    <t>登米町大字日根牛新五郎峯152</t>
  </si>
  <si>
    <t>中田町石森字南川前102</t>
  </si>
  <si>
    <t>迫町新田字寺志田114</t>
  </si>
  <si>
    <t>石越町北郷字新橋向135</t>
  </si>
  <si>
    <t>中田町石森字野元北49</t>
  </si>
  <si>
    <t>迫町新田上大田切48番地ため池</t>
  </si>
  <si>
    <t>AsyzAP042120023：上太田切（乙）溜池</t>
  </si>
  <si>
    <t>迫町新田上大田切48番地</t>
  </si>
  <si>
    <t>迫町新田字寺志田4</t>
  </si>
  <si>
    <t>迫町新田高森41番地ため池</t>
  </si>
  <si>
    <t>AsyzAP042120036：高森（２）溜池</t>
  </si>
  <si>
    <t>迫町新田高森41番地</t>
  </si>
  <si>
    <t>迫町新田字寺志田41</t>
  </si>
  <si>
    <t>迫町新田大田切46番地ため池</t>
  </si>
  <si>
    <t>迫町新田大田切46番地</t>
  </si>
  <si>
    <t>迫町新田彦道183-1番地ため池</t>
  </si>
  <si>
    <t>AsyzAP042120076：彦道溜池</t>
  </si>
  <si>
    <t>迫町新田彦道183-1番地</t>
  </si>
  <si>
    <t>南方町外浦61番地ため池</t>
  </si>
  <si>
    <t>南方町外浦61番地</t>
  </si>
  <si>
    <t>東和町米谷根廻169番地ため池</t>
  </si>
  <si>
    <t>AsyzAPH27.3.31産業経済部農林政課所管替予定ため池　042120097：根廻溜池</t>
  </si>
  <si>
    <t>東和町米谷根廻169番地</t>
  </si>
  <si>
    <t>001970:豊里こども園</t>
  </si>
  <si>
    <t>0710079</t>
  </si>
  <si>
    <t>豊里こども園</t>
  </si>
  <si>
    <t>豊里町小口前73-1</t>
  </si>
  <si>
    <t>石越町南郷矢作91番地ため池</t>
  </si>
  <si>
    <t>AsyzAP042120116：御上溜池</t>
  </si>
  <si>
    <t>石越町南郷矢作91番地</t>
  </si>
  <si>
    <t>1015150000:観光シティプロモーション課</t>
  </si>
  <si>
    <t>東和町米谷寺沢129番地ため池</t>
  </si>
  <si>
    <t>東和町米谷寺沢129番地</t>
  </si>
  <si>
    <t>南方町下平貝11番地ため池</t>
  </si>
  <si>
    <t>南方町下平貝11番地</t>
  </si>
  <si>
    <t>2009/03/09</t>
  </si>
  <si>
    <t>2502:訂正処分（減）</t>
  </si>
  <si>
    <t>迫町新田大沢2番地ため池</t>
  </si>
  <si>
    <t>迫町新田大沢2番地</t>
  </si>
  <si>
    <t>南方町銭金壇56-1番地ため池</t>
  </si>
  <si>
    <t>南方町銭金壇56-1番地</t>
  </si>
  <si>
    <t>東和町米谷福平197番地ため池</t>
  </si>
  <si>
    <t>東和町米谷福平197番地</t>
  </si>
  <si>
    <t>迫町新田倉崎194-1番地ため池</t>
  </si>
  <si>
    <t>迫町新田倉崎194-1番地</t>
  </si>
  <si>
    <t>迫町新田南深沢26番地ため池</t>
  </si>
  <si>
    <t>迫町新田南深沢26番地</t>
  </si>
  <si>
    <t>石越町北郷長根94-1番地ため池</t>
  </si>
  <si>
    <t>石越町北郷長根94-1番地</t>
  </si>
  <si>
    <t>米山町桜岡大又190-1番地ため池</t>
  </si>
  <si>
    <t>米山町桜岡大又190-1番地</t>
  </si>
  <si>
    <t>2011/07/04</t>
  </si>
  <si>
    <t>南方町銭金壇26-1番地ため池</t>
  </si>
  <si>
    <t>南方町銭金壇26-1番地</t>
  </si>
  <si>
    <t>米山町善王寺大久保84番地ため池</t>
  </si>
  <si>
    <t>米山町善王寺大久保84番地</t>
  </si>
  <si>
    <t>圃場整備事業による　</t>
  </si>
  <si>
    <t>南方町蛇沼32-1番地ため池</t>
  </si>
  <si>
    <t>南方町蛇沼32-1番地</t>
  </si>
  <si>
    <t>迫町北方南観音寺75番地ため池</t>
  </si>
  <si>
    <t>迫町北方南観音寺75番地</t>
  </si>
  <si>
    <t>迫町新田菱ノ倉28番地ため池</t>
  </si>
  <si>
    <t>AsyzAP042120037：高森（１）溜池</t>
  </si>
  <si>
    <t>迫町新田菱ノ倉28番地</t>
  </si>
  <si>
    <t>迫町新田横沢8番地ため池</t>
  </si>
  <si>
    <t>AsyzAP042120015：横沢溜池</t>
  </si>
  <si>
    <t>迫町新田横沢8番地</t>
  </si>
  <si>
    <t>南方町三代前62番地ため池</t>
  </si>
  <si>
    <t>南方町三代前62番地</t>
  </si>
  <si>
    <t>東和町錦織山沢34番地ため池</t>
  </si>
  <si>
    <t>東和町錦織山沢34番地</t>
  </si>
  <si>
    <t>南方町大上96番地ため池番地ため池</t>
  </si>
  <si>
    <t>南方町大上96番地番地</t>
  </si>
  <si>
    <t>迫町新田舘林70番地ため池</t>
  </si>
  <si>
    <t>AsyzAP042120009：館林（３）溜池</t>
  </si>
  <si>
    <t>迫町新田舘林70番地</t>
  </si>
  <si>
    <t>迫町新田外沢田28番地ため池</t>
  </si>
  <si>
    <t>AsyzAP042120016：大浦前溜池</t>
  </si>
  <si>
    <t>迫町新田外沢田28番地</t>
  </si>
  <si>
    <t>中田町上沼中ノ土手1番地ため池</t>
  </si>
  <si>
    <t>中田町上沼中ノ土手1番地</t>
  </si>
  <si>
    <t>迫町新田字鍛治ケ沢45</t>
  </si>
  <si>
    <t>南方町大森前107番地ため池</t>
  </si>
  <si>
    <t>南方町大森前107番地</t>
  </si>
  <si>
    <t>沢田（その２）溜池</t>
  </si>
  <si>
    <t>AsyzAP迫町新田</t>
  </si>
  <si>
    <t>南方町翌沢203番地ため池</t>
  </si>
  <si>
    <t>南方町翌沢203番地</t>
  </si>
  <si>
    <t>迫町新田下品ノ浦55番地ため池</t>
  </si>
  <si>
    <t>迫町新田下品ノ浦55番地</t>
  </si>
  <si>
    <t>東和町米谷福平63番地ため池</t>
  </si>
  <si>
    <t>東和町米谷福平63番地</t>
  </si>
  <si>
    <t>東和町米谷岩沢110-3番地ため池</t>
  </si>
  <si>
    <t>東和町米谷岩沢110-3番地</t>
  </si>
  <si>
    <t>迫町新田寺志田30番地ため池</t>
  </si>
  <si>
    <t>迫町新田寺志田30番地</t>
  </si>
  <si>
    <t>迫町新田大沢田21番地ため池</t>
  </si>
  <si>
    <t>迫町新田大沢田21番地</t>
  </si>
  <si>
    <t>2017/05/03</t>
  </si>
  <si>
    <t>石越町南郷?台142番地ため池</t>
  </si>
  <si>
    <t>石越町南郷?台142番地</t>
  </si>
  <si>
    <t>豊里町久寿田62-1番地ため池</t>
  </si>
  <si>
    <t>AsyzAP042120105：平筒沼</t>
  </si>
  <si>
    <t>豊里町久寿田62-1番地</t>
  </si>
  <si>
    <t>石越高森公園</t>
  </si>
  <si>
    <t>001792:パークゴルフ場整備用地</t>
  </si>
  <si>
    <t>石越町南郷字高森275-1</t>
  </si>
  <si>
    <t>0440022</t>
  </si>
  <si>
    <t>石越町南郷字高森282</t>
  </si>
  <si>
    <t>迫町新田大沢3番地ため池</t>
  </si>
  <si>
    <t>AsyzAP042120034：番屋溜池</t>
  </si>
  <si>
    <t>迫町新田大沢3番地</t>
  </si>
  <si>
    <t>石越町南郷字高森140</t>
  </si>
  <si>
    <t>迫町新田横沢54番地ため池</t>
  </si>
  <si>
    <t>迫町新田横沢54番地</t>
  </si>
  <si>
    <t>米山町桜岡大又126番地ため池</t>
  </si>
  <si>
    <t>米山町桜岡大又126番地</t>
  </si>
  <si>
    <t>石越町南郷字高森148-1</t>
  </si>
  <si>
    <t>迫町新田上十五丸83番地ため池</t>
  </si>
  <si>
    <t>迫町新田上十五丸83番地</t>
  </si>
  <si>
    <t>石越町南郷字高森179-13</t>
  </si>
  <si>
    <t>迫町新田上大田切15番地ため池</t>
  </si>
  <si>
    <t>迫町新田上大田切15番地</t>
  </si>
  <si>
    <t>迫町新田大田切25番地ため池</t>
  </si>
  <si>
    <t>AsyzAP042120026：西沢（１）溜池</t>
  </si>
  <si>
    <t>迫町新田大田切25番地</t>
  </si>
  <si>
    <t>迫町新田字大浦前44</t>
  </si>
  <si>
    <t>米山町字桜岡貝待井151</t>
  </si>
  <si>
    <t>迫町新田西沢11番地ため池</t>
  </si>
  <si>
    <t>AsyzAP042120025：西沢（２）溜池</t>
  </si>
  <si>
    <t>迫町新田西沢11番地</t>
  </si>
  <si>
    <t>迫町新田小待井11番地ため池</t>
  </si>
  <si>
    <t>AsyzAP042120051：中島溜池</t>
  </si>
  <si>
    <t>迫町新田小待井11番地</t>
  </si>
  <si>
    <t>南方町中ノ口159番地ため池</t>
  </si>
  <si>
    <t>AsyzAP042120139：西中の口３号溜池</t>
  </si>
  <si>
    <t>南方町中ノ口159番地</t>
  </si>
  <si>
    <t>東和町錦織高城山35番地ため池</t>
  </si>
  <si>
    <t>東和町錦織高城山35番地</t>
  </si>
  <si>
    <t>南方町銭金壇4番地ため池</t>
  </si>
  <si>
    <t>南方町銭金壇4番地</t>
  </si>
  <si>
    <t>迫町新田寺志田24番地ため池</t>
  </si>
  <si>
    <t>迫町新田寺志田24番地</t>
  </si>
  <si>
    <t>米山町桜岡大又137-1、138-1番地ため池</t>
  </si>
  <si>
    <t>米山町桜岡大又137-1、138-1番地</t>
  </si>
  <si>
    <t>迫町新田上十五丸75番地ため池</t>
  </si>
  <si>
    <t>迫町新田上十五丸75番地</t>
  </si>
  <si>
    <t>三居溜池</t>
  </si>
  <si>
    <t>AsyzAP中田町上沼字小塚</t>
  </si>
  <si>
    <t>迫町新田字大浦前45</t>
  </si>
  <si>
    <t>迫町新田大形160番地ため池</t>
  </si>
  <si>
    <t>迫町新田大形160番地</t>
  </si>
  <si>
    <t>迫町新田品ノ浦162番地ため池</t>
  </si>
  <si>
    <t>迫町新田品ノ浦162番地</t>
  </si>
  <si>
    <t>東和町米谷照井64番地ため池</t>
  </si>
  <si>
    <t>東和町米谷照井64番地</t>
  </si>
  <si>
    <t>迫町新田大上28番地ため池</t>
  </si>
  <si>
    <t>迫町新田大上28番地</t>
  </si>
  <si>
    <t>迫町新田駒林2番地ため池</t>
  </si>
  <si>
    <t>迫町新田駒林2番地</t>
  </si>
  <si>
    <t>迫町新田錠穴9番地ため池</t>
  </si>
  <si>
    <t>AsyzAP042120035：高森溜池</t>
  </si>
  <si>
    <t>迫町新田錠穴9番地</t>
  </si>
  <si>
    <t>1:売却可能資産</t>
  </si>
  <si>
    <t>迫町新田塒場12番地ため池</t>
  </si>
  <si>
    <t>AsyzAP042120045：沢田溜池</t>
  </si>
  <si>
    <t>迫町新田塒場12番地</t>
  </si>
  <si>
    <t>菱ノ倉２号溜池</t>
  </si>
  <si>
    <t>迫町新田大久保189番地ため池</t>
  </si>
  <si>
    <t>AsyzAP042120029：大形溜池</t>
  </si>
  <si>
    <t>迫町新田大久保189番地</t>
  </si>
  <si>
    <t>南方町八の森40-1</t>
  </si>
  <si>
    <t>迫町新田菱ノ倉22番地ため池</t>
  </si>
  <si>
    <t>迫町新田菱ノ倉22番地</t>
  </si>
  <si>
    <t>井戸沢溜池</t>
  </si>
  <si>
    <t>AsyzAP津山町柳津字黄牛比良159-1</t>
  </si>
  <si>
    <t>迫町新田字大田切57-1</t>
  </si>
  <si>
    <t>迫町新田台所71番地ため池</t>
  </si>
  <si>
    <t>迫町新田台所71番地</t>
  </si>
  <si>
    <t>東和町米谷福平174番地ため池</t>
  </si>
  <si>
    <t>東和町米谷福平174番地</t>
  </si>
  <si>
    <t>石越町東郷黒山81番地ため池</t>
  </si>
  <si>
    <t>石越町東郷黒山81番地</t>
  </si>
  <si>
    <t>錦公園</t>
  </si>
  <si>
    <t>001463:錦公園</t>
  </si>
  <si>
    <t>迫町佐沼字錦138</t>
  </si>
  <si>
    <t>01_01_08:（１）土地及び建物　行政財産　公共用財産　公園</t>
  </si>
  <si>
    <t>0180001</t>
  </si>
  <si>
    <t>迫町新田刈又沢69-1番地ため池</t>
  </si>
  <si>
    <t>AsyzAP042120013：横沢（乙）溜池</t>
  </si>
  <si>
    <t>迫町新田刈又沢69-1番地</t>
  </si>
  <si>
    <t>1981/04/27</t>
  </si>
  <si>
    <t>米山町桜岡大又73-1番地ため池</t>
  </si>
  <si>
    <t>米山町桜岡大又73-1番地</t>
  </si>
  <si>
    <t>中江東公園</t>
  </si>
  <si>
    <t>001464:中江東公園</t>
  </si>
  <si>
    <t>迫町佐沼字中江一丁目4-1</t>
  </si>
  <si>
    <t>0180002</t>
  </si>
  <si>
    <t>迫町新田畑中44番地ため池</t>
  </si>
  <si>
    <t>迫町新田畑中44番地</t>
  </si>
  <si>
    <t>2016/10/07</t>
  </si>
  <si>
    <t>迫町新田字田上101</t>
  </si>
  <si>
    <t>上屋浦児童遊園</t>
  </si>
  <si>
    <t>001680:上屋浦児童遊園</t>
  </si>
  <si>
    <t>警防課へ所管替（乾燥塔4.0㎡、ポンプ置場19.87㎡）　</t>
  </si>
  <si>
    <t>豊里町上屋浦214-4</t>
  </si>
  <si>
    <t>1982/08/20</t>
  </si>
  <si>
    <t>0270005</t>
  </si>
  <si>
    <t>南方東郷児童遊園</t>
  </si>
  <si>
    <t>001679:南方東郷児童遊園</t>
  </si>
  <si>
    <t>1973/01/30</t>
  </si>
  <si>
    <t>南方町堂地220-1</t>
  </si>
  <si>
    <t>1974/07/17</t>
  </si>
  <si>
    <t>0270004</t>
  </si>
  <si>
    <t>迫谷地児童遊園</t>
  </si>
  <si>
    <t>001676:迫谷地児童遊園</t>
  </si>
  <si>
    <t>1987/09/09</t>
  </si>
  <si>
    <t>迫町北方字新谷地113</t>
  </si>
  <si>
    <t>0270001</t>
  </si>
  <si>
    <t>中江西公園</t>
  </si>
  <si>
    <t>001465:中江西公園</t>
  </si>
  <si>
    <t>迫町佐沼字中江五丁目3-2</t>
  </si>
  <si>
    <t>1998/12/15</t>
  </si>
  <si>
    <t>0180003</t>
  </si>
  <si>
    <t>用水溜池</t>
  </si>
  <si>
    <t>001671:用水溜池</t>
  </si>
  <si>
    <t>地蔵沼　</t>
  </si>
  <si>
    <t>中田町上沼字中ノ土手1</t>
  </si>
  <si>
    <t>0260033</t>
  </si>
  <si>
    <t>迫町新田外沢田43番地ため池</t>
  </si>
  <si>
    <t>AsyzAP042120021：外沢田溜池</t>
  </si>
  <si>
    <t>迫町新田外沢田43番地</t>
  </si>
  <si>
    <t>アギナシ沢　</t>
  </si>
  <si>
    <t>中田町上沼字大泉伊勢山46</t>
  </si>
  <si>
    <t>0260036</t>
  </si>
  <si>
    <t>南方町中ノ口120番地ため池</t>
  </si>
  <si>
    <t>AsyzAP042120133：雷神１号溜池</t>
  </si>
  <si>
    <t>南方町中ノ口120番地</t>
  </si>
  <si>
    <t>迫町北方新三ツ目沢57番地ため池</t>
  </si>
  <si>
    <t>AsyzAP042120002：三ツ目沢溜池</t>
  </si>
  <si>
    <t>迫町北方新三ツ目沢57番地</t>
  </si>
  <si>
    <t>東和町米谷福平5番地ため池</t>
  </si>
  <si>
    <t>東和町米谷福平5番地</t>
  </si>
  <si>
    <t>迫町新田田上22-1番地ため池</t>
  </si>
  <si>
    <t>AsyzAP042120074：田上２号溜池</t>
  </si>
  <si>
    <t>迫町新田田上22-1番地</t>
  </si>
  <si>
    <t>石越町北郷九輪堂29番地ため池</t>
  </si>
  <si>
    <t>AsyzAP042120150：野庭前溜池</t>
  </si>
  <si>
    <t>石越町北郷九輪堂29番地</t>
  </si>
  <si>
    <t>中江南公園</t>
  </si>
  <si>
    <t>001466:中江南公園</t>
  </si>
  <si>
    <t>迫町佐沼字中江三丁目3-2</t>
  </si>
  <si>
    <t>0180004</t>
  </si>
  <si>
    <t>米山町桜岡大又100-2番地ため池</t>
  </si>
  <si>
    <t>米山町桜岡大又100-2番地</t>
  </si>
  <si>
    <t>石越町南郷田上47番地ため池</t>
  </si>
  <si>
    <t>AsyzAP042120110：日向溜池</t>
  </si>
  <si>
    <t>石越町南郷田上47番地</t>
  </si>
  <si>
    <t>東和町米谷福平192番地ため池</t>
  </si>
  <si>
    <t>東和町米谷福平192番地</t>
  </si>
  <si>
    <t>迫町新田寺志田39-2番地ため池</t>
  </si>
  <si>
    <t>AsyzAP042120044：寺志田溜池</t>
  </si>
  <si>
    <t>迫町新田寺志田39-2番地</t>
  </si>
  <si>
    <t>迫町新田狼ノ欠39-1番地ため池</t>
  </si>
  <si>
    <t>迫町新田狼ノ欠39-1番地</t>
  </si>
  <si>
    <t>石越町東郷苦木136番地ため池</t>
  </si>
  <si>
    <t>石越町東郷苦木136番地</t>
  </si>
  <si>
    <t>東和町錦織土手外1番地ため池</t>
  </si>
  <si>
    <t>東和町錦織土手外1番地</t>
  </si>
  <si>
    <t>迫町新田十五丸26番地ため池</t>
  </si>
  <si>
    <t>迫町新田十五丸26番地</t>
  </si>
  <si>
    <t>南方町苔野谷地54-1番地ため池</t>
  </si>
  <si>
    <t>南方町苔野谷地54-1番地</t>
  </si>
  <si>
    <t>迫町新田山居107番地ため池</t>
  </si>
  <si>
    <t>迫町新田山居107番地</t>
  </si>
  <si>
    <t>迫町新田寺志田57番地ため池</t>
  </si>
  <si>
    <t>迫町新田寺志田57番地</t>
  </si>
  <si>
    <t>迫町新田刈又沢79番地ため池</t>
  </si>
  <si>
    <t>迫町新田刈又沢79番地</t>
  </si>
  <si>
    <t>南方町銭金壇73-2番地ため池</t>
  </si>
  <si>
    <t>南方町銭金壇73-2番地</t>
  </si>
  <si>
    <t>迫町新田刈又沢132番地ため池</t>
  </si>
  <si>
    <t>迫町新田刈又沢132番地</t>
  </si>
  <si>
    <t>南佐沼公園</t>
  </si>
  <si>
    <t>001467:南佐沼公園</t>
  </si>
  <si>
    <t>迫町佐沼字南佐沼二丁目3-5</t>
  </si>
  <si>
    <t>0180005</t>
  </si>
  <si>
    <t>迫町新田堤田6-3番地ため池</t>
  </si>
  <si>
    <t>迫町新田堤田6-3番地</t>
  </si>
  <si>
    <t>南方町柳沢73番地ため池</t>
  </si>
  <si>
    <t>南方町柳沢73番地</t>
  </si>
  <si>
    <t>豊里町久寿田64-8番地ため池</t>
  </si>
  <si>
    <t>豊里町久寿田64-8番地</t>
  </si>
  <si>
    <t>迫町新田舘林67番地ため池</t>
  </si>
  <si>
    <t>迫町新田舘林67番地</t>
  </si>
  <si>
    <t>迫町新田田上22-2番地ため池</t>
  </si>
  <si>
    <t>迫町新田田上22-2番地</t>
  </si>
  <si>
    <t>中田町上沼内ノ目130-1番地ため池</t>
  </si>
  <si>
    <t>中田町上沼内ノ目130-1番地</t>
  </si>
  <si>
    <t>迫町新田山ノ神89番地ため池</t>
  </si>
  <si>
    <t>AsyzAP042120004：山の神上溜池</t>
  </si>
  <si>
    <t>迫町新田山ノ神89番地</t>
  </si>
  <si>
    <t>迫町新田下十五丸65番地ため池</t>
  </si>
  <si>
    <t>AsyzAP042120052：下十五丸溜池</t>
  </si>
  <si>
    <t>迫町新田下十五丸65番地</t>
  </si>
  <si>
    <t>東和町米川西綱木1-1番地ため池</t>
  </si>
  <si>
    <t>東和町米川西綱木1-1番地</t>
  </si>
  <si>
    <t>迫町新田上立戸57番地ため池</t>
  </si>
  <si>
    <t>AsyzAP042120065：上立戸１号溜池</t>
  </si>
  <si>
    <t>迫町新田上立戸57番地</t>
  </si>
  <si>
    <t>梅ノ木1号公園</t>
  </si>
  <si>
    <t>001468:梅ノ木1号公園</t>
  </si>
  <si>
    <t>迫町佐沼字八幡三丁目3-2</t>
  </si>
  <si>
    <t>0180006</t>
  </si>
  <si>
    <t>東和町米川小出沢15-1番地ため池</t>
  </si>
  <si>
    <t>東和町米川小出沢15-1番地</t>
  </si>
  <si>
    <t>南方町翌沢207番地ため池</t>
  </si>
  <si>
    <t>南方町翌沢207番地</t>
  </si>
  <si>
    <t>東和町錦織萱野1-1番地ため池</t>
  </si>
  <si>
    <t>AsyzAPH27.3.31産業経済部農林政課所管替予定ため池　042120093：萱野溜池</t>
  </si>
  <si>
    <t>東和町錦織萱野1-1番地</t>
  </si>
  <si>
    <t>東和町米谷岩沢107-2番地ため池</t>
  </si>
  <si>
    <t>AsyzAPH27.3.31産業経済部農林政課所管替予定ため池　042120085：耳取（２）溜池</t>
  </si>
  <si>
    <t>東和町米谷岩沢107-2番地</t>
  </si>
  <si>
    <t>石越町東郷蕪木60-3番地ため池</t>
  </si>
  <si>
    <t>AsyzAP042120113：海上連溜池</t>
  </si>
  <si>
    <t>石越町東郷蕪木60-3番地</t>
  </si>
  <si>
    <t>南方町大西2番地ため池</t>
  </si>
  <si>
    <t>南方町大西2番地</t>
  </si>
  <si>
    <t>南方町中ノ口52番地ため池</t>
  </si>
  <si>
    <t>AsyzAP042120156：中の口２号溜池</t>
  </si>
  <si>
    <t>南方町中ノ口52番地</t>
  </si>
  <si>
    <t>下板橋２号溜池</t>
  </si>
  <si>
    <t>津山町柳津黄牛字名19-1地先番地ため池</t>
  </si>
  <si>
    <t>津山町柳津黄牛字名19-1地先番地</t>
  </si>
  <si>
    <t>迫町新田狼ノ欠22番地ため池</t>
  </si>
  <si>
    <t>迫町新田狼ノ欠22番地</t>
  </si>
  <si>
    <t>迫町新田上立戸147番地ため池</t>
  </si>
  <si>
    <t>迫町新田上立戸147番地</t>
  </si>
  <si>
    <t>二百切溜池</t>
  </si>
  <si>
    <t>AsyzAP豊里町大椚</t>
  </si>
  <si>
    <t>南方町三代前208番地ため池</t>
  </si>
  <si>
    <t>南方町三代前208番地</t>
  </si>
  <si>
    <t>迫町新田菱ノ倉12-1番地ため池</t>
  </si>
  <si>
    <t>迫町新田菱ノ倉12-1番地</t>
  </si>
  <si>
    <t>東和町米谷福平52番地ため池</t>
  </si>
  <si>
    <t>東和町米谷福平52番地</t>
  </si>
  <si>
    <t>東和町錦織洞山18番地ため池</t>
  </si>
  <si>
    <t>東和町錦織洞山18番地</t>
  </si>
  <si>
    <t>迫町新田下板橋90番地ため池</t>
  </si>
  <si>
    <t>迫町新田下板橋90番地</t>
  </si>
  <si>
    <t>迫町新田山居70番地ため池</t>
  </si>
  <si>
    <t>迫町新田山居70番地</t>
  </si>
  <si>
    <t>東和町米谷平倉161番地ため池</t>
  </si>
  <si>
    <t>東和町米谷平倉161番地</t>
  </si>
  <si>
    <t>南方町銭金壇73-1番地ため池</t>
  </si>
  <si>
    <t>AsyzAP042120127：寺下溜池</t>
  </si>
  <si>
    <t>南方町銭金壇73-1番地</t>
  </si>
  <si>
    <t>迫町新田飯島34番地ため池</t>
  </si>
  <si>
    <t>迫町新田飯島34番地</t>
  </si>
  <si>
    <t>梅ノ木2号公園</t>
  </si>
  <si>
    <t>001469:梅ノ木2号公園</t>
  </si>
  <si>
    <t>迫町佐沼字八幡一丁目9-3</t>
  </si>
  <si>
    <t>0180007</t>
  </si>
  <si>
    <t>南方町中須崎224番地ため池</t>
  </si>
  <si>
    <t>南方町中須崎224番地</t>
  </si>
  <si>
    <t>豊里町上沼田11-2番地ため池</t>
  </si>
  <si>
    <t>豊里町上沼田11-2番地</t>
  </si>
  <si>
    <t>東和町米谷宮ヶ沢94番地ため池</t>
  </si>
  <si>
    <t>東和町米谷宮ヶ沢94番地</t>
  </si>
  <si>
    <t>迫町新田下葉ノ木沢8番地ため池</t>
  </si>
  <si>
    <t>迫町新田下葉ノ木沢8番地</t>
  </si>
  <si>
    <t>迫町新田山崎146番地ため池</t>
  </si>
  <si>
    <t>迫町新田山崎146番地</t>
  </si>
  <si>
    <t>迫町新田大浦前44番地ため池</t>
  </si>
  <si>
    <t>迫町新田大浦前44番地</t>
  </si>
  <si>
    <t>南方町板ケ沢78番地ため池番地ため池</t>
  </si>
  <si>
    <t>南方町板ケ沢78番地番地</t>
  </si>
  <si>
    <t>柳沢溜池</t>
  </si>
  <si>
    <t>AsyzAP石越町南郷字高森１１９</t>
  </si>
  <si>
    <t>東和町米川町下55-1番地ため池</t>
  </si>
  <si>
    <t>東和町米川町下55-1番地</t>
  </si>
  <si>
    <t>入の沢上溜池</t>
  </si>
  <si>
    <t>AsyzAP石越町南郷字高森２８１</t>
  </si>
  <si>
    <t>迫町新田寺志田41番地ため池</t>
  </si>
  <si>
    <t>AsyzAP042120043：下駒林溜池</t>
  </si>
  <si>
    <t>迫町新田寺志田41番地</t>
  </si>
  <si>
    <t>南方町実沢157-4番地ため池</t>
  </si>
  <si>
    <t>南方町実沢157-4番地</t>
  </si>
  <si>
    <t>梅ノ木3号公園</t>
  </si>
  <si>
    <t>001470:梅ノ木3号公園</t>
  </si>
  <si>
    <t>迫町佐沼字梅ノ木三丁目5-12</t>
  </si>
  <si>
    <t>0180008</t>
  </si>
  <si>
    <t>石越町北郷中沢106番地ため池</t>
  </si>
  <si>
    <t>AsyzAP042120120：堂地溜池</t>
  </si>
  <si>
    <t>石越町北郷中沢106番地</t>
  </si>
  <si>
    <t>迫町新田小友2番地ため池</t>
  </si>
  <si>
    <t>AsyzAP042120030：山守屋敷（１）溜池</t>
  </si>
  <si>
    <t>迫町新田小友2番地</t>
  </si>
  <si>
    <t>迫町北方川戸沼53番地ため池</t>
  </si>
  <si>
    <t>迫町北方川戸沼53番地</t>
  </si>
  <si>
    <t>梅ノ木4号公園</t>
  </si>
  <si>
    <t>001471:梅ノ木4号公園</t>
  </si>
  <si>
    <t>迫町佐沼字梅ノ木五丁目3-1</t>
  </si>
  <si>
    <t>1999/08/10</t>
  </si>
  <si>
    <t>0180009</t>
  </si>
  <si>
    <t>米山町桜岡貝待井16番地ため池</t>
  </si>
  <si>
    <t>米山町桜岡貝待井16番地</t>
  </si>
  <si>
    <t>南方町中ノ口52</t>
  </si>
  <si>
    <t>道木溜池</t>
  </si>
  <si>
    <t>AsyzAP東和町米川字道木</t>
  </si>
  <si>
    <t>南方町翌沢202番地ため池</t>
  </si>
  <si>
    <t>南方町翌沢202番地</t>
  </si>
  <si>
    <t>南方町南沢96-2番地ため池</t>
  </si>
  <si>
    <t>南方町南沢96-2番地</t>
  </si>
  <si>
    <t>迫町新田井守沢64番地ため池</t>
  </si>
  <si>
    <t>迫町新田井守沢64番地</t>
  </si>
  <si>
    <t>新堤溜池</t>
  </si>
  <si>
    <t>AsyzAP中田町上沼字大泉</t>
  </si>
  <si>
    <t>萩洗1号公園</t>
  </si>
  <si>
    <t>001472:萩洗1号公園</t>
  </si>
  <si>
    <t>迫町佐沼字萩洗一丁目14-7</t>
  </si>
  <si>
    <t>0180010</t>
  </si>
  <si>
    <t>南方町上平貝187番地ため池</t>
  </si>
  <si>
    <t>南方町上平貝187番地</t>
  </si>
  <si>
    <t>迫町新田菱ノ倉10-1番地ため池</t>
  </si>
  <si>
    <t>迫町新田菱ノ倉10-1番地</t>
  </si>
  <si>
    <t>南方町畑岡41-1番地ため池</t>
  </si>
  <si>
    <t>南方町畑岡41-1番地</t>
  </si>
  <si>
    <t>南方町中須崎46</t>
  </si>
  <si>
    <t>迫町新田北山70番地ため池</t>
  </si>
  <si>
    <t>迫町新田北山70番地</t>
  </si>
  <si>
    <t>迫町新田外沢田70番地ため池</t>
  </si>
  <si>
    <t>迫町新田外沢田70番地</t>
  </si>
  <si>
    <t>迫町新田台所77番地ため池</t>
  </si>
  <si>
    <t>迫町新田台所77番地</t>
  </si>
  <si>
    <t>南方町中ノ口50</t>
  </si>
  <si>
    <t>迫町新田田上70番地ため池</t>
  </si>
  <si>
    <t>迫町新田田上70番地</t>
  </si>
  <si>
    <t>東和町米谷来京74番地ため池</t>
  </si>
  <si>
    <t>AsyzAP042120081：来京（２）溜池</t>
  </si>
  <si>
    <t>東和町米谷来京74番地</t>
  </si>
  <si>
    <t>迫町新田上立戸63番地ため池</t>
  </si>
  <si>
    <t>AsyzAP042120053：上立戸溜池</t>
  </si>
  <si>
    <t>迫町新田上立戸63番地</t>
  </si>
  <si>
    <t>南方町間内下173番地ため池</t>
  </si>
  <si>
    <t>AsyzAP042120131：新山溜池</t>
  </si>
  <si>
    <t>南方町間内下173番地</t>
  </si>
  <si>
    <t>迫町新田山崎145番地ため池</t>
  </si>
  <si>
    <t>迫町新田山崎145番地</t>
  </si>
  <si>
    <t>米山町桜岡貝待井151番地ため池</t>
  </si>
  <si>
    <t>米山町桜岡貝待井151番地</t>
  </si>
  <si>
    <t>南方町実沢154-2番地ため池</t>
  </si>
  <si>
    <t>南方町実沢154-2番地</t>
  </si>
  <si>
    <t>東和町米谷天神前31番地ため池</t>
  </si>
  <si>
    <t>東和町米谷天神前31番地</t>
  </si>
  <si>
    <t>萩洗2号公園</t>
  </si>
  <si>
    <t>001473:萩洗2号公園</t>
  </si>
  <si>
    <t>迫町佐沼字江合三丁目7-5</t>
  </si>
  <si>
    <t>0180011</t>
  </si>
  <si>
    <t>南方町下新山61番地ため池</t>
  </si>
  <si>
    <t>南方町下新山61番地</t>
  </si>
  <si>
    <t>迫町新田北深沢206-1番地ため池</t>
  </si>
  <si>
    <t>迫町新田北深沢206-1番地</t>
  </si>
  <si>
    <t>南方町中ノ口78-1</t>
  </si>
  <si>
    <t>東和町米谷福平183番地ため池</t>
  </si>
  <si>
    <t>東和町米谷福平183番地</t>
  </si>
  <si>
    <t>東和町錦織川端125-1番地ため池</t>
  </si>
  <si>
    <t>東和町錦織川端125-1番地</t>
  </si>
  <si>
    <t>迫町新田刈又沢17番地ため池</t>
  </si>
  <si>
    <t>AsyzAP042120014：横沢（甲）溜池</t>
  </si>
  <si>
    <t>迫町新田刈又沢17番地</t>
  </si>
  <si>
    <t>東和町米川町裏21-2番地ため池</t>
  </si>
  <si>
    <t>東和町米川町裏21-2番地</t>
  </si>
  <si>
    <t>迫町新田舘林72番地ため池</t>
  </si>
  <si>
    <t>迫町新田舘林72番地</t>
  </si>
  <si>
    <t>東和町錦織土手外137番地ため池</t>
  </si>
  <si>
    <t>東和町錦織土手外137番地</t>
  </si>
  <si>
    <t>迫町新田十五丸34番地ため池</t>
  </si>
  <si>
    <t>迫町新田十五丸34番地</t>
  </si>
  <si>
    <t>迫町新田畑中25-1番地ため池</t>
  </si>
  <si>
    <t>迫町新田畑中25-1番地</t>
  </si>
  <si>
    <t>石越町南郷新田117番地ため池</t>
  </si>
  <si>
    <t>AsyzAP042120125：二反田溜池</t>
  </si>
  <si>
    <t>石越町南郷新田117番地</t>
  </si>
  <si>
    <t>東和町米谷福平189番地ため池</t>
  </si>
  <si>
    <t>東和町米谷福平189番地</t>
  </si>
  <si>
    <t>なかよし公園</t>
  </si>
  <si>
    <t>001474:なかよし公園</t>
  </si>
  <si>
    <t>中田町石森字加賀野二丁目10-5</t>
  </si>
  <si>
    <t>0180012</t>
  </si>
  <si>
    <t>米山町桜岡大又159-1番地ため池</t>
  </si>
  <si>
    <t>米山町桜岡大又159-1番地</t>
  </si>
  <si>
    <t>迫町新田山崎183番地ため池</t>
  </si>
  <si>
    <t>迫町新田山崎183番地</t>
  </si>
  <si>
    <t>迫町新田西沢38番地ため池</t>
  </si>
  <si>
    <t>迫町新田西沢38番地</t>
  </si>
  <si>
    <t>米山町桜岡貝待井96-1番地ため池</t>
  </si>
  <si>
    <t>米山町桜岡貝待井96-1番地</t>
  </si>
  <si>
    <t>迫町北方北観音寺92番地ため池</t>
  </si>
  <si>
    <t>AsyzAP042120078：北観音寺溜池</t>
  </si>
  <si>
    <t>迫町北方北観音寺92番地</t>
  </si>
  <si>
    <t>館林（１）溜池</t>
  </si>
  <si>
    <t>AsyzAP迫町新田字深沢</t>
  </si>
  <si>
    <t>中田町石森字加賀野二丁目87</t>
  </si>
  <si>
    <t>来京（１）溜池</t>
  </si>
  <si>
    <t>AsyzAP東和町字来京</t>
  </si>
  <si>
    <t>石越町北郷赤谷167番地ため池</t>
  </si>
  <si>
    <t>AsyzAP042120124：寺山溜池</t>
  </si>
  <si>
    <t>石越町北郷赤谷167番地</t>
  </si>
  <si>
    <t>石越町東郷大根沢171-1番地ため池</t>
  </si>
  <si>
    <t>AsyzAP042120114：大根沢（１）溜池</t>
  </si>
  <si>
    <t>石越町東郷大根沢171-1番地</t>
  </si>
  <si>
    <t>石越町東郷大根沢47番地ため池</t>
  </si>
  <si>
    <t>AsyzAP042120108：不動沢溜池</t>
  </si>
  <si>
    <t>石越町東郷大根沢47番地</t>
  </si>
  <si>
    <t>南方町翌沢88番地ため池</t>
  </si>
  <si>
    <t>南方町翌沢88番地</t>
  </si>
  <si>
    <t>迫町新田山守屋敷76番地ため池</t>
  </si>
  <si>
    <t>迫町新田山守屋敷76番地</t>
  </si>
  <si>
    <t>南方町新間内7番地ため池</t>
  </si>
  <si>
    <t>南方町新間内7番地</t>
  </si>
  <si>
    <t>迫町新田刈又沢114番地ため池</t>
  </si>
  <si>
    <t>迫町新田刈又沢114番地</t>
  </si>
  <si>
    <t>迫町新田品ノ浦228番地ため池</t>
  </si>
  <si>
    <t>迫町新田品ノ浦228番地</t>
  </si>
  <si>
    <t>迫町新田井守沢107番地ため池</t>
  </si>
  <si>
    <t>迫町新田井守沢107番地</t>
  </si>
  <si>
    <t>迫町新田山守屋敷209番地ため池</t>
  </si>
  <si>
    <t>迫町新田山守屋敷209番地</t>
  </si>
  <si>
    <t>南方町大森前83番地ため池</t>
  </si>
  <si>
    <t>AsyzAP042120129：鳥の子溜池</t>
  </si>
  <si>
    <t>南方町大森前83番地</t>
  </si>
  <si>
    <t>南方町外浦12番地ため池</t>
  </si>
  <si>
    <t>南方町外浦12番地</t>
  </si>
  <si>
    <t>迫町新田梅ヶ沢43番地ため池</t>
  </si>
  <si>
    <t>迫町新田梅ヶ沢43番地</t>
  </si>
  <si>
    <t>太田切溜池</t>
  </si>
  <si>
    <t>南方町中須崎230-1番地ため池</t>
  </si>
  <si>
    <t>南方町中須崎230-1番地</t>
  </si>
  <si>
    <t>米山町桜岡貝待井66番地ため池</t>
  </si>
  <si>
    <t>米山町桜岡貝待井66番地</t>
  </si>
  <si>
    <t>迫町新田字大浦前43</t>
  </si>
  <si>
    <t>東和町米谷山桑71番地ため池</t>
  </si>
  <si>
    <t>AsyzAPH27.3.31産業経済部農林政課所管替予定ため池　042120083：山桑（２）溜池</t>
  </si>
  <si>
    <t>東和町米谷山桑71番地</t>
  </si>
  <si>
    <t>迫町新田大沢田43番地ため池</t>
  </si>
  <si>
    <t>迫町新田大沢田43番地</t>
  </si>
  <si>
    <t>南方町大嶽山58-1番地ため池</t>
  </si>
  <si>
    <t>南方町大嶽山58-1番地</t>
  </si>
  <si>
    <t>仲の松公園</t>
  </si>
  <si>
    <t>001475:仲の松公園</t>
  </si>
  <si>
    <t>豊里町新田町53-1</t>
  </si>
  <si>
    <t>0180013</t>
  </si>
  <si>
    <t>迫町佐沼丸子13番地ため池</t>
  </si>
  <si>
    <t>迫町佐沼丸子13番地</t>
  </si>
  <si>
    <t>蓬沢溜池</t>
  </si>
  <si>
    <t>AsyzAP豊里町大沢</t>
  </si>
  <si>
    <t>東和町米谷根廻47番地ため池</t>
  </si>
  <si>
    <t>東和町米谷根廻47番地</t>
  </si>
  <si>
    <t>南方町中ノ口127番地ため池</t>
  </si>
  <si>
    <t>AsyzAP042120132：雷神２号溜池</t>
  </si>
  <si>
    <t>南方町中ノ口127番地</t>
  </si>
  <si>
    <t>石越町北郷遠沢162番地ため池</t>
  </si>
  <si>
    <t>石越町北郷遠沢162番地</t>
  </si>
  <si>
    <t>迫町北方来田126番地ため池</t>
  </si>
  <si>
    <t>AsyzAP042120077：来田溜池</t>
  </si>
  <si>
    <t>迫町北方来田126番地</t>
  </si>
  <si>
    <t>南方町苔野谷地39番地ため池</t>
  </si>
  <si>
    <t>南方町苔野谷地39番地</t>
  </si>
  <si>
    <t>東和町米谷細野180番地ため池</t>
  </si>
  <si>
    <t>東和町米谷細野180番地</t>
  </si>
  <si>
    <t>西中の口５号溜池</t>
  </si>
  <si>
    <t>AsyzAP南方町西中の口</t>
  </si>
  <si>
    <t>迫町新田台所64番地ため池</t>
  </si>
  <si>
    <t>迫町新田台所64番地</t>
  </si>
  <si>
    <t>迫町新田菱ノ倉19番地ため池</t>
  </si>
  <si>
    <t>AsyzAP042120038：菱の倉溜池</t>
  </si>
  <si>
    <t>迫町新田菱ノ倉19番地</t>
  </si>
  <si>
    <t>南方町大森前125番地ため池</t>
  </si>
  <si>
    <t>南方町大森前125番地</t>
  </si>
  <si>
    <t>迫町新田大上21番地ため池</t>
  </si>
  <si>
    <t>AsyzAP042120040：品の浦溜池</t>
  </si>
  <si>
    <t>迫町新田大上21番地</t>
  </si>
  <si>
    <t>米山町桜岡貝待井106番地ため池</t>
  </si>
  <si>
    <t>米山町桜岡貝待井106番地</t>
  </si>
  <si>
    <t>迫町新田上大田切40番地ため池</t>
  </si>
  <si>
    <t>迫町新田上大田切40番地</t>
  </si>
  <si>
    <t>迫町新田外沢田27番地ため池</t>
  </si>
  <si>
    <t>迫町新田外沢田27番地</t>
  </si>
  <si>
    <t>南方町横代41-1番地ため池</t>
  </si>
  <si>
    <t>南方町横代41-1番地</t>
  </si>
  <si>
    <t>東和町米谷平倉104番地ため池</t>
  </si>
  <si>
    <t>AsyzAP042120090：平倉（４）溜池</t>
  </si>
  <si>
    <t>東和町米谷平倉104番地</t>
  </si>
  <si>
    <t>迫町新田大久保172番地ため池</t>
  </si>
  <si>
    <t>迫町新田大久保172番地</t>
  </si>
  <si>
    <t>迫町新田錠穴21番地ため池</t>
  </si>
  <si>
    <t>迫町新田錠穴21番地</t>
  </si>
  <si>
    <t>迫町新田横沢78番地ため池</t>
  </si>
  <si>
    <t>AsyzAP042120060：横沢４号溜池</t>
  </si>
  <si>
    <t>迫町新田横沢78番地</t>
  </si>
  <si>
    <t>迫町新田山居1番地ため池</t>
  </si>
  <si>
    <t>AsyzAP042120032：山守屋敷（２）溜池</t>
  </si>
  <si>
    <t>迫町新田山居1番地</t>
  </si>
  <si>
    <t>東和町米谷福平26番地ため池</t>
  </si>
  <si>
    <t>東和町米谷福平26番地</t>
  </si>
  <si>
    <t>迫町新田大樟49番地ため池</t>
  </si>
  <si>
    <t>迫町新田大樟49番地</t>
  </si>
  <si>
    <t>東和町米川大綱木16番地ため池</t>
  </si>
  <si>
    <t>東和町米川大綱木16番地</t>
  </si>
  <si>
    <t>東和町米谷相川17番地ため池</t>
  </si>
  <si>
    <t>東和町米谷相川17番地</t>
  </si>
  <si>
    <t>米山町善王寺朝来下15番地ため池</t>
  </si>
  <si>
    <t>米山町善王寺朝来下15番地</t>
  </si>
  <si>
    <t>南方町柳沢75番地ため池</t>
  </si>
  <si>
    <t>AsyzAP042120134：差橋２号溜池</t>
  </si>
  <si>
    <t>南方町柳沢75番地</t>
  </si>
  <si>
    <t>豊里町新田町53-4</t>
  </si>
  <si>
    <t>石越町南郷?台126番地ため池</t>
  </si>
  <si>
    <t>AsyzAP042120148：北沢溜池</t>
  </si>
  <si>
    <t>石越町南郷?台126番地</t>
  </si>
  <si>
    <t>米山町桜岡大又104-1番地ため池</t>
  </si>
  <si>
    <t>米山町桜岡大又104-1番地</t>
  </si>
  <si>
    <t>南方町大嶽山55番地ため池</t>
  </si>
  <si>
    <t>南方町大嶽山55番地</t>
  </si>
  <si>
    <t>豊里町新田町53-6</t>
  </si>
  <si>
    <t>石越町北郷長根94-2番地ため池</t>
  </si>
  <si>
    <t>AsyzAP042120117：西風田上溜池</t>
  </si>
  <si>
    <t>石越町北郷長根94-2番地</t>
  </si>
  <si>
    <t>迫町新田塒場36番地ため池</t>
  </si>
  <si>
    <t>迫町新田塒場36番地</t>
  </si>
  <si>
    <t>下屋浦公園</t>
  </si>
  <si>
    <t>001476:下屋浦公園</t>
  </si>
  <si>
    <t>下屋浦土地区画整理事業により整備、都市公園として開設　</t>
  </si>
  <si>
    <t>豊里町下屋浦305</t>
  </si>
  <si>
    <t>0180014</t>
  </si>
  <si>
    <t>東和町米川町裏105-1番地ため池</t>
  </si>
  <si>
    <t>東和町米川町裏105-1番地</t>
  </si>
  <si>
    <t>迫町新田山崎196番地ため池</t>
  </si>
  <si>
    <t>迫町新田山崎196番地</t>
  </si>
  <si>
    <t>前田公園</t>
  </si>
  <si>
    <t>001477:前田公園</t>
  </si>
  <si>
    <t>中田町石森字前田46-3</t>
  </si>
  <si>
    <t>0180015</t>
  </si>
  <si>
    <t>石越町北郷中沢79-1番地ため池</t>
  </si>
  <si>
    <t>AsyzAP042120119：中沢溜池</t>
  </si>
  <si>
    <t>石越町北郷中沢79-1番地</t>
  </si>
  <si>
    <t>迫佐沼公園（光ヶ丘球場）</t>
  </si>
  <si>
    <t>001478:迫佐沼公園（光ヶ丘球場）</t>
  </si>
  <si>
    <t>迫総合支所管理迫中継ポンプへ　</t>
  </si>
  <si>
    <t>0180016</t>
  </si>
  <si>
    <t>迫町新田字十五丸34</t>
  </si>
  <si>
    <t>大東公園</t>
  </si>
  <si>
    <t>001479:大東公園</t>
  </si>
  <si>
    <t>2019/03/13</t>
  </si>
  <si>
    <t>迫町佐沼字新大東54</t>
  </si>
  <si>
    <t>0180017</t>
  </si>
  <si>
    <t>迫町佐沼字新大東53</t>
  </si>
  <si>
    <t>中江中央公園</t>
  </si>
  <si>
    <t>001480:中江中央公園</t>
  </si>
  <si>
    <t>迫町佐沼字中江二丁目6-3</t>
  </si>
  <si>
    <t>0180018</t>
  </si>
  <si>
    <t>迫梅ノ木公園（梅ノ木グリーンパーク）</t>
  </si>
  <si>
    <t>001481:迫梅ノ木公園（梅ノ木グリーンパーク）</t>
  </si>
  <si>
    <t>迫町佐沼字梅ノ木二丁目4-4</t>
  </si>
  <si>
    <t>0180019</t>
  </si>
  <si>
    <t>迫町新田錠穴39番地ため池</t>
  </si>
  <si>
    <t>迫町新田錠穴39番地</t>
  </si>
  <si>
    <t>迫町佐沼字梅ノ木二丁目4-3</t>
  </si>
  <si>
    <t>3105:換地（取得）</t>
  </si>
  <si>
    <t>迫町佐沼字梅ノ木二丁目4-5</t>
  </si>
  <si>
    <t>大洞上溜池</t>
  </si>
  <si>
    <t>AsyzAP迫町北方字八ノ森</t>
  </si>
  <si>
    <t>迫町佐沼字梅ノ木二丁目4-1</t>
  </si>
  <si>
    <t>萩洗公園</t>
  </si>
  <si>
    <t>001482:萩洗公園</t>
  </si>
  <si>
    <t>迫町佐沼字江合一丁目6-5</t>
  </si>
  <si>
    <t>0180020</t>
  </si>
  <si>
    <t>石越町東郷大根沢240番地ため池</t>
  </si>
  <si>
    <t>石越町東郷大根沢240番地</t>
  </si>
  <si>
    <t>ぜん荷公園</t>
  </si>
  <si>
    <t>001483:ぜん荷公園</t>
  </si>
  <si>
    <t>東和町米谷字ぜん荷22-5</t>
  </si>
  <si>
    <t>0180021</t>
  </si>
  <si>
    <t>東和町米谷字ぜん荷36</t>
  </si>
  <si>
    <t>東和町米谷字ぜん荷22-6</t>
  </si>
  <si>
    <t>東和町米谷字ぜん荷22-7</t>
  </si>
  <si>
    <t>東和町米谷福平126番地ため池</t>
  </si>
  <si>
    <t>東和町米谷福平126番地</t>
  </si>
  <si>
    <t>東和町米谷字ぜん荷22-2</t>
  </si>
  <si>
    <t>東和町米谷字ぜん荷22-3</t>
  </si>
  <si>
    <t>南方町若狭前192-1番地ため池</t>
  </si>
  <si>
    <t>南方町若狭前192-1番地</t>
  </si>
  <si>
    <t>東和町米谷字ぜん荷53-1</t>
  </si>
  <si>
    <t>かがの公園</t>
  </si>
  <si>
    <t>001484:かがの公園</t>
  </si>
  <si>
    <t>中田町石森字加賀野一丁目65</t>
  </si>
  <si>
    <t>0180022</t>
  </si>
  <si>
    <t>迫町新田塒場25番地ため池</t>
  </si>
  <si>
    <t>迫町新田塒場25番地</t>
  </si>
  <si>
    <t>鹿ヶ城公園（歴史博物館）</t>
  </si>
  <si>
    <t>001485:鹿ヶ城公園</t>
  </si>
  <si>
    <t>迫町佐沼字内町15-3</t>
  </si>
  <si>
    <t>0180024</t>
  </si>
  <si>
    <t>鹿ヶ城公園</t>
  </si>
  <si>
    <t>迫町佐沼字内町29-1</t>
  </si>
  <si>
    <t>0180023</t>
  </si>
  <si>
    <t>迫町佐沼字内町67-5</t>
  </si>
  <si>
    <t>迫町佐沼字内町23-1</t>
  </si>
  <si>
    <t>南方町中須崎224</t>
  </si>
  <si>
    <t>迫町佐沼字内町63-22</t>
  </si>
  <si>
    <t>迫町佐沼字内町12-2</t>
  </si>
  <si>
    <t>迫町佐沼字内町63-29</t>
  </si>
  <si>
    <t>迫町佐沼字内町23-4</t>
  </si>
  <si>
    <t>南方町下平貝259番地ため池</t>
  </si>
  <si>
    <t>南方町下平貝259番地</t>
  </si>
  <si>
    <t>迫町佐沼字内町12-7</t>
  </si>
  <si>
    <t>迫町佐沼字内町63-21</t>
  </si>
  <si>
    <t>迫町佐沼字内町28</t>
  </si>
  <si>
    <t>迫町佐沼字内町10-2</t>
  </si>
  <si>
    <t>迫町佐沼字内町12-8</t>
  </si>
  <si>
    <t>中島（４）溜池</t>
  </si>
  <si>
    <t>AsyzAP迫町新田字十五丸</t>
  </si>
  <si>
    <t>東和町錦織新岩の沢10番地ため池</t>
  </si>
  <si>
    <t>東和町錦織新岩の沢10番地</t>
  </si>
  <si>
    <t>迫町佐沼字内町-道</t>
  </si>
  <si>
    <t>迫町新田小友117番地ため池</t>
  </si>
  <si>
    <t>迫町新田小友117番地</t>
  </si>
  <si>
    <t>迫町佐沼字内町67-1</t>
  </si>
  <si>
    <t>迫町新田境田3番地ため池</t>
  </si>
  <si>
    <t>迫町新田境田3番地</t>
  </si>
  <si>
    <t>迫町佐沼字内町67-7</t>
  </si>
  <si>
    <t>迫町佐沼字内町33-1</t>
  </si>
  <si>
    <t>迫町新田駒林前85番地ため池</t>
  </si>
  <si>
    <t>迫町新田駒林前85番地</t>
  </si>
  <si>
    <t>平成8年3月26日　亘理智胤氏より寄付　</t>
  </si>
  <si>
    <t>迫町佐沼字内町15-1</t>
  </si>
  <si>
    <t>迫町佐沼字内町13-2</t>
  </si>
  <si>
    <t>迫町新田畑中49番地ため池</t>
  </si>
  <si>
    <t>迫町新田畑中49番地</t>
  </si>
  <si>
    <t>迫町佐沼字内町23-6</t>
  </si>
  <si>
    <t>迫町佐沼字内町10-3</t>
  </si>
  <si>
    <t>迫町新田大浦前45番地ため池</t>
  </si>
  <si>
    <t>迫町新田大浦前45番地</t>
  </si>
  <si>
    <t>迫町佐沼字内町14-2</t>
  </si>
  <si>
    <t>迫町佐沼字内町12</t>
  </si>
  <si>
    <t>迫町佐沼字内町63-1</t>
  </si>
  <si>
    <t>迫町佐沼字内町27-1</t>
  </si>
  <si>
    <t>南方町三代前179番地ため池</t>
  </si>
  <si>
    <t>AsyzAP042120130：下新山溜池</t>
  </si>
  <si>
    <t>南方町三代前179番地</t>
  </si>
  <si>
    <t>迫町佐沼字内町15-2</t>
  </si>
  <si>
    <t>迫町佐沼字内町27-3</t>
  </si>
  <si>
    <t>迫町新田西沢28番地ため池</t>
  </si>
  <si>
    <t>迫町新田西沢28番地</t>
  </si>
  <si>
    <t>迫町佐沼字内町63-19</t>
  </si>
  <si>
    <t>迫町佐沼字内町63-20</t>
  </si>
  <si>
    <t>石越町東郷十八引94番地ため池</t>
  </si>
  <si>
    <t>AsyzAP042120146：新墓裏溜池</t>
  </si>
  <si>
    <t>石越町東郷十八引94番地</t>
  </si>
  <si>
    <t>迫町新田上立戸139番地ため池</t>
  </si>
  <si>
    <t>迫町新田上立戸139番地</t>
  </si>
  <si>
    <t>豊里花の公園</t>
  </si>
  <si>
    <t>001487:豊里花の公園</t>
  </si>
  <si>
    <t>豊里町小口前62-5</t>
  </si>
  <si>
    <t>一部用途廃止（308.99㎡）　【現況地積】修正</t>
  </si>
  <si>
    <t>豊里町小口前88</t>
  </si>
  <si>
    <t>0180025</t>
  </si>
  <si>
    <t>迫町新田上大田切28番地ため池</t>
  </si>
  <si>
    <t>迫町新田上大田切28番地</t>
  </si>
  <si>
    <t>迫町新田寺志田4番地ため池</t>
  </si>
  <si>
    <t>AsyzAP042120057：寺志田３号溜池</t>
  </si>
  <si>
    <t>迫町新田寺志田4番地</t>
  </si>
  <si>
    <t>迫町新田飯島21番地ため池</t>
  </si>
  <si>
    <t>迫町新田飯島21番地</t>
  </si>
  <si>
    <t>井守沢溜池</t>
  </si>
  <si>
    <t>AsyzAP迫町新田字品の浦</t>
  </si>
  <si>
    <t>豊里町小口前71-1</t>
  </si>
  <si>
    <t>豊里町上沼田378-2番地ため池</t>
  </si>
  <si>
    <t>豊里町上沼田378-2番地</t>
  </si>
  <si>
    <t>豊里水辺の公園</t>
  </si>
  <si>
    <t>001489:豊里水辺の公園</t>
  </si>
  <si>
    <t>H19.10.1開設　</t>
  </si>
  <si>
    <t>豊里町川前187-1</t>
  </si>
  <si>
    <t>0180027</t>
  </si>
  <si>
    <t>佐沼墓園</t>
  </si>
  <si>
    <t>001491:佐沼墓園</t>
  </si>
  <si>
    <t>迫町佐沼字沼向69-1</t>
  </si>
  <si>
    <t>0180029</t>
  </si>
  <si>
    <t>迫町佐沼字沼向58</t>
  </si>
  <si>
    <t>小池前公園（日根牛地区宅地造成地内）</t>
  </si>
  <si>
    <t>001493:小池前公園</t>
  </si>
  <si>
    <t>登米町大字日根牛小池前5-22</t>
  </si>
  <si>
    <t>0230007</t>
  </si>
  <si>
    <t>迫町新田南深沢6-1番地ため池</t>
  </si>
  <si>
    <t>迫町新田南深沢6-1番地</t>
  </si>
  <si>
    <t>米山ひだまり公園（測量）</t>
  </si>
  <si>
    <t>001494:米山ひだまり公園</t>
  </si>
  <si>
    <t>0180032</t>
  </si>
  <si>
    <t>米山ひだまり公園（都市公園）</t>
  </si>
  <si>
    <t>定住促進住宅地造成事業（中津山地区）により都市公園として整備　</t>
  </si>
  <si>
    <t>米山町中津山字筒場埣229-27</t>
  </si>
  <si>
    <t>東和町錦織山居沢42-1番地ため池</t>
  </si>
  <si>
    <t>東和町錦織山居沢42-1番地</t>
  </si>
  <si>
    <t>迫永田農村公園</t>
  </si>
  <si>
    <t>001495:迫永田農村公園</t>
  </si>
  <si>
    <t>迫町北方字熊沢44-3</t>
  </si>
  <si>
    <t>0190001</t>
  </si>
  <si>
    <t>迫町北方字熊沢44-6</t>
  </si>
  <si>
    <t>東和町米川町下46-1番地ため池</t>
  </si>
  <si>
    <t>東和町米川町下46-1番地</t>
  </si>
  <si>
    <t>迫町北方字熊沢4-3</t>
  </si>
  <si>
    <t>2002/09/09</t>
  </si>
  <si>
    <t>迫町北方字熊沢6-3</t>
  </si>
  <si>
    <t>迫町北方字熊沢5-2</t>
  </si>
  <si>
    <t>迫町北方字熊沢1-4</t>
  </si>
  <si>
    <t>迫坂戸公園</t>
  </si>
  <si>
    <t>001496:迫坂戸公園</t>
  </si>
  <si>
    <t>2007/11/13</t>
  </si>
  <si>
    <t>迫町新田字東坂戸155-4</t>
  </si>
  <si>
    <t>0190002</t>
  </si>
  <si>
    <t>迫泥内農村公園</t>
  </si>
  <si>
    <t>001497:迫泥内農村公園</t>
  </si>
  <si>
    <t>迫町北方字新土手ノ内71-1</t>
  </si>
  <si>
    <t>0190003</t>
  </si>
  <si>
    <t>迫町新田塒場21番地ため池</t>
  </si>
  <si>
    <t>迫町新田塒場21番地</t>
  </si>
  <si>
    <t>迫町北方字新土手ノ内71-3</t>
  </si>
  <si>
    <t>迫町北方字新土手ノ内71-2</t>
  </si>
  <si>
    <t>迫町新田滝75-25番地ため池</t>
  </si>
  <si>
    <t>迫町新田滝75-25番地</t>
  </si>
  <si>
    <t>迫町北方字新土手ノ内71-4</t>
  </si>
  <si>
    <t>東和大沢農村公園</t>
  </si>
  <si>
    <t>001498:東和大沢農村公園</t>
  </si>
  <si>
    <t>東和町米谷字新大沢97-1</t>
  </si>
  <si>
    <t>0790168</t>
  </si>
  <si>
    <t>用途廃止に伴い200㎡（443,000円）を総務課所管普通財産へ　</t>
  </si>
  <si>
    <t>0190004</t>
  </si>
  <si>
    <t>用途廃止に伴い410㎡（908,150円）を総務課所管普通財産へ　</t>
  </si>
  <si>
    <t>東和町米谷字新大沢95-2</t>
  </si>
  <si>
    <t>迫町新田日向71番地ため池</t>
  </si>
  <si>
    <t>AsyzAP042120012：日向溜池</t>
  </si>
  <si>
    <t>迫町新田日向71番地</t>
  </si>
  <si>
    <t>東和町米谷字新大沢96-1</t>
  </si>
  <si>
    <t>津山町柳津沢田181-1番ため池</t>
  </si>
  <si>
    <t>津山町柳津沢田181-1番</t>
  </si>
  <si>
    <t>東和町米谷字新大沢94-2</t>
  </si>
  <si>
    <t>東和大清水農村公園</t>
  </si>
  <si>
    <t>001499:東和大清水農村公園</t>
  </si>
  <si>
    <t>0190005</t>
  </si>
  <si>
    <t>東和町錦織入沢58番地ため池</t>
  </si>
  <si>
    <t>東和町錦織入沢58番地</t>
  </si>
  <si>
    <t>東和機織沼農村公園</t>
  </si>
  <si>
    <t>001500:東和機織沼農村公園</t>
  </si>
  <si>
    <t>東和町錦織字内ノ目294-2</t>
  </si>
  <si>
    <t>0190006</t>
  </si>
  <si>
    <t>東和町錦織字内ノ目291-3</t>
  </si>
  <si>
    <t>東和綱木農村公園</t>
  </si>
  <si>
    <t>001501:東和綱木農村公園</t>
  </si>
  <si>
    <t>東和町米川字東綱木211</t>
  </si>
  <si>
    <t>0190007</t>
  </si>
  <si>
    <t>東和南沢農村公園</t>
  </si>
  <si>
    <t>001502:東和南沢農村公園</t>
  </si>
  <si>
    <t>東和町米谷字南沢52-8</t>
  </si>
  <si>
    <t>0190008</t>
  </si>
  <si>
    <t>迫町新田字大田切72</t>
  </si>
  <si>
    <t>東和町米谷字南沢1-20</t>
  </si>
  <si>
    <t>東和町米谷字南沢53-10</t>
  </si>
  <si>
    <t>東和町米谷字南沢53-11</t>
  </si>
  <si>
    <t>東和町米谷字南沢53-12</t>
  </si>
  <si>
    <t>迫町新田西沢40番地ため池</t>
  </si>
  <si>
    <t>迫町新田西沢40番地</t>
  </si>
  <si>
    <t>東和軽米農村公園</t>
  </si>
  <si>
    <t>001503:東和軽米農村公園</t>
  </si>
  <si>
    <t>東和町米川字軽米88-1</t>
  </si>
  <si>
    <t>0190009</t>
  </si>
  <si>
    <t>東和町米川字軽米89-1</t>
  </si>
  <si>
    <t>東和町米川字軽米89-5</t>
  </si>
  <si>
    <t>東和町米川字軽米89-3</t>
  </si>
  <si>
    <t>東和町米川字軽米91-1</t>
  </si>
  <si>
    <t>冠木沼　</t>
  </si>
  <si>
    <t>中田町上沼字冠木45-1</t>
  </si>
  <si>
    <t>中田町上沼字内ノ目130-1</t>
  </si>
  <si>
    <t>迫町新田字駒林前85</t>
  </si>
  <si>
    <t>迫町新田対馬50-1番地ため池</t>
  </si>
  <si>
    <t>AsyzAP042120020：対馬溜池</t>
  </si>
  <si>
    <t>迫町新田対馬50-1番地</t>
  </si>
  <si>
    <t>迫町新田字対馬50-1</t>
  </si>
  <si>
    <t>東和町錦織大木沢98番地ため池</t>
  </si>
  <si>
    <t>AsyzAP042120095：大木沢（２）溜池</t>
  </si>
  <si>
    <t>東和町錦織大木沢98番地</t>
  </si>
  <si>
    <t>迫町新田字横沢1-1</t>
  </si>
  <si>
    <t>米山町桜岡貝待井69番地ため池</t>
  </si>
  <si>
    <t>米山町桜岡貝待井69番地</t>
  </si>
  <si>
    <t>迫町新田字西沢38</t>
  </si>
  <si>
    <t>迫町新田彦道53番地ため池</t>
  </si>
  <si>
    <t>迫町新田彦道53番地</t>
  </si>
  <si>
    <t>迫町新田字横沢13</t>
  </si>
  <si>
    <t>東和町米谷寺沢110番地ため池</t>
  </si>
  <si>
    <t>東和町米谷寺沢110番地</t>
  </si>
  <si>
    <t>迫町新田字横沢54</t>
  </si>
  <si>
    <t>東和町錦織山沢58番地ため池</t>
  </si>
  <si>
    <t>東和町錦織山沢58番地</t>
  </si>
  <si>
    <t>迫町新田字横沢78</t>
  </si>
  <si>
    <t>館林（５）溜池</t>
  </si>
  <si>
    <t>AsyzAP迫町新田字滝</t>
  </si>
  <si>
    <t>迫町新田字駒林4</t>
  </si>
  <si>
    <t>東和町米川字軽米90-1</t>
  </si>
  <si>
    <t>迫町新田字舘林57</t>
  </si>
  <si>
    <t>迫町新田中葉ノ木沢42番地ため池</t>
  </si>
  <si>
    <t>迫町新田中葉ノ木沢42番地</t>
  </si>
  <si>
    <t>迫町新田字舘林67</t>
  </si>
  <si>
    <t>境田溜池</t>
  </si>
  <si>
    <t>AsyzAP迫町新田字菱ノ倉</t>
  </si>
  <si>
    <t>迫町新田字南深沢4</t>
  </si>
  <si>
    <t>迫町新田品ノ浦246番地ため池</t>
  </si>
  <si>
    <t>迫町新田品ノ浦246番地</t>
  </si>
  <si>
    <t>迫町新田字南深沢6-1</t>
  </si>
  <si>
    <t>登米金沢山児童遊園</t>
  </si>
  <si>
    <t>001677:登米金沢山児童遊園</t>
  </si>
  <si>
    <t>1974/02/18</t>
  </si>
  <si>
    <t>0270002</t>
  </si>
  <si>
    <t>迫町新田字南深沢29-1</t>
  </si>
  <si>
    <t>東和町米川字軽米87-4</t>
  </si>
  <si>
    <t>迫町新田字南深沢39</t>
  </si>
  <si>
    <t>東和町錦織細野36番地ため池</t>
  </si>
  <si>
    <t>東和町錦織細野36番地</t>
  </si>
  <si>
    <t>迫町新田字台所57</t>
  </si>
  <si>
    <t>中田町上沼寇木45-1番地ため池</t>
  </si>
  <si>
    <t>中田町上沼寇木45-1番地</t>
  </si>
  <si>
    <t>迫町新田字台所64</t>
  </si>
  <si>
    <t>迫町新田字台所71</t>
  </si>
  <si>
    <t>迫町新田狼ノ欠16番地ため池</t>
  </si>
  <si>
    <t>AsyzAP042120028：狼ノ欠溜池</t>
  </si>
  <si>
    <t>迫町新田狼ノ欠16番地</t>
  </si>
  <si>
    <t>迫町新田字東原51</t>
  </si>
  <si>
    <t>米山町善王寺相ノ田53番地ため池</t>
  </si>
  <si>
    <t>米山町善王寺相ノ田53番地</t>
  </si>
  <si>
    <t>迫町新田字外沢田28</t>
  </si>
  <si>
    <t>迫町新田大樟18番地ため池</t>
  </si>
  <si>
    <t>迫町新田大樟18番地</t>
  </si>
  <si>
    <t>迫町新田字外沢田43</t>
  </si>
  <si>
    <t>米山町桜岡今泉138番地ため池</t>
  </si>
  <si>
    <t>米山町桜岡今泉138番地</t>
  </si>
  <si>
    <t>迫町新田字外沢田63</t>
  </si>
  <si>
    <t>豊里町久寿田65-3番地ため池</t>
  </si>
  <si>
    <t>豊里町久寿田65-3番地</t>
  </si>
  <si>
    <t>迫町新田字外沢田70</t>
  </si>
  <si>
    <t>迫町新田日向80番地ため池</t>
  </si>
  <si>
    <t>迫町新田日向80番地</t>
  </si>
  <si>
    <t>迫町新田字中葉木沢21</t>
  </si>
  <si>
    <t>南方町中ノ口78-1番地ため池</t>
  </si>
  <si>
    <t>南方町中ノ口78-1番地</t>
  </si>
  <si>
    <t>迫町新田字中葉木沢55</t>
  </si>
  <si>
    <t>東和町米川字軽米141</t>
  </si>
  <si>
    <t>迫町新田字下葉木沢8</t>
  </si>
  <si>
    <t>東和町錦織山居沢47番地ため池</t>
  </si>
  <si>
    <t>東和町錦織山居沢47番地</t>
  </si>
  <si>
    <t>迫町新田字下葉木沢12-3</t>
  </si>
  <si>
    <t>石越町東郷苦木115-1番地ため池</t>
  </si>
  <si>
    <t>石越町東郷苦木115-1番地</t>
  </si>
  <si>
    <t>迫町新田字上立戸57</t>
  </si>
  <si>
    <t>迫町新田下板橋97番地ため池</t>
  </si>
  <si>
    <t>迫町新田下板橋97番地</t>
  </si>
  <si>
    <t>東和町米川字軽米93-2</t>
  </si>
  <si>
    <t>迫町新田字上立戸139</t>
  </si>
  <si>
    <t>迫町新田大浦前23番地ため池</t>
  </si>
  <si>
    <t>迫町新田大浦前23番地</t>
  </si>
  <si>
    <t>迫町新田字山田42</t>
  </si>
  <si>
    <t>迫町新田字山田83-4</t>
  </si>
  <si>
    <t>迫町新田苗代沢1番地ため池</t>
  </si>
  <si>
    <t>AsyzAP042120042：苗代沢溜池</t>
  </si>
  <si>
    <t>迫町新田苗代沢1番地</t>
  </si>
  <si>
    <t>迫町新田字狼ノ欠16</t>
  </si>
  <si>
    <t>東和町米川字軽米93-1</t>
  </si>
  <si>
    <t>迫町新田字下板橋90</t>
  </si>
  <si>
    <t>迫町新田外沢田63番地ため池</t>
  </si>
  <si>
    <t>AsyzAP042120022：梅ヶ沢溜池</t>
  </si>
  <si>
    <t>迫町新田外沢田63番地</t>
  </si>
  <si>
    <t>迫町新田字下板橋97</t>
  </si>
  <si>
    <t>東和町米川字軽米89-4</t>
  </si>
  <si>
    <t>迫町新田字日向48</t>
  </si>
  <si>
    <t>東和町米谷平倉83番地ため池</t>
  </si>
  <si>
    <t>AsyzAP042120088：平倉（１）溜池</t>
  </si>
  <si>
    <t>東和町米谷平倉83番地</t>
  </si>
  <si>
    <t>迫町新田字日向60-1</t>
  </si>
  <si>
    <t>迫町新田字日向71</t>
  </si>
  <si>
    <t>南方町間内19番地ため池</t>
  </si>
  <si>
    <t>南方町間内19番地</t>
  </si>
  <si>
    <t>迫町新田字狼ノ欠22-1</t>
  </si>
  <si>
    <t>迫町新田新板橋1-1番地ため池</t>
  </si>
  <si>
    <t>AsyzAP042120017：上板橋溜池</t>
  </si>
  <si>
    <t>迫町新田新板橋1-1番地</t>
  </si>
  <si>
    <t>迫町新田字小友2</t>
  </si>
  <si>
    <t>石越町北郷遠沢98番地ため池</t>
  </si>
  <si>
    <t>石越町北郷遠沢98番地</t>
  </si>
  <si>
    <t>迫町新田字山崎4</t>
  </si>
  <si>
    <t>迫町新田字狼ノ欠26</t>
  </si>
  <si>
    <t>中の口溜池</t>
  </si>
  <si>
    <t>迫町新田字山崎145</t>
  </si>
  <si>
    <t>東和町米谷菅浪102番地ため池</t>
  </si>
  <si>
    <t>東和町米谷菅浪102番地</t>
  </si>
  <si>
    <t>迫町新田字山崎146</t>
  </si>
  <si>
    <t>豊里町上沼田2-2番地ため池</t>
  </si>
  <si>
    <t>豊里町上沼田2-2番地</t>
  </si>
  <si>
    <t>中田町石森字小倉南106</t>
  </si>
  <si>
    <t>中田町上沼字北新田43</t>
  </si>
  <si>
    <t>迫町新田字大久保48</t>
  </si>
  <si>
    <t>東和町米川六反146番地ため池</t>
  </si>
  <si>
    <t>東和町米川六反146番地</t>
  </si>
  <si>
    <t>迫町新田字山ノ神89</t>
  </si>
  <si>
    <t>迫町新田十五丸23番地ため池</t>
  </si>
  <si>
    <t>AsyzAP042120049：中島（２）溜池</t>
  </si>
  <si>
    <t>迫町新田十五丸23番地</t>
  </si>
  <si>
    <t>迫町新田字大久保177</t>
  </si>
  <si>
    <t>南方町板ケ沢84番地ため池番地ため池</t>
  </si>
  <si>
    <t>南方町板ケ沢84番地番地</t>
  </si>
  <si>
    <t>迫町新田字大久保189</t>
  </si>
  <si>
    <t>迫町新田字松原東78</t>
  </si>
  <si>
    <t>迫町新田字山ノ神276</t>
  </si>
  <si>
    <t>迫町新田小友113番地ため池</t>
  </si>
  <si>
    <t>迫町新田小友113番地</t>
  </si>
  <si>
    <t>迫町新田字東坂戸160-1</t>
  </si>
  <si>
    <t>迫町新田北深沢9番地ため池</t>
  </si>
  <si>
    <t>迫町新田北深沢9番地</t>
  </si>
  <si>
    <t>迫町新田字西坂戸109</t>
  </si>
  <si>
    <t>東和町錦織大木沢124番地ため池</t>
  </si>
  <si>
    <t>AsyzAP042120096：大木沢（３）溜池</t>
  </si>
  <si>
    <t>東和町錦織大木沢124番地</t>
  </si>
  <si>
    <t>迫町新田字刈又沢17</t>
  </si>
  <si>
    <t>東和町米川字新青木91</t>
  </si>
  <si>
    <t>迫町新田字刈又沢69-1</t>
  </si>
  <si>
    <t>迫町新田飯島87番地ため池</t>
  </si>
  <si>
    <t>迫町新田飯島87番地</t>
  </si>
  <si>
    <t>迫町新田字刈又沢79</t>
  </si>
  <si>
    <t>石越町北郷芦倉156番地ため池</t>
  </si>
  <si>
    <t>AsyzAP042120122：芦倉溜池</t>
  </si>
  <si>
    <t>石越町北郷芦倉156番地</t>
  </si>
  <si>
    <t>迫町新田字刈又沢114</t>
  </si>
  <si>
    <t>南方町中ノ口174番地ため池</t>
  </si>
  <si>
    <t>AsyzAP042120138：西中の口溜池</t>
  </si>
  <si>
    <t>南方町中ノ口174番地</t>
  </si>
  <si>
    <t>迫町新田字刈又沢132</t>
  </si>
  <si>
    <t>東和町米川字新青木100</t>
  </si>
  <si>
    <t>迫町新田字田上22-2</t>
  </si>
  <si>
    <t>東和町米川新四十田38番地ため池</t>
  </si>
  <si>
    <t>東和町米川新四十田38番地</t>
  </si>
  <si>
    <t>迫町新田字刈又沢145-1</t>
  </si>
  <si>
    <t>迫町新田大浦前43番地ため池</t>
  </si>
  <si>
    <t>迫町新田大浦前43番地</t>
  </si>
  <si>
    <t>迫町新田字小待井11</t>
  </si>
  <si>
    <t>迫町北方永田102番地ため池</t>
  </si>
  <si>
    <t>迫町北方永田102番地</t>
  </si>
  <si>
    <t>迫町新田字小待井19</t>
  </si>
  <si>
    <t>東和町米川字新青木111</t>
  </si>
  <si>
    <t>迫町新田字大沢田21</t>
  </si>
  <si>
    <t>南方町翌沢200番地ため池</t>
  </si>
  <si>
    <t>南方町翌沢200番地</t>
  </si>
  <si>
    <t>南方町大森前83</t>
  </si>
  <si>
    <t>東和町米川字新青木116</t>
  </si>
  <si>
    <t>南方町三代前110-1</t>
  </si>
  <si>
    <t>迫町北方金ヶ森29番地ため池</t>
  </si>
  <si>
    <t>迫町北方金ヶ森29番地</t>
  </si>
  <si>
    <t>迫町新田字十五丸40</t>
  </si>
  <si>
    <t>東和町米川字新寺前28</t>
  </si>
  <si>
    <t>南方町三代前198-1</t>
  </si>
  <si>
    <t>迫町新田山崎4番地ため池</t>
  </si>
  <si>
    <t>迫町新田山崎4番地</t>
  </si>
  <si>
    <t>南方町三代前208</t>
  </si>
  <si>
    <t>東和町錦織山沢40番地ため池</t>
  </si>
  <si>
    <t>東和町錦織山沢40番地</t>
  </si>
  <si>
    <t>南方町銭金壇73-1</t>
  </si>
  <si>
    <t>東和町米川字新寺前36</t>
  </si>
  <si>
    <t>迫町新田字塒場12</t>
  </si>
  <si>
    <t>東和町錦織字嵯峨立25</t>
  </si>
  <si>
    <t>迫町新田字塒場21</t>
  </si>
  <si>
    <t>迫町新田寺志田114番地ため池</t>
  </si>
  <si>
    <t>迫町新田寺志田114番地</t>
  </si>
  <si>
    <t>迫町新田字北山70</t>
  </si>
  <si>
    <t>迫町新田鍛治ヶ沢30-1番地ため池</t>
  </si>
  <si>
    <t>迫町新田鍛治ヶ沢30-1番地</t>
  </si>
  <si>
    <t>迫町新田字上大田切3</t>
  </si>
  <si>
    <t>東和町錦織石沢81番地ため池</t>
  </si>
  <si>
    <t>東和町錦織石沢81番地</t>
  </si>
  <si>
    <t>迫町新田字上大田切11</t>
  </si>
  <si>
    <t>中田町上沼字金谷西94</t>
  </si>
  <si>
    <t>迫町新田字上大田切15</t>
  </si>
  <si>
    <t>石越町東郷蕪木231-1番地ため池</t>
  </si>
  <si>
    <t>AsyzAP042120111：羽竜溜池</t>
  </si>
  <si>
    <t>石越町東郷蕪木231-1番地</t>
  </si>
  <si>
    <t>迫町新田字上大田切26</t>
  </si>
  <si>
    <t>東和町米谷平倉43番地ため池</t>
  </si>
  <si>
    <t>AsyzAP042120087：平倉（３）溜池</t>
  </si>
  <si>
    <t>東和町米谷平倉43番地</t>
  </si>
  <si>
    <t>苦木上溜池</t>
  </si>
  <si>
    <t>石越町東郷字苦木107-1</t>
  </si>
  <si>
    <t>0260014</t>
  </si>
  <si>
    <t>迫町北方漆沢52番地ため池</t>
  </si>
  <si>
    <t>迫町北方漆沢52番地</t>
  </si>
  <si>
    <t>苦木下溜池</t>
  </si>
  <si>
    <t>石越町東郷字苦木115-1</t>
  </si>
  <si>
    <t>0260015</t>
  </si>
  <si>
    <t>中田町上沼字中田東71</t>
  </si>
  <si>
    <t>小付田溜池</t>
  </si>
  <si>
    <t>石越町東郷字苦木136</t>
  </si>
  <si>
    <t>0260016</t>
  </si>
  <si>
    <t>東和町米谷来京54番地ため池</t>
  </si>
  <si>
    <t>東和町米谷来京54番地</t>
  </si>
  <si>
    <t>二反田溜池</t>
  </si>
  <si>
    <t>石越町南郷字新田117</t>
  </si>
  <si>
    <t>0260017</t>
  </si>
  <si>
    <t>南方町三代前189番地ため池</t>
  </si>
  <si>
    <t>南方町三代前189番地</t>
  </si>
  <si>
    <t>迫町新田字上大田切28</t>
  </si>
  <si>
    <t>迫町新田下十五丸72番地ため池</t>
  </si>
  <si>
    <t>迫町新田下十五丸72番地</t>
  </si>
  <si>
    <t>銃禅寺溜池</t>
  </si>
  <si>
    <t>石越町南郷字芦倉47-1</t>
  </si>
  <si>
    <t>0260018</t>
  </si>
  <si>
    <t>中田町上沼字中田東76</t>
  </si>
  <si>
    <t>御上溜池</t>
  </si>
  <si>
    <t>0260019</t>
  </si>
  <si>
    <t>東和町錦織天沼1-1番地ため池</t>
  </si>
  <si>
    <t>AsyzAPH27.3.31産業経済部農林政課所管替予定ため池　042120091：天沼（１）溜池</t>
  </si>
  <si>
    <t>東和町錦織天沼1-1番地</t>
  </si>
  <si>
    <t>日向溜池</t>
  </si>
  <si>
    <t>石越町南郷字田上47</t>
  </si>
  <si>
    <t>0260020</t>
  </si>
  <si>
    <t>迫町北方新三ツ目沢41番地ため池</t>
  </si>
  <si>
    <t>迫町北方新三ツ目沢41番地</t>
  </si>
  <si>
    <t>苗代沢溜池</t>
  </si>
  <si>
    <t>石越町南郷字高森44</t>
  </si>
  <si>
    <t>0260021</t>
  </si>
  <si>
    <t>東和町錦織川端91-1番地ため池</t>
  </si>
  <si>
    <t>東和町錦織川端91-1番地</t>
  </si>
  <si>
    <t>迫町新田字上大田切40</t>
  </si>
  <si>
    <t>迫町新田刈又沢145-1番地ため池</t>
  </si>
  <si>
    <t>AsyzAP042120158：刈又沢（１）溜池</t>
  </si>
  <si>
    <t>迫町新田刈又沢145-1番地</t>
  </si>
  <si>
    <t>北沢溜池</t>
  </si>
  <si>
    <t>石越町南郷字とど台126</t>
  </si>
  <si>
    <t>0260022</t>
  </si>
  <si>
    <t>東和町錦織大木沢108番地ため池</t>
  </si>
  <si>
    <t>東和町錦織大木沢108番地</t>
  </si>
  <si>
    <t>西風田上溜池</t>
  </si>
  <si>
    <t>石越町北郷字長根94-2</t>
  </si>
  <si>
    <t>0260023</t>
  </si>
  <si>
    <t>東和町米谷岩沢93番地ため池</t>
  </si>
  <si>
    <t>AsyzAP042120084：耳取（１）溜池</t>
  </si>
  <si>
    <t>東和町米谷岩沢93番地</t>
  </si>
  <si>
    <t>西風田下溜池</t>
  </si>
  <si>
    <t>石越町北郷字長根94-1</t>
  </si>
  <si>
    <t>0260024</t>
  </si>
  <si>
    <t>石越町南郷芦倉47-1番地ため池</t>
  </si>
  <si>
    <t>石越町南郷芦倉47-1番地</t>
  </si>
  <si>
    <t>西風田裏溜池</t>
  </si>
  <si>
    <t>石越町北郷字長根100</t>
  </si>
  <si>
    <t>0260025</t>
  </si>
  <si>
    <t>東和町米谷字沖ノ田122</t>
  </si>
  <si>
    <t>迫町新田字上大田切43</t>
  </si>
  <si>
    <t>中田町上沼字中田南127</t>
  </si>
  <si>
    <t>中沢溜池</t>
  </si>
  <si>
    <t>石越町北郷字中沢79-1</t>
  </si>
  <si>
    <t>0260026</t>
  </si>
  <si>
    <t>迫町新田山守屋敷72番地ため池</t>
  </si>
  <si>
    <t>迫町新田山守屋敷72番地</t>
  </si>
  <si>
    <t>堂地溜池</t>
  </si>
  <si>
    <t>石越町北郷字中沢106</t>
  </si>
  <si>
    <t>0260027</t>
  </si>
  <si>
    <t>米山町桜岡貝待井51番地ため池</t>
  </si>
  <si>
    <t>米山町桜岡貝待井51番地</t>
  </si>
  <si>
    <t>野庭前溜池</t>
  </si>
  <si>
    <t>石越町北郷字九輪堂29</t>
  </si>
  <si>
    <t>0260028</t>
  </si>
  <si>
    <t>中田町石森字脇谷前93</t>
  </si>
  <si>
    <t>寺山溜池</t>
  </si>
  <si>
    <t>石越町北郷字赤谷167</t>
  </si>
  <si>
    <t>0260029</t>
  </si>
  <si>
    <t>南方町下平貝192番地ため池</t>
  </si>
  <si>
    <t>南方町下平貝192番地</t>
  </si>
  <si>
    <t>迫町新田字上大田切46</t>
  </si>
  <si>
    <t>中田町上沼字北新田34</t>
  </si>
  <si>
    <t>芦倉北溜池</t>
  </si>
  <si>
    <t>0260030</t>
  </si>
  <si>
    <t>南方町下平貝304番地ため池</t>
  </si>
  <si>
    <t>南方町下平貝304番地</t>
  </si>
  <si>
    <t>遠沢溜池</t>
  </si>
  <si>
    <t>石越町北郷字遠沢98</t>
  </si>
  <si>
    <t>0260031</t>
  </si>
  <si>
    <t>中田町上沼字北新田33</t>
  </si>
  <si>
    <t>南方町中須崎244-1</t>
  </si>
  <si>
    <t>東和町米谷福平24番地ため池</t>
  </si>
  <si>
    <t>東和町米谷福平24番地</t>
  </si>
  <si>
    <t>迫町新田字上大田切48</t>
  </si>
  <si>
    <t>迫町新田横沢13番地ため池</t>
  </si>
  <si>
    <t>迫町新田横沢13番地</t>
  </si>
  <si>
    <t>南方町南沢59</t>
  </si>
  <si>
    <t>0260034</t>
  </si>
  <si>
    <t>迫町新田鍛治ヶ沢45番地ため池</t>
  </si>
  <si>
    <t>迫町新田鍛治ヶ沢45番地</t>
  </si>
  <si>
    <t>新堤　</t>
  </si>
  <si>
    <t>中田町上沼字大泉伊勢山2-1</t>
  </si>
  <si>
    <t>0260035</t>
  </si>
  <si>
    <t>東和町米谷字沖ノ田151</t>
  </si>
  <si>
    <t>迫町新田字上大田切56</t>
  </si>
  <si>
    <t>迫町新田大久保177番地ため池</t>
  </si>
  <si>
    <t>迫町新田大久保177番地</t>
  </si>
  <si>
    <t>蛇筒沼　</t>
  </si>
  <si>
    <t>中田町上沼字大泉伊勢山3</t>
  </si>
  <si>
    <t>東和町米谷字沖ノ田156</t>
  </si>
  <si>
    <t>ウサギ沢　</t>
  </si>
  <si>
    <t>中田町上沼字大泉伊勢山45</t>
  </si>
  <si>
    <t>1975/05/08</t>
  </si>
  <si>
    <t>迫町新田大沢1番地ため池</t>
  </si>
  <si>
    <t>迫町新田大沢1番地</t>
  </si>
  <si>
    <t>山居沢　</t>
  </si>
  <si>
    <t>中田町上沼字本宮58</t>
  </si>
  <si>
    <t>1974/11/05</t>
  </si>
  <si>
    <t>中田町上沼字新南要害浦93</t>
  </si>
  <si>
    <t>迫町新田字錠穴9</t>
  </si>
  <si>
    <t>迫町新田東坂戸160-1番地ため池</t>
  </si>
  <si>
    <t>AsyzAP042120031：坂戸溜池</t>
  </si>
  <si>
    <t>迫町新田東坂戸160-1番地</t>
  </si>
  <si>
    <t>迫町北方字大洞63-3</t>
  </si>
  <si>
    <t>中田町上沼字新東金谷46</t>
  </si>
  <si>
    <t>迫町新田字錠穴21</t>
  </si>
  <si>
    <t>東和町錦織高城山34番地ため池</t>
  </si>
  <si>
    <t>東和町錦織高城山34番地</t>
  </si>
  <si>
    <t>迫町新田字錠穴24</t>
  </si>
  <si>
    <t>東和町米谷字楼台99</t>
  </si>
  <si>
    <t>迫町新田字錠穴39</t>
  </si>
  <si>
    <t>大木沢（１）溜池</t>
  </si>
  <si>
    <t>AsyzAP東和町錦織字大木沢</t>
  </si>
  <si>
    <t>迫町新田字堤田6-3</t>
  </si>
  <si>
    <t>東和町米谷字楼台106</t>
  </si>
  <si>
    <t>迫町新田字堤田7-2</t>
  </si>
  <si>
    <t>刈又沢（２）溜池</t>
  </si>
  <si>
    <t>AsyzAP迫町新田字板橋</t>
  </si>
  <si>
    <t>迫町新田字山居1</t>
  </si>
  <si>
    <t>中田町上沼字新東金谷57</t>
  </si>
  <si>
    <t>迫町新田字山居70</t>
  </si>
  <si>
    <t>迫町新田十五丸33番地ため池</t>
  </si>
  <si>
    <t>AsyzAP042120048：中島（３）溜池</t>
  </si>
  <si>
    <t>迫町新田十五丸33番地</t>
  </si>
  <si>
    <t>迫町新田字大鹿野57</t>
  </si>
  <si>
    <t>横沢１号溜池</t>
  </si>
  <si>
    <t>迫町北方字北観音寺92</t>
  </si>
  <si>
    <t>中田町上沼字新東金谷56</t>
  </si>
  <si>
    <t>迫町新田字寺志田39-2</t>
  </si>
  <si>
    <t>中田町上沼字新南要害浦91</t>
  </si>
  <si>
    <t>迫町佐沼字丸子13-1</t>
  </si>
  <si>
    <t>迫町新田下葉ノ木沢28番地ため池</t>
  </si>
  <si>
    <t>AsyzAP042120019：下葉の木沢溜池</t>
  </si>
  <si>
    <t>迫町新田下葉ノ木沢28番地</t>
  </si>
  <si>
    <t>南方町大上103-1</t>
  </si>
  <si>
    <t>登米町大字日根牛新北沢50</t>
  </si>
  <si>
    <t>南方町板ケ沢78</t>
  </si>
  <si>
    <t>登米町大字日根牛新北沢57</t>
  </si>
  <si>
    <t>南方町大森前107</t>
  </si>
  <si>
    <t>登米町大字日根牛新中田64</t>
  </si>
  <si>
    <t>南方町上平貝187</t>
  </si>
  <si>
    <t>米山町桜岡今泉88番地ため池</t>
  </si>
  <si>
    <t>米山町桜岡今泉88番地</t>
  </si>
  <si>
    <t>南方町苔野谷地39</t>
  </si>
  <si>
    <t>迫町新田苗代沢46番地ため池</t>
  </si>
  <si>
    <t>迫町新田苗代沢46番地</t>
  </si>
  <si>
    <t>南方町三代前62</t>
  </si>
  <si>
    <t>米山町桜岡大又30-1番地ため池</t>
  </si>
  <si>
    <t>米山町桜岡大又30-1番地</t>
  </si>
  <si>
    <t>南方町三代前179</t>
  </si>
  <si>
    <t>中田町上沼字新南要害浦89</t>
  </si>
  <si>
    <t>南方町三代前189</t>
  </si>
  <si>
    <t>東和町米谷寺沢108番地ため池</t>
  </si>
  <si>
    <t>東和町米谷寺沢108番地</t>
  </si>
  <si>
    <t>南方町柳沢73</t>
  </si>
  <si>
    <t>石越町北郷字新粒庭65</t>
  </si>
  <si>
    <t>南方町柳沢75</t>
  </si>
  <si>
    <t>石越町北郷字新粒庭69</t>
  </si>
  <si>
    <t>南方町翌沢88</t>
  </si>
  <si>
    <t>石越町北郷字新粒庭70</t>
  </si>
  <si>
    <t>南方町翌沢207</t>
  </si>
  <si>
    <t>迫町新田田上101番地ため池</t>
  </si>
  <si>
    <t>迫町新田田上101番地</t>
  </si>
  <si>
    <t>南方町横代41-1</t>
  </si>
  <si>
    <t>登米町大字日根牛小池前342番地ため池</t>
  </si>
  <si>
    <t>AsyzAP042120079：小池沢溜池</t>
  </si>
  <si>
    <t>登米町大字日根牛小池前342番地</t>
  </si>
  <si>
    <t>南方町横代46-1</t>
  </si>
  <si>
    <t>南方町実沢173-1番地ため池</t>
  </si>
  <si>
    <t>南方町実沢173-1番地</t>
  </si>
  <si>
    <t>南方町若狭前192-1</t>
  </si>
  <si>
    <t>迫町新田上大田切46番地ため池</t>
  </si>
  <si>
    <t>迫町新田上大田切46番地</t>
  </si>
  <si>
    <t>豊里町笑沢153-33</t>
  </si>
  <si>
    <t>石越町北郷字新長下田78</t>
  </si>
  <si>
    <t>豊里町大沢77-1</t>
  </si>
  <si>
    <t>迫町新田字大浦前23</t>
  </si>
  <si>
    <t>豊里町久寿田62-1</t>
  </si>
  <si>
    <t>平倉（２）溜池</t>
  </si>
  <si>
    <t>AsyzAP東和町米谷字平倉</t>
  </si>
  <si>
    <t>豊里町上沼田2-2</t>
  </si>
  <si>
    <t>中田町石森字霜田前56</t>
  </si>
  <si>
    <t>豊里町上沼田11-2</t>
  </si>
  <si>
    <t>迫町新田日向48番地ため池</t>
  </si>
  <si>
    <t>迫町新田日向48番地</t>
  </si>
  <si>
    <t>迫町新田字田上87</t>
  </si>
  <si>
    <t>迫町新田上十五丸74番地ため池</t>
  </si>
  <si>
    <t>迫町新田上十五丸74番地</t>
  </si>
  <si>
    <t>豊里町上沼田376-2</t>
  </si>
  <si>
    <t>米山町桜岡大又184-1番地ため池</t>
  </si>
  <si>
    <t>米山町桜岡大又184-1番地</t>
  </si>
  <si>
    <t>豊里町上沼田378-2</t>
  </si>
  <si>
    <t>石越町北郷字新内の目129</t>
  </si>
  <si>
    <t>豊里町久寿田64-8</t>
  </si>
  <si>
    <t>中田町上沼字新南要害浦85</t>
  </si>
  <si>
    <t>豊里町久寿田65-3</t>
  </si>
  <si>
    <t>20:井溝</t>
  </si>
  <si>
    <t>石越町北郷字新内の目135</t>
  </si>
  <si>
    <t>迫町新田字西沢11</t>
  </si>
  <si>
    <t>石越町北郷字新内の目138</t>
  </si>
  <si>
    <t>石越町北郷字新内の目140</t>
  </si>
  <si>
    <t>石越町北郷字新内の目142</t>
  </si>
  <si>
    <t>海上連溜池</t>
  </si>
  <si>
    <t>1968/02/29</t>
  </si>
  <si>
    <t>0260005</t>
  </si>
  <si>
    <t>東和町錦織雷神山32番地ため池</t>
  </si>
  <si>
    <t>東和町錦織雷神山32番地</t>
  </si>
  <si>
    <t>羽竜溜池</t>
  </si>
  <si>
    <t>石越町東郷字蕪木231-1</t>
  </si>
  <si>
    <t>0260006</t>
  </si>
  <si>
    <t>中田町石森字北川前80</t>
  </si>
  <si>
    <t>不動沢溜池</t>
  </si>
  <si>
    <t>石越町東郷字大根沢47</t>
  </si>
  <si>
    <t>0260007</t>
  </si>
  <si>
    <t>東和町錦織岩ノ沢204番地ため池</t>
  </si>
  <si>
    <t>東和町錦織岩ノ沢204番地</t>
  </si>
  <si>
    <t>大根沢溜池</t>
  </si>
  <si>
    <t>石越町東郷字大根沢106</t>
  </si>
  <si>
    <t>0260008</t>
  </si>
  <si>
    <t>中田町石森字北川前77</t>
  </si>
  <si>
    <t>大根沢カゲ溜池</t>
  </si>
  <si>
    <t>石越町東郷字大根沢171-1</t>
  </si>
  <si>
    <t>0260009</t>
  </si>
  <si>
    <t>迫町新田下葉ノ木沢12-3番地ため池</t>
  </si>
  <si>
    <t>迫町新田下葉ノ木沢12-3番地</t>
  </si>
  <si>
    <t>新墓裏溜池</t>
  </si>
  <si>
    <t>石越町東郷字十八引94</t>
  </si>
  <si>
    <t>0260010</t>
  </si>
  <si>
    <t>迫町新田狼ノ欠26番地ため池</t>
  </si>
  <si>
    <t>迫町新田狼ノ欠26番地</t>
  </si>
  <si>
    <t>十八引溜池</t>
  </si>
  <si>
    <t>石越町東郷字十八引129-1</t>
  </si>
  <si>
    <t>0260011</t>
  </si>
  <si>
    <t>南方町下新山67番地ため池</t>
  </si>
  <si>
    <t>南方町下新山67番地</t>
  </si>
  <si>
    <t>登戸上溜池</t>
  </si>
  <si>
    <t>石越町東郷字登戸22</t>
  </si>
  <si>
    <t>0260012</t>
  </si>
  <si>
    <t>石越町北郷字新堀内前79</t>
  </si>
  <si>
    <t>五味倉溜池</t>
  </si>
  <si>
    <t>石越町東郷字千貫巻149-2</t>
  </si>
  <si>
    <t>0260013</t>
  </si>
  <si>
    <t>大樟１号溜池</t>
  </si>
  <si>
    <t>迫町北方字南観音寺75</t>
  </si>
  <si>
    <t>南方町中ノ口124番地ため池</t>
  </si>
  <si>
    <t>AsyzAP042120136：雷神（その他）溜池</t>
  </si>
  <si>
    <t>南方町中ノ口124番地</t>
  </si>
  <si>
    <t>古屋敷溜池</t>
  </si>
  <si>
    <t>石越町東郷字黒山115</t>
  </si>
  <si>
    <t>0260004</t>
  </si>
  <si>
    <t>迫町新田寺志田93番地ため池</t>
  </si>
  <si>
    <t>迫町新田寺志田93番地</t>
  </si>
  <si>
    <t>石鼻溜池</t>
  </si>
  <si>
    <t>石越町東郷字黒山81</t>
  </si>
  <si>
    <t>0260003</t>
  </si>
  <si>
    <t>石越町北郷字新富崎前63</t>
  </si>
  <si>
    <t>温水溜池</t>
  </si>
  <si>
    <t>登米町大字日根牛小池前342</t>
  </si>
  <si>
    <t>0260002</t>
  </si>
  <si>
    <t>迫町新田駒林4番地ため池</t>
  </si>
  <si>
    <t>迫町新田駒林4番地</t>
  </si>
  <si>
    <t>迫町新田字大久保172</t>
  </si>
  <si>
    <t>石越町北郷字新富崎前69</t>
  </si>
  <si>
    <t>迫町新田字塒場25</t>
  </si>
  <si>
    <t>石越町東郷十八引129-1番地ため池</t>
  </si>
  <si>
    <t>AsyzAP042120107：十八引溜池</t>
  </si>
  <si>
    <t>石越町東郷十八引129-1番地</t>
  </si>
  <si>
    <t>迫町新田字塒場36</t>
  </si>
  <si>
    <t>石越町北郷字新富崎前73</t>
  </si>
  <si>
    <t>迫町新田字菱ノ倉22</t>
  </si>
  <si>
    <t>南方町三代前110-1番地ため池</t>
  </si>
  <si>
    <t>南方町三代前110-1番地</t>
  </si>
  <si>
    <t>迫町新田字菱ノ倉28</t>
  </si>
  <si>
    <t>中田町宝江新井田字南下道62</t>
  </si>
  <si>
    <t>南方町下平貝11</t>
  </si>
  <si>
    <t>迫町新田寺志田19番地ため池</t>
  </si>
  <si>
    <t>AsyzAP042120055：寺志田１号溜池</t>
  </si>
  <si>
    <t>迫町新田寺志田19番地</t>
  </si>
  <si>
    <t>迫町新田字大田切25</t>
  </si>
  <si>
    <t>迫町新田上大田切56番地ため池</t>
  </si>
  <si>
    <t>迫町新田上大田切56番地</t>
  </si>
  <si>
    <t>南方町銭金壇56-1</t>
  </si>
  <si>
    <t>日向１号溜池</t>
  </si>
  <si>
    <t>迫町新田字小友117</t>
  </si>
  <si>
    <t>石越町東郷黒山115番地ため池</t>
  </si>
  <si>
    <t>AsyzAP042120145：古屋敷溜池</t>
  </si>
  <si>
    <t>石越町東郷黒山115番地</t>
  </si>
  <si>
    <t>迫町新田字日向33</t>
  </si>
  <si>
    <t>米山町桜岡今泉73-1番地ため池</t>
  </si>
  <si>
    <t>米山町桜岡今泉73-1番地</t>
  </si>
  <si>
    <t>迫町新田字小友1</t>
  </si>
  <si>
    <t>中田町上沼字新南要害浦82</t>
  </si>
  <si>
    <t>迫町新田字番屋6-4</t>
  </si>
  <si>
    <t>石越町南郷高森44番地ため池</t>
  </si>
  <si>
    <t>AsyzAP042120109：苗代沢溜池</t>
  </si>
  <si>
    <t>石越町南郷高森44番地</t>
  </si>
  <si>
    <t>迫町新田字菱ノ倉12-1</t>
  </si>
  <si>
    <t>迫町新田寺志田20番地ため池</t>
  </si>
  <si>
    <t>迫町新田寺志田20番地</t>
  </si>
  <si>
    <t>迫町新田字北深沢9</t>
  </si>
  <si>
    <t>迫町新田堤田7-2番地ため池</t>
  </si>
  <si>
    <t>AsyzAP042120033：山守屋敷溜池</t>
  </si>
  <si>
    <t>迫町新田堤田7-2番地</t>
  </si>
  <si>
    <t>迫町新田字中葉木沢40</t>
  </si>
  <si>
    <t>石越町北郷字新丸谷地75</t>
  </si>
  <si>
    <t>南方町南沢96-2</t>
  </si>
  <si>
    <t>迫町新田字十五丸33</t>
  </si>
  <si>
    <t>迫町新田字外沢田59</t>
  </si>
  <si>
    <t>中田町上沼字新南要害浦81</t>
  </si>
  <si>
    <t>南方町実沢42</t>
  </si>
  <si>
    <t>南方町間内34-1</t>
  </si>
  <si>
    <t>登米町大字日根牛新五郎峯163</t>
  </si>
  <si>
    <t>迫町新田字下十五丸65</t>
  </si>
  <si>
    <t>迫町新田大久保48番地ため池</t>
  </si>
  <si>
    <t>迫町新田大久保48番地</t>
  </si>
  <si>
    <t>南方町間内19</t>
  </si>
  <si>
    <t>登米町大字日根牛新五郎峯143</t>
  </si>
  <si>
    <t>南方町間内下173</t>
  </si>
  <si>
    <t>迫町新田番屋6-4番地ため池</t>
  </si>
  <si>
    <t>迫町新田番屋6-4番地</t>
  </si>
  <si>
    <t>南方町銭金壇26-1</t>
  </si>
  <si>
    <t>中田町浅水字曲袋南93</t>
  </si>
  <si>
    <t>迫町新田字下葉木沢28</t>
  </si>
  <si>
    <t>米山町桜岡今泉70-9番地ため池</t>
  </si>
  <si>
    <t>米山町桜岡今泉70-9番地</t>
  </si>
  <si>
    <t>南方町蛇沼32-1</t>
  </si>
  <si>
    <t>迫町新田田上87番地ため池</t>
  </si>
  <si>
    <t>迫町新田田上87番地</t>
  </si>
  <si>
    <t>迫町新田字舘林70</t>
  </si>
  <si>
    <t>豊里町上沼田376-2番地ため池</t>
  </si>
  <si>
    <t>豊里町上沼田376-2番地</t>
  </si>
  <si>
    <t>南方町畑岡41-1</t>
  </si>
  <si>
    <t>登米町大字日根牛新峯畑140</t>
  </si>
  <si>
    <t>南方町沼崎7</t>
  </si>
  <si>
    <t>南方町中須崎244-1番地ため池</t>
  </si>
  <si>
    <t>南方町中須崎244-1番地</t>
  </si>
  <si>
    <t>迫町新田字駒林2</t>
  </si>
  <si>
    <t>登米町大字日根牛新峯畑133</t>
  </si>
  <si>
    <t>南方町中ノ口174</t>
  </si>
  <si>
    <t>南方町三代前198-1番地ため池</t>
  </si>
  <si>
    <t>AsyzAP042120128：横代溜池</t>
  </si>
  <si>
    <t>南方町三代前198-1番地</t>
  </si>
  <si>
    <t>迫町新田字横沢8</t>
  </si>
  <si>
    <t>登米町大字日根牛新五郎峯159</t>
  </si>
  <si>
    <t>南方町中ノ口159</t>
  </si>
  <si>
    <t>迫町新田横沢1-1番地ため池</t>
  </si>
  <si>
    <t>迫町新田横沢1-1番地</t>
  </si>
  <si>
    <t>南方町中ノ口127</t>
  </si>
  <si>
    <t>登米町大字日根牛新五郎峯150</t>
  </si>
  <si>
    <t>南方町中ノ口124</t>
  </si>
  <si>
    <t>米山町桜岡貝待井150-2番地ため池</t>
  </si>
  <si>
    <t>米山町桜岡貝待井150-2番地</t>
  </si>
  <si>
    <t>迫町新田字西沢40</t>
  </si>
  <si>
    <t>登米町大字日根牛新峯畑123</t>
  </si>
  <si>
    <t>迫町新田字上十五丸74</t>
  </si>
  <si>
    <t>迫町新田字十五丸23</t>
  </si>
  <si>
    <t>溜池（調整池）</t>
  </si>
  <si>
    <t>001600:調整池</t>
  </si>
  <si>
    <t>中田町上沼字大泉伊勢山115</t>
  </si>
  <si>
    <t>0260032</t>
  </si>
  <si>
    <t>日根牛地区調整池（宅地造成地内）</t>
  </si>
  <si>
    <t>登米町大字日根牛小池前5-21</t>
  </si>
  <si>
    <t>0260037</t>
  </si>
  <si>
    <t>公園（駐車場）</t>
  </si>
  <si>
    <t>001594:公園（駐車場）</t>
  </si>
  <si>
    <t>定住促進住宅地造事業（中津山地区）に付帯する工事により、米山ひだまり公園の駐車場として整備　</t>
  </si>
  <si>
    <t>米山町中津山字筒場埣229-33</t>
  </si>
  <si>
    <t>0230013</t>
  </si>
  <si>
    <t>十五畴公園</t>
  </si>
  <si>
    <t>001593:十五畴公園</t>
  </si>
  <si>
    <t>迫町佐沼字十五畴114-18</t>
  </si>
  <si>
    <t>1978/06/23</t>
  </si>
  <si>
    <t>0230012</t>
  </si>
  <si>
    <t>寺浦団地公園</t>
  </si>
  <si>
    <t>001592:寺浦団地公園</t>
  </si>
  <si>
    <t>迫町佐沼字寺浦1-5</t>
  </si>
  <si>
    <t>1990/06/14</t>
  </si>
  <si>
    <t>0230011</t>
  </si>
  <si>
    <t>舟橋公園</t>
  </si>
  <si>
    <t>001591:舟橋公園</t>
  </si>
  <si>
    <t>迫町北方字舟橋前37-8</t>
  </si>
  <si>
    <t>0230010</t>
  </si>
  <si>
    <t>迫町北方字舟橋前38-1</t>
  </si>
  <si>
    <t>迫町北方字舟橋前38-9</t>
  </si>
  <si>
    <t>迫町北方字舟橋前37-6</t>
  </si>
  <si>
    <t>1975/12/23</t>
  </si>
  <si>
    <t>友愛団地公園</t>
  </si>
  <si>
    <t>001590:友愛団地公園</t>
  </si>
  <si>
    <t>迫町北方字大洞118-97</t>
  </si>
  <si>
    <t>2014/03/28</t>
  </si>
  <si>
    <t>0230009</t>
  </si>
  <si>
    <t>公園（旧小関邸）</t>
  </si>
  <si>
    <t>001589:公園（旧小関邸）</t>
  </si>
  <si>
    <t>2014/03/19</t>
  </si>
  <si>
    <t>町並み環境整備事業による小公園整備のための土地の取得　</t>
  </si>
  <si>
    <t>登米町寺池桜小路72-5</t>
  </si>
  <si>
    <t>0230008</t>
  </si>
  <si>
    <t>阿羅田公園（日根牛地区宅地造成地内）</t>
  </si>
  <si>
    <t>001587:阿羅田公園（日根牛地区宅地造成地内）</t>
  </si>
  <si>
    <t>登米町大字日根牛阿羅田75-12</t>
  </si>
  <si>
    <t>0230006</t>
  </si>
  <si>
    <t>間伐材流通合理化センター　他</t>
  </si>
  <si>
    <t>001585:間伐材流通合理化センター・食品加工普及施設</t>
  </si>
  <si>
    <t>津山町横山字細屋24-2</t>
  </si>
  <si>
    <t>0230003</t>
  </si>
  <si>
    <t>中田町上沼字新八幡浦53</t>
  </si>
  <si>
    <t>津山町横山字細屋23-1</t>
  </si>
  <si>
    <t>津山町横山字細屋17-1</t>
  </si>
  <si>
    <t>津山町横山字細屋26-109</t>
  </si>
  <si>
    <t>津山町横山字細屋26-103</t>
  </si>
  <si>
    <t>津山町横山字細屋26-107</t>
  </si>
  <si>
    <t>津山町横山字細屋29-23</t>
  </si>
  <si>
    <t>津山町横山字細屋29-21</t>
  </si>
  <si>
    <t>登米町大字日根牛新峯畑121</t>
  </si>
  <si>
    <t>津山町横山字細屋26-102</t>
  </si>
  <si>
    <t>森林史跡公園</t>
  </si>
  <si>
    <t>001583:森林史跡公園</t>
  </si>
  <si>
    <t>東和町米川字東綱木209-1</t>
  </si>
  <si>
    <t>0230002</t>
  </si>
  <si>
    <t>東和町米川字東綱木210</t>
  </si>
  <si>
    <t>登米町大字日根牛新峯畑131</t>
  </si>
  <si>
    <t>東和町米川字東綱木205</t>
  </si>
  <si>
    <t>大萱沢渓流公園</t>
  </si>
  <si>
    <t>001582:大萱沢渓流公園</t>
  </si>
  <si>
    <t>津山町横山字大萱沢148-1</t>
  </si>
  <si>
    <t>0230001</t>
  </si>
  <si>
    <t>登米市豊里運動公園</t>
  </si>
  <si>
    <t>001581:登米市豊里運動公園</t>
  </si>
  <si>
    <t>豊里町上屋浦56-2</t>
  </si>
  <si>
    <t>0220007</t>
  </si>
  <si>
    <t>中田町浅水字曲袋北105</t>
  </si>
  <si>
    <t>豊里町上屋浦63-3</t>
  </si>
  <si>
    <t>豊里町上屋浦54</t>
  </si>
  <si>
    <t>豊里町上屋浦55</t>
  </si>
  <si>
    <t>豊里町上屋浦58</t>
  </si>
  <si>
    <t>豊里町上屋浦59-2</t>
  </si>
  <si>
    <t>豊里町上屋浦60-2</t>
  </si>
  <si>
    <t>豊里町上屋浦61-2</t>
  </si>
  <si>
    <t>豊里町上屋浦62-2</t>
  </si>
  <si>
    <t>豊里町上屋浦62-3</t>
  </si>
  <si>
    <t>豊里町上屋浦65-1</t>
  </si>
  <si>
    <t>豊里町上屋浦66</t>
  </si>
  <si>
    <t>豊里町上屋浦67</t>
  </si>
  <si>
    <t>豊里町上屋浦70</t>
  </si>
  <si>
    <t>豊里町上屋浦71</t>
  </si>
  <si>
    <t>豊里町上屋浦72</t>
  </si>
  <si>
    <t>登米町大字日根牛新五郎峯153</t>
  </si>
  <si>
    <t>豊里町上屋浦75</t>
  </si>
  <si>
    <t>豊里町上屋浦76</t>
  </si>
  <si>
    <t>豊里町上屋浦77</t>
  </si>
  <si>
    <t>豊里町上屋浦78</t>
  </si>
  <si>
    <t>豊里町上屋浦79-5</t>
  </si>
  <si>
    <t>豊里町上屋浦80-5</t>
  </si>
  <si>
    <t>豊里町上屋浦81-10</t>
  </si>
  <si>
    <t>登米町大字日根牛新峯畑125</t>
  </si>
  <si>
    <t>豊里町上屋浦84-3</t>
  </si>
  <si>
    <t>豊里町上屋浦86</t>
  </si>
  <si>
    <t>豊里町上屋浦87</t>
  </si>
  <si>
    <t>登米町大字日根牛新五郎峯166</t>
  </si>
  <si>
    <t>豊里町上屋浦90</t>
  </si>
  <si>
    <t>豊里町上屋浦91-1</t>
  </si>
  <si>
    <t>豊里町上屋浦91-2</t>
  </si>
  <si>
    <t>登米町大字日根牛新峯畑138</t>
  </si>
  <si>
    <t>豊里町上屋浦94</t>
  </si>
  <si>
    <t>豊里町上屋浦95-1</t>
  </si>
  <si>
    <t>豊里町上屋浦97</t>
  </si>
  <si>
    <t>中田町上沼字揚地南27</t>
  </si>
  <si>
    <t>豊里町上屋浦99-3</t>
  </si>
  <si>
    <t>豊里町上屋浦101-2</t>
  </si>
  <si>
    <t>豊里町上屋浦102-2</t>
  </si>
  <si>
    <t>豊里町上屋浦105-2</t>
  </si>
  <si>
    <t>豊里町上屋浦106-2</t>
  </si>
  <si>
    <t>豊里町上屋浦107-2</t>
  </si>
  <si>
    <t>登米町大字日根牛新五郎峯146</t>
  </si>
  <si>
    <t>豊里町上屋浦109-2</t>
  </si>
  <si>
    <t>豊里町上屋浦110-2</t>
  </si>
  <si>
    <t>豊里町上屋浦112-2</t>
  </si>
  <si>
    <t>登米町大字日根牛新五郎峯145</t>
  </si>
  <si>
    <t>豊里町上屋浦114-11</t>
  </si>
  <si>
    <t>豊里町上屋浦64-1</t>
  </si>
  <si>
    <t>豊里町上屋浦68</t>
  </si>
  <si>
    <t>豊里町上屋浦52-2</t>
  </si>
  <si>
    <t>豊里町上屋浦53-2</t>
  </si>
  <si>
    <t>豊里町上屋浦69</t>
  </si>
  <si>
    <t>豊里町上屋浦111-2</t>
  </si>
  <si>
    <t>豊里町上屋浦104</t>
  </si>
  <si>
    <t>豊里町上屋浦100-2</t>
  </si>
  <si>
    <t>豊里町上屋浦96</t>
  </si>
  <si>
    <t>豊里町上屋浦92</t>
  </si>
  <si>
    <t>豊里町上屋浦81-9</t>
  </si>
  <si>
    <t>豊里町上屋浦89</t>
  </si>
  <si>
    <t>豊里町上屋浦85</t>
  </si>
  <si>
    <t>豊里町上屋浦50-5</t>
  </si>
  <si>
    <t>登米市石越総合運動公園</t>
  </si>
  <si>
    <t>001580:登米市石越総合運動公園</t>
  </si>
  <si>
    <t>石越町南郷字矢作125-7</t>
  </si>
  <si>
    <t>0220006</t>
  </si>
  <si>
    <t>石越町南郷字矢作122-2</t>
  </si>
  <si>
    <t>石越町南郷字矢作122-1</t>
  </si>
  <si>
    <t>石越町南郷字矢作134-14</t>
  </si>
  <si>
    <t>石越町南郷字矢作135-5</t>
  </si>
  <si>
    <t>石越町南郷字矢作98-6</t>
  </si>
  <si>
    <t>中田総合運動公園</t>
  </si>
  <si>
    <t>001578:中田総合運動公園</t>
  </si>
  <si>
    <t>中田町宝江黒沼字浦93-2</t>
  </si>
  <si>
    <t>0220004</t>
  </si>
  <si>
    <t>中田町宝江黒沼字浦90-1</t>
  </si>
  <si>
    <t>中田町宝江黒沼字畑中138-14</t>
  </si>
  <si>
    <t>中田町宝江黒沼字浦92-1</t>
  </si>
  <si>
    <t>中田町宝江黒沼字浦94</t>
  </si>
  <si>
    <t>中田町宝江黒沼字浦95</t>
  </si>
  <si>
    <t>中田町宝江黒沼字浦95-3</t>
  </si>
  <si>
    <t>中田町宝江黒沼字浦96</t>
  </si>
  <si>
    <t>中田町宝江黒沼字浦97-1</t>
  </si>
  <si>
    <t>中田町宝江黒沼字浦98-1</t>
  </si>
  <si>
    <t>中田町宝江黒沼字浦99-13</t>
  </si>
  <si>
    <t>中田町宝江黒沼字浦93-1</t>
  </si>
  <si>
    <t>中田町宝江黒沼字浦95-2</t>
  </si>
  <si>
    <t>中田町宝江黒沼字浦88-1</t>
  </si>
  <si>
    <t>登米市登米総合運動公園</t>
  </si>
  <si>
    <t>001575:登米市登米総合運動公園</t>
  </si>
  <si>
    <t>登米町小島長橋565</t>
  </si>
  <si>
    <t>0220001</t>
  </si>
  <si>
    <t>登米町寺池金沢山137</t>
  </si>
  <si>
    <t>登米町小島長橋549-1</t>
  </si>
  <si>
    <t>登米町小島長橋561</t>
  </si>
  <si>
    <t>登米町小島長橋568</t>
  </si>
  <si>
    <t>登米町小島長橋576</t>
  </si>
  <si>
    <t>登米町小島長橋590</t>
  </si>
  <si>
    <t>登米町小島弁慶山77</t>
  </si>
  <si>
    <t>登米町小島弁慶山77-1</t>
  </si>
  <si>
    <t>登米町小島弁慶山79</t>
  </si>
  <si>
    <t>登米町小島弁慶山81</t>
  </si>
  <si>
    <t>登米町小島弁慶山84-1</t>
  </si>
  <si>
    <t>登米町小島長橋630</t>
  </si>
  <si>
    <t>町裏ポケットパーク</t>
  </si>
  <si>
    <t>001573:町裏ポケットパーク</t>
  </si>
  <si>
    <t>東和町米川字町裏28-2</t>
  </si>
  <si>
    <t>0210022</t>
  </si>
  <si>
    <t>南方平貝清水公園</t>
  </si>
  <si>
    <t>001572:南方平貝清水公園</t>
  </si>
  <si>
    <t>南方町下平貝131-2</t>
  </si>
  <si>
    <t>0210021</t>
  </si>
  <si>
    <t>南方町下平貝127-1</t>
  </si>
  <si>
    <t>南方町下平貝133-3</t>
  </si>
  <si>
    <t>南方町下平貝129</t>
  </si>
  <si>
    <t>南方町下平貝130-2</t>
  </si>
  <si>
    <t>南方花菖蒲の郷公園</t>
  </si>
  <si>
    <t>001571:南方花菖蒲の郷公園</t>
  </si>
  <si>
    <t>南方町翌沢36-1</t>
  </si>
  <si>
    <t>0210020</t>
  </si>
  <si>
    <t>南方町翌沢34-2</t>
  </si>
  <si>
    <t>南方町翌沢37-5</t>
  </si>
  <si>
    <t>南方町翌沢36-3</t>
  </si>
  <si>
    <t>南方町翌沢37-1</t>
  </si>
  <si>
    <t>南方町翌沢71-1</t>
  </si>
  <si>
    <t>南方町翌沢66-1</t>
  </si>
  <si>
    <t>南方町翌沢67</t>
  </si>
  <si>
    <t>南方町翌沢68-1</t>
  </si>
  <si>
    <t>南方町翌沢69</t>
  </si>
  <si>
    <t>南方町翌沢70</t>
  </si>
  <si>
    <t>南方町翌沢73-1</t>
  </si>
  <si>
    <t>南方町翌沢74-1</t>
  </si>
  <si>
    <t>南方町翌沢75</t>
  </si>
  <si>
    <t>南方町翌沢78</t>
  </si>
  <si>
    <t>南方町翌沢217</t>
  </si>
  <si>
    <t>南方町翌沢218-2</t>
  </si>
  <si>
    <t>南方町翌沢34-1</t>
  </si>
  <si>
    <t>南方町翌沢36-2</t>
  </si>
  <si>
    <t>南方町翌沢76</t>
  </si>
  <si>
    <t>南方町翌沢72</t>
  </si>
  <si>
    <t>南方大嶽山交流広場</t>
  </si>
  <si>
    <t>001570:南方大嶽山交流広場</t>
  </si>
  <si>
    <t>南方町南沢33-1</t>
  </si>
  <si>
    <t>0210019</t>
  </si>
  <si>
    <t>南方町南沢60</t>
  </si>
  <si>
    <t>南方町大嶽山15</t>
  </si>
  <si>
    <t>石越海上連親水公園</t>
  </si>
  <si>
    <t>001569:石越海上連親水公園</t>
  </si>
  <si>
    <t>石越町東郷字苦木145-3</t>
  </si>
  <si>
    <t>0210018</t>
  </si>
  <si>
    <t>石越町東郷字祢宜屋敷102-2</t>
  </si>
  <si>
    <t>石越町東郷字祢宜屋敷107-2</t>
  </si>
  <si>
    <t>石越町東郷字祢宜屋敷113-3</t>
  </si>
  <si>
    <t>石越町東郷字祢宜屋敷113-4</t>
  </si>
  <si>
    <t>石越町東郷字祢宜屋敷114-2</t>
  </si>
  <si>
    <t>石越町東郷字祢宜屋敷115-3</t>
  </si>
  <si>
    <t>石越町東郷字祢宜屋敷115-4</t>
  </si>
  <si>
    <t>石越町東郷字祢宜屋敷116-3</t>
  </si>
  <si>
    <t>石越町東郷字祢宜屋敷118-2</t>
  </si>
  <si>
    <t>石越町東郷字祢宜屋敷119-2</t>
  </si>
  <si>
    <t>石越町東郷字祢宜屋敷120-2</t>
  </si>
  <si>
    <t>石越町東郷字祢宜屋敷123-2</t>
  </si>
  <si>
    <t>石越町東郷字祢宜屋敷124-1</t>
  </si>
  <si>
    <t>石越町東郷字祢宜屋敷125-1</t>
  </si>
  <si>
    <t>石越町東郷字祢宜屋敷143</t>
  </si>
  <si>
    <t>石越町東郷字苦木144</t>
  </si>
  <si>
    <t>石越町東郷字祢宜屋敷116-4</t>
  </si>
  <si>
    <t>石越町東郷字祢宜屋敷119-3</t>
  </si>
  <si>
    <t>石越町東郷字苦木141-2</t>
  </si>
  <si>
    <t>石越町東郷字苦木142-2</t>
  </si>
  <si>
    <t>石越町東郷字祢宜屋敷96-2</t>
  </si>
  <si>
    <t>001568:石越高森公園</t>
  </si>
  <si>
    <t>石越町南郷字高森308-1</t>
  </si>
  <si>
    <t>0210023</t>
  </si>
  <si>
    <t>石越町南郷字高森307-2</t>
  </si>
  <si>
    <t>石越町南郷字高森311</t>
  </si>
  <si>
    <t>石越町南郷字高森303-11</t>
  </si>
  <si>
    <t>石越町南郷字高森302-9</t>
  </si>
  <si>
    <t>石越町南郷字高森245-1</t>
  </si>
  <si>
    <t>石越町南郷字高森321-3</t>
  </si>
  <si>
    <t>石越町南郷字高森314-19</t>
  </si>
  <si>
    <t>石越町南郷字高森321-4</t>
  </si>
  <si>
    <t>石越町南郷字高森314-18</t>
  </si>
  <si>
    <t>石越高森児童遊園</t>
  </si>
  <si>
    <t>1975/12/22</t>
  </si>
  <si>
    <t>石越町南郷字高森293-1</t>
  </si>
  <si>
    <t>0270003</t>
  </si>
  <si>
    <t>1981/06/23</t>
  </si>
  <si>
    <t>石越町南郷字高森300-2</t>
  </si>
  <si>
    <t>石越陽だまり公園</t>
  </si>
  <si>
    <t>001567:石越陽だまり公園</t>
  </si>
  <si>
    <t>0210016</t>
  </si>
  <si>
    <t>平筒沼ふれあい公園</t>
  </si>
  <si>
    <t>001566:平筒沼ふれあい公園</t>
  </si>
  <si>
    <t>憩いの森（山林）　</t>
  </si>
  <si>
    <t>米山町字桜岡貝待井708-1</t>
  </si>
  <si>
    <t>0210015</t>
  </si>
  <si>
    <t>米山町字桜岡貝待井709</t>
  </si>
  <si>
    <t>平筒沼遊歩道の一部　</t>
  </si>
  <si>
    <t>米山町字桜岡楠田145-1</t>
  </si>
  <si>
    <t>中央広場（公園）　</t>
  </si>
  <si>
    <t>米山町字桜岡貝待井575</t>
  </si>
  <si>
    <t>（youyou館）　</t>
  </si>
  <si>
    <t>米山町字桜岡貝待井582-1</t>
  </si>
  <si>
    <t>平筒沼　</t>
  </si>
  <si>
    <t>米山町字桜岡貝待井150-2</t>
  </si>
  <si>
    <t>2001/07/10</t>
  </si>
  <si>
    <t>くり公園</t>
  </si>
  <si>
    <t>001565:豊里笑沢自然公園（桜公園）（栗園）</t>
  </si>
  <si>
    <t>0210014</t>
  </si>
  <si>
    <t>さくら公園</t>
  </si>
  <si>
    <t>中田地蔵沼親水公園</t>
  </si>
  <si>
    <t>001564:中田地蔵沼親水公園</t>
  </si>
  <si>
    <t>中田町上沼字新小塚前1</t>
  </si>
  <si>
    <t>0210013</t>
  </si>
  <si>
    <t>中田冠木沼親水公園</t>
  </si>
  <si>
    <t>001563:中田冠木沼親水公園</t>
  </si>
  <si>
    <t>中田町上沼字弥勒寺住吉179-2</t>
  </si>
  <si>
    <t>0210012</t>
  </si>
  <si>
    <t>中田町上沼字弥勒寺住吉180-2</t>
  </si>
  <si>
    <t>中田町上沼字弥勒寺住吉181-2</t>
  </si>
  <si>
    <t>中田町上沼字冠木45-6</t>
  </si>
  <si>
    <t>中田町上沼字冠木45-8</t>
  </si>
  <si>
    <t>中田町上沼字弥勒寺住吉185-3</t>
  </si>
  <si>
    <t>中田ふれあい中央公園</t>
  </si>
  <si>
    <t>001561:中田ふれあい中央公園</t>
  </si>
  <si>
    <t>0210010</t>
  </si>
  <si>
    <t>登米駒つなぎの広場</t>
  </si>
  <si>
    <t>001555:登米駒つなぎの広場</t>
  </si>
  <si>
    <t>登米町寺池桜小路150</t>
  </si>
  <si>
    <t>0210004</t>
  </si>
  <si>
    <t>登米寺池城址公園</t>
  </si>
  <si>
    <t>001554:登米寺池城址公園</t>
  </si>
  <si>
    <t>登米町寺池桜小路103-1</t>
  </si>
  <si>
    <t>0210003</t>
  </si>
  <si>
    <t>登米町寺池桜小路103-11</t>
  </si>
  <si>
    <t>1987/08/03</t>
  </si>
  <si>
    <t>石越町南郷字高森280</t>
  </si>
  <si>
    <t>石越町南郷字高森281</t>
  </si>
  <si>
    <t>石越町南郷字高森283</t>
  </si>
  <si>
    <t>石越町南郷字高森178-1</t>
  </si>
  <si>
    <t>石越町南郷字高森100</t>
  </si>
  <si>
    <t>東和馬の足農村公園</t>
  </si>
  <si>
    <t>001504:東和馬の足農村公園</t>
  </si>
  <si>
    <t>東和町米川字馬ノ足26-3</t>
  </si>
  <si>
    <t>0190010</t>
  </si>
  <si>
    <t>東和森林公園</t>
  </si>
  <si>
    <t>001550:東和森林公園</t>
  </si>
  <si>
    <t>東和町米川字北上沢102-8</t>
  </si>
  <si>
    <t>0200002</t>
  </si>
  <si>
    <t>東和町米川字北上沢102-13</t>
  </si>
  <si>
    <t>登米森林公園</t>
  </si>
  <si>
    <t>001549:登米森林公園</t>
  </si>
  <si>
    <t>0200001</t>
  </si>
  <si>
    <t>米山西野農村公園</t>
  </si>
  <si>
    <t>001541:米山西野農村公園</t>
  </si>
  <si>
    <t>米山町西野字新遠田70</t>
  </si>
  <si>
    <t>0190047</t>
  </si>
  <si>
    <t>津山木の体験広場</t>
  </si>
  <si>
    <t>001539:津山木の体験広場</t>
  </si>
  <si>
    <t>津山町柳津字形沼150-3</t>
  </si>
  <si>
    <t>0190045</t>
  </si>
  <si>
    <t>津山南沢農村公園</t>
  </si>
  <si>
    <t>001537:津山南沢農村公園</t>
  </si>
  <si>
    <t>津山町横山字寺倉14-2</t>
  </si>
  <si>
    <t>0190043</t>
  </si>
  <si>
    <t>津山町横山字寺倉15-4</t>
  </si>
  <si>
    <t>津山町横山字寺倉15-2</t>
  </si>
  <si>
    <t>津山町横山字寺倉22-2</t>
  </si>
  <si>
    <t>津山町横山字寺倉22-6</t>
  </si>
  <si>
    <t>津山黄牛町農村公園</t>
  </si>
  <si>
    <t>001536:津山黄牛町農村公園</t>
  </si>
  <si>
    <t>津山町柳津字黄牛新岩前245-1</t>
  </si>
  <si>
    <t>0190042</t>
  </si>
  <si>
    <t>津山元町農村公園</t>
  </si>
  <si>
    <t>001534:津山元町農村公園</t>
  </si>
  <si>
    <t>津山町柳津字平形161-1</t>
  </si>
  <si>
    <t>0190040</t>
  </si>
  <si>
    <t>南方北本郷遊園</t>
  </si>
  <si>
    <t>001533:南方北本郷遊園</t>
  </si>
  <si>
    <t>南方町照井251-1</t>
  </si>
  <si>
    <t>0190039</t>
  </si>
  <si>
    <t>南方町照井225-1</t>
  </si>
  <si>
    <t>南方砥落農村公園</t>
  </si>
  <si>
    <t>001531:南方砥落農村公園</t>
  </si>
  <si>
    <t>南方町米袋前55-2</t>
  </si>
  <si>
    <t>0190037</t>
  </si>
  <si>
    <t>南方町米袋前55-1</t>
  </si>
  <si>
    <t>南方南大畑農村公園</t>
  </si>
  <si>
    <t>001530:南方南大畑農村公園</t>
  </si>
  <si>
    <t>南方町新田15-1</t>
  </si>
  <si>
    <t>0190036</t>
  </si>
  <si>
    <t>南方原農村公園</t>
  </si>
  <si>
    <t>001529:南方原農村公園</t>
  </si>
  <si>
    <t>南方町新大村前5</t>
  </si>
  <si>
    <t>1979/02/26</t>
  </si>
  <si>
    <t>0190035</t>
  </si>
  <si>
    <t>南方沢田農村公園</t>
  </si>
  <si>
    <t>001527:南方沢田農村公園</t>
  </si>
  <si>
    <t>南方町松島屋敷85</t>
  </si>
  <si>
    <t>0190033</t>
  </si>
  <si>
    <t>南方苔下農村公園</t>
  </si>
  <si>
    <t>001526:南方苔下農村公園</t>
  </si>
  <si>
    <t>1978/12/05</t>
  </si>
  <si>
    <t>南方町後高石162-3</t>
  </si>
  <si>
    <t>0190032</t>
  </si>
  <si>
    <t>南方中央公園</t>
  </si>
  <si>
    <t>001525:南方中央公園</t>
  </si>
  <si>
    <t>0190031</t>
  </si>
  <si>
    <t>南方町八の森12-1</t>
  </si>
  <si>
    <t>南方町八の森24-11</t>
  </si>
  <si>
    <t>石越舘前住宅団地公園</t>
  </si>
  <si>
    <t>001523:石越舘前住宅団地公園</t>
  </si>
  <si>
    <t>石越町南郷字舘前190-5</t>
  </si>
  <si>
    <t>2018/12/03</t>
  </si>
  <si>
    <t>0190029</t>
  </si>
  <si>
    <t>米山桜岡公園</t>
  </si>
  <si>
    <t>001518:米山桜岡公園</t>
  </si>
  <si>
    <t>米山町字桜岡上待井300-3</t>
  </si>
  <si>
    <t>0190024</t>
  </si>
  <si>
    <t>米山中津山公園</t>
  </si>
  <si>
    <t>001517:米山中津山公園</t>
  </si>
  <si>
    <t>公衆トイレ、ゲートボール場あり　</t>
  </si>
  <si>
    <t>米山町中津山字平潟642-2</t>
  </si>
  <si>
    <t>0190023</t>
  </si>
  <si>
    <t>米山後小路公園</t>
  </si>
  <si>
    <t>001516:米山後小路公園</t>
  </si>
  <si>
    <t>米山町西野字中島134-1</t>
  </si>
  <si>
    <t>0190022</t>
  </si>
  <si>
    <t>豊里山根農村公園</t>
  </si>
  <si>
    <t>001515:豊里山根農村公園</t>
  </si>
  <si>
    <t>豊里町沢尻166</t>
  </si>
  <si>
    <t>0190021</t>
  </si>
  <si>
    <t>中田曲袋農村公園</t>
  </si>
  <si>
    <t>001513:中田曲袋農村公園</t>
  </si>
  <si>
    <t>中田町浅水字曲袋南4</t>
  </si>
  <si>
    <t>0190019</t>
  </si>
  <si>
    <t>中田浅水農村公園</t>
  </si>
  <si>
    <t>001512:中田浅水農村公園</t>
  </si>
  <si>
    <t>中田町浅水字荒神堂143-1</t>
  </si>
  <si>
    <t>1999/09/21</t>
  </si>
  <si>
    <t>0190018</t>
  </si>
  <si>
    <t>中田町浅水字荒神堂148-1</t>
  </si>
  <si>
    <t>中田町浅水字荒神堂149-1</t>
  </si>
  <si>
    <t>中田西田公園</t>
  </si>
  <si>
    <t>001510:中田西田公園</t>
  </si>
  <si>
    <t>中田町石森字西田北29</t>
  </si>
  <si>
    <t>1973/02/15</t>
  </si>
  <si>
    <t>0190016</t>
  </si>
  <si>
    <t>中田浅部公園</t>
  </si>
  <si>
    <t>001508:中田浅部公園</t>
  </si>
  <si>
    <t>中田町浅水字浅部玉山180-4</t>
  </si>
  <si>
    <t>1994/06/28</t>
  </si>
  <si>
    <t>0190014</t>
  </si>
  <si>
    <t>中田舘公園</t>
  </si>
  <si>
    <t>001507:中田舘公園</t>
  </si>
  <si>
    <t>中田町宝江新井田字細谷125</t>
  </si>
  <si>
    <t>1990/10/30</t>
  </si>
  <si>
    <t>0190013</t>
  </si>
  <si>
    <t>東和町米川字馬ノ足28-7</t>
  </si>
  <si>
    <t>1982/04/17</t>
  </si>
  <si>
    <t>中田大手口公園</t>
  </si>
  <si>
    <t>001505:中田大手口公園</t>
  </si>
  <si>
    <t>中田町上沼字長根108</t>
  </si>
  <si>
    <t>1981/11/10</t>
  </si>
  <si>
    <t>0190011</t>
  </si>
  <si>
    <t>中田町上沼字長根3-1</t>
  </si>
  <si>
    <t>1987/08/04</t>
  </si>
  <si>
    <t>中田川面公園</t>
  </si>
  <si>
    <t>001506:中田川面公園</t>
  </si>
  <si>
    <t>中田町浅水字東川面195-2</t>
  </si>
  <si>
    <t>1988/01/20</t>
  </si>
  <si>
    <t>0190012</t>
  </si>
  <si>
    <t>中田町浅水字東川面198-1</t>
  </si>
  <si>
    <t>1994/07/12</t>
  </si>
  <si>
    <t>中田石森長根公園</t>
  </si>
  <si>
    <t>001509:中田石森長根公園</t>
  </si>
  <si>
    <t>中田町石森字小倉253-1</t>
  </si>
  <si>
    <t>0190015</t>
  </si>
  <si>
    <t>中田町石森字長根66-1</t>
  </si>
  <si>
    <t>中田町石森字西小倉1-1</t>
  </si>
  <si>
    <t>中田新井田公園</t>
  </si>
  <si>
    <t>001511:中田新井田公園</t>
  </si>
  <si>
    <t>中田町宝江新井田字上待井31-2</t>
  </si>
  <si>
    <t>0190017</t>
  </si>
  <si>
    <t>中田町浅水字曲袋南5</t>
  </si>
  <si>
    <t>豊里十五貫農村公園</t>
  </si>
  <si>
    <t>001514:豊里十五貫農村公園</t>
  </si>
  <si>
    <t>豊里町内畑132</t>
  </si>
  <si>
    <t>0190020</t>
  </si>
  <si>
    <t>米山桜岡第二公園</t>
  </si>
  <si>
    <t>001519:米山桜岡第２公園</t>
  </si>
  <si>
    <t>米山町字桜岡新東新田25-6</t>
  </si>
  <si>
    <t>0190025</t>
  </si>
  <si>
    <t>米山千貫公園</t>
  </si>
  <si>
    <t>001521:米山千貫公園</t>
  </si>
  <si>
    <t>米山町中津山字東千貫47-3</t>
  </si>
  <si>
    <t>0190027</t>
  </si>
  <si>
    <t>米山中埣公園</t>
  </si>
  <si>
    <t>001522:米山中埣公園</t>
  </si>
  <si>
    <t>米山町西野字平埣前72</t>
  </si>
  <si>
    <t>0190028</t>
  </si>
  <si>
    <t>石越第3農村公園</t>
  </si>
  <si>
    <t>001524:石越第3農村公園</t>
  </si>
  <si>
    <t>石越町南郷字松ケ崎前6-1</t>
  </si>
  <si>
    <t>0190030</t>
  </si>
  <si>
    <t>南方町松島屋敷82</t>
  </si>
  <si>
    <t>南方町米袋前54-2</t>
  </si>
  <si>
    <t>南方町米袋前56</t>
  </si>
  <si>
    <t>南方柳沢農村公園</t>
  </si>
  <si>
    <t>001532:南方柳沢農村公園</t>
  </si>
  <si>
    <t>南方町大平10-5</t>
  </si>
  <si>
    <t>0190038</t>
  </si>
  <si>
    <t>津山入沢農村公園</t>
  </si>
  <si>
    <t>001535:津山入沢農村公園</t>
  </si>
  <si>
    <t>0190041</t>
  </si>
  <si>
    <t>津山町横山字寺倉21</t>
  </si>
  <si>
    <t>津山町横山字寺倉22-3</t>
  </si>
  <si>
    <t>津山町横山字寺倉14-5</t>
  </si>
  <si>
    <t>津山町横山字寺倉14-4</t>
  </si>
  <si>
    <t>津山町横山字寺倉14-3</t>
  </si>
  <si>
    <t>津山久保農村公園</t>
  </si>
  <si>
    <t>001538:津山久保農村公園</t>
  </si>
  <si>
    <t>津山町横山字久保82-5</t>
  </si>
  <si>
    <t>0190044</t>
  </si>
  <si>
    <t>米山町西野字新遠田71</t>
  </si>
  <si>
    <t>1989/12/04</t>
  </si>
  <si>
    <t>米山町西野字新遠田69</t>
  </si>
  <si>
    <t>東和町米川字北上沢220-2</t>
  </si>
  <si>
    <t>東和町米川字北上沢102-14</t>
  </si>
  <si>
    <t>登米町寺池桜小路103-10</t>
  </si>
  <si>
    <t>登米町寺池桜小路103-2</t>
  </si>
  <si>
    <t>登米町寺池桜小路1-8</t>
  </si>
  <si>
    <t>中田町上沼字冠木45-4</t>
  </si>
  <si>
    <t>中田町上沼字弥勒寺住吉167-10</t>
  </si>
  <si>
    <t>中田町上沼字弥勒寺住吉184-3</t>
  </si>
  <si>
    <t>中田町上沼字弥勒寺住吉182-2</t>
  </si>
  <si>
    <t>米山町字桜岡貝待井571-2</t>
  </si>
  <si>
    <t>（道路？）　</t>
  </si>
  <si>
    <t>米山町字桜岡貝待井149-2</t>
  </si>
  <si>
    <t>1999/12/01</t>
  </si>
  <si>
    <t>米山町字桜岡貝待井581-3</t>
  </si>
  <si>
    <t>米山町字桜岡貝待井581-1</t>
  </si>
  <si>
    <t>1980/11/04</t>
  </si>
  <si>
    <t>石越町南郷字高森301-1</t>
  </si>
  <si>
    <t>石越町南郷字高森314-1</t>
  </si>
  <si>
    <t>石越町南郷字高森274</t>
  </si>
  <si>
    <t>石越町南郷字高森308-3</t>
  </si>
  <si>
    <t>石越町東郷字苦木138-12</t>
  </si>
  <si>
    <t>石越町東郷字祢宜屋敷115-2</t>
  </si>
  <si>
    <t>石越町東郷字祢宜屋敷117-2</t>
  </si>
  <si>
    <t>石越町東郷字祢宜屋敷114-3</t>
  </si>
  <si>
    <t>石越町東郷字祢宜屋敷112-2</t>
  </si>
  <si>
    <t>南方町翌沢65-1</t>
  </si>
  <si>
    <t>上太田切２号溜池</t>
  </si>
  <si>
    <t>南方町中須崎238番地ため池</t>
  </si>
  <si>
    <t>南方町中須崎238番地</t>
  </si>
  <si>
    <t>石越町北郷新鹿沼124-2番地ため池</t>
  </si>
  <si>
    <t>石越町北郷新鹿沼124-2番地</t>
  </si>
  <si>
    <t>南方町間内34-1番地ため池</t>
  </si>
  <si>
    <t>南方町間内34-1番地</t>
  </si>
  <si>
    <t>迫町新田字上立戸63</t>
  </si>
  <si>
    <t>米山町善王寺武道ヶ崎55番地ため池</t>
  </si>
  <si>
    <t>米山町善王寺武道ヶ崎55番地</t>
  </si>
  <si>
    <t>迫町北方大洞63-3番地ため池</t>
  </si>
  <si>
    <t>迫町北方大洞63-3番地</t>
  </si>
  <si>
    <t>迫町新田大沢6番地ため池</t>
  </si>
  <si>
    <t>迫町新田大沢6番地</t>
  </si>
  <si>
    <t>迫町新田字山崎196</t>
  </si>
  <si>
    <t>迫町北方相ヶ沢75番地ため池</t>
  </si>
  <si>
    <t>迫町北方相ヶ沢75番地</t>
  </si>
  <si>
    <t>東和町米谷照井44番地ため池</t>
  </si>
  <si>
    <t>東和町米谷照井44番地</t>
  </si>
  <si>
    <t>米山町桜岡貝待井12-1番地ため池</t>
  </si>
  <si>
    <t>米山町桜岡貝待井12-1番地</t>
  </si>
  <si>
    <t>東和町米谷福平46番地ため池</t>
  </si>
  <si>
    <t>AsyzAP042120086：福平（２）溜池</t>
  </si>
  <si>
    <t>東和町米谷福平46番地</t>
  </si>
  <si>
    <t>迫町新田山田18番地ため池</t>
  </si>
  <si>
    <t>迫町新田山田18番地</t>
  </si>
  <si>
    <t>石越町東郷大根沢106番地ため池</t>
  </si>
  <si>
    <t>AsyzAP042120115：大根沢（２）溜池</t>
  </si>
  <si>
    <t>石越町東郷大根沢106番地</t>
  </si>
  <si>
    <t>迫町新田中葉ノ木沢55番地ため池</t>
  </si>
  <si>
    <t>迫町新田中葉ノ木沢55番地</t>
  </si>
  <si>
    <t>迫町新田外沢田59番地ため池</t>
  </si>
  <si>
    <t>迫町新田外沢田59番地</t>
  </si>
  <si>
    <t>南方町中ノ口50番地ため池</t>
  </si>
  <si>
    <t>AsyzAP042120155：中の口１号溜池</t>
  </si>
  <si>
    <t>南方町中ノ口50番地</t>
  </si>
  <si>
    <t>迫町新田上大田切11番地ため池</t>
  </si>
  <si>
    <t>迫町新田上大田切11番地</t>
  </si>
  <si>
    <t>石越町東郷千貫巻149-2番地ため池</t>
  </si>
  <si>
    <t>AsyzAP042120112：五味倉溜池</t>
  </si>
  <si>
    <t>石越町東郷千貫巻149-2番地</t>
  </si>
  <si>
    <t>迫町新田山田42番地ため池</t>
  </si>
  <si>
    <t>迫町新田山田42番地</t>
  </si>
  <si>
    <t>中田町上沼大泉伊勢山115番地ため池</t>
  </si>
  <si>
    <t>AsyzAP042120100：小名倉溜池</t>
  </si>
  <si>
    <t>中田町上沼大泉伊勢山115番地</t>
  </si>
  <si>
    <t>迫町新田南深沢29-1番地ため池</t>
  </si>
  <si>
    <t>AsyzAP042120005：南深沢（１）溜池</t>
  </si>
  <si>
    <t>迫町新田南深沢29-1番地</t>
  </si>
  <si>
    <t>米山町善王寺森ノ腰143番地ため池</t>
  </si>
  <si>
    <t>米山町善王寺森ノ腰143番地</t>
  </si>
  <si>
    <t>迫町新田田上21番地ため池</t>
  </si>
  <si>
    <t>AsyzAP042120073：田上１号溜池</t>
  </si>
  <si>
    <t>迫町新田田上21番地</t>
  </si>
  <si>
    <t>迫町新田小友1番地ため池</t>
  </si>
  <si>
    <t>迫町新田小友1番地</t>
  </si>
  <si>
    <t>迫町新田高森40番地ため池</t>
  </si>
  <si>
    <t>迫町新田高森40番地</t>
  </si>
  <si>
    <t>迫町新田南深沢39番地ため池</t>
  </si>
  <si>
    <t>迫町新田南深沢39番地</t>
  </si>
  <si>
    <t>迫町新田大浦前22番地ため池</t>
  </si>
  <si>
    <t>迫町新田大浦前22番地</t>
  </si>
  <si>
    <t>東和町米谷平倉163番地ため池</t>
  </si>
  <si>
    <t>東和町米谷平倉163番地</t>
  </si>
  <si>
    <t>迫町新田舘林57番地ため池</t>
  </si>
  <si>
    <t>AsyzAP042120010：館林（２）溜池</t>
  </si>
  <si>
    <t>迫町新田舘林57番地</t>
  </si>
  <si>
    <t>南方町三代前206番地ため池</t>
  </si>
  <si>
    <t>南方町三代前206番地</t>
  </si>
  <si>
    <t>東和町錦織畑ノ沢181番地ため池</t>
  </si>
  <si>
    <t>東和町錦織畑ノ沢181番地</t>
  </si>
  <si>
    <t>南方町実沢156-1番地ため池</t>
  </si>
  <si>
    <t>南方町実沢156-1番地</t>
  </si>
  <si>
    <t>迫町新田上大田切26番地ため池</t>
  </si>
  <si>
    <t>迫町新田上大田切26番地</t>
  </si>
  <si>
    <t>南方町南沢59番地ため池</t>
  </si>
  <si>
    <t>南方町南沢59番地</t>
  </si>
  <si>
    <t>迫町新田上大田切43番地ため池</t>
  </si>
  <si>
    <t>AsyzAP042120024：上太田切（甲）溜池</t>
  </si>
  <si>
    <t>迫町新田上大田切43番地</t>
  </si>
  <si>
    <t>迫町新田大田切57-1番地ため池</t>
  </si>
  <si>
    <t>迫町新田大田切57-1番地</t>
  </si>
  <si>
    <t>東和町米川大綱木56番地ため池</t>
  </si>
  <si>
    <t>東和町米川大綱木56番地</t>
  </si>
  <si>
    <t>迫町新田字西沢28</t>
  </si>
  <si>
    <t>東和町米谷根廻143番地ため池</t>
  </si>
  <si>
    <t>東和町米谷根廻143番地</t>
  </si>
  <si>
    <t>迫町新田南深沢46-1番地ため池</t>
  </si>
  <si>
    <t>迫町新田南深沢46-1番地</t>
  </si>
  <si>
    <t>迫町新田台所57番地ため池</t>
  </si>
  <si>
    <t>迫町新田台所57番地</t>
  </si>
  <si>
    <t>南方町間内前54番地ため池</t>
  </si>
  <si>
    <t>南方町間内前54番地</t>
  </si>
  <si>
    <t>南方町中須崎36番地ため池</t>
  </si>
  <si>
    <t>南方町中須崎36番地</t>
  </si>
  <si>
    <t>東和町米谷山桑44番地ため池</t>
  </si>
  <si>
    <t>AsyzAP042120082：山桑（１）溜池</t>
  </si>
  <si>
    <t>東和町米谷山桑44番地</t>
  </si>
  <si>
    <t>迫町新田大鹿野57番地ため池</t>
  </si>
  <si>
    <t>迫町新田大鹿野57番地</t>
  </si>
  <si>
    <t>東和町米川末田54番地ため池</t>
  </si>
  <si>
    <t>東和町米川末田54番地</t>
  </si>
  <si>
    <t>迫町北方丸森65番地ため池</t>
  </si>
  <si>
    <t>AsyzAP042120003：丸森溜池</t>
  </si>
  <si>
    <t>迫町北方丸森65番地</t>
  </si>
  <si>
    <t>迫町新田寺志田110-1番地ため池</t>
  </si>
  <si>
    <t>迫町新田寺志田110-1番地</t>
  </si>
  <si>
    <t>迫町新田日向33番地ため池</t>
  </si>
  <si>
    <t>AsyzAP042120064：日向４号溜池</t>
  </si>
  <si>
    <t>迫町新田日向33番地</t>
  </si>
  <si>
    <t>東和町米川町裏101-1番地ため池</t>
  </si>
  <si>
    <t>東和町米川町裏101-1番地</t>
  </si>
  <si>
    <t>館林（４）溜池</t>
  </si>
  <si>
    <t>南方町中ノ口120</t>
  </si>
  <si>
    <t>迫町新田畑中48番地ため池</t>
  </si>
  <si>
    <t>迫町新田畑中48番地</t>
  </si>
  <si>
    <t>石越町東郷苦木107-1番地ため池</t>
  </si>
  <si>
    <t>石越町東郷苦木107-1番地</t>
  </si>
  <si>
    <t>東和町米谷山桑72番地ため池</t>
  </si>
  <si>
    <t>東和町米谷山桑72番地</t>
  </si>
  <si>
    <t>迫町新田上大田切3番地ため池</t>
  </si>
  <si>
    <t>AsyzAP042120069：上太田切１号溜池</t>
  </si>
  <si>
    <t>迫町新田上大田切3番地</t>
  </si>
  <si>
    <t>津山町横山字細屋29-13</t>
  </si>
  <si>
    <t>津山町横山字細屋24</t>
  </si>
  <si>
    <t>東和町米川字東綱木191-1</t>
  </si>
  <si>
    <t>豊里町上屋浦51-2</t>
  </si>
  <si>
    <t>豊里町上屋浦74</t>
  </si>
  <si>
    <t>豊里町上屋浦82-6</t>
  </si>
  <si>
    <t>豊里町上屋浦88</t>
  </si>
  <si>
    <t>豊里町上屋浦93</t>
  </si>
  <si>
    <t>豊里町上屋浦98-1</t>
  </si>
  <si>
    <t>豊里町上屋浦103-2</t>
  </si>
  <si>
    <t>豊里町上屋浦108-2</t>
  </si>
  <si>
    <t>豊里町上屋浦113-2</t>
  </si>
  <si>
    <t>豊里町上屋浦57</t>
  </si>
  <si>
    <t>豊里町上屋浦73</t>
  </si>
  <si>
    <t>石越町南郷字矢作122-5</t>
  </si>
  <si>
    <t>中田町宝江黒沼字浦91-1</t>
  </si>
  <si>
    <t>中田町宝江黒沼字浦95-1</t>
  </si>
  <si>
    <t>中田町宝江黒沼字浦97-2</t>
  </si>
  <si>
    <t>中田町宝江黒沼字浦93-3</t>
  </si>
  <si>
    <t>登米町小島弁慶山84-2</t>
  </si>
  <si>
    <t>南方町下平貝128</t>
  </si>
  <si>
    <t>南方町翌沢66-2</t>
  </si>
  <si>
    <t>南方町須崎下296-2</t>
  </si>
  <si>
    <t>南方町翌沢77</t>
  </si>
  <si>
    <t>中田町浅水字鮎川田216-1</t>
  </si>
  <si>
    <t>石越町東郷蕪木113番地ため池</t>
  </si>
  <si>
    <t>石越町東郷蕪木113番地</t>
  </si>
  <si>
    <t>インフラ資産/土地</t>
  </si>
  <si>
    <t>2021</t>
  </si>
  <si>
    <t>2021/04/01</t>
  </si>
  <si>
    <t>0:一円残ししない</t>
  </si>
  <si>
    <t>道-89</t>
  </si>
  <si>
    <t>道-78</t>
  </si>
  <si>
    <t>道-19</t>
  </si>
  <si>
    <t>南方町堂地253番3、南方町堂地254番7</t>
  </si>
  <si>
    <t>2021/11/10</t>
  </si>
  <si>
    <t>2021/12/03</t>
  </si>
  <si>
    <t>市道新井宿・堂地線排水路整備事業に伴う土地購入</t>
  </si>
  <si>
    <t>30:突合</t>
  </si>
  <si>
    <t>01:新規</t>
  </si>
  <si>
    <t>08</t>
  </si>
  <si>
    <t>02</t>
  </si>
  <si>
    <t>000</t>
  </si>
  <si>
    <t>510053211</t>
  </si>
  <si>
    <t>AsyzAP市道新井宿・堂地線排水路整備事業に伴う土地購入 PPP元キー:00000001-0000008554-1</t>
  </si>
  <si>
    <t>R4蒜畑線（移転補償）</t>
  </si>
  <si>
    <t>2022/10/07</t>
  </si>
  <si>
    <t>AsyzAP公共道路用地</t>
  </si>
  <si>
    <t>東和町米川字北上沢　地内</t>
  </si>
  <si>
    <t>2022/10/21</t>
  </si>
  <si>
    <t>03</t>
  </si>
  <si>
    <t>510039656</t>
  </si>
  <si>
    <t>12:式</t>
  </si>
  <si>
    <t>02:公有財産建物台帳</t>
  </si>
  <si>
    <t>R4大網４号線（土地購入）</t>
  </si>
  <si>
    <t>2022/11/11</t>
  </si>
  <si>
    <t>AsyzAP公衆道路用地</t>
  </si>
  <si>
    <t>迫町佐沼字大網　地内</t>
  </si>
  <si>
    <t>2022/11/25</t>
  </si>
  <si>
    <t>510038711</t>
  </si>
  <si>
    <t>03:所管換え主管課</t>
  </si>
  <si>
    <t>07</t>
  </si>
  <si>
    <t>R3白鳥１号線（土地購入）</t>
  </si>
  <si>
    <t>2021/09/03</t>
  </si>
  <si>
    <t>公衆道路用地</t>
  </si>
  <si>
    <t>豊里町白鳥　地内</t>
  </si>
  <si>
    <t>2021/09/17</t>
  </si>
  <si>
    <t>510017368</t>
  </si>
  <si>
    <t>AsyzAP公衆道路用地 PPP元キー:00000001-0000008572-1</t>
  </si>
  <si>
    <t>R4幹線用水線（移転補償）</t>
  </si>
  <si>
    <t>2022/08/29</t>
  </si>
  <si>
    <t>登米町登米　地内</t>
  </si>
  <si>
    <t>2022/09/16</t>
  </si>
  <si>
    <t>510021565</t>
  </si>
  <si>
    <t>1:開始資産</t>
  </si>
  <si>
    <t>R4大手前上町線（土地購入）</t>
  </si>
  <si>
    <t>2023/03/27</t>
  </si>
  <si>
    <t>登米町登米字寺池桜小路　地内</t>
  </si>
  <si>
    <t>2023/04/14</t>
  </si>
  <si>
    <t>510081208</t>
  </si>
  <si>
    <t>高森地内排水路</t>
  </si>
  <si>
    <t>2022/12/09</t>
  </si>
  <si>
    <t>AsyzAPR4 建設総務課にて寄附受納した後、観光シティプロモーション課へ所管替え（取得年月日は登記日）</t>
  </si>
  <si>
    <t>石越町南郷字高森294-7</t>
  </si>
  <si>
    <t>02:寄付</t>
  </si>
  <si>
    <t>近傍宅地のR4固定資産税評価額単価：4,500円
固定資産税に係る７割評価の割戻：0.70
払下単価基準による道路及び用悪水路の比準割合：0.25
土地の価格＝(4,500/0.7)×0.25×面積</t>
  </si>
  <si>
    <t>中田町上沼字冠木44-8</t>
  </si>
  <si>
    <t>1992/06/05</t>
  </si>
  <si>
    <t>東和若草山公園</t>
  </si>
  <si>
    <t>001557:東和若草山公園</t>
  </si>
  <si>
    <t>東和町米川字東綱木28-2</t>
  </si>
  <si>
    <t>0210006</t>
  </si>
  <si>
    <t>長沼フートピア公園</t>
  </si>
  <si>
    <t>001552:長沼フートピア公園</t>
  </si>
  <si>
    <t>迫町北方字天形161-84</t>
  </si>
  <si>
    <t>0210001</t>
  </si>
  <si>
    <t>迫町北方字天形274-1</t>
  </si>
  <si>
    <t>迫町北方字天形161-34</t>
  </si>
  <si>
    <t>1:平方メートル</t>
  </si>
  <si>
    <t>石越高森児童遊園跡地</t>
  </si>
  <si>
    <t>2024/01/17</t>
  </si>
  <si>
    <t>AsyzAPR4　用途廃止に伴い3,660㎡（8,106,900円,負債番号1590-1）を総務課所管普通財産へ→1590-1を分筆し、一部を売却、残りを観光シティプロモーション課へ所管替え※PPP連携のため、所管替えした部分(9482-1,9483-1)を調査判明として登録</t>
  </si>
  <si>
    <t xml:space="preserve">石越町南郷字高森275-8  </t>
  </si>
  <si>
    <t>2022/11/08</t>
  </si>
  <si>
    <t>東和町米川字東綱木28</t>
  </si>
  <si>
    <t>迫兵粮山公園</t>
  </si>
  <si>
    <t>001553:迫兵粮山公園</t>
  </si>
  <si>
    <t>迫町北方字兵粮23-1</t>
  </si>
  <si>
    <t>0210002</t>
  </si>
  <si>
    <t>登米市石越保育所</t>
  </si>
  <si>
    <t>AsyzAPR4　用途廃止に伴い、子育て支援課から総務課へ所管替え（6908㎡）→調査判明120.54㎡を追加の後、275-4を分筆し、観光シティプロモーション課へ所管替え</t>
  </si>
  <si>
    <t>石越町南郷字高森275-10</t>
  </si>
  <si>
    <t>16:分筆等</t>
  </si>
  <si>
    <t>1607</t>
  </si>
  <si>
    <t>0280008</t>
  </si>
  <si>
    <t>AsyzAPR4　用途廃止に伴い3,660㎡（8,106,900円,負債番号1590-1）を総務課所管普通財産へ→1590-1を分筆し、275-3を売却、残りを観光シティプロモーション課へ所管替え※PPP連携のため、所管替えした部分(9482-1,9483-1)を調査判明として登録</t>
  </si>
  <si>
    <t xml:space="preserve">石越町南郷字高森275-7 </t>
  </si>
  <si>
    <t>002650:付随費用</t>
  </si>
  <si>
    <t>2023/01/27</t>
  </si>
  <si>
    <t>R4蒜畑線（土地購入）</t>
  </si>
  <si>
    <t>2022/10/17</t>
  </si>
  <si>
    <t>2022/10/28</t>
  </si>
  <si>
    <t>510039658</t>
  </si>
  <si>
    <t>R4梅ノ木・平柳線（土地購入）</t>
  </si>
  <si>
    <t>2022/11/14</t>
  </si>
  <si>
    <t>迫町佐沼字新駒木袋　地内外</t>
  </si>
  <si>
    <t>510008070</t>
  </si>
  <si>
    <t>R3新北谷地菱ノ倉線（移転補償）</t>
  </si>
  <si>
    <t>2021/08/10</t>
  </si>
  <si>
    <t>2021/08/27</t>
  </si>
  <si>
    <t>510022684</t>
  </si>
  <si>
    <t>AsyzAP公衆道路用地 PPP元キー:00000001-0000008591-1</t>
  </si>
  <si>
    <t>R3北大畑3号線（土地購入）</t>
  </si>
  <si>
    <t>2021/07/29</t>
  </si>
  <si>
    <t>2021/08/13</t>
  </si>
  <si>
    <t>510013775</t>
  </si>
  <si>
    <t>AsyzAP公衆道路用地 PPP元キー:00000001-0000008571-1</t>
  </si>
  <si>
    <t>付随費用（測量費等）境界測量及び地積測量図作成業務（その２）（石越）</t>
  </si>
  <si>
    <t>2022/03/31</t>
  </si>
  <si>
    <t>AsyzAP境界測量及び地積測量図作成業務（その２）</t>
  </si>
  <si>
    <t>2022/04/15</t>
  </si>
  <si>
    <t>510079927</t>
  </si>
  <si>
    <t>R3永田・板倉線（土地購入）</t>
  </si>
  <si>
    <t>2021/11/24</t>
  </si>
  <si>
    <t>迫町北方字新広沖　地内外</t>
  </si>
  <si>
    <t>510022364</t>
  </si>
  <si>
    <t>AsyzAP公衆道路用地 PPP元キー:00000001-0000008575-1</t>
  </si>
  <si>
    <t>迫町北方丸森81番地ため池</t>
  </si>
  <si>
    <t>迫町北方丸森81番地</t>
  </si>
  <si>
    <t>迫町北方来田9-2番地ため池</t>
  </si>
  <si>
    <t>迫町北方来田9-2番地</t>
  </si>
  <si>
    <t>迫町北方字天形161-76</t>
  </si>
  <si>
    <t>迫町北方大洞36-4番地ため池</t>
  </si>
  <si>
    <t>迫町北方大洞36-4番地</t>
  </si>
  <si>
    <t>2012/04/01</t>
  </si>
  <si>
    <t>2023/11/15</t>
  </si>
  <si>
    <t>AsyzAPH24ほ場整備の際に取得→組織改編に伴い、R1頃住宅都市整備課へ所管替え</t>
  </si>
  <si>
    <t>中田町石森字小倉北33番地</t>
  </si>
  <si>
    <t>迫町北方字天形273-9</t>
  </si>
  <si>
    <t>中田長谷山公園</t>
  </si>
  <si>
    <t>001560:中田長谷山公園</t>
  </si>
  <si>
    <t>中田町浅水字長谷山309-1</t>
  </si>
  <si>
    <t>0210009</t>
  </si>
  <si>
    <t>R4永田・板倉線（土地購入）</t>
  </si>
  <si>
    <t>2022/06/21</t>
  </si>
  <si>
    <t>南方町新作田 地内外</t>
  </si>
  <si>
    <t>2022/07/01</t>
  </si>
  <si>
    <t>510012652</t>
  </si>
  <si>
    <t>2023/04/07</t>
  </si>
  <si>
    <t>迫町北方天形371番地ため池</t>
  </si>
  <si>
    <t>迫町北方天形371番地</t>
  </si>
  <si>
    <t>R4赤坂線（土地購入）</t>
  </si>
  <si>
    <t>2023/01/13</t>
  </si>
  <si>
    <t>R3梅ノ木・平柳線（土地購入）</t>
  </si>
  <si>
    <t>2021/10/13</t>
  </si>
  <si>
    <t>2021/12/10</t>
  </si>
  <si>
    <t>510010288</t>
  </si>
  <si>
    <t>AsyzAP公衆道路用地 PPP元キー:00000001-0000008568-1</t>
  </si>
  <si>
    <t>中田町浅水字長谷山316-3</t>
  </si>
  <si>
    <t>2023/02/17</t>
  </si>
  <si>
    <t>石越町南郷字高森297-6</t>
  </si>
  <si>
    <t>迫町北方字天形161-85</t>
  </si>
  <si>
    <t>2023/09/01</t>
  </si>
  <si>
    <t>中田大手口つり公園</t>
  </si>
  <si>
    <t>001562:中田大手口つり公園</t>
  </si>
  <si>
    <t>中田町上沼字新内ノ目8</t>
  </si>
  <si>
    <t>0210011</t>
  </si>
  <si>
    <t>AsyzAPR4 建設総務課で寄附受納した後、観光シティプロモーション課へ所管替え（取得年月日は登記日）</t>
  </si>
  <si>
    <t>石越町南郷字高森297-5</t>
  </si>
  <si>
    <t>近傍宅地のR4固定資産税評価額単価：4,500円
固定資産税に係る７割評価の割戻：0.70
払下単価基準による道路及び用悪水路の比準割合：0.25
土地の価格＝(4,500/0.7)×0.25×面積</t>
  </si>
  <si>
    <t>迫町北方早稲田86番地ため池</t>
  </si>
  <si>
    <t>迫町北方早稲田86番地</t>
  </si>
  <si>
    <t>R4赤坂線（移転補償）</t>
  </si>
  <si>
    <t>2023/01/30</t>
  </si>
  <si>
    <t>登米市迫町新田字山守屋敷　地内</t>
  </si>
  <si>
    <t>510068295</t>
  </si>
  <si>
    <t>付随費用（登記費用）米山町中津山字丸森地内土地分筆登記業務</t>
  </si>
  <si>
    <t>2021/12/09</t>
  </si>
  <si>
    <t>米山町中津山字丸森地内土地分筆登記業務　完成払い</t>
  </si>
  <si>
    <t>2021/12/24</t>
  </si>
  <si>
    <t>510022678</t>
  </si>
  <si>
    <t>AsyzAP米山町中津山字丸森地内土地分筆登記業務　完成払い PPP元キー:00000001-0000008583-1</t>
  </si>
  <si>
    <t>R4北大畑３号線（移転補償）</t>
  </si>
  <si>
    <t>2022/09/02</t>
  </si>
  <si>
    <t>南方町大畑　地内</t>
  </si>
  <si>
    <t>510017228</t>
  </si>
  <si>
    <t>観光駐車場</t>
  </si>
  <si>
    <t>002106:旧壱番館</t>
  </si>
  <si>
    <t>2022/06/24</t>
  </si>
  <si>
    <t>AsyzAP警察資料館整備事業に係る土地開発基金からの土地取得費</t>
  </si>
  <si>
    <t>登米町寺池中町1、3-2</t>
  </si>
  <si>
    <t>002</t>
  </si>
  <si>
    <t>510021993</t>
  </si>
  <si>
    <t>付随費用（分筆費用）登米市南方町畑岡地内土地分筆業務</t>
  </si>
  <si>
    <t>2021/08/03</t>
  </si>
  <si>
    <t>土地分筆登記業務</t>
  </si>
  <si>
    <t>510022664</t>
  </si>
  <si>
    <t>AsyzAP土地分筆登記業務 PPP元キー:00000001-0000008578-1</t>
  </si>
  <si>
    <t>東和町米川字東綱木32-1</t>
  </si>
  <si>
    <t>迫町北方字天形161-38</t>
  </si>
  <si>
    <t>迫町北方天形179番地ため池</t>
  </si>
  <si>
    <t>迫町北方天形179番地</t>
  </si>
  <si>
    <t>迫町北方字天形274-4</t>
  </si>
  <si>
    <t>東和大関川河川公園</t>
  </si>
  <si>
    <t>001556:東和大関川河川公園</t>
  </si>
  <si>
    <t>管理棟　</t>
  </si>
  <si>
    <t>東和町米谷字相川1-6</t>
  </si>
  <si>
    <t>0210005</t>
  </si>
  <si>
    <t>付随費用（登記費用）石越町南郷字高森地内土地分筆登記業務</t>
  </si>
  <si>
    <t>2022/12/23</t>
  </si>
  <si>
    <t>AsyzAP石越町南郷字高森地内土地分筆登記業務</t>
  </si>
  <si>
    <t>510050048</t>
  </si>
  <si>
    <t>R3辺室山中道線（土地購入）</t>
  </si>
  <si>
    <t>2021/10/26</t>
  </si>
  <si>
    <t>2021/10/29</t>
  </si>
  <si>
    <t>登米町登米字寺池辺室山</t>
  </si>
  <si>
    <t>2021/11/12</t>
  </si>
  <si>
    <t>510045837</t>
  </si>
  <si>
    <t>AsyzAP公衆道路用地 PPP元キー:00000001-0000008562-1</t>
  </si>
  <si>
    <t>AsyzAP PPP元キー:00000001-0000008597-1</t>
  </si>
  <si>
    <t>中田弥勒公園</t>
  </si>
  <si>
    <t>001559:中田弥勒公園</t>
  </si>
  <si>
    <t>中田町上沼字弥勒寺大下120</t>
  </si>
  <si>
    <t>0210008</t>
  </si>
  <si>
    <t>2022/10/18</t>
  </si>
  <si>
    <t>迫町新田字菱ノ倉　地内外</t>
  </si>
  <si>
    <t>510022325</t>
  </si>
  <si>
    <t>迫町北方字天形161-86</t>
  </si>
  <si>
    <t>R3北大畑３号線（移転補償）</t>
  </si>
  <si>
    <t>2021/07/19</t>
  </si>
  <si>
    <t>510013776</t>
  </si>
  <si>
    <t>AsyzAP公衆道路用地 PPP元キー:00000001-0000008589-1</t>
  </si>
  <si>
    <t>R3堀米・下川面線（移転補償）</t>
  </si>
  <si>
    <t>2022/01/14</t>
  </si>
  <si>
    <t>中田町浅水　地内</t>
  </si>
  <si>
    <t>2022/01/28</t>
  </si>
  <si>
    <t>510013770</t>
  </si>
  <si>
    <t>AsyzAP公衆道路用地 PPP元キー:00000001-0000008588-1</t>
  </si>
  <si>
    <t>東和町米川字東綱木28-1</t>
  </si>
  <si>
    <t>迫町北方字天形161-16</t>
  </si>
  <si>
    <t>付随費用（測量費等）分割点設置及び地積測量図作成業務</t>
  </si>
  <si>
    <t>2021/09/01</t>
  </si>
  <si>
    <t>分割点設置及び地積測量図作成業務</t>
  </si>
  <si>
    <t>510038537</t>
  </si>
  <si>
    <t>AsyzAP分割点設置及び地積測量図作成業務 PPP元キー:00000001-0000008579-1</t>
  </si>
  <si>
    <t>南方町堂地246番4、南方町堂地246番1</t>
  </si>
  <si>
    <t>2021/12/28</t>
  </si>
  <si>
    <t>2022/01/21</t>
  </si>
  <si>
    <t>510064939</t>
  </si>
  <si>
    <t>AsyzAP市道新井宿・堂地線排水路整備事業に伴う土地購入 PPP元キー:00000001-0000008555-1</t>
  </si>
  <si>
    <t>R4堀米・下川面線（土地購入）</t>
  </si>
  <si>
    <t>2022/12/21</t>
  </si>
  <si>
    <t>中田町浅水字東川面　地内</t>
  </si>
  <si>
    <t>510047120</t>
  </si>
  <si>
    <t>豊里町町浦303</t>
  </si>
  <si>
    <t>R4上の山・黄牛線（土地購入）</t>
  </si>
  <si>
    <t>2023/01/26</t>
  </si>
  <si>
    <t>津山町横山字上の山　地内</t>
  </si>
  <si>
    <t>011</t>
  </si>
  <si>
    <t>510061905</t>
  </si>
  <si>
    <t>R2堀米・下川面線（移転補償）</t>
  </si>
  <si>
    <t>AsyzAP PPP元キー:00000001-0000008599-1</t>
  </si>
  <si>
    <t>R3幹線用水線（土地購入）</t>
  </si>
  <si>
    <t>登米町登米字小島長橋　地内</t>
  </si>
  <si>
    <t>510021338</t>
  </si>
  <si>
    <t>AsyzAP公衆道路用地 PPP元キー:00000001-0000008570-1</t>
  </si>
  <si>
    <t>R２北大畑３号線（移転補償）</t>
  </si>
  <si>
    <t>AsyzAP PPP元キー:00000001-0000008601-1</t>
  </si>
  <si>
    <t>中田町上沼字冠木101</t>
  </si>
  <si>
    <t>1987/07/23</t>
  </si>
  <si>
    <t>迫町北方字天形273-1</t>
  </si>
  <si>
    <t>東和町米川字富沢77-2、77-3</t>
  </si>
  <si>
    <t>2023/03/23</t>
  </si>
  <si>
    <t>AsyzAP不同沢川災害復旧工事に係る用地購入</t>
  </si>
  <si>
    <t>005</t>
  </si>
  <si>
    <t>510081694</t>
  </si>
  <si>
    <t>中田町上沼字新内ノ目5-1</t>
  </si>
  <si>
    <t>1982/07/19</t>
  </si>
  <si>
    <t>迫町北方字天形161-90</t>
  </si>
  <si>
    <t>R3黄牛線（移転補償）</t>
  </si>
  <si>
    <t>2021/05/28</t>
  </si>
  <si>
    <t>津山町柳津　地内</t>
  </si>
  <si>
    <t>2021/06/18</t>
  </si>
  <si>
    <t>510018254</t>
  </si>
  <si>
    <t>AsyzAP公衆道路用地 PPP元キー:00000001-0000008590-1</t>
  </si>
  <si>
    <t>R4堀米・下川面線（移転補償）</t>
  </si>
  <si>
    <t>2023/02/10</t>
  </si>
  <si>
    <t>2023/03/03</t>
  </si>
  <si>
    <t>510047119</t>
  </si>
  <si>
    <t>迫町新田品ノ浦191-2番地</t>
  </si>
  <si>
    <t>登米市石越町南郷高森297番3、297番4</t>
  </si>
  <si>
    <t>AsyzAP石越町南郷字高森地内排水路に係る用地購入</t>
  </si>
  <si>
    <t>510063630</t>
  </si>
  <si>
    <t>東和町米川字東綱木33-1</t>
  </si>
  <si>
    <t>迫町北方字天形161-89</t>
  </si>
  <si>
    <t>迫町北方字天形161-35</t>
  </si>
  <si>
    <t>付随費用（測量費等）八幡浦６号線未登記用地測量業務</t>
  </si>
  <si>
    <t>AsyzAP八幡浦６号線未登記用地測量業務</t>
  </si>
  <si>
    <t>510077905</t>
  </si>
  <si>
    <t>付随費用（測量費等）境界測量及び地積測量図作成業務（石越）</t>
  </si>
  <si>
    <t>AsyzAP境界測量及び地積測量図作成業務</t>
  </si>
  <si>
    <t>510078894</t>
  </si>
  <si>
    <t>登米市旧石越保育所跡地</t>
  </si>
  <si>
    <t>石越町南郷字高森275-9</t>
  </si>
  <si>
    <t>東和町米川字東綱木33-2</t>
  </si>
  <si>
    <t>R4北大畑３号線（土地購入）</t>
  </si>
  <si>
    <t>2022/09/05</t>
  </si>
  <si>
    <t>510017229</t>
  </si>
  <si>
    <t>迫町北方榎沢154番地ため池</t>
  </si>
  <si>
    <t>迫町北方榎沢154番地</t>
  </si>
  <si>
    <t>R4大網4号線（移転補償）</t>
  </si>
  <si>
    <t>2022/11/10</t>
  </si>
  <si>
    <t>510038706</t>
  </si>
  <si>
    <t>中田町浅水字長谷山295-1</t>
  </si>
  <si>
    <t>中田町上沼字新内ノ目9</t>
  </si>
  <si>
    <t>迫町北方榎沢75番地ため池</t>
  </si>
  <si>
    <t>迫町北方榎沢75番地</t>
  </si>
  <si>
    <t>豊里町町浦302-1</t>
  </si>
  <si>
    <t>グリーンキャンプなかだ</t>
  </si>
  <si>
    <t>001551:グリーンキャンプなかだ</t>
  </si>
  <si>
    <t>中田町上沼字本宮8-1</t>
  </si>
  <si>
    <t>0200003</t>
  </si>
  <si>
    <t>中田町上沼字冠木42-2</t>
  </si>
  <si>
    <t>付随費用（登記費用）大岳線未登記土地分筆業務</t>
  </si>
  <si>
    <t>AsyzAP大岳線未登記土地分筆業務</t>
  </si>
  <si>
    <t>510077912</t>
  </si>
  <si>
    <t>東和錦織公園</t>
  </si>
  <si>
    <t>001558:東和錦織公園</t>
  </si>
  <si>
    <t>0210007</t>
  </si>
  <si>
    <t>迫町北方字天形114-4</t>
  </si>
  <si>
    <t>09:除却</t>
  </si>
  <si>
    <t>迫町北方字天形161-37</t>
  </si>
  <si>
    <t>迫町北方天形173-1番地</t>
  </si>
  <si>
    <t>豊里町町浦320</t>
  </si>
  <si>
    <t>R3堀米・下川面線（土地購入）</t>
  </si>
  <si>
    <t>2021/12/08</t>
  </si>
  <si>
    <t>中田町浅水字上川面　地内外</t>
  </si>
  <si>
    <t>2021/12/17</t>
  </si>
  <si>
    <t>510013772</t>
  </si>
  <si>
    <t>AsyzAP公衆道路用地 PPP元キー:00000001-0000008576-1</t>
  </si>
  <si>
    <t>付随費用（登記費用）南方町松島屋敷１６２－１土地分筆業務</t>
  </si>
  <si>
    <t>2022/12/28</t>
  </si>
  <si>
    <t>AsyzAP南方町松島屋敷１６２－１土地分筆業務</t>
  </si>
  <si>
    <t>南方町松島屋敷162-1</t>
  </si>
  <si>
    <t>510043067</t>
  </si>
  <si>
    <t>中田町上沼字冠木41</t>
  </si>
  <si>
    <t>迫町北方字天形161-39</t>
  </si>
  <si>
    <t>R2堀米・下川面線（土地購入）</t>
  </si>
  <si>
    <t>AsyzAP PPP元キー:00000001-0000008598-1</t>
  </si>
  <si>
    <t>迫町北方北観音寺97番地ため池</t>
  </si>
  <si>
    <t>迫町北方北観音寺97番地</t>
  </si>
  <si>
    <t>R2赤坂線（移転補償）</t>
  </si>
  <si>
    <t>AsyzAPインフラ資産/土地 PPP元キー:00000001-0000008596-1</t>
  </si>
  <si>
    <t>東和町米川字東綱木29-1</t>
  </si>
  <si>
    <t>付随費用（測量費等）南方町堂地地内土地分割点設置及び地積測量図作成業務</t>
  </si>
  <si>
    <t>2021/12/13</t>
  </si>
  <si>
    <t>南方町堂地地内土地分割点設置及び地積測量図作成業務　完成払い</t>
  </si>
  <si>
    <t>2022/02/04</t>
  </si>
  <si>
    <t>510058942</t>
  </si>
  <si>
    <t>AsyzAP南方町堂地地内土地分割点設置及び地積測量図作成業務　完成払い PPP元キー:00000001-0000008586-1</t>
  </si>
  <si>
    <t>ため池（茶屋沼）</t>
  </si>
  <si>
    <t>AsyzAPR4整備時に工作物→土地へ変換</t>
  </si>
  <si>
    <t>迫町北方字兵粮23-54</t>
  </si>
  <si>
    <t>R3大網4号線（移転補償）</t>
  </si>
  <si>
    <t>2022/02/28</t>
  </si>
  <si>
    <t>2021/10/08</t>
  </si>
  <si>
    <t>2022/03/18</t>
  </si>
  <si>
    <t>510041379</t>
  </si>
  <si>
    <t>AsyzAP公衆道路用地 PPP元キー:00000001-0000008592-1</t>
  </si>
  <si>
    <t>中田町上沼字新内ノ目10</t>
  </si>
  <si>
    <t>1972/08/29</t>
  </si>
  <si>
    <t>迫町北方二分屋敷45-1番地ため池</t>
  </si>
  <si>
    <t>迫町北方二分屋敷45-1番地</t>
  </si>
  <si>
    <t>AsyzAPインフラ資産/土地 PPP元キー:00000001-0000008595-1</t>
  </si>
  <si>
    <t>R2北大畑３号線（移転補償）</t>
  </si>
  <si>
    <t>AsyzAP PPP元キー:00000001-0000008600-1</t>
  </si>
  <si>
    <t>迫町新田山田83-4番地</t>
  </si>
  <si>
    <t>R3赤坂線（移転補償）</t>
  </si>
  <si>
    <t>2022/01/05</t>
  </si>
  <si>
    <t>迫町新田字山守屋敷　地内</t>
  </si>
  <si>
    <t>510013760</t>
  </si>
  <si>
    <t>AsyzAP PPP元キー:00000001-0000008587-1</t>
  </si>
  <si>
    <t>迫町北方地粮41-6番地</t>
  </si>
  <si>
    <t>R3大網４号線（土地購入）</t>
  </si>
  <si>
    <t>2022/03/01</t>
  </si>
  <si>
    <t>510041377</t>
  </si>
  <si>
    <t>AsyzAP公衆道路用地 PPP元キー:00000001-0000008573-1</t>
  </si>
  <si>
    <t>付随費用（測量費等）米山町中津山字追土地地内土地境界確認及び地積測量図作成業務</t>
  </si>
  <si>
    <t>2021/09/14</t>
  </si>
  <si>
    <t>米山町中津山字追土地地内土地境界確認及び地積測量図作成業務　完成払い</t>
  </si>
  <si>
    <t>510040574</t>
  </si>
  <si>
    <t>AsyzAP米山町中津山字追土地地内土地境界確認及び地積測量図作成業務　完成払い PPP元キー:00000001-0000008580-1</t>
  </si>
  <si>
    <t>12:評価替え（減）</t>
  </si>
  <si>
    <t>AsyzAP【登記地目】【現況地目】【登記地積】【現況地積】修正　R4整備時に事業用→インフラへ修正</t>
  </si>
  <si>
    <t xml:space="preserve">迫町北方字川戸沼20-1 </t>
  </si>
  <si>
    <t>AsyzAP【901-123-1】より分筆</t>
  </si>
  <si>
    <t>迫町北方字川戸沼20-3</t>
  </si>
  <si>
    <t>R3東表前４号線（移転補償）</t>
  </si>
  <si>
    <t>迫町森字表前　地内</t>
  </si>
  <si>
    <t>510057959</t>
  </si>
  <si>
    <t>AsyzAP公衆道路用地 PPP元キー:00000001-0000008593-1</t>
  </si>
  <si>
    <t>付随費用（登記費用）豊里町鳥越４３－１土地分筆登記業務</t>
  </si>
  <si>
    <t>2023/02/03</t>
  </si>
  <si>
    <t>AsyzAP豊里町鳥越４３－１土地分筆登記業務</t>
  </si>
  <si>
    <t>豊里町鳥越43-1</t>
  </si>
  <si>
    <t>510062334</t>
  </si>
  <si>
    <t>付随費用（登記費用）南方町堂地地内土地分筆登記業務</t>
  </si>
  <si>
    <t>2021/04/16</t>
  </si>
  <si>
    <t>南方町堂地地内土地分筆登記業務</t>
  </si>
  <si>
    <t>2022/03/25</t>
  </si>
  <si>
    <t>510078622</t>
  </si>
  <si>
    <t>AsyzAP南方町堂地地内土地分筆登記業務 PPP元キー:00000001-0000008585-1</t>
  </si>
  <si>
    <t>R3赤坂線（土地購入）</t>
  </si>
  <si>
    <t>2021/12/23</t>
  </si>
  <si>
    <t>510020188</t>
  </si>
  <si>
    <t>AsyzAP公衆道路用地 PPP元キー:00000001-0000008574-1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</si>
</sst>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yyyy/mm/dd"/>
  </numFmts>
  <fonts count="4" x14ac:knownFonts="1">
    <font>
      <sz val="11"/>
      <name val="Calibri"/>
    </font>
    <font>
      <sz val="11"/>
      <name val="ＭＳ ゴシック"/>
      <family val="3"/>
    </font>
    <font>
      <b/>
      <sz val="12"/>
      <name val="游ゴシック"/>
      <family val="3"/>
      <charset val="128"/>
    </font>
    <font>
      <sz val="12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90EE9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 applyFont="1" applyFill="1" applyBorder="1"/>
    <xf numFmtId="0" fontId="2" fillId="2" borderId="0" xfId="0" applyFont="1" applyFill="1" applyBorder="1" applyAlignment="1">
      <alignment horizontal="center"/>
    </xf>
    <xf numFmtId="176" fontId="2" fillId="2" borderId="0" xfId="0" applyNumberFormat="1" applyFont="1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/>
    </xf>
    <xf numFmtId="4" fontId="2" fillId="2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176" fontId="3" fillId="0" borderId="0" xfId="0" applyNumberFormat="1" applyFont="1" applyFill="1" applyBorder="1"/>
    <xf numFmtId="4" fontId="3" fillId="0" borderId="0" xfId="0" applyNumberFormat="1" applyFont="1" applyFill="1" applyBorder="1"/>
    <xf numFmtId="3" fontId="3" fillId="0" borderId="0" xfId="0" applyNumberFormat="1" applyFont="1" applyFill="1" applyBorder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D3764"/>
  <sheetViews>
    <sheetView tabSelected="1" defaultGridColor="0" colorId="8" zoomScale="115" zoomScaleNormal="115" workbookViewId="0">
      <pane ySplit="1" topLeftCell="A2" activePane="bottomLeft" state="frozen"/>
      <selection pane="bottomLeft"/>
    </sheetView>
  </sheetViews>
  <sheetFormatPr defaultColWidth="2.7109375" defaultRowHeight="19.5" x14ac:dyDescent="0.4"/>
  <cols>
    <col min="1" max="2" width="20.7109375" style="5" bestFit="1" customWidth="1"/>
    <col min="3" max="3" width="25.85546875" style="5" bestFit="1" customWidth="1"/>
    <col min="4" max="4" width="64.42578125" style="5" bestFit="1" customWidth="1"/>
    <col min="5" max="5" width="49.5703125" style="5" bestFit="1" customWidth="1"/>
    <col min="6" max="6" width="15.5703125" style="5" bestFit="1" customWidth="1"/>
    <col min="7" max="7" width="101.28515625" style="5" bestFit="1" customWidth="1"/>
    <col min="8" max="8" width="46" style="6" bestFit="1" customWidth="1"/>
    <col min="9" max="9" width="13.85546875" style="8" bestFit="1" customWidth="1"/>
    <col min="10" max="10" width="20" style="5" bestFit="1" customWidth="1"/>
    <col min="11" max="11" width="15.28515625" style="8" bestFit="1" customWidth="1"/>
    <col min="12" max="12" width="18.140625" style="6" bestFit="1" customWidth="1"/>
    <col min="13" max="13" width="27.7109375" style="5" bestFit="1" customWidth="1"/>
    <col min="14" max="14" width="18.5703125" style="5" hidden="1" customWidth="1"/>
    <col min="15" max="16" width="10.5703125" style="5" hidden="1" customWidth="1"/>
    <col min="17" max="17" width="23.28515625" style="5" hidden="1" customWidth="1"/>
    <col min="18" max="18" width="45.7109375" style="5" hidden="1" customWidth="1"/>
    <col min="19" max="21" width="12.5703125" style="5" hidden="1" customWidth="1"/>
    <col min="22" max="22" width="36" style="5" hidden="1" customWidth="1"/>
    <col min="23" max="23" width="6.5703125" style="6" hidden="1" customWidth="1"/>
    <col min="24" max="24" width="14.5703125" style="6" hidden="1" customWidth="1"/>
    <col min="25" max="25" width="12.5703125" style="5" hidden="1" customWidth="1"/>
    <col min="26" max="27" width="10.5703125" style="6" hidden="1" customWidth="1"/>
    <col min="28" max="28" width="100" style="5" hidden="1" customWidth="1"/>
    <col min="29" max="29" width="10.5703125" style="5" hidden="1" customWidth="1"/>
    <col min="30" max="31" width="8.5703125" style="5" hidden="1" customWidth="1"/>
    <col min="32" max="32" width="14.5703125" style="5" hidden="1" customWidth="1"/>
    <col min="33" max="33" width="12.5703125" style="5" hidden="1" customWidth="1"/>
    <col min="34" max="34" width="14.5703125" style="5" hidden="1" customWidth="1"/>
    <col min="35" max="36" width="12.5703125" style="5" hidden="1" customWidth="1"/>
    <col min="37" max="37" width="14.5703125" style="5" hidden="1" customWidth="1"/>
    <col min="38" max="38" width="12.5703125" style="5" hidden="1" customWidth="1"/>
    <col min="39" max="40" width="4.5703125" style="6" hidden="1" customWidth="1"/>
    <col min="41" max="41" width="8.5703125" style="6" hidden="1" customWidth="1"/>
    <col min="42" max="42" width="10.5703125" style="6" hidden="1" customWidth="1"/>
    <col min="43" max="43" width="10.5703125" style="5" hidden="1" customWidth="1"/>
    <col min="44" max="48" width="12.5703125" style="5" hidden="1" customWidth="1"/>
    <col min="49" max="49" width="10.5703125" style="5" hidden="1" customWidth="1"/>
    <col min="50" max="50" width="13.85546875" style="5" hidden="1" customWidth="1"/>
    <col min="51" max="51" width="14.5703125" style="5" hidden="1" customWidth="1"/>
    <col min="52" max="52" width="16.5703125" style="6" hidden="1" customWidth="1"/>
    <col min="53" max="53" width="60.28515625" style="5" hidden="1" customWidth="1"/>
    <col min="54" max="54" width="12.5703125" style="5" hidden="1" customWidth="1"/>
    <col min="55" max="55" width="8.5703125" style="5" hidden="1" customWidth="1"/>
    <col min="56" max="56" width="10.5703125" style="6" hidden="1" customWidth="1"/>
    <col min="57" max="57" width="16.7109375" style="5" hidden="1" customWidth="1"/>
    <col min="58" max="58" width="22.5703125" style="5" hidden="1" customWidth="1"/>
    <col min="59" max="59" width="12.5703125" style="5" hidden="1" customWidth="1"/>
    <col min="60" max="61" width="20" style="8" hidden="1" customWidth="1"/>
    <col min="62" max="62" width="10.5703125" style="5" hidden="1" customWidth="1"/>
    <col min="63" max="63" width="4.5703125" style="5" hidden="1" customWidth="1"/>
    <col min="64" max="66" width="12.5703125" style="5" hidden="1" customWidth="1"/>
    <col min="67" max="71" width="16.5703125" style="5" hidden="1" customWidth="1"/>
    <col min="72" max="72" width="9.5703125" style="6" hidden="1" customWidth="1"/>
    <col min="73" max="75" width="8.5703125" style="5" hidden="1" customWidth="1"/>
    <col min="76" max="76" width="10.5703125" style="5" hidden="1" customWidth="1"/>
    <col min="77" max="77" width="8.5703125" style="5" hidden="1" customWidth="1"/>
    <col min="78" max="78" width="12.5703125" style="5" hidden="1" customWidth="1"/>
    <col min="79" max="79" width="40" style="5" hidden="1" customWidth="1"/>
    <col min="80" max="80" width="14.5703125" style="5" hidden="1" customWidth="1"/>
    <col min="81" max="81" width="18.5703125" style="5" hidden="1" customWidth="1"/>
    <col min="82" max="83" width="12.5703125" style="5" hidden="1" customWidth="1"/>
    <col min="84" max="84" width="6.5703125" style="5" hidden="1" customWidth="1"/>
    <col min="85" max="85" width="47.7109375" style="5" hidden="1" customWidth="1"/>
    <col min="86" max="86" width="14.5703125" style="5" hidden="1" customWidth="1"/>
    <col min="87" max="87" width="15.7109375" style="6" hidden="1" customWidth="1"/>
    <col min="88" max="89" width="15.7109375" style="5" hidden="1" customWidth="1"/>
    <col min="90" max="90" width="10.140625" style="5" hidden="1" customWidth="1"/>
    <col min="91" max="91" width="12.5703125" style="5" hidden="1" customWidth="1"/>
    <col min="92" max="92" width="10.5703125" style="5" hidden="1" customWidth="1"/>
    <col min="93" max="93" width="21.7109375" style="5" hidden="1" customWidth="1"/>
    <col min="94" max="95" width="14.5703125" style="5" hidden="1" customWidth="1"/>
    <col min="96" max="97" width="8.5703125" style="5" hidden="1" customWidth="1"/>
    <col min="98" max="98" width="20" style="7" hidden="1" customWidth="1"/>
    <col min="99" max="104" width="20" style="8" hidden="1" customWidth="1"/>
    <col min="105" max="105" width="13" style="5" hidden="1" customWidth="1"/>
    <col min="106" max="106" width="4.5703125" style="5" hidden="1" customWidth="1"/>
    <col min="107" max="107" width="8.5703125" style="5" hidden="1" customWidth="1"/>
    <col min="108" max="108" width="13" style="5" hidden="1" customWidth="1"/>
    <col min="109" max="109" width="20" style="8" hidden="1" customWidth="1"/>
    <col min="110" max="110" width="10.5703125" style="6" hidden="1" customWidth="1"/>
    <col min="111" max="111" width="11.140625" style="5" hidden="1" customWidth="1"/>
    <col min="112" max="112" width="4.5703125" style="5" hidden="1" customWidth="1"/>
    <col min="113" max="113" width="2.7109375" style="5" hidden="1" customWidth="1"/>
    <col min="114" max="114" width="4.5703125" style="5" hidden="1" customWidth="1"/>
    <col min="115" max="116" width="8.5703125" style="5" hidden="1" customWidth="1"/>
    <col min="117" max="117" width="20" style="8" hidden="1" customWidth="1"/>
    <col min="118" max="118" width="4.5703125" style="5" hidden="1" customWidth="1"/>
    <col min="119" max="119" width="8.5703125" style="5" hidden="1" customWidth="1"/>
    <col min="120" max="123" width="4.5703125" style="5" hidden="1" customWidth="1"/>
    <col min="124" max="125" width="12.5703125" style="5" hidden="1" customWidth="1"/>
    <col min="126" max="132" width="10.5703125" style="5" hidden="1" customWidth="1"/>
    <col min="133" max="193" width="12.5703125" style="5" hidden="1" customWidth="1"/>
    <col min="194" max="194" width="100" style="5" hidden="1" customWidth="1"/>
    <col min="195" max="202" width="10.5703125" style="5" hidden="1" customWidth="1"/>
    <col min="203" max="223" width="12.5703125" style="5" hidden="1" customWidth="1"/>
    <col min="224" max="224" width="18.5703125" style="5" hidden="1" customWidth="1"/>
    <col min="225" max="225" width="16.5703125" style="5" hidden="1" customWidth="1"/>
    <col min="226" max="226" width="12.5703125" style="5" hidden="1" customWidth="1"/>
    <col min="227" max="227" width="10.5703125" style="5" hidden="1" customWidth="1"/>
    <col min="228" max="228" width="14.5703125" style="5" hidden="1" customWidth="1"/>
    <col min="229" max="229" width="6.5703125" style="5" hidden="1" customWidth="1"/>
    <col min="230" max="232" width="8.5703125" style="5" hidden="1" customWidth="1"/>
    <col min="233" max="233" width="16.5703125" style="5" hidden="1" customWidth="1"/>
    <col min="234" max="238" width="20.5703125" style="5" hidden="1" customWidth="1"/>
    <col min="239" max="239" width="2.7109375" style="5" customWidth="1"/>
    <col min="240" max="16384" width="2.7109375" style="5"/>
  </cols>
  <sheetData>
    <row r="1" spans="1:238" x14ac:dyDescent="0.4">
      <c r="A1" s="1" t="s">
        <v>0</v>
      </c>
      <c r="B1" s="1" t="s">
        <v>1</v>
      </c>
      <c r="C1" s="1" t="s">
        <v>2</v>
      </c>
      <c r="D1" s="1" t="s">
        <v>9</v>
      </c>
      <c r="E1" s="1" t="s">
        <v>14</v>
      </c>
      <c r="F1" s="1" t="s">
        <v>44</v>
      </c>
      <c r="G1" s="1" t="s">
        <v>6</v>
      </c>
      <c r="H1" s="2" t="s">
        <v>33</v>
      </c>
      <c r="I1" s="3" t="s">
        <v>95</v>
      </c>
      <c r="J1" s="1" t="s">
        <v>96</v>
      </c>
      <c r="K1" s="3" t="s">
        <v>101</v>
      </c>
      <c r="L1" s="2" t="s">
        <v>16</v>
      </c>
      <c r="M1" s="1" t="s">
        <v>7</v>
      </c>
      <c r="N1" s="1" t="s">
        <v>3</v>
      </c>
      <c r="O1" s="1" t="s">
        <v>4</v>
      </c>
      <c r="P1" s="1" t="s">
        <v>5</v>
      </c>
      <c r="Q1" s="1" t="s">
        <v>8</v>
      </c>
      <c r="R1" s="1" t="s">
        <v>10</v>
      </c>
      <c r="S1" s="1" t="s">
        <v>11</v>
      </c>
      <c r="T1" s="1" t="s">
        <v>12</v>
      </c>
      <c r="U1" s="1" t="s">
        <v>13</v>
      </c>
      <c r="V1" s="1" t="s">
        <v>15</v>
      </c>
      <c r="W1" s="2" t="s">
        <v>17</v>
      </c>
      <c r="X1" s="2" t="s">
        <v>18</v>
      </c>
      <c r="Y1" s="1" t="s">
        <v>19</v>
      </c>
      <c r="Z1" s="2" t="s">
        <v>20</v>
      </c>
      <c r="AA1" s="2" t="s">
        <v>21</v>
      </c>
      <c r="AB1" s="1" t="s">
        <v>22</v>
      </c>
      <c r="AC1" s="1" t="s">
        <v>23</v>
      </c>
      <c r="AD1" s="1" t="s">
        <v>24</v>
      </c>
      <c r="AE1" s="1" t="s">
        <v>25</v>
      </c>
      <c r="AF1" s="1" t="s">
        <v>26</v>
      </c>
      <c r="AG1" s="1" t="s">
        <v>27</v>
      </c>
      <c r="AH1" s="1" t="s">
        <v>28</v>
      </c>
      <c r="AI1" s="1" t="s">
        <v>29</v>
      </c>
      <c r="AJ1" s="1" t="s">
        <v>30</v>
      </c>
      <c r="AK1" s="1" t="s">
        <v>31</v>
      </c>
      <c r="AL1" s="1" t="s">
        <v>32</v>
      </c>
      <c r="AM1" s="2" t="s">
        <v>34</v>
      </c>
      <c r="AN1" s="2" t="s">
        <v>35</v>
      </c>
      <c r="AO1" s="2" t="s">
        <v>36</v>
      </c>
      <c r="AP1" s="2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45</v>
      </c>
      <c r="AX1" s="1" t="s">
        <v>46</v>
      </c>
      <c r="AY1" s="1" t="s">
        <v>47</v>
      </c>
      <c r="AZ1" s="2" t="s">
        <v>48</v>
      </c>
      <c r="BA1" s="1" t="s">
        <v>49</v>
      </c>
      <c r="BB1" s="1" t="s">
        <v>50</v>
      </c>
      <c r="BC1" s="1" t="s">
        <v>51</v>
      </c>
      <c r="BD1" s="2" t="s">
        <v>52</v>
      </c>
      <c r="BE1" s="1" t="s">
        <v>53</v>
      </c>
      <c r="BF1" s="1" t="s">
        <v>54</v>
      </c>
      <c r="BG1" s="1" t="s">
        <v>55</v>
      </c>
      <c r="BH1" s="3" t="s">
        <v>56</v>
      </c>
      <c r="BI1" s="3" t="s">
        <v>57</v>
      </c>
      <c r="BJ1" s="1" t="s">
        <v>58</v>
      </c>
      <c r="BK1" s="1" t="s">
        <v>59</v>
      </c>
      <c r="BL1" s="1" t="s">
        <v>60</v>
      </c>
      <c r="BM1" s="1" t="s">
        <v>61</v>
      </c>
      <c r="BN1" s="1" t="s">
        <v>62</v>
      </c>
      <c r="BO1" s="1" t="s">
        <v>63</v>
      </c>
      <c r="BP1" s="1" t="s">
        <v>64</v>
      </c>
      <c r="BQ1" s="1" t="s">
        <v>65</v>
      </c>
      <c r="BR1" s="1" t="s">
        <v>66</v>
      </c>
      <c r="BS1" s="1" t="s">
        <v>67</v>
      </c>
      <c r="BT1" s="2" t="s">
        <v>68</v>
      </c>
      <c r="BU1" s="1" t="s">
        <v>69</v>
      </c>
      <c r="BV1" s="1" t="s">
        <v>70</v>
      </c>
      <c r="BW1" s="1" t="s">
        <v>71</v>
      </c>
      <c r="BX1" s="1" t="s">
        <v>72</v>
      </c>
      <c r="BY1" s="1" t="s">
        <v>73</v>
      </c>
      <c r="BZ1" s="1" t="s">
        <v>74</v>
      </c>
      <c r="CA1" s="1" t="s">
        <v>75</v>
      </c>
      <c r="CB1" s="1" t="s">
        <v>76</v>
      </c>
      <c r="CC1" s="1" t="s">
        <v>77</v>
      </c>
      <c r="CD1" s="1" t="s">
        <v>78</v>
      </c>
      <c r="CE1" s="1" t="s">
        <v>79</v>
      </c>
      <c r="CF1" s="1" t="s">
        <v>80</v>
      </c>
      <c r="CG1" s="1" t="s">
        <v>81</v>
      </c>
      <c r="CH1" s="1" t="s">
        <v>82</v>
      </c>
      <c r="CI1" s="2" t="s">
        <v>83</v>
      </c>
      <c r="CJ1" s="1" t="s">
        <v>84</v>
      </c>
      <c r="CK1" s="1" t="s">
        <v>85</v>
      </c>
      <c r="CL1" s="1" t="s">
        <v>86</v>
      </c>
      <c r="CM1" s="1" t="s">
        <v>87</v>
      </c>
      <c r="CN1" s="1" t="s">
        <v>88</v>
      </c>
      <c r="CO1" s="1" t="s">
        <v>89</v>
      </c>
      <c r="CP1" s="1" t="s">
        <v>90</v>
      </c>
      <c r="CQ1" s="1" t="s">
        <v>91</v>
      </c>
      <c r="CR1" s="1" t="s">
        <v>92</v>
      </c>
      <c r="CS1" s="1" t="s">
        <v>93</v>
      </c>
      <c r="CT1" s="4" t="s">
        <v>94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102</v>
      </c>
      <c r="CZ1" s="3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3" t="s">
        <v>108</v>
      </c>
      <c r="DF1" s="2" t="s">
        <v>109</v>
      </c>
      <c r="DG1" s="1" t="s">
        <v>110</v>
      </c>
      <c r="DH1" s="1" t="s">
        <v>22</v>
      </c>
      <c r="DI1" s="1" t="s">
        <v>111</v>
      </c>
      <c r="DJ1" s="1" t="s">
        <v>112</v>
      </c>
      <c r="DK1" s="1" t="s">
        <v>113</v>
      </c>
      <c r="DL1" s="1" t="s">
        <v>114</v>
      </c>
      <c r="DM1" s="3" t="s">
        <v>115</v>
      </c>
      <c r="DN1" s="1" t="s">
        <v>116</v>
      </c>
      <c r="DO1" s="1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</row>
    <row r="2" spans="1:238" x14ac:dyDescent="0.4">
      <c r="A2" s="5">
        <v>709</v>
      </c>
      <c r="B2" s="5">
        <v>1</v>
      </c>
      <c r="C2" s="5">
        <v>1</v>
      </c>
      <c r="D2" s="5" t="s">
        <v>4545</v>
      </c>
      <c r="E2" s="5" t="s">
        <v>475</v>
      </c>
      <c r="F2" s="5" t="s">
        <v>248</v>
      </c>
      <c r="G2" s="5" t="s">
        <v>4544</v>
      </c>
      <c r="H2" s="6" t="s">
        <v>4546</v>
      </c>
      <c r="I2" s="7">
        <f>3740</f>
        <v>3740</v>
      </c>
      <c r="J2" s="5" t="s">
        <v>262</v>
      </c>
      <c r="K2" s="8">
        <f>8284100</f>
        <v>8284100</v>
      </c>
      <c r="L2" s="6" t="s">
        <v>242</v>
      </c>
      <c r="M2" s="5" t="s">
        <v>267</v>
      </c>
      <c r="N2" s="5" t="s">
        <v>237</v>
      </c>
      <c r="O2" s="5" t="s">
        <v>238</v>
      </c>
      <c r="P2" s="5" t="s">
        <v>238</v>
      </c>
      <c r="Q2" s="5" t="s">
        <v>239</v>
      </c>
      <c r="R2" s="5" t="s">
        <v>270</v>
      </c>
      <c r="S2" s="5" t="s">
        <v>238</v>
      </c>
      <c r="V2" s="5" t="s">
        <v>238</v>
      </c>
      <c r="X2" s="6" t="s">
        <v>238</v>
      </c>
      <c r="AA2" s="6" t="s">
        <v>243</v>
      </c>
      <c r="AB2" s="5" t="s">
        <v>238</v>
      </c>
      <c r="AC2" s="5" t="s">
        <v>244</v>
      </c>
      <c r="AD2" s="5" t="s">
        <v>245</v>
      </c>
      <c r="AT2" s="5" t="s">
        <v>246</v>
      </c>
      <c r="AU2" s="5" t="s">
        <v>238</v>
      </c>
      <c r="AV2" s="5" t="s">
        <v>247</v>
      </c>
      <c r="AW2" s="5" t="s">
        <v>238</v>
      </c>
      <c r="AX2" s="5" t="s">
        <v>249</v>
      </c>
      <c r="AY2" s="5" t="s">
        <v>238</v>
      </c>
      <c r="BA2" s="5" t="s">
        <v>4547</v>
      </c>
      <c r="BC2" s="5" t="s">
        <v>250</v>
      </c>
      <c r="BD2" s="6" t="s">
        <v>243</v>
      </c>
      <c r="BE2" s="5" t="s">
        <v>251</v>
      </c>
      <c r="BF2" s="5" t="s">
        <v>252</v>
      </c>
      <c r="BG2" s="5" t="s">
        <v>238</v>
      </c>
      <c r="BH2" s="7">
        <f>0</f>
        <v>0</v>
      </c>
      <c r="BI2" s="8">
        <f>0</f>
        <v>0</v>
      </c>
      <c r="BJ2" s="5" t="s">
        <v>253</v>
      </c>
      <c r="BK2" s="5" t="s">
        <v>254</v>
      </c>
      <c r="BY2" s="5" t="s">
        <v>238</v>
      </c>
      <c r="BZ2" s="5" t="s">
        <v>238</v>
      </c>
      <c r="CD2" s="5" t="s">
        <v>255</v>
      </c>
      <c r="CE2" s="5" t="s">
        <v>256</v>
      </c>
      <c r="CF2" s="5" t="s">
        <v>238</v>
      </c>
      <c r="CI2" s="6" t="s">
        <v>257</v>
      </c>
      <c r="CJ2" s="5" t="s">
        <v>238</v>
      </c>
      <c r="CK2" s="5" t="s">
        <v>258</v>
      </c>
      <c r="CL2" s="5" t="s">
        <v>238</v>
      </c>
      <c r="CM2" s="5" t="s">
        <v>238</v>
      </c>
      <c r="CN2" s="5">
        <v>0</v>
      </c>
      <c r="CO2" s="5" t="s">
        <v>259</v>
      </c>
      <c r="CP2" s="5" t="s">
        <v>260</v>
      </c>
      <c r="CQ2" s="5" t="s">
        <v>260</v>
      </c>
      <c r="CR2" s="5" t="s">
        <v>261</v>
      </c>
      <c r="CU2" s="8">
        <f>8284100</f>
        <v>8284100</v>
      </c>
      <c r="CV2" s="8">
        <f>0</f>
        <v>0</v>
      </c>
      <c r="CX2" s="8">
        <f>0</f>
        <v>0</v>
      </c>
      <c r="CY2" s="8">
        <f>8284100</f>
        <v>8284100</v>
      </c>
      <c r="DA2" s="5" t="s">
        <v>2032</v>
      </c>
      <c r="DB2" s="5" t="s">
        <v>238</v>
      </c>
      <c r="DD2" s="5" t="s">
        <v>2032</v>
      </c>
      <c r="DE2" s="8">
        <f>3740</f>
        <v>3740</v>
      </c>
      <c r="DG2" s="5" t="s">
        <v>389</v>
      </c>
      <c r="DH2" s="5" t="s">
        <v>238</v>
      </c>
      <c r="DI2" s="5" t="s">
        <v>238</v>
      </c>
      <c r="DJ2" s="5" t="s">
        <v>238</v>
      </c>
      <c r="DN2" s="5" t="s">
        <v>238</v>
      </c>
      <c r="DO2" s="5" t="s">
        <v>238</v>
      </c>
      <c r="DP2" s="5" t="s">
        <v>238</v>
      </c>
      <c r="DQ2" s="5" t="s">
        <v>238</v>
      </c>
      <c r="DT2" s="5" t="s">
        <v>4548</v>
      </c>
      <c r="DU2" s="5" t="s">
        <v>264</v>
      </c>
      <c r="HM2" s="5" t="s">
        <v>264</v>
      </c>
    </row>
    <row r="3" spans="1:238" x14ac:dyDescent="0.4">
      <c r="A3" s="5">
        <v>710</v>
      </c>
      <c r="B3" s="5">
        <v>1</v>
      </c>
      <c r="C3" s="5">
        <v>1</v>
      </c>
      <c r="D3" s="5" t="s">
        <v>4556</v>
      </c>
      <c r="E3" s="5" t="s">
        <v>475</v>
      </c>
      <c r="F3" s="5" t="s">
        <v>248</v>
      </c>
      <c r="G3" s="5" t="s">
        <v>4555</v>
      </c>
      <c r="H3" s="6" t="s">
        <v>4557</v>
      </c>
      <c r="I3" s="7">
        <f>1761</f>
        <v>1761</v>
      </c>
      <c r="J3" s="5" t="s">
        <v>262</v>
      </c>
      <c r="K3" s="8">
        <f>3900615</f>
        <v>3900615</v>
      </c>
      <c r="L3" s="6" t="s">
        <v>242</v>
      </c>
      <c r="M3" s="5" t="s">
        <v>267</v>
      </c>
      <c r="N3" s="5" t="s">
        <v>237</v>
      </c>
      <c r="O3" s="5" t="s">
        <v>238</v>
      </c>
      <c r="P3" s="5" t="s">
        <v>238</v>
      </c>
      <c r="Q3" s="5" t="s">
        <v>239</v>
      </c>
      <c r="R3" s="5" t="s">
        <v>270</v>
      </c>
      <c r="S3" s="5" t="s">
        <v>238</v>
      </c>
      <c r="V3" s="5" t="s">
        <v>238</v>
      </c>
      <c r="X3" s="6" t="s">
        <v>238</v>
      </c>
      <c r="AA3" s="6" t="s">
        <v>243</v>
      </c>
      <c r="AB3" s="5" t="s">
        <v>238</v>
      </c>
      <c r="AC3" s="5" t="s">
        <v>244</v>
      </c>
      <c r="AD3" s="5" t="s">
        <v>245</v>
      </c>
      <c r="AT3" s="5" t="s">
        <v>246</v>
      </c>
      <c r="AU3" s="5" t="s">
        <v>238</v>
      </c>
      <c r="AV3" s="5" t="s">
        <v>247</v>
      </c>
      <c r="AW3" s="5" t="s">
        <v>238</v>
      </c>
      <c r="AX3" s="5" t="s">
        <v>249</v>
      </c>
      <c r="AY3" s="5" t="s">
        <v>238</v>
      </c>
      <c r="BA3" s="5" t="s">
        <v>4547</v>
      </c>
      <c r="BC3" s="5" t="s">
        <v>250</v>
      </c>
      <c r="BD3" s="6" t="s">
        <v>243</v>
      </c>
      <c r="BE3" s="5" t="s">
        <v>251</v>
      </c>
      <c r="BF3" s="5" t="s">
        <v>252</v>
      </c>
      <c r="BG3" s="5" t="s">
        <v>238</v>
      </c>
      <c r="BH3" s="7">
        <f>0</f>
        <v>0</v>
      </c>
      <c r="BI3" s="8">
        <f>0</f>
        <v>0</v>
      </c>
      <c r="BJ3" s="5" t="s">
        <v>253</v>
      </c>
      <c r="BK3" s="5" t="s">
        <v>254</v>
      </c>
      <c r="BY3" s="5" t="s">
        <v>238</v>
      </c>
      <c r="BZ3" s="5" t="s">
        <v>238</v>
      </c>
      <c r="CD3" s="5" t="s">
        <v>255</v>
      </c>
      <c r="CE3" s="5" t="s">
        <v>256</v>
      </c>
      <c r="CF3" s="5" t="s">
        <v>238</v>
      </c>
      <c r="CI3" s="6" t="s">
        <v>257</v>
      </c>
      <c r="CJ3" s="5" t="s">
        <v>238</v>
      </c>
      <c r="CK3" s="5" t="s">
        <v>258</v>
      </c>
      <c r="CL3" s="5" t="s">
        <v>238</v>
      </c>
      <c r="CM3" s="5" t="s">
        <v>238</v>
      </c>
      <c r="CN3" s="5">
        <v>0</v>
      </c>
      <c r="CO3" s="5" t="s">
        <v>259</v>
      </c>
      <c r="CP3" s="5" t="s">
        <v>260</v>
      </c>
      <c r="CQ3" s="5" t="s">
        <v>260</v>
      </c>
      <c r="CR3" s="5" t="s">
        <v>261</v>
      </c>
      <c r="CU3" s="8">
        <f>3900615</f>
        <v>3900615</v>
      </c>
      <c r="CV3" s="8">
        <f>0</f>
        <v>0</v>
      </c>
      <c r="CX3" s="8">
        <f>0</f>
        <v>0</v>
      </c>
      <c r="CY3" s="8">
        <f>3900615</f>
        <v>3900615</v>
      </c>
      <c r="DA3" s="5" t="s">
        <v>2032</v>
      </c>
      <c r="DB3" s="5" t="s">
        <v>238</v>
      </c>
      <c r="DD3" s="5" t="s">
        <v>2032</v>
      </c>
      <c r="DE3" s="8">
        <f>1761</f>
        <v>1761</v>
      </c>
      <c r="DG3" s="5" t="s">
        <v>389</v>
      </c>
      <c r="DH3" s="5" t="s">
        <v>238</v>
      </c>
      <c r="DI3" s="5" t="s">
        <v>238</v>
      </c>
      <c r="DJ3" s="5" t="s">
        <v>238</v>
      </c>
      <c r="DN3" s="5" t="s">
        <v>238</v>
      </c>
      <c r="DO3" s="5" t="s">
        <v>238</v>
      </c>
      <c r="DP3" s="5" t="s">
        <v>238</v>
      </c>
      <c r="DQ3" s="5" t="s">
        <v>238</v>
      </c>
      <c r="DT3" s="5" t="s">
        <v>4558</v>
      </c>
      <c r="DU3" s="5" t="s">
        <v>264</v>
      </c>
      <c r="HM3" s="5" t="s">
        <v>264</v>
      </c>
    </row>
    <row r="4" spans="1:238" x14ac:dyDescent="0.4">
      <c r="A4" s="5">
        <v>711</v>
      </c>
      <c r="B4" s="5">
        <v>1</v>
      </c>
      <c r="C4" s="5">
        <v>1</v>
      </c>
      <c r="D4" s="5" t="s">
        <v>4581</v>
      </c>
      <c r="E4" s="5" t="s">
        <v>475</v>
      </c>
      <c r="F4" s="5" t="s">
        <v>248</v>
      </c>
      <c r="G4" s="5" t="s">
        <v>4580</v>
      </c>
      <c r="H4" s="6" t="s">
        <v>4582</v>
      </c>
      <c r="I4" s="7">
        <f>4641</f>
        <v>4641</v>
      </c>
      <c r="J4" s="5" t="s">
        <v>262</v>
      </c>
      <c r="K4" s="8">
        <f>10279815</f>
        <v>10279815</v>
      </c>
      <c r="L4" s="6" t="s">
        <v>242</v>
      </c>
      <c r="M4" s="5" t="s">
        <v>267</v>
      </c>
      <c r="N4" s="5" t="s">
        <v>237</v>
      </c>
      <c r="O4" s="5" t="s">
        <v>238</v>
      </c>
      <c r="P4" s="5" t="s">
        <v>238</v>
      </c>
      <c r="Q4" s="5" t="s">
        <v>239</v>
      </c>
      <c r="R4" s="5" t="s">
        <v>270</v>
      </c>
      <c r="S4" s="5" t="s">
        <v>238</v>
      </c>
      <c r="V4" s="5" t="s">
        <v>238</v>
      </c>
      <c r="X4" s="6" t="s">
        <v>238</v>
      </c>
      <c r="AA4" s="6" t="s">
        <v>243</v>
      </c>
      <c r="AB4" s="5" t="s">
        <v>238</v>
      </c>
      <c r="AC4" s="5" t="s">
        <v>244</v>
      </c>
      <c r="AD4" s="5" t="s">
        <v>245</v>
      </c>
      <c r="AT4" s="5" t="s">
        <v>246</v>
      </c>
      <c r="AU4" s="5" t="s">
        <v>238</v>
      </c>
      <c r="AV4" s="5" t="s">
        <v>247</v>
      </c>
      <c r="AW4" s="5" t="s">
        <v>238</v>
      </c>
      <c r="AX4" s="5" t="s">
        <v>249</v>
      </c>
      <c r="AY4" s="5" t="s">
        <v>238</v>
      </c>
      <c r="BA4" s="5" t="s">
        <v>4547</v>
      </c>
      <c r="BC4" s="5" t="s">
        <v>250</v>
      </c>
      <c r="BD4" s="6" t="s">
        <v>243</v>
      </c>
      <c r="BE4" s="5" t="s">
        <v>251</v>
      </c>
      <c r="BF4" s="5" t="s">
        <v>252</v>
      </c>
      <c r="BG4" s="5" t="s">
        <v>238</v>
      </c>
      <c r="BH4" s="7">
        <f>0</f>
        <v>0</v>
      </c>
      <c r="BI4" s="8">
        <f>0</f>
        <v>0</v>
      </c>
      <c r="BJ4" s="5" t="s">
        <v>253</v>
      </c>
      <c r="BK4" s="5" t="s">
        <v>254</v>
      </c>
      <c r="BY4" s="5" t="s">
        <v>238</v>
      </c>
      <c r="BZ4" s="5" t="s">
        <v>238</v>
      </c>
      <c r="CD4" s="5" t="s">
        <v>255</v>
      </c>
      <c r="CE4" s="5" t="s">
        <v>256</v>
      </c>
      <c r="CF4" s="5" t="s">
        <v>238</v>
      </c>
      <c r="CI4" s="6" t="s">
        <v>257</v>
      </c>
      <c r="CJ4" s="5" t="s">
        <v>238</v>
      </c>
      <c r="CK4" s="5" t="s">
        <v>258</v>
      </c>
      <c r="CL4" s="5" t="s">
        <v>238</v>
      </c>
      <c r="CM4" s="5" t="s">
        <v>238</v>
      </c>
      <c r="CN4" s="5">
        <v>0</v>
      </c>
      <c r="CO4" s="5" t="s">
        <v>259</v>
      </c>
      <c r="CP4" s="5" t="s">
        <v>260</v>
      </c>
      <c r="CQ4" s="5" t="s">
        <v>260</v>
      </c>
      <c r="CR4" s="5" t="s">
        <v>261</v>
      </c>
      <c r="CU4" s="8">
        <f>10279815</f>
        <v>10279815</v>
      </c>
      <c r="CV4" s="8">
        <f>0</f>
        <v>0</v>
      </c>
      <c r="CX4" s="8">
        <f>0</f>
        <v>0</v>
      </c>
      <c r="CY4" s="8">
        <f>10279815</f>
        <v>10279815</v>
      </c>
      <c r="DA4" s="5" t="s">
        <v>2032</v>
      </c>
      <c r="DB4" s="5" t="s">
        <v>238</v>
      </c>
      <c r="DD4" s="5" t="s">
        <v>2032</v>
      </c>
      <c r="DE4" s="8">
        <f>4641</f>
        <v>4641</v>
      </c>
      <c r="DF4" s="6" t="s">
        <v>4583</v>
      </c>
      <c r="DG4" s="5" t="s">
        <v>389</v>
      </c>
      <c r="DH4" s="5" t="s">
        <v>238</v>
      </c>
      <c r="DI4" s="5" t="s">
        <v>238</v>
      </c>
      <c r="DJ4" s="5" t="s">
        <v>238</v>
      </c>
      <c r="DN4" s="5" t="s">
        <v>238</v>
      </c>
      <c r="DO4" s="5" t="s">
        <v>238</v>
      </c>
      <c r="DP4" s="5" t="s">
        <v>238</v>
      </c>
      <c r="DQ4" s="5" t="s">
        <v>238</v>
      </c>
      <c r="DT4" s="5" t="s">
        <v>4584</v>
      </c>
      <c r="DU4" s="5" t="s">
        <v>264</v>
      </c>
      <c r="HM4" s="5" t="s">
        <v>264</v>
      </c>
    </row>
    <row r="5" spans="1:238" x14ac:dyDescent="0.4">
      <c r="A5" s="5">
        <v>712</v>
      </c>
      <c r="B5" s="5">
        <v>1</v>
      </c>
      <c r="C5" s="5">
        <v>1</v>
      </c>
      <c r="D5" s="5" t="s">
        <v>4611</v>
      </c>
      <c r="E5" s="5" t="s">
        <v>475</v>
      </c>
      <c r="F5" s="5" t="s">
        <v>248</v>
      </c>
      <c r="G5" s="5" t="s">
        <v>4610</v>
      </c>
      <c r="H5" s="6" t="s">
        <v>4612</v>
      </c>
      <c r="I5" s="7">
        <f>1757</f>
        <v>1757</v>
      </c>
      <c r="J5" s="5" t="s">
        <v>262</v>
      </c>
      <c r="K5" s="8">
        <f>3891755</f>
        <v>3891755</v>
      </c>
      <c r="L5" s="6" t="s">
        <v>242</v>
      </c>
      <c r="M5" s="5" t="s">
        <v>267</v>
      </c>
      <c r="N5" s="5" t="s">
        <v>237</v>
      </c>
      <c r="O5" s="5" t="s">
        <v>238</v>
      </c>
      <c r="P5" s="5" t="s">
        <v>238</v>
      </c>
      <c r="Q5" s="5" t="s">
        <v>239</v>
      </c>
      <c r="R5" s="5" t="s">
        <v>270</v>
      </c>
      <c r="S5" s="5" t="s">
        <v>238</v>
      </c>
      <c r="V5" s="5" t="s">
        <v>238</v>
      </c>
      <c r="X5" s="6" t="s">
        <v>238</v>
      </c>
      <c r="AA5" s="6" t="s">
        <v>243</v>
      </c>
      <c r="AB5" s="5" t="s">
        <v>238</v>
      </c>
      <c r="AC5" s="5" t="s">
        <v>244</v>
      </c>
      <c r="AD5" s="5" t="s">
        <v>245</v>
      </c>
      <c r="AT5" s="5" t="s">
        <v>246</v>
      </c>
      <c r="AU5" s="5" t="s">
        <v>238</v>
      </c>
      <c r="AV5" s="5" t="s">
        <v>247</v>
      </c>
      <c r="AW5" s="5" t="s">
        <v>238</v>
      </c>
      <c r="AX5" s="5" t="s">
        <v>249</v>
      </c>
      <c r="AY5" s="5" t="s">
        <v>238</v>
      </c>
      <c r="BA5" s="5" t="s">
        <v>4547</v>
      </c>
      <c r="BC5" s="5" t="s">
        <v>250</v>
      </c>
      <c r="BD5" s="6" t="s">
        <v>243</v>
      </c>
      <c r="BE5" s="5" t="s">
        <v>251</v>
      </c>
      <c r="BF5" s="5" t="s">
        <v>252</v>
      </c>
      <c r="BG5" s="5" t="s">
        <v>238</v>
      </c>
      <c r="BH5" s="7">
        <f>0</f>
        <v>0</v>
      </c>
      <c r="BI5" s="8">
        <f>0</f>
        <v>0</v>
      </c>
      <c r="BJ5" s="5" t="s">
        <v>253</v>
      </c>
      <c r="BK5" s="5" t="s">
        <v>254</v>
      </c>
      <c r="BY5" s="5" t="s">
        <v>238</v>
      </c>
      <c r="BZ5" s="5" t="s">
        <v>238</v>
      </c>
      <c r="CD5" s="5" t="s">
        <v>255</v>
      </c>
      <c r="CE5" s="5" t="s">
        <v>256</v>
      </c>
      <c r="CF5" s="5" t="s">
        <v>238</v>
      </c>
      <c r="CI5" s="6" t="s">
        <v>257</v>
      </c>
      <c r="CJ5" s="5" t="s">
        <v>238</v>
      </c>
      <c r="CK5" s="5" t="s">
        <v>258</v>
      </c>
      <c r="CL5" s="5" t="s">
        <v>238</v>
      </c>
      <c r="CM5" s="5" t="s">
        <v>238</v>
      </c>
      <c r="CN5" s="5">
        <v>0</v>
      </c>
      <c r="CO5" s="5" t="s">
        <v>259</v>
      </c>
      <c r="CP5" s="5" t="s">
        <v>260</v>
      </c>
      <c r="CQ5" s="5" t="s">
        <v>260</v>
      </c>
      <c r="CR5" s="5" t="s">
        <v>261</v>
      </c>
      <c r="CU5" s="8">
        <f>3891755</f>
        <v>3891755</v>
      </c>
      <c r="CV5" s="8">
        <f>0</f>
        <v>0</v>
      </c>
      <c r="CX5" s="8">
        <f>0</f>
        <v>0</v>
      </c>
      <c r="CY5" s="8">
        <f>3891755</f>
        <v>3891755</v>
      </c>
      <c r="DA5" s="5" t="s">
        <v>2032</v>
      </c>
      <c r="DB5" s="5" t="s">
        <v>238</v>
      </c>
      <c r="DD5" s="5" t="s">
        <v>2032</v>
      </c>
      <c r="DE5" s="8">
        <f>1757</f>
        <v>1757</v>
      </c>
      <c r="DF5" s="6" t="s">
        <v>3928</v>
      </c>
      <c r="DG5" s="5" t="s">
        <v>389</v>
      </c>
      <c r="DH5" s="5" t="s">
        <v>238</v>
      </c>
      <c r="DI5" s="5" t="s">
        <v>238</v>
      </c>
      <c r="DJ5" s="5" t="s">
        <v>238</v>
      </c>
      <c r="DN5" s="5" t="s">
        <v>238</v>
      </c>
      <c r="DO5" s="5" t="s">
        <v>238</v>
      </c>
      <c r="DP5" s="5" t="s">
        <v>238</v>
      </c>
      <c r="DQ5" s="5" t="s">
        <v>238</v>
      </c>
      <c r="DT5" s="5" t="s">
        <v>4613</v>
      </c>
      <c r="DU5" s="5" t="s">
        <v>264</v>
      </c>
      <c r="HM5" s="5" t="s">
        <v>264</v>
      </c>
    </row>
    <row r="6" spans="1:238" x14ac:dyDescent="0.4">
      <c r="A6" s="5">
        <v>713</v>
      </c>
      <c r="B6" s="5">
        <v>1</v>
      </c>
      <c r="C6" s="5">
        <v>1</v>
      </c>
      <c r="D6" s="5" t="s">
        <v>4645</v>
      </c>
      <c r="E6" s="5" t="s">
        <v>475</v>
      </c>
      <c r="F6" s="5" t="s">
        <v>248</v>
      </c>
      <c r="G6" s="5" t="s">
        <v>4644</v>
      </c>
      <c r="H6" s="6" t="s">
        <v>4646</v>
      </c>
      <c r="I6" s="7">
        <f>3550</f>
        <v>3550</v>
      </c>
      <c r="J6" s="5" t="s">
        <v>262</v>
      </c>
      <c r="K6" s="8">
        <f>7863250</f>
        <v>7863250</v>
      </c>
      <c r="L6" s="6" t="s">
        <v>242</v>
      </c>
      <c r="M6" s="5" t="s">
        <v>267</v>
      </c>
      <c r="N6" s="5" t="s">
        <v>237</v>
      </c>
      <c r="O6" s="5" t="s">
        <v>238</v>
      </c>
      <c r="P6" s="5" t="s">
        <v>238</v>
      </c>
      <c r="Q6" s="5" t="s">
        <v>239</v>
      </c>
      <c r="R6" s="5" t="s">
        <v>270</v>
      </c>
      <c r="S6" s="5" t="s">
        <v>238</v>
      </c>
      <c r="V6" s="5" t="s">
        <v>238</v>
      </c>
      <c r="X6" s="6" t="s">
        <v>238</v>
      </c>
      <c r="AA6" s="6" t="s">
        <v>243</v>
      </c>
      <c r="AB6" s="5" t="s">
        <v>238</v>
      </c>
      <c r="AC6" s="5" t="s">
        <v>244</v>
      </c>
      <c r="AD6" s="5" t="s">
        <v>245</v>
      </c>
      <c r="AT6" s="5" t="s">
        <v>246</v>
      </c>
      <c r="AU6" s="5" t="s">
        <v>238</v>
      </c>
      <c r="AV6" s="5" t="s">
        <v>247</v>
      </c>
      <c r="AW6" s="5" t="s">
        <v>238</v>
      </c>
      <c r="AX6" s="5" t="s">
        <v>249</v>
      </c>
      <c r="AY6" s="5" t="s">
        <v>238</v>
      </c>
      <c r="BA6" s="5" t="s">
        <v>4547</v>
      </c>
      <c r="BC6" s="5" t="s">
        <v>250</v>
      </c>
      <c r="BD6" s="6" t="s">
        <v>243</v>
      </c>
      <c r="BE6" s="5" t="s">
        <v>251</v>
      </c>
      <c r="BF6" s="5" t="s">
        <v>252</v>
      </c>
      <c r="BG6" s="5" t="s">
        <v>238</v>
      </c>
      <c r="BH6" s="7">
        <f>0</f>
        <v>0</v>
      </c>
      <c r="BI6" s="8">
        <f>0</f>
        <v>0</v>
      </c>
      <c r="BJ6" s="5" t="s">
        <v>253</v>
      </c>
      <c r="BK6" s="5" t="s">
        <v>254</v>
      </c>
      <c r="BY6" s="5" t="s">
        <v>238</v>
      </c>
      <c r="BZ6" s="5" t="s">
        <v>238</v>
      </c>
      <c r="CD6" s="5" t="s">
        <v>255</v>
      </c>
      <c r="CE6" s="5" t="s">
        <v>256</v>
      </c>
      <c r="CF6" s="5" t="s">
        <v>238</v>
      </c>
      <c r="CI6" s="6" t="s">
        <v>257</v>
      </c>
      <c r="CJ6" s="5" t="s">
        <v>238</v>
      </c>
      <c r="CK6" s="5" t="s">
        <v>258</v>
      </c>
      <c r="CL6" s="5" t="s">
        <v>238</v>
      </c>
      <c r="CM6" s="5" t="s">
        <v>238</v>
      </c>
      <c r="CN6" s="5">
        <v>0</v>
      </c>
      <c r="CO6" s="5" t="s">
        <v>259</v>
      </c>
      <c r="CP6" s="5" t="s">
        <v>260</v>
      </c>
      <c r="CQ6" s="5" t="s">
        <v>260</v>
      </c>
      <c r="CR6" s="5" t="s">
        <v>261</v>
      </c>
      <c r="CU6" s="8">
        <f>7863250</f>
        <v>7863250</v>
      </c>
      <c r="CV6" s="8">
        <f>0</f>
        <v>0</v>
      </c>
      <c r="CX6" s="8">
        <f>0</f>
        <v>0</v>
      </c>
      <c r="CY6" s="8">
        <f>7863250</f>
        <v>7863250</v>
      </c>
      <c r="DA6" s="5" t="s">
        <v>2032</v>
      </c>
      <c r="DB6" s="5" t="s">
        <v>238</v>
      </c>
      <c r="DD6" s="5" t="s">
        <v>2032</v>
      </c>
      <c r="DE6" s="8">
        <f>3550</f>
        <v>3550</v>
      </c>
      <c r="DG6" s="5" t="s">
        <v>389</v>
      </c>
      <c r="DH6" s="5" t="s">
        <v>238</v>
      </c>
      <c r="DI6" s="5" t="s">
        <v>238</v>
      </c>
      <c r="DJ6" s="5" t="s">
        <v>238</v>
      </c>
      <c r="DN6" s="5" t="s">
        <v>238</v>
      </c>
      <c r="DO6" s="5" t="s">
        <v>238</v>
      </c>
      <c r="DP6" s="5" t="s">
        <v>238</v>
      </c>
      <c r="DQ6" s="5" t="s">
        <v>238</v>
      </c>
      <c r="DT6" s="5" t="s">
        <v>4647</v>
      </c>
      <c r="DU6" s="5" t="s">
        <v>264</v>
      </c>
      <c r="HM6" s="5" t="s">
        <v>264</v>
      </c>
    </row>
    <row r="7" spans="1:238" x14ac:dyDescent="0.4">
      <c r="A7" s="5">
        <v>714</v>
      </c>
      <c r="B7" s="5">
        <v>1</v>
      </c>
      <c r="C7" s="5">
        <v>1</v>
      </c>
      <c r="D7" s="5" t="s">
        <v>4672</v>
      </c>
      <c r="E7" s="5" t="s">
        <v>475</v>
      </c>
      <c r="F7" s="5" t="s">
        <v>248</v>
      </c>
      <c r="G7" s="5" t="s">
        <v>4671</v>
      </c>
      <c r="H7" s="6" t="s">
        <v>4673</v>
      </c>
      <c r="I7" s="7">
        <f>1406.15</f>
        <v>1406.15</v>
      </c>
      <c r="J7" s="5" t="s">
        <v>262</v>
      </c>
      <c r="K7" s="8">
        <f>3114622</f>
        <v>3114622</v>
      </c>
      <c r="L7" s="6" t="s">
        <v>242</v>
      </c>
      <c r="M7" s="5" t="s">
        <v>267</v>
      </c>
      <c r="N7" s="5" t="s">
        <v>237</v>
      </c>
      <c r="O7" s="5" t="s">
        <v>238</v>
      </c>
      <c r="P7" s="5" t="s">
        <v>238</v>
      </c>
      <c r="Q7" s="5" t="s">
        <v>239</v>
      </c>
      <c r="R7" s="5" t="s">
        <v>270</v>
      </c>
      <c r="S7" s="5" t="s">
        <v>238</v>
      </c>
      <c r="V7" s="5" t="s">
        <v>238</v>
      </c>
      <c r="X7" s="6" t="s">
        <v>238</v>
      </c>
      <c r="AA7" s="6" t="s">
        <v>243</v>
      </c>
      <c r="AB7" s="5" t="s">
        <v>238</v>
      </c>
      <c r="AC7" s="5" t="s">
        <v>244</v>
      </c>
      <c r="AD7" s="5" t="s">
        <v>245</v>
      </c>
      <c r="AT7" s="5" t="s">
        <v>246</v>
      </c>
      <c r="AU7" s="5" t="s">
        <v>238</v>
      </c>
      <c r="AV7" s="5" t="s">
        <v>247</v>
      </c>
      <c r="AW7" s="5" t="s">
        <v>238</v>
      </c>
      <c r="AX7" s="5" t="s">
        <v>249</v>
      </c>
      <c r="AY7" s="5" t="s">
        <v>238</v>
      </c>
      <c r="BA7" s="5" t="s">
        <v>4547</v>
      </c>
      <c r="BC7" s="5" t="s">
        <v>250</v>
      </c>
      <c r="BD7" s="6" t="s">
        <v>243</v>
      </c>
      <c r="BE7" s="5" t="s">
        <v>251</v>
      </c>
      <c r="BF7" s="5" t="s">
        <v>252</v>
      </c>
      <c r="BG7" s="5" t="s">
        <v>238</v>
      </c>
      <c r="BH7" s="7">
        <f>0</f>
        <v>0</v>
      </c>
      <c r="BI7" s="8">
        <f>0</f>
        <v>0</v>
      </c>
      <c r="BJ7" s="5" t="s">
        <v>253</v>
      </c>
      <c r="BK7" s="5" t="s">
        <v>254</v>
      </c>
      <c r="BY7" s="5" t="s">
        <v>238</v>
      </c>
      <c r="BZ7" s="5" t="s">
        <v>238</v>
      </c>
      <c r="CD7" s="5" t="s">
        <v>255</v>
      </c>
      <c r="CE7" s="5" t="s">
        <v>256</v>
      </c>
      <c r="CF7" s="5" t="s">
        <v>238</v>
      </c>
      <c r="CI7" s="6" t="s">
        <v>257</v>
      </c>
      <c r="CJ7" s="5" t="s">
        <v>238</v>
      </c>
      <c r="CK7" s="5" t="s">
        <v>258</v>
      </c>
      <c r="CL7" s="5" t="s">
        <v>238</v>
      </c>
      <c r="CM7" s="5" t="s">
        <v>238</v>
      </c>
      <c r="CN7" s="5">
        <v>0</v>
      </c>
      <c r="CO7" s="5" t="s">
        <v>259</v>
      </c>
      <c r="CP7" s="5" t="s">
        <v>260</v>
      </c>
      <c r="CQ7" s="5" t="s">
        <v>260</v>
      </c>
      <c r="CR7" s="5" t="s">
        <v>261</v>
      </c>
      <c r="CU7" s="8">
        <f>3114622</f>
        <v>3114622</v>
      </c>
      <c r="CV7" s="8">
        <f>0</f>
        <v>0</v>
      </c>
      <c r="CX7" s="8">
        <f>0</f>
        <v>0</v>
      </c>
      <c r="CY7" s="8">
        <f>3114622</f>
        <v>3114622</v>
      </c>
      <c r="DA7" s="5" t="s">
        <v>2032</v>
      </c>
      <c r="DB7" s="5" t="s">
        <v>238</v>
      </c>
      <c r="DD7" s="5" t="s">
        <v>2032</v>
      </c>
      <c r="DE7" s="8">
        <f>1406</f>
        <v>1406</v>
      </c>
      <c r="DG7" s="5" t="s">
        <v>389</v>
      </c>
      <c r="DH7" s="5" t="s">
        <v>238</v>
      </c>
      <c r="DI7" s="5" t="s">
        <v>238</v>
      </c>
      <c r="DJ7" s="5" t="s">
        <v>238</v>
      </c>
      <c r="DN7" s="5" t="s">
        <v>238</v>
      </c>
      <c r="DO7" s="5" t="s">
        <v>238</v>
      </c>
      <c r="DP7" s="5" t="s">
        <v>238</v>
      </c>
      <c r="DQ7" s="5" t="s">
        <v>238</v>
      </c>
      <c r="DT7" s="5" t="s">
        <v>4674</v>
      </c>
      <c r="DU7" s="5" t="s">
        <v>264</v>
      </c>
      <c r="HM7" s="5" t="s">
        <v>264</v>
      </c>
    </row>
    <row r="8" spans="1:238" x14ac:dyDescent="0.4">
      <c r="A8" s="5">
        <v>715</v>
      </c>
      <c r="B8" s="5">
        <v>1</v>
      </c>
      <c r="C8" s="5">
        <v>1</v>
      </c>
      <c r="D8" s="5" t="s">
        <v>4722</v>
      </c>
      <c r="E8" s="5" t="s">
        <v>475</v>
      </c>
      <c r="F8" s="5" t="s">
        <v>248</v>
      </c>
      <c r="G8" s="5" t="s">
        <v>4721</v>
      </c>
      <c r="H8" s="6" t="s">
        <v>4723</v>
      </c>
      <c r="I8" s="7">
        <f>2396.69</f>
        <v>2396.69</v>
      </c>
      <c r="J8" s="5" t="s">
        <v>262</v>
      </c>
      <c r="K8" s="8">
        <f>5308668</f>
        <v>5308668</v>
      </c>
      <c r="L8" s="6" t="s">
        <v>242</v>
      </c>
      <c r="M8" s="5" t="s">
        <v>267</v>
      </c>
      <c r="N8" s="5" t="s">
        <v>237</v>
      </c>
      <c r="O8" s="5" t="s">
        <v>238</v>
      </c>
      <c r="P8" s="5" t="s">
        <v>238</v>
      </c>
      <c r="Q8" s="5" t="s">
        <v>239</v>
      </c>
      <c r="R8" s="5" t="s">
        <v>270</v>
      </c>
      <c r="S8" s="5" t="s">
        <v>238</v>
      </c>
      <c r="V8" s="5" t="s">
        <v>238</v>
      </c>
      <c r="X8" s="6" t="s">
        <v>238</v>
      </c>
      <c r="AA8" s="6" t="s">
        <v>243</v>
      </c>
      <c r="AB8" s="5" t="s">
        <v>238</v>
      </c>
      <c r="AC8" s="5" t="s">
        <v>244</v>
      </c>
      <c r="AD8" s="5" t="s">
        <v>245</v>
      </c>
      <c r="AT8" s="5" t="s">
        <v>246</v>
      </c>
      <c r="AU8" s="5" t="s">
        <v>238</v>
      </c>
      <c r="AV8" s="5" t="s">
        <v>247</v>
      </c>
      <c r="AW8" s="5" t="s">
        <v>238</v>
      </c>
      <c r="AX8" s="5" t="s">
        <v>249</v>
      </c>
      <c r="AY8" s="5" t="s">
        <v>238</v>
      </c>
      <c r="BA8" s="5" t="s">
        <v>4547</v>
      </c>
      <c r="BC8" s="5" t="s">
        <v>250</v>
      </c>
      <c r="BD8" s="6" t="s">
        <v>243</v>
      </c>
      <c r="BE8" s="5" t="s">
        <v>251</v>
      </c>
      <c r="BF8" s="5" t="s">
        <v>252</v>
      </c>
      <c r="BG8" s="5" t="s">
        <v>238</v>
      </c>
      <c r="BH8" s="7">
        <f>0</f>
        <v>0</v>
      </c>
      <c r="BI8" s="8">
        <f>0</f>
        <v>0</v>
      </c>
      <c r="BJ8" s="5" t="s">
        <v>253</v>
      </c>
      <c r="BK8" s="5" t="s">
        <v>254</v>
      </c>
      <c r="BY8" s="5" t="s">
        <v>238</v>
      </c>
      <c r="BZ8" s="5" t="s">
        <v>238</v>
      </c>
      <c r="CD8" s="5" t="s">
        <v>255</v>
      </c>
      <c r="CE8" s="5" t="s">
        <v>256</v>
      </c>
      <c r="CF8" s="5" t="s">
        <v>238</v>
      </c>
      <c r="CI8" s="6" t="s">
        <v>257</v>
      </c>
      <c r="CJ8" s="5" t="s">
        <v>238</v>
      </c>
      <c r="CK8" s="5" t="s">
        <v>258</v>
      </c>
      <c r="CL8" s="5" t="s">
        <v>238</v>
      </c>
      <c r="CM8" s="5" t="s">
        <v>238</v>
      </c>
      <c r="CN8" s="5">
        <v>0</v>
      </c>
      <c r="CO8" s="5" t="s">
        <v>259</v>
      </c>
      <c r="CP8" s="5" t="s">
        <v>260</v>
      </c>
      <c r="CQ8" s="5" t="s">
        <v>260</v>
      </c>
      <c r="CR8" s="5" t="s">
        <v>261</v>
      </c>
      <c r="CU8" s="8">
        <f>5308668</f>
        <v>5308668</v>
      </c>
      <c r="CV8" s="8">
        <f>0</f>
        <v>0</v>
      </c>
      <c r="CX8" s="8">
        <f>0</f>
        <v>0</v>
      </c>
      <c r="CY8" s="8">
        <f>5308668</f>
        <v>5308668</v>
      </c>
      <c r="DA8" s="5" t="s">
        <v>2032</v>
      </c>
      <c r="DB8" s="5" t="s">
        <v>238</v>
      </c>
      <c r="DD8" s="5" t="s">
        <v>2032</v>
      </c>
      <c r="DE8" s="8">
        <f>2396</f>
        <v>2396</v>
      </c>
      <c r="DG8" s="5" t="s">
        <v>389</v>
      </c>
      <c r="DH8" s="5" t="s">
        <v>238</v>
      </c>
      <c r="DI8" s="5" t="s">
        <v>238</v>
      </c>
      <c r="DJ8" s="5" t="s">
        <v>238</v>
      </c>
      <c r="DN8" s="5" t="s">
        <v>238</v>
      </c>
      <c r="DO8" s="5" t="s">
        <v>238</v>
      </c>
      <c r="DP8" s="5" t="s">
        <v>238</v>
      </c>
      <c r="DQ8" s="5" t="s">
        <v>238</v>
      </c>
      <c r="DT8" s="5" t="s">
        <v>4724</v>
      </c>
      <c r="DU8" s="5" t="s">
        <v>264</v>
      </c>
      <c r="HM8" s="5" t="s">
        <v>264</v>
      </c>
    </row>
    <row r="9" spans="1:238" x14ac:dyDescent="0.4">
      <c r="A9" s="5">
        <v>716</v>
      </c>
      <c r="B9" s="5">
        <v>1</v>
      </c>
      <c r="C9" s="5">
        <v>1</v>
      </c>
      <c r="D9" s="5" t="s">
        <v>4751</v>
      </c>
      <c r="E9" s="5" t="s">
        <v>475</v>
      </c>
      <c r="F9" s="5" t="s">
        <v>248</v>
      </c>
      <c r="G9" s="5" t="s">
        <v>4750</v>
      </c>
      <c r="H9" s="6" t="s">
        <v>4752</v>
      </c>
      <c r="I9" s="7">
        <f>1692.48</f>
        <v>1692.48</v>
      </c>
      <c r="J9" s="5" t="s">
        <v>262</v>
      </c>
      <c r="K9" s="8">
        <f>3748843</f>
        <v>3748843</v>
      </c>
      <c r="L9" s="6" t="s">
        <v>242</v>
      </c>
      <c r="M9" s="5" t="s">
        <v>267</v>
      </c>
      <c r="N9" s="5" t="s">
        <v>237</v>
      </c>
      <c r="O9" s="5" t="s">
        <v>238</v>
      </c>
      <c r="P9" s="5" t="s">
        <v>238</v>
      </c>
      <c r="Q9" s="5" t="s">
        <v>239</v>
      </c>
      <c r="R9" s="5" t="s">
        <v>270</v>
      </c>
      <c r="S9" s="5" t="s">
        <v>238</v>
      </c>
      <c r="V9" s="5" t="s">
        <v>238</v>
      </c>
      <c r="X9" s="6" t="s">
        <v>238</v>
      </c>
      <c r="AA9" s="6" t="s">
        <v>243</v>
      </c>
      <c r="AB9" s="5" t="s">
        <v>238</v>
      </c>
      <c r="AC9" s="5" t="s">
        <v>244</v>
      </c>
      <c r="AD9" s="5" t="s">
        <v>245</v>
      </c>
      <c r="AT9" s="5" t="s">
        <v>246</v>
      </c>
      <c r="AU9" s="5" t="s">
        <v>238</v>
      </c>
      <c r="AV9" s="5" t="s">
        <v>247</v>
      </c>
      <c r="AW9" s="5" t="s">
        <v>238</v>
      </c>
      <c r="AX9" s="5" t="s">
        <v>249</v>
      </c>
      <c r="AY9" s="5" t="s">
        <v>238</v>
      </c>
      <c r="BA9" s="5" t="s">
        <v>4547</v>
      </c>
      <c r="BC9" s="5" t="s">
        <v>250</v>
      </c>
      <c r="BD9" s="6" t="s">
        <v>243</v>
      </c>
      <c r="BE9" s="5" t="s">
        <v>251</v>
      </c>
      <c r="BF9" s="5" t="s">
        <v>252</v>
      </c>
      <c r="BG9" s="5" t="s">
        <v>238</v>
      </c>
      <c r="BH9" s="7">
        <f>0</f>
        <v>0</v>
      </c>
      <c r="BI9" s="8">
        <f>0</f>
        <v>0</v>
      </c>
      <c r="BJ9" s="5" t="s">
        <v>253</v>
      </c>
      <c r="BK9" s="5" t="s">
        <v>254</v>
      </c>
      <c r="BY9" s="5" t="s">
        <v>238</v>
      </c>
      <c r="BZ9" s="5" t="s">
        <v>238</v>
      </c>
      <c r="CD9" s="5" t="s">
        <v>255</v>
      </c>
      <c r="CE9" s="5" t="s">
        <v>256</v>
      </c>
      <c r="CF9" s="5" t="s">
        <v>238</v>
      </c>
      <c r="CI9" s="6" t="s">
        <v>257</v>
      </c>
      <c r="CJ9" s="5" t="s">
        <v>238</v>
      </c>
      <c r="CK9" s="5" t="s">
        <v>258</v>
      </c>
      <c r="CL9" s="5" t="s">
        <v>238</v>
      </c>
      <c r="CM9" s="5" t="s">
        <v>238</v>
      </c>
      <c r="CN9" s="5">
        <v>0</v>
      </c>
      <c r="CO9" s="5" t="s">
        <v>259</v>
      </c>
      <c r="CP9" s="5" t="s">
        <v>260</v>
      </c>
      <c r="CQ9" s="5" t="s">
        <v>260</v>
      </c>
      <c r="CR9" s="5" t="s">
        <v>261</v>
      </c>
      <c r="CU9" s="8">
        <f>3748843</f>
        <v>3748843</v>
      </c>
      <c r="CV9" s="8">
        <f>0</f>
        <v>0</v>
      </c>
      <c r="CX9" s="8">
        <f>0</f>
        <v>0</v>
      </c>
      <c r="CY9" s="8">
        <f>3748843</f>
        <v>3748843</v>
      </c>
      <c r="DA9" s="5" t="s">
        <v>2032</v>
      </c>
      <c r="DB9" s="5" t="s">
        <v>238</v>
      </c>
      <c r="DD9" s="5" t="s">
        <v>2032</v>
      </c>
      <c r="DE9" s="8">
        <f>1692</f>
        <v>1692</v>
      </c>
      <c r="DG9" s="5" t="s">
        <v>389</v>
      </c>
      <c r="DH9" s="5" t="s">
        <v>238</v>
      </c>
      <c r="DI9" s="5" t="s">
        <v>238</v>
      </c>
      <c r="DJ9" s="5" t="s">
        <v>238</v>
      </c>
      <c r="DN9" s="5" t="s">
        <v>238</v>
      </c>
      <c r="DO9" s="5" t="s">
        <v>238</v>
      </c>
      <c r="DP9" s="5" t="s">
        <v>238</v>
      </c>
      <c r="DQ9" s="5" t="s">
        <v>238</v>
      </c>
      <c r="DT9" s="5" t="s">
        <v>4753</v>
      </c>
      <c r="DU9" s="5" t="s">
        <v>264</v>
      </c>
      <c r="HM9" s="5" t="s">
        <v>264</v>
      </c>
    </row>
    <row r="10" spans="1:238" x14ac:dyDescent="0.4">
      <c r="A10" s="5">
        <v>717</v>
      </c>
      <c r="B10" s="5">
        <v>1</v>
      </c>
      <c r="C10" s="5">
        <v>1</v>
      </c>
      <c r="D10" s="5" t="s">
        <v>4763</v>
      </c>
      <c r="E10" s="5" t="s">
        <v>475</v>
      </c>
      <c r="F10" s="5" t="s">
        <v>248</v>
      </c>
      <c r="G10" s="5" t="s">
        <v>4762</v>
      </c>
      <c r="H10" s="6" t="s">
        <v>4764</v>
      </c>
      <c r="I10" s="7">
        <f>2025.79</f>
        <v>2025.79</v>
      </c>
      <c r="J10" s="5" t="s">
        <v>262</v>
      </c>
      <c r="K10" s="8">
        <f>4487124</f>
        <v>4487124</v>
      </c>
      <c r="L10" s="6" t="s">
        <v>242</v>
      </c>
      <c r="M10" s="5" t="s">
        <v>267</v>
      </c>
      <c r="N10" s="5" t="s">
        <v>237</v>
      </c>
      <c r="O10" s="5" t="s">
        <v>238</v>
      </c>
      <c r="P10" s="5" t="s">
        <v>238</v>
      </c>
      <c r="Q10" s="5" t="s">
        <v>239</v>
      </c>
      <c r="R10" s="5" t="s">
        <v>270</v>
      </c>
      <c r="S10" s="5" t="s">
        <v>238</v>
      </c>
      <c r="V10" s="5" t="s">
        <v>238</v>
      </c>
      <c r="X10" s="6" t="s">
        <v>238</v>
      </c>
      <c r="AA10" s="6" t="s">
        <v>243</v>
      </c>
      <c r="AB10" s="5" t="s">
        <v>238</v>
      </c>
      <c r="AC10" s="5" t="s">
        <v>244</v>
      </c>
      <c r="AD10" s="5" t="s">
        <v>245</v>
      </c>
      <c r="AT10" s="5" t="s">
        <v>246</v>
      </c>
      <c r="AU10" s="5" t="s">
        <v>238</v>
      </c>
      <c r="AV10" s="5" t="s">
        <v>247</v>
      </c>
      <c r="AW10" s="5" t="s">
        <v>238</v>
      </c>
      <c r="AX10" s="5" t="s">
        <v>249</v>
      </c>
      <c r="AY10" s="5" t="s">
        <v>238</v>
      </c>
      <c r="BA10" s="5" t="s">
        <v>4547</v>
      </c>
      <c r="BC10" s="5" t="s">
        <v>250</v>
      </c>
      <c r="BD10" s="6" t="s">
        <v>243</v>
      </c>
      <c r="BE10" s="5" t="s">
        <v>251</v>
      </c>
      <c r="BF10" s="5" t="s">
        <v>252</v>
      </c>
      <c r="BG10" s="5" t="s">
        <v>238</v>
      </c>
      <c r="BH10" s="7">
        <f>0</f>
        <v>0</v>
      </c>
      <c r="BI10" s="8">
        <f>0</f>
        <v>0</v>
      </c>
      <c r="BJ10" s="5" t="s">
        <v>253</v>
      </c>
      <c r="BK10" s="5" t="s">
        <v>254</v>
      </c>
      <c r="BY10" s="5" t="s">
        <v>238</v>
      </c>
      <c r="BZ10" s="5" t="s">
        <v>238</v>
      </c>
      <c r="CD10" s="5" t="s">
        <v>255</v>
      </c>
      <c r="CE10" s="5" t="s">
        <v>256</v>
      </c>
      <c r="CF10" s="5" t="s">
        <v>238</v>
      </c>
      <c r="CI10" s="6" t="s">
        <v>257</v>
      </c>
      <c r="CJ10" s="5" t="s">
        <v>238</v>
      </c>
      <c r="CK10" s="5" t="s">
        <v>258</v>
      </c>
      <c r="CL10" s="5" t="s">
        <v>238</v>
      </c>
      <c r="CM10" s="5" t="s">
        <v>238</v>
      </c>
      <c r="CN10" s="5">
        <v>0</v>
      </c>
      <c r="CO10" s="5" t="s">
        <v>259</v>
      </c>
      <c r="CP10" s="5" t="s">
        <v>260</v>
      </c>
      <c r="CQ10" s="5" t="s">
        <v>260</v>
      </c>
      <c r="CR10" s="5" t="s">
        <v>261</v>
      </c>
      <c r="CU10" s="8">
        <f>4487124</f>
        <v>4487124</v>
      </c>
      <c r="CV10" s="8">
        <f>0</f>
        <v>0</v>
      </c>
      <c r="CX10" s="8">
        <f>0</f>
        <v>0</v>
      </c>
      <c r="CY10" s="8">
        <f>4487124</f>
        <v>4487124</v>
      </c>
      <c r="DA10" s="5" t="s">
        <v>2032</v>
      </c>
      <c r="DB10" s="5" t="s">
        <v>238</v>
      </c>
      <c r="DD10" s="5" t="s">
        <v>2032</v>
      </c>
      <c r="DE10" s="8">
        <f>2025</f>
        <v>2025</v>
      </c>
      <c r="DF10" s="6" t="s">
        <v>4765</v>
      </c>
      <c r="DG10" s="5" t="s">
        <v>389</v>
      </c>
      <c r="DH10" s="5" t="s">
        <v>238</v>
      </c>
      <c r="DI10" s="5" t="s">
        <v>238</v>
      </c>
      <c r="DJ10" s="5" t="s">
        <v>238</v>
      </c>
      <c r="DN10" s="5" t="s">
        <v>238</v>
      </c>
      <c r="DO10" s="5" t="s">
        <v>238</v>
      </c>
      <c r="DP10" s="5" t="s">
        <v>238</v>
      </c>
      <c r="DQ10" s="5" t="s">
        <v>238</v>
      </c>
      <c r="DT10" s="5" t="s">
        <v>4766</v>
      </c>
      <c r="DU10" s="5" t="s">
        <v>264</v>
      </c>
      <c r="HM10" s="5" t="s">
        <v>264</v>
      </c>
    </row>
    <row r="11" spans="1:238" x14ac:dyDescent="0.4">
      <c r="A11" s="5">
        <v>718</v>
      </c>
      <c r="B11" s="5">
        <v>1</v>
      </c>
      <c r="C11" s="5">
        <v>1</v>
      </c>
      <c r="D11" s="5" t="s">
        <v>4781</v>
      </c>
      <c r="E11" s="5" t="s">
        <v>475</v>
      </c>
      <c r="F11" s="5" t="s">
        <v>248</v>
      </c>
      <c r="G11" s="5" t="s">
        <v>4780</v>
      </c>
      <c r="H11" s="6" t="s">
        <v>4782</v>
      </c>
      <c r="I11" s="7">
        <f>1800</f>
        <v>1800</v>
      </c>
      <c r="J11" s="5" t="s">
        <v>262</v>
      </c>
      <c r="K11" s="8">
        <f>3987000</f>
        <v>3987000</v>
      </c>
      <c r="L11" s="6" t="s">
        <v>242</v>
      </c>
      <c r="M11" s="5" t="s">
        <v>267</v>
      </c>
      <c r="N11" s="5" t="s">
        <v>237</v>
      </c>
      <c r="O11" s="5" t="s">
        <v>238</v>
      </c>
      <c r="P11" s="5" t="s">
        <v>238</v>
      </c>
      <c r="Q11" s="5" t="s">
        <v>239</v>
      </c>
      <c r="R11" s="5" t="s">
        <v>270</v>
      </c>
      <c r="S11" s="5" t="s">
        <v>238</v>
      </c>
      <c r="V11" s="5" t="s">
        <v>238</v>
      </c>
      <c r="X11" s="6" t="s">
        <v>238</v>
      </c>
      <c r="AA11" s="6" t="s">
        <v>243</v>
      </c>
      <c r="AB11" s="5" t="s">
        <v>238</v>
      </c>
      <c r="AC11" s="5" t="s">
        <v>244</v>
      </c>
      <c r="AD11" s="5" t="s">
        <v>245</v>
      </c>
      <c r="AT11" s="5" t="s">
        <v>246</v>
      </c>
      <c r="AU11" s="5" t="s">
        <v>238</v>
      </c>
      <c r="AV11" s="5" t="s">
        <v>247</v>
      </c>
      <c r="AW11" s="5" t="s">
        <v>238</v>
      </c>
      <c r="AX11" s="5" t="s">
        <v>249</v>
      </c>
      <c r="AY11" s="5" t="s">
        <v>238</v>
      </c>
      <c r="BA11" s="5" t="s">
        <v>4547</v>
      </c>
      <c r="BC11" s="5" t="s">
        <v>250</v>
      </c>
      <c r="BD11" s="6" t="s">
        <v>243</v>
      </c>
      <c r="BE11" s="5" t="s">
        <v>251</v>
      </c>
      <c r="BF11" s="5" t="s">
        <v>252</v>
      </c>
      <c r="BG11" s="5" t="s">
        <v>238</v>
      </c>
      <c r="BH11" s="7">
        <f>0</f>
        <v>0</v>
      </c>
      <c r="BI11" s="8">
        <f>0</f>
        <v>0</v>
      </c>
      <c r="BJ11" s="5" t="s">
        <v>253</v>
      </c>
      <c r="BK11" s="5" t="s">
        <v>254</v>
      </c>
      <c r="BY11" s="5" t="s">
        <v>238</v>
      </c>
      <c r="BZ11" s="5" t="s">
        <v>238</v>
      </c>
      <c r="CD11" s="5" t="s">
        <v>255</v>
      </c>
      <c r="CE11" s="5" t="s">
        <v>256</v>
      </c>
      <c r="CF11" s="5" t="s">
        <v>238</v>
      </c>
      <c r="CI11" s="6" t="s">
        <v>257</v>
      </c>
      <c r="CJ11" s="5" t="s">
        <v>238</v>
      </c>
      <c r="CK11" s="5" t="s">
        <v>258</v>
      </c>
      <c r="CL11" s="5" t="s">
        <v>238</v>
      </c>
      <c r="CM11" s="5" t="s">
        <v>238</v>
      </c>
      <c r="CN11" s="5">
        <v>0</v>
      </c>
      <c r="CO11" s="5" t="s">
        <v>259</v>
      </c>
      <c r="CP11" s="5" t="s">
        <v>260</v>
      </c>
      <c r="CQ11" s="5" t="s">
        <v>260</v>
      </c>
      <c r="CR11" s="5" t="s">
        <v>261</v>
      </c>
      <c r="CU11" s="8">
        <f>3987000</f>
        <v>3987000</v>
      </c>
      <c r="CV11" s="8">
        <f>0</f>
        <v>0</v>
      </c>
      <c r="CX11" s="8">
        <f>0</f>
        <v>0</v>
      </c>
      <c r="CY11" s="8">
        <f>3987000</f>
        <v>3987000</v>
      </c>
      <c r="DA11" s="5" t="s">
        <v>2032</v>
      </c>
      <c r="DB11" s="5" t="s">
        <v>238</v>
      </c>
      <c r="DD11" s="5" t="s">
        <v>2032</v>
      </c>
      <c r="DE11" s="8">
        <f>1800</f>
        <v>1800</v>
      </c>
      <c r="DG11" s="5" t="s">
        <v>389</v>
      </c>
      <c r="DH11" s="5" t="s">
        <v>238</v>
      </c>
      <c r="DI11" s="5" t="s">
        <v>238</v>
      </c>
      <c r="DJ11" s="5" t="s">
        <v>238</v>
      </c>
      <c r="DN11" s="5" t="s">
        <v>238</v>
      </c>
      <c r="DO11" s="5" t="s">
        <v>238</v>
      </c>
      <c r="DP11" s="5" t="s">
        <v>238</v>
      </c>
      <c r="DQ11" s="5" t="s">
        <v>238</v>
      </c>
      <c r="DT11" s="5" t="s">
        <v>4783</v>
      </c>
      <c r="DU11" s="5" t="s">
        <v>264</v>
      </c>
      <c r="HM11" s="5" t="s">
        <v>264</v>
      </c>
    </row>
    <row r="12" spans="1:238" x14ac:dyDescent="0.4">
      <c r="A12" s="5">
        <v>719</v>
      </c>
      <c r="B12" s="5">
        <v>1</v>
      </c>
      <c r="C12" s="5">
        <v>1</v>
      </c>
      <c r="D12" s="5" t="s">
        <v>4818</v>
      </c>
      <c r="E12" s="5" t="s">
        <v>475</v>
      </c>
      <c r="F12" s="5" t="s">
        <v>248</v>
      </c>
      <c r="G12" s="5" t="s">
        <v>4817</v>
      </c>
      <c r="H12" s="6" t="s">
        <v>4819</v>
      </c>
      <c r="I12" s="7">
        <f>1811.88</f>
        <v>1811.88</v>
      </c>
      <c r="J12" s="5" t="s">
        <v>262</v>
      </c>
      <c r="K12" s="8">
        <f>4013314</f>
        <v>4013314</v>
      </c>
      <c r="L12" s="6" t="s">
        <v>242</v>
      </c>
      <c r="M12" s="5" t="s">
        <v>267</v>
      </c>
      <c r="N12" s="5" t="s">
        <v>237</v>
      </c>
      <c r="O12" s="5" t="s">
        <v>238</v>
      </c>
      <c r="P12" s="5" t="s">
        <v>238</v>
      </c>
      <c r="Q12" s="5" t="s">
        <v>239</v>
      </c>
      <c r="R12" s="5" t="s">
        <v>270</v>
      </c>
      <c r="S12" s="5" t="s">
        <v>238</v>
      </c>
      <c r="V12" s="5" t="s">
        <v>238</v>
      </c>
      <c r="X12" s="6" t="s">
        <v>238</v>
      </c>
      <c r="AA12" s="6" t="s">
        <v>243</v>
      </c>
      <c r="AB12" s="5" t="s">
        <v>238</v>
      </c>
      <c r="AC12" s="5" t="s">
        <v>244</v>
      </c>
      <c r="AD12" s="5" t="s">
        <v>245</v>
      </c>
      <c r="AT12" s="5" t="s">
        <v>246</v>
      </c>
      <c r="AU12" s="5" t="s">
        <v>238</v>
      </c>
      <c r="AV12" s="5" t="s">
        <v>247</v>
      </c>
      <c r="AW12" s="5" t="s">
        <v>238</v>
      </c>
      <c r="AX12" s="5" t="s">
        <v>249</v>
      </c>
      <c r="AY12" s="5" t="s">
        <v>238</v>
      </c>
      <c r="BA12" s="5" t="s">
        <v>4547</v>
      </c>
      <c r="BC12" s="5" t="s">
        <v>1433</v>
      </c>
      <c r="BD12" s="6" t="s">
        <v>1434</v>
      </c>
      <c r="BE12" s="5" t="s">
        <v>251</v>
      </c>
      <c r="BF12" s="5" t="s">
        <v>252</v>
      </c>
      <c r="BG12" s="5" t="s">
        <v>238</v>
      </c>
      <c r="BH12" s="7">
        <f>0</f>
        <v>0</v>
      </c>
      <c r="BI12" s="8">
        <f>0</f>
        <v>0</v>
      </c>
      <c r="BJ12" s="5" t="s">
        <v>253</v>
      </c>
      <c r="BK12" s="5" t="s">
        <v>254</v>
      </c>
      <c r="BY12" s="5" t="s">
        <v>238</v>
      </c>
      <c r="BZ12" s="5" t="s">
        <v>238</v>
      </c>
      <c r="CD12" s="5" t="s">
        <v>255</v>
      </c>
      <c r="CE12" s="5" t="s">
        <v>256</v>
      </c>
      <c r="CF12" s="5" t="s">
        <v>238</v>
      </c>
      <c r="CI12" s="6" t="s">
        <v>257</v>
      </c>
      <c r="CJ12" s="5" t="s">
        <v>238</v>
      </c>
      <c r="CK12" s="5" t="s">
        <v>258</v>
      </c>
      <c r="CL12" s="5" t="s">
        <v>238</v>
      </c>
      <c r="CM12" s="5" t="s">
        <v>238</v>
      </c>
      <c r="CN12" s="5">
        <v>0</v>
      </c>
      <c r="CO12" s="5" t="s">
        <v>259</v>
      </c>
      <c r="CP12" s="5" t="s">
        <v>260</v>
      </c>
      <c r="CQ12" s="5" t="s">
        <v>260</v>
      </c>
      <c r="CR12" s="5" t="s">
        <v>261</v>
      </c>
      <c r="CU12" s="8">
        <f>4013314</f>
        <v>4013314</v>
      </c>
      <c r="CV12" s="8">
        <f>0</f>
        <v>0</v>
      </c>
      <c r="CX12" s="8">
        <f>0</f>
        <v>0</v>
      </c>
      <c r="CY12" s="8">
        <f>4013314</f>
        <v>4013314</v>
      </c>
      <c r="DA12" s="5" t="s">
        <v>2032</v>
      </c>
      <c r="DB12" s="5" t="s">
        <v>238</v>
      </c>
      <c r="DD12" s="5" t="s">
        <v>2032</v>
      </c>
      <c r="DE12" s="8">
        <f>1811</f>
        <v>1811</v>
      </c>
      <c r="DG12" s="5" t="s">
        <v>389</v>
      </c>
      <c r="DH12" s="5" t="s">
        <v>238</v>
      </c>
      <c r="DI12" s="5" t="s">
        <v>238</v>
      </c>
      <c r="DJ12" s="5" t="s">
        <v>238</v>
      </c>
      <c r="DN12" s="5" t="s">
        <v>238</v>
      </c>
      <c r="DO12" s="5" t="s">
        <v>238</v>
      </c>
      <c r="DP12" s="5" t="s">
        <v>238</v>
      </c>
      <c r="DQ12" s="5" t="s">
        <v>238</v>
      </c>
      <c r="DT12" s="5" t="s">
        <v>4820</v>
      </c>
      <c r="DU12" s="5" t="s">
        <v>264</v>
      </c>
      <c r="HM12" s="5" t="s">
        <v>264</v>
      </c>
    </row>
    <row r="13" spans="1:238" x14ac:dyDescent="0.4">
      <c r="A13" s="5">
        <v>720</v>
      </c>
      <c r="B13" s="5">
        <v>1</v>
      </c>
      <c r="C13" s="5">
        <v>1</v>
      </c>
      <c r="D13" s="5" t="s">
        <v>4849</v>
      </c>
      <c r="E13" s="5" t="s">
        <v>475</v>
      </c>
      <c r="F13" s="5" t="s">
        <v>248</v>
      </c>
      <c r="G13" s="5" t="s">
        <v>4848</v>
      </c>
      <c r="H13" s="6" t="s">
        <v>4850</v>
      </c>
      <c r="I13" s="7">
        <f>1589.97</f>
        <v>1589.97</v>
      </c>
      <c r="J13" s="5" t="s">
        <v>262</v>
      </c>
      <c r="K13" s="8">
        <f>3521783</f>
        <v>3521783</v>
      </c>
      <c r="L13" s="6" t="s">
        <v>242</v>
      </c>
      <c r="M13" s="5" t="s">
        <v>267</v>
      </c>
      <c r="N13" s="5" t="s">
        <v>237</v>
      </c>
      <c r="O13" s="5" t="s">
        <v>238</v>
      </c>
      <c r="P13" s="5" t="s">
        <v>238</v>
      </c>
      <c r="Q13" s="5" t="s">
        <v>239</v>
      </c>
      <c r="R13" s="5" t="s">
        <v>270</v>
      </c>
      <c r="S13" s="5" t="s">
        <v>238</v>
      </c>
      <c r="V13" s="5" t="s">
        <v>238</v>
      </c>
      <c r="X13" s="6" t="s">
        <v>238</v>
      </c>
      <c r="AA13" s="6" t="s">
        <v>243</v>
      </c>
      <c r="AB13" s="5" t="s">
        <v>238</v>
      </c>
      <c r="AC13" s="5" t="s">
        <v>244</v>
      </c>
      <c r="AD13" s="5" t="s">
        <v>245</v>
      </c>
      <c r="AT13" s="5" t="s">
        <v>246</v>
      </c>
      <c r="AU13" s="5" t="s">
        <v>238</v>
      </c>
      <c r="AV13" s="5" t="s">
        <v>247</v>
      </c>
      <c r="AW13" s="5" t="s">
        <v>238</v>
      </c>
      <c r="AX13" s="5" t="s">
        <v>249</v>
      </c>
      <c r="AY13" s="5" t="s">
        <v>238</v>
      </c>
      <c r="BA13" s="5" t="s">
        <v>4547</v>
      </c>
      <c r="BC13" s="5" t="s">
        <v>1433</v>
      </c>
      <c r="BD13" s="6" t="s">
        <v>3877</v>
      </c>
      <c r="BE13" s="5" t="s">
        <v>251</v>
      </c>
      <c r="BF13" s="5" t="s">
        <v>252</v>
      </c>
      <c r="BG13" s="5" t="s">
        <v>238</v>
      </c>
      <c r="BH13" s="7">
        <f>0</f>
        <v>0</v>
      </c>
      <c r="BI13" s="8">
        <f>0</f>
        <v>0</v>
      </c>
      <c r="BJ13" s="5" t="s">
        <v>253</v>
      </c>
      <c r="BK13" s="5" t="s">
        <v>254</v>
      </c>
      <c r="BY13" s="5" t="s">
        <v>238</v>
      </c>
      <c r="BZ13" s="5" t="s">
        <v>238</v>
      </c>
      <c r="CD13" s="5" t="s">
        <v>255</v>
      </c>
      <c r="CE13" s="5" t="s">
        <v>256</v>
      </c>
      <c r="CF13" s="5" t="s">
        <v>238</v>
      </c>
      <c r="CI13" s="6" t="s">
        <v>257</v>
      </c>
      <c r="CJ13" s="5" t="s">
        <v>238</v>
      </c>
      <c r="CK13" s="5" t="s">
        <v>258</v>
      </c>
      <c r="CL13" s="5" t="s">
        <v>238</v>
      </c>
      <c r="CM13" s="5" t="s">
        <v>238</v>
      </c>
      <c r="CN13" s="5">
        <v>0</v>
      </c>
      <c r="CO13" s="5" t="s">
        <v>259</v>
      </c>
      <c r="CP13" s="5" t="s">
        <v>260</v>
      </c>
      <c r="CQ13" s="5" t="s">
        <v>260</v>
      </c>
      <c r="CR13" s="5" t="s">
        <v>261</v>
      </c>
      <c r="CU13" s="8">
        <f>3521783</f>
        <v>3521783</v>
      </c>
      <c r="CV13" s="8">
        <f>0</f>
        <v>0</v>
      </c>
      <c r="CX13" s="8">
        <f>0</f>
        <v>0</v>
      </c>
      <c r="CY13" s="8">
        <f>3521783</f>
        <v>3521783</v>
      </c>
      <c r="DA13" s="5" t="s">
        <v>2032</v>
      </c>
      <c r="DB13" s="5" t="s">
        <v>238</v>
      </c>
      <c r="DD13" s="5" t="s">
        <v>263</v>
      </c>
      <c r="DE13" s="8">
        <f>1589.97</f>
        <v>1589.97</v>
      </c>
      <c r="DG13" s="5" t="s">
        <v>389</v>
      </c>
      <c r="DH13" s="5" t="s">
        <v>238</v>
      </c>
      <c r="DI13" s="5" t="s">
        <v>238</v>
      </c>
      <c r="DJ13" s="5" t="s">
        <v>238</v>
      </c>
      <c r="DN13" s="5" t="s">
        <v>238</v>
      </c>
      <c r="DO13" s="5" t="s">
        <v>238</v>
      </c>
      <c r="DP13" s="5" t="s">
        <v>238</v>
      </c>
      <c r="DQ13" s="5" t="s">
        <v>238</v>
      </c>
      <c r="DT13" s="5" t="s">
        <v>4851</v>
      </c>
      <c r="DU13" s="5" t="s">
        <v>264</v>
      </c>
      <c r="HM13" s="5" t="s">
        <v>264</v>
      </c>
    </row>
    <row r="14" spans="1:238" x14ac:dyDescent="0.4">
      <c r="A14" s="5">
        <v>721</v>
      </c>
      <c r="B14" s="5">
        <v>1</v>
      </c>
      <c r="C14" s="5">
        <v>1</v>
      </c>
      <c r="D14" s="5" t="s">
        <v>4849</v>
      </c>
      <c r="E14" s="5" t="s">
        <v>475</v>
      </c>
      <c r="F14" s="5" t="s">
        <v>248</v>
      </c>
      <c r="G14" s="5" t="s">
        <v>4848</v>
      </c>
      <c r="H14" s="6" t="s">
        <v>4865</v>
      </c>
      <c r="I14" s="7">
        <f>3001</f>
        <v>3001</v>
      </c>
      <c r="J14" s="5" t="s">
        <v>262</v>
      </c>
      <c r="K14" s="8">
        <f>6647215</f>
        <v>6647215</v>
      </c>
      <c r="L14" s="6" t="s">
        <v>242</v>
      </c>
      <c r="M14" s="5" t="s">
        <v>267</v>
      </c>
      <c r="N14" s="5" t="s">
        <v>237</v>
      </c>
      <c r="O14" s="5" t="s">
        <v>238</v>
      </c>
      <c r="P14" s="5" t="s">
        <v>238</v>
      </c>
      <c r="Q14" s="5" t="s">
        <v>239</v>
      </c>
      <c r="R14" s="5" t="s">
        <v>270</v>
      </c>
      <c r="S14" s="5" t="s">
        <v>238</v>
      </c>
      <c r="V14" s="5" t="s">
        <v>238</v>
      </c>
      <c r="X14" s="6" t="s">
        <v>238</v>
      </c>
      <c r="AA14" s="6" t="s">
        <v>243</v>
      </c>
      <c r="AB14" s="5" t="s">
        <v>238</v>
      </c>
      <c r="AC14" s="5" t="s">
        <v>244</v>
      </c>
      <c r="AD14" s="5" t="s">
        <v>245</v>
      </c>
      <c r="AT14" s="5" t="s">
        <v>246</v>
      </c>
      <c r="AU14" s="5" t="s">
        <v>238</v>
      </c>
      <c r="AV14" s="5" t="s">
        <v>247</v>
      </c>
      <c r="AW14" s="5" t="s">
        <v>238</v>
      </c>
      <c r="AX14" s="5" t="s">
        <v>249</v>
      </c>
      <c r="AY14" s="5" t="s">
        <v>238</v>
      </c>
      <c r="BA14" s="5" t="s">
        <v>238</v>
      </c>
      <c r="BC14" s="5" t="s">
        <v>1433</v>
      </c>
      <c r="BD14" s="6" t="s">
        <v>3877</v>
      </c>
      <c r="BE14" s="5" t="s">
        <v>251</v>
      </c>
      <c r="BF14" s="5" t="s">
        <v>252</v>
      </c>
      <c r="BG14" s="5" t="s">
        <v>238</v>
      </c>
      <c r="BH14" s="7">
        <f>0</f>
        <v>0</v>
      </c>
      <c r="BI14" s="8">
        <f>0</f>
        <v>0</v>
      </c>
      <c r="BJ14" s="5" t="s">
        <v>253</v>
      </c>
      <c r="BK14" s="5" t="s">
        <v>254</v>
      </c>
      <c r="BY14" s="5" t="s">
        <v>238</v>
      </c>
      <c r="BZ14" s="5" t="s">
        <v>238</v>
      </c>
      <c r="CD14" s="5" t="s">
        <v>255</v>
      </c>
      <c r="CE14" s="5" t="s">
        <v>256</v>
      </c>
      <c r="CF14" s="5" t="s">
        <v>238</v>
      </c>
      <c r="CI14" s="6" t="s">
        <v>257</v>
      </c>
      <c r="CJ14" s="5" t="s">
        <v>238</v>
      </c>
      <c r="CK14" s="5" t="s">
        <v>258</v>
      </c>
      <c r="CL14" s="5" t="s">
        <v>238</v>
      </c>
      <c r="CM14" s="5" t="s">
        <v>238</v>
      </c>
      <c r="CN14" s="5">
        <v>0</v>
      </c>
      <c r="CO14" s="5" t="s">
        <v>259</v>
      </c>
      <c r="CP14" s="5" t="s">
        <v>260</v>
      </c>
      <c r="CQ14" s="5" t="s">
        <v>260</v>
      </c>
      <c r="CR14" s="5" t="s">
        <v>261</v>
      </c>
      <c r="CU14" s="8">
        <f>6647215</f>
        <v>6647215</v>
      </c>
      <c r="CV14" s="8">
        <f>0</f>
        <v>0</v>
      </c>
      <c r="CX14" s="8">
        <f>0</f>
        <v>0</v>
      </c>
      <c r="CY14" s="8">
        <f>6647215</f>
        <v>6647215</v>
      </c>
      <c r="DA14" s="5" t="s">
        <v>2032</v>
      </c>
      <c r="DB14" s="5" t="s">
        <v>238</v>
      </c>
      <c r="DD14" s="5" t="s">
        <v>2032</v>
      </c>
      <c r="DE14" s="8">
        <f>3001</f>
        <v>3001</v>
      </c>
      <c r="DG14" s="5" t="s">
        <v>389</v>
      </c>
      <c r="DH14" s="5" t="s">
        <v>238</v>
      </c>
      <c r="DI14" s="5" t="s">
        <v>238</v>
      </c>
      <c r="DJ14" s="5" t="s">
        <v>238</v>
      </c>
      <c r="DN14" s="5" t="s">
        <v>238</v>
      </c>
      <c r="DO14" s="5" t="s">
        <v>238</v>
      </c>
      <c r="DP14" s="5" t="s">
        <v>238</v>
      </c>
      <c r="DQ14" s="5" t="s">
        <v>238</v>
      </c>
      <c r="DT14" s="5" t="s">
        <v>4851</v>
      </c>
      <c r="DU14" s="5" t="s">
        <v>294</v>
      </c>
      <c r="HM14" s="5" t="s">
        <v>264</v>
      </c>
    </row>
    <row r="15" spans="1:238" x14ac:dyDescent="0.4">
      <c r="A15" s="5">
        <v>722</v>
      </c>
      <c r="B15" s="5">
        <v>1</v>
      </c>
      <c r="C15" s="5">
        <v>1</v>
      </c>
      <c r="D15" s="5" t="s">
        <v>4912</v>
      </c>
      <c r="E15" s="5" t="s">
        <v>475</v>
      </c>
      <c r="F15" s="5" t="s">
        <v>248</v>
      </c>
      <c r="G15" s="5" t="s">
        <v>4911</v>
      </c>
      <c r="H15" s="6" t="s">
        <v>4913</v>
      </c>
      <c r="I15" s="7">
        <f>546.89</f>
        <v>546.89</v>
      </c>
      <c r="J15" s="5" t="s">
        <v>262</v>
      </c>
      <c r="K15" s="8">
        <f>4703254</f>
        <v>4703254</v>
      </c>
      <c r="L15" s="6" t="s">
        <v>242</v>
      </c>
      <c r="M15" s="5" t="s">
        <v>267</v>
      </c>
      <c r="N15" s="5" t="s">
        <v>237</v>
      </c>
      <c r="O15" s="5" t="s">
        <v>238</v>
      </c>
      <c r="P15" s="5" t="s">
        <v>238</v>
      </c>
      <c r="Q15" s="5" t="s">
        <v>239</v>
      </c>
      <c r="R15" s="5" t="s">
        <v>270</v>
      </c>
      <c r="S15" s="5" t="s">
        <v>238</v>
      </c>
      <c r="V15" s="5" t="s">
        <v>238</v>
      </c>
      <c r="X15" s="6" t="s">
        <v>238</v>
      </c>
      <c r="AA15" s="6" t="s">
        <v>243</v>
      </c>
      <c r="AB15" s="5" t="s">
        <v>238</v>
      </c>
      <c r="AC15" s="5" t="s">
        <v>244</v>
      </c>
      <c r="AD15" s="5" t="s">
        <v>245</v>
      </c>
      <c r="AT15" s="5" t="s">
        <v>246</v>
      </c>
      <c r="AU15" s="5" t="s">
        <v>238</v>
      </c>
      <c r="AV15" s="5" t="s">
        <v>247</v>
      </c>
      <c r="AW15" s="5" t="s">
        <v>238</v>
      </c>
      <c r="AX15" s="5" t="s">
        <v>249</v>
      </c>
      <c r="AY15" s="5" t="s">
        <v>238</v>
      </c>
      <c r="BA15" s="5" t="s">
        <v>4547</v>
      </c>
      <c r="BC15" s="5" t="s">
        <v>1433</v>
      </c>
      <c r="BD15" s="6" t="s">
        <v>3877</v>
      </c>
      <c r="BE15" s="5" t="s">
        <v>251</v>
      </c>
      <c r="BF15" s="5" t="s">
        <v>252</v>
      </c>
      <c r="BG15" s="5" t="s">
        <v>238</v>
      </c>
      <c r="BH15" s="7">
        <f>0</f>
        <v>0</v>
      </c>
      <c r="BI15" s="8">
        <f>0</f>
        <v>0</v>
      </c>
      <c r="BJ15" s="5" t="s">
        <v>253</v>
      </c>
      <c r="BK15" s="5" t="s">
        <v>254</v>
      </c>
      <c r="BY15" s="5" t="s">
        <v>238</v>
      </c>
      <c r="BZ15" s="5" t="s">
        <v>238</v>
      </c>
      <c r="CD15" s="5" t="s">
        <v>255</v>
      </c>
      <c r="CE15" s="5" t="s">
        <v>256</v>
      </c>
      <c r="CF15" s="5" t="s">
        <v>238</v>
      </c>
      <c r="CI15" s="6" t="s">
        <v>257</v>
      </c>
      <c r="CJ15" s="5" t="s">
        <v>238</v>
      </c>
      <c r="CK15" s="5" t="s">
        <v>258</v>
      </c>
      <c r="CL15" s="5" t="s">
        <v>238</v>
      </c>
      <c r="CM15" s="5" t="s">
        <v>238</v>
      </c>
      <c r="CN15" s="5">
        <v>0</v>
      </c>
      <c r="CO15" s="5" t="s">
        <v>259</v>
      </c>
      <c r="CP15" s="5" t="s">
        <v>260</v>
      </c>
      <c r="CQ15" s="5" t="s">
        <v>260</v>
      </c>
      <c r="CR15" s="5" t="s">
        <v>261</v>
      </c>
      <c r="CU15" s="8">
        <f>4703254</f>
        <v>4703254</v>
      </c>
      <c r="CV15" s="8">
        <f>0</f>
        <v>0</v>
      </c>
      <c r="CX15" s="8">
        <f>0</f>
        <v>0</v>
      </c>
      <c r="CY15" s="8">
        <f>4703254</f>
        <v>4703254</v>
      </c>
      <c r="DA15" s="5" t="s">
        <v>263</v>
      </c>
      <c r="DB15" s="5" t="s">
        <v>238</v>
      </c>
      <c r="DD15" s="5" t="s">
        <v>263</v>
      </c>
      <c r="DE15" s="8">
        <f>546.89</f>
        <v>546.89</v>
      </c>
      <c r="DG15" s="5" t="s">
        <v>263</v>
      </c>
      <c r="DH15" s="5" t="s">
        <v>238</v>
      </c>
      <c r="DI15" s="5" t="s">
        <v>238</v>
      </c>
      <c r="DJ15" s="5" t="s">
        <v>238</v>
      </c>
      <c r="DN15" s="5" t="s">
        <v>238</v>
      </c>
      <c r="DO15" s="5" t="s">
        <v>238</v>
      </c>
      <c r="DP15" s="5" t="s">
        <v>238</v>
      </c>
      <c r="DQ15" s="5" t="s">
        <v>238</v>
      </c>
      <c r="DT15" s="5" t="s">
        <v>4914</v>
      </c>
      <c r="DU15" s="5" t="s">
        <v>264</v>
      </c>
      <c r="HM15" s="5" t="s">
        <v>264</v>
      </c>
    </row>
    <row r="16" spans="1:238" x14ac:dyDescent="0.4">
      <c r="A16" s="5">
        <v>723</v>
      </c>
      <c r="B16" s="5">
        <v>1</v>
      </c>
      <c r="C16" s="5">
        <v>1</v>
      </c>
      <c r="D16" s="5" t="s">
        <v>4912</v>
      </c>
      <c r="E16" s="5" t="s">
        <v>475</v>
      </c>
      <c r="F16" s="5" t="s">
        <v>248</v>
      </c>
      <c r="G16" s="5" t="s">
        <v>4911</v>
      </c>
      <c r="H16" s="6" t="s">
        <v>4979</v>
      </c>
      <c r="I16" s="7">
        <f>1282.85</f>
        <v>1282.8499999999999</v>
      </c>
      <c r="J16" s="5" t="s">
        <v>262</v>
      </c>
      <c r="K16" s="8">
        <f>11032510</f>
        <v>11032510</v>
      </c>
      <c r="L16" s="6" t="s">
        <v>242</v>
      </c>
      <c r="M16" s="5" t="s">
        <v>267</v>
      </c>
      <c r="N16" s="5" t="s">
        <v>237</v>
      </c>
      <c r="O16" s="5" t="s">
        <v>238</v>
      </c>
      <c r="P16" s="5" t="s">
        <v>238</v>
      </c>
      <c r="Q16" s="5" t="s">
        <v>239</v>
      </c>
      <c r="R16" s="5" t="s">
        <v>270</v>
      </c>
      <c r="S16" s="5" t="s">
        <v>238</v>
      </c>
      <c r="V16" s="5" t="s">
        <v>238</v>
      </c>
      <c r="X16" s="6" t="s">
        <v>238</v>
      </c>
      <c r="AA16" s="6" t="s">
        <v>243</v>
      </c>
      <c r="AB16" s="5" t="s">
        <v>238</v>
      </c>
      <c r="AC16" s="5" t="s">
        <v>244</v>
      </c>
      <c r="AD16" s="5" t="s">
        <v>245</v>
      </c>
      <c r="AT16" s="5" t="s">
        <v>246</v>
      </c>
      <c r="AU16" s="5" t="s">
        <v>238</v>
      </c>
      <c r="AV16" s="5" t="s">
        <v>247</v>
      </c>
      <c r="AW16" s="5" t="s">
        <v>238</v>
      </c>
      <c r="AX16" s="5" t="s">
        <v>249</v>
      </c>
      <c r="AY16" s="5" t="s">
        <v>238</v>
      </c>
      <c r="BA16" s="5" t="s">
        <v>238</v>
      </c>
      <c r="BC16" s="5" t="s">
        <v>250</v>
      </c>
      <c r="BD16" s="6" t="s">
        <v>243</v>
      </c>
      <c r="BE16" s="5" t="s">
        <v>251</v>
      </c>
      <c r="BF16" s="5" t="s">
        <v>252</v>
      </c>
      <c r="BG16" s="5" t="s">
        <v>238</v>
      </c>
      <c r="BH16" s="7">
        <f>0</f>
        <v>0</v>
      </c>
      <c r="BI16" s="8">
        <f>0</f>
        <v>0</v>
      </c>
      <c r="BJ16" s="5" t="s">
        <v>253</v>
      </c>
      <c r="BK16" s="5" t="s">
        <v>254</v>
      </c>
      <c r="BY16" s="5" t="s">
        <v>238</v>
      </c>
      <c r="BZ16" s="5" t="s">
        <v>238</v>
      </c>
      <c r="CD16" s="5" t="s">
        <v>255</v>
      </c>
      <c r="CE16" s="5" t="s">
        <v>256</v>
      </c>
      <c r="CF16" s="5" t="s">
        <v>238</v>
      </c>
      <c r="CI16" s="6" t="s">
        <v>257</v>
      </c>
      <c r="CJ16" s="5" t="s">
        <v>238</v>
      </c>
      <c r="CK16" s="5" t="s">
        <v>258</v>
      </c>
      <c r="CL16" s="5" t="s">
        <v>238</v>
      </c>
      <c r="CM16" s="5" t="s">
        <v>238</v>
      </c>
      <c r="CN16" s="5">
        <v>0</v>
      </c>
      <c r="CO16" s="5" t="s">
        <v>259</v>
      </c>
      <c r="CP16" s="5" t="s">
        <v>260</v>
      </c>
      <c r="CQ16" s="5" t="s">
        <v>260</v>
      </c>
      <c r="CR16" s="5" t="s">
        <v>261</v>
      </c>
      <c r="CU16" s="8">
        <f>11032510</f>
        <v>11032510</v>
      </c>
      <c r="CV16" s="8">
        <f>0</f>
        <v>0</v>
      </c>
      <c r="CX16" s="8">
        <f>0</f>
        <v>0</v>
      </c>
      <c r="CY16" s="8">
        <f>11032510</f>
        <v>11032510</v>
      </c>
      <c r="DA16" s="5" t="s">
        <v>263</v>
      </c>
      <c r="DB16" s="5" t="s">
        <v>238</v>
      </c>
      <c r="DD16" s="5" t="s">
        <v>263</v>
      </c>
      <c r="DE16" s="8">
        <f>1282.85</f>
        <v>1282.8499999999999</v>
      </c>
      <c r="DG16" s="5" t="s">
        <v>263</v>
      </c>
      <c r="DH16" s="5" t="s">
        <v>238</v>
      </c>
      <c r="DI16" s="5" t="s">
        <v>238</v>
      </c>
      <c r="DJ16" s="5" t="s">
        <v>238</v>
      </c>
      <c r="DN16" s="5" t="s">
        <v>238</v>
      </c>
      <c r="DO16" s="5" t="s">
        <v>238</v>
      </c>
      <c r="DP16" s="5" t="s">
        <v>238</v>
      </c>
      <c r="DQ16" s="5" t="s">
        <v>238</v>
      </c>
      <c r="DT16" s="5" t="s">
        <v>4914</v>
      </c>
      <c r="DU16" s="5" t="s">
        <v>294</v>
      </c>
      <c r="HM16" s="5" t="s">
        <v>264</v>
      </c>
    </row>
    <row r="17" spans="1:221" x14ac:dyDescent="0.4">
      <c r="A17" s="5">
        <v>724</v>
      </c>
      <c r="B17" s="5">
        <v>1</v>
      </c>
      <c r="C17" s="5">
        <v>1</v>
      </c>
      <c r="D17" s="5" t="s">
        <v>4912</v>
      </c>
      <c r="E17" s="5" t="s">
        <v>475</v>
      </c>
      <c r="F17" s="5" t="s">
        <v>248</v>
      </c>
      <c r="G17" s="5" t="s">
        <v>4911</v>
      </c>
      <c r="H17" s="6" t="s">
        <v>4987</v>
      </c>
      <c r="I17" s="7">
        <f>11.21</f>
        <v>11.21</v>
      </c>
      <c r="J17" s="5" t="s">
        <v>262</v>
      </c>
      <c r="K17" s="8">
        <f>24830</f>
        <v>24830</v>
      </c>
      <c r="L17" s="6" t="s">
        <v>242</v>
      </c>
      <c r="M17" s="5" t="s">
        <v>267</v>
      </c>
      <c r="N17" s="5" t="s">
        <v>237</v>
      </c>
      <c r="O17" s="5" t="s">
        <v>238</v>
      </c>
      <c r="P17" s="5" t="s">
        <v>238</v>
      </c>
      <c r="Q17" s="5" t="s">
        <v>239</v>
      </c>
      <c r="R17" s="5" t="s">
        <v>270</v>
      </c>
      <c r="S17" s="5" t="s">
        <v>238</v>
      </c>
      <c r="V17" s="5" t="s">
        <v>238</v>
      </c>
      <c r="X17" s="6" t="s">
        <v>238</v>
      </c>
      <c r="AA17" s="6" t="s">
        <v>243</v>
      </c>
      <c r="AB17" s="5" t="s">
        <v>238</v>
      </c>
      <c r="AC17" s="5" t="s">
        <v>244</v>
      </c>
      <c r="AD17" s="5" t="s">
        <v>245</v>
      </c>
      <c r="AT17" s="5" t="s">
        <v>246</v>
      </c>
      <c r="AU17" s="5" t="s">
        <v>238</v>
      </c>
      <c r="AV17" s="5" t="s">
        <v>247</v>
      </c>
      <c r="AW17" s="5" t="s">
        <v>238</v>
      </c>
      <c r="AX17" s="5" t="s">
        <v>249</v>
      </c>
      <c r="AY17" s="5" t="s">
        <v>238</v>
      </c>
      <c r="BA17" s="5" t="s">
        <v>238</v>
      </c>
      <c r="BC17" s="5" t="s">
        <v>250</v>
      </c>
      <c r="BD17" s="6" t="s">
        <v>243</v>
      </c>
      <c r="BE17" s="5" t="s">
        <v>251</v>
      </c>
      <c r="BF17" s="5" t="s">
        <v>252</v>
      </c>
      <c r="BG17" s="5" t="s">
        <v>238</v>
      </c>
      <c r="BH17" s="7">
        <f>0</f>
        <v>0</v>
      </c>
      <c r="BI17" s="8">
        <f>0</f>
        <v>0</v>
      </c>
      <c r="BJ17" s="5" t="s">
        <v>253</v>
      </c>
      <c r="BK17" s="5" t="s">
        <v>254</v>
      </c>
      <c r="BY17" s="5" t="s">
        <v>238</v>
      </c>
      <c r="BZ17" s="5" t="s">
        <v>238</v>
      </c>
      <c r="CD17" s="5" t="s">
        <v>255</v>
      </c>
      <c r="CE17" s="5" t="s">
        <v>256</v>
      </c>
      <c r="CF17" s="5" t="s">
        <v>238</v>
      </c>
      <c r="CI17" s="6" t="s">
        <v>257</v>
      </c>
      <c r="CJ17" s="5" t="s">
        <v>238</v>
      </c>
      <c r="CK17" s="5" t="s">
        <v>258</v>
      </c>
      <c r="CL17" s="5" t="s">
        <v>238</v>
      </c>
      <c r="CM17" s="5" t="s">
        <v>238</v>
      </c>
      <c r="CN17" s="5">
        <v>0</v>
      </c>
      <c r="CO17" s="5" t="s">
        <v>259</v>
      </c>
      <c r="CP17" s="5" t="s">
        <v>260</v>
      </c>
      <c r="CQ17" s="5" t="s">
        <v>260</v>
      </c>
      <c r="CR17" s="5" t="s">
        <v>261</v>
      </c>
      <c r="CU17" s="8">
        <f>24830</f>
        <v>24830</v>
      </c>
      <c r="CV17" s="8">
        <f>0</f>
        <v>0</v>
      </c>
      <c r="CX17" s="8">
        <f>0</f>
        <v>0</v>
      </c>
      <c r="CY17" s="8">
        <f>24830</f>
        <v>24830</v>
      </c>
      <c r="DA17" s="5" t="s">
        <v>2032</v>
      </c>
      <c r="DB17" s="5" t="s">
        <v>238</v>
      </c>
      <c r="DD17" s="5" t="s">
        <v>263</v>
      </c>
      <c r="DE17" s="8">
        <f>11.21</f>
        <v>11.21</v>
      </c>
      <c r="DG17" s="5" t="s">
        <v>389</v>
      </c>
      <c r="DH17" s="5" t="s">
        <v>238</v>
      </c>
      <c r="DI17" s="5" t="s">
        <v>238</v>
      </c>
      <c r="DJ17" s="5" t="s">
        <v>238</v>
      </c>
      <c r="DN17" s="5" t="s">
        <v>238</v>
      </c>
      <c r="DO17" s="5" t="s">
        <v>238</v>
      </c>
      <c r="DP17" s="5" t="s">
        <v>238</v>
      </c>
      <c r="DQ17" s="5" t="s">
        <v>238</v>
      </c>
      <c r="DT17" s="5" t="s">
        <v>4914</v>
      </c>
      <c r="DU17" s="5" t="s">
        <v>806</v>
      </c>
      <c r="HM17" s="5" t="s">
        <v>264</v>
      </c>
    </row>
    <row r="18" spans="1:221" x14ac:dyDescent="0.4">
      <c r="A18" s="5">
        <v>725</v>
      </c>
      <c r="B18" s="5">
        <v>1</v>
      </c>
      <c r="C18" s="5">
        <v>1</v>
      </c>
      <c r="D18" s="5" t="s">
        <v>4994</v>
      </c>
      <c r="E18" s="5" t="s">
        <v>475</v>
      </c>
      <c r="F18" s="5" t="s">
        <v>248</v>
      </c>
      <c r="G18" s="5" t="s">
        <v>4993</v>
      </c>
      <c r="H18" s="6" t="s">
        <v>4996</v>
      </c>
      <c r="I18" s="7">
        <f>2471.85</f>
        <v>2471.85</v>
      </c>
      <c r="J18" s="5" t="s">
        <v>262</v>
      </c>
      <c r="K18" s="8">
        <f>5475147</f>
        <v>5475147</v>
      </c>
      <c r="L18" s="6" t="s">
        <v>242</v>
      </c>
      <c r="M18" s="5" t="s">
        <v>267</v>
      </c>
      <c r="N18" s="5" t="s">
        <v>237</v>
      </c>
      <c r="O18" s="5" t="s">
        <v>238</v>
      </c>
      <c r="P18" s="5" t="s">
        <v>238</v>
      </c>
      <c r="Q18" s="5" t="s">
        <v>239</v>
      </c>
      <c r="R18" s="5" t="s">
        <v>270</v>
      </c>
      <c r="S18" s="5" t="s">
        <v>238</v>
      </c>
      <c r="V18" s="5" t="s">
        <v>238</v>
      </c>
      <c r="X18" s="6" t="s">
        <v>238</v>
      </c>
      <c r="AA18" s="6" t="s">
        <v>243</v>
      </c>
      <c r="AB18" s="5" t="s">
        <v>4995</v>
      </c>
      <c r="AC18" s="5" t="s">
        <v>244</v>
      </c>
      <c r="AD18" s="5" t="s">
        <v>245</v>
      </c>
      <c r="AT18" s="5" t="s">
        <v>246</v>
      </c>
      <c r="AU18" s="5" t="s">
        <v>238</v>
      </c>
      <c r="AV18" s="5" t="s">
        <v>247</v>
      </c>
      <c r="AW18" s="5" t="s">
        <v>238</v>
      </c>
      <c r="AX18" s="5" t="s">
        <v>249</v>
      </c>
      <c r="AY18" s="5" t="s">
        <v>238</v>
      </c>
      <c r="BA18" s="5" t="s">
        <v>4547</v>
      </c>
      <c r="BC18" s="5" t="s">
        <v>250</v>
      </c>
      <c r="BD18" s="6" t="s">
        <v>243</v>
      </c>
      <c r="BE18" s="5" t="s">
        <v>251</v>
      </c>
      <c r="BF18" s="5" t="s">
        <v>252</v>
      </c>
      <c r="BG18" s="5" t="s">
        <v>238</v>
      </c>
      <c r="BH18" s="7">
        <f>0</f>
        <v>0</v>
      </c>
      <c r="BI18" s="8">
        <f>0</f>
        <v>0</v>
      </c>
      <c r="BJ18" s="5" t="s">
        <v>253</v>
      </c>
      <c r="BK18" s="5" t="s">
        <v>254</v>
      </c>
      <c r="BY18" s="5" t="s">
        <v>238</v>
      </c>
      <c r="BZ18" s="5" t="s">
        <v>238</v>
      </c>
      <c r="CD18" s="5" t="s">
        <v>255</v>
      </c>
      <c r="CE18" s="5" t="s">
        <v>256</v>
      </c>
      <c r="CF18" s="5" t="s">
        <v>238</v>
      </c>
      <c r="CI18" s="6" t="s">
        <v>257</v>
      </c>
      <c r="CJ18" s="5" t="s">
        <v>238</v>
      </c>
      <c r="CK18" s="5" t="s">
        <v>258</v>
      </c>
      <c r="CL18" s="5" t="s">
        <v>238</v>
      </c>
      <c r="CM18" s="5" t="s">
        <v>238</v>
      </c>
      <c r="CN18" s="5">
        <v>0</v>
      </c>
      <c r="CO18" s="5" t="s">
        <v>259</v>
      </c>
      <c r="CP18" s="5" t="s">
        <v>260</v>
      </c>
      <c r="CQ18" s="5" t="s">
        <v>260</v>
      </c>
      <c r="CR18" s="5" t="s">
        <v>261</v>
      </c>
      <c r="CU18" s="8">
        <f>5475147</f>
        <v>5475147</v>
      </c>
      <c r="CV18" s="8">
        <f>0</f>
        <v>0</v>
      </c>
      <c r="CX18" s="8">
        <f>0</f>
        <v>0</v>
      </c>
      <c r="CY18" s="8">
        <f>5475147</f>
        <v>5475147</v>
      </c>
      <c r="DA18" s="5" t="s">
        <v>2032</v>
      </c>
      <c r="DB18" s="5" t="s">
        <v>238</v>
      </c>
      <c r="DD18" s="5" t="s">
        <v>2032</v>
      </c>
      <c r="DE18" s="8">
        <f>2471</f>
        <v>2471</v>
      </c>
      <c r="DG18" s="5" t="s">
        <v>389</v>
      </c>
      <c r="DH18" s="5" t="s">
        <v>238</v>
      </c>
      <c r="DI18" s="5" t="s">
        <v>238</v>
      </c>
      <c r="DJ18" s="5" t="s">
        <v>238</v>
      </c>
      <c r="DN18" s="5" t="s">
        <v>238</v>
      </c>
      <c r="DO18" s="5" t="s">
        <v>238</v>
      </c>
      <c r="DP18" s="5" t="s">
        <v>238</v>
      </c>
      <c r="DQ18" s="5" t="s">
        <v>238</v>
      </c>
      <c r="DT18" s="5" t="s">
        <v>4997</v>
      </c>
      <c r="DU18" s="5" t="s">
        <v>264</v>
      </c>
      <c r="HM18" s="5" t="s">
        <v>264</v>
      </c>
    </row>
    <row r="19" spans="1:221" x14ac:dyDescent="0.4">
      <c r="A19" s="5">
        <v>726</v>
      </c>
      <c r="B19" s="5">
        <v>1</v>
      </c>
      <c r="C19" s="5">
        <v>1</v>
      </c>
      <c r="D19" s="5" t="s">
        <v>5003</v>
      </c>
      <c r="E19" s="5" t="s">
        <v>475</v>
      </c>
      <c r="F19" s="5" t="s">
        <v>248</v>
      </c>
      <c r="G19" s="5" t="s">
        <v>5002</v>
      </c>
      <c r="H19" s="6" t="s">
        <v>5004</v>
      </c>
      <c r="I19" s="7">
        <f>2496</f>
        <v>2496</v>
      </c>
      <c r="J19" s="5" t="s">
        <v>262</v>
      </c>
      <c r="K19" s="8">
        <f>5528640</f>
        <v>5528640</v>
      </c>
      <c r="L19" s="6" t="s">
        <v>242</v>
      </c>
      <c r="M19" s="5" t="s">
        <v>267</v>
      </c>
      <c r="N19" s="5" t="s">
        <v>237</v>
      </c>
      <c r="O19" s="5" t="s">
        <v>238</v>
      </c>
      <c r="P19" s="5" t="s">
        <v>238</v>
      </c>
      <c r="Q19" s="5" t="s">
        <v>239</v>
      </c>
      <c r="R19" s="5" t="s">
        <v>270</v>
      </c>
      <c r="S19" s="5" t="s">
        <v>238</v>
      </c>
      <c r="V19" s="5" t="s">
        <v>238</v>
      </c>
      <c r="X19" s="6" t="s">
        <v>238</v>
      </c>
      <c r="AA19" s="6" t="s">
        <v>243</v>
      </c>
      <c r="AB19" s="5" t="s">
        <v>238</v>
      </c>
      <c r="AC19" s="5" t="s">
        <v>244</v>
      </c>
      <c r="AD19" s="5" t="s">
        <v>245</v>
      </c>
      <c r="AT19" s="5" t="s">
        <v>246</v>
      </c>
      <c r="AU19" s="5" t="s">
        <v>238</v>
      </c>
      <c r="AV19" s="5" t="s">
        <v>247</v>
      </c>
      <c r="AW19" s="5" t="s">
        <v>238</v>
      </c>
      <c r="AX19" s="5" t="s">
        <v>249</v>
      </c>
      <c r="AY19" s="5" t="s">
        <v>238</v>
      </c>
      <c r="BA19" s="5" t="s">
        <v>4547</v>
      </c>
      <c r="BC19" s="5" t="s">
        <v>250</v>
      </c>
      <c r="BD19" s="6" t="s">
        <v>243</v>
      </c>
      <c r="BE19" s="5" t="s">
        <v>251</v>
      </c>
      <c r="BF19" s="5" t="s">
        <v>252</v>
      </c>
      <c r="BG19" s="5" t="s">
        <v>238</v>
      </c>
      <c r="BH19" s="7">
        <f>0</f>
        <v>0</v>
      </c>
      <c r="BI19" s="8">
        <f>0</f>
        <v>0</v>
      </c>
      <c r="BJ19" s="5" t="s">
        <v>253</v>
      </c>
      <c r="BK19" s="5" t="s">
        <v>254</v>
      </c>
      <c r="BY19" s="5" t="s">
        <v>238</v>
      </c>
      <c r="BZ19" s="5" t="s">
        <v>238</v>
      </c>
      <c r="CD19" s="5" t="s">
        <v>255</v>
      </c>
      <c r="CE19" s="5" t="s">
        <v>256</v>
      </c>
      <c r="CF19" s="5" t="s">
        <v>238</v>
      </c>
      <c r="CI19" s="6" t="s">
        <v>257</v>
      </c>
      <c r="CJ19" s="5" t="s">
        <v>238</v>
      </c>
      <c r="CK19" s="5" t="s">
        <v>258</v>
      </c>
      <c r="CL19" s="5" t="s">
        <v>238</v>
      </c>
      <c r="CM19" s="5" t="s">
        <v>238</v>
      </c>
      <c r="CN19" s="5">
        <v>0</v>
      </c>
      <c r="CO19" s="5" t="s">
        <v>259</v>
      </c>
      <c r="CP19" s="5" t="s">
        <v>260</v>
      </c>
      <c r="CQ19" s="5" t="s">
        <v>260</v>
      </c>
      <c r="CR19" s="5" t="s">
        <v>261</v>
      </c>
      <c r="CU19" s="8">
        <f>5528640</f>
        <v>5528640</v>
      </c>
      <c r="CV19" s="8">
        <f>0</f>
        <v>0</v>
      </c>
      <c r="CX19" s="8">
        <f>0</f>
        <v>0</v>
      </c>
      <c r="CY19" s="8">
        <f>5528640</f>
        <v>5528640</v>
      </c>
      <c r="DA19" s="5" t="s">
        <v>2032</v>
      </c>
      <c r="DB19" s="5" t="s">
        <v>238</v>
      </c>
      <c r="DD19" s="5" t="s">
        <v>389</v>
      </c>
      <c r="DE19" s="8">
        <f>2496</f>
        <v>2496</v>
      </c>
      <c r="DG19" s="5" t="s">
        <v>389</v>
      </c>
      <c r="DH19" s="5" t="s">
        <v>238</v>
      </c>
      <c r="DI19" s="5" t="s">
        <v>238</v>
      </c>
      <c r="DJ19" s="5" t="s">
        <v>238</v>
      </c>
      <c r="DN19" s="5" t="s">
        <v>238</v>
      </c>
      <c r="DO19" s="5" t="s">
        <v>238</v>
      </c>
      <c r="DP19" s="5" t="s">
        <v>238</v>
      </c>
      <c r="DQ19" s="5" t="s">
        <v>238</v>
      </c>
      <c r="DT19" s="5" t="s">
        <v>5005</v>
      </c>
      <c r="DU19" s="5" t="s">
        <v>264</v>
      </c>
      <c r="HM19" s="5" t="s">
        <v>264</v>
      </c>
    </row>
    <row r="20" spans="1:221" x14ac:dyDescent="0.4">
      <c r="A20" s="5">
        <v>727</v>
      </c>
      <c r="B20" s="5">
        <v>1</v>
      </c>
      <c r="C20" s="5">
        <v>1</v>
      </c>
      <c r="D20" s="5" t="s">
        <v>5010</v>
      </c>
      <c r="E20" s="5" t="s">
        <v>437</v>
      </c>
      <c r="F20" s="5" t="s">
        <v>248</v>
      </c>
      <c r="G20" s="5" t="s">
        <v>5009</v>
      </c>
      <c r="H20" s="6" t="s">
        <v>3878</v>
      </c>
      <c r="I20" s="7">
        <f>20493.2</f>
        <v>20493.2</v>
      </c>
      <c r="J20" s="5" t="s">
        <v>262</v>
      </c>
      <c r="K20" s="8">
        <f>45392438</f>
        <v>45392438</v>
      </c>
      <c r="L20" s="6" t="s">
        <v>242</v>
      </c>
      <c r="M20" s="5" t="s">
        <v>267</v>
      </c>
      <c r="N20" s="5" t="s">
        <v>237</v>
      </c>
      <c r="O20" s="5" t="s">
        <v>238</v>
      </c>
      <c r="P20" s="5" t="s">
        <v>238</v>
      </c>
      <c r="Q20" s="5" t="s">
        <v>239</v>
      </c>
      <c r="R20" s="5" t="s">
        <v>270</v>
      </c>
      <c r="S20" s="5" t="s">
        <v>238</v>
      </c>
      <c r="V20" s="5" t="s">
        <v>238</v>
      </c>
      <c r="X20" s="6" t="s">
        <v>238</v>
      </c>
      <c r="AA20" s="6" t="s">
        <v>243</v>
      </c>
      <c r="AB20" s="5" t="s">
        <v>5011</v>
      </c>
      <c r="AC20" s="5" t="s">
        <v>244</v>
      </c>
      <c r="AD20" s="5" t="s">
        <v>245</v>
      </c>
      <c r="AT20" s="5" t="s">
        <v>246</v>
      </c>
      <c r="AU20" s="5" t="s">
        <v>238</v>
      </c>
      <c r="AV20" s="5" t="s">
        <v>247</v>
      </c>
      <c r="AW20" s="5" t="s">
        <v>238</v>
      </c>
      <c r="AX20" s="5" t="s">
        <v>249</v>
      </c>
      <c r="AY20" s="5" t="s">
        <v>238</v>
      </c>
      <c r="BA20" s="5" t="s">
        <v>4547</v>
      </c>
      <c r="BC20" s="5" t="s">
        <v>250</v>
      </c>
      <c r="BD20" s="6" t="s">
        <v>243</v>
      </c>
      <c r="BE20" s="5" t="s">
        <v>251</v>
      </c>
      <c r="BF20" s="5" t="s">
        <v>3882</v>
      </c>
      <c r="BG20" s="5" t="s">
        <v>238</v>
      </c>
      <c r="BH20" s="7">
        <f>0</f>
        <v>0</v>
      </c>
      <c r="BI20" s="8">
        <f>0</f>
        <v>0</v>
      </c>
      <c r="BJ20" s="5" t="s">
        <v>253</v>
      </c>
      <c r="BK20" s="5" t="s">
        <v>254</v>
      </c>
      <c r="BY20" s="5" t="s">
        <v>238</v>
      </c>
      <c r="BZ20" s="5" t="s">
        <v>238</v>
      </c>
      <c r="CD20" s="5" t="s">
        <v>255</v>
      </c>
      <c r="CE20" s="5" t="s">
        <v>256</v>
      </c>
      <c r="CF20" s="5" t="s">
        <v>238</v>
      </c>
      <c r="CI20" s="6" t="s">
        <v>257</v>
      </c>
      <c r="CJ20" s="5" t="s">
        <v>238</v>
      </c>
      <c r="CK20" s="5" t="s">
        <v>258</v>
      </c>
      <c r="CL20" s="5" t="s">
        <v>238</v>
      </c>
      <c r="CM20" s="5" t="s">
        <v>238</v>
      </c>
      <c r="CN20" s="5">
        <v>0</v>
      </c>
      <c r="CO20" s="5" t="s">
        <v>259</v>
      </c>
      <c r="CP20" s="5" t="s">
        <v>260</v>
      </c>
      <c r="CQ20" s="5" t="s">
        <v>260</v>
      </c>
      <c r="CR20" s="5" t="s">
        <v>261</v>
      </c>
      <c r="CU20" s="8">
        <f>45392438</f>
        <v>45392438</v>
      </c>
      <c r="CV20" s="8">
        <f>0</f>
        <v>0</v>
      </c>
      <c r="CX20" s="8">
        <f>0</f>
        <v>0</v>
      </c>
      <c r="CY20" s="8">
        <f>45392438</f>
        <v>45392438</v>
      </c>
      <c r="DA20" s="5" t="s">
        <v>389</v>
      </c>
      <c r="DB20" s="5" t="s">
        <v>238</v>
      </c>
      <c r="DD20" s="5" t="s">
        <v>389</v>
      </c>
      <c r="DE20" s="8">
        <f>20493.2</f>
        <v>20493.2</v>
      </c>
      <c r="DG20" s="5" t="s">
        <v>389</v>
      </c>
      <c r="DH20" s="5" t="s">
        <v>238</v>
      </c>
      <c r="DI20" s="5" t="s">
        <v>238</v>
      </c>
      <c r="DJ20" s="5" t="s">
        <v>238</v>
      </c>
      <c r="DN20" s="5" t="s">
        <v>238</v>
      </c>
      <c r="DO20" s="5" t="s">
        <v>238</v>
      </c>
      <c r="DP20" s="5" t="s">
        <v>238</v>
      </c>
      <c r="DQ20" s="5" t="s">
        <v>238</v>
      </c>
      <c r="DT20" s="5" t="s">
        <v>5012</v>
      </c>
      <c r="DU20" s="5" t="s">
        <v>264</v>
      </c>
      <c r="HM20" s="5" t="s">
        <v>911</v>
      </c>
    </row>
    <row r="21" spans="1:221" x14ac:dyDescent="0.4">
      <c r="A21" s="5">
        <v>728</v>
      </c>
      <c r="B21" s="5">
        <v>1</v>
      </c>
      <c r="C21" s="5">
        <v>1</v>
      </c>
      <c r="D21" s="5" t="s">
        <v>5015</v>
      </c>
      <c r="E21" s="5" t="s">
        <v>475</v>
      </c>
      <c r="F21" s="5" t="s">
        <v>248</v>
      </c>
      <c r="G21" s="5" t="s">
        <v>5014</v>
      </c>
      <c r="H21" s="6" t="s">
        <v>5019</v>
      </c>
      <c r="I21" s="7">
        <f>2758</f>
        <v>2758</v>
      </c>
      <c r="J21" s="5" t="s">
        <v>262</v>
      </c>
      <c r="K21" s="8">
        <f>6108970</f>
        <v>6108970</v>
      </c>
      <c r="L21" s="6" t="s">
        <v>242</v>
      </c>
      <c r="M21" s="5" t="s">
        <v>267</v>
      </c>
      <c r="N21" s="5" t="s">
        <v>237</v>
      </c>
      <c r="O21" s="5" t="s">
        <v>238</v>
      </c>
      <c r="P21" s="5" t="s">
        <v>238</v>
      </c>
      <c r="Q21" s="5" t="s">
        <v>239</v>
      </c>
      <c r="R21" s="5" t="s">
        <v>270</v>
      </c>
      <c r="S21" s="5" t="s">
        <v>238</v>
      </c>
      <c r="V21" s="5" t="s">
        <v>238</v>
      </c>
      <c r="X21" s="6" t="s">
        <v>238</v>
      </c>
      <c r="AA21" s="6" t="s">
        <v>243</v>
      </c>
      <c r="AB21" s="5" t="s">
        <v>238</v>
      </c>
      <c r="AC21" s="5" t="s">
        <v>244</v>
      </c>
      <c r="AD21" s="5" t="s">
        <v>245</v>
      </c>
      <c r="AT21" s="5" t="s">
        <v>246</v>
      </c>
      <c r="AU21" s="5" t="s">
        <v>238</v>
      </c>
      <c r="AV21" s="5" t="s">
        <v>247</v>
      </c>
      <c r="AW21" s="5" t="s">
        <v>238</v>
      </c>
      <c r="AX21" s="5" t="s">
        <v>249</v>
      </c>
      <c r="AY21" s="5" t="s">
        <v>238</v>
      </c>
      <c r="BA21" s="5" t="s">
        <v>4547</v>
      </c>
      <c r="BC21" s="5" t="s">
        <v>250</v>
      </c>
      <c r="BD21" s="6" t="s">
        <v>243</v>
      </c>
      <c r="BE21" s="5" t="s">
        <v>251</v>
      </c>
      <c r="BF21" s="5" t="s">
        <v>252</v>
      </c>
      <c r="BG21" s="5" t="s">
        <v>238</v>
      </c>
      <c r="BH21" s="7">
        <f>0</f>
        <v>0</v>
      </c>
      <c r="BI21" s="8">
        <f>0</f>
        <v>0</v>
      </c>
      <c r="BJ21" s="5" t="s">
        <v>253</v>
      </c>
      <c r="BK21" s="5" t="s">
        <v>254</v>
      </c>
      <c r="BY21" s="5" t="s">
        <v>238</v>
      </c>
      <c r="BZ21" s="5" t="s">
        <v>238</v>
      </c>
      <c r="CD21" s="5" t="s">
        <v>255</v>
      </c>
      <c r="CE21" s="5" t="s">
        <v>256</v>
      </c>
      <c r="CF21" s="5" t="s">
        <v>238</v>
      </c>
      <c r="CI21" s="6" t="s">
        <v>257</v>
      </c>
      <c r="CJ21" s="5" t="s">
        <v>238</v>
      </c>
      <c r="CK21" s="5" t="s">
        <v>258</v>
      </c>
      <c r="CL21" s="5" t="s">
        <v>238</v>
      </c>
      <c r="CM21" s="5" t="s">
        <v>238</v>
      </c>
      <c r="CN21" s="5">
        <v>0</v>
      </c>
      <c r="CO21" s="5" t="s">
        <v>259</v>
      </c>
      <c r="CP21" s="5" t="s">
        <v>260</v>
      </c>
      <c r="CQ21" s="5" t="s">
        <v>260</v>
      </c>
      <c r="CR21" s="5" t="s">
        <v>261</v>
      </c>
      <c r="CU21" s="8">
        <f>6108970</f>
        <v>6108970</v>
      </c>
      <c r="CV21" s="8">
        <f>0</f>
        <v>0</v>
      </c>
      <c r="CX21" s="8">
        <f>0</f>
        <v>0</v>
      </c>
      <c r="CY21" s="8">
        <f>6108970</f>
        <v>6108970</v>
      </c>
      <c r="DA21" s="5" t="s">
        <v>2032</v>
      </c>
      <c r="DB21" s="5" t="s">
        <v>238</v>
      </c>
      <c r="DD21" s="5" t="s">
        <v>2032</v>
      </c>
      <c r="DE21" s="8">
        <f>2758</f>
        <v>2758</v>
      </c>
      <c r="DG21" s="5" t="s">
        <v>389</v>
      </c>
      <c r="DH21" s="5" t="s">
        <v>238</v>
      </c>
      <c r="DI21" s="5" t="s">
        <v>238</v>
      </c>
      <c r="DJ21" s="5" t="s">
        <v>238</v>
      </c>
      <c r="DN21" s="5" t="s">
        <v>238</v>
      </c>
      <c r="DO21" s="5" t="s">
        <v>238</v>
      </c>
      <c r="DP21" s="5" t="s">
        <v>238</v>
      </c>
      <c r="DQ21" s="5" t="s">
        <v>238</v>
      </c>
      <c r="DT21" s="5" t="s">
        <v>5018</v>
      </c>
      <c r="DU21" s="5" t="s">
        <v>264</v>
      </c>
      <c r="HM21" s="5" t="s">
        <v>264</v>
      </c>
    </row>
    <row r="22" spans="1:221" x14ac:dyDescent="0.4">
      <c r="A22" s="5">
        <v>729</v>
      </c>
      <c r="B22" s="5">
        <v>1</v>
      </c>
      <c r="C22" s="5">
        <v>1</v>
      </c>
      <c r="D22" s="5" t="s">
        <v>5015</v>
      </c>
      <c r="E22" s="5" t="s">
        <v>475</v>
      </c>
      <c r="F22" s="5" t="s">
        <v>248</v>
      </c>
      <c r="G22" s="5" t="s">
        <v>5014</v>
      </c>
      <c r="H22" s="6" t="s">
        <v>5017</v>
      </c>
      <c r="I22" s="7">
        <f>12161</f>
        <v>12161</v>
      </c>
      <c r="J22" s="5" t="s">
        <v>262</v>
      </c>
      <c r="K22" s="8">
        <f>26936615</f>
        <v>26936615</v>
      </c>
      <c r="L22" s="6" t="s">
        <v>242</v>
      </c>
      <c r="M22" s="5" t="s">
        <v>267</v>
      </c>
      <c r="N22" s="5" t="s">
        <v>237</v>
      </c>
      <c r="O22" s="5" t="s">
        <v>238</v>
      </c>
      <c r="P22" s="5" t="s">
        <v>238</v>
      </c>
      <c r="Q22" s="5" t="s">
        <v>239</v>
      </c>
      <c r="R22" s="5" t="s">
        <v>270</v>
      </c>
      <c r="S22" s="5" t="s">
        <v>238</v>
      </c>
      <c r="V22" s="5" t="s">
        <v>238</v>
      </c>
      <c r="X22" s="6" t="s">
        <v>238</v>
      </c>
      <c r="AA22" s="6" t="s">
        <v>5016</v>
      </c>
      <c r="AB22" s="5" t="s">
        <v>238</v>
      </c>
      <c r="AC22" s="5" t="s">
        <v>244</v>
      </c>
      <c r="AD22" s="5" t="s">
        <v>245</v>
      </c>
      <c r="AT22" s="5" t="s">
        <v>246</v>
      </c>
      <c r="AU22" s="5" t="s">
        <v>238</v>
      </c>
      <c r="AV22" s="5" t="s">
        <v>247</v>
      </c>
      <c r="AW22" s="5" t="s">
        <v>238</v>
      </c>
      <c r="AX22" s="5" t="s">
        <v>249</v>
      </c>
      <c r="AY22" s="5" t="s">
        <v>238</v>
      </c>
      <c r="BA22" s="5" t="s">
        <v>238</v>
      </c>
      <c r="BC22" s="5" t="s">
        <v>1433</v>
      </c>
      <c r="BD22" s="6" t="s">
        <v>5016</v>
      </c>
      <c r="BE22" s="5" t="s">
        <v>251</v>
      </c>
      <c r="BF22" s="5" t="s">
        <v>252</v>
      </c>
      <c r="BG22" s="5" t="s">
        <v>238</v>
      </c>
      <c r="BH22" s="7">
        <f>0</f>
        <v>0</v>
      </c>
      <c r="BI22" s="8">
        <f>0</f>
        <v>0</v>
      </c>
      <c r="BJ22" s="5" t="s">
        <v>253</v>
      </c>
      <c r="BK22" s="5" t="s">
        <v>254</v>
      </c>
      <c r="BY22" s="5" t="s">
        <v>238</v>
      </c>
      <c r="BZ22" s="5" t="s">
        <v>238</v>
      </c>
      <c r="CD22" s="5" t="s">
        <v>255</v>
      </c>
      <c r="CE22" s="5" t="s">
        <v>256</v>
      </c>
      <c r="CF22" s="5" t="s">
        <v>238</v>
      </c>
      <c r="CI22" s="6" t="s">
        <v>257</v>
      </c>
      <c r="CJ22" s="5" t="s">
        <v>238</v>
      </c>
      <c r="CK22" s="5" t="s">
        <v>258</v>
      </c>
      <c r="CL22" s="5" t="s">
        <v>238</v>
      </c>
      <c r="CM22" s="5" t="s">
        <v>238</v>
      </c>
      <c r="CN22" s="5">
        <v>0</v>
      </c>
      <c r="CO22" s="5" t="s">
        <v>259</v>
      </c>
      <c r="CP22" s="5" t="s">
        <v>260</v>
      </c>
      <c r="CQ22" s="5" t="s">
        <v>260</v>
      </c>
      <c r="CR22" s="5" t="s">
        <v>261</v>
      </c>
      <c r="CU22" s="8">
        <f>26936615</f>
        <v>26936615</v>
      </c>
      <c r="CV22" s="8">
        <f>0</f>
        <v>0</v>
      </c>
      <c r="CX22" s="8">
        <f>0</f>
        <v>0</v>
      </c>
      <c r="CY22" s="8">
        <f>26936615</f>
        <v>26936615</v>
      </c>
      <c r="DA22" s="5" t="s">
        <v>2032</v>
      </c>
      <c r="DB22" s="5" t="s">
        <v>238</v>
      </c>
      <c r="DD22" s="5" t="s">
        <v>2032</v>
      </c>
      <c r="DE22" s="8">
        <f>12161</f>
        <v>12161</v>
      </c>
      <c r="DG22" s="5" t="s">
        <v>389</v>
      </c>
      <c r="DH22" s="5" t="s">
        <v>238</v>
      </c>
      <c r="DI22" s="5" t="s">
        <v>238</v>
      </c>
      <c r="DJ22" s="5" t="s">
        <v>238</v>
      </c>
      <c r="DN22" s="5" t="s">
        <v>238</v>
      </c>
      <c r="DO22" s="5" t="s">
        <v>238</v>
      </c>
      <c r="DP22" s="5" t="s">
        <v>238</v>
      </c>
      <c r="DQ22" s="5" t="s">
        <v>238</v>
      </c>
      <c r="DT22" s="5" t="s">
        <v>5018</v>
      </c>
      <c r="DU22" s="5" t="s">
        <v>294</v>
      </c>
      <c r="HM22" s="5" t="s">
        <v>264</v>
      </c>
    </row>
    <row r="23" spans="1:221" x14ac:dyDescent="0.4">
      <c r="A23" s="5">
        <v>730</v>
      </c>
      <c r="B23" s="5">
        <v>1</v>
      </c>
      <c r="C23" s="5">
        <v>1</v>
      </c>
      <c r="D23" s="5" t="s">
        <v>5021</v>
      </c>
      <c r="E23" s="5" t="s">
        <v>475</v>
      </c>
      <c r="F23" s="5" t="s">
        <v>248</v>
      </c>
      <c r="G23" s="5" t="s">
        <v>5020</v>
      </c>
      <c r="H23" s="6" t="s">
        <v>5022</v>
      </c>
      <c r="I23" s="7">
        <f>14115</f>
        <v>14115</v>
      </c>
      <c r="J23" s="5" t="s">
        <v>262</v>
      </c>
      <c r="K23" s="8">
        <f>31264725</f>
        <v>31264725</v>
      </c>
      <c r="L23" s="6" t="s">
        <v>242</v>
      </c>
      <c r="M23" s="5" t="s">
        <v>267</v>
      </c>
      <c r="N23" s="5" t="s">
        <v>237</v>
      </c>
      <c r="O23" s="5" t="s">
        <v>238</v>
      </c>
      <c r="P23" s="5" t="s">
        <v>238</v>
      </c>
      <c r="Q23" s="5" t="s">
        <v>239</v>
      </c>
      <c r="R23" s="5" t="s">
        <v>270</v>
      </c>
      <c r="S23" s="5" t="s">
        <v>238</v>
      </c>
      <c r="V23" s="5" t="s">
        <v>238</v>
      </c>
      <c r="X23" s="6" t="s">
        <v>238</v>
      </c>
      <c r="AA23" s="6" t="s">
        <v>243</v>
      </c>
      <c r="AB23" s="5" t="s">
        <v>238</v>
      </c>
      <c r="AC23" s="5" t="s">
        <v>244</v>
      </c>
      <c r="AD23" s="5" t="s">
        <v>245</v>
      </c>
      <c r="AT23" s="5" t="s">
        <v>246</v>
      </c>
      <c r="AU23" s="5" t="s">
        <v>238</v>
      </c>
      <c r="AV23" s="5" t="s">
        <v>247</v>
      </c>
      <c r="AW23" s="5" t="s">
        <v>238</v>
      </c>
      <c r="AX23" s="5" t="s">
        <v>249</v>
      </c>
      <c r="AY23" s="5" t="s">
        <v>238</v>
      </c>
      <c r="BA23" s="5" t="s">
        <v>4547</v>
      </c>
      <c r="BC23" s="5" t="s">
        <v>250</v>
      </c>
      <c r="BD23" s="6" t="s">
        <v>243</v>
      </c>
      <c r="BE23" s="5" t="s">
        <v>251</v>
      </c>
      <c r="BF23" s="5" t="s">
        <v>252</v>
      </c>
      <c r="BG23" s="5" t="s">
        <v>238</v>
      </c>
      <c r="BH23" s="7">
        <f>0</f>
        <v>0</v>
      </c>
      <c r="BI23" s="8">
        <f>0</f>
        <v>0</v>
      </c>
      <c r="BJ23" s="5" t="s">
        <v>253</v>
      </c>
      <c r="BK23" s="5" t="s">
        <v>254</v>
      </c>
      <c r="BY23" s="5" t="s">
        <v>238</v>
      </c>
      <c r="BZ23" s="5" t="s">
        <v>238</v>
      </c>
      <c r="CD23" s="5" t="s">
        <v>255</v>
      </c>
      <c r="CE23" s="5" t="s">
        <v>256</v>
      </c>
      <c r="CF23" s="5" t="s">
        <v>238</v>
      </c>
      <c r="CI23" s="6" t="s">
        <v>257</v>
      </c>
      <c r="CJ23" s="5" t="s">
        <v>238</v>
      </c>
      <c r="CK23" s="5" t="s">
        <v>258</v>
      </c>
      <c r="CL23" s="5" t="s">
        <v>238</v>
      </c>
      <c r="CM23" s="5" t="s">
        <v>238</v>
      </c>
      <c r="CN23" s="5">
        <v>0</v>
      </c>
      <c r="CO23" s="5" t="s">
        <v>259</v>
      </c>
      <c r="CP23" s="5" t="s">
        <v>260</v>
      </c>
      <c r="CQ23" s="5" t="s">
        <v>260</v>
      </c>
      <c r="CR23" s="5" t="s">
        <v>261</v>
      </c>
      <c r="CU23" s="8">
        <f>31264725</f>
        <v>31264725</v>
      </c>
      <c r="CV23" s="8">
        <f>0</f>
        <v>0</v>
      </c>
      <c r="CX23" s="8">
        <f>0</f>
        <v>0</v>
      </c>
      <c r="CY23" s="8">
        <f>31264725</f>
        <v>31264725</v>
      </c>
      <c r="DA23" s="5" t="s">
        <v>2032</v>
      </c>
      <c r="DB23" s="5" t="s">
        <v>238</v>
      </c>
      <c r="DD23" s="5" t="s">
        <v>2032</v>
      </c>
      <c r="DE23" s="8">
        <f>14115</f>
        <v>14115</v>
      </c>
      <c r="DG23" s="5" t="s">
        <v>389</v>
      </c>
      <c r="DH23" s="5" t="s">
        <v>238</v>
      </c>
      <c r="DI23" s="5" t="s">
        <v>238</v>
      </c>
      <c r="DJ23" s="5" t="s">
        <v>238</v>
      </c>
      <c r="DN23" s="5" t="s">
        <v>238</v>
      </c>
      <c r="DO23" s="5" t="s">
        <v>238</v>
      </c>
      <c r="DP23" s="5" t="s">
        <v>238</v>
      </c>
      <c r="DQ23" s="5" t="s">
        <v>238</v>
      </c>
      <c r="DT23" s="5" t="s">
        <v>5023</v>
      </c>
      <c r="DU23" s="5" t="s">
        <v>264</v>
      </c>
      <c r="HM23" s="5" t="s">
        <v>264</v>
      </c>
    </row>
    <row r="24" spans="1:221" x14ac:dyDescent="0.4">
      <c r="A24" s="5">
        <v>731</v>
      </c>
      <c r="B24" s="5">
        <v>1</v>
      </c>
      <c r="C24" s="5">
        <v>1</v>
      </c>
      <c r="D24" s="5" t="s">
        <v>5025</v>
      </c>
      <c r="E24" s="5" t="s">
        <v>437</v>
      </c>
      <c r="F24" s="5" t="s">
        <v>248</v>
      </c>
      <c r="G24" s="5" t="s">
        <v>5024</v>
      </c>
      <c r="H24" s="6" t="s">
        <v>5035</v>
      </c>
      <c r="I24" s="7">
        <f>20779</f>
        <v>20779</v>
      </c>
      <c r="J24" s="5" t="s">
        <v>262</v>
      </c>
      <c r="K24" s="8">
        <f>46025485</f>
        <v>46025485</v>
      </c>
      <c r="L24" s="6" t="s">
        <v>242</v>
      </c>
      <c r="M24" s="5" t="s">
        <v>267</v>
      </c>
      <c r="N24" s="5" t="s">
        <v>237</v>
      </c>
      <c r="O24" s="5" t="s">
        <v>238</v>
      </c>
      <c r="P24" s="5" t="s">
        <v>238</v>
      </c>
      <c r="Q24" s="5" t="s">
        <v>239</v>
      </c>
      <c r="R24" s="5" t="s">
        <v>270</v>
      </c>
      <c r="S24" s="5" t="s">
        <v>238</v>
      </c>
      <c r="V24" s="5" t="s">
        <v>238</v>
      </c>
      <c r="X24" s="6" t="s">
        <v>238</v>
      </c>
      <c r="AA24" s="6" t="s">
        <v>243</v>
      </c>
      <c r="AB24" s="5" t="s">
        <v>238</v>
      </c>
      <c r="AC24" s="5" t="s">
        <v>244</v>
      </c>
      <c r="AD24" s="5" t="s">
        <v>245</v>
      </c>
      <c r="AT24" s="5" t="s">
        <v>246</v>
      </c>
      <c r="AU24" s="5" t="s">
        <v>238</v>
      </c>
      <c r="AV24" s="5" t="s">
        <v>247</v>
      </c>
      <c r="AW24" s="5" t="s">
        <v>238</v>
      </c>
      <c r="AX24" s="5" t="s">
        <v>249</v>
      </c>
      <c r="AY24" s="5" t="s">
        <v>238</v>
      </c>
      <c r="BA24" s="5" t="s">
        <v>4547</v>
      </c>
      <c r="BC24" s="5" t="s">
        <v>250</v>
      </c>
      <c r="BD24" s="6" t="s">
        <v>243</v>
      </c>
      <c r="BE24" s="5" t="s">
        <v>251</v>
      </c>
      <c r="BF24" s="5" t="s">
        <v>252</v>
      </c>
      <c r="BG24" s="5" t="s">
        <v>238</v>
      </c>
      <c r="BH24" s="7">
        <f>0</f>
        <v>0</v>
      </c>
      <c r="BI24" s="8">
        <f>0</f>
        <v>0</v>
      </c>
      <c r="BJ24" s="5" t="s">
        <v>253</v>
      </c>
      <c r="BK24" s="5" t="s">
        <v>254</v>
      </c>
      <c r="BY24" s="5" t="s">
        <v>238</v>
      </c>
      <c r="BZ24" s="5" t="s">
        <v>238</v>
      </c>
      <c r="CD24" s="5" t="s">
        <v>255</v>
      </c>
      <c r="CE24" s="5" t="s">
        <v>256</v>
      </c>
      <c r="CF24" s="5" t="s">
        <v>238</v>
      </c>
      <c r="CI24" s="6" t="s">
        <v>257</v>
      </c>
      <c r="CJ24" s="5" t="s">
        <v>238</v>
      </c>
      <c r="CK24" s="5" t="s">
        <v>258</v>
      </c>
      <c r="CL24" s="5" t="s">
        <v>238</v>
      </c>
      <c r="CM24" s="5" t="s">
        <v>238</v>
      </c>
      <c r="CN24" s="5">
        <v>0</v>
      </c>
      <c r="CO24" s="5" t="s">
        <v>259</v>
      </c>
      <c r="CP24" s="5" t="s">
        <v>260</v>
      </c>
      <c r="CQ24" s="5" t="s">
        <v>260</v>
      </c>
      <c r="CR24" s="5" t="s">
        <v>261</v>
      </c>
      <c r="CU24" s="8">
        <f>46025485</f>
        <v>46025485</v>
      </c>
      <c r="CV24" s="8">
        <f>0</f>
        <v>0</v>
      </c>
      <c r="CX24" s="8">
        <f>0</f>
        <v>0</v>
      </c>
      <c r="CY24" s="8">
        <f>46025485</f>
        <v>46025485</v>
      </c>
      <c r="DA24" s="5" t="s">
        <v>2032</v>
      </c>
      <c r="DB24" s="5" t="s">
        <v>238</v>
      </c>
      <c r="DD24" s="5" t="s">
        <v>2032</v>
      </c>
      <c r="DE24" s="8">
        <f>20779</f>
        <v>20779</v>
      </c>
      <c r="DG24" s="5" t="s">
        <v>389</v>
      </c>
      <c r="DH24" s="5" t="s">
        <v>238</v>
      </c>
      <c r="DI24" s="5" t="s">
        <v>238</v>
      </c>
      <c r="DJ24" s="5" t="s">
        <v>238</v>
      </c>
      <c r="DN24" s="5" t="s">
        <v>238</v>
      </c>
      <c r="DO24" s="5" t="s">
        <v>238</v>
      </c>
      <c r="DP24" s="5" t="s">
        <v>238</v>
      </c>
      <c r="DQ24" s="5" t="s">
        <v>238</v>
      </c>
      <c r="DT24" s="5" t="s">
        <v>5027</v>
      </c>
      <c r="DU24" s="5" t="s">
        <v>264</v>
      </c>
      <c r="HM24" s="5" t="s">
        <v>264</v>
      </c>
    </row>
    <row r="25" spans="1:221" x14ac:dyDescent="0.4">
      <c r="A25" s="5">
        <v>732</v>
      </c>
      <c r="B25" s="5">
        <v>1</v>
      </c>
      <c r="C25" s="5">
        <v>1</v>
      </c>
      <c r="D25" s="5" t="s">
        <v>5025</v>
      </c>
      <c r="E25" s="5" t="s">
        <v>437</v>
      </c>
      <c r="F25" s="5" t="s">
        <v>248</v>
      </c>
      <c r="G25" s="5" t="s">
        <v>5024</v>
      </c>
      <c r="H25" s="6" t="s">
        <v>5026</v>
      </c>
      <c r="I25" s="7">
        <f>7409</f>
        <v>7409</v>
      </c>
      <c r="J25" s="5" t="s">
        <v>262</v>
      </c>
      <c r="K25" s="8">
        <f>16410935</f>
        <v>16410935</v>
      </c>
      <c r="L25" s="6" t="s">
        <v>242</v>
      </c>
      <c r="M25" s="5" t="s">
        <v>267</v>
      </c>
      <c r="N25" s="5" t="s">
        <v>237</v>
      </c>
      <c r="O25" s="5" t="s">
        <v>238</v>
      </c>
      <c r="P25" s="5" t="s">
        <v>238</v>
      </c>
      <c r="Q25" s="5" t="s">
        <v>239</v>
      </c>
      <c r="R25" s="5" t="s">
        <v>270</v>
      </c>
      <c r="S25" s="5" t="s">
        <v>238</v>
      </c>
      <c r="V25" s="5" t="s">
        <v>238</v>
      </c>
      <c r="X25" s="6" t="s">
        <v>238</v>
      </c>
      <c r="AA25" s="6" t="s">
        <v>243</v>
      </c>
      <c r="AB25" s="5" t="s">
        <v>238</v>
      </c>
      <c r="AC25" s="5" t="s">
        <v>244</v>
      </c>
      <c r="AD25" s="5" t="s">
        <v>245</v>
      </c>
      <c r="AT25" s="5" t="s">
        <v>246</v>
      </c>
      <c r="AU25" s="5" t="s">
        <v>238</v>
      </c>
      <c r="AV25" s="5" t="s">
        <v>247</v>
      </c>
      <c r="AW25" s="5" t="s">
        <v>238</v>
      </c>
      <c r="AX25" s="5" t="s">
        <v>249</v>
      </c>
      <c r="AY25" s="5" t="s">
        <v>238</v>
      </c>
      <c r="BA25" s="5" t="s">
        <v>238</v>
      </c>
      <c r="BC25" s="5" t="s">
        <v>250</v>
      </c>
      <c r="BD25" s="6" t="s">
        <v>243</v>
      </c>
      <c r="BE25" s="5" t="s">
        <v>251</v>
      </c>
      <c r="BF25" s="5" t="s">
        <v>252</v>
      </c>
      <c r="BG25" s="5" t="s">
        <v>238</v>
      </c>
      <c r="BH25" s="7">
        <f>0</f>
        <v>0</v>
      </c>
      <c r="BI25" s="8">
        <f>0</f>
        <v>0</v>
      </c>
      <c r="BJ25" s="5" t="s">
        <v>253</v>
      </c>
      <c r="BK25" s="5" t="s">
        <v>254</v>
      </c>
      <c r="BY25" s="5" t="s">
        <v>238</v>
      </c>
      <c r="BZ25" s="5" t="s">
        <v>238</v>
      </c>
      <c r="CD25" s="5" t="s">
        <v>255</v>
      </c>
      <c r="CE25" s="5" t="s">
        <v>256</v>
      </c>
      <c r="CF25" s="5" t="s">
        <v>238</v>
      </c>
      <c r="CI25" s="6" t="s">
        <v>257</v>
      </c>
      <c r="CJ25" s="5" t="s">
        <v>238</v>
      </c>
      <c r="CK25" s="5" t="s">
        <v>258</v>
      </c>
      <c r="CL25" s="5" t="s">
        <v>238</v>
      </c>
      <c r="CM25" s="5" t="s">
        <v>238</v>
      </c>
      <c r="CN25" s="5">
        <v>0</v>
      </c>
      <c r="CO25" s="5" t="s">
        <v>259</v>
      </c>
      <c r="CP25" s="5" t="s">
        <v>260</v>
      </c>
      <c r="CQ25" s="5" t="s">
        <v>260</v>
      </c>
      <c r="CR25" s="5" t="s">
        <v>261</v>
      </c>
      <c r="CU25" s="8">
        <f>16410935</f>
        <v>16410935</v>
      </c>
      <c r="CV25" s="8">
        <f>0</f>
        <v>0</v>
      </c>
      <c r="CX25" s="8">
        <f>0</f>
        <v>0</v>
      </c>
      <c r="CY25" s="8">
        <f>16410935</f>
        <v>16410935</v>
      </c>
      <c r="DA25" s="5" t="s">
        <v>2032</v>
      </c>
      <c r="DB25" s="5" t="s">
        <v>238</v>
      </c>
      <c r="DD25" s="5" t="s">
        <v>2032</v>
      </c>
      <c r="DE25" s="8">
        <f>7409</f>
        <v>7409</v>
      </c>
      <c r="DG25" s="5" t="s">
        <v>389</v>
      </c>
      <c r="DH25" s="5" t="s">
        <v>238</v>
      </c>
      <c r="DI25" s="5" t="s">
        <v>238</v>
      </c>
      <c r="DJ25" s="5" t="s">
        <v>238</v>
      </c>
      <c r="DN25" s="5" t="s">
        <v>238</v>
      </c>
      <c r="DO25" s="5" t="s">
        <v>238</v>
      </c>
      <c r="DP25" s="5" t="s">
        <v>238</v>
      </c>
      <c r="DQ25" s="5" t="s">
        <v>238</v>
      </c>
      <c r="DT25" s="5" t="s">
        <v>5027</v>
      </c>
      <c r="DU25" s="5" t="s">
        <v>294</v>
      </c>
      <c r="HM25" s="5" t="s">
        <v>264</v>
      </c>
    </row>
    <row r="26" spans="1:221" x14ac:dyDescent="0.4">
      <c r="A26" s="5">
        <v>733</v>
      </c>
      <c r="B26" s="5">
        <v>1</v>
      </c>
      <c r="C26" s="5">
        <v>1</v>
      </c>
      <c r="D26" s="5" t="s">
        <v>5025</v>
      </c>
      <c r="E26" s="5" t="s">
        <v>437</v>
      </c>
      <c r="F26" s="5" t="s">
        <v>248</v>
      </c>
      <c r="G26" s="5" t="s">
        <v>5024</v>
      </c>
      <c r="H26" s="6" t="s">
        <v>5032</v>
      </c>
      <c r="I26" s="7">
        <f>5370</f>
        <v>5370</v>
      </c>
      <c r="J26" s="5" t="s">
        <v>262</v>
      </c>
      <c r="K26" s="8">
        <f>11894550</f>
        <v>11894550</v>
      </c>
      <c r="L26" s="6" t="s">
        <v>242</v>
      </c>
      <c r="M26" s="5" t="s">
        <v>267</v>
      </c>
      <c r="N26" s="5" t="s">
        <v>237</v>
      </c>
      <c r="O26" s="5" t="s">
        <v>238</v>
      </c>
      <c r="P26" s="5" t="s">
        <v>238</v>
      </c>
      <c r="Q26" s="5" t="s">
        <v>239</v>
      </c>
      <c r="R26" s="5" t="s">
        <v>270</v>
      </c>
      <c r="S26" s="5" t="s">
        <v>238</v>
      </c>
      <c r="V26" s="5" t="s">
        <v>238</v>
      </c>
      <c r="X26" s="6" t="s">
        <v>238</v>
      </c>
      <c r="AA26" s="6" t="s">
        <v>243</v>
      </c>
      <c r="AB26" s="5" t="s">
        <v>238</v>
      </c>
      <c r="AC26" s="5" t="s">
        <v>244</v>
      </c>
      <c r="AD26" s="5" t="s">
        <v>245</v>
      </c>
      <c r="AT26" s="5" t="s">
        <v>246</v>
      </c>
      <c r="AU26" s="5" t="s">
        <v>238</v>
      </c>
      <c r="AV26" s="5" t="s">
        <v>247</v>
      </c>
      <c r="AW26" s="5" t="s">
        <v>238</v>
      </c>
      <c r="AX26" s="5" t="s">
        <v>249</v>
      </c>
      <c r="AY26" s="5" t="s">
        <v>238</v>
      </c>
      <c r="BA26" s="5" t="s">
        <v>238</v>
      </c>
      <c r="BC26" s="5" t="s">
        <v>250</v>
      </c>
      <c r="BD26" s="6" t="s">
        <v>243</v>
      </c>
      <c r="BE26" s="5" t="s">
        <v>251</v>
      </c>
      <c r="BF26" s="5" t="s">
        <v>252</v>
      </c>
      <c r="BG26" s="5" t="s">
        <v>238</v>
      </c>
      <c r="BH26" s="7">
        <f>0</f>
        <v>0</v>
      </c>
      <c r="BI26" s="8">
        <f>0</f>
        <v>0</v>
      </c>
      <c r="BJ26" s="5" t="s">
        <v>253</v>
      </c>
      <c r="BK26" s="5" t="s">
        <v>254</v>
      </c>
      <c r="BY26" s="5" t="s">
        <v>238</v>
      </c>
      <c r="BZ26" s="5" t="s">
        <v>238</v>
      </c>
      <c r="CD26" s="5" t="s">
        <v>255</v>
      </c>
      <c r="CE26" s="5" t="s">
        <v>256</v>
      </c>
      <c r="CF26" s="5" t="s">
        <v>238</v>
      </c>
      <c r="CI26" s="6" t="s">
        <v>257</v>
      </c>
      <c r="CJ26" s="5" t="s">
        <v>238</v>
      </c>
      <c r="CK26" s="5" t="s">
        <v>258</v>
      </c>
      <c r="CL26" s="5" t="s">
        <v>238</v>
      </c>
      <c r="CM26" s="5" t="s">
        <v>238</v>
      </c>
      <c r="CN26" s="5">
        <v>0</v>
      </c>
      <c r="CO26" s="5" t="s">
        <v>259</v>
      </c>
      <c r="CP26" s="5" t="s">
        <v>260</v>
      </c>
      <c r="CQ26" s="5" t="s">
        <v>260</v>
      </c>
      <c r="CR26" s="5" t="s">
        <v>261</v>
      </c>
      <c r="CU26" s="8">
        <f>11894550</f>
        <v>11894550</v>
      </c>
      <c r="CV26" s="8">
        <f>0</f>
        <v>0</v>
      </c>
      <c r="CX26" s="8">
        <f>0</f>
        <v>0</v>
      </c>
      <c r="CY26" s="8">
        <f>11894550</f>
        <v>11894550</v>
      </c>
      <c r="DA26" s="5" t="s">
        <v>2032</v>
      </c>
      <c r="DB26" s="5" t="s">
        <v>238</v>
      </c>
      <c r="DD26" s="5" t="s">
        <v>2032</v>
      </c>
      <c r="DE26" s="8">
        <f>5370</f>
        <v>5370</v>
      </c>
      <c r="DG26" s="5" t="s">
        <v>389</v>
      </c>
      <c r="DH26" s="5" t="s">
        <v>238</v>
      </c>
      <c r="DI26" s="5" t="s">
        <v>238</v>
      </c>
      <c r="DJ26" s="5" t="s">
        <v>238</v>
      </c>
      <c r="DN26" s="5" t="s">
        <v>238</v>
      </c>
      <c r="DO26" s="5" t="s">
        <v>238</v>
      </c>
      <c r="DP26" s="5" t="s">
        <v>238</v>
      </c>
      <c r="DQ26" s="5" t="s">
        <v>238</v>
      </c>
      <c r="DT26" s="5" t="s">
        <v>5027</v>
      </c>
      <c r="DU26" s="5" t="s">
        <v>806</v>
      </c>
      <c r="HM26" s="5" t="s">
        <v>264</v>
      </c>
    </row>
    <row r="27" spans="1:221" x14ac:dyDescent="0.4">
      <c r="A27" s="5">
        <v>734</v>
      </c>
      <c r="B27" s="5">
        <v>1</v>
      </c>
      <c r="C27" s="5">
        <v>1</v>
      </c>
      <c r="D27" s="5" t="s">
        <v>5025</v>
      </c>
      <c r="E27" s="5" t="s">
        <v>437</v>
      </c>
      <c r="F27" s="5" t="s">
        <v>248</v>
      </c>
      <c r="G27" s="5" t="s">
        <v>5024</v>
      </c>
      <c r="H27" s="6" t="s">
        <v>5030</v>
      </c>
      <c r="I27" s="7">
        <f>318.27</f>
        <v>318.27</v>
      </c>
      <c r="J27" s="5" t="s">
        <v>262</v>
      </c>
      <c r="K27" s="8">
        <f>7956750</f>
        <v>7956750</v>
      </c>
      <c r="L27" s="6" t="s">
        <v>5016</v>
      </c>
      <c r="M27" s="5" t="s">
        <v>267</v>
      </c>
      <c r="N27" s="5" t="s">
        <v>265</v>
      </c>
      <c r="O27" s="5" t="s">
        <v>238</v>
      </c>
      <c r="P27" s="5" t="s">
        <v>238</v>
      </c>
      <c r="Q27" s="5" t="s">
        <v>239</v>
      </c>
      <c r="R27" s="5" t="s">
        <v>238</v>
      </c>
      <c r="S27" s="5" t="s">
        <v>238</v>
      </c>
      <c r="V27" s="5" t="s">
        <v>238</v>
      </c>
      <c r="X27" s="6" t="s">
        <v>238</v>
      </c>
      <c r="AA27" s="6" t="s">
        <v>243</v>
      </c>
      <c r="AB27" s="5" t="s">
        <v>238</v>
      </c>
      <c r="AC27" s="5" t="s">
        <v>244</v>
      </c>
      <c r="AD27" s="5" t="s">
        <v>245</v>
      </c>
      <c r="AT27" s="5" t="s">
        <v>246</v>
      </c>
      <c r="AU27" s="5" t="s">
        <v>238</v>
      </c>
      <c r="AV27" s="5" t="s">
        <v>247</v>
      </c>
      <c r="AW27" s="5" t="s">
        <v>238</v>
      </c>
      <c r="AX27" s="5" t="s">
        <v>249</v>
      </c>
      <c r="AY27" s="5" t="s">
        <v>238</v>
      </c>
      <c r="BA27" s="5" t="s">
        <v>238</v>
      </c>
      <c r="BC27" s="5" t="s">
        <v>250</v>
      </c>
      <c r="BD27" s="6" t="s">
        <v>5016</v>
      </c>
      <c r="BE27" s="5" t="s">
        <v>251</v>
      </c>
      <c r="BF27" s="5" t="s">
        <v>5031</v>
      </c>
      <c r="BG27" s="5" t="s">
        <v>238</v>
      </c>
      <c r="BH27" s="7">
        <f>0</f>
        <v>0</v>
      </c>
      <c r="BI27" s="8">
        <f>0</f>
        <v>0</v>
      </c>
      <c r="BJ27" s="5" t="s">
        <v>253</v>
      </c>
      <c r="BK27" s="5" t="s">
        <v>254</v>
      </c>
      <c r="BY27" s="5" t="s">
        <v>238</v>
      </c>
      <c r="BZ27" s="5" t="s">
        <v>238</v>
      </c>
      <c r="CD27" s="5" t="s">
        <v>255</v>
      </c>
      <c r="CE27" s="5" t="s">
        <v>256</v>
      </c>
      <c r="CF27" s="5" t="s">
        <v>238</v>
      </c>
      <c r="CI27" s="6" t="s">
        <v>257</v>
      </c>
      <c r="CJ27" s="5" t="s">
        <v>238</v>
      </c>
      <c r="CK27" s="5" t="s">
        <v>258</v>
      </c>
      <c r="CL27" s="5" t="s">
        <v>238</v>
      </c>
      <c r="CM27" s="5" t="s">
        <v>238</v>
      </c>
      <c r="CN27" s="5">
        <v>0</v>
      </c>
      <c r="CO27" s="5" t="s">
        <v>259</v>
      </c>
      <c r="CP27" s="5" t="s">
        <v>260</v>
      </c>
      <c r="CQ27" s="5" t="s">
        <v>260</v>
      </c>
      <c r="CR27" s="5" t="s">
        <v>261</v>
      </c>
      <c r="CU27" s="8">
        <f>7956750</f>
        <v>7956750</v>
      </c>
      <c r="CV27" s="8">
        <f>0</f>
        <v>0</v>
      </c>
      <c r="CX27" s="8">
        <f>0</f>
        <v>0</v>
      </c>
      <c r="CY27" s="8">
        <f>7956750</f>
        <v>7956750</v>
      </c>
      <c r="DA27" s="5" t="s">
        <v>356</v>
      </c>
      <c r="DB27" s="5" t="s">
        <v>238</v>
      </c>
      <c r="DD27" s="5" t="s">
        <v>356</v>
      </c>
      <c r="DE27" s="8">
        <f>318.27</f>
        <v>318.27</v>
      </c>
      <c r="DG27" s="5" t="s">
        <v>238</v>
      </c>
      <c r="DH27" s="5" t="s">
        <v>238</v>
      </c>
      <c r="DI27" s="5" t="s">
        <v>238</v>
      </c>
      <c r="DJ27" s="5" t="s">
        <v>238</v>
      </c>
      <c r="DN27" s="5" t="s">
        <v>238</v>
      </c>
      <c r="DO27" s="5" t="s">
        <v>238</v>
      </c>
      <c r="DP27" s="5" t="s">
        <v>238</v>
      </c>
      <c r="DQ27" s="5" t="s">
        <v>238</v>
      </c>
      <c r="DT27" s="5" t="s">
        <v>5027</v>
      </c>
      <c r="DU27" s="5" t="s">
        <v>854</v>
      </c>
      <c r="HM27" s="5" t="s">
        <v>264</v>
      </c>
    </row>
    <row r="28" spans="1:221" x14ac:dyDescent="0.4">
      <c r="A28" s="5">
        <v>735</v>
      </c>
      <c r="B28" s="5">
        <v>1</v>
      </c>
      <c r="C28" s="5">
        <v>1</v>
      </c>
      <c r="D28" s="5" t="s">
        <v>5037</v>
      </c>
      <c r="E28" s="5" t="s">
        <v>475</v>
      </c>
      <c r="F28" s="5" t="s">
        <v>248</v>
      </c>
      <c r="G28" s="5" t="s">
        <v>5036</v>
      </c>
      <c r="H28" s="6" t="s">
        <v>5038</v>
      </c>
      <c r="I28" s="7">
        <f>10500.2</f>
        <v>10500.2</v>
      </c>
      <c r="J28" s="5" t="s">
        <v>262</v>
      </c>
      <c r="K28" s="8">
        <f>23257943</f>
        <v>23257943</v>
      </c>
      <c r="L28" s="6" t="s">
        <v>242</v>
      </c>
      <c r="M28" s="5" t="s">
        <v>267</v>
      </c>
      <c r="N28" s="5" t="s">
        <v>237</v>
      </c>
      <c r="O28" s="5" t="s">
        <v>238</v>
      </c>
      <c r="P28" s="5" t="s">
        <v>238</v>
      </c>
      <c r="Q28" s="5" t="s">
        <v>239</v>
      </c>
      <c r="R28" s="5" t="s">
        <v>270</v>
      </c>
      <c r="S28" s="5" t="s">
        <v>238</v>
      </c>
      <c r="V28" s="5" t="s">
        <v>238</v>
      </c>
      <c r="X28" s="6" t="s">
        <v>238</v>
      </c>
      <c r="AA28" s="6" t="s">
        <v>243</v>
      </c>
      <c r="AB28" s="5" t="s">
        <v>238</v>
      </c>
      <c r="AC28" s="5" t="s">
        <v>244</v>
      </c>
      <c r="AD28" s="5" t="s">
        <v>245</v>
      </c>
      <c r="AT28" s="5" t="s">
        <v>246</v>
      </c>
      <c r="AU28" s="5" t="s">
        <v>238</v>
      </c>
      <c r="AV28" s="5" t="s">
        <v>247</v>
      </c>
      <c r="AW28" s="5" t="s">
        <v>238</v>
      </c>
      <c r="AX28" s="5" t="s">
        <v>249</v>
      </c>
      <c r="AY28" s="5" t="s">
        <v>238</v>
      </c>
      <c r="BA28" s="5" t="s">
        <v>4547</v>
      </c>
      <c r="BC28" s="5" t="s">
        <v>250</v>
      </c>
      <c r="BD28" s="6" t="s">
        <v>243</v>
      </c>
      <c r="BE28" s="5" t="s">
        <v>251</v>
      </c>
      <c r="BF28" s="5" t="s">
        <v>252</v>
      </c>
      <c r="BG28" s="5" t="s">
        <v>238</v>
      </c>
      <c r="BH28" s="7">
        <f>0</f>
        <v>0</v>
      </c>
      <c r="BI28" s="8">
        <f>0</f>
        <v>0</v>
      </c>
      <c r="BJ28" s="5" t="s">
        <v>253</v>
      </c>
      <c r="BK28" s="5" t="s">
        <v>254</v>
      </c>
      <c r="BY28" s="5" t="s">
        <v>238</v>
      </c>
      <c r="BZ28" s="5" t="s">
        <v>238</v>
      </c>
      <c r="CD28" s="5" t="s">
        <v>255</v>
      </c>
      <c r="CE28" s="5" t="s">
        <v>256</v>
      </c>
      <c r="CF28" s="5" t="s">
        <v>238</v>
      </c>
      <c r="CI28" s="6" t="s">
        <v>257</v>
      </c>
      <c r="CJ28" s="5" t="s">
        <v>238</v>
      </c>
      <c r="CK28" s="5" t="s">
        <v>258</v>
      </c>
      <c r="CL28" s="5" t="s">
        <v>238</v>
      </c>
      <c r="CM28" s="5" t="s">
        <v>238</v>
      </c>
      <c r="CN28" s="5">
        <v>0</v>
      </c>
      <c r="CO28" s="5" t="s">
        <v>259</v>
      </c>
      <c r="CP28" s="5" t="s">
        <v>260</v>
      </c>
      <c r="CQ28" s="5" t="s">
        <v>260</v>
      </c>
      <c r="CR28" s="5" t="s">
        <v>261</v>
      </c>
      <c r="CU28" s="8">
        <f>23257943</f>
        <v>23257943</v>
      </c>
      <c r="CV28" s="8">
        <f>0</f>
        <v>0</v>
      </c>
      <c r="CX28" s="8">
        <f>0</f>
        <v>0</v>
      </c>
      <c r="CY28" s="8">
        <f>23257943</f>
        <v>23257943</v>
      </c>
      <c r="DA28" s="5" t="s">
        <v>2032</v>
      </c>
      <c r="DB28" s="5" t="s">
        <v>238</v>
      </c>
      <c r="DD28" s="5" t="s">
        <v>2032</v>
      </c>
      <c r="DE28" s="8">
        <f>10500</f>
        <v>10500</v>
      </c>
      <c r="DG28" s="5" t="s">
        <v>389</v>
      </c>
      <c r="DH28" s="5" t="s">
        <v>238</v>
      </c>
      <c r="DI28" s="5" t="s">
        <v>238</v>
      </c>
      <c r="DJ28" s="5" t="s">
        <v>238</v>
      </c>
      <c r="DN28" s="5" t="s">
        <v>238</v>
      </c>
      <c r="DO28" s="5" t="s">
        <v>238</v>
      </c>
      <c r="DP28" s="5" t="s">
        <v>238</v>
      </c>
      <c r="DQ28" s="5" t="s">
        <v>238</v>
      </c>
      <c r="DT28" s="5" t="s">
        <v>5039</v>
      </c>
      <c r="DU28" s="5" t="s">
        <v>264</v>
      </c>
      <c r="HM28" s="5" t="s">
        <v>264</v>
      </c>
    </row>
    <row r="29" spans="1:221" x14ac:dyDescent="0.4">
      <c r="A29" s="5">
        <v>736</v>
      </c>
      <c r="B29" s="5">
        <v>1</v>
      </c>
      <c r="C29" s="5">
        <v>1</v>
      </c>
      <c r="D29" s="5" t="s">
        <v>5043</v>
      </c>
      <c r="E29" s="5" t="s">
        <v>475</v>
      </c>
      <c r="F29" s="5" t="s">
        <v>248</v>
      </c>
      <c r="G29" s="5" t="s">
        <v>5042</v>
      </c>
      <c r="H29" s="6" t="s">
        <v>5051</v>
      </c>
      <c r="I29" s="7">
        <f>109</f>
        <v>109</v>
      </c>
      <c r="J29" s="5" t="s">
        <v>262</v>
      </c>
      <c r="K29" s="8">
        <f>241435</f>
        <v>241435</v>
      </c>
      <c r="L29" s="6" t="s">
        <v>242</v>
      </c>
      <c r="M29" s="5" t="s">
        <v>267</v>
      </c>
      <c r="N29" s="5" t="s">
        <v>237</v>
      </c>
      <c r="O29" s="5" t="s">
        <v>238</v>
      </c>
      <c r="P29" s="5" t="s">
        <v>238</v>
      </c>
      <c r="Q29" s="5" t="s">
        <v>239</v>
      </c>
      <c r="R29" s="5" t="s">
        <v>270</v>
      </c>
      <c r="S29" s="5" t="s">
        <v>238</v>
      </c>
      <c r="V29" s="5" t="s">
        <v>238</v>
      </c>
      <c r="X29" s="6" t="s">
        <v>238</v>
      </c>
      <c r="AA29" s="6" t="s">
        <v>243</v>
      </c>
      <c r="AB29" s="5" t="s">
        <v>238</v>
      </c>
      <c r="AC29" s="5" t="s">
        <v>244</v>
      </c>
      <c r="AD29" s="5" t="s">
        <v>245</v>
      </c>
      <c r="AT29" s="5" t="s">
        <v>246</v>
      </c>
      <c r="AU29" s="5" t="s">
        <v>238</v>
      </c>
      <c r="AV29" s="5" t="s">
        <v>247</v>
      </c>
      <c r="AW29" s="5" t="s">
        <v>238</v>
      </c>
      <c r="AX29" s="5" t="s">
        <v>249</v>
      </c>
      <c r="AY29" s="5" t="s">
        <v>238</v>
      </c>
      <c r="BA29" s="5" t="s">
        <v>4547</v>
      </c>
      <c r="BC29" s="5" t="s">
        <v>250</v>
      </c>
      <c r="BD29" s="6" t="s">
        <v>243</v>
      </c>
      <c r="BE29" s="5" t="s">
        <v>251</v>
      </c>
      <c r="BF29" s="5" t="s">
        <v>252</v>
      </c>
      <c r="BG29" s="5" t="s">
        <v>238</v>
      </c>
      <c r="BH29" s="7">
        <f>0</f>
        <v>0</v>
      </c>
      <c r="BI29" s="8">
        <f>0</f>
        <v>0</v>
      </c>
      <c r="BJ29" s="5" t="s">
        <v>253</v>
      </c>
      <c r="BK29" s="5" t="s">
        <v>254</v>
      </c>
      <c r="BY29" s="5" t="s">
        <v>238</v>
      </c>
      <c r="BZ29" s="5" t="s">
        <v>238</v>
      </c>
      <c r="CD29" s="5" t="s">
        <v>255</v>
      </c>
      <c r="CE29" s="5" t="s">
        <v>256</v>
      </c>
      <c r="CF29" s="5" t="s">
        <v>238</v>
      </c>
      <c r="CI29" s="6" t="s">
        <v>257</v>
      </c>
      <c r="CJ29" s="5" t="s">
        <v>238</v>
      </c>
      <c r="CK29" s="5" t="s">
        <v>258</v>
      </c>
      <c r="CL29" s="5" t="s">
        <v>238</v>
      </c>
      <c r="CM29" s="5" t="s">
        <v>238</v>
      </c>
      <c r="CN29" s="5">
        <v>0</v>
      </c>
      <c r="CO29" s="5" t="s">
        <v>259</v>
      </c>
      <c r="CP29" s="5" t="s">
        <v>260</v>
      </c>
      <c r="CQ29" s="5" t="s">
        <v>260</v>
      </c>
      <c r="CR29" s="5" t="s">
        <v>261</v>
      </c>
      <c r="CU29" s="8">
        <f>241435</f>
        <v>241435</v>
      </c>
      <c r="CV29" s="8">
        <f>0</f>
        <v>0</v>
      </c>
      <c r="CX29" s="8">
        <f>0</f>
        <v>0</v>
      </c>
      <c r="CY29" s="8">
        <f>241435</f>
        <v>241435</v>
      </c>
      <c r="DA29" s="5" t="s">
        <v>2032</v>
      </c>
      <c r="DB29" s="5" t="s">
        <v>238</v>
      </c>
      <c r="DD29" s="5" t="s">
        <v>2032</v>
      </c>
      <c r="DE29" s="8">
        <f>109</f>
        <v>109</v>
      </c>
      <c r="DG29" s="5" t="s">
        <v>389</v>
      </c>
      <c r="DH29" s="5" t="s">
        <v>238</v>
      </c>
      <c r="DI29" s="5" t="s">
        <v>238</v>
      </c>
      <c r="DJ29" s="5" t="s">
        <v>238</v>
      </c>
      <c r="DN29" s="5" t="s">
        <v>238</v>
      </c>
      <c r="DO29" s="5" t="s">
        <v>238</v>
      </c>
      <c r="DP29" s="5" t="s">
        <v>238</v>
      </c>
      <c r="DQ29" s="5" t="s">
        <v>238</v>
      </c>
      <c r="DT29" s="5" t="s">
        <v>5045</v>
      </c>
      <c r="DU29" s="5" t="s">
        <v>264</v>
      </c>
      <c r="HM29" s="5" t="s">
        <v>264</v>
      </c>
    </row>
    <row r="30" spans="1:221" x14ac:dyDescent="0.4">
      <c r="A30" s="5">
        <v>737</v>
      </c>
      <c r="B30" s="5">
        <v>1</v>
      </c>
      <c r="C30" s="5">
        <v>1</v>
      </c>
      <c r="D30" s="5" t="s">
        <v>5043</v>
      </c>
      <c r="E30" s="5" t="s">
        <v>475</v>
      </c>
      <c r="F30" s="5" t="s">
        <v>248</v>
      </c>
      <c r="G30" s="5" t="s">
        <v>5042</v>
      </c>
      <c r="H30" s="6" t="s">
        <v>5052</v>
      </c>
      <c r="I30" s="7">
        <f>1011</f>
        <v>1011</v>
      </c>
      <c r="J30" s="5" t="s">
        <v>262</v>
      </c>
      <c r="K30" s="8">
        <f>2239365</f>
        <v>2239365</v>
      </c>
      <c r="L30" s="6" t="s">
        <v>242</v>
      </c>
      <c r="M30" s="5" t="s">
        <v>267</v>
      </c>
      <c r="N30" s="5" t="s">
        <v>237</v>
      </c>
      <c r="O30" s="5" t="s">
        <v>238</v>
      </c>
      <c r="P30" s="5" t="s">
        <v>238</v>
      </c>
      <c r="Q30" s="5" t="s">
        <v>239</v>
      </c>
      <c r="R30" s="5" t="s">
        <v>270</v>
      </c>
      <c r="S30" s="5" t="s">
        <v>238</v>
      </c>
      <c r="V30" s="5" t="s">
        <v>238</v>
      </c>
      <c r="X30" s="6" t="s">
        <v>238</v>
      </c>
      <c r="AA30" s="6" t="s">
        <v>243</v>
      </c>
      <c r="AB30" s="5" t="s">
        <v>238</v>
      </c>
      <c r="AC30" s="5" t="s">
        <v>244</v>
      </c>
      <c r="AD30" s="5" t="s">
        <v>245</v>
      </c>
      <c r="AT30" s="5" t="s">
        <v>246</v>
      </c>
      <c r="AU30" s="5" t="s">
        <v>238</v>
      </c>
      <c r="AV30" s="5" t="s">
        <v>247</v>
      </c>
      <c r="AW30" s="5" t="s">
        <v>238</v>
      </c>
      <c r="AX30" s="5" t="s">
        <v>249</v>
      </c>
      <c r="AY30" s="5" t="s">
        <v>238</v>
      </c>
      <c r="BA30" s="5" t="s">
        <v>238</v>
      </c>
      <c r="BC30" s="5" t="s">
        <v>250</v>
      </c>
      <c r="BD30" s="6" t="s">
        <v>243</v>
      </c>
      <c r="BE30" s="5" t="s">
        <v>251</v>
      </c>
      <c r="BF30" s="5" t="s">
        <v>252</v>
      </c>
      <c r="BG30" s="5" t="s">
        <v>238</v>
      </c>
      <c r="BH30" s="7">
        <f>0</f>
        <v>0</v>
      </c>
      <c r="BI30" s="8">
        <f>0</f>
        <v>0</v>
      </c>
      <c r="BJ30" s="5" t="s">
        <v>253</v>
      </c>
      <c r="BK30" s="5" t="s">
        <v>254</v>
      </c>
      <c r="BY30" s="5" t="s">
        <v>238</v>
      </c>
      <c r="BZ30" s="5" t="s">
        <v>238</v>
      </c>
      <c r="CD30" s="5" t="s">
        <v>255</v>
      </c>
      <c r="CE30" s="5" t="s">
        <v>256</v>
      </c>
      <c r="CF30" s="5" t="s">
        <v>238</v>
      </c>
      <c r="CI30" s="6" t="s">
        <v>257</v>
      </c>
      <c r="CJ30" s="5" t="s">
        <v>238</v>
      </c>
      <c r="CK30" s="5" t="s">
        <v>258</v>
      </c>
      <c r="CL30" s="5" t="s">
        <v>238</v>
      </c>
      <c r="CM30" s="5" t="s">
        <v>238</v>
      </c>
      <c r="CN30" s="5">
        <v>0</v>
      </c>
      <c r="CO30" s="5" t="s">
        <v>259</v>
      </c>
      <c r="CP30" s="5" t="s">
        <v>260</v>
      </c>
      <c r="CQ30" s="5" t="s">
        <v>260</v>
      </c>
      <c r="CR30" s="5" t="s">
        <v>261</v>
      </c>
      <c r="CU30" s="8">
        <f>2239365</f>
        <v>2239365</v>
      </c>
      <c r="CV30" s="8">
        <f>0</f>
        <v>0</v>
      </c>
      <c r="CX30" s="8">
        <f>0</f>
        <v>0</v>
      </c>
      <c r="CY30" s="8">
        <f>2239365</f>
        <v>2239365</v>
      </c>
      <c r="DA30" s="5" t="s">
        <v>2032</v>
      </c>
      <c r="DB30" s="5" t="s">
        <v>238</v>
      </c>
      <c r="DD30" s="5" t="s">
        <v>2032</v>
      </c>
      <c r="DE30" s="8">
        <f>1011</f>
        <v>1011</v>
      </c>
      <c r="DG30" s="5" t="s">
        <v>389</v>
      </c>
      <c r="DH30" s="5" t="s">
        <v>238</v>
      </c>
      <c r="DI30" s="5" t="s">
        <v>238</v>
      </c>
      <c r="DJ30" s="5" t="s">
        <v>238</v>
      </c>
      <c r="DN30" s="5" t="s">
        <v>238</v>
      </c>
      <c r="DO30" s="5" t="s">
        <v>238</v>
      </c>
      <c r="DP30" s="5" t="s">
        <v>238</v>
      </c>
      <c r="DQ30" s="5" t="s">
        <v>238</v>
      </c>
      <c r="DT30" s="5" t="s">
        <v>5045</v>
      </c>
      <c r="DU30" s="5" t="s">
        <v>294</v>
      </c>
      <c r="HM30" s="5" t="s">
        <v>264</v>
      </c>
    </row>
    <row r="31" spans="1:221" x14ac:dyDescent="0.4">
      <c r="A31" s="5">
        <v>738</v>
      </c>
      <c r="B31" s="5">
        <v>1</v>
      </c>
      <c r="C31" s="5">
        <v>1</v>
      </c>
      <c r="D31" s="5" t="s">
        <v>5043</v>
      </c>
      <c r="E31" s="5" t="s">
        <v>475</v>
      </c>
      <c r="F31" s="5" t="s">
        <v>248</v>
      </c>
      <c r="G31" s="5" t="s">
        <v>5042</v>
      </c>
      <c r="H31" s="6" t="s">
        <v>5055</v>
      </c>
      <c r="I31" s="7">
        <f>3142</f>
        <v>3142</v>
      </c>
      <c r="J31" s="5" t="s">
        <v>262</v>
      </c>
      <c r="K31" s="8">
        <f>6959530</f>
        <v>6959530</v>
      </c>
      <c r="L31" s="6" t="s">
        <v>242</v>
      </c>
      <c r="M31" s="5" t="s">
        <v>267</v>
      </c>
      <c r="N31" s="5" t="s">
        <v>237</v>
      </c>
      <c r="O31" s="5" t="s">
        <v>238</v>
      </c>
      <c r="P31" s="5" t="s">
        <v>238</v>
      </c>
      <c r="Q31" s="5" t="s">
        <v>239</v>
      </c>
      <c r="R31" s="5" t="s">
        <v>270</v>
      </c>
      <c r="S31" s="5" t="s">
        <v>238</v>
      </c>
      <c r="V31" s="5" t="s">
        <v>238</v>
      </c>
      <c r="X31" s="6" t="s">
        <v>238</v>
      </c>
      <c r="AA31" s="6" t="s">
        <v>243</v>
      </c>
      <c r="AB31" s="5" t="s">
        <v>238</v>
      </c>
      <c r="AC31" s="5" t="s">
        <v>244</v>
      </c>
      <c r="AD31" s="5" t="s">
        <v>245</v>
      </c>
      <c r="AT31" s="5" t="s">
        <v>246</v>
      </c>
      <c r="AU31" s="5" t="s">
        <v>238</v>
      </c>
      <c r="AV31" s="5" t="s">
        <v>247</v>
      </c>
      <c r="AW31" s="5" t="s">
        <v>238</v>
      </c>
      <c r="AX31" s="5" t="s">
        <v>249</v>
      </c>
      <c r="AY31" s="5" t="s">
        <v>238</v>
      </c>
      <c r="BA31" s="5" t="s">
        <v>238</v>
      </c>
      <c r="BC31" s="5" t="s">
        <v>250</v>
      </c>
      <c r="BD31" s="6" t="s">
        <v>243</v>
      </c>
      <c r="BE31" s="5" t="s">
        <v>251</v>
      </c>
      <c r="BF31" s="5" t="s">
        <v>252</v>
      </c>
      <c r="BG31" s="5" t="s">
        <v>238</v>
      </c>
      <c r="BH31" s="7">
        <f>0</f>
        <v>0</v>
      </c>
      <c r="BI31" s="8">
        <f>0</f>
        <v>0</v>
      </c>
      <c r="BJ31" s="5" t="s">
        <v>253</v>
      </c>
      <c r="BK31" s="5" t="s">
        <v>254</v>
      </c>
      <c r="BY31" s="5" t="s">
        <v>238</v>
      </c>
      <c r="BZ31" s="5" t="s">
        <v>238</v>
      </c>
      <c r="CD31" s="5" t="s">
        <v>255</v>
      </c>
      <c r="CE31" s="5" t="s">
        <v>256</v>
      </c>
      <c r="CF31" s="5" t="s">
        <v>238</v>
      </c>
      <c r="CI31" s="6" t="s">
        <v>257</v>
      </c>
      <c r="CJ31" s="5" t="s">
        <v>238</v>
      </c>
      <c r="CK31" s="5" t="s">
        <v>258</v>
      </c>
      <c r="CL31" s="5" t="s">
        <v>238</v>
      </c>
      <c r="CM31" s="5" t="s">
        <v>238</v>
      </c>
      <c r="CN31" s="5">
        <v>0</v>
      </c>
      <c r="CO31" s="5" t="s">
        <v>259</v>
      </c>
      <c r="CP31" s="5" t="s">
        <v>260</v>
      </c>
      <c r="CQ31" s="5" t="s">
        <v>260</v>
      </c>
      <c r="CR31" s="5" t="s">
        <v>261</v>
      </c>
      <c r="CU31" s="8">
        <f>6959530</f>
        <v>6959530</v>
      </c>
      <c r="CV31" s="8">
        <f>0</f>
        <v>0</v>
      </c>
      <c r="CX31" s="8">
        <f>0</f>
        <v>0</v>
      </c>
      <c r="CY31" s="8">
        <f>6959530</f>
        <v>6959530</v>
      </c>
      <c r="DA31" s="5" t="s">
        <v>2032</v>
      </c>
      <c r="DB31" s="5" t="s">
        <v>238</v>
      </c>
      <c r="DD31" s="5" t="s">
        <v>2032</v>
      </c>
      <c r="DE31" s="8">
        <f>3142</f>
        <v>3142</v>
      </c>
      <c r="DF31" s="6" t="s">
        <v>3928</v>
      </c>
      <c r="DG31" s="5" t="s">
        <v>389</v>
      </c>
      <c r="DH31" s="5" t="s">
        <v>238</v>
      </c>
      <c r="DI31" s="5" t="s">
        <v>238</v>
      </c>
      <c r="DJ31" s="5" t="s">
        <v>238</v>
      </c>
      <c r="DN31" s="5" t="s">
        <v>238</v>
      </c>
      <c r="DO31" s="5" t="s">
        <v>238</v>
      </c>
      <c r="DP31" s="5" t="s">
        <v>238</v>
      </c>
      <c r="DQ31" s="5" t="s">
        <v>238</v>
      </c>
      <c r="DT31" s="5" t="s">
        <v>5045</v>
      </c>
      <c r="DU31" s="5" t="s">
        <v>806</v>
      </c>
      <c r="HM31" s="5" t="s">
        <v>264</v>
      </c>
    </row>
    <row r="32" spans="1:221" x14ac:dyDescent="0.4">
      <c r="A32" s="5">
        <v>739</v>
      </c>
      <c r="B32" s="5">
        <v>1</v>
      </c>
      <c r="C32" s="5">
        <v>1</v>
      </c>
      <c r="D32" s="5" t="s">
        <v>5043</v>
      </c>
      <c r="E32" s="5" t="s">
        <v>475</v>
      </c>
      <c r="F32" s="5" t="s">
        <v>248</v>
      </c>
      <c r="G32" s="5" t="s">
        <v>5042</v>
      </c>
      <c r="H32" s="6" t="s">
        <v>5044</v>
      </c>
      <c r="I32" s="7">
        <f>1758</f>
        <v>1758</v>
      </c>
      <c r="J32" s="5" t="s">
        <v>262</v>
      </c>
      <c r="K32" s="8">
        <f>3893970</f>
        <v>3893970</v>
      </c>
      <c r="L32" s="6" t="s">
        <v>242</v>
      </c>
      <c r="M32" s="5" t="s">
        <v>267</v>
      </c>
      <c r="N32" s="5" t="s">
        <v>237</v>
      </c>
      <c r="O32" s="5" t="s">
        <v>238</v>
      </c>
      <c r="P32" s="5" t="s">
        <v>238</v>
      </c>
      <c r="Q32" s="5" t="s">
        <v>239</v>
      </c>
      <c r="R32" s="5" t="s">
        <v>270</v>
      </c>
      <c r="S32" s="5" t="s">
        <v>238</v>
      </c>
      <c r="V32" s="5" t="s">
        <v>238</v>
      </c>
      <c r="X32" s="6" t="s">
        <v>238</v>
      </c>
      <c r="AA32" s="6" t="s">
        <v>243</v>
      </c>
      <c r="AB32" s="5" t="s">
        <v>238</v>
      </c>
      <c r="AC32" s="5" t="s">
        <v>244</v>
      </c>
      <c r="AD32" s="5" t="s">
        <v>245</v>
      </c>
      <c r="AT32" s="5" t="s">
        <v>246</v>
      </c>
      <c r="AU32" s="5" t="s">
        <v>238</v>
      </c>
      <c r="AV32" s="5" t="s">
        <v>247</v>
      </c>
      <c r="AW32" s="5" t="s">
        <v>238</v>
      </c>
      <c r="AX32" s="5" t="s">
        <v>249</v>
      </c>
      <c r="AY32" s="5" t="s">
        <v>238</v>
      </c>
      <c r="BA32" s="5" t="s">
        <v>238</v>
      </c>
      <c r="BC32" s="5" t="s">
        <v>250</v>
      </c>
      <c r="BD32" s="6" t="s">
        <v>243</v>
      </c>
      <c r="BE32" s="5" t="s">
        <v>251</v>
      </c>
      <c r="BF32" s="5" t="s">
        <v>252</v>
      </c>
      <c r="BG32" s="5" t="s">
        <v>238</v>
      </c>
      <c r="BH32" s="7">
        <f>0</f>
        <v>0</v>
      </c>
      <c r="BI32" s="8">
        <f>0</f>
        <v>0</v>
      </c>
      <c r="BJ32" s="5" t="s">
        <v>253</v>
      </c>
      <c r="BK32" s="5" t="s">
        <v>254</v>
      </c>
      <c r="BY32" s="5" t="s">
        <v>238</v>
      </c>
      <c r="BZ32" s="5" t="s">
        <v>238</v>
      </c>
      <c r="CD32" s="5" t="s">
        <v>255</v>
      </c>
      <c r="CE32" s="5" t="s">
        <v>256</v>
      </c>
      <c r="CF32" s="5" t="s">
        <v>238</v>
      </c>
      <c r="CI32" s="6" t="s">
        <v>257</v>
      </c>
      <c r="CJ32" s="5" t="s">
        <v>238</v>
      </c>
      <c r="CK32" s="5" t="s">
        <v>258</v>
      </c>
      <c r="CL32" s="5" t="s">
        <v>238</v>
      </c>
      <c r="CM32" s="5" t="s">
        <v>238</v>
      </c>
      <c r="CN32" s="5">
        <v>0</v>
      </c>
      <c r="CO32" s="5" t="s">
        <v>259</v>
      </c>
      <c r="CP32" s="5" t="s">
        <v>260</v>
      </c>
      <c r="CQ32" s="5" t="s">
        <v>260</v>
      </c>
      <c r="CR32" s="5" t="s">
        <v>261</v>
      </c>
      <c r="CU32" s="8">
        <f>3893970</f>
        <v>3893970</v>
      </c>
      <c r="CV32" s="8">
        <f>0</f>
        <v>0</v>
      </c>
      <c r="CX32" s="8">
        <f>0</f>
        <v>0</v>
      </c>
      <c r="CY32" s="8">
        <f>3893970</f>
        <v>3893970</v>
      </c>
      <c r="DA32" s="5" t="s">
        <v>2032</v>
      </c>
      <c r="DB32" s="5" t="s">
        <v>238</v>
      </c>
      <c r="DD32" s="5" t="s">
        <v>2032</v>
      </c>
      <c r="DE32" s="8">
        <f>1758</f>
        <v>1758</v>
      </c>
      <c r="DG32" s="5" t="s">
        <v>389</v>
      </c>
      <c r="DH32" s="5" t="s">
        <v>238</v>
      </c>
      <c r="DI32" s="5" t="s">
        <v>238</v>
      </c>
      <c r="DJ32" s="5" t="s">
        <v>238</v>
      </c>
      <c r="DN32" s="5" t="s">
        <v>238</v>
      </c>
      <c r="DO32" s="5" t="s">
        <v>238</v>
      </c>
      <c r="DP32" s="5" t="s">
        <v>238</v>
      </c>
      <c r="DQ32" s="5" t="s">
        <v>238</v>
      </c>
      <c r="DT32" s="5" t="s">
        <v>5045</v>
      </c>
      <c r="DU32" s="5" t="s">
        <v>854</v>
      </c>
      <c r="HM32" s="5" t="s">
        <v>264</v>
      </c>
    </row>
    <row r="33" spans="1:221" x14ac:dyDescent="0.4">
      <c r="A33" s="5">
        <v>740</v>
      </c>
      <c r="B33" s="5">
        <v>1</v>
      </c>
      <c r="C33" s="5">
        <v>1</v>
      </c>
      <c r="D33" s="5" t="s">
        <v>5043</v>
      </c>
      <c r="E33" s="5" t="s">
        <v>475</v>
      </c>
      <c r="F33" s="5" t="s">
        <v>248</v>
      </c>
      <c r="G33" s="5" t="s">
        <v>5042</v>
      </c>
      <c r="H33" s="6" t="s">
        <v>5047</v>
      </c>
      <c r="I33" s="7">
        <f>1203</f>
        <v>1203</v>
      </c>
      <c r="J33" s="5" t="s">
        <v>262</v>
      </c>
      <c r="K33" s="8">
        <f>2664645</f>
        <v>2664645</v>
      </c>
      <c r="L33" s="6" t="s">
        <v>242</v>
      </c>
      <c r="M33" s="5" t="s">
        <v>267</v>
      </c>
      <c r="N33" s="5" t="s">
        <v>237</v>
      </c>
      <c r="O33" s="5" t="s">
        <v>238</v>
      </c>
      <c r="P33" s="5" t="s">
        <v>238</v>
      </c>
      <c r="Q33" s="5" t="s">
        <v>239</v>
      </c>
      <c r="R33" s="5" t="s">
        <v>270</v>
      </c>
      <c r="S33" s="5" t="s">
        <v>238</v>
      </c>
      <c r="V33" s="5" t="s">
        <v>238</v>
      </c>
      <c r="X33" s="6" t="s">
        <v>238</v>
      </c>
      <c r="AA33" s="6" t="s">
        <v>243</v>
      </c>
      <c r="AB33" s="5" t="s">
        <v>238</v>
      </c>
      <c r="AC33" s="5" t="s">
        <v>244</v>
      </c>
      <c r="AD33" s="5" t="s">
        <v>245</v>
      </c>
      <c r="AT33" s="5" t="s">
        <v>246</v>
      </c>
      <c r="AU33" s="5" t="s">
        <v>238</v>
      </c>
      <c r="AV33" s="5" t="s">
        <v>247</v>
      </c>
      <c r="AW33" s="5" t="s">
        <v>238</v>
      </c>
      <c r="AX33" s="5" t="s">
        <v>249</v>
      </c>
      <c r="AY33" s="5" t="s">
        <v>238</v>
      </c>
      <c r="BA33" s="5" t="s">
        <v>238</v>
      </c>
      <c r="BC33" s="5" t="s">
        <v>250</v>
      </c>
      <c r="BD33" s="6" t="s">
        <v>243</v>
      </c>
      <c r="BE33" s="5" t="s">
        <v>251</v>
      </c>
      <c r="BF33" s="5" t="s">
        <v>252</v>
      </c>
      <c r="BG33" s="5" t="s">
        <v>238</v>
      </c>
      <c r="BH33" s="7">
        <f>0</f>
        <v>0</v>
      </c>
      <c r="BI33" s="8">
        <f>0</f>
        <v>0</v>
      </c>
      <c r="BJ33" s="5" t="s">
        <v>253</v>
      </c>
      <c r="BK33" s="5" t="s">
        <v>254</v>
      </c>
      <c r="BY33" s="5" t="s">
        <v>238</v>
      </c>
      <c r="BZ33" s="5" t="s">
        <v>238</v>
      </c>
      <c r="CD33" s="5" t="s">
        <v>255</v>
      </c>
      <c r="CE33" s="5" t="s">
        <v>256</v>
      </c>
      <c r="CF33" s="5" t="s">
        <v>238</v>
      </c>
      <c r="CI33" s="6" t="s">
        <v>257</v>
      </c>
      <c r="CJ33" s="5" t="s">
        <v>238</v>
      </c>
      <c r="CK33" s="5" t="s">
        <v>258</v>
      </c>
      <c r="CL33" s="5" t="s">
        <v>238</v>
      </c>
      <c r="CM33" s="5" t="s">
        <v>238</v>
      </c>
      <c r="CN33" s="5">
        <v>0</v>
      </c>
      <c r="CO33" s="5" t="s">
        <v>259</v>
      </c>
      <c r="CP33" s="5" t="s">
        <v>260</v>
      </c>
      <c r="CQ33" s="5" t="s">
        <v>260</v>
      </c>
      <c r="CR33" s="5" t="s">
        <v>261</v>
      </c>
      <c r="CU33" s="8">
        <f>2664645</f>
        <v>2664645</v>
      </c>
      <c r="CV33" s="8">
        <f>0</f>
        <v>0</v>
      </c>
      <c r="CX33" s="8">
        <f>0</f>
        <v>0</v>
      </c>
      <c r="CY33" s="8">
        <f>2664645</f>
        <v>2664645</v>
      </c>
      <c r="DA33" s="5" t="s">
        <v>2032</v>
      </c>
      <c r="DB33" s="5" t="s">
        <v>238</v>
      </c>
      <c r="DD33" s="5" t="s">
        <v>2032</v>
      </c>
      <c r="DE33" s="8">
        <f>1203</f>
        <v>1203</v>
      </c>
      <c r="DG33" s="5" t="s">
        <v>389</v>
      </c>
      <c r="DH33" s="5" t="s">
        <v>238</v>
      </c>
      <c r="DI33" s="5" t="s">
        <v>238</v>
      </c>
      <c r="DJ33" s="5" t="s">
        <v>238</v>
      </c>
      <c r="DN33" s="5" t="s">
        <v>238</v>
      </c>
      <c r="DO33" s="5" t="s">
        <v>238</v>
      </c>
      <c r="DP33" s="5" t="s">
        <v>238</v>
      </c>
      <c r="DQ33" s="5" t="s">
        <v>238</v>
      </c>
      <c r="DT33" s="5" t="s">
        <v>5045</v>
      </c>
      <c r="DU33" s="5" t="s">
        <v>911</v>
      </c>
      <c r="HM33" s="5" t="s">
        <v>264</v>
      </c>
    </row>
    <row r="34" spans="1:221" x14ac:dyDescent="0.4">
      <c r="A34" s="5">
        <v>741</v>
      </c>
      <c r="B34" s="5">
        <v>1</v>
      </c>
      <c r="C34" s="5">
        <v>1</v>
      </c>
      <c r="D34" s="5" t="s">
        <v>5043</v>
      </c>
      <c r="E34" s="5" t="s">
        <v>475</v>
      </c>
      <c r="F34" s="5" t="s">
        <v>248</v>
      </c>
      <c r="G34" s="5" t="s">
        <v>5042</v>
      </c>
      <c r="H34" s="6" t="s">
        <v>5048</v>
      </c>
      <c r="I34" s="7">
        <f>1313</f>
        <v>1313</v>
      </c>
      <c r="J34" s="5" t="s">
        <v>262</v>
      </c>
      <c r="K34" s="8">
        <f>2908295</f>
        <v>2908295</v>
      </c>
      <c r="L34" s="6" t="s">
        <v>242</v>
      </c>
      <c r="M34" s="5" t="s">
        <v>267</v>
      </c>
      <c r="N34" s="5" t="s">
        <v>237</v>
      </c>
      <c r="O34" s="5" t="s">
        <v>238</v>
      </c>
      <c r="P34" s="5" t="s">
        <v>238</v>
      </c>
      <c r="Q34" s="5" t="s">
        <v>239</v>
      </c>
      <c r="R34" s="5" t="s">
        <v>270</v>
      </c>
      <c r="S34" s="5" t="s">
        <v>238</v>
      </c>
      <c r="V34" s="5" t="s">
        <v>238</v>
      </c>
      <c r="X34" s="6" t="s">
        <v>238</v>
      </c>
      <c r="AA34" s="6" t="s">
        <v>243</v>
      </c>
      <c r="AB34" s="5" t="s">
        <v>238</v>
      </c>
      <c r="AC34" s="5" t="s">
        <v>244</v>
      </c>
      <c r="AD34" s="5" t="s">
        <v>245</v>
      </c>
      <c r="AT34" s="5" t="s">
        <v>246</v>
      </c>
      <c r="AU34" s="5" t="s">
        <v>238</v>
      </c>
      <c r="AV34" s="5" t="s">
        <v>247</v>
      </c>
      <c r="AW34" s="5" t="s">
        <v>238</v>
      </c>
      <c r="AX34" s="5" t="s">
        <v>249</v>
      </c>
      <c r="AY34" s="5" t="s">
        <v>238</v>
      </c>
      <c r="BA34" s="5" t="s">
        <v>238</v>
      </c>
      <c r="BC34" s="5" t="s">
        <v>250</v>
      </c>
      <c r="BD34" s="6" t="s">
        <v>243</v>
      </c>
      <c r="BE34" s="5" t="s">
        <v>251</v>
      </c>
      <c r="BF34" s="5" t="s">
        <v>252</v>
      </c>
      <c r="BG34" s="5" t="s">
        <v>238</v>
      </c>
      <c r="BH34" s="7">
        <f>0</f>
        <v>0</v>
      </c>
      <c r="BI34" s="8">
        <f>0</f>
        <v>0</v>
      </c>
      <c r="BJ34" s="5" t="s">
        <v>253</v>
      </c>
      <c r="BK34" s="5" t="s">
        <v>254</v>
      </c>
      <c r="BY34" s="5" t="s">
        <v>238</v>
      </c>
      <c r="BZ34" s="5" t="s">
        <v>238</v>
      </c>
      <c r="CD34" s="5" t="s">
        <v>255</v>
      </c>
      <c r="CE34" s="5" t="s">
        <v>256</v>
      </c>
      <c r="CF34" s="5" t="s">
        <v>238</v>
      </c>
      <c r="CI34" s="6" t="s">
        <v>257</v>
      </c>
      <c r="CJ34" s="5" t="s">
        <v>238</v>
      </c>
      <c r="CK34" s="5" t="s">
        <v>258</v>
      </c>
      <c r="CL34" s="5" t="s">
        <v>238</v>
      </c>
      <c r="CM34" s="5" t="s">
        <v>238</v>
      </c>
      <c r="CN34" s="5">
        <v>0</v>
      </c>
      <c r="CO34" s="5" t="s">
        <v>259</v>
      </c>
      <c r="CP34" s="5" t="s">
        <v>260</v>
      </c>
      <c r="CQ34" s="5" t="s">
        <v>260</v>
      </c>
      <c r="CR34" s="5" t="s">
        <v>261</v>
      </c>
      <c r="CU34" s="8">
        <f>2908295</f>
        <v>2908295</v>
      </c>
      <c r="CV34" s="8">
        <f>0</f>
        <v>0</v>
      </c>
      <c r="CX34" s="8">
        <f>0</f>
        <v>0</v>
      </c>
      <c r="CY34" s="8">
        <f>2908295</f>
        <v>2908295</v>
      </c>
      <c r="DA34" s="5" t="s">
        <v>2032</v>
      </c>
      <c r="DB34" s="5" t="s">
        <v>238</v>
      </c>
      <c r="DD34" s="5" t="s">
        <v>2032</v>
      </c>
      <c r="DE34" s="8">
        <f>1313</f>
        <v>1313</v>
      </c>
      <c r="DG34" s="5" t="s">
        <v>389</v>
      </c>
      <c r="DH34" s="5" t="s">
        <v>238</v>
      </c>
      <c r="DI34" s="5" t="s">
        <v>238</v>
      </c>
      <c r="DJ34" s="5" t="s">
        <v>238</v>
      </c>
      <c r="DN34" s="5" t="s">
        <v>238</v>
      </c>
      <c r="DO34" s="5" t="s">
        <v>238</v>
      </c>
      <c r="DP34" s="5" t="s">
        <v>238</v>
      </c>
      <c r="DQ34" s="5" t="s">
        <v>238</v>
      </c>
      <c r="DT34" s="5" t="s">
        <v>5045</v>
      </c>
      <c r="DU34" s="5" t="s">
        <v>967</v>
      </c>
      <c r="HM34" s="5" t="s">
        <v>264</v>
      </c>
    </row>
    <row r="35" spans="1:221" x14ac:dyDescent="0.4">
      <c r="A35" s="5">
        <v>742</v>
      </c>
      <c r="B35" s="5">
        <v>1</v>
      </c>
      <c r="C35" s="5">
        <v>1</v>
      </c>
      <c r="D35" s="5" t="s">
        <v>5043</v>
      </c>
      <c r="E35" s="5" t="s">
        <v>475</v>
      </c>
      <c r="F35" s="5" t="s">
        <v>248</v>
      </c>
      <c r="G35" s="5" t="s">
        <v>5042</v>
      </c>
      <c r="H35" s="6" t="s">
        <v>5046</v>
      </c>
      <c r="I35" s="7">
        <f>1983</f>
        <v>1983</v>
      </c>
      <c r="J35" s="5" t="s">
        <v>262</v>
      </c>
      <c r="K35" s="8">
        <f>4392345</f>
        <v>4392345</v>
      </c>
      <c r="L35" s="6" t="s">
        <v>242</v>
      </c>
      <c r="M35" s="5" t="s">
        <v>267</v>
      </c>
      <c r="N35" s="5" t="s">
        <v>237</v>
      </c>
      <c r="O35" s="5" t="s">
        <v>238</v>
      </c>
      <c r="P35" s="5" t="s">
        <v>238</v>
      </c>
      <c r="Q35" s="5" t="s">
        <v>239</v>
      </c>
      <c r="R35" s="5" t="s">
        <v>270</v>
      </c>
      <c r="S35" s="5" t="s">
        <v>238</v>
      </c>
      <c r="V35" s="5" t="s">
        <v>238</v>
      </c>
      <c r="X35" s="6" t="s">
        <v>238</v>
      </c>
      <c r="AA35" s="6" t="s">
        <v>243</v>
      </c>
      <c r="AB35" s="5" t="s">
        <v>238</v>
      </c>
      <c r="AC35" s="5" t="s">
        <v>244</v>
      </c>
      <c r="AD35" s="5" t="s">
        <v>245</v>
      </c>
      <c r="AT35" s="5" t="s">
        <v>246</v>
      </c>
      <c r="AU35" s="5" t="s">
        <v>238</v>
      </c>
      <c r="AV35" s="5" t="s">
        <v>247</v>
      </c>
      <c r="AW35" s="5" t="s">
        <v>238</v>
      </c>
      <c r="AX35" s="5" t="s">
        <v>249</v>
      </c>
      <c r="AY35" s="5" t="s">
        <v>238</v>
      </c>
      <c r="BA35" s="5" t="s">
        <v>238</v>
      </c>
      <c r="BC35" s="5" t="s">
        <v>250</v>
      </c>
      <c r="BD35" s="6" t="s">
        <v>243</v>
      </c>
      <c r="BE35" s="5" t="s">
        <v>251</v>
      </c>
      <c r="BF35" s="5" t="s">
        <v>252</v>
      </c>
      <c r="BG35" s="5" t="s">
        <v>238</v>
      </c>
      <c r="BH35" s="7">
        <f>0</f>
        <v>0</v>
      </c>
      <c r="BI35" s="8">
        <f>0</f>
        <v>0</v>
      </c>
      <c r="BJ35" s="5" t="s">
        <v>253</v>
      </c>
      <c r="BK35" s="5" t="s">
        <v>254</v>
      </c>
      <c r="BY35" s="5" t="s">
        <v>238</v>
      </c>
      <c r="BZ35" s="5" t="s">
        <v>238</v>
      </c>
      <c r="CD35" s="5" t="s">
        <v>255</v>
      </c>
      <c r="CE35" s="5" t="s">
        <v>256</v>
      </c>
      <c r="CF35" s="5" t="s">
        <v>238</v>
      </c>
      <c r="CI35" s="6" t="s">
        <v>257</v>
      </c>
      <c r="CJ35" s="5" t="s">
        <v>238</v>
      </c>
      <c r="CK35" s="5" t="s">
        <v>258</v>
      </c>
      <c r="CL35" s="5" t="s">
        <v>238</v>
      </c>
      <c r="CM35" s="5" t="s">
        <v>238</v>
      </c>
      <c r="CN35" s="5">
        <v>0</v>
      </c>
      <c r="CO35" s="5" t="s">
        <v>259</v>
      </c>
      <c r="CP35" s="5" t="s">
        <v>260</v>
      </c>
      <c r="CQ35" s="5" t="s">
        <v>260</v>
      </c>
      <c r="CR35" s="5" t="s">
        <v>261</v>
      </c>
      <c r="CU35" s="8">
        <f>4392345</f>
        <v>4392345</v>
      </c>
      <c r="CV35" s="8">
        <f>0</f>
        <v>0</v>
      </c>
      <c r="CX35" s="8">
        <f>0</f>
        <v>0</v>
      </c>
      <c r="CY35" s="8">
        <f>4392345</f>
        <v>4392345</v>
      </c>
      <c r="DA35" s="5" t="s">
        <v>2032</v>
      </c>
      <c r="DB35" s="5" t="s">
        <v>238</v>
      </c>
      <c r="DD35" s="5" t="s">
        <v>2032</v>
      </c>
      <c r="DE35" s="8">
        <f>1983</f>
        <v>1983</v>
      </c>
      <c r="DG35" s="5" t="s">
        <v>389</v>
      </c>
      <c r="DH35" s="5" t="s">
        <v>238</v>
      </c>
      <c r="DI35" s="5" t="s">
        <v>238</v>
      </c>
      <c r="DJ35" s="5" t="s">
        <v>238</v>
      </c>
      <c r="DN35" s="5" t="s">
        <v>238</v>
      </c>
      <c r="DO35" s="5" t="s">
        <v>238</v>
      </c>
      <c r="DP35" s="5" t="s">
        <v>238</v>
      </c>
      <c r="DQ35" s="5" t="s">
        <v>238</v>
      </c>
      <c r="DT35" s="5" t="s">
        <v>5045</v>
      </c>
      <c r="DU35" s="5" t="s">
        <v>1376</v>
      </c>
      <c r="HM35" s="5" t="s">
        <v>264</v>
      </c>
    </row>
    <row r="36" spans="1:221" x14ac:dyDescent="0.4">
      <c r="A36" s="5">
        <v>743</v>
      </c>
      <c r="B36" s="5">
        <v>1</v>
      </c>
      <c r="C36" s="5">
        <v>1</v>
      </c>
      <c r="D36" s="5" t="s">
        <v>5057</v>
      </c>
      <c r="E36" s="5" t="s">
        <v>475</v>
      </c>
      <c r="F36" s="5" t="s">
        <v>248</v>
      </c>
      <c r="G36" s="5" t="s">
        <v>5056</v>
      </c>
      <c r="H36" s="6" t="s">
        <v>5058</v>
      </c>
      <c r="I36" s="7">
        <f>11005</f>
        <v>11005</v>
      </c>
      <c r="J36" s="5" t="s">
        <v>262</v>
      </c>
      <c r="K36" s="8">
        <f>24376075</f>
        <v>24376075</v>
      </c>
      <c r="L36" s="6" t="s">
        <v>242</v>
      </c>
      <c r="M36" s="5" t="s">
        <v>267</v>
      </c>
      <c r="N36" s="5" t="s">
        <v>237</v>
      </c>
      <c r="O36" s="5" t="s">
        <v>238</v>
      </c>
      <c r="P36" s="5" t="s">
        <v>238</v>
      </c>
      <c r="Q36" s="5" t="s">
        <v>239</v>
      </c>
      <c r="R36" s="5" t="s">
        <v>270</v>
      </c>
      <c r="S36" s="5" t="s">
        <v>238</v>
      </c>
      <c r="V36" s="5" t="s">
        <v>238</v>
      </c>
      <c r="X36" s="6" t="s">
        <v>238</v>
      </c>
      <c r="AA36" s="6" t="s">
        <v>243</v>
      </c>
      <c r="AB36" s="5" t="s">
        <v>238</v>
      </c>
      <c r="AC36" s="5" t="s">
        <v>244</v>
      </c>
      <c r="AD36" s="5" t="s">
        <v>245</v>
      </c>
      <c r="AT36" s="5" t="s">
        <v>246</v>
      </c>
      <c r="AU36" s="5" t="s">
        <v>238</v>
      </c>
      <c r="AV36" s="5" t="s">
        <v>247</v>
      </c>
      <c r="AW36" s="5" t="s">
        <v>238</v>
      </c>
      <c r="AX36" s="5" t="s">
        <v>249</v>
      </c>
      <c r="AY36" s="5" t="s">
        <v>238</v>
      </c>
      <c r="BA36" s="5" t="s">
        <v>4547</v>
      </c>
      <c r="BC36" s="5" t="s">
        <v>250</v>
      </c>
      <c r="BD36" s="6" t="s">
        <v>243</v>
      </c>
      <c r="BE36" s="5" t="s">
        <v>251</v>
      </c>
      <c r="BF36" s="5" t="s">
        <v>252</v>
      </c>
      <c r="BG36" s="5" t="s">
        <v>238</v>
      </c>
      <c r="BH36" s="7">
        <f>0</f>
        <v>0</v>
      </c>
      <c r="BI36" s="8">
        <f>0</f>
        <v>0</v>
      </c>
      <c r="BJ36" s="5" t="s">
        <v>253</v>
      </c>
      <c r="BK36" s="5" t="s">
        <v>254</v>
      </c>
      <c r="BY36" s="5" t="s">
        <v>238</v>
      </c>
      <c r="BZ36" s="5" t="s">
        <v>238</v>
      </c>
      <c r="CD36" s="5" t="s">
        <v>255</v>
      </c>
      <c r="CE36" s="5" t="s">
        <v>256</v>
      </c>
      <c r="CF36" s="5" t="s">
        <v>238</v>
      </c>
      <c r="CI36" s="6" t="s">
        <v>257</v>
      </c>
      <c r="CJ36" s="5" t="s">
        <v>238</v>
      </c>
      <c r="CK36" s="5" t="s">
        <v>258</v>
      </c>
      <c r="CL36" s="5" t="s">
        <v>238</v>
      </c>
      <c r="CM36" s="5" t="s">
        <v>238</v>
      </c>
      <c r="CN36" s="5">
        <v>0</v>
      </c>
      <c r="CO36" s="5" t="s">
        <v>259</v>
      </c>
      <c r="CP36" s="5" t="s">
        <v>260</v>
      </c>
      <c r="CQ36" s="5" t="s">
        <v>260</v>
      </c>
      <c r="CR36" s="5" t="s">
        <v>261</v>
      </c>
      <c r="CU36" s="8">
        <f>24376075</f>
        <v>24376075</v>
      </c>
      <c r="CV36" s="8">
        <f>0</f>
        <v>0</v>
      </c>
      <c r="CX36" s="8">
        <f>0</f>
        <v>0</v>
      </c>
      <c r="CY36" s="8">
        <f>24376075</f>
        <v>24376075</v>
      </c>
      <c r="DA36" s="5" t="s">
        <v>2032</v>
      </c>
      <c r="DB36" s="5" t="s">
        <v>238</v>
      </c>
      <c r="DD36" s="5" t="s">
        <v>2032</v>
      </c>
      <c r="DE36" s="8">
        <f>11005</f>
        <v>11005</v>
      </c>
      <c r="DG36" s="5" t="s">
        <v>389</v>
      </c>
      <c r="DH36" s="5" t="s">
        <v>238</v>
      </c>
      <c r="DI36" s="5" t="s">
        <v>238</v>
      </c>
      <c r="DJ36" s="5" t="s">
        <v>238</v>
      </c>
      <c r="DN36" s="5" t="s">
        <v>238</v>
      </c>
      <c r="DO36" s="5" t="s">
        <v>238</v>
      </c>
      <c r="DP36" s="5" t="s">
        <v>238</v>
      </c>
      <c r="DQ36" s="5" t="s">
        <v>238</v>
      </c>
      <c r="DT36" s="5" t="s">
        <v>5059</v>
      </c>
      <c r="DU36" s="5" t="s">
        <v>264</v>
      </c>
      <c r="HM36" s="5" t="s">
        <v>264</v>
      </c>
    </row>
    <row r="37" spans="1:221" x14ac:dyDescent="0.4">
      <c r="A37" s="5">
        <v>744</v>
      </c>
      <c r="B37" s="5">
        <v>1</v>
      </c>
      <c r="C37" s="5">
        <v>1</v>
      </c>
      <c r="D37" s="5" t="s">
        <v>5063</v>
      </c>
      <c r="E37" s="5" t="s">
        <v>475</v>
      </c>
      <c r="F37" s="5" t="s">
        <v>248</v>
      </c>
      <c r="G37" s="5" t="s">
        <v>5066</v>
      </c>
      <c r="H37" s="6" t="s">
        <v>5094</v>
      </c>
      <c r="I37" s="7">
        <f>11103</f>
        <v>11103</v>
      </c>
      <c r="J37" s="5" t="s">
        <v>262</v>
      </c>
      <c r="K37" s="8">
        <f>24593145</f>
        <v>24593145</v>
      </c>
      <c r="L37" s="6" t="s">
        <v>242</v>
      </c>
      <c r="M37" s="5" t="s">
        <v>267</v>
      </c>
      <c r="N37" s="5" t="s">
        <v>237</v>
      </c>
      <c r="O37" s="5" t="s">
        <v>238</v>
      </c>
      <c r="P37" s="5" t="s">
        <v>238</v>
      </c>
      <c r="Q37" s="5" t="s">
        <v>239</v>
      </c>
      <c r="R37" s="5" t="s">
        <v>270</v>
      </c>
      <c r="S37" s="5" t="s">
        <v>238</v>
      </c>
      <c r="V37" s="5" t="s">
        <v>238</v>
      </c>
      <c r="X37" s="6" t="s">
        <v>238</v>
      </c>
      <c r="AA37" s="6" t="s">
        <v>243</v>
      </c>
      <c r="AB37" s="5" t="s">
        <v>238</v>
      </c>
      <c r="AC37" s="5" t="s">
        <v>244</v>
      </c>
      <c r="AD37" s="5" t="s">
        <v>245</v>
      </c>
      <c r="AT37" s="5" t="s">
        <v>246</v>
      </c>
      <c r="AU37" s="5" t="s">
        <v>238</v>
      </c>
      <c r="AV37" s="5" t="s">
        <v>247</v>
      </c>
      <c r="AW37" s="5" t="s">
        <v>238</v>
      </c>
      <c r="AX37" s="5" t="s">
        <v>249</v>
      </c>
      <c r="AY37" s="5" t="s">
        <v>238</v>
      </c>
      <c r="BA37" s="5" t="s">
        <v>4547</v>
      </c>
      <c r="BC37" s="5" t="s">
        <v>250</v>
      </c>
      <c r="BD37" s="6" t="s">
        <v>243</v>
      </c>
      <c r="BE37" s="5" t="s">
        <v>251</v>
      </c>
      <c r="BF37" s="5" t="s">
        <v>252</v>
      </c>
      <c r="BG37" s="5" t="s">
        <v>238</v>
      </c>
      <c r="BH37" s="7">
        <f>0</f>
        <v>0</v>
      </c>
      <c r="BI37" s="8">
        <f>0</f>
        <v>0</v>
      </c>
      <c r="BJ37" s="5" t="s">
        <v>253</v>
      </c>
      <c r="BK37" s="5" t="s">
        <v>254</v>
      </c>
      <c r="BY37" s="5" t="s">
        <v>238</v>
      </c>
      <c r="BZ37" s="5" t="s">
        <v>238</v>
      </c>
      <c r="CD37" s="5" t="s">
        <v>255</v>
      </c>
      <c r="CE37" s="5" t="s">
        <v>256</v>
      </c>
      <c r="CF37" s="5" t="s">
        <v>238</v>
      </c>
      <c r="CI37" s="6" t="s">
        <v>257</v>
      </c>
      <c r="CJ37" s="5" t="s">
        <v>238</v>
      </c>
      <c r="CK37" s="5" t="s">
        <v>258</v>
      </c>
      <c r="CL37" s="5" t="s">
        <v>238</v>
      </c>
      <c r="CM37" s="5" t="s">
        <v>238</v>
      </c>
      <c r="CN37" s="5">
        <v>0</v>
      </c>
      <c r="CO37" s="5" t="s">
        <v>259</v>
      </c>
      <c r="CP37" s="5" t="s">
        <v>260</v>
      </c>
      <c r="CQ37" s="5" t="s">
        <v>260</v>
      </c>
      <c r="CR37" s="5" t="s">
        <v>261</v>
      </c>
      <c r="CU37" s="8">
        <f>24593145</f>
        <v>24593145</v>
      </c>
      <c r="CV37" s="8">
        <f>0</f>
        <v>0</v>
      </c>
      <c r="CX37" s="8">
        <f>0</f>
        <v>0</v>
      </c>
      <c r="CY37" s="8">
        <f>24593145</f>
        <v>24593145</v>
      </c>
      <c r="DA37" s="5" t="s">
        <v>2032</v>
      </c>
      <c r="DB37" s="5" t="s">
        <v>238</v>
      </c>
      <c r="DD37" s="5" t="s">
        <v>2032</v>
      </c>
      <c r="DE37" s="8">
        <f>11103</f>
        <v>11103</v>
      </c>
      <c r="DG37" s="5" t="s">
        <v>389</v>
      </c>
      <c r="DH37" s="5" t="s">
        <v>238</v>
      </c>
      <c r="DI37" s="5" t="s">
        <v>238</v>
      </c>
      <c r="DJ37" s="5" t="s">
        <v>238</v>
      </c>
      <c r="DN37" s="5" t="s">
        <v>238</v>
      </c>
      <c r="DO37" s="5" t="s">
        <v>238</v>
      </c>
      <c r="DP37" s="5" t="s">
        <v>238</v>
      </c>
      <c r="DQ37" s="5" t="s">
        <v>238</v>
      </c>
      <c r="DT37" s="5" t="s">
        <v>5068</v>
      </c>
      <c r="DU37" s="5" t="s">
        <v>264</v>
      </c>
      <c r="HM37" s="5" t="s">
        <v>264</v>
      </c>
    </row>
    <row r="38" spans="1:221" x14ac:dyDescent="0.4">
      <c r="A38" s="5">
        <v>745</v>
      </c>
      <c r="B38" s="5">
        <v>1</v>
      </c>
      <c r="C38" s="5">
        <v>1</v>
      </c>
      <c r="D38" s="5" t="s">
        <v>5063</v>
      </c>
      <c r="E38" s="5" t="s">
        <v>475</v>
      </c>
      <c r="F38" s="5" t="s">
        <v>248</v>
      </c>
      <c r="G38" s="5" t="s">
        <v>5066</v>
      </c>
      <c r="H38" s="6" t="s">
        <v>5080</v>
      </c>
      <c r="I38" s="7">
        <f>2069</f>
        <v>2069</v>
      </c>
      <c r="J38" s="5" t="s">
        <v>262</v>
      </c>
      <c r="K38" s="8">
        <f>4582835</f>
        <v>4582835</v>
      </c>
      <c r="L38" s="6" t="s">
        <v>242</v>
      </c>
      <c r="M38" s="5" t="s">
        <v>267</v>
      </c>
      <c r="N38" s="5" t="s">
        <v>237</v>
      </c>
      <c r="O38" s="5" t="s">
        <v>238</v>
      </c>
      <c r="P38" s="5" t="s">
        <v>238</v>
      </c>
      <c r="Q38" s="5" t="s">
        <v>239</v>
      </c>
      <c r="R38" s="5" t="s">
        <v>270</v>
      </c>
      <c r="S38" s="5" t="s">
        <v>238</v>
      </c>
      <c r="V38" s="5" t="s">
        <v>238</v>
      </c>
      <c r="X38" s="6" t="s">
        <v>238</v>
      </c>
      <c r="AA38" s="6" t="s">
        <v>243</v>
      </c>
      <c r="AB38" s="5" t="s">
        <v>238</v>
      </c>
      <c r="AC38" s="5" t="s">
        <v>244</v>
      </c>
      <c r="AD38" s="5" t="s">
        <v>245</v>
      </c>
      <c r="AT38" s="5" t="s">
        <v>246</v>
      </c>
      <c r="AU38" s="5" t="s">
        <v>238</v>
      </c>
      <c r="AV38" s="5" t="s">
        <v>247</v>
      </c>
      <c r="AW38" s="5" t="s">
        <v>238</v>
      </c>
      <c r="AX38" s="5" t="s">
        <v>249</v>
      </c>
      <c r="AY38" s="5" t="s">
        <v>238</v>
      </c>
      <c r="BA38" s="5" t="s">
        <v>238</v>
      </c>
      <c r="BC38" s="5" t="s">
        <v>250</v>
      </c>
      <c r="BD38" s="6" t="s">
        <v>243</v>
      </c>
      <c r="BE38" s="5" t="s">
        <v>251</v>
      </c>
      <c r="BF38" s="5" t="s">
        <v>252</v>
      </c>
      <c r="BG38" s="5" t="s">
        <v>238</v>
      </c>
      <c r="BH38" s="7">
        <f>0</f>
        <v>0</v>
      </c>
      <c r="BI38" s="8">
        <f>0</f>
        <v>0</v>
      </c>
      <c r="BJ38" s="5" t="s">
        <v>253</v>
      </c>
      <c r="BK38" s="5" t="s">
        <v>254</v>
      </c>
      <c r="BY38" s="5" t="s">
        <v>238</v>
      </c>
      <c r="BZ38" s="5" t="s">
        <v>238</v>
      </c>
      <c r="CD38" s="5" t="s">
        <v>255</v>
      </c>
      <c r="CE38" s="5" t="s">
        <v>256</v>
      </c>
      <c r="CF38" s="5" t="s">
        <v>238</v>
      </c>
      <c r="CI38" s="6" t="s">
        <v>257</v>
      </c>
      <c r="CJ38" s="5" t="s">
        <v>238</v>
      </c>
      <c r="CK38" s="5" t="s">
        <v>258</v>
      </c>
      <c r="CL38" s="5" t="s">
        <v>238</v>
      </c>
      <c r="CM38" s="5" t="s">
        <v>238</v>
      </c>
      <c r="CN38" s="5">
        <v>0</v>
      </c>
      <c r="CO38" s="5" t="s">
        <v>259</v>
      </c>
      <c r="CP38" s="5" t="s">
        <v>260</v>
      </c>
      <c r="CQ38" s="5" t="s">
        <v>260</v>
      </c>
      <c r="CR38" s="5" t="s">
        <v>261</v>
      </c>
      <c r="CU38" s="8">
        <f>4582835</f>
        <v>4582835</v>
      </c>
      <c r="CV38" s="8">
        <f>0</f>
        <v>0</v>
      </c>
      <c r="CX38" s="8">
        <f>0</f>
        <v>0</v>
      </c>
      <c r="CY38" s="8">
        <f>4582835</f>
        <v>4582835</v>
      </c>
      <c r="DA38" s="5" t="s">
        <v>2032</v>
      </c>
      <c r="DB38" s="5" t="s">
        <v>238</v>
      </c>
      <c r="DD38" s="5" t="s">
        <v>534</v>
      </c>
      <c r="DE38" s="8">
        <f>2069</f>
        <v>2069</v>
      </c>
      <c r="DG38" s="5" t="s">
        <v>389</v>
      </c>
      <c r="DH38" s="5" t="s">
        <v>238</v>
      </c>
      <c r="DI38" s="5" t="s">
        <v>238</v>
      </c>
      <c r="DJ38" s="5" t="s">
        <v>238</v>
      </c>
      <c r="DN38" s="5" t="s">
        <v>238</v>
      </c>
      <c r="DO38" s="5" t="s">
        <v>238</v>
      </c>
      <c r="DP38" s="5" t="s">
        <v>238</v>
      </c>
      <c r="DQ38" s="5" t="s">
        <v>238</v>
      </c>
      <c r="DT38" s="5" t="s">
        <v>5068</v>
      </c>
      <c r="DU38" s="5" t="s">
        <v>294</v>
      </c>
      <c r="HM38" s="5" t="s">
        <v>264</v>
      </c>
    </row>
    <row r="39" spans="1:221" x14ac:dyDescent="0.4">
      <c r="A39" s="5">
        <v>746</v>
      </c>
      <c r="B39" s="5">
        <v>1</v>
      </c>
      <c r="C39" s="5">
        <v>1</v>
      </c>
      <c r="D39" s="5" t="s">
        <v>5063</v>
      </c>
      <c r="E39" s="5" t="s">
        <v>475</v>
      </c>
      <c r="F39" s="5" t="s">
        <v>248</v>
      </c>
      <c r="G39" s="5" t="s">
        <v>5066</v>
      </c>
      <c r="H39" s="6" t="s">
        <v>5067</v>
      </c>
      <c r="I39" s="7">
        <f>1739</f>
        <v>1739</v>
      </c>
      <c r="J39" s="5" t="s">
        <v>262</v>
      </c>
      <c r="K39" s="8">
        <f>3851885</f>
        <v>3851885</v>
      </c>
      <c r="L39" s="6" t="s">
        <v>242</v>
      </c>
      <c r="M39" s="5" t="s">
        <v>267</v>
      </c>
      <c r="N39" s="5" t="s">
        <v>237</v>
      </c>
      <c r="O39" s="5" t="s">
        <v>238</v>
      </c>
      <c r="P39" s="5" t="s">
        <v>238</v>
      </c>
      <c r="Q39" s="5" t="s">
        <v>239</v>
      </c>
      <c r="R39" s="5" t="s">
        <v>270</v>
      </c>
      <c r="S39" s="5" t="s">
        <v>238</v>
      </c>
      <c r="V39" s="5" t="s">
        <v>238</v>
      </c>
      <c r="X39" s="6" t="s">
        <v>238</v>
      </c>
      <c r="AA39" s="6" t="s">
        <v>243</v>
      </c>
      <c r="AB39" s="5" t="s">
        <v>238</v>
      </c>
      <c r="AC39" s="5" t="s">
        <v>244</v>
      </c>
      <c r="AD39" s="5" t="s">
        <v>245</v>
      </c>
      <c r="AT39" s="5" t="s">
        <v>246</v>
      </c>
      <c r="AU39" s="5" t="s">
        <v>238</v>
      </c>
      <c r="AV39" s="5" t="s">
        <v>247</v>
      </c>
      <c r="AW39" s="5" t="s">
        <v>238</v>
      </c>
      <c r="AX39" s="5" t="s">
        <v>249</v>
      </c>
      <c r="AY39" s="5" t="s">
        <v>238</v>
      </c>
      <c r="BA39" s="5" t="s">
        <v>238</v>
      </c>
      <c r="BC39" s="5" t="s">
        <v>250</v>
      </c>
      <c r="BD39" s="6" t="s">
        <v>243</v>
      </c>
      <c r="BE39" s="5" t="s">
        <v>251</v>
      </c>
      <c r="BF39" s="5" t="s">
        <v>252</v>
      </c>
      <c r="BG39" s="5" t="s">
        <v>238</v>
      </c>
      <c r="BH39" s="7">
        <f>0</f>
        <v>0</v>
      </c>
      <c r="BI39" s="8">
        <f>0</f>
        <v>0</v>
      </c>
      <c r="BJ39" s="5" t="s">
        <v>253</v>
      </c>
      <c r="BK39" s="5" t="s">
        <v>254</v>
      </c>
      <c r="BY39" s="5" t="s">
        <v>238</v>
      </c>
      <c r="BZ39" s="5" t="s">
        <v>238</v>
      </c>
      <c r="CD39" s="5" t="s">
        <v>255</v>
      </c>
      <c r="CE39" s="5" t="s">
        <v>256</v>
      </c>
      <c r="CF39" s="5" t="s">
        <v>238</v>
      </c>
      <c r="CI39" s="6" t="s">
        <v>257</v>
      </c>
      <c r="CJ39" s="5" t="s">
        <v>238</v>
      </c>
      <c r="CK39" s="5" t="s">
        <v>258</v>
      </c>
      <c r="CL39" s="5" t="s">
        <v>238</v>
      </c>
      <c r="CM39" s="5" t="s">
        <v>238</v>
      </c>
      <c r="CN39" s="5">
        <v>0</v>
      </c>
      <c r="CO39" s="5" t="s">
        <v>259</v>
      </c>
      <c r="CP39" s="5" t="s">
        <v>260</v>
      </c>
      <c r="CQ39" s="5" t="s">
        <v>260</v>
      </c>
      <c r="CR39" s="5" t="s">
        <v>261</v>
      </c>
      <c r="CU39" s="8">
        <f>3851885</f>
        <v>3851885</v>
      </c>
      <c r="CV39" s="8">
        <f>0</f>
        <v>0</v>
      </c>
      <c r="CX39" s="8">
        <f>0</f>
        <v>0</v>
      </c>
      <c r="CY39" s="8">
        <f>3851885</f>
        <v>3851885</v>
      </c>
      <c r="DA39" s="5" t="s">
        <v>2032</v>
      </c>
      <c r="DB39" s="5" t="s">
        <v>238</v>
      </c>
      <c r="DD39" s="5" t="s">
        <v>2032</v>
      </c>
      <c r="DE39" s="8">
        <f>1739</f>
        <v>1739</v>
      </c>
      <c r="DG39" s="5" t="s">
        <v>389</v>
      </c>
      <c r="DH39" s="5" t="s">
        <v>238</v>
      </c>
      <c r="DI39" s="5" t="s">
        <v>238</v>
      </c>
      <c r="DJ39" s="5" t="s">
        <v>238</v>
      </c>
      <c r="DN39" s="5" t="s">
        <v>238</v>
      </c>
      <c r="DO39" s="5" t="s">
        <v>238</v>
      </c>
      <c r="DP39" s="5" t="s">
        <v>238</v>
      </c>
      <c r="DQ39" s="5" t="s">
        <v>238</v>
      </c>
      <c r="DT39" s="5" t="s">
        <v>5068</v>
      </c>
      <c r="DU39" s="5" t="s">
        <v>806</v>
      </c>
      <c r="HM39" s="5" t="s">
        <v>264</v>
      </c>
    </row>
    <row r="40" spans="1:221" x14ac:dyDescent="0.4">
      <c r="A40" s="5">
        <v>747</v>
      </c>
      <c r="B40" s="5">
        <v>1</v>
      </c>
      <c r="C40" s="5">
        <v>1</v>
      </c>
      <c r="D40" s="5" t="s">
        <v>5063</v>
      </c>
      <c r="E40" s="5" t="s">
        <v>475</v>
      </c>
      <c r="F40" s="5" t="s">
        <v>248</v>
      </c>
      <c r="G40" s="5" t="s">
        <v>5066</v>
      </c>
      <c r="H40" s="6" t="s">
        <v>5079</v>
      </c>
      <c r="I40" s="7">
        <f>670</f>
        <v>670</v>
      </c>
      <c r="J40" s="5" t="s">
        <v>262</v>
      </c>
      <c r="K40" s="8">
        <f>1484050</f>
        <v>1484050</v>
      </c>
      <c r="L40" s="6" t="s">
        <v>242</v>
      </c>
      <c r="M40" s="5" t="s">
        <v>267</v>
      </c>
      <c r="N40" s="5" t="s">
        <v>237</v>
      </c>
      <c r="O40" s="5" t="s">
        <v>238</v>
      </c>
      <c r="P40" s="5" t="s">
        <v>238</v>
      </c>
      <c r="Q40" s="5" t="s">
        <v>239</v>
      </c>
      <c r="R40" s="5" t="s">
        <v>270</v>
      </c>
      <c r="S40" s="5" t="s">
        <v>238</v>
      </c>
      <c r="V40" s="5" t="s">
        <v>238</v>
      </c>
      <c r="X40" s="6" t="s">
        <v>238</v>
      </c>
      <c r="AA40" s="6" t="s">
        <v>243</v>
      </c>
      <c r="AB40" s="5" t="s">
        <v>238</v>
      </c>
      <c r="AC40" s="5" t="s">
        <v>244</v>
      </c>
      <c r="AD40" s="5" t="s">
        <v>245</v>
      </c>
      <c r="AT40" s="5" t="s">
        <v>246</v>
      </c>
      <c r="AU40" s="5" t="s">
        <v>238</v>
      </c>
      <c r="AV40" s="5" t="s">
        <v>247</v>
      </c>
      <c r="AW40" s="5" t="s">
        <v>238</v>
      </c>
      <c r="AX40" s="5" t="s">
        <v>249</v>
      </c>
      <c r="AY40" s="5" t="s">
        <v>238</v>
      </c>
      <c r="BA40" s="5" t="s">
        <v>238</v>
      </c>
      <c r="BC40" s="5" t="s">
        <v>250</v>
      </c>
      <c r="BD40" s="6" t="s">
        <v>243</v>
      </c>
      <c r="BE40" s="5" t="s">
        <v>251</v>
      </c>
      <c r="BF40" s="5" t="s">
        <v>252</v>
      </c>
      <c r="BG40" s="5" t="s">
        <v>238</v>
      </c>
      <c r="BH40" s="7">
        <f>0</f>
        <v>0</v>
      </c>
      <c r="BI40" s="8">
        <f>0</f>
        <v>0</v>
      </c>
      <c r="BJ40" s="5" t="s">
        <v>253</v>
      </c>
      <c r="BK40" s="5" t="s">
        <v>254</v>
      </c>
      <c r="BY40" s="5" t="s">
        <v>238</v>
      </c>
      <c r="BZ40" s="5" t="s">
        <v>238</v>
      </c>
      <c r="CD40" s="5" t="s">
        <v>255</v>
      </c>
      <c r="CE40" s="5" t="s">
        <v>256</v>
      </c>
      <c r="CF40" s="5" t="s">
        <v>238</v>
      </c>
      <c r="CI40" s="6" t="s">
        <v>257</v>
      </c>
      <c r="CJ40" s="5" t="s">
        <v>238</v>
      </c>
      <c r="CK40" s="5" t="s">
        <v>258</v>
      </c>
      <c r="CL40" s="5" t="s">
        <v>238</v>
      </c>
      <c r="CM40" s="5" t="s">
        <v>238</v>
      </c>
      <c r="CN40" s="5">
        <v>0</v>
      </c>
      <c r="CO40" s="5" t="s">
        <v>259</v>
      </c>
      <c r="CP40" s="5" t="s">
        <v>260</v>
      </c>
      <c r="CQ40" s="5" t="s">
        <v>260</v>
      </c>
      <c r="CR40" s="5" t="s">
        <v>261</v>
      </c>
      <c r="CU40" s="8">
        <f>1484050</f>
        <v>1484050</v>
      </c>
      <c r="CV40" s="8">
        <f>0</f>
        <v>0</v>
      </c>
      <c r="CX40" s="8">
        <f>0</f>
        <v>0</v>
      </c>
      <c r="CY40" s="8">
        <f>1484050</f>
        <v>1484050</v>
      </c>
      <c r="DA40" s="5" t="s">
        <v>2032</v>
      </c>
      <c r="DB40" s="5" t="s">
        <v>238</v>
      </c>
      <c r="DD40" s="5" t="s">
        <v>2032</v>
      </c>
      <c r="DE40" s="8">
        <f>670</f>
        <v>670</v>
      </c>
      <c r="DG40" s="5" t="s">
        <v>389</v>
      </c>
      <c r="DH40" s="5" t="s">
        <v>238</v>
      </c>
      <c r="DI40" s="5" t="s">
        <v>238</v>
      </c>
      <c r="DJ40" s="5" t="s">
        <v>238</v>
      </c>
      <c r="DN40" s="5" t="s">
        <v>238</v>
      </c>
      <c r="DO40" s="5" t="s">
        <v>238</v>
      </c>
      <c r="DP40" s="5" t="s">
        <v>238</v>
      </c>
      <c r="DQ40" s="5" t="s">
        <v>238</v>
      </c>
      <c r="DT40" s="5" t="s">
        <v>5068</v>
      </c>
      <c r="DU40" s="5" t="s">
        <v>854</v>
      </c>
      <c r="HM40" s="5" t="s">
        <v>264</v>
      </c>
    </row>
    <row r="41" spans="1:221" x14ac:dyDescent="0.4">
      <c r="A41" s="5">
        <v>748</v>
      </c>
      <c r="B41" s="5">
        <v>1</v>
      </c>
      <c r="C41" s="5">
        <v>1</v>
      </c>
      <c r="D41" s="5" t="s">
        <v>5063</v>
      </c>
      <c r="E41" s="5" t="s">
        <v>475</v>
      </c>
      <c r="F41" s="5" t="s">
        <v>248</v>
      </c>
      <c r="G41" s="5" t="s">
        <v>5066</v>
      </c>
      <c r="H41" s="6" t="s">
        <v>5072</v>
      </c>
      <c r="I41" s="7">
        <f>448</f>
        <v>448</v>
      </c>
      <c r="J41" s="5" t="s">
        <v>262</v>
      </c>
      <c r="K41" s="8">
        <f>992320</f>
        <v>992320</v>
      </c>
      <c r="L41" s="6" t="s">
        <v>242</v>
      </c>
      <c r="M41" s="5" t="s">
        <v>267</v>
      </c>
      <c r="N41" s="5" t="s">
        <v>237</v>
      </c>
      <c r="O41" s="5" t="s">
        <v>238</v>
      </c>
      <c r="P41" s="5" t="s">
        <v>238</v>
      </c>
      <c r="Q41" s="5" t="s">
        <v>239</v>
      </c>
      <c r="R41" s="5" t="s">
        <v>270</v>
      </c>
      <c r="S41" s="5" t="s">
        <v>238</v>
      </c>
      <c r="V41" s="5" t="s">
        <v>238</v>
      </c>
      <c r="X41" s="6" t="s">
        <v>238</v>
      </c>
      <c r="AA41" s="6" t="s">
        <v>243</v>
      </c>
      <c r="AB41" s="5" t="s">
        <v>238</v>
      </c>
      <c r="AC41" s="5" t="s">
        <v>244</v>
      </c>
      <c r="AD41" s="5" t="s">
        <v>245</v>
      </c>
      <c r="AT41" s="5" t="s">
        <v>246</v>
      </c>
      <c r="AU41" s="5" t="s">
        <v>238</v>
      </c>
      <c r="AV41" s="5" t="s">
        <v>247</v>
      </c>
      <c r="AW41" s="5" t="s">
        <v>238</v>
      </c>
      <c r="AX41" s="5" t="s">
        <v>249</v>
      </c>
      <c r="AY41" s="5" t="s">
        <v>238</v>
      </c>
      <c r="BA41" s="5" t="s">
        <v>238</v>
      </c>
      <c r="BC41" s="5" t="s">
        <v>250</v>
      </c>
      <c r="BD41" s="6" t="s">
        <v>243</v>
      </c>
      <c r="BE41" s="5" t="s">
        <v>251</v>
      </c>
      <c r="BF41" s="5" t="s">
        <v>252</v>
      </c>
      <c r="BG41" s="5" t="s">
        <v>238</v>
      </c>
      <c r="BH41" s="7">
        <f>0</f>
        <v>0</v>
      </c>
      <c r="BI41" s="8">
        <f>0</f>
        <v>0</v>
      </c>
      <c r="BJ41" s="5" t="s">
        <v>253</v>
      </c>
      <c r="BK41" s="5" t="s">
        <v>254</v>
      </c>
      <c r="BY41" s="5" t="s">
        <v>238</v>
      </c>
      <c r="BZ41" s="5" t="s">
        <v>238</v>
      </c>
      <c r="CD41" s="5" t="s">
        <v>255</v>
      </c>
      <c r="CE41" s="5" t="s">
        <v>256</v>
      </c>
      <c r="CF41" s="5" t="s">
        <v>238</v>
      </c>
      <c r="CI41" s="6" t="s">
        <v>257</v>
      </c>
      <c r="CJ41" s="5" t="s">
        <v>238</v>
      </c>
      <c r="CK41" s="5" t="s">
        <v>258</v>
      </c>
      <c r="CL41" s="5" t="s">
        <v>238</v>
      </c>
      <c r="CM41" s="5" t="s">
        <v>238</v>
      </c>
      <c r="CN41" s="5">
        <v>0</v>
      </c>
      <c r="CO41" s="5" t="s">
        <v>259</v>
      </c>
      <c r="CP41" s="5" t="s">
        <v>260</v>
      </c>
      <c r="CQ41" s="5" t="s">
        <v>260</v>
      </c>
      <c r="CR41" s="5" t="s">
        <v>261</v>
      </c>
      <c r="CU41" s="8">
        <f>992320</f>
        <v>992320</v>
      </c>
      <c r="CV41" s="8">
        <f>0</f>
        <v>0</v>
      </c>
      <c r="CX41" s="8">
        <f>0</f>
        <v>0</v>
      </c>
      <c r="CY41" s="8">
        <f>992320</f>
        <v>992320</v>
      </c>
      <c r="DA41" s="5" t="s">
        <v>2032</v>
      </c>
      <c r="DB41" s="5" t="s">
        <v>238</v>
      </c>
      <c r="DD41" s="5" t="s">
        <v>2032</v>
      </c>
      <c r="DE41" s="8">
        <f>448</f>
        <v>448</v>
      </c>
      <c r="DG41" s="5" t="s">
        <v>389</v>
      </c>
      <c r="DH41" s="5" t="s">
        <v>238</v>
      </c>
      <c r="DI41" s="5" t="s">
        <v>238</v>
      </c>
      <c r="DJ41" s="5" t="s">
        <v>238</v>
      </c>
      <c r="DN41" s="5" t="s">
        <v>238</v>
      </c>
      <c r="DO41" s="5" t="s">
        <v>238</v>
      </c>
      <c r="DP41" s="5" t="s">
        <v>238</v>
      </c>
      <c r="DQ41" s="5" t="s">
        <v>238</v>
      </c>
      <c r="DT41" s="5" t="s">
        <v>5068</v>
      </c>
      <c r="DU41" s="5" t="s">
        <v>911</v>
      </c>
      <c r="HM41" s="5" t="s">
        <v>264</v>
      </c>
    </row>
    <row r="42" spans="1:221" x14ac:dyDescent="0.4">
      <c r="A42" s="5">
        <v>749</v>
      </c>
      <c r="B42" s="5">
        <v>1</v>
      </c>
      <c r="C42" s="5">
        <v>1</v>
      </c>
      <c r="D42" s="5" t="s">
        <v>5063</v>
      </c>
      <c r="E42" s="5" t="s">
        <v>475</v>
      </c>
      <c r="F42" s="5" t="s">
        <v>248</v>
      </c>
      <c r="G42" s="5" t="s">
        <v>5066</v>
      </c>
      <c r="H42" s="6" t="s">
        <v>5069</v>
      </c>
      <c r="I42" s="7">
        <f>458</f>
        <v>458</v>
      </c>
      <c r="J42" s="5" t="s">
        <v>262</v>
      </c>
      <c r="K42" s="8">
        <f>1014470</f>
        <v>1014470</v>
      </c>
      <c r="L42" s="6" t="s">
        <v>242</v>
      </c>
      <c r="M42" s="5" t="s">
        <v>267</v>
      </c>
      <c r="N42" s="5" t="s">
        <v>237</v>
      </c>
      <c r="O42" s="5" t="s">
        <v>238</v>
      </c>
      <c r="P42" s="5" t="s">
        <v>238</v>
      </c>
      <c r="Q42" s="5" t="s">
        <v>239</v>
      </c>
      <c r="R42" s="5" t="s">
        <v>270</v>
      </c>
      <c r="S42" s="5" t="s">
        <v>238</v>
      </c>
      <c r="V42" s="5" t="s">
        <v>238</v>
      </c>
      <c r="X42" s="6" t="s">
        <v>238</v>
      </c>
      <c r="AA42" s="6" t="s">
        <v>243</v>
      </c>
      <c r="AB42" s="5" t="s">
        <v>238</v>
      </c>
      <c r="AC42" s="5" t="s">
        <v>244</v>
      </c>
      <c r="AD42" s="5" t="s">
        <v>245</v>
      </c>
      <c r="AT42" s="5" t="s">
        <v>246</v>
      </c>
      <c r="AU42" s="5" t="s">
        <v>238</v>
      </c>
      <c r="AV42" s="5" t="s">
        <v>247</v>
      </c>
      <c r="AW42" s="5" t="s">
        <v>238</v>
      </c>
      <c r="AX42" s="5" t="s">
        <v>249</v>
      </c>
      <c r="AY42" s="5" t="s">
        <v>238</v>
      </c>
      <c r="BA42" s="5" t="s">
        <v>238</v>
      </c>
      <c r="BC42" s="5" t="s">
        <v>250</v>
      </c>
      <c r="BD42" s="6" t="s">
        <v>243</v>
      </c>
      <c r="BE42" s="5" t="s">
        <v>251</v>
      </c>
      <c r="BF42" s="5" t="s">
        <v>252</v>
      </c>
      <c r="BG42" s="5" t="s">
        <v>238</v>
      </c>
      <c r="BH42" s="7">
        <f>0</f>
        <v>0</v>
      </c>
      <c r="BI42" s="8">
        <f>0</f>
        <v>0</v>
      </c>
      <c r="BJ42" s="5" t="s">
        <v>253</v>
      </c>
      <c r="BK42" s="5" t="s">
        <v>254</v>
      </c>
      <c r="BY42" s="5" t="s">
        <v>238</v>
      </c>
      <c r="BZ42" s="5" t="s">
        <v>238</v>
      </c>
      <c r="CD42" s="5" t="s">
        <v>255</v>
      </c>
      <c r="CE42" s="5" t="s">
        <v>256</v>
      </c>
      <c r="CF42" s="5" t="s">
        <v>238</v>
      </c>
      <c r="CI42" s="6" t="s">
        <v>257</v>
      </c>
      <c r="CJ42" s="5" t="s">
        <v>238</v>
      </c>
      <c r="CK42" s="5" t="s">
        <v>258</v>
      </c>
      <c r="CL42" s="5" t="s">
        <v>238</v>
      </c>
      <c r="CM42" s="5" t="s">
        <v>238</v>
      </c>
      <c r="CN42" s="5">
        <v>0</v>
      </c>
      <c r="CO42" s="5" t="s">
        <v>259</v>
      </c>
      <c r="CP42" s="5" t="s">
        <v>260</v>
      </c>
      <c r="CQ42" s="5" t="s">
        <v>260</v>
      </c>
      <c r="CR42" s="5" t="s">
        <v>261</v>
      </c>
      <c r="CU42" s="8">
        <f>1014470</f>
        <v>1014470</v>
      </c>
      <c r="CV42" s="8">
        <f>0</f>
        <v>0</v>
      </c>
      <c r="CX42" s="8">
        <f>0</f>
        <v>0</v>
      </c>
      <c r="CY42" s="8">
        <f>1014470</f>
        <v>1014470</v>
      </c>
      <c r="DA42" s="5" t="s">
        <v>2032</v>
      </c>
      <c r="DB42" s="5" t="s">
        <v>238</v>
      </c>
      <c r="DD42" s="5" t="s">
        <v>2032</v>
      </c>
      <c r="DE42" s="8">
        <f>458</f>
        <v>458</v>
      </c>
      <c r="DG42" s="5" t="s">
        <v>389</v>
      </c>
      <c r="DH42" s="5" t="s">
        <v>238</v>
      </c>
      <c r="DI42" s="5" t="s">
        <v>238</v>
      </c>
      <c r="DJ42" s="5" t="s">
        <v>238</v>
      </c>
      <c r="DN42" s="5" t="s">
        <v>238</v>
      </c>
      <c r="DO42" s="5" t="s">
        <v>238</v>
      </c>
      <c r="DP42" s="5" t="s">
        <v>238</v>
      </c>
      <c r="DQ42" s="5" t="s">
        <v>238</v>
      </c>
      <c r="DT42" s="5" t="s">
        <v>5068</v>
      </c>
      <c r="DU42" s="5" t="s">
        <v>967</v>
      </c>
      <c r="HM42" s="5" t="s">
        <v>264</v>
      </c>
    </row>
    <row r="43" spans="1:221" x14ac:dyDescent="0.4">
      <c r="A43" s="5">
        <v>750</v>
      </c>
      <c r="B43" s="5">
        <v>1</v>
      </c>
      <c r="C43" s="5">
        <v>1</v>
      </c>
      <c r="D43" s="5" t="s">
        <v>5063</v>
      </c>
      <c r="E43" s="5" t="s">
        <v>475</v>
      </c>
      <c r="F43" s="5" t="s">
        <v>248</v>
      </c>
      <c r="G43" s="5" t="s">
        <v>5066</v>
      </c>
      <c r="H43" s="6" t="s">
        <v>5087</v>
      </c>
      <c r="I43" s="7">
        <f>278</f>
        <v>278</v>
      </c>
      <c r="J43" s="5" t="s">
        <v>262</v>
      </c>
      <c r="K43" s="8">
        <f>136220</f>
        <v>136220</v>
      </c>
      <c r="L43" s="6" t="s">
        <v>242</v>
      </c>
      <c r="M43" s="5" t="s">
        <v>267</v>
      </c>
      <c r="N43" s="5" t="s">
        <v>265</v>
      </c>
      <c r="O43" s="5" t="s">
        <v>238</v>
      </c>
      <c r="P43" s="5" t="s">
        <v>238</v>
      </c>
      <c r="Q43" s="5" t="s">
        <v>268</v>
      </c>
      <c r="R43" s="5" t="s">
        <v>270</v>
      </c>
      <c r="S43" s="5" t="s">
        <v>238</v>
      </c>
      <c r="V43" s="5" t="s">
        <v>238</v>
      </c>
      <c r="X43" s="6" t="s">
        <v>238</v>
      </c>
      <c r="AA43" s="6" t="s">
        <v>243</v>
      </c>
      <c r="AB43" s="5" t="s">
        <v>238</v>
      </c>
      <c r="AC43" s="5" t="s">
        <v>244</v>
      </c>
      <c r="AD43" s="5" t="s">
        <v>245</v>
      </c>
      <c r="AT43" s="5" t="s">
        <v>246</v>
      </c>
      <c r="AU43" s="5" t="s">
        <v>238</v>
      </c>
      <c r="AV43" s="5" t="s">
        <v>247</v>
      </c>
      <c r="AW43" s="5" t="s">
        <v>238</v>
      </c>
      <c r="AX43" s="5" t="s">
        <v>249</v>
      </c>
      <c r="AY43" s="5" t="s">
        <v>238</v>
      </c>
      <c r="BA43" s="5" t="s">
        <v>238</v>
      </c>
      <c r="BC43" s="5" t="s">
        <v>250</v>
      </c>
      <c r="BD43" s="6" t="s">
        <v>243</v>
      </c>
      <c r="BE43" s="5" t="s">
        <v>251</v>
      </c>
      <c r="BF43" s="5" t="s">
        <v>252</v>
      </c>
      <c r="BG43" s="5" t="s">
        <v>238</v>
      </c>
      <c r="BH43" s="7">
        <f>0</f>
        <v>0</v>
      </c>
      <c r="BI43" s="8">
        <f>0</f>
        <v>0</v>
      </c>
      <c r="BJ43" s="5" t="s">
        <v>253</v>
      </c>
      <c r="BK43" s="5" t="s">
        <v>254</v>
      </c>
      <c r="BY43" s="5" t="s">
        <v>238</v>
      </c>
      <c r="BZ43" s="5" t="s">
        <v>238</v>
      </c>
      <c r="CD43" s="5" t="s">
        <v>255</v>
      </c>
      <c r="CE43" s="5" t="s">
        <v>256</v>
      </c>
      <c r="CF43" s="5" t="s">
        <v>238</v>
      </c>
      <c r="CI43" s="6" t="s">
        <v>257</v>
      </c>
      <c r="CJ43" s="5" t="s">
        <v>238</v>
      </c>
      <c r="CK43" s="5" t="s">
        <v>258</v>
      </c>
      <c r="CL43" s="5" t="s">
        <v>238</v>
      </c>
      <c r="CM43" s="5" t="s">
        <v>238</v>
      </c>
      <c r="CN43" s="5">
        <v>0</v>
      </c>
      <c r="CO43" s="5" t="s">
        <v>259</v>
      </c>
      <c r="CP43" s="5" t="s">
        <v>260</v>
      </c>
      <c r="CQ43" s="5" t="s">
        <v>260</v>
      </c>
      <c r="CR43" s="5" t="s">
        <v>261</v>
      </c>
      <c r="CU43" s="8">
        <f>136220</f>
        <v>136220</v>
      </c>
      <c r="CV43" s="8">
        <f>0</f>
        <v>0</v>
      </c>
      <c r="CX43" s="8">
        <f>0</f>
        <v>0</v>
      </c>
      <c r="CY43" s="8">
        <f>136220</f>
        <v>136220</v>
      </c>
      <c r="DA43" s="5" t="s">
        <v>673</v>
      </c>
      <c r="DB43" s="5" t="s">
        <v>238</v>
      </c>
      <c r="DD43" s="5" t="s">
        <v>356</v>
      </c>
      <c r="DE43" s="8">
        <f>0</f>
        <v>0</v>
      </c>
      <c r="DG43" s="5" t="s">
        <v>356</v>
      </c>
      <c r="DH43" s="5" t="s">
        <v>238</v>
      </c>
      <c r="DI43" s="5" t="s">
        <v>238</v>
      </c>
      <c r="DJ43" s="5" t="s">
        <v>238</v>
      </c>
      <c r="DN43" s="5" t="s">
        <v>238</v>
      </c>
      <c r="DO43" s="5" t="s">
        <v>238</v>
      </c>
      <c r="DP43" s="5" t="s">
        <v>238</v>
      </c>
      <c r="DQ43" s="5" t="s">
        <v>238</v>
      </c>
      <c r="DT43" s="5" t="s">
        <v>5068</v>
      </c>
      <c r="DU43" s="5" t="s">
        <v>1376</v>
      </c>
      <c r="HM43" s="5" t="s">
        <v>264</v>
      </c>
    </row>
    <row r="44" spans="1:221" x14ac:dyDescent="0.4">
      <c r="A44" s="5">
        <v>751</v>
      </c>
      <c r="B44" s="5">
        <v>1</v>
      </c>
      <c r="C44" s="5">
        <v>1</v>
      </c>
      <c r="D44" s="5" t="s">
        <v>5063</v>
      </c>
      <c r="E44" s="5" t="s">
        <v>437</v>
      </c>
      <c r="F44" s="5" t="s">
        <v>248</v>
      </c>
      <c r="G44" s="5" t="s">
        <v>5062</v>
      </c>
      <c r="H44" s="6" t="s">
        <v>5098</v>
      </c>
      <c r="I44" s="7">
        <f>3062</f>
        <v>3062</v>
      </c>
      <c r="J44" s="5" t="s">
        <v>262</v>
      </c>
      <c r="K44" s="8">
        <f>6782330</f>
        <v>6782330</v>
      </c>
      <c r="L44" s="6" t="s">
        <v>242</v>
      </c>
      <c r="M44" s="5" t="s">
        <v>267</v>
      </c>
      <c r="N44" s="5" t="s">
        <v>237</v>
      </c>
      <c r="O44" s="5" t="s">
        <v>238</v>
      </c>
      <c r="P44" s="5" t="s">
        <v>238</v>
      </c>
      <c r="Q44" s="5" t="s">
        <v>239</v>
      </c>
      <c r="R44" s="5" t="s">
        <v>270</v>
      </c>
      <c r="S44" s="5" t="s">
        <v>238</v>
      </c>
      <c r="V44" s="5" t="s">
        <v>238</v>
      </c>
      <c r="X44" s="6" t="s">
        <v>238</v>
      </c>
      <c r="AA44" s="6" t="s">
        <v>243</v>
      </c>
      <c r="AB44" s="5" t="s">
        <v>5097</v>
      </c>
      <c r="AC44" s="5" t="s">
        <v>244</v>
      </c>
      <c r="AD44" s="5" t="s">
        <v>245</v>
      </c>
      <c r="AT44" s="5" t="s">
        <v>246</v>
      </c>
      <c r="AU44" s="5" t="s">
        <v>238</v>
      </c>
      <c r="AV44" s="5" t="s">
        <v>247</v>
      </c>
      <c r="AW44" s="5" t="s">
        <v>238</v>
      </c>
      <c r="AX44" s="5" t="s">
        <v>249</v>
      </c>
      <c r="AY44" s="5" t="s">
        <v>238</v>
      </c>
      <c r="BA44" s="5" t="s">
        <v>238</v>
      </c>
      <c r="BC44" s="5" t="s">
        <v>250</v>
      </c>
      <c r="BD44" s="6" t="s">
        <v>243</v>
      </c>
      <c r="BE44" s="5" t="s">
        <v>251</v>
      </c>
      <c r="BF44" s="5" t="s">
        <v>252</v>
      </c>
      <c r="BG44" s="5" t="s">
        <v>238</v>
      </c>
      <c r="BH44" s="7">
        <f>0</f>
        <v>0</v>
      </c>
      <c r="BI44" s="8">
        <f>0</f>
        <v>0</v>
      </c>
      <c r="BJ44" s="5" t="s">
        <v>253</v>
      </c>
      <c r="BK44" s="5" t="s">
        <v>254</v>
      </c>
      <c r="BY44" s="5" t="s">
        <v>238</v>
      </c>
      <c r="BZ44" s="5" t="s">
        <v>238</v>
      </c>
      <c r="CD44" s="5" t="s">
        <v>255</v>
      </c>
      <c r="CE44" s="5" t="s">
        <v>256</v>
      </c>
      <c r="CF44" s="5" t="s">
        <v>238</v>
      </c>
      <c r="CI44" s="6" t="s">
        <v>257</v>
      </c>
      <c r="CJ44" s="5" t="s">
        <v>238</v>
      </c>
      <c r="CK44" s="5" t="s">
        <v>258</v>
      </c>
      <c r="CL44" s="5" t="s">
        <v>238</v>
      </c>
      <c r="CM44" s="5" t="s">
        <v>238</v>
      </c>
      <c r="CN44" s="5">
        <v>0</v>
      </c>
      <c r="CO44" s="5" t="s">
        <v>259</v>
      </c>
      <c r="CP44" s="5" t="s">
        <v>260</v>
      </c>
      <c r="CQ44" s="5" t="s">
        <v>260</v>
      </c>
      <c r="CR44" s="5" t="s">
        <v>261</v>
      </c>
      <c r="CU44" s="8">
        <f>6782330</f>
        <v>6782330</v>
      </c>
      <c r="CV44" s="8">
        <f>0</f>
        <v>0</v>
      </c>
      <c r="CX44" s="8">
        <f>0</f>
        <v>0</v>
      </c>
      <c r="CY44" s="8">
        <f>6782330</f>
        <v>6782330</v>
      </c>
      <c r="DA44" s="5" t="s">
        <v>3873</v>
      </c>
      <c r="DB44" s="5" t="s">
        <v>238</v>
      </c>
      <c r="DD44" s="5" t="s">
        <v>3873</v>
      </c>
      <c r="DE44" s="8">
        <f>0</f>
        <v>0</v>
      </c>
      <c r="DG44" s="5" t="s">
        <v>389</v>
      </c>
      <c r="DH44" s="5" t="s">
        <v>238</v>
      </c>
      <c r="DI44" s="5" t="s">
        <v>238</v>
      </c>
      <c r="DJ44" s="5" t="s">
        <v>238</v>
      </c>
      <c r="DN44" s="5" t="s">
        <v>238</v>
      </c>
      <c r="DO44" s="5" t="s">
        <v>238</v>
      </c>
      <c r="DP44" s="5" t="s">
        <v>238</v>
      </c>
      <c r="DQ44" s="5" t="s">
        <v>238</v>
      </c>
      <c r="DT44" s="5" t="s">
        <v>5065</v>
      </c>
      <c r="DU44" s="5" t="s">
        <v>264</v>
      </c>
      <c r="HM44" s="5" t="s">
        <v>264</v>
      </c>
    </row>
    <row r="45" spans="1:221" x14ac:dyDescent="0.4">
      <c r="A45" s="5">
        <v>752</v>
      </c>
      <c r="B45" s="5">
        <v>1</v>
      </c>
      <c r="C45" s="5">
        <v>1</v>
      </c>
      <c r="D45" s="5" t="s">
        <v>5063</v>
      </c>
      <c r="E45" s="5" t="s">
        <v>437</v>
      </c>
      <c r="F45" s="5" t="s">
        <v>248</v>
      </c>
      <c r="G45" s="5" t="s">
        <v>5062</v>
      </c>
      <c r="H45" s="6" t="s">
        <v>5093</v>
      </c>
      <c r="I45" s="7">
        <f>862</f>
        <v>862</v>
      </c>
      <c r="J45" s="5" t="s">
        <v>262</v>
      </c>
      <c r="K45" s="8">
        <f>1909330</f>
        <v>1909330</v>
      </c>
      <c r="L45" s="6" t="s">
        <v>242</v>
      </c>
      <c r="M45" s="5" t="s">
        <v>267</v>
      </c>
      <c r="N45" s="5" t="s">
        <v>237</v>
      </c>
      <c r="O45" s="5" t="s">
        <v>238</v>
      </c>
      <c r="P45" s="5" t="s">
        <v>238</v>
      </c>
      <c r="Q45" s="5" t="s">
        <v>239</v>
      </c>
      <c r="R45" s="5" t="s">
        <v>270</v>
      </c>
      <c r="S45" s="5" t="s">
        <v>238</v>
      </c>
      <c r="V45" s="5" t="s">
        <v>238</v>
      </c>
      <c r="X45" s="6" t="s">
        <v>238</v>
      </c>
      <c r="AA45" s="6" t="s">
        <v>243</v>
      </c>
      <c r="AB45" s="5" t="s">
        <v>238</v>
      </c>
      <c r="AC45" s="5" t="s">
        <v>244</v>
      </c>
      <c r="AD45" s="5" t="s">
        <v>245</v>
      </c>
      <c r="AT45" s="5" t="s">
        <v>246</v>
      </c>
      <c r="AU45" s="5" t="s">
        <v>238</v>
      </c>
      <c r="AV45" s="5" t="s">
        <v>247</v>
      </c>
      <c r="AW45" s="5" t="s">
        <v>238</v>
      </c>
      <c r="AX45" s="5" t="s">
        <v>249</v>
      </c>
      <c r="AY45" s="5" t="s">
        <v>238</v>
      </c>
      <c r="BA45" s="5" t="s">
        <v>238</v>
      </c>
      <c r="BC45" s="5" t="s">
        <v>250</v>
      </c>
      <c r="BD45" s="6" t="s">
        <v>243</v>
      </c>
      <c r="BE45" s="5" t="s">
        <v>251</v>
      </c>
      <c r="BF45" s="5" t="s">
        <v>252</v>
      </c>
      <c r="BG45" s="5" t="s">
        <v>238</v>
      </c>
      <c r="BH45" s="7">
        <f>0</f>
        <v>0</v>
      </c>
      <c r="BI45" s="8">
        <f>0</f>
        <v>0</v>
      </c>
      <c r="BJ45" s="5" t="s">
        <v>253</v>
      </c>
      <c r="BK45" s="5" t="s">
        <v>254</v>
      </c>
      <c r="BY45" s="5" t="s">
        <v>238</v>
      </c>
      <c r="BZ45" s="5" t="s">
        <v>238</v>
      </c>
      <c r="CD45" s="5" t="s">
        <v>255</v>
      </c>
      <c r="CE45" s="5" t="s">
        <v>256</v>
      </c>
      <c r="CF45" s="5" t="s">
        <v>238</v>
      </c>
      <c r="CI45" s="6" t="s">
        <v>257</v>
      </c>
      <c r="CJ45" s="5" t="s">
        <v>238</v>
      </c>
      <c r="CK45" s="5" t="s">
        <v>258</v>
      </c>
      <c r="CL45" s="5" t="s">
        <v>238</v>
      </c>
      <c r="CM45" s="5" t="s">
        <v>238</v>
      </c>
      <c r="CN45" s="5">
        <v>0</v>
      </c>
      <c r="CO45" s="5" t="s">
        <v>259</v>
      </c>
      <c r="CP45" s="5" t="s">
        <v>260</v>
      </c>
      <c r="CQ45" s="5" t="s">
        <v>260</v>
      </c>
      <c r="CR45" s="5" t="s">
        <v>261</v>
      </c>
      <c r="CU45" s="8">
        <f>1909330</f>
        <v>1909330</v>
      </c>
      <c r="CV45" s="8">
        <f>0</f>
        <v>0</v>
      </c>
      <c r="CX45" s="8">
        <f>0</f>
        <v>0</v>
      </c>
      <c r="CY45" s="8">
        <f>1909330</f>
        <v>1909330</v>
      </c>
      <c r="DA45" s="5" t="s">
        <v>2032</v>
      </c>
      <c r="DB45" s="5" t="s">
        <v>238</v>
      </c>
      <c r="DD45" s="5" t="s">
        <v>2032</v>
      </c>
      <c r="DE45" s="8">
        <f>862</f>
        <v>862</v>
      </c>
      <c r="DG45" s="5" t="s">
        <v>389</v>
      </c>
      <c r="DH45" s="5" t="s">
        <v>238</v>
      </c>
      <c r="DI45" s="5" t="s">
        <v>238</v>
      </c>
      <c r="DJ45" s="5" t="s">
        <v>238</v>
      </c>
      <c r="DN45" s="5" t="s">
        <v>238</v>
      </c>
      <c r="DO45" s="5" t="s">
        <v>238</v>
      </c>
      <c r="DP45" s="5" t="s">
        <v>238</v>
      </c>
      <c r="DQ45" s="5" t="s">
        <v>238</v>
      </c>
      <c r="DT45" s="5" t="s">
        <v>5065</v>
      </c>
      <c r="DU45" s="5" t="s">
        <v>294</v>
      </c>
      <c r="HM45" s="5" t="s">
        <v>264</v>
      </c>
    </row>
    <row r="46" spans="1:221" x14ac:dyDescent="0.4">
      <c r="A46" s="5">
        <v>753</v>
      </c>
      <c r="B46" s="5">
        <v>1</v>
      </c>
      <c r="C46" s="5">
        <v>1</v>
      </c>
      <c r="D46" s="5" t="s">
        <v>5063</v>
      </c>
      <c r="E46" s="5" t="s">
        <v>437</v>
      </c>
      <c r="F46" s="5" t="s">
        <v>248</v>
      </c>
      <c r="G46" s="5" t="s">
        <v>5062</v>
      </c>
      <c r="H46" s="6" t="s">
        <v>5070</v>
      </c>
      <c r="I46" s="7">
        <f>74</f>
        <v>74</v>
      </c>
      <c r="J46" s="5" t="s">
        <v>262</v>
      </c>
      <c r="K46" s="8">
        <f>163910</f>
        <v>163910</v>
      </c>
      <c r="L46" s="6" t="s">
        <v>242</v>
      </c>
      <c r="M46" s="5" t="s">
        <v>267</v>
      </c>
      <c r="N46" s="5" t="s">
        <v>237</v>
      </c>
      <c r="O46" s="5" t="s">
        <v>238</v>
      </c>
      <c r="P46" s="5" t="s">
        <v>238</v>
      </c>
      <c r="Q46" s="5" t="s">
        <v>239</v>
      </c>
      <c r="R46" s="5" t="s">
        <v>270</v>
      </c>
      <c r="S46" s="5" t="s">
        <v>238</v>
      </c>
      <c r="V46" s="5" t="s">
        <v>238</v>
      </c>
      <c r="X46" s="6" t="s">
        <v>238</v>
      </c>
      <c r="AA46" s="6" t="s">
        <v>243</v>
      </c>
      <c r="AB46" s="5" t="s">
        <v>238</v>
      </c>
      <c r="AC46" s="5" t="s">
        <v>244</v>
      </c>
      <c r="AD46" s="5" t="s">
        <v>245</v>
      </c>
      <c r="AT46" s="5" t="s">
        <v>246</v>
      </c>
      <c r="AU46" s="5" t="s">
        <v>238</v>
      </c>
      <c r="AV46" s="5" t="s">
        <v>247</v>
      </c>
      <c r="AW46" s="5" t="s">
        <v>238</v>
      </c>
      <c r="AX46" s="5" t="s">
        <v>249</v>
      </c>
      <c r="AY46" s="5" t="s">
        <v>238</v>
      </c>
      <c r="BA46" s="5" t="s">
        <v>4547</v>
      </c>
      <c r="BC46" s="5" t="s">
        <v>250</v>
      </c>
      <c r="BD46" s="6" t="s">
        <v>243</v>
      </c>
      <c r="BE46" s="5" t="s">
        <v>251</v>
      </c>
      <c r="BF46" s="5" t="s">
        <v>252</v>
      </c>
      <c r="BG46" s="5" t="s">
        <v>238</v>
      </c>
      <c r="BH46" s="7">
        <f>0</f>
        <v>0</v>
      </c>
      <c r="BI46" s="8">
        <f>0</f>
        <v>0</v>
      </c>
      <c r="BJ46" s="5" t="s">
        <v>253</v>
      </c>
      <c r="BK46" s="5" t="s">
        <v>254</v>
      </c>
      <c r="BY46" s="5" t="s">
        <v>238</v>
      </c>
      <c r="BZ46" s="5" t="s">
        <v>238</v>
      </c>
      <c r="CD46" s="5" t="s">
        <v>255</v>
      </c>
      <c r="CE46" s="5" t="s">
        <v>256</v>
      </c>
      <c r="CF46" s="5" t="s">
        <v>238</v>
      </c>
      <c r="CI46" s="6" t="s">
        <v>257</v>
      </c>
      <c r="CJ46" s="5" t="s">
        <v>238</v>
      </c>
      <c r="CK46" s="5" t="s">
        <v>258</v>
      </c>
      <c r="CL46" s="5" t="s">
        <v>238</v>
      </c>
      <c r="CM46" s="5" t="s">
        <v>238</v>
      </c>
      <c r="CN46" s="5">
        <v>0</v>
      </c>
      <c r="CO46" s="5" t="s">
        <v>259</v>
      </c>
      <c r="CP46" s="5" t="s">
        <v>260</v>
      </c>
      <c r="CQ46" s="5" t="s">
        <v>260</v>
      </c>
      <c r="CR46" s="5" t="s">
        <v>261</v>
      </c>
      <c r="CU46" s="8">
        <f>163910</f>
        <v>163910</v>
      </c>
      <c r="CV46" s="8">
        <f>0</f>
        <v>0</v>
      </c>
      <c r="CX46" s="8">
        <f>0</f>
        <v>0</v>
      </c>
      <c r="CY46" s="8">
        <f>163910</f>
        <v>163910</v>
      </c>
      <c r="DA46" s="5" t="s">
        <v>2032</v>
      </c>
      <c r="DB46" s="5" t="s">
        <v>238</v>
      </c>
      <c r="DD46" s="5" t="s">
        <v>2032</v>
      </c>
      <c r="DE46" s="8">
        <f>74</f>
        <v>74</v>
      </c>
      <c r="DG46" s="5" t="s">
        <v>389</v>
      </c>
      <c r="DH46" s="5" t="s">
        <v>238</v>
      </c>
      <c r="DI46" s="5" t="s">
        <v>238</v>
      </c>
      <c r="DJ46" s="5" t="s">
        <v>238</v>
      </c>
      <c r="DN46" s="5" t="s">
        <v>238</v>
      </c>
      <c r="DO46" s="5" t="s">
        <v>238</v>
      </c>
      <c r="DP46" s="5" t="s">
        <v>238</v>
      </c>
      <c r="DQ46" s="5" t="s">
        <v>238</v>
      </c>
      <c r="DT46" s="5" t="s">
        <v>5065</v>
      </c>
      <c r="DU46" s="5" t="s">
        <v>806</v>
      </c>
      <c r="HM46" s="5" t="s">
        <v>264</v>
      </c>
    </row>
    <row r="47" spans="1:221" x14ac:dyDescent="0.4">
      <c r="A47" s="5">
        <v>754</v>
      </c>
      <c r="B47" s="5">
        <v>1</v>
      </c>
      <c r="C47" s="5">
        <v>1</v>
      </c>
      <c r="D47" s="5" t="s">
        <v>5063</v>
      </c>
      <c r="E47" s="5" t="s">
        <v>437</v>
      </c>
      <c r="F47" s="5" t="s">
        <v>248</v>
      </c>
      <c r="G47" s="5" t="s">
        <v>5062</v>
      </c>
      <c r="H47" s="6" t="s">
        <v>5102</v>
      </c>
      <c r="I47" s="7">
        <f>19</f>
        <v>19</v>
      </c>
      <c r="J47" s="5" t="s">
        <v>262</v>
      </c>
      <c r="K47" s="8">
        <f>42085</f>
        <v>42085</v>
      </c>
      <c r="L47" s="6" t="s">
        <v>242</v>
      </c>
      <c r="M47" s="5" t="s">
        <v>267</v>
      </c>
      <c r="N47" s="5" t="s">
        <v>237</v>
      </c>
      <c r="O47" s="5" t="s">
        <v>238</v>
      </c>
      <c r="P47" s="5" t="s">
        <v>238</v>
      </c>
      <c r="Q47" s="5" t="s">
        <v>239</v>
      </c>
      <c r="R47" s="5" t="s">
        <v>270</v>
      </c>
      <c r="S47" s="5" t="s">
        <v>238</v>
      </c>
      <c r="V47" s="5" t="s">
        <v>238</v>
      </c>
      <c r="X47" s="6" t="s">
        <v>238</v>
      </c>
      <c r="AA47" s="6" t="s">
        <v>243</v>
      </c>
      <c r="AB47" s="5" t="s">
        <v>238</v>
      </c>
      <c r="AC47" s="5" t="s">
        <v>244</v>
      </c>
      <c r="AD47" s="5" t="s">
        <v>245</v>
      </c>
      <c r="AT47" s="5" t="s">
        <v>246</v>
      </c>
      <c r="AU47" s="5" t="s">
        <v>238</v>
      </c>
      <c r="AV47" s="5" t="s">
        <v>247</v>
      </c>
      <c r="AW47" s="5" t="s">
        <v>238</v>
      </c>
      <c r="AX47" s="5" t="s">
        <v>249</v>
      </c>
      <c r="AY47" s="5" t="s">
        <v>238</v>
      </c>
      <c r="BA47" s="5" t="s">
        <v>238</v>
      </c>
      <c r="BC47" s="5" t="s">
        <v>250</v>
      </c>
      <c r="BD47" s="6" t="s">
        <v>243</v>
      </c>
      <c r="BE47" s="5" t="s">
        <v>251</v>
      </c>
      <c r="BF47" s="5" t="s">
        <v>252</v>
      </c>
      <c r="BG47" s="5" t="s">
        <v>238</v>
      </c>
      <c r="BH47" s="7">
        <f>0</f>
        <v>0</v>
      </c>
      <c r="BI47" s="8">
        <f>0</f>
        <v>0</v>
      </c>
      <c r="BJ47" s="5" t="s">
        <v>253</v>
      </c>
      <c r="BK47" s="5" t="s">
        <v>254</v>
      </c>
      <c r="BY47" s="5" t="s">
        <v>238</v>
      </c>
      <c r="BZ47" s="5" t="s">
        <v>238</v>
      </c>
      <c r="CD47" s="5" t="s">
        <v>255</v>
      </c>
      <c r="CE47" s="5" t="s">
        <v>256</v>
      </c>
      <c r="CF47" s="5" t="s">
        <v>238</v>
      </c>
      <c r="CI47" s="6" t="s">
        <v>257</v>
      </c>
      <c r="CJ47" s="5" t="s">
        <v>238</v>
      </c>
      <c r="CK47" s="5" t="s">
        <v>258</v>
      </c>
      <c r="CL47" s="5" t="s">
        <v>238</v>
      </c>
      <c r="CM47" s="5" t="s">
        <v>238</v>
      </c>
      <c r="CN47" s="5">
        <v>0</v>
      </c>
      <c r="CO47" s="5" t="s">
        <v>259</v>
      </c>
      <c r="CP47" s="5" t="s">
        <v>260</v>
      </c>
      <c r="CQ47" s="5" t="s">
        <v>260</v>
      </c>
      <c r="CR47" s="5" t="s">
        <v>261</v>
      </c>
      <c r="CU47" s="8">
        <f>42085</f>
        <v>42085</v>
      </c>
      <c r="CV47" s="8">
        <f>0</f>
        <v>0</v>
      </c>
      <c r="CX47" s="8">
        <f>0</f>
        <v>0</v>
      </c>
      <c r="CY47" s="8">
        <f>42085</f>
        <v>42085</v>
      </c>
      <c r="DA47" s="5" t="s">
        <v>2032</v>
      </c>
      <c r="DB47" s="5" t="s">
        <v>238</v>
      </c>
      <c r="DD47" s="5" t="s">
        <v>2032</v>
      </c>
      <c r="DE47" s="8">
        <f>19</f>
        <v>19</v>
      </c>
      <c r="DG47" s="5" t="s">
        <v>389</v>
      </c>
      <c r="DH47" s="5" t="s">
        <v>238</v>
      </c>
      <c r="DI47" s="5" t="s">
        <v>238</v>
      </c>
      <c r="DJ47" s="5" t="s">
        <v>238</v>
      </c>
      <c r="DN47" s="5" t="s">
        <v>238</v>
      </c>
      <c r="DO47" s="5" t="s">
        <v>238</v>
      </c>
      <c r="DP47" s="5" t="s">
        <v>238</v>
      </c>
      <c r="DQ47" s="5" t="s">
        <v>238</v>
      </c>
      <c r="DT47" s="5" t="s">
        <v>5065</v>
      </c>
      <c r="DU47" s="5" t="s">
        <v>854</v>
      </c>
      <c r="HM47" s="5" t="s">
        <v>264</v>
      </c>
    </row>
    <row r="48" spans="1:221" x14ac:dyDescent="0.4">
      <c r="A48" s="5">
        <v>755</v>
      </c>
      <c r="B48" s="5">
        <v>1</v>
      </c>
      <c r="C48" s="5">
        <v>1</v>
      </c>
      <c r="D48" s="5" t="s">
        <v>5063</v>
      </c>
      <c r="E48" s="5" t="s">
        <v>437</v>
      </c>
      <c r="F48" s="5" t="s">
        <v>248</v>
      </c>
      <c r="G48" s="5" t="s">
        <v>5062</v>
      </c>
      <c r="H48" s="6" t="s">
        <v>5107</v>
      </c>
      <c r="I48" s="7">
        <f>3937.53</f>
        <v>3937.53</v>
      </c>
      <c r="J48" s="5" t="s">
        <v>262</v>
      </c>
      <c r="K48" s="8">
        <f>38587794</f>
        <v>38587794</v>
      </c>
      <c r="L48" s="6" t="s">
        <v>242</v>
      </c>
      <c r="M48" s="5" t="s">
        <v>267</v>
      </c>
      <c r="N48" s="5" t="s">
        <v>237</v>
      </c>
      <c r="O48" s="5" t="s">
        <v>238</v>
      </c>
      <c r="P48" s="5" t="s">
        <v>238</v>
      </c>
      <c r="Q48" s="5" t="s">
        <v>239</v>
      </c>
      <c r="R48" s="5" t="s">
        <v>270</v>
      </c>
      <c r="S48" s="5" t="s">
        <v>238</v>
      </c>
      <c r="V48" s="5" t="s">
        <v>238</v>
      </c>
      <c r="X48" s="6" t="s">
        <v>238</v>
      </c>
      <c r="AA48" s="6" t="s">
        <v>243</v>
      </c>
      <c r="AB48" s="5" t="s">
        <v>238</v>
      </c>
      <c r="AC48" s="5" t="s">
        <v>244</v>
      </c>
      <c r="AD48" s="5" t="s">
        <v>245</v>
      </c>
      <c r="AT48" s="5" t="s">
        <v>246</v>
      </c>
      <c r="AU48" s="5" t="s">
        <v>238</v>
      </c>
      <c r="AV48" s="5" t="s">
        <v>247</v>
      </c>
      <c r="AW48" s="5" t="s">
        <v>238</v>
      </c>
      <c r="AX48" s="5" t="s">
        <v>249</v>
      </c>
      <c r="AY48" s="5" t="s">
        <v>238</v>
      </c>
      <c r="BA48" s="5" t="s">
        <v>238</v>
      </c>
      <c r="BC48" s="5" t="s">
        <v>250</v>
      </c>
      <c r="BD48" s="6" t="s">
        <v>243</v>
      </c>
      <c r="BE48" s="5" t="s">
        <v>251</v>
      </c>
      <c r="BF48" s="5" t="s">
        <v>252</v>
      </c>
      <c r="BG48" s="5" t="s">
        <v>238</v>
      </c>
      <c r="BH48" s="7">
        <f>0</f>
        <v>0</v>
      </c>
      <c r="BI48" s="8">
        <f>0</f>
        <v>0</v>
      </c>
      <c r="BJ48" s="5" t="s">
        <v>253</v>
      </c>
      <c r="BK48" s="5" t="s">
        <v>254</v>
      </c>
      <c r="BY48" s="5" t="s">
        <v>238</v>
      </c>
      <c r="BZ48" s="5" t="s">
        <v>238</v>
      </c>
      <c r="CD48" s="5" t="s">
        <v>255</v>
      </c>
      <c r="CE48" s="5" t="s">
        <v>256</v>
      </c>
      <c r="CF48" s="5" t="s">
        <v>238</v>
      </c>
      <c r="CI48" s="6" t="s">
        <v>257</v>
      </c>
      <c r="CJ48" s="5" t="s">
        <v>238</v>
      </c>
      <c r="CK48" s="5" t="s">
        <v>258</v>
      </c>
      <c r="CL48" s="5" t="s">
        <v>238</v>
      </c>
      <c r="CM48" s="5" t="s">
        <v>238</v>
      </c>
      <c r="CN48" s="5">
        <v>0</v>
      </c>
      <c r="CO48" s="5" t="s">
        <v>259</v>
      </c>
      <c r="CP48" s="5" t="s">
        <v>260</v>
      </c>
      <c r="CQ48" s="5" t="s">
        <v>260</v>
      </c>
      <c r="CR48" s="5" t="s">
        <v>261</v>
      </c>
      <c r="CU48" s="8">
        <f>38587794</f>
        <v>38587794</v>
      </c>
      <c r="CV48" s="8">
        <f>0</f>
        <v>0</v>
      </c>
      <c r="CX48" s="8">
        <f>0</f>
        <v>0</v>
      </c>
      <c r="CY48" s="8">
        <f>38587794</f>
        <v>38587794</v>
      </c>
      <c r="DA48" s="5" t="s">
        <v>263</v>
      </c>
      <c r="DB48" s="5" t="s">
        <v>238</v>
      </c>
      <c r="DD48" s="5" t="s">
        <v>263</v>
      </c>
      <c r="DE48" s="8">
        <f>3937.53</f>
        <v>3937.53</v>
      </c>
      <c r="DG48" s="5" t="s">
        <v>263</v>
      </c>
      <c r="DH48" s="5" t="s">
        <v>238</v>
      </c>
      <c r="DI48" s="5" t="s">
        <v>238</v>
      </c>
      <c r="DJ48" s="5" t="s">
        <v>238</v>
      </c>
      <c r="DN48" s="5" t="s">
        <v>238</v>
      </c>
      <c r="DO48" s="5" t="s">
        <v>238</v>
      </c>
      <c r="DP48" s="5" t="s">
        <v>238</v>
      </c>
      <c r="DQ48" s="5" t="s">
        <v>238</v>
      </c>
      <c r="DT48" s="5" t="s">
        <v>5065</v>
      </c>
      <c r="DU48" s="5" t="s">
        <v>911</v>
      </c>
      <c r="HM48" s="5" t="s">
        <v>264</v>
      </c>
    </row>
    <row r="49" spans="1:221" x14ac:dyDescent="0.4">
      <c r="A49" s="5">
        <v>756</v>
      </c>
      <c r="B49" s="5">
        <v>1</v>
      </c>
      <c r="C49" s="5">
        <v>1</v>
      </c>
      <c r="D49" s="5" t="s">
        <v>5063</v>
      </c>
      <c r="E49" s="5" t="s">
        <v>437</v>
      </c>
      <c r="F49" s="5" t="s">
        <v>248</v>
      </c>
      <c r="G49" s="5" t="s">
        <v>5062</v>
      </c>
      <c r="H49" s="6" t="s">
        <v>5114</v>
      </c>
      <c r="I49" s="7">
        <f>144</f>
        <v>144</v>
      </c>
      <c r="J49" s="5" t="s">
        <v>262</v>
      </c>
      <c r="K49" s="8">
        <f>1584</f>
        <v>1584</v>
      </c>
      <c r="L49" s="6" t="s">
        <v>242</v>
      </c>
      <c r="M49" s="5" t="s">
        <v>267</v>
      </c>
      <c r="N49" s="5" t="s">
        <v>237</v>
      </c>
      <c r="O49" s="5" t="s">
        <v>238</v>
      </c>
      <c r="P49" s="5" t="s">
        <v>238</v>
      </c>
      <c r="Q49" s="5" t="s">
        <v>239</v>
      </c>
      <c r="R49" s="5" t="s">
        <v>270</v>
      </c>
      <c r="S49" s="5" t="s">
        <v>238</v>
      </c>
      <c r="V49" s="5" t="s">
        <v>238</v>
      </c>
      <c r="X49" s="6" t="s">
        <v>238</v>
      </c>
      <c r="AA49" s="6" t="s">
        <v>243</v>
      </c>
      <c r="AB49" s="5" t="s">
        <v>238</v>
      </c>
      <c r="AC49" s="5" t="s">
        <v>244</v>
      </c>
      <c r="AD49" s="5" t="s">
        <v>245</v>
      </c>
      <c r="AT49" s="5" t="s">
        <v>246</v>
      </c>
      <c r="AU49" s="5" t="s">
        <v>238</v>
      </c>
      <c r="AV49" s="5" t="s">
        <v>247</v>
      </c>
      <c r="AW49" s="5" t="s">
        <v>238</v>
      </c>
      <c r="AX49" s="5" t="s">
        <v>249</v>
      </c>
      <c r="AY49" s="5" t="s">
        <v>238</v>
      </c>
      <c r="BA49" s="5" t="s">
        <v>238</v>
      </c>
      <c r="BC49" s="5" t="s">
        <v>250</v>
      </c>
      <c r="BD49" s="6" t="s">
        <v>243</v>
      </c>
      <c r="BE49" s="5" t="s">
        <v>251</v>
      </c>
      <c r="BF49" s="5" t="s">
        <v>252</v>
      </c>
      <c r="BG49" s="5" t="s">
        <v>238</v>
      </c>
      <c r="BH49" s="7">
        <f>0</f>
        <v>0</v>
      </c>
      <c r="BI49" s="8">
        <f>0</f>
        <v>0</v>
      </c>
      <c r="BJ49" s="5" t="s">
        <v>253</v>
      </c>
      <c r="BK49" s="5" t="s">
        <v>254</v>
      </c>
      <c r="BY49" s="5" t="s">
        <v>238</v>
      </c>
      <c r="BZ49" s="5" t="s">
        <v>238</v>
      </c>
      <c r="CD49" s="5" t="s">
        <v>255</v>
      </c>
      <c r="CE49" s="5" t="s">
        <v>256</v>
      </c>
      <c r="CF49" s="5" t="s">
        <v>238</v>
      </c>
      <c r="CI49" s="6" t="s">
        <v>257</v>
      </c>
      <c r="CJ49" s="5" t="s">
        <v>238</v>
      </c>
      <c r="CK49" s="5" t="s">
        <v>258</v>
      </c>
      <c r="CL49" s="5" t="s">
        <v>238</v>
      </c>
      <c r="CM49" s="5" t="s">
        <v>238</v>
      </c>
      <c r="CN49" s="5">
        <v>0</v>
      </c>
      <c r="CO49" s="5" t="s">
        <v>259</v>
      </c>
      <c r="CP49" s="5" t="s">
        <v>260</v>
      </c>
      <c r="CQ49" s="5" t="s">
        <v>260</v>
      </c>
      <c r="CR49" s="5" t="s">
        <v>261</v>
      </c>
      <c r="CU49" s="8">
        <f>1584</f>
        <v>1584</v>
      </c>
      <c r="CV49" s="8">
        <f>0</f>
        <v>0</v>
      </c>
      <c r="CX49" s="8">
        <f>0</f>
        <v>0</v>
      </c>
      <c r="CY49" s="8">
        <f>1584</f>
        <v>1584</v>
      </c>
      <c r="DA49" s="5" t="s">
        <v>534</v>
      </c>
      <c r="DB49" s="5" t="s">
        <v>238</v>
      </c>
      <c r="DD49" s="5" t="s">
        <v>534</v>
      </c>
      <c r="DE49" s="8">
        <f>144</f>
        <v>144</v>
      </c>
      <c r="DG49" s="5" t="s">
        <v>534</v>
      </c>
      <c r="DH49" s="5" t="s">
        <v>238</v>
      </c>
      <c r="DI49" s="5" t="s">
        <v>238</v>
      </c>
      <c r="DJ49" s="5" t="s">
        <v>238</v>
      </c>
      <c r="DN49" s="5" t="s">
        <v>238</v>
      </c>
      <c r="DO49" s="5" t="s">
        <v>238</v>
      </c>
      <c r="DP49" s="5" t="s">
        <v>238</v>
      </c>
      <c r="DQ49" s="5" t="s">
        <v>238</v>
      </c>
      <c r="DT49" s="5" t="s">
        <v>5065</v>
      </c>
      <c r="DU49" s="5" t="s">
        <v>967</v>
      </c>
      <c r="HM49" s="5" t="s">
        <v>264</v>
      </c>
    </row>
    <row r="50" spans="1:221" x14ac:dyDescent="0.4">
      <c r="A50" s="5">
        <v>757</v>
      </c>
      <c r="B50" s="5">
        <v>1</v>
      </c>
      <c r="C50" s="5">
        <v>1</v>
      </c>
      <c r="D50" s="5" t="s">
        <v>5063</v>
      </c>
      <c r="E50" s="5" t="s">
        <v>437</v>
      </c>
      <c r="F50" s="5" t="s">
        <v>248</v>
      </c>
      <c r="G50" s="5" t="s">
        <v>5062</v>
      </c>
      <c r="H50" s="6" t="s">
        <v>5108</v>
      </c>
      <c r="I50" s="7">
        <f>441</f>
        <v>441</v>
      </c>
      <c r="J50" s="5" t="s">
        <v>262</v>
      </c>
      <c r="K50" s="8">
        <f>976815</f>
        <v>976815</v>
      </c>
      <c r="L50" s="6" t="s">
        <v>242</v>
      </c>
      <c r="M50" s="5" t="s">
        <v>267</v>
      </c>
      <c r="N50" s="5" t="s">
        <v>237</v>
      </c>
      <c r="O50" s="5" t="s">
        <v>238</v>
      </c>
      <c r="P50" s="5" t="s">
        <v>238</v>
      </c>
      <c r="Q50" s="5" t="s">
        <v>239</v>
      </c>
      <c r="R50" s="5" t="s">
        <v>270</v>
      </c>
      <c r="S50" s="5" t="s">
        <v>238</v>
      </c>
      <c r="V50" s="5" t="s">
        <v>238</v>
      </c>
      <c r="X50" s="6" t="s">
        <v>238</v>
      </c>
      <c r="AA50" s="6" t="s">
        <v>243</v>
      </c>
      <c r="AB50" s="5" t="s">
        <v>238</v>
      </c>
      <c r="AC50" s="5" t="s">
        <v>244</v>
      </c>
      <c r="AD50" s="5" t="s">
        <v>245</v>
      </c>
      <c r="AT50" s="5" t="s">
        <v>246</v>
      </c>
      <c r="AU50" s="5" t="s">
        <v>238</v>
      </c>
      <c r="AV50" s="5" t="s">
        <v>247</v>
      </c>
      <c r="AW50" s="5" t="s">
        <v>238</v>
      </c>
      <c r="AX50" s="5" t="s">
        <v>249</v>
      </c>
      <c r="AY50" s="5" t="s">
        <v>238</v>
      </c>
      <c r="BA50" s="5" t="s">
        <v>238</v>
      </c>
      <c r="BC50" s="5" t="s">
        <v>250</v>
      </c>
      <c r="BD50" s="6" t="s">
        <v>243</v>
      </c>
      <c r="BE50" s="5" t="s">
        <v>251</v>
      </c>
      <c r="BF50" s="5" t="s">
        <v>252</v>
      </c>
      <c r="BG50" s="5" t="s">
        <v>238</v>
      </c>
      <c r="BH50" s="7">
        <f>0</f>
        <v>0</v>
      </c>
      <c r="BI50" s="8">
        <f>0</f>
        <v>0</v>
      </c>
      <c r="BJ50" s="5" t="s">
        <v>253</v>
      </c>
      <c r="BK50" s="5" t="s">
        <v>254</v>
      </c>
      <c r="BY50" s="5" t="s">
        <v>238</v>
      </c>
      <c r="BZ50" s="5" t="s">
        <v>238</v>
      </c>
      <c r="CD50" s="5" t="s">
        <v>255</v>
      </c>
      <c r="CE50" s="5" t="s">
        <v>256</v>
      </c>
      <c r="CF50" s="5" t="s">
        <v>238</v>
      </c>
      <c r="CI50" s="6" t="s">
        <v>257</v>
      </c>
      <c r="CJ50" s="5" t="s">
        <v>238</v>
      </c>
      <c r="CK50" s="5" t="s">
        <v>258</v>
      </c>
      <c r="CL50" s="5" t="s">
        <v>238</v>
      </c>
      <c r="CM50" s="5" t="s">
        <v>238</v>
      </c>
      <c r="CN50" s="5">
        <v>0</v>
      </c>
      <c r="CO50" s="5" t="s">
        <v>259</v>
      </c>
      <c r="CP50" s="5" t="s">
        <v>260</v>
      </c>
      <c r="CQ50" s="5" t="s">
        <v>260</v>
      </c>
      <c r="CR50" s="5" t="s">
        <v>261</v>
      </c>
      <c r="CU50" s="8">
        <f>976815</f>
        <v>976815</v>
      </c>
      <c r="CV50" s="8">
        <f>0</f>
        <v>0</v>
      </c>
      <c r="CX50" s="8">
        <f>0</f>
        <v>0</v>
      </c>
      <c r="CY50" s="8">
        <f>976815</f>
        <v>976815</v>
      </c>
      <c r="DA50" s="5" t="s">
        <v>389</v>
      </c>
      <c r="DB50" s="5" t="s">
        <v>238</v>
      </c>
      <c r="DD50" s="5" t="s">
        <v>389</v>
      </c>
      <c r="DE50" s="8">
        <f>441</f>
        <v>441</v>
      </c>
      <c r="DG50" s="5" t="s">
        <v>389</v>
      </c>
      <c r="DH50" s="5" t="s">
        <v>238</v>
      </c>
      <c r="DI50" s="5" t="s">
        <v>238</v>
      </c>
      <c r="DJ50" s="5" t="s">
        <v>238</v>
      </c>
      <c r="DN50" s="5" t="s">
        <v>238</v>
      </c>
      <c r="DO50" s="5" t="s">
        <v>238</v>
      </c>
      <c r="DP50" s="5" t="s">
        <v>238</v>
      </c>
      <c r="DQ50" s="5" t="s">
        <v>238</v>
      </c>
      <c r="DT50" s="5" t="s">
        <v>5065</v>
      </c>
      <c r="DU50" s="5" t="s">
        <v>1376</v>
      </c>
      <c r="HM50" s="5" t="s">
        <v>264</v>
      </c>
    </row>
    <row r="51" spans="1:221" x14ac:dyDescent="0.4">
      <c r="A51" s="5">
        <v>758</v>
      </c>
      <c r="B51" s="5">
        <v>1</v>
      </c>
      <c r="C51" s="5">
        <v>1</v>
      </c>
      <c r="D51" s="5" t="s">
        <v>5063</v>
      </c>
      <c r="E51" s="5" t="s">
        <v>437</v>
      </c>
      <c r="F51" s="5" t="s">
        <v>248</v>
      </c>
      <c r="G51" s="5" t="s">
        <v>5062</v>
      </c>
      <c r="H51" s="6" t="s">
        <v>5117</v>
      </c>
      <c r="I51" s="7">
        <f>774</f>
        <v>774</v>
      </c>
      <c r="J51" s="5" t="s">
        <v>262</v>
      </c>
      <c r="K51" s="8">
        <f>1714410</f>
        <v>1714410</v>
      </c>
      <c r="L51" s="6" t="s">
        <v>242</v>
      </c>
      <c r="M51" s="5" t="s">
        <v>267</v>
      </c>
      <c r="N51" s="5" t="s">
        <v>237</v>
      </c>
      <c r="O51" s="5" t="s">
        <v>238</v>
      </c>
      <c r="P51" s="5" t="s">
        <v>238</v>
      </c>
      <c r="Q51" s="5" t="s">
        <v>239</v>
      </c>
      <c r="R51" s="5" t="s">
        <v>270</v>
      </c>
      <c r="S51" s="5" t="s">
        <v>238</v>
      </c>
      <c r="V51" s="5" t="s">
        <v>238</v>
      </c>
      <c r="X51" s="6" t="s">
        <v>238</v>
      </c>
      <c r="AA51" s="6" t="s">
        <v>243</v>
      </c>
      <c r="AB51" s="5" t="s">
        <v>238</v>
      </c>
      <c r="AC51" s="5" t="s">
        <v>244</v>
      </c>
      <c r="AD51" s="5" t="s">
        <v>245</v>
      </c>
      <c r="AT51" s="5" t="s">
        <v>246</v>
      </c>
      <c r="AU51" s="5" t="s">
        <v>238</v>
      </c>
      <c r="AV51" s="5" t="s">
        <v>247</v>
      </c>
      <c r="AW51" s="5" t="s">
        <v>238</v>
      </c>
      <c r="AX51" s="5" t="s">
        <v>249</v>
      </c>
      <c r="AY51" s="5" t="s">
        <v>238</v>
      </c>
      <c r="BA51" s="5" t="s">
        <v>238</v>
      </c>
      <c r="BC51" s="5" t="s">
        <v>250</v>
      </c>
      <c r="BD51" s="6" t="s">
        <v>243</v>
      </c>
      <c r="BE51" s="5" t="s">
        <v>251</v>
      </c>
      <c r="BF51" s="5" t="s">
        <v>252</v>
      </c>
      <c r="BG51" s="5" t="s">
        <v>238</v>
      </c>
      <c r="BH51" s="7">
        <f>0</f>
        <v>0</v>
      </c>
      <c r="BI51" s="8">
        <f>0</f>
        <v>0</v>
      </c>
      <c r="BJ51" s="5" t="s">
        <v>253</v>
      </c>
      <c r="BK51" s="5" t="s">
        <v>254</v>
      </c>
      <c r="BY51" s="5" t="s">
        <v>238</v>
      </c>
      <c r="BZ51" s="5" t="s">
        <v>238</v>
      </c>
      <c r="CD51" s="5" t="s">
        <v>255</v>
      </c>
      <c r="CE51" s="5" t="s">
        <v>256</v>
      </c>
      <c r="CF51" s="5" t="s">
        <v>238</v>
      </c>
      <c r="CI51" s="6" t="s">
        <v>257</v>
      </c>
      <c r="CJ51" s="5" t="s">
        <v>238</v>
      </c>
      <c r="CK51" s="5" t="s">
        <v>258</v>
      </c>
      <c r="CL51" s="5" t="s">
        <v>238</v>
      </c>
      <c r="CM51" s="5" t="s">
        <v>238</v>
      </c>
      <c r="CN51" s="5">
        <v>0</v>
      </c>
      <c r="CO51" s="5" t="s">
        <v>259</v>
      </c>
      <c r="CP51" s="5" t="s">
        <v>260</v>
      </c>
      <c r="CQ51" s="5" t="s">
        <v>260</v>
      </c>
      <c r="CR51" s="5" t="s">
        <v>261</v>
      </c>
      <c r="CU51" s="8">
        <f>1714410</f>
        <v>1714410</v>
      </c>
      <c r="CV51" s="8">
        <f>0</f>
        <v>0</v>
      </c>
      <c r="CX51" s="8">
        <f>0</f>
        <v>0</v>
      </c>
      <c r="CY51" s="8">
        <f>1714410</f>
        <v>1714410</v>
      </c>
      <c r="DA51" s="5" t="s">
        <v>2032</v>
      </c>
      <c r="DB51" s="5" t="s">
        <v>238</v>
      </c>
      <c r="DD51" s="5" t="s">
        <v>2032</v>
      </c>
      <c r="DE51" s="8">
        <f>774</f>
        <v>774</v>
      </c>
      <c r="DG51" s="5" t="s">
        <v>389</v>
      </c>
      <c r="DH51" s="5" t="s">
        <v>238</v>
      </c>
      <c r="DI51" s="5" t="s">
        <v>238</v>
      </c>
      <c r="DJ51" s="5" t="s">
        <v>238</v>
      </c>
      <c r="DN51" s="5" t="s">
        <v>238</v>
      </c>
      <c r="DO51" s="5" t="s">
        <v>238</v>
      </c>
      <c r="DP51" s="5" t="s">
        <v>238</v>
      </c>
      <c r="DQ51" s="5" t="s">
        <v>238</v>
      </c>
      <c r="DT51" s="5" t="s">
        <v>5065</v>
      </c>
      <c r="DU51" s="5" t="s">
        <v>1372</v>
      </c>
      <c r="HM51" s="5" t="s">
        <v>264</v>
      </c>
    </row>
    <row r="52" spans="1:221" x14ac:dyDescent="0.4">
      <c r="A52" s="5">
        <v>759</v>
      </c>
      <c r="B52" s="5">
        <v>1</v>
      </c>
      <c r="C52" s="5">
        <v>1</v>
      </c>
      <c r="D52" s="5" t="s">
        <v>5063</v>
      </c>
      <c r="E52" s="5" t="s">
        <v>437</v>
      </c>
      <c r="F52" s="5" t="s">
        <v>248</v>
      </c>
      <c r="G52" s="5" t="s">
        <v>5062</v>
      </c>
      <c r="H52" s="6" t="s">
        <v>5118</v>
      </c>
      <c r="I52" s="7">
        <f>4340</f>
        <v>4340</v>
      </c>
      <c r="J52" s="5" t="s">
        <v>262</v>
      </c>
      <c r="K52" s="8">
        <f>9613100</f>
        <v>9613100</v>
      </c>
      <c r="L52" s="6" t="s">
        <v>242</v>
      </c>
      <c r="M52" s="5" t="s">
        <v>267</v>
      </c>
      <c r="N52" s="5" t="s">
        <v>237</v>
      </c>
      <c r="O52" s="5" t="s">
        <v>238</v>
      </c>
      <c r="P52" s="5" t="s">
        <v>238</v>
      </c>
      <c r="Q52" s="5" t="s">
        <v>239</v>
      </c>
      <c r="R52" s="5" t="s">
        <v>270</v>
      </c>
      <c r="S52" s="5" t="s">
        <v>238</v>
      </c>
      <c r="V52" s="5" t="s">
        <v>238</v>
      </c>
      <c r="X52" s="6" t="s">
        <v>238</v>
      </c>
      <c r="AA52" s="6" t="s">
        <v>243</v>
      </c>
      <c r="AB52" s="5" t="s">
        <v>238</v>
      </c>
      <c r="AC52" s="5" t="s">
        <v>244</v>
      </c>
      <c r="AD52" s="5" t="s">
        <v>245</v>
      </c>
      <c r="AT52" s="5" t="s">
        <v>246</v>
      </c>
      <c r="AU52" s="5" t="s">
        <v>238</v>
      </c>
      <c r="AV52" s="5" t="s">
        <v>247</v>
      </c>
      <c r="AW52" s="5" t="s">
        <v>238</v>
      </c>
      <c r="AX52" s="5" t="s">
        <v>249</v>
      </c>
      <c r="AY52" s="5" t="s">
        <v>238</v>
      </c>
      <c r="BA52" s="5" t="s">
        <v>238</v>
      </c>
      <c r="BC52" s="5" t="s">
        <v>250</v>
      </c>
      <c r="BD52" s="6" t="s">
        <v>243</v>
      </c>
      <c r="BE52" s="5" t="s">
        <v>251</v>
      </c>
      <c r="BF52" s="5" t="s">
        <v>252</v>
      </c>
      <c r="BG52" s="5" t="s">
        <v>238</v>
      </c>
      <c r="BH52" s="7">
        <f>0</f>
        <v>0</v>
      </c>
      <c r="BI52" s="8">
        <f>0</f>
        <v>0</v>
      </c>
      <c r="BJ52" s="5" t="s">
        <v>253</v>
      </c>
      <c r="BK52" s="5" t="s">
        <v>254</v>
      </c>
      <c r="BY52" s="5" t="s">
        <v>238</v>
      </c>
      <c r="BZ52" s="5" t="s">
        <v>238</v>
      </c>
      <c r="CD52" s="5" t="s">
        <v>255</v>
      </c>
      <c r="CE52" s="5" t="s">
        <v>256</v>
      </c>
      <c r="CF52" s="5" t="s">
        <v>238</v>
      </c>
      <c r="CI52" s="6" t="s">
        <v>257</v>
      </c>
      <c r="CJ52" s="5" t="s">
        <v>238</v>
      </c>
      <c r="CK52" s="5" t="s">
        <v>258</v>
      </c>
      <c r="CL52" s="5" t="s">
        <v>238</v>
      </c>
      <c r="CM52" s="5" t="s">
        <v>238</v>
      </c>
      <c r="CN52" s="5">
        <v>0</v>
      </c>
      <c r="CO52" s="5" t="s">
        <v>259</v>
      </c>
      <c r="CP52" s="5" t="s">
        <v>260</v>
      </c>
      <c r="CQ52" s="5" t="s">
        <v>260</v>
      </c>
      <c r="CR52" s="5" t="s">
        <v>261</v>
      </c>
      <c r="CU52" s="8">
        <f>9613100</f>
        <v>9613100</v>
      </c>
      <c r="CV52" s="8">
        <f>0</f>
        <v>0</v>
      </c>
      <c r="CX52" s="8">
        <f>0</f>
        <v>0</v>
      </c>
      <c r="CY52" s="8">
        <f>9613100</f>
        <v>9613100</v>
      </c>
      <c r="DA52" s="5" t="s">
        <v>2032</v>
      </c>
      <c r="DB52" s="5" t="s">
        <v>238</v>
      </c>
      <c r="DD52" s="5" t="s">
        <v>2032</v>
      </c>
      <c r="DE52" s="8">
        <f>4340</f>
        <v>4340</v>
      </c>
      <c r="DG52" s="5" t="s">
        <v>389</v>
      </c>
      <c r="DH52" s="5" t="s">
        <v>238</v>
      </c>
      <c r="DI52" s="5" t="s">
        <v>238</v>
      </c>
      <c r="DJ52" s="5" t="s">
        <v>238</v>
      </c>
      <c r="DN52" s="5" t="s">
        <v>238</v>
      </c>
      <c r="DO52" s="5" t="s">
        <v>238</v>
      </c>
      <c r="DP52" s="5" t="s">
        <v>238</v>
      </c>
      <c r="DQ52" s="5" t="s">
        <v>238</v>
      </c>
      <c r="DT52" s="5" t="s">
        <v>5065</v>
      </c>
      <c r="DU52" s="5" t="s">
        <v>1370</v>
      </c>
      <c r="HM52" s="5" t="s">
        <v>264</v>
      </c>
    </row>
    <row r="53" spans="1:221" x14ac:dyDescent="0.4">
      <c r="A53" s="5">
        <v>760</v>
      </c>
      <c r="B53" s="5">
        <v>1</v>
      </c>
      <c r="C53" s="5">
        <v>1</v>
      </c>
      <c r="D53" s="5" t="s">
        <v>5063</v>
      </c>
      <c r="E53" s="5" t="s">
        <v>437</v>
      </c>
      <c r="F53" s="5" t="s">
        <v>248</v>
      </c>
      <c r="G53" s="5" t="s">
        <v>5062</v>
      </c>
      <c r="H53" s="6" t="s">
        <v>5090</v>
      </c>
      <c r="I53" s="7">
        <f>1038</f>
        <v>1038</v>
      </c>
      <c r="J53" s="5" t="s">
        <v>262</v>
      </c>
      <c r="K53" s="8">
        <f>2299170</f>
        <v>2299170</v>
      </c>
      <c r="L53" s="6" t="s">
        <v>242</v>
      </c>
      <c r="M53" s="5" t="s">
        <v>267</v>
      </c>
      <c r="N53" s="5" t="s">
        <v>237</v>
      </c>
      <c r="O53" s="5" t="s">
        <v>238</v>
      </c>
      <c r="P53" s="5" t="s">
        <v>238</v>
      </c>
      <c r="Q53" s="5" t="s">
        <v>239</v>
      </c>
      <c r="R53" s="5" t="s">
        <v>270</v>
      </c>
      <c r="S53" s="5" t="s">
        <v>238</v>
      </c>
      <c r="V53" s="5" t="s">
        <v>238</v>
      </c>
      <c r="X53" s="6" t="s">
        <v>238</v>
      </c>
      <c r="AA53" s="6" t="s">
        <v>243</v>
      </c>
      <c r="AB53" s="5" t="s">
        <v>238</v>
      </c>
      <c r="AC53" s="5" t="s">
        <v>244</v>
      </c>
      <c r="AD53" s="5" t="s">
        <v>245</v>
      </c>
      <c r="AT53" s="5" t="s">
        <v>246</v>
      </c>
      <c r="AU53" s="5" t="s">
        <v>238</v>
      </c>
      <c r="AV53" s="5" t="s">
        <v>247</v>
      </c>
      <c r="AW53" s="5" t="s">
        <v>238</v>
      </c>
      <c r="AX53" s="5" t="s">
        <v>249</v>
      </c>
      <c r="AY53" s="5" t="s">
        <v>238</v>
      </c>
      <c r="BA53" s="5" t="s">
        <v>238</v>
      </c>
      <c r="BC53" s="5" t="s">
        <v>250</v>
      </c>
      <c r="BD53" s="6" t="s">
        <v>243</v>
      </c>
      <c r="BE53" s="5" t="s">
        <v>251</v>
      </c>
      <c r="BF53" s="5" t="s">
        <v>252</v>
      </c>
      <c r="BG53" s="5" t="s">
        <v>238</v>
      </c>
      <c r="BH53" s="7">
        <f>0</f>
        <v>0</v>
      </c>
      <c r="BI53" s="8">
        <f>0</f>
        <v>0</v>
      </c>
      <c r="BJ53" s="5" t="s">
        <v>253</v>
      </c>
      <c r="BK53" s="5" t="s">
        <v>254</v>
      </c>
      <c r="BY53" s="5" t="s">
        <v>238</v>
      </c>
      <c r="BZ53" s="5" t="s">
        <v>238</v>
      </c>
      <c r="CD53" s="5" t="s">
        <v>255</v>
      </c>
      <c r="CE53" s="5" t="s">
        <v>256</v>
      </c>
      <c r="CF53" s="5" t="s">
        <v>238</v>
      </c>
      <c r="CI53" s="6" t="s">
        <v>257</v>
      </c>
      <c r="CJ53" s="5" t="s">
        <v>238</v>
      </c>
      <c r="CK53" s="5" t="s">
        <v>258</v>
      </c>
      <c r="CL53" s="5" t="s">
        <v>238</v>
      </c>
      <c r="CM53" s="5" t="s">
        <v>238</v>
      </c>
      <c r="CN53" s="5">
        <v>0</v>
      </c>
      <c r="CO53" s="5" t="s">
        <v>259</v>
      </c>
      <c r="CP53" s="5" t="s">
        <v>260</v>
      </c>
      <c r="CQ53" s="5" t="s">
        <v>260</v>
      </c>
      <c r="CR53" s="5" t="s">
        <v>261</v>
      </c>
      <c r="CU53" s="8">
        <f>2299170</f>
        <v>2299170</v>
      </c>
      <c r="CV53" s="8">
        <f>0</f>
        <v>0</v>
      </c>
      <c r="CX53" s="8">
        <f>0</f>
        <v>0</v>
      </c>
      <c r="CY53" s="8">
        <f>2299170</f>
        <v>2299170</v>
      </c>
      <c r="DA53" s="5" t="s">
        <v>2032</v>
      </c>
      <c r="DB53" s="5" t="s">
        <v>238</v>
      </c>
      <c r="DD53" s="5" t="s">
        <v>2032</v>
      </c>
      <c r="DE53" s="8">
        <f>1038</f>
        <v>1038</v>
      </c>
      <c r="DG53" s="5" t="s">
        <v>389</v>
      </c>
      <c r="DH53" s="5" t="s">
        <v>238</v>
      </c>
      <c r="DI53" s="5" t="s">
        <v>238</v>
      </c>
      <c r="DJ53" s="5" t="s">
        <v>238</v>
      </c>
      <c r="DN53" s="5" t="s">
        <v>238</v>
      </c>
      <c r="DO53" s="5" t="s">
        <v>238</v>
      </c>
      <c r="DP53" s="5" t="s">
        <v>238</v>
      </c>
      <c r="DQ53" s="5" t="s">
        <v>238</v>
      </c>
      <c r="DT53" s="5" t="s">
        <v>5065</v>
      </c>
      <c r="DU53" s="5" t="s">
        <v>1364</v>
      </c>
      <c r="HM53" s="5" t="s">
        <v>264</v>
      </c>
    </row>
    <row r="54" spans="1:221" x14ac:dyDescent="0.4">
      <c r="A54" s="5">
        <v>761</v>
      </c>
      <c r="B54" s="5">
        <v>1</v>
      </c>
      <c r="C54" s="5">
        <v>1</v>
      </c>
      <c r="D54" s="5" t="s">
        <v>5063</v>
      </c>
      <c r="E54" s="5" t="s">
        <v>437</v>
      </c>
      <c r="F54" s="5" t="s">
        <v>248</v>
      </c>
      <c r="G54" s="5" t="s">
        <v>5062</v>
      </c>
      <c r="H54" s="6" t="s">
        <v>5078</v>
      </c>
      <c r="I54" s="7">
        <f>81.22</f>
        <v>81.22</v>
      </c>
      <c r="J54" s="5" t="s">
        <v>262</v>
      </c>
      <c r="K54" s="8">
        <f>795956</f>
        <v>795956</v>
      </c>
      <c r="L54" s="6" t="s">
        <v>242</v>
      </c>
      <c r="M54" s="5" t="s">
        <v>267</v>
      </c>
      <c r="N54" s="5" t="s">
        <v>237</v>
      </c>
      <c r="O54" s="5" t="s">
        <v>238</v>
      </c>
      <c r="P54" s="5" t="s">
        <v>238</v>
      </c>
      <c r="Q54" s="5" t="s">
        <v>239</v>
      </c>
      <c r="R54" s="5" t="s">
        <v>270</v>
      </c>
      <c r="S54" s="5" t="s">
        <v>238</v>
      </c>
      <c r="V54" s="5" t="s">
        <v>238</v>
      </c>
      <c r="X54" s="6" t="s">
        <v>238</v>
      </c>
      <c r="AA54" s="6" t="s">
        <v>243</v>
      </c>
      <c r="AB54" s="5" t="s">
        <v>238</v>
      </c>
      <c r="AC54" s="5" t="s">
        <v>244</v>
      </c>
      <c r="AD54" s="5" t="s">
        <v>245</v>
      </c>
      <c r="AT54" s="5" t="s">
        <v>246</v>
      </c>
      <c r="AU54" s="5" t="s">
        <v>238</v>
      </c>
      <c r="AV54" s="5" t="s">
        <v>247</v>
      </c>
      <c r="AW54" s="5" t="s">
        <v>238</v>
      </c>
      <c r="AX54" s="5" t="s">
        <v>249</v>
      </c>
      <c r="AY54" s="5" t="s">
        <v>238</v>
      </c>
      <c r="BA54" s="5" t="s">
        <v>238</v>
      </c>
      <c r="BC54" s="5" t="s">
        <v>250</v>
      </c>
      <c r="BD54" s="6" t="s">
        <v>243</v>
      </c>
      <c r="BE54" s="5" t="s">
        <v>251</v>
      </c>
      <c r="BF54" s="5" t="s">
        <v>252</v>
      </c>
      <c r="BG54" s="5" t="s">
        <v>238</v>
      </c>
      <c r="BH54" s="7">
        <f>0</f>
        <v>0</v>
      </c>
      <c r="BI54" s="8">
        <f>0</f>
        <v>0</v>
      </c>
      <c r="BJ54" s="5" t="s">
        <v>253</v>
      </c>
      <c r="BK54" s="5" t="s">
        <v>254</v>
      </c>
      <c r="BY54" s="5" t="s">
        <v>238</v>
      </c>
      <c r="BZ54" s="5" t="s">
        <v>238</v>
      </c>
      <c r="CD54" s="5" t="s">
        <v>255</v>
      </c>
      <c r="CE54" s="5" t="s">
        <v>256</v>
      </c>
      <c r="CF54" s="5" t="s">
        <v>238</v>
      </c>
      <c r="CI54" s="6" t="s">
        <v>257</v>
      </c>
      <c r="CJ54" s="5" t="s">
        <v>238</v>
      </c>
      <c r="CK54" s="5" t="s">
        <v>258</v>
      </c>
      <c r="CL54" s="5" t="s">
        <v>238</v>
      </c>
      <c r="CM54" s="5" t="s">
        <v>238</v>
      </c>
      <c r="CN54" s="5">
        <v>0</v>
      </c>
      <c r="CO54" s="5" t="s">
        <v>259</v>
      </c>
      <c r="CP54" s="5" t="s">
        <v>260</v>
      </c>
      <c r="CQ54" s="5" t="s">
        <v>260</v>
      </c>
      <c r="CR54" s="5" t="s">
        <v>261</v>
      </c>
      <c r="CU54" s="8">
        <f>795956</f>
        <v>795956</v>
      </c>
      <c r="CV54" s="8">
        <f>0</f>
        <v>0</v>
      </c>
      <c r="CX54" s="8">
        <f>0</f>
        <v>0</v>
      </c>
      <c r="CY54" s="8">
        <f>795956</f>
        <v>795956</v>
      </c>
      <c r="DA54" s="5" t="s">
        <v>263</v>
      </c>
      <c r="DB54" s="5" t="s">
        <v>238</v>
      </c>
      <c r="DD54" s="5" t="s">
        <v>263</v>
      </c>
      <c r="DE54" s="8">
        <f>81.22</f>
        <v>81.22</v>
      </c>
      <c r="DG54" s="5" t="s">
        <v>263</v>
      </c>
      <c r="DH54" s="5" t="s">
        <v>238</v>
      </c>
      <c r="DI54" s="5" t="s">
        <v>238</v>
      </c>
      <c r="DJ54" s="5" t="s">
        <v>238</v>
      </c>
      <c r="DN54" s="5" t="s">
        <v>238</v>
      </c>
      <c r="DO54" s="5" t="s">
        <v>238</v>
      </c>
      <c r="DP54" s="5" t="s">
        <v>238</v>
      </c>
      <c r="DQ54" s="5" t="s">
        <v>238</v>
      </c>
      <c r="DT54" s="5" t="s">
        <v>5065</v>
      </c>
      <c r="DU54" s="5" t="s">
        <v>1360</v>
      </c>
      <c r="HM54" s="5" t="s">
        <v>264</v>
      </c>
    </row>
    <row r="55" spans="1:221" x14ac:dyDescent="0.4">
      <c r="A55" s="5">
        <v>762</v>
      </c>
      <c r="B55" s="5">
        <v>1</v>
      </c>
      <c r="C55" s="5">
        <v>1</v>
      </c>
      <c r="D55" s="5" t="s">
        <v>5063</v>
      </c>
      <c r="E55" s="5" t="s">
        <v>437</v>
      </c>
      <c r="F55" s="5" t="s">
        <v>248</v>
      </c>
      <c r="G55" s="5" t="s">
        <v>5062</v>
      </c>
      <c r="H55" s="6" t="s">
        <v>5082</v>
      </c>
      <c r="I55" s="7">
        <f>15.54</f>
        <v>15.54</v>
      </c>
      <c r="J55" s="5" t="s">
        <v>262</v>
      </c>
      <c r="K55" s="8">
        <f>152292</f>
        <v>152292</v>
      </c>
      <c r="L55" s="6" t="s">
        <v>242</v>
      </c>
      <c r="M55" s="5" t="s">
        <v>267</v>
      </c>
      <c r="N55" s="5" t="s">
        <v>237</v>
      </c>
      <c r="O55" s="5" t="s">
        <v>238</v>
      </c>
      <c r="P55" s="5" t="s">
        <v>238</v>
      </c>
      <c r="Q55" s="5" t="s">
        <v>239</v>
      </c>
      <c r="R55" s="5" t="s">
        <v>270</v>
      </c>
      <c r="S55" s="5" t="s">
        <v>238</v>
      </c>
      <c r="V55" s="5" t="s">
        <v>238</v>
      </c>
      <c r="X55" s="6" t="s">
        <v>238</v>
      </c>
      <c r="AA55" s="6" t="s">
        <v>243</v>
      </c>
      <c r="AB55" s="5" t="s">
        <v>238</v>
      </c>
      <c r="AC55" s="5" t="s">
        <v>244</v>
      </c>
      <c r="AD55" s="5" t="s">
        <v>245</v>
      </c>
      <c r="AT55" s="5" t="s">
        <v>246</v>
      </c>
      <c r="AU55" s="5" t="s">
        <v>238</v>
      </c>
      <c r="AV55" s="5" t="s">
        <v>247</v>
      </c>
      <c r="AW55" s="5" t="s">
        <v>238</v>
      </c>
      <c r="AX55" s="5" t="s">
        <v>249</v>
      </c>
      <c r="AY55" s="5" t="s">
        <v>238</v>
      </c>
      <c r="BA55" s="5" t="s">
        <v>238</v>
      </c>
      <c r="BC55" s="5" t="s">
        <v>250</v>
      </c>
      <c r="BD55" s="6" t="s">
        <v>243</v>
      </c>
      <c r="BE55" s="5" t="s">
        <v>251</v>
      </c>
      <c r="BF55" s="5" t="s">
        <v>252</v>
      </c>
      <c r="BG55" s="5" t="s">
        <v>238</v>
      </c>
      <c r="BH55" s="7">
        <f>0</f>
        <v>0</v>
      </c>
      <c r="BI55" s="8">
        <f>0</f>
        <v>0</v>
      </c>
      <c r="BJ55" s="5" t="s">
        <v>253</v>
      </c>
      <c r="BK55" s="5" t="s">
        <v>254</v>
      </c>
      <c r="BY55" s="5" t="s">
        <v>238</v>
      </c>
      <c r="BZ55" s="5" t="s">
        <v>238</v>
      </c>
      <c r="CD55" s="5" t="s">
        <v>255</v>
      </c>
      <c r="CE55" s="5" t="s">
        <v>256</v>
      </c>
      <c r="CF55" s="5" t="s">
        <v>238</v>
      </c>
      <c r="CI55" s="6" t="s">
        <v>257</v>
      </c>
      <c r="CJ55" s="5" t="s">
        <v>238</v>
      </c>
      <c r="CK55" s="5" t="s">
        <v>258</v>
      </c>
      <c r="CL55" s="5" t="s">
        <v>238</v>
      </c>
      <c r="CM55" s="5" t="s">
        <v>238</v>
      </c>
      <c r="CN55" s="5">
        <v>0</v>
      </c>
      <c r="CO55" s="5" t="s">
        <v>259</v>
      </c>
      <c r="CP55" s="5" t="s">
        <v>260</v>
      </c>
      <c r="CQ55" s="5" t="s">
        <v>260</v>
      </c>
      <c r="CR55" s="5" t="s">
        <v>261</v>
      </c>
      <c r="CU55" s="8">
        <f>152292</f>
        <v>152292</v>
      </c>
      <c r="CV55" s="8">
        <f>0</f>
        <v>0</v>
      </c>
      <c r="CX55" s="8">
        <f>0</f>
        <v>0</v>
      </c>
      <c r="CY55" s="8">
        <f>152292</f>
        <v>152292</v>
      </c>
      <c r="DA55" s="5" t="s">
        <v>263</v>
      </c>
      <c r="DB55" s="5" t="s">
        <v>238</v>
      </c>
      <c r="DD55" s="5" t="s">
        <v>263</v>
      </c>
      <c r="DE55" s="8">
        <f>15.54</f>
        <v>15.54</v>
      </c>
      <c r="DG55" s="5" t="s">
        <v>263</v>
      </c>
      <c r="DH55" s="5" t="s">
        <v>238</v>
      </c>
      <c r="DI55" s="5" t="s">
        <v>238</v>
      </c>
      <c r="DJ55" s="5" t="s">
        <v>238</v>
      </c>
      <c r="DN55" s="5" t="s">
        <v>238</v>
      </c>
      <c r="DO55" s="5" t="s">
        <v>238</v>
      </c>
      <c r="DP55" s="5" t="s">
        <v>238</v>
      </c>
      <c r="DQ55" s="5" t="s">
        <v>238</v>
      </c>
      <c r="DT55" s="5" t="s">
        <v>5065</v>
      </c>
      <c r="DU55" s="5" t="s">
        <v>1358</v>
      </c>
      <c r="HM55" s="5" t="s">
        <v>264</v>
      </c>
    </row>
    <row r="56" spans="1:221" x14ac:dyDescent="0.4">
      <c r="A56" s="5">
        <v>763</v>
      </c>
      <c r="B56" s="5">
        <v>1</v>
      </c>
      <c r="C56" s="5">
        <v>1</v>
      </c>
      <c r="D56" s="5" t="s">
        <v>5063</v>
      </c>
      <c r="E56" s="5" t="s">
        <v>437</v>
      </c>
      <c r="F56" s="5" t="s">
        <v>248</v>
      </c>
      <c r="G56" s="5" t="s">
        <v>5062</v>
      </c>
      <c r="H56" s="6" t="s">
        <v>5075</v>
      </c>
      <c r="I56" s="7">
        <f>160.19</f>
        <v>160.19</v>
      </c>
      <c r="J56" s="5" t="s">
        <v>262</v>
      </c>
      <c r="K56" s="8">
        <f>1601900</f>
        <v>1601900</v>
      </c>
      <c r="L56" s="6" t="s">
        <v>242</v>
      </c>
      <c r="M56" s="5" t="s">
        <v>267</v>
      </c>
      <c r="N56" s="5" t="s">
        <v>237</v>
      </c>
      <c r="O56" s="5" t="s">
        <v>238</v>
      </c>
      <c r="P56" s="5" t="s">
        <v>238</v>
      </c>
      <c r="Q56" s="5" t="s">
        <v>239</v>
      </c>
      <c r="R56" s="5" t="s">
        <v>270</v>
      </c>
      <c r="S56" s="5" t="s">
        <v>238</v>
      </c>
      <c r="V56" s="5" t="s">
        <v>238</v>
      </c>
      <c r="X56" s="6" t="s">
        <v>238</v>
      </c>
      <c r="AA56" s="6" t="s">
        <v>243</v>
      </c>
      <c r="AB56" s="5" t="s">
        <v>238</v>
      </c>
      <c r="AC56" s="5" t="s">
        <v>244</v>
      </c>
      <c r="AD56" s="5" t="s">
        <v>245</v>
      </c>
      <c r="AT56" s="5" t="s">
        <v>246</v>
      </c>
      <c r="AU56" s="5" t="s">
        <v>238</v>
      </c>
      <c r="AV56" s="5" t="s">
        <v>247</v>
      </c>
      <c r="AW56" s="5" t="s">
        <v>238</v>
      </c>
      <c r="AX56" s="5" t="s">
        <v>249</v>
      </c>
      <c r="AY56" s="5" t="s">
        <v>238</v>
      </c>
      <c r="BA56" s="5" t="s">
        <v>238</v>
      </c>
      <c r="BC56" s="5" t="s">
        <v>250</v>
      </c>
      <c r="BD56" s="6" t="s">
        <v>243</v>
      </c>
      <c r="BE56" s="5" t="s">
        <v>251</v>
      </c>
      <c r="BF56" s="5" t="s">
        <v>252</v>
      </c>
      <c r="BG56" s="5" t="s">
        <v>238</v>
      </c>
      <c r="BH56" s="7">
        <f>0</f>
        <v>0</v>
      </c>
      <c r="BI56" s="8">
        <f>0</f>
        <v>0</v>
      </c>
      <c r="BJ56" s="5" t="s">
        <v>253</v>
      </c>
      <c r="BK56" s="5" t="s">
        <v>254</v>
      </c>
      <c r="BY56" s="5" t="s">
        <v>238</v>
      </c>
      <c r="BZ56" s="5" t="s">
        <v>238</v>
      </c>
      <c r="CD56" s="5" t="s">
        <v>255</v>
      </c>
      <c r="CE56" s="5" t="s">
        <v>256</v>
      </c>
      <c r="CF56" s="5" t="s">
        <v>238</v>
      </c>
      <c r="CI56" s="6" t="s">
        <v>257</v>
      </c>
      <c r="CJ56" s="5" t="s">
        <v>238</v>
      </c>
      <c r="CK56" s="5" t="s">
        <v>258</v>
      </c>
      <c r="CL56" s="5" t="s">
        <v>238</v>
      </c>
      <c r="CM56" s="5" t="s">
        <v>238</v>
      </c>
      <c r="CN56" s="5">
        <v>0</v>
      </c>
      <c r="CO56" s="5" t="s">
        <v>259</v>
      </c>
      <c r="CP56" s="5" t="s">
        <v>260</v>
      </c>
      <c r="CQ56" s="5" t="s">
        <v>260</v>
      </c>
      <c r="CR56" s="5" t="s">
        <v>261</v>
      </c>
      <c r="CU56" s="8">
        <f>1601900</f>
        <v>1601900</v>
      </c>
      <c r="CV56" s="8">
        <f>0</f>
        <v>0</v>
      </c>
      <c r="CX56" s="8">
        <f>0</f>
        <v>0</v>
      </c>
      <c r="CY56" s="8">
        <f>1601900</f>
        <v>1601900</v>
      </c>
      <c r="DA56" s="5" t="s">
        <v>263</v>
      </c>
      <c r="DB56" s="5" t="s">
        <v>238</v>
      </c>
      <c r="DD56" s="5" t="s">
        <v>421</v>
      </c>
      <c r="DE56" s="8">
        <f>160.19</f>
        <v>160.19</v>
      </c>
      <c r="DG56" s="5" t="s">
        <v>263</v>
      </c>
      <c r="DH56" s="5" t="s">
        <v>238</v>
      </c>
      <c r="DI56" s="5" t="s">
        <v>238</v>
      </c>
      <c r="DJ56" s="5" t="s">
        <v>238</v>
      </c>
      <c r="DN56" s="5" t="s">
        <v>238</v>
      </c>
      <c r="DO56" s="5" t="s">
        <v>238</v>
      </c>
      <c r="DP56" s="5" t="s">
        <v>238</v>
      </c>
      <c r="DQ56" s="5" t="s">
        <v>238</v>
      </c>
      <c r="DT56" s="5" t="s">
        <v>5065</v>
      </c>
      <c r="DU56" s="5" t="s">
        <v>976</v>
      </c>
      <c r="HM56" s="5" t="s">
        <v>264</v>
      </c>
    </row>
    <row r="57" spans="1:221" x14ac:dyDescent="0.4">
      <c r="A57" s="5">
        <v>764</v>
      </c>
      <c r="B57" s="5">
        <v>1</v>
      </c>
      <c r="C57" s="5">
        <v>1</v>
      </c>
      <c r="D57" s="5" t="s">
        <v>5063</v>
      </c>
      <c r="E57" s="5" t="s">
        <v>437</v>
      </c>
      <c r="F57" s="5" t="s">
        <v>248</v>
      </c>
      <c r="G57" s="5" t="s">
        <v>5062</v>
      </c>
      <c r="H57" s="6" t="s">
        <v>5109</v>
      </c>
      <c r="I57" s="7">
        <f>292.98</f>
        <v>292.98</v>
      </c>
      <c r="J57" s="5" t="s">
        <v>262</v>
      </c>
      <c r="K57" s="8">
        <f>2929800</f>
        <v>2929800</v>
      </c>
      <c r="L57" s="6" t="s">
        <v>242</v>
      </c>
      <c r="M57" s="5" t="s">
        <v>267</v>
      </c>
      <c r="N57" s="5" t="s">
        <v>237</v>
      </c>
      <c r="O57" s="5" t="s">
        <v>238</v>
      </c>
      <c r="P57" s="5" t="s">
        <v>238</v>
      </c>
      <c r="Q57" s="5" t="s">
        <v>239</v>
      </c>
      <c r="R57" s="5" t="s">
        <v>270</v>
      </c>
      <c r="S57" s="5" t="s">
        <v>238</v>
      </c>
      <c r="V57" s="5" t="s">
        <v>238</v>
      </c>
      <c r="X57" s="6" t="s">
        <v>238</v>
      </c>
      <c r="AA57" s="6" t="s">
        <v>243</v>
      </c>
      <c r="AB57" s="5" t="s">
        <v>238</v>
      </c>
      <c r="AC57" s="5" t="s">
        <v>244</v>
      </c>
      <c r="AD57" s="5" t="s">
        <v>245</v>
      </c>
      <c r="AT57" s="5" t="s">
        <v>246</v>
      </c>
      <c r="AU57" s="5" t="s">
        <v>238</v>
      </c>
      <c r="AV57" s="5" t="s">
        <v>247</v>
      </c>
      <c r="AW57" s="5" t="s">
        <v>238</v>
      </c>
      <c r="AX57" s="5" t="s">
        <v>249</v>
      </c>
      <c r="AY57" s="5" t="s">
        <v>238</v>
      </c>
      <c r="BA57" s="5" t="s">
        <v>238</v>
      </c>
      <c r="BC57" s="5" t="s">
        <v>250</v>
      </c>
      <c r="BD57" s="6" t="s">
        <v>243</v>
      </c>
      <c r="BE57" s="5" t="s">
        <v>251</v>
      </c>
      <c r="BF57" s="5" t="s">
        <v>252</v>
      </c>
      <c r="BG57" s="5" t="s">
        <v>238</v>
      </c>
      <c r="BH57" s="7">
        <f>0</f>
        <v>0</v>
      </c>
      <c r="BI57" s="8">
        <f>0</f>
        <v>0</v>
      </c>
      <c r="BJ57" s="5" t="s">
        <v>253</v>
      </c>
      <c r="BK57" s="5" t="s">
        <v>254</v>
      </c>
      <c r="BY57" s="5" t="s">
        <v>238</v>
      </c>
      <c r="BZ57" s="5" t="s">
        <v>238</v>
      </c>
      <c r="CD57" s="5" t="s">
        <v>255</v>
      </c>
      <c r="CE57" s="5" t="s">
        <v>256</v>
      </c>
      <c r="CF57" s="5" t="s">
        <v>238</v>
      </c>
      <c r="CI57" s="6" t="s">
        <v>257</v>
      </c>
      <c r="CJ57" s="5" t="s">
        <v>238</v>
      </c>
      <c r="CK57" s="5" t="s">
        <v>258</v>
      </c>
      <c r="CL57" s="5" t="s">
        <v>238</v>
      </c>
      <c r="CM57" s="5" t="s">
        <v>238</v>
      </c>
      <c r="CN57" s="5">
        <v>0</v>
      </c>
      <c r="CO57" s="5" t="s">
        <v>259</v>
      </c>
      <c r="CP57" s="5" t="s">
        <v>260</v>
      </c>
      <c r="CQ57" s="5" t="s">
        <v>260</v>
      </c>
      <c r="CR57" s="5" t="s">
        <v>261</v>
      </c>
      <c r="CU57" s="8">
        <f>2929800</f>
        <v>2929800</v>
      </c>
      <c r="CV57" s="8">
        <f>0</f>
        <v>0</v>
      </c>
      <c r="CX57" s="8">
        <f>0</f>
        <v>0</v>
      </c>
      <c r="CY57" s="8">
        <f>2929800</f>
        <v>2929800</v>
      </c>
      <c r="DA57" s="5" t="s">
        <v>263</v>
      </c>
      <c r="DB57" s="5" t="s">
        <v>238</v>
      </c>
      <c r="DD57" s="5" t="s">
        <v>263</v>
      </c>
      <c r="DE57" s="8">
        <f>292.98</f>
        <v>292.98</v>
      </c>
      <c r="DG57" s="5" t="s">
        <v>263</v>
      </c>
      <c r="DH57" s="5" t="s">
        <v>238</v>
      </c>
      <c r="DI57" s="5" t="s">
        <v>238</v>
      </c>
      <c r="DJ57" s="5" t="s">
        <v>238</v>
      </c>
      <c r="DN57" s="5" t="s">
        <v>238</v>
      </c>
      <c r="DO57" s="5" t="s">
        <v>238</v>
      </c>
      <c r="DP57" s="5" t="s">
        <v>238</v>
      </c>
      <c r="DQ57" s="5" t="s">
        <v>238</v>
      </c>
      <c r="DT57" s="5" t="s">
        <v>5065</v>
      </c>
      <c r="DU57" s="5" t="s">
        <v>1354</v>
      </c>
      <c r="HM57" s="5" t="s">
        <v>264</v>
      </c>
    </row>
    <row r="58" spans="1:221" x14ac:dyDescent="0.4">
      <c r="A58" s="5">
        <v>765</v>
      </c>
      <c r="B58" s="5">
        <v>1</v>
      </c>
      <c r="C58" s="5">
        <v>1</v>
      </c>
      <c r="D58" s="5" t="s">
        <v>5063</v>
      </c>
      <c r="E58" s="5" t="s">
        <v>437</v>
      </c>
      <c r="F58" s="5" t="s">
        <v>248</v>
      </c>
      <c r="G58" s="5" t="s">
        <v>5062</v>
      </c>
      <c r="H58" s="6" t="s">
        <v>5113</v>
      </c>
      <c r="I58" s="7">
        <f>2612</f>
        <v>2612</v>
      </c>
      <c r="J58" s="5" t="s">
        <v>262</v>
      </c>
      <c r="K58" s="8">
        <f>5785580</f>
        <v>5785580</v>
      </c>
      <c r="L58" s="6" t="s">
        <v>242</v>
      </c>
      <c r="M58" s="5" t="s">
        <v>267</v>
      </c>
      <c r="N58" s="5" t="s">
        <v>265</v>
      </c>
      <c r="O58" s="5" t="s">
        <v>238</v>
      </c>
      <c r="P58" s="5" t="s">
        <v>238</v>
      </c>
      <c r="Q58" s="5" t="s">
        <v>239</v>
      </c>
      <c r="R58" s="5" t="s">
        <v>270</v>
      </c>
      <c r="S58" s="5" t="s">
        <v>238</v>
      </c>
      <c r="V58" s="5" t="s">
        <v>238</v>
      </c>
      <c r="X58" s="6" t="s">
        <v>238</v>
      </c>
      <c r="AA58" s="6" t="s">
        <v>243</v>
      </c>
      <c r="AB58" s="5" t="s">
        <v>238</v>
      </c>
      <c r="AC58" s="5" t="s">
        <v>244</v>
      </c>
      <c r="AD58" s="5" t="s">
        <v>245</v>
      </c>
      <c r="AT58" s="5" t="s">
        <v>246</v>
      </c>
      <c r="AU58" s="5" t="s">
        <v>238</v>
      </c>
      <c r="AV58" s="5" t="s">
        <v>247</v>
      </c>
      <c r="AW58" s="5" t="s">
        <v>238</v>
      </c>
      <c r="AX58" s="5" t="s">
        <v>249</v>
      </c>
      <c r="AY58" s="5" t="s">
        <v>238</v>
      </c>
      <c r="BA58" s="5" t="s">
        <v>238</v>
      </c>
      <c r="BC58" s="5" t="s">
        <v>250</v>
      </c>
      <c r="BD58" s="6" t="s">
        <v>243</v>
      </c>
      <c r="BE58" s="5" t="s">
        <v>251</v>
      </c>
      <c r="BF58" s="5" t="s">
        <v>252</v>
      </c>
      <c r="BG58" s="5" t="s">
        <v>238</v>
      </c>
      <c r="BH58" s="7">
        <f>0</f>
        <v>0</v>
      </c>
      <c r="BI58" s="8">
        <f>0</f>
        <v>0</v>
      </c>
      <c r="BJ58" s="5" t="s">
        <v>253</v>
      </c>
      <c r="BK58" s="5" t="s">
        <v>254</v>
      </c>
      <c r="BY58" s="5" t="s">
        <v>238</v>
      </c>
      <c r="BZ58" s="5" t="s">
        <v>238</v>
      </c>
      <c r="CD58" s="5" t="s">
        <v>255</v>
      </c>
      <c r="CE58" s="5" t="s">
        <v>256</v>
      </c>
      <c r="CF58" s="5" t="s">
        <v>238</v>
      </c>
      <c r="CI58" s="6" t="s">
        <v>257</v>
      </c>
      <c r="CJ58" s="5" t="s">
        <v>238</v>
      </c>
      <c r="CK58" s="5" t="s">
        <v>258</v>
      </c>
      <c r="CL58" s="5" t="s">
        <v>238</v>
      </c>
      <c r="CM58" s="5" t="s">
        <v>238</v>
      </c>
      <c r="CN58" s="5">
        <v>0</v>
      </c>
      <c r="CO58" s="5" t="s">
        <v>259</v>
      </c>
      <c r="CP58" s="5" t="s">
        <v>260</v>
      </c>
      <c r="CQ58" s="5" t="s">
        <v>260</v>
      </c>
      <c r="CR58" s="5" t="s">
        <v>261</v>
      </c>
      <c r="CU58" s="8">
        <f>5785580</f>
        <v>5785580</v>
      </c>
      <c r="CV58" s="8">
        <f>0</f>
        <v>0</v>
      </c>
      <c r="CX58" s="8">
        <f>0</f>
        <v>0</v>
      </c>
      <c r="CY58" s="8">
        <f>5785580</f>
        <v>5785580</v>
      </c>
      <c r="DA58" s="5" t="s">
        <v>356</v>
      </c>
      <c r="DB58" s="5" t="s">
        <v>238</v>
      </c>
      <c r="DD58" s="5" t="s">
        <v>3873</v>
      </c>
      <c r="DE58" s="8">
        <f>2612</f>
        <v>2612</v>
      </c>
      <c r="DG58" s="5" t="s">
        <v>389</v>
      </c>
      <c r="DH58" s="5" t="s">
        <v>238</v>
      </c>
      <c r="DI58" s="5" t="s">
        <v>238</v>
      </c>
      <c r="DJ58" s="5" t="s">
        <v>238</v>
      </c>
      <c r="DN58" s="5" t="s">
        <v>238</v>
      </c>
      <c r="DO58" s="5" t="s">
        <v>238</v>
      </c>
      <c r="DP58" s="5" t="s">
        <v>238</v>
      </c>
      <c r="DQ58" s="5" t="s">
        <v>238</v>
      </c>
      <c r="DT58" s="5" t="s">
        <v>5065</v>
      </c>
      <c r="DU58" s="5" t="s">
        <v>1350</v>
      </c>
      <c r="HM58" s="5" t="s">
        <v>264</v>
      </c>
    </row>
    <row r="59" spans="1:221" x14ac:dyDescent="0.4">
      <c r="A59" s="5">
        <v>766</v>
      </c>
      <c r="B59" s="5">
        <v>1</v>
      </c>
      <c r="C59" s="5">
        <v>1</v>
      </c>
      <c r="D59" s="5" t="s">
        <v>5063</v>
      </c>
      <c r="E59" s="5" t="s">
        <v>437</v>
      </c>
      <c r="F59" s="5" t="s">
        <v>248</v>
      </c>
      <c r="G59" s="5" t="s">
        <v>5062</v>
      </c>
      <c r="H59" s="6" t="s">
        <v>5074</v>
      </c>
      <c r="I59" s="7">
        <f>5.97</f>
        <v>5.97</v>
      </c>
      <c r="J59" s="5" t="s">
        <v>262</v>
      </c>
      <c r="K59" s="8">
        <f>2925</f>
        <v>2925</v>
      </c>
      <c r="L59" s="6" t="s">
        <v>242</v>
      </c>
      <c r="M59" s="5" t="s">
        <v>267</v>
      </c>
      <c r="N59" s="5" t="s">
        <v>265</v>
      </c>
      <c r="O59" s="5" t="s">
        <v>238</v>
      </c>
      <c r="P59" s="5" t="s">
        <v>238</v>
      </c>
      <c r="Q59" s="5" t="s">
        <v>239</v>
      </c>
      <c r="R59" s="5" t="s">
        <v>270</v>
      </c>
      <c r="S59" s="5" t="s">
        <v>238</v>
      </c>
      <c r="V59" s="5" t="s">
        <v>238</v>
      </c>
      <c r="X59" s="6" t="s">
        <v>238</v>
      </c>
      <c r="AA59" s="6" t="s">
        <v>243</v>
      </c>
      <c r="AB59" s="5" t="s">
        <v>238</v>
      </c>
      <c r="AC59" s="5" t="s">
        <v>244</v>
      </c>
      <c r="AD59" s="5" t="s">
        <v>245</v>
      </c>
      <c r="AT59" s="5" t="s">
        <v>246</v>
      </c>
      <c r="AU59" s="5" t="s">
        <v>238</v>
      </c>
      <c r="AV59" s="5" t="s">
        <v>247</v>
      </c>
      <c r="AW59" s="5" t="s">
        <v>238</v>
      </c>
      <c r="AX59" s="5" t="s">
        <v>249</v>
      </c>
      <c r="AY59" s="5" t="s">
        <v>238</v>
      </c>
      <c r="BA59" s="5" t="s">
        <v>238</v>
      </c>
      <c r="BC59" s="5" t="s">
        <v>250</v>
      </c>
      <c r="BD59" s="6" t="s">
        <v>243</v>
      </c>
      <c r="BE59" s="5" t="s">
        <v>251</v>
      </c>
      <c r="BF59" s="5" t="s">
        <v>252</v>
      </c>
      <c r="BG59" s="5" t="s">
        <v>238</v>
      </c>
      <c r="BH59" s="7">
        <f>0</f>
        <v>0</v>
      </c>
      <c r="BI59" s="8">
        <f>0</f>
        <v>0</v>
      </c>
      <c r="BJ59" s="5" t="s">
        <v>253</v>
      </c>
      <c r="BK59" s="5" t="s">
        <v>254</v>
      </c>
      <c r="BY59" s="5" t="s">
        <v>238</v>
      </c>
      <c r="BZ59" s="5" t="s">
        <v>238</v>
      </c>
      <c r="CD59" s="5" t="s">
        <v>255</v>
      </c>
      <c r="CE59" s="5" t="s">
        <v>256</v>
      </c>
      <c r="CF59" s="5" t="s">
        <v>238</v>
      </c>
      <c r="CI59" s="6" t="s">
        <v>257</v>
      </c>
      <c r="CJ59" s="5" t="s">
        <v>238</v>
      </c>
      <c r="CK59" s="5" t="s">
        <v>258</v>
      </c>
      <c r="CL59" s="5" t="s">
        <v>238</v>
      </c>
      <c r="CM59" s="5" t="s">
        <v>238</v>
      </c>
      <c r="CN59" s="5">
        <v>0</v>
      </c>
      <c r="CO59" s="5" t="s">
        <v>259</v>
      </c>
      <c r="CP59" s="5" t="s">
        <v>260</v>
      </c>
      <c r="CQ59" s="5" t="s">
        <v>260</v>
      </c>
      <c r="CR59" s="5" t="s">
        <v>261</v>
      </c>
      <c r="CU59" s="8">
        <f>2925</f>
        <v>2925</v>
      </c>
      <c r="CV59" s="8">
        <f>0</f>
        <v>0</v>
      </c>
      <c r="CX59" s="8">
        <f>0</f>
        <v>0</v>
      </c>
      <c r="CY59" s="8">
        <f>2925</f>
        <v>2925</v>
      </c>
      <c r="DA59" s="5" t="s">
        <v>356</v>
      </c>
      <c r="DB59" s="5" t="s">
        <v>238</v>
      </c>
      <c r="DD59" s="5" t="s">
        <v>673</v>
      </c>
      <c r="DE59" s="8">
        <f>5.97</f>
        <v>5.97</v>
      </c>
      <c r="DG59" s="5" t="s">
        <v>356</v>
      </c>
      <c r="DH59" s="5" t="s">
        <v>238</v>
      </c>
      <c r="DI59" s="5" t="s">
        <v>238</v>
      </c>
      <c r="DJ59" s="5" t="s">
        <v>238</v>
      </c>
      <c r="DN59" s="5" t="s">
        <v>238</v>
      </c>
      <c r="DO59" s="5" t="s">
        <v>238</v>
      </c>
      <c r="DP59" s="5" t="s">
        <v>238</v>
      </c>
      <c r="DQ59" s="5" t="s">
        <v>238</v>
      </c>
      <c r="DT59" s="5" t="s">
        <v>5065</v>
      </c>
      <c r="DU59" s="5" t="s">
        <v>1346</v>
      </c>
      <c r="HM59" s="5" t="s">
        <v>264</v>
      </c>
    </row>
    <row r="60" spans="1:221" x14ac:dyDescent="0.4">
      <c r="A60" s="5">
        <v>767</v>
      </c>
      <c r="B60" s="5">
        <v>1</v>
      </c>
      <c r="C60" s="5">
        <v>1</v>
      </c>
      <c r="D60" s="5" t="s">
        <v>5063</v>
      </c>
      <c r="E60" s="5" t="s">
        <v>437</v>
      </c>
      <c r="F60" s="5" t="s">
        <v>248</v>
      </c>
      <c r="G60" s="5" t="s">
        <v>5062</v>
      </c>
      <c r="H60" s="6" t="s">
        <v>5073</v>
      </c>
      <c r="I60" s="7">
        <f>120</f>
        <v>120</v>
      </c>
      <c r="J60" s="5" t="s">
        <v>262</v>
      </c>
      <c r="K60" s="8">
        <f>58800</f>
        <v>58800</v>
      </c>
      <c r="L60" s="6" t="s">
        <v>242</v>
      </c>
      <c r="M60" s="5" t="s">
        <v>267</v>
      </c>
      <c r="N60" s="5" t="s">
        <v>265</v>
      </c>
      <c r="O60" s="5" t="s">
        <v>238</v>
      </c>
      <c r="P60" s="5" t="s">
        <v>238</v>
      </c>
      <c r="Q60" s="5" t="s">
        <v>239</v>
      </c>
      <c r="R60" s="5" t="s">
        <v>270</v>
      </c>
      <c r="S60" s="5" t="s">
        <v>238</v>
      </c>
      <c r="V60" s="5" t="s">
        <v>238</v>
      </c>
      <c r="X60" s="6" t="s">
        <v>238</v>
      </c>
      <c r="AA60" s="6" t="s">
        <v>243</v>
      </c>
      <c r="AB60" s="5" t="s">
        <v>238</v>
      </c>
      <c r="AC60" s="5" t="s">
        <v>244</v>
      </c>
      <c r="AD60" s="5" t="s">
        <v>245</v>
      </c>
      <c r="AT60" s="5" t="s">
        <v>246</v>
      </c>
      <c r="AU60" s="5" t="s">
        <v>238</v>
      </c>
      <c r="AV60" s="5" t="s">
        <v>247</v>
      </c>
      <c r="AW60" s="5" t="s">
        <v>238</v>
      </c>
      <c r="AX60" s="5" t="s">
        <v>249</v>
      </c>
      <c r="AY60" s="5" t="s">
        <v>238</v>
      </c>
      <c r="BA60" s="5" t="s">
        <v>238</v>
      </c>
      <c r="BC60" s="5" t="s">
        <v>250</v>
      </c>
      <c r="BD60" s="6" t="s">
        <v>243</v>
      </c>
      <c r="BE60" s="5" t="s">
        <v>251</v>
      </c>
      <c r="BF60" s="5" t="s">
        <v>252</v>
      </c>
      <c r="BG60" s="5" t="s">
        <v>238</v>
      </c>
      <c r="BH60" s="7">
        <f>0</f>
        <v>0</v>
      </c>
      <c r="BI60" s="8">
        <f>0</f>
        <v>0</v>
      </c>
      <c r="BJ60" s="5" t="s">
        <v>253</v>
      </c>
      <c r="BK60" s="5" t="s">
        <v>254</v>
      </c>
      <c r="BY60" s="5" t="s">
        <v>238</v>
      </c>
      <c r="BZ60" s="5" t="s">
        <v>238</v>
      </c>
      <c r="CD60" s="5" t="s">
        <v>255</v>
      </c>
      <c r="CE60" s="5" t="s">
        <v>256</v>
      </c>
      <c r="CF60" s="5" t="s">
        <v>238</v>
      </c>
      <c r="CI60" s="6" t="s">
        <v>257</v>
      </c>
      <c r="CJ60" s="5" t="s">
        <v>238</v>
      </c>
      <c r="CK60" s="5" t="s">
        <v>258</v>
      </c>
      <c r="CL60" s="5" t="s">
        <v>238</v>
      </c>
      <c r="CM60" s="5" t="s">
        <v>238</v>
      </c>
      <c r="CN60" s="5">
        <v>0</v>
      </c>
      <c r="CO60" s="5" t="s">
        <v>259</v>
      </c>
      <c r="CP60" s="5" t="s">
        <v>260</v>
      </c>
      <c r="CQ60" s="5" t="s">
        <v>260</v>
      </c>
      <c r="CR60" s="5" t="s">
        <v>261</v>
      </c>
      <c r="CU60" s="8">
        <f>58800</f>
        <v>58800</v>
      </c>
      <c r="CV60" s="8">
        <f>0</f>
        <v>0</v>
      </c>
      <c r="CX60" s="8">
        <f>0</f>
        <v>0</v>
      </c>
      <c r="CY60" s="8">
        <f>58800</f>
        <v>58800</v>
      </c>
      <c r="DA60" s="5" t="s">
        <v>356</v>
      </c>
      <c r="DB60" s="5" t="s">
        <v>238</v>
      </c>
      <c r="DD60" s="5" t="s">
        <v>673</v>
      </c>
      <c r="DE60" s="8">
        <f>120</f>
        <v>120</v>
      </c>
      <c r="DG60" s="5" t="s">
        <v>356</v>
      </c>
      <c r="DH60" s="5" t="s">
        <v>238</v>
      </c>
      <c r="DI60" s="5" t="s">
        <v>238</v>
      </c>
      <c r="DJ60" s="5" t="s">
        <v>238</v>
      </c>
      <c r="DN60" s="5" t="s">
        <v>238</v>
      </c>
      <c r="DO60" s="5" t="s">
        <v>238</v>
      </c>
      <c r="DP60" s="5" t="s">
        <v>238</v>
      </c>
      <c r="DQ60" s="5" t="s">
        <v>238</v>
      </c>
      <c r="DT60" s="5" t="s">
        <v>5065</v>
      </c>
      <c r="DU60" s="5" t="s">
        <v>1342</v>
      </c>
      <c r="HM60" s="5" t="s">
        <v>264</v>
      </c>
    </row>
    <row r="61" spans="1:221" x14ac:dyDescent="0.4">
      <c r="A61" s="5">
        <v>768</v>
      </c>
      <c r="B61" s="5">
        <v>1</v>
      </c>
      <c r="C61" s="5">
        <v>1</v>
      </c>
      <c r="D61" s="5" t="s">
        <v>5063</v>
      </c>
      <c r="E61" s="5" t="s">
        <v>437</v>
      </c>
      <c r="F61" s="5" t="s">
        <v>248</v>
      </c>
      <c r="G61" s="5" t="s">
        <v>5062</v>
      </c>
      <c r="H61" s="6" t="s">
        <v>5081</v>
      </c>
      <c r="I61" s="7">
        <f>8.71</f>
        <v>8.7100000000000009</v>
      </c>
      <c r="J61" s="5" t="s">
        <v>262</v>
      </c>
      <c r="K61" s="8">
        <f>243</f>
        <v>243</v>
      </c>
      <c r="L61" s="6" t="s">
        <v>242</v>
      </c>
      <c r="M61" s="5" t="s">
        <v>267</v>
      </c>
      <c r="N61" s="5" t="s">
        <v>265</v>
      </c>
      <c r="O61" s="5" t="s">
        <v>238</v>
      </c>
      <c r="P61" s="5" t="s">
        <v>238</v>
      </c>
      <c r="Q61" s="5" t="s">
        <v>239</v>
      </c>
      <c r="R61" s="5" t="s">
        <v>270</v>
      </c>
      <c r="S61" s="5" t="s">
        <v>238</v>
      </c>
      <c r="V61" s="5" t="s">
        <v>238</v>
      </c>
      <c r="X61" s="6" t="s">
        <v>238</v>
      </c>
      <c r="AA61" s="6" t="s">
        <v>243</v>
      </c>
      <c r="AB61" s="5" t="s">
        <v>238</v>
      </c>
      <c r="AC61" s="5" t="s">
        <v>244</v>
      </c>
      <c r="AD61" s="5" t="s">
        <v>245</v>
      </c>
      <c r="AT61" s="5" t="s">
        <v>246</v>
      </c>
      <c r="AU61" s="5" t="s">
        <v>238</v>
      </c>
      <c r="AV61" s="5" t="s">
        <v>247</v>
      </c>
      <c r="AW61" s="5" t="s">
        <v>238</v>
      </c>
      <c r="AX61" s="5" t="s">
        <v>249</v>
      </c>
      <c r="AY61" s="5" t="s">
        <v>238</v>
      </c>
      <c r="BA61" s="5" t="s">
        <v>238</v>
      </c>
      <c r="BC61" s="5" t="s">
        <v>250</v>
      </c>
      <c r="BD61" s="6" t="s">
        <v>243</v>
      </c>
      <c r="BE61" s="5" t="s">
        <v>251</v>
      </c>
      <c r="BF61" s="5" t="s">
        <v>252</v>
      </c>
      <c r="BG61" s="5" t="s">
        <v>238</v>
      </c>
      <c r="BH61" s="7">
        <f>0</f>
        <v>0</v>
      </c>
      <c r="BI61" s="8">
        <f>0</f>
        <v>0</v>
      </c>
      <c r="BJ61" s="5" t="s">
        <v>253</v>
      </c>
      <c r="BK61" s="5" t="s">
        <v>254</v>
      </c>
      <c r="BY61" s="5" t="s">
        <v>238</v>
      </c>
      <c r="BZ61" s="5" t="s">
        <v>238</v>
      </c>
      <c r="CD61" s="5" t="s">
        <v>255</v>
      </c>
      <c r="CE61" s="5" t="s">
        <v>256</v>
      </c>
      <c r="CF61" s="5" t="s">
        <v>238</v>
      </c>
      <c r="CI61" s="6" t="s">
        <v>257</v>
      </c>
      <c r="CJ61" s="5" t="s">
        <v>238</v>
      </c>
      <c r="CK61" s="5" t="s">
        <v>258</v>
      </c>
      <c r="CL61" s="5" t="s">
        <v>238</v>
      </c>
      <c r="CM61" s="5" t="s">
        <v>238</v>
      </c>
      <c r="CN61" s="5">
        <v>0</v>
      </c>
      <c r="CO61" s="5" t="s">
        <v>259</v>
      </c>
      <c r="CP61" s="5" t="s">
        <v>260</v>
      </c>
      <c r="CQ61" s="5" t="s">
        <v>260</v>
      </c>
      <c r="CR61" s="5" t="s">
        <v>261</v>
      </c>
      <c r="CU61" s="8">
        <f>243</f>
        <v>243</v>
      </c>
      <c r="CV61" s="8">
        <f>0</f>
        <v>0</v>
      </c>
      <c r="CX61" s="8">
        <f>0</f>
        <v>0</v>
      </c>
      <c r="CY61" s="8">
        <f>243</f>
        <v>243</v>
      </c>
      <c r="DA61" s="5" t="s">
        <v>356</v>
      </c>
      <c r="DB61" s="5" t="s">
        <v>238</v>
      </c>
      <c r="DD61" s="5" t="s">
        <v>421</v>
      </c>
      <c r="DE61" s="8">
        <f>8.71</f>
        <v>8.7100000000000009</v>
      </c>
      <c r="DG61" s="5" t="s">
        <v>421</v>
      </c>
      <c r="DH61" s="5" t="s">
        <v>238</v>
      </c>
      <c r="DI61" s="5" t="s">
        <v>238</v>
      </c>
      <c r="DJ61" s="5" t="s">
        <v>238</v>
      </c>
      <c r="DN61" s="5" t="s">
        <v>238</v>
      </c>
      <c r="DO61" s="5" t="s">
        <v>238</v>
      </c>
      <c r="DP61" s="5" t="s">
        <v>238</v>
      </c>
      <c r="DQ61" s="5" t="s">
        <v>238</v>
      </c>
      <c r="DT61" s="5" t="s">
        <v>5065</v>
      </c>
      <c r="DU61" s="5" t="s">
        <v>1338</v>
      </c>
      <c r="HM61" s="5" t="s">
        <v>264</v>
      </c>
    </row>
    <row r="62" spans="1:221" x14ac:dyDescent="0.4">
      <c r="A62" s="5">
        <v>769</v>
      </c>
      <c r="B62" s="5">
        <v>1</v>
      </c>
      <c r="C62" s="5">
        <v>1</v>
      </c>
      <c r="D62" s="5" t="s">
        <v>5063</v>
      </c>
      <c r="E62" s="5" t="s">
        <v>437</v>
      </c>
      <c r="F62" s="5" t="s">
        <v>248</v>
      </c>
      <c r="G62" s="5" t="s">
        <v>5062</v>
      </c>
      <c r="H62" s="6" t="s">
        <v>5099</v>
      </c>
      <c r="I62" s="7">
        <f>43</f>
        <v>43</v>
      </c>
      <c r="J62" s="5" t="s">
        <v>262</v>
      </c>
      <c r="K62" s="8">
        <f>21070</f>
        <v>21070</v>
      </c>
      <c r="L62" s="6" t="s">
        <v>242</v>
      </c>
      <c r="M62" s="5" t="s">
        <v>267</v>
      </c>
      <c r="N62" s="5" t="s">
        <v>265</v>
      </c>
      <c r="O62" s="5" t="s">
        <v>238</v>
      </c>
      <c r="P62" s="5" t="s">
        <v>238</v>
      </c>
      <c r="Q62" s="5" t="s">
        <v>239</v>
      </c>
      <c r="R62" s="5" t="s">
        <v>270</v>
      </c>
      <c r="S62" s="5" t="s">
        <v>238</v>
      </c>
      <c r="V62" s="5" t="s">
        <v>238</v>
      </c>
      <c r="X62" s="6" t="s">
        <v>238</v>
      </c>
      <c r="AA62" s="6" t="s">
        <v>243</v>
      </c>
      <c r="AB62" s="5" t="s">
        <v>238</v>
      </c>
      <c r="AC62" s="5" t="s">
        <v>244</v>
      </c>
      <c r="AD62" s="5" t="s">
        <v>245</v>
      </c>
      <c r="AT62" s="5" t="s">
        <v>246</v>
      </c>
      <c r="AU62" s="5" t="s">
        <v>238</v>
      </c>
      <c r="AV62" s="5" t="s">
        <v>247</v>
      </c>
      <c r="AW62" s="5" t="s">
        <v>238</v>
      </c>
      <c r="AX62" s="5" t="s">
        <v>249</v>
      </c>
      <c r="AY62" s="5" t="s">
        <v>238</v>
      </c>
      <c r="BA62" s="5" t="s">
        <v>238</v>
      </c>
      <c r="BC62" s="5" t="s">
        <v>250</v>
      </c>
      <c r="BD62" s="6" t="s">
        <v>243</v>
      </c>
      <c r="BE62" s="5" t="s">
        <v>251</v>
      </c>
      <c r="BF62" s="5" t="s">
        <v>252</v>
      </c>
      <c r="BG62" s="5" t="s">
        <v>238</v>
      </c>
      <c r="BH62" s="7">
        <f>0</f>
        <v>0</v>
      </c>
      <c r="BI62" s="8">
        <f>0</f>
        <v>0</v>
      </c>
      <c r="BJ62" s="5" t="s">
        <v>253</v>
      </c>
      <c r="BK62" s="5" t="s">
        <v>254</v>
      </c>
      <c r="BY62" s="5" t="s">
        <v>238</v>
      </c>
      <c r="BZ62" s="5" t="s">
        <v>238</v>
      </c>
      <c r="CD62" s="5" t="s">
        <v>255</v>
      </c>
      <c r="CE62" s="5" t="s">
        <v>256</v>
      </c>
      <c r="CF62" s="5" t="s">
        <v>238</v>
      </c>
      <c r="CI62" s="6" t="s">
        <v>257</v>
      </c>
      <c r="CJ62" s="5" t="s">
        <v>238</v>
      </c>
      <c r="CK62" s="5" t="s">
        <v>258</v>
      </c>
      <c r="CL62" s="5" t="s">
        <v>238</v>
      </c>
      <c r="CM62" s="5" t="s">
        <v>238</v>
      </c>
      <c r="CN62" s="5">
        <v>0</v>
      </c>
      <c r="CO62" s="5" t="s">
        <v>259</v>
      </c>
      <c r="CP62" s="5" t="s">
        <v>260</v>
      </c>
      <c r="CQ62" s="5" t="s">
        <v>260</v>
      </c>
      <c r="CR62" s="5" t="s">
        <v>261</v>
      </c>
      <c r="CU62" s="8">
        <f>21070</f>
        <v>21070</v>
      </c>
      <c r="CV62" s="8">
        <f>0</f>
        <v>0</v>
      </c>
      <c r="CX62" s="8">
        <f>0</f>
        <v>0</v>
      </c>
      <c r="CY62" s="8">
        <f>21070</f>
        <v>21070</v>
      </c>
      <c r="DA62" s="5" t="s">
        <v>356</v>
      </c>
      <c r="DB62" s="5" t="s">
        <v>238</v>
      </c>
      <c r="DD62" s="5" t="s">
        <v>673</v>
      </c>
      <c r="DE62" s="8">
        <f>43</f>
        <v>43</v>
      </c>
      <c r="DG62" s="5" t="s">
        <v>356</v>
      </c>
      <c r="DH62" s="5" t="s">
        <v>238</v>
      </c>
      <c r="DI62" s="5" t="s">
        <v>238</v>
      </c>
      <c r="DJ62" s="5" t="s">
        <v>238</v>
      </c>
      <c r="DN62" s="5" t="s">
        <v>238</v>
      </c>
      <c r="DO62" s="5" t="s">
        <v>238</v>
      </c>
      <c r="DP62" s="5" t="s">
        <v>238</v>
      </c>
      <c r="DQ62" s="5" t="s">
        <v>238</v>
      </c>
      <c r="DT62" s="5" t="s">
        <v>5065</v>
      </c>
      <c r="DU62" s="5" t="s">
        <v>1334</v>
      </c>
      <c r="HM62" s="5" t="s">
        <v>264</v>
      </c>
    </row>
    <row r="63" spans="1:221" x14ac:dyDescent="0.4">
      <c r="A63" s="5">
        <v>770</v>
      </c>
      <c r="B63" s="5">
        <v>1</v>
      </c>
      <c r="C63" s="5">
        <v>1</v>
      </c>
      <c r="D63" s="5" t="s">
        <v>5063</v>
      </c>
      <c r="E63" s="5" t="s">
        <v>437</v>
      </c>
      <c r="F63" s="5" t="s">
        <v>248</v>
      </c>
      <c r="G63" s="5" t="s">
        <v>5062</v>
      </c>
      <c r="H63" s="6" t="s">
        <v>5103</v>
      </c>
      <c r="I63" s="7">
        <f>112</f>
        <v>112</v>
      </c>
      <c r="J63" s="5" t="s">
        <v>262</v>
      </c>
      <c r="K63" s="8">
        <f>3136</f>
        <v>3136</v>
      </c>
      <c r="L63" s="6" t="s">
        <v>242</v>
      </c>
      <c r="M63" s="5" t="s">
        <v>267</v>
      </c>
      <c r="N63" s="5" t="s">
        <v>265</v>
      </c>
      <c r="O63" s="5" t="s">
        <v>238</v>
      </c>
      <c r="P63" s="5" t="s">
        <v>238</v>
      </c>
      <c r="Q63" s="5" t="s">
        <v>239</v>
      </c>
      <c r="R63" s="5" t="s">
        <v>270</v>
      </c>
      <c r="S63" s="5" t="s">
        <v>238</v>
      </c>
      <c r="V63" s="5" t="s">
        <v>238</v>
      </c>
      <c r="X63" s="6" t="s">
        <v>238</v>
      </c>
      <c r="AA63" s="6" t="s">
        <v>243</v>
      </c>
      <c r="AB63" s="5" t="s">
        <v>238</v>
      </c>
      <c r="AC63" s="5" t="s">
        <v>244</v>
      </c>
      <c r="AD63" s="5" t="s">
        <v>245</v>
      </c>
      <c r="AT63" s="5" t="s">
        <v>246</v>
      </c>
      <c r="AU63" s="5" t="s">
        <v>238</v>
      </c>
      <c r="AV63" s="5" t="s">
        <v>247</v>
      </c>
      <c r="AW63" s="5" t="s">
        <v>238</v>
      </c>
      <c r="AX63" s="5" t="s">
        <v>249</v>
      </c>
      <c r="AY63" s="5" t="s">
        <v>238</v>
      </c>
      <c r="BA63" s="5" t="s">
        <v>238</v>
      </c>
      <c r="BC63" s="5" t="s">
        <v>250</v>
      </c>
      <c r="BD63" s="6" t="s">
        <v>243</v>
      </c>
      <c r="BE63" s="5" t="s">
        <v>251</v>
      </c>
      <c r="BF63" s="5" t="s">
        <v>252</v>
      </c>
      <c r="BG63" s="5" t="s">
        <v>238</v>
      </c>
      <c r="BH63" s="7">
        <f>0</f>
        <v>0</v>
      </c>
      <c r="BI63" s="8">
        <f>0</f>
        <v>0</v>
      </c>
      <c r="BJ63" s="5" t="s">
        <v>253</v>
      </c>
      <c r="BK63" s="5" t="s">
        <v>254</v>
      </c>
      <c r="BY63" s="5" t="s">
        <v>238</v>
      </c>
      <c r="BZ63" s="5" t="s">
        <v>238</v>
      </c>
      <c r="CD63" s="5" t="s">
        <v>255</v>
      </c>
      <c r="CE63" s="5" t="s">
        <v>256</v>
      </c>
      <c r="CF63" s="5" t="s">
        <v>238</v>
      </c>
      <c r="CI63" s="6" t="s">
        <v>257</v>
      </c>
      <c r="CJ63" s="5" t="s">
        <v>238</v>
      </c>
      <c r="CK63" s="5" t="s">
        <v>258</v>
      </c>
      <c r="CL63" s="5" t="s">
        <v>238</v>
      </c>
      <c r="CM63" s="5" t="s">
        <v>238</v>
      </c>
      <c r="CN63" s="5">
        <v>0</v>
      </c>
      <c r="CO63" s="5" t="s">
        <v>259</v>
      </c>
      <c r="CP63" s="5" t="s">
        <v>260</v>
      </c>
      <c r="CQ63" s="5" t="s">
        <v>260</v>
      </c>
      <c r="CR63" s="5" t="s">
        <v>261</v>
      </c>
      <c r="CU63" s="8">
        <f>3136</f>
        <v>3136</v>
      </c>
      <c r="CV63" s="8">
        <f>0</f>
        <v>0</v>
      </c>
      <c r="CX63" s="8">
        <f>0</f>
        <v>0</v>
      </c>
      <c r="CY63" s="8">
        <f>3136</f>
        <v>3136</v>
      </c>
      <c r="DA63" s="5" t="s">
        <v>356</v>
      </c>
      <c r="DB63" s="5" t="s">
        <v>238</v>
      </c>
      <c r="DD63" s="5" t="s">
        <v>421</v>
      </c>
      <c r="DE63" s="8">
        <f>112</f>
        <v>112</v>
      </c>
      <c r="DG63" s="5" t="s">
        <v>421</v>
      </c>
      <c r="DH63" s="5" t="s">
        <v>238</v>
      </c>
      <c r="DI63" s="5" t="s">
        <v>238</v>
      </c>
      <c r="DJ63" s="5" t="s">
        <v>238</v>
      </c>
      <c r="DN63" s="5" t="s">
        <v>238</v>
      </c>
      <c r="DO63" s="5" t="s">
        <v>238</v>
      </c>
      <c r="DP63" s="5" t="s">
        <v>238</v>
      </c>
      <c r="DQ63" s="5" t="s">
        <v>238</v>
      </c>
      <c r="DT63" s="5" t="s">
        <v>5065</v>
      </c>
      <c r="DU63" s="5" t="s">
        <v>882</v>
      </c>
      <c r="HM63" s="5" t="s">
        <v>264</v>
      </c>
    </row>
    <row r="64" spans="1:221" x14ac:dyDescent="0.4">
      <c r="A64" s="5">
        <v>771</v>
      </c>
      <c r="B64" s="5">
        <v>1</v>
      </c>
      <c r="C64" s="5">
        <v>1</v>
      </c>
      <c r="D64" s="5" t="s">
        <v>5063</v>
      </c>
      <c r="E64" s="5" t="s">
        <v>437</v>
      </c>
      <c r="F64" s="5" t="s">
        <v>248</v>
      </c>
      <c r="G64" s="5" t="s">
        <v>5062</v>
      </c>
      <c r="H64" s="6" t="s">
        <v>5106</v>
      </c>
      <c r="I64" s="7">
        <f>194</f>
        <v>194</v>
      </c>
      <c r="J64" s="5" t="s">
        <v>262</v>
      </c>
      <c r="K64" s="8">
        <f>95060</f>
        <v>95060</v>
      </c>
      <c r="L64" s="6" t="s">
        <v>242</v>
      </c>
      <c r="M64" s="5" t="s">
        <v>267</v>
      </c>
      <c r="N64" s="5" t="s">
        <v>265</v>
      </c>
      <c r="O64" s="5" t="s">
        <v>238</v>
      </c>
      <c r="P64" s="5" t="s">
        <v>238</v>
      </c>
      <c r="Q64" s="5" t="s">
        <v>239</v>
      </c>
      <c r="R64" s="5" t="s">
        <v>270</v>
      </c>
      <c r="S64" s="5" t="s">
        <v>238</v>
      </c>
      <c r="V64" s="5" t="s">
        <v>238</v>
      </c>
      <c r="X64" s="6" t="s">
        <v>238</v>
      </c>
      <c r="AA64" s="6" t="s">
        <v>243</v>
      </c>
      <c r="AB64" s="5" t="s">
        <v>238</v>
      </c>
      <c r="AC64" s="5" t="s">
        <v>244</v>
      </c>
      <c r="AD64" s="5" t="s">
        <v>245</v>
      </c>
      <c r="AT64" s="5" t="s">
        <v>246</v>
      </c>
      <c r="AU64" s="5" t="s">
        <v>238</v>
      </c>
      <c r="AV64" s="5" t="s">
        <v>247</v>
      </c>
      <c r="AW64" s="5" t="s">
        <v>238</v>
      </c>
      <c r="AX64" s="5" t="s">
        <v>249</v>
      </c>
      <c r="AY64" s="5" t="s">
        <v>238</v>
      </c>
      <c r="BA64" s="5" t="s">
        <v>238</v>
      </c>
      <c r="BC64" s="5" t="s">
        <v>250</v>
      </c>
      <c r="BD64" s="6" t="s">
        <v>243</v>
      </c>
      <c r="BE64" s="5" t="s">
        <v>251</v>
      </c>
      <c r="BF64" s="5" t="s">
        <v>252</v>
      </c>
      <c r="BG64" s="5" t="s">
        <v>238</v>
      </c>
      <c r="BH64" s="7">
        <f>0</f>
        <v>0</v>
      </c>
      <c r="BI64" s="8">
        <f>0</f>
        <v>0</v>
      </c>
      <c r="BJ64" s="5" t="s">
        <v>253</v>
      </c>
      <c r="BK64" s="5" t="s">
        <v>254</v>
      </c>
      <c r="BY64" s="5" t="s">
        <v>238</v>
      </c>
      <c r="BZ64" s="5" t="s">
        <v>238</v>
      </c>
      <c r="CD64" s="5" t="s">
        <v>255</v>
      </c>
      <c r="CE64" s="5" t="s">
        <v>256</v>
      </c>
      <c r="CF64" s="5" t="s">
        <v>238</v>
      </c>
      <c r="CI64" s="6" t="s">
        <v>257</v>
      </c>
      <c r="CJ64" s="5" t="s">
        <v>238</v>
      </c>
      <c r="CK64" s="5" t="s">
        <v>258</v>
      </c>
      <c r="CL64" s="5" t="s">
        <v>238</v>
      </c>
      <c r="CM64" s="5" t="s">
        <v>238</v>
      </c>
      <c r="CN64" s="5">
        <v>0</v>
      </c>
      <c r="CO64" s="5" t="s">
        <v>259</v>
      </c>
      <c r="CP64" s="5" t="s">
        <v>260</v>
      </c>
      <c r="CQ64" s="5" t="s">
        <v>260</v>
      </c>
      <c r="CR64" s="5" t="s">
        <v>261</v>
      </c>
      <c r="CU64" s="8">
        <f>95060</f>
        <v>95060</v>
      </c>
      <c r="CV64" s="8">
        <f>0</f>
        <v>0</v>
      </c>
      <c r="CX64" s="8">
        <f>0</f>
        <v>0</v>
      </c>
      <c r="CY64" s="8">
        <f>95060</f>
        <v>95060</v>
      </c>
      <c r="DA64" s="5" t="s">
        <v>356</v>
      </c>
      <c r="DB64" s="5" t="s">
        <v>238</v>
      </c>
      <c r="DD64" s="5" t="s">
        <v>673</v>
      </c>
      <c r="DE64" s="8">
        <f>194</f>
        <v>194</v>
      </c>
      <c r="DG64" s="5" t="s">
        <v>356</v>
      </c>
      <c r="DH64" s="5" t="s">
        <v>238</v>
      </c>
      <c r="DI64" s="5" t="s">
        <v>238</v>
      </c>
      <c r="DJ64" s="5" t="s">
        <v>238</v>
      </c>
      <c r="DN64" s="5" t="s">
        <v>238</v>
      </c>
      <c r="DO64" s="5" t="s">
        <v>238</v>
      </c>
      <c r="DP64" s="5" t="s">
        <v>238</v>
      </c>
      <c r="DQ64" s="5" t="s">
        <v>238</v>
      </c>
      <c r="DT64" s="5" t="s">
        <v>5065</v>
      </c>
      <c r="DU64" s="5" t="s">
        <v>1594</v>
      </c>
      <c r="HM64" s="5" t="s">
        <v>264</v>
      </c>
    </row>
    <row r="65" spans="1:238" x14ac:dyDescent="0.4">
      <c r="A65" s="5">
        <v>772</v>
      </c>
      <c r="B65" s="5">
        <v>1</v>
      </c>
      <c r="C65" s="5">
        <v>1</v>
      </c>
      <c r="D65" s="5" t="s">
        <v>5063</v>
      </c>
      <c r="E65" s="5" t="s">
        <v>437</v>
      </c>
      <c r="F65" s="5" t="s">
        <v>248</v>
      </c>
      <c r="G65" s="5" t="s">
        <v>5062</v>
      </c>
      <c r="H65" s="6" t="s">
        <v>5064</v>
      </c>
      <c r="I65" s="7">
        <f>24</f>
        <v>24</v>
      </c>
      <c r="J65" s="5" t="s">
        <v>262</v>
      </c>
      <c r="K65" s="8">
        <f>11760</f>
        <v>11760</v>
      </c>
      <c r="L65" s="6" t="s">
        <v>242</v>
      </c>
      <c r="M65" s="5" t="s">
        <v>267</v>
      </c>
      <c r="N65" s="5" t="s">
        <v>265</v>
      </c>
      <c r="O65" s="5" t="s">
        <v>238</v>
      </c>
      <c r="P65" s="5" t="s">
        <v>238</v>
      </c>
      <c r="Q65" s="5" t="s">
        <v>239</v>
      </c>
      <c r="R65" s="5" t="s">
        <v>270</v>
      </c>
      <c r="S65" s="5" t="s">
        <v>238</v>
      </c>
      <c r="V65" s="5" t="s">
        <v>238</v>
      </c>
      <c r="X65" s="6" t="s">
        <v>238</v>
      </c>
      <c r="AA65" s="6" t="s">
        <v>243</v>
      </c>
      <c r="AB65" s="5" t="s">
        <v>238</v>
      </c>
      <c r="AC65" s="5" t="s">
        <v>244</v>
      </c>
      <c r="AD65" s="5" t="s">
        <v>245</v>
      </c>
      <c r="AT65" s="5" t="s">
        <v>246</v>
      </c>
      <c r="AU65" s="5" t="s">
        <v>238</v>
      </c>
      <c r="AV65" s="5" t="s">
        <v>247</v>
      </c>
      <c r="AW65" s="5" t="s">
        <v>238</v>
      </c>
      <c r="AX65" s="5" t="s">
        <v>249</v>
      </c>
      <c r="AY65" s="5" t="s">
        <v>238</v>
      </c>
      <c r="BA65" s="5" t="s">
        <v>238</v>
      </c>
      <c r="BC65" s="5" t="s">
        <v>250</v>
      </c>
      <c r="BD65" s="6" t="s">
        <v>243</v>
      </c>
      <c r="BE65" s="5" t="s">
        <v>251</v>
      </c>
      <c r="BF65" s="5" t="s">
        <v>252</v>
      </c>
      <c r="BG65" s="5" t="s">
        <v>238</v>
      </c>
      <c r="BH65" s="7">
        <f>0</f>
        <v>0</v>
      </c>
      <c r="BI65" s="8">
        <f>0</f>
        <v>0</v>
      </c>
      <c r="BJ65" s="5" t="s">
        <v>253</v>
      </c>
      <c r="BK65" s="5" t="s">
        <v>254</v>
      </c>
      <c r="BY65" s="5" t="s">
        <v>238</v>
      </c>
      <c r="BZ65" s="5" t="s">
        <v>238</v>
      </c>
      <c r="CD65" s="5" t="s">
        <v>255</v>
      </c>
      <c r="CE65" s="5" t="s">
        <v>256</v>
      </c>
      <c r="CF65" s="5" t="s">
        <v>238</v>
      </c>
      <c r="CI65" s="6" t="s">
        <v>257</v>
      </c>
      <c r="CJ65" s="5" t="s">
        <v>238</v>
      </c>
      <c r="CK65" s="5" t="s">
        <v>258</v>
      </c>
      <c r="CL65" s="5" t="s">
        <v>238</v>
      </c>
      <c r="CM65" s="5" t="s">
        <v>238</v>
      </c>
      <c r="CN65" s="5">
        <v>0</v>
      </c>
      <c r="CO65" s="5" t="s">
        <v>259</v>
      </c>
      <c r="CP65" s="5" t="s">
        <v>260</v>
      </c>
      <c r="CQ65" s="5" t="s">
        <v>260</v>
      </c>
      <c r="CR65" s="5" t="s">
        <v>261</v>
      </c>
      <c r="CU65" s="8">
        <f>11760</f>
        <v>11760</v>
      </c>
      <c r="CV65" s="8">
        <f>0</f>
        <v>0</v>
      </c>
      <c r="CX65" s="8">
        <f>0</f>
        <v>0</v>
      </c>
      <c r="CY65" s="8">
        <f>11760</f>
        <v>11760</v>
      </c>
      <c r="DA65" s="5" t="s">
        <v>356</v>
      </c>
      <c r="DB65" s="5" t="s">
        <v>238</v>
      </c>
      <c r="DD65" s="5" t="s">
        <v>673</v>
      </c>
      <c r="DE65" s="8">
        <f>24</f>
        <v>24</v>
      </c>
      <c r="DG65" s="5" t="s">
        <v>356</v>
      </c>
      <c r="DH65" s="5" t="s">
        <v>238</v>
      </c>
      <c r="DI65" s="5" t="s">
        <v>238</v>
      </c>
      <c r="DJ65" s="5" t="s">
        <v>238</v>
      </c>
      <c r="DN65" s="5" t="s">
        <v>238</v>
      </c>
      <c r="DO65" s="5" t="s">
        <v>238</v>
      </c>
      <c r="DP65" s="5" t="s">
        <v>238</v>
      </c>
      <c r="DQ65" s="5" t="s">
        <v>238</v>
      </c>
      <c r="DT65" s="5" t="s">
        <v>5065</v>
      </c>
      <c r="DU65" s="5" t="s">
        <v>1329</v>
      </c>
      <c r="HM65" s="5" t="s">
        <v>264</v>
      </c>
    </row>
    <row r="66" spans="1:238" x14ac:dyDescent="0.4">
      <c r="A66" s="5">
        <v>773</v>
      </c>
      <c r="B66" s="5">
        <v>1</v>
      </c>
      <c r="C66" s="5">
        <v>1</v>
      </c>
      <c r="D66" s="5" t="s">
        <v>5063</v>
      </c>
      <c r="E66" s="5" t="s">
        <v>437</v>
      </c>
      <c r="F66" s="5" t="s">
        <v>248</v>
      </c>
      <c r="G66" s="5" t="s">
        <v>5062</v>
      </c>
      <c r="H66" s="6" t="s">
        <v>5087</v>
      </c>
      <c r="I66" s="7">
        <f>1727.85</f>
        <v>1727.85</v>
      </c>
      <c r="J66" s="5" t="s">
        <v>262</v>
      </c>
      <c r="K66" s="8">
        <f>846646</f>
        <v>846646</v>
      </c>
      <c r="L66" s="6" t="s">
        <v>242</v>
      </c>
      <c r="M66" s="5" t="s">
        <v>267</v>
      </c>
      <c r="N66" s="5" t="s">
        <v>265</v>
      </c>
      <c r="O66" s="5" t="s">
        <v>238</v>
      </c>
      <c r="P66" s="5" t="s">
        <v>238</v>
      </c>
      <c r="Q66" s="5" t="s">
        <v>268</v>
      </c>
      <c r="R66" s="5" t="s">
        <v>270</v>
      </c>
      <c r="S66" s="5" t="s">
        <v>238</v>
      </c>
      <c r="V66" s="5" t="s">
        <v>238</v>
      </c>
      <c r="X66" s="6" t="s">
        <v>238</v>
      </c>
      <c r="AA66" s="6" t="s">
        <v>243</v>
      </c>
      <c r="AB66" s="5" t="s">
        <v>238</v>
      </c>
      <c r="AC66" s="5" t="s">
        <v>244</v>
      </c>
      <c r="AD66" s="5" t="s">
        <v>245</v>
      </c>
      <c r="AT66" s="5" t="s">
        <v>246</v>
      </c>
      <c r="AU66" s="5" t="s">
        <v>238</v>
      </c>
      <c r="AV66" s="5" t="s">
        <v>247</v>
      </c>
      <c r="AW66" s="5" t="s">
        <v>238</v>
      </c>
      <c r="AX66" s="5" t="s">
        <v>249</v>
      </c>
      <c r="AY66" s="5" t="s">
        <v>238</v>
      </c>
      <c r="BA66" s="5" t="s">
        <v>238</v>
      </c>
      <c r="BC66" s="5" t="s">
        <v>250</v>
      </c>
      <c r="BD66" s="6" t="s">
        <v>243</v>
      </c>
      <c r="BE66" s="5" t="s">
        <v>251</v>
      </c>
      <c r="BF66" s="5" t="s">
        <v>252</v>
      </c>
      <c r="BG66" s="5" t="s">
        <v>238</v>
      </c>
      <c r="BH66" s="7">
        <f>0</f>
        <v>0</v>
      </c>
      <c r="BI66" s="8">
        <f>0</f>
        <v>0</v>
      </c>
      <c r="BJ66" s="5" t="s">
        <v>253</v>
      </c>
      <c r="BK66" s="5" t="s">
        <v>254</v>
      </c>
      <c r="BY66" s="5" t="s">
        <v>238</v>
      </c>
      <c r="BZ66" s="5" t="s">
        <v>238</v>
      </c>
      <c r="CD66" s="5" t="s">
        <v>255</v>
      </c>
      <c r="CE66" s="5" t="s">
        <v>256</v>
      </c>
      <c r="CF66" s="5" t="s">
        <v>238</v>
      </c>
      <c r="CI66" s="6" t="s">
        <v>257</v>
      </c>
      <c r="CJ66" s="5" t="s">
        <v>238</v>
      </c>
      <c r="CK66" s="5" t="s">
        <v>258</v>
      </c>
      <c r="CL66" s="5" t="s">
        <v>238</v>
      </c>
      <c r="CM66" s="5" t="s">
        <v>238</v>
      </c>
      <c r="CN66" s="5">
        <v>0</v>
      </c>
      <c r="CO66" s="5" t="s">
        <v>259</v>
      </c>
      <c r="CP66" s="5" t="s">
        <v>260</v>
      </c>
      <c r="CQ66" s="5" t="s">
        <v>260</v>
      </c>
      <c r="CR66" s="5" t="s">
        <v>261</v>
      </c>
      <c r="CU66" s="8">
        <f>846646</f>
        <v>846646</v>
      </c>
      <c r="CV66" s="8">
        <f>0</f>
        <v>0</v>
      </c>
      <c r="CX66" s="8">
        <f>0</f>
        <v>0</v>
      </c>
      <c r="CY66" s="8">
        <f>846646</f>
        <v>846646</v>
      </c>
      <c r="DA66" s="5" t="s">
        <v>673</v>
      </c>
      <c r="DB66" s="5" t="s">
        <v>238</v>
      </c>
      <c r="DD66" s="5" t="s">
        <v>356</v>
      </c>
      <c r="DE66" s="8">
        <f>0</f>
        <v>0</v>
      </c>
      <c r="DG66" s="5" t="s">
        <v>356</v>
      </c>
      <c r="DH66" s="5" t="s">
        <v>238</v>
      </c>
      <c r="DI66" s="5" t="s">
        <v>238</v>
      </c>
      <c r="DJ66" s="5" t="s">
        <v>238</v>
      </c>
      <c r="DN66" s="5" t="s">
        <v>238</v>
      </c>
      <c r="DO66" s="5" t="s">
        <v>238</v>
      </c>
      <c r="DP66" s="5" t="s">
        <v>238</v>
      </c>
      <c r="DQ66" s="5" t="s">
        <v>238</v>
      </c>
      <c r="DT66" s="5" t="s">
        <v>5065</v>
      </c>
      <c r="DU66" s="5" t="s">
        <v>1327</v>
      </c>
      <c r="HM66" s="5" t="s">
        <v>264</v>
      </c>
    </row>
    <row r="67" spans="1:238" x14ac:dyDescent="0.4">
      <c r="A67" s="5">
        <v>774</v>
      </c>
      <c r="B67" s="5">
        <v>1</v>
      </c>
      <c r="C67" s="5">
        <v>1</v>
      </c>
      <c r="D67" s="5" t="s">
        <v>5063</v>
      </c>
      <c r="E67" s="5" t="s">
        <v>437</v>
      </c>
      <c r="F67" s="5" t="s">
        <v>248</v>
      </c>
      <c r="G67" s="5" t="s">
        <v>5062</v>
      </c>
      <c r="H67" s="6" t="s">
        <v>5087</v>
      </c>
      <c r="I67" s="7">
        <f>10.32</f>
        <v>10.32</v>
      </c>
      <c r="J67" s="5" t="s">
        <v>262</v>
      </c>
      <c r="K67" s="8">
        <f>5056</f>
        <v>5056</v>
      </c>
      <c r="L67" s="6" t="s">
        <v>242</v>
      </c>
      <c r="M67" s="5" t="s">
        <v>267</v>
      </c>
      <c r="N67" s="5" t="s">
        <v>265</v>
      </c>
      <c r="O67" s="5" t="s">
        <v>238</v>
      </c>
      <c r="P67" s="5" t="s">
        <v>238</v>
      </c>
      <c r="Q67" s="5" t="s">
        <v>268</v>
      </c>
      <c r="R67" s="5" t="s">
        <v>270</v>
      </c>
      <c r="S67" s="5" t="s">
        <v>238</v>
      </c>
      <c r="V67" s="5" t="s">
        <v>238</v>
      </c>
      <c r="X67" s="6" t="s">
        <v>238</v>
      </c>
      <c r="AA67" s="6" t="s">
        <v>243</v>
      </c>
      <c r="AB67" s="5" t="s">
        <v>238</v>
      </c>
      <c r="AC67" s="5" t="s">
        <v>244</v>
      </c>
      <c r="AD67" s="5" t="s">
        <v>245</v>
      </c>
      <c r="AT67" s="5" t="s">
        <v>246</v>
      </c>
      <c r="AU67" s="5" t="s">
        <v>238</v>
      </c>
      <c r="AV67" s="5" t="s">
        <v>247</v>
      </c>
      <c r="AW67" s="5" t="s">
        <v>238</v>
      </c>
      <c r="AX67" s="5" t="s">
        <v>249</v>
      </c>
      <c r="AY67" s="5" t="s">
        <v>238</v>
      </c>
      <c r="BA67" s="5" t="s">
        <v>238</v>
      </c>
      <c r="BC67" s="5" t="s">
        <v>2035</v>
      </c>
      <c r="BD67" s="6" t="s">
        <v>4561</v>
      </c>
      <c r="BE67" s="5" t="s">
        <v>251</v>
      </c>
      <c r="BF67" s="5" t="s">
        <v>252</v>
      </c>
      <c r="BG67" s="5" t="s">
        <v>238</v>
      </c>
      <c r="BH67" s="7">
        <f>0</f>
        <v>0</v>
      </c>
      <c r="BI67" s="8">
        <f>0</f>
        <v>0</v>
      </c>
      <c r="BJ67" s="5" t="s">
        <v>253</v>
      </c>
      <c r="BK67" s="5" t="s">
        <v>254</v>
      </c>
      <c r="BY67" s="5" t="s">
        <v>238</v>
      </c>
      <c r="BZ67" s="5" t="s">
        <v>238</v>
      </c>
      <c r="CD67" s="5" t="s">
        <v>255</v>
      </c>
      <c r="CE67" s="5" t="s">
        <v>256</v>
      </c>
      <c r="CF67" s="5" t="s">
        <v>238</v>
      </c>
      <c r="CI67" s="6" t="s">
        <v>257</v>
      </c>
      <c r="CJ67" s="5" t="s">
        <v>238</v>
      </c>
      <c r="CK67" s="5" t="s">
        <v>258</v>
      </c>
      <c r="CL67" s="5" t="s">
        <v>238</v>
      </c>
      <c r="CM67" s="5" t="s">
        <v>238</v>
      </c>
      <c r="CN67" s="5">
        <v>0</v>
      </c>
      <c r="CO67" s="5" t="s">
        <v>259</v>
      </c>
      <c r="CP67" s="5" t="s">
        <v>260</v>
      </c>
      <c r="CQ67" s="5" t="s">
        <v>260</v>
      </c>
      <c r="CR67" s="5" t="s">
        <v>261</v>
      </c>
      <c r="CU67" s="8">
        <f>5056</f>
        <v>5056</v>
      </c>
      <c r="CV67" s="8">
        <f>0</f>
        <v>0</v>
      </c>
      <c r="CX67" s="8">
        <f>0</f>
        <v>0</v>
      </c>
      <c r="CY67" s="8">
        <f>5056</f>
        <v>5056</v>
      </c>
      <c r="DA67" s="5" t="s">
        <v>673</v>
      </c>
      <c r="DB67" s="5" t="s">
        <v>238</v>
      </c>
      <c r="DD67" s="5" t="s">
        <v>356</v>
      </c>
      <c r="DE67" s="8">
        <f>0</f>
        <v>0</v>
      </c>
      <c r="DG67" s="5" t="s">
        <v>356</v>
      </c>
      <c r="DH67" s="5" t="s">
        <v>238</v>
      </c>
      <c r="DI67" s="5" t="s">
        <v>238</v>
      </c>
      <c r="DJ67" s="5" t="s">
        <v>238</v>
      </c>
      <c r="DN67" s="5" t="s">
        <v>238</v>
      </c>
      <c r="DO67" s="5" t="s">
        <v>238</v>
      </c>
      <c r="DP67" s="5" t="s">
        <v>238</v>
      </c>
      <c r="DQ67" s="5" t="s">
        <v>238</v>
      </c>
      <c r="DT67" s="5" t="s">
        <v>5065</v>
      </c>
      <c r="DU67" s="5" t="s">
        <v>1320</v>
      </c>
      <c r="HM67" s="5" t="s">
        <v>264</v>
      </c>
    </row>
    <row r="68" spans="1:238" x14ac:dyDescent="0.4">
      <c r="A68" s="5">
        <v>775</v>
      </c>
      <c r="B68" s="5">
        <v>1</v>
      </c>
      <c r="C68" s="5">
        <v>1</v>
      </c>
      <c r="D68" s="5" t="s">
        <v>5063</v>
      </c>
      <c r="E68" s="5" t="s">
        <v>437</v>
      </c>
      <c r="F68" s="5" t="s">
        <v>248</v>
      </c>
      <c r="G68" s="5" t="s">
        <v>5062</v>
      </c>
      <c r="H68" s="6" t="s">
        <v>5087</v>
      </c>
      <c r="I68" s="7">
        <f>99.66</f>
        <v>99.66</v>
      </c>
      <c r="J68" s="5" t="s">
        <v>262</v>
      </c>
      <c r="K68" s="8">
        <f>48833</f>
        <v>48833</v>
      </c>
      <c r="L68" s="6" t="s">
        <v>242</v>
      </c>
      <c r="M68" s="5" t="s">
        <v>267</v>
      </c>
      <c r="N68" s="5" t="s">
        <v>265</v>
      </c>
      <c r="O68" s="5" t="s">
        <v>238</v>
      </c>
      <c r="P68" s="5" t="s">
        <v>238</v>
      </c>
      <c r="Q68" s="5" t="s">
        <v>268</v>
      </c>
      <c r="R68" s="5" t="s">
        <v>270</v>
      </c>
      <c r="S68" s="5" t="s">
        <v>238</v>
      </c>
      <c r="V68" s="5" t="s">
        <v>238</v>
      </c>
      <c r="X68" s="6" t="s">
        <v>238</v>
      </c>
      <c r="AA68" s="6" t="s">
        <v>243</v>
      </c>
      <c r="AB68" s="5" t="s">
        <v>238</v>
      </c>
      <c r="AC68" s="5" t="s">
        <v>244</v>
      </c>
      <c r="AD68" s="5" t="s">
        <v>245</v>
      </c>
      <c r="AT68" s="5" t="s">
        <v>246</v>
      </c>
      <c r="AU68" s="5" t="s">
        <v>238</v>
      </c>
      <c r="AV68" s="5" t="s">
        <v>247</v>
      </c>
      <c r="AW68" s="5" t="s">
        <v>238</v>
      </c>
      <c r="AX68" s="5" t="s">
        <v>249</v>
      </c>
      <c r="AY68" s="5" t="s">
        <v>238</v>
      </c>
      <c r="BA68" s="5" t="s">
        <v>238</v>
      </c>
      <c r="BC68" s="5" t="s">
        <v>250</v>
      </c>
      <c r="BD68" s="6" t="s">
        <v>243</v>
      </c>
      <c r="BE68" s="5" t="s">
        <v>251</v>
      </c>
      <c r="BF68" s="5" t="s">
        <v>252</v>
      </c>
      <c r="BG68" s="5" t="s">
        <v>238</v>
      </c>
      <c r="BH68" s="7">
        <f>0</f>
        <v>0</v>
      </c>
      <c r="BI68" s="8">
        <f>0</f>
        <v>0</v>
      </c>
      <c r="BJ68" s="5" t="s">
        <v>253</v>
      </c>
      <c r="BK68" s="5" t="s">
        <v>254</v>
      </c>
      <c r="BY68" s="5" t="s">
        <v>238</v>
      </c>
      <c r="BZ68" s="5" t="s">
        <v>238</v>
      </c>
      <c r="CD68" s="5" t="s">
        <v>255</v>
      </c>
      <c r="CE68" s="5" t="s">
        <v>256</v>
      </c>
      <c r="CF68" s="5" t="s">
        <v>238</v>
      </c>
      <c r="CI68" s="6" t="s">
        <v>257</v>
      </c>
      <c r="CJ68" s="5" t="s">
        <v>238</v>
      </c>
      <c r="CK68" s="5" t="s">
        <v>258</v>
      </c>
      <c r="CL68" s="5" t="s">
        <v>238</v>
      </c>
      <c r="CM68" s="5" t="s">
        <v>238</v>
      </c>
      <c r="CN68" s="5">
        <v>0</v>
      </c>
      <c r="CO68" s="5" t="s">
        <v>259</v>
      </c>
      <c r="CP68" s="5" t="s">
        <v>260</v>
      </c>
      <c r="CQ68" s="5" t="s">
        <v>260</v>
      </c>
      <c r="CR68" s="5" t="s">
        <v>261</v>
      </c>
      <c r="CU68" s="8">
        <f>48833</f>
        <v>48833</v>
      </c>
      <c r="CV68" s="8">
        <f>0</f>
        <v>0</v>
      </c>
      <c r="CX68" s="8">
        <f>0</f>
        <v>0</v>
      </c>
      <c r="CY68" s="8">
        <f>48833</f>
        <v>48833</v>
      </c>
      <c r="DA68" s="5" t="s">
        <v>673</v>
      </c>
      <c r="DB68" s="5" t="s">
        <v>238</v>
      </c>
      <c r="DD68" s="5" t="s">
        <v>356</v>
      </c>
      <c r="DE68" s="8">
        <f>0</f>
        <v>0</v>
      </c>
      <c r="DG68" s="5" t="s">
        <v>356</v>
      </c>
      <c r="DH68" s="5" t="s">
        <v>238</v>
      </c>
      <c r="DI68" s="5" t="s">
        <v>238</v>
      </c>
      <c r="DJ68" s="5" t="s">
        <v>238</v>
      </c>
      <c r="DN68" s="5" t="s">
        <v>238</v>
      </c>
      <c r="DO68" s="5" t="s">
        <v>238</v>
      </c>
      <c r="DP68" s="5" t="s">
        <v>238</v>
      </c>
      <c r="DQ68" s="5" t="s">
        <v>238</v>
      </c>
      <c r="DT68" s="5" t="s">
        <v>5065</v>
      </c>
      <c r="DU68" s="5" t="s">
        <v>1318</v>
      </c>
      <c r="HM68" s="5" t="s">
        <v>264</v>
      </c>
    </row>
    <row r="69" spans="1:238" x14ac:dyDescent="0.4">
      <c r="A69" s="5">
        <v>776</v>
      </c>
      <c r="B69" s="5">
        <v>1</v>
      </c>
      <c r="C69" s="5">
        <v>2</v>
      </c>
      <c r="D69" s="5" t="s">
        <v>5125</v>
      </c>
      <c r="E69" s="5" t="s">
        <v>475</v>
      </c>
      <c r="F69" s="5" t="s">
        <v>248</v>
      </c>
      <c r="G69" s="5" t="s">
        <v>5124</v>
      </c>
      <c r="H69" s="6" t="s">
        <v>5126</v>
      </c>
      <c r="I69" s="7">
        <f>1</f>
        <v>1</v>
      </c>
      <c r="J69" s="5" t="s">
        <v>262</v>
      </c>
      <c r="K69" s="8">
        <f>5633498</f>
        <v>5633498</v>
      </c>
      <c r="L69" s="6" t="s">
        <v>242</v>
      </c>
      <c r="M69" s="5" t="s">
        <v>267</v>
      </c>
      <c r="N69" s="5" t="s">
        <v>237</v>
      </c>
      <c r="Q69" s="5" t="s">
        <v>239</v>
      </c>
      <c r="R69" s="5" t="s">
        <v>270</v>
      </c>
      <c r="S69" s="5" t="s">
        <v>238</v>
      </c>
      <c r="V69" s="5" t="s">
        <v>238</v>
      </c>
      <c r="W69" s="6" t="s">
        <v>238</v>
      </c>
      <c r="X69" s="6" t="s">
        <v>238</v>
      </c>
      <c r="Z69" s="6" t="s">
        <v>238</v>
      </c>
      <c r="AA69" s="6" t="s">
        <v>243</v>
      </c>
      <c r="AB69" s="5" t="s">
        <v>486</v>
      </c>
      <c r="AC69" s="5" t="s">
        <v>244</v>
      </c>
      <c r="AD69" s="5" t="s">
        <v>245</v>
      </c>
      <c r="AO69" s="6" t="s">
        <v>238</v>
      </c>
      <c r="AR69" s="5" t="s">
        <v>488</v>
      </c>
      <c r="AS69" s="5" t="s">
        <v>488</v>
      </c>
      <c r="AT69" s="5" t="s">
        <v>246</v>
      </c>
      <c r="AU69" s="5" t="s">
        <v>6564</v>
      </c>
      <c r="AV69" s="5" t="s">
        <v>247</v>
      </c>
      <c r="AW69" s="5" t="s">
        <v>238</v>
      </c>
      <c r="AX69" s="5" t="s">
        <v>249</v>
      </c>
      <c r="AY69" s="5" t="s">
        <v>238</v>
      </c>
      <c r="BA69" s="5" t="s">
        <v>4547</v>
      </c>
      <c r="BC69" s="5" t="s">
        <v>491</v>
      </c>
      <c r="BD69" s="6" t="s">
        <v>492</v>
      </c>
      <c r="BE69" s="5" t="s">
        <v>6902</v>
      </c>
      <c r="BF69" s="5" t="s">
        <v>252</v>
      </c>
      <c r="BG69" s="5" t="s">
        <v>238</v>
      </c>
      <c r="BH69" s="7">
        <f>-3079</f>
        <v>-3079</v>
      </c>
      <c r="BI69" s="8">
        <f>0</f>
        <v>0</v>
      </c>
      <c r="BJ69" s="5" t="s">
        <v>253</v>
      </c>
      <c r="BK69" s="5" t="s">
        <v>254</v>
      </c>
      <c r="BL69" s="5" t="s">
        <v>238</v>
      </c>
      <c r="BM69" s="5" t="s">
        <v>238</v>
      </c>
      <c r="BN69" s="5" t="s">
        <v>238</v>
      </c>
      <c r="BO69" s="5" t="s">
        <v>238</v>
      </c>
      <c r="BX69" s="5" t="s">
        <v>254</v>
      </c>
      <c r="BY69" s="5" t="s">
        <v>238</v>
      </c>
      <c r="BZ69" s="5" t="s">
        <v>238</v>
      </c>
      <c r="CD69" s="5" t="s">
        <v>255</v>
      </c>
      <c r="CE69" s="5" t="s">
        <v>256</v>
      </c>
      <c r="CF69" s="5" t="s">
        <v>238</v>
      </c>
      <c r="CI69" s="6" t="s">
        <v>257</v>
      </c>
      <c r="CJ69" s="5" t="s">
        <v>495</v>
      </c>
      <c r="CK69" s="5" t="s">
        <v>6520</v>
      </c>
      <c r="CL69" s="5" t="s">
        <v>496</v>
      </c>
      <c r="CM69" s="5" t="s">
        <v>238</v>
      </c>
      <c r="CN69" s="5">
        <v>0</v>
      </c>
      <c r="CO69" s="5" t="s">
        <v>259</v>
      </c>
      <c r="CP69" s="5" t="s">
        <v>260</v>
      </c>
      <c r="CQ69" s="5" t="s">
        <v>260</v>
      </c>
      <c r="CR69" s="5" t="s">
        <v>261</v>
      </c>
      <c r="CT69" s="7">
        <f>0</f>
        <v>0</v>
      </c>
      <c r="CU69" s="8">
        <f>5633498</f>
        <v>5633498</v>
      </c>
      <c r="CV69" s="8">
        <f>0</f>
        <v>0</v>
      </c>
      <c r="CX69" s="8">
        <f>5633498</f>
        <v>5633498</v>
      </c>
      <c r="CY69" s="8">
        <f>5633498</f>
        <v>5633498</v>
      </c>
      <c r="DA69" s="5" t="s">
        <v>238</v>
      </c>
      <c r="DB69" s="5" t="s">
        <v>238</v>
      </c>
      <c r="DD69" s="5" t="s">
        <v>2032</v>
      </c>
      <c r="DE69" s="8">
        <f>0</f>
        <v>0</v>
      </c>
      <c r="DG69" s="5" t="s">
        <v>389</v>
      </c>
      <c r="DH69" s="5" t="s">
        <v>238</v>
      </c>
      <c r="DI69" s="5" t="s">
        <v>238</v>
      </c>
      <c r="DJ69" s="5" t="s">
        <v>238</v>
      </c>
      <c r="DK69" s="5" t="s">
        <v>238</v>
      </c>
      <c r="DN69" s="5" t="s">
        <v>238</v>
      </c>
      <c r="DO69" s="5" t="s">
        <v>238</v>
      </c>
      <c r="DP69" s="5" t="s">
        <v>238</v>
      </c>
      <c r="DQ69" s="5" t="s">
        <v>238</v>
      </c>
      <c r="DT69" s="5" t="s">
        <v>5129</v>
      </c>
      <c r="DU69" s="5" t="s">
        <v>264</v>
      </c>
      <c r="HM69" s="5" t="s">
        <v>264</v>
      </c>
      <c r="HP69" s="5" t="s">
        <v>238</v>
      </c>
      <c r="HQ69" s="5" t="s">
        <v>238</v>
      </c>
      <c r="HR69" s="5" t="s">
        <v>238</v>
      </c>
      <c r="HS69" s="5" t="s">
        <v>238</v>
      </c>
      <c r="HT69" s="5" t="s">
        <v>238</v>
      </c>
      <c r="HU69" s="5" t="s">
        <v>238</v>
      </c>
      <c r="HV69" s="5" t="s">
        <v>238</v>
      </c>
      <c r="HW69" s="5" t="s">
        <v>238</v>
      </c>
      <c r="HX69" s="5" t="s">
        <v>238</v>
      </c>
      <c r="HY69" s="5" t="s">
        <v>238</v>
      </c>
      <c r="HZ69" s="5" t="s">
        <v>238</v>
      </c>
      <c r="IA69" s="5" t="s">
        <v>238</v>
      </c>
      <c r="IB69" s="5" t="s">
        <v>238</v>
      </c>
      <c r="IC69" s="5" t="s">
        <v>238</v>
      </c>
      <c r="ID69" s="5" t="s">
        <v>238</v>
      </c>
    </row>
    <row r="70" spans="1:238" x14ac:dyDescent="0.4">
      <c r="A70" s="5">
        <v>777</v>
      </c>
      <c r="B70" s="5">
        <v>1</v>
      </c>
      <c r="C70" s="5">
        <v>1</v>
      </c>
      <c r="D70" s="5" t="s">
        <v>5125</v>
      </c>
      <c r="E70" s="5" t="s">
        <v>475</v>
      </c>
      <c r="F70" s="5" t="s">
        <v>248</v>
      </c>
      <c r="G70" s="5" t="s">
        <v>5124</v>
      </c>
      <c r="H70" s="6" t="s">
        <v>5139</v>
      </c>
      <c r="I70" s="7">
        <f>1489</f>
        <v>1489</v>
      </c>
      <c r="J70" s="5" t="s">
        <v>262</v>
      </c>
      <c r="K70" s="8">
        <f>3298135</f>
        <v>3298135</v>
      </c>
      <c r="L70" s="6" t="s">
        <v>242</v>
      </c>
      <c r="M70" s="5" t="s">
        <v>267</v>
      </c>
      <c r="N70" s="5" t="s">
        <v>237</v>
      </c>
      <c r="O70" s="5" t="s">
        <v>238</v>
      </c>
      <c r="P70" s="5" t="s">
        <v>238</v>
      </c>
      <c r="Q70" s="5" t="s">
        <v>239</v>
      </c>
      <c r="R70" s="5" t="s">
        <v>270</v>
      </c>
      <c r="S70" s="5" t="s">
        <v>238</v>
      </c>
      <c r="V70" s="5" t="s">
        <v>238</v>
      </c>
      <c r="X70" s="6" t="s">
        <v>238</v>
      </c>
      <c r="AA70" s="6" t="s">
        <v>243</v>
      </c>
      <c r="AB70" s="5" t="s">
        <v>238</v>
      </c>
      <c r="AC70" s="5" t="s">
        <v>244</v>
      </c>
      <c r="AD70" s="5" t="s">
        <v>245</v>
      </c>
      <c r="AT70" s="5" t="s">
        <v>246</v>
      </c>
      <c r="AU70" s="5" t="s">
        <v>238</v>
      </c>
      <c r="AV70" s="5" t="s">
        <v>247</v>
      </c>
      <c r="AW70" s="5" t="s">
        <v>238</v>
      </c>
      <c r="AX70" s="5" t="s">
        <v>249</v>
      </c>
      <c r="AY70" s="5" t="s">
        <v>238</v>
      </c>
      <c r="BA70" s="5" t="s">
        <v>238</v>
      </c>
      <c r="BC70" s="5" t="s">
        <v>250</v>
      </c>
      <c r="BD70" s="6" t="s">
        <v>243</v>
      </c>
      <c r="BE70" s="5" t="s">
        <v>251</v>
      </c>
      <c r="BF70" s="5" t="s">
        <v>3882</v>
      </c>
      <c r="BG70" s="5" t="s">
        <v>238</v>
      </c>
      <c r="BH70" s="7">
        <f>0</f>
        <v>0</v>
      </c>
      <c r="BI70" s="8">
        <f>0</f>
        <v>0</v>
      </c>
      <c r="BJ70" s="5" t="s">
        <v>253</v>
      </c>
      <c r="BK70" s="5" t="s">
        <v>254</v>
      </c>
      <c r="BY70" s="5" t="s">
        <v>238</v>
      </c>
      <c r="BZ70" s="5" t="s">
        <v>238</v>
      </c>
      <c r="CD70" s="5" t="s">
        <v>255</v>
      </c>
      <c r="CE70" s="5" t="s">
        <v>256</v>
      </c>
      <c r="CF70" s="5" t="s">
        <v>238</v>
      </c>
      <c r="CI70" s="6" t="s">
        <v>257</v>
      </c>
      <c r="CJ70" s="5" t="s">
        <v>238</v>
      </c>
      <c r="CK70" s="5" t="s">
        <v>258</v>
      </c>
      <c r="CL70" s="5" t="s">
        <v>238</v>
      </c>
      <c r="CM70" s="5" t="s">
        <v>238</v>
      </c>
      <c r="CN70" s="5">
        <v>0</v>
      </c>
      <c r="CO70" s="5" t="s">
        <v>259</v>
      </c>
      <c r="CP70" s="5" t="s">
        <v>260</v>
      </c>
      <c r="CQ70" s="5" t="s">
        <v>260</v>
      </c>
      <c r="CR70" s="5" t="s">
        <v>261</v>
      </c>
      <c r="CU70" s="8">
        <f>3298135</f>
        <v>3298135</v>
      </c>
      <c r="CV70" s="8">
        <f>0</f>
        <v>0</v>
      </c>
      <c r="CX70" s="8">
        <f>0</f>
        <v>0</v>
      </c>
      <c r="CY70" s="8">
        <f>3298135</f>
        <v>3298135</v>
      </c>
      <c r="DA70" s="5" t="s">
        <v>389</v>
      </c>
      <c r="DB70" s="5" t="s">
        <v>238</v>
      </c>
      <c r="DD70" s="5" t="s">
        <v>389</v>
      </c>
      <c r="DE70" s="8">
        <f>0</f>
        <v>0</v>
      </c>
      <c r="DG70" s="5" t="s">
        <v>389</v>
      </c>
      <c r="DH70" s="5" t="s">
        <v>238</v>
      </c>
      <c r="DI70" s="5" t="s">
        <v>238</v>
      </c>
      <c r="DJ70" s="5" t="s">
        <v>238</v>
      </c>
      <c r="DN70" s="5" t="s">
        <v>238</v>
      </c>
      <c r="DO70" s="5" t="s">
        <v>238</v>
      </c>
      <c r="DP70" s="5" t="s">
        <v>238</v>
      </c>
      <c r="DQ70" s="5" t="s">
        <v>238</v>
      </c>
      <c r="DT70" s="5" t="s">
        <v>5129</v>
      </c>
      <c r="DU70" s="5" t="s">
        <v>294</v>
      </c>
      <c r="HM70" s="5" t="s">
        <v>294</v>
      </c>
    </row>
    <row r="71" spans="1:238" x14ac:dyDescent="0.4">
      <c r="A71" s="5">
        <v>778</v>
      </c>
      <c r="B71" s="5">
        <v>1</v>
      </c>
      <c r="C71" s="5">
        <v>1</v>
      </c>
      <c r="D71" s="5" t="s">
        <v>5125</v>
      </c>
      <c r="E71" s="5" t="s">
        <v>475</v>
      </c>
      <c r="F71" s="5" t="s">
        <v>248</v>
      </c>
      <c r="G71" s="5" t="s">
        <v>5124</v>
      </c>
      <c r="H71" s="6" t="s">
        <v>5128</v>
      </c>
      <c r="I71" s="7">
        <f>23356</f>
        <v>23356</v>
      </c>
      <c r="J71" s="5" t="s">
        <v>262</v>
      </c>
      <c r="K71" s="8">
        <f>51049127</f>
        <v>51049127</v>
      </c>
      <c r="L71" s="6" t="s">
        <v>242</v>
      </c>
      <c r="M71" s="5" t="s">
        <v>267</v>
      </c>
      <c r="N71" s="5" t="s">
        <v>237</v>
      </c>
      <c r="O71" s="5" t="s">
        <v>238</v>
      </c>
      <c r="P71" s="5" t="s">
        <v>238</v>
      </c>
      <c r="Q71" s="5" t="s">
        <v>239</v>
      </c>
      <c r="R71" s="5" t="s">
        <v>270</v>
      </c>
      <c r="S71" s="5" t="s">
        <v>238</v>
      </c>
      <c r="V71" s="5" t="s">
        <v>238</v>
      </c>
      <c r="X71" s="6" t="s">
        <v>238</v>
      </c>
      <c r="AA71" s="6" t="s">
        <v>243</v>
      </c>
      <c r="AB71" s="5" t="s">
        <v>5127</v>
      </c>
      <c r="AC71" s="5" t="s">
        <v>244</v>
      </c>
      <c r="AD71" s="5" t="s">
        <v>245</v>
      </c>
      <c r="AT71" s="5" t="s">
        <v>246</v>
      </c>
      <c r="AU71" s="5" t="s">
        <v>238</v>
      </c>
      <c r="AV71" s="5" t="s">
        <v>247</v>
      </c>
      <c r="AW71" s="5" t="s">
        <v>238</v>
      </c>
      <c r="AX71" s="5" t="s">
        <v>249</v>
      </c>
      <c r="AY71" s="5" t="s">
        <v>238</v>
      </c>
      <c r="BA71" s="5" t="s">
        <v>238</v>
      </c>
      <c r="BC71" s="5" t="s">
        <v>250</v>
      </c>
      <c r="BD71" s="6" t="s">
        <v>243</v>
      </c>
      <c r="BE71" s="5" t="s">
        <v>251</v>
      </c>
      <c r="BF71" s="5" t="s">
        <v>251</v>
      </c>
      <c r="BG71" s="5" t="s">
        <v>238</v>
      </c>
      <c r="BH71" s="7">
        <f>0</f>
        <v>0</v>
      </c>
      <c r="BI71" s="8">
        <f>0</f>
        <v>0</v>
      </c>
      <c r="BJ71" s="5" t="s">
        <v>253</v>
      </c>
      <c r="BK71" s="5" t="s">
        <v>254</v>
      </c>
      <c r="BY71" s="5" t="s">
        <v>238</v>
      </c>
      <c r="BZ71" s="5" t="s">
        <v>238</v>
      </c>
      <c r="CD71" s="5" t="s">
        <v>255</v>
      </c>
      <c r="CE71" s="5" t="s">
        <v>256</v>
      </c>
      <c r="CF71" s="5" t="s">
        <v>238</v>
      </c>
      <c r="CI71" s="6" t="s">
        <v>257</v>
      </c>
      <c r="CJ71" s="5" t="s">
        <v>238</v>
      </c>
      <c r="CK71" s="5" t="s">
        <v>258</v>
      </c>
      <c r="CL71" s="5" t="s">
        <v>238</v>
      </c>
      <c r="CM71" s="5" t="s">
        <v>238</v>
      </c>
      <c r="CN71" s="5">
        <v>0</v>
      </c>
      <c r="CO71" s="5" t="s">
        <v>259</v>
      </c>
      <c r="CP71" s="5" t="s">
        <v>260</v>
      </c>
      <c r="CQ71" s="5" t="s">
        <v>260</v>
      </c>
      <c r="CR71" s="5" t="s">
        <v>261</v>
      </c>
      <c r="CU71" s="8">
        <f>51049127</f>
        <v>51049127</v>
      </c>
      <c r="CV71" s="8">
        <f>0</f>
        <v>0</v>
      </c>
      <c r="CX71" s="8">
        <f>0</f>
        <v>0</v>
      </c>
      <c r="CY71" s="8">
        <f>51049127</f>
        <v>51049127</v>
      </c>
      <c r="DA71" s="5" t="s">
        <v>389</v>
      </c>
      <c r="DB71" s="5" t="s">
        <v>238</v>
      </c>
      <c r="DD71" s="5" t="s">
        <v>389</v>
      </c>
      <c r="DE71" s="8">
        <f>23047.01</f>
        <v>23047.01</v>
      </c>
      <c r="DG71" s="5" t="s">
        <v>389</v>
      </c>
      <c r="DH71" s="5" t="s">
        <v>238</v>
      </c>
      <c r="DI71" s="5" t="s">
        <v>238</v>
      </c>
      <c r="DJ71" s="5" t="s">
        <v>238</v>
      </c>
      <c r="DN71" s="5" t="s">
        <v>238</v>
      </c>
      <c r="DO71" s="5" t="s">
        <v>238</v>
      </c>
      <c r="DP71" s="5" t="s">
        <v>238</v>
      </c>
      <c r="DQ71" s="5" t="s">
        <v>238</v>
      </c>
      <c r="DT71" s="5" t="s">
        <v>5129</v>
      </c>
      <c r="DU71" s="5" t="s">
        <v>806</v>
      </c>
      <c r="HM71" s="5" t="s">
        <v>294</v>
      </c>
    </row>
    <row r="72" spans="1:238" x14ac:dyDescent="0.4">
      <c r="A72" s="5">
        <v>781</v>
      </c>
      <c r="B72" s="5">
        <v>1</v>
      </c>
      <c r="C72" s="5">
        <v>1</v>
      </c>
      <c r="D72" s="5" t="s">
        <v>5143</v>
      </c>
      <c r="E72" s="5" t="s">
        <v>475</v>
      </c>
      <c r="F72" s="5" t="s">
        <v>248</v>
      </c>
      <c r="G72" s="5" t="s">
        <v>5142</v>
      </c>
      <c r="H72" s="6" t="s">
        <v>5145</v>
      </c>
      <c r="I72" s="7">
        <f>265</f>
        <v>265</v>
      </c>
      <c r="J72" s="5" t="s">
        <v>262</v>
      </c>
      <c r="K72" s="8">
        <f>936775</f>
        <v>936775</v>
      </c>
      <c r="L72" s="6" t="s">
        <v>2033</v>
      </c>
      <c r="M72" s="5" t="s">
        <v>267</v>
      </c>
      <c r="N72" s="5" t="s">
        <v>237</v>
      </c>
      <c r="O72" s="5" t="s">
        <v>238</v>
      </c>
      <c r="P72" s="5" t="s">
        <v>238</v>
      </c>
      <c r="Q72" s="5" t="s">
        <v>239</v>
      </c>
      <c r="R72" s="5" t="s">
        <v>270</v>
      </c>
      <c r="S72" s="5" t="s">
        <v>238</v>
      </c>
      <c r="V72" s="5" t="s">
        <v>238</v>
      </c>
      <c r="X72" s="6" t="s">
        <v>238</v>
      </c>
      <c r="AA72" s="6" t="s">
        <v>2041</v>
      </c>
      <c r="AB72" s="5" t="s">
        <v>5144</v>
      </c>
      <c r="AC72" s="5" t="s">
        <v>244</v>
      </c>
      <c r="AD72" s="5" t="s">
        <v>245</v>
      </c>
      <c r="AT72" s="5" t="s">
        <v>246</v>
      </c>
      <c r="AU72" s="5" t="s">
        <v>238</v>
      </c>
      <c r="AV72" s="5" t="s">
        <v>247</v>
      </c>
      <c r="AW72" s="5" t="s">
        <v>238</v>
      </c>
      <c r="AX72" s="5" t="s">
        <v>249</v>
      </c>
      <c r="AY72" s="5" t="s">
        <v>238</v>
      </c>
      <c r="BA72" s="5" t="s">
        <v>4547</v>
      </c>
      <c r="BC72" s="5" t="s">
        <v>1468</v>
      </c>
      <c r="BD72" s="6" t="s">
        <v>2041</v>
      </c>
      <c r="BE72" s="5" t="s">
        <v>251</v>
      </c>
      <c r="BF72" s="5" t="s">
        <v>252</v>
      </c>
      <c r="BG72" s="5" t="s">
        <v>238</v>
      </c>
      <c r="BH72" s="7">
        <f>0</f>
        <v>0</v>
      </c>
      <c r="BI72" s="8">
        <f>0</f>
        <v>0</v>
      </c>
      <c r="BJ72" s="5" t="s">
        <v>253</v>
      </c>
      <c r="BK72" s="5" t="s">
        <v>254</v>
      </c>
      <c r="BY72" s="5" t="s">
        <v>238</v>
      </c>
      <c r="BZ72" s="5" t="s">
        <v>238</v>
      </c>
      <c r="CD72" s="5" t="s">
        <v>293</v>
      </c>
      <c r="CE72" s="5" t="s">
        <v>256</v>
      </c>
      <c r="CF72" s="5" t="s">
        <v>238</v>
      </c>
      <c r="CI72" s="6" t="s">
        <v>257</v>
      </c>
      <c r="CJ72" s="5" t="s">
        <v>238</v>
      </c>
      <c r="CK72" s="5" t="s">
        <v>258</v>
      </c>
      <c r="CL72" s="5" t="s">
        <v>238</v>
      </c>
      <c r="CM72" s="5" t="s">
        <v>238</v>
      </c>
      <c r="CN72" s="5">
        <v>0</v>
      </c>
      <c r="CO72" s="5" t="s">
        <v>259</v>
      </c>
      <c r="CP72" s="5" t="s">
        <v>260</v>
      </c>
      <c r="CQ72" s="5" t="s">
        <v>260</v>
      </c>
      <c r="CR72" s="5" t="s">
        <v>261</v>
      </c>
      <c r="CU72" s="8">
        <f>936775</f>
        <v>936775</v>
      </c>
      <c r="CV72" s="8">
        <f>0</f>
        <v>0</v>
      </c>
      <c r="CX72" s="8">
        <f>0</f>
        <v>0</v>
      </c>
      <c r="CY72" s="8">
        <f>936775</f>
        <v>936775</v>
      </c>
      <c r="DA72" s="5" t="s">
        <v>263</v>
      </c>
      <c r="DB72" s="5" t="s">
        <v>238</v>
      </c>
      <c r="DD72" s="5" t="s">
        <v>357</v>
      </c>
      <c r="DE72" s="8">
        <f>265</f>
        <v>265</v>
      </c>
      <c r="DG72" s="5" t="s">
        <v>263</v>
      </c>
      <c r="DH72" s="5" t="s">
        <v>238</v>
      </c>
      <c r="DI72" s="5" t="s">
        <v>238</v>
      </c>
      <c r="DJ72" s="5" t="s">
        <v>238</v>
      </c>
      <c r="DN72" s="5" t="s">
        <v>238</v>
      </c>
      <c r="DO72" s="5" t="s">
        <v>238</v>
      </c>
      <c r="DP72" s="5" t="s">
        <v>238</v>
      </c>
      <c r="DQ72" s="5" t="s">
        <v>238</v>
      </c>
      <c r="DT72" s="5" t="s">
        <v>5146</v>
      </c>
      <c r="DU72" s="5" t="s">
        <v>264</v>
      </c>
      <c r="HM72" s="5" t="s">
        <v>264</v>
      </c>
    </row>
    <row r="73" spans="1:238" x14ac:dyDescent="0.4">
      <c r="A73" s="5">
        <v>782</v>
      </c>
      <c r="B73" s="5">
        <v>1</v>
      </c>
      <c r="C73" s="5">
        <v>1</v>
      </c>
      <c r="D73" s="5" t="s">
        <v>5148</v>
      </c>
      <c r="E73" s="5" t="s">
        <v>475</v>
      </c>
      <c r="F73" s="5" t="s">
        <v>248</v>
      </c>
      <c r="G73" s="5" t="s">
        <v>5147</v>
      </c>
      <c r="H73" s="6" t="s">
        <v>5151</v>
      </c>
      <c r="I73" s="7">
        <f>14442</f>
        <v>14442</v>
      </c>
      <c r="J73" s="5" t="s">
        <v>262</v>
      </c>
      <c r="K73" s="8">
        <f>31989030</f>
        <v>31989030</v>
      </c>
      <c r="L73" s="6" t="s">
        <v>242</v>
      </c>
      <c r="M73" s="5" t="s">
        <v>267</v>
      </c>
      <c r="N73" s="5" t="s">
        <v>237</v>
      </c>
      <c r="O73" s="5" t="s">
        <v>238</v>
      </c>
      <c r="P73" s="5" t="s">
        <v>238</v>
      </c>
      <c r="Q73" s="5" t="s">
        <v>239</v>
      </c>
      <c r="R73" s="5" t="s">
        <v>270</v>
      </c>
      <c r="S73" s="5" t="s">
        <v>238</v>
      </c>
      <c r="V73" s="5" t="s">
        <v>238</v>
      </c>
      <c r="X73" s="6" t="s">
        <v>238</v>
      </c>
      <c r="AA73" s="6" t="s">
        <v>2344</v>
      </c>
      <c r="AB73" s="5" t="s">
        <v>238</v>
      </c>
      <c r="AC73" s="5" t="s">
        <v>244</v>
      </c>
      <c r="AD73" s="5" t="s">
        <v>245</v>
      </c>
      <c r="AT73" s="5" t="s">
        <v>246</v>
      </c>
      <c r="AU73" s="5" t="s">
        <v>238</v>
      </c>
      <c r="AV73" s="5" t="s">
        <v>247</v>
      </c>
      <c r="AW73" s="5" t="s">
        <v>238</v>
      </c>
      <c r="AX73" s="5" t="s">
        <v>249</v>
      </c>
      <c r="AY73" s="5" t="s">
        <v>238</v>
      </c>
      <c r="BA73" s="5" t="s">
        <v>4547</v>
      </c>
      <c r="BC73" s="5" t="s">
        <v>1433</v>
      </c>
      <c r="BD73" s="6" t="s">
        <v>2344</v>
      </c>
      <c r="BE73" s="5" t="s">
        <v>251</v>
      </c>
      <c r="BF73" s="5" t="s">
        <v>252</v>
      </c>
      <c r="BG73" s="5" t="s">
        <v>238</v>
      </c>
      <c r="BH73" s="7">
        <f>0</f>
        <v>0</v>
      </c>
      <c r="BI73" s="8">
        <f>0</f>
        <v>0</v>
      </c>
      <c r="BJ73" s="5" t="s">
        <v>253</v>
      </c>
      <c r="BK73" s="5" t="s">
        <v>254</v>
      </c>
      <c r="BY73" s="5" t="s">
        <v>238</v>
      </c>
      <c r="BZ73" s="5" t="s">
        <v>238</v>
      </c>
      <c r="CD73" s="5" t="s">
        <v>255</v>
      </c>
      <c r="CE73" s="5" t="s">
        <v>256</v>
      </c>
      <c r="CF73" s="5" t="s">
        <v>238</v>
      </c>
      <c r="CI73" s="6" t="s">
        <v>257</v>
      </c>
      <c r="CJ73" s="5" t="s">
        <v>238</v>
      </c>
      <c r="CK73" s="5" t="s">
        <v>258</v>
      </c>
      <c r="CL73" s="5" t="s">
        <v>238</v>
      </c>
      <c r="CM73" s="5" t="s">
        <v>238</v>
      </c>
      <c r="CN73" s="5">
        <v>0</v>
      </c>
      <c r="CO73" s="5" t="s">
        <v>259</v>
      </c>
      <c r="CP73" s="5" t="s">
        <v>260</v>
      </c>
      <c r="CQ73" s="5" t="s">
        <v>260</v>
      </c>
      <c r="CR73" s="5" t="s">
        <v>261</v>
      </c>
      <c r="CU73" s="8">
        <f>31989030</f>
        <v>31989030</v>
      </c>
      <c r="CV73" s="8">
        <f>0</f>
        <v>0</v>
      </c>
      <c r="CX73" s="8">
        <f>0</f>
        <v>0</v>
      </c>
      <c r="CY73" s="8">
        <f>31989030</f>
        <v>31989030</v>
      </c>
      <c r="DA73" s="5" t="s">
        <v>3873</v>
      </c>
      <c r="DB73" s="5" t="s">
        <v>238</v>
      </c>
      <c r="DD73" s="5" t="s">
        <v>3873</v>
      </c>
      <c r="DE73" s="8">
        <f>1291</f>
        <v>1291</v>
      </c>
      <c r="DG73" s="5" t="s">
        <v>389</v>
      </c>
      <c r="DH73" s="5" t="s">
        <v>238</v>
      </c>
      <c r="DI73" s="5" t="s">
        <v>238</v>
      </c>
      <c r="DJ73" s="5" t="s">
        <v>238</v>
      </c>
      <c r="DN73" s="5" t="s">
        <v>238</v>
      </c>
      <c r="DO73" s="5" t="s">
        <v>238</v>
      </c>
      <c r="DP73" s="5" t="s">
        <v>238</v>
      </c>
      <c r="DQ73" s="5" t="s">
        <v>238</v>
      </c>
      <c r="DT73" s="5" t="s">
        <v>5150</v>
      </c>
      <c r="DU73" s="5" t="s">
        <v>264</v>
      </c>
      <c r="HM73" s="5" t="s">
        <v>264</v>
      </c>
    </row>
    <row r="74" spans="1:238" x14ac:dyDescent="0.4">
      <c r="A74" s="5">
        <v>783</v>
      </c>
      <c r="B74" s="5">
        <v>1</v>
      </c>
      <c r="C74" s="5">
        <v>1</v>
      </c>
      <c r="D74" s="5" t="s">
        <v>5148</v>
      </c>
      <c r="E74" s="5" t="s">
        <v>475</v>
      </c>
      <c r="F74" s="5" t="s">
        <v>248</v>
      </c>
      <c r="G74" s="5" t="s">
        <v>5147</v>
      </c>
      <c r="H74" s="6" t="s">
        <v>5149</v>
      </c>
      <c r="I74" s="7">
        <f>8393</f>
        <v>8393</v>
      </c>
      <c r="J74" s="5" t="s">
        <v>262</v>
      </c>
      <c r="K74" s="8">
        <f>18590495</f>
        <v>18590495</v>
      </c>
      <c r="L74" s="6" t="s">
        <v>242</v>
      </c>
      <c r="M74" s="5" t="s">
        <v>267</v>
      </c>
      <c r="N74" s="5" t="s">
        <v>237</v>
      </c>
      <c r="O74" s="5" t="s">
        <v>238</v>
      </c>
      <c r="P74" s="5" t="s">
        <v>238</v>
      </c>
      <c r="Q74" s="5" t="s">
        <v>239</v>
      </c>
      <c r="R74" s="5" t="s">
        <v>270</v>
      </c>
      <c r="S74" s="5" t="s">
        <v>238</v>
      </c>
      <c r="V74" s="5" t="s">
        <v>238</v>
      </c>
      <c r="X74" s="6" t="s">
        <v>238</v>
      </c>
      <c r="AA74" s="6" t="s">
        <v>243</v>
      </c>
      <c r="AB74" s="5" t="s">
        <v>238</v>
      </c>
      <c r="AC74" s="5" t="s">
        <v>244</v>
      </c>
      <c r="AD74" s="5" t="s">
        <v>245</v>
      </c>
      <c r="AT74" s="5" t="s">
        <v>246</v>
      </c>
      <c r="AU74" s="5" t="s">
        <v>238</v>
      </c>
      <c r="AV74" s="5" t="s">
        <v>247</v>
      </c>
      <c r="AW74" s="5" t="s">
        <v>238</v>
      </c>
      <c r="AX74" s="5" t="s">
        <v>249</v>
      </c>
      <c r="AY74" s="5" t="s">
        <v>238</v>
      </c>
      <c r="BA74" s="5" t="s">
        <v>238</v>
      </c>
      <c r="BC74" s="5" t="s">
        <v>250</v>
      </c>
      <c r="BD74" s="6" t="s">
        <v>243</v>
      </c>
      <c r="BE74" s="5" t="s">
        <v>251</v>
      </c>
      <c r="BF74" s="5" t="s">
        <v>252</v>
      </c>
      <c r="BG74" s="5" t="s">
        <v>238</v>
      </c>
      <c r="BH74" s="7">
        <f>0</f>
        <v>0</v>
      </c>
      <c r="BI74" s="8">
        <f>0</f>
        <v>0</v>
      </c>
      <c r="BJ74" s="5" t="s">
        <v>253</v>
      </c>
      <c r="BK74" s="5" t="s">
        <v>254</v>
      </c>
      <c r="BY74" s="5" t="s">
        <v>238</v>
      </c>
      <c r="BZ74" s="5" t="s">
        <v>238</v>
      </c>
      <c r="CD74" s="5" t="s">
        <v>255</v>
      </c>
      <c r="CE74" s="5" t="s">
        <v>256</v>
      </c>
      <c r="CF74" s="5" t="s">
        <v>238</v>
      </c>
      <c r="CI74" s="6" t="s">
        <v>257</v>
      </c>
      <c r="CJ74" s="5" t="s">
        <v>238</v>
      </c>
      <c r="CK74" s="5" t="s">
        <v>258</v>
      </c>
      <c r="CL74" s="5" t="s">
        <v>238</v>
      </c>
      <c r="CM74" s="5" t="s">
        <v>238</v>
      </c>
      <c r="CN74" s="5">
        <v>0</v>
      </c>
      <c r="CO74" s="5" t="s">
        <v>259</v>
      </c>
      <c r="CP74" s="5" t="s">
        <v>260</v>
      </c>
      <c r="CQ74" s="5" t="s">
        <v>260</v>
      </c>
      <c r="CR74" s="5" t="s">
        <v>261</v>
      </c>
      <c r="CU74" s="8">
        <f>18590495</f>
        <v>18590495</v>
      </c>
      <c r="CV74" s="8">
        <f>0</f>
        <v>0</v>
      </c>
      <c r="CX74" s="8">
        <f>0</f>
        <v>0</v>
      </c>
      <c r="CY74" s="8">
        <f>18590495</f>
        <v>18590495</v>
      </c>
      <c r="DA74" s="5" t="s">
        <v>3873</v>
      </c>
      <c r="DB74" s="5" t="s">
        <v>238</v>
      </c>
      <c r="DD74" s="5" t="s">
        <v>3873</v>
      </c>
      <c r="DE74" s="8">
        <f>2803</f>
        <v>2803</v>
      </c>
      <c r="DG74" s="5" t="s">
        <v>389</v>
      </c>
      <c r="DH74" s="5" t="s">
        <v>238</v>
      </c>
      <c r="DI74" s="5" t="s">
        <v>238</v>
      </c>
      <c r="DJ74" s="5" t="s">
        <v>238</v>
      </c>
      <c r="DN74" s="5" t="s">
        <v>238</v>
      </c>
      <c r="DO74" s="5" t="s">
        <v>238</v>
      </c>
      <c r="DP74" s="5" t="s">
        <v>238</v>
      </c>
      <c r="DQ74" s="5" t="s">
        <v>238</v>
      </c>
      <c r="DT74" s="5" t="s">
        <v>5150</v>
      </c>
      <c r="DU74" s="5" t="s">
        <v>294</v>
      </c>
      <c r="HM74" s="5" t="s">
        <v>264</v>
      </c>
    </row>
    <row r="75" spans="1:238" x14ac:dyDescent="0.4">
      <c r="A75" s="5">
        <v>784</v>
      </c>
      <c r="B75" s="5">
        <v>1</v>
      </c>
      <c r="C75" s="5">
        <v>1</v>
      </c>
      <c r="D75" s="5" t="s">
        <v>5159</v>
      </c>
      <c r="E75" s="5" t="s">
        <v>475</v>
      </c>
      <c r="F75" s="5" t="s">
        <v>248</v>
      </c>
      <c r="G75" s="5" t="s">
        <v>5161</v>
      </c>
      <c r="H75" s="6" t="s">
        <v>5163</v>
      </c>
      <c r="I75" s="7">
        <f>304</f>
        <v>304</v>
      </c>
      <c r="J75" s="5" t="s">
        <v>262</v>
      </c>
      <c r="K75" s="8">
        <f>130590</f>
        <v>130590</v>
      </c>
      <c r="L75" s="6" t="s">
        <v>2058</v>
      </c>
      <c r="M75" s="5" t="s">
        <v>267</v>
      </c>
      <c r="N75" s="5" t="s">
        <v>265</v>
      </c>
      <c r="O75" s="5" t="s">
        <v>238</v>
      </c>
      <c r="P75" s="5" t="s">
        <v>238</v>
      </c>
      <c r="Q75" s="5" t="s">
        <v>239</v>
      </c>
      <c r="R75" s="5" t="s">
        <v>270</v>
      </c>
      <c r="S75" s="5" t="s">
        <v>238</v>
      </c>
      <c r="V75" s="5" t="s">
        <v>238</v>
      </c>
      <c r="X75" s="6" t="s">
        <v>238</v>
      </c>
      <c r="AA75" s="6" t="s">
        <v>243</v>
      </c>
      <c r="AB75" s="5" t="s">
        <v>5162</v>
      </c>
      <c r="AC75" s="5" t="s">
        <v>244</v>
      </c>
      <c r="AD75" s="5" t="s">
        <v>245</v>
      </c>
      <c r="AT75" s="5" t="s">
        <v>246</v>
      </c>
      <c r="AU75" s="5" t="s">
        <v>238</v>
      </c>
      <c r="AV75" s="5" t="s">
        <v>247</v>
      </c>
      <c r="AW75" s="5" t="s">
        <v>238</v>
      </c>
      <c r="AX75" s="5" t="s">
        <v>249</v>
      </c>
      <c r="AY75" s="5" t="s">
        <v>238</v>
      </c>
      <c r="BA75" s="5" t="s">
        <v>4547</v>
      </c>
      <c r="BC75" s="5" t="s">
        <v>250</v>
      </c>
      <c r="BD75" s="6" t="s">
        <v>2058</v>
      </c>
      <c r="BE75" s="5" t="s">
        <v>251</v>
      </c>
      <c r="BF75" s="5" t="s">
        <v>2043</v>
      </c>
      <c r="BG75" s="5" t="s">
        <v>238</v>
      </c>
      <c r="BH75" s="7">
        <f>0</f>
        <v>0</v>
      </c>
      <c r="BI75" s="8">
        <f>0</f>
        <v>0</v>
      </c>
      <c r="BJ75" s="5" t="s">
        <v>253</v>
      </c>
      <c r="BK75" s="5" t="s">
        <v>254</v>
      </c>
      <c r="BY75" s="5" t="s">
        <v>238</v>
      </c>
      <c r="BZ75" s="5" t="s">
        <v>238</v>
      </c>
      <c r="CD75" s="5" t="s">
        <v>293</v>
      </c>
      <c r="CE75" s="5" t="s">
        <v>256</v>
      </c>
      <c r="CF75" s="5" t="s">
        <v>238</v>
      </c>
      <c r="CI75" s="6" t="s">
        <v>257</v>
      </c>
      <c r="CJ75" s="5" t="s">
        <v>238</v>
      </c>
      <c r="CK75" s="5" t="s">
        <v>258</v>
      </c>
      <c r="CL75" s="5" t="s">
        <v>238</v>
      </c>
      <c r="CM75" s="5" t="s">
        <v>238</v>
      </c>
      <c r="CN75" s="5">
        <v>0</v>
      </c>
      <c r="CO75" s="5" t="s">
        <v>259</v>
      </c>
      <c r="CP75" s="5" t="s">
        <v>260</v>
      </c>
      <c r="CQ75" s="5" t="s">
        <v>260</v>
      </c>
      <c r="CR75" s="5" t="s">
        <v>261</v>
      </c>
      <c r="CU75" s="8">
        <f>130590</f>
        <v>130590</v>
      </c>
      <c r="CV75" s="8">
        <f>0</f>
        <v>0</v>
      </c>
      <c r="CX75" s="8">
        <f>0</f>
        <v>0</v>
      </c>
      <c r="CY75" s="8">
        <f>130590</f>
        <v>130590</v>
      </c>
      <c r="DA75" s="5" t="s">
        <v>2032</v>
      </c>
      <c r="DB75" s="5" t="s">
        <v>238</v>
      </c>
      <c r="DD75" s="5" t="s">
        <v>389</v>
      </c>
      <c r="DE75" s="8">
        <f>304.06</f>
        <v>304.06</v>
      </c>
      <c r="DG75" s="5" t="s">
        <v>238</v>
      </c>
      <c r="DH75" s="5" t="s">
        <v>238</v>
      </c>
      <c r="DI75" s="5" t="s">
        <v>238</v>
      </c>
      <c r="DJ75" s="5" t="s">
        <v>238</v>
      </c>
      <c r="DN75" s="5" t="s">
        <v>238</v>
      </c>
      <c r="DO75" s="5" t="s">
        <v>238</v>
      </c>
      <c r="DP75" s="5" t="s">
        <v>238</v>
      </c>
      <c r="DQ75" s="5" t="s">
        <v>238</v>
      </c>
      <c r="DT75" s="5" t="s">
        <v>5160</v>
      </c>
      <c r="DU75" s="5" t="s">
        <v>264</v>
      </c>
      <c r="HM75" s="5" t="s">
        <v>264</v>
      </c>
    </row>
    <row r="76" spans="1:238" x14ac:dyDescent="0.4">
      <c r="A76" s="5">
        <v>786</v>
      </c>
      <c r="B76" s="5">
        <v>1</v>
      </c>
      <c r="C76" s="5">
        <v>1</v>
      </c>
      <c r="D76" s="5" t="s">
        <v>5159</v>
      </c>
      <c r="E76" s="5" t="s">
        <v>475</v>
      </c>
      <c r="F76" s="5" t="s">
        <v>248</v>
      </c>
      <c r="G76" s="5" t="s">
        <v>5158</v>
      </c>
      <c r="H76" s="6" t="s">
        <v>2352</v>
      </c>
      <c r="I76" s="7">
        <f>0</f>
        <v>0</v>
      </c>
      <c r="J76" s="5" t="s">
        <v>262</v>
      </c>
      <c r="K76" s="8">
        <f>1880399</f>
        <v>1880399</v>
      </c>
      <c r="L76" s="6" t="s">
        <v>2344</v>
      </c>
      <c r="M76" s="5" t="s">
        <v>267</v>
      </c>
      <c r="N76" s="5" t="s">
        <v>265</v>
      </c>
      <c r="O76" s="5" t="s">
        <v>238</v>
      </c>
      <c r="P76" s="5" t="s">
        <v>238</v>
      </c>
      <c r="Q76" s="5" t="s">
        <v>239</v>
      </c>
      <c r="R76" s="5" t="s">
        <v>238</v>
      </c>
      <c r="S76" s="5" t="s">
        <v>238</v>
      </c>
      <c r="V76" s="5" t="s">
        <v>238</v>
      </c>
      <c r="X76" s="6" t="s">
        <v>238</v>
      </c>
      <c r="AA76" s="6" t="s">
        <v>243</v>
      </c>
      <c r="AB76" s="5" t="s">
        <v>238</v>
      </c>
      <c r="AC76" s="5" t="s">
        <v>244</v>
      </c>
      <c r="AD76" s="5" t="s">
        <v>245</v>
      </c>
      <c r="AT76" s="5" t="s">
        <v>246</v>
      </c>
      <c r="AU76" s="5" t="s">
        <v>238</v>
      </c>
      <c r="AV76" s="5" t="s">
        <v>247</v>
      </c>
      <c r="AW76" s="5" t="s">
        <v>238</v>
      </c>
      <c r="AX76" s="5" t="s">
        <v>249</v>
      </c>
      <c r="AY76" s="5" t="s">
        <v>238</v>
      </c>
      <c r="BA76" s="5" t="s">
        <v>238</v>
      </c>
      <c r="BC76" s="5" t="s">
        <v>250</v>
      </c>
      <c r="BD76" s="6" t="s">
        <v>2344</v>
      </c>
      <c r="BE76" s="5" t="s">
        <v>251</v>
      </c>
      <c r="BF76" s="5" t="s">
        <v>3552</v>
      </c>
      <c r="BG76" s="5" t="s">
        <v>238</v>
      </c>
      <c r="BH76" s="7">
        <f>0</f>
        <v>0</v>
      </c>
      <c r="BI76" s="8">
        <f>0</f>
        <v>0</v>
      </c>
      <c r="BJ76" s="5" t="s">
        <v>253</v>
      </c>
      <c r="BK76" s="5" t="s">
        <v>254</v>
      </c>
      <c r="BY76" s="5" t="s">
        <v>238</v>
      </c>
      <c r="BZ76" s="5" t="s">
        <v>238</v>
      </c>
      <c r="CD76" s="5" t="s">
        <v>255</v>
      </c>
      <c r="CE76" s="5" t="s">
        <v>256</v>
      </c>
      <c r="CF76" s="5" t="s">
        <v>238</v>
      </c>
      <c r="CI76" s="6" t="s">
        <v>257</v>
      </c>
      <c r="CJ76" s="5" t="s">
        <v>238</v>
      </c>
      <c r="CK76" s="5" t="s">
        <v>258</v>
      </c>
      <c r="CL76" s="5" t="s">
        <v>238</v>
      </c>
      <c r="CM76" s="5" t="s">
        <v>238</v>
      </c>
      <c r="CN76" s="5">
        <v>0</v>
      </c>
      <c r="CO76" s="5" t="s">
        <v>259</v>
      </c>
      <c r="CP76" s="5" t="s">
        <v>260</v>
      </c>
      <c r="CQ76" s="5" t="s">
        <v>260</v>
      </c>
      <c r="CR76" s="5" t="s">
        <v>261</v>
      </c>
      <c r="CU76" s="8">
        <f>1880399</f>
        <v>1880399</v>
      </c>
      <c r="CV76" s="8">
        <f>0</f>
        <v>0</v>
      </c>
      <c r="CX76" s="8">
        <f>0</f>
        <v>0</v>
      </c>
      <c r="CY76" s="8">
        <f>1880399</f>
        <v>1880399</v>
      </c>
      <c r="DA76" s="5" t="s">
        <v>356</v>
      </c>
      <c r="DB76" s="5" t="s">
        <v>238</v>
      </c>
      <c r="DD76" s="5" t="s">
        <v>356</v>
      </c>
      <c r="DE76" s="8">
        <f>0</f>
        <v>0</v>
      </c>
      <c r="DG76" s="5" t="s">
        <v>238</v>
      </c>
      <c r="DH76" s="5" t="s">
        <v>238</v>
      </c>
      <c r="DI76" s="5" t="s">
        <v>238</v>
      </c>
      <c r="DJ76" s="5" t="s">
        <v>238</v>
      </c>
      <c r="DN76" s="5" t="s">
        <v>238</v>
      </c>
      <c r="DO76" s="5" t="s">
        <v>238</v>
      </c>
      <c r="DP76" s="5" t="s">
        <v>238</v>
      </c>
      <c r="DQ76" s="5" t="s">
        <v>238</v>
      </c>
      <c r="DT76" s="5" t="s">
        <v>5160</v>
      </c>
      <c r="DU76" s="5" t="s">
        <v>806</v>
      </c>
      <c r="HM76" s="5" t="s">
        <v>264</v>
      </c>
    </row>
    <row r="77" spans="1:238" x14ac:dyDescent="0.4">
      <c r="A77" s="5">
        <v>787</v>
      </c>
      <c r="B77" s="5">
        <v>1</v>
      </c>
      <c r="C77" s="5">
        <v>1</v>
      </c>
      <c r="D77" s="5" t="s">
        <v>5167</v>
      </c>
      <c r="E77" s="5" t="s">
        <v>475</v>
      </c>
      <c r="F77" s="5" t="s">
        <v>248</v>
      </c>
      <c r="G77" s="5" t="s">
        <v>5166</v>
      </c>
      <c r="H77" s="6" t="s">
        <v>5170</v>
      </c>
      <c r="I77" s="7">
        <f>28</f>
        <v>28</v>
      </c>
      <c r="J77" s="5" t="s">
        <v>262</v>
      </c>
      <c r="K77" s="8">
        <f>308</f>
        <v>308</v>
      </c>
      <c r="L77" s="6" t="s">
        <v>242</v>
      </c>
      <c r="M77" s="5" t="s">
        <v>267</v>
      </c>
      <c r="N77" s="5" t="s">
        <v>237</v>
      </c>
      <c r="O77" s="5" t="s">
        <v>238</v>
      </c>
      <c r="P77" s="5" t="s">
        <v>238</v>
      </c>
      <c r="Q77" s="5" t="s">
        <v>239</v>
      </c>
      <c r="R77" s="5" t="s">
        <v>270</v>
      </c>
      <c r="S77" s="5" t="s">
        <v>238</v>
      </c>
      <c r="V77" s="5" t="s">
        <v>238</v>
      </c>
      <c r="X77" s="6" t="s">
        <v>238</v>
      </c>
      <c r="AA77" s="6" t="s">
        <v>243</v>
      </c>
      <c r="AB77" s="5" t="s">
        <v>238</v>
      </c>
      <c r="AC77" s="5" t="s">
        <v>244</v>
      </c>
      <c r="AD77" s="5" t="s">
        <v>245</v>
      </c>
      <c r="AT77" s="5" t="s">
        <v>246</v>
      </c>
      <c r="AU77" s="5" t="s">
        <v>238</v>
      </c>
      <c r="AV77" s="5" t="s">
        <v>247</v>
      </c>
      <c r="AW77" s="5" t="s">
        <v>238</v>
      </c>
      <c r="AX77" s="5" t="s">
        <v>249</v>
      </c>
      <c r="AY77" s="5" t="s">
        <v>238</v>
      </c>
      <c r="BA77" s="5" t="s">
        <v>4547</v>
      </c>
      <c r="BC77" s="5" t="s">
        <v>250</v>
      </c>
      <c r="BD77" s="6" t="s">
        <v>243</v>
      </c>
      <c r="BE77" s="5" t="s">
        <v>251</v>
      </c>
      <c r="BF77" s="5" t="s">
        <v>252</v>
      </c>
      <c r="BG77" s="5" t="s">
        <v>238</v>
      </c>
      <c r="BH77" s="7">
        <f>0</f>
        <v>0</v>
      </c>
      <c r="BI77" s="8">
        <f>0</f>
        <v>0</v>
      </c>
      <c r="BJ77" s="5" t="s">
        <v>253</v>
      </c>
      <c r="BK77" s="5" t="s">
        <v>254</v>
      </c>
      <c r="BY77" s="5" t="s">
        <v>238</v>
      </c>
      <c r="BZ77" s="5" t="s">
        <v>238</v>
      </c>
      <c r="CD77" s="5" t="s">
        <v>255</v>
      </c>
      <c r="CE77" s="5" t="s">
        <v>256</v>
      </c>
      <c r="CF77" s="5" t="s">
        <v>238</v>
      </c>
      <c r="CI77" s="6" t="s">
        <v>257</v>
      </c>
      <c r="CJ77" s="5" t="s">
        <v>238</v>
      </c>
      <c r="CK77" s="5" t="s">
        <v>258</v>
      </c>
      <c r="CL77" s="5" t="s">
        <v>238</v>
      </c>
      <c r="CM77" s="5" t="s">
        <v>238</v>
      </c>
      <c r="CN77" s="5">
        <v>0</v>
      </c>
      <c r="CO77" s="5" t="s">
        <v>259</v>
      </c>
      <c r="CP77" s="5" t="s">
        <v>260</v>
      </c>
      <c r="CQ77" s="5" t="s">
        <v>260</v>
      </c>
      <c r="CR77" s="5" t="s">
        <v>261</v>
      </c>
      <c r="CU77" s="8">
        <f>308</f>
        <v>308</v>
      </c>
      <c r="CV77" s="8">
        <f>0</f>
        <v>0</v>
      </c>
      <c r="CX77" s="8">
        <f>0</f>
        <v>0</v>
      </c>
      <c r="CY77" s="8">
        <f>308</f>
        <v>308</v>
      </c>
      <c r="DA77" s="5" t="s">
        <v>356</v>
      </c>
      <c r="DB77" s="5" t="s">
        <v>238</v>
      </c>
      <c r="DD77" s="5" t="s">
        <v>533</v>
      </c>
      <c r="DE77" s="8">
        <f>28</f>
        <v>28</v>
      </c>
      <c r="DG77" s="5" t="s">
        <v>534</v>
      </c>
      <c r="DH77" s="5" t="s">
        <v>238</v>
      </c>
      <c r="DI77" s="5" t="s">
        <v>238</v>
      </c>
      <c r="DJ77" s="5" t="s">
        <v>238</v>
      </c>
      <c r="DN77" s="5" t="s">
        <v>238</v>
      </c>
      <c r="DO77" s="5" t="s">
        <v>238</v>
      </c>
      <c r="DP77" s="5" t="s">
        <v>238</v>
      </c>
      <c r="DQ77" s="5" t="s">
        <v>238</v>
      </c>
      <c r="DT77" s="5" t="s">
        <v>5169</v>
      </c>
      <c r="DU77" s="5" t="s">
        <v>264</v>
      </c>
      <c r="HM77" s="5" t="s">
        <v>264</v>
      </c>
    </row>
    <row r="78" spans="1:238" x14ac:dyDescent="0.4">
      <c r="A78" s="5">
        <v>788</v>
      </c>
      <c r="B78" s="5">
        <v>1</v>
      </c>
      <c r="C78" s="5">
        <v>1</v>
      </c>
      <c r="D78" s="5" t="s">
        <v>5167</v>
      </c>
      <c r="E78" s="5" t="s">
        <v>475</v>
      </c>
      <c r="F78" s="5" t="s">
        <v>248</v>
      </c>
      <c r="G78" s="5" t="s">
        <v>5166</v>
      </c>
      <c r="H78" s="6" t="s">
        <v>5177</v>
      </c>
      <c r="I78" s="7">
        <f>8.54</f>
        <v>8.5399999999999991</v>
      </c>
      <c r="J78" s="5" t="s">
        <v>262</v>
      </c>
      <c r="K78" s="8">
        <f>4184</f>
        <v>4184</v>
      </c>
      <c r="L78" s="6" t="s">
        <v>242</v>
      </c>
      <c r="M78" s="5" t="s">
        <v>267</v>
      </c>
      <c r="N78" s="5" t="s">
        <v>237</v>
      </c>
      <c r="O78" s="5" t="s">
        <v>238</v>
      </c>
      <c r="P78" s="5" t="s">
        <v>238</v>
      </c>
      <c r="Q78" s="5" t="s">
        <v>239</v>
      </c>
      <c r="R78" s="5" t="s">
        <v>270</v>
      </c>
      <c r="S78" s="5" t="s">
        <v>238</v>
      </c>
      <c r="V78" s="5" t="s">
        <v>238</v>
      </c>
      <c r="X78" s="6" t="s">
        <v>238</v>
      </c>
      <c r="AA78" s="6" t="s">
        <v>243</v>
      </c>
      <c r="AB78" s="5" t="s">
        <v>238</v>
      </c>
      <c r="AC78" s="5" t="s">
        <v>244</v>
      </c>
      <c r="AD78" s="5" t="s">
        <v>245</v>
      </c>
      <c r="AT78" s="5" t="s">
        <v>246</v>
      </c>
      <c r="AU78" s="5" t="s">
        <v>238</v>
      </c>
      <c r="AV78" s="5" t="s">
        <v>247</v>
      </c>
      <c r="AW78" s="5" t="s">
        <v>238</v>
      </c>
      <c r="AX78" s="5" t="s">
        <v>249</v>
      </c>
      <c r="AY78" s="5" t="s">
        <v>238</v>
      </c>
      <c r="BA78" s="5" t="s">
        <v>238</v>
      </c>
      <c r="BC78" s="5" t="s">
        <v>250</v>
      </c>
      <c r="BD78" s="6" t="s">
        <v>243</v>
      </c>
      <c r="BE78" s="5" t="s">
        <v>251</v>
      </c>
      <c r="BF78" s="5" t="s">
        <v>252</v>
      </c>
      <c r="BG78" s="5" t="s">
        <v>238</v>
      </c>
      <c r="BH78" s="7">
        <f>0</f>
        <v>0</v>
      </c>
      <c r="BI78" s="8">
        <f>0</f>
        <v>0</v>
      </c>
      <c r="BJ78" s="5" t="s">
        <v>253</v>
      </c>
      <c r="BK78" s="5" t="s">
        <v>254</v>
      </c>
      <c r="BY78" s="5" t="s">
        <v>238</v>
      </c>
      <c r="BZ78" s="5" t="s">
        <v>238</v>
      </c>
      <c r="CD78" s="5" t="s">
        <v>255</v>
      </c>
      <c r="CE78" s="5" t="s">
        <v>256</v>
      </c>
      <c r="CF78" s="5" t="s">
        <v>238</v>
      </c>
      <c r="CI78" s="6" t="s">
        <v>257</v>
      </c>
      <c r="CJ78" s="5" t="s">
        <v>238</v>
      </c>
      <c r="CK78" s="5" t="s">
        <v>258</v>
      </c>
      <c r="CL78" s="5" t="s">
        <v>238</v>
      </c>
      <c r="CM78" s="5" t="s">
        <v>238</v>
      </c>
      <c r="CN78" s="5">
        <v>0</v>
      </c>
      <c r="CO78" s="5" t="s">
        <v>259</v>
      </c>
      <c r="CP78" s="5" t="s">
        <v>260</v>
      </c>
      <c r="CQ78" s="5" t="s">
        <v>260</v>
      </c>
      <c r="CR78" s="5" t="s">
        <v>261</v>
      </c>
      <c r="CU78" s="8">
        <f>4184</f>
        <v>4184</v>
      </c>
      <c r="CV78" s="8">
        <f>0</f>
        <v>0</v>
      </c>
      <c r="CX78" s="8">
        <f>0</f>
        <v>0</v>
      </c>
      <c r="CY78" s="8">
        <f>4184</f>
        <v>4184</v>
      </c>
      <c r="DA78" s="5" t="s">
        <v>356</v>
      </c>
      <c r="DB78" s="5" t="s">
        <v>238</v>
      </c>
      <c r="DD78" s="5" t="s">
        <v>357</v>
      </c>
      <c r="DE78" s="8">
        <f>8.54</f>
        <v>8.5399999999999991</v>
      </c>
      <c r="DG78" s="5" t="s">
        <v>356</v>
      </c>
      <c r="DH78" s="5" t="s">
        <v>238</v>
      </c>
      <c r="DI78" s="5" t="s">
        <v>238</v>
      </c>
      <c r="DJ78" s="5" t="s">
        <v>238</v>
      </c>
      <c r="DN78" s="5" t="s">
        <v>238</v>
      </c>
      <c r="DO78" s="5" t="s">
        <v>238</v>
      </c>
      <c r="DP78" s="5" t="s">
        <v>238</v>
      </c>
      <c r="DQ78" s="5" t="s">
        <v>238</v>
      </c>
      <c r="DT78" s="5" t="s">
        <v>5169</v>
      </c>
      <c r="DU78" s="5" t="s">
        <v>294</v>
      </c>
      <c r="HM78" s="5" t="s">
        <v>264</v>
      </c>
    </row>
    <row r="79" spans="1:238" x14ac:dyDescent="0.4">
      <c r="A79" s="5">
        <v>789</v>
      </c>
      <c r="B79" s="5">
        <v>1</v>
      </c>
      <c r="C79" s="5">
        <v>1</v>
      </c>
      <c r="D79" s="5" t="s">
        <v>5167</v>
      </c>
      <c r="E79" s="5" t="s">
        <v>475</v>
      </c>
      <c r="F79" s="5" t="s">
        <v>248</v>
      </c>
      <c r="G79" s="5" t="s">
        <v>5166</v>
      </c>
      <c r="H79" s="6" t="s">
        <v>5173</v>
      </c>
      <c r="I79" s="7">
        <f>10</f>
        <v>10</v>
      </c>
      <c r="J79" s="5" t="s">
        <v>262</v>
      </c>
      <c r="K79" s="8">
        <f>4900</f>
        <v>4900</v>
      </c>
      <c r="L79" s="6" t="s">
        <v>242</v>
      </c>
      <c r="M79" s="5" t="s">
        <v>267</v>
      </c>
      <c r="N79" s="5" t="s">
        <v>237</v>
      </c>
      <c r="O79" s="5" t="s">
        <v>238</v>
      </c>
      <c r="P79" s="5" t="s">
        <v>238</v>
      </c>
      <c r="Q79" s="5" t="s">
        <v>239</v>
      </c>
      <c r="R79" s="5" t="s">
        <v>270</v>
      </c>
      <c r="S79" s="5" t="s">
        <v>238</v>
      </c>
      <c r="V79" s="5" t="s">
        <v>238</v>
      </c>
      <c r="X79" s="6" t="s">
        <v>238</v>
      </c>
      <c r="AA79" s="6" t="s">
        <v>243</v>
      </c>
      <c r="AB79" s="5" t="s">
        <v>238</v>
      </c>
      <c r="AC79" s="5" t="s">
        <v>244</v>
      </c>
      <c r="AD79" s="5" t="s">
        <v>245</v>
      </c>
      <c r="AT79" s="5" t="s">
        <v>246</v>
      </c>
      <c r="AU79" s="5" t="s">
        <v>238</v>
      </c>
      <c r="AV79" s="5" t="s">
        <v>247</v>
      </c>
      <c r="AW79" s="5" t="s">
        <v>238</v>
      </c>
      <c r="AX79" s="5" t="s">
        <v>249</v>
      </c>
      <c r="AY79" s="5" t="s">
        <v>238</v>
      </c>
      <c r="BA79" s="5" t="s">
        <v>238</v>
      </c>
      <c r="BC79" s="5" t="s">
        <v>250</v>
      </c>
      <c r="BD79" s="6" t="s">
        <v>243</v>
      </c>
      <c r="BE79" s="5" t="s">
        <v>251</v>
      </c>
      <c r="BF79" s="5" t="s">
        <v>252</v>
      </c>
      <c r="BG79" s="5" t="s">
        <v>238</v>
      </c>
      <c r="BH79" s="7">
        <f>0</f>
        <v>0</v>
      </c>
      <c r="BI79" s="8">
        <f>0</f>
        <v>0</v>
      </c>
      <c r="BJ79" s="5" t="s">
        <v>253</v>
      </c>
      <c r="BK79" s="5" t="s">
        <v>254</v>
      </c>
      <c r="BY79" s="5" t="s">
        <v>238</v>
      </c>
      <c r="BZ79" s="5" t="s">
        <v>238</v>
      </c>
      <c r="CD79" s="5" t="s">
        <v>255</v>
      </c>
      <c r="CE79" s="5" t="s">
        <v>256</v>
      </c>
      <c r="CF79" s="5" t="s">
        <v>238</v>
      </c>
      <c r="CI79" s="6" t="s">
        <v>257</v>
      </c>
      <c r="CJ79" s="5" t="s">
        <v>238</v>
      </c>
      <c r="CK79" s="5" t="s">
        <v>258</v>
      </c>
      <c r="CL79" s="5" t="s">
        <v>238</v>
      </c>
      <c r="CM79" s="5" t="s">
        <v>238</v>
      </c>
      <c r="CN79" s="5">
        <v>0</v>
      </c>
      <c r="CO79" s="5" t="s">
        <v>259</v>
      </c>
      <c r="CP79" s="5" t="s">
        <v>260</v>
      </c>
      <c r="CQ79" s="5" t="s">
        <v>260</v>
      </c>
      <c r="CR79" s="5" t="s">
        <v>261</v>
      </c>
      <c r="CU79" s="8">
        <f>4900</f>
        <v>4900</v>
      </c>
      <c r="CV79" s="8">
        <f>0</f>
        <v>0</v>
      </c>
      <c r="CX79" s="8">
        <f>0</f>
        <v>0</v>
      </c>
      <c r="CY79" s="8">
        <f>4900</f>
        <v>4900</v>
      </c>
      <c r="DA79" s="5" t="s">
        <v>356</v>
      </c>
      <c r="DB79" s="5" t="s">
        <v>238</v>
      </c>
      <c r="DD79" s="5" t="s">
        <v>357</v>
      </c>
      <c r="DE79" s="8">
        <f>10</f>
        <v>10</v>
      </c>
      <c r="DF79" s="6" t="s">
        <v>5174</v>
      </c>
      <c r="DG79" s="5" t="s">
        <v>356</v>
      </c>
      <c r="DH79" s="5" t="s">
        <v>238</v>
      </c>
      <c r="DI79" s="5" t="s">
        <v>238</v>
      </c>
      <c r="DJ79" s="5" t="s">
        <v>238</v>
      </c>
      <c r="DN79" s="5" t="s">
        <v>238</v>
      </c>
      <c r="DO79" s="5" t="s">
        <v>238</v>
      </c>
      <c r="DP79" s="5" t="s">
        <v>238</v>
      </c>
      <c r="DQ79" s="5" t="s">
        <v>238</v>
      </c>
      <c r="DT79" s="5" t="s">
        <v>5169</v>
      </c>
      <c r="DU79" s="5" t="s">
        <v>806</v>
      </c>
      <c r="HM79" s="5" t="s">
        <v>264</v>
      </c>
    </row>
    <row r="80" spans="1:238" x14ac:dyDescent="0.4">
      <c r="A80" s="5">
        <v>790</v>
      </c>
      <c r="B80" s="5">
        <v>1</v>
      </c>
      <c r="C80" s="5">
        <v>1</v>
      </c>
      <c r="D80" s="5" t="s">
        <v>5167</v>
      </c>
      <c r="E80" s="5" t="s">
        <v>475</v>
      </c>
      <c r="F80" s="5" t="s">
        <v>248</v>
      </c>
      <c r="G80" s="5" t="s">
        <v>5166</v>
      </c>
      <c r="H80" s="6" t="s">
        <v>5176</v>
      </c>
      <c r="I80" s="7">
        <f>13</f>
        <v>13</v>
      </c>
      <c r="J80" s="5" t="s">
        <v>262</v>
      </c>
      <c r="K80" s="8">
        <f>559</f>
        <v>559</v>
      </c>
      <c r="L80" s="6" t="s">
        <v>242</v>
      </c>
      <c r="M80" s="5" t="s">
        <v>267</v>
      </c>
      <c r="N80" s="5" t="s">
        <v>237</v>
      </c>
      <c r="O80" s="5" t="s">
        <v>238</v>
      </c>
      <c r="P80" s="5" t="s">
        <v>238</v>
      </c>
      <c r="Q80" s="5" t="s">
        <v>239</v>
      </c>
      <c r="R80" s="5" t="s">
        <v>270</v>
      </c>
      <c r="S80" s="5" t="s">
        <v>238</v>
      </c>
      <c r="V80" s="5" t="s">
        <v>238</v>
      </c>
      <c r="X80" s="6" t="s">
        <v>238</v>
      </c>
      <c r="AA80" s="6" t="s">
        <v>243</v>
      </c>
      <c r="AB80" s="5" t="s">
        <v>238</v>
      </c>
      <c r="AC80" s="5" t="s">
        <v>244</v>
      </c>
      <c r="AD80" s="5" t="s">
        <v>245</v>
      </c>
      <c r="AT80" s="5" t="s">
        <v>246</v>
      </c>
      <c r="AU80" s="5" t="s">
        <v>238</v>
      </c>
      <c r="AV80" s="5" t="s">
        <v>247</v>
      </c>
      <c r="AW80" s="5" t="s">
        <v>238</v>
      </c>
      <c r="AX80" s="5" t="s">
        <v>249</v>
      </c>
      <c r="AY80" s="5" t="s">
        <v>238</v>
      </c>
      <c r="BA80" s="5" t="s">
        <v>238</v>
      </c>
      <c r="BC80" s="5" t="s">
        <v>250</v>
      </c>
      <c r="BD80" s="6" t="s">
        <v>243</v>
      </c>
      <c r="BE80" s="5" t="s">
        <v>251</v>
      </c>
      <c r="BF80" s="5" t="s">
        <v>252</v>
      </c>
      <c r="BG80" s="5" t="s">
        <v>238</v>
      </c>
      <c r="BH80" s="7">
        <f>0</f>
        <v>0</v>
      </c>
      <c r="BI80" s="8">
        <f>0</f>
        <v>0</v>
      </c>
      <c r="BJ80" s="5" t="s">
        <v>253</v>
      </c>
      <c r="BK80" s="5" t="s">
        <v>254</v>
      </c>
      <c r="BY80" s="5" t="s">
        <v>238</v>
      </c>
      <c r="BZ80" s="5" t="s">
        <v>238</v>
      </c>
      <c r="CD80" s="5" t="s">
        <v>255</v>
      </c>
      <c r="CE80" s="5" t="s">
        <v>256</v>
      </c>
      <c r="CF80" s="5" t="s">
        <v>238</v>
      </c>
      <c r="CI80" s="6" t="s">
        <v>257</v>
      </c>
      <c r="CJ80" s="5" t="s">
        <v>238</v>
      </c>
      <c r="CK80" s="5" t="s">
        <v>258</v>
      </c>
      <c r="CL80" s="5" t="s">
        <v>238</v>
      </c>
      <c r="CM80" s="5" t="s">
        <v>238</v>
      </c>
      <c r="CN80" s="5">
        <v>0</v>
      </c>
      <c r="CO80" s="5" t="s">
        <v>259</v>
      </c>
      <c r="CP80" s="5" t="s">
        <v>260</v>
      </c>
      <c r="CQ80" s="5" t="s">
        <v>260</v>
      </c>
      <c r="CR80" s="5" t="s">
        <v>261</v>
      </c>
      <c r="CU80" s="8">
        <f>559</f>
        <v>559</v>
      </c>
      <c r="CV80" s="8">
        <f>0</f>
        <v>0</v>
      </c>
      <c r="CX80" s="8">
        <f>0</f>
        <v>0</v>
      </c>
      <c r="CY80" s="8">
        <f>559</f>
        <v>559</v>
      </c>
      <c r="DA80" s="5" t="s">
        <v>357</v>
      </c>
      <c r="DB80" s="5" t="s">
        <v>238</v>
      </c>
      <c r="DD80" s="5" t="s">
        <v>357</v>
      </c>
      <c r="DE80" s="8">
        <f>13</f>
        <v>13</v>
      </c>
      <c r="DG80" s="5" t="s">
        <v>357</v>
      </c>
      <c r="DH80" s="5" t="s">
        <v>238</v>
      </c>
      <c r="DI80" s="5" t="s">
        <v>238</v>
      </c>
      <c r="DJ80" s="5" t="s">
        <v>238</v>
      </c>
      <c r="DN80" s="5" t="s">
        <v>238</v>
      </c>
      <c r="DO80" s="5" t="s">
        <v>238</v>
      </c>
      <c r="DP80" s="5" t="s">
        <v>238</v>
      </c>
      <c r="DQ80" s="5" t="s">
        <v>238</v>
      </c>
      <c r="DT80" s="5" t="s">
        <v>5169</v>
      </c>
      <c r="DU80" s="5" t="s">
        <v>854</v>
      </c>
      <c r="HM80" s="5" t="s">
        <v>264</v>
      </c>
    </row>
    <row r="81" spans="1:221" x14ac:dyDescent="0.4">
      <c r="A81" s="5">
        <v>791</v>
      </c>
      <c r="B81" s="5">
        <v>1</v>
      </c>
      <c r="C81" s="5">
        <v>1</v>
      </c>
      <c r="D81" s="5" t="s">
        <v>5167</v>
      </c>
      <c r="E81" s="5" t="s">
        <v>475</v>
      </c>
      <c r="F81" s="5" t="s">
        <v>248</v>
      </c>
      <c r="G81" s="5" t="s">
        <v>5166</v>
      </c>
      <c r="H81" s="6" t="s">
        <v>5175</v>
      </c>
      <c r="I81" s="7">
        <f>9.09</f>
        <v>9.09</v>
      </c>
      <c r="J81" s="5" t="s">
        <v>262</v>
      </c>
      <c r="K81" s="8">
        <f>4454</f>
        <v>4454</v>
      </c>
      <c r="L81" s="6" t="s">
        <v>242</v>
      </c>
      <c r="M81" s="5" t="s">
        <v>267</v>
      </c>
      <c r="N81" s="5" t="s">
        <v>237</v>
      </c>
      <c r="O81" s="5" t="s">
        <v>238</v>
      </c>
      <c r="P81" s="5" t="s">
        <v>238</v>
      </c>
      <c r="Q81" s="5" t="s">
        <v>239</v>
      </c>
      <c r="R81" s="5" t="s">
        <v>270</v>
      </c>
      <c r="S81" s="5" t="s">
        <v>238</v>
      </c>
      <c r="V81" s="5" t="s">
        <v>238</v>
      </c>
      <c r="X81" s="6" t="s">
        <v>238</v>
      </c>
      <c r="AA81" s="6" t="s">
        <v>243</v>
      </c>
      <c r="AB81" s="5" t="s">
        <v>238</v>
      </c>
      <c r="AC81" s="5" t="s">
        <v>244</v>
      </c>
      <c r="AD81" s="5" t="s">
        <v>245</v>
      </c>
      <c r="AT81" s="5" t="s">
        <v>246</v>
      </c>
      <c r="AU81" s="5" t="s">
        <v>238</v>
      </c>
      <c r="AV81" s="5" t="s">
        <v>247</v>
      </c>
      <c r="AW81" s="5" t="s">
        <v>238</v>
      </c>
      <c r="AX81" s="5" t="s">
        <v>249</v>
      </c>
      <c r="AY81" s="5" t="s">
        <v>238</v>
      </c>
      <c r="BA81" s="5" t="s">
        <v>238</v>
      </c>
      <c r="BC81" s="5" t="s">
        <v>250</v>
      </c>
      <c r="BD81" s="6" t="s">
        <v>243</v>
      </c>
      <c r="BE81" s="5" t="s">
        <v>251</v>
      </c>
      <c r="BF81" s="5" t="s">
        <v>252</v>
      </c>
      <c r="BG81" s="5" t="s">
        <v>238</v>
      </c>
      <c r="BH81" s="7">
        <f>0</f>
        <v>0</v>
      </c>
      <c r="BI81" s="8">
        <f>0</f>
        <v>0</v>
      </c>
      <c r="BJ81" s="5" t="s">
        <v>253</v>
      </c>
      <c r="BK81" s="5" t="s">
        <v>254</v>
      </c>
      <c r="BY81" s="5" t="s">
        <v>238</v>
      </c>
      <c r="BZ81" s="5" t="s">
        <v>238</v>
      </c>
      <c r="CD81" s="5" t="s">
        <v>255</v>
      </c>
      <c r="CE81" s="5" t="s">
        <v>256</v>
      </c>
      <c r="CF81" s="5" t="s">
        <v>238</v>
      </c>
      <c r="CI81" s="6" t="s">
        <v>257</v>
      </c>
      <c r="CJ81" s="5" t="s">
        <v>238</v>
      </c>
      <c r="CK81" s="5" t="s">
        <v>258</v>
      </c>
      <c r="CL81" s="5" t="s">
        <v>238</v>
      </c>
      <c r="CM81" s="5" t="s">
        <v>238</v>
      </c>
      <c r="CN81" s="5">
        <v>0</v>
      </c>
      <c r="CO81" s="5" t="s">
        <v>259</v>
      </c>
      <c r="CP81" s="5" t="s">
        <v>260</v>
      </c>
      <c r="CQ81" s="5" t="s">
        <v>260</v>
      </c>
      <c r="CR81" s="5" t="s">
        <v>261</v>
      </c>
      <c r="CU81" s="8">
        <f>4454</f>
        <v>4454</v>
      </c>
      <c r="CV81" s="8">
        <f>0</f>
        <v>0</v>
      </c>
      <c r="CX81" s="8">
        <f>0</f>
        <v>0</v>
      </c>
      <c r="CY81" s="8">
        <f>4454</f>
        <v>4454</v>
      </c>
      <c r="DA81" s="5" t="s">
        <v>356</v>
      </c>
      <c r="DB81" s="5" t="s">
        <v>238</v>
      </c>
      <c r="DD81" s="5" t="s">
        <v>357</v>
      </c>
      <c r="DE81" s="8">
        <f>9.09</f>
        <v>9.09</v>
      </c>
      <c r="DG81" s="5" t="s">
        <v>356</v>
      </c>
      <c r="DH81" s="5" t="s">
        <v>238</v>
      </c>
      <c r="DI81" s="5" t="s">
        <v>238</v>
      </c>
      <c r="DJ81" s="5" t="s">
        <v>238</v>
      </c>
      <c r="DN81" s="5" t="s">
        <v>238</v>
      </c>
      <c r="DO81" s="5" t="s">
        <v>238</v>
      </c>
      <c r="DP81" s="5" t="s">
        <v>238</v>
      </c>
      <c r="DQ81" s="5" t="s">
        <v>238</v>
      </c>
      <c r="DT81" s="5" t="s">
        <v>5169</v>
      </c>
      <c r="DU81" s="5" t="s">
        <v>911</v>
      </c>
      <c r="HM81" s="5" t="s">
        <v>264</v>
      </c>
    </row>
    <row r="82" spans="1:221" x14ac:dyDescent="0.4">
      <c r="A82" s="5">
        <v>792</v>
      </c>
      <c r="B82" s="5">
        <v>1</v>
      </c>
      <c r="C82" s="5">
        <v>1</v>
      </c>
      <c r="D82" s="5" t="s">
        <v>5167</v>
      </c>
      <c r="E82" s="5" t="s">
        <v>475</v>
      </c>
      <c r="F82" s="5" t="s">
        <v>248</v>
      </c>
      <c r="G82" s="5" t="s">
        <v>5166</v>
      </c>
      <c r="H82" s="6" t="s">
        <v>5168</v>
      </c>
      <c r="I82" s="7">
        <f>22</f>
        <v>22</v>
      </c>
      <c r="J82" s="5" t="s">
        <v>262</v>
      </c>
      <c r="K82" s="8">
        <f>242</f>
        <v>242</v>
      </c>
      <c r="L82" s="6" t="s">
        <v>242</v>
      </c>
      <c r="M82" s="5" t="s">
        <v>267</v>
      </c>
      <c r="N82" s="5" t="s">
        <v>265</v>
      </c>
      <c r="O82" s="5" t="s">
        <v>238</v>
      </c>
      <c r="P82" s="5" t="s">
        <v>238</v>
      </c>
      <c r="Q82" s="5" t="s">
        <v>239</v>
      </c>
      <c r="R82" s="5" t="s">
        <v>270</v>
      </c>
      <c r="S82" s="5" t="s">
        <v>238</v>
      </c>
      <c r="V82" s="5" t="s">
        <v>238</v>
      </c>
      <c r="X82" s="6" t="s">
        <v>238</v>
      </c>
      <c r="AA82" s="6" t="s">
        <v>243</v>
      </c>
      <c r="AB82" s="5" t="s">
        <v>238</v>
      </c>
      <c r="AC82" s="5" t="s">
        <v>244</v>
      </c>
      <c r="AD82" s="5" t="s">
        <v>245</v>
      </c>
      <c r="AT82" s="5" t="s">
        <v>246</v>
      </c>
      <c r="AU82" s="5" t="s">
        <v>238</v>
      </c>
      <c r="AV82" s="5" t="s">
        <v>247</v>
      </c>
      <c r="AW82" s="5" t="s">
        <v>238</v>
      </c>
      <c r="AX82" s="5" t="s">
        <v>249</v>
      </c>
      <c r="AY82" s="5" t="s">
        <v>238</v>
      </c>
      <c r="BA82" s="5" t="s">
        <v>238</v>
      </c>
      <c r="BC82" s="5" t="s">
        <v>250</v>
      </c>
      <c r="BD82" s="6" t="s">
        <v>243</v>
      </c>
      <c r="BE82" s="5" t="s">
        <v>251</v>
      </c>
      <c r="BF82" s="5" t="s">
        <v>252</v>
      </c>
      <c r="BG82" s="5" t="s">
        <v>238</v>
      </c>
      <c r="BH82" s="7">
        <f>0</f>
        <v>0</v>
      </c>
      <c r="BI82" s="8">
        <f>0</f>
        <v>0</v>
      </c>
      <c r="BJ82" s="5" t="s">
        <v>253</v>
      </c>
      <c r="BK82" s="5" t="s">
        <v>254</v>
      </c>
      <c r="BY82" s="5" t="s">
        <v>238</v>
      </c>
      <c r="BZ82" s="5" t="s">
        <v>238</v>
      </c>
      <c r="CD82" s="5" t="s">
        <v>255</v>
      </c>
      <c r="CE82" s="5" t="s">
        <v>256</v>
      </c>
      <c r="CF82" s="5" t="s">
        <v>238</v>
      </c>
      <c r="CI82" s="6" t="s">
        <v>257</v>
      </c>
      <c r="CJ82" s="5" t="s">
        <v>238</v>
      </c>
      <c r="CK82" s="5" t="s">
        <v>258</v>
      </c>
      <c r="CL82" s="5" t="s">
        <v>238</v>
      </c>
      <c r="CM82" s="5" t="s">
        <v>238</v>
      </c>
      <c r="CN82" s="5">
        <v>0</v>
      </c>
      <c r="CO82" s="5" t="s">
        <v>259</v>
      </c>
      <c r="CP82" s="5" t="s">
        <v>260</v>
      </c>
      <c r="CQ82" s="5" t="s">
        <v>260</v>
      </c>
      <c r="CR82" s="5" t="s">
        <v>261</v>
      </c>
      <c r="CU82" s="8">
        <f>242</f>
        <v>242</v>
      </c>
      <c r="CV82" s="8">
        <f>0</f>
        <v>0</v>
      </c>
      <c r="CX82" s="8">
        <f>0</f>
        <v>0</v>
      </c>
      <c r="CY82" s="8">
        <f>242</f>
        <v>242</v>
      </c>
      <c r="DA82" s="5" t="s">
        <v>356</v>
      </c>
      <c r="DB82" s="5" t="s">
        <v>238</v>
      </c>
      <c r="DD82" s="5" t="s">
        <v>533</v>
      </c>
      <c r="DE82" s="8">
        <f>22</f>
        <v>22</v>
      </c>
      <c r="DG82" s="5" t="s">
        <v>534</v>
      </c>
      <c r="DH82" s="5" t="s">
        <v>238</v>
      </c>
      <c r="DI82" s="5" t="s">
        <v>238</v>
      </c>
      <c r="DJ82" s="5" t="s">
        <v>238</v>
      </c>
      <c r="DN82" s="5" t="s">
        <v>238</v>
      </c>
      <c r="DO82" s="5" t="s">
        <v>238</v>
      </c>
      <c r="DP82" s="5" t="s">
        <v>238</v>
      </c>
      <c r="DQ82" s="5" t="s">
        <v>238</v>
      </c>
      <c r="DT82" s="5" t="s">
        <v>5169</v>
      </c>
      <c r="DU82" s="5" t="s">
        <v>967</v>
      </c>
      <c r="HM82" s="5" t="s">
        <v>264</v>
      </c>
    </row>
    <row r="83" spans="1:221" x14ac:dyDescent="0.4">
      <c r="A83" s="5">
        <v>793</v>
      </c>
      <c r="B83" s="5">
        <v>1</v>
      </c>
      <c r="C83" s="5">
        <v>1</v>
      </c>
      <c r="D83" s="5" t="s">
        <v>5179</v>
      </c>
      <c r="E83" s="5" t="s">
        <v>475</v>
      </c>
      <c r="F83" s="5" t="s">
        <v>248</v>
      </c>
      <c r="G83" s="5" t="s">
        <v>5178</v>
      </c>
      <c r="H83" s="6" t="s">
        <v>5181</v>
      </c>
      <c r="I83" s="7">
        <f>1329</f>
        <v>1329</v>
      </c>
      <c r="J83" s="5" t="s">
        <v>262</v>
      </c>
      <c r="K83" s="8">
        <f>207324</f>
        <v>207324</v>
      </c>
      <c r="L83" s="6" t="s">
        <v>5180</v>
      </c>
      <c r="M83" s="5" t="s">
        <v>267</v>
      </c>
      <c r="N83" s="5" t="s">
        <v>237</v>
      </c>
      <c r="O83" s="5" t="s">
        <v>238</v>
      </c>
      <c r="P83" s="5" t="s">
        <v>238</v>
      </c>
      <c r="Q83" s="5" t="s">
        <v>239</v>
      </c>
      <c r="R83" s="5" t="s">
        <v>270</v>
      </c>
      <c r="S83" s="5" t="s">
        <v>238</v>
      </c>
      <c r="V83" s="5" t="s">
        <v>238</v>
      </c>
      <c r="X83" s="6" t="s">
        <v>238</v>
      </c>
      <c r="AA83" s="6" t="s">
        <v>243</v>
      </c>
      <c r="AB83" s="5" t="s">
        <v>238</v>
      </c>
      <c r="AC83" s="5" t="s">
        <v>244</v>
      </c>
      <c r="AD83" s="5" t="s">
        <v>245</v>
      </c>
      <c r="AT83" s="5" t="s">
        <v>246</v>
      </c>
      <c r="AU83" s="5" t="s">
        <v>238</v>
      </c>
      <c r="AV83" s="5" t="s">
        <v>247</v>
      </c>
      <c r="AW83" s="5" t="s">
        <v>238</v>
      </c>
      <c r="AX83" s="5" t="s">
        <v>249</v>
      </c>
      <c r="AY83" s="5" t="s">
        <v>238</v>
      </c>
      <c r="BA83" s="5" t="s">
        <v>4547</v>
      </c>
      <c r="BC83" s="5" t="s">
        <v>250</v>
      </c>
      <c r="BD83" s="6" t="s">
        <v>243</v>
      </c>
      <c r="BE83" s="5" t="s">
        <v>251</v>
      </c>
      <c r="BF83" s="5" t="s">
        <v>252</v>
      </c>
      <c r="BG83" s="5" t="s">
        <v>238</v>
      </c>
      <c r="BH83" s="7">
        <f>0</f>
        <v>0</v>
      </c>
      <c r="BI83" s="8">
        <f>0</f>
        <v>0</v>
      </c>
      <c r="BJ83" s="5" t="s">
        <v>253</v>
      </c>
      <c r="BK83" s="5" t="s">
        <v>254</v>
      </c>
      <c r="BY83" s="5" t="s">
        <v>238</v>
      </c>
      <c r="BZ83" s="5" t="s">
        <v>238</v>
      </c>
      <c r="CD83" s="5" t="s">
        <v>293</v>
      </c>
      <c r="CE83" s="5" t="s">
        <v>256</v>
      </c>
      <c r="CF83" s="5" t="s">
        <v>238</v>
      </c>
      <c r="CI83" s="6" t="s">
        <v>257</v>
      </c>
      <c r="CJ83" s="5" t="s">
        <v>238</v>
      </c>
      <c r="CK83" s="5" t="s">
        <v>258</v>
      </c>
      <c r="CL83" s="5" t="s">
        <v>238</v>
      </c>
      <c r="CM83" s="5" t="s">
        <v>238</v>
      </c>
      <c r="CN83" s="5">
        <v>0</v>
      </c>
      <c r="CO83" s="5" t="s">
        <v>259</v>
      </c>
      <c r="CP83" s="5" t="s">
        <v>260</v>
      </c>
      <c r="CQ83" s="5" t="s">
        <v>260</v>
      </c>
      <c r="CR83" s="5" t="s">
        <v>261</v>
      </c>
      <c r="CU83" s="8">
        <f>207324</f>
        <v>207324</v>
      </c>
      <c r="CV83" s="8">
        <f>0</f>
        <v>0</v>
      </c>
      <c r="CX83" s="8">
        <f>0</f>
        <v>0</v>
      </c>
      <c r="CY83" s="8">
        <f>207324</f>
        <v>207324</v>
      </c>
      <c r="DA83" s="5" t="s">
        <v>2032</v>
      </c>
      <c r="DB83" s="5" t="s">
        <v>238</v>
      </c>
      <c r="DD83" s="5" t="s">
        <v>421</v>
      </c>
      <c r="DE83" s="8">
        <f>1329</f>
        <v>1329</v>
      </c>
      <c r="DG83" s="5" t="s">
        <v>389</v>
      </c>
      <c r="DH83" s="5" t="s">
        <v>238</v>
      </c>
      <c r="DI83" s="5" t="s">
        <v>238</v>
      </c>
      <c r="DJ83" s="5" t="s">
        <v>238</v>
      </c>
      <c r="DN83" s="5" t="s">
        <v>238</v>
      </c>
      <c r="DO83" s="5" t="s">
        <v>238</v>
      </c>
      <c r="DP83" s="5" t="s">
        <v>238</v>
      </c>
      <c r="DQ83" s="5" t="s">
        <v>238</v>
      </c>
      <c r="DT83" s="5" t="s">
        <v>5182</v>
      </c>
      <c r="DU83" s="5" t="s">
        <v>264</v>
      </c>
      <c r="HM83" s="5" t="s">
        <v>264</v>
      </c>
    </row>
    <row r="84" spans="1:221" x14ac:dyDescent="0.4">
      <c r="A84" s="5">
        <v>794</v>
      </c>
      <c r="B84" s="5">
        <v>1</v>
      </c>
      <c r="C84" s="5">
        <v>1</v>
      </c>
      <c r="D84" s="5" t="s">
        <v>5184</v>
      </c>
      <c r="E84" s="5" t="s">
        <v>475</v>
      </c>
      <c r="F84" s="5" t="s">
        <v>248</v>
      </c>
      <c r="G84" s="5" t="s">
        <v>5183</v>
      </c>
      <c r="H84" s="6" t="s">
        <v>5185</v>
      </c>
      <c r="I84" s="7">
        <f>221</f>
        <v>221</v>
      </c>
      <c r="J84" s="5" t="s">
        <v>262</v>
      </c>
      <c r="K84" s="8">
        <f>489515</f>
        <v>489515</v>
      </c>
      <c r="L84" s="6" t="s">
        <v>242</v>
      </c>
      <c r="M84" s="5" t="s">
        <v>267</v>
      </c>
      <c r="N84" s="5" t="s">
        <v>237</v>
      </c>
      <c r="O84" s="5" t="s">
        <v>238</v>
      </c>
      <c r="P84" s="5" t="s">
        <v>238</v>
      </c>
      <c r="Q84" s="5" t="s">
        <v>239</v>
      </c>
      <c r="R84" s="5" t="s">
        <v>270</v>
      </c>
      <c r="S84" s="5" t="s">
        <v>238</v>
      </c>
      <c r="V84" s="5" t="s">
        <v>238</v>
      </c>
      <c r="X84" s="6" t="s">
        <v>238</v>
      </c>
      <c r="AA84" s="6" t="s">
        <v>243</v>
      </c>
      <c r="AB84" s="5" t="s">
        <v>238</v>
      </c>
      <c r="AC84" s="5" t="s">
        <v>244</v>
      </c>
      <c r="AD84" s="5" t="s">
        <v>245</v>
      </c>
      <c r="AT84" s="5" t="s">
        <v>246</v>
      </c>
      <c r="AU84" s="5" t="s">
        <v>238</v>
      </c>
      <c r="AV84" s="5" t="s">
        <v>247</v>
      </c>
      <c r="AW84" s="5" t="s">
        <v>238</v>
      </c>
      <c r="AX84" s="5" t="s">
        <v>249</v>
      </c>
      <c r="AY84" s="5" t="s">
        <v>238</v>
      </c>
      <c r="BA84" s="5" t="s">
        <v>4547</v>
      </c>
      <c r="BC84" s="5" t="s">
        <v>250</v>
      </c>
      <c r="BD84" s="6" t="s">
        <v>243</v>
      </c>
      <c r="BE84" s="5" t="s">
        <v>251</v>
      </c>
      <c r="BF84" s="5" t="s">
        <v>252</v>
      </c>
      <c r="BG84" s="5" t="s">
        <v>238</v>
      </c>
      <c r="BH84" s="7">
        <f>0</f>
        <v>0</v>
      </c>
      <c r="BI84" s="8">
        <f>0</f>
        <v>0</v>
      </c>
      <c r="BJ84" s="5" t="s">
        <v>253</v>
      </c>
      <c r="BK84" s="5" t="s">
        <v>254</v>
      </c>
      <c r="BY84" s="5" t="s">
        <v>238</v>
      </c>
      <c r="BZ84" s="5" t="s">
        <v>238</v>
      </c>
      <c r="CD84" s="5" t="s">
        <v>255</v>
      </c>
      <c r="CE84" s="5" t="s">
        <v>256</v>
      </c>
      <c r="CF84" s="5" t="s">
        <v>238</v>
      </c>
      <c r="CI84" s="6" t="s">
        <v>257</v>
      </c>
      <c r="CJ84" s="5" t="s">
        <v>238</v>
      </c>
      <c r="CK84" s="5" t="s">
        <v>258</v>
      </c>
      <c r="CL84" s="5" t="s">
        <v>238</v>
      </c>
      <c r="CM84" s="5" t="s">
        <v>238</v>
      </c>
      <c r="CN84" s="5">
        <v>0</v>
      </c>
      <c r="CO84" s="5" t="s">
        <v>259</v>
      </c>
      <c r="CP84" s="5" t="s">
        <v>260</v>
      </c>
      <c r="CQ84" s="5" t="s">
        <v>260</v>
      </c>
      <c r="CR84" s="5" t="s">
        <v>261</v>
      </c>
      <c r="CU84" s="8">
        <f>489515</f>
        <v>489515</v>
      </c>
      <c r="CV84" s="8">
        <f>0</f>
        <v>0</v>
      </c>
      <c r="CX84" s="8">
        <f>0</f>
        <v>0</v>
      </c>
      <c r="CY84" s="8">
        <f>489515</f>
        <v>489515</v>
      </c>
      <c r="DA84" s="5" t="s">
        <v>356</v>
      </c>
      <c r="DB84" s="5" t="s">
        <v>238</v>
      </c>
      <c r="DD84" s="5" t="s">
        <v>356</v>
      </c>
      <c r="DE84" s="8">
        <f>0</f>
        <v>0</v>
      </c>
      <c r="DG84" s="5" t="s">
        <v>389</v>
      </c>
      <c r="DH84" s="5" t="s">
        <v>238</v>
      </c>
      <c r="DI84" s="5" t="s">
        <v>238</v>
      </c>
      <c r="DJ84" s="5" t="s">
        <v>238</v>
      </c>
      <c r="DN84" s="5" t="s">
        <v>238</v>
      </c>
      <c r="DO84" s="5" t="s">
        <v>238</v>
      </c>
      <c r="DP84" s="5" t="s">
        <v>238</v>
      </c>
      <c r="DQ84" s="5" t="s">
        <v>238</v>
      </c>
      <c r="DT84" s="5" t="s">
        <v>5186</v>
      </c>
      <c r="DU84" s="5" t="s">
        <v>264</v>
      </c>
      <c r="HM84" s="5" t="s">
        <v>264</v>
      </c>
    </row>
    <row r="85" spans="1:221" x14ac:dyDescent="0.4">
      <c r="A85" s="5">
        <v>795</v>
      </c>
      <c r="B85" s="5">
        <v>1</v>
      </c>
      <c r="C85" s="5">
        <v>1</v>
      </c>
      <c r="D85" s="5" t="s">
        <v>5184</v>
      </c>
      <c r="E85" s="5" t="s">
        <v>475</v>
      </c>
      <c r="F85" s="5" t="s">
        <v>248</v>
      </c>
      <c r="G85" s="5" t="s">
        <v>5183</v>
      </c>
      <c r="H85" s="6" t="s">
        <v>5190</v>
      </c>
      <c r="I85" s="7">
        <f>173</f>
        <v>173</v>
      </c>
      <c r="J85" s="5" t="s">
        <v>262</v>
      </c>
      <c r="K85" s="8">
        <f>383195</f>
        <v>383195</v>
      </c>
      <c r="L85" s="6" t="s">
        <v>242</v>
      </c>
      <c r="M85" s="5" t="s">
        <v>267</v>
      </c>
      <c r="N85" s="5" t="s">
        <v>237</v>
      </c>
      <c r="O85" s="5" t="s">
        <v>238</v>
      </c>
      <c r="P85" s="5" t="s">
        <v>238</v>
      </c>
      <c r="Q85" s="5" t="s">
        <v>239</v>
      </c>
      <c r="R85" s="5" t="s">
        <v>270</v>
      </c>
      <c r="S85" s="5" t="s">
        <v>238</v>
      </c>
      <c r="V85" s="5" t="s">
        <v>238</v>
      </c>
      <c r="X85" s="6" t="s">
        <v>238</v>
      </c>
      <c r="AA85" s="6" t="s">
        <v>243</v>
      </c>
      <c r="AB85" s="5" t="s">
        <v>238</v>
      </c>
      <c r="AC85" s="5" t="s">
        <v>244</v>
      </c>
      <c r="AD85" s="5" t="s">
        <v>245</v>
      </c>
      <c r="AT85" s="5" t="s">
        <v>246</v>
      </c>
      <c r="AU85" s="5" t="s">
        <v>238</v>
      </c>
      <c r="AV85" s="5" t="s">
        <v>247</v>
      </c>
      <c r="AW85" s="5" t="s">
        <v>238</v>
      </c>
      <c r="AX85" s="5" t="s">
        <v>249</v>
      </c>
      <c r="AY85" s="5" t="s">
        <v>238</v>
      </c>
      <c r="BA85" s="5" t="s">
        <v>238</v>
      </c>
      <c r="BC85" s="5" t="s">
        <v>1433</v>
      </c>
      <c r="BD85" s="6" t="s">
        <v>1434</v>
      </c>
      <c r="BE85" s="5" t="s">
        <v>251</v>
      </c>
      <c r="BF85" s="5" t="s">
        <v>252</v>
      </c>
      <c r="BG85" s="5" t="s">
        <v>238</v>
      </c>
      <c r="BH85" s="7">
        <f>0</f>
        <v>0</v>
      </c>
      <c r="BI85" s="8">
        <f>0</f>
        <v>0</v>
      </c>
      <c r="BJ85" s="5" t="s">
        <v>253</v>
      </c>
      <c r="BK85" s="5" t="s">
        <v>254</v>
      </c>
      <c r="BY85" s="5" t="s">
        <v>238</v>
      </c>
      <c r="BZ85" s="5" t="s">
        <v>238</v>
      </c>
      <c r="CD85" s="5" t="s">
        <v>255</v>
      </c>
      <c r="CE85" s="5" t="s">
        <v>256</v>
      </c>
      <c r="CF85" s="5" t="s">
        <v>238</v>
      </c>
      <c r="CI85" s="6" t="s">
        <v>257</v>
      </c>
      <c r="CJ85" s="5" t="s">
        <v>238</v>
      </c>
      <c r="CK85" s="5" t="s">
        <v>258</v>
      </c>
      <c r="CL85" s="5" t="s">
        <v>238</v>
      </c>
      <c r="CM85" s="5" t="s">
        <v>238</v>
      </c>
      <c r="CN85" s="5">
        <v>0</v>
      </c>
      <c r="CO85" s="5" t="s">
        <v>259</v>
      </c>
      <c r="CP85" s="5" t="s">
        <v>260</v>
      </c>
      <c r="CQ85" s="5" t="s">
        <v>260</v>
      </c>
      <c r="CR85" s="5" t="s">
        <v>261</v>
      </c>
      <c r="CU85" s="8">
        <f>383195</f>
        <v>383195</v>
      </c>
      <c r="CV85" s="8">
        <f>0</f>
        <v>0</v>
      </c>
      <c r="CX85" s="8">
        <f>0</f>
        <v>0</v>
      </c>
      <c r="CY85" s="8">
        <f>383195</f>
        <v>383195</v>
      </c>
      <c r="DA85" s="5" t="s">
        <v>356</v>
      </c>
      <c r="DB85" s="5" t="s">
        <v>238</v>
      </c>
      <c r="DD85" s="5" t="s">
        <v>356</v>
      </c>
      <c r="DE85" s="8">
        <f>0</f>
        <v>0</v>
      </c>
      <c r="DG85" s="5" t="s">
        <v>389</v>
      </c>
      <c r="DH85" s="5" t="s">
        <v>238</v>
      </c>
      <c r="DI85" s="5" t="s">
        <v>238</v>
      </c>
      <c r="DJ85" s="5" t="s">
        <v>238</v>
      </c>
      <c r="DN85" s="5" t="s">
        <v>238</v>
      </c>
      <c r="DO85" s="5" t="s">
        <v>238</v>
      </c>
      <c r="DP85" s="5" t="s">
        <v>238</v>
      </c>
      <c r="DQ85" s="5" t="s">
        <v>238</v>
      </c>
      <c r="DT85" s="5" t="s">
        <v>5186</v>
      </c>
      <c r="DU85" s="5" t="s">
        <v>294</v>
      </c>
      <c r="HM85" s="5" t="s">
        <v>264</v>
      </c>
    </row>
    <row r="86" spans="1:221" x14ac:dyDescent="0.4">
      <c r="A86" s="5">
        <v>796</v>
      </c>
      <c r="B86" s="5">
        <v>1</v>
      </c>
      <c r="C86" s="5">
        <v>1</v>
      </c>
      <c r="D86" s="5" t="s">
        <v>5184</v>
      </c>
      <c r="E86" s="5" t="s">
        <v>475</v>
      </c>
      <c r="F86" s="5" t="s">
        <v>248</v>
      </c>
      <c r="G86" s="5" t="s">
        <v>5183</v>
      </c>
      <c r="H86" s="6" t="s">
        <v>5189</v>
      </c>
      <c r="I86" s="7">
        <f>845</f>
        <v>845</v>
      </c>
      <c r="J86" s="5" t="s">
        <v>262</v>
      </c>
      <c r="K86" s="8">
        <f>1871675</f>
        <v>1871675</v>
      </c>
      <c r="L86" s="6" t="s">
        <v>242</v>
      </c>
      <c r="M86" s="5" t="s">
        <v>267</v>
      </c>
      <c r="N86" s="5" t="s">
        <v>237</v>
      </c>
      <c r="O86" s="5" t="s">
        <v>238</v>
      </c>
      <c r="P86" s="5" t="s">
        <v>238</v>
      </c>
      <c r="Q86" s="5" t="s">
        <v>239</v>
      </c>
      <c r="R86" s="5" t="s">
        <v>270</v>
      </c>
      <c r="S86" s="5" t="s">
        <v>238</v>
      </c>
      <c r="V86" s="5" t="s">
        <v>238</v>
      </c>
      <c r="X86" s="6" t="s">
        <v>238</v>
      </c>
      <c r="AA86" s="6" t="s">
        <v>243</v>
      </c>
      <c r="AB86" s="5" t="s">
        <v>238</v>
      </c>
      <c r="AC86" s="5" t="s">
        <v>244</v>
      </c>
      <c r="AD86" s="5" t="s">
        <v>245</v>
      </c>
      <c r="AT86" s="5" t="s">
        <v>246</v>
      </c>
      <c r="AU86" s="5" t="s">
        <v>238</v>
      </c>
      <c r="AV86" s="5" t="s">
        <v>247</v>
      </c>
      <c r="AW86" s="5" t="s">
        <v>238</v>
      </c>
      <c r="AX86" s="5" t="s">
        <v>249</v>
      </c>
      <c r="AY86" s="5" t="s">
        <v>238</v>
      </c>
      <c r="BA86" s="5" t="s">
        <v>238</v>
      </c>
      <c r="BC86" s="5" t="s">
        <v>250</v>
      </c>
      <c r="BD86" s="6" t="s">
        <v>243</v>
      </c>
      <c r="BE86" s="5" t="s">
        <v>251</v>
      </c>
      <c r="BF86" s="5" t="s">
        <v>252</v>
      </c>
      <c r="BG86" s="5" t="s">
        <v>238</v>
      </c>
      <c r="BH86" s="7">
        <f>0</f>
        <v>0</v>
      </c>
      <c r="BI86" s="8">
        <f>0</f>
        <v>0</v>
      </c>
      <c r="BJ86" s="5" t="s">
        <v>253</v>
      </c>
      <c r="BK86" s="5" t="s">
        <v>254</v>
      </c>
      <c r="BY86" s="5" t="s">
        <v>238</v>
      </c>
      <c r="BZ86" s="5" t="s">
        <v>238</v>
      </c>
      <c r="CD86" s="5" t="s">
        <v>255</v>
      </c>
      <c r="CE86" s="5" t="s">
        <v>256</v>
      </c>
      <c r="CF86" s="5" t="s">
        <v>238</v>
      </c>
      <c r="CI86" s="6" t="s">
        <v>257</v>
      </c>
      <c r="CJ86" s="5" t="s">
        <v>238</v>
      </c>
      <c r="CK86" s="5" t="s">
        <v>258</v>
      </c>
      <c r="CL86" s="5" t="s">
        <v>238</v>
      </c>
      <c r="CM86" s="5" t="s">
        <v>238</v>
      </c>
      <c r="CN86" s="5">
        <v>0</v>
      </c>
      <c r="CO86" s="5" t="s">
        <v>259</v>
      </c>
      <c r="CP86" s="5" t="s">
        <v>260</v>
      </c>
      <c r="CQ86" s="5" t="s">
        <v>260</v>
      </c>
      <c r="CR86" s="5" t="s">
        <v>261</v>
      </c>
      <c r="CU86" s="8">
        <f>1871675</f>
        <v>1871675</v>
      </c>
      <c r="CV86" s="8">
        <f>0</f>
        <v>0</v>
      </c>
      <c r="CX86" s="8">
        <f>0</f>
        <v>0</v>
      </c>
      <c r="CY86" s="8">
        <f>1871675</f>
        <v>1871675</v>
      </c>
      <c r="DA86" s="5" t="s">
        <v>356</v>
      </c>
      <c r="DB86" s="5" t="s">
        <v>238</v>
      </c>
      <c r="DD86" s="5" t="s">
        <v>356</v>
      </c>
      <c r="DE86" s="8">
        <f>0</f>
        <v>0</v>
      </c>
      <c r="DG86" s="5" t="s">
        <v>389</v>
      </c>
      <c r="DH86" s="5" t="s">
        <v>238</v>
      </c>
      <c r="DI86" s="5" t="s">
        <v>238</v>
      </c>
      <c r="DJ86" s="5" t="s">
        <v>238</v>
      </c>
      <c r="DN86" s="5" t="s">
        <v>238</v>
      </c>
      <c r="DO86" s="5" t="s">
        <v>238</v>
      </c>
      <c r="DP86" s="5" t="s">
        <v>238</v>
      </c>
      <c r="DQ86" s="5" t="s">
        <v>238</v>
      </c>
      <c r="DT86" s="5" t="s">
        <v>5186</v>
      </c>
      <c r="DU86" s="5" t="s">
        <v>806</v>
      </c>
      <c r="HM86" s="5" t="s">
        <v>264</v>
      </c>
    </row>
    <row r="87" spans="1:221" x14ac:dyDescent="0.4">
      <c r="A87" s="5">
        <v>797</v>
      </c>
      <c r="B87" s="5">
        <v>1</v>
      </c>
      <c r="C87" s="5">
        <v>1</v>
      </c>
      <c r="D87" s="5" t="s">
        <v>5184</v>
      </c>
      <c r="E87" s="5" t="s">
        <v>475</v>
      </c>
      <c r="F87" s="5" t="s">
        <v>248</v>
      </c>
      <c r="G87" s="5" t="s">
        <v>5183</v>
      </c>
      <c r="H87" s="6" t="s">
        <v>5193</v>
      </c>
      <c r="I87" s="7">
        <f>411</f>
        <v>411</v>
      </c>
      <c r="J87" s="5" t="s">
        <v>262</v>
      </c>
      <c r="K87" s="8">
        <f>910365</f>
        <v>910365</v>
      </c>
      <c r="L87" s="6" t="s">
        <v>242</v>
      </c>
      <c r="M87" s="5" t="s">
        <v>267</v>
      </c>
      <c r="N87" s="5" t="s">
        <v>237</v>
      </c>
      <c r="O87" s="5" t="s">
        <v>238</v>
      </c>
      <c r="P87" s="5" t="s">
        <v>238</v>
      </c>
      <c r="Q87" s="5" t="s">
        <v>239</v>
      </c>
      <c r="R87" s="5" t="s">
        <v>270</v>
      </c>
      <c r="S87" s="5" t="s">
        <v>238</v>
      </c>
      <c r="V87" s="5" t="s">
        <v>238</v>
      </c>
      <c r="X87" s="6" t="s">
        <v>238</v>
      </c>
      <c r="AA87" s="6" t="s">
        <v>243</v>
      </c>
      <c r="AB87" s="5" t="s">
        <v>238</v>
      </c>
      <c r="AC87" s="5" t="s">
        <v>244</v>
      </c>
      <c r="AD87" s="5" t="s">
        <v>245</v>
      </c>
      <c r="AT87" s="5" t="s">
        <v>246</v>
      </c>
      <c r="AU87" s="5" t="s">
        <v>238</v>
      </c>
      <c r="AV87" s="5" t="s">
        <v>247</v>
      </c>
      <c r="AW87" s="5" t="s">
        <v>238</v>
      </c>
      <c r="AX87" s="5" t="s">
        <v>249</v>
      </c>
      <c r="AY87" s="5" t="s">
        <v>238</v>
      </c>
      <c r="BA87" s="5" t="s">
        <v>238</v>
      </c>
      <c r="BC87" s="5" t="s">
        <v>1433</v>
      </c>
      <c r="BD87" s="6" t="s">
        <v>1434</v>
      </c>
      <c r="BE87" s="5" t="s">
        <v>251</v>
      </c>
      <c r="BF87" s="5" t="s">
        <v>252</v>
      </c>
      <c r="BG87" s="5" t="s">
        <v>238</v>
      </c>
      <c r="BH87" s="7">
        <f>0</f>
        <v>0</v>
      </c>
      <c r="BI87" s="8">
        <f>0</f>
        <v>0</v>
      </c>
      <c r="BJ87" s="5" t="s">
        <v>253</v>
      </c>
      <c r="BK87" s="5" t="s">
        <v>254</v>
      </c>
      <c r="BY87" s="5" t="s">
        <v>238</v>
      </c>
      <c r="BZ87" s="5" t="s">
        <v>238</v>
      </c>
      <c r="CD87" s="5" t="s">
        <v>255</v>
      </c>
      <c r="CE87" s="5" t="s">
        <v>256</v>
      </c>
      <c r="CF87" s="5" t="s">
        <v>238</v>
      </c>
      <c r="CI87" s="6" t="s">
        <v>257</v>
      </c>
      <c r="CJ87" s="5" t="s">
        <v>238</v>
      </c>
      <c r="CK87" s="5" t="s">
        <v>258</v>
      </c>
      <c r="CL87" s="5" t="s">
        <v>238</v>
      </c>
      <c r="CM87" s="5" t="s">
        <v>238</v>
      </c>
      <c r="CN87" s="5">
        <v>0</v>
      </c>
      <c r="CO87" s="5" t="s">
        <v>259</v>
      </c>
      <c r="CP87" s="5" t="s">
        <v>260</v>
      </c>
      <c r="CQ87" s="5" t="s">
        <v>260</v>
      </c>
      <c r="CR87" s="5" t="s">
        <v>261</v>
      </c>
      <c r="CU87" s="8">
        <f>910365</f>
        <v>910365</v>
      </c>
      <c r="CV87" s="8">
        <f>0</f>
        <v>0</v>
      </c>
      <c r="CX87" s="8">
        <f>0</f>
        <v>0</v>
      </c>
      <c r="CY87" s="8">
        <f>910365</f>
        <v>910365</v>
      </c>
      <c r="DA87" s="5" t="s">
        <v>356</v>
      </c>
      <c r="DB87" s="5" t="s">
        <v>238</v>
      </c>
      <c r="DD87" s="5" t="s">
        <v>356</v>
      </c>
      <c r="DE87" s="8">
        <f>0</f>
        <v>0</v>
      </c>
      <c r="DG87" s="5" t="s">
        <v>389</v>
      </c>
      <c r="DH87" s="5" t="s">
        <v>238</v>
      </c>
      <c r="DI87" s="5" t="s">
        <v>238</v>
      </c>
      <c r="DJ87" s="5" t="s">
        <v>238</v>
      </c>
      <c r="DN87" s="5" t="s">
        <v>238</v>
      </c>
      <c r="DO87" s="5" t="s">
        <v>238</v>
      </c>
      <c r="DP87" s="5" t="s">
        <v>238</v>
      </c>
      <c r="DQ87" s="5" t="s">
        <v>238</v>
      </c>
      <c r="DT87" s="5" t="s">
        <v>5186</v>
      </c>
      <c r="DU87" s="5" t="s">
        <v>854</v>
      </c>
      <c r="HM87" s="5" t="s">
        <v>264</v>
      </c>
    </row>
    <row r="88" spans="1:221" x14ac:dyDescent="0.4">
      <c r="A88" s="5">
        <v>799</v>
      </c>
      <c r="B88" s="5">
        <v>1</v>
      </c>
      <c r="C88" s="5">
        <v>1</v>
      </c>
      <c r="D88" s="5" t="s">
        <v>5195</v>
      </c>
      <c r="E88" s="5" t="s">
        <v>475</v>
      </c>
      <c r="F88" s="5" t="s">
        <v>248</v>
      </c>
      <c r="G88" s="5" t="s">
        <v>5194</v>
      </c>
      <c r="H88" s="6" t="s">
        <v>5196</v>
      </c>
      <c r="I88" s="7">
        <f>758</f>
        <v>758</v>
      </c>
      <c r="J88" s="5" t="s">
        <v>262</v>
      </c>
      <c r="K88" s="8">
        <f>1678970</f>
        <v>1678970</v>
      </c>
      <c r="L88" s="6" t="s">
        <v>242</v>
      </c>
      <c r="M88" s="5" t="s">
        <v>267</v>
      </c>
      <c r="N88" s="5" t="s">
        <v>237</v>
      </c>
      <c r="O88" s="5" t="s">
        <v>238</v>
      </c>
      <c r="P88" s="5" t="s">
        <v>238</v>
      </c>
      <c r="Q88" s="5" t="s">
        <v>239</v>
      </c>
      <c r="R88" s="5" t="s">
        <v>270</v>
      </c>
      <c r="S88" s="5" t="s">
        <v>238</v>
      </c>
      <c r="V88" s="5" t="s">
        <v>238</v>
      </c>
      <c r="X88" s="6" t="s">
        <v>238</v>
      </c>
      <c r="AA88" s="6" t="s">
        <v>243</v>
      </c>
      <c r="AB88" s="5" t="s">
        <v>5198</v>
      </c>
      <c r="AC88" s="5" t="s">
        <v>244</v>
      </c>
      <c r="AD88" s="5" t="s">
        <v>245</v>
      </c>
      <c r="AT88" s="5" t="s">
        <v>246</v>
      </c>
      <c r="AU88" s="5" t="s">
        <v>238</v>
      </c>
      <c r="AV88" s="5" t="s">
        <v>247</v>
      </c>
      <c r="AW88" s="5" t="s">
        <v>238</v>
      </c>
      <c r="AX88" s="5" t="s">
        <v>249</v>
      </c>
      <c r="AY88" s="5" t="s">
        <v>238</v>
      </c>
      <c r="BA88" s="5" t="s">
        <v>238</v>
      </c>
      <c r="BC88" s="5" t="s">
        <v>1433</v>
      </c>
      <c r="BD88" s="6" t="s">
        <v>1434</v>
      </c>
      <c r="BE88" s="5" t="s">
        <v>251</v>
      </c>
      <c r="BF88" s="5" t="s">
        <v>3882</v>
      </c>
      <c r="BG88" s="5" t="s">
        <v>238</v>
      </c>
      <c r="BH88" s="7">
        <f>0</f>
        <v>0</v>
      </c>
      <c r="BI88" s="8">
        <f>0</f>
        <v>0</v>
      </c>
      <c r="BJ88" s="5" t="s">
        <v>253</v>
      </c>
      <c r="BK88" s="5" t="s">
        <v>254</v>
      </c>
      <c r="BY88" s="5" t="s">
        <v>238</v>
      </c>
      <c r="BZ88" s="5" t="s">
        <v>238</v>
      </c>
      <c r="CD88" s="5" t="s">
        <v>255</v>
      </c>
      <c r="CE88" s="5" t="s">
        <v>256</v>
      </c>
      <c r="CF88" s="5" t="s">
        <v>238</v>
      </c>
      <c r="CI88" s="6" t="s">
        <v>257</v>
      </c>
      <c r="CJ88" s="5" t="s">
        <v>238</v>
      </c>
      <c r="CK88" s="5" t="s">
        <v>258</v>
      </c>
      <c r="CL88" s="5" t="s">
        <v>238</v>
      </c>
      <c r="CM88" s="5" t="s">
        <v>238</v>
      </c>
      <c r="CN88" s="5">
        <v>0</v>
      </c>
      <c r="CO88" s="5" t="s">
        <v>259</v>
      </c>
      <c r="CP88" s="5" t="s">
        <v>260</v>
      </c>
      <c r="CQ88" s="5" t="s">
        <v>260</v>
      </c>
      <c r="CR88" s="5" t="s">
        <v>261</v>
      </c>
      <c r="CU88" s="8">
        <f>1678970</f>
        <v>1678970</v>
      </c>
      <c r="CV88" s="8">
        <f>0</f>
        <v>0</v>
      </c>
      <c r="CX88" s="8">
        <f>0</f>
        <v>0</v>
      </c>
      <c r="CY88" s="8">
        <f>1678970</f>
        <v>1678970</v>
      </c>
      <c r="DA88" s="5" t="s">
        <v>2032</v>
      </c>
      <c r="DB88" s="5" t="s">
        <v>238</v>
      </c>
      <c r="DD88" s="5" t="s">
        <v>356</v>
      </c>
      <c r="DE88" s="8">
        <f>0</f>
        <v>0</v>
      </c>
      <c r="DG88" s="5" t="s">
        <v>389</v>
      </c>
      <c r="DH88" s="5" t="s">
        <v>238</v>
      </c>
      <c r="DI88" s="5" t="s">
        <v>238</v>
      </c>
      <c r="DJ88" s="5" t="s">
        <v>238</v>
      </c>
      <c r="DN88" s="5" t="s">
        <v>238</v>
      </c>
      <c r="DO88" s="5" t="s">
        <v>238</v>
      </c>
      <c r="DP88" s="5" t="s">
        <v>238</v>
      </c>
      <c r="DQ88" s="5" t="s">
        <v>238</v>
      </c>
      <c r="DT88" s="5" t="s">
        <v>5199</v>
      </c>
      <c r="DU88" s="5" t="s">
        <v>294</v>
      </c>
      <c r="HM88" s="5" t="s">
        <v>294</v>
      </c>
    </row>
    <row r="89" spans="1:221" x14ac:dyDescent="0.4">
      <c r="A89" s="5">
        <v>800</v>
      </c>
      <c r="B89" s="5">
        <v>1</v>
      </c>
      <c r="C89" s="5">
        <v>1</v>
      </c>
      <c r="D89" s="5" t="s">
        <v>5195</v>
      </c>
      <c r="E89" s="5" t="s">
        <v>475</v>
      </c>
      <c r="F89" s="5" t="s">
        <v>248</v>
      </c>
      <c r="G89" s="5" t="s">
        <v>5194</v>
      </c>
      <c r="H89" s="6" t="s">
        <v>5201</v>
      </c>
      <c r="I89" s="7">
        <f>120</f>
        <v>120</v>
      </c>
      <c r="J89" s="5" t="s">
        <v>262</v>
      </c>
      <c r="K89" s="8">
        <f>265800</f>
        <v>265800</v>
      </c>
      <c r="L89" s="6" t="s">
        <v>242</v>
      </c>
      <c r="M89" s="5" t="s">
        <v>267</v>
      </c>
      <c r="N89" s="5" t="s">
        <v>237</v>
      </c>
      <c r="O89" s="5" t="s">
        <v>238</v>
      </c>
      <c r="P89" s="5" t="s">
        <v>238</v>
      </c>
      <c r="Q89" s="5" t="s">
        <v>239</v>
      </c>
      <c r="R89" s="5" t="s">
        <v>270</v>
      </c>
      <c r="S89" s="5" t="s">
        <v>238</v>
      </c>
      <c r="V89" s="5" t="s">
        <v>238</v>
      </c>
      <c r="X89" s="6" t="s">
        <v>238</v>
      </c>
      <c r="AA89" s="6" t="s">
        <v>243</v>
      </c>
      <c r="AB89" s="5" t="s">
        <v>5200</v>
      </c>
      <c r="AC89" s="5" t="s">
        <v>244</v>
      </c>
      <c r="AD89" s="5" t="s">
        <v>245</v>
      </c>
      <c r="AT89" s="5" t="s">
        <v>246</v>
      </c>
      <c r="AU89" s="5" t="s">
        <v>238</v>
      </c>
      <c r="AV89" s="5" t="s">
        <v>247</v>
      </c>
      <c r="AW89" s="5" t="s">
        <v>238</v>
      </c>
      <c r="AX89" s="5" t="s">
        <v>249</v>
      </c>
      <c r="AY89" s="5" t="s">
        <v>238</v>
      </c>
      <c r="BA89" s="5" t="s">
        <v>238</v>
      </c>
      <c r="BC89" s="5" t="s">
        <v>250</v>
      </c>
      <c r="BD89" s="6" t="s">
        <v>243</v>
      </c>
      <c r="BE89" s="5" t="s">
        <v>251</v>
      </c>
      <c r="BF89" s="5" t="s">
        <v>3882</v>
      </c>
      <c r="BG89" s="5" t="s">
        <v>238</v>
      </c>
      <c r="BH89" s="7">
        <f>0</f>
        <v>0</v>
      </c>
      <c r="BI89" s="8">
        <f>0</f>
        <v>0</v>
      </c>
      <c r="BJ89" s="5" t="s">
        <v>253</v>
      </c>
      <c r="BK89" s="5" t="s">
        <v>254</v>
      </c>
      <c r="BY89" s="5" t="s">
        <v>238</v>
      </c>
      <c r="BZ89" s="5" t="s">
        <v>238</v>
      </c>
      <c r="CD89" s="5" t="s">
        <v>255</v>
      </c>
      <c r="CE89" s="5" t="s">
        <v>256</v>
      </c>
      <c r="CF89" s="5" t="s">
        <v>238</v>
      </c>
      <c r="CI89" s="6" t="s">
        <v>257</v>
      </c>
      <c r="CJ89" s="5" t="s">
        <v>238</v>
      </c>
      <c r="CK89" s="5" t="s">
        <v>258</v>
      </c>
      <c r="CL89" s="5" t="s">
        <v>238</v>
      </c>
      <c r="CM89" s="5" t="s">
        <v>238</v>
      </c>
      <c r="CN89" s="5">
        <v>0</v>
      </c>
      <c r="CO89" s="5" t="s">
        <v>259</v>
      </c>
      <c r="CP89" s="5" t="s">
        <v>260</v>
      </c>
      <c r="CQ89" s="5" t="s">
        <v>260</v>
      </c>
      <c r="CR89" s="5" t="s">
        <v>261</v>
      </c>
      <c r="CU89" s="8">
        <f>265800</f>
        <v>265800</v>
      </c>
      <c r="CV89" s="8">
        <f>0</f>
        <v>0</v>
      </c>
      <c r="CX89" s="8">
        <f>0</f>
        <v>0</v>
      </c>
      <c r="CY89" s="8">
        <f>265800</f>
        <v>265800</v>
      </c>
      <c r="DA89" s="5" t="s">
        <v>2032</v>
      </c>
      <c r="DB89" s="5" t="s">
        <v>238</v>
      </c>
      <c r="DD89" s="5" t="s">
        <v>356</v>
      </c>
      <c r="DE89" s="8">
        <f>0</f>
        <v>0</v>
      </c>
      <c r="DG89" s="5" t="s">
        <v>389</v>
      </c>
      <c r="DH89" s="5" t="s">
        <v>238</v>
      </c>
      <c r="DI89" s="5" t="s">
        <v>238</v>
      </c>
      <c r="DJ89" s="5" t="s">
        <v>238</v>
      </c>
      <c r="DN89" s="5" t="s">
        <v>238</v>
      </c>
      <c r="DO89" s="5" t="s">
        <v>238</v>
      </c>
      <c r="DP89" s="5" t="s">
        <v>238</v>
      </c>
      <c r="DQ89" s="5" t="s">
        <v>238</v>
      </c>
      <c r="DT89" s="5" t="s">
        <v>5199</v>
      </c>
      <c r="DU89" s="5" t="s">
        <v>806</v>
      </c>
      <c r="HM89" s="5" t="s">
        <v>294</v>
      </c>
    </row>
    <row r="90" spans="1:221" x14ac:dyDescent="0.4">
      <c r="A90" s="5">
        <v>801</v>
      </c>
      <c r="B90" s="5">
        <v>1</v>
      </c>
      <c r="C90" s="5">
        <v>1</v>
      </c>
      <c r="D90" s="5" t="s">
        <v>5195</v>
      </c>
      <c r="E90" s="5" t="s">
        <v>475</v>
      </c>
      <c r="F90" s="5" t="s">
        <v>248</v>
      </c>
      <c r="G90" s="5" t="s">
        <v>5194</v>
      </c>
      <c r="H90" s="6" t="s">
        <v>5208</v>
      </c>
      <c r="I90" s="7">
        <f>412</f>
        <v>412</v>
      </c>
      <c r="J90" s="5" t="s">
        <v>262</v>
      </c>
      <c r="K90" s="8">
        <f>912580</f>
        <v>912580</v>
      </c>
      <c r="L90" s="6" t="s">
        <v>242</v>
      </c>
      <c r="M90" s="5" t="s">
        <v>267</v>
      </c>
      <c r="N90" s="5" t="s">
        <v>237</v>
      </c>
      <c r="O90" s="5" t="s">
        <v>238</v>
      </c>
      <c r="P90" s="5" t="s">
        <v>238</v>
      </c>
      <c r="Q90" s="5" t="s">
        <v>239</v>
      </c>
      <c r="R90" s="5" t="s">
        <v>270</v>
      </c>
      <c r="S90" s="5" t="s">
        <v>238</v>
      </c>
      <c r="V90" s="5" t="s">
        <v>238</v>
      </c>
      <c r="X90" s="6" t="s">
        <v>238</v>
      </c>
      <c r="AA90" s="6" t="s">
        <v>243</v>
      </c>
      <c r="AB90" s="5" t="s">
        <v>238</v>
      </c>
      <c r="AC90" s="5" t="s">
        <v>244</v>
      </c>
      <c r="AD90" s="5" t="s">
        <v>245</v>
      </c>
      <c r="AT90" s="5" t="s">
        <v>246</v>
      </c>
      <c r="AU90" s="5" t="s">
        <v>238</v>
      </c>
      <c r="AV90" s="5" t="s">
        <v>247</v>
      </c>
      <c r="AW90" s="5" t="s">
        <v>238</v>
      </c>
      <c r="AX90" s="5" t="s">
        <v>249</v>
      </c>
      <c r="AY90" s="5" t="s">
        <v>238</v>
      </c>
      <c r="BA90" s="5" t="s">
        <v>238</v>
      </c>
      <c r="BC90" s="5" t="s">
        <v>250</v>
      </c>
      <c r="BD90" s="6" t="s">
        <v>243</v>
      </c>
      <c r="BE90" s="5" t="s">
        <v>251</v>
      </c>
      <c r="BF90" s="5" t="s">
        <v>252</v>
      </c>
      <c r="BG90" s="5" t="s">
        <v>238</v>
      </c>
      <c r="BH90" s="7">
        <f>0</f>
        <v>0</v>
      </c>
      <c r="BI90" s="8">
        <f>0</f>
        <v>0</v>
      </c>
      <c r="BJ90" s="5" t="s">
        <v>253</v>
      </c>
      <c r="BK90" s="5" t="s">
        <v>254</v>
      </c>
      <c r="BY90" s="5" t="s">
        <v>238</v>
      </c>
      <c r="BZ90" s="5" t="s">
        <v>238</v>
      </c>
      <c r="CD90" s="5" t="s">
        <v>255</v>
      </c>
      <c r="CE90" s="5" t="s">
        <v>256</v>
      </c>
      <c r="CF90" s="5" t="s">
        <v>238</v>
      </c>
      <c r="CI90" s="6" t="s">
        <v>257</v>
      </c>
      <c r="CJ90" s="5" t="s">
        <v>238</v>
      </c>
      <c r="CK90" s="5" t="s">
        <v>258</v>
      </c>
      <c r="CL90" s="5" t="s">
        <v>238</v>
      </c>
      <c r="CM90" s="5" t="s">
        <v>238</v>
      </c>
      <c r="CN90" s="5">
        <v>0</v>
      </c>
      <c r="CO90" s="5" t="s">
        <v>259</v>
      </c>
      <c r="CP90" s="5" t="s">
        <v>260</v>
      </c>
      <c r="CQ90" s="5" t="s">
        <v>260</v>
      </c>
      <c r="CR90" s="5" t="s">
        <v>261</v>
      </c>
      <c r="CU90" s="8">
        <f>912580</f>
        <v>912580</v>
      </c>
      <c r="CV90" s="8">
        <f>0</f>
        <v>0</v>
      </c>
      <c r="CX90" s="8">
        <f>0</f>
        <v>0</v>
      </c>
      <c r="CY90" s="8">
        <f>912580</f>
        <v>912580</v>
      </c>
      <c r="DA90" s="5" t="s">
        <v>2032</v>
      </c>
      <c r="DB90" s="5" t="s">
        <v>238</v>
      </c>
      <c r="DD90" s="5" t="s">
        <v>356</v>
      </c>
      <c r="DE90" s="8">
        <f>0</f>
        <v>0</v>
      </c>
      <c r="DG90" s="5" t="s">
        <v>389</v>
      </c>
      <c r="DH90" s="5" t="s">
        <v>238</v>
      </c>
      <c r="DI90" s="5" t="s">
        <v>238</v>
      </c>
      <c r="DJ90" s="5" t="s">
        <v>238</v>
      </c>
      <c r="DN90" s="5" t="s">
        <v>238</v>
      </c>
      <c r="DO90" s="5" t="s">
        <v>238</v>
      </c>
      <c r="DP90" s="5" t="s">
        <v>238</v>
      </c>
      <c r="DQ90" s="5" t="s">
        <v>238</v>
      </c>
      <c r="DT90" s="5" t="s">
        <v>5199</v>
      </c>
      <c r="DU90" s="5" t="s">
        <v>854</v>
      </c>
      <c r="HM90" s="5" t="s">
        <v>264</v>
      </c>
    </row>
    <row r="91" spans="1:221" x14ac:dyDescent="0.4">
      <c r="A91" s="5">
        <v>802</v>
      </c>
      <c r="B91" s="5">
        <v>1</v>
      </c>
      <c r="C91" s="5">
        <v>1</v>
      </c>
      <c r="D91" s="5" t="s">
        <v>5210</v>
      </c>
      <c r="E91" s="5" t="s">
        <v>475</v>
      </c>
      <c r="F91" s="5" t="s">
        <v>248</v>
      </c>
      <c r="G91" s="5" t="s">
        <v>5209</v>
      </c>
      <c r="H91" s="6" t="s">
        <v>3930</v>
      </c>
      <c r="I91" s="7">
        <f>757</f>
        <v>757</v>
      </c>
      <c r="J91" s="5" t="s">
        <v>262</v>
      </c>
      <c r="K91" s="8">
        <f>1676755</f>
        <v>1676755</v>
      </c>
      <c r="L91" s="6" t="s">
        <v>242</v>
      </c>
      <c r="M91" s="5" t="s">
        <v>267</v>
      </c>
      <c r="N91" s="5" t="s">
        <v>237</v>
      </c>
      <c r="O91" s="5" t="s">
        <v>238</v>
      </c>
      <c r="P91" s="5" t="s">
        <v>238</v>
      </c>
      <c r="Q91" s="5" t="s">
        <v>239</v>
      </c>
      <c r="R91" s="5" t="s">
        <v>270</v>
      </c>
      <c r="S91" s="5" t="s">
        <v>238</v>
      </c>
      <c r="V91" s="5" t="s">
        <v>238</v>
      </c>
      <c r="X91" s="6" t="s">
        <v>238</v>
      </c>
      <c r="AA91" s="6" t="s">
        <v>243</v>
      </c>
      <c r="AB91" s="5" t="s">
        <v>238</v>
      </c>
      <c r="AC91" s="5" t="s">
        <v>244</v>
      </c>
      <c r="AD91" s="5" t="s">
        <v>245</v>
      </c>
      <c r="AT91" s="5" t="s">
        <v>246</v>
      </c>
      <c r="AU91" s="5" t="s">
        <v>238</v>
      </c>
      <c r="AV91" s="5" t="s">
        <v>247</v>
      </c>
      <c r="AW91" s="5" t="s">
        <v>238</v>
      </c>
      <c r="AX91" s="5" t="s">
        <v>249</v>
      </c>
      <c r="AY91" s="5" t="s">
        <v>238</v>
      </c>
      <c r="BA91" s="5" t="s">
        <v>4547</v>
      </c>
      <c r="BC91" s="5" t="s">
        <v>250</v>
      </c>
      <c r="BD91" s="6" t="s">
        <v>243</v>
      </c>
      <c r="BE91" s="5" t="s">
        <v>251</v>
      </c>
      <c r="BF91" s="5" t="s">
        <v>252</v>
      </c>
      <c r="BG91" s="5" t="s">
        <v>238</v>
      </c>
      <c r="BH91" s="7">
        <f>0</f>
        <v>0</v>
      </c>
      <c r="BI91" s="8">
        <f>0</f>
        <v>0</v>
      </c>
      <c r="BJ91" s="5" t="s">
        <v>253</v>
      </c>
      <c r="BK91" s="5" t="s">
        <v>254</v>
      </c>
      <c r="BY91" s="5" t="s">
        <v>238</v>
      </c>
      <c r="BZ91" s="5" t="s">
        <v>238</v>
      </c>
      <c r="CD91" s="5" t="s">
        <v>255</v>
      </c>
      <c r="CE91" s="5" t="s">
        <v>256</v>
      </c>
      <c r="CF91" s="5" t="s">
        <v>238</v>
      </c>
      <c r="CI91" s="6" t="s">
        <v>257</v>
      </c>
      <c r="CJ91" s="5" t="s">
        <v>238</v>
      </c>
      <c r="CK91" s="5" t="s">
        <v>258</v>
      </c>
      <c r="CL91" s="5" t="s">
        <v>238</v>
      </c>
      <c r="CM91" s="5" t="s">
        <v>238</v>
      </c>
      <c r="CN91" s="5">
        <v>0</v>
      </c>
      <c r="CO91" s="5" t="s">
        <v>259</v>
      </c>
      <c r="CP91" s="5" t="s">
        <v>260</v>
      </c>
      <c r="CQ91" s="5" t="s">
        <v>260</v>
      </c>
      <c r="CR91" s="5" t="s">
        <v>261</v>
      </c>
      <c r="CU91" s="8">
        <f>1676755</f>
        <v>1676755</v>
      </c>
      <c r="CV91" s="8">
        <f>0</f>
        <v>0</v>
      </c>
      <c r="CX91" s="8">
        <f>0</f>
        <v>0</v>
      </c>
      <c r="CY91" s="8">
        <f>1676755</f>
        <v>1676755</v>
      </c>
      <c r="DA91" s="5" t="s">
        <v>2032</v>
      </c>
      <c r="DB91" s="5" t="s">
        <v>238</v>
      </c>
      <c r="DD91" s="5" t="s">
        <v>356</v>
      </c>
      <c r="DE91" s="8">
        <f>0</f>
        <v>0</v>
      </c>
      <c r="DG91" s="5" t="s">
        <v>389</v>
      </c>
      <c r="DH91" s="5" t="s">
        <v>238</v>
      </c>
      <c r="DI91" s="5" t="s">
        <v>238</v>
      </c>
      <c r="DJ91" s="5" t="s">
        <v>238</v>
      </c>
      <c r="DN91" s="5" t="s">
        <v>238</v>
      </c>
      <c r="DO91" s="5" t="s">
        <v>238</v>
      </c>
      <c r="DP91" s="5" t="s">
        <v>238</v>
      </c>
      <c r="DQ91" s="5" t="s">
        <v>238</v>
      </c>
      <c r="DT91" s="5" t="s">
        <v>5211</v>
      </c>
      <c r="DU91" s="5" t="s">
        <v>264</v>
      </c>
      <c r="HM91" s="5" t="s">
        <v>264</v>
      </c>
    </row>
    <row r="92" spans="1:221" x14ac:dyDescent="0.4">
      <c r="A92" s="5">
        <v>803</v>
      </c>
      <c r="B92" s="5">
        <v>1</v>
      </c>
      <c r="C92" s="5">
        <v>1</v>
      </c>
      <c r="D92" s="5" t="s">
        <v>5215</v>
      </c>
      <c r="E92" s="5" t="s">
        <v>475</v>
      </c>
      <c r="F92" s="5" t="s">
        <v>248</v>
      </c>
      <c r="G92" s="5" t="s">
        <v>5214</v>
      </c>
      <c r="H92" s="6" t="s">
        <v>5218</v>
      </c>
      <c r="I92" s="7">
        <f>389</f>
        <v>389</v>
      </c>
      <c r="J92" s="5" t="s">
        <v>262</v>
      </c>
      <c r="K92" s="8">
        <f>861635</f>
        <v>861635</v>
      </c>
      <c r="L92" s="6" t="s">
        <v>242</v>
      </c>
      <c r="M92" s="5" t="s">
        <v>267</v>
      </c>
      <c r="N92" s="5" t="s">
        <v>237</v>
      </c>
      <c r="O92" s="5" t="s">
        <v>238</v>
      </c>
      <c r="P92" s="5" t="s">
        <v>238</v>
      </c>
      <c r="Q92" s="5" t="s">
        <v>239</v>
      </c>
      <c r="R92" s="5" t="s">
        <v>270</v>
      </c>
      <c r="S92" s="5" t="s">
        <v>238</v>
      </c>
      <c r="V92" s="5" t="s">
        <v>238</v>
      </c>
      <c r="X92" s="6" t="s">
        <v>238</v>
      </c>
      <c r="AA92" s="6" t="s">
        <v>243</v>
      </c>
      <c r="AB92" s="5" t="s">
        <v>238</v>
      </c>
      <c r="AC92" s="5" t="s">
        <v>244</v>
      </c>
      <c r="AD92" s="5" t="s">
        <v>245</v>
      </c>
      <c r="AT92" s="5" t="s">
        <v>246</v>
      </c>
      <c r="AU92" s="5" t="s">
        <v>238</v>
      </c>
      <c r="AV92" s="5" t="s">
        <v>247</v>
      </c>
      <c r="AW92" s="5" t="s">
        <v>238</v>
      </c>
      <c r="AX92" s="5" t="s">
        <v>249</v>
      </c>
      <c r="AY92" s="5" t="s">
        <v>238</v>
      </c>
      <c r="BA92" s="5" t="s">
        <v>4547</v>
      </c>
      <c r="BC92" s="5" t="s">
        <v>250</v>
      </c>
      <c r="BD92" s="6" t="s">
        <v>243</v>
      </c>
      <c r="BE92" s="5" t="s">
        <v>251</v>
      </c>
      <c r="BF92" s="5" t="s">
        <v>252</v>
      </c>
      <c r="BG92" s="5" t="s">
        <v>238</v>
      </c>
      <c r="BH92" s="7">
        <f>0</f>
        <v>0</v>
      </c>
      <c r="BI92" s="8">
        <f>0</f>
        <v>0</v>
      </c>
      <c r="BJ92" s="5" t="s">
        <v>253</v>
      </c>
      <c r="BK92" s="5" t="s">
        <v>254</v>
      </c>
      <c r="BY92" s="5" t="s">
        <v>238</v>
      </c>
      <c r="BZ92" s="5" t="s">
        <v>238</v>
      </c>
      <c r="CD92" s="5" t="s">
        <v>255</v>
      </c>
      <c r="CE92" s="5" t="s">
        <v>256</v>
      </c>
      <c r="CF92" s="5" t="s">
        <v>238</v>
      </c>
      <c r="CI92" s="6" t="s">
        <v>257</v>
      </c>
      <c r="CJ92" s="5" t="s">
        <v>238</v>
      </c>
      <c r="CK92" s="5" t="s">
        <v>258</v>
      </c>
      <c r="CL92" s="5" t="s">
        <v>238</v>
      </c>
      <c r="CM92" s="5" t="s">
        <v>238</v>
      </c>
      <c r="CN92" s="5">
        <v>0</v>
      </c>
      <c r="CO92" s="5" t="s">
        <v>259</v>
      </c>
      <c r="CP92" s="5" t="s">
        <v>260</v>
      </c>
      <c r="CQ92" s="5" t="s">
        <v>260</v>
      </c>
      <c r="CR92" s="5" t="s">
        <v>261</v>
      </c>
      <c r="CU92" s="8">
        <f>861635</f>
        <v>861635</v>
      </c>
      <c r="CV92" s="8">
        <f>0</f>
        <v>0</v>
      </c>
      <c r="CX92" s="8">
        <f>0</f>
        <v>0</v>
      </c>
      <c r="CY92" s="8">
        <f>861635</f>
        <v>861635</v>
      </c>
      <c r="DA92" s="5" t="s">
        <v>2032</v>
      </c>
      <c r="DB92" s="5" t="s">
        <v>238</v>
      </c>
      <c r="DD92" s="5" t="s">
        <v>356</v>
      </c>
      <c r="DE92" s="8">
        <f>0</f>
        <v>0</v>
      </c>
      <c r="DG92" s="5" t="s">
        <v>389</v>
      </c>
      <c r="DH92" s="5" t="s">
        <v>238</v>
      </c>
      <c r="DI92" s="5" t="s">
        <v>238</v>
      </c>
      <c r="DJ92" s="5" t="s">
        <v>238</v>
      </c>
      <c r="DN92" s="5" t="s">
        <v>238</v>
      </c>
      <c r="DO92" s="5" t="s">
        <v>238</v>
      </c>
      <c r="DP92" s="5" t="s">
        <v>238</v>
      </c>
      <c r="DQ92" s="5" t="s">
        <v>238</v>
      </c>
      <c r="DT92" s="5" t="s">
        <v>5217</v>
      </c>
      <c r="DU92" s="5" t="s">
        <v>264</v>
      </c>
      <c r="HM92" s="5" t="s">
        <v>264</v>
      </c>
    </row>
    <row r="93" spans="1:221" x14ac:dyDescent="0.4">
      <c r="A93" s="5">
        <v>804</v>
      </c>
      <c r="B93" s="5">
        <v>1</v>
      </c>
      <c r="C93" s="5">
        <v>1</v>
      </c>
      <c r="D93" s="5" t="s">
        <v>5215</v>
      </c>
      <c r="E93" s="5" t="s">
        <v>475</v>
      </c>
      <c r="F93" s="5" t="s">
        <v>248</v>
      </c>
      <c r="G93" s="5" t="s">
        <v>5214</v>
      </c>
      <c r="H93" s="6" t="s">
        <v>5216</v>
      </c>
      <c r="I93" s="7">
        <f>125</f>
        <v>125</v>
      </c>
      <c r="J93" s="5" t="s">
        <v>262</v>
      </c>
      <c r="K93" s="8">
        <f>276875</f>
        <v>276875</v>
      </c>
      <c r="L93" s="6" t="s">
        <v>242</v>
      </c>
      <c r="M93" s="5" t="s">
        <v>267</v>
      </c>
      <c r="N93" s="5" t="s">
        <v>237</v>
      </c>
      <c r="O93" s="5" t="s">
        <v>238</v>
      </c>
      <c r="P93" s="5" t="s">
        <v>238</v>
      </c>
      <c r="Q93" s="5" t="s">
        <v>239</v>
      </c>
      <c r="R93" s="5" t="s">
        <v>270</v>
      </c>
      <c r="S93" s="5" t="s">
        <v>238</v>
      </c>
      <c r="V93" s="5" t="s">
        <v>238</v>
      </c>
      <c r="X93" s="6" t="s">
        <v>238</v>
      </c>
      <c r="AA93" s="6" t="s">
        <v>243</v>
      </c>
      <c r="AB93" s="5" t="s">
        <v>238</v>
      </c>
      <c r="AC93" s="5" t="s">
        <v>244</v>
      </c>
      <c r="AD93" s="5" t="s">
        <v>245</v>
      </c>
      <c r="AT93" s="5" t="s">
        <v>246</v>
      </c>
      <c r="AU93" s="5" t="s">
        <v>238</v>
      </c>
      <c r="AV93" s="5" t="s">
        <v>247</v>
      </c>
      <c r="AW93" s="5" t="s">
        <v>238</v>
      </c>
      <c r="AX93" s="5" t="s">
        <v>249</v>
      </c>
      <c r="AY93" s="5" t="s">
        <v>238</v>
      </c>
      <c r="BA93" s="5" t="s">
        <v>238</v>
      </c>
      <c r="BC93" s="5" t="s">
        <v>250</v>
      </c>
      <c r="BD93" s="6" t="s">
        <v>243</v>
      </c>
      <c r="BE93" s="5" t="s">
        <v>251</v>
      </c>
      <c r="BF93" s="5" t="s">
        <v>252</v>
      </c>
      <c r="BG93" s="5" t="s">
        <v>238</v>
      </c>
      <c r="BH93" s="7">
        <f>0</f>
        <v>0</v>
      </c>
      <c r="BI93" s="8">
        <f>0</f>
        <v>0</v>
      </c>
      <c r="BJ93" s="5" t="s">
        <v>253</v>
      </c>
      <c r="BK93" s="5" t="s">
        <v>254</v>
      </c>
      <c r="BY93" s="5" t="s">
        <v>238</v>
      </c>
      <c r="BZ93" s="5" t="s">
        <v>238</v>
      </c>
      <c r="CD93" s="5" t="s">
        <v>255</v>
      </c>
      <c r="CE93" s="5" t="s">
        <v>256</v>
      </c>
      <c r="CF93" s="5" t="s">
        <v>238</v>
      </c>
      <c r="CI93" s="6" t="s">
        <v>257</v>
      </c>
      <c r="CJ93" s="5" t="s">
        <v>238</v>
      </c>
      <c r="CK93" s="5" t="s">
        <v>258</v>
      </c>
      <c r="CL93" s="5" t="s">
        <v>238</v>
      </c>
      <c r="CM93" s="5" t="s">
        <v>238</v>
      </c>
      <c r="CN93" s="5">
        <v>0</v>
      </c>
      <c r="CO93" s="5" t="s">
        <v>259</v>
      </c>
      <c r="CP93" s="5" t="s">
        <v>260</v>
      </c>
      <c r="CQ93" s="5" t="s">
        <v>260</v>
      </c>
      <c r="CR93" s="5" t="s">
        <v>261</v>
      </c>
      <c r="CU93" s="8">
        <f>276875</f>
        <v>276875</v>
      </c>
      <c r="CV93" s="8">
        <f>0</f>
        <v>0</v>
      </c>
      <c r="CX93" s="8">
        <f>0</f>
        <v>0</v>
      </c>
      <c r="CY93" s="8">
        <f>276875</f>
        <v>276875</v>
      </c>
      <c r="DA93" s="5" t="s">
        <v>2032</v>
      </c>
      <c r="DB93" s="5" t="s">
        <v>238</v>
      </c>
      <c r="DD93" s="5" t="s">
        <v>356</v>
      </c>
      <c r="DE93" s="8">
        <f>0</f>
        <v>0</v>
      </c>
      <c r="DG93" s="5" t="s">
        <v>389</v>
      </c>
      <c r="DH93" s="5" t="s">
        <v>238</v>
      </c>
      <c r="DI93" s="5" t="s">
        <v>238</v>
      </c>
      <c r="DJ93" s="5" t="s">
        <v>238</v>
      </c>
      <c r="DN93" s="5" t="s">
        <v>238</v>
      </c>
      <c r="DO93" s="5" t="s">
        <v>238</v>
      </c>
      <c r="DP93" s="5" t="s">
        <v>238</v>
      </c>
      <c r="DQ93" s="5" t="s">
        <v>238</v>
      </c>
      <c r="DT93" s="5" t="s">
        <v>5217</v>
      </c>
      <c r="DU93" s="5" t="s">
        <v>294</v>
      </c>
      <c r="HM93" s="5" t="s">
        <v>264</v>
      </c>
    </row>
    <row r="94" spans="1:221" x14ac:dyDescent="0.4">
      <c r="A94" s="5">
        <v>805</v>
      </c>
      <c r="B94" s="5">
        <v>1</v>
      </c>
      <c r="C94" s="5">
        <v>1</v>
      </c>
      <c r="D94" s="5" t="s">
        <v>5220</v>
      </c>
      <c r="E94" s="5" t="s">
        <v>475</v>
      </c>
      <c r="F94" s="5" t="s">
        <v>248</v>
      </c>
      <c r="G94" s="5" t="s">
        <v>5219</v>
      </c>
      <c r="H94" s="6" t="s">
        <v>5221</v>
      </c>
      <c r="I94" s="7">
        <f>3374</f>
        <v>3374</v>
      </c>
      <c r="J94" s="5" t="s">
        <v>262</v>
      </c>
      <c r="K94" s="8">
        <f>7473410</f>
        <v>7473410</v>
      </c>
      <c r="L94" s="6" t="s">
        <v>242</v>
      </c>
      <c r="M94" s="5" t="s">
        <v>267</v>
      </c>
      <c r="N94" s="5" t="s">
        <v>237</v>
      </c>
      <c r="O94" s="5" t="s">
        <v>238</v>
      </c>
      <c r="P94" s="5" t="s">
        <v>238</v>
      </c>
      <c r="Q94" s="5" t="s">
        <v>239</v>
      </c>
      <c r="R94" s="5" t="s">
        <v>270</v>
      </c>
      <c r="S94" s="5" t="s">
        <v>238</v>
      </c>
      <c r="V94" s="5" t="s">
        <v>238</v>
      </c>
      <c r="X94" s="6" t="s">
        <v>238</v>
      </c>
      <c r="AA94" s="6" t="s">
        <v>243</v>
      </c>
      <c r="AB94" s="5" t="s">
        <v>238</v>
      </c>
      <c r="AC94" s="5" t="s">
        <v>244</v>
      </c>
      <c r="AD94" s="5" t="s">
        <v>245</v>
      </c>
      <c r="AT94" s="5" t="s">
        <v>246</v>
      </c>
      <c r="AU94" s="5" t="s">
        <v>238</v>
      </c>
      <c r="AV94" s="5" t="s">
        <v>247</v>
      </c>
      <c r="AW94" s="5" t="s">
        <v>238</v>
      </c>
      <c r="AX94" s="5" t="s">
        <v>249</v>
      </c>
      <c r="AY94" s="5" t="s">
        <v>238</v>
      </c>
      <c r="BA94" s="5" t="s">
        <v>4547</v>
      </c>
      <c r="BC94" s="5" t="s">
        <v>250</v>
      </c>
      <c r="BD94" s="6" t="s">
        <v>243</v>
      </c>
      <c r="BE94" s="5" t="s">
        <v>251</v>
      </c>
      <c r="BF94" s="5" t="s">
        <v>252</v>
      </c>
      <c r="BG94" s="5" t="s">
        <v>238</v>
      </c>
      <c r="BH94" s="7">
        <f>0</f>
        <v>0</v>
      </c>
      <c r="BI94" s="8">
        <f>0</f>
        <v>0</v>
      </c>
      <c r="BJ94" s="5" t="s">
        <v>253</v>
      </c>
      <c r="BK94" s="5" t="s">
        <v>254</v>
      </c>
      <c r="BY94" s="5" t="s">
        <v>238</v>
      </c>
      <c r="BZ94" s="5" t="s">
        <v>238</v>
      </c>
      <c r="CD94" s="5" t="s">
        <v>255</v>
      </c>
      <c r="CE94" s="5" t="s">
        <v>256</v>
      </c>
      <c r="CF94" s="5" t="s">
        <v>238</v>
      </c>
      <c r="CI94" s="6" t="s">
        <v>257</v>
      </c>
      <c r="CJ94" s="5" t="s">
        <v>238</v>
      </c>
      <c r="CK94" s="5" t="s">
        <v>258</v>
      </c>
      <c r="CL94" s="5" t="s">
        <v>238</v>
      </c>
      <c r="CM94" s="5" t="s">
        <v>238</v>
      </c>
      <c r="CN94" s="5">
        <v>0</v>
      </c>
      <c r="CO94" s="5" t="s">
        <v>259</v>
      </c>
      <c r="CP94" s="5" t="s">
        <v>260</v>
      </c>
      <c r="CQ94" s="5" t="s">
        <v>260</v>
      </c>
      <c r="CR94" s="5" t="s">
        <v>261</v>
      </c>
      <c r="CU94" s="8">
        <f>7473410</f>
        <v>7473410</v>
      </c>
      <c r="CV94" s="8">
        <f>0</f>
        <v>0</v>
      </c>
      <c r="CX94" s="8">
        <f>0</f>
        <v>0</v>
      </c>
      <c r="CY94" s="8">
        <f>7473410</f>
        <v>7473410</v>
      </c>
      <c r="DA94" s="5" t="s">
        <v>2032</v>
      </c>
      <c r="DB94" s="5" t="s">
        <v>238</v>
      </c>
      <c r="DD94" s="5" t="s">
        <v>356</v>
      </c>
      <c r="DE94" s="8">
        <f>0</f>
        <v>0</v>
      </c>
      <c r="DG94" s="5" t="s">
        <v>389</v>
      </c>
      <c r="DH94" s="5" t="s">
        <v>238</v>
      </c>
      <c r="DI94" s="5" t="s">
        <v>238</v>
      </c>
      <c r="DJ94" s="5" t="s">
        <v>238</v>
      </c>
      <c r="DN94" s="5" t="s">
        <v>238</v>
      </c>
      <c r="DO94" s="5" t="s">
        <v>238</v>
      </c>
      <c r="DP94" s="5" t="s">
        <v>238</v>
      </c>
      <c r="DQ94" s="5" t="s">
        <v>238</v>
      </c>
      <c r="DT94" s="5" t="s">
        <v>5222</v>
      </c>
      <c r="DU94" s="5" t="s">
        <v>264</v>
      </c>
      <c r="HM94" s="5" t="s">
        <v>264</v>
      </c>
    </row>
    <row r="95" spans="1:221" x14ac:dyDescent="0.4">
      <c r="A95" s="5">
        <v>806</v>
      </c>
      <c r="B95" s="5">
        <v>1</v>
      </c>
      <c r="C95" s="5">
        <v>1</v>
      </c>
      <c r="D95" s="5" t="s">
        <v>5224</v>
      </c>
      <c r="E95" s="5" t="s">
        <v>475</v>
      </c>
      <c r="F95" s="5" t="s">
        <v>248</v>
      </c>
      <c r="G95" s="5" t="s">
        <v>5223</v>
      </c>
      <c r="H95" s="6" t="s">
        <v>5231</v>
      </c>
      <c r="I95" s="7">
        <f>178</f>
        <v>178</v>
      </c>
      <c r="J95" s="5" t="s">
        <v>262</v>
      </c>
      <c r="K95" s="8">
        <f>394270</f>
        <v>394270</v>
      </c>
      <c r="L95" s="6" t="s">
        <v>242</v>
      </c>
      <c r="M95" s="5" t="s">
        <v>267</v>
      </c>
      <c r="N95" s="5" t="s">
        <v>237</v>
      </c>
      <c r="O95" s="5" t="s">
        <v>238</v>
      </c>
      <c r="P95" s="5" t="s">
        <v>238</v>
      </c>
      <c r="Q95" s="5" t="s">
        <v>239</v>
      </c>
      <c r="R95" s="5" t="s">
        <v>270</v>
      </c>
      <c r="S95" s="5" t="s">
        <v>238</v>
      </c>
      <c r="V95" s="5" t="s">
        <v>238</v>
      </c>
      <c r="X95" s="6" t="s">
        <v>238</v>
      </c>
      <c r="AA95" s="6" t="s">
        <v>243</v>
      </c>
      <c r="AB95" s="5" t="s">
        <v>238</v>
      </c>
      <c r="AC95" s="5" t="s">
        <v>244</v>
      </c>
      <c r="AD95" s="5" t="s">
        <v>245</v>
      </c>
      <c r="AT95" s="5" t="s">
        <v>246</v>
      </c>
      <c r="AU95" s="5" t="s">
        <v>238</v>
      </c>
      <c r="AV95" s="5" t="s">
        <v>247</v>
      </c>
      <c r="AW95" s="5" t="s">
        <v>238</v>
      </c>
      <c r="AX95" s="5" t="s">
        <v>249</v>
      </c>
      <c r="AY95" s="5" t="s">
        <v>238</v>
      </c>
      <c r="BA95" s="5" t="s">
        <v>4547</v>
      </c>
      <c r="BC95" s="5" t="s">
        <v>250</v>
      </c>
      <c r="BD95" s="6" t="s">
        <v>243</v>
      </c>
      <c r="BE95" s="5" t="s">
        <v>251</v>
      </c>
      <c r="BF95" s="5" t="s">
        <v>252</v>
      </c>
      <c r="BG95" s="5" t="s">
        <v>238</v>
      </c>
      <c r="BH95" s="7">
        <f>0</f>
        <v>0</v>
      </c>
      <c r="BI95" s="8">
        <f>0</f>
        <v>0</v>
      </c>
      <c r="BJ95" s="5" t="s">
        <v>253</v>
      </c>
      <c r="BK95" s="5" t="s">
        <v>254</v>
      </c>
      <c r="BY95" s="5" t="s">
        <v>238</v>
      </c>
      <c r="BZ95" s="5" t="s">
        <v>238</v>
      </c>
      <c r="CD95" s="5" t="s">
        <v>255</v>
      </c>
      <c r="CE95" s="5" t="s">
        <v>256</v>
      </c>
      <c r="CF95" s="5" t="s">
        <v>238</v>
      </c>
      <c r="CI95" s="6" t="s">
        <v>257</v>
      </c>
      <c r="CJ95" s="5" t="s">
        <v>238</v>
      </c>
      <c r="CK95" s="5" t="s">
        <v>258</v>
      </c>
      <c r="CL95" s="5" t="s">
        <v>238</v>
      </c>
      <c r="CM95" s="5" t="s">
        <v>238</v>
      </c>
      <c r="CN95" s="5">
        <v>0</v>
      </c>
      <c r="CO95" s="5" t="s">
        <v>259</v>
      </c>
      <c r="CP95" s="5" t="s">
        <v>260</v>
      </c>
      <c r="CQ95" s="5" t="s">
        <v>260</v>
      </c>
      <c r="CR95" s="5" t="s">
        <v>261</v>
      </c>
      <c r="CU95" s="8">
        <f>394270</f>
        <v>394270</v>
      </c>
      <c r="CV95" s="8">
        <f>0</f>
        <v>0</v>
      </c>
      <c r="CX95" s="8">
        <f>0</f>
        <v>0</v>
      </c>
      <c r="CY95" s="8">
        <f>394270</f>
        <v>394270</v>
      </c>
      <c r="DA95" s="5" t="s">
        <v>2032</v>
      </c>
      <c r="DB95" s="5" t="s">
        <v>238</v>
      </c>
      <c r="DD95" s="5" t="s">
        <v>356</v>
      </c>
      <c r="DE95" s="8">
        <f>0</f>
        <v>0</v>
      </c>
      <c r="DG95" s="5" t="s">
        <v>389</v>
      </c>
      <c r="DH95" s="5" t="s">
        <v>238</v>
      </c>
      <c r="DI95" s="5" t="s">
        <v>238</v>
      </c>
      <c r="DJ95" s="5" t="s">
        <v>238</v>
      </c>
      <c r="DN95" s="5" t="s">
        <v>238</v>
      </c>
      <c r="DO95" s="5" t="s">
        <v>238</v>
      </c>
      <c r="DP95" s="5" t="s">
        <v>238</v>
      </c>
      <c r="DQ95" s="5" t="s">
        <v>238</v>
      </c>
      <c r="DT95" s="5" t="s">
        <v>5226</v>
      </c>
      <c r="DU95" s="5" t="s">
        <v>264</v>
      </c>
      <c r="HM95" s="5" t="s">
        <v>264</v>
      </c>
    </row>
    <row r="96" spans="1:221" x14ac:dyDescent="0.4">
      <c r="A96" s="5">
        <v>807</v>
      </c>
      <c r="B96" s="5">
        <v>1</v>
      </c>
      <c r="C96" s="5">
        <v>1</v>
      </c>
      <c r="D96" s="5" t="s">
        <v>5224</v>
      </c>
      <c r="E96" s="5" t="s">
        <v>475</v>
      </c>
      <c r="F96" s="5" t="s">
        <v>248</v>
      </c>
      <c r="G96" s="5" t="s">
        <v>5223</v>
      </c>
      <c r="H96" s="6" t="s">
        <v>5228</v>
      </c>
      <c r="I96" s="7">
        <f>468</f>
        <v>468</v>
      </c>
      <c r="J96" s="5" t="s">
        <v>262</v>
      </c>
      <c r="K96" s="8">
        <f>1036620</f>
        <v>1036620</v>
      </c>
      <c r="L96" s="6" t="s">
        <v>242</v>
      </c>
      <c r="M96" s="5" t="s">
        <v>267</v>
      </c>
      <c r="N96" s="5" t="s">
        <v>237</v>
      </c>
      <c r="O96" s="5" t="s">
        <v>238</v>
      </c>
      <c r="P96" s="5" t="s">
        <v>238</v>
      </c>
      <c r="Q96" s="5" t="s">
        <v>239</v>
      </c>
      <c r="R96" s="5" t="s">
        <v>270</v>
      </c>
      <c r="S96" s="5" t="s">
        <v>238</v>
      </c>
      <c r="V96" s="5" t="s">
        <v>238</v>
      </c>
      <c r="X96" s="6" t="s">
        <v>238</v>
      </c>
      <c r="AA96" s="6" t="s">
        <v>243</v>
      </c>
      <c r="AB96" s="5" t="s">
        <v>238</v>
      </c>
      <c r="AC96" s="5" t="s">
        <v>244</v>
      </c>
      <c r="AD96" s="5" t="s">
        <v>245</v>
      </c>
      <c r="AT96" s="5" t="s">
        <v>246</v>
      </c>
      <c r="AU96" s="5" t="s">
        <v>238</v>
      </c>
      <c r="AV96" s="5" t="s">
        <v>247</v>
      </c>
      <c r="AW96" s="5" t="s">
        <v>238</v>
      </c>
      <c r="AX96" s="5" t="s">
        <v>249</v>
      </c>
      <c r="AY96" s="5" t="s">
        <v>238</v>
      </c>
      <c r="BA96" s="5" t="s">
        <v>238</v>
      </c>
      <c r="BC96" s="5" t="s">
        <v>250</v>
      </c>
      <c r="BD96" s="6" t="s">
        <v>243</v>
      </c>
      <c r="BE96" s="5" t="s">
        <v>251</v>
      </c>
      <c r="BF96" s="5" t="s">
        <v>252</v>
      </c>
      <c r="BG96" s="5" t="s">
        <v>238</v>
      </c>
      <c r="BH96" s="7">
        <f>0</f>
        <v>0</v>
      </c>
      <c r="BI96" s="8">
        <f>0</f>
        <v>0</v>
      </c>
      <c r="BJ96" s="5" t="s">
        <v>253</v>
      </c>
      <c r="BK96" s="5" t="s">
        <v>254</v>
      </c>
      <c r="BY96" s="5" t="s">
        <v>238</v>
      </c>
      <c r="BZ96" s="5" t="s">
        <v>238</v>
      </c>
      <c r="CD96" s="5" t="s">
        <v>255</v>
      </c>
      <c r="CE96" s="5" t="s">
        <v>256</v>
      </c>
      <c r="CF96" s="5" t="s">
        <v>238</v>
      </c>
      <c r="CI96" s="6" t="s">
        <v>257</v>
      </c>
      <c r="CJ96" s="5" t="s">
        <v>238</v>
      </c>
      <c r="CK96" s="5" t="s">
        <v>258</v>
      </c>
      <c r="CL96" s="5" t="s">
        <v>238</v>
      </c>
      <c r="CM96" s="5" t="s">
        <v>238</v>
      </c>
      <c r="CN96" s="5">
        <v>0</v>
      </c>
      <c r="CO96" s="5" t="s">
        <v>259</v>
      </c>
      <c r="CP96" s="5" t="s">
        <v>260</v>
      </c>
      <c r="CQ96" s="5" t="s">
        <v>260</v>
      </c>
      <c r="CR96" s="5" t="s">
        <v>261</v>
      </c>
      <c r="CU96" s="8">
        <f>1036620</f>
        <v>1036620</v>
      </c>
      <c r="CV96" s="8">
        <f>0</f>
        <v>0</v>
      </c>
      <c r="CX96" s="8">
        <f>0</f>
        <v>0</v>
      </c>
      <c r="CY96" s="8">
        <f>1036620</f>
        <v>1036620</v>
      </c>
      <c r="DA96" s="5" t="s">
        <v>2032</v>
      </c>
      <c r="DB96" s="5" t="s">
        <v>238</v>
      </c>
      <c r="DD96" s="5" t="s">
        <v>356</v>
      </c>
      <c r="DE96" s="8">
        <f>0</f>
        <v>0</v>
      </c>
      <c r="DG96" s="5" t="s">
        <v>389</v>
      </c>
      <c r="DH96" s="5" t="s">
        <v>238</v>
      </c>
      <c r="DI96" s="5" t="s">
        <v>238</v>
      </c>
      <c r="DJ96" s="5" t="s">
        <v>238</v>
      </c>
      <c r="DN96" s="5" t="s">
        <v>238</v>
      </c>
      <c r="DO96" s="5" t="s">
        <v>238</v>
      </c>
      <c r="DP96" s="5" t="s">
        <v>238</v>
      </c>
      <c r="DQ96" s="5" t="s">
        <v>238</v>
      </c>
      <c r="DT96" s="5" t="s">
        <v>5226</v>
      </c>
      <c r="DU96" s="5" t="s">
        <v>294</v>
      </c>
      <c r="HM96" s="5" t="s">
        <v>264</v>
      </c>
    </row>
    <row r="97" spans="1:221" x14ac:dyDescent="0.4">
      <c r="A97" s="5">
        <v>808</v>
      </c>
      <c r="B97" s="5">
        <v>1</v>
      </c>
      <c r="C97" s="5">
        <v>1</v>
      </c>
      <c r="D97" s="5" t="s">
        <v>5224</v>
      </c>
      <c r="E97" s="5" t="s">
        <v>475</v>
      </c>
      <c r="F97" s="5" t="s">
        <v>248</v>
      </c>
      <c r="G97" s="5" t="s">
        <v>5223</v>
      </c>
      <c r="H97" s="6" t="s">
        <v>5229</v>
      </c>
      <c r="I97" s="7">
        <f>512</f>
        <v>512</v>
      </c>
      <c r="J97" s="5" t="s">
        <v>262</v>
      </c>
      <c r="K97" s="8">
        <f>1134080</f>
        <v>1134080</v>
      </c>
      <c r="L97" s="6" t="s">
        <v>242</v>
      </c>
      <c r="M97" s="5" t="s">
        <v>267</v>
      </c>
      <c r="N97" s="5" t="s">
        <v>237</v>
      </c>
      <c r="O97" s="5" t="s">
        <v>238</v>
      </c>
      <c r="P97" s="5" t="s">
        <v>238</v>
      </c>
      <c r="Q97" s="5" t="s">
        <v>239</v>
      </c>
      <c r="R97" s="5" t="s">
        <v>270</v>
      </c>
      <c r="S97" s="5" t="s">
        <v>238</v>
      </c>
      <c r="V97" s="5" t="s">
        <v>238</v>
      </c>
      <c r="X97" s="6" t="s">
        <v>238</v>
      </c>
      <c r="AA97" s="6" t="s">
        <v>243</v>
      </c>
      <c r="AB97" s="5" t="s">
        <v>238</v>
      </c>
      <c r="AC97" s="5" t="s">
        <v>244</v>
      </c>
      <c r="AD97" s="5" t="s">
        <v>245</v>
      </c>
      <c r="AT97" s="5" t="s">
        <v>246</v>
      </c>
      <c r="AU97" s="5" t="s">
        <v>238</v>
      </c>
      <c r="AV97" s="5" t="s">
        <v>247</v>
      </c>
      <c r="AW97" s="5" t="s">
        <v>238</v>
      </c>
      <c r="AX97" s="5" t="s">
        <v>249</v>
      </c>
      <c r="AY97" s="5" t="s">
        <v>238</v>
      </c>
      <c r="BA97" s="5" t="s">
        <v>238</v>
      </c>
      <c r="BC97" s="5" t="s">
        <v>250</v>
      </c>
      <c r="BD97" s="6" t="s">
        <v>243</v>
      </c>
      <c r="BE97" s="5" t="s">
        <v>251</v>
      </c>
      <c r="BF97" s="5" t="s">
        <v>252</v>
      </c>
      <c r="BG97" s="5" t="s">
        <v>238</v>
      </c>
      <c r="BH97" s="7">
        <f>0</f>
        <v>0</v>
      </c>
      <c r="BI97" s="8">
        <f>0</f>
        <v>0</v>
      </c>
      <c r="BJ97" s="5" t="s">
        <v>253</v>
      </c>
      <c r="BK97" s="5" t="s">
        <v>254</v>
      </c>
      <c r="BY97" s="5" t="s">
        <v>238</v>
      </c>
      <c r="BZ97" s="5" t="s">
        <v>238</v>
      </c>
      <c r="CD97" s="5" t="s">
        <v>255</v>
      </c>
      <c r="CE97" s="5" t="s">
        <v>256</v>
      </c>
      <c r="CF97" s="5" t="s">
        <v>238</v>
      </c>
      <c r="CI97" s="6" t="s">
        <v>257</v>
      </c>
      <c r="CJ97" s="5" t="s">
        <v>238</v>
      </c>
      <c r="CK97" s="5" t="s">
        <v>258</v>
      </c>
      <c r="CL97" s="5" t="s">
        <v>238</v>
      </c>
      <c r="CM97" s="5" t="s">
        <v>238</v>
      </c>
      <c r="CN97" s="5">
        <v>0</v>
      </c>
      <c r="CO97" s="5" t="s">
        <v>259</v>
      </c>
      <c r="CP97" s="5" t="s">
        <v>260</v>
      </c>
      <c r="CQ97" s="5" t="s">
        <v>260</v>
      </c>
      <c r="CR97" s="5" t="s">
        <v>261</v>
      </c>
      <c r="CU97" s="8">
        <f>1134080</f>
        <v>1134080</v>
      </c>
      <c r="CV97" s="8">
        <f>0</f>
        <v>0</v>
      </c>
      <c r="CX97" s="8">
        <f>0</f>
        <v>0</v>
      </c>
      <c r="CY97" s="8">
        <f>1134080</f>
        <v>1134080</v>
      </c>
      <c r="DA97" s="5" t="s">
        <v>2032</v>
      </c>
      <c r="DB97" s="5" t="s">
        <v>238</v>
      </c>
      <c r="DD97" s="5" t="s">
        <v>356</v>
      </c>
      <c r="DE97" s="8">
        <f>0</f>
        <v>0</v>
      </c>
      <c r="DG97" s="5" t="s">
        <v>389</v>
      </c>
      <c r="DH97" s="5" t="s">
        <v>238</v>
      </c>
      <c r="DI97" s="5" t="s">
        <v>238</v>
      </c>
      <c r="DJ97" s="5" t="s">
        <v>238</v>
      </c>
      <c r="DN97" s="5" t="s">
        <v>238</v>
      </c>
      <c r="DO97" s="5" t="s">
        <v>238</v>
      </c>
      <c r="DP97" s="5" t="s">
        <v>238</v>
      </c>
      <c r="DQ97" s="5" t="s">
        <v>238</v>
      </c>
      <c r="DT97" s="5" t="s">
        <v>5226</v>
      </c>
      <c r="DU97" s="5" t="s">
        <v>806</v>
      </c>
      <c r="HM97" s="5" t="s">
        <v>264</v>
      </c>
    </row>
    <row r="98" spans="1:221" x14ac:dyDescent="0.4">
      <c r="A98" s="5">
        <v>809</v>
      </c>
      <c r="B98" s="5">
        <v>1</v>
      </c>
      <c r="C98" s="5">
        <v>1</v>
      </c>
      <c r="D98" s="5" t="s">
        <v>5224</v>
      </c>
      <c r="E98" s="5" t="s">
        <v>475</v>
      </c>
      <c r="F98" s="5" t="s">
        <v>248</v>
      </c>
      <c r="G98" s="5" t="s">
        <v>5223</v>
      </c>
      <c r="H98" s="6" t="s">
        <v>5225</v>
      </c>
      <c r="I98" s="7">
        <f>23</f>
        <v>23</v>
      </c>
      <c r="J98" s="5" t="s">
        <v>262</v>
      </c>
      <c r="K98" s="8">
        <f>50945</f>
        <v>50945</v>
      </c>
      <c r="L98" s="6" t="s">
        <v>242</v>
      </c>
      <c r="M98" s="5" t="s">
        <v>267</v>
      </c>
      <c r="N98" s="5" t="s">
        <v>237</v>
      </c>
      <c r="O98" s="5" t="s">
        <v>238</v>
      </c>
      <c r="P98" s="5" t="s">
        <v>238</v>
      </c>
      <c r="Q98" s="5" t="s">
        <v>239</v>
      </c>
      <c r="R98" s="5" t="s">
        <v>270</v>
      </c>
      <c r="S98" s="5" t="s">
        <v>238</v>
      </c>
      <c r="V98" s="5" t="s">
        <v>238</v>
      </c>
      <c r="X98" s="6" t="s">
        <v>238</v>
      </c>
      <c r="AA98" s="6" t="s">
        <v>243</v>
      </c>
      <c r="AB98" s="5" t="s">
        <v>238</v>
      </c>
      <c r="AC98" s="5" t="s">
        <v>244</v>
      </c>
      <c r="AD98" s="5" t="s">
        <v>245</v>
      </c>
      <c r="AT98" s="5" t="s">
        <v>246</v>
      </c>
      <c r="AU98" s="5" t="s">
        <v>238</v>
      </c>
      <c r="AV98" s="5" t="s">
        <v>247</v>
      </c>
      <c r="AW98" s="5" t="s">
        <v>238</v>
      </c>
      <c r="AX98" s="5" t="s">
        <v>249</v>
      </c>
      <c r="AY98" s="5" t="s">
        <v>238</v>
      </c>
      <c r="BA98" s="5" t="s">
        <v>238</v>
      </c>
      <c r="BC98" s="5" t="s">
        <v>250</v>
      </c>
      <c r="BD98" s="6" t="s">
        <v>243</v>
      </c>
      <c r="BE98" s="5" t="s">
        <v>251</v>
      </c>
      <c r="BF98" s="5" t="s">
        <v>252</v>
      </c>
      <c r="BG98" s="5" t="s">
        <v>238</v>
      </c>
      <c r="BH98" s="7">
        <f>0</f>
        <v>0</v>
      </c>
      <c r="BI98" s="8">
        <f>0</f>
        <v>0</v>
      </c>
      <c r="BJ98" s="5" t="s">
        <v>253</v>
      </c>
      <c r="BK98" s="5" t="s">
        <v>254</v>
      </c>
      <c r="BY98" s="5" t="s">
        <v>238</v>
      </c>
      <c r="BZ98" s="5" t="s">
        <v>238</v>
      </c>
      <c r="CD98" s="5" t="s">
        <v>255</v>
      </c>
      <c r="CE98" s="5" t="s">
        <v>256</v>
      </c>
      <c r="CF98" s="5" t="s">
        <v>238</v>
      </c>
      <c r="CI98" s="6" t="s">
        <v>257</v>
      </c>
      <c r="CJ98" s="5" t="s">
        <v>238</v>
      </c>
      <c r="CK98" s="5" t="s">
        <v>258</v>
      </c>
      <c r="CL98" s="5" t="s">
        <v>238</v>
      </c>
      <c r="CM98" s="5" t="s">
        <v>238</v>
      </c>
      <c r="CN98" s="5">
        <v>0</v>
      </c>
      <c r="CO98" s="5" t="s">
        <v>259</v>
      </c>
      <c r="CP98" s="5" t="s">
        <v>260</v>
      </c>
      <c r="CQ98" s="5" t="s">
        <v>260</v>
      </c>
      <c r="CR98" s="5" t="s">
        <v>261</v>
      </c>
      <c r="CU98" s="8">
        <f>50945</f>
        <v>50945</v>
      </c>
      <c r="CV98" s="8">
        <f>0</f>
        <v>0</v>
      </c>
      <c r="CX98" s="8">
        <f>0</f>
        <v>0</v>
      </c>
      <c r="CY98" s="8">
        <f>50945</f>
        <v>50945</v>
      </c>
      <c r="DA98" s="5" t="s">
        <v>2032</v>
      </c>
      <c r="DB98" s="5" t="s">
        <v>238</v>
      </c>
      <c r="DD98" s="5" t="s">
        <v>356</v>
      </c>
      <c r="DE98" s="8">
        <f>0</f>
        <v>0</v>
      </c>
      <c r="DG98" s="5" t="s">
        <v>389</v>
      </c>
      <c r="DH98" s="5" t="s">
        <v>238</v>
      </c>
      <c r="DI98" s="5" t="s">
        <v>238</v>
      </c>
      <c r="DJ98" s="5" t="s">
        <v>238</v>
      </c>
      <c r="DN98" s="5" t="s">
        <v>238</v>
      </c>
      <c r="DO98" s="5" t="s">
        <v>238</v>
      </c>
      <c r="DP98" s="5" t="s">
        <v>238</v>
      </c>
      <c r="DQ98" s="5" t="s">
        <v>238</v>
      </c>
      <c r="DT98" s="5" t="s">
        <v>5226</v>
      </c>
      <c r="DU98" s="5" t="s">
        <v>854</v>
      </c>
      <c r="HM98" s="5" t="s">
        <v>264</v>
      </c>
    </row>
    <row r="99" spans="1:221" x14ac:dyDescent="0.4">
      <c r="A99" s="5">
        <v>810</v>
      </c>
      <c r="B99" s="5">
        <v>1</v>
      </c>
      <c r="C99" s="5">
        <v>1</v>
      </c>
      <c r="D99" s="5" t="s">
        <v>5224</v>
      </c>
      <c r="E99" s="5" t="s">
        <v>475</v>
      </c>
      <c r="F99" s="5" t="s">
        <v>248</v>
      </c>
      <c r="G99" s="5" t="s">
        <v>5223</v>
      </c>
      <c r="H99" s="6" t="s">
        <v>5230</v>
      </c>
      <c r="I99" s="7">
        <f>306</f>
        <v>306</v>
      </c>
      <c r="J99" s="5" t="s">
        <v>262</v>
      </c>
      <c r="K99" s="8">
        <f>677790</f>
        <v>677790</v>
      </c>
      <c r="L99" s="6" t="s">
        <v>242</v>
      </c>
      <c r="M99" s="5" t="s">
        <v>267</v>
      </c>
      <c r="N99" s="5" t="s">
        <v>237</v>
      </c>
      <c r="O99" s="5" t="s">
        <v>238</v>
      </c>
      <c r="P99" s="5" t="s">
        <v>238</v>
      </c>
      <c r="Q99" s="5" t="s">
        <v>239</v>
      </c>
      <c r="R99" s="5" t="s">
        <v>270</v>
      </c>
      <c r="S99" s="5" t="s">
        <v>238</v>
      </c>
      <c r="V99" s="5" t="s">
        <v>238</v>
      </c>
      <c r="X99" s="6" t="s">
        <v>238</v>
      </c>
      <c r="AA99" s="6" t="s">
        <v>243</v>
      </c>
      <c r="AB99" s="5" t="s">
        <v>238</v>
      </c>
      <c r="AC99" s="5" t="s">
        <v>244</v>
      </c>
      <c r="AD99" s="5" t="s">
        <v>245</v>
      </c>
      <c r="AT99" s="5" t="s">
        <v>246</v>
      </c>
      <c r="AU99" s="5" t="s">
        <v>238</v>
      </c>
      <c r="AV99" s="5" t="s">
        <v>247</v>
      </c>
      <c r="AW99" s="5" t="s">
        <v>238</v>
      </c>
      <c r="AX99" s="5" t="s">
        <v>249</v>
      </c>
      <c r="AY99" s="5" t="s">
        <v>238</v>
      </c>
      <c r="BA99" s="5" t="s">
        <v>238</v>
      </c>
      <c r="BC99" s="5" t="s">
        <v>250</v>
      </c>
      <c r="BD99" s="6" t="s">
        <v>243</v>
      </c>
      <c r="BE99" s="5" t="s">
        <v>251</v>
      </c>
      <c r="BF99" s="5" t="s">
        <v>252</v>
      </c>
      <c r="BG99" s="5" t="s">
        <v>238</v>
      </c>
      <c r="BH99" s="7">
        <f>0</f>
        <v>0</v>
      </c>
      <c r="BI99" s="8">
        <f>0</f>
        <v>0</v>
      </c>
      <c r="BJ99" s="5" t="s">
        <v>253</v>
      </c>
      <c r="BK99" s="5" t="s">
        <v>254</v>
      </c>
      <c r="BY99" s="5" t="s">
        <v>238</v>
      </c>
      <c r="BZ99" s="5" t="s">
        <v>238</v>
      </c>
      <c r="CD99" s="5" t="s">
        <v>255</v>
      </c>
      <c r="CE99" s="5" t="s">
        <v>256</v>
      </c>
      <c r="CF99" s="5" t="s">
        <v>238</v>
      </c>
      <c r="CI99" s="6" t="s">
        <v>257</v>
      </c>
      <c r="CJ99" s="5" t="s">
        <v>238</v>
      </c>
      <c r="CK99" s="5" t="s">
        <v>258</v>
      </c>
      <c r="CL99" s="5" t="s">
        <v>238</v>
      </c>
      <c r="CM99" s="5" t="s">
        <v>238</v>
      </c>
      <c r="CN99" s="5">
        <v>0</v>
      </c>
      <c r="CO99" s="5" t="s">
        <v>259</v>
      </c>
      <c r="CP99" s="5" t="s">
        <v>260</v>
      </c>
      <c r="CQ99" s="5" t="s">
        <v>260</v>
      </c>
      <c r="CR99" s="5" t="s">
        <v>261</v>
      </c>
      <c r="CU99" s="8">
        <f>677790</f>
        <v>677790</v>
      </c>
      <c r="CV99" s="8">
        <f>0</f>
        <v>0</v>
      </c>
      <c r="CX99" s="8">
        <f>0</f>
        <v>0</v>
      </c>
      <c r="CY99" s="8">
        <f>677790</f>
        <v>677790</v>
      </c>
      <c r="DA99" s="5" t="s">
        <v>2032</v>
      </c>
      <c r="DB99" s="5" t="s">
        <v>238</v>
      </c>
      <c r="DD99" s="5" t="s">
        <v>356</v>
      </c>
      <c r="DE99" s="8">
        <f>0</f>
        <v>0</v>
      </c>
      <c r="DG99" s="5" t="s">
        <v>389</v>
      </c>
      <c r="DH99" s="5" t="s">
        <v>238</v>
      </c>
      <c r="DI99" s="5" t="s">
        <v>238</v>
      </c>
      <c r="DJ99" s="5" t="s">
        <v>238</v>
      </c>
      <c r="DN99" s="5" t="s">
        <v>238</v>
      </c>
      <c r="DO99" s="5" t="s">
        <v>238</v>
      </c>
      <c r="DP99" s="5" t="s">
        <v>238</v>
      </c>
      <c r="DQ99" s="5" t="s">
        <v>238</v>
      </c>
      <c r="DT99" s="5" t="s">
        <v>5226</v>
      </c>
      <c r="DU99" s="5" t="s">
        <v>911</v>
      </c>
      <c r="HM99" s="5" t="s">
        <v>264</v>
      </c>
    </row>
    <row r="100" spans="1:221" x14ac:dyDescent="0.4">
      <c r="A100" s="5">
        <v>811</v>
      </c>
      <c r="B100" s="5">
        <v>1</v>
      </c>
      <c r="C100" s="5">
        <v>1</v>
      </c>
      <c r="D100" s="5" t="s">
        <v>5235</v>
      </c>
      <c r="E100" s="5" t="s">
        <v>475</v>
      </c>
      <c r="F100" s="5" t="s">
        <v>248</v>
      </c>
      <c r="G100" s="5" t="s">
        <v>5234</v>
      </c>
      <c r="H100" s="6" t="s">
        <v>5236</v>
      </c>
      <c r="I100" s="7">
        <f>972</f>
        <v>972</v>
      </c>
      <c r="J100" s="5" t="s">
        <v>262</v>
      </c>
      <c r="K100" s="8">
        <f>2152980</f>
        <v>2152980</v>
      </c>
      <c r="L100" s="6" t="s">
        <v>242</v>
      </c>
      <c r="M100" s="5" t="s">
        <v>267</v>
      </c>
      <c r="N100" s="5" t="s">
        <v>237</v>
      </c>
      <c r="O100" s="5" t="s">
        <v>238</v>
      </c>
      <c r="P100" s="5" t="s">
        <v>238</v>
      </c>
      <c r="Q100" s="5" t="s">
        <v>239</v>
      </c>
      <c r="R100" s="5" t="s">
        <v>270</v>
      </c>
      <c r="S100" s="5" t="s">
        <v>238</v>
      </c>
      <c r="V100" s="5" t="s">
        <v>238</v>
      </c>
      <c r="X100" s="6" t="s">
        <v>238</v>
      </c>
      <c r="AA100" s="6" t="s">
        <v>243</v>
      </c>
      <c r="AB100" s="5" t="s">
        <v>238</v>
      </c>
      <c r="AC100" s="5" t="s">
        <v>244</v>
      </c>
      <c r="AD100" s="5" t="s">
        <v>245</v>
      </c>
      <c r="AT100" s="5" t="s">
        <v>246</v>
      </c>
      <c r="AU100" s="5" t="s">
        <v>238</v>
      </c>
      <c r="AV100" s="5" t="s">
        <v>247</v>
      </c>
      <c r="AW100" s="5" t="s">
        <v>238</v>
      </c>
      <c r="AX100" s="5" t="s">
        <v>249</v>
      </c>
      <c r="AY100" s="5" t="s">
        <v>238</v>
      </c>
      <c r="BA100" s="5" t="s">
        <v>4547</v>
      </c>
      <c r="BC100" s="5" t="s">
        <v>250</v>
      </c>
      <c r="BD100" s="6" t="s">
        <v>243</v>
      </c>
      <c r="BE100" s="5" t="s">
        <v>251</v>
      </c>
      <c r="BF100" s="5" t="s">
        <v>252</v>
      </c>
      <c r="BG100" s="5" t="s">
        <v>238</v>
      </c>
      <c r="BH100" s="7">
        <f>0</f>
        <v>0</v>
      </c>
      <c r="BI100" s="8">
        <f>0</f>
        <v>0</v>
      </c>
      <c r="BJ100" s="5" t="s">
        <v>253</v>
      </c>
      <c r="BK100" s="5" t="s">
        <v>254</v>
      </c>
      <c r="BY100" s="5" t="s">
        <v>238</v>
      </c>
      <c r="BZ100" s="5" t="s">
        <v>238</v>
      </c>
      <c r="CD100" s="5" t="s">
        <v>255</v>
      </c>
      <c r="CE100" s="5" t="s">
        <v>256</v>
      </c>
      <c r="CF100" s="5" t="s">
        <v>238</v>
      </c>
      <c r="CI100" s="6" t="s">
        <v>257</v>
      </c>
      <c r="CJ100" s="5" t="s">
        <v>238</v>
      </c>
      <c r="CK100" s="5" t="s">
        <v>258</v>
      </c>
      <c r="CL100" s="5" t="s">
        <v>238</v>
      </c>
      <c r="CM100" s="5" t="s">
        <v>238</v>
      </c>
      <c r="CN100" s="5">
        <v>0</v>
      </c>
      <c r="CO100" s="5" t="s">
        <v>259</v>
      </c>
      <c r="CP100" s="5" t="s">
        <v>260</v>
      </c>
      <c r="CQ100" s="5" t="s">
        <v>260</v>
      </c>
      <c r="CR100" s="5" t="s">
        <v>261</v>
      </c>
      <c r="CU100" s="8">
        <f>2152980</f>
        <v>2152980</v>
      </c>
      <c r="CV100" s="8">
        <f>0</f>
        <v>0</v>
      </c>
      <c r="CX100" s="8">
        <f>0</f>
        <v>0</v>
      </c>
      <c r="CY100" s="8">
        <f>2152980</f>
        <v>2152980</v>
      </c>
      <c r="DA100" s="5" t="s">
        <v>389</v>
      </c>
      <c r="DB100" s="5" t="s">
        <v>238</v>
      </c>
      <c r="DD100" s="5" t="s">
        <v>356</v>
      </c>
      <c r="DE100" s="8">
        <f>0</f>
        <v>0</v>
      </c>
      <c r="DG100" s="5" t="s">
        <v>389</v>
      </c>
      <c r="DH100" s="5" t="s">
        <v>238</v>
      </c>
      <c r="DI100" s="5" t="s">
        <v>238</v>
      </c>
      <c r="DJ100" s="5" t="s">
        <v>238</v>
      </c>
      <c r="DN100" s="5" t="s">
        <v>238</v>
      </c>
      <c r="DO100" s="5" t="s">
        <v>238</v>
      </c>
      <c r="DP100" s="5" t="s">
        <v>238</v>
      </c>
      <c r="DQ100" s="5" t="s">
        <v>238</v>
      </c>
      <c r="DT100" s="5" t="s">
        <v>5237</v>
      </c>
      <c r="DU100" s="5" t="s">
        <v>264</v>
      </c>
      <c r="HM100" s="5" t="s">
        <v>264</v>
      </c>
    </row>
    <row r="101" spans="1:221" x14ac:dyDescent="0.4">
      <c r="A101" s="5">
        <v>812</v>
      </c>
      <c r="B101" s="5">
        <v>1</v>
      </c>
      <c r="C101" s="5">
        <v>1</v>
      </c>
      <c r="D101" s="5" t="s">
        <v>5235</v>
      </c>
      <c r="E101" s="5" t="s">
        <v>475</v>
      </c>
      <c r="F101" s="5" t="s">
        <v>248</v>
      </c>
      <c r="G101" s="5" t="s">
        <v>5234</v>
      </c>
      <c r="H101" s="6" t="s">
        <v>5238</v>
      </c>
      <c r="I101" s="7">
        <f>3996</f>
        <v>3996</v>
      </c>
      <c r="J101" s="5" t="s">
        <v>262</v>
      </c>
      <c r="K101" s="8">
        <f>171828</f>
        <v>171828</v>
      </c>
      <c r="L101" s="6" t="s">
        <v>242</v>
      </c>
      <c r="M101" s="5" t="s">
        <v>267</v>
      </c>
      <c r="N101" s="5" t="s">
        <v>237</v>
      </c>
      <c r="O101" s="5" t="s">
        <v>238</v>
      </c>
      <c r="P101" s="5" t="s">
        <v>238</v>
      </c>
      <c r="Q101" s="5" t="s">
        <v>239</v>
      </c>
      <c r="R101" s="5" t="s">
        <v>270</v>
      </c>
      <c r="S101" s="5" t="s">
        <v>238</v>
      </c>
      <c r="V101" s="5" t="s">
        <v>238</v>
      </c>
      <c r="X101" s="6" t="s">
        <v>238</v>
      </c>
      <c r="AA101" s="6" t="s">
        <v>243</v>
      </c>
      <c r="AB101" s="5" t="s">
        <v>238</v>
      </c>
      <c r="AC101" s="5" t="s">
        <v>244</v>
      </c>
      <c r="AD101" s="5" t="s">
        <v>245</v>
      </c>
      <c r="AT101" s="5" t="s">
        <v>246</v>
      </c>
      <c r="AU101" s="5" t="s">
        <v>238</v>
      </c>
      <c r="AV101" s="5" t="s">
        <v>247</v>
      </c>
      <c r="AW101" s="5" t="s">
        <v>238</v>
      </c>
      <c r="AX101" s="5" t="s">
        <v>249</v>
      </c>
      <c r="AY101" s="5" t="s">
        <v>238</v>
      </c>
      <c r="BA101" s="5" t="s">
        <v>238</v>
      </c>
      <c r="BC101" s="5" t="s">
        <v>250</v>
      </c>
      <c r="BD101" s="6" t="s">
        <v>243</v>
      </c>
      <c r="BE101" s="5" t="s">
        <v>251</v>
      </c>
      <c r="BF101" s="5" t="s">
        <v>252</v>
      </c>
      <c r="BG101" s="5" t="s">
        <v>238</v>
      </c>
      <c r="BH101" s="7">
        <f>0</f>
        <v>0</v>
      </c>
      <c r="BI101" s="8">
        <f>0</f>
        <v>0</v>
      </c>
      <c r="BJ101" s="5" t="s">
        <v>253</v>
      </c>
      <c r="BK101" s="5" t="s">
        <v>254</v>
      </c>
      <c r="BY101" s="5" t="s">
        <v>238</v>
      </c>
      <c r="BZ101" s="5" t="s">
        <v>238</v>
      </c>
      <c r="CD101" s="5" t="s">
        <v>255</v>
      </c>
      <c r="CE101" s="5" t="s">
        <v>256</v>
      </c>
      <c r="CF101" s="5" t="s">
        <v>238</v>
      </c>
      <c r="CI101" s="6" t="s">
        <v>257</v>
      </c>
      <c r="CJ101" s="5" t="s">
        <v>238</v>
      </c>
      <c r="CK101" s="5" t="s">
        <v>258</v>
      </c>
      <c r="CL101" s="5" t="s">
        <v>238</v>
      </c>
      <c r="CM101" s="5" t="s">
        <v>238</v>
      </c>
      <c r="CN101" s="5">
        <v>0</v>
      </c>
      <c r="CO101" s="5" t="s">
        <v>259</v>
      </c>
      <c r="CP101" s="5" t="s">
        <v>260</v>
      </c>
      <c r="CQ101" s="5" t="s">
        <v>260</v>
      </c>
      <c r="CR101" s="5" t="s">
        <v>261</v>
      </c>
      <c r="CU101" s="8">
        <f>171828</f>
        <v>171828</v>
      </c>
      <c r="CV101" s="8">
        <f>0</f>
        <v>0</v>
      </c>
      <c r="CX101" s="8">
        <f>0</f>
        <v>0</v>
      </c>
      <c r="CY101" s="8">
        <f>171828</f>
        <v>171828</v>
      </c>
      <c r="DA101" s="5" t="s">
        <v>357</v>
      </c>
      <c r="DB101" s="5" t="s">
        <v>238</v>
      </c>
      <c r="DD101" s="5" t="s">
        <v>356</v>
      </c>
      <c r="DE101" s="8">
        <f>0</f>
        <v>0</v>
      </c>
      <c r="DG101" s="5" t="s">
        <v>357</v>
      </c>
      <c r="DH101" s="5" t="s">
        <v>238</v>
      </c>
      <c r="DI101" s="5" t="s">
        <v>238</v>
      </c>
      <c r="DJ101" s="5" t="s">
        <v>238</v>
      </c>
      <c r="DN101" s="5" t="s">
        <v>238</v>
      </c>
      <c r="DO101" s="5" t="s">
        <v>238</v>
      </c>
      <c r="DP101" s="5" t="s">
        <v>238</v>
      </c>
      <c r="DQ101" s="5" t="s">
        <v>238</v>
      </c>
      <c r="DT101" s="5" t="s">
        <v>5237</v>
      </c>
      <c r="DU101" s="5" t="s">
        <v>294</v>
      </c>
      <c r="HM101" s="5" t="s">
        <v>264</v>
      </c>
    </row>
    <row r="102" spans="1:221" x14ac:dyDescent="0.4">
      <c r="A102" s="5">
        <v>813</v>
      </c>
      <c r="B102" s="5">
        <v>1</v>
      </c>
      <c r="C102" s="5">
        <v>1</v>
      </c>
      <c r="D102" s="5" t="s">
        <v>5235</v>
      </c>
      <c r="E102" s="5" t="s">
        <v>475</v>
      </c>
      <c r="F102" s="5" t="s">
        <v>248</v>
      </c>
      <c r="G102" s="5" t="s">
        <v>5234</v>
      </c>
      <c r="H102" s="6" t="s">
        <v>5240</v>
      </c>
      <c r="I102" s="7">
        <f>298</f>
        <v>298</v>
      </c>
      <c r="J102" s="5" t="s">
        <v>262</v>
      </c>
      <c r="K102" s="8">
        <f>660070</f>
        <v>660070</v>
      </c>
      <c r="L102" s="6" t="s">
        <v>242</v>
      </c>
      <c r="M102" s="5" t="s">
        <v>267</v>
      </c>
      <c r="N102" s="5" t="s">
        <v>237</v>
      </c>
      <c r="O102" s="5" t="s">
        <v>238</v>
      </c>
      <c r="P102" s="5" t="s">
        <v>238</v>
      </c>
      <c r="Q102" s="5" t="s">
        <v>239</v>
      </c>
      <c r="R102" s="5" t="s">
        <v>270</v>
      </c>
      <c r="S102" s="5" t="s">
        <v>238</v>
      </c>
      <c r="V102" s="5" t="s">
        <v>238</v>
      </c>
      <c r="X102" s="6" t="s">
        <v>238</v>
      </c>
      <c r="AA102" s="6" t="s">
        <v>243</v>
      </c>
      <c r="AB102" s="5" t="s">
        <v>238</v>
      </c>
      <c r="AC102" s="5" t="s">
        <v>244</v>
      </c>
      <c r="AD102" s="5" t="s">
        <v>245</v>
      </c>
      <c r="AT102" s="5" t="s">
        <v>246</v>
      </c>
      <c r="AU102" s="5" t="s">
        <v>238</v>
      </c>
      <c r="AV102" s="5" t="s">
        <v>247</v>
      </c>
      <c r="AW102" s="5" t="s">
        <v>238</v>
      </c>
      <c r="AX102" s="5" t="s">
        <v>249</v>
      </c>
      <c r="AY102" s="5" t="s">
        <v>238</v>
      </c>
      <c r="BA102" s="5" t="s">
        <v>238</v>
      </c>
      <c r="BC102" s="5" t="s">
        <v>250</v>
      </c>
      <c r="BD102" s="6" t="s">
        <v>243</v>
      </c>
      <c r="BE102" s="5" t="s">
        <v>251</v>
      </c>
      <c r="BF102" s="5" t="s">
        <v>252</v>
      </c>
      <c r="BG102" s="5" t="s">
        <v>238</v>
      </c>
      <c r="BH102" s="7">
        <f>0</f>
        <v>0</v>
      </c>
      <c r="BI102" s="8">
        <f>0</f>
        <v>0</v>
      </c>
      <c r="BJ102" s="5" t="s">
        <v>253</v>
      </c>
      <c r="BK102" s="5" t="s">
        <v>254</v>
      </c>
      <c r="BY102" s="5" t="s">
        <v>238</v>
      </c>
      <c r="BZ102" s="5" t="s">
        <v>238</v>
      </c>
      <c r="CD102" s="5" t="s">
        <v>255</v>
      </c>
      <c r="CE102" s="5" t="s">
        <v>256</v>
      </c>
      <c r="CF102" s="5" t="s">
        <v>238</v>
      </c>
      <c r="CI102" s="6" t="s">
        <v>257</v>
      </c>
      <c r="CJ102" s="5" t="s">
        <v>238</v>
      </c>
      <c r="CK102" s="5" t="s">
        <v>258</v>
      </c>
      <c r="CL102" s="5" t="s">
        <v>238</v>
      </c>
      <c r="CM102" s="5" t="s">
        <v>238</v>
      </c>
      <c r="CN102" s="5">
        <v>0</v>
      </c>
      <c r="CO102" s="5" t="s">
        <v>259</v>
      </c>
      <c r="CP102" s="5" t="s">
        <v>260</v>
      </c>
      <c r="CQ102" s="5" t="s">
        <v>260</v>
      </c>
      <c r="CR102" s="5" t="s">
        <v>261</v>
      </c>
      <c r="CU102" s="8">
        <f>660070</f>
        <v>660070</v>
      </c>
      <c r="CV102" s="8">
        <f>0</f>
        <v>0</v>
      </c>
      <c r="CX102" s="8">
        <f>0</f>
        <v>0</v>
      </c>
      <c r="CY102" s="8">
        <f>660070</f>
        <v>660070</v>
      </c>
      <c r="DA102" s="5" t="s">
        <v>389</v>
      </c>
      <c r="DB102" s="5" t="s">
        <v>238</v>
      </c>
      <c r="DD102" s="5" t="s">
        <v>356</v>
      </c>
      <c r="DE102" s="8">
        <f>0</f>
        <v>0</v>
      </c>
      <c r="DG102" s="5" t="s">
        <v>389</v>
      </c>
      <c r="DH102" s="5" t="s">
        <v>238</v>
      </c>
      <c r="DI102" s="5" t="s">
        <v>238</v>
      </c>
      <c r="DJ102" s="5" t="s">
        <v>238</v>
      </c>
      <c r="DN102" s="5" t="s">
        <v>238</v>
      </c>
      <c r="DO102" s="5" t="s">
        <v>238</v>
      </c>
      <c r="DP102" s="5" t="s">
        <v>238</v>
      </c>
      <c r="DQ102" s="5" t="s">
        <v>238</v>
      </c>
      <c r="DT102" s="5" t="s">
        <v>5237</v>
      </c>
      <c r="DU102" s="5" t="s">
        <v>806</v>
      </c>
      <c r="HM102" s="5" t="s">
        <v>264</v>
      </c>
    </row>
    <row r="103" spans="1:221" x14ac:dyDescent="0.4">
      <c r="A103" s="5">
        <v>814</v>
      </c>
      <c r="B103" s="5">
        <v>1</v>
      </c>
      <c r="C103" s="5">
        <v>1</v>
      </c>
      <c r="D103" s="5" t="s">
        <v>5235</v>
      </c>
      <c r="E103" s="5" t="s">
        <v>475</v>
      </c>
      <c r="F103" s="5" t="s">
        <v>248</v>
      </c>
      <c r="G103" s="5" t="s">
        <v>5234</v>
      </c>
      <c r="H103" s="6" t="s">
        <v>5326</v>
      </c>
      <c r="I103" s="7">
        <f>521</f>
        <v>521</v>
      </c>
      <c r="J103" s="5" t="s">
        <v>262</v>
      </c>
      <c r="K103" s="8">
        <f>22403</f>
        <v>22403</v>
      </c>
      <c r="L103" s="6" t="s">
        <v>242</v>
      </c>
      <c r="M103" s="5" t="s">
        <v>267</v>
      </c>
      <c r="N103" s="5" t="s">
        <v>237</v>
      </c>
      <c r="O103" s="5" t="s">
        <v>238</v>
      </c>
      <c r="P103" s="5" t="s">
        <v>238</v>
      </c>
      <c r="Q103" s="5" t="s">
        <v>239</v>
      </c>
      <c r="R103" s="5" t="s">
        <v>270</v>
      </c>
      <c r="S103" s="5" t="s">
        <v>238</v>
      </c>
      <c r="V103" s="5" t="s">
        <v>238</v>
      </c>
      <c r="X103" s="6" t="s">
        <v>238</v>
      </c>
      <c r="AA103" s="6" t="s">
        <v>243</v>
      </c>
      <c r="AB103" s="5" t="s">
        <v>238</v>
      </c>
      <c r="AC103" s="5" t="s">
        <v>244</v>
      </c>
      <c r="AD103" s="5" t="s">
        <v>245</v>
      </c>
      <c r="AT103" s="5" t="s">
        <v>246</v>
      </c>
      <c r="AU103" s="5" t="s">
        <v>238</v>
      </c>
      <c r="AV103" s="5" t="s">
        <v>247</v>
      </c>
      <c r="AW103" s="5" t="s">
        <v>238</v>
      </c>
      <c r="AX103" s="5" t="s">
        <v>249</v>
      </c>
      <c r="AY103" s="5" t="s">
        <v>238</v>
      </c>
      <c r="BA103" s="5" t="s">
        <v>238</v>
      </c>
      <c r="BC103" s="5" t="s">
        <v>250</v>
      </c>
      <c r="BD103" s="6" t="s">
        <v>243</v>
      </c>
      <c r="BE103" s="5" t="s">
        <v>251</v>
      </c>
      <c r="BF103" s="5" t="s">
        <v>252</v>
      </c>
      <c r="BG103" s="5" t="s">
        <v>238</v>
      </c>
      <c r="BH103" s="7">
        <f>0</f>
        <v>0</v>
      </c>
      <c r="BI103" s="8">
        <f>0</f>
        <v>0</v>
      </c>
      <c r="BJ103" s="5" t="s">
        <v>253</v>
      </c>
      <c r="BK103" s="5" t="s">
        <v>254</v>
      </c>
      <c r="BY103" s="5" t="s">
        <v>238</v>
      </c>
      <c r="BZ103" s="5" t="s">
        <v>238</v>
      </c>
      <c r="CD103" s="5" t="s">
        <v>255</v>
      </c>
      <c r="CE103" s="5" t="s">
        <v>256</v>
      </c>
      <c r="CF103" s="5" t="s">
        <v>238</v>
      </c>
      <c r="CI103" s="6" t="s">
        <v>257</v>
      </c>
      <c r="CJ103" s="5" t="s">
        <v>238</v>
      </c>
      <c r="CK103" s="5" t="s">
        <v>258</v>
      </c>
      <c r="CL103" s="5" t="s">
        <v>238</v>
      </c>
      <c r="CM103" s="5" t="s">
        <v>238</v>
      </c>
      <c r="CN103" s="5">
        <v>0</v>
      </c>
      <c r="CO103" s="5" t="s">
        <v>259</v>
      </c>
      <c r="CP103" s="5" t="s">
        <v>260</v>
      </c>
      <c r="CQ103" s="5" t="s">
        <v>260</v>
      </c>
      <c r="CR103" s="5" t="s">
        <v>261</v>
      </c>
      <c r="CU103" s="8">
        <f>22403</f>
        <v>22403</v>
      </c>
      <c r="CV103" s="8">
        <f>0</f>
        <v>0</v>
      </c>
      <c r="CX103" s="8">
        <f>0</f>
        <v>0</v>
      </c>
      <c r="CY103" s="8">
        <f>22403</f>
        <v>22403</v>
      </c>
      <c r="DA103" s="5" t="s">
        <v>357</v>
      </c>
      <c r="DB103" s="5" t="s">
        <v>238</v>
      </c>
      <c r="DD103" s="5" t="s">
        <v>356</v>
      </c>
      <c r="DE103" s="8">
        <f>0</f>
        <v>0</v>
      </c>
      <c r="DG103" s="5" t="s">
        <v>357</v>
      </c>
      <c r="DH103" s="5" t="s">
        <v>238</v>
      </c>
      <c r="DI103" s="5" t="s">
        <v>238</v>
      </c>
      <c r="DJ103" s="5" t="s">
        <v>238</v>
      </c>
      <c r="DN103" s="5" t="s">
        <v>238</v>
      </c>
      <c r="DO103" s="5" t="s">
        <v>238</v>
      </c>
      <c r="DP103" s="5" t="s">
        <v>238</v>
      </c>
      <c r="DQ103" s="5" t="s">
        <v>238</v>
      </c>
      <c r="DT103" s="5" t="s">
        <v>5237</v>
      </c>
      <c r="DU103" s="5" t="s">
        <v>854</v>
      </c>
      <c r="HM103" s="5" t="s">
        <v>264</v>
      </c>
    </row>
    <row r="104" spans="1:221" x14ac:dyDescent="0.4">
      <c r="A104" s="5">
        <v>815</v>
      </c>
      <c r="B104" s="5">
        <v>1</v>
      </c>
      <c r="C104" s="5">
        <v>1</v>
      </c>
      <c r="D104" s="5" t="s">
        <v>5235</v>
      </c>
      <c r="E104" s="5" t="s">
        <v>475</v>
      </c>
      <c r="F104" s="5" t="s">
        <v>248</v>
      </c>
      <c r="G104" s="5" t="s">
        <v>5234</v>
      </c>
      <c r="H104" s="6" t="s">
        <v>5342</v>
      </c>
      <c r="I104" s="7">
        <f>325</f>
        <v>325</v>
      </c>
      <c r="J104" s="5" t="s">
        <v>262</v>
      </c>
      <c r="K104" s="8">
        <f>13975</f>
        <v>13975</v>
      </c>
      <c r="L104" s="6" t="s">
        <v>242</v>
      </c>
      <c r="M104" s="5" t="s">
        <v>267</v>
      </c>
      <c r="N104" s="5" t="s">
        <v>237</v>
      </c>
      <c r="O104" s="5" t="s">
        <v>238</v>
      </c>
      <c r="P104" s="5" t="s">
        <v>238</v>
      </c>
      <c r="Q104" s="5" t="s">
        <v>239</v>
      </c>
      <c r="R104" s="5" t="s">
        <v>270</v>
      </c>
      <c r="S104" s="5" t="s">
        <v>238</v>
      </c>
      <c r="V104" s="5" t="s">
        <v>238</v>
      </c>
      <c r="X104" s="6" t="s">
        <v>238</v>
      </c>
      <c r="AA104" s="6" t="s">
        <v>243</v>
      </c>
      <c r="AB104" s="5" t="s">
        <v>238</v>
      </c>
      <c r="AC104" s="5" t="s">
        <v>244</v>
      </c>
      <c r="AD104" s="5" t="s">
        <v>245</v>
      </c>
      <c r="AT104" s="5" t="s">
        <v>246</v>
      </c>
      <c r="AU104" s="5" t="s">
        <v>238</v>
      </c>
      <c r="AV104" s="5" t="s">
        <v>247</v>
      </c>
      <c r="AW104" s="5" t="s">
        <v>238</v>
      </c>
      <c r="AX104" s="5" t="s">
        <v>249</v>
      </c>
      <c r="AY104" s="5" t="s">
        <v>238</v>
      </c>
      <c r="BA104" s="5" t="s">
        <v>238</v>
      </c>
      <c r="BC104" s="5" t="s">
        <v>250</v>
      </c>
      <c r="BD104" s="6" t="s">
        <v>243</v>
      </c>
      <c r="BE104" s="5" t="s">
        <v>251</v>
      </c>
      <c r="BF104" s="5" t="s">
        <v>252</v>
      </c>
      <c r="BG104" s="5" t="s">
        <v>238</v>
      </c>
      <c r="BH104" s="7">
        <f>0</f>
        <v>0</v>
      </c>
      <c r="BI104" s="8">
        <f>0</f>
        <v>0</v>
      </c>
      <c r="BJ104" s="5" t="s">
        <v>253</v>
      </c>
      <c r="BK104" s="5" t="s">
        <v>254</v>
      </c>
      <c r="BY104" s="5" t="s">
        <v>238</v>
      </c>
      <c r="BZ104" s="5" t="s">
        <v>238</v>
      </c>
      <c r="CD104" s="5" t="s">
        <v>255</v>
      </c>
      <c r="CE104" s="5" t="s">
        <v>256</v>
      </c>
      <c r="CF104" s="5" t="s">
        <v>238</v>
      </c>
      <c r="CI104" s="6" t="s">
        <v>257</v>
      </c>
      <c r="CJ104" s="5" t="s">
        <v>238</v>
      </c>
      <c r="CK104" s="5" t="s">
        <v>258</v>
      </c>
      <c r="CL104" s="5" t="s">
        <v>238</v>
      </c>
      <c r="CM104" s="5" t="s">
        <v>238</v>
      </c>
      <c r="CN104" s="5">
        <v>0</v>
      </c>
      <c r="CO104" s="5" t="s">
        <v>259</v>
      </c>
      <c r="CP104" s="5" t="s">
        <v>260</v>
      </c>
      <c r="CQ104" s="5" t="s">
        <v>260</v>
      </c>
      <c r="CR104" s="5" t="s">
        <v>261</v>
      </c>
      <c r="CU104" s="8">
        <f>13975</f>
        <v>13975</v>
      </c>
      <c r="CV104" s="8">
        <f>0</f>
        <v>0</v>
      </c>
      <c r="CX104" s="8">
        <f>0</f>
        <v>0</v>
      </c>
      <c r="CY104" s="8">
        <f>13975</f>
        <v>13975</v>
      </c>
      <c r="DA104" s="5" t="s">
        <v>357</v>
      </c>
      <c r="DB104" s="5" t="s">
        <v>238</v>
      </c>
      <c r="DD104" s="5" t="s">
        <v>356</v>
      </c>
      <c r="DE104" s="8">
        <f>0</f>
        <v>0</v>
      </c>
      <c r="DG104" s="5" t="s">
        <v>357</v>
      </c>
      <c r="DH104" s="5" t="s">
        <v>238</v>
      </c>
      <c r="DI104" s="5" t="s">
        <v>238</v>
      </c>
      <c r="DJ104" s="5" t="s">
        <v>238</v>
      </c>
      <c r="DN104" s="5" t="s">
        <v>238</v>
      </c>
      <c r="DO104" s="5" t="s">
        <v>238</v>
      </c>
      <c r="DP104" s="5" t="s">
        <v>238</v>
      </c>
      <c r="DQ104" s="5" t="s">
        <v>238</v>
      </c>
      <c r="DT104" s="5" t="s">
        <v>5237</v>
      </c>
      <c r="DU104" s="5" t="s">
        <v>911</v>
      </c>
      <c r="HM104" s="5" t="s">
        <v>264</v>
      </c>
    </row>
    <row r="105" spans="1:221" x14ac:dyDescent="0.4">
      <c r="A105" s="5">
        <v>816</v>
      </c>
      <c r="B105" s="5">
        <v>1</v>
      </c>
      <c r="C105" s="5">
        <v>1</v>
      </c>
      <c r="D105" s="5" t="s">
        <v>5235</v>
      </c>
      <c r="E105" s="5" t="s">
        <v>475</v>
      </c>
      <c r="F105" s="5" t="s">
        <v>248</v>
      </c>
      <c r="G105" s="5" t="s">
        <v>5234</v>
      </c>
      <c r="H105" s="6" t="s">
        <v>5239</v>
      </c>
      <c r="I105" s="7">
        <f>719</f>
        <v>719</v>
      </c>
      <c r="J105" s="5" t="s">
        <v>262</v>
      </c>
      <c r="K105" s="8">
        <f>76933</f>
        <v>76933</v>
      </c>
      <c r="L105" s="6" t="s">
        <v>242</v>
      </c>
      <c r="M105" s="5" t="s">
        <v>267</v>
      </c>
      <c r="N105" s="5" t="s">
        <v>237</v>
      </c>
      <c r="O105" s="5" t="s">
        <v>238</v>
      </c>
      <c r="P105" s="5" t="s">
        <v>238</v>
      </c>
      <c r="Q105" s="5" t="s">
        <v>239</v>
      </c>
      <c r="R105" s="5" t="s">
        <v>270</v>
      </c>
      <c r="S105" s="5" t="s">
        <v>238</v>
      </c>
      <c r="V105" s="5" t="s">
        <v>238</v>
      </c>
      <c r="X105" s="6" t="s">
        <v>238</v>
      </c>
      <c r="AA105" s="6" t="s">
        <v>243</v>
      </c>
      <c r="AB105" s="5" t="s">
        <v>238</v>
      </c>
      <c r="AC105" s="5" t="s">
        <v>244</v>
      </c>
      <c r="AD105" s="5" t="s">
        <v>245</v>
      </c>
      <c r="AT105" s="5" t="s">
        <v>246</v>
      </c>
      <c r="AU105" s="5" t="s">
        <v>238</v>
      </c>
      <c r="AV105" s="5" t="s">
        <v>247</v>
      </c>
      <c r="AW105" s="5" t="s">
        <v>238</v>
      </c>
      <c r="AX105" s="5" t="s">
        <v>249</v>
      </c>
      <c r="AY105" s="5" t="s">
        <v>238</v>
      </c>
      <c r="BA105" s="5" t="s">
        <v>238</v>
      </c>
      <c r="BC105" s="5" t="s">
        <v>250</v>
      </c>
      <c r="BD105" s="6" t="s">
        <v>243</v>
      </c>
      <c r="BE105" s="5" t="s">
        <v>251</v>
      </c>
      <c r="BF105" s="5" t="s">
        <v>252</v>
      </c>
      <c r="BG105" s="5" t="s">
        <v>238</v>
      </c>
      <c r="BH105" s="7">
        <f>0</f>
        <v>0</v>
      </c>
      <c r="BI105" s="8">
        <f>0</f>
        <v>0</v>
      </c>
      <c r="BJ105" s="5" t="s">
        <v>253</v>
      </c>
      <c r="BK105" s="5" t="s">
        <v>254</v>
      </c>
      <c r="BY105" s="5" t="s">
        <v>238</v>
      </c>
      <c r="BZ105" s="5" t="s">
        <v>238</v>
      </c>
      <c r="CD105" s="5" t="s">
        <v>255</v>
      </c>
      <c r="CE105" s="5" t="s">
        <v>256</v>
      </c>
      <c r="CF105" s="5" t="s">
        <v>238</v>
      </c>
      <c r="CI105" s="6" t="s">
        <v>257</v>
      </c>
      <c r="CJ105" s="5" t="s">
        <v>238</v>
      </c>
      <c r="CK105" s="5" t="s">
        <v>258</v>
      </c>
      <c r="CL105" s="5" t="s">
        <v>238</v>
      </c>
      <c r="CM105" s="5" t="s">
        <v>238</v>
      </c>
      <c r="CN105" s="5">
        <v>0</v>
      </c>
      <c r="CO105" s="5" t="s">
        <v>259</v>
      </c>
      <c r="CP105" s="5" t="s">
        <v>260</v>
      </c>
      <c r="CQ105" s="5" t="s">
        <v>260</v>
      </c>
      <c r="CR105" s="5" t="s">
        <v>261</v>
      </c>
      <c r="CU105" s="8">
        <f>76933</f>
        <v>76933</v>
      </c>
      <c r="CV105" s="8">
        <f>0</f>
        <v>0</v>
      </c>
      <c r="CX105" s="8">
        <f>0</f>
        <v>0</v>
      </c>
      <c r="CY105" s="8">
        <f>76933</f>
        <v>76933</v>
      </c>
      <c r="DA105" s="5" t="s">
        <v>2211</v>
      </c>
      <c r="DB105" s="5" t="s">
        <v>238</v>
      </c>
      <c r="DD105" s="5" t="s">
        <v>356</v>
      </c>
      <c r="DE105" s="8">
        <f>0</f>
        <v>0</v>
      </c>
      <c r="DG105" s="5" t="s">
        <v>2211</v>
      </c>
      <c r="DH105" s="5" t="s">
        <v>238</v>
      </c>
      <c r="DI105" s="5" t="s">
        <v>238</v>
      </c>
      <c r="DJ105" s="5" t="s">
        <v>238</v>
      </c>
      <c r="DN105" s="5" t="s">
        <v>238</v>
      </c>
      <c r="DO105" s="5" t="s">
        <v>238</v>
      </c>
      <c r="DP105" s="5" t="s">
        <v>238</v>
      </c>
      <c r="DQ105" s="5" t="s">
        <v>238</v>
      </c>
      <c r="DT105" s="5" t="s">
        <v>5237</v>
      </c>
      <c r="DU105" s="5" t="s">
        <v>967</v>
      </c>
      <c r="HM105" s="5" t="s">
        <v>264</v>
      </c>
    </row>
    <row r="106" spans="1:221" x14ac:dyDescent="0.4">
      <c r="A106" s="5">
        <v>817</v>
      </c>
      <c r="B106" s="5">
        <v>1</v>
      </c>
      <c r="C106" s="5">
        <v>1</v>
      </c>
      <c r="D106" s="5" t="s">
        <v>5235</v>
      </c>
      <c r="E106" s="5" t="s">
        <v>475</v>
      </c>
      <c r="F106" s="5" t="s">
        <v>248</v>
      </c>
      <c r="G106" s="5" t="s">
        <v>5234</v>
      </c>
      <c r="H106" s="6" t="s">
        <v>5336</v>
      </c>
      <c r="I106" s="7">
        <f>296</f>
        <v>296</v>
      </c>
      <c r="J106" s="5" t="s">
        <v>262</v>
      </c>
      <c r="K106" s="8">
        <f>5624</f>
        <v>5624</v>
      </c>
      <c r="L106" s="6" t="s">
        <v>242</v>
      </c>
      <c r="M106" s="5" t="s">
        <v>267</v>
      </c>
      <c r="N106" s="5" t="s">
        <v>237</v>
      </c>
      <c r="O106" s="5" t="s">
        <v>238</v>
      </c>
      <c r="P106" s="5" t="s">
        <v>238</v>
      </c>
      <c r="Q106" s="5" t="s">
        <v>239</v>
      </c>
      <c r="R106" s="5" t="s">
        <v>270</v>
      </c>
      <c r="S106" s="5" t="s">
        <v>238</v>
      </c>
      <c r="V106" s="5" t="s">
        <v>238</v>
      </c>
      <c r="X106" s="6" t="s">
        <v>238</v>
      </c>
      <c r="AA106" s="6" t="s">
        <v>243</v>
      </c>
      <c r="AB106" s="5" t="s">
        <v>238</v>
      </c>
      <c r="AC106" s="5" t="s">
        <v>244</v>
      </c>
      <c r="AD106" s="5" t="s">
        <v>245</v>
      </c>
      <c r="AT106" s="5" t="s">
        <v>246</v>
      </c>
      <c r="AU106" s="5" t="s">
        <v>238</v>
      </c>
      <c r="AV106" s="5" t="s">
        <v>247</v>
      </c>
      <c r="AW106" s="5" t="s">
        <v>238</v>
      </c>
      <c r="AX106" s="5" t="s">
        <v>249</v>
      </c>
      <c r="AY106" s="5" t="s">
        <v>238</v>
      </c>
      <c r="BA106" s="5" t="s">
        <v>238</v>
      </c>
      <c r="BC106" s="5" t="s">
        <v>250</v>
      </c>
      <c r="BD106" s="6" t="s">
        <v>243</v>
      </c>
      <c r="BE106" s="5" t="s">
        <v>251</v>
      </c>
      <c r="BF106" s="5" t="s">
        <v>252</v>
      </c>
      <c r="BG106" s="5" t="s">
        <v>238</v>
      </c>
      <c r="BH106" s="7">
        <f>0</f>
        <v>0</v>
      </c>
      <c r="BI106" s="8">
        <f>0</f>
        <v>0</v>
      </c>
      <c r="BJ106" s="5" t="s">
        <v>253</v>
      </c>
      <c r="BK106" s="5" t="s">
        <v>254</v>
      </c>
      <c r="BY106" s="5" t="s">
        <v>238</v>
      </c>
      <c r="BZ106" s="5" t="s">
        <v>238</v>
      </c>
      <c r="CD106" s="5" t="s">
        <v>255</v>
      </c>
      <c r="CE106" s="5" t="s">
        <v>256</v>
      </c>
      <c r="CF106" s="5" t="s">
        <v>238</v>
      </c>
      <c r="CI106" s="6" t="s">
        <v>257</v>
      </c>
      <c r="CJ106" s="5" t="s">
        <v>238</v>
      </c>
      <c r="CK106" s="5" t="s">
        <v>258</v>
      </c>
      <c r="CL106" s="5" t="s">
        <v>238</v>
      </c>
      <c r="CM106" s="5" t="s">
        <v>238</v>
      </c>
      <c r="CN106" s="5">
        <v>0</v>
      </c>
      <c r="CO106" s="5" t="s">
        <v>259</v>
      </c>
      <c r="CP106" s="5" t="s">
        <v>260</v>
      </c>
      <c r="CQ106" s="5" t="s">
        <v>260</v>
      </c>
      <c r="CR106" s="5" t="s">
        <v>261</v>
      </c>
      <c r="CU106" s="8">
        <f>5624</f>
        <v>5624</v>
      </c>
      <c r="CV106" s="8">
        <f>0</f>
        <v>0</v>
      </c>
      <c r="CX106" s="8">
        <f>0</f>
        <v>0</v>
      </c>
      <c r="CY106" s="8">
        <f>5624</f>
        <v>5624</v>
      </c>
      <c r="DA106" s="5" t="s">
        <v>2249</v>
      </c>
      <c r="DB106" s="5" t="s">
        <v>238</v>
      </c>
      <c r="DD106" s="5" t="s">
        <v>356</v>
      </c>
      <c r="DE106" s="8">
        <f>0</f>
        <v>0</v>
      </c>
      <c r="DG106" s="5" t="s">
        <v>2249</v>
      </c>
      <c r="DH106" s="5" t="s">
        <v>238</v>
      </c>
      <c r="DI106" s="5" t="s">
        <v>238</v>
      </c>
      <c r="DJ106" s="5" t="s">
        <v>238</v>
      </c>
      <c r="DN106" s="5" t="s">
        <v>238</v>
      </c>
      <c r="DO106" s="5" t="s">
        <v>238</v>
      </c>
      <c r="DP106" s="5" t="s">
        <v>238</v>
      </c>
      <c r="DQ106" s="5" t="s">
        <v>238</v>
      </c>
      <c r="DT106" s="5" t="s">
        <v>5237</v>
      </c>
      <c r="DU106" s="5" t="s">
        <v>1376</v>
      </c>
      <c r="HM106" s="5" t="s">
        <v>264</v>
      </c>
    </row>
    <row r="107" spans="1:221" x14ac:dyDescent="0.4">
      <c r="A107" s="5">
        <v>818</v>
      </c>
      <c r="B107" s="5">
        <v>1</v>
      </c>
      <c r="C107" s="5">
        <v>1</v>
      </c>
      <c r="D107" s="5" t="s">
        <v>5235</v>
      </c>
      <c r="E107" s="5" t="s">
        <v>475</v>
      </c>
      <c r="F107" s="5" t="s">
        <v>248</v>
      </c>
      <c r="G107" s="5" t="s">
        <v>5234</v>
      </c>
      <c r="H107" s="6" t="s">
        <v>5285</v>
      </c>
      <c r="I107" s="7">
        <f>2879</f>
        <v>2879</v>
      </c>
      <c r="J107" s="5" t="s">
        <v>262</v>
      </c>
      <c r="K107" s="8">
        <f>9500700</f>
        <v>9500700</v>
      </c>
      <c r="L107" s="6" t="s">
        <v>242</v>
      </c>
      <c r="M107" s="5" t="s">
        <v>267</v>
      </c>
      <c r="N107" s="5" t="s">
        <v>237</v>
      </c>
      <c r="O107" s="5" t="s">
        <v>238</v>
      </c>
      <c r="P107" s="5" t="s">
        <v>238</v>
      </c>
      <c r="Q107" s="5" t="s">
        <v>239</v>
      </c>
      <c r="R107" s="5" t="s">
        <v>270</v>
      </c>
      <c r="S107" s="5" t="s">
        <v>238</v>
      </c>
      <c r="V107" s="5" t="s">
        <v>238</v>
      </c>
      <c r="X107" s="6" t="s">
        <v>238</v>
      </c>
      <c r="AA107" s="6" t="s">
        <v>243</v>
      </c>
      <c r="AB107" s="5" t="s">
        <v>238</v>
      </c>
      <c r="AC107" s="5" t="s">
        <v>244</v>
      </c>
      <c r="AD107" s="5" t="s">
        <v>245</v>
      </c>
      <c r="AT107" s="5" t="s">
        <v>246</v>
      </c>
      <c r="AU107" s="5" t="s">
        <v>238</v>
      </c>
      <c r="AV107" s="5" t="s">
        <v>247</v>
      </c>
      <c r="AW107" s="5" t="s">
        <v>238</v>
      </c>
      <c r="AX107" s="5" t="s">
        <v>249</v>
      </c>
      <c r="AY107" s="5" t="s">
        <v>238</v>
      </c>
      <c r="BA107" s="5" t="s">
        <v>238</v>
      </c>
      <c r="BC107" s="5" t="s">
        <v>250</v>
      </c>
      <c r="BD107" s="6" t="s">
        <v>243</v>
      </c>
      <c r="BE107" s="5" t="s">
        <v>251</v>
      </c>
      <c r="BF107" s="5" t="s">
        <v>252</v>
      </c>
      <c r="BG107" s="5" t="s">
        <v>238</v>
      </c>
      <c r="BH107" s="7">
        <f>0</f>
        <v>0</v>
      </c>
      <c r="BI107" s="8">
        <f>0</f>
        <v>0</v>
      </c>
      <c r="BJ107" s="5" t="s">
        <v>253</v>
      </c>
      <c r="BK107" s="5" t="s">
        <v>254</v>
      </c>
      <c r="BY107" s="5" t="s">
        <v>238</v>
      </c>
      <c r="BZ107" s="5" t="s">
        <v>238</v>
      </c>
      <c r="CD107" s="5" t="s">
        <v>255</v>
      </c>
      <c r="CE107" s="5" t="s">
        <v>256</v>
      </c>
      <c r="CF107" s="5" t="s">
        <v>238</v>
      </c>
      <c r="CI107" s="6" t="s">
        <v>257</v>
      </c>
      <c r="CJ107" s="5" t="s">
        <v>238</v>
      </c>
      <c r="CK107" s="5" t="s">
        <v>258</v>
      </c>
      <c r="CL107" s="5" t="s">
        <v>238</v>
      </c>
      <c r="CM107" s="5" t="s">
        <v>238</v>
      </c>
      <c r="CN107" s="5">
        <v>0</v>
      </c>
      <c r="CO107" s="5" t="s">
        <v>259</v>
      </c>
      <c r="CP107" s="5" t="s">
        <v>260</v>
      </c>
      <c r="CQ107" s="5" t="s">
        <v>260</v>
      </c>
      <c r="CR107" s="5" t="s">
        <v>261</v>
      </c>
      <c r="CU107" s="8">
        <f>9500700</f>
        <v>9500700</v>
      </c>
      <c r="CV107" s="8">
        <f>0</f>
        <v>0</v>
      </c>
      <c r="CX107" s="8">
        <f>0</f>
        <v>0</v>
      </c>
      <c r="CY107" s="8">
        <f>9500700</f>
        <v>9500700</v>
      </c>
      <c r="DA107" s="5" t="s">
        <v>263</v>
      </c>
      <c r="DB107" s="5" t="s">
        <v>238</v>
      </c>
      <c r="DD107" s="5" t="s">
        <v>356</v>
      </c>
      <c r="DE107" s="8">
        <f>0</f>
        <v>0</v>
      </c>
      <c r="DG107" s="5" t="s">
        <v>263</v>
      </c>
      <c r="DH107" s="5" t="s">
        <v>238</v>
      </c>
      <c r="DI107" s="5" t="s">
        <v>238</v>
      </c>
      <c r="DJ107" s="5" t="s">
        <v>238</v>
      </c>
      <c r="DN107" s="5" t="s">
        <v>238</v>
      </c>
      <c r="DO107" s="5" t="s">
        <v>238</v>
      </c>
      <c r="DP107" s="5" t="s">
        <v>238</v>
      </c>
      <c r="DQ107" s="5" t="s">
        <v>238</v>
      </c>
      <c r="DT107" s="5" t="s">
        <v>5237</v>
      </c>
      <c r="DU107" s="5" t="s">
        <v>1372</v>
      </c>
      <c r="HM107" s="5" t="s">
        <v>264</v>
      </c>
    </row>
    <row r="108" spans="1:221" x14ac:dyDescent="0.4">
      <c r="A108" s="5">
        <v>819</v>
      </c>
      <c r="B108" s="5">
        <v>1</v>
      </c>
      <c r="C108" s="5">
        <v>1</v>
      </c>
      <c r="D108" s="5" t="s">
        <v>5235</v>
      </c>
      <c r="E108" s="5" t="s">
        <v>475</v>
      </c>
      <c r="F108" s="5" t="s">
        <v>248</v>
      </c>
      <c r="G108" s="5" t="s">
        <v>5234</v>
      </c>
      <c r="H108" s="6" t="s">
        <v>5269</v>
      </c>
      <c r="I108" s="7">
        <f>854</f>
        <v>854</v>
      </c>
      <c r="J108" s="5" t="s">
        <v>262</v>
      </c>
      <c r="K108" s="8">
        <f>36722</f>
        <v>36722</v>
      </c>
      <c r="L108" s="6" t="s">
        <v>242</v>
      </c>
      <c r="M108" s="5" t="s">
        <v>267</v>
      </c>
      <c r="N108" s="5" t="s">
        <v>237</v>
      </c>
      <c r="O108" s="5" t="s">
        <v>238</v>
      </c>
      <c r="P108" s="5" t="s">
        <v>238</v>
      </c>
      <c r="Q108" s="5" t="s">
        <v>239</v>
      </c>
      <c r="R108" s="5" t="s">
        <v>270</v>
      </c>
      <c r="S108" s="5" t="s">
        <v>238</v>
      </c>
      <c r="V108" s="5" t="s">
        <v>238</v>
      </c>
      <c r="X108" s="6" t="s">
        <v>238</v>
      </c>
      <c r="AA108" s="6" t="s">
        <v>243</v>
      </c>
      <c r="AB108" s="5" t="s">
        <v>238</v>
      </c>
      <c r="AC108" s="5" t="s">
        <v>244</v>
      </c>
      <c r="AD108" s="5" t="s">
        <v>245</v>
      </c>
      <c r="AT108" s="5" t="s">
        <v>246</v>
      </c>
      <c r="AU108" s="5" t="s">
        <v>238</v>
      </c>
      <c r="AV108" s="5" t="s">
        <v>247</v>
      </c>
      <c r="AW108" s="5" t="s">
        <v>238</v>
      </c>
      <c r="AX108" s="5" t="s">
        <v>249</v>
      </c>
      <c r="AY108" s="5" t="s">
        <v>238</v>
      </c>
      <c r="BA108" s="5" t="s">
        <v>238</v>
      </c>
      <c r="BC108" s="5" t="s">
        <v>250</v>
      </c>
      <c r="BD108" s="6" t="s">
        <v>243</v>
      </c>
      <c r="BE108" s="5" t="s">
        <v>251</v>
      </c>
      <c r="BF108" s="5" t="s">
        <v>252</v>
      </c>
      <c r="BG108" s="5" t="s">
        <v>238</v>
      </c>
      <c r="BH108" s="7">
        <f>0</f>
        <v>0</v>
      </c>
      <c r="BI108" s="8">
        <f>0</f>
        <v>0</v>
      </c>
      <c r="BJ108" s="5" t="s">
        <v>253</v>
      </c>
      <c r="BK108" s="5" t="s">
        <v>254</v>
      </c>
      <c r="BY108" s="5" t="s">
        <v>238</v>
      </c>
      <c r="BZ108" s="5" t="s">
        <v>238</v>
      </c>
      <c r="CD108" s="5" t="s">
        <v>255</v>
      </c>
      <c r="CE108" s="5" t="s">
        <v>256</v>
      </c>
      <c r="CF108" s="5" t="s">
        <v>238</v>
      </c>
      <c r="CI108" s="6" t="s">
        <v>257</v>
      </c>
      <c r="CJ108" s="5" t="s">
        <v>238</v>
      </c>
      <c r="CK108" s="5" t="s">
        <v>258</v>
      </c>
      <c r="CL108" s="5" t="s">
        <v>238</v>
      </c>
      <c r="CM108" s="5" t="s">
        <v>238</v>
      </c>
      <c r="CN108" s="5">
        <v>0</v>
      </c>
      <c r="CO108" s="5" t="s">
        <v>259</v>
      </c>
      <c r="CP108" s="5" t="s">
        <v>260</v>
      </c>
      <c r="CQ108" s="5" t="s">
        <v>260</v>
      </c>
      <c r="CR108" s="5" t="s">
        <v>261</v>
      </c>
      <c r="CU108" s="8">
        <f>36722</f>
        <v>36722</v>
      </c>
      <c r="CV108" s="8">
        <f>0</f>
        <v>0</v>
      </c>
      <c r="CX108" s="8">
        <f>0</f>
        <v>0</v>
      </c>
      <c r="CY108" s="8">
        <f>36722</f>
        <v>36722</v>
      </c>
      <c r="DA108" s="5" t="s">
        <v>357</v>
      </c>
      <c r="DB108" s="5" t="s">
        <v>238</v>
      </c>
      <c r="DD108" s="5" t="s">
        <v>356</v>
      </c>
      <c r="DE108" s="8">
        <f>0</f>
        <v>0</v>
      </c>
      <c r="DG108" s="5" t="s">
        <v>357</v>
      </c>
      <c r="DH108" s="5" t="s">
        <v>238</v>
      </c>
      <c r="DI108" s="5" t="s">
        <v>238</v>
      </c>
      <c r="DJ108" s="5" t="s">
        <v>238</v>
      </c>
      <c r="DN108" s="5" t="s">
        <v>238</v>
      </c>
      <c r="DO108" s="5" t="s">
        <v>238</v>
      </c>
      <c r="DP108" s="5" t="s">
        <v>238</v>
      </c>
      <c r="DQ108" s="5" t="s">
        <v>238</v>
      </c>
      <c r="DT108" s="5" t="s">
        <v>5237</v>
      </c>
      <c r="DU108" s="5" t="s">
        <v>1370</v>
      </c>
      <c r="HM108" s="5" t="s">
        <v>264</v>
      </c>
    </row>
    <row r="109" spans="1:221" x14ac:dyDescent="0.4">
      <c r="A109" s="5">
        <v>820</v>
      </c>
      <c r="B109" s="5">
        <v>1</v>
      </c>
      <c r="C109" s="5">
        <v>1</v>
      </c>
      <c r="D109" s="5" t="s">
        <v>5235</v>
      </c>
      <c r="E109" s="5" t="s">
        <v>475</v>
      </c>
      <c r="F109" s="5" t="s">
        <v>248</v>
      </c>
      <c r="G109" s="5" t="s">
        <v>5234</v>
      </c>
      <c r="H109" s="6" t="s">
        <v>5241</v>
      </c>
      <c r="I109" s="7">
        <f>225</f>
        <v>225</v>
      </c>
      <c r="J109" s="5" t="s">
        <v>262</v>
      </c>
      <c r="K109" s="8">
        <f>6300</f>
        <v>6300</v>
      </c>
      <c r="L109" s="6" t="s">
        <v>242</v>
      </c>
      <c r="M109" s="5" t="s">
        <v>267</v>
      </c>
      <c r="N109" s="5" t="s">
        <v>237</v>
      </c>
      <c r="O109" s="5" t="s">
        <v>238</v>
      </c>
      <c r="P109" s="5" t="s">
        <v>238</v>
      </c>
      <c r="Q109" s="5" t="s">
        <v>239</v>
      </c>
      <c r="R109" s="5" t="s">
        <v>270</v>
      </c>
      <c r="S109" s="5" t="s">
        <v>238</v>
      </c>
      <c r="V109" s="5" t="s">
        <v>238</v>
      </c>
      <c r="X109" s="6" t="s">
        <v>238</v>
      </c>
      <c r="AA109" s="6" t="s">
        <v>243</v>
      </c>
      <c r="AB109" s="5" t="s">
        <v>238</v>
      </c>
      <c r="AC109" s="5" t="s">
        <v>244</v>
      </c>
      <c r="AD109" s="5" t="s">
        <v>245</v>
      </c>
      <c r="AT109" s="5" t="s">
        <v>246</v>
      </c>
      <c r="AU109" s="5" t="s">
        <v>238</v>
      </c>
      <c r="AV109" s="5" t="s">
        <v>247</v>
      </c>
      <c r="AW109" s="5" t="s">
        <v>238</v>
      </c>
      <c r="AX109" s="5" t="s">
        <v>249</v>
      </c>
      <c r="AY109" s="5" t="s">
        <v>238</v>
      </c>
      <c r="BA109" s="5" t="s">
        <v>238</v>
      </c>
      <c r="BC109" s="5" t="s">
        <v>250</v>
      </c>
      <c r="BD109" s="6" t="s">
        <v>243</v>
      </c>
      <c r="BE109" s="5" t="s">
        <v>251</v>
      </c>
      <c r="BF109" s="5" t="s">
        <v>252</v>
      </c>
      <c r="BG109" s="5" t="s">
        <v>238</v>
      </c>
      <c r="BH109" s="7">
        <f>0</f>
        <v>0</v>
      </c>
      <c r="BI109" s="8">
        <f>0</f>
        <v>0</v>
      </c>
      <c r="BJ109" s="5" t="s">
        <v>253</v>
      </c>
      <c r="BK109" s="5" t="s">
        <v>254</v>
      </c>
      <c r="BY109" s="5" t="s">
        <v>238</v>
      </c>
      <c r="BZ109" s="5" t="s">
        <v>238</v>
      </c>
      <c r="CD109" s="5" t="s">
        <v>255</v>
      </c>
      <c r="CE109" s="5" t="s">
        <v>256</v>
      </c>
      <c r="CF109" s="5" t="s">
        <v>238</v>
      </c>
      <c r="CI109" s="6" t="s">
        <v>257</v>
      </c>
      <c r="CJ109" s="5" t="s">
        <v>238</v>
      </c>
      <c r="CK109" s="5" t="s">
        <v>258</v>
      </c>
      <c r="CL109" s="5" t="s">
        <v>238</v>
      </c>
      <c r="CM109" s="5" t="s">
        <v>238</v>
      </c>
      <c r="CN109" s="5">
        <v>0</v>
      </c>
      <c r="CO109" s="5" t="s">
        <v>259</v>
      </c>
      <c r="CP109" s="5" t="s">
        <v>260</v>
      </c>
      <c r="CQ109" s="5" t="s">
        <v>260</v>
      </c>
      <c r="CR109" s="5" t="s">
        <v>261</v>
      </c>
      <c r="CU109" s="8">
        <f>6300</f>
        <v>6300</v>
      </c>
      <c r="CV109" s="8">
        <f>0</f>
        <v>0</v>
      </c>
      <c r="CX109" s="8">
        <f>0</f>
        <v>0</v>
      </c>
      <c r="CY109" s="8">
        <f>6300</f>
        <v>6300</v>
      </c>
      <c r="DA109" s="5" t="s">
        <v>421</v>
      </c>
      <c r="DB109" s="5" t="s">
        <v>238</v>
      </c>
      <c r="DD109" s="5" t="s">
        <v>356</v>
      </c>
      <c r="DE109" s="8">
        <f>0</f>
        <v>0</v>
      </c>
      <c r="DG109" s="5" t="s">
        <v>421</v>
      </c>
      <c r="DH109" s="5" t="s">
        <v>238</v>
      </c>
      <c r="DI109" s="5" t="s">
        <v>238</v>
      </c>
      <c r="DJ109" s="5" t="s">
        <v>238</v>
      </c>
      <c r="DN109" s="5" t="s">
        <v>238</v>
      </c>
      <c r="DO109" s="5" t="s">
        <v>238</v>
      </c>
      <c r="DP109" s="5" t="s">
        <v>238</v>
      </c>
      <c r="DQ109" s="5" t="s">
        <v>238</v>
      </c>
      <c r="DT109" s="5" t="s">
        <v>5237</v>
      </c>
      <c r="DU109" s="5" t="s">
        <v>1364</v>
      </c>
      <c r="HM109" s="5" t="s">
        <v>264</v>
      </c>
    </row>
    <row r="110" spans="1:221" x14ac:dyDescent="0.4">
      <c r="A110" s="5">
        <v>821</v>
      </c>
      <c r="B110" s="5">
        <v>1</v>
      </c>
      <c r="C110" s="5">
        <v>1</v>
      </c>
      <c r="D110" s="5" t="s">
        <v>5235</v>
      </c>
      <c r="E110" s="5" t="s">
        <v>475</v>
      </c>
      <c r="F110" s="5" t="s">
        <v>248</v>
      </c>
      <c r="G110" s="5" t="s">
        <v>5234</v>
      </c>
      <c r="H110" s="6" t="s">
        <v>5316</v>
      </c>
      <c r="I110" s="7">
        <f>251</f>
        <v>251</v>
      </c>
      <c r="J110" s="5" t="s">
        <v>262</v>
      </c>
      <c r="K110" s="8">
        <f>555965</f>
        <v>555965</v>
      </c>
      <c r="L110" s="6" t="s">
        <v>242</v>
      </c>
      <c r="M110" s="5" t="s">
        <v>267</v>
      </c>
      <c r="N110" s="5" t="s">
        <v>237</v>
      </c>
      <c r="O110" s="5" t="s">
        <v>238</v>
      </c>
      <c r="P110" s="5" t="s">
        <v>238</v>
      </c>
      <c r="Q110" s="5" t="s">
        <v>239</v>
      </c>
      <c r="R110" s="5" t="s">
        <v>270</v>
      </c>
      <c r="S110" s="5" t="s">
        <v>238</v>
      </c>
      <c r="V110" s="5" t="s">
        <v>238</v>
      </c>
      <c r="X110" s="6" t="s">
        <v>238</v>
      </c>
      <c r="AA110" s="6" t="s">
        <v>243</v>
      </c>
      <c r="AB110" s="5" t="s">
        <v>238</v>
      </c>
      <c r="AC110" s="5" t="s">
        <v>244</v>
      </c>
      <c r="AD110" s="5" t="s">
        <v>245</v>
      </c>
      <c r="AT110" s="5" t="s">
        <v>246</v>
      </c>
      <c r="AU110" s="5" t="s">
        <v>238</v>
      </c>
      <c r="AV110" s="5" t="s">
        <v>247</v>
      </c>
      <c r="AW110" s="5" t="s">
        <v>238</v>
      </c>
      <c r="AX110" s="5" t="s">
        <v>249</v>
      </c>
      <c r="AY110" s="5" t="s">
        <v>238</v>
      </c>
      <c r="BA110" s="5" t="s">
        <v>238</v>
      </c>
      <c r="BC110" s="5" t="s">
        <v>250</v>
      </c>
      <c r="BD110" s="6" t="s">
        <v>243</v>
      </c>
      <c r="BE110" s="5" t="s">
        <v>251</v>
      </c>
      <c r="BF110" s="5" t="s">
        <v>252</v>
      </c>
      <c r="BG110" s="5" t="s">
        <v>238</v>
      </c>
      <c r="BH110" s="7">
        <f>0</f>
        <v>0</v>
      </c>
      <c r="BI110" s="8">
        <f>0</f>
        <v>0</v>
      </c>
      <c r="BJ110" s="5" t="s">
        <v>253</v>
      </c>
      <c r="BK110" s="5" t="s">
        <v>254</v>
      </c>
      <c r="BY110" s="5" t="s">
        <v>238</v>
      </c>
      <c r="BZ110" s="5" t="s">
        <v>238</v>
      </c>
      <c r="CD110" s="5" t="s">
        <v>255</v>
      </c>
      <c r="CE110" s="5" t="s">
        <v>256</v>
      </c>
      <c r="CF110" s="5" t="s">
        <v>238</v>
      </c>
      <c r="CI110" s="6" t="s">
        <v>257</v>
      </c>
      <c r="CJ110" s="5" t="s">
        <v>238</v>
      </c>
      <c r="CK110" s="5" t="s">
        <v>258</v>
      </c>
      <c r="CL110" s="5" t="s">
        <v>238</v>
      </c>
      <c r="CM110" s="5" t="s">
        <v>238</v>
      </c>
      <c r="CN110" s="5">
        <v>0</v>
      </c>
      <c r="CO110" s="5" t="s">
        <v>259</v>
      </c>
      <c r="CP110" s="5" t="s">
        <v>260</v>
      </c>
      <c r="CQ110" s="5" t="s">
        <v>260</v>
      </c>
      <c r="CR110" s="5" t="s">
        <v>261</v>
      </c>
      <c r="CU110" s="8">
        <f>555965</f>
        <v>555965</v>
      </c>
      <c r="CV110" s="8">
        <f>0</f>
        <v>0</v>
      </c>
      <c r="CX110" s="8">
        <f>0</f>
        <v>0</v>
      </c>
      <c r="CY110" s="8">
        <f>555965</f>
        <v>555965</v>
      </c>
      <c r="DA110" s="5" t="s">
        <v>389</v>
      </c>
      <c r="DB110" s="5" t="s">
        <v>238</v>
      </c>
      <c r="DD110" s="5" t="s">
        <v>356</v>
      </c>
      <c r="DE110" s="8">
        <f>0</f>
        <v>0</v>
      </c>
      <c r="DG110" s="5" t="s">
        <v>389</v>
      </c>
      <c r="DH110" s="5" t="s">
        <v>238</v>
      </c>
      <c r="DI110" s="5" t="s">
        <v>238</v>
      </c>
      <c r="DJ110" s="5" t="s">
        <v>238</v>
      </c>
      <c r="DN110" s="5" t="s">
        <v>238</v>
      </c>
      <c r="DO110" s="5" t="s">
        <v>238</v>
      </c>
      <c r="DP110" s="5" t="s">
        <v>238</v>
      </c>
      <c r="DQ110" s="5" t="s">
        <v>238</v>
      </c>
      <c r="DT110" s="5" t="s">
        <v>5237</v>
      </c>
      <c r="DU110" s="5" t="s">
        <v>1360</v>
      </c>
      <c r="HM110" s="5" t="s">
        <v>264</v>
      </c>
    </row>
    <row r="111" spans="1:221" x14ac:dyDescent="0.4">
      <c r="A111" s="5">
        <v>822</v>
      </c>
      <c r="B111" s="5">
        <v>1</v>
      </c>
      <c r="C111" s="5">
        <v>1</v>
      </c>
      <c r="D111" s="5" t="s">
        <v>6156</v>
      </c>
      <c r="E111" s="5" t="s">
        <v>475</v>
      </c>
      <c r="F111" s="5" t="s">
        <v>248</v>
      </c>
      <c r="G111" s="5" t="s">
        <v>6155</v>
      </c>
      <c r="H111" s="6" t="s">
        <v>6157</v>
      </c>
      <c r="I111" s="7">
        <f>690</f>
        <v>690</v>
      </c>
      <c r="J111" s="5" t="s">
        <v>262</v>
      </c>
      <c r="K111" s="8">
        <f>1528350</f>
        <v>1528350</v>
      </c>
      <c r="L111" s="6" t="s">
        <v>242</v>
      </c>
      <c r="M111" s="5" t="s">
        <v>267</v>
      </c>
      <c r="N111" s="5" t="s">
        <v>237</v>
      </c>
      <c r="O111" s="5" t="s">
        <v>238</v>
      </c>
      <c r="P111" s="5" t="s">
        <v>238</v>
      </c>
      <c r="Q111" s="5" t="s">
        <v>239</v>
      </c>
      <c r="R111" s="5" t="s">
        <v>270</v>
      </c>
      <c r="S111" s="5" t="s">
        <v>238</v>
      </c>
      <c r="V111" s="5" t="s">
        <v>238</v>
      </c>
      <c r="X111" s="6" t="s">
        <v>238</v>
      </c>
      <c r="AA111" s="6" t="s">
        <v>243</v>
      </c>
      <c r="AB111" s="5" t="s">
        <v>238</v>
      </c>
      <c r="AC111" s="5" t="s">
        <v>244</v>
      </c>
      <c r="AD111" s="5" t="s">
        <v>245</v>
      </c>
      <c r="AT111" s="5" t="s">
        <v>246</v>
      </c>
      <c r="AU111" s="5" t="s">
        <v>238</v>
      </c>
      <c r="AV111" s="5" t="s">
        <v>247</v>
      </c>
      <c r="AW111" s="5" t="s">
        <v>238</v>
      </c>
      <c r="AX111" s="5" t="s">
        <v>249</v>
      </c>
      <c r="AY111" s="5" t="s">
        <v>238</v>
      </c>
      <c r="BA111" s="5" t="s">
        <v>4547</v>
      </c>
      <c r="BC111" s="5" t="s">
        <v>250</v>
      </c>
      <c r="BD111" s="6" t="s">
        <v>243</v>
      </c>
      <c r="BE111" s="5" t="s">
        <v>251</v>
      </c>
      <c r="BF111" s="5" t="s">
        <v>252</v>
      </c>
      <c r="BG111" s="5" t="s">
        <v>238</v>
      </c>
      <c r="BH111" s="7">
        <f>0</f>
        <v>0</v>
      </c>
      <c r="BI111" s="8">
        <f>0</f>
        <v>0</v>
      </c>
      <c r="BJ111" s="5" t="s">
        <v>253</v>
      </c>
      <c r="BK111" s="5" t="s">
        <v>254</v>
      </c>
      <c r="BY111" s="5" t="s">
        <v>238</v>
      </c>
      <c r="BZ111" s="5" t="s">
        <v>238</v>
      </c>
      <c r="CD111" s="5" t="s">
        <v>255</v>
      </c>
      <c r="CE111" s="5" t="s">
        <v>256</v>
      </c>
      <c r="CF111" s="5" t="s">
        <v>238</v>
      </c>
      <c r="CI111" s="6" t="s">
        <v>257</v>
      </c>
      <c r="CJ111" s="5" t="s">
        <v>238</v>
      </c>
      <c r="CK111" s="5" t="s">
        <v>258</v>
      </c>
      <c r="CL111" s="5" t="s">
        <v>238</v>
      </c>
      <c r="CM111" s="5" t="s">
        <v>238</v>
      </c>
      <c r="CN111" s="5">
        <v>0</v>
      </c>
      <c r="CO111" s="5" t="s">
        <v>259</v>
      </c>
      <c r="CP111" s="5" t="s">
        <v>260</v>
      </c>
      <c r="CQ111" s="5" t="s">
        <v>260</v>
      </c>
      <c r="CR111" s="5" t="s">
        <v>261</v>
      </c>
      <c r="CU111" s="8">
        <f>1528350</f>
        <v>1528350</v>
      </c>
      <c r="CV111" s="8">
        <f>0</f>
        <v>0</v>
      </c>
      <c r="CX111" s="8">
        <f>0</f>
        <v>0</v>
      </c>
      <c r="CY111" s="8">
        <f>1528350</f>
        <v>1528350</v>
      </c>
      <c r="DA111" s="5" t="s">
        <v>2032</v>
      </c>
      <c r="DB111" s="5" t="s">
        <v>238</v>
      </c>
      <c r="DD111" s="5" t="s">
        <v>356</v>
      </c>
      <c r="DE111" s="8">
        <f>0</f>
        <v>0</v>
      </c>
      <c r="DG111" s="5" t="s">
        <v>389</v>
      </c>
      <c r="DH111" s="5" t="s">
        <v>238</v>
      </c>
      <c r="DI111" s="5" t="s">
        <v>238</v>
      </c>
      <c r="DJ111" s="5" t="s">
        <v>238</v>
      </c>
      <c r="DN111" s="5" t="s">
        <v>238</v>
      </c>
      <c r="DO111" s="5" t="s">
        <v>238</v>
      </c>
      <c r="DP111" s="5" t="s">
        <v>238</v>
      </c>
      <c r="DQ111" s="5" t="s">
        <v>238</v>
      </c>
      <c r="DT111" s="5" t="s">
        <v>6158</v>
      </c>
      <c r="DU111" s="5" t="s">
        <v>264</v>
      </c>
      <c r="HM111" s="5" t="s">
        <v>264</v>
      </c>
    </row>
    <row r="112" spans="1:221" x14ac:dyDescent="0.4">
      <c r="A112" s="5">
        <v>823</v>
      </c>
      <c r="B112" s="5">
        <v>1</v>
      </c>
      <c r="C112" s="5">
        <v>1</v>
      </c>
      <c r="D112" s="5" t="s">
        <v>6156</v>
      </c>
      <c r="E112" s="5" t="s">
        <v>475</v>
      </c>
      <c r="F112" s="5" t="s">
        <v>248</v>
      </c>
      <c r="G112" s="5" t="s">
        <v>6155</v>
      </c>
      <c r="H112" s="6" t="s">
        <v>6272</v>
      </c>
      <c r="I112" s="7">
        <f>2997</f>
        <v>2997</v>
      </c>
      <c r="J112" s="5" t="s">
        <v>262</v>
      </c>
      <c r="K112" s="8">
        <f>6638355</f>
        <v>6638355</v>
      </c>
      <c r="L112" s="6" t="s">
        <v>242</v>
      </c>
      <c r="M112" s="5" t="s">
        <v>267</v>
      </c>
      <c r="N112" s="5" t="s">
        <v>237</v>
      </c>
      <c r="O112" s="5" t="s">
        <v>238</v>
      </c>
      <c r="P112" s="5" t="s">
        <v>238</v>
      </c>
      <c r="Q112" s="5" t="s">
        <v>239</v>
      </c>
      <c r="R112" s="5" t="s">
        <v>270</v>
      </c>
      <c r="S112" s="5" t="s">
        <v>238</v>
      </c>
      <c r="V112" s="5" t="s">
        <v>238</v>
      </c>
      <c r="X112" s="6" t="s">
        <v>238</v>
      </c>
      <c r="AA112" s="6" t="s">
        <v>243</v>
      </c>
      <c r="AB112" s="5" t="s">
        <v>238</v>
      </c>
      <c r="AC112" s="5" t="s">
        <v>244</v>
      </c>
      <c r="AD112" s="5" t="s">
        <v>245</v>
      </c>
      <c r="AT112" s="5" t="s">
        <v>246</v>
      </c>
      <c r="AU112" s="5" t="s">
        <v>238</v>
      </c>
      <c r="AV112" s="5" t="s">
        <v>247</v>
      </c>
      <c r="AW112" s="5" t="s">
        <v>238</v>
      </c>
      <c r="AX112" s="5" t="s">
        <v>249</v>
      </c>
      <c r="AY112" s="5" t="s">
        <v>238</v>
      </c>
      <c r="BA112" s="5" t="s">
        <v>238</v>
      </c>
      <c r="BC112" s="5" t="s">
        <v>250</v>
      </c>
      <c r="BD112" s="6" t="s">
        <v>243</v>
      </c>
      <c r="BE112" s="5" t="s">
        <v>251</v>
      </c>
      <c r="BF112" s="5" t="s">
        <v>252</v>
      </c>
      <c r="BG112" s="5" t="s">
        <v>238</v>
      </c>
      <c r="BH112" s="7">
        <f>0</f>
        <v>0</v>
      </c>
      <c r="BI112" s="8">
        <f>0</f>
        <v>0</v>
      </c>
      <c r="BJ112" s="5" t="s">
        <v>253</v>
      </c>
      <c r="BK112" s="5" t="s">
        <v>254</v>
      </c>
      <c r="BY112" s="5" t="s">
        <v>238</v>
      </c>
      <c r="BZ112" s="5" t="s">
        <v>238</v>
      </c>
      <c r="CD112" s="5" t="s">
        <v>255</v>
      </c>
      <c r="CE112" s="5" t="s">
        <v>256</v>
      </c>
      <c r="CF112" s="5" t="s">
        <v>238</v>
      </c>
      <c r="CI112" s="6" t="s">
        <v>257</v>
      </c>
      <c r="CJ112" s="5" t="s">
        <v>238</v>
      </c>
      <c r="CK112" s="5" t="s">
        <v>258</v>
      </c>
      <c r="CL112" s="5" t="s">
        <v>238</v>
      </c>
      <c r="CM112" s="5" t="s">
        <v>238</v>
      </c>
      <c r="CN112" s="5">
        <v>0</v>
      </c>
      <c r="CO112" s="5" t="s">
        <v>259</v>
      </c>
      <c r="CP112" s="5" t="s">
        <v>260</v>
      </c>
      <c r="CQ112" s="5" t="s">
        <v>260</v>
      </c>
      <c r="CR112" s="5" t="s">
        <v>261</v>
      </c>
      <c r="CU112" s="8">
        <f>6638355</f>
        <v>6638355</v>
      </c>
      <c r="CV112" s="8">
        <f>0</f>
        <v>0</v>
      </c>
      <c r="CX112" s="8">
        <f>0</f>
        <v>0</v>
      </c>
      <c r="CY112" s="8">
        <f>6638355</f>
        <v>6638355</v>
      </c>
      <c r="DA112" s="5" t="s">
        <v>2032</v>
      </c>
      <c r="DB112" s="5" t="s">
        <v>238</v>
      </c>
      <c r="DD112" s="5" t="s">
        <v>356</v>
      </c>
      <c r="DE112" s="8">
        <f>0</f>
        <v>0</v>
      </c>
      <c r="DF112" s="6" t="s">
        <v>6273</v>
      </c>
      <c r="DG112" s="5" t="s">
        <v>389</v>
      </c>
      <c r="DH112" s="5" t="s">
        <v>238</v>
      </c>
      <c r="DI112" s="5" t="s">
        <v>238</v>
      </c>
      <c r="DJ112" s="5" t="s">
        <v>238</v>
      </c>
      <c r="DN112" s="5" t="s">
        <v>238</v>
      </c>
      <c r="DO112" s="5" t="s">
        <v>238</v>
      </c>
      <c r="DP112" s="5" t="s">
        <v>238</v>
      </c>
      <c r="DQ112" s="5" t="s">
        <v>238</v>
      </c>
      <c r="DT112" s="5" t="s">
        <v>6158</v>
      </c>
      <c r="DU112" s="5" t="s">
        <v>294</v>
      </c>
      <c r="HM112" s="5" t="s">
        <v>264</v>
      </c>
    </row>
    <row r="113" spans="1:221" x14ac:dyDescent="0.4">
      <c r="A113" s="5">
        <v>824</v>
      </c>
      <c r="B113" s="5">
        <v>1</v>
      </c>
      <c r="C113" s="5">
        <v>1</v>
      </c>
      <c r="D113" s="5" t="s">
        <v>6275</v>
      </c>
      <c r="E113" s="5" t="s">
        <v>475</v>
      </c>
      <c r="F113" s="5" t="s">
        <v>248</v>
      </c>
      <c r="G113" s="5" t="s">
        <v>6274</v>
      </c>
      <c r="H113" s="6" t="s">
        <v>6276</v>
      </c>
      <c r="I113" s="7">
        <f>80</f>
        <v>80</v>
      </c>
      <c r="J113" s="5" t="s">
        <v>262</v>
      </c>
      <c r="K113" s="8">
        <f>177200</f>
        <v>177200</v>
      </c>
      <c r="L113" s="6" t="s">
        <v>242</v>
      </c>
      <c r="M113" s="5" t="s">
        <v>267</v>
      </c>
      <c r="N113" s="5" t="s">
        <v>237</v>
      </c>
      <c r="O113" s="5" t="s">
        <v>238</v>
      </c>
      <c r="P113" s="5" t="s">
        <v>238</v>
      </c>
      <c r="Q113" s="5" t="s">
        <v>239</v>
      </c>
      <c r="R113" s="5" t="s">
        <v>270</v>
      </c>
      <c r="S113" s="5" t="s">
        <v>238</v>
      </c>
      <c r="V113" s="5" t="s">
        <v>238</v>
      </c>
      <c r="X113" s="6" t="s">
        <v>238</v>
      </c>
      <c r="AA113" s="6" t="s">
        <v>243</v>
      </c>
      <c r="AB113" s="5" t="s">
        <v>238</v>
      </c>
      <c r="AC113" s="5" t="s">
        <v>244</v>
      </c>
      <c r="AD113" s="5" t="s">
        <v>245</v>
      </c>
      <c r="AT113" s="5" t="s">
        <v>246</v>
      </c>
      <c r="AU113" s="5" t="s">
        <v>238</v>
      </c>
      <c r="AV113" s="5" t="s">
        <v>247</v>
      </c>
      <c r="AW113" s="5" t="s">
        <v>238</v>
      </c>
      <c r="AX113" s="5" t="s">
        <v>249</v>
      </c>
      <c r="AY113" s="5" t="s">
        <v>238</v>
      </c>
      <c r="BA113" s="5" t="s">
        <v>4547</v>
      </c>
      <c r="BC113" s="5" t="s">
        <v>250</v>
      </c>
      <c r="BD113" s="6" t="s">
        <v>243</v>
      </c>
      <c r="BE113" s="5" t="s">
        <v>251</v>
      </c>
      <c r="BF113" s="5" t="s">
        <v>252</v>
      </c>
      <c r="BG113" s="5" t="s">
        <v>238</v>
      </c>
      <c r="BH113" s="7">
        <f>0</f>
        <v>0</v>
      </c>
      <c r="BI113" s="8">
        <f>0</f>
        <v>0</v>
      </c>
      <c r="BJ113" s="5" t="s">
        <v>253</v>
      </c>
      <c r="BK113" s="5" t="s">
        <v>254</v>
      </c>
      <c r="BY113" s="5" t="s">
        <v>238</v>
      </c>
      <c r="BZ113" s="5" t="s">
        <v>238</v>
      </c>
      <c r="CD113" s="5" t="s">
        <v>255</v>
      </c>
      <c r="CE113" s="5" t="s">
        <v>256</v>
      </c>
      <c r="CF113" s="5" t="s">
        <v>238</v>
      </c>
      <c r="CI113" s="6" t="s">
        <v>257</v>
      </c>
      <c r="CJ113" s="5" t="s">
        <v>238</v>
      </c>
      <c r="CK113" s="5" t="s">
        <v>258</v>
      </c>
      <c r="CL113" s="5" t="s">
        <v>238</v>
      </c>
      <c r="CM113" s="5" t="s">
        <v>238</v>
      </c>
      <c r="CN113" s="5">
        <v>0</v>
      </c>
      <c r="CO113" s="5" t="s">
        <v>259</v>
      </c>
      <c r="CP113" s="5" t="s">
        <v>260</v>
      </c>
      <c r="CQ113" s="5" t="s">
        <v>260</v>
      </c>
      <c r="CR113" s="5" t="s">
        <v>261</v>
      </c>
      <c r="CU113" s="8">
        <f>177200</f>
        <v>177200</v>
      </c>
      <c r="CV113" s="8">
        <f>0</f>
        <v>0</v>
      </c>
      <c r="CX113" s="8">
        <f>0</f>
        <v>0</v>
      </c>
      <c r="CY113" s="8">
        <f>177200</f>
        <v>177200</v>
      </c>
      <c r="DA113" s="5" t="s">
        <v>2032</v>
      </c>
      <c r="DB113" s="5" t="s">
        <v>238</v>
      </c>
      <c r="DD113" s="5" t="s">
        <v>2032</v>
      </c>
      <c r="DE113" s="8">
        <f>80</f>
        <v>80</v>
      </c>
      <c r="DF113" s="6" t="s">
        <v>6277</v>
      </c>
      <c r="DG113" s="5" t="s">
        <v>389</v>
      </c>
      <c r="DH113" s="5" t="s">
        <v>238</v>
      </c>
      <c r="DI113" s="5" t="s">
        <v>238</v>
      </c>
      <c r="DJ113" s="5" t="s">
        <v>238</v>
      </c>
      <c r="DN113" s="5" t="s">
        <v>238</v>
      </c>
      <c r="DO113" s="5" t="s">
        <v>238</v>
      </c>
      <c r="DP113" s="5" t="s">
        <v>238</v>
      </c>
      <c r="DQ113" s="5" t="s">
        <v>238</v>
      </c>
      <c r="DT113" s="5" t="s">
        <v>6278</v>
      </c>
      <c r="DU113" s="5" t="s">
        <v>264</v>
      </c>
      <c r="HM113" s="5" t="s">
        <v>264</v>
      </c>
    </row>
    <row r="114" spans="1:221" x14ac:dyDescent="0.4">
      <c r="A114" s="5">
        <v>825</v>
      </c>
      <c r="B114" s="5">
        <v>1</v>
      </c>
      <c r="C114" s="5">
        <v>1</v>
      </c>
      <c r="D114" s="5" t="s">
        <v>6275</v>
      </c>
      <c r="E114" s="5" t="s">
        <v>475</v>
      </c>
      <c r="F114" s="5" t="s">
        <v>248</v>
      </c>
      <c r="G114" s="5" t="s">
        <v>6274</v>
      </c>
      <c r="H114" s="6" t="s">
        <v>6279</v>
      </c>
      <c r="I114" s="7">
        <f>762</f>
        <v>762</v>
      </c>
      <c r="J114" s="5" t="s">
        <v>262</v>
      </c>
      <c r="K114" s="8">
        <f>1687830</f>
        <v>1687830</v>
      </c>
      <c r="L114" s="6" t="s">
        <v>242</v>
      </c>
      <c r="M114" s="5" t="s">
        <v>267</v>
      </c>
      <c r="N114" s="5" t="s">
        <v>237</v>
      </c>
      <c r="O114" s="5" t="s">
        <v>238</v>
      </c>
      <c r="P114" s="5" t="s">
        <v>238</v>
      </c>
      <c r="Q114" s="5" t="s">
        <v>239</v>
      </c>
      <c r="R114" s="5" t="s">
        <v>270</v>
      </c>
      <c r="S114" s="5" t="s">
        <v>238</v>
      </c>
      <c r="V114" s="5" t="s">
        <v>238</v>
      </c>
      <c r="X114" s="6" t="s">
        <v>238</v>
      </c>
      <c r="AA114" s="6" t="s">
        <v>243</v>
      </c>
      <c r="AB114" s="5" t="s">
        <v>238</v>
      </c>
      <c r="AC114" s="5" t="s">
        <v>244</v>
      </c>
      <c r="AD114" s="5" t="s">
        <v>245</v>
      </c>
      <c r="AT114" s="5" t="s">
        <v>246</v>
      </c>
      <c r="AU114" s="5" t="s">
        <v>238</v>
      </c>
      <c r="AV114" s="5" t="s">
        <v>247</v>
      </c>
      <c r="AW114" s="5" t="s">
        <v>238</v>
      </c>
      <c r="AX114" s="5" t="s">
        <v>249</v>
      </c>
      <c r="AY114" s="5" t="s">
        <v>238</v>
      </c>
      <c r="BA114" s="5" t="s">
        <v>238</v>
      </c>
      <c r="BC114" s="5" t="s">
        <v>250</v>
      </c>
      <c r="BD114" s="6" t="s">
        <v>243</v>
      </c>
      <c r="BE114" s="5" t="s">
        <v>251</v>
      </c>
      <c r="BF114" s="5" t="s">
        <v>252</v>
      </c>
      <c r="BG114" s="5" t="s">
        <v>238</v>
      </c>
      <c r="BH114" s="7">
        <f>0</f>
        <v>0</v>
      </c>
      <c r="BI114" s="8">
        <f>0</f>
        <v>0</v>
      </c>
      <c r="BJ114" s="5" t="s">
        <v>253</v>
      </c>
      <c r="BK114" s="5" t="s">
        <v>254</v>
      </c>
      <c r="BY114" s="5" t="s">
        <v>238</v>
      </c>
      <c r="BZ114" s="5" t="s">
        <v>238</v>
      </c>
      <c r="CD114" s="5" t="s">
        <v>255</v>
      </c>
      <c r="CE114" s="5" t="s">
        <v>256</v>
      </c>
      <c r="CF114" s="5" t="s">
        <v>238</v>
      </c>
      <c r="CI114" s="6" t="s">
        <v>257</v>
      </c>
      <c r="CJ114" s="5" t="s">
        <v>238</v>
      </c>
      <c r="CK114" s="5" t="s">
        <v>258</v>
      </c>
      <c r="CL114" s="5" t="s">
        <v>238</v>
      </c>
      <c r="CM114" s="5" t="s">
        <v>238</v>
      </c>
      <c r="CN114" s="5">
        <v>0</v>
      </c>
      <c r="CO114" s="5" t="s">
        <v>259</v>
      </c>
      <c r="CP114" s="5" t="s">
        <v>260</v>
      </c>
      <c r="CQ114" s="5" t="s">
        <v>260</v>
      </c>
      <c r="CR114" s="5" t="s">
        <v>261</v>
      </c>
      <c r="CU114" s="8">
        <f>1687830</f>
        <v>1687830</v>
      </c>
      <c r="CV114" s="8">
        <f>0</f>
        <v>0</v>
      </c>
      <c r="CX114" s="8">
        <f>0</f>
        <v>0</v>
      </c>
      <c r="CY114" s="8">
        <f>1687830</f>
        <v>1687830</v>
      </c>
      <c r="DA114" s="5" t="s">
        <v>2032</v>
      </c>
      <c r="DB114" s="5" t="s">
        <v>238</v>
      </c>
      <c r="DD114" s="5" t="s">
        <v>2032</v>
      </c>
      <c r="DE114" s="8">
        <f>762</f>
        <v>762</v>
      </c>
      <c r="DF114" s="6" t="s">
        <v>6280</v>
      </c>
      <c r="DG114" s="5" t="s">
        <v>389</v>
      </c>
      <c r="DH114" s="5" t="s">
        <v>238</v>
      </c>
      <c r="DI114" s="5" t="s">
        <v>238</v>
      </c>
      <c r="DJ114" s="5" t="s">
        <v>238</v>
      </c>
      <c r="DN114" s="5" t="s">
        <v>238</v>
      </c>
      <c r="DO114" s="5" t="s">
        <v>238</v>
      </c>
      <c r="DP114" s="5" t="s">
        <v>238</v>
      </c>
      <c r="DQ114" s="5" t="s">
        <v>238</v>
      </c>
      <c r="DT114" s="5" t="s">
        <v>6278</v>
      </c>
      <c r="DU114" s="5" t="s">
        <v>294</v>
      </c>
      <c r="HM114" s="5" t="s">
        <v>264</v>
      </c>
    </row>
    <row r="115" spans="1:221" x14ac:dyDescent="0.4">
      <c r="A115" s="5">
        <v>826</v>
      </c>
      <c r="B115" s="5">
        <v>1</v>
      </c>
      <c r="C115" s="5">
        <v>1</v>
      </c>
      <c r="D115" s="5" t="s">
        <v>6282</v>
      </c>
      <c r="E115" s="5" t="s">
        <v>475</v>
      </c>
      <c r="F115" s="5" t="s">
        <v>248</v>
      </c>
      <c r="G115" s="5" t="s">
        <v>6281</v>
      </c>
      <c r="H115" s="6" t="s">
        <v>6283</v>
      </c>
      <c r="I115" s="7">
        <f>1847</f>
        <v>1847</v>
      </c>
      <c r="J115" s="5" t="s">
        <v>262</v>
      </c>
      <c r="K115" s="8">
        <f>4091105</f>
        <v>4091105</v>
      </c>
      <c r="L115" s="6" t="s">
        <v>242</v>
      </c>
      <c r="M115" s="5" t="s">
        <v>267</v>
      </c>
      <c r="N115" s="5" t="s">
        <v>237</v>
      </c>
      <c r="O115" s="5" t="s">
        <v>238</v>
      </c>
      <c r="P115" s="5" t="s">
        <v>238</v>
      </c>
      <c r="Q115" s="5" t="s">
        <v>239</v>
      </c>
      <c r="R115" s="5" t="s">
        <v>270</v>
      </c>
      <c r="S115" s="5" t="s">
        <v>238</v>
      </c>
      <c r="V115" s="5" t="s">
        <v>238</v>
      </c>
      <c r="X115" s="6" t="s">
        <v>238</v>
      </c>
      <c r="AA115" s="6" t="s">
        <v>243</v>
      </c>
      <c r="AB115" s="5" t="s">
        <v>238</v>
      </c>
      <c r="AC115" s="5" t="s">
        <v>244</v>
      </c>
      <c r="AD115" s="5" t="s">
        <v>245</v>
      </c>
      <c r="AT115" s="5" t="s">
        <v>246</v>
      </c>
      <c r="AU115" s="5" t="s">
        <v>238</v>
      </c>
      <c r="AV115" s="5" t="s">
        <v>247</v>
      </c>
      <c r="AW115" s="5" t="s">
        <v>238</v>
      </c>
      <c r="AX115" s="5" t="s">
        <v>249</v>
      </c>
      <c r="AY115" s="5" t="s">
        <v>238</v>
      </c>
      <c r="BA115" s="5" t="s">
        <v>4547</v>
      </c>
      <c r="BC115" s="5" t="s">
        <v>250</v>
      </c>
      <c r="BD115" s="6" t="s">
        <v>243</v>
      </c>
      <c r="BE115" s="5" t="s">
        <v>251</v>
      </c>
      <c r="BF115" s="5" t="s">
        <v>252</v>
      </c>
      <c r="BG115" s="5" t="s">
        <v>238</v>
      </c>
      <c r="BH115" s="7">
        <f>0</f>
        <v>0</v>
      </c>
      <c r="BI115" s="8">
        <f>0</f>
        <v>0</v>
      </c>
      <c r="BJ115" s="5" t="s">
        <v>253</v>
      </c>
      <c r="BK115" s="5" t="s">
        <v>254</v>
      </c>
      <c r="BY115" s="5" t="s">
        <v>238</v>
      </c>
      <c r="BZ115" s="5" t="s">
        <v>238</v>
      </c>
      <c r="CD115" s="5" t="s">
        <v>255</v>
      </c>
      <c r="CE115" s="5" t="s">
        <v>256</v>
      </c>
      <c r="CF115" s="5" t="s">
        <v>238</v>
      </c>
      <c r="CI115" s="6" t="s">
        <v>257</v>
      </c>
      <c r="CJ115" s="5" t="s">
        <v>238</v>
      </c>
      <c r="CK115" s="5" t="s">
        <v>258</v>
      </c>
      <c r="CL115" s="5" t="s">
        <v>238</v>
      </c>
      <c r="CM115" s="5" t="s">
        <v>238</v>
      </c>
      <c r="CN115" s="5">
        <v>0</v>
      </c>
      <c r="CO115" s="5" t="s">
        <v>259</v>
      </c>
      <c r="CP115" s="5" t="s">
        <v>260</v>
      </c>
      <c r="CQ115" s="5" t="s">
        <v>260</v>
      </c>
      <c r="CR115" s="5" t="s">
        <v>261</v>
      </c>
      <c r="CU115" s="8">
        <f>4091105</f>
        <v>4091105</v>
      </c>
      <c r="CV115" s="8">
        <f>0</f>
        <v>0</v>
      </c>
      <c r="CX115" s="8">
        <f>0</f>
        <v>0</v>
      </c>
      <c r="CY115" s="8">
        <f>4091105</f>
        <v>4091105</v>
      </c>
      <c r="DA115" s="5" t="s">
        <v>2032</v>
      </c>
      <c r="DB115" s="5" t="s">
        <v>238</v>
      </c>
      <c r="DD115" s="5" t="s">
        <v>2032</v>
      </c>
      <c r="DE115" s="8">
        <f>1847</f>
        <v>1847</v>
      </c>
      <c r="DF115" s="6" t="s">
        <v>6284</v>
      </c>
      <c r="DG115" s="5" t="s">
        <v>389</v>
      </c>
      <c r="DH115" s="5" t="s">
        <v>238</v>
      </c>
      <c r="DI115" s="5" t="s">
        <v>238</v>
      </c>
      <c r="DJ115" s="5" t="s">
        <v>238</v>
      </c>
      <c r="DN115" s="5" t="s">
        <v>238</v>
      </c>
      <c r="DO115" s="5" t="s">
        <v>238</v>
      </c>
      <c r="DP115" s="5" t="s">
        <v>238</v>
      </c>
      <c r="DQ115" s="5" t="s">
        <v>238</v>
      </c>
      <c r="DT115" s="5" t="s">
        <v>6285</v>
      </c>
      <c r="DU115" s="5" t="s">
        <v>264</v>
      </c>
      <c r="HM115" s="5" t="s">
        <v>264</v>
      </c>
    </row>
    <row r="116" spans="1:221" x14ac:dyDescent="0.4">
      <c r="A116" s="5">
        <v>827</v>
      </c>
      <c r="B116" s="5">
        <v>1</v>
      </c>
      <c r="C116" s="5">
        <v>1</v>
      </c>
      <c r="D116" s="5" t="s">
        <v>6282</v>
      </c>
      <c r="E116" s="5" t="s">
        <v>475</v>
      </c>
      <c r="F116" s="5" t="s">
        <v>248</v>
      </c>
      <c r="G116" s="5" t="s">
        <v>6281</v>
      </c>
      <c r="H116" s="6" t="s">
        <v>6286</v>
      </c>
      <c r="I116" s="7">
        <f>599</f>
        <v>599</v>
      </c>
      <c r="J116" s="5" t="s">
        <v>262</v>
      </c>
      <c r="K116" s="8">
        <f>1326785</f>
        <v>1326785</v>
      </c>
      <c r="L116" s="6" t="s">
        <v>242</v>
      </c>
      <c r="M116" s="5" t="s">
        <v>267</v>
      </c>
      <c r="N116" s="5" t="s">
        <v>237</v>
      </c>
      <c r="O116" s="5" t="s">
        <v>238</v>
      </c>
      <c r="P116" s="5" t="s">
        <v>238</v>
      </c>
      <c r="Q116" s="5" t="s">
        <v>239</v>
      </c>
      <c r="R116" s="5" t="s">
        <v>270</v>
      </c>
      <c r="S116" s="5" t="s">
        <v>238</v>
      </c>
      <c r="V116" s="5" t="s">
        <v>238</v>
      </c>
      <c r="X116" s="6" t="s">
        <v>238</v>
      </c>
      <c r="AA116" s="6" t="s">
        <v>243</v>
      </c>
      <c r="AB116" s="5" t="s">
        <v>238</v>
      </c>
      <c r="AC116" s="5" t="s">
        <v>244</v>
      </c>
      <c r="AD116" s="5" t="s">
        <v>245</v>
      </c>
      <c r="AT116" s="5" t="s">
        <v>246</v>
      </c>
      <c r="AU116" s="5" t="s">
        <v>238</v>
      </c>
      <c r="AV116" s="5" t="s">
        <v>247</v>
      </c>
      <c r="AW116" s="5" t="s">
        <v>238</v>
      </c>
      <c r="AX116" s="5" t="s">
        <v>249</v>
      </c>
      <c r="AY116" s="5" t="s">
        <v>238</v>
      </c>
      <c r="BA116" s="5" t="s">
        <v>238</v>
      </c>
      <c r="BC116" s="5" t="s">
        <v>250</v>
      </c>
      <c r="BD116" s="6" t="s">
        <v>243</v>
      </c>
      <c r="BE116" s="5" t="s">
        <v>251</v>
      </c>
      <c r="BF116" s="5" t="s">
        <v>252</v>
      </c>
      <c r="BG116" s="5" t="s">
        <v>238</v>
      </c>
      <c r="BH116" s="7">
        <f>0</f>
        <v>0</v>
      </c>
      <c r="BI116" s="8">
        <f>0</f>
        <v>0</v>
      </c>
      <c r="BJ116" s="5" t="s">
        <v>253</v>
      </c>
      <c r="BK116" s="5" t="s">
        <v>254</v>
      </c>
      <c r="BY116" s="5" t="s">
        <v>238</v>
      </c>
      <c r="BZ116" s="5" t="s">
        <v>238</v>
      </c>
      <c r="CD116" s="5" t="s">
        <v>255</v>
      </c>
      <c r="CE116" s="5" t="s">
        <v>256</v>
      </c>
      <c r="CF116" s="5" t="s">
        <v>238</v>
      </c>
      <c r="CI116" s="6" t="s">
        <v>257</v>
      </c>
      <c r="CJ116" s="5" t="s">
        <v>238</v>
      </c>
      <c r="CK116" s="5" t="s">
        <v>258</v>
      </c>
      <c r="CL116" s="5" t="s">
        <v>238</v>
      </c>
      <c r="CM116" s="5" t="s">
        <v>238</v>
      </c>
      <c r="CN116" s="5">
        <v>0</v>
      </c>
      <c r="CO116" s="5" t="s">
        <v>259</v>
      </c>
      <c r="CP116" s="5" t="s">
        <v>260</v>
      </c>
      <c r="CQ116" s="5" t="s">
        <v>260</v>
      </c>
      <c r="CR116" s="5" t="s">
        <v>261</v>
      </c>
      <c r="CU116" s="8">
        <f>1326785</f>
        <v>1326785</v>
      </c>
      <c r="CV116" s="8">
        <f>0</f>
        <v>0</v>
      </c>
      <c r="CX116" s="8">
        <f>0</f>
        <v>0</v>
      </c>
      <c r="CY116" s="8">
        <f>1326785</f>
        <v>1326785</v>
      </c>
      <c r="DA116" s="5" t="s">
        <v>2032</v>
      </c>
      <c r="DB116" s="5" t="s">
        <v>238</v>
      </c>
      <c r="DD116" s="5" t="s">
        <v>2032</v>
      </c>
      <c r="DE116" s="8">
        <f>599</f>
        <v>599</v>
      </c>
      <c r="DF116" s="6" t="s">
        <v>6287</v>
      </c>
      <c r="DG116" s="5" t="s">
        <v>389</v>
      </c>
      <c r="DH116" s="5" t="s">
        <v>238</v>
      </c>
      <c r="DI116" s="5" t="s">
        <v>238</v>
      </c>
      <c r="DJ116" s="5" t="s">
        <v>238</v>
      </c>
      <c r="DN116" s="5" t="s">
        <v>238</v>
      </c>
      <c r="DO116" s="5" t="s">
        <v>238</v>
      </c>
      <c r="DP116" s="5" t="s">
        <v>238</v>
      </c>
      <c r="DQ116" s="5" t="s">
        <v>238</v>
      </c>
      <c r="DT116" s="5" t="s">
        <v>6285</v>
      </c>
      <c r="DU116" s="5" t="s">
        <v>294</v>
      </c>
      <c r="HM116" s="5" t="s">
        <v>264</v>
      </c>
    </row>
    <row r="117" spans="1:221" x14ac:dyDescent="0.4">
      <c r="A117" s="5">
        <v>828</v>
      </c>
      <c r="B117" s="5">
        <v>1</v>
      </c>
      <c r="C117" s="5">
        <v>1</v>
      </c>
      <c r="D117" s="5" t="s">
        <v>6268</v>
      </c>
      <c r="E117" s="5" t="s">
        <v>475</v>
      </c>
      <c r="F117" s="5" t="s">
        <v>248</v>
      </c>
      <c r="G117" s="5" t="s">
        <v>6267</v>
      </c>
      <c r="H117" s="6" t="s">
        <v>6269</v>
      </c>
      <c r="I117" s="7">
        <f>2283</f>
        <v>2283</v>
      </c>
      <c r="J117" s="5" t="s">
        <v>262</v>
      </c>
      <c r="K117" s="8">
        <f>5056845</f>
        <v>5056845</v>
      </c>
      <c r="L117" s="6" t="s">
        <v>242</v>
      </c>
      <c r="M117" s="5" t="s">
        <v>267</v>
      </c>
      <c r="N117" s="5" t="s">
        <v>237</v>
      </c>
      <c r="O117" s="5" t="s">
        <v>238</v>
      </c>
      <c r="P117" s="5" t="s">
        <v>238</v>
      </c>
      <c r="Q117" s="5" t="s">
        <v>239</v>
      </c>
      <c r="R117" s="5" t="s">
        <v>270</v>
      </c>
      <c r="S117" s="5" t="s">
        <v>238</v>
      </c>
      <c r="V117" s="5" t="s">
        <v>238</v>
      </c>
      <c r="X117" s="6" t="s">
        <v>238</v>
      </c>
      <c r="AA117" s="6" t="s">
        <v>243</v>
      </c>
      <c r="AB117" s="5" t="s">
        <v>238</v>
      </c>
      <c r="AC117" s="5" t="s">
        <v>244</v>
      </c>
      <c r="AD117" s="5" t="s">
        <v>245</v>
      </c>
      <c r="AT117" s="5" t="s">
        <v>246</v>
      </c>
      <c r="AU117" s="5" t="s">
        <v>238</v>
      </c>
      <c r="AV117" s="5" t="s">
        <v>247</v>
      </c>
      <c r="AW117" s="5" t="s">
        <v>238</v>
      </c>
      <c r="AX117" s="5" t="s">
        <v>249</v>
      </c>
      <c r="AY117" s="5" t="s">
        <v>238</v>
      </c>
      <c r="BA117" s="5" t="s">
        <v>4547</v>
      </c>
      <c r="BC117" s="5" t="s">
        <v>250</v>
      </c>
      <c r="BD117" s="6" t="s">
        <v>243</v>
      </c>
      <c r="BE117" s="5" t="s">
        <v>251</v>
      </c>
      <c r="BF117" s="5" t="s">
        <v>252</v>
      </c>
      <c r="BG117" s="5" t="s">
        <v>238</v>
      </c>
      <c r="BH117" s="7">
        <f>0</f>
        <v>0</v>
      </c>
      <c r="BI117" s="8">
        <f>0</f>
        <v>0</v>
      </c>
      <c r="BJ117" s="5" t="s">
        <v>253</v>
      </c>
      <c r="BK117" s="5" t="s">
        <v>254</v>
      </c>
      <c r="BY117" s="5" t="s">
        <v>238</v>
      </c>
      <c r="BZ117" s="5" t="s">
        <v>238</v>
      </c>
      <c r="CD117" s="5" t="s">
        <v>255</v>
      </c>
      <c r="CE117" s="5" t="s">
        <v>256</v>
      </c>
      <c r="CF117" s="5" t="s">
        <v>238</v>
      </c>
      <c r="CI117" s="6" t="s">
        <v>257</v>
      </c>
      <c r="CJ117" s="5" t="s">
        <v>238</v>
      </c>
      <c r="CK117" s="5" t="s">
        <v>258</v>
      </c>
      <c r="CL117" s="5" t="s">
        <v>238</v>
      </c>
      <c r="CM117" s="5" t="s">
        <v>238</v>
      </c>
      <c r="CN117" s="5">
        <v>0</v>
      </c>
      <c r="CO117" s="5" t="s">
        <v>259</v>
      </c>
      <c r="CP117" s="5" t="s">
        <v>260</v>
      </c>
      <c r="CQ117" s="5" t="s">
        <v>260</v>
      </c>
      <c r="CR117" s="5" t="s">
        <v>261</v>
      </c>
      <c r="CU117" s="8">
        <f>5056845</f>
        <v>5056845</v>
      </c>
      <c r="CV117" s="8">
        <f>0</f>
        <v>0</v>
      </c>
      <c r="CX117" s="8">
        <f>0</f>
        <v>0</v>
      </c>
      <c r="CY117" s="8">
        <f>5056845</f>
        <v>5056845</v>
      </c>
      <c r="DA117" s="5" t="s">
        <v>2032</v>
      </c>
      <c r="DB117" s="5" t="s">
        <v>238</v>
      </c>
      <c r="DD117" s="5" t="s">
        <v>2032</v>
      </c>
      <c r="DE117" s="8">
        <f>2283</f>
        <v>2283</v>
      </c>
      <c r="DF117" s="6" t="s">
        <v>6270</v>
      </c>
      <c r="DG117" s="5" t="s">
        <v>389</v>
      </c>
      <c r="DH117" s="5" t="s">
        <v>238</v>
      </c>
      <c r="DI117" s="5" t="s">
        <v>238</v>
      </c>
      <c r="DJ117" s="5" t="s">
        <v>238</v>
      </c>
      <c r="DN117" s="5" t="s">
        <v>238</v>
      </c>
      <c r="DO117" s="5" t="s">
        <v>238</v>
      </c>
      <c r="DP117" s="5" t="s">
        <v>238</v>
      </c>
      <c r="DQ117" s="5" t="s">
        <v>238</v>
      </c>
      <c r="DT117" s="5" t="s">
        <v>6271</v>
      </c>
      <c r="DU117" s="5" t="s">
        <v>264</v>
      </c>
      <c r="HM117" s="5" t="s">
        <v>264</v>
      </c>
    </row>
    <row r="118" spans="1:221" x14ac:dyDescent="0.4">
      <c r="A118" s="5">
        <v>829</v>
      </c>
      <c r="B118" s="5">
        <v>1</v>
      </c>
      <c r="C118" s="5">
        <v>1</v>
      </c>
      <c r="D118" s="5" t="s">
        <v>6263</v>
      </c>
      <c r="E118" s="5" t="s">
        <v>475</v>
      </c>
      <c r="F118" s="5" t="s">
        <v>248</v>
      </c>
      <c r="G118" s="5" t="s">
        <v>6262</v>
      </c>
      <c r="H118" s="6" t="s">
        <v>6264</v>
      </c>
      <c r="I118" s="7">
        <f>6540</f>
        <v>6540</v>
      </c>
      <c r="J118" s="5" t="s">
        <v>262</v>
      </c>
      <c r="K118" s="8">
        <f>14486100</f>
        <v>14486100</v>
      </c>
      <c r="L118" s="6" t="s">
        <v>242</v>
      </c>
      <c r="M118" s="5" t="s">
        <v>267</v>
      </c>
      <c r="N118" s="5" t="s">
        <v>237</v>
      </c>
      <c r="O118" s="5" t="s">
        <v>238</v>
      </c>
      <c r="P118" s="5" t="s">
        <v>238</v>
      </c>
      <c r="Q118" s="5" t="s">
        <v>239</v>
      </c>
      <c r="R118" s="5" t="s">
        <v>270</v>
      </c>
      <c r="S118" s="5" t="s">
        <v>238</v>
      </c>
      <c r="V118" s="5" t="s">
        <v>238</v>
      </c>
      <c r="X118" s="6" t="s">
        <v>238</v>
      </c>
      <c r="AA118" s="6" t="s">
        <v>243</v>
      </c>
      <c r="AB118" s="5" t="s">
        <v>238</v>
      </c>
      <c r="AC118" s="5" t="s">
        <v>244</v>
      </c>
      <c r="AD118" s="5" t="s">
        <v>245</v>
      </c>
      <c r="AT118" s="5" t="s">
        <v>246</v>
      </c>
      <c r="AU118" s="5" t="s">
        <v>238</v>
      </c>
      <c r="AV118" s="5" t="s">
        <v>247</v>
      </c>
      <c r="AW118" s="5" t="s">
        <v>238</v>
      </c>
      <c r="AX118" s="5" t="s">
        <v>249</v>
      </c>
      <c r="AY118" s="5" t="s">
        <v>238</v>
      </c>
      <c r="BA118" s="5" t="s">
        <v>4547</v>
      </c>
      <c r="BC118" s="5" t="s">
        <v>250</v>
      </c>
      <c r="BD118" s="6" t="s">
        <v>243</v>
      </c>
      <c r="BE118" s="5" t="s">
        <v>251</v>
      </c>
      <c r="BF118" s="5" t="s">
        <v>252</v>
      </c>
      <c r="BG118" s="5" t="s">
        <v>238</v>
      </c>
      <c r="BH118" s="7">
        <f>0</f>
        <v>0</v>
      </c>
      <c r="BI118" s="8">
        <f>0</f>
        <v>0</v>
      </c>
      <c r="BJ118" s="5" t="s">
        <v>253</v>
      </c>
      <c r="BK118" s="5" t="s">
        <v>254</v>
      </c>
      <c r="BY118" s="5" t="s">
        <v>238</v>
      </c>
      <c r="BZ118" s="5" t="s">
        <v>238</v>
      </c>
      <c r="CD118" s="5" t="s">
        <v>255</v>
      </c>
      <c r="CE118" s="5" t="s">
        <v>256</v>
      </c>
      <c r="CF118" s="5" t="s">
        <v>238</v>
      </c>
      <c r="CI118" s="6" t="s">
        <v>257</v>
      </c>
      <c r="CJ118" s="5" t="s">
        <v>238</v>
      </c>
      <c r="CK118" s="5" t="s">
        <v>258</v>
      </c>
      <c r="CL118" s="5" t="s">
        <v>238</v>
      </c>
      <c r="CM118" s="5" t="s">
        <v>238</v>
      </c>
      <c r="CN118" s="5">
        <v>0</v>
      </c>
      <c r="CO118" s="5" t="s">
        <v>259</v>
      </c>
      <c r="CP118" s="5" t="s">
        <v>260</v>
      </c>
      <c r="CQ118" s="5" t="s">
        <v>260</v>
      </c>
      <c r="CR118" s="5" t="s">
        <v>261</v>
      </c>
      <c r="CU118" s="8">
        <f>14486100</f>
        <v>14486100</v>
      </c>
      <c r="CV118" s="8">
        <f>0</f>
        <v>0</v>
      </c>
      <c r="CX118" s="8">
        <f>0</f>
        <v>0</v>
      </c>
      <c r="CY118" s="8">
        <f>14486100</f>
        <v>14486100</v>
      </c>
      <c r="DA118" s="5" t="s">
        <v>2032</v>
      </c>
      <c r="DB118" s="5" t="s">
        <v>238</v>
      </c>
      <c r="DD118" s="5" t="s">
        <v>2032</v>
      </c>
      <c r="DE118" s="8">
        <f>6540</f>
        <v>6540</v>
      </c>
      <c r="DF118" s="6" t="s">
        <v>6265</v>
      </c>
      <c r="DG118" s="5" t="s">
        <v>389</v>
      </c>
      <c r="DH118" s="5" t="s">
        <v>238</v>
      </c>
      <c r="DI118" s="5" t="s">
        <v>238</v>
      </c>
      <c r="DJ118" s="5" t="s">
        <v>238</v>
      </c>
      <c r="DN118" s="5" t="s">
        <v>238</v>
      </c>
      <c r="DO118" s="5" t="s">
        <v>238</v>
      </c>
      <c r="DP118" s="5" t="s">
        <v>238</v>
      </c>
      <c r="DQ118" s="5" t="s">
        <v>238</v>
      </c>
      <c r="DT118" s="5" t="s">
        <v>6266</v>
      </c>
      <c r="DU118" s="5" t="s">
        <v>264</v>
      </c>
      <c r="HM118" s="5" t="s">
        <v>264</v>
      </c>
    </row>
    <row r="119" spans="1:221" x14ac:dyDescent="0.4">
      <c r="A119" s="5">
        <v>830</v>
      </c>
      <c r="B119" s="5">
        <v>1</v>
      </c>
      <c r="C119" s="5">
        <v>1</v>
      </c>
      <c r="D119" s="5" t="s">
        <v>6289</v>
      </c>
      <c r="E119" s="5" t="s">
        <v>475</v>
      </c>
      <c r="F119" s="5" t="s">
        <v>248</v>
      </c>
      <c r="G119" s="5" t="s">
        <v>6288</v>
      </c>
      <c r="H119" s="6" t="s">
        <v>6290</v>
      </c>
      <c r="I119" s="7">
        <f>74</f>
        <v>74</v>
      </c>
      <c r="J119" s="5" t="s">
        <v>262</v>
      </c>
      <c r="K119" s="8">
        <f>163910</f>
        <v>163910</v>
      </c>
      <c r="L119" s="6" t="s">
        <v>242</v>
      </c>
      <c r="M119" s="5" t="s">
        <v>267</v>
      </c>
      <c r="N119" s="5" t="s">
        <v>237</v>
      </c>
      <c r="O119" s="5" t="s">
        <v>238</v>
      </c>
      <c r="P119" s="5" t="s">
        <v>238</v>
      </c>
      <c r="Q119" s="5" t="s">
        <v>239</v>
      </c>
      <c r="R119" s="5" t="s">
        <v>270</v>
      </c>
      <c r="S119" s="5" t="s">
        <v>238</v>
      </c>
      <c r="V119" s="5" t="s">
        <v>238</v>
      </c>
      <c r="X119" s="6" t="s">
        <v>238</v>
      </c>
      <c r="AA119" s="6" t="s">
        <v>243</v>
      </c>
      <c r="AB119" s="5" t="s">
        <v>238</v>
      </c>
      <c r="AC119" s="5" t="s">
        <v>244</v>
      </c>
      <c r="AD119" s="5" t="s">
        <v>245</v>
      </c>
      <c r="AT119" s="5" t="s">
        <v>246</v>
      </c>
      <c r="AU119" s="5" t="s">
        <v>238</v>
      </c>
      <c r="AV119" s="5" t="s">
        <v>247</v>
      </c>
      <c r="AW119" s="5" t="s">
        <v>238</v>
      </c>
      <c r="AX119" s="5" t="s">
        <v>249</v>
      </c>
      <c r="AY119" s="5" t="s">
        <v>238</v>
      </c>
      <c r="BA119" s="5" t="s">
        <v>4547</v>
      </c>
      <c r="BC119" s="5" t="s">
        <v>250</v>
      </c>
      <c r="BD119" s="6" t="s">
        <v>243</v>
      </c>
      <c r="BE119" s="5" t="s">
        <v>251</v>
      </c>
      <c r="BF119" s="5" t="s">
        <v>252</v>
      </c>
      <c r="BG119" s="5" t="s">
        <v>238</v>
      </c>
      <c r="BH119" s="7">
        <f>0</f>
        <v>0</v>
      </c>
      <c r="BI119" s="8">
        <f>0</f>
        <v>0</v>
      </c>
      <c r="BJ119" s="5" t="s">
        <v>253</v>
      </c>
      <c r="BK119" s="5" t="s">
        <v>254</v>
      </c>
      <c r="BY119" s="5" t="s">
        <v>238</v>
      </c>
      <c r="BZ119" s="5" t="s">
        <v>238</v>
      </c>
      <c r="CD119" s="5" t="s">
        <v>255</v>
      </c>
      <c r="CE119" s="5" t="s">
        <v>256</v>
      </c>
      <c r="CF119" s="5" t="s">
        <v>238</v>
      </c>
      <c r="CI119" s="6" t="s">
        <v>257</v>
      </c>
      <c r="CJ119" s="5" t="s">
        <v>238</v>
      </c>
      <c r="CK119" s="5" t="s">
        <v>258</v>
      </c>
      <c r="CL119" s="5" t="s">
        <v>238</v>
      </c>
      <c r="CM119" s="5" t="s">
        <v>238</v>
      </c>
      <c r="CN119" s="5">
        <v>0</v>
      </c>
      <c r="CO119" s="5" t="s">
        <v>259</v>
      </c>
      <c r="CP119" s="5" t="s">
        <v>260</v>
      </c>
      <c r="CQ119" s="5" t="s">
        <v>260</v>
      </c>
      <c r="CR119" s="5" t="s">
        <v>261</v>
      </c>
      <c r="CU119" s="8">
        <f>163910</f>
        <v>163910</v>
      </c>
      <c r="CV119" s="8">
        <f>0</f>
        <v>0</v>
      </c>
      <c r="CX119" s="8">
        <f>0</f>
        <v>0</v>
      </c>
      <c r="CY119" s="8">
        <f>163910</f>
        <v>163910</v>
      </c>
      <c r="DA119" s="5" t="s">
        <v>2032</v>
      </c>
      <c r="DB119" s="5" t="s">
        <v>238</v>
      </c>
      <c r="DD119" s="5" t="s">
        <v>2032</v>
      </c>
      <c r="DE119" s="8">
        <f>74</f>
        <v>74</v>
      </c>
      <c r="DF119" s="6" t="s">
        <v>6265</v>
      </c>
      <c r="DG119" s="5" t="s">
        <v>389</v>
      </c>
      <c r="DH119" s="5" t="s">
        <v>238</v>
      </c>
      <c r="DI119" s="5" t="s">
        <v>238</v>
      </c>
      <c r="DJ119" s="5" t="s">
        <v>238</v>
      </c>
      <c r="DN119" s="5" t="s">
        <v>238</v>
      </c>
      <c r="DO119" s="5" t="s">
        <v>238</v>
      </c>
      <c r="DP119" s="5" t="s">
        <v>238</v>
      </c>
      <c r="DQ119" s="5" t="s">
        <v>238</v>
      </c>
      <c r="DT119" s="5" t="s">
        <v>6291</v>
      </c>
      <c r="DU119" s="5" t="s">
        <v>264</v>
      </c>
      <c r="HM119" s="5" t="s">
        <v>264</v>
      </c>
    </row>
    <row r="120" spans="1:221" x14ac:dyDescent="0.4">
      <c r="A120" s="5">
        <v>831</v>
      </c>
      <c r="B120" s="5">
        <v>1</v>
      </c>
      <c r="C120" s="5">
        <v>1</v>
      </c>
      <c r="D120" s="5" t="s">
        <v>6289</v>
      </c>
      <c r="E120" s="5" t="s">
        <v>475</v>
      </c>
      <c r="F120" s="5" t="s">
        <v>248</v>
      </c>
      <c r="G120" s="5" t="s">
        <v>6288</v>
      </c>
      <c r="H120" s="6" t="s">
        <v>6293</v>
      </c>
      <c r="I120" s="7">
        <f>7354</f>
        <v>7354</v>
      </c>
      <c r="J120" s="5" t="s">
        <v>262</v>
      </c>
      <c r="K120" s="8">
        <f>16289110</f>
        <v>16289110</v>
      </c>
      <c r="L120" s="6" t="s">
        <v>242</v>
      </c>
      <c r="M120" s="5" t="s">
        <v>267</v>
      </c>
      <c r="N120" s="5" t="s">
        <v>237</v>
      </c>
      <c r="O120" s="5" t="s">
        <v>238</v>
      </c>
      <c r="P120" s="5" t="s">
        <v>238</v>
      </c>
      <c r="Q120" s="5" t="s">
        <v>239</v>
      </c>
      <c r="R120" s="5" t="s">
        <v>270</v>
      </c>
      <c r="S120" s="5" t="s">
        <v>238</v>
      </c>
      <c r="V120" s="5" t="s">
        <v>238</v>
      </c>
      <c r="X120" s="6" t="s">
        <v>238</v>
      </c>
      <c r="AA120" s="6" t="s">
        <v>243</v>
      </c>
      <c r="AB120" s="5" t="s">
        <v>238</v>
      </c>
      <c r="AC120" s="5" t="s">
        <v>244</v>
      </c>
      <c r="AD120" s="5" t="s">
        <v>245</v>
      </c>
      <c r="AT120" s="5" t="s">
        <v>246</v>
      </c>
      <c r="AU120" s="5" t="s">
        <v>238</v>
      </c>
      <c r="AV120" s="5" t="s">
        <v>247</v>
      </c>
      <c r="AW120" s="5" t="s">
        <v>238</v>
      </c>
      <c r="AX120" s="5" t="s">
        <v>249</v>
      </c>
      <c r="AY120" s="5" t="s">
        <v>238</v>
      </c>
      <c r="BA120" s="5" t="s">
        <v>238</v>
      </c>
      <c r="BC120" s="5" t="s">
        <v>250</v>
      </c>
      <c r="BD120" s="6" t="s">
        <v>243</v>
      </c>
      <c r="BE120" s="5" t="s">
        <v>251</v>
      </c>
      <c r="BF120" s="5" t="s">
        <v>252</v>
      </c>
      <c r="BG120" s="5" t="s">
        <v>238</v>
      </c>
      <c r="BH120" s="7">
        <f>0</f>
        <v>0</v>
      </c>
      <c r="BI120" s="8">
        <f>0</f>
        <v>0</v>
      </c>
      <c r="BJ120" s="5" t="s">
        <v>253</v>
      </c>
      <c r="BK120" s="5" t="s">
        <v>254</v>
      </c>
      <c r="BY120" s="5" t="s">
        <v>238</v>
      </c>
      <c r="BZ120" s="5" t="s">
        <v>238</v>
      </c>
      <c r="CD120" s="5" t="s">
        <v>255</v>
      </c>
      <c r="CE120" s="5" t="s">
        <v>256</v>
      </c>
      <c r="CF120" s="5" t="s">
        <v>238</v>
      </c>
      <c r="CI120" s="6" t="s">
        <v>257</v>
      </c>
      <c r="CJ120" s="5" t="s">
        <v>238</v>
      </c>
      <c r="CK120" s="5" t="s">
        <v>258</v>
      </c>
      <c r="CL120" s="5" t="s">
        <v>238</v>
      </c>
      <c r="CM120" s="5" t="s">
        <v>238</v>
      </c>
      <c r="CN120" s="5">
        <v>0</v>
      </c>
      <c r="CO120" s="5" t="s">
        <v>259</v>
      </c>
      <c r="CP120" s="5" t="s">
        <v>260</v>
      </c>
      <c r="CQ120" s="5" t="s">
        <v>260</v>
      </c>
      <c r="CR120" s="5" t="s">
        <v>261</v>
      </c>
      <c r="CU120" s="8">
        <f>16289110</f>
        <v>16289110</v>
      </c>
      <c r="CV120" s="8">
        <f>0</f>
        <v>0</v>
      </c>
      <c r="CX120" s="8">
        <f>0</f>
        <v>0</v>
      </c>
      <c r="CY120" s="8">
        <f>16289110</f>
        <v>16289110</v>
      </c>
      <c r="DA120" s="5" t="s">
        <v>2032</v>
      </c>
      <c r="DB120" s="5" t="s">
        <v>238</v>
      </c>
      <c r="DD120" s="5" t="s">
        <v>2032</v>
      </c>
      <c r="DE120" s="8">
        <f>7354</f>
        <v>7354</v>
      </c>
      <c r="DF120" s="6" t="s">
        <v>6265</v>
      </c>
      <c r="DG120" s="5" t="s">
        <v>389</v>
      </c>
      <c r="DH120" s="5" t="s">
        <v>238</v>
      </c>
      <c r="DI120" s="5" t="s">
        <v>238</v>
      </c>
      <c r="DJ120" s="5" t="s">
        <v>238</v>
      </c>
      <c r="DN120" s="5" t="s">
        <v>238</v>
      </c>
      <c r="DO120" s="5" t="s">
        <v>238</v>
      </c>
      <c r="DP120" s="5" t="s">
        <v>238</v>
      </c>
      <c r="DQ120" s="5" t="s">
        <v>238</v>
      </c>
      <c r="DT120" s="5" t="s">
        <v>6291</v>
      </c>
      <c r="DU120" s="5" t="s">
        <v>294</v>
      </c>
      <c r="HM120" s="5" t="s">
        <v>264</v>
      </c>
    </row>
    <row r="121" spans="1:221" x14ac:dyDescent="0.4">
      <c r="A121" s="5">
        <v>832</v>
      </c>
      <c r="B121" s="5">
        <v>1</v>
      </c>
      <c r="C121" s="5">
        <v>1</v>
      </c>
      <c r="D121" s="5" t="s">
        <v>6289</v>
      </c>
      <c r="E121" s="5" t="s">
        <v>475</v>
      </c>
      <c r="F121" s="5" t="s">
        <v>248</v>
      </c>
      <c r="G121" s="5" t="s">
        <v>6288</v>
      </c>
      <c r="H121" s="6" t="s">
        <v>6292</v>
      </c>
      <c r="I121" s="7">
        <f>372</f>
        <v>372</v>
      </c>
      <c r="J121" s="5" t="s">
        <v>262</v>
      </c>
      <c r="K121" s="8">
        <f>823980</f>
        <v>823980</v>
      </c>
      <c r="L121" s="6" t="s">
        <v>242</v>
      </c>
      <c r="M121" s="5" t="s">
        <v>267</v>
      </c>
      <c r="N121" s="5" t="s">
        <v>237</v>
      </c>
      <c r="O121" s="5" t="s">
        <v>238</v>
      </c>
      <c r="P121" s="5" t="s">
        <v>238</v>
      </c>
      <c r="Q121" s="5" t="s">
        <v>239</v>
      </c>
      <c r="R121" s="5" t="s">
        <v>270</v>
      </c>
      <c r="S121" s="5" t="s">
        <v>238</v>
      </c>
      <c r="V121" s="5" t="s">
        <v>238</v>
      </c>
      <c r="X121" s="6" t="s">
        <v>238</v>
      </c>
      <c r="AA121" s="6" t="s">
        <v>243</v>
      </c>
      <c r="AB121" s="5" t="s">
        <v>238</v>
      </c>
      <c r="AC121" s="5" t="s">
        <v>244</v>
      </c>
      <c r="AD121" s="5" t="s">
        <v>245</v>
      </c>
      <c r="AT121" s="5" t="s">
        <v>246</v>
      </c>
      <c r="AU121" s="5" t="s">
        <v>238</v>
      </c>
      <c r="AV121" s="5" t="s">
        <v>247</v>
      </c>
      <c r="AW121" s="5" t="s">
        <v>238</v>
      </c>
      <c r="AX121" s="5" t="s">
        <v>249</v>
      </c>
      <c r="AY121" s="5" t="s">
        <v>238</v>
      </c>
      <c r="BA121" s="5" t="s">
        <v>238</v>
      </c>
      <c r="BC121" s="5" t="s">
        <v>250</v>
      </c>
      <c r="BD121" s="6" t="s">
        <v>243</v>
      </c>
      <c r="BE121" s="5" t="s">
        <v>251</v>
      </c>
      <c r="BF121" s="5" t="s">
        <v>252</v>
      </c>
      <c r="BG121" s="5" t="s">
        <v>238</v>
      </c>
      <c r="BH121" s="7">
        <f>0</f>
        <v>0</v>
      </c>
      <c r="BI121" s="8">
        <f>0</f>
        <v>0</v>
      </c>
      <c r="BJ121" s="5" t="s">
        <v>253</v>
      </c>
      <c r="BK121" s="5" t="s">
        <v>254</v>
      </c>
      <c r="BY121" s="5" t="s">
        <v>238</v>
      </c>
      <c r="BZ121" s="5" t="s">
        <v>238</v>
      </c>
      <c r="CD121" s="5" t="s">
        <v>255</v>
      </c>
      <c r="CE121" s="5" t="s">
        <v>256</v>
      </c>
      <c r="CF121" s="5" t="s">
        <v>238</v>
      </c>
      <c r="CI121" s="6" t="s">
        <v>257</v>
      </c>
      <c r="CJ121" s="5" t="s">
        <v>238</v>
      </c>
      <c r="CK121" s="5" t="s">
        <v>258</v>
      </c>
      <c r="CL121" s="5" t="s">
        <v>238</v>
      </c>
      <c r="CM121" s="5" t="s">
        <v>238</v>
      </c>
      <c r="CN121" s="5">
        <v>0</v>
      </c>
      <c r="CO121" s="5" t="s">
        <v>259</v>
      </c>
      <c r="CP121" s="5" t="s">
        <v>260</v>
      </c>
      <c r="CQ121" s="5" t="s">
        <v>260</v>
      </c>
      <c r="CR121" s="5" t="s">
        <v>261</v>
      </c>
      <c r="CU121" s="8">
        <f>823980</f>
        <v>823980</v>
      </c>
      <c r="CV121" s="8">
        <f>0</f>
        <v>0</v>
      </c>
      <c r="CX121" s="8">
        <f>0</f>
        <v>0</v>
      </c>
      <c r="CY121" s="8">
        <f>823980</f>
        <v>823980</v>
      </c>
      <c r="DA121" s="5" t="s">
        <v>2032</v>
      </c>
      <c r="DB121" s="5" t="s">
        <v>238</v>
      </c>
      <c r="DD121" s="5" t="s">
        <v>2032</v>
      </c>
      <c r="DE121" s="8">
        <f>372</f>
        <v>372</v>
      </c>
      <c r="DG121" s="5" t="s">
        <v>389</v>
      </c>
      <c r="DH121" s="5" t="s">
        <v>238</v>
      </c>
      <c r="DI121" s="5" t="s">
        <v>238</v>
      </c>
      <c r="DJ121" s="5" t="s">
        <v>238</v>
      </c>
      <c r="DN121" s="5" t="s">
        <v>238</v>
      </c>
      <c r="DO121" s="5" t="s">
        <v>238</v>
      </c>
      <c r="DP121" s="5" t="s">
        <v>238</v>
      </c>
      <c r="DQ121" s="5" t="s">
        <v>238</v>
      </c>
      <c r="DT121" s="5" t="s">
        <v>6291</v>
      </c>
      <c r="DU121" s="5" t="s">
        <v>806</v>
      </c>
      <c r="HM121" s="5" t="s">
        <v>264</v>
      </c>
    </row>
    <row r="122" spans="1:221" x14ac:dyDescent="0.4">
      <c r="A122" s="5">
        <v>833</v>
      </c>
      <c r="B122" s="5">
        <v>1</v>
      </c>
      <c r="C122" s="5">
        <v>1</v>
      </c>
      <c r="D122" s="5" t="s">
        <v>6258</v>
      </c>
      <c r="E122" s="5" t="s">
        <v>475</v>
      </c>
      <c r="F122" s="5" t="s">
        <v>248</v>
      </c>
      <c r="G122" s="5" t="s">
        <v>6257</v>
      </c>
      <c r="H122" s="6" t="s">
        <v>6259</v>
      </c>
      <c r="I122" s="7">
        <f>324</f>
        <v>324</v>
      </c>
      <c r="J122" s="5" t="s">
        <v>262</v>
      </c>
      <c r="K122" s="8">
        <f>717660</f>
        <v>717660</v>
      </c>
      <c r="L122" s="6" t="s">
        <v>242</v>
      </c>
      <c r="M122" s="5" t="s">
        <v>267</v>
      </c>
      <c r="N122" s="5" t="s">
        <v>237</v>
      </c>
      <c r="O122" s="5" t="s">
        <v>238</v>
      </c>
      <c r="P122" s="5" t="s">
        <v>238</v>
      </c>
      <c r="Q122" s="5" t="s">
        <v>239</v>
      </c>
      <c r="R122" s="5" t="s">
        <v>270</v>
      </c>
      <c r="S122" s="5" t="s">
        <v>238</v>
      </c>
      <c r="V122" s="5" t="s">
        <v>238</v>
      </c>
      <c r="X122" s="6" t="s">
        <v>238</v>
      </c>
      <c r="AA122" s="6" t="s">
        <v>243</v>
      </c>
      <c r="AB122" s="5" t="s">
        <v>4417</v>
      </c>
      <c r="AC122" s="5" t="s">
        <v>244</v>
      </c>
      <c r="AD122" s="5" t="s">
        <v>245</v>
      </c>
      <c r="AT122" s="5" t="s">
        <v>246</v>
      </c>
      <c r="AU122" s="5" t="s">
        <v>238</v>
      </c>
      <c r="AV122" s="5" t="s">
        <v>247</v>
      </c>
      <c r="AW122" s="5" t="s">
        <v>238</v>
      </c>
      <c r="AX122" s="5" t="s">
        <v>249</v>
      </c>
      <c r="AY122" s="5" t="s">
        <v>238</v>
      </c>
      <c r="BA122" s="5" t="s">
        <v>4547</v>
      </c>
      <c r="BC122" s="5" t="s">
        <v>250</v>
      </c>
      <c r="BD122" s="6" t="s">
        <v>243</v>
      </c>
      <c r="BE122" s="5" t="s">
        <v>251</v>
      </c>
      <c r="BF122" s="5" t="s">
        <v>252</v>
      </c>
      <c r="BG122" s="5" t="s">
        <v>238</v>
      </c>
      <c r="BH122" s="7">
        <f>0</f>
        <v>0</v>
      </c>
      <c r="BI122" s="8">
        <f>0</f>
        <v>0</v>
      </c>
      <c r="BJ122" s="5" t="s">
        <v>253</v>
      </c>
      <c r="BK122" s="5" t="s">
        <v>254</v>
      </c>
      <c r="BY122" s="5" t="s">
        <v>238</v>
      </c>
      <c r="BZ122" s="5" t="s">
        <v>238</v>
      </c>
      <c r="CD122" s="5" t="s">
        <v>255</v>
      </c>
      <c r="CE122" s="5" t="s">
        <v>256</v>
      </c>
      <c r="CF122" s="5" t="s">
        <v>238</v>
      </c>
      <c r="CI122" s="6" t="s">
        <v>257</v>
      </c>
      <c r="CJ122" s="5" t="s">
        <v>238</v>
      </c>
      <c r="CK122" s="5" t="s">
        <v>258</v>
      </c>
      <c r="CL122" s="5" t="s">
        <v>238</v>
      </c>
      <c r="CM122" s="5" t="s">
        <v>238</v>
      </c>
      <c r="CN122" s="5">
        <v>0</v>
      </c>
      <c r="CO122" s="5" t="s">
        <v>259</v>
      </c>
      <c r="CP122" s="5" t="s">
        <v>260</v>
      </c>
      <c r="CQ122" s="5" t="s">
        <v>260</v>
      </c>
      <c r="CR122" s="5" t="s">
        <v>261</v>
      </c>
      <c r="CU122" s="8">
        <f>717660</f>
        <v>717660</v>
      </c>
      <c r="CV122" s="8">
        <f>0</f>
        <v>0</v>
      </c>
      <c r="CX122" s="8">
        <f>0</f>
        <v>0</v>
      </c>
      <c r="CY122" s="8">
        <f>717660</f>
        <v>717660</v>
      </c>
      <c r="DA122" s="5" t="s">
        <v>2032</v>
      </c>
      <c r="DB122" s="5" t="s">
        <v>238</v>
      </c>
      <c r="DD122" s="5" t="s">
        <v>2211</v>
      </c>
      <c r="DE122" s="8">
        <f>324</f>
        <v>324</v>
      </c>
      <c r="DF122" s="6" t="s">
        <v>6260</v>
      </c>
      <c r="DG122" s="5" t="s">
        <v>389</v>
      </c>
      <c r="DH122" s="5" t="s">
        <v>238</v>
      </c>
      <c r="DI122" s="5" t="s">
        <v>238</v>
      </c>
      <c r="DJ122" s="5" t="s">
        <v>238</v>
      </c>
      <c r="DN122" s="5" t="s">
        <v>238</v>
      </c>
      <c r="DO122" s="5" t="s">
        <v>238</v>
      </c>
      <c r="DP122" s="5" t="s">
        <v>238</v>
      </c>
      <c r="DQ122" s="5" t="s">
        <v>238</v>
      </c>
      <c r="DT122" s="5" t="s">
        <v>6261</v>
      </c>
      <c r="DU122" s="5" t="s">
        <v>264</v>
      </c>
      <c r="HM122" s="5" t="s">
        <v>264</v>
      </c>
    </row>
    <row r="123" spans="1:221" x14ac:dyDescent="0.4">
      <c r="A123" s="5">
        <v>834</v>
      </c>
      <c r="B123" s="5">
        <v>1</v>
      </c>
      <c r="C123" s="5">
        <v>1</v>
      </c>
      <c r="D123" s="5" t="s">
        <v>6295</v>
      </c>
      <c r="E123" s="5" t="s">
        <v>475</v>
      </c>
      <c r="F123" s="5" t="s">
        <v>248</v>
      </c>
      <c r="G123" s="5" t="s">
        <v>6294</v>
      </c>
      <c r="H123" s="6" t="s">
        <v>6296</v>
      </c>
      <c r="I123" s="7">
        <f>2482</f>
        <v>2482</v>
      </c>
      <c r="J123" s="5" t="s">
        <v>262</v>
      </c>
      <c r="K123" s="8">
        <f>5497630</f>
        <v>5497630</v>
      </c>
      <c r="L123" s="6" t="s">
        <v>242</v>
      </c>
      <c r="M123" s="5" t="s">
        <v>267</v>
      </c>
      <c r="N123" s="5" t="s">
        <v>237</v>
      </c>
      <c r="O123" s="5" t="s">
        <v>238</v>
      </c>
      <c r="P123" s="5" t="s">
        <v>238</v>
      </c>
      <c r="Q123" s="5" t="s">
        <v>239</v>
      </c>
      <c r="R123" s="5" t="s">
        <v>270</v>
      </c>
      <c r="S123" s="5" t="s">
        <v>238</v>
      </c>
      <c r="V123" s="5" t="s">
        <v>238</v>
      </c>
      <c r="X123" s="6" t="s">
        <v>238</v>
      </c>
      <c r="AA123" s="6" t="s">
        <v>243</v>
      </c>
      <c r="AB123" s="5" t="s">
        <v>238</v>
      </c>
      <c r="AC123" s="5" t="s">
        <v>244</v>
      </c>
      <c r="AD123" s="5" t="s">
        <v>245</v>
      </c>
      <c r="AT123" s="5" t="s">
        <v>246</v>
      </c>
      <c r="AU123" s="5" t="s">
        <v>238</v>
      </c>
      <c r="AV123" s="5" t="s">
        <v>247</v>
      </c>
      <c r="AW123" s="5" t="s">
        <v>238</v>
      </c>
      <c r="AX123" s="5" t="s">
        <v>249</v>
      </c>
      <c r="AY123" s="5" t="s">
        <v>238</v>
      </c>
      <c r="BA123" s="5" t="s">
        <v>4547</v>
      </c>
      <c r="BC123" s="5" t="s">
        <v>250</v>
      </c>
      <c r="BD123" s="6" t="s">
        <v>243</v>
      </c>
      <c r="BE123" s="5" t="s">
        <v>251</v>
      </c>
      <c r="BF123" s="5" t="s">
        <v>252</v>
      </c>
      <c r="BG123" s="5" t="s">
        <v>238</v>
      </c>
      <c r="BH123" s="7">
        <f>0</f>
        <v>0</v>
      </c>
      <c r="BI123" s="8">
        <f>0</f>
        <v>0</v>
      </c>
      <c r="BJ123" s="5" t="s">
        <v>253</v>
      </c>
      <c r="BK123" s="5" t="s">
        <v>254</v>
      </c>
      <c r="BY123" s="5" t="s">
        <v>238</v>
      </c>
      <c r="BZ123" s="5" t="s">
        <v>238</v>
      </c>
      <c r="CD123" s="5" t="s">
        <v>255</v>
      </c>
      <c r="CE123" s="5" t="s">
        <v>256</v>
      </c>
      <c r="CF123" s="5" t="s">
        <v>238</v>
      </c>
      <c r="CI123" s="6" t="s">
        <v>257</v>
      </c>
      <c r="CJ123" s="5" t="s">
        <v>238</v>
      </c>
      <c r="CK123" s="5" t="s">
        <v>258</v>
      </c>
      <c r="CL123" s="5" t="s">
        <v>238</v>
      </c>
      <c r="CM123" s="5" t="s">
        <v>238</v>
      </c>
      <c r="CN123" s="5">
        <v>0</v>
      </c>
      <c r="CO123" s="5" t="s">
        <v>259</v>
      </c>
      <c r="CP123" s="5" t="s">
        <v>260</v>
      </c>
      <c r="CQ123" s="5" t="s">
        <v>260</v>
      </c>
      <c r="CR123" s="5" t="s">
        <v>261</v>
      </c>
      <c r="CU123" s="8">
        <f>5497630</f>
        <v>5497630</v>
      </c>
      <c r="CV123" s="8">
        <f>0</f>
        <v>0</v>
      </c>
      <c r="CX123" s="8">
        <f>0</f>
        <v>0</v>
      </c>
      <c r="CY123" s="8">
        <f>5497630</f>
        <v>5497630</v>
      </c>
      <c r="DA123" s="5" t="s">
        <v>2032</v>
      </c>
      <c r="DB123" s="5" t="s">
        <v>238</v>
      </c>
      <c r="DD123" s="5" t="s">
        <v>2032</v>
      </c>
      <c r="DE123" s="8">
        <f>2482</f>
        <v>2482</v>
      </c>
      <c r="DF123" s="6" t="s">
        <v>6253</v>
      </c>
      <c r="DG123" s="5" t="s">
        <v>389</v>
      </c>
      <c r="DH123" s="5" t="s">
        <v>238</v>
      </c>
      <c r="DI123" s="5" t="s">
        <v>238</v>
      </c>
      <c r="DJ123" s="5" t="s">
        <v>238</v>
      </c>
      <c r="DN123" s="5" t="s">
        <v>238</v>
      </c>
      <c r="DO123" s="5" t="s">
        <v>238</v>
      </c>
      <c r="DP123" s="5" t="s">
        <v>238</v>
      </c>
      <c r="DQ123" s="5" t="s">
        <v>238</v>
      </c>
      <c r="DT123" s="5" t="s">
        <v>6297</v>
      </c>
      <c r="DU123" s="5" t="s">
        <v>264</v>
      </c>
      <c r="HM123" s="5" t="s">
        <v>264</v>
      </c>
    </row>
    <row r="124" spans="1:221" x14ac:dyDescent="0.4">
      <c r="A124" s="5">
        <v>835</v>
      </c>
      <c r="B124" s="5">
        <v>1</v>
      </c>
      <c r="C124" s="5">
        <v>1</v>
      </c>
      <c r="D124" s="5" t="s">
        <v>6251</v>
      </c>
      <c r="E124" s="5" t="s">
        <v>475</v>
      </c>
      <c r="F124" s="5" t="s">
        <v>248</v>
      </c>
      <c r="G124" s="5" t="s">
        <v>6250</v>
      </c>
      <c r="H124" s="6" t="s">
        <v>6252</v>
      </c>
      <c r="I124" s="7">
        <f>1174</f>
        <v>1174</v>
      </c>
      <c r="J124" s="5" t="s">
        <v>262</v>
      </c>
      <c r="K124" s="8">
        <f>2600410</f>
        <v>2600410</v>
      </c>
      <c r="L124" s="6" t="s">
        <v>242</v>
      </c>
      <c r="M124" s="5" t="s">
        <v>267</v>
      </c>
      <c r="N124" s="5" t="s">
        <v>237</v>
      </c>
      <c r="O124" s="5" t="s">
        <v>238</v>
      </c>
      <c r="P124" s="5" t="s">
        <v>238</v>
      </c>
      <c r="Q124" s="5" t="s">
        <v>239</v>
      </c>
      <c r="R124" s="5" t="s">
        <v>270</v>
      </c>
      <c r="S124" s="5" t="s">
        <v>238</v>
      </c>
      <c r="V124" s="5" t="s">
        <v>238</v>
      </c>
      <c r="X124" s="6" t="s">
        <v>238</v>
      </c>
      <c r="AA124" s="6" t="s">
        <v>243</v>
      </c>
      <c r="AB124" s="5" t="s">
        <v>238</v>
      </c>
      <c r="AC124" s="5" t="s">
        <v>244</v>
      </c>
      <c r="AD124" s="5" t="s">
        <v>245</v>
      </c>
      <c r="AT124" s="5" t="s">
        <v>246</v>
      </c>
      <c r="AU124" s="5" t="s">
        <v>238</v>
      </c>
      <c r="AV124" s="5" t="s">
        <v>247</v>
      </c>
      <c r="AW124" s="5" t="s">
        <v>238</v>
      </c>
      <c r="AX124" s="5" t="s">
        <v>249</v>
      </c>
      <c r="AY124" s="5" t="s">
        <v>238</v>
      </c>
      <c r="BA124" s="5" t="s">
        <v>4547</v>
      </c>
      <c r="BC124" s="5" t="s">
        <v>250</v>
      </c>
      <c r="BD124" s="6" t="s">
        <v>243</v>
      </c>
      <c r="BE124" s="5" t="s">
        <v>251</v>
      </c>
      <c r="BF124" s="5" t="s">
        <v>252</v>
      </c>
      <c r="BG124" s="5" t="s">
        <v>238</v>
      </c>
      <c r="BH124" s="7">
        <f>0</f>
        <v>0</v>
      </c>
      <c r="BI124" s="8">
        <f>0</f>
        <v>0</v>
      </c>
      <c r="BJ124" s="5" t="s">
        <v>253</v>
      </c>
      <c r="BK124" s="5" t="s">
        <v>254</v>
      </c>
      <c r="BY124" s="5" t="s">
        <v>238</v>
      </c>
      <c r="BZ124" s="5" t="s">
        <v>238</v>
      </c>
      <c r="CD124" s="5" t="s">
        <v>255</v>
      </c>
      <c r="CE124" s="5" t="s">
        <v>256</v>
      </c>
      <c r="CF124" s="5" t="s">
        <v>238</v>
      </c>
      <c r="CI124" s="6" t="s">
        <v>257</v>
      </c>
      <c r="CJ124" s="5" t="s">
        <v>238</v>
      </c>
      <c r="CK124" s="5" t="s">
        <v>258</v>
      </c>
      <c r="CL124" s="5" t="s">
        <v>238</v>
      </c>
      <c r="CM124" s="5" t="s">
        <v>238</v>
      </c>
      <c r="CN124" s="5">
        <v>0</v>
      </c>
      <c r="CO124" s="5" t="s">
        <v>259</v>
      </c>
      <c r="CP124" s="5" t="s">
        <v>260</v>
      </c>
      <c r="CQ124" s="5" t="s">
        <v>260</v>
      </c>
      <c r="CR124" s="5" t="s">
        <v>261</v>
      </c>
      <c r="CU124" s="8">
        <f>2600410</f>
        <v>2600410</v>
      </c>
      <c r="CV124" s="8">
        <f>0</f>
        <v>0</v>
      </c>
      <c r="CX124" s="8">
        <f>0</f>
        <v>0</v>
      </c>
      <c r="CY124" s="8">
        <f>2600410</f>
        <v>2600410</v>
      </c>
      <c r="DA124" s="5" t="s">
        <v>2032</v>
      </c>
      <c r="DB124" s="5" t="s">
        <v>238</v>
      </c>
      <c r="DD124" s="5" t="s">
        <v>2032</v>
      </c>
      <c r="DE124" s="8">
        <f>1174</f>
        <v>1174</v>
      </c>
      <c r="DF124" s="6" t="s">
        <v>6253</v>
      </c>
      <c r="DG124" s="5" t="s">
        <v>389</v>
      </c>
      <c r="DH124" s="5" t="s">
        <v>238</v>
      </c>
      <c r="DI124" s="5" t="s">
        <v>238</v>
      </c>
      <c r="DJ124" s="5" t="s">
        <v>238</v>
      </c>
      <c r="DN124" s="5" t="s">
        <v>238</v>
      </c>
      <c r="DO124" s="5" t="s">
        <v>238</v>
      </c>
      <c r="DP124" s="5" t="s">
        <v>238</v>
      </c>
      <c r="DQ124" s="5" t="s">
        <v>238</v>
      </c>
      <c r="DT124" s="5" t="s">
        <v>6254</v>
      </c>
      <c r="DU124" s="5" t="s">
        <v>264</v>
      </c>
      <c r="HM124" s="5" t="s">
        <v>264</v>
      </c>
    </row>
    <row r="125" spans="1:221" x14ac:dyDescent="0.4">
      <c r="A125" s="5">
        <v>836</v>
      </c>
      <c r="B125" s="5">
        <v>1</v>
      </c>
      <c r="C125" s="5">
        <v>1</v>
      </c>
      <c r="D125" s="5" t="s">
        <v>6251</v>
      </c>
      <c r="E125" s="5" t="s">
        <v>475</v>
      </c>
      <c r="F125" s="5" t="s">
        <v>248</v>
      </c>
      <c r="G125" s="5" t="s">
        <v>6250</v>
      </c>
      <c r="H125" s="6" t="s">
        <v>6255</v>
      </c>
      <c r="I125" s="7">
        <f>633</f>
        <v>633</v>
      </c>
      <c r="J125" s="5" t="s">
        <v>262</v>
      </c>
      <c r="K125" s="8">
        <f>1402095</f>
        <v>1402095</v>
      </c>
      <c r="L125" s="6" t="s">
        <v>242</v>
      </c>
      <c r="M125" s="5" t="s">
        <v>267</v>
      </c>
      <c r="N125" s="5" t="s">
        <v>237</v>
      </c>
      <c r="O125" s="5" t="s">
        <v>238</v>
      </c>
      <c r="P125" s="5" t="s">
        <v>238</v>
      </c>
      <c r="Q125" s="5" t="s">
        <v>239</v>
      </c>
      <c r="R125" s="5" t="s">
        <v>270</v>
      </c>
      <c r="S125" s="5" t="s">
        <v>238</v>
      </c>
      <c r="V125" s="5" t="s">
        <v>238</v>
      </c>
      <c r="X125" s="6" t="s">
        <v>238</v>
      </c>
      <c r="AA125" s="6" t="s">
        <v>243</v>
      </c>
      <c r="AB125" s="5" t="s">
        <v>238</v>
      </c>
      <c r="AC125" s="5" t="s">
        <v>244</v>
      </c>
      <c r="AD125" s="5" t="s">
        <v>245</v>
      </c>
      <c r="AT125" s="5" t="s">
        <v>246</v>
      </c>
      <c r="AU125" s="5" t="s">
        <v>238</v>
      </c>
      <c r="AV125" s="5" t="s">
        <v>247</v>
      </c>
      <c r="AW125" s="5" t="s">
        <v>238</v>
      </c>
      <c r="AX125" s="5" t="s">
        <v>249</v>
      </c>
      <c r="AY125" s="5" t="s">
        <v>238</v>
      </c>
      <c r="BA125" s="5" t="s">
        <v>238</v>
      </c>
      <c r="BC125" s="5" t="s">
        <v>250</v>
      </c>
      <c r="BD125" s="6" t="s">
        <v>243</v>
      </c>
      <c r="BE125" s="5" t="s">
        <v>251</v>
      </c>
      <c r="BF125" s="5" t="s">
        <v>252</v>
      </c>
      <c r="BG125" s="5" t="s">
        <v>238</v>
      </c>
      <c r="BH125" s="7">
        <f>0</f>
        <v>0</v>
      </c>
      <c r="BI125" s="8">
        <f>0</f>
        <v>0</v>
      </c>
      <c r="BJ125" s="5" t="s">
        <v>253</v>
      </c>
      <c r="BK125" s="5" t="s">
        <v>254</v>
      </c>
      <c r="BY125" s="5" t="s">
        <v>238</v>
      </c>
      <c r="BZ125" s="5" t="s">
        <v>238</v>
      </c>
      <c r="CD125" s="5" t="s">
        <v>255</v>
      </c>
      <c r="CE125" s="5" t="s">
        <v>256</v>
      </c>
      <c r="CF125" s="5" t="s">
        <v>238</v>
      </c>
      <c r="CI125" s="6" t="s">
        <v>257</v>
      </c>
      <c r="CJ125" s="5" t="s">
        <v>238</v>
      </c>
      <c r="CK125" s="5" t="s">
        <v>258</v>
      </c>
      <c r="CL125" s="5" t="s">
        <v>238</v>
      </c>
      <c r="CM125" s="5" t="s">
        <v>238</v>
      </c>
      <c r="CN125" s="5">
        <v>0</v>
      </c>
      <c r="CO125" s="5" t="s">
        <v>259</v>
      </c>
      <c r="CP125" s="5" t="s">
        <v>260</v>
      </c>
      <c r="CQ125" s="5" t="s">
        <v>260</v>
      </c>
      <c r="CR125" s="5" t="s">
        <v>261</v>
      </c>
      <c r="CU125" s="8">
        <f>1402095</f>
        <v>1402095</v>
      </c>
      <c r="CV125" s="8">
        <f>0</f>
        <v>0</v>
      </c>
      <c r="CX125" s="8">
        <f>0</f>
        <v>0</v>
      </c>
      <c r="CY125" s="8">
        <f>1402095</f>
        <v>1402095</v>
      </c>
      <c r="DA125" s="5" t="s">
        <v>2032</v>
      </c>
      <c r="DB125" s="5" t="s">
        <v>238</v>
      </c>
      <c r="DD125" s="5" t="s">
        <v>2032</v>
      </c>
      <c r="DE125" s="8">
        <f>633</f>
        <v>633</v>
      </c>
      <c r="DF125" s="6" t="s">
        <v>6253</v>
      </c>
      <c r="DG125" s="5" t="s">
        <v>389</v>
      </c>
      <c r="DH125" s="5" t="s">
        <v>238</v>
      </c>
      <c r="DI125" s="5" t="s">
        <v>238</v>
      </c>
      <c r="DJ125" s="5" t="s">
        <v>238</v>
      </c>
      <c r="DN125" s="5" t="s">
        <v>238</v>
      </c>
      <c r="DO125" s="5" t="s">
        <v>238</v>
      </c>
      <c r="DP125" s="5" t="s">
        <v>238</v>
      </c>
      <c r="DQ125" s="5" t="s">
        <v>238</v>
      </c>
      <c r="DT125" s="5" t="s">
        <v>6254</v>
      </c>
      <c r="DU125" s="5" t="s">
        <v>294</v>
      </c>
      <c r="HM125" s="5" t="s">
        <v>264</v>
      </c>
    </row>
    <row r="126" spans="1:221" x14ac:dyDescent="0.4">
      <c r="A126" s="5">
        <v>837</v>
      </c>
      <c r="B126" s="5">
        <v>1</v>
      </c>
      <c r="C126" s="5">
        <v>1</v>
      </c>
      <c r="D126" s="5" t="s">
        <v>6251</v>
      </c>
      <c r="E126" s="5" t="s">
        <v>475</v>
      </c>
      <c r="F126" s="5" t="s">
        <v>248</v>
      </c>
      <c r="G126" s="5" t="s">
        <v>6250</v>
      </c>
      <c r="H126" s="6" t="s">
        <v>6256</v>
      </c>
      <c r="I126" s="7">
        <f>1085</f>
        <v>1085</v>
      </c>
      <c r="J126" s="5" t="s">
        <v>262</v>
      </c>
      <c r="K126" s="8">
        <f>2403275</f>
        <v>2403275</v>
      </c>
      <c r="L126" s="6" t="s">
        <v>242</v>
      </c>
      <c r="M126" s="5" t="s">
        <v>267</v>
      </c>
      <c r="N126" s="5" t="s">
        <v>237</v>
      </c>
      <c r="O126" s="5" t="s">
        <v>238</v>
      </c>
      <c r="P126" s="5" t="s">
        <v>238</v>
      </c>
      <c r="Q126" s="5" t="s">
        <v>239</v>
      </c>
      <c r="R126" s="5" t="s">
        <v>270</v>
      </c>
      <c r="S126" s="5" t="s">
        <v>238</v>
      </c>
      <c r="V126" s="5" t="s">
        <v>238</v>
      </c>
      <c r="X126" s="6" t="s">
        <v>238</v>
      </c>
      <c r="AA126" s="6" t="s">
        <v>243</v>
      </c>
      <c r="AB126" s="5" t="s">
        <v>238</v>
      </c>
      <c r="AC126" s="5" t="s">
        <v>244</v>
      </c>
      <c r="AD126" s="5" t="s">
        <v>245</v>
      </c>
      <c r="AT126" s="5" t="s">
        <v>246</v>
      </c>
      <c r="AU126" s="5" t="s">
        <v>238</v>
      </c>
      <c r="AV126" s="5" t="s">
        <v>247</v>
      </c>
      <c r="AW126" s="5" t="s">
        <v>238</v>
      </c>
      <c r="AX126" s="5" t="s">
        <v>249</v>
      </c>
      <c r="AY126" s="5" t="s">
        <v>238</v>
      </c>
      <c r="BA126" s="5" t="s">
        <v>238</v>
      </c>
      <c r="BC126" s="5" t="s">
        <v>250</v>
      </c>
      <c r="BD126" s="6" t="s">
        <v>243</v>
      </c>
      <c r="BE126" s="5" t="s">
        <v>251</v>
      </c>
      <c r="BF126" s="5" t="s">
        <v>252</v>
      </c>
      <c r="BG126" s="5" t="s">
        <v>238</v>
      </c>
      <c r="BH126" s="7">
        <f>0</f>
        <v>0</v>
      </c>
      <c r="BI126" s="8">
        <f>0</f>
        <v>0</v>
      </c>
      <c r="BJ126" s="5" t="s">
        <v>253</v>
      </c>
      <c r="BK126" s="5" t="s">
        <v>254</v>
      </c>
      <c r="BY126" s="5" t="s">
        <v>238</v>
      </c>
      <c r="BZ126" s="5" t="s">
        <v>238</v>
      </c>
      <c r="CD126" s="5" t="s">
        <v>255</v>
      </c>
      <c r="CE126" s="5" t="s">
        <v>256</v>
      </c>
      <c r="CF126" s="5" t="s">
        <v>238</v>
      </c>
      <c r="CI126" s="6" t="s">
        <v>257</v>
      </c>
      <c r="CJ126" s="5" t="s">
        <v>238</v>
      </c>
      <c r="CK126" s="5" t="s">
        <v>258</v>
      </c>
      <c r="CL126" s="5" t="s">
        <v>238</v>
      </c>
      <c r="CM126" s="5" t="s">
        <v>238</v>
      </c>
      <c r="CN126" s="5">
        <v>0</v>
      </c>
      <c r="CO126" s="5" t="s">
        <v>259</v>
      </c>
      <c r="CP126" s="5" t="s">
        <v>260</v>
      </c>
      <c r="CQ126" s="5" t="s">
        <v>260</v>
      </c>
      <c r="CR126" s="5" t="s">
        <v>261</v>
      </c>
      <c r="CU126" s="8">
        <f>2403275</f>
        <v>2403275</v>
      </c>
      <c r="CV126" s="8">
        <f>0</f>
        <v>0</v>
      </c>
      <c r="CX126" s="8">
        <f>0</f>
        <v>0</v>
      </c>
      <c r="CY126" s="8">
        <f>2403275</f>
        <v>2403275</v>
      </c>
      <c r="DA126" s="5" t="s">
        <v>2032</v>
      </c>
      <c r="DB126" s="5" t="s">
        <v>238</v>
      </c>
      <c r="DD126" s="5" t="s">
        <v>2032</v>
      </c>
      <c r="DE126" s="8">
        <f>1085</f>
        <v>1085</v>
      </c>
      <c r="DF126" s="6" t="s">
        <v>4396</v>
      </c>
      <c r="DG126" s="5" t="s">
        <v>389</v>
      </c>
      <c r="DH126" s="5" t="s">
        <v>238</v>
      </c>
      <c r="DI126" s="5" t="s">
        <v>238</v>
      </c>
      <c r="DJ126" s="5" t="s">
        <v>238</v>
      </c>
      <c r="DN126" s="5" t="s">
        <v>238</v>
      </c>
      <c r="DO126" s="5" t="s">
        <v>238</v>
      </c>
      <c r="DP126" s="5" t="s">
        <v>238</v>
      </c>
      <c r="DQ126" s="5" t="s">
        <v>238</v>
      </c>
      <c r="DT126" s="5" t="s">
        <v>6254</v>
      </c>
      <c r="DU126" s="5" t="s">
        <v>806</v>
      </c>
      <c r="HM126" s="5" t="s">
        <v>264</v>
      </c>
    </row>
    <row r="127" spans="1:221" x14ac:dyDescent="0.4">
      <c r="A127" s="5">
        <v>838</v>
      </c>
      <c r="B127" s="5">
        <v>1</v>
      </c>
      <c r="C127" s="5">
        <v>1</v>
      </c>
      <c r="D127" s="5" t="s">
        <v>6247</v>
      </c>
      <c r="E127" s="5" t="s">
        <v>475</v>
      </c>
      <c r="F127" s="5" t="s">
        <v>248</v>
      </c>
      <c r="G127" s="5" t="s">
        <v>6246</v>
      </c>
      <c r="H127" s="6" t="s">
        <v>6248</v>
      </c>
      <c r="I127" s="7">
        <f>1836</f>
        <v>1836</v>
      </c>
      <c r="J127" s="5" t="s">
        <v>262</v>
      </c>
      <c r="K127" s="8">
        <f>1966356</f>
        <v>1966356</v>
      </c>
      <c r="L127" s="6" t="s">
        <v>4396</v>
      </c>
      <c r="M127" s="5" t="s">
        <v>267</v>
      </c>
      <c r="N127" s="5" t="s">
        <v>237</v>
      </c>
      <c r="O127" s="5" t="s">
        <v>238</v>
      </c>
      <c r="P127" s="5" t="s">
        <v>238</v>
      </c>
      <c r="Q127" s="5" t="s">
        <v>239</v>
      </c>
      <c r="R127" s="5" t="s">
        <v>270</v>
      </c>
      <c r="S127" s="5" t="s">
        <v>238</v>
      </c>
      <c r="V127" s="5" t="s">
        <v>238</v>
      </c>
      <c r="X127" s="6" t="s">
        <v>238</v>
      </c>
      <c r="AA127" s="6" t="s">
        <v>243</v>
      </c>
      <c r="AB127" s="5" t="s">
        <v>238</v>
      </c>
      <c r="AC127" s="5" t="s">
        <v>244</v>
      </c>
      <c r="AD127" s="5" t="s">
        <v>245</v>
      </c>
      <c r="AT127" s="5" t="s">
        <v>246</v>
      </c>
      <c r="AU127" s="5" t="s">
        <v>238</v>
      </c>
      <c r="AV127" s="5" t="s">
        <v>247</v>
      </c>
      <c r="AW127" s="5" t="s">
        <v>238</v>
      </c>
      <c r="AX127" s="5" t="s">
        <v>249</v>
      </c>
      <c r="AY127" s="5" t="s">
        <v>238</v>
      </c>
      <c r="BA127" s="5" t="s">
        <v>4547</v>
      </c>
      <c r="BC127" s="5" t="s">
        <v>250</v>
      </c>
      <c r="BD127" s="6" t="s">
        <v>243</v>
      </c>
      <c r="BE127" s="5" t="s">
        <v>251</v>
      </c>
      <c r="BF127" s="5" t="s">
        <v>252</v>
      </c>
      <c r="BG127" s="5" t="s">
        <v>238</v>
      </c>
      <c r="BH127" s="7">
        <f>0</f>
        <v>0</v>
      </c>
      <c r="BI127" s="8">
        <f>0</f>
        <v>0</v>
      </c>
      <c r="BJ127" s="5" t="s">
        <v>253</v>
      </c>
      <c r="BK127" s="5" t="s">
        <v>254</v>
      </c>
      <c r="BY127" s="5" t="s">
        <v>238</v>
      </c>
      <c r="BZ127" s="5" t="s">
        <v>238</v>
      </c>
      <c r="CD127" s="5" t="s">
        <v>293</v>
      </c>
      <c r="CE127" s="5" t="s">
        <v>256</v>
      </c>
      <c r="CF127" s="5" t="s">
        <v>238</v>
      </c>
      <c r="CI127" s="6" t="s">
        <v>257</v>
      </c>
      <c r="CJ127" s="5" t="s">
        <v>238</v>
      </c>
      <c r="CK127" s="5" t="s">
        <v>258</v>
      </c>
      <c r="CL127" s="5" t="s">
        <v>238</v>
      </c>
      <c r="CM127" s="5" t="s">
        <v>238</v>
      </c>
      <c r="CN127" s="5">
        <v>0</v>
      </c>
      <c r="CO127" s="5" t="s">
        <v>259</v>
      </c>
      <c r="CP127" s="5" t="s">
        <v>260</v>
      </c>
      <c r="CQ127" s="5" t="s">
        <v>260</v>
      </c>
      <c r="CR127" s="5" t="s">
        <v>261</v>
      </c>
      <c r="CU127" s="8">
        <f>1966356</f>
        <v>1966356</v>
      </c>
      <c r="CV127" s="8">
        <f>0</f>
        <v>0</v>
      </c>
      <c r="CX127" s="8">
        <f>0</f>
        <v>0</v>
      </c>
      <c r="CY127" s="8">
        <f>1966356</f>
        <v>1966356</v>
      </c>
      <c r="DA127" s="5" t="s">
        <v>389</v>
      </c>
      <c r="DB127" s="5" t="s">
        <v>238</v>
      </c>
      <c r="DD127" s="5" t="s">
        <v>389</v>
      </c>
      <c r="DE127" s="8">
        <f>1836</f>
        <v>1836</v>
      </c>
      <c r="DF127" s="6" t="s">
        <v>4396</v>
      </c>
      <c r="DG127" s="5" t="s">
        <v>389</v>
      </c>
      <c r="DH127" s="5" t="s">
        <v>238</v>
      </c>
      <c r="DI127" s="5" t="s">
        <v>238</v>
      </c>
      <c r="DJ127" s="5" t="s">
        <v>238</v>
      </c>
      <c r="DN127" s="5" t="s">
        <v>238</v>
      </c>
      <c r="DO127" s="5" t="s">
        <v>238</v>
      </c>
      <c r="DP127" s="5" t="s">
        <v>238</v>
      </c>
      <c r="DQ127" s="5" t="s">
        <v>238</v>
      </c>
      <c r="DT127" s="5" t="s">
        <v>6249</v>
      </c>
      <c r="DU127" s="5" t="s">
        <v>264</v>
      </c>
      <c r="HM127" s="5" t="s">
        <v>264</v>
      </c>
    </row>
    <row r="128" spans="1:221" x14ac:dyDescent="0.4">
      <c r="A128" s="5">
        <v>839</v>
      </c>
      <c r="B128" s="5">
        <v>1</v>
      </c>
      <c r="C128" s="5">
        <v>1</v>
      </c>
      <c r="D128" s="5" t="s">
        <v>6247</v>
      </c>
      <c r="E128" s="5" t="s">
        <v>475</v>
      </c>
      <c r="F128" s="5" t="s">
        <v>248</v>
      </c>
      <c r="G128" s="5" t="s">
        <v>6246</v>
      </c>
      <c r="H128" s="6" t="s">
        <v>6298</v>
      </c>
      <c r="I128" s="7">
        <f>568</f>
        <v>568</v>
      </c>
      <c r="J128" s="5" t="s">
        <v>262</v>
      </c>
      <c r="K128" s="8">
        <f>608328</f>
        <v>608328</v>
      </c>
      <c r="L128" s="6" t="s">
        <v>4396</v>
      </c>
      <c r="M128" s="5" t="s">
        <v>267</v>
      </c>
      <c r="N128" s="5" t="s">
        <v>237</v>
      </c>
      <c r="O128" s="5" t="s">
        <v>238</v>
      </c>
      <c r="P128" s="5" t="s">
        <v>238</v>
      </c>
      <c r="Q128" s="5" t="s">
        <v>239</v>
      </c>
      <c r="R128" s="5" t="s">
        <v>270</v>
      </c>
      <c r="S128" s="5" t="s">
        <v>238</v>
      </c>
      <c r="V128" s="5" t="s">
        <v>238</v>
      </c>
      <c r="X128" s="6" t="s">
        <v>238</v>
      </c>
      <c r="AA128" s="6" t="s">
        <v>243</v>
      </c>
      <c r="AB128" s="5" t="s">
        <v>238</v>
      </c>
      <c r="AC128" s="5" t="s">
        <v>244</v>
      </c>
      <c r="AD128" s="5" t="s">
        <v>245</v>
      </c>
      <c r="AT128" s="5" t="s">
        <v>246</v>
      </c>
      <c r="AU128" s="5" t="s">
        <v>238</v>
      </c>
      <c r="AV128" s="5" t="s">
        <v>247</v>
      </c>
      <c r="AW128" s="5" t="s">
        <v>238</v>
      </c>
      <c r="AX128" s="5" t="s">
        <v>249</v>
      </c>
      <c r="AY128" s="5" t="s">
        <v>238</v>
      </c>
      <c r="BA128" s="5" t="s">
        <v>238</v>
      </c>
      <c r="BC128" s="5" t="s">
        <v>250</v>
      </c>
      <c r="BD128" s="6" t="s">
        <v>243</v>
      </c>
      <c r="BE128" s="5" t="s">
        <v>251</v>
      </c>
      <c r="BF128" s="5" t="s">
        <v>252</v>
      </c>
      <c r="BG128" s="5" t="s">
        <v>238</v>
      </c>
      <c r="BH128" s="7">
        <f>0</f>
        <v>0</v>
      </c>
      <c r="BI128" s="8">
        <f>0</f>
        <v>0</v>
      </c>
      <c r="BJ128" s="5" t="s">
        <v>253</v>
      </c>
      <c r="BK128" s="5" t="s">
        <v>254</v>
      </c>
      <c r="BY128" s="5" t="s">
        <v>238</v>
      </c>
      <c r="BZ128" s="5" t="s">
        <v>238</v>
      </c>
      <c r="CD128" s="5" t="s">
        <v>293</v>
      </c>
      <c r="CE128" s="5" t="s">
        <v>256</v>
      </c>
      <c r="CF128" s="5" t="s">
        <v>238</v>
      </c>
      <c r="CI128" s="6" t="s">
        <v>257</v>
      </c>
      <c r="CJ128" s="5" t="s">
        <v>238</v>
      </c>
      <c r="CK128" s="5" t="s">
        <v>258</v>
      </c>
      <c r="CL128" s="5" t="s">
        <v>238</v>
      </c>
      <c r="CM128" s="5" t="s">
        <v>238</v>
      </c>
      <c r="CN128" s="5">
        <v>0</v>
      </c>
      <c r="CO128" s="5" t="s">
        <v>259</v>
      </c>
      <c r="CP128" s="5" t="s">
        <v>260</v>
      </c>
      <c r="CQ128" s="5" t="s">
        <v>260</v>
      </c>
      <c r="CR128" s="5" t="s">
        <v>261</v>
      </c>
      <c r="CU128" s="8">
        <f>608328</f>
        <v>608328</v>
      </c>
      <c r="CV128" s="8">
        <f>0</f>
        <v>0</v>
      </c>
      <c r="CX128" s="8">
        <f>0</f>
        <v>0</v>
      </c>
      <c r="CY128" s="8">
        <f>608328</f>
        <v>608328</v>
      </c>
      <c r="DA128" s="5" t="s">
        <v>389</v>
      </c>
      <c r="DB128" s="5" t="s">
        <v>238</v>
      </c>
      <c r="DD128" s="5" t="s">
        <v>389</v>
      </c>
      <c r="DE128" s="8">
        <f>568</f>
        <v>568</v>
      </c>
      <c r="DG128" s="5" t="s">
        <v>389</v>
      </c>
      <c r="DH128" s="5" t="s">
        <v>238</v>
      </c>
      <c r="DI128" s="5" t="s">
        <v>238</v>
      </c>
      <c r="DJ128" s="5" t="s">
        <v>238</v>
      </c>
      <c r="DN128" s="5" t="s">
        <v>238</v>
      </c>
      <c r="DO128" s="5" t="s">
        <v>238</v>
      </c>
      <c r="DP128" s="5" t="s">
        <v>238</v>
      </c>
      <c r="DQ128" s="5" t="s">
        <v>238</v>
      </c>
      <c r="DT128" s="5" t="s">
        <v>6249</v>
      </c>
      <c r="DU128" s="5" t="s">
        <v>294</v>
      </c>
      <c r="HM128" s="5" t="s">
        <v>264</v>
      </c>
    </row>
    <row r="129" spans="1:221" x14ac:dyDescent="0.4">
      <c r="A129" s="5">
        <v>840</v>
      </c>
      <c r="B129" s="5">
        <v>1</v>
      </c>
      <c r="C129" s="5">
        <v>1</v>
      </c>
      <c r="D129" s="5" t="s">
        <v>6300</v>
      </c>
      <c r="E129" s="5" t="s">
        <v>475</v>
      </c>
      <c r="F129" s="5" t="s">
        <v>248</v>
      </c>
      <c r="G129" s="5" t="s">
        <v>6299</v>
      </c>
      <c r="H129" s="6" t="s">
        <v>6301</v>
      </c>
      <c r="I129" s="7">
        <f>924</f>
        <v>924</v>
      </c>
      <c r="J129" s="5" t="s">
        <v>262</v>
      </c>
      <c r="K129" s="8">
        <f>2046660</f>
        <v>2046660</v>
      </c>
      <c r="L129" s="6" t="s">
        <v>242</v>
      </c>
      <c r="M129" s="5" t="s">
        <v>267</v>
      </c>
      <c r="N129" s="5" t="s">
        <v>237</v>
      </c>
      <c r="O129" s="5" t="s">
        <v>238</v>
      </c>
      <c r="P129" s="5" t="s">
        <v>238</v>
      </c>
      <c r="Q129" s="5" t="s">
        <v>239</v>
      </c>
      <c r="R129" s="5" t="s">
        <v>270</v>
      </c>
      <c r="S129" s="5" t="s">
        <v>238</v>
      </c>
      <c r="V129" s="5" t="s">
        <v>238</v>
      </c>
      <c r="X129" s="6" t="s">
        <v>238</v>
      </c>
      <c r="AA129" s="6" t="s">
        <v>243</v>
      </c>
      <c r="AB129" s="5" t="s">
        <v>238</v>
      </c>
      <c r="AC129" s="5" t="s">
        <v>244</v>
      </c>
      <c r="AD129" s="5" t="s">
        <v>245</v>
      </c>
      <c r="AT129" s="5" t="s">
        <v>246</v>
      </c>
      <c r="AU129" s="5" t="s">
        <v>238</v>
      </c>
      <c r="AV129" s="5" t="s">
        <v>247</v>
      </c>
      <c r="AW129" s="5" t="s">
        <v>238</v>
      </c>
      <c r="AX129" s="5" t="s">
        <v>249</v>
      </c>
      <c r="AY129" s="5" t="s">
        <v>238</v>
      </c>
      <c r="BA129" s="5" t="s">
        <v>4547</v>
      </c>
      <c r="BC129" s="5" t="s">
        <v>250</v>
      </c>
      <c r="BD129" s="6" t="s">
        <v>243</v>
      </c>
      <c r="BE129" s="5" t="s">
        <v>251</v>
      </c>
      <c r="BF129" s="5" t="s">
        <v>252</v>
      </c>
      <c r="BG129" s="5" t="s">
        <v>238</v>
      </c>
      <c r="BH129" s="7">
        <f>0</f>
        <v>0</v>
      </c>
      <c r="BI129" s="8">
        <f>0</f>
        <v>0</v>
      </c>
      <c r="BJ129" s="5" t="s">
        <v>253</v>
      </c>
      <c r="BK129" s="5" t="s">
        <v>254</v>
      </c>
      <c r="BY129" s="5" t="s">
        <v>238</v>
      </c>
      <c r="BZ129" s="5" t="s">
        <v>238</v>
      </c>
      <c r="CD129" s="5" t="s">
        <v>255</v>
      </c>
      <c r="CE129" s="5" t="s">
        <v>256</v>
      </c>
      <c r="CF129" s="5" t="s">
        <v>238</v>
      </c>
      <c r="CI129" s="6" t="s">
        <v>257</v>
      </c>
      <c r="CJ129" s="5" t="s">
        <v>238</v>
      </c>
      <c r="CK129" s="5" t="s">
        <v>258</v>
      </c>
      <c r="CL129" s="5" t="s">
        <v>238</v>
      </c>
      <c r="CM129" s="5" t="s">
        <v>238</v>
      </c>
      <c r="CN129" s="5">
        <v>0</v>
      </c>
      <c r="CO129" s="5" t="s">
        <v>259</v>
      </c>
      <c r="CP129" s="5" t="s">
        <v>260</v>
      </c>
      <c r="CQ129" s="5" t="s">
        <v>260</v>
      </c>
      <c r="CR129" s="5" t="s">
        <v>261</v>
      </c>
      <c r="CU129" s="8">
        <f>2046660</f>
        <v>2046660</v>
      </c>
      <c r="CV129" s="8">
        <f>0</f>
        <v>0</v>
      </c>
      <c r="CX129" s="8">
        <f>0</f>
        <v>0</v>
      </c>
      <c r="CY129" s="8">
        <f>2046660</f>
        <v>2046660</v>
      </c>
      <c r="DA129" s="5" t="s">
        <v>389</v>
      </c>
      <c r="DB129" s="5" t="s">
        <v>238</v>
      </c>
      <c r="DD129" s="5" t="s">
        <v>389</v>
      </c>
      <c r="DE129" s="8">
        <f>924</f>
        <v>924</v>
      </c>
      <c r="DG129" s="5" t="s">
        <v>389</v>
      </c>
      <c r="DH129" s="5" t="s">
        <v>238</v>
      </c>
      <c r="DI129" s="5" t="s">
        <v>238</v>
      </c>
      <c r="DJ129" s="5" t="s">
        <v>238</v>
      </c>
      <c r="DN129" s="5" t="s">
        <v>238</v>
      </c>
      <c r="DO129" s="5" t="s">
        <v>238</v>
      </c>
      <c r="DP129" s="5" t="s">
        <v>238</v>
      </c>
      <c r="DQ129" s="5" t="s">
        <v>238</v>
      </c>
      <c r="DT129" s="5" t="s">
        <v>6302</v>
      </c>
      <c r="DU129" s="5" t="s">
        <v>264</v>
      </c>
      <c r="HM129" s="5" t="s">
        <v>264</v>
      </c>
    </row>
    <row r="130" spans="1:221" x14ac:dyDescent="0.4">
      <c r="A130" s="5">
        <v>841</v>
      </c>
      <c r="B130" s="5">
        <v>1</v>
      </c>
      <c r="C130" s="5">
        <v>1</v>
      </c>
      <c r="D130" s="5" t="s">
        <v>6243</v>
      </c>
      <c r="E130" s="5" t="s">
        <v>475</v>
      </c>
      <c r="F130" s="5" t="s">
        <v>248</v>
      </c>
      <c r="G130" s="5" t="s">
        <v>6242</v>
      </c>
      <c r="H130" s="6" t="s">
        <v>6244</v>
      </c>
      <c r="I130" s="7">
        <f>1000</f>
        <v>1000</v>
      </c>
      <c r="J130" s="5" t="s">
        <v>262</v>
      </c>
      <c r="K130" s="8">
        <f>2400000</f>
        <v>2400000</v>
      </c>
      <c r="L130" s="6" t="s">
        <v>242</v>
      </c>
      <c r="M130" s="5" t="s">
        <v>267</v>
      </c>
      <c r="N130" s="5" t="s">
        <v>237</v>
      </c>
      <c r="O130" s="5" t="s">
        <v>238</v>
      </c>
      <c r="P130" s="5" t="s">
        <v>238</v>
      </c>
      <c r="Q130" s="5" t="s">
        <v>239</v>
      </c>
      <c r="R130" s="5" t="s">
        <v>270</v>
      </c>
      <c r="S130" s="5" t="s">
        <v>238</v>
      </c>
      <c r="V130" s="5" t="s">
        <v>238</v>
      </c>
      <c r="X130" s="6" t="s">
        <v>238</v>
      </c>
      <c r="AA130" s="6" t="s">
        <v>243</v>
      </c>
      <c r="AB130" s="5" t="s">
        <v>238</v>
      </c>
      <c r="AC130" s="5" t="s">
        <v>244</v>
      </c>
      <c r="AD130" s="5" t="s">
        <v>245</v>
      </c>
      <c r="AT130" s="5" t="s">
        <v>246</v>
      </c>
      <c r="AU130" s="5" t="s">
        <v>238</v>
      </c>
      <c r="AV130" s="5" t="s">
        <v>247</v>
      </c>
      <c r="AW130" s="5" t="s">
        <v>238</v>
      </c>
      <c r="AX130" s="5" t="s">
        <v>249</v>
      </c>
      <c r="AY130" s="5" t="s">
        <v>238</v>
      </c>
      <c r="BA130" s="5" t="s">
        <v>4547</v>
      </c>
      <c r="BC130" s="5" t="s">
        <v>1433</v>
      </c>
      <c r="BD130" s="6" t="s">
        <v>6227</v>
      </c>
      <c r="BE130" s="5" t="s">
        <v>251</v>
      </c>
      <c r="BF130" s="5" t="s">
        <v>252</v>
      </c>
      <c r="BG130" s="5" t="s">
        <v>238</v>
      </c>
      <c r="BH130" s="7">
        <f>0</f>
        <v>0</v>
      </c>
      <c r="BI130" s="8">
        <f>0</f>
        <v>0</v>
      </c>
      <c r="BJ130" s="5" t="s">
        <v>253</v>
      </c>
      <c r="BK130" s="5" t="s">
        <v>254</v>
      </c>
      <c r="BY130" s="5" t="s">
        <v>238</v>
      </c>
      <c r="BZ130" s="5" t="s">
        <v>238</v>
      </c>
      <c r="CD130" s="5" t="s">
        <v>255</v>
      </c>
      <c r="CE130" s="5" t="s">
        <v>256</v>
      </c>
      <c r="CF130" s="5" t="s">
        <v>238</v>
      </c>
      <c r="CI130" s="6" t="s">
        <v>257</v>
      </c>
      <c r="CJ130" s="5" t="s">
        <v>238</v>
      </c>
      <c r="CK130" s="5" t="s">
        <v>258</v>
      </c>
      <c r="CL130" s="5" t="s">
        <v>238</v>
      </c>
      <c r="CM130" s="5" t="s">
        <v>238</v>
      </c>
      <c r="CN130" s="5">
        <v>0</v>
      </c>
      <c r="CO130" s="5" t="s">
        <v>259</v>
      </c>
      <c r="CP130" s="5" t="s">
        <v>260</v>
      </c>
      <c r="CQ130" s="5" t="s">
        <v>260</v>
      </c>
      <c r="CR130" s="5" t="s">
        <v>261</v>
      </c>
      <c r="CU130" s="8">
        <f>2400000</f>
        <v>2400000</v>
      </c>
      <c r="CV130" s="8">
        <f>0</f>
        <v>0</v>
      </c>
      <c r="CX130" s="8">
        <f>0</f>
        <v>0</v>
      </c>
      <c r="CY130" s="8">
        <f>2400000</f>
        <v>2400000</v>
      </c>
      <c r="DA130" s="5" t="s">
        <v>263</v>
      </c>
      <c r="DB130" s="5" t="s">
        <v>238</v>
      </c>
      <c r="DD130" s="5" t="s">
        <v>263</v>
      </c>
      <c r="DE130" s="8">
        <f>1000</f>
        <v>1000</v>
      </c>
      <c r="DG130" s="5" t="s">
        <v>263</v>
      </c>
      <c r="DH130" s="5" t="s">
        <v>238</v>
      </c>
      <c r="DI130" s="5" t="s">
        <v>238</v>
      </c>
      <c r="DJ130" s="5" t="s">
        <v>238</v>
      </c>
      <c r="DN130" s="5" t="s">
        <v>238</v>
      </c>
      <c r="DO130" s="5" t="s">
        <v>238</v>
      </c>
      <c r="DP130" s="5" t="s">
        <v>238</v>
      </c>
      <c r="DQ130" s="5" t="s">
        <v>238</v>
      </c>
      <c r="DT130" s="5" t="s">
        <v>6245</v>
      </c>
      <c r="DU130" s="5" t="s">
        <v>264</v>
      </c>
      <c r="HM130" s="5" t="s">
        <v>264</v>
      </c>
    </row>
    <row r="131" spans="1:221" x14ac:dyDescent="0.4">
      <c r="A131" s="5">
        <v>842</v>
      </c>
      <c r="B131" s="5">
        <v>1</v>
      </c>
      <c r="C131" s="5">
        <v>1</v>
      </c>
      <c r="D131" s="5" t="s">
        <v>6239</v>
      </c>
      <c r="E131" s="5" t="s">
        <v>475</v>
      </c>
      <c r="F131" s="5" t="s">
        <v>248</v>
      </c>
      <c r="G131" s="5" t="s">
        <v>6238</v>
      </c>
      <c r="H131" s="6" t="s">
        <v>6240</v>
      </c>
      <c r="I131" s="7">
        <f>1304.25</f>
        <v>1304.25</v>
      </c>
      <c r="J131" s="5" t="s">
        <v>262</v>
      </c>
      <c r="K131" s="8">
        <f>2888913</f>
        <v>2888913</v>
      </c>
      <c r="L131" s="6" t="s">
        <v>242</v>
      </c>
      <c r="M131" s="5" t="s">
        <v>267</v>
      </c>
      <c r="N131" s="5" t="s">
        <v>237</v>
      </c>
      <c r="O131" s="5" t="s">
        <v>238</v>
      </c>
      <c r="P131" s="5" t="s">
        <v>238</v>
      </c>
      <c r="Q131" s="5" t="s">
        <v>239</v>
      </c>
      <c r="R131" s="5" t="s">
        <v>270</v>
      </c>
      <c r="S131" s="5" t="s">
        <v>238</v>
      </c>
      <c r="V131" s="5" t="s">
        <v>238</v>
      </c>
      <c r="X131" s="6" t="s">
        <v>238</v>
      </c>
      <c r="AA131" s="6" t="s">
        <v>243</v>
      </c>
      <c r="AB131" s="5" t="s">
        <v>238</v>
      </c>
      <c r="AC131" s="5" t="s">
        <v>244</v>
      </c>
      <c r="AD131" s="5" t="s">
        <v>245</v>
      </c>
      <c r="AT131" s="5" t="s">
        <v>246</v>
      </c>
      <c r="AU131" s="5" t="s">
        <v>238</v>
      </c>
      <c r="AV131" s="5" t="s">
        <v>247</v>
      </c>
      <c r="AW131" s="5" t="s">
        <v>238</v>
      </c>
      <c r="AX131" s="5" t="s">
        <v>249</v>
      </c>
      <c r="AY131" s="5" t="s">
        <v>238</v>
      </c>
      <c r="BA131" s="5" t="s">
        <v>4547</v>
      </c>
      <c r="BC131" s="5" t="s">
        <v>1433</v>
      </c>
      <c r="BD131" s="6" t="s">
        <v>6227</v>
      </c>
      <c r="BE131" s="5" t="s">
        <v>251</v>
      </c>
      <c r="BF131" s="5" t="s">
        <v>251</v>
      </c>
      <c r="BG131" s="5" t="s">
        <v>238</v>
      </c>
      <c r="BH131" s="7">
        <f>0</f>
        <v>0</v>
      </c>
      <c r="BI131" s="8">
        <f>0</f>
        <v>0</v>
      </c>
      <c r="BJ131" s="5" t="s">
        <v>253</v>
      </c>
      <c r="BK131" s="5" t="s">
        <v>254</v>
      </c>
      <c r="BY131" s="5" t="s">
        <v>238</v>
      </c>
      <c r="BZ131" s="5" t="s">
        <v>238</v>
      </c>
      <c r="CD131" s="5" t="s">
        <v>255</v>
      </c>
      <c r="CE131" s="5" t="s">
        <v>256</v>
      </c>
      <c r="CF131" s="5" t="s">
        <v>238</v>
      </c>
      <c r="CI131" s="6" t="s">
        <v>257</v>
      </c>
      <c r="CJ131" s="5" t="s">
        <v>238</v>
      </c>
      <c r="CK131" s="5" t="s">
        <v>258</v>
      </c>
      <c r="CL131" s="5" t="s">
        <v>238</v>
      </c>
      <c r="CM131" s="5" t="s">
        <v>238</v>
      </c>
      <c r="CN131" s="5">
        <v>0</v>
      </c>
      <c r="CO131" s="5" t="s">
        <v>259</v>
      </c>
      <c r="CP131" s="5" t="s">
        <v>260</v>
      </c>
      <c r="CQ131" s="5" t="s">
        <v>260</v>
      </c>
      <c r="CR131" s="5" t="s">
        <v>261</v>
      </c>
      <c r="CU131" s="8">
        <f>2888913</f>
        <v>2888913</v>
      </c>
      <c r="CV131" s="8">
        <f>0</f>
        <v>0</v>
      </c>
      <c r="CX131" s="8">
        <f>0</f>
        <v>0</v>
      </c>
      <c r="CY131" s="8">
        <f>2888913</f>
        <v>2888913</v>
      </c>
      <c r="DA131" s="5" t="s">
        <v>2032</v>
      </c>
      <c r="DB131" s="5" t="s">
        <v>238</v>
      </c>
      <c r="DD131" s="5" t="s">
        <v>356</v>
      </c>
      <c r="DE131" s="8">
        <f>0</f>
        <v>0</v>
      </c>
      <c r="DG131" s="5" t="s">
        <v>389</v>
      </c>
      <c r="DH131" s="5" t="s">
        <v>238</v>
      </c>
      <c r="DI131" s="5" t="s">
        <v>238</v>
      </c>
      <c r="DJ131" s="5" t="s">
        <v>238</v>
      </c>
      <c r="DN131" s="5" t="s">
        <v>238</v>
      </c>
      <c r="DO131" s="5" t="s">
        <v>238</v>
      </c>
      <c r="DP131" s="5" t="s">
        <v>238</v>
      </c>
      <c r="DQ131" s="5" t="s">
        <v>238</v>
      </c>
      <c r="DT131" s="5" t="s">
        <v>6241</v>
      </c>
      <c r="DU131" s="5" t="s">
        <v>264</v>
      </c>
      <c r="HM131" s="5" t="s">
        <v>854</v>
      </c>
    </row>
    <row r="132" spans="1:221" x14ac:dyDescent="0.4">
      <c r="A132" s="5">
        <v>843</v>
      </c>
      <c r="B132" s="5">
        <v>1</v>
      </c>
      <c r="C132" s="5">
        <v>1</v>
      </c>
      <c r="D132" s="5" t="s">
        <v>6234</v>
      </c>
      <c r="E132" s="5" t="s">
        <v>475</v>
      </c>
      <c r="F132" s="5" t="s">
        <v>248</v>
      </c>
      <c r="G132" s="5" t="s">
        <v>6233</v>
      </c>
      <c r="H132" s="6" t="s">
        <v>6236</v>
      </c>
      <c r="I132" s="7">
        <f>1223</f>
        <v>1223</v>
      </c>
      <c r="J132" s="5" t="s">
        <v>262</v>
      </c>
      <c r="K132" s="8">
        <f>2708945</f>
        <v>2708945</v>
      </c>
      <c r="L132" s="6" t="s">
        <v>242</v>
      </c>
      <c r="M132" s="5" t="s">
        <v>267</v>
      </c>
      <c r="N132" s="5" t="s">
        <v>237</v>
      </c>
      <c r="O132" s="5" t="s">
        <v>238</v>
      </c>
      <c r="P132" s="5" t="s">
        <v>238</v>
      </c>
      <c r="Q132" s="5" t="s">
        <v>239</v>
      </c>
      <c r="R132" s="5" t="s">
        <v>270</v>
      </c>
      <c r="S132" s="5" t="s">
        <v>238</v>
      </c>
      <c r="V132" s="5" t="s">
        <v>238</v>
      </c>
      <c r="X132" s="6" t="s">
        <v>238</v>
      </c>
      <c r="AA132" s="6" t="s">
        <v>243</v>
      </c>
      <c r="AB132" s="5" t="s">
        <v>6235</v>
      </c>
      <c r="AC132" s="5" t="s">
        <v>244</v>
      </c>
      <c r="AD132" s="5" t="s">
        <v>245</v>
      </c>
      <c r="AT132" s="5" t="s">
        <v>246</v>
      </c>
      <c r="AU132" s="5" t="s">
        <v>238</v>
      </c>
      <c r="AV132" s="5" t="s">
        <v>247</v>
      </c>
      <c r="AW132" s="5" t="s">
        <v>238</v>
      </c>
      <c r="AX132" s="5" t="s">
        <v>249</v>
      </c>
      <c r="AY132" s="5" t="s">
        <v>238</v>
      </c>
      <c r="BA132" s="5" t="s">
        <v>4547</v>
      </c>
      <c r="BC132" s="5" t="s">
        <v>1433</v>
      </c>
      <c r="BD132" s="6" t="s">
        <v>6227</v>
      </c>
      <c r="BE132" s="5" t="s">
        <v>251</v>
      </c>
      <c r="BF132" s="5" t="s">
        <v>2101</v>
      </c>
      <c r="BG132" s="5" t="s">
        <v>238</v>
      </c>
      <c r="BH132" s="7">
        <f>0</f>
        <v>0</v>
      </c>
      <c r="BI132" s="8">
        <f>0</f>
        <v>0</v>
      </c>
      <c r="BJ132" s="5" t="s">
        <v>253</v>
      </c>
      <c r="BK132" s="5" t="s">
        <v>254</v>
      </c>
      <c r="BY132" s="5" t="s">
        <v>238</v>
      </c>
      <c r="BZ132" s="5" t="s">
        <v>238</v>
      </c>
      <c r="CD132" s="5" t="s">
        <v>255</v>
      </c>
      <c r="CE132" s="5" t="s">
        <v>256</v>
      </c>
      <c r="CF132" s="5" t="s">
        <v>238</v>
      </c>
      <c r="CI132" s="6" t="s">
        <v>257</v>
      </c>
      <c r="CJ132" s="5" t="s">
        <v>238</v>
      </c>
      <c r="CK132" s="5" t="s">
        <v>258</v>
      </c>
      <c r="CL132" s="5" t="s">
        <v>238</v>
      </c>
      <c r="CM132" s="5" t="s">
        <v>238</v>
      </c>
      <c r="CN132" s="5">
        <v>0</v>
      </c>
      <c r="CO132" s="5" t="s">
        <v>259</v>
      </c>
      <c r="CP132" s="5" t="s">
        <v>260</v>
      </c>
      <c r="CQ132" s="5" t="s">
        <v>260</v>
      </c>
      <c r="CR132" s="5" t="s">
        <v>261</v>
      </c>
      <c r="CU132" s="8">
        <f>2708945</f>
        <v>2708945</v>
      </c>
      <c r="CV132" s="8">
        <f>0</f>
        <v>0</v>
      </c>
      <c r="CX132" s="8">
        <f>0</f>
        <v>0</v>
      </c>
      <c r="CY132" s="8">
        <f>2708945</f>
        <v>2708945</v>
      </c>
      <c r="DA132" s="5" t="s">
        <v>2032</v>
      </c>
      <c r="DB132" s="5" t="s">
        <v>238</v>
      </c>
      <c r="DD132" s="5" t="s">
        <v>356</v>
      </c>
      <c r="DE132" s="8">
        <f>0</f>
        <v>0</v>
      </c>
      <c r="DG132" s="5" t="s">
        <v>389</v>
      </c>
      <c r="DH132" s="5" t="s">
        <v>238</v>
      </c>
      <c r="DI132" s="5" t="s">
        <v>238</v>
      </c>
      <c r="DJ132" s="5" t="s">
        <v>238</v>
      </c>
      <c r="DN132" s="5" t="s">
        <v>238</v>
      </c>
      <c r="DO132" s="5" t="s">
        <v>238</v>
      </c>
      <c r="DP132" s="5" t="s">
        <v>238</v>
      </c>
      <c r="DQ132" s="5" t="s">
        <v>238</v>
      </c>
      <c r="DT132" s="5" t="s">
        <v>6237</v>
      </c>
      <c r="DU132" s="5" t="s">
        <v>264</v>
      </c>
      <c r="HM132" s="5" t="s">
        <v>854</v>
      </c>
    </row>
    <row r="133" spans="1:221" x14ac:dyDescent="0.4">
      <c r="A133" s="5">
        <v>844</v>
      </c>
      <c r="B133" s="5">
        <v>1</v>
      </c>
      <c r="C133" s="5">
        <v>1</v>
      </c>
      <c r="D133" s="5" t="s">
        <v>6230</v>
      </c>
      <c r="E133" s="5" t="s">
        <v>475</v>
      </c>
      <c r="F133" s="5" t="s">
        <v>248</v>
      </c>
      <c r="G133" s="5" t="s">
        <v>6229</v>
      </c>
      <c r="H133" s="6" t="s">
        <v>6231</v>
      </c>
      <c r="I133" s="7">
        <f>1781</f>
        <v>1781</v>
      </c>
      <c r="J133" s="5" t="s">
        <v>262</v>
      </c>
      <c r="K133" s="8">
        <f>3944915</f>
        <v>3944915</v>
      </c>
      <c r="L133" s="6" t="s">
        <v>242</v>
      </c>
      <c r="M133" s="5" t="s">
        <v>267</v>
      </c>
      <c r="N133" s="5" t="s">
        <v>237</v>
      </c>
      <c r="O133" s="5" t="s">
        <v>238</v>
      </c>
      <c r="P133" s="5" t="s">
        <v>238</v>
      </c>
      <c r="Q133" s="5" t="s">
        <v>239</v>
      </c>
      <c r="R133" s="5" t="s">
        <v>270</v>
      </c>
      <c r="S133" s="5" t="s">
        <v>238</v>
      </c>
      <c r="V133" s="5" t="s">
        <v>238</v>
      </c>
      <c r="X133" s="6" t="s">
        <v>238</v>
      </c>
      <c r="AA133" s="6" t="s">
        <v>243</v>
      </c>
      <c r="AB133" s="5" t="s">
        <v>238</v>
      </c>
      <c r="AC133" s="5" t="s">
        <v>244</v>
      </c>
      <c r="AD133" s="5" t="s">
        <v>245</v>
      </c>
      <c r="AT133" s="5" t="s">
        <v>246</v>
      </c>
      <c r="AU133" s="5" t="s">
        <v>238</v>
      </c>
      <c r="AV133" s="5" t="s">
        <v>247</v>
      </c>
      <c r="AW133" s="5" t="s">
        <v>238</v>
      </c>
      <c r="AX133" s="5" t="s">
        <v>249</v>
      </c>
      <c r="AY133" s="5" t="s">
        <v>238</v>
      </c>
      <c r="BA133" s="5" t="s">
        <v>4547</v>
      </c>
      <c r="BC133" s="5" t="s">
        <v>1433</v>
      </c>
      <c r="BD133" s="6" t="s">
        <v>6227</v>
      </c>
      <c r="BE133" s="5" t="s">
        <v>251</v>
      </c>
      <c r="BF133" s="5" t="s">
        <v>251</v>
      </c>
      <c r="BG133" s="5" t="s">
        <v>238</v>
      </c>
      <c r="BH133" s="7">
        <f>0</f>
        <v>0</v>
      </c>
      <c r="BI133" s="8">
        <f>0</f>
        <v>0</v>
      </c>
      <c r="BJ133" s="5" t="s">
        <v>253</v>
      </c>
      <c r="BK133" s="5" t="s">
        <v>254</v>
      </c>
      <c r="BY133" s="5" t="s">
        <v>238</v>
      </c>
      <c r="BZ133" s="5" t="s">
        <v>238</v>
      </c>
      <c r="CD133" s="5" t="s">
        <v>255</v>
      </c>
      <c r="CE133" s="5" t="s">
        <v>256</v>
      </c>
      <c r="CF133" s="5" t="s">
        <v>238</v>
      </c>
      <c r="CI133" s="6" t="s">
        <v>257</v>
      </c>
      <c r="CJ133" s="5" t="s">
        <v>238</v>
      </c>
      <c r="CK133" s="5" t="s">
        <v>258</v>
      </c>
      <c r="CL133" s="5" t="s">
        <v>238</v>
      </c>
      <c r="CM133" s="5" t="s">
        <v>238</v>
      </c>
      <c r="CN133" s="5">
        <v>0</v>
      </c>
      <c r="CO133" s="5" t="s">
        <v>259</v>
      </c>
      <c r="CP133" s="5" t="s">
        <v>260</v>
      </c>
      <c r="CQ133" s="5" t="s">
        <v>260</v>
      </c>
      <c r="CR133" s="5" t="s">
        <v>261</v>
      </c>
      <c r="CU133" s="8">
        <f>3944915</f>
        <v>3944915</v>
      </c>
      <c r="CV133" s="8">
        <f>0</f>
        <v>0</v>
      </c>
      <c r="CX133" s="8">
        <f>0</f>
        <v>0</v>
      </c>
      <c r="CY133" s="8">
        <f>3944915</f>
        <v>3944915</v>
      </c>
      <c r="DA133" s="5" t="s">
        <v>2032</v>
      </c>
      <c r="DB133" s="5" t="s">
        <v>238</v>
      </c>
      <c r="DD133" s="5" t="s">
        <v>356</v>
      </c>
      <c r="DE133" s="8">
        <f>0</f>
        <v>0</v>
      </c>
      <c r="DG133" s="5" t="s">
        <v>389</v>
      </c>
      <c r="DH133" s="5" t="s">
        <v>238</v>
      </c>
      <c r="DI133" s="5" t="s">
        <v>238</v>
      </c>
      <c r="DJ133" s="5" t="s">
        <v>238</v>
      </c>
      <c r="DN133" s="5" t="s">
        <v>238</v>
      </c>
      <c r="DO133" s="5" t="s">
        <v>238</v>
      </c>
      <c r="DP133" s="5" t="s">
        <v>238</v>
      </c>
      <c r="DQ133" s="5" t="s">
        <v>238</v>
      </c>
      <c r="DT133" s="5" t="s">
        <v>6232</v>
      </c>
      <c r="DU133" s="5" t="s">
        <v>264</v>
      </c>
      <c r="HM133" s="5" t="s">
        <v>854</v>
      </c>
    </row>
    <row r="134" spans="1:221" x14ac:dyDescent="0.4">
      <c r="A134" s="5">
        <v>845</v>
      </c>
      <c r="B134" s="5">
        <v>1</v>
      </c>
      <c r="C134" s="5">
        <v>1</v>
      </c>
      <c r="D134" s="5" t="s">
        <v>6304</v>
      </c>
      <c r="E134" s="5" t="s">
        <v>475</v>
      </c>
      <c r="F134" s="5" t="s">
        <v>248</v>
      </c>
      <c r="G134" s="5" t="s">
        <v>6303</v>
      </c>
      <c r="H134" s="6" t="s">
        <v>6305</v>
      </c>
      <c r="I134" s="7">
        <f>1330</f>
        <v>1330</v>
      </c>
      <c r="J134" s="5" t="s">
        <v>262</v>
      </c>
      <c r="K134" s="8">
        <f>2945950</f>
        <v>2945950</v>
      </c>
      <c r="L134" s="6" t="s">
        <v>242</v>
      </c>
      <c r="M134" s="5" t="s">
        <v>267</v>
      </c>
      <c r="N134" s="5" t="s">
        <v>237</v>
      </c>
      <c r="O134" s="5" t="s">
        <v>238</v>
      </c>
      <c r="P134" s="5" t="s">
        <v>238</v>
      </c>
      <c r="Q134" s="5" t="s">
        <v>239</v>
      </c>
      <c r="R134" s="5" t="s">
        <v>270</v>
      </c>
      <c r="S134" s="5" t="s">
        <v>238</v>
      </c>
      <c r="V134" s="5" t="s">
        <v>238</v>
      </c>
      <c r="X134" s="6" t="s">
        <v>238</v>
      </c>
      <c r="AA134" s="6" t="s">
        <v>243</v>
      </c>
      <c r="AB134" s="5" t="s">
        <v>238</v>
      </c>
      <c r="AC134" s="5" t="s">
        <v>244</v>
      </c>
      <c r="AD134" s="5" t="s">
        <v>245</v>
      </c>
      <c r="AT134" s="5" t="s">
        <v>246</v>
      </c>
      <c r="AU134" s="5" t="s">
        <v>238</v>
      </c>
      <c r="AV134" s="5" t="s">
        <v>247</v>
      </c>
      <c r="AW134" s="5" t="s">
        <v>238</v>
      </c>
      <c r="AX134" s="5" t="s">
        <v>249</v>
      </c>
      <c r="AY134" s="5" t="s">
        <v>238</v>
      </c>
      <c r="BA134" s="5" t="s">
        <v>238</v>
      </c>
      <c r="BC134" s="5" t="s">
        <v>1433</v>
      </c>
      <c r="BD134" s="6" t="s">
        <v>6227</v>
      </c>
      <c r="BE134" s="5" t="s">
        <v>251</v>
      </c>
      <c r="BF134" s="5" t="s">
        <v>251</v>
      </c>
      <c r="BG134" s="5" t="s">
        <v>238</v>
      </c>
      <c r="BH134" s="7">
        <f>0</f>
        <v>0</v>
      </c>
      <c r="BI134" s="8">
        <f>0</f>
        <v>0</v>
      </c>
      <c r="BJ134" s="5" t="s">
        <v>253</v>
      </c>
      <c r="BK134" s="5" t="s">
        <v>254</v>
      </c>
      <c r="BY134" s="5" t="s">
        <v>238</v>
      </c>
      <c r="BZ134" s="5" t="s">
        <v>238</v>
      </c>
      <c r="CD134" s="5" t="s">
        <v>255</v>
      </c>
      <c r="CE134" s="5" t="s">
        <v>256</v>
      </c>
      <c r="CF134" s="5" t="s">
        <v>238</v>
      </c>
      <c r="CI134" s="6" t="s">
        <v>257</v>
      </c>
      <c r="CJ134" s="5" t="s">
        <v>238</v>
      </c>
      <c r="CK134" s="5" t="s">
        <v>258</v>
      </c>
      <c r="CL134" s="5" t="s">
        <v>238</v>
      </c>
      <c r="CM134" s="5" t="s">
        <v>238</v>
      </c>
      <c r="CN134" s="5">
        <v>0</v>
      </c>
      <c r="CO134" s="5" t="s">
        <v>259</v>
      </c>
      <c r="CP134" s="5" t="s">
        <v>260</v>
      </c>
      <c r="CQ134" s="5" t="s">
        <v>260</v>
      </c>
      <c r="CR134" s="5" t="s">
        <v>261</v>
      </c>
      <c r="CU134" s="8">
        <f>2945950</f>
        <v>2945950</v>
      </c>
      <c r="CV134" s="8">
        <f>0</f>
        <v>0</v>
      </c>
      <c r="CX134" s="8">
        <f>0</f>
        <v>0</v>
      </c>
      <c r="CY134" s="8">
        <f>2945950</f>
        <v>2945950</v>
      </c>
      <c r="DA134" s="5" t="s">
        <v>389</v>
      </c>
      <c r="DB134" s="5" t="s">
        <v>238</v>
      </c>
      <c r="DD134" s="5" t="s">
        <v>356</v>
      </c>
      <c r="DE134" s="8">
        <f>0</f>
        <v>0</v>
      </c>
      <c r="DG134" s="5" t="s">
        <v>389</v>
      </c>
      <c r="DH134" s="5" t="s">
        <v>238</v>
      </c>
      <c r="DI134" s="5" t="s">
        <v>238</v>
      </c>
      <c r="DJ134" s="5" t="s">
        <v>238</v>
      </c>
      <c r="DN134" s="5" t="s">
        <v>238</v>
      </c>
      <c r="DO134" s="5" t="s">
        <v>238</v>
      </c>
      <c r="DP134" s="5" t="s">
        <v>238</v>
      </c>
      <c r="DQ134" s="5" t="s">
        <v>238</v>
      </c>
      <c r="DT134" s="5" t="s">
        <v>6306</v>
      </c>
      <c r="DU134" s="5" t="s">
        <v>264</v>
      </c>
      <c r="HM134" s="5" t="s">
        <v>854</v>
      </c>
    </row>
    <row r="135" spans="1:221" x14ac:dyDescent="0.4">
      <c r="A135" s="5">
        <v>846</v>
      </c>
      <c r="B135" s="5">
        <v>1</v>
      </c>
      <c r="C135" s="5">
        <v>1</v>
      </c>
      <c r="D135" s="5" t="s">
        <v>6308</v>
      </c>
      <c r="E135" s="5" t="s">
        <v>475</v>
      </c>
      <c r="F135" s="5" t="s">
        <v>248</v>
      </c>
      <c r="G135" s="5" t="s">
        <v>6307</v>
      </c>
      <c r="H135" s="6" t="s">
        <v>6309</v>
      </c>
      <c r="I135" s="7">
        <f>1210</f>
        <v>1210</v>
      </c>
      <c r="J135" s="5" t="s">
        <v>262</v>
      </c>
      <c r="K135" s="8">
        <f>2680150</f>
        <v>2680150</v>
      </c>
      <c r="L135" s="6" t="s">
        <v>242</v>
      </c>
      <c r="M135" s="5" t="s">
        <v>267</v>
      </c>
      <c r="N135" s="5" t="s">
        <v>237</v>
      </c>
      <c r="O135" s="5" t="s">
        <v>238</v>
      </c>
      <c r="P135" s="5" t="s">
        <v>238</v>
      </c>
      <c r="Q135" s="5" t="s">
        <v>239</v>
      </c>
      <c r="R135" s="5" t="s">
        <v>270</v>
      </c>
      <c r="S135" s="5" t="s">
        <v>238</v>
      </c>
      <c r="V135" s="5" t="s">
        <v>238</v>
      </c>
      <c r="X135" s="6" t="s">
        <v>238</v>
      </c>
      <c r="AA135" s="6" t="s">
        <v>243</v>
      </c>
      <c r="AB135" s="5" t="s">
        <v>238</v>
      </c>
      <c r="AC135" s="5" t="s">
        <v>244</v>
      </c>
      <c r="AD135" s="5" t="s">
        <v>245</v>
      </c>
      <c r="AT135" s="5" t="s">
        <v>246</v>
      </c>
      <c r="AU135" s="5" t="s">
        <v>238</v>
      </c>
      <c r="AV135" s="5" t="s">
        <v>247</v>
      </c>
      <c r="AW135" s="5" t="s">
        <v>238</v>
      </c>
      <c r="AX135" s="5" t="s">
        <v>249</v>
      </c>
      <c r="AY135" s="5" t="s">
        <v>238</v>
      </c>
      <c r="BA135" s="5" t="s">
        <v>238</v>
      </c>
      <c r="BC135" s="5" t="s">
        <v>1433</v>
      </c>
      <c r="BD135" s="6" t="s">
        <v>6227</v>
      </c>
      <c r="BE135" s="5" t="s">
        <v>251</v>
      </c>
      <c r="BF135" s="5" t="s">
        <v>252</v>
      </c>
      <c r="BG135" s="5" t="s">
        <v>238</v>
      </c>
      <c r="BH135" s="7">
        <f>0</f>
        <v>0</v>
      </c>
      <c r="BI135" s="8">
        <f>0</f>
        <v>0</v>
      </c>
      <c r="BJ135" s="5" t="s">
        <v>253</v>
      </c>
      <c r="BK135" s="5" t="s">
        <v>254</v>
      </c>
      <c r="BY135" s="5" t="s">
        <v>238</v>
      </c>
      <c r="BZ135" s="5" t="s">
        <v>238</v>
      </c>
      <c r="CD135" s="5" t="s">
        <v>255</v>
      </c>
      <c r="CE135" s="5" t="s">
        <v>256</v>
      </c>
      <c r="CF135" s="5" t="s">
        <v>238</v>
      </c>
      <c r="CI135" s="6" t="s">
        <v>257</v>
      </c>
      <c r="CJ135" s="5" t="s">
        <v>238</v>
      </c>
      <c r="CK135" s="5" t="s">
        <v>258</v>
      </c>
      <c r="CL135" s="5" t="s">
        <v>238</v>
      </c>
      <c r="CM135" s="5" t="s">
        <v>238</v>
      </c>
      <c r="CN135" s="5">
        <v>0</v>
      </c>
      <c r="CO135" s="5" t="s">
        <v>259</v>
      </c>
      <c r="CP135" s="5" t="s">
        <v>260</v>
      </c>
      <c r="CQ135" s="5" t="s">
        <v>260</v>
      </c>
      <c r="CR135" s="5" t="s">
        <v>261</v>
      </c>
      <c r="CU135" s="8">
        <f>2680150</f>
        <v>2680150</v>
      </c>
      <c r="CV135" s="8">
        <f>0</f>
        <v>0</v>
      </c>
      <c r="CX135" s="8">
        <f>0</f>
        <v>0</v>
      </c>
      <c r="CY135" s="8">
        <f>2680150</f>
        <v>2680150</v>
      </c>
      <c r="DA135" s="5" t="s">
        <v>2032</v>
      </c>
      <c r="DB135" s="5" t="s">
        <v>238</v>
      </c>
      <c r="DD135" s="5" t="s">
        <v>356</v>
      </c>
      <c r="DE135" s="8">
        <f>0</f>
        <v>0</v>
      </c>
      <c r="DG135" s="5" t="s">
        <v>389</v>
      </c>
      <c r="DH135" s="5" t="s">
        <v>238</v>
      </c>
      <c r="DI135" s="5" t="s">
        <v>238</v>
      </c>
      <c r="DJ135" s="5" t="s">
        <v>238</v>
      </c>
      <c r="DN135" s="5" t="s">
        <v>238</v>
      </c>
      <c r="DO135" s="5" t="s">
        <v>238</v>
      </c>
      <c r="DP135" s="5" t="s">
        <v>238</v>
      </c>
      <c r="DQ135" s="5" t="s">
        <v>238</v>
      </c>
      <c r="DT135" s="5" t="s">
        <v>6310</v>
      </c>
      <c r="DU135" s="5" t="s">
        <v>264</v>
      </c>
      <c r="HM135" s="5" t="s">
        <v>264</v>
      </c>
    </row>
    <row r="136" spans="1:221" x14ac:dyDescent="0.4">
      <c r="A136" s="5">
        <v>847</v>
      </c>
      <c r="B136" s="5">
        <v>1</v>
      </c>
      <c r="C136" s="5">
        <v>1</v>
      </c>
      <c r="D136" s="5" t="s">
        <v>6312</v>
      </c>
      <c r="E136" s="5" t="s">
        <v>475</v>
      </c>
      <c r="F136" s="5" t="s">
        <v>248</v>
      </c>
      <c r="G136" s="5" t="s">
        <v>6311</v>
      </c>
      <c r="H136" s="6" t="s">
        <v>6313</v>
      </c>
      <c r="I136" s="7">
        <f>2228</f>
        <v>2228</v>
      </c>
      <c r="J136" s="5" t="s">
        <v>262</v>
      </c>
      <c r="K136" s="8">
        <f>4935020</f>
        <v>4935020</v>
      </c>
      <c r="L136" s="6" t="s">
        <v>242</v>
      </c>
      <c r="M136" s="5" t="s">
        <v>267</v>
      </c>
      <c r="N136" s="5" t="s">
        <v>237</v>
      </c>
      <c r="O136" s="5" t="s">
        <v>238</v>
      </c>
      <c r="P136" s="5" t="s">
        <v>238</v>
      </c>
      <c r="Q136" s="5" t="s">
        <v>239</v>
      </c>
      <c r="R136" s="5" t="s">
        <v>270</v>
      </c>
      <c r="S136" s="5" t="s">
        <v>238</v>
      </c>
      <c r="V136" s="5" t="s">
        <v>238</v>
      </c>
      <c r="X136" s="6" t="s">
        <v>238</v>
      </c>
      <c r="AA136" s="6" t="s">
        <v>243</v>
      </c>
      <c r="AB136" s="5" t="s">
        <v>238</v>
      </c>
      <c r="AC136" s="5" t="s">
        <v>244</v>
      </c>
      <c r="AD136" s="5" t="s">
        <v>245</v>
      </c>
      <c r="AT136" s="5" t="s">
        <v>246</v>
      </c>
      <c r="AU136" s="5" t="s">
        <v>238</v>
      </c>
      <c r="AV136" s="5" t="s">
        <v>247</v>
      </c>
      <c r="AW136" s="5" t="s">
        <v>238</v>
      </c>
      <c r="AX136" s="5" t="s">
        <v>249</v>
      </c>
      <c r="AY136" s="5" t="s">
        <v>238</v>
      </c>
      <c r="BA136" s="5" t="s">
        <v>238</v>
      </c>
      <c r="BC136" s="5" t="s">
        <v>1433</v>
      </c>
      <c r="BD136" s="6" t="s">
        <v>6227</v>
      </c>
      <c r="BE136" s="5" t="s">
        <v>251</v>
      </c>
      <c r="BF136" s="5" t="s">
        <v>252</v>
      </c>
      <c r="BG136" s="5" t="s">
        <v>238</v>
      </c>
      <c r="BH136" s="7">
        <f>0</f>
        <v>0</v>
      </c>
      <c r="BI136" s="8">
        <f>0</f>
        <v>0</v>
      </c>
      <c r="BJ136" s="5" t="s">
        <v>253</v>
      </c>
      <c r="BK136" s="5" t="s">
        <v>254</v>
      </c>
      <c r="BY136" s="5" t="s">
        <v>238</v>
      </c>
      <c r="BZ136" s="5" t="s">
        <v>238</v>
      </c>
      <c r="CD136" s="5" t="s">
        <v>255</v>
      </c>
      <c r="CE136" s="5" t="s">
        <v>256</v>
      </c>
      <c r="CF136" s="5" t="s">
        <v>238</v>
      </c>
      <c r="CI136" s="6" t="s">
        <v>257</v>
      </c>
      <c r="CJ136" s="5" t="s">
        <v>238</v>
      </c>
      <c r="CK136" s="5" t="s">
        <v>258</v>
      </c>
      <c r="CL136" s="5" t="s">
        <v>238</v>
      </c>
      <c r="CM136" s="5" t="s">
        <v>238</v>
      </c>
      <c r="CN136" s="5">
        <v>0</v>
      </c>
      <c r="CO136" s="5" t="s">
        <v>259</v>
      </c>
      <c r="CP136" s="5" t="s">
        <v>260</v>
      </c>
      <c r="CQ136" s="5" t="s">
        <v>260</v>
      </c>
      <c r="CR136" s="5" t="s">
        <v>261</v>
      </c>
      <c r="CU136" s="8">
        <f>4935020</f>
        <v>4935020</v>
      </c>
      <c r="CV136" s="8">
        <f>0</f>
        <v>0</v>
      </c>
      <c r="CX136" s="8">
        <f>0</f>
        <v>0</v>
      </c>
      <c r="CY136" s="8">
        <f>4935020</f>
        <v>4935020</v>
      </c>
      <c r="DA136" s="5" t="s">
        <v>2032</v>
      </c>
      <c r="DB136" s="5" t="s">
        <v>238</v>
      </c>
      <c r="DD136" s="5" t="s">
        <v>356</v>
      </c>
      <c r="DE136" s="8">
        <f>0</f>
        <v>0</v>
      </c>
      <c r="DG136" s="5" t="s">
        <v>389</v>
      </c>
      <c r="DH136" s="5" t="s">
        <v>238</v>
      </c>
      <c r="DI136" s="5" t="s">
        <v>238</v>
      </c>
      <c r="DJ136" s="5" t="s">
        <v>238</v>
      </c>
      <c r="DN136" s="5" t="s">
        <v>238</v>
      </c>
      <c r="DO136" s="5" t="s">
        <v>238</v>
      </c>
      <c r="DP136" s="5" t="s">
        <v>238</v>
      </c>
      <c r="DQ136" s="5" t="s">
        <v>238</v>
      </c>
      <c r="DT136" s="5" t="s">
        <v>6314</v>
      </c>
      <c r="DU136" s="5" t="s">
        <v>264</v>
      </c>
      <c r="HM136" s="5" t="s">
        <v>264</v>
      </c>
    </row>
    <row r="137" spans="1:221" x14ac:dyDescent="0.4">
      <c r="A137" s="5">
        <v>848</v>
      </c>
      <c r="B137" s="5">
        <v>1</v>
      </c>
      <c r="C137" s="5">
        <v>1</v>
      </c>
      <c r="D137" s="5" t="s">
        <v>6225</v>
      </c>
      <c r="E137" s="5" t="s">
        <v>475</v>
      </c>
      <c r="F137" s="5" t="s">
        <v>248</v>
      </c>
      <c r="G137" s="5" t="s">
        <v>6224</v>
      </c>
      <c r="H137" s="6" t="s">
        <v>6226</v>
      </c>
      <c r="I137" s="7">
        <f>730</f>
        <v>730</v>
      </c>
      <c r="J137" s="5" t="s">
        <v>262</v>
      </c>
      <c r="K137" s="8">
        <f>1616950</f>
        <v>1616950</v>
      </c>
      <c r="L137" s="6" t="s">
        <v>242</v>
      </c>
      <c r="M137" s="5" t="s">
        <v>267</v>
      </c>
      <c r="N137" s="5" t="s">
        <v>237</v>
      </c>
      <c r="O137" s="5" t="s">
        <v>238</v>
      </c>
      <c r="P137" s="5" t="s">
        <v>238</v>
      </c>
      <c r="Q137" s="5" t="s">
        <v>239</v>
      </c>
      <c r="R137" s="5" t="s">
        <v>270</v>
      </c>
      <c r="S137" s="5" t="s">
        <v>238</v>
      </c>
      <c r="V137" s="5" t="s">
        <v>238</v>
      </c>
      <c r="X137" s="6" t="s">
        <v>238</v>
      </c>
      <c r="AA137" s="6" t="s">
        <v>243</v>
      </c>
      <c r="AB137" s="5" t="s">
        <v>238</v>
      </c>
      <c r="AC137" s="5" t="s">
        <v>244</v>
      </c>
      <c r="AD137" s="5" t="s">
        <v>245</v>
      </c>
      <c r="AT137" s="5" t="s">
        <v>246</v>
      </c>
      <c r="AU137" s="5" t="s">
        <v>238</v>
      </c>
      <c r="AV137" s="5" t="s">
        <v>247</v>
      </c>
      <c r="AW137" s="5" t="s">
        <v>238</v>
      </c>
      <c r="AX137" s="5" t="s">
        <v>249</v>
      </c>
      <c r="AY137" s="5" t="s">
        <v>238</v>
      </c>
      <c r="BA137" s="5" t="s">
        <v>4547</v>
      </c>
      <c r="BC137" s="5" t="s">
        <v>1433</v>
      </c>
      <c r="BD137" s="6" t="s">
        <v>6227</v>
      </c>
      <c r="BE137" s="5" t="s">
        <v>251</v>
      </c>
      <c r="BF137" s="5" t="s">
        <v>252</v>
      </c>
      <c r="BG137" s="5" t="s">
        <v>238</v>
      </c>
      <c r="BH137" s="7">
        <f>0</f>
        <v>0</v>
      </c>
      <c r="BI137" s="8">
        <f>0</f>
        <v>0</v>
      </c>
      <c r="BJ137" s="5" t="s">
        <v>253</v>
      </c>
      <c r="BK137" s="5" t="s">
        <v>254</v>
      </c>
      <c r="BY137" s="5" t="s">
        <v>238</v>
      </c>
      <c r="BZ137" s="5" t="s">
        <v>238</v>
      </c>
      <c r="CD137" s="5" t="s">
        <v>255</v>
      </c>
      <c r="CE137" s="5" t="s">
        <v>256</v>
      </c>
      <c r="CF137" s="5" t="s">
        <v>238</v>
      </c>
      <c r="CI137" s="6" t="s">
        <v>257</v>
      </c>
      <c r="CJ137" s="5" t="s">
        <v>238</v>
      </c>
      <c r="CK137" s="5" t="s">
        <v>258</v>
      </c>
      <c r="CL137" s="5" t="s">
        <v>238</v>
      </c>
      <c r="CM137" s="5" t="s">
        <v>238</v>
      </c>
      <c r="CN137" s="5">
        <v>0</v>
      </c>
      <c r="CO137" s="5" t="s">
        <v>259</v>
      </c>
      <c r="CP137" s="5" t="s">
        <v>260</v>
      </c>
      <c r="CQ137" s="5" t="s">
        <v>260</v>
      </c>
      <c r="CR137" s="5" t="s">
        <v>261</v>
      </c>
      <c r="CU137" s="8">
        <f>1616950</f>
        <v>1616950</v>
      </c>
      <c r="CV137" s="8">
        <f>0</f>
        <v>0</v>
      </c>
      <c r="CX137" s="8">
        <f>0</f>
        <v>0</v>
      </c>
      <c r="CY137" s="8">
        <f>1616950</f>
        <v>1616950</v>
      </c>
      <c r="DA137" s="5" t="s">
        <v>2032</v>
      </c>
      <c r="DB137" s="5" t="s">
        <v>238</v>
      </c>
      <c r="DD137" s="5" t="s">
        <v>356</v>
      </c>
      <c r="DE137" s="8">
        <f>0</f>
        <v>0</v>
      </c>
      <c r="DG137" s="5" t="s">
        <v>389</v>
      </c>
      <c r="DH137" s="5" t="s">
        <v>238</v>
      </c>
      <c r="DI137" s="5" t="s">
        <v>238</v>
      </c>
      <c r="DJ137" s="5" t="s">
        <v>238</v>
      </c>
      <c r="DN137" s="5" t="s">
        <v>238</v>
      </c>
      <c r="DO137" s="5" t="s">
        <v>238</v>
      </c>
      <c r="DP137" s="5" t="s">
        <v>238</v>
      </c>
      <c r="DQ137" s="5" t="s">
        <v>238</v>
      </c>
      <c r="DT137" s="5" t="s">
        <v>6228</v>
      </c>
      <c r="DU137" s="5" t="s">
        <v>264</v>
      </c>
      <c r="HM137" s="5" t="s">
        <v>264</v>
      </c>
    </row>
    <row r="138" spans="1:221" x14ac:dyDescent="0.4">
      <c r="A138" s="5">
        <v>849</v>
      </c>
      <c r="B138" s="5">
        <v>1</v>
      </c>
      <c r="C138" s="5">
        <v>1</v>
      </c>
      <c r="D138" s="5" t="s">
        <v>6316</v>
      </c>
      <c r="E138" s="5" t="s">
        <v>475</v>
      </c>
      <c r="F138" s="5" t="s">
        <v>248</v>
      </c>
      <c r="G138" s="5" t="s">
        <v>6315</v>
      </c>
      <c r="H138" s="6" t="s">
        <v>6317</v>
      </c>
      <c r="I138" s="7">
        <f>2578</f>
        <v>2578</v>
      </c>
      <c r="J138" s="5" t="s">
        <v>262</v>
      </c>
      <c r="K138" s="8">
        <f>5710270</f>
        <v>5710270</v>
      </c>
      <c r="L138" s="6" t="s">
        <v>242</v>
      </c>
      <c r="M138" s="5" t="s">
        <v>267</v>
      </c>
      <c r="N138" s="5" t="s">
        <v>237</v>
      </c>
      <c r="O138" s="5" t="s">
        <v>238</v>
      </c>
      <c r="P138" s="5" t="s">
        <v>238</v>
      </c>
      <c r="Q138" s="5" t="s">
        <v>239</v>
      </c>
      <c r="R138" s="5" t="s">
        <v>270</v>
      </c>
      <c r="S138" s="5" t="s">
        <v>238</v>
      </c>
      <c r="V138" s="5" t="s">
        <v>238</v>
      </c>
      <c r="X138" s="6" t="s">
        <v>238</v>
      </c>
      <c r="AA138" s="6" t="s">
        <v>243</v>
      </c>
      <c r="AB138" s="5" t="s">
        <v>238</v>
      </c>
      <c r="AC138" s="5" t="s">
        <v>244</v>
      </c>
      <c r="AD138" s="5" t="s">
        <v>245</v>
      </c>
      <c r="AT138" s="5" t="s">
        <v>246</v>
      </c>
      <c r="AU138" s="5" t="s">
        <v>238</v>
      </c>
      <c r="AV138" s="5" t="s">
        <v>247</v>
      </c>
      <c r="AW138" s="5" t="s">
        <v>238</v>
      </c>
      <c r="AX138" s="5" t="s">
        <v>249</v>
      </c>
      <c r="AY138" s="5" t="s">
        <v>238</v>
      </c>
      <c r="BA138" s="5" t="s">
        <v>238</v>
      </c>
      <c r="BC138" s="5" t="s">
        <v>250</v>
      </c>
      <c r="BD138" s="6" t="s">
        <v>243</v>
      </c>
      <c r="BE138" s="5" t="s">
        <v>251</v>
      </c>
      <c r="BF138" s="5" t="s">
        <v>252</v>
      </c>
      <c r="BG138" s="5" t="s">
        <v>238</v>
      </c>
      <c r="BH138" s="7">
        <f>0</f>
        <v>0</v>
      </c>
      <c r="BI138" s="8">
        <f>0</f>
        <v>0</v>
      </c>
      <c r="BJ138" s="5" t="s">
        <v>253</v>
      </c>
      <c r="BK138" s="5" t="s">
        <v>254</v>
      </c>
      <c r="BY138" s="5" t="s">
        <v>238</v>
      </c>
      <c r="BZ138" s="5" t="s">
        <v>238</v>
      </c>
      <c r="CD138" s="5" t="s">
        <v>255</v>
      </c>
      <c r="CE138" s="5" t="s">
        <v>256</v>
      </c>
      <c r="CF138" s="5" t="s">
        <v>238</v>
      </c>
      <c r="CI138" s="6" t="s">
        <v>257</v>
      </c>
      <c r="CJ138" s="5" t="s">
        <v>238</v>
      </c>
      <c r="CK138" s="5" t="s">
        <v>258</v>
      </c>
      <c r="CL138" s="5" t="s">
        <v>238</v>
      </c>
      <c r="CM138" s="5" t="s">
        <v>238</v>
      </c>
      <c r="CN138" s="5">
        <v>0</v>
      </c>
      <c r="CO138" s="5" t="s">
        <v>259</v>
      </c>
      <c r="CP138" s="5" t="s">
        <v>260</v>
      </c>
      <c r="CQ138" s="5" t="s">
        <v>260</v>
      </c>
      <c r="CR138" s="5" t="s">
        <v>261</v>
      </c>
      <c r="CU138" s="8">
        <f>5710270</f>
        <v>5710270</v>
      </c>
      <c r="CV138" s="8">
        <f>0</f>
        <v>0</v>
      </c>
      <c r="CX138" s="8">
        <f>0</f>
        <v>0</v>
      </c>
      <c r="CY138" s="8">
        <f>5710270</f>
        <v>5710270</v>
      </c>
      <c r="DA138" s="5" t="s">
        <v>2032</v>
      </c>
      <c r="DB138" s="5" t="s">
        <v>238</v>
      </c>
      <c r="DD138" s="5" t="s">
        <v>356</v>
      </c>
      <c r="DE138" s="8">
        <f>0</f>
        <v>0</v>
      </c>
      <c r="DG138" s="5" t="s">
        <v>389</v>
      </c>
      <c r="DH138" s="5" t="s">
        <v>238</v>
      </c>
      <c r="DI138" s="5" t="s">
        <v>238</v>
      </c>
      <c r="DJ138" s="5" t="s">
        <v>238</v>
      </c>
      <c r="DN138" s="5" t="s">
        <v>238</v>
      </c>
      <c r="DO138" s="5" t="s">
        <v>238</v>
      </c>
      <c r="DP138" s="5" t="s">
        <v>238</v>
      </c>
      <c r="DQ138" s="5" t="s">
        <v>238</v>
      </c>
      <c r="DT138" s="5" t="s">
        <v>6318</v>
      </c>
      <c r="DU138" s="5" t="s">
        <v>264</v>
      </c>
      <c r="HM138" s="5" t="s">
        <v>264</v>
      </c>
    </row>
    <row r="139" spans="1:221" x14ac:dyDescent="0.4">
      <c r="A139" s="5">
        <v>850</v>
      </c>
      <c r="B139" s="5">
        <v>1</v>
      </c>
      <c r="C139" s="5">
        <v>1</v>
      </c>
      <c r="D139" s="5" t="s">
        <v>6220</v>
      </c>
      <c r="E139" s="5" t="s">
        <v>475</v>
      </c>
      <c r="F139" s="5" t="s">
        <v>248</v>
      </c>
      <c r="G139" s="5" t="s">
        <v>6219</v>
      </c>
      <c r="H139" s="6" t="s">
        <v>2067</v>
      </c>
      <c r="I139" s="7">
        <f>365</f>
        <v>365</v>
      </c>
      <c r="J139" s="5" t="s">
        <v>262</v>
      </c>
      <c r="K139" s="8">
        <f>2372500</f>
        <v>2372500</v>
      </c>
      <c r="L139" s="6" t="s">
        <v>242</v>
      </c>
      <c r="M139" s="5" t="s">
        <v>267</v>
      </c>
      <c r="N139" s="5" t="s">
        <v>237</v>
      </c>
      <c r="O139" s="5" t="s">
        <v>238</v>
      </c>
      <c r="P139" s="5" t="s">
        <v>238</v>
      </c>
      <c r="Q139" s="5" t="s">
        <v>239</v>
      </c>
      <c r="R139" s="5" t="s">
        <v>270</v>
      </c>
      <c r="S139" s="5" t="s">
        <v>238</v>
      </c>
      <c r="V139" s="5" t="s">
        <v>238</v>
      </c>
      <c r="X139" s="6" t="s">
        <v>238</v>
      </c>
      <c r="AA139" s="6" t="s">
        <v>243</v>
      </c>
      <c r="AB139" s="5" t="s">
        <v>238</v>
      </c>
      <c r="AC139" s="5" t="s">
        <v>244</v>
      </c>
      <c r="AD139" s="5" t="s">
        <v>245</v>
      </c>
      <c r="AT139" s="5" t="s">
        <v>246</v>
      </c>
      <c r="AU139" s="5" t="s">
        <v>238</v>
      </c>
      <c r="AV139" s="5" t="s">
        <v>247</v>
      </c>
      <c r="AW139" s="5" t="s">
        <v>238</v>
      </c>
      <c r="AX139" s="5" t="s">
        <v>249</v>
      </c>
      <c r="AY139" s="5" t="s">
        <v>238</v>
      </c>
      <c r="BA139" s="5" t="s">
        <v>4547</v>
      </c>
      <c r="BC139" s="5" t="s">
        <v>250</v>
      </c>
      <c r="BD139" s="6" t="s">
        <v>243</v>
      </c>
      <c r="BE139" s="5" t="s">
        <v>251</v>
      </c>
      <c r="BF139" s="5" t="s">
        <v>252</v>
      </c>
      <c r="BG139" s="5" t="s">
        <v>238</v>
      </c>
      <c r="BH139" s="7">
        <f>0</f>
        <v>0</v>
      </c>
      <c r="BI139" s="8">
        <f>0</f>
        <v>0</v>
      </c>
      <c r="BJ139" s="5" t="s">
        <v>253</v>
      </c>
      <c r="BK139" s="5" t="s">
        <v>254</v>
      </c>
      <c r="BY139" s="5" t="s">
        <v>238</v>
      </c>
      <c r="BZ139" s="5" t="s">
        <v>238</v>
      </c>
      <c r="CD139" s="5" t="s">
        <v>255</v>
      </c>
      <c r="CE139" s="5" t="s">
        <v>256</v>
      </c>
      <c r="CF139" s="5" t="s">
        <v>238</v>
      </c>
      <c r="CI139" s="6" t="s">
        <v>257</v>
      </c>
      <c r="CJ139" s="5" t="s">
        <v>238</v>
      </c>
      <c r="CK139" s="5" t="s">
        <v>258</v>
      </c>
      <c r="CL139" s="5" t="s">
        <v>238</v>
      </c>
      <c r="CM139" s="5" t="s">
        <v>238</v>
      </c>
      <c r="CN139" s="5">
        <v>0</v>
      </c>
      <c r="CO139" s="5" t="s">
        <v>259</v>
      </c>
      <c r="CP139" s="5" t="s">
        <v>260</v>
      </c>
      <c r="CQ139" s="5" t="s">
        <v>260</v>
      </c>
      <c r="CR139" s="5" t="s">
        <v>261</v>
      </c>
      <c r="CU139" s="8">
        <f>2372500</f>
        <v>2372500</v>
      </c>
      <c r="CV139" s="8">
        <f>0</f>
        <v>0</v>
      </c>
      <c r="CX139" s="8">
        <f>0</f>
        <v>0</v>
      </c>
      <c r="CY139" s="8">
        <f>2372500</f>
        <v>2372500</v>
      </c>
      <c r="DA139" s="5" t="s">
        <v>263</v>
      </c>
      <c r="DB139" s="5" t="s">
        <v>238</v>
      </c>
      <c r="DD139" s="5" t="s">
        <v>356</v>
      </c>
      <c r="DE139" s="8">
        <f>0</f>
        <v>0</v>
      </c>
      <c r="DG139" s="5" t="s">
        <v>263</v>
      </c>
      <c r="DH139" s="5" t="s">
        <v>238</v>
      </c>
      <c r="DI139" s="5" t="s">
        <v>238</v>
      </c>
      <c r="DJ139" s="5" t="s">
        <v>238</v>
      </c>
      <c r="DN139" s="5" t="s">
        <v>238</v>
      </c>
      <c r="DO139" s="5" t="s">
        <v>238</v>
      </c>
      <c r="DP139" s="5" t="s">
        <v>238</v>
      </c>
      <c r="DQ139" s="5" t="s">
        <v>238</v>
      </c>
      <c r="DT139" s="5" t="s">
        <v>6221</v>
      </c>
      <c r="DU139" s="5" t="s">
        <v>264</v>
      </c>
      <c r="HM139" s="5" t="s">
        <v>264</v>
      </c>
    </row>
    <row r="140" spans="1:221" x14ac:dyDescent="0.4">
      <c r="A140" s="5">
        <v>851</v>
      </c>
      <c r="B140" s="5">
        <v>1</v>
      </c>
      <c r="C140" s="5">
        <v>1</v>
      </c>
      <c r="D140" s="5" t="s">
        <v>6220</v>
      </c>
      <c r="E140" s="5" t="s">
        <v>475</v>
      </c>
      <c r="F140" s="5" t="s">
        <v>248</v>
      </c>
      <c r="G140" s="5" t="s">
        <v>6219</v>
      </c>
      <c r="H140" s="6" t="s">
        <v>6223</v>
      </c>
      <c r="I140" s="7">
        <f>268</f>
        <v>268</v>
      </c>
      <c r="J140" s="5" t="s">
        <v>262</v>
      </c>
      <c r="K140" s="8">
        <f>593620</f>
        <v>593620</v>
      </c>
      <c r="L140" s="6" t="s">
        <v>242</v>
      </c>
      <c r="M140" s="5" t="s">
        <v>267</v>
      </c>
      <c r="N140" s="5" t="s">
        <v>237</v>
      </c>
      <c r="O140" s="5" t="s">
        <v>238</v>
      </c>
      <c r="P140" s="5" t="s">
        <v>238</v>
      </c>
      <c r="Q140" s="5" t="s">
        <v>239</v>
      </c>
      <c r="R140" s="5" t="s">
        <v>270</v>
      </c>
      <c r="S140" s="5" t="s">
        <v>238</v>
      </c>
      <c r="V140" s="5" t="s">
        <v>238</v>
      </c>
      <c r="X140" s="6" t="s">
        <v>238</v>
      </c>
      <c r="AA140" s="6" t="s">
        <v>243</v>
      </c>
      <c r="AB140" s="5" t="s">
        <v>238</v>
      </c>
      <c r="AC140" s="5" t="s">
        <v>244</v>
      </c>
      <c r="AD140" s="5" t="s">
        <v>245</v>
      </c>
      <c r="AT140" s="5" t="s">
        <v>246</v>
      </c>
      <c r="AU140" s="5" t="s">
        <v>238</v>
      </c>
      <c r="AV140" s="5" t="s">
        <v>247</v>
      </c>
      <c r="AW140" s="5" t="s">
        <v>238</v>
      </c>
      <c r="AX140" s="5" t="s">
        <v>249</v>
      </c>
      <c r="AY140" s="5" t="s">
        <v>238</v>
      </c>
      <c r="BA140" s="5" t="s">
        <v>238</v>
      </c>
      <c r="BC140" s="5" t="s">
        <v>250</v>
      </c>
      <c r="BD140" s="6" t="s">
        <v>243</v>
      </c>
      <c r="BE140" s="5" t="s">
        <v>251</v>
      </c>
      <c r="BF140" s="5" t="s">
        <v>252</v>
      </c>
      <c r="BG140" s="5" t="s">
        <v>238</v>
      </c>
      <c r="BH140" s="7">
        <f>0</f>
        <v>0</v>
      </c>
      <c r="BI140" s="8">
        <f>0</f>
        <v>0</v>
      </c>
      <c r="BJ140" s="5" t="s">
        <v>253</v>
      </c>
      <c r="BK140" s="5" t="s">
        <v>254</v>
      </c>
      <c r="BY140" s="5" t="s">
        <v>238</v>
      </c>
      <c r="BZ140" s="5" t="s">
        <v>238</v>
      </c>
      <c r="CD140" s="5" t="s">
        <v>255</v>
      </c>
      <c r="CE140" s="5" t="s">
        <v>256</v>
      </c>
      <c r="CF140" s="5" t="s">
        <v>238</v>
      </c>
      <c r="CI140" s="6" t="s">
        <v>257</v>
      </c>
      <c r="CJ140" s="5" t="s">
        <v>238</v>
      </c>
      <c r="CK140" s="5" t="s">
        <v>258</v>
      </c>
      <c r="CL140" s="5" t="s">
        <v>238</v>
      </c>
      <c r="CM140" s="5" t="s">
        <v>238</v>
      </c>
      <c r="CN140" s="5">
        <v>0</v>
      </c>
      <c r="CO140" s="5" t="s">
        <v>259</v>
      </c>
      <c r="CP140" s="5" t="s">
        <v>260</v>
      </c>
      <c r="CQ140" s="5" t="s">
        <v>260</v>
      </c>
      <c r="CR140" s="5" t="s">
        <v>261</v>
      </c>
      <c r="CU140" s="8">
        <f>593620</f>
        <v>593620</v>
      </c>
      <c r="CV140" s="8">
        <f>0</f>
        <v>0</v>
      </c>
      <c r="CX140" s="8">
        <f>0</f>
        <v>0</v>
      </c>
      <c r="CY140" s="8">
        <f>593620</f>
        <v>593620</v>
      </c>
      <c r="DA140" s="5" t="s">
        <v>389</v>
      </c>
      <c r="DB140" s="5" t="s">
        <v>238</v>
      </c>
      <c r="DD140" s="5" t="s">
        <v>356</v>
      </c>
      <c r="DE140" s="8">
        <f>0</f>
        <v>0</v>
      </c>
      <c r="DG140" s="5" t="s">
        <v>389</v>
      </c>
      <c r="DH140" s="5" t="s">
        <v>238</v>
      </c>
      <c r="DI140" s="5" t="s">
        <v>238</v>
      </c>
      <c r="DJ140" s="5" t="s">
        <v>238</v>
      </c>
      <c r="DN140" s="5" t="s">
        <v>238</v>
      </c>
      <c r="DO140" s="5" t="s">
        <v>238</v>
      </c>
      <c r="DP140" s="5" t="s">
        <v>238</v>
      </c>
      <c r="DQ140" s="5" t="s">
        <v>238</v>
      </c>
      <c r="DT140" s="5" t="s">
        <v>6221</v>
      </c>
      <c r="DU140" s="5" t="s">
        <v>294</v>
      </c>
      <c r="HM140" s="5" t="s">
        <v>264</v>
      </c>
    </row>
    <row r="141" spans="1:221" x14ac:dyDescent="0.4">
      <c r="A141" s="5">
        <v>852</v>
      </c>
      <c r="B141" s="5">
        <v>1</v>
      </c>
      <c r="C141" s="5">
        <v>1</v>
      </c>
      <c r="D141" s="5" t="s">
        <v>6220</v>
      </c>
      <c r="E141" s="5" t="s">
        <v>475</v>
      </c>
      <c r="F141" s="5" t="s">
        <v>248</v>
      </c>
      <c r="G141" s="5" t="s">
        <v>6219</v>
      </c>
      <c r="H141" s="6" t="s">
        <v>6222</v>
      </c>
      <c r="I141" s="7">
        <f>701</f>
        <v>701</v>
      </c>
      <c r="J141" s="5" t="s">
        <v>262</v>
      </c>
      <c r="K141" s="8">
        <f>1552715</f>
        <v>1552715</v>
      </c>
      <c r="L141" s="6" t="s">
        <v>242</v>
      </c>
      <c r="M141" s="5" t="s">
        <v>267</v>
      </c>
      <c r="N141" s="5" t="s">
        <v>237</v>
      </c>
      <c r="O141" s="5" t="s">
        <v>238</v>
      </c>
      <c r="P141" s="5" t="s">
        <v>238</v>
      </c>
      <c r="Q141" s="5" t="s">
        <v>239</v>
      </c>
      <c r="R141" s="5" t="s">
        <v>270</v>
      </c>
      <c r="S141" s="5" t="s">
        <v>238</v>
      </c>
      <c r="V141" s="5" t="s">
        <v>238</v>
      </c>
      <c r="X141" s="6" t="s">
        <v>238</v>
      </c>
      <c r="AA141" s="6" t="s">
        <v>243</v>
      </c>
      <c r="AB141" s="5" t="s">
        <v>238</v>
      </c>
      <c r="AC141" s="5" t="s">
        <v>244</v>
      </c>
      <c r="AD141" s="5" t="s">
        <v>245</v>
      </c>
      <c r="AT141" s="5" t="s">
        <v>246</v>
      </c>
      <c r="AU141" s="5" t="s">
        <v>238</v>
      </c>
      <c r="AV141" s="5" t="s">
        <v>247</v>
      </c>
      <c r="AW141" s="5" t="s">
        <v>238</v>
      </c>
      <c r="AX141" s="5" t="s">
        <v>249</v>
      </c>
      <c r="AY141" s="5" t="s">
        <v>238</v>
      </c>
      <c r="BA141" s="5" t="s">
        <v>238</v>
      </c>
      <c r="BC141" s="5" t="s">
        <v>250</v>
      </c>
      <c r="BD141" s="6" t="s">
        <v>243</v>
      </c>
      <c r="BE141" s="5" t="s">
        <v>251</v>
      </c>
      <c r="BF141" s="5" t="s">
        <v>252</v>
      </c>
      <c r="BG141" s="5" t="s">
        <v>238</v>
      </c>
      <c r="BH141" s="7">
        <f>0</f>
        <v>0</v>
      </c>
      <c r="BI141" s="8">
        <f>0</f>
        <v>0</v>
      </c>
      <c r="BJ141" s="5" t="s">
        <v>253</v>
      </c>
      <c r="BK141" s="5" t="s">
        <v>254</v>
      </c>
      <c r="BY141" s="5" t="s">
        <v>238</v>
      </c>
      <c r="BZ141" s="5" t="s">
        <v>238</v>
      </c>
      <c r="CD141" s="5" t="s">
        <v>255</v>
      </c>
      <c r="CE141" s="5" t="s">
        <v>256</v>
      </c>
      <c r="CF141" s="5" t="s">
        <v>238</v>
      </c>
      <c r="CI141" s="6" t="s">
        <v>257</v>
      </c>
      <c r="CJ141" s="5" t="s">
        <v>238</v>
      </c>
      <c r="CK141" s="5" t="s">
        <v>258</v>
      </c>
      <c r="CL141" s="5" t="s">
        <v>238</v>
      </c>
      <c r="CM141" s="5" t="s">
        <v>238</v>
      </c>
      <c r="CN141" s="5">
        <v>0</v>
      </c>
      <c r="CO141" s="5" t="s">
        <v>259</v>
      </c>
      <c r="CP141" s="5" t="s">
        <v>260</v>
      </c>
      <c r="CQ141" s="5" t="s">
        <v>260</v>
      </c>
      <c r="CR141" s="5" t="s">
        <v>261</v>
      </c>
      <c r="CU141" s="8">
        <f>1552715</f>
        <v>1552715</v>
      </c>
      <c r="CV141" s="8">
        <f>0</f>
        <v>0</v>
      </c>
      <c r="CX141" s="8">
        <f>0</f>
        <v>0</v>
      </c>
      <c r="CY141" s="8">
        <f>1552715</f>
        <v>1552715</v>
      </c>
      <c r="DA141" s="5" t="s">
        <v>389</v>
      </c>
      <c r="DB141" s="5" t="s">
        <v>238</v>
      </c>
      <c r="DD141" s="5" t="s">
        <v>356</v>
      </c>
      <c r="DE141" s="8">
        <f>0</f>
        <v>0</v>
      </c>
      <c r="DG141" s="5" t="s">
        <v>389</v>
      </c>
      <c r="DH141" s="5" t="s">
        <v>238</v>
      </c>
      <c r="DI141" s="5" t="s">
        <v>238</v>
      </c>
      <c r="DJ141" s="5" t="s">
        <v>238</v>
      </c>
      <c r="DN141" s="5" t="s">
        <v>238</v>
      </c>
      <c r="DO141" s="5" t="s">
        <v>238</v>
      </c>
      <c r="DP141" s="5" t="s">
        <v>238</v>
      </c>
      <c r="DQ141" s="5" t="s">
        <v>238</v>
      </c>
      <c r="DT141" s="5" t="s">
        <v>6221</v>
      </c>
      <c r="DU141" s="5" t="s">
        <v>806</v>
      </c>
      <c r="HM141" s="5" t="s">
        <v>264</v>
      </c>
    </row>
    <row r="142" spans="1:221" x14ac:dyDescent="0.4">
      <c r="A142" s="5">
        <v>853</v>
      </c>
      <c r="B142" s="5">
        <v>1</v>
      </c>
      <c r="C142" s="5">
        <v>1</v>
      </c>
      <c r="D142" s="5" t="s">
        <v>6220</v>
      </c>
      <c r="E142" s="5" t="s">
        <v>475</v>
      </c>
      <c r="F142" s="5" t="s">
        <v>248</v>
      </c>
      <c r="G142" s="5" t="s">
        <v>6219</v>
      </c>
      <c r="H142" s="6" t="s">
        <v>438</v>
      </c>
      <c r="I142" s="7">
        <f>1365</f>
        <v>1365</v>
      </c>
      <c r="J142" s="5" t="s">
        <v>262</v>
      </c>
      <c r="K142" s="8">
        <f>3023475</f>
        <v>3023475</v>
      </c>
      <c r="L142" s="6" t="s">
        <v>242</v>
      </c>
      <c r="M142" s="5" t="s">
        <v>267</v>
      </c>
      <c r="N142" s="5" t="s">
        <v>237</v>
      </c>
      <c r="O142" s="5" t="s">
        <v>238</v>
      </c>
      <c r="P142" s="5" t="s">
        <v>238</v>
      </c>
      <c r="Q142" s="5" t="s">
        <v>239</v>
      </c>
      <c r="R142" s="5" t="s">
        <v>270</v>
      </c>
      <c r="S142" s="5" t="s">
        <v>238</v>
      </c>
      <c r="V142" s="5" t="s">
        <v>238</v>
      </c>
      <c r="X142" s="6" t="s">
        <v>238</v>
      </c>
      <c r="AA142" s="6" t="s">
        <v>243</v>
      </c>
      <c r="AB142" s="5" t="s">
        <v>238</v>
      </c>
      <c r="AC142" s="5" t="s">
        <v>244</v>
      </c>
      <c r="AD142" s="5" t="s">
        <v>245</v>
      </c>
      <c r="AT142" s="5" t="s">
        <v>246</v>
      </c>
      <c r="AU142" s="5" t="s">
        <v>238</v>
      </c>
      <c r="AV142" s="5" t="s">
        <v>247</v>
      </c>
      <c r="AW142" s="5" t="s">
        <v>238</v>
      </c>
      <c r="AX142" s="5" t="s">
        <v>249</v>
      </c>
      <c r="AY142" s="5" t="s">
        <v>238</v>
      </c>
      <c r="BA142" s="5" t="s">
        <v>238</v>
      </c>
      <c r="BC142" s="5" t="s">
        <v>250</v>
      </c>
      <c r="BD142" s="6" t="s">
        <v>243</v>
      </c>
      <c r="BE142" s="5" t="s">
        <v>251</v>
      </c>
      <c r="BF142" s="5" t="s">
        <v>252</v>
      </c>
      <c r="BG142" s="5" t="s">
        <v>238</v>
      </c>
      <c r="BH142" s="7">
        <f>0</f>
        <v>0</v>
      </c>
      <c r="BI142" s="8">
        <f>0</f>
        <v>0</v>
      </c>
      <c r="BJ142" s="5" t="s">
        <v>253</v>
      </c>
      <c r="BK142" s="5" t="s">
        <v>254</v>
      </c>
      <c r="BY142" s="5" t="s">
        <v>238</v>
      </c>
      <c r="BZ142" s="5" t="s">
        <v>238</v>
      </c>
      <c r="CD142" s="5" t="s">
        <v>255</v>
      </c>
      <c r="CE142" s="5" t="s">
        <v>256</v>
      </c>
      <c r="CF142" s="5" t="s">
        <v>238</v>
      </c>
      <c r="CI142" s="6" t="s">
        <v>257</v>
      </c>
      <c r="CJ142" s="5" t="s">
        <v>238</v>
      </c>
      <c r="CK142" s="5" t="s">
        <v>258</v>
      </c>
      <c r="CL142" s="5" t="s">
        <v>238</v>
      </c>
      <c r="CM142" s="5" t="s">
        <v>238</v>
      </c>
      <c r="CN142" s="5">
        <v>0</v>
      </c>
      <c r="CO142" s="5" t="s">
        <v>259</v>
      </c>
      <c r="CP142" s="5" t="s">
        <v>260</v>
      </c>
      <c r="CQ142" s="5" t="s">
        <v>260</v>
      </c>
      <c r="CR142" s="5" t="s">
        <v>261</v>
      </c>
      <c r="CU142" s="8">
        <f>3023475</f>
        <v>3023475</v>
      </c>
      <c r="CV142" s="8">
        <f>0</f>
        <v>0</v>
      </c>
      <c r="CX142" s="8">
        <f>0</f>
        <v>0</v>
      </c>
      <c r="CY142" s="8">
        <f>3023475</f>
        <v>3023475</v>
      </c>
      <c r="DA142" s="5" t="s">
        <v>389</v>
      </c>
      <c r="DB142" s="5" t="s">
        <v>238</v>
      </c>
      <c r="DD142" s="5" t="s">
        <v>356</v>
      </c>
      <c r="DE142" s="8">
        <f>0</f>
        <v>0</v>
      </c>
      <c r="DG142" s="5" t="s">
        <v>389</v>
      </c>
      <c r="DH142" s="5" t="s">
        <v>238</v>
      </c>
      <c r="DI142" s="5" t="s">
        <v>238</v>
      </c>
      <c r="DJ142" s="5" t="s">
        <v>238</v>
      </c>
      <c r="DN142" s="5" t="s">
        <v>238</v>
      </c>
      <c r="DO142" s="5" t="s">
        <v>238</v>
      </c>
      <c r="DP142" s="5" t="s">
        <v>238</v>
      </c>
      <c r="DQ142" s="5" t="s">
        <v>238</v>
      </c>
      <c r="DT142" s="5" t="s">
        <v>6221</v>
      </c>
      <c r="DU142" s="5" t="s">
        <v>854</v>
      </c>
      <c r="HM142" s="5" t="s">
        <v>264</v>
      </c>
    </row>
    <row r="143" spans="1:221" x14ac:dyDescent="0.4">
      <c r="A143" s="5">
        <v>854</v>
      </c>
      <c r="B143" s="5">
        <v>1</v>
      </c>
      <c r="C143" s="5">
        <v>1</v>
      </c>
      <c r="D143" s="5" t="s">
        <v>6220</v>
      </c>
      <c r="E143" s="5" t="s">
        <v>475</v>
      </c>
      <c r="F143" s="5" t="s">
        <v>248</v>
      </c>
      <c r="G143" s="5" t="s">
        <v>6219</v>
      </c>
      <c r="H143" s="6" t="s">
        <v>791</v>
      </c>
      <c r="I143" s="7">
        <f>542</f>
        <v>542</v>
      </c>
      <c r="J143" s="5" t="s">
        <v>262</v>
      </c>
      <c r="K143" s="8">
        <f>1200530</f>
        <v>1200530</v>
      </c>
      <c r="L143" s="6" t="s">
        <v>242</v>
      </c>
      <c r="M143" s="5" t="s">
        <v>267</v>
      </c>
      <c r="N143" s="5" t="s">
        <v>237</v>
      </c>
      <c r="O143" s="5" t="s">
        <v>238</v>
      </c>
      <c r="P143" s="5" t="s">
        <v>238</v>
      </c>
      <c r="Q143" s="5" t="s">
        <v>239</v>
      </c>
      <c r="R143" s="5" t="s">
        <v>270</v>
      </c>
      <c r="S143" s="5" t="s">
        <v>238</v>
      </c>
      <c r="V143" s="5" t="s">
        <v>238</v>
      </c>
      <c r="X143" s="6" t="s">
        <v>238</v>
      </c>
      <c r="AA143" s="6" t="s">
        <v>243</v>
      </c>
      <c r="AB143" s="5" t="s">
        <v>238</v>
      </c>
      <c r="AC143" s="5" t="s">
        <v>244</v>
      </c>
      <c r="AD143" s="5" t="s">
        <v>245</v>
      </c>
      <c r="AT143" s="5" t="s">
        <v>246</v>
      </c>
      <c r="AU143" s="5" t="s">
        <v>238</v>
      </c>
      <c r="AV143" s="5" t="s">
        <v>247</v>
      </c>
      <c r="AW143" s="5" t="s">
        <v>238</v>
      </c>
      <c r="AX143" s="5" t="s">
        <v>249</v>
      </c>
      <c r="AY143" s="5" t="s">
        <v>238</v>
      </c>
      <c r="BA143" s="5" t="s">
        <v>238</v>
      </c>
      <c r="BC143" s="5" t="s">
        <v>250</v>
      </c>
      <c r="BD143" s="6" t="s">
        <v>243</v>
      </c>
      <c r="BE143" s="5" t="s">
        <v>251</v>
      </c>
      <c r="BF143" s="5" t="s">
        <v>252</v>
      </c>
      <c r="BG143" s="5" t="s">
        <v>238</v>
      </c>
      <c r="BH143" s="7">
        <f>0</f>
        <v>0</v>
      </c>
      <c r="BI143" s="8">
        <f>0</f>
        <v>0</v>
      </c>
      <c r="BJ143" s="5" t="s">
        <v>253</v>
      </c>
      <c r="BK143" s="5" t="s">
        <v>254</v>
      </c>
      <c r="BY143" s="5" t="s">
        <v>238</v>
      </c>
      <c r="BZ143" s="5" t="s">
        <v>238</v>
      </c>
      <c r="CD143" s="5" t="s">
        <v>255</v>
      </c>
      <c r="CE143" s="5" t="s">
        <v>256</v>
      </c>
      <c r="CF143" s="5" t="s">
        <v>238</v>
      </c>
      <c r="CI143" s="6" t="s">
        <v>257</v>
      </c>
      <c r="CJ143" s="5" t="s">
        <v>238</v>
      </c>
      <c r="CK143" s="5" t="s">
        <v>258</v>
      </c>
      <c r="CL143" s="5" t="s">
        <v>238</v>
      </c>
      <c r="CM143" s="5" t="s">
        <v>238</v>
      </c>
      <c r="CN143" s="5">
        <v>0</v>
      </c>
      <c r="CO143" s="5" t="s">
        <v>259</v>
      </c>
      <c r="CP143" s="5" t="s">
        <v>260</v>
      </c>
      <c r="CQ143" s="5" t="s">
        <v>260</v>
      </c>
      <c r="CR143" s="5" t="s">
        <v>261</v>
      </c>
      <c r="CU143" s="8">
        <f>1200530</f>
        <v>1200530</v>
      </c>
      <c r="CV143" s="8">
        <f>0</f>
        <v>0</v>
      </c>
      <c r="CX143" s="8">
        <f>0</f>
        <v>0</v>
      </c>
      <c r="CY143" s="8">
        <f>1200530</f>
        <v>1200530</v>
      </c>
      <c r="DA143" s="5" t="s">
        <v>389</v>
      </c>
      <c r="DB143" s="5" t="s">
        <v>238</v>
      </c>
      <c r="DD143" s="5" t="s">
        <v>356</v>
      </c>
      <c r="DE143" s="8">
        <f>0</f>
        <v>0</v>
      </c>
      <c r="DG143" s="5" t="s">
        <v>389</v>
      </c>
      <c r="DH143" s="5" t="s">
        <v>238</v>
      </c>
      <c r="DI143" s="5" t="s">
        <v>238</v>
      </c>
      <c r="DJ143" s="5" t="s">
        <v>238</v>
      </c>
      <c r="DN143" s="5" t="s">
        <v>238</v>
      </c>
      <c r="DO143" s="5" t="s">
        <v>238</v>
      </c>
      <c r="DP143" s="5" t="s">
        <v>238</v>
      </c>
      <c r="DQ143" s="5" t="s">
        <v>238</v>
      </c>
      <c r="DT143" s="5" t="s">
        <v>6221</v>
      </c>
      <c r="DU143" s="5" t="s">
        <v>911</v>
      </c>
      <c r="HM143" s="5" t="s">
        <v>264</v>
      </c>
    </row>
    <row r="144" spans="1:221" x14ac:dyDescent="0.4">
      <c r="A144" s="5">
        <v>855</v>
      </c>
      <c r="B144" s="5">
        <v>1</v>
      </c>
      <c r="C144" s="5">
        <v>1</v>
      </c>
      <c r="D144" s="5" t="s">
        <v>6220</v>
      </c>
      <c r="E144" s="5" t="s">
        <v>475</v>
      </c>
      <c r="F144" s="5" t="s">
        <v>248</v>
      </c>
      <c r="G144" s="5" t="s">
        <v>6219</v>
      </c>
      <c r="H144" s="6" t="s">
        <v>4532</v>
      </c>
      <c r="I144" s="7">
        <f>344</f>
        <v>344</v>
      </c>
      <c r="J144" s="5" t="s">
        <v>262</v>
      </c>
      <c r="K144" s="8">
        <f>2236000</f>
        <v>2236000</v>
      </c>
      <c r="L144" s="6" t="s">
        <v>242</v>
      </c>
      <c r="M144" s="5" t="s">
        <v>267</v>
      </c>
      <c r="N144" s="5" t="s">
        <v>237</v>
      </c>
      <c r="O144" s="5" t="s">
        <v>238</v>
      </c>
      <c r="P144" s="5" t="s">
        <v>238</v>
      </c>
      <c r="Q144" s="5" t="s">
        <v>239</v>
      </c>
      <c r="R144" s="5" t="s">
        <v>270</v>
      </c>
      <c r="S144" s="5" t="s">
        <v>238</v>
      </c>
      <c r="V144" s="5" t="s">
        <v>238</v>
      </c>
      <c r="X144" s="6" t="s">
        <v>238</v>
      </c>
      <c r="AA144" s="6" t="s">
        <v>243</v>
      </c>
      <c r="AB144" s="5" t="s">
        <v>238</v>
      </c>
      <c r="AC144" s="5" t="s">
        <v>244</v>
      </c>
      <c r="AD144" s="5" t="s">
        <v>245</v>
      </c>
      <c r="AT144" s="5" t="s">
        <v>246</v>
      </c>
      <c r="AU144" s="5" t="s">
        <v>238</v>
      </c>
      <c r="AV144" s="5" t="s">
        <v>247</v>
      </c>
      <c r="AW144" s="5" t="s">
        <v>238</v>
      </c>
      <c r="AX144" s="5" t="s">
        <v>249</v>
      </c>
      <c r="AY144" s="5" t="s">
        <v>238</v>
      </c>
      <c r="BA144" s="5" t="s">
        <v>238</v>
      </c>
      <c r="BC144" s="5" t="s">
        <v>250</v>
      </c>
      <c r="BD144" s="6" t="s">
        <v>243</v>
      </c>
      <c r="BE144" s="5" t="s">
        <v>251</v>
      </c>
      <c r="BF144" s="5" t="s">
        <v>252</v>
      </c>
      <c r="BG144" s="5" t="s">
        <v>238</v>
      </c>
      <c r="BH144" s="7">
        <f>0</f>
        <v>0</v>
      </c>
      <c r="BI144" s="8">
        <f>0</f>
        <v>0</v>
      </c>
      <c r="BJ144" s="5" t="s">
        <v>253</v>
      </c>
      <c r="BK144" s="5" t="s">
        <v>254</v>
      </c>
      <c r="BY144" s="5" t="s">
        <v>238</v>
      </c>
      <c r="BZ144" s="5" t="s">
        <v>238</v>
      </c>
      <c r="CD144" s="5" t="s">
        <v>255</v>
      </c>
      <c r="CE144" s="5" t="s">
        <v>256</v>
      </c>
      <c r="CF144" s="5" t="s">
        <v>238</v>
      </c>
      <c r="CI144" s="6" t="s">
        <v>257</v>
      </c>
      <c r="CJ144" s="5" t="s">
        <v>238</v>
      </c>
      <c r="CK144" s="5" t="s">
        <v>258</v>
      </c>
      <c r="CL144" s="5" t="s">
        <v>238</v>
      </c>
      <c r="CM144" s="5" t="s">
        <v>238</v>
      </c>
      <c r="CN144" s="5">
        <v>0</v>
      </c>
      <c r="CO144" s="5" t="s">
        <v>259</v>
      </c>
      <c r="CP144" s="5" t="s">
        <v>260</v>
      </c>
      <c r="CQ144" s="5" t="s">
        <v>260</v>
      </c>
      <c r="CR144" s="5" t="s">
        <v>261</v>
      </c>
      <c r="CU144" s="8">
        <f>2236000</f>
        <v>2236000</v>
      </c>
      <c r="CV144" s="8">
        <f>0</f>
        <v>0</v>
      </c>
      <c r="CX144" s="8">
        <f>0</f>
        <v>0</v>
      </c>
      <c r="CY144" s="8">
        <f>2236000</f>
        <v>2236000</v>
      </c>
      <c r="DA144" s="5" t="s">
        <v>263</v>
      </c>
      <c r="DB144" s="5" t="s">
        <v>238</v>
      </c>
      <c r="DD144" s="5" t="s">
        <v>356</v>
      </c>
      <c r="DE144" s="8">
        <f>0</f>
        <v>0</v>
      </c>
      <c r="DG144" s="5" t="s">
        <v>263</v>
      </c>
      <c r="DH144" s="5" t="s">
        <v>238</v>
      </c>
      <c r="DI144" s="5" t="s">
        <v>238</v>
      </c>
      <c r="DJ144" s="5" t="s">
        <v>238</v>
      </c>
      <c r="DN144" s="5" t="s">
        <v>238</v>
      </c>
      <c r="DO144" s="5" t="s">
        <v>238</v>
      </c>
      <c r="DP144" s="5" t="s">
        <v>238</v>
      </c>
      <c r="DQ144" s="5" t="s">
        <v>238</v>
      </c>
      <c r="DT144" s="5" t="s">
        <v>6221</v>
      </c>
      <c r="DU144" s="5" t="s">
        <v>967</v>
      </c>
      <c r="HM144" s="5" t="s">
        <v>264</v>
      </c>
    </row>
    <row r="145" spans="1:221" x14ac:dyDescent="0.4">
      <c r="A145" s="5">
        <v>856</v>
      </c>
      <c r="B145" s="5">
        <v>1</v>
      </c>
      <c r="C145" s="5">
        <v>1</v>
      </c>
      <c r="D145" s="5" t="s">
        <v>6215</v>
      </c>
      <c r="E145" s="5" t="s">
        <v>475</v>
      </c>
      <c r="F145" s="5" t="s">
        <v>248</v>
      </c>
      <c r="G145" s="5" t="s">
        <v>6214</v>
      </c>
      <c r="H145" s="6" t="s">
        <v>6217</v>
      </c>
      <c r="I145" s="7">
        <f>689</f>
        <v>689</v>
      </c>
      <c r="J145" s="5" t="s">
        <v>262</v>
      </c>
      <c r="K145" s="8">
        <f>1526135</f>
        <v>1526135</v>
      </c>
      <c r="L145" s="6" t="s">
        <v>6216</v>
      </c>
      <c r="M145" s="5" t="s">
        <v>267</v>
      </c>
      <c r="N145" s="5" t="s">
        <v>237</v>
      </c>
      <c r="O145" s="5" t="s">
        <v>238</v>
      </c>
      <c r="P145" s="5" t="s">
        <v>238</v>
      </c>
      <c r="Q145" s="5" t="s">
        <v>239</v>
      </c>
      <c r="R145" s="5" t="s">
        <v>270</v>
      </c>
      <c r="S145" s="5" t="s">
        <v>238</v>
      </c>
      <c r="V145" s="5" t="s">
        <v>238</v>
      </c>
      <c r="X145" s="6" t="s">
        <v>238</v>
      </c>
      <c r="AA145" s="6" t="s">
        <v>243</v>
      </c>
      <c r="AB145" s="5" t="s">
        <v>238</v>
      </c>
      <c r="AC145" s="5" t="s">
        <v>244</v>
      </c>
      <c r="AD145" s="5" t="s">
        <v>245</v>
      </c>
      <c r="AT145" s="5" t="s">
        <v>246</v>
      </c>
      <c r="AU145" s="5" t="s">
        <v>238</v>
      </c>
      <c r="AV145" s="5" t="s">
        <v>247</v>
      </c>
      <c r="AW145" s="5" t="s">
        <v>238</v>
      </c>
      <c r="AX145" s="5" t="s">
        <v>249</v>
      </c>
      <c r="AY145" s="5" t="s">
        <v>238</v>
      </c>
      <c r="BA145" s="5" t="s">
        <v>4547</v>
      </c>
      <c r="BC145" s="5" t="s">
        <v>250</v>
      </c>
      <c r="BD145" s="6" t="s">
        <v>243</v>
      </c>
      <c r="BE145" s="5" t="s">
        <v>251</v>
      </c>
      <c r="BF145" s="5" t="s">
        <v>252</v>
      </c>
      <c r="BG145" s="5" t="s">
        <v>238</v>
      </c>
      <c r="BH145" s="7">
        <f>0</f>
        <v>0</v>
      </c>
      <c r="BI145" s="8">
        <f>0</f>
        <v>0</v>
      </c>
      <c r="BJ145" s="5" t="s">
        <v>253</v>
      </c>
      <c r="BK145" s="5" t="s">
        <v>254</v>
      </c>
      <c r="BY145" s="5" t="s">
        <v>238</v>
      </c>
      <c r="BZ145" s="5" t="s">
        <v>238</v>
      </c>
      <c r="CD145" s="5" t="s">
        <v>255</v>
      </c>
      <c r="CE145" s="5" t="s">
        <v>256</v>
      </c>
      <c r="CF145" s="5" t="s">
        <v>238</v>
      </c>
      <c r="CI145" s="6" t="s">
        <v>257</v>
      </c>
      <c r="CJ145" s="5" t="s">
        <v>238</v>
      </c>
      <c r="CK145" s="5" t="s">
        <v>258</v>
      </c>
      <c r="CL145" s="5" t="s">
        <v>238</v>
      </c>
      <c r="CM145" s="5" t="s">
        <v>238</v>
      </c>
      <c r="CN145" s="5">
        <v>0</v>
      </c>
      <c r="CO145" s="5" t="s">
        <v>259</v>
      </c>
      <c r="CP145" s="5" t="s">
        <v>260</v>
      </c>
      <c r="CQ145" s="5" t="s">
        <v>260</v>
      </c>
      <c r="CR145" s="5" t="s">
        <v>261</v>
      </c>
      <c r="CU145" s="8">
        <f>1526135</f>
        <v>1526135</v>
      </c>
      <c r="CV145" s="8">
        <f>0</f>
        <v>0</v>
      </c>
      <c r="CX145" s="8">
        <f>0</f>
        <v>0</v>
      </c>
      <c r="CY145" s="8">
        <f>1526135</f>
        <v>1526135</v>
      </c>
      <c r="DA145" s="5" t="s">
        <v>389</v>
      </c>
      <c r="DB145" s="5" t="s">
        <v>238</v>
      </c>
      <c r="DD145" s="5" t="s">
        <v>389</v>
      </c>
      <c r="DE145" s="8">
        <f>689</f>
        <v>689</v>
      </c>
      <c r="DG145" s="5" t="s">
        <v>389</v>
      </c>
      <c r="DH145" s="5" t="s">
        <v>238</v>
      </c>
      <c r="DI145" s="5" t="s">
        <v>238</v>
      </c>
      <c r="DJ145" s="5" t="s">
        <v>238</v>
      </c>
      <c r="DN145" s="5" t="s">
        <v>238</v>
      </c>
      <c r="DO145" s="5" t="s">
        <v>238</v>
      </c>
      <c r="DP145" s="5" t="s">
        <v>238</v>
      </c>
      <c r="DQ145" s="5" t="s">
        <v>238</v>
      </c>
      <c r="DT145" s="5" t="s">
        <v>6218</v>
      </c>
      <c r="DU145" s="5" t="s">
        <v>264</v>
      </c>
      <c r="HM145" s="5" t="s">
        <v>264</v>
      </c>
    </row>
    <row r="146" spans="1:221" x14ac:dyDescent="0.4">
      <c r="A146" s="5">
        <v>857</v>
      </c>
      <c r="B146" s="5">
        <v>1</v>
      </c>
      <c r="C146" s="5">
        <v>1</v>
      </c>
      <c r="D146" s="5" t="s">
        <v>6211</v>
      </c>
      <c r="E146" s="5" t="s">
        <v>475</v>
      </c>
      <c r="F146" s="5" t="s">
        <v>248</v>
      </c>
      <c r="G146" s="5" t="s">
        <v>6210</v>
      </c>
      <c r="H146" s="6" t="s">
        <v>6319</v>
      </c>
      <c r="I146" s="7">
        <f>80</f>
        <v>80</v>
      </c>
      <c r="J146" s="5" t="s">
        <v>262</v>
      </c>
      <c r="K146" s="8">
        <f>177200</f>
        <v>177200</v>
      </c>
      <c r="L146" s="6" t="s">
        <v>242</v>
      </c>
      <c r="M146" s="5" t="s">
        <v>267</v>
      </c>
      <c r="N146" s="5" t="s">
        <v>237</v>
      </c>
      <c r="O146" s="5" t="s">
        <v>238</v>
      </c>
      <c r="P146" s="5" t="s">
        <v>238</v>
      </c>
      <c r="Q146" s="5" t="s">
        <v>239</v>
      </c>
      <c r="R146" s="5" t="s">
        <v>270</v>
      </c>
      <c r="S146" s="5" t="s">
        <v>238</v>
      </c>
      <c r="V146" s="5" t="s">
        <v>238</v>
      </c>
      <c r="X146" s="6" t="s">
        <v>238</v>
      </c>
      <c r="AA146" s="6" t="s">
        <v>243</v>
      </c>
      <c r="AB146" s="5" t="s">
        <v>238</v>
      </c>
      <c r="AC146" s="5" t="s">
        <v>244</v>
      </c>
      <c r="AD146" s="5" t="s">
        <v>245</v>
      </c>
      <c r="AT146" s="5" t="s">
        <v>246</v>
      </c>
      <c r="AU146" s="5" t="s">
        <v>238</v>
      </c>
      <c r="AV146" s="5" t="s">
        <v>247</v>
      </c>
      <c r="AW146" s="5" t="s">
        <v>238</v>
      </c>
      <c r="AX146" s="5" t="s">
        <v>249</v>
      </c>
      <c r="AY146" s="5" t="s">
        <v>238</v>
      </c>
      <c r="BA146" s="5" t="s">
        <v>4547</v>
      </c>
      <c r="BC146" s="5" t="s">
        <v>250</v>
      </c>
      <c r="BD146" s="6" t="s">
        <v>243</v>
      </c>
      <c r="BE146" s="5" t="s">
        <v>251</v>
      </c>
      <c r="BF146" s="5" t="s">
        <v>252</v>
      </c>
      <c r="BG146" s="5" t="s">
        <v>238</v>
      </c>
      <c r="BH146" s="7">
        <f>0</f>
        <v>0</v>
      </c>
      <c r="BI146" s="8">
        <f>0</f>
        <v>0</v>
      </c>
      <c r="BJ146" s="5" t="s">
        <v>253</v>
      </c>
      <c r="BK146" s="5" t="s">
        <v>254</v>
      </c>
      <c r="BY146" s="5" t="s">
        <v>238</v>
      </c>
      <c r="BZ146" s="5" t="s">
        <v>238</v>
      </c>
      <c r="CD146" s="5" t="s">
        <v>255</v>
      </c>
      <c r="CE146" s="5" t="s">
        <v>256</v>
      </c>
      <c r="CF146" s="5" t="s">
        <v>238</v>
      </c>
      <c r="CI146" s="6" t="s">
        <v>257</v>
      </c>
      <c r="CJ146" s="5" t="s">
        <v>238</v>
      </c>
      <c r="CK146" s="5" t="s">
        <v>258</v>
      </c>
      <c r="CL146" s="5" t="s">
        <v>238</v>
      </c>
      <c r="CM146" s="5" t="s">
        <v>238</v>
      </c>
      <c r="CN146" s="5">
        <v>0</v>
      </c>
      <c r="CO146" s="5" t="s">
        <v>259</v>
      </c>
      <c r="CP146" s="5" t="s">
        <v>260</v>
      </c>
      <c r="CQ146" s="5" t="s">
        <v>260</v>
      </c>
      <c r="CR146" s="5" t="s">
        <v>261</v>
      </c>
      <c r="CU146" s="8">
        <f>177200</f>
        <v>177200</v>
      </c>
      <c r="CV146" s="8">
        <f>0</f>
        <v>0</v>
      </c>
      <c r="CX146" s="8">
        <f>0</f>
        <v>0</v>
      </c>
      <c r="CY146" s="8">
        <f>177200</f>
        <v>177200</v>
      </c>
      <c r="DA146" s="5" t="s">
        <v>389</v>
      </c>
      <c r="DB146" s="5" t="s">
        <v>238</v>
      </c>
      <c r="DD146" s="5" t="s">
        <v>356</v>
      </c>
      <c r="DE146" s="8">
        <f>0</f>
        <v>0</v>
      </c>
      <c r="DG146" s="5" t="s">
        <v>389</v>
      </c>
      <c r="DH146" s="5" t="s">
        <v>238</v>
      </c>
      <c r="DI146" s="5" t="s">
        <v>238</v>
      </c>
      <c r="DJ146" s="5" t="s">
        <v>238</v>
      </c>
      <c r="DN146" s="5" t="s">
        <v>238</v>
      </c>
      <c r="DO146" s="5" t="s">
        <v>238</v>
      </c>
      <c r="DP146" s="5" t="s">
        <v>238</v>
      </c>
      <c r="DQ146" s="5" t="s">
        <v>238</v>
      </c>
      <c r="DT146" s="5" t="s">
        <v>6213</v>
      </c>
      <c r="DU146" s="5" t="s">
        <v>264</v>
      </c>
      <c r="HM146" s="5" t="s">
        <v>264</v>
      </c>
    </row>
    <row r="147" spans="1:221" x14ac:dyDescent="0.4">
      <c r="A147" s="5">
        <v>858</v>
      </c>
      <c r="B147" s="5">
        <v>1</v>
      </c>
      <c r="C147" s="5">
        <v>1</v>
      </c>
      <c r="D147" s="5" t="s">
        <v>6211</v>
      </c>
      <c r="E147" s="5" t="s">
        <v>475</v>
      </c>
      <c r="F147" s="5" t="s">
        <v>248</v>
      </c>
      <c r="G147" s="5" t="s">
        <v>6210</v>
      </c>
      <c r="H147" s="6" t="s">
        <v>6212</v>
      </c>
      <c r="I147" s="7">
        <f>1673</f>
        <v>1673</v>
      </c>
      <c r="J147" s="5" t="s">
        <v>262</v>
      </c>
      <c r="K147" s="8">
        <f>3705695</f>
        <v>3705695</v>
      </c>
      <c r="L147" s="6" t="s">
        <v>242</v>
      </c>
      <c r="M147" s="5" t="s">
        <v>267</v>
      </c>
      <c r="N147" s="5" t="s">
        <v>237</v>
      </c>
      <c r="O147" s="5" t="s">
        <v>238</v>
      </c>
      <c r="P147" s="5" t="s">
        <v>238</v>
      </c>
      <c r="Q147" s="5" t="s">
        <v>239</v>
      </c>
      <c r="R147" s="5" t="s">
        <v>270</v>
      </c>
      <c r="S147" s="5" t="s">
        <v>238</v>
      </c>
      <c r="V147" s="5" t="s">
        <v>238</v>
      </c>
      <c r="X147" s="6" t="s">
        <v>238</v>
      </c>
      <c r="AA147" s="6" t="s">
        <v>243</v>
      </c>
      <c r="AB147" s="5" t="s">
        <v>238</v>
      </c>
      <c r="AC147" s="5" t="s">
        <v>244</v>
      </c>
      <c r="AD147" s="5" t="s">
        <v>245</v>
      </c>
      <c r="AT147" s="5" t="s">
        <v>246</v>
      </c>
      <c r="AU147" s="5" t="s">
        <v>238</v>
      </c>
      <c r="AV147" s="5" t="s">
        <v>247</v>
      </c>
      <c r="AW147" s="5" t="s">
        <v>238</v>
      </c>
      <c r="AX147" s="5" t="s">
        <v>249</v>
      </c>
      <c r="AY147" s="5" t="s">
        <v>238</v>
      </c>
      <c r="BA147" s="5" t="s">
        <v>238</v>
      </c>
      <c r="BC147" s="5" t="s">
        <v>250</v>
      </c>
      <c r="BD147" s="6" t="s">
        <v>243</v>
      </c>
      <c r="BE147" s="5" t="s">
        <v>251</v>
      </c>
      <c r="BF147" s="5" t="s">
        <v>252</v>
      </c>
      <c r="BG147" s="5" t="s">
        <v>238</v>
      </c>
      <c r="BH147" s="7">
        <f>0</f>
        <v>0</v>
      </c>
      <c r="BI147" s="8">
        <f>0</f>
        <v>0</v>
      </c>
      <c r="BJ147" s="5" t="s">
        <v>253</v>
      </c>
      <c r="BK147" s="5" t="s">
        <v>254</v>
      </c>
      <c r="BY147" s="5" t="s">
        <v>238</v>
      </c>
      <c r="BZ147" s="5" t="s">
        <v>238</v>
      </c>
      <c r="CD147" s="5" t="s">
        <v>255</v>
      </c>
      <c r="CE147" s="5" t="s">
        <v>256</v>
      </c>
      <c r="CF147" s="5" t="s">
        <v>238</v>
      </c>
      <c r="CI147" s="6" t="s">
        <v>257</v>
      </c>
      <c r="CJ147" s="5" t="s">
        <v>238</v>
      </c>
      <c r="CK147" s="5" t="s">
        <v>258</v>
      </c>
      <c r="CL147" s="5" t="s">
        <v>238</v>
      </c>
      <c r="CM147" s="5" t="s">
        <v>238</v>
      </c>
      <c r="CN147" s="5">
        <v>0</v>
      </c>
      <c r="CO147" s="5" t="s">
        <v>259</v>
      </c>
      <c r="CP147" s="5" t="s">
        <v>260</v>
      </c>
      <c r="CQ147" s="5" t="s">
        <v>260</v>
      </c>
      <c r="CR147" s="5" t="s">
        <v>261</v>
      </c>
      <c r="CU147" s="8">
        <f>3705695</f>
        <v>3705695</v>
      </c>
      <c r="CV147" s="8">
        <f>0</f>
        <v>0</v>
      </c>
      <c r="CX147" s="8">
        <f>0</f>
        <v>0</v>
      </c>
      <c r="CY147" s="8">
        <f>3705695</f>
        <v>3705695</v>
      </c>
      <c r="DA147" s="5" t="s">
        <v>356</v>
      </c>
      <c r="DB147" s="5" t="s">
        <v>238</v>
      </c>
      <c r="DD147" s="5" t="s">
        <v>356</v>
      </c>
      <c r="DE147" s="8">
        <f>1673</f>
        <v>1673</v>
      </c>
      <c r="DG147" s="5" t="s">
        <v>389</v>
      </c>
      <c r="DH147" s="5" t="s">
        <v>238</v>
      </c>
      <c r="DI147" s="5" t="s">
        <v>238</v>
      </c>
      <c r="DJ147" s="5" t="s">
        <v>238</v>
      </c>
      <c r="DN147" s="5" t="s">
        <v>238</v>
      </c>
      <c r="DO147" s="5" t="s">
        <v>238</v>
      </c>
      <c r="DP147" s="5" t="s">
        <v>238</v>
      </c>
      <c r="DQ147" s="5" t="s">
        <v>238</v>
      </c>
      <c r="DT147" s="5" t="s">
        <v>6213</v>
      </c>
      <c r="DU147" s="5" t="s">
        <v>294</v>
      </c>
      <c r="HM147" s="5" t="s">
        <v>264</v>
      </c>
    </row>
    <row r="148" spans="1:221" x14ac:dyDescent="0.4">
      <c r="A148" s="5">
        <v>859</v>
      </c>
      <c r="B148" s="5">
        <v>1</v>
      </c>
      <c r="C148" s="5">
        <v>1</v>
      </c>
      <c r="D148" s="5" t="s">
        <v>6206</v>
      </c>
      <c r="E148" s="5" t="s">
        <v>475</v>
      </c>
      <c r="F148" s="5" t="s">
        <v>248</v>
      </c>
      <c r="G148" s="5" t="s">
        <v>6205</v>
      </c>
      <c r="H148" s="6" t="s">
        <v>6207</v>
      </c>
      <c r="I148" s="7">
        <f>1884</f>
        <v>1884</v>
      </c>
      <c r="J148" s="5" t="s">
        <v>262</v>
      </c>
      <c r="K148" s="8">
        <f>4173060</f>
        <v>4173060</v>
      </c>
      <c r="L148" s="6" t="s">
        <v>242</v>
      </c>
      <c r="M148" s="5" t="s">
        <v>267</v>
      </c>
      <c r="N148" s="5" t="s">
        <v>237</v>
      </c>
      <c r="O148" s="5" t="s">
        <v>238</v>
      </c>
      <c r="P148" s="5" t="s">
        <v>238</v>
      </c>
      <c r="Q148" s="5" t="s">
        <v>239</v>
      </c>
      <c r="R148" s="5" t="s">
        <v>270</v>
      </c>
      <c r="S148" s="5" t="s">
        <v>238</v>
      </c>
      <c r="V148" s="5" t="s">
        <v>238</v>
      </c>
      <c r="X148" s="6" t="s">
        <v>238</v>
      </c>
      <c r="AA148" s="6" t="s">
        <v>243</v>
      </c>
      <c r="AB148" s="5" t="s">
        <v>238</v>
      </c>
      <c r="AC148" s="5" t="s">
        <v>244</v>
      </c>
      <c r="AD148" s="5" t="s">
        <v>245</v>
      </c>
      <c r="AT148" s="5" t="s">
        <v>246</v>
      </c>
      <c r="AU148" s="5" t="s">
        <v>238</v>
      </c>
      <c r="AV148" s="5" t="s">
        <v>247</v>
      </c>
      <c r="AW148" s="5" t="s">
        <v>238</v>
      </c>
      <c r="AX148" s="5" t="s">
        <v>249</v>
      </c>
      <c r="AY148" s="5" t="s">
        <v>238</v>
      </c>
      <c r="BA148" s="5" t="s">
        <v>4547</v>
      </c>
      <c r="BC148" s="5" t="s">
        <v>250</v>
      </c>
      <c r="BD148" s="6" t="s">
        <v>243</v>
      </c>
      <c r="BE148" s="5" t="s">
        <v>251</v>
      </c>
      <c r="BF148" s="5" t="s">
        <v>252</v>
      </c>
      <c r="BG148" s="5" t="s">
        <v>238</v>
      </c>
      <c r="BH148" s="7">
        <f>0</f>
        <v>0</v>
      </c>
      <c r="BI148" s="8">
        <f>0</f>
        <v>0</v>
      </c>
      <c r="BJ148" s="5" t="s">
        <v>253</v>
      </c>
      <c r="BK148" s="5" t="s">
        <v>254</v>
      </c>
      <c r="BY148" s="5" t="s">
        <v>238</v>
      </c>
      <c r="BZ148" s="5" t="s">
        <v>238</v>
      </c>
      <c r="CD148" s="5" t="s">
        <v>255</v>
      </c>
      <c r="CE148" s="5" t="s">
        <v>256</v>
      </c>
      <c r="CF148" s="5" t="s">
        <v>238</v>
      </c>
      <c r="CI148" s="6" t="s">
        <v>257</v>
      </c>
      <c r="CJ148" s="5" t="s">
        <v>238</v>
      </c>
      <c r="CK148" s="5" t="s">
        <v>258</v>
      </c>
      <c r="CL148" s="5" t="s">
        <v>238</v>
      </c>
      <c r="CM148" s="5" t="s">
        <v>238</v>
      </c>
      <c r="CN148" s="5">
        <v>0</v>
      </c>
      <c r="CO148" s="5" t="s">
        <v>259</v>
      </c>
      <c r="CP148" s="5" t="s">
        <v>260</v>
      </c>
      <c r="CQ148" s="5" t="s">
        <v>260</v>
      </c>
      <c r="CR148" s="5" t="s">
        <v>261</v>
      </c>
      <c r="CU148" s="8">
        <f>4173060</f>
        <v>4173060</v>
      </c>
      <c r="CV148" s="8">
        <f>0</f>
        <v>0</v>
      </c>
      <c r="CX148" s="8">
        <f>0</f>
        <v>0</v>
      </c>
      <c r="CY148" s="8">
        <f>4173060</f>
        <v>4173060</v>
      </c>
      <c r="DA148" s="5" t="s">
        <v>2032</v>
      </c>
      <c r="DB148" s="5" t="s">
        <v>238</v>
      </c>
      <c r="DD148" s="5" t="s">
        <v>356</v>
      </c>
      <c r="DE148" s="8">
        <f>0</f>
        <v>0</v>
      </c>
      <c r="DF148" s="6" t="s">
        <v>6208</v>
      </c>
      <c r="DG148" s="5" t="s">
        <v>389</v>
      </c>
      <c r="DH148" s="5" t="s">
        <v>238</v>
      </c>
      <c r="DI148" s="5" t="s">
        <v>238</v>
      </c>
      <c r="DJ148" s="5" t="s">
        <v>238</v>
      </c>
      <c r="DN148" s="5" t="s">
        <v>238</v>
      </c>
      <c r="DO148" s="5" t="s">
        <v>238</v>
      </c>
      <c r="DP148" s="5" t="s">
        <v>238</v>
      </c>
      <c r="DQ148" s="5" t="s">
        <v>238</v>
      </c>
      <c r="DT148" s="5" t="s">
        <v>6209</v>
      </c>
      <c r="DU148" s="5" t="s">
        <v>264</v>
      </c>
      <c r="HM148" s="5" t="s">
        <v>264</v>
      </c>
    </row>
    <row r="149" spans="1:221" x14ac:dyDescent="0.4">
      <c r="A149" s="5">
        <v>860</v>
      </c>
      <c r="B149" s="5">
        <v>1</v>
      </c>
      <c r="C149" s="5">
        <v>1</v>
      </c>
      <c r="D149" s="5" t="s">
        <v>6202</v>
      </c>
      <c r="E149" s="5" t="s">
        <v>475</v>
      </c>
      <c r="F149" s="5" t="s">
        <v>248</v>
      </c>
      <c r="G149" s="5" t="s">
        <v>6201</v>
      </c>
      <c r="H149" s="6" t="s">
        <v>6203</v>
      </c>
      <c r="I149" s="7">
        <f>1626</f>
        <v>1626</v>
      </c>
      <c r="J149" s="5" t="s">
        <v>262</v>
      </c>
      <c r="K149" s="8">
        <f>3601590</f>
        <v>3601590</v>
      </c>
      <c r="L149" s="6" t="s">
        <v>242</v>
      </c>
      <c r="M149" s="5" t="s">
        <v>267</v>
      </c>
      <c r="N149" s="5" t="s">
        <v>237</v>
      </c>
      <c r="O149" s="5" t="s">
        <v>238</v>
      </c>
      <c r="P149" s="5" t="s">
        <v>238</v>
      </c>
      <c r="Q149" s="5" t="s">
        <v>239</v>
      </c>
      <c r="R149" s="5" t="s">
        <v>270</v>
      </c>
      <c r="S149" s="5" t="s">
        <v>238</v>
      </c>
      <c r="V149" s="5" t="s">
        <v>238</v>
      </c>
      <c r="X149" s="6" t="s">
        <v>238</v>
      </c>
      <c r="AA149" s="6" t="s">
        <v>243</v>
      </c>
      <c r="AB149" s="5" t="s">
        <v>238</v>
      </c>
      <c r="AC149" s="5" t="s">
        <v>244</v>
      </c>
      <c r="AD149" s="5" t="s">
        <v>245</v>
      </c>
      <c r="AT149" s="5" t="s">
        <v>246</v>
      </c>
      <c r="AU149" s="5" t="s">
        <v>238</v>
      </c>
      <c r="AV149" s="5" t="s">
        <v>247</v>
      </c>
      <c r="AW149" s="5" t="s">
        <v>238</v>
      </c>
      <c r="AX149" s="5" t="s">
        <v>249</v>
      </c>
      <c r="AY149" s="5" t="s">
        <v>238</v>
      </c>
      <c r="BA149" s="5" t="s">
        <v>4547</v>
      </c>
      <c r="BC149" s="5" t="s">
        <v>250</v>
      </c>
      <c r="BD149" s="6" t="s">
        <v>243</v>
      </c>
      <c r="BE149" s="5" t="s">
        <v>251</v>
      </c>
      <c r="BF149" s="5" t="s">
        <v>252</v>
      </c>
      <c r="BG149" s="5" t="s">
        <v>238</v>
      </c>
      <c r="BH149" s="7">
        <f>0</f>
        <v>0</v>
      </c>
      <c r="BI149" s="8">
        <f>0</f>
        <v>0</v>
      </c>
      <c r="BJ149" s="5" t="s">
        <v>253</v>
      </c>
      <c r="BK149" s="5" t="s">
        <v>254</v>
      </c>
      <c r="BY149" s="5" t="s">
        <v>238</v>
      </c>
      <c r="BZ149" s="5" t="s">
        <v>238</v>
      </c>
      <c r="CD149" s="5" t="s">
        <v>255</v>
      </c>
      <c r="CE149" s="5" t="s">
        <v>256</v>
      </c>
      <c r="CF149" s="5" t="s">
        <v>238</v>
      </c>
      <c r="CI149" s="6" t="s">
        <v>257</v>
      </c>
      <c r="CJ149" s="5" t="s">
        <v>238</v>
      </c>
      <c r="CK149" s="5" t="s">
        <v>258</v>
      </c>
      <c r="CL149" s="5" t="s">
        <v>238</v>
      </c>
      <c r="CM149" s="5" t="s">
        <v>238</v>
      </c>
      <c r="CN149" s="5">
        <v>0</v>
      </c>
      <c r="CO149" s="5" t="s">
        <v>259</v>
      </c>
      <c r="CP149" s="5" t="s">
        <v>260</v>
      </c>
      <c r="CQ149" s="5" t="s">
        <v>260</v>
      </c>
      <c r="CR149" s="5" t="s">
        <v>261</v>
      </c>
      <c r="CU149" s="8">
        <f>3601590</f>
        <v>3601590</v>
      </c>
      <c r="CV149" s="8">
        <f>0</f>
        <v>0</v>
      </c>
      <c r="CX149" s="8">
        <f>0</f>
        <v>0</v>
      </c>
      <c r="CY149" s="8">
        <f>3601590</f>
        <v>3601590</v>
      </c>
      <c r="DA149" s="5" t="s">
        <v>2032</v>
      </c>
      <c r="DB149" s="5" t="s">
        <v>238</v>
      </c>
      <c r="DD149" s="5" t="s">
        <v>356</v>
      </c>
      <c r="DE149" s="8">
        <f>0</f>
        <v>0</v>
      </c>
      <c r="DG149" s="5" t="s">
        <v>389</v>
      </c>
      <c r="DH149" s="5" t="s">
        <v>238</v>
      </c>
      <c r="DI149" s="5" t="s">
        <v>238</v>
      </c>
      <c r="DJ149" s="5" t="s">
        <v>238</v>
      </c>
      <c r="DN149" s="5" t="s">
        <v>238</v>
      </c>
      <c r="DO149" s="5" t="s">
        <v>238</v>
      </c>
      <c r="DP149" s="5" t="s">
        <v>238</v>
      </c>
      <c r="DQ149" s="5" t="s">
        <v>238</v>
      </c>
      <c r="DT149" s="5" t="s">
        <v>6204</v>
      </c>
      <c r="DU149" s="5" t="s">
        <v>264</v>
      </c>
      <c r="HM149" s="5" t="s">
        <v>264</v>
      </c>
    </row>
    <row r="150" spans="1:221" x14ac:dyDescent="0.4">
      <c r="A150" s="5">
        <v>861</v>
      </c>
      <c r="B150" s="5">
        <v>1</v>
      </c>
      <c r="C150" s="5">
        <v>1</v>
      </c>
      <c r="D150" s="5" t="s">
        <v>6197</v>
      </c>
      <c r="E150" s="5" t="s">
        <v>475</v>
      </c>
      <c r="F150" s="5" t="s">
        <v>248</v>
      </c>
      <c r="G150" s="5" t="s">
        <v>6196</v>
      </c>
      <c r="H150" s="6" t="s">
        <v>6320</v>
      </c>
      <c r="I150" s="7">
        <f>305</f>
        <v>305</v>
      </c>
      <c r="J150" s="5" t="s">
        <v>262</v>
      </c>
      <c r="K150" s="8">
        <f>675575</f>
        <v>675575</v>
      </c>
      <c r="L150" s="6" t="s">
        <v>242</v>
      </c>
      <c r="M150" s="5" t="s">
        <v>267</v>
      </c>
      <c r="N150" s="5" t="s">
        <v>237</v>
      </c>
      <c r="O150" s="5" t="s">
        <v>238</v>
      </c>
      <c r="P150" s="5" t="s">
        <v>238</v>
      </c>
      <c r="Q150" s="5" t="s">
        <v>239</v>
      </c>
      <c r="R150" s="5" t="s">
        <v>270</v>
      </c>
      <c r="S150" s="5" t="s">
        <v>238</v>
      </c>
      <c r="V150" s="5" t="s">
        <v>238</v>
      </c>
      <c r="X150" s="6" t="s">
        <v>238</v>
      </c>
      <c r="AA150" s="6" t="s">
        <v>243</v>
      </c>
      <c r="AB150" s="5" t="s">
        <v>238</v>
      </c>
      <c r="AC150" s="5" t="s">
        <v>244</v>
      </c>
      <c r="AD150" s="5" t="s">
        <v>245</v>
      </c>
      <c r="AT150" s="5" t="s">
        <v>246</v>
      </c>
      <c r="AU150" s="5" t="s">
        <v>238</v>
      </c>
      <c r="AV150" s="5" t="s">
        <v>247</v>
      </c>
      <c r="AW150" s="5" t="s">
        <v>238</v>
      </c>
      <c r="AX150" s="5" t="s">
        <v>249</v>
      </c>
      <c r="AY150" s="5" t="s">
        <v>238</v>
      </c>
      <c r="BA150" s="5" t="s">
        <v>4547</v>
      </c>
      <c r="BC150" s="5" t="s">
        <v>250</v>
      </c>
      <c r="BD150" s="6" t="s">
        <v>243</v>
      </c>
      <c r="BE150" s="5" t="s">
        <v>251</v>
      </c>
      <c r="BF150" s="5" t="s">
        <v>252</v>
      </c>
      <c r="BG150" s="5" t="s">
        <v>238</v>
      </c>
      <c r="BH150" s="7">
        <f>0</f>
        <v>0</v>
      </c>
      <c r="BI150" s="8">
        <f>0</f>
        <v>0</v>
      </c>
      <c r="BJ150" s="5" t="s">
        <v>253</v>
      </c>
      <c r="BK150" s="5" t="s">
        <v>254</v>
      </c>
      <c r="BY150" s="5" t="s">
        <v>238</v>
      </c>
      <c r="BZ150" s="5" t="s">
        <v>238</v>
      </c>
      <c r="CD150" s="5" t="s">
        <v>255</v>
      </c>
      <c r="CE150" s="5" t="s">
        <v>256</v>
      </c>
      <c r="CF150" s="5" t="s">
        <v>238</v>
      </c>
      <c r="CI150" s="6" t="s">
        <v>257</v>
      </c>
      <c r="CJ150" s="5" t="s">
        <v>238</v>
      </c>
      <c r="CK150" s="5" t="s">
        <v>258</v>
      </c>
      <c r="CL150" s="5" t="s">
        <v>238</v>
      </c>
      <c r="CM150" s="5" t="s">
        <v>238</v>
      </c>
      <c r="CN150" s="5">
        <v>0</v>
      </c>
      <c r="CO150" s="5" t="s">
        <v>259</v>
      </c>
      <c r="CP150" s="5" t="s">
        <v>260</v>
      </c>
      <c r="CQ150" s="5" t="s">
        <v>260</v>
      </c>
      <c r="CR150" s="5" t="s">
        <v>261</v>
      </c>
      <c r="CU150" s="8">
        <f>675575</f>
        <v>675575</v>
      </c>
      <c r="CV150" s="8">
        <f>0</f>
        <v>0</v>
      </c>
      <c r="CX150" s="8">
        <f>0</f>
        <v>0</v>
      </c>
      <c r="CY150" s="8">
        <f>675575</f>
        <v>675575</v>
      </c>
      <c r="DA150" s="5" t="s">
        <v>2032</v>
      </c>
      <c r="DB150" s="5" t="s">
        <v>238</v>
      </c>
      <c r="DD150" s="5" t="s">
        <v>356</v>
      </c>
      <c r="DE150" s="8">
        <f>0</f>
        <v>0</v>
      </c>
      <c r="DG150" s="5" t="s">
        <v>389</v>
      </c>
      <c r="DH150" s="5" t="s">
        <v>238</v>
      </c>
      <c r="DI150" s="5" t="s">
        <v>238</v>
      </c>
      <c r="DJ150" s="5" t="s">
        <v>238</v>
      </c>
      <c r="DN150" s="5" t="s">
        <v>238</v>
      </c>
      <c r="DO150" s="5" t="s">
        <v>238</v>
      </c>
      <c r="DP150" s="5" t="s">
        <v>238</v>
      </c>
      <c r="DQ150" s="5" t="s">
        <v>238</v>
      </c>
      <c r="DT150" s="5" t="s">
        <v>6199</v>
      </c>
      <c r="DU150" s="5" t="s">
        <v>264</v>
      </c>
      <c r="HM150" s="5" t="s">
        <v>264</v>
      </c>
    </row>
    <row r="151" spans="1:221" x14ac:dyDescent="0.4">
      <c r="A151" s="5">
        <v>862</v>
      </c>
      <c r="B151" s="5">
        <v>1</v>
      </c>
      <c r="C151" s="5">
        <v>1</v>
      </c>
      <c r="D151" s="5" t="s">
        <v>6197</v>
      </c>
      <c r="E151" s="5" t="s">
        <v>475</v>
      </c>
      <c r="F151" s="5" t="s">
        <v>248</v>
      </c>
      <c r="G151" s="5" t="s">
        <v>6196</v>
      </c>
      <c r="H151" s="6" t="s">
        <v>6200</v>
      </c>
      <c r="I151" s="7">
        <f>440</f>
        <v>440</v>
      </c>
      <c r="J151" s="5" t="s">
        <v>262</v>
      </c>
      <c r="K151" s="8">
        <f>974600</f>
        <v>974600</v>
      </c>
      <c r="L151" s="6" t="s">
        <v>242</v>
      </c>
      <c r="M151" s="5" t="s">
        <v>267</v>
      </c>
      <c r="N151" s="5" t="s">
        <v>237</v>
      </c>
      <c r="O151" s="5" t="s">
        <v>238</v>
      </c>
      <c r="P151" s="5" t="s">
        <v>238</v>
      </c>
      <c r="Q151" s="5" t="s">
        <v>239</v>
      </c>
      <c r="R151" s="5" t="s">
        <v>270</v>
      </c>
      <c r="S151" s="5" t="s">
        <v>238</v>
      </c>
      <c r="V151" s="5" t="s">
        <v>238</v>
      </c>
      <c r="X151" s="6" t="s">
        <v>238</v>
      </c>
      <c r="AA151" s="6" t="s">
        <v>243</v>
      </c>
      <c r="AB151" s="5" t="s">
        <v>238</v>
      </c>
      <c r="AC151" s="5" t="s">
        <v>244</v>
      </c>
      <c r="AD151" s="5" t="s">
        <v>245</v>
      </c>
      <c r="AT151" s="5" t="s">
        <v>246</v>
      </c>
      <c r="AU151" s="5" t="s">
        <v>238</v>
      </c>
      <c r="AV151" s="5" t="s">
        <v>247</v>
      </c>
      <c r="AW151" s="5" t="s">
        <v>238</v>
      </c>
      <c r="AX151" s="5" t="s">
        <v>249</v>
      </c>
      <c r="AY151" s="5" t="s">
        <v>238</v>
      </c>
      <c r="BA151" s="5" t="s">
        <v>238</v>
      </c>
      <c r="BC151" s="5" t="s">
        <v>250</v>
      </c>
      <c r="BD151" s="6" t="s">
        <v>243</v>
      </c>
      <c r="BE151" s="5" t="s">
        <v>251</v>
      </c>
      <c r="BF151" s="5" t="s">
        <v>252</v>
      </c>
      <c r="BG151" s="5" t="s">
        <v>238</v>
      </c>
      <c r="BH151" s="7">
        <f>0</f>
        <v>0</v>
      </c>
      <c r="BI151" s="8">
        <f>0</f>
        <v>0</v>
      </c>
      <c r="BJ151" s="5" t="s">
        <v>253</v>
      </c>
      <c r="BK151" s="5" t="s">
        <v>254</v>
      </c>
      <c r="BY151" s="5" t="s">
        <v>238</v>
      </c>
      <c r="BZ151" s="5" t="s">
        <v>238</v>
      </c>
      <c r="CD151" s="5" t="s">
        <v>255</v>
      </c>
      <c r="CE151" s="5" t="s">
        <v>256</v>
      </c>
      <c r="CF151" s="5" t="s">
        <v>238</v>
      </c>
      <c r="CI151" s="6" t="s">
        <v>257</v>
      </c>
      <c r="CJ151" s="5" t="s">
        <v>238</v>
      </c>
      <c r="CK151" s="5" t="s">
        <v>258</v>
      </c>
      <c r="CL151" s="5" t="s">
        <v>238</v>
      </c>
      <c r="CM151" s="5" t="s">
        <v>238</v>
      </c>
      <c r="CN151" s="5">
        <v>0</v>
      </c>
      <c r="CO151" s="5" t="s">
        <v>259</v>
      </c>
      <c r="CP151" s="5" t="s">
        <v>260</v>
      </c>
      <c r="CQ151" s="5" t="s">
        <v>260</v>
      </c>
      <c r="CR151" s="5" t="s">
        <v>261</v>
      </c>
      <c r="CU151" s="8">
        <f>974600</f>
        <v>974600</v>
      </c>
      <c r="CV151" s="8">
        <f>0</f>
        <v>0</v>
      </c>
      <c r="CX151" s="8">
        <f>0</f>
        <v>0</v>
      </c>
      <c r="CY151" s="8">
        <f>974600</f>
        <v>974600</v>
      </c>
      <c r="DA151" s="5" t="s">
        <v>2032</v>
      </c>
      <c r="DB151" s="5" t="s">
        <v>238</v>
      </c>
      <c r="DD151" s="5" t="s">
        <v>356</v>
      </c>
      <c r="DE151" s="8">
        <f>0</f>
        <v>0</v>
      </c>
      <c r="DG151" s="5" t="s">
        <v>389</v>
      </c>
      <c r="DH151" s="5" t="s">
        <v>238</v>
      </c>
      <c r="DI151" s="5" t="s">
        <v>238</v>
      </c>
      <c r="DJ151" s="5" t="s">
        <v>238</v>
      </c>
      <c r="DN151" s="5" t="s">
        <v>238</v>
      </c>
      <c r="DO151" s="5" t="s">
        <v>238</v>
      </c>
      <c r="DP151" s="5" t="s">
        <v>238</v>
      </c>
      <c r="DQ151" s="5" t="s">
        <v>238</v>
      </c>
      <c r="DT151" s="5" t="s">
        <v>6199</v>
      </c>
      <c r="DU151" s="5" t="s">
        <v>294</v>
      </c>
      <c r="HM151" s="5" t="s">
        <v>264</v>
      </c>
    </row>
    <row r="152" spans="1:221" x14ac:dyDescent="0.4">
      <c r="A152" s="5">
        <v>863</v>
      </c>
      <c r="B152" s="5">
        <v>1</v>
      </c>
      <c r="C152" s="5">
        <v>1</v>
      </c>
      <c r="D152" s="5" t="s">
        <v>6197</v>
      </c>
      <c r="E152" s="5" t="s">
        <v>475</v>
      </c>
      <c r="F152" s="5" t="s">
        <v>248</v>
      </c>
      <c r="G152" s="5" t="s">
        <v>6196</v>
      </c>
      <c r="H152" s="6" t="s">
        <v>6198</v>
      </c>
      <c r="I152" s="7">
        <f>288</f>
        <v>288</v>
      </c>
      <c r="J152" s="5" t="s">
        <v>262</v>
      </c>
      <c r="K152" s="8">
        <f>637920</f>
        <v>637920</v>
      </c>
      <c r="L152" s="6" t="s">
        <v>242</v>
      </c>
      <c r="M152" s="5" t="s">
        <v>267</v>
      </c>
      <c r="N152" s="5" t="s">
        <v>237</v>
      </c>
      <c r="O152" s="5" t="s">
        <v>238</v>
      </c>
      <c r="P152" s="5" t="s">
        <v>238</v>
      </c>
      <c r="Q152" s="5" t="s">
        <v>239</v>
      </c>
      <c r="R152" s="5" t="s">
        <v>270</v>
      </c>
      <c r="S152" s="5" t="s">
        <v>238</v>
      </c>
      <c r="V152" s="5" t="s">
        <v>238</v>
      </c>
      <c r="X152" s="6" t="s">
        <v>238</v>
      </c>
      <c r="AA152" s="6" t="s">
        <v>243</v>
      </c>
      <c r="AB152" s="5" t="s">
        <v>238</v>
      </c>
      <c r="AC152" s="5" t="s">
        <v>244</v>
      </c>
      <c r="AD152" s="5" t="s">
        <v>245</v>
      </c>
      <c r="AT152" s="5" t="s">
        <v>246</v>
      </c>
      <c r="AU152" s="5" t="s">
        <v>238</v>
      </c>
      <c r="AV152" s="5" t="s">
        <v>247</v>
      </c>
      <c r="AW152" s="5" t="s">
        <v>238</v>
      </c>
      <c r="AX152" s="5" t="s">
        <v>249</v>
      </c>
      <c r="AY152" s="5" t="s">
        <v>238</v>
      </c>
      <c r="BA152" s="5" t="s">
        <v>238</v>
      </c>
      <c r="BC152" s="5" t="s">
        <v>250</v>
      </c>
      <c r="BD152" s="6" t="s">
        <v>243</v>
      </c>
      <c r="BE152" s="5" t="s">
        <v>251</v>
      </c>
      <c r="BF152" s="5" t="s">
        <v>252</v>
      </c>
      <c r="BG152" s="5" t="s">
        <v>238</v>
      </c>
      <c r="BH152" s="7">
        <f>0</f>
        <v>0</v>
      </c>
      <c r="BI152" s="8">
        <f>0</f>
        <v>0</v>
      </c>
      <c r="BJ152" s="5" t="s">
        <v>253</v>
      </c>
      <c r="BK152" s="5" t="s">
        <v>254</v>
      </c>
      <c r="BY152" s="5" t="s">
        <v>238</v>
      </c>
      <c r="BZ152" s="5" t="s">
        <v>238</v>
      </c>
      <c r="CD152" s="5" t="s">
        <v>255</v>
      </c>
      <c r="CE152" s="5" t="s">
        <v>256</v>
      </c>
      <c r="CF152" s="5" t="s">
        <v>238</v>
      </c>
      <c r="CI152" s="6" t="s">
        <v>257</v>
      </c>
      <c r="CJ152" s="5" t="s">
        <v>238</v>
      </c>
      <c r="CK152" s="5" t="s">
        <v>258</v>
      </c>
      <c r="CL152" s="5" t="s">
        <v>238</v>
      </c>
      <c r="CM152" s="5" t="s">
        <v>238</v>
      </c>
      <c r="CN152" s="5">
        <v>0</v>
      </c>
      <c r="CO152" s="5" t="s">
        <v>259</v>
      </c>
      <c r="CP152" s="5" t="s">
        <v>260</v>
      </c>
      <c r="CQ152" s="5" t="s">
        <v>260</v>
      </c>
      <c r="CR152" s="5" t="s">
        <v>261</v>
      </c>
      <c r="CU152" s="8">
        <f>637920</f>
        <v>637920</v>
      </c>
      <c r="CV152" s="8">
        <f>0</f>
        <v>0</v>
      </c>
      <c r="CX152" s="8">
        <f>0</f>
        <v>0</v>
      </c>
      <c r="CY152" s="8">
        <f>637920</f>
        <v>637920</v>
      </c>
      <c r="DA152" s="5" t="s">
        <v>2032</v>
      </c>
      <c r="DB152" s="5" t="s">
        <v>238</v>
      </c>
      <c r="DD152" s="5" t="s">
        <v>356</v>
      </c>
      <c r="DE152" s="8">
        <f>0</f>
        <v>0</v>
      </c>
      <c r="DG152" s="5" t="s">
        <v>389</v>
      </c>
      <c r="DH152" s="5" t="s">
        <v>238</v>
      </c>
      <c r="DI152" s="5" t="s">
        <v>238</v>
      </c>
      <c r="DJ152" s="5" t="s">
        <v>238</v>
      </c>
      <c r="DN152" s="5" t="s">
        <v>238</v>
      </c>
      <c r="DO152" s="5" t="s">
        <v>238</v>
      </c>
      <c r="DP152" s="5" t="s">
        <v>238</v>
      </c>
      <c r="DQ152" s="5" t="s">
        <v>238</v>
      </c>
      <c r="DT152" s="5" t="s">
        <v>6199</v>
      </c>
      <c r="DU152" s="5" t="s">
        <v>806</v>
      </c>
      <c r="HM152" s="5" t="s">
        <v>264</v>
      </c>
    </row>
    <row r="153" spans="1:221" x14ac:dyDescent="0.4">
      <c r="A153" s="5">
        <v>864</v>
      </c>
      <c r="B153" s="5">
        <v>1</v>
      </c>
      <c r="C153" s="5">
        <v>1</v>
      </c>
      <c r="D153" s="5" t="s">
        <v>6197</v>
      </c>
      <c r="E153" s="5" t="s">
        <v>475</v>
      </c>
      <c r="F153" s="5" t="s">
        <v>248</v>
      </c>
      <c r="G153" s="5" t="s">
        <v>6196</v>
      </c>
      <c r="H153" s="6" t="s">
        <v>6321</v>
      </c>
      <c r="I153" s="7">
        <f>501</f>
        <v>501</v>
      </c>
      <c r="J153" s="5" t="s">
        <v>262</v>
      </c>
      <c r="K153" s="8">
        <f>1109715</f>
        <v>1109715</v>
      </c>
      <c r="L153" s="6" t="s">
        <v>242</v>
      </c>
      <c r="M153" s="5" t="s">
        <v>267</v>
      </c>
      <c r="N153" s="5" t="s">
        <v>237</v>
      </c>
      <c r="O153" s="5" t="s">
        <v>238</v>
      </c>
      <c r="P153" s="5" t="s">
        <v>238</v>
      </c>
      <c r="Q153" s="5" t="s">
        <v>239</v>
      </c>
      <c r="R153" s="5" t="s">
        <v>270</v>
      </c>
      <c r="S153" s="5" t="s">
        <v>238</v>
      </c>
      <c r="V153" s="5" t="s">
        <v>238</v>
      </c>
      <c r="X153" s="6" t="s">
        <v>238</v>
      </c>
      <c r="AA153" s="6" t="s">
        <v>243</v>
      </c>
      <c r="AB153" s="5" t="s">
        <v>238</v>
      </c>
      <c r="AC153" s="5" t="s">
        <v>244</v>
      </c>
      <c r="AD153" s="5" t="s">
        <v>245</v>
      </c>
      <c r="AT153" s="5" t="s">
        <v>246</v>
      </c>
      <c r="AU153" s="5" t="s">
        <v>238</v>
      </c>
      <c r="AV153" s="5" t="s">
        <v>247</v>
      </c>
      <c r="AW153" s="5" t="s">
        <v>238</v>
      </c>
      <c r="AX153" s="5" t="s">
        <v>249</v>
      </c>
      <c r="AY153" s="5" t="s">
        <v>238</v>
      </c>
      <c r="BA153" s="5" t="s">
        <v>238</v>
      </c>
      <c r="BC153" s="5" t="s">
        <v>250</v>
      </c>
      <c r="BD153" s="6" t="s">
        <v>243</v>
      </c>
      <c r="BE153" s="5" t="s">
        <v>251</v>
      </c>
      <c r="BF153" s="5" t="s">
        <v>252</v>
      </c>
      <c r="BG153" s="5" t="s">
        <v>238</v>
      </c>
      <c r="BH153" s="7">
        <f>0</f>
        <v>0</v>
      </c>
      <c r="BI153" s="8">
        <f>0</f>
        <v>0</v>
      </c>
      <c r="BJ153" s="5" t="s">
        <v>253</v>
      </c>
      <c r="BK153" s="5" t="s">
        <v>254</v>
      </c>
      <c r="BY153" s="5" t="s">
        <v>238</v>
      </c>
      <c r="BZ153" s="5" t="s">
        <v>238</v>
      </c>
      <c r="CD153" s="5" t="s">
        <v>255</v>
      </c>
      <c r="CE153" s="5" t="s">
        <v>256</v>
      </c>
      <c r="CF153" s="5" t="s">
        <v>238</v>
      </c>
      <c r="CI153" s="6" t="s">
        <v>257</v>
      </c>
      <c r="CJ153" s="5" t="s">
        <v>238</v>
      </c>
      <c r="CK153" s="5" t="s">
        <v>258</v>
      </c>
      <c r="CL153" s="5" t="s">
        <v>238</v>
      </c>
      <c r="CM153" s="5" t="s">
        <v>238</v>
      </c>
      <c r="CN153" s="5">
        <v>0</v>
      </c>
      <c r="CO153" s="5" t="s">
        <v>259</v>
      </c>
      <c r="CP153" s="5" t="s">
        <v>260</v>
      </c>
      <c r="CQ153" s="5" t="s">
        <v>260</v>
      </c>
      <c r="CR153" s="5" t="s">
        <v>261</v>
      </c>
      <c r="CU153" s="8">
        <f>1109715</f>
        <v>1109715</v>
      </c>
      <c r="CV153" s="8">
        <f>0</f>
        <v>0</v>
      </c>
      <c r="CX153" s="8">
        <f>0</f>
        <v>0</v>
      </c>
      <c r="CY153" s="8">
        <f>1109715</f>
        <v>1109715</v>
      </c>
      <c r="DA153" s="5" t="s">
        <v>2032</v>
      </c>
      <c r="DB153" s="5" t="s">
        <v>238</v>
      </c>
      <c r="DD153" s="5" t="s">
        <v>356</v>
      </c>
      <c r="DE153" s="8">
        <f>0</f>
        <v>0</v>
      </c>
      <c r="DG153" s="5" t="s">
        <v>389</v>
      </c>
      <c r="DH153" s="5" t="s">
        <v>238</v>
      </c>
      <c r="DI153" s="5" t="s">
        <v>238</v>
      </c>
      <c r="DJ153" s="5" t="s">
        <v>238</v>
      </c>
      <c r="DN153" s="5" t="s">
        <v>238</v>
      </c>
      <c r="DO153" s="5" t="s">
        <v>238</v>
      </c>
      <c r="DP153" s="5" t="s">
        <v>238</v>
      </c>
      <c r="DQ153" s="5" t="s">
        <v>238</v>
      </c>
      <c r="DT153" s="5" t="s">
        <v>6199</v>
      </c>
      <c r="DU153" s="5" t="s">
        <v>854</v>
      </c>
      <c r="HM153" s="5" t="s">
        <v>264</v>
      </c>
    </row>
    <row r="154" spans="1:221" x14ac:dyDescent="0.4">
      <c r="A154" s="5">
        <v>865</v>
      </c>
      <c r="B154" s="5">
        <v>1</v>
      </c>
      <c r="C154" s="5">
        <v>1</v>
      </c>
      <c r="D154" s="5" t="s">
        <v>6323</v>
      </c>
      <c r="E154" s="5" t="s">
        <v>475</v>
      </c>
      <c r="F154" s="5" t="s">
        <v>248</v>
      </c>
      <c r="G154" s="5" t="s">
        <v>6322</v>
      </c>
      <c r="H154" s="6" t="s">
        <v>6324</v>
      </c>
      <c r="I154" s="7">
        <f>1632</f>
        <v>1632</v>
      </c>
      <c r="J154" s="5" t="s">
        <v>262</v>
      </c>
      <c r="K154" s="8">
        <f>3614880</f>
        <v>3614880</v>
      </c>
      <c r="L154" s="6" t="s">
        <v>242</v>
      </c>
      <c r="M154" s="5" t="s">
        <v>267</v>
      </c>
      <c r="N154" s="5" t="s">
        <v>237</v>
      </c>
      <c r="O154" s="5" t="s">
        <v>238</v>
      </c>
      <c r="P154" s="5" t="s">
        <v>238</v>
      </c>
      <c r="Q154" s="5" t="s">
        <v>239</v>
      </c>
      <c r="R154" s="5" t="s">
        <v>270</v>
      </c>
      <c r="S154" s="5" t="s">
        <v>238</v>
      </c>
      <c r="V154" s="5" t="s">
        <v>238</v>
      </c>
      <c r="X154" s="6" t="s">
        <v>238</v>
      </c>
      <c r="AA154" s="6" t="s">
        <v>243</v>
      </c>
      <c r="AB154" s="5" t="s">
        <v>238</v>
      </c>
      <c r="AC154" s="5" t="s">
        <v>244</v>
      </c>
      <c r="AD154" s="5" t="s">
        <v>245</v>
      </c>
      <c r="AT154" s="5" t="s">
        <v>246</v>
      </c>
      <c r="AU154" s="5" t="s">
        <v>238</v>
      </c>
      <c r="AV154" s="5" t="s">
        <v>247</v>
      </c>
      <c r="AW154" s="5" t="s">
        <v>238</v>
      </c>
      <c r="AX154" s="5" t="s">
        <v>249</v>
      </c>
      <c r="AY154" s="5" t="s">
        <v>238</v>
      </c>
      <c r="BA154" s="5" t="s">
        <v>4547</v>
      </c>
      <c r="BC154" s="5" t="s">
        <v>250</v>
      </c>
      <c r="BD154" s="6" t="s">
        <v>243</v>
      </c>
      <c r="BE154" s="5" t="s">
        <v>251</v>
      </c>
      <c r="BF154" s="5" t="s">
        <v>252</v>
      </c>
      <c r="BG154" s="5" t="s">
        <v>238</v>
      </c>
      <c r="BH154" s="7">
        <f>0</f>
        <v>0</v>
      </c>
      <c r="BI154" s="8">
        <f>0</f>
        <v>0</v>
      </c>
      <c r="BJ154" s="5" t="s">
        <v>253</v>
      </c>
      <c r="BK154" s="5" t="s">
        <v>254</v>
      </c>
      <c r="BY154" s="5" t="s">
        <v>238</v>
      </c>
      <c r="BZ154" s="5" t="s">
        <v>238</v>
      </c>
      <c r="CD154" s="5" t="s">
        <v>255</v>
      </c>
      <c r="CE154" s="5" t="s">
        <v>256</v>
      </c>
      <c r="CF154" s="5" t="s">
        <v>238</v>
      </c>
      <c r="CI154" s="6" t="s">
        <v>257</v>
      </c>
      <c r="CJ154" s="5" t="s">
        <v>238</v>
      </c>
      <c r="CK154" s="5" t="s">
        <v>258</v>
      </c>
      <c r="CL154" s="5" t="s">
        <v>238</v>
      </c>
      <c r="CM154" s="5" t="s">
        <v>238</v>
      </c>
      <c r="CN154" s="5">
        <v>0</v>
      </c>
      <c r="CO154" s="5" t="s">
        <v>259</v>
      </c>
      <c r="CP154" s="5" t="s">
        <v>260</v>
      </c>
      <c r="CQ154" s="5" t="s">
        <v>260</v>
      </c>
      <c r="CR154" s="5" t="s">
        <v>261</v>
      </c>
      <c r="CU154" s="8">
        <f>3614880</f>
        <v>3614880</v>
      </c>
      <c r="CV154" s="8">
        <f>0</f>
        <v>0</v>
      </c>
      <c r="CX154" s="8">
        <f>0</f>
        <v>0</v>
      </c>
      <c r="CY154" s="8">
        <f>3614880</f>
        <v>3614880</v>
      </c>
      <c r="DA154" s="5" t="s">
        <v>2032</v>
      </c>
      <c r="DB154" s="5" t="s">
        <v>238</v>
      </c>
      <c r="DD154" s="5" t="s">
        <v>356</v>
      </c>
      <c r="DE154" s="8">
        <f>0</f>
        <v>0</v>
      </c>
      <c r="DG154" s="5" t="s">
        <v>389</v>
      </c>
      <c r="DH154" s="5" t="s">
        <v>238</v>
      </c>
      <c r="DI154" s="5" t="s">
        <v>238</v>
      </c>
      <c r="DJ154" s="5" t="s">
        <v>238</v>
      </c>
      <c r="DN154" s="5" t="s">
        <v>238</v>
      </c>
      <c r="DO154" s="5" t="s">
        <v>238</v>
      </c>
      <c r="DP154" s="5" t="s">
        <v>238</v>
      </c>
      <c r="DQ154" s="5" t="s">
        <v>238</v>
      </c>
      <c r="DT154" s="5" t="s">
        <v>6325</v>
      </c>
      <c r="DU154" s="5" t="s">
        <v>264</v>
      </c>
      <c r="HM154" s="5" t="s">
        <v>264</v>
      </c>
    </row>
    <row r="155" spans="1:221" x14ac:dyDescent="0.4">
      <c r="A155" s="5">
        <v>866</v>
      </c>
      <c r="B155" s="5">
        <v>1</v>
      </c>
      <c r="C155" s="5">
        <v>1</v>
      </c>
      <c r="D155" s="5" t="s">
        <v>6192</v>
      </c>
      <c r="E155" s="5" t="s">
        <v>475</v>
      </c>
      <c r="F155" s="5" t="s">
        <v>248</v>
      </c>
      <c r="G155" s="5" t="s">
        <v>6191</v>
      </c>
      <c r="H155" s="6" t="s">
        <v>6195</v>
      </c>
      <c r="I155" s="7">
        <f>520</f>
        <v>520</v>
      </c>
      <c r="J155" s="5" t="s">
        <v>262</v>
      </c>
      <c r="K155" s="8">
        <f>1151800</f>
        <v>1151800</v>
      </c>
      <c r="L155" s="6" t="s">
        <v>242</v>
      </c>
      <c r="M155" s="5" t="s">
        <v>267</v>
      </c>
      <c r="N155" s="5" t="s">
        <v>237</v>
      </c>
      <c r="O155" s="5" t="s">
        <v>238</v>
      </c>
      <c r="P155" s="5" t="s">
        <v>238</v>
      </c>
      <c r="Q155" s="5" t="s">
        <v>239</v>
      </c>
      <c r="R155" s="5" t="s">
        <v>270</v>
      </c>
      <c r="S155" s="5" t="s">
        <v>238</v>
      </c>
      <c r="V155" s="5" t="s">
        <v>238</v>
      </c>
      <c r="X155" s="6" t="s">
        <v>238</v>
      </c>
      <c r="AA155" s="6" t="s">
        <v>243</v>
      </c>
      <c r="AB155" s="5" t="s">
        <v>238</v>
      </c>
      <c r="AC155" s="5" t="s">
        <v>244</v>
      </c>
      <c r="AD155" s="5" t="s">
        <v>245</v>
      </c>
      <c r="AT155" s="5" t="s">
        <v>246</v>
      </c>
      <c r="AU155" s="5" t="s">
        <v>238</v>
      </c>
      <c r="AV155" s="5" t="s">
        <v>247</v>
      </c>
      <c r="AW155" s="5" t="s">
        <v>238</v>
      </c>
      <c r="AX155" s="5" t="s">
        <v>249</v>
      </c>
      <c r="AY155" s="5" t="s">
        <v>238</v>
      </c>
      <c r="BA155" s="5" t="s">
        <v>4547</v>
      </c>
      <c r="BC155" s="5" t="s">
        <v>250</v>
      </c>
      <c r="BD155" s="6" t="s">
        <v>243</v>
      </c>
      <c r="BE155" s="5" t="s">
        <v>251</v>
      </c>
      <c r="BF155" s="5" t="s">
        <v>252</v>
      </c>
      <c r="BG155" s="5" t="s">
        <v>238</v>
      </c>
      <c r="BH155" s="7">
        <f>0</f>
        <v>0</v>
      </c>
      <c r="BI155" s="8">
        <f>0</f>
        <v>0</v>
      </c>
      <c r="BJ155" s="5" t="s">
        <v>253</v>
      </c>
      <c r="BK155" s="5" t="s">
        <v>254</v>
      </c>
      <c r="BY155" s="5" t="s">
        <v>238</v>
      </c>
      <c r="BZ155" s="5" t="s">
        <v>238</v>
      </c>
      <c r="CD155" s="5" t="s">
        <v>255</v>
      </c>
      <c r="CE155" s="5" t="s">
        <v>256</v>
      </c>
      <c r="CF155" s="5" t="s">
        <v>238</v>
      </c>
      <c r="CI155" s="6" t="s">
        <v>257</v>
      </c>
      <c r="CJ155" s="5" t="s">
        <v>238</v>
      </c>
      <c r="CK155" s="5" t="s">
        <v>258</v>
      </c>
      <c r="CL155" s="5" t="s">
        <v>238</v>
      </c>
      <c r="CM155" s="5" t="s">
        <v>238</v>
      </c>
      <c r="CN155" s="5">
        <v>0</v>
      </c>
      <c r="CO155" s="5" t="s">
        <v>259</v>
      </c>
      <c r="CP155" s="5" t="s">
        <v>260</v>
      </c>
      <c r="CQ155" s="5" t="s">
        <v>260</v>
      </c>
      <c r="CR155" s="5" t="s">
        <v>261</v>
      </c>
      <c r="CU155" s="8">
        <f>1151800</f>
        <v>1151800</v>
      </c>
      <c r="CV155" s="8">
        <f>0</f>
        <v>0</v>
      </c>
      <c r="CX155" s="8">
        <f>0</f>
        <v>0</v>
      </c>
      <c r="CY155" s="8">
        <f>1151800</f>
        <v>1151800</v>
      </c>
      <c r="DA155" s="5" t="s">
        <v>2032</v>
      </c>
      <c r="DB155" s="5" t="s">
        <v>238</v>
      </c>
      <c r="DD155" s="5" t="s">
        <v>356</v>
      </c>
      <c r="DE155" s="8">
        <f>0</f>
        <v>0</v>
      </c>
      <c r="DG155" s="5" t="s">
        <v>389</v>
      </c>
      <c r="DH155" s="5" t="s">
        <v>238</v>
      </c>
      <c r="DI155" s="5" t="s">
        <v>238</v>
      </c>
      <c r="DJ155" s="5" t="s">
        <v>238</v>
      </c>
      <c r="DN155" s="5" t="s">
        <v>238</v>
      </c>
      <c r="DO155" s="5" t="s">
        <v>238</v>
      </c>
      <c r="DP155" s="5" t="s">
        <v>238</v>
      </c>
      <c r="DQ155" s="5" t="s">
        <v>238</v>
      </c>
      <c r="DT155" s="5" t="s">
        <v>6194</v>
      </c>
      <c r="DU155" s="5" t="s">
        <v>264</v>
      </c>
      <c r="HM155" s="5" t="s">
        <v>264</v>
      </c>
    </row>
    <row r="156" spans="1:221" x14ac:dyDescent="0.4">
      <c r="A156" s="5">
        <v>867</v>
      </c>
      <c r="B156" s="5">
        <v>1</v>
      </c>
      <c r="C156" s="5">
        <v>1</v>
      </c>
      <c r="D156" s="5" t="s">
        <v>6192</v>
      </c>
      <c r="E156" s="5" t="s">
        <v>475</v>
      </c>
      <c r="F156" s="5" t="s">
        <v>248</v>
      </c>
      <c r="G156" s="5" t="s">
        <v>6191</v>
      </c>
      <c r="H156" s="6" t="s">
        <v>6193</v>
      </c>
      <c r="I156" s="7">
        <f>412</f>
        <v>412</v>
      </c>
      <c r="J156" s="5" t="s">
        <v>262</v>
      </c>
      <c r="K156" s="8">
        <f>912580</f>
        <v>912580</v>
      </c>
      <c r="L156" s="6" t="s">
        <v>242</v>
      </c>
      <c r="M156" s="5" t="s">
        <v>267</v>
      </c>
      <c r="N156" s="5" t="s">
        <v>237</v>
      </c>
      <c r="O156" s="5" t="s">
        <v>238</v>
      </c>
      <c r="P156" s="5" t="s">
        <v>238</v>
      </c>
      <c r="Q156" s="5" t="s">
        <v>239</v>
      </c>
      <c r="R156" s="5" t="s">
        <v>270</v>
      </c>
      <c r="S156" s="5" t="s">
        <v>238</v>
      </c>
      <c r="V156" s="5" t="s">
        <v>238</v>
      </c>
      <c r="X156" s="6" t="s">
        <v>238</v>
      </c>
      <c r="AA156" s="6" t="s">
        <v>243</v>
      </c>
      <c r="AB156" s="5" t="s">
        <v>238</v>
      </c>
      <c r="AC156" s="5" t="s">
        <v>244</v>
      </c>
      <c r="AD156" s="5" t="s">
        <v>245</v>
      </c>
      <c r="AT156" s="5" t="s">
        <v>246</v>
      </c>
      <c r="AU156" s="5" t="s">
        <v>238</v>
      </c>
      <c r="AV156" s="5" t="s">
        <v>247</v>
      </c>
      <c r="AW156" s="5" t="s">
        <v>238</v>
      </c>
      <c r="AX156" s="5" t="s">
        <v>249</v>
      </c>
      <c r="AY156" s="5" t="s">
        <v>238</v>
      </c>
      <c r="BA156" s="5" t="s">
        <v>238</v>
      </c>
      <c r="BC156" s="5" t="s">
        <v>250</v>
      </c>
      <c r="BD156" s="6" t="s">
        <v>243</v>
      </c>
      <c r="BE156" s="5" t="s">
        <v>251</v>
      </c>
      <c r="BF156" s="5" t="s">
        <v>252</v>
      </c>
      <c r="BG156" s="5" t="s">
        <v>238</v>
      </c>
      <c r="BH156" s="7">
        <f>0</f>
        <v>0</v>
      </c>
      <c r="BI156" s="8">
        <f>0</f>
        <v>0</v>
      </c>
      <c r="BJ156" s="5" t="s">
        <v>253</v>
      </c>
      <c r="BK156" s="5" t="s">
        <v>254</v>
      </c>
      <c r="BY156" s="5" t="s">
        <v>238</v>
      </c>
      <c r="BZ156" s="5" t="s">
        <v>238</v>
      </c>
      <c r="CD156" s="5" t="s">
        <v>255</v>
      </c>
      <c r="CE156" s="5" t="s">
        <v>256</v>
      </c>
      <c r="CF156" s="5" t="s">
        <v>238</v>
      </c>
      <c r="CI156" s="6" t="s">
        <v>257</v>
      </c>
      <c r="CJ156" s="5" t="s">
        <v>238</v>
      </c>
      <c r="CK156" s="5" t="s">
        <v>258</v>
      </c>
      <c r="CL156" s="5" t="s">
        <v>238</v>
      </c>
      <c r="CM156" s="5" t="s">
        <v>238</v>
      </c>
      <c r="CN156" s="5">
        <v>0</v>
      </c>
      <c r="CO156" s="5" t="s">
        <v>259</v>
      </c>
      <c r="CP156" s="5" t="s">
        <v>260</v>
      </c>
      <c r="CQ156" s="5" t="s">
        <v>260</v>
      </c>
      <c r="CR156" s="5" t="s">
        <v>261</v>
      </c>
      <c r="CU156" s="8">
        <f>912580</f>
        <v>912580</v>
      </c>
      <c r="CV156" s="8">
        <f>0</f>
        <v>0</v>
      </c>
      <c r="CX156" s="8">
        <f>0</f>
        <v>0</v>
      </c>
      <c r="CY156" s="8">
        <f>912580</f>
        <v>912580</v>
      </c>
      <c r="DA156" s="5" t="s">
        <v>2032</v>
      </c>
      <c r="DB156" s="5" t="s">
        <v>238</v>
      </c>
      <c r="DD156" s="5" t="s">
        <v>356</v>
      </c>
      <c r="DE156" s="8">
        <f>0</f>
        <v>0</v>
      </c>
      <c r="DG156" s="5" t="s">
        <v>389</v>
      </c>
      <c r="DH156" s="5" t="s">
        <v>238</v>
      </c>
      <c r="DI156" s="5" t="s">
        <v>238</v>
      </c>
      <c r="DJ156" s="5" t="s">
        <v>238</v>
      </c>
      <c r="DN156" s="5" t="s">
        <v>238</v>
      </c>
      <c r="DO156" s="5" t="s">
        <v>238</v>
      </c>
      <c r="DP156" s="5" t="s">
        <v>238</v>
      </c>
      <c r="DQ156" s="5" t="s">
        <v>238</v>
      </c>
      <c r="DT156" s="5" t="s">
        <v>6194</v>
      </c>
      <c r="DU156" s="5" t="s">
        <v>294</v>
      </c>
      <c r="HM156" s="5" t="s">
        <v>264</v>
      </c>
    </row>
    <row r="157" spans="1:221" x14ac:dyDescent="0.4">
      <c r="A157" s="5">
        <v>868</v>
      </c>
      <c r="B157" s="5">
        <v>1</v>
      </c>
      <c r="C157" s="5">
        <v>1</v>
      </c>
      <c r="D157" s="5" t="s">
        <v>6188</v>
      </c>
      <c r="E157" s="5" t="s">
        <v>475</v>
      </c>
      <c r="F157" s="5" t="s">
        <v>248</v>
      </c>
      <c r="G157" s="5" t="s">
        <v>6187</v>
      </c>
      <c r="H157" s="6" t="s">
        <v>6189</v>
      </c>
      <c r="I157" s="7">
        <f>284</f>
        <v>284</v>
      </c>
      <c r="J157" s="5" t="s">
        <v>262</v>
      </c>
      <c r="K157" s="8">
        <f>139160</f>
        <v>139160</v>
      </c>
      <c r="L157" s="6" t="s">
        <v>242</v>
      </c>
      <c r="M157" s="5" t="s">
        <v>267</v>
      </c>
      <c r="N157" s="5" t="s">
        <v>237</v>
      </c>
      <c r="O157" s="5" t="s">
        <v>238</v>
      </c>
      <c r="P157" s="5" t="s">
        <v>238</v>
      </c>
      <c r="Q157" s="5" t="s">
        <v>268</v>
      </c>
      <c r="R157" s="5" t="s">
        <v>270</v>
      </c>
      <c r="S157" s="5" t="s">
        <v>238</v>
      </c>
      <c r="V157" s="5" t="s">
        <v>238</v>
      </c>
      <c r="X157" s="6" t="s">
        <v>238</v>
      </c>
      <c r="AA157" s="6" t="s">
        <v>243</v>
      </c>
      <c r="AB157" s="5" t="s">
        <v>238</v>
      </c>
      <c r="AC157" s="5" t="s">
        <v>244</v>
      </c>
      <c r="AD157" s="5" t="s">
        <v>245</v>
      </c>
      <c r="AT157" s="5" t="s">
        <v>246</v>
      </c>
      <c r="AU157" s="5" t="s">
        <v>238</v>
      </c>
      <c r="AV157" s="5" t="s">
        <v>247</v>
      </c>
      <c r="AW157" s="5" t="s">
        <v>238</v>
      </c>
      <c r="AX157" s="5" t="s">
        <v>249</v>
      </c>
      <c r="AY157" s="5" t="s">
        <v>238</v>
      </c>
      <c r="BA157" s="5" t="s">
        <v>4547</v>
      </c>
      <c r="BC157" s="5" t="s">
        <v>250</v>
      </c>
      <c r="BD157" s="6" t="s">
        <v>243</v>
      </c>
      <c r="BE157" s="5" t="s">
        <v>251</v>
      </c>
      <c r="BF157" s="5" t="s">
        <v>252</v>
      </c>
      <c r="BG157" s="5" t="s">
        <v>238</v>
      </c>
      <c r="BH157" s="7">
        <f>0</f>
        <v>0</v>
      </c>
      <c r="BI157" s="8">
        <f>0</f>
        <v>0</v>
      </c>
      <c r="BJ157" s="5" t="s">
        <v>253</v>
      </c>
      <c r="BK157" s="5" t="s">
        <v>254</v>
      </c>
      <c r="BY157" s="5" t="s">
        <v>238</v>
      </c>
      <c r="BZ157" s="5" t="s">
        <v>238</v>
      </c>
      <c r="CD157" s="5" t="s">
        <v>255</v>
      </c>
      <c r="CE157" s="5" t="s">
        <v>256</v>
      </c>
      <c r="CF157" s="5" t="s">
        <v>238</v>
      </c>
      <c r="CI157" s="6" t="s">
        <v>257</v>
      </c>
      <c r="CJ157" s="5" t="s">
        <v>238</v>
      </c>
      <c r="CK157" s="5" t="s">
        <v>258</v>
      </c>
      <c r="CL157" s="5" t="s">
        <v>238</v>
      </c>
      <c r="CM157" s="5" t="s">
        <v>238</v>
      </c>
      <c r="CN157" s="5">
        <v>0</v>
      </c>
      <c r="CO157" s="5" t="s">
        <v>259</v>
      </c>
      <c r="CP157" s="5" t="s">
        <v>260</v>
      </c>
      <c r="CQ157" s="5" t="s">
        <v>260</v>
      </c>
      <c r="CR157" s="5" t="s">
        <v>261</v>
      </c>
      <c r="CU157" s="8">
        <f>139160</f>
        <v>139160</v>
      </c>
      <c r="CV157" s="8">
        <f>0</f>
        <v>0</v>
      </c>
      <c r="CX157" s="8">
        <f>0</f>
        <v>0</v>
      </c>
      <c r="CY157" s="8">
        <f>139160</f>
        <v>139160</v>
      </c>
      <c r="DA157" s="5" t="s">
        <v>673</v>
      </c>
      <c r="DB157" s="5" t="s">
        <v>238</v>
      </c>
      <c r="DD157" s="5" t="s">
        <v>2211</v>
      </c>
      <c r="DE157" s="8">
        <f>400</f>
        <v>400</v>
      </c>
      <c r="DG157" s="5" t="s">
        <v>356</v>
      </c>
      <c r="DH157" s="5" t="s">
        <v>238</v>
      </c>
      <c r="DI157" s="5" t="s">
        <v>238</v>
      </c>
      <c r="DJ157" s="5" t="s">
        <v>238</v>
      </c>
      <c r="DN157" s="5" t="s">
        <v>238</v>
      </c>
      <c r="DO157" s="5" t="s">
        <v>238</v>
      </c>
      <c r="DP157" s="5" t="s">
        <v>238</v>
      </c>
      <c r="DQ157" s="5" t="s">
        <v>238</v>
      </c>
      <c r="DT157" s="5" t="s">
        <v>6190</v>
      </c>
      <c r="DU157" s="5" t="s">
        <v>264</v>
      </c>
      <c r="HM157" s="5" t="s">
        <v>264</v>
      </c>
    </row>
    <row r="158" spans="1:221" x14ac:dyDescent="0.4">
      <c r="A158" s="5">
        <v>869</v>
      </c>
      <c r="B158" s="5">
        <v>1</v>
      </c>
      <c r="C158" s="5">
        <v>1</v>
      </c>
      <c r="D158" s="5" t="s">
        <v>6327</v>
      </c>
      <c r="E158" s="5" t="s">
        <v>475</v>
      </c>
      <c r="F158" s="5" t="s">
        <v>248</v>
      </c>
      <c r="G158" s="5" t="s">
        <v>6326</v>
      </c>
      <c r="H158" s="6" t="s">
        <v>3933</v>
      </c>
      <c r="I158" s="7">
        <f>1700</f>
        <v>1700</v>
      </c>
      <c r="J158" s="5" t="s">
        <v>262</v>
      </c>
      <c r="K158" s="8">
        <f>4590000</f>
        <v>4590000</v>
      </c>
      <c r="L158" s="6" t="s">
        <v>242</v>
      </c>
      <c r="M158" s="5" t="s">
        <v>267</v>
      </c>
      <c r="N158" s="5" t="s">
        <v>237</v>
      </c>
      <c r="O158" s="5" t="s">
        <v>238</v>
      </c>
      <c r="P158" s="5" t="s">
        <v>238</v>
      </c>
      <c r="Q158" s="5" t="s">
        <v>239</v>
      </c>
      <c r="R158" s="5" t="s">
        <v>270</v>
      </c>
      <c r="S158" s="5" t="s">
        <v>238</v>
      </c>
      <c r="V158" s="5" t="s">
        <v>238</v>
      </c>
      <c r="X158" s="6" t="s">
        <v>238</v>
      </c>
      <c r="AA158" s="6" t="s">
        <v>243</v>
      </c>
      <c r="AB158" s="5" t="s">
        <v>3932</v>
      </c>
      <c r="AC158" s="5" t="s">
        <v>244</v>
      </c>
      <c r="AD158" s="5" t="s">
        <v>245</v>
      </c>
      <c r="AT158" s="5" t="s">
        <v>246</v>
      </c>
      <c r="AU158" s="5" t="s">
        <v>238</v>
      </c>
      <c r="AV158" s="5" t="s">
        <v>247</v>
      </c>
      <c r="AW158" s="5" t="s">
        <v>238</v>
      </c>
      <c r="AX158" s="5" t="s">
        <v>249</v>
      </c>
      <c r="AY158" s="5" t="s">
        <v>238</v>
      </c>
      <c r="BA158" s="5" t="s">
        <v>4547</v>
      </c>
      <c r="BC158" s="5" t="s">
        <v>250</v>
      </c>
      <c r="BD158" s="6" t="s">
        <v>243</v>
      </c>
      <c r="BE158" s="5" t="s">
        <v>251</v>
      </c>
      <c r="BF158" s="5" t="s">
        <v>252</v>
      </c>
      <c r="BG158" s="5" t="s">
        <v>238</v>
      </c>
      <c r="BH158" s="7">
        <f>0</f>
        <v>0</v>
      </c>
      <c r="BI158" s="8">
        <f>0</f>
        <v>0</v>
      </c>
      <c r="BJ158" s="5" t="s">
        <v>253</v>
      </c>
      <c r="BK158" s="5" t="s">
        <v>254</v>
      </c>
      <c r="BY158" s="5" t="s">
        <v>238</v>
      </c>
      <c r="BZ158" s="5" t="s">
        <v>238</v>
      </c>
      <c r="CD158" s="5" t="s">
        <v>255</v>
      </c>
      <c r="CE158" s="5" t="s">
        <v>256</v>
      </c>
      <c r="CF158" s="5" t="s">
        <v>238</v>
      </c>
      <c r="CI158" s="6" t="s">
        <v>257</v>
      </c>
      <c r="CJ158" s="5" t="s">
        <v>238</v>
      </c>
      <c r="CK158" s="5" t="s">
        <v>258</v>
      </c>
      <c r="CL158" s="5" t="s">
        <v>238</v>
      </c>
      <c r="CM158" s="5" t="s">
        <v>238</v>
      </c>
      <c r="CN158" s="5">
        <v>0</v>
      </c>
      <c r="CO158" s="5" t="s">
        <v>259</v>
      </c>
      <c r="CP158" s="5" t="s">
        <v>260</v>
      </c>
      <c r="CQ158" s="5" t="s">
        <v>260</v>
      </c>
      <c r="CR158" s="5" t="s">
        <v>261</v>
      </c>
      <c r="CU158" s="8">
        <f>4590000</f>
        <v>4590000</v>
      </c>
      <c r="CV158" s="8">
        <f>0</f>
        <v>0</v>
      </c>
      <c r="CX158" s="8">
        <f>0</f>
        <v>0</v>
      </c>
      <c r="CY158" s="8">
        <f>4590000</f>
        <v>4590000</v>
      </c>
      <c r="DA158" s="5" t="s">
        <v>263</v>
      </c>
      <c r="DB158" s="5" t="s">
        <v>238</v>
      </c>
      <c r="DD158" s="5" t="s">
        <v>263</v>
      </c>
      <c r="DE158" s="8">
        <f>2213</f>
        <v>2213</v>
      </c>
      <c r="DG158" s="5" t="s">
        <v>263</v>
      </c>
      <c r="DH158" s="5" t="s">
        <v>238</v>
      </c>
      <c r="DI158" s="5" t="s">
        <v>238</v>
      </c>
      <c r="DJ158" s="5" t="s">
        <v>238</v>
      </c>
      <c r="DN158" s="5" t="s">
        <v>238</v>
      </c>
      <c r="DO158" s="5" t="s">
        <v>238</v>
      </c>
      <c r="DP158" s="5" t="s">
        <v>238</v>
      </c>
      <c r="DQ158" s="5" t="s">
        <v>238</v>
      </c>
      <c r="DT158" s="5" t="s">
        <v>6328</v>
      </c>
      <c r="DU158" s="5" t="s">
        <v>264</v>
      </c>
      <c r="HM158" s="5" t="s">
        <v>264</v>
      </c>
    </row>
    <row r="159" spans="1:221" x14ac:dyDescent="0.4">
      <c r="A159" s="5">
        <v>870</v>
      </c>
      <c r="B159" s="5">
        <v>1</v>
      </c>
      <c r="C159" s="5">
        <v>1</v>
      </c>
      <c r="D159" s="5" t="s">
        <v>6184</v>
      </c>
      <c r="E159" s="5" t="s">
        <v>475</v>
      </c>
      <c r="F159" s="5" t="s">
        <v>248</v>
      </c>
      <c r="G159" s="5" t="s">
        <v>6183</v>
      </c>
      <c r="H159" s="6" t="s">
        <v>6185</v>
      </c>
      <c r="I159" s="7">
        <f>575</f>
        <v>575</v>
      </c>
      <c r="J159" s="5" t="s">
        <v>262</v>
      </c>
      <c r="K159" s="8">
        <f>1273625</f>
        <v>1273625</v>
      </c>
      <c r="L159" s="6" t="s">
        <v>242</v>
      </c>
      <c r="M159" s="5" t="s">
        <v>267</v>
      </c>
      <c r="N159" s="5" t="s">
        <v>237</v>
      </c>
      <c r="O159" s="5" t="s">
        <v>238</v>
      </c>
      <c r="P159" s="5" t="s">
        <v>238</v>
      </c>
      <c r="Q159" s="5" t="s">
        <v>239</v>
      </c>
      <c r="R159" s="5" t="s">
        <v>270</v>
      </c>
      <c r="S159" s="5" t="s">
        <v>238</v>
      </c>
      <c r="V159" s="5" t="s">
        <v>238</v>
      </c>
      <c r="X159" s="6" t="s">
        <v>238</v>
      </c>
      <c r="AA159" s="6" t="s">
        <v>243</v>
      </c>
      <c r="AB159" s="5" t="s">
        <v>238</v>
      </c>
      <c r="AC159" s="5" t="s">
        <v>244</v>
      </c>
      <c r="AD159" s="5" t="s">
        <v>245</v>
      </c>
      <c r="AT159" s="5" t="s">
        <v>246</v>
      </c>
      <c r="AU159" s="5" t="s">
        <v>238</v>
      </c>
      <c r="AV159" s="5" t="s">
        <v>247</v>
      </c>
      <c r="AW159" s="5" t="s">
        <v>238</v>
      </c>
      <c r="AX159" s="5" t="s">
        <v>249</v>
      </c>
      <c r="AY159" s="5" t="s">
        <v>238</v>
      </c>
      <c r="BA159" s="5" t="s">
        <v>4547</v>
      </c>
      <c r="BC159" s="5" t="s">
        <v>250</v>
      </c>
      <c r="BD159" s="6" t="s">
        <v>243</v>
      </c>
      <c r="BE159" s="5" t="s">
        <v>251</v>
      </c>
      <c r="BF159" s="5" t="s">
        <v>252</v>
      </c>
      <c r="BG159" s="5" t="s">
        <v>238</v>
      </c>
      <c r="BH159" s="7">
        <f>0</f>
        <v>0</v>
      </c>
      <c r="BI159" s="8">
        <f>0</f>
        <v>0</v>
      </c>
      <c r="BJ159" s="5" t="s">
        <v>253</v>
      </c>
      <c r="BK159" s="5" t="s">
        <v>254</v>
      </c>
      <c r="BY159" s="5" t="s">
        <v>238</v>
      </c>
      <c r="BZ159" s="5" t="s">
        <v>238</v>
      </c>
      <c r="CD159" s="5" t="s">
        <v>255</v>
      </c>
      <c r="CE159" s="5" t="s">
        <v>256</v>
      </c>
      <c r="CF159" s="5" t="s">
        <v>238</v>
      </c>
      <c r="CI159" s="6" t="s">
        <v>257</v>
      </c>
      <c r="CJ159" s="5" t="s">
        <v>238</v>
      </c>
      <c r="CK159" s="5" t="s">
        <v>258</v>
      </c>
      <c r="CL159" s="5" t="s">
        <v>238</v>
      </c>
      <c r="CM159" s="5" t="s">
        <v>238</v>
      </c>
      <c r="CN159" s="5">
        <v>0</v>
      </c>
      <c r="CO159" s="5" t="s">
        <v>259</v>
      </c>
      <c r="CP159" s="5" t="s">
        <v>260</v>
      </c>
      <c r="CQ159" s="5" t="s">
        <v>260</v>
      </c>
      <c r="CR159" s="5" t="s">
        <v>261</v>
      </c>
      <c r="CU159" s="8">
        <f>1273625</f>
        <v>1273625</v>
      </c>
      <c r="CV159" s="8">
        <f>0</f>
        <v>0</v>
      </c>
      <c r="CX159" s="8">
        <f>0</f>
        <v>0</v>
      </c>
      <c r="CY159" s="8">
        <f>1273625</f>
        <v>1273625</v>
      </c>
      <c r="DA159" s="5" t="s">
        <v>389</v>
      </c>
      <c r="DB159" s="5" t="s">
        <v>238</v>
      </c>
      <c r="DD159" s="5" t="s">
        <v>356</v>
      </c>
      <c r="DE159" s="8">
        <f>0</f>
        <v>0</v>
      </c>
      <c r="DG159" s="5" t="s">
        <v>389</v>
      </c>
      <c r="DH159" s="5" t="s">
        <v>238</v>
      </c>
      <c r="DI159" s="5" t="s">
        <v>238</v>
      </c>
      <c r="DJ159" s="5" t="s">
        <v>238</v>
      </c>
      <c r="DN159" s="5" t="s">
        <v>238</v>
      </c>
      <c r="DO159" s="5" t="s">
        <v>238</v>
      </c>
      <c r="DP159" s="5" t="s">
        <v>238</v>
      </c>
      <c r="DQ159" s="5" t="s">
        <v>238</v>
      </c>
      <c r="DT159" s="5" t="s">
        <v>6186</v>
      </c>
      <c r="DU159" s="5" t="s">
        <v>264</v>
      </c>
      <c r="HM159" s="5" t="s">
        <v>264</v>
      </c>
    </row>
    <row r="160" spans="1:221" x14ac:dyDescent="0.4">
      <c r="A160" s="5">
        <v>871</v>
      </c>
      <c r="B160" s="5">
        <v>1</v>
      </c>
      <c r="C160" s="5">
        <v>1</v>
      </c>
      <c r="D160" s="5" t="s">
        <v>6176</v>
      </c>
      <c r="E160" s="5" t="s">
        <v>475</v>
      </c>
      <c r="F160" s="5" t="s">
        <v>248</v>
      </c>
      <c r="G160" s="5" t="s">
        <v>6175</v>
      </c>
      <c r="H160" s="6" t="s">
        <v>6177</v>
      </c>
      <c r="I160" s="7">
        <f>379</f>
        <v>379</v>
      </c>
      <c r="J160" s="5" t="s">
        <v>262</v>
      </c>
      <c r="K160" s="8">
        <f>985400</f>
        <v>985400</v>
      </c>
      <c r="L160" s="6" t="s">
        <v>242</v>
      </c>
      <c r="M160" s="5" t="s">
        <v>267</v>
      </c>
      <c r="N160" s="5" t="s">
        <v>237</v>
      </c>
      <c r="O160" s="5" t="s">
        <v>238</v>
      </c>
      <c r="P160" s="5" t="s">
        <v>238</v>
      </c>
      <c r="Q160" s="5" t="s">
        <v>239</v>
      </c>
      <c r="R160" s="5" t="s">
        <v>270</v>
      </c>
      <c r="S160" s="5" t="s">
        <v>238</v>
      </c>
      <c r="V160" s="5" t="s">
        <v>238</v>
      </c>
      <c r="X160" s="6" t="s">
        <v>238</v>
      </c>
      <c r="AA160" s="6" t="s">
        <v>243</v>
      </c>
      <c r="AB160" s="5" t="s">
        <v>238</v>
      </c>
      <c r="AC160" s="5" t="s">
        <v>244</v>
      </c>
      <c r="AD160" s="5" t="s">
        <v>245</v>
      </c>
      <c r="AT160" s="5" t="s">
        <v>246</v>
      </c>
      <c r="AU160" s="5" t="s">
        <v>238</v>
      </c>
      <c r="AV160" s="5" t="s">
        <v>247</v>
      </c>
      <c r="AW160" s="5" t="s">
        <v>238</v>
      </c>
      <c r="AX160" s="5" t="s">
        <v>249</v>
      </c>
      <c r="AY160" s="5" t="s">
        <v>238</v>
      </c>
      <c r="BA160" s="5" t="s">
        <v>4547</v>
      </c>
      <c r="BC160" s="5" t="s">
        <v>250</v>
      </c>
      <c r="BD160" s="6" t="s">
        <v>243</v>
      </c>
      <c r="BE160" s="5" t="s">
        <v>251</v>
      </c>
      <c r="BF160" s="5" t="s">
        <v>252</v>
      </c>
      <c r="BG160" s="5" t="s">
        <v>238</v>
      </c>
      <c r="BH160" s="7">
        <f>0</f>
        <v>0</v>
      </c>
      <c r="BI160" s="8">
        <f>0</f>
        <v>0</v>
      </c>
      <c r="BJ160" s="5" t="s">
        <v>253</v>
      </c>
      <c r="BK160" s="5" t="s">
        <v>254</v>
      </c>
      <c r="BY160" s="5" t="s">
        <v>238</v>
      </c>
      <c r="BZ160" s="5" t="s">
        <v>238</v>
      </c>
      <c r="CD160" s="5" t="s">
        <v>255</v>
      </c>
      <c r="CE160" s="5" t="s">
        <v>256</v>
      </c>
      <c r="CF160" s="5" t="s">
        <v>238</v>
      </c>
      <c r="CI160" s="6" t="s">
        <v>257</v>
      </c>
      <c r="CJ160" s="5" t="s">
        <v>238</v>
      </c>
      <c r="CK160" s="5" t="s">
        <v>258</v>
      </c>
      <c r="CL160" s="5" t="s">
        <v>238</v>
      </c>
      <c r="CM160" s="5" t="s">
        <v>238</v>
      </c>
      <c r="CN160" s="5">
        <v>0</v>
      </c>
      <c r="CO160" s="5" t="s">
        <v>259</v>
      </c>
      <c r="CP160" s="5" t="s">
        <v>260</v>
      </c>
      <c r="CQ160" s="5" t="s">
        <v>260</v>
      </c>
      <c r="CR160" s="5" t="s">
        <v>261</v>
      </c>
      <c r="CU160" s="8">
        <f>985400</f>
        <v>985400</v>
      </c>
      <c r="CV160" s="8">
        <f>0</f>
        <v>0</v>
      </c>
      <c r="CX160" s="8">
        <f>0</f>
        <v>0</v>
      </c>
      <c r="CY160" s="8">
        <f>985400</f>
        <v>985400</v>
      </c>
      <c r="DA160" s="5" t="s">
        <v>2590</v>
      </c>
      <c r="DB160" s="5" t="s">
        <v>238</v>
      </c>
      <c r="DD160" s="5" t="s">
        <v>356</v>
      </c>
      <c r="DE160" s="8">
        <f>0</f>
        <v>0</v>
      </c>
      <c r="DG160" s="5" t="s">
        <v>263</v>
      </c>
      <c r="DH160" s="5" t="s">
        <v>238</v>
      </c>
      <c r="DI160" s="5" t="s">
        <v>238</v>
      </c>
      <c r="DJ160" s="5" t="s">
        <v>238</v>
      </c>
      <c r="DN160" s="5" t="s">
        <v>238</v>
      </c>
      <c r="DO160" s="5" t="s">
        <v>238</v>
      </c>
      <c r="DP160" s="5" t="s">
        <v>238</v>
      </c>
      <c r="DQ160" s="5" t="s">
        <v>238</v>
      </c>
      <c r="DT160" s="5" t="s">
        <v>6178</v>
      </c>
      <c r="DU160" s="5" t="s">
        <v>264</v>
      </c>
      <c r="HM160" s="5" t="s">
        <v>264</v>
      </c>
    </row>
    <row r="161" spans="1:221" x14ac:dyDescent="0.4">
      <c r="A161" s="5">
        <v>872</v>
      </c>
      <c r="B161" s="5">
        <v>1</v>
      </c>
      <c r="C161" s="5">
        <v>1</v>
      </c>
      <c r="D161" s="5" t="s">
        <v>6176</v>
      </c>
      <c r="E161" s="5" t="s">
        <v>475</v>
      </c>
      <c r="F161" s="5" t="s">
        <v>248</v>
      </c>
      <c r="G161" s="5" t="s">
        <v>6175</v>
      </c>
      <c r="H161" s="6" t="s">
        <v>6333</v>
      </c>
      <c r="I161" s="7">
        <f>44</f>
        <v>44</v>
      </c>
      <c r="J161" s="5" t="s">
        <v>262</v>
      </c>
      <c r="K161" s="8">
        <f>114400</f>
        <v>114400</v>
      </c>
      <c r="L161" s="6" t="s">
        <v>242</v>
      </c>
      <c r="M161" s="5" t="s">
        <v>267</v>
      </c>
      <c r="N161" s="5" t="s">
        <v>237</v>
      </c>
      <c r="O161" s="5" t="s">
        <v>238</v>
      </c>
      <c r="P161" s="5" t="s">
        <v>238</v>
      </c>
      <c r="Q161" s="5" t="s">
        <v>239</v>
      </c>
      <c r="R161" s="5" t="s">
        <v>270</v>
      </c>
      <c r="S161" s="5" t="s">
        <v>238</v>
      </c>
      <c r="V161" s="5" t="s">
        <v>238</v>
      </c>
      <c r="X161" s="6" t="s">
        <v>238</v>
      </c>
      <c r="AA161" s="6" t="s">
        <v>243</v>
      </c>
      <c r="AB161" s="5" t="s">
        <v>238</v>
      </c>
      <c r="AC161" s="5" t="s">
        <v>244</v>
      </c>
      <c r="AD161" s="5" t="s">
        <v>245</v>
      </c>
      <c r="AT161" s="5" t="s">
        <v>246</v>
      </c>
      <c r="AU161" s="5" t="s">
        <v>238</v>
      </c>
      <c r="AV161" s="5" t="s">
        <v>247</v>
      </c>
      <c r="AW161" s="5" t="s">
        <v>238</v>
      </c>
      <c r="AX161" s="5" t="s">
        <v>249</v>
      </c>
      <c r="AY161" s="5" t="s">
        <v>238</v>
      </c>
      <c r="BA161" s="5" t="s">
        <v>238</v>
      </c>
      <c r="BC161" s="5" t="s">
        <v>250</v>
      </c>
      <c r="BD161" s="6" t="s">
        <v>243</v>
      </c>
      <c r="BE161" s="5" t="s">
        <v>251</v>
      </c>
      <c r="BF161" s="5" t="s">
        <v>252</v>
      </c>
      <c r="BG161" s="5" t="s">
        <v>238</v>
      </c>
      <c r="BH161" s="7">
        <f>0</f>
        <v>0</v>
      </c>
      <c r="BI161" s="8">
        <f>0</f>
        <v>0</v>
      </c>
      <c r="BJ161" s="5" t="s">
        <v>253</v>
      </c>
      <c r="BK161" s="5" t="s">
        <v>254</v>
      </c>
      <c r="BY161" s="5" t="s">
        <v>238</v>
      </c>
      <c r="BZ161" s="5" t="s">
        <v>238</v>
      </c>
      <c r="CD161" s="5" t="s">
        <v>255</v>
      </c>
      <c r="CE161" s="5" t="s">
        <v>256</v>
      </c>
      <c r="CF161" s="5" t="s">
        <v>238</v>
      </c>
      <c r="CI161" s="6" t="s">
        <v>257</v>
      </c>
      <c r="CJ161" s="5" t="s">
        <v>238</v>
      </c>
      <c r="CK161" s="5" t="s">
        <v>258</v>
      </c>
      <c r="CL161" s="5" t="s">
        <v>238</v>
      </c>
      <c r="CM161" s="5" t="s">
        <v>238</v>
      </c>
      <c r="CN161" s="5">
        <v>0</v>
      </c>
      <c r="CO161" s="5" t="s">
        <v>259</v>
      </c>
      <c r="CP161" s="5" t="s">
        <v>260</v>
      </c>
      <c r="CQ161" s="5" t="s">
        <v>260</v>
      </c>
      <c r="CR161" s="5" t="s">
        <v>261</v>
      </c>
      <c r="CU161" s="8">
        <f>114400</f>
        <v>114400</v>
      </c>
      <c r="CV161" s="8">
        <f>0</f>
        <v>0</v>
      </c>
      <c r="CX161" s="8">
        <f>0</f>
        <v>0</v>
      </c>
      <c r="CY161" s="8">
        <f>114400</f>
        <v>114400</v>
      </c>
      <c r="DA161" s="5" t="s">
        <v>2590</v>
      </c>
      <c r="DB161" s="5" t="s">
        <v>238</v>
      </c>
      <c r="DD161" s="5" t="s">
        <v>356</v>
      </c>
      <c r="DE161" s="8">
        <f>0</f>
        <v>0</v>
      </c>
      <c r="DG161" s="5" t="s">
        <v>263</v>
      </c>
      <c r="DH161" s="5" t="s">
        <v>238</v>
      </c>
      <c r="DI161" s="5" t="s">
        <v>238</v>
      </c>
      <c r="DJ161" s="5" t="s">
        <v>238</v>
      </c>
      <c r="DN161" s="5" t="s">
        <v>238</v>
      </c>
      <c r="DO161" s="5" t="s">
        <v>238</v>
      </c>
      <c r="DP161" s="5" t="s">
        <v>238</v>
      </c>
      <c r="DQ161" s="5" t="s">
        <v>238</v>
      </c>
      <c r="DT161" s="5" t="s">
        <v>6178</v>
      </c>
      <c r="DU161" s="5" t="s">
        <v>294</v>
      </c>
      <c r="HM161" s="5" t="s">
        <v>264</v>
      </c>
    </row>
    <row r="162" spans="1:221" x14ac:dyDescent="0.4">
      <c r="A162" s="5">
        <v>873</v>
      </c>
      <c r="B162" s="5">
        <v>1</v>
      </c>
      <c r="C162" s="5">
        <v>1</v>
      </c>
      <c r="D162" s="5" t="s">
        <v>6176</v>
      </c>
      <c r="E162" s="5" t="s">
        <v>475</v>
      </c>
      <c r="F162" s="5" t="s">
        <v>248</v>
      </c>
      <c r="G162" s="5" t="s">
        <v>6175</v>
      </c>
      <c r="H162" s="6" t="s">
        <v>6332</v>
      </c>
      <c r="I162" s="7">
        <f>83</f>
        <v>83</v>
      </c>
      <c r="J162" s="5" t="s">
        <v>262</v>
      </c>
      <c r="K162" s="8">
        <f>3569</f>
        <v>3569</v>
      </c>
      <c r="L162" s="6" t="s">
        <v>242</v>
      </c>
      <c r="M162" s="5" t="s">
        <v>267</v>
      </c>
      <c r="N162" s="5" t="s">
        <v>237</v>
      </c>
      <c r="O162" s="5" t="s">
        <v>238</v>
      </c>
      <c r="P162" s="5" t="s">
        <v>238</v>
      </c>
      <c r="Q162" s="5" t="s">
        <v>239</v>
      </c>
      <c r="R162" s="5" t="s">
        <v>270</v>
      </c>
      <c r="S162" s="5" t="s">
        <v>238</v>
      </c>
      <c r="V162" s="5" t="s">
        <v>238</v>
      </c>
      <c r="X162" s="6" t="s">
        <v>238</v>
      </c>
      <c r="AA162" s="6" t="s">
        <v>243</v>
      </c>
      <c r="AB162" s="5" t="s">
        <v>238</v>
      </c>
      <c r="AC162" s="5" t="s">
        <v>244</v>
      </c>
      <c r="AD162" s="5" t="s">
        <v>245</v>
      </c>
      <c r="AT162" s="5" t="s">
        <v>246</v>
      </c>
      <c r="AU162" s="5" t="s">
        <v>238</v>
      </c>
      <c r="AV162" s="5" t="s">
        <v>247</v>
      </c>
      <c r="AW162" s="5" t="s">
        <v>238</v>
      </c>
      <c r="AX162" s="5" t="s">
        <v>249</v>
      </c>
      <c r="AY162" s="5" t="s">
        <v>238</v>
      </c>
      <c r="BA162" s="5" t="s">
        <v>238</v>
      </c>
      <c r="BC162" s="5" t="s">
        <v>250</v>
      </c>
      <c r="BD162" s="6" t="s">
        <v>243</v>
      </c>
      <c r="BE162" s="5" t="s">
        <v>251</v>
      </c>
      <c r="BF162" s="5" t="s">
        <v>252</v>
      </c>
      <c r="BG162" s="5" t="s">
        <v>238</v>
      </c>
      <c r="BH162" s="7">
        <f>0</f>
        <v>0</v>
      </c>
      <c r="BI162" s="8">
        <f>0</f>
        <v>0</v>
      </c>
      <c r="BJ162" s="5" t="s">
        <v>253</v>
      </c>
      <c r="BK162" s="5" t="s">
        <v>254</v>
      </c>
      <c r="BY162" s="5" t="s">
        <v>238</v>
      </c>
      <c r="BZ162" s="5" t="s">
        <v>238</v>
      </c>
      <c r="CD162" s="5" t="s">
        <v>255</v>
      </c>
      <c r="CE162" s="5" t="s">
        <v>256</v>
      </c>
      <c r="CF162" s="5" t="s">
        <v>238</v>
      </c>
      <c r="CI162" s="6" t="s">
        <v>257</v>
      </c>
      <c r="CJ162" s="5" t="s">
        <v>238</v>
      </c>
      <c r="CK162" s="5" t="s">
        <v>258</v>
      </c>
      <c r="CL162" s="5" t="s">
        <v>238</v>
      </c>
      <c r="CM162" s="5" t="s">
        <v>238</v>
      </c>
      <c r="CN162" s="5">
        <v>0</v>
      </c>
      <c r="CO162" s="5" t="s">
        <v>259</v>
      </c>
      <c r="CP162" s="5" t="s">
        <v>260</v>
      </c>
      <c r="CQ162" s="5" t="s">
        <v>260</v>
      </c>
      <c r="CR162" s="5" t="s">
        <v>261</v>
      </c>
      <c r="CU162" s="8">
        <f>3569</f>
        <v>3569</v>
      </c>
      <c r="CV162" s="8">
        <f>0</f>
        <v>0</v>
      </c>
      <c r="CX162" s="8">
        <f>0</f>
        <v>0</v>
      </c>
      <c r="CY162" s="8">
        <f>3569</f>
        <v>3569</v>
      </c>
      <c r="DA162" s="5" t="s">
        <v>357</v>
      </c>
      <c r="DB162" s="5" t="s">
        <v>238</v>
      </c>
      <c r="DD162" s="5" t="s">
        <v>356</v>
      </c>
      <c r="DE162" s="8">
        <f>0</f>
        <v>0</v>
      </c>
      <c r="DG162" s="5" t="s">
        <v>357</v>
      </c>
      <c r="DH162" s="5" t="s">
        <v>238</v>
      </c>
      <c r="DI162" s="5" t="s">
        <v>238</v>
      </c>
      <c r="DJ162" s="5" t="s">
        <v>238</v>
      </c>
      <c r="DN162" s="5" t="s">
        <v>238</v>
      </c>
      <c r="DO162" s="5" t="s">
        <v>238</v>
      </c>
      <c r="DP162" s="5" t="s">
        <v>238</v>
      </c>
      <c r="DQ162" s="5" t="s">
        <v>238</v>
      </c>
      <c r="DT162" s="5" t="s">
        <v>6178</v>
      </c>
      <c r="DU162" s="5" t="s">
        <v>806</v>
      </c>
      <c r="HM162" s="5" t="s">
        <v>264</v>
      </c>
    </row>
    <row r="163" spans="1:221" x14ac:dyDescent="0.4">
      <c r="A163" s="5">
        <v>874</v>
      </c>
      <c r="B163" s="5">
        <v>1</v>
      </c>
      <c r="C163" s="5">
        <v>1</v>
      </c>
      <c r="D163" s="5" t="s">
        <v>6176</v>
      </c>
      <c r="E163" s="5" t="s">
        <v>475</v>
      </c>
      <c r="F163" s="5" t="s">
        <v>248</v>
      </c>
      <c r="G163" s="5" t="s">
        <v>6175</v>
      </c>
      <c r="H163" s="6" t="s">
        <v>6331</v>
      </c>
      <c r="I163" s="7">
        <f>127</f>
        <v>127</v>
      </c>
      <c r="J163" s="5" t="s">
        <v>262</v>
      </c>
      <c r="K163" s="8">
        <f>5461</f>
        <v>5461</v>
      </c>
      <c r="L163" s="6" t="s">
        <v>242</v>
      </c>
      <c r="M163" s="5" t="s">
        <v>267</v>
      </c>
      <c r="N163" s="5" t="s">
        <v>237</v>
      </c>
      <c r="O163" s="5" t="s">
        <v>238</v>
      </c>
      <c r="P163" s="5" t="s">
        <v>238</v>
      </c>
      <c r="Q163" s="5" t="s">
        <v>239</v>
      </c>
      <c r="R163" s="5" t="s">
        <v>270</v>
      </c>
      <c r="S163" s="5" t="s">
        <v>238</v>
      </c>
      <c r="V163" s="5" t="s">
        <v>238</v>
      </c>
      <c r="X163" s="6" t="s">
        <v>238</v>
      </c>
      <c r="AA163" s="6" t="s">
        <v>243</v>
      </c>
      <c r="AB163" s="5" t="s">
        <v>238</v>
      </c>
      <c r="AC163" s="5" t="s">
        <v>244</v>
      </c>
      <c r="AD163" s="5" t="s">
        <v>245</v>
      </c>
      <c r="AT163" s="5" t="s">
        <v>246</v>
      </c>
      <c r="AU163" s="5" t="s">
        <v>238</v>
      </c>
      <c r="AV163" s="5" t="s">
        <v>247</v>
      </c>
      <c r="AW163" s="5" t="s">
        <v>238</v>
      </c>
      <c r="AX163" s="5" t="s">
        <v>249</v>
      </c>
      <c r="AY163" s="5" t="s">
        <v>238</v>
      </c>
      <c r="BA163" s="5" t="s">
        <v>238</v>
      </c>
      <c r="BC163" s="5" t="s">
        <v>250</v>
      </c>
      <c r="BD163" s="6" t="s">
        <v>243</v>
      </c>
      <c r="BE163" s="5" t="s">
        <v>251</v>
      </c>
      <c r="BF163" s="5" t="s">
        <v>252</v>
      </c>
      <c r="BG163" s="5" t="s">
        <v>238</v>
      </c>
      <c r="BH163" s="7">
        <f>0</f>
        <v>0</v>
      </c>
      <c r="BI163" s="8">
        <f>0</f>
        <v>0</v>
      </c>
      <c r="BJ163" s="5" t="s">
        <v>253</v>
      </c>
      <c r="BK163" s="5" t="s">
        <v>254</v>
      </c>
      <c r="BY163" s="5" t="s">
        <v>238</v>
      </c>
      <c r="BZ163" s="5" t="s">
        <v>238</v>
      </c>
      <c r="CD163" s="5" t="s">
        <v>255</v>
      </c>
      <c r="CE163" s="5" t="s">
        <v>256</v>
      </c>
      <c r="CF163" s="5" t="s">
        <v>238</v>
      </c>
      <c r="CI163" s="6" t="s">
        <v>257</v>
      </c>
      <c r="CJ163" s="5" t="s">
        <v>238</v>
      </c>
      <c r="CK163" s="5" t="s">
        <v>258</v>
      </c>
      <c r="CL163" s="5" t="s">
        <v>238</v>
      </c>
      <c r="CM163" s="5" t="s">
        <v>238</v>
      </c>
      <c r="CN163" s="5">
        <v>0</v>
      </c>
      <c r="CO163" s="5" t="s">
        <v>259</v>
      </c>
      <c r="CP163" s="5" t="s">
        <v>260</v>
      </c>
      <c r="CQ163" s="5" t="s">
        <v>260</v>
      </c>
      <c r="CR163" s="5" t="s">
        <v>261</v>
      </c>
      <c r="CU163" s="8">
        <f>5461</f>
        <v>5461</v>
      </c>
      <c r="CV163" s="8">
        <f>0</f>
        <v>0</v>
      </c>
      <c r="CX163" s="8">
        <f>0</f>
        <v>0</v>
      </c>
      <c r="CY163" s="8">
        <f>5461</f>
        <v>5461</v>
      </c>
      <c r="DA163" s="5" t="s">
        <v>357</v>
      </c>
      <c r="DB163" s="5" t="s">
        <v>238</v>
      </c>
      <c r="DD163" s="5" t="s">
        <v>356</v>
      </c>
      <c r="DE163" s="8">
        <f>0</f>
        <v>0</v>
      </c>
      <c r="DG163" s="5" t="s">
        <v>357</v>
      </c>
      <c r="DH163" s="5" t="s">
        <v>238</v>
      </c>
      <c r="DI163" s="5" t="s">
        <v>238</v>
      </c>
      <c r="DJ163" s="5" t="s">
        <v>238</v>
      </c>
      <c r="DN163" s="5" t="s">
        <v>238</v>
      </c>
      <c r="DO163" s="5" t="s">
        <v>238</v>
      </c>
      <c r="DP163" s="5" t="s">
        <v>238</v>
      </c>
      <c r="DQ163" s="5" t="s">
        <v>238</v>
      </c>
      <c r="DT163" s="5" t="s">
        <v>6178</v>
      </c>
      <c r="DU163" s="5" t="s">
        <v>854</v>
      </c>
      <c r="HM163" s="5" t="s">
        <v>264</v>
      </c>
    </row>
    <row r="164" spans="1:221" x14ac:dyDescent="0.4">
      <c r="A164" s="5">
        <v>875</v>
      </c>
      <c r="B164" s="5">
        <v>1</v>
      </c>
      <c r="C164" s="5">
        <v>1</v>
      </c>
      <c r="D164" s="5" t="s">
        <v>6176</v>
      </c>
      <c r="E164" s="5" t="s">
        <v>475</v>
      </c>
      <c r="F164" s="5" t="s">
        <v>248</v>
      </c>
      <c r="G164" s="5" t="s">
        <v>6175</v>
      </c>
      <c r="H164" s="6" t="s">
        <v>6179</v>
      </c>
      <c r="I164" s="7">
        <f>113</f>
        <v>113</v>
      </c>
      <c r="J164" s="5" t="s">
        <v>262</v>
      </c>
      <c r="K164" s="8">
        <f>4859</f>
        <v>4859</v>
      </c>
      <c r="L164" s="6" t="s">
        <v>242</v>
      </c>
      <c r="M164" s="5" t="s">
        <v>267</v>
      </c>
      <c r="N164" s="5" t="s">
        <v>237</v>
      </c>
      <c r="O164" s="5" t="s">
        <v>238</v>
      </c>
      <c r="P164" s="5" t="s">
        <v>238</v>
      </c>
      <c r="Q164" s="5" t="s">
        <v>239</v>
      </c>
      <c r="R164" s="5" t="s">
        <v>270</v>
      </c>
      <c r="S164" s="5" t="s">
        <v>238</v>
      </c>
      <c r="V164" s="5" t="s">
        <v>238</v>
      </c>
      <c r="X164" s="6" t="s">
        <v>238</v>
      </c>
      <c r="AA164" s="6" t="s">
        <v>243</v>
      </c>
      <c r="AB164" s="5" t="s">
        <v>238</v>
      </c>
      <c r="AC164" s="5" t="s">
        <v>244</v>
      </c>
      <c r="AD164" s="5" t="s">
        <v>245</v>
      </c>
      <c r="AT164" s="5" t="s">
        <v>246</v>
      </c>
      <c r="AU164" s="5" t="s">
        <v>238</v>
      </c>
      <c r="AV164" s="5" t="s">
        <v>247</v>
      </c>
      <c r="AW164" s="5" t="s">
        <v>238</v>
      </c>
      <c r="AX164" s="5" t="s">
        <v>249</v>
      </c>
      <c r="AY164" s="5" t="s">
        <v>238</v>
      </c>
      <c r="BA164" s="5" t="s">
        <v>238</v>
      </c>
      <c r="BC164" s="5" t="s">
        <v>250</v>
      </c>
      <c r="BD164" s="6" t="s">
        <v>243</v>
      </c>
      <c r="BE164" s="5" t="s">
        <v>251</v>
      </c>
      <c r="BF164" s="5" t="s">
        <v>252</v>
      </c>
      <c r="BG164" s="5" t="s">
        <v>238</v>
      </c>
      <c r="BH164" s="7">
        <f>0</f>
        <v>0</v>
      </c>
      <c r="BI164" s="8">
        <f>0</f>
        <v>0</v>
      </c>
      <c r="BJ164" s="5" t="s">
        <v>253</v>
      </c>
      <c r="BK164" s="5" t="s">
        <v>254</v>
      </c>
      <c r="BY164" s="5" t="s">
        <v>238</v>
      </c>
      <c r="BZ164" s="5" t="s">
        <v>238</v>
      </c>
      <c r="CD164" s="5" t="s">
        <v>255</v>
      </c>
      <c r="CE164" s="5" t="s">
        <v>256</v>
      </c>
      <c r="CF164" s="5" t="s">
        <v>238</v>
      </c>
      <c r="CI164" s="6" t="s">
        <v>257</v>
      </c>
      <c r="CJ164" s="5" t="s">
        <v>238</v>
      </c>
      <c r="CK164" s="5" t="s">
        <v>258</v>
      </c>
      <c r="CL164" s="5" t="s">
        <v>238</v>
      </c>
      <c r="CM164" s="5" t="s">
        <v>238</v>
      </c>
      <c r="CN164" s="5">
        <v>0</v>
      </c>
      <c r="CO164" s="5" t="s">
        <v>259</v>
      </c>
      <c r="CP164" s="5" t="s">
        <v>260</v>
      </c>
      <c r="CQ164" s="5" t="s">
        <v>260</v>
      </c>
      <c r="CR164" s="5" t="s">
        <v>261</v>
      </c>
      <c r="CU164" s="8">
        <f>4859</f>
        <v>4859</v>
      </c>
      <c r="CV164" s="8">
        <f>0</f>
        <v>0</v>
      </c>
      <c r="CX164" s="8">
        <f>0</f>
        <v>0</v>
      </c>
      <c r="CY164" s="8">
        <f>4859</f>
        <v>4859</v>
      </c>
      <c r="DA164" s="5" t="s">
        <v>357</v>
      </c>
      <c r="DB164" s="5" t="s">
        <v>238</v>
      </c>
      <c r="DD164" s="5" t="s">
        <v>356</v>
      </c>
      <c r="DE164" s="8">
        <f>0</f>
        <v>0</v>
      </c>
      <c r="DG164" s="5" t="s">
        <v>357</v>
      </c>
      <c r="DH164" s="5" t="s">
        <v>238</v>
      </c>
      <c r="DI164" s="5" t="s">
        <v>238</v>
      </c>
      <c r="DJ164" s="5" t="s">
        <v>238</v>
      </c>
      <c r="DN164" s="5" t="s">
        <v>238</v>
      </c>
      <c r="DO164" s="5" t="s">
        <v>238</v>
      </c>
      <c r="DP164" s="5" t="s">
        <v>238</v>
      </c>
      <c r="DQ164" s="5" t="s">
        <v>238</v>
      </c>
      <c r="DT164" s="5" t="s">
        <v>6178</v>
      </c>
      <c r="DU164" s="5" t="s">
        <v>911</v>
      </c>
      <c r="HM164" s="5" t="s">
        <v>264</v>
      </c>
    </row>
    <row r="165" spans="1:221" x14ac:dyDescent="0.4">
      <c r="A165" s="5">
        <v>876</v>
      </c>
      <c r="B165" s="5">
        <v>1</v>
      </c>
      <c r="C165" s="5">
        <v>1</v>
      </c>
      <c r="D165" s="5" t="s">
        <v>6176</v>
      </c>
      <c r="E165" s="5" t="s">
        <v>475</v>
      </c>
      <c r="F165" s="5" t="s">
        <v>248</v>
      </c>
      <c r="G165" s="5" t="s">
        <v>6175</v>
      </c>
      <c r="H165" s="6" t="s">
        <v>6180</v>
      </c>
      <c r="I165" s="7">
        <f>63</f>
        <v>63</v>
      </c>
      <c r="J165" s="5" t="s">
        <v>262</v>
      </c>
      <c r="K165" s="8">
        <f>163800</f>
        <v>163800</v>
      </c>
      <c r="L165" s="6" t="s">
        <v>242</v>
      </c>
      <c r="M165" s="5" t="s">
        <v>267</v>
      </c>
      <c r="N165" s="5" t="s">
        <v>237</v>
      </c>
      <c r="O165" s="5" t="s">
        <v>238</v>
      </c>
      <c r="P165" s="5" t="s">
        <v>238</v>
      </c>
      <c r="Q165" s="5" t="s">
        <v>239</v>
      </c>
      <c r="R165" s="5" t="s">
        <v>270</v>
      </c>
      <c r="S165" s="5" t="s">
        <v>238</v>
      </c>
      <c r="V165" s="5" t="s">
        <v>238</v>
      </c>
      <c r="X165" s="6" t="s">
        <v>238</v>
      </c>
      <c r="AA165" s="6" t="s">
        <v>243</v>
      </c>
      <c r="AB165" s="5" t="s">
        <v>238</v>
      </c>
      <c r="AC165" s="5" t="s">
        <v>244</v>
      </c>
      <c r="AD165" s="5" t="s">
        <v>245</v>
      </c>
      <c r="AT165" s="5" t="s">
        <v>246</v>
      </c>
      <c r="AU165" s="5" t="s">
        <v>238</v>
      </c>
      <c r="AV165" s="5" t="s">
        <v>247</v>
      </c>
      <c r="AW165" s="5" t="s">
        <v>238</v>
      </c>
      <c r="AX165" s="5" t="s">
        <v>249</v>
      </c>
      <c r="AY165" s="5" t="s">
        <v>238</v>
      </c>
      <c r="BA165" s="5" t="s">
        <v>238</v>
      </c>
      <c r="BC165" s="5" t="s">
        <v>250</v>
      </c>
      <c r="BD165" s="6" t="s">
        <v>243</v>
      </c>
      <c r="BE165" s="5" t="s">
        <v>251</v>
      </c>
      <c r="BF165" s="5" t="s">
        <v>252</v>
      </c>
      <c r="BG165" s="5" t="s">
        <v>238</v>
      </c>
      <c r="BH165" s="7">
        <f>0</f>
        <v>0</v>
      </c>
      <c r="BI165" s="8">
        <f>0</f>
        <v>0</v>
      </c>
      <c r="BJ165" s="5" t="s">
        <v>253</v>
      </c>
      <c r="BK165" s="5" t="s">
        <v>254</v>
      </c>
      <c r="BY165" s="5" t="s">
        <v>238</v>
      </c>
      <c r="BZ165" s="5" t="s">
        <v>238</v>
      </c>
      <c r="CD165" s="5" t="s">
        <v>255</v>
      </c>
      <c r="CE165" s="5" t="s">
        <v>256</v>
      </c>
      <c r="CF165" s="5" t="s">
        <v>238</v>
      </c>
      <c r="CI165" s="6" t="s">
        <v>257</v>
      </c>
      <c r="CJ165" s="5" t="s">
        <v>238</v>
      </c>
      <c r="CK165" s="5" t="s">
        <v>258</v>
      </c>
      <c r="CL165" s="5" t="s">
        <v>238</v>
      </c>
      <c r="CM165" s="5" t="s">
        <v>238</v>
      </c>
      <c r="CN165" s="5">
        <v>0</v>
      </c>
      <c r="CO165" s="5" t="s">
        <v>259</v>
      </c>
      <c r="CP165" s="5" t="s">
        <v>260</v>
      </c>
      <c r="CQ165" s="5" t="s">
        <v>260</v>
      </c>
      <c r="CR165" s="5" t="s">
        <v>261</v>
      </c>
      <c r="CU165" s="8">
        <f>163800</f>
        <v>163800</v>
      </c>
      <c r="CV165" s="8">
        <f>0</f>
        <v>0</v>
      </c>
      <c r="CX165" s="8">
        <f>0</f>
        <v>0</v>
      </c>
      <c r="CY165" s="8">
        <f>163800</f>
        <v>163800</v>
      </c>
      <c r="DA165" s="5" t="s">
        <v>2590</v>
      </c>
      <c r="DB165" s="5" t="s">
        <v>238</v>
      </c>
      <c r="DD165" s="5" t="s">
        <v>356</v>
      </c>
      <c r="DE165" s="8">
        <f>0</f>
        <v>0</v>
      </c>
      <c r="DG165" s="5" t="s">
        <v>263</v>
      </c>
      <c r="DH165" s="5" t="s">
        <v>238</v>
      </c>
      <c r="DI165" s="5" t="s">
        <v>238</v>
      </c>
      <c r="DJ165" s="5" t="s">
        <v>238</v>
      </c>
      <c r="DN165" s="5" t="s">
        <v>238</v>
      </c>
      <c r="DO165" s="5" t="s">
        <v>238</v>
      </c>
      <c r="DP165" s="5" t="s">
        <v>238</v>
      </c>
      <c r="DQ165" s="5" t="s">
        <v>238</v>
      </c>
      <c r="DT165" s="5" t="s">
        <v>6178</v>
      </c>
      <c r="DU165" s="5" t="s">
        <v>967</v>
      </c>
      <c r="HM165" s="5" t="s">
        <v>264</v>
      </c>
    </row>
    <row r="166" spans="1:221" x14ac:dyDescent="0.4">
      <c r="A166" s="5">
        <v>877</v>
      </c>
      <c r="B166" s="5">
        <v>1</v>
      </c>
      <c r="C166" s="5">
        <v>1</v>
      </c>
      <c r="D166" s="5" t="s">
        <v>6176</v>
      </c>
      <c r="E166" s="5" t="s">
        <v>475</v>
      </c>
      <c r="F166" s="5" t="s">
        <v>248</v>
      </c>
      <c r="G166" s="5" t="s">
        <v>6175</v>
      </c>
      <c r="H166" s="6" t="s">
        <v>6181</v>
      </c>
      <c r="I166" s="7">
        <f>553</f>
        <v>553</v>
      </c>
      <c r="J166" s="5" t="s">
        <v>262</v>
      </c>
      <c r="K166" s="8">
        <f>1437800</f>
        <v>1437800</v>
      </c>
      <c r="L166" s="6" t="s">
        <v>242</v>
      </c>
      <c r="M166" s="5" t="s">
        <v>267</v>
      </c>
      <c r="N166" s="5" t="s">
        <v>237</v>
      </c>
      <c r="O166" s="5" t="s">
        <v>238</v>
      </c>
      <c r="P166" s="5" t="s">
        <v>238</v>
      </c>
      <c r="Q166" s="5" t="s">
        <v>239</v>
      </c>
      <c r="R166" s="5" t="s">
        <v>270</v>
      </c>
      <c r="S166" s="5" t="s">
        <v>238</v>
      </c>
      <c r="V166" s="5" t="s">
        <v>238</v>
      </c>
      <c r="X166" s="6" t="s">
        <v>238</v>
      </c>
      <c r="AA166" s="6" t="s">
        <v>243</v>
      </c>
      <c r="AB166" s="5" t="s">
        <v>238</v>
      </c>
      <c r="AC166" s="5" t="s">
        <v>244</v>
      </c>
      <c r="AD166" s="5" t="s">
        <v>245</v>
      </c>
      <c r="AT166" s="5" t="s">
        <v>246</v>
      </c>
      <c r="AU166" s="5" t="s">
        <v>238</v>
      </c>
      <c r="AV166" s="5" t="s">
        <v>247</v>
      </c>
      <c r="AW166" s="5" t="s">
        <v>238</v>
      </c>
      <c r="AX166" s="5" t="s">
        <v>249</v>
      </c>
      <c r="AY166" s="5" t="s">
        <v>238</v>
      </c>
      <c r="BA166" s="5" t="s">
        <v>238</v>
      </c>
      <c r="BC166" s="5" t="s">
        <v>250</v>
      </c>
      <c r="BD166" s="6" t="s">
        <v>243</v>
      </c>
      <c r="BE166" s="5" t="s">
        <v>251</v>
      </c>
      <c r="BF166" s="5" t="s">
        <v>252</v>
      </c>
      <c r="BG166" s="5" t="s">
        <v>238</v>
      </c>
      <c r="BH166" s="7">
        <f>0</f>
        <v>0</v>
      </c>
      <c r="BI166" s="8">
        <f>0</f>
        <v>0</v>
      </c>
      <c r="BJ166" s="5" t="s">
        <v>253</v>
      </c>
      <c r="BK166" s="5" t="s">
        <v>254</v>
      </c>
      <c r="BY166" s="5" t="s">
        <v>238</v>
      </c>
      <c r="BZ166" s="5" t="s">
        <v>238</v>
      </c>
      <c r="CD166" s="5" t="s">
        <v>255</v>
      </c>
      <c r="CE166" s="5" t="s">
        <v>256</v>
      </c>
      <c r="CF166" s="5" t="s">
        <v>238</v>
      </c>
      <c r="CI166" s="6" t="s">
        <v>257</v>
      </c>
      <c r="CJ166" s="5" t="s">
        <v>238</v>
      </c>
      <c r="CK166" s="5" t="s">
        <v>258</v>
      </c>
      <c r="CL166" s="5" t="s">
        <v>238</v>
      </c>
      <c r="CM166" s="5" t="s">
        <v>238</v>
      </c>
      <c r="CN166" s="5">
        <v>0</v>
      </c>
      <c r="CO166" s="5" t="s">
        <v>259</v>
      </c>
      <c r="CP166" s="5" t="s">
        <v>260</v>
      </c>
      <c r="CQ166" s="5" t="s">
        <v>260</v>
      </c>
      <c r="CR166" s="5" t="s">
        <v>261</v>
      </c>
      <c r="CU166" s="8">
        <f>1437800</f>
        <v>1437800</v>
      </c>
      <c r="CV166" s="8">
        <f>0</f>
        <v>0</v>
      </c>
      <c r="CX166" s="8">
        <f>0</f>
        <v>0</v>
      </c>
      <c r="CY166" s="8">
        <f>1437800</f>
        <v>1437800</v>
      </c>
      <c r="DA166" s="5" t="s">
        <v>2590</v>
      </c>
      <c r="DB166" s="5" t="s">
        <v>238</v>
      </c>
      <c r="DD166" s="5" t="s">
        <v>356</v>
      </c>
      <c r="DE166" s="8">
        <f>0</f>
        <v>0</v>
      </c>
      <c r="DG166" s="5" t="s">
        <v>263</v>
      </c>
      <c r="DH166" s="5" t="s">
        <v>238</v>
      </c>
      <c r="DI166" s="5" t="s">
        <v>238</v>
      </c>
      <c r="DJ166" s="5" t="s">
        <v>238</v>
      </c>
      <c r="DN166" s="5" t="s">
        <v>238</v>
      </c>
      <c r="DO166" s="5" t="s">
        <v>238</v>
      </c>
      <c r="DP166" s="5" t="s">
        <v>238</v>
      </c>
      <c r="DQ166" s="5" t="s">
        <v>238</v>
      </c>
      <c r="DT166" s="5" t="s">
        <v>6178</v>
      </c>
      <c r="DU166" s="5" t="s">
        <v>1376</v>
      </c>
      <c r="HM166" s="5" t="s">
        <v>264</v>
      </c>
    </row>
    <row r="167" spans="1:221" x14ac:dyDescent="0.4">
      <c r="A167" s="5">
        <v>878</v>
      </c>
      <c r="B167" s="5">
        <v>1</v>
      </c>
      <c r="C167" s="5">
        <v>1</v>
      </c>
      <c r="D167" s="5" t="s">
        <v>6176</v>
      </c>
      <c r="E167" s="5" t="s">
        <v>475</v>
      </c>
      <c r="F167" s="5" t="s">
        <v>248</v>
      </c>
      <c r="G167" s="5" t="s">
        <v>6175</v>
      </c>
      <c r="H167" s="6" t="s">
        <v>6330</v>
      </c>
      <c r="I167" s="7">
        <f>27</f>
        <v>27</v>
      </c>
      <c r="J167" s="5" t="s">
        <v>262</v>
      </c>
      <c r="K167" s="8">
        <f>70200</f>
        <v>70200</v>
      </c>
      <c r="L167" s="6" t="s">
        <v>242</v>
      </c>
      <c r="M167" s="5" t="s">
        <v>267</v>
      </c>
      <c r="N167" s="5" t="s">
        <v>237</v>
      </c>
      <c r="O167" s="5" t="s">
        <v>238</v>
      </c>
      <c r="P167" s="5" t="s">
        <v>238</v>
      </c>
      <c r="Q167" s="5" t="s">
        <v>239</v>
      </c>
      <c r="R167" s="5" t="s">
        <v>270</v>
      </c>
      <c r="S167" s="5" t="s">
        <v>238</v>
      </c>
      <c r="V167" s="5" t="s">
        <v>238</v>
      </c>
      <c r="X167" s="6" t="s">
        <v>238</v>
      </c>
      <c r="AA167" s="6" t="s">
        <v>243</v>
      </c>
      <c r="AB167" s="5" t="s">
        <v>238</v>
      </c>
      <c r="AC167" s="5" t="s">
        <v>244</v>
      </c>
      <c r="AD167" s="5" t="s">
        <v>245</v>
      </c>
      <c r="AT167" s="5" t="s">
        <v>246</v>
      </c>
      <c r="AU167" s="5" t="s">
        <v>238</v>
      </c>
      <c r="AV167" s="5" t="s">
        <v>247</v>
      </c>
      <c r="AW167" s="5" t="s">
        <v>238</v>
      </c>
      <c r="AX167" s="5" t="s">
        <v>249</v>
      </c>
      <c r="AY167" s="5" t="s">
        <v>238</v>
      </c>
      <c r="BA167" s="5" t="s">
        <v>238</v>
      </c>
      <c r="BC167" s="5" t="s">
        <v>250</v>
      </c>
      <c r="BD167" s="6" t="s">
        <v>243</v>
      </c>
      <c r="BE167" s="5" t="s">
        <v>251</v>
      </c>
      <c r="BF167" s="5" t="s">
        <v>252</v>
      </c>
      <c r="BG167" s="5" t="s">
        <v>238</v>
      </c>
      <c r="BH167" s="7">
        <f>0</f>
        <v>0</v>
      </c>
      <c r="BI167" s="8">
        <f>0</f>
        <v>0</v>
      </c>
      <c r="BJ167" s="5" t="s">
        <v>253</v>
      </c>
      <c r="BK167" s="5" t="s">
        <v>254</v>
      </c>
      <c r="BY167" s="5" t="s">
        <v>238</v>
      </c>
      <c r="BZ167" s="5" t="s">
        <v>238</v>
      </c>
      <c r="CD167" s="5" t="s">
        <v>255</v>
      </c>
      <c r="CE167" s="5" t="s">
        <v>256</v>
      </c>
      <c r="CF167" s="5" t="s">
        <v>238</v>
      </c>
      <c r="CI167" s="6" t="s">
        <v>257</v>
      </c>
      <c r="CJ167" s="5" t="s">
        <v>238</v>
      </c>
      <c r="CK167" s="5" t="s">
        <v>258</v>
      </c>
      <c r="CL167" s="5" t="s">
        <v>238</v>
      </c>
      <c r="CM167" s="5" t="s">
        <v>238</v>
      </c>
      <c r="CN167" s="5">
        <v>0</v>
      </c>
      <c r="CO167" s="5" t="s">
        <v>259</v>
      </c>
      <c r="CP167" s="5" t="s">
        <v>260</v>
      </c>
      <c r="CQ167" s="5" t="s">
        <v>260</v>
      </c>
      <c r="CR167" s="5" t="s">
        <v>261</v>
      </c>
      <c r="CU167" s="8">
        <f>70200</f>
        <v>70200</v>
      </c>
      <c r="CV167" s="8">
        <f>0</f>
        <v>0</v>
      </c>
      <c r="CX167" s="8">
        <f>0</f>
        <v>0</v>
      </c>
      <c r="CY167" s="8">
        <f>70200</f>
        <v>70200</v>
      </c>
      <c r="DA167" s="5" t="s">
        <v>2590</v>
      </c>
      <c r="DB167" s="5" t="s">
        <v>238</v>
      </c>
      <c r="DD167" s="5" t="s">
        <v>356</v>
      </c>
      <c r="DE167" s="8">
        <f>0</f>
        <v>0</v>
      </c>
      <c r="DG167" s="5" t="s">
        <v>263</v>
      </c>
      <c r="DH167" s="5" t="s">
        <v>238</v>
      </c>
      <c r="DI167" s="5" t="s">
        <v>238</v>
      </c>
      <c r="DJ167" s="5" t="s">
        <v>238</v>
      </c>
      <c r="DN167" s="5" t="s">
        <v>238</v>
      </c>
      <c r="DO167" s="5" t="s">
        <v>238</v>
      </c>
      <c r="DP167" s="5" t="s">
        <v>238</v>
      </c>
      <c r="DQ167" s="5" t="s">
        <v>238</v>
      </c>
      <c r="DT167" s="5" t="s">
        <v>6178</v>
      </c>
      <c r="DU167" s="5" t="s">
        <v>1372</v>
      </c>
      <c r="HM167" s="5" t="s">
        <v>264</v>
      </c>
    </row>
    <row r="168" spans="1:221" x14ac:dyDescent="0.4">
      <c r="A168" s="5">
        <v>879</v>
      </c>
      <c r="B168" s="5">
        <v>1</v>
      </c>
      <c r="C168" s="5">
        <v>1</v>
      </c>
      <c r="D168" s="5" t="s">
        <v>6176</v>
      </c>
      <c r="E168" s="5" t="s">
        <v>475</v>
      </c>
      <c r="F168" s="5" t="s">
        <v>248</v>
      </c>
      <c r="G168" s="5" t="s">
        <v>6175</v>
      </c>
      <c r="H168" s="6" t="s">
        <v>6182</v>
      </c>
      <c r="I168" s="7">
        <f>218.79</f>
        <v>218.79</v>
      </c>
      <c r="J168" s="5" t="s">
        <v>262</v>
      </c>
      <c r="K168" s="8">
        <f>568854</f>
        <v>568854</v>
      </c>
      <c r="L168" s="6" t="s">
        <v>242</v>
      </c>
      <c r="M168" s="5" t="s">
        <v>267</v>
      </c>
      <c r="N168" s="5" t="s">
        <v>237</v>
      </c>
      <c r="O168" s="5" t="s">
        <v>238</v>
      </c>
      <c r="P168" s="5" t="s">
        <v>238</v>
      </c>
      <c r="Q168" s="5" t="s">
        <v>239</v>
      </c>
      <c r="R168" s="5" t="s">
        <v>270</v>
      </c>
      <c r="S168" s="5" t="s">
        <v>238</v>
      </c>
      <c r="V168" s="5" t="s">
        <v>238</v>
      </c>
      <c r="X168" s="6" t="s">
        <v>238</v>
      </c>
      <c r="AA168" s="6" t="s">
        <v>243</v>
      </c>
      <c r="AB168" s="5" t="s">
        <v>238</v>
      </c>
      <c r="AC168" s="5" t="s">
        <v>244</v>
      </c>
      <c r="AD168" s="5" t="s">
        <v>245</v>
      </c>
      <c r="AT168" s="5" t="s">
        <v>246</v>
      </c>
      <c r="AU168" s="5" t="s">
        <v>238</v>
      </c>
      <c r="AV168" s="5" t="s">
        <v>247</v>
      </c>
      <c r="AW168" s="5" t="s">
        <v>238</v>
      </c>
      <c r="AX168" s="5" t="s">
        <v>249</v>
      </c>
      <c r="AY168" s="5" t="s">
        <v>238</v>
      </c>
      <c r="BA168" s="5" t="s">
        <v>238</v>
      </c>
      <c r="BC168" s="5" t="s">
        <v>250</v>
      </c>
      <c r="BD168" s="6" t="s">
        <v>243</v>
      </c>
      <c r="BE168" s="5" t="s">
        <v>251</v>
      </c>
      <c r="BF168" s="5" t="s">
        <v>252</v>
      </c>
      <c r="BG168" s="5" t="s">
        <v>238</v>
      </c>
      <c r="BH168" s="7">
        <f>0</f>
        <v>0</v>
      </c>
      <c r="BI168" s="8">
        <f>0</f>
        <v>0</v>
      </c>
      <c r="BJ168" s="5" t="s">
        <v>253</v>
      </c>
      <c r="BK168" s="5" t="s">
        <v>254</v>
      </c>
      <c r="BY168" s="5" t="s">
        <v>238</v>
      </c>
      <c r="BZ168" s="5" t="s">
        <v>238</v>
      </c>
      <c r="CD168" s="5" t="s">
        <v>255</v>
      </c>
      <c r="CE168" s="5" t="s">
        <v>256</v>
      </c>
      <c r="CF168" s="5" t="s">
        <v>238</v>
      </c>
      <c r="CI168" s="6" t="s">
        <v>257</v>
      </c>
      <c r="CJ168" s="5" t="s">
        <v>238</v>
      </c>
      <c r="CK168" s="5" t="s">
        <v>258</v>
      </c>
      <c r="CL168" s="5" t="s">
        <v>238</v>
      </c>
      <c r="CM168" s="5" t="s">
        <v>238</v>
      </c>
      <c r="CN168" s="5">
        <v>0</v>
      </c>
      <c r="CO168" s="5" t="s">
        <v>259</v>
      </c>
      <c r="CP168" s="5" t="s">
        <v>260</v>
      </c>
      <c r="CQ168" s="5" t="s">
        <v>260</v>
      </c>
      <c r="CR168" s="5" t="s">
        <v>261</v>
      </c>
      <c r="CU168" s="8">
        <f>568854</f>
        <v>568854</v>
      </c>
      <c r="CV168" s="8">
        <f>0</f>
        <v>0</v>
      </c>
      <c r="CX168" s="8">
        <f>0</f>
        <v>0</v>
      </c>
      <c r="CY168" s="8">
        <f>568854</f>
        <v>568854</v>
      </c>
      <c r="DA168" s="5" t="s">
        <v>263</v>
      </c>
      <c r="DB168" s="5" t="s">
        <v>238</v>
      </c>
      <c r="DD168" s="5" t="s">
        <v>356</v>
      </c>
      <c r="DE168" s="8">
        <f>0</f>
        <v>0</v>
      </c>
      <c r="DG168" s="5" t="s">
        <v>263</v>
      </c>
      <c r="DH168" s="5" t="s">
        <v>238</v>
      </c>
      <c r="DI168" s="5" t="s">
        <v>238</v>
      </c>
      <c r="DJ168" s="5" t="s">
        <v>238</v>
      </c>
      <c r="DN168" s="5" t="s">
        <v>238</v>
      </c>
      <c r="DO168" s="5" t="s">
        <v>238</v>
      </c>
      <c r="DP168" s="5" t="s">
        <v>238</v>
      </c>
      <c r="DQ168" s="5" t="s">
        <v>238</v>
      </c>
      <c r="DT168" s="5" t="s">
        <v>6178</v>
      </c>
      <c r="DU168" s="5" t="s">
        <v>1370</v>
      </c>
      <c r="HM168" s="5" t="s">
        <v>264</v>
      </c>
    </row>
    <row r="169" spans="1:221" x14ac:dyDescent="0.4">
      <c r="A169" s="5">
        <v>880</v>
      </c>
      <c r="B169" s="5">
        <v>1</v>
      </c>
      <c r="C169" s="5">
        <v>1</v>
      </c>
      <c r="D169" s="5" t="s">
        <v>6176</v>
      </c>
      <c r="E169" s="5" t="s">
        <v>475</v>
      </c>
      <c r="F169" s="5" t="s">
        <v>248</v>
      </c>
      <c r="G169" s="5" t="s">
        <v>6175</v>
      </c>
      <c r="H169" s="6" t="s">
        <v>6329</v>
      </c>
      <c r="I169" s="7">
        <f>217</f>
        <v>217</v>
      </c>
      <c r="J169" s="5" t="s">
        <v>262</v>
      </c>
      <c r="K169" s="8">
        <f>480655</f>
        <v>480655</v>
      </c>
      <c r="L169" s="6" t="s">
        <v>242</v>
      </c>
      <c r="M169" s="5" t="s">
        <v>267</v>
      </c>
      <c r="N169" s="5" t="s">
        <v>237</v>
      </c>
      <c r="O169" s="5" t="s">
        <v>238</v>
      </c>
      <c r="P169" s="5" t="s">
        <v>238</v>
      </c>
      <c r="Q169" s="5" t="s">
        <v>239</v>
      </c>
      <c r="R169" s="5" t="s">
        <v>270</v>
      </c>
      <c r="S169" s="5" t="s">
        <v>238</v>
      </c>
      <c r="V169" s="5" t="s">
        <v>238</v>
      </c>
      <c r="X169" s="6" t="s">
        <v>238</v>
      </c>
      <c r="AA169" s="6" t="s">
        <v>243</v>
      </c>
      <c r="AB169" s="5" t="s">
        <v>238</v>
      </c>
      <c r="AC169" s="5" t="s">
        <v>244</v>
      </c>
      <c r="AD169" s="5" t="s">
        <v>245</v>
      </c>
      <c r="AT169" s="5" t="s">
        <v>246</v>
      </c>
      <c r="AU169" s="5" t="s">
        <v>238</v>
      </c>
      <c r="AV169" s="5" t="s">
        <v>247</v>
      </c>
      <c r="AW169" s="5" t="s">
        <v>238</v>
      </c>
      <c r="AX169" s="5" t="s">
        <v>249</v>
      </c>
      <c r="AY169" s="5" t="s">
        <v>238</v>
      </c>
      <c r="BA169" s="5" t="s">
        <v>238</v>
      </c>
      <c r="BC169" s="5" t="s">
        <v>250</v>
      </c>
      <c r="BD169" s="6" t="s">
        <v>243</v>
      </c>
      <c r="BE169" s="5" t="s">
        <v>251</v>
      </c>
      <c r="BF169" s="5" t="s">
        <v>252</v>
      </c>
      <c r="BG169" s="5" t="s">
        <v>238</v>
      </c>
      <c r="BH169" s="7">
        <f>0</f>
        <v>0</v>
      </c>
      <c r="BI169" s="8">
        <f>0</f>
        <v>0</v>
      </c>
      <c r="BJ169" s="5" t="s">
        <v>253</v>
      </c>
      <c r="BK169" s="5" t="s">
        <v>254</v>
      </c>
      <c r="BY169" s="5" t="s">
        <v>238</v>
      </c>
      <c r="BZ169" s="5" t="s">
        <v>238</v>
      </c>
      <c r="CD169" s="5" t="s">
        <v>255</v>
      </c>
      <c r="CE169" s="5" t="s">
        <v>256</v>
      </c>
      <c r="CF169" s="5" t="s">
        <v>238</v>
      </c>
      <c r="CI169" s="6" t="s">
        <v>257</v>
      </c>
      <c r="CJ169" s="5" t="s">
        <v>238</v>
      </c>
      <c r="CK169" s="5" t="s">
        <v>258</v>
      </c>
      <c r="CL169" s="5" t="s">
        <v>238</v>
      </c>
      <c r="CM169" s="5" t="s">
        <v>238</v>
      </c>
      <c r="CN169" s="5">
        <v>0</v>
      </c>
      <c r="CO169" s="5" t="s">
        <v>259</v>
      </c>
      <c r="CP169" s="5" t="s">
        <v>260</v>
      </c>
      <c r="CQ169" s="5" t="s">
        <v>260</v>
      </c>
      <c r="CR169" s="5" t="s">
        <v>261</v>
      </c>
      <c r="CU169" s="8">
        <f>480655</f>
        <v>480655</v>
      </c>
      <c r="CV169" s="8">
        <f>0</f>
        <v>0</v>
      </c>
      <c r="CX169" s="8">
        <f>0</f>
        <v>0</v>
      </c>
      <c r="CY169" s="8">
        <f>480655</f>
        <v>480655</v>
      </c>
      <c r="DA169" s="5" t="s">
        <v>389</v>
      </c>
      <c r="DB169" s="5" t="s">
        <v>238</v>
      </c>
      <c r="DD169" s="5" t="s">
        <v>356</v>
      </c>
      <c r="DE169" s="8">
        <f>0</f>
        <v>0</v>
      </c>
      <c r="DG169" s="5" t="s">
        <v>389</v>
      </c>
      <c r="DH169" s="5" t="s">
        <v>238</v>
      </c>
      <c r="DI169" s="5" t="s">
        <v>238</v>
      </c>
      <c r="DJ169" s="5" t="s">
        <v>238</v>
      </c>
      <c r="DN169" s="5" t="s">
        <v>238</v>
      </c>
      <c r="DO169" s="5" t="s">
        <v>238</v>
      </c>
      <c r="DP169" s="5" t="s">
        <v>238</v>
      </c>
      <c r="DQ169" s="5" t="s">
        <v>238</v>
      </c>
      <c r="DT169" s="5" t="s">
        <v>6178</v>
      </c>
      <c r="DU169" s="5" t="s">
        <v>1364</v>
      </c>
      <c r="HM169" s="5" t="s">
        <v>264</v>
      </c>
    </row>
    <row r="170" spans="1:221" x14ac:dyDescent="0.4">
      <c r="A170" s="5">
        <v>881</v>
      </c>
      <c r="B170" s="5">
        <v>1</v>
      </c>
      <c r="C170" s="5">
        <v>1</v>
      </c>
      <c r="D170" s="5" t="s">
        <v>6335</v>
      </c>
      <c r="E170" s="5" t="s">
        <v>475</v>
      </c>
      <c r="F170" s="5" t="s">
        <v>248</v>
      </c>
      <c r="G170" s="5" t="s">
        <v>6334</v>
      </c>
      <c r="H170" s="6" t="s">
        <v>6336</v>
      </c>
      <c r="I170" s="7">
        <f>2934</f>
        <v>2934</v>
      </c>
      <c r="J170" s="5" t="s">
        <v>262</v>
      </c>
      <c r="K170" s="8">
        <f>6498810</f>
        <v>6498810</v>
      </c>
      <c r="L170" s="6" t="s">
        <v>242</v>
      </c>
      <c r="M170" s="5" t="s">
        <v>267</v>
      </c>
      <c r="N170" s="5" t="s">
        <v>237</v>
      </c>
      <c r="O170" s="5" t="s">
        <v>238</v>
      </c>
      <c r="P170" s="5" t="s">
        <v>238</v>
      </c>
      <c r="Q170" s="5" t="s">
        <v>239</v>
      </c>
      <c r="R170" s="5" t="s">
        <v>270</v>
      </c>
      <c r="S170" s="5" t="s">
        <v>238</v>
      </c>
      <c r="V170" s="5" t="s">
        <v>238</v>
      </c>
      <c r="X170" s="6" t="s">
        <v>238</v>
      </c>
      <c r="AA170" s="6" t="s">
        <v>243</v>
      </c>
      <c r="AB170" s="5" t="s">
        <v>238</v>
      </c>
      <c r="AC170" s="5" t="s">
        <v>244</v>
      </c>
      <c r="AD170" s="5" t="s">
        <v>245</v>
      </c>
      <c r="AT170" s="5" t="s">
        <v>246</v>
      </c>
      <c r="AU170" s="5" t="s">
        <v>238</v>
      </c>
      <c r="AV170" s="5" t="s">
        <v>247</v>
      </c>
      <c r="AW170" s="5" t="s">
        <v>238</v>
      </c>
      <c r="AX170" s="5" t="s">
        <v>249</v>
      </c>
      <c r="AY170" s="5" t="s">
        <v>238</v>
      </c>
      <c r="BA170" s="5" t="s">
        <v>4547</v>
      </c>
      <c r="BC170" s="5" t="s">
        <v>250</v>
      </c>
      <c r="BD170" s="6" t="s">
        <v>243</v>
      </c>
      <c r="BE170" s="5" t="s">
        <v>251</v>
      </c>
      <c r="BF170" s="5" t="s">
        <v>252</v>
      </c>
      <c r="BG170" s="5" t="s">
        <v>238</v>
      </c>
      <c r="BH170" s="7">
        <f>0</f>
        <v>0</v>
      </c>
      <c r="BI170" s="8">
        <f>0</f>
        <v>0</v>
      </c>
      <c r="BJ170" s="5" t="s">
        <v>253</v>
      </c>
      <c r="BK170" s="5" t="s">
        <v>254</v>
      </c>
      <c r="BY170" s="5" t="s">
        <v>238</v>
      </c>
      <c r="BZ170" s="5" t="s">
        <v>238</v>
      </c>
      <c r="CD170" s="5" t="s">
        <v>255</v>
      </c>
      <c r="CE170" s="5" t="s">
        <v>256</v>
      </c>
      <c r="CF170" s="5" t="s">
        <v>238</v>
      </c>
      <c r="CI170" s="6" t="s">
        <v>257</v>
      </c>
      <c r="CJ170" s="5" t="s">
        <v>238</v>
      </c>
      <c r="CK170" s="5" t="s">
        <v>258</v>
      </c>
      <c r="CL170" s="5" t="s">
        <v>238</v>
      </c>
      <c r="CM170" s="5" t="s">
        <v>238</v>
      </c>
      <c r="CN170" s="5">
        <v>0</v>
      </c>
      <c r="CO170" s="5" t="s">
        <v>259</v>
      </c>
      <c r="CP170" s="5" t="s">
        <v>260</v>
      </c>
      <c r="CQ170" s="5" t="s">
        <v>260</v>
      </c>
      <c r="CR170" s="5" t="s">
        <v>261</v>
      </c>
      <c r="CU170" s="8">
        <f>6498810</f>
        <v>6498810</v>
      </c>
      <c r="CV170" s="8">
        <f>0</f>
        <v>0</v>
      </c>
      <c r="CX170" s="8">
        <f>0</f>
        <v>0</v>
      </c>
      <c r="CY170" s="8">
        <f>6498810</f>
        <v>6498810</v>
      </c>
      <c r="DA170" s="5" t="s">
        <v>389</v>
      </c>
      <c r="DB170" s="5" t="s">
        <v>238</v>
      </c>
      <c r="DD170" s="5" t="s">
        <v>356</v>
      </c>
      <c r="DE170" s="8">
        <f>0</f>
        <v>0</v>
      </c>
      <c r="DG170" s="5" t="s">
        <v>389</v>
      </c>
      <c r="DH170" s="5" t="s">
        <v>238</v>
      </c>
      <c r="DI170" s="5" t="s">
        <v>238</v>
      </c>
      <c r="DJ170" s="5" t="s">
        <v>238</v>
      </c>
      <c r="DN170" s="5" t="s">
        <v>238</v>
      </c>
      <c r="DO170" s="5" t="s">
        <v>238</v>
      </c>
      <c r="DP170" s="5" t="s">
        <v>238</v>
      </c>
      <c r="DQ170" s="5" t="s">
        <v>238</v>
      </c>
      <c r="DT170" s="5" t="s">
        <v>6337</v>
      </c>
      <c r="DU170" s="5" t="s">
        <v>264</v>
      </c>
      <c r="HM170" s="5" t="s">
        <v>264</v>
      </c>
    </row>
    <row r="171" spans="1:221" x14ac:dyDescent="0.4">
      <c r="A171" s="5">
        <v>882</v>
      </c>
      <c r="B171" s="5">
        <v>1</v>
      </c>
      <c r="C171" s="5">
        <v>1</v>
      </c>
      <c r="D171" s="5" t="s">
        <v>6172</v>
      </c>
      <c r="E171" s="5" t="s">
        <v>475</v>
      </c>
      <c r="F171" s="5" t="s">
        <v>248</v>
      </c>
      <c r="G171" s="5" t="s">
        <v>6171</v>
      </c>
      <c r="H171" s="6" t="s">
        <v>6173</v>
      </c>
      <c r="I171" s="7">
        <f>781.11</f>
        <v>781.11</v>
      </c>
      <c r="J171" s="5" t="s">
        <v>262</v>
      </c>
      <c r="K171" s="8">
        <f>4920993</f>
        <v>4920993</v>
      </c>
      <c r="L171" s="6" t="s">
        <v>242</v>
      </c>
      <c r="M171" s="5" t="s">
        <v>267</v>
      </c>
      <c r="N171" s="5" t="s">
        <v>237</v>
      </c>
      <c r="O171" s="5" t="s">
        <v>238</v>
      </c>
      <c r="P171" s="5" t="s">
        <v>238</v>
      </c>
      <c r="Q171" s="5" t="s">
        <v>239</v>
      </c>
      <c r="R171" s="5" t="s">
        <v>270</v>
      </c>
      <c r="S171" s="5" t="s">
        <v>238</v>
      </c>
      <c r="V171" s="5" t="s">
        <v>238</v>
      </c>
      <c r="X171" s="6" t="s">
        <v>238</v>
      </c>
      <c r="AA171" s="6" t="s">
        <v>243</v>
      </c>
      <c r="AB171" s="5" t="s">
        <v>238</v>
      </c>
      <c r="AC171" s="5" t="s">
        <v>244</v>
      </c>
      <c r="AD171" s="5" t="s">
        <v>245</v>
      </c>
      <c r="AT171" s="5" t="s">
        <v>246</v>
      </c>
      <c r="AU171" s="5" t="s">
        <v>238</v>
      </c>
      <c r="AV171" s="5" t="s">
        <v>247</v>
      </c>
      <c r="AW171" s="5" t="s">
        <v>238</v>
      </c>
      <c r="AX171" s="5" t="s">
        <v>249</v>
      </c>
      <c r="AY171" s="5" t="s">
        <v>238</v>
      </c>
      <c r="BA171" s="5" t="s">
        <v>4547</v>
      </c>
      <c r="BC171" s="5" t="s">
        <v>250</v>
      </c>
      <c r="BD171" s="6" t="s">
        <v>243</v>
      </c>
      <c r="BE171" s="5" t="s">
        <v>251</v>
      </c>
      <c r="BF171" s="5" t="s">
        <v>252</v>
      </c>
      <c r="BG171" s="5" t="s">
        <v>238</v>
      </c>
      <c r="BH171" s="7">
        <f>0</f>
        <v>0</v>
      </c>
      <c r="BI171" s="8">
        <f>0</f>
        <v>0</v>
      </c>
      <c r="BJ171" s="5" t="s">
        <v>253</v>
      </c>
      <c r="BK171" s="5" t="s">
        <v>254</v>
      </c>
      <c r="BY171" s="5" t="s">
        <v>238</v>
      </c>
      <c r="BZ171" s="5" t="s">
        <v>238</v>
      </c>
      <c r="CD171" s="5" t="s">
        <v>255</v>
      </c>
      <c r="CE171" s="5" t="s">
        <v>256</v>
      </c>
      <c r="CF171" s="5" t="s">
        <v>238</v>
      </c>
      <c r="CI171" s="6" t="s">
        <v>257</v>
      </c>
      <c r="CJ171" s="5" t="s">
        <v>238</v>
      </c>
      <c r="CK171" s="5" t="s">
        <v>258</v>
      </c>
      <c r="CL171" s="5" t="s">
        <v>238</v>
      </c>
      <c r="CM171" s="5" t="s">
        <v>238</v>
      </c>
      <c r="CN171" s="5">
        <v>0</v>
      </c>
      <c r="CO171" s="5" t="s">
        <v>259</v>
      </c>
      <c r="CP171" s="5" t="s">
        <v>260</v>
      </c>
      <c r="CQ171" s="5" t="s">
        <v>260</v>
      </c>
      <c r="CR171" s="5" t="s">
        <v>261</v>
      </c>
      <c r="CU171" s="8">
        <f>4920993</f>
        <v>4920993</v>
      </c>
      <c r="CV171" s="8">
        <f>0</f>
        <v>0</v>
      </c>
      <c r="CX171" s="8">
        <f>0</f>
        <v>0</v>
      </c>
      <c r="CY171" s="8">
        <f>4920993</f>
        <v>4920993</v>
      </c>
      <c r="DA171" s="5" t="s">
        <v>263</v>
      </c>
      <c r="DB171" s="5" t="s">
        <v>238</v>
      </c>
      <c r="DD171" s="5" t="s">
        <v>263</v>
      </c>
      <c r="DE171" s="8">
        <f>781.11</f>
        <v>781.11</v>
      </c>
      <c r="DG171" s="5" t="s">
        <v>263</v>
      </c>
      <c r="DH171" s="5" t="s">
        <v>238</v>
      </c>
      <c r="DI171" s="5" t="s">
        <v>238</v>
      </c>
      <c r="DJ171" s="5" t="s">
        <v>238</v>
      </c>
      <c r="DN171" s="5" t="s">
        <v>238</v>
      </c>
      <c r="DO171" s="5" t="s">
        <v>238</v>
      </c>
      <c r="DP171" s="5" t="s">
        <v>238</v>
      </c>
      <c r="DQ171" s="5" t="s">
        <v>238</v>
      </c>
      <c r="DT171" s="5" t="s">
        <v>6174</v>
      </c>
      <c r="DU171" s="5" t="s">
        <v>264</v>
      </c>
      <c r="HM171" s="5" t="s">
        <v>264</v>
      </c>
    </row>
    <row r="172" spans="1:221" x14ac:dyDescent="0.4">
      <c r="A172" s="5">
        <v>883</v>
      </c>
      <c r="B172" s="5">
        <v>1</v>
      </c>
      <c r="C172" s="5">
        <v>1</v>
      </c>
      <c r="D172" s="5" t="s">
        <v>6168</v>
      </c>
      <c r="E172" s="5" t="s">
        <v>3336</v>
      </c>
      <c r="F172" s="5" t="s">
        <v>248</v>
      </c>
      <c r="G172" s="5" t="s">
        <v>6167</v>
      </c>
      <c r="H172" s="6" t="s">
        <v>6340</v>
      </c>
      <c r="I172" s="7">
        <f>3007</f>
        <v>3007</v>
      </c>
      <c r="J172" s="5" t="s">
        <v>262</v>
      </c>
      <c r="K172" s="8">
        <f>24356700</f>
        <v>24356700</v>
      </c>
      <c r="L172" s="6" t="s">
        <v>242</v>
      </c>
      <c r="M172" s="5" t="s">
        <v>267</v>
      </c>
      <c r="N172" s="5" t="s">
        <v>237</v>
      </c>
      <c r="O172" s="5" t="s">
        <v>238</v>
      </c>
      <c r="P172" s="5" t="s">
        <v>238</v>
      </c>
      <c r="Q172" s="5" t="s">
        <v>239</v>
      </c>
      <c r="R172" s="5" t="s">
        <v>270</v>
      </c>
      <c r="S172" s="5" t="s">
        <v>238</v>
      </c>
      <c r="V172" s="5" t="s">
        <v>238</v>
      </c>
      <c r="X172" s="6" t="s">
        <v>238</v>
      </c>
      <c r="AA172" s="6" t="s">
        <v>243</v>
      </c>
      <c r="AB172" s="5" t="s">
        <v>238</v>
      </c>
      <c r="AC172" s="5" t="s">
        <v>244</v>
      </c>
      <c r="AD172" s="5" t="s">
        <v>245</v>
      </c>
      <c r="AT172" s="5" t="s">
        <v>246</v>
      </c>
      <c r="AU172" s="5" t="s">
        <v>238</v>
      </c>
      <c r="AV172" s="5" t="s">
        <v>247</v>
      </c>
      <c r="AW172" s="5" t="s">
        <v>238</v>
      </c>
      <c r="AX172" s="5" t="s">
        <v>249</v>
      </c>
      <c r="AY172" s="5" t="s">
        <v>238</v>
      </c>
      <c r="BA172" s="5" t="s">
        <v>4547</v>
      </c>
      <c r="BC172" s="5" t="s">
        <v>250</v>
      </c>
      <c r="BD172" s="6" t="s">
        <v>243</v>
      </c>
      <c r="BE172" s="5" t="s">
        <v>251</v>
      </c>
      <c r="BF172" s="5" t="s">
        <v>252</v>
      </c>
      <c r="BG172" s="5" t="s">
        <v>238</v>
      </c>
      <c r="BH172" s="7">
        <f>0</f>
        <v>0</v>
      </c>
      <c r="BI172" s="8">
        <f>0</f>
        <v>0</v>
      </c>
      <c r="BJ172" s="5" t="s">
        <v>253</v>
      </c>
      <c r="BK172" s="5" t="s">
        <v>254</v>
      </c>
      <c r="BY172" s="5" t="s">
        <v>238</v>
      </c>
      <c r="BZ172" s="5" t="s">
        <v>238</v>
      </c>
      <c r="CD172" s="5" t="s">
        <v>255</v>
      </c>
      <c r="CE172" s="5" t="s">
        <v>256</v>
      </c>
      <c r="CF172" s="5" t="s">
        <v>238</v>
      </c>
      <c r="CI172" s="6" t="s">
        <v>257</v>
      </c>
      <c r="CJ172" s="5" t="s">
        <v>238</v>
      </c>
      <c r="CK172" s="5" t="s">
        <v>258</v>
      </c>
      <c r="CL172" s="5" t="s">
        <v>238</v>
      </c>
      <c r="CM172" s="5" t="s">
        <v>238</v>
      </c>
      <c r="CN172" s="5">
        <v>0</v>
      </c>
      <c r="CO172" s="5" t="s">
        <v>259</v>
      </c>
      <c r="CP172" s="5" t="s">
        <v>260</v>
      </c>
      <c r="CQ172" s="5" t="s">
        <v>260</v>
      </c>
      <c r="CR172" s="5" t="s">
        <v>261</v>
      </c>
      <c r="CU172" s="8">
        <f>24356700</f>
        <v>24356700</v>
      </c>
      <c r="CV172" s="8">
        <f>0</f>
        <v>0</v>
      </c>
      <c r="CX172" s="8">
        <f>0</f>
        <v>0</v>
      </c>
      <c r="CY172" s="8">
        <f>24356700</f>
        <v>24356700</v>
      </c>
      <c r="DA172" s="5" t="s">
        <v>263</v>
      </c>
      <c r="DB172" s="5" t="s">
        <v>238</v>
      </c>
      <c r="DD172" s="5" t="s">
        <v>263</v>
      </c>
      <c r="DE172" s="8">
        <f>0</f>
        <v>0</v>
      </c>
      <c r="DG172" s="5" t="s">
        <v>263</v>
      </c>
      <c r="DH172" s="5" t="s">
        <v>238</v>
      </c>
      <c r="DI172" s="5" t="s">
        <v>238</v>
      </c>
      <c r="DJ172" s="5" t="s">
        <v>238</v>
      </c>
      <c r="DN172" s="5" t="s">
        <v>238</v>
      </c>
      <c r="DO172" s="5" t="s">
        <v>238</v>
      </c>
      <c r="DP172" s="5" t="s">
        <v>238</v>
      </c>
      <c r="DQ172" s="5" t="s">
        <v>238</v>
      </c>
      <c r="DT172" s="5" t="s">
        <v>6170</v>
      </c>
      <c r="DU172" s="5" t="s">
        <v>264</v>
      </c>
      <c r="HM172" s="5" t="s">
        <v>264</v>
      </c>
    </row>
    <row r="173" spans="1:221" x14ac:dyDescent="0.4">
      <c r="A173" s="5">
        <v>884</v>
      </c>
      <c r="B173" s="5">
        <v>1</v>
      </c>
      <c r="C173" s="5">
        <v>1</v>
      </c>
      <c r="D173" s="5" t="s">
        <v>6168</v>
      </c>
      <c r="E173" s="5" t="s">
        <v>3336</v>
      </c>
      <c r="F173" s="5" t="s">
        <v>248</v>
      </c>
      <c r="G173" s="5" t="s">
        <v>6167</v>
      </c>
      <c r="H173" s="6" t="s">
        <v>6169</v>
      </c>
      <c r="I173" s="7">
        <f>2656</f>
        <v>2656</v>
      </c>
      <c r="J173" s="5" t="s">
        <v>262</v>
      </c>
      <c r="K173" s="8">
        <f>21513600</f>
        <v>21513600</v>
      </c>
      <c r="L173" s="6" t="s">
        <v>242</v>
      </c>
      <c r="M173" s="5" t="s">
        <v>267</v>
      </c>
      <c r="N173" s="5" t="s">
        <v>237</v>
      </c>
      <c r="O173" s="5" t="s">
        <v>238</v>
      </c>
      <c r="P173" s="5" t="s">
        <v>238</v>
      </c>
      <c r="Q173" s="5" t="s">
        <v>239</v>
      </c>
      <c r="R173" s="5" t="s">
        <v>270</v>
      </c>
      <c r="S173" s="5" t="s">
        <v>238</v>
      </c>
      <c r="V173" s="5" t="s">
        <v>238</v>
      </c>
      <c r="X173" s="6" t="s">
        <v>238</v>
      </c>
      <c r="AA173" s="6" t="s">
        <v>243</v>
      </c>
      <c r="AB173" s="5" t="s">
        <v>238</v>
      </c>
      <c r="AC173" s="5" t="s">
        <v>244</v>
      </c>
      <c r="AD173" s="5" t="s">
        <v>245</v>
      </c>
      <c r="AT173" s="5" t="s">
        <v>246</v>
      </c>
      <c r="AU173" s="5" t="s">
        <v>238</v>
      </c>
      <c r="AV173" s="5" t="s">
        <v>247</v>
      </c>
      <c r="AW173" s="5" t="s">
        <v>238</v>
      </c>
      <c r="AX173" s="5" t="s">
        <v>249</v>
      </c>
      <c r="AY173" s="5" t="s">
        <v>238</v>
      </c>
      <c r="BA173" s="5" t="s">
        <v>238</v>
      </c>
      <c r="BC173" s="5" t="s">
        <v>250</v>
      </c>
      <c r="BD173" s="6" t="s">
        <v>243</v>
      </c>
      <c r="BE173" s="5" t="s">
        <v>251</v>
      </c>
      <c r="BF173" s="5" t="s">
        <v>252</v>
      </c>
      <c r="BG173" s="5" t="s">
        <v>238</v>
      </c>
      <c r="BH173" s="7">
        <f>0</f>
        <v>0</v>
      </c>
      <c r="BI173" s="8">
        <f>0</f>
        <v>0</v>
      </c>
      <c r="BJ173" s="5" t="s">
        <v>253</v>
      </c>
      <c r="BK173" s="5" t="s">
        <v>254</v>
      </c>
      <c r="BY173" s="5" t="s">
        <v>238</v>
      </c>
      <c r="BZ173" s="5" t="s">
        <v>238</v>
      </c>
      <c r="CD173" s="5" t="s">
        <v>255</v>
      </c>
      <c r="CE173" s="5" t="s">
        <v>256</v>
      </c>
      <c r="CF173" s="5" t="s">
        <v>238</v>
      </c>
      <c r="CI173" s="6" t="s">
        <v>257</v>
      </c>
      <c r="CJ173" s="5" t="s">
        <v>238</v>
      </c>
      <c r="CK173" s="5" t="s">
        <v>258</v>
      </c>
      <c r="CL173" s="5" t="s">
        <v>238</v>
      </c>
      <c r="CM173" s="5" t="s">
        <v>238</v>
      </c>
      <c r="CN173" s="5">
        <v>0</v>
      </c>
      <c r="CO173" s="5" t="s">
        <v>259</v>
      </c>
      <c r="CP173" s="5" t="s">
        <v>260</v>
      </c>
      <c r="CQ173" s="5" t="s">
        <v>260</v>
      </c>
      <c r="CR173" s="5" t="s">
        <v>261</v>
      </c>
      <c r="CU173" s="8">
        <f>21513600</f>
        <v>21513600</v>
      </c>
      <c r="CV173" s="8">
        <f>0</f>
        <v>0</v>
      </c>
      <c r="CX173" s="8">
        <f>0</f>
        <v>0</v>
      </c>
      <c r="CY173" s="8">
        <f>21513600</f>
        <v>21513600</v>
      </c>
      <c r="DA173" s="5" t="s">
        <v>263</v>
      </c>
      <c r="DB173" s="5" t="s">
        <v>238</v>
      </c>
      <c r="DD173" s="5" t="s">
        <v>263</v>
      </c>
      <c r="DE173" s="8">
        <f>0</f>
        <v>0</v>
      </c>
      <c r="DG173" s="5" t="s">
        <v>263</v>
      </c>
      <c r="DH173" s="5" t="s">
        <v>238</v>
      </c>
      <c r="DI173" s="5" t="s">
        <v>238</v>
      </c>
      <c r="DJ173" s="5" t="s">
        <v>238</v>
      </c>
      <c r="DN173" s="5" t="s">
        <v>238</v>
      </c>
      <c r="DO173" s="5" t="s">
        <v>238</v>
      </c>
      <c r="DP173" s="5" t="s">
        <v>238</v>
      </c>
      <c r="DQ173" s="5" t="s">
        <v>238</v>
      </c>
      <c r="DT173" s="5" t="s">
        <v>6170</v>
      </c>
      <c r="DU173" s="5" t="s">
        <v>294</v>
      </c>
      <c r="HM173" s="5" t="s">
        <v>264</v>
      </c>
    </row>
    <row r="174" spans="1:221" x14ac:dyDescent="0.4">
      <c r="A174" s="5">
        <v>885</v>
      </c>
      <c r="B174" s="5">
        <v>1</v>
      </c>
      <c r="C174" s="5">
        <v>1</v>
      </c>
      <c r="D174" s="5" t="s">
        <v>6168</v>
      </c>
      <c r="E174" s="5" t="s">
        <v>3336</v>
      </c>
      <c r="F174" s="5" t="s">
        <v>248</v>
      </c>
      <c r="G174" s="5" t="s">
        <v>6167</v>
      </c>
      <c r="H174" s="6" t="s">
        <v>6338</v>
      </c>
      <c r="I174" s="7">
        <f>1155</f>
        <v>1155</v>
      </c>
      <c r="J174" s="5" t="s">
        <v>262</v>
      </c>
      <c r="K174" s="8">
        <f>9355500</f>
        <v>9355500</v>
      </c>
      <c r="L174" s="6" t="s">
        <v>242</v>
      </c>
      <c r="M174" s="5" t="s">
        <v>267</v>
      </c>
      <c r="N174" s="5" t="s">
        <v>237</v>
      </c>
      <c r="O174" s="5" t="s">
        <v>238</v>
      </c>
      <c r="P174" s="5" t="s">
        <v>238</v>
      </c>
      <c r="Q174" s="5" t="s">
        <v>239</v>
      </c>
      <c r="R174" s="5" t="s">
        <v>270</v>
      </c>
      <c r="S174" s="5" t="s">
        <v>238</v>
      </c>
      <c r="V174" s="5" t="s">
        <v>238</v>
      </c>
      <c r="X174" s="6" t="s">
        <v>238</v>
      </c>
      <c r="AA174" s="6" t="s">
        <v>243</v>
      </c>
      <c r="AB174" s="5" t="s">
        <v>238</v>
      </c>
      <c r="AC174" s="5" t="s">
        <v>244</v>
      </c>
      <c r="AD174" s="5" t="s">
        <v>245</v>
      </c>
      <c r="AT174" s="5" t="s">
        <v>246</v>
      </c>
      <c r="AU174" s="5" t="s">
        <v>238</v>
      </c>
      <c r="AV174" s="5" t="s">
        <v>247</v>
      </c>
      <c r="AW174" s="5" t="s">
        <v>238</v>
      </c>
      <c r="AX174" s="5" t="s">
        <v>249</v>
      </c>
      <c r="AY174" s="5" t="s">
        <v>238</v>
      </c>
      <c r="BA174" s="5" t="s">
        <v>238</v>
      </c>
      <c r="BC174" s="5" t="s">
        <v>250</v>
      </c>
      <c r="BD174" s="6" t="s">
        <v>243</v>
      </c>
      <c r="BE174" s="5" t="s">
        <v>251</v>
      </c>
      <c r="BF174" s="5" t="s">
        <v>252</v>
      </c>
      <c r="BG174" s="5" t="s">
        <v>238</v>
      </c>
      <c r="BH174" s="7">
        <f>0</f>
        <v>0</v>
      </c>
      <c r="BI174" s="8">
        <f>0</f>
        <v>0</v>
      </c>
      <c r="BJ174" s="5" t="s">
        <v>253</v>
      </c>
      <c r="BK174" s="5" t="s">
        <v>254</v>
      </c>
      <c r="BY174" s="5" t="s">
        <v>238</v>
      </c>
      <c r="BZ174" s="5" t="s">
        <v>238</v>
      </c>
      <c r="CD174" s="5" t="s">
        <v>255</v>
      </c>
      <c r="CE174" s="5" t="s">
        <v>256</v>
      </c>
      <c r="CF174" s="5" t="s">
        <v>238</v>
      </c>
      <c r="CI174" s="6" t="s">
        <v>257</v>
      </c>
      <c r="CJ174" s="5" t="s">
        <v>238</v>
      </c>
      <c r="CK174" s="5" t="s">
        <v>258</v>
      </c>
      <c r="CL174" s="5" t="s">
        <v>238</v>
      </c>
      <c r="CM174" s="5" t="s">
        <v>238</v>
      </c>
      <c r="CN174" s="5">
        <v>0</v>
      </c>
      <c r="CO174" s="5" t="s">
        <v>259</v>
      </c>
      <c r="CP174" s="5" t="s">
        <v>260</v>
      </c>
      <c r="CQ174" s="5" t="s">
        <v>260</v>
      </c>
      <c r="CR174" s="5" t="s">
        <v>261</v>
      </c>
      <c r="CU174" s="8">
        <f>9355500</f>
        <v>9355500</v>
      </c>
      <c r="CV174" s="8">
        <f>0</f>
        <v>0</v>
      </c>
      <c r="CX174" s="8">
        <f>0</f>
        <v>0</v>
      </c>
      <c r="CY174" s="8">
        <f>9355500</f>
        <v>9355500</v>
      </c>
      <c r="DA174" s="5" t="s">
        <v>263</v>
      </c>
      <c r="DB174" s="5" t="s">
        <v>238</v>
      </c>
      <c r="DD174" s="5" t="s">
        <v>263</v>
      </c>
      <c r="DE174" s="8">
        <f>0</f>
        <v>0</v>
      </c>
      <c r="DF174" s="6" t="s">
        <v>6339</v>
      </c>
      <c r="DG174" s="5" t="s">
        <v>263</v>
      </c>
      <c r="DH174" s="5" t="s">
        <v>238</v>
      </c>
      <c r="DI174" s="5" t="s">
        <v>238</v>
      </c>
      <c r="DJ174" s="5" t="s">
        <v>238</v>
      </c>
      <c r="DN174" s="5" t="s">
        <v>238</v>
      </c>
      <c r="DO174" s="5" t="s">
        <v>238</v>
      </c>
      <c r="DP174" s="5" t="s">
        <v>238</v>
      </c>
      <c r="DQ174" s="5" t="s">
        <v>238</v>
      </c>
      <c r="DT174" s="5" t="s">
        <v>6170</v>
      </c>
      <c r="DU174" s="5" t="s">
        <v>806</v>
      </c>
      <c r="HM174" s="5" t="s">
        <v>264</v>
      </c>
    </row>
    <row r="175" spans="1:221" x14ac:dyDescent="0.4">
      <c r="A175" s="5">
        <v>886</v>
      </c>
      <c r="B175" s="5">
        <v>1</v>
      </c>
      <c r="C175" s="5">
        <v>1</v>
      </c>
      <c r="D175" s="5" t="s">
        <v>6165</v>
      </c>
      <c r="E175" s="5" t="s">
        <v>485</v>
      </c>
      <c r="F175" s="5" t="s">
        <v>248</v>
      </c>
      <c r="G175" s="5" t="s">
        <v>6164</v>
      </c>
      <c r="H175" s="6" t="s">
        <v>3888</v>
      </c>
      <c r="I175" s="7">
        <f>36685.75</f>
        <v>36685.75</v>
      </c>
      <c r="J175" s="5" t="s">
        <v>262</v>
      </c>
      <c r="K175" s="8">
        <f>1027201</f>
        <v>1027201</v>
      </c>
      <c r="L175" s="6" t="s">
        <v>242</v>
      </c>
      <c r="M175" s="5" t="s">
        <v>267</v>
      </c>
      <c r="N175" s="5" t="s">
        <v>237</v>
      </c>
      <c r="O175" s="5" t="s">
        <v>238</v>
      </c>
      <c r="P175" s="5" t="s">
        <v>238</v>
      </c>
      <c r="Q175" s="5" t="s">
        <v>239</v>
      </c>
      <c r="R175" s="5" t="s">
        <v>270</v>
      </c>
      <c r="S175" s="5" t="s">
        <v>238</v>
      </c>
      <c r="V175" s="5" t="s">
        <v>238</v>
      </c>
      <c r="X175" s="6" t="s">
        <v>238</v>
      </c>
      <c r="AA175" s="6" t="s">
        <v>243</v>
      </c>
      <c r="AB175" s="5" t="s">
        <v>238</v>
      </c>
      <c r="AC175" s="5" t="s">
        <v>244</v>
      </c>
      <c r="AD175" s="5" t="s">
        <v>245</v>
      </c>
      <c r="AT175" s="5" t="s">
        <v>246</v>
      </c>
      <c r="AU175" s="5" t="s">
        <v>238</v>
      </c>
      <c r="AV175" s="5" t="s">
        <v>247</v>
      </c>
      <c r="AW175" s="5" t="s">
        <v>238</v>
      </c>
      <c r="AX175" s="5" t="s">
        <v>249</v>
      </c>
      <c r="AY175" s="5" t="s">
        <v>238</v>
      </c>
      <c r="BA175" s="5" t="s">
        <v>4547</v>
      </c>
      <c r="BC175" s="5" t="s">
        <v>250</v>
      </c>
      <c r="BD175" s="6" t="s">
        <v>243</v>
      </c>
      <c r="BE175" s="5" t="s">
        <v>251</v>
      </c>
      <c r="BF175" s="5" t="s">
        <v>252</v>
      </c>
      <c r="BG175" s="5" t="s">
        <v>238</v>
      </c>
      <c r="BH175" s="7">
        <f>0</f>
        <v>0</v>
      </c>
      <c r="BI175" s="8">
        <f>0</f>
        <v>0</v>
      </c>
      <c r="BJ175" s="5" t="s">
        <v>253</v>
      </c>
      <c r="BK175" s="5" t="s">
        <v>254</v>
      </c>
      <c r="BY175" s="5" t="s">
        <v>238</v>
      </c>
      <c r="BZ175" s="5" t="s">
        <v>238</v>
      </c>
      <c r="CD175" s="5" t="s">
        <v>255</v>
      </c>
      <c r="CE175" s="5" t="s">
        <v>256</v>
      </c>
      <c r="CF175" s="5" t="s">
        <v>238</v>
      </c>
      <c r="CI175" s="6" t="s">
        <v>257</v>
      </c>
      <c r="CJ175" s="5" t="s">
        <v>238</v>
      </c>
      <c r="CK175" s="5" t="s">
        <v>258</v>
      </c>
      <c r="CL175" s="5" t="s">
        <v>238</v>
      </c>
      <c r="CM175" s="5" t="s">
        <v>238</v>
      </c>
      <c r="CN175" s="5">
        <v>0</v>
      </c>
      <c r="CO175" s="5" t="s">
        <v>259</v>
      </c>
      <c r="CP175" s="5" t="s">
        <v>260</v>
      </c>
      <c r="CQ175" s="5" t="s">
        <v>260</v>
      </c>
      <c r="CR175" s="5" t="s">
        <v>261</v>
      </c>
      <c r="CU175" s="8">
        <f>1027201</f>
        <v>1027201</v>
      </c>
      <c r="CV175" s="8">
        <f>0</f>
        <v>0</v>
      </c>
      <c r="CX175" s="8">
        <f>0</f>
        <v>0</v>
      </c>
      <c r="CY175" s="8">
        <f>1027201</f>
        <v>1027201</v>
      </c>
      <c r="DA175" s="5" t="s">
        <v>3887</v>
      </c>
      <c r="DB175" s="5" t="s">
        <v>238</v>
      </c>
      <c r="DD175" s="5" t="s">
        <v>356</v>
      </c>
      <c r="DE175" s="8">
        <f>0</f>
        <v>0</v>
      </c>
      <c r="DG175" s="5" t="s">
        <v>421</v>
      </c>
      <c r="DH175" s="5" t="s">
        <v>238</v>
      </c>
      <c r="DI175" s="5" t="s">
        <v>238</v>
      </c>
      <c r="DJ175" s="5" t="s">
        <v>238</v>
      </c>
      <c r="DN175" s="5" t="s">
        <v>238</v>
      </c>
      <c r="DO175" s="5" t="s">
        <v>238</v>
      </c>
      <c r="DP175" s="5" t="s">
        <v>238</v>
      </c>
      <c r="DQ175" s="5" t="s">
        <v>238</v>
      </c>
      <c r="DT175" s="5" t="s">
        <v>6166</v>
      </c>
      <c r="DU175" s="5" t="s">
        <v>264</v>
      </c>
      <c r="HM175" s="5" t="s">
        <v>264</v>
      </c>
    </row>
    <row r="176" spans="1:221" x14ac:dyDescent="0.4">
      <c r="A176" s="5">
        <v>887</v>
      </c>
      <c r="B176" s="5">
        <v>1</v>
      </c>
      <c r="C176" s="5">
        <v>1</v>
      </c>
      <c r="D176" s="5" t="s">
        <v>6160</v>
      </c>
      <c r="E176" s="5" t="s">
        <v>485</v>
      </c>
      <c r="F176" s="5" t="s">
        <v>248</v>
      </c>
      <c r="G176" s="5" t="s">
        <v>6159</v>
      </c>
      <c r="H176" s="6" t="s">
        <v>6161</v>
      </c>
      <c r="I176" s="7">
        <f>29773</f>
        <v>29773</v>
      </c>
      <c r="J176" s="5" t="s">
        <v>262</v>
      </c>
      <c r="K176" s="8">
        <f>65947195</f>
        <v>65947195</v>
      </c>
      <c r="L176" s="6" t="s">
        <v>242</v>
      </c>
      <c r="M176" s="5" t="s">
        <v>267</v>
      </c>
      <c r="N176" s="5" t="s">
        <v>237</v>
      </c>
      <c r="O176" s="5" t="s">
        <v>238</v>
      </c>
      <c r="P176" s="5" t="s">
        <v>238</v>
      </c>
      <c r="Q176" s="5" t="s">
        <v>239</v>
      </c>
      <c r="R176" s="5" t="s">
        <v>270</v>
      </c>
      <c r="S176" s="5" t="s">
        <v>238</v>
      </c>
      <c r="V176" s="5" t="s">
        <v>238</v>
      </c>
      <c r="X176" s="6" t="s">
        <v>238</v>
      </c>
      <c r="AA176" s="6" t="s">
        <v>243</v>
      </c>
      <c r="AB176" s="5" t="s">
        <v>238</v>
      </c>
      <c r="AC176" s="5" t="s">
        <v>244</v>
      </c>
      <c r="AD176" s="5" t="s">
        <v>245</v>
      </c>
      <c r="AT176" s="5" t="s">
        <v>246</v>
      </c>
      <c r="AU176" s="5" t="s">
        <v>238</v>
      </c>
      <c r="AV176" s="5" t="s">
        <v>247</v>
      </c>
      <c r="AW176" s="5" t="s">
        <v>238</v>
      </c>
      <c r="AX176" s="5" t="s">
        <v>249</v>
      </c>
      <c r="AY176" s="5" t="s">
        <v>238</v>
      </c>
      <c r="BA176" s="5" t="s">
        <v>4547</v>
      </c>
      <c r="BC176" s="5" t="s">
        <v>250</v>
      </c>
      <c r="BD176" s="6" t="s">
        <v>243</v>
      </c>
      <c r="BE176" s="5" t="s">
        <v>251</v>
      </c>
      <c r="BF176" s="5" t="s">
        <v>252</v>
      </c>
      <c r="BG176" s="5" t="s">
        <v>238</v>
      </c>
      <c r="BH176" s="7">
        <f>0</f>
        <v>0</v>
      </c>
      <c r="BI176" s="8">
        <f>0</f>
        <v>0</v>
      </c>
      <c r="BJ176" s="5" t="s">
        <v>253</v>
      </c>
      <c r="BK176" s="5" t="s">
        <v>254</v>
      </c>
      <c r="BY176" s="5" t="s">
        <v>238</v>
      </c>
      <c r="BZ176" s="5" t="s">
        <v>238</v>
      </c>
      <c r="CD176" s="5" t="s">
        <v>255</v>
      </c>
      <c r="CE176" s="5" t="s">
        <v>256</v>
      </c>
      <c r="CF176" s="5" t="s">
        <v>238</v>
      </c>
      <c r="CI176" s="6" t="s">
        <v>257</v>
      </c>
      <c r="CJ176" s="5" t="s">
        <v>238</v>
      </c>
      <c r="CK176" s="5" t="s">
        <v>258</v>
      </c>
      <c r="CL176" s="5" t="s">
        <v>238</v>
      </c>
      <c r="CM176" s="5" t="s">
        <v>238</v>
      </c>
      <c r="CN176" s="5">
        <v>0</v>
      </c>
      <c r="CO176" s="5" t="s">
        <v>259</v>
      </c>
      <c r="CP176" s="5" t="s">
        <v>260</v>
      </c>
      <c r="CQ176" s="5" t="s">
        <v>260</v>
      </c>
      <c r="CR176" s="5" t="s">
        <v>261</v>
      </c>
      <c r="CU176" s="8">
        <f>65947195</f>
        <v>65947195</v>
      </c>
      <c r="CV176" s="8">
        <f>0</f>
        <v>0</v>
      </c>
      <c r="CX176" s="8">
        <f>0</f>
        <v>0</v>
      </c>
      <c r="CY176" s="8">
        <f>65947195</f>
        <v>65947195</v>
      </c>
      <c r="DA176" s="5" t="s">
        <v>2032</v>
      </c>
      <c r="DB176" s="5" t="s">
        <v>238</v>
      </c>
      <c r="DD176" s="5" t="s">
        <v>356</v>
      </c>
      <c r="DE176" s="8">
        <f>0</f>
        <v>0</v>
      </c>
      <c r="DG176" s="5" t="s">
        <v>389</v>
      </c>
      <c r="DH176" s="5" t="s">
        <v>238</v>
      </c>
      <c r="DI176" s="5" t="s">
        <v>238</v>
      </c>
      <c r="DJ176" s="5" t="s">
        <v>238</v>
      </c>
      <c r="DN176" s="5" t="s">
        <v>238</v>
      </c>
      <c r="DO176" s="5" t="s">
        <v>238</v>
      </c>
      <c r="DP176" s="5" t="s">
        <v>238</v>
      </c>
      <c r="DQ176" s="5" t="s">
        <v>238</v>
      </c>
      <c r="DT176" s="5" t="s">
        <v>6162</v>
      </c>
      <c r="DU176" s="5" t="s">
        <v>264</v>
      </c>
      <c r="HM176" s="5" t="s">
        <v>264</v>
      </c>
    </row>
    <row r="177" spans="1:221" x14ac:dyDescent="0.4">
      <c r="A177" s="5">
        <v>888</v>
      </c>
      <c r="B177" s="5">
        <v>1</v>
      </c>
      <c r="C177" s="5">
        <v>1</v>
      </c>
      <c r="D177" s="5" t="s">
        <v>6160</v>
      </c>
      <c r="E177" s="5" t="s">
        <v>485</v>
      </c>
      <c r="F177" s="5" t="s">
        <v>248</v>
      </c>
      <c r="G177" s="5" t="s">
        <v>6159</v>
      </c>
      <c r="H177" s="6" t="s">
        <v>6342</v>
      </c>
      <c r="I177" s="7">
        <f>23436</f>
        <v>23436</v>
      </c>
      <c r="J177" s="5" t="s">
        <v>262</v>
      </c>
      <c r="K177" s="8">
        <f>51910740</f>
        <v>51910740</v>
      </c>
      <c r="L177" s="6" t="s">
        <v>242</v>
      </c>
      <c r="M177" s="5" t="s">
        <v>267</v>
      </c>
      <c r="N177" s="5" t="s">
        <v>237</v>
      </c>
      <c r="O177" s="5" t="s">
        <v>238</v>
      </c>
      <c r="P177" s="5" t="s">
        <v>238</v>
      </c>
      <c r="Q177" s="5" t="s">
        <v>239</v>
      </c>
      <c r="R177" s="5" t="s">
        <v>270</v>
      </c>
      <c r="S177" s="5" t="s">
        <v>238</v>
      </c>
      <c r="V177" s="5" t="s">
        <v>238</v>
      </c>
      <c r="X177" s="6" t="s">
        <v>238</v>
      </c>
      <c r="AA177" s="6" t="s">
        <v>243</v>
      </c>
      <c r="AB177" s="5" t="s">
        <v>238</v>
      </c>
      <c r="AC177" s="5" t="s">
        <v>244</v>
      </c>
      <c r="AD177" s="5" t="s">
        <v>245</v>
      </c>
      <c r="AT177" s="5" t="s">
        <v>246</v>
      </c>
      <c r="AU177" s="5" t="s">
        <v>238</v>
      </c>
      <c r="AV177" s="5" t="s">
        <v>247</v>
      </c>
      <c r="AW177" s="5" t="s">
        <v>238</v>
      </c>
      <c r="AX177" s="5" t="s">
        <v>249</v>
      </c>
      <c r="AY177" s="5" t="s">
        <v>238</v>
      </c>
      <c r="BA177" s="5" t="s">
        <v>238</v>
      </c>
      <c r="BC177" s="5" t="s">
        <v>250</v>
      </c>
      <c r="BD177" s="6" t="s">
        <v>243</v>
      </c>
      <c r="BE177" s="5" t="s">
        <v>251</v>
      </c>
      <c r="BF177" s="5" t="s">
        <v>252</v>
      </c>
      <c r="BG177" s="5" t="s">
        <v>238</v>
      </c>
      <c r="BH177" s="7">
        <f>0</f>
        <v>0</v>
      </c>
      <c r="BI177" s="8">
        <f>0</f>
        <v>0</v>
      </c>
      <c r="BJ177" s="5" t="s">
        <v>253</v>
      </c>
      <c r="BK177" s="5" t="s">
        <v>254</v>
      </c>
      <c r="BY177" s="5" t="s">
        <v>238</v>
      </c>
      <c r="BZ177" s="5" t="s">
        <v>238</v>
      </c>
      <c r="CD177" s="5" t="s">
        <v>255</v>
      </c>
      <c r="CE177" s="5" t="s">
        <v>256</v>
      </c>
      <c r="CF177" s="5" t="s">
        <v>238</v>
      </c>
      <c r="CI177" s="6" t="s">
        <v>257</v>
      </c>
      <c r="CJ177" s="5" t="s">
        <v>238</v>
      </c>
      <c r="CK177" s="5" t="s">
        <v>258</v>
      </c>
      <c r="CL177" s="5" t="s">
        <v>238</v>
      </c>
      <c r="CM177" s="5" t="s">
        <v>238</v>
      </c>
      <c r="CN177" s="5">
        <v>0</v>
      </c>
      <c r="CO177" s="5" t="s">
        <v>259</v>
      </c>
      <c r="CP177" s="5" t="s">
        <v>260</v>
      </c>
      <c r="CQ177" s="5" t="s">
        <v>260</v>
      </c>
      <c r="CR177" s="5" t="s">
        <v>261</v>
      </c>
      <c r="CU177" s="8">
        <f>51910740</f>
        <v>51910740</v>
      </c>
      <c r="CV177" s="8">
        <f>0</f>
        <v>0</v>
      </c>
      <c r="CX177" s="8">
        <f>0</f>
        <v>0</v>
      </c>
      <c r="CY177" s="8">
        <f>51910740</f>
        <v>51910740</v>
      </c>
      <c r="DA177" s="5" t="s">
        <v>2032</v>
      </c>
      <c r="DB177" s="5" t="s">
        <v>238</v>
      </c>
      <c r="DD177" s="5" t="s">
        <v>356</v>
      </c>
      <c r="DE177" s="8">
        <f>0</f>
        <v>0</v>
      </c>
      <c r="DG177" s="5" t="s">
        <v>389</v>
      </c>
      <c r="DH177" s="5" t="s">
        <v>238</v>
      </c>
      <c r="DI177" s="5" t="s">
        <v>238</v>
      </c>
      <c r="DJ177" s="5" t="s">
        <v>238</v>
      </c>
      <c r="DN177" s="5" t="s">
        <v>238</v>
      </c>
      <c r="DO177" s="5" t="s">
        <v>238</v>
      </c>
      <c r="DP177" s="5" t="s">
        <v>238</v>
      </c>
      <c r="DQ177" s="5" t="s">
        <v>238</v>
      </c>
      <c r="DT177" s="5" t="s">
        <v>6162</v>
      </c>
      <c r="DU177" s="5" t="s">
        <v>294</v>
      </c>
      <c r="HM177" s="5" t="s">
        <v>264</v>
      </c>
    </row>
    <row r="178" spans="1:221" x14ac:dyDescent="0.4">
      <c r="A178" s="5">
        <v>889</v>
      </c>
      <c r="B178" s="5">
        <v>1</v>
      </c>
      <c r="C178" s="5">
        <v>1</v>
      </c>
      <c r="D178" s="5" t="s">
        <v>6160</v>
      </c>
      <c r="E178" s="5" t="s">
        <v>485</v>
      </c>
      <c r="F178" s="5" t="s">
        <v>248</v>
      </c>
      <c r="G178" s="5" t="s">
        <v>6159</v>
      </c>
      <c r="H178" s="6" t="s">
        <v>6341</v>
      </c>
      <c r="I178" s="7">
        <f>82822</f>
        <v>82822</v>
      </c>
      <c r="J178" s="5" t="s">
        <v>262</v>
      </c>
      <c r="K178" s="8">
        <f>183450730</f>
        <v>183450730</v>
      </c>
      <c r="L178" s="6" t="s">
        <v>242</v>
      </c>
      <c r="M178" s="5" t="s">
        <v>267</v>
      </c>
      <c r="N178" s="5" t="s">
        <v>237</v>
      </c>
      <c r="O178" s="5" t="s">
        <v>238</v>
      </c>
      <c r="P178" s="5" t="s">
        <v>238</v>
      </c>
      <c r="Q178" s="5" t="s">
        <v>239</v>
      </c>
      <c r="R178" s="5" t="s">
        <v>270</v>
      </c>
      <c r="S178" s="5" t="s">
        <v>238</v>
      </c>
      <c r="V178" s="5" t="s">
        <v>238</v>
      </c>
      <c r="X178" s="6" t="s">
        <v>238</v>
      </c>
      <c r="AA178" s="6" t="s">
        <v>243</v>
      </c>
      <c r="AB178" s="5" t="s">
        <v>238</v>
      </c>
      <c r="AC178" s="5" t="s">
        <v>244</v>
      </c>
      <c r="AD178" s="5" t="s">
        <v>245</v>
      </c>
      <c r="AT178" s="5" t="s">
        <v>246</v>
      </c>
      <c r="AU178" s="5" t="s">
        <v>238</v>
      </c>
      <c r="AV178" s="5" t="s">
        <v>247</v>
      </c>
      <c r="AW178" s="5" t="s">
        <v>238</v>
      </c>
      <c r="AX178" s="5" t="s">
        <v>249</v>
      </c>
      <c r="AY178" s="5" t="s">
        <v>238</v>
      </c>
      <c r="BA178" s="5" t="s">
        <v>238</v>
      </c>
      <c r="BC178" s="5" t="s">
        <v>250</v>
      </c>
      <c r="BD178" s="6" t="s">
        <v>243</v>
      </c>
      <c r="BE178" s="5" t="s">
        <v>251</v>
      </c>
      <c r="BF178" s="5" t="s">
        <v>252</v>
      </c>
      <c r="BG178" s="5" t="s">
        <v>238</v>
      </c>
      <c r="BH178" s="7">
        <f>0</f>
        <v>0</v>
      </c>
      <c r="BI178" s="8">
        <f>0</f>
        <v>0</v>
      </c>
      <c r="BJ178" s="5" t="s">
        <v>253</v>
      </c>
      <c r="BK178" s="5" t="s">
        <v>254</v>
      </c>
      <c r="BY178" s="5" t="s">
        <v>238</v>
      </c>
      <c r="BZ178" s="5" t="s">
        <v>238</v>
      </c>
      <c r="CD178" s="5" t="s">
        <v>255</v>
      </c>
      <c r="CE178" s="5" t="s">
        <v>256</v>
      </c>
      <c r="CF178" s="5" t="s">
        <v>238</v>
      </c>
      <c r="CI178" s="6" t="s">
        <v>257</v>
      </c>
      <c r="CJ178" s="5" t="s">
        <v>238</v>
      </c>
      <c r="CK178" s="5" t="s">
        <v>258</v>
      </c>
      <c r="CL178" s="5" t="s">
        <v>238</v>
      </c>
      <c r="CM178" s="5" t="s">
        <v>238</v>
      </c>
      <c r="CN178" s="5">
        <v>0</v>
      </c>
      <c r="CO178" s="5" t="s">
        <v>259</v>
      </c>
      <c r="CP178" s="5" t="s">
        <v>260</v>
      </c>
      <c r="CQ178" s="5" t="s">
        <v>260</v>
      </c>
      <c r="CR178" s="5" t="s">
        <v>261</v>
      </c>
      <c r="CU178" s="8">
        <f>183450730</f>
        <v>183450730</v>
      </c>
      <c r="CV178" s="8">
        <f>0</f>
        <v>0</v>
      </c>
      <c r="CX178" s="8">
        <f>0</f>
        <v>0</v>
      </c>
      <c r="CY178" s="8">
        <f>183450730</f>
        <v>183450730</v>
      </c>
      <c r="DA178" s="5" t="s">
        <v>2032</v>
      </c>
      <c r="DB178" s="5" t="s">
        <v>238</v>
      </c>
      <c r="DD178" s="5" t="s">
        <v>356</v>
      </c>
      <c r="DE178" s="8">
        <f>0</f>
        <v>0</v>
      </c>
      <c r="DG178" s="5" t="s">
        <v>389</v>
      </c>
      <c r="DH178" s="5" t="s">
        <v>238</v>
      </c>
      <c r="DI178" s="5" t="s">
        <v>238</v>
      </c>
      <c r="DJ178" s="5" t="s">
        <v>238</v>
      </c>
      <c r="DN178" s="5" t="s">
        <v>238</v>
      </c>
      <c r="DO178" s="5" t="s">
        <v>238</v>
      </c>
      <c r="DP178" s="5" t="s">
        <v>238</v>
      </c>
      <c r="DQ178" s="5" t="s">
        <v>238</v>
      </c>
      <c r="DT178" s="5" t="s">
        <v>6162</v>
      </c>
      <c r="DU178" s="5" t="s">
        <v>806</v>
      </c>
      <c r="HM178" s="5" t="s">
        <v>264</v>
      </c>
    </row>
    <row r="179" spans="1:221" x14ac:dyDescent="0.4">
      <c r="A179" s="5">
        <v>890</v>
      </c>
      <c r="B179" s="5">
        <v>1</v>
      </c>
      <c r="C179" s="5">
        <v>1</v>
      </c>
      <c r="D179" s="5" t="s">
        <v>6160</v>
      </c>
      <c r="E179" s="5" t="s">
        <v>485</v>
      </c>
      <c r="F179" s="5" t="s">
        <v>248</v>
      </c>
      <c r="G179" s="5" t="s">
        <v>6159</v>
      </c>
      <c r="H179" s="6" t="s">
        <v>6163</v>
      </c>
      <c r="I179" s="7">
        <f>2643</f>
        <v>2643</v>
      </c>
      <c r="J179" s="5" t="s">
        <v>262</v>
      </c>
      <c r="K179" s="8">
        <f>5854245</f>
        <v>5854245</v>
      </c>
      <c r="L179" s="6" t="s">
        <v>242</v>
      </c>
      <c r="M179" s="5" t="s">
        <v>267</v>
      </c>
      <c r="N179" s="5" t="s">
        <v>237</v>
      </c>
      <c r="O179" s="5" t="s">
        <v>238</v>
      </c>
      <c r="P179" s="5" t="s">
        <v>238</v>
      </c>
      <c r="Q179" s="5" t="s">
        <v>239</v>
      </c>
      <c r="R179" s="5" t="s">
        <v>270</v>
      </c>
      <c r="S179" s="5" t="s">
        <v>238</v>
      </c>
      <c r="V179" s="5" t="s">
        <v>238</v>
      </c>
      <c r="X179" s="6" t="s">
        <v>238</v>
      </c>
      <c r="AA179" s="6" t="s">
        <v>243</v>
      </c>
      <c r="AB179" s="5" t="s">
        <v>238</v>
      </c>
      <c r="AC179" s="5" t="s">
        <v>244</v>
      </c>
      <c r="AD179" s="5" t="s">
        <v>245</v>
      </c>
      <c r="AT179" s="5" t="s">
        <v>246</v>
      </c>
      <c r="AU179" s="5" t="s">
        <v>238</v>
      </c>
      <c r="AV179" s="5" t="s">
        <v>247</v>
      </c>
      <c r="AW179" s="5" t="s">
        <v>238</v>
      </c>
      <c r="AX179" s="5" t="s">
        <v>249</v>
      </c>
      <c r="AY179" s="5" t="s">
        <v>238</v>
      </c>
      <c r="BA179" s="5" t="s">
        <v>238</v>
      </c>
      <c r="BC179" s="5" t="s">
        <v>250</v>
      </c>
      <c r="BD179" s="6" t="s">
        <v>243</v>
      </c>
      <c r="BE179" s="5" t="s">
        <v>251</v>
      </c>
      <c r="BF179" s="5" t="s">
        <v>252</v>
      </c>
      <c r="BG179" s="5" t="s">
        <v>238</v>
      </c>
      <c r="BH179" s="7">
        <f>0</f>
        <v>0</v>
      </c>
      <c r="BI179" s="8">
        <f>0</f>
        <v>0</v>
      </c>
      <c r="BJ179" s="5" t="s">
        <v>253</v>
      </c>
      <c r="BK179" s="5" t="s">
        <v>254</v>
      </c>
      <c r="BY179" s="5" t="s">
        <v>238</v>
      </c>
      <c r="BZ179" s="5" t="s">
        <v>238</v>
      </c>
      <c r="CD179" s="5" t="s">
        <v>255</v>
      </c>
      <c r="CE179" s="5" t="s">
        <v>256</v>
      </c>
      <c r="CF179" s="5" t="s">
        <v>238</v>
      </c>
      <c r="CI179" s="6" t="s">
        <v>257</v>
      </c>
      <c r="CJ179" s="5" t="s">
        <v>238</v>
      </c>
      <c r="CK179" s="5" t="s">
        <v>258</v>
      </c>
      <c r="CL179" s="5" t="s">
        <v>238</v>
      </c>
      <c r="CM179" s="5" t="s">
        <v>238</v>
      </c>
      <c r="CN179" s="5">
        <v>0</v>
      </c>
      <c r="CO179" s="5" t="s">
        <v>259</v>
      </c>
      <c r="CP179" s="5" t="s">
        <v>260</v>
      </c>
      <c r="CQ179" s="5" t="s">
        <v>260</v>
      </c>
      <c r="CR179" s="5" t="s">
        <v>261</v>
      </c>
      <c r="CU179" s="8">
        <f>5854245</f>
        <v>5854245</v>
      </c>
      <c r="CV179" s="8">
        <f>0</f>
        <v>0</v>
      </c>
      <c r="CX179" s="8">
        <f>0</f>
        <v>0</v>
      </c>
      <c r="CY179" s="8">
        <f>5854245</f>
        <v>5854245</v>
      </c>
      <c r="DA179" s="5" t="s">
        <v>2032</v>
      </c>
      <c r="DB179" s="5" t="s">
        <v>238</v>
      </c>
      <c r="DD179" s="5" t="s">
        <v>356</v>
      </c>
      <c r="DE179" s="8">
        <f>0</f>
        <v>0</v>
      </c>
      <c r="DG179" s="5" t="s">
        <v>389</v>
      </c>
      <c r="DH179" s="5" t="s">
        <v>238</v>
      </c>
      <c r="DI179" s="5" t="s">
        <v>238</v>
      </c>
      <c r="DJ179" s="5" t="s">
        <v>238</v>
      </c>
      <c r="DN179" s="5" t="s">
        <v>238</v>
      </c>
      <c r="DO179" s="5" t="s">
        <v>238</v>
      </c>
      <c r="DP179" s="5" t="s">
        <v>238</v>
      </c>
      <c r="DQ179" s="5" t="s">
        <v>238</v>
      </c>
      <c r="DT179" s="5" t="s">
        <v>6162</v>
      </c>
      <c r="DU179" s="5" t="s">
        <v>854</v>
      </c>
      <c r="HM179" s="5" t="s">
        <v>264</v>
      </c>
    </row>
    <row r="180" spans="1:221" x14ac:dyDescent="0.4">
      <c r="A180" s="5">
        <v>891</v>
      </c>
      <c r="B180" s="5">
        <v>1</v>
      </c>
      <c r="C180" s="5">
        <v>1</v>
      </c>
      <c r="D180" s="5" t="s">
        <v>6829</v>
      </c>
      <c r="E180" s="5" t="s">
        <v>4391</v>
      </c>
      <c r="F180" s="5" t="s">
        <v>248</v>
      </c>
      <c r="G180" s="5" t="s">
        <v>6828</v>
      </c>
      <c r="H180" s="6" t="s">
        <v>6830</v>
      </c>
      <c r="I180" s="7">
        <f>26203</f>
        <v>26203</v>
      </c>
      <c r="J180" s="5" t="s">
        <v>262</v>
      </c>
      <c r="K180" s="8">
        <f>58039645</f>
        <v>58039645</v>
      </c>
      <c r="L180" s="6" t="s">
        <v>242</v>
      </c>
      <c r="M180" s="5" t="s">
        <v>267</v>
      </c>
      <c r="N180" s="5" t="s">
        <v>237</v>
      </c>
      <c r="Q180" s="5" t="s">
        <v>239</v>
      </c>
      <c r="R180" s="5" t="s">
        <v>270</v>
      </c>
      <c r="S180" s="5" t="s">
        <v>238</v>
      </c>
      <c r="V180" s="5" t="s">
        <v>238</v>
      </c>
      <c r="W180" s="6" t="s">
        <v>238</v>
      </c>
      <c r="X180" s="6" t="s">
        <v>238</v>
      </c>
      <c r="Y180" s="5" t="s">
        <v>238</v>
      </c>
      <c r="Z180" s="6" t="s">
        <v>238</v>
      </c>
      <c r="AA180" s="6" t="s">
        <v>243</v>
      </c>
      <c r="AB180" s="5" t="s">
        <v>238</v>
      </c>
      <c r="AC180" s="5" t="s">
        <v>244</v>
      </c>
      <c r="AD180" s="5" t="s">
        <v>245</v>
      </c>
      <c r="AJ180" s="5" t="s">
        <v>238</v>
      </c>
      <c r="AK180" s="5" t="s">
        <v>238</v>
      </c>
      <c r="AL180" s="5" t="s">
        <v>238</v>
      </c>
      <c r="AM180" s="6" t="s">
        <v>238</v>
      </c>
      <c r="AN180" s="6" t="s">
        <v>238</v>
      </c>
      <c r="AT180" s="5" t="s">
        <v>246</v>
      </c>
      <c r="AU180" s="5" t="s">
        <v>489</v>
      </c>
      <c r="AV180" s="5" t="s">
        <v>247</v>
      </c>
      <c r="AW180" s="5" t="s">
        <v>600</v>
      </c>
      <c r="AX180" s="5" t="s">
        <v>249</v>
      </c>
      <c r="AY180" s="5" t="s">
        <v>490</v>
      </c>
      <c r="BA180" s="5" t="s">
        <v>4547</v>
      </c>
      <c r="BC180" s="5" t="s">
        <v>250</v>
      </c>
      <c r="BD180" s="6" t="s">
        <v>492</v>
      </c>
      <c r="BE180" s="5" t="s">
        <v>251</v>
      </c>
      <c r="BF180" s="5" t="s">
        <v>252</v>
      </c>
      <c r="BG180" s="5" t="s">
        <v>238</v>
      </c>
      <c r="BH180" s="7">
        <f>0</f>
        <v>0</v>
      </c>
      <c r="BI180" s="8">
        <f>0</f>
        <v>0</v>
      </c>
      <c r="BJ180" s="5" t="s">
        <v>253</v>
      </c>
      <c r="BK180" s="5" t="s">
        <v>254</v>
      </c>
      <c r="BT180" s="6" t="s">
        <v>238</v>
      </c>
      <c r="BU180" s="5" t="s">
        <v>238</v>
      </c>
      <c r="BV180" s="5" t="s">
        <v>238</v>
      </c>
      <c r="BW180" s="5" t="s">
        <v>238</v>
      </c>
      <c r="BY180" s="5" t="s">
        <v>238</v>
      </c>
      <c r="BZ180" s="5" t="s">
        <v>238</v>
      </c>
      <c r="CD180" s="5" t="s">
        <v>255</v>
      </c>
      <c r="CE180" s="5" t="s">
        <v>256</v>
      </c>
      <c r="CF180" s="5" t="s">
        <v>261</v>
      </c>
      <c r="CH180" s="5" t="s">
        <v>238</v>
      </c>
      <c r="CI180" s="6" t="s">
        <v>257</v>
      </c>
      <c r="CJ180" s="5" t="s">
        <v>238</v>
      </c>
      <c r="CK180" s="5" t="s">
        <v>258</v>
      </c>
      <c r="CL180" s="5" t="s">
        <v>238</v>
      </c>
      <c r="CM180" s="5" t="s">
        <v>238</v>
      </c>
      <c r="CN180" s="5">
        <v>0</v>
      </c>
      <c r="CO180" s="5" t="s">
        <v>497</v>
      </c>
      <c r="CP180" s="5" t="s">
        <v>260</v>
      </c>
      <c r="CQ180" s="5" t="s">
        <v>260</v>
      </c>
      <c r="CR180" s="5" t="s">
        <v>261</v>
      </c>
      <c r="CS180" s="5" t="s">
        <v>238</v>
      </c>
      <c r="CT180" s="7" t="s">
        <v>238</v>
      </c>
      <c r="CU180" s="8">
        <f>58039645</f>
        <v>58039645</v>
      </c>
      <c r="CV180" s="8">
        <f>0</f>
        <v>0</v>
      </c>
      <c r="CW180" s="8" t="s">
        <v>238</v>
      </c>
      <c r="CX180" s="8">
        <f>0</f>
        <v>0</v>
      </c>
      <c r="CY180" s="8">
        <f>58039645</f>
        <v>58039645</v>
      </c>
      <c r="CZ180" s="8" t="s">
        <v>238</v>
      </c>
      <c r="DA180" s="5" t="s">
        <v>2032</v>
      </c>
      <c r="DB180" s="5" t="s">
        <v>238</v>
      </c>
      <c r="DD180" s="5" t="s">
        <v>2032</v>
      </c>
      <c r="DE180" s="8">
        <f>26203</f>
        <v>26203</v>
      </c>
      <c r="DF180" s="6" t="s">
        <v>238</v>
      </c>
      <c r="DG180" s="5" t="s">
        <v>389</v>
      </c>
      <c r="DH180" s="5" t="s">
        <v>238</v>
      </c>
      <c r="DI180" s="5" t="s">
        <v>238</v>
      </c>
      <c r="DJ180" s="5" t="s">
        <v>238</v>
      </c>
      <c r="DK180" s="5" t="s">
        <v>238</v>
      </c>
      <c r="DL180" s="5" t="s">
        <v>238</v>
      </c>
      <c r="DM180" s="8" t="s">
        <v>238</v>
      </c>
      <c r="DN180" s="5" t="s">
        <v>238</v>
      </c>
      <c r="DO180" s="5" t="s">
        <v>244</v>
      </c>
      <c r="DP180" s="5" t="s">
        <v>490</v>
      </c>
      <c r="DQ180" s="5" t="s">
        <v>490</v>
      </c>
      <c r="DR180" s="5" t="s">
        <v>238</v>
      </c>
      <c r="DS180" s="5" t="s">
        <v>238</v>
      </c>
      <c r="DT180" s="5" t="s">
        <v>6831</v>
      </c>
      <c r="DU180" s="5" t="s">
        <v>264</v>
      </c>
    </row>
    <row r="181" spans="1:221" x14ac:dyDescent="0.4">
      <c r="A181" s="5">
        <v>892</v>
      </c>
      <c r="B181" s="5">
        <v>1</v>
      </c>
      <c r="C181" s="5">
        <v>1</v>
      </c>
      <c r="D181" s="5" t="s">
        <v>6583</v>
      </c>
      <c r="E181" s="5" t="s">
        <v>4391</v>
      </c>
      <c r="F181" s="5" t="s">
        <v>248</v>
      </c>
      <c r="G181" s="5" t="s">
        <v>6582</v>
      </c>
      <c r="H181" s="6" t="s">
        <v>3910</v>
      </c>
      <c r="I181" s="7">
        <f>21155.1</f>
        <v>21155.1</v>
      </c>
      <c r="J181" s="5" t="s">
        <v>262</v>
      </c>
      <c r="K181" s="8">
        <f>46858545</f>
        <v>46858545</v>
      </c>
      <c r="L181" s="6" t="s">
        <v>242</v>
      </c>
      <c r="M181" s="5" t="s">
        <v>267</v>
      </c>
      <c r="N181" s="5" t="s">
        <v>237</v>
      </c>
      <c r="Q181" s="5" t="s">
        <v>239</v>
      </c>
      <c r="R181" s="5" t="s">
        <v>270</v>
      </c>
      <c r="S181" s="5" t="s">
        <v>238</v>
      </c>
      <c r="V181" s="5" t="s">
        <v>238</v>
      </c>
      <c r="W181" s="6" t="s">
        <v>238</v>
      </c>
      <c r="X181" s="6" t="s">
        <v>238</v>
      </c>
      <c r="Y181" s="5" t="s">
        <v>238</v>
      </c>
      <c r="Z181" s="6" t="s">
        <v>238</v>
      </c>
      <c r="AA181" s="6" t="s">
        <v>243</v>
      </c>
      <c r="AB181" s="5" t="s">
        <v>238</v>
      </c>
      <c r="AC181" s="5" t="s">
        <v>244</v>
      </c>
      <c r="AD181" s="5" t="s">
        <v>245</v>
      </c>
      <c r="AJ181" s="5" t="s">
        <v>238</v>
      </c>
      <c r="AK181" s="5" t="s">
        <v>238</v>
      </c>
      <c r="AL181" s="5" t="s">
        <v>238</v>
      </c>
      <c r="AM181" s="6" t="s">
        <v>238</v>
      </c>
      <c r="AN181" s="6" t="s">
        <v>238</v>
      </c>
      <c r="AT181" s="5" t="s">
        <v>246</v>
      </c>
      <c r="AU181" s="5" t="s">
        <v>489</v>
      </c>
      <c r="AV181" s="5" t="s">
        <v>247</v>
      </c>
      <c r="AW181" s="5" t="s">
        <v>600</v>
      </c>
      <c r="AX181" s="5" t="s">
        <v>249</v>
      </c>
      <c r="AY181" s="5" t="s">
        <v>490</v>
      </c>
      <c r="BA181" s="5" t="s">
        <v>4547</v>
      </c>
      <c r="BC181" s="5" t="s">
        <v>250</v>
      </c>
      <c r="BD181" s="6" t="s">
        <v>492</v>
      </c>
      <c r="BE181" s="5" t="s">
        <v>251</v>
      </c>
      <c r="BF181" s="5" t="s">
        <v>3890</v>
      </c>
      <c r="BG181" s="5" t="s">
        <v>238</v>
      </c>
      <c r="BH181" s="7">
        <f>0</f>
        <v>0</v>
      </c>
      <c r="BI181" s="8">
        <f>0</f>
        <v>0</v>
      </c>
      <c r="BJ181" s="5" t="s">
        <v>253</v>
      </c>
      <c r="BK181" s="5" t="s">
        <v>254</v>
      </c>
      <c r="BT181" s="6" t="s">
        <v>238</v>
      </c>
      <c r="BU181" s="5" t="s">
        <v>238</v>
      </c>
      <c r="BV181" s="5" t="s">
        <v>238</v>
      </c>
      <c r="BW181" s="5" t="s">
        <v>238</v>
      </c>
      <c r="BY181" s="5" t="s">
        <v>238</v>
      </c>
      <c r="BZ181" s="5" t="s">
        <v>238</v>
      </c>
      <c r="CD181" s="5" t="s">
        <v>255</v>
      </c>
      <c r="CE181" s="5" t="s">
        <v>256</v>
      </c>
      <c r="CF181" s="5" t="s">
        <v>261</v>
      </c>
      <c r="CH181" s="5" t="s">
        <v>238</v>
      </c>
      <c r="CI181" s="6" t="s">
        <v>257</v>
      </c>
      <c r="CJ181" s="5" t="s">
        <v>238</v>
      </c>
      <c r="CK181" s="5" t="s">
        <v>258</v>
      </c>
      <c r="CL181" s="5" t="s">
        <v>238</v>
      </c>
      <c r="CM181" s="5" t="s">
        <v>238</v>
      </c>
      <c r="CN181" s="5">
        <v>0</v>
      </c>
      <c r="CO181" s="5" t="s">
        <v>497</v>
      </c>
      <c r="CP181" s="5" t="s">
        <v>260</v>
      </c>
      <c r="CQ181" s="5" t="s">
        <v>260</v>
      </c>
      <c r="CR181" s="5" t="s">
        <v>261</v>
      </c>
      <c r="CS181" s="5" t="s">
        <v>238</v>
      </c>
      <c r="CT181" s="7" t="s">
        <v>238</v>
      </c>
      <c r="CU181" s="8">
        <f>46858545</f>
        <v>46858545</v>
      </c>
      <c r="CV181" s="8">
        <f>0</f>
        <v>0</v>
      </c>
      <c r="CW181" s="8" t="s">
        <v>238</v>
      </c>
      <c r="CX181" s="8">
        <f>0</f>
        <v>0</v>
      </c>
      <c r="CY181" s="8">
        <f>46858545</f>
        <v>46858545</v>
      </c>
      <c r="CZ181" s="8" t="s">
        <v>238</v>
      </c>
      <c r="DA181" s="5" t="s">
        <v>356</v>
      </c>
      <c r="DB181" s="5" t="s">
        <v>238</v>
      </c>
      <c r="DD181" s="5" t="s">
        <v>356</v>
      </c>
      <c r="DE181" s="8">
        <f>0</f>
        <v>0</v>
      </c>
      <c r="DF181" s="6" t="s">
        <v>238</v>
      </c>
      <c r="DG181" s="5" t="s">
        <v>389</v>
      </c>
      <c r="DH181" s="5" t="s">
        <v>238</v>
      </c>
      <c r="DI181" s="5" t="s">
        <v>238</v>
      </c>
      <c r="DJ181" s="5" t="s">
        <v>238</v>
      </c>
      <c r="DK181" s="5" t="s">
        <v>238</v>
      </c>
      <c r="DL181" s="5" t="s">
        <v>238</v>
      </c>
      <c r="DM181" s="8" t="s">
        <v>238</v>
      </c>
      <c r="DN181" s="5" t="s">
        <v>238</v>
      </c>
      <c r="DO181" s="5" t="s">
        <v>244</v>
      </c>
      <c r="DP181" s="5" t="s">
        <v>490</v>
      </c>
      <c r="DQ181" s="5" t="s">
        <v>490</v>
      </c>
      <c r="DR181" s="5" t="s">
        <v>238</v>
      </c>
      <c r="DS181" s="5" t="s">
        <v>238</v>
      </c>
      <c r="DT181" s="5" t="s">
        <v>6585</v>
      </c>
      <c r="DU181" s="5" t="s">
        <v>264</v>
      </c>
    </row>
    <row r="182" spans="1:221" x14ac:dyDescent="0.4">
      <c r="A182" s="5">
        <v>893</v>
      </c>
      <c r="B182" s="5">
        <v>1</v>
      </c>
      <c r="C182" s="5">
        <v>1</v>
      </c>
      <c r="D182" s="5" t="s">
        <v>6583</v>
      </c>
      <c r="E182" s="5" t="s">
        <v>4391</v>
      </c>
      <c r="F182" s="5" t="s">
        <v>248</v>
      </c>
      <c r="G182" s="5" t="s">
        <v>6582</v>
      </c>
      <c r="H182" s="6" t="s">
        <v>6839</v>
      </c>
      <c r="I182" s="7">
        <f>2495</f>
        <v>2495</v>
      </c>
      <c r="J182" s="5" t="s">
        <v>262</v>
      </c>
      <c r="K182" s="8">
        <f>5526425</f>
        <v>5526425</v>
      </c>
      <c r="L182" s="6" t="s">
        <v>242</v>
      </c>
      <c r="M182" s="5" t="s">
        <v>267</v>
      </c>
      <c r="N182" s="5" t="s">
        <v>237</v>
      </c>
      <c r="Q182" s="5" t="s">
        <v>239</v>
      </c>
      <c r="R182" s="5" t="s">
        <v>270</v>
      </c>
      <c r="S182" s="5" t="s">
        <v>238</v>
      </c>
      <c r="V182" s="5" t="s">
        <v>238</v>
      </c>
      <c r="W182" s="6" t="s">
        <v>238</v>
      </c>
      <c r="X182" s="6" t="s">
        <v>238</v>
      </c>
      <c r="Y182" s="5" t="s">
        <v>238</v>
      </c>
      <c r="Z182" s="6" t="s">
        <v>238</v>
      </c>
      <c r="AA182" s="6" t="s">
        <v>243</v>
      </c>
      <c r="AB182" s="5" t="s">
        <v>238</v>
      </c>
      <c r="AC182" s="5" t="s">
        <v>244</v>
      </c>
      <c r="AD182" s="5" t="s">
        <v>245</v>
      </c>
      <c r="AJ182" s="5" t="s">
        <v>238</v>
      </c>
      <c r="AK182" s="5" t="s">
        <v>238</v>
      </c>
      <c r="AL182" s="5" t="s">
        <v>238</v>
      </c>
      <c r="AM182" s="6" t="s">
        <v>238</v>
      </c>
      <c r="AN182" s="6" t="s">
        <v>238</v>
      </c>
      <c r="AT182" s="5" t="s">
        <v>246</v>
      </c>
      <c r="AU182" s="5" t="s">
        <v>489</v>
      </c>
      <c r="AV182" s="5" t="s">
        <v>247</v>
      </c>
      <c r="AW182" s="5" t="s">
        <v>600</v>
      </c>
      <c r="AX182" s="5" t="s">
        <v>249</v>
      </c>
      <c r="AY182" s="5" t="s">
        <v>490</v>
      </c>
      <c r="BA182" s="5" t="s">
        <v>4547</v>
      </c>
      <c r="BC182" s="5" t="s">
        <v>250</v>
      </c>
      <c r="BD182" s="6" t="s">
        <v>492</v>
      </c>
      <c r="BE182" s="5" t="s">
        <v>251</v>
      </c>
      <c r="BF182" s="5" t="s">
        <v>252</v>
      </c>
      <c r="BG182" s="5" t="s">
        <v>238</v>
      </c>
      <c r="BH182" s="7">
        <f>0</f>
        <v>0</v>
      </c>
      <c r="BI182" s="8">
        <f>0</f>
        <v>0</v>
      </c>
      <c r="BJ182" s="5" t="s">
        <v>253</v>
      </c>
      <c r="BK182" s="5" t="s">
        <v>254</v>
      </c>
      <c r="BT182" s="6" t="s">
        <v>238</v>
      </c>
      <c r="BU182" s="5" t="s">
        <v>238</v>
      </c>
      <c r="BV182" s="5" t="s">
        <v>238</v>
      </c>
      <c r="BW182" s="5" t="s">
        <v>238</v>
      </c>
      <c r="BY182" s="5" t="s">
        <v>238</v>
      </c>
      <c r="BZ182" s="5" t="s">
        <v>238</v>
      </c>
      <c r="CD182" s="5" t="s">
        <v>255</v>
      </c>
      <c r="CE182" s="5" t="s">
        <v>256</v>
      </c>
      <c r="CF182" s="5" t="s">
        <v>261</v>
      </c>
      <c r="CH182" s="5" t="s">
        <v>238</v>
      </c>
      <c r="CI182" s="6" t="s">
        <v>257</v>
      </c>
      <c r="CJ182" s="5" t="s">
        <v>238</v>
      </c>
      <c r="CK182" s="5" t="s">
        <v>258</v>
      </c>
      <c r="CL182" s="5" t="s">
        <v>238</v>
      </c>
      <c r="CM182" s="5" t="s">
        <v>238</v>
      </c>
      <c r="CN182" s="5">
        <v>0</v>
      </c>
      <c r="CO182" s="5" t="s">
        <v>497</v>
      </c>
      <c r="CP182" s="5" t="s">
        <v>260</v>
      </c>
      <c r="CQ182" s="5" t="s">
        <v>260</v>
      </c>
      <c r="CR182" s="5" t="s">
        <v>261</v>
      </c>
      <c r="CS182" s="5" t="s">
        <v>238</v>
      </c>
      <c r="CT182" s="7" t="s">
        <v>238</v>
      </c>
      <c r="CU182" s="8">
        <f>5526425</f>
        <v>5526425</v>
      </c>
      <c r="CV182" s="8">
        <f>0</f>
        <v>0</v>
      </c>
      <c r="CW182" s="8" t="s">
        <v>238</v>
      </c>
      <c r="CX182" s="8">
        <f>0</f>
        <v>0</v>
      </c>
      <c r="CY182" s="8">
        <f>5526425</f>
        <v>5526425</v>
      </c>
      <c r="CZ182" s="8" t="s">
        <v>238</v>
      </c>
      <c r="DA182" s="5" t="s">
        <v>356</v>
      </c>
      <c r="DB182" s="5" t="s">
        <v>238</v>
      </c>
      <c r="DD182" s="5" t="s">
        <v>356</v>
      </c>
      <c r="DE182" s="8">
        <f>0</f>
        <v>0</v>
      </c>
      <c r="DF182" s="6" t="s">
        <v>238</v>
      </c>
      <c r="DG182" s="5" t="s">
        <v>389</v>
      </c>
      <c r="DH182" s="5" t="s">
        <v>238</v>
      </c>
      <c r="DI182" s="5" t="s">
        <v>238</v>
      </c>
      <c r="DJ182" s="5" t="s">
        <v>238</v>
      </c>
      <c r="DK182" s="5" t="s">
        <v>238</v>
      </c>
      <c r="DL182" s="5" t="s">
        <v>238</v>
      </c>
      <c r="DM182" s="8" t="s">
        <v>238</v>
      </c>
      <c r="DN182" s="5" t="s">
        <v>238</v>
      </c>
      <c r="DO182" s="5" t="s">
        <v>244</v>
      </c>
      <c r="DP182" s="5" t="s">
        <v>490</v>
      </c>
      <c r="DQ182" s="5" t="s">
        <v>490</v>
      </c>
      <c r="DR182" s="5" t="s">
        <v>238</v>
      </c>
      <c r="DS182" s="5" t="s">
        <v>238</v>
      </c>
      <c r="DT182" s="5" t="s">
        <v>6585</v>
      </c>
      <c r="DU182" s="5" t="s">
        <v>294</v>
      </c>
    </row>
    <row r="183" spans="1:221" x14ac:dyDescent="0.4">
      <c r="A183" s="5">
        <v>894</v>
      </c>
      <c r="B183" s="5">
        <v>1</v>
      </c>
      <c r="C183" s="5">
        <v>1</v>
      </c>
      <c r="D183" s="5" t="s">
        <v>6583</v>
      </c>
      <c r="E183" s="5" t="s">
        <v>4391</v>
      </c>
      <c r="F183" s="5" t="s">
        <v>248</v>
      </c>
      <c r="G183" s="5" t="s">
        <v>6582</v>
      </c>
      <c r="H183" s="6" t="s">
        <v>6856</v>
      </c>
      <c r="I183" s="7">
        <f>2957</f>
        <v>2957</v>
      </c>
      <c r="J183" s="5" t="s">
        <v>262</v>
      </c>
      <c r="K183" s="8">
        <f>6549755</f>
        <v>6549755</v>
      </c>
      <c r="L183" s="6" t="s">
        <v>242</v>
      </c>
      <c r="M183" s="5" t="s">
        <v>267</v>
      </c>
      <c r="N183" s="5" t="s">
        <v>237</v>
      </c>
      <c r="Q183" s="5" t="s">
        <v>239</v>
      </c>
      <c r="R183" s="5" t="s">
        <v>270</v>
      </c>
      <c r="S183" s="5" t="s">
        <v>238</v>
      </c>
      <c r="V183" s="5" t="s">
        <v>238</v>
      </c>
      <c r="W183" s="6" t="s">
        <v>238</v>
      </c>
      <c r="X183" s="6" t="s">
        <v>238</v>
      </c>
      <c r="Y183" s="5" t="s">
        <v>238</v>
      </c>
      <c r="Z183" s="6" t="s">
        <v>238</v>
      </c>
      <c r="AA183" s="6" t="s">
        <v>243</v>
      </c>
      <c r="AB183" s="5" t="s">
        <v>238</v>
      </c>
      <c r="AC183" s="5" t="s">
        <v>244</v>
      </c>
      <c r="AD183" s="5" t="s">
        <v>245</v>
      </c>
      <c r="AJ183" s="5" t="s">
        <v>238</v>
      </c>
      <c r="AK183" s="5" t="s">
        <v>238</v>
      </c>
      <c r="AL183" s="5" t="s">
        <v>238</v>
      </c>
      <c r="AM183" s="6" t="s">
        <v>238</v>
      </c>
      <c r="AN183" s="6" t="s">
        <v>238</v>
      </c>
      <c r="AT183" s="5" t="s">
        <v>246</v>
      </c>
      <c r="AU183" s="5" t="s">
        <v>489</v>
      </c>
      <c r="AV183" s="5" t="s">
        <v>247</v>
      </c>
      <c r="AW183" s="5" t="s">
        <v>600</v>
      </c>
      <c r="AX183" s="5" t="s">
        <v>249</v>
      </c>
      <c r="AY183" s="5" t="s">
        <v>490</v>
      </c>
      <c r="BA183" s="5" t="s">
        <v>4547</v>
      </c>
      <c r="BC183" s="5" t="s">
        <v>250</v>
      </c>
      <c r="BD183" s="6" t="s">
        <v>492</v>
      </c>
      <c r="BE183" s="5" t="s">
        <v>251</v>
      </c>
      <c r="BF183" s="5" t="s">
        <v>252</v>
      </c>
      <c r="BG183" s="5" t="s">
        <v>238</v>
      </c>
      <c r="BH183" s="7">
        <f>0</f>
        <v>0</v>
      </c>
      <c r="BI183" s="8">
        <f>0</f>
        <v>0</v>
      </c>
      <c r="BJ183" s="5" t="s">
        <v>253</v>
      </c>
      <c r="BK183" s="5" t="s">
        <v>254</v>
      </c>
      <c r="BT183" s="6" t="s">
        <v>238</v>
      </c>
      <c r="BU183" s="5" t="s">
        <v>238</v>
      </c>
      <c r="BV183" s="5" t="s">
        <v>238</v>
      </c>
      <c r="BW183" s="5" t="s">
        <v>238</v>
      </c>
      <c r="BY183" s="5" t="s">
        <v>238</v>
      </c>
      <c r="BZ183" s="5" t="s">
        <v>238</v>
      </c>
      <c r="CD183" s="5" t="s">
        <v>255</v>
      </c>
      <c r="CE183" s="5" t="s">
        <v>256</v>
      </c>
      <c r="CF183" s="5" t="s">
        <v>261</v>
      </c>
      <c r="CH183" s="5" t="s">
        <v>238</v>
      </c>
      <c r="CI183" s="6" t="s">
        <v>257</v>
      </c>
      <c r="CJ183" s="5" t="s">
        <v>238</v>
      </c>
      <c r="CK183" s="5" t="s">
        <v>258</v>
      </c>
      <c r="CL183" s="5" t="s">
        <v>238</v>
      </c>
      <c r="CM183" s="5" t="s">
        <v>238</v>
      </c>
      <c r="CN183" s="5">
        <v>0</v>
      </c>
      <c r="CO183" s="5" t="s">
        <v>497</v>
      </c>
      <c r="CP183" s="5" t="s">
        <v>260</v>
      </c>
      <c r="CQ183" s="5" t="s">
        <v>260</v>
      </c>
      <c r="CR183" s="5" t="s">
        <v>261</v>
      </c>
      <c r="CS183" s="5" t="s">
        <v>238</v>
      </c>
      <c r="CT183" s="7" t="s">
        <v>238</v>
      </c>
      <c r="CU183" s="8">
        <f>6549755</f>
        <v>6549755</v>
      </c>
      <c r="CV183" s="8">
        <f>0</f>
        <v>0</v>
      </c>
      <c r="CW183" s="8" t="s">
        <v>238</v>
      </c>
      <c r="CX183" s="8">
        <f>0</f>
        <v>0</v>
      </c>
      <c r="CY183" s="8">
        <f>6549755</f>
        <v>6549755</v>
      </c>
      <c r="CZ183" s="8" t="s">
        <v>238</v>
      </c>
      <c r="DA183" s="5" t="s">
        <v>356</v>
      </c>
      <c r="DB183" s="5" t="s">
        <v>238</v>
      </c>
      <c r="DD183" s="5" t="s">
        <v>356</v>
      </c>
      <c r="DE183" s="8">
        <f>0</f>
        <v>0</v>
      </c>
      <c r="DF183" s="6" t="s">
        <v>3886</v>
      </c>
      <c r="DG183" s="5" t="s">
        <v>389</v>
      </c>
      <c r="DH183" s="5" t="s">
        <v>238</v>
      </c>
      <c r="DI183" s="5" t="s">
        <v>238</v>
      </c>
      <c r="DJ183" s="5" t="s">
        <v>238</v>
      </c>
      <c r="DK183" s="5" t="s">
        <v>238</v>
      </c>
      <c r="DL183" s="5" t="s">
        <v>238</v>
      </c>
      <c r="DM183" s="8" t="s">
        <v>238</v>
      </c>
      <c r="DN183" s="5" t="s">
        <v>238</v>
      </c>
      <c r="DO183" s="5" t="s">
        <v>244</v>
      </c>
      <c r="DP183" s="5" t="s">
        <v>490</v>
      </c>
      <c r="DQ183" s="5" t="s">
        <v>490</v>
      </c>
      <c r="DR183" s="5" t="s">
        <v>238</v>
      </c>
      <c r="DS183" s="5" t="s">
        <v>238</v>
      </c>
      <c r="DT183" s="5" t="s">
        <v>6585</v>
      </c>
      <c r="DU183" s="5" t="s">
        <v>806</v>
      </c>
    </row>
    <row r="184" spans="1:221" x14ac:dyDescent="0.4">
      <c r="A184" s="5">
        <v>895</v>
      </c>
      <c r="B184" s="5">
        <v>1</v>
      </c>
      <c r="C184" s="5">
        <v>1</v>
      </c>
      <c r="D184" s="5" t="s">
        <v>6583</v>
      </c>
      <c r="E184" s="5" t="s">
        <v>4391</v>
      </c>
      <c r="F184" s="5" t="s">
        <v>248</v>
      </c>
      <c r="G184" s="5" t="s">
        <v>6582</v>
      </c>
      <c r="H184" s="6" t="s">
        <v>6584</v>
      </c>
      <c r="I184" s="7">
        <f>43871</f>
        <v>43871</v>
      </c>
      <c r="J184" s="5" t="s">
        <v>262</v>
      </c>
      <c r="K184" s="8">
        <f>97174265</f>
        <v>97174265</v>
      </c>
      <c r="L184" s="6" t="s">
        <v>242</v>
      </c>
      <c r="M184" s="5" t="s">
        <v>267</v>
      </c>
      <c r="N184" s="5" t="s">
        <v>237</v>
      </c>
      <c r="Q184" s="5" t="s">
        <v>239</v>
      </c>
      <c r="R184" s="5" t="s">
        <v>270</v>
      </c>
      <c r="S184" s="5" t="s">
        <v>238</v>
      </c>
      <c r="V184" s="5" t="s">
        <v>238</v>
      </c>
      <c r="W184" s="6" t="s">
        <v>238</v>
      </c>
      <c r="X184" s="6" t="s">
        <v>238</v>
      </c>
      <c r="Y184" s="5" t="s">
        <v>238</v>
      </c>
      <c r="Z184" s="6" t="s">
        <v>238</v>
      </c>
      <c r="AA184" s="6" t="s">
        <v>243</v>
      </c>
      <c r="AB184" s="5" t="s">
        <v>238</v>
      </c>
      <c r="AC184" s="5" t="s">
        <v>244</v>
      </c>
      <c r="AD184" s="5" t="s">
        <v>245</v>
      </c>
      <c r="AJ184" s="5" t="s">
        <v>238</v>
      </c>
      <c r="AK184" s="5" t="s">
        <v>238</v>
      </c>
      <c r="AL184" s="5" t="s">
        <v>238</v>
      </c>
      <c r="AM184" s="6" t="s">
        <v>238</v>
      </c>
      <c r="AN184" s="6" t="s">
        <v>238</v>
      </c>
      <c r="AT184" s="5" t="s">
        <v>246</v>
      </c>
      <c r="AU184" s="5" t="s">
        <v>489</v>
      </c>
      <c r="AV184" s="5" t="s">
        <v>247</v>
      </c>
      <c r="AW184" s="5" t="s">
        <v>600</v>
      </c>
      <c r="AX184" s="5" t="s">
        <v>249</v>
      </c>
      <c r="AY184" s="5" t="s">
        <v>490</v>
      </c>
      <c r="BA184" s="5" t="s">
        <v>4547</v>
      </c>
      <c r="BC184" s="5" t="s">
        <v>250</v>
      </c>
      <c r="BD184" s="6" t="s">
        <v>492</v>
      </c>
      <c r="BE184" s="5" t="s">
        <v>251</v>
      </c>
      <c r="BF184" s="5" t="s">
        <v>252</v>
      </c>
      <c r="BG184" s="5" t="s">
        <v>238</v>
      </c>
      <c r="BH184" s="7">
        <f>0</f>
        <v>0</v>
      </c>
      <c r="BI184" s="8">
        <f>0</f>
        <v>0</v>
      </c>
      <c r="BJ184" s="5" t="s">
        <v>253</v>
      </c>
      <c r="BK184" s="5" t="s">
        <v>254</v>
      </c>
      <c r="BT184" s="6" t="s">
        <v>238</v>
      </c>
      <c r="BU184" s="5" t="s">
        <v>238</v>
      </c>
      <c r="BV184" s="5" t="s">
        <v>238</v>
      </c>
      <c r="BW184" s="5" t="s">
        <v>238</v>
      </c>
      <c r="BY184" s="5" t="s">
        <v>238</v>
      </c>
      <c r="BZ184" s="5" t="s">
        <v>238</v>
      </c>
      <c r="CD184" s="5" t="s">
        <v>255</v>
      </c>
      <c r="CE184" s="5" t="s">
        <v>256</v>
      </c>
      <c r="CF184" s="5" t="s">
        <v>261</v>
      </c>
      <c r="CH184" s="5" t="s">
        <v>238</v>
      </c>
      <c r="CI184" s="6" t="s">
        <v>257</v>
      </c>
      <c r="CJ184" s="5" t="s">
        <v>238</v>
      </c>
      <c r="CK184" s="5" t="s">
        <v>258</v>
      </c>
      <c r="CL184" s="5" t="s">
        <v>238</v>
      </c>
      <c r="CM184" s="5" t="s">
        <v>238</v>
      </c>
      <c r="CN184" s="5">
        <v>0</v>
      </c>
      <c r="CO184" s="5" t="s">
        <v>497</v>
      </c>
      <c r="CP184" s="5" t="s">
        <v>260</v>
      </c>
      <c r="CQ184" s="5" t="s">
        <v>260</v>
      </c>
      <c r="CR184" s="5" t="s">
        <v>261</v>
      </c>
      <c r="CS184" s="5" t="s">
        <v>238</v>
      </c>
      <c r="CT184" s="7" t="s">
        <v>238</v>
      </c>
      <c r="CU184" s="8">
        <f>97174265</f>
        <v>97174265</v>
      </c>
      <c r="CV184" s="8">
        <f>0</f>
        <v>0</v>
      </c>
      <c r="CW184" s="8" t="s">
        <v>238</v>
      </c>
      <c r="CX184" s="8">
        <f>0</f>
        <v>0</v>
      </c>
      <c r="CY184" s="8">
        <f>97174265</f>
        <v>97174265</v>
      </c>
      <c r="CZ184" s="8" t="s">
        <v>238</v>
      </c>
      <c r="DA184" s="5" t="s">
        <v>356</v>
      </c>
      <c r="DB184" s="5" t="s">
        <v>238</v>
      </c>
      <c r="DD184" s="5" t="s">
        <v>356</v>
      </c>
      <c r="DE184" s="8">
        <f>0</f>
        <v>0</v>
      </c>
      <c r="DF184" s="6" t="s">
        <v>238</v>
      </c>
      <c r="DG184" s="5" t="s">
        <v>389</v>
      </c>
      <c r="DH184" s="5" t="s">
        <v>238</v>
      </c>
      <c r="DI184" s="5" t="s">
        <v>238</v>
      </c>
      <c r="DJ184" s="5" t="s">
        <v>238</v>
      </c>
      <c r="DK184" s="5" t="s">
        <v>238</v>
      </c>
      <c r="DL184" s="5" t="s">
        <v>238</v>
      </c>
      <c r="DM184" s="8" t="s">
        <v>238</v>
      </c>
      <c r="DN184" s="5" t="s">
        <v>238</v>
      </c>
      <c r="DO184" s="5" t="s">
        <v>244</v>
      </c>
      <c r="DP184" s="5" t="s">
        <v>490</v>
      </c>
      <c r="DQ184" s="5" t="s">
        <v>490</v>
      </c>
      <c r="DR184" s="5" t="s">
        <v>238</v>
      </c>
      <c r="DS184" s="5" t="s">
        <v>238</v>
      </c>
      <c r="DT184" s="5" t="s">
        <v>6585</v>
      </c>
      <c r="DU184" s="5" t="s">
        <v>854</v>
      </c>
    </row>
    <row r="185" spans="1:221" x14ac:dyDescent="0.4">
      <c r="A185" s="5">
        <v>896</v>
      </c>
      <c r="B185" s="5">
        <v>1</v>
      </c>
      <c r="C185" s="5">
        <v>1</v>
      </c>
      <c r="D185" s="5" t="s">
        <v>6583</v>
      </c>
      <c r="E185" s="5" t="s">
        <v>4391</v>
      </c>
      <c r="F185" s="5" t="s">
        <v>248</v>
      </c>
      <c r="G185" s="5" t="s">
        <v>6582</v>
      </c>
      <c r="H185" s="6" t="s">
        <v>6671</v>
      </c>
      <c r="I185" s="8">
        <f>513.19</f>
        <v>513.19000000000005</v>
      </c>
      <c r="J185" s="5" t="s">
        <v>261</v>
      </c>
      <c r="K185" s="8">
        <f>1898803</f>
        <v>1898803</v>
      </c>
      <c r="L185" s="6" t="s">
        <v>242</v>
      </c>
      <c r="M185" s="5" t="s">
        <v>267</v>
      </c>
      <c r="N185" s="5" t="s">
        <v>237</v>
      </c>
      <c r="Q185" s="5" t="s">
        <v>239</v>
      </c>
      <c r="R185" s="5" t="s">
        <v>270</v>
      </c>
      <c r="S185" s="5" t="s">
        <v>238</v>
      </c>
      <c r="V185" s="5" t="s">
        <v>238</v>
      </c>
      <c r="W185" s="6" t="s">
        <v>238</v>
      </c>
      <c r="X185" s="6" t="s">
        <v>238</v>
      </c>
      <c r="Y185" s="5" t="s">
        <v>238</v>
      </c>
      <c r="Z185" s="6" t="s">
        <v>238</v>
      </c>
      <c r="AA185" s="6" t="s">
        <v>243</v>
      </c>
      <c r="AB185" s="5" t="s">
        <v>238</v>
      </c>
      <c r="AC185" s="5" t="s">
        <v>244</v>
      </c>
      <c r="AD185" s="5" t="s">
        <v>245</v>
      </c>
      <c r="AJ185" s="5" t="s">
        <v>238</v>
      </c>
      <c r="AK185" s="5" t="s">
        <v>238</v>
      </c>
      <c r="AL185" s="5" t="s">
        <v>238</v>
      </c>
      <c r="AM185" s="6" t="s">
        <v>238</v>
      </c>
      <c r="AN185" s="6" t="s">
        <v>238</v>
      </c>
      <c r="AT185" s="5" t="s">
        <v>246</v>
      </c>
      <c r="AU185" s="5" t="s">
        <v>238</v>
      </c>
      <c r="AV185" s="5" t="s">
        <v>247</v>
      </c>
      <c r="AW185" s="5" t="s">
        <v>238</v>
      </c>
      <c r="AX185" s="5" t="s">
        <v>249</v>
      </c>
      <c r="AY185" s="5" t="s">
        <v>490</v>
      </c>
      <c r="BA185" s="5" t="s">
        <v>238</v>
      </c>
      <c r="BC185" s="5" t="s">
        <v>1468</v>
      </c>
      <c r="BD185" s="6" t="s">
        <v>6672</v>
      </c>
      <c r="BE185" s="5" t="s">
        <v>251</v>
      </c>
      <c r="BF185" s="5" t="s">
        <v>252</v>
      </c>
      <c r="BG185" s="5" t="s">
        <v>238</v>
      </c>
      <c r="BH185" s="8">
        <f>0</f>
        <v>0</v>
      </c>
      <c r="BI185" s="8">
        <f>0</f>
        <v>0</v>
      </c>
      <c r="BJ185" s="5" t="s">
        <v>253</v>
      </c>
      <c r="BK185" s="5" t="s">
        <v>254</v>
      </c>
      <c r="BT185" s="6" t="s">
        <v>238</v>
      </c>
      <c r="BU185" s="5" t="s">
        <v>238</v>
      </c>
      <c r="BV185" s="5" t="s">
        <v>238</v>
      </c>
      <c r="BW185" s="5" t="s">
        <v>238</v>
      </c>
      <c r="BY185" s="5" t="s">
        <v>238</v>
      </c>
      <c r="BZ185" s="5" t="s">
        <v>238</v>
      </c>
      <c r="CD185" s="5" t="s">
        <v>255</v>
      </c>
      <c r="CE185" s="5" t="s">
        <v>256</v>
      </c>
      <c r="CF185" s="5" t="s">
        <v>261</v>
      </c>
      <c r="CH185" s="5" t="s">
        <v>238</v>
      </c>
      <c r="CI185" s="6" t="s">
        <v>257</v>
      </c>
      <c r="CJ185" s="5" t="s">
        <v>238</v>
      </c>
      <c r="CK185" s="5" t="s">
        <v>258</v>
      </c>
      <c r="CL185" s="5" t="s">
        <v>238</v>
      </c>
      <c r="CM185" s="5" t="s">
        <v>238</v>
      </c>
      <c r="CN185" s="5">
        <v>0</v>
      </c>
      <c r="CO185" s="5" t="s">
        <v>259</v>
      </c>
      <c r="CP185" s="5" t="s">
        <v>260</v>
      </c>
      <c r="CQ185" s="5" t="s">
        <v>260</v>
      </c>
      <c r="CR185" s="5" t="s">
        <v>261</v>
      </c>
      <c r="CS185" s="5" t="s">
        <v>238</v>
      </c>
      <c r="CT185" s="7" t="s">
        <v>238</v>
      </c>
      <c r="CU185" s="8">
        <f>1898803</f>
        <v>1898803</v>
      </c>
      <c r="CV185" s="8">
        <f>0</f>
        <v>0</v>
      </c>
      <c r="CW185" s="8" t="s">
        <v>238</v>
      </c>
      <c r="CX185" s="8">
        <f>0</f>
        <v>0</v>
      </c>
      <c r="CY185" s="8">
        <f>1898803</f>
        <v>1898803</v>
      </c>
      <c r="CZ185" s="8" t="s">
        <v>238</v>
      </c>
      <c r="DA185" s="5" t="s">
        <v>263</v>
      </c>
      <c r="DB185" s="5" t="s">
        <v>238</v>
      </c>
      <c r="DD185" s="5" t="s">
        <v>356</v>
      </c>
      <c r="DE185" s="8">
        <f>0</f>
        <v>0</v>
      </c>
      <c r="DF185" s="6" t="s">
        <v>238</v>
      </c>
      <c r="DG185" s="5" t="s">
        <v>263</v>
      </c>
      <c r="DH185" s="5" t="s">
        <v>238</v>
      </c>
      <c r="DI185" s="5" t="s">
        <v>238</v>
      </c>
      <c r="DJ185" s="5" t="s">
        <v>238</v>
      </c>
      <c r="DK185" s="5" t="s">
        <v>238</v>
      </c>
      <c r="DL185" s="5" t="s">
        <v>238</v>
      </c>
      <c r="DM185" s="8" t="s">
        <v>238</v>
      </c>
      <c r="DN185" s="5" t="s">
        <v>238</v>
      </c>
      <c r="DO185" s="5" t="s">
        <v>244</v>
      </c>
      <c r="DP185" s="5" t="s">
        <v>490</v>
      </c>
      <c r="DQ185" s="5" t="s">
        <v>490</v>
      </c>
      <c r="DR185" s="5" t="s">
        <v>238</v>
      </c>
      <c r="DS185" s="5" t="s">
        <v>238</v>
      </c>
      <c r="DT185" s="5" t="s">
        <v>6585</v>
      </c>
      <c r="DU185" s="5" t="s">
        <v>911</v>
      </c>
    </row>
    <row r="186" spans="1:221" x14ac:dyDescent="0.4">
      <c r="A186" s="5">
        <v>897</v>
      </c>
      <c r="B186" s="5">
        <v>1</v>
      </c>
      <c r="C186" s="5">
        <v>1</v>
      </c>
      <c r="D186" s="5" t="s">
        <v>6583</v>
      </c>
      <c r="E186" s="5" t="s">
        <v>4391</v>
      </c>
      <c r="F186" s="5" t="s">
        <v>248</v>
      </c>
      <c r="G186" s="5" t="s">
        <v>6582</v>
      </c>
      <c r="H186" s="6" t="s">
        <v>6737</v>
      </c>
      <c r="I186" s="7">
        <f>490.16</f>
        <v>490.16</v>
      </c>
      <c r="J186" s="5" t="s">
        <v>262</v>
      </c>
      <c r="K186" s="8">
        <f>1813592</f>
        <v>1813592</v>
      </c>
      <c r="L186" s="6" t="s">
        <v>242</v>
      </c>
      <c r="M186" s="5" t="s">
        <v>267</v>
      </c>
      <c r="N186" s="5" t="s">
        <v>237</v>
      </c>
      <c r="Q186" s="5" t="s">
        <v>239</v>
      </c>
      <c r="R186" s="5" t="s">
        <v>270</v>
      </c>
      <c r="S186" s="5" t="s">
        <v>238</v>
      </c>
      <c r="V186" s="5" t="s">
        <v>238</v>
      </c>
      <c r="W186" s="6" t="s">
        <v>238</v>
      </c>
      <c r="X186" s="6" t="s">
        <v>238</v>
      </c>
      <c r="Y186" s="5" t="s">
        <v>238</v>
      </c>
      <c r="Z186" s="6" t="s">
        <v>238</v>
      </c>
      <c r="AA186" s="6" t="s">
        <v>243</v>
      </c>
      <c r="AB186" s="5" t="s">
        <v>238</v>
      </c>
      <c r="AC186" s="5" t="s">
        <v>244</v>
      </c>
      <c r="AD186" s="5" t="s">
        <v>245</v>
      </c>
      <c r="AJ186" s="5" t="s">
        <v>238</v>
      </c>
      <c r="AK186" s="5" t="s">
        <v>238</v>
      </c>
      <c r="AL186" s="5" t="s">
        <v>238</v>
      </c>
      <c r="AM186" s="6" t="s">
        <v>238</v>
      </c>
      <c r="AN186" s="6" t="s">
        <v>238</v>
      </c>
      <c r="AT186" s="5" t="s">
        <v>246</v>
      </c>
      <c r="AU186" s="5" t="s">
        <v>489</v>
      </c>
      <c r="AV186" s="5" t="s">
        <v>247</v>
      </c>
      <c r="AW186" s="5" t="s">
        <v>600</v>
      </c>
      <c r="AX186" s="5" t="s">
        <v>249</v>
      </c>
      <c r="AY186" s="5" t="s">
        <v>490</v>
      </c>
      <c r="BA186" s="5" t="s">
        <v>4547</v>
      </c>
      <c r="BC186" s="5" t="s">
        <v>250</v>
      </c>
      <c r="BD186" s="6" t="s">
        <v>492</v>
      </c>
      <c r="BE186" s="5" t="s">
        <v>251</v>
      </c>
      <c r="BF186" s="5" t="s">
        <v>252</v>
      </c>
      <c r="BG186" s="5" t="s">
        <v>238</v>
      </c>
      <c r="BH186" s="7">
        <f>0</f>
        <v>0</v>
      </c>
      <c r="BI186" s="8">
        <f>0</f>
        <v>0</v>
      </c>
      <c r="BJ186" s="5" t="s">
        <v>253</v>
      </c>
      <c r="BK186" s="5" t="s">
        <v>254</v>
      </c>
      <c r="BT186" s="6" t="s">
        <v>238</v>
      </c>
      <c r="BU186" s="5" t="s">
        <v>238</v>
      </c>
      <c r="BV186" s="5" t="s">
        <v>238</v>
      </c>
      <c r="BW186" s="5" t="s">
        <v>238</v>
      </c>
      <c r="BY186" s="5" t="s">
        <v>238</v>
      </c>
      <c r="BZ186" s="5" t="s">
        <v>238</v>
      </c>
      <c r="CD186" s="5" t="s">
        <v>255</v>
      </c>
      <c r="CE186" s="5" t="s">
        <v>256</v>
      </c>
      <c r="CF186" s="5" t="s">
        <v>261</v>
      </c>
      <c r="CH186" s="5" t="s">
        <v>238</v>
      </c>
      <c r="CI186" s="6" t="s">
        <v>257</v>
      </c>
      <c r="CJ186" s="5" t="s">
        <v>238</v>
      </c>
      <c r="CK186" s="5" t="s">
        <v>258</v>
      </c>
      <c r="CL186" s="5" t="s">
        <v>238</v>
      </c>
      <c r="CM186" s="5" t="s">
        <v>238</v>
      </c>
      <c r="CN186" s="5">
        <v>0</v>
      </c>
      <c r="CO186" s="5" t="s">
        <v>497</v>
      </c>
      <c r="CP186" s="5" t="s">
        <v>260</v>
      </c>
      <c r="CQ186" s="5" t="s">
        <v>260</v>
      </c>
      <c r="CR186" s="5" t="s">
        <v>261</v>
      </c>
      <c r="CS186" s="5" t="s">
        <v>238</v>
      </c>
      <c r="CT186" s="7" t="s">
        <v>238</v>
      </c>
      <c r="CU186" s="8">
        <f>1813592</f>
        <v>1813592</v>
      </c>
      <c r="CV186" s="8">
        <f>0</f>
        <v>0</v>
      </c>
      <c r="CW186" s="8" t="s">
        <v>238</v>
      </c>
      <c r="CX186" s="8">
        <f>0</f>
        <v>0</v>
      </c>
      <c r="CY186" s="8">
        <f>1813592</f>
        <v>1813592</v>
      </c>
      <c r="CZ186" s="8" t="s">
        <v>238</v>
      </c>
      <c r="DA186" s="5" t="s">
        <v>263</v>
      </c>
      <c r="DB186" s="5" t="s">
        <v>238</v>
      </c>
      <c r="DD186" s="5" t="s">
        <v>356</v>
      </c>
      <c r="DE186" s="8">
        <f>0</f>
        <v>0</v>
      </c>
      <c r="DF186" s="6" t="s">
        <v>238</v>
      </c>
      <c r="DG186" s="5" t="s">
        <v>263</v>
      </c>
      <c r="DH186" s="5" t="s">
        <v>238</v>
      </c>
      <c r="DI186" s="5" t="s">
        <v>238</v>
      </c>
      <c r="DJ186" s="5" t="s">
        <v>238</v>
      </c>
      <c r="DK186" s="5" t="s">
        <v>238</v>
      </c>
      <c r="DL186" s="5" t="s">
        <v>238</v>
      </c>
      <c r="DM186" s="8" t="s">
        <v>238</v>
      </c>
      <c r="DN186" s="5" t="s">
        <v>238</v>
      </c>
      <c r="DO186" s="5" t="s">
        <v>244</v>
      </c>
      <c r="DP186" s="5" t="s">
        <v>490</v>
      </c>
      <c r="DQ186" s="5" t="s">
        <v>490</v>
      </c>
      <c r="DR186" s="5" t="s">
        <v>238</v>
      </c>
      <c r="DS186" s="5" t="s">
        <v>238</v>
      </c>
      <c r="DT186" s="5" t="s">
        <v>6585</v>
      </c>
      <c r="DU186" s="5" t="s">
        <v>967</v>
      </c>
    </row>
    <row r="187" spans="1:221" x14ac:dyDescent="0.4">
      <c r="A187" s="5">
        <v>898</v>
      </c>
      <c r="B187" s="5">
        <v>1</v>
      </c>
      <c r="C187" s="5">
        <v>1</v>
      </c>
      <c r="D187" s="5" t="s">
        <v>6583</v>
      </c>
      <c r="E187" s="5" t="s">
        <v>4391</v>
      </c>
      <c r="F187" s="5" t="s">
        <v>248</v>
      </c>
      <c r="G187" s="5" t="s">
        <v>6582</v>
      </c>
      <c r="H187" s="6" t="s">
        <v>6648</v>
      </c>
      <c r="I187" s="7">
        <f>419</f>
        <v>419</v>
      </c>
      <c r="J187" s="5" t="s">
        <v>262</v>
      </c>
      <c r="K187" s="8">
        <f>928085</f>
        <v>928085</v>
      </c>
      <c r="L187" s="6" t="s">
        <v>242</v>
      </c>
      <c r="M187" s="5" t="s">
        <v>267</v>
      </c>
      <c r="N187" s="5" t="s">
        <v>237</v>
      </c>
      <c r="Q187" s="5" t="s">
        <v>239</v>
      </c>
      <c r="R187" s="5" t="s">
        <v>270</v>
      </c>
      <c r="S187" s="5" t="s">
        <v>238</v>
      </c>
      <c r="V187" s="5" t="s">
        <v>238</v>
      </c>
      <c r="W187" s="6" t="s">
        <v>238</v>
      </c>
      <c r="X187" s="6" t="s">
        <v>238</v>
      </c>
      <c r="Y187" s="5" t="s">
        <v>238</v>
      </c>
      <c r="Z187" s="6" t="s">
        <v>238</v>
      </c>
      <c r="AA187" s="6" t="s">
        <v>243</v>
      </c>
      <c r="AB187" s="5" t="s">
        <v>238</v>
      </c>
      <c r="AC187" s="5" t="s">
        <v>244</v>
      </c>
      <c r="AD187" s="5" t="s">
        <v>245</v>
      </c>
      <c r="AJ187" s="5" t="s">
        <v>238</v>
      </c>
      <c r="AK187" s="5" t="s">
        <v>238</v>
      </c>
      <c r="AL187" s="5" t="s">
        <v>238</v>
      </c>
      <c r="AM187" s="6" t="s">
        <v>238</v>
      </c>
      <c r="AN187" s="6" t="s">
        <v>238</v>
      </c>
      <c r="AT187" s="5" t="s">
        <v>246</v>
      </c>
      <c r="AU187" s="5" t="s">
        <v>489</v>
      </c>
      <c r="AV187" s="5" t="s">
        <v>247</v>
      </c>
      <c r="AW187" s="5" t="s">
        <v>600</v>
      </c>
      <c r="AX187" s="5" t="s">
        <v>249</v>
      </c>
      <c r="AY187" s="5" t="s">
        <v>490</v>
      </c>
      <c r="BA187" s="5" t="s">
        <v>4547</v>
      </c>
      <c r="BC187" s="5" t="s">
        <v>250</v>
      </c>
      <c r="BD187" s="6" t="s">
        <v>492</v>
      </c>
      <c r="BE187" s="5" t="s">
        <v>251</v>
      </c>
      <c r="BF187" s="5" t="s">
        <v>252</v>
      </c>
      <c r="BG187" s="5" t="s">
        <v>238</v>
      </c>
      <c r="BH187" s="7">
        <f>0</f>
        <v>0</v>
      </c>
      <c r="BI187" s="8">
        <f>0</f>
        <v>0</v>
      </c>
      <c r="BJ187" s="5" t="s">
        <v>253</v>
      </c>
      <c r="BK187" s="5" t="s">
        <v>254</v>
      </c>
      <c r="BT187" s="6" t="s">
        <v>238</v>
      </c>
      <c r="BU187" s="5" t="s">
        <v>238</v>
      </c>
      <c r="BV187" s="5" t="s">
        <v>238</v>
      </c>
      <c r="BW187" s="5" t="s">
        <v>238</v>
      </c>
      <c r="BY187" s="5" t="s">
        <v>238</v>
      </c>
      <c r="BZ187" s="5" t="s">
        <v>238</v>
      </c>
      <c r="CD187" s="5" t="s">
        <v>255</v>
      </c>
      <c r="CE187" s="5" t="s">
        <v>256</v>
      </c>
      <c r="CF187" s="5" t="s">
        <v>261</v>
      </c>
      <c r="CH187" s="5" t="s">
        <v>238</v>
      </c>
      <c r="CI187" s="6" t="s">
        <v>257</v>
      </c>
      <c r="CJ187" s="5" t="s">
        <v>238</v>
      </c>
      <c r="CK187" s="5" t="s">
        <v>258</v>
      </c>
      <c r="CL187" s="5" t="s">
        <v>238</v>
      </c>
      <c r="CM187" s="5" t="s">
        <v>238</v>
      </c>
      <c r="CN187" s="5">
        <v>0</v>
      </c>
      <c r="CO187" s="5" t="s">
        <v>497</v>
      </c>
      <c r="CP187" s="5" t="s">
        <v>260</v>
      </c>
      <c r="CQ187" s="5" t="s">
        <v>260</v>
      </c>
      <c r="CR187" s="5" t="s">
        <v>261</v>
      </c>
      <c r="CS187" s="5" t="s">
        <v>238</v>
      </c>
      <c r="CT187" s="7" t="s">
        <v>238</v>
      </c>
      <c r="CU187" s="8">
        <f>928085</f>
        <v>928085</v>
      </c>
      <c r="CV187" s="8">
        <f>0</f>
        <v>0</v>
      </c>
      <c r="CW187" s="8" t="s">
        <v>238</v>
      </c>
      <c r="CX187" s="8">
        <f>0</f>
        <v>0</v>
      </c>
      <c r="CY187" s="8">
        <f>928085</f>
        <v>928085</v>
      </c>
      <c r="CZ187" s="8" t="s">
        <v>238</v>
      </c>
      <c r="DA187" s="5" t="s">
        <v>356</v>
      </c>
      <c r="DB187" s="5" t="s">
        <v>238</v>
      </c>
      <c r="DD187" s="5" t="s">
        <v>356</v>
      </c>
      <c r="DE187" s="8">
        <f>0</f>
        <v>0</v>
      </c>
      <c r="DF187" s="6" t="s">
        <v>238</v>
      </c>
      <c r="DG187" s="5" t="s">
        <v>389</v>
      </c>
      <c r="DH187" s="5" t="s">
        <v>238</v>
      </c>
      <c r="DI187" s="5" t="s">
        <v>238</v>
      </c>
      <c r="DJ187" s="5" t="s">
        <v>238</v>
      </c>
      <c r="DK187" s="5" t="s">
        <v>238</v>
      </c>
      <c r="DL187" s="5" t="s">
        <v>238</v>
      </c>
      <c r="DM187" s="8" t="s">
        <v>238</v>
      </c>
      <c r="DN187" s="5" t="s">
        <v>238</v>
      </c>
      <c r="DO187" s="5" t="s">
        <v>244</v>
      </c>
      <c r="DP187" s="5" t="s">
        <v>490</v>
      </c>
      <c r="DQ187" s="5" t="s">
        <v>490</v>
      </c>
      <c r="DR187" s="5" t="s">
        <v>238</v>
      </c>
      <c r="DS187" s="5" t="s">
        <v>238</v>
      </c>
      <c r="DT187" s="5" t="s">
        <v>6585</v>
      </c>
      <c r="DU187" s="5" t="s">
        <v>1376</v>
      </c>
    </row>
    <row r="188" spans="1:221" x14ac:dyDescent="0.4">
      <c r="A188" s="5">
        <v>899</v>
      </c>
      <c r="B188" s="5">
        <v>1</v>
      </c>
      <c r="C188" s="5">
        <v>1</v>
      </c>
      <c r="D188" s="5" t="s">
        <v>6583</v>
      </c>
      <c r="E188" s="5" t="s">
        <v>4391</v>
      </c>
      <c r="F188" s="5" t="s">
        <v>248</v>
      </c>
      <c r="G188" s="5" t="s">
        <v>6582</v>
      </c>
      <c r="H188" s="6" t="s">
        <v>6586</v>
      </c>
      <c r="I188" s="7">
        <f>140</f>
        <v>140</v>
      </c>
      <c r="J188" s="5" t="s">
        <v>262</v>
      </c>
      <c r="K188" s="8">
        <f>310100</f>
        <v>310100</v>
      </c>
      <c r="L188" s="6" t="s">
        <v>242</v>
      </c>
      <c r="M188" s="5" t="s">
        <v>267</v>
      </c>
      <c r="N188" s="5" t="s">
        <v>237</v>
      </c>
      <c r="Q188" s="5" t="s">
        <v>239</v>
      </c>
      <c r="R188" s="5" t="s">
        <v>270</v>
      </c>
      <c r="S188" s="5" t="s">
        <v>238</v>
      </c>
      <c r="V188" s="5" t="s">
        <v>238</v>
      </c>
      <c r="W188" s="6" t="s">
        <v>238</v>
      </c>
      <c r="X188" s="6" t="s">
        <v>238</v>
      </c>
      <c r="Y188" s="5" t="s">
        <v>238</v>
      </c>
      <c r="Z188" s="6" t="s">
        <v>238</v>
      </c>
      <c r="AA188" s="6" t="s">
        <v>243</v>
      </c>
      <c r="AB188" s="5" t="s">
        <v>238</v>
      </c>
      <c r="AC188" s="5" t="s">
        <v>244</v>
      </c>
      <c r="AD188" s="5" t="s">
        <v>245</v>
      </c>
      <c r="AJ188" s="5" t="s">
        <v>238</v>
      </c>
      <c r="AK188" s="5" t="s">
        <v>238</v>
      </c>
      <c r="AL188" s="5" t="s">
        <v>238</v>
      </c>
      <c r="AM188" s="6" t="s">
        <v>238</v>
      </c>
      <c r="AN188" s="6" t="s">
        <v>238</v>
      </c>
      <c r="AT188" s="5" t="s">
        <v>246</v>
      </c>
      <c r="AU188" s="5" t="s">
        <v>489</v>
      </c>
      <c r="AV188" s="5" t="s">
        <v>247</v>
      </c>
      <c r="AW188" s="5" t="s">
        <v>600</v>
      </c>
      <c r="AX188" s="5" t="s">
        <v>249</v>
      </c>
      <c r="AY188" s="5" t="s">
        <v>490</v>
      </c>
      <c r="BA188" s="5" t="s">
        <v>4547</v>
      </c>
      <c r="BC188" s="5" t="s">
        <v>250</v>
      </c>
      <c r="BD188" s="6" t="s">
        <v>492</v>
      </c>
      <c r="BE188" s="5" t="s">
        <v>251</v>
      </c>
      <c r="BF188" s="5" t="s">
        <v>252</v>
      </c>
      <c r="BG188" s="5" t="s">
        <v>238</v>
      </c>
      <c r="BH188" s="7">
        <f>0</f>
        <v>0</v>
      </c>
      <c r="BI188" s="8">
        <f>0</f>
        <v>0</v>
      </c>
      <c r="BJ188" s="5" t="s">
        <v>253</v>
      </c>
      <c r="BK188" s="5" t="s">
        <v>254</v>
      </c>
      <c r="BT188" s="6" t="s">
        <v>238</v>
      </c>
      <c r="BU188" s="5" t="s">
        <v>238</v>
      </c>
      <c r="BV188" s="5" t="s">
        <v>238</v>
      </c>
      <c r="BW188" s="5" t="s">
        <v>238</v>
      </c>
      <c r="BY188" s="5" t="s">
        <v>238</v>
      </c>
      <c r="BZ188" s="5" t="s">
        <v>238</v>
      </c>
      <c r="CD188" s="5" t="s">
        <v>255</v>
      </c>
      <c r="CE188" s="5" t="s">
        <v>256</v>
      </c>
      <c r="CF188" s="5" t="s">
        <v>261</v>
      </c>
      <c r="CH188" s="5" t="s">
        <v>238</v>
      </c>
      <c r="CI188" s="6" t="s">
        <v>257</v>
      </c>
      <c r="CJ188" s="5" t="s">
        <v>238</v>
      </c>
      <c r="CK188" s="5" t="s">
        <v>258</v>
      </c>
      <c r="CL188" s="5" t="s">
        <v>238</v>
      </c>
      <c r="CM188" s="5" t="s">
        <v>238</v>
      </c>
      <c r="CN188" s="5">
        <v>0</v>
      </c>
      <c r="CO188" s="5" t="s">
        <v>497</v>
      </c>
      <c r="CP188" s="5" t="s">
        <v>260</v>
      </c>
      <c r="CQ188" s="5" t="s">
        <v>260</v>
      </c>
      <c r="CR188" s="5" t="s">
        <v>261</v>
      </c>
      <c r="CS188" s="5" t="s">
        <v>238</v>
      </c>
      <c r="CT188" s="7" t="s">
        <v>238</v>
      </c>
      <c r="CU188" s="8">
        <f>310100</f>
        <v>310100</v>
      </c>
      <c r="CV188" s="8">
        <f>0</f>
        <v>0</v>
      </c>
      <c r="CW188" s="8" t="s">
        <v>238</v>
      </c>
      <c r="CX188" s="8">
        <f>0</f>
        <v>0</v>
      </c>
      <c r="CY188" s="8">
        <f>310100</f>
        <v>310100</v>
      </c>
      <c r="CZ188" s="8" t="s">
        <v>238</v>
      </c>
      <c r="DA188" s="5" t="s">
        <v>389</v>
      </c>
      <c r="DB188" s="5" t="s">
        <v>238</v>
      </c>
      <c r="DD188" s="5" t="s">
        <v>356</v>
      </c>
      <c r="DE188" s="8">
        <f>0</f>
        <v>0</v>
      </c>
      <c r="DF188" s="6" t="s">
        <v>238</v>
      </c>
      <c r="DG188" s="5" t="s">
        <v>389</v>
      </c>
      <c r="DH188" s="5" t="s">
        <v>238</v>
      </c>
      <c r="DI188" s="5" t="s">
        <v>238</v>
      </c>
      <c r="DJ188" s="5" t="s">
        <v>238</v>
      </c>
      <c r="DK188" s="5" t="s">
        <v>238</v>
      </c>
      <c r="DL188" s="5" t="s">
        <v>238</v>
      </c>
      <c r="DM188" s="8" t="s">
        <v>238</v>
      </c>
      <c r="DN188" s="5" t="s">
        <v>238</v>
      </c>
      <c r="DO188" s="5" t="s">
        <v>244</v>
      </c>
      <c r="DP188" s="5" t="s">
        <v>490</v>
      </c>
      <c r="DQ188" s="5" t="s">
        <v>490</v>
      </c>
      <c r="DR188" s="5" t="s">
        <v>238</v>
      </c>
      <c r="DS188" s="5" t="s">
        <v>238</v>
      </c>
      <c r="DT188" s="5" t="s">
        <v>6585</v>
      </c>
      <c r="DU188" s="5" t="s">
        <v>1372</v>
      </c>
    </row>
    <row r="189" spans="1:221" x14ac:dyDescent="0.4">
      <c r="A189" s="5">
        <v>900</v>
      </c>
      <c r="B189" s="5">
        <v>1</v>
      </c>
      <c r="C189" s="5">
        <v>1</v>
      </c>
      <c r="D189" s="5" t="s">
        <v>6583</v>
      </c>
      <c r="E189" s="5" t="s">
        <v>4391</v>
      </c>
      <c r="F189" s="5" t="s">
        <v>248</v>
      </c>
      <c r="G189" s="5" t="s">
        <v>6582</v>
      </c>
      <c r="H189" s="6" t="s">
        <v>6712</v>
      </c>
      <c r="I189" s="7">
        <f>610</f>
        <v>610</v>
      </c>
      <c r="J189" s="5" t="s">
        <v>262</v>
      </c>
      <c r="K189" s="8">
        <f>1351150</f>
        <v>1351150</v>
      </c>
      <c r="L189" s="6" t="s">
        <v>242</v>
      </c>
      <c r="M189" s="5" t="s">
        <v>267</v>
      </c>
      <c r="N189" s="5" t="s">
        <v>237</v>
      </c>
      <c r="Q189" s="5" t="s">
        <v>239</v>
      </c>
      <c r="R189" s="5" t="s">
        <v>270</v>
      </c>
      <c r="S189" s="5" t="s">
        <v>238</v>
      </c>
      <c r="V189" s="5" t="s">
        <v>238</v>
      </c>
      <c r="W189" s="6" t="s">
        <v>238</v>
      </c>
      <c r="X189" s="6" t="s">
        <v>238</v>
      </c>
      <c r="Y189" s="5" t="s">
        <v>238</v>
      </c>
      <c r="Z189" s="6" t="s">
        <v>238</v>
      </c>
      <c r="AA189" s="6" t="s">
        <v>243</v>
      </c>
      <c r="AB189" s="5" t="s">
        <v>238</v>
      </c>
      <c r="AC189" s="5" t="s">
        <v>244</v>
      </c>
      <c r="AD189" s="5" t="s">
        <v>245</v>
      </c>
      <c r="AJ189" s="5" t="s">
        <v>238</v>
      </c>
      <c r="AK189" s="5" t="s">
        <v>238</v>
      </c>
      <c r="AL189" s="5" t="s">
        <v>238</v>
      </c>
      <c r="AM189" s="6" t="s">
        <v>238</v>
      </c>
      <c r="AN189" s="6" t="s">
        <v>238</v>
      </c>
      <c r="AT189" s="5" t="s">
        <v>246</v>
      </c>
      <c r="AU189" s="5" t="s">
        <v>489</v>
      </c>
      <c r="AV189" s="5" t="s">
        <v>247</v>
      </c>
      <c r="AW189" s="5" t="s">
        <v>600</v>
      </c>
      <c r="AX189" s="5" t="s">
        <v>249</v>
      </c>
      <c r="AY189" s="5" t="s">
        <v>490</v>
      </c>
      <c r="BA189" s="5" t="s">
        <v>4547</v>
      </c>
      <c r="BC189" s="5" t="s">
        <v>250</v>
      </c>
      <c r="BD189" s="6" t="s">
        <v>492</v>
      </c>
      <c r="BE189" s="5" t="s">
        <v>251</v>
      </c>
      <c r="BF189" s="5" t="s">
        <v>252</v>
      </c>
      <c r="BG189" s="5" t="s">
        <v>238</v>
      </c>
      <c r="BH189" s="7">
        <f>0</f>
        <v>0</v>
      </c>
      <c r="BI189" s="8">
        <f>0</f>
        <v>0</v>
      </c>
      <c r="BJ189" s="5" t="s">
        <v>253</v>
      </c>
      <c r="BK189" s="5" t="s">
        <v>254</v>
      </c>
      <c r="BT189" s="6" t="s">
        <v>238</v>
      </c>
      <c r="BU189" s="5" t="s">
        <v>238</v>
      </c>
      <c r="BV189" s="5" t="s">
        <v>238</v>
      </c>
      <c r="BW189" s="5" t="s">
        <v>238</v>
      </c>
      <c r="BY189" s="5" t="s">
        <v>238</v>
      </c>
      <c r="BZ189" s="5" t="s">
        <v>238</v>
      </c>
      <c r="CD189" s="5" t="s">
        <v>255</v>
      </c>
      <c r="CE189" s="5" t="s">
        <v>256</v>
      </c>
      <c r="CF189" s="5" t="s">
        <v>261</v>
      </c>
      <c r="CH189" s="5" t="s">
        <v>238</v>
      </c>
      <c r="CI189" s="6" t="s">
        <v>257</v>
      </c>
      <c r="CJ189" s="5" t="s">
        <v>238</v>
      </c>
      <c r="CK189" s="5" t="s">
        <v>258</v>
      </c>
      <c r="CL189" s="5" t="s">
        <v>238</v>
      </c>
      <c r="CM189" s="5" t="s">
        <v>238</v>
      </c>
      <c r="CN189" s="5">
        <v>0</v>
      </c>
      <c r="CO189" s="5" t="s">
        <v>497</v>
      </c>
      <c r="CP189" s="5" t="s">
        <v>260</v>
      </c>
      <c r="CQ189" s="5" t="s">
        <v>260</v>
      </c>
      <c r="CR189" s="5" t="s">
        <v>261</v>
      </c>
      <c r="CS189" s="5" t="s">
        <v>238</v>
      </c>
      <c r="CT189" s="7" t="s">
        <v>238</v>
      </c>
      <c r="CU189" s="8">
        <f>1351150</f>
        <v>1351150</v>
      </c>
      <c r="CV189" s="8">
        <f>0</f>
        <v>0</v>
      </c>
      <c r="CW189" s="8" t="s">
        <v>238</v>
      </c>
      <c r="CX189" s="8">
        <f>0</f>
        <v>0</v>
      </c>
      <c r="CY189" s="8">
        <f>1351150</f>
        <v>1351150</v>
      </c>
      <c r="CZ189" s="8" t="s">
        <v>238</v>
      </c>
      <c r="DA189" s="5" t="s">
        <v>389</v>
      </c>
      <c r="DB189" s="5" t="s">
        <v>238</v>
      </c>
      <c r="DD189" s="5" t="s">
        <v>356</v>
      </c>
      <c r="DE189" s="8">
        <f>0</f>
        <v>0</v>
      </c>
      <c r="DF189" s="6" t="s">
        <v>238</v>
      </c>
      <c r="DG189" s="5" t="s">
        <v>389</v>
      </c>
      <c r="DH189" s="5" t="s">
        <v>238</v>
      </c>
      <c r="DI189" s="5" t="s">
        <v>238</v>
      </c>
      <c r="DJ189" s="5" t="s">
        <v>238</v>
      </c>
      <c r="DK189" s="5" t="s">
        <v>238</v>
      </c>
      <c r="DL189" s="5" t="s">
        <v>238</v>
      </c>
      <c r="DM189" s="8" t="s">
        <v>238</v>
      </c>
      <c r="DN189" s="5" t="s">
        <v>238</v>
      </c>
      <c r="DO189" s="5" t="s">
        <v>244</v>
      </c>
      <c r="DP189" s="5" t="s">
        <v>490</v>
      </c>
      <c r="DQ189" s="5" t="s">
        <v>490</v>
      </c>
      <c r="DR189" s="5" t="s">
        <v>238</v>
      </c>
      <c r="DS189" s="5" t="s">
        <v>238</v>
      </c>
      <c r="DT189" s="5" t="s">
        <v>6585</v>
      </c>
      <c r="DU189" s="5" t="s">
        <v>1370</v>
      </c>
    </row>
    <row r="190" spans="1:221" x14ac:dyDescent="0.4">
      <c r="A190" s="5">
        <v>901</v>
      </c>
      <c r="B190" s="5">
        <v>1</v>
      </c>
      <c r="C190" s="5">
        <v>1</v>
      </c>
      <c r="D190" s="5" t="s">
        <v>6583</v>
      </c>
      <c r="E190" s="5" t="s">
        <v>4391</v>
      </c>
      <c r="F190" s="5" t="s">
        <v>248</v>
      </c>
      <c r="G190" s="5" t="s">
        <v>6582</v>
      </c>
      <c r="H190" s="6" t="s">
        <v>6749</v>
      </c>
      <c r="I190" s="7">
        <f>15018</f>
        <v>15018</v>
      </c>
      <c r="J190" s="5" t="s">
        <v>262</v>
      </c>
      <c r="K190" s="8">
        <f>33264870</f>
        <v>33264870</v>
      </c>
      <c r="L190" s="6" t="s">
        <v>242</v>
      </c>
      <c r="M190" s="5" t="s">
        <v>267</v>
      </c>
      <c r="N190" s="5" t="s">
        <v>237</v>
      </c>
      <c r="Q190" s="5" t="s">
        <v>239</v>
      </c>
      <c r="R190" s="5" t="s">
        <v>270</v>
      </c>
      <c r="S190" s="5" t="s">
        <v>238</v>
      </c>
      <c r="V190" s="5" t="s">
        <v>238</v>
      </c>
      <c r="W190" s="6" t="s">
        <v>238</v>
      </c>
      <c r="X190" s="6" t="s">
        <v>238</v>
      </c>
      <c r="Y190" s="5" t="s">
        <v>238</v>
      </c>
      <c r="Z190" s="6" t="s">
        <v>238</v>
      </c>
      <c r="AA190" s="6" t="s">
        <v>243</v>
      </c>
      <c r="AB190" s="5" t="s">
        <v>238</v>
      </c>
      <c r="AC190" s="5" t="s">
        <v>244</v>
      </c>
      <c r="AD190" s="5" t="s">
        <v>245</v>
      </c>
      <c r="AJ190" s="5" t="s">
        <v>238</v>
      </c>
      <c r="AK190" s="5" t="s">
        <v>238</v>
      </c>
      <c r="AL190" s="5" t="s">
        <v>238</v>
      </c>
      <c r="AM190" s="6" t="s">
        <v>238</v>
      </c>
      <c r="AN190" s="6" t="s">
        <v>238</v>
      </c>
      <c r="AT190" s="5" t="s">
        <v>246</v>
      </c>
      <c r="AU190" s="5" t="s">
        <v>489</v>
      </c>
      <c r="AV190" s="5" t="s">
        <v>247</v>
      </c>
      <c r="AW190" s="5" t="s">
        <v>600</v>
      </c>
      <c r="AX190" s="5" t="s">
        <v>249</v>
      </c>
      <c r="AY190" s="5" t="s">
        <v>490</v>
      </c>
      <c r="BA190" s="5" t="s">
        <v>4547</v>
      </c>
      <c r="BC190" s="5" t="s">
        <v>250</v>
      </c>
      <c r="BD190" s="6" t="s">
        <v>492</v>
      </c>
      <c r="BE190" s="5" t="s">
        <v>251</v>
      </c>
      <c r="BF190" s="5" t="s">
        <v>252</v>
      </c>
      <c r="BG190" s="5" t="s">
        <v>238</v>
      </c>
      <c r="BH190" s="7">
        <f>0</f>
        <v>0</v>
      </c>
      <c r="BI190" s="8">
        <f>0</f>
        <v>0</v>
      </c>
      <c r="BJ190" s="5" t="s">
        <v>253</v>
      </c>
      <c r="BK190" s="5" t="s">
        <v>254</v>
      </c>
      <c r="BT190" s="6" t="s">
        <v>238</v>
      </c>
      <c r="BU190" s="5" t="s">
        <v>238</v>
      </c>
      <c r="BV190" s="5" t="s">
        <v>238</v>
      </c>
      <c r="BW190" s="5" t="s">
        <v>238</v>
      </c>
      <c r="BY190" s="5" t="s">
        <v>238</v>
      </c>
      <c r="BZ190" s="5" t="s">
        <v>238</v>
      </c>
      <c r="CD190" s="5" t="s">
        <v>255</v>
      </c>
      <c r="CE190" s="5" t="s">
        <v>256</v>
      </c>
      <c r="CF190" s="5" t="s">
        <v>261</v>
      </c>
      <c r="CH190" s="5" t="s">
        <v>238</v>
      </c>
      <c r="CI190" s="6" t="s">
        <v>257</v>
      </c>
      <c r="CJ190" s="5" t="s">
        <v>238</v>
      </c>
      <c r="CK190" s="5" t="s">
        <v>258</v>
      </c>
      <c r="CL190" s="5" t="s">
        <v>238</v>
      </c>
      <c r="CM190" s="5" t="s">
        <v>238</v>
      </c>
      <c r="CN190" s="5">
        <v>0</v>
      </c>
      <c r="CO190" s="5" t="s">
        <v>497</v>
      </c>
      <c r="CP190" s="5" t="s">
        <v>260</v>
      </c>
      <c r="CQ190" s="5" t="s">
        <v>260</v>
      </c>
      <c r="CR190" s="5" t="s">
        <v>261</v>
      </c>
      <c r="CS190" s="5" t="s">
        <v>238</v>
      </c>
      <c r="CT190" s="7" t="s">
        <v>238</v>
      </c>
      <c r="CU190" s="8">
        <f>33264870</f>
        <v>33264870</v>
      </c>
      <c r="CV190" s="8">
        <f>0</f>
        <v>0</v>
      </c>
      <c r="CW190" s="8" t="s">
        <v>238</v>
      </c>
      <c r="CX190" s="8">
        <f>0</f>
        <v>0</v>
      </c>
      <c r="CY190" s="8">
        <f>33264870</f>
        <v>33264870</v>
      </c>
      <c r="CZ190" s="8" t="s">
        <v>238</v>
      </c>
      <c r="DA190" s="5" t="s">
        <v>356</v>
      </c>
      <c r="DB190" s="5" t="s">
        <v>238</v>
      </c>
      <c r="DD190" s="5" t="s">
        <v>356</v>
      </c>
      <c r="DE190" s="8">
        <f>0</f>
        <v>0</v>
      </c>
      <c r="DF190" s="6" t="s">
        <v>238</v>
      </c>
      <c r="DG190" s="5" t="s">
        <v>389</v>
      </c>
      <c r="DH190" s="5" t="s">
        <v>238</v>
      </c>
      <c r="DI190" s="5" t="s">
        <v>238</v>
      </c>
      <c r="DJ190" s="5" t="s">
        <v>238</v>
      </c>
      <c r="DK190" s="5" t="s">
        <v>238</v>
      </c>
      <c r="DL190" s="5" t="s">
        <v>238</v>
      </c>
      <c r="DM190" s="8" t="s">
        <v>238</v>
      </c>
      <c r="DN190" s="5" t="s">
        <v>238</v>
      </c>
      <c r="DO190" s="5" t="s">
        <v>244</v>
      </c>
      <c r="DP190" s="5" t="s">
        <v>490</v>
      </c>
      <c r="DQ190" s="5" t="s">
        <v>490</v>
      </c>
      <c r="DR190" s="5" t="s">
        <v>238</v>
      </c>
      <c r="DS190" s="5" t="s">
        <v>238</v>
      </c>
      <c r="DT190" s="5" t="s">
        <v>6585</v>
      </c>
      <c r="DU190" s="5" t="s">
        <v>1364</v>
      </c>
    </row>
    <row r="191" spans="1:221" x14ac:dyDescent="0.4">
      <c r="A191" s="5">
        <v>902</v>
      </c>
      <c r="B191" s="5">
        <v>1</v>
      </c>
      <c r="C191" s="5">
        <v>1</v>
      </c>
      <c r="D191" s="5" t="s">
        <v>6583</v>
      </c>
      <c r="E191" s="5" t="s">
        <v>4391</v>
      </c>
      <c r="F191" s="5" t="s">
        <v>248</v>
      </c>
      <c r="G191" s="5" t="s">
        <v>6582</v>
      </c>
      <c r="H191" s="6" t="s">
        <v>6587</v>
      </c>
      <c r="I191" s="7">
        <f>21066.66</f>
        <v>21066.66</v>
      </c>
      <c r="J191" s="5" t="s">
        <v>262</v>
      </c>
      <c r="K191" s="8">
        <f>46662652</f>
        <v>46662652</v>
      </c>
      <c r="L191" s="6" t="s">
        <v>242</v>
      </c>
      <c r="M191" s="5" t="s">
        <v>267</v>
      </c>
      <c r="N191" s="5" t="s">
        <v>237</v>
      </c>
      <c r="Q191" s="5" t="s">
        <v>239</v>
      </c>
      <c r="R191" s="5" t="s">
        <v>270</v>
      </c>
      <c r="S191" s="5" t="s">
        <v>238</v>
      </c>
      <c r="V191" s="5" t="s">
        <v>238</v>
      </c>
      <c r="W191" s="6" t="s">
        <v>238</v>
      </c>
      <c r="X191" s="6" t="s">
        <v>238</v>
      </c>
      <c r="Y191" s="5" t="s">
        <v>238</v>
      </c>
      <c r="Z191" s="6" t="s">
        <v>238</v>
      </c>
      <c r="AA191" s="6" t="s">
        <v>243</v>
      </c>
      <c r="AB191" s="5" t="s">
        <v>238</v>
      </c>
      <c r="AC191" s="5" t="s">
        <v>244</v>
      </c>
      <c r="AD191" s="5" t="s">
        <v>245</v>
      </c>
      <c r="AJ191" s="5" t="s">
        <v>238</v>
      </c>
      <c r="AK191" s="5" t="s">
        <v>238</v>
      </c>
      <c r="AL191" s="5" t="s">
        <v>238</v>
      </c>
      <c r="AM191" s="6" t="s">
        <v>238</v>
      </c>
      <c r="AN191" s="6" t="s">
        <v>238</v>
      </c>
      <c r="AT191" s="5" t="s">
        <v>246</v>
      </c>
      <c r="AU191" s="5" t="s">
        <v>489</v>
      </c>
      <c r="AV191" s="5" t="s">
        <v>247</v>
      </c>
      <c r="AW191" s="5" t="s">
        <v>600</v>
      </c>
      <c r="AX191" s="5" t="s">
        <v>249</v>
      </c>
      <c r="AY191" s="5" t="s">
        <v>490</v>
      </c>
      <c r="BA191" s="5" t="s">
        <v>4547</v>
      </c>
      <c r="BC191" s="5" t="s">
        <v>250</v>
      </c>
      <c r="BD191" s="6" t="s">
        <v>492</v>
      </c>
      <c r="BE191" s="5" t="s">
        <v>251</v>
      </c>
      <c r="BF191" s="5" t="s">
        <v>3882</v>
      </c>
      <c r="BG191" s="5" t="s">
        <v>238</v>
      </c>
      <c r="BH191" s="7">
        <f>0</f>
        <v>0</v>
      </c>
      <c r="BI191" s="8">
        <f>0</f>
        <v>0</v>
      </c>
      <c r="BJ191" s="5" t="s">
        <v>253</v>
      </c>
      <c r="BK191" s="5" t="s">
        <v>254</v>
      </c>
      <c r="BT191" s="6" t="s">
        <v>238</v>
      </c>
      <c r="BU191" s="5" t="s">
        <v>238</v>
      </c>
      <c r="BV191" s="5" t="s">
        <v>238</v>
      </c>
      <c r="BW191" s="5" t="s">
        <v>238</v>
      </c>
      <c r="BY191" s="5" t="s">
        <v>238</v>
      </c>
      <c r="BZ191" s="5" t="s">
        <v>238</v>
      </c>
      <c r="CD191" s="5" t="s">
        <v>255</v>
      </c>
      <c r="CE191" s="5" t="s">
        <v>256</v>
      </c>
      <c r="CF191" s="5" t="s">
        <v>261</v>
      </c>
      <c r="CH191" s="5" t="s">
        <v>238</v>
      </c>
      <c r="CI191" s="6" t="s">
        <v>257</v>
      </c>
      <c r="CJ191" s="5" t="s">
        <v>238</v>
      </c>
      <c r="CK191" s="5" t="s">
        <v>258</v>
      </c>
      <c r="CL191" s="5" t="s">
        <v>238</v>
      </c>
      <c r="CM191" s="5" t="s">
        <v>238</v>
      </c>
      <c r="CN191" s="5">
        <v>0</v>
      </c>
      <c r="CO191" s="5" t="s">
        <v>497</v>
      </c>
      <c r="CP191" s="5" t="s">
        <v>260</v>
      </c>
      <c r="CQ191" s="5" t="s">
        <v>260</v>
      </c>
      <c r="CR191" s="5" t="s">
        <v>261</v>
      </c>
      <c r="CS191" s="5" t="s">
        <v>238</v>
      </c>
      <c r="CT191" s="7" t="s">
        <v>238</v>
      </c>
      <c r="CU191" s="8">
        <f>46662652</f>
        <v>46662652</v>
      </c>
      <c r="CV191" s="8">
        <f>0</f>
        <v>0</v>
      </c>
      <c r="CW191" s="8" t="s">
        <v>238</v>
      </c>
      <c r="CX191" s="8">
        <f>0</f>
        <v>0</v>
      </c>
      <c r="CY191" s="8">
        <f>46662652</f>
        <v>46662652</v>
      </c>
      <c r="CZ191" s="8" t="s">
        <v>238</v>
      </c>
      <c r="DA191" s="5" t="s">
        <v>356</v>
      </c>
      <c r="DB191" s="5" t="s">
        <v>238</v>
      </c>
      <c r="DD191" s="5" t="s">
        <v>356</v>
      </c>
      <c r="DE191" s="8">
        <f>0</f>
        <v>0</v>
      </c>
      <c r="DF191" s="6" t="s">
        <v>238</v>
      </c>
      <c r="DG191" s="5" t="s">
        <v>389</v>
      </c>
      <c r="DH191" s="5" t="s">
        <v>238</v>
      </c>
      <c r="DI191" s="5" t="s">
        <v>238</v>
      </c>
      <c r="DJ191" s="5" t="s">
        <v>238</v>
      </c>
      <c r="DK191" s="5" t="s">
        <v>238</v>
      </c>
      <c r="DL191" s="5" t="s">
        <v>238</v>
      </c>
      <c r="DM191" s="8" t="s">
        <v>238</v>
      </c>
      <c r="DN191" s="5" t="s">
        <v>238</v>
      </c>
      <c r="DO191" s="5" t="s">
        <v>244</v>
      </c>
      <c r="DP191" s="5" t="s">
        <v>490</v>
      </c>
      <c r="DQ191" s="5" t="s">
        <v>490</v>
      </c>
      <c r="DR191" s="5" t="s">
        <v>238</v>
      </c>
      <c r="DS191" s="5" t="s">
        <v>238</v>
      </c>
      <c r="DT191" s="5" t="s">
        <v>6585</v>
      </c>
      <c r="DU191" s="5" t="s">
        <v>1360</v>
      </c>
    </row>
    <row r="192" spans="1:221" x14ac:dyDescent="0.4">
      <c r="A192" s="5">
        <v>903</v>
      </c>
      <c r="B192" s="5">
        <v>1</v>
      </c>
      <c r="C192" s="5">
        <v>1</v>
      </c>
      <c r="D192" s="5" t="s">
        <v>6583</v>
      </c>
      <c r="E192" s="5" t="s">
        <v>4391</v>
      </c>
      <c r="F192" s="5" t="s">
        <v>248</v>
      </c>
      <c r="G192" s="5" t="s">
        <v>6582</v>
      </c>
      <c r="H192" s="6" t="s">
        <v>6805</v>
      </c>
      <c r="I192" s="7">
        <f>1232.13</f>
        <v>1232.1300000000001</v>
      </c>
      <c r="J192" s="5" t="s">
        <v>262</v>
      </c>
      <c r="K192" s="8">
        <f>4558881</f>
        <v>4558881</v>
      </c>
      <c r="L192" s="6" t="s">
        <v>242</v>
      </c>
      <c r="M192" s="5" t="s">
        <v>267</v>
      </c>
      <c r="N192" s="5" t="s">
        <v>237</v>
      </c>
      <c r="Q192" s="5" t="s">
        <v>239</v>
      </c>
      <c r="R192" s="5" t="s">
        <v>270</v>
      </c>
      <c r="S192" s="5" t="s">
        <v>238</v>
      </c>
      <c r="V192" s="5" t="s">
        <v>238</v>
      </c>
      <c r="W192" s="6" t="s">
        <v>238</v>
      </c>
      <c r="X192" s="6" t="s">
        <v>238</v>
      </c>
      <c r="Y192" s="5" t="s">
        <v>238</v>
      </c>
      <c r="Z192" s="6" t="s">
        <v>238</v>
      </c>
      <c r="AA192" s="6" t="s">
        <v>243</v>
      </c>
      <c r="AB192" s="5" t="s">
        <v>238</v>
      </c>
      <c r="AC192" s="5" t="s">
        <v>244</v>
      </c>
      <c r="AD192" s="5" t="s">
        <v>245</v>
      </c>
      <c r="AJ192" s="5" t="s">
        <v>238</v>
      </c>
      <c r="AK192" s="5" t="s">
        <v>238</v>
      </c>
      <c r="AL192" s="5" t="s">
        <v>238</v>
      </c>
      <c r="AM192" s="6" t="s">
        <v>238</v>
      </c>
      <c r="AN192" s="6" t="s">
        <v>238</v>
      </c>
      <c r="AT192" s="5" t="s">
        <v>246</v>
      </c>
      <c r="AU192" s="5" t="s">
        <v>489</v>
      </c>
      <c r="AV192" s="5" t="s">
        <v>247</v>
      </c>
      <c r="AW192" s="5" t="s">
        <v>600</v>
      </c>
      <c r="AX192" s="5" t="s">
        <v>249</v>
      </c>
      <c r="AY192" s="5" t="s">
        <v>490</v>
      </c>
      <c r="BA192" s="5" t="s">
        <v>4547</v>
      </c>
      <c r="BC192" s="5" t="s">
        <v>250</v>
      </c>
      <c r="BD192" s="6" t="s">
        <v>492</v>
      </c>
      <c r="BE192" s="5" t="s">
        <v>251</v>
      </c>
      <c r="BF192" s="5" t="s">
        <v>252</v>
      </c>
      <c r="BG192" s="5" t="s">
        <v>238</v>
      </c>
      <c r="BH192" s="7">
        <f>0</f>
        <v>0</v>
      </c>
      <c r="BI192" s="8">
        <f>0</f>
        <v>0</v>
      </c>
      <c r="BJ192" s="5" t="s">
        <v>253</v>
      </c>
      <c r="BK192" s="5" t="s">
        <v>254</v>
      </c>
      <c r="BT192" s="6" t="s">
        <v>238</v>
      </c>
      <c r="BU192" s="5" t="s">
        <v>238</v>
      </c>
      <c r="BV192" s="5" t="s">
        <v>238</v>
      </c>
      <c r="BW192" s="5" t="s">
        <v>238</v>
      </c>
      <c r="BY192" s="5" t="s">
        <v>238</v>
      </c>
      <c r="BZ192" s="5" t="s">
        <v>238</v>
      </c>
      <c r="CD192" s="5" t="s">
        <v>255</v>
      </c>
      <c r="CE192" s="5" t="s">
        <v>256</v>
      </c>
      <c r="CF192" s="5" t="s">
        <v>261</v>
      </c>
      <c r="CH192" s="5" t="s">
        <v>238</v>
      </c>
      <c r="CI192" s="6" t="s">
        <v>257</v>
      </c>
      <c r="CJ192" s="5" t="s">
        <v>238</v>
      </c>
      <c r="CK192" s="5" t="s">
        <v>258</v>
      </c>
      <c r="CL192" s="5" t="s">
        <v>238</v>
      </c>
      <c r="CM192" s="5" t="s">
        <v>238</v>
      </c>
      <c r="CN192" s="5">
        <v>0</v>
      </c>
      <c r="CO192" s="5" t="s">
        <v>497</v>
      </c>
      <c r="CP192" s="5" t="s">
        <v>260</v>
      </c>
      <c r="CQ192" s="5" t="s">
        <v>260</v>
      </c>
      <c r="CR192" s="5" t="s">
        <v>261</v>
      </c>
      <c r="CS192" s="5" t="s">
        <v>238</v>
      </c>
      <c r="CT192" s="7" t="s">
        <v>238</v>
      </c>
      <c r="CU192" s="8">
        <f>4558881</f>
        <v>4558881</v>
      </c>
      <c r="CV192" s="8">
        <f>0</f>
        <v>0</v>
      </c>
      <c r="CW192" s="8" t="s">
        <v>238</v>
      </c>
      <c r="CX192" s="8">
        <f>0</f>
        <v>0</v>
      </c>
      <c r="CY192" s="8">
        <f>4558881</f>
        <v>4558881</v>
      </c>
      <c r="CZ192" s="8" t="s">
        <v>238</v>
      </c>
      <c r="DA192" s="5" t="s">
        <v>263</v>
      </c>
      <c r="DB192" s="5" t="s">
        <v>238</v>
      </c>
      <c r="DD192" s="5" t="s">
        <v>356</v>
      </c>
      <c r="DE192" s="8">
        <f>0</f>
        <v>0</v>
      </c>
      <c r="DF192" s="6" t="s">
        <v>238</v>
      </c>
      <c r="DG192" s="5" t="s">
        <v>263</v>
      </c>
      <c r="DH192" s="5" t="s">
        <v>238</v>
      </c>
      <c r="DI192" s="5" t="s">
        <v>238</v>
      </c>
      <c r="DJ192" s="5" t="s">
        <v>238</v>
      </c>
      <c r="DK192" s="5" t="s">
        <v>238</v>
      </c>
      <c r="DL192" s="5" t="s">
        <v>238</v>
      </c>
      <c r="DM192" s="8" t="s">
        <v>238</v>
      </c>
      <c r="DN192" s="5" t="s">
        <v>238</v>
      </c>
      <c r="DO192" s="5" t="s">
        <v>244</v>
      </c>
      <c r="DP192" s="5" t="s">
        <v>490</v>
      </c>
      <c r="DQ192" s="5" t="s">
        <v>490</v>
      </c>
      <c r="DR192" s="5" t="s">
        <v>238</v>
      </c>
      <c r="DS192" s="5" t="s">
        <v>238</v>
      </c>
      <c r="DT192" s="5" t="s">
        <v>6585</v>
      </c>
      <c r="DU192" s="5" t="s">
        <v>1358</v>
      </c>
    </row>
    <row r="193" spans="1:221" x14ac:dyDescent="0.4">
      <c r="A193" s="5">
        <v>904</v>
      </c>
      <c r="B193" s="5">
        <v>1</v>
      </c>
      <c r="C193" s="5">
        <v>1</v>
      </c>
      <c r="D193" s="5" t="s">
        <v>6583</v>
      </c>
      <c r="E193" s="5" t="s">
        <v>4391</v>
      </c>
      <c r="F193" s="5" t="s">
        <v>248</v>
      </c>
      <c r="G193" s="5" t="s">
        <v>6582</v>
      </c>
      <c r="H193" s="6" t="s">
        <v>6841</v>
      </c>
      <c r="I193" s="7">
        <f>226.31</f>
        <v>226.31</v>
      </c>
      <c r="J193" s="5" t="s">
        <v>262</v>
      </c>
      <c r="K193" s="8">
        <f>837347</f>
        <v>837347</v>
      </c>
      <c r="L193" s="6" t="s">
        <v>242</v>
      </c>
      <c r="M193" s="5" t="s">
        <v>267</v>
      </c>
      <c r="N193" s="5" t="s">
        <v>237</v>
      </c>
      <c r="Q193" s="5" t="s">
        <v>239</v>
      </c>
      <c r="R193" s="5" t="s">
        <v>270</v>
      </c>
      <c r="S193" s="5" t="s">
        <v>238</v>
      </c>
      <c r="V193" s="5" t="s">
        <v>238</v>
      </c>
      <c r="W193" s="6" t="s">
        <v>238</v>
      </c>
      <c r="X193" s="6" t="s">
        <v>238</v>
      </c>
      <c r="Y193" s="5" t="s">
        <v>238</v>
      </c>
      <c r="Z193" s="6" t="s">
        <v>238</v>
      </c>
      <c r="AA193" s="6" t="s">
        <v>243</v>
      </c>
      <c r="AB193" s="5" t="s">
        <v>238</v>
      </c>
      <c r="AC193" s="5" t="s">
        <v>244</v>
      </c>
      <c r="AD193" s="5" t="s">
        <v>245</v>
      </c>
      <c r="AJ193" s="5" t="s">
        <v>238</v>
      </c>
      <c r="AK193" s="5" t="s">
        <v>238</v>
      </c>
      <c r="AL193" s="5" t="s">
        <v>238</v>
      </c>
      <c r="AM193" s="6" t="s">
        <v>238</v>
      </c>
      <c r="AN193" s="6" t="s">
        <v>238</v>
      </c>
      <c r="AT193" s="5" t="s">
        <v>246</v>
      </c>
      <c r="AU193" s="5" t="s">
        <v>489</v>
      </c>
      <c r="AV193" s="5" t="s">
        <v>247</v>
      </c>
      <c r="AW193" s="5" t="s">
        <v>600</v>
      </c>
      <c r="AX193" s="5" t="s">
        <v>249</v>
      </c>
      <c r="AY193" s="5" t="s">
        <v>490</v>
      </c>
      <c r="BA193" s="5" t="s">
        <v>4547</v>
      </c>
      <c r="BC193" s="5" t="s">
        <v>250</v>
      </c>
      <c r="BD193" s="6" t="s">
        <v>492</v>
      </c>
      <c r="BE193" s="5" t="s">
        <v>251</v>
      </c>
      <c r="BF193" s="5" t="s">
        <v>252</v>
      </c>
      <c r="BG193" s="5" t="s">
        <v>238</v>
      </c>
      <c r="BH193" s="7">
        <f>0</f>
        <v>0</v>
      </c>
      <c r="BI193" s="8">
        <f>0</f>
        <v>0</v>
      </c>
      <c r="BJ193" s="5" t="s">
        <v>253</v>
      </c>
      <c r="BK193" s="5" t="s">
        <v>254</v>
      </c>
      <c r="BT193" s="6" t="s">
        <v>238</v>
      </c>
      <c r="BU193" s="5" t="s">
        <v>238</v>
      </c>
      <c r="BV193" s="5" t="s">
        <v>238</v>
      </c>
      <c r="BW193" s="5" t="s">
        <v>238</v>
      </c>
      <c r="BY193" s="5" t="s">
        <v>238</v>
      </c>
      <c r="BZ193" s="5" t="s">
        <v>238</v>
      </c>
      <c r="CD193" s="5" t="s">
        <v>255</v>
      </c>
      <c r="CE193" s="5" t="s">
        <v>256</v>
      </c>
      <c r="CF193" s="5" t="s">
        <v>261</v>
      </c>
      <c r="CH193" s="5" t="s">
        <v>238</v>
      </c>
      <c r="CI193" s="6" t="s">
        <v>257</v>
      </c>
      <c r="CJ193" s="5" t="s">
        <v>238</v>
      </c>
      <c r="CK193" s="5" t="s">
        <v>258</v>
      </c>
      <c r="CL193" s="5" t="s">
        <v>238</v>
      </c>
      <c r="CM193" s="5" t="s">
        <v>238</v>
      </c>
      <c r="CN193" s="5">
        <v>0</v>
      </c>
      <c r="CO193" s="5" t="s">
        <v>497</v>
      </c>
      <c r="CP193" s="5" t="s">
        <v>260</v>
      </c>
      <c r="CQ193" s="5" t="s">
        <v>260</v>
      </c>
      <c r="CR193" s="5" t="s">
        <v>261</v>
      </c>
      <c r="CS193" s="5" t="s">
        <v>238</v>
      </c>
      <c r="CT193" s="7" t="s">
        <v>238</v>
      </c>
      <c r="CU193" s="8">
        <f>837347</f>
        <v>837347</v>
      </c>
      <c r="CV193" s="8">
        <f>0</f>
        <v>0</v>
      </c>
      <c r="CW193" s="8" t="s">
        <v>238</v>
      </c>
      <c r="CX193" s="8">
        <f>0</f>
        <v>0</v>
      </c>
      <c r="CY193" s="8">
        <f>837347</f>
        <v>837347</v>
      </c>
      <c r="CZ193" s="8" t="s">
        <v>238</v>
      </c>
      <c r="DA193" s="5" t="s">
        <v>263</v>
      </c>
      <c r="DB193" s="5" t="s">
        <v>238</v>
      </c>
      <c r="DD193" s="5" t="s">
        <v>356</v>
      </c>
      <c r="DE193" s="8">
        <f>0</f>
        <v>0</v>
      </c>
      <c r="DF193" s="6" t="s">
        <v>238</v>
      </c>
      <c r="DG193" s="5" t="s">
        <v>263</v>
      </c>
      <c r="DH193" s="5" t="s">
        <v>238</v>
      </c>
      <c r="DI193" s="5" t="s">
        <v>238</v>
      </c>
      <c r="DJ193" s="5" t="s">
        <v>238</v>
      </c>
      <c r="DK193" s="5" t="s">
        <v>238</v>
      </c>
      <c r="DL193" s="5" t="s">
        <v>238</v>
      </c>
      <c r="DM193" s="8" t="s">
        <v>238</v>
      </c>
      <c r="DN193" s="5" t="s">
        <v>238</v>
      </c>
      <c r="DO193" s="5" t="s">
        <v>244</v>
      </c>
      <c r="DP193" s="5" t="s">
        <v>490</v>
      </c>
      <c r="DQ193" s="5" t="s">
        <v>490</v>
      </c>
      <c r="DR193" s="5" t="s">
        <v>238</v>
      </c>
      <c r="DS193" s="5" t="s">
        <v>238</v>
      </c>
      <c r="DT193" s="5" t="s">
        <v>6585</v>
      </c>
      <c r="DU193" s="5" t="s">
        <v>976</v>
      </c>
    </row>
    <row r="194" spans="1:221" x14ac:dyDescent="0.4">
      <c r="A194" s="5">
        <v>905</v>
      </c>
      <c r="B194" s="5">
        <v>1</v>
      </c>
      <c r="C194" s="5">
        <v>1</v>
      </c>
      <c r="D194" s="5" t="s">
        <v>6583</v>
      </c>
      <c r="E194" s="5" t="s">
        <v>4391</v>
      </c>
      <c r="F194" s="5" t="s">
        <v>248</v>
      </c>
      <c r="G194" s="5" t="s">
        <v>6582</v>
      </c>
      <c r="H194" s="6" t="s">
        <v>6709</v>
      </c>
      <c r="I194" s="7">
        <f>2954</f>
        <v>2954</v>
      </c>
      <c r="J194" s="5" t="s">
        <v>262</v>
      </c>
      <c r="K194" s="8">
        <f>6543110</f>
        <v>6543110</v>
      </c>
      <c r="L194" s="6" t="s">
        <v>242</v>
      </c>
      <c r="M194" s="5" t="s">
        <v>267</v>
      </c>
      <c r="N194" s="5" t="s">
        <v>237</v>
      </c>
      <c r="Q194" s="5" t="s">
        <v>239</v>
      </c>
      <c r="R194" s="5" t="s">
        <v>270</v>
      </c>
      <c r="S194" s="5" t="s">
        <v>238</v>
      </c>
      <c r="V194" s="5" t="s">
        <v>238</v>
      </c>
      <c r="W194" s="6" t="s">
        <v>238</v>
      </c>
      <c r="X194" s="6" t="s">
        <v>238</v>
      </c>
      <c r="Y194" s="5" t="s">
        <v>238</v>
      </c>
      <c r="Z194" s="6" t="s">
        <v>238</v>
      </c>
      <c r="AA194" s="6" t="s">
        <v>243</v>
      </c>
      <c r="AB194" s="5" t="s">
        <v>238</v>
      </c>
      <c r="AC194" s="5" t="s">
        <v>244</v>
      </c>
      <c r="AD194" s="5" t="s">
        <v>245</v>
      </c>
      <c r="AJ194" s="5" t="s">
        <v>238</v>
      </c>
      <c r="AK194" s="5" t="s">
        <v>238</v>
      </c>
      <c r="AL194" s="5" t="s">
        <v>238</v>
      </c>
      <c r="AM194" s="6" t="s">
        <v>238</v>
      </c>
      <c r="AN194" s="6" t="s">
        <v>238</v>
      </c>
      <c r="AT194" s="5" t="s">
        <v>246</v>
      </c>
      <c r="AU194" s="5" t="s">
        <v>489</v>
      </c>
      <c r="AV194" s="5" t="s">
        <v>247</v>
      </c>
      <c r="AW194" s="5" t="s">
        <v>600</v>
      </c>
      <c r="AX194" s="5" t="s">
        <v>249</v>
      </c>
      <c r="AY194" s="5" t="s">
        <v>490</v>
      </c>
      <c r="BA194" s="5" t="s">
        <v>4547</v>
      </c>
      <c r="BC194" s="5" t="s">
        <v>250</v>
      </c>
      <c r="BD194" s="6" t="s">
        <v>492</v>
      </c>
      <c r="BE194" s="5" t="s">
        <v>251</v>
      </c>
      <c r="BF194" s="5" t="s">
        <v>252</v>
      </c>
      <c r="BG194" s="5" t="s">
        <v>238</v>
      </c>
      <c r="BH194" s="7">
        <f>0</f>
        <v>0</v>
      </c>
      <c r="BI194" s="8">
        <f>0</f>
        <v>0</v>
      </c>
      <c r="BJ194" s="5" t="s">
        <v>253</v>
      </c>
      <c r="BK194" s="5" t="s">
        <v>254</v>
      </c>
      <c r="BT194" s="6" t="s">
        <v>238</v>
      </c>
      <c r="BU194" s="5" t="s">
        <v>238</v>
      </c>
      <c r="BV194" s="5" t="s">
        <v>238</v>
      </c>
      <c r="BW194" s="5" t="s">
        <v>238</v>
      </c>
      <c r="BY194" s="5" t="s">
        <v>238</v>
      </c>
      <c r="BZ194" s="5" t="s">
        <v>238</v>
      </c>
      <c r="CD194" s="5" t="s">
        <v>255</v>
      </c>
      <c r="CE194" s="5" t="s">
        <v>256</v>
      </c>
      <c r="CF194" s="5" t="s">
        <v>261</v>
      </c>
      <c r="CH194" s="5" t="s">
        <v>238</v>
      </c>
      <c r="CI194" s="6" t="s">
        <v>257</v>
      </c>
      <c r="CJ194" s="5" t="s">
        <v>238</v>
      </c>
      <c r="CK194" s="5" t="s">
        <v>258</v>
      </c>
      <c r="CL194" s="5" t="s">
        <v>238</v>
      </c>
      <c r="CM194" s="5" t="s">
        <v>238</v>
      </c>
      <c r="CN194" s="5">
        <v>0</v>
      </c>
      <c r="CO194" s="5" t="s">
        <v>497</v>
      </c>
      <c r="CP194" s="5" t="s">
        <v>260</v>
      </c>
      <c r="CQ194" s="5" t="s">
        <v>260</v>
      </c>
      <c r="CR194" s="5" t="s">
        <v>261</v>
      </c>
      <c r="CS194" s="5" t="s">
        <v>238</v>
      </c>
      <c r="CT194" s="7" t="s">
        <v>238</v>
      </c>
      <c r="CU194" s="8">
        <f>6543110</f>
        <v>6543110</v>
      </c>
      <c r="CV194" s="8">
        <f>0</f>
        <v>0</v>
      </c>
      <c r="CW194" s="8" t="s">
        <v>238</v>
      </c>
      <c r="CX194" s="8">
        <f>0</f>
        <v>0</v>
      </c>
      <c r="CY194" s="8">
        <f>6543110</f>
        <v>6543110</v>
      </c>
      <c r="CZ194" s="8" t="s">
        <v>238</v>
      </c>
      <c r="DA194" s="5" t="s">
        <v>356</v>
      </c>
      <c r="DB194" s="5" t="s">
        <v>238</v>
      </c>
      <c r="DD194" s="5" t="s">
        <v>356</v>
      </c>
      <c r="DE194" s="8">
        <f>0</f>
        <v>0</v>
      </c>
      <c r="DF194" s="6" t="s">
        <v>238</v>
      </c>
      <c r="DG194" s="5" t="s">
        <v>389</v>
      </c>
      <c r="DH194" s="5" t="s">
        <v>238</v>
      </c>
      <c r="DI194" s="5" t="s">
        <v>238</v>
      </c>
      <c r="DJ194" s="5" t="s">
        <v>238</v>
      </c>
      <c r="DK194" s="5" t="s">
        <v>238</v>
      </c>
      <c r="DL194" s="5" t="s">
        <v>238</v>
      </c>
      <c r="DM194" s="8" t="s">
        <v>238</v>
      </c>
      <c r="DN194" s="5" t="s">
        <v>238</v>
      </c>
      <c r="DO194" s="5" t="s">
        <v>244</v>
      </c>
      <c r="DP194" s="5" t="s">
        <v>490</v>
      </c>
      <c r="DQ194" s="5" t="s">
        <v>490</v>
      </c>
      <c r="DR194" s="5" t="s">
        <v>238</v>
      </c>
      <c r="DS194" s="5" t="s">
        <v>238</v>
      </c>
      <c r="DT194" s="5" t="s">
        <v>6585</v>
      </c>
      <c r="DU194" s="5" t="s">
        <v>1354</v>
      </c>
    </row>
    <row r="195" spans="1:221" x14ac:dyDescent="0.4">
      <c r="A195" s="5">
        <v>906</v>
      </c>
      <c r="B195" s="5">
        <v>1</v>
      </c>
      <c r="C195" s="5">
        <v>1</v>
      </c>
      <c r="D195" s="5" t="s">
        <v>6583</v>
      </c>
      <c r="E195" s="5" t="s">
        <v>4391</v>
      </c>
      <c r="F195" s="5" t="s">
        <v>248</v>
      </c>
      <c r="G195" s="5" t="s">
        <v>6582</v>
      </c>
      <c r="H195" s="6" t="s">
        <v>6641</v>
      </c>
      <c r="I195" s="7">
        <f>383</f>
        <v>383</v>
      </c>
      <c r="J195" s="5" t="s">
        <v>262</v>
      </c>
      <c r="K195" s="8">
        <f>848345</f>
        <v>848345</v>
      </c>
      <c r="L195" s="6" t="s">
        <v>242</v>
      </c>
      <c r="M195" s="5" t="s">
        <v>267</v>
      </c>
      <c r="N195" s="5" t="s">
        <v>237</v>
      </c>
      <c r="Q195" s="5" t="s">
        <v>239</v>
      </c>
      <c r="R195" s="5" t="s">
        <v>270</v>
      </c>
      <c r="S195" s="5" t="s">
        <v>238</v>
      </c>
      <c r="V195" s="5" t="s">
        <v>238</v>
      </c>
      <c r="W195" s="6" t="s">
        <v>238</v>
      </c>
      <c r="X195" s="6" t="s">
        <v>238</v>
      </c>
      <c r="Y195" s="5" t="s">
        <v>238</v>
      </c>
      <c r="Z195" s="6" t="s">
        <v>238</v>
      </c>
      <c r="AA195" s="6" t="s">
        <v>243</v>
      </c>
      <c r="AB195" s="5" t="s">
        <v>238</v>
      </c>
      <c r="AC195" s="5" t="s">
        <v>244</v>
      </c>
      <c r="AD195" s="5" t="s">
        <v>245</v>
      </c>
      <c r="AJ195" s="5" t="s">
        <v>238</v>
      </c>
      <c r="AK195" s="5" t="s">
        <v>238</v>
      </c>
      <c r="AL195" s="5" t="s">
        <v>238</v>
      </c>
      <c r="AM195" s="6" t="s">
        <v>238</v>
      </c>
      <c r="AN195" s="6" t="s">
        <v>238</v>
      </c>
      <c r="AT195" s="5" t="s">
        <v>246</v>
      </c>
      <c r="AU195" s="5" t="s">
        <v>489</v>
      </c>
      <c r="AV195" s="5" t="s">
        <v>247</v>
      </c>
      <c r="AW195" s="5" t="s">
        <v>600</v>
      </c>
      <c r="AX195" s="5" t="s">
        <v>249</v>
      </c>
      <c r="AY195" s="5" t="s">
        <v>490</v>
      </c>
      <c r="BA195" s="5" t="s">
        <v>4547</v>
      </c>
      <c r="BC195" s="5" t="s">
        <v>250</v>
      </c>
      <c r="BD195" s="6" t="s">
        <v>492</v>
      </c>
      <c r="BE195" s="5" t="s">
        <v>251</v>
      </c>
      <c r="BF195" s="5" t="s">
        <v>252</v>
      </c>
      <c r="BG195" s="5" t="s">
        <v>238</v>
      </c>
      <c r="BH195" s="7">
        <f>0</f>
        <v>0</v>
      </c>
      <c r="BI195" s="8">
        <f>0</f>
        <v>0</v>
      </c>
      <c r="BJ195" s="5" t="s">
        <v>253</v>
      </c>
      <c r="BK195" s="5" t="s">
        <v>254</v>
      </c>
      <c r="BT195" s="6" t="s">
        <v>238</v>
      </c>
      <c r="BU195" s="5" t="s">
        <v>238</v>
      </c>
      <c r="BV195" s="5" t="s">
        <v>238</v>
      </c>
      <c r="BW195" s="5" t="s">
        <v>238</v>
      </c>
      <c r="BY195" s="5" t="s">
        <v>238</v>
      </c>
      <c r="BZ195" s="5" t="s">
        <v>238</v>
      </c>
      <c r="CD195" s="5" t="s">
        <v>255</v>
      </c>
      <c r="CE195" s="5" t="s">
        <v>256</v>
      </c>
      <c r="CF195" s="5" t="s">
        <v>261</v>
      </c>
      <c r="CH195" s="5" t="s">
        <v>238</v>
      </c>
      <c r="CI195" s="6" t="s">
        <v>257</v>
      </c>
      <c r="CJ195" s="5" t="s">
        <v>238</v>
      </c>
      <c r="CK195" s="5" t="s">
        <v>258</v>
      </c>
      <c r="CL195" s="5" t="s">
        <v>238</v>
      </c>
      <c r="CM195" s="5" t="s">
        <v>238</v>
      </c>
      <c r="CN195" s="5">
        <v>0</v>
      </c>
      <c r="CO195" s="5" t="s">
        <v>497</v>
      </c>
      <c r="CP195" s="5" t="s">
        <v>260</v>
      </c>
      <c r="CQ195" s="5" t="s">
        <v>260</v>
      </c>
      <c r="CR195" s="5" t="s">
        <v>261</v>
      </c>
      <c r="CS195" s="5" t="s">
        <v>238</v>
      </c>
      <c r="CT195" s="7" t="s">
        <v>238</v>
      </c>
      <c r="CU195" s="8">
        <f>848345</f>
        <v>848345</v>
      </c>
      <c r="CV195" s="8">
        <f>0</f>
        <v>0</v>
      </c>
      <c r="CW195" s="8" t="s">
        <v>238</v>
      </c>
      <c r="CX195" s="8">
        <f>0</f>
        <v>0</v>
      </c>
      <c r="CY195" s="8">
        <f>848345</f>
        <v>848345</v>
      </c>
      <c r="CZ195" s="8" t="s">
        <v>238</v>
      </c>
      <c r="DA195" s="5" t="s">
        <v>356</v>
      </c>
      <c r="DB195" s="5" t="s">
        <v>238</v>
      </c>
      <c r="DD195" s="5" t="s">
        <v>356</v>
      </c>
      <c r="DE195" s="8">
        <f>0</f>
        <v>0</v>
      </c>
      <c r="DF195" s="6" t="s">
        <v>238</v>
      </c>
      <c r="DG195" s="5" t="s">
        <v>389</v>
      </c>
      <c r="DH195" s="5" t="s">
        <v>238</v>
      </c>
      <c r="DI195" s="5" t="s">
        <v>238</v>
      </c>
      <c r="DJ195" s="5" t="s">
        <v>238</v>
      </c>
      <c r="DK195" s="5" t="s">
        <v>238</v>
      </c>
      <c r="DL195" s="5" t="s">
        <v>238</v>
      </c>
      <c r="DM195" s="8" t="s">
        <v>238</v>
      </c>
      <c r="DN195" s="5" t="s">
        <v>238</v>
      </c>
      <c r="DO195" s="5" t="s">
        <v>244</v>
      </c>
      <c r="DP195" s="5" t="s">
        <v>490</v>
      </c>
      <c r="DQ195" s="5" t="s">
        <v>490</v>
      </c>
      <c r="DR195" s="5" t="s">
        <v>238</v>
      </c>
      <c r="DS195" s="5" t="s">
        <v>238</v>
      </c>
      <c r="DT195" s="5" t="s">
        <v>6585</v>
      </c>
      <c r="DU195" s="5" t="s">
        <v>1350</v>
      </c>
    </row>
    <row r="196" spans="1:221" x14ac:dyDescent="0.4">
      <c r="A196" s="5">
        <v>907</v>
      </c>
      <c r="B196" s="5">
        <v>1</v>
      </c>
      <c r="C196" s="5">
        <v>1</v>
      </c>
      <c r="D196" s="5" t="s">
        <v>6583</v>
      </c>
      <c r="E196" s="5" t="s">
        <v>4391</v>
      </c>
      <c r="F196" s="5" t="s">
        <v>248</v>
      </c>
      <c r="G196" s="5" t="s">
        <v>6582</v>
      </c>
      <c r="H196" s="6" t="s">
        <v>6804</v>
      </c>
      <c r="I196" s="7">
        <f>1505</f>
        <v>1505</v>
      </c>
      <c r="J196" s="5" t="s">
        <v>262</v>
      </c>
      <c r="K196" s="8">
        <f>3333575</f>
        <v>3333575</v>
      </c>
      <c r="L196" s="6" t="s">
        <v>242</v>
      </c>
      <c r="M196" s="5" t="s">
        <v>267</v>
      </c>
      <c r="N196" s="5" t="s">
        <v>237</v>
      </c>
      <c r="Q196" s="5" t="s">
        <v>239</v>
      </c>
      <c r="R196" s="5" t="s">
        <v>270</v>
      </c>
      <c r="S196" s="5" t="s">
        <v>238</v>
      </c>
      <c r="V196" s="5" t="s">
        <v>238</v>
      </c>
      <c r="W196" s="6" t="s">
        <v>238</v>
      </c>
      <c r="X196" s="6" t="s">
        <v>238</v>
      </c>
      <c r="Y196" s="5" t="s">
        <v>238</v>
      </c>
      <c r="Z196" s="6" t="s">
        <v>238</v>
      </c>
      <c r="AA196" s="6" t="s">
        <v>243</v>
      </c>
      <c r="AB196" s="5" t="s">
        <v>238</v>
      </c>
      <c r="AC196" s="5" t="s">
        <v>244</v>
      </c>
      <c r="AD196" s="5" t="s">
        <v>245</v>
      </c>
      <c r="AJ196" s="5" t="s">
        <v>238</v>
      </c>
      <c r="AK196" s="5" t="s">
        <v>238</v>
      </c>
      <c r="AL196" s="5" t="s">
        <v>238</v>
      </c>
      <c r="AM196" s="6" t="s">
        <v>238</v>
      </c>
      <c r="AN196" s="6" t="s">
        <v>238</v>
      </c>
      <c r="AT196" s="5" t="s">
        <v>246</v>
      </c>
      <c r="AU196" s="5" t="s">
        <v>489</v>
      </c>
      <c r="AV196" s="5" t="s">
        <v>247</v>
      </c>
      <c r="AW196" s="5" t="s">
        <v>600</v>
      </c>
      <c r="AX196" s="5" t="s">
        <v>249</v>
      </c>
      <c r="AY196" s="5" t="s">
        <v>490</v>
      </c>
      <c r="BA196" s="5" t="s">
        <v>4547</v>
      </c>
      <c r="BC196" s="5" t="s">
        <v>250</v>
      </c>
      <c r="BD196" s="6" t="s">
        <v>492</v>
      </c>
      <c r="BE196" s="5" t="s">
        <v>251</v>
      </c>
      <c r="BF196" s="5" t="s">
        <v>252</v>
      </c>
      <c r="BG196" s="5" t="s">
        <v>238</v>
      </c>
      <c r="BH196" s="7">
        <f>0</f>
        <v>0</v>
      </c>
      <c r="BI196" s="8">
        <f>0</f>
        <v>0</v>
      </c>
      <c r="BJ196" s="5" t="s">
        <v>253</v>
      </c>
      <c r="BK196" s="5" t="s">
        <v>254</v>
      </c>
      <c r="BT196" s="6" t="s">
        <v>238</v>
      </c>
      <c r="BU196" s="5" t="s">
        <v>238</v>
      </c>
      <c r="BV196" s="5" t="s">
        <v>238</v>
      </c>
      <c r="BW196" s="5" t="s">
        <v>238</v>
      </c>
      <c r="BY196" s="5" t="s">
        <v>238</v>
      </c>
      <c r="BZ196" s="5" t="s">
        <v>238</v>
      </c>
      <c r="CD196" s="5" t="s">
        <v>255</v>
      </c>
      <c r="CE196" s="5" t="s">
        <v>256</v>
      </c>
      <c r="CF196" s="5" t="s">
        <v>261</v>
      </c>
      <c r="CH196" s="5" t="s">
        <v>238</v>
      </c>
      <c r="CI196" s="6" t="s">
        <v>257</v>
      </c>
      <c r="CJ196" s="5" t="s">
        <v>238</v>
      </c>
      <c r="CK196" s="5" t="s">
        <v>258</v>
      </c>
      <c r="CL196" s="5" t="s">
        <v>238</v>
      </c>
      <c r="CM196" s="5" t="s">
        <v>238</v>
      </c>
      <c r="CN196" s="5">
        <v>0</v>
      </c>
      <c r="CO196" s="5" t="s">
        <v>497</v>
      </c>
      <c r="CP196" s="5" t="s">
        <v>260</v>
      </c>
      <c r="CQ196" s="5" t="s">
        <v>260</v>
      </c>
      <c r="CR196" s="5" t="s">
        <v>261</v>
      </c>
      <c r="CS196" s="5" t="s">
        <v>238</v>
      </c>
      <c r="CT196" s="7" t="s">
        <v>238</v>
      </c>
      <c r="CU196" s="8">
        <f>3333575</f>
        <v>3333575</v>
      </c>
      <c r="CV196" s="8">
        <f>0</f>
        <v>0</v>
      </c>
      <c r="CW196" s="8" t="s">
        <v>238</v>
      </c>
      <c r="CX196" s="8">
        <f>0</f>
        <v>0</v>
      </c>
      <c r="CY196" s="8">
        <f>3333575</f>
        <v>3333575</v>
      </c>
      <c r="CZ196" s="8" t="s">
        <v>238</v>
      </c>
      <c r="DA196" s="5" t="s">
        <v>356</v>
      </c>
      <c r="DB196" s="5" t="s">
        <v>238</v>
      </c>
      <c r="DD196" s="5" t="s">
        <v>356</v>
      </c>
      <c r="DE196" s="8">
        <f>0</f>
        <v>0</v>
      </c>
      <c r="DF196" s="6" t="s">
        <v>238</v>
      </c>
      <c r="DG196" s="5" t="s">
        <v>389</v>
      </c>
      <c r="DH196" s="5" t="s">
        <v>238</v>
      </c>
      <c r="DI196" s="5" t="s">
        <v>238</v>
      </c>
      <c r="DJ196" s="5" t="s">
        <v>238</v>
      </c>
      <c r="DK196" s="5" t="s">
        <v>238</v>
      </c>
      <c r="DL196" s="5" t="s">
        <v>238</v>
      </c>
      <c r="DM196" s="8" t="s">
        <v>238</v>
      </c>
      <c r="DN196" s="5" t="s">
        <v>238</v>
      </c>
      <c r="DO196" s="5" t="s">
        <v>244</v>
      </c>
      <c r="DP196" s="5" t="s">
        <v>490</v>
      </c>
      <c r="DQ196" s="5" t="s">
        <v>490</v>
      </c>
      <c r="DR196" s="5" t="s">
        <v>238</v>
      </c>
      <c r="DS196" s="5" t="s">
        <v>238</v>
      </c>
      <c r="DT196" s="5" t="s">
        <v>6585</v>
      </c>
      <c r="DU196" s="5" t="s">
        <v>1346</v>
      </c>
    </row>
    <row r="197" spans="1:221" x14ac:dyDescent="0.4">
      <c r="A197" s="5">
        <v>908</v>
      </c>
      <c r="B197" s="5">
        <v>1</v>
      </c>
      <c r="C197" s="5">
        <v>1</v>
      </c>
      <c r="D197" s="5" t="s">
        <v>6583</v>
      </c>
      <c r="E197" s="5" t="s">
        <v>4391</v>
      </c>
      <c r="F197" s="5" t="s">
        <v>248</v>
      </c>
      <c r="G197" s="5" t="s">
        <v>6582</v>
      </c>
      <c r="H197" s="6" t="s">
        <v>6788</v>
      </c>
      <c r="I197" s="7">
        <f>14</f>
        <v>14</v>
      </c>
      <c r="J197" s="5" t="s">
        <v>262</v>
      </c>
      <c r="K197" s="8">
        <f>31010</f>
        <v>31010</v>
      </c>
      <c r="L197" s="6" t="s">
        <v>242</v>
      </c>
      <c r="M197" s="5" t="s">
        <v>267</v>
      </c>
      <c r="N197" s="5" t="s">
        <v>237</v>
      </c>
      <c r="Q197" s="5" t="s">
        <v>239</v>
      </c>
      <c r="R197" s="5" t="s">
        <v>270</v>
      </c>
      <c r="S197" s="5" t="s">
        <v>238</v>
      </c>
      <c r="V197" s="5" t="s">
        <v>238</v>
      </c>
      <c r="W197" s="6" t="s">
        <v>238</v>
      </c>
      <c r="X197" s="6" t="s">
        <v>238</v>
      </c>
      <c r="Y197" s="5" t="s">
        <v>238</v>
      </c>
      <c r="Z197" s="6" t="s">
        <v>238</v>
      </c>
      <c r="AA197" s="6" t="s">
        <v>243</v>
      </c>
      <c r="AB197" s="5" t="s">
        <v>238</v>
      </c>
      <c r="AC197" s="5" t="s">
        <v>244</v>
      </c>
      <c r="AD197" s="5" t="s">
        <v>245</v>
      </c>
      <c r="AJ197" s="5" t="s">
        <v>238</v>
      </c>
      <c r="AK197" s="5" t="s">
        <v>238</v>
      </c>
      <c r="AL197" s="5" t="s">
        <v>238</v>
      </c>
      <c r="AM197" s="6" t="s">
        <v>238</v>
      </c>
      <c r="AN197" s="6" t="s">
        <v>238</v>
      </c>
      <c r="AT197" s="5" t="s">
        <v>246</v>
      </c>
      <c r="AU197" s="5" t="s">
        <v>489</v>
      </c>
      <c r="AV197" s="5" t="s">
        <v>247</v>
      </c>
      <c r="AW197" s="5" t="s">
        <v>600</v>
      </c>
      <c r="AX197" s="5" t="s">
        <v>249</v>
      </c>
      <c r="AY197" s="5" t="s">
        <v>490</v>
      </c>
      <c r="BA197" s="5" t="s">
        <v>4547</v>
      </c>
      <c r="BC197" s="5" t="s">
        <v>250</v>
      </c>
      <c r="BD197" s="6" t="s">
        <v>492</v>
      </c>
      <c r="BE197" s="5" t="s">
        <v>251</v>
      </c>
      <c r="BF197" s="5" t="s">
        <v>252</v>
      </c>
      <c r="BG197" s="5" t="s">
        <v>238</v>
      </c>
      <c r="BH197" s="7">
        <f>0</f>
        <v>0</v>
      </c>
      <c r="BI197" s="8">
        <f>0</f>
        <v>0</v>
      </c>
      <c r="BJ197" s="5" t="s">
        <v>253</v>
      </c>
      <c r="BK197" s="5" t="s">
        <v>254</v>
      </c>
      <c r="BT197" s="6" t="s">
        <v>238</v>
      </c>
      <c r="BU197" s="5" t="s">
        <v>238</v>
      </c>
      <c r="BV197" s="5" t="s">
        <v>238</v>
      </c>
      <c r="BW197" s="5" t="s">
        <v>238</v>
      </c>
      <c r="BY197" s="5" t="s">
        <v>238</v>
      </c>
      <c r="BZ197" s="5" t="s">
        <v>238</v>
      </c>
      <c r="CD197" s="5" t="s">
        <v>255</v>
      </c>
      <c r="CE197" s="5" t="s">
        <v>256</v>
      </c>
      <c r="CF197" s="5" t="s">
        <v>261</v>
      </c>
      <c r="CH197" s="5" t="s">
        <v>238</v>
      </c>
      <c r="CI197" s="6" t="s">
        <v>257</v>
      </c>
      <c r="CJ197" s="5" t="s">
        <v>238</v>
      </c>
      <c r="CK197" s="5" t="s">
        <v>258</v>
      </c>
      <c r="CL197" s="5" t="s">
        <v>238</v>
      </c>
      <c r="CM197" s="5" t="s">
        <v>238</v>
      </c>
      <c r="CN197" s="5">
        <v>0</v>
      </c>
      <c r="CO197" s="5" t="s">
        <v>497</v>
      </c>
      <c r="CP197" s="5" t="s">
        <v>260</v>
      </c>
      <c r="CQ197" s="5" t="s">
        <v>260</v>
      </c>
      <c r="CR197" s="5" t="s">
        <v>261</v>
      </c>
      <c r="CS197" s="5" t="s">
        <v>238</v>
      </c>
      <c r="CT197" s="7" t="s">
        <v>238</v>
      </c>
      <c r="CU197" s="8">
        <f>31010</f>
        <v>31010</v>
      </c>
      <c r="CV197" s="8">
        <f>0</f>
        <v>0</v>
      </c>
      <c r="CW197" s="8" t="s">
        <v>238</v>
      </c>
      <c r="CX197" s="8">
        <f>0</f>
        <v>0</v>
      </c>
      <c r="CY197" s="8">
        <f>31010</f>
        <v>31010</v>
      </c>
      <c r="CZ197" s="8" t="s">
        <v>238</v>
      </c>
      <c r="DA197" s="5" t="s">
        <v>356</v>
      </c>
      <c r="DB197" s="5" t="s">
        <v>238</v>
      </c>
      <c r="DD197" s="5" t="s">
        <v>356</v>
      </c>
      <c r="DE197" s="8">
        <f>0</f>
        <v>0</v>
      </c>
      <c r="DF197" s="6" t="s">
        <v>238</v>
      </c>
      <c r="DG197" s="5" t="s">
        <v>389</v>
      </c>
      <c r="DH197" s="5" t="s">
        <v>238</v>
      </c>
      <c r="DI197" s="5" t="s">
        <v>238</v>
      </c>
      <c r="DJ197" s="5" t="s">
        <v>238</v>
      </c>
      <c r="DK197" s="5" t="s">
        <v>238</v>
      </c>
      <c r="DL197" s="5" t="s">
        <v>238</v>
      </c>
      <c r="DM197" s="8" t="s">
        <v>238</v>
      </c>
      <c r="DN197" s="5" t="s">
        <v>238</v>
      </c>
      <c r="DO197" s="5" t="s">
        <v>244</v>
      </c>
      <c r="DP197" s="5" t="s">
        <v>490</v>
      </c>
      <c r="DQ197" s="5" t="s">
        <v>490</v>
      </c>
      <c r="DR197" s="5" t="s">
        <v>238</v>
      </c>
      <c r="DS197" s="5" t="s">
        <v>238</v>
      </c>
      <c r="DT197" s="5" t="s">
        <v>6585</v>
      </c>
      <c r="DU197" s="5" t="s">
        <v>1342</v>
      </c>
    </row>
    <row r="198" spans="1:221" x14ac:dyDescent="0.4">
      <c r="A198" s="5">
        <v>909</v>
      </c>
      <c r="B198" s="5">
        <v>1</v>
      </c>
      <c r="C198" s="5">
        <v>1</v>
      </c>
      <c r="D198" s="5" t="s">
        <v>6583</v>
      </c>
      <c r="E198" s="5" t="s">
        <v>4391</v>
      </c>
      <c r="F198" s="5" t="s">
        <v>248</v>
      </c>
      <c r="G198" s="5" t="s">
        <v>6582</v>
      </c>
      <c r="H198" s="6" t="s">
        <v>6780</v>
      </c>
      <c r="I198" s="7">
        <f>419</f>
        <v>419</v>
      </c>
      <c r="J198" s="5" t="s">
        <v>262</v>
      </c>
      <c r="K198" s="8">
        <f>1975166</f>
        <v>1975166</v>
      </c>
      <c r="L198" s="6" t="s">
        <v>6779</v>
      </c>
      <c r="M198" s="5" t="s">
        <v>267</v>
      </c>
      <c r="N198" s="5" t="s">
        <v>237</v>
      </c>
      <c r="Q198" s="5" t="s">
        <v>239</v>
      </c>
      <c r="R198" s="5" t="s">
        <v>270</v>
      </c>
      <c r="S198" s="5" t="s">
        <v>238</v>
      </c>
      <c r="V198" s="5" t="s">
        <v>238</v>
      </c>
      <c r="W198" s="6" t="s">
        <v>238</v>
      </c>
      <c r="X198" s="6" t="s">
        <v>238</v>
      </c>
      <c r="Y198" s="5" t="s">
        <v>238</v>
      </c>
      <c r="Z198" s="6" t="s">
        <v>238</v>
      </c>
      <c r="AA198" s="6" t="s">
        <v>243</v>
      </c>
      <c r="AB198" s="5" t="s">
        <v>238</v>
      </c>
      <c r="AC198" s="5" t="s">
        <v>244</v>
      </c>
      <c r="AD198" s="5" t="s">
        <v>245</v>
      </c>
      <c r="AJ198" s="5" t="s">
        <v>238</v>
      </c>
      <c r="AK198" s="5" t="s">
        <v>238</v>
      </c>
      <c r="AL198" s="5" t="s">
        <v>238</v>
      </c>
      <c r="AM198" s="6" t="s">
        <v>238</v>
      </c>
      <c r="AN198" s="6" t="s">
        <v>238</v>
      </c>
      <c r="AT198" s="5" t="s">
        <v>246</v>
      </c>
      <c r="AU198" s="5" t="s">
        <v>489</v>
      </c>
      <c r="AV198" s="5" t="s">
        <v>247</v>
      </c>
      <c r="AW198" s="5" t="s">
        <v>600</v>
      </c>
      <c r="AX198" s="5" t="s">
        <v>249</v>
      </c>
      <c r="AY198" s="5" t="s">
        <v>490</v>
      </c>
      <c r="BA198" s="5" t="s">
        <v>4547</v>
      </c>
      <c r="BC198" s="5" t="s">
        <v>250</v>
      </c>
      <c r="BD198" s="6" t="s">
        <v>492</v>
      </c>
      <c r="BE198" s="5" t="s">
        <v>251</v>
      </c>
      <c r="BF198" s="5" t="s">
        <v>252</v>
      </c>
      <c r="BG198" s="5" t="s">
        <v>238</v>
      </c>
      <c r="BH198" s="7">
        <f>0</f>
        <v>0</v>
      </c>
      <c r="BI198" s="8">
        <f>0</f>
        <v>0</v>
      </c>
      <c r="BJ198" s="5" t="s">
        <v>253</v>
      </c>
      <c r="BK198" s="5" t="s">
        <v>254</v>
      </c>
      <c r="BT198" s="6" t="s">
        <v>238</v>
      </c>
      <c r="BU198" s="5" t="s">
        <v>238</v>
      </c>
      <c r="BV198" s="5" t="s">
        <v>238</v>
      </c>
      <c r="BW198" s="5" t="s">
        <v>238</v>
      </c>
      <c r="BY198" s="5" t="s">
        <v>238</v>
      </c>
      <c r="BZ198" s="5" t="s">
        <v>238</v>
      </c>
      <c r="CD198" s="5" t="s">
        <v>293</v>
      </c>
      <c r="CE198" s="5" t="s">
        <v>256</v>
      </c>
      <c r="CF198" s="5" t="s">
        <v>261</v>
      </c>
      <c r="CH198" s="5" t="s">
        <v>238</v>
      </c>
      <c r="CI198" s="6" t="s">
        <v>257</v>
      </c>
      <c r="CJ198" s="5" t="s">
        <v>238</v>
      </c>
      <c r="CK198" s="5" t="s">
        <v>258</v>
      </c>
      <c r="CL198" s="5" t="s">
        <v>238</v>
      </c>
      <c r="CM198" s="5" t="s">
        <v>238</v>
      </c>
      <c r="CN198" s="5">
        <v>0</v>
      </c>
      <c r="CO198" s="5" t="s">
        <v>497</v>
      </c>
      <c r="CP198" s="5" t="s">
        <v>260</v>
      </c>
      <c r="CQ198" s="5" t="s">
        <v>260</v>
      </c>
      <c r="CR198" s="5" t="s">
        <v>261</v>
      </c>
      <c r="CS198" s="5" t="s">
        <v>238</v>
      </c>
      <c r="CT198" s="7" t="s">
        <v>238</v>
      </c>
      <c r="CU198" s="8">
        <f>1975166</f>
        <v>1975166</v>
      </c>
      <c r="CV198" s="8">
        <f>0</f>
        <v>0</v>
      </c>
      <c r="CW198" s="8" t="s">
        <v>238</v>
      </c>
      <c r="CX198" s="8">
        <f>0</f>
        <v>0</v>
      </c>
      <c r="CY198" s="8">
        <f>1975166</f>
        <v>1975166</v>
      </c>
      <c r="CZ198" s="8" t="s">
        <v>238</v>
      </c>
      <c r="DA198" s="5" t="s">
        <v>389</v>
      </c>
      <c r="DB198" s="5" t="s">
        <v>238</v>
      </c>
      <c r="DD198" s="5" t="s">
        <v>389</v>
      </c>
      <c r="DE198" s="8">
        <f>419</f>
        <v>419</v>
      </c>
      <c r="DF198" s="6" t="s">
        <v>238</v>
      </c>
      <c r="DG198" s="5" t="s">
        <v>389</v>
      </c>
      <c r="DH198" s="5" t="s">
        <v>238</v>
      </c>
      <c r="DI198" s="5" t="s">
        <v>238</v>
      </c>
      <c r="DJ198" s="5" t="s">
        <v>238</v>
      </c>
      <c r="DK198" s="5" t="s">
        <v>238</v>
      </c>
      <c r="DL198" s="5" t="s">
        <v>238</v>
      </c>
      <c r="DM198" s="8" t="s">
        <v>238</v>
      </c>
      <c r="DN198" s="5" t="s">
        <v>238</v>
      </c>
      <c r="DO198" s="5" t="s">
        <v>244</v>
      </c>
      <c r="DP198" s="5" t="s">
        <v>490</v>
      </c>
      <c r="DQ198" s="5" t="s">
        <v>490</v>
      </c>
      <c r="DR198" s="5" t="s">
        <v>238</v>
      </c>
      <c r="DS198" s="5" t="s">
        <v>238</v>
      </c>
      <c r="DT198" s="5" t="s">
        <v>6585</v>
      </c>
      <c r="DU198" s="5" t="s">
        <v>1338</v>
      </c>
    </row>
    <row r="199" spans="1:221" x14ac:dyDescent="0.4">
      <c r="A199" s="5">
        <v>910</v>
      </c>
      <c r="B199" s="5">
        <v>1</v>
      </c>
      <c r="C199" s="5">
        <v>1</v>
      </c>
      <c r="D199" s="5" t="s">
        <v>6596</v>
      </c>
      <c r="E199" s="5" t="s">
        <v>4391</v>
      </c>
      <c r="F199" s="5" t="s">
        <v>248</v>
      </c>
      <c r="G199" s="5" t="s">
        <v>6595</v>
      </c>
      <c r="H199" s="6" t="s">
        <v>6597</v>
      </c>
      <c r="I199" s="7">
        <f>18083</f>
        <v>18083</v>
      </c>
      <c r="J199" s="5" t="s">
        <v>262</v>
      </c>
      <c r="K199" s="8">
        <f>343577</f>
        <v>343577</v>
      </c>
      <c r="L199" s="6" t="s">
        <v>242</v>
      </c>
      <c r="M199" s="5" t="s">
        <v>267</v>
      </c>
      <c r="N199" s="5" t="s">
        <v>237</v>
      </c>
      <c r="Q199" s="5" t="s">
        <v>239</v>
      </c>
      <c r="R199" s="5" t="s">
        <v>270</v>
      </c>
      <c r="S199" s="5" t="s">
        <v>238</v>
      </c>
      <c r="V199" s="5" t="s">
        <v>238</v>
      </c>
      <c r="W199" s="6" t="s">
        <v>238</v>
      </c>
      <c r="X199" s="6" t="s">
        <v>238</v>
      </c>
      <c r="Y199" s="5" t="s">
        <v>238</v>
      </c>
      <c r="Z199" s="6" t="s">
        <v>238</v>
      </c>
      <c r="AA199" s="6" t="s">
        <v>243</v>
      </c>
      <c r="AB199" s="5" t="s">
        <v>238</v>
      </c>
      <c r="AC199" s="5" t="s">
        <v>244</v>
      </c>
      <c r="AD199" s="5" t="s">
        <v>245</v>
      </c>
      <c r="AJ199" s="5" t="s">
        <v>238</v>
      </c>
      <c r="AK199" s="5" t="s">
        <v>238</v>
      </c>
      <c r="AL199" s="5" t="s">
        <v>238</v>
      </c>
      <c r="AM199" s="6" t="s">
        <v>238</v>
      </c>
      <c r="AN199" s="6" t="s">
        <v>238</v>
      </c>
      <c r="AT199" s="5" t="s">
        <v>246</v>
      </c>
      <c r="AU199" s="5" t="s">
        <v>489</v>
      </c>
      <c r="AV199" s="5" t="s">
        <v>247</v>
      </c>
      <c r="AW199" s="5" t="s">
        <v>600</v>
      </c>
      <c r="AX199" s="5" t="s">
        <v>249</v>
      </c>
      <c r="AY199" s="5" t="s">
        <v>490</v>
      </c>
      <c r="BA199" s="5" t="s">
        <v>4547</v>
      </c>
      <c r="BC199" s="5" t="s">
        <v>250</v>
      </c>
      <c r="BD199" s="6" t="s">
        <v>492</v>
      </c>
      <c r="BE199" s="5" t="s">
        <v>251</v>
      </c>
      <c r="BF199" s="5" t="s">
        <v>252</v>
      </c>
      <c r="BG199" s="5" t="s">
        <v>238</v>
      </c>
      <c r="BH199" s="7">
        <f>0</f>
        <v>0</v>
      </c>
      <c r="BI199" s="8">
        <f>0</f>
        <v>0</v>
      </c>
      <c r="BJ199" s="5" t="s">
        <v>253</v>
      </c>
      <c r="BK199" s="5" t="s">
        <v>254</v>
      </c>
      <c r="BT199" s="6" t="s">
        <v>238</v>
      </c>
      <c r="BU199" s="5" t="s">
        <v>238</v>
      </c>
      <c r="BV199" s="5" t="s">
        <v>238</v>
      </c>
      <c r="BW199" s="5" t="s">
        <v>238</v>
      </c>
      <c r="BY199" s="5" t="s">
        <v>238</v>
      </c>
      <c r="BZ199" s="5" t="s">
        <v>238</v>
      </c>
      <c r="CD199" s="5" t="s">
        <v>255</v>
      </c>
      <c r="CE199" s="5" t="s">
        <v>256</v>
      </c>
      <c r="CF199" s="5" t="s">
        <v>261</v>
      </c>
      <c r="CH199" s="5" t="s">
        <v>238</v>
      </c>
      <c r="CI199" s="6" t="s">
        <v>257</v>
      </c>
      <c r="CJ199" s="5" t="s">
        <v>238</v>
      </c>
      <c r="CK199" s="5" t="s">
        <v>258</v>
      </c>
      <c r="CL199" s="5" t="s">
        <v>238</v>
      </c>
      <c r="CM199" s="5" t="s">
        <v>238</v>
      </c>
      <c r="CN199" s="5">
        <v>0</v>
      </c>
      <c r="CO199" s="5" t="s">
        <v>497</v>
      </c>
      <c r="CP199" s="5" t="s">
        <v>260</v>
      </c>
      <c r="CQ199" s="5" t="s">
        <v>260</v>
      </c>
      <c r="CR199" s="5" t="s">
        <v>261</v>
      </c>
      <c r="CS199" s="5" t="s">
        <v>238</v>
      </c>
      <c r="CT199" s="7" t="s">
        <v>238</v>
      </c>
      <c r="CU199" s="8">
        <f>343577</f>
        <v>343577</v>
      </c>
      <c r="CV199" s="8">
        <f>0</f>
        <v>0</v>
      </c>
      <c r="CW199" s="8" t="s">
        <v>238</v>
      </c>
      <c r="CX199" s="8">
        <f>0</f>
        <v>0</v>
      </c>
      <c r="CY199" s="8">
        <f>343577</f>
        <v>343577</v>
      </c>
      <c r="CZ199" s="8" t="s">
        <v>238</v>
      </c>
      <c r="DA199" s="5" t="s">
        <v>2249</v>
      </c>
      <c r="DB199" s="5" t="s">
        <v>238</v>
      </c>
      <c r="DD199" s="5" t="s">
        <v>356</v>
      </c>
      <c r="DE199" s="8">
        <f>0</f>
        <v>0</v>
      </c>
      <c r="DF199" s="6" t="s">
        <v>238</v>
      </c>
      <c r="DG199" s="5" t="s">
        <v>2249</v>
      </c>
      <c r="DH199" s="5" t="s">
        <v>238</v>
      </c>
      <c r="DI199" s="5" t="s">
        <v>238</v>
      </c>
      <c r="DJ199" s="5" t="s">
        <v>238</v>
      </c>
      <c r="DK199" s="5" t="s">
        <v>238</v>
      </c>
      <c r="DL199" s="5" t="s">
        <v>238</v>
      </c>
      <c r="DM199" s="8" t="s">
        <v>238</v>
      </c>
      <c r="DN199" s="5" t="s">
        <v>238</v>
      </c>
      <c r="DO199" s="5" t="s">
        <v>244</v>
      </c>
      <c r="DP199" s="5" t="s">
        <v>490</v>
      </c>
      <c r="DQ199" s="5" t="s">
        <v>490</v>
      </c>
      <c r="DR199" s="5" t="s">
        <v>238</v>
      </c>
      <c r="DS199" s="5" t="s">
        <v>238</v>
      </c>
      <c r="DT199" s="5" t="s">
        <v>6598</v>
      </c>
      <c r="DU199" s="5" t="s">
        <v>264</v>
      </c>
    </row>
    <row r="200" spans="1:221" x14ac:dyDescent="0.4">
      <c r="A200" s="5">
        <v>911</v>
      </c>
      <c r="B200" s="5">
        <v>1</v>
      </c>
      <c r="C200" s="5">
        <v>1</v>
      </c>
      <c r="D200" s="5" t="s">
        <v>6596</v>
      </c>
      <c r="E200" s="5" t="s">
        <v>4391</v>
      </c>
      <c r="F200" s="5" t="s">
        <v>248</v>
      </c>
      <c r="G200" s="5" t="s">
        <v>6595</v>
      </c>
      <c r="H200" s="6" t="s">
        <v>6872</v>
      </c>
      <c r="I200" s="7">
        <f>13</f>
        <v>13</v>
      </c>
      <c r="J200" s="5" t="s">
        <v>262</v>
      </c>
      <c r="K200" s="8">
        <f>364</f>
        <v>364</v>
      </c>
      <c r="L200" s="6" t="s">
        <v>242</v>
      </c>
      <c r="M200" s="5" t="s">
        <v>267</v>
      </c>
      <c r="N200" s="5" t="s">
        <v>237</v>
      </c>
      <c r="Q200" s="5" t="s">
        <v>239</v>
      </c>
      <c r="R200" s="5" t="s">
        <v>270</v>
      </c>
      <c r="S200" s="5" t="s">
        <v>238</v>
      </c>
      <c r="V200" s="5" t="s">
        <v>238</v>
      </c>
      <c r="W200" s="6" t="s">
        <v>238</v>
      </c>
      <c r="X200" s="6" t="s">
        <v>238</v>
      </c>
      <c r="Y200" s="5" t="s">
        <v>238</v>
      </c>
      <c r="Z200" s="6" t="s">
        <v>238</v>
      </c>
      <c r="AA200" s="6" t="s">
        <v>243</v>
      </c>
      <c r="AB200" s="5" t="s">
        <v>238</v>
      </c>
      <c r="AC200" s="5" t="s">
        <v>244</v>
      </c>
      <c r="AD200" s="5" t="s">
        <v>245</v>
      </c>
      <c r="AJ200" s="5" t="s">
        <v>238</v>
      </c>
      <c r="AK200" s="5" t="s">
        <v>238</v>
      </c>
      <c r="AL200" s="5" t="s">
        <v>238</v>
      </c>
      <c r="AM200" s="6" t="s">
        <v>238</v>
      </c>
      <c r="AN200" s="6" t="s">
        <v>238</v>
      </c>
      <c r="AT200" s="5" t="s">
        <v>246</v>
      </c>
      <c r="AU200" s="5" t="s">
        <v>489</v>
      </c>
      <c r="AV200" s="5" t="s">
        <v>247</v>
      </c>
      <c r="AW200" s="5" t="s">
        <v>600</v>
      </c>
      <c r="AX200" s="5" t="s">
        <v>249</v>
      </c>
      <c r="AY200" s="5" t="s">
        <v>490</v>
      </c>
      <c r="BA200" s="5" t="s">
        <v>4547</v>
      </c>
      <c r="BC200" s="5" t="s">
        <v>250</v>
      </c>
      <c r="BD200" s="6" t="s">
        <v>492</v>
      </c>
      <c r="BE200" s="5" t="s">
        <v>251</v>
      </c>
      <c r="BF200" s="5" t="s">
        <v>252</v>
      </c>
      <c r="BG200" s="5" t="s">
        <v>238</v>
      </c>
      <c r="BH200" s="7">
        <f>0</f>
        <v>0</v>
      </c>
      <c r="BI200" s="8">
        <f>0</f>
        <v>0</v>
      </c>
      <c r="BJ200" s="5" t="s">
        <v>253</v>
      </c>
      <c r="BK200" s="5" t="s">
        <v>254</v>
      </c>
      <c r="BT200" s="6" t="s">
        <v>238</v>
      </c>
      <c r="BU200" s="5" t="s">
        <v>238</v>
      </c>
      <c r="BV200" s="5" t="s">
        <v>238</v>
      </c>
      <c r="BW200" s="5" t="s">
        <v>238</v>
      </c>
      <c r="BY200" s="5" t="s">
        <v>238</v>
      </c>
      <c r="BZ200" s="5" t="s">
        <v>238</v>
      </c>
      <c r="CD200" s="5" t="s">
        <v>255</v>
      </c>
      <c r="CE200" s="5" t="s">
        <v>256</v>
      </c>
      <c r="CF200" s="5" t="s">
        <v>261</v>
      </c>
      <c r="CH200" s="5" t="s">
        <v>238</v>
      </c>
      <c r="CI200" s="6" t="s">
        <v>257</v>
      </c>
      <c r="CJ200" s="5" t="s">
        <v>238</v>
      </c>
      <c r="CK200" s="5" t="s">
        <v>258</v>
      </c>
      <c r="CL200" s="5" t="s">
        <v>238</v>
      </c>
      <c r="CM200" s="5" t="s">
        <v>238</v>
      </c>
      <c r="CN200" s="5">
        <v>0</v>
      </c>
      <c r="CO200" s="5" t="s">
        <v>497</v>
      </c>
      <c r="CP200" s="5" t="s">
        <v>260</v>
      </c>
      <c r="CQ200" s="5" t="s">
        <v>260</v>
      </c>
      <c r="CR200" s="5" t="s">
        <v>261</v>
      </c>
      <c r="CS200" s="5" t="s">
        <v>238</v>
      </c>
      <c r="CT200" s="7" t="s">
        <v>238</v>
      </c>
      <c r="CU200" s="8">
        <f>364</f>
        <v>364</v>
      </c>
      <c r="CV200" s="8">
        <f>0</f>
        <v>0</v>
      </c>
      <c r="CW200" s="8" t="s">
        <v>238</v>
      </c>
      <c r="CX200" s="8">
        <f>0</f>
        <v>0</v>
      </c>
      <c r="CY200" s="8">
        <f>364</f>
        <v>364</v>
      </c>
      <c r="CZ200" s="8" t="s">
        <v>238</v>
      </c>
      <c r="DA200" s="5" t="s">
        <v>421</v>
      </c>
      <c r="DB200" s="5" t="s">
        <v>238</v>
      </c>
      <c r="DD200" s="5" t="s">
        <v>356</v>
      </c>
      <c r="DE200" s="8">
        <f>0</f>
        <v>0</v>
      </c>
      <c r="DF200" s="6" t="s">
        <v>238</v>
      </c>
      <c r="DG200" s="5" t="s">
        <v>421</v>
      </c>
      <c r="DH200" s="5" t="s">
        <v>238</v>
      </c>
      <c r="DI200" s="5" t="s">
        <v>238</v>
      </c>
      <c r="DJ200" s="5" t="s">
        <v>238</v>
      </c>
      <c r="DK200" s="5" t="s">
        <v>238</v>
      </c>
      <c r="DL200" s="5" t="s">
        <v>238</v>
      </c>
      <c r="DM200" s="8" t="s">
        <v>238</v>
      </c>
      <c r="DN200" s="5" t="s">
        <v>238</v>
      </c>
      <c r="DO200" s="5" t="s">
        <v>244</v>
      </c>
      <c r="DP200" s="5" t="s">
        <v>490</v>
      </c>
      <c r="DQ200" s="5" t="s">
        <v>490</v>
      </c>
      <c r="DR200" s="5" t="s">
        <v>238</v>
      </c>
      <c r="DS200" s="5" t="s">
        <v>238</v>
      </c>
      <c r="DT200" s="5" t="s">
        <v>6598</v>
      </c>
      <c r="DU200" s="5" t="s">
        <v>294</v>
      </c>
    </row>
    <row r="201" spans="1:221" x14ac:dyDescent="0.4">
      <c r="A201" s="5">
        <v>912</v>
      </c>
      <c r="B201" s="5">
        <v>1</v>
      </c>
      <c r="C201" s="5">
        <v>1</v>
      </c>
      <c r="D201" s="5" t="s">
        <v>6145</v>
      </c>
      <c r="E201" s="5" t="s">
        <v>3336</v>
      </c>
      <c r="F201" s="5" t="s">
        <v>248</v>
      </c>
      <c r="G201" s="5" t="s">
        <v>6144</v>
      </c>
      <c r="H201" s="6" t="s">
        <v>6344</v>
      </c>
      <c r="I201" s="7">
        <f>2441.32</f>
        <v>2441.3200000000002</v>
      </c>
      <c r="J201" s="5" t="s">
        <v>262</v>
      </c>
      <c r="K201" s="8">
        <f>22216012</f>
        <v>22216012</v>
      </c>
      <c r="L201" s="6" t="s">
        <v>242</v>
      </c>
      <c r="M201" s="5" t="s">
        <v>267</v>
      </c>
      <c r="N201" s="5" t="s">
        <v>237</v>
      </c>
      <c r="O201" s="5" t="s">
        <v>238</v>
      </c>
      <c r="P201" s="5" t="s">
        <v>238</v>
      </c>
      <c r="Q201" s="5" t="s">
        <v>239</v>
      </c>
      <c r="R201" s="5" t="s">
        <v>270</v>
      </c>
      <c r="S201" s="5" t="s">
        <v>238</v>
      </c>
      <c r="V201" s="5" t="s">
        <v>238</v>
      </c>
      <c r="X201" s="6" t="s">
        <v>238</v>
      </c>
      <c r="AA201" s="6" t="s">
        <v>243</v>
      </c>
      <c r="AB201" s="5" t="s">
        <v>238</v>
      </c>
      <c r="AC201" s="5" t="s">
        <v>244</v>
      </c>
      <c r="AD201" s="5" t="s">
        <v>245</v>
      </c>
      <c r="AT201" s="5" t="s">
        <v>246</v>
      </c>
      <c r="AU201" s="5" t="s">
        <v>238</v>
      </c>
      <c r="AV201" s="5" t="s">
        <v>247</v>
      </c>
      <c r="AW201" s="5" t="s">
        <v>238</v>
      </c>
      <c r="AX201" s="5" t="s">
        <v>249</v>
      </c>
      <c r="AY201" s="5" t="s">
        <v>238</v>
      </c>
      <c r="BA201" s="5" t="s">
        <v>4547</v>
      </c>
      <c r="BC201" s="5" t="s">
        <v>250</v>
      </c>
      <c r="BD201" s="6" t="s">
        <v>243</v>
      </c>
      <c r="BE201" s="5" t="s">
        <v>251</v>
      </c>
      <c r="BF201" s="5" t="s">
        <v>252</v>
      </c>
      <c r="BG201" s="5" t="s">
        <v>238</v>
      </c>
      <c r="BH201" s="7">
        <f>0</f>
        <v>0</v>
      </c>
      <c r="BI201" s="8">
        <f>0</f>
        <v>0</v>
      </c>
      <c r="BJ201" s="5" t="s">
        <v>253</v>
      </c>
      <c r="BK201" s="5" t="s">
        <v>254</v>
      </c>
      <c r="BY201" s="5" t="s">
        <v>238</v>
      </c>
      <c r="BZ201" s="5" t="s">
        <v>238</v>
      </c>
      <c r="CD201" s="5" t="s">
        <v>255</v>
      </c>
      <c r="CE201" s="5" t="s">
        <v>256</v>
      </c>
      <c r="CF201" s="5" t="s">
        <v>238</v>
      </c>
      <c r="CI201" s="6" t="s">
        <v>257</v>
      </c>
      <c r="CJ201" s="5" t="s">
        <v>238</v>
      </c>
      <c r="CK201" s="5" t="s">
        <v>258</v>
      </c>
      <c r="CL201" s="5" t="s">
        <v>238</v>
      </c>
      <c r="CM201" s="5" t="s">
        <v>238</v>
      </c>
      <c r="CN201" s="5">
        <v>0</v>
      </c>
      <c r="CO201" s="5" t="s">
        <v>259</v>
      </c>
      <c r="CP201" s="5" t="s">
        <v>260</v>
      </c>
      <c r="CQ201" s="5" t="s">
        <v>260</v>
      </c>
      <c r="CR201" s="5" t="s">
        <v>261</v>
      </c>
      <c r="CU201" s="8">
        <f>22216012</f>
        <v>22216012</v>
      </c>
      <c r="CV201" s="8">
        <f>0</f>
        <v>0</v>
      </c>
      <c r="CX201" s="8">
        <f>0</f>
        <v>0</v>
      </c>
      <c r="CY201" s="8">
        <f>22216012</f>
        <v>22216012</v>
      </c>
      <c r="DA201" s="5" t="s">
        <v>263</v>
      </c>
      <c r="DB201" s="5" t="s">
        <v>238</v>
      </c>
      <c r="DD201" s="5" t="s">
        <v>356</v>
      </c>
      <c r="DE201" s="8">
        <f>0</f>
        <v>0</v>
      </c>
      <c r="DG201" s="5" t="s">
        <v>263</v>
      </c>
      <c r="DH201" s="5" t="s">
        <v>238</v>
      </c>
      <c r="DI201" s="5" t="s">
        <v>238</v>
      </c>
      <c r="DJ201" s="5" t="s">
        <v>238</v>
      </c>
      <c r="DN201" s="5" t="s">
        <v>238</v>
      </c>
      <c r="DO201" s="5" t="s">
        <v>238</v>
      </c>
      <c r="DP201" s="5" t="s">
        <v>238</v>
      </c>
      <c r="DQ201" s="5" t="s">
        <v>238</v>
      </c>
      <c r="DT201" s="5" t="s">
        <v>6147</v>
      </c>
      <c r="DU201" s="5" t="s">
        <v>264</v>
      </c>
      <c r="HM201" s="5" t="s">
        <v>264</v>
      </c>
    </row>
    <row r="202" spans="1:221" x14ac:dyDescent="0.4">
      <c r="A202" s="5">
        <v>913</v>
      </c>
      <c r="B202" s="5">
        <v>1</v>
      </c>
      <c r="C202" s="5">
        <v>1</v>
      </c>
      <c r="D202" s="5" t="s">
        <v>6145</v>
      </c>
      <c r="E202" s="5" t="s">
        <v>3336</v>
      </c>
      <c r="F202" s="5" t="s">
        <v>248</v>
      </c>
      <c r="G202" s="5" t="s">
        <v>6144</v>
      </c>
      <c r="H202" s="6" t="s">
        <v>6148</v>
      </c>
      <c r="I202" s="7">
        <f>1181.34</f>
        <v>1181.3399999999999</v>
      </c>
      <c r="J202" s="5" t="s">
        <v>262</v>
      </c>
      <c r="K202" s="8">
        <f>10750194</f>
        <v>10750194</v>
      </c>
      <c r="L202" s="6" t="s">
        <v>242</v>
      </c>
      <c r="M202" s="5" t="s">
        <v>267</v>
      </c>
      <c r="N202" s="5" t="s">
        <v>237</v>
      </c>
      <c r="O202" s="5" t="s">
        <v>238</v>
      </c>
      <c r="P202" s="5" t="s">
        <v>238</v>
      </c>
      <c r="Q202" s="5" t="s">
        <v>239</v>
      </c>
      <c r="R202" s="5" t="s">
        <v>270</v>
      </c>
      <c r="S202" s="5" t="s">
        <v>238</v>
      </c>
      <c r="V202" s="5" t="s">
        <v>238</v>
      </c>
      <c r="X202" s="6" t="s">
        <v>238</v>
      </c>
      <c r="AA202" s="6" t="s">
        <v>243</v>
      </c>
      <c r="AB202" s="5" t="s">
        <v>238</v>
      </c>
      <c r="AC202" s="5" t="s">
        <v>244</v>
      </c>
      <c r="AD202" s="5" t="s">
        <v>245</v>
      </c>
      <c r="AT202" s="5" t="s">
        <v>246</v>
      </c>
      <c r="AU202" s="5" t="s">
        <v>238</v>
      </c>
      <c r="AV202" s="5" t="s">
        <v>247</v>
      </c>
      <c r="AW202" s="5" t="s">
        <v>238</v>
      </c>
      <c r="AX202" s="5" t="s">
        <v>249</v>
      </c>
      <c r="AY202" s="5" t="s">
        <v>238</v>
      </c>
      <c r="BA202" s="5" t="s">
        <v>238</v>
      </c>
      <c r="BC202" s="5" t="s">
        <v>250</v>
      </c>
      <c r="BD202" s="6" t="s">
        <v>243</v>
      </c>
      <c r="BE202" s="5" t="s">
        <v>251</v>
      </c>
      <c r="BF202" s="5" t="s">
        <v>252</v>
      </c>
      <c r="BG202" s="5" t="s">
        <v>238</v>
      </c>
      <c r="BH202" s="7">
        <f>0</f>
        <v>0</v>
      </c>
      <c r="BI202" s="8">
        <f>0</f>
        <v>0</v>
      </c>
      <c r="BJ202" s="5" t="s">
        <v>253</v>
      </c>
      <c r="BK202" s="5" t="s">
        <v>254</v>
      </c>
      <c r="BY202" s="5" t="s">
        <v>238</v>
      </c>
      <c r="BZ202" s="5" t="s">
        <v>238</v>
      </c>
      <c r="CD202" s="5" t="s">
        <v>255</v>
      </c>
      <c r="CE202" s="5" t="s">
        <v>256</v>
      </c>
      <c r="CF202" s="5" t="s">
        <v>238</v>
      </c>
      <c r="CI202" s="6" t="s">
        <v>257</v>
      </c>
      <c r="CJ202" s="5" t="s">
        <v>238</v>
      </c>
      <c r="CK202" s="5" t="s">
        <v>258</v>
      </c>
      <c r="CL202" s="5" t="s">
        <v>238</v>
      </c>
      <c r="CM202" s="5" t="s">
        <v>238</v>
      </c>
      <c r="CN202" s="5">
        <v>0</v>
      </c>
      <c r="CO202" s="5" t="s">
        <v>259</v>
      </c>
      <c r="CP202" s="5" t="s">
        <v>260</v>
      </c>
      <c r="CQ202" s="5" t="s">
        <v>260</v>
      </c>
      <c r="CR202" s="5" t="s">
        <v>261</v>
      </c>
      <c r="CU202" s="8">
        <f>10750194</f>
        <v>10750194</v>
      </c>
      <c r="CV202" s="8">
        <f>0</f>
        <v>0</v>
      </c>
      <c r="CX202" s="8">
        <f>0</f>
        <v>0</v>
      </c>
      <c r="CY202" s="8">
        <f>10750194</f>
        <v>10750194</v>
      </c>
      <c r="DA202" s="5" t="s">
        <v>263</v>
      </c>
      <c r="DB202" s="5" t="s">
        <v>238</v>
      </c>
      <c r="DD202" s="5" t="s">
        <v>356</v>
      </c>
      <c r="DE202" s="8">
        <f>0</f>
        <v>0</v>
      </c>
      <c r="DF202" s="6" t="s">
        <v>6149</v>
      </c>
      <c r="DG202" s="5" t="s">
        <v>263</v>
      </c>
      <c r="DH202" s="5" t="s">
        <v>238</v>
      </c>
      <c r="DI202" s="5" t="s">
        <v>238</v>
      </c>
      <c r="DJ202" s="5" t="s">
        <v>238</v>
      </c>
      <c r="DN202" s="5" t="s">
        <v>238</v>
      </c>
      <c r="DO202" s="5" t="s">
        <v>238</v>
      </c>
      <c r="DP202" s="5" t="s">
        <v>238</v>
      </c>
      <c r="DQ202" s="5" t="s">
        <v>238</v>
      </c>
      <c r="DT202" s="5" t="s">
        <v>6147</v>
      </c>
      <c r="DU202" s="5" t="s">
        <v>294</v>
      </c>
      <c r="HM202" s="5" t="s">
        <v>264</v>
      </c>
    </row>
    <row r="203" spans="1:221" x14ac:dyDescent="0.4">
      <c r="A203" s="5">
        <v>914</v>
      </c>
      <c r="B203" s="5">
        <v>1</v>
      </c>
      <c r="C203" s="5">
        <v>1</v>
      </c>
      <c r="D203" s="5" t="s">
        <v>6145</v>
      </c>
      <c r="E203" s="5" t="s">
        <v>3336</v>
      </c>
      <c r="F203" s="5" t="s">
        <v>248</v>
      </c>
      <c r="G203" s="5" t="s">
        <v>6144</v>
      </c>
      <c r="H203" s="6" t="s">
        <v>6146</v>
      </c>
      <c r="I203" s="7">
        <f>702.13</f>
        <v>702.13</v>
      </c>
      <c r="J203" s="5" t="s">
        <v>262</v>
      </c>
      <c r="K203" s="8">
        <f>6389383</f>
        <v>6389383</v>
      </c>
      <c r="L203" s="6" t="s">
        <v>242</v>
      </c>
      <c r="M203" s="5" t="s">
        <v>267</v>
      </c>
      <c r="N203" s="5" t="s">
        <v>237</v>
      </c>
      <c r="O203" s="5" t="s">
        <v>238</v>
      </c>
      <c r="P203" s="5" t="s">
        <v>238</v>
      </c>
      <c r="Q203" s="5" t="s">
        <v>239</v>
      </c>
      <c r="R203" s="5" t="s">
        <v>270</v>
      </c>
      <c r="S203" s="5" t="s">
        <v>238</v>
      </c>
      <c r="V203" s="5" t="s">
        <v>238</v>
      </c>
      <c r="X203" s="6" t="s">
        <v>238</v>
      </c>
      <c r="AA203" s="6" t="s">
        <v>243</v>
      </c>
      <c r="AB203" s="5" t="s">
        <v>238</v>
      </c>
      <c r="AC203" s="5" t="s">
        <v>244</v>
      </c>
      <c r="AD203" s="5" t="s">
        <v>245</v>
      </c>
      <c r="AT203" s="5" t="s">
        <v>246</v>
      </c>
      <c r="AU203" s="5" t="s">
        <v>238</v>
      </c>
      <c r="AV203" s="5" t="s">
        <v>247</v>
      </c>
      <c r="AW203" s="5" t="s">
        <v>238</v>
      </c>
      <c r="AX203" s="5" t="s">
        <v>249</v>
      </c>
      <c r="AY203" s="5" t="s">
        <v>238</v>
      </c>
      <c r="BA203" s="5" t="s">
        <v>238</v>
      </c>
      <c r="BC203" s="5" t="s">
        <v>250</v>
      </c>
      <c r="BD203" s="6" t="s">
        <v>243</v>
      </c>
      <c r="BE203" s="5" t="s">
        <v>251</v>
      </c>
      <c r="BF203" s="5" t="s">
        <v>252</v>
      </c>
      <c r="BG203" s="5" t="s">
        <v>238</v>
      </c>
      <c r="BH203" s="7">
        <f>0</f>
        <v>0</v>
      </c>
      <c r="BI203" s="8">
        <f>0</f>
        <v>0</v>
      </c>
      <c r="BJ203" s="5" t="s">
        <v>253</v>
      </c>
      <c r="BK203" s="5" t="s">
        <v>254</v>
      </c>
      <c r="BY203" s="5" t="s">
        <v>238</v>
      </c>
      <c r="BZ203" s="5" t="s">
        <v>238</v>
      </c>
      <c r="CD203" s="5" t="s">
        <v>255</v>
      </c>
      <c r="CE203" s="5" t="s">
        <v>256</v>
      </c>
      <c r="CF203" s="5" t="s">
        <v>238</v>
      </c>
      <c r="CI203" s="6" t="s">
        <v>257</v>
      </c>
      <c r="CJ203" s="5" t="s">
        <v>238</v>
      </c>
      <c r="CK203" s="5" t="s">
        <v>258</v>
      </c>
      <c r="CL203" s="5" t="s">
        <v>238</v>
      </c>
      <c r="CM203" s="5" t="s">
        <v>238</v>
      </c>
      <c r="CN203" s="5">
        <v>0</v>
      </c>
      <c r="CO203" s="5" t="s">
        <v>259</v>
      </c>
      <c r="CP203" s="5" t="s">
        <v>260</v>
      </c>
      <c r="CQ203" s="5" t="s">
        <v>260</v>
      </c>
      <c r="CR203" s="5" t="s">
        <v>261</v>
      </c>
      <c r="CU203" s="8">
        <f>6389383</f>
        <v>6389383</v>
      </c>
      <c r="CV203" s="8">
        <f>0</f>
        <v>0</v>
      </c>
      <c r="CX203" s="8">
        <f>0</f>
        <v>0</v>
      </c>
      <c r="CY203" s="8">
        <f>6389383</f>
        <v>6389383</v>
      </c>
      <c r="DA203" s="5" t="s">
        <v>263</v>
      </c>
      <c r="DB203" s="5" t="s">
        <v>238</v>
      </c>
      <c r="DD203" s="5" t="s">
        <v>356</v>
      </c>
      <c r="DE203" s="8">
        <f>0</f>
        <v>0</v>
      </c>
      <c r="DG203" s="5" t="s">
        <v>263</v>
      </c>
      <c r="DH203" s="5" t="s">
        <v>238</v>
      </c>
      <c r="DI203" s="5" t="s">
        <v>238</v>
      </c>
      <c r="DJ203" s="5" t="s">
        <v>238</v>
      </c>
      <c r="DN203" s="5" t="s">
        <v>238</v>
      </c>
      <c r="DO203" s="5" t="s">
        <v>238</v>
      </c>
      <c r="DP203" s="5" t="s">
        <v>238</v>
      </c>
      <c r="DQ203" s="5" t="s">
        <v>238</v>
      </c>
      <c r="DT203" s="5" t="s">
        <v>6147</v>
      </c>
      <c r="DU203" s="5" t="s">
        <v>806</v>
      </c>
      <c r="HM203" s="5" t="s">
        <v>264</v>
      </c>
    </row>
    <row r="204" spans="1:221" x14ac:dyDescent="0.4">
      <c r="A204" s="5">
        <v>915</v>
      </c>
      <c r="B204" s="5">
        <v>1</v>
      </c>
      <c r="C204" s="5">
        <v>1</v>
      </c>
      <c r="D204" s="5" t="s">
        <v>6145</v>
      </c>
      <c r="E204" s="5" t="s">
        <v>3336</v>
      </c>
      <c r="F204" s="5" t="s">
        <v>248</v>
      </c>
      <c r="G204" s="5" t="s">
        <v>6144</v>
      </c>
      <c r="H204" s="6" t="s">
        <v>6343</v>
      </c>
      <c r="I204" s="7">
        <f>427.47</f>
        <v>427.47</v>
      </c>
      <c r="J204" s="5" t="s">
        <v>262</v>
      </c>
      <c r="K204" s="8">
        <f>3889977</f>
        <v>3889977</v>
      </c>
      <c r="L204" s="6" t="s">
        <v>242</v>
      </c>
      <c r="M204" s="5" t="s">
        <v>267</v>
      </c>
      <c r="N204" s="5" t="s">
        <v>237</v>
      </c>
      <c r="O204" s="5" t="s">
        <v>238</v>
      </c>
      <c r="P204" s="5" t="s">
        <v>238</v>
      </c>
      <c r="Q204" s="5" t="s">
        <v>239</v>
      </c>
      <c r="R204" s="5" t="s">
        <v>270</v>
      </c>
      <c r="S204" s="5" t="s">
        <v>238</v>
      </c>
      <c r="V204" s="5" t="s">
        <v>238</v>
      </c>
      <c r="X204" s="6" t="s">
        <v>238</v>
      </c>
      <c r="AA204" s="6" t="s">
        <v>243</v>
      </c>
      <c r="AB204" s="5" t="s">
        <v>238</v>
      </c>
      <c r="AC204" s="5" t="s">
        <v>244</v>
      </c>
      <c r="AD204" s="5" t="s">
        <v>245</v>
      </c>
      <c r="AT204" s="5" t="s">
        <v>246</v>
      </c>
      <c r="AU204" s="5" t="s">
        <v>238</v>
      </c>
      <c r="AV204" s="5" t="s">
        <v>247</v>
      </c>
      <c r="AW204" s="5" t="s">
        <v>238</v>
      </c>
      <c r="AX204" s="5" t="s">
        <v>249</v>
      </c>
      <c r="AY204" s="5" t="s">
        <v>238</v>
      </c>
      <c r="BA204" s="5" t="s">
        <v>238</v>
      </c>
      <c r="BC204" s="5" t="s">
        <v>250</v>
      </c>
      <c r="BD204" s="6" t="s">
        <v>243</v>
      </c>
      <c r="BE204" s="5" t="s">
        <v>251</v>
      </c>
      <c r="BF204" s="5" t="s">
        <v>252</v>
      </c>
      <c r="BG204" s="5" t="s">
        <v>238</v>
      </c>
      <c r="BH204" s="7">
        <f>0</f>
        <v>0</v>
      </c>
      <c r="BI204" s="8">
        <f>0</f>
        <v>0</v>
      </c>
      <c r="BJ204" s="5" t="s">
        <v>253</v>
      </c>
      <c r="BK204" s="5" t="s">
        <v>254</v>
      </c>
      <c r="BY204" s="5" t="s">
        <v>238</v>
      </c>
      <c r="BZ204" s="5" t="s">
        <v>238</v>
      </c>
      <c r="CD204" s="5" t="s">
        <v>255</v>
      </c>
      <c r="CE204" s="5" t="s">
        <v>256</v>
      </c>
      <c r="CF204" s="5" t="s">
        <v>238</v>
      </c>
      <c r="CI204" s="6" t="s">
        <v>257</v>
      </c>
      <c r="CJ204" s="5" t="s">
        <v>238</v>
      </c>
      <c r="CK204" s="5" t="s">
        <v>258</v>
      </c>
      <c r="CL204" s="5" t="s">
        <v>238</v>
      </c>
      <c r="CM204" s="5" t="s">
        <v>238</v>
      </c>
      <c r="CN204" s="5">
        <v>0</v>
      </c>
      <c r="CO204" s="5" t="s">
        <v>259</v>
      </c>
      <c r="CP204" s="5" t="s">
        <v>260</v>
      </c>
      <c r="CQ204" s="5" t="s">
        <v>260</v>
      </c>
      <c r="CR204" s="5" t="s">
        <v>261</v>
      </c>
      <c r="CU204" s="8">
        <f>3889977</f>
        <v>3889977</v>
      </c>
      <c r="CV204" s="8">
        <f>0</f>
        <v>0</v>
      </c>
      <c r="CX204" s="8">
        <f>0</f>
        <v>0</v>
      </c>
      <c r="CY204" s="8">
        <f>3889977</f>
        <v>3889977</v>
      </c>
      <c r="DA204" s="5" t="s">
        <v>263</v>
      </c>
      <c r="DB204" s="5" t="s">
        <v>238</v>
      </c>
      <c r="DD204" s="5" t="s">
        <v>356</v>
      </c>
      <c r="DE204" s="8">
        <f>0</f>
        <v>0</v>
      </c>
      <c r="DG204" s="5" t="s">
        <v>263</v>
      </c>
      <c r="DH204" s="5" t="s">
        <v>238</v>
      </c>
      <c r="DI204" s="5" t="s">
        <v>238</v>
      </c>
      <c r="DJ204" s="5" t="s">
        <v>238</v>
      </c>
      <c r="DN204" s="5" t="s">
        <v>238</v>
      </c>
      <c r="DO204" s="5" t="s">
        <v>238</v>
      </c>
      <c r="DP204" s="5" t="s">
        <v>238</v>
      </c>
      <c r="DQ204" s="5" t="s">
        <v>238</v>
      </c>
      <c r="DT204" s="5" t="s">
        <v>6147</v>
      </c>
      <c r="DU204" s="5" t="s">
        <v>854</v>
      </c>
      <c r="HM204" s="5" t="s">
        <v>264</v>
      </c>
    </row>
    <row r="205" spans="1:221" x14ac:dyDescent="0.4">
      <c r="A205" s="5">
        <v>916</v>
      </c>
      <c r="B205" s="5">
        <v>1</v>
      </c>
      <c r="C205" s="5">
        <v>1</v>
      </c>
      <c r="D205" s="5" t="s">
        <v>6141</v>
      </c>
      <c r="E205" s="5" t="s">
        <v>3336</v>
      </c>
      <c r="F205" s="5" t="s">
        <v>248</v>
      </c>
      <c r="G205" s="5" t="s">
        <v>6140</v>
      </c>
      <c r="H205" s="6" t="s">
        <v>6345</v>
      </c>
      <c r="I205" s="7">
        <f>279.29</f>
        <v>279.29000000000002</v>
      </c>
      <c r="J205" s="5" t="s">
        <v>262</v>
      </c>
      <c r="K205" s="8">
        <f>3379409</f>
        <v>3379409</v>
      </c>
      <c r="L205" s="6" t="s">
        <v>242</v>
      </c>
      <c r="M205" s="5" t="s">
        <v>267</v>
      </c>
      <c r="N205" s="5" t="s">
        <v>237</v>
      </c>
      <c r="O205" s="5" t="s">
        <v>238</v>
      </c>
      <c r="P205" s="5" t="s">
        <v>238</v>
      </c>
      <c r="Q205" s="5" t="s">
        <v>239</v>
      </c>
      <c r="R205" s="5" t="s">
        <v>270</v>
      </c>
      <c r="S205" s="5" t="s">
        <v>238</v>
      </c>
      <c r="V205" s="5" t="s">
        <v>238</v>
      </c>
      <c r="X205" s="6" t="s">
        <v>238</v>
      </c>
      <c r="AA205" s="6" t="s">
        <v>243</v>
      </c>
      <c r="AB205" s="5" t="s">
        <v>238</v>
      </c>
      <c r="AC205" s="5" t="s">
        <v>244</v>
      </c>
      <c r="AD205" s="5" t="s">
        <v>245</v>
      </c>
      <c r="AT205" s="5" t="s">
        <v>246</v>
      </c>
      <c r="AU205" s="5" t="s">
        <v>238</v>
      </c>
      <c r="AV205" s="5" t="s">
        <v>247</v>
      </c>
      <c r="AW205" s="5" t="s">
        <v>238</v>
      </c>
      <c r="AX205" s="5" t="s">
        <v>249</v>
      </c>
      <c r="AY205" s="5" t="s">
        <v>238</v>
      </c>
      <c r="BA205" s="5" t="s">
        <v>4547</v>
      </c>
      <c r="BC205" s="5" t="s">
        <v>250</v>
      </c>
      <c r="BD205" s="6" t="s">
        <v>243</v>
      </c>
      <c r="BE205" s="5" t="s">
        <v>251</v>
      </c>
      <c r="BF205" s="5" t="s">
        <v>252</v>
      </c>
      <c r="BG205" s="5" t="s">
        <v>238</v>
      </c>
      <c r="BH205" s="7">
        <f>0</f>
        <v>0</v>
      </c>
      <c r="BI205" s="8">
        <f>0</f>
        <v>0</v>
      </c>
      <c r="BJ205" s="5" t="s">
        <v>253</v>
      </c>
      <c r="BK205" s="5" t="s">
        <v>254</v>
      </c>
      <c r="BY205" s="5" t="s">
        <v>238</v>
      </c>
      <c r="BZ205" s="5" t="s">
        <v>238</v>
      </c>
      <c r="CD205" s="5" t="s">
        <v>255</v>
      </c>
      <c r="CE205" s="5" t="s">
        <v>256</v>
      </c>
      <c r="CF205" s="5" t="s">
        <v>238</v>
      </c>
      <c r="CI205" s="6" t="s">
        <v>257</v>
      </c>
      <c r="CJ205" s="5" t="s">
        <v>238</v>
      </c>
      <c r="CK205" s="5" t="s">
        <v>258</v>
      </c>
      <c r="CL205" s="5" t="s">
        <v>238</v>
      </c>
      <c r="CM205" s="5" t="s">
        <v>238</v>
      </c>
      <c r="CN205" s="5">
        <v>0</v>
      </c>
      <c r="CO205" s="5" t="s">
        <v>259</v>
      </c>
      <c r="CP205" s="5" t="s">
        <v>260</v>
      </c>
      <c r="CQ205" s="5" t="s">
        <v>260</v>
      </c>
      <c r="CR205" s="5" t="s">
        <v>261</v>
      </c>
      <c r="CU205" s="8">
        <f>3379409</f>
        <v>3379409</v>
      </c>
      <c r="CV205" s="8">
        <f>0</f>
        <v>0</v>
      </c>
      <c r="CX205" s="8">
        <f>0</f>
        <v>0</v>
      </c>
      <c r="CY205" s="8">
        <f>3379409</f>
        <v>3379409</v>
      </c>
      <c r="DA205" s="5" t="s">
        <v>263</v>
      </c>
      <c r="DB205" s="5" t="s">
        <v>238</v>
      </c>
      <c r="DD205" s="5" t="s">
        <v>263</v>
      </c>
      <c r="DE205" s="8">
        <f>279.29</f>
        <v>279.29000000000002</v>
      </c>
      <c r="DG205" s="5" t="s">
        <v>263</v>
      </c>
      <c r="DH205" s="5" t="s">
        <v>238</v>
      </c>
      <c r="DI205" s="5" t="s">
        <v>238</v>
      </c>
      <c r="DJ205" s="5" t="s">
        <v>238</v>
      </c>
      <c r="DN205" s="5" t="s">
        <v>238</v>
      </c>
      <c r="DO205" s="5" t="s">
        <v>238</v>
      </c>
      <c r="DP205" s="5" t="s">
        <v>238</v>
      </c>
      <c r="DQ205" s="5" t="s">
        <v>238</v>
      </c>
      <c r="DT205" s="5" t="s">
        <v>6143</v>
      </c>
      <c r="DU205" s="5" t="s">
        <v>264</v>
      </c>
      <c r="HM205" s="5" t="s">
        <v>264</v>
      </c>
    </row>
    <row r="206" spans="1:221" x14ac:dyDescent="0.4">
      <c r="A206" s="5">
        <v>917</v>
      </c>
      <c r="B206" s="5">
        <v>1</v>
      </c>
      <c r="C206" s="5">
        <v>1</v>
      </c>
      <c r="D206" s="5" t="s">
        <v>6141</v>
      </c>
      <c r="E206" s="5" t="s">
        <v>3336</v>
      </c>
      <c r="F206" s="5" t="s">
        <v>248</v>
      </c>
      <c r="G206" s="5" t="s">
        <v>6140</v>
      </c>
      <c r="H206" s="6" t="s">
        <v>6142</v>
      </c>
      <c r="I206" s="7">
        <f>93.21</f>
        <v>93.21</v>
      </c>
      <c r="J206" s="5" t="s">
        <v>262</v>
      </c>
      <c r="K206" s="8">
        <f>1127841</f>
        <v>1127841</v>
      </c>
      <c r="L206" s="6" t="s">
        <v>242</v>
      </c>
      <c r="M206" s="5" t="s">
        <v>267</v>
      </c>
      <c r="N206" s="5" t="s">
        <v>237</v>
      </c>
      <c r="O206" s="5" t="s">
        <v>238</v>
      </c>
      <c r="P206" s="5" t="s">
        <v>238</v>
      </c>
      <c r="Q206" s="5" t="s">
        <v>239</v>
      </c>
      <c r="R206" s="5" t="s">
        <v>270</v>
      </c>
      <c r="S206" s="5" t="s">
        <v>238</v>
      </c>
      <c r="V206" s="5" t="s">
        <v>238</v>
      </c>
      <c r="X206" s="6" t="s">
        <v>238</v>
      </c>
      <c r="AA206" s="6" t="s">
        <v>243</v>
      </c>
      <c r="AB206" s="5" t="s">
        <v>238</v>
      </c>
      <c r="AC206" s="5" t="s">
        <v>244</v>
      </c>
      <c r="AD206" s="5" t="s">
        <v>245</v>
      </c>
      <c r="AT206" s="5" t="s">
        <v>246</v>
      </c>
      <c r="AU206" s="5" t="s">
        <v>238</v>
      </c>
      <c r="AV206" s="5" t="s">
        <v>247</v>
      </c>
      <c r="AW206" s="5" t="s">
        <v>238</v>
      </c>
      <c r="AX206" s="5" t="s">
        <v>249</v>
      </c>
      <c r="AY206" s="5" t="s">
        <v>238</v>
      </c>
      <c r="BA206" s="5" t="s">
        <v>238</v>
      </c>
      <c r="BC206" s="5" t="s">
        <v>250</v>
      </c>
      <c r="BD206" s="6" t="s">
        <v>243</v>
      </c>
      <c r="BE206" s="5" t="s">
        <v>251</v>
      </c>
      <c r="BF206" s="5" t="s">
        <v>252</v>
      </c>
      <c r="BG206" s="5" t="s">
        <v>238</v>
      </c>
      <c r="BH206" s="7">
        <f>0</f>
        <v>0</v>
      </c>
      <c r="BI206" s="8">
        <f>0</f>
        <v>0</v>
      </c>
      <c r="BJ206" s="5" t="s">
        <v>253</v>
      </c>
      <c r="BK206" s="5" t="s">
        <v>254</v>
      </c>
      <c r="BY206" s="5" t="s">
        <v>238</v>
      </c>
      <c r="BZ206" s="5" t="s">
        <v>238</v>
      </c>
      <c r="CD206" s="5" t="s">
        <v>255</v>
      </c>
      <c r="CE206" s="5" t="s">
        <v>256</v>
      </c>
      <c r="CF206" s="5" t="s">
        <v>238</v>
      </c>
      <c r="CI206" s="6" t="s">
        <v>257</v>
      </c>
      <c r="CJ206" s="5" t="s">
        <v>238</v>
      </c>
      <c r="CK206" s="5" t="s">
        <v>258</v>
      </c>
      <c r="CL206" s="5" t="s">
        <v>238</v>
      </c>
      <c r="CM206" s="5" t="s">
        <v>238</v>
      </c>
      <c r="CN206" s="5">
        <v>0</v>
      </c>
      <c r="CO206" s="5" t="s">
        <v>259</v>
      </c>
      <c r="CP206" s="5" t="s">
        <v>260</v>
      </c>
      <c r="CQ206" s="5" t="s">
        <v>260</v>
      </c>
      <c r="CR206" s="5" t="s">
        <v>261</v>
      </c>
      <c r="CU206" s="8">
        <f>1127841</f>
        <v>1127841</v>
      </c>
      <c r="CV206" s="8">
        <f>0</f>
        <v>0</v>
      </c>
      <c r="CX206" s="8">
        <f>0</f>
        <v>0</v>
      </c>
      <c r="CY206" s="8">
        <f>1127841</f>
        <v>1127841</v>
      </c>
      <c r="DA206" s="5" t="s">
        <v>263</v>
      </c>
      <c r="DB206" s="5" t="s">
        <v>238</v>
      </c>
      <c r="DD206" s="5" t="s">
        <v>263</v>
      </c>
      <c r="DE206" s="8">
        <f>93.21</f>
        <v>93.21</v>
      </c>
      <c r="DG206" s="5" t="s">
        <v>263</v>
      </c>
      <c r="DH206" s="5" t="s">
        <v>238</v>
      </c>
      <c r="DI206" s="5" t="s">
        <v>238</v>
      </c>
      <c r="DJ206" s="5" t="s">
        <v>238</v>
      </c>
      <c r="DN206" s="5" t="s">
        <v>238</v>
      </c>
      <c r="DO206" s="5" t="s">
        <v>238</v>
      </c>
      <c r="DP206" s="5" t="s">
        <v>238</v>
      </c>
      <c r="DQ206" s="5" t="s">
        <v>238</v>
      </c>
      <c r="DT206" s="5" t="s">
        <v>6143</v>
      </c>
      <c r="DU206" s="5" t="s">
        <v>294</v>
      </c>
      <c r="HM206" s="5" t="s">
        <v>264</v>
      </c>
    </row>
    <row r="207" spans="1:221" x14ac:dyDescent="0.4">
      <c r="A207" s="5">
        <v>918</v>
      </c>
      <c r="B207" s="5">
        <v>1</v>
      </c>
      <c r="C207" s="5">
        <v>1</v>
      </c>
      <c r="D207" s="5" t="s">
        <v>6714</v>
      </c>
      <c r="E207" s="5" t="s">
        <v>4391</v>
      </c>
      <c r="F207" s="5" t="s">
        <v>248</v>
      </c>
      <c r="G207" s="5" t="s">
        <v>6713</v>
      </c>
      <c r="H207" s="6" t="s">
        <v>6716</v>
      </c>
      <c r="I207" s="7">
        <f>1721</f>
        <v>1721</v>
      </c>
      <c r="J207" s="5" t="s">
        <v>262</v>
      </c>
      <c r="K207" s="8">
        <f>3812015</f>
        <v>3812015</v>
      </c>
      <c r="L207" s="6" t="s">
        <v>242</v>
      </c>
      <c r="M207" s="5" t="s">
        <v>267</v>
      </c>
      <c r="N207" s="5" t="s">
        <v>237</v>
      </c>
      <c r="Q207" s="5" t="s">
        <v>239</v>
      </c>
      <c r="R207" s="5" t="s">
        <v>270</v>
      </c>
      <c r="S207" s="5" t="s">
        <v>238</v>
      </c>
      <c r="V207" s="5" t="s">
        <v>238</v>
      </c>
      <c r="W207" s="6" t="s">
        <v>238</v>
      </c>
      <c r="X207" s="6" t="s">
        <v>238</v>
      </c>
      <c r="Y207" s="5" t="s">
        <v>238</v>
      </c>
      <c r="Z207" s="6" t="s">
        <v>238</v>
      </c>
      <c r="AA207" s="6" t="s">
        <v>243</v>
      </c>
      <c r="AB207" s="5" t="s">
        <v>6715</v>
      </c>
      <c r="AC207" s="5" t="s">
        <v>244</v>
      </c>
      <c r="AD207" s="5" t="s">
        <v>245</v>
      </c>
      <c r="AJ207" s="5" t="s">
        <v>238</v>
      </c>
      <c r="AK207" s="5" t="s">
        <v>238</v>
      </c>
      <c r="AL207" s="5" t="s">
        <v>238</v>
      </c>
      <c r="AM207" s="6" t="s">
        <v>238</v>
      </c>
      <c r="AN207" s="6" t="s">
        <v>238</v>
      </c>
      <c r="AT207" s="5" t="s">
        <v>246</v>
      </c>
      <c r="AU207" s="5" t="s">
        <v>489</v>
      </c>
      <c r="AV207" s="5" t="s">
        <v>247</v>
      </c>
      <c r="AW207" s="5" t="s">
        <v>600</v>
      </c>
      <c r="AX207" s="5" t="s">
        <v>249</v>
      </c>
      <c r="AY207" s="5" t="s">
        <v>490</v>
      </c>
      <c r="BA207" s="5" t="s">
        <v>4547</v>
      </c>
      <c r="BC207" s="5" t="s">
        <v>250</v>
      </c>
      <c r="BD207" s="6" t="s">
        <v>492</v>
      </c>
      <c r="BE207" s="5" t="s">
        <v>251</v>
      </c>
      <c r="BF207" s="5" t="s">
        <v>252</v>
      </c>
      <c r="BG207" s="5" t="s">
        <v>238</v>
      </c>
      <c r="BH207" s="7">
        <f>0</f>
        <v>0</v>
      </c>
      <c r="BI207" s="8">
        <f>0</f>
        <v>0</v>
      </c>
      <c r="BJ207" s="5" t="s">
        <v>253</v>
      </c>
      <c r="BK207" s="5" t="s">
        <v>254</v>
      </c>
      <c r="BT207" s="6" t="s">
        <v>238</v>
      </c>
      <c r="BU207" s="5" t="s">
        <v>238</v>
      </c>
      <c r="BV207" s="5" t="s">
        <v>238</v>
      </c>
      <c r="BW207" s="5" t="s">
        <v>238</v>
      </c>
      <c r="BY207" s="5" t="s">
        <v>238</v>
      </c>
      <c r="BZ207" s="5" t="s">
        <v>238</v>
      </c>
      <c r="CD207" s="5" t="s">
        <v>255</v>
      </c>
      <c r="CE207" s="5" t="s">
        <v>256</v>
      </c>
      <c r="CF207" s="5" t="s">
        <v>261</v>
      </c>
      <c r="CH207" s="5" t="s">
        <v>238</v>
      </c>
      <c r="CI207" s="6" t="s">
        <v>257</v>
      </c>
      <c r="CJ207" s="5" t="s">
        <v>238</v>
      </c>
      <c r="CK207" s="5" t="s">
        <v>258</v>
      </c>
      <c r="CL207" s="5" t="s">
        <v>238</v>
      </c>
      <c r="CM207" s="5" t="s">
        <v>238</v>
      </c>
      <c r="CN207" s="5">
        <v>0</v>
      </c>
      <c r="CO207" s="5" t="s">
        <v>497</v>
      </c>
      <c r="CP207" s="5" t="s">
        <v>260</v>
      </c>
      <c r="CQ207" s="5" t="s">
        <v>260</v>
      </c>
      <c r="CR207" s="5" t="s">
        <v>261</v>
      </c>
      <c r="CS207" s="5" t="s">
        <v>238</v>
      </c>
      <c r="CT207" s="7" t="s">
        <v>238</v>
      </c>
      <c r="CU207" s="8">
        <f>3812015</f>
        <v>3812015</v>
      </c>
      <c r="CV207" s="8">
        <f>0</f>
        <v>0</v>
      </c>
      <c r="CW207" s="8" t="s">
        <v>238</v>
      </c>
      <c r="CX207" s="8">
        <f>0</f>
        <v>0</v>
      </c>
      <c r="CY207" s="8">
        <f>3812015</f>
        <v>3812015</v>
      </c>
      <c r="CZ207" s="8" t="s">
        <v>238</v>
      </c>
      <c r="DA207" s="5" t="s">
        <v>2032</v>
      </c>
      <c r="DB207" s="5" t="s">
        <v>238</v>
      </c>
      <c r="DD207" s="5" t="s">
        <v>356</v>
      </c>
      <c r="DE207" s="8">
        <f>0</f>
        <v>0</v>
      </c>
      <c r="DF207" s="6" t="s">
        <v>238</v>
      </c>
      <c r="DG207" s="5" t="s">
        <v>389</v>
      </c>
      <c r="DH207" s="5" t="s">
        <v>238</v>
      </c>
      <c r="DI207" s="5" t="s">
        <v>238</v>
      </c>
      <c r="DJ207" s="5" t="s">
        <v>238</v>
      </c>
      <c r="DK207" s="5" t="s">
        <v>238</v>
      </c>
      <c r="DL207" s="5" t="s">
        <v>238</v>
      </c>
      <c r="DM207" s="8" t="s">
        <v>238</v>
      </c>
      <c r="DN207" s="5" t="s">
        <v>238</v>
      </c>
      <c r="DO207" s="5" t="s">
        <v>244</v>
      </c>
      <c r="DP207" s="5" t="s">
        <v>490</v>
      </c>
      <c r="DQ207" s="5" t="s">
        <v>490</v>
      </c>
      <c r="DR207" s="5" t="s">
        <v>238</v>
      </c>
      <c r="DS207" s="5" t="s">
        <v>238</v>
      </c>
      <c r="DT207" s="5" t="s">
        <v>6717</v>
      </c>
      <c r="DU207" s="5" t="s">
        <v>264</v>
      </c>
    </row>
    <row r="208" spans="1:221" x14ac:dyDescent="0.4">
      <c r="A208" s="5">
        <v>919</v>
      </c>
      <c r="B208" s="5">
        <v>1</v>
      </c>
      <c r="C208" s="5">
        <v>1</v>
      </c>
      <c r="D208" s="5" t="s">
        <v>6579</v>
      </c>
      <c r="E208" s="5" t="s">
        <v>4391</v>
      </c>
      <c r="F208" s="5" t="s">
        <v>248</v>
      </c>
      <c r="G208" s="5" t="s">
        <v>6578</v>
      </c>
      <c r="H208" s="6" t="s">
        <v>6594</v>
      </c>
      <c r="I208" s="7">
        <f>963</f>
        <v>963</v>
      </c>
      <c r="J208" s="5" t="s">
        <v>262</v>
      </c>
      <c r="K208" s="8">
        <f>2133045</f>
        <v>2133045</v>
      </c>
      <c r="L208" s="6" t="s">
        <v>242</v>
      </c>
      <c r="M208" s="5" t="s">
        <v>267</v>
      </c>
      <c r="N208" s="5" t="s">
        <v>237</v>
      </c>
      <c r="Q208" s="5" t="s">
        <v>239</v>
      </c>
      <c r="R208" s="5" t="s">
        <v>270</v>
      </c>
      <c r="S208" s="5" t="s">
        <v>238</v>
      </c>
      <c r="V208" s="5" t="s">
        <v>238</v>
      </c>
      <c r="W208" s="6" t="s">
        <v>238</v>
      </c>
      <c r="X208" s="6" t="s">
        <v>238</v>
      </c>
      <c r="Y208" s="5" t="s">
        <v>238</v>
      </c>
      <c r="Z208" s="6" t="s">
        <v>238</v>
      </c>
      <c r="AA208" s="6" t="s">
        <v>243</v>
      </c>
      <c r="AB208" s="5" t="s">
        <v>238</v>
      </c>
      <c r="AC208" s="5" t="s">
        <v>244</v>
      </c>
      <c r="AD208" s="5" t="s">
        <v>245</v>
      </c>
      <c r="AJ208" s="5" t="s">
        <v>238</v>
      </c>
      <c r="AK208" s="5" t="s">
        <v>238</v>
      </c>
      <c r="AL208" s="5" t="s">
        <v>238</v>
      </c>
      <c r="AM208" s="6" t="s">
        <v>238</v>
      </c>
      <c r="AN208" s="6" t="s">
        <v>238</v>
      </c>
      <c r="AT208" s="5" t="s">
        <v>246</v>
      </c>
      <c r="AU208" s="5" t="s">
        <v>489</v>
      </c>
      <c r="AV208" s="5" t="s">
        <v>247</v>
      </c>
      <c r="AW208" s="5" t="s">
        <v>600</v>
      </c>
      <c r="AX208" s="5" t="s">
        <v>249</v>
      </c>
      <c r="AY208" s="5" t="s">
        <v>490</v>
      </c>
      <c r="BA208" s="5" t="s">
        <v>4547</v>
      </c>
      <c r="BC208" s="5" t="s">
        <v>250</v>
      </c>
      <c r="BD208" s="6" t="s">
        <v>492</v>
      </c>
      <c r="BE208" s="5" t="s">
        <v>251</v>
      </c>
      <c r="BF208" s="5" t="s">
        <v>252</v>
      </c>
      <c r="BG208" s="5" t="s">
        <v>238</v>
      </c>
      <c r="BH208" s="7">
        <f>0</f>
        <v>0</v>
      </c>
      <c r="BI208" s="8">
        <f>0</f>
        <v>0</v>
      </c>
      <c r="BJ208" s="5" t="s">
        <v>253</v>
      </c>
      <c r="BK208" s="5" t="s">
        <v>254</v>
      </c>
      <c r="BT208" s="6" t="s">
        <v>238</v>
      </c>
      <c r="BU208" s="5" t="s">
        <v>238</v>
      </c>
      <c r="BV208" s="5" t="s">
        <v>238</v>
      </c>
      <c r="BW208" s="5" t="s">
        <v>238</v>
      </c>
      <c r="BY208" s="5" t="s">
        <v>238</v>
      </c>
      <c r="BZ208" s="5" t="s">
        <v>238</v>
      </c>
      <c r="CD208" s="5" t="s">
        <v>255</v>
      </c>
      <c r="CE208" s="5" t="s">
        <v>256</v>
      </c>
      <c r="CF208" s="5" t="s">
        <v>261</v>
      </c>
      <c r="CH208" s="5" t="s">
        <v>238</v>
      </c>
      <c r="CI208" s="6" t="s">
        <v>257</v>
      </c>
      <c r="CJ208" s="5" t="s">
        <v>238</v>
      </c>
      <c r="CK208" s="5" t="s">
        <v>258</v>
      </c>
      <c r="CL208" s="5" t="s">
        <v>238</v>
      </c>
      <c r="CM208" s="5" t="s">
        <v>238</v>
      </c>
      <c r="CN208" s="5">
        <v>0</v>
      </c>
      <c r="CO208" s="5" t="s">
        <v>497</v>
      </c>
      <c r="CP208" s="5" t="s">
        <v>260</v>
      </c>
      <c r="CQ208" s="5" t="s">
        <v>260</v>
      </c>
      <c r="CR208" s="5" t="s">
        <v>261</v>
      </c>
      <c r="CS208" s="5" t="s">
        <v>238</v>
      </c>
      <c r="CT208" s="7" t="s">
        <v>238</v>
      </c>
      <c r="CU208" s="8">
        <f>2133045</f>
        <v>2133045</v>
      </c>
      <c r="CV208" s="8">
        <f>0</f>
        <v>0</v>
      </c>
      <c r="CW208" s="8" t="s">
        <v>238</v>
      </c>
      <c r="CX208" s="8">
        <f>0</f>
        <v>0</v>
      </c>
      <c r="CY208" s="8">
        <f>2133045</f>
        <v>2133045</v>
      </c>
      <c r="CZ208" s="8" t="s">
        <v>238</v>
      </c>
      <c r="DA208" s="5" t="s">
        <v>2032</v>
      </c>
      <c r="DB208" s="5" t="s">
        <v>238</v>
      </c>
      <c r="DD208" s="5" t="s">
        <v>356</v>
      </c>
      <c r="DE208" s="8">
        <f>0</f>
        <v>0</v>
      </c>
      <c r="DF208" s="6" t="s">
        <v>238</v>
      </c>
      <c r="DG208" s="5" t="s">
        <v>389</v>
      </c>
      <c r="DH208" s="5" t="s">
        <v>238</v>
      </c>
      <c r="DI208" s="5" t="s">
        <v>238</v>
      </c>
      <c r="DJ208" s="5" t="s">
        <v>238</v>
      </c>
      <c r="DK208" s="5" t="s">
        <v>238</v>
      </c>
      <c r="DL208" s="5" t="s">
        <v>238</v>
      </c>
      <c r="DM208" s="8" t="s">
        <v>238</v>
      </c>
      <c r="DN208" s="5" t="s">
        <v>238</v>
      </c>
      <c r="DO208" s="5" t="s">
        <v>244</v>
      </c>
      <c r="DP208" s="5" t="s">
        <v>490</v>
      </c>
      <c r="DQ208" s="5" t="s">
        <v>490</v>
      </c>
      <c r="DR208" s="5" t="s">
        <v>238</v>
      </c>
      <c r="DS208" s="5" t="s">
        <v>238</v>
      </c>
      <c r="DT208" s="5" t="s">
        <v>6581</v>
      </c>
      <c r="DU208" s="5" t="s">
        <v>264</v>
      </c>
    </row>
    <row r="209" spans="1:221" x14ac:dyDescent="0.4">
      <c r="A209" s="5">
        <v>920</v>
      </c>
      <c r="B209" s="5">
        <v>1</v>
      </c>
      <c r="C209" s="5">
        <v>1</v>
      </c>
      <c r="D209" s="5" t="s">
        <v>6579</v>
      </c>
      <c r="E209" s="5" t="s">
        <v>4391</v>
      </c>
      <c r="F209" s="5" t="s">
        <v>248</v>
      </c>
      <c r="G209" s="5" t="s">
        <v>6578</v>
      </c>
      <c r="H209" s="6" t="s">
        <v>6748</v>
      </c>
      <c r="I209" s="7">
        <f>13285</f>
        <v>13285</v>
      </c>
      <c r="J209" s="5" t="s">
        <v>262</v>
      </c>
      <c r="K209" s="8">
        <f>29426275</f>
        <v>29426275</v>
      </c>
      <c r="L209" s="6" t="s">
        <v>242</v>
      </c>
      <c r="M209" s="5" t="s">
        <v>267</v>
      </c>
      <c r="N209" s="5" t="s">
        <v>237</v>
      </c>
      <c r="Q209" s="5" t="s">
        <v>239</v>
      </c>
      <c r="R209" s="5" t="s">
        <v>270</v>
      </c>
      <c r="S209" s="5" t="s">
        <v>238</v>
      </c>
      <c r="V209" s="5" t="s">
        <v>238</v>
      </c>
      <c r="W209" s="6" t="s">
        <v>238</v>
      </c>
      <c r="X209" s="6" t="s">
        <v>238</v>
      </c>
      <c r="Y209" s="5" t="s">
        <v>238</v>
      </c>
      <c r="Z209" s="6" t="s">
        <v>238</v>
      </c>
      <c r="AA209" s="6" t="s">
        <v>243</v>
      </c>
      <c r="AB209" s="5" t="s">
        <v>238</v>
      </c>
      <c r="AC209" s="5" t="s">
        <v>244</v>
      </c>
      <c r="AD209" s="5" t="s">
        <v>245</v>
      </c>
      <c r="AJ209" s="5" t="s">
        <v>238</v>
      </c>
      <c r="AK209" s="5" t="s">
        <v>238</v>
      </c>
      <c r="AL209" s="5" t="s">
        <v>238</v>
      </c>
      <c r="AM209" s="6" t="s">
        <v>238</v>
      </c>
      <c r="AN209" s="6" t="s">
        <v>238</v>
      </c>
      <c r="AT209" s="5" t="s">
        <v>246</v>
      </c>
      <c r="AU209" s="5" t="s">
        <v>489</v>
      </c>
      <c r="AV209" s="5" t="s">
        <v>247</v>
      </c>
      <c r="AW209" s="5" t="s">
        <v>600</v>
      </c>
      <c r="AX209" s="5" t="s">
        <v>249</v>
      </c>
      <c r="AY209" s="5" t="s">
        <v>490</v>
      </c>
      <c r="BA209" s="5" t="s">
        <v>4547</v>
      </c>
      <c r="BC209" s="5" t="s">
        <v>250</v>
      </c>
      <c r="BD209" s="6" t="s">
        <v>492</v>
      </c>
      <c r="BE209" s="5" t="s">
        <v>251</v>
      </c>
      <c r="BF209" s="5" t="s">
        <v>252</v>
      </c>
      <c r="BG209" s="5" t="s">
        <v>238</v>
      </c>
      <c r="BH209" s="7">
        <f>0</f>
        <v>0</v>
      </c>
      <c r="BI209" s="8">
        <f>0</f>
        <v>0</v>
      </c>
      <c r="BJ209" s="5" t="s">
        <v>253</v>
      </c>
      <c r="BK209" s="5" t="s">
        <v>254</v>
      </c>
      <c r="BT209" s="6" t="s">
        <v>238</v>
      </c>
      <c r="BU209" s="5" t="s">
        <v>238</v>
      </c>
      <c r="BV209" s="5" t="s">
        <v>238</v>
      </c>
      <c r="BW209" s="5" t="s">
        <v>238</v>
      </c>
      <c r="BY209" s="5" t="s">
        <v>238</v>
      </c>
      <c r="BZ209" s="5" t="s">
        <v>238</v>
      </c>
      <c r="CD209" s="5" t="s">
        <v>255</v>
      </c>
      <c r="CE209" s="5" t="s">
        <v>256</v>
      </c>
      <c r="CF209" s="5" t="s">
        <v>261</v>
      </c>
      <c r="CH209" s="5" t="s">
        <v>238</v>
      </c>
      <c r="CI209" s="6" t="s">
        <v>257</v>
      </c>
      <c r="CJ209" s="5" t="s">
        <v>238</v>
      </c>
      <c r="CK209" s="5" t="s">
        <v>258</v>
      </c>
      <c r="CL209" s="5" t="s">
        <v>238</v>
      </c>
      <c r="CM209" s="5" t="s">
        <v>238</v>
      </c>
      <c r="CN209" s="5">
        <v>0</v>
      </c>
      <c r="CO209" s="5" t="s">
        <v>497</v>
      </c>
      <c r="CP209" s="5" t="s">
        <v>260</v>
      </c>
      <c r="CQ209" s="5" t="s">
        <v>260</v>
      </c>
      <c r="CR209" s="5" t="s">
        <v>261</v>
      </c>
      <c r="CS209" s="5" t="s">
        <v>238</v>
      </c>
      <c r="CT209" s="7" t="s">
        <v>238</v>
      </c>
      <c r="CU209" s="8">
        <f>29426275</f>
        <v>29426275</v>
      </c>
      <c r="CV209" s="8">
        <f>0</f>
        <v>0</v>
      </c>
      <c r="CW209" s="8" t="s">
        <v>238</v>
      </c>
      <c r="CX209" s="8">
        <f>0</f>
        <v>0</v>
      </c>
      <c r="CY209" s="8">
        <f>29426275</f>
        <v>29426275</v>
      </c>
      <c r="CZ209" s="8" t="s">
        <v>238</v>
      </c>
      <c r="DA209" s="5" t="s">
        <v>2032</v>
      </c>
      <c r="DB209" s="5" t="s">
        <v>238</v>
      </c>
      <c r="DD209" s="5" t="s">
        <v>356</v>
      </c>
      <c r="DE209" s="8">
        <f>0</f>
        <v>0</v>
      </c>
      <c r="DF209" s="6" t="s">
        <v>238</v>
      </c>
      <c r="DG209" s="5" t="s">
        <v>389</v>
      </c>
      <c r="DH209" s="5" t="s">
        <v>238</v>
      </c>
      <c r="DI209" s="5" t="s">
        <v>238</v>
      </c>
      <c r="DJ209" s="5" t="s">
        <v>238</v>
      </c>
      <c r="DK209" s="5" t="s">
        <v>238</v>
      </c>
      <c r="DL209" s="5" t="s">
        <v>238</v>
      </c>
      <c r="DM209" s="8" t="s">
        <v>238</v>
      </c>
      <c r="DN209" s="5" t="s">
        <v>238</v>
      </c>
      <c r="DO209" s="5" t="s">
        <v>244</v>
      </c>
      <c r="DP209" s="5" t="s">
        <v>490</v>
      </c>
      <c r="DQ209" s="5" t="s">
        <v>490</v>
      </c>
      <c r="DR209" s="5" t="s">
        <v>238</v>
      </c>
      <c r="DS209" s="5" t="s">
        <v>238</v>
      </c>
      <c r="DT209" s="5" t="s">
        <v>6581</v>
      </c>
      <c r="DU209" s="5" t="s">
        <v>294</v>
      </c>
    </row>
    <row r="210" spans="1:221" x14ac:dyDescent="0.4">
      <c r="A210" s="5">
        <v>921</v>
      </c>
      <c r="B210" s="5">
        <v>1</v>
      </c>
      <c r="C210" s="5">
        <v>1</v>
      </c>
      <c r="D210" s="5" t="s">
        <v>6579</v>
      </c>
      <c r="E210" s="5" t="s">
        <v>4391</v>
      </c>
      <c r="F210" s="5" t="s">
        <v>248</v>
      </c>
      <c r="G210" s="5" t="s">
        <v>6578</v>
      </c>
      <c r="H210" s="6" t="s">
        <v>6580</v>
      </c>
      <c r="I210" s="7">
        <f>5446</f>
        <v>5446</v>
      </c>
      <c r="J210" s="5" t="s">
        <v>262</v>
      </c>
      <c r="K210" s="8">
        <f>12062890</f>
        <v>12062890</v>
      </c>
      <c r="L210" s="6" t="s">
        <v>242</v>
      </c>
      <c r="M210" s="5" t="s">
        <v>267</v>
      </c>
      <c r="N210" s="5" t="s">
        <v>237</v>
      </c>
      <c r="Q210" s="5" t="s">
        <v>239</v>
      </c>
      <c r="R210" s="5" t="s">
        <v>270</v>
      </c>
      <c r="S210" s="5" t="s">
        <v>238</v>
      </c>
      <c r="V210" s="5" t="s">
        <v>238</v>
      </c>
      <c r="W210" s="6" t="s">
        <v>238</v>
      </c>
      <c r="X210" s="6" t="s">
        <v>238</v>
      </c>
      <c r="Y210" s="5" t="s">
        <v>238</v>
      </c>
      <c r="Z210" s="6" t="s">
        <v>238</v>
      </c>
      <c r="AA210" s="6" t="s">
        <v>243</v>
      </c>
      <c r="AB210" s="5" t="s">
        <v>238</v>
      </c>
      <c r="AC210" s="5" t="s">
        <v>244</v>
      </c>
      <c r="AD210" s="5" t="s">
        <v>245</v>
      </c>
      <c r="AJ210" s="5" t="s">
        <v>238</v>
      </c>
      <c r="AK210" s="5" t="s">
        <v>238</v>
      </c>
      <c r="AL210" s="5" t="s">
        <v>238</v>
      </c>
      <c r="AM210" s="6" t="s">
        <v>238</v>
      </c>
      <c r="AN210" s="6" t="s">
        <v>238</v>
      </c>
      <c r="AT210" s="5" t="s">
        <v>246</v>
      </c>
      <c r="AU210" s="5" t="s">
        <v>489</v>
      </c>
      <c r="AV210" s="5" t="s">
        <v>247</v>
      </c>
      <c r="AW210" s="5" t="s">
        <v>600</v>
      </c>
      <c r="AX210" s="5" t="s">
        <v>249</v>
      </c>
      <c r="AY210" s="5" t="s">
        <v>490</v>
      </c>
      <c r="BA210" s="5" t="s">
        <v>4547</v>
      </c>
      <c r="BC210" s="5" t="s">
        <v>250</v>
      </c>
      <c r="BD210" s="6" t="s">
        <v>492</v>
      </c>
      <c r="BE210" s="5" t="s">
        <v>251</v>
      </c>
      <c r="BF210" s="5" t="s">
        <v>252</v>
      </c>
      <c r="BG210" s="5" t="s">
        <v>238</v>
      </c>
      <c r="BH210" s="7">
        <f>0</f>
        <v>0</v>
      </c>
      <c r="BI210" s="8">
        <f>0</f>
        <v>0</v>
      </c>
      <c r="BJ210" s="5" t="s">
        <v>253</v>
      </c>
      <c r="BK210" s="5" t="s">
        <v>254</v>
      </c>
      <c r="BT210" s="6" t="s">
        <v>238</v>
      </c>
      <c r="BU210" s="5" t="s">
        <v>238</v>
      </c>
      <c r="BV210" s="5" t="s">
        <v>238</v>
      </c>
      <c r="BW210" s="5" t="s">
        <v>238</v>
      </c>
      <c r="BY210" s="5" t="s">
        <v>238</v>
      </c>
      <c r="BZ210" s="5" t="s">
        <v>238</v>
      </c>
      <c r="CD210" s="5" t="s">
        <v>255</v>
      </c>
      <c r="CE210" s="5" t="s">
        <v>256</v>
      </c>
      <c r="CF210" s="5" t="s">
        <v>261</v>
      </c>
      <c r="CH210" s="5" t="s">
        <v>238</v>
      </c>
      <c r="CI210" s="6" t="s">
        <v>257</v>
      </c>
      <c r="CJ210" s="5" t="s">
        <v>238</v>
      </c>
      <c r="CK210" s="5" t="s">
        <v>258</v>
      </c>
      <c r="CL210" s="5" t="s">
        <v>238</v>
      </c>
      <c r="CM210" s="5" t="s">
        <v>238</v>
      </c>
      <c r="CN210" s="5">
        <v>0</v>
      </c>
      <c r="CO210" s="5" t="s">
        <v>497</v>
      </c>
      <c r="CP210" s="5" t="s">
        <v>260</v>
      </c>
      <c r="CQ210" s="5" t="s">
        <v>260</v>
      </c>
      <c r="CR210" s="5" t="s">
        <v>261</v>
      </c>
      <c r="CS210" s="5" t="s">
        <v>238</v>
      </c>
      <c r="CT210" s="7" t="s">
        <v>238</v>
      </c>
      <c r="CU210" s="8">
        <f>12062890</f>
        <v>12062890</v>
      </c>
      <c r="CV210" s="8">
        <f>0</f>
        <v>0</v>
      </c>
      <c r="CW210" s="8" t="s">
        <v>238</v>
      </c>
      <c r="CX210" s="8">
        <f>0</f>
        <v>0</v>
      </c>
      <c r="CY210" s="8">
        <f>12062890</f>
        <v>12062890</v>
      </c>
      <c r="CZ210" s="8" t="s">
        <v>238</v>
      </c>
      <c r="DA210" s="5" t="s">
        <v>2032</v>
      </c>
      <c r="DB210" s="5" t="s">
        <v>238</v>
      </c>
      <c r="DD210" s="5" t="s">
        <v>356</v>
      </c>
      <c r="DE210" s="8">
        <f>0</f>
        <v>0</v>
      </c>
      <c r="DF210" s="6" t="s">
        <v>238</v>
      </c>
      <c r="DG210" s="5" t="s">
        <v>389</v>
      </c>
      <c r="DH210" s="5" t="s">
        <v>238</v>
      </c>
      <c r="DI210" s="5" t="s">
        <v>238</v>
      </c>
      <c r="DJ210" s="5" t="s">
        <v>238</v>
      </c>
      <c r="DK210" s="5" t="s">
        <v>238</v>
      </c>
      <c r="DL210" s="5" t="s">
        <v>238</v>
      </c>
      <c r="DM210" s="8" t="s">
        <v>238</v>
      </c>
      <c r="DN210" s="5" t="s">
        <v>238</v>
      </c>
      <c r="DO210" s="5" t="s">
        <v>244</v>
      </c>
      <c r="DP210" s="5" t="s">
        <v>490</v>
      </c>
      <c r="DQ210" s="5" t="s">
        <v>490</v>
      </c>
      <c r="DR210" s="5" t="s">
        <v>238</v>
      </c>
      <c r="DS210" s="5" t="s">
        <v>238</v>
      </c>
      <c r="DT210" s="5" t="s">
        <v>6581</v>
      </c>
      <c r="DU210" s="5" t="s">
        <v>806</v>
      </c>
    </row>
    <row r="211" spans="1:221" x14ac:dyDescent="0.4">
      <c r="A211" s="5">
        <v>922</v>
      </c>
      <c r="B211" s="5">
        <v>1</v>
      </c>
      <c r="C211" s="5">
        <v>1</v>
      </c>
      <c r="D211" s="5" t="s">
        <v>6579</v>
      </c>
      <c r="E211" s="5" t="s">
        <v>4391</v>
      </c>
      <c r="F211" s="5" t="s">
        <v>248</v>
      </c>
      <c r="G211" s="5" t="s">
        <v>6578</v>
      </c>
      <c r="H211" s="6" t="s">
        <v>6863</v>
      </c>
      <c r="I211" s="7">
        <f>1562</f>
        <v>1562</v>
      </c>
      <c r="J211" s="5" t="s">
        <v>262</v>
      </c>
      <c r="K211" s="8">
        <f>3459830</f>
        <v>3459830</v>
      </c>
      <c r="L211" s="6" t="s">
        <v>242</v>
      </c>
      <c r="M211" s="5" t="s">
        <v>267</v>
      </c>
      <c r="N211" s="5" t="s">
        <v>237</v>
      </c>
      <c r="Q211" s="5" t="s">
        <v>239</v>
      </c>
      <c r="R211" s="5" t="s">
        <v>270</v>
      </c>
      <c r="S211" s="5" t="s">
        <v>238</v>
      </c>
      <c r="V211" s="5" t="s">
        <v>238</v>
      </c>
      <c r="W211" s="6" t="s">
        <v>238</v>
      </c>
      <c r="X211" s="6" t="s">
        <v>238</v>
      </c>
      <c r="Y211" s="5" t="s">
        <v>238</v>
      </c>
      <c r="Z211" s="6" t="s">
        <v>238</v>
      </c>
      <c r="AA211" s="6" t="s">
        <v>243</v>
      </c>
      <c r="AB211" s="5" t="s">
        <v>238</v>
      </c>
      <c r="AC211" s="5" t="s">
        <v>244</v>
      </c>
      <c r="AD211" s="5" t="s">
        <v>245</v>
      </c>
      <c r="AJ211" s="5" t="s">
        <v>238</v>
      </c>
      <c r="AK211" s="5" t="s">
        <v>238</v>
      </c>
      <c r="AL211" s="5" t="s">
        <v>238</v>
      </c>
      <c r="AM211" s="6" t="s">
        <v>238</v>
      </c>
      <c r="AN211" s="6" t="s">
        <v>238</v>
      </c>
      <c r="AT211" s="5" t="s">
        <v>246</v>
      </c>
      <c r="AU211" s="5" t="s">
        <v>489</v>
      </c>
      <c r="AV211" s="5" t="s">
        <v>247</v>
      </c>
      <c r="AW211" s="5" t="s">
        <v>600</v>
      </c>
      <c r="AX211" s="5" t="s">
        <v>249</v>
      </c>
      <c r="AY211" s="5" t="s">
        <v>490</v>
      </c>
      <c r="BA211" s="5" t="s">
        <v>4547</v>
      </c>
      <c r="BC211" s="5" t="s">
        <v>250</v>
      </c>
      <c r="BD211" s="6" t="s">
        <v>492</v>
      </c>
      <c r="BE211" s="5" t="s">
        <v>251</v>
      </c>
      <c r="BF211" s="5" t="s">
        <v>252</v>
      </c>
      <c r="BG211" s="5" t="s">
        <v>238</v>
      </c>
      <c r="BH211" s="7">
        <f>0</f>
        <v>0</v>
      </c>
      <c r="BI211" s="8">
        <f>0</f>
        <v>0</v>
      </c>
      <c r="BJ211" s="5" t="s">
        <v>253</v>
      </c>
      <c r="BK211" s="5" t="s">
        <v>254</v>
      </c>
      <c r="BT211" s="6" t="s">
        <v>238</v>
      </c>
      <c r="BU211" s="5" t="s">
        <v>238</v>
      </c>
      <c r="BV211" s="5" t="s">
        <v>238</v>
      </c>
      <c r="BW211" s="5" t="s">
        <v>238</v>
      </c>
      <c r="BY211" s="5" t="s">
        <v>238</v>
      </c>
      <c r="BZ211" s="5" t="s">
        <v>238</v>
      </c>
      <c r="CD211" s="5" t="s">
        <v>255</v>
      </c>
      <c r="CE211" s="5" t="s">
        <v>256</v>
      </c>
      <c r="CF211" s="5" t="s">
        <v>261</v>
      </c>
      <c r="CH211" s="5" t="s">
        <v>238</v>
      </c>
      <c r="CI211" s="6" t="s">
        <v>257</v>
      </c>
      <c r="CJ211" s="5" t="s">
        <v>238</v>
      </c>
      <c r="CK211" s="5" t="s">
        <v>258</v>
      </c>
      <c r="CL211" s="5" t="s">
        <v>238</v>
      </c>
      <c r="CM211" s="5" t="s">
        <v>238</v>
      </c>
      <c r="CN211" s="5">
        <v>0</v>
      </c>
      <c r="CO211" s="5" t="s">
        <v>497</v>
      </c>
      <c r="CP211" s="5" t="s">
        <v>260</v>
      </c>
      <c r="CQ211" s="5" t="s">
        <v>260</v>
      </c>
      <c r="CR211" s="5" t="s">
        <v>261</v>
      </c>
      <c r="CS211" s="5" t="s">
        <v>238</v>
      </c>
      <c r="CT211" s="7" t="s">
        <v>238</v>
      </c>
      <c r="CU211" s="8">
        <f>3459830</f>
        <v>3459830</v>
      </c>
      <c r="CV211" s="8">
        <f>0</f>
        <v>0</v>
      </c>
      <c r="CW211" s="8" t="s">
        <v>238</v>
      </c>
      <c r="CX211" s="8">
        <f>0</f>
        <v>0</v>
      </c>
      <c r="CY211" s="8">
        <f>3459830</f>
        <v>3459830</v>
      </c>
      <c r="CZ211" s="8" t="s">
        <v>238</v>
      </c>
      <c r="DA211" s="5" t="s">
        <v>2032</v>
      </c>
      <c r="DB211" s="5" t="s">
        <v>238</v>
      </c>
      <c r="DD211" s="5" t="s">
        <v>356</v>
      </c>
      <c r="DE211" s="8">
        <f>0</f>
        <v>0</v>
      </c>
      <c r="DF211" s="6" t="s">
        <v>238</v>
      </c>
      <c r="DG211" s="5" t="s">
        <v>389</v>
      </c>
      <c r="DH211" s="5" t="s">
        <v>238</v>
      </c>
      <c r="DI211" s="5" t="s">
        <v>238</v>
      </c>
      <c r="DJ211" s="5" t="s">
        <v>238</v>
      </c>
      <c r="DK211" s="5" t="s">
        <v>238</v>
      </c>
      <c r="DL211" s="5" t="s">
        <v>238</v>
      </c>
      <c r="DM211" s="8" t="s">
        <v>238</v>
      </c>
      <c r="DN211" s="5" t="s">
        <v>238</v>
      </c>
      <c r="DO211" s="5" t="s">
        <v>244</v>
      </c>
      <c r="DP211" s="5" t="s">
        <v>490</v>
      </c>
      <c r="DQ211" s="5" t="s">
        <v>490</v>
      </c>
      <c r="DR211" s="5" t="s">
        <v>238</v>
      </c>
      <c r="DS211" s="5" t="s">
        <v>238</v>
      </c>
      <c r="DT211" s="5" t="s">
        <v>6581</v>
      </c>
      <c r="DU211" s="5" t="s">
        <v>854</v>
      </c>
    </row>
    <row r="212" spans="1:221" x14ac:dyDescent="0.4">
      <c r="A212" s="5">
        <v>923</v>
      </c>
      <c r="B212" s="5">
        <v>1</v>
      </c>
      <c r="C212" s="5">
        <v>1</v>
      </c>
      <c r="D212" s="5" t="s">
        <v>6579</v>
      </c>
      <c r="E212" s="5" t="s">
        <v>4391</v>
      </c>
      <c r="F212" s="5" t="s">
        <v>248</v>
      </c>
      <c r="G212" s="5" t="s">
        <v>6578</v>
      </c>
      <c r="H212" s="6" t="s">
        <v>6708</v>
      </c>
      <c r="I212" s="7">
        <f>6888</f>
        <v>6888</v>
      </c>
      <c r="J212" s="5" t="s">
        <v>262</v>
      </c>
      <c r="K212" s="8">
        <f>15256920</f>
        <v>15256920</v>
      </c>
      <c r="L212" s="6" t="s">
        <v>242</v>
      </c>
      <c r="M212" s="5" t="s">
        <v>267</v>
      </c>
      <c r="N212" s="5" t="s">
        <v>237</v>
      </c>
      <c r="Q212" s="5" t="s">
        <v>239</v>
      </c>
      <c r="R212" s="5" t="s">
        <v>270</v>
      </c>
      <c r="S212" s="5" t="s">
        <v>238</v>
      </c>
      <c r="V212" s="5" t="s">
        <v>238</v>
      </c>
      <c r="W212" s="6" t="s">
        <v>238</v>
      </c>
      <c r="X212" s="6" t="s">
        <v>238</v>
      </c>
      <c r="Y212" s="5" t="s">
        <v>238</v>
      </c>
      <c r="Z212" s="6" t="s">
        <v>238</v>
      </c>
      <c r="AA212" s="6" t="s">
        <v>243</v>
      </c>
      <c r="AB212" s="5" t="s">
        <v>238</v>
      </c>
      <c r="AC212" s="5" t="s">
        <v>244</v>
      </c>
      <c r="AD212" s="5" t="s">
        <v>245</v>
      </c>
      <c r="AJ212" s="5" t="s">
        <v>238</v>
      </c>
      <c r="AK212" s="5" t="s">
        <v>238</v>
      </c>
      <c r="AL212" s="5" t="s">
        <v>238</v>
      </c>
      <c r="AM212" s="6" t="s">
        <v>238</v>
      </c>
      <c r="AN212" s="6" t="s">
        <v>238</v>
      </c>
      <c r="AT212" s="5" t="s">
        <v>246</v>
      </c>
      <c r="AU212" s="5" t="s">
        <v>489</v>
      </c>
      <c r="AV212" s="5" t="s">
        <v>247</v>
      </c>
      <c r="AW212" s="5" t="s">
        <v>600</v>
      </c>
      <c r="AX212" s="5" t="s">
        <v>249</v>
      </c>
      <c r="AY212" s="5" t="s">
        <v>490</v>
      </c>
      <c r="BA212" s="5" t="s">
        <v>4547</v>
      </c>
      <c r="BC212" s="5" t="s">
        <v>250</v>
      </c>
      <c r="BD212" s="6" t="s">
        <v>492</v>
      </c>
      <c r="BE212" s="5" t="s">
        <v>251</v>
      </c>
      <c r="BF212" s="5" t="s">
        <v>252</v>
      </c>
      <c r="BG212" s="5" t="s">
        <v>238</v>
      </c>
      <c r="BH212" s="7">
        <f>0</f>
        <v>0</v>
      </c>
      <c r="BI212" s="8">
        <f>0</f>
        <v>0</v>
      </c>
      <c r="BJ212" s="5" t="s">
        <v>253</v>
      </c>
      <c r="BK212" s="5" t="s">
        <v>254</v>
      </c>
      <c r="BT212" s="6" t="s">
        <v>238</v>
      </c>
      <c r="BU212" s="5" t="s">
        <v>238</v>
      </c>
      <c r="BV212" s="5" t="s">
        <v>238</v>
      </c>
      <c r="BW212" s="5" t="s">
        <v>238</v>
      </c>
      <c r="BY212" s="5" t="s">
        <v>238</v>
      </c>
      <c r="BZ212" s="5" t="s">
        <v>238</v>
      </c>
      <c r="CD212" s="5" t="s">
        <v>255</v>
      </c>
      <c r="CE212" s="5" t="s">
        <v>256</v>
      </c>
      <c r="CF212" s="5" t="s">
        <v>261</v>
      </c>
      <c r="CH212" s="5" t="s">
        <v>238</v>
      </c>
      <c r="CI212" s="6" t="s">
        <v>257</v>
      </c>
      <c r="CJ212" s="5" t="s">
        <v>238</v>
      </c>
      <c r="CK212" s="5" t="s">
        <v>258</v>
      </c>
      <c r="CL212" s="5" t="s">
        <v>238</v>
      </c>
      <c r="CM212" s="5" t="s">
        <v>238</v>
      </c>
      <c r="CN212" s="5">
        <v>0</v>
      </c>
      <c r="CO212" s="5" t="s">
        <v>497</v>
      </c>
      <c r="CP212" s="5" t="s">
        <v>260</v>
      </c>
      <c r="CQ212" s="5" t="s">
        <v>260</v>
      </c>
      <c r="CR212" s="5" t="s">
        <v>261</v>
      </c>
      <c r="CS212" s="5" t="s">
        <v>238</v>
      </c>
      <c r="CT212" s="7" t="s">
        <v>238</v>
      </c>
      <c r="CU212" s="8">
        <f>15256920</f>
        <v>15256920</v>
      </c>
      <c r="CV212" s="8">
        <f>0</f>
        <v>0</v>
      </c>
      <c r="CW212" s="8" t="s">
        <v>238</v>
      </c>
      <c r="CX212" s="8">
        <f>0</f>
        <v>0</v>
      </c>
      <c r="CY212" s="8">
        <f>15256920</f>
        <v>15256920</v>
      </c>
      <c r="CZ212" s="8" t="s">
        <v>238</v>
      </c>
      <c r="DA212" s="5" t="s">
        <v>2032</v>
      </c>
      <c r="DB212" s="5" t="s">
        <v>238</v>
      </c>
      <c r="DD212" s="5" t="s">
        <v>356</v>
      </c>
      <c r="DE212" s="8">
        <f>0</f>
        <v>0</v>
      </c>
      <c r="DF212" s="6" t="s">
        <v>238</v>
      </c>
      <c r="DG212" s="5" t="s">
        <v>389</v>
      </c>
      <c r="DH212" s="5" t="s">
        <v>238</v>
      </c>
      <c r="DI212" s="5" t="s">
        <v>238</v>
      </c>
      <c r="DJ212" s="5" t="s">
        <v>238</v>
      </c>
      <c r="DK212" s="5" t="s">
        <v>238</v>
      </c>
      <c r="DL212" s="5" t="s">
        <v>238</v>
      </c>
      <c r="DM212" s="8" t="s">
        <v>238</v>
      </c>
      <c r="DN212" s="5" t="s">
        <v>238</v>
      </c>
      <c r="DO212" s="5" t="s">
        <v>244</v>
      </c>
      <c r="DP212" s="5" t="s">
        <v>490</v>
      </c>
      <c r="DQ212" s="5" t="s">
        <v>490</v>
      </c>
      <c r="DR212" s="5" t="s">
        <v>238</v>
      </c>
      <c r="DS212" s="5" t="s">
        <v>238</v>
      </c>
      <c r="DT212" s="5" t="s">
        <v>6581</v>
      </c>
      <c r="DU212" s="5" t="s">
        <v>911</v>
      </c>
    </row>
    <row r="213" spans="1:221" x14ac:dyDescent="0.4">
      <c r="A213" s="5">
        <v>924</v>
      </c>
      <c r="B213" s="5">
        <v>1</v>
      </c>
      <c r="C213" s="5">
        <v>1</v>
      </c>
      <c r="D213" s="5" t="s">
        <v>6579</v>
      </c>
      <c r="E213" s="5" t="s">
        <v>4391</v>
      </c>
      <c r="F213" s="5" t="s">
        <v>248</v>
      </c>
      <c r="G213" s="5" t="s">
        <v>6578</v>
      </c>
      <c r="H213" s="6" t="s">
        <v>6803</v>
      </c>
      <c r="I213" s="7">
        <f>13367</f>
        <v>13367</v>
      </c>
      <c r="J213" s="5" t="s">
        <v>262</v>
      </c>
      <c r="K213" s="8">
        <f>29607905</f>
        <v>29607905</v>
      </c>
      <c r="L213" s="6" t="s">
        <v>242</v>
      </c>
      <c r="M213" s="5" t="s">
        <v>267</v>
      </c>
      <c r="N213" s="5" t="s">
        <v>237</v>
      </c>
      <c r="Q213" s="5" t="s">
        <v>239</v>
      </c>
      <c r="R213" s="5" t="s">
        <v>270</v>
      </c>
      <c r="S213" s="5" t="s">
        <v>238</v>
      </c>
      <c r="V213" s="5" t="s">
        <v>238</v>
      </c>
      <c r="W213" s="6" t="s">
        <v>238</v>
      </c>
      <c r="X213" s="6" t="s">
        <v>238</v>
      </c>
      <c r="Y213" s="5" t="s">
        <v>238</v>
      </c>
      <c r="Z213" s="6" t="s">
        <v>238</v>
      </c>
      <c r="AA213" s="6" t="s">
        <v>243</v>
      </c>
      <c r="AB213" s="5" t="s">
        <v>238</v>
      </c>
      <c r="AC213" s="5" t="s">
        <v>244</v>
      </c>
      <c r="AD213" s="5" t="s">
        <v>245</v>
      </c>
      <c r="AJ213" s="5" t="s">
        <v>238</v>
      </c>
      <c r="AK213" s="5" t="s">
        <v>238</v>
      </c>
      <c r="AL213" s="5" t="s">
        <v>238</v>
      </c>
      <c r="AM213" s="6" t="s">
        <v>238</v>
      </c>
      <c r="AN213" s="6" t="s">
        <v>238</v>
      </c>
      <c r="AT213" s="5" t="s">
        <v>246</v>
      </c>
      <c r="AU213" s="5" t="s">
        <v>489</v>
      </c>
      <c r="AV213" s="5" t="s">
        <v>247</v>
      </c>
      <c r="AW213" s="5" t="s">
        <v>600</v>
      </c>
      <c r="AX213" s="5" t="s">
        <v>249</v>
      </c>
      <c r="AY213" s="5" t="s">
        <v>490</v>
      </c>
      <c r="BA213" s="5" t="s">
        <v>4547</v>
      </c>
      <c r="BC213" s="5" t="s">
        <v>250</v>
      </c>
      <c r="BD213" s="6" t="s">
        <v>492</v>
      </c>
      <c r="BE213" s="5" t="s">
        <v>251</v>
      </c>
      <c r="BF213" s="5" t="s">
        <v>252</v>
      </c>
      <c r="BG213" s="5" t="s">
        <v>238</v>
      </c>
      <c r="BH213" s="7">
        <f>0</f>
        <v>0</v>
      </c>
      <c r="BI213" s="8">
        <f>0</f>
        <v>0</v>
      </c>
      <c r="BJ213" s="5" t="s">
        <v>253</v>
      </c>
      <c r="BK213" s="5" t="s">
        <v>254</v>
      </c>
      <c r="BT213" s="6" t="s">
        <v>238</v>
      </c>
      <c r="BU213" s="5" t="s">
        <v>238</v>
      </c>
      <c r="BV213" s="5" t="s">
        <v>238</v>
      </c>
      <c r="BW213" s="5" t="s">
        <v>238</v>
      </c>
      <c r="BY213" s="5" t="s">
        <v>238</v>
      </c>
      <c r="BZ213" s="5" t="s">
        <v>238</v>
      </c>
      <c r="CD213" s="5" t="s">
        <v>255</v>
      </c>
      <c r="CE213" s="5" t="s">
        <v>256</v>
      </c>
      <c r="CF213" s="5" t="s">
        <v>261</v>
      </c>
      <c r="CH213" s="5" t="s">
        <v>238</v>
      </c>
      <c r="CI213" s="6" t="s">
        <v>257</v>
      </c>
      <c r="CJ213" s="5" t="s">
        <v>238</v>
      </c>
      <c r="CK213" s="5" t="s">
        <v>258</v>
      </c>
      <c r="CL213" s="5" t="s">
        <v>238</v>
      </c>
      <c r="CM213" s="5" t="s">
        <v>238</v>
      </c>
      <c r="CN213" s="5">
        <v>0</v>
      </c>
      <c r="CO213" s="5" t="s">
        <v>497</v>
      </c>
      <c r="CP213" s="5" t="s">
        <v>260</v>
      </c>
      <c r="CQ213" s="5" t="s">
        <v>260</v>
      </c>
      <c r="CR213" s="5" t="s">
        <v>261</v>
      </c>
      <c r="CS213" s="5" t="s">
        <v>238</v>
      </c>
      <c r="CT213" s="7" t="s">
        <v>238</v>
      </c>
      <c r="CU213" s="8">
        <f>29607905</f>
        <v>29607905</v>
      </c>
      <c r="CV213" s="8">
        <f>0</f>
        <v>0</v>
      </c>
      <c r="CW213" s="8" t="s">
        <v>238</v>
      </c>
      <c r="CX213" s="8">
        <f>0</f>
        <v>0</v>
      </c>
      <c r="CY213" s="8">
        <f>29607905</f>
        <v>29607905</v>
      </c>
      <c r="CZ213" s="8" t="s">
        <v>238</v>
      </c>
      <c r="DA213" s="5" t="s">
        <v>2032</v>
      </c>
      <c r="DB213" s="5" t="s">
        <v>238</v>
      </c>
      <c r="DD213" s="5" t="s">
        <v>356</v>
      </c>
      <c r="DE213" s="8">
        <f>0</f>
        <v>0</v>
      </c>
      <c r="DF213" s="6" t="s">
        <v>238</v>
      </c>
      <c r="DG213" s="5" t="s">
        <v>389</v>
      </c>
      <c r="DH213" s="5" t="s">
        <v>238</v>
      </c>
      <c r="DI213" s="5" t="s">
        <v>238</v>
      </c>
      <c r="DJ213" s="5" t="s">
        <v>238</v>
      </c>
      <c r="DK213" s="5" t="s">
        <v>238</v>
      </c>
      <c r="DL213" s="5" t="s">
        <v>238</v>
      </c>
      <c r="DM213" s="8" t="s">
        <v>238</v>
      </c>
      <c r="DN213" s="5" t="s">
        <v>238</v>
      </c>
      <c r="DO213" s="5" t="s">
        <v>244</v>
      </c>
      <c r="DP213" s="5" t="s">
        <v>490</v>
      </c>
      <c r="DQ213" s="5" t="s">
        <v>490</v>
      </c>
      <c r="DR213" s="5" t="s">
        <v>238</v>
      </c>
      <c r="DS213" s="5" t="s">
        <v>238</v>
      </c>
      <c r="DT213" s="5" t="s">
        <v>6581</v>
      </c>
      <c r="DU213" s="5" t="s">
        <v>967</v>
      </c>
    </row>
    <row r="214" spans="1:221" x14ac:dyDescent="0.4">
      <c r="A214" s="5">
        <v>925</v>
      </c>
      <c r="B214" s="5">
        <v>1</v>
      </c>
      <c r="C214" s="5">
        <v>1</v>
      </c>
      <c r="D214" s="5" t="s">
        <v>6579</v>
      </c>
      <c r="E214" s="5" t="s">
        <v>4391</v>
      </c>
      <c r="F214" s="5" t="s">
        <v>248</v>
      </c>
      <c r="G214" s="5" t="s">
        <v>6578</v>
      </c>
      <c r="H214" s="6" t="s">
        <v>6814</v>
      </c>
      <c r="I214" s="7">
        <f>2358</f>
        <v>2358</v>
      </c>
      <c r="J214" s="5" t="s">
        <v>262</v>
      </c>
      <c r="K214" s="8">
        <f>5222970</f>
        <v>5222970</v>
      </c>
      <c r="L214" s="6" t="s">
        <v>242</v>
      </c>
      <c r="M214" s="5" t="s">
        <v>267</v>
      </c>
      <c r="N214" s="5" t="s">
        <v>237</v>
      </c>
      <c r="Q214" s="5" t="s">
        <v>239</v>
      </c>
      <c r="R214" s="5" t="s">
        <v>270</v>
      </c>
      <c r="S214" s="5" t="s">
        <v>238</v>
      </c>
      <c r="V214" s="5" t="s">
        <v>238</v>
      </c>
      <c r="W214" s="6" t="s">
        <v>238</v>
      </c>
      <c r="X214" s="6" t="s">
        <v>238</v>
      </c>
      <c r="Y214" s="5" t="s">
        <v>238</v>
      </c>
      <c r="Z214" s="6" t="s">
        <v>238</v>
      </c>
      <c r="AA214" s="6" t="s">
        <v>243</v>
      </c>
      <c r="AB214" s="5" t="s">
        <v>238</v>
      </c>
      <c r="AC214" s="5" t="s">
        <v>244</v>
      </c>
      <c r="AD214" s="5" t="s">
        <v>245</v>
      </c>
      <c r="AJ214" s="5" t="s">
        <v>238</v>
      </c>
      <c r="AK214" s="5" t="s">
        <v>238</v>
      </c>
      <c r="AL214" s="5" t="s">
        <v>238</v>
      </c>
      <c r="AM214" s="6" t="s">
        <v>238</v>
      </c>
      <c r="AN214" s="6" t="s">
        <v>238</v>
      </c>
      <c r="AT214" s="5" t="s">
        <v>246</v>
      </c>
      <c r="AU214" s="5" t="s">
        <v>489</v>
      </c>
      <c r="AV214" s="5" t="s">
        <v>247</v>
      </c>
      <c r="AW214" s="5" t="s">
        <v>600</v>
      </c>
      <c r="AX214" s="5" t="s">
        <v>249</v>
      </c>
      <c r="AY214" s="5" t="s">
        <v>490</v>
      </c>
      <c r="BA214" s="5" t="s">
        <v>4547</v>
      </c>
      <c r="BC214" s="5" t="s">
        <v>250</v>
      </c>
      <c r="BD214" s="6" t="s">
        <v>492</v>
      </c>
      <c r="BE214" s="5" t="s">
        <v>251</v>
      </c>
      <c r="BF214" s="5" t="s">
        <v>252</v>
      </c>
      <c r="BG214" s="5" t="s">
        <v>238</v>
      </c>
      <c r="BH214" s="7">
        <f>0</f>
        <v>0</v>
      </c>
      <c r="BI214" s="8">
        <f>0</f>
        <v>0</v>
      </c>
      <c r="BJ214" s="5" t="s">
        <v>253</v>
      </c>
      <c r="BK214" s="5" t="s">
        <v>254</v>
      </c>
      <c r="BT214" s="6" t="s">
        <v>238</v>
      </c>
      <c r="BU214" s="5" t="s">
        <v>238</v>
      </c>
      <c r="BV214" s="5" t="s">
        <v>238</v>
      </c>
      <c r="BW214" s="5" t="s">
        <v>238</v>
      </c>
      <c r="BY214" s="5" t="s">
        <v>238</v>
      </c>
      <c r="BZ214" s="5" t="s">
        <v>238</v>
      </c>
      <c r="CD214" s="5" t="s">
        <v>255</v>
      </c>
      <c r="CE214" s="5" t="s">
        <v>256</v>
      </c>
      <c r="CF214" s="5" t="s">
        <v>261</v>
      </c>
      <c r="CH214" s="5" t="s">
        <v>238</v>
      </c>
      <c r="CI214" s="6" t="s">
        <v>257</v>
      </c>
      <c r="CJ214" s="5" t="s">
        <v>238</v>
      </c>
      <c r="CK214" s="5" t="s">
        <v>258</v>
      </c>
      <c r="CL214" s="5" t="s">
        <v>238</v>
      </c>
      <c r="CM214" s="5" t="s">
        <v>238</v>
      </c>
      <c r="CN214" s="5">
        <v>0</v>
      </c>
      <c r="CO214" s="5" t="s">
        <v>497</v>
      </c>
      <c r="CP214" s="5" t="s">
        <v>260</v>
      </c>
      <c r="CQ214" s="5" t="s">
        <v>260</v>
      </c>
      <c r="CR214" s="5" t="s">
        <v>261</v>
      </c>
      <c r="CS214" s="5" t="s">
        <v>238</v>
      </c>
      <c r="CT214" s="7" t="s">
        <v>238</v>
      </c>
      <c r="CU214" s="8">
        <f>5222970</f>
        <v>5222970</v>
      </c>
      <c r="CV214" s="8">
        <f>0</f>
        <v>0</v>
      </c>
      <c r="CW214" s="8" t="s">
        <v>238</v>
      </c>
      <c r="CX214" s="8">
        <f>0</f>
        <v>0</v>
      </c>
      <c r="CY214" s="8">
        <f>5222970</f>
        <v>5222970</v>
      </c>
      <c r="CZ214" s="8" t="s">
        <v>238</v>
      </c>
      <c r="DA214" s="5" t="s">
        <v>2032</v>
      </c>
      <c r="DB214" s="5" t="s">
        <v>238</v>
      </c>
      <c r="DD214" s="5" t="s">
        <v>356</v>
      </c>
      <c r="DE214" s="8">
        <f>0</f>
        <v>0</v>
      </c>
      <c r="DF214" s="6" t="s">
        <v>238</v>
      </c>
      <c r="DG214" s="5" t="s">
        <v>389</v>
      </c>
      <c r="DH214" s="5" t="s">
        <v>238</v>
      </c>
      <c r="DI214" s="5" t="s">
        <v>238</v>
      </c>
      <c r="DJ214" s="5" t="s">
        <v>238</v>
      </c>
      <c r="DK214" s="5" t="s">
        <v>238</v>
      </c>
      <c r="DL214" s="5" t="s">
        <v>238</v>
      </c>
      <c r="DM214" s="8" t="s">
        <v>238</v>
      </c>
      <c r="DN214" s="5" t="s">
        <v>238</v>
      </c>
      <c r="DO214" s="5" t="s">
        <v>244</v>
      </c>
      <c r="DP214" s="5" t="s">
        <v>490</v>
      </c>
      <c r="DQ214" s="5" t="s">
        <v>490</v>
      </c>
      <c r="DR214" s="5" t="s">
        <v>238</v>
      </c>
      <c r="DS214" s="5" t="s">
        <v>238</v>
      </c>
      <c r="DT214" s="5" t="s">
        <v>6581</v>
      </c>
      <c r="DU214" s="5" t="s">
        <v>1376</v>
      </c>
    </row>
    <row r="215" spans="1:221" x14ac:dyDescent="0.4">
      <c r="A215" s="5">
        <v>926</v>
      </c>
      <c r="B215" s="5">
        <v>1</v>
      </c>
      <c r="C215" s="5">
        <v>1</v>
      </c>
      <c r="D215" s="5" t="s">
        <v>6837</v>
      </c>
      <c r="E215" s="5" t="s">
        <v>4391</v>
      </c>
      <c r="F215" s="5" t="s">
        <v>248</v>
      </c>
      <c r="G215" s="5" t="s">
        <v>6836</v>
      </c>
      <c r="H215" s="6" t="s">
        <v>3929</v>
      </c>
      <c r="I215" s="7">
        <f>3239</f>
        <v>3239</v>
      </c>
      <c r="J215" s="5" t="s">
        <v>6588</v>
      </c>
      <c r="K215" s="8">
        <f>7174385</f>
        <v>7174385</v>
      </c>
      <c r="L215" s="6" t="s">
        <v>242</v>
      </c>
      <c r="M215" s="5" t="s">
        <v>267</v>
      </c>
      <c r="N215" s="5" t="s">
        <v>237</v>
      </c>
      <c r="Q215" s="5" t="s">
        <v>239</v>
      </c>
      <c r="R215" s="5" t="s">
        <v>270</v>
      </c>
      <c r="S215" s="5" t="s">
        <v>238</v>
      </c>
      <c r="V215" s="5" t="s">
        <v>238</v>
      </c>
      <c r="W215" s="6" t="s">
        <v>238</v>
      </c>
      <c r="X215" s="6" t="s">
        <v>238</v>
      </c>
      <c r="Y215" s="5" t="s">
        <v>238</v>
      </c>
      <c r="Z215" s="6" t="s">
        <v>238</v>
      </c>
      <c r="AA215" s="6" t="s">
        <v>243</v>
      </c>
      <c r="AB215" s="5" t="s">
        <v>238</v>
      </c>
      <c r="AC215" s="5" t="s">
        <v>244</v>
      </c>
      <c r="AD215" s="5" t="s">
        <v>245</v>
      </c>
      <c r="AJ215" s="5" t="s">
        <v>238</v>
      </c>
      <c r="AK215" s="5" t="s">
        <v>238</v>
      </c>
      <c r="AL215" s="5" t="s">
        <v>238</v>
      </c>
      <c r="AM215" s="6" t="s">
        <v>238</v>
      </c>
      <c r="AN215" s="6" t="s">
        <v>238</v>
      </c>
      <c r="AT215" s="5" t="s">
        <v>246</v>
      </c>
      <c r="AU215" s="5" t="s">
        <v>489</v>
      </c>
      <c r="AV215" s="5" t="s">
        <v>247</v>
      </c>
      <c r="AW215" s="5" t="s">
        <v>600</v>
      </c>
      <c r="AX215" s="5" t="s">
        <v>249</v>
      </c>
      <c r="AY215" s="5" t="s">
        <v>490</v>
      </c>
      <c r="BA215" s="5" t="s">
        <v>4547</v>
      </c>
      <c r="BC215" s="5" t="s">
        <v>250</v>
      </c>
      <c r="BD215" s="6" t="s">
        <v>492</v>
      </c>
      <c r="BE215" s="5" t="s">
        <v>251</v>
      </c>
      <c r="BF215" s="5" t="s">
        <v>252</v>
      </c>
      <c r="BG215" s="5" t="s">
        <v>238</v>
      </c>
      <c r="BH215" s="7">
        <f>0</f>
        <v>0</v>
      </c>
      <c r="BI215" s="8">
        <f>0</f>
        <v>0</v>
      </c>
      <c r="BJ215" s="5" t="s">
        <v>253</v>
      </c>
      <c r="BK215" s="5" t="s">
        <v>254</v>
      </c>
      <c r="BT215" s="6" t="s">
        <v>238</v>
      </c>
      <c r="BU215" s="5" t="s">
        <v>238</v>
      </c>
      <c r="BV215" s="5" t="s">
        <v>238</v>
      </c>
      <c r="BW215" s="5" t="s">
        <v>238</v>
      </c>
      <c r="BY215" s="5" t="s">
        <v>238</v>
      </c>
      <c r="BZ215" s="5" t="s">
        <v>238</v>
      </c>
      <c r="CD215" s="5" t="s">
        <v>255</v>
      </c>
      <c r="CE215" s="5" t="s">
        <v>256</v>
      </c>
      <c r="CF215" s="5" t="s">
        <v>261</v>
      </c>
      <c r="CH215" s="5" t="s">
        <v>238</v>
      </c>
      <c r="CI215" s="6" t="s">
        <v>257</v>
      </c>
      <c r="CJ215" s="5" t="s">
        <v>238</v>
      </c>
      <c r="CK215" s="5" t="s">
        <v>258</v>
      </c>
      <c r="CL215" s="5" t="s">
        <v>238</v>
      </c>
      <c r="CM215" s="5" t="s">
        <v>238</v>
      </c>
      <c r="CN215" s="5">
        <v>0</v>
      </c>
      <c r="CO215" s="5" t="s">
        <v>497</v>
      </c>
      <c r="CP215" s="5" t="s">
        <v>260</v>
      </c>
      <c r="CQ215" s="5" t="s">
        <v>260</v>
      </c>
      <c r="CR215" s="5" t="s">
        <v>261</v>
      </c>
      <c r="CS215" s="5" t="s">
        <v>238</v>
      </c>
      <c r="CT215" s="7" t="s">
        <v>238</v>
      </c>
      <c r="CU215" s="8">
        <f>7174385</f>
        <v>7174385</v>
      </c>
      <c r="CV215" s="8">
        <f>0</f>
        <v>0</v>
      </c>
      <c r="CW215" s="8" t="s">
        <v>238</v>
      </c>
      <c r="CX215" s="8">
        <f>0</f>
        <v>0</v>
      </c>
      <c r="CY215" s="8">
        <f>7174385</f>
        <v>7174385</v>
      </c>
      <c r="CZ215" s="8" t="s">
        <v>238</v>
      </c>
      <c r="DA215" s="5" t="s">
        <v>2032</v>
      </c>
      <c r="DB215" s="5" t="s">
        <v>238</v>
      </c>
      <c r="DD215" s="5" t="s">
        <v>356</v>
      </c>
      <c r="DE215" s="8">
        <f>0</f>
        <v>0</v>
      </c>
      <c r="DF215" s="6" t="s">
        <v>238</v>
      </c>
      <c r="DG215" s="5" t="s">
        <v>389</v>
      </c>
      <c r="DH215" s="5" t="s">
        <v>238</v>
      </c>
      <c r="DI215" s="5" t="s">
        <v>238</v>
      </c>
      <c r="DJ215" s="5" t="s">
        <v>238</v>
      </c>
      <c r="DK215" s="5" t="s">
        <v>238</v>
      </c>
      <c r="DL215" s="5" t="s">
        <v>238</v>
      </c>
      <c r="DM215" s="8" t="s">
        <v>238</v>
      </c>
      <c r="DN215" s="5" t="s">
        <v>238</v>
      </c>
      <c r="DO215" s="5" t="s">
        <v>244</v>
      </c>
      <c r="DP215" s="5" t="s">
        <v>490</v>
      </c>
      <c r="DQ215" s="5" t="s">
        <v>490</v>
      </c>
      <c r="DR215" s="5" t="s">
        <v>238</v>
      </c>
      <c r="DS215" s="5" t="s">
        <v>238</v>
      </c>
      <c r="DT215" s="5" t="s">
        <v>6838</v>
      </c>
      <c r="DU215" s="5" t="s">
        <v>264</v>
      </c>
    </row>
    <row r="216" spans="1:221" x14ac:dyDescent="0.4">
      <c r="A216" s="5">
        <v>927</v>
      </c>
      <c r="B216" s="5">
        <v>1</v>
      </c>
      <c r="C216" s="5">
        <v>1</v>
      </c>
      <c r="D216" s="5" t="s">
        <v>6731</v>
      </c>
      <c r="E216" s="5" t="s">
        <v>4391</v>
      </c>
      <c r="F216" s="5" t="s">
        <v>248</v>
      </c>
      <c r="G216" s="5" t="s">
        <v>6730</v>
      </c>
      <c r="H216" s="6" t="s">
        <v>6732</v>
      </c>
      <c r="I216" s="7">
        <f>5903</f>
        <v>5903</v>
      </c>
      <c r="J216" s="5" t="s">
        <v>262</v>
      </c>
      <c r="K216" s="8">
        <f>13075145</f>
        <v>13075145</v>
      </c>
      <c r="L216" s="6" t="s">
        <v>242</v>
      </c>
      <c r="M216" s="5" t="s">
        <v>267</v>
      </c>
      <c r="N216" s="5" t="s">
        <v>237</v>
      </c>
      <c r="Q216" s="5" t="s">
        <v>239</v>
      </c>
      <c r="R216" s="5" t="s">
        <v>270</v>
      </c>
      <c r="S216" s="5" t="s">
        <v>238</v>
      </c>
      <c r="V216" s="5" t="s">
        <v>238</v>
      </c>
      <c r="W216" s="6" t="s">
        <v>238</v>
      </c>
      <c r="X216" s="6" t="s">
        <v>238</v>
      </c>
      <c r="Y216" s="5" t="s">
        <v>238</v>
      </c>
      <c r="Z216" s="6" t="s">
        <v>238</v>
      </c>
      <c r="AA216" s="6" t="s">
        <v>243</v>
      </c>
      <c r="AB216" s="5" t="s">
        <v>238</v>
      </c>
      <c r="AC216" s="5" t="s">
        <v>244</v>
      </c>
      <c r="AD216" s="5" t="s">
        <v>245</v>
      </c>
      <c r="AJ216" s="5" t="s">
        <v>238</v>
      </c>
      <c r="AK216" s="5" t="s">
        <v>238</v>
      </c>
      <c r="AL216" s="5" t="s">
        <v>238</v>
      </c>
      <c r="AM216" s="6" t="s">
        <v>238</v>
      </c>
      <c r="AN216" s="6" t="s">
        <v>238</v>
      </c>
      <c r="AT216" s="5" t="s">
        <v>246</v>
      </c>
      <c r="AU216" s="5" t="s">
        <v>489</v>
      </c>
      <c r="AV216" s="5" t="s">
        <v>247</v>
      </c>
      <c r="AW216" s="5" t="s">
        <v>600</v>
      </c>
      <c r="AX216" s="5" t="s">
        <v>249</v>
      </c>
      <c r="AY216" s="5" t="s">
        <v>490</v>
      </c>
      <c r="BA216" s="5" t="s">
        <v>4547</v>
      </c>
      <c r="BC216" s="5" t="s">
        <v>250</v>
      </c>
      <c r="BD216" s="6" t="s">
        <v>492</v>
      </c>
      <c r="BE216" s="5" t="s">
        <v>251</v>
      </c>
      <c r="BF216" s="5" t="s">
        <v>252</v>
      </c>
      <c r="BG216" s="5" t="s">
        <v>238</v>
      </c>
      <c r="BH216" s="7">
        <f>0</f>
        <v>0</v>
      </c>
      <c r="BI216" s="8">
        <f>0</f>
        <v>0</v>
      </c>
      <c r="BJ216" s="5" t="s">
        <v>253</v>
      </c>
      <c r="BK216" s="5" t="s">
        <v>254</v>
      </c>
      <c r="BT216" s="6" t="s">
        <v>238</v>
      </c>
      <c r="BU216" s="5" t="s">
        <v>238</v>
      </c>
      <c r="BV216" s="5" t="s">
        <v>238</v>
      </c>
      <c r="BW216" s="5" t="s">
        <v>238</v>
      </c>
      <c r="BY216" s="5" t="s">
        <v>238</v>
      </c>
      <c r="BZ216" s="5" t="s">
        <v>238</v>
      </c>
      <c r="CD216" s="5" t="s">
        <v>255</v>
      </c>
      <c r="CE216" s="5" t="s">
        <v>256</v>
      </c>
      <c r="CF216" s="5" t="s">
        <v>261</v>
      </c>
      <c r="CH216" s="5" t="s">
        <v>238</v>
      </c>
      <c r="CI216" s="6" t="s">
        <v>257</v>
      </c>
      <c r="CJ216" s="5" t="s">
        <v>238</v>
      </c>
      <c r="CK216" s="5" t="s">
        <v>258</v>
      </c>
      <c r="CL216" s="5" t="s">
        <v>238</v>
      </c>
      <c r="CM216" s="5" t="s">
        <v>238</v>
      </c>
      <c r="CN216" s="5">
        <v>0</v>
      </c>
      <c r="CO216" s="5" t="s">
        <v>497</v>
      </c>
      <c r="CP216" s="5" t="s">
        <v>260</v>
      </c>
      <c r="CQ216" s="5" t="s">
        <v>260</v>
      </c>
      <c r="CR216" s="5" t="s">
        <v>261</v>
      </c>
      <c r="CS216" s="5" t="s">
        <v>238</v>
      </c>
      <c r="CT216" s="7" t="s">
        <v>238</v>
      </c>
      <c r="CU216" s="8">
        <f>13075145</f>
        <v>13075145</v>
      </c>
      <c r="CV216" s="8">
        <f>0</f>
        <v>0</v>
      </c>
      <c r="CW216" s="8" t="s">
        <v>238</v>
      </c>
      <c r="CX216" s="8">
        <f>0</f>
        <v>0</v>
      </c>
      <c r="CY216" s="8">
        <f>13075145</f>
        <v>13075145</v>
      </c>
      <c r="CZ216" s="8" t="s">
        <v>238</v>
      </c>
      <c r="DA216" s="5" t="s">
        <v>2032</v>
      </c>
      <c r="DB216" s="5" t="s">
        <v>238</v>
      </c>
      <c r="DD216" s="5" t="s">
        <v>2032</v>
      </c>
      <c r="DE216" s="8">
        <f>5903</f>
        <v>5903</v>
      </c>
      <c r="DF216" s="6" t="s">
        <v>238</v>
      </c>
      <c r="DG216" s="5" t="s">
        <v>389</v>
      </c>
      <c r="DH216" s="5" t="s">
        <v>238</v>
      </c>
      <c r="DI216" s="5" t="s">
        <v>238</v>
      </c>
      <c r="DJ216" s="5" t="s">
        <v>238</v>
      </c>
      <c r="DK216" s="5" t="s">
        <v>238</v>
      </c>
      <c r="DL216" s="5" t="s">
        <v>238</v>
      </c>
      <c r="DM216" s="8" t="s">
        <v>238</v>
      </c>
      <c r="DN216" s="5" t="s">
        <v>238</v>
      </c>
      <c r="DO216" s="5" t="s">
        <v>244</v>
      </c>
      <c r="DP216" s="5" t="s">
        <v>490</v>
      </c>
      <c r="DQ216" s="5" t="s">
        <v>490</v>
      </c>
      <c r="DR216" s="5" t="s">
        <v>238</v>
      </c>
      <c r="DS216" s="5" t="s">
        <v>238</v>
      </c>
      <c r="DT216" s="5" t="s">
        <v>6733</v>
      </c>
      <c r="DU216" s="5" t="s">
        <v>264</v>
      </c>
    </row>
    <row r="217" spans="1:221" x14ac:dyDescent="0.4">
      <c r="A217" s="5">
        <v>928</v>
      </c>
      <c r="B217" s="5">
        <v>1</v>
      </c>
      <c r="C217" s="5">
        <v>1</v>
      </c>
      <c r="D217" s="5" t="s">
        <v>6650</v>
      </c>
      <c r="E217" s="5" t="s">
        <v>4391</v>
      </c>
      <c r="F217" s="5" t="s">
        <v>248</v>
      </c>
      <c r="G217" s="5" t="s">
        <v>6649</v>
      </c>
      <c r="H217" s="6" t="s">
        <v>6823</v>
      </c>
      <c r="I217" s="7">
        <f>6360</f>
        <v>6360</v>
      </c>
      <c r="J217" s="5" t="s">
        <v>262</v>
      </c>
      <c r="K217" s="8">
        <f>14087400</f>
        <v>14087400</v>
      </c>
      <c r="L217" s="6" t="s">
        <v>242</v>
      </c>
      <c r="M217" s="5" t="s">
        <v>267</v>
      </c>
      <c r="N217" s="5" t="s">
        <v>237</v>
      </c>
      <c r="Q217" s="5" t="s">
        <v>239</v>
      </c>
      <c r="R217" s="5" t="s">
        <v>270</v>
      </c>
      <c r="S217" s="5" t="s">
        <v>238</v>
      </c>
      <c r="V217" s="5" t="s">
        <v>238</v>
      </c>
      <c r="W217" s="6" t="s">
        <v>238</v>
      </c>
      <c r="X217" s="6" t="s">
        <v>238</v>
      </c>
      <c r="Y217" s="5" t="s">
        <v>238</v>
      </c>
      <c r="Z217" s="6" t="s">
        <v>238</v>
      </c>
      <c r="AA217" s="6" t="s">
        <v>243</v>
      </c>
      <c r="AB217" s="5" t="s">
        <v>238</v>
      </c>
      <c r="AC217" s="5" t="s">
        <v>244</v>
      </c>
      <c r="AD217" s="5" t="s">
        <v>245</v>
      </c>
      <c r="AJ217" s="5" t="s">
        <v>238</v>
      </c>
      <c r="AK217" s="5" t="s">
        <v>238</v>
      </c>
      <c r="AL217" s="5" t="s">
        <v>238</v>
      </c>
      <c r="AM217" s="6" t="s">
        <v>238</v>
      </c>
      <c r="AN217" s="6" t="s">
        <v>238</v>
      </c>
      <c r="AT217" s="5" t="s">
        <v>246</v>
      </c>
      <c r="AU217" s="5" t="s">
        <v>489</v>
      </c>
      <c r="AV217" s="5" t="s">
        <v>247</v>
      </c>
      <c r="AW217" s="5" t="s">
        <v>600</v>
      </c>
      <c r="AX217" s="5" t="s">
        <v>249</v>
      </c>
      <c r="AY217" s="5" t="s">
        <v>490</v>
      </c>
      <c r="BA217" s="5" t="s">
        <v>4547</v>
      </c>
      <c r="BC217" s="5" t="s">
        <v>250</v>
      </c>
      <c r="BD217" s="6" t="s">
        <v>492</v>
      </c>
      <c r="BE217" s="5" t="s">
        <v>251</v>
      </c>
      <c r="BF217" s="5" t="s">
        <v>252</v>
      </c>
      <c r="BG217" s="5" t="s">
        <v>238</v>
      </c>
      <c r="BH217" s="7">
        <f>0</f>
        <v>0</v>
      </c>
      <c r="BI217" s="8">
        <f>0</f>
        <v>0</v>
      </c>
      <c r="BJ217" s="5" t="s">
        <v>253</v>
      </c>
      <c r="BK217" s="5" t="s">
        <v>254</v>
      </c>
      <c r="BT217" s="6" t="s">
        <v>238</v>
      </c>
      <c r="BU217" s="5" t="s">
        <v>238</v>
      </c>
      <c r="BV217" s="5" t="s">
        <v>238</v>
      </c>
      <c r="BW217" s="5" t="s">
        <v>238</v>
      </c>
      <c r="BY217" s="5" t="s">
        <v>238</v>
      </c>
      <c r="BZ217" s="5" t="s">
        <v>238</v>
      </c>
      <c r="CD217" s="5" t="s">
        <v>255</v>
      </c>
      <c r="CE217" s="5" t="s">
        <v>256</v>
      </c>
      <c r="CF217" s="5" t="s">
        <v>261</v>
      </c>
      <c r="CH217" s="5" t="s">
        <v>238</v>
      </c>
      <c r="CI217" s="6" t="s">
        <v>257</v>
      </c>
      <c r="CJ217" s="5" t="s">
        <v>238</v>
      </c>
      <c r="CK217" s="5" t="s">
        <v>258</v>
      </c>
      <c r="CL217" s="5" t="s">
        <v>238</v>
      </c>
      <c r="CM217" s="5" t="s">
        <v>238</v>
      </c>
      <c r="CN217" s="5">
        <v>0</v>
      </c>
      <c r="CO217" s="5" t="s">
        <v>497</v>
      </c>
      <c r="CP217" s="5" t="s">
        <v>260</v>
      </c>
      <c r="CQ217" s="5" t="s">
        <v>260</v>
      </c>
      <c r="CR217" s="5" t="s">
        <v>261</v>
      </c>
      <c r="CS217" s="5" t="s">
        <v>238</v>
      </c>
      <c r="CT217" s="7" t="s">
        <v>238</v>
      </c>
      <c r="CU217" s="8">
        <f>14087400</f>
        <v>14087400</v>
      </c>
      <c r="CV217" s="8">
        <f>0</f>
        <v>0</v>
      </c>
      <c r="CW217" s="8" t="s">
        <v>238</v>
      </c>
      <c r="CX217" s="8">
        <f>0</f>
        <v>0</v>
      </c>
      <c r="CY217" s="8">
        <f>14087400</f>
        <v>14087400</v>
      </c>
      <c r="CZ217" s="8" t="s">
        <v>238</v>
      </c>
      <c r="DA217" s="5" t="s">
        <v>2032</v>
      </c>
      <c r="DB217" s="5" t="s">
        <v>238</v>
      </c>
      <c r="DD217" s="5" t="s">
        <v>2032</v>
      </c>
      <c r="DE217" s="8">
        <f>6360</f>
        <v>6360</v>
      </c>
      <c r="DF217" s="6" t="s">
        <v>238</v>
      </c>
      <c r="DG217" s="5" t="s">
        <v>389</v>
      </c>
      <c r="DH217" s="5" t="s">
        <v>238</v>
      </c>
      <c r="DI217" s="5" t="s">
        <v>238</v>
      </c>
      <c r="DJ217" s="5" t="s">
        <v>238</v>
      </c>
      <c r="DK217" s="5" t="s">
        <v>238</v>
      </c>
      <c r="DL217" s="5" t="s">
        <v>238</v>
      </c>
      <c r="DM217" s="8" t="s">
        <v>238</v>
      </c>
      <c r="DN217" s="5" t="s">
        <v>238</v>
      </c>
      <c r="DO217" s="5" t="s">
        <v>244</v>
      </c>
      <c r="DP217" s="5" t="s">
        <v>490</v>
      </c>
      <c r="DQ217" s="5" t="s">
        <v>490</v>
      </c>
      <c r="DR217" s="5" t="s">
        <v>238</v>
      </c>
      <c r="DS217" s="5" t="s">
        <v>238</v>
      </c>
      <c r="DT217" s="5" t="s">
        <v>6652</v>
      </c>
      <c r="DU217" s="5" t="s">
        <v>264</v>
      </c>
    </row>
    <row r="218" spans="1:221" x14ac:dyDescent="0.4">
      <c r="A218" s="5">
        <v>929</v>
      </c>
      <c r="B218" s="5">
        <v>1</v>
      </c>
      <c r="C218" s="5">
        <v>1</v>
      </c>
      <c r="D218" s="5" t="s">
        <v>6650</v>
      </c>
      <c r="E218" s="5" t="s">
        <v>4391</v>
      </c>
      <c r="F218" s="5" t="s">
        <v>248</v>
      </c>
      <c r="G218" s="5" t="s">
        <v>6649</v>
      </c>
      <c r="H218" s="6" t="s">
        <v>6651</v>
      </c>
      <c r="I218" s="7">
        <f>888</f>
        <v>888</v>
      </c>
      <c r="J218" s="5" t="s">
        <v>262</v>
      </c>
      <c r="K218" s="8">
        <f>1966920</f>
        <v>1966920</v>
      </c>
      <c r="L218" s="6" t="s">
        <v>242</v>
      </c>
      <c r="M218" s="5" t="s">
        <v>267</v>
      </c>
      <c r="N218" s="5" t="s">
        <v>237</v>
      </c>
      <c r="Q218" s="5" t="s">
        <v>239</v>
      </c>
      <c r="R218" s="5" t="s">
        <v>270</v>
      </c>
      <c r="S218" s="5" t="s">
        <v>238</v>
      </c>
      <c r="V218" s="5" t="s">
        <v>238</v>
      </c>
      <c r="W218" s="6" t="s">
        <v>238</v>
      </c>
      <c r="X218" s="6" t="s">
        <v>238</v>
      </c>
      <c r="Y218" s="5" t="s">
        <v>238</v>
      </c>
      <c r="Z218" s="6" t="s">
        <v>238</v>
      </c>
      <c r="AA218" s="6" t="s">
        <v>243</v>
      </c>
      <c r="AB218" s="5" t="s">
        <v>238</v>
      </c>
      <c r="AC218" s="5" t="s">
        <v>244</v>
      </c>
      <c r="AD218" s="5" t="s">
        <v>245</v>
      </c>
      <c r="AJ218" s="5" t="s">
        <v>238</v>
      </c>
      <c r="AK218" s="5" t="s">
        <v>238</v>
      </c>
      <c r="AL218" s="5" t="s">
        <v>238</v>
      </c>
      <c r="AM218" s="6" t="s">
        <v>238</v>
      </c>
      <c r="AN218" s="6" t="s">
        <v>238</v>
      </c>
      <c r="AT218" s="5" t="s">
        <v>246</v>
      </c>
      <c r="AU218" s="5" t="s">
        <v>489</v>
      </c>
      <c r="AV218" s="5" t="s">
        <v>247</v>
      </c>
      <c r="AW218" s="5" t="s">
        <v>600</v>
      </c>
      <c r="AX218" s="5" t="s">
        <v>249</v>
      </c>
      <c r="AY218" s="5" t="s">
        <v>490</v>
      </c>
      <c r="BA218" s="5" t="s">
        <v>4547</v>
      </c>
      <c r="BC218" s="5" t="s">
        <v>250</v>
      </c>
      <c r="BD218" s="6" t="s">
        <v>492</v>
      </c>
      <c r="BE218" s="5" t="s">
        <v>251</v>
      </c>
      <c r="BF218" s="5" t="s">
        <v>252</v>
      </c>
      <c r="BG218" s="5" t="s">
        <v>238</v>
      </c>
      <c r="BH218" s="7">
        <f>0</f>
        <v>0</v>
      </c>
      <c r="BI218" s="8">
        <f>0</f>
        <v>0</v>
      </c>
      <c r="BJ218" s="5" t="s">
        <v>253</v>
      </c>
      <c r="BK218" s="5" t="s">
        <v>254</v>
      </c>
      <c r="BT218" s="6" t="s">
        <v>238</v>
      </c>
      <c r="BU218" s="5" t="s">
        <v>238</v>
      </c>
      <c r="BV218" s="5" t="s">
        <v>238</v>
      </c>
      <c r="BW218" s="5" t="s">
        <v>238</v>
      </c>
      <c r="BY218" s="5" t="s">
        <v>238</v>
      </c>
      <c r="BZ218" s="5" t="s">
        <v>238</v>
      </c>
      <c r="CD218" s="5" t="s">
        <v>255</v>
      </c>
      <c r="CE218" s="5" t="s">
        <v>256</v>
      </c>
      <c r="CF218" s="5" t="s">
        <v>261</v>
      </c>
      <c r="CH218" s="5" t="s">
        <v>238</v>
      </c>
      <c r="CI218" s="6" t="s">
        <v>257</v>
      </c>
      <c r="CJ218" s="5" t="s">
        <v>238</v>
      </c>
      <c r="CK218" s="5" t="s">
        <v>258</v>
      </c>
      <c r="CL218" s="5" t="s">
        <v>238</v>
      </c>
      <c r="CM218" s="5" t="s">
        <v>238</v>
      </c>
      <c r="CN218" s="5">
        <v>0</v>
      </c>
      <c r="CO218" s="5" t="s">
        <v>497</v>
      </c>
      <c r="CP218" s="5" t="s">
        <v>260</v>
      </c>
      <c r="CQ218" s="5" t="s">
        <v>260</v>
      </c>
      <c r="CR218" s="5" t="s">
        <v>261</v>
      </c>
      <c r="CS218" s="5" t="s">
        <v>238</v>
      </c>
      <c r="CT218" s="7" t="s">
        <v>238</v>
      </c>
      <c r="CU218" s="8">
        <f>1966920</f>
        <v>1966920</v>
      </c>
      <c r="CV218" s="8">
        <f>0</f>
        <v>0</v>
      </c>
      <c r="CW218" s="8" t="s">
        <v>238</v>
      </c>
      <c r="CX218" s="8">
        <f>0</f>
        <v>0</v>
      </c>
      <c r="CY218" s="8">
        <f>1966920</f>
        <v>1966920</v>
      </c>
      <c r="CZ218" s="8" t="s">
        <v>238</v>
      </c>
      <c r="DA218" s="5" t="s">
        <v>2032</v>
      </c>
      <c r="DB218" s="5" t="s">
        <v>238</v>
      </c>
      <c r="DD218" s="5" t="s">
        <v>2032</v>
      </c>
      <c r="DE218" s="8">
        <f>888</f>
        <v>888</v>
      </c>
      <c r="DF218" s="6" t="s">
        <v>238</v>
      </c>
      <c r="DG218" s="5" t="s">
        <v>389</v>
      </c>
      <c r="DH218" s="5" t="s">
        <v>238</v>
      </c>
      <c r="DI218" s="5" t="s">
        <v>238</v>
      </c>
      <c r="DJ218" s="5" t="s">
        <v>238</v>
      </c>
      <c r="DK218" s="5" t="s">
        <v>238</v>
      </c>
      <c r="DL218" s="5" t="s">
        <v>238</v>
      </c>
      <c r="DM218" s="8" t="s">
        <v>238</v>
      </c>
      <c r="DN218" s="5" t="s">
        <v>238</v>
      </c>
      <c r="DO218" s="5" t="s">
        <v>244</v>
      </c>
      <c r="DP218" s="5" t="s">
        <v>490</v>
      </c>
      <c r="DQ218" s="5" t="s">
        <v>490</v>
      </c>
      <c r="DR218" s="5" t="s">
        <v>238</v>
      </c>
      <c r="DS218" s="5" t="s">
        <v>238</v>
      </c>
      <c r="DT218" s="5" t="s">
        <v>6652</v>
      </c>
      <c r="DU218" s="5" t="s">
        <v>294</v>
      </c>
    </row>
    <row r="219" spans="1:221" x14ac:dyDescent="0.4">
      <c r="A219" s="5">
        <v>930</v>
      </c>
      <c r="B219" s="5">
        <v>1</v>
      </c>
      <c r="C219" s="5">
        <v>1</v>
      </c>
      <c r="D219" s="5" t="s">
        <v>6650</v>
      </c>
      <c r="E219" s="5" t="s">
        <v>4391</v>
      </c>
      <c r="F219" s="5" t="s">
        <v>248</v>
      </c>
      <c r="G219" s="5" t="s">
        <v>6649</v>
      </c>
      <c r="H219" s="6" t="s">
        <v>6668</v>
      </c>
      <c r="I219" s="7">
        <f>4532</f>
        <v>4532</v>
      </c>
      <c r="J219" s="5" t="s">
        <v>6588</v>
      </c>
      <c r="K219" s="8">
        <f>10038380</f>
        <v>10038380</v>
      </c>
      <c r="L219" s="6" t="s">
        <v>242</v>
      </c>
      <c r="M219" s="5" t="s">
        <v>267</v>
      </c>
      <c r="N219" s="5" t="s">
        <v>237</v>
      </c>
      <c r="Q219" s="5" t="s">
        <v>239</v>
      </c>
      <c r="R219" s="5" t="s">
        <v>270</v>
      </c>
      <c r="S219" s="5" t="s">
        <v>238</v>
      </c>
      <c r="V219" s="5" t="s">
        <v>238</v>
      </c>
      <c r="W219" s="6" t="s">
        <v>238</v>
      </c>
      <c r="X219" s="6" t="s">
        <v>238</v>
      </c>
      <c r="Y219" s="5" t="s">
        <v>238</v>
      </c>
      <c r="Z219" s="6" t="s">
        <v>238</v>
      </c>
      <c r="AA219" s="6" t="s">
        <v>243</v>
      </c>
      <c r="AB219" s="5" t="s">
        <v>238</v>
      </c>
      <c r="AC219" s="5" t="s">
        <v>244</v>
      </c>
      <c r="AD219" s="5" t="s">
        <v>245</v>
      </c>
      <c r="AJ219" s="5" t="s">
        <v>238</v>
      </c>
      <c r="AK219" s="5" t="s">
        <v>238</v>
      </c>
      <c r="AL219" s="5" t="s">
        <v>238</v>
      </c>
      <c r="AM219" s="6" t="s">
        <v>238</v>
      </c>
      <c r="AN219" s="6" t="s">
        <v>238</v>
      </c>
      <c r="AT219" s="5" t="s">
        <v>246</v>
      </c>
      <c r="AU219" s="5" t="s">
        <v>489</v>
      </c>
      <c r="AV219" s="5" t="s">
        <v>247</v>
      </c>
      <c r="AW219" s="5" t="s">
        <v>600</v>
      </c>
      <c r="AX219" s="5" t="s">
        <v>249</v>
      </c>
      <c r="AY219" s="5" t="s">
        <v>490</v>
      </c>
      <c r="BA219" s="5" t="s">
        <v>4547</v>
      </c>
      <c r="BC219" s="5" t="s">
        <v>250</v>
      </c>
      <c r="BD219" s="6" t="s">
        <v>492</v>
      </c>
      <c r="BE219" s="5" t="s">
        <v>251</v>
      </c>
      <c r="BF219" s="5" t="s">
        <v>252</v>
      </c>
      <c r="BG219" s="5" t="s">
        <v>238</v>
      </c>
      <c r="BH219" s="7">
        <f>0</f>
        <v>0</v>
      </c>
      <c r="BI219" s="8">
        <f>0</f>
        <v>0</v>
      </c>
      <c r="BJ219" s="5" t="s">
        <v>253</v>
      </c>
      <c r="BK219" s="5" t="s">
        <v>254</v>
      </c>
      <c r="BT219" s="6" t="s">
        <v>238</v>
      </c>
      <c r="BU219" s="5" t="s">
        <v>238</v>
      </c>
      <c r="BV219" s="5" t="s">
        <v>238</v>
      </c>
      <c r="BW219" s="5" t="s">
        <v>238</v>
      </c>
      <c r="BY219" s="5" t="s">
        <v>238</v>
      </c>
      <c r="BZ219" s="5" t="s">
        <v>238</v>
      </c>
      <c r="CD219" s="5" t="s">
        <v>255</v>
      </c>
      <c r="CE219" s="5" t="s">
        <v>256</v>
      </c>
      <c r="CF219" s="5" t="s">
        <v>261</v>
      </c>
      <c r="CH219" s="5" t="s">
        <v>238</v>
      </c>
      <c r="CI219" s="6" t="s">
        <v>257</v>
      </c>
      <c r="CJ219" s="5" t="s">
        <v>238</v>
      </c>
      <c r="CK219" s="5" t="s">
        <v>258</v>
      </c>
      <c r="CL219" s="5" t="s">
        <v>238</v>
      </c>
      <c r="CM219" s="5" t="s">
        <v>238</v>
      </c>
      <c r="CN219" s="5">
        <v>0</v>
      </c>
      <c r="CO219" s="5" t="s">
        <v>497</v>
      </c>
      <c r="CP219" s="5" t="s">
        <v>260</v>
      </c>
      <c r="CQ219" s="5" t="s">
        <v>260</v>
      </c>
      <c r="CR219" s="5" t="s">
        <v>261</v>
      </c>
      <c r="CS219" s="5" t="s">
        <v>238</v>
      </c>
      <c r="CT219" s="7" t="s">
        <v>238</v>
      </c>
      <c r="CU219" s="8">
        <f>10038380</f>
        <v>10038380</v>
      </c>
      <c r="CV219" s="8">
        <f>0</f>
        <v>0</v>
      </c>
      <c r="CW219" s="8" t="s">
        <v>238</v>
      </c>
      <c r="CX219" s="8">
        <f>0</f>
        <v>0</v>
      </c>
      <c r="CY219" s="8">
        <f>10038380</f>
        <v>10038380</v>
      </c>
      <c r="CZ219" s="8" t="s">
        <v>238</v>
      </c>
      <c r="DA219" s="5" t="s">
        <v>2032</v>
      </c>
      <c r="DB219" s="5" t="s">
        <v>238</v>
      </c>
      <c r="DD219" s="5" t="s">
        <v>2032</v>
      </c>
      <c r="DE219" s="8">
        <f>4532</f>
        <v>4532</v>
      </c>
      <c r="DF219" s="6" t="s">
        <v>238</v>
      </c>
      <c r="DG219" s="5" t="s">
        <v>389</v>
      </c>
      <c r="DH219" s="5" t="s">
        <v>238</v>
      </c>
      <c r="DI219" s="5" t="s">
        <v>238</v>
      </c>
      <c r="DJ219" s="5" t="s">
        <v>238</v>
      </c>
      <c r="DK219" s="5" t="s">
        <v>238</v>
      </c>
      <c r="DL219" s="5" t="s">
        <v>238</v>
      </c>
      <c r="DM219" s="8" t="s">
        <v>238</v>
      </c>
      <c r="DN219" s="5" t="s">
        <v>238</v>
      </c>
      <c r="DO219" s="5" t="s">
        <v>244</v>
      </c>
      <c r="DP219" s="5" t="s">
        <v>490</v>
      </c>
      <c r="DQ219" s="5" t="s">
        <v>490</v>
      </c>
      <c r="DR219" s="5" t="s">
        <v>238</v>
      </c>
      <c r="DS219" s="5" t="s">
        <v>238</v>
      </c>
      <c r="DT219" s="5" t="s">
        <v>6652</v>
      </c>
      <c r="DU219" s="5" t="s">
        <v>806</v>
      </c>
    </row>
    <row r="220" spans="1:221" x14ac:dyDescent="0.4">
      <c r="A220" s="5">
        <v>931</v>
      </c>
      <c r="B220" s="5">
        <v>1</v>
      </c>
      <c r="C220" s="5">
        <v>1</v>
      </c>
      <c r="D220" s="5" t="s">
        <v>6138</v>
      </c>
      <c r="E220" s="5" t="s">
        <v>289</v>
      </c>
      <c r="F220" s="5" t="s">
        <v>248</v>
      </c>
      <c r="G220" s="5" t="s">
        <v>6137</v>
      </c>
      <c r="H220" s="6" t="s">
        <v>290</v>
      </c>
      <c r="I220" s="7">
        <f>5188</f>
        <v>5188</v>
      </c>
      <c r="J220" s="5" t="s">
        <v>262</v>
      </c>
      <c r="K220" s="8">
        <f>40985200</f>
        <v>40985200</v>
      </c>
      <c r="L220" s="6" t="s">
        <v>242</v>
      </c>
      <c r="M220" s="5" t="s">
        <v>267</v>
      </c>
      <c r="N220" s="5" t="s">
        <v>237</v>
      </c>
      <c r="O220" s="5" t="s">
        <v>238</v>
      </c>
      <c r="P220" s="5" t="s">
        <v>238</v>
      </c>
      <c r="Q220" s="5" t="s">
        <v>239</v>
      </c>
      <c r="R220" s="5" t="s">
        <v>270</v>
      </c>
      <c r="S220" s="5" t="s">
        <v>238</v>
      </c>
      <c r="V220" s="5" t="s">
        <v>238</v>
      </c>
      <c r="X220" s="6" t="s">
        <v>238</v>
      </c>
      <c r="AA220" s="6" t="s">
        <v>243</v>
      </c>
      <c r="AB220" s="5" t="s">
        <v>238</v>
      </c>
      <c r="AC220" s="5" t="s">
        <v>244</v>
      </c>
      <c r="AD220" s="5" t="s">
        <v>245</v>
      </c>
      <c r="AT220" s="5" t="s">
        <v>246</v>
      </c>
      <c r="AU220" s="5" t="s">
        <v>238</v>
      </c>
      <c r="AV220" s="5" t="s">
        <v>247</v>
      </c>
      <c r="AW220" s="5" t="s">
        <v>238</v>
      </c>
      <c r="AX220" s="5" t="s">
        <v>249</v>
      </c>
      <c r="AY220" s="5" t="s">
        <v>238</v>
      </c>
      <c r="BA220" s="5" t="s">
        <v>4547</v>
      </c>
      <c r="BC220" s="5" t="s">
        <v>250</v>
      </c>
      <c r="BD220" s="6" t="s">
        <v>243</v>
      </c>
      <c r="BE220" s="5" t="s">
        <v>251</v>
      </c>
      <c r="BF220" s="5" t="s">
        <v>252</v>
      </c>
      <c r="BG220" s="5" t="s">
        <v>238</v>
      </c>
      <c r="BH220" s="7">
        <f>0</f>
        <v>0</v>
      </c>
      <c r="BI220" s="8">
        <f>0</f>
        <v>0</v>
      </c>
      <c r="BJ220" s="5" t="s">
        <v>253</v>
      </c>
      <c r="BK220" s="5" t="s">
        <v>254</v>
      </c>
      <c r="BY220" s="5" t="s">
        <v>238</v>
      </c>
      <c r="BZ220" s="5" t="s">
        <v>238</v>
      </c>
      <c r="CD220" s="5" t="s">
        <v>255</v>
      </c>
      <c r="CE220" s="5" t="s">
        <v>256</v>
      </c>
      <c r="CF220" s="5" t="s">
        <v>238</v>
      </c>
      <c r="CI220" s="6" t="s">
        <v>257</v>
      </c>
      <c r="CJ220" s="5" t="s">
        <v>238</v>
      </c>
      <c r="CK220" s="5" t="s">
        <v>258</v>
      </c>
      <c r="CL220" s="5" t="s">
        <v>238</v>
      </c>
      <c r="CM220" s="5" t="s">
        <v>238</v>
      </c>
      <c r="CN220" s="5">
        <v>0</v>
      </c>
      <c r="CO220" s="5" t="s">
        <v>259</v>
      </c>
      <c r="CP220" s="5" t="s">
        <v>260</v>
      </c>
      <c r="CQ220" s="5" t="s">
        <v>260</v>
      </c>
      <c r="CR220" s="5" t="s">
        <v>261</v>
      </c>
      <c r="CU220" s="8">
        <f>40985200</f>
        <v>40985200</v>
      </c>
      <c r="CV220" s="8">
        <f>0</f>
        <v>0</v>
      </c>
      <c r="CX220" s="8">
        <f>0</f>
        <v>0</v>
      </c>
      <c r="CY220" s="8">
        <f>40985200</f>
        <v>40985200</v>
      </c>
      <c r="DA220" s="5" t="s">
        <v>263</v>
      </c>
      <c r="DB220" s="5" t="s">
        <v>238</v>
      </c>
      <c r="DD220" s="5" t="s">
        <v>263</v>
      </c>
      <c r="DE220" s="8">
        <f>0</f>
        <v>0</v>
      </c>
      <c r="DF220" s="6" t="s">
        <v>3872</v>
      </c>
      <c r="DG220" s="5" t="s">
        <v>263</v>
      </c>
      <c r="DH220" s="5" t="s">
        <v>238</v>
      </c>
      <c r="DI220" s="5" t="s">
        <v>238</v>
      </c>
      <c r="DJ220" s="5" t="s">
        <v>238</v>
      </c>
      <c r="DN220" s="5" t="s">
        <v>238</v>
      </c>
      <c r="DO220" s="5" t="s">
        <v>238</v>
      </c>
      <c r="DP220" s="5" t="s">
        <v>238</v>
      </c>
      <c r="DQ220" s="5" t="s">
        <v>238</v>
      </c>
      <c r="DT220" s="5" t="s">
        <v>6139</v>
      </c>
      <c r="DU220" s="5" t="s">
        <v>264</v>
      </c>
      <c r="HM220" s="5" t="s">
        <v>264</v>
      </c>
    </row>
    <row r="221" spans="1:221" x14ac:dyDescent="0.4">
      <c r="A221" s="5">
        <v>932</v>
      </c>
      <c r="B221" s="5">
        <v>1</v>
      </c>
      <c r="C221" s="5">
        <v>1</v>
      </c>
      <c r="D221" s="5" t="s">
        <v>6674</v>
      </c>
      <c r="E221" s="5" t="s">
        <v>4391</v>
      </c>
      <c r="F221" s="5" t="s">
        <v>248</v>
      </c>
      <c r="G221" s="5" t="s">
        <v>6673</v>
      </c>
      <c r="H221" s="6" t="s">
        <v>6879</v>
      </c>
      <c r="I221" s="7">
        <f>1100</f>
        <v>1100</v>
      </c>
      <c r="J221" s="5" t="s">
        <v>262</v>
      </c>
      <c r="K221" s="8">
        <f>2436500</f>
        <v>2436500</v>
      </c>
      <c r="L221" s="6" t="s">
        <v>242</v>
      </c>
      <c r="M221" s="5" t="s">
        <v>267</v>
      </c>
      <c r="N221" s="5" t="s">
        <v>237</v>
      </c>
      <c r="Q221" s="5" t="s">
        <v>239</v>
      </c>
      <c r="R221" s="5" t="s">
        <v>270</v>
      </c>
      <c r="S221" s="5" t="s">
        <v>238</v>
      </c>
      <c r="V221" s="5" t="s">
        <v>238</v>
      </c>
      <c r="W221" s="6" t="s">
        <v>238</v>
      </c>
      <c r="X221" s="6" t="s">
        <v>238</v>
      </c>
      <c r="Y221" s="5" t="s">
        <v>238</v>
      </c>
      <c r="Z221" s="6" t="s">
        <v>238</v>
      </c>
      <c r="AA221" s="6" t="s">
        <v>243</v>
      </c>
      <c r="AB221" s="5" t="s">
        <v>238</v>
      </c>
      <c r="AC221" s="5" t="s">
        <v>244</v>
      </c>
      <c r="AD221" s="5" t="s">
        <v>245</v>
      </c>
      <c r="AJ221" s="5" t="s">
        <v>238</v>
      </c>
      <c r="AK221" s="5" t="s">
        <v>238</v>
      </c>
      <c r="AL221" s="5" t="s">
        <v>238</v>
      </c>
      <c r="AM221" s="6" t="s">
        <v>238</v>
      </c>
      <c r="AN221" s="6" t="s">
        <v>238</v>
      </c>
      <c r="AT221" s="5" t="s">
        <v>246</v>
      </c>
      <c r="AU221" s="5" t="s">
        <v>489</v>
      </c>
      <c r="AV221" s="5" t="s">
        <v>247</v>
      </c>
      <c r="AW221" s="5" t="s">
        <v>600</v>
      </c>
      <c r="AX221" s="5" t="s">
        <v>249</v>
      </c>
      <c r="AY221" s="5" t="s">
        <v>490</v>
      </c>
      <c r="BA221" s="5" t="s">
        <v>4547</v>
      </c>
      <c r="BC221" s="5" t="s">
        <v>250</v>
      </c>
      <c r="BD221" s="6" t="s">
        <v>492</v>
      </c>
      <c r="BE221" s="5" t="s">
        <v>251</v>
      </c>
      <c r="BF221" s="5" t="s">
        <v>252</v>
      </c>
      <c r="BG221" s="5" t="s">
        <v>238</v>
      </c>
      <c r="BH221" s="7">
        <f>0</f>
        <v>0</v>
      </c>
      <c r="BI221" s="8">
        <f>0</f>
        <v>0</v>
      </c>
      <c r="BJ221" s="5" t="s">
        <v>253</v>
      </c>
      <c r="BK221" s="5" t="s">
        <v>254</v>
      </c>
      <c r="BT221" s="6" t="s">
        <v>238</v>
      </c>
      <c r="BU221" s="5" t="s">
        <v>238</v>
      </c>
      <c r="BV221" s="5" t="s">
        <v>238</v>
      </c>
      <c r="BW221" s="5" t="s">
        <v>238</v>
      </c>
      <c r="BY221" s="5" t="s">
        <v>238</v>
      </c>
      <c r="BZ221" s="5" t="s">
        <v>238</v>
      </c>
      <c r="CD221" s="5" t="s">
        <v>255</v>
      </c>
      <c r="CE221" s="5" t="s">
        <v>256</v>
      </c>
      <c r="CF221" s="5" t="s">
        <v>261</v>
      </c>
      <c r="CH221" s="5" t="s">
        <v>238</v>
      </c>
      <c r="CI221" s="6" t="s">
        <v>257</v>
      </c>
      <c r="CJ221" s="5" t="s">
        <v>238</v>
      </c>
      <c r="CK221" s="5" t="s">
        <v>258</v>
      </c>
      <c r="CL221" s="5" t="s">
        <v>238</v>
      </c>
      <c r="CM221" s="5" t="s">
        <v>238</v>
      </c>
      <c r="CN221" s="5">
        <v>0</v>
      </c>
      <c r="CO221" s="5" t="s">
        <v>497</v>
      </c>
      <c r="CP221" s="5" t="s">
        <v>260</v>
      </c>
      <c r="CQ221" s="5" t="s">
        <v>260</v>
      </c>
      <c r="CR221" s="5" t="s">
        <v>261</v>
      </c>
      <c r="CS221" s="5" t="s">
        <v>238</v>
      </c>
      <c r="CT221" s="7" t="s">
        <v>238</v>
      </c>
      <c r="CU221" s="8">
        <f>2436500</f>
        <v>2436500</v>
      </c>
      <c r="CV221" s="8">
        <f>0</f>
        <v>0</v>
      </c>
      <c r="CW221" s="8" t="s">
        <v>238</v>
      </c>
      <c r="CX221" s="8">
        <f>0</f>
        <v>0</v>
      </c>
      <c r="CY221" s="8">
        <f>2436500</f>
        <v>2436500</v>
      </c>
      <c r="CZ221" s="8" t="s">
        <v>238</v>
      </c>
      <c r="DA221" s="5" t="s">
        <v>2032</v>
      </c>
      <c r="DB221" s="5" t="s">
        <v>238</v>
      </c>
      <c r="DD221" s="5" t="s">
        <v>2032</v>
      </c>
      <c r="DE221" s="8">
        <f>1100</f>
        <v>1100</v>
      </c>
      <c r="DF221" s="6" t="s">
        <v>6880</v>
      </c>
      <c r="DG221" s="5" t="s">
        <v>389</v>
      </c>
      <c r="DH221" s="5" t="s">
        <v>238</v>
      </c>
      <c r="DI221" s="5" t="s">
        <v>238</v>
      </c>
      <c r="DJ221" s="5" t="s">
        <v>238</v>
      </c>
      <c r="DK221" s="5" t="s">
        <v>238</v>
      </c>
      <c r="DL221" s="5" t="s">
        <v>238</v>
      </c>
      <c r="DM221" s="8" t="s">
        <v>238</v>
      </c>
      <c r="DN221" s="5" t="s">
        <v>238</v>
      </c>
      <c r="DO221" s="5" t="s">
        <v>244</v>
      </c>
      <c r="DP221" s="5" t="s">
        <v>490</v>
      </c>
      <c r="DQ221" s="5" t="s">
        <v>490</v>
      </c>
      <c r="DR221" s="5" t="s">
        <v>238</v>
      </c>
      <c r="DS221" s="5" t="s">
        <v>238</v>
      </c>
      <c r="DT221" s="5" t="s">
        <v>6676</v>
      </c>
      <c r="DU221" s="5" t="s">
        <v>264</v>
      </c>
    </row>
    <row r="222" spans="1:221" x14ac:dyDescent="0.4">
      <c r="A222" s="5">
        <v>933</v>
      </c>
      <c r="B222" s="5">
        <v>1</v>
      </c>
      <c r="C222" s="5">
        <v>1</v>
      </c>
      <c r="D222" s="5" t="s">
        <v>6674</v>
      </c>
      <c r="E222" s="5" t="s">
        <v>4391</v>
      </c>
      <c r="F222" s="5" t="s">
        <v>248</v>
      </c>
      <c r="G222" s="5" t="s">
        <v>6673</v>
      </c>
      <c r="H222" s="6" t="s">
        <v>6786</v>
      </c>
      <c r="I222" s="7">
        <f>3221</f>
        <v>3221</v>
      </c>
      <c r="J222" s="5" t="s">
        <v>262</v>
      </c>
      <c r="K222" s="8">
        <f>7134515</f>
        <v>7134515</v>
      </c>
      <c r="L222" s="6" t="s">
        <v>242</v>
      </c>
      <c r="M222" s="5" t="s">
        <v>267</v>
      </c>
      <c r="N222" s="5" t="s">
        <v>237</v>
      </c>
      <c r="Q222" s="5" t="s">
        <v>239</v>
      </c>
      <c r="R222" s="5" t="s">
        <v>270</v>
      </c>
      <c r="S222" s="5" t="s">
        <v>238</v>
      </c>
      <c r="V222" s="5" t="s">
        <v>238</v>
      </c>
      <c r="W222" s="6" t="s">
        <v>238</v>
      </c>
      <c r="X222" s="6" t="s">
        <v>238</v>
      </c>
      <c r="Y222" s="5" t="s">
        <v>238</v>
      </c>
      <c r="Z222" s="6" t="s">
        <v>238</v>
      </c>
      <c r="AA222" s="6" t="s">
        <v>243</v>
      </c>
      <c r="AB222" s="5" t="s">
        <v>238</v>
      </c>
      <c r="AC222" s="5" t="s">
        <v>244</v>
      </c>
      <c r="AD222" s="5" t="s">
        <v>245</v>
      </c>
      <c r="AJ222" s="5" t="s">
        <v>238</v>
      </c>
      <c r="AK222" s="5" t="s">
        <v>238</v>
      </c>
      <c r="AL222" s="5" t="s">
        <v>238</v>
      </c>
      <c r="AM222" s="6" t="s">
        <v>238</v>
      </c>
      <c r="AN222" s="6" t="s">
        <v>238</v>
      </c>
      <c r="AT222" s="5" t="s">
        <v>246</v>
      </c>
      <c r="AU222" s="5" t="s">
        <v>489</v>
      </c>
      <c r="AV222" s="5" t="s">
        <v>247</v>
      </c>
      <c r="AW222" s="5" t="s">
        <v>600</v>
      </c>
      <c r="AX222" s="5" t="s">
        <v>249</v>
      </c>
      <c r="AY222" s="5" t="s">
        <v>490</v>
      </c>
      <c r="BA222" s="5" t="s">
        <v>4547</v>
      </c>
      <c r="BC222" s="5" t="s">
        <v>250</v>
      </c>
      <c r="BD222" s="6" t="s">
        <v>492</v>
      </c>
      <c r="BE222" s="5" t="s">
        <v>251</v>
      </c>
      <c r="BF222" s="5" t="s">
        <v>252</v>
      </c>
      <c r="BG222" s="5" t="s">
        <v>238</v>
      </c>
      <c r="BH222" s="7">
        <f>0</f>
        <v>0</v>
      </c>
      <c r="BI222" s="8">
        <f>0</f>
        <v>0</v>
      </c>
      <c r="BJ222" s="5" t="s">
        <v>253</v>
      </c>
      <c r="BK222" s="5" t="s">
        <v>254</v>
      </c>
      <c r="BT222" s="6" t="s">
        <v>238</v>
      </c>
      <c r="BU222" s="5" t="s">
        <v>238</v>
      </c>
      <c r="BV222" s="5" t="s">
        <v>238</v>
      </c>
      <c r="BW222" s="5" t="s">
        <v>238</v>
      </c>
      <c r="BY222" s="5" t="s">
        <v>238</v>
      </c>
      <c r="BZ222" s="5" t="s">
        <v>238</v>
      </c>
      <c r="CD222" s="5" t="s">
        <v>255</v>
      </c>
      <c r="CE222" s="5" t="s">
        <v>256</v>
      </c>
      <c r="CF222" s="5" t="s">
        <v>261</v>
      </c>
      <c r="CH222" s="5" t="s">
        <v>238</v>
      </c>
      <c r="CI222" s="6" t="s">
        <v>257</v>
      </c>
      <c r="CJ222" s="5" t="s">
        <v>238</v>
      </c>
      <c r="CK222" s="5" t="s">
        <v>258</v>
      </c>
      <c r="CL222" s="5" t="s">
        <v>238</v>
      </c>
      <c r="CM222" s="5" t="s">
        <v>238</v>
      </c>
      <c r="CN222" s="5">
        <v>0</v>
      </c>
      <c r="CO222" s="5" t="s">
        <v>497</v>
      </c>
      <c r="CP222" s="5" t="s">
        <v>260</v>
      </c>
      <c r="CQ222" s="5" t="s">
        <v>260</v>
      </c>
      <c r="CR222" s="5" t="s">
        <v>261</v>
      </c>
      <c r="CS222" s="5" t="s">
        <v>238</v>
      </c>
      <c r="CT222" s="7" t="s">
        <v>238</v>
      </c>
      <c r="CU222" s="8">
        <f>7134515</f>
        <v>7134515</v>
      </c>
      <c r="CV222" s="8">
        <f>0</f>
        <v>0</v>
      </c>
      <c r="CW222" s="8" t="s">
        <v>238</v>
      </c>
      <c r="CX222" s="8">
        <f>0</f>
        <v>0</v>
      </c>
      <c r="CY222" s="8">
        <f>7134515</f>
        <v>7134515</v>
      </c>
      <c r="CZ222" s="8" t="s">
        <v>238</v>
      </c>
      <c r="DA222" s="5" t="s">
        <v>2032</v>
      </c>
      <c r="DB222" s="5" t="s">
        <v>238</v>
      </c>
      <c r="DD222" s="5" t="s">
        <v>2032</v>
      </c>
      <c r="DE222" s="8">
        <f>3221</f>
        <v>3221</v>
      </c>
      <c r="DF222" s="6" t="s">
        <v>6787</v>
      </c>
      <c r="DG222" s="5" t="s">
        <v>389</v>
      </c>
      <c r="DH222" s="5" t="s">
        <v>238</v>
      </c>
      <c r="DI222" s="5" t="s">
        <v>238</v>
      </c>
      <c r="DJ222" s="5" t="s">
        <v>238</v>
      </c>
      <c r="DK222" s="5" t="s">
        <v>238</v>
      </c>
      <c r="DL222" s="5" t="s">
        <v>238</v>
      </c>
      <c r="DM222" s="8" t="s">
        <v>238</v>
      </c>
      <c r="DN222" s="5" t="s">
        <v>238</v>
      </c>
      <c r="DO222" s="5" t="s">
        <v>244</v>
      </c>
      <c r="DP222" s="5" t="s">
        <v>490</v>
      </c>
      <c r="DQ222" s="5" t="s">
        <v>490</v>
      </c>
      <c r="DR222" s="5" t="s">
        <v>238</v>
      </c>
      <c r="DS222" s="5" t="s">
        <v>238</v>
      </c>
      <c r="DT222" s="5" t="s">
        <v>6676</v>
      </c>
      <c r="DU222" s="5" t="s">
        <v>294</v>
      </c>
    </row>
    <row r="223" spans="1:221" x14ac:dyDescent="0.4">
      <c r="A223" s="5">
        <v>934</v>
      </c>
      <c r="B223" s="5">
        <v>1</v>
      </c>
      <c r="C223" s="5">
        <v>1</v>
      </c>
      <c r="D223" s="5" t="s">
        <v>6674</v>
      </c>
      <c r="E223" s="5" t="s">
        <v>4391</v>
      </c>
      <c r="F223" s="5" t="s">
        <v>248</v>
      </c>
      <c r="G223" s="5" t="s">
        <v>6673</v>
      </c>
      <c r="H223" s="6" t="s">
        <v>6675</v>
      </c>
      <c r="I223" s="7">
        <f>234</f>
        <v>234</v>
      </c>
      <c r="J223" s="5" t="s">
        <v>262</v>
      </c>
      <c r="K223" s="8">
        <f>518310</f>
        <v>518310</v>
      </c>
      <c r="L223" s="6" t="s">
        <v>242</v>
      </c>
      <c r="M223" s="5" t="s">
        <v>267</v>
      </c>
      <c r="N223" s="5" t="s">
        <v>237</v>
      </c>
      <c r="Q223" s="5" t="s">
        <v>239</v>
      </c>
      <c r="R223" s="5" t="s">
        <v>270</v>
      </c>
      <c r="S223" s="5" t="s">
        <v>238</v>
      </c>
      <c r="V223" s="5" t="s">
        <v>238</v>
      </c>
      <c r="W223" s="6" t="s">
        <v>238</v>
      </c>
      <c r="X223" s="6" t="s">
        <v>238</v>
      </c>
      <c r="Y223" s="5" t="s">
        <v>238</v>
      </c>
      <c r="Z223" s="6" t="s">
        <v>238</v>
      </c>
      <c r="AA223" s="6" t="s">
        <v>243</v>
      </c>
      <c r="AB223" s="5" t="s">
        <v>238</v>
      </c>
      <c r="AC223" s="5" t="s">
        <v>244</v>
      </c>
      <c r="AD223" s="5" t="s">
        <v>245</v>
      </c>
      <c r="AJ223" s="5" t="s">
        <v>238</v>
      </c>
      <c r="AK223" s="5" t="s">
        <v>238</v>
      </c>
      <c r="AL223" s="5" t="s">
        <v>238</v>
      </c>
      <c r="AM223" s="6" t="s">
        <v>238</v>
      </c>
      <c r="AN223" s="6" t="s">
        <v>238</v>
      </c>
      <c r="AT223" s="5" t="s">
        <v>246</v>
      </c>
      <c r="AU223" s="5" t="s">
        <v>489</v>
      </c>
      <c r="AV223" s="5" t="s">
        <v>247</v>
      </c>
      <c r="AW223" s="5" t="s">
        <v>600</v>
      </c>
      <c r="AX223" s="5" t="s">
        <v>249</v>
      </c>
      <c r="AY223" s="5" t="s">
        <v>490</v>
      </c>
      <c r="BA223" s="5" t="s">
        <v>4547</v>
      </c>
      <c r="BC223" s="5" t="s">
        <v>250</v>
      </c>
      <c r="BD223" s="6" t="s">
        <v>492</v>
      </c>
      <c r="BE223" s="5" t="s">
        <v>251</v>
      </c>
      <c r="BF223" s="5" t="s">
        <v>252</v>
      </c>
      <c r="BG223" s="5" t="s">
        <v>238</v>
      </c>
      <c r="BH223" s="7">
        <f>0</f>
        <v>0</v>
      </c>
      <c r="BI223" s="8">
        <f>0</f>
        <v>0</v>
      </c>
      <c r="BJ223" s="5" t="s">
        <v>253</v>
      </c>
      <c r="BK223" s="5" t="s">
        <v>254</v>
      </c>
      <c r="BT223" s="6" t="s">
        <v>238</v>
      </c>
      <c r="BU223" s="5" t="s">
        <v>238</v>
      </c>
      <c r="BV223" s="5" t="s">
        <v>238</v>
      </c>
      <c r="BW223" s="5" t="s">
        <v>238</v>
      </c>
      <c r="BY223" s="5" t="s">
        <v>238</v>
      </c>
      <c r="BZ223" s="5" t="s">
        <v>238</v>
      </c>
      <c r="CD223" s="5" t="s">
        <v>255</v>
      </c>
      <c r="CE223" s="5" t="s">
        <v>256</v>
      </c>
      <c r="CF223" s="5" t="s">
        <v>261</v>
      </c>
      <c r="CH223" s="5" t="s">
        <v>238</v>
      </c>
      <c r="CI223" s="6" t="s">
        <v>257</v>
      </c>
      <c r="CJ223" s="5" t="s">
        <v>238</v>
      </c>
      <c r="CK223" s="5" t="s">
        <v>258</v>
      </c>
      <c r="CL223" s="5" t="s">
        <v>238</v>
      </c>
      <c r="CM223" s="5" t="s">
        <v>238</v>
      </c>
      <c r="CN223" s="5">
        <v>0</v>
      </c>
      <c r="CO223" s="5" t="s">
        <v>497</v>
      </c>
      <c r="CP223" s="5" t="s">
        <v>260</v>
      </c>
      <c r="CQ223" s="5" t="s">
        <v>260</v>
      </c>
      <c r="CR223" s="5" t="s">
        <v>261</v>
      </c>
      <c r="CS223" s="5" t="s">
        <v>238</v>
      </c>
      <c r="CT223" s="7" t="s">
        <v>238</v>
      </c>
      <c r="CU223" s="8">
        <f>518310</f>
        <v>518310</v>
      </c>
      <c r="CV223" s="8">
        <f>0</f>
        <v>0</v>
      </c>
      <c r="CW223" s="8" t="s">
        <v>238</v>
      </c>
      <c r="CX223" s="8">
        <f>0</f>
        <v>0</v>
      </c>
      <c r="CY223" s="8">
        <f>518310</f>
        <v>518310</v>
      </c>
      <c r="CZ223" s="8" t="s">
        <v>238</v>
      </c>
      <c r="DA223" s="5" t="s">
        <v>2032</v>
      </c>
      <c r="DB223" s="5" t="s">
        <v>238</v>
      </c>
      <c r="DD223" s="5" t="s">
        <v>2032</v>
      </c>
      <c r="DE223" s="8">
        <f>234</f>
        <v>234</v>
      </c>
      <c r="DF223" s="6" t="s">
        <v>3874</v>
      </c>
      <c r="DG223" s="5" t="s">
        <v>389</v>
      </c>
      <c r="DH223" s="5" t="s">
        <v>238</v>
      </c>
      <c r="DI223" s="5" t="s">
        <v>238</v>
      </c>
      <c r="DJ223" s="5" t="s">
        <v>238</v>
      </c>
      <c r="DK223" s="5" t="s">
        <v>238</v>
      </c>
      <c r="DL223" s="5" t="s">
        <v>238</v>
      </c>
      <c r="DM223" s="8" t="s">
        <v>238</v>
      </c>
      <c r="DN223" s="5" t="s">
        <v>238</v>
      </c>
      <c r="DO223" s="5" t="s">
        <v>244</v>
      </c>
      <c r="DP223" s="5" t="s">
        <v>490</v>
      </c>
      <c r="DQ223" s="5" t="s">
        <v>490</v>
      </c>
      <c r="DR223" s="5" t="s">
        <v>238</v>
      </c>
      <c r="DS223" s="5" t="s">
        <v>238</v>
      </c>
      <c r="DT223" s="5" t="s">
        <v>6676</v>
      </c>
      <c r="DU223" s="5" t="s">
        <v>806</v>
      </c>
    </row>
    <row r="224" spans="1:221" x14ac:dyDescent="0.4">
      <c r="A224" s="5">
        <v>935</v>
      </c>
      <c r="B224" s="5">
        <v>1</v>
      </c>
      <c r="C224" s="5">
        <v>1</v>
      </c>
      <c r="D224" s="5" t="s">
        <v>6674</v>
      </c>
      <c r="E224" s="5" t="s">
        <v>4391</v>
      </c>
      <c r="F224" s="5" t="s">
        <v>248</v>
      </c>
      <c r="G224" s="5" t="s">
        <v>6673</v>
      </c>
      <c r="H224" s="6" t="s">
        <v>6824</v>
      </c>
      <c r="I224" s="7">
        <f>196</f>
        <v>196</v>
      </c>
      <c r="J224" s="5" t="s">
        <v>262</v>
      </c>
      <c r="K224" s="8">
        <f>434140</f>
        <v>434140</v>
      </c>
      <c r="L224" s="6" t="s">
        <v>242</v>
      </c>
      <c r="M224" s="5" t="s">
        <v>267</v>
      </c>
      <c r="N224" s="5" t="s">
        <v>237</v>
      </c>
      <c r="Q224" s="5" t="s">
        <v>239</v>
      </c>
      <c r="R224" s="5" t="s">
        <v>270</v>
      </c>
      <c r="S224" s="5" t="s">
        <v>238</v>
      </c>
      <c r="V224" s="5" t="s">
        <v>238</v>
      </c>
      <c r="W224" s="6" t="s">
        <v>238</v>
      </c>
      <c r="X224" s="6" t="s">
        <v>238</v>
      </c>
      <c r="Y224" s="5" t="s">
        <v>238</v>
      </c>
      <c r="Z224" s="6" t="s">
        <v>238</v>
      </c>
      <c r="AA224" s="6" t="s">
        <v>243</v>
      </c>
      <c r="AB224" s="5" t="s">
        <v>238</v>
      </c>
      <c r="AC224" s="5" t="s">
        <v>244</v>
      </c>
      <c r="AD224" s="5" t="s">
        <v>245</v>
      </c>
      <c r="AJ224" s="5" t="s">
        <v>238</v>
      </c>
      <c r="AK224" s="5" t="s">
        <v>238</v>
      </c>
      <c r="AL224" s="5" t="s">
        <v>238</v>
      </c>
      <c r="AM224" s="6" t="s">
        <v>238</v>
      </c>
      <c r="AN224" s="6" t="s">
        <v>238</v>
      </c>
      <c r="AT224" s="5" t="s">
        <v>246</v>
      </c>
      <c r="AU224" s="5" t="s">
        <v>489</v>
      </c>
      <c r="AV224" s="5" t="s">
        <v>247</v>
      </c>
      <c r="AW224" s="5" t="s">
        <v>600</v>
      </c>
      <c r="AX224" s="5" t="s">
        <v>249</v>
      </c>
      <c r="AY224" s="5" t="s">
        <v>490</v>
      </c>
      <c r="BA224" s="5" t="s">
        <v>4547</v>
      </c>
      <c r="BC224" s="5" t="s">
        <v>250</v>
      </c>
      <c r="BD224" s="6" t="s">
        <v>492</v>
      </c>
      <c r="BE224" s="5" t="s">
        <v>251</v>
      </c>
      <c r="BF224" s="5" t="s">
        <v>252</v>
      </c>
      <c r="BG224" s="5" t="s">
        <v>238</v>
      </c>
      <c r="BH224" s="7">
        <f>0</f>
        <v>0</v>
      </c>
      <c r="BI224" s="8">
        <f>0</f>
        <v>0</v>
      </c>
      <c r="BJ224" s="5" t="s">
        <v>253</v>
      </c>
      <c r="BK224" s="5" t="s">
        <v>254</v>
      </c>
      <c r="BT224" s="6" t="s">
        <v>238</v>
      </c>
      <c r="BU224" s="5" t="s">
        <v>238</v>
      </c>
      <c r="BV224" s="5" t="s">
        <v>238</v>
      </c>
      <c r="BW224" s="5" t="s">
        <v>238</v>
      </c>
      <c r="BY224" s="5" t="s">
        <v>238</v>
      </c>
      <c r="BZ224" s="5" t="s">
        <v>238</v>
      </c>
      <c r="CD224" s="5" t="s">
        <v>255</v>
      </c>
      <c r="CE224" s="5" t="s">
        <v>256</v>
      </c>
      <c r="CF224" s="5" t="s">
        <v>261</v>
      </c>
      <c r="CH224" s="5" t="s">
        <v>238</v>
      </c>
      <c r="CI224" s="6" t="s">
        <v>257</v>
      </c>
      <c r="CJ224" s="5" t="s">
        <v>238</v>
      </c>
      <c r="CK224" s="5" t="s">
        <v>258</v>
      </c>
      <c r="CL224" s="5" t="s">
        <v>238</v>
      </c>
      <c r="CM224" s="5" t="s">
        <v>238</v>
      </c>
      <c r="CN224" s="5">
        <v>0</v>
      </c>
      <c r="CO224" s="5" t="s">
        <v>497</v>
      </c>
      <c r="CP224" s="5" t="s">
        <v>260</v>
      </c>
      <c r="CQ224" s="5" t="s">
        <v>260</v>
      </c>
      <c r="CR224" s="5" t="s">
        <v>261</v>
      </c>
      <c r="CS224" s="5" t="s">
        <v>238</v>
      </c>
      <c r="CT224" s="7" t="s">
        <v>238</v>
      </c>
      <c r="CU224" s="8">
        <f>434140</f>
        <v>434140</v>
      </c>
      <c r="CV224" s="8">
        <f>0</f>
        <v>0</v>
      </c>
      <c r="CW224" s="8" t="s">
        <v>238</v>
      </c>
      <c r="CX224" s="8">
        <f>0</f>
        <v>0</v>
      </c>
      <c r="CY224" s="8">
        <f>434140</f>
        <v>434140</v>
      </c>
      <c r="CZ224" s="8" t="s">
        <v>238</v>
      </c>
      <c r="DA224" s="5" t="s">
        <v>2032</v>
      </c>
      <c r="DB224" s="5" t="s">
        <v>238</v>
      </c>
      <c r="DD224" s="5" t="s">
        <v>2032</v>
      </c>
      <c r="DE224" s="8">
        <f>196</f>
        <v>196</v>
      </c>
      <c r="DF224" s="6" t="s">
        <v>238</v>
      </c>
      <c r="DG224" s="5" t="s">
        <v>389</v>
      </c>
      <c r="DH224" s="5" t="s">
        <v>238</v>
      </c>
      <c r="DI224" s="5" t="s">
        <v>238</v>
      </c>
      <c r="DJ224" s="5" t="s">
        <v>238</v>
      </c>
      <c r="DK224" s="5" t="s">
        <v>238</v>
      </c>
      <c r="DL224" s="5" t="s">
        <v>238</v>
      </c>
      <c r="DM224" s="8" t="s">
        <v>238</v>
      </c>
      <c r="DN224" s="5" t="s">
        <v>238</v>
      </c>
      <c r="DO224" s="5" t="s">
        <v>244</v>
      </c>
      <c r="DP224" s="5" t="s">
        <v>490</v>
      </c>
      <c r="DQ224" s="5" t="s">
        <v>490</v>
      </c>
      <c r="DR224" s="5" t="s">
        <v>238</v>
      </c>
      <c r="DS224" s="5" t="s">
        <v>238</v>
      </c>
      <c r="DT224" s="5" t="s">
        <v>6676</v>
      </c>
      <c r="DU224" s="5" t="s">
        <v>854</v>
      </c>
    </row>
    <row r="225" spans="1:221" x14ac:dyDescent="0.4">
      <c r="A225" s="5">
        <v>936</v>
      </c>
      <c r="B225" s="5">
        <v>1</v>
      </c>
      <c r="C225" s="5">
        <v>1</v>
      </c>
      <c r="D225" s="5" t="s">
        <v>6129</v>
      </c>
      <c r="E225" s="5" t="s">
        <v>4391</v>
      </c>
      <c r="F225" s="5" t="s">
        <v>248</v>
      </c>
      <c r="G225" s="5" t="s">
        <v>6128</v>
      </c>
      <c r="H225" s="6" t="s">
        <v>6778</v>
      </c>
      <c r="I225" s="7">
        <f>306</f>
        <v>306</v>
      </c>
      <c r="J225" s="5" t="s">
        <v>262</v>
      </c>
      <c r="K225" s="8">
        <f>677790</f>
        <v>677790</v>
      </c>
      <c r="L225" s="6" t="s">
        <v>242</v>
      </c>
      <c r="M225" s="5" t="s">
        <v>267</v>
      </c>
      <c r="N225" s="5" t="s">
        <v>237</v>
      </c>
      <c r="Q225" s="5" t="s">
        <v>239</v>
      </c>
      <c r="R225" s="5" t="s">
        <v>270</v>
      </c>
      <c r="S225" s="5" t="s">
        <v>238</v>
      </c>
      <c r="V225" s="5" t="s">
        <v>238</v>
      </c>
      <c r="W225" s="6" t="s">
        <v>238</v>
      </c>
      <c r="X225" s="6" t="s">
        <v>238</v>
      </c>
      <c r="Y225" s="5" t="s">
        <v>238</v>
      </c>
      <c r="Z225" s="6" t="s">
        <v>238</v>
      </c>
      <c r="AA225" s="6" t="s">
        <v>243</v>
      </c>
      <c r="AB225" s="5" t="s">
        <v>238</v>
      </c>
      <c r="AC225" s="5" t="s">
        <v>244</v>
      </c>
      <c r="AD225" s="5" t="s">
        <v>245</v>
      </c>
      <c r="AJ225" s="5" t="s">
        <v>238</v>
      </c>
      <c r="AK225" s="5" t="s">
        <v>238</v>
      </c>
      <c r="AL225" s="5" t="s">
        <v>238</v>
      </c>
      <c r="AM225" s="6" t="s">
        <v>238</v>
      </c>
      <c r="AN225" s="6" t="s">
        <v>238</v>
      </c>
      <c r="AT225" s="5" t="s">
        <v>246</v>
      </c>
      <c r="AU225" s="5" t="s">
        <v>489</v>
      </c>
      <c r="AV225" s="5" t="s">
        <v>247</v>
      </c>
      <c r="AW225" s="5" t="s">
        <v>600</v>
      </c>
      <c r="AX225" s="5" t="s">
        <v>249</v>
      </c>
      <c r="AY225" s="5" t="s">
        <v>490</v>
      </c>
      <c r="BA225" s="5" t="s">
        <v>4547</v>
      </c>
      <c r="BC225" s="5" t="s">
        <v>250</v>
      </c>
      <c r="BD225" s="6" t="s">
        <v>492</v>
      </c>
      <c r="BE225" s="5" t="s">
        <v>251</v>
      </c>
      <c r="BF225" s="5" t="s">
        <v>252</v>
      </c>
      <c r="BG225" s="5" t="s">
        <v>238</v>
      </c>
      <c r="BH225" s="7">
        <f>0</f>
        <v>0</v>
      </c>
      <c r="BI225" s="8">
        <f>0</f>
        <v>0</v>
      </c>
      <c r="BJ225" s="5" t="s">
        <v>253</v>
      </c>
      <c r="BK225" s="5" t="s">
        <v>254</v>
      </c>
      <c r="BT225" s="6" t="s">
        <v>238</v>
      </c>
      <c r="BU225" s="5" t="s">
        <v>238</v>
      </c>
      <c r="BV225" s="5" t="s">
        <v>238</v>
      </c>
      <c r="BW225" s="5" t="s">
        <v>238</v>
      </c>
      <c r="BY225" s="5" t="s">
        <v>238</v>
      </c>
      <c r="BZ225" s="5" t="s">
        <v>238</v>
      </c>
      <c r="CD225" s="5" t="s">
        <v>255</v>
      </c>
      <c r="CE225" s="5" t="s">
        <v>256</v>
      </c>
      <c r="CF225" s="5" t="s">
        <v>261</v>
      </c>
      <c r="CH225" s="5" t="s">
        <v>238</v>
      </c>
      <c r="CI225" s="6" t="s">
        <v>257</v>
      </c>
      <c r="CJ225" s="5" t="s">
        <v>238</v>
      </c>
      <c r="CK225" s="5" t="s">
        <v>258</v>
      </c>
      <c r="CL225" s="5" t="s">
        <v>238</v>
      </c>
      <c r="CM225" s="5" t="s">
        <v>238</v>
      </c>
      <c r="CN225" s="5">
        <v>0</v>
      </c>
      <c r="CO225" s="5" t="s">
        <v>497</v>
      </c>
      <c r="CP225" s="5" t="s">
        <v>260</v>
      </c>
      <c r="CQ225" s="5" t="s">
        <v>260</v>
      </c>
      <c r="CR225" s="5" t="s">
        <v>261</v>
      </c>
      <c r="CS225" s="5" t="s">
        <v>238</v>
      </c>
      <c r="CT225" s="7" t="s">
        <v>238</v>
      </c>
      <c r="CU225" s="8">
        <f>677790</f>
        <v>677790</v>
      </c>
      <c r="CV225" s="8">
        <f>0</f>
        <v>0</v>
      </c>
      <c r="CW225" s="8" t="s">
        <v>238</v>
      </c>
      <c r="CX225" s="8">
        <f>0</f>
        <v>0</v>
      </c>
      <c r="CY225" s="8">
        <f>677790</f>
        <v>677790</v>
      </c>
      <c r="CZ225" s="8" t="s">
        <v>238</v>
      </c>
      <c r="DA225" s="5" t="s">
        <v>2032</v>
      </c>
      <c r="DB225" s="5" t="s">
        <v>238</v>
      </c>
      <c r="DD225" s="5" t="s">
        <v>2032</v>
      </c>
      <c r="DE225" s="8">
        <f>306</f>
        <v>306</v>
      </c>
      <c r="DF225" s="6" t="s">
        <v>6577</v>
      </c>
      <c r="DG225" s="5" t="s">
        <v>389</v>
      </c>
      <c r="DH225" s="5" t="s">
        <v>238</v>
      </c>
      <c r="DI225" s="5" t="s">
        <v>238</v>
      </c>
      <c r="DJ225" s="5" t="s">
        <v>238</v>
      </c>
      <c r="DK225" s="5" t="s">
        <v>238</v>
      </c>
      <c r="DL225" s="5" t="s">
        <v>238</v>
      </c>
      <c r="DM225" s="8" t="s">
        <v>238</v>
      </c>
      <c r="DN225" s="5" t="s">
        <v>238</v>
      </c>
      <c r="DO225" s="5" t="s">
        <v>244</v>
      </c>
      <c r="DP225" s="5" t="s">
        <v>490</v>
      </c>
      <c r="DQ225" s="5" t="s">
        <v>490</v>
      </c>
      <c r="DR225" s="5" t="s">
        <v>238</v>
      </c>
      <c r="DS225" s="5" t="s">
        <v>238</v>
      </c>
      <c r="DT225" s="5" t="s">
        <v>6131</v>
      </c>
      <c r="DU225" s="5" t="s">
        <v>264</v>
      </c>
    </row>
    <row r="226" spans="1:221" x14ac:dyDescent="0.4">
      <c r="A226" s="5">
        <v>937</v>
      </c>
      <c r="B226" s="5">
        <v>1</v>
      </c>
      <c r="C226" s="5">
        <v>1</v>
      </c>
      <c r="D226" s="5" t="s">
        <v>6129</v>
      </c>
      <c r="E226" s="5" t="s">
        <v>4391</v>
      </c>
      <c r="F226" s="5" t="s">
        <v>248</v>
      </c>
      <c r="G226" s="5" t="s">
        <v>6128</v>
      </c>
      <c r="H226" s="6" t="s">
        <v>6855</v>
      </c>
      <c r="I226" s="7">
        <f>343</f>
        <v>343</v>
      </c>
      <c r="J226" s="5" t="s">
        <v>262</v>
      </c>
      <c r="K226" s="8">
        <f>759745</f>
        <v>759745</v>
      </c>
      <c r="L226" s="6" t="s">
        <v>242</v>
      </c>
      <c r="M226" s="5" t="s">
        <v>267</v>
      </c>
      <c r="N226" s="5" t="s">
        <v>237</v>
      </c>
      <c r="Q226" s="5" t="s">
        <v>239</v>
      </c>
      <c r="R226" s="5" t="s">
        <v>270</v>
      </c>
      <c r="S226" s="5" t="s">
        <v>238</v>
      </c>
      <c r="V226" s="5" t="s">
        <v>238</v>
      </c>
      <c r="W226" s="6" t="s">
        <v>238</v>
      </c>
      <c r="X226" s="6" t="s">
        <v>238</v>
      </c>
      <c r="Y226" s="5" t="s">
        <v>238</v>
      </c>
      <c r="Z226" s="6" t="s">
        <v>238</v>
      </c>
      <c r="AA226" s="6" t="s">
        <v>243</v>
      </c>
      <c r="AB226" s="5" t="s">
        <v>238</v>
      </c>
      <c r="AC226" s="5" t="s">
        <v>244</v>
      </c>
      <c r="AD226" s="5" t="s">
        <v>245</v>
      </c>
      <c r="AJ226" s="5" t="s">
        <v>238</v>
      </c>
      <c r="AK226" s="5" t="s">
        <v>238</v>
      </c>
      <c r="AL226" s="5" t="s">
        <v>238</v>
      </c>
      <c r="AM226" s="6" t="s">
        <v>238</v>
      </c>
      <c r="AN226" s="6" t="s">
        <v>238</v>
      </c>
      <c r="AT226" s="5" t="s">
        <v>246</v>
      </c>
      <c r="AU226" s="5" t="s">
        <v>489</v>
      </c>
      <c r="AV226" s="5" t="s">
        <v>247</v>
      </c>
      <c r="AW226" s="5" t="s">
        <v>600</v>
      </c>
      <c r="AX226" s="5" t="s">
        <v>249</v>
      </c>
      <c r="AY226" s="5" t="s">
        <v>490</v>
      </c>
      <c r="BA226" s="5" t="s">
        <v>4547</v>
      </c>
      <c r="BC226" s="5" t="s">
        <v>250</v>
      </c>
      <c r="BD226" s="6" t="s">
        <v>492</v>
      </c>
      <c r="BE226" s="5" t="s">
        <v>251</v>
      </c>
      <c r="BF226" s="5" t="s">
        <v>252</v>
      </c>
      <c r="BG226" s="5" t="s">
        <v>238</v>
      </c>
      <c r="BH226" s="7">
        <f>0</f>
        <v>0</v>
      </c>
      <c r="BI226" s="8">
        <f>0</f>
        <v>0</v>
      </c>
      <c r="BJ226" s="5" t="s">
        <v>253</v>
      </c>
      <c r="BK226" s="5" t="s">
        <v>254</v>
      </c>
      <c r="BT226" s="6" t="s">
        <v>238</v>
      </c>
      <c r="BU226" s="5" t="s">
        <v>238</v>
      </c>
      <c r="BV226" s="5" t="s">
        <v>238</v>
      </c>
      <c r="BW226" s="5" t="s">
        <v>238</v>
      </c>
      <c r="BY226" s="5" t="s">
        <v>238</v>
      </c>
      <c r="BZ226" s="5" t="s">
        <v>238</v>
      </c>
      <c r="CD226" s="5" t="s">
        <v>255</v>
      </c>
      <c r="CE226" s="5" t="s">
        <v>256</v>
      </c>
      <c r="CF226" s="5" t="s">
        <v>261</v>
      </c>
      <c r="CH226" s="5" t="s">
        <v>238</v>
      </c>
      <c r="CI226" s="6" t="s">
        <v>257</v>
      </c>
      <c r="CJ226" s="5" t="s">
        <v>238</v>
      </c>
      <c r="CK226" s="5" t="s">
        <v>258</v>
      </c>
      <c r="CL226" s="5" t="s">
        <v>238</v>
      </c>
      <c r="CM226" s="5" t="s">
        <v>238</v>
      </c>
      <c r="CN226" s="5">
        <v>0</v>
      </c>
      <c r="CO226" s="5" t="s">
        <v>497</v>
      </c>
      <c r="CP226" s="5" t="s">
        <v>260</v>
      </c>
      <c r="CQ226" s="5" t="s">
        <v>260</v>
      </c>
      <c r="CR226" s="5" t="s">
        <v>261</v>
      </c>
      <c r="CS226" s="5" t="s">
        <v>238</v>
      </c>
      <c r="CT226" s="7" t="s">
        <v>238</v>
      </c>
      <c r="CU226" s="8">
        <f>759745</f>
        <v>759745</v>
      </c>
      <c r="CV226" s="8">
        <f>0</f>
        <v>0</v>
      </c>
      <c r="CW226" s="8" t="s">
        <v>238</v>
      </c>
      <c r="CX226" s="8">
        <f>0</f>
        <v>0</v>
      </c>
      <c r="CY226" s="8">
        <f>759745</f>
        <v>759745</v>
      </c>
      <c r="CZ226" s="8" t="s">
        <v>238</v>
      </c>
      <c r="DA226" s="5" t="s">
        <v>2032</v>
      </c>
      <c r="DB226" s="5" t="s">
        <v>238</v>
      </c>
      <c r="DD226" s="5" t="s">
        <v>2032</v>
      </c>
      <c r="DE226" s="8">
        <f>343</f>
        <v>343</v>
      </c>
      <c r="DF226" s="6" t="s">
        <v>6577</v>
      </c>
      <c r="DG226" s="5" t="s">
        <v>389</v>
      </c>
      <c r="DH226" s="5" t="s">
        <v>238</v>
      </c>
      <c r="DI226" s="5" t="s">
        <v>238</v>
      </c>
      <c r="DJ226" s="5" t="s">
        <v>238</v>
      </c>
      <c r="DK226" s="5" t="s">
        <v>238</v>
      </c>
      <c r="DL226" s="5" t="s">
        <v>238</v>
      </c>
      <c r="DM226" s="8" t="s">
        <v>238</v>
      </c>
      <c r="DN226" s="5" t="s">
        <v>238</v>
      </c>
      <c r="DO226" s="5" t="s">
        <v>244</v>
      </c>
      <c r="DP226" s="5" t="s">
        <v>490</v>
      </c>
      <c r="DQ226" s="5" t="s">
        <v>490</v>
      </c>
      <c r="DR226" s="5" t="s">
        <v>238</v>
      </c>
      <c r="DS226" s="5" t="s">
        <v>238</v>
      </c>
      <c r="DT226" s="5" t="s">
        <v>6131</v>
      </c>
      <c r="DU226" s="5" t="s">
        <v>294</v>
      </c>
    </row>
    <row r="227" spans="1:221" x14ac:dyDescent="0.4">
      <c r="A227" s="5">
        <v>938</v>
      </c>
      <c r="B227" s="5">
        <v>1</v>
      </c>
      <c r="C227" s="5">
        <v>1</v>
      </c>
      <c r="D227" s="5" t="s">
        <v>6129</v>
      </c>
      <c r="E227" s="5" t="s">
        <v>4391</v>
      </c>
      <c r="F227" s="5" t="s">
        <v>248</v>
      </c>
      <c r="G227" s="5" t="s">
        <v>6128</v>
      </c>
      <c r="H227" s="6" t="s">
        <v>6832</v>
      </c>
      <c r="I227" s="7">
        <f>496</f>
        <v>496</v>
      </c>
      <c r="J227" s="5" t="s">
        <v>262</v>
      </c>
      <c r="K227" s="8">
        <f>1098640</f>
        <v>1098640</v>
      </c>
      <c r="L227" s="6" t="s">
        <v>242</v>
      </c>
      <c r="M227" s="5" t="s">
        <v>267</v>
      </c>
      <c r="N227" s="5" t="s">
        <v>237</v>
      </c>
      <c r="Q227" s="5" t="s">
        <v>239</v>
      </c>
      <c r="R227" s="5" t="s">
        <v>270</v>
      </c>
      <c r="S227" s="5" t="s">
        <v>238</v>
      </c>
      <c r="V227" s="5" t="s">
        <v>238</v>
      </c>
      <c r="W227" s="6" t="s">
        <v>238</v>
      </c>
      <c r="X227" s="6" t="s">
        <v>238</v>
      </c>
      <c r="Y227" s="5" t="s">
        <v>238</v>
      </c>
      <c r="Z227" s="6" t="s">
        <v>238</v>
      </c>
      <c r="AA227" s="6" t="s">
        <v>243</v>
      </c>
      <c r="AB227" s="5" t="s">
        <v>238</v>
      </c>
      <c r="AC227" s="5" t="s">
        <v>244</v>
      </c>
      <c r="AD227" s="5" t="s">
        <v>245</v>
      </c>
      <c r="AJ227" s="5" t="s">
        <v>238</v>
      </c>
      <c r="AK227" s="5" t="s">
        <v>238</v>
      </c>
      <c r="AL227" s="5" t="s">
        <v>238</v>
      </c>
      <c r="AM227" s="6" t="s">
        <v>238</v>
      </c>
      <c r="AN227" s="6" t="s">
        <v>238</v>
      </c>
      <c r="AT227" s="5" t="s">
        <v>246</v>
      </c>
      <c r="AU227" s="5" t="s">
        <v>489</v>
      </c>
      <c r="AV227" s="5" t="s">
        <v>247</v>
      </c>
      <c r="AW227" s="5" t="s">
        <v>600</v>
      </c>
      <c r="AX227" s="5" t="s">
        <v>249</v>
      </c>
      <c r="AY227" s="5" t="s">
        <v>490</v>
      </c>
      <c r="BA227" s="5" t="s">
        <v>4547</v>
      </c>
      <c r="BC227" s="5" t="s">
        <v>250</v>
      </c>
      <c r="BD227" s="6" t="s">
        <v>492</v>
      </c>
      <c r="BE227" s="5" t="s">
        <v>251</v>
      </c>
      <c r="BF227" s="5" t="s">
        <v>252</v>
      </c>
      <c r="BG227" s="5" t="s">
        <v>238</v>
      </c>
      <c r="BH227" s="7">
        <f>0</f>
        <v>0</v>
      </c>
      <c r="BI227" s="8">
        <f>0</f>
        <v>0</v>
      </c>
      <c r="BJ227" s="5" t="s">
        <v>253</v>
      </c>
      <c r="BK227" s="5" t="s">
        <v>254</v>
      </c>
      <c r="BT227" s="6" t="s">
        <v>238</v>
      </c>
      <c r="BU227" s="5" t="s">
        <v>238</v>
      </c>
      <c r="BV227" s="5" t="s">
        <v>238</v>
      </c>
      <c r="BW227" s="5" t="s">
        <v>238</v>
      </c>
      <c r="BY227" s="5" t="s">
        <v>238</v>
      </c>
      <c r="BZ227" s="5" t="s">
        <v>238</v>
      </c>
      <c r="CD227" s="5" t="s">
        <v>255</v>
      </c>
      <c r="CE227" s="5" t="s">
        <v>256</v>
      </c>
      <c r="CF227" s="5" t="s">
        <v>261</v>
      </c>
      <c r="CH227" s="5" t="s">
        <v>238</v>
      </c>
      <c r="CI227" s="6" t="s">
        <v>257</v>
      </c>
      <c r="CJ227" s="5" t="s">
        <v>238</v>
      </c>
      <c r="CK227" s="5" t="s">
        <v>258</v>
      </c>
      <c r="CL227" s="5" t="s">
        <v>238</v>
      </c>
      <c r="CM227" s="5" t="s">
        <v>238</v>
      </c>
      <c r="CN227" s="5">
        <v>0</v>
      </c>
      <c r="CO227" s="5" t="s">
        <v>497</v>
      </c>
      <c r="CP227" s="5" t="s">
        <v>260</v>
      </c>
      <c r="CQ227" s="5" t="s">
        <v>260</v>
      </c>
      <c r="CR227" s="5" t="s">
        <v>261</v>
      </c>
      <c r="CS227" s="5" t="s">
        <v>238</v>
      </c>
      <c r="CT227" s="7" t="s">
        <v>238</v>
      </c>
      <c r="CU227" s="8">
        <f>1098640</f>
        <v>1098640</v>
      </c>
      <c r="CV227" s="8">
        <f>0</f>
        <v>0</v>
      </c>
      <c r="CW227" s="8" t="s">
        <v>238</v>
      </c>
      <c r="CX227" s="8">
        <f>0</f>
        <v>0</v>
      </c>
      <c r="CY227" s="8">
        <f>1098640</f>
        <v>1098640</v>
      </c>
      <c r="CZ227" s="8" t="s">
        <v>238</v>
      </c>
      <c r="DA227" s="5" t="s">
        <v>2032</v>
      </c>
      <c r="DB227" s="5" t="s">
        <v>238</v>
      </c>
      <c r="DD227" s="5" t="s">
        <v>2032</v>
      </c>
      <c r="DE227" s="8">
        <f>496</f>
        <v>496</v>
      </c>
      <c r="DF227" s="6" t="s">
        <v>6577</v>
      </c>
      <c r="DG227" s="5" t="s">
        <v>389</v>
      </c>
      <c r="DH227" s="5" t="s">
        <v>238</v>
      </c>
      <c r="DI227" s="5" t="s">
        <v>238</v>
      </c>
      <c r="DJ227" s="5" t="s">
        <v>238</v>
      </c>
      <c r="DK227" s="5" t="s">
        <v>238</v>
      </c>
      <c r="DL227" s="5" t="s">
        <v>238</v>
      </c>
      <c r="DM227" s="8" t="s">
        <v>238</v>
      </c>
      <c r="DN227" s="5" t="s">
        <v>238</v>
      </c>
      <c r="DO227" s="5" t="s">
        <v>244</v>
      </c>
      <c r="DP227" s="5" t="s">
        <v>490</v>
      </c>
      <c r="DQ227" s="5" t="s">
        <v>490</v>
      </c>
      <c r="DR227" s="5" t="s">
        <v>238</v>
      </c>
      <c r="DS227" s="5" t="s">
        <v>238</v>
      </c>
      <c r="DT227" s="5" t="s">
        <v>6131</v>
      </c>
      <c r="DU227" s="5" t="s">
        <v>806</v>
      </c>
    </row>
    <row r="228" spans="1:221" x14ac:dyDescent="0.4">
      <c r="A228" s="5">
        <v>939</v>
      </c>
      <c r="B228" s="5">
        <v>1</v>
      </c>
      <c r="C228" s="5">
        <v>1</v>
      </c>
      <c r="D228" s="5" t="s">
        <v>6129</v>
      </c>
      <c r="E228" s="5" t="s">
        <v>4391</v>
      </c>
      <c r="F228" s="5" t="s">
        <v>248</v>
      </c>
      <c r="G228" s="5" t="s">
        <v>6128</v>
      </c>
      <c r="H228" s="6" t="s">
        <v>6576</v>
      </c>
      <c r="I228" s="7">
        <f>96</f>
        <v>96</v>
      </c>
      <c r="J228" s="5" t="s">
        <v>262</v>
      </c>
      <c r="K228" s="8">
        <f>212640</f>
        <v>212640</v>
      </c>
      <c r="L228" s="6" t="s">
        <v>242</v>
      </c>
      <c r="M228" s="5" t="s">
        <v>267</v>
      </c>
      <c r="N228" s="5" t="s">
        <v>237</v>
      </c>
      <c r="Q228" s="5" t="s">
        <v>239</v>
      </c>
      <c r="R228" s="5" t="s">
        <v>270</v>
      </c>
      <c r="S228" s="5" t="s">
        <v>238</v>
      </c>
      <c r="V228" s="5" t="s">
        <v>238</v>
      </c>
      <c r="W228" s="6" t="s">
        <v>238</v>
      </c>
      <c r="X228" s="6" t="s">
        <v>238</v>
      </c>
      <c r="Y228" s="5" t="s">
        <v>238</v>
      </c>
      <c r="Z228" s="6" t="s">
        <v>238</v>
      </c>
      <c r="AA228" s="6" t="s">
        <v>243</v>
      </c>
      <c r="AB228" s="5" t="s">
        <v>238</v>
      </c>
      <c r="AC228" s="5" t="s">
        <v>244</v>
      </c>
      <c r="AD228" s="5" t="s">
        <v>245</v>
      </c>
      <c r="AJ228" s="5" t="s">
        <v>238</v>
      </c>
      <c r="AK228" s="5" t="s">
        <v>238</v>
      </c>
      <c r="AL228" s="5" t="s">
        <v>238</v>
      </c>
      <c r="AM228" s="6" t="s">
        <v>238</v>
      </c>
      <c r="AN228" s="6" t="s">
        <v>238</v>
      </c>
      <c r="AT228" s="5" t="s">
        <v>246</v>
      </c>
      <c r="AU228" s="5" t="s">
        <v>489</v>
      </c>
      <c r="AV228" s="5" t="s">
        <v>247</v>
      </c>
      <c r="AW228" s="5" t="s">
        <v>600</v>
      </c>
      <c r="AX228" s="5" t="s">
        <v>249</v>
      </c>
      <c r="AY228" s="5" t="s">
        <v>490</v>
      </c>
      <c r="BA228" s="5" t="s">
        <v>4547</v>
      </c>
      <c r="BC228" s="5" t="s">
        <v>250</v>
      </c>
      <c r="BD228" s="6" t="s">
        <v>492</v>
      </c>
      <c r="BE228" s="5" t="s">
        <v>251</v>
      </c>
      <c r="BF228" s="5" t="s">
        <v>252</v>
      </c>
      <c r="BG228" s="5" t="s">
        <v>238</v>
      </c>
      <c r="BH228" s="7">
        <f>0</f>
        <v>0</v>
      </c>
      <c r="BI228" s="8">
        <f>0</f>
        <v>0</v>
      </c>
      <c r="BJ228" s="5" t="s">
        <v>253</v>
      </c>
      <c r="BK228" s="5" t="s">
        <v>254</v>
      </c>
      <c r="BT228" s="6" t="s">
        <v>238</v>
      </c>
      <c r="BU228" s="5" t="s">
        <v>238</v>
      </c>
      <c r="BV228" s="5" t="s">
        <v>238</v>
      </c>
      <c r="BW228" s="5" t="s">
        <v>238</v>
      </c>
      <c r="BY228" s="5" t="s">
        <v>238</v>
      </c>
      <c r="BZ228" s="5" t="s">
        <v>238</v>
      </c>
      <c r="CD228" s="5" t="s">
        <v>255</v>
      </c>
      <c r="CE228" s="5" t="s">
        <v>256</v>
      </c>
      <c r="CF228" s="5" t="s">
        <v>261</v>
      </c>
      <c r="CH228" s="5" t="s">
        <v>238</v>
      </c>
      <c r="CI228" s="6" t="s">
        <v>257</v>
      </c>
      <c r="CJ228" s="5" t="s">
        <v>238</v>
      </c>
      <c r="CK228" s="5" t="s">
        <v>258</v>
      </c>
      <c r="CL228" s="5" t="s">
        <v>238</v>
      </c>
      <c r="CM228" s="5" t="s">
        <v>238</v>
      </c>
      <c r="CN228" s="5">
        <v>0</v>
      </c>
      <c r="CO228" s="5" t="s">
        <v>497</v>
      </c>
      <c r="CP228" s="5" t="s">
        <v>260</v>
      </c>
      <c r="CQ228" s="5" t="s">
        <v>260</v>
      </c>
      <c r="CR228" s="5" t="s">
        <v>261</v>
      </c>
      <c r="CS228" s="5" t="s">
        <v>238</v>
      </c>
      <c r="CT228" s="7" t="s">
        <v>238</v>
      </c>
      <c r="CU228" s="8">
        <f>212640</f>
        <v>212640</v>
      </c>
      <c r="CV228" s="8">
        <f>0</f>
        <v>0</v>
      </c>
      <c r="CW228" s="8" t="s">
        <v>238</v>
      </c>
      <c r="CX228" s="8">
        <f>0</f>
        <v>0</v>
      </c>
      <c r="CY228" s="8">
        <f>212640</f>
        <v>212640</v>
      </c>
      <c r="CZ228" s="8" t="s">
        <v>238</v>
      </c>
      <c r="DA228" s="5" t="s">
        <v>2032</v>
      </c>
      <c r="DB228" s="5" t="s">
        <v>238</v>
      </c>
      <c r="DD228" s="5" t="s">
        <v>2032</v>
      </c>
      <c r="DE228" s="8">
        <f>96</f>
        <v>96</v>
      </c>
      <c r="DF228" s="6" t="s">
        <v>6577</v>
      </c>
      <c r="DG228" s="5" t="s">
        <v>389</v>
      </c>
      <c r="DH228" s="5" t="s">
        <v>238</v>
      </c>
      <c r="DI228" s="5" t="s">
        <v>238</v>
      </c>
      <c r="DJ228" s="5" t="s">
        <v>238</v>
      </c>
      <c r="DK228" s="5" t="s">
        <v>238</v>
      </c>
      <c r="DL228" s="5" t="s">
        <v>238</v>
      </c>
      <c r="DM228" s="8" t="s">
        <v>238</v>
      </c>
      <c r="DN228" s="5" t="s">
        <v>238</v>
      </c>
      <c r="DO228" s="5" t="s">
        <v>244</v>
      </c>
      <c r="DP228" s="5" t="s">
        <v>490</v>
      </c>
      <c r="DQ228" s="5" t="s">
        <v>490</v>
      </c>
      <c r="DR228" s="5" t="s">
        <v>238</v>
      </c>
      <c r="DS228" s="5" t="s">
        <v>238</v>
      </c>
      <c r="DT228" s="5" t="s">
        <v>6131</v>
      </c>
      <c r="DU228" s="5" t="s">
        <v>854</v>
      </c>
    </row>
    <row r="229" spans="1:221" x14ac:dyDescent="0.4">
      <c r="A229" s="5">
        <v>940</v>
      </c>
      <c r="B229" s="5">
        <v>1</v>
      </c>
      <c r="C229" s="5">
        <v>1</v>
      </c>
      <c r="D229" s="5" t="s">
        <v>6129</v>
      </c>
      <c r="E229" s="5" t="s">
        <v>4391</v>
      </c>
      <c r="F229" s="5" t="s">
        <v>248</v>
      </c>
      <c r="G229" s="5" t="s">
        <v>6128</v>
      </c>
      <c r="H229" s="6" t="s">
        <v>6346</v>
      </c>
      <c r="I229" s="7">
        <f>317</f>
        <v>317</v>
      </c>
      <c r="J229" s="5" t="s">
        <v>262</v>
      </c>
      <c r="K229" s="8">
        <f>702155</f>
        <v>702155</v>
      </c>
      <c r="L229" s="6" t="s">
        <v>242</v>
      </c>
      <c r="M229" s="5" t="s">
        <v>267</v>
      </c>
      <c r="N229" s="5" t="s">
        <v>237</v>
      </c>
      <c r="O229" s="5" t="s">
        <v>238</v>
      </c>
      <c r="P229" s="5" t="s">
        <v>238</v>
      </c>
      <c r="Q229" s="5" t="s">
        <v>239</v>
      </c>
      <c r="R229" s="5" t="s">
        <v>270</v>
      </c>
      <c r="S229" s="5" t="s">
        <v>238</v>
      </c>
      <c r="V229" s="5" t="s">
        <v>238</v>
      </c>
      <c r="X229" s="6" t="s">
        <v>238</v>
      </c>
      <c r="AA229" s="6" t="s">
        <v>243</v>
      </c>
      <c r="AB229" s="5" t="s">
        <v>238</v>
      </c>
      <c r="AC229" s="5" t="s">
        <v>244</v>
      </c>
      <c r="AD229" s="5" t="s">
        <v>245</v>
      </c>
      <c r="AT229" s="5" t="s">
        <v>246</v>
      </c>
      <c r="AU229" s="5" t="s">
        <v>238</v>
      </c>
      <c r="AV229" s="5" t="s">
        <v>247</v>
      </c>
      <c r="AW229" s="5" t="s">
        <v>238</v>
      </c>
      <c r="AX229" s="5" t="s">
        <v>249</v>
      </c>
      <c r="AY229" s="5" t="s">
        <v>238</v>
      </c>
      <c r="BA229" s="5" t="s">
        <v>238</v>
      </c>
      <c r="BC229" s="5" t="s">
        <v>250</v>
      </c>
      <c r="BD229" s="6" t="s">
        <v>243</v>
      </c>
      <c r="BE229" s="5" t="s">
        <v>251</v>
      </c>
      <c r="BF229" s="5" t="s">
        <v>252</v>
      </c>
      <c r="BG229" s="5" t="s">
        <v>238</v>
      </c>
      <c r="BH229" s="7">
        <f>0</f>
        <v>0</v>
      </c>
      <c r="BI229" s="8">
        <f>0</f>
        <v>0</v>
      </c>
      <c r="BJ229" s="5" t="s">
        <v>253</v>
      </c>
      <c r="BK229" s="5" t="s">
        <v>254</v>
      </c>
      <c r="BY229" s="5" t="s">
        <v>238</v>
      </c>
      <c r="BZ229" s="5" t="s">
        <v>238</v>
      </c>
      <c r="CD229" s="5" t="s">
        <v>255</v>
      </c>
      <c r="CE229" s="5" t="s">
        <v>256</v>
      </c>
      <c r="CF229" s="5" t="s">
        <v>238</v>
      </c>
      <c r="CI229" s="6" t="s">
        <v>257</v>
      </c>
      <c r="CJ229" s="5" t="s">
        <v>238</v>
      </c>
      <c r="CK229" s="5" t="s">
        <v>258</v>
      </c>
      <c r="CL229" s="5" t="s">
        <v>238</v>
      </c>
      <c r="CM229" s="5" t="s">
        <v>238</v>
      </c>
      <c r="CN229" s="5">
        <v>0</v>
      </c>
      <c r="CO229" s="5" t="s">
        <v>259</v>
      </c>
      <c r="CP229" s="5" t="s">
        <v>260</v>
      </c>
      <c r="CQ229" s="5" t="s">
        <v>260</v>
      </c>
      <c r="CR229" s="5" t="s">
        <v>261</v>
      </c>
      <c r="CU229" s="8">
        <f>702155</f>
        <v>702155</v>
      </c>
      <c r="CV229" s="8">
        <f>0</f>
        <v>0</v>
      </c>
      <c r="CX229" s="8">
        <f>0</f>
        <v>0</v>
      </c>
      <c r="CY229" s="8">
        <f>702155</f>
        <v>702155</v>
      </c>
      <c r="DA229" s="5" t="s">
        <v>2032</v>
      </c>
      <c r="DB229" s="5" t="s">
        <v>238</v>
      </c>
      <c r="DD229" s="5" t="s">
        <v>2032</v>
      </c>
      <c r="DE229" s="8">
        <f>317</f>
        <v>317</v>
      </c>
      <c r="DF229" s="6" t="s">
        <v>6119</v>
      </c>
      <c r="DG229" s="5" t="s">
        <v>389</v>
      </c>
      <c r="DH229" s="5" t="s">
        <v>238</v>
      </c>
      <c r="DI229" s="5" t="s">
        <v>238</v>
      </c>
      <c r="DJ229" s="5" t="s">
        <v>238</v>
      </c>
      <c r="DN229" s="5" t="s">
        <v>238</v>
      </c>
      <c r="DO229" s="5" t="s">
        <v>238</v>
      </c>
      <c r="DP229" s="5" t="s">
        <v>238</v>
      </c>
      <c r="DQ229" s="5" t="s">
        <v>238</v>
      </c>
      <c r="DT229" s="5" t="s">
        <v>6131</v>
      </c>
      <c r="DU229" s="5" t="s">
        <v>911</v>
      </c>
      <c r="HM229" s="5" t="s">
        <v>264</v>
      </c>
    </row>
    <row r="230" spans="1:221" x14ac:dyDescent="0.4">
      <c r="A230" s="5">
        <v>941</v>
      </c>
      <c r="B230" s="5">
        <v>1</v>
      </c>
      <c r="C230" s="5">
        <v>1</v>
      </c>
      <c r="D230" s="5" t="s">
        <v>6129</v>
      </c>
      <c r="E230" s="5" t="s">
        <v>4391</v>
      </c>
      <c r="F230" s="5" t="s">
        <v>248</v>
      </c>
      <c r="G230" s="5" t="s">
        <v>6128</v>
      </c>
      <c r="H230" s="6" t="s">
        <v>6134</v>
      </c>
      <c r="I230" s="7">
        <f>143</f>
        <v>143</v>
      </c>
      <c r="J230" s="5" t="s">
        <v>262</v>
      </c>
      <c r="K230" s="8">
        <f>316745</f>
        <v>316745</v>
      </c>
      <c r="L230" s="6" t="s">
        <v>242</v>
      </c>
      <c r="M230" s="5" t="s">
        <v>267</v>
      </c>
      <c r="N230" s="5" t="s">
        <v>237</v>
      </c>
      <c r="O230" s="5" t="s">
        <v>238</v>
      </c>
      <c r="P230" s="5" t="s">
        <v>238</v>
      </c>
      <c r="Q230" s="5" t="s">
        <v>239</v>
      </c>
      <c r="R230" s="5" t="s">
        <v>270</v>
      </c>
      <c r="S230" s="5" t="s">
        <v>238</v>
      </c>
      <c r="V230" s="5" t="s">
        <v>238</v>
      </c>
      <c r="X230" s="6" t="s">
        <v>238</v>
      </c>
      <c r="AA230" s="6" t="s">
        <v>243</v>
      </c>
      <c r="AB230" s="5" t="s">
        <v>238</v>
      </c>
      <c r="AC230" s="5" t="s">
        <v>244</v>
      </c>
      <c r="AD230" s="5" t="s">
        <v>245</v>
      </c>
      <c r="AT230" s="5" t="s">
        <v>246</v>
      </c>
      <c r="AU230" s="5" t="s">
        <v>238</v>
      </c>
      <c r="AV230" s="5" t="s">
        <v>247</v>
      </c>
      <c r="AW230" s="5" t="s">
        <v>238</v>
      </c>
      <c r="AX230" s="5" t="s">
        <v>249</v>
      </c>
      <c r="AY230" s="5" t="s">
        <v>238</v>
      </c>
      <c r="BA230" s="5" t="s">
        <v>238</v>
      </c>
      <c r="BC230" s="5" t="s">
        <v>250</v>
      </c>
      <c r="BD230" s="6" t="s">
        <v>243</v>
      </c>
      <c r="BE230" s="5" t="s">
        <v>251</v>
      </c>
      <c r="BF230" s="5" t="s">
        <v>252</v>
      </c>
      <c r="BG230" s="5" t="s">
        <v>238</v>
      </c>
      <c r="BH230" s="7">
        <f>0</f>
        <v>0</v>
      </c>
      <c r="BI230" s="8">
        <f>0</f>
        <v>0</v>
      </c>
      <c r="BJ230" s="5" t="s">
        <v>253</v>
      </c>
      <c r="BK230" s="5" t="s">
        <v>254</v>
      </c>
      <c r="BY230" s="5" t="s">
        <v>238</v>
      </c>
      <c r="BZ230" s="5" t="s">
        <v>238</v>
      </c>
      <c r="CD230" s="5" t="s">
        <v>255</v>
      </c>
      <c r="CE230" s="5" t="s">
        <v>256</v>
      </c>
      <c r="CF230" s="5" t="s">
        <v>238</v>
      </c>
      <c r="CI230" s="6" t="s">
        <v>257</v>
      </c>
      <c r="CJ230" s="5" t="s">
        <v>238</v>
      </c>
      <c r="CK230" s="5" t="s">
        <v>258</v>
      </c>
      <c r="CL230" s="5" t="s">
        <v>238</v>
      </c>
      <c r="CM230" s="5" t="s">
        <v>238</v>
      </c>
      <c r="CN230" s="5">
        <v>0</v>
      </c>
      <c r="CO230" s="5" t="s">
        <v>259</v>
      </c>
      <c r="CP230" s="5" t="s">
        <v>260</v>
      </c>
      <c r="CQ230" s="5" t="s">
        <v>260</v>
      </c>
      <c r="CR230" s="5" t="s">
        <v>261</v>
      </c>
      <c r="CU230" s="8">
        <f>316745</f>
        <v>316745</v>
      </c>
      <c r="CV230" s="8">
        <f>0</f>
        <v>0</v>
      </c>
      <c r="CX230" s="8">
        <f>0</f>
        <v>0</v>
      </c>
      <c r="CY230" s="8">
        <f>316745</f>
        <v>316745</v>
      </c>
      <c r="DA230" s="5" t="s">
        <v>2032</v>
      </c>
      <c r="DB230" s="5" t="s">
        <v>238</v>
      </c>
      <c r="DD230" s="5" t="s">
        <v>2032</v>
      </c>
      <c r="DE230" s="8">
        <f>143</f>
        <v>143</v>
      </c>
      <c r="DF230" s="6" t="s">
        <v>6119</v>
      </c>
      <c r="DG230" s="5" t="s">
        <v>389</v>
      </c>
      <c r="DH230" s="5" t="s">
        <v>238</v>
      </c>
      <c r="DI230" s="5" t="s">
        <v>238</v>
      </c>
      <c r="DJ230" s="5" t="s">
        <v>238</v>
      </c>
      <c r="DN230" s="5" t="s">
        <v>238</v>
      </c>
      <c r="DO230" s="5" t="s">
        <v>238</v>
      </c>
      <c r="DP230" s="5" t="s">
        <v>238</v>
      </c>
      <c r="DQ230" s="5" t="s">
        <v>238</v>
      </c>
      <c r="DT230" s="5" t="s">
        <v>6131</v>
      </c>
      <c r="DU230" s="5" t="s">
        <v>967</v>
      </c>
      <c r="HM230" s="5" t="s">
        <v>264</v>
      </c>
    </row>
    <row r="231" spans="1:221" x14ac:dyDescent="0.4">
      <c r="A231" s="5">
        <v>942</v>
      </c>
      <c r="B231" s="5">
        <v>1</v>
      </c>
      <c r="C231" s="5">
        <v>1</v>
      </c>
      <c r="D231" s="5" t="s">
        <v>6129</v>
      </c>
      <c r="E231" s="5" t="s">
        <v>4391</v>
      </c>
      <c r="F231" s="5" t="s">
        <v>248</v>
      </c>
      <c r="G231" s="5" t="s">
        <v>6128</v>
      </c>
      <c r="H231" s="6" t="s">
        <v>6135</v>
      </c>
      <c r="I231" s="7">
        <f>198</f>
        <v>198</v>
      </c>
      <c r="J231" s="5" t="s">
        <v>262</v>
      </c>
      <c r="K231" s="8">
        <f>438570</f>
        <v>438570</v>
      </c>
      <c r="L231" s="6" t="s">
        <v>242</v>
      </c>
      <c r="M231" s="5" t="s">
        <v>267</v>
      </c>
      <c r="N231" s="5" t="s">
        <v>237</v>
      </c>
      <c r="O231" s="5" t="s">
        <v>238</v>
      </c>
      <c r="P231" s="5" t="s">
        <v>238</v>
      </c>
      <c r="Q231" s="5" t="s">
        <v>239</v>
      </c>
      <c r="R231" s="5" t="s">
        <v>270</v>
      </c>
      <c r="S231" s="5" t="s">
        <v>238</v>
      </c>
      <c r="V231" s="5" t="s">
        <v>238</v>
      </c>
      <c r="X231" s="6" t="s">
        <v>238</v>
      </c>
      <c r="AA231" s="6" t="s">
        <v>243</v>
      </c>
      <c r="AB231" s="5" t="s">
        <v>238</v>
      </c>
      <c r="AC231" s="5" t="s">
        <v>244</v>
      </c>
      <c r="AD231" s="5" t="s">
        <v>245</v>
      </c>
      <c r="AT231" s="5" t="s">
        <v>246</v>
      </c>
      <c r="AU231" s="5" t="s">
        <v>238</v>
      </c>
      <c r="AV231" s="5" t="s">
        <v>247</v>
      </c>
      <c r="AW231" s="5" t="s">
        <v>238</v>
      </c>
      <c r="AX231" s="5" t="s">
        <v>249</v>
      </c>
      <c r="AY231" s="5" t="s">
        <v>238</v>
      </c>
      <c r="BA231" s="5" t="s">
        <v>238</v>
      </c>
      <c r="BC231" s="5" t="s">
        <v>250</v>
      </c>
      <c r="BD231" s="6" t="s">
        <v>243</v>
      </c>
      <c r="BE231" s="5" t="s">
        <v>251</v>
      </c>
      <c r="BF231" s="5" t="s">
        <v>252</v>
      </c>
      <c r="BG231" s="5" t="s">
        <v>238</v>
      </c>
      <c r="BH231" s="7">
        <f>0</f>
        <v>0</v>
      </c>
      <c r="BI231" s="8">
        <f>0</f>
        <v>0</v>
      </c>
      <c r="BJ231" s="5" t="s">
        <v>253</v>
      </c>
      <c r="BK231" s="5" t="s">
        <v>254</v>
      </c>
      <c r="BY231" s="5" t="s">
        <v>238</v>
      </c>
      <c r="BZ231" s="5" t="s">
        <v>238</v>
      </c>
      <c r="CD231" s="5" t="s">
        <v>255</v>
      </c>
      <c r="CE231" s="5" t="s">
        <v>256</v>
      </c>
      <c r="CF231" s="5" t="s">
        <v>238</v>
      </c>
      <c r="CI231" s="6" t="s">
        <v>257</v>
      </c>
      <c r="CJ231" s="5" t="s">
        <v>238</v>
      </c>
      <c r="CK231" s="5" t="s">
        <v>258</v>
      </c>
      <c r="CL231" s="5" t="s">
        <v>238</v>
      </c>
      <c r="CM231" s="5" t="s">
        <v>238</v>
      </c>
      <c r="CN231" s="5">
        <v>0</v>
      </c>
      <c r="CO231" s="5" t="s">
        <v>259</v>
      </c>
      <c r="CP231" s="5" t="s">
        <v>260</v>
      </c>
      <c r="CQ231" s="5" t="s">
        <v>260</v>
      </c>
      <c r="CR231" s="5" t="s">
        <v>261</v>
      </c>
      <c r="CU231" s="8">
        <f>438570</f>
        <v>438570</v>
      </c>
      <c r="CV231" s="8">
        <f>0</f>
        <v>0</v>
      </c>
      <c r="CX231" s="8">
        <f>0</f>
        <v>0</v>
      </c>
      <c r="CY231" s="8">
        <f>438570</f>
        <v>438570</v>
      </c>
      <c r="DA231" s="5" t="s">
        <v>2032</v>
      </c>
      <c r="DB231" s="5" t="s">
        <v>238</v>
      </c>
      <c r="DD231" s="5" t="s">
        <v>2032</v>
      </c>
      <c r="DE231" s="8">
        <f>198</f>
        <v>198</v>
      </c>
      <c r="DF231" s="6" t="s">
        <v>6119</v>
      </c>
      <c r="DG231" s="5" t="s">
        <v>389</v>
      </c>
      <c r="DH231" s="5" t="s">
        <v>238</v>
      </c>
      <c r="DI231" s="5" t="s">
        <v>238</v>
      </c>
      <c r="DJ231" s="5" t="s">
        <v>238</v>
      </c>
      <c r="DN231" s="5" t="s">
        <v>238</v>
      </c>
      <c r="DO231" s="5" t="s">
        <v>238</v>
      </c>
      <c r="DP231" s="5" t="s">
        <v>238</v>
      </c>
      <c r="DQ231" s="5" t="s">
        <v>238</v>
      </c>
      <c r="DT231" s="5" t="s">
        <v>6131</v>
      </c>
      <c r="DU231" s="5" t="s">
        <v>1376</v>
      </c>
      <c r="HM231" s="5" t="s">
        <v>264</v>
      </c>
    </row>
    <row r="232" spans="1:221" x14ac:dyDescent="0.4">
      <c r="A232" s="5">
        <v>943</v>
      </c>
      <c r="B232" s="5">
        <v>1</v>
      </c>
      <c r="C232" s="5">
        <v>1</v>
      </c>
      <c r="D232" s="5" t="s">
        <v>6129</v>
      </c>
      <c r="E232" s="5" t="s">
        <v>4391</v>
      </c>
      <c r="F232" s="5" t="s">
        <v>248</v>
      </c>
      <c r="G232" s="5" t="s">
        <v>6128</v>
      </c>
      <c r="H232" s="6" t="s">
        <v>6347</v>
      </c>
      <c r="I232" s="7">
        <f>705</f>
        <v>705</v>
      </c>
      <c r="J232" s="5" t="s">
        <v>262</v>
      </c>
      <c r="K232" s="8">
        <f>1561575</f>
        <v>1561575</v>
      </c>
      <c r="L232" s="6" t="s">
        <v>242</v>
      </c>
      <c r="M232" s="5" t="s">
        <v>267</v>
      </c>
      <c r="N232" s="5" t="s">
        <v>237</v>
      </c>
      <c r="O232" s="5" t="s">
        <v>238</v>
      </c>
      <c r="P232" s="5" t="s">
        <v>238</v>
      </c>
      <c r="Q232" s="5" t="s">
        <v>239</v>
      </c>
      <c r="R232" s="5" t="s">
        <v>270</v>
      </c>
      <c r="S232" s="5" t="s">
        <v>238</v>
      </c>
      <c r="V232" s="5" t="s">
        <v>238</v>
      </c>
      <c r="X232" s="6" t="s">
        <v>238</v>
      </c>
      <c r="AA232" s="6" t="s">
        <v>243</v>
      </c>
      <c r="AB232" s="5" t="s">
        <v>238</v>
      </c>
      <c r="AC232" s="5" t="s">
        <v>244</v>
      </c>
      <c r="AD232" s="5" t="s">
        <v>245</v>
      </c>
      <c r="AT232" s="5" t="s">
        <v>246</v>
      </c>
      <c r="AU232" s="5" t="s">
        <v>238</v>
      </c>
      <c r="AV232" s="5" t="s">
        <v>247</v>
      </c>
      <c r="AW232" s="5" t="s">
        <v>238</v>
      </c>
      <c r="AX232" s="5" t="s">
        <v>249</v>
      </c>
      <c r="AY232" s="5" t="s">
        <v>238</v>
      </c>
      <c r="BA232" s="5" t="s">
        <v>238</v>
      </c>
      <c r="BC232" s="5" t="s">
        <v>250</v>
      </c>
      <c r="BD232" s="6" t="s">
        <v>243</v>
      </c>
      <c r="BE232" s="5" t="s">
        <v>251</v>
      </c>
      <c r="BF232" s="5" t="s">
        <v>252</v>
      </c>
      <c r="BG232" s="5" t="s">
        <v>238</v>
      </c>
      <c r="BH232" s="7">
        <f>0</f>
        <v>0</v>
      </c>
      <c r="BI232" s="8">
        <f>0</f>
        <v>0</v>
      </c>
      <c r="BJ232" s="5" t="s">
        <v>253</v>
      </c>
      <c r="BK232" s="5" t="s">
        <v>254</v>
      </c>
      <c r="BY232" s="5" t="s">
        <v>238</v>
      </c>
      <c r="BZ232" s="5" t="s">
        <v>238</v>
      </c>
      <c r="CD232" s="5" t="s">
        <v>255</v>
      </c>
      <c r="CE232" s="5" t="s">
        <v>256</v>
      </c>
      <c r="CF232" s="5" t="s">
        <v>238</v>
      </c>
      <c r="CI232" s="6" t="s">
        <v>257</v>
      </c>
      <c r="CJ232" s="5" t="s">
        <v>238</v>
      </c>
      <c r="CK232" s="5" t="s">
        <v>258</v>
      </c>
      <c r="CL232" s="5" t="s">
        <v>238</v>
      </c>
      <c r="CM232" s="5" t="s">
        <v>238</v>
      </c>
      <c r="CN232" s="5">
        <v>0</v>
      </c>
      <c r="CO232" s="5" t="s">
        <v>259</v>
      </c>
      <c r="CP232" s="5" t="s">
        <v>260</v>
      </c>
      <c r="CQ232" s="5" t="s">
        <v>260</v>
      </c>
      <c r="CR232" s="5" t="s">
        <v>261</v>
      </c>
      <c r="CU232" s="8">
        <f>1561575</f>
        <v>1561575</v>
      </c>
      <c r="CV232" s="8">
        <f>0</f>
        <v>0</v>
      </c>
      <c r="CX232" s="8">
        <f>0</f>
        <v>0</v>
      </c>
      <c r="CY232" s="8">
        <f>1561575</f>
        <v>1561575</v>
      </c>
      <c r="DA232" s="5" t="s">
        <v>2032</v>
      </c>
      <c r="DB232" s="5" t="s">
        <v>238</v>
      </c>
      <c r="DD232" s="5" t="s">
        <v>2032</v>
      </c>
      <c r="DE232" s="8">
        <f>705</f>
        <v>705</v>
      </c>
      <c r="DF232" s="6" t="s">
        <v>6119</v>
      </c>
      <c r="DG232" s="5" t="s">
        <v>389</v>
      </c>
      <c r="DH232" s="5" t="s">
        <v>238</v>
      </c>
      <c r="DI232" s="5" t="s">
        <v>238</v>
      </c>
      <c r="DJ232" s="5" t="s">
        <v>238</v>
      </c>
      <c r="DN232" s="5" t="s">
        <v>238</v>
      </c>
      <c r="DO232" s="5" t="s">
        <v>238</v>
      </c>
      <c r="DP232" s="5" t="s">
        <v>238</v>
      </c>
      <c r="DQ232" s="5" t="s">
        <v>238</v>
      </c>
      <c r="DT232" s="5" t="s">
        <v>6131</v>
      </c>
      <c r="DU232" s="5" t="s">
        <v>1372</v>
      </c>
      <c r="HM232" s="5" t="s">
        <v>264</v>
      </c>
    </row>
    <row r="233" spans="1:221" x14ac:dyDescent="0.4">
      <c r="A233" s="5">
        <v>944</v>
      </c>
      <c r="B233" s="5">
        <v>1</v>
      </c>
      <c r="C233" s="5">
        <v>1</v>
      </c>
      <c r="D233" s="5" t="s">
        <v>6129</v>
      </c>
      <c r="E233" s="5" t="s">
        <v>4391</v>
      </c>
      <c r="F233" s="5" t="s">
        <v>248</v>
      </c>
      <c r="G233" s="5" t="s">
        <v>6128</v>
      </c>
      <c r="H233" s="6" t="s">
        <v>6130</v>
      </c>
      <c r="I233" s="7">
        <f>55</f>
        <v>55</v>
      </c>
      <c r="J233" s="5" t="s">
        <v>262</v>
      </c>
      <c r="K233" s="8">
        <f>121825</f>
        <v>121825</v>
      </c>
      <c r="L233" s="6" t="s">
        <v>242</v>
      </c>
      <c r="M233" s="5" t="s">
        <v>267</v>
      </c>
      <c r="N233" s="5" t="s">
        <v>237</v>
      </c>
      <c r="O233" s="5" t="s">
        <v>238</v>
      </c>
      <c r="P233" s="5" t="s">
        <v>238</v>
      </c>
      <c r="Q233" s="5" t="s">
        <v>239</v>
      </c>
      <c r="R233" s="5" t="s">
        <v>270</v>
      </c>
      <c r="S233" s="5" t="s">
        <v>238</v>
      </c>
      <c r="V233" s="5" t="s">
        <v>238</v>
      </c>
      <c r="X233" s="6" t="s">
        <v>238</v>
      </c>
      <c r="AA233" s="6" t="s">
        <v>243</v>
      </c>
      <c r="AB233" s="5" t="s">
        <v>238</v>
      </c>
      <c r="AC233" s="5" t="s">
        <v>244</v>
      </c>
      <c r="AD233" s="5" t="s">
        <v>245</v>
      </c>
      <c r="AT233" s="5" t="s">
        <v>246</v>
      </c>
      <c r="AU233" s="5" t="s">
        <v>238</v>
      </c>
      <c r="AV233" s="5" t="s">
        <v>247</v>
      </c>
      <c r="AW233" s="5" t="s">
        <v>238</v>
      </c>
      <c r="AX233" s="5" t="s">
        <v>249</v>
      </c>
      <c r="AY233" s="5" t="s">
        <v>238</v>
      </c>
      <c r="BA233" s="5" t="s">
        <v>238</v>
      </c>
      <c r="BC233" s="5" t="s">
        <v>250</v>
      </c>
      <c r="BD233" s="6" t="s">
        <v>243</v>
      </c>
      <c r="BE233" s="5" t="s">
        <v>251</v>
      </c>
      <c r="BF233" s="5" t="s">
        <v>252</v>
      </c>
      <c r="BG233" s="5" t="s">
        <v>238</v>
      </c>
      <c r="BH233" s="7">
        <f>0</f>
        <v>0</v>
      </c>
      <c r="BI233" s="8">
        <f>0</f>
        <v>0</v>
      </c>
      <c r="BJ233" s="5" t="s">
        <v>253</v>
      </c>
      <c r="BK233" s="5" t="s">
        <v>254</v>
      </c>
      <c r="BY233" s="5" t="s">
        <v>238</v>
      </c>
      <c r="BZ233" s="5" t="s">
        <v>238</v>
      </c>
      <c r="CD233" s="5" t="s">
        <v>255</v>
      </c>
      <c r="CE233" s="5" t="s">
        <v>256</v>
      </c>
      <c r="CF233" s="5" t="s">
        <v>238</v>
      </c>
      <c r="CI233" s="6" t="s">
        <v>257</v>
      </c>
      <c r="CJ233" s="5" t="s">
        <v>238</v>
      </c>
      <c r="CK233" s="5" t="s">
        <v>258</v>
      </c>
      <c r="CL233" s="5" t="s">
        <v>238</v>
      </c>
      <c r="CM233" s="5" t="s">
        <v>238</v>
      </c>
      <c r="CN233" s="5">
        <v>0</v>
      </c>
      <c r="CO233" s="5" t="s">
        <v>259</v>
      </c>
      <c r="CP233" s="5" t="s">
        <v>260</v>
      </c>
      <c r="CQ233" s="5" t="s">
        <v>260</v>
      </c>
      <c r="CR233" s="5" t="s">
        <v>261</v>
      </c>
      <c r="CU233" s="8">
        <f>121825</f>
        <v>121825</v>
      </c>
      <c r="CV233" s="8">
        <f>0</f>
        <v>0</v>
      </c>
      <c r="CX233" s="8">
        <f>0</f>
        <v>0</v>
      </c>
      <c r="CY233" s="8">
        <f>121825</f>
        <v>121825</v>
      </c>
      <c r="DA233" s="5" t="s">
        <v>2032</v>
      </c>
      <c r="DB233" s="5" t="s">
        <v>238</v>
      </c>
      <c r="DD233" s="5" t="s">
        <v>2032</v>
      </c>
      <c r="DE233" s="8">
        <f>55</f>
        <v>55</v>
      </c>
      <c r="DF233" s="6" t="s">
        <v>6119</v>
      </c>
      <c r="DG233" s="5" t="s">
        <v>389</v>
      </c>
      <c r="DH233" s="5" t="s">
        <v>238</v>
      </c>
      <c r="DI233" s="5" t="s">
        <v>238</v>
      </c>
      <c r="DJ233" s="5" t="s">
        <v>238</v>
      </c>
      <c r="DN233" s="5" t="s">
        <v>238</v>
      </c>
      <c r="DO233" s="5" t="s">
        <v>238</v>
      </c>
      <c r="DP233" s="5" t="s">
        <v>238</v>
      </c>
      <c r="DQ233" s="5" t="s">
        <v>238</v>
      </c>
      <c r="DT233" s="5" t="s">
        <v>6131</v>
      </c>
      <c r="DU233" s="5" t="s">
        <v>1370</v>
      </c>
      <c r="HM233" s="5" t="s">
        <v>264</v>
      </c>
    </row>
    <row r="234" spans="1:221" x14ac:dyDescent="0.4">
      <c r="A234" s="5">
        <v>945</v>
      </c>
      <c r="B234" s="5">
        <v>1</v>
      </c>
      <c r="C234" s="5">
        <v>1</v>
      </c>
      <c r="D234" s="5" t="s">
        <v>6129</v>
      </c>
      <c r="E234" s="5" t="s">
        <v>4391</v>
      </c>
      <c r="F234" s="5" t="s">
        <v>248</v>
      </c>
      <c r="G234" s="5" t="s">
        <v>6128</v>
      </c>
      <c r="H234" s="6" t="s">
        <v>6132</v>
      </c>
      <c r="I234" s="7">
        <f>129</f>
        <v>129</v>
      </c>
      <c r="J234" s="5" t="s">
        <v>262</v>
      </c>
      <c r="K234" s="8">
        <f>285735</f>
        <v>285735</v>
      </c>
      <c r="L234" s="6" t="s">
        <v>242</v>
      </c>
      <c r="M234" s="5" t="s">
        <v>267</v>
      </c>
      <c r="N234" s="5" t="s">
        <v>237</v>
      </c>
      <c r="O234" s="5" t="s">
        <v>238</v>
      </c>
      <c r="P234" s="5" t="s">
        <v>238</v>
      </c>
      <c r="Q234" s="5" t="s">
        <v>239</v>
      </c>
      <c r="R234" s="5" t="s">
        <v>270</v>
      </c>
      <c r="S234" s="5" t="s">
        <v>238</v>
      </c>
      <c r="V234" s="5" t="s">
        <v>238</v>
      </c>
      <c r="X234" s="6" t="s">
        <v>238</v>
      </c>
      <c r="AA234" s="6" t="s">
        <v>243</v>
      </c>
      <c r="AB234" s="5" t="s">
        <v>238</v>
      </c>
      <c r="AC234" s="5" t="s">
        <v>244</v>
      </c>
      <c r="AD234" s="5" t="s">
        <v>245</v>
      </c>
      <c r="AT234" s="5" t="s">
        <v>246</v>
      </c>
      <c r="AU234" s="5" t="s">
        <v>238</v>
      </c>
      <c r="AV234" s="5" t="s">
        <v>247</v>
      </c>
      <c r="AW234" s="5" t="s">
        <v>238</v>
      </c>
      <c r="AX234" s="5" t="s">
        <v>249</v>
      </c>
      <c r="AY234" s="5" t="s">
        <v>238</v>
      </c>
      <c r="BA234" s="5" t="s">
        <v>238</v>
      </c>
      <c r="BC234" s="5" t="s">
        <v>250</v>
      </c>
      <c r="BD234" s="6" t="s">
        <v>243</v>
      </c>
      <c r="BE234" s="5" t="s">
        <v>251</v>
      </c>
      <c r="BF234" s="5" t="s">
        <v>252</v>
      </c>
      <c r="BG234" s="5" t="s">
        <v>238</v>
      </c>
      <c r="BH234" s="7">
        <f>0</f>
        <v>0</v>
      </c>
      <c r="BI234" s="8">
        <f>0</f>
        <v>0</v>
      </c>
      <c r="BJ234" s="5" t="s">
        <v>253</v>
      </c>
      <c r="BK234" s="5" t="s">
        <v>254</v>
      </c>
      <c r="BY234" s="5" t="s">
        <v>238</v>
      </c>
      <c r="BZ234" s="5" t="s">
        <v>238</v>
      </c>
      <c r="CD234" s="5" t="s">
        <v>255</v>
      </c>
      <c r="CE234" s="5" t="s">
        <v>256</v>
      </c>
      <c r="CF234" s="5" t="s">
        <v>238</v>
      </c>
      <c r="CI234" s="6" t="s">
        <v>257</v>
      </c>
      <c r="CJ234" s="5" t="s">
        <v>238</v>
      </c>
      <c r="CK234" s="5" t="s">
        <v>258</v>
      </c>
      <c r="CL234" s="5" t="s">
        <v>238</v>
      </c>
      <c r="CM234" s="5" t="s">
        <v>238</v>
      </c>
      <c r="CN234" s="5">
        <v>0</v>
      </c>
      <c r="CO234" s="5" t="s">
        <v>259</v>
      </c>
      <c r="CP234" s="5" t="s">
        <v>260</v>
      </c>
      <c r="CQ234" s="5" t="s">
        <v>260</v>
      </c>
      <c r="CR234" s="5" t="s">
        <v>261</v>
      </c>
      <c r="CU234" s="8">
        <f>285735</f>
        <v>285735</v>
      </c>
      <c r="CV234" s="8">
        <f>0</f>
        <v>0</v>
      </c>
      <c r="CX234" s="8">
        <f>0</f>
        <v>0</v>
      </c>
      <c r="CY234" s="8">
        <f>285735</f>
        <v>285735</v>
      </c>
      <c r="DA234" s="5" t="s">
        <v>2032</v>
      </c>
      <c r="DB234" s="5" t="s">
        <v>238</v>
      </c>
      <c r="DD234" s="5" t="s">
        <v>2032</v>
      </c>
      <c r="DE234" s="8">
        <f>129</f>
        <v>129</v>
      </c>
      <c r="DF234" s="6" t="s">
        <v>6119</v>
      </c>
      <c r="DG234" s="5" t="s">
        <v>389</v>
      </c>
      <c r="DH234" s="5" t="s">
        <v>238</v>
      </c>
      <c r="DI234" s="5" t="s">
        <v>238</v>
      </c>
      <c r="DJ234" s="5" t="s">
        <v>238</v>
      </c>
      <c r="DN234" s="5" t="s">
        <v>238</v>
      </c>
      <c r="DO234" s="5" t="s">
        <v>238</v>
      </c>
      <c r="DP234" s="5" t="s">
        <v>238</v>
      </c>
      <c r="DQ234" s="5" t="s">
        <v>238</v>
      </c>
      <c r="DT234" s="5" t="s">
        <v>6131</v>
      </c>
      <c r="DU234" s="5" t="s">
        <v>1364</v>
      </c>
      <c r="HM234" s="5" t="s">
        <v>264</v>
      </c>
    </row>
    <row r="235" spans="1:221" x14ac:dyDescent="0.4">
      <c r="A235" s="5">
        <v>946</v>
      </c>
      <c r="B235" s="5">
        <v>1</v>
      </c>
      <c r="C235" s="5">
        <v>1</v>
      </c>
      <c r="D235" s="5" t="s">
        <v>6129</v>
      </c>
      <c r="E235" s="5" t="s">
        <v>4391</v>
      </c>
      <c r="F235" s="5" t="s">
        <v>248</v>
      </c>
      <c r="G235" s="5" t="s">
        <v>6128</v>
      </c>
      <c r="H235" s="6" t="s">
        <v>6133</v>
      </c>
      <c r="I235" s="7">
        <f>381</f>
        <v>381</v>
      </c>
      <c r="J235" s="5" t="s">
        <v>262</v>
      </c>
      <c r="K235" s="8">
        <f>843915</f>
        <v>843915</v>
      </c>
      <c r="L235" s="6" t="s">
        <v>242</v>
      </c>
      <c r="M235" s="5" t="s">
        <v>267</v>
      </c>
      <c r="N235" s="5" t="s">
        <v>237</v>
      </c>
      <c r="O235" s="5" t="s">
        <v>238</v>
      </c>
      <c r="P235" s="5" t="s">
        <v>238</v>
      </c>
      <c r="Q235" s="5" t="s">
        <v>239</v>
      </c>
      <c r="R235" s="5" t="s">
        <v>270</v>
      </c>
      <c r="S235" s="5" t="s">
        <v>238</v>
      </c>
      <c r="V235" s="5" t="s">
        <v>238</v>
      </c>
      <c r="X235" s="6" t="s">
        <v>238</v>
      </c>
      <c r="AA235" s="6" t="s">
        <v>243</v>
      </c>
      <c r="AB235" s="5" t="s">
        <v>238</v>
      </c>
      <c r="AC235" s="5" t="s">
        <v>244</v>
      </c>
      <c r="AD235" s="5" t="s">
        <v>245</v>
      </c>
      <c r="AT235" s="5" t="s">
        <v>246</v>
      </c>
      <c r="AU235" s="5" t="s">
        <v>238</v>
      </c>
      <c r="AV235" s="5" t="s">
        <v>247</v>
      </c>
      <c r="AW235" s="5" t="s">
        <v>238</v>
      </c>
      <c r="AX235" s="5" t="s">
        <v>249</v>
      </c>
      <c r="AY235" s="5" t="s">
        <v>238</v>
      </c>
      <c r="BA235" s="5" t="s">
        <v>238</v>
      </c>
      <c r="BC235" s="5" t="s">
        <v>250</v>
      </c>
      <c r="BD235" s="6" t="s">
        <v>243</v>
      </c>
      <c r="BE235" s="5" t="s">
        <v>251</v>
      </c>
      <c r="BF235" s="5" t="s">
        <v>252</v>
      </c>
      <c r="BG235" s="5" t="s">
        <v>238</v>
      </c>
      <c r="BH235" s="7">
        <f>0</f>
        <v>0</v>
      </c>
      <c r="BI235" s="8">
        <f>0</f>
        <v>0</v>
      </c>
      <c r="BJ235" s="5" t="s">
        <v>253</v>
      </c>
      <c r="BK235" s="5" t="s">
        <v>254</v>
      </c>
      <c r="BY235" s="5" t="s">
        <v>238</v>
      </c>
      <c r="BZ235" s="5" t="s">
        <v>238</v>
      </c>
      <c r="CD235" s="5" t="s">
        <v>255</v>
      </c>
      <c r="CE235" s="5" t="s">
        <v>256</v>
      </c>
      <c r="CF235" s="5" t="s">
        <v>238</v>
      </c>
      <c r="CI235" s="6" t="s">
        <v>257</v>
      </c>
      <c r="CJ235" s="5" t="s">
        <v>238</v>
      </c>
      <c r="CK235" s="5" t="s">
        <v>258</v>
      </c>
      <c r="CL235" s="5" t="s">
        <v>238</v>
      </c>
      <c r="CM235" s="5" t="s">
        <v>238</v>
      </c>
      <c r="CN235" s="5">
        <v>0</v>
      </c>
      <c r="CO235" s="5" t="s">
        <v>259</v>
      </c>
      <c r="CP235" s="5" t="s">
        <v>260</v>
      </c>
      <c r="CQ235" s="5" t="s">
        <v>260</v>
      </c>
      <c r="CR235" s="5" t="s">
        <v>261</v>
      </c>
      <c r="CU235" s="8">
        <f>843915</f>
        <v>843915</v>
      </c>
      <c r="CV235" s="8">
        <f>0</f>
        <v>0</v>
      </c>
      <c r="CX235" s="8">
        <f>0</f>
        <v>0</v>
      </c>
      <c r="CY235" s="8">
        <f>843915</f>
        <v>843915</v>
      </c>
      <c r="DA235" s="5" t="s">
        <v>2032</v>
      </c>
      <c r="DB235" s="5" t="s">
        <v>238</v>
      </c>
      <c r="DD235" s="5" t="s">
        <v>2032</v>
      </c>
      <c r="DE235" s="8">
        <f>381</f>
        <v>381</v>
      </c>
      <c r="DF235" s="6" t="s">
        <v>6119</v>
      </c>
      <c r="DG235" s="5" t="s">
        <v>389</v>
      </c>
      <c r="DH235" s="5" t="s">
        <v>238</v>
      </c>
      <c r="DI235" s="5" t="s">
        <v>238</v>
      </c>
      <c r="DJ235" s="5" t="s">
        <v>238</v>
      </c>
      <c r="DN235" s="5" t="s">
        <v>238</v>
      </c>
      <c r="DO235" s="5" t="s">
        <v>238</v>
      </c>
      <c r="DP235" s="5" t="s">
        <v>238</v>
      </c>
      <c r="DQ235" s="5" t="s">
        <v>238</v>
      </c>
      <c r="DT235" s="5" t="s">
        <v>6131</v>
      </c>
      <c r="DU235" s="5" t="s">
        <v>1360</v>
      </c>
      <c r="HM235" s="5" t="s">
        <v>264</v>
      </c>
    </row>
    <row r="236" spans="1:221" x14ac:dyDescent="0.4">
      <c r="A236" s="5">
        <v>947</v>
      </c>
      <c r="B236" s="5">
        <v>1</v>
      </c>
      <c r="C236" s="5">
        <v>1</v>
      </c>
      <c r="D236" s="5" t="s">
        <v>6129</v>
      </c>
      <c r="E236" s="5" t="s">
        <v>4391</v>
      </c>
      <c r="F236" s="5" t="s">
        <v>248</v>
      </c>
      <c r="G236" s="5" t="s">
        <v>6128</v>
      </c>
      <c r="H236" s="6" t="s">
        <v>6349</v>
      </c>
      <c r="I236" s="7">
        <f>443</f>
        <v>443</v>
      </c>
      <c r="J236" s="5" t="s">
        <v>262</v>
      </c>
      <c r="K236" s="8">
        <f>981245</f>
        <v>981245</v>
      </c>
      <c r="L236" s="6" t="s">
        <v>242</v>
      </c>
      <c r="M236" s="5" t="s">
        <v>267</v>
      </c>
      <c r="N236" s="5" t="s">
        <v>237</v>
      </c>
      <c r="O236" s="5" t="s">
        <v>238</v>
      </c>
      <c r="P236" s="5" t="s">
        <v>238</v>
      </c>
      <c r="Q236" s="5" t="s">
        <v>239</v>
      </c>
      <c r="R236" s="5" t="s">
        <v>270</v>
      </c>
      <c r="S236" s="5" t="s">
        <v>238</v>
      </c>
      <c r="V236" s="5" t="s">
        <v>238</v>
      </c>
      <c r="X236" s="6" t="s">
        <v>238</v>
      </c>
      <c r="AA236" s="6" t="s">
        <v>243</v>
      </c>
      <c r="AB236" s="5" t="s">
        <v>238</v>
      </c>
      <c r="AC236" s="5" t="s">
        <v>244</v>
      </c>
      <c r="AD236" s="5" t="s">
        <v>245</v>
      </c>
      <c r="AT236" s="5" t="s">
        <v>246</v>
      </c>
      <c r="AU236" s="5" t="s">
        <v>238</v>
      </c>
      <c r="AV236" s="5" t="s">
        <v>247</v>
      </c>
      <c r="AW236" s="5" t="s">
        <v>238</v>
      </c>
      <c r="AX236" s="5" t="s">
        <v>249</v>
      </c>
      <c r="AY236" s="5" t="s">
        <v>238</v>
      </c>
      <c r="BA236" s="5" t="s">
        <v>238</v>
      </c>
      <c r="BC236" s="5" t="s">
        <v>250</v>
      </c>
      <c r="BD236" s="6" t="s">
        <v>243</v>
      </c>
      <c r="BE236" s="5" t="s">
        <v>251</v>
      </c>
      <c r="BF236" s="5" t="s">
        <v>252</v>
      </c>
      <c r="BG236" s="5" t="s">
        <v>238</v>
      </c>
      <c r="BH236" s="7">
        <f>0</f>
        <v>0</v>
      </c>
      <c r="BI236" s="8">
        <f>0</f>
        <v>0</v>
      </c>
      <c r="BJ236" s="5" t="s">
        <v>253</v>
      </c>
      <c r="BK236" s="5" t="s">
        <v>254</v>
      </c>
      <c r="BY236" s="5" t="s">
        <v>238</v>
      </c>
      <c r="BZ236" s="5" t="s">
        <v>238</v>
      </c>
      <c r="CD236" s="5" t="s">
        <v>255</v>
      </c>
      <c r="CE236" s="5" t="s">
        <v>256</v>
      </c>
      <c r="CF236" s="5" t="s">
        <v>238</v>
      </c>
      <c r="CI236" s="6" t="s">
        <v>257</v>
      </c>
      <c r="CJ236" s="5" t="s">
        <v>238</v>
      </c>
      <c r="CK236" s="5" t="s">
        <v>258</v>
      </c>
      <c r="CL236" s="5" t="s">
        <v>238</v>
      </c>
      <c r="CM236" s="5" t="s">
        <v>238</v>
      </c>
      <c r="CN236" s="5">
        <v>0</v>
      </c>
      <c r="CO236" s="5" t="s">
        <v>259</v>
      </c>
      <c r="CP236" s="5" t="s">
        <v>260</v>
      </c>
      <c r="CQ236" s="5" t="s">
        <v>260</v>
      </c>
      <c r="CR236" s="5" t="s">
        <v>261</v>
      </c>
      <c r="CU236" s="8">
        <f>981245</f>
        <v>981245</v>
      </c>
      <c r="CV236" s="8">
        <f>0</f>
        <v>0</v>
      </c>
      <c r="CX236" s="8">
        <f>0</f>
        <v>0</v>
      </c>
      <c r="CY236" s="8">
        <f>981245</f>
        <v>981245</v>
      </c>
      <c r="DA236" s="5" t="s">
        <v>2032</v>
      </c>
      <c r="DB236" s="5" t="s">
        <v>238</v>
      </c>
      <c r="DD236" s="5" t="s">
        <v>2032</v>
      </c>
      <c r="DE236" s="8">
        <f>443</f>
        <v>443</v>
      </c>
      <c r="DF236" s="6" t="s">
        <v>6119</v>
      </c>
      <c r="DG236" s="5" t="s">
        <v>389</v>
      </c>
      <c r="DH236" s="5" t="s">
        <v>238</v>
      </c>
      <c r="DI236" s="5" t="s">
        <v>238</v>
      </c>
      <c r="DJ236" s="5" t="s">
        <v>238</v>
      </c>
      <c r="DN236" s="5" t="s">
        <v>238</v>
      </c>
      <c r="DO236" s="5" t="s">
        <v>238</v>
      </c>
      <c r="DP236" s="5" t="s">
        <v>238</v>
      </c>
      <c r="DQ236" s="5" t="s">
        <v>238</v>
      </c>
      <c r="DT236" s="5" t="s">
        <v>6131</v>
      </c>
      <c r="DU236" s="5" t="s">
        <v>1358</v>
      </c>
      <c r="HM236" s="5" t="s">
        <v>264</v>
      </c>
    </row>
    <row r="237" spans="1:221" x14ac:dyDescent="0.4">
      <c r="A237" s="5">
        <v>948</v>
      </c>
      <c r="B237" s="5">
        <v>1</v>
      </c>
      <c r="C237" s="5">
        <v>1</v>
      </c>
      <c r="D237" s="5" t="s">
        <v>6129</v>
      </c>
      <c r="E237" s="5" t="s">
        <v>4391</v>
      </c>
      <c r="F237" s="5" t="s">
        <v>248</v>
      </c>
      <c r="G237" s="5" t="s">
        <v>6128</v>
      </c>
      <c r="H237" s="6" t="s">
        <v>6348</v>
      </c>
      <c r="I237" s="7">
        <f>642</f>
        <v>642</v>
      </c>
      <c r="J237" s="5" t="s">
        <v>262</v>
      </c>
      <c r="K237" s="8">
        <f>1422030</f>
        <v>1422030</v>
      </c>
      <c r="L237" s="6" t="s">
        <v>242</v>
      </c>
      <c r="M237" s="5" t="s">
        <v>267</v>
      </c>
      <c r="N237" s="5" t="s">
        <v>237</v>
      </c>
      <c r="O237" s="5" t="s">
        <v>238</v>
      </c>
      <c r="P237" s="5" t="s">
        <v>238</v>
      </c>
      <c r="Q237" s="5" t="s">
        <v>239</v>
      </c>
      <c r="R237" s="5" t="s">
        <v>270</v>
      </c>
      <c r="S237" s="5" t="s">
        <v>238</v>
      </c>
      <c r="V237" s="5" t="s">
        <v>238</v>
      </c>
      <c r="X237" s="6" t="s">
        <v>238</v>
      </c>
      <c r="AA237" s="6" t="s">
        <v>243</v>
      </c>
      <c r="AB237" s="5" t="s">
        <v>238</v>
      </c>
      <c r="AC237" s="5" t="s">
        <v>244</v>
      </c>
      <c r="AD237" s="5" t="s">
        <v>245</v>
      </c>
      <c r="AT237" s="5" t="s">
        <v>246</v>
      </c>
      <c r="AU237" s="5" t="s">
        <v>238</v>
      </c>
      <c r="AV237" s="5" t="s">
        <v>247</v>
      </c>
      <c r="AW237" s="5" t="s">
        <v>238</v>
      </c>
      <c r="AX237" s="5" t="s">
        <v>249</v>
      </c>
      <c r="AY237" s="5" t="s">
        <v>238</v>
      </c>
      <c r="BA237" s="5" t="s">
        <v>238</v>
      </c>
      <c r="BC237" s="5" t="s">
        <v>250</v>
      </c>
      <c r="BD237" s="6" t="s">
        <v>243</v>
      </c>
      <c r="BE237" s="5" t="s">
        <v>251</v>
      </c>
      <c r="BF237" s="5" t="s">
        <v>252</v>
      </c>
      <c r="BG237" s="5" t="s">
        <v>238</v>
      </c>
      <c r="BH237" s="7">
        <f>0</f>
        <v>0</v>
      </c>
      <c r="BI237" s="8">
        <f>0</f>
        <v>0</v>
      </c>
      <c r="BJ237" s="5" t="s">
        <v>253</v>
      </c>
      <c r="BK237" s="5" t="s">
        <v>254</v>
      </c>
      <c r="BY237" s="5" t="s">
        <v>238</v>
      </c>
      <c r="BZ237" s="5" t="s">
        <v>238</v>
      </c>
      <c r="CD237" s="5" t="s">
        <v>255</v>
      </c>
      <c r="CE237" s="5" t="s">
        <v>256</v>
      </c>
      <c r="CF237" s="5" t="s">
        <v>238</v>
      </c>
      <c r="CI237" s="6" t="s">
        <v>257</v>
      </c>
      <c r="CJ237" s="5" t="s">
        <v>238</v>
      </c>
      <c r="CK237" s="5" t="s">
        <v>258</v>
      </c>
      <c r="CL237" s="5" t="s">
        <v>238</v>
      </c>
      <c r="CM237" s="5" t="s">
        <v>238</v>
      </c>
      <c r="CN237" s="5">
        <v>0</v>
      </c>
      <c r="CO237" s="5" t="s">
        <v>259</v>
      </c>
      <c r="CP237" s="5" t="s">
        <v>260</v>
      </c>
      <c r="CQ237" s="5" t="s">
        <v>260</v>
      </c>
      <c r="CR237" s="5" t="s">
        <v>261</v>
      </c>
      <c r="CU237" s="8">
        <f>1422030</f>
        <v>1422030</v>
      </c>
      <c r="CV237" s="8">
        <f>0</f>
        <v>0</v>
      </c>
      <c r="CX237" s="8">
        <f>0</f>
        <v>0</v>
      </c>
      <c r="CY237" s="8">
        <f>1422030</f>
        <v>1422030</v>
      </c>
      <c r="DA237" s="5" t="s">
        <v>2032</v>
      </c>
      <c r="DB237" s="5" t="s">
        <v>238</v>
      </c>
      <c r="DD237" s="5" t="s">
        <v>2032</v>
      </c>
      <c r="DE237" s="8">
        <f>642</f>
        <v>642</v>
      </c>
      <c r="DF237" s="6" t="s">
        <v>6119</v>
      </c>
      <c r="DG237" s="5" t="s">
        <v>389</v>
      </c>
      <c r="DH237" s="5" t="s">
        <v>238</v>
      </c>
      <c r="DI237" s="5" t="s">
        <v>238</v>
      </c>
      <c r="DJ237" s="5" t="s">
        <v>238</v>
      </c>
      <c r="DN237" s="5" t="s">
        <v>238</v>
      </c>
      <c r="DO237" s="5" t="s">
        <v>238</v>
      </c>
      <c r="DP237" s="5" t="s">
        <v>238</v>
      </c>
      <c r="DQ237" s="5" t="s">
        <v>238</v>
      </c>
      <c r="DT237" s="5" t="s">
        <v>6131</v>
      </c>
      <c r="DU237" s="5" t="s">
        <v>976</v>
      </c>
      <c r="HM237" s="5" t="s">
        <v>264</v>
      </c>
    </row>
    <row r="238" spans="1:221" x14ac:dyDescent="0.4">
      <c r="A238" s="5">
        <v>949</v>
      </c>
      <c r="B238" s="5">
        <v>1</v>
      </c>
      <c r="C238" s="5">
        <v>1</v>
      </c>
      <c r="D238" s="5" t="s">
        <v>6129</v>
      </c>
      <c r="E238" s="5" t="s">
        <v>4391</v>
      </c>
      <c r="F238" s="5" t="s">
        <v>248</v>
      </c>
      <c r="G238" s="5" t="s">
        <v>6128</v>
      </c>
      <c r="H238" s="6" t="s">
        <v>6136</v>
      </c>
      <c r="I238" s="7">
        <f>305</f>
        <v>305</v>
      </c>
      <c r="J238" s="5" t="s">
        <v>262</v>
      </c>
      <c r="K238" s="8">
        <f>675575</f>
        <v>675575</v>
      </c>
      <c r="L238" s="6" t="s">
        <v>242</v>
      </c>
      <c r="M238" s="5" t="s">
        <v>267</v>
      </c>
      <c r="N238" s="5" t="s">
        <v>237</v>
      </c>
      <c r="O238" s="5" t="s">
        <v>238</v>
      </c>
      <c r="P238" s="5" t="s">
        <v>238</v>
      </c>
      <c r="Q238" s="5" t="s">
        <v>239</v>
      </c>
      <c r="R238" s="5" t="s">
        <v>270</v>
      </c>
      <c r="S238" s="5" t="s">
        <v>238</v>
      </c>
      <c r="V238" s="5" t="s">
        <v>238</v>
      </c>
      <c r="X238" s="6" t="s">
        <v>238</v>
      </c>
      <c r="AA238" s="6" t="s">
        <v>243</v>
      </c>
      <c r="AB238" s="5" t="s">
        <v>238</v>
      </c>
      <c r="AC238" s="5" t="s">
        <v>244</v>
      </c>
      <c r="AD238" s="5" t="s">
        <v>245</v>
      </c>
      <c r="AT238" s="5" t="s">
        <v>246</v>
      </c>
      <c r="AU238" s="5" t="s">
        <v>238</v>
      </c>
      <c r="AV238" s="5" t="s">
        <v>247</v>
      </c>
      <c r="AW238" s="5" t="s">
        <v>238</v>
      </c>
      <c r="AX238" s="5" t="s">
        <v>249</v>
      </c>
      <c r="AY238" s="5" t="s">
        <v>238</v>
      </c>
      <c r="BA238" s="5" t="s">
        <v>238</v>
      </c>
      <c r="BC238" s="5" t="s">
        <v>250</v>
      </c>
      <c r="BD238" s="6" t="s">
        <v>243</v>
      </c>
      <c r="BE238" s="5" t="s">
        <v>251</v>
      </c>
      <c r="BF238" s="5" t="s">
        <v>252</v>
      </c>
      <c r="BG238" s="5" t="s">
        <v>238</v>
      </c>
      <c r="BH238" s="7">
        <f>0</f>
        <v>0</v>
      </c>
      <c r="BI238" s="8">
        <f>0</f>
        <v>0</v>
      </c>
      <c r="BJ238" s="5" t="s">
        <v>253</v>
      </c>
      <c r="BK238" s="5" t="s">
        <v>254</v>
      </c>
      <c r="BY238" s="5" t="s">
        <v>238</v>
      </c>
      <c r="BZ238" s="5" t="s">
        <v>238</v>
      </c>
      <c r="CD238" s="5" t="s">
        <v>255</v>
      </c>
      <c r="CE238" s="5" t="s">
        <v>256</v>
      </c>
      <c r="CF238" s="5" t="s">
        <v>238</v>
      </c>
      <c r="CI238" s="6" t="s">
        <v>257</v>
      </c>
      <c r="CJ238" s="5" t="s">
        <v>238</v>
      </c>
      <c r="CK238" s="5" t="s">
        <v>258</v>
      </c>
      <c r="CL238" s="5" t="s">
        <v>238</v>
      </c>
      <c r="CM238" s="5" t="s">
        <v>238</v>
      </c>
      <c r="CN238" s="5">
        <v>0</v>
      </c>
      <c r="CO238" s="5" t="s">
        <v>259</v>
      </c>
      <c r="CP238" s="5" t="s">
        <v>260</v>
      </c>
      <c r="CQ238" s="5" t="s">
        <v>260</v>
      </c>
      <c r="CR238" s="5" t="s">
        <v>261</v>
      </c>
      <c r="CU238" s="8">
        <f>675575</f>
        <v>675575</v>
      </c>
      <c r="CV238" s="8">
        <f>0</f>
        <v>0</v>
      </c>
      <c r="CX238" s="8">
        <f>0</f>
        <v>0</v>
      </c>
      <c r="CY238" s="8">
        <f>675575</f>
        <v>675575</v>
      </c>
      <c r="DA238" s="5" t="s">
        <v>2032</v>
      </c>
      <c r="DB238" s="5" t="s">
        <v>238</v>
      </c>
      <c r="DD238" s="5" t="s">
        <v>2032</v>
      </c>
      <c r="DE238" s="8">
        <f>305</f>
        <v>305</v>
      </c>
      <c r="DF238" s="6" t="s">
        <v>6119</v>
      </c>
      <c r="DG238" s="5" t="s">
        <v>389</v>
      </c>
      <c r="DH238" s="5" t="s">
        <v>238</v>
      </c>
      <c r="DI238" s="5" t="s">
        <v>238</v>
      </c>
      <c r="DJ238" s="5" t="s">
        <v>238</v>
      </c>
      <c r="DN238" s="5" t="s">
        <v>238</v>
      </c>
      <c r="DO238" s="5" t="s">
        <v>238</v>
      </c>
      <c r="DP238" s="5" t="s">
        <v>238</v>
      </c>
      <c r="DQ238" s="5" t="s">
        <v>238</v>
      </c>
      <c r="DT238" s="5" t="s">
        <v>6131</v>
      </c>
      <c r="DU238" s="5" t="s">
        <v>1354</v>
      </c>
      <c r="HM238" s="5" t="s">
        <v>264</v>
      </c>
    </row>
    <row r="239" spans="1:221" x14ac:dyDescent="0.4">
      <c r="A239" s="5">
        <v>950</v>
      </c>
      <c r="B239" s="5">
        <v>1</v>
      </c>
      <c r="C239" s="5">
        <v>1</v>
      </c>
      <c r="D239" s="5" t="s">
        <v>6125</v>
      </c>
      <c r="E239" s="5" t="s">
        <v>4391</v>
      </c>
      <c r="F239" s="5" t="s">
        <v>248</v>
      </c>
      <c r="G239" s="5" t="s">
        <v>6124</v>
      </c>
      <c r="H239" s="6" t="s">
        <v>6126</v>
      </c>
      <c r="I239" s="7">
        <f>13808</f>
        <v>13808</v>
      </c>
      <c r="J239" s="5" t="s">
        <v>262</v>
      </c>
      <c r="K239" s="8">
        <f>30584720</f>
        <v>30584720</v>
      </c>
      <c r="L239" s="6" t="s">
        <v>242</v>
      </c>
      <c r="M239" s="5" t="s">
        <v>267</v>
      </c>
      <c r="N239" s="5" t="s">
        <v>237</v>
      </c>
      <c r="O239" s="5" t="s">
        <v>238</v>
      </c>
      <c r="P239" s="5" t="s">
        <v>238</v>
      </c>
      <c r="Q239" s="5" t="s">
        <v>239</v>
      </c>
      <c r="R239" s="5" t="s">
        <v>270</v>
      </c>
      <c r="S239" s="5" t="s">
        <v>238</v>
      </c>
      <c r="V239" s="5" t="s">
        <v>238</v>
      </c>
      <c r="X239" s="6" t="s">
        <v>238</v>
      </c>
      <c r="AA239" s="6" t="s">
        <v>243</v>
      </c>
      <c r="AB239" s="5" t="s">
        <v>238</v>
      </c>
      <c r="AC239" s="5" t="s">
        <v>244</v>
      </c>
      <c r="AD239" s="5" t="s">
        <v>245</v>
      </c>
      <c r="AT239" s="5" t="s">
        <v>246</v>
      </c>
      <c r="AU239" s="5" t="s">
        <v>238</v>
      </c>
      <c r="AV239" s="5" t="s">
        <v>247</v>
      </c>
      <c r="AW239" s="5" t="s">
        <v>238</v>
      </c>
      <c r="AX239" s="5" t="s">
        <v>249</v>
      </c>
      <c r="AY239" s="5" t="s">
        <v>238</v>
      </c>
      <c r="BA239" s="5" t="s">
        <v>4547</v>
      </c>
      <c r="BC239" s="5" t="s">
        <v>250</v>
      </c>
      <c r="BD239" s="6" t="s">
        <v>243</v>
      </c>
      <c r="BE239" s="5" t="s">
        <v>251</v>
      </c>
      <c r="BF239" s="5" t="s">
        <v>252</v>
      </c>
      <c r="BG239" s="5" t="s">
        <v>238</v>
      </c>
      <c r="BH239" s="7">
        <f>0</f>
        <v>0</v>
      </c>
      <c r="BI239" s="8">
        <f>0</f>
        <v>0</v>
      </c>
      <c r="BJ239" s="5" t="s">
        <v>253</v>
      </c>
      <c r="BK239" s="5" t="s">
        <v>254</v>
      </c>
      <c r="BY239" s="5" t="s">
        <v>238</v>
      </c>
      <c r="BZ239" s="5" t="s">
        <v>238</v>
      </c>
      <c r="CD239" s="5" t="s">
        <v>255</v>
      </c>
      <c r="CE239" s="5" t="s">
        <v>256</v>
      </c>
      <c r="CF239" s="5" t="s">
        <v>238</v>
      </c>
      <c r="CI239" s="6" t="s">
        <v>257</v>
      </c>
      <c r="CJ239" s="5" t="s">
        <v>238</v>
      </c>
      <c r="CK239" s="5" t="s">
        <v>258</v>
      </c>
      <c r="CL239" s="5" t="s">
        <v>238</v>
      </c>
      <c r="CM239" s="5" t="s">
        <v>238</v>
      </c>
      <c r="CN239" s="5">
        <v>0</v>
      </c>
      <c r="CO239" s="5" t="s">
        <v>259</v>
      </c>
      <c r="CP239" s="5" t="s">
        <v>260</v>
      </c>
      <c r="CQ239" s="5" t="s">
        <v>260</v>
      </c>
      <c r="CR239" s="5" t="s">
        <v>261</v>
      </c>
      <c r="CU239" s="8">
        <f>30584720</f>
        <v>30584720</v>
      </c>
      <c r="CV239" s="8">
        <f>0</f>
        <v>0</v>
      </c>
      <c r="CX239" s="8">
        <f>0</f>
        <v>0</v>
      </c>
      <c r="CY239" s="8">
        <f>30584720</f>
        <v>30584720</v>
      </c>
      <c r="DA239" s="5" t="s">
        <v>2032</v>
      </c>
      <c r="DB239" s="5" t="s">
        <v>238</v>
      </c>
      <c r="DD239" s="5" t="s">
        <v>2032</v>
      </c>
      <c r="DE239" s="8">
        <f>13808</f>
        <v>13808</v>
      </c>
      <c r="DF239" s="6" t="s">
        <v>6119</v>
      </c>
      <c r="DG239" s="5" t="s">
        <v>389</v>
      </c>
      <c r="DH239" s="5" t="s">
        <v>238</v>
      </c>
      <c r="DI239" s="5" t="s">
        <v>238</v>
      </c>
      <c r="DJ239" s="5" t="s">
        <v>238</v>
      </c>
      <c r="DN239" s="5" t="s">
        <v>238</v>
      </c>
      <c r="DO239" s="5" t="s">
        <v>238</v>
      </c>
      <c r="DP239" s="5" t="s">
        <v>238</v>
      </c>
      <c r="DQ239" s="5" t="s">
        <v>238</v>
      </c>
      <c r="DT239" s="5" t="s">
        <v>6127</v>
      </c>
      <c r="DU239" s="5" t="s">
        <v>264</v>
      </c>
      <c r="HM239" s="5" t="s">
        <v>264</v>
      </c>
    </row>
    <row r="240" spans="1:221" x14ac:dyDescent="0.4">
      <c r="A240" s="5">
        <v>951</v>
      </c>
      <c r="B240" s="5">
        <v>1</v>
      </c>
      <c r="C240" s="5">
        <v>1</v>
      </c>
      <c r="D240" s="5" t="s">
        <v>6121</v>
      </c>
      <c r="E240" s="5" t="s">
        <v>4391</v>
      </c>
      <c r="F240" s="5" t="s">
        <v>248</v>
      </c>
      <c r="G240" s="5" t="s">
        <v>6120</v>
      </c>
      <c r="H240" s="6" t="s">
        <v>3889</v>
      </c>
      <c r="I240" s="7">
        <f>20402</f>
        <v>20402</v>
      </c>
      <c r="J240" s="5" t="s">
        <v>262</v>
      </c>
      <c r="K240" s="8">
        <f>571256</f>
        <v>571256</v>
      </c>
      <c r="L240" s="6" t="s">
        <v>242</v>
      </c>
      <c r="M240" s="5" t="s">
        <v>267</v>
      </c>
      <c r="N240" s="5" t="s">
        <v>237</v>
      </c>
      <c r="O240" s="5" t="s">
        <v>238</v>
      </c>
      <c r="P240" s="5" t="s">
        <v>238</v>
      </c>
      <c r="Q240" s="5" t="s">
        <v>239</v>
      </c>
      <c r="R240" s="5" t="s">
        <v>270</v>
      </c>
      <c r="S240" s="5" t="s">
        <v>238</v>
      </c>
      <c r="V240" s="5" t="s">
        <v>238</v>
      </c>
      <c r="X240" s="6" t="s">
        <v>238</v>
      </c>
      <c r="AA240" s="6" t="s">
        <v>243</v>
      </c>
      <c r="AB240" s="5" t="s">
        <v>238</v>
      </c>
      <c r="AC240" s="5" t="s">
        <v>244</v>
      </c>
      <c r="AD240" s="5" t="s">
        <v>245</v>
      </c>
      <c r="AT240" s="5" t="s">
        <v>246</v>
      </c>
      <c r="AU240" s="5" t="s">
        <v>238</v>
      </c>
      <c r="AV240" s="5" t="s">
        <v>247</v>
      </c>
      <c r="AW240" s="5" t="s">
        <v>238</v>
      </c>
      <c r="AX240" s="5" t="s">
        <v>249</v>
      </c>
      <c r="AY240" s="5" t="s">
        <v>238</v>
      </c>
      <c r="BA240" s="5" t="s">
        <v>4547</v>
      </c>
      <c r="BC240" s="5" t="s">
        <v>250</v>
      </c>
      <c r="BD240" s="6" t="s">
        <v>243</v>
      </c>
      <c r="BE240" s="5" t="s">
        <v>251</v>
      </c>
      <c r="BF240" s="5" t="s">
        <v>252</v>
      </c>
      <c r="BG240" s="5" t="s">
        <v>238</v>
      </c>
      <c r="BH240" s="7">
        <f>0</f>
        <v>0</v>
      </c>
      <c r="BI240" s="8">
        <f>0</f>
        <v>0</v>
      </c>
      <c r="BJ240" s="5" t="s">
        <v>253</v>
      </c>
      <c r="BK240" s="5" t="s">
        <v>254</v>
      </c>
      <c r="BY240" s="5" t="s">
        <v>238</v>
      </c>
      <c r="BZ240" s="5" t="s">
        <v>238</v>
      </c>
      <c r="CD240" s="5" t="s">
        <v>255</v>
      </c>
      <c r="CE240" s="5" t="s">
        <v>256</v>
      </c>
      <c r="CF240" s="5" t="s">
        <v>238</v>
      </c>
      <c r="CI240" s="6" t="s">
        <v>257</v>
      </c>
      <c r="CJ240" s="5" t="s">
        <v>238</v>
      </c>
      <c r="CK240" s="5" t="s">
        <v>258</v>
      </c>
      <c r="CL240" s="5" t="s">
        <v>238</v>
      </c>
      <c r="CM240" s="5" t="s">
        <v>238</v>
      </c>
      <c r="CN240" s="5">
        <v>0</v>
      </c>
      <c r="CO240" s="5" t="s">
        <v>259</v>
      </c>
      <c r="CP240" s="5" t="s">
        <v>260</v>
      </c>
      <c r="CQ240" s="5" t="s">
        <v>260</v>
      </c>
      <c r="CR240" s="5" t="s">
        <v>261</v>
      </c>
      <c r="CU240" s="8">
        <f>571256</f>
        <v>571256</v>
      </c>
      <c r="CV240" s="8">
        <f>0</f>
        <v>0</v>
      </c>
      <c r="CX240" s="8">
        <f>0</f>
        <v>0</v>
      </c>
      <c r="CY240" s="8">
        <f>571256</f>
        <v>571256</v>
      </c>
      <c r="DA240" s="5" t="s">
        <v>421</v>
      </c>
      <c r="DB240" s="5" t="s">
        <v>238</v>
      </c>
      <c r="DD240" s="5" t="s">
        <v>421</v>
      </c>
      <c r="DE240" s="8">
        <f>164926</f>
        <v>164926</v>
      </c>
      <c r="DF240" s="6" t="s">
        <v>6119</v>
      </c>
      <c r="DG240" s="5" t="s">
        <v>421</v>
      </c>
      <c r="DH240" s="5" t="s">
        <v>238</v>
      </c>
      <c r="DI240" s="5" t="s">
        <v>238</v>
      </c>
      <c r="DJ240" s="5" t="s">
        <v>238</v>
      </c>
      <c r="DN240" s="5" t="s">
        <v>238</v>
      </c>
      <c r="DO240" s="5" t="s">
        <v>238</v>
      </c>
      <c r="DP240" s="5" t="s">
        <v>238</v>
      </c>
      <c r="DQ240" s="5" t="s">
        <v>238</v>
      </c>
      <c r="DT240" s="5" t="s">
        <v>6122</v>
      </c>
      <c r="DU240" s="5" t="s">
        <v>264</v>
      </c>
      <c r="HM240" s="5" t="s">
        <v>264</v>
      </c>
    </row>
    <row r="241" spans="1:221" x14ac:dyDescent="0.4">
      <c r="A241" s="5">
        <v>952</v>
      </c>
      <c r="B241" s="5">
        <v>1</v>
      </c>
      <c r="C241" s="5">
        <v>1</v>
      </c>
      <c r="D241" s="5" t="s">
        <v>6121</v>
      </c>
      <c r="E241" s="5" t="s">
        <v>4391</v>
      </c>
      <c r="F241" s="5" t="s">
        <v>248</v>
      </c>
      <c r="G241" s="5" t="s">
        <v>6123</v>
      </c>
      <c r="H241" s="6" t="s">
        <v>3884</v>
      </c>
      <c r="I241" s="7">
        <f>14519</f>
        <v>14519</v>
      </c>
      <c r="J241" s="5" t="s">
        <v>262</v>
      </c>
      <c r="K241" s="8">
        <f>406532</f>
        <v>406532</v>
      </c>
      <c r="L241" s="6" t="s">
        <v>242</v>
      </c>
      <c r="M241" s="5" t="s">
        <v>267</v>
      </c>
      <c r="N241" s="5" t="s">
        <v>237</v>
      </c>
      <c r="O241" s="5" t="s">
        <v>238</v>
      </c>
      <c r="P241" s="5" t="s">
        <v>238</v>
      </c>
      <c r="Q241" s="5" t="s">
        <v>239</v>
      </c>
      <c r="R241" s="5" t="s">
        <v>270</v>
      </c>
      <c r="S241" s="5" t="s">
        <v>238</v>
      </c>
      <c r="V241" s="5" t="s">
        <v>238</v>
      </c>
      <c r="X241" s="6" t="s">
        <v>238</v>
      </c>
      <c r="AA241" s="6" t="s">
        <v>243</v>
      </c>
      <c r="AB241" s="5" t="s">
        <v>238</v>
      </c>
      <c r="AC241" s="5" t="s">
        <v>244</v>
      </c>
      <c r="AD241" s="5" t="s">
        <v>245</v>
      </c>
      <c r="AT241" s="5" t="s">
        <v>246</v>
      </c>
      <c r="AU241" s="5" t="s">
        <v>238</v>
      </c>
      <c r="AV241" s="5" t="s">
        <v>247</v>
      </c>
      <c r="AW241" s="5" t="s">
        <v>238</v>
      </c>
      <c r="AX241" s="5" t="s">
        <v>249</v>
      </c>
      <c r="AY241" s="5" t="s">
        <v>238</v>
      </c>
      <c r="BA241" s="5" t="s">
        <v>238</v>
      </c>
      <c r="BC241" s="5" t="s">
        <v>250</v>
      </c>
      <c r="BD241" s="6" t="s">
        <v>243</v>
      </c>
      <c r="BE241" s="5" t="s">
        <v>251</v>
      </c>
      <c r="BF241" s="5" t="s">
        <v>252</v>
      </c>
      <c r="BG241" s="5" t="s">
        <v>238</v>
      </c>
      <c r="BH241" s="7">
        <f>0</f>
        <v>0</v>
      </c>
      <c r="BI241" s="8">
        <f>0</f>
        <v>0</v>
      </c>
      <c r="BJ241" s="5" t="s">
        <v>253</v>
      </c>
      <c r="BK241" s="5" t="s">
        <v>254</v>
      </c>
      <c r="BY241" s="5" t="s">
        <v>238</v>
      </c>
      <c r="BZ241" s="5" t="s">
        <v>238</v>
      </c>
      <c r="CD241" s="5" t="s">
        <v>255</v>
      </c>
      <c r="CE241" s="5" t="s">
        <v>256</v>
      </c>
      <c r="CF241" s="5" t="s">
        <v>238</v>
      </c>
      <c r="CI241" s="6" t="s">
        <v>257</v>
      </c>
      <c r="CJ241" s="5" t="s">
        <v>238</v>
      </c>
      <c r="CK241" s="5" t="s">
        <v>258</v>
      </c>
      <c r="CL241" s="5" t="s">
        <v>238</v>
      </c>
      <c r="CM241" s="5" t="s">
        <v>238</v>
      </c>
      <c r="CN241" s="5">
        <v>0</v>
      </c>
      <c r="CO241" s="5" t="s">
        <v>259</v>
      </c>
      <c r="CP241" s="5" t="s">
        <v>260</v>
      </c>
      <c r="CQ241" s="5" t="s">
        <v>260</v>
      </c>
      <c r="CR241" s="5" t="s">
        <v>261</v>
      </c>
      <c r="CU241" s="8">
        <f>406532</f>
        <v>406532</v>
      </c>
      <c r="CV241" s="8">
        <f>0</f>
        <v>0</v>
      </c>
      <c r="CX241" s="8">
        <f>0</f>
        <v>0</v>
      </c>
      <c r="CY241" s="8">
        <f>406532</f>
        <v>406532</v>
      </c>
      <c r="DA241" s="5" t="s">
        <v>421</v>
      </c>
      <c r="DB241" s="5" t="s">
        <v>238</v>
      </c>
      <c r="DD241" s="5" t="s">
        <v>421</v>
      </c>
      <c r="DE241" s="8">
        <f>14519</f>
        <v>14519</v>
      </c>
      <c r="DF241" s="6" t="s">
        <v>6119</v>
      </c>
      <c r="DG241" s="5" t="s">
        <v>421</v>
      </c>
      <c r="DH241" s="5" t="s">
        <v>238</v>
      </c>
      <c r="DI241" s="5" t="s">
        <v>238</v>
      </c>
      <c r="DJ241" s="5" t="s">
        <v>238</v>
      </c>
      <c r="DN241" s="5" t="s">
        <v>238</v>
      </c>
      <c r="DO241" s="5" t="s">
        <v>238</v>
      </c>
      <c r="DP241" s="5" t="s">
        <v>238</v>
      </c>
      <c r="DQ241" s="5" t="s">
        <v>238</v>
      </c>
      <c r="DT241" s="5" t="s">
        <v>6122</v>
      </c>
      <c r="DU241" s="5" t="s">
        <v>294</v>
      </c>
      <c r="HM241" s="5" t="s">
        <v>264</v>
      </c>
    </row>
    <row r="242" spans="1:221" x14ac:dyDescent="0.4">
      <c r="A242" s="5">
        <v>953</v>
      </c>
      <c r="B242" s="5">
        <v>1</v>
      </c>
      <c r="C242" s="5">
        <v>1</v>
      </c>
      <c r="D242" s="5" t="s">
        <v>6106</v>
      </c>
      <c r="E242" s="5" t="s">
        <v>4391</v>
      </c>
      <c r="F242" s="5" t="s">
        <v>248</v>
      </c>
      <c r="G242" s="5" t="s">
        <v>6105</v>
      </c>
      <c r="H242" s="6" t="s">
        <v>4488</v>
      </c>
      <c r="I242" s="7">
        <f>289445</f>
        <v>289445</v>
      </c>
      <c r="J242" s="5" t="s">
        <v>262</v>
      </c>
      <c r="K242" s="8">
        <f>3183895</f>
        <v>3183895</v>
      </c>
      <c r="L242" s="6" t="s">
        <v>242</v>
      </c>
      <c r="M242" s="5" t="s">
        <v>267</v>
      </c>
      <c r="N242" s="5" t="s">
        <v>237</v>
      </c>
      <c r="O242" s="5" t="s">
        <v>238</v>
      </c>
      <c r="P242" s="5" t="s">
        <v>238</v>
      </c>
      <c r="Q242" s="5" t="s">
        <v>239</v>
      </c>
      <c r="R242" s="5" t="s">
        <v>270</v>
      </c>
      <c r="S242" s="5" t="s">
        <v>238</v>
      </c>
      <c r="V242" s="5" t="s">
        <v>238</v>
      </c>
      <c r="X242" s="6" t="s">
        <v>238</v>
      </c>
      <c r="AA242" s="6" t="s">
        <v>243</v>
      </c>
      <c r="AB242" s="5" t="s">
        <v>6117</v>
      </c>
      <c r="AC242" s="5" t="s">
        <v>244</v>
      </c>
      <c r="AD242" s="5" t="s">
        <v>245</v>
      </c>
      <c r="AT242" s="5" t="s">
        <v>246</v>
      </c>
      <c r="AU242" s="5" t="s">
        <v>238</v>
      </c>
      <c r="AV242" s="5" t="s">
        <v>247</v>
      </c>
      <c r="AW242" s="5" t="s">
        <v>238</v>
      </c>
      <c r="AX242" s="5" t="s">
        <v>249</v>
      </c>
      <c r="AY242" s="5" t="s">
        <v>238</v>
      </c>
      <c r="BA242" s="5" t="s">
        <v>4547</v>
      </c>
      <c r="BC242" s="5" t="s">
        <v>250</v>
      </c>
      <c r="BD242" s="6" t="s">
        <v>243</v>
      </c>
      <c r="BE242" s="5" t="s">
        <v>251</v>
      </c>
      <c r="BF242" s="5" t="s">
        <v>252</v>
      </c>
      <c r="BG242" s="5" t="s">
        <v>238</v>
      </c>
      <c r="BH242" s="7">
        <f>0</f>
        <v>0</v>
      </c>
      <c r="BI242" s="8">
        <f>0</f>
        <v>0</v>
      </c>
      <c r="BJ242" s="5" t="s">
        <v>253</v>
      </c>
      <c r="BK242" s="5" t="s">
        <v>254</v>
      </c>
      <c r="BY242" s="5" t="s">
        <v>238</v>
      </c>
      <c r="BZ242" s="5" t="s">
        <v>238</v>
      </c>
      <c r="CD242" s="5" t="s">
        <v>255</v>
      </c>
      <c r="CE242" s="5" t="s">
        <v>256</v>
      </c>
      <c r="CF242" s="5" t="s">
        <v>238</v>
      </c>
      <c r="CI242" s="6" t="s">
        <v>257</v>
      </c>
      <c r="CJ242" s="5" t="s">
        <v>238</v>
      </c>
      <c r="CK242" s="5" t="s">
        <v>258</v>
      </c>
      <c r="CL242" s="5" t="s">
        <v>238</v>
      </c>
      <c r="CM242" s="5" t="s">
        <v>238</v>
      </c>
      <c r="CN242" s="5">
        <v>0</v>
      </c>
      <c r="CO242" s="5" t="s">
        <v>259</v>
      </c>
      <c r="CP242" s="5" t="s">
        <v>260</v>
      </c>
      <c r="CQ242" s="5" t="s">
        <v>260</v>
      </c>
      <c r="CR242" s="5" t="s">
        <v>261</v>
      </c>
      <c r="CU242" s="8">
        <f>3183895</f>
        <v>3183895</v>
      </c>
      <c r="CV242" s="8">
        <f>0</f>
        <v>0</v>
      </c>
      <c r="CX242" s="8">
        <f>0</f>
        <v>0</v>
      </c>
      <c r="CY242" s="8">
        <f>3183895</f>
        <v>3183895</v>
      </c>
      <c r="DA242" s="5" t="s">
        <v>356</v>
      </c>
      <c r="DB242" s="5" t="s">
        <v>238</v>
      </c>
      <c r="DD242" s="5" t="s">
        <v>356</v>
      </c>
      <c r="DE242" s="8">
        <f>0</f>
        <v>0</v>
      </c>
      <c r="DF242" s="6" t="s">
        <v>6119</v>
      </c>
      <c r="DG242" s="5" t="s">
        <v>534</v>
      </c>
      <c r="DH242" s="5" t="s">
        <v>238</v>
      </c>
      <c r="DI242" s="5" t="s">
        <v>238</v>
      </c>
      <c r="DJ242" s="5" t="s">
        <v>238</v>
      </c>
      <c r="DN242" s="5" t="s">
        <v>238</v>
      </c>
      <c r="DO242" s="5" t="s">
        <v>238</v>
      </c>
      <c r="DP242" s="5" t="s">
        <v>238</v>
      </c>
      <c r="DQ242" s="5" t="s">
        <v>238</v>
      </c>
      <c r="DT242" s="5" t="s">
        <v>6109</v>
      </c>
      <c r="DU242" s="5" t="s">
        <v>264</v>
      </c>
      <c r="HM242" s="5" t="s">
        <v>264</v>
      </c>
    </row>
    <row r="243" spans="1:221" x14ac:dyDescent="0.4">
      <c r="A243" s="5">
        <v>954</v>
      </c>
      <c r="B243" s="5">
        <v>1</v>
      </c>
      <c r="C243" s="5">
        <v>1</v>
      </c>
      <c r="D243" s="5" t="s">
        <v>6106</v>
      </c>
      <c r="E243" s="5" t="s">
        <v>4391</v>
      </c>
      <c r="F243" s="5" t="s">
        <v>248</v>
      </c>
      <c r="G243" s="5" t="s">
        <v>6105</v>
      </c>
      <c r="H243" s="6" t="s">
        <v>6352</v>
      </c>
      <c r="I243" s="7">
        <f>118</f>
        <v>118</v>
      </c>
      <c r="J243" s="5" t="s">
        <v>262</v>
      </c>
      <c r="K243" s="8">
        <f>1298</f>
        <v>1298</v>
      </c>
      <c r="L243" s="6" t="s">
        <v>242</v>
      </c>
      <c r="M243" s="5" t="s">
        <v>267</v>
      </c>
      <c r="N243" s="5" t="s">
        <v>237</v>
      </c>
      <c r="O243" s="5" t="s">
        <v>238</v>
      </c>
      <c r="P243" s="5" t="s">
        <v>238</v>
      </c>
      <c r="Q243" s="5" t="s">
        <v>239</v>
      </c>
      <c r="R243" s="5" t="s">
        <v>270</v>
      </c>
      <c r="S243" s="5" t="s">
        <v>238</v>
      </c>
      <c r="V243" s="5" t="s">
        <v>238</v>
      </c>
      <c r="X243" s="6" t="s">
        <v>238</v>
      </c>
      <c r="AA243" s="6" t="s">
        <v>243</v>
      </c>
      <c r="AB243" s="5" t="s">
        <v>6351</v>
      </c>
      <c r="AC243" s="5" t="s">
        <v>244</v>
      </c>
      <c r="AD243" s="5" t="s">
        <v>245</v>
      </c>
      <c r="AT243" s="5" t="s">
        <v>246</v>
      </c>
      <c r="AU243" s="5" t="s">
        <v>238</v>
      </c>
      <c r="AV243" s="5" t="s">
        <v>247</v>
      </c>
      <c r="AW243" s="5" t="s">
        <v>238</v>
      </c>
      <c r="AX243" s="5" t="s">
        <v>249</v>
      </c>
      <c r="AY243" s="5" t="s">
        <v>238</v>
      </c>
      <c r="BA243" s="5" t="s">
        <v>238</v>
      </c>
      <c r="BC243" s="5" t="s">
        <v>250</v>
      </c>
      <c r="BD243" s="6" t="s">
        <v>243</v>
      </c>
      <c r="BE243" s="5" t="s">
        <v>251</v>
      </c>
      <c r="BF243" s="5" t="s">
        <v>252</v>
      </c>
      <c r="BG243" s="5" t="s">
        <v>238</v>
      </c>
      <c r="BH243" s="7">
        <f>0</f>
        <v>0</v>
      </c>
      <c r="BI243" s="8">
        <f>0</f>
        <v>0</v>
      </c>
      <c r="BJ243" s="5" t="s">
        <v>253</v>
      </c>
      <c r="BK243" s="5" t="s">
        <v>254</v>
      </c>
      <c r="BY243" s="5" t="s">
        <v>238</v>
      </c>
      <c r="BZ243" s="5" t="s">
        <v>238</v>
      </c>
      <c r="CD243" s="5" t="s">
        <v>255</v>
      </c>
      <c r="CE243" s="5" t="s">
        <v>256</v>
      </c>
      <c r="CF243" s="5" t="s">
        <v>238</v>
      </c>
      <c r="CI243" s="6" t="s">
        <v>257</v>
      </c>
      <c r="CJ243" s="5" t="s">
        <v>238</v>
      </c>
      <c r="CK243" s="5" t="s">
        <v>258</v>
      </c>
      <c r="CL243" s="5" t="s">
        <v>238</v>
      </c>
      <c r="CM243" s="5" t="s">
        <v>238</v>
      </c>
      <c r="CN243" s="5">
        <v>0</v>
      </c>
      <c r="CO243" s="5" t="s">
        <v>259</v>
      </c>
      <c r="CP243" s="5" t="s">
        <v>260</v>
      </c>
      <c r="CQ243" s="5" t="s">
        <v>260</v>
      </c>
      <c r="CR243" s="5" t="s">
        <v>261</v>
      </c>
      <c r="CU243" s="8">
        <f>1298</f>
        <v>1298</v>
      </c>
      <c r="CV243" s="8">
        <f>0</f>
        <v>0</v>
      </c>
      <c r="CX243" s="8">
        <f>0</f>
        <v>0</v>
      </c>
      <c r="CY243" s="8">
        <f>1298</f>
        <v>1298</v>
      </c>
      <c r="DA243" s="5" t="s">
        <v>356</v>
      </c>
      <c r="DB243" s="5" t="s">
        <v>238</v>
      </c>
      <c r="DD243" s="5" t="s">
        <v>356</v>
      </c>
      <c r="DE243" s="8">
        <f>0</f>
        <v>0</v>
      </c>
      <c r="DF243" s="6" t="s">
        <v>6353</v>
      </c>
      <c r="DG243" s="5" t="s">
        <v>534</v>
      </c>
      <c r="DH243" s="5" t="s">
        <v>238</v>
      </c>
      <c r="DI243" s="5" t="s">
        <v>238</v>
      </c>
      <c r="DJ243" s="5" t="s">
        <v>238</v>
      </c>
      <c r="DN243" s="5" t="s">
        <v>238</v>
      </c>
      <c r="DO243" s="5" t="s">
        <v>238</v>
      </c>
      <c r="DP243" s="5" t="s">
        <v>238</v>
      </c>
      <c r="DQ243" s="5" t="s">
        <v>238</v>
      </c>
      <c r="DT243" s="5" t="s">
        <v>6109</v>
      </c>
      <c r="DU243" s="5" t="s">
        <v>294</v>
      </c>
      <c r="HM243" s="5" t="s">
        <v>264</v>
      </c>
    </row>
    <row r="244" spans="1:221" x14ac:dyDescent="0.4">
      <c r="A244" s="5">
        <v>955</v>
      </c>
      <c r="B244" s="5">
        <v>1</v>
      </c>
      <c r="C244" s="5">
        <v>1</v>
      </c>
      <c r="D244" s="5" t="s">
        <v>6106</v>
      </c>
      <c r="E244" s="5" t="s">
        <v>4391</v>
      </c>
      <c r="F244" s="5" t="s">
        <v>248</v>
      </c>
      <c r="G244" s="5" t="s">
        <v>6105</v>
      </c>
      <c r="H244" s="6" t="s">
        <v>6118</v>
      </c>
      <c r="I244" s="7">
        <f>1089</f>
        <v>1089</v>
      </c>
      <c r="J244" s="5" t="s">
        <v>262</v>
      </c>
      <c r="K244" s="8">
        <f>11979</f>
        <v>11979</v>
      </c>
      <c r="L244" s="6" t="s">
        <v>242</v>
      </c>
      <c r="M244" s="5" t="s">
        <v>267</v>
      </c>
      <c r="N244" s="5" t="s">
        <v>237</v>
      </c>
      <c r="O244" s="5" t="s">
        <v>238</v>
      </c>
      <c r="P244" s="5" t="s">
        <v>238</v>
      </c>
      <c r="Q244" s="5" t="s">
        <v>239</v>
      </c>
      <c r="R244" s="5" t="s">
        <v>270</v>
      </c>
      <c r="S244" s="5" t="s">
        <v>238</v>
      </c>
      <c r="V244" s="5" t="s">
        <v>238</v>
      </c>
      <c r="X244" s="6" t="s">
        <v>238</v>
      </c>
      <c r="AA244" s="6" t="s">
        <v>243</v>
      </c>
      <c r="AB244" s="5" t="s">
        <v>6117</v>
      </c>
      <c r="AC244" s="5" t="s">
        <v>244</v>
      </c>
      <c r="AD244" s="5" t="s">
        <v>245</v>
      </c>
      <c r="AT244" s="5" t="s">
        <v>246</v>
      </c>
      <c r="AU244" s="5" t="s">
        <v>238</v>
      </c>
      <c r="AV244" s="5" t="s">
        <v>247</v>
      </c>
      <c r="AW244" s="5" t="s">
        <v>238</v>
      </c>
      <c r="AX244" s="5" t="s">
        <v>249</v>
      </c>
      <c r="AY244" s="5" t="s">
        <v>238</v>
      </c>
      <c r="BA244" s="5" t="s">
        <v>238</v>
      </c>
      <c r="BC244" s="5" t="s">
        <v>250</v>
      </c>
      <c r="BD244" s="6" t="s">
        <v>243</v>
      </c>
      <c r="BE244" s="5" t="s">
        <v>251</v>
      </c>
      <c r="BF244" s="5" t="s">
        <v>252</v>
      </c>
      <c r="BG244" s="5" t="s">
        <v>238</v>
      </c>
      <c r="BH244" s="7">
        <f>0</f>
        <v>0</v>
      </c>
      <c r="BI244" s="8">
        <f>0</f>
        <v>0</v>
      </c>
      <c r="BJ244" s="5" t="s">
        <v>253</v>
      </c>
      <c r="BK244" s="5" t="s">
        <v>254</v>
      </c>
      <c r="BY244" s="5" t="s">
        <v>238</v>
      </c>
      <c r="BZ244" s="5" t="s">
        <v>238</v>
      </c>
      <c r="CD244" s="5" t="s">
        <v>255</v>
      </c>
      <c r="CE244" s="5" t="s">
        <v>256</v>
      </c>
      <c r="CF244" s="5" t="s">
        <v>238</v>
      </c>
      <c r="CI244" s="6" t="s">
        <v>257</v>
      </c>
      <c r="CJ244" s="5" t="s">
        <v>238</v>
      </c>
      <c r="CK244" s="5" t="s">
        <v>258</v>
      </c>
      <c r="CL244" s="5" t="s">
        <v>238</v>
      </c>
      <c r="CM244" s="5" t="s">
        <v>238</v>
      </c>
      <c r="CN244" s="5">
        <v>0</v>
      </c>
      <c r="CO244" s="5" t="s">
        <v>259</v>
      </c>
      <c r="CP244" s="5" t="s">
        <v>260</v>
      </c>
      <c r="CQ244" s="5" t="s">
        <v>260</v>
      </c>
      <c r="CR244" s="5" t="s">
        <v>261</v>
      </c>
      <c r="CU244" s="8">
        <f>11979</f>
        <v>11979</v>
      </c>
      <c r="CV244" s="8">
        <f>0</f>
        <v>0</v>
      </c>
      <c r="CX244" s="8">
        <f>0</f>
        <v>0</v>
      </c>
      <c r="CY244" s="8">
        <f>11979</f>
        <v>11979</v>
      </c>
      <c r="DA244" s="5" t="s">
        <v>356</v>
      </c>
      <c r="DB244" s="5" t="s">
        <v>238</v>
      </c>
      <c r="DD244" s="5" t="s">
        <v>356</v>
      </c>
      <c r="DE244" s="8">
        <f>0</f>
        <v>0</v>
      </c>
      <c r="DG244" s="5" t="s">
        <v>534</v>
      </c>
      <c r="DH244" s="5" t="s">
        <v>238</v>
      </c>
      <c r="DI244" s="5" t="s">
        <v>238</v>
      </c>
      <c r="DJ244" s="5" t="s">
        <v>238</v>
      </c>
      <c r="DN244" s="5" t="s">
        <v>238</v>
      </c>
      <c r="DO244" s="5" t="s">
        <v>238</v>
      </c>
      <c r="DP244" s="5" t="s">
        <v>238</v>
      </c>
      <c r="DQ244" s="5" t="s">
        <v>238</v>
      </c>
      <c r="DT244" s="5" t="s">
        <v>6109</v>
      </c>
      <c r="DU244" s="5" t="s">
        <v>806</v>
      </c>
      <c r="HM244" s="5" t="s">
        <v>264</v>
      </c>
    </row>
    <row r="245" spans="1:221" x14ac:dyDescent="0.4">
      <c r="A245" s="5">
        <v>956</v>
      </c>
      <c r="B245" s="5">
        <v>1</v>
      </c>
      <c r="C245" s="5">
        <v>1</v>
      </c>
      <c r="D245" s="5" t="s">
        <v>6106</v>
      </c>
      <c r="E245" s="5" t="s">
        <v>4391</v>
      </c>
      <c r="F245" s="5" t="s">
        <v>248</v>
      </c>
      <c r="G245" s="5" t="s">
        <v>6105</v>
      </c>
      <c r="H245" s="6" t="s">
        <v>6350</v>
      </c>
      <c r="I245" s="7">
        <f>171</f>
        <v>171</v>
      </c>
      <c r="J245" s="5" t="s">
        <v>262</v>
      </c>
      <c r="K245" s="8">
        <f>378765</f>
        <v>378765</v>
      </c>
      <c r="L245" s="6" t="s">
        <v>242</v>
      </c>
      <c r="M245" s="5" t="s">
        <v>267</v>
      </c>
      <c r="N245" s="5" t="s">
        <v>237</v>
      </c>
      <c r="O245" s="5" t="s">
        <v>238</v>
      </c>
      <c r="P245" s="5" t="s">
        <v>238</v>
      </c>
      <c r="Q245" s="5" t="s">
        <v>239</v>
      </c>
      <c r="R245" s="5" t="s">
        <v>270</v>
      </c>
      <c r="S245" s="5" t="s">
        <v>238</v>
      </c>
      <c r="V245" s="5" t="s">
        <v>238</v>
      </c>
      <c r="X245" s="6" t="s">
        <v>238</v>
      </c>
      <c r="AA245" s="6" t="s">
        <v>243</v>
      </c>
      <c r="AB245" s="5" t="s">
        <v>6113</v>
      </c>
      <c r="AC245" s="5" t="s">
        <v>244</v>
      </c>
      <c r="AD245" s="5" t="s">
        <v>245</v>
      </c>
      <c r="AT245" s="5" t="s">
        <v>246</v>
      </c>
      <c r="AU245" s="5" t="s">
        <v>238</v>
      </c>
      <c r="AV245" s="5" t="s">
        <v>247</v>
      </c>
      <c r="AW245" s="5" t="s">
        <v>238</v>
      </c>
      <c r="AX245" s="5" t="s">
        <v>249</v>
      </c>
      <c r="AY245" s="5" t="s">
        <v>238</v>
      </c>
      <c r="BA245" s="5" t="s">
        <v>238</v>
      </c>
      <c r="BC245" s="5" t="s">
        <v>250</v>
      </c>
      <c r="BD245" s="6" t="s">
        <v>243</v>
      </c>
      <c r="BE245" s="5" t="s">
        <v>251</v>
      </c>
      <c r="BF245" s="5" t="s">
        <v>252</v>
      </c>
      <c r="BG245" s="5" t="s">
        <v>238</v>
      </c>
      <c r="BH245" s="7">
        <f>0</f>
        <v>0</v>
      </c>
      <c r="BI245" s="8">
        <f>0</f>
        <v>0</v>
      </c>
      <c r="BJ245" s="5" t="s">
        <v>253</v>
      </c>
      <c r="BK245" s="5" t="s">
        <v>254</v>
      </c>
      <c r="BY245" s="5" t="s">
        <v>238</v>
      </c>
      <c r="BZ245" s="5" t="s">
        <v>238</v>
      </c>
      <c r="CD245" s="5" t="s">
        <v>255</v>
      </c>
      <c r="CE245" s="5" t="s">
        <v>256</v>
      </c>
      <c r="CF245" s="5" t="s">
        <v>238</v>
      </c>
      <c r="CI245" s="6" t="s">
        <v>257</v>
      </c>
      <c r="CJ245" s="5" t="s">
        <v>238</v>
      </c>
      <c r="CK245" s="5" t="s">
        <v>258</v>
      </c>
      <c r="CL245" s="5" t="s">
        <v>238</v>
      </c>
      <c r="CM245" s="5" t="s">
        <v>238</v>
      </c>
      <c r="CN245" s="5">
        <v>0</v>
      </c>
      <c r="CO245" s="5" t="s">
        <v>259</v>
      </c>
      <c r="CP245" s="5" t="s">
        <v>260</v>
      </c>
      <c r="CQ245" s="5" t="s">
        <v>260</v>
      </c>
      <c r="CR245" s="5" t="s">
        <v>261</v>
      </c>
      <c r="CU245" s="8">
        <f>378765</f>
        <v>378765</v>
      </c>
      <c r="CV245" s="8">
        <f>0</f>
        <v>0</v>
      </c>
      <c r="CX245" s="8">
        <f>0</f>
        <v>0</v>
      </c>
      <c r="CY245" s="8">
        <f>378765</f>
        <v>378765</v>
      </c>
      <c r="DA245" s="5" t="s">
        <v>2032</v>
      </c>
      <c r="DB245" s="5" t="s">
        <v>238</v>
      </c>
      <c r="DD245" s="5" t="s">
        <v>356</v>
      </c>
      <c r="DE245" s="8">
        <f>0</f>
        <v>0</v>
      </c>
      <c r="DG245" s="5" t="s">
        <v>389</v>
      </c>
      <c r="DH245" s="5" t="s">
        <v>238</v>
      </c>
      <c r="DI245" s="5" t="s">
        <v>238</v>
      </c>
      <c r="DJ245" s="5" t="s">
        <v>238</v>
      </c>
      <c r="DN245" s="5" t="s">
        <v>238</v>
      </c>
      <c r="DO245" s="5" t="s">
        <v>238</v>
      </c>
      <c r="DP245" s="5" t="s">
        <v>238</v>
      </c>
      <c r="DQ245" s="5" t="s">
        <v>238</v>
      </c>
      <c r="DT245" s="5" t="s">
        <v>6109</v>
      </c>
      <c r="DU245" s="5" t="s">
        <v>854</v>
      </c>
      <c r="HM245" s="5" t="s">
        <v>264</v>
      </c>
    </row>
    <row r="246" spans="1:221" x14ac:dyDescent="0.4">
      <c r="A246" s="5">
        <v>957</v>
      </c>
      <c r="B246" s="5">
        <v>1</v>
      </c>
      <c r="C246" s="5">
        <v>1</v>
      </c>
      <c r="D246" s="5" t="s">
        <v>6106</v>
      </c>
      <c r="E246" s="5" t="s">
        <v>4391</v>
      </c>
      <c r="F246" s="5" t="s">
        <v>248</v>
      </c>
      <c r="G246" s="5" t="s">
        <v>6105</v>
      </c>
      <c r="H246" s="6" t="s">
        <v>6114</v>
      </c>
      <c r="I246" s="7">
        <f>5716</f>
        <v>5716</v>
      </c>
      <c r="J246" s="5" t="s">
        <v>262</v>
      </c>
      <c r="K246" s="8">
        <f>12660940</f>
        <v>12660940</v>
      </c>
      <c r="L246" s="6" t="s">
        <v>242</v>
      </c>
      <c r="M246" s="5" t="s">
        <v>267</v>
      </c>
      <c r="N246" s="5" t="s">
        <v>237</v>
      </c>
      <c r="O246" s="5" t="s">
        <v>238</v>
      </c>
      <c r="P246" s="5" t="s">
        <v>238</v>
      </c>
      <c r="Q246" s="5" t="s">
        <v>239</v>
      </c>
      <c r="R246" s="5" t="s">
        <v>270</v>
      </c>
      <c r="S246" s="5" t="s">
        <v>238</v>
      </c>
      <c r="V246" s="5" t="s">
        <v>238</v>
      </c>
      <c r="X246" s="6" t="s">
        <v>238</v>
      </c>
      <c r="AA246" s="6" t="s">
        <v>243</v>
      </c>
      <c r="AB246" s="5" t="s">
        <v>6113</v>
      </c>
      <c r="AC246" s="5" t="s">
        <v>244</v>
      </c>
      <c r="AD246" s="5" t="s">
        <v>245</v>
      </c>
      <c r="AT246" s="5" t="s">
        <v>246</v>
      </c>
      <c r="AU246" s="5" t="s">
        <v>238</v>
      </c>
      <c r="AV246" s="5" t="s">
        <v>247</v>
      </c>
      <c r="AW246" s="5" t="s">
        <v>238</v>
      </c>
      <c r="AX246" s="5" t="s">
        <v>249</v>
      </c>
      <c r="AY246" s="5" t="s">
        <v>238</v>
      </c>
      <c r="BA246" s="5" t="s">
        <v>238</v>
      </c>
      <c r="BC246" s="5" t="s">
        <v>250</v>
      </c>
      <c r="BD246" s="6" t="s">
        <v>243</v>
      </c>
      <c r="BE246" s="5" t="s">
        <v>251</v>
      </c>
      <c r="BF246" s="5" t="s">
        <v>252</v>
      </c>
      <c r="BG246" s="5" t="s">
        <v>238</v>
      </c>
      <c r="BH246" s="7">
        <f>0</f>
        <v>0</v>
      </c>
      <c r="BI246" s="8">
        <f>0</f>
        <v>0</v>
      </c>
      <c r="BJ246" s="5" t="s">
        <v>253</v>
      </c>
      <c r="BK246" s="5" t="s">
        <v>254</v>
      </c>
      <c r="BY246" s="5" t="s">
        <v>238</v>
      </c>
      <c r="BZ246" s="5" t="s">
        <v>238</v>
      </c>
      <c r="CD246" s="5" t="s">
        <v>255</v>
      </c>
      <c r="CE246" s="5" t="s">
        <v>256</v>
      </c>
      <c r="CF246" s="5" t="s">
        <v>238</v>
      </c>
      <c r="CI246" s="6" t="s">
        <v>257</v>
      </c>
      <c r="CJ246" s="5" t="s">
        <v>238</v>
      </c>
      <c r="CK246" s="5" t="s">
        <v>258</v>
      </c>
      <c r="CL246" s="5" t="s">
        <v>238</v>
      </c>
      <c r="CM246" s="5" t="s">
        <v>238</v>
      </c>
      <c r="CN246" s="5">
        <v>0</v>
      </c>
      <c r="CO246" s="5" t="s">
        <v>259</v>
      </c>
      <c r="CP246" s="5" t="s">
        <v>260</v>
      </c>
      <c r="CQ246" s="5" t="s">
        <v>260</v>
      </c>
      <c r="CR246" s="5" t="s">
        <v>261</v>
      </c>
      <c r="CU246" s="8">
        <f>12660940</f>
        <v>12660940</v>
      </c>
      <c r="CV246" s="8">
        <f>0</f>
        <v>0</v>
      </c>
      <c r="CX246" s="8">
        <f>0</f>
        <v>0</v>
      </c>
      <c r="CY246" s="8">
        <f>12660940</f>
        <v>12660940</v>
      </c>
      <c r="DA246" s="5" t="s">
        <v>2032</v>
      </c>
      <c r="DB246" s="5" t="s">
        <v>238</v>
      </c>
      <c r="DD246" s="5" t="s">
        <v>356</v>
      </c>
      <c r="DE246" s="8">
        <f>0</f>
        <v>0</v>
      </c>
      <c r="DG246" s="5" t="s">
        <v>389</v>
      </c>
      <c r="DH246" s="5" t="s">
        <v>238</v>
      </c>
      <c r="DI246" s="5" t="s">
        <v>238</v>
      </c>
      <c r="DJ246" s="5" t="s">
        <v>238</v>
      </c>
      <c r="DN246" s="5" t="s">
        <v>238</v>
      </c>
      <c r="DO246" s="5" t="s">
        <v>238</v>
      </c>
      <c r="DP246" s="5" t="s">
        <v>238</v>
      </c>
      <c r="DQ246" s="5" t="s">
        <v>238</v>
      </c>
      <c r="DT246" s="5" t="s">
        <v>6109</v>
      </c>
      <c r="DU246" s="5" t="s">
        <v>911</v>
      </c>
      <c r="HM246" s="5" t="s">
        <v>264</v>
      </c>
    </row>
    <row r="247" spans="1:221" x14ac:dyDescent="0.4">
      <c r="A247" s="5">
        <v>958</v>
      </c>
      <c r="B247" s="5">
        <v>1</v>
      </c>
      <c r="C247" s="5">
        <v>1</v>
      </c>
      <c r="D247" s="5" t="s">
        <v>6106</v>
      </c>
      <c r="E247" s="5" t="s">
        <v>4391</v>
      </c>
      <c r="F247" s="5" t="s">
        <v>248</v>
      </c>
      <c r="G247" s="5" t="s">
        <v>6105</v>
      </c>
      <c r="H247" s="6" t="s">
        <v>6116</v>
      </c>
      <c r="I247" s="7">
        <f>27015</f>
        <v>27015</v>
      </c>
      <c r="J247" s="5" t="s">
        <v>262</v>
      </c>
      <c r="K247" s="8">
        <f>59838225</f>
        <v>59838225</v>
      </c>
      <c r="L247" s="6" t="s">
        <v>242</v>
      </c>
      <c r="M247" s="5" t="s">
        <v>267</v>
      </c>
      <c r="N247" s="5" t="s">
        <v>237</v>
      </c>
      <c r="O247" s="5" t="s">
        <v>238</v>
      </c>
      <c r="P247" s="5" t="s">
        <v>238</v>
      </c>
      <c r="Q247" s="5" t="s">
        <v>239</v>
      </c>
      <c r="R247" s="5" t="s">
        <v>270</v>
      </c>
      <c r="S247" s="5" t="s">
        <v>238</v>
      </c>
      <c r="V247" s="5" t="s">
        <v>238</v>
      </c>
      <c r="X247" s="6" t="s">
        <v>238</v>
      </c>
      <c r="AA247" s="6" t="s">
        <v>243</v>
      </c>
      <c r="AB247" s="5" t="s">
        <v>6115</v>
      </c>
      <c r="AC247" s="5" t="s">
        <v>244</v>
      </c>
      <c r="AD247" s="5" t="s">
        <v>245</v>
      </c>
      <c r="AT247" s="5" t="s">
        <v>246</v>
      </c>
      <c r="AU247" s="5" t="s">
        <v>238</v>
      </c>
      <c r="AV247" s="5" t="s">
        <v>247</v>
      </c>
      <c r="AW247" s="5" t="s">
        <v>238</v>
      </c>
      <c r="AX247" s="5" t="s">
        <v>249</v>
      </c>
      <c r="AY247" s="5" t="s">
        <v>238</v>
      </c>
      <c r="BA247" s="5" t="s">
        <v>238</v>
      </c>
      <c r="BC247" s="5" t="s">
        <v>250</v>
      </c>
      <c r="BD247" s="6" t="s">
        <v>243</v>
      </c>
      <c r="BE247" s="5" t="s">
        <v>251</v>
      </c>
      <c r="BF247" s="5" t="s">
        <v>252</v>
      </c>
      <c r="BG247" s="5" t="s">
        <v>238</v>
      </c>
      <c r="BH247" s="7">
        <f>0</f>
        <v>0</v>
      </c>
      <c r="BI247" s="8">
        <f>0</f>
        <v>0</v>
      </c>
      <c r="BJ247" s="5" t="s">
        <v>253</v>
      </c>
      <c r="BK247" s="5" t="s">
        <v>254</v>
      </c>
      <c r="BY247" s="5" t="s">
        <v>238</v>
      </c>
      <c r="BZ247" s="5" t="s">
        <v>238</v>
      </c>
      <c r="CD247" s="5" t="s">
        <v>255</v>
      </c>
      <c r="CE247" s="5" t="s">
        <v>256</v>
      </c>
      <c r="CF247" s="5" t="s">
        <v>238</v>
      </c>
      <c r="CI247" s="6" t="s">
        <v>257</v>
      </c>
      <c r="CJ247" s="5" t="s">
        <v>238</v>
      </c>
      <c r="CK247" s="5" t="s">
        <v>258</v>
      </c>
      <c r="CL247" s="5" t="s">
        <v>238</v>
      </c>
      <c r="CM247" s="5" t="s">
        <v>238</v>
      </c>
      <c r="CN247" s="5">
        <v>0</v>
      </c>
      <c r="CO247" s="5" t="s">
        <v>259</v>
      </c>
      <c r="CP247" s="5" t="s">
        <v>260</v>
      </c>
      <c r="CQ247" s="5" t="s">
        <v>260</v>
      </c>
      <c r="CR247" s="5" t="s">
        <v>261</v>
      </c>
      <c r="CU247" s="8">
        <f>59838225</f>
        <v>59838225</v>
      </c>
      <c r="CV247" s="8">
        <f>0</f>
        <v>0</v>
      </c>
      <c r="CX247" s="8">
        <f>0</f>
        <v>0</v>
      </c>
      <c r="CY247" s="8">
        <f>59838225</f>
        <v>59838225</v>
      </c>
      <c r="DA247" s="5" t="s">
        <v>2032</v>
      </c>
      <c r="DB247" s="5" t="s">
        <v>238</v>
      </c>
      <c r="DD247" s="5" t="s">
        <v>2032</v>
      </c>
      <c r="DE247" s="8">
        <f>0</f>
        <v>0</v>
      </c>
      <c r="DG247" s="5" t="s">
        <v>389</v>
      </c>
      <c r="DH247" s="5" t="s">
        <v>238</v>
      </c>
      <c r="DI247" s="5" t="s">
        <v>238</v>
      </c>
      <c r="DJ247" s="5" t="s">
        <v>238</v>
      </c>
      <c r="DN247" s="5" t="s">
        <v>238</v>
      </c>
      <c r="DO247" s="5" t="s">
        <v>238</v>
      </c>
      <c r="DP247" s="5" t="s">
        <v>238</v>
      </c>
      <c r="DQ247" s="5" t="s">
        <v>238</v>
      </c>
      <c r="DT247" s="5" t="s">
        <v>6109</v>
      </c>
      <c r="DU247" s="5" t="s">
        <v>967</v>
      </c>
      <c r="HM247" s="5" t="s">
        <v>264</v>
      </c>
    </row>
    <row r="248" spans="1:221" x14ac:dyDescent="0.4">
      <c r="A248" s="5">
        <v>959</v>
      </c>
      <c r="B248" s="5">
        <v>1</v>
      </c>
      <c r="C248" s="5">
        <v>1</v>
      </c>
      <c r="D248" s="5" t="s">
        <v>6106</v>
      </c>
      <c r="E248" s="5" t="s">
        <v>4391</v>
      </c>
      <c r="F248" s="5" t="s">
        <v>248</v>
      </c>
      <c r="G248" s="5" t="s">
        <v>6105</v>
      </c>
      <c r="H248" s="6" t="s">
        <v>6354</v>
      </c>
      <c r="I248" s="7">
        <f>3378.36</f>
        <v>3378.36</v>
      </c>
      <c r="J248" s="5" t="s">
        <v>262</v>
      </c>
      <c r="K248" s="8">
        <f>8783736</f>
        <v>8783736</v>
      </c>
      <c r="L248" s="6" t="s">
        <v>242</v>
      </c>
      <c r="M248" s="5" t="s">
        <v>267</v>
      </c>
      <c r="N248" s="5" t="s">
        <v>237</v>
      </c>
      <c r="O248" s="5" t="s">
        <v>238</v>
      </c>
      <c r="P248" s="5" t="s">
        <v>238</v>
      </c>
      <c r="Q248" s="5" t="s">
        <v>239</v>
      </c>
      <c r="R248" s="5" t="s">
        <v>270</v>
      </c>
      <c r="S248" s="5" t="s">
        <v>238</v>
      </c>
      <c r="V248" s="5" t="s">
        <v>238</v>
      </c>
      <c r="X248" s="6" t="s">
        <v>238</v>
      </c>
      <c r="AA248" s="6" t="s">
        <v>243</v>
      </c>
      <c r="AB248" s="5" t="s">
        <v>6115</v>
      </c>
      <c r="AC248" s="5" t="s">
        <v>244</v>
      </c>
      <c r="AD248" s="5" t="s">
        <v>245</v>
      </c>
      <c r="AT248" s="5" t="s">
        <v>246</v>
      </c>
      <c r="AU248" s="5" t="s">
        <v>238</v>
      </c>
      <c r="AV248" s="5" t="s">
        <v>247</v>
      </c>
      <c r="AW248" s="5" t="s">
        <v>238</v>
      </c>
      <c r="AX248" s="5" t="s">
        <v>249</v>
      </c>
      <c r="AY248" s="5" t="s">
        <v>238</v>
      </c>
      <c r="BA248" s="5" t="s">
        <v>238</v>
      </c>
      <c r="BC248" s="5" t="s">
        <v>250</v>
      </c>
      <c r="BD248" s="6" t="s">
        <v>243</v>
      </c>
      <c r="BE248" s="5" t="s">
        <v>251</v>
      </c>
      <c r="BF248" s="5" t="s">
        <v>252</v>
      </c>
      <c r="BG248" s="5" t="s">
        <v>238</v>
      </c>
      <c r="BH248" s="7">
        <f>0</f>
        <v>0</v>
      </c>
      <c r="BI248" s="8">
        <f>0</f>
        <v>0</v>
      </c>
      <c r="BJ248" s="5" t="s">
        <v>253</v>
      </c>
      <c r="BK248" s="5" t="s">
        <v>254</v>
      </c>
      <c r="BY248" s="5" t="s">
        <v>238</v>
      </c>
      <c r="BZ248" s="5" t="s">
        <v>238</v>
      </c>
      <c r="CD248" s="5" t="s">
        <v>255</v>
      </c>
      <c r="CE248" s="5" t="s">
        <v>256</v>
      </c>
      <c r="CF248" s="5" t="s">
        <v>238</v>
      </c>
      <c r="CI248" s="6" t="s">
        <v>257</v>
      </c>
      <c r="CJ248" s="5" t="s">
        <v>238</v>
      </c>
      <c r="CK248" s="5" t="s">
        <v>258</v>
      </c>
      <c r="CL248" s="5" t="s">
        <v>238</v>
      </c>
      <c r="CM248" s="5" t="s">
        <v>238</v>
      </c>
      <c r="CN248" s="5">
        <v>0</v>
      </c>
      <c r="CO248" s="5" t="s">
        <v>259</v>
      </c>
      <c r="CP248" s="5" t="s">
        <v>260</v>
      </c>
      <c r="CQ248" s="5" t="s">
        <v>260</v>
      </c>
      <c r="CR248" s="5" t="s">
        <v>261</v>
      </c>
      <c r="CU248" s="8">
        <f>8783736</f>
        <v>8783736</v>
      </c>
      <c r="CV248" s="8">
        <f>0</f>
        <v>0</v>
      </c>
      <c r="CX248" s="8">
        <f>0</f>
        <v>0</v>
      </c>
      <c r="CY248" s="8">
        <f>8783736</f>
        <v>8783736</v>
      </c>
      <c r="DA248" s="5" t="s">
        <v>263</v>
      </c>
      <c r="DB248" s="5" t="s">
        <v>238</v>
      </c>
      <c r="DD248" s="5" t="s">
        <v>356</v>
      </c>
      <c r="DE248" s="8">
        <f>0</f>
        <v>0</v>
      </c>
      <c r="DG248" s="5" t="s">
        <v>263</v>
      </c>
      <c r="DH248" s="5" t="s">
        <v>238</v>
      </c>
      <c r="DI248" s="5" t="s">
        <v>238</v>
      </c>
      <c r="DJ248" s="5" t="s">
        <v>238</v>
      </c>
      <c r="DN248" s="5" t="s">
        <v>238</v>
      </c>
      <c r="DO248" s="5" t="s">
        <v>238</v>
      </c>
      <c r="DP248" s="5" t="s">
        <v>238</v>
      </c>
      <c r="DQ248" s="5" t="s">
        <v>238</v>
      </c>
      <c r="DT248" s="5" t="s">
        <v>6109</v>
      </c>
      <c r="DU248" s="5" t="s">
        <v>1376</v>
      </c>
      <c r="HM248" s="5" t="s">
        <v>264</v>
      </c>
    </row>
    <row r="249" spans="1:221" x14ac:dyDescent="0.4">
      <c r="A249" s="5">
        <v>960</v>
      </c>
      <c r="B249" s="5">
        <v>1</v>
      </c>
      <c r="C249" s="5">
        <v>1</v>
      </c>
      <c r="D249" s="5" t="s">
        <v>6106</v>
      </c>
      <c r="E249" s="5" t="s">
        <v>4391</v>
      </c>
      <c r="F249" s="5" t="s">
        <v>248</v>
      </c>
      <c r="G249" s="5" t="s">
        <v>6105</v>
      </c>
      <c r="H249" s="6" t="s">
        <v>6355</v>
      </c>
      <c r="I249" s="7">
        <f>3165</f>
        <v>3165</v>
      </c>
      <c r="J249" s="5" t="s">
        <v>262</v>
      </c>
      <c r="K249" s="8">
        <f>7010475</f>
        <v>7010475</v>
      </c>
      <c r="L249" s="6" t="s">
        <v>242</v>
      </c>
      <c r="M249" s="5" t="s">
        <v>267</v>
      </c>
      <c r="N249" s="5" t="s">
        <v>237</v>
      </c>
      <c r="O249" s="5" t="s">
        <v>238</v>
      </c>
      <c r="P249" s="5" t="s">
        <v>238</v>
      </c>
      <c r="Q249" s="5" t="s">
        <v>239</v>
      </c>
      <c r="R249" s="5" t="s">
        <v>270</v>
      </c>
      <c r="S249" s="5" t="s">
        <v>238</v>
      </c>
      <c r="V249" s="5" t="s">
        <v>238</v>
      </c>
      <c r="X249" s="6" t="s">
        <v>238</v>
      </c>
      <c r="AA249" s="6" t="s">
        <v>243</v>
      </c>
      <c r="AB249" s="5" t="s">
        <v>6115</v>
      </c>
      <c r="AC249" s="5" t="s">
        <v>244</v>
      </c>
      <c r="AD249" s="5" t="s">
        <v>245</v>
      </c>
      <c r="AT249" s="5" t="s">
        <v>246</v>
      </c>
      <c r="AU249" s="5" t="s">
        <v>238</v>
      </c>
      <c r="AV249" s="5" t="s">
        <v>247</v>
      </c>
      <c r="AW249" s="5" t="s">
        <v>238</v>
      </c>
      <c r="AX249" s="5" t="s">
        <v>249</v>
      </c>
      <c r="AY249" s="5" t="s">
        <v>238</v>
      </c>
      <c r="BA249" s="5" t="s">
        <v>238</v>
      </c>
      <c r="BC249" s="5" t="s">
        <v>250</v>
      </c>
      <c r="BD249" s="6" t="s">
        <v>243</v>
      </c>
      <c r="BE249" s="5" t="s">
        <v>251</v>
      </c>
      <c r="BF249" s="5" t="s">
        <v>252</v>
      </c>
      <c r="BG249" s="5" t="s">
        <v>238</v>
      </c>
      <c r="BH249" s="7">
        <f>0</f>
        <v>0</v>
      </c>
      <c r="BI249" s="8">
        <f>0</f>
        <v>0</v>
      </c>
      <c r="BJ249" s="5" t="s">
        <v>253</v>
      </c>
      <c r="BK249" s="5" t="s">
        <v>254</v>
      </c>
      <c r="BY249" s="5" t="s">
        <v>238</v>
      </c>
      <c r="BZ249" s="5" t="s">
        <v>238</v>
      </c>
      <c r="CD249" s="5" t="s">
        <v>255</v>
      </c>
      <c r="CE249" s="5" t="s">
        <v>256</v>
      </c>
      <c r="CF249" s="5" t="s">
        <v>238</v>
      </c>
      <c r="CI249" s="6" t="s">
        <v>257</v>
      </c>
      <c r="CJ249" s="5" t="s">
        <v>238</v>
      </c>
      <c r="CK249" s="5" t="s">
        <v>258</v>
      </c>
      <c r="CL249" s="5" t="s">
        <v>238</v>
      </c>
      <c r="CM249" s="5" t="s">
        <v>238</v>
      </c>
      <c r="CN249" s="5">
        <v>0</v>
      </c>
      <c r="CO249" s="5" t="s">
        <v>259</v>
      </c>
      <c r="CP249" s="5" t="s">
        <v>260</v>
      </c>
      <c r="CQ249" s="5" t="s">
        <v>260</v>
      </c>
      <c r="CR249" s="5" t="s">
        <v>261</v>
      </c>
      <c r="CU249" s="8">
        <f>7010475</f>
        <v>7010475</v>
      </c>
      <c r="CV249" s="8">
        <f>0</f>
        <v>0</v>
      </c>
      <c r="CX249" s="8">
        <f>0</f>
        <v>0</v>
      </c>
      <c r="CY249" s="8">
        <f>7010475</f>
        <v>7010475</v>
      </c>
      <c r="DA249" s="5" t="s">
        <v>2032</v>
      </c>
      <c r="DB249" s="5" t="s">
        <v>238</v>
      </c>
      <c r="DD249" s="5" t="s">
        <v>356</v>
      </c>
      <c r="DE249" s="8">
        <f>0</f>
        <v>0</v>
      </c>
      <c r="DG249" s="5" t="s">
        <v>389</v>
      </c>
      <c r="DH249" s="5" t="s">
        <v>238</v>
      </c>
      <c r="DI249" s="5" t="s">
        <v>238</v>
      </c>
      <c r="DJ249" s="5" t="s">
        <v>238</v>
      </c>
      <c r="DN249" s="5" t="s">
        <v>238</v>
      </c>
      <c r="DO249" s="5" t="s">
        <v>238</v>
      </c>
      <c r="DP249" s="5" t="s">
        <v>238</v>
      </c>
      <c r="DQ249" s="5" t="s">
        <v>238</v>
      </c>
      <c r="DT249" s="5" t="s">
        <v>6109</v>
      </c>
      <c r="DU249" s="5" t="s">
        <v>1372</v>
      </c>
      <c r="HM249" s="5" t="s">
        <v>264</v>
      </c>
    </row>
    <row r="250" spans="1:221" x14ac:dyDescent="0.4">
      <c r="A250" s="5">
        <v>961</v>
      </c>
      <c r="B250" s="5">
        <v>1</v>
      </c>
      <c r="C250" s="5">
        <v>1</v>
      </c>
      <c r="D250" s="5" t="s">
        <v>6106</v>
      </c>
      <c r="E250" s="5" t="s">
        <v>4391</v>
      </c>
      <c r="F250" s="5" t="s">
        <v>248</v>
      </c>
      <c r="G250" s="5" t="s">
        <v>6105</v>
      </c>
      <c r="H250" s="6" t="s">
        <v>6108</v>
      </c>
      <c r="I250" s="7">
        <f>329373</f>
        <v>329373</v>
      </c>
      <c r="J250" s="5" t="s">
        <v>262</v>
      </c>
      <c r="K250" s="8">
        <f>9222444</f>
        <v>9222444</v>
      </c>
      <c r="L250" s="6" t="s">
        <v>242</v>
      </c>
      <c r="M250" s="5" t="s">
        <v>267</v>
      </c>
      <c r="N250" s="5" t="s">
        <v>237</v>
      </c>
      <c r="O250" s="5" t="s">
        <v>238</v>
      </c>
      <c r="P250" s="5" t="s">
        <v>238</v>
      </c>
      <c r="Q250" s="5" t="s">
        <v>239</v>
      </c>
      <c r="R250" s="5" t="s">
        <v>270</v>
      </c>
      <c r="S250" s="5" t="s">
        <v>238</v>
      </c>
      <c r="V250" s="5" t="s">
        <v>238</v>
      </c>
      <c r="X250" s="6" t="s">
        <v>238</v>
      </c>
      <c r="AA250" s="6" t="s">
        <v>243</v>
      </c>
      <c r="AB250" s="5" t="s">
        <v>6107</v>
      </c>
      <c r="AC250" s="5" t="s">
        <v>244</v>
      </c>
      <c r="AD250" s="5" t="s">
        <v>245</v>
      </c>
      <c r="AT250" s="5" t="s">
        <v>246</v>
      </c>
      <c r="AU250" s="5" t="s">
        <v>238</v>
      </c>
      <c r="AV250" s="5" t="s">
        <v>247</v>
      </c>
      <c r="AW250" s="5" t="s">
        <v>238</v>
      </c>
      <c r="AX250" s="5" t="s">
        <v>249</v>
      </c>
      <c r="AY250" s="5" t="s">
        <v>238</v>
      </c>
      <c r="BA250" s="5" t="s">
        <v>238</v>
      </c>
      <c r="BC250" s="5" t="s">
        <v>250</v>
      </c>
      <c r="BD250" s="6" t="s">
        <v>243</v>
      </c>
      <c r="BE250" s="5" t="s">
        <v>251</v>
      </c>
      <c r="BF250" s="5" t="s">
        <v>252</v>
      </c>
      <c r="BG250" s="5" t="s">
        <v>238</v>
      </c>
      <c r="BH250" s="7">
        <f>0</f>
        <v>0</v>
      </c>
      <c r="BI250" s="8">
        <f>0</f>
        <v>0</v>
      </c>
      <c r="BJ250" s="5" t="s">
        <v>253</v>
      </c>
      <c r="BK250" s="5" t="s">
        <v>254</v>
      </c>
      <c r="BY250" s="5" t="s">
        <v>238</v>
      </c>
      <c r="BZ250" s="5" t="s">
        <v>238</v>
      </c>
      <c r="CD250" s="5" t="s">
        <v>255</v>
      </c>
      <c r="CE250" s="5" t="s">
        <v>256</v>
      </c>
      <c r="CF250" s="5" t="s">
        <v>238</v>
      </c>
      <c r="CI250" s="6" t="s">
        <v>257</v>
      </c>
      <c r="CJ250" s="5" t="s">
        <v>238</v>
      </c>
      <c r="CK250" s="5" t="s">
        <v>258</v>
      </c>
      <c r="CL250" s="5" t="s">
        <v>238</v>
      </c>
      <c r="CM250" s="5" t="s">
        <v>238</v>
      </c>
      <c r="CN250" s="5">
        <v>0</v>
      </c>
      <c r="CO250" s="5" t="s">
        <v>259</v>
      </c>
      <c r="CP250" s="5" t="s">
        <v>260</v>
      </c>
      <c r="CQ250" s="5" t="s">
        <v>260</v>
      </c>
      <c r="CR250" s="5" t="s">
        <v>261</v>
      </c>
      <c r="CU250" s="8">
        <f>9222444</f>
        <v>9222444</v>
      </c>
      <c r="CV250" s="8">
        <f>0</f>
        <v>0</v>
      </c>
      <c r="CX250" s="8">
        <f>0</f>
        <v>0</v>
      </c>
      <c r="CY250" s="8">
        <f>9222444</f>
        <v>9222444</v>
      </c>
      <c r="DA250" s="5" t="s">
        <v>3887</v>
      </c>
      <c r="DB250" s="5" t="s">
        <v>238</v>
      </c>
      <c r="DD250" s="5" t="s">
        <v>356</v>
      </c>
      <c r="DE250" s="8">
        <f>0</f>
        <v>0</v>
      </c>
      <c r="DG250" s="5" t="s">
        <v>421</v>
      </c>
      <c r="DH250" s="5" t="s">
        <v>238</v>
      </c>
      <c r="DI250" s="5" t="s">
        <v>238</v>
      </c>
      <c r="DJ250" s="5" t="s">
        <v>238</v>
      </c>
      <c r="DN250" s="5" t="s">
        <v>238</v>
      </c>
      <c r="DO250" s="5" t="s">
        <v>238</v>
      </c>
      <c r="DP250" s="5" t="s">
        <v>238</v>
      </c>
      <c r="DQ250" s="5" t="s">
        <v>238</v>
      </c>
      <c r="DT250" s="5" t="s">
        <v>6109</v>
      </c>
      <c r="DU250" s="5" t="s">
        <v>1370</v>
      </c>
      <c r="HM250" s="5" t="s">
        <v>264</v>
      </c>
    </row>
    <row r="251" spans="1:221" x14ac:dyDescent="0.4">
      <c r="A251" s="5">
        <v>962</v>
      </c>
      <c r="B251" s="5">
        <v>1</v>
      </c>
      <c r="C251" s="5">
        <v>1</v>
      </c>
      <c r="D251" s="5" t="s">
        <v>6106</v>
      </c>
      <c r="E251" s="5" t="s">
        <v>4391</v>
      </c>
      <c r="F251" s="5" t="s">
        <v>248</v>
      </c>
      <c r="G251" s="5" t="s">
        <v>6105</v>
      </c>
      <c r="H251" s="6" t="s">
        <v>6110</v>
      </c>
      <c r="I251" s="7">
        <f>6809</f>
        <v>6809</v>
      </c>
      <c r="J251" s="5" t="s">
        <v>262</v>
      </c>
      <c r="K251" s="8">
        <f>190652</f>
        <v>190652</v>
      </c>
      <c r="L251" s="6" t="s">
        <v>242</v>
      </c>
      <c r="M251" s="5" t="s">
        <v>267</v>
      </c>
      <c r="N251" s="5" t="s">
        <v>237</v>
      </c>
      <c r="O251" s="5" t="s">
        <v>238</v>
      </c>
      <c r="P251" s="5" t="s">
        <v>238</v>
      </c>
      <c r="Q251" s="5" t="s">
        <v>239</v>
      </c>
      <c r="R251" s="5" t="s">
        <v>270</v>
      </c>
      <c r="S251" s="5" t="s">
        <v>238</v>
      </c>
      <c r="V251" s="5" t="s">
        <v>238</v>
      </c>
      <c r="X251" s="6" t="s">
        <v>238</v>
      </c>
      <c r="AA251" s="6" t="s">
        <v>243</v>
      </c>
      <c r="AB251" s="5" t="s">
        <v>6107</v>
      </c>
      <c r="AC251" s="5" t="s">
        <v>244</v>
      </c>
      <c r="AD251" s="5" t="s">
        <v>245</v>
      </c>
      <c r="AT251" s="5" t="s">
        <v>246</v>
      </c>
      <c r="AU251" s="5" t="s">
        <v>238</v>
      </c>
      <c r="AV251" s="5" t="s">
        <v>247</v>
      </c>
      <c r="AW251" s="5" t="s">
        <v>238</v>
      </c>
      <c r="AX251" s="5" t="s">
        <v>249</v>
      </c>
      <c r="AY251" s="5" t="s">
        <v>238</v>
      </c>
      <c r="BA251" s="5" t="s">
        <v>238</v>
      </c>
      <c r="BC251" s="5" t="s">
        <v>250</v>
      </c>
      <c r="BD251" s="6" t="s">
        <v>243</v>
      </c>
      <c r="BE251" s="5" t="s">
        <v>251</v>
      </c>
      <c r="BF251" s="5" t="s">
        <v>252</v>
      </c>
      <c r="BG251" s="5" t="s">
        <v>238</v>
      </c>
      <c r="BH251" s="7">
        <f>0</f>
        <v>0</v>
      </c>
      <c r="BI251" s="8">
        <f>0</f>
        <v>0</v>
      </c>
      <c r="BJ251" s="5" t="s">
        <v>253</v>
      </c>
      <c r="BK251" s="5" t="s">
        <v>254</v>
      </c>
      <c r="BY251" s="5" t="s">
        <v>238</v>
      </c>
      <c r="BZ251" s="5" t="s">
        <v>238</v>
      </c>
      <c r="CD251" s="5" t="s">
        <v>255</v>
      </c>
      <c r="CE251" s="5" t="s">
        <v>256</v>
      </c>
      <c r="CF251" s="5" t="s">
        <v>238</v>
      </c>
      <c r="CI251" s="6" t="s">
        <v>257</v>
      </c>
      <c r="CJ251" s="5" t="s">
        <v>238</v>
      </c>
      <c r="CK251" s="5" t="s">
        <v>258</v>
      </c>
      <c r="CL251" s="5" t="s">
        <v>238</v>
      </c>
      <c r="CM251" s="5" t="s">
        <v>238</v>
      </c>
      <c r="CN251" s="5">
        <v>0</v>
      </c>
      <c r="CO251" s="5" t="s">
        <v>259</v>
      </c>
      <c r="CP251" s="5" t="s">
        <v>260</v>
      </c>
      <c r="CQ251" s="5" t="s">
        <v>260</v>
      </c>
      <c r="CR251" s="5" t="s">
        <v>261</v>
      </c>
      <c r="CU251" s="8">
        <f>190652</f>
        <v>190652</v>
      </c>
      <c r="CV251" s="8">
        <f>0</f>
        <v>0</v>
      </c>
      <c r="CX251" s="8">
        <f>0</f>
        <v>0</v>
      </c>
      <c r="CY251" s="8">
        <f>190652</f>
        <v>190652</v>
      </c>
      <c r="DA251" s="5" t="s">
        <v>3887</v>
      </c>
      <c r="DB251" s="5" t="s">
        <v>238</v>
      </c>
      <c r="DD251" s="5" t="s">
        <v>356</v>
      </c>
      <c r="DE251" s="8">
        <f>0</f>
        <v>0</v>
      </c>
      <c r="DG251" s="5" t="s">
        <v>421</v>
      </c>
      <c r="DH251" s="5" t="s">
        <v>238</v>
      </c>
      <c r="DI251" s="5" t="s">
        <v>238</v>
      </c>
      <c r="DJ251" s="5" t="s">
        <v>238</v>
      </c>
      <c r="DN251" s="5" t="s">
        <v>238</v>
      </c>
      <c r="DO251" s="5" t="s">
        <v>238</v>
      </c>
      <c r="DP251" s="5" t="s">
        <v>238</v>
      </c>
      <c r="DQ251" s="5" t="s">
        <v>238</v>
      </c>
      <c r="DT251" s="5" t="s">
        <v>6109</v>
      </c>
      <c r="DU251" s="5" t="s">
        <v>1364</v>
      </c>
      <c r="HM251" s="5" t="s">
        <v>264</v>
      </c>
    </row>
    <row r="252" spans="1:221" x14ac:dyDescent="0.4">
      <c r="A252" s="5">
        <v>963</v>
      </c>
      <c r="B252" s="5">
        <v>1</v>
      </c>
      <c r="C252" s="5">
        <v>1</v>
      </c>
      <c r="D252" s="5" t="s">
        <v>6106</v>
      </c>
      <c r="E252" s="5" t="s">
        <v>4391</v>
      </c>
      <c r="F252" s="5" t="s">
        <v>248</v>
      </c>
      <c r="G252" s="5" t="s">
        <v>6105</v>
      </c>
      <c r="H252" s="6" t="s">
        <v>6112</v>
      </c>
      <c r="I252" s="7">
        <f>1250</f>
        <v>1250</v>
      </c>
      <c r="J252" s="5" t="s">
        <v>262</v>
      </c>
      <c r="K252" s="8">
        <f>2768750</f>
        <v>2768750</v>
      </c>
      <c r="L252" s="6" t="s">
        <v>242</v>
      </c>
      <c r="M252" s="5" t="s">
        <v>267</v>
      </c>
      <c r="N252" s="5" t="s">
        <v>237</v>
      </c>
      <c r="O252" s="5" t="s">
        <v>238</v>
      </c>
      <c r="P252" s="5" t="s">
        <v>238</v>
      </c>
      <c r="Q252" s="5" t="s">
        <v>239</v>
      </c>
      <c r="R252" s="5" t="s">
        <v>270</v>
      </c>
      <c r="S252" s="5" t="s">
        <v>238</v>
      </c>
      <c r="V252" s="5" t="s">
        <v>238</v>
      </c>
      <c r="X252" s="6" t="s">
        <v>238</v>
      </c>
      <c r="AA252" s="6" t="s">
        <v>243</v>
      </c>
      <c r="AB252" s="5" t="s">
        <v>6111</v>
      </c>
      <c r="AC252" s="5" t="s">
        <v>244</v>
      </c>
      <c r="AD252" s="5" t="s">
        <v>245</v>
      </c>
      <c r="AT252" s="5" t="s">
        <v>246</v>
      </c>
      <c r="AU252" s="5" t="s">
        <v>238</v>
      </c>
      <c r="AV252" s="5" t="s">
        <v>247</v>
      </c>
      <c r="AW252" s="5" t="s">
        <v>238</v>
      </c>
      <c r="AX252" s="5" t="s">
        <v>249</v>
      </c>
      <c r="AY252" s="5" t="s">
        <v>238</v>
      </c>
      <c r="BA252" s="5" t="s">
        <v>238</v>
      </c>
      <c r="BC252" s="5" t="s">
        <v>250</v>
      </c>
      <c r="BD252" s="6" t="s">
        <v>243</v>
      </c>
      <c r="BE252" s="5" t="s">
        <v>251</v>
      </c>
      <c r="BF252" s="5" t="s">
        <v>252</v>
      </c>
      <c r="BG252" s="5" t="s">
        <v>238</v>
      </c>
      <c r="BH252" s="7">
        <f>0</f>
        <v>0</v>
      </c>
      <c r="BI252" s="8">
        <f>0</f>
        <v>0</v>
      </c>
      <c r="BJ252" s="5" t="s">
        <v>253</v>
      </c>
      <c r="BK252" s="5" t="s">
        <v>254</v>
      </c>
      <c r="BY252" s="5" t="s">
        <v>238</v>
      </c>
      <c r="BZ252" s="5" t="s">
        <v>238</v>
      </c>
      <c r="CD252" s="5" t="s">
        <v>255</v>
      </c>
      <c r="CE252" s="5" t="s">
        <v>256</v>
      </c>
      <c r="CF252" s="5" t="s">
        <v>238</v>
      </c>
      <c r="CI252" s="6" t="s">
        <v>257</v>
      </c>
      <c r="CJ252" s="5" t="s">
        <v>238</v>
      </c>
      <c r="CK252" s="5" t="s">
        <v>258</v>
      </c>
      <c r="CL252" s="5" t="s">
        <v>238</v>
      </c>
      <c r="CM252" s="5" t="s">
        <v>238</v>
      </c>
      <c r="CN252" s="5">
        <v>0</v>
      </c>
      <c r="CO252" s="5" t="s">
        <v>259</v>
      </c>
      <c r="CP252" s="5" t="s">
        <v>260</v>
      </c>
      <c r="CQ252" s="5" t="s">
        <v>260</v>
      </c>
      <c r="CR252" s="5" t="s">
        <v>261</v>
      </c>
      <c r="CU252" s="8">
        <f>2768750</f>
        <v>2768750</v>
      </c>
      <c r="CV252" s="8">
        <f>0</f>
        <v>0</v>
      </c>
      <c r="CX252" s="8">
        <f>0</f>
        <v>0</v>
      </c>
      <c r="CY252" s="8">
        <f>2768750</f>
        <v>2768750</v>
      </c>
      <c r="DA252" s="5" t="s">
        <v>389</v>
      </c>
      <c r="DB252" s="5" t="s">
        <v>238</v>
      </c>
      <c r="DD252" s="5" t="s">
        <v>356</v>
      </c>
      <c r="DE252" s="8">
        <f>0</f>
        <v>0</v>
      </c>
      <c r="DG252" s="5" t="s">
        <v>389</v>
      </c>
      <c r="DH252" s="5" t="s">
        <v>238</v>
      </c>
      <c r="DI252" s="5" t="s">
        <v>238</v>
      </c>
      <c r="DJ252" s="5" t="s">
        <v>238</v>
      </c>
      <c r="DN252" s="5" t="s">
        <v>238</v>
      </c>
      <c r="DO252" s="5" t="s">
        <v>238</v>
      </c>
      <c r="DP252" s="5" t="s">
        <v>238</v>
      </c>
      <c r="DQ252" s="5" t="s">
        <v>238</v>
      </c>
      <c r="DT252" s="5" t="s">
        <v>6109</v>
      </c>
      <c r="DU252" s="5" t="s">
        <v>1360</v>
      </c>
      <c r="HM252" s="5" t="s">
        <v>264</v>
      </c>
    </row>
    <row r="253" spans="1:221" x14ac:dyDescent="0.4">
      <c r="A253" s="5">
        <v>964</v>
      </c>
      <c r="B253" s="5">
        <v>1</v>
      </c>
      <c r="C253" s="5">
        <v>1</v>
      </c>
      <c r="D253" s="5" t="s">
        <v>6103</v>
      </c>
      <c r="E253" s="5" t="s">
        <v>4391</v>
      </c>
      <c r="F253" s="5" t="s">
        <v>248</v>
      </c>
      <c r="G253" s="5" t="s">
        <v>6102</v>
      </c>
      <c r="H253" s="6" t="s">
        <v>3931</v>
      </c>
      <c r="I253" s="7">
        <f>1328.97</f>
        <v>1328.97</v>
      </c>
      <c r="J253" s="5" t="s">
        <v>262</v>
      </c>
      <c r="K253" s="8">
        <f>2943668</f>
        <v>2943668</v>
      </c>
      <c r="L253" s="6" t="s">
        <v>242</v>
      </c>
      <c r="M253" s="5" t="s">
        <v>267</v>
      </c>
      <c r="N253" s="5" t="s">
        <v>237</v>
      </c>
      <c r="O253" s="5" t="s">
        <v>238</v>
      </c>
      <c r="P253" s="5" t="s">
        <v>238</v>
      </c>
      <c r="Q253" s="5" t="s">
        <v>239</v>
      </c>
      <c r="R253" s="5" t="s">
        <v>270</v>
      </c>
      <c r="S253" s="5" t="s">
        <v>238</v>
      </c>
      <c r="V253" s="5" t="s">
        <v>238</v>
      </c>
      <c r="X253" s="6" t="s">
        <v>238</v>
      </c>
      <c r="AA253" s="6" t="s">
        <v>243</v>
      </c>
      <c r="AB253" s="5" t="s">
        <v>238</v>
      </c>
      <c r="AC253" s="5" t="s">
        <v>244</v>
      </c>
      <c r="AD253" s="5" t="s">
        <v>245</v>
      </c>
      <c r="AT253" s="5" t="s">
        <v>246</v>
      </c>
      <c r="AU253" s="5" t="s">
        <v>238</v>
      </c>
      <c r="AV253" s="5" t="s">
        <v>247</v>
      </c>
      <c r="AW253" s="5" t="s">
        <v>238</v>
      </c>
      <c r="AX253" s="5" t="s">
        <v>249</v>
      </c>
      <c r="AY253" s="5" t="s">
        <v>238</v>
      </c>
      <c r="BA253" s="5" t="s">
        <v>4547</v>
      </c>
      <c r="BC253" s="5" t="s">
        <v>250</v>
      </c>
      <c r="BD253" s="6" t="s">
        <v>243</v>
      </c>
      <c r="BE253" s="5" t="s">
        <v>251</v>
      </c>
      <c r="BF253" s="5" t="s">
        <v>252</v>
      </c>
      <c r="BG253" s="5" t="s">
        <v>238</v>
      </c>
      <c r="BH253" s="7">
        <f>0</f>
        <v>0</v>
      </c>
      <c r="BI253" s="8">
        <f>0</f>
        <v>0</v>
      </c>
      <c r="BJ253" s="5" t="s">
        <v>253</v>
      </c>
      <c r="BK253" s="5" t="s">
        <v>254</v>
      </c>
      <c r="BY253" s="5" t="s">
        <v>238</v>
      </c>
      <c r="BZ253" s="5" t="s">
        <v>238</v>
      </c>
      <c r="CD253" s="5" t="s">
        <v>255</v>
      </c>
      <c r="CE253" s="5" t="s">
        <v>256</v>
      </c>
      <c r="CF253" s="5" t="s">
        <v>238</v>
      </c>
      <c r="CI253" s="6" t="s">
        <v>257</v>
      </c>
      <c r="CJ253" s="5" t="s">
        <v>238</v>
      </c>
      <c r="CK253" s="5" t="s">
        <v>258</v>
      </c>
      <c r="CL253" s="5" t="s">
        <v>238</v>
      </c>
      <c r="CM253" s="5" t="s">
        <v>238</v>
      </c>
      <c r="CN253" s="5">
        <v>0</v>
      </c>
      <c r="CO253" s="5" t="s">
        <v>259</v>
      </c>
      <c r="CP253" s="5" t="s">
        <v>260</v>
      </c>
      <c r="CQ253" s="5" t="s">
        <v>260</v>
      </c>
      <c r="CR253" s="5" t="s">
        <v>261</v>
      </c>
      <c r="CU253" s="8">
        <f>2943668</f>
        <v>2943668</v>
      </c>
      <c r="CV253" s="8">
        <f>0</f>
        <v>0</v>
      </c>
      <c r="CX253" s="8">
        <f>0</f>
        <v>0</v>
      </c>
      <c r="CY253" s="8">
        <f>2943668</f>
        <v>2943668</v>
      </c>
      <c r="DA253" s="5" t="s">
        <v>389</v>
      </c>
      <c r="DB253" s="5" t="s">
        <v>238</v>
      </c>
      <c r="DD253" s="5" t="s">
        <v>356</v>
      </c>
      <c r="DE253" s="8">
        <f>0</f>
        <v>0</v>
      </c>
      <c r="DG253" s="5" t="s">
        <v>389</v>
      </c>
      <c r="DH253" s="5" t="s">
        <v>238</v>
      </c>
      <c r="DI253" s="5" t="s">
        <v>238</v>
      </c>
      <c r="DJ253" s="5" t="s">
        <v>238</v>
      </c>
      <c r="DN253" s="5" t="s">
        <v>238</v>
      </c>
      <c r="DO253" s="5" t="s">
        <v>238</v>
      </c>
      <c r="DP253" s="5" t="s">
        <v>238</v>
      </c>
      <c r="DQ253" s="5" t="s">
        <v>238</v>
      </c>
      <c r="DT253" s="5" t="s">
        <v>6104</v>
      </c>
      <c r="DU253" s="5" t="s">
        <v>264</v>
      </c>
      <c r="HM253" s="5" t="s">
        <v>264</v>
      </c>
    </row>
    <row r="254" spans="1:221" x14ac:dyDescent="0.4">
      <c r="A254" s="5">
        <v>988</v>
      </c>
      <c r="B254" s="5">
        <v>1</v>
      </c>
      <c r="C254" s="5">
        <v>1</v>
      </c>
      <c r="D254" s="5" t="s">
        <v>6060</v>
      </c>
      <c r="E254" s="5" t="s">
        <v>4391</v>
      </c>
      <c r="F254" s="5" t="s">
        <v>248</v>
      </c>
      <c r="G254" s="5" t="s">
        <v>6059</v>
      </c>
      <c r="H254" s="6" t="s">
        <v>6361</v>
      </c>
      <c r="I254" s="7">
        <f>47</f>
        <v>47</v>
      </c>
      <c r="J254" s="5" t="s">
        <v>262</v>
      </c>
      <c r="K254" s="8">
        <f>23030</f>
        <v>23030</v>
      </c>
      <c r="L254" s="6" t="s">
        <v>242</v>
      </c>
      <c r="M254" s="5" t="s">
        <v>267</v>
      </c>
      <c r="N254" s="5" t="s">
        <v>237</v>
      </c>
      <c r="O254" s="5" t="s">
        <v>238</v>
      </c>
      <c r="P254" s="5" t="s">
        <v>238</v>
      </c>
      <c r="Q254" s="5" t="s">
        <v>268</v>
      </c>
      <c r="R254" s="5" t="s">
        <v>270</v>
      </c>
      <c r="S254" s="5" t="s">
        <v>238</v>
      </c>
      <c r="V254" s="5" t="s">
        <v>238</v>
      </c>
      <c r="X254" s="6" t="s">
        <v>238</v>
      </c>
      <c r="AA254" s="6" t="s">
        <v>243</v>
      </c>
      <c r="AB254" s="5" t="s">
        <v>238</v>
      </c>
      <c r="AC254" s="5" t="s">
        <v>244</v>
      </c>
      <c r="AD254" s="5" t="s">
        <v>245</v>
      </c>
      <c r="AT254" s="5" t="s">
        <v>246</v>
      </c>
      <c r="AU254" s="5" t="s">
        <v>238</v>
      </c>
      <c r="AV254" s="5" t="s">
        <v>247</v>
      </c>
      <c r="AW254" s="5" t="s">
        <v>238</v>
      </c>
      <c r="AX254" s="5" t="s">
        <v>249</v>
      </c>
      <c r="AY254" s="5" t="s">
        <v>238</v>
      </c>
      <c r="BA254" s="5" t="s">
        <v>4547</v>
      </c>
      <c r="BC254" s="5" t="s">
        <v>250</v>
      </c>
      <c r="BD254" s="6" t="s">
        <v>243</v>
      </c>
      <c r="BE254" s="5" t="s">
        <v>251</v>
      </c>
      <c r="BF254" s="5" t="s">
        <v>252</v>
      </c>
      <c r="BG254" s="5" t="s">
        <v>238</v>
      </c>
      <c r="BH254" s="7">
        <f>0</f>
        <v>0</v>
      </c>
      <c r="BI254" s="8">
        <f>0</f>
        <v>0</v>
      </c>
      <c r="BJ254" s="5" t="s">
        <v>253</v>
      </c>
      <c r="BK254" s="5" t="s">
        <v>254</v>
      </c>
      <c r="BY254" s="5" t="s">
        <v>238</v>
      </c>
      <c r="BZ254" s="5" t="s">
        <v>238</v>
      </c>
      <c r="CD254" s="5" t="s">
        <v>255</v>
      </c>
      <c r="CE254" s="5" t="s">
        <v>256</v>
      </c>
      <c r="CF254" s="5" t="s">
        <v>238</v>
      </c>
      <c r="CI254" s="6" t="s">
        <v>257</v>
      </c>
      <c r="CJ254" s="5" t="s">
        <v>238</v>
      </c>
      <c r="CK254" s="5" t="s">
        <v>258</v>
      </c>
      <c r="CL254" s="5" t="s">
        <v>238</v>
      </c>
      <c r="CM254" s="5" t="s">
        <v>238</v>
      </c>
      <c r="CN254" s="5">
        <v>0</v>
      </c>
      <c r="CO254" s="5" t="s">
        <v>259</v>
      </c>
      <c r="CP254" s="5" t="s">
        <v>260</v>
      </c>
      <c r="CQ254" s="5" t="s">
        <v>260</v>
      </c>
      <c r="CR254" s="5" t="s">
        <v>261</v>
      </c>
      <c r="CU254" s="8">
        <f>23030</f>
        <v>23030</v>
      </c>
      <c r="CV254" s="8">
        <f>0</f>
        <v>0</v>
      </c>
      <c r="CX254" s="8">
        <f>0</f>
        <v>0</v>
      </c>
      <c r="CY254" s="8">
        <f>23030</f>
        <v>23030</v>
      </c>
      <c r="DA254" s="5" t="s">
        <v>673</v>
      </c>
      <c r="DB254" s="5" t="s">
        <v>238</v>
      </c>
      <c r="DD254" s="5" t="s">
        <v>356</v>
      </c>
      <c r="DE254" s="8">
        <f>0</f>
        <v>0</v>
      </c>
      <c r="DG254" s="5" t="s">
        <v>356</v>
      </c>
      <c r="DH254" s="5" t="s">
        <v>238</v>
      </c>
      <c r="DI254" s="5" t="s">
        <v>238</v>
      </c>
      <c r="DJ254" s="5" t="s">
        <v>238</v>
      </c>
      <c r="DN254" s="5" t="s">
        <v>238</v>
      </c>
      <c r="DO254" s="5" t="s">
        <v>238</v>
      </c>
      <c r="DP254" s="5" t="s">
        <v>238</v>
      </c>
      <c r="DQ254" s="5" t="s">
        <v>238</v>
      </c>
      <c r="DT254" s="5" t="s">
        <v>6062</v>
      </c>
      <c r="DU254" s="5" t="s">
        <v>264</v>
      </c>
      <c r="HM254" s="5" t="s">
        <v>264</v>
      </c>
    </row>
    <row r="255" spans="1:221" x14ac:dyDescent="0.4">
      <c r="A255" s="5">
        <v>989</v>
      </c>
      <c r="B255" s="5">
        <v>1</v>
      </c>
      <c r="C255" s="5">
        <v>1</v>
      </c>
      <c r="D255" s="5" t="s">
        <v>6060</v>
      </c>
      <c r="E255" s="5" t="s">
        <v>4391</v>
      </c>
      <c r="F255" s="5" t="s">
        <v>248</v>
      </c>
      <c r="G255" s="5" t="s">
        <v>6059</v>
      </c>
      <c r="H255" s="6" t="s">
        <v>6081</v>
      </c>
      <c r="I255" s="7">
        <f>226</f>
        <v>226</v>
      </c>
      <c r="J255" s="5" t="s">
        <v>262</v>
      </c>
      <c r="K255" s="8">
        <f>110740</f>
        <v>110740</v>
      </c>
      <c r="L255" s="6" t="s">
        <v>242</v>
      </c>
      <c r="M255" s="5" t="s">
        <v>267</v>
      </c>
      <c r="N255" s="5" t="s">
        <v>237</v>
      </c>
      <c r="O255" s="5" t="s">
        <v>238</v>
      </c>
      <c r="P255" s="5" t="s">
        <v>238</v>
      </c>
      <c r="Q255" s="5" t="s">
        <v>268</v>
      </c>
      <c r="R255" s="5" t="s">
        <v>270</v>
      </c>
      <c r="S255" s="5" t="s">
        <v>238</v>
      </c>
      <c r="V255" s="5" t="s">
        <v>238</v>
      </c>
      <c r="X255" s="6" t="s">
        <v>238</v>
      </c>
      <c r="AA255" s="6" t="s">
        <v>243</v>
      </c>
      <c r="AB255" s="5" t="s">
        <v>238</v>
      </c>
      <c r="AC255" s="5" t="s">
        <v>244</v>
      </c>
      <c r="AD255" s="5" t="s">
        <v>245</v>
      </c>
      <c r="AT255" s="5" t="s">
        <v>246</v>
      </c>
      <c r="AU255" s="5" t="s">
        <v>238</v>
      </c>
      <c r="AV255" s="5" t="s">
        <v>247</v>
      </c>
      <c r="AW255" s="5" t="s">
        <v>238</v>
      </c>
      <c r="AX255" s="5" t="s">
        <v>249</v>
      </c>
      <c r="AY255" s="5" t="s">
        <v>238</v>
      </c>
      <c r="BA255" s="5" t="s">
        <v>238</v>
      </c>
      <c r="BC255" s="5" t="s">
        <v>1468</v>
      </c>
      <c r="BD255" s="6" t="s">
        <v>4459</v>
      </c>
      <c r="BE255" s="5" t="s">
        <v>251</v>
      </c>
      <c r="BF255" s="5" t="s">
        <v>252</v>
      </c>
      <c r="BG255" s="5" t="s">
        <v>238</v>
      </c>
      <c r="BH255" s="7">
        <f>0</f>
        <v>0</v>
      </c>
      <c r="BI255" s="8">
        <f>0</f>
        <v>0</v>
      </c>
      <c r="BJ255" s="5" t="s">
        <v>253</v>
      </c>
      <c r="BK255" s="5" t="s">
        <v>254</v>
      </c>
      <c r="BY255" s="5" t="s">
        <v>238</v>
      </c>
      <c r="BZ255" s="5" t="s">
        <v>238</v>
      </c>
      <c r="CD255" s="5" t="s">
        <v>255</v>
      </c>
      <c r="CE255" s="5" t="s">
        <v>256</v>
      </c>
      <c r="CF255" s="5" t="s">
        <v>238</v>
      </c>
      <c r="CI255" s="6" t="s">
        <v>257</v>
      </c>
      <c r="CJ255" s="5" t="s">
        <v>238</v>
      </c>
      <c r="CK255" s="5" t="s">
        <v>258</v>
      </c>
      <c r="CL255" s="5" t="s">
        <v>238</v>
      </c>
      <c r="CM255" s="5" t="s">
        <v>238</v>
      </c>
      <c r="CN255" s="5">
        <v>0</v>
      </c>
      <c r="CO255" s="5" t="s">
        <v>259</v>
      </c>
      <c r="CP255" s="5" t="s">
        <v>260</v>
      </c>
      <c r="CQ255" s="5" t="s">
        <v>260</v>
      </c>
      <c r="CR255" s="5" t="s">
        <v>261</v>
      </c>
      <c r="CU255" s="8">
        <f>110740</f>
        <v>110740</v>
      </c>
      <c r="CV255" s="8">
        <f>0</f>
        <v>0</v>
      </c>
      <c r="CX255" s="8">
        <f>0</f>
        <v>0</v>
      </c>
      <c r="CY255" s="8">
        <f>110740</f>
        <v>110740</v>
      </c>
      <c r="DA255" s="5" t="s">
        <v>673</v>
      </c>
      <c r="DB255" s="5" t="s">
        <v>238</v>
      </c>
      <c r="DD255" s="5" t="s">
        <v>356</v>
      </c>
      <c r="DE255" s="8">
        <f>0</f>
        <v>0</v>
      </c>
      <c r="DG255" s="5" t="s">
        <v>356</v>
      </c>
      <c r="DH255" s="5" t="s">
        <v>238</v>
      </c>
      <c r="DI255" s="5" t="s">
        <v>238</v>
      </c>
      <c r="DJ255" s="5" t="s">
        <v>238</v>
      </c>
      <c r="DN255" s="5" t="s">
        <v>238</v>
      </c>
      <c r="DO255" s="5" t="s">
        <v>238</v>
      </c>
      <c r="DP255" s="5" t="s">
        <v>238</v>
      </c>
      <c r="DQ255" s="5" t="s">
        <v>238</v>
      </c>
      <c r="DT255" s="5" t="s">
        <v>6062</v>
      </c>
      <c r="DU255" s="5" t="s">
        <v>294</v>
      </c>
      <c r="HM255" s="5" t="s">
        <v>264</v>
      </c>
    </row>
    <row r="256" spans="1:221" x14ac:dyDescent="0.4">
      <c r="A256" s="5">
        <v>990</v>
      </c>
      <c r="B256" s="5">
        <v>1</v>
      </c>
      <c r="C256" s="5">
        <v>1</v>
      </c>
      <c r="D256" s="5" t="s">
        <v>6060</v>
      </c>
      <c r="E256" s="5" t="s">
        <v>4391</v>
      </c>
      <c r="F256" s="5" t="s">
        <v>248</v>
      </c>
      <c r="G256" s="5" t="s">
        <v>6059</v>
      </c>
      <c r="H256" s="6" t="s">
        <v>6082</v>
      </c>
      <c r="I256" s="7">
        <f>107</f>
        <v>107</v>
      </c>
      <c r="J256" s="5" t="s">
        <v>262</v>
      </c>
      <c r="K256" s="8">
        <f>52430</f>
        <v>52430</v>
      </c>
      <c r="L256" s="6" t="s">
        <v>242</v>
      </c>
      <c r="M256" s="5" t="s">
        <v>267</v>
      </c>
      <c r="N256" s="5" t="s">
        <v>237</v>
      </c>
      <c r="O256" s="5" t="s">
        <v>238</v>
      </c>
      <c r="P256" s="5" t="s">
        <v>238</v>
      </c>
      <c r="Q256" s="5" t="s">
        <v>268</v>
      </c>
      <c r="R256" s="5" t="s">
        <v>270</v>
      </c>
      <c r="S256" s="5" t="s">
        <v>238</v>
      </c>
      <c r="V256" s="5" t="s">
        <v>238</v>
      </c>
      <c r="X256" s="6" t="s">
        <v>238</v>
      </c>
      <c r="AA256" s="6" t="s">
        <v>243</v>
      </c>
      <c r="AB256" s="5" t="s">
        <v>238</v>
      </c>
      <c r="AC256" s="5" t="s">
        <v>244</v>
      </c>
      <c r="AD256" s="5" t="s">
        <v>245</v>
      </c>
      <c r="AT256" s="5" t="s">
        <v>246</v>
      </c>
      <c r="AU256" s="5" t="s">
        <v>238</v>
      </c>
      <c r="AV256" s="5" t="s">
        <v>247</v>
      </c>
      <c r="AW256" s="5" t="s">
        <v>238</v>
      </c>
      <c r="AX256" s="5" t="s">
        <v>249</v>
      </c>
      <c r="AY256" s="5" t="s">
        <v>238</v>
      </c>
      <c r="BA256" s="5" t="s">
        <v>238</v>
      </c>
      <c r="BC256" s="5" t="s">
        <v>250</v>
      </c>
      <c r="BD256" s="6" t="s">
        <v>243</v>
      </c>
      <c r="BE256" s="5" t="s">
        <v>251</v>
      </c>
      <c r="BF256" s="5" t="s">
        <v>252</v>
      </c>
      <c r="BG256" s="5" t="s">
        <v>238</v>
      </c>
      <c r="BH256" s="7">
        <f>0</f>
        <v>0</v>
      </c>
      <c r="BI256" s="8">
        <f>0</f>
        <v>0</v>
      </c>
      <c r="BJ256" s="5" t="s">
        <v>253</v>
      </c>
      <c r="BK256" s="5" t="s">
        <v>254</v>
      </c>
      <c r="BY256" s="5" t="s">
        <v>238</v>
      </c>
      <c r="BZ256" s="5" t="s">
        <v>238</v>
      </c>
      <c r="CD256" s="5" t="s">
        <v>255</v>
      </c>
      <c r="CE256" s="5" t="s">
        <v>256</v>
      </c>
      <c r="CF256" s="5" t="s">
        <v>238</v>
      </c>
      <c r="CI256" s="6" t="s">
        <v>257</v>
      </c>
      <c r="CJ256" s="5" t="s">
        <v>238</v>
      </c>
      <c r="CK256" s="5" t="s">
        <v>258</v>
      </c>
      <c r="CL256" s="5" t="s">
        <v>238</v>
      </c>
      <c r="CM256" s="5" t="s">
        <v>238</v>
      </c>
      <c r="CN256" s="5">
        <v>0</v>
      </c>
      <c r="CO256" s="5" t="s">
        <v>259</v>
      </c>
      <c r="CP256" s="5" t="s">
        <v>260</v>
      </c>
      <c r="CQ256" s="5" t="s">
        <v>260</v>
      </c>
      <c r="CR256" s="5" t="s">
        <v>261</v>
      </c>
      <c r="CU256" s="8">
        <f>52430</f>
        <v>52430</v>
      </c>
      <c r="CV256" s="8">
        <f>0</f>
        <v>0</v>
      </c>
      <c r="CX256" s="8">
        <f>0</f>
        <v>0</v>
      </c>
      <c r="CY256" s="8">
        <f>52430</f>
        <v>52430</v>
      </c>
      <c r="DA256" s="5" t="s">
        <v>673</v>
      </c>
      <c r="DB256" s="5" t="s">
        <v>238</v>
      </c>
      <c r="DD256" s="5" t="s">
        <v>356</v>
      </c>
      <c r="DE256" s="8">
        <f>0</f>
        <v>0</v>
      </c>
      <c r="DG256" s="5" t="s">
        <v>356</v>
      </c>
      <c r="DH256" s="5" t="s">
        <v>238</v>
      </c>
      <c r="DI256" s="5" t="s">
        <v>238</v>
      </c>
      <c r="DJ256" s="5" t="s">
        <v>238</v>
      </c>
      <c r="DN256" s="5" t="s">
        <v>238</v>
      </c>
      <c r="DO256" s="5" t="s">
        <v>238</v>
      </c>
      <c r="DP256" s="5" t="s">
        <v>238</v>
      </c>
      <c r="DQ256" s="5" t="s">
        <v>238</v>
      </c>
      <c r="DT256" s="5" t="s">
        <v>6062</v>
      </c>
      <c r="DU256" s="5" t="s">
        <v>806</v>
      </c>
      <c r="HM256" s="5" t="s">
        <v>264</v>
      </c>
    </row>
    <row r="257" spans="1:221" x14ac:dyDescent="0.4">
      <c r="A257" s="5">
        <v>991</v>
      </c>
      <c r="B257" s="5">
        <v>1</v>
      </c>
      <c r="C257" s="5">
        <v>1</v>
      </c>
      <c r="D257" s="5" t="s">
        <v>6060</v>
      </c>
      <c r="E257" s="5" t="s">
        <v>4391</v>
      </c>
      <c r="F257" s="5" t="s">
        <v>248</v>
      </c>
      <c r="G257" s="5" t="s">
        <v>6059</v>
      </c>
      <c r="H257" s="6" t="s">
        <v>6078</v>
      </c>
      <c r="I257" s="7">
        <f>9.23</f>
        <v>9.23</v>
      </c>
      <c r="J257" s="5" t="s">
        <v>262</v>
      </c>
      <c r="K257" s="8">
        <f>396</f>
        <v>396</v>
      </c>
      <c r="L257" s="6" t="s">
        <v>242</v>
      </c>
      <c r="M257" s="5" t="s">
        <v>267</v>
      </c>
      <c r="N257" s="5" t="s">
        <v>237</v>
      </c>
      <c r="O257" s="5" t="s">
        <v>238</v>
      </c>
      <c r="P257" s="5" t="s">
        <v>238</v>
      </c>
      <c r="Q257" s="5" t="s">
        <v>239</v>
      </c>
      <c r="R257" s="5" t="s">
        <v>270</v>
      </c>
      <c r="S257" s="5" t="s">
        <v>238</v>
      </c>
      <c r="V257" s="5" t="s">
        <v>238</v>
      </c>
      <c r="X257" s="6" t="s">
        <v>238</v>
      </c>
      <c r="AA257" s="6" t="s">
        <v>243</v>
      </c>
      <c r="AB257" s="5" t="s">
        <v>238</v>
      </c>
      <c r="AC257" s="5" t="s">
        <v>244</v>
      </c>
      <c r="AD257" s="5" t="s">
        <v>245</v>
      </c>
      <c r="AT257" s="5" t="s">
        <v>246</v>
      </c>
      <c r="AU257" s="5" t="s">
        <v>238</v>
      </c>
      <c r="AV257" s="5" t="s">
        <v>247</v>
      </c>
      <c r="AW257" s="5" t="s">
        <v>238</v>
      </c>
      <c r="AX257" s="5" t="s">
        <v>249</v>
      </c>
      <c r="AY257" s="5" t="s">
        <v>238</v>
      </c>
      <c r="BA257" s="5" t="s">
        <v>238</v>
      </c>
      <c r="BC257" s="5" t="s">
        <v>1468</v>
      </c>
      <c r="BD257" s="6" t="s">
        <v>4459</v>
      </c>
      <c r="BE257" s="5" t="s">
        <v>251</v>
      </c>
      <c r="BF257" s="5" t="s">
        <v>252</v>
      </c>
      <c r="BG257" s="5" t="s">
        <v>238</v>
      </c>
      <c r="BH257" s="7">
        <f>0</f>
        <v>0</v>
      </c>
      <c r="BI257" s="8">
        <f>0</f>
        <v>0</v>
      </c>
      <c r="BJ257" s="5" t="s">
        <v>253</v>
      </c>
      <c r="BK257" s="5" t="s">
        <v>254</v>
      </c>
      <c r="BY257" s="5" t="s">
        <v>238</v>
      </c>
      <c r="BZ257" s="5" t="s">
        <v>238</v>
      </c>
      <c r="CD257" s="5" t="s">
        <v>255</v>
      </c>
      <c r="CE257" s="5" t="s">
        <v>256</v>
      </c>
      <c r="CF257" s="5" t="s">
        <v>238</v>
      </c>
      <c r="CI257" s="6" t="s">
        <v>257</v>
      </c>
      <c r="CJ257" s="5" t="s">
        <v>238</v>
      </c>
      <c r="CK257" s="5" t="s">
        <v>258</v>
      </c>
      <c r="CL257" s="5" t="s">
        <v>238</v>
      </c>
      <c r="CM257" s="5" t="s">
        <v>238</v>
      </c>
      <c r="CN257" s="5">
        <v>0</v>
      </c>
      <c r="CO257" s="5" t="s">
        <v>259</v>
      </c>
      <c r="CP257" s="5" t="s">
        <v>260</v>
      </c>
      <c r="CQ257" s="5" t="s">
        <v>260</v>
      </c>
      <c r="CR257" s="5" t="s">
        <v>261</v>
      </c>
      <c r="CU257" s="8">
        <f>396</f>
        <v>396</v>
      </c>
      <c r="CV257" s="8">
        <f>0</f>
        <v>0</v>
      </c>
      <c r="CX257" s="8">
        <f>0</f>
        <v>0</v>
      </c>
      <c r="CY257" s="8">
        <f>396</f>
        <v>396</v>
      </c>
      <c r="DA257" s="5" t="s">
        <v>357</v>
      </c>
      <c r="DB257" s="5" t="s">
        <v>238</v>
      </c>
      <c r="DD257" s="5" t="s">
        <v>356</v>
      </c>
      <c r="DE257" s="8">
        <f>0</f>
        <v>0</v>
      </c>
      <c r="DG257" s="5" t="s">
        <v>357</v>
      </c>
      <c r="DH257" s="5" t="s">
        <v>238</v>
      </c>
      <c r="DI257" s="5" t="s">
        <v>238</v>
      </c>
      <c r="DJ257" s="5" t="s">
        <v>238</v>
      </c>
      <c r="DN257" s="5" t="s">
        <v>238</v>
      </c>
      <c r="DO257" s="5" t="s">
        <v>238</v>
      </c>
      <c r="DP257" s="5" t="s">
        <v>238</v>
      </c>
      <c r="DQ257" s="5" t="s">
        <v>238</v>
      </c>
      <c r="DT257" s="5" t="s">
        <v>6062</v>
      </c>
      <c r="DU257" s="5" t="s">
        <v>854</v>
      </c>
      <c r="HM257" s="5" t="s">
        <v>264</v>
      </c>
    </row>
    <row r="258" spans="1:221" x14ac:dyDescent="0.4">
      <c r="A258" s="5">
        <v>992</v>
      </c>
      <c r="B258" s="5">
        <v>1</v>
      </c>
      <c r="C258" s="5">
        <v>1</v>
      </c>
      <c r="D258" s="5" t="s">
        <v>6060</v>
      </c>
      <c r="E258" s="5" t="s">
        <v>4391</v>
      </c>
      <c r="F258" s="5" t="s">
        <v>248</v>
      </c>
      <c r="G258" s="5" t="s">
        <v>6059</v>
      </c>
      <c r="H258" s="6" t="s">
        <v>6061</v>
      </c>
      <c r="I258" s="7">
        <f>17</f>
        <v>17</v>
      </c>
      <c r="J258" s="5" t="s">
        <v>262</v>
      </c>
      <c r="K258" s="8">
        <f>8330</f>
        <v>8330</v>
      </c>
      <c r="L258" s="6" t="s">
        <v>242</v>
      </c>
      <c r="M258" s="5" t="s">
        <v>267</v>
      </c>
      <c r="N258" s="5" t="s">
        <v>237</v>
      </c>
      <c r="O258" s="5" t="s">
        <v>238</v>
      </c>
      <c r="P258" s="5" t="s">
        <v>238</v>
      </c>
      <c r="Q258" s="5" t="s">
        <v>268</v>
      </c>
      <c r="R258" s="5" t="s">
        <v>270</v>
      </c>
      <c r="S258" s="5" t="s">
        <v>238</v>
      </c>
      <c r="V258" s="5" t="s">
        <v>238</v>
      </c>
      <c r="X258" s="6" t="s">
        <v>238</v>
      </c>
      <c r="AA258" s="6" t="s">
        <v>243</v>
      </c>
      <c r="AB258" s="5" t="s">
        <v>238</v>
      </c>
      <c r="AC258" s="5" t="s">
        <v>244</v>
      </c>
      <c r="AD258" s="5" t="s">
        <v>245</v>
      </c>
      <c r="AT258" s="5" t="s">
        <v>246</v>
      </c>
      <c r="AU258" s="5" t="s">
        <v>238</v>
      </c>
      <c r="AV258" s="5" t="s">
        <v>247</v>
      </c>
      <c r="AW258" s="5" t="s">
        <v>238</v>
      </c>
      <c r="AX258" s="5" t="s">
        <v>249</v>
      </c>
      <c r="AY258" s="5" t="s">
        <v>238</v>
      </c>
      <c r="BA258" s="5" t="s">
        <v>238</v>
      </c>
      <c r="BC258" s="5" t="s">
        <v>250</v>
      </c>
      <c r="BD258" s="6" t="s">
        <v>243</v>
      </c>
      <c r="BE258" s="5" t="s">
        <v>251</v>
      </c>
      <c r="BF258" s="5" t="s">
        <v>252</v>
      </c>
      <c r="BG258" s="5" t="s">
        <v>238</v>
      </c>
      <c r="BH258" s="7">
        <f>0</f>
        <v>0</v>
      </c>
      <c r="BI258" s="8">
        <f>0</f>
        <v>0</v>
      </c>
      <c r="BJ258" s="5" t="s">
        <v>253</v>
      </c>
      <c r="BK258" s="5" t="s">
        <v>254</v>
      </c>
      <c r="BY258" s="5" t="s">
        <v>238</v>
      </c>
      <c r="BZ258" s="5" t="s">
        <v>238</v>
      </c>
      <c r="CD258" s="5" t="s">
        <v>255</v>
      </c>
      <c r="CE258" s="5" t="s">
        <v>256</v>
      </c>
      <c r="CF258" s="5" t="s">
        <v>238</v>
      </c>
      <c r="CI258" s="6" t="s">
        <v>257</v>
      </c>
      <c r="CJ258" s="5" t="s">
        <v>238</v>
      </c>
      <c r="CK258" s="5" t="s">
        <v>258</v>
      </c>
      <c r="CL258" s="5" t="s">
        <v>238</v>
      </c>
      <c r="CM258" s="5" t="s">
        <v>238</v>
      </c>
      <c r="CN258" s="5">
        <v>0</v>
      </c>
      <c r="CO258" s="5" t="s">
        <v>259</v>
      </c>
      <c r="CP258" s="5" t="s">
        <v>260</v>
      </c>
      <c r="CQ258" s="5" t="s">
        <v>260</v>
      </c>
      <c r="CR258" s="5" t="s">
        <v>261</v>
      </c>
      <c r="CU258" s="8">
        <f>8330</f>
        <v>8330</v>
      </c>
      <c r="CV258" s="8">
        <f>0</f>
        <v>0</v>
      </c>
      <c r="CX258" s="8">
        <f>0</f>
        <v>0</v>
      </c>
      <c r="CY258" s="8">
        <f>8330</f>
        <v>8330</v>
      </c>
      <c r="DA258" s="5" t="s">
        <v>673</v>
      </c>
      <c r="DB258" s="5" t="s">
        <v>238</v>
      </c>
      <c r="DD258" s="5" t="s">
        <v>356</v>
      </c>
      <c r="DE258" s="8">
        <f>0</f>
        <v>0</v>
      </c>
      <c r="DG258" s="5" t="s">
        <v>356</v>
      </c>
      <c r="DH258" s="5" t="s">
        <v>238</v>
      </c>
      <c r="DI258" s="5" t="s">
        <v>238</v>
      </c>
      <c r="DJ258" s="5" t="s">
        <v>238</v>
      </c>
      <c r="DN258" s="5" t="s">
        <v>238</v>
      </c>
      <c r="DO258" s="5" t="s">
        <v>238</v>
      </c>
      <c r="DP258" s="5" t="s">
        <v>238</v>
      </c>
      <c r="DQ258" s="5" t="s">
        <v>238</v>
      </c>
      <c r="DT258" s="5" t="s">
        <v>6062</v>
      </c>
      <c r="DU258" s="5" t="s">
        <v>911</v>
      </c>
      <c r="HM258" s="5" t="s">
        <v>264</v>
      </c>
    </row>
    <row r="259" spans="1:221" x14ac:dyDescent="0.4">
      <c r="A259" s="5">
        <v>993</v>
      </c>
      <c r="B259" s="5">
        <v>1</v>
      </c>
      <c r="C259" s="5">
        <v>1</v>
      </c>
      <c r="D259" s="5" t="s">
        <v>6060</v>
      </c>
      <c r="E259" s="5" t="s">
        <v>4391</v>
      </c>
      <c r="F259" s="5" t="s">
        <v>248</v>
      </c>
      <c r="G259" s="5" t="s">
        <v>6059</v>
      </c>
      <c r="H259" s="6" t="s">
        <v>6083</v>
      </c>
      <c r="I259" s="7">
        <f>11</f>
        <v>11</v>
      </c>
      <c r="J259" s="5" t="s">
        <v>262</v>
      </c>
      <c r="K259" s="8">
        <f>5390</f>
        <v>5390</v>
      </c>
      <c r="L259" s="6" t="s">
        <v>242</v>
      </c>
      <c r="M259" s="5" t="s">
        <v>267</v>
      </c>
      <c r="N259" s="5" t="s">
        <v>237</v>
      </c>
      <c r="O259" s="5" t="s">
        <v>238</v>
      </c>
      <c r="P259" s="5" t="s">
        <v>238</v>
      </c>
      <c r="Q259" s="5" t="s">
        <v>268</v>
      </c>
      <c r="R259" s="5" t="s">
        <v>270</v>
      </c>
      <c r="S259" s="5" t="s">
        <v>238</v>
      </c>
      <c r="V259" s="5" t="s">
        <v>238</v>
      </c>
      <c r="X259" s="6" t="s">
        <v>238</v>
      </c>
      <c r="AA259" s="6" t="s">
        <v>243</v>
      </c>
      <c r="AB259" s="5" t="s">
        <v>238</v>
      </c>
      <c r="AC259" s="5" t="s">
        <v>244</v>
      </c>
      <c r="AD259" s="5" t="s">
        <v>245</v>
      </c>
      <c r="AT259" s="5" t="s">
        <v>246</v>
      </c>
      <c r="AU259" s="5" t="s">
        <v>238</v>
      </c>
      <c r="AV259" s="5" t="s">
        <v>247</v>
      </c>
      <c r="AW259" s="5" t="s">
        <v>238</v>
      </c>
      <c r="AX259" s="5" t="s">
        <v>249</v>
      </c>
      <c r="AY259" s="5" t="s">
        <v>238</v>
      </c>
      <c r="BA259" s="5" t="s">
        <v>238</v>
      </c>
      <c r="BC259" s="5" t="s">
        <v>250</v>
      </c>
      <c r="BD259" s="6" t="s">
        <v>243</v>
      </c>
      <c r="BE259" s="5" t="s">
        <v>251</v>
      </c>
      <c r="BF259" s="5" t="s">
        <v>252</v>
      </c>
      <c r="BG259" s="5" t="s">
        <v>238</v>
      </c>
      <c r="BH259" s="7">
        <f>0</f>
        <v>0</v>
      </c>
      <c r="BI259" s="8">
        <f>0</f>
        <v>0</v>
      </c>
      <c r="BJ259" s="5" t="s">
        <v>253</v>
      </c>
      <c r="BK259" s="5" t="s">
        <v>254</v>
      </c>
      <c r="BY259" s="5" t="s">
        <v>238</v>
      </c>
      <c r="BZ259" s="5" t="s">
        <v>238</v>
      </c>
      <c r="CD259" s="5" t="s">
        <v>255</v>
      </c>
      <c r="CE259" s="5" t="s">
        <v>256</v>
      </c>
      <c r="CF259" s="5" t="s">
        <v>238</v>
      </c>
      <c r="CI259" s="6" t="s">
        <v>257</v>
      </c>
      <c r="CJ259" s="5" t="s">
        <v>238</v>
      </c>
      <c r="CK259" s="5" t="s">
        <v>258</v>
      </c>
      <c r="CL259" s="5" t="s">
        <v>238</v>
      </c>
      <c r="CM259" s="5" t="s">
        <v>238</v>
      </c>
      <c r="CN259" s="5">
        <v>0</v>
      </c>
      <c r="CO259" s="5" t="s">
        <v>259</v>
      </c>
      <c r="CP259" s="5" t="s">
        <v>260</v>
      </c>
      <c r="CQ259" s="5" t="s">
        <v>260</v>
      </c>
      <c r="CR259" s="5" t="s">
        <v>261</v>
      </c>
      <c r="CU259" s="8">
        <f>5390</f>
        <v>5390</v>
      </c>
      <c r="CV259" s="8">
        <f>0</f>
        <v>0</v>
      </c>
      <c r="CX259" s="8">
        <f>0</f>
        <v>0</v>
      </c>
      <c r="CY259" s="8">
        <f>5390</f>
        <v>5390</v>
      </c>
      <c r="DA259" s="5" t="s">
        <v>673</v>
      </c>
      <c r="DB259" s="5" t="s">
        <v>238</v>
      </c>
      <c r="DD259" s="5" t="s">
        <v>356</v>
      </c>
      <c r="DE259" s="8">
        <f>0</f>
        <v>0</v>
      </c>
      <c r="DG259" s="5" t="s">
        <v>356</v>
      </c>
      <c r="DH259" s="5" t="s">
        <v>238</v>
      </c>
      <c r="DI259" s="5" t="s">
        <v>238</v>
      </c>
      <c r="DJ259" s="5" t="s">
        <v>238</v>
      </c>
      <c r="DN259" s="5" t="s">
        <v>238</v>
      </c>
      <c r="DO259" s="5" t="s">
        <v>238</v>
      </c>
      <c r="DP259" s="5" t="s">
        <v>238</v>
      </c>
      <c r="DQ259" s="5" t="s">
        <v>238</v>
      </c>
      <c r="DT259" s="5" t="s">
        <v>6062</v>
      </c>
      <c r="DU259" s="5" t="s">
        <v>967</v>
      </c>
      <c r="HM259" s="5" t="s">
        <v>264</v>
      </c>
    </row>
    <row r="260" spans="1:221" x14ac:dyDescent="0.4">
      <c r="A260" s="5">
        <v>994</v>
      </c>
      <c r="B260" s="5">
        <v>1</v>
      </c>
      <c r="C260" s="5">
        <v>1</v>
      </c>
      <c r="D260" s="5" t="s">
        <v>6060</v>
      </c>
      <c r="E260" s="5" t="s">
        <v>4391</v>
      </c>
      <c r="F260" s="5" t="s">
        <v>248</v>
      </c>
      <c r="G260" s="5" t="s">
        <v>6059</v>
      </c>
      <c r="H260" s="6" t="s">
        <v>6063</v>
      </c>
      <c r="I260" s="7">
        <f>223</f>
        <v>223</v>
      </c>
      <c r="J260" s="5" t="s">
        <v>262</v>
      </c>
      <c r="K260" s="8">
        <f>109270</f>
        <v>109270</v>
      </c>
      <c r="L260" s="6" t="s">
        <v>242</v>
      </c>
      <c r="M260" s="5" t="s">
        <v>267</v>
      </c>
      <c r="N260" s="5" t="s">
        <v>237</v>
      </c>
      <c r="O260" s="5" t="s">
        <v>238</v>
      </c>
      <c r="P260" s="5" t="s">
        <v>238</v>
      </c>
      <c r="Q260" s="5" t="s">
        <v>268</v>
      </c>
      <c r="R260" s="5" t="s">
        <v>270</v>
      </c>
      <c r="S260" s="5" t="s">
        <v>238</v>
      </c>
      <c r="V260" s="5" t="s">
        <v>238</v>
      </c>
      <c r="X260" s="6" t="s">
        <v>238</v>
      </c>
      <c r="AA260" s="6" t="s">
        <v>243</v>
      </c>
      <c r="AB260" s="5" t="s">
        <v>238</v>
      </c>
      <c r="AC260" s="5" t="s">
        <v>244</v>
      </c>
      <c r="AD260" s="5" t="s">
        <v>245</v>
      </c>
      <c r="AT260" s="5" t="s">
        <v>246</v>
      </c>
      <c r="AU260" s="5" t="s">
        <v>238</v>
      </c>
      <c r="AV260" s="5" t="s">
        <v>247</v>
      </c>
      <c r="AW260" s="5" t="s">
        <v>238</v>
      </c>
      <c r="AX260" s="5" t="s">
        <v>249</v>
      </c>
      <c r="AY260" s="5" t="s">
        <v>238</v>
      </c>
      <c r="BA260" s="5" t="s">
        <v>238</v>
      </c>
      <c r="BC260" s="5" t="s">
        <v>250</v>
      </c>
      <c r="BD260" s="6" t="s">
        <v>243</v>
      </c>
      <c r="BE260" s="5" t="s">
        <v>251</v>
      </c>
      <c r="BF260" s="5" t="s">
        <v>252</v>
      </c>
      <c r="BG260" s="5" t="s">
        <v>238</v>
      </c>
      <c r="BH260" s="7">
        <f>0</f>
        <v>0</v>
      </c>
      <c r="BI260" s="8">
        <f>0</f>
        <v>0</v>
      </c>
      <c r="BJ260" s="5" t="s">
        <v>253</v>
      </c>
      <c r="BK260" s="5" t="s">
        <v>254</v>
      </c>
      <c r="BY260" s="5" t="s">
        <v>238</v>
      </c>
      <c r="BZ260" s="5" t="s">
        <v>238</v>
      </c>
      <c r="CD260" s="5" t="s">
        <v>255</v>
      </c>
      <c r="CE260" s="5" t="s">
        <v>256</v>
      </c>
      <c r="CF260" s="5" t="s">
        <v>238</v>
      </c>
      <c r="CI260" s="6" t="s">
        <v>257</v>
      </c>
      <c r="CJ260" s="5" t="s">
        <v>238</v>
      </c>
      <c r="CK260" s="5" t="s">
        <v>258</v>
      </c>
      <c r="CL260" s="5" t="s">
        <v>238</v>
      </c>
      <c r="CM260" s="5" t="s">
        <v>238</v>
      </c>
      <c r="CN260" s="5">
        <v>0</v>
      </c>
      <c r="CO260" s="5" t="s">
        <v>259</v>
      </c>
      <c r="CP260" s="5" t="s">
        <v>260</v>
      </c>
      <c r="CQ260" s="5" t="s">
        <v>260</v>
      </c>
      <c r="CR260" s="5" t="s">
        <v>261</v>
      </c>
      <c r="CU260" s="8">
        <f>109270</f>
        <v>109270</v>
      </c>
      <c r="CV260" s="8">
        <f>0</f>
        <v>0</v>
      </c>
      <c r="CX260" s="8">
        <f>0</f>
        <v>0</v>
      </c>
      <c r="CY260" s="8">
        <f>109270</f>
        <v>109270</v>
      </c>
      <c r="DA260" s="5" t="s">
        <v>673</v>
      </c>
      <c r="DB260" s="5" t="s">
        <v>238</v>
      </c>
      <c r="DD260" s="5" t="s">
        <v>356</v>
      </c>
      <c r="DE260" s="8">
        <f>0</f>
        <v>0</v>
      </c>
      <c r="DG260" s="5" t="s">
        <v>356</v>
      </c>
      <c r="DH260" s="5" t="s">
        <v>238</v>
      </c>
      <c r="DI260" s="5" t="s">
        <v>238</v>
      </c>
      <c r="DJ260" s="5" t="s">
        <v>238</v>
      </c>
      <c r="DN260" s="5" t="s">
        <v>238</v>
      </c>
      <c r="DO260" s="5" t="s">
        <v>238</v>
      </c>
      <c r="DP260" s="5" t="s">
        <v>238</v>
      </c>
      <c r="DQ260" s="5" t="s">
        <v>238</v>
      </c>
      <c r="DT260" s="5" t="s">
        <v>6062</v>
      </c>
      <c r="DU260" s="5" t="s">
        <v>1376</v>
      </c>
      <c r="HM260" s="5" t="s">
        <v>264</v>
      </c>
    </row>
    <row r="261" spans="1:221" x14ac:dyDescent="0.4">
      <c r="A261" s="5">
        <v>995</v>
      </c>
      <c r="B261" s="5">
        <v>1</v>
      </c>
      <c r="C261" s="5">
        <v>1</v>
      </c>
      <c r="D261" s="5" t="s">
        <v>6060</v>
      </c>
      <c r="E261" s="5" t="s">
        <v>4391</v>
      </c>
      <c r="F261" s="5" t="s">
        <v>248</v>
      </c>
      <c r="G261" s="5" t="s">
        <v>6059</v>
      </c>
      <c r="H261" s="6" t="s">
        <v>6064</v>
      </c>
      <c r="I261" s="7">
        <f>13</f>
        <v>13</v>
      </c>
      <c r="J261" s="5" t="s">
        <v>262</v>
      </c>
      <c r="K261" s="8">
        <f>6370</f>
        <v>6370</v>
      </c>
      <c r="L261" s="6" t="s">
        <v>242</v>
      </c>
      <c r="M261" s="5" t="s">
        <v>267</v>
      </c>
      <c r="N261" s="5" t="s">
        <v>237</v>
      </c>
      <c r="O261" s="5" t="s">
        <v>238</v>
      </c>
      <c r="P261" s="5" t="s">
        <v>238</v>
      </c>
      <c r="Q261" s="5" t="s">
        <v>268</v>
      </c>
      <c r="R261" s="5" t="s">
        <v>270</v>
      </c>
      <c r="S261" s="5" t="s">
        <v>238</v>
      </c>
      <c r="V261" s="5" t="s">
        <v>238</v>
      </c>
      <c r="X261" s="6" t="s">
        <v>238</v>
      </c>
      <c r="AA261" s="6" t="s">
        <v>243</v>
      </c>
      <c r="AB261" s="5" t="s">
        <v>238</v>
      </c>
      <c r="AC261" s="5" t="s">
        <v>244</v>
      </c>
      <c r="AD261" s="5" t="s">
        <v>245</v>
      </c>
      <c r="AT261" s="5" t="s">
        <v>246</v>
      </c>
      <c r="AU261" s="5" t="s">
        <v>238</v>
      </c>
      <c r="AV261" s="5" t="s">
        <v>247</v>
      </c>
      <c r="AW261" s="5" t="s">
        <v>238</v>
      </c>
      <c r="AX261" s="5" t="s">
        <v>249</v>
      </c>
      <c r="AY261" s="5" t="s">
        <v>238</v>
      </c>
      <c r="BA261" s="5" t="s">
        <v>238</v>
      </c>
      <c r="BC261" s="5" t="s">
        <v>250</v>
      </c>
      <c r="BD261" s="6" t="s">
        <v>243</v>
      </c>
      <c r="BE261" s="5" t="s">
        <v>251</v>
      </c>
      <c r="BF261" s="5" t="s">
        <v>252</v>
      </c>
      <c r="BG261" s="5" t="s">
        <v>238</v>
      </c>
      <c r="BH261" s="7">
        <f>0</f>
        <v>0</v>
      </c>
      <c r="BI261" s="8">
        <f>0</f>
        <v>0</v>
      </c>
      <c r="BJ261" s="5" t="s">
        <v>253</v>
      </c>
      <c r="BK261" s="5" t="s">
        <v>254</v>
      </c>
      <c r="BY261" s="5" t="s">
        <v>238</v>
      </c>
      <c r="BZ261" s="5" t="s">
        <v>238</v>
      </c>
      <c r="CD261" s="5" t="s">
        <v>255</v>
      </c>
      <c r="CE261" s="5" t="s">
        <v>256</v>
      </c>
      <c r="CF261" s="5" t="s">
        <v>238</v>
      </c>
      <c r="CI261" s="6" t="s">
        <v>257</v>
      </c>
      <c r="CJ261" s="5" t="s">
        <v>238</v>
      </c>
      <c r="CK261" s="5" t="s">
        <v>258</v>
      </c>
      <c r="CL261" s="5" t="s">
        <v>238</v>
      </c>
      <c r="CM261" s="5" t="s">
        <v>238</v>
      </c>
      <c r="CN261" s="5">
        <v>0</v>
      </c>
      <c r="CO261" s="5" t="s">
        <v>259</v>
      </c>
      <c r="CP261" s="5" t="s">
        <v>260</v>
      </c>
      <c r="CQ261" s="5" t="s">
        <v>260</v>
      </c>
      <c r="CR261" s="5" t="s">
        <v>261</v>
      </c>
      <c r="CU261" s="8">
        <f>6370</f>
        <v>6370</v>
      </c>
      <c r="CV261" s="8">
        <f>0</f>
        <v>0</v>
      </c>
      <c r="CX261" s="8">
        <f>0</f>
        <v>0</v>
      </c>
      <c r="CY261" s="8">
        <f>6370</f>
        <v>6370</v>
      </c>
      <c r="DA261" s="5" t="s">
        <v>673</v>
      </c>
      <c r="DB261" s="5" t="s">
        <v>238</v>
      </c>
      <c r="DD261" s="5" t="s">
        <v>356</v>
      </c>
      <c r="DE261" s="8">
        <f>0</f>
        <v>0</v>
      </c>
      <c r="DG261" s="5" t="s">
        <v>356</v>
      </c>
      <c r="DH261" s="5" t="s">
        <v>238</v>
      </c>
      <c r="DI261" s="5" t="s">
        <v>238</v>
      </c>
      <c r="DJ261" s="5" t="s">
        <v>238</v>
      </c>
      <c r="DN261" s="5" t="s">
        <v>238</v>
      </c>
      <c r="DO261" s="5" t="s">
        <v>238</v>
      </c>
      <c r="DP261" s="5" t="s">
        <v>238</v>
      </c>
      <c r="DQ261" s="5" t="s">
        <v>238</v>
      </c>
      <c r="DT261" s="5" t="s">
        <v>6062</v>
      </c>
      <c r="DU261" s="5" t="s">
        <v>1372</v>
      </c>
      <c r="HM261" s="5" t="s">
        <v>264</v>
      </c>
    </row>
    <row r="262" spans="1:221" x14ac:dyDescent="0.4">
      <c r="A262" s="5">
        <v>996</v>
      </c>
      <c r="B262" s="5">
        <v>1</v>
      </c>
      <c r="C262" s="5">
        <v>1</v>
      </c>
      <c r="D262" s="5" t="s">
        <v>6060</v>
      </c>
      <c r="E262" s="5" t="s">
        <v>4391</v>
      </c>
      <c r="F262" s="5" t="s">
        <v>248</v>
      </c>
      <c r="G262" s="5" t="s">
        <v>6059</v>
      </c>
      <c r="H262" s="6" t="s">
        <v>6365</v>
      </c>
      <c r="I262" s="7">
        <f>181</f>
        <v>181</v>
      </c>
      <c r="J262" s="5" t="s">
        <v>262</v>
      </c>
      <c r="K262" s="8">
        <f>88690</f>
        <v>88690</v>
      </c>
      <c r="L262" s="6" t="s">
        <v>242</v>
      </c>
      <c r="M262" s="5" t="s">
        <v>267</v>
      </c>
      <c r="N262" s="5" t="s">
        <v>237</v>
      </c>
      <c r="O262" s="5" t="s">
        <v>238</v>
      </c>
      <c r="P262" s="5" t="s">
        <v>238</v>
      </c>
      <c r="Q262" s="5" t="s">
        <v>268</v>
      </c>
      <c r="R262" s="5" t="s">
        <v>270</v>
      </c>
      <c r="S262" s="5" t="s">
        <v>238</v>
      </c>
      <c r="V262" s="5" t="s">
        <v>238</v>
      </c>
      <c r="X262" s="6" t="s">
        <v>238</v>
      </c>
      <c r="AA262" s="6" t="s">
        <v>243</v>
      </c>
      <c r="AB262" s="5" t="s">
        <v>238</v>
      </c>
      <c r="AC262" s="5" t="s">
        <v>244</v>
      </c>
      <c r="AD262" s="5" t="s">
        <v>245</v>
      </c>
      <c r="AT262" s="5" t="s">
        <v>246</v>
      </c>
      <c r="AU262" s="5" t="s">
        <v>238</v>
      </c>
      <c r="AV262" s="5" t="s">
        <v>247</v>
      </c>
      <c r="AW262" s="5" t="s">
        <v>238</v>
      </c>
      <c r="AX262" s="5" t="s">
        <v>249</v>
      </c>
      <c r="AY262" s="5" t="s">
        <v>238</v>
      </c>
      <c r="BA262" s="5" t="s">
        <v>238</v>
      </c>
      <c r="BC262" s="5" t="s">
        <v>250</v>
      </c>
      <c r="BD262" s="6" t="s">
        <v>243</v>
      </c>
      <c r="BE262" s="5" t="s">
        <v>251</v>
      </c>
      <c r="BF262" s="5" t="s">
        <v>252</v>
      </c>
      <c r="BG262" s="5" t="s">
        <v>238</v>
      </c>
      <c r="BH262" s="7">
        <f>0</f>
        <v>0</v>
      </c>
      <c r="BI262" s="8">
        <f>0</f>
        <v>0</v>
      </c>
      <c r="BJ262" s="5" t="s">
        <v>253</v>
      </c>
      <c r="BK262" s="5" t="s">
        <v>254</v>
      </c>
      <c r="BY262" s="5" t="s">
        <v>238</v>
      </c>
      <c r="BZ262" s="5" t="s">
        <v>238</v>
      </c>
      <c r="CD262" s="5" t="s">
        <v>255</v>
      </c>
      <c r="CE262" s="5" t="s">
        <v>256</v>
      </c>
      <c r="CF262" s="5" t="s">
        <v>238</v>
      </c>
      <c r="CI262" s="6" t="s">
        <v>257</v>
      </c>
      <c r="CJ262" s="5" t="s">
        <v>238</v>
      </c>
      <c r="CK262" s="5" t="s">
        <v>258</v>
      </c>
      <c r="CL262" s="5" t="s">
        <v>238</v>
      </c>
      <c r="CM262" s="5" t="s">
        <v>238</v>
      </c>
      <c r="CN262" s="5">
        <v>0</v>
      </c>
      <c r="CO262" s="5" t="s">
        <v>259</v>
      </c>
      <c r="CP262" s="5" t="s">
        <v>260</v>
      </c>
      <c r="CQ262" s="5" t="s">
        <v>260</v>
      </c>
      <c r="CR262" s="5" t="s">
        <v>261</v>
      </c>
      <c r="CU262" s="8">
        <f>88690</f>
        <v>88690</v>
      </c>
      <c r="CV262" s="8">
        <f>0</f>
        <v>0</v>
      </c>
      <c r="CX262" s="8">
        <f>0</f>
        <v>0</v>
      </c>
      <c r="CY262" s="8">
        <f>88690</f>
        <v>88690</v>
      </c>
      <c r="DA262" s="5" t="s">
        <v>673</v>
      </c>
      <c r="DB262" s="5" t="s">
        <v>238</v>
      </c>
      <c r="DD262" s="5" t="s">
        <v>356</v>
      </c>
      <c r="DE262" s="8">
        <f>0</f>
        <v>0</v>
      </c>
      <c r="DG262" s="5" t="s">
        <v>356</v>
      </c>
      <c r="DH262" s="5" t="s">
        <v>238</v>
      </c>
      <c r="DI262" s="5" t="s">
        <v>238</v>
      </c>
      <c r="DJ262" s="5" t="s">
        <v>238</v>
      </c>
      <c r="DN262" s="5" t="s">
        <v>238</v>
      </c>
      <c r="DO262" s="5" t="s">
        <v>238</v>
      </c>
      <c r="DP262" s="5" t="s">
        <v>238</v>
      </c>
      <c r="DQ262" s="5" t="s">
        <v>238</v>
      </c>
      <c r="DT262" s="5" t="s">
        <v>6062</v>
      </c>
      <c r="DU262" s="5" t="s">
        <v>1370</v>
      </c>
      <c r="HM262" s="5" t="s">
        <v>264</v>
      </c>
    </row>
    <row r="263" spans="1:221" x14ac:dyDescent="0.4">
      <c r="A263" s="5">
        <v>997</v>
      </c>
      <c r="B263" s="5">
        <v>1</v>
      </c>
      <c r="C263" s="5">
        <v>1</v>
      </c>
      <c r="D263" s="5" t="s">
        <v>6060</v>
      </c>
      <c r="E263" s="5" t="s">
        <v>4391</v>
      </c>
      <c r="F263" s="5" t="s">
        <v>248</v>
      </c>
      <c r="G263" s="5" t="s">
        <v>6059</v>
      </c>
      <c r="H263" s="6" t="s">
        <v>6065</v>
      </c>
      <c r="I263" s="7">
        <f>610</f>
        <v>610</v>
      </c>
      <c r="J263" s="5" t="s">
        <v>262</v>
      </c>
      <c r="K263" s="8">
        <f>298900</f>
        <v>298900</v>
      </c>
      <c r="L263" s="6" t="s">
        <v>242</v>
      </c>
      <c r="M263" s="5" t="s">
        <v>267</v>
      </c>
      <c r="N263" s="5" t="s">
        <v>237</v>
      </c>
      <c r="O263" s="5" t="s">
        <v>238</v>
      </c>
      <c r="P263" s="5" t="s">
        <v>238</v>
      </c>
      <c r="Q263" s="5" t="s">
        <v>268</v>
      </c>
      <c r="R263" s="5" t="s">
        <v>270</v>
      </c>
      <c r="S263" s="5" t="s">
        <v>238</v>
      </c>
      <c r="V263" s="5" t="s">
        <v>238</v>
      </c>
      <c r="X263" s="6" t="s">
        <v>238</v>
      </c>
      <c r="AA263" s="6" t="s">
        <v>243</v>
      </c>
      <c r="AB263" s="5" t="s">
        <v>238</v>
      </c>
      <c r="AC263" s="5" t="s">
        <v>244</v>
      </c>
      <c r="AD263" s="5" t="s">
        <v>245</v>
      </c>
      <c r="AT263" s="5" t="s">
        <v>246</v>
      </c>
      <c r="AU263" s="5" t="s">
        <v>238</v>
      </c>
      <c r="AV263" s="5" t="s">
        <v>247</v>
      </c>
      <c r="AW263" s="5" t="s">
        <v>238</v>
      </c>
      <c r="AX263" s="5" t="s">
        <v>249</v>
      </c>
      <c r="AY263" s="5" t="s">
        <v>238</v>
      </c>
      <c r="BA263" s="5" t="s">
        <v>238</v>
      </c>
      <c r="BC263" s="5" t="s">
        <v>250</v>
      </c>
      <c r="BD263" s="6" t="s">
        <v>243</v>
      </c>
      <c r="BE263" s="5" t="s">
        <v>251</v>
      </c>
      <c r="BF263" s="5" t="s">
        <v>252</v>
      </c>
      <c r="BG263" s="5" t="s">
        <v>238</v>
      </c>
      <c r="BH263" s="7">
        <f>0</f>
        <v>0</v>
      </c>
      <c r="BI263" s="8">
        <f>0</f>
        <v>0</v>
      </c>
      <c r="BJ263" s="5" t="s">
        <v>253</v>
      </c>
      <c r="BK263" s="5" t="s">
        <v>254</v>
      </c>
      <c r="BY263" s="5" t="s">
        <v>238</v>
      </c>
      <c r="BZ263" s="5" t="s">
        <v>238</v>
      </c>
      <c r="CD263" s="5" t="s">
        <v>255</v>
      </c>
      <c r="CE263" s="5" t="s">
        <v>256</v>
      </c>
      <c r="CF263" s="5" t="s">
        <v>238</v>
      </c>
      <c r="CI263" s="6" t="s">
        <v>257</v>
      </c>
      <c r="CJ263" s="5" t="s">
        <v>238</v>
      </c>
      <c r="CK263" s="5" t="s">
        <v>258</v>
      </c>
      <c r="CL263" s="5" t="s">
        <v>238</v>
      </c>
      <c r="CM263" s="5" t="s">
        <v>238</v>
      </c>
      <c r="CN263" s="5">
        <v>0</v>
      </c>
      <c r="CO263" s="5" t="s">
        <v>259</v>
      </c>
      <c r="CP263" s="5" t="s">
        <v>260</v>
      </c>
      <c r="CQ263" s="5" t="s">
        <v>260</v>
      </c>
      <c r="CR263" s="5" t="s">
        <v>261</v>
      </c>
      <c r="CU263" s="8">
        <f>298900</f>
        <v>298900</v>
      </c>
      <c r="CV263" s="8">
        <f>0</f>
        <v>0</v>
      </c>
      <c r="CX263" s="8">
        <f>0</f>
        <v>0</v>
      </c>
      <c r="CY263" s="8">
        <f>298900</f>
        <v>298900</v>
      </c>
      <c r="DA263" s="5" t="s">
        <v>673</v>
      </c>
      <c r="DB263" s="5" t="s">
        <v>238</v>
      </c>
      <c r="DD263" s="5" t="s">
        <v>356</v>
      </c>
      <c r="DE263" s="8">
        <f>0</f>
        <v>0</v>
      </c>
      <c r="DG263" s="5" t="s">
        <v>356</v>
      </c>
      <c r="DH263" s="5" t="s">
        <v>238</v>
      </c>
      <c r="DI263" s="5" t="s">
        <v>238</v>
      </c>
      <c r="DJ263" s="5" t="s">
        <v>238</v>
      </c>
      <c r="DN263" s="5" t="s">
        <v>238</v>
      </c>
      <c r="DO263" s="5" t="s">
        <v>238</v>
      </c>
      <c r="DP263" s="5" t="s">
        <v>238</v>
      </c>
      <c r="DQ263" s="5" t="s">
        <v>238</v>
      </c>
      <c r="DT263" s="5" t="s">
        <v>6062</v>
      </c>
      <c r="DU263" s="5" t="s">
        <v>1364</v>
      </c>
      <c r="HM263" s="5" t="s">
        <v>264</v>
      </c>
    </row>
    <row r="264" spans="1:221" x14ac:dyDescent="0.4">
      <c r="A264" s="5">
        <v>998</v>
      </c>
      <c r="B264" s="5">
        <v>1</v>
      </c>
      <c r="C264" s="5">
        <v>1</v>
      </c>
      <c r="D264" s="5" t="s">
        <v>6060</v>
      </c>
      <c r="E264" s="5" t="s">
        <v>4391</v>
      </c>
      <c r="F264" s="5" t="s">
        <v>248</v>
      </c>
      <c r="G264" s="5" t="s">
        <v>6059</v>
      </c>
      <c r="H264" s="6" t="s">
        <v>6066</v>
      </c>
      <c r="I264" s="7">
        <f>149</f>
        <v>149</v>
      </c>
      <c r="J264" s="5" t="s">
        <v>262</v>
      </c>
      <c r="K264" s="8">
        <f>73010</f>
        <v>73010</v>
      </c>
      <c r="L264" s="6" t="s">
        <v>242</v>
      </c>
      <c r="M264" s="5" t="s">
        <v>267</v>
      </c>
      <c r="N264" s="5" t="s">
        <v>237</v>
      </c>
      <c r="O264" s="5" t="s">
        <v>238</v>
      </c>
      <c r="P264" s="5" t="s">
        <v>238</v>
      </c>
      <c r="Q264" s="5" t="s">
        <v>268</v>
      </c>
      <c r="R264" s="5" t="s">
        <v>270</v>
      </c>
      <c r="S264" s="5" t="s">
        <v>238</v>
      </c>
      <c r="V264" s="5" t="s">
        <v>238</v>
      </c>
      <c r="X264" s="6" t="s">
        <v>238</v>
      </c>
      <c r="AA264" s="6" t="s">
        <v>243</v>
      </c>
      <c r="AB264" s="5" t="s">
        <v>238</v>
      </c>
      <c r="AC264" s="5" t="s">
        <v>244</v>
      </c>
      <c r="AD264" s="5" t="s">
        <v>245</v>
      </c>
      <c r="AT264" s="5" t="s">
        <v>246</v>
      </c>
      <c r="AU264" s="5" t="s">
        <v>238</v>
      </c>
      <c r="AV264" s="5" t="s">
        <v>247</v>
      </c>
      <c r="AW264" s="5" t="s">
        <v>238</v>
      </c>
      <c r="AX264" s="5" t="s">
        <v>249</v>
      </c>
      <c r="AY264" s="5" t="s">
        <v>238</v>
      </c>
      <c r="BA264" s="5" t="s">
        <v>238</v>
      </c>
      <c r="BC264" s="5" t="s">
        <v>250</v>
      </c>
      <c r="BD264" s="6" t="s">
        <v>243</v>
      </c>
      <c r="BE264" s="5" t="s">
        <v>251</v>
      </c>
      <c r="BF264" s="5" t="s">
        <v>252</v>
      </c>
      <c r="BG264" s="5" t="s">
        <v>238</v>
      </c>
      <c r="BH264" s="7">
        <f>0</f>
        <v>0</v>
      </c>
      <c r="BI264" s="8">
        <f>0</f>
        <v>0</v>
      </c>
      <c r="BJ264" s="5" t="s">
        <v>253</v>
      </c>
      <c r="BK264" s="5" t="s">
        <v>254</v>
      </c>
      <c r="BY264" s="5" t="s">
        <v>238</v>
      </c>
      <c r="BZ264" s="5" t="s">
        <v>238</v>
      </c>
      <c r="CD264" s="5" t="s">
        <v>255</v>
      </c>
      <c r="CE264" s="5" t="s">
        <v>256</v>
      </c>
      <c r="CF264" s="5" t="s">
        <v>238</v>
      </c>
      <c r="CI264" s="6" t="s">
        <v>257</v>
      </c>
      <c r="CJ264" s="5" t="s">
        <v>238</v>
      </c>
      <c r="CK264" s="5" t="s">
        <v>258</v>
      </c>
      <c r="CL264" s="5" t="s">
        <v>238</v>
      </c>
      <c r="CM264" s="5" t="s">
        <v>238</v>
      </c>
      <c r="CN264" s="5">
        <v>0</v>
      </c>
      <c r="CO264" s="5" t="s">
        <v>259</v>
      </c>
      <c r="CP264" s="5" t="s">
        <v>260</v>
      </c>
      <c r="CQ264" s="5" t="s">
        <v>260</v>
      </c>
      <c r="CR264" s="5" t="s">
        <v>261</v>
      </c>
      <c r="CU264" s="8">
        <f>73010</f>
        <v>73010</v>
      </c>
      <c r="CV264" s="8">
        <f>0</f>
        <v>0</v>
      </c>
      <c r="CX264" s="8">
        <f>0</f>
        <v>0</v>
      </c>
      <c r="CY264" s="8">
        <f>73010</f>
        <v>73010</v>
      </c>
      <c r="DA264" s="5" t="s">
        <v>673</v>
      </c>
      <c r="DB264" s="5" t="s">
        <v>238</v>
      </c>
      <c r="DD264" s="5" t="s">
        <v>356</v>
      </c>
      <c r="DE264" s="8">
        <f>0</f>
        <v>0</v>
      </c>
      <c r="DG264" s="5" t="s">
        <v>356</v>
      </c>
      <c r="DH264" s="5" t="s">
        <v>238</v>
      </c>
      <c r="DI264" s="5" t="s">
        <v>238</v>
      </c>
      <c r="DJ264" s="5" t="s">
        <v>238</v>
      </c>
      <c r="DN264" s="5" t="s">
        <v>238</v>
      </c>
      <c r="DO264" s="5" t="s">
        <v>238</v>
      </c>
      <c r="DP264" s="5" t="s">
        <v>238</v>
      </c>
      <c r="DQ264" s="5" t="s">
        <v>238</v>
      </c>
      <c r="DT264" s="5" t="s">
        <v>6062</v>
      </c>
      <c r="DU264" s="5" t="s">
        <v>1360</v>
      </c>
      <c r="HM264" s="5" t="s">
        <v>264</v>
      </c>
    </row>
    <row r="265" spans="1:221" x14ac:dyDescent="0.4">
      <c r="A265" s="5">
        <v>999</v>
      </c>
      <c r="B265" s="5">
        <v>1</v>
      </c>
      <c r="C265" s="5">
        <v>1</v>
      </c>
      <c r="D265" s="5" t="s">
        <v>6060</v>
      </c>
      <c r="E265" s="5" t="s">
        <v>4391</v>
      </c>
      <c r="F265" s="5" t="s">
        <v>248</v>
      </c>
      <c r="G265" s="5" t="s">
        <v>6059</v>
      </c>
      <c r="H265" s="6" t="s">
        <v>6067</v>
      </c>
      <c r="I265" s="7">
        <f>215</f>
        <v>215</v>
      </c>
      <c r="J265" s="5" t="s">
        <v>262</v>
      </c>
      <c r="K265" s="8">
        <f>105350</f>
        <v>105350</v>
      </c>
      <c r="L265" s="6" t="s">
        <v>242</v>
      </c>
      <c r="M265" s="5" t="s">
        <v>267</v>
      </c>
      <c r="N265" s="5" t="s">
        <v>237</v>
      </c>
      <c r="O265" s="5" t="s">
        <v>238</v>
      </c>
      <c r="P265" s="5" t="s">
        <v>238</v>
      </c>
      <c r="Q265" s="5" t="s">
        <v>268</v>
      </c>
      <c r="R265" s="5" t="s">
        <v>270</v>
      </c>
      <c r="S265" s="5" t="s">
        <v>238</v>
      </c>
      <c r="V265" s="5" t="s">
        <v>238</v>
      </c>
      <c r="X265" s="6" t="s">
        <v>238</v>
      </c>
      <c r="AA265" s="6" t="s">
        <v>243</v>
      </c>
      <c r="AB265" s="5" t="s">
        <v>238</v>
      </c>
      <c r="AC265" s="5" t="s">
        <v>244</v>
      </c>
      <c r="AD265" s="5" t="s">
        <v>245</v>
      </c>
      <c r="AT265" s="5" t="s">
        <v>246</v>
      </c>
      <c r="AU265" s="5" t="s">
        <v>238</v>
      </c>
      <c r="AV265" s="5" t="s">
        <v>247</v>
      </c>
      <c r="AW265" s="5" t="s">
        <v>238</v>
      </c>
      <c r="AX265" s="5" t="s">
        <v>249</v>
      </c>
      <c r="AY265" s="5" t="s">
        <v>238</v>
      </c>
      <c r="BA265" s="5" t="s">
        <v>238</v>
      </c>
      <c r="BC265" s="5" t="s">
        <v>250</v>
      </c>
      <c r="BD265" s="6" t="s">
        <v>243</v>
      </c>
      <c r="BE265" s="5" t="s">
        <v>251</v>
      </c>
      <c r="BF265" s="5" t="s">
        <v>252</v>
      </c>
      <c r="BG265" s="5" t="s">
        <v>238</v>
      </c>
      <c r="BH265" s="7">
        <f>0</f>
        <v>0</v>
      </c>
      <c r="BI265" s="8">
        <f>0</f>
        <v>0</v>
      </c>
      <c r="BJ265" s="5" t="s">
        <v>253</v>
      </c>
      <c r="BK265" s="5" t="s">
        <v>254</v>
      </c>
      <c r="BY265" s="5" t="s">
        <v>238</v>
      </c>
      <c r="BZ265" s="5" t="s">
        <v>238</v>
      </c>
      <c r="CD265" s="5" t="s">
        <v>255</v>
      </c>
      <c r="CE265" s="5" t="s">
        <v>256</v>
      </c>
      <c r="CF265" s="5" t="s">
        <v>238</v>
      </c>
      <c r="CI265" s="6" t="s">
        <v>257</v>
      </c>
      <c r="CJ265" s="5" t="s">
        <v>238</v>
      </c>
      <c r="CK265" s="5" t="s">
        <v>258</v>
      </c>
      <c r="CL265" s="5" t="s">
        <v>238</v>
      </c>
      <c r="CM265" s="5" t="s">
        <v>238</v>
      </c>
      <c r="CN265" s="5">
        <v>0</v>
      </c>
      <c r="CO265" s="5" t="s">
        <v>259</v>
      </c>
      <c r="CP265" s="5" t="s">
        <v>260</v>
      </c>
      <c r="CQ265" s="5" t="s">
        <v>260</v>
      </c>
      <c r="CR265" s="5" t="s">
        <v>261</v>
      </c>
      <c r="CU265" s="8">
        <f>105350</f>
        <v>105350</v>
      </c>
      <c r="CV265" s="8">
        <f>0</f>
        <v>0</v>
      </c>
      <c r="CX265" s="8">
        <f>0</f>
        <v>0</v>
      </c>
      <c r="CY265" s="8">
        <f>105350</f>
        <v>105350</v>
      </c>
      <c r="DA265" s="5" t="s">
        <v>673</v>
      </c>
      <c r="DB265" s="5" t="s">
        <v>238</v>
      </c>
      <c r="DD265" s="5" t="s">
        <v>356</v>
      </c>
      <c r="DE265" s="8">
        <f>0</f>
        <v>0</v>
      </c>
      <c r="DG265" s="5" t="s">
        <v>356</v>
      </c>
      <c r="DH265" s="5" t="s">
        <v>238</v>
      </c>
      <c r="DI265" s="5" t="s">
        <v>238</v>
      </c>
      <c r="DJ265" s="5" t="s">
        <v>238</v>
      </c>
      <c r="DN265" s="5" t="s">
        <v>238</v>
      </c>
      <c r="DO265" s="5" t="s">
        <v>238</v>
      </c>
      <c r="DP265" s="5" t="s">
        <v>238</v>
      </c>
      <c r="DQ265" s="5" t="s">
        <v>238</v>
      </c>
      <c r="DT265" s="5" t="s">
        <v>6062</v>
      </c>
      <c r="DU265" s="5" t="s">
        <v>1358</v>
      </c>
      <c r="HM265" s="5" t="s">
        <v>264</v>
      </c>
    </row>
    <row r="266" spans="1:221" x14ac:dyDescent="0.4">
      <c r="A266" s="5">
        <v>1000</v>
      </c>
      <c r="B266" s="5">
        <v>1</v>
      </c>
      <c r="C266" s="5">
        <v>1</v>
      </c>
      <c r="D266" s="5" t="s">
        <v>6060</v>
      </c>
      <c r="E266" s="5" t="s">
        <v>4391</v>
      </c>
      <c r="F266" s="5" t="s">
        <v>248</v>
      </c>
      <c r="G266" s="5" t="s">
        <v>6059</v>
      </c>
      <c r="H266" s="6" t="s">
        <v>6364</v>
      </c>
      <c r="I266" s="7">
        <f>148</f>
        <v>148</v>
      </c>
      <c r="J266" s="5" t="s">
        <v>262</v>
      </c>
      <c r="K266" s="8">
        <f>72520</f>
        <v>72520</v>
      </c>
      <c r="L266" s="6" t="s">
        <v>242</v>
      </c>
      <c r="M266" s="5" t="s">
        <v>267</v>
      </c>
      <c r="N266" s="5" t="s">
        <v>237</v>
      </c>
      <c r="O266" s="5" t="s">
        <v>238</v>
      </c>
      <c r="P266" s="5" t="s">
        <v>238</v>
      </c>
      <c r="Q266" s="5" t="s">
        <v>268</v>
      </c>
      <c r="R266" s="5" t="s">
        <v>270</v>
      </c>
      <c r="S266" s="5" t="s">
        <v>238</v>
      </c>
      <c r="V266" s="5" t="s">
        <v>238</v>
      </c>
      <c r="X266" s="6" t="s">
        <v>238</v>
      </c>
      <c r="AA266" s="6" t="s">
        <v>243</v>
      </c>
      <c r="AB266" s="5" t="s">
        <v>238</v>
      </c>
      <c r="AC266" s="5" t="s">
        <v>244</v>
      </c>
      <c r="AD266" s="5" t="s">
        <v>245</v>
      </c>
      <c r="AT266" s="5" t="s">
        <v>246</v>
      </c>
      <c r="AU266" s="5" t="s">
        <v>238</v>
      </c>
      <c r="AV266" s="5" t="s">
        <v>247</v>
      </c>
      <c r="AW266" s="5" t="s">
        <v>238</v>
      </c>
      <c r="AX266" s="5" t="s">
        <v>249</v>
      </c>
      <c r="AY266" s="5" t="s">
        <v>238</v>
      </c>
      <c r="BA266" s="5" t="s">
        <v>238</v>
      </c>
      <c r="BC266" s="5" t="s">
        <v>250</v>
      </c>
      <c r="BD266" s="6" t="s">
        <v>243</v>
      </c>
      <c r="BE266" s="5" t="s">
        <v>251</v>
      </c>
      <c r="BF266" s="5" t="s">
        <v>252</v>
      </c>
      <c r="BG266" s="5" t="s">
        <v>238</v>
      </c>
      <c r="BH266" s="7">
        <f>0</f>
        <v>0</v>
      </c>
      <c r="BI266" s="8">
        <f>0</f>
        <v>0</v>
      </c>
      <c r="BJ266" s="5" t="s">
        <v>253</v>
      </c>
      <c r="BK266" s="5" t="s">
        <v>254</v>
      </c>
      <c r="BY266" s="5" t="s">
        <v>238</v>
      </c>
      <c r="BZ266" s="5" t="s">
        <v>238</v>
      </c>
      <c r="CD266" s="5" t="s">
        <v>255</v>
      </c>
      <c r="CE266" s="5" t="s">
        <v>256</v>
      </c>
      <c r="CF266" s="5" t="s">
        <v>238</v>
      </c>
      <c r="CI266" s="6" t="s">
        <v>257</v>
      </c>
      <c r="CJ266" s="5" t="s">
        <v>238</v>
      </c>
      <c r="CK266" s="5" t="s">
        <v>258</v>
      </c>
      <c r="CL266" s="5" t="s">
        <v>238</v>
      </c>
      <c r="CM266" s="5" t="s">
        <v>238</v>
      </c>
      <c r="CN266" s="5">
        <v>0</v>
      </c>
      <c r="CO266" s="5" t="s">
        <v>259</v>
      </c>
      <c r="CP266" s="5" t="s">
        <v>260</v>
      </c>
      <c r="CQ266" s="5" t="s">
        <v>260</v>
      </c>
      <c r="CR266" s="5" t="s">
        <v>261</v>
      </c>
      <c r="CU266" s="8">
        <f>72520</f>
        <v>72520</v>
      </c>
      <c r="CV266" s="8">
        <f>0</f>
        <v>0</v>
      </c>
      <c r="CX266" s="8">
        <f>0</f>
        <v>0</v>
      </c>
      <c r="CY266" s="8">
        <f>72520</f>
        <v>72520</v>
      </c>
      <c r="DA266" s="5" t="s">
        <v>673</v>
      </c>
      <c r="DB266" s="5" t="s">
        <v>238</v>
      </c>
      <c r="DD266" s="5" t="s">
        <v>356</v>
      </c>
      <c r="DE266" s="8">
        <f>0</f>
        <v>0</v>
      </c>
      <c r="DG266" s="5" t="s">
        <v>356</v>
      </c>
      <c r="DH266" s="5" t="s">
        <v>238</v>
      </c>
      <c r="DI266" s="5" t="s">
        <v>238</v>
      </c>
      <c r="DJ266" s="5" t="s">
        <v>238</v>
      </c>
      <c r="DN266" s="5" t="s">
        <v>238</v>
      </c>
      <c r="DO266" s="5" t="s">
        <v>238</v>
      </c>
      <c r="DP266" s="5" t="s">
        <v>238</v>
      </c>
      <c r="DQ266" s="5" t="s">
        <v>238</v>
      </c>
      <c r="DT266" s="5" t="s">
        <v>6062</v>
      </c>
      <c r="DU266" s="5" t="s">
        <v>976</v>
      </c>
      <c r="HM266" s="5" t="s">
        <v>264</v>
      </c>
    </row>
    <row r="267" spans="1:221" x14ac:dyDescent="0.4">
      <c r="A267" s="5">
        <v>1001</v>
      </c>
      <c r="B267" s="5">
        <v>1</v>
      </c>
      <c r="C267" s="5">
        <v>1</v>
      </c>
      <c r="D267" s="5" t="s">
        <v>6060</v>
      </c>
      <c r="E267" s="5" t="s">
        <v>4391</v>
      </c>
      <c r="F267" s="5" t="s">
        <v>248</v>
      </c>
      <c r="G267" s="5" t="s">
        <v>6059</v>
      </c>
      <c r="H267" s="6" t="s">
        <v>6362</v>
      </c>
      <c r="I267" s="7">
        <f>991</f>
        <v>991</v>
      </c>
      <c r="J267" s="5" t="s">
        <v>262</v>
      </c>
      <c r="K267" s="8">
        <f>485590</f>
        <v>485590</v>
      </c>
      <c r="L267" s="6" t="s">
        <v>242</v>
      </c>
      <c r="M267" s="5" t="s">
        <v>267</v>
      </c>
      <c r="N267" s="5" t="s">
        <v>237</v>
      </c>
      <c r="O267" s="5" t="s">
        <v>238</v>
      </c>
      <c r="P267" s="5" t="s">
        <v>238</v>
      </c>
      <c r="Q267" s="5" t="s">
        <v>268</v>
      </c>
      <c r="R267" s="5" t="s">
        <v>270</v>
      </c>
      <c r="S267" s="5" t="s">
        <v>238</v>
      </c>
      <c r="V267" s="5" t="s">
        <v>238</v>
      </c>
      <c r="X267" s="6" t="s">
        <v>238</v>
      </c>
      <c r="AA267" s="6" t="s">
        <v>243</v>
      </c>
      <c r="AB267" s="5" t="s">
        <v>238</v>
      </c>
      <c r="AC267" s="5" t="s">
        <v>244</v>
      </c>
      <c r="AD267" s="5" t="s">
        <v>245</v>
      </c>
      <c r="AT267" s="5" t="s">
        <v>246</v>
      </c>
      <c r="AU267" s="5" t="s">
        <v>238</v>
      </c>
      <c r="AV267" s="5" t="s">
        <v>247</v>
      </c>
      <c r="AW267" s="5" t="s">
        <v>238</v>
      </c>
      <c r="AX267" s="5" t="s">
        <v>249</v>
      </c>
      <c r="AY267" s="5" t="s">
        <v>238</v>
      </c>
      <c r="BA267" s="5" t="s">
        <v>238</v>
      </c>
      <c r="BC267" s="5" t="s">
        <v>250</v>
      </c>
      <c r="BD267" s="6" t="s">
        <v>243</v>
      </c>
      <c r="BE267" s="5" t="s">
        <v>251</v>
      </c>
      <c r="BF267" s="5" t="s">
        <v>252</v>
      </c>
      <c r="BG267" s="5" t="s">
        <v>238</v>
      </c>
      <c r="BH267" s="7">
        <f>0</f>
        <v>0</v>
      </c>
      <c r="BI267" s="8">
        <f>0</f>
        <v>0</v>
      </c>
      <c r="BJ267" s="5" t="s">
        <v>253</v>
      </c>
      <c r="BK267" s="5" t="s">
        <v>254</v>
      </c>
      <c r="BY267" s="5" t="s">
        <v>238</v>
      </c>
      <c r="BZ267" s="5" t="s">
        <v>238</v>
      </c>
      <c r="CD267" s="5" t="s">
        <v>255</v>
      </c>
      <c r="CE267" s="5" t="s">
        <v>256</v>
      </c>
      <c r="CF267" s="5" t="s">
        <v>238</v>
      </c>
      <c r="CI267" s="6" t="s">
        <v>257</v>
      </c>
      <c r="CJ267" s="5" t="s">
        <v>238</v>
      </c>
      <c r="CK267" s="5" t="s">
        <v>258</v>
      </c>
      <c r="CL267" s="5" t="s">
        <v>238</v>
      </c>
      <c r="CM267" s="5" t="s">
        <v>238</v>
      </c>
      <c r="CN267" s="5">
        <v>0</v>
      </c>
      <c r="CO267" s="5" t="s">
        <v>259</v>
      </c>
      <c r="CP267" s="5" t="s">
        <v>260</v>
      </c>
      <c r="CQ267" s="5" t="s">
        <v>260</v>
      </c>
      <c r="CR267" s="5" t="s">
        <v>261</v>
      </c>
      <c r="CU267" s="8">
        <f>485590</f>
        <v>485590</v>
      </c>
      <c r="CV267" s="8">
        <f>0</f>
        <v>0</v>
      </c>
      <c r="CX267" s="8">
        <f>0</f>
        <v>0</v>
      </c>
      <c r="CY267" s="8">
        <f>485590</f>
        <v>485590</v>
      </c>
      <c r="DA267" s="5" t="s">
        <v>673</v>
      </c>
      <c r="DB267" s="5" t="s">
        <v>238</v>
      </c>
      <c r="DD267" s="5" t="s">
        <v>356</v>
      </c>
      <c r="DE267" s="8">
        <f>0</f>
        <v>0</v>
      </c>
      <c r="DG267" s="5" t="s">
        <v>356</v>
      </c>
      <c r="DH267" s="5" t="s">
        <v>238</v>
      </c>
      <c r="DI267" s="5" t="s">
        <v>238</v>
      </c>
      <c r="DJ267" s="5" t="s">
        <v>238</v>
      </c>
      <c r="DN267" s="5" t="s">
        <v>238</v>
      </c>
      <c r="DO267" s="5" t="s">
        <v>238</v>
      </c>
      <c r="DP267" s="5" t="s">
        <v>238</v>
      </c>
      <c r="DQ267" s="5" t="s">
        <v>238</v>
      </c>
      <c r="DT267" s="5" t="s">
        <v>6062</v>
      </c>
      <c r="DU267" s="5" t="s">
        <v>1354</v>
      </c>
      <c r="HM267" s="5" t="s">
        <v>264</v>
      </c>
    </row>
    <row r="268" spans="1:221" x14ac:dyDescent="0.4">
      <c r="A268" s="5">
        <v>1002</v>
      </c>
      <c r="B268" s="5">
        <v>1</v>
      </c>
      <c r="C268" s="5">
        <v>1</v>
      </c>
      <c r="D268" s="5" t="s">
        <v>6060</v>
      </c>
      <c r="E268" s="5" t="s">
        <v>4391</v>
      </c>
      <c r="F268" s="5" t="s">
        <v>248</v>
      </c>
      <c r="G268" s="5" t="s">
        <v>6059</v>
      </c>
      <c r="H268" s="6" t="s">
        <v>6068</v>
      </c>
      <c r="I268" s="7">
        <f>65</f>
        <v>65</v>
      </c>
      <c r="J268" s="5" t="s">
        <v>262</v>
      </c>
      <c r="K268" s="8">
        <f>31850</f>
        <v>31850</v>
      </c>
      <c r="L268" s="6" t="s">
        <v>242</v>
      </c>
      <c r="M268" s="5" t="s">
        <v>267</v>
      </c>
      <c r="N268" s="5" t="s">
        <v>237</v>
      </c>
      <c r="O268" s="5" t="s">
        <v>238</v>
      </c>
      <c r="P268" s="5" t="s">
        <v>238</v>
      </c>
      <c r="Q268" s="5" t="s">
        <v>268</v>
      </c>
      <c r="R268" s="5" t="s">
        <v>270</v>
      </c>
      <c r="S268" s="5" t="s">
        <v>238</v>
      </c>
      <c r="V268" s="5" t="s">
        <v>238</v>
      </c>
      <c r="X268" s="6" t="s">
        <v>238</v>
      </c>
      <c r="AA268" s="6" t="s">
        <v>243</v>
      </c>
      <c r="AB268" s="5" t="s">
        <v>238</v>
      </c>
      <c r="AC268" s="5" t="s">
        <v>244</v>
      </c>
      <c r="AD268" s="5" t="s">
        <v>245</v>
      </c>
      <c r="AT268" s="5" t="s">
        <v>246</v>
      </c>
      <c r="AU268" s="5" t="s">
        <v>238</v>
      </c>
      <c r="AV268" s="5" t="s">
        <v>247</v>
      </c>
      <c r="AW268" s="5" t="s">
        <v>238</v>
      </c>
      <c r="AX268" s="5" t="s">
        <v>249</v>
      </c>
      <c r="AY268" s="5" t="s">
        <v>238</v>
      </c>
      <c r="BA268" s="5" t="s">
        <v>238</v>
      </c>
      <c r="BC268" s="5" t="s">
        <v>250</v>
      </c>
      <c r="BD268" s="6" t="s">
        <v>243</v>
      </c>
      <c r="BE268" s="5" t="s">
        <v>251</v>
      </c>
      <c r="BF268" s="5" t="s">
        <v>252</v>
      </c>
      <c r="BG268" s="5" t="s">
        <v>238</v>
      </c>
      <c r="BH268" s="7">
        <f>0</f>
        <v>0</v>
      </c>
      <c r="BI268" s="8">
        <f>0</f>
        <v>0</v>
      </c>
      <c r="BJ268" s="5" t="s">
        <v>253</v>
      </c>
      <c r="BK268" s="5" t="s">
        <v>254</v>
      </c>
      <c r="BY268" s="5" t="s">
        <v>238</v>
      </c>
      <c r="BZ268" s="5" t="s">
        <v>238</v>
      </c>
      <c r="CD268" s="5" t="s">
        <v>255</v>
      </c>
      <c r="CE268" s="5" t="s">
        <v>256</v>
      </c>
      <c r="CF268" s="5" t="s">
        <v>238</v>
      </c>
      <c r="CI268" s="6" t="s">
        <v>257</v>
      </c>
      <c r="CJ268" s="5" t="s">
        <v>238</v>
      </c>
      <c r="CK268" s="5" t="s">
        <v>258</v>
      </c>
      <c r="CL268" s="5" t="s">
        <v>238</v>
      </c>
      <c r="CM268" s="5" t="s">
        <v>238</v>
      </c>
      <c r="CN268" s="5">
        <v>0</v>
      </c>
      <c r="CO268" s="5" t="s">
        <v>259</v>
      </c>
      <c r="CP268" s="5" t="s">
        <v>260</v>
      </c>
      <c r="CQ268" s="5" t="s">
        <v>260</v>
      </c>
      <c r="CR268" s="5" t="s">
        <v>261</v>
      </c>
      <c r="CU268" s="8">
        <f>31850</f>
        <v>31850</v>
      </c>
      <c r="CV268" s="8">
        <f>0</f>
        <v>0</v>
      </c>
      <c r="CX268" s="8">
        <f>0</f>
        <v>0</v>
      </c>
      <c r="CY268" s="8">
        <f>31850</f>
        <v>31850</v>
      </c>
      <c r="DA268" s="5" t="s">
        <v>673</v>
      </c>
      <c r="DB268" s="5" t="s">
        <v>238</v>
      </c>
      <c r="DD268" s="5" t="s">
        <v>356</v>
      </c>
      <c r="DE268" s="8">
        <f>0</f>
        <v>0</v>
      </c>
      <c r="DG268" s="5" t="s">
        <v>356</v>
      </c>
      <c r="DH268" s="5" t="s">
        <v>238</v>
      </c>
      <c r="DI268" s="5" t="s">
        <v>238</v>
      </c>
      <c r="DJ268" s="5" t="s">
        <v>238</v>
      </c>
      <c r="DN268" s="5" t="s">
        <v>238</v>
      </c>
      <c r="DO268" s="5" t="s">
        <v>238</v>
      </c>
      <c r="DP268" s="5" t="s">
        <v>238</v>
      </c>
      <c r="DQ268" s="5" t="s">
        <v>238</v>
      </c>
      <c r="DT268" s="5" t="s">
        <v>6062</v>
      </c>
      <c r="DU268" s="5" t="s">
        <v>1350</v>
      </c>
      <c r="HM268" s="5" t="s">
        <v>264</v>
      </c>
    </row>
    <row r="269" spans="1:221" x14ac:dyDescent="0.4">
      <c r="A269" s="5">
        <v>1003</v>
      </c>
      <c r="B269" s="5">
        <v>1</v>
      </c>
      <c r="C269" s="5">
        <v>1</v>
      </c>
      <c r="D269" s="5" t="s">
        <v>6060</v>
      </c>
      <c r="E269" s="5" t="s">
        <v>4391</v>
      </c>
      <c r="F269" s="5" t="s">
        <v>248</v>
      </c>
      <c r="G269" s="5" t="s">
        <v>6059</v>
      </c>
      <c r="H269" s="6" t="s">
        <v>6069</v>
      </c>
      <c r="I269" s="7">
        <f>76</f>
        <v>76</v>
      </c>
      <c r="J269" s="5" t="s">
        <v>262</v>
      </c>
      <c r="K269" s="8">
        <f>37240</f>
        <v>37240</v>
      </c>
      <c r="L269" s="6" t="s">
        <v>242</v>
      </c>
      <c r="M269" s="5" t="s">
        <v>267</v>
      </c>
      <c r="N269" s="5" t="s">
        <v>237</v>
      </c>
      <c r="O269" s="5" t="s">
        <v>238</v>
      </c>
      <c r="P269" s="5" t="s">
        <v>238</v>
      </c>
      <c r="Q269" s="5" t="s">
        <v>268</v>
      </c>
      <c r="R269" s="5" t="s">
        <v>270</v>
      </c>
      <c r="S269" s="5" t="s">
        <v>238</v>
      </c>
      <c r="V269" s="5" t="s">
        <v>238</v>
      </c>
      <c r="X269" s="6" t="s">
        <v>238</v>
      </c>
      <c r="AA269" s="6" t="s">
        <v>243</v>
      </c>
      <c r="AB269" s="5" t="s">
        <v>238</v>
      </c>
      <c r="AC269" s="5" t="s">
        <v>244</v>
      </c>
      <c r="AD269" s="5" t="s">
        <v>245</v>
      </c>
      <c r="AT269" s="5" t="s">
        <v>246</v>
      </c>
      <c r="AU269" s="5" t="s">
        <v>238</v>
      </c>
      <c r="AV269" s="5" t="s">
        <v>247</v>
      </c>
      <c r="AW269" s="5" t="s">
        <v>238</v>
      </c>
      <c r="AX269" s="5" t="s">
        <v>249</v>
      </c>
      <c r="AY269" s="5" t="s">
        <v>238</v>
      </c>
      <c r="BA269" s="5" t="s">
        <v>238</v>
      </c>
      <c r="BC269" s="5" t="s">
        <v>250</v>
      </c>
      <c r="BD269" s="6" t="s">
        <v>243</v>
      </c>
      <c r="BE269" s="5" t="s">
        <v>251</v>
      </c>
      <c r="BF269" s="5" t="s">
        <v>252</v>
      </c>
      <c r="BG269" s="5" t="s">
        <v>238</v>
      </c>
      <c r="BH269" s="7">
        <f>0</f>
        <v>0</v>
      </c>
      <c r="BI269" s="8">
        <f>0</f>
        <v>0</v>
      </c>
      <c r="BJ269" s="5" t="s">
        <v>253</v>
      </c>
      <c r="BK269" s="5" t="s">
        <v>254</v>
      </c>
      <c r="BY269" s="5" t="s">
        <v>238</v>
      </c>
      <c r="BZ269" s="5" t="s">
        <v>238</v>
      </c>
      <c r="CD269" s="5" t="s">
        <v>255</v>
      </c>
      <c r="CE269" s="5" t="s">
        <v>256</v>
      </c>
      <c r="CF269" s="5" t="s">
        <v>238</v>
      </c>
      <c r="CI269" s="6" t="s">
        <v>257</v>
      </c>
      <c r="CJ269" s="5" t="s">
        <v>238</v>
      </c>
      <c r="CK269" s="5" t="s">
        <v>258</v>
      </c>
      <c r="CL269" s="5" t="s">
        <v>238</v>
      </c>
      <c r="CM269" s="5" t="s">
        <v>238</v>
      </c>
      <c r="CN269" s="5">
        <v>0</v>
      </c>
      <c r="CO269" s="5" t="s">
        <v>259</v>
      </c>
      <c r="CP269" s="5" t="s">
        <v>260</v>
      </c>
      <c r="CQ269" s="5" t="s">
        <v>260</v>
      </c>
      <c r="CR269" s="5" t="s">
        <v>261</v>
      </c>
      <c r="CU269" s="8">
        <f>37240</f>
        <v>37240</v>
      </c>
      <c r="CV269" s="8">
        <f>0</f>
        <v>0</v>
      </c>
      <c r="CX269" s="8">
        <f>0</f>
        <v>0</v>
      </c>
      <c r="CY269" s="8">
        <f>37240</f>
        <v>37240</v>
      </c>
      <c r="DA269" s="5" t="s">
        <v>673</v>
      </c>
      <c r="DB269" s="5" t="s">
        <v>238</v>
      </c>
      <c r="DD269" s="5" t="s">
        <v>356</v>
      </c>
      <c r="DE269" s="8">
        <f>0</f>
        <v>0</v>
      </c>
      <c r="DG269" s="5" t="s">
        <v>356</v>
      </c>
      <c r="DH269" s="5" t="s">
        <v>238</v>
      </c>
      <c r="DI269" s="5" t="s">
        <v>238</v>
      </c>
      <c r="DJ269" s="5" t="s">
        <v>238</v>
      </c>
      <c r="DN269" s="5" t="s">
        <v>238</v>
      </c>
      <c r="DO269" s="5" t="s">
        <v>238</v>
      </c>
      <c r="DP269" s="5" t="s">
        <v>238</v>
      </c>
      <c r="DQ269" s="5" t="s">
        <v>238</v>
      </c>
      <c r="DT269" s="5" t="s">
        <v>6062</v>
      </c>
      <c r="DU269" s="5" t="s">
        <v>1346</v>
      </c>
      <c r="HM269" s="5" t="s">
        <v>264</v>
      </c>
    </row>
    <row r="270" spans="1:221" x14ac:dyDescent="0.4">
      <c r="A270" s="5">
        <v>1004</v>
      </c>
      <c r="B270" s="5">
        <v>1</v>
      </c>
      <c r="C270" s="5">
        <v>1</v>
      </c>
      <c r="D270" s="5" t="s">
        <v>6060</v>
      </c>
      <c r="E270" s="5" t="s">
        <v>4391</v>
      </c>
      <c r="F270" s="5" t="s">
        <v>248</v>
      </c>
      <c r="G270" s="5" t="s">
        <v>6059</v>
      </c>
      <c r="H270" s="6" t="s">
        <v>6070</v>
      </c>
      <c r="I270" s="7">
        <f>204</f>
        <v>204</v>
      </c>
      <c r="J270" s="5" t="s">
        <v>262</v>
      </c>
      <c r="K270" s="8">
        <f>99960</f>
        <v>99960</v>
      </c>
      <c r="L270" s="6" t="s">
        <v>242</v>
      </c>
      <c r="M270" s="5" t="s">
        <v>267</v>
      </c>
      <c r="N270" s="5" t="s">
        <v>237</v>
      </c>
      <c r="O270" s="5" t="s">
        <v>238</v>
      </c>
      <c r="P270" s="5" t="s">
        <v>238</v>
      </c>
      <c r="Q270" s="5" t="s">
        <v>268</v>
      </c>
      <c r="R270" s="5" t="s">
        <v>270</v>
      </c>
      <c r="S270" s="5" t="s">
        <v>238</v>
      </c>
      <c r="V270" s="5" t="s">
        <v>238</v>
      </c>
      <c r="X270" s="6" t="s">
        <v>238</v>
      </c>
      <c r="AA270" s="6" t="s">
        <v>243</v>
      </c>
      <c r="AB270" s="5" t="s">
        <v>238</v>
      </c>
      <c r="AC270" s="5" t="s">
        <v>244</v>
      </c>
      <c r="AD270" s="5" t="s">
        <v>245</v>
      </c>
      <c r="AT270" s="5" t="s">
        <v>246</v>
      </c>
      <c r="AU270" s="5" t="s">
        <v>238</v>
      </c>
      <c r="AV270" s="5" t="s">
        <v>247</v>
      </c>
      <c r="AW270" s="5" t="s">
        <v>238</v>
      </c>
      <c r="AX270" s="5" t="s">
        <v>249</v>
      </c>
      <c r="AY270" s="5" t="s">
        <v>238</v>
      </c>
      <c r="BA270" s="5" t="s">
        <v>238</v>
      </c>
      <c r="BC270" s="5" t="s">
        <v>250</v>
      </c>
      <c r="BD270" s="6" t="s">
        <v>243</v>
      </c>
      <c r="BE270" s="5" t="s">
        <v>251</v>
      </c>
      <c r="BF270" s="5" t="s">
        <v>252</v>
      </c>
      <c r="BG270" s="5" t="s">
        <v>238</v>
      </c>
      <c r="BH270" s="7">
        <f>0</f>
        <v>0</v>
      </c>
      <c r="BI270" s="8">
        <f>0</f>
        <v>0</v>
      </c>
      <c r="BJ270" s="5" t="s">
        <v>253</v>
      </c>
      <c r="BK270" s="5" t="s">
        <v>254</v>
      </c>
      <c r="BY270" s="5" t="s">
        <v>238</v>
      </c>
      <c r="BZ270" s="5" t="s">
        <v>238</v>
      </c>
      <c r="CD270" s="5" t="s">
        <v>255</v>
      </c>
      <c r="CE270" s="5" t="s">
        <v>256</v>
      </c>
      <c r="CF270" s="5" t="s">
        <v>238</v>
      </c>
      <c r="CI270" s="6" t="s">
        <v>257</v>
      </c>
      <c r="CJ270" s="5" t="s">
        <v>238</v>
      </c>
      <c r="CK270" s="5" t="s">
        <v>258</v>
      </c>
      <c r="CL270" s="5" t="s">
        <v>238</v>
      </c>
      <c r="CM270" s="5" t="s">
        <v>238</v>
      </c>
      <c r="CN270" s="5">
        <v>0</v>
      </c>
      <c r="CO270" s="5" t="s">
        <v>259</v>
      </c>
      <c r="CP270" s="5" t="s">
        <v>260</v>
      </c>
      <c r="CQ270" s="5" t="s">
        <v>260</v>
      </c>
      <c r="CR270" s="5" t="s">
        <v>261</v>
      </c>
      <c r="CU270" s="8">
        <f>99960</f>
        <v>99960</v>
      </c>
      <c r="CV270" s="8">
        <f>0</f>
        <v>0</v>
      </c>
      <c r="CX270" s="8">
        <f>0</f>
        <v>0</v>
      </c>
      <c r="CY270" s="8">
        <f>99960</f>
        <v>99960</v>
      </c>
      <c r="DA270" s="5" t="s">
        <v>673</v>
      </c>
      <c r="DB270" s="5" t="s">
        <v>238</v>
      </c>
      <c r="DD270" s="5" t="s">
        <v>356</v>
      </c>
      <c r="DE270" s="8">
        <f>0</f>
        <v>0</v>
      </c>
      <c r="DG270" s="5" t="s">
        <v>356</v>
      </c>
      <c r="DH270" s="5" t="s">
        <v>238</v>
      </c>
      <c r="DI270" s="5" t="s">
        <v>238</v>
      </c>
      <c r="DJ270" s="5" t="s">
        <v>238</v>
      </c>
      <c r="DN270" s="5" t="s">
        <v>238</v>
      </c>
      <c r="DO270" s="5" t="s">
        <v>238</v>
      </c>
      <c r="DP270" s="5" t="s">
        <v>238</v>
      </c>
      <c r="DQ270" s="5" t="s">
        <v>238</v>
      </c>
      <c r="DT270" s="5" t="s">
        <v>6062</v>
      </c>
      <c r="DU270" s="5" t="s">
        <v>1342</v>
      </c>
      <c r="HM270" s="5" t="s">
        <v>264</v>
      </c>
    </row>
    <row r="271" spans="1:221" x14ac:dyDescent="0.4">
      <c r="A271" s="5">
        <v>1005</v>
      </c>
      <c r="B271" s="5">
        <v>1</v>
      </c>
      <c r="C271" s="5">
        <v>1</v>
      </c>
      <c r="D271" s="5" t="s">
        <v>6060</v>
      </c>
      <c r="E271" s="5" t="s">
        <v>4391</v>
      </c>
      <c r="F271" s="5" t="s">
        <v>248</v>
      </c>
      <c r="G271" s="5" t="s">
        <v>6059</v>
      </c>
      <c r="H271" s="6" t="s">
        <v>6079</v>
      </c>
      <c r="I271" s="7">
        <f>576</f>
        <v>576</v>
      </c>
      <c r="J271" s="5" t="s">
        <v>262</v>
      </c>
      <c r="K271" s="8">
        <f>282240</f>
        <v>282240</v>
      </c>
      <c r="L271" s="6" t="s">
        <v>242</v>
      </c>
      <c r="M271" s="5" t="s">
        <v>267</v>
      </c>
      <c r="N271" s="5" t="s">
        <v>237</v>
      </c>
      <c r="O271" s="5" t="s">
        <v>238</v>
      </c>
      <c r="P271" s="5" t="s">
        <v>238</v>
      </c>
      <c r="Q271" s="5" t="s">
        <v>268</v>
      </c>
      <c r="R271" s="5" t="s">
        <v>270</v>
      </c>
      <c r="S271" s="5" t="s">
        <v>238</v>
      </c>
      <c r="V271" s="5" t="s">
        <v>238</v>
      </c>
      <c r="X271" s="6" t="s">
        <v>238</v>
      </c>
      <c r="AA271" s="6" t="s">
        <v>243</v>
      </c>
      <c r="AB271" s="5" t="s">
        <v>238</v>
      </c>
      <c r="AC271" s="5" t="s">
        <v>244</v>
      </c>
      <c r="AD271" s="5" t="s">
        <v>245</v>
      </c>
      <c r="AT271" s="5" t="s">
        <v>246</v>
      </c>
      <c r="AU271" s="5" t="s">
        <v>238</v>
      </c>
      <c r="AV271" s="5" t="s">
        <v>247</v>
      </c>
      <c r="AW271" s="5" t="s">
        <v>238</v>
      </c>
      <c r="AX271" s="5" t="s">
        <v>249</v>
      </c>
      <c r="AY271" s="5" t="s">
        <v>238</v>
      </c>
      <c r="BA271" s="5" t="s">
        <v>238</v>
      </c>
      <c r="BC271" s="5" t="s">
        <v>250</v>
      </c>
      <c r="BD271" s="6" t="s">
        <v>243</v>
      </c>
      <c r="BE271" s="5" t="s">
        <v>251</v>
      </c>
      <c r="BF271" s="5" t="s">
        <v>252</v>
      </c>
      <c r="BG271" s="5" t="s">
        <v>238</v>
      </c>
      <c r="BH271" s="7">
        <f>0</f>
        <v>0</v>
      </c>
      <c r="BI271" s="8">
        <f>0</f>
        <v>0</v>
      </c>
      <c r="BJ271" s="5" t="s">
        <v>253</v>
      </c>
      <c r="BK271" s="5" t="s">
        <v>254</v>
      </c>
      <c r="BY271" s="5" t="s">
        <v>238</v>
      </c>
      <c r="BZ271" s="5" t="s">
        <v>238</v>
      </c>
      <c r="CD271" s="5" t="s">
        <v>255</v>
      </c>
      <c r="CE271" s="5" t="s">
        <v>256</v>
      </c>
      <c r="CF271" s="5" t="s">
        <v>238</v>
      </c>
      <c r="CI271" s="6" t="s">
        <v>257</v>
      </c>
      <c r="CJ271" s="5" t="s">
        <v>238</v>
      </c>
      <c r="CK271" s="5" t="s">
        <v>258</v>
      </c>
      <c r="CL271" s="5" t="s">
        <v>238</v>
      </c>
      <c r="CM271" s="5" t="s">
        <v>238</v>
      </c>
      <c r="CN271" s="5">
        <v>0</v>
      </c>
      <c r="CO271" s="5" t="s">
        <v>259</v>
      </c>
      <c r="CP271" s="5" t="s">
        <v>260</v>
      </c>
      <c r="CQ271" s="5" t="s">
        <v>260</v>
      </c>
      <c r="CR271" s="5" t="s">
        <v>261</v>
      </c>
      <c r="CU271" s="8">
        <f>282240</f>
        <v>282240</v>
      </c>
      <c r="CV271" s="8">
        <f>0</f>
        <v>0</v>
      </c>
      <c r="CX271" s="8">
        <f>0</f>
        <v>0</v>
      </c>
      <c r="CY271" s="8">
        <f>282240</f>
        <v>282240</v>
      </c>
      <c r="DA271" s="5" t="s">
        <v>673</v>
      </c>
      <c r="DB271" s="5" t="s">
        <v>238</v>
      </c>
      <c r="DD271" s="5" t="s">
        <v>356</v>
      </c>
      <c r="DE271" s="8">
        <f>0</f>
        <v>0</v>
      </c>
      <c r="DG271" s="5" t="s">
        <v>356</v>
      </c>
      <c r="DH271" s="5" t="s">
        <v>238</v>
      </c>
      <c r="DI271" s="5" t="s">
        <v>238</v>
      </c>
      <c r="DJ271" s="5" t="s">
        <v>238</v>
      </c>
      <c r="DN271" s="5" t="s">
        <v>238</v>
      </c>
      <c r="DO271" s="5" t="s">
        <v>238</v>
      </c>
      <c r="DP271" s="5" t="s">
        <v>238</v>
      </c>
      <c r="DQ271" s="5" t="s">
        <v>238</v>
      </c>
      <c r="DT271" s="5" t="s">
        <v>6062</v>
      </c>
      <c r="DU271" s="5" t="s">
        <v>1338</v>
      </c>
      <c r="HM271" s="5" t="s">
        <v>264</v>
      </c>
    </row>
    <row r="272" spans="1:221" x14ac:dyDescent="0.4">
      <c r="A272" s="5">
        <v>1006</v>
      </c>
      <c r="B272" s="5">
        <v>1</v>
      </c>
      <c r="C272" s="5">
        <v>1</v>
      </c>
      <c r="D272" s="5" t="s">
        <v>6060</v>
      </c>
      <c r="E272" s="5" t="s">
        <v>4391</v>
      </c>
      <c r="F272" s="5" t="s">
        <v>248</v>
      </c>
      <c r="G272" s="5" t="s">
        <v>6059</v>
      </c>
      <c r="H272" s="6" t="s">
        <v>6363</v>
      </c>
      <c r="I272" s="7">
        <f>52</f>
        <v>52</v>
      </c>
      <c r="J272" s="5" t="s">
        <v>262</v>
      </c>
      <c r="K272" s="8">
        <f>25480</f>
        <v>25480</v>
      </c>
      <c r="L272" s="6" t="s">
        <v>242</v>
      </c>
      <c r="M272" s="5" t="s">
        <v>267</v>
      </c>
      <c r="N272" s="5" t="s">
        <v>237</v>
      </c>
      <c r="O272" s="5" t="s">
        <v>238</v>
      </c>
      <c r="P272" s="5" t="s">
        <v>238</v>
      </c>
      <c r="Q272" s="5" t="s">
        <v>268</v>
      </c>
      <c r="R272" s="5" t="s">
        <v>270</v>
      </c>
      <c r="S272" s="5" t="s">
        <v>238</v>
      </c>
      <c r="V272" s="5" t="s">
        <v>238</v>
      </c>
      <c r="X272" s="6" t="s">
        <v>238</v>
      </c>
      <c r="AA272" s="6" t="s">
        <v>243</v>
      </c>
      <c r="AB272" s="5" t="s">
        <v>238</v>
      </c>
      <c r="AC272" s="5" t="s">
        <v>244</v>
      </c>
      <c r="AD272" s="5" t="s">
        <v>245</v>
      </c>
      <c r="AT272" s="5" t="s">
        <v>246</v>
      </c>
      <c r="AU272" s="5" t="s">
        <v>238</v>
      </c>
      <c r="AV272" s="5" t="s">
        <v>247</v>
      </c>
      <c r="AW272" s="5" t="s">
        <v>238</v>
      </c>
      <c r="AX272" s="5" t="s">
        <v>249</v>
      </c>
      <c r="AY272" s="5" t="s">
        <v>238</v>
      </c>
      <c r="BA272" s="5" t="s">
        <v>238</v>
      </c>
      <c r="BC272" s="5" t="s">
        <v>250</v>
      </c>
      <c r="BD272" s="6" t="s">
        <v>243</v>
      </c>
      <c r="BE272" s="5" t="s">
        <v>251</v>
      </c>
      <c r="BF272" s="5" t="s">
        <v>252</v>
      </c>
      <c r="BG272" s="5" t="s">
        <v>238</v>
      </c>
      <c r="BH272" s="7">
        <f>0</f>
        <v>0</v>
      </c>
      <c r="BI272" s="8">
        <f>0</f>
        <v>0</v>
      </c>
      <c r="BJ272" s="5" t="s">
        <v>253</v>
      </c>
      <c r="BK272" s="5" t="s">
        <v>254</v>
      </c>
      <c r="BY272" s="5" t="s">
        <v>238</v>
      </c>
      <c r="BZ272" s="5" t="s">
        <v>238</v>
      </c>
      <c r="CD272" s="5" t="s">
        <v>255</v>
      </c>
      <c r="CE272" s="5" t="s">
        <v>256</v>
      </c>
      <c r="CF272" s="5" t="s">
        <v>238</v>
      </c>
      <c r="CI272" s="6" t="s">
        <v>257</v>
      </c>
      <c r="CJ272" s="5" t="s">
        <v>238</v>
      </c>
      <c r="CK272" s="5" t="s">
        <v>258</v>
      </c>
      <c r="CL272" s="5" t="s">
        <v>238</v>
      </c>
      <c r="CM272" s="5" t="s">
        <v>238</v>
      </c>
      <c r="CN272" s="5">
        <v>0</v>
      </c>
      <c r="CO272" s="5" t="s">
        <v>259</v>
      </c>
      <c r="CP272" s="5" t="s">
        <v>260</v>
      </c>
      <c r="CQ272" s="5" t="s">
        <v>260</v>
      </c>
      <c r="CR272" s="5" t="s">
        <v>261</v>
      </c>
      <c r="CU272" s="8">
        <f>25480</f>
        <v>25480</v>
      </c>
      <c r="CV272" s="8">
        <f>0</f>
        <v>0</v>
      </c>
      <c r="CX272" s="8">
        <f>0</f>
        <v>0</v>
      </c>
      <c r="CY272" s="8">
        <f>25480</f>
        <v>25480</v>
      </c>
      <c r="DA272" s="5" t="s">
        <v>673</v>
      </c>
      <c r="DB272" s="5" t="s">
        <v>238</v>
      </c>
      <c r="DD272" s="5" t="s">
        <v>356</v>
      </c>
      <c r="DE272" s="8">
        <f>0</f>
        <v>0</v>
      </c>
      <c r="DG272" s="5" t="s">
        <v>356</v>
      </c>
      <c r="DH272" s="5" t="s">
        <v>238</v>
      </c>
      <c r="DI272" s="5" t="s">
        <v>238</v>
      </c>
      <c r="DJ272" s="5" t="s">
        <v>238</v>
      </c>
      <c r="DN272" s="5" t="s">
        <v>238</v>
      </c>
      <c r="DO272" s="5" t="s">
        <v>238</v>
      </c>
      <c r="DP272" s="5" t="s">
        <v>238</v>
      </c>
      <c r="DQ272" s="5" t="s">
        <v>238</v>
      </c>
      <c r="DT272" s="5" t="s">
        <v>6062</v>
      </c>
      <c r="DU272" s="5" t="s">
        <v>1334</v>
      </c>
      <c r="HM272" s="5" t="s">
        <v>264</v>
      </c>
    </row>
    <row r="273" spans="1:221" x14ac:dyDescent="0.4">
      <c r="A273" s="5">
        <v>1007</v>
      </c>
      <c r="B273" s="5">
        <v>1</v>
      </c>
      <c r="C273" s="5">
        <v>1</v>
      </c>
      <c r="D273" s="5" t="s">
        <v>6060</v>
      </c>
      <c r="E273" s="5" t="s">
        <v>4391</v>
      </c>
      <c r="F273" s="5" t="s">
        <v>248</v>
      </c>
      <c r="G273" s="5" t="s">
        <v>6059</v>
      </c>
      <c r="H273" s="6" t="s">
        <v>6071</v>
      </c>
      <c r="I273" s="7">
        <f>235</f>
        <v>235</v>
      </c>
      <c r="J273" s="5" t="s">
        <v>262</v>
      </c>
      <c r="K273" s="8">
        <f>115150</f>
        <v>115150</v>
      </c>
      <c r="L273" s="6" t="s">
        <v>242</v>
      </c>
      <c r="M273" s="5" t="s">
        <v>267</v>
      </c>
      <c r="N273" s="5" t="s">
        <v>237</v>
      </c>
      <c r="O273" s="5" t="s">
        <v>238</v>
      </c>
      <c r="P273" s="5" t="s">
        <v>238</v>
      </c>
      <c r="Q273" s="5" t="s">
        <v>268</v>
      </c>
      <c r="R273" s="5" t="s">
        <v>270</v>
      </c>
      <c r="S273" s="5" t="s">
        <v>238</v>
      </c>
      <c r="V273" s="5" t="s">
        <v>238</v>
      </c>
      <c r="X273" s="6" t="s">
        <v>238</v>
      </c>
      <c r="AA273" s="6" t="s">
        <v>243</v>
      </c>
      <c r="AB273" s="5" t="s">
        <v>238</v>
      </c>
      <c r="AC273" s="5" t="s">
        <v>244</v>
      </c>
      <c r="AD273" s="5" t="s">
        <v>245</v>
      </c>
      <c r="AT273" s="5" t="s">
        <v>246</v>
      </c>
      <c r="AU273" s="5" t="s">
        <v>238</v>
      </c>
      <c r="AV273" s="5" t="s">
        <v>247</v>
      </c>
      <c r="AW273" s="5" t="s">
        <v>238</v>
      </c>
      <c r="AX273" s="5" t="s">
        <v>249</v>
      </c>
      <c r="AY273" s="5" t="s">
        <v>238</v>
      </c>
      <c r="BA273" s="5" t="s">
        <v>238</v>
      </c>
      <c r="BC273" s="5" t="s">
        <v>250</v>
      </c>
      <c r="BD273" s="6" t="s">
        <v>243</v>
      </c>
      <c r="BE273" s="5" t="s">
        <v>251</v>
      </c>
      <c r="BF273" s="5" t="s">
        <v>252</v>
      </c>
      <c r="BG273" s="5" t="s">
        <v>238</v>
      </c>
      <c r="BH273" s="7">
        <f>0</f>
        <v>0</v>
      </c>
      <c r="BI273" s="8">
        <f>0</f>
        <v>0</v>
      </c>
      <c r="BJ273" s="5" t="s">
        <v>253</v>
      </c>
      <c r="BK273" s="5" t="s">
        <v>254</v>
      </c>
      <c r="BY273" s="5" t="s">
        <v>238</v>
      </c>
      <c r="BZ273" s="5" t="s">
        <v>238</v>
      </c>
      <c r="CD273" s="5" t="s">
        <v>255</v>
      </c>
      <c r="CE273" s="5" t="s">
        <v>256</v>
      </c>
      <c r="CF273" s="5" t="s">
        <v>238</v>
      </c>
      <c r="CI273" s="6" t="s">
        <v>257</v>
      </c>
      <c r="CJ273" s="5" t="s">
        <v>238</v>
      </c>
      <c r="CK273" s="5" t="s">
        <v>258</v>
      </c>
      <c r="CL273" s="5" t="s">
        <v>238</v>
      </c>
      <c r="CM273" s="5" t="s">
        <v>238</v>
      </c>
      <c r="CN273" s="5">
        <v>0</v>
      </c>
      <c r="CO273" s="5" t="s">
        <v>259</v>
      </c>
      <c r="CP273" s="5" t="s">
        <v>260</v>
      </c>
      <c r="CQ273" s="5" t="s">
        <v>260</v>
      </c>
      <c r="CR273" s="5" t="s">
        <v>261</v>
      </c>
      <c r="CU273" s="8">
        <f>115150</f>
        <v>115150</v>
      </c>
      <c r="CV273" s="8">
        <f>0</f>
        <v>0</v>
      </c>
      <c r="CX273" s="8">
        <f>0</f>
        <v>0</v>
      </c>
      <c r="CY273" s="8">
        <f>115150</f>
        <v>115150</v>
      </c>
      <c r="DA273" s="5" t="s">
        <v>673</v>
      </c>
      <c r="DB273" s="5" t="s">
        <v>238</v>
      </c>
      <c r="DD273" s="5" t="s">
        <v>356</v>
      </c>
      <c r="DE273" s="8">
        <f>0</f>
        <v>0</v>
      </c>
      <c r="DG273" s="5" t="s">
        <v>356</v>
      </c>
      <c r="DH273" s="5" t="s">
        <v>238</v>
      </c>
      <c r="DI273" s="5" t="s">
        <v>238</v>
      </c>
      <c r="DJ273" s="5" t="s">
        <v>238</v>
      </c>
      <c r="DN273" s="5" t="s">
        <v>238</v>
      </c>
      <c r="DO273" s="5" t="s">
        <v>238</v>
      </c>
      <c r="DP273" s="5" t="s">
        <v>238</v>
      </c>
      <c r="DQ273" s="5" t="s">
        <v>238</v>
      </c>
      <c r="DT273" s="5" t="s">
        <v>6062</v>
      </c>
      <c r="DU273" s="5" t="s">
        <v>882</v>
      </c>
      <c r="HM273" s="5" t="s">
        <v>264</v>
      </c>
    </row>
    <row r="274" spans="1:221" x14ac:dyDescent="0.4">
      <c r="A274" s="5">
        <v>1008</v>
      </c>
      <c r="B274" s="5">
        <v>1</v>
      </c>
      <c r="C274" s="5">
        <v>1</v>
      </c>
      <c r="D274" s="5" t="s">
        <v>6060</v>
      </c>
      <c r="E274" s="5" t="s">
        <v>4391</v>
      </c>
      <c r="F274" s="5" t="s">
        <v>248</v>
      </c>
      <c r="G274" s="5" t="s">
        <v>6059</v>
      </c>
      <c r="H274" s="6" t="s">
        <v>6072</v>
      </c>
      <c r="I274" s="7">
        <f>450</f>
        <v>450</v>
      </c>
      <c r="J274" s="5" t="s">
        <v>262</v>
      </c>
      <c r="K274" s="8">
        <f>220500</f>
        <v>220500</v>
      </c>
      <c r="L274" s="6" t="s">
        <v>242</v>
      </c>
      <c r="M274" s="5" t="s">
        <v>267</v>
      </c>
      <c r="N274" s="5" t="s">
        <v>237</v>
      </c>
      <c r="O274" s="5" t="s">
        <v>238</v>
      </c>
      <c r="P274" s="5" t="s">
        <v>238</v>
      </c>
      <c r="Q274" s="5" t="s">
        <v>268</v>
      </c>
      <c r="R274" s="5" t="s">
        <v>270</v>
      </c>
      <c r="S274" s="5" t="s">
        <v>238</v>
      </c>
      <c r="V274" s="5" t="s">
        <v>238</v>
      </c>
      <c r="X274" s="6" t="s">
        <v>238</v>
      </c>
      <c r="AA274" s="6" t="s">
        <v>243</v>
      </c>
      <c r="AB274" s="5" t="s">
        <v>238</v>
      </c>
      <c r="AC274" s="5" t="s">
        <v>244</v>
      </c>
      <c r="AD274" s="5" t="s">
        <v>245</v>
      </c>
      <c r="AT274" s="5" t="s">
        <v>246</v>
      </c>
      <c r="AU274" s="5" t="s">
        <v>238</v>
      </c>
      <c r="AV274" s="5" t="s">
        <v>247</v>
      </c>
      <c r="AW274" s="5" t="s">
        <v>238</v>
      </c>
      <c r="AX274" s="5" t="s">
        <v>249</v>
      </c>
      <c r="AY274" s="5" t="s">
        <v>238</v>
      </c>
      <c r="BA274" s="5" t="s">
        <v>238</v>
      </c>
      <c r="BC274" s="5" t="s">
        <v>250</v>
      </c>
      <c r="BD274" s="6" t="s">
        <v>243</v>
      </c>
      <c r="BE274" s="5" t="s">
        <v>251</v>
      </c>
      <c r="BF274" s="5" t="s">
        <v>252</v>
      </c>
      <c r="BG274" s="5" t="s">
        <v>238</v>
      </c>
      <c r="BH274" s="7">
        <f>0</f>
        <v>0</v>
      </c>
      <c r="BI274" s="8">
        <f>0</f>
        <v>0</v>
      </c>
      <c r="BJ274" s="5" t="s">
        <v>253</v>
      </c>
      <c r="BK274" s="5" t="s">
        <v>254</v>
      </c>
      <c r="BY274" s="5" t="s">
        <v>238</v>
      </c>
      <c r="BZ274" s="5" t="s">
        <v>238</v>
      </c>
      <c r="CD274" s="5" t="s">
        <v>255</v>
      </c>
      <c r="CE274" s="5" t="s">
        <v>256</v>
      </c>
      <c r="CF274" s="5" t="s">
        <v>238</v>
      </c>
      <c r="CI274" s="6" t="s">
        <v>257</v>
      </c>
      <c r="CJ274" s="5" t="s">
        <v>238</v>
      </c>
      <c r="CK274" s="5" t="s">
        <v>258</v>
      </c>
      <c r="CL274" s="5" t="s">
        <v>238</v>
      </c>
      <c r="CM274" s="5" t="s">
        <v>238</v>
      </c>
      <c r="CN274" s="5">
        <v>0</v>
      </c>
      <c r="CO274" s="5" t="s">
        <v>259</v>
      </c>
      <c r="CP274" s="5" t="s">
        <v>260</v>
      </c>
      <c r="CQ274" s="5" t="s">
        <v>260</v>
      </c>
      <c r="CR274" s="5" t="s">
        <v>261</v>
      </c>
      <c r="CU274" s="8">
        <f>220500</f>
        <v>220500</v>
      </c>
      <c r="CV274" s="8">
        <f>0</f>
        <v>0</v>
      </c>
      <c r="CX274" s="8">
        <f>0</f>
        <v>0</v>
      </c>
      <c r="CY274" s="8">
        <f>220500</f>
        <v>220500</v>
      </c>
      <c r="DA274" s="5" t="s">
        <v>673</v>
      </c>
      <c r="DB274" s="5" t="s">
        <v>238</v>
      </c>
      <c r="DD274" s="5" t="s">
        <v>356</v>
      </c>
      <c r="DE274" s="8">
        <f>0</f>
        <v>0</v>
      </c>
      <c r="DG274" s="5" t="s">
        <v>356</v>
      </c>
      <c r="DH274" s="5" t="s">
        <v>238</v>
      </c>
      <c r="DI274" s="5" t="s">
        <v>238</v>
      </c>
      <c r="DJ274" s="5" t="s">
        <v>238</v>
      </c>
      <c r="DN274" s="5" t="s">
        <v>238</v>
      </c>
      <c r="DO274" s="5" t="s">
        <v>238</v>
      </c>
      <c r="DP274" s="5" t="s">
        <v>238</v>
      </c>
      <c r="DQ274" s="5" t="s">
        <v>238</v>
      </c>
      <c r="DT274" s="5" t="s">
        <v>6062</v>
      </c>
      <c r="DU274" s="5" t="s">
        <v>1594</v>
      </c>
      <c r="HM274" s="5" t="s">
        <v>264</v>
      </c>
    </row>
    <row r="275" spans="1:221" x14ac:dyDescent="0.4">
      <c r="A275" s="5">
        <v>1009</v>
      </c>
      <c r="B275" s="5">
        <v>1</v>
      </c>
      <c r="C275" s="5">
        <v>1</v>
      </c>
      <c r="D275" s="5" t="s">
        <v>6060</v>
      </c>
      <c r="E275" s="5" t="s">
        <v>4391</v>
      </c>
      <c r="F275" s="5" t="s">
        <v>248</v>
      </c>
      <c r="G275" s="5" t="s">
        <v>6059</v>
      </c>
      <c r="H275" s="6" t="s">
        <v>6080</v>
      </c>
      <c r="I275" s="7">
        <f>11</f>
        <v>11</v>
      </c>
      <c r="J275" s="5" t="s">
        <v>262</v>
      </c>
      <c r="K275" s="8">
        <f>5390</f>
        <v>5390</v>
      </c>
      <c r="L275" s="6" t="s">
        <v>242</v>
      </c>
      <c r="M275" s="5" t="s">
        <v>267</v>
      </c>
      <c r="N275" s="5" t="s">
        <v>237</v>
      </c>
      <c r="O275" s="5" t="s">
        <v>238</v>
      </c>
      <c r="P275" s="5" t="s">
        <v>238</v>
      </c>
      <c r="Q275" s="5" t="s">
        <v>268</v>
      </c>
      <c r="R275" s="5" t="s">
        <v>270</v>
      </c>
      <c r="S275" s="5" t="s">
        <v>238</v>
      </c>
      <c r="V275" s="5" t="s">
        <v>238</v>
      </c>
      <c r="X275" s="6" t="s">
        <v>238</v>
      </c>
      <c r="AA275" s="6" t="s">
        <v>243</v>
      </c>
      <c r="AB275" s="5" t="s">
        <v>238</v>
      </c>
      <c r="AC275" s="5" t="s">
        <v>244</v>
      </c>
      <c r="AD275" s="5" t="s">
        <v>245</v>
      </c>
      <c r="AT275" s="5" t="s">
        <v>246</v>
      </c>
      <c r="AU275" s="5" t="s">
        <v>238</v>
      </c>
      <c r="AV275" s="5" t="s">
        <v>247</v>
      </c>
      <c r="AW275" s="5" t="s">
        <v>238</v>
      </c>
      <c r="AX275" s="5" t="s">
        <v>249</v>
      </c>
      <c r="AY275" s="5" t="s">
        <v>238</v>
      </c>
      <c r="BA275" s="5" t="s">
        <v>238</v>
      </c>
      <c r="BC275" s="5" t="s">
        <v>250</v>
      </c>
      <c r="BD275" s="6" t="s">
        <v>243</v>
      </c>
      <c r="BE275" s="5" t="s">
        <v>251</v>
      </c>
      <c r="BF275" s="5" t="s">
        <v>252</v>
      </c>
      <c r="BG275" s="5" t="s">
        <v>238</v>
      </c>
      <c r="BH275" s="7">
        <f>0</f>
        <v>0</v>
      </c>
      <c r="BI275" s="8">
        <f>0</f>
        <v>0</v>
      </c>
      <c r="BJ275" s="5" t="s">
        <v>253</v>
      </c>
      <c r="BK275" s="5" t="s">
        <v>254</v>
      </c>
      <c r="BY275" s="5" t="s">
        <v>238</v>
      </c>
      <c r="BZ275" s="5" t="s">
        <v>238</v>
      </c>
      <c r="CD275" s="5" t="s">
        <v>255</v>
      </c>
      <c r="CE275" s="5" t="s">
        <v>256</v>
      </c>
      <c r="CF275" s="5" t="s">
        <v>238</v>
      </c>
      <c r="CI275" s="6" t="s">
        <v>257</v>
      </c>
      <c r="CJ275" s="5" t="s">
        <v>238</v>
      </c>
      <c r="CK275" s="5" t="s">
        <v>258</v>
      </c>
      <c r="CL275" s="5" t="s">
        <v>238</v>
      </c>
      <c r="CM275" s="5" t="s">
        <v>238</v>
      </c>
      <c r="CN275" s="5">
        <v>0</v>
      </c>
      <c r="CO275" s="5" t="s">
        <v>259</v>
      </c>
      <c r="CP275" s="5" t="s">
        <v>260</v>
      </c>
      <c r="CQ275" s="5" t="s">
        <v>260</v>
      </c>
      <c r="CR275" s="5" t="s">
        <v>261</v>
      </c>
      <c r="CU275" s="8">
        <f>5390</f>
        <v>5390</v>
      </c>
      <c r="CV275" s="8">
        <f>0</f>
        <v>0</v>
      </c>
      <c r="CX275" s="8">
        <f>0</f>
        <v>0</v>
      </c>
      <c r="CY275" s="8">
        <f>5390</f>
        <v>5390</v>
      </c>
      <c r="DA275" s="5" t="s">
        <v>673</v>
      </c>
      <c r="DB275" s="5" t="s">
        <v>238</v>
      </c>
      <c r="DD275" s="5" t="s">
        <v>356</v>
      </c>
      <c r="DE275" s="8">
        <f>0</f>
        <v>0</v>
      </c>
      <c r="DG275" s="5" t="s">
        <v>356</v>
      </c>
      <c r="DH275" s="5" t="s">
        <v>238</v>
      </c>
      <c r="DI275" s="5" t="s">
        <v>238</v>
      </c>
      <c r="DJ275" s="5" t="s">
        <v>238</v>
      </c>
      <c r="DN275" s="5" t="s">
        <v>238</v>
      </c>
      <c r="DO275" s="5" t="s">
        <v>238</v>
      </c>
      <c r="DP275" s="5" t="s">
        <v>238</v>
      </c>
      <c r="DQ275" s="5" t="s">
        <v>238</v>
      </c>
      <c r="DT275" s="5" t="s">
        <v>6062</v>
      </c>
      <c r="DU275" s="5" t="s">
        <v>1329</v>
      </c>
      <c r="HM275" s="5" t="s">
        <v>264</v>
      </c>
    </row>
    <row r="276" spans="1:221" x14ac:dyDescent="0.4">
      <c r="A276" s="5">
        <v>1010</v>
      </c>
      <c r="B276" s="5">
        <v>1</v>
      </c>
      <c r="C276" s="5">
        <v>1</v>
      </c>
      <c r="D276" s="5" t="s">
        <v>6060</v>
      </c>
      <c r="E276" s="5" t="s">
        <v>4391</v>
      </c>
      <c r="F276" s="5" t="s">
        <v>248</v>
      </c>
      <c r="G276" s="5" t="s">
        <v>6059</v>
      </c>
      <c r="H276" s="6" t="s">
        <v>6073</v>
      </c>
      <c r="I276" s="7">
        <f>362</f>
        <v>362</v>
      </c>
      <c r="J276" s="5" t="s">
        <v>262</v>
      </c>
      <c r="K276" s="8">
        <f>177380</f>
        <v>177380</v>
      </c>
      <c r="L276" s="6" t="s">
        <v>242</v>
      </c>
      <c r="M276" s="5" t="s">
        <v>267</v>
      </c>
      <c r="N276" s="5" t="s">
        <v>237</v>
      </c>
      <c r="O276" s="5" t="s">
        <v>238</v>
      </c>
      <c r="P276" s="5" t="s">
        <v>238</v>
      </c>
      <c r="Q276" s="5" t="s">
        <v>268</v>
      </c>
      <c r="R276" s="5" t="s">
        <v>270</v>
      </c>
      <c r="S276" s="5" t="s">
        <v>238</v>
      </c>
      <c r="V276" s="5" t="s">
        <v>238</v>
      </c>
      <c r="X276" s="6" t="s">
        <v>238</v>
      </c>
      <c r="AA276" s="6" t="s">
        <v>243</v>
      </c>
      <c r="AB276" s="5" t="s">
        <v>238</v>
      </c>
      <c r="AC276" s="5" t="s">
        <v>244</v>
      </c>
      <c r="AD276" s="5" t="s">
        <v>245</v>
      </c>
      <c r="AT276" s="5" t="s">
        <v>246</v>
      </c>
      <c r="AU276" s="5" t="s">
        <v>238</v>
      </c>
      <c r="AV276" s="5" t="s">
        <v>247</v>
      </c>
      <c r="AW276" s="5" t="s">
        <v>238</v>
      </c>
      <c r="AX276" s="5" t="s">
        <v>249</v>
      </c>
      <c r="AY276" s="5" t="s">
        <v>238</v>
      </c>
      <c r="BA276" s="5" t="s">
        <v>238</v>
      </c>
      <c r="BC276" s="5" t="s">
        <v>250</v>
      </c>
      <c r="BD276" s="6" t="s">
        <v>243</v>
      </c>
      <c r="BE276" s="5" t="s">
        <v>251</v>
      </c>
      <c r="BF276" s="5" t="s">
        <v>252</v>
      </c>
      <c r="BG276" s="5" t="s">
        <v>238</v>
      </c>
      <c r="BH276" s="7">
        <f>0</f>
        <v>0</v>
      </c>
      <c r="BI276" s="8">
        <f>0</f>
        <v>0</v>
      </c>
      <c r="BJ276" s="5" t="s">
        <v>253</v>
      </c>
      <c r="BK276" s="5" t="s">
        <v>254</v>
      </c>
      <c r="BY276" s="5" t="s">
        <v>238</v>
      </c>
      <c r="BZ276" s="5" t="s">
        <v>238</v>
      </c>
      <c r="CD276" s="5" t="s">
        <v>255</v>
      </c>
      <c r="CE276" s="5" t="s">
        <v>256</v>
      </c>
      <c r="CF276" s="5" t="s">
        <v>238</v>
      </c>
      <c r="CI276" s="6" t="s">
        <v>257</v>
      </c>
      <c r="CJ276" s="5" t="s">
        <v>238</v>
      </c>
      <c r="CK276" s="5" t="s">
        <v>258</v>
      </c>
      <c r="CL276" s="5" t="s">
        <v>238</v>
      </c>
      <c r="CM276" s="5" t="s">
        <v>238</v>
      </c>
      <c r="CN276" s="5">
        <v>0</v>
      </c>
      <c r="CO276" s="5" t="s">
        <v>259</v>
      </c>
      <c r="CP276" s="5" t="s">
        <v>260</v>
      </c>
      <c r="CQ276" s="5" t="s">
        <v>260</v>
      </c>
      <c r="CR276" s="5" t="s">
        <v>261</v>
      </c>
      <c r="CU276" s="8">
        <f>177380</f>
        <v>177380</v>
      </c>
      <c r="CV276" s="8">
        <f>0</f>
        <v>0</v>
      </c>
      <c r="CX276" s="8">
        <f>0</f>
        <v>0</v>
      </c>
      <c r="CY276" s="8">
        <f>177380</f>
        <v>177380</v>
      </c>
      <c r="DA276" s="5" t="s">
        <v>673</v>
      </c>
      <c r="DB276" s="5" t="s">
        <v>238</v>
      </c>
      <c r="DD276" s="5" t="s">
        <v>356</v>
      </c>
      <c r="DE276" s="8">
        <f>0</f>
        <v>0</v>
      </c>
      <c r="DG276" s="5" t="s">
        <v>356</v>
      </c>
      <c r="DH276" s="5" t="s">
        <v>238</v>
      </c>
      <c r="DI276" s="5" t="s">
        <v>238</v>
      </c>
      <c r="DJ276" s="5" t="s">
        <v>238</v>
      </c>
      <c r="DN276" s="5" t="s">
        <v>238</v>
      </c>
      <c r="DO276" s="5" t="s">
        <v>238</v>
      </c>
      <c r="DP276" s="5" t="s">
        <v>238</v>
      </c>
      <c r="DQ276" s="5" t="s">
        <v>238</v>
      </c>
      <c r="DT276" s="5" t="s">
        <v>6062</v>
      </c>
      <c r="DU276" s="5" t="s">
        <v>1327</v>
      </c>
      <c r="HM276" s="5" t="s">
        <v>264</v>
      </c>
    </row>
    <row r="277" spans="1:221" x14ac:dyDescent="0.4">
      <c r="A277" s="5">
        <v>1011</v>
      </c>
      <c r="B277" s="5">
        <v>1</v>
      </c>
      <c r="C277" s="5">
        <v>1</v>
      </c>
      <c r="D277" s="5" t="s">
        <v>6060</v>
      </c>
      <c r="E277" s="5" t="s">
        <v>4391</v>
      </c>
      <c r="F277" s="5" t="s">
        <v>248</v>
      </c>
      <c r="G277" s="5" t="s">
        <v>6059</v>
      </c>
      <c r="H277" s="6" t="s">
        <v>6074</v>
      </c>
      <c r="I277" s="7">
        <f>75</f>
        <v>75</v>
      </c>
      <c r="J277" s="5" t="s">
        <v>262</v>
      </c>
      <c r="K277" s="8">
        <f>36750</f>
        <v>36750</v>
      </c>
      <c r="L277" s="6" t="s">
        <v>242</v>
      </c>
      <c r="M277" s="5" t="s">
        <v>267</v>
      </c>
      <c r="N277" s="5" t="s">
        <v>237</v>
      </c>
      <c r="O277" s="5" t="s">
        <v>238</v>
      </c>
      <c r="P277" s="5" t="s">
        <v>238</v>
      </c>
      <c r="Q277" s="5" t="s">
        <v>268</v>
      </c>
      <c r="R277" s="5" t="s">
        <v>270</v>
      </c>
      <c r="S277" s="5" t="s">
        <v>238</v>
      </c>
      <c r="V277" s="5" t="s">
        <v>238</v>
      </c>
      <c r="X277" s="6" t="s">
        <v>238</v>
      </c>
      <c r="AA277" s="6" t="s">
        <v>243</v>
      </c>
      <c r="AB277" s="5" t="s">
        <v>238</v>
      </c>
      <c r="AC277" s="5" t="s">
        <v>244</v>
      </c>
      <c r="AD277" s="5" t="s">
        <v>245</v>
      </c>
      <c r="AT277" s="5" t="s">
        <v>246</v>
      </c>
      <c r="AU277" s="5" t="s">
        <v>238</v>
      </c>
      <c r="AV277" s="5" t="s">
        <v>247</v>
      </c>
      <c r="AW277" s="5" t="s">
        <v>238</v>
      </c>
      <c r="AX277" s="5" t="s">
        <v>249</v>
      </c>
      <c r="AY277" s="5" t="s">
        <v>238</v>
      </c>
      <c r="BA277" s="5" t="s">
        <v>238</v>
      </c>
      <c r="BC277" s="5" t="s">
        <v>250</v>
      </c>
      <c r="BD277" s="6" t="s">
        <v>243</v>
      </c>
      <c r="BE277" s="5" t="s">
        <v>251</v>
      </c>
      <c r="BF277" s="5" t="s">
        <v>252</v>
      </c>
      <c r="BG277" s="5" t="s">
        <v>238</v>
      </c>
      <c r="BH277" s="7">
        <f>0</f>
        <v>0</v>
      </c>
      <c r="BI277" s="8">
        <f>0</f>
        <v>0</v>
      </c>
      <c r="BJ277" s="5" t="s">
        <v>253</v>
      </c>
      <c r="BK277" s="5" t="s">
        <v>254</v>
      </c>
      <c r="BY277" s="5" t="s">
        <v>238</v>
      </c>
      <c r="BZ277" s="5" t="s">
        <v>238</v>
      </c>
      <c r="CD277" s="5" t="s">
        <v>255</v>
      </c>
      <c r="CE277" s="5" t="s">
        <v>256</v>
      </c>
      <c r="CF277" s="5" t="s">
        <v>238</v>
      </c>
      <c r="CI277" s="6" t="s">
        <v>257</v>
      </c>
      <c r="CJ277" s="5" t="s">
        <v>238</v>
      </c>
      <c r="CK277" s="5" t="s">
        <v>258</v>
      </c>
      <c r="CL277" s="5" t="s">
        <v>238</v>
      </c>
      <c r="CM277" s="5" t="s">
        <v>238</v>
      </c>
      <c r="CN277" s="5">
        <v>0</v>
      </c>
      <c r="CO277" s="5" t="s">
        <v>259</v>
      </c>
      <c r="CP277" s="5" t="s">
        <v>260</v>
      </c>
      <c r="CQ277" s="5" t="s">
        <v>260</v>
      </c>
      <c r="CR277" s="5" t="s">
        <v>261</v>
      </c>
      <c r="CU277" s="8">
        <f>36750</f>
        <v>36750</v>
      </c>
      <c r="CV277" s="8">
        <f>0</f>
        <v>0</v>
      </c>
      <c r="CX277" s="8">
        <f>0</f>
        <v>0</v>
      </c>
      <c r="CY277" s="8">
        <f>36750</f>
        <v>36750</v>
      </c>
      <c r="DA277" s="5" t="s">
        <v>673</v>
      </c>
      <c r="DB277" s="5" t="s">
        <v>238</v>
      </c>
      <c r="DD277" s="5" t="s">
        <v>356</v>
      </c>
      <c r="DE277" s="8">
        <f>0</f>
        <v>0</v>
      </c>
      <c r="DG277" s="5" t="s">
        <v>356</v>
      </c>
      <c r="DH277" s="5" t="s">
        <v>238</v>
      </c>
      <c r="DI277" s="5" t="s">
        <v>238</v>
      </c>
      <c r="DJ277" s="5" t="s">
        <v>238</v>
      </c>
      <c r="DN277" s="5" t="s">
        <v>238</v>
      </c>
      <c r="DO277" s="5" t="s">
        <v>238</v>
      </c>
      <c r="DP277" s="5" t="s">
        <v>238</v>
      </c>
      <c r="DQ277" s="5" t="s">
        <v>238</v>
      </c>
      <c r="DT277" s="5" t="s">
        <v>6062</v>
      </c>
      <c r="DU277" s="5" t="s">
        <v>1320</v>
      </c>
      <c r="HM277" s="5" t="s">
        <v>264</v>
      </c>
    </row>
    <row r="278" spans="1:221" x14ac:dyDescent="0.4">
      <c r="A278" s="5">
        <v>1012</v>
      </c>
      <c r="B278" s="5">
        <v>1</v>
      </c>
      <c r="C278" s="5">
        <v>1</v>
      </c>
      <c r="D278" s="5" t="s">
        <v>6060</v>
      </c>
      <c r="E278" s="5" t="s">
        <v>4391</v>
      </c>
      <c r="F278" s="5" t="s">
        <v>248</v>
      </c>
      <c r="G278" s="5" t="s">
        <v>6059</v>
      </c>
      <c r="H278" s="6" t="s">
        <v>6075</v>
      </c>
      <c r="I278" s="7">
        <f>500</f>
        <v>500</v>
      </c>
      <c r="J278" s="5" t="s">
        <v>262</v>
      </c>
      <c r="K278" s="8">
        <f>245000</f>
        <v>245000</v>
      </c>
      <c r="L278" s="6" t="s">
        <v>242</v>
      </c>
      <c r="M278" s="5" t="s">
        <v>267</v>
      </c>
      <c r="N278" s="5" t="s">
        <v>237</v>
      </c>
      <c r="O278" s="5" t="s">
        <v>238</v>
      </c>
      <c r="P278" s="5" t="s">
        <v>238</v>
      </c>
      <c r="Q278" s="5" t="s">
        <v>268</v>
      </c>
      <c r="R278" s="5" t="s">
        <v>270</v>
      </c>
      <c r="S278" s="5" t="s">
        <v>238</v>
      </c>
      <c r="V278" s="5" t="s">
        <v>238</v>
      </c>
      <c r="X278" s="6" t="s">
        <v>238</v>
      </c>
      <c r="AA278" s="6" t="s">
        <v>243</v>
      </c>
      <c r="AB278" s="5" t="s">
        <v>238</v>
      </c>
      <c r="AC278" s="5" t="s">
        <v>244</v>
      </c>
      <c r="AD278" s="5" t="s">
        <v>245</v>
      </c>
      <c r="AT278" s="5" t="s">
        <v>246</v>
      </c>
      <c r="AU278" s="5" t="s">
        <v>238</v>
      </c>
      <c r="AV278" s="5" t="s">
        <v>247</v>
      </c>
      <c r="AW278" s="5" t="s">
        <v>238</v>
      </c>
      <c r="AX278" s="5" t="s">
        <v>249</v>
      </c>
      <c r="AY278" s="5" t="s">
        <v>238</v>
      </c>
      <c r="BA278" s="5" t="s">
        <v>238</v>
      </c>
      <c r="BC278" s="5" t="s">
        <v>250</v>
      </c>
      <c r="BD278" s="6" t="s">
        <v>243</v>
      </c>
      <c r="BE278" s="5" t="s">
        <v>251</v>
      </c>
      <c r="BF278" s="5" t="s">
        <v>252</v>
      </c>
      <c r="BG278" s="5" t="s">
        <v>238</v>
      </c>
      <c r="BH278" s="7">
        <f>0</f>
        <v>0</v>
      </c>
      <c r="BI278" s="8">
        <f>0</f>
        <v>0</v>
      </c>
      <c r="BJ278" s="5" t="s">
        <v>253</v>
      </c>
      <c r="BK278" s="5" t="s">
        <v>254</v>
      </c>
      <c r="BY278" s="5" t="s">
        <v>238</v>
      </c>
      <c r="BZ278" s="5" t="s">
        <v>238</v>
      </c>
      <c r="CD278" s="5" t="s">
        <v>255</v>
      </c>
      <c r="CE278" s="5" t="s">
        <v>256</v>
      </c>
      <c r="CF278" s="5" t="s">
        <v>238</v>
      </c>
      <c r="CI278" s="6" t="s">
        <v>257</v>
      </c>
      <c r="CJ278" s="5" t="s">
        <v>238</v>
      </c>
      <c r="CK278" s="5" t="s">
        <v>258</v>
      </c>
      <c r="CL278" s="5" t="s">
        <v>238</v>
      </c>
      <c r="CM278" s="5" t="s">
        <v>238</v>
      </c>
      <c r="CN278" s="5">
        <v>0</v>
      </c>
      <c r="CO278" s="5" t="s">
        <v>259</v>
      </c>
      <c r="CP278" s="5" t="s">
        <v>260</v>
      </c>
      <c r="CQ278" s="5" t="s">
        <v>260</v>
      </c>
      <c r="CR278" s="5" t="s">
        <v>261</v>
      </c>
      <c r="CU278" s="8">
        <f>245000</f>
        <v>245000</v>
      </c>
      <c r="CV278" s="8">
        <f>0</f>
        <v>0</v>
      </c>
      <c r="CX278" s="8">
        <f>0</f>
        <v>0</v>
      </c>
      <c r="CY278" s="8">
        <f>245000</f>
        <v>245000</v>
      </c>
      <c r="DA278" s="5" t="s">
        <v>673</v>
      </c>
      <c r="DB278" s="5" t="s">
        <v>238</v>
      </c>
      <c r="DD278" s="5" t="s">
        <v>356</v>
      </c>
      <c r="DE278" s="8">
        <f>0</f>
        <v>0</v>
      </c>
      <c r="DG278" s="5" t="s">
        <v>356</v>
      </c>
      <c r="DH278" s="5" t="s">
        <v>238</v>
      </c>
      <c r="DI278" s="5" t="s">
        <v>238</v>
      </c>
      <c r="DJ278" s="5" t="s">
        <v>238</v>
      </c>
      <c r="DN278" s="5" t="s">
        <v>238</v>
      </c>
      <c r="DO278" s="5" t="s">
        <v>238</v>
      </c>
      <c r="DP278" s="5" t="s">
        <v>238</v>
      </c>
      <c r="DQ278" s="5" t="s">
        <v>238</v>
      </c>
      <c r="DT278" s="5" t="s">
        <v>6062</v>
      </c>
      <c r="DU278" s="5" t="s">
        <v>1318</v>
      </c>
      <c r="HM278" s="5" t="s">
        <v>264</v>
      </c>
    </row>
    <row r="279" spans="1:221" x14ac:dyDescent="0.4">
      <c r="A279" s="5">
        <v>1013</v>
      </c>
      <c r="B279" s="5">
        <v>1</v>
      </c>
      <c r="C279" s="5">
        <v>1</v>
      </c>
      <c r="D279" s="5" t="s">
        <v>6060</v>
      </c>
      <c r="E279" s="5" t="s">
        <v>4391</v>
      </c>
      <c r="F279" s="5" t="s">
        <v>248</v>
      </c>
      <c r="G279" s="5" t="s">
        <v>6059</v>
      </c>
      <c r="H279" s="6" t="s">
        <v>6076</v>
      </c>
      <c r="I279" s="7">
        <f>266</f>
        <v>266</v>
      </c>
      <c r="J279" s="5" t="s">
        <v>262</v>
      </c>
      <c r="K279" s="8">
        <f>130340</f>
        <v>130340</v>
      </c>
      <c r="L279" s="6" t="s">
        <v>242</v>
      </c>
      <c r="M279" s="5" t="s">
        <v>267</v>
      </c>
      <c r="N279" s="5" t="s">
        <v>237</v>
      </c>
      <c r="O279" s="5" t="s">
        <v>238</v>
      </c>
      <c r="P279" s="5" t="s">
        <v>238</v>
      </c>
      <c r="Q279" s="5" t="s">
        <v>268</v>
      </c>
      <c r="R279" s="5" t="s">
        <v>270</v>
      </c>
      <c r="S279" s="5" t="s">
        <v>238</v>
      </c>
      <c r="V279" s="5" t="s">
        <v>238</v>
      </c>
      <c r="X279" s="6" t="s">
        <v>238</v>
      </c>
      <c r="AA279" s="6" t="s">
        <v>243</v>
      </c>
      <c r="AB279" s="5" t="s">
        <v>238</v>
      </c>
      <c r="AC279" s="5" t="s">
        <v>244</v>
      </c>
      <c r="AD279" s="5" t="s">
        <v>245</v>
      </c>
      <c r="AT279" s="5" t="s">
        <v>246</v>
      </c>
      <c r="AU279" s="5" t="s">
        <v>238</v>
      </c>
      <c r="AV279" s="5" t="s">
        <v>247</v>
      </c>
      <c r="AW279" s="5" t="s">
        <v>238</v>
      </c>
      <c r="AX279" s="5" t="s">
        <v>249</v>
      </c>
      <c r="AY279" s="5" t="s">
        <v>238</v>
      </c>
      <c r="BA279" s="5" t="s">
        <v>238</v>
      </c>
      <c r="BC279" s="5" t="s">
        <v>250</v>
      </c>
      <c r="BD279" s="6" t="s">
        <v>243</v>
      </c>
      <c r="BE279" s="5" t="s">
        <v>251</v>
      </c>
      <c r="BF279" s="5" t="s">
        <v>252</v>
      </c>
      <c r="BG279" s="5" t="s">
        <v>238</v>
      </c>
      <c r="BH279" s="7">
        <f>0</f>
        <v>0</v>
      </c>
      <c r="BI279" s="8">
        <f>0</f>
        <v>0</v>
      </c>
      <c r="BJ279" s="5" t="s">
        <v>253</v>
      </c>
      <c r="BK279" s="5" t="s">
        <v>254</v>
      </c>
      <c r="BY279" s="5" t="s">
        <v>238</v>
      </c>
      <c r="BZ279" s="5" t="s">
        <v>238</v>
      </c>
      <c r="CD279" s="5" t="s">
        <v>255</v>
      </c>
      <c r="CE279" s="5" t="s">
        <v>256</v>
      </c>
      <c r="CF279" s="5" t="s">
        <v>238</v>
      </c>
      <c r="CI279" s="6" t="s">
        <v>257</v>
      </c>
      <c r="CJ279" s="5" t="s">
        <v>238</v>
      </c>
      <c r="CK279" s="5" t="s">
        <v>258</v>
      </c>
      <c r="CL279" s="5" t="s">
        <v>238</v>
      </c>
      <c r="CM279" s="5" t="s">
        <v>238</v>
      </c>
      <c r="CN279" s="5">
        <v>0</v>
      </c>
      <c r="CO279" s="5" t="s">
        <v>259</v>
      </c>
      <c r="CP279" s="5" t="s">
        <v>260</v>
      </c>
      <c r="CQ279" s="5" t="s">
        <v>260</v>
      </c>
      <c r="CR279" s="5" t="s">
        <v>261</v>
      </c>
      <c r="CU279" s="8">
        <f>130340</f>
        <v>130340</v>
      </c>
      <c r="CV279" s="8">
        <f>0</f>
        <v>0</v>
      </c>
      <c r="CX279" s="8">
        <f>0</f>
        <v>0</v>
      </c>
      <c r="CY279" s="8">
        <f>130340</f>
        <v>130340</v>
      </c>
      <c r="DA279" s="5" t="s">
        <v>673</v>
      </c>
      <c r="DB279" s="5" t="s">
        <v>238</v>
      </c>
      <c r="DD279" s="5" t="s">
        <v>356</v>
      </c>
      <c r="DE279" s="8">
        <f>0</f>
        <v>0</v>
      </c>
      <c r="DG279" s="5" t="s">
        <v>356</v>
      </c>
      <c r="DH279" s="5" t="s">
        <v>238</v>
      </c>
      <c r="DI279" s="5" t="s">
        <v>238</v>
      </c>
      <c r="DJ279" s="5" t="s">
        <v>238</v>
      </c>
      <c r="DN279" s="5" t="s">
        <v>238</v>
      </c>
      <c r="DO279" s="5" t="s">
        <v>238</v>
      </c>
      <c r="DP279" s="5" t="s">
        <v>238</v>
      </c>
      <c r="DQ279" s="5" t="s">
        <v>238</v>
      </c>
      <c r="DT279" s="5" t="s">
        <v>6062</v>
      </c>
      <c r="DU279" s="5" t="s">
        <v>1314</v>
      </c>
      <c r="HM279" s="5" t="s">
        <v>264</v>
      </c>
    </row>
    <row r="280" spans="1:221" x14ac:dyDescent="0.4">
      <c r="A280" s="5">
        <v>1014</v>
      </c>
      <c r="B280" s="5">
        <v>1</v>
      </c>
      <c r="C280" s="5">
        <v>1</v>
      </c>
      <c r="D280" s="5" t="s">
        <v>6060</v>
      </c>
      <c r="E280" s="5" t="s">
        <v>4391</v>
      </c>
      <c r="F280" s="5" t="s">
        <v>248</v>
      </c>
      <c r="G280" s="5" t="s">
        <v>6059</v>
      </c>
      <c r="H280" s="6" t="s">
        <v>6077</v>
      </c>
      <c r="I280" s="7">
        <f>1896</f>
        <v>1896</v>
      </c>
      <c r="J280" s="5" t="s">
        <v>262</v>
      </c>
      <c r="K280" s="8">
        <f>4199640</f>
        <v>4199640</v>
      </c>
      <c r="L280" s="6" t="s">
        <v>242</v>
      </c>
      <c r="M280" s="5" t="s">
        <v>267</v>
      </c>
      <c r="N280" s="5" t="s">
        <v>237</v>
      </c>
      <c r="O280" s="5" t="s">
        <v>238</v>
      </c>
      <c r="P280" s="5" t="s">
        <v>238</v>
      </c>
      <c r="Q280" s="5" t="s">
        <v>239</v>
      </c>
      <c r="R280" s="5" t="s">
        <v>270</v>
      </c>
      <c r="S280" s="5" t="s">
        <v>238</v>
      </c>
      <c r="V280" s="5" t="s">
        <v>238</v>
      </c>
      <c r="X280" s="6" t="s">
        <v>238</v>
      </c>
      <c r="AA280" s="6" t="s">
        <v>243</v>
      </c>
      <c r="AB280" s="5" t="s">
        <v>238</v>
      </c>
      <c r="AC280" s="5" t="s">
        <v>244</v>
      </c>
      <c r="AD280" s="5" t="s">
        <v>245</v>
      </c>
      <c r="AT280" s="5" t="s">
        <v>246</v>
      </c>
      <c r="AU280" s="5" t="s">
        <v>238</v>
      </c>
      <c r="AV280" s="5" t="s">
        <v>247</v>
      </c>
      <c r="AW280" s="5" t="s">
        <v>238</v>
      </c>
      <c r="AX280" s="5" t="s">
        <v>249</v>
      </c>
      <c r="AY280" s="5" t="s">
        <v>238</v>
      </c>
      <c r="BA280" s="5" t="s">
        <v>238</v>
      </c>
      <c r="BC280" s="5" t="s">
        <v>250</v>
      </c>
      <c r="BD280" s="6" t="s">
        <v>243</v>
      </c>
      <c r="BE280" s="5" t="s">
        <v>251</v>
      </c>
      <c r="BF280" s="5" t="s">
        <v>252</v>
      </c>
      <c r="BG280" s="5" t="s">
        <v>238</v>
      </c>
      <c r="BH280" s="7">
        <f>0</f>
        <v>0</v>
      </c>
      <c r="BI280" s="8">
        <f>0</f>
        <v>0</v>
      </c>
      <c r="BJ280" s="5" t="s">
        <v>253</v>
      </c>
      <c r="BK280" s="5" t="s">
        <v>254</v>
      </c>
      <c r="BY280" s="5" t="s">
        <v>238</v>
      </c>
      <c r="BZ280" s="5" t="s">
        <v>238</v>
      </c>
      <c r="CD280" s="5" t="s">
        <v>255</v>
      </c>
      <c r="CE280" s="5" t="s">
        <v>256</v>
      </c>
      <c r="CF280" s="5" t="s">
        <v>238</v>
      </c>
      <c r="CI280" s="6" t="s">
        <v>257</v>
      </c>
      <c r="CJ280" s="5" t="s">
        <v>238</v>
      </c>
      <c r="CK280" s="5" t="s">
        <v>258</v>
      </c>
      <c r="CL280" s="5" t="s">
        <v>238</v>
      </c>
      <c r="CM280" s="5" t="s">
        <v>238</v>
      </c>
      <c r="CN280" s="5">
        <v>0</v>
      </c>
      <c r="CO280" s="5" t="s">
        <v>259</v>
      </c>
      <c r="CP280" s="5" t="s">
        <v>260</v>
      </c>
      <c r="CQ280" s="5" t="s">
        <v>260</v>
      </c>
      <c r="CR280" s="5" t="s">
        <v>261</v>
      </c>
      <c r="CU280" s="8">
        <f>4199640</f>
        <v>4199640</v>
      </c>
      <c r="CV280" s="8">
        <f>0</f>
        <v>0</v>
      </c>
      <c r="CX280" s="8">
        <f>0</f>
        <v>0</v>
      </c>
      <c r="CY280" s="8">
        <f>4199640</f>
        <v>4199640</v>
      </c>
      <c r="DA280" s="5" t="s">
        <v>389</v>
      </c>
      <c r="DB280" s="5" t="s">
        <v>238</v>
      </c>
      <c r="DD280" s="5" t="s">
        <v>356</v>
      </c>
      <c r="DE280" s="8">
        <f>0</f>
        <v>0</v>
      </c>
      <c r="DG280" s="5" t="s">
        <v>389</v>
      </c>
      <c r="DH280" s="5" t="s">
        <v>238</v>
      </c>
      <c r="DI280" s="5" t="s">
        <v>238</v>
      </c>
      <c r="DJ280" s="5" t="s">
        <v>238</v>
      </c>
      <c r="DN280" s="5" t="s">
        <v>238</v>
      </c>
      <c r="DO280" s="5" t="s">
        <v>238</v>
      </c>
      <c r="DP280" s="5" t="s">
        <v>238</v>
      </c>
      <c r="DQ280" s="5" t="s">
        <v>238</v>
      </c>
      <c r="DT280" s="5" t="s">
        <v>6062</v>
      </c>
      <c r="DU280" s="5" t="s">
        <v>602</v>
      </c>
      <c r="HM280" s="5" t="s">
        <v>264</v>
      </c>
    </row>
    <row r="281" spans="1:221" x14ac:dyDescent="0.4">
      <c r="A281" s="5">
        <v>1015</v>
      </c>
      <c r="B281" s="5">
        <v>1</v>
      </c>
      <c r="C281" s="5">
        <v>1</v>
      </c>
      <c r="D281" s="5" t="s">
        <v>6054</v>
      </c>
      <c r="E281" s="5" t="s">
        <v>4391</v>
      </c>
      <c r="F281" s="5" t="s">
        <v>248</v>
      </c>
      <c r="G281" s="5" t="s">
        <v>6053</v>
      </c>
      <c r="H281" s="6" t="s">
        <v>6058</v>
      </c>
      <c r="I281" s="7">
        <f>8935</f>
        <v>8935</v>
      </c>
      <c r="J281" s="5" t="s">
        <v>262</v>
      </c>
      <c r="K281" s="8">
        <f>19791025</f>
        <v>19791025</v>
      </c>
      <c r="L281" s="6" t="s">
        <v>242</v>
      </c>
      <c r="M281" s="5" t="s">
        <v>267</v>
      </c>
      <c r="N281" s="5" t="s">
        <v>237</v>
      </c>
      <c r="O281" s="5" t="s">
        <v>238</v>
      </c>
      <c r="P281" s="5" t="s">
        <v>238</v>
      </c>
      <c r="Q281" s="5" t="s">
        <v>239</v>
      </c>
      <c r="R281" s="5" t="s">
        <v>270</v>
      </c>
      <c r="S281" s="5" t="s">
        <v>238</v>
      </c>
      <c r="V281" s="5" t="s">
        <v>238</v>
      </c>
      <c r="X281" s="6" t="s">
        <v>238</v>
      </c>
      <c r="AA281" s="6" t="s">
        <v>243</v>
      </c>
      <c r="AB281" s="5" t="s">
        <v>238</v>
      </c>
      <c r="AC281" s="5" t="s">
        <v>244</v>
      </c>
      <c r="AD281" s="5" t="s">
        <v>245</v>
      </c>
      <c r="AT281" s="5" t="s">
        <v>246</v>
      </c>
      <c r="AU281" s="5" t="s">
        <v>238</v>
      </c>
      <c r="AV281" s="5" t="s">
        <v>247</v>
      </c>
      <c r="AW281" s="5" t="s">
        <v>238</v>
      </c>
      <c r="AX281" s="5" t="s">
        <v>249</v>
      </c>
      <c r="AY281" s="5" t="s">
        <v>238</v>
      </c>
      <c r="BA281" s="5" t="s">
        <v>4547</v>
      </c>
      <c r="BC281" s="5" t="s">
        <v>250</v>
      </c>
      <c r="BD281" s="6" t="s">
        <v>243</v>
      </c>
      <c r="BE281" s="5" t="s">
        <v>251</v>
      </c>
      <c r="BF281" s="5" t="s">
        <v>252</v>
      </c>
      <c r="BG281" s="5" t="s">
        <v>238</v>
      </c>
      <c r="BH281" s="7">
        <f>0</f>
        <v>0</v>
      </c>
      <c r="BI281" s="8">
        <f>0</f>
        <v>0</v>
      </c>
      <c r="BJ281" s="5" t="s">
        <v>253</v>
      </c>
      <c r="BK281" s="5" t="s">
        <v>254</v>
      </c>
      <c r="BY281" s="5" t="s">
        <v>238</v>
      </c>
      <c r="BZ281" s="5" t="s">
        <v>238</v>
      </c>
      <c r="CD281" s="5" t="s">
        <v>255</v>
      </c>
      <c r="CE281" s="5" t="s">
        <v>256</v>
      </c>
      <c r="CF281" s="5" t="s">
        <v>238</v>
      </c>
      <c r="CI281" s="6" t="s">
        <v>257</v>
      </c>
      <c r="CJ281" s="5" t="s">
        <v>238</v>
      </c>
      <c r="CK281" s="5" t="s">
        <v>258</v>
      </c>
      <c r="CL281" s="5" t="s">
        <v>238</v>
      </c>
      <c r="CM281" s="5" t="s">
        <v>238</v>
      </c>
      <c r="CN281" s="5">
        <v>0</v>
      </c>
      <c r="CO281" s="5" t="s">
        <v>259</v>
      </c>
      <c r="CP281" s="5" t="s">
        <v>260</v>
      </c>
      <c r="CQ281" s="5" t="s">
        <v>260</v>
      </c>
      <c r="CR281" s="5" t="s">
        <v>261</v>
      </c>
      <c r="CU281" s="8">
        <f>19791025</f>
        <v>19791025</v>
      </c>
      <c r="CV281" s="8">
        <f>0</f>
        <v>0</v>
      </c>
      <c r="CX281" s="8">
        <f>0</f>
        <v>0</v>
      </c>
      <c r="CY281" s="8">
        <f>19791025</f>
        <v>19791025</v>
      </c>
      <c r="DA281" s="5" t="s">
        <v>2032</v>
      </c>
      <c r="DB281" s="5" t="s">
        <v>238</v>
      </c>
      <c r="DD281" s="5" t="s">
        <v>2032</v>
      </c>
      <c r="DE281" s="8">
        <f>0</f>
        <v>0</v>
      </c>
      <c r="DG281" s="5" t="s">
        <v>389</v>
      </c>
      <c r="DH281" s="5" t="s">
        <v>238</v>
      </c>
      <c r="DI281" s="5" t="s">
        <v>238</v>
      </c>
      <c r="DJ281" s="5" t="s">
        <v>238</v>
      </c>
      <c r="DN281" s="5" t="s">
        <v>238</v>
      </c>
      <c r="DO281" s="5" t="s">
        <v>238</v>
      </c>
      <c r="DP281" s="5" t="s">
        <v>238</v>
      </c>
      <c r="DQ281" s="5" t="s">
        <v>238</v>
      </c>
      <c r="DT281" s="5" t="s">
        <v>6056</v>
      </c>
      <c r="DU281" s="5" t="s">
        <v>264</v>
      </c>
      <c r="HM281" s="5" t="s">
        <v>264</v>
      </c>
    </row>
    <row r="282" spans="1:221" x14ac:dyDescent="0.4">
      <c r="A282" s="5">
        <v>1016</v>
      </c>
      <c r="B282" s="5">
        <v>1</v>
      </c>
      <c r="C282" s="5">
        <v>1</v>
      </c>
      <c r="D282" s="5" t="s">
        <v>6054</v>
      </c>
      <c r="E282" s="5" t="s">
        <v>4391</v>
      </c>
      <c r="F282" s="5" t="s">
        <v>248</v>
      </c>
      <c r="G282" s="5" t="s">
        <v>6053</v>
      </c>
      <c r="H282" s="6" t="s">
        <v>6055</v>
      </c>
      <c r="I282" s="7">
        <f>25</f>
        <v>25</v>
      </c>
      <c r="J282" s="5" t="s">
        <v>262</v>
      </c>
      <c r="K282" s="8">
        <f>55375</f>
        <v>55375</v>
      </c>
      <c r="L282" s="6" t="s">
        <v>242</v>
      </c>
      <c r="M282" s="5" t="s">
        <v>267</v>
      </c>
      <c r="N282" s="5" t="s">
        <v>237</v>
      </c>
      <c r="O282" s="5" t="s">
        <v>238</v>
      </c>
      <c r="P282" s="5" t="s">
        <v>238</v>
      </c>
      <c r="Q282" s="5" t="s">
        <v>239</v>
      </c>
      <c r="R282" s="5" t="s">
        <v>270</v>
      </c>
      <c r="S282" s="5" t="s">
        <v>238</v>
      </c>
      <c r="V282" s="5" t="s">
        <v>238</v>
      </c>
      <c r="X282" s="6" t="s">
        <v>238</v>
      </c>
      <c r="AA282" s="6" t="s">
        <v>243</v>
      </c>
      <c r="AB282" s="5" t="s">
        <v>238</v>
      </c>
      <c r="AC282" s="5" t="s">
        <v>244</v>
      </c>
      <c r="AD282" s="5" t="s">
        <v>245</v>
      </c>
      <c r="AT282" s="5" t="s">
        <v>246</v>
      </c>
      <c r="AU282" s="5" t="s">
        <v>238</v>
      </c>
      <c r="AV282" s="5" t="s">
        <v>247</v>
      </c>
      <c r="AW282" s="5" t="s">
        <v>238</v>
      </c>
      <c r="AX282" s="5" t="s">
        <v>249</v>
      </c>
      <c r="AY282" s="5" t="s">
        <v>238</v>
      </c>
      <c r="BA282" s="5" t="s">
        <v>238</v>
      </c>
      <c r="BC282" s="5" t="s">
        <v>250</v>
      </c>
      <c r="BD282" s="6" t="s">
        <v>243</v>
      </c>
      <c r="BE282" s="5" t="s">
        <v>251</v>
      </c>
      <c r="BF282" s="5" t="s">
        <v>252</v>
      </c>
      <c r="BG282" s="5" t="s">
        <v>238</v>
      </c>
      <c r="BH282" s="7">
        <f>0</f>
        <v>0</v>
      </c>
      <c r="BI282" s="8">
        <f>0</f>
        <v>0</v>
      </c>
      <c r="BJ282" s="5" t="s">
        <v>253</v>
      </c>
      <c r="BK282" s="5" t="s">
        <v>254</v>
      </c>
      <c r="BY282" s="5" t="s">
        <v>238</v>
      </c>
      <c r="BZ282" s="5" t="s">
        <v>238</v>
      </c>
      <c r="CD282" s="5" t="s">
        <v>255</v>
      </c>
      <c r="CE282" s="5" t="s">
        <v>256</v>
      </c>
      <c r="CF282" s="5" t="s">
        <v>238</v>
      </c>
      <c r="CI282" s="6" t="s">
        <v>257</v>
      </c>
      <c r="CJ282" s="5" t="s">
        <v>238</v>
      </c>
      <c r="CK282" s="5" t="s">
        <v>258</v>
      </c>
      <c r="CL282" s="5" t="s">
        <v>238</v>
      </c>
      <c r="CM282" s="5" t="s">
        <v>238</v>
      </c>
      <c r="CN282" s="5">
        <v>0</v>
      </c>
      <c r="CO282" s="5" t="s">
        <v>259</v>
      </c>
      <c r="CP282" s="5" t="s">
        <v>260</v>
      </c>
      <c r="CQ282" s="5" t="s">
        <v>260</v>
      </c>
      <c r="CR282" s="5" t="s">
        <v>261</v>
      </c>
      <c r="CU282" s="8">
        <f>55375</f>
        <v>55375</v>
      </c>
      <c r="CV282" s="8">
        <f>0</f>
        <v>0</v>
      </c>
      <c r="CX282" s="8">
        <f>0</f>
        <v>0</v>
      </c>
      <c r="CY282" s="8">
        <f>55375</f>
        <v>55375</v>
      </c>
      <c r="DA282" s="5" t="s">
        <v>2032</v>
      </c>
      <c r="DB282" s="5" t="s">
        <v>238</v>
      </c>
      <c r="DD282" s="5" t="s">
        <v>356</v>
      </c>
      <c r="DE282" s="8">
        <f>0</f>
        <v>0</v>
      </c>
      <c r="DG282" s="5" t="s">
        <v>389</v>
      </c>
      <c r="DH282" s="5" t="s">
        <v>238</v>
      </c>
      <c r="DI282" s="5" t="s">
        <v>238</v>
      </c>
      <c r="DJ282" s="5" t="s">
        <v>238</v>
      </c>
      <c r="DN282" s="5" t="s">
        <v>238</v>
      </c>
      <c r="DO282" s="5" t="s">
        <v>238</v>
      </c>
      <c r="DP282" s="5" t="s">
        <v>238</v>
      </c>
      <c r="DQ282" s="5" t="s">
        <v>238</v>
      </c>
      <c r="DT282" s="5" t="s">
        <v>6056</v>
      </c>
      <c r="DU282" s="5" t="s">
        <v>294</v>
      </c>
      <c r="HM282" s="5" t="s">
        <v>264</v>
      </c>
    </row>
    <row r="283" spans="1:221" x14ac:dyDescent="0.4">
      <c r="A283" s="5">
        <v>1017</v>
      </c>
      <c r="B283" s="5">
        <v>1</v>
      </c>
      <c r="C283" s="5">
        <v>1</v>
      </c>
      <c r="D283" s="5" t="s">
        <v>6054</v>
      </c>
      <c r="E283" s="5" t="s">
        <v>4391</v>
      </c>
      <c r="F283" s="5" t="s">
        <v>248</v>
      </c>
      <c r="G283" s="5" t="s">
        <v>6053</v>
      </c>
      <c r="H283" s="6" t="s">
        <v>6057</v>
      </c>
      <c r="I283" s="7">
        <f>3875</f>
        <v>3875</v>
      </c>
      <c r="J283" s="5" t="s">
        <v>262</v>
      </c>
      <c r="K283" s="8">
        <f>8583125</f>
        <v>8583125</v>
      </c>
      <c r="L283" s="6" t="s">
        <v>242</v>
      </c>
      <c r="M283" s="5" t="s">
        <v>267</v>
      </c>
      <c r="N283" s="5" t="s">
        <v>237</v>
      </c>
      <c r="O283" s="5" t="s">
        <v>238</v>
      </c>
      <c r="P283" s="5" t="s">
        <v>238</v>
      </c>
      <c r="Q283" s="5" t="s">
        <v>239</v>
      </c>
      <c r="R283" s="5" t="s">
        <v>270</v>
      </c>
      <c r="S283" s="5" t="s">
        <v>238</v>
      </c>
      <c r="V283" s="5" t="s">
        <v>238</v>
      </c>
      <c r="X283" s="6" t="s">
        <v>238</v>
      </c>
      <c r="AA283" s="6" t="s">
        <v>243</v>
      </c>
      <c r="AB283" s="5" t="s">
        <v>238</v>
      </c>
      <c r="AC283" s="5" t="s">
        <v>244</v>
      </c>
      <c r="AD283" s="5" t="s">
        <v>245</v>
      </c>
      <c r="AT283" s="5" t="s">
        <v>246</v>
      </c>
      <c r="AU283" s="5" t="s">
        <v>238</v>
      </c>
      <c r="AV283" s="5" t="s">
        <v>247</v>
      </c>
      <c r="AW283" s="5" t="s">
        <v>238</v>
      </c>
      <c r="AX283" s="5" t="s">
        <v>249</v>
      </c>
      <c r="AY283" s="5" t="s">
        <v>238</v>
      </c>
      <c r="BA283" s="5" t="s">
        <v>238</v>
      </c>
      <c r="BC283" s="5" t="s">
        <v>250</v>
      </c>
      <c r="BD283" s="6" t="s">
        <v>243</v>
      </c>
      <c r="BE283" s="5" t="s">
        <v>251</v>
      </c>
      <c r="BF283" s="5" t="s">
        <v>252</v>
      </c>
      <c r="BG283" s="5" t="s">
        <v>238</v>
      </c>
      <c r="BH283" s="7">
        <f>0</f>
        <v>0</v>
      </c>
      <c r="BI283" s="8">
        <f>0</f>
        <v>0</v>
      </c>
      <c r="BJ283" s="5" t="s">
        <v>253</v>
      </c>
      <c r="BK283" s="5" t="s">
        <v>254</v>
      </c>
      <c r="BY283" s="5" t="s">
        <v>238</v>
      </c>
      <c r="BZ283" s="5" t="s">
        <v>238</v>
      </c>
      <c r="CD283" s="5" t="s">
        <v>255</v>
      </c>
      <c r="CE283" s="5" t="s">
        <v>256</v>
      </c>
      <c r="CF283" s="5" t="s">
        <v>238</v>
      </c>
      <c r="CI283" s="6" t="s">
        <v>257</v>
      </c>
      <c r="CJ283" s="5" t="s">
        <v>238</v>
      </c>
      <c r="CK283" s="5" t="s">
        <v>258</v>
      </c>
      <c r="CL283" s="5" t="s">
        <v>238</v>
      </c>
      <c r="CM283" s="5" t="s">
        <v>238</v>
      </c>
      <c r="CN283" s="5">
        <v>0</v>
      </c>
      <c r="CO283" s="5" t="s">
        <v>259</v>
      </c>
      <c r="CP283" s="5" t="s">
        <v>260</v>
      </c>
      <c r="CQ283" s="5" t="s">
        <v>260</v>
      </c>
      <c r="CR283" s="5" t="s">
        <v>261</v>
      </c>
      <c r="CU283" s="8">
        <f>8583125</f>
        <v>8583125</v>
      </c>
      <c r="CV283" s="8">
        <f>0</f>
        <v>0</v>
      </c>
      <c r="CX283" s="8">
        <f>0</f>
        <v>0</v>
      </c>
      <c r="CY283" s="8">
        <f>8583125</f>
        <v>8583125</v>
      </c>
      <c r="DA283" s="5" t="s">
        <v>2032</v>
      </c>
      <c r="DB283" s="5" t="s">
        <v>238</v>
      </c>
      <c r="DD283" s="5" t="s">
        <v>356</v>
      </c>
      <c r="DE283" s="8">
        <f>0</f>
        <v>0</v>
      </c>
      <c r="DG283" s="5" t="s">
        <v>389</v>
      </c>
      <c r="DH283" s="5" t="s">
        <v>238</v>
      </c>
      <c r="DI283" s="5" t="s">
        <v>238</v>
      </c>
      <c r="DJ283" s="5" t="s">
        <v>238</v>
      </c>
      <c r="DN283" s="5" t="s">
        <v>238</v>
      </c>
      <c r="DO283" s="5" t="s">
        <v>238</v>
      </c>
      <c r="DP283" s="5" t="s">
        <v>238</v>
      </c>
      <c r="DQ283" s="5" t="s">
        <v>238</v>
      </c>
      <c r="DT283" s="5" t="s">
        <v>6056</v>
      </c>
      <c r="DU283" s="5" t="s">
        <v>806</v>
      </c>
      <c r="HM283" s="5" t="s">
        <v>264</v>
      </c>
    </row>
    <row r="284" spans="1:221" x14ac:dyDescent="0.4">
      <c r="A284" s="5">
        <v>1018</v>
      </c>
      <c r="B284" s="5">
        <v>1</v>
      </c>
      <c r="C284" s="5">
        <v>1</v>
      </c>
      <c r="D284" s="5" t="s">
        <v>6030</v>
      </c>
      <c r="E284" s="5" t="s">
        <v>4391</v>
      </c>
      <c r="F284" s="5" t="s">
        <v>248</v>
      </c>
      <c r="G284" s="5" t="s">
        <v>6029</v>
      </c>
      <c r="H284" s="6" t="s">
        <v>6049</v>
      </c>
      <c r="I284" s="7">
        <f>856</f>
        <v>856</v>
      </c>
      <c r="J284" s="5" t="s">
        <v>262</v>
      </c>
      <c r="K284" s="8">
        <f>1896040</f>
        <v>1896040</v>
      </c>
      <c r="L284" s="6" t="s">
        <v>242</v>
      </c>
      <c r="M284" s="5" t="s">
        <v>267</v>
      </c>
      <c r="N284" s="5" t="s">
        <v>237</v>
      </c>
      <c r="O284" s="5" t="s">
        <v>238</v>
      </c>
      <c r="P284" s="5" t="s">
        <v>238</v>
      </c>
      <c r="Q284" s="5" t="s">
        <v>239</v>
      </c>
      <c r="R284" s="5" t="s">
        <v>270</v>
      </c>
      <c r="S284" s="5" t="s">
        <v>238</v>
      </c>
      <c r="V284" s="5" t="s">
        <v>238</v>
      </c>
      <c r="X284" s="6" t="s">
        <v>238</v>
      </c>
      <c r="AA284" s="6" t="s">
        <v>243</v>
      </c>
      <c r="AB284" s="5" t="s">
        <v>238</v>
      </c>
      <c r="AC284" s="5" t="s">
        <v>244</v>
      </c>
      <c r="AD284" s="5" t="s">
        <v>245</v>
      </c>
      <c r="AT284" s="5" t="s">
        <v>246</v>
      </c>
      <c r="AU284" s="5" t="s">
        <v>238</v>
      </c>
      <c r="AV284" s="5" t="s">
        <v>247</v>
      </c>
      <c r="AW284" s="5" t="s">
        <v>238</v>
      </c>
      <c r="AX284" s="5" t="s">
        <v>249</v>
      </c>
      <c r="AY284" s="5" t="s">
        <v>238</v>
      </c>
      <c r="BA284" s="5" t="s">
        <v>4547</v>
      </c>
      <c r="BC284" s="5" t="s">
        <v>250</v>
      </c>
      <c r="BD284" s="6" t="s">
        <v>243</v>
      </c>
      <c r="BE284" s="5" t="s">
        <v>251</v>
      </c>
      <c r="BF284" s="5" t="s">
        <v>252</v>
      </c>
      <c r="BG284" s="5" t="s">
        <v>238</v>
      </c>
      <c r="BH284" s="7">
        <f>0</f>
        <v>0</v>
      </c>
      <c r="BI284" s="8">
        <f>0</f>
        <v>0</v>
      </c>
      <c r="BJ284" s="5" t="s">
        <v>253</v>
      </c>
      <c r="BK284" s="5" t="s">
        <v>254</v>
      </c>
      <c r="BY284" s="5" t="s">
        <v>238</v>
      </c>
      <c r="BZ284" s="5" t="s">
        <v>238</v>
      </c>
      <c r="CD284" s="5" t="s">
        <v>255</v>
      </c>
      <c r="CE284" s="5" t="s">
        <v>256</v>
      </c>
      <c r="CF284" s="5" t="s">
        <v>238</v>
      </c>
      <c r="CI284" s="6" t="s">
        <v>257</v>
      </c>
      <c r="CJ284" s="5" t="s">
        <v>238</v>
      </c>
      <c r="CK284" s="5" t="s">
        <v>258</v>
      </c>
      <c r="CL284" s="5" t="s">
        <v>238</v>
      </c>
      <c r="CM284" s="5" t="s">
        <v>238</v>
      </c>
      <c r="CN284" s="5">
        <v>0</v>
      </c>
      <c r="CO284" s="5" t="s">
        <v>259</v>
      </c>
      <c r="CP284" s="5" t="s">
        <v>260</v>
      </c>
      <c r="CQ284" s="5" t="s">
        <v>260</v>
      </c>
      <c r="CR284" s="5" t="s">
        <v>261</v>
      </c>
      <c r="CU284" s="8">
        <f>1896040</f>
        <v>1896040</v>
      </c>
      <c r="CV284" s="8">
        <f>0</f>
        <v>0</v>
      </c>
      <c r="CX284" s="8">
        <f>0</f>
        <v>0</v>
      </c>
      <c r="CY284" s="8">
        <f>1896040</f>
        <v>1896040</v>
      </c>
      <c r="DA284" s="5" t="s">
        <v>2032</v>
      </c>
      <c r="DB284" s="5" t="s">
        <v>238</v>
      </c>
      <c r="DD284" s="5" t="s">
        <v>356</v>
      </c>
      <c r="DE284" s="8">
        <f>0</f>
        <v>0</v>
      </c>
      <c r="DG284" s="5" t="s">
        <v>389</v>
      </c>
      <c r="DH284" s="5" t="s">
        <v>238</v>
      </c>
      <c r="DI284" s="5" t="s">
        <v>238</v>
      </c>
      <c r="DJ284" s="5" t="s">
        <v>238</v>
      </c>
      <c r="DN284" s="5" t="s">
        <v>238</v>
      </c>
      <c r="DO284" s="5" t="s">
        <v>238</v>
      </c>
      <c r="DP284" s="5" t="s">
        <v>238</v>
      </c>
      <c r="DQ284" s="5" t="s">
        <v>238</v>
      </c>
      <c r="DT284" s="5" t="s">
        <v>6032</v>
      </c>
      <c r="DU284" s="5" t="s">
        <v>264</v>
      </c>
      <c r="HM284" s="5" t="s">
        <v>264</v>
      </c>
    </row>
    <row r="285" spans="1:221" x14ac:dyDescent="0.4">
      <c r="A285" s="5">
        <v>1019</v>
      </c>
      <c r="B285" s="5">
        <v>1</v>
      </c>
      <c r="C285" s="5">
        <v>1</v>
      </c>
      <c r="D285" s="5" t="s">
        <v>6030</v>
      </c>
      <c r="E285" s="5" t="s">
        <v>4391</v>
      </c>
      <c r="F285" s="5" t="s">
        <v>248</v>
      </c>
      <c r="G285" s="5" t="s">
        <v>6029</v>
      </c>
      <c r="H285" s="6" t="s">
        <v>6033</v>
      </c>
      <c r="I285" s="7">
        <f>556</f>
        <v>556</v>
      </c>
      <c r="J285" s="5" t="s">
        <v>262</v>
      </c>
      <c r="K285" s="8">
        <f>1231540</f>
        <v>1231540</v>
      </c>
      <c r="L285" s="6" t="s">
        <v>242</v>
      </c>
      <c r="M285" s="5" t="s">
        <v>267</v>
      </c>
      <c r="N285" s="5" t="s">
        <v>237</v>
      </c>
      <c r="O285" s="5" t="s">
        <v>238</v>
      </c>
      <c r="P285" s="5" t="s">
        <v>238</v>
      </c>
      <c r="Q285" s="5" t="s">
        <v>239</v>
      </c>
      <c r="R285" s="5" t="s">
        <v>270</v>
      </c>
      <c r="S285" s="5" t="s">
        <v>238</v>
      </c>
      <c r="V285" s="5" t="s">
        <v>238</v>
      </c>
      <c r="X285" s="6" t="s">
        <v>238</v>
      </c>
      <c r="AA285" s="6" t="s">
        <v>243</v>
      </c>
      <c r="AB285" s="5" t="s">
        <v>238</v>
      </c>
      <c r="AC285" s="5" t="s">
        <v>244</v>
      </c>
      <c r="AD285" s="5" t="s">
        <v>245</v>
      </c>
      <c r="AT285" s="5" t="s">
        <v>246</v>
      </c>
      <c r="AU285" s="5" t="s">
        <v>238</v>
      </c>
      <c r="AV285" s="5" t="s">
        <v>247</v>
      </c>
      <c r="AW285" s="5" t="s">
        <v>238</v>
      </c>
      <c r="AX285" s="5" t="s">
        <v>249</v>
      </c>
      <c r="AY285" s="5" t="s">
        <v>238</v>
      </c>
      <c r="BA285" s="5" t="s">
        <v>238</v>
      </c>
      <c r="BC285" s="5" t="s">
        <v>250</v>
      </c>
      <c r="BD285" s="6" t="s">
        <v>243</v>
      </c>
      <c r="BE285" s="5" t="s">
        <v>251</v>
      </c>
      <c r="BF285" s="5" t="s">
        <v>252</v>
      </c>
      <c r="BG285" s="5" t="s">
        <v>238</v>
      </c>
      <c r="BH285" s="7">
        <f>0</f>
        <v>0</v>
      </c>
      <c r="BI285" s="8">
        <f>0</f>
        <v>0</v>
      </c>
      <c r="BJ285" s="5" t="s">
        <v>253</v>
      </c>
      <c r="BK285" s="5" t="s">
        <v>254</v>
      </c>
      <c r="BY285" s="5" t="s">
        <v>238</v>
      </c>
      <c r="BZ285" s="5" t="s">
        <v>238</v>
      </c>
      <c r="CD285" s="5" t="s">
        <v>255</v>
      </c>
      <c r="CE285" s="5" t="s">
        <v>256</v>
      </c>
      <c r="CF285" s="5" t="s">
        <v>238</v>
      </c>
      <c r="CI285" s="6" t="s">
        <v>257</v>
      </c>
      <c r="CJ285" s="5" t="s">
        <v>238</v>
      </c>
      <c r="CK285" s="5" t="s">
        <v>258</v>
      </c>
      <c r="CL285" s="5" t="s">
        <v>238</v>
      </c>
      <c r="CM285" s="5" t="s">
        <v>238</v>
      </c>
      <c r="CN285" s="5">
        <v>0</v>
      </c>
      <c r="CO285" s="5" t="s">
        <v>259</v>
      </c>
      <c r="CP285" s="5" t="s">
        <v>260</v>
      </c>
      <c r="CQ285" s="5" t="s">
        <v>260</v>
      </c>
      <c r="CR285" s="5" t="s">
        <v>261</v>
      </c>
      <c r="CU285" s="8">
        <f>1231540</f>
        <v>1231540</v>
      </c>
      <c r="CV285" s="8">
        <f>0</f>
        <v>0</v>
      </c>
      <c r="CX285" s="8">
        <f>0</f>
        <v>0</v>
      </c>
      <c r="CY285" s="8">
        <f>1231540</f>
        <v>1231540</v>
      </c>
      <c r="DA285" s="5" t="s">
        <v>2032</v>
      </c>
      <c r="DB285" s="5" t="s">
        <v>238</v>
      </c>
      <c r="DD285" s="5" t="s">
        <v>356</v>
      </c>
      <c r="DE285" s="8">
        <f>0</f>
        <v>0</v>
      </c>
      <c r="DG285" s="5" t="s">
        <v>389</v>
      </c>
      <c r="DH285" s="5" t="s">
        <v>238</v>
      </c>
      <c r="DI285" s="5" t="s">
        <v>238</v>
      </c>
      <c r="DJ285" s="5" t="s">
        <v>238</v>
      </c>
      <c r="DN285" s="5" t="s">
        <v>238</v>
      </c>
      <c r="DO285" s="5" t="s">
        <v>238</v>
      </c>
      <c r="DP285" s="5" t="s">
        <v>238</v>
      </c>
      <c r="DQ285" s="5" t="s">
        <v>238</v>
      </c>
      <c r="DT285" s="5" t="s">
        <v>6032</v>
      </c>
      <c r="DU285" s="5" t="s">
        <v>294</v>
      </c>
      <c r="HM285" s="5" t="s">
        <v>264</v>
      </c>
    </row>
    <row r="286" spans="1:221" x14ac:dyDescent="0.4">
      <c r="A286" s="5">
        <v>1020</v>
      </c>
      <c r="B286" s="5">
        <v>1</v>
      </c>
      <c r="C286" s="5">
        <v>1</v>
      </c>
      <c r="D286" s="5" t="s">
        <v>6030</v>
      </c>
      <c r="E286" s="5" t="s">
        <v>4391</v>
      </c>
      <c r="F286" s="5" t="s">
        <v>248</v>
      </c>
      <c r="G286" s="5" t="s">
        <v>6029</v>
      </c>
      <c r="H286" s="6" t="s">
        <v>6031</v>
      </c>
      <c r="I286" s="7">
        <f>2442</f>
        <v>2442</v>
      </c>
      <c r="J286" s="5" t="s">
        <v>262</v>
      </c>
      <c r="K286" s="8">
        <f>5409030</f>
        <v>5409030</v>
      </c>
      <c r="L286" s="6" t="s">
        <v>242</v>
      </c>
      <c r="M286" s="5" t="s">
        <v>267</v>
      </c>
      <c r="N286" s="5" t="s">
        <v>237</v>
      </c>
      <c r="O286" s="5" t="s">
        <v>238</v>
      </c>
      <c r="P286" s="5" t="s">
        <v>238</v>
      </c>
      <c r="Q286" s="5" t="s">
        <v>239</v>
      </c>
      <c r="R286" s="5" t="s">
        <v>270</v>
      </c>
      <c r="S286" s="5" t="s">
        <v>238</v>
      </c>
      <c r="V286" s="5" t="s">
        <v>238</v>
      </c>
      <c r="X286" s="6" t="s">
        <v>238</v>
      </c>
      <c r="AA286" s="6" t="s">
        <v>243</v>
      </c>
      <c r="AB286" s="5" t="s">
        <v>238</v>
      </c>
      <c r="AC286" s="5" t="s">
        <v>244</v>
      </c>
      <c r="AD286" s="5" t="s">
        <v>245</v>
      </c>
      <c r="AT286" s="5" t="s">
        <v>246</v>
      </c>
      <c r="AU286" s="5" t="s">
        <v>238</v>
      </c>
      <c r="AV286" s="5" t="s">
        <v>247</v>
      </c>
      <c r="AW286" s="5" t="s">
        <v>238</v>
      </c>
      <c r="AX286" s="5" t="s">
        <v>249</v>
      </c>
      <c r="AY286" s="5" t="s">
        <v>238</v>
      </c>
      <c r="BA286" s="5" t="s">
        <v>238</v>
      </c>
      <c r="BC286" s="5" t="s">
        <v>250</v>
      </c>
      <c r="BD286" s="6" t="s">
        <v>243</v>
      </c>
      <c r="BE286" s="5" t="s">
        <v>251</v>
      </c>
      <c r="BF286" s="5" t="s">
        <v>252</v>
      </c>
      <c r="BG286" s="5" t="s">
        <v>238</v>
      </c>
      <c r="BH286" s="7">
        <f>0</f>
        <v>0</v>
      </c>
      <c r="BI286" s="8">
        <f>0</f>
        <v>0</v>
      </c>
      <c r="BJ286" s="5" t="s">
        <v>253</v>
      </c>
      <c r="BK286" s="5" t="s">
        <v>254</v>
      </c>
      <c r="BY286" s="5" t="s">
        <v>238</v>
      </c>
      <c r="BZ286" s="5" t="s">
        <v>238</v>
      </c>
      <c r="CD286" s="5" t="s">
        <v>255</v>
      </c>
      <c r="CE286" s="5" t="s">
        <v>256</v>
      </c>
      <c r="CF286" s="5" t="s">
        <v>238</v>
      </c>
      <c r="CI286" s="6" t="s">
        <v>257</v>
      </c>
      <c r="CJ286" s="5" t="s">
        <v>238</v>
      </c>
      <c r="CK286" s="5" t="s">
        <v>258</v>
      </c>
      <c r="CL286" s="5" t="s">
        <v>238</v>
      </c>
      <c r="CM286" s="5" t="s">
        <v>238</v>
      </c>
      <c r="CN286" s="5">
        <v>0</v>
      </c>
      <c r="CO286" s="5" t="s">
        <v>259</v>
      </c>
      <c r="CP286" s="5" t="s">
        <v>260</v>
      </c>
      <c r="CQ286" s="5" t="s">
        <v>260</v>
      </c>
      <c r="CR286" s="5" t="s">
        <v>261</v>
      </c>
      <c r="CU286" s="8">
        <f>5409030</f>
        <v>5409030</v>
      </c>
      <c r="CV286" s="8">
        <f>0</f>
        <v>0</v>
      </c>
      <c r="CX286" s="8">
        <f>0</f>
        <v>0</v>
      </c>
      <c r="CY286" s="8">
        <f>5409030</f>
        <v>5409030</v>
      </c>
      <c r="DA286" s="5" t="s">
        <v>2032</v>
      </c>
      <c r="DB286" s="5" t="s">
        <v>238</v>
      </c>
      <c r="DD286" s="5" t="s">
        <v>356</v>
      </c>
      <c r="DE286" s="8">
        <f>0</f>
        <v>0</v>
      </c>
      <c r="DG286" s="5" t="s">
        <v>389</v>
      </c>
      <c r="DH286" s="5" t="s">
        <v>238</v>
      </c>
      <c r="DI286" s="5" t="s">
        <v>238</v>
      </c>
      <c r="DJ286" s="5" t="s">
        <v>238</v>
      </c>
      <c r="DN286" s="5" t="s">
        <v>238</v>
      </c>
      <c r="DO286" s="5" t="s">
        <v>238</v>
      </c>
      <c r="DP286" s="5" t="s">
        <v>238</v>
      </c>
      <c r="DQ286" s="5" t="s">
        <v>238</v>
      </c>
      <c r="DT286" s="5" t="s">
        <v>6032</v>
      </c>
      <c r="DU286" s="5" t="s">
        <v>806</v>
      </c>
      <c r="HM286" s="5" t="s">
        <v>264</v>
      </c>
    </row>
    <row r="287" spans="1:221" x14ac:dyDescent="0.4">
      <c r="A287" s="5">
        <v>1021</v>
      </c>
      <c r="B287" s="5">
        <v>1</v>
      </c>
      <c r="C287" s="5">
        <v>1</v>
      </c>
      <c r="D287" s="5" t="s">
        <v>6030</v>
      </c>
      <c r="E287" s="5" t="s">
        <v>4391</v>
      </c>
      <c r="F287" s="5" t="s">
        <v>248</v>
      </c>
      <c r="G287" s="5" t="s">
        <v>6029</v>
      </c>
      <c r="H287" s="6" t="s">
        <v>6050</v>
      </c>
      <c r="I287" s="7">
        <f>673</f>
        <v>673</v>
      </c>
      <c r="J287" s="5" t="s">
        <v>262</v>
      </c>
      <c r="K287" s="8">
        <f>1490695</f>
        <v>1490695</v>
      </c>
      <c r="L287" s="6" t="s">
        <v>242</v>
      </c>
      <c r="M287" s="5" t="s">
        <v>267</v>
      </c>
      <c r="N287" s="5" t="s">
        <v>237</v>
      </c>
      <c r="O287" s="5" t="s">
        <v>238</v>
      </c>
      <c r="P287" s="5" t="s">
        <v>238</v>
      </c>
      <c r="Q287" s="5" t="s">
        <v>239</v>
      </c>
      <c r="R287" s="5" t="s">
        <v>270</v>
      </c>
      <c r="S287" s="5" t="s">
        <v>238</v>
      </c>
      <c r="V287" s="5" t="s">
        <v>238</v>
      </c>
      <c r="X287" s="6" t="s">
        <v>238</v>
      </c>
      <c r="AA287" s="6" t="s">
        <v>243</v>
      </c>
      <c r="AB287" s="5" t="s">
        <v>238</v>
      </c>
      <c r="AC287" s="5" t="s">
        <v>244</v>
      </c>
      <c r="AD287" s="5" t="s">
        <v>245</v>
      </c>
      <c r="AT287" s="5" t="s">
        <v>246</v>
      </c>
      <c r="AU287" s="5" t="s">
        <v>238</v>
      </c>
      <c r="AV287" s="5" t="s">
        <v>247</v>
      </c>
      <c r="AW287" s="5" t="s">
        <v>238</v>
      </c>
      <c r="AX287" s="5" t="s">
        <v>249</v>
      </c>
      <c r="AY287" s="5" t="s">
        <v>238</v>
      </c>
      <c r="BA287" s="5" t="s">
        <v>238</v>
      </c>
      <c r="BC287" s="5" t="s">
        <v>250</v>
      </c>
      <c r="BD287" s="6" t="s">
        <v>243</v>
      </c>
      <c r="BE287" s="5" t="s">
        <v>251</v>
      </c>
      <c r="BF287" s="5" t="s">
        <v>252</v>
      </c>
      <c r="BG287" s="5" t="s">
        <v>238</v>
      </c>
      <c r="BH287" s="7">
        <f>0</f>
        <v>0</v>
      </c>
      <c r="BI287" s="8">
        <f>0</f>
        <v>0</v>
      </c>
      <c r="BJ287" s="5" t="s">
        <v>253</v>
      </c>
      <c r="BK287" s="5" t="s">
        <v>254</v>
      </c>
      <c r="BY287" s="5" t="s">
        <v>238</v>
      </c>
      <c r="BZ287" s="5" t="s">
        <v>238</v>
      </c>
      <c r="CD287" s="5" t="s">
        <v>255</v>
      </c>
      <c r="CE287" s="5" t="s">
        <v>256</v>
      </c>
      <c r="CF287" s="5" t="s">
        <v>238</v>
      </c>
      <c r="CI287" s="6" t="s">
        <v>257</v>
      </c>
      <c r="CJ287" s="5" t="s">
        <v>238</v>
      </c>
      <c r="CK287" s="5" t="s">
        <v>258</v>
      </c>
      <c r="CL287" s="5" t="s">
        <v>238</v>
      </c>
      <c r="CM287" s="5" t="s">
        <v>238</v>
      </c>
      <c r="CN287" s="5">
        <v>0</v>
      </c>
      <c r="CO287" s="5" t="s">
        <v>259</v>
      </c>
      <c r="CP287" s="5" t="s">
        <v>260</v>
      </c>
      <c r="CQ287" s="5" t="s">
        <v>260</v>
      </c>
      <c r="CR287" s="5" t="s">
        <v>261</v>
      </c>
      <c r="CU287" s="8">
        <f>1490695</f>
        <v>1490695</v>
      </c>
      <c r="CV287" s="8">
        <f>0</f>
        <v>0</v>
      </c>
      <c r="CX287" s="8">
        <f>0</f>
        <v>0</v>
      </c>
      <c r="CY287" s="8">
        <f>1490695</f>
        <v>1490695</v>
      </c>
      <c r="DA287" s="5" t="s">
        <v>2032</v>
      </c>
      <c r="DB287" s="5" t="s">
        <v>238</v>
      </c>
      <c r="DD287" s="5" t="s">
        <v>356</v>
      </c>
      <c r="DE287" s="8">
        <f>0</f>
        <v>0</v>
      </c>
      <c r="DG287" s="5" t="s">
        <v>389</v>
      </c>
      <c r="DH287" s="5" t="s">
        <v>238</v>
      </c>
      <c r="DI287" s="5" t="s">
        <v>238</v>
      </c>
      <c r="DJ287" s="5" t="s">
        <v>238</v>
      </c>
      <c r="DN287" s="5" t="s">
        <v>238</v>
      </c>
      <c r="DO287" s="5" t="s">
        <v>238</v>
      </c>
      <c r="DP287" s="5" t="s">
        <v>238</v>
      </c>
      <c r="DQ287" s="5" t="s">
        <v>238</v>
      </c>
      <c r="DT287" s="5" t="s">
        <v>6032</v>
      </c>
      <c r="DU287" s="5" t="s">
        <v>854</v>
      </c>
      <c r="HM287" s="5" t="s">
        <v>264</v>
      </c>
    </row>
    <row r="288" spans="1:221" x14ac:dyDescent="0.4">
      <c r="A288" s="5">
        <v>1022</v>
      </c>
      <c r="B288" s="5">
        <v>1</v>
      </c>
      <c r="C288" s="5">
        <v>1</v>
      </c>
      <c r="D288" s="5" t="s">
        <v>6030</v>
      </c>
      <c r="E288" s="5" t="s">
        <v>4391</v>
      </c>
      <c r="F288" s="5" t="s">
        <v>248</v>
      </c>
      <c r="G288" s="5" t="s">
        <v>6029</v>
      </c>
      <c r="H288" s="6" t="s">
        <v>6035</v>
      </c>
      <c r="I288" s="7">
        <f>961</f>
        <v>961</v>
      </c>
      <c r="J288" s="5" t="s">
        <v>262</v>
      </c>
      <c r="K288" s="8">
        <f>2128615</f>
        <v>2128615</v>
      </c>
      <c r="L288" s="6" t="s">
        <v>242</v>
      </c>
      <c r="M288" s="5" t="s">
        <v>267</v>
      </c>
      <c r="N288" s="5" t="s">
        <v>237</v>
      </c>
      <c r="O288" s="5" t="s">
        <v>238</v>
      </c>
      <c r="P288" s="5" t="s">
        <v>238</v>
      </c>
      <c r="Q288" s="5" t="s">
        <v>239</v>
      </c>
      <c r="R288" s="5" t="s">
        <v>270</v>
      </c>
      <c r="S288" s="5" t="s">
        <v>238</v>
      </c>
      <c r="V288" s="5" t="s">
        <v>238</v>
      </c>
      <c r="X288" s="6" t="s">
        <v>238</v>
      </c>
      <c r="AA288" s="6" t="s">
        <v>243</v>
      </c>
      <c r="AB288" s="5" t="s">
        <v>238</v>
      </c>
      <c r="AC288" s="5" t="s">
        <v>244</v>
      </c>
      <c r="AD288" s="5" t="s">
        <v>245</v>
      </c>
      <c r="AT288" s="5" t="s">
        <v>246</v>
      </c>
      <c r="AU288" s="5" t="s">
        <v>238</v>
      </c>
      <c r="AV288" s="5" t="s">
        <v>247</v>
      </c>
      <c r="AW288" s="5" t="s">
        <v>238</v>
      </c>
      <c r="AX288" s="5" t="s">
        <v>249</v>
      </c>
      <c r="AY288" s="5" t="s">
        <v>238</v>
      </c>
      <c r="BA288" s="5" t="s">
        <v>238</v>
      </c>
      <c r="BC288" s="5" t="s">
        <v>250</v>
      </c>
      <c r="BD288" s="6" t="s">
        <v>243</v>
      </c>
      <c r="BE288" s="5" t="s">
        <v>251</v>
      </c>
      <c r="BF288" s="5" t="s">
        <v>252</v>
      </c>
      <c r="BG288" s="5" t="s">
        <v>238</v>
      </c>
      <c r="BH288" s="7">
        <f>0</f>
        <v>0</v>
      </c>
      <c r="BI288" s="8">
        <f>0</f>
        <v>0</v>
      </c>
      <c r="BJ288" s="5" t="s">
        <v>253</v>
      </c>
      <c r="BK288" s="5" t="s">
        <v>254</v>
      </c>
      <c r="BY288" s="5" t="s">
        <v>238</v>
      </c>
      <c r="BZ288" s="5" t="s">
        <v>238</v>
      </c>
      <c r="CD288" s="5" t="s">
        <v>255</v>
      </c>
      <c r="CE288" s="5" t="s">
        <v>256</v>
      </c>
      <c r="CF288" s="5" t="s">
        <v>238</v>
      </c>
      <c r="CI288" s="6" t="s">
        <v>257</v>
      </c>
      <c r="CJ288" s="5" t="s">
        <v>238</v>
      </c>
      <c r="CK288" s="5" t="s">
        <v>258</v>
      </c>
      <c r="CL288" s="5" t="s">
        <v>238</v>
      </c>
      <c r="CM288" s="5" t="s">
        <v>238</v>
      </c>
      <c r="CN288" s="5">
        <v>0</v>
      </c>
      <c r="CO288" s="5" t="s">
        <v>259</v>
      </c>
      <c r="CP288" s="5" t="s">
        <v>260</v>
      </c>
      <c r="CQ288" s="5" t="s">
        <v>260</v>
      </c>
      <c r="CR288" s="5" t="s">
        <v>261</v>
      </c>
      <c r="CU288" s="8">
        <f>2128615</f>
        <v>2128615</v>
      </c>
      <c r="CV288" s="8">
        <f>0</f>
        <v>0</v>
      </c>
      <c r="CX288" s="8">
        <f>0</f>
        <v>0</v>
      </c>
      <c r="CY288" s="8">
        <f>2128615</f>
        <v>2128615</v>
      </c>
      <c r="DA288" s="5" t="s">
        <v>2032</v>
      </c>
      <c r="DB288" s="5" t="s">
        <v>238</v>
      </c>
      <c r="DD288" s="5" t="s">
        <v>356</v>
      </c>
      <c r="DE288" s="8">
        <f>0</f>
        <v>0</v>
      </c>
      <c r="DG288" s="5" t="s">
        <v>389</v>
      </c>
      <c r="DH288" s="5" t="s">
        <v>238</v>
      </c>
      <c r="DI288" s="5" t="s">
        <v>238</v>
      </c>
      <c r="DJ288" s="5" t="s">
        <v>238</v>
      </c>
      <c r="DN288" s="5" t="s">
        <v>238</v>
      </c>
      <c r="DO288" s="5" t="s">
        <v>238</v>
      </c>
      <c r="DP288" s="5" t="s">
        <v>238</v>
      </c>
      <c r="DQ288" s="5" t="s">
        <v>238</v>
      </c>
      <c r="DT288" s="5" t="s">
        <v>6032</v>
      </c>
      <c r="DU288" s="5" t="s">
        <v>911</v>
      </c>
      <c r="HM288" s="5" t="s">
        <v>264</v>
      </c>
    </row>
    <row r="289" spans="1:221" x14ac:dyDescent="0.4">
      <c r="A289" s="5">
        <v>1023</v>
      </c>
      <c r="B289" s="5">
        <v>1</v>
      </c>
      <c r="C289" s="5">
        <v>1</v>
      </c>
      <c r="D289" s="5" t="s">
        <v>6030</v>
      </c>
      <c r="E289" s="5" t="s">
        <v>4391</v>
      </c>
      <c r="F289" s="5" t="s">
        <v>248</v>
      </c>
      <c r="G289" s="5" t="s">
        <v>6029</v>
      </c>
      <c r="H289" s="6" t="s">
        <v>6036</v>
      </c>
      <c r="I289" s="7">
        <f>2249</f>
        <v>2249</v>
      </c>
      <c r="J289" s="5" t="s">
        <v>262</v>
      </c>
      <c r="K289" s="8">
        <f>4981535</f>
        <v>4981535</v>
      </c>
      <c r="L289" s="6" t="s">
        <v>242</v>
      </c>
      <c r="M289" s="5" t="s">
        <v>267</v>
      </c>
      <c r="N289" s="5" t="s">
        <v>237</v>
      </c>
      <c r="O289" s="5" t="s">
        <v>238</v>
      </c>
      <c r="P289" s="5" t="s">
        <v>238</v>
      </c>
      <c r="Q289" s="5" t="s">
        <v>239</v>
      </c>
      <c r="R289" s="5" t="s">
        <v>270</v>
      </c>
      <c r="S289" s="5" t="s">
        <v>238</v>
      </c>
      <c r="V289" s="5" t="s">
        <v>238</v>
      </c>
      <c r="X289" s="6" t="s">
        <v>238</v>
      </c>
      <c r="AA289" s="6" t="s">
        <v>243</v>
      </c>
      <c r="AB289" s="5" t="s">
        <v>238</v>
      </c>
      <c r="AC289" s="5" t="s">
        <v>244</v>
      </c>
      <c r="AD289" s="5" t="s">
        <v>245</v>
      </c>
      <c r="AT289" s="5" t="s">
        <v>246</v>
      </c>
      <c r="AU289" s="5" t="s">
        <v>238</v>
      </c>
      <c r="AV289" s="5" t="s">
        <v>247</v>
      </c>
      <c r="AW289" s="5" t="s">
        <v>238</v>
      </c>
      <c r="AX289" s="5" t="s">
        <v>249</v>
      </c>
      <c r="AY289" s="5" t="s">
        <v>238</v>
      </c>
      <c r="BA289" s="5" t="s">
        <v>238</v>
      </c>
      <c r="BC289" s="5" t="s">
        <v>250</v>
      </c>
      <c r="BD289" s="6" t="s">
        <v>243</v>
      </c>
      <c r="BE289" s="5" t="s">
        <v>251</v>
      </c>
      <c r="BF289" s="5" t="s">
        <v>252</v>
      </c>
      <c r="BG289" s="5" t="s">
        <v>238</v>
      </c>
      <c r="BH289" s="7">
        <f>0</f>
        <v>0</v>
      </c>
      <c r="BI289" s="8">
        <f>0</f>
        <v>0</v>
      </c>
      <c r="BJ289" s="5" t="s">
        <v>253</v>
      </c>
      <c r="BK289" s="5" t="s">
        <v>254</v>
      </c>
      <c r="BY289" s="5" t="s">
        <v>238</v>
      </c>
      <c r="BZ289" s="5" t="s">
        <v>238</v>
      </c>
      <c r="CD289" s="5" t="s">
        <v>255</v>
      </c>
      <c r="CE289" s="5" t="s">
        <v>256</v>
      </c>
      <c r="CF289" s="5" t="s">
        <v>238</v>
      </c>
      <c r="CI289" s="6" t="s">
        <v>257</v>
      </c>
      <c r="CJ289" s="5" t="s">
        <v>238</v>
      </c>
      <c r="CK289" s="5" t="s">
        <v>258</v>
      </c>
      <c r="CL289" s="5" t="s">
        <v>238</v>
      </c>
      <c r="CM289" s="5" t="s">
        <v>238</v>
      </c>
      <c r="CN289" s="5">
        <v>0</v>
      </c>
      <c r="CO289" s="5" t="s">
        <v>259</v>
      </c>
      <c r="CP289" s="5" t="s">
        <v>260</v>
      </c>
      <c r="CQ289" s="5" t="s">
        <v>260</v>
      </c>
      <c r="CR289" s="5" t="s">
        <v>261</v>
      </c>
      <c r="CU289" s="8">
        <f>4981535</f>
        <v>4981535</v>
      </c>
      <c r="CV289" s="8">
        <f>0</f>
        <v>0</v>
      </c>
      <c r="CX289" s="8">
        <f>0</f>
        <v>0</v>
      </c>
      <c r="CY289" s="8">
        <f>4981535</f>
        <v>4981535</v>
      </c>
      <c r="DA289" s="5" t="s">
        <v>2032</v>
      </c>
      <c r="DB289" s="5" t="s">
        <v>238</v>
      </c>
      <c r="DD289" s="5" t="s">
        <v>356</v>
      </c>
      <c r="DE289" s="8">
        <f>0</f>
        <v>0</v>
      </c>
      <c r="DG289" s="5" t="s">
        <v>389</v>
      </c>
      <c r="DH289" s="5" t="s">
        <v>238</v>
      </c>
      <c r="DI289" s="5" t="s">
        <v>238</v>
      </c>
      <c r="DJ289" s="5" t="s">
        <v>238</v>
      </c>
      <c r="DN289" s="5" t="s">
        <v>238</v>
      </c>
      <c r="DO289" s="5" t="s">
        <v>238</v>
      </c>
      <c r="DP289" s="5" t="s">
        <v>238</v>
      </c>
      <c r="DQ289" s="5" t="s">
        <v>238</v>
      </c>
      <c r="DT289" s="5" t="s">
        <v>6032</v>
      </c>
      <c r="DU289" s="5" t="s">
        <v>967</v>
      </c>
      <c r="HM289" s="5" t="s">
        <v>264</v>
      </c>
    </row>
    <row r="290" spans="1:221" x14ac:dyDescent="0.4">
      <c r="A290" s="5">
        <v>1024</v>
      </c>
      <c r="B290" s="5">
        <v>1</v>
      </c>
      <c r="C290" s="5">
        <v>1</v>
      </c>
      <c r="D290" s="5" t="s">
        <v>6030</v>
      </c>
      <c r="E290" s="5" t="s">
        <v>4391</v>
      </c>
      <c r="F290" s="5" t="s">
        <v>248</v>
      </c>
      <c r="G290" s="5" t="s">
        <v>6029</v>
      </c>
      <c r="H290" s="6" t="s">
        <v>6034</v>
      </c>
      <c r="I290" s="7">
        <f>99</f>
        <v>99</v>
      </c>
      <c r="J290" s="5" t="s">
        <v>262</v>
      </c>
      <c r="K290" s="8">
        <f>219285</f>
        <v>219285</v>
      </c>
      <c r="L290" s="6" t="s">
        <v>242</v>
      </c>
      <c r="M290" s="5" t="s">
        <v>267</v>
      </c>
      <c r="N290" s="5" t="s">
        <v>237</v>
      </c>
      <c r="O290" s="5" t="s">
        <v>238</v>
      </c>
      <c r="P290" s="5" t="s">
        <v>238</v>
      </c>
      <c r="Q290" s="5" t="s">
        <v>239</v>
      </c>
      <c r="R290" s="5" t="s">
        <v>270</v>
      </c>
      <c r="S290" s="5" t="s">
        <v>238</v>
      </c>
      <c r="V290" s="5" t="s">
        <v>238</v>
      </c>
      <c r="X290" s="6" t="s">
        <v>238</v>
      </c>
      <c r="AA290" s="6" t="s">
        <v>243</v>
      </c>
      <c r="AB290" s="5" t="s">
        <v>238</v>
      </c>
      <c r="AC290" s="5" t="s">
        <v>244</v>
      </c>
      <c r="AD290" s="5" t="s">
        <v>245</v>
      </c>
      <c r="AT290" s="5" t="s">
        <v>246</v>
      </c>
      <c r="AU290" s="5" t="s">
        <v>238</v>
      </c>
      <c r="AV290" s="5" t="s">
        <v>247</v>
      </c>
      <c r="AW290" s="5" t="s">
        <v>238</v>
      </c>
      <c r="AX290" s="5" t="s">
        <v>249</v>
      </c>
      <c r="AY290" s="5" t="s">
        <v>238</v>
      </c>
      <c r="BA290" s="5" t="s">
        <v>238</v>
      </c>
      <c r="BC290" s="5" t="s">
        <v>250</v>
      </c>
      <c r="BD290" s="6" t="s">
        <v>243</v>
      </c>
      <c r="BE290" s="5" t="s">
        <v>251</v>
      </c>
      <c r="BF290" s="5" t="s">
        <v>252</v>
      </c>
      <c r="BG290" s="5" t="s">
        <v>238</v>
      </c>
      <c r="BH290" s="7">
        <f>0</f>
        <v>0</v>
      </c>
      <c r="BI290" s="8">
        <f>0</f>
        <v>0</v>
      </c>
      <c r="BJ290" s="5" t="s">
        <v>253</v>
      </c>
      <c r="BK290" s="5" t="s">
        <v>254</v>
      </c>
      <c r="BY290" s="5" t="s">
        <v>238</v>
      </c>
      <c r="BZ290" s="5" t="s">
        <v>238</v>
      </c>
      <c r="CD290" s="5" t="s">
        <v>255</v>
      </c>
      <c r="CE290" s="5" t="s">
        <v>256</v>
      </c>
      <c r="CF290" s="5" t="s">
        <v>238</v>
      </c>
      <c r="CI290" s="6" t="s">
        <v>257</v>
      </c>
      <c r="CJ290" s="5" t="s">
        <v>238</v>
      </c>
      <c r="CK290" s="5" t="s">
        <v>258</v>
      </c>
      <c r="CL290" s="5" t="s">
        <v>238</v>
      </c>
      <c r="CM290" s="5" t="s">
        <v>238</v>
      </c>
      <c r="CN290" s="5">
        <v>0</v>
      </c>
      <c r="CO290" s="5" t="s">
        <v>259</v>
      </c>
      <c r="CP290" s="5" t="s">
        <v>260</v>
      </c>
      <c r="CQ290" s="5" t="s">
        <v>260</v>
      </c>
      <c r="CR290" s="5" t="s">
        <v>261</v>
      </c>
      <c r="CU290" s="8">
        <f>219285</f>
        <v>219285</v>
      </c>
      <c r="CV290" s="8">
        <f>0</f>
        <v>0</v>
      </c>
      <c r="CX290" s="8">
        <f>0</f>
        <v>0</v>
      </c>
      <c r="CY290" s="8">
        <f>219285</f>
        <v>219285</v>
      </c>
      <c r="DA290" s="5" t="s">
        <v>2032</v>
      </c>
      <c r="DB290" s="5" t="s">
        <v>238</v>
      </c>
      <c r="DD290" s="5" t="s">
        <v>356</v>
      </c>
      <c r="DE290" s="8">
        <f>0</f>
        <v>0</v>
      </c>
      <c r="DG290" s="5" t="s">
        <v>389</v>
      </c>
      <c r="DH290" s="5" t="s">
        <v>238</v>
      </c>
      <c r="DI290" s="5" t="s">
        <v>238</v>
      </c>
      <c r="DJ290" s="5" t="s">
        <v>238</v>
      </c>
      <c r="DN290" s="5" t="s">
        <v>238</v>
      </c>
      <c r="DO290" s="5" t="s">
        <v>238</v>
      </c>
      <c r="DP290" s="5" t="s">
        <v>238</v>
      </c>
      <c r="DQ290" s="5" t="s">
        <v>238</v>
      </c>
      <c r="DT290" s="5" t="s">
        <v>6032</v>
      </c>
      <c r="DU290" s="5" t="s">
        <v>1376</v>
      </c>
      <c r="HM290" s="5" t="s">
        <v>264</v>
      </c>
    </row>
    <row r="291" spans="1:221" x14ac:dyDescent="0.4">
      <c r="A291" s="5">
        <v>1025</v>
      </c>
      <c r="B291" s="5">
        <v>1</v>
      </c>
      <c r="C291" s="5">
        <v>1</v>
      </c>
      <c r="D291" s="5" t="s">
        <v>6030</v>
      </c>
      <c r="E291" s="5" t="s">
        <v>4391</v>
      </c>
      <c r="F291" s="5" t="s">
        <v>248</v>
      </c>
      <c r="G291" s="5" t="s">
        <v>6029</v>
      </c>
      <c r="H291" s="6" t="s">
        <v>6366</v>
      </c>
      <c r="I291" s="7">
        <f>5430</f>
        <v>5430</v>
      </c>
      <c r="J291" s="5" t="s">
        <v>262</v>
      </c>
      <c r="K291" s="8">
        <f>12027450</f>
        <v>12027450</v>
      </c>
      <c r="L291" s="6" t="s">
        <v>242</v>
      </c>
      <c r="M291" s="5" t="s">
        <v>267</v>
      </c>
      <c r="N291" s="5" t="s">
        <v>237</v>
      </c>
      <c r="O291" s="5" t="s">
        <v>238</v>
      </c>
      <c r="P291" s="5" t="s">
        <v>238</v>
      </c>
      <c r="Q291" s="5" t="s">
        <v>239</v>
      </c>
      <c r="R291" s="5" t="s">
        <v>270</v>
      </c>
      <c r="S291" s="5" t="s">
        <v>238</v>
      </c>
      <c r="V291" s="5" t="s">
        <v>238</v>
      </c>
      <c r="X291" s="6" t="s">
        <v>238</v>
      </c>
      <c r="AA291" s="6" t="s">
        <v>243</v>
      </c>
      <c r="AB291" s="5" t="s">
        <v>238</v>
      </c>
      <c r="AC291" s="5" t="s">
        <v>244</v>
      </c>
      <c r="AD291" s="5" t="s">
        <v>245</v>
      </c>
      <c r="AT291" s="5" t="s">
        <v>246</v>
      </c>
      <c r="AU291" s="5" t="s">
        <v>238</v>
      </c>
      <c r="AV291" s="5" t="s">
        <v>247</v>
      </c>
      <c r="AW291" s="5" t="s">
        <v>238</v>
      </c>
      <c r="AX291" s="5" t="s">
        <v>249</v>
      </c>
      <c r="AY291" s="5" t="s">
        <v>238</v>
      </c>
      <c r="BA291" s="5" t="s">
        <v>238</v>
      </c>
      <c r="BC291" s="5" t="s">
        <v>250</v>
      </c>
      <c r="BD291" s="6" t="s">
        <v>243</v>
      </c>
      <c r="BE291" s="5" t="s">
        <v>251</v>
      </c>
      <c r="BF291" s="5" t="s">
        <v>252</v>
      </c>
      <c r="BG291" s="5" t="s">
        <v>238</v>
      </c>
      <c r="BH291" s="7">
        <f>0</f>
        <v>0</v>
      </c>
      <c r="BI291" s="8">
        <f>0</f>
        <v>0</v>
      </c>
      <c r="BJ291" s="5" t="s">
        <v>253</v>
      </c>
      <c r="BK291" s="5" t="s">
        <v>254</v>
      </c>
      <c r="BY291" s="5" t="s">
        <v>238</v>
      </c>
      <c r="BZ291" s="5" t="s">
        <v>238</v>
      </c>
      <c r="CD291" s="5" t="s">
        <v>255</v>
      </c>
      <c r="CE291" s="5" t="s">
        <v>256</v>
      </c>
      <c r="CF291" s="5" t="s">
        <v>238</v>
      </c>
      <c r="CI291" s="6" t="s">
        <v>257</v>
      </c>
      <c r="CJ291" s="5" t="s">
        <v>238</v>
      </c>
      <c r="CK291" s="5" t="s">
        <v>258</v>
      </c>
      <c r="CL291" s="5" t="s">
        <v>238</v>
      </c>
      <c r="CM291" s="5" t="s">
        <v>238</v>
      </c>
      <c r="CN291" s="5">
        <v>0</v>
      </c>
      <c r="CO291" s="5" t="s">
        <v>259</v>
      </c>
      <c r="CP291" s="5" t="s">
        <v>260</v>
      </c>
      <c r="CQ291" s="5" t="s">
        <v>260</v>
      </c>
      <c r="CR291" s="5" t="s">
        <v>261</v>
      </c>
      <c r="CU291" s="8">
        <f>12027450</f>
        <v>12027450</v>
      </c>
      <c r="CV291" s="8">
        <f>0</f>
        <v>0</v>
      </c>
      <c r="CX291" s="8">
        <f>0</f>
        <v>0</v>
      </c>
      <c r="CY291" s="8">
        <f>12027450</f>
        <v>12027450</v>
      </c>
      <c r="DA291" s="5" t="s">
        <v>2032</v>
      </c>
      <c r="DB291" s="5" t="s">
        <v>238</v>
      </c>
      <c r="DD291" s="5" t="s">
        <v>356</v>
      </c>
      <c r="DE291" s="8">
        <f>0</f>
        <v>0</v>
      </c>
      <c r="DG291" s="5" t="s">
        <v>389</v>
      </c>
      <c r="DH291" s="5" t="s">
        <v>238</v>
      </c>
      <c r="DI291" s="5" t="s">
        <v>238</v>
      </c>
      <c r="DJ291" s="5" t="s">
        <v>238</v>
      </c>
      <c r="DN291" s="5" t="s">
        <v>238</v>
      </c>
      <c r="DO291" s="5" t="s">
        <v>238</v>
      </c>
      <c r="DP291" s="5" t="s">
        <v>238</v>
      </c>
      <c r="DQ291" s="5" t="s">
        <v>238</v>
      </c>
      <c r="DT291" s="5" t="s">
        <v>6032</v>
      </c>
      <c r="DU291" s="5" t="s">
        <v>1372</v>
      </c>
      <c r="HM291" s="5" t="s">
        <v>264</v>
      </c>
    </row>
    <row r="292" spans="1:221" x14ac:dyDescent="0.4">
      <c r="A292" s="5">
        <v>1026</v>
      </c>
      <c r="B292" s="5">
        <v>1</v>
      </c>
      <c r="C292" s="5">
        <v>1</v>
      </c>
      <c r="D292" s="5" t="s">
        <v>6030</v>
      </c>
      <c r="E292" s="5" t="s">
        <v>4391</v>
      </c>
      <c r="F292" s="5" t="s">
        <v>248</v>
      </c>
      <c r="G292" s="5" t="s">
        <v>6029</v>
      </c>
      <c r="H292" s="6" t="s">
        <v>6038</v>
      </c>
      <c r="I292" s="7">
        <f>2931</f>
        <v>2931</v>
      </c>
      <c r="J292" s="5" t="s">
        <v>262</v>
      </c>
      <c r="K292" s="8">
        <f>6492165</f>
        <v>6492165</v>
      </c>
      <c r="L292" s="6" t="s">
        <v>242</v>
      </c>
      <c r="M292" s="5" t="s">
        <v>267</v>
      </c>
      <c r="N292" s="5" t="s">
        <v>237</v>
      </c>
      <c r="O292" s="5" t="s">
        <v>238</v>
      </c>
      <c r="P292" s="5" t="s">
        <v>238</v>
      </c>
      <c r="Q292" s="5" t="s">
        <v>239</v>
      </c>
      <c r="R292" s="5" t="s">
        <v>270</v>
      </c>
      <c r="S292" s="5" t="s">
        <v>238</v>
      </c>
      <c r="V292" s="5" t="s">
        <v>238</v>
      </c>
      <c r="X292" s="6" t="s">
        <v>238</v>
      </c>
      <c r="AA292" s="6" t="s">
        <v>243</v>
      </c>
      <c r="AB292" s="5" t="s">
        <v>238</v>
      </c>
      <c r="AC292" s="5" t="s">
        <v>244</v>
      </c>
      <c r="AD292" s="5" t="s">
        <v>245</v>
      </c>
      <c r="AT292" s="5" t="s">
        <v>246</v>
      </c>
      <c r="AU292" s="5" t="s">
        <v>238</v>
      </c>
      <c r="AV292" s="5" t="s">
        <v>247</v>
      </c>
      <c r="AW292" s="5" t="s">
        <v>238</v>
      </c>
      <c r="AX292" s="5" t="s">
        <v>249</v>
      </c>
      <c r="AY292" s="5" t="s">
        <v>238</v>
      </c>
      <c r="BA292" s="5" t="s">
        <v>238</v>
      </c>
      <c r="BC292" s="5" t="s">
        <v>250</v>
      </c>
      <c r="BD292" s="6" t="s">
        <v>243</v>
      </c>
      <c r="BE292" s="5" t="s">
        <v>251</v>
      </c>
      <c r="BF292" s="5" t="s">
        <v>252</v>
      </c>
      <c r="BG292" s="5" t="s">
        <v>238</v>
      </c>
      <c r="BH292" s="7">
        <f>0</f>
        <v>0</v>
      </c>
      <c r="BI292" s="8">
        <f>0</f>
        <v>0</v>
      </c>
      <c r="BJ292" s="5" t="s">
        <v>253</v>
      </c>
      <c r="BK292" s="5" t="s">
        <v>254</v>
      </c>
      <c r="BY292" s="5" t="s">
        <v>238</v>
      </c>
      <c r="BZ292" s="5" t="s">
        <v>238</v>
      </c>
      <c r="CD292" s="5" t="s">
        <v>255</v>
      </c>
      <c r="CE292" s="5" t="s">
        <v>256</v>
      </c>
      <c r="CF292" s="5" t="s">
        <v>238</v>
      </c>
      <c r="CI292" s="6" t="s">
        <v>257</v>
      </c>
      <c r="CJ292" s="5" t="s">
        <v>238</v>
      </c>
      <c r="CK292" s="5" t="s">
        <v>258</v>
      </c>
      <c r="CL292" s="5" t="s">
        <v>238</v>
      </c>
      <c r="CM292" s="5" t="s">
        <v>238</v>
      </c>
      <c r="CN292" s="5">
        <v>0</v>
      </c>
      <c r="CO292" s="5" t="s">
        <v>259</v>
      </c>
      <c r="CP292" s="5" t="s">
        <v>260</v>
      </c>
      <c r="CQ292" s="5" t="s">
        <v>260</v>
      </c>
      <c r="CR292" s="5" t="s">
        <v>261</v>
      </c>
      <c r="CU292" s="8">
        <f>6492165</f>
        <v>6492165</v>
      </c>
      <c r="CV292" s="8">
        <f>0</f>
        <v>0</v>
      </c>
      <c r="CX292" s="8">
        <f>0</f>
        <v>0</v>
      </c>
      <c r="CY292" s="8">
        <f>6492165</f>
        <v>6492165</v>
      </c>
      <c r="DA292" s="5" t="s">
        <v>2032</v>
      </c>
      <c r="DB292" s="5" t="s">
        <v>238</v>
      </c>
      <c r="DD292" s="5" t="s">
        <v>356</v>
      </c>
      <c r="DE292" s="8">
        <f>0</f>
        <v>0</v>
      </c>
      <c r="DG292" s="5" t="s">
        <v>389</v>
      </c>
      <c r="DH292" s="5" t="s">
        <v>238</v>
      </c>
      <c r="DI292" s="5" t="s">
        <v>238</v>
      </c>
      <c r="DJ292" s="5" t="s">
        <v>238</v>
      </c>
      <c r="DN292" s="5" t="s">
        <v>238</v>
      </c>
      <c r="DO292" s="5" t="s">
        <v>238</v>
      </c>
      <c r="DP292" s="5" t="s">
        <v>238</v>
      </c>
      <c r="DQ292" s="5" t="s">
        <v>238</v>
      </c>
      <c r="DT292" s="5" t="s">
        <v>6032</v>
      </c>
      <c r="DU292" s="5" t="s">
        <v>1370</v>
      </c>
      <c r="HM292" s="5" t="s">
        <v>264</v>
      </c>
    </row>
    <row r="293" spans="1:221" x14ac:dyDescent="0.4">
      <c r="A293" s="5">
        <v>1027</v>
      </c>
      <c r="B293" s="5">
        <v>1</v>
      </c>
      <c r="C293" s="5">
        <v>1</v>
      </c>
      <c r="D293" s="5" t="s">
        <v>6030</v>
      </c>
      <c r="E293" s="5" t="s">
        <v>4391</v>
      </c>
      <c r="F293" s="5" t="s">
        <v>248</v>
      </c>
      <c r="G293" s="5" t="s">
        <v>6029</v>
      </c>
      <c r="H293" s="6" t="s">
        <v>6511</v>
      </c>
      <c r="I293" s="7">
        <f>124</f>
        <v>124</v>
      </c>
      <c r="J293" s="5" t="s">
        <v>262</v>
      </c>
      <c r="K293" s="8">
        <f>274660</f>
        <v>274660</v>
      </c>
      <c r="L293" s="6" t="s">
        <v>242</v>
      </c>
      <c r="M293" s="5" t="s">
        <v>267</v>
      </c>
      <c r="N293" s="5" t="s">
        <v>237</v>
      </c>
      <c r="O293" s="5" t="s">
        <v>238</v>
      </c>
      <c r="P293" s="5" t="s">
        <v>238</v>
      </c>
      <c r="Q293" s="5" t="s">
        <v>239</v>
      </c>
      <c r="R293" s="5" t="s">
        <v>270</v>
      </c>
      <c r="S293" s="5" t="s">
        <v>238</v>
      </c>
      <c r="V293" s="5" t="s">
        <v>238</v>
      </c>
      <c r="X293" s="6" t="s">
        <v>238</v>
      </c>
      <c r="AA293" s="6" t="s">
        <v>243</v>
      </c>
      <c r="AB293" s="5" t="s">
        <v>238</v>
      </c>
      <c r="AC293" s="5" t="s">
        <v>244</v>
      </c>
      <c r="AD293" s="5" t="s">
        <v>245</v>
      </c>
      <c r="AT293" s="5" t="s">
        <v>246</v>
      </c>
      <c r="AU293" s="5" t="s">
        <v>238</v>
      </c>
      <c r="AV293" s="5" t="s">
        <v>247</v>
      </c>
      <c r="AW293" s="5" t="s">
        <v>238</v>
      </c>
      <c r="AX293" s="5" t="s">
        <v>249</v>
      </c>
      <c r="AY293" s="5" t="s">
        <v>238</v>
      </c>
      <c r="BA293" s="5" t="s">
        <v>238</v>
      </c>
      <c r="BC293" s="5" t="s">
        <v>250</v>
      </c>
      <c r="BD293" s="6" t="s">
        <v>243</v>
      </c>
      <c r="BE293" s="5" t="s">
        <v>251</v>
      </c>
      <c r="BF293" s="5" t="s">
        <v>252</v>
      </c>
      <c r="BG293" s="5" t="s">
        <v>238</v>
      </c>
      <c r="BH293" s="7">
        <f>0</f>
        <v>0</v>
      </c>
      <c r="BI293" s="8">
        <f>0</f>
        <v>0</v>
      </c>
      <c r="BJ293" s="5" t="s">
        <v>253</v>
      </c>
      <c r="BK293" s="5" t="s">
        <v>254</v>
      </c>
      <c r="BY293" s="5" t="s">
        <v>238</v>
      </c>
      <c r="BZ293" s="5" t="s">
        <v>238</v>
      </c>
      <c r="CD293" s="5" t="s">
        <v>255</v>
      </c>
      <c r="CE293" s="5" t="s">
        <v>256</v>
      </c>
      <c r="CF293" s="5" t="s">
        <v>238</v>
      </c>
      <c r="CI293" s="6" t="s">
        <v>257</v>
      </c>
      <c r="CJ293" s="5" t="s">
        <v>238</v>
      </c>
      <c r="CK293" s="5" t="s">
        <v>258</v>
      </c>
      <c r="CL293" s="5" t="s">
        <v>238</v>
      </c>
      <c r="CM293" s="5" t="s">
        <v>238</v>
      </c>
      <c r="CN293" s="5">
        <v>0</v>
      </c>
      <c r="CO293" s="5" t="s">
        <v>259</v>
      </c>
      <c r="CP293" s="5" t="s">
        <v>260</v>
      </c>
      <c r="CQ293" s="5" t="s">
        <v>260</v>
      </c>
      <c r="CR293" s="5" t="s">
        <v>261</v>
      </c>
      <c r="CU293" s="8">
        <f>274660</f>
        <v>274660</v>
      </c>
      <c r="CV293" s="8">
        <f>0</f>
        <v>0</v>
      </c>
      <c r="CX293" s="8">
        <f>0</f>
        <v>0</v>
      </c>
      <c r="CY293" s="8">
        <f>274660</f>
        <v>274660</v>
      </c>
      <c r="DA293" s="5" t="s">
        <v>2032</v>
      </c>
      <c r="DB293" s="5" t="s">
        <v>238</v>
      </c>
      <c r="DD293" s="5" t="s">
        <v>356</v>
      </c>
      <c r="DE293" s="8">
        <f>0</f>
        <v>0</v>
      </c>
      <c r="DG293" s="5" t="s">
        <v>389</v>
      </c>
      <c r="DH293" s="5" t="s">
        <v>238</v>
      </c>
      <c r="DI293" s="5" t="s">
        <v>238</v>
      </c>
      <c r="DJ293" s="5" t="s">
        <v>238</v>
      </c>
      <c r="DN293" s="5" t="s">
        <v>238</v>
      </c>
      <c r="DO293" s="5" t="s">
        <v>238</v>
      </c>
      <c r="DP293" s="5" t="s">
        <v>238</v>
      </c>
      <c r="DQ293" s="5" t="s">
        <v>238</v>
      </c>
      <c r="DT293" s="5" t="s">
        <v>6032</v>
      </c>
      <c r="DU293" s="5" t="s">
        <v>1364</v>
      </c>
      <c r="HM293" s="5" t="s">
        <v>264</v>
      </c>
    </row>
    <row r="294" spans="1:221" x14ac:dyDescent="0.4">
      <c r="A294" s="5">
        <v>1028</v>
      </c>
      <c r="B294" s="5">
        <v>1</v>
      </c>
      <c r="C294" s="5">
        <v>1</v>
      </c>
      <c r="D294" s="5" t="s">
        <v>6030</v>
      </c>
      <c r="E294" s="5" t="s">
        <v>4391</v>
      </c>
      <c r="F294" s="5" t="s">
        <v>248</v>
      </c>
      <c r="G294" s="5" t="s">
        <v>6029</v>
      </c>
      <c r="H294" s="6" t="s">
        <v>6039</v>
      </c>
      <c r="I294" s="7">
        <f>1916</f>
        <v>1916</v>
      </c>
      <c r="J294" s="5" t="s">
        <v>262</v>
      </c>
      <c r="K294" s="8">
        <f>4243940</f>
        <v>4243940</v>
      </c>
      <c r="L294" s="6" t="s">
        <v>242</v>
      </c>
      <c r="M294" s="5" t="s">
        <v>267</v>
      </c>
      <c r="N294" s="5" t="s">
        <v>237</v>
      </c>
      <c r="O294" s="5" t="s">
        <v>238</v>
      </c>
      <c r="P294" s="5" t="s">
        <v>238</v>
      </c>
      <c r="Q294" s="5" t="s">
        <v>239</v>
      </c>
      <c r="R294" s="5" t="s">
        <v>270</v>
      </c>
      <c r="S294" s="5" t="s">
        <v>238</v>
      </c>
      <c r="V294" s="5" t="s">
        <v>238</v>
      </c>
      <c r="X294" s="6" t="s">
        <v>238</v>
      </c>
      <c r="AA294" s="6" t="s">
        <v>243</v>
      </c>
      <c r="AB294" s="5" t="s">
        <v>238</v>
      </c>
      <c r="AC294" s="5" t="s">
        <v>244</v>
      </c>
      <c r="AD294" s="5" t="s">
        <v>245</v>
      </c>
      <c r="AT294" s="5" t="s">
        <v>246</v>
      </c>
      <c r="AU294" s="5" t="s">
        <v>238</v>
      </c>
      <c r="AV294" s="5" t="s">
        <v>247</v>
      </c>
      <c r="AW294" s="5" t="s">
        <v>238</v>
      </c>
      <c r="AX294" s="5" t="s">
        <v>249</v>
      </c>
      <c r="AY294" s="5" t="s">
        <v>238</v>
      </c>
      <c r="BA294" s="5" t="s">
        <v>238</v>
      </c>
      <c r="BC294" s="5" t="s">
        <v>250</v>
      </c>
      <c r="BD294" s="6" t="s">
        <v>243</v>
      </c>
      <c r="BE294" s="5" t="s">
        <v>251</v>
      </c>
      <c r="BF294" s="5" t="s">
        <v>252</v>
      </c>
      <c r="BG294" s="5" t="s">
        <v>238</v>
      </c>
      <c r="BH294" s="7">
        <f>0</f>
        <v>0</v>
      </c>
      <c r="BI294" s="8">
        <f>0</f>
        <v>0</v>
      </c>
      <c r="BJ294" s="5" t="s">
        <v>253</v>
      </c>
      <c r="BK294" s="5" t="s">
        <v>254</v>
      </c>
      <c r="BY294" s="5" t="s">
        <v>238</v>
      </c>
      <c r="BZ294" s="5" t="s">
        <v>238</v>
      </c>
      <c r="CD294" s="5" t="s">
        <v>255</v>
      </c>
      <c r="CE294" s="5" t="s">
        <v>256</v>
      </c>
      <c r="CF294" s="5" t="s">
        <v>238</v>
      </c>
      <c r="CI294" s="6" t="s">
        <v>257</v>
      </c>
      <c r="CJ294" s="5" t="s">
        <v>238</v>
      </c>
      <c r="CK294" s="5" t="s">
        <v>258</v>
      </c>
      <c r="CL294" s="5" t="s">
        <v>238</v>
      </c>
      <c r="CM294" s="5" t="s">
        <v>238</v>
      </c>
      <c r="CN294" s="5">
        <v>0</v>
      </c>
      <c r="CO294" s="5" t="s">
        <v>259</v>
      </c>
      <c r="CP294" s="5" t="s">
        <v>260</v>
      </c>
      <c r="CQ294" s="5" t="s">
        <v>260</v>
      </c>
      <c r="CR294" s="5" t="s">
        <v>261</v>
      </c>
      <c r="CU294" s="8">
        <f>4243940</f>
        <v>4243940</v>
      </c>
      <c r="CV294" s="8">
        <f>0</f>
        <v>0</v>
      </c>
      <c r="CX294" s="8">
        <f>0</f>
        <v>0</v>
      </c>
      <c r="CY294" s="8">
        <f>4243940</f>
        <v>4243940</v>
      </c>
      <c r="DA294" s="5" t="s">
        <v>2032</v>
      </c>
      <c r="DB294" s="5" t="s">
        <v>238</v>
      </c>
      <c r="DD294" s="5" t="s">
        <v>356</v>
      </c>
      <c r="DE294" s="8">
        <f>0</f>
        <v>0</v>
      </c>
      <c r="DG294" s="5" t="s">
        <v>389</v>
      </c>
      <c r="DH294" s="5" t="s">
        <v>238</v>
      </c>
      <c r="DI294" s="5" t="s">
        <v>238</v>
      </c>
      <c r="DJ294" s="5" t="s">
        <v>238</v>
      </c>
      <c r="DN294" s="5" t="s">
        <v>238</v>
      </c>
      <c r="DO294" s="5" t="s">
        <v>238</v>
      </c>
      <c r="DP294" s="5" t="s">
        <v>238</v>
      </c>
      <c r="DQ294" s="5" t="s">
        <v>238</v>
      </c>
      <c r="DT294" s="5" t="s">
        <v>6032</v>
      </c>
      <c r="DU294" s="5" t="s">
        <v>1360</v>
      </c>
      <c r="HM294" s="5" t="s">
        <v>264</v>
      </c>
    </row>
    <row r="295" spans="1:221" x14ac:dyDescent="0.4">
      <c r="A295" s="5">
        <v>1029</v>
      </c>
      <c r="B295" s="5">
        <v>1</v>
      </c>
      <c r="C295" s="5">
        <v>1</v>
      </c>
      <c r="D295" s="5" t="s">
        <v>6030</v>
      </c>
      <c r="E295" s="5" t="s">
        <v>4391</v>
      </c>
      <c r="F295" s="5" t="s">
        <v>248</v>
      </c>
      <c r="G295" s="5" t="s">
        <v>6029</v>
      </c>
      <c r="H295" s="6" t="s">
        <v>6040</v>
      </c>
      <c r="I295" s="7">
        <f>1913</f>
        <v>1913</v>
      </c>
      <c r="J295" s="5" t="s">
        <v>262</v>
      </c>
      <c r="K295" s="8">
        <f>4237295</f>
        <v>4237295</v>
      </c>
      <c r="L295" s="6" t="s">
        <v>242</v>
      </c>
      <c r="M295" s="5" t="s">
        <v>267</v>
      </c>
      <c r="N295" s="5" t="s">
        <v>237</v>
      </c>
      <c r="O295" s="5" t="s">
        <v>238</v>
      </c>
      <c r="P295" s="5" t="s">
        <v>238</v>
      </c>
      <c r="Q295" s="5" t="s">
        <v>239</v>
      </c>
      <c r="R295" s="5" t="s">
        <v>270</v>
      </c>
      <c r="S295" s="5" t="s">
        <v>238</v>
      </c>
      <c r="V295" s="5" t="s">
        <v>238</v>
      </c>
      <c r="X295" s="6" t="s">
        <v>238</v>
      </c>
      <c r="AA295" s="6" t="s">
        <v>243</v>
      </c>
      <c r="AB295" s="5" t="s">
        <v>238</v>
      </c>
      <c r="AC295" s="5" t="s">
        <v>244</v>
      </c>
      <c r="AD295" s="5" t="s">
        <v>245</v>
      </c>
      <c r="AT295" s="5" t="s">
        <v>246</v>
      </c>
      <c r="AU295" s="5" t="s">
        <v>238</v>
      </c>
      <c r="AV295" s="5" t="s">
        <v>247</v>
      </c>
      <c r="AW295" s="5" t="s">
        <v>238</v>
      </c>
      <c r="AX295" s="5" t="s">
        <v>249</v>
      </c>
      <c r="AY295" s="5" t="s">
        <v>238</v>
      </c>
      <c r="BA295" s="5" t="s">
        <v>238</v>
      </c>
      <c r="BC295" s="5" t="s">
        <v>250</v>
      </c>
      <c r="BD295" s="6" t="s">
        <v>243</v>
      </c>
      <c r="BE295" s="5" t="s">
        <v>251</v>
      </c>
      <c r="BF295" s="5" t="s">
        <v>252</v>
      </c>
      <c r="BG295" s="5" t="s">
        <v>238</v>
      </c>
      <c r="BH295" s="7">
        <f>0</f>
        <v>0</v>
      </c>
      <c r="BI295" s="8">
        <f>0</f>
        <v>0</v>
      </c>
      <c r="BJ295" s="5" t="s">
        <v>253</v>
      </c>
      <c r="BK295" s="5" t="s">
        <v>254</v>
      </c>
      <c r="BY295" s="5" t="s">
        <v>238</v>
      </c>
      <c r="BZ295" s="5" t="s">
        <v>238</v>
      </c>
      <c r="CD295" s="5" t="s">
        <v>255</v>
      </c>
      <c r="CE295" s="5" t="s">
        <v>256</v>
      </c>
      <c r="CF295" s="5" t="s">
        <v>238</v>
      </c>
      <c r="CI295" s="6" t="s">
        <v>257</v>
      </c>
      <c r="CJ295" s="5" t="s">
        <v>238</v>
      </c>
      <c r="CK295" s="5" t="s">
        <v>258</v>
      </c>
      <c r="CL295" s="5" t="s">
        <v>238</v>
      </c>
      <c r="CM295" s="5" t="s">
        <v>238</v>
      </c>
      <c r="CN295" s="5">
        <v>0</v>
      </c>
      <c r="CO295" s="5" t="s">
        <v>259</v>
      </c>
      <c r="CP295" s="5" t="s">
        <v>260</v>
      </c>
      <c r="CQ295" s="5" t="s">
        <v>260</v>
      </c>
      <c r="CR295" s="5" t="s">
        <v>261</v>
      </c>
      <c r="CU295" s="8">
        <f>4237295</f>
        <v>4237295</v>
      </c>
      <c r="CV295" s="8">
        <f>0</f>
        <v>0</v>
      </c>
      <c r="CX295" s="8">
        <f>0</f>
        <v>0</v>
      </c>
      <c r="CY295" s="8">
        <f>4237295</f>
        <v>4237295</v>
      </c>
      <c r="DA295" s="5" t="s">
        <v>2032</v>
      </c>
      <c r="DB295" s="5" t="s">
        <v>238</v>
      </c>
      <c r="DD295" s="5" t="s">
        <v>356</v>
      </c>
      <c r="DE295" s="8">
        <f>0</f>
        <v>0</v>
      </c>
      <c r="DG295" s="5" t="s">
        <v>389</v>
      </c>
      <c r="DH295" s="5" t="s">
        <v>238</v>
      </c>
      <c r="DI295" s="5" t="s">
        <v>238</v>
      </c>
      <c r="DJ295" s="5" t="s">
        <v>238</v>
      </c>
      <c r="DN295" s="5" t="s">
        <v>238</v>
      </c>
      <c r="DO295" s="5" t="s">
        <v>238</v>
      </c>
      <c r="DP295" s="5" t="s">
        <v>238</v>
      </c>
      <c r="DQ295" s="5" t="s">
        <v>238</v>
      </c>
      <c r="DT295" s="5" t="s">
        <v>6032</v>
      </c>
      <c r="DU295" s="5" t="s">
        <v>1358</v>
      </c>
      <c r="HM295" s="5" t="s">
        <v>264</v>
      </c>
    </row>
    <row r="296" spans="1:221" x14ac:dyDescent="0.4">
      <c r="A296" s="5">
        <v>1030</v>
      </c>
      <c r="B296" s="5">
        <v>1</v>
      </c>
      <c r="C296" s="5">
        <v>1</v>
      </c>
      <c r="D296" s="5" t="s">
        <v>6030</v>
      </c>
      <c r="E296" s="5" t="s">
        <v>4391</v>
      </c>
      <c r="F296" s="5" t="s">
        <v>248</v>
      </c>
      <c r="G296" s="5" t="s">
        <v>6029</v>
      </c>
      <c r="H296" s="6" t="s">
        <v>6041</v>
      </c>
      <c r="I296" s="7">
        <f>982</f>
        <v>982</v>
      </c>
      <c r="J296" s="5" t="s">
        <v>262</v>
      </c>
      <c r="K296" s="8">
        <f>2175130</f>
        <v>2175130</v>
      </c>
      <c r="L296" s="6" t="s">
        <v>242</v>
      </c>
      <c r="M296" s="5" t="s">
        <v>267</v>
      </c>
      <c r="N296" s="5" t="s">
        <v>237</v>
      </c>
      <c r="O296" s="5" t="s">
        <v>238</v>
      </c>
      <c r="P296" s="5" t="s">
        <v>238</v>
      </c>
      <c r="Q296" s="5" t="s">
        <v>239</v>
      </c>
      <c r="R296" s="5" t="s">
        <v>270</v>
      </c>
      <c r="S296" s="5" t="s">
        <v>238</v>
      </c>
      <c r="V296" s="5" t="s">
        <v>238</v>
      </c>
      <c r="X296" s="6" t="s">
        <v>238</v>
      </c>
      <c r="AA296" s="6" t="s">
        <v>243</v>
      </c>
      <c r="AB296" s="5" t="s">
        <v>238</v>
      </c>
      <c r="AC296" s="5" t="s">
        <v>244</v>
      </c>
      <c r="AD296" s="5" t="s">
        <v>245</v>
      </c>
      <c r="AT296" s="5" t="s">
        <v>246</v>
      </c>
      <c r="AU296" s="5" t="s">
        <v>238</v>
      </c>
      <c r="AV296" s="5" t="s">
        <v>247</v>
      </c>
      <c r="AW296" s="5" t="s">
        <v>238</v>
      </c>
      <c r="AX296" s="5" t="s">
        <v>249</v>
      </c>
      <c r="AY296" s="5" t="s">
        <v>238</v>
      </c>
      <c r="BA296" s="5" t="s">
        <v>238</v>
      </c>
      <c r="BC296" s="5" t="s">
        <v>250</v>
      </c>
      <c r="BD296" s="6" t="s">
        <v>243</v>
      </c>
      <c r="BE296" s="5" t="s">
        <v>251</v>
      </c>
      <c r="BF296" s="5" t="s">
        <v>252</v>
      </c>
      <c r="BG296" s="5" t="s">
        <v>238</v>
      </c>
      <c r="BH296" s="7">
        <f>0</f>
        <v>0</v>
      </c>
      <c r="BI296" s="8">
        <f>0</f>
        <v>0</v>
      </c>
      <c r="BJ296" s="5" t="s">
        <v>253</v>
      </c>
      <c r="BK296" s="5" t="s">
        <v>254</v>
      </c>
      <c r="BY296" s="5" t="s">
        <v>238</v>
      </c>
      <c r="BZ296" s="5" t="s">
        <v>238</v>
      </c>
      <c r="CD296" s="5" t="s">
        <v>255</v>
      </c>
      <c r="CE296" s="5" t="s">
        <v>256</v>
      </c>
      <c r="CF296" s="5" t="s">
        <v>238</v>
      </c>
      <c r="CI296" s="6" t="s">
        <v>257</v>
      </c>
      <c r="CJ296" s="5" t="s">
        <v>238</v>
      </c>
      <c r="CK296" s="5" t="s">
        <v>258</v>
      </c>
      <c r="CL296" s="5" t="s">
        <v>238</v>
      </c>
      <c r="CM296" s="5" t="s">
        <v>238</v>
      </c>
      <c r="CN296" s="5">
        <v>0</v>
      </c>
      <c r="CO296" s="5" t="s">
        <v>259</v>
      </c>
      <c r="CP296" s="5" t="s">
        <v>260</v>
      </c>
      <c r="CQ296" s="5" t="s">
        <v>260</v>
      </c>
      <c r="CR296" s="5" t="s">
        <v>261</v>
      </c>
      <c r="CU296" s="8">
        <f>2175130</f>
        <v>2175130</v>
      </c>
      <c r="CV296" s="8">
        <f>0</f>
        <v>0</v>
      </c>
      <c r="CX296" s="8">
        <f>0</f>
        <v>0</v>
      </c>
      <c r="CY296" s="8">
        <f>2175130</f>
        <v>2175130</v>
      </c>
      <c r="DA296" s="5" t="s">
        <v>2032</v>
      </c>
      <c r="DB296" s="5" t="s">
        <v>238</v>
      </c>
      <c r="DD296" s="5" t="s">
        <v>356</v>
      </c>
      <c r="DE296" s="8">
        <f>0</f>
        <v>0</v>
      </c>
      <c r="DG296" s="5" t="s">
        <v>389</v>
      </c>
      <c r="DH296" s="5" t="s">
        <v>238</v>
      </c>
      <c r="DI296" s="5" t="s">
        <v>238</v>
      </c>
      <c r="DJ296" s="5" t="s">
        <v>238</v>
      </c>
      <c r="DN296" s="5" t="s">
        <v>238</v>
      </c>
      <c r="DO296" s="5" t="s">
        <v>238</v>
      </c>
      <c r="DP296" s="5" t="s">
        <v>238</v>
      </c>
      <c r="DQ296" s="5" t="s">
        <v>238</v>
      </c>
      <c r="DT296" s="5" t="s">
        <v>6032</v>
      </c>
      <c r="DU296" s="5" t="s">
        <v>976</v>
      </c>
      <c r="HM296" s="5" t="s">
        <v>264</v>
      </c>
    </row>
    <row r="297" spans="1:221" x14ac:dyDescent="0.4">
      <c r="A297" s="5">
        <v>1031</v>
      </c>
      <c r="B297" s="5">
        <v>1</v>
      </c>
      <c r="C297" s="5">
        <v>1</v>
      </c>
      <c r="D297" s="5" t="s">
        <v>6030</v>
      </c>
      <c r="E297" s="5" t="s">
        <v>4391</v>
      </c>
      <c r="F297" s="5" t="s">
        <v>248</v>
      </c>
      <c r="G297" s="5" t="s">
        <v>6029</v>
      </c>
      <c r="H297" s="6" t="s">
        <v>6042</v>
      </c>
      <c r="I297" s="7">
        <f>1433</f>
        <v>1433</v>
      </c>
      <c r="J297" s="5" t="s">
        <v>262</v>
      </c>
      <c r="K297" s="8">
        <f>3174095</f>
        <v>3174095</v>
      </c>
      <c r="L297" s="6" t="s">
        <v>242</v>
      </c>
      <c r="M297" s="5" t="s">
        <v>267</v>
      </c>
      <c r="N297" s="5" t="s">
        <v>237</v>
      </c>
      <c r="O297" s="5" t="s">
        <v>238</v>
      </c>
      <c r="P297" s="5" t="s">
        <v>238</v>
      </c>
      <c r="Q297" s="5" t="s">
        <v>239</v>
      </c>
      <c r="R297" s="5" t="s">
        <v>270</v>
      </c>
      <c r="S297" s="5" t="s">
        <v>238</v>
      </c>
      <c r="V297" s="5" t="s">
        <v>238</v>
      </c>
      <c r="X297" s="6" t="s">
        <v>238</v>
      </c>
      <c r="AA297" s="6" t="s">
        <v>243</v>
      </c>
      <c r="AB297" s="5" t="s">
        <v>238</v>
      </c>
      <c r="AC297" s="5" t="s">
        <v>244</v>
      </c>
      <c r="AD297" s="5" t="s">
        <v>245</v>
      </c>
      <c r="AT297" s="5" t="s">
        <v>246</v>
      </c>
      <c r="AU297" s="5" t="s">
        <v>238</v>
      </c>
      <c r="AV297" s="5" t="s">
        <v>247</v>
      </c>
      <c r="AW297" s="5" t="s">
        <v>238</v>
      </c>
      <c r="AX297" s="5" t="s">
        <v>249</v>
      </c>
      <c r="AY297" s="5" t="s">
        <v>238</v>
      </c>
      <c r="BA297" s="5" t="s">
        <v>238</v>
      </c>
      <c r="BC297" s="5" t="s">
        <v>250</v>
      </c>
      <c r="BD297" s="6" t="s">
        <v>243</v>
      </c>
      <c r="BE297" s="5" t="s">
        <v>251</v>
      </c>
      <c r="BF297" s="5" t="s">
        <v>252</v>
      </c>
      <c r="BG297" s="5" t="s">
        <v>238</v>
      </c>
      <c r="BH297" s="7">
        <f>0</f>
        <v>0</v>
      </c>
      <c r="BI297" s="8">
        <f>0</f>
        <v>0</v>
      </c>
      <c r="BJ297" s="5" t="s">
        <v>253</v>
      </c>
      <c r="BK297" s="5" t="s">
        <v>254</v>
      </c>
      <c r="BY297" s="5" t="s">
        <v>238</v>
      </c>
      <c r="BZ297" s="5" t="s">
        <v>238</v>
      </c>
      <c r="CD297" s="5" t="s">
        <v>255</v>
      </c>
      <c r="CE297" s="5" t="s">
        <v>256</v>
      </c>
      <c r="CF297" s="5" t="s">
        <v>238</v>
      </c>
      <c r="CI297" s="6" t="s">
        <v>257</v>
      </c>
      <c r="CJ297" s="5" t="s">
        <v>238</v>
      </c>
      <c r="CK297" s="5" t="s">
        <v>258</v>
      </c>
      <c r="CL297" s="5" t="s">
        <v>238</v>
      </c>
      <c r="CM297" s="5" t="s">
        <v>238</v>
      </c>
      <c r="CN297" s="5">
        <v>0</v>
      </c>
      <c r="CO297" s="5" t="s">
        <v>259</v>
      </c>
      <c r="CP297" s="5" t="s">
        <v>260</v>
      </c>
      <c r="CQ297" s="5" t="s">
        <v>260</v>
      </c>
      <c r="CR297" s="5" t="s">
        <v>261</v>
      </c>
      <c r="CU297" s="8">
        <f>3174095</f>
        <v>3174095</v>
      </c>
      <c r="CV297" s="8">
        <f>0</f>
        <v>0</v>
      </c>
      <c r="CX297" s="8">
        <f>0</f>
        <v>0</v>
      </c>
      <c r="CY297" s="8">
        <f>3174095</f>
        <v>3174095</v>
      </c>
      <c r="DA297" s="5" t="s">
        <v>2032</v>
      </c>
      <c r="DB297" s="5" t="s">
        <v>238</v>
      </c>
      <c r="DD297" s="5" t="s">
        <v>356</v>
      </c>
      <c r="DE297" s="8">
        <f>0</f>
        <v>0</v>
      </c>
      <c r="DG297" s="5" t="s">
        <v>389</v>
      </c>
      <c r="DH297" s="5" t="s">
        <v>238</v>
      </c>
      <c r="DI297" s="5" t="s">
        <v>238</v>
      </c>
      <c r="DJ297" s="5" t="s">
        <v>238</v>
      </c>
      <c r="DN297" s="5" t="s">
        <v>238</v>
      </c>
      <c r="DO297" s="5" t="s">
        <v>238</v>
      </c>
      <c r="DP297" s="5" t="s">
        <v>238</v>
      </c>
      <c r="DQ297" s="5" t="s">
        <v>238</v>
      </c>
      <c r="DT297" s="5" t="s">
        <v>6032</v>
      </c>
      <c r="DU297" s="5" t="s">
        <v>1354</v>
      </c>
      <c r="HM297" s="5" t="s">
        <v>264</v>
      </c>
    </row>
    <row r="298" spans="1:221" x14ac:dyDescent="0.4">
      <c r="A298" s="5">
        <v>1032</v>
      </c>
      <c r="B298" s="5">
        <v>1</v>
      </c>
      <c r="C298" s="5">
        <v>1</v>
      </c>
      <c r="D298" s="5" t="s">
        <v>6030</v>
      </c>
      <c r="E298" s="5" t="s">
        <v>4391</v>
      </c>
      <c r="F298" s="5" t="s">
        <v>248</v>
      </c>
      <c r="G298" s="5" t="s">
        <v>6029</v>
      </c>
      <c r="H298" s="6" t="s">
        <v>6037</v>
      </c>
      <c r="I298" s="7">
        <f>3523</f>
        <v>3523</v>
      </c>
      <c r="J298" s="5" t="s">
        <v>262</v>
      </c>
      <c r="K298" s="8">
        <f>7803445</f>
        <v>7803445</v>
      </c>
      <c r="L298" s="6" t="s">
        <v>242</v>
      </c>
      <c r="M298" s="5" t="s">
        <v>267</v>
      </c>
      <c r="N298" s="5" t="s">
        <v>237</v>
      </c>
      <c r="O298" s="5" t="s">
        <v>238</v>
      </c>
      <c r="P298" s="5" t="s">
        <v>238</v>
      </c>
      <c r="Q298" s="5" t="s">
        <v>239</v>
      </c>
      <c r="R298" s="5" t="s">
        <v>270</v>
      </c>
      <c r="S298" s="5" t="s">
        <v>238</v>
      </c>
      <c r="V298" s="5" t="s">
        <v>238</v>
      </c>
      <c r="X298" s="6" t="s">
        <v>238</v>
      </c>
      <c r="AA298" s="6" t="s">
        <v>243</v>
      </c>
      <c r="AB298" s="5" t="s">
        <v>238</v>
      </c>
      <c r="AC298" s="5" t="s">
        <v>244</v>
      </c>
      <c r="AD298" s="5" t="s">
        <v>245</v>
      </c>
      <c r="AT298" s="5" t="s">
        <v>246</v>
      </c>
      <c r="AU298" s="5" t="s">
        <v>238</v>
      </c>
      <c r="AV298" s="5" t="s">
        <v>247</v>
      </c>
      <c r="AW298" s="5" t="s">
        <v>238</v>
      </c>
      <c r="AX298" s="5" t="s">
        <v>249</v>
      </c>
      <c r="AY298" s="5" t="s">
        <v>238</v>
      </c>
      <c r="BA298" s="5" t="s">
        <v>238</v>
      </c>
      <c r="BC298" s="5" t="s">
        <v>250</v>
      </c>
      <c r="BD298" s="6" t="s">
        <v>243</v>
      </c>
      <c r="BE298" s="5" t="s">
        <v>251</v>
      </c>
      <c r="BF298" s="5" t="s">
        <v>252</v>
      </c>
      <c r="BG298" s="5" t="s">
        <v>238</v>
      </c>
      <c r="BH298" s="7">
        <f>0</f>
        <v>0</v>
      </c>
      <c r="BI298" s="8">
        <f>0</f>
        <v>0</v>
      </c>
      <c r="BJ298" s="5" t="s">
        <v>253</v>
      </c>
      <c r="BK298" s="5" t="s">
        <v>254</v>
      </c>
      <c r="BY298" s="5" t="s">
        <v>238</v>
      </c>
      <c r="BZ298" s="5" t="s">
        <v>238</v>
      </c>
      <c r="CD298" s="5" t="s">
        <v>255</v>
      </c>
      <c r="CE298" s="5" t="s">
        <v>256</v>
      </c>
      <c r="CF298" s="5" t="s">
        <v>238</v>
      </c>
      <c r="CI298" s="6" t="s">
        <v>257</v>
      </c>
      <c r="CJ298" s="5" t="s">
        <v>238</v>
      </c>
      <c r="CK298" s="5" t="s">
        <v>258</v>
      </c>
      <c r="CL298" s="5" t="s">
        <v>238</v>
      </c>
      <c r="CM298" s="5" t="s">
        <v>238</v>
      </c>
      <c r="CN298" s="5">
        <v>0</v>
      </c>
      <c r="CO298" s="5" t="s">
        <v>259</v>
      </c>
      <c r="CP298" s="5" t="s">
        <v>260</v>
      </c>
      <c r="CQ298" s="5" t="s">
        <v>260</v>
      </c>
      <c r="CR298" s="5" t="s">
        <v>261</v>
      </c>
      <c r="CU298" s="8">
        <f>7803445</f>
        <v>7803445</v>
      </c>
      <c r="CV298" s="8">
        <f>0</f>
        <v>0</v>
      </c>
      <c r="CX298" s="8">
        <f>0</f>
        <v>0</v>
      </c>
      <c r="CY298" s="8">
        <f>7803445</f>
        <v>7803445</v>
      </c>
      <c r="DA298" s="5" t="s">
        <v>2032</v>
      </c>
      <c r="DB298" s="5" t="s">
        <v>238</v>
      </c>
      <c r="DD298" s="5" t="s">
        <v>356</v>
      </c>
      <c r="DE298" s="8">
        <f>0</f>
        <v>0</v>
      </c>
      <c r="DG298" s="5" t="s">
        <v>389</v>
      </c>
      <c r="DH298" s="5" t="s">
        <v>238</v>
      </c>
      <c r="DI298" s="5" t="s">
        <v>238</v>
      </c>
      <c r="DJ298" s="5" t="s">
        <v>238</v>
      </c>
      <c r="DN298" s="5" t="s">
        <v>238</v>
      </c>
      <c r="DO298" s="5" t="s">
        <v>238</v>
      </c>
      <c r="DP298" s="5" t="s">
        <v>238</v>
      </c>
      <c r="DQ298" s="5" t="s">
        <v>238</v>
      </c>
      <c r="DT298" s="5" t="s">
        <v>6032</v>
      </c>
      <c r="DU298" s="5" t="s">
        <v>1350</v>
      </c>
      <c r="HM298" s="5" t="s">
        <v>264</v>
      </c>
    </row>
    <row r="299" spans="1:221" x14ac:dyDescent="0.4">
      <c r="A299" s="5">
        <v>1033</v>
      </c>
      <c r="B299" s="5">
        <v>1</v>
      </c>
      <c r="C299" s="5">
        <v>1</v>
      </c>
      <c r="D299" s="5" t="s">
        <v>6030</v>
      </c>
      <c r="E299" s="5" t="s">
        <v>4391</v>
      </c>
      <c r="F299" s="5" t="s">
        <v>248</v>
      </c>
      <c r="G299" s="5" t="s">
        <v>6029</v>
      </c>
      <c r="H299" s="6" t="s">
        <v>6052</v>
      </c>
      <c r="I299" s="7">
        <f>11350</f>
        <v>11350</v>
      </c>
      <c r="J299" s="5" t="s">
        <v>262</v>
      </c>
      <c r="K299" s="8">
        <f>25140250</f>
        <v>25140250</v>
      </c>
      <c r="L299" s="6" t="s">
        <v>242</v>
      </c>
      <c r="M299" s="5" t="s">
        <v>267</v>
      </c>
      <c r="N299" s="5" t="s">
        <v>237</v>
      </c>
      <c r="O299" s="5" t="s">
        <v>238</v>
      </c>
      <c r="P299" s="5" t="s">
        <v>238</v>
      </c>
      <c r="Q299" s="5" t="s">
        <v>239</v>
      </c>
      <c r="R299" s="5" t="s">
        <v>270</v>
      </c>
      <c r="S299" s="5" t="s">
        <v>238</v>
      </c>
      <c r="V299" s="5" t="s">
        <v>238</v>
      </c>
      <c r="X299" s="6" t="s">
        <v>238</v>
      </c>
      <c r="AA299" s="6" t="s">
        <v>243</v>
      </c>
      <c r="AB299" s="5" t="s">
        <v>238</v>
      </c>
      <c r="AC299" s="5" t="s">
        <v>244</v>
      </c>
      <c r="AD299" s="5" t="s">
        <v>245</v>
      </c>
      <c r="AT299" s="5" t="s">
        <v>246</v>
      </c>
      <c r="AU299" s="5" t="s">
        <v>238</v>
      </c>
      <c r="AV299" s="5" t="s">
        <v>247</v>
      </c>
      <c r="AW299" s="5" t="s">
        <v>238</v>
      </c>
      <c r="AX299" s="5" t="s">
        <v>249</v>
      </c>
      <c r="AY299" s="5" t="s">
        <v>238</v>
      </c>
      <c r="BA299" s="5" t="s">
        <v>238</v>
      </c>
      <c r="BC299" s="5" t="s">
        <v>250</v>
      </c>
      <c r="BD299" s="6" t="s">
        <v>243</v>
      </c>
      <c r="BE299" s="5" t="s">
        <v>251</v>
      </c>
      <c r="BF299" s="5" t="s">
        <v>252</v>
      </c>
      <c r="BG299" s="5" t="s">
        <v>238</v>
      </c>
      <c r="BH299" s="7">
        <f>0</f>
        <v>0</v>
      </c>
      <c r="BI299" s="8">
        <f>0</f>
        <v>0</v>
      </c>
      <c r="BJ299" s="5" t="s">
        <v>253</v>
      </c>
      <c r="BK299" s="5" t="s">
        <v>254</v>
      </c>
      <c r="BY299" s="5" t="s">
        <v>238</v>
      </c>
      <c r="BZ299" s="5" t="s">
        <v>238</v>
      </c>
      <c r="CD299" s="5" t="s">
        <v>255</v>
      </c>
      <c r="CE299" s="5" t="s">
        <v>256</v>
      </c>
      <c r="CF299" s="5" t="s">
        <v>238</v>
      </c>
      <c r="CI299" s="6" t="s">
        <v>257</v>
      </c>
      <c r="CJ299" s="5" t="s">
        <v>238</v>
      </c>
      <c r="CK299" s="5" t="s">
        <v>258</v>
      </c>
      <c r="CL299" s="5" t="s">
        <v>238</v>
      </c>
      <c r="CM299" s="5" t="s">
        <v>238</v>
      </c>
      <c r="CN299" s="5">
        <v>0</v>
      </c>
      <c r="CO299" s="5" t="s">
        <v>259</v>
      </c>
      <c r="CP299" s="5" t="s">
        <v>260</v>
      </c>
      <c r="CQ299" s="5" t="s">
        <v>260</v>
      </c>
      <c r="CR299" s="5" t="s">
        <v>261</v>
      </c>
      <c r="CU299" s="8">
        <f>25140250</f>
        <v>25140250</v>
      </c>
      <c r="CV299" s="8">
        <f>0</f>
        <v>0</v>
      </c>
      <c r="CX299" s="8">
        <f>0</f>
        <v>0</v>
      </c>
      <c r="CY299" s="8">
        <f>25140250</f>
        <v>25140250</v>
      </c>
      <c r="DA299" s="5" t="s">
        <v>2032</v>
      </c>
      <c r="DB299" s="5" t="s">
        <v>238</v>
      </c>
      <c r="DD299" s="5" t="s">
        <v>356</v>
      </c>
      <c r="DE299" s="8">
        <f>0</f>
        <v>0</v>
      </c>
      <c r="DG299" s="5" t="s">
        <v>389</v>
      </c>
      <c r="DH299" s="5" t="s">
        <v>238</v>
      </c>
      <c r="DI299" s="5" t="s">
        <v>238</v>
      </c>
      <c r="DJ299" s="5" t="s">
        <v>238</v>
      </c>
      <c r="DN299" s="5" t="s">
        <v>238</v>
      </c>
      <c r="DO299" s="5" t="s">
        <v>238</v>
      </c>
      <c r="DP299" s="5" t="s">
        <v>238</v>
      </c>
      <c r="DQ299" s="5" t="s">
        <v>238</v>
      </c>
      <c r="DT299" s="5" t="s">
        <v>6032</v>
      </c>
      <c r="DU299" s="5" t="s">
        <v>1346</v>
      </c>
      <c r="HM299" s="5" t="s">
        <v>264</v>
      </c>
    </row>
    <row r="300" spans="1:221" x14ac:dyDescent="0.4">
      <c r="A300" s="5">
        <v>1034</v>
      </c>
      <c r="B300" s="5">
        <v>1</v>
      </c>
      <c r="C300" s="5">
        <v>1</v>
      </c>
      <c r="D300" s="5" t="s">
        <v>6030</v>
      </c>
      <c r="E300" s="5" t="s">
        <v>4391</v>
      </c>
      <c r="F300" s="5" t="s">
        <v>248</v>
      </c>
      <c r="G300" s="5" t="s">
        <v>6029</v>
      </c>
      <c r="H300" s="6" t="s">
        <v>6043</v>
      </c>
      <c r="I300" s="7">
        <f>192</f>
        <v>192</v>
      </c>
      <c r="J300" s="5" t="s">
        <v>262</v>
      </c>
      <c r="K300" s="8">
        <f>425280</f>
        <v>425280</v>
      </c>
      <c r="L300" s="6" t="s">
        <v>242</v>
      </c>
      <c r="M300" s="5" t="s">
        <v>267</v>
      </c>
      <c r="N300" s="5" t="s">
        <v>237</v>
      </c>
      <c r="O300" s="5" t="s">
        <v>238</v>
      </c>
      <c r="P300" s="5" t="s">
        <v>238</v>
      </c>
      <c r="Q300" s="5" t="s">
        <v>239</v>
      </c>
      <c r="R300" s="5" t="s">
        <v>270</v>
      </c>
      <c r="S300" s="5" t="s">
        <v>238</v>
      </c>
      <c r="V300" s="5" t="s">
        <v>238</v>
      </c>
      <c r="X300" s="6" t="s">
        <v>238</v>
      </c>
      <c r="AA300" s="6" t="s">
        <v>243</v>
      </c>
      <c r="AB300" s="5" t="s">
        <v>238</v>
      </c>
      <c r="AC300" s="5" t="s">
        <v>244</v>
      </c>
      <c r="AD300" s="5" t="s">
        <v>245</v>
      </c>
      <c r="AT300" s="5" t="s">
        <v>246</v>
      </c>
      <c r="AU300" s="5" t="s">
        <v>238</v>
      </c>
      <c r="AV300" s="5" t="s">
        <v>247</v>
      </c>
      <c r="AW300" s="5" t="s">
        <v>238</v>
      </c>
      <c r="AX300" s="5" t="s">
        <v>249</v>
      </c>
      <c r="AY300" s="5" t="s">
        <v>238</v>
      </c>
      <c r="BA300" s="5" t="s">
        <v>238</v>
      </c>
      <c r="BC300" s="5" t="s">
        <v>250</v>
      </c>
      <c r="BD300" s="6" t="s">
        <v>243</v>
      </c>
      <c r="BE300" s="5" t="s">
        <v>251</v>
      </c>
      <c r="BF300" s="5" t="s">
        <v>252</v>
      </c>
      <c r="BG300" s="5" t="s">
        <v>238</v>
      </c>
      <c r="BH300" s="7">
        <f>0</f>
        <v>0</v>
      </c>
      <c r="BI300" s="8">
        <f>0</f>
        <v>0</v>
      </c>
      <c r="BJ300" s="5" t="s">
        <v>253</v>
      </c>
      <c r="BK300" s="5" t="s">
        <v>254</v>
      </c>
      <c r="BY300" s="5" t="s">
        <v>238</v>
      </c>
      <c r="BZ300" s="5" t="s">
        <v>238</v>
      </c>
      <c r="CD300" s="5" t="s">
        <v>255</v>
      </c>
      <c r="CE300" s="5" t="s">
        <v>256</v>
      </c>
      <c r="CF300" s="5" t="s">
        <v>238</v>
      </c>
      <c r="CI300" s="6" t="s">
        <v>257</v>
      </c>
      <c r="CJ300" s="5" t="s">
        <v>238</v>
      </c>
      <c r="CK300" s="5" t="s">
        <v>258</v>
      </c>
      <c r="CL300" s="5" t="s">
        <v>238</v>
      </c>
      <c r="CM300" s="5" t="s">
        <v>238</v>
      </c>
      <c r="CN300" s="5">
        <v>0</v>
      </c>
      <c r="CO300" s="5" t="s">
        <v>259</v>
      </c>
      <c r="CP300" s="5" t="s">
        <v>260</v>
      </c>
      <c r="CQ300" s="5" t="s">
        <v>260</v>
      </c>
      <c r="CR300" s="5" t="s">
        <v>261</v>
      </c>
      <c r="CU300" s="8">
        <f>425280</f>
        <v>425280</v>
      </c>
      <c r="CV300" s="8">
        <f>0</f>
        <v>0</v>
      </c>
      <c r="CX300" s="8">
        <f>0</f>
        <v>0</v>
      </c>
      <c r="CY300" s="8">
        <f>425280</f>
        <v>425280</v>
      </c>
      <c r="DA300" s="5" t="s">
        <v>2032</v>
      </c>
      <c r="DB300" s="5" t="s">
        <v>238</v>
      </c>
      <c r="DD300" s="5" t="s">
        <v>356</v>
      </c>
      <c r="DE300" s="8">
        <f>0</f>
        <v>0</v>
      </c>
      <c r="DG300" s="5" t="s">
        <v>389</v>
      </c>
      <c r="DH300" s="5" t="s">
        <v>238</v>
      </c>
      <c r="DI300" s="5" t="s">
        <v>238</v>
      </c>
      <c r="DJ300" s="5" t="s">
        <v>238</v>
      </c>
      <c r="DN300" s="5" t="s">
        <v>238</v>
      </c>
      <c r="DO300" s="5" t="s">
        <v>238</v>
      </c>
      <c r="DP300" s="5" t="s">
        <v>238</v>
      </c>
      <c r="DQ300" s="5" t="s">
        <v>238</v>
      </c>
      <c r="DT300" s="5" t="s">
        <v>6032</v>
      </c>
      <c r="DU300" s="5" t="s">
        <v>1342</v>
      </c>
      <c r="HM300" s="5" t="s">
        <v>264</v>
      </c>
    </row>
    <row r="301" spans="1:221" x14ac:dyDescent="0.4">
      <c r="A301" s="5">
        <v>1035</v>
      </c>
      <c r="B301" s="5">
        <v>1</v>
      </c>
      <c r="C301" s="5">
        <v>1</v>
      </c>
      <c r="D301" s="5" t="s">
        <v>6030</v>
      </c>
      <c r="E301" s="5" t="s">
        <v>4391</v>
      </c>
      <c r="F301" s="5" t="s">
        <v>248</v>
      </c>
      <c r="G301" s="5" t="s">
        <v>6029</v>
      </c>
      <c r="H301" s="6" t="s">
        <v>6044</v>
      </c>
      <c r="I301" s="7">
        <f>668</f>
        <v>668</v>
      </c>
      <c r="J301" s="5" t="s">
        <v>262</v>
      </c>
      <c r="K301" s="8">
        <f>1479620</f>
        <v>1479620</v>
      </c>
      <c r="L301" s="6" t="s">
        <v>242</v>
      </c>
      <c r="M301" s="5" t="s">
        <v>267</v>
      </c>
      <c r="N301" s="5" t="s">
        <v>237</v>
      </c>
      <c r="O301" s="5" t="s">
        <v>238</v>
      </c>
      <c r="P301" s="5" t="s">
        <v>238</v>
      </c>
      <c r="Q301" s="5" t="s">
        <v>239</v>
      </c>
      <c r="R301" s="5" t="s">
        <v>270</v>
      </c>
      <c r="S301" s="5" t="s">
        <v>238</v>
      </c>
      <c r="V301" s="5" t="s">
        <v>238</v>
      </c>
      <c r="X301" s="6" t="s">
        <v>238</v>
      </c>
      <c r="AA301" s="6" t="s">
        <v>243</v>
      </c>
      <c r="AB301" s="5" t="s">
        <v>238</v>
      </c>
      <c r="AC301" s="5" t="s">
        <v>244</v>
      </c>
      <c r="AD301" s="5" t="s">
        <v>245</v>
      </c>
      <c r="AT301" s="5" t="s">
        <v>246</v>
      </c>
      <c r="AU301" s="5" t="s">
        <v>238</v>
      </c>
      <c r="AV301" s="5" t="s">
        <v>247</v>
      </c>
      <c r="AW301" s="5" t="s">
        <v>238</v>
      </c>
      <c r="AX301" s="5" t="s">
        <v>249</v>
      </c>
      <c r="AY301" s="5" t="s">
        <v>238</v>
      </c>
      <c r="BA301" s="5" t="s">
        <v>238</v>
      </c>
      <c r="BC301" s="5" t="s">
        <v>250</v>
      </c>
      <c r="BD301" s="6" t="s">
        <v>243</v>
      </c>
      <c r="BE301" s="5" t="s">
        <v>251</v>
      </c>
      <c r="BF301" s="5" t="s">
        <v>252</v>
      </c>
      <c r="BG301" s="5" t="s">
        <v>238</v>
      </c>
      <c r="BH301" s="7">
        <f>0</f>
        <v>0</v>
      </c>
      <c r="BI301" s="8">
        <f>0</f>
        <v>0</v>
      </c>
      <c r="BJ301" s="5" t="s">
        <v>253</v>
      </c>
      <c r="BK301" s="5" t="s">
        <v>254</v>
      </c>
      <c r="BY301" s="5" t="s">
        <v>238</v>
      </c>
      <c r="BZ301" s="5" t="s">
        <v>238</v>
      </c>
      <c r="CD301" s="5" t="s">
        <v>255</v>
      </c>
      <c r="CE301" s="5" t="s">
        <v>256</v>
      </c>
      <c r="CF301" s="5" t="s">
        <v>238</v>
      </c>
      <c r="CI301" s="6" t="s">
        <v>257</v>
      </c>
      <c r="CJ301" s="5" t="s">
        <v>238</v>
      </c>
      <c r="CK301" s="5" t="s">
        <v>258</v>
      </c>
      <c r="CL301" s="5" t="s">
        <v>238</v>
      </c>
      <c r="CM301" s="5" t="s">
        <v>238</v>
      </c>
      <c r="CN301" s="5">
        <v>0</v>
      </c>
      <c r="CO301" s="5" t="s">
        <v>259</v>
      </c>
      <c r="CP301" s="5" t="s">
        <v>260</v>
      </c>
      <c r="CQ301" s="5" t="s">
        <v>260</v>
      </c>
      <c r="CR301" s="5" t="s">
        <v>261</v>
      </c>
      <c r="CU301" s="8">
        <f>1479620</f>
        <v>1479620</v>
      </c>
      <c r="CV301" s="8">
        <f>0</f>
        <v>0</v>
      </c>
      <c r="CX301" s="8">
        <f>0</f>
        <v>0</v>
      </c>
      <c r="CY301" s="8">
        <f>1479620</f>
        <v>1479620</v>
      </c>
      <c r="DA301" s="5" t="s">
        <v>2032</v>
      </c>
      <c r="DB301" s="5" t="s">
        <v>238</v>
      </c>
      <c r="DD301" s="5" t="s">
        <v>356</v>
      </c>
      <c r="DE301" s="8">
        <f>0</f>
        <v>0</v>
      </c>
      <c r="DG301" s="5" t="s">
        <v>389</v>
      </c>
      <c r="DH301" s="5" t="s">
        <v>238</v>
      </c>
      <c r="DI301" s="5" t="s">
        <v>238</v>
      </c>
      <c r="DJ301" s="5" t="s">
        <v>238</v>
      </c>
      <c r="DN301" s="5" t="s">
        <v>238</v>
      </c>
      <c r="DO301" s="5" t="s">
        <v>238</v>
      </c>
      <c r="DP301" s="5" t="s">
        <v>238</v>
      </c>
      <c r="DQ301" s="5" t="s">
        <v>238</v>
      </c>
      <c r="DT301" s="5" t="s">
        <v>6032</v>
      </c>
      <c r="DU301" s="5" t="s">
        <v>1338</v>
      </c>
      <c r="HM301" s="5" t="s">
        <v>264</v>
      </c>
    </row>
    <row r="302" spans="1:221" x14ac:dyDescent="0.4">
      <c r="A302" s="5">
        <v>1036</v>
      </c>
      <c r="B302" s="5">
        <v>1</v>
      </c>
      <c r="C302" s="5">
        <v>1</v>
      </c>
      <c r="D302" s="5" t="s">
        <v>6030</v>
      </c>
      <c r="E302" s="5" t="s">
        <v>4391</v>
      </c>
      <c r="F302" s="5" t="s">
        <v>248</v>
      </c>
      <c r="G302" s="5" t="s">
        <v>6029</v>
      </c>
      <c r="H302" s="6" t="s">
        <v>6045</v>
      </c>
      <c r="I302" s="7">
        <f>1146</f>
        <v>1146</v>
      </c>
      <c r="J302" s="5" t="s">
        <v>262</v>
      </c>
      <c r="K302" s="8">
        <f>2538390</f>
        <v>2538390</v>
      </c>
      <c r="L302" s="6" t="s">
        <v>242</v>
      </c>
      <c r="M302" s="5" t="s">
        <v>267</v>
      </c>
      <c r="N302" s="5" t="s">
        <v>237</v>
      </c>
      <c r="O302" s="5" t="s">
        <v>238</v>
      </c>
      <c r="P302" s="5" t="s">
        <v>238</v>
      </c>
      <c r="Q302" s="5" t="s">
        <v>239</v>
      </c>
      <c r="R302" s="5" t="s">
        <v>270</v>
      </c>
      <c r="S302" s="5" t="s">
        <v>238</v>
      </c>
      <c r="V302" s="5" t="s">
        <v>238</v>
      </c>
      <c r="X302" s="6" t="s">
        <v>238</v>
      </c>
      <c r="AA302" s="6" t="s">
        <v>243</v>
      </c>
      <c r="AB302" s="5" t="s">
        <v>238</v>
      </c>
      <c r="AC302" s="5" t="s">
        <v>244</v>
      </c>
      <c r="AD302" s="5" t="s">
        <v>245</v>
      </c>
      <c r="AT302" s="5" t="s">
        <v>246</v>
      </c>
      <c r="AU302" s="5" t="s">
        <v>238</v>
      </c>
      <c r="AV302" s="5" t="s">
        <v>247</v>
      </c>
      <c r="AW302" s="5" t="s">
        <v>238</v>
      </c>
      <c r="AX302" s="5" t="s">
        <v>249</v>
      </c>
      <c r="AY302" s="5" t="s">
        <v>238</v>
      </c>
      <c r="BA302" s="5" t="s">
        <v>238</v>
      </c>
      <c r="BC302" s="5" t="s">
        <v>250</v>
      </c>
      <c r="BD302" s="6" t="s">
        <v>243</v>
      </c>
      <c r="BE302" s="5" t="s">
        <v>251</v>
      </c>
      <c r="BF302" s="5" t="s">
        <v>252</v>
      </c>
      <c r="BG302" s="5" t="s">
        <v>238</v>
      </c>
      <c r="BH302" s="7">
        <f>0</f>
        <v>0</v>
      </c>
      <c r="BI302" s="8">
        <f>0</f>
        <v>0</v>
      </c>
      <c r="BJ302" s="5" t="s">
        <v>253</v>
      </c>
      <c r="BK302" s="5" t="s">
        <v>254</v>
      </c>
      <c r="BY302" s="5" t="s">
        <v>238</v>
      </c>
      <c r="BZ302" s="5" t="s">
        <v>238</v>
      </c>
      <c r="CD302" s="5" t="s">
        <v>255</v>
      </c>
      <c r="CE302" s="5" t="s">
        <v>256</v>
      </c>
      <c r="CF302" s="5" t="s">
        <v>238</v>
      </c>
      <c r="CI302" s="6" t="s">
        <v>257</v>
      </c>
      <c r="CJ302" s="5" t="s">
        <v>238</v>
      </c>
      <c r="CK302" s="5" t="s">
        <v>258</v>
      </c>
      <c r="CL302" s="5" t="s">
        <v>238</v>
      </c>
      <c r="CM302" s="5" t="s">
        <v>238</v>
      </c>
      <c r="CN302" s="5">
        <v>0</v>
      </c>
      <c r="CO302" s="5" t="s">
        <v>259</v>
      </c>
      <c r="CP302" s="5" t="s">
        <v>260</v>
      </c>
      <c r="CQ302" s="5" t="s">
        <v>260</v>
      </c>
      <c r="CR302" s="5" t="s">
        <v>261</v>
      </c>
      <c r="CU302" s="8">
        <f>2538390</f>
        <v>2538390</v>
      </c>
      <c r="CV302" s="8">
        <f>0</f>
        <v>0</v>
      </c>
      <c r="CX302" s="8">
        <f>0</f>
        <v>0</v>
      </c>
      <c r="CY302" s="8">
        <f>2538390</f>
        <v>2538390</v>
      </c>
      <c r="DA302" s="5" t="s">
        <v>2032</v>
      </c>
      <c r="DB302" s="5" t="s">
        <v>238</v>
      </c>
      <c r="DD302" s="5" t="s">
        <v>356</v>
      </c>
      <c r="DE302" s="8">
        <f>0</f>
        <v>0</v>
      </c>
      <c r="DG302" s="5" t="s">
        <v>389</v>
      </c>
      <c r="DH302" s="5" t="s">
        <v>238</v>
      </c>
      <c r="DI302" s="5" t="s">
        <v>238</v>
      </c>
      <c r="DJ302" s="5" t="s">
        <v>238</v>
      </c>
      <c r="DN302" s="5" t="s">
        <v>238</v>
      </c>
      <c r="DO302" s="5" t="s">
        <v>238</v>
      </c>
      <c r="DP302" s="5" t="s">
        <v>238</v>
      </c>
      <c r="DQ302" s="5" t="s">
        <v>238</v>
      </c>
      <c r="DT302" s="5" t="s">
        <v>6032</v>
      </c>
      <c r="DU302" s="5" t="s">
        <v>1334</v>
      </c>
      <c r="HM302" s="5" t="s">
        <v>264</v>
      </c>
    </row>
    <row r="303" spans="1:221" x14ac:dyDescent="0.4">
      <c r="A303" s="5">
        <v>1037</v>
      </c>
      <c r="B303" s="5">
        <v>1</v>
      </c>
      <c r="C303" s="5">
        <v>1</v>
      </c>
      <c r="D303" s="5" t="s">
        <v>6030</v>
      </c>
      <c r="E303" s="5" t="s">
        <v>4391</v>
      </c>
      <c r="F303" s="5" t="s">
        <v>248</v>
      </c>
      <c r="G303" s="5" t="s">
        <v>6029</v>
      </c>
      <c r="H303" s="6" t="s">
        <v>6051</v>
      </c>
      <c r="I303" s="7">
        <f>1798</f>
        <v>1798</v>
      </c>
      <c r="J303" s="5" t="s">
        <v>262</v>
      </c>
      <c r="K303" s="8">
        <f>3982570</f>
        <v>3982570</v>
      </c>
      <c r="L303" s="6" t="s">
        <v>242</v>
      </c>
      <c r="M303" s="5" t="s">
        <v>267</v>
      </c>
      <c r="N303" s="5" t="s">
        <v>237</v>
      </c>
      <c r="O303" s="5" t="s">
        <v>238</v>
      </c>
      <c r="P303" s="5" t="s">
        <v>238</v>
      </c>
      <c r="Q303" s="5" t="s">
        <v>239</v>
      </c>
      <c r="R303" s="5" t="s">
        <v>270</v>
      </c>
      <c r="S303" s="5" t="s">
        <v>238</v>
      </c>
      <c r="V303" s="5" t="s">
        <v>238</v>
      </c>
      <c r="X303" s="6" t="s">
        <v>238</v>
      </c>
      <c r="AA303" s="6" t="s">
        <v>243</v>
      </c>
      <c r="AB303" s="5" t="s">
        <v>238</v>
      </c>
      <c r="AC303" s="5" t="s">
        <v>244</v>
      </c>
      <c r="AD303" s="5" t="s">
        <v>245</v>
      </c>
      <c r="AT303" s="5" t="s">
        <v>246</v>
      </c>
      <c r="AU303" s="5" t="s">
        <v>238</v>
      </c>
      <c r="AV303" s="5" t="s">
        <v>247</v>
      </c>
      <c r="AW303" s="5" t="s">
        <v>238</v>
      </c>
      <c r="AX303" s="5" t="s">
        <v>249</v>
      </c>
      <c r="AY303" s="5" t="s">
        <v>238</v>
      </c>
      <c r="BA303" s="5" t="s">
        <v>238</v>
      </c>
      <c r="BC303" s="5" t="s">
        <v>250</v>
      </c>
      <c r="BD303" s="6" t="s">
        <v>243</v>
      </c>
      <c r="BE303" s="5" t="s">
        <v>251</v>
      </c>
      <c r="BF303" s="5" t="s">
        <v>252</v>
      </c>
      <c r="BG303" s="5" t="s">
        <v>238</v>
      </c>
      <c r="BH303" s="7">
        <f>0</f>
        <v>0</v>
      </c>
      <c r="BI303" s="8">
        <f>0</f>
        <v>0</v>
      </c>
      <c r="BJ303" s="5" t="s">
        <v>253</v>
      </c>
      <c r="BK303" s="5" t="s">
        <v>254</v>
      </c>
      <c r="BY303" s="5" t="s">
        <v>238</v>
      </c>
      <c r="BZ303" s="5" t="s">
        <v>238</v>
      </c>
      <c r="CD303" s="5" t="s">
        <v>255</v>
      </c>
      <c r="CE303" s="5" t="s">
        <v>256</v>
      </c>
      <c r="CF303" s="5" t="s">
        <v>238</v>
      </c>
      <c r="CI303" s="6" t="s">
        <v>257</v>
      </c>
      <c r="CJ303" s="5" t="s">
        <v>238</v>
      </c>
      <c r="CK303" s="5" t="s">
        <v>258</v>
      </c>
      <c r="CL303" s="5" t="s">
        <v>238</v>
      </c>
      <c r="CM303" s="5" t="s">
        <v>238</v>
      </c>
      <c r="CN303" s="5">
        <v>0</v>
      </c>
      <c r="CO303" s="5" t="s">
        <v>259</v>
      </c>
      <c r="CP303" s="5" t="s">
        <v>260</v>
      </c>
      <c r="CQ303" s="5" t="s">
        <v>260</v>
      </c>
      <c r="CR303" s="5" t="s">
        <v>261</v>
      </c>
      <c r="CU303" s="8">
        <f>3982570</f>
        <v>3982570</v>
      </c>
      <c r="CV303" s="8">
        <f>0</f>
        <v>0</v>
      </c>
      <c r="CX303" s="8">
        <f>0</f>
        <v>0</v>
      </c>
      <c r="CY303" s="8">
        <f>3982570</f>
        <v>3982570</v>
      </c>
      <c r="DA303" s="5" t="s">
        <v>2032</v>
      </c>
      <c r="DB303" s="5" t="s">
        <v>238</v>
      </c>
      <c r="DD303" s="5" t="s">
        <v>356</v>
      </c>
      <c r="DE303" s="8">
        <f>0</f>
        <v>0</v>
      </c>
      <c r="DG303" s="5" t="s">
        <v>389</v>
      </c>
      <c r="DH303" s="5" t="s">
        <v>238</v>
      </c>
      <c r="DI303" s="5" t="s">
        <v>238</v>
      </c>
      <c r="DJ303" s="5" t="s">
        <v>238</v>
      </c>
      <c r="DN303" s="5" t="s">
        <v>238</v>
      </c>
      <c r="DO303" s="5" t="s">
        <v>238</v>
      </c>
      <c r="DP303" s="5" t="s">
        <v>238</v>
      </c>
      <c r="DQ303" s="5" t="s">
        <v>238</v>
      </c>
      <c r="DT303" s="5" t="s">
        <v>6032</v>
      </c>
      <c r="DU303" s="5" t="s">
        <v>882</v>
      </c>
      <c r="HM303" s="5" t="s">
        <v>264</v>
      </c>
    </row>
    <row r="304" spans="1:221" x14ac:dyDescent="0.4">
      <c r="A304" s="5">
        <v>1038</v>
      </c>
      <c r="B304" s="5">
        <v>1</v>
      </c>
      <c r="C304" s="5">
        <v>1</v>
      </c>
      <c r="D304" s="5" t="s">
        <v>6030</v>
      </c>
      <c r="E304" s="5" t="s">
        <v>4391</v>
      </c>
      <c r="F304" s="5" t="s">
        <v>248</v>
      </c>
      <c r="G304" s="5" t="s">
        <v>6029</v>
      </c>
      <c r="H304" s="6" t="s">
        <v>6513</v>
      </c>
      <c r="I304" s="7">
        <f>4938</f>
        <v>4938</v>
      </c>
      <c r="J304" s="5" t="s">
        <v>262</v>
      </c>
      <c r="K304" s="8">
        <f>10937670</f>
        <v>10937670</v>
      </c>
      <c r="L304" s="6" t="s">
        <v>242</v>
      </c>
      <c r="M304" s="5" t="s">
        <v>267</v>
      </c>
      <c r="N304" s="5" t="s">
        <v>237</v>
      </c>
      <c r="O304" s="5" t="s">
        <v>238</v>
      </c>
      <c r="P304" s="5" t="s">
        <v>238</v>
      </c>
      <c r="Q304" s="5" t="s">
        <v>239</v>
      </c>
      <c r="R304" s="5" t="s">
        <v>270</v>
      </c>
      <c r="S304" s="5" t="s">
        <v>238</v>
      </c>
      <c r="V304" s="5" t="s">
        <v>238</v>
      </c>
      <c r="X304" s="6" t="s">
        <v>238</v>
      </c>
      <c r="AA304" s="6" t="s">
        <v>243</v>
      </c>
      <c r="AB304" s="5" t="s">
        <v>238</v>
      </c>
      <c r="AC304" s="5" t="s">
        <v>244</v>
      </c>
      <c r="AD304" s="5" t="s">
        <v>245</v>
      </c>
      <c r="AT304" s="5" t="s">
        <v>246</v>
      </c>
      <c r="AU304" s="5" t="s">
        <v>238</v>
      </c>
      <c r="AV304" s="5" t="s">
        <v>247</v>
      </c>
      <c r="AW304" s="5" t="s">
        <v>238</v>
      </c>
      <c r="AX304" s="5" t="s">
        <v>249</v>
      </c>
      <c r="AY304" s="5" t="s">
        <v>238</v>
      </c>
      <c r="BA304" s="5" t="s">
        <v>238</v>
      </c>
      <c r="BC304" s="5" t="s">
        <v>250</v>
      </c>
      <c r="BD304" s="6" t="s">
        <v>243</v>
      </c>
      <c r="BE304" s="5" t="s">
        <v>251</v>
      </c>
      <c r="BF304" s="5" t="s">
        <v>252</v>
      </c>
      <c r="BG304" s="5" t="s">
        <v>238</v>
      </c>
      <c r="BH304" s="7">
        <f>0</f>
        <v>0</v>
      </c>
      <c r="BI304" s="8">
        <f>0</f>
        <v>0</v>
      </c>
      <c r="BJ304" s="5" t="s">
        <v>253</v>
      </c>
      <c r="BK304" s="5" t="s">
        <v>254</v>
      </c>
      <c r="BY304" s="5" t="s">
        <v>238</v>
      </c>
      <c r="BZ304" s="5" t="s">
        <v>238</v>
      </c>
      <c r="CD304" s="5" t="s">
        <v>255</v>
      </c>
      <c r="CE304" s="5" t="s">
        <v>256</v>
      </c>
      <c r="CF304" s="5" t="s">
        <v>238</v>
      </c>
      <c r="CI304" s="6" t="s">
        <v>257</v>
      </c>
      <c r="CJ304" s="5" t="s">
        <v>238</v>
      </c>
      <c r="CK304" s="5" t="s">
        <v>258</v>
      </c>
      <c r="CL304" s="5" t="s">
        <v>238</v>
      </c>
      <c r="CM304" s="5" t="s">
        <v>238</v>
      </c>
      <c r="CN304" s="5">
        <v>0</v>
      </c>
      <c r="CO304" s="5" t="s">
        <v>259</v>
      </c>
      <c r="CP304" s="5" t="s">
        <v>260</v>
      </c>
      <c r="CQ304" s="5" t="s">
        <v>260</v>
      </c>
      <c r="CR304" s="5" t="s">
        <v>261</v>
      </c>
      <c r="CU304" s="8">
        <f>10937670</f>
        <v>10937670</v>
      </c>
      <c r="CV304" s="8">
        <f>0</f>
        <v>0</v>
      </c>
      <c r="CX304" s="8">
        <f>0</f>
        <v>0</v>
      </c>
      <c r="CY304" s="8">
        <f>10937670</f>
        <v>10937670</v>
      </c>
      <c r="DA304" s="5" t="s">
        <v>2032</v>
      </c>
      <c r="DB304" s="5" t="s">
        <v>238</v>
      </c>
      <c r="DD304" s="5" t="s">
        <v>356</v>
      </c>
      <c r="DE304" s="8">
        <f>0</f>
        <v>0</v>
      </c>
      <c r="DG304" s="5" t="s">
        <v>389</v>
      </c>
      <c r="DH304" s="5" t="s">
        <v>238</v>
      </c>
      <c r="DI304" s="5" t="s">
        <v>238</v>
      </c>
      <c r="DJ304" s="5" t="s">
        <v>238</v>
      </c>
      <c r="DN304" s="5" t="s">
        <v>238</v>
      </c>
      <c r="DO304" s="5" t="s">
        <v>238</v>
      </c>
      <c r="DP304" s="5" t="s">
        <v>238</v>
      </c>
      <c r="DQ304" s="5" t="s">
        <v>238</v>
      </c>
      <c r="DT304" s="5" t="s">
        <v>6032</v>
      </c>
      <c r="DU304" s="5" t="s">
        <v>1594</v>
      </c>
      <c r="HM304" s="5" t="s">
        <v>264</v>
      </c>
    </row>
    <row r="305" spans="1:221" x14ac:dyDescent="0.4">
      <c r="A305" s="5">
        <v>1039</v>
      </c>
      <c r="B305" s="5">
        <v>1</v>
      </c>
      <c r="C305" s="5">
        <v>1</v>
      </c>
      <c r="D305" s="5" t="s">
        <v>6030</v>
      </c>
      <c r="E305" s="5" t="s">
        <v>4391</v>
      </c>
      <c r="F305" s="5" t="s">
        <v>248</v>
      </c>
      <c r="G305" s="5" t="s">
        <v>6029</v>
      </c>
      <c r="H305" s="6" t="s">
        <v>6046</v>
      </c>
      <c r="I305" s="7">
        <f>5015</f>
        <v>5015</v>
      </c>
      <c r="J305" s="5" t="s">
        <v>262</v>
      </c>
      <c r="K305" s="8">
        <f>11108225</f>
        <v>11108225</v>
      </c>
      <c r="L305" s="6" t="s">
        <v>242</v>
      </c>
      <c r="M305" s="5" t="s">
        <v>267</v>
      </c>
      <c r="N305" s="5" t="s">
        <v>237</v>
      </c>
      <c r="O305" s="5" t="s">
        <v>238</v>
      </c>
      <c r="P305" s="5" t="s">
        <v>238</v>
      </c>
      <c r="Q305" s="5" t="s">
        <v>239</v>
      </c>
      <c r="R305" s="5" t="s">
        <v>270</v>
      </c>
      <c r="S305" s="5" t="s">
        <v>238</v>
      </c>
      <c r="V305" s="5" t="s">
        <v>238</v>
      </c>
      <c r="X305" s="6" t="s">
        <v>238</v>
      </c>
      <c r="AA305" s="6" t="s">
        <v>243</v>
      </c>
      <c r="AB305" s="5" t="s">
        <v>238</v>
      </c>
      <c r="AC305" s="5" t="s">
        <v>244</v>
      </c>
      <c r="AD305" s="5" t="s">
        <v>245</v>
      </c>
      <c r="AT305" s="5" t="s">
        <v>246</v>
      </c>
      <c r="AU305" s="5" t="s">
        <v>238</v>
      </c>
      <c r="AV305" s="5" t="s">
        <v>247</v>
      </c>
      <c r="AW305" s="5" t="s">
        <v>238</v>
      </c>
      <c r="AX305" s="5" t="s">
        <v>249</v>
      </c>
      <c r="AY305" s="5" t="s">
        <v>238</v>
      </c>
      <c r="BA305" s="5" t="s">
        <v>238</v>
      </c>
      <c r="BC305" s="5" t="s">
        <v>250</v>
      </c>
      <c r="BD305" s="6" t="s">
        <v>243</v>
      </c>
      <c r="BE305" s="5" t="s">
        <v>251</v>
      </c>
      <c r="BF305" s="5" t="s">
        <v>252</v>
      </c>
      <c r="BG305" s="5" t="s">
        <v>238</v>
      </c>
      <c r="BH305" s="7">
        <f>0</f>
        <v>0</v>
      </c>
      <c r="BI305" s="8">
        <f>0</f>
        <v>0</v>
      </c>
      <c r="BJ305" s="5" t="s">
        <v>253</v>
      </c>
      <c r="BK305" s="5" t="s">
        <v>254</v>
      </c>
      <c r="BY305" s="5" t="s">
        <v>238</v>
      </c>
      <c r="BZ305" s="5" t="s">
        <v>238</v>
      </c>
      <c r="CD305" s="5" t="s">
        <v>255</v>
      </c>
      <c r="CE305" s="5" t="s">
        <v>256</v>
      </c>
      <c r="CF305" s="5" t="s">
        <v>238</v>
      </c>
      <c r="CI305" s="6" t="s">
        <v>257</v>
      </c>
      <c r="CJ305" s="5" t="s">
        <v>238</v>
      </c>
      <c r="CK305" s="5" t="s">
        <v>258</v>
      </c>
      <c r="CL305" s="5" t="s">
        <v>238</v>
      </c>
      <c r="CM305" s="5" t="s">
        <v>238</v>
      </c>
      <c r="CN305" s="5">
        <v>0</v>
      </c>
      <c r="CO305" s="5" t="s">
        <v>259</v>
      </c>
      <c r="CP305" s="5" t="s">
        <v>260</v>
      </c>
      <c r="CQ305" s="5" t="s">
        <v>260</v>
      </c>
      <c r="CR305" s="5" t="s">
        <v>261</v>
      </c>
      <c r="CU305" s="8">
        <f>11108225</f>
        <v>11108225</v>
      </c>
      <c r="CV305" s="8">
        <f>0</f>
        <v>0</v>
      </c>
      <c r="CX305" s="8">
        <f>0</f>
        <v>0</v>
      </c>
      <c r="CY305" s="8">
        <f>11108225</f>
        <v>11108225</v>
      </c>
      <c r="DA305" s="5" t="s">
        <v>2032</v>
      </c>
      <c r="DB305" s="5" t="s">
        <v>238</v>
      </c>
      <c r="DD305" s="5" t="s">
        <v>356</v>
      </c>
      <c r="DE305" s="8">
        <f>0</f>
        <v>0</v>
      </c>
      <c r="DG305" s="5" t="s">
        <v>389</v>
      </c>
      <c r="DH305" s="5" t="s">
        <v>238</v>
      </c>
      <c r="DI305" s="5" t="s">
        <v>238</v>
      </c>
      <c r="DJ305" s="5" t="s">
        <v>238</v>
      </c>
      <c r="DN305" s="5" t="s">
        <v>238</v>
      </c>
      <c r="DO305" s="5" t="s">
        <v>238</v>
      </c>
      <c r="DP305" s="5" t="s">
        <v>238</v>
      </c>
      <c r="DQ305" s="5" t="s">
        <v>238</v>
      </c>
      <c r="DT305" s="5" t="s">
        <v>6032</v>
      </c>
      <c r="DU305" s="5" t="s">
        <v>1329</v>
      </c>
      <c r="HM305" s="5" t="s">
        <v>264</v>
      </c>
    </row>
    <row r="306" spans="1:221" x14ac:dyDescent="0.4">
      <c r="A306" s="5">
        <v>1040</v>
      </c>
      <c r="B306" s="5">
        <v>1</v>
      </c>
      <c r="C306" s="5">
        <v>1</v>
      </c>
      <c r="D306" s="5" t="s">
        <v>6030</v>
      </c>
      <c r="E306" s="5" t="s">
        <v>4391</v>
      </c>
      <c r="F306" s="5" t="s">
        <v>248</v>
      </c>
      <c r="G306" s="5" t="s">
        <v>6029</v>
      </c>
      <c r="H306" s="6" t="s">
        <v>6047</v>
      </c>
      <c r="I306" s="7">
        <f>642</f>
        <v>642</v>
      </c>
      <c r="J306" s="5" t="s">
        <v>262</v>
      </c>
      <c r="K306" s="8">
        <f>1422030</f>
        <v>1422030</v>
      </c>
      <c r="L306" s="6" t="s">
        <v>242</v>
      </c>
      <c r="M306" s="5" t="s">
        <v>267</v>
      </c>
      <c r="N306" s="5" t="s">
        <v>237</v>
      </c>
      <c r="O306" s="5" t="s">
        <v>238</v>
      </c>
      <c r="P306" s="5" t="s">
        <v>238</v>
      </c>
      <c r="Q306" s="5" t="s">
        <v>239</v>
      </c>
      <c r="R306" s="5" t="s">
        <v>270</v>
      </c>
      <c r="S306" s="5" t="s">
        <v>238</v>
      </c>
      <c r="V306" s="5" t="s">
        <v>238</v>
      </c>
      <c r="X306" s="6" t="s">
        <v>238</v>
      </c>
      <c r="AA306" s="6" t="s">
        <v>243</v>
      </c>
      <c r="AB306" s="5" t="s">
        <v>238</v>
      </c>
      <c r="AC306" s="5" t="s">
        <v>244</v>
      </c>
      <c r="AD306" s="5" t="s">
        <v>245</v>
      </c>
      <c r="AT306" s="5" t="s">
        <v>246</v>
      </c>
      <c r="AU306" s="5" t="s">
        <v>238</v>
      </c>
      <c r="AV306" s="5" t="s">
        <v>247</v>
      </c>
      <c r="AW306" s="5" t="s">
        <v>238</v>
      </c>
      <c r="AX306" s="5" t="s">
        <v>249</v>
      </c>
      <c r="AY306" s="5" t="s">
        <v>238</v>
      </c>
      <c r="BA306" s="5" t="s">
        <v>238</v>
      </c>
      <c r="BC306" s="5" t="s">
        <v>250</v>
      </c>
      <c r="BD306" s="6" t="s">
        <v>243</v>
      </c>
      <c r="BE306" s="5" t="s">
        <v>251</v>
      </c>
      <c r="BF306" s="5" t="s">
        <v>252</v>
      </c>
      <c r="BG306" s="5" t="s">
        <v>238</v>
      </c>
      <c r="BH306" s="7">
        <f>0</f>
        <v>0</v>
      </c>
      <c r="BI306" s="8">
        <f>0</f>
        <v>0</v>
      </c>
      <c r="BJ306" s="5" t="s">
        <v>253</v>
      </c>
      <c r="BK306" s="5" t="s">
        <v>254</v>
      </c>
      <c r="BY306" s="5" t="s">
        <v>238</v>
      </c>
      <c r="BZ306" s="5" t="s">
        <v>238</v>
      </c>
      <c r="CD306" s="5" t="s">
        <v>255</v>
      </c>
      <c r="CE306" s="5" t="s">
        <v>256</v>
      </c>
      <c r="CF306" s="5" t="s">
        <v>238</v>
      </c>
      <c r="CI306" s="6" t="s">
        <v>257</v>
      </c>
      <c r="CJ306" s="5" t="s">
        <v>238</v>
      </c>
      <c r="CK306" s="5" t="s">
        <v>258</v>
      </c>
      <c r="CL306" s="5" t="s">
        <v>238</v>
      </c>
      <c r="CM306" s="5" t="s">
        <v>238</v>
      </c>
      <c r="CN306" s="5">
        <v>0</v>
      </c>
      <c r="CO306" s="5" t="s">
        <v>259</v>
      </c>
      <c r="CP306" s="5" t="s">
        <v>260</v>
      </c>
      <c r="CQ306" s="5" t="s">
        <v>260</v>
      </c>
      <c r="CR306" s="5" t="s">
        <v>261</v>
      </c>
      <c r="CU306" s="8">
        <f>1422030</f>
        <v>1422030</v>
      </c>
      <c r="CV306" s="8">
        <f>0</f>
        <v>0</v>
      </c>
      <c r="CX306" s="8">
        <f>0</f>
        <v>0</v>
      </c>
      <c r="CY306" s="8">
        <f>1422030</f>
        <v>1422030</v>
      </c>
      <c r="DA306" s="5" t="s">
        <v>2032</v>
      </c>
      <c r="DB306" s="5" t="s">
        <v>238</v>
      </c>
      <c r="DD306" s="5" t="s">
        <v>356</v>
      </c>
      <c r="DE306" s="8">
        <f>0</f>
        <v>0</v>
      </c>
      <c r="DG306" s="5" t="s">
        <v>389</v>
      </c>
      <c r="DH306" s="5" t="s">
        <v>238</v>
      </c>
      <c r="DI306" s="5" t="s">
        <v>238</v>
      </c>
      <c r="DJ306" s="5" t="s">
        <v>238</v>
      </c>
      <c r="DN306" s="5" t="s">
        <v>238</v>
      </c>
      <c r="DO306" s="5" t="s">
        <v>238</v>
      </c>
      <c r="DP306" s="5" t="s">
        <v>238</v>
      </c>
      <c r="DQ306" s="5" t="s">
        <v>238</v>
      </c>
      <c r="DT306" s="5" t="s">
        <v>6032</v>
      </c>
      <c r="DU306" s="5" t="s">
        <v>1327</v>
      </c>
      <c r="HM306" s="5" t="s">
        <v>264</v>
      </c>
    </row>
    <row r="307" spans="1:221" x14ac:dyDescent="0.4">
      <c r="A307" s="5">
        <v>1041</v>
      </c>
      <c r="B307" s="5">
        <v>1</v>
      </c>
      <c r="C307" s="5">
        <v>1</v>
      </c>
      <c r="D307" s="5" t="s">
        <v>6030</v>
      </c>
      <c r="E307" s="5" t="s">
        <v>4391</v>
      </c>
      <c r="F307" s="5" t="s">
        <v>248</v>
      </c>
      <c r="G307" s="5" t="s">
        <v>6029</v>
      </c>
      <c r="H307" s="6" t="s">
        <v>6048</v>
      </c>
      <c r="I307" s="7">
        <f>7.69</f>
        <v>7.69</v>
      </c>
      <c r="J307" s="5" t="s">
        <v>262</v>
      </c>
      <c r="K307" s="8">
        <f>17033</f>
        <v>17033</v>
      </c>
      <c r="L307" s="6" t="s">
        <v>242</v>
      </c>
      <c r="M307" s="5" t="s">
        <v>267</v>
      </c>
      <c r="N307" s="5" t="s">
        <v>237</v>
      </c>
      <c r="O307" s="5" t="s">
        <v>238</v>
      </c>
      <c r="P307" s="5" t="s">
        <v>238</v>
      </c>
      <c r="Q307" s="5" t="s">
        <v>239</v>
      </c>
      <c r="R307" s="5" t="s">
        <v>270</v>
      </c>
      <c r="S307" s="5" t="s">
        <v>238</v>
      </c>
      <c r="V307" s="5" t="s">
        <v>238</v>
      </c>
      <c r="X307" s="6" t="s">
        <v>238</v>
      </c>
      <c r="AA307" s="6" t="s">
        <v>243</v>
      </c>
      <c r="AB307" s="5" t="s">
        <v>238</v>
      </c>
      <c r="AC307" s="5" t="s">
        <v>244</v>
      </c>
      <c r="AD307" s="5" t="s">
        <v>245</v>
      </c>
      <c r="AT307" s="5" t="s">
        <v>246</v>
      </c>
      <c r="AU307" s="5" t="s">
        <v>238</v>
      </c>
      <c r="AV307" s="5" t="s">
        <v>247</v>
      </c>
      <c r="AW307" s="5" t="s">
        <v>238</v>
      </c>
      <c r="AX307" s="5" t="s">
        <v>249</v>
      </c>
      <c r="AY307" s="5" t="s">
        <v>238</v>
      </c>
      <c r="BA307" s="5" t="s">
        <v>238</v>
      </c>
      <c r="BC307" s="5" t="s">
        <v>250</v>
      </c>
      <c r="BD307" s="6" t="s">
        <v>243</v>
      </c>
      <c r="BE307" s="5" t="s">
        <v>251</v>
      </c>
      <c r="BF307" s="5" t="s">
        <v>252</v>
      </c>
      <c r="BG307" s="5" t="s">
        <v>238</v>
      </c>
      <c r="BH307" s="7">
        <f>0</f>
        <v>0</v>
      </c>
      <c r="BI307" s="8">
        <f>0</f>
        <v>0</v>
      </c>
      <c r="BJ307" s="5" t="s">
        <v>253</v>
      </c>
      <c r="BK307" s="5" t="s">
        <v>254</v>
      </c>
      <c r="BY307" s="5" t="s">
        <v>238</v>
      </c>
      <c r="BZ307" s="5" t="s">
        <v>238</v>
      </c>
      <c r="CD307" s="5" t="s">
        <v>255</v>
      </c>
      <c r="CE307" s="5" t="s">
        <v>256</v>
      </c>
      <c r="CF307" s="5" t="s">
        <v>238</v>
      </c>
      <c r="CI307" s="6" t="s">
        <v>257</v>
      </c>
      <c r="CJ307" s="5" t="s">
        <v>238</v>
      </c>
      <c r="CK307" s="5" t="s">
        <v>258</v>
      </c>
      <c r="CL307" s="5" t="s">
        <v>238</v>
      </c>
      <c r="CM307" s="5" t="s">
        <v>238</v>
      </c>
      <c r="CN307" s="5">
        <v>0</v>
      </c>
      <c r="CO307" s="5" t="s">
        <v>259</v>
      </c>
      <c r="CP307" s="5" t="s">
        <v>260</v>
      </c>
      <c r="CQ307" s="5" t="s">
        <v>260</v>
      </c>
      <c r="CR307" s="5" t="s">
        <v>261</v>
      </c>
      <c r="CU307" s="8">
        <f>17033</f>
        <v>17033</v>
      </c>
      <c r="CV307" s="8">
        <f>0</f>
        <v>0</v>
      </c>
      <c r="CX307" s="8">
        <f>0</f>
        <v>0</v>
      </c>
      <c r="CY307" s="8">
        <f>17033</f>
        <v>17033</v>
      </c>
      <c r="DA307" s="5" t="s">
        <v>2032</v>
      </c>
      <c r="DB307" s="5" t="s">
        <v>238</v>
      </c>
      <c r="DD307" s="5" t="s">
        <v>356</v>
      </c>
      <c r="DE307" s="8">
        <f>0</f>
        <v>0</v>
      </c>
      <c r="DG307" s="5" t="s">
        <v>389</v>
      </c>
      <c r="DH307" s="5" t="s">
        <v>238</v>
      </c>
      <c r="DI307" s="5" t="s">
        <v>238</v>
      </c>
      <c r="DJ307" s="5" t="s">
        <v>238</v>
      </c>
      <c r="DN307" s="5" t="s">
        <v>238</v>
      </c>
      <c r="DO307" s="5" t="s">
        <v>238</v>
      </c>
      <c r="DP307" s="5" t="s">
        <v>238</v>
      </c>
      <c r="DQ307" s="5" t="s">
        <v>238</v>
      </c>
      <c r="DT307" s="5" t="s">
        <v>6032</v>
      </c>
      <c r="DU307" s="5" t="s">
        <v>1320</v>
      </c>
      <c r="HM307" s="5" t="s">
        <v>264</v>
      </c>
    </row>
    <row r="308" spans="1:221" x14ac:dyDescent="0.4">
      <c r="A308" s="5">
        <v>1042</v>
      </c>
      <c r="B308" s="5">
        <v>1</v>
      </c>
      <c r="C308" s="5">
        <v>1</v>
      </c>
      <c r="D308" s="5" t="s">
        <v>6030</v>
      </c>
      <c r="E308" s="5" t="s">
        <v>4391</v>
      </c>
      <c r="F308" s="5" t="s">
        <v>248</v>
      </c>
      <c r="G308" s="5" t="s">
        <v>6029</v>
      </c>
      <c r="H308" s="6" t="s">
        <v>6512</v>
      </c>
      <c r="I308" s="7">
        <f>47</f>
        <v>47</v>
      </c>
      <c r="J308" s="5" t="s">
        <v>262</v>
      </c>
      <c r="K308" s="8">
        <f>104105</f>
        <v>104105</v>
      </c>
      <c r="L308" s="6" t="s">
        <v>242</v>
      </c>
      <c r="M308" s="5" t="s">
        <v>267</v>
      </c>
      <c r="N308" s="5" t="s">
        <v>237</v>
      </c>
      <c r="O308" s="5" t="s">
        <v>238</v>
      </c>
      <c r="P308" s="5" t="s">
        <v>238</v>
      </c>
      <c r="Q308" s="5" t="s">
        <v>239</v>
      </c>
      <c r="R308" s="5" t="s">
        <v>270</v>
      </c>
      <c r="S308" s="5" t="s">
        <v>238</v>
      </c>
      <c r="V308" s="5" t="s">
        <v>238</v>
      </c>
      <c r="X308" s="6" t="s">
        <v>238</v>
      </c>
      <c r="AA308" s="6" t="s">
        <v>243</v>
      </c>
      <c r="AB308" s="5" t="s">
        <v>238</v>
      </c>
      <c r="AC308" s="5" t="s">
        <v>244</v>
      </c>
      <c r="AD308" s="5" t="s">
        <v>245</v>
      </c>
      <c r="AT308" s="5" t="s">
        <v>246</v>
      </c>
      <c r="AU308" s="5" t="s">
        <v>238</v>
      </c>
      <c r="AV308" s="5" t="s">
        <v>247</v>
      </c>
      <c r="AW308" s="5" t="s">
        <v>238</v>
      </c>
      <c r="AX308" s="5" t="s">
        <v>249</v>
      </c>
      <c r="AY308" s="5" t="s">
        <v>238</v>
      </c>
      <c r="BA308" s="5" t="s">
        <v>238</v>
      </c>
      <c r="BC308" s="5" t="s">
        <v>250</v>
      </c>
      <c r="BD308" s="6" t="s">
        <v>243</v>
      </c>
      <c r="BE308" s="5" t="s">
        <v>251</v>
      </c>
      <c r="BF308" s="5" t="s">
        <v>252</v>
      </c>
      <c r="BG308" s="5" t="s">
        <v>238</v>
      </c>
      <c r="BH308" s="7">
        <f>0</f>
        <v>0</v>
      </c>
      <c r="BI308" s="8">
        <f>0</f>
        <v>0</v>
      </c>
      <c r="BJ308" s="5" t="s">
        <v>253</v>
      </c>
      <c r="BK308" s="5" t="s">
        <v>254</v>
      </c>
      <c r="BY308" s="5" t="s">
        <v>238</v>
      </c>
      <c r="BZ308" s="5" t="s">
        <v>238</v>
      </c>
      <c r="CD308" s="5" t="s">
        <v>255</v>
      </c>
      <c r="CE308" s="5" t="s">
        <v>256</v>
      </c>
      <c r="CF308" s="5" t="s">
        <v>238</v>
      </c>
      <c r="CI308" s="6" t="s">
        <v>257</v>
      </c>
      <c r="CJ308" s="5" t="s">
        <v>238</v>
      </c>
      <c r="CK308" s="5" t="s">
        <v>258</v>
      </c>
      <c r="CL308" s="5" t="s">
        <v>238</v>
      </c>
      <c r="CM308" s="5" t="s">
        <v>238</v>
      </c>
      <c r="CN308" s="5">
        <v>0</v>
      </c>
      <c r="CO308" s="5" t="s">
        <v>259</v>
      </c>
      <c r="CP308" s="5" t="s">
        <v>260</v>
      </c>
      <c r="CQ308" s="5" t="s">
        <v>260</v>
      </c>
      <c r="CR308" s="5" t="s">
        <v>261</v>
      </c>
      <c r="CU308" s="8">
        <f>104105</f>
        <v>104105</v>
      </c>
      <c r="CV308" s="8">
        <f>0</f>
        <v>0</v>
      </c>
      <c r="CX308" s="8">
        <f>0</f>
        <v>0</v>
      </c>
      <c r="CY308" s="8">
        <f>104105</f>
        <v>104105</v>
      </c>
      <c r="DA308" s="5" t="s">
        <v>2032</v>
      </c>
      <c r="DB308" s="5" t="s">
        <v>238</v>
      </c>
      <c r="DD308" s="5" t="s">
        <v>356</v>
      </c>
      <c r="DE308" s="8">
        <f>0</f>
        <v>0</v>
      </c>
      <c r="DG308" s="5" t="s">
        <v>389</v>
      </c>
      <c r="DH308" s="5" t="s">
        <v>238</v>
      </c>
      <c r="DI308" s="5" t="s">
        <v>238</v>
      </c>
      <c r="DJ308" s="5" t="s">
        <v>238</v>
      </c>
      <c r="DN308" s="5" t="s">
        <v>238</v>
      </c>
      <c r="DO308" s="5" t="s">
        <v>238</v>
      </c>
      <c r="DP308" s="5" t="s">
        <v>238</v>
      </c>
      <c r="DQ308" s="5" t="s">
        <v>238</v>
      </c>
      <c r="DT308" s="5" t="s">
        <v>6032</v>
      </c>
      <c r="DU308" s="5" t="s">
        <v>1318</v>
      </c>
      <c r="HM308" s="5" t="s">
        <v>264</v>
      </c>
    </row>
    <row r="309" spans="1:221" x14ac:dyDescent="0.4">
      <c r="A309" s="5">
        <v>1043</v>
      </c>
      <c r="B309" s="5">
        <v>1</v>
      </c>
      <c r="C309" s="5">
        <v>1</v>
      </c>
      <c r="D309" s="5" t="s">
        <v>6022</v>
      </c>
      <c r="E309" s="5" t="s">
        <v>4391</v>
      </c>
      <c r="F309" s="5" t="s">
        <v>248</v>
      </c>
      <c r="G309" s="5" t="s">
        <v>6021</v>
      </c>
      <c r="H309" s="6" t="s">
        <v>6025</v>
      </c>
      <c r="I309" s="7">
        <f>592</f>
        <v>592</v>
      </c>
      <c r="J309" s="5" t="s">
        <v>262</v>
      </c>
      <c r="K309" s="8">
        <f>1311280</f>
        <v>1311280</v>
      </c>
      <c r="L309" s="6" t="s">
        <v>242</v>
      </c>
      <c r="M309" s="5" t="s">
        <v>267</v>
      </c>
      <c r="N309" s="5" t="s">
        <v>237</v>
      </c>
      <c r="O309" s="5" t="s">
        <v>238</v>
      </c>
      <c r="P309" s="5" t="s">
        <v>238</v>
      </c>
      <c r="Q309" s="5" t="s">
        <v>239</v>
      </c>
      <c r="R309" s="5" t="s">
        <v>270</v>
      </c>
      <c r="S309" s="5" t="s">
        <v>238</v>
      </c>
      <c r="V309" s="5" t="s">
        <v>238</v>
      </c>
      <c r="X309" s="6" t="s">
        <v>238</v>
      </c>
      <c r="AA309" s="6" t="s">
        <v>243</v>
      </c>
      <c r="AB309" s="5" t="s">
        <v>238</v>
      </c>
      <c r="AC309" s="5" t="s">
        <v>244</v>
      </c>
      <c r="AD309" s="5" t="s">
        <v>245</v>
      </c>
      <c r="AT309" s="5" t="s">
        <v>246</v>
      </c>
      <c r="AU309" s="5" t="s">
        <v>238</v>
      </c>
      <c r="AV309" s="5" t="s">
        <v>247</v>
      </c>
      <c r="AW309" s="5" t="s">
        <v>238</v>
      </c>
      <c r="AX309" s="5" t="s">
        <v>249</v>
      </c>
      <c r="AY309" s="5" t="s">
        <v>238</v>
      </c>
      <c r="BA309" s="5" t="s">
        <v>4547</v>
      </c>
      <c r="BC309" s="5" t="s">
        <v>250</v>
      </c>
      <c r="BD309" s="6" t="s">
        <v>243</v>
      </c>
      <c r="BE309" s="5" t="s">
        <v>251</v>
      </c>
      <c r="BF309" s="5" t="s">
        <v>252</v>
      </c>
      <c r="BG309" s="5" t="s">
        <v>238</v>
      </c>
      <c r="BH309" s="7">
        <f>0</f>
        <v>0</v>
      </c>
      <c r="BI309" s="8">
        <f>0</f>
        <v>0</v>
      </c>
      <c r="BJ309" s="5" t="s">
        <v>253</v>
      </c>
      <c r="BK309" s="5" t="s">
        <v>254</v>
      </c>
      <c r="BY309" s="5" t="s">
        <v>238</v>
      </c>
      <c r="BZ309" s="5" t="s">
        <v>238</v>
      </c>
      <c r="CD309" s="5" t="s">
        <v>255</v>
      </c>
      <c r="CE309" s="5" t="s">
        <v>256</v>
      </c>
      <c r="CF309" s="5" t="s">
        <v>238</v>
      </c>
      <c r="CI309" s="6" t="s">
        <v>257</v>
      </c>
      <c r="CJ309" s="5" t="s">
        <v>238</v>
      </c>
      <c r="CK309" s="5" t="s">
        <v>258</v>
      </c>
      <c r="CL309" s="5" t="s">
        <v>238</v>
      </c>
      <c r="CM309" s="5" t="s">
        <v>238</v>
      </c>
      <c r="CN309" s="5">
        <v>0</v>
      </c>
      <c r="CO309" s="5" t="s">
        <v>259</v>
      </c>
      <c r="CP309" s="5" t="s">
        <v>260</v>
      </c>
      <c r="CQ309" s="5" t="s">
        <v>260</v>
      </c>
      <c r="CR309" s="5" t="s">
        <v>261</v>
      </c>
      <c r="CU309" s="8">
        <f>1311280</f>
        <v>1311280</v>
      </c>
      <c r="CV309" s="8">
        <f>0</f>
        <v>0</v>
      </c>
      <c r="CX309" s="8">
        <f>0</f>
        <v>0</v>
      </c>
      <c r="CY309" s="8">
        <f>1311280</f>
        <v>1311280</v>
      </c>
      <c r="DA309" s="5" t="s">
        <v>2032</v>
      </c>
      <c r="DB309" s="5" t="s">
        <v>238</v>
      </c>
      <c r="DD309" s="5" t="s">
        <v>356</v>
      </c>
      <c r="DE309" s="8">
        <f>0</f>
        <v>0</v>
      </c>
      <c r="DG309" s="5" t="s">
        <v>389</v>
      </c>
      <c r="DH309" s="5" t="s">
        <v>238</v>
      </c>
      <c r="DI309" s="5" t="s">
        <v>238</v>
      </c>
      <c r="DJ309" s="5" t="s">
        <v>238</v>
      </c>
      <c r="DN309" s="5" t="s">
        <v>238</v>
      </c>
      <c r="DO309" s="5" t="s">
        <v>238</v>
      </c>
      <c r="DP309" s="5" t="s">
        <v>238</v>
      </c>
      <c r="DQ309" s="5" t="s">
        <v>238</v>
      </c>
      <c r="DT309" s="5" t="s">
        <v>6024</v>
      </c>
      <c r="DU309" s="5" t="s">
        <v>264</v>
      </c>
      <c r="HM309" s="5" t="s">
        <v>264</v>
      </c>
    </row>
    <row r="310" spans="1:221" x14ac:dyDescent="0.4">
      <c r="A310" s="5">
        <v>1044</v>
      </c>
      <c r="B310" s="5">
        <v>1</v>
      </c>
      <c r="C310" s="5">
        <v>1</v>
      </c>
      <c r="D310" s="5" t="s">
        <v>6022</v>
      </c>
      <c r="E310" s="5" t="s">
        <v>4391</v>
      </c>
      <c r="F310" s="5" t="s">
        <v>248</v>
      </c>
      <c r="G310" s="5" t="s">
        <v>6021</v>
      </c>
      <c r="H310" s="6" t="s">
        <v>6510</v>
      </c>
      <c r="I310" s="7">
        <f>424</f>
        <v>424</v>
      </c>
      <c r="J310" s="5" t="s">
        <v>262</v>
      </c>
      <c r="K310" s="8">
        <f>939160</f>
        <v>939160</v>
      </c>
      <c r="L310" s="6" t="s">
        <v>242</v>
      </c>
      <c r="M310" s="5" t="s">
        <v>267</v>
      </c>
      <c r="N310" s="5" t="s">
        <v>237</v>
      </c>
      <c r="O310" s="5" t="s">
        <v>238</v>
      </c>
      <c r="P310" s="5" t="s">
        <v>238</v>
      </c>
      <c r="Q310" s="5" t="s">
        <v>239</v>
      </c>
      <c r="R310" s="5" t="s">
        <v>270</v>
      </c>
      <c r="S310" s="5" t="s">
        <v>238</v>
      </c>
      <c r="V310" s="5" t="s">
        <v>238</v>
      </c>
      <c r="X310" s="6" t="s">
        <v>238</v>
      </c>
      <c r="AA310" s="6" t="s">
        <v>243</v>
      </c>
      <c r="AB310" s="5" t="s">
        <v>238</v>
      </c>
      <c r="AC310" s="5" t="s">
        <v>244</v>
      </c>
      <c r="AD310" s="5" t="s">
        <v>245</v>
      </c>
      <c r="AT310" s="5" t="s">
        <v>246</v>
      </c>
      <c r="AU310" s="5" t="s">
        <v>238</v>
      </c>
      <c r="AV310" s="5" t="s">
        <v>247</v>
      </c>
      <c r="AW310" s="5" t="s">
        <v>238</v>
      </c>
      <c r="AX310" s="5" t="s">
        <v>249</v>
      </c>
      <c r="AY310" s="5" t="s">
        <v>238</v>
      </c>
      <c r="BA310" s="5" t="s">
        <v>238</v>
      </c>
      <c r="BC310" s="5" t="s">
        <v>250</v>
      </c>
      <c r="BD310" s="6" t="s">
        <v>243</v>
      </c>
      <c r="BE310" s="5" t="s">
        <v>251</v>
      </c>
      <c r="BF310" s="5" t="s">
        <v>252</v>
      </c>
      <c r="BG310" s="5" t="s">
        <v>238</v>
      </c>
      <c r="BH310" s="7">
        <f>0</f>
        <v>0</v>
      </c>
      <c r="BI310" s="8">
        <f>0</f>
        <v>0</v>
      </c>
      <c r="BJ310" s="5" t="s">
        <v>253</v>
      </c>
      <c r="BK310" s="5" t="s">
        <v>254</v>
      </c>
      <c r="BY310" s="5" t="s">
        <v>238</v>
      </c>
      <c r="BZ310" s="5" t="s">
        <v>238</v>
      </c>
      <c r="CD310" s="5" t="s">
        <v>255</v>
      </c>
      <c r="CE310" s="5" t="s">
        <v>256</v>
      </c>
      <c r="CF310" s="5" t="s">
        <v>238</v>
      </c>
      <c r="CI310" s="6" t="s">
        <v>257</v>
      </c>
      <c r="CJ310" s="5" t="s">
        <v>238</v>
      </c>
      <c r="CK310" s="5" t="s">
        <v>258</v>
      </c>
      <c r="CL310" s="5" t="s">
        <v>238</v>
      </c>
      <c r="CM310" s="5" t="s">
        <v>238</v>
      </c>
      <c r="CN310" s="5">
        <v>0</v>
      </c>
      <c r="CO310" s="5" t="s">
        <v>259</v>
      </c>
      <c r="CP310" s="5" t="s">
        <v>260</v>
      </c>
      <c r="CQ310" s="5" t="s">
        <v>260</v>
      </c>
      <c r="CR310" s="5" t="s">
        <v>261</v>
      </c>
      <c r="CU310" s="8">
        <f>939160</f>
        <v>939160</v>
      </c>
      <c r="CV310" s="8">
        <f>0</f>
        <v>0</v>
      </c>
      <c r="CX310" s="8">
        <f>0</f>
        <v>0</v>
      </c>
      <c r="CY310" s="8">
        <f>939160</f>
        <v>939160</v>
      </c>
      <c r="DA310" s="5" t="s">
        <v>2032</v>
      </c>
      <c r="DB310" s="5" t="s">
        <v>238</v>
      </c>
      <c r="DD310" s="5" t="s">
        <v>356</v>
      </c>
      <c r="DE310" s="8">
        <f>0</f>
        <v>0</v>
      </c>
      <c r="DG310" s="5" t="s">
        <v>389</v>
      </c>
      <c r="DH310" s="5" t="s">
        <v>238</v>
      </c>
      <c r="DI310" s="5" t="s">
        <v>238</v>
      </c>
      <c r="DJ310" s="5" t="s">
        <v>238</v>
      </c>
      <c r="DN310" s="5" t="s">
        <v>238</v>
      </c>
      <c r="DO310" s="5" t="s">
        <v>238</v>
      </c>
      <c r="DP310" s="5" t="s">
        <v>238</v>
      </c>
      <c r="DQ310" s="5" t="s">
        <v>238</v>
      </c>
      <c r="DT310" s="5" t="s">
        <v>6024</v>
      </c>
      <c r="DU310" s="5" t="s">
        <v>294</v>
      </c>
      <c r="HM310" s="5" t="s">
        <v>264</v>
      </c>
    </row>
    <row r="311" spans="1:221" x14ac:dyDescent="0.4">
      <c r="A311" s="5">
        <v>1045</v>
      </c>
      <c r="B311" s="5">
        <v>1</v>
      </c>
      <c r="C311" s="5">
        <v>1</v>
      </c>
      <c r="D311" s="5" t="s">
        <v>6022</v>
      </c>
      <c r="E311" s="5" t="s">
        <v>4391</v>
      </c>
      <c r="F311" s="5" t="s">
        <v>248</v>
      </c>
      <c r="G311" s="5" t="s">
        <v>6021</v>
      </c>
      <c r="H311" s="6" t="s">
        <v>6027</v>
      </c>
      <c r="I311" s="7">
        <f>982</f>
        <v>982</v>
      </c>
      <c r="J311" s="5" t="s">
        <v>262</v>
      </c>
      <c r="K311" s="8">
        <f>2175130</f>
        <v>2175130</v>
      </c>
      <c r="L311" s="6" t="s">
        <v>242</v>
      </c>
      <c r="M311" s="5" t="s">
        <v>267</v>
      </c>
      <c r="N311" s="5" t="s">
        <v>237</v>
      </c>
      <c r="O311" s="5" t="s">
        <v>238</v>
      </c>
      <c r="P311" s="5" t="s">
        <v>238</v>
      </c>
      <c r="Q311" s="5" t="s">
        <v>239</v>
      </c>
      <c r="R311" s="5" t="s">
        <v>270</v>
      </c>
      <c r="S311" s="5" t="s">
        <v>238</v>
      </c>
      <c r="V311" s="5" t="s">
        <v>238</v>
      </c>
      <c r="X311" s="6" t="s">
        <v>238</v>
      </c>
      <c r="AA311" s="6" t="s">
        <v>243</v>
      </c>
      <c r="AB311" s="5" t="s">
        <v>238</v>
      </c>
      <c r="AC311" s="5" t="s">
        <v>244</v>
      </c>
      <c r="AD311" s="5" t="s">
        <v>245</v>
      </c>
      <c r="AT311" s="5" t="s">
        <v>246</v>
      </c>
      <c r="AU311" s="5" t="s">
        <v>238</v>
      </c>
      <c r="AV311" s="5" t="s">
        <v>247</v>
      </c>
      <c r="AW311" s="5" t="s">
        <v>238</v>
      </c>
      <c r="AX311" s="5" t="s">
        <v>249</v>
      </c>
      <c r="AY311" s="5" t="s">
        <v>238</v>
      </c>
      <c r="BA311" s="5" t="s">
        <v>238</v>
      </c>
      <c r="BC311" s="5" t="s">
        <v>250</v>
      </c>
      <c r="BD311" s="6" t="s">
        <v>243</v>
      </c>
      <c r="BE311" s="5" t="s">
        <v>251</v>
      </c>
      <c r="BF311" s="5" t="s">
        <v>252</v>
      </c>
      <c r="BG311" s="5" t="s">
        <v>238</v>
      </c>
      <c r="BH311" s="7">
        <f>0</f>
        <v>0</v>
      </c>
      <c r="BI311" s="8">
        <f>0</f>
        <v>0</v>
      </c>
      <c r="BJ311" s="5" t="s">
        <v>253</v>
      </c>
      <c r="BK311" s="5" t="s">
        <v>254</v>
      </c>
      <c r="BY311" s="5" t="s">
        <v>238</v>
      </c>
      <c r="BZ311" s="5" t="s">
        <v>238</v>
      </c>
      <c r="CD311" s="5" t="s">
        <v>255</v>
      </c>
      <c r="CE311" s="5" t="s">
        <v>256</v>
      </c>
      <c r="CF311" s="5" t="s">
        <v>238</v>
      </c>
      <c r="CI311" s="6" t="s">
        <v>257</v>
      </c>
      <c r="CJ311" s="5" t="s">
        <v>238</v>
      </c>
      <c r="CK311" s="5" t="s">
        <v>258</v>
      </c>
      <c r="CL311" s="5" t="s">
        <v>238</v>
      </c>
      <c r="CM311" s="5" t="s">
        <v>238</v>
      </c>
      <c r="CN311" s="5">
        <v>0</v>
      </c>
      <c r="CO311" s="5" t="s">
        <v>259</v>
      </c>
      <c r="CP311" s="5" t="s">
        <v>260</v>
      </c>
      <c r="CQ311" s="5" t="s">
        <v>260</v>
      </c>
      <c r="CR311" s="5" t="s">
        <v>261</v>
      </c>
      <c r="CU311" s="8">
        <f>2175130</f>
        <v>2175130</v>
      </c>
      <c r="CV311" s="8">
        <f>0</f>
        <v>0</v>
      </c>
      <c r="CX311" s="8">
        <f>0</f>
        <v>0</v>
      </c>
      <c r="CY311" s="8">
        <f>2175130</f>
        <v>2175130</v>
      </c>
      <c r="DA311" s="5" t="s">
        <v>2032</v>
      </c>
      <c r="DB311" s="5" t="s">
        <v>238</v>
      </c>
      <c r="DD311" s="5" t="s">
        <v>356</v>
      </c>
      <c r="DE311" s="8">
        <f>0</f>
        <v>0</v>
      </c>
      <c r="DG311" s="5" t="s">
        <v>389</v>
      </c>
      <c r="DH311" s="5" t="s">
        <v>238</v>
      </c>
      <c r="DI311" s="5" t="s">
        <v>238</v>
      </c>
      <c r="DJ311" s="5" t="s">
        <v>238</v>
      </c>
      <c r="DN311" s="5" t="s">
        <v>238</v>
      </c>
      <c r="DO311" s="5" t="s">
        <v>238</v>
      </c>
      <c r="DP311" s="5" t="s">
        <v>238</v>
      </c>
      <c r="DQ311" s="5" t="s">
        <v>238</v>
      </c>
      <c r="DT311" s="5" t="s">
        <v>6024</v>
      </c>
      <c r="DU311" s="5" t="s">
        <v>806</v>
      </c>
      <c r="HM311" s="5" t="s">
        <v>264</v>
      </c>
    </row>
    <row r="312" spans="1:221" x14ac:dyDescent="0.4">
      <c r="A312" s="5">
        <v>1046</v>
      </c>
      <c r="B312" s="5">
        <v>1</v>
      </c>
      <c r="C312" s="5">
        <v>1</v>
      </c>
      <c r="D312" s="5" t="s">
        <v>6022</v>
      </c>
      <c r="E312" s="5" t="s">
        <v>4391</v>
      </c>
      <c r="F312" s="5" t="s">
        <v>248</v>
      </c>
      <c r="G312" s="5" t="s">
        <v>6021</v>
      </c>
      <c r="H312" s="6" t="s">
        <v>6028</v>
      </c>
      <c r="I312" s="7">
        <f>700</f>
        <v>700</v>
      </c>
      <c r="J312" s="5" t="s">
        <v>262</v>
      </c>
      <c r="K312" s="8">
        <f>1550500</f>
        <v>1550500</v>
      </c>
      <c r="L312" s="6" t="s">
        <v>242</v>
      </c>
      <c r="M312" s="5" t="s">
        <v>267</v>
      </c>
      <c r="N312" s="5" t="s">
        <v>237</v>
      </c>
      <c r="O312" s="5" t="s">
        <v>238</v>
      </c>
      <c r="P312" s="5" t="s">
        <v>238</v>
      </c>
      <c r="Q312" s="5" t="s">
        <v>239</v>
      </c>
      <c r="R312" s="5" t="s">
        <v>270</v>
      </c>
      <c r="S312" s="5" t="s">
        <v>238</v>
      </c>
      <c r="V312" s="5" t="s">
        <v>238</v>
      </c>
      <c r="X312" s="6" t="s">
        <v>238</v>
      </c>
      <c r="AA312" s="6" t="s">
        <v>243</v>
      </c>
      <c r="AB312" s="5" t="s">
        <v>238</v>
      </c>
      <c r="AC312" s="5" t="s">
        <v>244</v>
      </c>
      <c r="AD312" s="5" t="s">
        <v>245</v>
      </c>
      <c r="AT312" s="5" t="s">
        <v>246</v>
      </c>
      <c r="AU312" s="5" t="s">
        <v>238</v>
      </c>
      <c r="AV312" s="5" t="s">
        <v>247</v>
      </c>
      <c r="AW312" s="5" t="s">
        <v>238</v>
      </c>
      <c r="AX312" s="5" t="s">
        <v>249</v>
      </c>
      <c r="AY312" s="5" t="s">
        <v>238</v>
      </c>
      <c r="BA312" s="5" t="s">
        <v>238</v>
      </c>
      <c r="BC312" s="5" t="s">
        <v>250</v>
      </c>
      <c r="BD312" s="6" t="s">
        <v>243</v>
      </c>
      <c r="BE312" s="5" t="s">
        <v>251</v>
      </c>
      <c r="BF312" s="5" t="s">
        <v>252</v>
      </c>
      <c r="BG312" s="5" t="s">
        <v>238</v>
      </c>
      <c r="BH312" s="7">
        <f>0</f>
        <v>0</v>
      </c>
      <c r="BI312" s="8">
        <f>0</f>
        <v>0</v>
      </c>
      <c r="BJ312" s="5" t="s">
        <v>253</v>
      </c>
      <c r="BK312" s="5" t="s">
        <v>254</v>
      </c>
      <c r="BY312" s="5" t="s">
        <v>238</v>
      </c>
      <c r="BZ312" s="5" t="s">
        <v>238</v>
      </c>
      <c r="CD312" s="5" t="s">
        <v>255</v>
      </c>
      <c r="CE312" s="5" t="s">
        <v>256</v>
      </c>
      <c r="CF312" s="5" t="s">
        <v>238</v>
      </c>
      <c r="CI312" s="6" t="s">
        <v>257</v>
      </c>
      <c r="CJ312" s="5" t="s">
        <v>238</v>
      </c>
      <c r="CK312" s="5" t="s">
        <v>258</v>
      </c>
      <c r="CL312" s="5" t="s">
        <v>238</v>
      </c>
      <c r="CM312" s="5" t="s">
        <v>238</v>
      </c>
      <c r="CN312" s="5">
        <v>0</v>
      </c>
      <c r="CO312" s="5" t="s">
        <v>259</v>
      </c>
      <c r="CP312" s="5" t="s">
        <v>260</v>
      </c>
      <c r="CQ312" s="5" t="s">
        <v>260</v>
      </c>
      <c r="CR312" s="5" t="s">
        <v>261</v>
      </c>
      <c r="CU312" s="8">
        <f>1550500</f>
        <v>1550500</v>
      </c>
      <c r="CV312" s="8">
        <f>0</f>
        <v>0</v>
      </c>
      <c r="CX312" s="8">
        <f>0</f>
        <v>0</v>
      </c>
      <c r="CY312" s="8">
        <f>1550500</f>
        <v>1550500</v>
      </c>
      <c r="DA312" s="5" t="s">
        <v>2032</v>
      </c>
      <c r="DB312" s="5" t="s">
        <v>238</v>
      </c>
      <c r="DD312" s="5" t="s">
        <v>356</v>
      </c>
      <c r="DE312" s="8">
        <f>0</f>
        <v>0</v>
      </c>
      <c r="DG312" s="5" t="s">
        <v>389</v>
      </c>
      <c r="DH312" s="5" t="s">
        <v>238</v>
      </c>
      <c r="DI312" s="5" t="s">
        <v>238</v>
      </c>
      <c r="DJ312" s="5" t="s">
        <v>238</v>
      </c>
      <c r="DN312" s="5" t="s">
        <v>238</v>
      </c>
      <c r="DO312" s="5" t="s">
        <v>238</v>
      </c>
      <c r="DP312" s="5" t="s">
        <v>238</v>
      </c>
      <c r="DQ312" s="5" t="s">
        <v>238</v>
      </c>
      <c r="DT312" s="5" t="s">
        <v>6024</v>
      </c>
      <c r="DU312" s="5" t="s">
        <v>854</v>
      </c>
      <c r="HM312" s="5" t="s">
        <v>264</v>
      </c>
    </row>
    <row r="313" spans="1:221" x14ac:dyDescent="0.4">
      <c r="A313" s="5">
        <v>1047</v>
      </c>
      <c r="B313" s="5">
        <v>1</v>
      </c>
      <c r="C313" s="5">
        <v>1</v>
      </c>
      <c r="D313" s="5" t="s">
        <v>6022</v>
      </c>
      <c r="E313" s="5" t="s">
        <v>4391</v>
      </c>
      <c r="F313" s="5" t="s">
        <v>248</v>
      </c>
      <c r="G313" s="5" t="s">
        <v>6021</v>
      </c>
      <c r="H313" s="6" t="s">
        <v>6023</v>
      </c>
      <c r="I313" s="7">
        <f>104</f>
        <v>104</v>
      </c>
      <c r="J313" s="5" t="s">
        <v>262</v>
      </c>
      <c r="K313" s="8">
        <f>230360</f>
        <v>230360</v>
      </c>
      <c r="L313" s="6" t="s">
        <v>242</v>
      </c>
      <c r="M313" s="5" t="s">
        <v>267</v>
      </c>
      <c r="N313" s="5" t="s">
        <v>237</v>
      </c>
      <c r="O313" s="5" t="s">
        <v>238</v>
      </c>
      <c r="P313" s="5" t="s">
        <v>238</v>
      </c>
      <c r="Q313" s="5" t="s">
        <v>239</v>
      </c>
      <c r="R313" s="5" t="s">
        <v>270</v>
      </c>
      <c r="S313" s="5" t="s">
        <v>238</v>
      </c>
      <c r="V313" s="5" t="s">
        <v>238</v>
      </c>
      <c r="X313" s="6" t="s">
        <v>238</v>
      </c>
      <c r="AA313" s="6" t="s">
        <v>243</v>
      </c>
      <c r="AB313" s="5" t="s">
        <v>238</v>
      </c>
      <c r="AC313" s="5" t="s">
        <v>244</v>
      </c>
      <c r="AD313" s="5" t="s">
        <v>245</v>
      </c>
      <c r="AT313" s="5" t="s">
        <v>246</v>
      </c>
      <c r="AU313" s="5" t="s">
        <v>238</v>
      </c>
      <c r="AV313" s="5" t="s">
        <v>247</v>
      </c>
      <c r="AW313" s="5" t="s">
        <v>238</v>
      </c>
      <c r="AX313" s="5" t="s">
        <v>249</v>
      </c>
      <c r="AY313" s="5" t="s">
        <v>238</v>
      </c>
      <c r="BA313" s="5" t="s">
        <v>238</v>
      </c>
      <c r="BC313" s="5" t="s">
        <v>250</v>
      </c>
      <c r="BD313" s="6" t="s">
        <v>243</v>
      </c>
      <c r="BE313" s="5" t="s">
        <v>251</v>
      </c>
      <c r="BF313" s="5" t="s">
        <v>252</v>
      </c>
      <c r="BG313" s="5" t="s">
        <v>238</v>
      </c>
      <c r="BH313" s="7">
        <f>0</f>
        <v>0</v>
      </c>
      <c r="BI313" s="8">
        <f>0</f>
        <v>0</v>
      </c>
      <c r="BJ313" s="5" t="s">
        <v>253</v>
      </c>
      <c r="BK313" s="5" t="s">
        <v>254</v>
      </c>
      <c r="BY313" s="5" t="s">
        <v>238</v>
      </c>
      <c r="BZ313" s="5" t="s">
        <v>238</v>
      </c>
      <c r="CD313" s="5" t="s">
        <v>255</v>
      </c>
      <c r="CE313" s="5" t="s">
        <v>256</v>
      </c>
      <c r="CF313" s="5" t="s">
        <v>238</v>
      </c>
      <c r="CI313" s="6" t="s">
        <v>257</v>
      </c>
      <c r="CJ313" s="5" t="s">
        <v>238</v>
      </c>
      <c r="CK313" s="5" t="s">
        <v>258</v>
      </c>
      <c r="CL313" s="5" t="s">
        <v>238</v>
      </c>
      <c r="CM313" s="5" t="s">
        <v>238</v>
      </c>
      <c r="CN313" s="5">
        <v>0</v>
      </c>
      <c r="CO313" s="5" t="s">
        <v>259</v>
      </c>
      <c r="CP313" s="5" t="s">
        <v>260</v>
      </c>
      <c r="CQ313" s="5" t="s">
        <v>260</v>
      </c>
      <c r="CR313" s="5" t="s">
        <v>261</v>
      </c>
      <c r="CU313" s="8">
        <f>230360</f>
        <v>230360</v>
      </c>
      <c r="CV313" s="8">
        <f>0</f>
        <v>0</v>
      </c>
      <c r="CX313" s="8">
        <f>0</f>
        <v>0</v>
      </c>
      <c r="CY313" s="8">
        <f>230360</f>
        <v>230360</v>
      </c>
      <c r="DA313" s="5" t="s">
        <v>2032</v>
      </c>
      <c r="DB313" s="5" t="s">
        <v>238</v>
      </c>
      <c r="DD313" s="5" t="s">
        <v>356</v>
      </c>
      <c r="DE313" s="8">
        <f>0</f>
        <v>0</v>
      </c>
      <c r="DG313" s="5" t="s">
        <v>389</v>
      </c>
      <c r="DH313" s="5" t="s">
        <v>238</v>
      </c>
      <c r="DI313" s="5" t="s">
        <v>238</v>
      </c>
      <c r="DJ313" s="5" t="s">
        <v>238</v>
      </c>
      <c r="DN313" s="5" t="s">
        <v>238</v>
      </c>
      <c r="DO313" s="5" t="s">
        <v>238</v>
      </c>
      <c r="DP313" s="5" t="s">
        <v>238</v>
      </c>
      <c r="DQ313" s="5" t="s">
        <v>238</v>
      </c>
      <c r="DT313" s="5" t="s">
        <v>6024</v>
      </c>
      <c r="DU313" s="5" t="s">
        <v>911</v>
      </c>
      <c r="HM313" s="5" t="s">
        <v>264</v>
      </c>
    </row>
    <row r="314" spans="1:221" x14ac:dyDescent="0.4">
      <c r="A314" s="5">
        <v>1048</v>
      </c>
      <c r="B314" s="5">
        <v>1</v>
      </c>
      <c r="C314" s="5">
        <v>1</v>
      </c>
      <c r="D314" s="5" t="s">
        <v>6022</v>
      </c>
      <c r="E314" s="5" t="s">
        <v>4391</v>
      </c>
      <c r="F314" s="5" t="s">
        <v>248</v>
      </c>
      <c r="G314" s="5" t="s">
        <v>6021</v>
      </c>
      <c r="H314" s="6" t="s">
        <v>6026</v>
      </c>
      <c r="I314" s="7">
        <f>566</f>
        <v>566</v>
      </c>
      <c r="J314" s="5" t="s">
        <v>262</v>
      </c>
      <c r="K314" s="8">
        <f>1253690</f>
        <v>1253690</v>
      </c>
      <c r="L314" s="6" t="s">
        <v>242</v>
      </c>
      <c r="M314" s="5" t="s">
        <v>267</v>
      </c>
      <c r="N314" s="5" t="s">
        <v>237</v>
      </c>
      <c r="O314" s="5" t="s">
        <v>238</v>
      </c>
      <c r="P314" s="5" t="s">
        <v>238</v>
      </c>
      <c r="Q314" s="5" t="s">
        <v>239</v>
      </c>
      <c r="R314" s="5" t="s">
        <v>270</v>
      </c>
      <c r="S314" s="5" t="s">
        <v>238</v>
      </c>
      <c r="V314" s="5" t="s">
        <v>238</v>
      </c>
      <c r="X314" s="6" t="s">
        <v>238</v>
      </c>
      <c r="AA314" s="6" t="s">
        <v>243</v>
      </c>
      <c r="AB314" s="5" t="s">
        <v>238</v>
      </c>
      <c r="AC314" s="5" t="s">
        <v>244</v>
      </c>
      <c r="AD314" s="5" t="s">
        <v>245</v>
      </c>
      <c r="AT314" s="5" t="s">
        <v>246</v>
      </c>
      <c r="AU314" s="5" t="s">
        <v>238</v>
      </c>
      <c r="AV314" s="5" t="s">
        <v>247</v>
      </c>
      <c r="AW314" s="5" t="s">
        <v>238</v>
      </c>
      <c r="AX314" s="5" t="s">
        <v>249</v>
      </c>
      <c r="AY314" s="5" t="s">
        <v>238</v>
      </c>
      <c r="BA314" s="5" t="s">
        <v>238</v>
      </c>
      <c r="BC314" s="5" t="s">
        <v>250</v>
      </c>
      <c r="BD314" s="6" t="s">
        <v>243</v>
      </c>
      <c r="BE314" s="5" t="s">
        <v>251</v>
      </c>
      <c r="BF314" s="5" t="s">
        <v>252</v>
      </c>
      <c r="BG314" s="5" t="s">
        <v>238</v>
      </c>
      <c r="BH314" s="7">
        <f>0</f>
        <v>0</v>
      </c>
      <c r="BI314" s="8">
        <f>0</f>
        <v>0</v>
      </c>
      <c r="BJ314" s="5" t="s">
        <v>253</v>
      </c>
      <c r="BK314" s="5" t="s">
        <v>254</v>
      </c>
      <c r="BY314" s="5" t="s">
        <v>238</v>
      </c>
      <c r="BZ314" s="5" t="s">
        <v>238</v>
      </c>
      <c r="CD314" s="5" t="s">
        <v>255</v>
      </c>
      <c r="CE314" s="5" t="s">
        <v>256</v>
      </c>
      <c r="CF314" s="5" t="s">
        <v>238</v>
      </c>
      <c r="CI314" s="6" t="s">
        <v>257</v>
      </c>
      <c r="CJ314" s="5" t="s">
        <v>238</v>
      </c>
      <c r="CK314" s="5" t="s">
        <v>258</v>
      </c>
      <c r="CL314" s="5" t="s">
        <v>238</v>
      </c>
      <c r="CM314" s="5" t="s">
        <v>238</v>
      </c>
      <c r="CN314" s="5">
        <v>0</v>
      </c>
      <c r="CO314" s="5" t="s">
        <v>259</v>
      </c>
      <c r="CP314" s="5" t="s">
        <v>260</v>
      </c>
      <c r="CQ314" s="5" t="s">
        <v>260</v>
      </c>
      <c r="CR314" s="5" t="s">
        <v>261</v>
      </c>
      <c r="CU314" s="8">
        <f>1253690</f>
        <v>1253690</v>
      </c>
      <c r="CV314" s="8">
        <f>0</f>
        <v>0</v>
      </c>
      <c r="CX314" s="8">
        <f>0</f>
        <v>0</v>
      </c>
      <c r="CY314" s="8">
        <f>1253690</f>
        <v>1253690</v>
      </c>
      <c r="DA314" s="5" t="s">
        <v>2032</v>
      </c>
      <c r="DB314" s="5" t="s">
        <v>238</v>
      </c>
      <c r="DD314" s="5" t="s">
        <v>356</v>
      </c>
      <c r="DE314" s="8">
        <f>0</f>
        <v>0</v>
      </c>
      <c r="DG314" s="5" t="s">
        <v>389</v>
      </c>
      <c r="DH314" s="5" t="s">
        <v>238</v>
      </c>
      <c r="DI314" s="5" t="s">
        <v>238</v>
      </c>
      <c r="DJ314" s="5" t="s">
        <v>238</v>
      </c>
      <c r="DN314" s="5" t="s">
        <v>238</v>
      </c>
      <c r="DO314" s="5" t="s">
        <v>238</v>
      </c>
      <c r="DP314" s="5" t="s">
        <v>238</v>
      </c>
      <c r="DQ314" s="5" t="s">
        <v>238</v>
      </c>
      <c r="DT314" s="5" t="s">
        <v>6024</v>
      </c>
      <c r="DU314" s="5" t="s">
        <v>967</v>
      </c>
      <c r="HM314" s="5" t="s">
        <v>264</v>
      </c>
    </row>
    <row r="315" spans="1:221" x14ac:dyDescent="0.4">
      <c r="A315" s="5">
        <v>1049</v>
      </c>
      <c r="B315" s="5">
        <v>1</v>
      </c>
      <c r="C315" s="5">
        <v>1</v>
      </c>
      <c r="D315" s="5" t="s">
        <v>6018</v>
      </c>
      <c r="E315" s="5" t="s">
        <v>4391</v>
      </c>
      <c r="F315" s="5" t="s">
        <v>248</v>
      </c>
      <c r="G315" s="5" t="s">
        <v>6017</v>
      </c>
      <c r="H315" s="6" t="s">
        <v>6019</v>
      </c>
      <c r="I315" s="7">
        <f>401.5</f>
        <v>401.5</v>
      </c>
      <c r="J315" s="5" t="s">
        <v>262</v>
      </c>
      <c r="K315" s="8">
        <f>889322</f>
        <v>889322</v>
      </c>
      <c r="L315" s="6" t="s">
        <v>242</v>
      </c>
      <c r="M315" s="5" t="s">
        <v>267</v>
      </c>
      <c r="N315" s="5" t="s">
        <v>237</v>
      </c>
      <c r="O315" s="5" t="s">
        <v>238</v>
      </c>
      <c r="P315" s="5" t="s">
        <v>238</v>
      </c>
      <c r="Q315" s="5" t="s">
        <v>239</v>
      </c>
      <c r="R315" s="5" t="s">
        <v>270</v>
      </c>
      <c r="S315" s="5" t="s">
        <v>238</v>
      </c>
      <c r="V315" s="5" t="s">
        <v>238</v>
      </c>
      <c r="X315" s="6" t="s">
        <v>238</v>
      </c>
      <c r="AA315" s="6" t="s">
        <v>243</v>
      </c>
      <c r="AB315" s="5" t="s">
        <v>238</v>
      </c>
      <c r="AC315" s="5" t="s">
        <v>244</v>
      </c>
      <c r="AD315" s="5" t="s">
        <v>245</v>
      </c>
      <c r="AT315" s="5" t="s">
        <v>246</v>
      </c>
      <c r="AU315" s="5" t="s">
        <v>238</v>
      </c>
      <c r="AV315" s="5" t="s">
        <v>247</v>
      </c>
      <c r="AW315" s="5" t="s">
        <v>238</v>
      </c>
      <c r="AX315" s="5" t="s">
        <v>249</v>
      </c>
      <c r="AY315" s="5" t="s">
        <v>238</v>
      </c>
      <c r="BA315" s="5" t="s">
        <v>4547</v>
      </c>
      <c r="BC315" s="5" t="s">
        <v>250</v>
      </c>
      <c r="BD315" s="6" t="s">
        <v>243</v>
      </c>
      <c r="BE315" s="5" t="s">
        <v>251</v>
      </c>
      <c r="BF315" s="5" t="s">
        <v>252</v>
      </c>
      <c r="BG315" s="5" t="s">
        <v>238</v>
      </c>
      <c r="BH315" s="7">
        <f>0</f>
        <v>0</v>
      </c>
      <c r="BI315" s="8">
        <f>0</f>
        <v>0</v>
      </c>
      <c r="BJ315" s="5" t="s">
        <v>253</v>
      </c>
      <c r="BK315" s="5" t="s">
        <v>254</v>
      </c>
      <c r="BY315" s="5" t="s">
        <v>238</v>
      </c>
      <c r="BZ315" s="5" t="s">
        <v>238</v>
      </c>
      <c r="CD315" s="5" t="s">
        <v>255</v>
      </c>
      <c r="CE315" s="5" t="s">
        <v>256</v>
      </c>
      <c r="CF315" s="5" t="s">
        <v>238</v>
      </c>
      <c r="CI315" s="6" t="s">
        <v>257</v>
      </c>
      <c r="CJ315" s="5" t="s">
        <v>238</v>
      </c>
      <c r="CK315" s="5" t="s">
        <v>258</v>
      </c>
      <c r="CL315" s="5" t="s">
        <v>238</v>
      </c>
      <c r="CM315" s="5" t="s">
        <v>238</v>
      </c>
      <c r="CN315" s="5">
        <v>0</v>
      </c>
      <c r="CO315" s="5" t="s">
        <v>259</v>
      </c>
      <c r="CP315" s="5" t="s">
        <v>260</v>
      </c>
      <c r="CQ315" s="5" t="s">
        <v>260</v>
      </c>
      <c r="CR315" s="5" t="s">
        <v>261</v>
      </c>
      <c r="CU315" s="8">
        <f>889322</f>
        <v>889322</v>
      </c>
      <c r="CV315" s="8">
        <f>0</f>
        <v>0</v>
      </c>
      <c r="CX315" s="8">
        <f>0</f>
        <v>0</v>
      </c>
      <c r="CY315" s="8">
        <f>889322</f>
        <v>889322</v>
      </c>
      <c r="DA315" s="5" t="s">
        <v>389</v>
      </c>
      <c r="DB315" s="5" t="s">
        <v>238</v>
      </c>
      <c r="DD315" s="5" t="s">
        <v>356</v>
      </c>
      <c r="DE315" s="8">
        <f>0</f>
        <v>0</v>
      </c>
      <c r="DG315" s="5" t="s">
        <v>389</v>
      </c>
      <c r="DH315" s="5" t="s">
        <v>238</v>
      </c>
      <c r="DI315" s="5" t="s">
        <v>238</v>
      </c>
      <c r="DJ315" s="5" t="s">
        <v>238</v>
      </c>
      <c r="DN315" s="5" t="s">
        <v>238</v>
      </c>
      <c r="DO315" s="5" t="s">
        <v>238</v>
      </c>
      <c r="DP315" s="5" t="s">
        <v>238</v>
      </c>
      <c r="DQ315" s="5" t="s">
        <v>238</v>
      </c>
      <c r="DT315" s="5" t="s">
        <v>6020</v>
      </c>
      <c r="DU315" s="5" t="s">
        <v>264</v>
      </c>
      <c r="HM315" s="5" t="s">
        <v>264</v>
      </c>
    </row>
    <row r="316" spans="1:221" x14ac:dyDescent="0.4">
      <c r="A316" s="5">
        <v>1050</v>
      </c>
      <c r="B316" s="5">
        <v>1</v>
      </c>
      <c r="C316" s="5">
        <v>1</v>
      </c>
      <c r="D316" s="5" t="s">
        <v>6084</v>
      </c>
      <c r="E316" s="5" t="s">
        <v>4391</v>
      </c>
      <c r="F316" s="5" t="s">
        <v>248</v>
      </c>
      <c r="G316" s="5" t="s">
        <v>4465</v>
      </c>
      <c r="H316" s="6" t="s">
        <v>6359</v>
      </c>
      <c r="I316" s="7">
        <f>11453</f>
        <v>11453</v>
      </c>
      <c r="J316" s="5" t="s">
        <v>262</v>
      </c>
      <c r="K316" s="8">
        <f>25368395</f>
        <v>25368395</v>
      </c>
      <c r="L316" s="6" t="s">
        <v>242</v>
      </c>
      <c r="M316" s="5" t="s">
        <v>267</v>
      </c>
      <c r="N316" s="5" t="s">
        <v>237</v>
      </c>
      <c r="O316" s="5" t="s">
        <v>238</v>
      </c>
      <c r="P316" s="5" t="s">
        <v>238</v>
      </c>
      <c r="Q316" s="5" t="s">
        <v>239</v>
      </c>
      <c r="R316" s="5" t="s">
        <v>270</v>
      </c>
      <c r="S316" s="5" t="s">
        <v>238</v>
      </c>
      <c r="V316" s="5" t="s">
        <v>238</v>
      </c>
      <c r="X316" s="6" t="s">
        <v>238</v>
      </c>
      <c r="AA316" s="6" t="s">
        <v>243</v>
      </c>
      <c r="AB316" s="5" t="s">
        <v>238</v>
      </c>
      <c r="AC316" s="5" t="s">
        <v>244</v>
      </c>
      <c r="AD316" s="5" t="s">
        <v>245</v>
      </c>
      <c r="AT316" s="5" t="s">
        <v>246</v>
      </c>
      <c r="AU316" s="5" t="s">
        <v>238</v>
      </c>
      <c r="AV316" s="5" t="s">
        <v>247</v>
      </c>
      <c r="AW316" s="5" t="s">
        <v>238</v>
      </c>
      <c r="AX316" s="5" t="s">
        <v>249</v>
      </c>
      <c r="AY316" s="5" t="s">
        <v>238</v>
      </c>
      <c r="BA316" s="5" t="s">
        <v>238</v>
      </c>
      <c r="BC316" s="5" t="s">
        <v>250</v>
      </c>
      <c r="BD316" s="6" t="s">
        <v>243</v>
      </c>
      <c r="BE316" s="5" t="s">
        <v>251</v>
      </c>
      <c r="BF316" s="5" t="s">
        <v>2153</v>
      </c>
      <c r="BG316" s="5" t="s">
        <v>238</v>
      </c>
      <c r="BH316" s="7">
        <f>0</f>
        <v>0</v>
      </c>
      <c r="BI316" s="8">
        <f>0</f>
        <v>0</v>
      </c>
      <c r="BJ316" s="5" t="s">
        <v>253</v>
      </c>
      <c r="BK316" s="5" t="s">
        <v>254</v>
      </c>
      <c r="BY316" s="5" t="s">
        <v>238</v>
      </c>
      <c r="BZ316" s="5" t="s">
        <v>238</v>
      </c>
      <c r="CD316" s="5" t="s">
        <v>255</v>
      </c>
      <c r="CE316" s="5" t="s">
        <v>256</v>
      </c>
      <c r="CF316" s="5" t="s">
        <v>238</v>
      </c>
      <c r="CI316" s="6" t="s">
        <v>257</v>
      </c>
      <c r="CJ316" s="5" t="s">
        <v>238</v>
      </c>
      <c r="CK316" s="5" t="s">
        <v>258</v>
      </c>
      <c r="CL316" s="5" t="s">
        <v>238</v>
      </c>
      <c r="CM316" s="5" t="s">
        <v>238</v>
      </c>
      <c r="CN316" s="5">
        <v>0</v>
      </c>
      <c r="CO316" s="5" t="s">
        <v>259</v>
      </c>
      <c r="CP316" s="5" t="s">
        <v>260</v>
      </c>
      <c r="CQ316" s="5" t="s">
        <v>260</v>
      </c>
      <c r="CR316" s="5" t="s">
        <v>261</v>
      </c>
      <c r="CU316" s="8">
        <f>25368395</f>
        <v>25368395</v>
      </c>
      <c r="CV316" s="8">
        <f>0</f>
        <v>0</v>
      </c>
      <c r="CX316" s="8">
        <f>0</f>
        <v>0</v>
      </c>
      <c r="CY316" s="8">
        <f>25368395</f>
        <v>25368395</v>
      </c>
      <c r="DA316" s="5" t="s">
        <v>2032</v>
      </c>
      <c r="DB316" s="5" t="s">
        <v>238</v>
      </c>
      <c r="DD316" s="5" t="s">
        <v>356</v>
      </c>
      <c r="DE316" s="8">
        <f>0</f>
        <v>0</v>
      </c>
      <c r="DG316" s="5" t="s">
        <v>389</v>
      </c>
      <c r="DH316" s="5" t="s">
        <v>238</v>
      </c>
      <c r="DI316" s="5" t="s">
        <v>238</v>
      </c>
      <c r="DJ316" s="5" t="s">
        <v>238</v>
      </c>
      <c r="DN316" s="5" t="s">
        <v>238</v>
      </c>
      <c r="DO316" s="5" t="s">
        <v>238</v>
      </c>
      <c r="DP316" s="5" t="s">
        <v>238</v>
      </c>
      <c r="DQ316" s="5" t="s">
        <v>238</v>
      </c>
      <c r="DT316" s="5" t="s">
        <v>6086</v>
      </c>
      <c r="DU316" s="5" t="s">
        <v>264</v>
      </c>
      <c r="HM316" s="5" t="s">
        <v>806</v>
      </c>
    </row>
    <row r="317" spans="1:221" x14ac:dyDescent="0.4">
      <c r="A317" s="5">
        <v>1051</v>
      </c>
      <c r="B317" s="5">
        <v>1</v>
      </c>
      <c r="C317" s="5">
        <v>1</v>
      </c>
      <c r="D317" s="5" t="s">
        <v>6084</v>
      </c>
      <c r="E317" s="5" t="s">
        <v>4391</v>
      </c>
      <c r="F317" s="5" t="s">
        <v>248</v>
      </c>
      <c r="G317" s="5" t="s">
        <v>4465</v>
      </c>
      <c r="H317" s="6" t="s">
        <v>6090</v>
      </c>
      <c r="I317" s="7">
        <f>108</f>
        <v>108</v>
      </c>
      <c r="J317" s="5" t="s">
        <v>262</v>
      </c>
      <c r="K317" s="8">
        <f>52920</f>
        <v>52920</v>
      </c>
      <c r="L317" s="6" t="s">
        <v>242</v>
      </c>
      <c r="M317" s="5" t="s">
        <v>267</v>
      </c>
      <c r="N317" s="5" t="s">
        <v>237</v>
      </c>
      <c r="O317" s="5" t="s">
        <v>238</v>
      </c>
      <c r="P317" s="5" t="s">
        <v>238</v>
      </c>
      <c r="Q317" s="5" t="s">
        <v>268</v>
      </c>
      <c r="R317" s="5" t="s">
        <v>270</v>
      </c>
      <c r="S317" s="5" t="s">
        <v>238</v>
      </c>
      <c r="V317" s="5" t="s">
        <v>238</v>
      </c>
      <c r="X317" s="6" t="s">
        <v>238</v>
      </c>
      <c r="AA317" s="6" t="s">
        <v>243</v>
      </c>
      <c r="AB317" s="5" t="s">
        <v>238</v>
      </c>
      <c r="AC317" s="5" t="s">
        <v>244</v>
      </c>
      <c r="AD317" s="5" t="s">
        <v>245</v>
      </c>
      <c r="AT317" s="5" t="s">
        <v>246</v>
      </c>
      <c r="AU317" s="5" t="s">
        <v>238</v>
      </c>
      <c r="AV317" s="5" t="s">
        <v>247</v>
      </c>
      <c r="AW317" s="5" t="s">
        <v>238</v>
      </c>
      <c r="AX317" s="5" t="s">
        <v>249</v>
      </c>
      <c r="AY317" s="5" t="s">
        <v>238</v>
      </c>
      <c r="BA317" s="5" t="s">
        <v>238</v>
      </c>
      <c r="BC317" s="5" t="s">
        <v>250</v>
      </c>
      <c r="BD317" s="6" t="s">
        <v>243</v>
      </c>
      <c r="BE317" s="5" t="s">
        <v>251</v>
      </c>
      <c r="BF317" s="5" t="s">
        <v>2153</v>
      </c>
      <c r="BG317" s="5" t="s">
        <v>238</v>
      </c>
      <c r="BH317" s="7">
        <f>0</f>
        <v>0</v>
      </c>
      <c r="BI317" s="8">
        <f>0</f>
        <v>0</v>
      </c>
      <c r="BJ317" s="5" t="s">
        <v>253</v>
      </c>
      <c r="BK317" s="5" t="s">
        <v>254</v>
      </c>
      <c r="BY317" s="5" t="s">
        <v>238</v>
      </c>
      <c r="BZ317" s="5" t="s">
        <v>238</v>
      </c>
      <c r="CD317" s="5" t="s">
        <v>255</v>
      </c>
      <c r="CE317" s="5" t="s">
        <v>256</v>
      </c>
      <c r="CF317" s="5" t="s">
        <v>238</v>
      </c>
      <c r="CI317" s="6" t="s">
        <v>257</v>
      </c>
      <c r="CJ317" s="5" t="s">
        <v>238</v>
      </c>
      <c r="CK317" s="5" t="s">
        <v>258</v>
      </c>
      <c r="CL317" s="5" t="s">
        <v>238</v>
      </c>
      <c r="CM317" s="5" t="s">
        <v>238</v>
      </c>
      <c r="CN317" s="5">
        <v>0</v>
      </c>
      <c r="CO317" s="5" t="s">
        <v>259</v>
      </c>
      <c r="CP317" s="5" t="s">
        <v>260</v>
      </c>
      <c r="CQ317" s="5" t="s">
        <v>260</v>
      </c>
      <c r="CR317" s="5" t="s">
        <v>261</v>
      </c>
      <c r="CU317" s="8">
        <f>52920</f>
        <v>52920</v>
      </c>
      <c r="CV317" s="8">
        <f>0</f>
        <v>0</v>
      </c>
      <c r="CX317" s="8">
        <f>0</f>
        <v>0</v>
      </c>
      <c r="CY317" s="8">
        <f>52920</f>
        <v>52920</v>
      </c>
      <c r="DA317" s="5" t="s">
        <v>673</v>
      </c>
      <c r="DB317" s="5" t="s">
        <v>238</v>
      </c>
      <c r="DD317" s="5" t="s">
        <v>356</v>
      </c>
      <c r="DE317" s="8">
        <f>0</f>
        <v>0</v>
      </c>
      <c r="DG317" s="5" t="s">
        <v>356</v>
      </c>
      <c r="DH317" s="5" t="s">
        <v>238</v>
      </c>
      <c r="DI317" s="5" t="s">
        <v>238</v>
      </c>
      <c r="DJ317" s="5" t="s">
        <v>238</v>
      </c>
      <c r="DN317" s="5" t="s">
        <v>238</v>
      </c>
      <c r="DO317" s="5" t="s">
        <v>238</v>
      </c>
      <c r="DP317" s="5" t="s">
        <v>238</v>
      </c>
      <c r="DQ317" s="5" t="s">
        <v>238</v>
      </c>
      <c r="DT317" s="5" t="s">
        <v>6086</v>
      </c>
      <c r="DU317" s="5" t="s">
        <v>294</v>
      </c>
      <c r="HM317" s="5" t="s">
        <v>806</v>
      </c>
    </row>
    <row r="318" spans="1:221" x14ac:dyDescent="0.4">
      <c r="A318" s="5">
        <v>1052</v>
      </c>
      <c r="B318" s="5">
        <v>1</v>
      </c>
      <c r="C318" s="5">
        <v>1</v>
      </c>
      <c r="D318" s="5" t="s">
        <v>6084</v>
      </c>
      <c r="E318" s="5" t="s">
        <v>4391</v>
      </c>
      <c r="F318" s="5" t="s">
        <v>248</v>
      </c>
      <c r="G318" s="5" t="s">
        <v>4465</v>
      </c>
      <c r="H318" s="6" t="s">
        <v>6089</v>
      </c>
      <c r="I318" s="7">
        <f>115</f>
        <v>115</v>
      </c>
      <c r="J318" s="5" t="s">
        <v>262</v>
      </c>
      <c r="K318" s="8">
        <f>56350</f>
        <v>56350</v>
      </c>
      <c r="L318" s="6" t="s">
        <v>242</v>
      </c>
      <c r="M318" s="5" t="s">
        <v>267</v>
      </c>
      <c r="N318" s="5" t="s">
        <v>237</v>
      </c>
      <c r="O318" s="5" t="s">
        <v>238</v>
      </c>
      <c r="P318" s="5" t="s">
        <v>238</v>
      </c>
      <c r="Q318" s="5" t="s">
        <v>268</v>
      </c>
      <c r="R318" s="5" t="s">
        <v>270</v>
      </c>
      <c r="S318" s="5" t="s">
        <v>238</v>
      </c>
      <c r="V318" s="5" t="s">
        <v>238</v>
      </c>
      <c r="X318" s="6" t="s">
        <v>238</v>
      </c>
      <c r="AA318" s="6" t="s">
        <v>243</v>
      </c>
      <c r="AB318" s="5" t="s">
        <v>238</v>
      </c>
      <c r="AC318" s="5" t="s">
        <v>244</v>
      </c>
      <c r="AD318" s="5" t="s">
        <v>245</v>
      </c>
      <c r="AT318" s="5" t="s">
        <v>246</v>
      </c>
      <c r="AU318" s="5" t="s">
        <v>238</v>
      </c>
      <c r="AV318" s="5" t="s">
        <v>247</v>
      </c>
      <c r="AW318" s="5" t="s">
        <v>238</v>
      </c>
      <c r="AX318" s="5" t="s">
        <v>249</v>
      </c>
      <c r="AY318" s="5" t="s">
        <v>238</v>
      </c>
      <c r="BA318" s="5" t="s">
        <v>238</v>
      </c>
      <c r="BC318" s="5" t="s">
        <v>250</v>
      </c>
      <c r="BD318" s="6" t="s">
        <v>243</v>
      </c>
      <c r="BE318" s="5" t="s">
        <v>251</v>
      </c>
      <c r="BF318" s="5" t="s">
        <v>2153</v>
      </c>
      <c r="BG318" s="5" t="s">
        <v>238</v>
      </c>
      <c r="BH318" s="7">
        <f>0</f>
        <v>0</v>
      </c>
      <c r="BI318" s="8">
        <f>0</f>
        <v>0</v>
      </c>
      <c r="BJ318" s="5" t="s">
        <v>253</v>
      </c>
      <c r="BK318" s="5" t="s">
        <v>254</v>
      </c>
      <c r="BY318" s="5" t="s">
        <v>238</v>
      </c>
      <c r="BZ318" s="5" t="s">
        <v>238</v>
      </c>
      <c r="CD318" s="5" t="s">
        <v>255</v>
      </c>
      <c r="CE318" s="5" t="s">
        <v>256</v>
      </c>
      <c r="CF318" s="5" t="s">
        <v>238</v>
      </c>
      <c r="CI318" s="6" t="s">
        <v>257</v>
      </c>
      <c r="CJ318" s="5" t="s">
        <v>238</v>
      </c>
      <c r="CK318" s="5" t="s">
        <v>258</v>
      </c>
      <c r="CL318" s="5" t="s">
        <v>238</v>
      </c>
      <c r="CM318" s="5" t="s">
        <v>238</v>
      </c>
      <c r="CN318" s="5">
        <v>0</v>
      </c>
      <c r="CO318" s="5" t="s">
        <v>259</v>
      </c>
      <c r="CP318" s="5" t="s">
        <v>260</v>
      </c>
      <c r="CQ318" s="5" t="s">
        <v>260</v>
      </c>
      <c r="CR318" s="5" t="s">
        <v>261</v>
      </c>
      <c r="CU318" s="8">
        <f>56350</f>
        <v>56350</v>
      </c>
      <c r="CV318" s="8">
        <f>0</f>
        <v>0</v>
      </c>
      <c r="CX318" s="8">
        <f>0</f>
        <v>0</v>
      </c>
      <c r="CY318" s="8">
        <f>56350</f>
        <v>56350</v>
      </c>
      <c r="DA318" s="5" t="s">
        <v>673</v>
      </c>
      <c r="DB318" s="5" t="s">
        <v>238</v>
      </c>
      <c r="DD318" s="5" t="s">
        <v>356</v>
      </c>
      <c r="DE318" s="8">
        <f>0</f>
        <v>0</v>
      </c>
      <c r="DG318" s="5" t="s">
        <v>356</v>
      </c>
      <c r="DH318" s="5" t="s">
        <v>238</v>
      </c>
      <c r="DI318" s="5" t="s">
        <v>238</v>
      </c>
      <c r="DJ318" s="5" t="s">
        <v>238</v>
      </c>
      <c r="DN318" s="5" t="s">
        <v>238</v>
      </c>
      <c r="DO318" s="5" t="s">
        <v>238</v>
      </c>
      <c r="DP318" s="5" t="s">
        <v>238</v>
      </c>
      <c r="DQ318" s="5" t="s">
        <v>238</v>
      </c>
      <c r="DT318" s="5" t="s">
        <v>6086</v>
      </c>
      <c r="DU318" s="5" t="s">
        <v>806</v>
      </c>
      <c r="HM318" s="5" t="s">
        <v>806</v>
      </c>
    </row>
    <row r="319" spans="1:221" x14ac:dyDescent="0.4">
      <c r="A319" s="5">
        <v>1053</v>
      </c>
      <c r="B319" s="5">
        <v>1</v>
      </c>
      <c r="C319" s="5">
        <v>1</v>
      </c>
      <c r="D319" s="5" t="s">
        <v>6084</v>
      </c>
      <c r="E319" s="5" t="s">
        <v>4391</v>
      </c>
      <c r="F319" s="5" t="s">
        <v>248</v>
      </c>
      <c r="G319" s="5" t="s">
        <v>4465</v>
      </c>
      <c r="H319" s="6" t="s">
        <v>6087</v>
      </c>
      <c r="I319" s="7">
        <f>275</f>
        <v>275</v>
      </c>
      <c r="J319" s="5" t="s">
        <v>262</v>
      </c>
      <c r="K319" s="8">
        <f>134750</f>
        <v>134750</v>
      </c>
      <c r="L319" s="6" t="s">
        <v>242</v>
      </c>
      <c r="M319" s="5" t="s">
        <v>267</v>
      </c>
      <c r="N319" s="5" t="s">
        <v>237</v>
      </c>
      <c r="O319" s="5" t="s">
        <v>238</v>
      </c>
      <c r="P319" s="5" t="s">
        <v>238</v>
      </c>
      <c r="Q319" s="5" t="s">
        <v>268</v>
      </c>
      <c r="R319" s="5" t="s">
        <v>270</v>
      </c>
      <c r="S319" s="5" t="s">
        <v>238</v>
      </c>
      <c r="V319" s="5" t="s">
        <v>238</v>
      </c>
      <c r="X319" s="6" t="s">
        <v>238</v>
      </c>
      <c r="AA319" s="6" t="s">
        <v>243</v>
      </c>
      <c r="AB319" s="5" t="s">
        <v>238</v>
      </c>
      <c r="AC319" s="5" t="s">
        <v>244</v>
      </c>
      <c r="AD319" s="5" t="s">
        <v>245</v>
      </c>
      <c r="AT319" s="5" t="s">
        <v>246</v>
      </c>
      <c r="AU319" s="5" t="s">
        <v>238</v>
      </c>
      <c r="AV319" s="5" t="s">
        <v>247</v>
      </c>
      <c r="AW319" s="5" t="s">
        <v>238</v>
      </c>
      <c r="AX319" s="5" t="s">
        <v>249</v>
      </c>
      <c r="AY319" s="5" t="s">
        <v>238</v>
      </c>
      <c r="BA319" s="5" t="s">
        <v>238</v>
      </c>
      <c r="BC319" s="5" t="s">
        <v>250</v>
      </c>
      <c r="BD319" s="6" t="s">
        <v>243</v>
      </c>
      <c r="BE319" s="5" t="s">
        <v>251</v>
      </c>
      <c r="BF319" s="5" t="s">
        <v>2153</v>
      </c>
      <c r="BG319" s="5" t="s">
        <v>238</v>
      </c>
      <c r="BH319" s="7">
        <f>0</f>
        <v>0</v>
      </c>
      <c r="BI319" s="8">
        <f>0</f>
        <v>0</v>
      </c>
      <c r="BJ319" s="5" t="s">
        <v>253</v>
      </c>
      <c r="BK319" s="5" t="s">
        <v>254</v>
      </c>
      <c r="BY319" s="5" t="s">
        <v>238</v>
      </c>
      <c r="BZ319" s="5" t="s">
        <v>238</v>
      </c>
      <c r="CD319" s="5" t="s">
        <v>255</v>
      </c>
      <c r="CE319" s="5" t="s">
        <v>256</v>
      </c>
      <c r="CF319" s="5" t="s">
        <v>238</v>
      </c>
      <c r="CI319" s="6" t="s">
        <v>257</v>
      </c>
      <c r="CJ319" s="5" t="s">
        <v>238</v>
      </c>
      <c r="CK319" s="5" t="s">
        <v>258</v>
      </c>
      <c r="CL319" s="5" t="s">
        <v>238</v>
      </c>
      <c r="CM319" s="5" t="s">
        <v>238</v>
      </c>
      <c r="CN319" s="5">
        <v>0</v>
      </c>
      <c r="CO319" s="5" t="s">
        <v>259</v>
      </c>
      <c r="CP319" s="5" t="s">
        <v>260</v>
      </c>
      <c r="CQ319" s="5" t="s">
        <v>260</v>
      </c>
      <c r="CR319" s="5" t="s">
        <v>261</v>
      </c>
      <c r="CU319" s="8">
        <f>134750</f>
        <v>134750</v>
      </c>
      <c r="CV319" s="8">
        <f>0</f>
        <v>0</v>
      </c>
      <c r="CX319" s="8">
        <f>0</f>
        <v>0</v>
      </c>
      <c r="CY319" s="8">
        <f>134750</f>
        <v>134750</v>
      </c>
      <c r="DA319" s="5" t="s">
        <v>673</v>
      </c>
      <c r="DB319" s="5" t="s">
        <v>238</v>
      </c>
      <c r="DD319" s="5" t="s">
        <v>356</v>
      </c>
      <c r="DE319" s="8">
        <f>0</f>
        <v>0</v>
      </c>
      <c r="DG319" s="5" t="s">
        <v>356</v>
      </c>
      <c r="DH319" s="5" t="s">
        <v>238</v>
      </c>
      <c r="DI319" s="5" t="s">
        <v>238</v>
      </c>
      <c r="DJ319" s="5" t="s">
        <v>238</v>
      </c>
      <c r="DN319" s="5" t="s">
        <v>238</v>
      </c>
      <c r="DO319" s="5" t="s">
        <v>238</v>
      </c>
      <c r="DP319" s="5" t="s">
        <v>238</v>
      </c>
      <c r="DQ319" s="5" t="s">
        <v>238</v>
      </c>
      <c r="DT319" s="5" t="s">
        <v>6086</v>
      </c>
      <c r="DU319" s="5" t="s">
        <v>854</v>
      </c>
      <c r="HM319" s="5" t="s">
        <v>806</v>
      </c>
    </row>
    <row r="320" spans="1:221" x14ac:dyDescent="0.4">
      <c r="A320" s="5">
        <v>1054</v>
      </c>
      <c r="B320" s="5">
        <v>1</v>
      </c>
      <c r="C320" s="5">
        <v>1</v>
      </c>
      <c r="D320" s="5" t="s">
        <v>6084</v>
      </c>
      <c r="E320" s="5" t="s">
        <v>4391</v>
      </c>
      <c r="F320" s="5" t="s">
        <v>248</v>
      </c>
      <c r="G320" s="5" t="s">
        <v>4465</v>
      </c>
      <c r="H320" s="6" t="s">
        <v>6085</v>
      </c>
      <c r="I320" s="7">
        <f>5531</f>
        <v>5531</v>
      </c>
      <c r="J320" s="5" t="s">
        <v>262</v>
      </c>
      <c r="K320" s="8">
        <f>12251165</f>
        <v>12251165</v>
      </c>
      <c r="L320" s="6" t="s">
        <v>242</v>
      </c>
      <c r="M320" s="5" t="s">
        <v>267</v>
      </c>
      <c r="N320" s="5" t="s">
        <v>237</v>
      </c>
      <c r="O320" s="5" t="s">
        <v>238</v>
      </c>
      <c r="P320" s="5" t="s">
        <v>238</v>
      </c>
      <c r="Q320" s="5" t="s">
        <v>239</v>
      </c>
      <c r="R320" s="5" t="s">
        <v>270</v>
      </c>
      <c r="S320" s="5" t="s">
        <v>238</v>
      </c>
      <c r="V320" s="5" t="s">
        <v>238</v>
      </c>
      <c r="X320" s="6" t="s">
        <v>238</v>
      </c>
      <c r="AA320" s="6" t="s">
        <v>243</v>
      </c>
      <c r="AB320" s="5" t="s">
        <v>238</v>
      </c>
      <c r="AC320" s="5" t="s">
        <v>244</v>
      </c>
      <c r="AD320" s="5" t="s">
        <v>245</v>
      </c>
      <c r="AT320" s="5" t="s">
        <v>246</v>
      </c>
      <c r="AU320" s="5" t="s">
        <v>238</v>
      </c>
      <c r="AV320" s="5" t="s">
        <v>247</v>
      </c>
      <c r="AW320" s="5" t="s">
        <v>238</v>
      </c>
      <c r="AX320" s="5" t="s">
        <v>249</v>
      </c>
      <c r="AY320" s="5" t="s">
        <v>238</v>
      </c>
      <c r="BA320" s="5" t="s">
        <v>238</v>
      </c>
      <c r="BC320" s="5" t="s">
        <v>250</v>
      </c>
      <c r="BD320" s="6" t="s">
        <v>243</v>
      </c>
      <c r="BE320" s="5" t="s">
        <v>251</v>
      </c>
      <c r="BF320" s="5" t="s">
        <v>2153</v>
      </c>
      <c r="BG320" s="5" t="s">
        <v>238</v>
      </c>
      <c r="BH320" s="7">
        <f>0</f>
        <v>0</v>
      </c>
      <c r="BI320" s="8">
        <f>0</f>
        <v>0</v>
      </c>
      <c r="BJ320" s="5" t="s">
        <v>253</v>
      </c>
      <c r="BK320" s="5" t="s">
        <v>254</v>
      </c>
      <c r="BY320" s="5" t="s">
        <v>238</v>
      </c>
      <c r="BZ320" s="5" t="s">
        <v>238</v>
      </c>
      <c r="CD320" s="5" t="s">
        <v>255</v>
      </c>
      <c r="CE320" s="5" t="s">
        <v>256</v>
      </c>
      <c r="CF320" s="5" t="s">
        <v>238</v>
      </c>
      <c r="CI320" s="6" t="s">
        <v>257</v>
      </c>
      <c r="CJ320" s="5" t="s">
        <v>238</v>
      </c>
      <c r="CK320" s="5" t="s">
        <v>258</v>
      </c>
      <c r="CL320" s="5" t="s">
        <v>238</v>
      </c>
      <c r="CM320" s="5" t="s">
        <v>238</v>
      </c>
      <c r="CN320" s="5">
        <v>0</v>
      </c>
      <c r="CO320" s="5" t="s">
        <v>259</v>
      </c>
      <c r="CP320" s="5" t="s">
        <v>260</v>
      </c>
      <c r="CQ320" s="5" t="s">
        <v>260</v>
      </c>
      <c r="CR320" s="5" t="s">
        <v>261</v>
      </c>
      <c r="CU320" s="8">
        <f>12251165</f>
        <v>12251165</v>
      </c>
      <c r="CV320" s="8">
        <f>0</f>
        <v>0</v>
      </c>
      <c r="CX320" s="8">
        <f>0</f>
        <v>0</v>
      </c>
      <c r="CY320" s="8">
        <f>12251165</f>
        <v>12251165</v>
      </c>
      <c r="DA320" s="5" t="s">
        <v>2032</v>
      </c>
      <c r="DB320" s="5" t="s">
        <v>238</v>
      </c>
      <c r="DD320" s="5" t="s">
        <v>356</v>
      </c>
      <c r="DE320" s="8">
        <f>0</f>
        <v>0</v>
      </c>
      <c r="DG320" s="5" t="s">
        <v>389</v>
      </c>
      <c r="DH320" s="5" t="s">
        <v>238</v>
      </c>
      <c r="DI320" s="5" t="s">
        <v>238</v>
      </c>
      <c r="DJ320" s="5" t="s">
        <v>238</v>
      </c>
      <c r="DN320" s="5" t="s">
        <v>238</v>
      </c>
      <c r="DO320" s="5" t="s">
        <v>238</v>
      </c>
      <c r="DP320" s="5" t="s">
        <v>238</v>
      </c>
      <c r="DQ320" s="5" t="s">
        <v>238</v>
      </c>
      <c r="DT320" s="5" t="s">
        <v>6086</v>
      </c>
      <c r="DU320" s="5" t="s">
        <v>911</v>
      </c>
      <c r="HM320" s="5" t="s">
        <v>806</v>
      </c>
    </row>
    <row r="321" spans="1:238" x14ac:dyDescent="0.4">
      <c r="A321" s="5">
        <v>1055</v>
      </c>
      <c r="B321" s="5">
        <v>1</v>
      </c>
      <c r="C321" s="5">
        <v>1</v>
      </c>
      <c r="D321" s="5" t="s">
        <v>6084</v>
      </c>
      <c r="E321" s="5" t="s">
        <v>4391</v>
      </c>
      <c r="F321" s="5" t="s">
        <v>248</v>
      </c>
      <c r="G321" s="5" t="s">
        <v>4465</v>
      </c>
      <c r="H321" s="6" t="s">
        <v>6360</v>
      </c>
      <c r="I321" s="7">
        <f>115</f>
        <v>115</v>
      </c>
      <c r="J321" s="5" t="s">
        <v>262</v>
      </c>
      <c r="K321" s="8">
        <f>56350</f>
        <v>56350</v>
      </c>
      <c r="L321" s="6" t="s">
        <v>242</v>
      </c>
      <c r="M321" s="5" t="s">
        <v>267</v>
      </c>
      <c r="N321" s="5" t="s">
        <v>237</v>
      </c>
      <c r="O321" s="5" t="s">
        <v>238</v>
      </c>
      <c r="P321" s="5" t="s">
        <v>238</v>
      </c>
      <c r="Q321" s="5" t="s">
        <v>268</v>
      </c>
      <c r="R321" s="5" t="s">
        <v>270</v>
      </c>
      <c r="S321" s="5" t="s">
        <v>238</v>
      </c>
      <c r="V321" s="5" t="s">
        <v>238</v>
      </c>
      <c r="X321" s="6" t="s">
        <v>238</v>
      </c>
      <c r="AA321" s="6" t="s">
        <v>243</v>
      </c>
      <c r="AB321" s="5" t="s">
        <v>238</v>
      </c>
      <c r="AC321" s="5" t="s">
        <v>244</v>
      </c>
      <c r="AD321" s="5" t="s">
        <v>245</v>
      </c>
      <c r="AT321" s="5" t="s">
        <v>246</v>
      </c>
      <c r="AU321" s="5" t="s">
        <v>238</v>
      </c>
      <c r="AV321" s="5" t="s">
        <v>247</v>
      </c>
      <c r="AW321" s="5" t="s">
        <v>238</v>
      </c>
      <c r="AX321" s="5" t="s">
        <v>249</v>
      </c>
      <c r="AY321" s="5" t="s">
        <v>238</v>
      </c>
      <c r="BA321" s="5" t="s">
        <v>238</v>
      </c>
      <c r="BC321" s="5" t="s">
        <v>250</v>
      </c>
      <c r="BD321" s="6" t="s">
        <v>243</v>
      </c>
      <c r="BE321" s="5" t="s">
        <v>251</v>
      </c>
      <c r="BF321" s="5" t="s">
        <v>2153</v>
      </c>
      <c r="BG321" s="5" t="s">
        <v>238</v>
      </c>
      <c r="BH321" s="7">
        <f>0</f>
        <v>0</v>
      </c>
      <c r="BI321" s="8">
        <f>0</f>
        <v>0</v>
      </c>
      <c r="BJ321" s="5" t="s">
        <v>253</v>
      </c>
      <c r="BK321" s="5" t="s">
        <v>254</v>
      </c>
      <c r="BY321" s="5" t="s">
        <v>238</v>
      </c>
      <c r="BZ321" s="5" t="s">
        <v>238</v>
      </c>
      <c r="CD321" s="5" t="s">
        <v>255</v>
      </c>
      <c r="CE321" s="5" t="s">
        <v>256</v>
      </c>
      <c r="CF321" s="5" t="s">
        <v>238</v>
      </c>
      <c r="CI321" s="6" t="s">
        <v>257</v>
      </c>
      <c r="CJ321" s="5" t="s">
        <v>238</v>
      </c>
      <c r="CK321" s="5" t="s">
        <v>258</v>
      </c>
      <c r="CL321" s="5" t="s">
        <v>238</v>
      </c>
      <c r="CM321" s="5" t="s">
        <v>238</v>
      </c>
      <c r="CN321" s="5">
        <v>0</v>
      </c>
      <c r="CO321" s="5" t="s">
        <v>259</v>
      </c>
      <c r="CP321" s="5" t="s">
        <v>260</v>
      </c>
      <c r="CQ321" s="5" t="s">
        <v>260</v>
      </c>
      <c r="CR321" s="5" t="s">
        <v>261</v>
      </c>
      <c r="CU321" s="8">
        <f>56350</f>
        <v>56350</v>
      </c>
      <c r="CV321" s="8">
        <f>0</f>
        <v>0</v>
      </c>
      <c r="CX321" s="8">
        <f>0</f>
        <v>0</v>
      </c>
      <c r="CY321" s="8">
        <f>56350</f>
        <v>56350</v>
      </c>
      <c r="DA321" s="5" t="s">
        <v>673</v>
      </c>
      <c r="DB321" s="5" t="s">
        <v>238</v>
      </c>
      <c r="DD321" s="5" t="s">
        <v>356</v>
      </c>
      <c r="DE321" s="8">
        <f>0</f>
        <v>0</v>
      </c>
      <c r="DG321" s="5" t="s">
        <v>356</v>
      </c>
      <c r="DH321" s="5" t="s">
        <v>238</v>
      </c>
      <c r="DI321" s="5" t="s">
        <v>238</v>
      </c>
      <c r="DJ321" s="5" t="s">
        <v>238</v>
      </c>
      <c r="DN321" s="5" t="s">
        <v>238</v>
      </c>
      <c r="DO321" s="5" t="s">
        <v>238</v>
      </c>
      <c r="DP321" s="5" t="s">
        <v>238</v>
      </c>
      <c r="DQ321" s="5" t="s">
        <v>238</v>
      </c>
      <c r="DT321" s="5" t="s">
        <v>6086</v>
      </c>
      <c r="DU321" s="5" t="s">
        <v>967</v>
      </c>
      <c r="HM321" s="5" t="s">
        <v>806</v>
      </c>
    </row>
    <row r="322" spans="1:238" x14ac:dyDescent="0.4">
      <c r="A322" s="5">
        <v>1056</v>
      </c>
      <c r="B322" s="5">
        <v>1</v>
      </c>
      <c r="C322" s="5">
        <v>1</v>
      </c>
      <c r="D322" s="5" t="s">
        <v>6084</v>
      </c>
      <c r="E322" s="5" t="s">
        <v>4391</v>
      </c>
      <c r="F322" s="5" t="s">
        <v>248</v>
      </c>
      <c r="G322" s="5" t="s">
        <v>4465</v>
      </c>
      <c r="H322" s="6" t="s">
        <v>6088</v>
      </c>
      <c r="I322" s="7">
        <f>23</f>
        <v>23</v>
      </c>
      <c r="J322" s="5" t="s">
        <v>262</v>
      </c>
      <c r="K322" s="8">
        <f>50945</f>
        <v>50945</v>
      </c>
      <c r="L322" s="6" t="s">
        <v>242</v>
      </c>
      <c r="M322" s="5" t="s">
        <v>267</v>
      </c>
      <c r="N322" s="5" t="s">
        <v>237</v>
      </c>
      <c r="O322" s="5" t="s">
        <v>238</v>
      </c>
      <c r="P322" s="5" t="s">
        <v>238</v>
      </c>
      <c r="Q322" s="5" t="s">
        <v>239</v>
      </c>
      <c r="R322" s="5" t="s">
        <v>270</v>
      </c>
      <c r="S322" s="5" t="s">
        <v>238</v>
      </c>
      <c r="V322" s="5" t="s">
        <v>238</v>
      </c>
      <c r="X322" s="6" t="s">
        <v>238</v>
      </c>
      <c r="AA322" s="6" t="s">
        <v>243</v>
      </c>
      <c r="AB322" s="5" t="s">
        <v>238</v>
      </c>
      <c r="AC322" s="5" t="s">
        <v>244</v>
      </c>
      <c r="AD322" s="5" t="s">
        <v>245</v>
      </c>
      <c r="AT322" s="5" t="s">
        <v>246</v>
      </c>
      <c r="AU322" s="5" t="s">
        <v>238</v>
      </c>
      <c r="AV322" s="5" t="s">
        <v>247</v>
      </c>
      <c r="AW322" s="5" t="s">
        <v>238</v>
      </c>
      <c r="AX322" s="5" t="s">
        <v>249</v>
      </c>
      <c r="AY322" s="5" t="s">
        <v>238</v>
      </c>
      <c r="BA322" s="5" t="s">
        <v>238</v>
      </c>
      <c r="BC322" s="5" t="s">
        <v>250</v>
      </c>
      <c r="BD322" s="6" t="s">
        <v>243</v>
      </c>
      <c r="BE322" s="5" t="s">
        <v>251</v>
      </c>
      <c r="BF322" s="5" t="s">
        <v>2153</v>
      </c>
      <c r="BG322" s="5" t="s">
        <v>238</v>
      </c>
      <c r="BH322" s="7">
        <f>0</f>
        <v>0</v>
      </c>
      <c r="BI322" s="8">
        <f>0</f>
        <v>0</v>
      </c>
      <c r="BJ322" s="5" t="s">
        <v>253</v>
      </c>
      <c r="BK322" s="5" t="s">
        <v>254</v>
      </c>
      <c r="BY322" s="5" t="s">
        <v>238</v>
      </c>
      <c r="BZ322" s="5" t="s">
        <v>238</v>
      </c>
      <c r="CD322" s="5" t="s">
        <v>255</v>
      </c>
      <c r="CE322" s="5" t="s">
        <v>256</v>
      </c>
      <c r="CF322" s="5" t="s">
        <v>238</v>
      </c>
      <c r="CI322" s="6" t="s">
        <v>257</v>
      </c>
      <c r="CJ322" s="5" t="s">
        <v>238</v>
      </c>
      <c r="CK322" s="5" t="s">
        <v>258</v>
      </c>
      <c r="CL322" s="5" t="s">
        <v>238</v>
      </c>
      <c r="CM322" s="5" t="s">
        <v>238</v>
      </c>
      <c r="CN322" s="5">
        <v>0</v>
      </c>
      <c r="CO322" s="5" t="s">
        <v>259</v>
      </c>
      <c r="CP322" s="5" t="s">
        <v>260</v>
      </c>
      <c r="CQ322" s="5" t="s">
        <v>260</v>
      </c>
      <c r="CR322" s="5" t="s">
        <v>261</v>
      </c>
      <c r="CU322" s="8">
        <f>50945</f>
        <v>50945</v>
      </c>
      <c r="CV322" s="8">
        <f>0</f>
        <v>0</v>
      </c>
      <c r="CX322" s="8">
        <f>0</f>
        <v>0</v>
      </c>
      <c r="CY322" s="8">
        <f>50945</f>
        <v>50945</v>
      </c>
      <c r="DA322" s="5" t="s">
        <v>2032</v>
      </c>
      <c r="DB322" s="5" t="s">
        <v>238</v>
      </c>
      <c r="DD322" s="5" t="s">
        <v>356</v>
      </c>
      <c r="DE322" s="8">
        <f>0</f>
        <v>0</v>
      </c>
      <c r="DG322" s="5" t="s">
        <v>389</v>
      </c>
      <c r="DH322" s="5" t="s">
        <v>238</v>
      </c>
      <c r="DI322" s="5" t="s">
        <v>238</v>
      </c>
      <c r="DJ322" s="5" t="s">
        <v>238</v>
      </c>
      <c r="DN322" s="5" t="s">
        <v>238</v>
      </c>
      <c r="DO322" s="5" t="s">
        <v>238</v>
      </c>
      <c r="DP322" s="5" t="s">
        <v>238</v>
      </c>
      <c r="DQ322" s="5" t="s">
        <v>238</v>
      </c>
      <c r="DT322" s="5" t="s">
        <v>6086</v>
      </c>
      <c r="DU322" s="5" t="s">
        <v>1376</v>
      </c>
      <c r="HM322" s="5" t="s">
        <v>806</v>
      </c>
    </row>
    <row r="323" spans="1:238" x14ac:dyDescent="0.4">
      <c r="A323" s="5">
        <v>1057</v>
      </c>
      <c r="B323" s="5">
        <v>1</v>
      </c>
      <c r="C323" s="5">
        <v>1</v>
      </c>
      <c r="D323" s="5" t="s">
        <v>6084</v>
      </c>
      <c r="E323" s="5" t="s">
        <v>4391</v>
      </c>
      <c r="F323" s="5" t="s">
        <v>248</v>
      </c>
      <c r="G323" s="5" t="s">
        <v>4465</v>
      </c>
      <c r="H323" s="6" t="s">
        <v>6358</v>
      </c>
      <c r="I323" s="7">
        <f>3785</f>
        <v>3785</v>
      </c>
      <c r="J323" s="5" t="s">
        <v>262</v>
      </c>
      <c r="K323" s="8">
        <f>8383775</f>
        <v>8383775</v>
      </c>
      <c r="L323" s="6" t="s">
        <v>242</v>
      </c>
      <c r="M323" s="5" t="s">
        <v>267</v>
      </c>
      <c r="N323" s="5" t="s">
        <v>237</v>
      </c>
      <c r="O323" s="5" t="s">
        <v>238</v>
      </c>
      <c r="P323" s="5" t="s">
        <v>238</v>
      </c>
      <c r="Q323" s="5" t="s">
        <v>239</v>
      </c>
      <c r="R323" s="5" t="s">
        <v>270</v>
      </c>
      <c r="S323" s="5" t="s">
        <v>238</v>
      </c>
      <c r="V323" s="5" t="s">
        <v>238</v>
      </c>
      <c r="X323" s="6" t="s">
        <v>238</v>
      </c>
      <c r="AA323" s="6" t="s">
        <v>243</v>
      </c>
      <c r="AB323" s="5" t="s">
        <v>238</v>
      </c>
      <c r="AC323" s="5" t="s">
        <v>244</v>
      </c>
      <c r="AD323" s="5" t="s">
        <v>245</v>
      </c>
      <c r="AT323" s="5" t="s">
        <v>246</v>
      </c>
      <c r="AU323" s="5" t="s">
        <v>238</v>
      </c>
      <c r="AV323" s="5" t="s">
        <v>247</v>
      </c>
      <c r="AW323" s="5" t="s">
        <v>238</v>
      </c>
      <c r="AX323" s="5" t="s">
        <v>249</v>
      </c>
      <c r="AY323" s="5" t="s">
        <v>238</v>
      </c>
      <c r="BA323" s="5" t="s">
        <v>238</v>
      </c>
      <c r="BC323" s="5" t="s">
        <v>250</v>
      </c>
      <c r="BD323" s="6" t="s">
        <v>243</v>
      </c>
      <c r="BE323" s="5" t="s">
        <v>251</v>
      </c>
      <c r="BF323" s="5" t="s">
        <v>2153</v>
      </c>
      <c r="BG323" s="5" t="s">
        <v>238</v>
      </c>
      <c r="BH323" s="7">
        <f>0</f>
        <v>0</v>
      </c>
      <c r="BI323" s="8">
        <f>0</f>
        <v>0</v>
      </c>
      <c r="BJ323" s="5" t="s">
        <v>253</v>
      </c>
      <c r="BK323" s="5" t="s">
        <v>254</v>
      </c>
      <c r="BY323" s="5" t="s">
        <v>238</v>
      </c>
      <c r="BZ323" s="5" t="s">
        <v>238</v>
      </c>
      <c r="CD323" s="5" t="s">
        <v>255</v>
      </c>
      <c r="CE323" s="5" t="s">
        <v>256</v>
      </c>
      <c r="CF323" s="5" t="s">
        <v>238</v>
      </c>
      <c r="CI323" s="6" t="s">
        <v>257</v>
      </c>
      <c r="CJ323" s="5" t="s">
        <v>238</v>
      </c>
      <c r="CK323" s="5" t="s">
        <v>258</v>
      </c>
      <c r="CL323" s="5" t="s">
        <v>238</v>
      </c>
      <c r="CM323" s="5" t="s">
        <v>238</v>
      </c>
      <c r="CN323" s="5">
        <v>0</v>
      </c>
      <c r="CO323" s="5" t="s">
        <v>259</v>
      </c>
      <c r="CP323" s="5" t="s">
        <v>260</v>
      </c>
      <c r="CQ323" s="5" t="s">
        <v>260</v>
      </c>
      <c r="CR323" s="5" t="s">
        <v>261</v>
      </c>
      <c r="CU323" s="8">
        <f>8383775</f>
        <v>8383775</v>
      </c>
      <c r="CV323" s="8">
        <f>0</f>
        <v>0</v>
      </c>
      <c r="CX323" s="8">
        <f>0</f>
        <v>0</v>
      </c>
      <c r="CY323" s="8">
        <f>8383775</f>
        <v>8383775</v>
      </c>
      <c r="DA323" s="5" t="s">
        <v>2032</v>
      </c>
      <c r="DB323" s="5" t="s">
        <v>238</v>
      </c>
      <c r="DD323" s="5" t="s">
        <v>356</v>
      </c>
      <c r="DE323" s="8">
        <f>0</f>
        <v>0</v>
      </c>
      <c r="DG323" s="5" t="s">
        <v>389</v>
      </c>
      <c r="DH323" s="5" t="s">
        <v>238</v>
      </c>
      <c r="DI323" s="5" t="s">
        <v>238</v>
      </c>
      <c r="DJ323" s="5" t="s">
        <v>238</v>
      </c>
      <c r="DN323" s="5" t="s">
        <v>238</v>
      </c>
      <c r="DO323" s="5" t="s">
        <v>238</v>
      </c>
      <c r="DP323" s="5" t="s">
        <v>238</v>
      </c>
      <c r="DQ323" s="5" t="s">
        <v>238</v>
      </c>
      <c r="DT323" s="5" t="s">
        <v>6086</v>
      </c>
      <c r="DU323" s="5" t="s">
        <v>1372</v>
      </c>
      <c r="HM323" s="5" t="s">
        <v>806</v>
      </c>
    </row>
    <row r="324" spans="1:238" x14ac:dyDescent="0.4">
      <c r="A324" s="5">
        <v>1058</v>
      </c>
      <c r="B324" s="5">
        <v>1</v>
      </c>
      <c r="C324" s="5">
        <v>1</v>
      </c>
      <c r="D324" s="5" t="s">
        <v>6084</v>
      </c>
      <c r="E324" s="5" t="s">
        <v>4391</v>
      </c>
      <c r="F324" s="5" t="s">
        <v>248</v>
      </c>
      <c r="G324" s="5" t="s">
        <v>4465</v>
      </c>
      <c r="H324" s="6" t="s">
        <v>6095</v>
      </c>
      <c r="I324" s="7">
        <f>14</f>
        <v>14</v>
      </c>
      <c r="J324" s="5" t="s">
        <v>262</v>
      </c>
      <c r="K324" s="8">
        <f>6860</f>
        <v>6860</v>
      </c>
      <c r="L324" s="6" t="s">
        <v>242</v>
      </c>
      <c r="M324" s="5" t="s">
        <v>267</v>
      </c>
      <c r="N324" s="5" t="s">
        <v>237</v>
      </c>
      <c r="O324" s="5" t="s">
        <v>238</v>
      </c>
      <c r="P324" s="5" t="s">
        <v>238</v>
      </c>
      <c r="Q324" s="5" t="s">
        <v>268</v>
      </c>
      <c r="R324" s="5" t="s">
        <v>270</v>
      </c>
      <c r="S324" s="5" t="s">
        <v>238</v>
      </c>
      <c r="V324" s="5" t="s">
        <v>238</v>
      </c>
      <c r="X324" s="6" t="s">
        <v>238</v>
      </c>
      <c r="AA324" s="6" t="s">
        <v>243</v>
      </c>
      <c r="AB324" s="5" t="s">
        <v>238</v>
      </c>
      <c r="AC324" s="5" t="s">
        <v>244</v>
      </c>
      <c r="AD324" s="5" t="s">
        <v>245</v>
      </c>
      <c r="AT324" s="5" t="s">
        <v>246</v>
      </c>
      <c r="AU324" s="5" t="s">
        <v>238</v>
      </c>
      <c r="AV324" s="5" t="s">
        <v>247</v>
      </c>
      <c r="AW324" s="5" t="s">
        <v>238</v>
      </c>
      <c r="AX324" s="5" t="s">
        <v>249</v>
      </c>
      <c r="AY324" s="5" t="s">
        <v>238</v>
      </c>
      <c r="BA324" s="5" t="s">
        <v>238</v>
      </c>
      <c r="BC324" s="5" t="s">
        <v>250</v>
      </c>
      <c r="BD324" s="6" t="s">
        <v>243</v>
      </c>
      <c r="BE324" s="5" t="s">
        <v>251</v>
      </c>
      <c r="BF324" s="5" t="s">
        <v>2153</v>
      </c>
      <c r="BG324" s="5" t="s">
        <v>238</v>
      </c>
      <c r="BH324" s="7">
        <f>0</f>
        <v>0</v>
      </c>
      <c r="BI324" s="8">
        <f>0</f>
        <v>0</v>
      </c>
      <c r="BJ324" s="5" t="s">
        <v>253</v>
      </c>
      <c r="BK324" s="5" t="s">
        <v>254</v>
      </c>
      <c r="BY324" s="5" t="s">
        <v>238</v>
      </c>
      <c r="BZ324" s="5" t="s">
        <v>238</v>
      </c>
      <c r="CD324" s="5" t="s">
        <v>255</v>
      </c>
      <c r="CE324" s="5" t="s">
        <v>256</v>
      </c>
      <c r="CF324" s="5" t="s">
        <v>238</v>
      </c>
      <c r="CI324" s="6" t="s">
        <v>257</v>
      </c>
      <c r="CJ324" s="5" t="s">
        <v>238</v>
      </c>
      <c r="CK324" s="5" t="s">
        <v>258</v>
      </c>
      <c r="CL324" s="5" t="s">
        <v>238</v>
      </c>
      <c r="CM324" s="5" t="s">
        <v>238</v>
      </c>
      <c r="CN324" s="5">
        <v>0</v>
      </c>
      <c r="CO324" s="5" t="s">
        <v>259</v>
      </c>
      <c r="CP324" s="5" t="s">
        <v>260</v>
      </c>
      <c r="CQ324" s="5" t="s">
        <v>260</v>
      </c>
      <c r="CR324" s="5" t="s">
        <v>261</v>
      </c>
      <c r="CU324" s="8">
        <f>6860</f>
        <v>6860</v>
      </c>
      <c r="CV324" s="8">
        <f>0</f>
        <v>0</v>
      </c>
      <c r="CX324" s="8">
        <f>0</f>
        <v>0</v>
      </c>
      <c r="CY324" s="8">
        <f>6860</f>
        <v>6860</v>
      </c>
      <c r="DA324" s="5" t="s">
        <v>673</v>
      </c>
      <c r="DB324" s="5" t="s">
        <v>238</v>
      </c>
      <c r="DD324" s="5" t="s">
        <v>356</v>
      </c>
      <c r="DE324" s="8">
        <f>0</f>
        <v>0</v>
      </c>
      <c r="DG324" s="5" t="s">
        <v>356</v>
      </c>
      <c r="DH324" s="5" t="s">
        <v>238</v>
      </c>
      <c r="DI324" s="5" t="s">
        <v>238</v>
      </c>
      <c r="DJ324" s="5" t="s">
        <v>238</v>
      </c>
      <c r="DN324" s="5" t="s">
        <v>238</v>
      </c>
      <c r="DO324" s="5" t="s">
        <v>238</v>
      </c>
      <c r="DP324" s="5" t="s">
        <v>238</v>
      </c>
      <c r="DQ324" s="5" t="s">
        <v>238</v>
      </c>
      <c r="DT324" s="5" t="s">
        <v>6086</v>
      </c>
      <c r="DU324" s="5" t="s">
        <v>1370</v>
      </c>
      <c r="HM324" s="5" t="s">
        <v>806</v>
      </c>
    </row>
    <row r="325" spans="1:238" x14ac:dyDescent="0.4">
      <c r="A325" s="5">
        <v>1059</v>
      </c>
      <c r="B325" s="5">
        <v>1</v>
      </c>
      <c r="C325" s="5">
        <v>1</v>
      </c>
      <c r="D325" s="5" t="s">
        <v>6084</v>
      </c>
      <c r="E325" s="5" t="s">
        <v>4391</v>
      </c>
      <c r="F325" s="5" t="s">
        <v>248</v>
      </c>
      <c r="G325" s="5" t="s">
        <v>4465</v>
      </c>
      <c r="H325" s="6" t="s">
        <v>6093</v>
      </c>
      <c r="I325" s="7">
        <f>15</f>
        <v>15</v>
      </c>
      <c r="J325" s="5" t="s">
        <v>262</v>
      </c>
      <c r="K325" s="8">
        <f>7350</f>
        <v>7350</v>
      </c>
      <c r="L325" s="6" t="s">
        <v>242</v>
      </c>
      <c r="M325" s="5" t="s">
        <v>267</v>
      </c>
      <c r="N325" s="5" t="s">
        <v>237</v>
      </c>
      <c r="O325" s="5" t="s">
        <v>238</v>
      </c>
      <c r="P325" s="5" t="s">
        <v>238</v>
      </c>
      <c r="Q325" s="5" t="s">
        <v>268</v>
      </c>
      <c r="R325" s="5" t="s">
        <v>270</v>
      </c>
      <c r="S325" s="5" t="s">
        <v>238</v>
      </c>
      <c r="V325" s="5" t="s">
        <v>238</v>
      </c>
      <c r="X325" s="6" t="s">
        <v>238</v>
      </c>
      <c r="AA325" s="6" t="s">
        <v>243</v>
      </c>
      <c r="AB325" s="5" t="s">
        <v>238</v>
      </c>
      <c r="AC325" s="5" t="s">
        <v>244</v>
      </c>
      <c r="AD325" s="5" t="s">
        <v>245</v>
      </c>
      <c r="AT325" s="5" t="s">
        <v>246</v>
      </c>
      <c r="AU325" s="5" t="s">
        <v>238</v>
      </c>
      <c r="AV325" s="5" t="s">
        <v>247</v>
      </c>
      <c r="AW325" s="5" t="s">
        <v>238</v>
      </c>
      <c r="AX325" s="5" t="s">
        <v>249</v>
      </c>
      <c r="AY325" s="5" t="s">
        <v>238</v>
      </c>
      <c r="BA325" s="5" t="s">
        <v>238</v>
      </c>
      <c r="BC325" s="5" t="s">
        <v>250</v>
      </c>
      <c r="BD325" s="6" t="s">
        <v>243</v>
      </c>
      <c r="BE325" s="5" t="s">
        <v>251</v>
      </c>
      <c r="BF325" s="5" t="s">
        <v>2153</v>
      </c>
      <c r="BG325" s="5" t="s">
        <v>238</v>
      </c>
      <c r="BH325" s="7">
        <f>0</f>
        <v>0</v>
      </c>
      <c r="BI325" s="8">
        <f>0</f>
        <v>0</v>
      </c>
      <c r="BJ325" s="5" t="s">
        <v>253</v>
      </c>
      <c r="BK325" s="5" t="s">
        <v>254</v>
      </c>
      <c r="BY325" s="5" t="s">
        <v>238</v>
      </c>
      <c r="BZ325" s="5" t="s">
        <v>238</v>
      </c>
      <c r="CD325" s="5" t="s">
        <v>255</v>
      </c>
      <c r="CE325" s="5" t="s">
        <v>256</v>
      </c>
      <c r="CF325" s="5" t="s">
        <v>238</v>
      </c>
      <c r="CI325" s="6" t="s">
        <v>257</v>
      </c>
      <c r="CJ325" s="5" t="s">
        <v>238</v>
      </c>
      <c r="CK325" s="5" t="s">
        <v>258</v>
      </c>
      <c r="CL325" s="5" t="s">
        <v>238</v>
      </c>
      <c r="CM325" s="5" t="s">
        <v>238</v>
      </c>
      <c r="CN325" s="5">
        <v>0</v>
      </c>
      <c r="CO325" s="5" t="s">
        <v>259</v>
      </c>
      <c r="CP325" s="5" t="s">
        <v>260</v>
      </c>
      <c r="CQ325" s="5" t="s">
        <v>260</v>
      </c>
      <c r="CR325" s="5" t="s">
        <v>261</v>
      </c>
      <c r="CU325" s="8">
        <f>7350</f>
        <v>7350</v>
      </c>
      <c r="CV325" s="8">
        <f>0</f>
        <v>0</v>
      </c>
      <c r="CX325" s="8">
        <f>0</f>
        <v>0</v>
      </c>
      <c r="CY325" s="8">
        <f>7350</f>
        <v>7350</v>
      </c>
      <c r="DA325" s="5" t="s">
        <v>673</v>
      </c>
      <c r="DB325" s="5" t="s">
        <v>238</v>
      </c>
      <c r="DD325" s="5" t="s">
        <v>356</v>
      </c>
      <c r="DE325" s="8">
        <f>0</f>
        <v>0</v>
      </c>
      <c r="DG325" s="5" t="s">
        <v>356</v>
      </c>
      <c r="DH325" s="5" t="s">
        <v>238</v>
      </c>
      <c r="DI325" s="5" t="s">
        <v>238</v>
      </c>
      <c r="DJ325" s="5" t="s">
        <v>238</v>
      </c>
      <c r="DN325" s="5" t="s">
        <v>238</v>
      </c>
      <c r="DO325" s="5" t="s">
        <v>238</v>
      </c>
      <c r="DP325" s="5" t="s">
        <v>238</v>
      </c>
      <c r="DQ325" s="5" t="s">
        <v>238</v>
      </c>
      <c r="DT325" s="5" t="s">
        <v>6086</v>
      </c>
      <c r="DU325" s="5" t="s">
        <v>1364</v>
      </c>
      <c r="HM325" s="5" t="s">
        <v>806</v>
      </c>
    </row>
    <row r="326" spans="1:238" x14ac:dyDescent="0.4">
      <c r="A326" s="5">
        <v>1060</v>
      </c>
      <c r="B326" s="5">
        <v>1</v>
      </c>
      <c r="C326" s="5">
        <v>1</v>
      </c>
      <c r="D326" s="5" t="s">
        <v>6084</v>
      </c>
      <c r="E326" s="5" t="s">
        <v>4391</v>
      </c>
      <c r="F326" s="5" t="s">
        <v>248</v>
      </c>
      <c r="G326" s="5" t="s">
        <v>4465</v>
      </c>
      <c r="H326" s="6" t="s">
        <v>6092</v>
      </c>
      <c r="I326" s="7">
        <f>136</f>
        <v>136</v>
      </c>
      <c r="J326" s="5" t="s">
        <v>262</v>
      </c>
      <c r="K326" s="8">
        <f>301240</f>
        <v>301240</v>
      </c>
      <c r="L326" s="6" t="s">
        <v>242</v>
      </c>
      <c r="M326" s="5" t="s">
        <v>267</v>
      </c>
      <c r="N326" s="5" t="s">
        <v>237</v>
      </c>
      <c r="O326" s="5" t="s">
        <v>238</v>
      </c>
      <c r="P326" s="5" t="s">
        <v>238</v>
      </c>
      <c r="Q326" s="5" t="s">
        <v>239</v>
      </c>
      <c r="R326" s="5" t="s">
        <v>270</v>
      </c>
      <c r="S326" s="5" t="s">
        <v>238</v>
      </c>
      <c r="V326" s="5" t="s">
        <v>238</v>
      </c>
      <c r="X326" s="6" t="s">
        <v>238</v>
      </c>
      <c r="AA326" s="6" t="s">
        <v>243</v>
      </c>
      <c r="AB326" s="5" t="s">
        <v>238</v>
      </c>
      <c r="AC326" s="5" t="s">
        <v>244</v>
      </c>
      <c r="AD326" s="5" t="s">
        <v>245</v>
      </c>
      <c r="AT326" s="5" t="s">
        <v>246</v>
      </c>
      <c r="AU326" s="5" t="s">
        <v>238</v>
      </c>
      <c r="AV326" s="5" t="s">
        <v>247</v>
      </c>
      <c r="AW326" s="5" t="s">
        <v>238</v>
      </c>
      <c r="AX326" s="5" t="s">
        <v>249</v>
      </c>
      <c r="AY326" s="5" t="s">
        <v>238</v>
      </c>
      <c r="BA326" s="5" t="s">
        <v>238</v>
      </c>
      <c r="BC326" s="5" t="s">
        <v>250</v>
      </c>
      <c r="BD326" s="6" t="s">
        <v>243</v>
      </c>
      <c r="BE326" s="5" t="s">
        <v>251</v>
      </c>
      <c r="BF326" s="5" t="s">
        <v>2153</v>
      </c>
      <c r="BG326" s="5" t="s">
        <v>238</v>
      </c>
      <c r="BH326" s="7">
        <f>0</f>
        <v>0</v>
      </c>
      <c r="BI326" s="8">
        <f>0</f>
        <v>0</v>
      </c>
      <c r="BJ326" s="5" t="s">
        <v>253</v>
      </c>
      <c r="BK326" s="5" t="s">
        <v>254</v>
      </c>
      <c r="BY326" s="5" t="s">
        <v>238</v>
      </c>
      <c r="BZ326" s="5" t="s">
        <v>238</v>
      </c>
      <c r="CD326" s="5" t="s">
        <v>255</v>
      </c>
      <c r="CE326" s="5" t="s">
        <v>256</v>
      </c>
      <c r="CF326" s="5" t="s">
        <v>238</v>
      </c>
      <c r="CI326" s="6" t="s">
        <v>257</v>
      </c>
      <c r="CJ326" s="5" t="s">
        <v>238</v>
      </c>
      <c r="CK326" s="5" t="s">
        <v>258</v>
      </c>
      <c r="CL326" s="5" t="s">
        <v>238</v>
      </c>
      <c r="CM326" s="5" t="s">
        <v>238</v>
      </c>
      <c r="CN326" s="5">
        <v>0</v>
      </c>
      <c r="CO326" s="5" t="s">
        <v>259</v>
      </c>
      <c r="CP326" s="5" t="s">
        <v>260</v>
      </c>
      <c r="CQ326" s="5" t="s">
        <v>260</v>
      </c>
      <c r="CR326" s="5" t="s">
        <v>261</v>
      </c>
      <c r="CU326" s="8">
        <f>301240</f>
        <v>301240</v>
      </c>
      <c r="CV326" s="8">
        <f>0</f>
        <v>0</v>
      </c>
      <c r="CX326" s="8">
        <f>0</f>
        <v>0</v>
      </c>
      <c r="CY326" s="8">
        <f>301240</f>
        <v>301240</v>
      </c>
      <c r="DA326" s="5" t="s">
        <v>2032</v>
      </c>
      <c r="DB326" s="5" t="s">
        <v>238</v>
      </c>
      <c r="DD326" s="5" t="s">
        <v>356</v>
      </c>
      <c r="DE326" s="8">
        <f>0</f>
        <v>0</v>
      </c>
      <c r="DG326" s="5" t="s">
        <v>389</v>
      </c>
      <c r="DH326" s="5" t="s">
        <v>238</v>
      </c>
      <c r="DI326" s="5" t="s">
        <v>238</v>
      </c>
      <c r="DJ326" s="5" t="s">
        <v>238</v>
      </c>
      <c r="DN326" s="5" t="s">
        <v>238</v>
      </c>
      <c r="DO326" s="5" t="s">
        <v>238</v>
      </c>
      <c r="DP326" s="5" t="s">
        <v>238</v>
      </c>
      <c r="DQ326" s="5" t="s">
        <v>238</v>
      </c>
      <c r="DT326" s="5" t="s">
        <v>6086</v>
      </c>
      <c r="DU326" s="5" t="s">
        <v>1360</v>
      </c>
      <c r="HM326" s="5" t="s">
        <v>806</v>
      </c>
    </row>
    <row r="327" spans="1:238" x14ac:dyDescent="0.4">
      <c r="A327" s="5">
        <v>1061</v>
      </c>
      <c r="B327" s="5">
        <v>1</v>
      </c>
      <c r="C327" s="5">
        <v>1</v>
      </c>
      <c r="D327" s="5" t="s">
        <v>6084</v>
      </c>
      <c r="E327" s="5" t="s">
        <v>4391</v>
      </c>
      <c r="F327" s="5" t="s">
        <v>248</v>
      </c>
      <c r="G327" s="5" t="s">
        <v>4465</v>
      </c>
      <c r="H327" s="6" t="s">
        <v>6094</v>
      </c>
      <c r="I327" s="7">
        <f>108</f>
        <v>108</v>
      </c>
      <c r="J327" s="5" t="s">
        <v>262</v>
      </c>
      <c r="K327" s="8">
        <f>239220</f>
        <v>239220</v>
      </c>
      <c r="L327" s="6" t="s">
        <v>242</v>
      </c>
      <c r="M327" s="5" t="s">
        <v>267</v>
      </c>
      <c r="N327" s="5" t="s">
        <v>237</v>
      </c>
      <c r="O327" s="5" t="s">
        <v>238</v>
      </c>
      <c r="P327" s="5" t="s">
        <v>238</v>
      </c>
      <c r="Q327" s="5" t="s">
        <v>239</v>
      </c>
      <c r="R327" s="5" t="s">
        <v>270</v>
      </c>
      <c r="S327" s="5" t="s">
        <v>238</v>
      </c>
      <c r="V327" s="5" t="s">
        <v>238</v>
      </c>
      <c r="X327" s="6" t="s">
        <v>238</v>
      </c>
      <c r="AA327" s="6" t="s">
        <v>243</v>
      </c>
      <c r="AB327" s="5" t="s">
        <v>238</v>
      </c>
      <c r="AC327" s="5" t="s">
        <v>244</v>
      </c>
      <c r="AD327" s="5" t="s">
        <v>245</v>
      </c>
      <c r="AT327" s="5" t="s">
        <v>246</v>
      </c>
      <c r="AU327" s="5" t="s">
        <v>238</v>
      </c>
      <c r="AV327" s="5" t="s">
        <v>247</v>
      </c>
      <c r="AW327" s="5" t="s">
        <v>238</v>
      </c>
      <c r="AX327" s="5" t="s">
        <v>249</v>
      </c>
      <c r="AY327" s="5" t="s">
        <v>238</v>
      </c>
      <c r="BA327" s="5" t="s">
        <v>238</v>
      </c>
      <c r="BC327" s="5" t="s">
        <v>250</v>
      </c>
      <c r="BD327" s="6" t="s">
        <v>243</v>
      </c>
      <c r="BE327" s="5" t="s">
        <v>251</v>
      </c>
      <c r="BF327" s="5" t="s">
        <v>2153</v>
      </c>
      <c r="BG327" s="5" t="s">
        <v>238</v>
      </c>
      <c r="BH327" s="7">
        <f>0</f>
        <v>0</v>
      </c>
      <c r="BI327" s="8">
        <f>0</f>
        <v>0</v>
      </c>
      <c r="BJ327" s="5" t="s">
        <v>253</v>
      </c>
      <c r="BK327" s="5" t="s">
        <v>254</v>
      </c>
      <c r="BY327" s="5" t="s">
        <v>238</v>
      </c>
      <c r="BZ327" s="5" t="s">
        <v>238</v>
      </c>
      <c r="CD327" s="5" t="s">
        <v>255</v>
      </c>
      <c r="CE327" s="5" t="s">
        <v>256</v>
      </c>
      <c r="CF327" s="5" t="s">
        <v>238</v>
      </c>
      <c r="CI327" s="6" t="s">
        <v>257</v>
      </c>
      <c r="CJ327" s="5" t="s">
        <v>238</v>
      </c>
      <c r="CK327" s="5" t="s">
        <v>258</v>
      </c>
      <c r="CL327" s="5" t="s">
        <v>238</v>
      </c>
      <c r="CM327" s="5" t="s">
        <v>238</v>
      </c>
      <c r="CN327" s="5">
        <v>0</v>
      </c>
      <c r="CO327" s="5" t="s">
        <v>259</v>
      </c>
      <c r="CP327" s="5" t="s">
        <v>260</v>
      </c>
      <c r="CQ327" s="5" t="s">
        <v>260</v>
      </c>
      <c r="CR327" s="5" t="s">
        <v>261</v>
      </c>
      <c r="CU327" s="8">
        <f>239220</f>
        <v>239220</v>
      </c>
      <c r="CV327" s="8">
        <f>0</f>
        <v>0</v>
      </c>
      <c r="CX327" s="8">
        <f>0</f>
        <v>0</v>
      </c>
      <c r="CY327" s="8">
        <f>239220</f>
        <v>239220</v>
      </c>
      <c r="DA327" s="5" t="s">
        <v>2032</v>
      </c>
      <c r="DB327" s="5" t="s">
        <v>238</v>
      </c>
      <c r="DD327" s="5" t="s">
        <v>356</v>
      </c>
      <c r="DE327" s="8">
        <f>0</f>
        <v>0</v>
      </c>
      <c r="DG327" s="5" t="s">
        <v>389</v>
      </c>
      <c r="DH327" s="5" t="s">
        <v>238</v>
      </c>
      <c r="DI327" s="5" t="s">
        <v>238</v>
      </c>
      <c r="DJ327" s="5" t="s">
        <v>238</v>
      </c>
      <c r="DN327" s="5" t="s">
        <v>238</v>
      </c>
      <c r="DO327" s="5" t="s">
        <v>238</v>
      </c>
      <c r="DP327" s="5" t="s">
        <v>238</v>
      </c>
      <c r="DQ327" s="5" t="s">
        <v>238</v>
      </c>
      <c r="DT327" s="5" t="s">
        <v>6086</v>
      </c>
      <c r="DU327" s="5" t="s">
        <v>1358</v>
      </c>
      <c r="HM327" s="5" t="s">
        <v>806</v>
      </c>
    </row>
    <row r="328" spans="1:238" x14ac:dyDescent="0.4">
      <c r="A328" s="5">
        <v>1062</v>
      </c>
      <c r="B328" s="5">
        <v>1</v>
      </c>
      <c r="C328" s="5">
        <v>1</v>
      </c>
      <c r="D328" s="5" t="s">
        <v>6084</v>
      </c>
      <c r="E328" s="5" t="s">
        <v>4391</v>
      </c>
      <c r="F328" s="5" t="s">
        <v>248</v>
      </c>
      <c r="G328" s="5" t="s">
        <v>4465</v>
      </c>
      <c r="H328" s="6" t="s">
        <v>6091</v>
      </c>
      <c r="I328" s="7">
        <f>3185</f>
        <v>3185</v>
      </c>
      <c r="J328" s="5" t="s">
        <v>262</v>
      </c>
      <c r="K328" s="8">
        <f>7054774</f>
        <v>7054774</v>
      </c>
      <c r="L328" s="6" t="s">
        <v>242</v>
      </c>
      <c r="M328" s="5" t="s">
        <v>267</v>
      </c>
      <c r="N328" s="5" t="s">
        <v>237</v>
      </c>
      <c r="O328" s="5" t="s">
        <v>238</v>
      </c>
      <c r="P328" s="5" t="s">
        <v>238</v>
      </c>
      <c r="Q328" s="5" t="s">
        <v>239</v>
      </c>
      <c r="R328" s="5" t="s">
        <v>270</v>
      </c>
      <c r="S328" s="5" t="s">
        <v>238</v>
      </c>
      <c r="V328" s="5" t="s">
        <v>238</v>
      </c>
      <c r="X328" s="6" t="s">
        <v>238</v>
      </c>
      <c r="AA328" s="6" t="s">
        <v>243</v>
      </c>
      <c r="AB328" s="5" t="s">
        <v>238</v>
      </c>
      <c r="AC328" s="5" t="s">
        <v>244</v>
      </c>
      <c r="AD328" s="5" t="s">
        <v>245</v>
      </c>
      <c r="AT328" s="5" t="s">
        <v>246</v>
      </c>
      <c r="AU328" s="5" t="s">
        <v>238</v>
      </c>
      <c r="AV328" s="5" t="s">
        <v>247</v>
      </c>
      <c r="AW328" s="5" t="s">
        <v>238</v>
      </c>
      <c r="AX328" s="5" t="s">
        <v>249</v>
      </c>
      <c r="AY328" s="5" t="s">
        <v>238</v>
      </c>
      <c r="BA328" s="5" t="s">
        <v>238</v>
      </c>
      <c r="BC328" s="5" t="s">
        <v>250</v>
      </c>
      <c r="BD328" s="6" t="s">
        <v>243</v>
      </c>
      <c r="BE328" s="5" t="s">
        <v>251</v>
      </c>
      <c r="BF328" s="5" t="s">
        <v>2153</v>
      </c>
      <c r="BG328" s="5" t="s">
        <v>238</v>
      </c>
      <c r="BH328" s="7">
        <f>0</f>
        <v>0</v>
      </c>
      <c r="BI328" s="8">
        <f>0</f>
        <v>0</v>
      </c>
      <c r="BJ328" s="5" t="s">
        <v>253</v>
      </c>
      <c r="BK328" s="5" t="s">
        <v>254</v>
      </c>
      <c r="BY328" s="5" t="s">
        <v>238</v>
      </c>
      <c r="BZ328" s="5" t="s">
        <v>238</v>
      </c>
      <c r="CD328" s="5" t="s">
        <v>255</v>
      </c>
      <c r="CE328" s="5" t="s">
        <v>256</v>
      </c>
      <c r="CF328" s="5" t="s">
        <v>238</v>
      </c>
      <c r="CI328" s="6" t="s">
        <v>257</v>
      </c>
      <c r="CJ328" s="5" t="s">
        <v>238</v>
      </c>
      <c r="CK328" s="5" t="s">
        <v>258</v>
      </c>
      <c r="CL328" s="5" t="s">
        <v>238</v>
      </c>
      <c r="CM328" s="5" t="s">
        <v>238</v>
      </c>
      <c r="CN328" s="5">
        <v>0</v>
      </c>
      <c r="CO328" s="5" t="s">
        <v>259</v>
      </c>
      <c r="CP328" s="5" t="s">
        <v>260</v>
      </c>
      <c r="CQ328" s="5" t="s">
        <v>260</v>
      </c>
      <c r="CR328" s="5" t="s">
        <v>261</v>
      </c>
      <c r="CU328" s="8">
        <f>7054774</f>
        <v>7054774</v>
      </c>
      <c r="CV328" s="8">
        <f>0</f>
        <v>0</v>
      </c>
      <c r="CX328" s="8">
        <f>0</f>
        <v>0</v>
      </c>
      <c r="CY328" s="8">
        <f>7054774</f>
        <v>7054774</v>
      </c>
      <c r="DA328" s="5" t="s">
        <v>2032</v>
      </c>
      <c r="DB328" s="5" t="s">
        <v>238</v>
      </c>
      <c r="DD328" s="5" t="s">
        <v>356</v>
      </c>
      <c r="DE328" s="8">
        <f>0</f>
        <v>0</v>
      </c>
      <c r="DG328" s="5" t="s">
        <v>389</v>
      </c>
      <c r="DH328" s="5" t="s">
        <v>238</v>
      </c>
      <c r="DI328" s="5" t="s">
        <v>238</v>
      </c>
      <c r="DJ328" s="5" t="s">
        <v>238</v>
      </c>
      <c r="DN328" s="5" t="s">
        <v>238</v>
      </c>
      <c r="DO328" s="5" t="s">
        <v>238</v>
      </c>
      <c r="DP328" s="5" t="s">
        <v>238</v>
      </c>
      <c r="DQ328" s="5" t="s">
        <v>238</v>
      </c>
      <c r="DT328" s="5" t="s">
        <v>6086</v>
      </c>
      <c r="DU328" s="5" t="s">
        <v>976</v>
      </c>
      <c r="HM328" s="5" t="s">
        <v>854</v>
      </c>
    </row>
    <row r="329" spans="1:238" x14ac:dyDescent="0.4">
      <c r="A329" s="5">
        <v>1063</v>
      </c>
      <c r="B329" s="5">
        <v>1</v>
      </c>
      <c r="C329" s="5">
        <v>1</v>
      </c>
      <c r="D329" s="5" t="s">
        <v>6084</v>
      </c>
      <c r="E329" s="5" t="s">
        <v>4391</v>
      </c>
      <c r="F329" s="5" t="s">
        <v>248</v>
      </c>
      <c r="G329" s="5" t="s">
        <v>4465</v>
      </c>
      <c r="H329" s="6" t="s">
        <v>6154</v>
      </c>
      <c r="I329" s="7">
        <f>70603</f>
        <v>70603</v>
      </c>
      <c r="J329" s="5" t="s">
        <v>262</v>
      </c>
      <c r="K329" s="8">
        <f>156385645</f>
        <v>156385645</v>
      </c>
      <c r="L329" s="6" t="s">
        <v>242</v>
      </c>
      <c r="M329" s="5" t="s">
        <v>267</v>
      </c>
      <c r="N329" s="5" t="s">
        <v>237</v>
      </c>
      <c r="O329" s="5" t="s">
        <v>238</v>
      </c>
      <c r="P329" s="5" t="s">
        <v>238</v>
      </c>
      <c r="Q329" s="5" t="s">
        <v>239</v>
      </c>
      <c r="R329" s="5" t="s">
        <v>270</v>
      </c>
      <c r="S329" s="5" t="s">
        <v>238</v>
      </c>
      <c r="V329" s="5" t="s">
        <v>238</v>
      </c>
      <c r="X329" s="6" t="s">
        <v>238</v>
      </c>
      <c r="AA329" s="6" t="s">
        <v>243</v>
      </c>
      <c r="AB329" s="5" t="s">
        <v>238</v>
      </c>
      <c r="AC329" s="5" t="s">
        <v>244</v>
      </c>
      <c r="AD329" s="5" t="s">
        <v>245</v>
      </c>
      <c r="AT329" s="5" t="s">
        <v>246</v>
      </c>
      <c r="AU329" s="5" t="s">
        <v>238</v>
      </c>
      <c r="AV329" s="5" t="s">
        <v>247</v>
      </c>
      <c r="AW329" s="5" t="s">
        <v>238</v>
      </c>
      <c r="AX329" s="5" t="s">
        <v>249</v>
      </c>
      <c r="AY329" s="5" t="s">
        <v>238</v>
      </c>
      <c r="BA329" s="5" t="s">
        <v>238</v>
      </c>
      <c r="BC329" s="5" t="s">
        <v>250</v>
      </c>
      <c r="BD329" s="6" t="s">
        <v>243</v>
      </c>
      <c r="BE329" s="5" t="s">
        <v>251</v>
      </c>
      <c r="BF329" s="5" t="s">
        <v>2153</v>
      </c>
      <c r="BG329" s="5" t="s">
        <v>238</v>
      </c>
      <c r="BH329" s="7">
        <f>0</f>
        <v>0</v>
      </c>
      <c r="BI329" s="8">
        <f>0</f>
        <v>0</v>
      </c>
      <c r="BJ329" s="5" t="s">
        <v>253</v>
      </c>
      <c r="BK329" s="5" t="s">
        <v>254</v>
      </c>
      <c r="BY329" s="5" t="s">
        <v>238</v>
      </c>
      <c r="BZ329" s="5" t="s">
        <v>238</v>
      </c>
      <c r="CD329" s="5" t="s">
        <v>255</v>
      </c>
      <c r="CE329" s="5" t="s">
        <v>256</v>
      </c>
      <c r="CF329" s="5" t="s">
        <v>238</v>
      </c>
      <c r="CI329" s="6" t="s">
        <v>257</v>
      </c>
      <c r="CJ329" s="5" t="s">
        <v>238</v>
      </c>
      <c r="CK329" s="5" t="s">
        <v>258</v>
      </c>
      <c r="CL329" s="5" t="s">
        <v>238</v>
      </c>
      <c r="CM329" s="5" t="s">
        <v>238</v>
      </c>
      <c r="CN329" s="5">
        <v>0</v>
      </c>
      <c r="CO329" s="5" t="s">
        <v>259</v>
      </c>
      <c r="CP329" s="5" t="s">
        <v>260</v>
      </c>
      <c r="CQ329" s="5" t="s">
        <v>260</v>
      </c>
      <c r="CR329" s="5" t="s">
        <v>261</v>
      </c>
      <c r="CU329" s="8">
        <f>156385645</f>
        <v>156385645</v>
      </c>
      <c r="CV329" s="8">
        <f>0</f>
        <v>0</v>
      </c>
      <c r="CX329" s="8">
        <f>0</f>
        <v>0</v>
      </c>
      <c r="CY329" s="8">
        <f>156385645</f>
        <v>156385645</v>
      </c>
      <c r="DA329" s="5" t="s">
        <v>2032</v>
      </c>
      <c r="DB329" s="5" t="s">
        <v>238</v>
      </c>
      <c r="DD329" s="5" t="s">
        <v>356</v>
      </c>
      <c r="DE329" s="8">
        <f>0</f>
        <v>0</v>
      </c>
      <c r="DG329" s="5" t="s">
        <v>389</v>
      </c>
      <c r="DH329" s="5" t="s">
        <v>238</v>
      </c>
      <c r="DI329" s="5" t="s">
        <v>238</v>
      </c>
      <c r="DJ329" s="5" t="s">
        <v>238</v>
      </c>
      <c r="DN329" s="5" t="s">
        <v>238</v>
      </c>
      <c r="DO329" s="5" t="s">
        <v>238</v>
      </c>
      <c r="DP329" s="5" t="s">
        <v>238</v>
      </c>
      <c r="DQ329" s="5" t="s">
        <v>238</v>
      </c>
      <c r="DT329" s="5" t="s">
        <v>6086</v>
      </c>
      <c r="DU329" s="5" t="s">
        <v>1354</v>
      </c>
      <c r="HM329" s="5" t="s">
        <v>854</v>
      </c>
    </row>
    <row r="330" spans="1:238" x14ac:dyDescent="0.4">
      <c r="A330" s="5">
        <v>1064</v>
      </c>
      <c r="B330" s="5">
        <v>1</v>
      </c>
      <c r="C330" s="5">
        <v>3</v>
      </c>
      <c r="D330" s="5" t="s">
        <v>6084</v>
      </c>
      <c r="E330" s="5" t="s">
        <v>4391</v>
      </c>
      <c r="F330" s="5" t="s">
        <v>248</v>
      </c>
      <c r="G330" s="5" t="s">
        <v>4465</v>
      </c>
      <c r="H330" s="6" t="s">
        <v>4467</v>
      </c>
      <c r="I330" s="7">
        <f>15466</f>
        <v>15466</v>
      </c>
      <c r="J330" s="5" t="s">
        <v>262</v>
      </c>
      <c r="K330" s="8">
        <f>34200880</f>
        <v>34200880</v>
      </c>
      <c r="L330" s="6" t="s">
        <v>242</v>
      </c>
      <c r="M330" s="5" t="s">
        <v>267</v>
      </c>
      <c r="N330" s="5" t="s">
        <v>237</v>
      </c>
      <c r="Q330" s="5" t="s">
        <v>239</v>
      </c>
      <c r="R330" s="5" t="s">
        <v>270</v>
      </c>
      <c r="S330" s="5" t="s">
        <v>238</v>
      </c>
      <c r="V330" s="5" t="s">
        <v>238</v>
      </c>
      <c r="W330" s="6" t="s">
        <v>238</v>
      </c>
      <c r="X330" s="6" t="s">
        <v>238</v>
      </c>
      <c r="Y330" s="5" t="s">
        <v>238</v>
      </c>
      <c r="Z330" s="6" t="s">
        <v>238</v>
      </c>
      <c r="AA330" s="6" t="s">
        <v>243</v>
      </c>
      <c r="AB330" s="5" t="s">
        <v>486</v>
      </c>
      <c r="AC330" s="5" t="s">
        <v>244</v>
      </c>
      <c r="AD330" s="5" t="s">
        <v>1056</v>
      </c>
      <c r="AJ330" s="5" t="s">
        <v>238</v>
      </c>
      <c r="AK330" s="5" t="s">
        <v>238</v>
      </c>
      <c r="AL330" s="5" t="s">
        <v>238</v>
      </c>
      <c r="AM330" s="6" t="s">
        <v>238</v>
      </c>
      <c r="AN330" s="6" t="s">
        <v>238</v>
      </c>
      <c r="AO330" s="6" t="s">
        <v>238</v>
      </c>
      <c r="AR330" s="5" t="s">
        <v>488</v>
      </c>
      <c r="AS330" s="5" t="s">
        <v>488</v>
      </c>
      <c r="AT330" s="5" t="s">
        <v>246</v>
      </c>
      <c r="AU330" s="5" t="s">
        <v>6564</v>
      </c>
      <c r="AV330" s="5" t="s">
        <v>247</v>
      </c>
      <c r="AW330" s="5" t="s">
        <v>600</v>
      </c>
      <c r="AX330" s="5" t="s">
        <v>249</v>
      </c>
      <c r="AY330" s="5" t="s">
        <v>490</v>
      </c>
      <c r="BA330" s="5" t="s">
        <v>4547</v>
      </c>
      <c r="BC330" s="5" t="s">
        <v>491</v>
      </c>
      <c r="BD330" s="6" t="s">
        <v>492</v>
      </c>
      <c r="BE330" s="5" t="s">
        <v>251</v>
      </c>
      <c r="BF330" s="5" t="s">
        <v>6840</v>
      </c>
      <c r="BG330" s="5" t="s">
        <v>238</v>
      </c>
      <c r="BH330" s="7">
        <f>8.76</f>
        <v>8.76</v>
      </c>
      <c r="BI330" s="8">
        <f>0</f>
        <v>0</v>
      </c>
      <c r="BJ330" s="5" t="s">
        <v>253</v>
      </c>
      <c r="BK330" s="5" t="s">
        <v>254</v>
      </c>
      <c r="BL330" s="5" t="s">
        <v>238</v>
      </c>
      <c r="BM330" s="5" t="s">
        <v>238</v>
      </c>
      <c r="BN330" s="5" t="s">
        <v>238</v>
      </c>
      <c r="BO330" s="5" t="s">
        <v>238</v>
      </c>
      <c r="BT330" s="6" t="s">
        <v>238</v>
      </c>
      <c r="BU330" s="5" t="s">
        <v>238</v>
      </c>
      <c r="BV330" s="5" t="s">
        <v>238</v>
      </c>
      <c r="BW330" s="5" t="s">
        <v>238</v>
      </c>
      <c r="BX330" s="5" t="s">
        <v>254</v>
      </c>
      <c r="BY330" s="5" t="s">
        <v>238</v>
      </c>
      <c r="BZ330" s="5" t="s">
        <v>238</v>
      </c>
      <c r="CD330" s="5" t="s">
        <v>255</v>
      </c>
      <c r="CE330" s="5" t="s">
        <v>256</v>
      </c>
      <c r="CF330" s="5" t="s">
        <v>261</v>
      </c>
      <c r="CH330" s="5" t="s">
        <v>238</v>
      </c>
      <c r="CI330" s="6" t="s">
        <v>257</v>
      </c>
      <c r="CJ330" s="5" t="s">
        <v>495</v>
      </c>
      <c r="CK330" s="5" t="s">
        <v>6520</v>
      </c>
      <c r="CL330" s="5" t="s">
        <v>496</v>
      </c>
      <c r="CM330" s="5" t="s">
        <v>238</v>
      </c>
      <c r="CN330" s="5">
        <v>0</v>
      </c>
      <c r="CO330" s="5" t="s">
        <v>497</v>
      </c>
      <c r="CP330" s="5" t="s">
        <v>260</v>
      </c>
      <c r="CQ330" s="5" t="s">
        <v>260</v>
      </c>
      <c r="CR330" s="5" t="s">
        <v>261</v>
      </c>
      <c r="CS330" s="5" t="s">
        <v>238</v>
      </c>
      <c r="CT330" s="7">
        <f>0</f>
        <v>0</v>
      </c>
      <c r="CU330" s="8">
        <f>34257189</f>
        <v>34257189</v>
      </c>
      <c r="CV330" s="8">
        <f>0</f>
        <v>0</v>
      </c>
      <c r="CW330" s="8" t="s">
        <v>238</v>
      </c>
      <c r="CX330" s="8">
        <f>34200880</f>
        <v>34200880</v>
      </c>
      <c r="CY330" s="8">
        <f>34200880</f>
        <v>34200880</v>
      </c>
      <c r="CZ330" s="8" t="s">
        <v>238</v>
      </c>
      <c r="DA330" s="5" t="s">
        <v>238</v>
      </c>
      <c r="DB330" s="5" t="s">
        <v>238</v>
      </c>
      <c r="DD330" s="5" t="s">
        <v>356</v>
      </c>
      <c r="DE330" s="8">
        <f>0</f>
        <v>0</v>
      </c>
      <c r="DF330" s="6" t="s">
        <v>238</v>
      </c>
      <c r="DG330" s="5" t="s">
        <v>389</v>
      </c>
      <c r="DH330" s="5" t="s">
        <v>238</v>
      </c>
      <c r="DI330" s="5" t="s">
        <v>238</v>
      </c>
      <c r="DJ330" s="5" t="s">
        <v>238</v>
      </c>
      <c r="DK330" s="5" t="s">
        <v>238</v>
      </c>
      <c r="DL330" s="5" t="s">
        <v>238</v>
      </c>
      <c r="DM330" s="8" t="s">
        <v>238</v>
      </c>
      <c r="DN330" s="5" t="s">
        <v>238</v>
      </c>
      <c r="DO330" s="5" t="s">
        <v>244</v>
      </c>
      <c r="DP330" s="5" t="s">
        <v>490</v>
      </c>
      <c r="DQ330" s="5" t="s">
        <v>490</v>
      </c>
      <c r="DR330" s="5" t="s">
        <v>238</v>
      </c>
      <c r="DS330" s="5" t="s">
        <v>238</v>
      </c>
      <c r="DT330" s="5" t="s">
        <v>6086</v>
      </c>
      <c r="DU330" s="5" t="s">
        <v>1350</v>
      </c>
      <c r="HP330" s="5" t="s">
        <v>238</v>
      </c>
      <c r="HQ330" s="5" t="s">
        <v>238</v>
      </c>
      <c r="HR330" s="5" t="s">
        <v>238</v>
      </c>
      <c r="HS330" s="5" t="s">
        <v>238</v>
      </c>
      <c r="HT330" s="5" t="s">
        <v>238</v>
      </c>
      <c r="HU330" s="5" t="s">
        <v>238</v>
      </c>
      <c r="HV330" s="5" t="s">
        <v>238</v>
      </c>
      <c r="HW330" s="5" t="s">
        <v>238</v>
      </c>
      <c r="HX330" s="5" t="s">
        <v>238</v>
      </c>
      <c r="HY330" s="5" t="s">
        <v>238</v>
      </c>
      <c r="HZ330" s="5" t="s">
        <v>238</v>
      </c>
      <c r="IA330" s="5" t="s">
        <v>238</v>
      </c>
      <c r="IB330" s="5" t="s">
        <v>238</v>
      </c>
      <c r="IC330" s="5" t="s">
        <v>238</v>
      </c>
      <c r="ID330" s="5" t="s">
        <v>238</v>
      </c>
    </row>
    <row r="331" spans="1:238" x14ac:dyDescent="0.4">
      <c r="A331" s="5">
        <v>1065</v>
      </c>
      <c r="B331" s="5">
        <v>1</v>
      </c>
      <c r="C331" s="5">
        <v>1</v>
      </c>
      <c r="D331" s="5" t="s">
        <v>6002</v>
      </c>
      <c r="E331" s="5" t="s">
        <v>437</v>
      </c>
      <c r="F331" s="5" t="s">
        <v>248</v>
      </c>
      <c r="G331" s="5" t="s">
        <v>6001</v>
      </c>
      <c r="H331" s="6" t="s">
        <v>6006</v>
      </c>
      <c r="I331" s="7">
        <f>6930</f>
        <v>6930</v>
      </c>
      <c r="J331" s="5" t="s">
        <v>262</v>
      </c>
      <c r="K331" s="8">
        <f>15349950</f>
        <v>15349950</v>
      </c>
      <c r="L331" s="6" t="s">
        <v>242</v>
      </c>
      <c r="M331" s="5" t="s">
        <v>267</v>
      </c>
      <c r="N331" s="5" t="s">
        <v>237</v>
      </c>
      <c r="O331" s="5" t="s">
        <v>238</v>
      </c>
      <c r="P331" s="5" t="s">
        <v>238</v>
      </c>
      <c r="Q331" s="5" t="s">
        <v>239</v>
      </c>
      <c r="R331" s="5" t="s">
        <v>270</v>
      </c>
      <c r="S331" s="5" t="s">
        <v>238</v>
      </c>
      <c r="V331" s="5" t="s">
        <v>238</v>
      </c>
      <c r="X331" s="6" t="s">
        <v>238</v>
      </c>
      <c r="AA331" s="6" t="s">
        <v>243</v>
      </c>
      <c r="AB331" s="5" t="s">
        <v>238</v>
      </c>
      <c r="AC331" s="5" t="s">
        <v>244</v>
      </c>
      <c r="AD331" s="5" t="s">
        <v>245</v>
      </c>
      <c r="AT331" s="5" t="s">
        <v>246</v>
      </c>
      <c r="AU331" s="5" t="s">
        <v>238</v>
      </c>
      <c r="AV331" s="5" t="s">
        <v>247</v>
      </c>
      <c r="AW331" s="5" t="s">
        <v>238</v>
      </c>
      <c r="AX331" s="5" t="s">
        <v>249</v>
      </c>
      <c r="AY331" s="5" t="s">
        <v>238</v>
      </c>
      <c r="BA331" s="5" t="s">
        <v>4547</v>
      </c>
      <c r="BC331" s="5" t="s">
        <v>250</v>
      </c>
      <c r="BD331" s="6" t="s">
        <v>243</v>
      </c>
      <c r="BE331" s="5" t="s">
        <v>251</v>
      </c>
      <c r="BF331" s="5" t="s">
        <v>252</v>
      </c>
      <c r="BG331" s="5" t="s">
        <v>238</v>
      </c>
      <c r="BH331" s="7">
        <f>0</f>
        <v>0</v>
      </c>
      <c r="BI331" s="8">
        <f>0</f>
        <v>0</v>
      </c>
      <c r="BJ331" s="5" t="s">
        <v>253</v>
      </c>
      <c r="BK331" s="5" t="s">
        <v>254</v>
      </c>
      <c r="BY331" s="5" t="s">
        <v>238</v>
      </c>
      <c r="BZ331" s="5" t="s">
        <v>238</v>
      </c>
      <c r="CD331" s="5" t="s">
        <v>255</v>
      </c>
      <c r="CE331" s="5" t="s">
        <v>256</v>
      </c>
      <c r="CF331" s="5" t="s">
        <v>238</v>
      </c>
      <c r="CI331" s="6" t="s">
        <v>257</v>
      </c>
      <c r="CJ331" s="5" t="s">
        <v>238</v>
      </c>
      <c r="CK331" s="5" t="s">
        <v>258</v>
      </c>
      <c r="CL331" s="5" t="s">
        <v>238</v>
      </c>
      <c r="CM331" s="5" t="s">
        <v>238</v>
      </c>
      <c r="CN331" s="5">
        <v>0</v>
      </c>
      <c r="CO331" s="5" t="s">
        <v>259</v>
      </c>
      <c r="CP331" s="5" t="s">
        <v>260</v>
      </c>
      <c r="CQ331" s="5" t="s">
        <v>260</v>
      </c>
      <c r="CR331" s="5" t="s">
        <v>261</v>
      </c>
      <c r="CU331" s="8">
        <f>15349950</f>
        <v>15349950</v>
      </c>
      <c r="CV331" s="8">
        <f>0</f>
        <v>0</v>
      </c>
      <c r="CX331" s="8">
        <f>0</f>
        <v>0</v>
      </c>
      <c r="CY331" s="8">
        <f>15349950</f>
        <v>15349950</v>
      </c>
      <c r="DA331" s="5" t="s">
        <v>2032</v>
      </c>
      <c r="DB331" s="5" t="s">
        <v>238</v>
      </c>
      <c r="DD331" s="5" t="s">
        <v>2032</v>
      </c>
      <c r="DE331" s="8">
        <f>6930</f>
        <v>6930</v>
      </c>
      <c r="DG331" s="5" t="s">
        <v>389</v>
      </c>
      <c r="DH331" s="5" t="s">
        <v>238</v>
      </c>
      <c r="DI331" s="5" t="s">
        <v>238</v>
      </c>
      <c r="DJ331" s="5" t="s">
        <v>238</v>
      </c>
      <c r="DN331" s="5" t="s">
        <v>238</v>
      </c>
      <c r="DO331" s="5" t="s">
        <v>238</v>
      </c>
      <c r="DP331" s="5" t="s">
        <v>238</v>
      </c>
      <c r="DQ331" s="5" t="s">
        <v>238</v>
      </c>
      <c r="DT331" s="5" t="s">
        <v>6004</v>
      </c>
      <c r="DU331" s="5" t="s">
        <v>264</v>
      </c>
      <c r="HM331" s="5" t="s">
        <v>264</v>
      </c>
    </row>
    <row r="332" spans="1:238" x14ac:dyDescent="0.4">
      <c r="A332" s="5">
        <v>1066</v>
      </c>
      <c r="B332" s="5">
        <v>1</v>
      </c>
      <c r="C332" s="5">
        <v>1</v>
      </c>
      <c r="D332" s="5" t="s">
        <v>6002</v>
      </c>
      <c r="E332" s="5" t="s">
        <v>437</v>
      </c>
      <c r="F332" s="5" t="s">
        <v>248</v>
      </c>
      <c r="G332" s="5" t="s">
        <v>6001</v>
      </c>
      <c r="H332" s="6" t="s">
        <v>6007</v>
      </c>
      <c r="I332" s="7">
        <f>3974</f>
        <v>3974</v>
      </c>
      <c r="J332" s="5" t="s">
        <v>262</v>
      </c>
      <c r="K332" s="8">
        <f>8802410</f>
        <v>8802410</v>
      </c>
      <c r="L332" s="6" t="s">
        <v>242</v>
      </c>
      <c r="M332" s="5" t="s">
        <v>267</v>
      </c>
      <c r="N332" s="5" t="s">
        <v>237</v>
      </c>
      <c r="O332" s="5" t="s">
        <v>238</v>
      </c>
      <c r="P332" s="5" t="s">
        <v>238</v>
      </c>
      <c r="Q332" s="5" t="s">
        <v>239</v>
      </c>
      <c r="R332" s="5" t="s">
        <v>270</v>
      </c>
      <c r="S332" s="5" t="s">
        <v>238</v>
      </c>
      <c r="V332" s="5" t="s">
        <v>238</v>
      </c>
      <c r="X332" s="6" t="s">
        <v>238</v>
      </c>
      <c r="AA332" s="6" t="s">
        <v>243</v>
      </c>
      <c r="AB332" s="5" t="s">
        <v>238</v>
      </c>
      <c r="AC332" s="5" t="s">
        <v>244</v>
      </c>
      <c r="AD332" s="5" t="s">
        <v>245</v>
      </c>
      <c r="AT332" s="5" t="s">
        <v>246</v>
      </c>
      <c r="AU332" s="5" t="s">
        <v>238</v>
      </c>
      <c r="AV332" s="5" t="s">
        <v>247</v>
      </c>
      <c r="AW332" s="5" t="s">
        <v>238</v>
      </c>
      <c r="AX332" s="5" t="s">
        <v>249</v>
      </c>
      <c r="AY332" s="5" t="s">
        <v>238</v>
      </c>
      <c r="BA332" s="5" t="s">
        <v>238</v>
      </c>
      <c r="BC332" s="5" t="s">
        <v>250</v>
      </c>
      <c r="BD332" s="6" t="s">
        <v>243</v>
      </c>
      <c r="BE332" s="5" t="s">
        <v>251</v>
      </c>
      <c r="BF332" s="5" t="s">
        <v>252</v>
      </c>
      <c r="BG332" s="5" t="s">
        <v>238</v>
      </c>
      <c r="BH332" s="7">
        <f>0</f>
        <v>0</v>
      </c>
      <c r="BI332" s="8">
        <f>0</f>
        <v>0</v>
      </c>
      <c r="BJ332" s="5" t="s">
        <v>253</v>
      </c>
      <c r="BK332" s="5" t="s">
        <v>254</v>
      </c>
      <c r="BY332" s="5" t="s">
        <v>238</v>
      </c>
      <c r="BZ332" s="5" t="s">
        <v>238</v>
      </c>
      <c r="CD332" s="5" t="s">
        <v>255</v>
      </c>
      <c r="CE332" s="5" t="s">
        <v>256</v>
      </c>
      <c r="CF332" s="5" t="s">
        <v>238</v>
      </c>
      <c r="CI332" s="6" t="s">
        <v>257</v>
      </c>
      <c r="CJ332" s="5" t="s">
        <v>238</v>
      </c>
      <c r="CK332" s="5" t="s">
        <v>258</v>
      </c>
      <c r="CL332" s="5" t="s">
        <v>238</v>
      </c>
      <c r="CM332" s="5" t="s">
        <v>238</v>
      </c>
      <c r="CN332" s="5">
        <v>0</v>
      </c>
      <c r="CO332" s="5" t="s">
        <v>259</v>
      </c>
      <c r="CP332" s="5" t="s">
        <v>260</v>
      </c>
      <c r="CQ332" s="5" t="s">
        <v>260</v>
      </c>
      <c r="CR332" s="5" t="s">
        <v>261</v>
      </c>
      <c r="CU332" s="8">
        <f>8802410</f>
        <v>8802410</v>
      </c>
      <c r="CV332" s="8">
        <f>0</f>
        <v>0</v>
      </c>
      <c r="CX332" s="8">
        <f>0</f>
        <v>0</v>
      </c>
      <c r="CY332" s="8">
        <f>8802410</f>
        <v>8802410</v>
      </c>
      <c r="DA332" s="5" t="s">
        <v>2032</v>
      </c>
      <c r="DB332" s="5" t="s">
        <v>238</v>
      </c>
      <c r="DD332" s="5" t="s">
        <v>2032</v>
      </c>
      <c r="DE332" s="8">
        <f>3974</f>
        <v>3974</v>
      </c>
      <c r="DG332" s="5" t="s">
        <v>389</v>
      </c>
      <c r="DH332" s="5" t="s">
        <v>238</v>
      </c>
      <c r="DI332" s="5" t="s">
        <v>238</v>
      </c>
      <c r="DJ332" s="5" t="s">
        <v>238</v>
      </c>
      <c r="DN332" s="5" t="s">
        <v>238</v>
      </c>
      <c r="DO332" s="5" t="s">
        <v>238</v>
      </c>
      <c r="DP332" s="5" t="s">
        <v>238</v>
      </c>
      <c r="DQ332" s="5" t="s">
        <v>238</v>
      </c>
      <c r="DT332" s="5" t="s">
        <v>6004</v>
      </c>
      <c r="DU332" s="5" t="s">
        <v>294</v>
      </c>
      <c r="HM332" s="5" t="s">
        <v>264</v>
      </c>
    </row>
    <row r="333" spans="1:238" x14ac:dyDescent="0.4">
      <c r="A333" s="5">
        <v>1067</v>
      </c>
      <c r="B333" s="5">
        <v>1</v>
      </c>
      <c r="C333" s="5">
        <v>1</v>
      </c>
      <c r="D333" s="5" t="s">
        <v>6002</v>
      </c>
      <c r="E333" s="5" t="s">
        <v>437</v>
      </c>
      <c r="F333" s="5" t="s">
        <v>248</v>
      </c>
      <c r="G333" s="5" t="s">
        <v>6001</v>
      </c>
      <c r="H333" s="6" t="s">
        <v>6005</v>
      </c>
      <c r="I333" s="7">
        <f>161</f>
        <v>161</v>
      </c>
      <c r="J333" s="5" t="s">
        <v>262</v>
      </c>
      <c r="K333" s="8">
        <f>356615</f>
        <v>356615</v>
      </c>
      <c r="L333" s="6" t="s">
        <v>242</v>
      </c>
      <c r="M333" s="5" t="s">
        <v>267</v>
      </c>
      <c r="N333" s="5" t="s">
        <v>237</v>
      </c>
      <c r="O333" s="5" t="s">
        <v>238</v>
      </c>
      <c r="P333" s="5" t="s">
        <v>238</v>
      </c>
      <c r="Q333" s="5" t="s">
        <v>239</v>
      </c>
      <c r="R333" s="5" t="s">
        <v>270</v>
      </c>
      <c r="S333" s="5" t="s">
        <v>238</v>
      </c>
      <c r="V333" s="5" t="s">
        <v>238</v>
      </c>
      <c r="X333" s="6" t="s">
        <v>238</v>
      </c>
      <c r="AA333" s="6" t="s">
        <v>243</v>
      </c>
      <c r="AB333" s="5" t="s">
        <v>238</v>
      </c>
      <c r="AC333" s="5" t="s">
        <v>244</v>
      </c>
      <c r="AD333" s="5" t="s">
        <v>245</v>
      </c>
      <c r="AT333" s="5" t="s">
        <v>246</v>
      </c>
      <c r="AU333" s="5" t="s">
        <v>238</v>
      </c>
      <c r="AV333" s="5" t="s">
        <v>247</v>
      </c>
      <c r="AW333" s="5" t="s">
        <v>238</v>
      </c>
      <c r="AX333" s="5" t="s">
        <v>249</v>
      </c>
      <c r="AY333" s="5" t="s">
        <v>238</v>
      </c>
      <c r="BA333" s="5" t="s">
        <v>238</v>
      </c>
      <c r="BC333" s="5" t="s">
        <v>250</v>
      </c>
      <c r="BD333" s="6" t="s">
        <v>243</v>
      </c>
      <c r="BE333" s="5" t="s">
        <v>251</v>
      </c>
      <c r="BF333" s="5" t="s">
        <v>252</v>
      </c>
      <c r="BG333" s="5" t="s">
        <v>238</v>
      </c>
      <c r="BH333" s="7">
        <f>0</f>
        <v>0</v>
      </c>
      <c r="BI333" s="8">
        <f>0</f>
        <v>0</v>
      </c>
      <c r="BJ333" s="5" t="s">
        <v>253</v>
      </c>
      <c r="BK333" s="5" t="s">
        <v>254</v>
      </c>
      <c r="BY333" s="5" t="s">
        <v>238</v>
      </c>
      <c r="BZ333" s="5" t="s">
        <v>238</v>
      </c>
      <c r="CD333" s="5" t="s">
        <v>255</v>
      </c>
      <c r="CE333" s="5" t="s">
        <v>256</v>
      </c>
      <c r="CF333" s="5" t="s">
        <v>238</v>
      </c>
      <c r="CI333" s="6" t="s">
        <v>257</v>
      </c>
      <c r="CJ333" s="5" t="s">
        <v>238</v>
      </c>
      <c r="CK333" s="5" t="s">
        <v>258</v>
      </c>
      <c r="CL333" s="5" t="s">
        <v>238</v>
      </c>
      <c r="CM333" s="5" t="s">
        <v>238</v>
      </c>
      <c r="CN333" s="5">
        <v>0</v>
      </c>
      <c r="CO333" s="5" t="s">
        <v>259</v>
      </c>
      <c r="CP333" s="5" t="s">
        <v>260</v>
      </c>
      <c r="CQ333" s="5" t="s">
        <v>260</v>
      </c>
      <c r="CR333" s="5" t="s">
        <v>261</v>
      </c>
      <c r="CU333" s="8">
        <f>356615</f>
        <v>356615</v>
      </c>
      <c r="CV333" s="8">
        <f>0</f>
        <v>0</v>
      </c>
      <c r="CX333" s="8">
        <f>0</f>
        <v>0</v>
      </c>
      <c r="CY333" s="8">
        <f>356615</f>
        <v>356615</v>
      </c>
      <c r="DA333" s="5" t="s">
        <v>2032</v>
      </c>
      <c r="DB333" s="5" t="s">
        <v>238</v>
      </c>
      <c r="DD333" s="5" t="s">
        <v>2032</v>
      </c>
      <c r="DE333" s="8">
        <f>161</f>
        <v>161</v>
      </c>
      <c r="DG333" s="5" t="s">
        <v>389</v>
      </c>
      <c r="DH333" s="5" t="s">
        <v>238</v>
      </c>
      <c r="DI333" s="5" t="s">
        <v>238</v>
      </c>
      <c r="DJ333" s="5" t="s">
        <v>238</v>
      </c>
      <c r="DN333" s="5" t="s">
        <v>238</v>
      </c>
      <c r="DO333" s="5" t="s">
        <v>238</v>
      </c>
      <c r="DP333" s="5" t="s">
        <v>238</v>
      </c>
      <c r="DQ333" s="5" t="s">
        <v>238</v>
      </c>
      <c r="DT333" s="5" t="s">
        <v>6004</v>
      </c>
      <c r="DU333" s="5" t="s">
        <v>806</v>
      </c>
      <c r="HM333" s="5" t="s">
        <v>264</v>
      </c>
    </row>
    <row r="334" spans="1:238" x14ac:dyDescent="0.4">
      <c r="A334" s="5">
        <v>1068</v>
      </c>
      <c r="B334" s="5">
        <v>1</v>
      </c>
      <c r="C334" s="5">
        <v>1</v>
      </c>
      <c r="D334" s="5" t="s">
        <v>6002</v>
      </c>
      <c r="E334" s="5" t="s">
        <v>437</v>
      </c>
      <c r="F334" s="5" t="s">
        <v>248</v>
      </c>
      <c r="G334" s="5" t="s">
        <v>6001</v>
      </c>
      <c r="H334" s="6" t="s">
        <v>6003</v>
      </c>
      <c r="I334" s="7">
        <f>6511</f>
        <v>6511</v>
      </c>
      <c r="J334" s="5" t="s">
        <v>262</v>
      </c>
      <c r="K334" s="8">
        <f>14421865</f>
        <v>14421865</v>
      </c>
      <c r="L334" s="6" t="s">
        <v>242</v>
      </c>
      <c r="M334" s="5" t="s">
        <v>267</v>
      </c>
      <c r="N334" s="5" t="s">
        <v>237</v>
      </c>
      <c r="O334" s="5" t="s">
        <v>238</v>
      </c>
      <c r="P334" s="5" t="s">
        <v>238</v>
      </c>
      <c r="Q334" s="5" t="s">
        <v>239</v>
      </c>
      <c r="R334" s="5" t="s">
        <v>270</v>
      </c>
      <c r="S334" s="5" t="s">
        <v>238</v>
      </c>
      <c r="V334" s="5" t="s">
        <v>238</v>
      </c>
      <c r="X334" s="6" t="s">
        <v>238</v>
      </c>
      <c r="AA334" s="6" t="s">
        <v>243</v>
      </c>
      <c r="AB334" s="5" t="s">
        <v>238</v>
      </c>
      <c r="AC334" s="5" t="s">
        <v>244</v>
      </c>
      <c r="AD334" s="5" t="s">
        <v>245</v>
      </c>
      <c r="AT334" s="5" t="s">
        <v>246</v>
      </c>
      <c r="AU334" s="5" t="s">
        <v>238</v>
      </c>
      <c r="AV334" s="5" t="s">
        <v>247</v>
      </c>
      <c r="AW334" s="5" t="s">
        <v>238</v>
      </c>
      <c r="AX334" s="5" t="s">
        <v>249</v>
      </c>
      <c r="AY334" s="5" t="s">
        <v>238</v>
      </c>
      <c r="BA334" s="5" t="s">
        <v>238</v>
      </c>
      <c r="BC334" s="5" t="s">
        <v>250</v>
      </c>
      <c r="BD334" s="6" t="s">
        <v>243</v>
      </c>
      <c r="BE334" s="5" t="s">
        <v>251</v>
      </c>
      <c r="BF334" s="5" t="s">
        <v>252</v>
      </c>
      <c r="BG334" s="5" t="s">
        <v>238</v>
      </c>
      <c r="BH334" s="7">
        <f>0</f>
        <v>0</v>
      </c>
      <c r="BI334" s="8">
        <f>0</f>
        <v>0</v>
      </c>
      <c r="BJ334" s="5" t="s">
        <v>253</v>
      </c>
      <c r="BK334" s="5" t="s">
        <v>254</v>
      </c>
      <c r="BY334" s="5" t="s">
        <v>238</v>
      </c>
      <c r="BZ334" s="5" t="s">
        <v>238</v>
      </c>
      <c r="CD334" s="5" t="s">
        <v>255</v>
      </c>
      <c r="CE334" s="5" t="s">
        <v>256</v>
      </c>
      <c r="CF334" s="5" t="s">
        <v>238</v>
      </c>
      <c r="CI334" s="6" t="s">
        <v>257</v>
      </c>
      <c r="CJ334" s="5" t="s">
        <v>238</v>
      </c>
      <c r="CK334" s="5" t="s">
        <v>258</v>
      </c>
      <c r="CL334" s="5" t="s">
        <v>238</v>
      </c>
      <c r="CM334" s="5" t="s">
        <v>238</v>
      </c>
      <c r="CN334" s="5">
        <v>0</v>
      </c>
      <c r="CO334" s="5" t="s">
        <v>259</v>
      </c>
      <c r="CP334" s="5" t="s">
        <v>260</v>
      </c>
      <c r="CQ334" s="5" t="s">
        <v>260</v>
      </c>
      <c r="CR334" s="5" t="s">
        <v>261</v>
      </c>
      <c r="CU334" s="8">
        <f>14421865</f>
        <v>14421865</v>
      </c>
      <c r="CV334" s="8">
        <f>0</f>
        <v>0</v>
      </c>
      <c r="CX334" s="8">
        <f>0</f>
        <v>0</v>
      </c>
      <c r="CY334" s="8">
        <f>14421865</f>
        <v>14421865</v>
      </c>
      <c r="DA334" s="5" t="s">
        <v>2032</v>
      </c>
      <c r="DB334" s="5" t="s">
        <v>238</v>
      </c>
      <c r="DD334" s="5" t="s">
        <v>2032</v>
      </c>
      <c r="DE334" s="8">
        <f>6511</f>
        <v>6511</v>
      </c>
      <c r="DG334" s="5" t="s">
        <v>389</v>
      </c>
      <c r="DH334" s="5" t="s">
        <v>238</v>
      </c>
      <c r="DI334" s="5" t="s">
        <v>238</v>
      </c>
      <c r="DJ334" s="5" t="s">
        <v>238</v>
      </c>
      <c r="DN334" s="5" t="s">
        <v>238</v>
      </c>
      <c r="DO334" s="5" t="s">
        <v>238</v>
      </c>
      <c r="DP334" s="5" t="s">
        <v>238</v>
      </c>
      <c r="DQ334" s="5" t="s">
        <v>238</v>
      </c>
      <c r="DT334" s="5" t="s">
        <v>6004</v>
      </c>
      <c r="DU334" s="5" t="s">
        <v>854</v>
      </c>
      <c r="HM334" s="5" t="s">
        <v>264</v>
      </c>
    </row>
    <row r="335" spans="1:238" x14ac:dyDescent="0.4">
      <c r="A335" s="5">
        <v>1069</v>
      </c>
      <c r="B335" s="5">
        <v>1</v>
      </c>
      <c r="C335" s="5">
        <v>1</v>
      </c>
      <c r="D335" s="5" t="s">
        <v>6002</v>
      </c>
      <c r="E335" s="5" t="s">
        <v>437</v>
      </c>
      <c r="F335" s="5" t="s">
        <v>248</v>
      </c>
      <c r="G335" s="5" t="s">
        <v>6001</v>
      </c>
      <c r="H335" s="6" t="s">
        <v>6008</v>
      </c>
      <c r="I335" s="7">
        <f>1024</f>
        <v>1024</v>
      </c>
      <c r="J335" s="5" t="s">
        <v>262</v>
      </c>
      <c r="K335" s="8">
        <f>2268160</f>
        <v>2268160</v>
      </c>
      <c r="L335" s="6" t="s">
        <v>242</v>
      </c>
      <c r="M335" s="5" t="s">
        <v>267</v>
      </c>
      <c r="N335" s="5" t="s">
        <v>237</v>
      </c>
      <c r="O335" s="5" t="s">
        <v>238</v>
      </c>
      <c r="P335" s="5" t="s">
        <v>238</v>
      </c>
      <c r="Q335" s="5" t="s">
        <v>239</v>
      </c>
      <c r="R335" s="5" t="s">
        <v>270</v>
      </c>
      <c r="S335" s="5" t="s">
        <v>238</v>
      </c>
      <c r="V335" s="5" t="s">
        <v>238</v>
      </c>
      <c r="X335" s="6" t="s">
        <v>238</v>
      </c>
      <c r="AA335" s="6" t="s">
        <v>243</v>
      </c>
      <c r="AB335" s="5" t="s">
        <v>238</v>
      </c>
      <c r="AC335" s="5" t="s">
        <v>244</v>
      </c>
      <c r="AD335" s="5" t="s">
        <v>245</v>
      </c>
      <c r="AT335" s="5" t="s">
        <v>246</v>
      </c>
      <c r="AU335" s="5" t="s">
        <v>238</v>
      </c>
      <c r="AV335" s="5" t="s">
        <v>247</v>
      </c>
      <c r="AW335" s="5" t="s">
        <v>238</v>
      </c>
      <c r="AX335" s="5" t="s">
        <v>249</v>
      </c>
      <c r="AY335" s="5" t="s">
        <v>238</v>
      </c>
      <c r="BA335" s="5" t="s">
        <v>238</v>
      </c>
      <c r="BC335" s="5" t="s">
        <v>250</v>
      </c>
      <c r="BD335" s="6" t="s">
        <v>243</v>
      </c>
      <c r="BE335" s="5" t="s">
        <v>251</v>
      </c>
      <c r="BF335" s="5" t="s">
        <v>252</v>
      </c>
      <c r="BG335" s="5" t="s">
        <v>238</v>
      </c>
      <c r="BH335" s="7">
        <f>0</f>
        <v>0</v>
      </c>
      <c r="BI335" s="8">
        <f>0</f>
        <v>0</v>
      </c>
      <c r="BJ335" s="5" t="s">
        <v>253</v>
      </c>
      <c r="BK335" s="5" t="s">
        <v>254</v>
      </c>
      <c r="BY335" s="5" t="s">
        <v>238</v>
      </c>
      <c r="BZ335" s="5" t="s">
        <v>238</v>
      </c>
      <c r="CD335" s="5" t="s">
        <v>255</v>
      </c>
      <c r="CE335" s="5" t="s">
        <v>256</v>
      </c>
      <c r="CF335" s="5" t="s">
        <v>238</v>
      </c>
      <c r="CI335" s="6" t="s">
        <v>257</v>
      </c>
      <c r="CJ335" s="5" t="s">
        <v>238</v>
      </c>
      <c r="CK335" s="5" t="s">
        <v>258</v>
      </c>
      <c r="CL335" s="5" t="s">
        <v>238</v>
      </c>
      <c r="CM335" s="5" t="s">
        <v>238</v>
      </c>
      <c r="CN335" s="5">
        <v>0</v>
      </c>
      <c r="CO335" s="5" t="s">
        <v>259</v>
      </c>
      <c r="CP335" s="5" t="s">
        <v>260</v>
      </c>
      <c r="CQ335" s="5" t="s">
        <v>260</v>
      </c>
      <c r="CR335" s="5" t="s">
        <v>261</v>
      </c>
      <c r="CU335" s="8">
        <f>2268160</f>
        <v>2268160</v>
      </c>
      <c r="CV335" s="8">
        <f>0</f>
        <v>0</v>
      </c>
      <c r="CX335" s="8">
        <f>0</f>
        <v>0</v>
      </c>
      <c r="CY335" s="8">
        <f>2268160</f>
        <v>2268160</v>
      </c>
      <c r="DA335" s="5" t="s">
        <v>2032</v>
      </c>
      <c r="DB335" s="5" t="s">
        <v>238</v>
      </c>
      <c r="DD335" s="5" t="s">
        <v>2032</v>
      </c>
      <c r="DE335" s="8">
        <f>1024</f>
        <v>1024</v>
      </c>
      <c r="DG335" s="5" t="s">
        <v>389</v>
      </c>
      <c r="DH335" s="5" t="s">
        <v>238</v>
      </c>
      <c r="DI335" s="5" t="s">
        <v>238</v>
      </c>
      <c r="DJ335" s="5" t="s">
        <v>238</v>
      </c>
      <c r="DN335" s="5" t="s">
        <v>238</v>
      </c>
      <c r="DO335" s="5" t="s">
        <v>238</v>
      </c>
      <c r="DP335" s="5" t="s">
        <v>238</v>
      </c>
      <c r="DQ335" s="5" t="s">
        <v>238</v>
      </c>
      <c r="DT335" s="5" t="s">
        <v>6004</v>
      </c>
      <c r="DU335" s="5" t="s">
        <v>911</v>
      </c>
      <c r="HM335" s="5" t="s">
        <v>264</v>
      </c>
    </row>
    <row r="336" spans="1:238" x14ac:dyDescent="0.4">
      <c r="A336" s="5">
        <v>1070</v>
      </c>
      <c r="B336" s="5">
        <v>1</v>
      </c>
      <c r="C336" s="5">
        <v>1</v>
      </c>
      <c r="D336" s="5" t="s">
        <v>6002</v>
      </c>
      <c r="E336" s="5" t="s">
        <v>437</v>
      </c>
      <c r="F336" s="5" t="s">
        <v>248</v>
      </c>
      <c r="G336" s="5" t="s">
        <v>6001</v>
      </c>
      <c r="H336" s="6" t="s">
        <v>6009</v>
      </c>
      <c r="I336" s="7">
        <f>6603</f>
        <v>6603</v>
      </c>
      <c r="J336" s="5" t="s">
        <v>262</v>
      </c>
      <c r="K336" s="8">
        <f>14625645</f>
        <v>14625645</v>
      </c>
      <c r="L336" s="6" t="s">
        <v>242</v>
      </c>
      <c r="M336" s="5" t="s">
        <v>267</v>
      </c>
      <c r="N336" s="5" t="s">
        <v>237</v>
      </c>
      <c r="O336" s="5" t="s">
        <v>238</v>
      </c>
      <c r="P336" s="5" t="s">
        <v>238</v>
      </c>
      <c r="Q336" s="5" t="s">
        <v>239</v>
      </c>
      <c r="R336" s="5" t="s">
        <v>270</v>
      </c>
      <c r="S336" s="5" t="s">
        <v>238</v>
      </c>
      <c r="V336" s="5" t="s">
        <v>238</v>
      </c>
      <c r="X336" s="6" t="s">
        <v>238</v>
      </c>
      <c r="AA336" s="6" t="s">
        <v>243</v>
      </c>
      <c r="AB336" s="5" t="s">
        <v>238</v>
      </c>
      <c r="AC336" s="5" t="s">
        <v>244</v>
      </c>
      <c r="AD336" s="5" t="s">
        <v>245</v>
      </c>
      <c r="AT336" s="5" t="s">
        <v>246</v>
      </c>
      <c r="AU336" s="5" t="s">
        <v>238</v>
      </c>
      <c r="AV336" s="5" t="s">
        <v>247</v>
      </c>
      <c r="AW336" s="5" t="s">
        <v>238</v>
      </c>
      <c r="AX336" s="5" t="s">
        <v>249</v>
      </c>
      <c r="AY336" s="5" t="s">
        <v>238</v>
      </c>
      <c r="BA336" s="5" t="s">
        <v>238</v>
      </c>
      <c r="BC336" s="5" t="s">
        <v>250</v>
      </c>
      <c r="BD336" s="6" t="s">
        <v>243</v>
      </c>
      <c r="BE336" s="5" t="s">
        <v>251</v>
      </c>
      <c r="BF336" s="5" t="s">
        <v>252</v>
      </c>
      <c r="BG336" s="5" t="s">
        <v>238</v>
      </c>
      <c r="BH336" s="7">
        <f>0</f>
        <v>0</v>
      </c>
      <c r="BI336" s="8">
        <f>0</f>
        <v>0</v>
      </c>
      <c r="BJ336" s="5" t="s">
        <v>253</v>
      </c>
      <c r="BK336" s="5" t="s">
        <v>254</v>
      </c>
      <c r="BY336" s="5" t="s">
        <v>238</v>
      </c>
      <c r="BZ336" s="5" t="s">
        <v>238</v>
      </c>
      <c r="CD336" s="5" t="s">
        <v>255</v>
      </c>
      <c r="CE336" s="5" t="s">
        <v>256</v>
      </c>
      <c r="CF336" s="5" t="s">
        <v>238</v>
      </c>
      <c r="CI336" s="6" t="s">
        <v>257</v>
      </c>
      <c r="CJ336" s="5" t="s">
        <v>238</v>
      </c>
      <c r="CK336" s="5" t="s">
        <v>258</v>
      </c>
      <c r="CL336" s="5" t="s">
        <v>238</v>
      </c>
      <c r="CM336" s="5" t="s">
        <v>238</v>
      </c>
      <c r="CN336" s="5">
        <v>0</v>
      </c>
      <c r="CO336" s="5" t="s">
        <v>259</v>
      </c>
      <c r="CP336" s="5" t="s">
        <v>260</v>
      </c>
      <c r="CQ336" s="5" t="s">
        <v>260</v>
      </c>
      <c r="CR336" s="5" t="s">
        <v>261</v>
      </c>
      <c r="CU336" s="8">
        <f>14625645</f>
        <v>14625645</v>
      </c>
      <c r="CV336" s="8">
        <f>0</f>
        <v>0</v>
      </c>
      <c r="CX336" s="8">
        <f>0</f>
        <v>0</v>
      </c>
      <c r="CY336" s="8">
        <f>14625645</f>
        <v>14625645</v>
      </c>
      <c r="DA336" s="5" t="s">
        <v>2032</v>
      </c>
      <c r="DB336" s="5" t="s">
        <v>238</v>
      </c>
      <c r="DD336" s="5" t="s">
        <v>2032</v>
      </c>
      <c r="DE336" s="8">
        <f>6603</f>
        <v>6603</v>
      </c>
      <c r="DG336" s="5" t="s">
        <v>389</v>
      </c>
      <c r="DH336" s="5" t="s">
        <v>238</v>
      </c>
      <c r="DI336" s="5" t="s">
        <v>238</v>
      </c>
      <c r="DJ336" s="5" t="s">
        <v>238</v>
      </c>
      <c r="DN336" s="5" t="s">
        <v>238</v>
      </c>
      <c r="DO336" s="5" t="s">
        <v>238</v>
      </c>
      <c r="DP336" s="5" t="s">
        <v>238</v>
      </c>
      <c r="DQ336" s="5" t="s">
        <v>238</v>
      </c>
      <c r="DT336" s="5" t="s">
        <v>6004</v>
      </c>
      <c r="DU336" s="5" t="s">
        <v>967</v>
      </c>
      <c r="HM336" s="5" t="s">
        <v>264</v>
      </c>
    </row>
    <row r="337" spans="1:221" x14ac:dyDescent="0.4">
      <c r="A337" s="5">
        <v>1071</v>
      </c>
      <c r="B337" s="5">
        <v>1</v>
      </c>
      <c r="C337" s="5">
        <v>1</v>
      </c>
      <c r="D337" s="5" t="s">
        <v>6002</v>
      </c>
      <c r="E337" s="5" t="s">
        <v>437</v>
      </c>
      <c r="F337" s="5" t="s">
        <v>248</v>
      </c>
      <c r="G337" s="5" t="s">
        <v>6001</v>
      </c>
      <c r="H337" s="6" t="s">
        <v>6010</v>
      </c>
      <c r="I337" s="7">
        <f>962</f>
        <v>962</v>
      </c>
      <c r="J337" s="5" t="s">
        <v>262</v>
      </c>
      <c r="K337" s="8">
        <f>2130830</f>
        <v>2130830</v>
      </c>
      <c r="L337" s="6" t="s">
        <v>242</v>
      </c>
      <c r="M337" s="5" t="s">
        <v>267</v>
      </c>
      <c r="N337" s="5" t="s">
        <v>237</v>
      </c>
      <c r="O337" s="5" t="s">
        <v>238</v>
      </c>
      <c r="P337" s="5" t="s">
        <v>238</v>
      </c>
      <c r="Q337" s="5" t="s">
        <v>239</v>
      </c>
      <c r="R337" s="5" t="s">
        <v>270</v>
      </c>
      <c r="S337" s="5" t="s">
        <v>238</v>
      </c>
      <c r="V337" s="5" t="s">
        <v>238</v>
      </c>
      <c r="X337" s="6" t="s">
        <v>238</v>
      </c>
      <c r="AA337" s="6" t="s">
        <v>243</v>
      </c>
      <c r="AB337" s="5" t="s">
        <v>238</v>
      </c>
      <c r="AC337" s="5" t="s">
        <v>244</v>
      </c>
      <c r="AD337" s="5" t="s">
        <v>245</v>
      </c>
      <c r="AT337" s="5" t="s">
        <v>246</v>
      </c>
      <c r="AU337" s="5" t="s">
        <v>238</v>
      </c>
      <c r="AV337" s="5" t="s">
        <v>247</v>
      </c>
      <c r="AW337" s="5" t="s">
        <v>238</v>
      </c>
      <c r="AX337" s="5" t="s">
        <v>249</v>
      </c>
      <c r="AY337" s="5" t="s">
        <v>238</v>
      </c>
      <c r="BA337" s="5" t="s">
        <v>238</v>
      </c>
      <c r="BC337" s="5" t="s">
        <v>250</v>
      </c>
      <c r="BD337" s="6" t="s">
        <v>243</v>
      </c>
      <c r="BE337" s="5" t="s">
        <v>251</v>
      </c>
      <c r="BF337" s="5" t="s">
        <v>252</v>
      </c>
      <c r="BG337" s="5" t="s">
        <v>238</v>
      </c>
      <c r="BH337" s="7">
        <f>0</f>
        <v>0</v>
      </c>
      <c r="BI337" s="8">
        <f>0</f>
        <v>0</v>
      </c>
      <c r="BJ337" s="5" t="s">
        <v>253</v>
      </c>
      <c r="BK337" s="5" t="s">
        <v>254</v>
      </c>
      <c r="BY337" s="5" t="s">
        <v>238</v>
      </c>
      <c r="BZ337" s="5" t="s">
        <v>238</v>
      </c>
      <c r="CD337" s="5" t="s">
        <v>255</v>
      </c>
      <c r="CE337" s="5" t="s">
        <v>256</v>
      </c>
      <c r="CF337" s="5" t="s">
        <v>238</v>
      </c>
      <c r="CI337" s="6" t="s">
        <v>257</v>
      </c>
      <c r="CJ337" s="5" t="s">
        <v>238</v>
      </c>
      <c r="CK337" s="5" t="s">
        <v>258</v>
      </c>
      <c r="CL337" s="5" t="s">
        <v>238</v>
      </c>
      <c r="CM337" s="5" t="s">
        <v>238</v>
      </c>
      <c r="CN337" s="5">
        <v>0</v>
      </c>
      <c r="CO337" s="5" t="s">
        <v>259</v>
      </c>
      <c r="CP337" s="5" t="s">
        <v>260</v>
      </c>
      <c r="CQ337" s="5" t="s">
        <v>260</v>
      </c>
      <c r="CR337" s="5" t="s">
        <v>261</v>
      </c>
      <c r="CU337" s="8">
        <f>2130830</f>
        <v>2130830</v>
      </c>
      <c r="CV337" s="8">
        <f>0</f>
        <v>0</v>
      </c>
      <c r="CX337" s="8">
        <f>0</f>
        <v>0</v>
      </c>
      <c r="CY337" s="8">
        <f>2130830</f>
        <v>2130830</v>
      </c>
      <c r="DA337" s="5" t="s">
        <v>2032</v>
      </c>
      <c r="DB337" s="5" t="s">
        <v>238</v>
      </c>
      <c r="DD337" s="5" t="s">
        <v>2032</v>
      </c>
      <c r="DE337" s="8">
        <f>962</f>
        <v>962</v>
      </c>
      <c r="DG337" s="5" t="s">
        <v>389</v>
      </c>
      <c r="DH337" s="5" t="s">
        <v>238</v>
      </c>
      <c r="DI337" s="5" t="s">
        <v>238</v>
      </c>
      <c r="DJ337" s="5" t="s">
        <v>238</v>
      </c>
      <c r="DN337" s="5" t="s">
        <v>238</v>
      </c>
      <c r="DO337" s="5" t="s">
        <v>238</v>
      </c>
      <c r="DP337" s="5" t="s">
        <v>238</v>
      </c>
      <c r="DQ337" s="5" t="s">
        <v>238</v>
      </c>
      <c r="DT337" s="5" t="s">
        <v>6004</v>
      </c>
      <c r="DU337" s="5" t="s">
        <v>1376</v>
      </c>
      <c r="HM337" s="5" t="s">
        <v>264</v>
      </c>
    </row>
    <row r="338" spans="1:221" x14ac:dyDescent="0.4">
      <c r="A338" s="5">
        <v>1072</v>
      </c>
      <c r="B338" s="5">
        <v>1</v>
      </c>
      <c r="C338" s="5">
        <v>1</v>
      </c>
      <c r="D338" s="5" t="s">
        <v>6002</v>
      </c>
      <c r="E338" s="5" t="s">
        <v>437</v>
      </c>
      <c r="F338" s="5" t="s">
        <v>248</v>
      </c>
      <c r="G338" s="5" t="s">
        <v>6001</v>
      </c>
      <c r="H338" s="6" t="s">
        <v>6016</v>
      </c>
      <c r="I338" s="7">
        <f>1452</f>
        <v>1452</v>
      </c>
      <c r="J338" s="5" t="s">
        <v>262</v>
      </c>
      <c r="K338" s="8">
        <f>3216180</f>
        <v>3216180</v>
      </c>
      <c r="L338" s="6" t="s">
        <v>242</v>
      </c>
      <c r="M338" s="5" t="s">
        <v>267</v>
      </c>
      <c r="N338" s="5" t="s">
        <v>237</v>
      </c>
      <c r="O338" s="5" t="s">
        <v>238</v>
      </c>
      <c r="P338" s="5" t="s">
        <v>238</v>
      </c>
      <c r="Q338" s="5" t="s">
        <v>239</v>
      </c>
      <c r="R338" s="5" t="s">
        <v>270</v>
      </c>
      <c r="S338" s="5" t="s">
        <v>238</v>
      </c>
      <c r="V338" s="5" t="s">
        <v>238</v>
      </c>
      <c r="X338" s="6" t="s">
        <v>238</v>
      </c>
      <c r="AA338" s="6" t="s">
        <v>243</v>
      </c>
      <c r="AB338" s="5" t="s">
        <v>238</v>
      </c>
      <c r="AC338" s="5" t="s">
        <v>244</v>
      </c>
      <c r="AD338" s="5" t="s">
        <v>245</v>
      </c>
      <c r="AT338" s="5" t="s">
        <v>246</v>
      </c>
      <c r="AU338" s="5" t="s">
        <v>238</v>
      </c>
      <c r="AV338" s="5" t="s">
        <v>247</v>
      </c>
      <c r="AW338" s="5" t="s">
        <v>238</v>
      </c>
      <c r="AX338" s="5" t="s">
        <v>249</v>
      </c>
      <c r="AY338" s="5" t="s">
        <v>238</v>
      </c>
      <c r="BA338" s="5" t="s">
        <v>238</v>
      </c>
      <c r="BC338" s="5" t="s">
        <v>250</v>
      </c>
      <c r="BD338" s="6" t="s">
        <v>243</v>
      </c>
      <c r="BE338" s="5" t="s">
        <v>251</v>
      </c>
      <c r="BF338" s="5" t="s">
        <v>252</v>
      </c>
      <c r="BG338" s="5" t="s">
        <v>238</v>
      </c>
      <c r="BH338" s="7">
        <f>0</f>
        <v>0</v>
      </c>
      <c r="BI338" s="8">
        <f>0</f>
        <v>0</v>
      </c>
      <c r="BJ338" s="5" t="s">
        <v>253</v>
      </c>
      <c r="BK338" s="5" t="s">
        <v>254</v>
      </c>
      <c r="BY338" s="5" t="s">
        <v>238</v>
      </c>
      <c r="BZ338" s="5" t="s">
        <v>238</v>
      </c>
      <c r="CD338" s="5" t="s">
        <v>255</v>
      </c>
      <c r="CE338" s="5" t="s">
        <v>256</v>
      </c>
      <c r="CF338" s="5" t="s">
        <v>238</v>
      </c>
      <c r="CI338" s="6" t="s">
        <v>257</v>
      </c>
      <c r="CJ338" s="5" t="s">
        <v>238</v>
      </c>
      <c r="CK338" s="5" t="s">
        <v>258</v>
      </c>
      <c r="CL338" s="5" t="s">
        <v>238</v>
      </c>
      <c r="CM338" s="5" t="s">
        <v>238</v>
      </c>
      <c r="CN338" s="5">
        <v>0</v>
      </c>
      <c r="CO338" s="5" t="s">
        <v>259</v>
      </c>
      <c r="CP338" s="5" t="s">
        <v>260</v>
      </c>
      <c r="CQ338" s="5" t="s">
        <v>260</v>
      </c>
      <c r="CR338" s="5" t="s">
        <v>261</v>
      </c>
      <c r="CU338" s="8">
        <f>3216180</f>
        <v>3216180</v>
      </c>
      <c r="CV338" s="8">
        <f>0</f>
        <v>0</v>
      </c>
      <c r="CX338" s="8">
        <f>0</f>
        <v>0</v>
      </c>
      <c r="CY338" s="8">
        <f>3216180</f>
        <v>3216180</v>
      </c>
      <c r="DA338" s="5" t="s">
        <v>389</v>
      </c>
      <c r="DB338" s="5" t="s">
        <v>238</v>
      </c>
      <c r="DD338" s="5" t="s">
        <v>389</v>
      </c>
      <c r="DE338" s="8">
        <f>1452</f>
        <v>1452</v>
      </c>
      <c r="DG338" s="5" t="s">
        <v>389</v>
      </c>
      <c r="DH338" s="5" t="s">
        <v>238</v>
      </c>
      <c r="DI338" s="5" t="s">
        <v>238</v>
      </c>
      <c r="DJ338" s="5" t="s">
        <v>238</v>
      </c>
      <c r="DN338" s="5" t="s">
        <v>238</v>
      </c>
      <c r="DO338" s="5" t="s">
        <v>238</v>
      </c>
      <c r="DP338" s="5" t="s">
        <v>238</v>
      </c>
      <c r="DQ338" s="5" t="s">
        <v>238</v>
      </c>
      <c r="DT338" s="5" t="s">
        <v>6004</v>
      </c>
      <c r="DU338" s="5" t="s">
        <v>1372</v>
      </c>
      <c r="HM338" s="5" t="s">
        <v>264</v>
      </c>
    </row>
    <row r="339" spans="1:221" x14ac:dyDescent="0.4">
      <c r="A339" s="5">
        <v>1073</v>
      </c>
      <c r="B339" s="5">
        <v>1</v>
      </c>
      <c r="C339" s="5">
        <v>1</v>
      </c>
      <c r="D339" s="5" t="s">
        <v>6002</v>
      </c>
      <c r="E339" s="5" t="s">
        <v>437</v>
      </c>
      <c r="F339" s="5" t="s">
        <v>248</v>
      </c>
      <c r="G339" s="5" t="s">
        <v>6001</v>
      </c>
      <c r="H339" s="6" t="s">
        <v>6011</v>
      </c>
      <c r="I339" s="7">
        <f>6947</f>
        <v>6947</v>
      </c>
      <c r="J339" s="5" t="s">
        <v>262</v>
      </c>
      <c r="K339" s="8">
        <f>15387605</f>
        <v>15387605</v>
      </c>
      <c r="L339" s="6" t="s">
        <v>242</v>
      </c>
      <c r="M339" s="5" t="s">
        <v>267</v>
      </c>
      <c r="N339" s="5" t="s">
        <v>237</v>
      </c>
      <c r="O339" s="5" t="s">
        <v>238</v>
      </c>
      <c r="P339" s="5" t="s">
        <v>238</v>
      </c>
      <c r="Q339" s="5" t="s">
        <v>239</v>
      </c>
      <c r="R339" s="5" t="s">
        <v>270</v>
      </c>
      <c r="S339" s="5" t="s">
        <v>238</v>
      </c>
      <c r="V339" s="5" t="s">
        <v>238</v>
      </c>
      <c r="X339" s="6" t="s">
        <v>238</v>
      </c>
      <c r="AA339" s="6" t="s">
        <v>243</v>
      </c>
      <c r="AB339" s="5" t="s">
        <v>238</v>
      </c>
      <c r="AC339" s="5" t="s">
        <v>244</v>
      </c>
      <c r="AD339" s="5" t="s">
        <v>245</v>
      </c>
      <c r="AT339" s="5" t="s">
        <v>246</v>
      </c>
      <c r="AU339" s="5" t="s">
        <v>238</v>
      </c>
      <c r="AV339" s="5" t="s">
        <v>247</v>
      </c>
      <c r="AW339" s="5" t="s">
        <v>238</v>
      </c>
      <c r="AX339" s="5" t="s">
        <v>249</v>
      </c>
      <c r="AY339" s="5" t="s">
        <v>238</v>
      </c>
      <c r="BA339" s="5" t="s">
        <v>238</v>
      </c>
      <c r="BC339" s="5" t="s">
        <v>250</v>
      </c>
      <c r="BD339" s="6" t="s">
        <v>243</v>
      </c>
      <c r="BE339" s="5" t="s">
        <v>251</v>
      </c>
      <c r="BF339" s="5" t="s">
        <v>252</v>
      </c>
      <c r="BG339" s="5" t="s">
        <v>238</v>
      </c>
      <c r="BH339" s="7">
        <f>0</f>
        <v>0</v>
      </c>
      <c r="BI339" s="8">
        <f>0</f>
        <v>0</v>
      </c>
      <c r="BJ339" s="5" t="s">
        <v>253</v>
      </c>
      <c r="BK339" s="5" t="s">
        <v>254</v>
      </c>
      <c r="BY339" s="5" t="s">
        <v>238</v>
      </c>
      <c r="BZ339" s="5" t="s">
        <v>238</v>
      </c>
      <c r="CD339" s="5" t="s">
        <v>255</v>
      </c>
      <c r="CE339" s="5" t="s">
        <v>256</v>
      </c>
      <c r="CF339" s="5" t="s">
        <v>238</v>
      </c>
      <c r="CI339" s="6" t="s">
        <v>257</v>
      </c>
      <c r="CJ339" s="5" t="s">
        <v>238</v>
      </c>
      <c r="CK339" s="5" t="s">
        <v>258</v>
      </c>
      <c r="CL339" s="5" t="s">
        <v>238</v>
      </c>
      <c r="CM339" s="5" t="s">
        <v>238</v>
      </c>
      <c r="CN339" s="5">
        <v>0</v>
      </c>
      <c r="CO339" s="5" t="s">
        <v>259</v>
      </c>
      <c r="CP339" s="5" t="s">
        <v>260</v>
      </c>
      <c r="CQ339" s="5" t="s">
        <v>260</v>
      </c>
      <c r="CR339" s="5" t="s">
        <v>261</v>
      </c>
      <c r="CU339" s="8">
        <f>15387605</f>
        <v>15387605</v>
      </c>
      <c r="CV339" s="8">
        <f>0</f>
        <v>0</v>
      </c>
      <c r="CX339" s="8">
        <f>0</f>
        <v>0</v>
      </c>
      <c r="CY339" s="8">
        <f>15387605</f>
        <v>15387605</v>
      </c>
      <c r="DA339" s="5" t="s">
        <v>2032</v>
      </c>
      <c r="DB339" s="5" t="s">
        <v>238</v>
      </c>
      <c r="DD339" s="5" t="s">
        <v>2032</v>
      </c>
      <c r="DE339" s="8">
        <f>6947</f>
        <v>6947</v>
      </c>
      <c r="DG339" s="5" t="s">
        <v>389</v>
      </c>
      <c r="DH339" s="5" t="s">
        <v>238</v>
      </c>
      <c r="DI339" s="5" t="s">
        <v>238</v>
      </c>
      <c r="DJ339" s="5" t="s">
        <v>238</v>
      </c>
      <c r="DN339" s="5" t="s">
        <v>238</v>
      </c>
      <c r="DO339" s="5" t="s">
        <v>238</v>
      </c>
      <c r="DP339" s="5" t="s">
        <v>238</v>
      </c>
      <c r="DQ339" s="5" t="s">
        <v>238</v>
      </c>
      <c r="DT339" s="5" t="s">
        <v>6004</v>
      </c>
      <c r="DU339" s="5" t="s">
        <v>1370</v>
      </c>
      <c r="HM339" s="5" t="s">
        <v>264</v>
      </c>
    </row>
    <row r="340" spans="1:221" x14ac:dyDescent="0.4">
      <c r="A340" s="5">
        <v>1074</v>
      </c>
      <c r="B340" s="5">
        <v>1</v>
      </c>
      <c r="C340" s="5">
        <v>1</v>
      </c>
      <c r="D340" s="5" t="s">
        <v>6002</v>
      </c>
      <c r="E340" s="5" t="s">
        <v>437</v>
      </c>
      <c r="F340" s="5" t="s">
        <v>248</v>
      </c>
      <c r="G340" s="5" t="s">
        <v>6001</v>
      </c>
      <c r="H340" s="6" t="s">
        <v>6012</v>
      </c>
      <c r="I340" s="7">
        <f>527</f>
        <v>527</v>
      </c>
      <c r="J340" s="5" t="s">
        <v>262</v>
      </c>
      <c r="K340" s="8">
        <f>1167305</f>
        <v>1167305</v>
      </c>
      <c r="L340" s="6" t="s">
        <v>242</v>
      </c>
      <c r="M340" s="5" t="s">
        <v>267</v>
      </c>
      <c r="N340" s="5" t="s">
        <v>237</v>
      </c>
      <c r="O340" s="5" t="s">
        <v>238</v>
      </c>
      <c r="P340" s="5" t="s">
        <v>238</v>
      </c>
      <c r="Q340" s="5" t="s">
        <v>239</v>
      </c>
      <c r="R340" s="5" t="s">
        <v>270</v>
      </c>
      <c r="S340" s="5" t="s">
        <v>238</v>
      </c>
      <c r="V340" s="5" t="s">
        <v>238</v>
      </c>
      <c r="X340" s="6" t="s">
        <v>238</v>
      </c>
      <c r="AA340" s="6" t="s">
        <v>243</v>
      </c>
      <c r="AB340" s="5" t="s">
        <v>238</v>
      </c>
      <c r="AC340" s="5" t="s">
        <v>244</v>
      </c>
      <c r="AD340" s="5" t="s">
        <v>245</v>
      </c>
      <c r="AT340" s="5" t="s">
        <v>246</v>
      </c>
      <c r="AU340" s="5" t="s">
        <v>238</v>
      </c>
      <c r="AV340" s="5" t="s">
        <v>247</v>
      </c>
      <c r="AW340" s="5" t="s">
        <v>238</v>
      </c>
      <c r="AX340" s="5" t="s">
        <v>249</v>
      </c>
      <c r="AY340" s="5" t="s">
        <v>238</v>
      </c>
      <c r="BA340" s="5" t="s">
        <v>238</v>
      </c>
      <c r="BC340" s="5" t="s">
        <v>250</v>
      </c>
      <c r="BD340" s="6" t="s">
        <v>243</v>
      </c>
      <c r="BE340" s="5" t="s">
        <v>251</v>
      </c>
      <c r="BF340" s="5" t="s">
        <v>252</v>
      </c>
      <c r="BG340" s="5" t="s">
        <v>238</v>
      </c>
      <c r="BH340" s="7">
        <f>0</f>
        <v>0</v>
      </c>
      <c r="BI340" s="8">
        <f>0</f>
        <v>0</v>
      </c>
      <c r="BJ340" s="5" t="s">
        <v>253</v>
      </c>
      <c r="BK340" s="5" t="s">
        <v>254</v>
      </c>
      <c r="BY340" s="5" t="s">
        <v>238</v>
      </c>
      <c r="BZ340" s="5" t="s">
        <v>238</v>
      </c>
      <c r="CD340" s="5" t="s">
        <v>255</v>
      </c>
      <c r="CE340" s="5" t="s">
        <v>256</v>
      </c>
      <c r="CF340" s="5" t="s">
        <v>238</v>
      </c>
      <c r="CI340" s="6" t="s">
        <v>257</v>
      </c>
      <c r="CJ340" s="5" t="s">
        <v>238</v>
      </c>
      <c r="CK340" s="5" t="s">
        <v>258</v>
      </c>
      <c r="CL340" s="5" t="s">
        <v>238</v>
      </c>
      <c r="CM340" s="5" t="s">
        <v>238</v>
      </c>
      <c r="CN340" s="5">
        <v>0</v>
      </c>
      <c r="CO340" s="5" t="s">
        <v>259</v>
      </c>
      <c r="CP340" s="5" t="s">
        <v>260</v>
      </c>
      <c r="CQ340" s="5" t="s">
        <v>260</v>
      </c>
      <c r="CR340" s="5" t="s">
        <v>261</v>
      </c>
      <c r="CU340" s="8">
        <f>1167305</f>
        <v>1167305</v>
      </c>
      <c r="CV340" s="8">
        <f>0</f>
        <v>0</v>
      </c>
      <c r="CX340" s="8">
        <f>0</f>
        <v>0</v>
      </c>
      <c r="CY340" s="8">
        <f>1167305</f>
        <v>1167305</v>
      </c>
      <c r="DA340" s="5" t="s">
        <v>2032</v>
      </c>
      <c r="DB340" s="5" t="s">
        <v>238</v>
      </c>
      <c r="DD340" s="5" t="s">
        <v>2032</v>
      </c>
      <c r="DE340" s="8">
        <f>527</f>
        <v>527</v>
      </c>
      <c r="DG340" s="5" t="s">
        <v>389</v>
      </c>
      <c r="DH340" s="5" t="s">
        <v>238</v>
      </c>
      <c r="DI340" s="5" t="s">
        <v>238</v>
      </c>
      <c r="DJ340" s="5" t="s">
        <v>238</v>
      </c>
      <c r="DN340" s="5" t="s">
        <v>238</v>
      </c>
      <c r="DO340" s="5" t="s">
        <v>238</v>
      </c>
      <c r="DP340" s="5" t="s">
        <v>238</v>
      </c>
      <c r="DQ340" s="5" t="s">
        <v>238</v>
      </c>
      <c r="DT340" s="5" t="s">
        <v>6004</v>
      </c>
      <c r="DU340" s="5" t="s">
        <v>1364</v>
      </c>
      <c r="HM340" s="5" t="s">
        <v>264</v>
      </c>
    </row>
    <row r="341" spans="1:221" x14ac:dyDescent="0.4">
      <c r="A341" s="5">
        <v>1075</v>
      </c>
      <c r="B341" s="5">
        <v>1</v>
      </c>
      <c r="C341" s="5">
        <v>1</v>
      </c>
      <c r="D341" s="5" t="s">
        <v>6002</v>
      </c>
      <c r="E341" s="5" t="s">
        <v>437</v>
      </c>
      <c r="F341" s="5" t="s">
        <v>248</v>
      </c>
      <c r="G341" s="5" t="s">
        <v>6001</v>
      </c>
      <c r="H341" s="6" t="s">
        <v>6013</v>
      </c>
      <c r="I341" s="7">
        <f>7577</f>
        <v>7577</v>
      </c>
      <c r="J341" s="5" t="s">
        <v>262</v>
      </c>
      <c r="K341" s="8">
        <f>16783055</f>
        <v>16783055</v>
      </c>
      <c r="L341" s="6" t="s">
        <v>242</v>
      </c>
      <c r="M341" s="5" t="s">
        <v>267</v>
      </c>
      <c r="N341" s="5" t="s">
        <v>237</v>
      </c>
      <c r="O341" s="5" t="s">
        <v>238</v>
      </c>
      <c r="P341" s="5" t="s">
        <v>238</v>
      </c>
      <c r="Q341" s="5" t="s">
        <v>239</v>
      </c>
      <c r="R341" s="5" t="s">
        <v>270</v>
      </c>
      <c r="S341" s="5" t="s">
        <v>238</v>
      </c>
      <c r="V341" s="5" t="s">
        <v>238</v>
      </c>
      <c r="X341" s="6" t="s">
        <v>238</v>
      </c>
      <c r="AA341" s="6" t="s">
        <v>243</v>
      </c>
      <c r="AB341" s="5" t="s">
        <v>238</v>
      </c>
      <c r="AC341" s="5" t="s">
        <v>244</v>
      </c>
      <c r="AD341" s="5" t="s">
        <v>245</v>
      </c>
      <c r="AT341" s="5" t="s">
        <v>246</v>
      </c>
      <c r="AU341" s="5" t="s">
        <v>238</v>
      </c>
      <c r="AV341" s="5" t="s">
        <v>247</v>
      </c>
      <c r="AW341" s="5" t="s">
        <v>238</v>
      </c>
      <c r="AX341" s="5" t="s">
        <v>249</v>
      </c>
      <c r="AY341" s="5" t="s">
        <v>238</v>
      </c>
      <c r="BA341" s="5" t="s">
        <v>238</v>
      </c>
      <c r="BC341" s="5" t="s">
        <v>250</v>
      </c>
      <c r="BD341" s="6" t="s">
        <v>243</v>
      </c>
      <c r="BE341" s="5" t="s">
        <v>251</v>
      </c>
      <c r="BF341" s="5" t="s">
        <v>252</v>
      </c>
      <c r="BG341" s="5" t="s">
        <v>238</v>
      </c>
      <c r="BH341" s="7">
        <f>0</f>
        <v>0</v>
      </c>
      <c r="BI341" s="8">
        <f>0</f>
        <v>0</v>
      </c>
      <c r="BJ341" s="5" t="s">
        <v>253</v>
      </c>
      <c r="BK341" s="5" t="s">
        <v>254</v>
      </c>
      <c r="BY341" s="5" t="s">
        <v>238</v>
      </c>
      <c r="BZ341" s="5" t="s">
        <v>238</v>
      </c>
      <c r="CD341" s="5" t="s">
        <v>255</v>
      </c>
      <c r="CE341" s="5" t="s">
        <v>256</v>
      </c>
      <c r="CF341" s="5" t="s">
        <v>238</v>
      </c>
      <c r="CI341" s="6" t="s">
        <v>257</v>
      </c>
      <c r="CJ341" s="5" t="s">
        <v>238</v>
      </c>
      <c r="CK341" s="5" t="s">
        <v>258</v>
      </c>
      <c r="CL341" s="5" t="s">
        <v>238</v>
      </c>
      <c r="CM341" s="5" t="s">
        <v>238</v>
      </c>
      <c r="CN341" s="5">
        <v>0</v>
      </c>
      <c r="CO341" s="5" t="s">
        <v>259</v>
      </c>
      <c r="CP341" s="5" t="s">
        <v>260</v>
      </c>
      <c r="CQ341" s="5" t="s">
        <v>260</v>
      </c>
      <c r="CR341" s="5" t="s">
        <v>261</v>
      </c>
      <c r="CU341" s="8">
        <f>16783055</f>
        <v>16783055</v>
      </c>
      <c r="CV341" s="8">
        <f>0</f>
        <v>0</v>
      </c>
      <c r="CX341" s="8">
        <f>0</f>
        <v>0</v>
      </c>
      <c r="CY341" s="8">
        <f>16783055</f>
        <v>16783055</v>
      </c>
      <c r="DA341" s="5" t="s">
        <v>2032</v>
      </c>
      <c r="DB341" s="5" t="s">
        <v>238</v>
      </c>
      <c r="DD341" s="5" t="s">
        <v>2032</v>
      </c>
      <c r="DE341" s="8">
        <f>7577</f>
        <v>7577</v>
      </c>
      <c r="DG341" s="5" t="s">
        <v>389</v>
      </c>
      <c r="DH341" s="5" t="s">
        <v>238</v>
      </c>
      <c r="DI341" s="5" t="s">
        <v>238</v>
      </c>
      <c r="DJ341" s="5" t="s">
        <v>238</v>
      </c>
      <c r="DN341" s="5" t="s">
        <v>238</v>
      </c>
      <c r="DO341" s="5" t="s">
        <v>238</v>
      </c>
      <c r="DP341" s="5" t="s">
        <v>238</v>
      </c>
      <c r="DQ341" s="5" t="s">
        <v>238</v>
      </c>
      <c r="DT341" s="5" t="s">
        <v>6004</v>
      </c>
      <c r="DU341" s="5" t="s">
        <v>1360</v>
      </c>
      <c r="HM341" s="5" t="s">
        <v>264</v>
      </c>
    </row>
    <row r="342" spans="1:221" x14ac:dyDescent="0.4">
      <c r="A342" s="5">
        <v>1076</v>
      </c>
      <c r="B342" s="5">
        <v>1</v>
      </c>
      <c r="C342" s="5">
        <v>1</v>
      </c>
      <c r="D342" s="5" t="s">
        <v>6002</v>
      </c>
      <c r="E342" s="5" t="s">
        <v>437</v>
      </c>
      <c r="F342" s="5" t="s">
        <v>248</v>
      </c>
      <c r="G342" s="5" t="s">
        <v>6001</v>
      </c>
      <c r="H342" s="6" t="s">
        <v>6014</v>
      </c>
      <c r="I342" s="7">
        <f>2274</f>
        <v>2274</v>
      </c>
      <c r="J342" s="5" t="s">
        <v>262</v>
      </c>
      <c r="K342" s="8">
        <f>5036910</f>
        <v>5036910</v>
      </c>
      <c r="L342" s="6" t="s">
        <v>242</v>
      </c>
      <c r="M342" s="5" t="s">
        <v>267</v>
      </c>
      <c r="N342" s="5" t="s">
        <v>237</v>
      </c>
      <c r="O342" s="5" t="s">
        <v>238</v>
      </c>
      <c r="P342" s="5" t="s">
        <v>238</v>
      </c>
      <c r="Q342" s="5" t="s">
        <v>239</v>
      </c>
      <c r="R342" s="5" t="s">
        <v>270</v>
      </c>
      <c r="S342" s="5" t="s">
        <v>238</v>
      </c>
      <c r="V342" s="5" t="s">
        <v>238</v>
      </c>
      <c r="X342" s="6" t="s">
        <v>238</v>
      </c>
      <c r="AA342" s="6" t="s">
        <v>243</v>
      </c>
      <c r="AB342" s="5" t="s">
        <v>238</v>
      </c>
      <c r="AC342" s="5" t="s">
        <v>244</v>
      </c>
      <c r="AD342" s="5" t="s">
        <v>245</v>
      </c>
      <c r="AT342" s="5" t="s">
        <v>246</v>
      </c>
      <c r="AU342" s="5" t="s">
        <v>238</v>
      </c>
      <c r="AV342" s="5" t="s">
        <v>247</v>
      </c>
      <c r="AW342" s="5" t="s">
        <v>238</v>
      </c>
      <c r="AX342" s="5" t="s">
        <v>249</v>
      </c>
      <c r="AY342" s="5" t="s">
        <v>238</v>
      </c>
      <c r="BA342" s="5" t="s">
        <v>238</v>
      </c>
      <c r="BC342" s="5" t="s">
        <v>250</v>
      </c>
      <c r="BD342" s="6" t="s">
        <v>243</v>
      </c>
      <c r="BE342" s="5" t="s">
        <v>251</v>
      </c>
      <c r="BF342" s="5" t="s">
        <v>252</v>
      </c>
      <c r="BG342" s="5" t="s">
        <v>238</v>
      </c>
      <c r="BH342" s="7">
        <f>0</f>
        <v>0</v>
      </c>
      <c r="BI342" s="8">
        <f>0</f>
        <v>0</v>
      </c>
      <c r="BJ342" s="5" t="s">
        <v>253</v>
      </c>
      <c r="BK342" s="5" t="s">
        <v>254</v>
      </c>
      <c r="BY342" s="5" t="s">
        <v>238</v>
      </c>
      <c r="BZ342" s="5" t="s">
        <v>238</v>
      </c>
      <c r="CD342" s="5" t="s">
        <v>255</v>
      </c>
      <c r="CE342" s="5" t="s">
        <v>256</v>
      </c>
      <c r="CF342" s="5" t="s">
        <v>238</v>
      </c>
      <c r="CI342" s="6" t="s">
        <v>257</v>
      </c>
      <c r="CJ342" s="5" t="s">
        <v>238</v>
      </c>
      <c r="CK342" s="5" t="s">
        <v>258</v>
      </c>
      <c r="CL342" s="5" t="s">
        <v>238</v>
      </c>
      <c r="CM342" s="5" t="s">
        <v>238</v>
      </c>
      <c r="CN342" s="5">
        <v>0</v>
      </c>
      <c r="CO342" s="5" t="s">
        <v>259</v>
      </c>
      <c r="CP342" s="5" t="s">
        <v>260</v>
      </c>
      <c r="CQ342" s="5" t="s">
        <v>260</v>
      </c>
      <c r="CR342" s="5" t="s">
        <v>261</v>
      </c>
      <c r="CU342" s="8">
        <f>5036910</f>
        <v>5036910</v>
      </c>
      <c r="CV342" s="8">
        <f>0</f>
        <v>0</v>
      </c>
      <c r="CX342" s="8">
        <f>0</f>
        <v>0</v>
      </c>
      <c r="CY342" s="8">
        <f>5036910</f>
        <v>5036910</v>
      </c>
      <c r="DA342" s="5" t="s">
        <v>2032</v>
      </c>
      <c r="DB342" s="5" t="s">
        <v>238</v>
      </c>
      <c r="DD342" s="5" t="s">
        <v>2032</v>
      </c>
      <c r="DE342" s="8">
        <f>2274</f>
        <v>2274</v>
      </c>
      <c r="DG342" s="5" t="s">
        <v>389</v>
      </c>
      <c r="DH342" s="5" t="s">
        <v>238</v>
      </c>
      <c r="DI342" s="5" t="s">
        <v>238</v>
      </c>
      <c r="DJ342" s="5" t="s">
        <v>238</v>
      </c>
      <c r="DN342" s="5" t="s">
        <v>238</v>
      </c>
      <c r="DO342" s="5" t="s">
        <v>238</v>
      </c>
      <c r="DP342" s="5" t="s">
        <v>238</v>
      </c>
      <c r="DQ342" s="5" t="s">
        <v>238</v>
      </c>
      <c r="DT342" s="5" t="s">
        <v>6004</v>
      </c>
      <c r="DU342" s="5" t="s">
        <v>1358</v>
      </c>
      <c r="HM342" s="5" t="s">
        <v>264</v>
      </c>
    </row>
    <row r="343" spans="1:221" x14ac:dyDescent="0.4">
      <c r="A343" s="5">
        <v>1077</v>
      </c>
      <c r="B343" s="5">
        <v>1</v>
      </c>
      <c r="C343" s="5">
        <v>1</v>
      </c>
      <c r="D343" s="5" t="s">
        <v>6002</v>
      </c>
      <c r="E343" s="5" t="s">
        <v>437</v>
      </c>
      <c r="F343" s="5" t="s">
        <v>248</v>
      </c>
      <c r="G343" s="5" t="s">
        <v>6001</v>
      </c>
      <c r="H343" s="6" t="s">
        <v>6015</v>
      </c>
      <c r="I343" s="7">
        <f>406</f>
        <v>406</v>
      </c>
      <c r="J343" s="5" t="s">
        <v>262</v>
      </c>
      <c r="K343" s="8">
        <f>899290</f>
        <v>899290</v>
      </c>
      <c r="L343" s="6" t="s">
        <v>242</v>
      </c>
      <c r="M343" s="5" t="s">
        <v>267</v>
      </c>
      <c r="N343" s="5" t="s">
        <v>237</v>
      </c>
      <c r="O343" s="5" t="s">
        <v>238</v>
      </c>
      <c r="P343" s="5" t="s">
        <v>238</v>
      </c>
      <c r="Q343" s="5" t="s">
        <v>239</v>
      </c>
      <c r="R343" s="5" t="s">
        <v>270</v>
      </c>
      <c r="S343" s="5" t="s">
        <v>238</v>
      </c>
      <c r="V343" s="5" t="s">
        <v>238</v>
      </c>
      <c r="X343" s="6" t="s">
        <v>238</v>
      </c>
      <c r="AA343" s="6" t="s">
        <v>243</v>
      </c>
      <c r="AB343" s="5" t="s">
        <v>238</v>
      </c>
      <c r="AC343" s="5" t="s">
        <v>244</v>
      </c>
      <c r="AD343" s="5" t="s">
        <v>245</v>
      </c>
      <c r="AT343" s="5" t="s">
        <v>246</v>
      </c>
      <c r="AU343" s="5" t="s">
        <v>238</v>
      </c>
      <c r="AV343" s="5" t="s">
        <v>247</v>
      </c>
      <c r="AW343" s="5" t="s">
        <v>238</v>
      </c>
      <c r="AX343" s="5" t="s">
        <v>249</v>
      </c>
      <c r="AY343" s="5" t="s">
        <v>238</v>
      </c>
      <c r="BA343" s="5" t="s">
        <v>238</v>
      </c>
      <c r="BC343" s="5" t="s">
        <v>250</v>
      </c>
      <c r="BD343" s="6" t="s">
        <v>243</v>
      </c>
      <c r="BE343" s="5" t="s">
        <v>251</v>
      </c>
      <c r="BF343" s="5" t="s">
        <v>252</v>
      </c>
      <c r="BG343" s="5" t="s">
        <v>238</v>
      </c>
      <c r="BH343" s="7">
        <f>0</f>
        <v>0</v>
      </c>
      <c r="BI343" s="8">
        <f>0</f>
        <v>0</v>
      </c>
      <c r="BJ343" s="5" t="s">
        <v>253</v>
      </c>
      <c r="BK343" s="5" t="s">
        <v>254</v>
      </c>
      <c r="BY343" s="5" t="s">
        <v>238</v>
      </c>
      <c r="BZ343" s="5" t="s">
        <v>238</v>
      </c>
      <c r="CD343" s="5" t="s">
        <v>255</v>
      </c>
      <c r="CE343" s="5" t="s">
        <v>256</v>
      </c>
      <c r="CF343" s="5" t="s">
        <v>238</v>
      </c>
      <c r="CI343" s="6" t="s">
        <v>257</v>
      </c>
      <c r="CJ343" s="5" t="s">
        <v>238</v>
      </c>
      <c r="CK343" s="5" t="s">
        <v>258</v>
      </c>
      <c r="CL343" s="5" t="s">
        <v>238</v>
      </c>
      <c r="CM343" s="5" t="s">
        <v>238</v>
      </c>
      <c r="CN343" s="5">
        <v>0</v>
      </c>
      <c r="CO343" s="5" t="s">
        <v>259</v>
      </c>
      <c r="CP343" s="5" t="s">
        <v>260</v>
      </c>
      <c r="CQ343" s="5" t="s">
        <v>260</v>
      </c>
      <c r="CR343" s="5" t="s">
        <v>261</v>
      </c>
      <c r="CU343" s="8">
        <f>899290</f>
        <v>899290</v>
      </c>
      <c r="CV343" s="8">
        <f>0</f>
        <v>0</v>
      </c>
      <c r="CX343" s="8">
        <f>0</f>
        <v>0</v>
      </c>
      <c r="CY343" s="8">
        <f>899290</f>
        <v>899290</v>
      </c>
      <c r="DA343" s="5" t="s">
        <v>2032</v>
      </c>
      <c r="DB343" s="5" t="s">
        <v>238</v>
      </c>
      <c r="DD343" s="5" t="s">
        <v>2032</v>
      </c>
      <c r="DE343" s="8">
        <f>406</f>
        <v>406</v>
      </c>
      <c r="DG343" s="5" t="s">
        <v>389</v>
      </c>
      <c r="DH343" s="5" t="s">
        <v>238</v>
      </c>
      <c r="DI343" s="5" t="s">
        <v>238</v>
      </c>
      <c r="DJ343" s="5" t="s">
        <v>238</v>
      </c>
      <c r="DN343" s="5" t="s">
        <v>238</v>
      </c>
      <c r="DO343" s="5" t="s">
        <v>238</v>
      </c>
      <c r="DP343" s="5" t="s">
        <v>238</v>
      </c>
      <c r="DQ343" s="5" t="s">
        <v>238</v>
      </c>
      <c r="DT343" s="5" t="s">
        <v>6004</v>
      </c>
      <c r="DU343" s="5" t="s">
        <v>976</v>
      </c>
      <c r="HM343" s="5" t="s">
        <v>264</v>
      </c>
    </row>
    <row r="344" spans="1:221" x14ac:dyDescent="0.4">
      <c r="A344" s="5">
        <v>1078</v>
      </c>
      <c r="B344" s="5">
        <v>1</v>
      </c>
      <c r="C344" s="5">
        <v>1</v>
      </c>
      <c r="D344" s="5" t="s">
        <v>6002</v>
      </c>
      <c r="E344" s="5" t="s">
        <v>437</v>
      </c>
      <c r="F344" s="5" t="s">
        <v>248</v>
      </c>
      <c r="G344" s="5" t="s">
        <v>6001</v>
      </c>
      <c r="H344" s="6" t="s">
        <v>6509</v>
      </c>
      <c r="I344" s="7">
        <f>673</f>
        <v>673</v>
      </c>
      <c r="J344" s="5" t="s">
        <v>262</v>
      </c>
      <c r="K344" s="8">
        <f>1490695</f>
        <v>1490695</v>
      </c>
      <c r="L344" s="6" t="s">
        <v>242</v>
      </c>
      <c r="M344" s="5" t="s">
        <v>267</v>
      </c>
      <c r="N344" s="5" t="s">
        <v>237</v>
      </c>
      <c r="O344" s="5" t="s">
        <v>238</v>
      </c>
      <c r="P344" s="5" t="s">
        <v>238</v>
      </c>
      <c r="Q344" s="5" t="s">
        <v>239</v>
      </c>
      <c r="R344" s="5" t="s">
        <v>270</v>
      </c>
      <c r="S344" s="5" t="s">
        <v>238</v>
      </c>
      <c r="V344" s="5" t="s">
        <v>238</v>
      </c>
      <c r="X344" s="6" t="s">
        <v>238</v>
      </c>
      <c r="AA344" s="6" t="s">
        <v>243</v>
      </c>
      <c r="AB344" s="5" t="s">
        <v>238</v>
      </c>
      <c r="AC344" s="5" t="s">
        <v>244</v>
      </c>
      <c r="AD344" s="5" t="s">
        <v>245</v>
      </c>
      <c r="AT344" s="5" t="s">
        <v>246</v>
      </c>
      <c r="AU344" s="5" t="s">
        <v>238</v>
      </c>
      <c r="AV344" s="5" t="s">
        <v>247</v>
      </c>
      <c r="AW344" s="5" t="s">
        <v>238</v>
      </c>
      <c r="AX344" s="5" t="s">
        <v>249</v>
      </c>
      <c r="AY344" s="5" t="s">
        <v>238</v>
      </c>
      <c r="BA344" s="5" t="s">
        <v>238</v>
      </c>
      <c r="BC344" s="5" t="s">
        <v>250</v>
      </c>
      <c r="BD344" s="6" t="s">
        <v>243</v>
      </c>
      <c r="BE344" s="5" t="s">
        <v>251</v>
      </c>
      <c r="BF344" s="5" t="s">
        <v>252</v>
      </c>
      <c r="BG344" s="5" t="s">
        <v>238</v>
      </c>
      <c r="BH344" s="7">
        <f>0</f>
        <v>0</v>
      </c>
      <c r="BI344" s="8">
        <f>0</f>
        <v>0</v>
      </c>
      <c r="BJ344" s="5" t="s">
        <v>253</v>
      </c>
      <c r="BK344" s="5" t="s">
        <v>254</v>
      </c>
      <c r="BY344" s="5" t="s">
        <v>238</v>
      </c>
      <c r="BZ344" s="5" t="s">
        <v>238</v>
      </c>
      <c r="CD344" s="5" t="s">
        <v>255</v>
      </c>
      <c r="CE344" s="5" t="s">
        <v>256</v>
      </c>
      <c r="CF344" s="5" t="s">
        <v>238</v>
      </c>
      <c r="CI344" s="6" t="s">
        <v>257</v>
      </c>
      <c r="CJ344" s="5" t="s">
        <v>238</v>
      </c>
      <c r="CK344" s="5" t="s">
        <v>258</v>
      </c>
      <c r="CL344" s="5" t="s">
        <v>238</v>
      </c>
      <c r="CM344" s="5" t="s">
        <v>238</v>
      </c>
      <c r="CN344" s="5">
        <v>0</v>
      </c>
      <c r="CO344" s="5" t="s">
        <v>259</v>
      </c>
      <c r="CP344" s="5" t="s">
        <v>260</v>
      </c>
      <c r="CQ344" s="5" t="s">
        <v>260</v>
      </c>
      <c r="CR344" s="5" t="s">
        <v>261</v>
      </c>
      <c r="CU344" s="8">
        <f>1490695</f>
        <v>1490695</v>
      </c>
      <c r="CV344" s="8">
        <f>0</f>
        <v>0</v>
      </c>
      <c r="CX344" s="8">
        <f>0</f>
        <v>0</v>
      </c>
      <c r="CY344" s="8">
        <f>1490695</f>
        <v>1490695</v>
      </c>
      <c r="DA344" s="5" t="s">
        <v>2032</v>
      </c>
      <c r="DB344" s="5" t="s">
        <v>238</v>
      </c>
      <c r="DD344" s="5" t="s">
        <v>2032</v>
      </c>
      <c r="DE344" s="8">
        <f>673</f>
        <v>673</v>
      </c>
      <c r="DG344" s="5" t="s">
        <v>389</v>
      </c>
      <c r="DH344" s="5" t="s">
        <v>238</v>
      </c>
      <c r="DI344" s="5" t="s">
        <v>238</v>
      </c>
      <c r="DJ344" s="5" t="s">
        <v>238</v>
      </c>
      <c r="DN344" s="5" t="s">
        <v>238</v>
      </c>
      <c r="DO344" s="5" t="s">
        <v>238</v>
      </c>
      <c r="DP344" s="5" t="s">
        <v>238</v>
      </c>
      <c r="DQ344" s="5" t="s">
        <v>238</v>
      </c>
      <c r="DT344" s="5" t="s">
        <v>6004</v>
      </c>
      <c r="DU344" s="5" t="s">
        <v>1354</v>
      </c>
      <c r="HM344" s="5" t="s">
        <v>264</v>
      </c>
    </row>
    <row r="345" spans="1:221" x14ac:dyDescent="0.4">
      <c r="A345" s="5">
        <v>1080</v>
      </c>
      <c r="B345" s="5">
        <v>1</v>
      </c>
      <c r="C345" s="5">
        <v>1</v>
      </c>
      <c r="D345" s="5" t="s">
        <v>5985</v>
      </c>
      <c r="E345" s="5" t="s">
        <v>437</v>
      </c>
      <c r="F345" s="5" t="s">
        <v>248</v>
      </c>
      <c r="G345" s="5" t="s">
        <v>5984</v>
      </c>
      <c r="H345" s="6" t="s">
        <v>6000</v>
      </c>
      <c r="I345" s="7">
        <f>3597</f>
        <v>3597</v>
      </c>
      <c r="J345" s="5" t="s">
        <v>262</v>
      </c>
      <c r="K345" s="8">
        <f>7967355</f>
        <v>7967355</v>
      </c>
      <c r="L345" s="6" t="s">
        <v>242</v>
      </c>
      <c r="M345" s="5" t="s">
        <v>267</v>
      </c>
      <c r="N345" s="5" t="s">
        <v>237</v>
      </c>
      <c r="O345" s="5" t="s">
        <v>238</v>
      </c>
      <c r="P345" s="5" t="s">
        <v>238</v>
      </c>
      <c r="Q345" s="5" t="s">
        <v>239</v>
      </c>
      <c r="R345" s="5" t="s">
        <v>270</v>
      </c>
      <c r="S345" s="5" t="s">
        <v>238</v>
      </c>
      <c r="V345" s="5" t="s">
        <v>238</v>
      </c>
      <c r="X345" s="6" t="s">
        <v>238</v>
      </c>
      <c r="AA345" s="6" t="s">
        <v>243</v>
      </c>
      <c r="AB345" s="5" t="s">
        <v>238</v>
      </c>
      <c r="AC345" s="5" t="s">
        <v>244</v>
      </c>
      <c r="AD345" s="5" t="s">
        <v>245</v>
      </c>
      <c r="AT345" s="5" t="s">
        <v>246</v>
      </c>
      <c r="AU345" s="5" t="s">
        <v>238</v>
      </c>
      <c r="AV345" s="5" t="s">
        <v>247</v>
      </c>
      <c r="AW345" s="5" t="s">
        <v>238</v>
      </c>
      <c r="AX345" s="5" t="s">
        <v>249</v>
      </c>
      <c r="AY345" s="5" t="s">
        <v>238</v>
      </c>
      <c r="BA345" s="5" t="s">
        <v>4547</v>
      </c>
      <c r="BC345" s="5" t="s">
        <v>1433</v>
      </c>
      <c r="BD345" s="6" t="s">
        <v>1434</v>
      </c>
      <c r="BE345" s="5" t="s">
        <v>251</v>
      </c>
      <c r="BF345" s="5" t="s">
        <v>252</v>
      </c>
      <c r="BG345" s="5" t="s">
        <v>238</v>
      </c>
      <c r="BH345" s="7">
        <f>0</f>
        <v>0</v>
      </c>
      <c r="BI345" s="8">
        <f>0</f>
        <v>0</v>
      </c>
      <c r="BJ345" s="5" t="s">
        <v>253</v>
      </c>
      <c r="BK345" s="5" t="s">
        <v>254</v>
      </c>
      <c r="BY345" s="5" t="s">
        <v>238</v>
      </c>
      <c r="BZ345" s="5" t="s">
        <v>238</v>
      </c>
      <c r="CD345" s="5" t="s">
        <v>255</v>
      </c>
      <c r="CE345" s="5" t="s">
        <v>256</v>
      </c>
      <c r="CF345" s="5" t="s">
        <v>238</v>
      </c>
      <c r="CI345" s="6" t="s">
        <v>257</v>
      </c>
      <c r="CJ345" s="5" t="s">
        <v>238</v>
      </c>
      <c r="CK345" s="5" t="s">
        <v>258</v>
      </c>
      <c r="CL345" s="5" t="s">
        <v>238</v>
      </c>
      <c r="CM345" s="5" t="s">
        <v>238</v>
      </c>
      <c r="CN345" s="5">
        <v>0</v>
      </c>
      <c r="CO345" s="5" t="s">
        <v>259</v>
      </c>
      <c r="CP345" s="5" t="s">
        <v>260</v>
      </c>
      <c r="CQ345" s="5" t="s">
        <v>260</v>
      </c>
      <c r="CR345" s="5" t="s">
        <v>261</v>
      </c>
      <c r="CU345" s="8">
        <f>7967355</f>
        <v>7967355</v>
      </c>
      <c r="CV345" s="8">
        <f>0</f>
        <v>0</v>
      </c>
      <c r="CX345" s="8">
        <f>0</f>
        <v>0</v>
      </c>
      <c r="CY345" s="8">
        <f>7967355</f>
        <v>7967355</v>
      </c>
      <c r="DA345" s="5" t="s">
        <v>2032</v>
      </c>
      <c r="DB345" s="5" t="s">
        <v>238</v>
      </c>
      <c r="DD345" s="5" t="s">
        <v>2032</v>
      </c>
      <c r="DE345" s="8">
        <f>3597</f>
        <v>3597</v>
      </c>
      <c r="DG345" s="5" t="s">
        <v>389</v>
      </c>
      <c r="DH345" s="5" t="s">
        <v>238</v>
      </c>
      <c r="DI345" s="5" t="s">
        <v>238</v>
      </c>
      <c r="DJ345" s="5" t="s">
        <v>238</v>
      </c>
      <c r="DN345" s="5" t="s">
        <v>238</v>
      </c>
      <c r="DO345" s="5" t="s">
        <v>238</v>
      </c>
      <c r="DP345" s="5" t="s">
        <v>238</v>
      </c>
      <c r="DQ345" s="5" t="s">
        <v>238</v>
      </c>
      <c r="DT345" s="5" t="s">
        <v>5987</v>
      </c>
      <c r="DU345" s="5" t="s">
        <v>264</v>
      </c>
      <c r="HM345" s="5" t="s">
        <v>264</v>
      </c>
    </row>
    <row r="346" spans="1:221" x14ac:dyDescent="0.4">
      <c r="A346" s="5">
        <v>1081</v>
      </c>
      <c r="B346" s="5">
        <v>1</v>
      </c>
      <c r="C346" s="5">
        <v>1</v>
      </c>
      <c r="D346" s="5" t="s">
        <v>5985</v>
      </c>
      <c r="E346" s="5" t="s">
        <v>437</v>
      </c>
      <c r="F346" s="5" t="s">
        <v>248</v>
      </c>
      <c r="G346" s="5" t="s">
        <v>5984</v>
      </c>
      <c r="H346" s="6" t="s">
        <v>5988</v>
      </c>
      <c r="I346" s="7">
        <f>880</f>
        <v>880</v>
      </c>
      <c r="J346" s="5" t="s">
        <v>262</v>
      </c>
      <c r="K346" s="8">
        <f>1949200</f>
        <v>1949200</v>
      </c>
      <c r="L346" s="6" t="s">
        <v>242</v>
      </c>
      <c r="M346" s="5" t="s">
        <v>267</v>
      </c>
      <c r="N346" s="5" t="s">
        <v>237</v>
      </c>
      <c r="O346" s="5" t="s">
        <v>238</v>
      </c>
      <c r="P346" s="5" t="s">
        <v>238</v>
      </c>
      <c r="Q346" s="5" t="s">
        <v>239</v>
      </c>
      <c r="R346" s="5" t="s">
        <v>270</v>
      </c>
      <c r="S346" s="5" t="s">
        <v>238</v>
      </c>
      <c r="V346" s="5" t="s">
        <v>238</v>
      </c>
      <c r="X346" s="6" t="s">
        <v>238</v>
      </c>
      <c r="AA346" s="6" t="s">
        <v>243</v>
      </c>
      <c r="AB346" s="5" t="s">
        <v>238</v>
      </c>
      <c r="AC346" s="5" t="s">
        <v>244</v>
      </c>
      <c r="AD346" s="5" t="s">
        <v>245</v>
      </c>
      <c r="AT346" s="5" t="s">
        <v>246</v>
      </c>
      <c r="AU346" s="5" t="s">
        <v>238</v>
      </c>
      <c r="AV346" s="5" t="s">
        <v>247</v>
      </c>
      <c r="AW346" s="5" t="s">
        <v>238</v>
      </c>
      <c r="AX346" s="5" t="s">
        <v>249</v>
      </c>
      <c r="AY346" s="5" t="s">
        <v>238</v>
      </c>
      <c r="BA346" s="5" t="s">
        <v>238</v>
      </c>
      <c r="BC346" s="5" t="s">
        <v>250</v>
      </c>
      <c r="BD346" s="6" t="s">
        <v>243</v>
      </c>
      <c r="BE346" s="5" t="s">
        <v>251</v>
      </c>
      <c r="BF346" s="5" t="s">
        <v>252</v>
      </c>
      <c r="BG346" s="5" t="s">
        <v>238</v>
      </c>
      <c r="BH346" s="7">
        <f>0</f>
        <v>0</v>
      </c>
      <c r="BI346" s="8">
        <f>0</f>
        <v>0</v>
      </c>
      <c r="BJ346" s="5" t="s">
        <v>253</v>
      </c>
      <c r="BK346" s="5" t="s">
        <v>254</v>
      </c>
      <c r="BY346" s="5" t="s">
        <v>238</v>
      </c>
      <c r="BZ346" s="5" t="s">
        <v>238</v>
      </c>
      <c r="CD346" s="5" t="s">
        <v>255</v>
      </c>
      <c r="CE346" s="5" t="s">
        <v>256</v>
      </c>
      <c r="CF346" s="5" t="s">
        <v>238</v>
      </c>
      <c r="CI346" s="6" t="s">
        <v>257</v>
      </c>
      <c r="CJ346" s="5" t="s">
        <v>238</v>
      </c>
      <c r="CK346" s="5" t="s">
        <v>258</v>
      </c>
      <c r="CL346" s="5" t="s">
        <v>238</v>
      </c>
      <c r="CM346" s="5" t="s">
        <v>238</v>
      </c>
      <c r="CN346" s="5">
        <v>0</v>
      </c>
      <c r="CO346" s="5" t="s">
        <v>259</v>
      </c>
      <c r="CP346" s="5" t="s">
        <v>260</v>
      </c>
      <c r="CQ346" s="5" t="s">
        <v>260</v>
      </c>
      <c r="CR346" s="5" t="s">
        <v>261</v>
      </c>
      <c r="CU346" s="8">
        <f>1949200</f>
        <v>1949200</v>
      </c>
      <c r="CV346" s="8">
        <f>0</f>
        <v>0</v>
      </c>
      <c r="CX346" s="8">
        <f>0</f>
        <v>0</v>
      </c>
      <c r="CY346" s="8">
        <f>1949200</f>
        <v>1949200</v>
      </c>
      <c r="DA346" s="5" t="s">
        <v>2032</v>
      </c>
      <c r="DB346" s="5" t="s">
        <v>238</v>
      </c>
      <c r="DD346" s="5" t="s">
        <v>2032</v>
      </c>
      <c r="DE346" s="8">
        <f>880</f>
        <v>880</v>
      </c>
      <c r="DG346" s="5" t="s">
        <v>389</v>
      </c>
      <c r="DH346" s="5" t="s">
        <v>238</v>
      </c>
      <c r="DI346" s="5" t="s">
        <v>238</v>
      </c>
      <c r="DJ346" s="5" t="s">
        <v>238</v>
      </c>
      <c r="DN346" s="5" t="s">
        <v>238</v>
      </c>
      <c r="DO346" s="5" t="s">
        <v>238</v>
      </c>
      <c r="DP346" s="5" t="s">
        <v>238</v>
      </c>
      <c r="DQ346" s="5" t="s">
        <v>238</v>
      </c>
      <c r="DT346" s="5" t="s">
        <v>5987</v>
      </c>
      <c r="DU346" s="5" t="s">
        <v>294</v>
      </c>
      <c r="HM346" s="5" t="s">
        <v>264</v>
      </c>
    </row>
    <row r="347" spans="1:221" x14ac:dyDescent="0.4">
      <c r="A347" s="5">
        <v>1082</v>
      </c>
      <c r="B347" s="5">
        <v>1</v>
      </c>
      <c r="C347" s="5">
        <v>1</v>
      </c>
      <c r="D347" s="5" t="s">
        <v>5985</v>
      </c>
      <c r="E347" s="5" t="s">
        <v>437</v>
      </c>
      <c r="F347" s="5" t="s">
        <v>248</v>
      </c>
      <c r="G347" s="5" t="s">
        <v>5984</v>
      </c>
      <c r="H347" s="6" t="s">
        <v>6505</v>
      </c>
      <c r="I347" s="7">
        <f>1174</f>
        <v>1174</v>
      </c>
      <c r="J347" s="5" t="s">
        <v>262</v>
      </c>
      <c r="K347" s="8">
        <f>2600410</f>
        <v>2600410</v>
      </c>
      <c r="L347" s="6" t="s">
        <v>242</v>
      </c>
      <c r="M347" s="5" t="s">
        <v>267</v>
      </c>
      <c r="N347" s="5" t="s">
        <v>237</v>
      </c>
      <c r="O347" s="5" t="s">
        <v>238</v>
      </c>
      <c r="P347" s="5" t="s">
        <v>238</v>
      </c>
      <c r="Q347" s="5" t="s">
        <v>239</v>
      </c>
      <c r="R347" s="5" t="s">
        <v>270</v>
      </c>
      <c r="S347" s="5" t="s">
        <v>238</v>
      </c>
      <c r="V347" s="5" t="s">
        <v>238</v>
      </c>
      <c r="X347" s="6" t="s">
        <v>238</v>
      </c>
      <c r="AA347" s="6" t="s">
        <v>243</v>
      </c>
      <c r="AB347" s="5" t="s">
        <v>238</v>
      </c>
      <c r="AC347" s="5" t="s">
        <v>244</v>
      </c>
      <c r="AD347" s="5" t="s">
        <v>245</v>
      </c>
      <c r="AT347" s="5" t="s">
        <v>246</v>
      </c>
      <c r="AU347" s="5" t="s">
        <v>238</v>
      </c>
      <c r="AV347" s="5" t="s">
        <v>247</v>
      </c>
      <c r="AW347" s="5" t="s">
        <v>238</v>
      </c>
      <c r="AX347" s="5" t="s">
        <v>249</v>
      </c>
      <c r="AY347" s="5" t="s">
        <v>238</v>
      </c>
      <c r="BA347" s="5" t="s">
        <v>238</v>
      </c>
      <c r="BC347" s="5" t="s">
        <v>250</v>
      </c>
      <c r="BD347" s="6" t="s">
        <v>243</v>
      </c>
      <c r="BE347" s="5" t="s">
        <v>251</v>
      </c>
      <c r="BF347" s="5" t="s">
        <v>252</v>
      </c>
      <c r="BG347" s="5" t="s">
        <v>238</v>
      </c>
      <c r="BH347" s="7">
        <f>0</f>
        <v>0</v>
      </c>
      <c r="BI347" s="8">
        <f>0</f>
        <v>0</v>
      </c>
      <c r="BJ347" s="5" t="s">
        <v>253</v>
      </c>
      <c r="BK347" s="5" t="s">
        <v>254</v>
      </c>
      <c r="BY347" s="5" t="s">
        <v>238</v>
      </c>
      <c r="BZ347" s="5" t="s">
        <v>238</v>
      </c>
      <c r="CD347" s="5" t="s">
        <v>255</v>
      </c>
      <c r="CE347" s="5" t="s">
        <v>256</v>
      </c>
      <c r="CF347" s="5" t="s">
        <v>238</v>
      </c>
      <c r="CI347" s="6" t="s">
        <v>257</v>
      </c>
      <c r="CJ347" s="5" t="s">
        <v>238</v>
      </c>
      <c r="CK347" s="5" t="s">
        <v>258</v>
      </c>
      <c r="CL347" s="5" t="s">
        <v>238</v>
      </c>
      <c r="CM347" s="5" t="s">
        <v>238</v>
      </c>
      <c r="CN347" s="5">
        <v>0</v>
      </c>
      <c r="CO347" s="5" t="s">
        <v>259</v>
      </c>
      <c r="CP347" s="5" t="s">
        <v>260</v>
      </c>
      <c r="CQ347" s="5" t="s">
        <v>260</v>
      </c>
      <c r="CR347" s="5" t="s">
        <v>261</v>
      </c>
      <c r="CU347" s="8">
        <f>2600410</f>
        <v>2600410</v>
      </c>
      <c r="CV347" s="8">
        <f>0</f>
        <v>0</v>
      </c>
      <c r="CX347" s="8">
        <f>0</f>
        <v>0</v>
      </c>
      <c r="CY347" s="8">
        <f>2600410</f>
        <v>2600410</v>
      </c>
      <c r="DA347" s="5" t="s">
        <v>2032</v>
      </c>
      <c r="DB347" s="5" t="s">
        <v>238</v>
      </c>
      <c r="DD347" s="5" t="s">
        <v>2032</v>
      </c>
      <c r="DE347" s="8">
        <f>1174</f>
        <v>1174</v>
      </c>
      <c r="DG347" s="5" t="s">
        <v>389</v>
      </c>
      <c r="DH347" s="5" t="s">
        <v>238</v>
      </c>
      <c r="DI347" s="5" t="s">
        <v>238</v>
      </c>
      <c r="DJ347" s="5" t="s">
        <v>238</v>
      </c>
      <c r="DN347" s="5" t="s">
        <v>238</v>
      </c>
      <c r="DO347" s="5" t="s">
        <v>238</v>
      </c>
      <c r="DP347" s="5" t="s">
        <v>238</v>
      </c>
      <c r="DQ347" s="5" t="s">
        <v>238</v>
      </c>
      <c r="DT347" s="5" t="s">
        <v>5987</v>
      </c>
      <c r="DU347" s="5" t="s">
        <v>806</v>
      </c>
      <c r="HM347" s="5" t="s">
        <v>264</v>
      </c>
    </row>
    <row r="348" spans="1:221" x14ac:dyDescent="0.4">
      <c r="A348" s="5">
        <v>1083</v>
      </c>
      <c r="B348" s="5">
        <v>1</v>
      </c>
      <c r="C348" s="5">
        <v>1</v>
      </c>
      <c r="D348" s="5" t="s">
        <v>5985</v>
      </c>
      <c r="E348" s="5" t="s">
        <v>437</v>
      </c>
      <c r="F348" s="5" t="s">
        <v>248</v>
      </c>
      <c r="G348" s="5" t="s">
        <v>5984</v>
      </c>
      <c r="H348" s="6" t="s">
        <v>5990</v>
      </c>
      <c r="I348" s="7">
        <f>1428</f>
        <v>1428</v>
      </c>
      <c r="J348" s="5" t="s">
        <v>262</v>
      </c>
      <c r="K348" s="8">
        <f>3163020</f>
        <v>3163020</v>
      </c>
      <c r="L348" s="6" t="s">
        <v>242</v>
      </c>
      <c r="M348" s="5" t="s">
        <v>267</v>
      </c>
      <c r="N348" s="5" t="s">
        <v>237</v>
      </c>
      <c r="O348" s="5" t="s">
        <v>238</v>
      </c>
      <c r="P348" s="5" t="s">
        <v>238</v>
      </c>
      <c r="Q348" s="5" t="s">
        <v>239</v>
      </c>
      <c r="R348" s="5" t="s">
        <v>270</v>
      </c>
      <c r="S348" s="5" t="s">
        <v>238</v>
      </c>
      <c r="V348" s="5" t="s">
        <v>238</v>
      </c>
      <c r="X348" s="6" t="s">
        <v>238</v>
      </c>
      <c r="AA348" s="6" t="s">
        <v>243</v>
      </c>
      <c r="AB348" s="5" t="s">
        <v>238</v>
      </c>
      <c r="AC348" s="5" t="s">
        <v>244</v>
      </c>
      <c r="AD348" s="5" t="s">
        <v>245</v>
      </c>
      <c r="AT348" s="5" t="s">
        <v>246</v>
      </c>
      <c r="AU348" s="5" t="s">
        <v>238</v>
      </c>
      <c r="AV348" s="5" t="s">
        <v>247</v>
      </c>
      <c r="AW348" s="5" t="s">
        <v>238</v>
      </c>
      <c r="AX348" s="5" t="s">
        <v>249</v>
      </c>
      <c r="AY348" s="5" t="s">
        <v>238</v>
      </c>
      <c r="BA348" s="5" t="s">
        <v>238</v>
      </c>
      <c r="BC348" s="5" t="s">
        <v>250</v>
      </c>
      <c r="BD348" s="6" t="s">
        <v>243</v>
      </c>
      <c r="BE348" s="5" t="s">
        <v>251</v>
      </c>
      <c r="BF348" s="5" t="s">
        <v>252</v>
      </c>
      <c r="BG348" s="5" t="s">
        <v>238</v>
      </c>
      <c r="BH348" s="7">
        <f>0</f>
        <v>0</v>
      </c>
      <c r="BI348" s="8">
        <f>0</f>
        <v>0</v>
      </c>
      <c r="BJ348" s="5" t="s">
        <v>253</v>
      </c>
      <c r="BK348" s="5" t="s">
        <v>254</v>
      </c>
      <c r="BY348" s="5" t="s">
        <v>238</v>
      </c>
      <c r="BZ348" s="5" t="s">
        <v>238</v>
      </c>
      <c r="CD348" s="5" t="s">
        <v>255</v>
      </c>
      <c r="CE348" s="5" t="s">
        <v>256</v>
      </c>
      <c r="CF348" s="5" t="s">
        <v>238</v>
      </c>
      <c r="CI348" s="6" t="s">
        <v>257</v>
      </c>
      <c r="CJ348" s="5" t="s">
        <v>238</v>
      </c>
      <c r="CK348" s="5" t="s">
        <v>258</v>
      </c>
      <c r="CL348" s="5" t="s">
        <v>238</v>
      </c>
      <c r="CM348" s="5" t="s">
        <v>238</v>
      </c>
      <c r="CN348" s="5">
        <v>0</v>
      </c>
      <c r="CO348" s="5" t="s">
        <v>259</v>
      </c>
      <c r="CP348" s="5" t="s">
        <v>260</v>
      </c>
      <c r="CQ348" s="5" t="s">
        <v>260</v>
      </c>
      <c r="CR348" s="5" t="s">
        <v>261</v>
      </c>
      <c r="CU348" s="8">
        <f>3163020</f>
        <v>3163020</v>
      </c>
      <c r="CV348" s="8">
        <f>0</f>
        <v>0</v>
      </c>
      <c r="CX348" s="8">
        <f>0</f>
        <v>0</v>
      </c>
      <c r="CY348" s="8">
        <f>3163020</f>
        <v>3163020</v>
      </c>
      <c r="DA348" s="5" t="s">
        <v>2032</v>
      </c>
      <c r="DB348" s="5" t="s">
        <v>238</v>
      </c>
      <c r="DD348" s="5" t="s">
        <v>2032</v>
      </c>
      <c r="DE348" s="8">
        <f>1428</f>
        <v>1428</v>
      </c>
      <c r="DG348" s="5" t="s">
        <v>389</v>
      </c>
      <c r="DH348" s="5" t="s">
        <v>238</v>
      </c>
      <c r="DI348" s="5" t="s">
        <v>238</v>
      </c>
      <c r="DJ348" s="5" t="s">
        <v>238</v>
      </c>
      <c r="DN348" s="5" t="s">
        <v>238</v>
      </c>
      <c r="DO348" s="5" t="s">
        <v>238</v>
      </c>
      <c r="DP348" s="5" t="s">
        <v>238</v>
      </c>
      <c r="DQ348" s="5" t="s">
        <v>238</v>
      </c>
      <c r="DT348" s="5" t="s">
        <v>5987</v>
      </c>
      <c r="DU348" s="5" t="s">
        <v>854</v>
      </c>
      <c r="HM348" s="5" t="s">
        <v>264</v>
      </c>
    </row>
    <row r="349" spans="1:221" x14ac:dyDescent="0.4">
      <c r="A349" s="5">
        <v>1084</v>
      </c>
      <c r="B349" s="5">
        <v>1</v>
      </c>
      <c r="C349" s="5">
        <v>1</v>
      </c>
      <c r="D349" s="5" t="s">
        <v>5985</v>
      </c>
      <c r="E349" s="5" t="s">
        <v>437</v>
      </c>
      <c r="F349" s="5" t="s">
        <v>248</v>
      </c>
      <c r="G349" s="5" t="s">
        <v>5984</v>
      </c>
      <c r="H349" s="6" t="s">
        <v>5998</v>
      </c>
      <c r="I349" s="7">
        <f>1631</f>
        <v>1631</v>
      </c>
      <c r="J349" s="5" t="s">
        <v>262</v>
      </c>
      <c r="K349" s="8">
        <f>3612665</f>
        <v>3612665</v>
      </c>
      <c r="L349" s="6" t="s">
        <v>242</v>
      </c>
      <c r="M349" s="5" t="s">
        <v>267</v>
      </c>
      <c r="N349" s="5" t="s">
        <v>237</v>
      </c>
      <c r="O349" s="5" t="s">
        <v>238</v>
      </c>
      <c r="P349" s="5" t="s">
        <v>238</v>
      </c>
      <c r="Q349" s="5" t="s">
        <v>239</v>
      </c>
      <c r="R349" s="5" t="s">
        <v>270</v>
      </c>
      <c r="S349" s="5" t="s">
        <v>238</v>
      </c>
      <c r="V349" s="5" t="s">
        <v>238</v>
      </c>
      <c r="X349" s="6" t="s">
        <v>238</v>
      </c>
      <c r="AA349" s="6" t="s">
        <v>243</v>
      </c>
      <c r="AB349" s="5" t="s">
        <v>238</v>
      </c>
      <c r="AC349" s="5" t="s">
        <v>244</v>
      </c>
      <c r="AD349" s="5" t="s">
        <v>245</v>
      </c>
      <c r="AT349" s="5" t="s">
        <v>246</v>
      </c>
      <c r="AU349" s="5" t="s">
        <v>238</v>
      </c>
      <c r="AV349" s="5" t="s">
        <v>247</v>
      </c>
      <c r="AW349" s="5" t="s">
        <v>238</v>
      </c>
      <c r="AX349" s="5" t="s">
        <v>249</v>
      </c>
      <c r="AY349" s="5" t="s">
        <v>238</v>
      </c>
      <c r="BA349" s="5" t="s">
        <v>238</v>
      </c>
      <c r="BC349" s="5" t="s">
        <v>250</v>
      </c>
      <c r="BD349" s="6" t="s">
        <v>243</v>
      </c>
      <c r="BE349" s="5" t="s">
        <v>251</v>
      </c>
      <c r="BF349" s="5" t="s">
        <v>252</v>
      </c>
      <c r="BG349" s="5" t="s">
        <v>238</v>
      </c>
      <c r="BH349" s="7">
        <f>0</f>
        <v>0</v>
      </c>
      <c r="BI349" s="8">
        <f>0</f>
        <v>0</v>
      </c>
      <c r="BJ349" s="5" t="s">
        <v>253</v>
      </c>
      <c r="BK349" s="5" t="s">
        <v>254</v>
      </c>
      <c r="BY349" s="5" t="s">
        <v>238</v>
      </c>
      <c r="BZ349" s="5" t="s">
        <v>238</v>
      </c>
      <c r="CD349" s="5" t="s">
        <v>255</v>
      </c>
      <c r="CE349" s="5" t="s">
        <v>256</v>
      </c>
      <c r="CF349" s="5" t="s">
        <v>238</v>
      </c>
      <c r="CI349" s="6" t="s">
        <v>257</v>
      </c>
      <c r="CJ349" s="5" t="s">
        <v>238</v>
      </c>
      <c r="CK349" s="5" t="s">
        <v>258</v>
      </c>
      <c r="CL349" s="5" t="s">
        <v>238</v>
      </c>
      <c r="CM349" s="5" t="s">
        <v>238</v>
      </c>
      <c r="CN349" s="5">
        <v>0</v>
      </c>
      <c r="CO349" s="5" t="s">
        <v>259</v>
      </c>
      <c r="CP349" s="5" t="s">
        <v>260</v>
      </c>
      <c r="CQ349" s="5" t="s">
        <v>260</v>
      </c>
      <c r="CR349" s="5" t="s">
        <v>261</v>
      </c>
      <c r="CU349" s="8">
        <f>3612665</f>
        <v>3612665</v>
      </c>
      <c r="CV349" s="8">
        <f>0</f>
        <v>0</v>
      </c>
      <c r="CX349" s="8">
        <f>0</f>
        <v>0</v>
      </c>
      <c r="CY349" s="8">
        <f>3612665</f>
        <v>3612665</v>
      </c>
      <c r="DA349" s="5" t="s">
        <v>2032</v>
      </c>
      <c r="DB349" s="5" t="s">
        <v>238</v>
      </c>
      <c r="DD349" s="5" t="s">
        <v>2032</v>
      </c>
      <c r="DE349" s="8">
        <f>1631</f>
        <v>1631</v>
      </c>
      <c r="DG349" s="5" t="s">
        <v>389</v>
      </c>
      <c r="DH349" s="5" t="s">
        <v>238</v>
      </c>
      <c r="DI349" s="5" t="s">
        <v>238</v>
      </c>
      <c r="DJ349" s="5" t="s">
        <v>238</v>
      </c>
      <c r="DN349" s="5" t="s">
        <v>238</v>
      </c>
      <c r="DO349" s="5" t="s">
        <v>238</v>
      </c>
      <c r="DP349" s="5" t="s">
        <v>238</v>
      </c>
      <c r="DQ349" s="5" t="s">
        <v>238</v>
      </c>
      <c r="DT349" s="5" t="s">
        <v>5987</v>
      </c>
      <c r="DU349" s="5" t="s">
        <v>911</v>
      </c>
      <c r="HM349" s="5" t="s">
        <v>264</v>
      </c>
    </row>
    <row r="350" spans="1:221" x14ac:dyDescent="0.4">
      <c r="A350" s="5">
        <v>1085</v>
      </c>
      <c r="B350" s="5">
        <v>1</v>
      </c>
      <c r="C350" s="5">
        <v>1</v>
      </c>
      <c r="D350" s="5" t="s">
        <v>5985</v>
      </c>
      <c r="E350" s="5" t="s">
        <v>437</v>
      </c>
      <c r="F350" s="5" t="s">
        <v>248</v>
      </c>
      <c r="G350" s="5" t="s">
        <v>5984</v>
      </c>
      <c r="H350" s="6" t="s">
        <v>5986</v>
      </c>
      <c r="I350" s="7">
        <f>1749</f>
        <v>1749</v>
      </c>
      <c r="J350" s="5" t="s">
        <v>262</v>
      </c>
      <c r="K350" s="8">
        <f>3874035</f>
        <v>3874035</v>
      </c>
      <c r="L350" s="6" t="s">
        <v>242</v>
      </c>
      <c r="M350" s="5" t="s">
        <v>267</v>
      </c>
      <c r="N350" s="5" t="s">
        <v>237</v>
      </c>
      <c r="O350" s="5" t="s">
        <v>238</v>
      </c>
      <c r="P350" s="5" t="s">
        <v>238</v>
      </c>
      <c r="Q350" s="5" t="s">
        <v>239</v>
      </c>
      <c r="R350" s="5" t="s">
        <v>270</v>
      </c>
      <c r="S350" s="5" t="s">
        <v>238</v>
      </c>
      <c r="V350" s="5" t="s">
        <v>238</v>
      </c>
      <c r="X350" s="6" t="s">
        <v>238</v>
      </c>
      <c r="AA350" s="6" t="s">
        <v>243</v>
      </c>
      <c r="AB350" s="5" t="s">
        <v>238</v>
      </c>
      <c r="AC350" s="5" t="s">
        <v>244</v>
      </c>
      <c r="AD350" s="5" t="s">
        <v>245</v>
      </c>
      <c r="AT350" s="5" t="s">
        <v>246</v>
      </c>
      <c r="AU350" s="5" t="s">
        <v>238</v>
      </c>
      <c r="AV350" s="5" t="s">
        <v>247</v>
      </c>
      <c r="AW350" s="5" t="s">
        <v>238</v>
      </c>
      <c r="AX350" s="5" t="s">
        <v>249</v>
      </c>
      <c r="AY350" s="5" t="s">
        <v>238</v>
      </c>
      <c r="BA350" s="5" t="s">
        <v>238</v>
      </c>
      <c r="BC350" s="5" t="s">
        <v>250</v>
      </c>
      <c r="BD350" s="6" t="s">
        <v>243</v>
      </c>
      <c r="BE350" s="5" t="s">
        <v>251</v>
      </c>
      <c r="BF350" s="5" t="s">
        <v>252</v>
      </c>
      <c r="BG350" s="5" t="s">
        <v>238</v>
      </c>
      <c r="BH350" s="7">
        <f>0</f>
        <v>0</v>
      </c>
      <c r="BI350" s="8">
        <f>0</f>
        <v>0</v>
      </c>
      <c r="BJ350" s="5" t="s">
        <v>253</v>
      </c>
      <c r="BK350" s="5" t="s">
        <v>254</v>
      </c>
      <c r="BY350" s="5" t="s">
        <v>238</v>
      </c>
      <c r="BZ350" s="5" t="s">
        <v>238</v>
      </c>
      <c r="CD350" s="5" t="s">
        <v>255</v>
      </c>
      <c r="CE350" s="5" t="s">
        <v>256</v>
      </c>
      <c r="CF350" s="5" t="s">
        <v>238</v>
      </c>
      <c r="CI350" s="6" t="s">
        <v>257</v>
      </c>
      <c r="CJ350" s="5" t="s">
        <v>238</v>
      </c>
      <c r="CK350" s="5" t="s">
        <v>258</v>
      </c>
      <c r="CL350" s="5" t="s">
        <v>238</v>
      </c>
      <c r="CM350" s="5" t="s">
        <v>238</v>
      </c>
      <c r="CN350" s="5">
        <v>0</v>
      </c>
      <c r="CO350" s="5" t="s">
        <v>259</v>
      </c>
      <c r="CP350" s="5" t="s">
        <v>260</v>
      </c>
      <c r="CQ350" s="5" t="s">
        <v>260</v>
      </c>
      <c r="CR350" s="5" t="s">
        <v>261</v>
      </c>
      <c r="CU350" s="8">
        <f>3874035</f>
        <v>3874035</v>
      </c>
      <c r="CV350" s="8">
        <f>0</f>
        <v>0</v>
      </c>
      <c r="CX350" s="8">
        <f>0</f>
        <v>0</v>
      </c>
      <c r="CY350" s="8">
        <f>3874035</f>
        <v>3874035</v>
      </c>
      <c r="DA350" s="5" t="s">
        <v>2032</v>
      </c>
      <c r="DB350" s="5" t="s">
        <v>238</v>
      </c>
      <c r="DD350" s="5" t="s">
        <v>2032</v>
      </c>
      <c r="DE350" s="8">
        <f>1749</f>
        <v>1749</v>
      </c>
      <c r="DG350" s="5" t="s">
        <v>389</v>
      </c>
      <c r="DH350" s="5" t="s">
        <v>238</v>
      </c>
      <c r="DI350" s="5" t="s">
        <v>238</v>
      </c>
      <c r="DJ350" s="5" t="s">
        <v>238</v>
      </c>
      <c r="DN350" s="5" t="s">
        <v>238</v>
      </c>
      <c r="DO350" s="5" t="s">
        <v>238</v>
      </c>
      <c r="DP350" s="5" t="s">
        <v>238</v>
      </c>
      <c r="DQ350" s="5" t="s">
        <v>238</v>
      </c>
      <c r="DT350" s="5" t="s">
        <v>5987</v>
      </c>
      <c r="DU350" s="5" t="s">
        <v>967</v>
      </c>
      <c r="HM350" s="5" t="s">
        <v>264</v>
      </c>
    </row>
    <row r="351" spans="1:221" x14ac:dyDescent="0.4">
      <c r="A351" s="5">
        <v>1086</v>
      </c>
      <c r="B351" s="5">
        <v>1</v>
      </c>
      <c r="C351" s="5">
        <v>1</v>
      </c>
      <c r="D351" s="5" t="s">
        <v>5985</v>
      </c>
      <c r="E351" s="5" t="s">
        <v>437</v>
      </c>
      <c r="F351" s="5" t="s">
        <v>248</v>
      </c>
      <c r="G351" s="5" t="s">
        <v>5984</v>
      </c>
      <c r="H351" s="6" t="s">
        <v>6508</v>
      </c>
      <c r="I351" s="7">
        <f>1790</f>
        <v>1790</v>
      </c>
      <c r="J351" s="5" t="s">
        <v>262</v>
      </c>
      <c r="K351" s="8">
        <f>3964850</f>
        <v>3964850</v>
      </c>
      <c r="L351" s="6" t="s">
        <v>242</v>
      </c>
      <c r="M351" s="5" t="s">
        <v>267</v>
      </c>
      <c r="N351" s="5" t="s">
        <v>237</v>
      </c>
      <c r="O351" s="5" t="s">
        <v>238</v>
      </c>
      <c r="P351" s="5" t="s">
        <v>238</v>
      </c>
      <c r="Q351" s="5" t="s">
        <v>239</v>
      </c>
      <c r="R351" s="5" t="s">
        <v>270</v>
      </c>
      <c r="S351" s="5" t="s">
        <v>238</v>
      </c>
      <c r="V351" s="5" t="s">
        <v>238</v>
      </c>
      <c r="X351" s="6" t="s">
        <v>238</v>
      </c>
      <c r="AA351" s="6" t="s">
        <v>243</v>
      </c>
      <c r="AB351" s="5" t="s">
        <v>238</v>
      </c>
      <c r="AC351" s="5" t="s">
        <v>244</v>
      </c>
      <c r="AD351" s="5" t="s">
        <v>245</v>
      </c>
      <c r="AT351" s="5" t="s">
        <v>246</v>
      </c>
      <c r="AU351" s="5" t="s">
        <v>238</v>
      </c>
      <c r="AV351" s="5" t="s">
        <v>247</v>
      </c>
      <c r="AW351" s="5" t="s">
        <v>238</v>
      </c>
      <c r="AX351" s="5" t="s">
        <v>249</v>
      </c>
      <c r="AY351" s="5" t="s">
        <v>238</v>
      </c>
      <c r="BA351" s="5" t="s">
        <v>238</v>
      </c>
      <c r="BC351" s="5" t="s">
        <v>250</v>
      </c>
      <c r="BD351" s="6" t="s">
        <v>243</v>
      </c>
      <c r="BE351" s="5" t="s">
        <v>251</v>
      </c>
      <c r="BF351" s="5" t="s">
        <v>252</v>
      </c>
      <c r="BG351" s="5" t="s">
        <v>238</v>
      </c>
      <c r="BH351" s="7">
        <f>0</f>
        <v>0</v>
      </c>
      <c r="BI351" s="8">
        <f>0</f>
        <v>0</v>
      </c>
      <c r="BJ351" s="5" t="s">
        <v>253</v>
      </c>
      <c r="BK351" s="5" t="s">
        <v>254</v>
      </c>
      <c r="BY351" s="5" t="s">
        <v>238</v>
      </c>
      <c r="BZ351" s="5" t="s">
        <v>238</v>
      </c>
      <c r="CD351" s="5" t="s">
        <v>255</v>
      </c>
      <c r="CE351" s="5" t="s">
        <v>256</v>
      </c>
      <c r="CF351" s="5" t="s">
        <v>238</v>
      </c>
      <c r="CI351" s="6" t="s">
        <v>257</v>
      </c>
      <c r="CJ351" s="5" t="s">
        <v>238</v>
      </c>
      <c r="CK351" s="5" t="s">
        <v>258</v>
      </c>
      <c r="CL351" s="5" t="s">
        <v>238</v>
      </c>
      <c r="CM351" s="5" t="s">
        <v>238</v>
      </c>
      <c r="CN351" s="5">
        <v>0</v>
      </c>
      <c r="CO351" s="5" t="s">
        <v>259</v>
      </c>
      <c r="CP351" s="5" t="s">
        <v>260</v>
      </c>
      <c r="CQ351" s="5" t="s">
        <v>260</v>
      </c>
      <c r="CR351" s="5" t="s">
        <v>261</v>
      </c>
      <c r="CU351" s="8">
        <f>3964850</f>
        <v>3964850</v>
      </c>
      <c r="CV351" s="8">
        <f>0</f>
        <v>0</v>
      </c>
      <c r="CX351" s="8">
        <f>0</f>
        <v>0</v>
      </c>
      <c r="CY351" s="8">
        <f>3964850</f>
        <v>3964850</v>
      </c>
      <c r="DA351" s="5" t="s">
        <v>2032</v>
      </c>
      <c r="DB351" s="5" t="s">
        <v>238</v>
      </c>
      <c r="DD351" s="5" t="s">
        <v>2032</v>
      </c>
      <c r="DE351" s="8">
        <f>1790</f>
        <v>1790</v>
      </c>
      <c r="DG351" s="5" t="s">
        <v>389</v>
      </c>
      <c r="DH351" s="5" t="s">
        <v>238</v>
      </c>
      <c r="DI351" s="5" t="s">
        <v>238</v>
      </c>
      <c r="DJ351" s="5" t="s">
        <v>238</v>
      </c>
      <c r="DN351" s="5" t="s">
        <v>238</v>
      </c>
      <c r="DO351" s="5" t="s">
        <v>238</v>
      </c>
      <c r="DP351" s="5" t="s">
        <v>238</v>
      </c>
      <c r="DQ351" s="5" t="s">
        <v>238</v>
      </c>
      <c r="DT351" s="5" t="s">
        <v>5987</v>
      </c>
      <c r="DU351" s="5" t="s">
        <v>1376</v>
      </c>
      <c r="HM351" s="5" t="s">
        <v>264</v>
      </c>
    </row>
    <row r="352" spans="1:221" x14ac:dyDescent="0.4">
      <c r="A352" s="5">
        <v>1087</v>
      </c>
      <c r="B352" s="5">
        <v>1</v>
      </c>
      <c r="C352" s="5">
        <v>1</v>
      </c>
      <c r="D352" s="5" t="s">
        <v>5985</v>
      </c>
      <c r="E352" s="5" t="s">
        <v>437</v>
      </c>
      <c r="F352" s="5" t="s">
        <v>248</v>
      </c>
      <c r="G352" s="5" t="s">
        <v>5984</v>
      </c>
      <c r="H352" s="6" t="s">
        <v>5991</v>
      </c>
      <c r="I352" s="7">
        <f>506</f>
        <v>506</v>
      </c>
      <c r="J352" s="5" t="s">
        <v>262</v>
      </c>
      <c r="K352" s="8">
        <f>1120790</f>
        <v>1120790</v>
      </c>
      <c r="L352" s="6" t="s">
        <v>242</v>
      </c>
      <c r="M352" s="5" t="s">
        <v>267</v>
      </c>
      <c r="N352" s="5" t="s">
        <v>237</v>
      </c>
      <c r="O352" s="5" t="s">
        <v>238</v>
      </c>
      <c r="P352" s="5" t="s">
        <v>238</v>
      </c>
      <c r="Q352" s="5" t="s">
        <v>239</v>
      </c>
      <c r="R352" s="5" t="s">
        <v>270</v>
      </c>
      <c r="S352" s="5" t="s">
        <v>238</v>
      </c>
      <c r="V352" s="5" t="s">
        <v>238</v>
      </c>
      <c r="X352" s="6" t="s">
        <v>238</v>
      </c>
      <c r="AA352" s="6" t="s">
        <v>243</v>
      </c>
      <c r="AB352" s="5" t="s">
        <v>238</v>
      </c>
      <c r="AC352" s="5" t="s">
        <v>244</v>
      </c>
      <c r="AD352" s="5" t="s">
        <v>245</v>
      </c>
      <c r="AT352" s="5" t="s">
        <v>246</v>
      </c>
      <c r="AU352" s="5" t="s">
        <v>238</v>
      </c>
      <c r="AV352" s="5" t="s">
        <v>247</v>
      </c>
      <c r="AW352" s="5" t="s">
        <v>238</v>
      </c>
      <c r="AX352" s="5" t="s">
        <v>249</v>
      </c>
      <c r="AY352" s="5" t="s">
        <v>238</v>
      </c>
      <c r="BA352" s="5" t="s">
        <v>238</v>
      </c>
      <c r="BC352" s="5" t="s">
        <v>250</v>
      </c>
      <c r="BD352" s="6" t="s">
        <v>243</v>
      </c>
      <c r="BE352" s="5" t="s">
        <v>251</v>
      </c>
      <c r="BF352" s="5" t="s">
        <v>252</v>
      </c>
      <c r="BG352" s="5" t="s">
        <v>238</v>
      </c>
      <c r="BH352" s="7">
        <f>0</f>
        <v>0</v>
      </c>
      <c r="BI352" s="8">
        <f>0</f>
        <v>0</v>
      </c>
      <c r="BJ352" s="5" t="s">
        <v>253</v>
      </c>
      <c r="BK352" s="5" t="s">
        <v>254</v>
      </c>
      <c r="BY352" s="5" t="s">
        <v>238</v>
      </c>
      <c r="BZ352" s="5" t="s">
        <v>238</v>
      </c>
      <c r="CD352" s="5" t="s">
        <v>255</v>
      </c>
      <c r="CE352" s="5" t="s">
        <v>256</v>
      </c>
      <c r="CF352" s="5" t="s">
        <v>238</v>
      </c>
      <c r="CI352" s="6" t="s">
        <v>257</v>
      </c>
      <c r="CJ352" s="5" t="s">
        <v>238</v>
      </c>
      <c r="CK352" s="5" t="s">
        <v>258</v>
      </c>
      <c r="CL352" s="5" t="s">
        <v>238</v>
      </c>
      <c r="CM352" s="5" t="s">
        <v>238</v>
      </c>
      <c r="CN352" s="5">
        <v>0</v>
      </c>
      <c r="CO352" s="5" t="s">
        <v>259</v>
      </c>
      <c r="CP352" s="5" t="s">
        <v>260</v>
      </c>
      <c r="CQ352" s="5" t="s">
        <v>260</v>
      </c>
      <c r="CR352" s="5" t="s">
        <v>261</v>
      </c>
      <c r="CU352" s="8">
        <f>1120790</f>
        <v>1120790</v>
      </c>
      <c r="CV352" s="8">
        <f>0</f>
        <v>0</v>
      </c>
      <c r="CX352" s="8">
        <f>0</f>
        <v>0</v>
      </c>
      <c r="CY352" s="8">
        <f>1120790</f>
        <v>1120790</v>
      </c>
      <c r="DA352" s="5" t="s">
        <v>2032</v>
      </c>
      <c r="DB352" s="5" t="s">
        <v>238</v>
      </c>
      <c r="DD352" s="5" t="s">
        <v>2032</v>
      </c>
      <c r="DE352" s="8">
        <f>506</f>
        <v>506</v>
      </c>
      <c r="DG352" s="5" t="s">
        <v>389</v>
      </c>
      <c r="DH352" s="5" t="s">
        <v>238</v>
      </c>
      <c r="DI352" s="5" t="s">
        <v>238</v>
      </c>
      <c r="DJ352" s="5" t="s">
        <v>238</v>
      </c>
      <c r="DN352" s="5" t="s">
        <v>238</v>
      </c>
      <c r="DO352" s="5" t="s">
        <v>238</v>
      </c>
      <c r="DP352" s="5" t="s">
        <v>238</v>
      </c>
      <c r="DQ352" s="5" t="s">
        <v>238</v>
      </c>
      <c r="DT352" s="5" t="s">
        <v>5987</v>
      </c>
      <c r="DU352" s="5" t="s">
        <v>1372</v>
      </c>
      <c r="HM352" s="5" t="s">
        <v>264</v>
      </c>
    </row>
    <row r="353" spans="1:221" x14ac:dyDescent="0.4">
      <c r="A353" s="5">
        <v>1088</v>
      </c>
      <c r="B353" s="5">
        <v>1</v>
      </c>
      <c r="C353" s="5">
        <v>1</v>
      </c>
      <c r="D353" s="5" t="s">
        <v>5985</v>
      </c>
      <c r="E353" s="5" t="s">
        <v>437</v>
      </c>
      <c r="F353" s="5" t="s">
        <v>248</v>
      </c>
      <c r="G353" s="5" t="s">
        <v>5984</v>
      </c>
      <c r="H353" s="6" t="s">
        <v>5992</v>
      </c>
      <c r="I353" s="7">
        <f>1253</f>
        <v>1253</v>
      </c>
      <c r="J353" s="5" t="s">
        <v>262</v>
      </c>
      <c r="K353" s="8">
        <f>2775395</f>
        <v>2775395</v>
      </c>
      <c r="L353" s="6" t="s">
        <v>242</v>
      </c>
      <c r="M353" s="5" t="s">
        <v>267</v>
      </c>
      <c r="N353" s="5" t="s">
        <v>237</v>
      </c>
      <c r="O353" s="5" t="s">
        <v>238</v>
      </c>
      <c r="P353" s="5" t="s">
        <v>238</v>
      </c>
      <c r="Q353" s="5" t="s">
        <v>239</v>
      </c>
      <c r="R353" s="5" t="s">
        <v>270</v>
      </c>
      <c r="S353" s="5" t="s">
        <v>238</v>
      </c>
      <c r="V353" s="5" t="s">
        <v>238</v>
      </c>
      <c r="X353" s="6" t="s">
        <v>238</v>
      </c>
      <c r="AA353" s="6" t="s">
        <v>243</v>
      </c>
      <c r="AB353" s="5" t="s">
        <v>238</v>
      </c>
      <c r="AC353" s="5" t="s">
        <v>244</v>
      </c>
      <c r="AD353" s="5" t="s">
        <v>245</v>
      </c>
      <c r="AT353" s="5" t="s">
        <v>246</v>
      </c>
      <c r="AU353" s="5" t="s">
        <v>238</v>
      </c>
      <c r="AV353" s="5" t="s">
        <v>247</v>
      </c>
      <c r="AW353" s="5" t="s">
        <v>238</v>
      </c>
      <c r="AX353" s="5" t="s">
        <v>249</v>
      </c>
      <c r="AY353" s="5" t="s">
        <v>238</v>
      </c>
      <c r="BA353" s="5" t="s">
        <v>238</v>
      </c>
      <c r="BC353" s="5" t="s">
        <v>250</v>
      </c>
      <c r="BD353" s="6" t="s">
        <v>243</v>
      </c>
      <c r="BE353" s="5" t="s">
        <v>251</v>
      </c>
      <c r="BF353" s="5" t="s">
        <v>252</v>
      </c>
      <c r="BG353" s="5" t="s">
        <v>238</v>
      </c>
      <c r="BH353" s="7">
        <f>0</f>
        <v>0</v>
      </c>
      <c r="BI353" s="8">
        <f>0</f>
        <v>0</v>
      </c>
      <c r="BJ353" s="5" t="s">
        <v>253</v>
      </c>
      <c r="BK353" s="5" t="s">
        <v>254</v>
      </c>
      <c r="BY353" s="5" t="s">
        <v>238</v>
      </c>
      <c r="BZ353" s="5" t="s">
        <v>238</v>
      </c>
      <c r="CD353" s="5" t="s">
        <v>255</v>
      </c>
      <c r="CE353" s="5" t="s">
        <v>256</v>
      </c>
      <c r="CF353" s="5" t="s">
        <v>238</v>
      </c>
      <c r="CI353" s="6" t="s">
        <v>257</v>
      </c>
      <c r="CJ353" s="5" t="s">
        <v>238</v>
      </c>
      <c r="CK353" s="5" t="s">
        <v>258</v>
      </c>
      <c r="CL353" s="5" t="s">
        <v>238</v>
      </c>
      <c r="CM353" s="5" t="s">
        <v>238</v>
      </c>
      <c r="CN353" s="5">
        <v>0</v>
      </c>
      <c r="CO353" s="5" t="s">
        <v>259</v>
      </c>
      <c r="CP353" s="5" t="s">
        <v>260</v>
      </c>
      <c r="CQ353" s="5" t="s">
        <v>260</v>
      </c>
      <c r="CR353" s="5" t="s">
        <v>261</v>
      </c>
      <c r="CU353" s="8">
        <f>2775395</f>
        <v>2775395</v>
      </c>
      <c r="CV353" s="8">
        <f>0</f>
        <v>0</v>
      </c>
      <c r="CX353" s="8">
        <f>0</f>
        <v>0</v>
      </c>
      <c r="CY353" s="8">
        <f>2775395</f>
        <v>2775395</v>
      </c>
      <c r="DA353" s="5" t="s">
        <v>2032</v>
      </c>
      <c r="DB353" s="5" t="s">
        <v>238</v>
      </c>
      <c r="DD353" s="5" t="s">
        <v>2032</v>
      </c>
      <c r="DE353" s="8">
        <f>1253</f>
        <v>1253</v>
      </c>
      <c r="DG353" s="5" t="s">
        <v>389</v>
      </c>
      <c r="DH353" s="5" t="s">
        <v>238</v>
      </c>
      <c r="DI353" s="5" t="s">
        <v>238</v>
      </c>
      <c r="DJ353" s="5" t="s">
        <v>238</v>
      </c>
      <c r="DN353" s="5" t="s">
        <v>238</v>
      </c>
      <c r="DO353" s="5" t="s">
        <v>238</v>
      </c>
      <c r="DP353" s="5" t="s">
        <v>238</v>
      </c>
      <c r="DQ353" s="5" t="s">
        <v>238</v>
      </c>
      <c r="DT353" s="5" t="s">
        <v>5987</v>
      </c>
      <c r="DU353" s="5" t="s">
        <v>1370</v>
      </c>
      <c r="HM353" s="5" t="s">
        <v>264</v>
      </c>
    </row>
    <row r="354" spans="1:221" x14ac:dyDescent="0.4">
      <c r="A354" s="5">
        <v>1089</v>
      </c>
      <c r="B354" s="5">
        <v>1</v>
      </c>
      <c r="C354" s="5">
        <v>1</v>
      </c>
      <c r="D354" s="5" t="s">
        <v>5985</v>
      </c>
      <c r="E354" s="5" t="s">
        <v>437</v>
      </c>
      <c r="F354" s="5" t="s">
        <v>248</v>
      </c>
      <c r="G354" s="5" t="s">
        <v>5984</v>
      </c>
      <c r="H354" s="6" t="s">
        <v>6506</v>
      </c>
      <c r="I354" s="7">
        <f>2376</f>
        <v>2376</v>
      </c>
      <c r="J354" s="5" t="s">
        <v>262</v>
      </c>
      <c r="K354" s="8">
        <f>1164240</f>
        <v>1164240</v>
      </c>
      <c r="L354" s="6" t="s">
        <v>242</v>
      </c>
      <c r="M354" s="5" t="s">
        <v>267</v>
      </c>
      <c r="N354" s="5" t="s">
        <v>237</v>
      </c>
      <c r="O354" s="5" t="s">
        <v>238</v>
      </c>
      <c r="P354" s="5" t="s">
        <v>238</v>
      </c>
      <c r="Q354" s="5" t="s">
        <v>268</v>
      </c>
      <c r="R354" s="5" t="s">
        <v>270</v>
      </c>
      <c r="S354" s="5" t="s">
        <v>238</v>
      </c>
      <c r="V354" s="5" t="s">
        <v>238</v>
      </c>
      <c r="X354" s="6" t="s">
        <v>238</v>
      </c>
      <c r="AA354" s="6" t="s">
        <v>243</v>
      </c>
      <c r="AB354" s="5" t="s">
        <v>238</v>
      </c>
      <c r="AC354" s="5" t="s">
        <v>244</v>
      </c>
      <c r="AD354" s="5" t="s">
        <v>245</v>
      </c>
      <c r="AT354" s="5" t="s">
        <v>246</v>
      </c>
      <c r="AU354" s="5" t="s">
        <v>238</v>
      </c>
      <c r="AV354" s="5" t="s">
        <v>247</v>
      </c>
      <c r="AW354" s="5" t="s">
        <v>238</v>
      </c>
      <c r="AX354" s="5" t="s">
        <v>249</v>
      </c>
      <c r="AY354" s="5" t="s">
        <v>238</v>
      </c>
      <c r="BA354" s="5" t="s">
        <v>238</v>
      </c>
      <c r="BC354" s="5" t="s">
        <v>250</v>
      </c>
      <c r="BD354" s="6" t="s">
        <v>243</v>
      </c>
      <c r="BE354" s="5" t="s">
        <v>251</v>
      </c>
      <c r="BF354" s="5" t="s">
        <v>252</v>
      </c>
      <c r="BG354" s="5" t="s">
        <v>238</v>
      </c>
      <c r="BH354" s="7">
        <f>0</f>
        <v>0</v>
      </c>
      <c r="BI354" s="8">
        <f>0</f>
        <v>0</v>
      </c>
      <c r="BJ354" s="5" t="s">
        <v>253</v>
      </c>
      <c r="BK354" s="5" t="s">
        <v>254</v>
      </c>
      <c r="BY354" s="5" t="s">
        <v>238</v>
      </c>
      <c r="BZ354" s="5" t="s">
        <v>238</v>
      </c>
      <c r="CD354" s="5" t="s">
        <v>255</v>
      </c>
      <c r="CE354" s="5" t="s">
        <v>256</v>
      </c>
      <c r="CF354" s="5" t="s">
        <v>238</v>
      </c>
      <c r="CI354" s="6" t="s">
        <v>257</v>
      </c>
      <c r="CJ354" s="5" t="s">
        <v>238</v>
      </c>
      <c r="CK354" s="5" t="s">
        <v>258</v>
      </c>
      <c r="CL354" s="5" t="s">
        <v>238</v>
      </c>
      <c r="CM354" s="5" t="s">
        <v>238</v>
      </c>
      <c r="CN354" s="5">
        <v>0</v>
      </c>
      <c r="CO354" s="5" t="s">
        <v>259</v>
      </c>
      <c r="CP354" s="5" t="s">
        <v>260</v>
      </c>
      <c r="CQ354" s="5" t="s">
        <v>260</v>
      </c>
      <c r="CR354" s="5" t="s">
        <v>261</v>
      </c>
      <c r="CU354" s="8">
        <f>1164240</f>
        <v>1164240</v>
      </c>
      <c r="CV354" s="8">
        <f>0</f>
        <v>0</v>
      </c>
      <c r="CX354" s="8">
        <f>0</f>
        <v>0</v>
      </c>
      <c r="CY354" s="8">
        <f>1164240</f>
        <v>1164240</v>
      </c>
      <c r="DA354" s="5" t="s">
        <v>274</v>
      </c>
      <c r="DB354" s="5" t="s">
        <v>238</v>
      </c>
      <c r="DD354" s="5" t="s">
        <v>2032</v>
      </c>
      <c r="DE354" s="8">
        <f>2376</f>
        <v>2376</v>
      </c>
      <c r="DG354" s="5" t="s">
        <v>356</v>
      </c>
      <c r="DH354" s="5" t="s">
        <v>238</v>
      </c>
      <c r="DI354" s="5" t="s">
        <v>238</v>
      </c>
      <c r="DJ354" s="5" t="s">
        <v>238</v>
      </c>
      <c r="DN354" s="5" t="s">
        <v>238</v>
      </c>
      <c r="DO354" s="5" t="s">
        <v>238</v>
      </c>
      <c r="DP354" s="5" t="s">
        <v>238</v>
      </c>
      <c r="DQ354" s="5" t="s">
        <v>238</v>
      </c>
      <c r="DT354" s="5" t="s">
        <v>5987</v>
      </c>
      <c r="DU354" s="5" t="s">
        <v>1364</v>
      </c>
      <c r="HM354" s="5" t="s">
        <v>264</v>
      </c>
    </row>
    <row r="355" spans="1:221" x14ac:dyDescent="0.4">
      <c r="A355" s="5">
        <v>1090</v>
      </c>
      <c r="B355" s="5">
        <v>1</v>
      </c>
      <c r="C355" s="5">
        <v>1</v>
      </c>
      <c r="D355" s="5" t="s">
        <v>5985</v>
      </c>
      <c r="E355" s="5" t="s">
        <v>437</v>
      </c>
      <c r="F355" s="5" t="s">
        <v>248</v>
      </c>
      <c r="G355" s="5" t="s">
        <v>5984</v>
      </c>
      <c r="H355" s="6" t="s">
        <v>5999</v>
      </c>
      <c r="I355" s="7">
        <f>1276</f>
        <v>1276</v>
      </c>
      <c r="J355" s="5" t="s">
        <v>262</v>
      </c>
      <c r="K355" s="8">
        <f>2826340</f>
        <v>2826340</v>
      </c>
      <c r="L355" s="6" t="s">
        <v>242</v>
      </c>
      <c r="M355" s="5" t="s">
        <v>267</v>
      </c>
      <c r="N355" s="5" t="s">
        <v>237</v>
      </c>
      <c r="O355" s="5" t="s">
        <v>238</v>
      </c>
      <c r="P355" s="5" t="s">
        <v>238</v>
      </c>
      <c r="Q355" s="5" t="s">
        <v>239</v>
      </c>
      <c r="R355" s="5" t="s">
        <v>270</v>
      </c>
      <c r="S355" s="5" t="s">
        <v>238</v>
      </c>
      <c r="V355" s="5" t="s">
        <v>238</v>
      </c>
      <c r="X355" s="6" t="s">
        <v>238</v>
      </c>
      <c r="AA355" s="6" t="s">
        <v>243</v>
      </c>
      <c r="AB355" s="5" t="s">
        <v>238</v>
      </c>
      <c r="AC355" s="5" t="s">
        <v>244</v>
      </c>
      <c r="AD355" s="5" t="s">
        <v>245</v>
      </c>
      <c r="AT355" s="5" t="s">
        <v>246</v>
      </c>
      <c r="AU355" s="5" t="s">
        <v>238</v>
      </c>
      <c r="AV355" s="5" t="s">
        <v>247</v>
      </c>
      <c r="AW355" s="5" t="s">
        <v>238</v>
      </c>
      <c r="AX355" s="5" t="s">
        <v>249</v>
      </c>
      <c r="AY355" s="5" t="s">
        <v>238</v>
      </c>
      <c r="BA355" s="5" t="s">
        <v>238</v>
      </c>
      <c r="BC355" s="5" t="s">
        <v>250</v>
      </c>
      <c r="BD355" s="6" t="s">
        <v>243</v>
      </c>
      <c r="BE355" s="5" t="s">
        <v>251</v>
      </c>
      <c r="BF355" s="5" t="s">
        <v>252</v>
      </c>
      <c r="BG355" s="5" t="s">
        <v>238</v>
      </c>
      <c r="BH355" s="7">
        <f>0</f>
        <v>0</v>
      </c>
      <c r="BI355" s="8">
        <f>0</f>
        <v>0</v>
      </c>
      <c r="BJ355" s="5" t="s">
        <v>253</v>
      </c>
      <c r="BK355" s="5" t="s">
        <v>254</v>
      </c>
      <c r="BY355" s="5" t="s">
        <v>238</v>
      </c>
      <c r="BZ355" s="5" t="s">
        <v>238</v>
      </c>
      <c r="CD355" s="5" t="s">
        <v>255</v>
      </c>
      <c r="CE355" s="5" t="s">
        <v>256</v>
      </c>
      <c r="CF355" s="5" t="s">
        <v>238</v>
      </c>
      <c r="CI355" s="6" t="s">
        <v>257</v>
      </c>
      <c r="CJ355" s="5" t="s">
        <v>238</v>
      </c>
      <c r="CK355" s="5" t="s">
        <v>258</v>
      </c>
      <c r="CL355" s="5" t="s">
        <v>238</v>
      </c>
      <c r="CM355" s="5" t="s">
        <v>238</v>
      </c>
      <c r="CN355" s="5">
        <v>0</v>
      </c>
      <c r="CO355" s="5" t="s">
        <v>259</v>
      </c>
      <c r="CP355" s="5" t="s">
        <v>260</v>
      </c>
      <c r="CQ355" s="5" t="s">
        <v>260</v>
      </c>
      <c r="CR355" s="5" t="s">
        <v>261</v>
      </c>
      <c r="CU355" s="8">
        <f>2826340</f>
        <v>2826340</v>
      </c>
      <c r="CV355" s="8">
        <f>0</f>
        <v>0</v>
      </c>
      <c r="CX355" s="8">
        <f>0</f>
        <v>0</v>
      </c>
      <c r="CY355" s="8">
        <f>2826340</f>
        <v>2826340</v>
      </c>
      <c r="DA355" s="5" t="s">
        <v>2032</v>
      </c>
      <c r="DB355" s="5" t="s">
        <v>238</v>
      </c>
      <c r="DD355" s="5" t="s">
        <v>2032</v>
      </c>
      <c r="DE355" s="8">
        <f>1276</f>
        <v>1276</v>
      </c>
      <c r="DG355" s="5" t="s">
        <v>389</v>
      </c>
      <c r="DH355" s="5" t="s">
        <v>238</v>
      </c>
      <c r="DI355" s="5" t="s">
        <v>238</v>
      </c>
      <c r="DJ355" s="5" t="s">
        <v>238</v>
      </c>
      <c r="DN355" s="5" t="s">
        <v>238</v>
      </c>
      <c r="DO355" s="5" t="s">
        <v>238</v>
      </c>
      <c r="DP355" s="5" t="s">
        <v>238</v>
      </c>
      <c r="DQ355" s="5" t="s">
        <v>238</v>
      </c>
      <c r="DT355" s="5" t="s">
        <v>5987</v>
      </c>
      <c r="DU355" s="5" t="s">
        <v>1360</v>
      </c>
      <c r="HM355" s="5" t="s">
        <v>264</v>
      </c>
    </row>
    <row r="356" spans="1:221" x14ac:dyDescent="0.4">
      <c r="A356" s="5">
        <v>1091</v>
      </c>
      <c r="B356" s="5">
        <v>1</v>
      </c>
      <c r="C356" s="5">
        <v>1</v>
      </c>
      <c r="D356" s="5" t="s">
        <v>5985</v>
      </c>
      <c r="E356" s="5" t="s">
        <v>437</v>
      </c>
      <c r="F356" s="5" t="s">
        <v>248</v>
      </c>
      <c r="G356" s="5" t="s">
        <v>5984</v>
      </c>
      <c r="H356" s="6" t="s">
        <v>5993</v>
      </c>
      <c r="I356" s="7">
        <f>177</f>
        <v>177</v>
      </c>
      <c r="J356" s="5" t="s">
        <v>262</v>
      </c>
      <c r="K356" s="8">
        <f>392055</f>
        <v>392055</v>
      </c>
      <c r="L356" s="6" t="s">
        <v>242</v>
      </c>
      <c r="M356" s="5" t="s">
        <v>267</v>
      </c>
      <c r="N356" s="5" t="s">
        <v>237</v>
      </c>
      <c r="O356" s="5" t="s">
        <v>238</v>
      </c>
      <c r="P356" s="5" t="s">
        <v>238</v>
      </c>
      <c r="Q356" s="5" t="s">
        <v>239</v>
      </c>
      <c r="R356" s="5" t="s">
        <v>270</v>
      </c>
      <c r="S356" s="5" t="s">
        <v>238</v>
      </c>
      <c r="V356" s="5" t="s">
        <v>238</v>
      </c>
      <c r="X356" s="6" t="s">
        <v>238</v>
      </c>
      <c r="AA356" s="6" t="s">
        <v>243</v>
      </c>
      <c r="AB356" s="5" t="s">
        <v>238</v>
      </c>
      <c r="AC356" s="5" t="s">
        <v>244</v>
      </c>
      <c r="AD356" s="5" t="s">
        <v>245</v>
      </c>
      <c r="AT356" s="5" t="s">
        <v>246</v>
      </c>
      <c r="AU356" s="5" t="s">
        <v>238</v>
      </c>
      <c r="AV356" s="5" t="s">
        <v>247</v>
      </c>
      <c r="AW356" s="5" t="s">
        <v>238</v>
      </c>
      <c r="AX356" s="5" t="s">
        <v>249</v>
      </c>
      <c r="AY356" s="5" t="s">
        <v>238</v>
      </c>
      <c r="BA356" s="5" t="s">
        <v>238</v>
      </c>
      <c r="BC356" s="5" t="s">
        <v>250</v>
      </c>
      <c r="BD356" s="6" t="s">
        <v>243</v>
      </c>
      <c r="BE356" s="5" t="s">
        <v>251</v>
      </c>
      <c r="BF356" s="5" t="s">
        <v>252</v>
      </c>
      <c r="BG356" s="5" t="s">
        <v>238</v>
      </c>
      <c r="BH356" s="7">
        <f>0</f>
        <v>0</v>
      </c>
      <c r="BI356" s="8">
        <f>0</f>
        <v>0</v>
      </c>
      <c r="BJ356" s="5" t="s">
        <v>253</v>
      </c>
      <c r="BK356" s="5" t="s">
        <v>254</v>
      </c>
      <c r="BY356" s="5" t="s">
        <v>238</v>
      </c>
      <c r="BZ356" s="5" t="s">
        <v>238</v>
      </c>
      <c r="CD356" s="5" t="s">
        <v>255</v>
      </c>
      <c r="CE356" s="5" t="s">
        <v>256</v>
      </c>
      <c r="CF356" s="5" t="s">
        <v>238</v>
      </c>
      <c r="CI356" s="6" t="s">
        <v>257</v>
      </c>
      <c r="CJ356" s="5" t="s">
        <v>238</v>
      </c>
      <c r="CK356" s="5" t="s">
        <v>258</v>
      </c>
      <c r="CL356" s="5" t="s">
        <v>238</v>
      </c>
      <c r="CM356" s="5" t="s">
        <v>238</v>
      </c>
      <c r="CN356" s="5">
        <v>0</v>
      </c>
      <c r="CO356" s="5" t="s">
        <v>259</v>
      </c>
      <c r="CP356" s="5" t="s">
        <v>260</v>
      </c>
      <c r="CQ356" s="5" t="s">
        <v>260</v>
      </c>
      <c r="CR356" s="5" t="s">
        <v>261</v>
      </c>
      <c r="CU356" s="8">
        <f>392055</f>
        <v>392055</v>
      </c>
      <c r="CV356" s="8">
        <f>0</f>
        <v>0</v>
      </c>
      <c r="CX356" s="8">
        <f>0</f>
        <v>0</v>
      </c>
      <c r="CY356" s="8">
        <f>392055</f>
        <v>392055</v>
      </c>
      <c r="DA356" s="5" t="s">
        <v>2032</v>
      </c>
      <c r="DB356" s="5" t="s">
        <v>238</v>
      </c>
      <c r="DD356" s="5" t="s">
        <v>2032</v>
      </c>
      <c r="DE356" s="8">
        <f>177</f>
        <v>177</v>
      </c>
      <c r="DG356" s="5" t="s">
        <v>389</v>
      </c>
      <c r="DH356" s="5" t="s">
        <v>238</v>
      </c>
      <c r="DI356" s="5" t="s">
        <v>238</v>
      </c>
      <c r="DJ356" s="5" t="s">
        <v>238</v>
      </c>
      <c r="DN356" s="5" t="s">
        <v>238</v>
      </c>
      <c r="DO356" s="5" t="s">
        <v>238</v>
      </c>
      <c r="DP356" s="5" t="s">
        <v>238</v>
      </c>
      <c r="DQ356" s="5" t="s">
        <v>238</v>
      </c>
      <c r="DT356" s="5" t="s">
        <v>5987</v>
      </c>
      <c r="DU356" s="5" t="s">
        <v>1358</v>
      </c>
      <c r="HM356" s="5" t="s">
        <v>264</v>
      </c>
    </row>
    <row r="357" spans="1:221" x14ac:dyDescent="0.4">
      <c r="A357" s="5">
        <v>1092</v>
      </c>
      <c r="B357" s="5">
        <v>1</v>
      </c>
      <c r="C357" s="5">
        <v>1</v>
      </c>
      <c r="D357" s="5" t="s">
        <v>5985</v>
      </c>
      <c r="E357" s="5" t="s">
        <v>437</v>
      </c>
      <c r="F357" s="5" t="s">
        <v>248</v>
      </c>
      <c r="G357" s="5" t="s">
        <v>5984</v>
      </c>
      <c r="H357" s="6" t="s">
        <v>5994</v>
      </c>
      <c r="I357" s="7">
        <f>1326</f>
        <v>1326</v>
      </c>
      <c r="J357" s="5" t="s">
        <v>262</v>
      </c>
      <c r="K357" s="8">
        <f>2937090</f>
        <v>2937090</v>
      </c>
      <c r="L357" s="6" t="s">
        <v>242</v>
      </c>
      <c r="M357" s="5" t="s">
        <v>267</v>
      </c>
      <c r="N357" s="5" t="s">
        <v>237</v>
      </c>
      <c r="O357" s="5" t="s">
        <v>238</v>
      </c>
      <c r="P357" s="5" t="s">
        <v>238</v>
      </c>
      <c r="Q357" s="5" t="s">
        <v>239</v>
      </c>
      <c r="R357" s="5" t="s">
        <v>270</v>
      </c>
      <c r="S357" s="5" t="s">
        <v>238</v>
      </c>
      <c r="V357" s="5" t="s">
        <v>238</v>
      </c>
      <c r="X357" s="6" t="s">
        <v>238</v>
      </c>
      <c r="AA357" s="6" t="s">
        <v>243</v>
      </c>
      <c r="AB357" s="5" t="s">
        <v>238</v>
      </c>
      <c r="AC357" s="5" t="s">
        <v>244</v>
      </c>
      <c r="AD357" s="5" t="s">
        <v>245</v>
      </c>
      <c r="AT357" s="5" t="s">
        <v>246</v>
      </c>
      <c r="AU357" s="5" t="s">
        <v>238</v>
      </c>
      <c r="AV357" s="5" t="s">
        <v>247</v>
      </c>
      <c r="AW357" s="5" t="s">
        <v>238</v>
      </c>
      <c r="AX357" s="5" t="s">
        <v>249</v>
      </c>
      <c r="AY357" s="5" t="s">
        <v>238</v>
      </c>
      <c r="BA357" s="5" t="s">
        <v>238</v>
      </c>
      <c r="BC357" s="5" t="s">
        <v>250</v>
      </c>
      <c r="BD357" s="6" t="s">
        <v>243</v>
      </c>
      <c r="BE357" s="5" t="s">
        <v>251</v>
      </c>
      <c r="BF357" s="5" t="s">
        <v>252</v>
      </c>
      <c r="BG357" s="5" t="s">
        <v>238</v>
      </c>
      <c r="BH357" s="7">
        <f>0</f>
        <v>0</v>
      </c>
      <c r="BI357" s="8">
        <f>0</f>
        <v>0</v>
      </c>
      <c r="BJ357" s="5" t="s">
        <v>253</v>
      </c>
      <c r="BK357" s="5" t="s">
        <v>254</v>
      </c>
      <c r="BY357" s="5" t="s">
        <v>238</v>
      </c>
      <c r="BZ357" s="5" t="s">
        <v>238</v>
      </c>
      <c r="CD357" s="5" t="s">
        <v>255</v>
      </c>
      <c r="CE357" s="5" t="s">
        <v>256</v>
      </c>
      <c r="CF357" s="5" t="s">
        <v>238</v>
      </c>
      <c r="CI357" s="6" t="s">
        <v>257</v>
      </c>
      <c r="CJ357" s="5" t="s">
        <v>238</v>
      </c>
      <c r="CK357" s="5" t="s">
        <v>258</v>
      </c>
      <c r="CL357" s="5" t="s">
        <v>238</v>
      </c>
      <c r="CM357" s="5" t="s">
        <v>238</v>
      </c>
      <c r="CN357" s="5">
        <v>0</v>
      </c>
      <c r="CO357" s="5" t="s">
        <v>259</v>
      </c>
      <c r="CP357" s="5" t="s">
        <v>260</v>
      </c>
      <c r="CQ357" s="5" t="s">
        <v>260</v>
      </c>
      <c r="CR357" s="5" t="s">
        <v>261</v>
      </c>
      <c r="CU357" s="8">
        <f>2937090</f>
        <v>2937090</v>
      </c>
      <c r="CV357" s="8">
        <f>0</f>
        <v>0</v>
      </c>
      <c r="CX357" s="8">
        <f>0</f>
        <v>0</v>
      </c>
      <c r="CY357" s="8">
        <f>2937090</f>
        <v>2937090</v>
      </c>
      <c r="DA357" s="5" t="s">
        <v>2032</v>
      </c>
      <c r="DB357" s="5" t="s">
        <v>238</v>
      </c>
      <c r="DD357" s="5" t="s">
        <v>2032</v>
      </c>
      <c r="DE357" s="8">
        <f>1326</f>
        <v>1326</v>
      </c>
      <c r="DG357" s="5" t="s">
        <v>389</v>
      </c>
      <c r="DH357" s="5" t="s">
        <v>238</v>
      </c>
      <c r="DI357" s="5" t="s">
        <v>238</v>
      </c>
      <c r="DJ357" s="5" t="s">
        <v>238</v>
      </c>
      <c r="DN357" s="5" t="s">
        <v>238</v>
      </c>
      <c r="DO357" s="5" t="s">
        <v>238</v>
      </c>
      <c r="DP357" s="5" t="s">
        <v>238</v>
      </c>
      <c r="DQ357" s="5" t="s">
        <v>238</v>
      </c>
      <c r="DT357" s="5" t="s">
        <v>5987</v>
      </c>
      <c r="DU357" s="5" t="s">
        <v>976</v>
      </c>
      <c r="HM357" s="5" t="s">
        <v>264</v>
      </c>
    </row>
    <row r="358" spans="1:221" x14ac:dyDescent="0.4">
      <c r="A358" s="5">
        <v>1093</v>
      </c>
      <c r="B358" s="5">
        <v>1</v>
      </c>
      <c r="C358" s="5">
        <v>1</v>
      </c>
      <c r="D358" s="5" t="s">
        <v>5985</v>
      </c>
      <c r="E358" s="5" t="s">
        <v>437</v>
      </c>
      <c r="F358" s="5" t="s">
        <v>248</v>
      </c>
      <c r="G358" s="5" t="s">
        <v>5984</v>
      </c>
      <c r="H358" s="6" t="s">
        <v>5995</v>
      </c>
      <c r="I358" s="7">
        <f>1035</f>
        <v>1035</v>
      </c>
      <c r="J358" s="5" t="s">
        <v>262</v>
      </c>
      <c r="K358" s="8">
        <f>2292525</f>
        <v>2292525</v>
      </c>
      <c r="L358" s="6" t="s">
        <v>242</v>
      </c>
      <c r="M358" s="5" t="s">
        <v>267</v>
      </c>
      <c r="N358" s="5" t="s">
        <v>237</v>
      </c>
      <c r="O358" s="5" t="s">
        <v>238</v>
      </c>
      <c r="P358" s="5" t="s">
        <v>238</v>
      </c>
      <c r="Q358" s="5" t="s">
        <v>239</v>
      </c>
      <c r="R358" s="5" t="s">
        <v>270</v>
      </c>
      <c r="S358" s="5" t="s">
        <v>238</v>
      </c>
      <c r="V358" s="5" t="s">
        <v>238</v>
      </c>
      <c r="X358" s="6" t="s">
        <v>238</v>
      </c>
      <c r="AA358" s="6" t="s">
        <v>243</v>
      </c>
      <c r="AB358" s="5" t="s">
        <v>238</v>
      </c>
      <c r="AC358" s="5" t="s">
        <v>244</v>
      </c>
      <c r="AD358" s="5" t="s">
        <v>245</v>
      </c>
      <c r="AT358" s="5" t="s">
        <v>246</v>
      </c>
      <c r="AU358" s="5" t="s">
        <v>238</v>
      </c>
      <c r="AV358" s="5" t="s">
        <v>247</v>
      </c>
      <c r="AW358" s="5" t="s">
        <v>238</v>
      </c>
      <c r="AX358" s="5" t="s">
        <v>249</v>
      </c>
      <c r="AY358" s="5" t="s">
        <v>238</v>
      </c>
      <c r="BA358" s="5" t="s">
        <v>238</v>
      </c>
      <c r="BC358" s="5" t="s">
        <v>250</v>
      </c>
      <c r="BD358" s="6" t="s">
        <v>243</v>
      </c>
      <c r="BE358" s="5" t="s">
        <v>251</v>
      </c>
      <c r="BF358" s="5" t="s">
        <v>252</v>
      </c>
      <c r="BG358" s="5" t="s">
        <v>238</v>
      </c>
      <c r="BH358" s="7">
        <f>0</f>
        <v>0</v>
      </c>
      <c r="BI358" s="8">
        <f>0</f>
        <v>0</v>
      </c>
      <c r="BJ358" s="5" t="s">
        <v>253</v>
      </c>
      <c r="BK358" s="5" t="s">
        <v>254</v>
      </c>
      <c r="BY358" s="5" t="s">
        <v>238</v>
      </c>
      <c r="BZ358" s="5" t="s">
        <v>238</v>
      </c>
      <c r="CD358" s="5" t="s">
        <v>255</v>
      </c>
      <c r="CE358" s="5" t="s">
        <v>256</v>
      </c>
      <c r="CF358" s="5" t="s">
        <v>238</v>
      </c>
      <c r="CI358" s="6" t="s">
        <v>257</v>
      </c>
      <c r="CJ358" s="5" t="s">
        <v>238</v>
      </c>
      <c r="CK358" s="5" t="s">
        <v>258</v>
      </c>
      <c r="CL358" s="5" t="s">
        <v>238</v>
      </c>
      <c r="CM358" s="5" t="s">
        <v>238</v>
      </c>
      <c r="CN358" s="5">
        <v>0</v>
      </c>
      <c r="CO358" s="5" t="s">
        <v>259</v>
      </c>
      <c r="CP358" s="5" t="s">
        <v>260</v>
      </c>
      <c r="CQ358" s="5" t="s">
        <v>260</v>
      </c>
      <c r="CR358" s="5" t="s">
        <v>261</v>
      </c>
      <c r="CU358" s="8">
        <f>2292525</f>
        <v>2292525</v>
      </c>
      <c r="CV358" s="8">
        <f>0</f>
        <v>0</v>
      </c>
      <c r="CX358" s="8">
        <f>0</f>
        <v>0</v>
      </c>
      <c r="CY358" s="8">
        <f>2292525</f>
        <v>2292525</v>
      </c>
      <c r="DA358" s="5" t="s">
        <v>2032</v>
      </c>
      <c r="DB358" s="5" t="s">
        <v>238</v>
      </c>
      <c r="DD358" s="5" t="s">
        <v>2032</v>
      </c>
      <c r="DE358" s="8">
        <f>1035</f>
        <v>1035</v>
      </c>
      <c r="DG358" s="5" t="s">
        <v>389</v>
      </c>
      <c r="DH358" s="5" t="s">
        <v>238</v>
      </c>
      <c r="DI358" s="5" t="s">
        <v>238</v>
      </c>
      <c r="DJ358" s="5" t="s">
        <v>238</v>
      </c>
      <c r="DN358" s="5" t="s">
        <v>238</v>
      </c>
      <c r="DO358" s="5" t="s">
        <v>238</v>
      </c>
      <c r="DP358" s="5" t="s">
        <v>238</v>
      </c>
      <c r="DQ358" s="5" t="s">
        <v>238</v>
      </c>
      <c r="DT358" s="5" t="s">
        <v>5987</v>
      </c>
      <c r="DU358" s="5" t="s">
        <v>1354</v>
      </c>
      <c r="HM358" s="5" t="s">
        <v>264</v>
      </c>
    </row>
    <row r="359" spans="1:221" x14ac:dyDescent="0.4">
      <c r="A359" s="5">
        <v>1094</v>
      </c>
      <c r="B359" s="5">
        <v>1</v>
      </c>
      <c r="C359" s="5">
        <v>1</v>
      </c>
      <c r="D359" s="5" t="s">
        <v>5985</v>
      </c>
      <c r="E359" s="5" t="s">
        <v>437</v>
      </c>
      <c r="F359" s="5" t="s">
        <v>248</v>
      </c>
      <c r="G359" s="5" t="s">
        <v>5984</v>
      </c>
      <c r="H359" s="6" t="s">
        <v>6507</v>
      </c>
      <c r="I359" s="7">
        <f>636</f>
        <v>636</v>
      </c>
      <c r="J359" s="5" t="s">
        <v>262</v>
      </c>
      <c r="K359" s="8">
        <f>1408740</f>
        <v>1408740</v>
      </c>
      <c r="L359" s="6" t="s">
        <v>242</v>
      </c>
      <c r="M359" s="5" t="s">
        <v>267</v>
      </c>
      <c r="N359" s="5" t="s">
        <v>237</v>
      </c>
      <c r="O359" s="5" t="s">
        <v>238</v>
      </c>
      <c r="P359" s="5" t="s">
        <v>238</v>
      </c>
      <c r="Q359" s="5" t="s">
        <v>239</v>
      </c>
      <c r="R359" s="5" t="s">
        <v>270</v>
      </c>
      <c r="S359" s="5" t="s">
        <v>238</v>
      </c>
      <c r="V359" s="5" t="s">
        <v>238</v>
      </c>
      <c r="X359" s="6" t="s">
        <v>238</v>
      </c>
      <c r="AA359" s="6" t="s">
        <v>243</v>
      </c>
      <c r="AB359" s="5" t="s">
        <v>238</v>
      </c>
      <c r="AC359" s="5" t="s">
        <v>244</v>
      </c>
      <c r="AD359" s="5" t="s">
        <v>245</v>
      </c>
      <c r="AT359" s="5" t="s">
        <v>246</v>
      </c>
      <c r="AU359" s="5" t="s">
        <v>238</v>
      </c>
      <c r="AV359" s="5" t="s">
        <v>247</v>
      </c>
      <c r="AW359" s="5" t="s">
        <v>238</v>
      </c>
      <c r="AX359" s="5" t="s">
        <v>249</v>
      </c>
      <c r="AY359" s="5" t="s">
        <v>238</v>
      </c>
      <c r="BA359" s="5" t="s">
        <v>238</v>
      </c>
      <c r="BC359" s="5" t="s">
        <v>250</v>
      </c>
      <c r="BD359" s="6" t="s">
        <v>243</v>
      </c>
      <c r="BE359" s="5" t="s">
        <v>251</v>
      </c>
      <c r="BF359" s="5" t="s">
        <v>252</v>
      </c>
      <c r="BG359" s="5" t="s">
        <v>238</v>
      </c>
      <c r="BH359" s="7">
        <f>0</f>
        <v>0</v>
      </c>
      <c r="BI359" s="8">
        <f>0</f>
        <v>0</v>
      </c>
      <c r="BJ359" s="5" t="s">
        <v>253</v>
      </c>
      <c r="BK359" s="5" t="s">
        <v>254</v>
      </c>
      <c r="BY359" s="5" t="s">
        <v>238</v>
      </c>
      <c r="BZ359" s="5" t="s">
        <v>238</v>
      </c>
      <c r="CD359" s="5" t="s">
        <v>255</v>
      </c>
      <c r="CE359" s="5" t="s">
        <v>256</v>
      </c>
      <c r="CF359" s="5" t="s">
        <v>238</v>
      </c>
      <c r="CI359" s="6" t="s">
        <v>257</v>
      </c>
      <c r="CJ359" s="5" t="s">
        <v>238</v>
      </c>
      <c r="CK359" s="5" t="s">
        <v>258</v>
      </c>
      <c r="CL359" s="5" t="s">
        <v>238</v>
      </c>
      <c r="CM359" s="5" t="s">
        <v>238</v>
      </c>
      <c r="CN359" s="5">
        <v>0</v>
      </c>
      <c r="CO359" s="5" t="s">
        <v>259</v>
      </c>
      <c r="CP359" s="5" t="s">
        <v>260</v>
      </c>
      <c r="CQ359" s="5" t="s">
        <v>260</v>
      </c>
      <c r="CR359" s="5" t="s">
        <v>261</v>
      </c>
      <c r="CU359" s="8">
        <f>1408740</f>
        <v>1408740</v>
      </c>
      <c r="CV359" s="8">
        <f>0</f>
        <v>0</v>
      </c>
      <c r="CX359" s="8">
        <f>0</f>
        <v>0</v>
      </c>
      <c r="CY359" s="8">
        <f>1408740</f>
        <v>1408740</v>
      </c>
      <c r="DA359" s="5" t="s">
        <v>2032</v>
      </c>
      <c r="DB359" s="5" t="s">
        <v>238</v>
      </c>
      <c r="DD359" s="5" t="s">
        <v>2032</v>
      </c>
      <c r="DE359" s="8">
        <f>636</f>
        <v>636</v>
      </c>
      <c r="DG359" s="5" t="s">
        <v>389</v>
      </c>
      <c r="DH359" s="5" t="s">
        <v>238</v>
      </c>
      <c r="DI359" s="5" t="s">
        <v>238</v>
      </c>
      <c r="DJ359" s="5" t="s">
        <v>238</v>
      </c>
      <c r="DN359" s="5" t="s">
        <v>238</v>
      </c>
      <c r="DO359" s="5" t="s">
        <v>238</v>
      </c>
      <c r="DP359" s="5" t="s">
        <v>238</v>
      </c>
      <c r="DQ359" s="5" t="s">
        <v>238</v>
      </c>
      <c r="DT359" s="5" t="s">
        <v>5987</v>
      </c>
      <c r="DU359" s="5" t="s">
        <v>1350</v>
      </c>
      <c r="HM359" s="5" t="s">
        <v>264</v>
      </c>
    </row>
    <row r="360" spans="1:221" x14ac:dyDescent="0.4">
      <c r="A360" s="5">
        <v>1095</v>
      </c>
      <c r="B360" s="5">
        <v>1</v>
      </c>
      <c r="C360" s="5">
        <v>1</v>
      </c>
      <c r="D360" s="5" t="s">
        <v>5985</v>
      </c>
      <c r="E360" s="5" t="s">
        <v>437</v>
      </c>
      <c r="F360" s="5" t="s">
        <v>248</v>
      </c>
      <c r="G360" s="5" t="s">
        <v>5984</v>
      </c>
      <c r="H360" s="6" t="s">
        <v>5996</v>
      </c>
      <c r="I360" s="7">
        <f>2081</f>
        <v>2081</v>
      </c>
      <c r="J360" s="5" t="s">
        <v>262</v>
      </c>
      <c r="K360" s="8">
        <f>4609415</f>
        <v>4609415</v>
      </c>
      <c r="L360" s="6" t="s">
        <v>242</v>
      </c>
      <c r="M360" s="5" t="s">
        <v>267</v>
      </c>
      <c r="N360" s="5" t="s">
        <v>237</v>
      </c>
      <c r="O360" s="5" t="s">
        <v>238</v>
      </c>
      <c r="P360" s="5" t="s">
        <v>238</v>
      </c>
      <c r="Q360" s="5" t="s">
        <v>239</v>
      </c>
      <c r="R360" s="5" t="s">
        <v>270</v>
      </c>
      <c r="S360" s="5" t="s">
        <v>238</v>
      </c>
      <c r="V360" s="5" t="s">
        <v>238</v>
      </c>
      <c r="X360" s="6" t="s">
        <v>238</v>
      </c>
      <c r="AA360" s="6" t="s">
        <v>243</v>
      </c>
      <c r="AB360" s="5" t="s">
        <v>238</v>
      </c>
      <c r="AC360" s="5" t="s">
        <v>244</v>
      </c>
      <c r="AD360" s="5" t="s">
        <v>245</v>
      </c>
      <c r="AT360" s="5" t="s">
        <v>246</v>
      </c>
      <c r="AU360" s="5" t="s">
        <v>238</v>
      </c>
      <c r="AV360" s="5" t="s">
        <v>247</v>
      </c>
      <c r="AW360" s="5" t="s">
        <v>238</v>
      </c>
      <c r="AX360" s="5" t="s">
        <v>249</v>
      </c>
      <c r="AY360" s="5" t="s">
        <v>238</v>
      </c>
      <c r="BA360" s="5" t="s">
        <v>238</v>
      </c>
      <c r="BC360" s="5" t="s">
        <v>250</v>
      </c>
      <c r="BD360" s="6" t="s">
        <v>243</v>
      </c>
      <c r="BE360" s="5" t="s">
        <v>251</v>
      </c>
      <c r="BF360" s="5" t="s">
        <v>252</v>
      </c>
      <c r="BG360" s="5" t="s">
        <v>238</v>
      </c>
      <c r="BH360" s="7">
        <f>0</f>
        <v>0</v>
      </c>
      <c r="BI360" s="8">
        <f>0</f>
        <v>0</v>
      </c>
      <c r="BJ360" s="5" t="s">
        <v>253</v>
      </c>
      <c r="BK360" s="5" t="s">
        <v>254</v>
      </c>
      <c r="BY360" s="5" t="s">
        <v>238</v>
      </c>
      <c r="BZ360" s="5" t="s">
        <v>238</v>
      </c>
      <c r="CD360" s="5" t="s">
        <v>255</v>
      </c>
      <c r="CE360" s="5" t="s">
        <v>256</v>
      </c>
      <c r="CF360" s="5" t="s">
        <v>238</v>
      </c>
      <c r="CI360" s="6" t="s">
        <v>257</v>
      </c>
      <c r="CJ360" s="5" t="s">
        <v>238</v>
      </c>
      <c r="CK360" s="5" t="s">
        <v>258</v>
      </c>
      <c r="CL360" s="5" t="s">
        <v>238</v>
      </c>
      <c r="CM360" s="5" t="s">
        <v>238</v>
      </c>
      <c r="CN360" s="5">
        <v>0</v>
      </c>
      <c r="CO360" s="5" t="s">
        <v>259</v>
      </c>
      <c r="CP360" s="5" t="s">
        <v>260</v>
      </c>
      <c r="CQ360" s="5" t="s">
        <v>260</v>
      </c>
      <c r="CR360" s="5" t="s">
        <v>261</v>
      </c>
      <c r="CU360" s="8">
        <f>4609415</f>
        <v>4609415</v>
      </c>
      <c r="CV360" s="8">
        <f>0</f>
        <v>0</v>
      </c>
      <c r="CX360" s="8">
        <f>0</f>
        <v>0</v>
      </c>
      <c r="CY360" s="8">
        <f>4609415</f>
        <v>4609415</v>
      </c>
      <c r="DA360" s="5" t="s">
        <v>2032</v>
      </c>
      <c r="DB360" s="5" t="s">
        <v>238</v>
      </c>
      <c r="DD360" s="5" t="s">
        <v>2032</v>
      </c>
      <c r="DE360" s="8">
        <f>2081</f>
        <v>2081</v>
      </c>
      <c r="DG360" s="5" t="s">
        <v>389</v>
      </c>
      <c r="DH360" s="5" t="s">
        <v>238</v>
      </c>
      <c r="DI360" s="5" t="s">
        <v>238</v>
      </c>
      <c r="DJ360" s="5" t="s">
        <v>238</v>
      </c>
      <c r="DN360" s="5" t="s">
        <v>238</v>
      </c>
      <c r="DO360" s="5" t="s">
        <v>238</v>
      </c>
      <c r="DP360" s="5" t="s">
        <v>238</v>
      </c>
      <c r="DQ360" s="5" t="s">
        <v>238</v>
      </c>
      <c r="DT360" s="5" t="s">
        <v>5987</v>
      </c>
      <c r="DU360" s="5" t="s">
        <v>1346</v>
      </c>
      <c r="HM360" s="5" t="s">
        <v>264</v>
      </c>
    </row>
    <row r="361" spans="1:221" x14ac:dyDescent="0.4">
      <c r="A361" s="5">
        <v>1096</v>
      </c>
      <c r="B361" s="5">
        <v>1</v>
      </c>
      <c r="C361" s="5">
        <v>1</v>
      </c>
      <c r="D361" s="5" t="s">
        <v>5985</v>
      </c>
      <c r="E361" s="5" t="s">
        <v>437</v>
      </c>
      <c r="F361" s="5" t="s">
        <v>248</v>
      </c>
      <c r="G361" s="5" t="s">
        <v>5984</v>
      </c>
      <c r="H361" s="6" t="s">
        <v>5997</v>
      </c>
      <c r="I361" s="7">
        <f>20.78</f>
        <v>20.78</v>
      </c>
      <c r="J361" s="5" t="s">
        <v>262</v>
      </c>
      <c r="K361" s="8">
        <f>46027</f>
        <v>46027</v>
      </c>
      <c r="L361" s="6" t="s">
        <v>242</v>
      </c>
      <c r="M361" s="5" t="s">
        <v>267</v>
      </c>
      <c r="N361" s="5" t="s">
        <v>237</v>
      </c>
      <c r="O361" s="5" t="s">
        <v>238</v>
      </c>
      <c r="P361" s="5" t="s">
        <v>238</v>
      </c>
      <c r="Q361" s="5" t="s">
        <v>239</v>
      </c>
      <c r="R361" s="5" t="s">
        <v>270</v>
      </c>
      <c r="S361" s="5" t="s">
        <v>238</v>
      </c>
      <c r="V361" s="5" t="s">
        <v>238</v>
      </c>
      <c r="X361" s="6" t="s">
        <v>238</v>
      </c>
      <c r="AA361" s="6" t="s">
        <v>243</v>
      </c>
      <c r="AB361" s="5" t="s">
        <v>238</v>
      </c>
      <c r="AC361" s="5" t="s">
        <v>244</v>
      </c>
      <c r="AD361" s="5" t="s">
        <v>245</v>
      </c>
      <c r="AT361" s="5" t="s">
        <v>246</v>
      </c>
      <c r="AU361" s="5" t="s">
        <v>238</v>
      </c>
      <c r="AV361" s="5" t="s">
        <v>247</v>
      </c>
      <c r="AW361" s="5" t="s">
        <v>238</v>
      </c>
      <c r="AX361" s="5" t="s">
        <v>249</v>
      </c>
      <c r="AY361" s="5" t="s">
        <v>238</v>
      </c>
      <c r="BA361" s="5" t="s">
        <v>238</v>
      </c>
      <c r="BC361" s="5" t="s">
        <v>250</v>
      </c>
      <c r="BD361" s="6" t="s">
        <v>243</v>
      </c>
      <c r="BE361" s="5" t="s">
        <v>251</v>
      </c>
      <c r="BF361" s="5" t="s">
        <v>252</v>
      </c>
      <c r="BG361" s="5" t="s">
        <v>238</v>
      </c>
      <c r="BH361" s="7">
        <f>0</f>
        <v>0</v>
      </c>
      <c r="BI361" s="8">
        <f>0</f>
        <v>0</v>
      </c>
      <c r="BJ361" s="5" t="s">
        <v>253</v>
      </c>
      <c r="BK361" s="5" t="s">
        <v>254</v>
      </c>
      <c r="BY361" s="5" t="s">
        <v>238</v>
      </c>
      <c r="BZ361" s="5" t="s">
        <v>238</v>
      </c>
      <c r="CD361" s="5" t="s">
        <v>255</v>
      </c>
      <c r="CE361" s="5" t="s">
        <v>256</v>
      </c>
      <c r="CF361" s="5" t="s">
        <v>238</v>
      </c>
      <c r="CI361" s="6" t="s">
        <v>257</v>
      </c>
      <c r="CJ361" s="5" t="s">
        <v>238</v>
      </c>
      <c r="CK361" s="5" t="s">
        <v>258</v>
      </c>
      <c r="CL361" s="5" t="s">
        <v>238</v>
      </c>
      <c r="CM361" s="5" t="s">
        <v>238</v>
      </c>
      <c r="CN361" s="5">
        <v>0</v>
      </c>
      <c r="CO361" s="5" t="s">
        <v>259</v>
      </c>
      <c r="CP361" s="5" t="s">
        <v>260</v>
      </c>
      <c r="CQ361" s="5" t="s">
        <v>260</v>
      </c>
      <c r="CR361" s="5" t="s">
        <v>261</v>
      </c>
      <c r="CU361" s="8">
        <f>46027</f>
        <v>46027</v>
      </c>
      <c r="CV361" s="8">
        <f>0</f>
        <v>0</v>
      </c>
      <c r="CX361" s="8">
        <f>0</f>
        <v>0</v>
      </c>
      <c r="CY361" s="8">
        <f>46027</f>
        <v>46027</v>
      </c>
      <c r="DA361" s="5" t="s">
        <v>2032</v>
      </c>
      <c r="DB361" s="5" t="s">
        <v>238</v>
      </c>
      <c r="DD361" s="5" t="s">
        <v>2032</v>
      </c>
      <c r="DE361" s="8">
        <f>20.78</f>
        <v>20.78</v>
      </c>
      <c r="DG361" s="5" t="s">
        <v>389</v>
      </c>
      <c r="DH361" s="5" t="s">
        <v>238</v>
      </c>
      <c r="DI361" s="5" t="s">
        <v>238</v>
      </c>
      <c r="DJ361" s="5" t="s">
        <v>238</v>
      </c>
      <c r="DN361" s="5" t="s">
        <v>238</v>
      </c>
      <c r="DO361" s="5" t="s">
        <v>238</v>
      </c>
      <c r="DP361" s="5" t="s">
        <v>238</v>
      </c>
      <c r="DQ361" s="5" t="s">
        <v>238</v>
      </c>
      <c r="DT361" s="5" t="s">
        <v>5987</v>
      </c>
      <c r="DU361" s="5" t="s">
        <v>1342</v>
      </c>
      <c r="HM361" s="5" t="s">
        <v>264</v>
      </c>
    </row>
    <row r="362" spans="1:221" x14ac:dyDescent="0.4">
      <c r="A362" s="5">
        <v>1097</v>
      </c>
      <c r="B362" s="5">
        <v>1</v>
      </c>
      <c r="C362" s="5">
        <v>1</v>
      </c>
      <c r="D362" s="5" t="s">
        <v>5985</v>
      </c>
      <c r="E362" s="5" t="s">
        <v>437</v>
      </c>
      <c r="F362" s="5" t="s">
        <v>248</v>
      </c>
      <c r="G362" s="5" t="s">
        <v>5984</v>
      </c>
      <c r="H362" s="6" t="s">
        <v>5989</v>
      </c>
      <c r="I362" s="7">
        <f>3102.71</f>
        <v>3102.71</v>
      </c>
      <c r="J362" s="5" t="s">
        <v>262</v>
      </c>
      <c r="K362" s="8">
        <f>6872502</f>
        <v>6872502</v>
      </c>
      <c r="L362" s="6" t="s">
        <v>242</v>
      </c>
      <c r="M362" s="5" t="s">
        <v>267</v>
      </c>
      <c r="N362" s="5" t="s">
        <v>237</v>
      </c>
      <c r="O362" s="5" t="s">
        <v>238</v>
      </c>
      <c r="P362" s="5" t="s">
        <v>238</v>
      </c>
      <c r="Q362" s="5" t="s">
        <v>239</v>
      </c>
      <c r="R362" s="5" t="s">
        <v>270</v>
      </c>
      <c r="S362" s="5" t="s">
        <v>238</v>
      </c>
      <c r="V362" s="5" t="s">
        <v>238</v>
      </c>
      <c r="X362" s="6" t="s">
        <v>238</v>
      </c>
      <c r="AA362" s="6" t="s">
        <v>243</v>
      </c>
      <c r="AB362" s="5" t="s">
        <v>238</v>
      </c>
      <c r="AC362" s="5" t="s">
        <v>244</v>
      </c>
      <c r="AD362" s="5" t="s">
        <v>245</v>
      </c>
      <c r="AT362" s="5" t="s">
        <v>246</v>
      </c>
      <c r="AU362" s="5" t="s">
        <v>238</v>
      </c>
      <c r="AV362" s="5" t="s">
        <v>247</v>
      </c>
      <c r="AW362" s="5" t="s">
        <v>238</v>
      </c>
      <c r="AX362" s="5" t="s">
        <v>249</v>
      </c>
      <c r="AY362" s="5" t="s">
        <v>238</v>
      </c>
      <c r="BA362" s="5" t="s">
        <v>238</v>
      </c>
      <c r="BC362" s="5" t="s">
        <v>250</v>
      </c>
      <c r="BD362" s="6" t="s">
        <v>243</v>
      </c>
      <c r="BE362" s="5" t="s">
        <v>251</v>
      </c>
      <c r="BF362" s="5" t="s">
        <v>252</v>
      </c>
      <c r="BG362" s="5" t="s">
        <v>238</v>
      </c>
      <c r="BH362" s="7">
        <f>0</f>
        <v>0</v>
      </c>
      <c r="BI362" s="8">
        <f>0</f>
        <v>0</v>
      </c>
      <c r="BJ362" s="5" t="s">
        <v>253</v>
      </c>
      <c r="BK362" s="5" t="s">
        <v>254</v>
      </c>
      <c r="BY362" s="5" t="s">
        <v>238</v>
      </c>
      <c r="BZ362" s="5" t="s">
        <v>238</v>
      </c>
      <c r="CD362" s="5" t="s">
        <v>255</v>
      </c>
      <c r="CE362" s="5" t="s">
        <v>256</v>
      </c>
      <c r="CF362" s="5" t="s">
        <v>238</v>
      </c>
      <c r="CI362" s="6" t="s">
        <v>257</v>
      </c>
      <c r="CJ362" s="5" t="s">
        <v>238</v>
      </c>
      <c r="CK362" s="5" t="s">
        <v>258</v>
      </c>
      <c r="CL362" s="5" t="s">
        <v>238</v>
      </c>
      <c r="CM362" s="5" t="s">
        <v>238</v>
      </c>
      <c r="CN362" s="5">
        <v>0</v>
      </c>
      <c r="CO362" s="5" t="s">
        <v>259</v>
      </c>
      <c r="CP362" s="5" t="s">
        <v>260</v>
      </c>
      <c r="CQ362" s="5" t="s">
        <v>260</v>
      </c>
      <c r="CR362" s="5" t="s">
        <v>261</v>
      </c>
      <c r="CU362" s="8">
        <f>6872502</f>
        <v>6872502</v>
      </c>
      <c r="CV362" s="8">
        <f>0</f>
        <v>0</v>
      </c>
      <c r="CX362" s="8">
        <f>0</f>
        <v>0</v>
      </c>
      <c r="CY362" s="8">
        <f>6872502</f>
        <v>6872502</v>
      </c>
      <c r="DA362" s="5" t="s">
        <v>2032</v>
      </c>
      <c r="DB362" s="5" t="s">
        <v>238</v>
      </c>
      <c r="DD362" s="5" t="s">
        <v>2032</v>
      </c>
      <c r="DE362" s="8">
        <f>3102.71</f>
        <v>3102.71</v>
      </c>
      <c r="DG362" s="5" t="s">
        <v>389</v>
      </c>
      <c r="DH362" s="5" t="s">
        <v>238</v>
      </c>
      <c r="DI362" s="5" t="s">
        <v>238</v>
      </c>
      <c r="DJ362" s="5" t="s">
        <v>238</v>
      </c>
      <c r="DN362" s="5" t="s">
        <v>238</v>
      </c>
      <c r="DO362" s="5" t="s">
        <v>238</v>
      </c>
      <c r="DP362" s="5" t="s">
        <v>238</v>
      </c>
      <c r="DQ362" s="5" t="s">
        <v>238</v>
      </c>
      <c r="DT362" s="5" t="s">
        <v>5987</v>
      </c>
      <c r="DU362" s="5" t="s">
        <v>1338</v>
      </c>
      <c r="HM362" s="5" t="s">
        <v>264</v>
      </c>
    </row>
    <row r="363" spans="1:221" x14ac:dyDescent="0.4">
      <c r="A363" s="5">
        <v>1098</v>
      </c>
      <c r="B363" s="5">
        <v>1</v>
      </c>
      <c r="C363" s="5">
        <v>1</v>
      </c>
      <c r="D363" s="5" t="s">
        <v>5976</v>
      </c>
      <c r="E363" s="5" t="s">
        <v>437</v>
      </c>
      <c r="F363" s="5" t="s">
        <v>248</v>
      </c>
      <c r="G363" s="5" t="s">
        <v>5975</v>
      </c>
      <c r="H363" s="6" t="s">
        <v>5983</v>
      </c>
      <c r="I363" s="7">
        <f>1418.89</f>
        <v>1418.89</v>
      </c>
      <c r="J363" s="5" t="s">
        <v>262</v>
      </c>
      <c r="K363" s="8">
        <f>3142841</f>
        <v>3142841</v>
      </c>
      <c r="L363" s="6" t="s">
        <v>242</v>
      </c>
      <c r="M363" s="5" t="s">
        <v>267</v>
      </c>
      <c r="N363" s="5" t="s">
        <v>237</v>
      </c>
      <c r="O363" s="5" t="s">
        <v>238</v>
      </c>
      <c r="P363" s="5" t="s">
        <v>238</v>
      </c>
      <c r="Q363" s="5" t="s">
        <v>239</v>
      </c>
      <c r="R363" s="5" t="s">
        <v>270</v>
      </c>
      <c r="S363" s="5" t="s">
        <v>238</v>
      </c>
      <c r="V363" s="5" t="s">
        <v>238</v>
      </c>
      <c r="X363" s="6" t="s">
        <v>238</v>
      </c>
      <c r="AA363" s="6" t="s">
        <v>243</v>
      </c>
      <c r="AB363" s="5" t="s">
        <v>238</v>
      </c>
      <c r="AC363" s="5" t="s">
        <v>244</v>
      </c>
      <c r="AD363" s="5" t="s">
        <v>245</v>
      </c>
      <c r="AT363" s="5" t="s">
        <v>246</v>
      </c>
      <c r="AU363" s="5" t="s">
        <v>238</v>
      </c>
      <c r="AV363" s="5" t="s">
        <v>247</v>
      </c>
      <c r="AW363" s="5" t="s">
        <v>238</v>
      </c>
      <c r="AX363" s="5" t="s">
        <v>249</v>
      </c>
      <c r="AY363" s="5" t="s">
        <v>238</v>
      </c>
      <c r="BA363" s="5" t="s">
        <v>4547</v>
      </c>
      <c r="BC363" s="5" t="s">
        <v>250</v>
      </c>
      <c r="BD363" s="6" t="s">
        <v>243</v>
      </c>
      <c r="BE363" s="5" t="s">
        <v>251</v>
      </c>
      <c r="BF363" s="5" t="s">
        <v>252</v>
      </c>
      <c r="BG363" s="5" t="s">
        <v>238</v>
      </c>
      <c r="BH363" s="7">
        <f>0</f>
        <v>0</v>
      </c>
      <c r="BI363" s="8">
        <f>0</f>
        <v>0</v>
      </c>
      <c r="BJ363" s="5" t="s">
        <v>253</v>
      </c>
      <c r="BK363" s="5" t="s">
        <v>254</v>
      </c>
      <c r="BY363" s="5" t="s">
        <v>238</v>
      </c>
      <c r="BZ363" s="5" t="s">
        <v>238</v>
      </c>
      <c r="CD363" s="5" t="s">
        <v>255</v>
      </c>
      <c r="CE363" s="5" t="s">
        <v>256</v>
      </c>
      <c r="CF363" s="5" t="s">
        <v>238</v>
      </c>
      <c r="CI363" s="6" t="s">
        <v>257</v>
      </c>
      <c r="CJ363" s="5" t="s">
        <v>238</v>
      </c>
      <c r="CK363" s="5" t="s">
        <v>258</v>
      </c>
      <c r="CL363" s="5" t="s">
        <v>238</v>
      </c>
      <c r="CM363" s="5" t="s">
        <v>238</v>
      </c>
      <c r="CN363" s="5">
        <v>0</v>
      </c>
      <c r="CO363" s="5" t="s">
        <v>259</v>
      </c>
      <c r="CP363" s="5" t="s">
        <v>260</v>
      </c>
      <c r="CQ363" s="5" t="s">
        <v>260</v>
      </c>
      <c r="CR363" s="5" t="s">
        <v>261</v>
      </c>
      <c r="CU363" s="8">
        <f>3142841</f>
        <v>3142841</v>
      </c>
      <c r="CV363" s="8">
        <f>0</f>
        <v>0</v>
      </c>
      <c r="CX363" s="8">
        <f>0</f>
        <v>0</v>
      </c>
      <c r="CY363" s="8">
        <f>3142841</f>
        <v>3142841</v>
      </c>
      <c r="DA363" s="5" t="s">
        <v>2032</v>
      </c>
      <c r="DB363" s="5" t="s">
        <v>238</v>
      </c>
      <c r="DD363" s="5" t="s">
        <v>263</v>
      </c>
      <c r="DE363" s="8">
        <f>1418.89</f>
        <v>1418.89</v>
      </c>
      <c r="DG363" s="5" t="s">
        <v>389</v>
      </c>
      <c r="DH363" s="5" t="s">
        <v>238</v>
      </c>
      <c r="DI363" s="5" t="s">
        <v>238</v>
      </c>
      <c r="DJ363" s="5" t="s">
        <v>238</v>
      </c>
      <c r="DN363" s="5" t="s">
        <v>238</v>
      </c>
      <c r="DO363" s="5" t="s">
        <v>238</v>
      </c>
      <c r="DP363" s="5" t="s">
        <v>238</v>
      </c>
      <c r="DQ363" s="5" t="s">
        <v>238</v>
      </c>
      <c r="DT363" s="5" t="s">
        <v>5978</v>
      </c>
      <c r="DU363" s="5" t="s">
        <v>264</v>
      </c>
      <c r="HM363" s="5" t="s">
        <v>264</v>
      </c>
    </row>
    <row r="364" spans="1:221" x14ac:dyDescent="0.4">
      <c r="A364" s="5">
        <v>1099</v>
      </c>
      <c r="B364" s="5">
        <v>1</v>
      </c>
      <c r="C364" s="5">
        <v>1</v>
      </c>
      <c r="D364" s="5" t="s">
        <v>5976</v>
      </c>
      <c r="E364" s="5" t="s">
        <v>437</v>
      </c>
      <c r="F364" s="5" t="s">
        <v>248</v>
      </c>
      <c r="G364" s="5" t="s">
        <v>5975</v>
      </c>
      <c r="H364" s="6" t="s">
        <v>5980</v>
      </c>
      <c r="I364" s="7">
        <f>61565</f>
        <v>61565</v>
      </c>
      <c r="J364" s="5" t="s">
        <v>262</v>
      </c>
      <c r="K364" s="8">
        <f>136366475</f>
        <v>136366475</v>
      </c>
      <c r="L364" s="6" t="s">
        <v>242</v>
      </c>
      <c r="M364" s="5" t="s">
        <v>267</v>
      </c>
      <c r="N364" s="5" t="s">
        <v>237</v>
      </c>
      <c r="O364" s="5" t="s">
        <v>238</v>
      </c>
      <c r="P364" s="5" t="s">
        <v>238</v>
      </c>
      <c r="Q364" s="5" t="s">
        <v>239</v>
      </c>
      <c r="R364" s="5" t="s">
        <v>270</v>
      </c>
      <c r="S364" s="5" t="s">
        <v>238</v>
      </c>
      <c r="V364" s="5" t="s">
        <v>238</v>
      </c>
      <c r="X364" s="6" t="s">
        <v>238</v>
      </c>
      <c r="AA364" s="6" t="s">
        <v>243</v>
      </c>
      <c r="AB364" s="5" t="s">
        <v>238</v>
      </c>
      <c r="AC364" s="5" t="s">
        <v>244</v>
      </c>
      <c r="AD364" s="5" t="s">
        <v>245</v>
      </c>
      <c r="AT364" s="5" t="s">
        <v>246</v>
      </c>
      <c r="AU364" s="5" t="s">
        <v>238</v>
      </c>
      <c r="AV364" s="5" t="s">
        <v>247</v>
      </c>
      <c r="AW364" s="5" t="s">
        <v>238</v>
      </c>
      <c r="AX364" s="5" t="s">
        <v>249</v>
      </c>
      <c r="AY364" s="5" t="s">
        <v>238</v>
      </c>
      <c r="BA364" s="5" t="s">
        <v>238</v>
      </c>
      <c r="BC364" s="5" t="s">
        <v>250</v>
      </c>
      <c r="BD364" s="6" t="s">
        <v>243</v>
      </c>
      <c r="BE364" s="5" t="s">
        <v>251</v>
      </c>
      <c r="BF364" s="5" t="s">
        <v>252</v>
      </c>
      <c r="BG364" s="5" t="s">
        <v>238</v>
      </c>
      <c r="BH364" s="7">
        <f>0</f>
        <v>0</v>
      </c>
      <c r="BI364" s="8">
        <f>0</f>
        <v>0</v>
      </c>
      <c r="BJ364" s="5" t="s">
        <v>253</v>
      </c>
      <c r="BK364" s="5" t="s">
        <v>254</v>
      </c>
      <c r="BY364" s="5" t="s">
        <v>238</v>
      </c>
      <c r="BZ364" s="5" t="s">
        <v>238</v>
      </c>
      <c r="CD364" s="5" t="s">
        <v>255</v>
      </c>
      <c r="CE364" s="5" t="s">
        <v>256</v>
      </c>
      <c r="CF364" s="5" t="s">
        <v>238</v>
      </c>
      <c r="CI364" s="6" t="s">
        <v>257</v>
      </c>
      <c r="CJ364" s="5" t="s">
        <v>238</v>
      </c>
      <c r="CK364" s="5" t="s">
        <v>258</v>
      </c>
      <c r="CL364" s="5" t="s">
        <v>238</v>
      </c>
      <c r="CM364" s="5" t="s">
        <v>238</v>
      </c>
      <c r="CN364" s="5">
        <v>0</v>
      </c>
      <c r="CO364" s="5" t="s">
        <v>259</v>
      </c>
      <c r="CP364" s="5" t="s">
        <v>260</v>
      </c>
      <c r="CQ364" s="5" t="s">
        <v>260</v>
      </c>
      <c r="CR364" s="5" t="s">
        <v>261</v>
      </c>
      <c r="CU364" s="8">
        <f>136366475</f>
        <v>136366475</v>
      </c>
      <c r="CV364" s="8">
        <f>0</f>
        <v>0</v>
      </c>
      <c r="CX364" s="8">
        <f>0</f>
        <v>0</v>
      </c>
      <c r="CY364" s="8">
        <f>136366475</f>
        <v>136366475</v>
      </c>
      <c r="DA364" s="5" t="s">
        <v>2032</v>
      </c>
      <c r="DB364" s="5" t="s">
        <v>238</v>
      </c>
      <c r="DD364" s="5" t="s">
        <v>389</v>
      </c>
      <c r="DE364" s="8">
        <f>61565</f>
        <v>61565</v>
      </c>
      <c r="DG364" s="5" t="s">
        <v>389</v>
      </c>
      <c r="DH364" s="5" t="s">
        <v>238</v>
      </c>
      <c r="DI364" s="5" t="s">
        <v>238</v>
      </c>
      <c r="DJ364" s="5" t="s">
        <v>238</v>
      </c>
      <c r="DN364" s="5" t="s">
        <v>238</v>
      </c>
      <c r="DO364" s="5" t="s">
        <v>238</v>
      </c>
      <c r="DP364" s="5" t="s">
        <v>238</v>
      </c>
      <c r="DQ364" s="5" t="s">
        <v>238</v>
      </c>
      <c r="DT364" s="5" t="s">
        <v>5978</v>
      </c>
      <c r="DU364" s="5" t="s">
        <v>294</v>
      </c>
      <c r="HM364" s="5" t="s">
        <v>264</v>
      </c>
    </row>
    <row r="365" spans="1:221" x14ac:dyDescent="0.4">
      <c r="A365" s="5">
        <v>1100</v>
      </c>
      <c r="B365" s="5">
        <v>1</v>
      </c>
      <c r="C365" s="5">
        <v>1</v>
      </c>
      <c r="D365" s="5" t="s">
        <v>5976</v>
      </c>
      <c r="E365" s="5" t="s">
        <v>437</v>
      </c>
      <c r="F365" s="5" t="s">
        <v>248</v>
      </c>
      <c r="G365" s="5" t="s">
        <v>5975</v>
      </c>
      <c r="H365" s="6" t="s">
        <v>5979</v>
      </c>
      <c r="I365" s="7">
        <f>2254</f>
        <v>2254</v>
      </c>
      <c r="J365" s="5" t="s">
        <v>262</v>
      </c>
      <c r="K365" s="8">
        <f>4992610</f>
        <v>4992610</v>
      </c>
      <c r="L365" s="6" t="s">
        <v>242</v>
      </c>
      <c r="M365" s="5" t="s">
        <v>267</v>
      </c>
      <c r="N365" s="5" t="s">
        <v>237</v>
      </c>
      <c r="O365" s="5" t="s">
        <v>238</v>
      </c>
      <c r="P365" s="5" t="s">
        <v>238</v>
      </c>
      <c r="Q365" s="5" t="s">
        <v>239</v>
      </c>
      <c r="R365" s="5" t="s">
        <v>270</v>
      </c>
      <c r="S365" s="5" t="s">
        <v>238</v>
      </c>
      <c r="V365" s="5" t="s">
        <v>238</v>
      </c>
      <c r="X365" s="6" t="s">
        <v>238</v>
      </c>
      <c r="AA365" s="6" t="s">
        <v>243</v>
      </c>
      <c r="AB365" s="5" t="s">
        <v>238</v>
      </c>
      <c r="AC365" s="5" t="s">
        <v>244</v>
      </c>
      <c r="AD365" s="5" t="s">
        <v>245</v>
      </c>
      <c r="AT365" s="5" t="s">
        <v>246</v>
      </c>
      <c r="AU365" s="5" t="s">
        <v>238</v>
      </c>
      <c r="AV365" s="5" t="s">
        <v>247</v>
      </c>
      <c r="AW365" s="5" t="s">
        <v>238</v>
      </c>
      <c r="AX365" s="5" t="s">
        <v>249</v>
      </c>
      <c r="AY365" s="5" t="s">
        <v>238</v>
      </c>
      <c r="BA365" s="5" t="s">
        <v>238</v>
      </c>
      <c r="BC365" s="5" t="s">
        <v>250</v>
      </c>
      <c r="BD365" s="6" t="s">
        <v>243</v>
      </c>
      <c r="BE365" s="5" t="s">
        <v>251</v>
      </c>
      <c r="BF365" s="5" t="s">
        <v>252</v>
      </c>
      <c r="BG365" s="5" t="s">
        <v>238</v>
      </c>
      <c r="BH365" s="7">
        <f>0</f>
        <v>0</v>
      </c>
      <c r="BI365" s="8">
        <f>0</f>
        <v>0</v>
      </c>
      <c r="BJ365" s="5" t="s">
        <v>253</v>
      </c>
      <c r="BK365" s="5" t="s">
        <v>254</v>
      </c>
      <c r="BY365" s="5" t="s">
        <v>238</v>
      </c>
      <c r="BZ365" s="5" t="s">
        <v>238</v>
      </c>
      <c r="CD365" s="5" t="s">
        <v>255</v>
      </c>
      <c r="CE365" s="5" t="s">
        <v>256</v>
      </c>
      <c r="CF365" s="5" t="s">
        <v>238</v>
      </c>
      <c r="CI365" s="6" t="s">
        <v>257</v>
      </c>
      <c r="CJ365" s="5" t="s">
        <v>238</v>
      </c>
      <c r="CK365" s="5" t="s">
        <v>258</v>
      </c>
      <c r="CL365" s="5" t="s">
        <v>238</v>
      </c>
      <c r="CM365" s="5" t="s">
        <v>238</v>
      </c>
      <c r="CN365" s="5">
        <v>0</v>
      </c>
      <c r="CO365" s="5" t="s">
        <v>259</v>
      </c>
      <c r="CP365" s="5" t="s">
        <v>260</v>
      </c>
      <c r="CQ365" s="5" t="s">
        <v>260</v>
      </c>
      <c r="CR365" s="5" t="s">
        <v>261</v>
      </c>
      <c r="CU365" s="8">
        <f>4992610</f>
        <v>4992610</v>
      </c>
      <c r="CV365" s="8">
        <f>0</f>
        <v>0</v>
      </c>
      <c r="CX365" s="8">
        <f>0</f>
        <v>0</v>
      </c>
      <c r="CY365" s="8">
        <f>4992610</f>
        <v>4992610</v>
      </c>
      <c r="DA365" s="5" t="s">
        <v>2032</v>
      </c>
      <c r="DB365" s="5" t="s">
        <v>238</v>
      </c>
      <c r="DD365" s="5" t="s">
        <v>389</v>
      </c>
      <c r="DE365" s="8">
        <f>2254</f>
        <v>2254</v>
      </c>
      <c r="DG365" s="5" t="s">
        <v>389</v>
      </c>
      <c r="DH365" s="5" t="s">
        <v>238</v>
      </c>
      <c r="DI365" s="5" t="s">
        <v>238</v>
      </c>
      <c r="DJ365" s="5" t="s">
        <v>238</v>
      </c>
      <c r="DN365" s="5" t="s">
        <v>238</v>
      </c>
      <c r="DO365" s="5" t="s">
        <v>238</v>
      </c>
      <c r="DP365" s="5" t="s">
        <v>238</v>
      </c>
      <c r="DQ365" s="5" t="s">
        <v>238</v>
      </c>
      <c r="DT365" s="5" t="s">
        <v>5978</v>
      </c>
      <c r="DU365" s="5" t="s">
        <v>806</v>
      </c>
      <c r="HM365" s="5" t="s">
        <v>264</v>
      </c>
    </row>
    <row r="366" spans="1:221" x14ac:dyDescent="0.4">
      <c r="A366" s="5">
        <v>1101</v>
      </c>
      <c r="B366" s="5">
        <v>1</v>
      </c>
      <c r="C366" s="5">
        <v>1</v>
      </c>
      <c r="D366" s="5" t="s">
        <v>5976</v>
      </c>
      <c r="E366" s="5" t="s">
        <v>437</v>
      </c>
      <c r="F366" s="5" t="s">
        <v>248</v>
      </c>
      <c r="G366" s="5" t="s">
        <v>5975</v>
      </c>
      <c r="H366" s="6" t="s">
        <v>6504</v>
      </c>
      <c r="I366" s="7">
        <f>201</f>
        <v>201</v>
      </c>
      <c r="J366" s="5" t="s">
        <v>262</v>
      </c>
      <c r="K366" s="8">
        <f>445215</f>
        <v>445215</v>
      </c>
      <c r="L366" s="6" t="s">
        <v>242</v>
      </c>
      <c r="M366" s="5" t="s">
        <v>267</v>
      </c>
      <c r="N366" s="5" t="s">
        <v>237</v>
      </c>
      <c r="O366" s="5" t="s">
        <v>238</v>
      </c>
      <c r="P366" s="5" t="s">
        <v>238</v>
      </c>
      <c r="Q366" s="5" t="s">
        <v>239</v>
      </c>
      <c r="R366" s="5" t="s">
        <v>270</v>
      </c>
      <c r="S366" s="5" t="s">
        <v>238</v>
      </c>
      <c r="V366" s="5" t="s">
        <v>238</v>
      </c>
      <c r="X366" s="6" t="s">
        <v>238</v>
      </c>
      <c r="AA366" s="6" t="s">
        <v>243</v>
      </c>
      <c r="AB366" s="5" t="s">
        <v>238</v>
      </c>
      <c r="AC366" s="5" t="s">
        <v>244</v>
      </c>
      <c r="AD366" s="5" t="s">
        <v>245</v>
      </c>
      <c r="AT366" s="5" t="s">
        <v>246</v>
      </c>
      <c r="AU366" s="5" t="s">
        <v>238</v>
      </c>
      <c r="AV366" s="5" t="s">
        <v>247</v>
      </c>
      <c r="AW366" s="5" t="s">
        <v>238</v>
      </c>
      <c r="AX366" s="5" t="s">
        <v>249</v>
      </c>
      <c r="AY366" s="5" t="s">
        <v>238</v>
      </c>
      <c r="BA366" s="5" t="s">
        <v>238</v>
      </c>
      <c r="BC366" s="5" t="s">
        <v>250</v>
      </c>
      <c r="BD366" s="6" t="s">
        <v>243</v>
      </c>
      <c r="BE366" s="5" t="s">
        <v>251</v>
      </c>
      <c r="BF366" s="5" t="s">
        <v>252</v>
      </c>
      <c r="BG366" s="5" t="s">
        <v>238</v>
      </c>
      <c r="BH366" s="7">
        <f>0</f>
        <v>0</v>
      </c>
      <c r="BI366" s="8">
        <f>0</f>
        <v>0</v>
      </c>
      <c r="BJ366" s="5" t="s">
        <v>253</v>
      </c>
      <c r="BK366" s="5" t="s">
        <v>254</v>
      </c>
      <c r="BY366" s="5" t="s">
        <v>238</v>
      </c>
      <c r="BZ366" s="5" t="s">
        <v>238</v>
      </c>
      <c r="CD366" s="5" t="s">
        <v>255</v>
      </c>
      <c r="CE366" s="5" t="s">
        <v>256</v>
      </c>
      <c r="CF366" s="5" t="s">
        <v>238</v>
      </c>
      <c r="CI366" s="6" t="s">
        <v>257</v>
      </c>
      <c r="CJ366" s="5" t="s">
        <v>238</v>
      </c>
      <c r="CK366" s="5" t="s">
        <v>258</v>
      </c>
      <c r="CL366" s="5" t="s">
        <v>238</v>
      </c>
      <c r="CM366" s="5" t="s">
        <v>238</v>
      </c>
      <c r="CN366" s="5">
        <v>0</v>
      </c>
      <c r="CO366" s="5" t="s">
        <v>259</v>
      </c>
      <c r="CP366" s="5" t="s">
        <v>260</v>
      </c>
      <c r="CQ366" s="5" t="s">
        <v>260</v>
      </c>
      <c r="CR366" s="5" t="s">
        <v>261</v>
      </c>
      <c r="CU366" s="8">
        <f>445215</f>
        <v>445215</v>
      </c>
      <c r="CV366" s="8">
        <f>0</f>
        <v>0</v>
      </c>
      <c r="CX366" s="8">
        <f>0</f>
        <v>0</v>
      </c>
      <c r="CY366" s="8">
        <f>445215</f>
        <v>445215</v>
      </c>
      <c r="DA366" s="5" t="s">
        <v>2032</v>
      </c>
      <c r="DB366" s="5" t="s">
        <v>238</v>
      </c>
      <c r="DD366" s="5" t="s">
        <v>389</v>
      </c>
      <c r="DE366" s="8">
        <f>201</f>
        <v>201</v>
      </c>
      <c r="DG366" s="5" t="s">
        <v>389</v>
      </c>
      <c r="DH366" s="5" t="s">
        <v>238</v>
      </c>
      <c r="DI366" s="5" t="s">
        <v>238</v>
      </c>
      <c r="DJ366" s="5" t="s">
        <v>238</v>
      </c>
      <c r="DN366" s="5" t="s">
        <v>238</v>
      </c>
      <c r="DO366" s="5" t="s">
        <v>238</v>
      </c>
      <c r="DP366" s="5" t="s">
        <v>238</v>
      </c>
      <c r="DQ366" s="5" t="s">
        <v>238</v>
      </c>
      <c r="DT366" s="5" t="s">
        <v>5978</v>
      </c>
      <c r="DU366" s="5" t="s">
        <v>854</v>
      </c>
      <c r="HM366" s="5" t="s">
        <v>264</v>
      </c>
    </row>
    <row r="367" spans="1:221" x14ac:dyDescent="0.4">
      <c r="A367" s="5">
        <v>1102</v>
      </c>
      <c r="B367" s="5">
        <v>1</v>
      </c>
      <c r="C367" s="5">
        <v>1</v>
      </c>
      <c r="D367" s="5" t="s">
        <v>5976</v>
      </c>
      <c r="E367" s="5" t="s">
        <v>437</v>
      </c>
      <c r="F367" s="5" t="s">
        <v>248</v>
      </c>
      <c r="G367" s="5" t="s">
        <v>5975</v>
      </c>
      <c r="H367" s="6" t="s">
        <v>5977</v>
      </c>
      <c r="I367" s="7">
        <f>24</f>
        <v>24</v>
      </c>
      <c r="J367" s="5" t="s">
        <v>262</v>
      </c>
      <c r="K367" s="8">
        <f>53160</f>
        <v>53160</v>
      </c>
      <c r="L367" s="6" t="s">
        <v>242</v>
      </c>
      <c r="M367" s="5" t="s">
        <v>267</v>
      </c>
      <c r="N367" s="5" t="s">
        <v>237</v>
      </c>
      <c r="O367" s="5" t="s">
        <v>238</v>
      </c>
      <c r="P367" s="5" t="s">
        <v>238</v>
      </c>
      <c r="Q367" s="5" t="s">
        <v>239</v>
      </c>
      <c r="R367" s="5" t="s">
        <v>270</v>
      </c>
      <c r="S367" s="5" t="s">
        <v>238</v>
      </c>
      <c r="V367" s="5" t="s">
        <v>238</v>
      </c>
      <c r="X367" s="6" t="s">
        <v>238</v>
      </c>
      <c r="AA367" s="6" t="s">
        <v>243</v>
      </c>
      <c r="AB367" s="5" t="s">
        <v>238</v>
      </c>
      <c r="AC367" s="5" t="s">
        <v>244</v>
      </c>
      <c r="AD367" s="5" t="s">
        <v>245</v>
      </c>
      <c r="AT367" s="5" t="s">
        <v>246</v>
      </c>
      <c r="AU367" s="5" t="s">
        <v>238</v>
      </c>
      <c r="AV367" s="5" t="s">
        <v>247</v>
      </c>
      <c r="AW367" s="5" t="s">
        <v>238</v>
      </c>
      <c r="AX367" s="5" t="s">
        <v>249</v>
      </c>
      <c r="AY367" s="5" t="s">
        <v>238</v>
      </c>
      <c r="BA367" s="5" t="s">
        <v>238</v>
      </c>
      <c r="BC367" s="5" t="s">
        <v>250</v>
      </c>
      <c r="BD367" s="6" t="s">
        <v>243</v>
      </c>
      <c r="BE367" s="5" t="s">
        <v>251</v>
      </c>
      <c r="BF367" s="5" t="s">
        <v>252</v>
      </c>
      <c r="BG367" s="5" t="s">
        <v>238</v>
      </c>
      <c r="BH367" s="7">
        <f>0</f>
        <v>0</v>
      </c>
      <c r="BI367" s="8">
        <f>0</f>
        <v>0</v>
      </c>
      <c r="BJ367" s="5" t="s">
        <v>253</v>
      </c>
      <c r="BK367" s="5" t="s">
        <v>254</v>
      </c>
      <c r="BY367" s="5" t="s">
        <v>238</v>
      </c>
      <c r="BZ367" s="5" t="s">
        <v>238</v>
      </c>
      <c r="CD367" s="5" t="s">
        <v>255</v>
      </c>
      <c r="CE367" s="5" t="s">
        <v>256</v>
      </c>
      <c r="CF367" s="5" t="s">
        <v>238</v>
      </c>
      <c r="CI367" s="6" t="s">
        <v>257</v>
      </c>
      <c r="CJ367" s="5" t="s">
        <v>238</v>
      </c>
      <c r="CK367" s="5" t="s">
        <v>258</v>
      </c>
      <c r="CL367" s="5" t="s">
        <v>238</v>
      </c>
      <c r="CM367" s="5" t="s">
        <v>238</v>
      </c>
      <c r="CN367" s="5">
        <v>0</v>
      </c>
      <c r="CO367" s="5" t="s">
        <v>259</v>
      </c>
      <c r="CP367" s="5" t="s">
        <v>260</v>
      </c>
      <c r="CQ367" s="5" t="s">
        <v>260</v>
      </c>
      <c r="CR367" s="5" t="s">
        <v>261</v>
      </c>
      <c r="CU367" s="8">
        <f>53160</f>
        <v>53160</v>
      </c>
      <c r="CV367" s="8">
        <f>0</f>
        <v>0</v>
      </c>
      <c r="CX367" s="8">
        <f>0</f>
        <v>0</v>
      </c>
      <c r="CY367" s="8">
        <f>53160</f>
        <v>53160</v>
      </c>
      <c r="DA367" s="5" t="s">
        <v>2032</v>
      </c>
      <c r="DB367" s="5" t="s">
        <v>238</v>
      </c>
      <c r="DD367" s="5" t="s">
        <v>389</v>
      </c>
      <c r="DE367" s="8">
        <f>24</f>
        <v>24</v>
      </c>
      <c r="DG367" s="5" t="s">
        <v>389</v>
      </c>
      <c r="DH367" s="5" t="s">
        <v>238</v>
      </c>
      <c r="DI367" s="5" t="s">
        <v>238</v>
      </c>
      <c r="DJ367" s="5" t="s">
        <v>238</v>
      </c>
      <c r="DN367" s="5" t="s">
        <v>238</v>
      </c>
      <c r="DO367" s="5" t="s">
        <v>238</v>
      </c>
      <c r="DP367" s="5" t="s">
        <v>238</v>
      </c>
      <c r="DQ367" s="5" t="s">
        <v>238</v>
      </c>
      <c r="DT367" s="5" t="s">
        <v>5978</v>
      </c>
      <c r="DU367" s="5" t="s">
        <v>911</v>
      </c>
      <c r="HM367" s="5" t="s">
        <v>264</v>
      </c>
    </row>
    <row r="368" spans="1:221" x14ac:dyDescent="0.4">
      <c r="A368" s="5">
        <v>1103</v>
      </c>
      <c r="B368" s="5">
        <v>1</v>
      </c>
      <c r="C368" s="5">
        <v>1</v>
      </c>
      <c r="D368" s="5" t="s">
        <v>5976</v>
      </c>
      <c r="E368" s="5" t="s">
        <v>437</v>
      </c>
      <c r="F368" s="5" t="s">
        <v>248</v>
      </c>
      <c r="G368" s="5" t="s">
        <v>5975</v>
      </c>
      <c r="H368" s="6" t="s">
        <v>5981</v>
      </c>
      <c r="I368" s="7">
        <f>112</f>
        <v>112</v>
      </c>
      <c r="J368" s="5" t="s">
        <v>262</v>
      </c>
      <c r="K368" s="8">
        <f>248080</f>
        <v>248080</v>
      </c>
      <c r="L368" s="6" t="s">
        <v>242</v>
      </c>
      <c r="M368" s="5" t="s">
        <v>267</v>
      </c>
      <c r="N368" s="5" t="s">
        <v>237</v>
      </c>
      <c r="O368" s="5" t="s">
        <v>238</v>
      </c>
      <c r="P368" s="5" t="s">
        <v>238</v>
      </c>
      <c r="Q368" s="5" t="s">
        <v>239</v>
      </c>
      <c r="R368" s="5" t="s">
        <v>270</v>
      </c>
      <c r="S368" s="5" t="s">
        <v>238</v>
      </c>
      <c r="V368" s="5" t="s">
        <v>238</v>
      </c>
      <c r="X368" s="6" t="s">
        <v>238</v>
      </c>
      <c r="AA368" s="6" t="s">
        <v>243</v>
      </c>
      <c r="AB368" s="5" t="s">
        <v>238</v>
      </c>
      <c r="AC368" s="5" t="s">
        <v>244</v>
      </c>
      <c r="AD368" s="5" t="s">
        <v>245</v>
      </c>
      <c r="AT368" s="5" t="s">
        <v>246</v>
      </c>
      <c r="AU368" s="5" t="s">
        <v>238</v>
      </c>
      <c r="AV368" s="5" t="s">
        <v>247</v>
      </c>
      <c r="AW368" s="5" t="s">
        <v>238</v>
      </c>
      <c r="AX368" s="5" t="s">
        <v>249</v>
      </c>
      <c r="AY368" s="5" t="s">
        <v>238</v>
      </c>
      <c r="BA368" s="5" t="s">
        <v>238</v>
      </c>
      <c r="BC368" s="5" t="s">
        <v>250</v>
      </c>
      <c r="BD368" s="6" t="s">
        <v>243</v>
      </c>
      <c r="BE368" s="5" t="s">
        <v>251</v>
      </c>
      <c r="BF368" s="5" t="s">
        <v>252</v>
      </c>
      <c r="BG368" s="5" t="s">
        <v>238</v>
      </c>
      <c r="BH368" s="7">
        <f>0</f>
        <v>0</v>
      </c>
      <c r="BI368" s="8">
        <f>0</f>
        <v>0</v>
      </c>
      <c r="BJ368" s="5" t="s">
        <v>253</v>
      </c>
      <c r="BK368" s="5" t="s">
        <v>254</v>
      </c>
      <c r="BY368" s="5" t="s">
        <v>238</v>
      </c>
      <c r="BZ368" s="5" t="s">
        <v>238</v>
      </c>
      <c r="CD368" s="5" t="s">
        <v>255</v>
      </c>
      <c r="CE368" s="5" t="s">
        <v>256</v>
      </c>
      <c r="CF368" s="5" t="s">
        <v>238</v>
      </c>
      <c r="CI368" s="6" t="s">
        <v>257</v>
      </c>
      <c r="CJ368" s="5" t="s">
        <v>238</v>
      </c>
      <c r="CK368" s="5" t="s">
        <v>258</v>
      </c>
      <c r="CL368" s="5" t="s">
        <v>238</v>
      </c>
      <c r="CM368" s="5" t="s">
        <v>238</v>
      </c>
      <c r="CN368" s="5">
        <v>0</v>
      </c>
      <c r="CO368" s="5" t="s">
        <v>259</v>
      </c>
      <c r="CP368" s="5" t="s">
        <v>260</v>
      </c>
      <c r="CQ368" s="5" t="s">
        <v>260</v>
      </c>
      <c r="CR368" s="5" t="s">
        <v>261</v>
      </c>
      <c r="CU368" s="8">
        <f>248080</f>
        <v>248080</v>
      </c>
      <c r="CV368" s="8">
        <f>0</f>
        <v>0</v>
      </c>
      <c r="CX368" s="8">
        <f>0</f>
        <v>0</v>
      </c>
      <c r="CY368" s="8">
        <f>248080</f>
        <v>248080</v>
      </c>
      <c r="DA368" s="5" t="s">
        <v>2032</v>
      </c>
      <c r="DB368" s="5" t="s">
        <v>238</v>
      </c>
      <c r="DD368" s="5" t="s">
        <v>389</v>
      </c>
      <c r="DE368" s="8">
        <f>112</f>
        <v>112</v>
      </c>
      <c r="DG368" s="5" t="s">
        <v>389</v>
      </c>
      <c r="DH368" s="5" t="s">
        <v>238</v>
      </c>
      <c r="DI368" s="5" t="s">
        <v>238</v>
      </c>
      <c r="DJ368" s="5" t="s">
        <v>238</v>
      </c>
      <c r="DN368" s="5" t="s">
        <v>238</v>
      </c>
      <c r="DO368" s="5" t="s">
        <v>238</v>
      </c>
      <c r="DP368" s="5" t="s">
        <v>238</v>
      </c>
      <c r="DQ368" s="5" t="s">
        <v>238</v>
      </c>
      <c r="DT368" s="5" t="s">
        <v>5978</v>
      </c>
      <c r="DU368" s="5" t="s">
        <v>967</v>
      </c>
      <c r="HM368" s="5" t="s">
        <v>264</v>
      </c>
    </row>
    <row r="369" spans="1:221" x14ac:dyDescent="0.4">
      <c r="A369" s="5">
        <v>1104</v>
      </c>
      <c r="B369" s="5">
        <v>1</v>
      </c>
      <c r="C369" s="5">
        <v>1</v>
      </c>
      <c r="D369" s="5" t="s">
        <v>5976</v>
      </c>
      <c r="E369" s="5" t="s">
        <v>437</v>
      </c>
      <c r="F369" s="5" t="s">
        <v>248</v>
      </c>
      <c r="G369" s="5" t="s">
        <v>5975</v>
      </c>
      <c r="H369" s="6" t="s">
        <v>5982</v>
      </c>
      <c r="I369" s="7">
        <f>206</f>
        <v>206</v>
      </c>
      <c r="J369" s="5" t="s">
        <v>262</v>
      </c>
      <c r="K369" s="8">
        <f>456290</f>
        <v>456290</v>
      </c>
      <c r="L369" s="6" t="s">
        <v>242</v>
      </c>
      <c r="M369" s="5" t="s">
        <v>267</v>
      </c>
      <c r="N369" s="5" t="s">
        <v>237</v>
      </c>
      <c r="O369" s="5" t="s">
        <v>238</v>
      </c>
      <c r="P369" s="5" t="s">
        <v>238</v>
      </c>
      <c r="Q369" s="5" t="s">
        <v>239</v>
      </c>
      <c r="R369" s="5" t="s">
        <v>270</v>
      </c>
      <c r="S369" s="5" t="s">
        <v>238</v>
      </c>
      <c r="V369" s="5" t="s">
        <v>238</v>
      </c>
      <c r="X369" s="6" t="s">
        <v>238</v>
      </c>
      <c r="AA369" s="6" t="s">
        <v>243</v>
      </c>
      <c r="AB369" s="5" t="s">
        <v>238</v>
      </c>
      <c r="AC369" s="5" t="s">
        <v>244</v>
      </c>
      <c r="AD369" s="5" t="s">
        <v>245</v>
      </c>
      <c r="AT369" s="5" t="s">
        <v>246</v>
      </c>
      <c r="AU369" s="5" t="s">
        <v>238</v>
      </c>
      <c r="AV369" s="5" t="s">
        <v>247</v>
      </c>
      <c r="AW369" s="5" t="s">
        <v>238</v>
      </c>
      <c r="AX369" s="5" t="s">
        <v>249</v>
      </c>
      <c r="AY369" s="5" t="s">
        <v>238</v>
      </c>
      <c r="BA369" s="5" t="s">
        <v>238</v>
      </c>
      <c r="BC369" s="5" t="s">
        <v>250</v>
      </c>
      <c r="BD369" s="6" t="s">
        <v>243</v>
      </c>
      <c r="BE369" s="5" t="s">
        <v>251</v>
      </c>
      <c r="BF369" s="5" t="s">
        <v>252</v>
      </c>
      <c r="BG369" s="5" t="s">
        <v>238</v>
      </c>
      <c r="BH369" s="7">
        <f>0</f>
        <v>0</v>
      </c>
      <c r="BI369" s="8">
        <f>0</f>
        <v>0</v>
      </c>
      <c r="BJ369" s="5" t="s">
        <v>253</v>
      </c>
      <c r="BK369" s="5" t="s">
        <v>254</v>
      </c>
      <c r="BY369" s="5" t="s">
        <v>238</v>
      </c>
      <c r="BZ369" s="5" t="s">
        <v>238</v>
      </c>
      <c r="CD369" s="5" t="s">
        <v>255</v>
      </c>
      <c r="CE369" s="5" t="s">
        <v>256</v>
      </c>
      <c r="CF369" s="5" t="s">
        <v>238</v>
      </c>
      <c r="CI369" s="6" t="s">
        <v>257</v>
      </c>
      <c r="CJ369" s="5" t="s">
        <v>238</v>
      </c>
      <c r="CK369" s="5" t="s">
        <v>258</v>
      </c>
      <c r="CL369" s="5" t="s">
        <v>238</v>
      </c>
      <c r="CM369" s="5" t="s">
        <v>238</v>
      </c>
      <c r="CN369" s="5">
        <v>0</v>
      </c>
      <c r="CO369" s="5" t="s">
        <v>259</v>
      </c>
      <c r="CP369" s="5" t="s">
        <v>260</v>
      </c>
      <c r="CQ369" s="5" t="s">
        <v>260</v>
      </c>
      <c r="CR369" s="5" t="s">
        <v>261</v>
      </c>
      <c r="CU369" s="8">
        <f>456290</f>
        <v>456290</v>
      </c>
      <c r="CV369" s="8">
        <f>0</f>
        <v>0</v>
      </c>
      <c r="CX369" s="8">
        <f>0</f>
        <v>0</v>
      </c>
      <c r="CY369" s="8">
        <f>456290</f>
        <v>456290</v>
      </c>
      <c r="DA369" s="5" t="s">
        <v>2032</v>
      </c>
      <c r="DB369" s="5" t="s">
        <v>238</v>
      </c>
      <c r="DD369" s="5" t="s">
        <v>389</v>
      </c>
      <c r="DE369" s="8">
        <f>206</f>
        <v>206</v>
      </c>
      <c r="DG369" s="5" t="s">
        <v>389</v>
      </c>
      <c r="DH369" s="5" t="s">
        <v>238</v>
      </c>
      <c r="DI369" s="5" t="s">
        <v>238</v>
      </c>
      <c r="DJ369" s="5" t="s">
        <v>238</v>
      </c>
      <c r="DN369" s="5" t="s">
        <v>238</v>
      </c>
      <c r="DO369" s="5" t="s">
        <v>238</v>
      </c>
      <c r="DP369" s="5" t="s">
        <v>238</v>
      </c>
      <c r="DQ369" s="5" t="s">
        <v>238</v>
      </c>
      <c r="DT369" s="5" t="s">
        <v>5978</v>
      </c>
      <c r="DU369" s="5" t="s">
        <v>1376</v>
      </c>
      <c r="HM369" s="5" t="s">
        <v>264</v>
      </c>
    </row>
    <row r="370" spans="1:221" x14ac:dyDescent="0.4">
      <c r="A370" s="5">
        <v>1105</v>
      </c>
      <c r="B370" s="5">
        <v>1</v>
      </c>
      <c r="C370" s="5">
        <v>1</v>
      </c>
      <c r="D370" s="5" t="s">
        <v>5909</v>
      </c>
      <c r="E370" s="5" t="s">
        <v>437</v>
      </c>
      <c r="F370" s="5" t="s">
        <v>248</v>
      </c>
      <c r="G370" s="5" t="s">
        <v>5908</v>
      </c>
      <c r="H370" s="6" t="s">
        <v>5974</v>
      </c>
      <c r="I370" s="7">
        <f>44</f>
        <v>44</v>
      </c>
      <c r="J370" s="5" t="s">
        <v>262</v>
      </c>
      <c r="K370" s="8">
        <f>97460</f>
        <v>97460</v>
      </c>
      <c r="L370" s="6" t="s">
        <v>242</v>
      </c>
      <c r="M370" s="5" t="s">
        <v>267</v>
      </c>
      <c r="N370" s="5" t="s">
        <v>237</v>
      </c>
      <c r="O370" s="5" t="s">
        <v>238</v>
      </c>
      <c r="P370" s="5" t="s">
        <v>238</v>
      </c>
      <c r="Q370" s="5" t="s">
        <v>239</v>
      </c>
      <c r="R370" s="5" t="s">
        <v>270</v>
      </c>
      <c r="S370" s="5" t="s">
        <v>238</v>
      </c>
      <c r="V370" s="5" t="s">
        <v>238</v>
      </c>
      <c r="X370" s="6" t="s">
        <v>238</v>
      </c>
      <c r="AA370" s="6" t="s">
        <v>243</v>
      </c>
      <c r="AB370" s="5" t="s">
        <v>238</v>
      </c>
      <c r="AC370" s="5" t="s">
        <v>244</v>
      </c>
      <c r="AD370" s="5" t="s">
        <v>245</v>
      </c>
      <c r="AT370" s="5" t="s">
        <v>246</v>
      </c>
      <c r="AU370" s="5" t="s">
        <v>238</v>
      </c>
      <c r="AV370" s="5" t="s">
        <v>247</v>
      </c>
      <c r="AW370" s="5" t="s">
        <v>238</v>
      </c>
      <c r="AX370" s="5" t="s">
        <v>249</v>
      </c>
      <c r="AY370" s="5" t="s">
        <v>238</v>
      </c>
      <c r="BA370" s="5" t="s">
        <v>4547</v>
      </c>
      <c r="BC370" s="5" t="s">
        <v>250</v>
      </c>
      <c r="BD370" s="6" t="s">
        <v>243</v>
      </c>
      <c r="BE370" s="5" t="s">
        <v>251</v>
      </c>
      <c r="BF370" s="5" t="s">
        <v>252</v>
      </c>
      <c r="BG370" s="5" t="s">
        <v>238</v>
      </c>
      <c r="BH370" s="7">
        <f>0</f>
        <v>0</v>
      </c>
      <c r="BI370" s="8">
        <f>0</f>
        <v>0</v>
      </c>
      <c r="BJ370" s="5" t="s">
        <v>253</v>
      </c>
      <c r="BK370" s="5" t="s">
        <v>254</v>
      </c>
      <c r="BY370" s="5" t="s">
        <v>238</v>
      </c>
      <c r="BZ370" s="5" t="s">
        <v>238</v>
      </c>
      <c r="CD370" s="5" t="s">
        <v>255</v>
      </c>
      <c r="CE370" s="5" t="s">
        <v>256</v>
      </c>
      <c r="CF370" s="5" t="s">
        <v>238</v>
      </c>
      <c r="CI370" s="6" t="s">
        <v>257</v>
      </c>
      <c r="CJ370" s="5" t="s">
        <v>238</v>
      </c>
      <c r="CK370" s="5" t="s">
        <v>258</v>
      </c>
      <c r="CL370" s="5" t="s">
        <v>238</v>
      </c>
      <c r="CM370" s="5" t="s">
        <v>238</v>
      </c>
      <c r="CN370" s="5">
        <v>0</v>
      </c>
      <c r="CO370" s="5" t="s">
        <v>259</v>
      </c>
      <c r="CP370" s="5" t="s">
        <v>260</v>
      </c>
      <c r="CQ370" s="5" t="s">
        <v>260</v>
      </c>
      <c r="CR370" s="5" t="s">
        <v>261</v>
      </c>
      <c r="CU370" s="8">
        <f>97460</f>
        <v>97460</v>
      </c>
      <c r="CV370" s="8">
        <f>0</f>
        <v>0</v>
      </c>
      <c r="CX370" s="8">
        <f>0</f>
        <v>0</v>
      </c>
      <c r="CY370" s="8">
        <f>97460</f>
        <v>97460</v>
      </c>
      <c r="DA370" s="5" t="s">
        <v>2032</v>
      </c>
      <c r="DB370" s="5" t="s">
        <v>238</v>
      </c>
      <c r="DD370" s="5" t="s">
        <v>2211</v>
      </c>
      <c r="DE370" s="8">
        <f>44</f>
        <v>44</v>
      </c>
      <c r="DG370" s="5" t="s">
        <v>389</v>
      </c>
      <c r="DH370" s="5" t="s">
        <v>238</v>
      </c>
      <c r="DI370" s="5" t="s">
        <v>238</v>
      </c>
      <c r="DJ370" s="5" t="s">
        <v>238</v>
      </c>
      <c r="DN370" s="5" t="s">
        <v>238</v>
      </c>
      <c r="DO370" s="5" t="s">
        <v>238</v>
      </c>
      <c r="DP370" s="5" t="s">
        <v>238</v>
      </c>
      <c r="DQ370" s="5" t="s">
        <v>238</v>
      </c>
      <c r="DT370" s="5" t="s">
        <v>5911</v>
      </c>
      <c r="DU370" s="5" t="s">
        <v>264</v>
      </c>
      <c r="HM370" s="5" t="s">
        <v>264</v>
      </c>
    </row>
    <row r="371" spans="1:221" x14ac:dyDescent="0.4">
      <c r="A371" s="5">
        <v>1106</v>
      </c>
      <c r="B371" s="5">
        <v>1</v>
      </c>
      <c r="C371" s="5">
        <v>1</v>
      </c>
      <c r="D371" s="5" t="s">
        <v>5909</v>
      </c>
      <c r="E371" s="5" t="s">
        <v>437</v>
      </c>
      <c r="F371" s="5" t="s">
        <v>248</v>
      </c>
      <c r="G371" s="5" t="s">
        <v>5908</v>
      </c>
      <c r="H371" s="6" t="s">
        <v>6493</v>
      </c>
      <c r="I371" s="7">
        <f>887</f>
        <v>887</v>
      </c>
      <c r="J371" s="5" t="s">
        <v>262</v>
      </c>
      <c r="K371" s="8">
        <f>1964705</f>
        <v>1964705</v>
      </c>
      <c r="L371" s="6" t="s">
        <v>242</v>
      </c>
      <c r="M371" s="5" t="s">
        <v>267</v>
      </c>
      <c r="N371" s="5" t="s">
        <v>237</v>
      </c>
      <c r="O371" s="5" t="s">
        <v>238</v>
      </c>
      <c r="P371" s="5" t="s">
        <v>238</v>
      </c>
      <c r="Q371" s="5" t="s">
        <v>239</v>
      </c>
      <c r="R371" s="5" t="s">
        <v>270</v>
      </c>
      <c r="S371" s="5" t="s">
        <v>238</v>
      </c>
      <c r="V371" s="5" t="s">
        <v>238</v>
      </c>
      <c r="X371" s="6" t="s">
        <v>238</v>
      </c>
      <c r="AA371" s="6" t="s">
        <v>243</v>
      </c>
      <c r="AB371" s="5" t="s">
        <v>238</v>
      </c>
      <c r="AC371" s="5" t="s">
        <v>244</v>
      </c>
      <c r="AD371" s="5" t="s">
        <v>245</v>
      </c>
      <c r="AT371" s="5" t="s">
        <v>246</v>
      </c>
      <c r="AU371" s="5" t="s">
        <v>238</v>
      </c>
      <c r="AV371" s="5" t="s">
        <v>247</v>
      </c>
      <c r="AW371" s="5" t="s">
        <v>238</v>
      </c>
      <c r="AX371" s="5" t="s">
        <v>249</v>
      </c>
      <c r="AY371" s="5" t="s">
        <v>238</v>
      </c>
      <c r="BA371" s="5" t="s">
        <v>238</v>
      </c>
      <c r="BC371" s="5" t="s">
        <v>250</v>
      </c>
      <c r="BD371" s="6" t="s">
        <v>243</v>
      </c>
      <c r="BE371" s="5" t="s">
        <v>251</v>
      </c>
      <c r="BF371" s="5" t="s">
        <v>252</v>
      </c>
      <c r="BG371" s="5" t="s">
        <v>238</v>
      </c>
      <c r="BH371" s="7">
        <f>0</f>
        <v>0</v>
      </c>
      <c r="BI371" s="8">
        <f>0</f>
        <v>0</v>
      </c>
      <c r="BJ371" s="5" t="s">
        <v>253</v>
      </c>
      <c r="BK371" s="5" t="s">
        <v>254</v>
      </c>
      <c r="BY371" s="5" t="s">
        <v>238</v>
      </c>
      <c r="BZ371" s="5" t="s">
        <v>238</v>
      </c>
      <c r="CD371" s="5" t="s">
        <v>255</v>
      </c>
      <c r="CE371" s="5" t="s">
        <v>256</v>
      </c>
      <c r="CF371" s="5" t="s">
        <v>238</v>
      </c>
      <c r="CI371" s="6" t="s">
        <v>257</v>
      </c>
      <c r="CJ371" s="5" t="s">
        <v>238</v>
      </c>
      <c r="CK371" s="5" t="s">
        <v>258</v>
      </c>
      <c r="CL371" s="5" t="s">
        <v>238</v>
      </c>
      <c r="CM371" s="5" t="s">
        <v>238</v>
      </c>
      <c r="CN371" s="5">
        <v>0</v>
      </c>
      <c r="CO371" s="5" t="s">
        <v>259</v>
      </c>
      <c r="CP371" s="5" t="s">
        <v>260</v>
      </c>
      <c r="CQ371" s="5" t="s">
        <v>260</v>
      </c>
      <c r="CR371" s="5" t="s">
        <v>261</v>
      </c>
      <c r="CU371" s="8">
        <f>1964705</f>
        <v>1964705</v>
      </c>
      <c r="CV371" s="8">
        <f>0</f>
        <v>0</v>
      </c>
      <c r="CX371" s="8">
        <f>0</f>
        <v>0</v>
      </c>
      <c r="CY371" s="8">
        <f>1964705</f>
        <v>1964705</v>
      </c>
      <c r="DA371" s="5" t="s">
        <v>2032</v>
      </c>
      <c r="DB371" s="5" t="s">
        <v>238</v>
      </c>
      <c r="DD371" s="5" t="s">
        <v>2211</v>
      </c>
      <c r="DE371" s="8">
        <f>887</f>
        <v>887</v>
      </c>
      <c r="DG371" s="5" t="s">
        <v>389</v>
      </c>
      <c r="DH371" s="5" t="s">
        <v>238</v>
      </c>
      <c r="DI371" s="5" t="s">
        <v>238</v>
      </c>
      <c r="DJ371" s="5" t="s">
        <v>238</v>
      </c>
      <c r="DN371" s="5" t="s">
        <v>238</v>
      </c>
      <c r="DO371" s="5" t="s">
        <v>238</v>
      </c>
      <c r="DP371" s="5" t="s">
        <v>238</v>
      </c>
      <c r="DQ371" s="5" t="s">
        <v>238</v>
      </c>
      <c r="DT371" s="5" t="s">
        <v>5911</v>
      </c>
      <c r="DU371" s="5" t="s">
        <v>294</v>
      </c>
      <c r="HM371" s="5" t="s">
        <v>264</v>
      </c>
    </row>
    <row r="372" spans="1:221" x14ac:dyDescent="0.4">
      <c r="A372" s="5">
        <v>1107</v>
      </c>
      <c r="B372" s="5">
        <v>1</v>
      </c>
      <c r="C372" s="5">
        <v>1</v>
      </c>
      <c r="D372" s="5" t="s">
        <v>5909</v>
      </c>
      <c r="E372" s="5" t="s">
        <v>437</v>
      </c>
      <c r="F372" s="5" t="s">
        <v>248</v>
      </c>
      <c r="G372" s="5" t="s">
        <v>5908</v>
      </c>
      <c r="H372" s="6" t="s">
        <v>5963</v>
      </c>
      <c r="I372" s="7">
        <f>933</f>
        <v>933</v>
      </c>
      <c r="J372" s="5" t="s">
        <v>262</v>
      </c>
      <c r="K372" s="8">
        <f>2066595</f>
        <v>2066595</v>
      </c>
      <c r="L372" s="6" t="s">
        <v>242</v>
      </c>
      <c r="M372" s="5" t="s">
        <v>267</v>
      </c>
      <c r="N372" s="5" t="s">
        <v>237</v>
      </c>
      <c r="O372" s="5" t="s">
        <v>238</v>
      </c>
      <c r="P372" s="5" t="s">
        <v>238</v>
      </c>
      <c r="Q372" s="5" t="s">
        <v>239</v>
      </c>
      <c r="R372" s="5" t="s">
        <v>270</v>
      </c>
      <c r="S372" s="5" t="s">
        <v>238</v>
      </c>
      <c r="V372" s="5" t="s">
        <v>238</v>
      </c>
      <c r="X372" s="6" t="s">
        <v>238</v>
      </c>
      <c r="AA372" s="6" t="s">
        <v>243</v>
      </c>
      <c r="AB372" s="5" t="s">
        <v>238</v>
      </c>
      <c r="AC372" s="5" t="s">
        <v>244</v>
      </c>
      <c r="AD372" s="5" t="s">
        <v>245</v>
      </c>
      <c r="AT372" s="5" t="s">
        <v>246</v>
      </c>
      <c r="AU372" s="5" t="s">
        <v>238</v>
      </c>
      <c r="AV372" s="5" t="s">
        <v>247</v>
      </c>
      <c r="AW372" s="5" t="s">
        <v>238</v>
      </c>
      <c r="AX372" s="5" t="s">
        <v>249</v>
      </c>
      <c r="AY372" s="5" t="s">
        <v>238</v>
      </c>
      <c r="BA372" s="5" t="s">
        <v>238</v>
      </c>
      <c r="BC372" s="5" t="s">
        <v>250</v>
      </c>
      <c r="BD372" s="6" t="s">
        <v>243</v>
      </c>
      <c r="BE372" s="5" t="s">
        <v>251</v>
      </c>
      <c r="BF372" s="5" t="s">
        <v>252</v>
      </c>
      <c r="BG372" s="5" t="s">
        <v>238</v>
      </c>
      <c r="BH372" s="7">
        <f>0</f>
        <v>0</v>
      </c>
      <c r="BI372" s="8">
        <f>0</f>
        <v>0</v>
      </c>
      <c r="BJ372" s="5" t="s">
        <v>253</v>
      </c>
      <c r="BK372" s="5" t="s">
        <v>254</v>
      </c>
      <c r="BY372" s="5" t="s">
        <v>238</v>
      </c>
      <c r="BZ372" s="5" t="s">
        <v>238</v>
      </c>
      <c r="CD372" s="5" t="s">
        <v>255</v>
      </c>
      <c r="CE372" s="5" t="s">
        <v>256</v>
      </c>
      <c r="CF372" s="5" t="s">
        <v>238</v>
      </c>
      <c r="CI372" s="6" t="s">
        <v>257</v>
      </c>
      <c r="CJ372" s="5" t="s">
        <v>238</v>
      </c>
      <c r="CK372" s="5" t="s">
        <v>258</v>
      </c>
      <c r="CL372" s="5" t="s">
        <v>238</v>
      </c>
      <c r="CM372" s="5" t="s">
        <v>238</v>
      </c>
      <c r="CN372" s="5">
        <v>0</v>
      </c>
      <c r="CO372" s="5" t="s">
        <v>259</v>
      </c>
      <c r="CP372" s="5" t="s">
        <v>260</v>
      </c>
      <c r="CQ372" s="5" t="s">
        <v>260</v>
      </c>
      <c r="CR372" s="5" t="s">
        <v>261</v>
      </c>
      <c r="CU372" s="8">
        <f>2066595</f>
        <v>2066595</v>
      </c>
      <c r="CV372" s="8">
        <f>0</f>
        <v>0</v>
      </c>
      <c r="CX372" s="8">
        <f>0</f>
        <v>0</v>
      </c>
      <c r="CY372" s="8">
        <f>2066595</f>
        <v>2066595</v>
      </c>
      <c r="DA372" s="5" t="s">
        <v>2032</v>
      </c>
      <c r="DB372" s="5" t="s">
        <v>238</v>
      </c>
      <c r="DD372" s="5" t="s">
        <v>2211</v>
      </c>
      <c r="DE372" s="8">
        <f>933</f>
        <v>933</v>
      </c>
      <c r="DG372" s="5" t="s">
        <v>389</v>
      </c>
      <c r="DH372" s="5" t="s">
        <v>238</v>
      </c>
      <c r="DI372" s="5" t="s">
        <v>238</v>
      </c>
      <c r="DJ372" s="5" t="s">
        <v>238</v>
      </c>
      <c r="DN372" s="5" t="s">
        <v>238</v>
      </c>
      <c r="DO372" s="5" t="s">
        <v>238</v>
      </c>
      <c r="DP372" s="5" t="s">
        <v>238</v>
      </c>
      <c r="DQ372" s="5" t="s">
        <v>238</v>
      </c>
      <c r="DT372" s="5" t="s">
        <v>5911</v>
      </c>
      <c r="DU372" s="5" t="s">
        <v>806</v>
      </c>
      <c r="HM372" s="5" t="s">
        <v>264</v>
      </c>
    </row>
    <row r="373" spans="1:221" x14ac:dyDescent="0.4">
      <c r="A373" s="5">
        <v>1108</v>
      </c>
      <c r="B373" s="5">
        <v>1</v>
      </c>
      <c r="C373" s="5">
        <v>1</v>
      </c>
      <c r="D373" s="5" t="s">
        <v>5909</v>
      </c>
      <c r="E373" s="5" t="s">
        <v>437</v>
      </c>
      <c r="F373" s="5" t="s">
        <v>248</v>
      </c>
      <c r="G373" s="5" t="s">
        <v>5908</v>
      </c>
      <c r="H373" s="6" t="s">
        <v>5964</v>
      </c>
      <c r="I373" s="7">
        <f>211</f>
        <v>211</v>
      </c>
      <c r="J373" s="5" t="s">
        <v>262</v>
      </c>
      <c r="K373" s="8">
        <f>467365</f>
        <v>467365</v>
      </c>
      <c r="L373" s="6" t="s">
        <v>242</v>
      </c>
      <c r="M373" s="5" t="s">
        <v>267</v>
      </c>
      <c r="N373" s="5" t="s">
        <v>237</v>
      </c>
      <c r="O373" s="5" t="s">
        <v>238</v>
      </c>
      <c r="P373" s="5" t="s">
        <v>238</v>
      </c>
      <c r="Q373" s="5" t="s">
        <v>239</v>
      </c>
      <c r="R373" s="5" t="s">
        <v>270</v>
      </c>
      <c r="S373" s="5" t="s">
        <v>238</v>
      </c>
      <c r="V373" s="5" t="s">
        <v>238</v>
      </c>
      <c r="X373" s="6" t="s">
        <v>238</v>
      </c>
      <c r="AA373" s="6" t="s">
        <v>243</v>
      </c>
      <c r="AB373" s="5" t="s">
        <v>238</v>
      </c>
      <c r="AC373" s="5" t="s">
        <v>244</v>
      </c>
      <c r="AD373" s="5" t="s">
        <v>245</v>
      </c>
      <c r="AT373" s="5" t="s">
        <v>246</v>
      </c>
      <c r="AU373" s="5" t="s">
        <v>238</v>
      </c>
      <c r="AV373" s="5" t="s">
        <v>247</v>
      </c>
      <c r="AW373" s="5" t="s">
        <v>238</v>
      </c>
      <c r="AX373" s="5" t="s">
        <v>249</v>
      </c>
      <c r="AY373" s="5" t="s">
        <v>238</v>
      </c>
      <c r="BA373" s="5" t="s">
        <v>238</v>
      </c>
      <c r="BC373" s="5" t="s">
        <v>250</v>
      </c>
      <c r="BD373" s="6" t="s">
        <v>243</v>
      </c>
      <c r="BE373" s="5" t="s">
        <v>251</v>
      </c>
      <c r="BF373" s="5" t="s">
        <v>252</v>
      </c>
      <c r="BG373" s="5" t="s">
        <v>238</v>
      </c>
      <c r="BH373" s="7">
        <f>0</f>
        <v>0</v>
      </c>
      <c r="BI373" s="8">
        <f>0</f>
        <v>0</v>
      </c>
      <c r="BJ373" s="5" t="s">
        <v>253</v>
      </c>
      <c r="BK373" s="5" t="s">
        <v>254</v>
      </c>
      <c r="BY373" s="5" t="s">
        <v>238</v>
      </c>
      <c r="BZ373" s="5" t="s">
        <v>238</v>
      </c>
      <c r="CD373" s="5" t="s">
        <v>255</v>
      </c>
      <c r="CE373" s="5" t="s">
        <v>256</v>
      </c>
      <c r="CF373" s="5" t="s">
        <v>238</v>
      </c>
      <c r="CI373" s="6" t="s">
        <v>257</v>
      </c>
      <c r="CJ373" s="5" t="s">
        <v>238</v>
      </c>
      <c r="CK373" s="5" t="s">
        <v>258</v>
      </c>
      <c r="CL373" s="5" t="s">
        <v>238</v>
      </c>
      <c r="CM373" s="5" t="s">
        <v>238</v>
      </c>
      <c r="CN373" s="5">
        <v>0</v>
      </c>
      <c r="CO373" s="5" t="s">
        <v>259</v>
      </c>
      <c r="CP373" s="5" t="s">
        <v>260</v>
      </c>
      <c r="CQ373" s="5" t="s">
        <v>260</v>
      </c>
      <c r="CR373" s="5" t="s">
        <v>261</v>
      </c>
      <c r="CU373" s="8">
        <f>467365</f>
        <v>467365</v>
      </c>
      <c r="CV373" s="8">
        <f>0</f>
        <v>0</v>
      </c>
      <c r="CX373" s="8">
        <f>0</f>
        <v>0</v>
      </c>
      <c r="CY373" s="8">
        <f>467365</f>
        <v>467365</v>
      </c>
      <c r="DA373" s="5" t="s">
        <v>2032</v>
      </c>
      <c r="DB373" s="5" t="s">
        <v>238</v>
      </c>
      <c r="DD373" s="5" t="s">
        <v>2211</v>
      </c>
      <c r="DE373" s="8">
        <f>211</f>
        <v>211</v>
      </c>
      <c r="DG373" s="5" t="s">
        <v>389</v>
      </c>
      <c r="DH373" s="5" t="s">
        <v>238</v>
      </c>
      <c r="DI373" s="5" t="s">
        <v>238</v>
      </c>
      <c r="DJ373" s="5" t="s">
        <v>238</v>
      </c>
      <c r="DN373" s="5" t="s">
        <v>238</v>
      </c>
      <c r="DO373" s="5" t="s">
        <v>238</v>
      </c>
      <c r="DP373" s="5" t="s">
        <v>238</v>
      </c>
      <c r="DQ373" s="5" t="s">
        <v>238</v>
      </c>
      <c r="DT373" s="5" t="s">
        <v>5911</v>
      </c>
      <c r="DU373" s="5" t="s">
        <v>854</v>
      </c>
      <c r="HM373" s="5" t="s">
        <v>264</v>
      </c>
    </row>
    <row r="374" spans="1:221" x14ac:dyDescent="0.4">
      <c r="A374" s="5">
        <v>1109</v>
      </c>
      <c r="B374" s="5">
        <v>1</v>
      </c>
      <c r="C374" s="5">
        <v>1</v>
      </c>
      <c r="D374" s="5" t="s">
        <v>5909</v>
      </c>
      <c r="E374" s="5" t="s">
        <v>437</v>
      </c>
      <c r="F374" s="5" t="s">
        <v>248</v>
      </c>
      <c r="G374" s="5" t="s">
        <v>5908</v>
      </c>
      <c r="H374" s="6" t="s">
        <v>5914</v>
      </c>
      <c r="I374" s="7">
        <f>353</f>
        <v>353</v>
      </c>
      <c r="J374" s="5" t="s">
        <v>262</v>
      </c>
      <c r="K374" s="8">
        <f>781895</f>
        <v>781895</v>
      </c>
      <c r="L374" s="6" t="s">
        <v>242</v>
      </c>
      <c r="M374" s="5" t="s">
        <v>267</v>
      </c>
      <c r="N374" s="5" t="s">
        <v>237</v>
      </c>
      <c r="O374" s="5" t="s">
        <v>238</v>
      </c>
      <c r="P374" s="5" t="s">
        <v>238</v>
      </c>
      <c r="Q374" s="5" t="s">
        <v>239</v>
      </c>
      <c r="R374" s="5" t="s">
        <v>270</v>
      </c>
      <c r="S374" s="5" t="s">
        <v>238</v>
      </c>
      <c r="V374" s="5" t="s">
        <v>238</v>
      </c>
      <c r="X374" s="6" t="s">
        <v>238</v>
      </c>
      <c r="AA374" s="6" t="s">
        <v>243</v>
      </c>
      <c r="AB374" s="5" t="s">
        <v>238</v>
      </c>
      <c r="AC374" s="5" t="s">
        <v>244</v>
      </c>
      <c r="AD374" s="5" t="s">
        <v>245</v>
      </c>
      <c r="AT374" s="5" t="s">
        <v>246</v>
      </c>
      <c r="AU374" s="5" t="s">
        <v>238</v>
      </c>
      <c r="AV374" s="5" t="s">
        <v>247</v>
      </c>
      <c r="AW374" s="5" t="s">
        <v>238</v>
      </c>
      <c r="AX374" s="5" t="s">
        <v>249</v>
      </c>
      <c r="AY374" s="5" t="s">
        <v>238</v>
      </c>
      <c r="BA374" s="5" t="s">
        <v>238</v>
      </c>
      <c r="BC374" s="5" t="s">
        <v>250</v>
      </c>
      <c r="BD374" s="6" t="s">
        <v>243</v>
      </c>
      <c r="BE374" s="5" t="s">
        <v>251</v>
      </c>
      <c r="BF374" s="5" t="s">
        <v>252</v>
      </c>
      <c r="BG374" s="5" t="s">
        <v>238</v>
      </c>
      <c r="BH374" s="7">
        <f>0</f>
        <v>0</v>
      </c>
      <c r="BI374" s="8">
        <f>0</f>
        <v>0</v>
      </c>
      <c r="BJ374" s="5" t="s">
        <v>253</v>
      </c>
      <c r="BK374" s="5" t="s">
        <v>254</v>
      </c>
      <c r="BY374" s="5" t="s">
        <v>238</v>
      </c>
      <c r="BZ374" s="5" t="s">
        <v>238</v>
      </c>
      <c r="CD374" s="5" t="s">
        <v>255</v>
      </c>
      <c r="CE374" s="5" t="s">
        <v>256</v>
      </c>
      <c r="CF374" s="5" t="s">
        <v>238</v>
      </c>
      <c r="CI374" s="6" t="s">
        <v>257</v>
      </c>
      <c r="CJ374" s="5" t="s">
        <v>238</v>
      </c>
      <c r="CK374" s="5" t="s">
        <v>258</v>
      </c>
      <c r="CL374" s="5" t="s">
        <v>238</v>
      </c>
      <c r="CM374" s="5" t="s">
        <v>238</v>
      </c>
      <c r="CN374" s="5">
        <v>0</v>
      </c>
      <c r="CO374" s="5" t="s">
        <v>259</v>
      </c>
      <c r="CP374" s="5" t="s">
        <v>260</v>
      </c>
      <c r="CQ374" s="5" t="s">
        <v>260</v>
      </c>
      <c r="CR374" s="5" t="s">
        <v>261</v>
      </c>
      <c r="CU374" s="8">
        <f>781895</f>
        <v>781895</v>
      </c>
      <c r="CV374" s="8">
        <f>0</f>
        <v>0</v>
      </c>
      <c r="CX374" s="8">
        <f>0</f>
        <v>0</v>
      </c>
      <c r="CY374" s="8">
        <f>781895</f>
        <v>781895</v>
      </c>
      <c r="DA374" s="5" t="s">
        <v>2032</v>
      </c>
      <c r="DB374" s="5" t="s">
        <v>238</v>
      </c>
      <c r="DD374" s="5" t="s">
        <v>2211</v>
      </c>
      <c r="DE374" s="8">
        <f>353</f>
        <v>353</v>
      </c>
      <c r="DG374" s="5" t="s">
        <v>389</v>
      </c>
      <c r="DH374" s="5" t="s">
        <v>238</v>
      </c>
      <c r="DI374" s="5" t="s">
        <v>238</v>
      </c>
      <c r="DJ374" s="5" t="s">
        <v>238</v>
      </c>
      <c r="DN374" s="5" t="s">
        <v>238</v>
      </c>
      <c r="DO374" s="5" t="s">
        <v>238</v>
      </c>
      <c r="DP374" s="5" t="s">
        <v>238</v>
      </c>
      <c r="DQ374" s="5" t="s">
        <v>238</v>
      </c>
      <c r="DT374" s="5" t="s">
        <v>5911</v>
      </c>
      <c r="DU374" s="5" t="s">
        <v>911</v>
      </c>
      <c r="HM374" s="5" t="s">
        <v>264</v>
      </c>
    </row>
    <row r="375" spans="1:221" x14ac:dyDescent="0.4">
      <c r="A375" s="5">
        <v>1110</v>
      </c>
      <c r="B375" s="5">
        <v>1</v>
      </c>
      <c r="C375" s="5">
        <v>1</v>
      </c>
      <c r="D375" s="5" t="s">
        <v>5909</v>
      </c>
      <c r="E375" s="5" t="s">
        <v>437</v>
      </c>
      <c r="F375" s="5" t="s">
        <v>248</v>
      </c>
      <c r="G375" s="5" t="s">
        <v>5908</v>
      </c>
      <c r="H375" s="6" t="s">
        <v>5915</v>
      </c>
      <c r="I375" s="7">
        <f>347</f>
        <v>347</v>
      </c>
      <c r="J375" s="5" t="s">
        <v>262</v>
      </c>
      <c r="K375" s="8">
        <f>768605</f>
        <v>768605</v>
      </c>
      <c r="L375" s="6" t="s">
        <v>242</v>
      </c>
      <c r="M375" s="5" t="s">
        <v>267</v>
      </c>
      <c r="N375" s="5" t="s">
        <v>237</v>
      </c>
      <c r="O375" s="5" t="s">
        <v>238</v>
      </c>
      <c r="P375" s="5" t="s">
        <v>238</v>
      </c>
      <c r="Q375" s="5" t="s">
        <v>239</v>
      </c>
      <c r="R375" s="5" t="s">
        <v>270</v>
      </c>
      <c r="S375" s="5" t="s">
        <v>238</v>
      </c>
      <c r="V375" s="5" t="s">
        <v>238</v>
      </c>
      <c r="X375" s="6" t="s">
        <v>238</v>
      </c>
      <c r="AA375" s="6" t="s">
        <v>243</v>
      </c>
      <c r="AB375" s="5" t="s">
        <v>238</v>
      </c>
      <c r="AC375" s="5" t="s">
        <v>244</v>
      </c>
      <c r="AD375" s="5" t="s">
        <v>245</v>
      </c>
      <c r="AT375" s="5" t="s">
        <v>246</v>
      </c>
      <c r="AU375" s="5" t="s">
        <v>238</v>
      </c>
      <c r="AV375" s="5" t="s">
        <v>247</v>
      </c>
      <c r="AW375" s="5" t="s">
        <v>238</v>
      </c>
      <c r="AX375" s="5" t="s">
        <v>249</v>
      </c>
      <c r="AY375" s="5" t="s">
        <v>238</v>
      </c>
      <c r="BA375" s="5" t="s">
        <v>238</v>
      </c>
      <c r="BC375" s="5" t="s">
        <v>250</v>
      </c>
      <c r="BD375" s="6" t="s">
        <v>243</v>
      </c>
      <c r="BE375" s="5" t="s">
        <v>251</v>
      </c>
      <c r="BF375" s="5" t="s">
        <v>252</v>
      </c>
      <c r="BG375" s="5" t="s">
        <v>238</v>
      </c>
      <c r="BH375" s="7">
        <f>0</f>
        <v>0</v>
      </c>
      <c r="BI375" s="8">
        <f>0</f>
        <v>0</v>
      </c>
      <c r="BJ375" s="5" t="s">
        <v>253</v>
      </c>
      <c r="BK375" s="5" t="s">
        <v>254</v>
      </c>
      <c r="BY375" s="5" t="s">
        <v>238</v>
      </c>
      <c r="BZ375" s="5" t="s">
        <v>238</v>
      </c>
      <c r="CD375" s="5" t="s">
        <v>255</v>
      </c>
      <c r="CE375" s="5" t="s">
        <v>256</v>
      </c>
      <c r="CF375" s="5" t="s">
        <v>238</v>
      </c>
      <c r="CI375" s="6" t="s">
        <v>257</v>
      </c>
      <c r="CJ375" s="5" t="s">
        <v>238</v>
      </c>
      <c r="CK375" s="5" t="s">
        <v>258</v>
      </c>
      <c r="CL375" s="5" t="s">
        <v>238</v>
      </c>
      <c r="CM375" s="5" t="s">
        <v>238</v>
      </c>
      <c r="CN375" s="5">
        <v>0</v>
      </c>
      <c r="CO375" s="5" t="s">
        <v>259</v>
      </c>
      <c r="CP375" s="5" t="s">
        <v>260</v>
      </c>
      <c r="CQ375" s="5" t="s">
        <v>260</v>
      </c>
      <c r="CR375" s="5" t="s">
        <v>261</v>
      </c>
      <c r="CU375" s="8">
        <f>768605</f>
        <v>768605</v>
      </c>
      <c r="CV375" s="8">
        <f>0</f>
        <v>0</v>
      </c>
      <c r="CX375" s="8">
        <f>0</f>
        <v>0</v>
      </c>
      <c r="CY375" s="8">
        <f>768605</f>
        <v>768605</v>
      </c>
      <c r="DA375" s="5" t="s">
        <v>2032</v>
      </c>
      <c r="DB375" s="5" t="s">
        <v>238</v>
      </c>
      <c r="DD375" s="5" t="s">
        <v>2211</v>
      </c>
      <c r="DE375" s="8">
        <f>347</f>
        <v>347</v>
      </c>
      <c r="DG375" s="5" t="s">
        <v>389</v>
      </c>
      <c r="DH375" s="5" t="s">
        <v>238</v>
      </c>
      <c r="DI375" s="5" t="s">
        <v>238</v>
      </c>
      <c r="DJ375" s="5" t="s">
        <v>238</v>
      </c>
      <c r="DN375" s="5" t="s">
        <v>238</v>
      </c>
      <c r="DO375" s="5" t="s">
        <v>238</v>
      </c>
      <c r="DP375" s="5" t="s">
        <v>238</v>
      </c>
      <c r="DQ375" s="5" t="s">
        <v>238</v>
      </c>
      <c r="DT375" s="5" t="s">
        <v>5911</v>
      </c>
      <c r="DU375" s="5" t="s">
        <v>967</v>
      </c>
      <c r="HM375" s="5" t="s">
        <v>264</v>
      </c>
    </row>
    <row r="376" spans="1:221" x14ac:dyDescent="0.4">
      <c r="A376" s="5">
        <v>1111</v>
      </c>
      <c r="B376" s="5">
        <v>1</v>
      </c>
      <c r="C376" s="5">
        <v>1</v>
      </c>
      <c r="D376" s="5" t="s">
        <v>5909</v>
      </c>
      <c r="E376" s="5" t="s">
        <v>437</v>
      </c>
      <c r="F376" s="5" t="s">
        <v>248</v>
      </c>
      <c r="G376" s="5" t="s">
        <v>5908</v>
      </c>
      <c r="H376" s="6" t="s">
        <v>5910</v>
      </c>
      <c r="I376" s="7">
        <f>505</f>
        <v>505</v>
      </c>
      <c r="J376" s="5" t="s">
        <v>262</v>
      </c>
      <c r="K376" s="8">
        <f>1118575</f>
        <v>1118575</v>
      </c>
      <c r="L376" s="6" t="s">
        <v>242</v>
      </c>
      <c r="M376" s="5" t="s">
        <v>267</v>
      </c>
      <c r="N376" s="5" t="s">
        <v>237</v>
      </c>
      <c r="O376" s="5" t="s">
        <v>238</v>
      </c>
      <c r="P376" s="5" t="s">
        <v>238</v>
      </c>
      <c r="Q376" s="5" t="s">
        <v>239</v>
      </c>
      <c r="R376" s="5" t="s">
        <v>270</v>
      </c>
      <c r="S376" s="5" t="s">
        <v>238</v>
      </c>
      <c r="V376" s="5" t="s">
        <v>238</v>
      </c>
      <c r="X376" s="6" t="s">
        <v>238</v>
      </c>
      <c r="AA376" s="6" t="s">
        <v>243</v>
      </c>
      <c r="AB376" s="5" t="s">
        <v>238</v>
      </c>
      <c r="AC376" s="5" t="s">
        <v>244</v>
      </c>
      <c r="AD376" s="5" t="s">
        <v>245</v>
      </c>
      <c r="AT376" s="5" t="s">
        <v>246</v>
      </c>
      <c r="AU376" s="5" t="s">
        <v>238</v>
      </c>
      <c r="AV376" s="5" t="s">
        <v>247</v>
      </c>
      <c r="AW376" s="5" t="s">
        <v>238</v>
      </c>
      <c r="AX376" s="5" t="s">
        <v>249</v>
      </c>
      <c r="AY376" s="5" t="s">
        <v>238</v>
      </c>
      <c r="BA376" s="5" t="s">
        <v>238</v>
      </c>
      <c r="BC376" s="5" t="s">
        <v>250</v>
      </c>
      <c r="BD376" s="6" t="s">
        <v>243</v>
      </c>
      <c r="BE376" s="5" t="s">
        <v>251</v>
      </c>
      <c r="BF376" s="5" t="s">
        <v>252</v>
      </c>
      <c r="BG376" s="5" t="s">
        <v>238</v>
      </c>
      <c r="BH376" s="7">
        <f>0</f>
        <v>0</v>
      </c>
      <c r="BI376" s="8">
        <f>0</f>
        <v>0</v>
      </c>
      <c r="BJ376" s="5" t="s">
        <v>253</v>
      </c>
      <c r="BK376" s="5" t="s">
        <v>254</v>
      </c>
      <c r="BY376" s="5" t="s">
        <v>238</v>
      </c>
      <c r="BZ376" s="5" t="s">
        <v>238</v>
      </c>
      <c r="CD376" s="5" t="s">
        <v>255</v>
      </c>
      <c r="CE376" s="5" t="s">
        <v>256</v>
      </c>
      <c r="CF376" s="5" t="s">
        <v>238</v>
      </c>
      <c r="CI376" s="6" t="s">
        <v>257</v>
      </c>
      <c r="CJ376" s="5" t="s">
        <v>238</v>
      </c>
      <c r="CK376" s="5" t="s">
        <v>258</v>
      </c>
      <c r="CL376" s="5" t="s">
        <v>238</v>
      </c>
      <c r="CM376" s="5" t="s">
        <v>238</v>
      </c>
      <c r="CN376" s="5">
        <v>0</v>
      </c>
      <c r="CO376" s="5" t="s">
        <v>259</v>
      </c>
      <c r="CP376" s="5" t="s">
        <v>260</v>
      </c>
      <c r="CQ376" s="5" t="s">
        <v>260</v>
      </c>
      <c r="CR376" s="5" t="s">
        <v>261</v>
      </c>
      <c r="CU376" s="8">
        <f>1118575</f>
        <v>1118575</v>
      </c>
      <c r="CV376" s="8">
        <f>0</f>
        <v>0</v>
      </c>
      <c r="CX376" s="8">
        <f>0</f>
        <v>0</v>
      </c>
      <c r="CY376" s="8">
        <f>1118575</f>
        <v>1118575</v>
      </c>
      <c r="DA376" s="5" t="s">
        <v>2032</v>
      </c>
      <c r="DB376" s="5" t="s">
        <v>238</v>
      </c>
      <c r="DD376" s="5" t="s">
        <v>2211</v>
      </c>
      <c r="DE376" s="8">
        <f>505</f>
        <v>505</v>
      </c>
      <c r="DG376" s="5" t="s">
        <v>389</v>
      </c>
      <c r="DH376" s="5" t="s">
        <v>238</v>
      </c>
      <c r="DI376" s="5" t="s">
        <v>238</v>
      </c>
      <c r="DJ376" s="5" t="s">
        <v>238</v>
      </c>
      <c r="DN376" s="5" t="s">
        <v>238</v>
      </c>
      <c r="DO376" s="5" t="s">
        <v>238</v>
      </c>
      <c r="DP376" s="5" t="s">
        <v>238</v>
      </c>
      <c r="DQ376" s="5" t="s">
        <v>238</v>
      </c>
      <c r="DT376" s="5" t="s">
        <v>5911</v>
      </c>
      <c r="DU376" s="5" t="s">
        <v>1376</v>
      </c>
      <c r="HM376" s="5" t="s">
        <v>264</v>
      </c>
    </row>
    <row r="377" spans="1:221" x14ac:dyDescent="0.4">
      <c r="A377" s="5">
        <v>1112</v>
      </c>
      <c r="B377" s="5">
        <v>1</v>
      </c>
      <c r="C377" s="5">
        <v>1</v>
      </c>
      <c r="D377" s="5" t="s">
        <v>5909</v>
      </c>
      <c r="E377" s="5" t="s">
        <v>437</v>
      </c>
      <c r="F377" s="5" t="s">
        <v>248</v>
      </c>
      <c r="G377" s="5" t="s">
        <v>5908</v>
      </c>
      <c r="H377" s="6" t="s">
        <v>6502</v>
      </c>
      <c r="I377" s="7">
        <f>889</f>
        <v>889</v>
      </c>
      <c r="J377" s="5" t="s">
        <v>262</v>
      </c>
      <c r="K377" s="8">
        <f>1969135</f>
        <v>1969135</v>
      </c>
      <c r="L377" s="6" t="s">
        <v>242</v>
      </c>
      <c r="M377" s="5" t="s">
        <v>267</v>
      </c>
      <c r="N377" s="5" t="s">
        <v>237</v>
      </c>
      <c r="O377" s="5" t="s">
        <v>238</v>
      </c>
      <c r="P377" s="5" t="s">
        <v>238</v>
      </c>
      <c r="Q377" s="5" t="s">
        <v>239</v>
      </c>
      <c r="R377" s="5" t="s">
        <v>270</v>
      </c>
      <c r="S377" s="5" t="s">
        <v>238</v>
      </c>
      <c r="V377" s="5" t="s">
        <v>238</v>
      </c>
      <c r="X377" s="6" t="s">
        <v>238</v>
      </c>
      <c r="AA377" s="6" t="s">
        <v>243</v>
      </c>
      <c r="AB377" s="5" t="s">
        <v>238</v>
      </c>
      <c r="AC377" s="5" t="s">
        <v>244</v>
      </c>
      <c r="AD377" s="5" t="s">
        <v>245</v>
      </c>
      <c r="AT377" s="5" t="s">
        <v>246</v>
      </c>
      <c r="AU377" s="5" t="s">
        <v>238</v>
      </c>
      <c r="AV377" s="5" t="s">
        <v>247</v>
      </c>
      <c r="AW377" s="5" t="s">
        <v>238</v>
      </c>
      <c r="AX377" s="5" t="s">
        <v>249</v>
      </c>
      <c r="AY377" s="5" t="s">
        <v>238</v>
      </c>
      <c r="BA377" s="5" t="s">
        <v>238</v>
      </c>
      <c r="BC377" s="5" t="s">
        <v>250</v>
      </c>
      <c r="BD377" s="6" t="s">
        <v>243</v>
      </c>
      <c r="BE377" s="5" t="s">
        <v>251</v>
      </c>
      <c r="BF377" s="5" t="s">
        <v>252</v>
      </c>
      <c r="BG377" s="5" t="s">
        <v>238</v>
      </c>
      <c r="BH377" s="7">
        <f>0</f>
        <v>0</v>
      </c>
      <c r="BI377" s="8">
        <f>0</f>
        <v>0</v>
      </c>
      <c r="BJ377" s="5" t="s">
        <v>253</v>
      </c>
      <c r="BK377" s="5" t="s">
        <v>254</v>
      </c>
      <c r="BY377" s="5" t="s">
        <v>238</v>
      </c>
      <c r="BZ377" s="5" t="s">
        <v>238</v>
      </c>
      <c r="CD377" s="5" t="s">
        <v>255</v>
      </c>
      <c r="CE377" s="5" t="s">
        <v>256</v>
      </c>
      <c r="CF377" s="5" t="s">
        <v>238</v>
      </c>
      <c r="CI377" s="6" t="s">
        <v>257</v>
      </c>
      <c r="CJ377" s="5" t="s">
        <v>238</v>
      </c>
      <c r="CK377" s="5" t="s">
        <v>258</v>
      </c>
      <c r="CL377" s="5" t="s">
        <v>238</v>
      </c>
      <c r="CM377" s="5" t="s">
        <v>238</v>
      </c>
      <c r="CN377" s="5">
        <v>0</v>
      </c>
      <c r="CO377" s="5" t="s">
        <v>259</v>
      </c>
      <c r="CP377" s="5" t="s">
        <v>260</v>
      </c>
      <c r="CQ377" s="5" t="s">
        <v>260</v>
      </c>
      <c r="CR377" s="5" t="s">
        <v>261</v>
      </c>
      <c r="CU377" s="8">
        <f>1969135</f>
        <v>1969135</v>
      </c>
      <c r="CV377" s="8">
        <f>0</f>
        <v>0</v>
      </c>
      <c r="CX377" s="8">
        <f>0</f>
        <v>0</v>
      </c>
      <c r="CY377" s="8">
        <f>1969135</f>
        <v>1969135</v>
      </c>
      <c r="DA377" s="5" t="s">
        <v>2032</v>
      </c>
      <c r="DB377" s="5" t="s">
        <v>238</v>
      </c>
      <c r="DD377" s="5" t="s">
        <v>2211</v>
      </c>
      <c r="DE377" s="8">
        <f>889</f>
        <v>889</v>
      </c>
      <c r="DG377" s="5" t="s">
        <v>389</v>
      </c>
      <c r="DH377" s="5" t="s">
        <v>238</v>
      </c>
      <c r="DI377" s="5" t="s">
        <v>238</v>
      </c>
      <c r="DJ377" s="5" t="s">
        <v>238</v>
      </c>
      <c r="DN377" s="5" t="s">
        <v>238</v>
      </c>
      <c r="DO377" s="5" t="s">
        <v>238</v>
      </c>
      <c r="DP377" s="5" t="s">
        <v>238</v>
      </c>
      <c r="DQ377" s="5" t="s">
        <v>238</v>
      </c>
      <c r="DT377" s="5" t="s">
        <v>5911</v>
      </c>
      <c r="DU377" s="5" t="s">
        <v>1372</v>
      </c>
      <c r="HM377" s="5" t="s">
        <v>264</v>
      </c>
    </row>
    <row r="378" spans="1:221" x14ac:dyDescent="0.4">
      <c r="A378" s="5">
        <v>1113</v>
      </c>
      <c r="B378" s="5">
        <v>1</v>
      </c>
      <c r="C378" s="5">
        <v>1</v>
      </c>
      <c r="D378" s="5" t="s">
        <v>5909</v>
      </c>
      <c r="E378" s="5" t="s">
        <v>437</v>
      </c>
      <c r="F378" s="5" t="s">
        <v>248</v>
      </c>
      <c r="G378" s="5" t="s">
        <v>5908</v>
      </c>
      <c r="H378" s="6" t="s">
        <v>5916</v>
      </c>
      <c r="I378" s="7">
        <f>469</f>
        <v>469</v>
      </c>
      <c r="J378" s="5" t="s">
        <v>262</v>
      </c>
      <c r="K378" s="8">
        <f>1038835</f>
        <v>1038835</v>
      </c>
      <c r="L378" s="6" t="s">
        <v>242</v>
      </c>
      <c r="M378" s="5" t="s">
        <v>267</v>
      </c>
      <c r="N378" s="5" t="s">
        <v>237</v>
      </c>
      <c r="O378" s="5" t="s">
        <v>238</v>
      </c>
      <c r="P378" s="5" t="s">
        <v>238</v>
      </c>
      <c r="Q378" s="5" t="s">
        <v>239</v>
      </c>
      <c r="R378" s="5" t="s">
        <v>270</v>
      </c>
      <c r="S378" s="5" t="s">
        <v>238</v>
      </c>
      <c r="V378" s="5" t="s">
        <v>238</v>
      </c>
      <c r="X378" s="6" t="s">
        <v>238</v>
      </c>
      <c r="AA378" s="6" t="s">
        <v>243</v>
      </c>
      <c r="AB378" s="5" t="s">
        <v>238</v>
      </c>
      <c r="AC378" s="5" t="s">
        <v>244</v>
      </c>
      <c r="AD378" s="5" t="s">
        <v>245</v>
      </c>
      <c r="AT378" s="5" t="s">
        <v>246</v>
      </c>
      <c r="AU378" s="5" t="s">
        <v>238</v>
      </c>
      <c r="AV378" s="5" t="s">
        <v>247</v>
      </c>
      <c r="AW378" s="5" t="s">
        <v>238</v>
      </c>
      <c r="AX378" s="5" t="s">
        <v>249</v>
      </c>
      <c r="AY378" s="5" t="s">
        <v>238</v>
      </c>
      <c r="BA378" s="5" t="s">
        <v>238</v>
      </c>
      <c r="BC378" s="5" t="s">
        <v>250</v>
      </c>
      <c r="BD378" s="6" t="s">
        <v>243</v>
      </c>
      <c r="BE378" s="5" t="s">
        <v>251</v>
      </c>
      <c r="BF378" s="5" t="s">
        <v>252</v>
      </c>
      <c r="BG378" s="5" t="s">
        <v>238</v>
      </c>
      <c r="BH378" s="7">
        <f>0</f>
        <v>0</v>
      </c>
      <c r="BI378" s="8">
        <f>0</f>
        <v>0</v>
      </c>
      <c r="BJ378" s="5" t="s">
        <v>253</v>
      </c>
      <c r="BK378" s="5" t="s">
        <v>254</v>
      </c>
      <c r="BY378" s="5" t="s">
        <v>238</v>
      </c>
      <c r="BZ378" s="5" t="s">
        <v>238</v>
      </c>
      <c r="CD378" s="5" t="s">
        <v>255</v>
      </c>
      <c r="CE378" s="5" t="s">
        <v>256</v>
      </c>
      <c r="CF378" s="5" t="s">
        <v>238</v>
      </c>
      <c r="CI378" s="6" t="s">
        <v>257</v>
      </c>
      <c r="CJ378" s="5" t="s">
        <v>238</v>
      </c>
      <c r="CK378" s="5" t="s">
        <v>258</v>
      </c>
      <c r="CL378" s="5" t="s">
        <v>238</v>
      </c>
      <c r="CM378" s="5" t="s">
        <v>238</v>
      </c>
      <c r="CN378" s="5">
        <v>0</v>
      </c>
      <c r="CO378" s="5" t="s">
        <v>259</v>
      </c>
      <c r="CP378" s="5" t="s">
        <v>260</v>
      </c>
      <c r="CQ378" s="5" t="s">
        <v>260</v>
      </c>
      <c r="CR378" s="5" t="s">
        <v>261</v>
      </c>
      <c r="CU378" s="8">
        <f>1038835</f>
        <v>1038835</v>
      </c>
      <c r="CV378" s="8">
        <f>0</f>
        <v>0</v>
      </c>
      <c r="CX378" s="8">
        <f>0</f>
        <v>0</v>
      </c>
      <c r="CY378" s="8">
        <f>1038835</f>
        <v>1038835</v>
      </c>
      <c r="DA378" s="5" t="s">
        <v>2032</v>
      </c>
      <c r="DB378" s="5" t="s">
        <v>238</v>
      </c>
      <c r="DD378" s="5" t="s">
        <v>2211</v>
      </c>
      <c r="DE378" s="8">
        <f>469</f>
        <v>469</v>
      </c>
      <c r="DG378" s="5" t="s">
        <v>389</v>
      </c>
      <c r="DH378" s="5" t="s">
        <v>238</v>
      </c>
      <c r="DI378" s="5" t="s">
        <v>238</v>
      </c>
      <c r="DJ378" s="5" t="s">
        <v>238</v>
      </c>
      <c r="DN378" s="5" t="s">
        <v>238</v>
      </c>
      <c r="DO378" s="5" t="s">
        <v>238</v>
      </c>
      <c r="DP378" s="5" t="s">
        <v>238</v>
      </c>
      <c r="DQ378" s="5" t="s">
        <v>238</v>
      </c>
      <c r="DT378" s="5" t="s">
        <v>5911</v>
      </c>
      <c r="DU378" s="5" t="s">
        <v>1370</v>
      </c>
      <c r="HM378" s="5" t="s">
        <v>264</v>
      </c>
    </row>
    <row r="379" spans="1:221" x14ac:dyDescent="0.4">
      <c r="A379" s="5">
        <v>1114</v>
      </c>
      <c r="B379" s="5">
        <v>1</v>
      </c>
      <c r="C379" s="5">
        <v>1</v>
      </c>
      <c r="D379" s="5" t="s">
        <v>5909</v>
      </c>
      <c r="E379" s="5" t="s">
        <v>437</v>
      </c>
      <c r="F379" s="5" t="s">
        <v>248</v>
      </c>
      <c r="G379" s="5" t="s">
        <v>5908</v>
      </c>
      <c r="H379" s="6" t="s">
        <v>5917</v>
      </c>
      <c r="I379" s="7">
        <f>963</f>
        <v>963</v>
      </c>
      <c r="J379" s="5" t="s">
        <v>262</v>
      </c>
      <c r="K379" s="8">
        <f>2133045</f>
        <v>2133045</v>
      </c>
      <c r="L379" s="6" t="s">
        <v>242</v>
      </c>
      <c r="M379" s="5" t="s">
        <v>267</v>
      </c>
      <c r="N379" s="5" t="s">
        <v>237</v>
      </c>
      <c r="O379" s="5" t="s">
        <v>238</v>
      </c>
      <c r="P379" s="5" t="s">
        <v>238</v>
      </c>
      <c r="Q379" s="5" t="s">
        <v>239</v>
      </c>
      <c r="R379" s="5" t="s">
        <v>270</v>
      </c>
      <c r="S379" s="5" t="s">
        <v>238</v>
      </c>
      <c r="V379" s="5" t="s">
        <v>238</v>
      </c>
      <c r="X379" s="6" t="s">
        <v>238</v>
      </c>
      <c r="AA379" s="6" t="s">
        <v>243</v>
      </c>
      <c r="AB379" s="5" t="s">
        <v>238</v>
      </c>
      <c r="AC379" s="5" t="s">
        <v>244</v>
      </c>
      <c r="AD379" s="5" t="s">
        <v>245</v>
      </c>
      <c r="AT379" s="5" t="s">
        <v>246</v>
      </c>
      <c r="AU379" s="5" t="s">
        <v>238</v>
      </c>
      <c r="AV379" s="5" t="s">
        <v>247</v>
      </c>
      <c r="AW379" s="5" t="s">
        <v>238</v>
      </c>
      <c r="AX379" s="5" t="s">
        <v>249</v>
      </c>
      <c r="AY379" s="5" t="s">
        <v>238</v>
      </c>
      <c r="BA379" s="5" t="s">
        <v>238</v>
      </c>
      <c r="BC379" s="5" t="s">
        <v>250</v>
      </c>
      <c r="BD379" s="6" t="s">
        <v>243</v>
      </c>
      <c r="BE379" s="5" t="s">
        <v>251</v>
      </c>
      <c r="BF379" s="5" t="s">
        <v>252</v>
      </c>
      <c r="BG379" s="5" t="s">
        <v>238</v>
      </c>
      <c r="BH379" s="7">
        <f>0</f>
        <v>0</v>
      </c>
      <c r="BI379" s="8">
        <f>0</f>
        <v>0</v>
      </c>
      <c r="BJ379" s="5" t="s">
        <v>253</v>
      </c>
      <c r="BK379" s="5" t="s">
        <v>254</v>
      </c>
      <c r="BY379" s="5" t="s">
        <v>238</v>
      </c>
      <c r="BZ379" s="5" t="s">
        <v>238</v>
      </c>
      <c r="CD379" s="5" t="s">
        <v>255</v>
      </c>
      <c r="CE379" s="5" t="s">
        <v>256</v>
      </c>
      <c r="CF379" s="5" t="s">
        <v>238</v>
      </c>
      <c r="CI379" s="6" t="s">
        <v>257</v>
      </c>
      <c r="CJ379" s="5" t="s">
        <v>238</v>
      </c>
      <c r="CK379" s="5" t="s">
        <v>258</v>
      </c>
      <c r="CL379" s="5" t="s">
        <v>238</v>
      </c>
      <c r="CM379" s="5" t="s">
        <v>238</v>
      </c>
      <c r="CN379" s="5">
        <v>0</v>
      </c>
      <c r="CO379" s="5" t="s">
        <v>259</v>
      </c>
      <c r="CP379" s="5" t="s">
        <v>260</v>
      </c>
      <c r="CQ379" s="5" t="s">
        <v>260</v>
      </c>
      <c r="CR379" s="5" t="s">
        <v>261</v>
      </c>
      <c r="CU379" s="8">
        <f>2133045</f>
        <v>2133045</v>
      </c>
      <c r="CV379" s="8">
        <f>0</f>
        <v>0</v>
      </c>
      <c r="CX379" s="8">
        <f>0</f>
        <v>0</v>
      </c>
      <c r="CY379" s="8">
        <f>2133045</f>
        <v>2133045</v>
      </c>
      <c r="DA379" s="5" t="s">
        <v>2032</v>
      </c>
      <c r="DB379" s="5" t="s">
        <v>238</v>
      </c>
      <c r="DD379" s="5" t="s">
        <v>2211</v>
      </c>
      <c r="DE379" s="8">
        <f>963</f>
        <v>963</v>
      </c>
      <c r="DG379" s="5" t="s">
        <v>389</v>
      </c>
      <c r="DH379" s="5" t="s">
        <v>238</v>
      </c>
      <c r="DI379" s="5" t="s">
        <v>238</v>
      </c>
      <c r="DJ379" s="5" t="s">
        <v>238</v>
      </c>
      <c r="DN379" s="5" t="s">
        <v>238</v>
      </c>
      <c r="DO379" s="5" t="s">
        <v>238</v>
      </c>
      <c r="DP379" s="5" t="s">
        <v>238</v>
      </c>
      <c r="DQ379" s="5" t="s">
        <v>238</v>
      </c>
      <c r="DT379" s="5" t="s">
        <v>5911</v>
      </c>
      <c r="DU379" s="5" t="s">
        <v>1364</v>
      </c>
      <c r="HM379" s="5" t="s">
        <v>264</v>
      </c>
    </row>
    <row r="380" spans="1:221" x14ac:dyDescent="0.4">
      <c r="A380" s="5">
        <v>1115</v>
      </c>
      <c r="B380" s="5">
        <v>1</v>
      </c>
      <c r="C380" s="5">
        <v>1</v>
      </c>
      <c r="D380" s="5" t="s">
        <v>5909</v>
      </c>
      <c r="E380" s="5" t="s">
        <v>437</v>
      </c>
      <c r="F380" s="5" t="s">
        <v>248</v>
      </c>
      <c r="G380" s="5" t="s">
        <v>5908</v>
      </c>
      <c r="H380" s="6" t="s">
        <v>5918</v>
      </c>
      <c r="I380" s="7">
        <f>933</f>
        <v>933</v>
      </c>
      <c r="J380" s="5" t="s">
        <v>262</v>
      </c>
      <c r="K380" s="8">
        <f>2066595</f>
        <v>2066595</v>
      </c>
      <c r="L380" s="6" t="s">
        <v>242</v>
      </c>
      <c r="M380" s="5" t="s">
        <v>267</v>
      </c>
      <c r="N380" s="5" t="s">
        <v>237</v>
      </c>
      <c r="O380" s="5" t="s">
        <v>238</v>
      </c>
      <c r="P380" s="5" t="s">
        <v>238</v>
      </c>
      <c r="Q380" s="5" t="s">
        <v>239</v>
      </c>
      <c r="R380" s="5" t="s">
        <v>270</v>
      </c>
      <c r="S380" s="5" t="s">
        <v>238</v>
      </c>
      <c r="V380" s="5" t="s">
        <v>238</v>
      </c>
      <c r="X380" s="6" t="s">
        <v>238</v>
      </c>
      <c r="AA380" s="6" t="s">
        <v>243</v>
      </c>
      <c r="AB380" s="5" t="s">
        <v>238</v>
      </c>
      <c r="AC380" s="5" t="s">
        <v>244</v>
      </c>
      <c r="AD380" s="5" t="s">
        <v>245</v>
      </c>
      <c r="AT380" s="5" t="s">
        <v>246</v>
      </c>
      <c r="AU380" s="5" t="s">
        <v>238</v>
      </c>
      <c r="AV380" s="5" t="s">
        <v>247</v>
      </c>
      <c r="AW380" s="5" t="s">
        <v>238</v>
      </c>
      <c r="AX380" s="5" t="s">
        <v>249</v>
      </c>
      <c r="AY380" s="5" t="s">
        <v>238</v>
      </c>
      <c r="BA380" s="5" t="s">
        <v>238</v>
      </c>
      <c r="BC380" s="5" t="s">
        <v>250</v>
      </c>
      <c r="BD380" s="6" t="s">
        <v>243</v>
      </c>
      <c r="BE380" s="5" t="s">
        <v>251</v>
      </c>
      <c r="BF380" s="5" t="s">
        <v>252</v>
      </c>
      <c r="BG380" s="5" t="s">
        <v>238</v>
      </c>
      <c r="BH380" s="7">
        <f>0</f>
        <v>0</v>
      </c>
      <c r="BI380" s="8">
        <f>0</f>
        <v>0</v>
      </c>
      <c r="BJ380" s="5" t="s">
        <v>253</v>
      </c>
      <c r="BK380" s="5" t="s">
        <v>254</v>
      </c>
      <c r="BY380" s="5" t="s">
        <v>238</v>
      </c>
      <c r="BZ380" s="5" t="s">
        <v>238</v>
      </c>
      <c r="CD380" s="5" t="s">
        <v>255</v>
      </c>
      <c r="CE380" s="5" t="s">
        <v>256</v>
      </c>
      <c r="CF380" s="5" t="s">
        <v>238</v>
      </c>
      <c r="CI380" s="6" t="s">
        <v>257</v>
      </c>
      <c r="CJ380" s="5" t="s">
        <v>238</v>
      </c>
      <c r="CK380" s="5" t="s">
        <v>258</v>
      </c>
      <c r="CL380" s="5" t="s">
        <v>238</v>
      </c>
      <c r="CM380" s="5" t="s">
        <v>238</v>
      </c>
      <c r="CN380" s="5">
        <v>0</v>
      </c>
      <c r="CO380" s="5" t="s">
        <v>259</v>
      </c>
      <c r="CP380" s="5" t="s">
        <v>260</v>
      </c>
      <c r="CQ380" s="5" t="s">
        <v>260</v>
      </c>
      <c r="CR380" s="5" t="s">
        <v>261</v>
      </c>
      <c r="CU380" s="8">
        <f>2066595</f>
        <v>2066595</v>
      </c>
      <c r="CV380" s="8">
        <f>0</f>
        <v>0</v>
      </c>
      <c r="CX380" s="8">
        <f>0</f>
        <v>0</v>
      </c>
      <c r="CY380" s="8">
        <f>2066595</f>
        <v>2066595</v>
      </c>
      <c r="DA380" s="5" t="s">
        <v>2032</v>
      </c>
      <c r="DB380" s="5" t="s">
        <v>238</v>
      </c>
      <c r="DD380" s="5" t="s">
        <v>2211</v>
      </c>
      <c r="DE380" s="8">
        <f>933</f>
        <v>933</v>
      </c>
      <c r="DG380" s="5" t="s">
        <v>389</v>
      </c>
      <c r="DH380" s="5" t="s">
        <v>238</v>
      </c>
      <c r="DI380" s="5" t="s">
        <v>238</v>
      </c>
      <c r="DJ380" s="5" t="s">
        <v>238</v>
      </c>
      <c r="DN380" s="5" t="s">
        <v>238</v>
      </c>
      <c r="DO380" s="5" t="s">
        <v>238</v>
      </c>
      <c r="DP380" s="5" t="s">
        <v>238</v>
      </c>
      <c r="DQ380" s="5" t="s">
        <v>238</v>
      </c>
      <c r="DT380" s="5" t="s">
        <v>5911</v>
      </c>
      <c r="DU380" s="5" t="s">
        <v>1360</v>
      </c>
      <c r="HM380" s="5" t="s">
        <v>264</v>
      </c>
    </row>
    <row r="381" spans="1:221" x14ac:dyDescent="0.4">
      <c r="A381" s="5">
        <v>1116</v>
      </c>
      <c r="B381" s="5">
        <v>1</v>
      </c>
      <c r="C381" s="5">
        <v>1</v>
      </c>
      <c r="D381" s="5" t="s">
        <v>5909</v>
      </c>
      <c r="E381" s="5" t="s">
        <v>437</v>
      </c>
      <c r="F381" s="5" t="s">
        <v>248</v>
      </c>
      <c r="G381" s="5" t="s">
        <v>5908</v>
      </c>
      <c r="H381" s="6" t="s">
        <v>5919</v>
      </c>
      <c r="I381" s="7">
        <f>906</f>
        <v>906</v>
      </c>
      <c r="J381" s="5" t="s">
        <v>262</v>
      </c>
      <c r="K381" s="8">
        <f>2006790</f>
        <v>2006790</v>
      </c>
      <c r="L381" s="6" t="s">
        <v>242</v>
      </c>
      <c r="M381" s="5" t="s">
        <v>267</v>
      </c>
      <c r="N381" s="5" t="s">
        <v>237</v>
      </c>
      <c r="O381" s="5" t="s">
        <v>238</v>
      </c>
      <c r="P381" s="5" t="s">
        <v>238</v>
      </c>
      <c r="Q381" s="5" t="s">
        <v>239</v>
      </c>
      <c r="R381" s="5" t="s">
        <v>270</v>
      </c>
      <c r="S381" s="5" t="s">
        <v>238</v>
      </c>
      <c r="V381" s="5" t="s">
        <v>238</v>
      </c>
      <c r="X381" s="6" t="s">
        <v>238</v>
      </c>
      <c r="AA381" s="6" t="s">
        <v>243</v>
      </c>
      <c r="AB381" s="5" t="s">
        <v>238</v>
      </c>
      <c r="AC381" s="5" t="s">
        <v>244</v>
      </c>
      <c r="AD381" s="5" t="s">
        <v>245</v>
      </c>
      <c r="AT381" s="5" t="s">
        <v>246</v>
      </c>
      <c r="AU381" s="5" t="s">
        <v>238</v>
      </c>
      <c r="AV381" s="5" t="s">
        <v>247</v>
      </c>
      <c r="AW381" s="5" t="s">
        <v>238</v>
      </c>
      <c r="AX381" s="5" t="s">
        <v>249</v>
      </c>
      <c r="AY381" s="5" t="s">
        <v>238</v>
      </c>
      <c r="BA381" s="5" t="s">
        <v>238</v>
      </c>
      <c r="BC381" s="5" t="s">
        <v>250</v>
      </c>
      <c r="BD381" s="6" t="s">
        <v>243</v>
      </c>
      <c r="BE381" s="5" t="s">
        <v>251</v>
      </c>
      <c r="BF381" s="5" t="s">
        <v>252</v>
      </c>
      <c r="BG381" s="5" t="s">
        <v>238</v>
      </c>
      <c r="BH381" s="7">
        <f>0</f>
        <v>0</v>
      </c>
      <c r="BI381" s="8">
        <f>0</f>
        <v>0</v>
      </c>
      <c r="BJ381" s="5" t="s">
        <v>253</v>
      </c>
      <c r="BK381" s="5" t="s">
        <v>254</v>
      </c>
      <c r="BY381" s="5" t="s">
        <v>238</v>
      </c>
      <c r="BZ381" s="5" t="s">
        <v>238</v>
      </c>
      <c r="CD381" s="5" t="s">
        <v>255</v>
      </c>
      <c r="CE381" s="5" t="s">
        <v>256</v>
      </c>
      <c r="CF381" s="5" t="s">
        <v>238</v>
      </c>
      <c r="CI381" s="6" t="s">
        <v>257</v>
      </c>
      <c r="CJ381" s="5" t="s">
        <v>238</v>
      </c>
      <c r="CK381" s="5" t="s">
        <v>258</v>
      </c>
      <c r="CL381" s="5" t="s">
        <v>238</v>
      </c>
      <c r="CM381" s="5" t="s">
        <v>238</v>
      </c>
      <c r="CN381" s="5">
        <v>0</v>
      </c>
      <c r="CO381" s="5" t="s">
        <v>259</v>
      </c>
      <c r="CP381" s="5" t="s">
        <v>260</v>
      </c>
      <c r="CQ381" s="5" t="s">
        <v>260</v>
      </c>
      <c r="CR381" s="5" t="s">
        <v>261</v>
      </c>
      <c r="CU381" s="8">
        <f>2006790</f>
        <v>2006790</v>
      </c>
      <c r="CV381" s="8">
        <f>0</f>
        <v>0</v>
      </c>
      <c r="CX381" s="8">
        <f>0</f>
        <v>0</v>
      </c>
      <c r="CY381" s="8">
        <f>2006790</f>
        <v>2006790</v>
      </c>
      <c r="DA381" s="5" t="s">
        <v>2032</v>
      </c>
      <c r="DB381" s="5" t="s">
        <v>238</v>
      </c>
      <c r="DD381" s="5" t="s">
        <v>357</v>
      </c>
      <c r="DE381" s="8">
        <f>906</f>
        <v>906</v>
      </c>
      <c r="DG381" s="5" t="s">
        <v>389</v>
      </c>
      <c r="DH381" s="5" t="s">
        <v>238</v>
      </c>
      <c r="DI381" s="5" t="s">
        <v>238</v>
      </c>
      <c r="DJ381" s="5" t="s">
        <v>238</v>
      </c>
      <c r="DN381" s="5" t="s">
        <v>238</v>
      </c>
      <c r="DO381" s="5" t="s">
        <v>238</v>
      </c>
      <c r="DP381" s="5" t="s">
        <v>238</v>
      </c>
      <c r="DQ381" s="5" t="s">
        <v>238</v>
      </c>
      <c r="DT381" s="5" t="s">
        <v>5911</v>
      </c>
      <c r="DU381" s="5" t="s">
        <v>1358</v>
      </c>
      <c r="HM381" s="5" t="s">
        <v>264</v>
      </c>
    </row>
    <row r="382" spans="1:221" x14ac:dyDescent="0.4">
      <c r="A382" s="5">
        <v>1117</v>
      </c>
      <c r="B382" s="5">
        <v>1</v>
      </c>
      <c r="C382" s="5">
        <v>1</v>
      </c>
      <c r="D382" s="5" t="s">
        <v>5909</v>
      </c>
      <c r="E382" s="5" t="s">
        <v>437</v>
      </c>
      <c r="F382" s="5" t="s">
        <v>248</v>
      </c>
      <c r="G382" s="5" t="s">
        <v>5908</v>
      </c>
      <c r="H382" s="6" t="s">
        <v>5920</v>
      </c>
      <c r="I382" s="7">
        <f>208</f>
        <v>208</v>
      </c>
      <c r="J382" s="5" t="s">
        <v>262</v>
      </c>
      <c r="K382" s="8">
        <f>460720</f>
        <v>460720</v>
      </c>
      <c r="L382" s="6" t="s">
        <v>242</v>
      </c>
      <c r="M382" s="5" t="s">
        <v>267</v>
      </c>
      <c r="N382" s="5" t="s">
        <v>237</v>
      </c>
      <c r="O382" s="5" t="s">
        <v>238</v>
      </c>
      <c r="P382" s="5" t="s">
        <v>238</v>
      </c>
      <c r="Q382" s="5" t="s">
        <v>239</v>
      </c>
      <c r="R382" s="5" t="s">
        <v>270</v>
      </c>
      <c r="S382" s="5" t="s">
        <v>238</v>
      </c>
      <c r="V382" s="5" t="s">
        <v>238</v>
      </c>
      <c r="X382" s="6" t="s">
        <v>238</v>
      </c>
      <c r="AA382" s="6" t="s">
        <v>243</v>
      </c>
      <c r="AB382" s="5" t="s">
        <v>238</v>
      </c>
      <c r="AC382" s="5" t="s">
        <v>244</v>
      </c>
      <c r="AD382" s="5" t="s">
        <v>245</v>
      </c>
      <c r="AT382" s="5" t="s">
        <v>246</v>
      </c>
      <c r="AU382" s="5" t="s">
        <v>238</v>
      </c>
      <c r="AV382" s="5" t="s">
        <v>247</v>
      </c>
      <c r="AW382" s="5" t="s">
        <v>238</v>
      </c>
      <c r="AX382" s="5" t="s">
        <v>249</v>
      </c>
      <c r="AY382" s="5" t="s">
        <v>238</v>
      </c>
      <c r="BA382" s="5" t="s">
        <v>238</v>
      </c>
      <c r="BC382" s="5" t="s">
        <v>250</v>
      </c>
      <c r="BD382" s="6" t="s">
        <v>243</v>
      </c>
      <c r="BE382" s="5" t="s">
        <v>251</v>
      </c>
      <c r="BF382" s="5" t="s">
        <v>252</v>
      </c>
      <c r="BG382" s="5" t="s">
        <v>238</v>
      </c>
      <c r="BH382" s="7">
        <f>0</f>
        <v>0</v>
      </c>
      <c r="BI382" s="8">
        <f>0</f>
        <v>0</v>
      </c>
      <c r="BJ382" s="5" t="s">
        <v>253</v>
      </c>
      <c r="BK382" s="5" t="s">
        <v>254</v>
      </c>
      <c r="BY382" s="5" t="s">
        <v>238</v>
      </c>
      <c r="BZ382" s="5" t="s">
        <v>238</v>
      </c>
      <c r="CD382" s="5" t="s">
        <v>255</v>
      </c>
      <c r="CE382" s="5" t="s">
        <v>256</v>
      </c>
      <c r="CF382" s="5" t="s">
        <v>238</v>
      </c>
      <c r="CI382" s="6" t="s">
        <v>257</v>
      </c>
      <c r="CJ382" s="5" t="s">
        <v>238</v>
      </c>
      <c r="CK382" s="5" t="s">
        <v>258</v>
      </c>
      <c r="CL382" s="5" t="s">
        <v>238</v>
      </c>
      <c r="CM382" s="5" t="s">
        <v>238</v>
      </c>
      <c r="CN382" s="5">
        <v>0</v>
      </c>
      <c r="CO382" s="5" t="s">
        <v>259</v>
      </c>
      <c r="CP382" s="5" t="s">
        <v>260</v>
      </c>
      <c r="CQ382" s="5" t="s">
        <v>260</v>
      </c>
      <c r="CR382" s="5" t="s">
        <v>261</v>
      </c>
      <c r="CU382" s="8">
        <f>460720</f>
        <v>460720</v>
      </c>
      <c r="CV382" s="8">
        <f>0</f>
        <v>0</v>
      </c>
      <c r="CX382" s="8">
        <f>0</f>
        <v>0</v>
      </c>
      <c r="CY382" s="8">
        <f>460720</f>
        <v>460720</v>
      </c>
      <c r="DA382" s="5" t="s">
        <v>2032</v>
      </c>
      <c r="DB382" s="5" t="s">
        <v>238</v>
      </c>
      <c r="DD382" s="5" t="s">
        <v>357</v>
      </c>
      <c r="DE382" s="8">
        <f>208</f>
        <v>208</v>
      </c>
      <c r="DG382" s="5" t="s">
        <v>389</v>
      </c>
      <c r="DH382" s="5" t="s">
        <v>238</v>
      </c>
      <c r="DI382" s="5" t="s">
        <v>238</v>
      </c>
      <c r="DJ382" s="5" t="s">
        <v>238</v>
      </c>
      <c r="DN382" s="5" t="s">
        <v>238</v>
      </c>
      <c r="DO382" s="5" t="s">
        <v>238</v>
      </c>
      <c r="DP382" s="5" t="s">
        <v>238</v>
      </c>
      <c r="DQ382" s="5" t="s">
        <v>238</v>
      </c>
      <c r="DT382" s="5" t="s">
        <v>5911</v>
      </c>
      <c r="DU382" s="5" t="s">
        <v>976</v>
      </c>
      <c r="HM382" s="5" t="s">
        <v>264</v>
      </c>
    </row>
    <row r="383" spans="1:221" x14ac:dyDescent="0.4">
      <c r="A383" s="5">
        <v>1118</v>
      </c>
      <c r="B383" s="5">
        <v>1</v>
      </c>
      <c r="C383" s="5">
        <v>1</v>
      </c>
      <c r="D383" s="5" t="s">
        <v>5909</v>
      </c>
      <c r="E383" s="5" t="s">
        <v>437</v>
      </c>
      <c r="F383" s="5" t="s">
        <v>248</v>
      </c>
      <c r="G383" s="5" t="s">
        <v>5908</v>
      </c>
      <c r="H383" s="6" t="s">
        <v>5921</v>
      </c>
      <c r="I383" s="7">
        <f>749</f>
        <v>749</v>
      </c>
      <c r="J383" s="5" t="s">
        <v>262</v>
      </c>
      <c r="K383" s="8">
        <f>1659035</f>
        <v>1659035</v>
      </c>
      <c r="L383" s="6" t="s">
        <v>242</v>
      </c>
      <c r="M383" s="5" t="s">
        <v>267</v>
      </c>
      <c r="N383" s="5" t="s">
        <v>237</v>
      </c>
      <c r="O383" s="5" t="s">
        <v>238</v>
      </c>
      <c r="P383" s="5" t="s">
        <v>238</v>
      </c>
      <c r="Q383" s="5" t="s">
        <v>239</v>
      </c>
      <c r="R383" s="5" t="s">
        <v>270</v>
      </c>
      <c r="S383" s="5" t="s">
        <v>238</v>
      </c>
      <c r="V383" s="5" t="s">
        <v>238</v>
      </c>
      <c r="X383" s="6" t="s">
        <v>238</v>
      </c>
      <c r="AA383" s="6" t="s">
        <v>243</v>
      </c>
      <c r="AB383" s="5" t="s">
        <v>238</v>
      </c>
      <c r="AC383" s="5" t="s">
        <v>244</v>
      </c>
      <c r="AD383" s="5" t="s">
        <v>245</v>
      </c>
      <c r="AT383" s="5" t="s">
        <v>246</v>
      </c>
      <c r="AU383" s="5" t="s">
        <v>238</v>
      </c>
      <c r="AV383" s="5" t="s">
        <v>247</v>
      </c>
      <c r="AW383" s="5" t="s">
        <v>238</v>
      </c>
      <c r="AX383" s="5" t="s">
        <v>249</v>
      </c>
      <c r="AY383" s="5" t="s">
        <v>238</v>
      </c>
      <c r="BA383" s="5" t="s">
        <v>238</v>
      </c>
      <c r="BC383" s="5" t="s">
        <v>250</v>
      </c>
      <c r="BD383" s="6" t="s">
        <v>243</v>
      </c>
      <c r="BE383" s="5" t="s">
        <v>251</v>
      </c>
      <c r="BF383" s="5" t="s">
        <v>252</v>
      </c>
      <c r="BG383" s="5" t="s">
        <v>238</v>
      </c>
      <c r="BH383" s="7">
        <f>0</f>
        <v>0</v>
      </c>
      <c r="BI383" s="8">
        <f>0</f>
        <v>0</v>
      </c>
      <c r="BJ383" s="5" t="s">
        <v>253</v>
      </c>
      <c r="BK383" s="5" t="s">
        <v>254</v>
      </c>
      <c r="BY383" s="5" t="s">
        <v>238</v>
      </c>
      <c r="BZ383" s="5" t="s">
        <v>238</v>
      </c>
      <c r="CD383" s="5" t="s">
        <v>255</v>
      </c>
      <c r="CE383" s="5" t="s">
        <v>256</v>
      </c>
      <c r="CF383" s="5" t="s">
        <v>238</v>
      </c>
      <c r="CI383" s="6" t="s">
        <v>257</v>
      </c>
      <c r="CJ383" s="5" t="s">
        <v>238</v>
      </c>
      <c r="CK383" s="5" t="s">
        <v>258</v>
      </c>
      <c r="CL383" s="5" t="s">
        <v>238</v>
      </c>
      <c r="CM383" s="5" t="s">
        <v>238</v>
      </c>
      <c r="CN383" s="5">
        <v>0</v>
      </c>
      <c r="CO383" s="5" t="s">
        <v>259</v>
      </c>
      <c r="CP383" s="5" t="s">
        <v>260</v>
      </c>
      <c r="CQ383" s="5" t="s">
        <v>260</v>
      </c>
      <c r="CR383" s="5" t="s">
        <v>261</v>
      </c>
      <c r="CU383" s="8">
        <f>1659035</f>
        <v>1659035</v>
      </c>
      <c r="CV383" s="8">
        <f>0</f>
        <v>0</v>
      </c>
      <c r="CX383" s="8">
        <f>0</f>
        <v>0</v>
      </c>
      <c r="CY383" s="8">
        <f>1659035</f>
        <v>1659035</v>
      </c>
      <c r="DA383" s="5" t="s">
        <v>2032</v>
      </c>
      <c r="DB383" s="5" t="s">
        <v>238</v>
      </c>
      <c r="DD383" s="5" t="s">
        <v>357</v>
      </c>
      <c r="DE383" s="8">
        <f>749</f>
        <v>749</v>
      </c>
      <c r="DG383" s="5" t="s">
        <v>389</v>
      </c>
      <c r="DH383" s="5" t="s">
        <v>238</v>
      </c>
      <c r="DI383" s="5" t="s">
        <v>238</v>
      </c>
      <c r="DJ383" s="5" t="s">
        <v>238</v>
      </c>
      <c r="DN383" s="5" t="s">
        <v>238</v>
      </c>
      <c r="DO383" s="5" t="s">
        <v>238</v>
      </c>
      <c r="DP383" s="5" t="s">
        <v>238</v>
      </c>
      <c r="DQ383" s="5" t="s">
        <v>238</v>
      </c>
      <c r="DT383" s="5" t="s">
        <v>5911</v>
      </c>
      <c r="DU383" s="5" t="s">
        <v>1354</v>
      </c>
      <c r="HM383" s="5" t="s">
        <v>264</v>
      </c>
    </row>
    <row r="384" spans="1:221" x14ac:dyDescent="0.4">
      <c r="A384" s="5">
        <v>1119</v>
      </c>
      <c r="B384" s="5">
        <v>1</v>
      </c>
      <c r="C384" s="5">
        <v>1</v>
      </c>
      <c r="D384" s="5" t="s">
        <v>5909</v>
      </c>
      <c r="E384" s="5" t="s">
        <v>437</v>
      </c>
      <c r="F384" s="5" t="s">
        <v>248</v>
      </c>
      <c r="G384" s="5" t="s">
        <v>5908</v>
      </c>
      <c r="H384" s="6" t="s">
        <v>5913</v>
      </c>
      <c r="I384" s="7">
        <f>758</f>
        <v>758</v>
      </c>
      <c r="J384" s="5" t="s">
        <v>262</v>
      </c>
      <c r="K384" s="8">
        <f>1678970</f>
        <v>1678970</v>
      </c>
      <c r="L384" s="6" t="s">
        <v>242</v>
      </c>
      <c r="M384" s="5" t="s">
        <v>267</v>
      </c>
      <c r="N384" s="5" t="s">
        <v>237</v>
      </c>
      <c r="O384" s="5" t="s">
        <v>238</v>
      </c>
      <c r="P384" s="5" t="s">
        <v>238</v>
      </c>
      <c r="Q384" s="5" t="s">
        <v>239</v>
      </c>
      <c r="R384" s="5" t="s">
        <v>270</v>
      </c>
      <c r="S384" s="5" t="s">
        <v>238</v>
      </c>
      <c r="V384" s="5" t="s">
        <v>238</v>
      </c>
      <c r="X384" s="6" t="s">
        <v>238</v>
      </c>
      <c r="AA384" s="6" t="s">
        <v>243</v>
      </c>
      <c r="AB384" s="5" t="s">
        <v>238</v>
      </c>
      <c r="AC384" s="5" t="s">
        <v>244</v>
      </c>
      <c r="AD384" s="5" t="s">
        <v>245</v>
      </c>
      <c r="AT384" s="5" t="s">
        <v>246</v>
      </c>
      <c r="AU384" s="5" t="s">
        <v>238</v>
      </c>
      <c r="AV384" s="5" t="s">
        <v>247</v>
      </c>
      <c r="AW384" s="5" t="s">
        <v>238</v>
      </c>
      <c r="AX384" s="5" t="s">
        <v>249</v>
      </c>
      <c r="AY384" s="5" t="s">
        <v>238</v>
      </c>
      <c r="BA384" s="5" t="s">
        <v>238</v>
      </c>
      <c r="BC384" s="5" t="s">
        <v>250</v>
      </c>
      <c r="BD384" s="6" t="s">
        <v>243</v>
      </c>
      <c r="BE384" s="5" t="s">
        <v>251</v>
      </c>
      <c r="BF384" s="5" t="s">
        <v>252</v>
      </c>
      <c r="BG384" s="5" t="s">
        <v>238</v>
      </c>
      <c r="BH384" s="7">
        <f>0</f>
        <v>0</v>
      </c>
      <c r="BI384" s="8">
        <f>0</f>
        <v>0</v>
      </c>
      <c r="BJ384" s="5" t="s">
        <v>253</v>
      </c>
      <c r="BK384" s="5" t="s">
        <v>254</v>
      </c>
      <c r="BY384" s="5" t="s">
        <v>238</v>
      </c>
      <c r="BZ384" s="5" t="s">
        <v>238</v>
      </c>
      <c r="CD384" s="5" t="s">
        <v>255</v>
      </c>
      <c r="CE384" s="5" t="s">
        <v>256</v>
      </c>
      <c r="CF384" s="5" t="s">
        <v>238</v>
      </c>
      <c r="CI384" s="6" t="s">
        <v>257</v>
      </c>
      <c r="CJ384" s="5" t="s">
        <v>238</v>
      </c>
      <c r="CK384" s="5" t="s">
        <v>258</v>
      </c>
      <c r="CL384" s="5" t="s">
        <v>238</v>
      </c>
      <c r="CM384" s="5" t="s">
        <v>238</v>
      </c>
      <c r="CN384" s="5">
        <v>0</v>
      </c>
      <c r="CO384" s="5" t="s">
        <v>259</v>
      </c>
      <c r="CP384" s="5" t="s">
        <v>260</v>
      </c>
      <c r="CQ384" s="5" t="s">
        <v>260</v>
      </c>
      <c r="CR384" s="5" t="s">
        <v>261</v>
      </c>
      <c r="CU384" s="8">
        <f>1678970</f>
        <v>1678970</v>
      </c>
      <c r="CV384" s="8">
        <f>0</f>
        <v>0</v>
      </c>
      <c r="CX384" s="8">
        <f>0</f>
        <v>0</v>
      </c>
      <c r="CY384" s="8">
        <f>1678970</f>
        <v>1678970</v>
      </c>
      <c r="DA384" s="5" t="s">
        <v>2032</v>
      </c>
      <c r="DB384" s="5" t="s">
        <v>238</v>
      </c>
      <c r="DD384" s="5" t="s">
        <v>2211</v>
      </c>
      <c r="DE384" s="8">
        <f>758</f>
        <v>758</v>
      </c>
      <c r="DG384" s="5" t="s">
        <v>389</v>
      </c>
      <c r="DH384" s="5" t="s">
        <v>238</v>
      </c>
      <c r="DI384" s="5" t="s">
        <v>238</v>
      </c>
      <c r="DJ384" s="5" t="s">
        <v>238</v>
      </c>
      <c r="DN384" s="5" t="s">
        <v>238</v>
      </c>
      <c r="DO384" s="5" t="s">
        <v>238</v>
      </c>
      <c r="DP384" s="5" t="s">
        <v>238</v>
      </c>
      <c r="DQ384" s="5" t="s">
        <v>238</v>
      </c>
      <c r="DT384" s="5" t="s">
        <v>5911</v>
      </c>
      <c r="DU384" s="5" t="s">
        <v>1350</v>
      </c>
      <c r="HM384" s="5" t="s">
        <v>264</v>
      </c>
    </row>
    <row r="385" spans="1:221" x14ac:dyDescent="0.4">
      <c r="A385" s="5">
        <v>1120</v>
      </c>
      <c r="B385" s="5">
        <v>1</v>
      </c>
      <c r="C385" s="5">
        <v>1</v>
      </c>
      <c r="D385" s="5" t="s">
        <v>5909</v>
      </c>
      <c r="E385" s="5" t="s">
        <v>437</v>
      </c>
      <c r="F385" s="5" t="s">
        <v>248</v>
      </c>
      <c r="G385" s="5" t="s">
        <v>5908</v>
      </c>
      <c r="H385" s="6" t="s">
        <v>5961</v>
      </c>
      <c r="I385" s="7">
        <f>211</f>
        <v>211</v>
      </c>
      <c r="J385" s="5" t="s">
        <v>262</v>
      </c>
      <c r="K385" s="8">
        <f>467365</f>
        <v>467365</v>
      </c>
      <c r="L385" s="6" t="s">
        <v>242</v>
      </c>
      <c r="M385" s="5" t="s">
        <v>267</v>
      </c>
      <c r="N385" s="5" t="s">
        <v>237</v>
      </c>
      <c r="O385" s="5" t="s">
        <v>238</v>
      </c>
      <c r="P385" s="5" t="s">
        <v>238</v>
      </c>
      <c r="Q385" s="5" t="s">
        <v>239</v>
      </c>
      <c r="R385" s="5" t="s">
        <v>270</v>
      </c>
      <c r="S385" s="5" t="s">
        <v>238</v>
      </c>
      <c r="V385" s="5" t="s">
        <v>238</v>
      </c>
      <c r="X385" s="6" t="s">
        <v>238</v>
      </c>
      <c r="AA385" s="6" t="s">
        <v>243</v>
      </c>
      <c r="AB385" s="5" t="s">
        <v>238</v>
      </c>
      <c r="AC385" s="5" t="s">
        <v>244</v>
      </c>
      <c r="AD385" s="5" t="s">
        <v>245</v>
      </c>
      <c r="AT385" s="5" t="s">
        <v>246</v>
      </c>
      <c r="AU385" s="5" t="s">
        <v>238</v>
      </c>
      <c r="AV385" s="5" t="s">
        <v>247</v>
      </c>
      <c r="AW385" s="5" t="s">
        <v>238</v>
      </c>
      <c r="AX385" s="5" t="s">
        <v>249</v>
      </c>
      <c r="AY385" s="5" t="s">
        <v>238</v>
      </c>
      <c r="BA385" s="5" t="s">
        <v>238</v>
      </c>
      <c r="BC385" s="5" t="s">
        <v>250</v>
      </c>
      <c r="BD385" s="6" t="s">
        <v>243</v>
      </c>
      <c r="BE385" s="5" t="s">
        <v>251</v>
      </c>
      <c r="BF385" s="5" t="s">
        <v>252</v>
      </c>
      <c r="BG385" s="5" t="s">
        <v>238</v>
      </c>
      <c r="BH385" s="7">
        <f>0</f>
        <v>0</v>
      </c>
      <c r="BI385" s="8">
        <f>0</f>
        <v>0</v>
      </c>
      <c r="BJ385" s="5" t="s">
        <v>253</v>
      </c>
      <c r="BK385" s="5" t="s">
        <v>254</v>
      </c>
      <c r="BY385" s="5" t="s">
        <v>238</v>
      </c>
      <c r="BZ385" s="5" t="s">
        <v>238</v>
      </c>
      <c r="CD385" s="5" t="s">
        <v>255</v>
      </c>
      <c r="CE385" s="5" t="s">
        <v>256</v>
      </c>
      <c r="CF385" s="5" t="s">
        <v>238</v>
      </c>
      <c r="CI385" s="6" t="s">
        <v>257</v>
      </c>
      <c r="CJ385" s="5" t="s">
        <v>238</v>
      </c>
      <c r="CK385" s="5" t="s">
        <v>258</v>
      </c>
      <c r="CL385" s="5" t="s">
        <v>238</v>
      </c>
      <c r="CM385" s="5" t="s">
        <v>238</v>
      </c>
      <c r="CN385" s="5">
        <v>0</v>
      </c>
      <c r="CO385" s="5" t="s">
        <v>259</v>
      </c>
      <c r="CP385" s="5" t="s">
        <v>260</v>
      </c>
      <c r="CQ385" s="5" t="s">
        <v>260</v>
      </c>
      <c r="CR385" s="5" t="s">
        <v>261</v>
      </c>
      <c r="CU385" s="8">
        <f>467365</f>
        <v>467365</v>
      </c>
      <c r="CV385" s="8">
        <f>0</f>
        <v>0</v>
      </c>
      <c r="CX385" s="8">
        <f>0</f>
        <v>0</v>
      </c>
      <c r="CY385" s="8">
        <f>467365</f>
        <v>467365</v>
      </c>
      <c r="DA385" s="5" t="s">
        <v>2032</v>
      </c>
      <c r="DB385" s="5" t="s">
        <v>238</v>
      </c>
      <c r="DD385" s="5" t="s">
        <v>357</v>
      </c>
      <c r="DE385" s="8">
        <f>211</f>
        <v>211</v>
      </c>
      <c r="DG385" s="5" t="s">
        <v>389</v>
      </c>
      <c r="DH385" s="5" t="s">
        <v>238</v>
      </c>
      <c r="DI385" s="5" t="s">
        <v>238</v>
      </c>
      <c r="DJ385" s="5" t="s">
        <v>238</v>
      </c>
      <c r="DN385" s="5" t="s">
        <v>238</v>
      </c>
      <c r="DO385" s="5" t="s">
        <v>238</v>
      </c>
      <c r="DP385" s="5" t="s">
        <v>238</v>
      </c>
      <c r="DQ385" s="5" t="s">
        <v>238</v>
      </c>
      <c r="DT385" s="5" t="s">
        <v>5911</v>
      </c>
      <c r="DU385" s="5" t="s">
        <v>1346</v>
      </c>
      <c r="HM385" s="5" t="s">
        <v>264</v>
      </c>
    </row>
    <row r="386" spans="1:221" x14ac:dyDescent="0.4">
      <c r="A386" s="5">
        <v>1121</v>
      </c>
      <c r="B386" s="5">
        <v>1</v>
      </c>
      <c r="C386" s="5">
        <v>1</v>
      </c>
      <c r="D386" s="5" t="s">
        <v>5909</v>
      </c>
      <c r="E386" s="5" t="s">
        <v>437</v>
      </c>
      <c r="F386" s="5" t="s">
        <v>248</v>
      </c>
      <c r="G386" s="5" t="s">
        <v>5908</v>
      </c>
      <c r="H386" s="6" t="s">
        <v>5922</v>
      </c>
      <c r="I386" s="7">
        <f>436</f>
        <v>436</v>
      </c>
      <c r="J386" s="5" t="s">
        <v>262</v>
      </c>
      <c r="K386" s="8">
        <f>965740</f>
        <v>965740</v>
      </c>
      <c r="L386" s="6" t="s">
        <v>242</v>
      </c>
      <c r="M386" s="5" t="s">
        <v>267</v>
      </c>
      <c r="N386" s="5" t="s">
        <v>237</v>
      </c>
      <c r="O386" s="5" t="s">
        <v>238</v>
      </c>
      <c r="P386" s="5" t="s">
        <v>238</v>
      </c>
      <c r="Q386" s="5" t="s">
        <v>239</v>
      </c>
      <c r="R386" s="5" t="s">
        <v>270</v>
      </c>
      <c r="S386" s="5" t="s">
        <v>238</v>
      </c>
      <c r="V386" s="5" t="s">
        <v>238</v>
      </c>
      <c r="X386" s="6" t="s">
        <v>238</v>
      </c>
      <c r="AA386" s="6" t="s">
        <v>243</v>
      </c>
      <c r="AB386" s="5" t="s">
        <v>238</v>
      </c>
      <c r="AC386" s="5" t="s">
        <v>244</v>
      </c>
      <c r="AD386" s="5" t="s">
        <v>245</v>
      </c>
      <c r="AT386" s="5" t="s">
        <v>246</v>
      </c>
      <c r="AU386" s="5" t="s">
        <v>238</v>
      </c>
      <c r="AV386" s="5" t="s">
        <v>247</v>
      </c>
      <c r="AW386" s="5" t="s">
        <v>238</v>
      </c>
      <c r="AX386" s="5" t="s">
        <v>249</v>
      </c>
      <c r="AY386" s="5" t="s">
        <v>238</v>
      </c>
      <c r="BA386" s="5" t="s">
        <v>238</v>
      </c>
      <c r="BC386" s="5" t="s">
        <v>250</v>
      </c>
      <c r="BD386" s="6" t="s">
        <v>243</v>
      </c>
      <c r="BE386" s="5" t="s">
        <v>251</v>
      </c>
      <c r="BF386" s="5" t="s">
        <v>252</v>
      </c>
      <c r="BG386" s="5" t="s">
        <v>238</v>
      </c>
      <c r="BH386" s="7">
        <f>0</f>
        <v>0</v>
      </c>
      <c r="BI386" s="8">
        <f>0</f>
        <v>0</v>
      </c>
      <c r="BJ386" s="5" t="s">
        <v>253</v>
      </c>
      <c r="BK386" s="5" t="s">
        <v>254</v>
      </c>
      <c r="BY386" s="5" t="s">
        <v>238</v>
      </c>
      <c r="BZ386" s="5" t="s">
        <v>238</v>
      </c>
      <c r="CD386" s="5" t="s">
        <v>255</v>
      </c>
      <c r="CE386" s="5" t="s">
        <v>256</v>
      </c>
      <c r="CF386" s="5" t="s">
        <v>238</v>
      </c>
      <c r="CI386" s="6" t="s">
        <v>257</v>
      </c>
      <c r="CJ386" s="5" t="s">
        <v>238</v>
      </c>
      <c r="CK386" s="5" t="s">
        <v>258</v>
      </c>
      <c r="CL386" s="5" t="s">
        <v>238</v>
      </c>
      <c r="CM386" s="5" t="s">
        <v>238</v>
      </c>
      <c r="CN386" s="5">
        <v>0</v>
      </c>
      <c r="CO386" s="5" t="s">
        <v>259</v>
      </c>
      <c r="CP386" s="5" t="s">
        <v>260</v>
      </c>
      <c r="CQ386" s="5" t="s">
        <v>260</v>
      </c>
      <c r="CR386" s="5" t="s">
        <v>261</v>
      </c>
      <c r="CU386" s="8">
        <f>965740</f>
        <v>965740</v>
      </c>
      <c r="CV386" s="8">
        <f>0</f>
        <v>0</v>
      </c>
      <c r="CX386" s="8">
        <f>0</f>
        <v>0</v>
      </c>
      <c r="CY386" s="8">
        <f>965740</f>
        <v>965740</v>
      </c>
      <c r="DA386" s="5" t="s">
        <v>2032</v>
      </c>
      <c r="DB386" s="5" t="s">
        <v>238</v>
      </c>
      <c r="DD386" s="5" t="s">
        <v>2211</v>
      </c>
      <c r="DE386" s="8">
        <f>436</f>
        <v>436</v>
      </c>
      <c r="DG386" s="5" t="s">
        <v>389</v>
      </c>
      <c r="DH386" s="5" t="s">
        <v>238</v>
      </c>
      <c r="DI386" s="5" t="s">
        <v>238</v>
      </c>
      <c r="DJ386" s="5" t="s">
        <v>238</v>
      </c>
      <c r="DN386" s="5" t="s">
        <v>238</v>
      </c>
      <c r="DO386" s="5" t="s">
        <v>238</v>
      </c>
      <c r="DP386" s="5" t="s">
        <v>238</v>
      </c>
      <c r="DQ386" s="5" t="s">
        <v>238</v>
      </c>
      <c r="DT386" s="5" t="s">
        <v>5911</v>
      </c>
      <c r="DU386" s="5" t="s">
        <v>1342</v>
      </c>
      <c r="HM386" s="5" t="s">
        <v>264</v>
      </c>
    </row>
    <row r="387" spans="1:221" x14ac:dyDescent="0.4">
      <c r="A387" s="5">
        <v>1122</v>
      </c>
      <c r="B387" s="5">
        <v>1</v>
      </c>
      <c r="C387" s="5">
        <v>1</v>
      </c>
      <c r="D387" s="5" t="s">
        <v>5909</v>
      </c>
      <c r="E387" s="5" t="s">
        <v>437</v>
      </c>
      <c r="F387" s="5" t="s">
        <v>248</v>
      </c>
      <c r="G387" s="5" t="s">
        <v>5908</v>
      </c>
      <c r="H387" s="6" t="s">
        <v>5923</v>
      </c>
      <c r="I387" s="7">
        <f>1001</f>
        <v>1001</v>
      </c>
      <c r="J387" s="5" t="s">
        <v>262</v>
      </c>
      <c r="K387" s="8">
        <f>2217215</f>
        <v>2217215</v>
      </c>
      <c r="L387" s="6" t="s">
        <v>242</v>
      </c>
      <c r="M387" s="5" t="s">
        <v>267</v>
      </c>
      <c r="N387" s="5" t="s">
        <v>237</v>
      </c>
      <c r="O387" s="5" t="s">
        <v>238</v>
      </c>
      <c r="P387" s="5" t="s">
        <v>238</v>
      </c>
      <c r="Q387" s="5" t="s">
        <v>239</v>
      </c>
      <c r="R387" s="5" t="s">
        <v>270</v>
      </c>
      <c r="S387" s="5" t="s">
        <v>238</v>
      </c>
      <c r="V387" s="5" t="s">
        <v>238</v>
      </c>
      <c r="X387" s="6" t="s">
        <v>238</v>
      </c>
      <c r="AA387" s="6" t="s">
        <v>243</v>
      </c>
      <c r="AB387" s="5" t="s">
        <v>238</v>
      </c>
      <c r="AC387" s="5" t="s">
        <v>244</v>
      </c>
      <c r="AD387" s="5" t="s">
        <v>245</v>
      </c>
      <c r="AT387" s="5" t="s">
        <v>246</v>
      </c>
      <c r="AU387" s="5" t="s">
        <v>238</v>
      </c>
      <c r="AV387" s="5" t="s">
        <v>247</v>
      </c>
      <c r="AW387" s="5" t="s">
        <v>238</v>
      </c>
      <c r="AX387" s="5" t="s">
        <v>249</v>
      </c>
      <c r="AY387" s="5" t="s">
        <v>238</v>
      </c>
      <c r="BA387" s="5" t="s">
        <v>238</v>
      </c>
      <c r="BC387" s="5" t="s">
        <v>250</v>
      </c>
      <c r="BD387" s="6" t="s">
        <v>243</v>
      </c>
      <c r="BE387" s="5" t="s">
        <v>251</v>
      </c>
      <c r="BF387" s="5" t="s">
        <v>252</v>
      </c>
      <c r="BG387" s="5" t="s">
        <v>238</v>
      </c>
      <c r="BH387" s="7">
        <f>0</f>
        <v>0</v>
      </c>
      <c r="BI387" s="8">
        <f>0</f>
        <v>0</v>
      </c>
      <c r="BJ387" s="5" t="s">
        <v>253</v>
      </c>
      <c r="BK387" s="5" t="s">
        <v>254</v>
      </c>
      <c r="BY387" s="5" t="s">
        <v>238</v>
      </c>
      <c r="BZ387" s="5" t="s">
        <v>238</v>
      </c>
      <c r="CD387" s="5" t="s">
        <v>255</v>
      </c>
      <c r="CE387" s="5" t="s">
        <v>256</v>
      </c>
      <c r="CF387" s="5" t="s">
        <v>238</v>
      </c>
      <c r="CI387" s="6" t="s">
        <v>257</v>
      </c>
      <c r="CJ387" s="5" t="s">
        <v>238</v>
      </c>
      <c r="CK387" s="5" t="s">
        <v>258</v>
      </c>
      <c r="CL387" s="5" t="s">
        <v>238</v>
      </c>
      <c r="CM387" s="5" t="s">
        <v>238</v>
      </c>
      <c r="CN387" s="5">
        <v>0</v>
      </c>
      <c r="CO387" s="5" t="s">
        <v>259</v>
      </c>
      <c r="CP387" s="5" t="s">
        <v>260</v>
      </c>
      <c r="CQ387" s="5" t="s">
        <v>260</v>
      </c>
      <c r="CR387" s="5" t="s">
        <v>261</v>
      </c>
      <c r="CU387" s="8">
        <f>2217215</f>
        <v>2217215</v>
      </c>
      <c r="CV387" s="8">
        <f>0</f>
        <v>0</v>
      </c>
      <c r="CX387" s="8">
        <f>0</f>
        <v>0</v>
      </c>
      <c r="CY387" s="8">
        <f>2217215</f>
        <v>2217215</v>
      </c>
      <c r="DA387" s="5" t="s">
        <v>2032</v>
      </c>
      <c r="DB387" s="5" t="s">
        <v>238</v>
      </c>
      <c r="DD387" s="5" t="s">
        <v>2211</v>
      </c>
      <c r="DE387" s="8">
        <f>1001</f>
        <v>1001</v>
      </c>
      <c r="DG387" s="5" t="s">
        <v>389</v>
      </c>
      <c r="DH387" s="5" t="s">
        <v>238</v>
      </c>
      <c r="DI387" s="5" t="s">
        <v>238</v>
      </c>
      <c r="DJ387" s="5" t="s">
        <v>238</v>
      </c>
      <c r="DN387" s="5" t="s">
        <v>238</v>
      </c>
      <c r="DO387" s="5" t="s">
        <v>238</v>
      </c>
      <c r="DP387" s="5" t="s">
        <v>238</v>
      </c>
      <c r="DQ387" s="5" t="s">
        <v>238</v>
      </c>
      <c r="DT387" s="5" t="s">
        <v>5911</v>
      </c>
      <c r="DU387" s="5" t="s">
        <v>1338</v>
      </c>
      <c r="HM387" s="5" t="s">
        <v>264</v>
      </c>
    </row>
    <row r="388" spans="1:221" x14ac:dyDescent="0.4">
      <c r="A388" s="5">
        <v>1123</v>
      </c>
      <c r="B388" s="5">
        <v>1</v>
      </c>
      <c r="C388" s="5">
        <v>1</v>
      </c>
      <c r="D388" s="5" t="s">
        <v>5909</v>
      </c>
      <c r="E388" s="5" t="s">
        <v>437</v>
      </c>
      <c r="F388" s="5" t="s">
        <v>248</v>
      </c>
      <c r="G388" s="5" t="s">
        <v>5908</v>
      </c>
      <c r="H388" s="6" t="s">
        <v>5924</v>
      </c>
      <c r="I388" s="7">
        <f>406</f>
        <v>406</v>
      </c>
      <c r="J388" s="5" t="s">
        <v>262</v>
      </c>
      <c r="K388" s="8">
        <f>899290</f>
        <v>899290</v>
      </c>
      <c r="L388" s="6" t="s">
        <v>242</v>
      </c>
      <c r="M388" s="5" t="s">
        <v>267</v>
      </c>
      <c r="N388" s="5" t="s">
        <v>237</v>
      </c>
      <c r="O388" s="5" t="s">
        <v>238</v>
      </c>
      <c r="P388" s="5" t="s">
        <v>238</v>
      </c>
      <c r="Q388" s="5" t="s">
        <v>239</v>
      </c>
      <c r="R388" s="5" t="s">
        <v>270</v>
      </c>
      <c r="S388" s="5" t="s">
        <v>238</v>
      </c>
      <c r="V388" s="5" t="s">
        <v>238</v>
      </c>
      <c r="X388" s="6" t="s">
        <v>238</v>
      </c>
      <c r="AA388" s="6" t="s">
        <v>243</v>
      </c>
      <c r="AB388" s="5" t="s">
        <v>238</v>
      </c>
      <c r="AC388" s="5" t="s">
        <v>244</v>
      </c>
      <c r="AD388" s="5" t="s">
        <v>245</v>
      </c>
      <c r="AT388" s="5" t="s">
        <v>246</v>
      </c>
      <c r="AU388" s="5" t="s">
        <v>238</v>
      </c>
      <c r="AV388" s="5" t="s">
        <v>247</v>
      </c>
      <c r="AW388" s="5" t="s">
        <v>238</v>
      </c>
      <c r="AX388" s="5" t="s">
        <v>249</v>
      </c>
      <c r="AY388" s="5" t="s">
        <v>238</v>
      </c>
      <c r="BA388" s="5" t="s">
        <v>238</v>
      </c>
      <c r="BC388" s="5" t="s">
        <v>250</v>
      </c>
      <c r="BD388" s="6" t="s">
        <v>243</v>
      </c>
      <c r="BE388" s="5" t="s">
        <v>251</v>
      </c>
      <c r="BF388" s="5" t="s">
        <v>252</v>
      </c>
      <c r="BG388" s="5" t="s">
        <v>238</v>
      </c>
      <c r="BH388" s="7">
        <f>0</f>
        <v>0</v>
      </c>
      <c r="BI388" s="8">
        <f>0</f>
        <v>0</v>
      </c>
      <c r="BJ388" s="5" t="s">
        <v>253</v>
      </c>
      <c r="BK388" s="5" t="s">
        <v>254</v>
      </c>
      <c r="BY388" s="5" t="s">
        <v>238</v>
      </c>
      <c r="BZ388" s="5" t="s">
        <v>238</v>
      </c>
      <c r="CD388" s="5" t="s">
        <v>255</v>
      </c>
      <c r="CE388" s="5" t="s">
        <v>256</v>
      </c>
      <c r="CF388" s="5" t="s">
        <v>238</v>
      </c>
      <c r="CI388" s="6" t="s">
        <v>257</v>
      </c>
      <c r="CJ388" s="5" t="s">
        <v>238</v>
      </c>
      <c r="CK388" s="5" t="s">
        <v>258</v>
      </c>
      <c r="CL388" s="5" t="s">
        <v>238</v>
      </c>
      <c r="CM388" s="5" t="s">
        <v>238</v>
      </c>
      <c r="CN388" s="5">
        <v>0</v>
      </c>
      <c r="CO388" s="5" t="s">
        <v>259</v>
      </c>
      <c r="CP388" s="5" t="s">
        <v>260</v>
      </c>
      <c r="CQ388" s="5" t="s">
        <v>260</v>
      </c>
      <c r="CR388" s="5" t="s">
        <v>261</v>
      </c>
      <c r="CU388" s="8">
        <f>899290</f>
        <v>899290</v>
      </c>
      <c r="CV388" s="8">
        <f>0</f>
        <v>0</v>
      </c>
      <c r="CX388" s="8">
        <f>0</f>
        <v>0</v>
      </c>
      <c r="CY388" s="8">
        <f>899290</f>
        <v>899290</v>
      </c>
      <c r="DA388" s="5" t="s">
        <v>2032</v>
      </c>
      <c r="DB388" s="5" t="s">
        <v>238</v>
      </c>
      <c r="DD388" s="5" t="s">
        <v>357</v>
      </c>
      <c r="DE388" s="8">
        <f>406</f>
        <v>406</v>
      </c>
      <c r="DG388" s="5" t="s">
        <v>389</v>
      </c>
      <c r="DH388" s="5" t="s">
        <v>238</v>
      </c>
      <c r="DI388" s="5" t="s">
        <v>238</v>
      </c>
      <c r="DJ388" s="5" t="s">
        <v>238</v>
      </c>
      <c r="DN388" s="5" t="s">
        <v>238</v>
      </c>
      <c r="DO388" s="5" t="s">
        <v>238</v>
      </c>
      <c r="DP388" s="5" t="s">
        <v>238</v>
      </c>
      <c r="DQ388" s="5" t="s">
        <v>238</v>
      </c>
      <c r="DT388" s="5" t="s">
        <v>5911</v>
      </c>
      <c r="DU388" s="5" t="s">
        <v>1334</v>
      </c>
      <c r="HM388" s="5" t="s">
        <v>264</v>
      </c>
    </row>
    <row r="389" spans="1:221" x14ac:dyDescent="0.4">
      <c r="A389" s="5">
        <v>1124</v>
      </c>
      <c r="B389" s="5">
        <v>1</v>
      </c>
      <c r="C389" s="5">
        <v>1</v>
      </c>
      <c r="D389" s="5" t="s">
        <v>5909</v>
      </c>
      <c r="E389" s="5" t="s">
        <v>437</v>
      </c>
      <c r="F389" s="5" t="s">
        <v>248</v>
      </c>
      <c r="G389" s="5" t="s">
        <v>5908</v>
      </c>
      <c r="H389" s="6" t="s">
        <v>5962</v>
      </c>
      <c r="I389" s="7">
        <f>611</f>
        <v>611</v>
      </c>
      <c r="J389" s="5" t="s">
        <v>262</v>
      </c>
      <c r="K389" s="8">
        <f>1353365</f>
        <v>1353365</v>
      </c>
      <c r="L389" s="6" t="s">
        <v>242</v>
      </c>
      <c r="M389" s="5" t="s">
        <v>267</v>
      </c>
      <c r="N389" s="5" t="s">
        <v>237</v>
      </c>
      <c r="O389" s="5" t="s">
        <v>238</v>
      </c>
      <c r="P389" s="5" t="s">
        <v>238</v>
      </c>
      <c r="Q389" s="5" t="s">
        <v>239</v>
      </c>
      <c r="R389" s="5" t="s">
        <v>270</v>
      </c>
      <c r="S389" s="5" t="s">
        <v>238</v>
      </c>
      <c r="V389" s="5" t="s">
        <v>238</v>
      </c>
      <c r="X389" s="6" t="s">
        <v>238</v>
      </c>
      <c r="AA389" s="6" t="s">
        <v>243</v>
      </c>
      <c r="AB389" s="5" t="s">
        <v>238</v>
      </c>
      <c r="AC389" s="5" t="s">
        <v>244</v>
      </c>
      <c r="AD389" s="5" t="s">
        <v>245</v>
      </c>
      <c r="AT389" s="5" t="s">
        <v>246</v>
      </c>
      <c r="AU389" s="5" t="s">
        <v>238</v>
      </c>
      <c r="AV389" s="5" t="s">
        <v>247</v>
      </c>
      <c r="AW389" s="5" t="s">
        <v>238</v>
      </c>
      <c r="AX389" s="5" t="s">
        <v>249</v>
      </c>
      <c r="AY389" s="5" t="s">
        <v>238</v>
      </c>
      <c r="BA389" s="5" t="s">
        <v>238</v>
      </c>
      <c r="BC389" s="5" t="s">
        <v>250</v>
      </c>
      <c r="BD389" s="6" t="s">
        <v>243</v>
      </c>
      <c r="BE389" s="5" t="s">
        <v>251</v>
      </c>
      <c r="BF389" s="5" t="s">
        <v>252</v>
      </c>
      <c r="BG389" s="5" t="s">
        <v>238</v>
      </c>
      <c r="BH389" s="7">
        <f>0</f>
        <v>0</v>
      </c>
      <c r="BI389" s="8">
        <f>0</f>
        <v>0</v>
      </c>
      <c r="BJ389" s="5" t="s">
        <v>253</v>
      </c>
      <c r="BK389" s="5" t="s">
        <v>254</v>
      </c>
      <c r="BY389" s="5" t="s">
        <v>238</v>
      </c>
      <c r="BZ389" s="5" t="s">
        <v>238</v>
      </c>
      <c r="CD389" s="5" t="s">
        <v>255</v>
      </c>
      <c r="CE389" s="5" t="s">
        <v>256</v>
      </c>
      <c r="CF389" s="5" t="s">
        <v>238</v>
      </c>
      <c r="CI389" s="6" t="s">
        <v>257</v>
      </c>
      <c r="CJ389" s="5" t="s">
        <v>238</v>
      </c>
      <c r="CK389" s="5" t="s">
        <v>258</v>
      </c>
      <c r="CL389" s="5" t="s">
        <v>238</v>
      </c>
      <c r="CM389" s="5" t="s">
        <v>238</v>
      </c>
      <c r="CN389" s="5">
        <v>0</v>
      </c>
      <c r="CO389" s="5" t="s">
        <v>259</v>
      </c>
      <c r="CP389" s="5" t="s">
        <v>260</v>
      </c>
      <c r="CQ389" s="5" t="s">
        <v>260</v>
      </c>
      <c r="CR389" s="5" t="s">
        <v>261</v>
      </c>
      <c r="CU389" s="8">
        <f>1353365</f>
        <v>1353365</v>
      </c>
      <c r="CV389" s="8">
        <f>0</f>
        <v>0</v>
      </c>
      <c r="CX389" s="8">
        <f>0</f>
        <v>0</v>
      </c>
      <c r="CY389" s="8">
        <f>1353365</f>
        <v>1353365</v>
      </c>
      <c r="DA389" s="5" t="s">
        <v>2032</v>
      </c>
      <c r="DB389" s="5" t="s">
        <v>238</v>
      </c>
      <c r="DD389" s="5" t="s">
        <v>2211</v>
      </c>
      <c r="DE389" s="8">
        <f>611</f>
        <v>611</v>
      </c>
      <c r="DG389" s="5" t="s">
        <v>389</v>
      </c>
      <c r="DH389" s="5" t="s">
        <v>238</v>
      </c>
      <c r="DI389" s="5" t="s">
        <v>238</v>
      </c>
      <c r="DJ389" s="5" t="s">
        <v>238</v>
      </c>
      <c r="DN389" s="5" t="s">
        <v>238</v>
      </c>
      <c r="DO389" s="5" t="s">
        <v>238</v>
      </c>
      <c r="DP389" s="5" t="s">
        <v>238</v>
      </c>
      <c r="DQ389" s="5" t="s">
        <v>238</v>
      </c>
      <c r="DT389" s="5" t="s">
        <v>5911</v>
      </c>
      <c r="DU389" s="5" t="s">
        <v>882</v>
      </c>
      <c r="HM389" s="5" t="s">
        <v>264</v>
      </c>
    </row>
    <row r="390" spans="1:221" x14ac:dyDescent="0.4">
      <c r="A390" s="5">
        <v>1125</v>
      </c>
      <c r="B390" s="5">
        <v>1</v>
      </c>
      <c r="C390" s="5">
        <v>1</v>
      </c>
      <c r="D390" s="5" t="s">
        <v>5909</v>
      </c>
      <c r="E390" s="5" t="s">
        <v>437</v>
      </c>
      <c r="F390" s="5" t="s">
        <v>248</v>
      </c>
      <c r="G390" s="5" t="s">
        <v>5908</v>
      </c>
      <c r="H390" s="6" t="s">
        <v>5965</v>
      </c>
      <c r="I390" s="7">
        <f>1004</f>
        <v>1004</v>
      </c>
      <c r="J390" s="5" t="s">
        <v>262</v>
      </c>
      <c r="K390" s="8">
        <f>2223860</f>
        <v>2223860</v>
      </c>
      <c r="L390" s="6" t="s">
        <v>242</v>
      </c>
      <c r="M390" s="5" t="s">
        <v>267</v>
      </c>
      <c r="N390" s="5" t="s">
        <v>237</v>
      </c>
      <c r="O390" s="5" t="s">
        <v>238</v>
      </c>
      <c r="P390" s="5" t="s">
        <v>238</v>
      </c>
      <c r="Q390" s="5" t="s">
        <v>239</v>
      </c>
      <c r="R390" s="5" t="s">
        <v>270</v>
      </c>
      <c r="S390" s="5" t="s">
        <v>238</v>
      </c>
      <c r="V390" s="5" t="s">
        <v>238</v>
      </c>
      <c r="X390" s="6" t="s">
        <v>238</v>
      </c>
      <c r="AA390" s="6" t="s">
        <v>243</v>
      </c>
      <c r="AB390" s="5" t="s">
        <v>238</v>
      </c>
      <c r="AC390" s="5" t="s">
        <v>244</v>
      </c>
      <c r="AD390" s="5" t="s">
        <v>245</v>
      </c>
      <c r="AT390" s="5" t="s">
        <v>246</v>
      </c>
      <c r="AU390" s="5" t="s">
        <v>238</v>
      </c>
      <c r="AV390" s="5" t="s">
        <v>247</v>
      </c>
      <c r="AW390" s="5" t="s">
        <v>238</v>
      </c>
      <c r="AX390" s="5" t="s">
        <v>249</v>
      </c>
      <c r="AY390" s="5" t="s">
        <v>238</v>
      </c>
      <c r="BA390" s="5" t="s">
        <v>238</v>
      </c>
      <c r="BC390" s="5" t="s">
        <v>250</v>
      </c>
      <c r="BD390" s="6" t="s">
        <v>243</v>
      </c>
      <c r="BE390" s="5" t="s">
        <v>251</v>
      </c>
      <c r="BF390" s="5" t="s">
        <v>252</v>
      </c>
      <c r="BG390" s="5" t="s">
        <v>238</v>
      </c>
      <c r="BH390" s="7">
        <f>0</f>
        <v>0</v>
      </c>
      <c r="BI390" s="8">
        <f>0</f>
        <v>0</v>
      </c>
      <c r="BJ390" s="5" t="s">
        <v>253</v>
      </c>
      <c r="BK390" s="5" t="s">
        <v>254</v>
      </c>
      <c r="BY390" s="5" t="s">
        <v>238</v>
      </c>
      <c r="BZ390" s="5" t="s">
        <v>238</v>
      </c>
      <c r="CD390" s="5" t="s">
        <v>255</v>
      </c>
      <c r="CE390" s="5" t="s">
        <v>256</v>
      </c>
      <c r="CF390" s="5" t="s">
        <v>238</v>
      </c>
      <c r="CI390" s="6" t="s">
        <v>257</v>
      </c>
      <c r="CJ390" s="5" t="s">
        <v>238</v>
      </c>
      <c r="CK390" s="5" t="s">
        <v>258</v>
      </c>
      <c r="CL390" s="5" t="s">
        <v>238</v>
      </c>
      <c r="CM390" s="5" t="s">
        <v>238</v>
      </c>
      <c r="CN390" s="5">
        <v>0</v>
      </c>
      <c r="CO390" s="5" t="s">
        <v>259</v>
      </c>
      <c r="CP390" s="5" t="s">
        <v>260</v>
      </c>
      <c r="CQ390" s="5" t="s">
        <v>260</v>
      </c>
      <c r="CR390" s="5" t="s">
        <v>261</v>
      </c>
      <c r="CU390" s="8">
        <f>2223860</f>
        <v>2223860</v>
      </c>
      <c r="CV390" s="8">
        <f>0</f>
        <v>0</v>
      </c>
      <c r="CX390" s="8">
        <f>0</f>
        <v>0</v>
      </c>
      <c r="CY390" s="8">
        <f>2223860</f>
        <v>2223860</v>
      </c>
      <c r="DA390" s="5" t="s">
        <v>2032</v>
      </c>
      <c r="DB390" s="5" t="s">
        <v>238</v>
      </c>
      <c r="DD390" s="5" t="s">
        <v>2211</v>
      </c>
      <c r="DE390" s="8">
        <f>1004</f>
        <v>1004</v>
      </c>
      <c r="DG390" s="5" t="s">
        <v>389</v>
      </c>
      <c r="DH390" s="5" t="s">
        <v>238</v>
      </c>
      <c r="DI390" s="5" t="s">
        <v>238</v>
      </c>
      <c r="DJ390" s="5" t="s">
        <v>238</v>
      </c>
      <c r="DN390" s="5" t="s">
        <v>238</v>
      </c>
      <c r="DO390" s="5" t="s">
        <v>238</v>
      </c>
      <c r="DP390" s="5" t="s">
        <v>238</v>
      </c>
      <c r="DQ390" s="5" t="s">
        <v>238</v>
      </c>
      <c r="DT390" s="5" t="s">
        <v>5911</v>
      </c>
      <c r="DU390" s="5" t="s">
        <v>1594</v>
      </c>
      <c r="HM390" s="5" t="s">
        <v>264</v>
      </c>
    </row>
    <row r="391" spans="1:221" x14ac:dyDescent="0.4">
      <c r="A391" s="5">
        <v>1126</v>
      </c>
      <c r="B391" s="5">
        <v>1</v>
      </c>
      <c r="C391" s="5">
        <v>1</v>
      </c>
      <c r="D391" s="5" t="s">
        <v>5909</v>
      </c>
      <c r="E391" s="5" t="s">
        <v>437</v>
      </c>
      <c r="F391" s="5" t="s">
        <v>248</v>
      </c>
      <c r="G391" s="5" t="s">
        <v>5908</v>
      </c>
      <c r="H391" s="6" t="s">
        <v>5925</v>
      </c>
      <c r="I391" s="7">
        <f>1021</f>
        <v>1021</v>
      </c>
      <c r="J391" s="5" t="s">
        <v>262</v>
      </c>
      <c r="K391" s="8">
        <f>2261515</f>
        <v>2261515</v>
      </c>
      <c r="L391" s="6" t="s">
        <v>242</v>
      </c>
      <c r="M391" s="5" t="s">
        <v>267</v>
      </c>
      <c r="N391" s="5" t="s">
        <v>237</v>
      </c>
      <c r="O391" s="5" t="s">
        <v>238</v>
      </c>
      <c r="P391" s="5" t="s">
        <v>238</v>
      </c>
      <c r="Q391" s="5" t="s">
        <v>239</v>
      </c>
      <c r="R391" s="5" t="s">
        <v>270</v>
      </c>
      <c r="S391" s="5" t="s">
        <v>238</v>
      </c>
      <c r="V391" s="5" t="s">
        <v>238</v>
      </c>
      <c r="X391" s="6" t="s">
        <v>238</v>
      </c>
      <c r="AA391" s="6" t="s">
        <v>243</v>
      </c>
      <c r="AB391" s="5" t="s">
        <v>238</v>
      </c>
      <c r="AC391" s="5" t="s">
        <v>244</v>
      </c>
      <c r="AD391" s="5" t="s">
        <v>245</v>
      </c>
      <c r="AT391" s="5" t="s">
        <v>246</v>
      </c>
      <c r="AU391" s="5" t="s">
        <v>238</v>
      </c>
      <c r="AV391" s="5" t="s">
        <v>247</v>
      </c>
      <c r="AW391" s="5" t="s">
        <v>238</v>
      </c>
      <c r="AX391" s="5" t="s">
        <v>249</v>
      </c>
      <c r="AY391" s="5" t="s">
        <v>238</v>
      </c>
      <c r="BA391" s="5" t="s">
        <v>238</v>
      </c>
      <c r="BC391" s="5" t="s">
        <v>250</v>
      </c>
      <c r="BD391" s="6" t="s">
        <v>243</v>
      </c>
      <c r="BE391" s="5" t="s">
        <v>251</v>
      </c>
      <c r="BF391" s="5" t="s">
        <v>252</v>
      </c>
      <c r="BG391" s="5" t="s">
        <v>238</v>
      </c>
      <c r="BH391" s="7">
        <f>0</f>
        <v>0</v>
      </c>
      <c r="BI391" s="8">
        <f>0</f>
        <v>0</v>
      </c>
      <c r="BJ391" s="5" t="s">
        <v>253</v>
      </c>
      <c r="BK391" s="5" t="s">
        <v>254</v>
      </c>
      <c r="BY391" s="5" t="s">
        <v>238</v>
      </c>
      <c r="BZ391" s="5" t="s">
        <v>238</v>
      </c>
      <c r="CD391" s="5" t="s">
        <v>255</v>
      </c>
      <c r="CE391" s="5" t="s">
        <v>256</v>
      </c>
      <c r="CF391" s="5" t="s">
        <v>238</v>
      </c>
      <c r="CI391" s="6" t="s">
        <v>257</v>
      </c>
      <c r="CJ391" s="5" t="s">
        <v>238</v>
      </c>
      <c r="CK391" s="5" t="s">
        <v>258</v>
      </c>
      <c r="CL391" s="5" t="s">
        <v>238</v>
      </c>
      <c r="CM391" s="5" t="s">
        <v>238</v>
      </c>
      <c r="CN391" s="5">
        <v>0</v>
      </c>
      <c r="CO391" s="5" t="s">
        <v>259</v>
      </c>
      <c r="CP391" s="5" t="s">
        <v>260</v>
      </c>
      <c r="CQ391" s="5" t="s">
        <v>260</v>
      </c>
      <c r="CR391" s="5" t="s">
        <v>261</v>
      </c>
      <c r="CU391" s="8">
        <f>2261515</f>
        <v>2261515</v>
      </c>
      <c r="CV391" s="8">
        <f>0</f>
        <v>0</v>
      </c>
      <c r="CX391" s="8">
        <f>0</f>
        <v>0</v>
      </c>
      <c r="CY391" s="8">
        <f>2261515</f>
        <v>2261515</v>
      </c>
      <c r="DA391" s="5" t="s">
        <v>2032</v>
      </c>
      <c r="DB391" s="5" t="s">
        <v>238</v>
      </c>
      <c r="DD391" s="5" t="s">
        <v>2211</v>
      </c>
      <c r="DE391" s="8">
        <f>1021</f>
        <v>1021</v>
      </c>
      <c r="DG391" s="5" t="s">
        <v>389</v>
      </c>
      <c r="DH391" s="5" t="s">
        <v>238</v>
      </c>
      <c r="DI391" s="5" t="s">
        <v>238</v>
      </c>
      <c r="DJ391" s="5" t="s">
        <v>238</v>
      </c>
      <c r="DN391" s="5" t="s">
        <v>238</v>
      </c>
      <c r="DO391" s="5" t="s">
        <v>238</v>
      </c>
      <c r="DP391" s="5" t="s">
        <v>238</v>
      </c>
      <c r="DQ391" s="5" t="s">
        <v>238</v>
      </c>
      <c r="DT391" s="5" t="s">
        <v>5911</v>
      </c>
      <c r="DU391" s="5" t="s">
        <v>1329</v>
      </c>
      <c r="HM391" s="5" t="s">
        <v>264</v>
      </c>
    </row>
    <row r="392" spans="1:221" x14ac:dyDescent="0.4">
      <c r="A392" s="5">
        <v>1127</v>
      </c>
      <c r="B392" s="5">
        <v>1</v>
      </c>
      <c r="C392" s="5">
        <v>1</v>
      </c>
      <c r="D392" s="5" t="s">
        <v>5909</v>
      </c>
      <c r="E392" s="5" t="s">
        <v>437</v>
      </c>
      <c r="F392" s="5" t="s">
        <v>248</v>
      </c>
      <c r="G392" s="5" t="s">
        <v>5908</v>
      </c>
      <c r="H392" s="6" t="s">
        <v>5926</v>
      </c>
      <c r="I392" s="7">
        <f>1021</f>
        <v>1021</v>
      </c>
      <c r="J392" s="5" t="s">
        <v>262</v>
      </c>
      <c r="K392" s="8">
        <f>2261515</f>
        <v>2261515</v>
      </c>
      <c r="L392" s="6" t="s">
        <v>242</v>
      </c>
      <c r="M392" s="5" t="s">
        <v>267</v>
      </c>
      <c r="N392" s="5" t="s">
        <v>237</v>
      </c>
      <c r="O392" s="5" t="s">
        <v>238</v>
      </c>
      <c r="P392" s="5" t="s">
        <v>238</v>
      </c>
      <c r="Q392" s="5" t="s">
        <v>239</v>
      </c>
      <c r="R392" s="5" t="s">
        <v>270</v>
      </c>
      <c r="S392" s="5" t="s">
        <v>238</v>
      </c>
      <c r="V392" s="5" t="s">
        <v>238</v>
      </c>
      <c r="X392" s="6" t="s">
        <v>238</v>
      </c>
      <c r="AA392" s="6" t="s">
        <v>243</v>
      </c>
      <c r="AB392" s="5" t="s">
        <v>238</v>
      </c>
      <c r="AC392" s="5" t="s">
        <v>244</v>
      </c>
      <c r="AD392" s="5" t="s">
        <v>245</v>
      </c>
      <c r="AT392" s="5" t="s">
        <v>246</v>
      </c>
      <c r="AU392" s="5" t="s">
        <v>238</v>
      </c>
      <c r="AV392" s="5" t="s">
        <v>247</v>
      </c>
      <c r="AW392" s="5" t="s">
        <v>238</v>
      </c>
      <c r="AX392" s="5" t="s">
        <v>249</v>
      </c>
      <c r="AY392" s="5" t="s">
        <v>238</v>
      </c>
      <c r="BA392" s="5" t="s">
        <v>238</v>
      </c>
      <c r="BC392" s="5" t="s">
        <v>250</v>
      </c>
      <c r="BD392" s="6" t="s">
        <v>243</v>
      </c>
      <c r="BE392" s="5" t="s">
        <v>251</v>
      </c>
      <c r="BF392" s="5" t="s">
        <v>252</v>
      </c>
      <c r="BG392" s="5" t="s">
        <v>238</v>
      </c>
      <c r="BH392" s="7">
        <f>0</f>
        <v>0</v>
      </c>
      <c r="BI392" s="8">
        <f>0</f>
        <v>0</v>
      </c>
      <c r="BJ392" s="5" t="s">
        <v>253</v>
      </c>
      <c r="BK392" s="5" t="s">
        <v>254</v>
      </c>
      <c r="BY392" s="5" t="s">
        <v>238</v>
      </c>
      <c r="BZ392" s="5" t="s">
        <v>238</v>
      </c>
      <c r="CD392" s="5" t="s">
        <v>255</v>
      </c>
      <c r="CE392" s="5" t="s">
        <v>256</v>
      </c>
      <c r="CF392" s="5" t="s">
        <v>238</v>
      </c>
      <c r="CI392" s="6" t="s">
        <v>257</v>
      </c>
      <c r="CJ392" s="5" t="s">
        <v>238</v>
      </c>
      <c r="CK392" s="5" t="s">
        <v>258</v>
      </c>
      <c r="CL392" s="5" t="s">
        <v>238</v>
      </c>
      <c r="CM392" s="5" t="s">
        <v>238</v>
      </c>
      <c r="CN392" s="5">
        <v>0</v>
      </c>
      <c r="CO392" s="5" t="s">
        <v>259</v>
      </c>
      <c r="CP392" s="5" t="s">
        <v>260</v>
      </c>
      <c r="CQ392" s="5" t="s">
        <v>260</v>
      </c>
      <c r="CR392" s="5" t="s">
        <v>261</v>
      </c>
      <c r="CU392" s="8">
        <f>2261515</f>
        <v>2261515</v>
      </c>
      <c r="CV392" s="8">
        <f>0</f>
        <v>0</v>
      </c>
      <c r="CX392" s="8">
        <f>0</f>
        <v>0</v>
      </c>
      <c r="CY392" s="8">
        <f>2261515</f>
        <v>2261515</v>
      </c>
      <c r="DA392" s="5" t="s">
        <v>2032</v>
      </c>
      <c r="DB392" s="5" t="s">
        <v>238</v>
      </c>
      <c r="DD392" s="5" t="s">
        <v>2211</v>
      </c>
      <c r="DE392" s="8">
        <f>1021</f>
        <v>1021</v>
      </c>
      <c r="DG392" s="5" t="s">
        <v>389</v>
      </c>
      <c r="DH392" s="5" t="s">
        <v>238</v>
      </c>
      <c r="DI392" s="5" t="s">
        <v>238</v>
      </c>
      <c r="DJ392" s="5" t="s">
        <v>238</v>
      </c>
      <c r="DN392" s="5" t="s">
        <v>238</v>
      </c>
      <c r="DO392" s="5" t="s">
        <v>238</v>
      </c>
      <c r="DP392" s="5" t="s">
        <v>238</v>
      </c>
      <c r="DQ392" s="5" t="s">
        <v>238</v>
      </c>
      <c r="DT392" s="5" t="s">
        <v>5911</v>
      </c>
      <c r="DU392" s="5" t="s">
        <v>1327</v>
      </c>
      <c r="HM392" s="5" t="s">
        <v>264</v>
      </c>
    </row>
    <row r="393" spans="1:221" x14ac:dyDescent="0.4">
      <c r="A393" s="5">
        <v>1128</v>
      </c>
      <c r="B393" s="5">
        <v>1</v>
      </c>
      <c r="C393" s="5">
        <v>1</v>
      </c>
      <c r="D393" s="5" t="s">
        <v>5909</v>
      </c>
      <c r="E393" s="5" t="s">
        <v>437</v>
      </c>
      <c r="F393" s="5" t="s">
        <v>248</v>
      </c>
      <c r="G393" s="5" t="s">
        <v>5908</v>
      </c>
      <c r="H393" s="6" t="s">
        <v>5927</v>
      </c>
      <c r="I393" s="7">
        <f>1021</f>
        <v>1021</v>
      </c>
      <c r="J393" s="5" t="s">
        <v>262</v>
      </c>
      <c r="K393" s="8">
        <f>2261515</f>
        <v>2261515</v>
      </c>
      <c r="L393" s="6" t="s">
        <v>242</v>
      </c>
      <c r="M393" s="5" t="s">
        <v>267</v>
      </c>
      <c r="N393" s="5" t="s">
        <v>237</v>
      </c>
      <c r="O393" s="5" t="s">
        <v>238</v>
      </c>
      <c r="P393" s="5" t="s">
        <v>238</v>
      </c>
      <c r="Q393" s="5" t="s">
        <v>239</v>
      </c>
      <c r="R393" s="5" t="s">
        <v>270</v>
      </c>
      <c r="S393" s="5" t="s">
        <v>238</v>
      </c>
      <c r="V393" s="5" t="s">
        <v>238</v>
      </c>
      <c r="X393" s="6" t="s">
        <v>238</v>
      </c>
      <c r="AA393" s="6" t="s">
        <v>243</v>
      </c>
      <c r="AB393" s="5" t="s">
        <v>238</v>
      </c>
      <c r="AC393" s="5" t="s">
        <v>244</v>
      </c>
      <c r="AD393" s="5" t="s">
        <v>245</v>
      </c>
      <c r="AT393" s="5" t="s">
        <v>246</v>
      </c>
      <c r="AU393" s="5" t="s">
        <v>238</v>
      </c>
      <c r="AV393" s="5" t="s">
        <v>247</v>
      </c>
      <c r="AW393" s="5" t="s">
        <v>238</v>
      </c>
      <c r="AX393" s="5" t="s">
        <v>249</v>
      </c>
      <c r="AY393" s="5" t="s">
        <v>238</v>
      </c>
      <c r="BA393" s="5" t="s">
        <v>238</v>
      </c>
      <c r="BC393" s="5" t="s">
        <v>250</v>
      </c>
      <c r="BD393" s="6" t="s">
        <v>243</v>
      </c>
      <c r="BE393" s="5" t="s">
        <v>251</v>
      </c>
      <c r="BF393" s="5" t="s">
        <v>252</v>
      </c>
      <c r="BG393" s="5" t="s">
        <v>238</v>
      </c>
      <c r="BH393" s="7">
        <f>0</f>
        <v>0</v>
      </c>
      <c r="BI393" s="8">
        <f>0</f>
        <v>0</v>
      </c>
      <c r="BJ393" s="5" t="s">
        <v>253</v>
      </c>
      <c r="BK393" s="5" t="s">
        <v>254</v>
      </c>
      <c r="BY393" s="5" t="s">
        <v>238</v>
      </c>
      <c r="BZ393" s="5" t="s">
        <v>238</v>
      </c>
      <c r="CD393" s="5" t="s">
        <v>255</v>
      </c>
      <c r="CE393" s="5" t="s">
        <v>256</v>
      </c>
      <c r="CF393" s="5" t="s">
        <v>238</v>
      </c>
      <c r="CI393" s="6" t="s">
        <v>257</v>
      </c>
      <c r="CJ393" s="5" t="s">
        <v>238</v>
      </c>
      <c r="CK393" s="5" t="s">
        <v>258</v>
      </c>
      <c r="CL393" s="5" t="s">
        <v>238</v>
      </c>
      <c r="CM393" s="5" t="s">
        <v>238</v>
      </c>
      <c r="CN393" s="5">
        <v>0</v>
      </c>
      <c r="CO393" s="5" t="s">
        <v>259</v>
      </c>
      <c r="CP393" s="5" t="s">
        <v>260</v>
      </c>
      <c r="CQ393" s="5" t="s">
        <v>260</v>
      </c>
      <c r="CR393" s="5" t="s">
        <v>261</v>
      </c>
      <c r="CU393" s="8">
        <f>2261515</f>
        <v>2261515</v>
      </c>
      <c r="CV393" s="8">
        <f>0</f>
        <v>0</v>
      </c>
      <c r="CX393" s="8">
        <f>0</f>
        <v>0</v>
      </c>
      <c r="CY393" s="8">
        <f>2261515</f>
        <v>2261515</v>
      </c>
      <c r="DA393" s="5" t="s">
        <v>2032</v>
      </c>
      <c r="DB393" s="5" t="s">
        <v>238</v>
      </c>
      <c r="DD393" s="5" t="s">
        <v>2211</v>
      </c>
      <c r="DE393" s="8">
        <f>1021</f>
        <v>1021</v>
      </c>
      <c r="DG393" s="5" t="s">
        <v>389</v>
      </c>
      <c r="DH393" s="5" t="s">
        <v>238</v>
      </c>
      <c r="DI393" s="5" t="s">
        <v>238</v>
      </c>
      <c r="DJ393" s="5" t="s">
        <v>238</v>
      </c>
      <c r="DN393" s="5" t="s">
        <v>238</v>
      </c>
      <c r="DO393" s="5" t="s">
        <v>238</v>
      </c>
      <c r="DP393" s="5" t="s">
        <v>238</v>
      </c>
      <c r="DQ393" s="5" t="s">
        <v>238</v>
      </c>
      <c r="DT393" s="5" t="s">
        <v>5911</v>
      </c>
      <c r="DU393" s="5" t="s">
        <v>1320</v>
      </c>
      <c r="HM393" s="5" t="s">
        <v>264</v>
      </c>
    </row>
    <row r="394" spans="1:221" x14ac:dyDescent="0.4">
      <c r="A394" s="5">
        <v>1129</v>
      </c>
      <c r="B394" s="5">
        <v>1</v>
      </c>
      <c r="C394" s="5">
        <v>1</v>
      </c>
      <c r="D394" s="5" t="s">
        <v>5909</v>
      </c>
      <c r="E394" s="5" t="s">
        <v>437</v>
      </c>
      <c r="F394" s="5" t="s">
        <v>248</v>
      </c>
      <c r="G394" s="5" t="s">
        <v>5908</v>
      </c>
      <c r="H394" s="6" t="s">
        <v>6503</v>
      </c>
      <c r="I394" s="7">
        <f>1021</f>
        <v>1021</v>
      </c>
      <c r="J394" s="5" t="s">
        <v>262</v>
      </c>
      <c r="K394" s="8">
        <f>2261515</f>
        <v>2261515</v>
      </c>
      <c r="L394" s="6" t="s">
        <v>242</v>
      </c>
      <c r="M394" s="5" t="s">
        <v>267</v>
      </c>
      <c r="N394" s="5" t="s">
        <v>237</v>
      </c>
      <c r="O394" s="5" t="s">
        <v>238</v>
      </c>
      <c r="P394" s="5" t="s">
        <v>238</v>
      </c>
      <c r="Q394" s="5" t="s">
        <v>239</v>
      </c>
      <c r="R394" s="5" t="s">
        <v>270</v>
      </c>
      <c r="S394" s="5" t="s">
        <v>238</v>
      </c>
      <c r="V394" s="5" t="s">
        <v>238</v>
      </c>
      <c r="X394" s="6" t="s">
        <v>238</v>
      </c>
      <c r="AA394" s="6" t="s">
        <v>243</v>
      </c>
      <c r="AB394" s="5" t="s">
        <v>238</v>
      </c>
      <c r="AC394" s="5" t="s">
        <v>244</v>
      </c>
      <c r="AD394" s="5" t="s">
        <v>245</v>
      </c>
      <c r="AT394" s="5" t="s">
        <v>246</v>
      </c>
      <c r="AU394" s="5" t="s">
        <v>238</v>
      </c>
      <c r="AV394" s="5" t="s">
        <v>247</v>
      </c>
      <c r="AW394" s="5" t="s">
        <v>238</v>
      </c>
      <c r="AX394" s="5" t="s">
        <v>249</v>
      </c>
      <c r="AY394" s="5" t="s">
        <v>238</v>
      </c>
      <c r="BA394" s="5" t="s">
        <v>238</v>
      </c>
      <c r="BC394" s="5" t="s">
        <v>250</v>
      </c>
      <c r="BD394" s="6" t="s">
        <v>243</v>
      </c>
      <c r="BE394" s="5" t="s">
        <v>251</v>
      </c>
      <c r="BF394" s="5" t="s">
        <v>252</v>
      </c>
      <c r="BG394" s="5" t="s">
        <v>238</v>
      </c>
      <c r="BH394" s="7">
        <f>0</f>
        <v>0</v>
      </c>
      <c r="BI394" s="8">
        <f>0</f>
        <v>0</v>
      </c>
      <c r="BJ394" s="5" t="s">
        <v>253</v>
      </c>
      <c r="BK394" s="5" t="s">
        <v>254</v>
      </c>
      <c r="BY394" s="5" t="s">
        <v>238</v>
      </c>
      <c r="BZ394" s="5" t="s">
        <v>238</v>
      </c>
      <c r="CD394" s="5" t="s">
        <v>255</v>
      </c>
      <c r="CE394" s="5" t="s">
        <v>256</v>
      </c>
      <c r="CF394" s="5" t="s">
        <v>238</v>
      </c>
      <c r="CI394" s="6" t="s">
        <v>257</v>
      </c>
      <c r="CJ394" s="5" t="s">
        <v>238</v>
      </c>
      <c r="CK394" s="5" t="s">
        <v>258</v>
      </c>
      <c r="CL394" s="5" t="s">
        <v>238</v>
      </c>
      <c r="CM394" s="5" t="s">
        <v>238</v>
      </c>
      <c r="CN394" s="5">
        <v>0</v>
      </c>
      <c r="CO394" s="5" t="s">
        <v>259</v>
      </c>
      <c r="CP394" s="5" t="s">
        <v>260</v>
      </c>
      <c r="CQ394" s="5" t="s">
        <v>260</v>
      </c>
      <c r="CR394" s="5" t="s">
        <v>261</v>
      </c>
      <c r="CU394" s="8">
        <f>2261515</f>
        <v>2261515</v>
      </c>
      <c r="CV394" s="8">
        <f>0</f>
        <v>0</v>
      </c>
      <c r="CX394" s="8">
        <f>0</f>
        <v>0</v>
      </c>
      <c r="CY394" s="8">
        <f>2261515</f>
        <v>2261515</v>
      </c>
      <c r="DA394" s="5" t="s">
        <v>2032</v>
      </c>
      <c r="DB394" s="5" t="s">
        <v>238</v>
      </c>
      <c r="DD394" s="5" t="s">
        <v>2211</v>
      </c>
      <c r="DE394" s="8">
        <f>1021</f>
        <v>1021</v>
      </c>
      <c r="DG394" s="5" t="s">
        <v>389</v>
      </c>
      <c r="DH394" s="5" t="s">
        <v>238</v>
      </c>
      <c r="DI394" s="5" t="s">
        <v>238</v>
      </c>
      <c r="DJ394" s="5" t="s">
        <v>238</v>
      </c>
      <c r="DN394" s="5" t="s">
        <v>238</v>
      </c>
      <c r="DO394" s="5" t="s">
        <v>238</v>
      </c>
      <c r="DP394" s="5" t="s">
        <v>238</v>
      </c>
      <c r="DQ394" s="5" t="s">
        <v>238</v>
      </c>
      <c r="DT394" s="5" t="s">
        <v>5911</v>
      </c>
      <c r="DU394" s="5" t="s">
        <v>1318</v>
      </c>
      <c r="HM394" s="5" t="s">
        <v>264</v>
      </c>
    </row>
    <row r="395" spans="1:221" x14ac:dyDescent="0.4">
      <c r="A395" s="5">
        <v>1130</v>
      </c>
      <c r="B395" s="5">
        <v>1</v>
      </c>
      <c r="C395" s="5">
        <v>1</v>
      </c>
      <c r="D395" s="5" t="s">
        <v>5909</v>
      </c>
      <c r="E395" s="5" t="s">
        <v>437</v>
      </c>
      <c r="F395" s="5" t="s">
        <v>248</v>
      </c>
      <c r="G395" s="5" t="s">
        <v>5908</v>
      </c>
      <c r="H395" s="6" t="s">
        <v>6494</v>
      </c>
      <c r="I395" s="7">
        <f>307</f>
        <v>307</v>
      </c>
      <c r="J395" s="5" t="s">
        <v>262</v>
      </c>
      <c r="K395" s="8">
        <f>680005</f>
        <v>680005</v>
      </c>
      <c r="L395" s="6" t="s">
        <v>242</v>
      </c>
      <c r="M395" s="5" t="s">
        <v>267</v>
      </c>
      <c r="N395" s="5" t="s">
        <v>237</v>
      </c>
      <c r="O395" s="5" t="s">
        <v>238</v>
      </c>
      <c r="P395" s="5" t="s">
        <v>238</v>
      </c>
      <c r="Q395" s="5" t="s">
        <v>239</v>
      </c>
      <c r="R395" s="5" t="s">
        <v>270</v>
      </c>
      <c r="S395" s="5" t="s">
        <v>238</v>
      </c>
      <c r="V395" s="5" t="s">
        <v>238</v>
      </c>
      <c r="X395" s="6" t="s">
        <v>238</v>
      </c>
      <c r="AA395" s="6" t="s">
        <v>243</v>
      </c>
      <c r="AB395" s="5" t="s">
        <v>238</v>
      </c>
      <c r="AC395" s="5" t="s">
        <v>244</v>
      </c>
      <c r="AD395" s="5" t="s">
        <v>245</v>
      </c>
      <c r="AT395" s="5" t="s">
        <v>246</v>
      </c>
      <c r="AU395" s="5" t="s">
        <v>238</v>
      </c>
      <c r="AV395" s="5" t="s">
        <v>247</v>
      </c>
      <c r="AW395" s="5" t="s">
        <v>238</v>
      </c>
      <c r="AX395" s="5" t="s">
        <v>249</v>
      </c>
      <c r="AY395" s="5" t="s">
        <v>238</v>
      </c>
      <c r="BA395" s="5" t="s">
        <v>238</v>
      </c>
      <c r="BC395" s="5" t="s">
        <v>250</v>
      </c>
      <c r="BD395" s="6" t="s">
        <v>243</v>
      </c>
      <c r="BE395" s="5" t="s">
        <v>251</v>
      </c>
      <c r="BF395" s="5" t="s">
        <v>252</v>
      </c>
      <c r="BG395" s="5" t="s">
        <v>238</v>
      </c>
      <c r="BH395" s="7">
        <f>0</f>
        <v>0</v>
      </c>
      <c r="BI395" s="8">
        <f>0</f>
        <v>0</v>
      </c>
      <c r="BJ395" s="5" t="s">
        <v>253</v>
      </c>
      <c r="BK395" s="5" t="s">
        <v>254</v>
      </c>
      <c r="BY395" s="5" t="s">
        <v>238</v>
      </c>
      <c r="BZ395" s="5" t="s">
        <v>238</v>
      </c>
      <c r="CD395" s="5" t="s">
        <v>255</v>
      </c>
      <c r="CE395" s="5" t="s">
        <v>256</v>
      </c>
      <c r="CF395" s="5" t="s">
        <v>238</v>
      </c>
      <c r="CI395" s="6" t="s">
        <v>257</v>
      </c>
      <c r="CJ395" s="5" t="s">
        <v>238</v>
      </c>
      <c r="CK395" s="5" t="s">
        <v>258</v>
      </c>
      <c r="CL395" s="5" t="s">
        <v>238</v>
      </c>
      <c r="CM395" s="5" t="s">
        <v>238</v>
      </c>
      <c r="CN395" s="5">
        <v>0</v>
      </c>
      <c r="CO395" s="5" t="s">
        <v>259</v>
      </c>
      <c r="CP395" s="5" t="s">
        <v>260</v>
      </c>
      <c r="CQ395" s="5" t="s">
        <v>260</v>
      </c>
      <c r="CR395" s="5" t="s">
        <v>261</v>
      </c>
      <c r="CU395" s="8">
        <f>680005</f>
        <v>680005</v>
      </c>
      <c r="CV395" s="8">
        <f>0</f>
        <v>0</v>
      </c>
      <c r="CX395" s="8">
        <f>0</f>
        <v>0</v>
      </c>
      <c r="CY395" s="8">
        <f>680005</f>
        <v>680005</v>
      </c>
      <c r="DA395" s="5" t="s">
        <v>2032</v>
      </c>
      <c r="DB395" s="5" t="s">
        <v>238</v>
      </c>
      <c r="DD395" s="5" t="s">
        <v>2211</v>
      </c>
      <c r="DE395" s="8">
        <f>307</f>
        <v>307</v>
      </c>
      <c r="DG395" s="5" t="s">
        <v>389</v>
      </c>
      <c r="DH395" s="5" t="s">
        <v>238</v>
      </c>
      <c r="DI395" s="5" t="s">
        <v>238</v>
      </c>
      <c r="DJ395" s="5" t="s">
        <v>238</v>
      </c>
      <c r="DN395" s="5" t="s">
        <v>238</v>
      </c>
      <c r="DO395" s="5" t="s">
        <v>238</v>
      </c>
      <c r="DP395" s="5" t="s">
        <v>238</v>
      </c>
      <c r="DQ395" s="5" t="s">
        <v>238</v>
      </c>
      <c r="DT395" s="5" t="s">
        <v>5911</v>
      </c>
      <c r="DU395" s="5" t="s">
        <v>1314</v>
      </c>
      <c r="HM395" s="5" t="s">
        <v>264</v>
      </c>
    </row>
    <row r="396" spans="1:221" x14ac:dyDescent="0.4">
      <c r="A396" s="5">
        <v>1131</v>
      </c>
      <c r="B396" s="5">
        <v>1</v>
      </c>
      <c r="C396" s="5">
        <v>1</v>
      </c>
      <c r="D396" s="5" t="s">
        <v>5909</v>
      </c>
      <c r="E396" s="5" t="s">
        <v>437</v>
      </c>
      <c r="F396" s="5" t="s">
        <v>248</v>
      </c>
      <c r="G396" s="5" t="s">
        <v>5908</v>
      </c>
      <c r="H396" s="6" t="s">
        <v>5929</v>
      </c>
      <c r="I396" s="7">
        <f>707</f>
        <v>707</v>
      </c>
      <c r="J396" s="5" t="s">
        <v>262</v>
      </c>
      <c r="K396" s="8">
        <f>1566005</f>
        <v>1566005</v>
      </c>
      <c r="L396" s="6" t="s">
        <v>242</v>
      </c>
      <c r="M396" s="5" t="s">
        <v>267</v>
      </c>
      <c r="N396" s="5" t="s">
        <v>237</v>
      </c>
      <c r="O396" s="5" t="s">
        <v>238</v>
      </c>
      <c r="P396" s="5" t="s">
        <v>238</v>
      </c>
      <c r="Q396" s="5" t="s">
        <v>239</v>
      </c>
      <c r="R396" s="5" t="s">
        <v>270</v>
      </c>
      <c r="S396" s="5" t="s">
        <v>238</v>
      </c>
      <c r="V396" s="5" t="s">
        <v>238</v>
      </c>
      <c r="X396" s="6" t="s">
        <v>238</v>
      </c>
      <c r="AA396" s="6" t="s">
        <v>243</v>
      </c>
      <c r="AB396" s="5" t="s">
        <v>238</v>
      </c>
      <c r="AC396" s="5" t="s">
        <v>244</v>
      </c>
      <c r="AD396" s="5" t="s">
        <v>245</v>
      </c>
      <c r="AT396" s="5" t="s">
        <v>246</v>
      </c>
      <c r="AU396" s="5" t="s">
        <v>238</v>
      </c>
      <c r="AV396" s="5" t="s">
        <v>247</v>
      </c>
      <c r="AW396" s="5" t="s">
        <v>238</v>
      </c>
      <c r="AX396" s="5" t="s">
        <v>249</v>
      </c>
      <c r="AY396" s="5" t="s">
        <v>238</v>
      </c>
      <c r="BA396" s="5" t="s">
        <v>238</v>
      </c>
      <c r="BC396" s="5" t="s">
        <v>250</v>
      </c>
      <c r="BD396" s="6" t="s">
        <v>243</v>
      </c>
      <c r="BE396" s="5" t="s">
        <v>251</v>
      </c>
      <c r="BF396" s="5" t="s">
        <v>252</v>
      </c>
      <c r="BG396" s="5" t="s">
        <v>238</v>
      </c>
      <c r="BH396" s="7">
        <f>0</f>
        <v>0</v>
      </c>
      <c r="BI396" s="8">
        <f>0</f>
        <v>0</v>
      </c>
      <c r="BJ396" s="5" t="s">
        <v>253</v>
      </c>
      <c r="BK396" s="5" t="s">
        <v>254</v>
      </c>
      <c r="BY396" s="5" t="s">
        <v>238</v>
      </c>
      <c r="BZ396" s="5" t="s">
        <v>238</v>
      </c>
      <c r="CD396" s="5" t="s">
        <v>255</v>
      </c>
      <c r="CE396" s="5" t="s">
        <v>256</v>
      </c>
      <c r="CF396" s="5" t="s">
        <v>238</v>
      </c>
      <c r="CI396" s="6" t="s">
        <v>257</v>
      </c>
      <c r="CJ396" s="5" t="s">
        <v>238</v>
      </c>
      <c r="CK396" s="5" t="s">
        <v>258</v>
      </c>
      <c r="CL396" s="5" t="s">
        <v>238</v>
      </c>
      <c r="CM396" s="5" t="s">
        <v>238</v>
      </c>
      <c r="CN396" s="5">
        <v>0</v>
      </c>
      <c r="CO396" s="5" t="s">
        <v>259</v>
      </c>
      <c r="CP396" s="5" t="s">
        <v>260</v>
      </c>
      <c r="CQ396" s="5" t="s">
        <v>260</v>
      </c>
      <c r="CR396" s="5" t="s">
        <v>261</v>
      </c>
      <c r="CU396" s="8">
        <f>1566005</f>
        <v>1566005</v>
      </c>
      <c r="CV396" s="8">
        <f>0</f>
        <v>0</v>
      </c>
      <c r="CX396" s="8">
        <f>0</f>
        <v>0</v>
      </c>
      <c r="CY396" s="8">
        <f>1566005</f>
        <v>1566005</v>
      </c>
      <c r="DA396" s="5" t="s">
        <v>2032</v>
      </c>
      <c r="DB396" s="5" t="s">
        <v>238</v>
      </c>
      <c r="DD396" s="5" t="s">
        <v>2211</v>
      </c>
      <c r="DE396" s="8">
        <f>707</f>
        <v>707</v>
      </c>
      <c r="DG396" s="5" t="s">
        <v>389</v>
      </c>
      <c r="DH396" s="5" t="s">
        <v>238</v>
      </c>
      <c r="DI396" s="5" t="s">
        <v>238</v>
      </c>
      <c r="DJ396" s="5" t="s">
        <v>238</v>
      </c>
      <c r="DN396" s="5" t="s">
        <v>238</v>
      </c>
      <c r="DO396" s="5" t="s">
        <v>238</v>
      </c>
      <c r="DP396" s="5" t="s">
        <v>238</v>
      </c>
      <c r="DQ396" s="5" t="s">
        <v>238</v>
      </c>
      <c r="DT396" s="5" t="s">
        <v>5911</v>
      </c>
      <c r="DU396" s="5" t="s">
        <v>602</v>
      </c>
      <c r="HM396" s="5" t="s">
        <v>264</v>
      </c>
    </row>
    <row r="397" spans="1:221" x14ac:dyDescent="0.4">
      <c r="A397" s="5">
        <v>1132</v>
      </c>
      <c r="B397" s="5">
        <v>1</v>
      </c>
      <c r="C397" s="5">
        <v>1</v>
      </c>
      <c r="D397" s="5" t="s">
        <v>5909</v>
      </c>
      <c r="E397" s="5" t="s">
        <v>437</v>
      </c>
      <c r="F397" s="5" t="s">
        <v>248</v>
      </c>
      <c r="G397" s="5" t="s">
        <v>5908</v>
      </c>
      <c r="H397" s="6" t="s">
        <v>5930</v>
      </c>
      <c r="I397" s="7">
        <f>201</f>
        <v>201</v>
      </c>
      <c r="J397" s="5" t="s">
        <v>262</v>
      </c>
      <c r="K397" s="8">
        <f>445215</f>
        <v>445215</v>
      </c>
      <c r="L397" s="6" t="s">
        <v>242</v>
      </c>
      <c r="M397" s="5" t="s">
        <v>267</v>
      </c>
      <c r="N397" s="5" t="s">
        <v>237</v>
      </c>
      <c r="O397" s="5" t="s">
        <v>238</v>
      </c>
      <c r="P397" s="5" t="s">
        <v>238</v>
      </c>
      <c r="Q397" s="5" t="s">
        <v>239</v>
      </c>
      <c r="R397" s="5" t="s">
        <v>270</v>
      </c>
      <c r="S397" s="5" t="s">
        <v>238</v>
      </c>
      <c r="V397" s="5" t="s">
        <v>238</v>
      </c>
      <c r="X397" s="6" t="s">
        <v>238</v>
      </c>
      <c r="AA397" s="6" t="s">
        <v>243</v>
      </c>
      <c r="AB397" s="5" t="s">
        <v>238</v>
      </c>
      <c r="AC397" s="5" t="s">
        <v>244</v>
      </c>
      <c r="AD397" s="5" t="s">
        <v>245</v>
      </c>
      <c r="AT397" s="5" t="s">
        <v>246</v>
      </c>
      <c r="AU397" s="5" t="s">
        <v>238</v>
      </c>
      <c r="AV397" s="5" t="s">
        <v>247</v>
      </c>
      <c r="AW397" s="5" t="s">
        <v>238</v>
      </c>
      <c r="AX397" s="5" t="s">
        <v>249</v>
      </c>
      <c r="AY397" s="5" t="s">
        <v>238</v>
      </c>
      <c r="BA397" s="5" t="s">
        <v>238</v>
      </c>
      <c r="BC397" s="5" t="s">
        <v>250</v>
      </c>
      <c r="BD397" s="6" t="s">
        <v>243</v>
      </c>
      <c r="BE397" s="5" t="s">
        <v>251</v>
      </c>
      <c r="BF397" s="5" t="s">
        <v>252</v>
      </c>
      <c r="BG397" s="5" t="s">
        <v>238</v>
      </c>
      <c r="BH397" s="7">
        <f>0</f>
        <v>0</v>
      </c>
      <c r="BI397" s="8">
        <f>0</f>
        <v>0</v>
      </c>
      <c r="BJ397" s="5" t="s">
        <v>253</v>
      </c>
      <c r="BK397" s="5" t="s">
        <v>254</v>
      </c>
      <c r="BY397" s="5" t="s">
        <v>238</v>
      </c>
      <c r="BZ397" s="5" t="s">
        <v>238</v>
      </c>
      <c r="CD397" s="5" t="s">
        <v>255</v>
      </c>
      <c r="CE397" s="5" t="s">
        <v>256</v>
      </c>
      <c r="CF397" s="5" t="s">
        <v>238</v>
      </c>
      <c r="CI397" s="6" t="s">
        <v>257</v>
      </c>
      <c r="CJ397" s="5" t="s">
        <v>238</v>
      </c>
      <c r="CK397" s="5" t="s">
        <v>258</v>
      </c>
      <c r="CL397" s="5" t="s">
        <v>238</v>
      </c>
      <c r="CM397" s="5" t="s">
        <v>238</v>
      </c>
      <c r="CN397" s="5">
        <v>0</v>
      </c>
      <c r="CO397" s="5" t="s">
        <v>259</v>
      </c>
      <c r="CP397" s="5" t="s">
        <v>260</v>
      </c>
      <c r="CQ397" s="5" t="s">
        <v>260</v>
      </c>
      <c r="CR397" s="5" t="s">
        <v>261</v>
      </c>
      <c r="CU397" s="8">
        <f>445215</f>
        <v>445215</v>
      </c>
      <c r="CV397" s="8">
        <f>0</f>
        <v>0</v>
      </c>
      <c r="CX397" s="8">
        <f>0</f>
        <v>0</v>
      </c>
      <c r="CY397" s="8">
        <f>445215</f>
        <v>445215</v>
      </c>
      <c r="DA397" s="5" t="s">
        <v>2032</v>
      </c>
      <c r="DB397" s="5" t="s">
        <v>238</v>
      </c>
      <c r="DD397" s="5" t="s">
        <v>2211</v>
      </c>
      <c r="DE397" s="8">
        <f>201</f>
        <v>201</v>
      </c>
      <c r="DG397" s="5" t="s">
        <v>389</v>
      </c>
      <c r="DH397" s="5" t="s">
        <v>238</v>
      </c>
      <c r="DI397" s="5" t="s">
        <v>238</v>
      </c>
      <c r="DJ397" s="5" t="s">
        <v>238</v>
      </c>
      <c r="DN397" s="5" t="s">
        <v>238</v>
      </c>
      <c r="DO397" s="5" t="s">
        <v>238</v>
      </c>
      <c r="DP397" s="5" t="s">
        <v>238</v>
      </c>
      <c r="DQ397" s="5" t="s">
        <v>238</v>
      </c>
      <c r="DT397" s="5" t="s">
        <v>5911</v>
      </c>
      <c r="DU397" s="5" t="s">
        <v>1307</v>
      </c>
      <c r="HM397" s="5" t="s">
        <v>264</v>
      </c>
    </row>
    <row r="398" spans="1:221" x14ac:dyDescent="0.4">
      <c r="A398" s="5">
        <v>1133</v>
      </c>
      <c r="B398" s="5">
        <v>1</v>
      </c>
      <c r="C398" s="5">
        <v>1</v>
      </c>
      <c r="D398" s="5" t="s">
        <v>5909</v>
      </c>
      <c r="E398" s="5" t="s">
        <v>437</v>
      </c>
      <c r="F398" s="5" t="s">
        <v>248</v>
      </c>
      <c r="G398" s="5" t="s">
        <v>5908</v>
      </c>
      <c r="H398" s="6" t="s">
        <v>5931</v>
      </c>
      <c r="I398" s="7">
        <f>499</f>
        <v>499</v>
      </c>
      <c r="J398" s="5" t="s">
        <v>262</v>
      </c>
      <c r="K398" s="8">
        <f>1105285</f>
        <v>1105285</v>
      </c>
      <c r="L398" s="6" t="s">
        <v>242</v>
      </c>
      <c r="M398" s="5" t="s">
        <v>267</v>
      </c>
      <c r="N398" s="5" t="s">
        <v>237</v>
      </c>
      <c r="O398" s="5" t="s">
        <v>238</v>
      </c>
      <c r="P398" s="5" t="s">
        <v>238</v>
      </c>
      <c r="Q398" s="5" t="s">
        <v>239</v>
      </c>
      <c r="R398" s="5" t="s">
        <v>270</v>
      </c>
      <c r="S398" s="5" t="s">
        <v>238</v>
      </c>
      <c r="V398" s="5" t="s">
        <v>238</v>
      </c>
      <c r="X398" s="6" t="s">
        <v>238</v>
      </c>
      <c r="AA398" s="6" t="s">
        <v>243</v>
      </c>
      <c r="AB398" s="5" t="s">
        <v>238</v>
      </c>
      <c r="AC398" s="5" t="s">
        <v>244</v>
      </c>
      <c r="AD398" s="5" t="s">
        <v>245</v>
      </c>
      <c r="AT398" s="5" t="s">
        <v>246</v>
      </c>
      <c r="AU398" s="5" t="s">
        <v>238</v>
      </c>
      <c r="AV398" s="5" t="s">
        <v>247</v>
      </c>
      <c r="AW398" s="5" t="s">
        <v>238</v>
      </c>
      <c r="AX398" s="5" t="s">
        <v>249</v>
      </c>
      <c r="AY398" s="5" t="s">
        <v>238</v>
      </c>
      <c r="BA398" s="5" t="s">
        <v>238</v>
      </c>
      <c r="BC398" s="5" t="s">
        <v>250</v>
      </c>
      <c r="BD398" s="6" t="s">
        <v>243</v>
      </c>
      <c r="BE398" s="5" t="s">
        <v>251</v>
      </c>
      <c r="BF398" s="5" t="s">
        <v>252</v>
      </c>
      <c r="BG398" s="5" t="s">
        <v>238</v>
      </c>
      <c r="BH398" s="7">
        <f>0</f>
        <v>0</v>
      </c>
      <c r="BI398" s="8">
        <f>0</f>
        <v>0</v>
      </c>
      <c r="BJ398" s="5" t="s">
        <v>253</v>
      </c>
      <c r="BK398" s="5" t="s">
        <v>254</v>
      </c>
      <c r="BY398" s="5" t="s">
        <v>238</v>
      </c>
      <c r="BZ398" s="5" t="s">
        <v>238</v>
      </c>
      <c r="CD398" s="5" t="s">
        <v>255</v>
      </c>
      <c r="CE398" s="5" t="s">
        <v>256</v>
      </c>
      <c r="CF398" s="5" t="s">
        <v>238</v>
      </c>
      <c r="CI398" s="6" t="s">
        <v>257</v>
      </c>
      <c r="CJ398" s="5" t="s">
        <v>238</v>
      </c>
      <c r="CK398" s="5" t="s">
        <v>258</v>
      </c>
      <c r="CL398" s="5" t="s">
        <v>238</v>
      </c>
      <c r="CM398" s="5" t="s">
        <v>238</v>
      </c>
      <c r="CN398" s="5">
        <v>0</v>
      </c>
      <c r="CO398" s="5" t="s">
        <v>259</v>
      </c>
      <c r="CP398" s="5" t="s">
        <v>260</v>
      </c>
      <c r="CQ398" s="5" t="s">
        <v>260</v>
      </c>
      <c r="CR398" s="5" t="s">
        <v>261</v>
      </c>
      <c r="CU398" s="8">
        <f>1105285</f>
        <v>1105285</v>
      </c>
      <c r="CV398" s="8">
        <f>0</f>
        <v>0</v>
      </c>
      <c r="CX398" s="8">
        <f>0</f>
        <v>0</v>
      </c>
      <c r="CY398" s="8">
        <f>1105285</f>
        <v>1105285</v>
      </c>
      <c r="DA398" s="5" t="s">
        <v>2032</v>
      </c>
      <c r="DB398" s="5" t="s">
        <v>238</v>
      </c>
      <c r="DD398" s="5" t="s">
        <v>2211</v>
      </c>
      <c r="DE398" s="8">
        <f>499</f>
        <v>499</v>
      </c>
      <c r="DG398" s="5" t="s">
        <v>389</v>
      </c>
      <c r="DH398" s="5" t="s">
        <v>238</v>
      </c>
      <c r="DI398" s="5" t="s">
        <v>238</v>
      </c>
      <c r="DJ398" s="5" t="s">
        <v>238</v>
      </c>
      <c r="DN398" s="5" t="s">
        <v>238</v>
      </c>
      <c r="DO398" s="5" t="s">
        <v>238</v>
      </c>
      <c r="DP398" s="5" t="s">
        <v>238</v>
      </c>
      <c r="DQ398" s="5" t="s">
        <v>238</v>
      </c>
      <c r="DT398" s="5" t="s">
        <v>5911</v>
      </c>
      <c r="DU398" s="5" t="s">
        <v>1305</v>
      </c>
      <c r="HM398" s="5" t="s">
        <v>264</v>
      </c>
    </row>
    <row r="399" spans="1:221" x14ac:dyDescent="0.4">
      <c r="A399" s="5">
        <v>1134</v>
      </c>
      <c r="B399" s="5">
        <v>1</v>
      </c>
      <c r="C399" s="5">
        <v>1</v>
      </c>
      <c r="D399" s="5" t="s">
        <v>5909</v>
      </c>
      <c r="E399" s="5" t="s">
        <v>437</v>
      </c>
      <c r="F399" s="5" t="s">
        <v>248</v>
      </c>
      <c r="G399" s="5" t="s">
        <v>5908</v>
      </c>
      <c r="H399" s="6" t="s">
        <v>5932</v>
      </c>
      <c r="I399" s="7">
        <f>310</f>
        <v>310</v>
      </c>
      <c r="J399" s="5" t="s">
        <v>262</v>
      </c>
      <c r="K399" s="8">
        <f>686650</f>
        <v>686650</v>
      </c>
      <c r="L399" s="6" t="s">
        <v>242</v>
      </c>
      <c r="M399" s="5" t="s">
        <v>267</v>
      </c>
      <c r="N399" s="5" t="s">
        <v>237</v>
      </c>
      <c r="O399" s="5" t="s">
        <v>238</v>
      </c>
      <c r="P399" s="5" t="s">
        <v>238</v>
      </c>
      <c r="Q399" s="5" t="s">
        <v>239</v>
      </c>
      <c r="R399" s="5" t="s">
        <v>270</v>
      </c>
      <c r="S399" s="5" t="s">
        <v>238</v>
      </c>
      <c r="V399" s="5" t="s">
        <v>238</v>
      </c>
      <c r="X399" s="6" t="s">
        <v>238</v>
      </c>
      <c r="AA399" s="6" t="s">
        <v>243</v>
      </c>
      <c r="AB399" s="5" t="s">
        <v>238</v>
      </c>
      <c r="AC399" s="5" t="s">
        <v>244</v>
      </c>
      <c r="AD399" s="5" t="s">
        <v>245</v>
      </c>
      <c r="AT399" s="5" t="s">
        <v>246</v>
      </c>
      <c r="AU399" s="5" t="s">
        <v>238</v>
      </c>
      <c r="AV399" s="5" t="s">
        <v>247</v>
      </c>
      <c r="AW399" s="5" t="s">
        <v>238</v>
      </c>
      <c r="AX399" s="5" t="s">
        <v>249</v>
      </c>
      <c r="AY399" s="5" t="s">
        <v>238</v>
      </c>
      <c r="BA399" s="5" t="s">
        <v>238</v>
      </c>
      <c r="BC399" s="5" t="s">
        <v>250</v>
      </c>
      <c r="BD399" s="6" t="s">
        <v>243</v>
      </c>
      <c r="BE399" s="5" t="s">
        <v>251</v>
      </c>
      <c r="BF399" s="5" t="s">
        <v>252</v>
      </c>
      <c r="BG399" s="5" t="s">
        <v>238</v>
      </c>
      <c r="BH399" s="7">
        <f>0</f>
        <v>0</v>
      </c>
      <c r="BI399" s="8">
        <f>0</f>
        <v>0</v>
      </c>
      <c r="BJ399" s="5" t="s">
        <v>253</v>
      </c>
      <c r="BK399" s="5" t="s">
        <v>254</v>
      </c>
      <c r="BY399" s="5" t="s">
        <v>238</v>
      </c>
      <c r="BZ399" s="5" t="s">
        <v>238</v>
      </c>
      <c r="CD399" s="5" t="s">
        <v>255</v>
      </c>
      <c r="CE399" s="5" t="s">
        <v>256</v>
      </c>
      <c r="CF399" s="5" t="s">
        <v>238</v>
      </c>
      <c r="CI399" s="6" t="s">
        <v>257</v>
      </c>
      <c r="CJ399" s="5" t="s">
        <v>238</v>
      </c>
      <c r="CK399" s="5" t="s">
        <v>258</v>
      </c>
      <c r="CL399" s="5" t="s">
        <v>238</v>
      </c>
      <c r="CM399" s="5" t="s">
        <v>238</v>
      </c>
      <c r="CN399" s="5">
        <v>0</v>
      </c>
      <c r="CO399" s="5" t="s">
        <v>259</v>
      </c>
      <c r="CP399" s="5" t="s">
        <v>260</v>
      </c>
      <c r="CQ399" s="5" t="s">
        <v>260</v>
      </c>
      <c r="CR399" s="5" t="s">
        <v>261</v>
      </c>
      <c r="CU399" s="8">
        <f>686650</f>
        <v>686650</v>
      </c>
      <c r="CV399" s="8">
        <f>0</f>
        <v>0</v>
      </c>
      <c r="CX399" s="8">
        <f>0</f>
        <v>0</v>
      </c>
      <c r="CY399" s="8">
        <f>686650</f>
        <v>686650</v>
      </c>
      <c r="DA399" s="5" t="s">
        <v>2032</v>
      </c>
      <c r="DB399" s="5" t="s">
        <v>238</v>
      </c>
      <c r="DD399" s="5" t="s">
        <v>2211</v>
      </c>
      <c r="DE399" s="8">
        <f>310</f>
        <v>310</v>
      </c>
      <c r="DG399" s="5" t="s">
        <v>389</v>
      </c>
      <c r="DH399" s="5" t="s">
        <v>238</v>
      </c>
      <c r="DI399" s="5" t="s">
        <v>238</v>
      </c>
      <c r="DJ399" s="5" t="s">
        <v>238</v>
      </c>
      <c r="DN399" s="5" t="s">
        <v>238</v>
      </c>
      <c r="DO399" s="5" t="s">
        <v>238</v>
      </c>
      <c r="DP399" s="5" t="s">
        <v>238</v>
      </c>
      <c r="DQ399" s="5" t="s">
        <v>238</v>
      </c>
      <c r="DT399" s="5" t="s">
        <v>5911</v>
      </c>
      <c r="DU399" s="5" t="s">
        <v>1301</v>
      </c>
      <c r="HM399" s="5" t="s">
        <v>264</v>
      </c>
    </row>
    <row r="400" spans="1:221" x14ac:dyDescent="0.4">
      <c r="A400" s="5">
        <v>1135</v>
      </c>
      <c r="B400" s="5">
        <v>1</v>
      </c>
      <c r="C400" s="5">
        <v>1</v>
      </c>
      <c r="D400" s="5" t="s">
        <v>5909</v>
      </c>
      <c r="E400" s="5" t="s">
        <v>437</v>
      </c>
      <c r="F400" s="5" t="s">
        <v>248</v>
      </c>
      <c r="G400" s="5" t="s">
        <v>5908</v>
      </c>
      <c r="H400" s="6" t="s">
        <v>5933</v>
      </c>
      <c r="I400" s="7">
        <f>70</f>
        <v>70</v>
      </c>
      <c r="J400" s="5" t="s">
        <v>262</v>
      </c>
      <c r="K400" s="8">
        <f>155050</f>
        <v>155050</v>
      </c>
      <c r="L400" s="6" t="s">
        <v>242</v>
      </c>
      <c r="M400" s="5" t="s">
        <v>267</v>
      </c>
      <c r="N400" s="5" t="s">
        <v>237</v>
      </c>
      <c r="O400" s="5" t="s">
        <v>238</v>
      </c>
      <c r="P400" s="5" t="s">
        <v>238</v>
      </c>
      <c r="Q400" s="5" t="s">
        <v>239</v>
      </c>
      <c r="R400" s="5" t="s">
        <v>270</v>
      </c>
      <c r="S400" s="5" t="s">
        <v>238</v>
      </c>
      <c r="V400" s="5" t="s">
        <v>238</v>
      </c>
      <c r="X400" s="6" t="s">
        <v>238</v>
      </c>
      <c r="AA400" s="6" t="s">
        <v>243</v>
      </c>
      <c r="AB400" s="5" t="s">
        <v>238</v>
      </c>
      <c r="AC400" s="5" t="s">
        <v>244</v>
      </c>
      <c r="AD400" s="5" t="s">
        <v>245</v>
      </c>
      <c r="AT400" s="5" t="s">
        <v>246</v>
      </c>
      <c r="AU400" s="5" t="s">
        <v>238</v>
      </c>
      <c r="AV400" s="5" t="s">
        <v>247</v>
      </c>
      <c r="AW400" s="5" t="s">
        <v>238</v>
      </c>
      <c r="AX400" s="5" t="s">
        <v>249</v>
      </c>
      <c r="AY400" s="5" t="s">
        <v>238</v>
      </c>
      <c r="BA400" s="5" t="s">
        <v>238</v>
      </c>
      <c r="BC400" s="5" t="s">
        <v>250</v>
      </c>
      <c r="BD400" s="6" t="s">
        <v>243</v>
      </c>
      <c r="BE400" s="5" t="s">
        <v>251</v>
      </c>
      <c r="BF400" s="5" t="s">
        <v>252</v>
      </c>
      <c r="BG400" s="5" t="s">
        <v>238</v>
      </c>
      <c r="BH400" s="7">
        <f>0</f>
        <v>0</v>
      </c>
      <c r="BI400" s="8">
        <f>0</f>
        <v>0</v>
      </c>
      <c r="BJ400" s="5" t="s">
        <v>253</v>
      </c>
      <c r="BK400" s="5" t="s">
        <v>254</v>
      </c>
      <c r="BY400" s="5" t="s">
        <v>238</v>
      </c>
      <c r="BZ400" s="5" t="s">
        <v>238</v>
      </c>
      <c r="CD400" s="5" t="s">
        <v>255</v>
      </c>
      <c r="CE400" s="5" t="s">
        <v>256</v>
      </c>
      <c r="CF400" s="5" t="s">
        <v>238</v>
      </c>
      <c r="CI400" s="6" t="s">
        <v>257</v>
      </c>
      <c r="CJ400" s="5" t="s">
        <v>238</v>
      </c>
      <c r="CK400" s="5" t="s">
        <v>258</v>
      </c>
      <c r="CL400" s="5" t="s">
        <v>238</v>
      </c>
      <c r="CM400" s="5" t="s">
        <v>238</v>
      </c>
      <c r="CN400" s="5">
        <v>0</v>
      </c>
      <c r="CO400" s="5" t="s">
        <v>259</v>
      </c>
      <c r="CP400" s="5" t="s">
        <v>260</v>
      </c>
      <c r="CQ400" s="5" t="s">
        <v>260</v>
      </c>
      <c r="CR400" s="5" t="s">
        <v>261</v>
      </c>
      <c r="CU400" s="8">
        <f>155050</f>
        <v>155050</v>
      </c>
      <c r="CV400" s="8">
        <f>0</f>
        <v>0</v>
      </c>
      <c r="CX400" s="8">
        <f>0</f>
        <v>0</v>
      </c>
      <c r="CY400" s="8">
        <f>155050</f>
        <v>155050</v>
      </c>
      <c r="DA400" s="5" t="s">
        <v>2032</v>
      </c>
      <c r="DB400" s="5" t="s">
        <v>238</v>
      </c>
      <c r="DD400" s="5" t="s">
        <v>357</v>
      </c>
      <c r="DE400" s="8">
        <f>70</f>
        <v>70</v>
      </c>
      <c r="DG400" s="5" t="s">
        <v>389</v>
      </c>
      <c r="DH400" s="5" t="s">
        <v>238</v>
      </c>
      <c r="DI400" s="5" t="s">
        <v>238</v>
      </c>
      <c r="DJ400" s="5" t="s">
        <v>238</v>
      </c>
      <c r="DN400" s="5" t="s">
        <v>238</v>
      </c>
      <c r="DO400" s="5" t="s">
        <v>238</v>
      </c>
      <c r="DP400" s="5" t="s">
        <v>238</v>
      </c>
      <c r="DQ400" s="5" t="s">
        <v>238</v>
      </c>
      <c r="DT400" s="5" t="s">
        <v>5911</v>
      </c>
      <c r="DU400" s="5" t="s">
        <v>1299</v>
      </c>
      <c r="HM400" s="5" t="s">
        <v>264</v>
      </c>
    </row>
    <row r="401" spans="1:221" x14ac:dyDescent="0.4">
      <c r="A401" s="5">
        <v>1136</v>
      </c>
      <c r="B401" s="5">
        <v>1</v>
      </c>
      <c r="C401" s="5">
        <v>1</v>
      </c>
      <c r="D401" s="5" t="s">
        <v>5909</v>
      </c>
      <c r="E401" s="5" t="s">
        <v>437</v>
      </c>
      <c r="F401" s="5" t="s">
        <v>248</v>
      </c>
      <c r="G401" s="5" t="s">
        <v>5908</v>
      </c>
      <c r="H401" s="6" t="s">
        <v>5934</v>
      </c>
      <c r="I401" s="7">
        <f>89</f>
        <v>89</v>
      </c>
      <c r="J401" s="5" t="s">
        <v>262</v>
      </c>
      <c r="K401" s="8">
        <f>197135</f>
        <v>197135</v>
      </c>
      <c r="L401" s="6" t="s">
        <v>242</v>
      </c>
      <c r="M401" s="5" t="s">
        <v>267</v>
      </c>
      <c r="N401" s="5" t="s">
        <v>237</v>
      </c>
      <c r="O401" s="5" t="s">
        <v>238</v>
      </c>
      <c r="P401" s="5" t="s">
        <v>238</v>
      </c>
      <c r="Q401" s="5" t="s">
        <v>239</v>
      </c>
      <c r="R401" s="5" t="s">
        <v>270</v>
      </c>
      <c r="S401" s="5" t="s">
        <v>238</v>
      </c>
      <c r="V401" s="5" t="s">
        <v>238</v>
      </c>
      <c r="X401" s="6" t="s">
        <v>238</v>
      </c>
      <c r="AA401" s="6" t="s">
        <v>243</v>
      </c>
      <c r="AB401" s="5" t="s">
        <v>238</v>
      </c>
      <c r="AC401" s="5" t="s">
        <v>244</v>
      </c>
      <c r="AD401" s="5" t="s">
        <v>245</v>
      </c>
      <c r="AT401" s="5" t="s">
        <v>246</v>
      </c>
      <c r="AU401" s="5" t="s">
        <v>238</v>
      </c>
      <c r="AV401" s="5" t="s">
        <v>247</v>
      </c>
      <c r="AW401" s="5" t="s">
        <v>238</v>
      </c>
      <c r="AX401" s="5" t="s">
        <v>249</v>
      </c>
      <c r="AY401" s="5" t="s">
        <v>238</v>
      </c>
      <c r="BA401" s="5" t="s">
        <v>238</v>
      </c>
      <c r="BC401" s="5" t="s">
        <v>250</v>
      </c>
      <c r="BD401" s="6" t="s">
        <v>243</v>
      </c>
      <c r="BE401" s="5" t="s">
        <v>251</v>
      </c>
      <c r="BF401" s="5" t="s">
        <v>252</v>
      </c>
      <c r="BG401" s="5" t="s">
        <v>238</v>
      </c>
      <c r="BH401" s="7">
        <f>0</f>
        <v>0</v>
      </c>
      <c r="BI401" s="8">
        <f>0</f>
        <v>0</v>
      </c>
      <c r="BJ401" s="5" t="s">
        <v>253</v>
      </c>
      <c r="BK401" s="5" t="s">
        <v>254</v>
      </c>
      <c r="BY401" s="5" t="s">
        <v>238</v>
      </c>
      <c r="BZ401" s="5" t="s">
        <v>238</v>
      </c>
      <c r="CD401" s="5" t="s">
        <v>255</v>
      </c>
      <c r="CE401" s="5" t="s">
        <v>256</v>
      </c>
      <c r="CF401" s="5" t="s">
        <v>238</v>
      </c>
      <c r="CI401" s="6" t="s">
        <v>257</v>
      </c>
      <c r="CJ401" s="5" t="s">
        <v>238</v>
      </c>
      <c r="CK401" s="5" t="s">
        <v>258</v>
      </c>
      <c r="CL401" s="5" t="s">
        <v>238</v>
      </c>
      <c r="CM401" s="5" t="s">
        <v>238</v>
      </c>
      <c r="CN401" s="5">
        <v>0</v>
      </c>
      <c r="CO401" s="5" t="s">
        <v>259</v>
      </c>
      <c r="CP401" s="5" t="s">
        <v>260</v>
      </c>
      <c r="CQ401" s="5" t="s">
        <v>260</v>
      </c>
      <c r="CR401" s="5" t="s">
        <v>261</v>
      </c>
      <c r="CU401" s="8">
        <f>197135</f>
        <v>197135</v>
      </c>
      <c r="CV401" s="8">
        <f>0</f>
        <v>0</v>
      </c>
      <c r="CX401" s="8">
        <f>0</f>
        <v>0</v>
      </c>
      <c r="CY401" s="8">
        <f>197135</f>
        <v>197135</v>
      </c>
      <c r="DA401" s="5" t="s">
        <v>2032</v>
      </c>
      <c r="DB401" s="5" t="s">
        <v>238</v>
      </c>
      <c r="DD401" s="5" t="s">
        <v>357</v>
      </c>
      <c r="DE401" s="8">
        <f>89</f>
        <v>89</v>
      </c>
      <c r="DG401" s="5" t="s">
        <v>389</v>
      </c>
      <c r="DH401" s="5" t="s">
        <v>238</v>
      </c>
      <c r="DI401" s="5" t="s">
        <v>238</v>
      </c>
      <c r="DJ401" s="5" t="s">
        <v>238</v>
      </c>
      <c r="DN401" s="5" t="s">
        <v>238</v>
      </c>
      <c r="DO401" s="5" t="s">
        <v>238</v>
      </c>
      <c r="DP401" s="5" t="s">
        <v>238</v>
      </c>
      <c r="DQ401" s="5" t="s">
        <v>238</v>
      </c>
      <c r="DT401" s="5" t="s">
        <v>5911</v>
      </c>
      <c r="DU401" s="5" t="s">
        <v>1291</v>
      </c>
      <c r="HM401" s="5" t="s">
        <v>264</v>
      </c>
    </row>
    <row r="402" spans="1:221" x14ac:dyDescent="0.4">
      <c r="A402" s="5">
        <v>1137</v>
      </c>
      <c r="B402" s="5">
        <v>1</v>
      </c>
      <c r="C402" s="5">
        <v>1</v>
      </c>
      <c r="D402" s="5" t="s">
        <v>5909</v>
      </c>
      <c r="E402" s="5" t="s">
        <v>437</v>
      </c>
      <c r="F402" s="5" t="s">
        <v>248</v>
      </c>
      <c r="G402" s="5" t="s">
        <v>5908</v>
      </c>
      <c r="H402" s="6" t="s">
        <v>5971</v>
      </c>
      <c r="I402" s="7">
        <f>91</f>
        <v>91</v>
      </c>
      <c r="J402" s="5" t="s">
        <v>262</v>
      </c>
      <c r="K402" s="8">
        <f>201565</f>
        <v>201565</v>
      </c>
      <c r="L402" s="6" t="s">
        <v>242</v>
      </c>
      <c r="M402" s="5" t="s">
        <v>267</v>
      </c>
      <c r="N402" s="5" t="s">
        <v>237</v>
      </c>
      <c r="O402" s="5" t="s">
        <v>238</v>
      </c>
      <c r="P402" s="5" t="s">
        <v>238</v>
      </c>
      <c r="Q402" s="5" t="s">
        <v>239</v>
      </c>
      <c r="R402" s="5" t="s">
        <v>270</v>
      </c>
      <c r="S402" s="5" t="s">
        <v>238</v>
      </c>
      <c r="V402" s="5" t="s">
        <v>238</v>
      </c>
      <c r="X402" s="6" t="s">
        <v>238</v>
      </c>
      <c r="AA402" s="6" t="s">
        <v>243</v>
      </c>
      <c r="AB402" s="5" t="s">
        <v>238</v>
      </c>
      <c r="AC402" s="5" t="s">
        <v>244</v>
      </c>
      <c r="AD402" s="5" t="s">
        <v>245</v>
      </c>
      <c r="AT402" s="5" t="s">
        <v>246</v>
      </c>
      <c r="AU402" s="5" t="s">
        <v>238</v>
      </c>
      <c r="AV402" s="5" t="s">
        <v>247</v>
      </c>
      <c r="AW402" s="5" t="s">
        <v>238</v>
      </c>
      <c r="AX402" s="5" t="s">
        <v>249</v>
      </c>
      <c r="AY402" s="5" t="s">
        <v>238</v>
      </c>
      <c r="BA402" s="5" t="s">
        <v>238</v>
      </c>
      <c r="BC402" s="5" t="s">
        <v>250</v>
      </c>
      <c r="BD402" s="6" t="s">
        <v>243</v>
      </c>
      <c r="BE402" s="5" t="s">
        <v>251</v>
      </c>
      <c r="BF402" s="5" t="s">
        <v>252</v>
      </c>
      <c r="BG402" s="5" t="s">
        <v>238</v>
      </c>
      <c r="BH402" s="7">
        <f>0</f>
        <v>0</v>
      </c>
      <c r="BI402" s="8">
        <f>0</f>
        <v>0</v>
      </c>
      <c r="BJ402" s="5" t="s">
        <v>253</v>
      </c>
      <c r="BK402" s="5" t="s">
        <v>254</v>
      </c>
      <c r="BY402" s="5" t="s">
        <v>238</v>
      </c>
      <c r="BZ402" s="5" t="s">
        <v>238</v>
      </c>
      <c r="CD402" s="5" t="s">
        <v>255</v>
      </c>
      <c r="CE402" s="5" t="s">
        <v>256</v>
      </c>
      <c r="CF402" s="5" t="s">
        <v>238</v>
      </c>
      <c r="CI402" s="6" t="s">
        <v>257</v>
      </c>
      <c r="CJ402" s="5" t="s">
        <v>238</v>
      </c>
      <c r="CK402" s="5" t="s">
        <v>258</v>
      </c>
      <c r="CL402" s="5" t="s">
        <v>238</v>
      </c>
      <c r="CM402" s="5" t="s">
        <v>238</v>
      </c>
      <c r="CN402" s="5">
        <v>0</v>
      </c>
      <c r="CO402" s="5" t="s">
        <v>259</v>
      </c>
      <c r="CP402" s="5" t="s">
        <v>260</v>
      </c>
      <c r="CQ402" s="5" t="s">
        <v>260</v>
      </c>
      <c r="CR402" s="5" t="s">
        <v>261</v>
      </c>
      <c r="CU402" s="8">
        <f>201565</f>
        <v>201565</v>
      </c>
      <c r="CV402" s="8">
        <f>0</f>
        <v>0</v>
      </c>
      <c r="CX402" s="8">
        <f>0</f>
        <v>0</v>
      </c>
      <c r="CY402" s="8">
        <f>201565</f>
        <v>201565</v>
      </c>
      <c r="DA402" s="5" t="s">
        <v>2032</v>
      </c>
      <c r="DB402" s="5" t="s">
        <v>238</v>
      </c>
      <c r="DD402" s="5" t="s">
        <v>357</v>
      </c>
      <c r="DE402" s="8">
        <f>91</f>
        <v>91</v>
      </c>
      <c r="DG402" s="5" t="s">
        <v>389</v>
      </c>
      <c r="DH402" s="5" t="s">
        <v>238</v>
      </c>
      <c r="DI402" s="5" t="s">
        <v>238</v>
      </c>
      <c r="DJ402" s="5" t="s">
        <v>238</v>
      </c>
      <c r="DN402" s="5" t="s">
        <v>238</v>
      </c>
      <c r="DO402" s="5" t="s">
        <v>238</v>
      </c>
      <c r="DP402" s="5" t="s">
        <v>238</v>
      </c>
      <c r="DQ402" s="5" t="s">
        <v>238</v>
      </c>
      <c r="DT402" s="5" t="s">
        <v>5911</v>
      </c>
      <c r="DU402" s="5" t="s">
        <v>1289</v>
      </c>
      <c r="HM402" s="5" t="s">
        <v>264</v>
      </c>
    </row>
    <row r="403" spans="1:221" x14ac:dyDescent="0.4">
      <c r="A403" s="5">
        <v>1138</v>
      </c>
      <c r="B403" s="5">
        <v>1</v>
      </c>
      <c r="C403" s="5">
        <v>1</v>
      </c>
      <c r="D403" s="5" t="s">
        <v>5909</v>
      </c>
      <c r="E403" s="5" t="s">
        <v>437</v>
      </c>
      <c r="F403" s="5" t="s">
        <v>248</v>
      </c>
      <c r="G403" s="5" t="s">
        <v>5908</v>
      </c>
      <c r="H403" s="6" t="s">
        <v>5935</v>
      </c>
      <c r="I403" s="7">
        <f>207</f>
        <v>207</v>
      </c>
      <c r="J403" s="5" t="s">
        <v>262</v>
      </c>
      <c r="K403" s="8">
        <f>458505</f>
        <v>458505</v>
      </c>
      <c r="L403" s="6" t="s">
        <v>242</v>
      </c>
      <c r="M403" s="5" t="s">
        <v>267</v>
      </c>
      <c r="N403" s="5" t="s">
        <v>237</v>
      </c>
      <c r="O403" s="5" t="s">
        <v>238</v>
      </c>
      <c r="P403" s="5" t="s">
        <v>238</v>
      </c>
      <c r="Q403" s="5" t="s">
        <v>239</v>
      </c>
      <c r="R403" s="5" t="s">
        <v>270</v>
      </c>
      <c r="S403" s="5" t="s">
        <v>238</v>
      </c>
      <c r="V403" s="5" t="s">
        <v>238</v>
      </c>
      <c r="X403" s="6" t="s">
        <v>238</v>
      </c>
      <c r="AA403" s="6" t="s">
        <v>243</v>
      </c>
      <c r="AB403" s="5" t="s">
        <v>238</v>
      </c>
      <c r="AC403" s="5" t="s">
        <v>244</v>
      </c>
      <c r="AD403" s="5" t="s">
        <v>245</v>
      </c>
      <c r="AT403" s="5" t="s">
        <v>246</v>
      </c>
      <c r="AU403" s="5" t="s">
        <v>238</v>
      </c>
      <c r="AV403" s="5" t="s">
        <v>247</v>
      </c>
      <c r="AW403" s="5" t="s">
        <v>238</v>
      </c>
      <c r="AX403" s="5" t="s">
        <v>249</v>
      </c>
      <c r="AY403" s="5" t="s">
        <v>238</v>
      </c>
      <c r="BA403" s="5" t="s">
        <v>238</v>
      </c>
      <c r="BC403" s="5" t="s">
        <v>250</v>
      </c>
      <c r="BD403" s="6" t="s">
        <v>243</v>
      </c>
      <c r="BE403" s="5" t="s">
        <v>251</v>
      </c>
      <c r="BF403" s="5" t="s">
        <v>252</v>
      </c>
      <c r="BG403" s="5" t="s">
        <v>238</v>
      </c>
      <c r="BH403" s="7">
        <f>0</f>
        <v>0</v>
      </c>
      <c r="BI403" s="8">
        <f>0</f>
        <v>0</v>
      </c>
      <c r="BJ403" s="5" t="s">
        <v>253</v>
      </c>
      <c r="BK403" s="5" t="s">
        <v>254</v>
      </c>
      <c r="BY403" s="5" t="s">
        <v>238</v>
      </c>
      <c r="BZ403" s="5" t="s">
        <v>238</v>
      </c>
      <c r="CD403" s="5" t="s">
        <v>255</v>
      </c>
      <c r="CE403" s="5" t="s">
        <v>256</v>
      </c>
      <c r="CF403" s="5" t="s">
        <v>238</v>
      </c>
      <c r="CI403" s="6" t="s">
        <v>257</v>
      </c>
      <c r="CJ403" s="5" t="s">
        <v>238</v>
      </c>
      <c r="CK403" s="5" t="s">
        <v>258</v>
      </c>
      <c r="CL403" s="5" t="s">
        <v>238</v>
      </c>
      <c r="CM403" s="5" t="s">
        <v>238</v>
      </c>
      <c r="CN403" s="5">
        <v>0</v>
      </c>
      <c r="CO403" s="5" t="s">
        <v>259</v>
      </c>
      <c r="CP403" s="5" t="s">
        <v>260</v>
      </c>
      <c r="CQ403" s="5" t="s">
        <v>260</v>
      </c>
      <c r="CR403" s="5" t="s">
        <v>261</v>
      </c>
      <c r="CU403" s="8">
        <f>458505</f>
        <v>458505</v>
      </c>
      <c r="CV403" s="8">
        <f>0</f>
        <v>0</v>
      </c>
      <c r="CX403" s="8">
        <f>0</f>
        <v>0</v>
      </c>
      <c r="CY403" s="8">
        <f>458505</f>
        <v>458505</v>
      </c>
      <c r="DA403" s="5" t="s">
        <v>2032</v>
      </c>
      <c r="DB403" s="5" t="s">
        <v>238</v>
      </c>
      <c r="DD403" s="5" t="s">
        <v>357</v>
      </c>
      <c r="DE403" s="8">
        <f>207</f>
        <v>207</v>
      </c>
      <c r="DG403" s="5" t="s">
        <v>389</v>
      </c>
      <c r="DH403" s="5" t="s">
        <v>238</v>
      </c>
      <c r="DI403" s="5" t="s">
        <v>238</v>
      </c>
      <c r="DJ403" s="5" t="s">
        <v>238</v>
      </c>
      <c r="DN403" s="5" t="s">
        <v>238</v>
      </c>
      <c r="DO403" s="5" t="s">
        <v>238</v>
      </c>
      <c r="DP403" s="5" t="s">
        <v>238</v>
      </c>
      <c r="DQ403" s="5" t="s">
        <v>238</v>
      </c>
      <c r="DT403" s="5" t="s">
        <v>5911</v>
      </c>
      <c r="DU403" s="5" t="s">
        <v>358</v>
      </c>
      <c r="HM403" s="5" t="s">
        <v>264</v>
      </c>
    </row>
    <row r="404" spans="1:221" x14ac:dyDescent="0.4">
      <c r="A404" s="5">
        <v>1139</v>
      </c>
      <c r="B404" s="5">
        <v>1</v>
      </c>
      <c r="C404" s="5">
        <v>1</v>
      </c>
      <c r="D404" s="5" t="s">
        <v>5909</v>
      </c>
      <c r="E404" s="5" t="s">
        <v>437</v>
      </c>
      <c r="F404" s="5" t="s">
        <v>248</v>
      </c>
      <c r="G404" s="5" t="s">
        <v>5908</v>
      </c>
      <c r="H404" s="6" t="s">
        <v>6495</v>
      </c>
      <c r="I404" s="7">
        <f>167</f>
        <v>167</v>
      </c>
      <c r="J404" s="5" t="s">
        <v>262</v>
      </c>
      <c r="K404" s="8">
        <f>369905</f>
        <v>369905</v>
      </c>
      <c r="L404" s="6" t="s">
        <v>242</v>
      </c>
      <c r="M404" s="5" t="s">
        <v>267</v>
      </c>
      <c r="N404" s="5" t="s">
        <v>237</v>
      </c>
      <c r="O404" s="5" t="s">
        <v>238</v>
      </c>
      <c r="P404" s="5" t="s">
        <v>238</v>
      </c>
      <c r="Q404" s="5" t="s">
        <v>239</v>
      </c>
      <c r="R404" s="5" t="s">
        <v>270</v>
      </c>
      <c r="S404" s="5" t="s">
        <v>238</v>
      </c>
      <c r="V404" s="5" t="s">
        <v>238</v>
      </c>
      <c r="X404" s="6" t="s">
        <v>238</v>
      </c>
      <c r="AA404" s="6" t="s">
        <v>243</v>
      </c>
      <c r="AB404" s="5" t="s">
        <v>238</v>
      </c>
      <c r="AC404" s="5" t="s">
        <v>244</v>
      </c>
      <c r="AD404" s="5" t="s">
        <v>245</v>
      </c>
      <c r="AT404" s="5" t="s">
        <v>246</v>
      </c>
      <c r="AU404" s="5" t="s">
        <v>238</v>
      </c>
      <c r="AV404" s="5" t="s">
        <v>247</v>
      </c>
      <c r="AW404" s="5" t="s">
        <v>238</v>
      </c>
      <c r="AX404" s="5" t="s">
        <v>249</v>
      </c>
      <c r="AY404" s="5" t="s">
        <v>238</v>
      </c>
      <c r="BA404" s="5" t="s">
        <v>238</v>
      </c>
      <c r="BC404" s="5" t="s">
        <v>250</v>
      </c>
      <c r="BD404" s="6" t="s">
        <v>243</v>
      </c>
      <c r="BE404" s="5" t="s">
        <v>251</v>
      </c>
      <c r="BF404" s="5" t="s">
        <v>252</v>
      </c>
      <c r="BG404" s="5" t="s">
        <v>238</v>
      </c>
      <c r="BH404" s="7">
        <f>0</f>
        <v>0</v>
      </c>
      <c r="BI404" s="8">
        <f>0</f>
        <v>0</v>
      </c>
      <c r="BJ404" s="5" t="s">
        <v>253</v>
      </c>
      <c r="BK404" s="5" t="s">
        <v>254</v>
      </c>
      <c r="BY404" s="5" t="s">
        <v>238</v>
      </c>
      <c r="BZ404" s="5" t="s">
        <v>238</v>
      </c>
      <c r="CD404" s="5" t="s">
        <v>255</v>
      </c>
      <c r="CE404" s="5" t="s">
        <v>256</v>
      </c>
      <c r="CF404" s="5" t="s">
        <v>238</v>
      </c>
      <c r="CI404" s="6" t="s">
        <v>257</v>
      </c>
      <c r="CJ404" s="5" t="s">
        <v>238</v>
      </c>
      <c r="CK404" s="5" t="s">
        <v>258</v>
      </c>
      <c r="CL404" s="5" t="s">
        <v>238</v>
      </c>
      <c r="CM404" s="5" t="s">
        <v>238</v>
      </c>
      <c r="CN404" s="5">
        <v>0</v>
      </c>
      <c r="CO404" s="5" t="s">
        <v>259</v>
      </c>
      <c r="CP404" s="5" t="s">
        <v>260</v>
      </c>
      <c r="CQ404" s="5" t="s">
        <v>260</v>
      </c>
      <c r="CR404" s="5" t="s">
        <v>261</v>
      </c>
      <c r="CU404" s="8">
        <f>369905</f>
        <v>369905</v>
      </c>
      <c r="CV404" s="8">
        <f>0</f>
        <v>0</v>
      </c>
      <c r="CX404" s="8">
        <f>0</f>
        <v>0</v>
      </c>
      <c r="CY404" s="8">
        <f>369905</f>
        <v>369905</v>
      </c>
      <c r="DA404" s="5" t="s">
        <v>2032</v>
      </c>
      <c r="DB404" s="5" t="s">
        <v>238</v>
      </c>
      <c r="DD404" s="5" t="s">
        <v>2211</v>
      </c>
      <c r="DE404" s="8">
        <f>167</f>
        <v>167</v>
      </c>
      <c r="DG404" s="5" t="s">
        <v>389</v>
      </c>
      <c r="DH404" s="5" t="s">
        <v>238</v>
      </c>
      <c r="DI404" s="5" t="s">
        <v>238</v>
      </c>
      <c r="DJ404" s="5" t="s">
        <v>238</v>
      </c>
      <c r="DN404" s="5" t="s">
        <v>238</v>
      </c>
      <c r="DO404" s="5" t="s">
        <v>238</v>
      </c>
      <c r="DP404" s="5" t="s">
        <v>238</v>
      </c>
      <c r="DQ404" s="5" t="s">
        <v>238</v>
      </c>
      <c r="DT404" s="5" t="s">
        <v>5911</v>
      </c>
      <c r="DU404" s="5" t="s">
        <v>1284</v>
      </c>
      <c r="HM404" s="5" t="s">
        <v>264</v>
      </c>
    </row>
    <row r="405" spans="1:221" x14ac:dyDescent="0.4">
      <c r="A405" s="5">
        <v>1140</v>
      </c>
      <c r="B405" s="5">
        <v>1</v>
      </c>
      <c r="C405" s="5">
        <v>1</v>
      </c>
      <c r="D405" s="5" t="s">
        <v>5909</v>
      </c>
      <c r="E405" s="5" t="s">
        <v>437</v>
      </c>
      <c r="F405" s="5" t="s">
        <v>248</v>
      </c>
      <c r="G405" s="5" t="s">
        <v>5908</v>
      </c>
      <c r="H405" s="6" t="s">
        <v>5937</v>
      </c>
      <c r="I405" s="7">
        <f>671</f>
        <v>671</v>
      </c>
      <c r="J405" s="5" t="s">
        <v>262</v>
      </c>
      <c r="K405" s="8">
        <f>1486265</f>
        <v>1486265</v>
      </c>
      <c r="L405" s="6" t="s">
        <v>242</v>
      </c>
      <c r="M405" s="5" t="s">
        <v>267</v>
      </c>
      <c r="N405" s="5" t="s">
        <v>237</v>
      </c>
      <c r="O405" s="5" t="s">
        <v>238</v>
      </c>
      <c r="P405" s="5" t="s">
        <v>238</v>
      </c>
      <c r="Q405" s="5" t="s">
        <v>239</v>
      </c>
      <c r="R405" s="5" t="s">
        <v>270</v>
      </c>
      <c r="S405" s="5" t="s">
        <v>238</v>
      </c>
      <c r="V405" s="5" t="s">
        <v>238</v>
      </c>
      <c r="X405" s="6" t="s">
        <v>238</v>
      </c>
      <c r="AA405" s="6" t="s">
        <v>243</v>
      </c>
      <c r="AB405" s="5" t="s">
        <v>238</v>
      </c>
      <c r="AC405" s="5" t="s">
        <v>244</v>
      </c>
      <c r="AD405" s="5" t="s">
        <v>245</v>
      </c>
      <c r="AT405" s="5" t="s">
        <v>246</v>
      </c>
      <c r="AU405" s="5" t="s">
        <v>238</v>
      </c>
      <c r="AV405" s="5" t="s">
        <v>247</v>
      </c>
      <c r="AW405" s="5" t="s">
        <v>238</v>
      </c>
      <c r="AX405" s="5" t="s">
        <v>249</v>
      </c>
      <c r="AY405" s="5" t="s">
        <v>238</v>
      </c>
      <c r="BA405" s="5" t="s">
        <v>238</v>
      </c>
      <c r="BC405" s="5" t="s">
        <v>250</v>
      </c>
      <c r="BD405" s="6" t="s">
        <v>243</v>
      </c>
      <c r="BE405" s="5" t="s">
        <v>251</v>
      </c>
      <c r="BF405" s="5" t="s">
        <v>252</v>
      </c>
      <c r="BG405" s="5" t="s">
        <v>238</v>
      </c>
      <c r="BH405" s="7">
        <f>0</f>
        <v>0</v>
      </c>
      <c r="BI405" s="8">
        <f>0</f>
        <v>0</v>
      </c>
      <c r="BJ405" s="5" t="s">
        <v>253</v>
      </c>
      <c r="BK405" s="5" t="s">
        <v>254</v>
      </c>
      <c r="BY405" s="5" t="s">
        <v>238</v>
      </c>
      <c r="BZ405" s="5" t="s">
        <v>238</v>
      </c>
      <c r="CD405" s="5" t="s">
        <v>255</v>
      </c>
      <c r="CE405" s="5" t="s">
        <v>256</v>
      </c>
      <c r="CF405" s="5" t="s">
        <v>238</v>
      </c>
      <c r="CI405" s="6" t="s">
        <v>257</v>
      </c>
      <c r="CJ405" s="5" t="s">
        <v>238</v>
      </c>
      <c r="CK405" s="5" t="s">
        <v>258</v>
      </c>
      <c r="CL405" s="5" t="s">
        <v>238</v>
      </c>
      <c r="CM405" s="5" t="s">
        <v>238</v>
      </c>
      <c r="CN405" s="5">
        <v>0</v>
      </c>
      <c r="CO405" s="5" t="s">
        <v>259</v>
      </c>
      <c r="CP405" s="5" t="s">
        <v>260</v>
      </c>
      <c r="CQ405" s="5" t="s">
        <v>260</v>
      </c>
      <c r="CR405" s="5" t="s">
        <v>261</v>
      </c>
      <c r="CU405" s="8">
        <f>1486265</f>
        <v>1486265</v>
      </c>
      <c r="CV405" s="8">
        <f>0</f>
        <v>0</v>
      </c>
      <c r="CX405" s="8">
        <f>0</f>
        <v>0</v>
      </c>
      <c r="CY405" s="8">
        <f>1486265</f>
        <v>1486265</v>
      </c>
      <c r="DA405" s="5" t="s">
        <v>2032</v>
      </c>
      <c r="DB405" s="5" t="s">
        <v>238</v>
      </c>
      <c r="DD405" s="5" t="s">
        <v>357</v>
      </c>
      <c r="DE405" s="8">
        <f>671</f>
        <v>671</v>
      </c>
      <c r="DG405" s="5" t="s">
        <v>389</v>
      </c>
      <c r="DH405" s="5" t="s">
        <v>238</v>
      </c>
      <c r="DI405" s="5" t="s">
        <v>238</v>
      </c>
      <c r="DJ405" s="5" t="s">
        <v>238</v>
      </c>
      <c r="DN405" s="5" t="s">
        <v>238</v>
      </c>
      <c r="DO405" s="5" t="s">
        <v>238</v>
      </c>
      <c r="DP405" s="5" t="s">
        <v>238</v>
      </c>
      <c r="DQ405" s="5" t="s">
        <v>238</v>
      </c>
      <c r="DT405" s="5" t="s">
        <v>5911</v>
      </c>
      <c r="DU405" s="5" t="s">
        <v>1276</v>
      </c>
      <c r="HM405" s="5" t="s">
        <v>264</v>
      </c>
    </row>
    <row r="406" spans="1:221" x14ac:dyDescent="0.4">
      <c r="A406" s="5">
        <v>1141</v>
      </c>
      <c r="B406" s="5">
        <v>1</v>
      </c>
      <c r="C406" s="5">
        <v>1</v>
      </c>
      <c r="D406" s="5" t="s">
        <v>5909</v>
      </c>
      <c r="E406" s="5" t="s">
        <v>437</v>
      </c>
      <c r="F406" s="5" t="s">
        <v>248</v>
      </c>
      <c r="G406" s="5" t="s">
        <v>5908</v>
      </c>
      <c r="H406" s="6" t="s">
        <v>5973</v>
      </c>
      <c r="I406" s="7">
        <f>370</f>
        <v>370</v>
      </c>
      <c r="J406" s="5" t="s">
        <v>262</v>
      </c>
      <c r="K406" s="8">
        <f>819550</f>
        <v>819550</v>
      </c>
      <c r="L406" s="6" t="s">
        <v>242</v>
      </c>
      <c r="M406" s="5" t="s">
        <v>267</v>
      </c>
      <c r="N406" s="5" t="s">
        <v>237</v>
      </c>
      <c r="O406" s="5" t="s">
        <v>238</v>
      </c>
      <c r="P406" s="5" t="s">
        <v>238</v>
      </c>
      <c r="Q406" s="5" t="s">
        <v>239</v>
      </c>
      <c r="R406" s="5" t="s">
        <v>270</v>
      </c>
      <c r="S406" s="5" t="s">
        <v>238</v>
      </c>
      <c r="V406" s="5" t="s">
        <v>238</v>
      </c>
      <c r="X406" s="6" t="s">
        <v>238</v>
      </c>
      <c r="AA406" s="6" t="s">
        <v>243</v>
      </c>
      <c r="AB406" s="5" t="s">
        <v>238</v>
      </c>
      <c r="AC406" s="5" t="s">
        <v>244</v>
      </c>
      <c r="AD406" s="5" t="s">
        <v>245</v>
      </c>
      <c r="AT406" s="5" t="s">
        <v>246</v>
      </c>
      <c r="AU406" s="5" t="s">
        <v>238</v>
      </c>
      <c r="AV406" s="5" t="s">
        <v>247</v>
      </c>
      <c r="AW406" s="5" t="s">
        <v>238</v>
      </c>
      <c r="AX406" s="5" t="s">
        <v>249</v>
      </c>
      <c r="AY406" s="5" t="s">
        <v>238</v>
      </c>
      <c r="BA406" s="5" t="s">
        <v>238</v>
      </c>
      <c r="BC406" s="5" t="s">
        <v>250</v>
      </c>
      <c r="BD406" s="6" t="s">
        <v>243</v>
      </c>
      <c r="BE406" s="5" t="s">
        <v>251</v>
      </c>
      <c r="BF406" s="5" t="s">
        <v>252</v>
      </c>
      <c r="BG406" s="5" t="s">
        <v>238</v>
      </c>
      <c r="BH406" s="7">
        <f>0</f>
        <v>0</v>
      </c>
      <c r="BI406" s="8">
        <f>0</f>
        <v>0</v>
      </c>
      <c r="BJ406" s="5" t="s">
        <v>253</v>
      </c>
      <c r="BK406" s="5" t="s">
        <v>254</v>
      </c>
      <c r="BY406" s="5" t="s">
        <v>238</v>
      </c>
      <c r="BZ406" s="5" t="s">
        <v>238</v>
      </c>
      <c r="CD406" s="5" t="s">
        <v>255</v>
      </c>
      <c r="CE406" s="5" t="s">
        <v>256</v>
      </c>
      <c r="CF406" s="5" t="s">
        <v>238</v>
      </c>
      <c r="CI406" s="6" t="s">
        <v>257</v>
      </c>
      <c r="CJ406" s="5" t="s">
        <v>238</v>
      </c>
      <c r="CK406" s="5" t="s">
        <v>258</v>
      </c>
      <c r="CL406" s="5" t="s">
        <v>238</v>
      </c>
      <c r="CM406" s="5" t="s">
        <v>238</v>
      </c>
      <c r="CN406" s="5">
        <v>0</v>
      </c>
      <c r="CO406" s="5" t="s">
        <v>259</v>
      </c>
      <c r="CP406" s="5" t="s">
        <v>260</v>
      </c>
      <c r="CQ406" s="5" t="s">
        <v>260</v>
      </c>
      <c r="CR406" s="5" t="s">
        <v>261</v>
      </c>
      <c r="CU406" s="8">
        <f>819550</f>
        <v>819550</v>
      </c>
      <c r="CV406" s="8">
        <f>0</f>
        <v>0</v>
      </c>
      <c r="CX406" s="8">
        <f>0</f>
        <v>0</v>
      </c>
      <c r="CY406" s="8">
        <f>819550</f>
        <v>819550</v>
      </c>
      <c r="DA406" s="5" t="s">
        <v>2032</v>
      </c>
      <c r="DB406" s="5" t="s">
        <v>238</v>
      </c>
      <c r="DD406" s="5" t="s">
        <v>357</v>
      </c>
      <c r="DE406" s="8">
        <f>370</f>
        <v>370</v>
      </c>
      <c r="DG406" s="5" t="s">
        <v>389</v>
      </c>
      <c r="DH406" s="5" t="s">
        <v>238</v>
      </c>
      <c r="DI406" s="5" t="s">
        <v>238</v>
      </c>
      <c r="DJ406" s="5" t="s">
        <v>238</v>
      </c>
      <c r="DN406" s="5" t="s">
        <v>238</v>
      </c>
      <c r="DO406" s="5" t="s">
        <v>238</v>
      </c>
      <c r="DP406" s="5" t="s">
        <v>238</v>
      </c>
      <c r="DQ406" s="5" t="s">
        <v>238</v>
      </c>
      <c r="DT406" s="5" t="s">
        <v>5911</v>
      </c>
      <c r="DU406" s="5" t="s">
        <v>1274</v>
      </c>
      <c r="HM406" s="5" t="s">
        <v>264</v>
      </c>
    </row>
    <row r="407" spans="1:221" x14ac:dyDescent="0.4">
      <c r="A407" s="5">
        <v>1142</v>
      </c>
      <c r="B407" s="5">
        <v>1</v>
      </c>
      <c r="C407" s="5">
        <v>1</v>
      </c>
      <c r="D407" s="5" t="s">
        <v>5909</v>
      </c>
      <c r="E407" s="5" t="s">
        <v>437</v>
      </c>
      <c r="F407" s="5" t="s">
        <v>248</v>
      </c>
      <c r="G407" s="5" t="s">
        <v>5908</v>
      </c>
      <c r="H407" s="6" t="s">
        <v>5938</v>
      </c>
      <c r="I407" s="7">
        <f>102</f>
        <v>102</v>
      </c>
      <c r="J407" s="5" t="s">
        <v>262</v>
      </c>
      <c r="K407" s="8">
        <f>225930</f>
        <v>225930</v>
      </c>
      <c r="L407" s="6" t="s">
        <v>242</v>
      </c>
      <c r="M407" s="5" t="s">
        <v>267</v>
      </c>
      <c r="N407" s="5" t="s">
        <v>237</v>
      </c>
      <c r="O407" s="5" t="s">
        <v>238</v>
      </c>
      <c r="P407" s="5" t="s">
        <v>238</v>
      </c>
      <c r="Q407" s="5" t="s">
        <v>239</v>
      </c>
      <c r="R407" s="5" t="s">
        <v>270</v>
      </c>
      <c r="S407" s="5" t="s">
        <v>238</v>
      </c>
      <c r="V407" s="5" t="s">
        <v>238</v>
      </c>
      <c r="X407" s="6" t="s">
        <v>238</v>
      </c>
      <c r="AA407" s="6" t="s">
        <v>243</v>
      </c>
      <c r="AB407" s="5" t="s">
        <v>238</v>
      </c>
      <c r="AC407" s="5" t="s">
        <v>244</v>
      </c>
      <c r="AD407" s="5" t="s">
        <v>245</v>
      </c>
      <c r="AT407" s="5" t="s">
        <v>246</v>
      </c>
      <c r="AU407" s="5" t="s">
        <v>238</v>
      </c>
      <c r="AV407" s="5" t="s">
        <v>247</v>
      </c>
      <c r="AW407" s="5" t="s">
        <v>238</v>
      </c>
      <c r="AX407" s="5" t="s">
        <v>249</v>
      </c>
      <c r="AY407" s="5" t="s">
        <v>238</v>
      </c>
      <c r="BA407" s="5" t="s">
        <v>238</v>
      </c>
      <c r="BC407" s="5" t="s">
        <v>250</v>
      </c>
      <c r="BD407" s="6" t="s">
        <v>243</v>
      </c>
      <c r="BE407" s="5" t="s">
        <v>251</v>
      </c>
      <c r="BF407" s="5" t="s">
        <v>252</v>
      </c>
      <c r="BG407" s="5" t="s">
        <v>238</v>
      </c>
      <c r="BH407" s="7">
        <f>0</f>
        <v>0</v>
      </c>
      <c r="BI407" s="8">
        <f>0</f>
        <v>0</v>
      </c>
      <c r="BJ407" s="5" t="s">
        <v>253</v>
      </c>
      <c r="BK407" s="5" t="s">
        <v>254</v>
      </c>
      <c r="BY407" s="5" t="s">
        <v>238</v>
      </c>
      <c r="BZ407" s="5" t="s">
        <v>238</v>
      </c>
      <c r="CD407" s="5" t="s">
        <v>255</v>
      </c>
      <c r="CE407" s="5" t="s">
        <v>256</v>
      </c>
      <c r="CF407" s="5" t="s">
        <v>238</v>
      </c>
      <c r="CI407" s="6" t="s">
        <v>257</v>
      </c>
      <c r="CJ407" s="5" t="s">
        <v>238</v>
      </c>
      <c r="CK407" s="5" t="s">
        <v>258</v>
      </c>
      <c r="CL407" s="5" t="s">
        <v>238</v>
      </c>
      <c r="CM407" s="5" t="s">
        <v>238</v>
      </c>
      <c r="CN407" s="5">
        <v>0</v>
      </c>
      <c r="CO407" s="5" t="s">
        <v>259</v>
      </c>
      <c r="CP407" s="5" t="s">
        <v>260</v>
      </c>
      <c r="CQ407" s="5" t="s">
        <v>260</v>
      </c>
      <c r="CR407" s="5" t="s">
        <v>261</v>
      </c>
      <c r="CU407" s="8">
        <f>225930</f>
        <v>225930</v>
      </c>
      <c r="CV407" s="8">
        <f>0</f>
        <v>0</v>
      </c>
      <c r="CX407" s="8">
        <f>0</f>
        <v>0</v>
      </c>
      <c r="CY407" s="8">
        <f>225930</f>
        <v>225930</v>
      </c>
      <c r="DA407" s="5" t="s">
        <v>2032</v>
      </c>
      <c r="DB407" s="5" t="s">
        <v>238</v>
      </c>
      <c r="DD407" s="5" t="s">
        <v>2211</v>
      </c>
      <c r="DE407" s="8">
        <f>102</f>
        <v>102</v>
      </c>
      <c r="DG407" s="5" t="s">
        <v>389</v>
      </c>
      <c r="DH407" s="5" t="s">
        <v>238</v>
      </c>
      <c r="DI407" s="5" t="s">
        <v>238</v>
      </c>
      <c r="DJ407" s="5" t="s">
        <v>238</v>
      </c>
      <c r="DN407" s="5" t="s">
        <v>238</v>
      </c>
      <c r="DO407" s="5" t="s">
        <v>238</v>
      </c>
      <c r="DP407" s="5" t="s">
        <v>238</v>
      </c>
      <c r="DQ407" s="5" t="s">
        <v>238</v>
      </c>
      <c r="DT407" s="5" t="s">
        <v>5911</v>
      </c>
      <c r="DU407" s="5" t="s">
        <v>1270</v>
      </c>
      <c r="HM407" s="5" t="s">
        <v>264</v>
      </c>
    </row>
    <row r="408" spans="1:221" x14ac:dyDescent="0.4">
      <c r="A408" s="5">
        <v>1143</v>
      </c>
      <c r="B408" s="5">
        <v>1</v>
      </c>
      <c r="C408" s="5">
        <v>1</v>
      </c>
      <c r="D408" s="5" t="s">
        <v>5909</v>
      </c>
      <c r="E408" s="5" t="s">
        <v>437</v>
      </c>
      <c r="F408" s="5" t="s">
        <v>248</v>
      </c>
      <c r="G408" s="5" t="s">
        <v>5908</v>
      </c>
      <c r="H408" s="6" t="s">
        <v>5939</v>
      </c>
      <c r="I408" s="7">
        <f>1540</f>
        <v>1540</v>
      </c>
      <c r="J408" s="5" t="s">
        <v>262</v>
      </c>
      <c r="K408" s="8">
        <f>3411100</f>
        <v>3411100</v>
      </c>
      <c r="L408" s="6" t="s">
        <v>242</v>
      </c>
      <c r="M408" s="5" t="s">
        <v>267</v>
      </c>
      <c r="N408" s="5" t="s">
        <v>237</v>
      </c>
      <c r="O408" s="5" t="s">
        <v>238</v>
      </c>
      <c r="P408" s="5" t="s">
        <v>238</v>
      </c>
      <c r="Q408" s="5" t="s">
        <v>239</v>
      </c>
      <c r="R408" s="5" t="s">
        <v>270</v>
      </c>
      <c r="S408" s="5" t="s">
        <v>238</v>
      </c>
      <c r="V408" s="5" t="s">
        <v>238</v>
      </c>
      <c r="X408" s="6" t="s">
        <v>238</v>
      </c>
      <c r="AA408" s="6" t="s">
        <v>243</v>
      </c>
      <c r="AB408" s="5" t="s">
        <v>238</v>
      </c>
      <c r="AC408" s="5" t="s">
        <v>244</v>
      </c>
      <c r="AD408" s="5" t="s">
        <v>245</v>
      </c>
      <c r="AT408" s="5" t="s">
        <v>246</v>
      </c>
      <c r="AU408" s="5" t="s">
        <v>238</v>
      </c>
      <c r="AV408" s="5" t="s">
        <v>247</v>
      </c>
      <c r="AW408" s="5" t="s">
        <v>238</v>
      </c>
      <c r="AX408" s="5" t="s">
        <v>249</v>
      </c>
      <c r="AY408" s="5" t="s">
        <v>238</v>
      </c>
      <c r="BA408" s="5" t="s">
        <v>238</v>
      </c>
      <c r="BC408" s="5" t="s">
        <v>250</v>
      </c>
      <c r="BD408" s="6" t="s">
        <v>243</v>
      </c>
      <c r="BE408" s="5" t="s">
        <v>251</v>
      </c>
      <c r="BF408" s="5" t="s">
        <v>252</v>
      </c>
      <c r="BG408" s="5" t="s">
        <v>238</v>
      </c>
      <c r="BH408" s="7">
        <f>0</f>
        <v>0</v>
      </c>
      <c r="BI408" s="8">
        <f>0</f>
        <v>0</v>
      </c>
      <c r="BJ408" s="5" t="s">
        <v>253</v>
      </c>
      <c r="BK408" s="5" t="s">
        <v>254</v>
      </c>
      <c r="BY408" s="5" t="s">
        <v>238</v>
      </c>
      <c r="BZ408" s="5" t="s">
        <v>238</v>
      </c>
      <c r="CD408" s="5" t="s">
        <v>255</v>
      </c>
      <c r="CE408" s="5" t="s">
        <v>256</v>
      </c>
      <c r="CF408" s="5" t="s">
        <v>238</v>
      </c>
      <c r="CI408" s="6" t="s">
        <v>257</v>
      </c>
      <c r="CJ408" s="5" t="s">
        <v>238</v>
      </c>
      <c r="CK408" s="5" t="s">
        <v>258</v>
      </c>
      <c r="CL408" s="5" t="s">
        <v>238</v>
      </c>
      <c r="CM408" s="5" t="s">
        <v>238</v>
      </c>
      <c r="CN408" s="5">
        <v>0</v>
      </c>
      <c r="CO408" s="5" t="s">
        <v>259</v>
      </c>
      <c r="CP408" s="5" t="s">
        <v>260</v>
      </c>
      <c r="CQ408" s="5" t="s">
        <v>260</v>
      </c>
      <c r="CR408" s="5" t="s">
        <v>261</v>
      </c>
      <c r="CU408" s="8">
        <f>3411100</f>
        <v>3411100</v>
      </c>
      <c r="CV408" s="8">
        <f>0</f>
        <v>0</v>
      </c>
      <c r="CX408" s="8">
        <f>0</f>
        <v>0</v>
      </c>
      <c r="CY408" s="8">
        <f>3411100</f>
        <v>3411100</v>
      </c>
      <c r="DA408" s="5" t="s">
        <v>2032</v>
      </c>
      <c r="DB408" s="5" t="s">
        <v>238</v>
      </c>
      <c r="DD408" s="5" t="s">
        <v>357</v>
      </c>
      <c r="DE408" s="8">
        <f>1540</f>
        <v>1540</v>
      </c>
      <c r="DG408" s="5" t="s">
        <v>389</v>
      </c>
      <c r="DH408" s="5" t="s">
        <v>238</v>
      </c>
      <c r="DI408" s="5" t="s">
        <v>238</v>
      </c>
      <c r="DJ408" s="5" t="s">
        <v>238</v>
      </c>
      <c r="DN408" s="5" t="s">
        <v>238</v>
      </c>
      <c r="DO408" s="5" t="s">
        <v>238</v>
      </c>
      <c r="DP408" s="5" t="s">
        <v>238</v>
      </c>
      <c r="DQ408" s="5" t="s">
        <v>238</v>
      </c>
      <c r="DT408" s="5" t="s">
        <v>5911</v>
      </c>
      <c r="DU408" s="5" t="s">
        <v>1268</v>
      </c>
      <c r="HM408" s="5" t="s">
        <v>264</v>
      </c>
    </row>
    <row r="409" spans="1:221" x14ac:dyDescent="0.4">
      <c r="A409" s="5">
        <v>1144</v>
      </c>
      <c r="B409" s="5">
        <v>1</v>
      </c>
      <c r="C409" s="5">
        <v>1</v>
      </c>
      <c r="D409" s="5" t="s">
        <v>5909</v>
      </c>
      <c r="E409" s="5" t="s">
        <v>437</v>
      </c>
      <c r="F409" s="5" t="s">
        <v>248</v>
      </c>
      <c r="G409" s="5" t="s">
        <v>5908</v>
      </c>
      <c r="H409" s="6" t="s">
        <v>6496</v>
      </c>
      <c r="I409" s="7">
        <f>1041</f>
        <v>1041</v>
      </c>
      <c r="J409" s="5" t="s">
        <v>262</v>
      </c>
      <c r="K409" s="8">
        <f>2305815</f>
        <v>2305815</v>
      </c>
      <c r="L409" s="6" t="s">
        <v>242</v>
      </c>
      <c r="M409" s="5" t="s">
        <v>267</v>
      </c>
      <c r="N409" s="5" t="s">
        <v>237</v>
      </c>
      <c r="O409" s="5" t="s">
        <v>238</v>
      </c>
      <c r="P409" s="5" t="s">
        <v>238</v>
      </c>
      <c r="Q409" s="5" t="s">
        <v>239</v>
      </c>
      <c r="R409" s="5" t="s">
        <v>270</v>
      </c>
      <c r="S409" s="5" t="s">
        <v>238</v>
      </c>
      <c r="V409" s="5" t="s">
        <v>238</v>
      </c>
      <c r="X409" s="6" t="s">
        <v>238</v>
      </c>
      <c r="AA409" s="6" t="s">
        <v>243</v>
      </c>
      <c r="AB409" s="5" t="s">
        <v>238</v>
      </c>
      <c r="AC409" s="5" t="s">
        <v>244</v>
      </c>
      <c r="AD409" s="5" t="s">
        <v>245</v>
      </c>
      <c r="AT409" s="5" t="s">
        <v>246</v>
      </c>
      <c r="AU409" s="5" t="s">
        <v>238</v>
      </c>
      <c r="AV409" s="5" t="s">
        <v>247</v>
      </c>
      <c r="AW409" s="5" t="s">
        <v>238</v>
      </c>
      <c r="AX409" s="5" t="s">
        <v>249</v>
      </c>
      <c r="AY409" s="5" t="s">
        <v>238</v>
      </c>
      <c r="BA409" s="5" t="s">
        <v>238</v>
      </c>
      <c r="BC409" s="5" t="s">
        <v>250</v>
      </c>
      <c r="BD409" s="6" t="s">
        <v>243</v>
      </c>
      <c r="BE409" s="5" t="s">
        <v>251</v>
      </c>
      <c r="BF409" s="5" t="s">
        <v>252</v>
      </c>
      <c r="BG409" s="5" t="s">
        <v>238</v>
      </c>
      <c r="BH409" s="7">
        <f>0</f>
        <v>0</v>
      </c>
      <c r="BI409" s="8">
        <f>0</f>
        <v>0</v>
      </c>
      <c r="BJ409" s="5" t="s">
        <v>253</v>
      </c>
      <c r="BK409" s="5" t="s">
        <v>254</v>
      </c>
      <c r="BY409" s="5" t="s">
        <v>238</v>
      </c>
      <c r="BZ409" s="5" t="s">
        <v>238</v>
      </c>
      <c r="CD409" s="5" t="s">
        <v>255</v>
      </c>
      <c r="CE409" s="5" t="s">
        <v>256</v>
      </c>
      <c r="CF409" s="5" t="s">
        <v>238</v>
      </c>
      <c r="CI409" s="6" t="s">
        <v>257</v>
      </c>
      <c r="CJ409" s="5" t="s">
        <v>238</v>
      </c>
      <c r="CK409" s="5" t="s">
        <v>258</v>
      </c>
      <c r="CL409" s="5" t="s">
        <v>238</v>
      </c>
      <c r="CM409" s="5" t="s">
        <v>238</v>
      </c>
      <c r="CN409" s="5">
        <v>0</v>
      </c>
      <c r="CO409" s="5" t="s">
        <v>259</v>
      </c>
      <c r="CP409" s="5" t="s">
        <v>260</v>
      </c>
      <c r="CQ409" s="5" t="s">
        <v>260</v>
      </c>
      <c r="CR409" s="5" t="s">
        <v>261</v>
      </c>
      <c r="CU409" s="8">
        <f>2305815</f>
        <v>2305815</v>
      </c>
      <c r="CV409" s="8">
        <f>0</f>
        <v>0</v>
      </c>
      <c r="CX409" s="8">
        <f>0</f>
        <v>0</v>
      </c>
      <c r="CY409" s="8">
        <f>2305815</f>
        <v>2305815</v>
      </c>
      <c r="DA409" s="5" t="s">
        <v>2032</v>
      </c>
      <c r="DB409" s="5" t="s">
        <v>238</v>
      </c>
      <c r="DD409" s="5" t="s">
        <v>357</v>
      </c>
      <c r="DE409" s="8">
        <f>1041</f>
        <v>1041</v>
      </c>
      <c r="DG409" s="5" t="s">
        <v>389</v>
      </c>
      <c r="DH409" s="5" t="s">
        <v>238</v>
      </c>
      <c r="DI409" s="5" t="s">
        <v>238</v>
      </c>
      <c r="DJ409" s="5" t="s">
        <v>238</v>
      </c>
      <c r="DN409" s="5" t="s">
        <v>238</v>
      </c>
      <c r="DO409" s="5" t="s">
        <v>238</v>
      </c>
      <c r="DP409" s="5" t="s">
        <v>238</v>
      </c>
      <c r="DQ409" s="5" t="s">
        <v>238</v>
      </c>
      <c r="DT409" s="5" t="s">
        <v>5911</v>
      </c>
      <c r="DU409" s="5" t="s">
        <v>1262</v>
      </c>
      <c r="HM409" s="5" t="s">
        <v>264</v>
      </c>
    </row>
    <row r="410" spans="1:221" x14ac:dyDescent="0.4">
      <c r="A410" s="5">
        <v>1145</v>
      </c>
      <c r="B410" s="5">
        <v>1</v>
      </c>
      <c r="C410" s="5">
        <v>1</v>
      </c>
      <c r="D410" s="5" t="s">
        <v>5909</v>
      </c>
      <c r="E410" s="5" t="s">
        <v>437</v>
      </c>
      <c r="F410" s="5" t="s">
        <v>248</v>
      </c>
      <c r="G410" s="5" t="s">
        <v>5908</v>
      </c>
      <c r="H410" s="6" t="s">
        <v>5972</v>
      </c>
      <c r="I410" s="7">
        <f>238</f>
        <v>238</v>
      </c>
      <c r="J410" s="5" t="s">
        <v>262</v>
      </c>
      <c r="K410" s="8">
        <f>527170</f>
        <v>527170</v>
      </c>
      <c r="L410" s="6" t="s">
        <v>242</v>
      </c>
      <c r="M410" s="5" t="s">
        <v>267</v>
      </c>
      <c r="N410" s="5" t="s">
        <v>237</v>
      </c>
      <c r="O410" s="5" t="s">
        <v>238</v>
      </c>
      <c r="P410" s="5" t="s">
        <v>238</v>
      </c>
      <c r="Q410" s="5" t="s">
        <v>239</v>
      </c>
      <c r="R410" s="5" t="s">
        <v>270</v>
      </c>
      <c r="S410" s="5" t="s">
        <v>238</v>
      </c>
      <c r="V410" s="5" t="s">
        <v>238</v>
      </c>
      <c r="X410" s="6" t="s">
        <v>238</v>
      </c>
      <c r="AA410" s="6" t="s">
        <v>243</v>
      </c>
      <c r="AB410" s="5" t="s">
        <v>238</v>
      </c>
      <c r="AC410" s="5" t="s">
        <v>244</v>
      </c>
      <c r="AD410" s="5" t="s">
        <v>245</v>
      </c>
      <c r="AT410" s="5" t="s">
        <v>246</v>
      </c>
      <c r="AU410" s="5" t="s">
        <v>238</v>
      </c>
      <c r="AV410" s="5" t="s">
        <v>247</v>
      </c>
      <c r="AW410" s="5" t="s">
        <v>238</v>
      </c>
      <c r="AX410" s="5" t="s">
        <v>249</v>
      </c>
      <c r="AY410" s="5" t="s">
        <v>238</v>
      </c>
      <c r="BA410" s="5" t="s">
        <v>238</v>
      </c>
      <c r="BC410" s="5" t="s">
        <v>250</v>
      </c>
      <c r="BD410" s="6" t="s">
        <v>243</v>
      </c>
      <c r="BE410" s="5" t="s">
        <v>251</v>
      </c>
      <c r="BF410" s="5" t="s">
        <v>252</v>
      </c>
      <c r="BG410" s="5" t="s">
        <v>238</v>
      </c>
      <c r="BH410" s="7">
        <f>0</f>
        <v>0</v>
      </c>
      <c r="BI410" s="8">
        <f>0</f>
        <v>0</v>
      </c>
      <c r="BJ410" s="5" t="s">
        <v>253</v>
      </c>
      <c r="BK410" s="5" t="s">
        <v>254</v>
      </c>
      <c r="BY410" s="5" t="s">
        <v>238</v>
      </c>
      <c r="BZ410" s="5" t="s">
        <v>238</v>
      </c>
      <c r="CD410" s="5" t="s">
        <v>255</v>
      </c>
      <c r="CE410" s="5" t="s">
        <v>256</v>
      </c>
      <c r="CF410" s="5" t="s">
        <v>238</v>
      </c>
      <c r="CI410" s="6" t="s">
        <v>257</v>
      </c>
      <c r="CJ410" s="5" t="s">
        <v>238</v>
      </c>
      <c r="CK410" s="5" t="s">
        <v>258</v>
      </c>
      <c r="CL410" s="5" t="s">
        <v>238</v>
      </c>
      <c r="CM410" s="5" t="s">
        <v>238</v>
      </c>
      <c r="CN410" s="5">
        <v>0</v>
      </c>
      <c r="CO410" s="5" t="s">
        <v>259</v>
      </c>
      <c r="CP410" s="5" t="s">
        <v>260</v>
      </c>
      <c r="CQ410" s="5" t="s">
        <v>260</v>
      </c>
      <c r="CR410" s="5" t="s">
        <v>261</v>
      </c>
      <c r="CU410" s="8">
        <f>527170</f>
        <v>527170</v>
      </c>
      <c r="CV410" s="8">
        <f>0</f>
        <v>0</v>
      </c>
      <c r="CX410" s="8">
        <f>0</f>
        <v>0</v>
      </c>
      <c r="CY410" s="8">
        <f>527170</f>
        <v>527170</v>
      </c>
      <c r="DA410" s="5" t="s">
        <v>2032</v>
      </c>
      <c r="DB410" s="5" t="s">
        <v>238</v>
      </c>
      <c r="DD410" s="5" t="s">
        <v>2211</v>
      </c>
      <c r="DE410" s="8">
        <f>238</f>
        <v>238</v>
      </c>
      <c r="DG410" s="5" t="s">
        <v>389</v>
      </c>
      <c r="DH410" s="5" t="s">
        <v>238</v>
      </c>
      <c r="DI410" s="5" t="s">
        <v>238</v>
      </c>
      <c r="DJ410" s="5" t="s">
        <v>238</v>
      </c>
      <c r="DN410" s="5" t="s">
        <v>238</v>
      </c>
      <c r="DO410" s="5" t="s">
        <v>238</v>
      </c>
      <c r="DP410" s="5" t="s">
        <v>238</v>
      </c>
      <c r="DQ410" s="5" t="s">
        <v>238</v>
      </c>
      <c r="DT410" s="5" t="s">
        <v>5911</v>
      </c>
      <c r="DU410" s="5" t="s">
        <v>1258</v>
      </c>
      <c r="HM410" s="5" t="s">
        <v>264</v>
      </c>
    </row>
    <row r="411" spans="1:221" x14ac:dyDescent="0.4">
      <c r="A411" s="5">
        <v>1146</v>
      </c>
      <c r="B411" s="5">
        <v>1</v>
      </c>
      <c r="C411" s="5">
        <v>1</v>
      </c>
      <c r="D411" s="5" t="s">
        <v>5909</v>
      </c>
      <c r="E411" s="5" t="s">
        <v>437</v>
      </c>
      <c r="F411" s="5" t="s">
        <v>248</v>
      </c>
      <c r="G411" s="5" t="s">
        <v>5908</v>
      </c>
      <c r="H411" s="6" t="s">
        <v>5941</v>
      </c>
      <c r="I411" s="7">
        <f>780</f>
        <v>780</v>
      </c>
      <c r="J411" s="5" t="s">
        <v>262</v>
      </c>
      <c r="K411" s="8">
        <f>1727700</f>
        <v>1727700</v>
      </c>
      <c r="L411" s="6" t="s">
        <v>242</v>
      </c>
      <c r="M411" s="5" t="s">
        <v>267</v>
      </c>
      <c r="N411" s="5" t="s">
        <v>237</v>
      </c>
      <c r="O411" s="5" t="s">
        <v>238</v>
      </c>
      <c r="P411" s="5" t="s">
        <v>238</v>
      </c>
      <c r="Q411" s="5" t="s">
        <v>239</v>
      </c>
      <c r="R411" s="5" t="s">
        <v>270</v>
      </c>
      <c r="S411" s="5" t="s">
        <v>238</v>
      </c>
      <c r="V411" s="5" t="s">
        <v>238</v>
      </c>
      <c r="X411" s="6" t="s">
        <v>238</v>
      </c>
      <c r="AA411" s="6" t="s">
        <v>243</v>
      </c>
      <c r="AB411" s="5" t="s">
        <v>238</v>
      </c>
      <c r="AC411" s="5" t="s">
        <v>244</v>
      </c>
      <c r="AD411" s="5" t="s">
        <v>245</v>
      </c>
      <c r="AT411" s="5" t="s">
        <v>246</v>
      </c>
      <c r="AU411" s="5" t="s">
        <v>238</v>
      </c>
      <c r="AV411" s="5" t="s">
        <v>247</v>
      </c>
      <c r="AW411" s="5" t="s">
        <v>238</v>
      </c>
      <c r="AX411" s="5" t="s">
        <v>249</v>
      </c>
      <c r="AY411" s="5" t="s">
        <v>238</v>
      </c>
      <c r="BA411" s="5" t="s">
        <v>238</v>
      </c>
      <c r="BC411" s="5" t="s">
        <v>250</v>
      </c>
      <c r="BD411" s="6" t="s">
        <v>243</v>
      </c>
      <c r="BE411" s="5" t="s">
        <v>251</v>
      </c>
      <c r="BF411" s="5" t="s">
        <v>252</v>
      </c>
      <c r="BG411" s="5" t="s">
        <v>238</v>
      </c>
      <c r="BH411" s="7">
        <f>0</f>
        <v>0</v>
      </c>
      <c r="BI411" s="8">
        <f>0</f>
        <v>0</v>
      </c>
      <c r="BJ411" s="5" t="s">
        <v>253</v>
      </c>
      <c r="BK411" s="5" t="s">
        <v>254</v>
      </c>
      <c r="BY411" s="5" t="s">
        <v>238</v>
      </c>
      <c r="BZ411" s="5" t="s">
        <v>238</v>
      </c>
      <c r="CD411" s="5" t="s">
        <v>255</v>
      </c>
      <c r="CE411" s="5" t="s">
        <v>256</v>
      </c>
      <c r="CF411" s="5" t="s">
        <v>238</v>
      </c>
      <c r="CI411" s="6" t="s">
        <v>257</v>
      </c>
      <c r="CJ411" s="5" t="s">
        <v>238</v>
      </c>
      <c r="CK411" s="5" t="s">
        <v>258</v>
      </c>
      <c r="CL411" s="5" t="s">
        <v>238</v>
      </c>
      <c r="CM411" s="5" t="s">
        <v>238</v>
      </c>
      <c r="CN411" s="5">
        <v>0</v>
      </c>
      <c r="CO411" s="5" t="s">
        <v>259</v>
      </c>
      <c r="CP411" s="5" t="s">
        <v>260</v>
      </c>
      <c r="CQ411" s="5" t="s">
        <v>260</v>
      </c>
      <c r="CR411" s="5" t="s">
        <v>261</v>
      </c>
      <c r="CU411" s="8">
        <f>1727700</f>
        <v>1727700</v>
      </c>
      <c r="CV411" s="8">
        <f>0</f>
        <v>0</v>
      </c>
      <c r="CX411" s="8">
        <f>0</f>
        <v>0</v>
      </c>
      <c r="CY411" s="8">
        <f>1727700</f>
        <v>1727700</v>
      </c>
      <c r="DA411" s="5" t="s">
        <v>2032</v>
      </c>
      <c r="DB411" s="5" t="s">
        <v>238</v>
      </c>
      <c r="DD411" s="5" t="s">
        <v>357</v>
      </c>
      <c r="DE411" s="8">
        <f>780</f>
        <v>780</v>
      </c>
      <c r="DG411" s="5" t="s">
        <v>389</v>
      </c>
      <c r="DH411" s="5" t="s">
        <v>238</v>
      </c>
      <c r="DI411" s="5" t="s">
        <v>238</v>
      </c>
      <c r="DJ411" s="5" t="s">
        <v>238</v>
      </c>
      <c r="DN411" s="5" t="s">
        <v>238</v>
      </c>
      <c r="DO411" s="5" t="s">
        <v>238</v>
      </c>
      <c r="DP411" s="5" t="s">
        <v>238</v>
      </c>
      <c r="DQ411" s="5" t="s">
        <v>238</v>
      </c>
      <c r="DT411" s="5" t="s">
        <v>5911</v>
      </c>
      <c r="DU411" s="5" t="s">
        <v>1256</v>
      </c>
      <c r="HM411" s="5" t="s">
        <v>264</v>
      </c>
    </row>
    <row r="412" spans="1:221" x14ac:dyDescent="0.4">
      <c r="A412" s="5">
        <v>1147</v>
      </c>
      <c r="B412" s="5">
        <v>1</v>
      </c>
      <c r="C412" s="5">
        <v>1</v>
      </c>
      <c r="D412" s="5" t="s">
        <v>5909</v>
      </c>
      <c r="E412" s="5" t="s">
        <v>437</v>
      </c>
      <c r="F412" s="5" t="s">
        <v>248</v>
      </c>
      <c r="G412" s="5" t="s">
        <v>5908</v>
      </c>
      <c r="H412" s="6" t="s">
        <v>5942</v>
      </c>
      <c r="I412" s="7">
        <f>476</f>
        <v>476</v>
      </c>
      <c r="J412" s="5" t="s">
        <v>262</v>
      </c>
      <c r="K412" s="8">
        <f>1054340</f>
        <v>1054340</v>
      </c>
      <c r="L412" s="6" t="s">
        <v>242</v>
      </c>
      <c r="M412" s="5" t="s">
        <v>267</v>
      </c>
      <c r="N412" s="5" t="s">
        <v>237</v>
      </c>
      <c r="O412" s="5" t="s">
        <v>238</v>
      </c>
      <c r="P412" s="5" t="s">
        <v>238</v>
      </c>
      <c r="Q412" s="5" t="s">
        <v>239</v>
      </c>
      <c r="R412" s="5" t="s">
        <v>270</v>
      </c>
      <c r="S412" s="5" t="s">
        <v>238</v>
      </c>
      <c r="V412" s="5" t="s">
        <v>238</v>
      </c>
      <c r="X412" s="6" t="s">
        <v>238</v>
      </c>
      <c r="AA412" s="6" t="s">
        <v>243</v>
      </c>
      <c r="AB412" s="5" t="s">
        <v>238</v>
      </c>
      <c r="AC412" s="5" t="s">
        <v>244</v>
      </c>
      <c r="AD412" s="5" t="s">
        <v>245</v>
      </c>
      <c r="AT412" s="5" t="s">
        <v>246</v>
      </c>
      <c r="AU412" s="5" t="s">
        <v>238</v>
      </c>
      <c r="AV412" s="5" t="s">
        <v>247</v>
      </c>
      <c r="AW412" s="5" t="s">
        <v>238</v>
      </c>
      <c r="AX412" s="5" t="s">
        <v>249</v>
      </c>
      <c r="AY412" s="5" t="s">
        <v>238</v>
      </c>
      <c r="BA412" s="5" t="s">
        <v>238</v>
      </c>
      <c r="BC412" s="5" t="s">
        <v>250</v>
      </c>
      <c r="BD412" s="6" t="s">
        <v>243</v>
      </c>
      <c r="BE412" s="5" t="s">
        <v>251</v>
      </c>
      <c r="BF412" s="5" t="s">
        <v>252</v>
      </c>
      <c r="BG412" s="5" t="s">
        <v>238</v>
      </c>
      <c r="BH412" s="7">
        <f>0</f>
        <v>0</v>
      </c>
      <c r="BI412" s="8">
        <f>0</f>
        <v>0</v>
      </c>
      <c r="BJ412" s="5" t="s">
        <v>253</v>
      </c>
      <c r="BK412" s="5" t="s">
        <v>254</v>
      </c>
      <c r="BY412" s="5" t="s">
        <v>238</v>
      </c>
      <c r="BZ412" s="5" t="s">
        <v>238</v>
      </c>
      <c r="CD412" s="5" t="s">
        <v>255</v>
      </c>
      <c r="CE412" s="5" t="s">
        <v>256</v>
      </c>
      <c r="CF412" s="5" t="s">
        <v>238</v>
      </c>
      <c r="CI412" s="6" t="s">
        <v>257</v>
      </c>
      <c r="CJ412" s="5" t="s">
        <v>238</v>
      </c>
      <c r="CK412" s="5" t="s">
        <v>258</v>
      </c>
      <c r="CL412" s="5" t="s">
        <v>238</v>
      </c>
      <c r="CM412" s="5" t="s">
        <v>238</v>
      </c>
      <c r="CN412" s="5">
        <v>0</v>
      </c>
      <c r="CO412" s="5" t="s">
        <v>259</v>
      </c>
      <c r="CP412" s="5" t="s">
        <v>260</v>
      </c>
      <c r="CQ412" s="5" t="s">
        <v>260</v>
      </c>
      <c r="CR412" s="5" t="s">
        <v>261</v>
      </c>
      <c r="CU412" s="8">
        <f>1054340</f>
        <v>1054340</v>
      </c>
      <c r="CV412" s="8">
        <f>0</f>
        <v>0</v>
      </c>
      <c r="CX412" s="8">
        <f>0</f>
        <v>0</v>
      </c>
      <c r="CY412" s="8">
        <f>1054340</f>
        <v>1054340</v>
      </c>
      <c r="DA412" s="5" t="s">
        <v>2032</v>
      </c>
      <c r="DB412" s="5" t="s">
        <v>238</v>
      </c>
      <c r="DD412" s="5" t="s">
        <v>357</v>
      </c>
      <c r="DE412" s="8">
        <f>476</f>
        <v>476</v>
      </c>
      <c r="DG412" s="5" t="s">
        <v>389</v>
      </c>
      <c r="DH412" s="5" t="s">
        <v>238</v>
      </c>
      <c r="DI412" s="5" t="s">
        <v>238</v>
      </c>
      <c r="DJ412" s="5" t="s">
        <v>238</v>
      </c>
      <c r="DN412" s="5" t="s">
        <v>238</v>
      </c>
      <c r="DO412" s="5" t="s">
        <v>238</v>
      </c>
      <c r="DP412" s="5" t="s">
        <v>238</v>
      </c>
      <c r="DQ412" s="5" t="s">
        <v>238</v>
      </c>
      <c r="DT412" s="5" t="s">
        <v>5911</v>
      </c>
      <c r="DU412" s="5" t="s">
        <v>1252</v>
      </c>
      <c r="HM412" s="5" t="s">
        <v>264</v>
      </c>
    </row>
    <row r="413" spans="1:221" x14ac:dyDescent="0.4">
      <c r="A413" s="5">
        <v>1148</v>
      </c>
      <c r="B413" s="5">
        <v>1</v>
      </c>
      <c r="C413" s="5">
        <v>1</v>
      </c>
      <c r="D413" s="5" t="s">
        <v>5909</v>
      </c>
      <c r="E413" s="5" t="s">
        <v>437</v>
      </c>
      <c r="F413" s="5" t="s">
        <v>248</v>
      </c>
      <c r="G413" s="5" t="s">
        <v>5908</v>
      </c>
      <c r="H413" s="6" t="s">
        <v>5943</v>
      </c>
      <c r="I413" s="7">
        <f>238</f>
        <v>238</v>
      </c>
      <c r="J413" s="5" t="s">
        <v>262</v>
      </c>
      <c r="K413" s="8">
        <f>527170</f>
        <v>527170</v>
      </c>
      <c r="L413" s="6" t="s">
        <v>242</v>
      </c>
      <c r="M413" s="5" t="s">
        <v>267</v>
      </c>
      <c r="N413" s="5" t="s">
        <v>237</v>
      </c>
      <c r="O413" s="5" t="s">
        <v>238</v>
      </c>
      <c r="P413" s="5" t="s">
        <v>238</v>
      </c>
      <c r="Q413" s="5" t="s">
        <v>239</v>
      </c>
      <c r="R413" s="5" t="s">
        <v>270</v>
      </c>
      <c r="S413" s="5" t="s">
        <v>238</v>
      </c>
      <c r="V413" s="5" t="s">
        <v>238</v>
      </c>
      <c r="X413" s="6" t="s">
        <v>238</v>
      </c>
      <c r="AA413" s="6" t="s">
        <v>243</v>
      </c>
      <c r="AB413" s="5" t="s">
        <v>238</v>
      </c>
      <c r="AC413" s="5" t="s">
        <v>244</v>
      </c>
      <c r="AD413" s="5" t="s">
        <v>245</v>
      </c>
      <c r="AT413" s="5" t="s">
        <v>246</v>
      </c>
      <c r="AU413" s="5" t="s">
        <v>238</v>
      </c>
      <c r="AV413" s="5" t="s">
        <v>247</v>
      </c>
      <c r="AW413" s="5" t="s">
        <v>238</v>
      </c>
      <c r="AX413" s="5" t="s">
        <v>249</v>
      </c>
      <c r="AY413" s="5" t="s">
        <v>238</v>
      </c>
      <c r="BA413" s="5" t="s">
        <v>238</v>
      </c>
      <c r="BC413" s="5" t="s">
        <v>250</v>
      </c>
      <c r="BD413" s="6" t="s">
        <v>243</v>
      </c>
      <c r="BE413" s="5" t="s">
        <v>251</v>
      </c>
      <c r="BF413" s="5" t="s">
        <v>252</v>
      </c>
      <c r="BG413" s="5" t="s">
        <v>238</v>
      </c>
      <c r="BH413" s="7">
        <f>0</f>
        <v>0</v>
      </c>
      <c r="BI413" s="8">
        <f>0</f>
        <v>0</v>
      </c>
      <c r="BJ413" s="5" t="s">
        <v>253</v>
      </c>
      <c r="BK413" s="5" t="s">
        <v>254</v>
      </c>
      <c r="BY413" s="5" t="s">
        <v>238</v>
      </c>
      <c r="BZ413" s="5" t="s">
        <v>238</v>
      </c>
      <c r="CD413" s="5" t="s">
        <v>255</v>
      </c>
      <c r="CE413" s="5" t="s">
        <v>256</v>
      </c>
      <c r="CF413" s="5" t="s">
        <v>238</v>
      </c>
      <c r="CI413" s="6" t="s">
        <v>257</v>
      </c>
      <c r="CJ413" s="5" t="s">
        <v>238</v>
      </c>
      <c r="CK413" s="5" t="s">
        <v>258</v>
      </c>
      <c r="CL413" s="5" t="s">
        <v>238</v>
      </c>
      <c r="CM413" s="5" t="s">
        <v>238</v>
      </c>
      <c r="CN413" s="5">
        <v>0</v>
      </c>
      <c r="CO413" s="5" t="s">
        <v>259</v>
      </c>
      <c r="CP413" s="5" t="s">
        <v>260</v>
      </c>
      <c r="CQ413" s="5" t="s">
        <v>260</v>
      </c>
      <c r="CR413" s="5" t="s">
        <v>261</v>
      </c>
      <c r="CU413" s="8">
        <f>527170</f>
        <v>527170</v>
      </c>
      <c r="CV413" s="8">
        <f>0</f>
        <v>0</v>
      </c>
      <c r="CX413" s="8">
        <f>0</f>
        <v>0</v>
      </c>
      <c r="CY413" s="8">
        <f>527170</f>
        <v>527170</v>
      </c>
      <c r="DA413" s="5" t="s">
        <v>2032</v>
      </c>
      <c r="DB413" s="5" t="s">
        <v>238</v>
      </c>
      <c r="DD413" s="5" t="s">
        <v>2211</v>
      </c>
      <c r="DE413" s="8">
        <f>238</f>
        <v>238</v>
      </c>
      <c r="DG413" s="5" t="s">
        <v>389</v>
      </c>
      <c r="DH413" s="5" t="s">
        <v>238</v>
      </c>
      <c r="DI413" s="5" t="s">
        <v>238</v>
      </c>
      <c r="DJ413" s="5" t="s">
        <v>238</v>
      </c>
      <c r="DN413" s="5" t="s">
        <v>238</v>
      </c>
      <c r="DO413" s="5" t="s">
        <v>238</v>
      </c>
      <c r="DP413" s="5" t="s">
        <v>238</v>
      </c>
      <c r="DQ413" s="5" t="s">
        <v>238</v>
      </c>
      <c r="DT413" s="5" t="s">
        <v>5911</v>
      </c>
      <c r="DU413" s="5" t="s">
        <v>1245</v>
      </c>
      <c r="HM413" s="5" t="s">
        <v>264</v>
      </c>
    </row>
    <row r="414" spans="1:221" x14ac:dyDescent="0.4">
      <c r="A414" s="5">
        <v>1149</v>
      </c>
      <c r="B414" s="5">
        <v>1</v>
      </c>
      <c r="C414" s="5">
        <v>1</v>
      </c>
      <c r="D414" s="5" t="s">
        <v>5909</v>
      </c>
      <c r="E414" s="5" t="s">
        <v>437</v>
      </c>
      <c r="F414" s="5" t="s">
        <v>248</v>
      </c>
      <c r="G414" s="5" t="s">
        <v>5908</v>
      </c>
      <c r="H414" s="6" t="s">
        <v>5970</v>
      </c>
      <c r="I414" s="7">
        <f>780</f>
        <v>780</v>
      </c>
      <c r="J414" s="5" t="s">
        <v>262</v>
      </c>
      <c r="K414" s="8">
        <f>1727700</f>
        <v>1727700</v>
      </c>
      <c r="L414" s="6" t="s">
        <v>242</v>
      </c>
      <c r="M414" s="5" t="s">
        <v>267</v>
      </c>
      <c r="N414" s="5" t="s">
        <v>237</v>
      </c>
      <c r="O414" s="5" t="s">
        <v>238</v>
      </c>
      <c r="P414" s="5" t="s">
        <v>238</v>
      </c>
      <c r="Q414" s="5" t="s">
        <v>239</v>
      </c>
      <c r="R414" s="5" t="s">
        <v>270</v>
      </c>
      <c r="S414" s="5" t="s">
        <v>238</v>
      </c>
      <c r="V414" s="5" t="s">
        <v>238</v>
      </c>
      <c r="X414" s="6" t="s">
        <v>238</v>
      </c>
      <c r="AA414" s="6" t="s">
        <v>243</v>
      </c>
      <c r="AB414" s="5" t="s">
        <v>238</v>
      </c>
      <c r="AC414" s="5" t="s">
        <v>244</v>
      </c>
      <c r="AD414" s="5" t="s">
        <v>245</v>
      </c>
      <c r="AT414" s="5" t="s">
        <v>246</v>
      </c>
      <c r="AU414" s="5" t="s">
        <v>238</v>
      </c>
      <c r="AV414" s="5" t="s">
        <v>247</v>
      </c>
      <c r="AW414" s="5" t="s">
        <v>238</v>
      </c>
      <c r="AX414" s="5" t="s">
        <v>249</v>
      </c>
      <c r="AY414" s="5" t="s">
        <v>238</v>
      </c>
      <c r="BA414" s="5" t="s">
        <v>238</v>
      </c>
      <c r="BC414" s="5" t="s">
        <v>250</v>
      </c>
      <c r="BD414" s="6" t="s">
        <v>243</v>
      </c>
      <c r="BE414" s="5" t="s">
        <v>251</v>
      </c>
      <c r="BF414" s="5" t="s">
        <v>252</v>
      </c>
      <c r="BG414" s="5" t="s">
        <v>238</v>
      </c>
      <c r="BH414" s="7">
        <f>0</f>
        <v>0</v>
      </c>
      <c r="BI414" s="8">
        <f>0</f>
        <v>0</v>
      </c>
      <c r="BJ414" s="5" t="s">
        <v>253</v>
      </c>
      <c r="BK414" s="5" t="s">
        <v>254</v>
      </c>
      <c r="BY414" s="5" t="s">
        <v>238</v>
      </c>
      <c r="BZ414" s="5" t="s">
        <v>238</v>
      </c>
      <c r="CD414" s="5" t="s">
        <v>255</v>
      </c>
      <c r="CE414" s="5" t="s">
        <v>256</v>
      </c>
      <c r="CF414" s="5" t="s">
        <v>238</v>
      </c>
      <c r="CI414" s="6" t="s">
        <v>257</v>
      </c>
      <c r="CJ414" s="5" t="s">
        <v>238</v>
      </c>
      <c r="CK414" s="5" t="s">
        <v>258</v>
      </c>
      <c r="CL414" s="5" t="s">
        <v>238</v>
      </c>
      <c r="CM414" s="5" t="s">
        <v>238</v>
      </c>
      <c r="CN414" s="5">
        <v>0</v>
      </c>
      <c r="CO414" s="5" t="s">
        <v>259</v>
      </c>
      <c r="CP414" s="5" t="s">
        <v>260</v>
      </c>
      <c r="CQ414" s="5" t="s">
        <v>260</v>
      </c>
      <c r="CR414" s="5" t="s">
        <v>261</v>
      </c>
      <c r="CU414" s="8">
        <f>1727700</f>
        <v>1727700</v>
      </c>
      <c r="CV414" s="8">
        <f>0</f>
        <v>0</v>
      </c>
      <c r="CX414" s="8">
        <f>0</f>
        <v>0</v>
      </c>
      <c r="CY414" s="8">
        <f>1727700</f>
        <v>1727700</v>
      </c>
      <c r="DA414" s="5" t="s">
        <v>2032</v>
      </c>
      <c r="DB414" s="5" t="s">
        <v>238</v>
      </c>
      <c r="DD414" s="5" t="s">
        <v>2211</v>
      </c>
      <c r="DE414" s="8">
        <f>780</f>
        <v>780</v>
      </c>
      <c r="DG414" s="5" t="s">
        <v>389</v>
      </c>
      <c r="DH414" s="5" t="s">
        <v>238</v>
      </c>
      <c r="DI414" s="5" t="s">
        <v>238</v>
      </c>
      <c r="DJ414" s="5" t="s">
        <v>238</v>
      </c>
      <c r="DN414" s="5" t="s">
        <v>238</v>
      </c>
      <c r="DO414" s="5" t="s">
        <v>238</v>
      </c>
      <c r="DP414" s="5" t="s">
        <v>238</v>
      </c>
      <c r="DQ414" s="5" t="s">
        <v>238</v>
      </c>
      <c r="DT414" s="5" t="s">
        <v>5911</v>
      </c>
      <c r="DU414" s="5" t="s">
        <v>1241</v>
      </c>
      <c r="HM414" s="5" t="s">
        <v>264</v>
      </c>
    </row>
    <row r="415" spans="1:221" x14ac:dyDescent="0.4">
      <c r="A415" s="5">
        <v>1150</v>
      </c>
      <c r="B415" s="5">
        <v>1</v>
      </c>
      <c r="C415" s="5">
        <v>1</v>
      </c>
      <c r="D415" s="5" t="s">
        <v>5909</v>
      </c>
      <c r="E415" s="5" t="s">
        <v>437</v>
      </c>
      <c r="F415" s="5" t="s">
        <v>248</v>
      </c>
      <c r="G415" s="5" t="s">
        <v>5908</v>
      </c>
      <c r="H415" s="6" t="s">
        <v>6497</v>
      </c>
      <c r="I415" s="7">
        <f>780</f>
        <v>780</v>
      </c>
      <c r="J415" s="5" t="s">
        <v>262</v>
      </c>
      <c r="K415" s="8">
        <f>1727700</f>
        <v>1727700</v>
      </c>
      <c r="L415" s="6" t="s">
        <v>242</v>
      </c>
      <c r="M415" s="5" t="s">
        <v>267</v>
      </c>
      <c r="N415" s="5" t="s">
        <v>237</v>
      </c>
      <c r="O415" s="5" t="s">
        <v>238</v>
      </c>
      <c r="P415" s="5" t="s">
        <v>238</v>
      </c>
      <c r="Q415" s="5" t="s">
        <v>239</v>
      </c>
      <c r="R415" s="5" t="s">
        <v>270</v>
      </c>
      <c r="S415" s="5" t="s">
        <v>238</v>
      </c>
      <c r="V415" s="5" t="s">
        <v>238</v>
      </c>
      <c r="X415" s="6" t="s">
        <v>238</v>
      </c>
      <c r="AA415" s="6" t="s">
        <v>243</v>
      </c>
      <c r="AB415" s="5" t="s">
        <v>238</v>
      </c>
      <c r="AC415" s="5" t="s">
        <v>244</v>
      </c>
      <c r="AD415" s="5" t="s">
        <v>245</v>
      </c>
      <c r="AT415" s="5" t="s">
        <v>246</v>
      </c>
      <c r="AU415" s="5" t="s">
        <v>238</v>
      </c>
      <c r="AV415" s="5" t="s">
        <v>247</v>
      </c>
      <c r="AW415" s="5" t="s">
        <v>238</v>
      </c>
      <c r="AX415" s="5" t="s">
        <v>249</v>
      </c>
      <c r="AY415" s="5" t="s">
        <v>238</v>
      </c>
      <c r="BA415" s="5" t="s">
        <v>238</v>
      </c>
      <c r="BC415" s="5" t="s">
        <v>250</v>
      </c>
      <c r="BD415" s="6" t="s">
        <v>243</v>
      </c>
      <c r="BE415" s="5" t="s">
        <v>251</v>
      </c>
      <c r="BF415" s="5" t="s">
        <v>252</v>
      </c>
      <c r="BG415" s="5" t="s">
        <v>238</v>
      </c>
      <c r="BH415" s="7">
        <f>0</f>
        <v>0</v>
      </c>
      <c r="BI415" s="8">
        <f>0</f>
        <v>0</v>
      </c>
      <c r="BJ415" s="5" t="s">
        <v>253</v>
      </c>
      <c r="BK415" s="5" t="s">
        <v>254</v>
      </c>
      <c r="BY415" s="5" t="s">
        <v>238</v>
      </c>
      <c r="BZ415" s="5" t="s">
        <v>238</v>
      </c>
      <c r="CD415" s="5" t="s">
        <v>255</v>
      </c>
      <c r="CE415" s="5" t="s">
        <v>256</v>
      </c>
      <c r="CF415" s="5" t="s">
        <v>238</v>
      </c>
      <c r="CI415" s="6" t="s">
        <v>257</v>
      </c>
      <c r="CJ415" s="5" t="s">
        <v>238</v>
      </c>
      <c r="CK415" s="5" t="s">
        <v>258</v>
      </c>
      <c r="CL415" s="5" t="s">
        <v>238</v>
      </c>
      <c r="CM415" s="5" t="s">
        <v>238</v>
      </c>
      <c r="CN415" s="5">
        <v>0</v>
      </c>
      <c r="CO415" s="5" t="s">
        <v>259</v>
      </c>
      <c r="CP415" s="5" t="s">
        <v>260</v>
      </c>
      <c r="CQ415" s="5" t="s">
        <v>260</v>
      </c>
      <c r="CR415" s="5" t="s">
        <v>261</v>
      </c>
      <c r="CU415" s="8">
        <f>1727700</f>
        <v>1727700</v>
      </c>
      <c r="CV415" s="8">
        <f>0</f>
        <v>0</v>
      </c>
      <c r="CX415" s="8">
        <f>0</f>
        <v>0</v>
      </c>
      <c r="CY415" s="8">
        <f>1727700</f>
        <v>1727700</v>
      </c>
      <c r="DA415" s="5" t="s">
        <v>2032</v>
      </c>
      <c r="DB415" s="5" t="s">
        <v>238</v>
      </c>
      <c r="DD415" s="5" t="s">
        <v>2211</v>
      </c>
      <c r="DE415" s="8">
        <f>780</f>
        <v>780</v>
      </c>
      <c r="DG415" s="5" t="s">
        <v>389</v>
      </c>
      <c r="DH415" s="5" t="s">
        <v>238</v>
      </c>
      <c r="DI415" s="5" t="s">
        <v>238</v>
      </c>
      <c r="DJ415" s="5" t="s">
        <v>238</v>
      </c>
      <c r="DN415" s="5" t="s">
        <v>238</v>
      </c>
      <c r="DO415" s="5" t="s">
        <v>238</v>
      </c>
      <c r="DP415" s="5" t="s">
        <v>238</v>
      </c>
      <c r="DQ415" s="5" t="s">
        <v>238</v>
      </c>
      <c r="DT415" s="5" t="s">
        <v>5911</v>
      </c>
      <c r="DU415" s="5" t="s">
        <v>1239</v>
      </c>
      <c r="HM415" s="5" t="s">
        <v>264</v>
      </c>
    </row>
    <row r="416" spans="1:221" x14ac:dyDescent="0.4">
      <c r="A416" s="5">
        <v>1151</v>
      </c>
      <c r="B416" s="5">
        <v>1</v>
      </c>
      <c r="C416" s="5">
        <v>1</v>
      </c>
      <c r="D416" s="5" t="s">
        <v>5909</v>
      </c>
      <c r="E416" s="5" t="s">
        <v>437</v>
      </c>
      <c r="F416" s="5" t="s">
        <v>248</v>
      </c>
      <c r="G416" s="5" t="s">
        <v>5908</v>
      </c>
      <c r="H416" s="6" t="s">
        <v>5945</v>
      </c>
      <c r="I416" s="7">
        <f>780</f>
        <v>780</v>
      </c>
      <c r="J416" s="5" t="s">
        <v>262</v>
      </c>
      <c r="K416" s="8">
        <f>1727700</f>
        <v>1727700</v>
      </c>
      <c r="L416" s="6" t="s">
        <v>242</v>
      </c>
      <c r="M416" s="5" t="s">
        <v>267</v>
      </c>
      <c r="N416" s="5" t="s">
        <v>237</v>
      </c>
      <c r="O416" s="5" t="s">
        <v>238</v>
      </c>
      <c r="P416" s="5" t="s">
        <v>238</v>
      </c>
      <c r="Q416" s="5" t="s">
        <v>239</v>
      </c>
      <c r="R416" s="5" t="s">
        <v>270</v>
      </c>
      <c r="S416" s="5" t="s">
        <v>238</v>
      </c>
      <c r="V416" s="5" t="s">
        <v>238</v>
      </c>
      <c r="X416" s="6" t="s">
        <v>238</v>
      </c>
      <c r="AA416" s="6" t="s">
        <v>243</v>
      </c>
      <c r="AB416" s="5" t="s">
        <v>238</v>
      </c>
      <c r="AC416" s="5" t="s">
        <v>244</v>
      </c>
      <c r="AD416" s="5" t="s">
        <v>245</v>
      </c>
      <c r="AT416" s="5" t="s">
        <v>246</v>
      </c>
      <c r="AU416" s="5" t="s">
        <v>238</v>
      </c>
      <c r="AV416" s="5" t="s">
        <v>247</v>
      </c>
      <c r="AW416" s="5" t="s">
        <v>238</v>
      </c>
      <c r="AX416" s="5" t="s">
        <v>249</v>
      </c>
      <c r="AY416" s="5" t="s">
        <v>238</v>
      </c>
      <c r="BA416" s="5" t="s">
        <v>238</v>
      </c>
      <c r="BC416" s="5" t="s">
        <v>250</v>
      </c>
      <c r="BD416" s="6" t="s">
        <v>243</v>
      </c>
      <c r="BE416" s="5" t="s">
        <v>251</v>
      </c>
      <c r="BF416" s="5" t="s">
        <v>252</v>
      </c>
      <c r="BG416" s="5" t="s">
        <v>238</v>
      </c>
      <c r="BH416" s="7">
        <f>0</f>
        <v>0</v>
      </c>
      <c r="BI416" s="8">
        <f>0</f>
        <v>0</v>
      </c>
      <c r="BJ416" s="5" t="s">
        <v>253</v>
      </c>
      <c r="BK416" s="5" t="s">
        <v>254</v>
      </c>
      <c r="BY416" s="5" t="s">
        <v>238</v>
      </c>
      <c r="BZ416" s="5" t="s">
        <v>238</v>
      </c>
      <c r="CD416" s="5" t="s">
        <v>255</v>
      </c>
      <c r="CE416" s="5" t="s">
        <v>256</v>
      </c>
      <c r="CF416" s="5" t="s">
        <v>238</v>
      </c>
      <c r="CI416" s="6" t="s">
        <v>257</v>
      </c>
      <c r="CJ416" s="5" t="s">
        <v>238</v>
      </c>
      <c r="CK416" s="5" t="s">
        <v>258</v>
      </c>
      <c r="CL416" s="5" t="s">
        <v>238</v>
      </c>
      <c r="CM416" s="5" t="s">
        <v>238</v>
      </c>
      <c r="CN416" s="5">
        <v>0</v>
      </c>
      <c r="CO416" s="5" t="s">
        <v>259</v>
      </c>
      <c r="CP416" s="5" t="s">
        <v>260</v>
      </c>
      <c r="CQ416" s="5" t="s">
        <v>260</v>
      </c>
      <c r="CR416" s="5" t="s">
        <v>261</v>
      </c>
      <c r="CU416" s="8">
        <f>1727700</f>
        <v>1727700</v>
      </c>
      <c r="CV416" s="8">
        <f>0</f>
        <v>0</v>
      </c>
      <c r="CX416" s="8">
        <f>0</f>
        <v>0</v>
      </c>
      <c r="CY416" s="8">
        <f>1727700</f>
        <v>1727700</v>
      </c>
      <c r="DA416" s="5" t="s">
        <v>2032</v>
      </c>
      <c r="DB416" s="5" t="s">
        <v>238</v>
      </c>
      <c r="DD416" s="5" t="s">
        <v>357</v>
      </c>
      <c r="DE416" s="8">
        <f>780</f>
        <v>780</v>
      </c>
      <c r="DG416" s="5" t="s">
        <v>389</v>
      </c>
      <c r="DH416" s="5" t="s">
        <v>238</v>
      </c>
      <c r="DI416" s="5" t="s">
        <v>238</v>
      </c>
      <c r="DJ416" s="5" t="s">
        <v>238</v>
      </c>
      <c r="DN416" s="5" t="s">
        <v>238</v>
      </c>
      <c r="DO416" s="5" t="s">
        <v>238</v>
      </c>
      <c r="DP416" s="5" t="s">
        <v>238</v>
      </c>
      <c r="DQ416" s="5" t="s">
        <v>238</v>
      </c>
      <c r="DT416" s="5" t="s">
        <v>5911</v>
      </c>
      <c r="DU416" s="5" t="s">
        <v>1232</v>
      </c>
      <c r="HM416" s="5" t="s">
        <v>264</v>
      </c>
    </row>
    <row r="417" spans="1:221" x14ac:dyDescent="0.4">
      <c r="A417" s="5">
        <v>1152</v>
      </c>
      <c r="B417" s="5">
        <v>1</v>
      </c>
      <c r="C417" s="5">
        <v>1</v>
      </c>
      <c r="D417" s="5" t="s">
        <v>5909</v>
      </c>
      <c r="E417" s="5" t="s">
        <v>437</v>
      </c>
      <c r="F417" s="5" t="s">
        <v>248</v>
      </c>
      <c r="G417" s="5" t="s">
        <v>5908</v>
      </c>
      <c r="H417" s="6" t="s">
        <v>5946</v>
      </c>
      <c r="I417" s="7">
        <f>663</f>
        <v>663</v>
      </c>
      <c r="J417" s="5" t="s">
        <v>262</v>
      </c>
      <c r="K417" s="8">
        <f>1468545</f>
        <v>1468545</v>
      </c>
      <c r="L417" s="6" t="s">
        <v>242</v>
      </c>
      <c r="M417" s="5" t="s">
        <v>267</v>
      </c>
      <c r="N417" s="5" t="s">
        <v>237</v>
      </c>
      <c r="O417" s="5" t="s">
        <v>238</v>
      </c>
      <c r="P417" s="5" t="s">
        <v>238</v>
      </c>
      <c r="Q417" s="5" t="s">
        <v>239</v>
      </c>
      <c r="R417" s="5" t="s">
        <v>270</v>
      </c>
      <c r="S417" s="5" t="s">
        <v>238</v>
      </c>
      <c r="V417" s="5" t="s">
        <v>238</v>
      </c>
      <c r="X417" s="6" t="s">
        <v>238</v>
      </c>
      <c r="AA417" s="6" t="s">
        <v>243</v>
      </c>
      <c r="AB417" s="5" t="s">
        <v>238</v>
      </c>
      <c r="AC417" s="5" t="s">
        <v>244</v>
      </c>
      <c r="AD417" s="5" t="s">
        <v>245</v>
      </c>
      <c r="AT417" s="5" t="s">
        <v>246</v>
      </c>
      <c r="AU417" s="5" t="s">
        <v>238</v>
      </c>
      <c r="AV417" s="5" t="s">
        <v>247</v>
      </c>
      <c r="AW417" s="5" t="s">
        <v>238</v>
      </c>
      <c r="AX417" s="5" t="s">
        <v>249</v>
      </c>
      <c r="AY417" s="5" t="s">
        <v>238</v>
      </c>
      <c r="BA417" s="5" t="s">
        <v>238</v>
      </c>
      <c r="BC417" s="5" t="s">
        <v>250</v>
      </c>
      <c r="BD417" s="6" t="s">
        <v>243</v>
      </c>
      <c r="BE417" s="5" t="s">
        <v>251</v>
      </c>
      <c r="BF417" s="5" t="s">
        <v>252</v>
      </c>
      <c r="BG417" s="5" t="s">
        <v>238</v>
      </c>
      <c r="BH417" s="7">
        <f>0</f>
        <v>0</v>
      </c>
      <c r="BI417" s="8">
        <f>0</f>
        <v>0</v>
      </c>
      <c r="BJ417" s="5" t="s">
        <v>253</v>
      </c>
      <c r="BK417" s="5" t="s">
        <v>254</v>
      </c>
      <c r="BY417" s="5" t="s">
        <v>238</v>
      </c>
      <c r="BZ417" s="5" t="s">
        <v>238</v>
      </c>
      <c r="CD417" s="5" t="s">
        <v>255</v>
      </c>
      <c r="CE417" s="5" t="s">
        <v>256</v>
      </c>
      <c r="CF417" s="5" t="s">
        <v>238</v>
      </c>
      <c r="CI417" s="6" t="s">
        <v>257</v>
      </c>
      <c r="CJ417" s="5" t="s">
        <v>238</v>
      </c>
      <c r="CK417" s="5" t="s">
        <v>258</v>
      </c>
      <c r="CL417" s="5" t="s">
        <v>238</v>
      </c>
      <c r="CM417" s="5" t="s">
        <v>238</v>
      </c>
      <c r="CN417" s="5">
        <v>0</v>
      </c>
      <c r="CO417" s="5" t="s">
        <v>259</v>
      </c>
      <c r="CP417" s="5" t="s">
        <v>260</v>
      </c>
      <c r="CQ417" s="5" t="s">
        <v>260</v>
      </c>
      <c r="CR417" s="5" t="s">
        <v>261</v>
      </c>
      <c r="CU417" s="8">
        <f>1468545</f>
        <v>1468545</v>
      </c>
      <c r="CV417" s="8">
        <f>0</f>
        <v>0</v>
      </c>
      <c r="CX417" s="8">
        <f>0</f>
        <v>0</v>
      </c>
      <c r="CY417" s="8">
        <f>1468545</f>
        <v>1468545</v>
      </c>
      <c r="DA417" s="5" t="s">
        <v>2032</v>
      </c>
      <c r="DB417" s="5" t="s">
        <v>238</v>
      </c>
      <c r="DD417" s="5" t="s">
        <v>2211</v>
      </c>
      <c r="DE417" s="8">
        <f>663</f>
        <v>663</v>
      </c>
      <c r="DG417" s="5" t="s">
        <v>389</v>
      </c>
      <c r="DH417" s="5" t="s">
        <v>238</v>
      </c>
      <c r="DI417" s="5" t="s">
        <v>238</v>
      </c>
      <c r="DJ417" s="5" t="s">
        <v>238</v>
      </c>
      <c r="DN417" s="5" t="s">
        <v>238</v>
      </c>
      <c r="DO417" s="5" t="s">
        <v>238</v>
      </c>
      <c r="DP417" s="5" t="s">
        <v>238</v>
      </c>
      <c r="DQ417" s="5" t="s">
        <v>238</v>
      </c>
      <c r="DT417" s="5" t="s">
        <v>5911</v>
      </c>
      <c r="DU417" s="5" t="s">
        <v>1228</v>
      </c>
      <c r="HM417" s="5" t="s">
        <v>264</v>
      </c>
    </row>
    <row r="418" spans="1:221" x14ac:dyDescent="0.4">
      <c r="A418" s="5">
        <v>1153</v>
      </c>
      <c r="B418" s="5">
        <v>1</v>
      </c>
      <c r="C418" s="5">
        <v>1</v>
      </c>
      <c r="D418" s="5" t="s">
        <v>5909</v>
      </c>
      <c r="E418" s="5" t="s">
        <v>437</v>
      </c>
      <c r="F418" s="5" t="s">
        <v>248</v>
      </c>
      <c r="G418" s="5" t="s">
        <v>5908</v>
      </c>
      <c r="H418" s="6" t="s">
        <v>5969</v>
      </c>
      <c r="I418" s="7">
        <f>780</f>
        <v>780</v>
      </c>
      <c r="J418" s="5" t="s">
        <v>262</v>
      </c>
      <c r="K418" s="8">
        <f>1727700</f>
        <v>1727700</v>
      </c>
      <c r="L418" s="6" t="s">
        <v>242</v>
      </c>
      <c r="M418" s="5" t="s">
        <v>267</v>
      </c>
      <c r="N418" s="5" t="s">
        <v>237</v>
      </c>
      <c r="O418" s="5" t="s">
        <v>238</v>
      </c>
      <c r="P418" s="5" t="s">
        <v>238</v>
      </c>
      <c r="Q418" s="5" t="s">
        <v>239</v>
      </c>
      <c r="R418" s="5" t="s">
        <v>270</v>
      </c>
      <c r="S418" s="5" t="s">
        <v>238</v>
      </c>
      <c r="V418" s="5" t="s">
        <v>238</v>
      </c>
      <c r="X418" s="6" t="s">
        <v>238</v>
      </c>
      <c r="AA418" s="6" t="s">
        <v>243</v>
      </c>
      <c r="AB418" s="5" t="s">
        <v>238</v>
      </c>
      <c r="AC418" s="5" t="s">
        <v>244</v>
      </c>
      <c r="AD418" s="5" t="s">
        <v>245</v>
      </c>
      <c r="AT418" s="5" t="s">
        <v>246</v>
      </c>
      <c r="AU418" s="5" t="s">
        <v>238</v>
      </c>
      <c r="AV418" s="5" t="s">
        <v>247</v>
      </c>
      <c r="AW418" s="5" t="s">
        <v>238</v>
      </c>
      <c r="AX418" s="5" t="s">
        <v>249</v>
      </c>
      <c r="AY418" s="5" t="s">
        <v>238</v>
      </c>
      <c r="BA418" s="5" t="s">
        <v>238</v>
      </c>
      <c r="BC418" s="5" t="s">
        <v>250</v>
      </c>
      <c r="BD418" s="6" t="s">
        <v>243</v>
      </c>
      <c r="BE418" s="5" t="s">
        <v>251</v>
      </c>
      <c r="BF418" s="5" t="s">
        <v>252</v>
      </c>
      <c r="BG418" s="5" t="s">
        <v>238</v>
      </c>
      <c r="BH418" s="7">
        <f>0</f>
        <v>0</v>
      </c>
      <c r="BI418" s="8">
        <f>0</f>
        <v>0</v>
      </c>
      <c r="BJ418" s="5" t="s">
        <v>253</v>
      </c>
      <c r="BK418" s="5" t="s">
        <v>254</v>
      </c>
      <c r="BY418" s="5" t="s">
        <v>238</v>
      </c>
      <c r="BZ418" s="5" t="s">
        <v>238</v>
      </c>
      <c r="CD418" s="5" t="s">
        <v>255</v>
      </c>
      <c r="CE418" s="5" t="s">
        <v>256</v>
      </c>
      <c r="CF418" s="5" t="s">
        <v>238</v>
      </c>
      <c r="CI418" s="6" t="s">
        <v>257</v>
      </c>
      <c r="CJ418" s="5" t="s">
        <v>238</v>
      </c>
      <c r="CK418" s="5" t="s">
        <v>258</v>
      </c>
      <c r="CL418" s="5" t="s">
        <v>238</v>
      </c>
      <c r="CM418" s="5" t="s">
        <v>238</v>
      </c>
      <c r="CN418" s="5">
        <v>0</v>
      </c>
      <c r="CO418" s="5" t="s">
        <v>259</v>
      </c>
      <c r="CP418" s="5" t="s">
        <v>260</v>
      </c>
      <c r="CQ418" s="5" t="s">
        <v>260</v>
      </c>
      <c r="CR418" s="5" t="s">
        <v>261</v>
      </c>
      <c r="CU418" s="8">
        <f>1727700</f>
        <v>1727700</v>
      </c>
      <c r="CV418" s="8">
        <f>0</f>
        <v>0</v>
      </c>
      <c r="CX418" s="8">
        <f>0</f>
        <v>0</v>
      </c>
      <c r="CY418" s="8">
        <f>1727700</f>
        <v>1727700</v>
      </c>
      <c r="DA418" s="5" t="s">
        <v>2032</v>
      </c>
      <c r="DB418" s="5" t="s">
        <v>238</v>
      </c>
      <c r="DD418" s="5" t="s">
        <v>2211</v>
      </c>
      <c r="DE418" s="8">
        <f>780</f>
        <v>780</v>
      </c>
      <c r="DG418" s="5" t="s">
        <v>389</v>
      </c>
      <c r="DH418" s="5" t="s">
        <v>238</v>
      </c>
      <c r="DI418" s="5" t="s">
        <v>238</v>
      </c>
      <c r="DJ418" s="5" t="s">
        <v>238</v>
      </c>
      <c r="DN418" s="5" t="s">
        <v>238</v>
      </c>
      <c r="DO418" s="5" t="s">
        <v>238</v>
      </c>
      <c r="DP418" s="5" t="s">
        <v>238</v>
      </c>
      <c r="DQ418" s="5" t="s">
        <v>238</v>
      </c>
      <c r="DT418" s="5" t="s">
        <v>5911</v>
      </c>
      <c r="DU418" s="5" t="s">
        <v>1226</v>
      </c>
      <c r="HM418" s="5" t="s">
        <v>264</v>
      </c>
    </row>
    <row r="419" spans="1:221" x14ac:dyDescent="0.4">
      <c r="A419" s="5">
        <v>1154</v>
      </c>
      <c r="B419" s="5">
        <v>1</v>
      </c>
      <c r="C419" s="5">
        <v>1</v>
      </c>
      <c r="D419" s="5" t="s">
        <v>5909</v>
      </c>
      <c r="E419" s="5" t="s">
        <v>437</v>
      </c>
      <c r="F419" s="5" t="s">
        <v>248</v>
      </c>
      <c r="G419" s="5" t="s">
        <v>5908</v>
      </c>
      <c r="H419" s="6" t="s">
        <v>5947</v>
      </c>
      <c r="I419" s="7">
        <f>780</f>
        <v>780</v>
      </c>
      <c r="J419" s="5" t="s">
        <v>262</v>
      </c>
      <c r="K419" s="8">
        <f>1727700</f>
        <v>1727700</v>
      </c>
      <c r="L419" s="6" t="s">
        <v>242</v>
      </c>
      <c r="M419" s="5" t="s">
        <v>267</v>
      </c>
      <c r="N419" s="5" t="s">
        <v>237</v>
      </c>
      <c r="O419" s="5" t="s">
        <v>238</v>
      </c>
      <c r="P419" s="5" t="s">
        <v>238</v>
      </c>
      <c r="Q419" s="5" t="s">
        <v>239</v>
      </c>
      <c r="R419" s="5" t="s">
        <v>270</v>
      </c>
      <c r="S419" s="5" t="s">
        <v>238</v>
      </c>
      <c r="V419" s="5" t="s">
        <v>238</v>
      </c>
      <c r="X419" s="6" t="s">
        <v>238</v>
      </c>
      <c r="AA419" s="6" t="s">
        <v>243</v>
      </c>
      <c r="AB419" s="5" t="s">
        <v>238</v>
      </c>
      <c r="AC419" s="5" t="s">
        <v>244</v>
      </c>
      <c r="AD419" s="5" t="s">
        <v>245</v>
      </c>
      <c r="AT419" s="5" t="s">
        <v>246</v>
      </c>
      <c r="AU419" s="5" t="s">
        <v>238</v>
      </c>
      <c r="AV419" s="5" t="s">
        <v>247</v>
      </c>
      <c r="AW419" s="5" t="s">
        <v>238</v>
      </c>
      <c r="AX419" s="5" t="s">
        <v>249</v>
      </c>
      <c r="AY419" s="5" t="s">
        <v>238</v>
      </c>
      <c r="BA419" s="5" t="s">
        <v>238</v>
      </c>
      <c r="BC419" s="5" t="s">
        <v>250</v>
      </c>
      <c r="BD419" s="6" t="s">
        <v>243</v>
      </c>
      <c r="BE419" s="5" t="s">
        <v>251</v>
      </c>
      <c r="BF419" s="5" t="s">
        <v>252</v>
      </c>
      <c r="BG419" s="5" t="s">
        <v>238</v>
      </c>
      <c r="BH419" s="7">
        <f>0</f>
        <v>0</v>
      </c>
      <c r="BI419" s="8">
        <f>0</f>
        <v>0</v>
      </c>
      <c r="BJ419" s="5" t="s">
        <v>253</v>
      </c>
      <c r="BK419" s="5" t="s">
        <v>254</v>
      </c>
      <c r="BY419" s="5" t="s">
        <v>238</v>
      </c>
      <c r="BZ419" s="5" t="s">
        <v>238</v>
      </c>
      <c r="CD419" s="5" t="s">
        <v>255</v>
      </c>
      <c r="CE419" s="5" t="s">
        <v>256</v>
      </c>
      <c r="CF419" s="5" t="s">
        <v>238</v>
      </c>
      <c r="CI419" s="6" t="s">
        <v>257</v>
      </c>
      <c r="CJ419" s="5" t="s">
        <v>238</v>
      </c>
      <c r="CK419" s="5" t="s">
        <v>258</v>
      </c>
      <c r="CL419" s="5" t="s">
        <v>238</v>
      </c>
      <c r="CM419" s="5" t="s">
        <v>238</v>
      </c>
      <c r="CN419" s="5">
        <v>0</v>
      </c>
      <c r="CO419" s="5" t="s">
        <v>259</v>
      </c>
      <c r="CP419" s="5" t="s">
        <v>260</v>
      </c>
      <c r="CQ419" s="5" t="s">
        <v>260</v>
      </c>
      <c r="CR419" s="5" t="s">
        <v>261</v>
      </c>
      <c r="CU419" s="8">
        <f>1727700</f>
        <v>1727700</v>
      </c>
      <c r="CV419" s="8">
        <f>0</f>
        <v>0</v>
      </c>
      <c r="CX419" s="8">
        <f>0</f>
        <v>0</v>
      </c>
      <c r="CY419" s="8">
        <f>1727700</f>
        <v>1727700</v>
      </c>
      <c r="DA419" s="5" t="s">
        <v>2032</v>
      </c>
      <c r="DB419" s="5" t="s">
        <v>238</v>
      </c>
      <c r="DD419" s="5" t="s">
        <v>2211</v>
      </c>
      <c r="DE419" s="8">
        <f>780</f>
        <v>780</v>
      </c>
      <c r="DG419" s="5" t="s">
        <v>389</v>
      </c>
      <c r="DH419" s="5" t="s">
        <v>238</v>
      </c>
      <c r="DI419" s="5" t="s">
        <v>238</v>
      </c>
      <c r="DJ419" s="5" t="s">
        <v>238</v>
      </c>
      <c r="DN419" s="5" t="s">
        <v>238</v>
      </c>
      <c r="DO419" s="5" t="s">
        <v>238</v>
      </c>
      <c r="DP419" s="5" t="s">
        <v>238</v>
      </c>
      <c r="DQ419" s="5" t="s">
        <v>238</v>
      </c>
      <c r="DT419" s="5" t="s">
        <v>5911</v>
      </c>
      <c r="DU419" s="5" t="s">
        <v>1222</v>
      </c>
      <c r="HM419" s="5" t="s">
        <v>264</v>
      </c>
    </row>
    <row r="420" spans="1:221" x14ac:dyDescent="0.4">
      <c r="A420" s="5">
        <v>1155</v>
      </c>
      <c r="B420" s="5">
        <v>1</v>
      </c>
      <c r="C420" s="5">
        <v>1</v>
      </c>
      <c r="D420" s="5" t="s">
        <v>5909</v>
      </c>
      <c r="E420" s="5" t="s">
        <v>437</v>
      </c>
      <c r="F420" s="5" t="s">
        <v>248</v>
      </c>
      <c r="G420" s="5" t="s">
        <v>5908</v>
      </c>
      <c r="H420" s="6" t="s">
        <v>6498</v>
      </c>
      <c r="I420" s="7">
        <f>614</f>
        <v>614</v>
      </c>
      <c r="J420" s="5" t="s">
        <v>262</v>
      </c>
      <c r="K420" s="8">
        <f>1360010</f>
        <v>1360010</v>
      </c>
      <c r="L420" s="6" t="s">
        <v>242</v>
      </c>
      <c r="M420" s="5" t="s">
        <v>267</v>
      </c>
      <c r="N420" s="5" t="s">
        <v>237</v>
      </c>
      <c r="O420" s="5" t="s">
        <v>238</v>
      </c>
      <c r="P420" s="5" t="s">
        <v>238</v>
      </c>
      <c r="Q420" s="5" t="s">
        <v>239</v>
      </c>
      <c r="R420" s="5" t="s">
        <v>270</v>
      </c>
      <c r="S420" s="5" t="s">
        <v>238</v>
      </c>
      <c r="V420" s="5" t="s">
        <v>238</v>
      </c>
      <c r="X420" s="6" t="s">
        <v>238</v>
      </c>
      <c r="AA420" s="6" t="s">
        <v>243</v>
      </c>
      <c r="AB420" s="5" t="s">
        <v>238</v>
      </c>
      <c r="AC420" s="5" t="s">
        <v>244</v>
      </c>
      <c r="AD420" s="5" t="s">
        <v>245</v>
      </c>
      <c r="AT420" s="5" t="s">
        <v>246</v>
      </c>
      <c r="AU420" s="5" t="s">
        <v>238</v>
      </c>
      <c r="AV420" s="5" t="s">
        <v>247</v>
      </c>
      <c r="AW420" s="5" t="s">
        <v>238</v>
      </c>
      <c r="AX420" s="5" t="s">
        <v>249</v>
      </c>
      <c r="AY420" s="5" t="s">
        <v>238</v>
      </c>
      <c r="BA420" s="5" t="s">
        <v>238</v>
      </c>
      <c r="BC420" s="5" t="s">
        <v>250</v>
      </c>
      <c r="BD420" s="6" t="s">
        <v>243</v>
      </c>
      <c r="BE420" s="5" t="s">
        <v>251</v>
      </c>
      <c r="BF420" s="5" t="s">
        <v>252</v>
      </c>
      <c r="BG420" s="5" t="s">
        <v>238</v>
      </c>
      <c r="BH420" s="7">
        <f>0</f>
        <v>0</v>
      </c>
      <c r="BI420" s="8">
        <f>0</f>
        <v>0</v>
      </c>
      <c r="BJ420" s="5" t="s">
        <v>253</v>
      </c>
      <c r="BK420" s="5" t="s">
        <v>254</v>
      </c>
      <c r="BY420" s="5" t="s">
        <v>238</v>
      </c>
      <c r="BZ420" s="5" t="s">
        <v>238</v>
      </c>
      <c r="CD420" s="5" t="s">
        <v>255</v>
      </c>
      <c r="CE420" s="5" t="s">
        <v>256</v>
      </c>
      <c r="CF420" s="5" t="s">
        <v>238</v>
      </c>
      <c r="CI420" s="6" t="s">
        <v>257</v>
      </c>
      <c r="CJ420" s="5" t="s">
        <v>238</v>
      </c>
      <c r="CK420" s="5" t="s">
        <v>258</v>
      </c>
      <c r="CL420" s="5" t="s">
        <v>238</v>
      </c>
      <c r="CM420" s="5" t="s">
        <v>238</v>
      </c>
      <c r="CN420" s="5">
        <v>0</v>
      </c>
      <c r="CO420" s="5" t="s">
        <v>259</v>
      </c>
      <c r="CP420" s="5" t="s">
        <v>260</v>
      </c>
      <c r="CQ420" s="5" t="s">
        <v>260</v>
      </c>
      <c r="CR420" s="5" t="s">
        <v>261</v>
      </c>
      <c r="CU420" s="8">
        <f>1360010</f>
        <v>1360010</v>
      </c>
      <c r="CV420" s="8">
        <f>0</f>
        <v>0</v>
      </c>
      <c r="CX420" s="8">
        <f>0</f>
        <v>0</v>
      </c>
      <c r="CY420" s="8">
        <f>1360010</f>
        <v>1360010</v>
      </c>
      <c r="DA420" s="5" t="s">
        <v>2032</v>
      </c>
      <c r="DB420" s="5" t="s">
        <v>238</v>
      </c>
      <c r="DD420" s="5" t="s">
        <v>2211</v>
      </c>
      <c r="DE420" s="8">
        <f>614</f>
        <v>614</v>
      </c>
      <c r="DG420" s="5" t="s">
        <v>389</v>
      </c>
      <c r="DH420" s="5" t="s">
        <v>238</v>
      </c>
      <c r="DI420" s="5" t="s">
        <v>238</v>
      </c>
      <c r="DJ420" s="5" t="s">
        <v>238</v>
      </c>
      <c r="DN420" s="5" t="s">
        <v>238</v>
      </c>
      <c r="DO420" s="5" t="s">
        <v>238</v>
      </c>
      <c r="DP420" s="5" t="s">
        <v>238</v>
      </c>
      <c r="DQ420" s="5" t="s">
        <v>238</v>
      </c>
      <c r="DT420" s="5" t="s">
        <v>5911</v>
      </c>
      <c r="DU420" s="5" t="s">
        <v>1217</v>
      </c>
      <c r="HM420" s="5" t="s">
        <v>264</v>
      </c>
    </row>
    <row r="421" spans="1:221" x14ac:dyDescent="0.4">
      <c r="A421" s="5">
        <v>1156</v>
      </c>
      <c r="B421" s="5">
        <v>1</v>
      </c>
      <c r="C421" s="5">
        <v>1</v>
      </c>
      <c r="D421" s="5" t="s">
        <v>5909</v>
      </c>
      <c r="E421" s="5" t="s">
        <v>437</v>
      </c>
      <c r="F421" s="5" t="s">
        <v>248</v>
      </c>
      <c r="G421" s="5" t="s">
        <v>5908</v>
      </c>
      <c r="H421" s="6" t="s">
        <v>5949</v>
      </c>
      <c r="I421" s="7">
        <f>758</f>
        <v>758</v>
      </c>
      <c r="J421" s="5" t="s">
        <v>262</v>
      </c>
      <c r="K421" s="8">
        <f>1678970</f>
        <v>1678970</v>
      </c>
      <c r="L421" s="6" t="s">
        <v>242</v>
      </c>
      <c r="M421" s="5" t="s">
        <v>267</v>
      </c>
      <c r="N421" s="5" t="s">
        <v>237</v>
      </c>
      <c r="O421" s="5" t="s">
        <v>238</v>
      </c>
      <c r="P421" s="5" t="s">
        <v>238</v>
      </c>
      <c r="Q421" s="5" t="s">
        <v>239</v>
      </c>
      <c r="R421" s="5" t="s">
        <v>270</v>
      </c>
      <c r="S421" s="5" t="s">
        <v>238</v>
      </c>
      <c r="V421" s="5" t="s">
        <v>238</v>
      </c>
      <c r="X421" s="6" t="s">
        <v>238</v>
      </c>
      <c r="AA421" s="6" t="s">
        <v>243</v>
      </c>
      <c r="AB421" s="5" t="s">
        <v>238</v>
      </c>
      <c r="AC421" s="5" t="s">
        <v>244</v>
      </c>
      <c r="AD421" s="5" t="s">
        <v>245</v>
      </c>
      <c r="AT421" s="5" t="s">
        <v>246</v>
      </c>
      <c r="AU421" s="5" t="s">
        <v>238</v>
      </c>
      <c r="AV421" s="5" t="s">
        <v>247</v>
      </c>
      <c r="AW421" s="5" t="s">
        <v>238</v>
      </c>
      <c r="AX421" s="5" t="s">
        <v>249</v>
      </c>
      <c r="AY421" s="5" t="s">
        <v>238</v>
      </c>
      <c r="BA421" s="5" t="s">
        <v>238</v>
      </c>
      <c r="BC421" s="5" t="s">
        <v>250</v>
      </c>
      <c r="BD421" s="6" t="s">
        <v>243</v>
      </c>
      <c r="BE421" s="5" t="s">
        <v>251</v>
      </c>
      <c r="BF421" s="5" t="s">
        <v>252</v>
      </c>
      <c r="BG421" s="5" t="s">
        <v>238</v>
      </c>
      <c r="BH421" s="7">
        <f>0</f>
        <v>0</v>
      </c>
      <c r="BI421" s="8">
        <f>0</f>
        <v>0</v>
      </c>
      <c r="BJ421" s="5" t="s">
        <v>253</v>
      </c>
      <c r="BK421" s="5" t="s">
        <v>254</v>
      </c>
      <c r="BY421" s="5" t="s">
        <v>238</v>
      </c>
      <c r="BZ421" s="5" t="s">
        <v>238</v>
      </c>
      <c r="CD421" s="5" t="s">
        <v>255</v>
      </c>
      <c r="CE421" s="5" t="s">
        <v>256</v>
      </c>
      <c r="CF421" s="5" t="s">
        <v>238</v>
      </c>
      <c r="CI421" s="6" t="s">
        <v>257</v>
      </c>
      <c r="CJ421" s="5" t="s">
        <v>238</v>
      </c>
      <c r="CK421" s="5" t="s">
        <v>258</v>
      </c>
      <c r="CL421" s="5" t="s">
        <v>238</v>
      </c>
      <c r="CM421" s="5" t="s">
        <v>238</v>
      </c>
      <c r="CN421" s="5">
        <v>0</v>
      </c>
      <c r="CO421" s="5" t="s">
        <v>259</v>
      </c>
      <c r="CP421" s="5" t="s">
        <v>260</v>
      </c>
      <c r="CQ421" s="5" t="s">
        <v>260</v>
      </c>
      <c r="CR421" s="5" t="s">
        <v>261</v>
      </c>
      <c r="CU421" s="8">
        <f>1678970</f>
        <v>1678970</v>
      </c>
      <c r="CV421" s="8">
        <f>0</f>
        <v>0</v>
      </c>
      <c r="CX421" s="8">
        <f>0</f>
        <v>0</v>
      </c>
      <c r="CY421" s="8">
        <f>1678970</f>
        <v>1678970</v>
      </c>
      <c r="DA421" s="5" t="s">
        <v>2032</v>
      </c>
      <c r="DB421" s="5" t="s">
        <v>238</v>
      </c>
      <c r="DD421" s="5" t="s">
        <v>2211</v>
      </c>
      <c r="DE421" s="8">
        <f>758</f>
        <v>758</v>
      </c>
      <c r="DG421" s="5" t="s">
        <v>389</v>
      </c>
      <c r="DH421" s="5" t="s">
        <v>238</v>
      </c>
      <c r="DI421" s="5" t="s">
        <v>238</v>
      </c>
      <c r="DJ421" s="5" t="s">
        <v>238</v>
      </c>
      <c r="DN421" s="5" t="s">
        <v>238</v>
      </c>
      <c r="DO421" s="5" t="s">
        <v>238</v>
      </c>
      <c r="DP421" s="5" t="s">
        <v>238</v>
      </c>
      <c r="DQ421" s="5" t="s">
        <v>238</v>
      </c>
      <c r="DT421" s="5" t="s">
        <v>5911</v>
      </c>
      <c r="DU421" s="5" t="s">
        <v>1211</v>
      </c>
      <c r="HM421" s="5" t="s">
        <v>264</v>
      </c>
    </row>
    <row r="422" spans="1:221" x14ac:dyDescent="0.4">
      <c r="A422" s="5">
        <v>1157</v>
      </c>
      <c r="B422" s="5">
        <v>1</v>
      </c>
      <c r="C422" s="5">
        <v>1</v>
      </c>
      <c r="D422" s="5" t="s">
        <v>5909</v>
      </c>
      <c r="E422" s="5" t="s">
        <v>437</v>
      </c>
      <c r="F422" s="5" t="s">
        <v>248</v>
      </c>
      <c r="G422" s="5" t="s">
        <v>5908</v>
      </c>
      <c r="H422" s="6" t="s">
        <v>5968</v>
      </c>
      <c r="I422" s="7">
        <f>939</f>
        <v>939</v>
      </c>
      <c r="J422" s="5" t="s">
        <v>262</v>
      </c>
      <c r="K422" s="8">
        <f>2079885</f>
        <v>2079885</v>
      </c>
      <c r="L422" s="6" t="s">
        <v>242</v>
      </c>
      <c r="M422" s="5" t="s">
        <v>267</v>
      </c>
      <c r="N422" s="5" t="s">
        <v>237</v>
      </c>
      <c r="O422" s="5" t="s">
        <v>238</v>
      </c>
      <c r="P422" s="5" t="s">
        <v>238</v>
      </c>
      <c r="Q422" s="5" t="s">
        <v>239</v>
      </c>
      <c r="R422" s="5" t="s">
        <v>270</v>
      </c>
      <c r="S422" s="5" t="s">
        <v>238</v>
      </c>
      <c r="V422" s="5" t="s">
        <v>238</v>
      </c>
      <c r="X422" s="6" t="s">
        <v>238</v>
      </c>
      <c r="AA422" s="6" t="s">
        <v>243</v>
      </c>
      <c r="AB422" s="5" t="s">
        <v>238</v>
      </c>
      <c r="AC422" s="5" t="s">
        <v>244</v>
      </c>
      <c r="AD422" s="5" t="s">
        <v>245</v>
      </c>
      <c r="AT422" s="5" t="s">
        <v>246</v>
      </c>
      <c r="AU422" s="5" t="s">
        <v>238</v>
      </c>
      <c r="AV422" s="5" t="s">
        <v>247</v>
      </c>
      <c r="AW422" s="5" t="s">
        <v>238</v>
      </c>
      <c r="AX422" s="5" t="s">
        <v>249</v>
      </c>
      <c r="AY422" s="5" t="s">
        <v>238</v>
      </c>
      <c r="BA422" s="5" t="s">
        <v>238</v>
      </c>
      <c r="BC422" s="5" t="s">
        <v>250</v>
      </c>
      <c r="BD422" s="6" t="s">
        <v>243</v>
      </c>
      <c r="BE422" s="5" t="s">
        <v>251</v>
      </c>
      <c r="BF422" s="5" t="s">
        <v>252</v>
      </c>
      <c r="BG422" s="5" t="s">
        <v>238</v>
      </c>
      <c r="BH422" s="7">
        <f>0</f>
        <v>0</v>
      </c>
      <c r="BI422" s="8">
        <f>0</f>
        <v>0</v>
      </c>
      <c r="BJ422" s="5" t="s">
        <v>253</v>
      </c>
      <c r="BK422" s="5" t="s">
        <v>254</v>
      </c>
      <c r="BY422" s="5" t="s">
        <v>238</v>
      </c>
      <c r="BZ422" s="5" t="s">
        <v>238</v>
      </c>
      <c r="CD422" s="5" t="s">
        <v>255</v>
      </c>
      <c r="CE422" s="5" t="s">
        <v>256</v>
      </c>
      <c r="CF422" s="5" t="s">
        <v>238</v>
      </c>
      <c r="CI422" s="6" t="s">
        <v>257</v>
      </c>
      <c r="CJ422" s="5" t="s">
        <v>238</v>
      </c>
      <c r="CK422" s="5" t="s">
        <v>258</v>
      </c>
      <c r="CL422" s="5" t="s">
        <v>238</v>
      </c>
      <c r="CM422" s="5" t="s">
        <v>238</v>
      </c>
      <c r="CN422" s="5">
        <v>0</v>
      </c>
      <c r="CO422" s="5" t="s">
        <v>259</v>
      </c>
      <c r="CP422" s="5" t="s">
        <v>260</v>
      </c>
      <c r="CQ422" s="5" t="s">
        <v>260</v>
      </c>
      <c r="CR422" s="5" t="s">
        <v>261</v>
      </c>
      <c r="CU422" s="8">
        <f>2079885</f>
        <v>2079885</v>
      </c>
      <c r="CV422" s="8">
        <f>0</f>
        <v>0</v>
      </c>
      <c r="CX422" s="8">
        <f>0</f>
        <v>0</v>
      </c>
      <c r="CY422" s="8">
        <f>2079885</f>
        <v>2079885</v>
      </c>
      <c r="DA422" s="5" t="s">
        <v>2032</v>
      </c>
      <c r="DB422" s="5" t="s">
        <v>238</v>
      </c>
      <c r="DD422" s="5" t="s">
        <v>2211</v>
      </c>
      <c r="DE422" s="8">
        <f>939</f>
        <v>939</v>
      </c>
      <c r="DG422" s="5" t="s">
        <v>389</v>
      </c>
      <c r="DH422" s="5" t="s">
        <v>238</v>
      </c>
      <c r="DI422" s="5" t="s">
        <v>238</v>
      </c>
      <c r="DJ422" s="5" t="s">
        <v>238</v>
      </c>
      <c r="DN422" s="5" t="s">
        <v>238</v>
      </c>
      <c r="DO422" s="5" t="s">
        <v>238</v>
      </c>
      <c r="DP422" s="5" t="s">
        <v>238</v>
      </c>
      <c r="DQ422" s="5" t="s">
        <v>238</v>
      </c>
      <c r="DT422" s="5" t="s">
        <v>5911</v>
      </c>
      <c r="DU422" s="5" t="s">
        <v>1209</v>
      </c>
      <c r="HM422" s="5" t="s">
        <v>264</v>
      </c>
    </row>
    <row r="423" spans="1:221" x14ac:dyDescent="0.4">
      <c r="A423" s="5">
        <v>1158</v>
      </c>
      <c r="B423" s="5">
        <v>1</v>
      </c>
      <c r="C423" s="5">
        <v>1</v>
      </c>
      <c r="D423" s="5" t="s">
        <v>5909</v>
      </c>
      <c r="E423" s="5" t="s">
        <v>437</v>
      </c>
      <c r="F423" s="5" t="s">
        <v>248</v>
      </c>
      <c r="G423" s="5" t="s">
        <v>5908</v>
      </c>
      <c r="H423" s="6" t="s">
        <v>5950</v>
      </c>
      <c r="I423" s="7">
        <f>939</f>
        <v>939</v>
      </c>
      <c r="J423" s="5" t="s">
        <v>262</v>
      </c>
      <c r="K423" s="8">
        <f>2079885</f>
        <v>2079885</v>
      </c>
      <c r="L423" s="6" t="s">
        <v>242</v>
      </c>
      <c r="M423" s="5" t="s">
        <v>267</v>
      </c>
      <c r="N423" s="5" t="s">
        <v>237</v>
      </c>
      <c r="O423" s="5" t="s">
        <v>238</v>
      </c>
      <c r="P423" s="5" t="s">
        <v>238</v>
      </c>
      <c r="Q423" s="5" t="s">
        <v>239</v>
      </c>
      <c r="R423" s="5" t="s">
        <v>270</v>
      </c>
      <c r="S423" s="5" t="s">
        <v>238</v>
      </c>
      <c r="V423" s="5" t="s">
        <v>238</v>
      </c>
      <c r="X423" s="6" t="s">
        <v>238</v>
      </c>
      <c r="AA423" s="6" t="s">
        <v>243</v>
      </c>
      <c r="AB423" s="5" t="s">
        <v>238</v>
      </c>
      <c r="AC423" s="5" t="s">
        <v>244</v>
      </c>
      <c r="AD423" s="5" t="s">
        <v>245</v>
      </c>
      <c r="AT423" s="5" t="s">
        <v>246</v>
      </c>
      <c r="AU423" s="5" t="s">
        <v>238</v>
      </c>
      <c r="AV423" s="5" t="s">
        <v>247</v>
      </c>
      <c r="AW423" s="5" t="s">
        <v>238</v>
      </c>
      <c r="AX423" s="5" t="s">
        <v>249</v>
      </c>
      <c r="AY423" s="5" t="s">
        <v>238</v>
      </c>
      <c r="BA423" s="5" t="s">
        <v>238</v>
      </c>
      <c r="BC423" s="5" t="s">
        <v>250</v>
      </c>
      <c r="BD423" s="6" t="s">
        <v>243</v>
      </c>
      <c r="BE423" s="5" t="s">
        <v>251</v>
      </c>
      <c r="BF423" s="5" t="s">
        <v>252</v>
      </c>
      <c r="BG423" s="5" t="s">
        <v>238</v>
      </c>
      <c r="BH423" s="7">
        <f>0</f>
        <v>0</v>
      </c>
      <c r="BI423" s="8">
        <f>0</f>
        <v>0</v>
      </c>
      <c r="BJ423" s="5" t="s">
        <v>253</v>
      </c>
      <c r="BK423" s="5" t="s">
        <v>254</v>
      </c>
      <c r="BY423" s="5" t="s">
        <v>238</v>
      </c>
      <c r="BZ423" s="5" t="s">
        <v>238</v>
      </c>
      <c r="CD423" s="5" t="s">
        <v>255</v>
      </c>
      <c r="CE423" s="5" t="s">
        <v>256</v>
      </c>
      <c r="CF423" s="5" t="s">
        <v>238</v>
      </c>
      <c r="CI423" s="6" t="s">
        <v>257</v>
      </c>
      <c r="CJ423" s="5" t="s">
        <v>238</v>
      </c>
      <c r="CK423" s="5" t="s">
        <v>258</v>
      </c>
      <c r="CL423" s="5" t="s">
        <v>238</v>
      </c>
      <c r="CM423" s="5" t="s">
        <v>238</v>
      </c>
      <c r="CN423" s="5">
        <v>0</v>
      </c>
      <c r="CO423" s="5" t="s">
        <v>259</v>
      </c>
      <c r="CP423" s="5" t="s">
        <v>260</v>
      </c>
      <c r="CQ423" s="5" t="s">
        <v>260</v>
      </c>
      <c r="CR423" s="5" t="s">
        <v>261</v>
      </c>
      <c r="CU423" s="8">
        <f>2079885</f>
        <v>2079885</v>
      </c>
      <c r="CV423" s="8">
        <f>0</f>
        <v>0</v>
      </c>
      <c r="CX423" s="8">
        <f>0</f>
        <v>0</v>
      </c>
      <c r="CY423" s="8">
        <f>2079885</f>
        <v>2079885</v>
      </c>
      <c r="DA423" s="5" t="s">
        <v>2032</v>
      </c>
      <c r="DB423" s="5" t="s">
        <v>238</v>
      </c>
      <c r="DD423" s="5" t="s">
        <v>2211</v>
      </c>
      <c r="DE423" s="8">
        <f>939</f>
        <v>939</v>
      </c>
      <c r="DG423" s="5" t="s">
        <v>389</v>
      </c>
      <c r="DH423" s="5" t="s">
        <v>238</v>
      </c>
      <c r="DI423" s="5" t="s">
        <v>238</v>
      </c>
      <c r="DJ423" s="5" t="s">
        <v>238</v>
      </c>
      <c r="DN423" s="5" t="s">
        <v>238</v>
      </c>
      <c r="DO423" s="5" t="s">
        <v>238</v>
      </c>
      <c r="DP423" s="5" t="s">
        <v>238</v>
      </c>
      <c r="DQ423" s="5" t="s">
        <v>238</v>
      </c>
      <c r="DT423" s="5" t="s">
        <v>5911</v>
      </c>
      <c r="DU423" s="5" t="s">
        <v>1202</v>
      </c>
      <c r="HM423" s="5" t="s">
        <v>264</v>
      </c>
    </row>
    <row r="424" spans="1:221" x14ac:dyDescent="0.4">
      <c r="A424" s="5">
        <v>1159</v>
      </c>
      <c r="B424" s="5">
        <v>1</v>
      </c>
      <c r="C424" s="5">
        <v>1</v>
      </c>
      <c r="D424" s="5" t="s">
        <v>5909</v>
      </c>
      <c r="E424" s="5" t="s">
        <v>437</v>
      </c>
      <c r="F424" s="5" t="s">
        <v>248</v>
      </c>
      <c r="G424" s="5" t="s">
        <v>5908</v>
      </c>
      <c r="H424" s="6" t="s">
        <v>5951</v>
      </c>
      <c r="I424" s="7">
        <f>939</f>
        <v>939</v>
      </c>
      <c r="J424" s="5" t="s">
        <v>262</v>
      </c>
      <c r="K424" s="8">
        <f>2079885</f>
        <v>2079885</v>
      </c>
      <c r="L424" s="6" t="s">
        <v>242</v>
      </c>
      <c r="M424" s="5" t="s">
        <v>267</v>
      </c>
      <c r="N424" s="5" t="s">
        <v>237</v>
      </c>
      <c r="O424" s="5" t="s">
        <v>238</v>
      </c>
      <c r="P424" s="5" t="s">
        <v>238</v>
      </c>
      <c r="Q424" s="5" t="s">
        <v>239</v>
      </c>
      <c r="R424" s="5" t="s">
        <v>270</v>
      </c>
      <c r="S424" s="5" t="s">
        <v>238</v>
      </c>
      <c r="V424" s="5" t="s">
        <v>238</v>
      </c>
      <c r="X424" s="6" t="s">
        <v>238</v>
      </c>
      <c r="AA424" s="6" t="s">
        <v>243</v>
      </c>
      <c r="AB424" s="5" t="s">
        <v>238</v>
      </c>
      <c r="AC424" s="5" t="s">
        <v>244</v>
      </c>
      <c r="AD424" s="5" t="s">
        <v>245</v>
      </c>
      <c r="AT424" s="5" t="s">
        <v>246</v>
      </c>
      <c r="AU424" s="5" t="s">
        <v>238</v>
      </c>
      <c r="AV424" s="5" t="s">
        <v>247</v>
      </c>
      <c r="AW424" s="5" t="s">
        <v>238</v>
      </c>
      <c r="AX424" s="5" t="s">
        <v>249</v>
      </c>
      <c r="AY424" s="5" t="s">
        <v>238</v>
      </c>
      <c r="BA424" s="5" t="s">
        <v>238</v>
      </c>
      <c r="BC424" s="5" t="s">
        <v>250</v>
      </c>
      <c r="BD424" s="6" t="s">
        <v>243</v>
      </c>
      <c r="BE424" s="5" t="s">
        <v>251</v>
      </c>
      <c r="BF424" s="5" t="s">
        <v>252</v>
      </c>
      <c r="BG424" s="5" t="s">
        <v>238</v>
      </c>
      <c r="BH424" s="7">
        <f>0</f>
        <v>0</v>
      </c>
      <c r="BI424" s="8">
        <f>0</f>
        <v>0</v>
      </c>
      <c r="BJ424" s="5" t="s">
        <v>253</v>
      </c>
      <c r="BK424" s="5" t="s">
        <v>254</v>
      </c>
      <c r="BY424" s="5" t="s">
        <v>238</v>
      </c>
      <c r="BZ424" s="5" t="s">
        <v>238</v>
      </c>
      <c r="CD424" s="5" t="s">
        <v>255</v>
      </c>
      <c r="CE424" s="5" t="s">
        <v>256</v>
      </c>
      <c r="CF424" s="5" t="s">
        <v>238</v>
      </c>
      <c r="CI424" s="6" t="s">
        <v>257</v>
      </c>
      <c r="CJ424" s="5" t="s">
        <v>238</v>
      </c>
      <c r="CK424" s="5" t="s">
        <v>258</v>
      </c>
      <c r="CL424" s="5" t="s">
        <v>238</v>
      </c>
      <c r="CM424" s="5" t="s">
        <v>238</v>
      </c>
      <c r="CN424" s="5">
        <v>0</v>
      </c>
      <c r="CO424" s="5" t="s">
        <v>259</v>
      </c>
      <c r="CP424" s="5" t="s">
        <v>260</v>
      </c>
      <c r="CQ424" s="5" t="s">
        <v>260</v>
      </c>
      <c r="CR424" s="5" t="s">
        <v>261</v>
      </c>
      <c r="CU424" s="8">
        <f>2079885</f>
        <v>2079885</v>
      </c>
      <c r="CV424" s="8">
        <f>0</f>
        <v>0</v>
      </c>
      <c r="CX424" s="8">
        <f>0</f>
        <v>0</v>
      </c>
      <c r="CY424" s="8">
        <f>2079885</f>
        <v>2079885</v>
      </c>
      <c r="DA424" s="5" t="s">
        <v>2032</v>
      </c>
      <c r="DB424" s="5" t="s">
        <v>238</v>
      </c>
      <c r="DD424" s="5" t="s">
        <v>2211</v>
      </c>
      <c r="DE424" s="8">
        <f>939</f>
        <v>939</v>
      </c>
      <c r="DG424" s="5" t="s">
        <v>389</v>
      </c>
      <c r="DH424" s="5" t="s">
        <v>238</v>
      </c>
      <c r="DI424" s="5" t="s">
        <v>238</v>
      </c>
      <c r="DJ424" s="5" t="s">
        <v>238</v>
      </c>
      <c r="DN424" s="5" t="s">
        <v>238</v>
      </c>
      <c r="DO424" s="5" t="s">
        <v>238</v>
      </c>
      <c r="DP424" s="5" t="s">
        <v>238</v>
      </c>
      <c r="DQ424" s="5" t="s">
        <v>238</v>
      </c>
      <c r="DT424" s="5" t="s">
        <v>5911</v>
      </c>
      <c r="DU424" s="5" t="s">
        <v>984</v>
      </c>
      <c r="HM424" s="5" t="s">
        <v>264</v>
      </c>
    </row>
    <row r="425" spans="1:221" x14ac:dyDescent="0.4">
      <c r="A425" s="5">
        <v>1160</v>
      </c>
      <c r="B425" s="5">
        <v>1</v>
      </c>
      <c r="C425" s="5">
        <v>1</v>
      </c>
      <c r="D425" s="5" t="s">
        <v>5909</v>
      </c>
      <c r="E425" s="5" t="s">
        <v>437</v>
      </c>
      <c r="F425" s="5" t="s">
        <v>248</v>
      </c>
      <c r="G425" s="5" t="s">
        <v>5908</v>
      </c>
      <c r="H425" s="6" t="s">
        <v>6499</v>
      </c>
      <c r="I425" s="7">
        <f>939</f>
        <v>939</v>
      </c>
      <c r="J425" s="5" t="s">
        <v>262</v>
      </c>
      <c r="K425" s="8">
        <f>2079885</f>
        <v>2079885</v>
      </c>
      <c r="L425" s="6" t="s">
        <v>242</v>
      </c>
      <c r="M425" s="5" t="s">
        <v>267</v>
      </c>
      <c r="N425" s="5" t="s">
        <v>237</v>
      </c>
      <c r="O425" s="5" t="s">
        <v>238</v>
      </c>
      <c r="P425" s="5" t="s">
        <v>238</v>
      </c>
      <c r="Q425" s="5" t="s">
        <v>239</v>
      </c>
      <c r="R425" s="5" t="s">
        <v>270</v>
      </c>
      <c r="S425" s="5" t="s">
        <v>238</v>
      </c>
      <c r="V425" s="5" t="s">
        <v>238</v>
      </c>
      <c r="X425" s="6" t="s">
        <v>238</v>
      </c>
      <c r="AA425" s="6" t="s">
        <v>243</v>
      </c>
      <c r="AB425" s="5" t="s">
        <v>238</v>
      </c>
      <c r="AC425" s="5" t="s">
        <v>244</v>
      </c>
      <c r="AD425" s="5" t="s">
        <v>245</v>
      </c>
      <c r="AT425" s="5" t="s">
        <v>246</v>
      </c>
      <c r="AU425" s="5" t="s">
        <v>238</v>
      </c>
      <c r="AV425" s="5" t="s">
        <v>247</v>
      </c>
      <c r="AW425" s="5" t="s">
        <v>238</v>
      </c>
      <c r="AX425" s="5" t="s">
        <v>249</v>
      </c>
      <c r="AY425" s="5" t="s">
        <v>238</v>
      </c>
      <c r="BA425" s="5" t="s">
        <v>238</v>
      </c>
      <c r="BC425" s="5" t="s">
        <v>250</v>
      </c>
      <c r="BD425" s="6" t="s">
        <v>243</v>
      </c>
      <c r="BE425" s="5" t="s">
        <v>251</v>
      </c>
      <c r="BF425" s="5" t="s">
        <v>252</v>
      </c>
      <c r="BG425" s="5" t="s">
        <v>238</v>
      </c>
      <c r="BH425" s="7">
        <f>0</f>
        <v>0</v>
      </c>
      <c r="BI425" s="8">
        <f>0</f>
        <v>0</v>
      </c>
      <c r="BJ425" s="5" t="s">
        <v>253</v>
      </c>
      <c r="BK425" s="5" t="s">
        <v>254</v>
      </c>
      <c r="BY425" s="5" t="s">
        <v>238</v>
      </c>
      <c r="BZ425" s="5" t="s">
        <v>238</v>
      </c>
      <c r="CD425" s="5" t="s">
        <v>255</v>
      </c>
      <c r="CE425" s="5" t="s">
        <v>256</v>
      </c>
      <c r="CF425" s="5" t="s">
        <v>238</v>
      </c>
      <c r="CI425" s="6" t="s">
        <v>257</v>
      </c>
      <c r="CJ425" s="5" t="s">
        <v>238</v>
      </c>
      <c r="CK425" s="5" t="s">
        <v>258</v>
      </c>
      <c r="CL425" s="5" t="s">
        <v>238</v>
      </c>
      <c r="CM425" s="5" t="s">
        <v>238</v>
      </c>
      <c r="CN425" s="5">
        <v>0</v>
      </c>
      <c r="CO425" s="5" t="s">
        <v>259</v>
      </c>
      <c r="CP425" s="5" t="s">
        <v>260</v>
      </c>
      <c r="CQ425" s="5" t="s">
        <v>260</v>
      </c>
      <c r="CR425" s="5" t="s">
        <v>261</v>
      </c>
      <c r="CU425" s="8">
        <f>2079885</f>
        <v>2079885</v>
      </c>
      <c r="CV425" s="8">
        <f>0</f>
        <v>0</v>
      </c>
      <c r="CX425" s="8">
        <f>0</f>
        <v>0</v>
      </c>
      <c r="CY425" s="8">
        <f>2079885</f>
        <v>2079885</v>
      </c>
      <c r="DA425" s="5" t="s">
        <v>2032</v>
      </c>
      <c r="DB425" s="5" t="s">
        <v>238</v>
      </c>
      <c r="DD425" s="5" t="s">
        <v>2211</v>
      </c>
      <c r="DE425" s="8">
        <f>939</f>
        <v>939</v>
      </c>
      <c r="DG425" s="5" t="s">
        <v>389</v>
      </c>
      <c r="DH425" s="5" t="s">
        <v>238</v>
      </c>
      <c r="DI425" s="5" t="s">
        <v>238</v>
      </c>
      <c r="DJ425" s="5" t="s">
        <v>238</v>
      </c>
      <c r="DN425" s="5" t="s">
        <v>238</v>
      </c>
      <c r="DO425" s="5" t="s">
        <v>238</v>
      </c>
      <c r="DP425" s="5" t="s">
        <v>238</v>
      </c>
      <c r="DQ425" s="5" t="s">
        <v>238</v>
      </c>
      <c r="DT425" s="5" t="s">
        <v>5911</v>
      </c>
      <c r="DU425" s="5" t="s">
        <v>952</v>
      </c>
      <c r="HM425" s="5" t="s">
        <v>264</v>
      </c>
    </row>
    <row r="426" spans="1:221" x14ac:dyDescent="0.4">
      <c r="A426" s="5">
        <v>1161</v>
      </c>
      <c r="B426" s="5">
        <v>1</v>
      </c>
      <c r="C426" s="5">
        <v>1</v>
      </c>
      <c r="D426" s="5" t="s">
        <v>5909</v>
      </c>
      <c r="E426" s="5" t="s">
        <v>437</v>
      </c>
      <c r="F426" s="5" t="s">
        <v>248</v>
      </c>
      <c r="G426" s="5" t="s">
        <v>5908</v>
      </c>
      <c r="H426" s="6" t="s">
        <v>5967</v>
      </c>
      <c r="I426" s="7">
        <f>509</f>
        <v>509</v>
      </c>
      <c r="J426" s="5" t="s">
        <v>262</v>
      </c>
      <c r="K426" s="8">
        <f>1127435</f>
        <v>1127435</v>
      </c>
      <c r="L426" s="6" t="s">
        <v>242</v>
      </c>
      <c r="M426" s="5" t="s">
        <v>267</v>
      </c>
      <c r="N426" s="5" t="s">
        <v>237</v>
      </c>
      <c r="O426" s="5" t="s">
        <v>238</v>
      </c>
      <c r="P426" s="5" t="s">
        <v>238</v>
      </c>
      <c r="Q426" s="5" t="s">
        <v>239</v>
      </c>
      <c r="R426" s="5" t="s">
        <v>270</v>
      </c>
      <c r="S426" s="5" t="s">
        <v>238</v>
      </c>
      <c r="V426" s="5" t="s">
        <v>238</v>
      </c>
      <c r="X426" s="6" t="s">
        <v>238</v>
      </c>
      <c r="AA426" s="6" t="s">
        <v>243</v>
      </c>
      <c r="AB426" s="5" t="s">
        <v>238</v>
      </c>
      <c r="AC426" s="5" t="s">
        <v>244</v>
      </c>
      <c r="AD426" s="5" t="s">
        <v>245</v>
      </c>
      <c r="AT426" s="5" t="s">
        <v>246</v>
      </c>
      <c r="AU426" s="5" t="s">
        <v>238</v>
      </c>
      <c r="AV426" s="5" t="s">
        <v>247</v>
      </c>
      <c r="AW426" s="5" t="s">
        <v>238</v>
      </c>
      <c r="AX426" s="5" t="s">
        <v>249</v>
      </c>
      <c r="AY426" s="5" t="s">
        <v>238</v>
      </c>
      <c r="BA426" s="5" t="s">
        <v>238</v>
      </c>
      <c r="BC426" s="5" t="s">
        <v>250</v>
      </c>
      <c r="BD426" s="6" t="s">
        <v>243</v>
      </c>
      <c r="BE426" s="5" t="s">
        <v>251</v>
      </c>
      <c r="BF426" s="5" t="s">
        <v>252</v>
      </c>
      <c r="BG426" s="5" t="s">
        <v>238</v>
      </c>
      <c r="BH426" s="7">
        <f>0</f>
        <v>0</v>
      </c>
      <c r="BI426" s="8">
        <f>0</f>
        <v>0</v>
      </c>
      <c r="BJ426" s="5" t="s">
        <v>253</v>
      </c>
      <c r="BK426" s="5" t="s">
        <v>254</v>
      </c>
      <c r="BY426" s="5" t="s">
        <v>238</v>
      </c>
      <c r="BZ426" s="5" t="s">
        <v>238</v>
      </c>
      <c r="CD426" s="5" t="s">
        <v>255</v>
      </c>
      <c r="CE426" s="5" t="s">
        <v>256</v>
      </c>
      <c r="CF426" s="5" t="s">
        <v>238</v>
      </c>
      <c r="CI426" s="6" t="s">
        <v>257</v>
      </c>
      <c r="CJ426" s="5" t="s">
        <v>238</v>
      </c>
      <c r="CK426" s="5" t="s">
        <v>258</v>
      </c>
      <c r="CL426" s="5" t="s">
        <v>238</v>
      </c>
      <c r="CM426" s="5" t="s">
        <v>238</v>
      </c>
      <c r="CN426" s="5">
        <v>0</v>
      </c>
      <c r="CO426" s="5" t="s">
        <v>259</v>
      </c>
      <c r="CP426" s="5" t="s">
        <v>260</v>
      </c>
      <c r="CQ426" s="5" t="s">
        <v>260</v>
      </c>
      <c r="CR426" s="5" t="s">
        <v>261</v>
      </c>
      <c r="CU426" s="8">
        <f>1127435</f>
        <v>1127435</v>
      </c>
      <c r="CV426" s="8">
        <f>0</f>
        <v>0</v>
      </c>
      <c r="CX426" s="8">
        <f>0</f>
        <v>0</v>
      </c>
      <c r="CY426" s="8">
        <f>1127435</f>
        <v>1127435</v>
      </c>
      <c r="DA426" s="5" t="s">
        <v>2032</v>
      </c>
      <c r="DB426" s="5" t="s">
        <v>238</v>
      </c>
      <c r="DD426" s="5" t="s">
        <v>357</v>
      </c>
      <c r="DE426" s="8">
        <f>509</f>
        <v>509</v>
      </c>
      <c r="DG426" s="5" t="s">
        <v>389</v>
      </c>
      <c r="DH426" s="5" t="s">
        <v>238</v>
      </c>
      <c r="DI426" s="5" t="s">
        <v>238</v>
      </c>
      <c r="DJ426" s="5" t="s">
        <v>238</v>
      </c>
      <c r="DN426" s="5" t="s">
        <v>238</v>
      </c>
      <c r="DO426" s="5" t="s">
        <v>238</v>
      </c>
      <c r="DP426" s="5" t="s">
        <v>238</v>
      </c>
      <c r="DQ426" s="5" t="s">
        <v>238</v>
      </c>
      <c r="DT426" s="5" t="s">
        <v>5911</v>
      </c>
      <c r="DU426" s="5" t="s">
        <v>1192</v>
      </c>
      <c r="HM426" s="5" t="s">
        <v>264</v>
      </c>
    </row>
    <row r="427" spans="1:221" x14ac:dyDescent="0.4">
      <c r="A427" s="5">
        <v>1162</v>
      </c>
      <c r="B427" s="5">
        <v>1</v>
      </c>
      <c r="C427" s="5">
        <v>1</v>
      </c>
      <c r="D427" s="5" t="s">
        <v>5909</v>
      </c>
      <c r="E427" s="5" t="s">
        <v>437</v>
      </c>
      <c r="F427" s="5" t="s">
        <v>248</v>
      </c>
      <c r="G427" s="5" t="s">
        <v>5908</v>
      </c>
      <c r="H427" s="6" t="s">
        <v>5952</v>
      </c>
      <c r="I427" s="7">
        <f>442</f>
        <v>442</v>
      </c>
      <c r="J427" s="5" t="s">
        <v>262</v>
      </c>
      <c r="K427" s="8">
        <f>979030</f>
        <v>979030</v>
      </c>
      <c r="L427" s="6" t="s">
        <v>242</v>
      </c>
      <c r="M427" s="5" t="s">
        <v>267</v>
      </c>
      <c r="N427" s="5" t="s">
        <v>237</v>
      </c>
      <c r="O427" s="5" t="s">
        <v>238</v>
      </c>
      <c r="P427" s="5" t="s">
        <v>238</v>
      </c>
      <c r="Q427" s="5" t="s">
        <v>239</v>
      </c>
      <c r="R427" s="5" t="s">
        <v>270</v>
      </c>
      <c r="S427" s="5" t="s">
        <v>238</v>
      </c>
      <c r="V427" s="5" t="s">
        <v>238</v>
      </c>
      <c r="X427" s="6" t="s">
        <v>238</v>
      </c>
      <c r="AA427" s="6" t="s">
        <v>243</v>
      </c>
      <c r="AB427" s="5" t="s">
        <v>238</v>
      </c>
      <c r="AC427" s="5" t="s">
        <v>244</v>
      </c>
      <c r="AD427" s="5" t="s">
        <v>245</v>
      </c>
      <c r="AT427" s="5" t="s">
        <v>246</v>
      </c>
      <c r="AU427" s="5" t="s">
        <v>238</v>
      </c>
      <c r="AV427" s="5" t="s">
        <v>247</v>
      </c>
      <c r="AW427" s="5" t="s">
        <v>238</v>
      </c>
      <c r="AX427" s="5" t="s">
        <v>249</v>
      </c>
      <c r="AY427" s="5" t="s">
        <v>238</v>
      </c>
      <c r="BA427" s="5" t="s">
        <v>238</v>
      </c>
      <c r="BC427" s="5" t="s">
        <v>250</v>
      </c>
      <c r="BD427" s="6" t="s">
        <v>243</v>
      </c>
      <c r="BE427" s="5" t="s">
        <v>251</v>
      </c>
      <c r="BF427" s="5" t="s">
        <v>252</v>
      </c>
      <c r="BG427" s="5" t="s">
        <v>238</v>
      </c>
      <c r="BH427" s="7">
        <f>0</f>
        <v>0</v>
      </c>
      <c r="BI427" s="8">
        <f>0</f>
        <v>0</v>
      </c>
      <c r="BJ427" s="5" t="s">
        <v>253</v>
      </c>
      <c r="BK427" s="5" t="s">
        <v>254</v>
      </c>
      <c r="BY427" s="5" t="s">
        <v>238</v>
      </c>
      <c r="BZ427" s="5" t="s">
        <v>238</v>
      </c>
      <c r="CD427" s="5" t="s">
        <v>255</v>
      </c>
      <c r="CE427" s="5" t="s">
        <v>256</v>
      </c>
      <c r="CF427" s="5" t="s">
        <v>238</v>
      </c>
      <c r="CI427" s="6" t="s">
        <v>257</v>
      </c>
      <c r="CJ427" s="5" t="s">
        <v>238</v>
      </c>
      <c r="CK427" s="5" t="s">
        <v>258</v>
      </c>
      <c r="CL427" s="5" t="s">
        <v>238</v>
      </c>
      <c r="CM427" s="5" t="s">
        <v>238</v>
      </c>
      <c r="CN427" s="5">
        <v>0</v>
      </c>
      <c r="CO427" s="5" t="s">
        <v>259</v>
      </c>
      <c r="CP427" s="5" t="s">
        <v>260</v>
      </c>
      <c r="CQ427" s="5" t="s">
        <v>260</v>
      </c>
      <c r="CR427" s="5" t="s">
        <v>261</v>
      </c>
      <c r="CU427" s="8">
        <f>979030</f>
        <v>979030</v>
      </c>
      <c r="CV427" s="8">
        <f>0</f>
        <v>0</v>
      </c>
      <c r="CX427" s="8">
        <f>0</f>
        <v>0</v>
      </c>
      <c r="CY427" s="8">
        <f>979030</f>
        <v>979030</v>
      </c>
      <c r="DA427" s="5" t="s">
        <v>2032</v>
      </c>
      <c r="DB427" s="5" t="s">
        <v>238</v>
      </c>
      <c r="DD427" s="5" t="s">
        <v>2211</v>
      </c>
      <c r="DE427" s="8">
        <f>442</f>
        <v>442</v>
      </c>
      <c r="DG427" s="5" t="s">
        <v>389</v>
      </c>
      <c r="DH427" s="5" t="s">
        <v>238</v>
      </c>
      <c r="DI427" s="5" t="s">
        <v>238</v>
      </c>
      <c r="DJ427" s="5" t="s">
        <v>238</v>
      </c>
      <c r="DN427" s="5" t="s">
        <v>238</v>
      </c>
      <c r="DO427" s="5" t="s">
        <v>238</v>
      </c>
      <c r="DP427" s="5" t="s">
        <v>238</v>
      </c>
      <c r="DQ427" s="5" t="s">
        <v>238</v>
      </c>
      <c r="DT427" s="5" t="s">
        <v>5911</v>
      </c>
      <c r="DU427" s="5" t="s">
        <v>890</v>
      </c>
      <c r="HM427" s="5" t="s">
        <v>264</v>
      </c>
    </row>
    <row r="428" spans="1:221" x14ac:dyDescent="0.4">
      <c r="A428" s="5">
        <v>1163</v>
      </c>
      <c r="B428" s="5">
        <v>1</v>
      </c>
      <c r="C428" s="5">
        <v>1</v>
      </c>
      <c r="D428" s="5" t="s">
        <v>5909</v>
      </c>
      <c r="E428" s="5" t="s">
        <v>437</v>
      </c>
      <c r="F428" s="5" t="s">
        <v>248</v>
      </c>
      <c r="G428" s="5" t="s">
        <v>5908</v>
      </c>
      <c r="H428" s="6" t="s">
        <v>5953</v>
      </c>
      <c r="I428" s="7">
        <f>923</f>
        <v>923</v>
      </c>
      <c r="J428" s="5" t="s">
        <v>262</v>
      </c>
      <c r="K428" s="8">
        <f>2044445</f>
        <v>2044445</v>
      </c>
      <c r="L428" s="6" t="s">
        <v>242</v>
      </c>
      <c r="M428" s="5" t="s">
        <v>267</v>
      </c>
      <c r="N428" s="5" t="s">
        <v>237</v>
      </c>
      <c r="O428" s="5" t="s">
        <v>238</v>
      </c>
      <c r="P428" s="5" t="s">
        <v>238</v>
      </c>
      <c r="Q428" s="5" t="s">
        <v>239</v>
      </c>
      <c r="R428" s="5" t="s">
        <v>270</v>
      </c>
      <c r="S428" s="5" t="s">
        <v>238</v>
      </c>
      <c r="V428" s="5" t="s">
        <v>238</v>
      </c>
      <c r="X428" s="6" t="s">
        <v>238</v>
      </c>
      <c r="AA428" s="6" t="s">
        <v>243</v>
      </c>
      <c r="AB428" s="5" t="s">
        <v>238</v>
      </c>
      <c r="AC428" s="5" t="s">
        <v>244</v>
      </c>
      <c r="AD428" s="5" t="s">
        <v>245</v>
      </c>
      <c r="AT428" s="5" t="s">
        <v>246</v>
      </c>
      <c r="AU428" s="5" t="s">
        <v>238</v>
      </c>
      <c r="AV428" s="5" t="s">
        <v>247</v>
      </c>
      <c r="AW428" s="5" t="s">
        <v>238</v>
      </c>
      <c r="AX428" s="5" t="s">
        <v>249</v>
      </c>
      <c r="AY428" s="5" t="s">
        <v>238</v>
      </c>
      <c r="BA428" s="5" t="s">
        <v>238</v>
      </c>
      <c r="BC428" s="5" t="s">
        <v>250</v>
      </c>
      <c r="BD428" s="6" t="s">
        <v>243</v>
      </c>
      <c r="BE428" s="5" t="s">
        <v>251</v>
      </c>
      <c r="BF428" s="5" t="s">
        <v>252</v>
      </c>
      <c r="BG428" s="5" t="s">
        <v>238</v>
      </c>
      <c r="BH428" s="7">
        <f>0</f>
        <v>0</v>
      </c>
      <c r="BI428" s="8">
        <f>0</f>
        <v>0</v>
      </c>
      <c r="BJ428" s="5" t="s">
        <v>253</v>
      </c>
      <c r="BK428" s="5" t="s">
        <v>254</v>
      </c>
      <c r="BY428" s="5" t="s">
        <v>238</v>
      </c>
      <c r="BZ428" s="5" t="s">
        <v>238</v>
      </c>
      <c r="CD428" s="5" t="s">
        <v>255</v>
      </c>
      <c r="CE428" s="5" t="s">
        <v>256</v>
      </c>
      <c r="CF428" s="5" t="s">
        <v>238</v>
      </c>
      <c r="CI428" s="6" t="s">
        <v>257</v>
      </c>
      <c r="CJ428" s="5" t="s">
        <v>238</v>
      </c>
      <c r="CK428" s="5" t="s">
        <v>258</v>
      </c>
      <c r="CL428" s="5" t="s">
        <v>238</v>
      </c>
      <c r="CM428" s="5" t="s">
        <v>238</v>
      </c>
      <c r="CN428" s="5">
        <v>0</v>
      </c>
      <c r="CO428" s="5" t="s">
        <v>259</v>
      </c>
      <c r="CP428" s="5" t="s">
        <v>260</v>
      </c>
      <c r="CQ428" s="5" t="s">
        <v>260</v>
      </c>
      <c r="CR428" s="5" t="s">
        <v>261</v>
      </c>
      <c r="CU428" s="8">
        <f>2044445</f>
        <v>2044445</v>
      </c>
      <c r="CV428" s="8">
        <f>0</f>
        <v>0</v>
      </c>
      <c r="CX428" s="8">
        <f>0</f>
        <v>0</v>
      </c>
      <c r="CY428" s="8">
        <f>2044445</f>
        <v>2044445</v>
      </c>
      <c r="DA428" s="5" t="s">
        <v>2032</v>
      </c>
      <c r="DB428" s="5" t="s">
        <v>238</v>
      </c>
      <c r="DD428" s="5" t="s">
        <v>2211</v>
      </c>
      <c r="DE428" s="8">
        <f>923</f>
        <v>923</v>
      </c>
      <c r="DG428" s="5" t="s">
        <v>389</v>
      </c>
      <c r="DH428" s="5" t="s">
        <v>238</v>
      </c>
      <c r="DI428" s="5" t="s">
        <v>238</v>
      </c>
      <c r="DJ428" s="5" t="s">
        <v>238</v>
      </c>
      <c r="DN428" s="5" t="s">
        <v>238</v>
      </c>
      <c r="DO428" s="5" t="s">
        <v>238</v>
      </c>
      <c r="DP428" s="5" t="s">
        <v>238</v>
      </c>
      <c r="DQ428" s="5" t="s">
        <v>238</v>
      </c>
      <c r="DT428" s="5" t="s">
        <v>5911</v>
      </c>
      <c r="DU428" s="5" t="s">
        <v>839</v>
      </c>
      <c r="HM428" s="5" t="s">
        <v>264</v>
      </c>
    </row>
    <row r="429" spans="1:221" x14ac:dyDescent="0.4">
      <c r="A429" s="5">
        <v>1164</v>
      </c>
      <c r="B429" s="5">
        <v>1</v>
      </c>
      <c r="C429" s="5">
        <v>1</v>
      </c>
      <c r="D429" s="5" t="s">
        <v>5909</v>
      </c>
      <c r="E429" s="5" t="s">
        <v>437</v>
      </c>
      <c r="F429" s="5" t="s">
        <v>248</v>
      </c>
      <c r="G429" s="5" t="s">
        <v>5908</v>
      </c>
      <c r="H429" s="6" t="s">
        <v>5954</v>
      </c>
      <c r="I429" s="7">
        <f>939</f>
        <v>939</v>
      </c>
      <c r="J429" s="5" t="s">
        <v>262</v>
      </c>
      <c r="K429" s="8">
        <f>2079885</f>
        <v>2079885</v>
      </c>
      <c r="L429" s="6" t="s">
        <v>242</v>
      </c>
      <c r="M429" s="5" t="s">
        <v>267</v>
      </c>
      <c r="N429" s="5" t="s">
        <v>237</v>
      </c>
      <c r="O429" s="5" t="s">
        <v>238</v>
      </c>
      <c r="P429" s="5" t="s">
        <v>238</v>
      </c>
      <c r="Q429" s="5" t="s">
        <v>239</v>
      </c>
      <c r="R429" s="5" t="s">
        <v>270</v>
      </c>
      <c r="S429" s="5" t="s">
        <v>238</v>
      </c>
      <c r="V429" s="5" t="s">
        <v>238</v>
      </c>
      <c r="X429" s="6" t="s">
        <v>238</v>
      </c>
      <c r="AA429" s="6" t="s">
        <v>243</v>
      </c>
      <c r="AB429" s="5" t="s">
        <v>238</v>
      </c>
      <c r="AC429" s="5" t="s">
        <v>244</v>
      </c>
      <c r="AD429" s="5" t="s">
        <v>245</v>
      </c>
      <c r="AT429" s="5" t="s">
        <v>246</v>
      </c>
      <c r="AU429" s="5" t="s">
        <v>238</v>
      </c>
      <c r="AV429" s="5" t="s">
        <v>247</v>
      </c>
      <c r="AW429" s="5" t="s">
        <v>238</v>
      </c>
      <c r="AX429" s="5" t="s">
        <v>249</v>
      </c>
      <c r="AY429" s="5" t="s">
        <v>238</v>
      </c>
      <c r="BA429" s="5" t="s">
        <v>238</v>
      </c>
      <c r="BC429" s="5" t="s">
        <v>250</v>
      </c>
      <c r="BD429" s="6" t="s">
        <v>243</v>
      </c>
      <c r="BE429" s="5" t="s">
        <v>251</v>
      </c>
      <c r="BF429" s="5" t="s">
        <v>252</v>
      </c>
      <c r="BG429" s="5" t="s">
        <v>238</v>
      </c>
      <c r="BH429" s="7">
        <f>0</f>
        <v>0</v>
      </c>
      <c r="BI429" s="8">
        <f>0</f>
        <v>0</v>
      </c>
      <c r="BJ429" s="5" t="s">
        <v>253</v>
      </c>
      <c r="BK429" s="5" t="s">
        <v>254</v>
      </c>
      <c r="BY429" s="5" t="s">
        <v>238</v>
      </c>
      <c r="BZ429" s="5" t="s">
        <v>238</v>
      </c>
      <c r="CD429" s="5" t="s">
        <v>255</v>
      </c>
      <c r="CE429" s="5" t="s">
        <v>256</v>
      </c>
      <c r="CF429" s="5" t="s">
        <v>238</v>
      </c>
      <c r="CI429" s="6" t="s">
        <v>257</v>
      </c>
      <c r="CJ429" s="5" t="s">
        <v>238</v>
      </c>
      <c r="CK429" s="5" t="s">
        <v>258</v>
      </c>
      <c r="CL429" s="5" t="s">
        <v>238</v>
      </c>
      <c r="CM429" s="5" t="s">
        <v>238</v>
      </c>
      <c r="CN429" s="5">
        <v>0</v>
      </c>
      <c r="CO429" s="5" t="s">
        <v>259</v>
      </c>
      <c r="CP429" s="5" t="s">
        <v>260</v>
      </c>
      <c r="CQ429" s="5" t="s">
        <v>260</v>
      </c>
      <c r="CR429" s="5" t="s">
        <v>261</v>
      </c>
      <c r="CU429" s="8">
        <f>2079885</f>
        <v>2079885</v>
      </c>
      <c r="CV429" s="8">
        <f>0</f>
        <v>0</v>
      </c>
      <c r="CX429" s="8">
        <f>0</f>
        <v>0</v>
      </c>
      <c r="CY429" s="8">
        <f>2079885</f>
        <v>2079885</v>
      </c>
      <c r="DA429" s="5" t="s">
        <v>2032</v>
      </c>
      <c r="DB429" s="5" t="s">
        <v>238</v>
      </c>
      <c r="DD429" s="5" t="s">
        <v>2211</v>
      </c>
      <c r="DE429" s="8">
        <f>939</f>
        <v>939</v>
      </c>
      <c r="DG429" s="5" t="s">
        <v>389</v>
      </c>
      <c r="DH429" s="5" t="s">
        <v>238</v>
      </c>
      <c r="DI429" s="5" t="s">
        <v>238</v>
      </c>
      <c r="DJ429" s="5" t="s">
        <v>238</v>
      </c>
      <c r="DN429" s="5" t="s">
        <v>238</v>
      </c>
      <c r="DO429" s="5" t="s">
        <v>238</v>
      </c>
      <c r="DP429" s="5" t="s">
        <v>238</v>
      </c>
      <c r="DQ429" s="5" t="s">
        <v>238</v>
      </c>
      <c r="DT429" s="5" t="s">
        <v>5911</v>
      </c>
      <c r="DU429" s="5" t="s">
        <v>776</v>
      </c>
      <c r="HM429" s="5" t="s">
        <v>264</v>
      </c>
    </row>
    <row r="430" spans="1:221" x14ac:dyDescent="0.4">
      <c r="A430" s="5">
        <v>1165</v>
      </c>
      <c r="B430" s="5">
        <v>1</v>
      </c>
      <c r="C430" s="5">
        <v>1</v>
      </c>
      <c r="D430" s="5" t="s">
        <v>5909</v>
      </c>
      <c r="E430" s="5" t="s">
        <v>437</v>
      </c>
      <c r="F430" s="5" t="s">
        <v>248</v>
      </c>
      <c r="G430" s="5" t="s">
        <v>5908</v>
      </c>
      <c r="H430" s="6" t="s">
        <v>6500</v>
      </c>
      <c r="I430" s="7">
        <f>483</f>
        <v>483</v>
      </c>
      <c r="J430" s="5" t="s">
        <v>262</v>
      </c>
      <c r="K430" s="8">
        <f>1069845</f>
        <v>1069845</v>
      </c>
      <c r="L430" s="6" t="s">
        <v>242</v>
      </c>
      <c r="M430" s="5" t="s">
        <v>267</v>
      </c>
      <c r="N430" s="5" t="s">
        <v>237</v>
      </c>
      <c r="O430" s="5" t="s">
        <v>238</v>
      </c>
      <c r="P430" s="5" t="s">
        <v>238</v>
      </c>
      <c r="Q430" s="5" t="s">
        <v>239</v>
      </c>
      <c r="R430" s="5" t="s">
        <v>270</v>
      </c>
      <c r="S430" s="5" t="s">
        <v>238</v>
      </c>
      <c r="V430" s="5" t="s">
        <v>238</v>
      </c>
      <c r="X430" s="6" t="s">
        <v>238</v>
      </c>
      <c r="AA430" s="6" t="s">
        <v>243</v>
      </c>
      <c r="AB430" s="5" t="s">
        <v>238</v>
      </c>
      <c r="AC430" s="5" t="s">
        <v>244</v>
      </c>
      <c r="AD430" s="5" t="s">
        <v>245</v>
      </c>
      <c r="AT430" s="5" t="s">
        <v>246</v>
      </c>
      <c r="AU430" s="5" t="s">
        <v>238</v>
      </c>
      <c r="AV430" s="5" t="s">
        <v>247</v>
      </c>
      <c r="AW430" s="5" t="s">
        <v>238</v>
      </c>
      <c r="AX430" s="5" t="s">
        <v>249</v>
      </c>
      <c r="AY430" s="5" t="s">
        <v>238</v>
      </c>
      <c r="BA430" s="5" t="s">
        <v>238</v>
      </c>
      <c r="BC430" s="5" t="s">
        <v>250</v>
      </c>
      <c r="BD430" s="6" t="s">
        <v>243</v>
      </c>
      <c r="BE430" s="5" t="s">
        <v>251</v>
      </c>
      <c r="BF430" s="5" t="s">
        <v>252</v>
      </c>
      <c r="BG430" s="5" t="s">
        <v>238</v>
      </c>
      <c r="BH430" s="7">
        <f>0</f>
        <v>0</v>
      </c>
      <c r="BI430" s="8">
        <f>0</f>
        <v>0</v>
      </c>
      <c r="BJ430" s="5" t="s">
        <v>253</v>
      </c>
      <c r="BK430" s="5" t="s">
        <v>254</v>
      </c>
      <c r="BY430" s="5" t="s">
        <v>238</v>
      </c>
      <c r="BZ430" s="5" t="s">
        <v>238</v>
      </c>
      <c r="CD430" s="5" t="s">
        <v>255</v>
      </c>
      <c r="CE430" s="5" t="s">
        <v>256</v>
      </c>
      <c r="CF430" s="5" t="s">
        <v>238</v>
      </c>
      <c r="CI430" s="6" t="s">
        <v>257</v>
      </c>
      <c r="CJ430" s="5" t="s">
        <v>238</v>
      </c>
      <c r="CK430" s="5" t="s">
        <v>258</v>
      </c>
      <c r="CL430" s="5" t="s">
        <v>238</v>
      </c>
      <c r="CM430" s="5" t="s">
        <v>238</v>
      </c>
      <c r="CN430" s="5">
        <v>0</v>
      </c>
      <c r="CO430" s="5" t="s">
        <v>259</v>
      </c>
      <c r="CP430" s="5" t="s">
        <v>260</v>
      </c>
      <c r="CQ430" s="5" t="s">
        <v>260</v>
      </c>
      <c r="CR430" s="5" t="s">
        <v>261</v>
      </c>
      <c r="CU430" s="8">
        <f>1069845</f>
        <v>1069845</v>
      </c>
      <c r="CV430" s="8">
        <f>0</f>
        <v>0</v>
      </c>
      <c r="CX430" s="8">
        <f>0</f>
        <v>0</v>
      </c>
      <c r="CY430" s="8">
        <f>1069845</f>
        <v>1069845</v>
      </c>
      <c r="DA430" s="5" t="s">
        <v>2032</v>
      </c>
      <c r="DB430" s="5" t="s">
        <v>238</v>
      </c>
      <c r="DD430" s="5" t="s">
        <v>357</v>
      </c>
      <c r="DE430" s="8">
        <f>483</f>
        <v>483</v>
      </c>
      <c r="DG430" s="5" t="s">
        <v>389</v>
      </c>
      <c r="DH430" s="5" t="s">
        <v>238</v>
      </c>
      <c r="DI430" s="5" t="s">
        <v>238</v>
      </c>
      <c r="DJ430" s="5" t="s">
        <v>238</v>
      </c>
      <c r="DN430" s="5" t="s">
        <v>238</v>
      </c>
      <c r="DO430" s="5" t="s">
        <v>238</v>
      </c>
      <c r="DP430" s="5" t="s">
        <v>238</v>
      </c>
      <c r="DQ430" s="5" t="s">
        <v>238</v>
      </c>
      <c r="DT430" s="5" t="s">
        <v>5911</v>
      </c>
      <c r="DU430" s="5" t="s">
        <v>1178</v>
      </c>
      <c r="HM430" s="5" t="s">
        <v>264</v>
      </c>
    </row>
    <row r="431" spans="1:221" x14ac:dyDescent="0.4">
      <c r="A431" s="5">
        <v>1166</v>
      </c>
      <c r="B431" s="5">
        <v>1</v>
      </c>
      <c r="C431" s="5">
        <v>1</v>
      </c>
      <c r="D431" s="5" t="s">
        <v>5909</v>
      </c>
      <c r="E431" s="5" t="s">
        <v>437</v>
      </c>
      <c r="F431" s="5" t="s">
        <v>248</v>
      </c>
      <c r="G431" s="5" t="s">
        <v>5908</v>
      </c>
      <c r="H431" s="6" t="s">
        <v>5956</v>
      </c>
      <c r="I431" s="7">
        <f>468</f>
        <v>468</v>
      </c>
      <c r="J431" s="5" t="s">
        <v>262</v>
      </c>
      <c r="K431" s="8">
        <f>1036620</f>
        <v>1036620</v>
      </c>
      <c r="L431" s="6" t="s">
        <v>242</v>
      </c>
      <c r="M431" s="5" t="s">
        <v>267</v>
      </c>
      <c r="N431" s="5" t="s">
        <v>237</v>
      </c>
      <c r="O431" s="5" t="s">
        <v>238</v>
      </c>
      <c r="P431" s="5" t="s">
        <v>238</v>
      </c>
      <c r="Q431" s="5" t="s">
        <v>239</v>
      </c>
      <c r="R431" s="5" t="s">
        <v>270</v>
      </c>
      <c r="S431" s="5" t="s">
        <v>238</v>
      </c>
      <c r="V431" s="5" t="s">
        <v>238</v>
      </c>
      <c r="X431" s="6" t="s">
        <v>238</v>
      </c>
      <c r="AA431" s="6" t="s">
        <v>243</v>
      </c>
      <c r="AB431" s="5" t="s">
        <v>238</v>
      </c>
      <c r="AC431" s="5" t="s">
        <v>244</v>
      </c>
      <c r="AD431" s="5" t="s">
        <v>245</v>
      </c>
      <c r="AT431" s="5" t="s">
        <v>246</v>
      </c>
      <c r="AU431" s="5" t="s">
        <v>238</v>
      </c>
      <c r="AV431" s="5" t="s">
        <v>247</v>
      </c>
      <c r="AW431" s="5" t="s">
        <v>238</v>
      </c>
      <c r="AX431" s="5" t="s">
        <v>249</v>
      </c>
      <c r="AY431" s="5" t="s">
        <v>238</v>
      </c>
      <c r="BA431" s="5" t="s">
        <v>238</v>
      </c>
      <c r="BC431" s="5" t="s">
        <v>250</v>
      </c>
      <c r="BD431" s="6" t="s">
        <v>243</v>
      </c>
      <c r="BE431" s="5" t="s">
        <v>251</v>
      </c>
      <c r="BF431" s="5" t="s">
        <v>252</v>
      </c>
      <c r="BG431" s="5" t="s">
        <v>238</v>
      </c>
      <c r="BH431" s="7">
        <f>0</f>
        <v>0</v>
      </c>
      <c r="BI431" s="8">
        <f>0</f>
        <v>0</v>
      </c>
      <c r="BJ431" s="5" t="s">
        <v>253</v>
      </c>
      <c r="BK431" s="5" t="s">
        <v>254</v>
      </c>
      <c r="BY431" s="5" t="s">
        <v>238</v>
      </c>
      <c r="BZ431" s="5" t="s">
        <v>238</v>
      </c>
      <c r="CD431" s="5" t="s">
        <v>255</v>
      </c>
      <c r="CE431" s="5" t="s">
        <v>256</v>
      </c>
      <c r="CF431" s="5" t="s">
        <v>238</v>
      </c>
      <c r="CI431" s="6" t="s">
        <v>257</v>
      </c>
      <c r="CJ431" s="5" t="s">
        <v>238</v>
      </c>
      <c r="CK431" s="5" t="s">
        <v>258</v>
      </c>
      <c r="CL431" s="5" t="s">
        <v>238</v>
      </c>
      <c r="CM431" s="5" t="s">
        <v>238</v>
      </c>
      <c r="CN431" s="5">
        <v>0</v>
      </c>
      <c r="CO431" s="5" t="s">
        <v>259</v>
      </c>
      <c r="CP431" s="5" t="s">
        <v>260</v>
      </c>
      <c r="CQ431" s="5" t="s">
        <v>260</v>
      </c>
      <c r="CR431" s="5" t="s">
        <v>261</v>
      </c>
      <c r="CU431" s="8">
        <f>1036620</f>
        <v>1036620</v>
      </c>
      <c r="CV431" s="8">
        <f>0</f>
        <v>0</v>
      </c>
      <c r="CX431" s="8">
        <f>0</f>
        <v>0</v>
      </c>
      <c r="CY431" s="8">
        <f>1036620</f>
        <v>1036620</v>
      </c>
      <c r="DA431" s="5" t="s">
        <v>2032</v>
      </c>
      <c r="DB431" s="5" t="s">
        <v>238</v>
      </c>
      <c r="DD431" s="5" t="s">
        <v>357</v>
      </c>
      <c r="DE431" s="8">
        <f>468</f>
        <v>468</v>
      </c>
      <c r="DG431" s="5" t="s">
        <v>389</v>
      </c>
      <c r="DH431" s="5" t="s">
        <v>238</v>
      </c>
      <c r="DI431" s="5" t="s">
        <v>238</v>
      </c>
      <c r="DJ431" s="5" t="s">
        <v>238</v>
      </c>
      <c r="DN431" s="5" t="s">
        <v>238</v>
      </c>
      <c r="DO431" s="5" t="s">
        <v>238</v>
      </c>
      <c r="DP431" s="5" t="s">
        <v>238</v>
      </c>
      <c r="DQ431" s="5" t="s">
        <v>238</v>
      </c>
      <c r="DT431" s="5" t="s">
        <v>5911</v>
      </c>
      <c r="DU431" s="5" t="s">
        <v>714</v>
      </c>
      <c r="HM431" s="5" t="s">
        <v>264</v>
      </c>
    </row>
    <row r="432" spans="1:221" x14ac:dyDescent="0.4">
      <c r="A432" s="5">
        <v>1167</v>
      </c>
      <c r="B432" s="5">
        <v>1</v>
      </c>
      <c r="C432" s="5">
        <v>1</v>
      </c>
      <c r="D432" s="5" t="s">
        <v>5909</v>
      </c>
      <c r="E432" s="5" t="s">
        <v>437</v>
      </c>
      <c r="F432" s="5" t="s">
        <v>248</v>
      </c>
      <c r="G432" s="5" t="s">
        <v>5908</v>
      </c>
      <c r="H432" s="6" t="s">
        <v>5957</v>
      </c>
      <c r="I432" s="7">
        <f>468</f>
        <v>468</v>
      </c>
      <c r="J432" s="5" t="s">
        <v>262</v>
      </c>
      <c r="K432" s="8">
        <f>1036620</f>
        <v>1036620</v>
      </c>
      <c r="L432" s="6" t="s">
        <v>242</v>
      </c>
      <c r="M432" s="5" t="s">
        <v>267</v>
      </c>
      <c r="N432" s="5" t="s">
        <v>237</v>
      </c>
      <c r="O432" s="5" t="s">
        <v>238</v>
      </c>
      <c r="P432" s="5" t="s">
        <v>238</v>
      </c>
      <c r="Q432" s="5" t="s">
        <v>239</v>
      </c>
      <c r="R432" s="5" t="s">
        <v>270</v>
      </c>
      <c r="S432" s="5" t="s">
        <v>238</v>
      </c>
      <c r="V432" s="5" t="s">
        <v>238</v>
      </c>
      <c r="X432" s="6" t="s">
        <v>238</v>
      </c>
      <c r="AA432" s="6" t="s">
        <v>243</v>
      </c>
      <c r="AB432" s="5" t="s">
        <v>238</v>
      </c>
      <c r="AC432" s="5" t="s">
        <v>244</v>
      </c>
      <c r="AD432" s="5" t="s">
        <v>245</v>
      </c>
      <c r="AT432" s="5" t="s">
        <v>246</v>
      </c>
      <c r="AU432" s="5" t="s">
        <v>238</v>
      </c>
      <c r="AV432" s="5" t="s">
        <v>247</v>
      </c>
      <c r="AW432" s="5" t="s">
        <v>238</v>
      </c>
      <c r="AX432" s="5" t="s">
        <v>249</v>
      </c>
      <c r="AY432" s="5" t="s">
        <v>238</v>
      </c>
      <c r="BA432" s="5" t="s">
        <v>238</v>
      </c>
      <c r="BC432" s="5" t="s">
        <v>250</v>
      </c>
      <c r="BD432" s="6" t="s">
        <v>243</v>
      </c>
      <c r="BE432" s="5" t="s">
        <v>251</v>
      </c>
      <c r="BF432" s="5" t="s">
        <v>252</v>
      </c>
      <c r="BG432" s="5" t="s">
        <v>238</v>
      </c>
      <c r="BH432" s="7">
        <f>0</f>
        <v>0</v>
      </c>
      <c r="BI432" s="8">
        <f>0</f>
        <v>0</v>
      </c>
      <c r="BJ432" s="5" t="s">
        <v>253</v>
      </c>
      <c r="BK432" s="5" t="s">
        <v>254</v>
      </c>
      <c r="BY432" s="5" t="s">
        <v>238</v>
      </c>
      <c r="BZ432" s="5" t="s">
        <v>238</v>
      </c>
      <c r="CD432" s="5" t="s">
        <v>255</v>
      </c>
      <c r="CE432" s="5" t="s">
        <v>256</v>
      </c>
      <c r="CF432" s="5" t="s">
        <v>238</v>
      </c>
      <c r="CI432" s="6" t="s">
        <v>257</v>
      </c>
      <c r="CJ432" s="5" t="s">
        <v>238</v>
      </c>
      <c r="CK432" s="5" t="s">
        <v>258</v>
      </c>
      <c r="CL432" s="5" t="s">
        <v>238</v>
      </c>
      <c r="CM432" s="5" t="s">
        <v>238</v>
      </c>
      <c r="CN432" s="5">
        <v>0</v>
      </c>
      <c r="CO432" s="5" t="s">
        <v>259</v>
      </c>
      <c r="CP432" s="5" t="s">
        <v>260</v>
      </c>
      <c r="CQ432" s="5" t="s">
        <v>260</v>
      </c>
      <c r="CR432" s="5" t="s">
        <v>261</v>
      </c>
      <c r="CU432" s="8">
        <f>1036620</f>
        <v>1036620</v>
      </c>
      <c r="CV432" s="8">
        <f>0</f>
        <v>0</v>
      </c>
      <c r="CX432" s="8">
        <f>0</f>
        <v>0</v>
      </c>
      <c r="CY432" s="8">
        <f>1036620</f>
        <v>1036620</v>
      </c>
      <c r="DA432" s="5" t="s">
        <v>2032</v>
      </c>
      <c r="DB432" s="5" t="s">
        <v>238</v>
      </c>
      <c r="DD432" s="5" t="s">
        <v>357</v>
      </c>
      <c r="DE432" s="8">
        <f>468</f>
        <v>468</v>
      </c>
      <c r="DG432" s="5" t="s">
        <v>389</v>
      </c>
      <c r="DH432" s="5" t="s">
        <v>238</v>
      </c>
      <c r="DI432" s="5" t="s">
        <v>238</v>
      </c>
      <c r="DJ432" s="5" t="s">
        <v>238</v>
      </c>
      <c r="DN432" s="5" t="s">
        <v>238</v>
      </c>
      <c r="DO432" s="5" t="s">
        <v>238</v>
      </c>
      <c r="DP432" s="5" t="s">
        <v>238</v>
      </c>
      <c r="DQ432" s="5" t="s">
        <v>238</v>
      </c>
      <c r="DT432" s="5" t="s">
        <v>5911</v>
      </c>
      <c r="DU432" s="5" t="s">
        <v>666</v>
      </c>
      <c r="HM432" s="5" t="s">
        <v>264</v>
      </c>
    </row>
    <row r="433" spans="1:221" x14ac:dyDescent="0.4">
      <c r="A433" s="5">
        <v>1168</v>
      </c>
      <c r="B433" s="5">
        <v>1</v>
      </c>
      <c r="C433" s="5">
        <v>1</v>
      </c>
      <c r="D433" s="5" t="s">
        <v>5909</v>
      </c>
      <c r="E433" s="5" t="s">
        <v>437</v>
      </c>
      <c r="F433" s="5" t="s">
        <v>248</v>
      </c>
      <c r="G433" s="5" t="s">
        <v>5908</v>
      </c>
      <c r="H433" s="6" t="s">
        <v>5966</v>
      </c>
      <c r="I433" s="7">
        <f>468</f>
        <v>468</v>
      </c>
      <c r="J433" s="5" t="s">
        <v>262</v>
      </c>
      <c r="K433" s="8">
        <f>1036620</f>
        <v>1036620</v>
      </c>
      <c r="L433" s="6" t="s">
        <v>242</v>
      </c>
      <c r="M433" s="5" t="s">
        <v>267</v>
      </c>
      <c r="N433" s="5" t="s">
        <v>237</v>
      </c>
      <c r="O433" s="5" t="s">
        <v>238</v>
      </c>
      <c r="P433" s="5" t="s">
        <v>238</v>
      </c>
      <c r="Q433" s="5" t="s">
        <v>239</v>
      </c>
      <c r="R433" s="5" t="s">
        <v>270</v>
      </c>
      <c r="S433" s="5" t="s">
        <v>238</v>
      </c>
      <c r="V433" s="5" t="s">
        <v>238</v>
      </c>
      <c r="X433" s="6" t="s">
        <v>238</v>
      </c>
      <c r="AA433" s="6" t="s">
        <v>243</v>
      </c>
      <c r="AB433" s="5" t="s">
        <v>238</v>
      </c>
      <c r="AC433" s="5" t="s">
        <v>244</v>
      </c>
      <c r="AD433" s="5" t="s">
        <v>245</v>
      </c>
      <c r="AT433" s="5" t="s">
        <v>246</v>
      </c>
      <c r="AU433" s="5" t="s">
        <v>238</v>
      </c>
      <c r="AV433" s="5" t="s">
        <v>247</v>
      </c>
      <c r="AW433" s="5" t="s">
        <v>238</v>
      </c>
      <c r="AX433" s="5" t="s">
        <v>249</v>
      </c>
      <c r="AY433" s="5" t="s">
        <v>238</v>
      </c>
      <c r="BA433" s="5" t="s">
        <v>238</v>
      </c>
      <c r="BC433" s="5" t="s">
        <v>250</v>
      </c>
      <c r="BD433" s="6" t="s">
        <v>243</v>
      </c>
      <c r="BE433" s="5" t="s">
        <v>251</v>
      </c>
      <c r="BF433" s="5" t="s">
        <v>252</v>
      </c>
      <c r="BG433" s="5" t="s">
        <v>238</v>
      </c>
      <c r="BH433" s="7">
        <f>0</f>
        <v>0</v>
      </c>
      <c r="BI433" s="8">
        <f>0</f>
        <v>0</v>
      </c>
      <c r="BJ433" s="5" t="s">
        <v>253</v>
      </c>
      <c r="BK433" s="5" t="s">
        <v>254</v>
      </c>
      <c r="BY433" s="5" t="s">
        <v>238</v>
      </c>
      <c r="BZ433" s="5" t="s">
        <v>238</v>
      </c>
      <c r="CD433" s="5" t="s">
        <v>255</v>
      </c>
      <c r="CE433" s="5" t="s">
        <v>256</v>
      </c>
      <c r="CF433" s="5" t="s">
        <v>238</v>
      </c>
      <c r="CI433" s="6" t="s">
        <v>257</v>
      </c>
      <c r="CJ433" s="5" t="s">
        <v>238</v>
      </c>
      <c r="CK433" s="5" t="s">
        <v>258</v>
      </c>
      <c r="CL433" s="5" t="s">
        <v>238</v>
      </c>
      <c r="CM433" s="5" t="s">
        <v>238</v>
      </c>
      <c r="CN433" s="5">
        <v>0</v>
      </c>
      <c r="CO433" s="5" t="s">
        <v>259</v>
      </c>
      <c r="CP433" s="5" t="s">
        <v>260</v>
      </c>
      <c r="CQ433" s="5" t="s">
        <v>260</v>
      </c>
      <c r="CR433" s="5" t="s">
        <v>261</v>
      </c>
      <c r="CU433" s="8">
        <f>1036620</f>
        <v>1036620</v>
      </c>
      <c r="CV433" s="8">
        <f>0</f>
        <v>0</v>
      </c>
      <c r="CX433" s="8">
        <f>0</f>
        <v>0</v>
      </c>
      <c r="CY433" s="8">
        <f>1036620</f>
        <v>1036620</v>
      </c>
      <c r="DA433" s="5" t="s">
        <v>2032</v>
      </c>
      <c r="DB433" s="5" t="s">
        <v>238</v>
      </c>
      <c r="DD433" s="5" t="s">
        <v>357</v>
      </c>
      <c r="DE433" s="8">
        <f>468</f>
        <v>468</v>
      </c>
      <c r="DG433" s="5" t="s">
        <v>389</v>
      </c>
      <c r="DH433" s="5" t="s">
        <v>238</v>
      </c>
      <c r="DI433" s="5" t="s">
        <v>238</v>
      </c>
      <c r="DJ433" s="5" t="s">
        <v>238</v>
      </c>
      <c r="DN433" s="5" t="s">
        <v>238</v>
      </c>
      <c r="DO433" s="5" t="s">
        <v>238</v>
      </c>
      <c r="DP433" s="5" t="s">
        <v>238</v>
      </c>
      <c r="DQ433" s="5" t="s">
        <v>238</v>
      </c>
      <c r="DT433" s="5" t="s">
        <v>5911</v>
      </c>
      <c r="DU433" s="5" t="s">
        <v>536</v>
      </c>
      <c r="HM433" s="5" t="s">
        <v>264</v>
      </c>
    </row>
    <row r="434" spans="1:221" x14ac:dyDescent="0.4">
      <c r="A434" s="5">
        <v>1169</v>
      </c>
      <c r="B434" s="5">
        <v>1</v>
      </c>
      <c r="C434" s="5">
        <v>1</v>
      </c>
      <c r="D434" s="5" t="s">
        <v>5909</v>
      </c>
      <c r="E434" s="5" t="s">
        <v>437</v>
      </c>
      <c r="F434" s="5" t="s">
        <v>248</v>
      </c>
      <c r="G434" s="5" t="s">
        <v>5908</v>
      </c>
      <c r="H434" s="6" t="s">
        <v>5958</v>
      </c>
      <c r="I434" s="7">
        <f>468</f>
        <v>468</v>
      </c>
      <c r="J434" s="5" t="s">
        <v>262</v>
      </c>
      <c r="K434" s="8">
        <f>1036620</f>
        <v>1036620</v>
      </c>
      <c r="L434" s="6" t="s">
        <v>242</v>
      </c>
      <c r="M434" s="5" t="s">
        <v>267</v>
      </c>
      <c r="N434" s="5" t="s">
        <v>237</v>
      </c>
      <c r="O434" s="5" t="s">
        <v>238</v>
      </c>
      <c r="P434" s="5" t="s">
        <v>238</v>
      </c>
      <c r="Q434" s="5" t="s">
        <v>239</v>
      </c>
      <c r="R434" s="5" t="s">
        <v>270</v>
      </c>
      <c r="S434" s="5" t="s">
        <v>238</v>
      </c>
      <c r="V434" s="5" t="s">
        <v>238</v>
      </c>
      <c r="X434" s="6" t="s">
        <v>238</v>
      </c>
      <c r="AA434" s="6" t="s">
        <v>243</v>
      </c>
      <c r="AB434" s="5" t="s">
        <v>238</v>
      </c>
      <c r="AC434" s="5" t="s">
        <v>244</v>
      </c>
      <c r="AD434" s="5" t="s">
        <v>245</v>
      </c>
      <c r="AT434" s="5" t="s">
        <v>246</v>
      </c>
      <c r="AU434" s="5" t="s">
        <v>238</v>
      </c>
      <c r="AV434" s="5" t="s">
        <v>247</v>
      </c>
      <c r="AW434" s="5" t="s">
        <v>238</v>
      </c>
      <c r="AX434" s="5" t="s">
        <v>249</v>
      </c>
      <c r="AY434" s="5" t="s">
        <v>238</v>
      </c>
      <c r="BA434" s="5" t="s">
        <v>238</v>
      </c>
      <c r="BC434" s="5" t="s">
        <v>250</v>
      </c>
      <c r="BD434" s="6" t="s">
        <v>243</v>
      </c>
      <c r="BE434" s="5" t="s">
        <v>251</v>
      </c>
      <c r="BF434" s="5" t="s">
        <v>252</v>
      </c>
      <c r="BG434" s="5" t="s">
        <v>238</v>
      </c>
      <c r="BH434" s="7">
        <f>0</f>
        <v>0</v>
      </c>
      <c r="BI434" s="8">
        <f>0</f>
        <v>0</v>
      </c>
      <c r="BJ434" s="5" t="s">
        <v>253</v>
      </c>
      <c r="BK434" s="5" t="s">
        <v>254</v>
      </c>
      <c r="BY434" s="5" t="s">
        <v>238</v>
      </c>
      <c r="BZ434" s="5" t="s">
        <v>238</v>
      </c>
      <c r="CD434" s="5" t="s">
        <v>255</v>
      </c>
      <c r="CE434" s="5" t="s">
        <v>256</v>
      </c>
      <c r="CF434" s="5" t="s">
        <v>238</v>
      </c>
      <c r="CI434" s="6" t="s">
        <v>257</v>
      </c>
      <c r="CJ434" s="5" t="s">
        <v>238</v>
      </c>
      <c r="CK434" s="5" t="s">
        <v>258</v>
      </c>
      <c r="CL434" s="5" t="s">
        <v>238</v>
      </c>
      <c r="CM434" s="5" t="s">
        <v>238</v>
      </c>
      <c r="CN434" s="5">
        <v>0</v>
      </c>
      <c r="CO434" s="5" t="s">
        <v>259</v>
      </c>
      <c r="CP434" s="5" t="s">
        <v>260</v>
      </c>
      <c r="CQ434" s="5" t="s">
        <v>260</v>
      </c>
      <c r="CR434" s="5" t="s">
        <v>261</v>
      </c>
      <c r="CU434" s="8">
        <f>1036620</f>
        <v>1036620</v>
      </c>
      <c r="CV434" s="8">
        <f>0</f>
        <v>0</v>
      </c>
      <c r="CX434" s="8">
        <f>0</f>
        <v>0</v>
      </c>
      <c r="CY434" s="8">
        <f>1036620</f>
        <v>1036620</v>
      </c>
      <c r="DA434" s="5" t="s">
        <v>2032</v>
      </c>
      <c r="DB434" s="5" t="s">
        <v>238</v>
      </c>
      <c r="DD434" s="5" t="s">
        <v>2211</v>
      </c>
      <c r="DE434" s="8">
        <f>468</f>
        <v>468</v>
      </c>
      <c r="DG434" s="5" t="s">
        <v>389</v>
      </c>
      <c r="DH434" s="5" t="s">
        <v>238</v>
      </c>
      <c r="DI434" s="5" t="s">
        <v>238</v>
      </c>
      <c r="DJ434" s="5" t="s">
        <v>238</v>
      </c>
      <c r="DN434" s="5" t="s">
        <v>238</v>
      </c>
      <c r="DO434" s="5" t="s">
        <v>238</v>
      </c>
      <c r="DP434" s="5" t="s">
        <v>238</v>
      </c>
      <c r="DQ434" s="5" t="s">
        <v>238</v>
      </c>
      <c r="DT434" s="5" t="s">
        <v>5911</v>
      </c>
      <c r="DU434" s="5" t="s">
        <v>1166</v>
      </c>
      <c r="HM434" s="5" t="s">
        <v>264</v>
      </c>
    </row>
    <row r="435" spans="1:221" x14ac:dyDescent="0.4">
      <c r="A435" s="5">
        <v>1170</v>
      </c>
      <c r="B435" s="5">
        <v>1</v>
      </c>
      <c r="C435" s="5">
        <v>1</v>
      </c>
      <c r="D435" s="5" t="s">
        <v>5909</v>
      </c>
      <c r="E435" s="5" t="s">
        <v>437</v>
      </c>
      <c r="F435" s="5" t="s">
        <v>248</v>
      </c>
      <c r="G435" s="5" t="s">
        <v>5908</v>
      </c>
      <c r="H435" s="6" t="s">
        <v>6501</v>
      </c>
      <c r="I435" s="7">
        <f>455</f>
        <v>455</v>
      </c>
      <c r="J435" s="5" t="s">
        <v>262</v>
      </c>
      <c r="K435" s="8">
        <f>1007825</f>
        <v>1007825</v>
      </c>
      <c r="L435" s="6" t="s">
        <v>242</v>
      </c>
      <c r="M435" s="5" t="s">
        <v>267</v>
      </c>
      <c r="N435" s="5" t="s">
        <v>237</v>
      </c>
      <c r="O435" s="5" t="s">
        <v>238</v>
      </c>
      <c r="P435" s="5" t="s">
        <v>238</v>
      </c>
      <c r="Q435" s="5" t="s">
        <v>239</v>
      </c>
      <c r="R435" s="5" t="s">
        <v>270</v>
      </c>
      <c r="S435" s="5" t="s">
        <v>238</v>
      </c>
      <c r="V435" s="5" t="s">
        <v>238</v>
      </c>
      <c r="X435" s="6" t="s">
        <v>238</v>
      </c>
      <c r="AA435" s="6" t="s">
        <v>243</v>
      </c>
      <c r="AB435" s="5" t="s">
        <v>238</v>
      </c>
      <c r="AC435" s="5" t="s">
        <v>244</v>
      </c>
      <c r="AD435" s="5" t="s">
        <v>245</v>
      </c>
      <c r="AT435" s="5" t="s">
        <v>246</v>
      </c>
      <c r="AU435" s="5" t="s">
        <v>238</v>
      </c>
      <c r="AV435" s="5" t="s">
        <v>247</v>
      </c>
      <c r="AW435" s="5" t="s">
        <v>238</v>
      </c>
      <c r="AX435" s="5" t="s">
        <v>249</v>
      </c>
      <c r="AY435" s="5" t="s">
        <v>238</v>
      </c>
      <c r="BA435" s="5" t="s">
        <v>238</v>
      </c>
      <c r="BC435" s="5" t="s">
        <v>250</v>
      </c>
      <c r="BD435" s="6" t="s">
        <v>243</v>
      </c>
      <c r="BE435" s="5" t="s">
        <v>251</v>
      </c>
      <c r="BF435" s="5" t="s">
        <v>252</v>
      </c>
      <c r="BG435" s="5" t="s">
        <v>238</v>
      </c>
      <c r="BH435" s="7">
        <f>0</f>
        <v>0</v>
      </c>
      <c r="BI435" s="8">
        <f>0</f>
        <v>0</v>
      </c>
      <c r="BJ435" s="5" t="s">
        <v>253</v>
      </c>
      <c r="BK435" s="5" t="s">
        <v>254</v>
      </c>
      <c r="BY435" s="5" t="s">
        <v>238</v>
      </c>
      <c r="BZ435" s="5" t="s">
        <v>238</v>
      </c>
      <c r="CD435" s="5" t="s">
        <v>255</v>
      </c>
      <c r="CE435" s="5" t="s">
        <v>256</v>
      </c>
      <c r="CF435" s="5" t="s">
        <v>238</v>
      </c>
      <c r="CI435" s="6" t="s">
        <v>257</v>
      </c>
      <c r="CJ435" s="5" t="s">
        <v>238</v>
      </c>
      <c r="CK435" s="5" t="s">
        <v>258</v>
      </c>
      <c r="CL435" s="5" t="s">
        <v>238</v>
      </c>
      <c r="CM435" s="5" t="s">
        <v>238</v>
      </c>
      <c r="CN435" s="5">
        <v>0</v>
      </c>
      <c r="CO435" s="5" t="s">
        <v>259</v>
      </c>
      <c r="CP435" s="5" t="s">
        <v>260</v>
      </c>
      <c r="CQ435" s="5" t="s">
        <v>260</v>
      </c>
      <c r="CR435" s="5" t="s">
        <v>261</v>
      </c>
      <c r="CU435" s="8">
        <f>1007825</f>
        <v>1007825</v>
      </c>
      <c r="CV435" s="8">
        <f>0</f>
        <v>0</v>
      </c>
      <c r="CX435" s="8">
        <f>0</f>
        <v>0</v>
      </c>
      <c r="CY435" s="8">
        <f>1007825</f>
        <v>1007825</v>
      </c>
      <c r="DA435" s="5" t="s">
        <v>2032</v>
      </c>
      <c r="DB435" s="5" t="s">
        <v>238</v>
      </c>
      <c r="DD435" s="5" t="s">
        <v>2211</v>
      </c>
      <c r="DE435" s="8">
        <f>455</f>
        <v>455</v>
      </c>
      <c r="DG435" s="5" t="s">
        <v>389</v>
      </c>
      <c r="DH435" s="5" t="s">
        <v>238</v>
      </c>
      <c r="DI435" s="5" t="s">
        <v>238</v>
      </c>
      <c r="DJ435" s="5" t="s">
        <v>238</v>
      </c>
      <c r="DN435" s="5" t="s">
        <v>238</v>
      </c>
      <c r="DO435" s="5" t="s">
        <v>238</v>
      </c>
      <c r="DP435" s="5" t="s">
        <v>238</v>
      </c>
      <c r="DQ435" s="5" t="s">
        <v>238</v>
      </c>
      <c r="DT435" s="5" t="s">
        <v>5911</v>
      </c>
      <c r="DU435" s="5" t="s">
        <v>1164</v>
      </c>
      <c r="HM435" s="5" t="s">
        <v>264</v>
      </c>
    </row>
    <row r="436" spans="1:221" x14ac:dyDescent="0.4">
      <c r="A436" s="5">
        <v>1171</v>
      </c>
      <c r="B436" s="5">
        <v>1</v>
      </c>
      <c r="C436" s="5">
        <v>1</v>
      </c>
      <c r="D436" s="5" t="s">
        <v>5909</v>
      </c>
      <c r="E436" s="5" t="s">
        <v>437</v>
      </c>
      <c r="F436" s="5" t="s">
        <v>248</v>
      </c>
      <c r="G436" s="5" t="s">
        <v>5908</v>
      </c>
      <c r="H436" s="6" t="s">
        <v>5960</v>
      </c>
      <c r="I436" s="7">
        <f>242</f>
        <v>242</v>
      </c>
      <c r="J436" s="5" t="s">
        <v>262</v>
      </c>
      <c r="K436" s="8">
        <f>536030</f>
        <v>536030</v>
      </c>
      <c r="L436" s="6" t="s">
        <v>242</v>
      </c>
      <c r="M436" s="5" t="s">
        <v>267</v>
      </c>
      <c r="N436" s="5" t="s">
        <v>237</v>
      </c>
      <c r="O436" s="5" t="s">
        <v>238</v>
      </c>
      <c r="P436" s="5" t="s">
        <v>238</v>
      </c>
      <c r="Q436" s="5" t="s">
        <v>239</v>
      </c>
      <c r="R436" s="5" t="s">
        <v>270</v>
      </c>
      <c r="S436" s="5" t="s">
        <v>238</v>
      </c>
      <c r="V436" s="5" t="s">
        <v>238</v>
      </c>
      <c r="X436" s="6" t="s">
        <v>238</v>
      </c>
      <c r="AA436" s="6" t="s">
        <v>243</v>
      </c>
      <c r="AB436" s="5" t="s">
        <v>238</v>
      </c>
      <c r="AC436" s="5" t="s">
        <v>244</v>
      </c>
      <c r="AD436" s="5" t="s">
        <v>245</v>
      </c>
      <c r="AT436" s="5" t="s">
        <v>246</v>
      </c>
      <c r="AU436" s="5" t="s">
        <v>238</v>
      </c>
      <c r="AV436" s="5" t="s">
        <v>247</v>
      </c>
      <c r="AW436" s="5" t="s">
        <v>238</v>
      </c>
      <c r="AX436" s="5" t="s">
        <v>249</v>
      </c>
      <c r="AY436" s="5" t="s">
        <v>238</v>
      </c>
      <c r="BA436" s="5" t="s">
        <v>238</v>
      </c>
      <c r="BC436" s="5" t="s">
        <v>250</v>
      </c>
      <c r="BD436" s="6" t="s">
        <v>243</v>
      </c>
      <c r="BE436" s="5" t="s">
        <v>251</v>
      </c>
      <c r="BF436" s="5" t="s">
        <v>252</v>
      </c>
      <c r="BG436" s="5" t="s">
        <v>238</v>
      </c>
      <c r="BH436" s="7">
        <f>0</f>
        <v>0</v>
      </c>
      <c r="BI436" s="8">
        <f>0</f>
        <v>0</v>
      </c>
      <c r="BJ436" s="5" t="s">
        <v>253</v>
      </c>
      <c r="BK436" s="5" t="s">
        <v>254</v>
      </c>
      <c r="BY436" s="5" t="s">
        <v>238</v>
      </c>
      <c r="BZ436" s="5" t="s">
        <v>238</v>
      </c>
      <c r="CD436" s="5" t="s">
        <v>255</v>
      </c>
      <c r="CE436" s="5" t="s">
        <v>256</v>
      </c>
      <c r="CF436" s="5" t="s">
        <v>238</v>
      </c>
      <c r="CI436" s="6" t="s">
        <v>257</v>
      </c>
      <c r="CJ436" s="5" t="s">
        <v>238</v>
      </c>
      <c r="CK436" s="5" t="s">
        <v>258</v>
      </c>
      <c r="CL436" s="5" t="s">
        <v>238</v>
      </c>
      <c r="CM436" s="5" t="s">
        <v>238</v>
      </c>
      <c r="CN436" s="5">
        <v>0</v>
      </c>
      <c r="CO436" s="5" t="s">
        <v>259</v>
      </c>
      <c r="CP436" s="5" t="s">
        <v>260</v>
      </c>
      <c r="CQ436" s="5" t="s">
        <v>260</v>
      </c>
      <c r="CR436" s="5" t="s">
        <v>261</v>
      </c>
      <c r="CU436" s="8">
        <f>536030</f>
        <v>536030</v>
      </c>
      <c r="CV436" s="8">
        <f>0</f>
        <v>0</v>
      </c>
      <c r="CX436" s="8">
        <f>0</f>
        <v>0</v>
      </c>
      <c r="CY436" s="8">
        <f>536030</f>
        <v>536030</v>
      </c>
      <c r="DA436" s="5" t="s">
        <v>2032</v>
      </c>
      <c r="DB436" s="5" t="s">
        <v>238</v>
      </c>
      <c r="DD436" s="5" t="s">
        <v>533</v>
      </c>
      <c r="DE436" s="8">
        <f>242</f>
        <v>242</v>
      </c>
      <c r="DG436" s="5" t="s">
        <v>389</v>
      </c>
      <c r="DH436" s="5" t="s">
        <v>238</v>
      </c>
      <c r="DI436" s="5" t="s">
        <v>238</v>
      </c>
      <c r="DJ436" s="5" t="s">
        <v>238</v>
      </c>
      <c r="DN436" s="5" t="s">
        <v>238</v>
      </c>
      <c r="DO436" s="5" t="s">
        <v>238</v>
      </c>
      <c r="DP436" s="5" t="s">
        <v>238</v>
      </c>
      <c r="DQ436" s="5" t="s">
        <v>238</v>
      </c>
      <c r="DT436" s="5" t="s">
        <v>5911</v>
      </c>
      <c r="DU436" s="5" t="s">
        <v>1162</v>
      </c>
      <c r="HM436" s="5" t="s">
        <v>264</v>
      </c>
    </row>
    <row r="437" spans="1:221" x14ac:dyDescent="0.4">
      <c r="A437" s="5">
        <v>1172</v>
      </c>
      <c r="B437" s="5">
        <v>1</v>
      </c>
      <c r="C437" s="5">
        <v>1</v>
      </c>
      <c r="D437" s="5" t="s">
        <v>5905</v>
      </c>
      <c r="E437" s="5" t="s">
        <v>485</v>
      </c>
      <c r="F437" s="5" t="s">
        <v>248</v>
      </c>
      <c r="G437" s="5" t="s">
        <v>5904</v>
      </c>
      <c r="H437" s="6" t="s">
        <v>5906</v>
      </c>
      <c r="I437" s="7">
        <f>1603</f>
        <v>1603</v>
      </c>
      <c r="J437" s="5" t="s">
        <v>262</v>
      </c>
      <c r="K437" s="8">
        <f>3550645</f>
        <v>3550645</v>
      </c>
      <c r="L437" s="6" t="s">
        <v>242</v>
      </c>
      <c r="M437" s="5" t="s">
        <v>267</v>
      </c>
      <c r="N437" s="5" t="s">
        <v>237</v>
      </c>
      <c r="O437" s="5" t="s">
        <v>238</v>
      </c>
      <c r="P437" s="5" t="s">
        <v>238</v>
      </c>
      <c r="Q437" s="5" t="s">
        <v>239</v>
      </c>
      <c r="R437" s="5" t="s">
        <v>270</v>
      </c>
      <c r="S437" s="5" t="s">
        <v>238</v>
      </c>
      <c r="V437" s="5" t="s">
        <v>238</v>
      </c>
      <c r="X437" s="6" t="s">
        <v>238</v>
      </c>
      <c r="AA437" s="6" t="s">
        <v>243</v>
      </c>
      <c r="AB437" s="5" t="s">
        <v>238</v>
      </c>
      <c r="AC437" s="5" t="s">
        <v>244</v>
      </c>
      <c r="AD437" s="5" t="s">
        <v>245</v>
      </c>
      <c r="AT437" s="5" t="s">
        <v>246</v>
      </c>
      <c r="AU437" s="5" t="s">
        <v>238</v>
      </c>
      <c r="AV437" s="5" t="s">
        <v>247</v>
      </c>
      <c r="AW437" s="5" t="s">
        <v>238</v>
      </c>
      <c r="AX437" s="5" t="s">
        <v>249</v>
      </c>
      <c r="AY437" s="5" t="s">
        <v>238</v>
      </c>
      <c r="BA437" s="5" t="s">
        <v>4547</v>
      </c>
      <c r="BC437" s="5" t="s">
        <v>250</v>
      </c>
      <c r="BD437" s="6" t="s">
        <v>243</v>
      </c>
      <c r="BE437" s="5" t="s">
        <v>251</v>
      </c>
      <c r="BF437" s="5" t="s">
        <v>252</v>
      </c>
      <c r="BG437" s="5" t="s">
        <v>238</v>
      </c>
      <c r="BH437" s="7">
        <f>0</f>
        <v>0</v>
      </c>
      <c r="BI437" s="8">
        <f>0</f>
        <v>0</v>
      </c>
      <c r="BJ437" s="5" t="s">
        <v>253</v>
      </c>
      <c r="BK437" s="5" t="s">
        <v>254</v>
      </c>
      <c r="BY437" s="5" t="s">
        <v>238</v>
      </c>
      <c r="BZ437" s="5" t="s">
        <v>238</v>
      </c>
      <c r="CD437" s="5" t="s">
        <v>255</v>
      </c>
      <c r="CE437" s="5" t="s">
        <v>256</v>
      </c>
      <c r="CF437" s="5" t="s">
        <v>238</v>
      </c>
      <c r="CI437" s="6" t="s">
        <v>257</v>
      </c>
      <c r="CJ437" s="5" t="s">
        <v>238</v>
      </c>
      <c r="CK437" s="5" t="s">
        <v>258</v>
      </c>
      <c r="CL437" s="5" t="s">
        <v>238</v>
      </c>
      <c r="CM437" s="5" t="s">
        <v>238</v>
      </c>
      <c r="CN437" s="5">
        <v>0</v>
      </c>
      <c r="CO437" s="5" t="s">
        <v>259</v>
      </c>
      <c r="CP437" s="5" t="s">
        <v>260</v>
      </c>
      <c r="CQ437" s="5" t="s">
        <v>260</v>
      </c>
      <c r="CR437" s="5" t="s">
        <v>261</v>
      </c>
      <c r="CU437" s="8">
        <f>3550645</f>
        <v>3550645</v>
      </c>
      <c r="CV437" s="8">
        <f>0</f>
        <v>0</v>
      </c>
      <c r="CX437" s="8">
        <f>0</f>
        <v>0</v>
      </c>
      <c r="CY437" s="8">
        <f>3550645</f>
        <v>3550645</v>
      </c>
      <c r="DA437" s="5" t="s">
        <v>2032</v>
      </c>
      <c r="DB437" s="5" t="s">
        <v>238</v>
      </c>
      <c r="DD437" s="5" t="s">
        <v>2032</v>
      </c>
      <c r="DE437" s="8">
        <f>0</f>
        <v>0</v>
      </c>
      <c r="DG437" s="5" t="s">
        <v>389</v>
      </c>
      <c r="DH437" s="5" t="s">
        <v>238</v>
      </c>
      <c r="DI437" s="5" t="s">
        <v>238</v>
      </c>
      <c r="DJ437" s="5" t="s">
        <v>238</v>
      </c>
      <c r="DN437" s="5" t="s">
        <v>238</v>
      </c>
      <c r="DO437" s="5" t="s">
        <v>238</v>
      </c>
      <c r="DP437" s="5" t="s">
        <v>238</v>
      </c>
      <c r="DQ437" s="5" t="s">
        <v>238</v>
      </c>
      <c r="DT437" s="5" t="s">
        <v>5907</v>
      </c>
      <c r="DU437" s="5" t="s">
        <v>264</v>
      </c>
      <c r="HM437" s="5" t="s">
        <v>264</v>
      </c>
    </row>
    <row r="438" spans="1:221" x14ac:dyDescent="0.4">
      <c r="A438" s="5">
        <v>1173</v>
      </c>
      <c r="B438" s="5">
        <v>1</v>
      </c>
      <c r="C438" s="5">
        <v>1</v>
      </c>
      <c r="D438" s="5" t="s">
        <v>5898</v>
      </c>
      <c r="E438" s="5" t="s">
        <v>4391</v>
      </c>
      <c r="F438" s="5" t="s">
        <v>248</v>
      </c>
      <c r="G438" s="5" t="s">
        <v>5897</v>
      </c>
      <c r="H438" s="6" t="s">
        <v>5901</v>
      </c>
      <c r="I438" s="7">
        <f>31952</f>
        <v>31952</v>
      </c>
      <c r="J438" s="5" t="s">
        <v>262</v>
      </c>
      <c r="K438" s="8">
        <f>70773680</f>
        <v>70773680</v>
      </c>
      <c r="L438" s="6" t="s">
        <v>242</v>
      </c>
      <c r="M438" s="5" t="s">
        <v>267</v>
      </c>
      <c r="N438" s="5" t="s">
        <v>237</v>
      </c>
      <c r="O438" s="5" t="s">
        <v>238</v>
      </c>
      <c r="P438" s="5" t="s">
        <v>238</v>
      </c>
      <c r="Q438" s="5" t="s">
        <v>239</v>
      </c>
      <c r="R438" s="5" t="s">
        <v>270</v>
      </c>
      <c r="S438" s="5" t="s">
        <v>238</v>
      </c>
      <c r="V438" s="5" t="s">
        <v>238</v>
      </c>
      <c r="X438" s="6" t="s">
        <v>238</v>
      </c>
      <c r="AA438" s="6" t="s">
        <v>243</v>
      </c>
      <c r="AB438" s="5" t="s">
        <v>238</v>
      </c>
      <c r="AC438" s="5" t="s">
        <v>244</v>
      </c>
      <c r="AD438" s="5" t="s">
        <v>245</v>
      </c>
      <c r="AT438" s="5" t="s">
        <v>246</v>
      </c>
      <c r="AU438" s="5" t="s">
        <v>238</v>
      </c>
      <c r="AV438" s="5" t="s">
        <v>247</v>
      </c>
      <c r="AW438" s="5" t="s">
        <v>238</v>
      </c>
      <c r="AX438" s="5" t="s">
        <v>249</v>
      </c>
      <c r="AY438" s="5" t="s">
        <v>238</v>
      </c>
      <c r="BA438" s="5" t="s">
        <v>4547</v>
      </c>
      <c r="BC438" s="5" t="s">
        <v>250</v>
      </c>
      <c r="BD438" s="6" t="s">
        <v>243</v>
      </c>
      <c r="BE438" s="5" t="s">
        <v>251</v>
      </c>
      <c r="BF438" s="5" t="s">
        <v>252</v>
      </c>
      <c r="BG438" s="5" t="s">
        <v>238</v>
      </c>
      <c r="BH438" s="7">
        <f>0</f>
        <v>0</v>
      </c>
      <c r="BI438" s="8">
        <f>0</f>
        <v>0</v>
      </c>
      <c r="BJ438" s="5" t="s">
        <v>253</v>
      </c>
      <c r="BK438" s="5" t="s">
        <v>254</v>
      </c>
      <c r="BY438" s="5" t="s">
        <v>238</v>
      </c>
      <c r="BZ438" s="5" t="s">
        <v>238</v>
      </c>
      <c r="CD438" s="5" t="s">
        <v>255</v>
      </c>
      <c r="CE438" s="5" t="s">
        <v>256</v>
      </c>
      <c r="CF438" s="5" t="s">
        <v>238</v>
      </c>
      <c r="CI438" s="6" t="s">
        <v>257</v>
      </c>
      <c r="CJ438" s="5" t="s">
        <v>238</v>
      </c>
      <c r="CK438" s="5" t="s">
        <v>258</v>
      </c>
      <c r="CL438" s="5" t="s">
        <v>238</v>
      </c>
      <c r="CM438" s="5" t="s">
        <v>238</v>
      </c>
      <c r="CN438" s="5">
        <v>0</v>
      </c>
      <c r="CO438" s="5" t="s">
        <v>259</v>
      </c>
      <c r="CP438" s="5" t="s">
        <v>260</v>
      </c>
      <c r="CQ438" s="5" t="s">
        <v>260</v>
      </c>
      <c r="CR438" s="5" t="s">
        <v>261</v>
      </c>
      <c r="CU438" s="8">
        <f>70773680</f>
        <v>70773680</v>
      </c>
      <c r="CV438" s="8">
        <f>0</f>
        <v>0</v>
      </c>
      <c r="CX438" s="8">
        <f>0</f>
        <v>0</v>
      </c>
      <c r="CY438" s="8">
        <f>70773680</f>
        <v>70773680</v>
      </c>
      <c r="DA438" s="5" t="s">
        <v>2032</v>
      </c>
      <c r="DB438" s="5" t="s">
        <v>238</v>
      </c>
      <c r="DD438" s="5" t="s">
        <v>356</v>
      </c>
      <c r="DE438" s="8">
        <f>0</f>
        <v>0</v>
      </c>
      <c r="DG438" s="5" t="s">
        <v>389</v>
      </c>
      <c r="DH438" s="5" t="s">
        <v>238</v>
      </c>
      <c r="DI438" s="5" t="s">
        <v>238</v>
      </c>
      <c r="DJ438" s="5" t="s">
        <v>238</v>
      </c>
      <c r="DN438" s="5" t="s">
        <v>238</v>
      </c>
      <c r="DO438" s="5" t="s">
        <v>238</v>
      </c>
      <c r="DP438" s="5" t="s">
        <v>238</v>
      </c>
      <c r="DQ438" s="5" t="s">
        <v>238</v>
      </c>
      <c r="DT438" s="5" t="s">
        <v>5900</v>
      </c>
      <c r="DU438" s="5" t="s">
        <v>264</v>
      </c>
      <c r="HM438" s="5" t="s">
        <v>264</v>
      </c>
    </row>
    <row r="439" spans="1:221" x14ac:dyDescent="0.4">
      <c r="A439" s="5">
        <v>1174</v>
      </c>
      <c r="B439" s="5">
        <v>1</v>
      </c>
      <c r="C439" s="5">
        <v>1</v>
      </c>
      <c r="D439" s="5" t="s">
        <v>5898</v>
      </c>
      <c r="E439" s="5" t="s">
        <v>4391</v>
      </c>
      <c r="F439" s="5" t="s">
        <v>248</v>
      </c>
      <c r="G439" s="5" t="s">
        <v>5897</v>
      </c>
      <c r="H439" s="6" t="s">
        <v>5903</v>
      </c>
      <c r="I439" s="7">
        <f>3296</f>
        <v>3296</v>
      </c>
      <c r="J439" s="5" t="s">
        <v>262</v>
      </c>
      <c r="K439" s="8">
        <f>7300640</f>
        <v>7300640</v>
      </c>
      <c r="L439" s="6" t="s">
        <v>242</v>
      </c>
      <c r="M439" s="5" t="s">
        <v>267</v>
      </c>
      <c r="N439" s="5" t="s">
        <v>237</v>
      </c>
      <c r="O439" s="5" t="s">
        <v>238</v>
      </c>
      <c r="P439" s="5" t="s">
        <v>238</v>
      </c>
      <c r="Q439" s="5" t="s">
        <v>239</v>
      </c>
      <c r="R439" s="5" t="s">
        <v>270</v>
      </c>
      <c r="S439" s="5" t="s">
        <v>238</v>
      </c>
      <c r="V439" s="5" t="s">
        <v>238</v>
      </c>
      <c r="X439" s="6" t="s">
        <v>238</v>
      </c>
      <c r="AA439" s="6" t="s">
        <v>243</v>
      </c>
      <c r="AB439" s="5" t="s">
        <v>238</v>
      </c>
      <c r="AC439" s="5" t="s">
        <v>244</v>
      </c>
      <c r="AD439" s="5" t="s">
        <v>245</v>
      </c>
      <c r="AT439" s="5" t="s">
        <v>246</v>
      </c>
      <c r="AU439" s="5" t="s">
        <v>238</v>
      </c>
      <c r="AV439" s="5" t="s">
        <v>247</v>
      </c>
      <c r="AW439" s="5" t="s">
        <v>238</v>
      </c>
      <c r="AX439" s="5" t="s">
        <v>249</v>
      </c>
      <c r="AY439" s="5" t="s">
        <v>238</v>
      </c>
      <c r="BA439" s="5" t="s">
        <v>238</v>
      </c>
      <c r="BC439" s="5" t="s">
        <v>250</v>
      </c>
      <c r="BD439" s="6" t="s">
        <v>243</v>
      </c>
      <c r="BE439" s="5" t="s">
        <v>251</v>
      </c>
      <c r="BF439" s="5" t="s">
        <v>252</v>
      </c>
      <c r="BG439" s="5" t="s">
        <v>238</v>
      </c>
      <c r="BH439" s="7">
        <f>0</f>
        <v>0</v>
      </c>
      <c r="BI439" s="8">
        <f>0</f>
        <v>0</v>
      </c>
      <c r="BJ439" s="5" t="s">
        <v>253</v>
      </c>
      <c r="BK439" s="5" t="s">
        <v>254</v>
      </c>
      <c r="BY439" s="5" t="s">
        <v>238</v>
      </c>
      <c r="BZ439" s="5" t="s">
        <v>238</v>
      </c>
      <c r="CD439" s="5" t="s">
        <v>255</v>
      </c>
      <c r="CE439" s="5" t="s">
        <v>256</v>
      </c>
      <c r="CF439" s="5" t="s">
        <v>238</v>
      </c>
      <c r="CI439" s="6" t="s">
        <v>257</v>
      </c>
      <c r="CJ439" s="5" t="s">
        <v>238</v>
      </c>
      <c r="CK439" s="5" t="s">
        <v>258</v>
      </c>
      <c r="CL439" s="5" t="s">
        <v>238</v>
      </c>
      <c r="CM439" s="5" t="s">
        <v>238</v>
      </c>
      <c r="CN439" s="5">
        <v>0</v>
      </c>
      <c r="CO439" s="5" t="s">
        <v>259</v>
      </c>
      <c r="CP439" s="5" t="s">
        <v>260</v>
      </c>
      <c r="CQ439" s="5" t="s">
        <v>260</v>
      </c>
      <c r="CR439" s="5" t="s">
        <v>261</v>
      </c>
      <c r="CU439" s="8">
        <f>7300640</f>
        <v>7300640</v>
      </c>
      <c r="CV439" s="8">
        <f>0</f>
        <v>0</v>
      </c>
      <c r="CX439" s="8">
        <f>0</f>
        <v>0</v>
      </c>
      <c r="CY439" s="8">
        <f>7300640</f>
        <v>7300640</v>
      </c>
      <c r="DA439" s="5" t="s">
        <v>2032</v>
      </c>
      <c r="DB439" s="5" t="s">
        <v>238</v>
      </c>
      <c r="DD439" s="5" t="s">
        <v>356</v>
      </c>
      <c r="DE439" s="8">
        <f>0</f>
        <v>0</v>
      </c>
      <c r="DG439" s="5" t="s">
        <v>389</v>
      </c>
      <c r="DH439" s="5" t="s">
        <v>238</v>
      </c>
      <c r="DI439" s="5" t="s">
        <v>238</v>
      </c>
      <c r="DJ439" s="5" t="s">
        <v>238</v>
      </c>
      <c r="DN439" s="5" t="s">
        <v>238</v>
      </c>
      <c r="DO439" s="5" t="s">
        <v>238</v>
      </c>
      <c r="DP439" s="5" t="s">
        <v>238</v>
      </c>
      <c r="DQ439" s="5" t="s">
        <v>238</v>
      </c>
      <c r="DT439" s="5" t="s">
        <v>5900</v>
      </c>
      <c r="DU439" s="5" t="s">
        <v>294</v>
      </c>
      <c r="HM439" s="5" t="s">
        <v>264</v>
      </c>
    </row>
    <row r="440" spans="1:221" x14ac:dyDescent="0.4">
      <c r="A440" s="5">
        <v>1175</v>
      </c>
      <c r="B440" s="5">
        <v>1</v>
      </c>
      <c r="C440" s="5">
        <v>1</v>
      </c>
      <c r="D440" s="5" t="s">
        <v>5898</v>
      </c>
      <c r="E440" s="5" t="s">
        <v>4391</v>
      </c>
      <c r="F440" s="5" t="s">
        <v>248</v>
      </c>
      <c r="G440" s="5" t="s">
        <v>5897</v>
      </c>
      <c r="H440" s="6" t="s">
        <v>6492</v>
      </c>
      <c r="I440" s="7">
        <f>4916</f>
        <v>4916</v>
      </c>
      <c r="J440" s="5" t="s">
        <v>262</v>
      </c>
      <c r="K440" s="8">
        <f>10888940</f>
        <v>10888940</v>
      </c>
      <c r="L440" s="6" t="s">
        <v>242</v>
      </c>
      <c r="M440" s="5" t="s">
        <v>267</v>
      </c>
      <c r="N440" s="5" t="s">
        <v>237</v>
      </c>
      <c r="O440" s="5" t="s">
        <v>238</v>
      </c>
      <c r="P440" s="5" t="s">
        <v>238</v>
      </c>
      <c r="Q440" s="5" t="s">
        <v>239</v>
      </c>
      <c r="R440" s="5" t="s">
        <v>270</v>
      </c>
      <c r="S440" s="5" t="s">
        <v>238</v>
      </c>
      <c r="V440" s="5" t="s">
        <v>238</v>
      </c>
      <c r="X440" s="6" t="s">
        <v>238</v>
      </c>
      <c r="AA440" s="6" t="s">
        <v>243</v>
      </c>
      <c r="AB440" s="5" t="s">
        <v>238</v>
      </c>
      <c r="AC440" s="5" t="s">
        <v>244</v>
      </c>
      <c r="AD440" s="5" t="s">
        <v>245</v>
      </c>
      <c r="AT440" s="5" t="s">
        <v>246</v>
      </c>
      <c r="AU440" s="5" t="s">
        <v>238</v>
      </c>
      <c r="AV440" s="5" t="s">
        <v>247</v>
      </c>
      <c r="AW440" s="5" t="s">
        <v>238</v>
      </c>
      <c r="AX440" s="5" t="s">
        <v>249</v>
      </c>
      <c r="AY440" s="5" t="s">
        <v>238</v>
      </c>
      <c r="BA440" s="5" t="s">
        <v>238</v>
      </c>
      <c r="BC440" s="5" t="s">
        <v>250</v>
      </c>
      <c r="BD440" s="6" t="s">
        <v>243</v>
      </c>
      <c r="BE440" s="5" t="s">
        <v>251</v>
      </c>
      <c r="BF440" s="5" t="s">
        <v>252</v>
      </c>
      <c r="BG440" s="5" t="s">
        <v>238</v>
      </c>
      <c r="BH440" s="7">
        <f>0</f>
        <v>0</v>
      </c>
      <c r="BI440" s="8">
        <f>0</f>
        <v>0</v>
      </c>
      <c r="BJ440" s="5" t="s">
        <v>253</v>
      </c>
      <c r="BK440" s="5" t="s">
        <v>254</v>
      </c>
      <c r="BY440" s="5" t="s">
        <v>238</v>
      </c>
      <c r="BZ440" s="5" t="s">
        <v>238</v>
      </c>
      <c r="CD440" s="5" t="s">
        <v>255</v>
      </c>
      <c r="CE440" s="5" t="s">
        <v>256</v>
      </c>
      <c r="CF440" s="5" t="s">
        <v>238</v>
      </c>
      <c r="CI440" s="6" t="s">
        <v>257</v>
      </c>
      <c r="CJ440" s="5" t="s">
        <v>238</v>
      </c>
      <c r="CK440" s="5" t="s">
        <v>258</v>
      </c>
      <c r="CL440" s="5" t="s">
        <v>238</v>
      </c>
      <c r="CM440" s="5" t="s">
        <v>238</v>
      </c>
      <c r="CN440" s="5">
        <v>0</v>
      </c>
      <c r="CO440" s="5" t="s">
        <v>259</v>
      </c>
      <c r="CP440" s="5" t="s">
        <v>260</v>
      </c>
      <c r="CQ440" s="5" t="s">
        <v>260</v>
      </c>
      <c r="CR440" s="5" t="s">
        <v>261</v>
      </c>
      <c r="CU440" s="8">
        <f>10888940</f>
        <v>10888940</v>
      </c>
      <c r="CV440" s="8">
        <f>0</f>
        <v>0</v>
      </c>
      <c r="CX440" s="8">
        <f>0</f>
        <v>0</v>
      </c>
      <c r="CY440" s="8">
        <f>10888940</f>
        <v>10888940</v>
      </c>
      <c r="DA440" s="5" t="s">
        <v>2032</v>
      </c>
      <c r="DB440" s="5" t="s">
        <v>238</v>
      </c>
      <c r="DD440" s="5" t="s">
        <v>356</v>
      </c>
      <c r="DE440" s="8">
        <f>0</f>
        <v>0</v>
      </c>
      <c r="DG440" s="5" t="s">
        <v>389</v>
      </c>
      <c r="DH440" s="5" t="s">
        <v>238</v>
      </c>
      <c r="DI440" s="5" t="s">
        <v>238</v>
      </c>
      <c r="DJ440" s="5" t="s">
        <v>238</v>
      </c>
      <c r="DN440" s="5" t="s">
        <v>238</v>
      </c>
      <c r="DO440" s="5" t="s">
        <v>238</v>
      </c>
      <c r="DP440" s="5" t="s">
        <v>238</v>
      </c>
      <c r="DQ440" s="5" t="s">
        <v>238</v>
      </c>
      <c r="DT440" s="5" t="s">
        <v>5900</v>
      </c>
      <c r="DU440" s="5" t="s">
        <v>806</v>
      </c>
      <c r="HM440" s="5" t="s">
        <v>264</v>
      </c>
    </row>
    <row r="441" spans="1:221" x14ac:dyDescent="0.4">
      <c r="A441" s="5">
        <v>1176</v>
      </c>
      <c r="B441" s="5">
        <v>1</v>
      </c>
      <c r="C441" s="5">
        <v>1</v>
      </c>
      <c r="D441" s="5" t="s">
        <v>5898</v>
      </c>
      <c r="E441" s="5" t="s">
        <v>4391</v>
      </c>
      <c r="F441" s="5" t="s">
        <v>248</v>
      </c>
      <c r="G441" s="5" t="s">
        <v>5897</v>
      </c>
      <c r="H441" s="6" t="s">
        <v>5899</v>
      </c>
      <c r="I441" s="7">
        <f>6036</f>
        <v>6036</v>
      </c>
      <c r="J441" s="5" t="s">
        <v>262</v>
      </c>
      <c r="K441" s="8">
        <f>13369740</f>
        <v>13369740</v>
      </c>
      <c r="L441" s="6" t="s">
        <v>242</v>
      </c>
      <c r="M441" s="5" t="s">
        <v>267</v>
      </c>
      <c r="N441" s="5" t="s">
        <v>237</v>
      </c>
      <c r="O441" s="5" t="s">
        <v>238</v>
      </c>
      <c r="P441" s="5" t="s">
        <v>238</v>
      </c>
      <c r="Q441" s="5" t="s">
        <v>239</v>
      </c>
      <c r="R441" s="5" t="s">
        <v>270</v>
      </c>
      <c r="S441" s="5" t="s">
        <v>238</v>
      </c>
      <c r="V441" s="5" t="s">
        <v>238</v>
      </c>
      <c r="X441" s="6" t="s">
        <v>238</v>
      </c>
      <c r="AA441" s="6" t="s">
        <v>243</v>
      </c>
      <c r="AB441" s="5" t="s">
        <v>238</v>
      </c>
      <c r="AC441" s="5" t="s">
        <v>244</v>
      </c>
      <c r="AD441" s="5" t="s">
        <v>245</v>
      </c>
      <c r="AT441" s="5" t="s">
        <v>246</v>
      </c>
      <c r="AU441" s="5" t="s">
        <v>238</v>
      </c>
      <c r="AV441" s="5" t="s">
        <v>247</v>
      </c>
      <c r="AW441" s="5" t="s">
        <v>238</v>
      </c>
      <c r="AX441" s="5" t="s">
        <v>249</v>
      </c>
      <c r="AY441" s="5" t="s">
        <v>238</v>
      </c>
      <c r="BA441" s="5" t="s">
        <v>238</v>
      </c>
      <c r="BC441" s="5" t="s">
        <v>250</v>
      </c>
      <c r="BD441" s="6" t="s">
        <v>243</v>
      </c>
      <c r="BE441" s="5" t="s">
        <v>251</v>
      </c>
      <c r="BF441" s="5" t="s">
        <v>252</v>
      </c>
      <c r="BG441" s="5" t="s">
        <v>238</v>
      </c>
      <c r="BH441" s="7">
        <f>0</f>
        <v>0</v>
      </c>
      <c r="BI441" s="8">
        <f>0</f>
        <v>0</v>
      </c>
      <c r="BJ441" s="5" t="s">
        <v>253</v>
      </c>
      <c r="BK441" s="5" t="s">
        <v>254</v>
      </c>
      <c r="BY441" s="5" t="s">
        <v>238</v>
      </c>
      <c r="BZ441" s="5" t="s">
        <v>238</v>
      </c>
      <c r="CD441" s="5" t="s">
        <v>255</v>
      </c>
      <c r="CE441" s="5" t="s">
        <v>256</v>
      </c>
      <c r="CF441" s="5" t="s">
        <v>238</v>
      </c>
      <c r="CI441" s="6" t="s">
        <v>257</v>
      </c>
      <c r="CJ441" s="5" t="s">
        <v>238</v>
      </c>
      <c r="CK441" s="5" t="s">
        <v>258</v>
      </c>
      <c r="CL441" s="5" t="s">
        <v>238</v>
      </c>
      <c r="CM441" s="5" t="s">
        <v>238</v>
      </c>
      <c r="CN441" s="5">
        <v>0</v>
      </c>
      <c r="CO441" s="5" t="s">
        <v>259</v>
      </c>
      <c r="CP441" s="5" t="s">
        <v>260</v>
      </c>
      <c r="CQ441" s="5" t="s">
        <v>260</v>
      </c>
      <c r="CR441" s="5" t="s">
        <v>261</v>
      </c>
      <c r="CU441" s="8">
        <f>13369740</f>
        <v>13369740</v>
      </c>
      <c r="CV441" s="8">
        <f>0</f>
        <v>0</v>
      </c>
      <c r="CX441" s="8">
        <f>0</f>
        <v>0</v>
      </c>
      <c r="CY441" s="8">
        <f>13369740</f>
        <v>13369740</v>
      </c>
      <c r="DA441" s="5" t="s">
        <v>2032</v>
      </c>
      <c r="DB441" s="5" t="s">
        <v>238</v>
      </c>
      <c r="DD441" s="5" t="s">
        <v>356</v>
      </c>
      <c r="DE441" s="8">
        <f>0</f>
        <v>0</v>
      </c>
      <c r="DG441" s="5" t="s">
        <v>389</v>
      </c>
      <c r="DH441" s="5" t="s">
        <v>238</v>
      </c>
      <c r="DI441" s="5" t="s">
        <v>238</v>
      </c>
      <c r="DJ441" s="5" t="s">
        <v>238</v>
      </c>
      <c r="DN441" s="5" t="s">
        <v>238</v>
      </c>
      <c r="DO441" s="5" t="s">
        <v>238</v>
      </c>
      <c r="DP441" s="5" t="s">
        <v>238</v>
      </c>
      <c r="DQ441" s="5" t="s">
        <v>238</v>
      </c>
      <c r="DT441" s="5" t="s">
        <v>5900</v>
      </c>
      <c r="DU441" s="5" t="s">
        <v>854</v>
      </c>
      <c r="HM441" s="5" t="s">
        <v>264</v>
      </c>
    </row>
    <row r="442" spans="1:221" x14ac:dyDescent="0.4">
      <c r="A442" s="5">
        <v>1177</v>
      </c>
      <c r="B442" s="5">
        <v>1</v>
      </c>
      <c r="C442" s="5">
        <v>1</v>
      </c>
      <c r="D442" s="5" t="s">
        <v>5884</v>
      </c>
      <c r="E442" s="5" t="s">
        <v>3336</v>
      </c>
      <c r="F442" s="5" t="s">
        <v>248</v>
      </c>
      <c r="G442" s="5" t="s">
        <v>5883</v>
      </c>
      <c r="H442" s="6" t="s">
        <v>6491</v>
      </c>
      <c r="I442" s="7">
        <f>3297</f>
        <v>3297</v>
      </c>
      <c r="J442" s="5" t="s">
        <v>262</v>
      </c>
      <c r="K442" s="8">
        <f>15166200</f>
        <v>15166200</v>
      </c>
      <c r="L442" s="6" t="s">
        <v>242</v>
      </c>
      <c r="M442" s="5" t="s">
        <v>267</v>
      </c>
      <c r="N442" s="5" t="s">
        <v>237</v>
      </c>
      <c r="O442" s="5" t="s">
        <v>238</v>
      </c>
      <c r="P442" s="5" t="s">
        <v>238</v>
      </c>
      <c r="Q442" s="5" t="s">
        <v>239</v>
      </c>
      <c r="R442" s="5" t="s">
        <v>270</v>
      </c>
      <c r="S442" s="5" t="s">
        <v>238</v>
      </c>
      <c r="V442" s="5" t="s">
        <v>238</v>
      </c>
      <c r="X442" s="6" t="s">
        <v>238</v>
      </c>
      <c r="AA442" s="6" t="s">
        <v>243</v>
      </c>
      <c r="AB442" s="5" t="s">
        <v>238</v>
      </c>
      <c r="AC442" s="5" t="s">
        <v>244</v>
      </c>
      <c r="AD442" s="5" t="s">
        <v>245</v>
      </c>
      <c r="AT442" s="5" t="s">
        <v>246</v>
      </c>
      <c r="AU442" s="5" t="s">
        <v>238</v>
      </c>
      <c r="AV442" s="5" t="s">
        <v>247</v>
      </c>
      <c r="AW442" s="5" t="s">
        <v>238</v>
      </c>
      <c r="AX442" s="5" t="s">
        <v>249</v>
      </c>
      <c r="AY442" s="5" t="s">
        <v>238</v>
      </c>
      <c r="BA442" s="5" t="s">
        <v>4547</v>
      </c>
      <c r="BC442" s="5" t="s">
        <v>250</v>
      </c>
      <c r="BD442" s="6" t="s">
        <v>243</v>
      </c>
      <c r="BE442" s="5" t="s">
        <v>251</v>
      </c>
      <c r="BF442" s="5" t="s">
        <v>252</v>
      </c>
      <c r="BG442" s="5" t="s">
        <v>238</v>
      </c>
      <c r="BH442" s="7">
        <f>0</f>
        <v>0</v>
      </c>
      <c r="BI442" s="8">
        <f>0</f>
        <v>0</v>
      </c>
      <c r="BJ442" s="5" t="s">
        <v>253</v>
      </c>
      <c r="BK442" s="5" t="s">
        <v>254</v>
      </c>
      <c r="BY442" s="5" t="s">
        <v>238</v>
      </c>
      <c r="BZ442" s="5" t="s">
        <v>238</v>
      </c>
      <c r="CD442" s="5" t="s">
        <v>255</v>
      </c>
      <c r="CE442" s="5" t="s">
        <v>256</v>
      </c>
      <c r="CF442" s="5" t="s">
        <v>238</v>
      </c>
      <c r="CI442" s="6" t="s">
        <v>257</v>
      </c>
      <c r="CJ442" s="5" t="s">
        <v>238</v>
      </c>
      <c r="CK442" s="5" t="s">
        <v>258</v>
      </c>
      <c r="CL442" s="5" t="s">
        <v>238</v>
      </c>
      <c r="CM442" s="5" t="s">
        <v>238</v>
      </c>
      <c r="CN442" s="5">
        <v>0</v>
      </c>
      <c r="CO442" s="5" t="s">
        <v>259</v>
      </c>
      <c r="CP442" s="5" t="s">
        <v>260</v>
      </c>
      <c r="CQ442" s="5" t="s">
        <v>260</v>
      </c>
      <c r="CR442" s="5" t="s">
        <v>261</v>
      </c>
      <c r="CU442" s="8">
        <f>15166200</f>
        <v>15166200</v>
      </c>
      <c r="CV442" s="8">
        <f>0</f>
        <v>0</v>
      </c>
      <c r="CX442" s="8">
        <f>0</f>
        <v>0</v>
      </c>
      <c r="CY442" s="8">
        <f>15166200</f>
        <v>15166200</v>
      </c>
      <c r="DA442" s="5" t="s">
        <v>263</v>
      </c>
      <c r="DB442" s="5" t="s">
        <v>238</v>
      </c>
      <c r="DD442" s="5" t="s">
        <v>356</v>
      </c>
      <c r="DE442" s="8">
        <f>0</f>
        <v>0</v>
      </c>
      <c r="DG442" s="5" t="s">
        <v>263</v>
      </c>
      <c r="DH442" s="5" t="s">
        <v>238</v>
      </c>
      <c r="DI442" s="5" t="s">
        <v>238</v>
      </c>
      <c r="DJ442" s="5" t="s">
        <v>238</v>
      </c>
      <c r="DN442" s="5" t="s">
        <v>238</v>
      </c>
      <c r="DO442" s="5" t="s">
        <v>238</v>
      </c>
      <c r="DP442" s="5" t="s">
        <v>238</v>
      </c>
      <c r="DQ442" s="5" t="s">
        <v>238</v>
      </c>
      <c r="DT442" s="5" t="s">
        <v>5886</v>
      </c>
      <c r="DU442" s="5" t="s">
        <v>264</v>
      </c>
      <c r="HM442" s="5" t="s">
        <v>264</v>
      </c>
    </row>
    <row r="443" spans="1:221" x14ac:dyDescent="0.4">
      <c r="A443" s="5">
        <v>1178</v>
      </c>
      <c r="B443" s="5">
        <v>1</v>
      </c>
      <c r="C443" s="5">
        <v>1</v>
      </c>
      <c r="D443" s="5" t="s">
        <v>5884</v>
      </c>
      <c r="E443" s="5" t="s">
        <v>3336</v>
      </c>
      <c r="F443" s="5" t="s">
        <v>248</v>
      </c>
      <c r="G443" s="5" t="s">
        <v>5883</v>
      </c>
      <c r="H443" s="6" t="s">
        <v>5885</v>
      </c>
      <c r="I443" s="7">
        <f>1105.9</f>
        <v>1105.9000000000001</v>
      </c>
      <c r="J443" s="5" t="s">
        <v>262</v>
      </c>
      <c r="K443" s="8">
        <f>5087140</f>
        <v>5087140</v>
      </c>
      <c r="L443" s="6" t="s">
        <v>242</v>
      </c>
      <c r="M443" s="5" t="s">
        <v>267</v>
      </c>
      <c r="N443" s="5" t="s">
        <v>237</v>
      </c>
      <c r="O443" s="5" t="s">
        <v>238</v>
      </c>
      <c r="P443" s="5" t="s">
        <v>238</v>
      </c>
      <c r="Q443" s="5" t="s">
        <v>239</v>
      </c>
      <c r="R443" s="5" t="s">
        <v>270</v>
      </c>
      <c r="S443" s="5" t="s">
        <v>238</v>
      </c>
      <c r="V443" s="5" t="s">
        <v>238</v>
      </c>
      <c r="X443" s="6" t="s">
        <v>238</v>
      </c>
      <c r="AA443" s="6" t="s">
        <v>243</v>
      </c>
      <c r="AB443" s="5" t="s">
        <v>238</v>
      </c>
      <c r="AC443" s="5" t="s">
        <v>244</v>
      </c>
      <c r="AD443" s="5" t="s">
        <v>245</v>
      </c>
      <c r="AT443" s="5" t="s">
        <v>246</v>
      </c>
      <c r="AU443" s="5" t="s">
        <v>238</v>
      </c>
      <c r="AV443" s="5" t="s">
        <v>247</v>
      </c>
      <c r="AW443" s="5" t="s">
        <v>238</v>
      </c>
      <c r="AX443" s="5" t="s">
        <v>249</v>
      </c>
      <c r="AY443" s="5" t="s">
        <v>238</v>
      </c>
      <c r="BA443" s="5" t="s">
        <v>238</v>
      </c>
      <c r="BC443" s="5" t="s">
        <v>250</v>
      </c>
      <c r="BD443" s="6" t="s">
        <v>243</v>
      </c>
      <c r="BE443" s="5" t="s">
        <v>251</v>
      </c>
      <c r="BF443" s="5" t="s">
        <v>252</v>
      </c>
      <c r="BG443" s="5" t="s">
        <v>238</v>
      </c>
      <c r="BH443" s="7">
        <f>0</f>
        <v>0</v>
      </c>
      <c r="BI443" s="8">
        <f>0</f>
        <v>0</v>
      </c>
      <c r="BJ443" s="5" t="s">
        <v>253</v>
      </c>
      <c r="BK443" s="5" t="s">
        <v>254</v>
      </c>
      <c r="BY443" s="5" t="s">
        <v>238</v>
      </c>
      <c r="BZ443" s="5" t="s">
        <v>238</v>
      </c>
      <c r="CD443" s="5" t="s">
        <v>255</v>
      </c>
      <c r="CE443" s="5" t="s">
        <v>256</v>
      </c>
      <c r="CF443" s="5" t="s">
        <v>238</v>
      </c>
      <c r="CI443" s="6" t="s">
        <v>257</v>
      </c>
      <c r="CJ443" s="5" t="s">
        <v>238</v>
      </c>
      <c r="CK443" s="5" t="s">
        <v>258</v>
      </c>
      <c r="CL443" s="5" t="s">
        <v>238</v>
      </c>
      <c r="CM443" s="5" t="s">
        <v>238</v>
      </c>
      <c r="CN443" s="5">
        <v>0</v>
      </c>
      <c r="CO443" s="5" t="s">
        <v>259</v>
      </c>
      <c r="CP443" s="5" t="s">
        <v>260</v>
      </c>
      <c r="CQ443" s="5" t="s">
        <v>260</v>
      </c>
      <c r="CR443" s="5" t="s">
        <v>261</v>
      </c>
      <c r="CU443" s="8">
        <f>5087140</f>
        <v>5087140</v>
      </c>
      <c r="CV443" s="8">
        <f>0</f>
        <v>0</v>
      </c>
      <c r="CX443" s="8">
        <f>0</f>
        <v>0</v>
      </c>
      <c r="CY443" s="8">
        <f>5087140</f>
        <v>5087140</v>
      </c>
      <c r="DA443" s="5" t="s">
        <v>263</v>
      </c>
      <c r="DB443" s="5" t="s">
        <v>238</v>
      </c>
      <c r="DD443" s="5" t="s">
        <v>356</v>
      </c>
      <c r="DE443" s="8">
        <f>0</f>
        <v>0</v>
      </c>
      <c r="DG443" s="5" t="s">
        <v>263</v>
      </c>
      <c r="DH443" s="5" t="s">
        <v>238</v>
      </c>
      <c r="DI443" s="5" t="s">
        <v>238</v>
      </c>
      <c r="DJ443" s="5" t="s">
        <v>238</v>
      </c>
      <c r="DN443" s="5" t="s">
        <v>238</v>
      </c>
      <c r="DO443" s="5" t="s">
        <v>238</v>
      </c>
      <c r="DP443" s="5" t="s">
        <v>238</v>
      </c>
      <c r="DQ443" s="5" t="s">
        <v>238</v>
      </c>
      <c r="DT443" s="5" t="s">
        <v>5886</v>
      </c>
      <c r="DU443" s="5" t="s">
        <v>294</v>
      </c>
      <c r="HM443" s="5" t="s">
        <v>264</v>
      </c>
    </row>
    <row r="444" spans="1:221" x14ac:dyDescent="0.4">
      <c r="A444" s="5">
        <v>1179</v>
      </c>
      <c r="B444" s="5">
        <v>1</v>
      </c>
      <c r="C444" s="5">
        <v>1</v>
      </c>
      <c r="D444" s="5" t="s">
        <v>5884</v>
      </c>
      <c r="E444" s="5" t="s">
        <v>3336</v>
      </c>
      <c r="F444" s="5" t="s">
        <v>248</v>
      </c>
      <c r="G444" s="5" t="s">
        <v>5883</v>
      </c>
      <c r="H444" s="6" t="s">
        <v>6490</v>
      </c>
      <c r="I444" s="7">
        <f>668</f>
        <v>668</v>
      </c>
      <c r="J444" s="5" t="s">
        <v>262</v>
      </c>
      <c r="K444" s="8">
        <f>18704</f>
        <v>18704</v>
      </c>
      <c r="L444" s="6" t="s">
        <v>242</v>
      </c>
      <c r="M444" s="5" t="s">
        <v>267</v>
      </c>
      <c r="N444" s="5" t="s">
        <v>237</v>
      </c>
      <c r="O444" s="5" t="s">
        <v>238</v>
      </c>
      <c r="P444" s="5" t="s">
        <v>238</v>
      </c>
      <c r="Q444" s="5" t="s">
        <v>239</v>
      </c>
      <c r="R444" s="5" t="s">
        <v>270</v>
      </c>
      <c r="S444" s="5" t="s">
        <v>238</v>
      </c>
      <c r="V444" s="5" t="s">
        <v>238</v>
      </c>
      <c r="X444" s="6" t="s">
        <v>238</v>
      </c>
      <c r="AA444" s="6" t="s">
        <v>243</v>
      </c>
      <c r="AB444" s="5" t="s">
        <v>238</v>
      </c>
      <c r="AC444" s="5" t="s">
        <v>244</v>
      </c>
      <c r="AD444" s="5" t="s">
        <v>245</v>
      </c>
      <c r="AT444" s="5" t="s">
        <v>246</v>
      </c>
      <c r="AU444" s="5" t="s">
        <v>238</v>
      </c>
      <c r="AV444" s="5" t="s">
        <v>247</v>
      </c>
      <c r="AW444" s="5" t="s">
        <v>238</v>
      </c>
      <c r="AX444" s="5" t="s">
        <v>249</v>
      </c>
      <c r="AY444" s="5" t="s">
        <v>238</v>
      </c>
      <c r="BA444" s="5" t="s">
        <v>238</v>
      </c>
      <c r="BC444" s="5" t="s">
        <v>250</v>
      </c>
      <c r="BD444" s="6" t="s">
        <v>243</v>
      </c>
      <c r="BE444" s="5" t="s">
        <v>251</v>
      </c>
      <c r="BF444" s="5" t="s">
        <v>252</v>
      </c>
      <c r="BG444" s="5" t="s">
        <v>238</v>
      </c>
      <c r="BH444" s="7">
        <f>0</f>
        <v>0</v>
      </c>
      <c r="BI444" s="8">
        <f>0</f>
        <v>0</v>
      </c>
      <c r="BJ444" s="5" t="s">
        <v>253</v>
      </c>
      <c r="BK444" s="5" t="s">
        <v>254</v>
      </c>
      <c r="BY444" s="5" t="s">
        <v>238</v>
      </c>
      <c r="BZ444" s="5" t="s">
        <v>238</v>
      </c>
      <c r="CD444" s="5" t="s">
        <v>255</v>
      </c>
      <c r="CE444" s="5" t="s">
        <v>256</v>
      </c>
      <c r="CF444" s="5" t="s">
        <v>238</v>
      </c>
      <c r="CI444" s="6" t="s">
        <v>257</v>
      </c>
      <c r="CJ444" s="5" t="s">
        <v>238</v>
      </c>
      <c r="CK444" s="5" t="s">
        <v>258</v>
      </c>
      <c r="CL444" s="5" t="s">
        <v>238</v>
      </c>
      <c r="CM444" s="5" t="s">
        <v>238</v>
      </c>
      <c r="CN444" s="5">
        <v>0</v>
      </c>
      <c r="CO444" s="5" t="s">
        <v>259</v>
      </c>
      <c r="CP444" s="5" t="s">
        <v>260</v>
      </c>
      <c r="CQ444" s="5" t="s">
        <v>260</v>
      </c>
      <c r="CR444" s="5" t="s">
        <v>261</v>
      </c>
      <c r="CU444" s="8">
        <f>18704</f>
        <v>18704</v>
      </c>
      <c r="CV444" s="8">
        <f>0</f>
        <v>0</v>
      </c>
      <c r="CX444" s="8">
        <f>0</f>
        <v>0</v>
      </c>
      <c r="CY444" s="8">
        <f>18704</f>
        <v>18704</v>
      </c>
      <c r="DA444" s="5" t="s">
        <v>421</v>
      </c>
      <c r="DB444" s="5" t="s">
        <v>238</v>
      </c>
      <c r="DD444" s="5" t="s">
        <v>356</v>
      </c>
      <c r="DE444" s="8">
        <f>0</f>
        <v>0</v>
      </c>
      <c r="DG444" s="5" t="s">
        <v>421</v>
      </c>
      <c r="DH444" s="5" t="s">
        <v>238</v>
      </c>
      <c r="DI444" s="5" t="s">
        <v>238</v>
      </c>
      <c r="DJ444" s="5" t="s">
        <v>238</v>
      </c>
      <c r="DN444" s="5" t="s">
        <v>238</v>
      </c>
      <c r="DO444" s="5" t="s">
        <v>238</v>
      </c>
      <c r="DP444" s="5" t="s">
        <v>238</v>
      </c>
      <c r="DQ444" s="5" t="s">
        <v>238</v>
      </c>
      <c r="DT444" s="5" t="s">
        <v>5886</v>
      </c>
      <c r="DU444" s="5" t="s">
        <v>806</v>
      </c>
      <c r="HM444" s="5" t="s">
        <v>264</v>
      </c>
    </row>
    <row r="445" spans="1:221" x14ac:dyDescent="0.4">
      <c r="A445" s="5">
        <v>1180</v>
      </c>
      <c r="B445" s="5">
        <v>1</v>
      </c>
      <c r="C445" s="5">
        <v>1</v>
      </c>
      <c r="D445" s="5" t="s">
        <v>5884</v>
      </c>
      <c r="E445" s="5" t="s">
        <v>3336</v>
      </c>
      <c r="F445" s="5" t="s">
        <v>248</v>
      </c>
      <c r="G445" s="5" t="s">
        <v>5883</v>
      </c>
      <c r="H445" s="6" t="s">
        <v>5888</v>
      </c>
      <c r="I445" s="7">
        <f>1660</f>
        <v>1660</v>
      </c>
      <c r="J445" s="5" t="s">
        <v>262</v>
      </c>
      <c r="K445" s="8">
        <f>3676900</f>
        <v>3676900</v>
      </c>
      <c r="L445" s="6" t="s">
        <v>242</v>
      </c>
      <c r="M445" s="5" t="s">
        <v>267</v>
      </c>
      <c r="N445" s="5" t="s">
        <v>237</v>
      </c>
      <c r="O445" s="5" t="s">
        <v>238</v>
      </c>
      <c r="P445" s="5" t="s">
        <v>238</v>
      </c>
      <c r="Q445" s="5" t="s">
        <v>239</v>
      </c>
      <c r="R445" s="5" t="s">
        <v>270</v>
      </c>
      <c r="S445" s="5" t="s">
        <v>238</v>
      </c>
      <c r="V445" s="5" t="s">
        <v>238</v>
      </c>
      <c r="X445" s="6" t="s">
        <v>238</v>
      </c>
      <c r="AA445" s="6" t="s">
        <v>243</v>
      </c>
      <c r="AB445" s="5" t="s">
        <v>238</v>
      </c>
      <c r="AC445" s="5" t="s">
        <v>244</v>
      </c>
      <c r="AD445" s="5" t="s">
        <v>245</v>
      </c>
      <c r="AT445" s="5" t="s">
        <v>246</v>
      </c>
      <c r="AU445" s="5" t="s">
        <v>238</v>
      </c>
      <c r="AV445" s="5" t="s">
        <v>247</v>
      </c>
      <c r="AW445" s="5" t="s">
        <v>238</v>
      </c>
      <c r="AX445" s="5" t="s">
        <v>249</v>
      </c>
      <c r="AY445" s="5" t="s">
        <v>238</v>
      </c>
      <c r="BA445" s="5" t="s">
        <v>238</v>
      </c>
      <c r="BC445" s="5" t="s">
        <v>250</v>
      </c>
      <c r="BD445" s="6" t="s">
        <v>243</v>
      </c>
      <c r="BE445" s="5" t="s">
        <v>251</v>
      </c>
      <c r="BF445" s="5" t="s">
        <v>252</v>
      </c>
      <c r="BG445" s="5" t="s">
        <v>238</v>
      </c>
      <c r="BH445" s="7">
        <f>0</f>
        <v>0</v>
      </c>
      <c r="BI445" s="8">
        <f>0</f>
        <v>0</v>
      </c>
      <c r="BJ445" s="5" t="s">
        <v>253</v>
      </c>
      <c r="BK445" s="5" t="s">
        <v>254</v>
      </c>
      <c r="BY445" s="5" t="s">
        <v>238</v>
      </c>
      <c r="BZ445" s="5" t="s">
        <v>238</v>
      </c>
      <c r="CD445" s="5" t="s">
        <v>255</v>
      </c>
      <c r="CE445" s="5" t="s">
        <v>256</v>
      </c>
      <c r="CF445" s="5" t="s">
        <v>238</v>
      </c>
      <c r="CI445" s="6" t="s">
        <v>257</v>
      </c>
      <c r="CJ445" s="5" t="s">
        <v>238</v>
      </c>
      <c r="CK445" s="5" t="s">
        <v>258</v>
      </c>
      <c r="CL445" s="5" t="s">
        <v>238</v>
      </c>
      <c r="CM445" s="5" t="s">
        <v>238</v>
      </c>
      <c r="CN445" s="5">
        <v>0</v>
      </c>
      <c r="CO445" s="5" t="s">
        <v>259</v>
      </c>
      <c r="CP445" s="5" t="s">
        <v>260</v>
      </c>
      <c r="CQ445" s="5" t="s">
        <v>260</v>
      </c>
      <c r="CR445" s="5" t="s">
        <v>261</v>
      </c>
      <c r="CU445" s="8">
        <f>3676900</f>
        <v>3676900</v>
      </c>
      <c r="CV445" s="8">
        <f>0</f>
        <v>0</v>
      </c>
      <c r="CX445" s="8">
        <f>0</f>
        <v>0</v>
      </c>
      <c r="CY445" s="8">
        <f>3676900</f>
        <v>3676900</v>
      </c>
      <c r="DA445" s="5" t="s">
        <v>389</v>
      </c>
      <c r="DB445" s="5" t="s">
        <v>238</v>
      </c>
      <c r="DD445" s="5" t="s">
        <v>356</v>
      </c>
      <c r="DE445" s="8">
        <f>0</f>
        <v>0</v>
      </c>
      <c r="DG445" s="5" t="s">
        <v>389</v>
      </c>
      <c r="DH445" s="5" t="s">
        <v>238</v>
      </c>
      <c r="DI445" s="5" t="s">
        <v>238</v>
      </c>
      <c r="DJ445" s="5" t="s">
        <v>238</v>
      </c>
      <c r="DN445" s="5" t="s">
        <v>238</v>
      </c>
      <c r="DO445" s="5" t="s">
        <v>238</v>
      </c>
      <c r="DP445" s="5" t="s">
        <v>238</v>
      </c>
      <c r="DQ445" s="5" t="s">
        <v>238</v>
      </c>
      <c r="DT445" s="5" t="s">
        <v>5886</v>
      </c>
      <c r="DU445" s="5" t="s">
        <v>854</v>
      </c>
      <c r="HM445" s="5" t="s">
        <v>264</v>
      </c>
    </row>
    <row r="446" spans="1:221" x14ac:dyDescent="0.4">
      <c r="A446" s="5">
        <v>1181</v>
      </c>
      <c r="B446" s="5">
        <v>1</v>
      </c>
      <c r="C446" s="5">
        <v>1</v>
      </c>
      <c r="D446" s="5" t="s">
        <v>5884</v>
      </c>
      <c r="E446" s="5" t="s">
        <v>3336</v>
      </c>
      <c r="F446" s="5" t="s">
        <v>248</v>
      </c>
      <c r="G446" s="5" t="s">
        <v>5883</v>
      </c>
      <c r="H446" s="6" t="s">
        <v>5889</v>
      </c>
      <c r="I446" s="7">
        <f>8132</f>
        <v>8132</v>
      </c>
      <c r="J446" s="5" t="s">
        <v>262</v>
      </c>
      <c r="K446" s="8">
        <f>18012380</f>
        <v>18012380</v>
      </c>
      <c r="L446" s="6" t="s">
        <v>242</v>
      </c>
      <c r="M446" s="5" t="s">
        <v>267</v>
      </c>
      <c r="N446" s="5" t="s">
        <v>237</v>
      </c>
      <c r="O446" s="5" t="s">
        <v>238</v>
      </c>
      <c r="P446" s="5" t="s">
        <v>238</v>
      </c>
      <c r="Q446" s="5" t="s">
        <v>239</v>
      </c>
      <c r="R446" s="5" t="s">
        <v>270</v>
      </c>
      <c r="S446" s="5" t="s">
        <v>238</v>
      </c>
      <c r="V446" s="5" t="s">
        <v>238</v>
      </c>
      <c r="X446" s="6" t="s">
        <v>238</v>
      </c>
      <c r="AA446" s="6" t="s">
        <v>243</v>
      </c>
      <c r="AB446" s="5" t="s">
        <v>238</v>
      </c>
      <c r="AC446" s="5" t="s">
        <v>244</v>
      </c>
      <c r="AD446" s="5" t="s">
        <v>245</v>
      </c>
      <c r="AT446" s="5" t="s">
        <v>246</v>
      </c>
      <c r="AU446" s="5" t="s">
        <v>238</v>
      </c>
      <c r="AV446" s="5" t="s">
        <v>247</v>
      </c>
      <c r="AW446" s="5" t="s">
        <v>238</v>
      </c>
      <c r="AX446" s="5" t="s">
        <v>249</v>
      </c>
      <c r="AY446" s="5" t="s">
        <v>238</v>
      </c>
      <c r="BA446" s="5" t="s">
        <v>238</v>
      </c>
      <c r="BC446" s="5" t="s">
        <v>250</v>
      </c>
      <c r="BD446" s="6" t="s">
        <v>243</v>
      </c>
      <c r="BE446" s="5" t="s">
        <v>251</v>
      </c>
      <c r="BF446" s="5" t="s">
        <v>252</v>
      </c>
      <c r="BG446" s="5" t="s">
        <v>238</v>
      </c>
      <c r="BH446" s="7">
        <f>0</f>
        <v>0</v>
      </c>
      <c r="BI446" s="8">
        <f>0</f>
        <v>0</v>
      </c>
      <c r="BJ446" s="5" t="s">
        <v>253</v>
      </c>
      <c r="BK446" s="5" t="s">
        <v>254</v>
      </c>
      <c r="BY446" s="5" t="s">
        <v>238</v>
      </c>
      <c r="BZ446" s="5" t="s">
        <v>238</v>
      </c>
      <c r="CD446" s="5" t="s">
        <v>255</v>
      </c>
      <c r="CE446" s="5" t="s">
        <v>256</v>
      </c>
      <c r="CF446" s="5" t="s">
        <v>238</v>
      </c>
      <c r="CI446" s="6" t="s">
        <v>257</v>
      </c>
      <c r="CJ446" s="5" t="s">
        <v>238</v>
      </c>
      <c r="CK446" s="5" t="s">
        <v>258</v>
      </c>
      <c r="CL446" s="5" t="s">
        <v>238</v>
      </c>
      <c r="CM446" s="5" t="s">
        <v>238</v>
      </c>
      <c r="CN446" s="5">
        <v>0</v>
      </c>
      <c r="CO446" s="5" t="s">
        <v>259</v>
      </c>
      <c r="CP446" s="5" t="s">
        <v>260</v>
      </c>
      <c r="CQ446" s="5" t="s">
        <v>260</v>
      </c>
      <c r="CR446" s="5" t="s">
        <v>261</v>
      </c>
      <c r="CU446" s="8">
        <f>18012380</f>
        <v>18012380</v>
      </c>
      <c r="CV446" s="8">
        <f>0</f>
        <v>0</v>
      </c>
      <c r="CX446" s="8">
        <f>0</f>
        <v>0</v>
      </c>
      <c r="CY446" s="8">
        <f>18012380</f>
        <v>18012380</v>
      </c>
      <c r="DA446" s="5" t="s">
        <v>389</v>
      </c>
      <c r="DB446" s="5" t="s">
        <v>238</v>
      </c>
      <c r="DD446" s="5" t="s">
        <v>356</v>
      </c>
      <c r="DE446" s="8">
        <f>0</f>
        <v>0</v>
      </c>
      <c r="DG446" s="5" t="s">
        <v>389</v>
      </c>
      <c r="DH446" s="5" t="s">
        <v>238</v>
      </c>
      <c r="DI446" s="5" t="s">
        <v>238</v>
      </c>
      <c r="DJ446" s="5" t="s">
        <v>238</v>
      </c>
      <c r="DN446" s="5" t="s">
        <v>238</v>
      </c>
      <c r="DO446" s="5" t="s">
        <v>238</v>
      </c>
      <c r="DP446" s="5" t="s">
        <v>238</v>
      </c>
      <c r="DQ446" s="5" t="s">
        <v>238</v>
      </c>
      <c r="DT446" s="5" t="s">
        <v>5886</v>
      </c>
      <c r="DU446" s="5" t="s">
        <v>911</v>
      </c>
      <c r="HM446" s="5" t="s">
        <v>264</v>
      </c>
    </row>
    <row r="447" spans="1:221" x14ac:dyDescent="0.4">
      <c r="A447" s="5">
        <v>1182</v>
      </c>
      <c r="B447" s="5">
        <v>1</v>
      </c>
      <c r="C447" s="5">
        <v>1</v>
      </c>
      <c r="D447" s="5" t="s">
        <v>5884</v>
      </c>
      <c r="E447" s="5" t="s">
        <v>3336</v>
      </c>
      <c r="F447" s="5" t="s">
        <v>248</v>
      </c>
      <c r="G447" s="5" t="s">
        <v>5883</v>
      </c>
      <c r="H447" s="6" t="s">
        <v>5890</v>
      </c>
      <c r="I447" s="7">
        <f>3553</f>
        <v>3553</v>
      </c>
      <c r="J447" s="5" t="s">
        <v>262</v>
      </c>
      <c r="K447" s="8">
        <f>7869895</f>
        <v>7869895</v>
      </c>
      <c r="L447" s="6" t="s">
        <v>242</v>
      </c>
      <c r="M447" s="5" t="s">
        <v>267</v>
      </c>
      <c r="N447" s="5" t="s">
        <v>237</v>
      </c>
      <c r="O447" s="5" t="s">
        <v>238</v>
      </c>
      <c r="P447" s="5" t="s">
        <v>238</v>
      </c>
      <c r="Q447" s="5" t="s">
        <v>239</v>
      </c>
      <c r="R447" s="5" t="s">
        <v>270</v>
      </c>
      <c r="S447" s="5" t="s">
        <v>238</v>
      </c>
      <c r="V447" s="5" t="s">
        <v>238</v>
      </c>
      <c r="X447" s="6" t="s">
        <v>238</v>
      </c>
      <c r="AA447" s="6" t="s">
        <v>243</v>
      </c>
      <c r="AB447" s="5" t="s">
        <v>238</v>
      </c>
      <c r="AC447" s="5" t="s">
        <v>244</v>
      </c>
      <c r="AD447" s="5" t="s">
        <v>245</v>
      </c>
      <c r="AT447" s="5" t="s">
        <v>246</v>
      </c>
      <c r="AU447" s="5" t="s">
        <v>238</v>
      </c>
      <c r="AV447" s="5" t="s">
        <v>247</v>
      </c>
      <c r="AW447" s="5" t="s">
        <v>238</v>
      </c>
      <c r="AX447" s="5" t="s">
        <v>249</v>
      </c>
      <c r="AY447" s="5" t="s">
        <v>238</v>
      </c>
      <c r="BA447" s="5" t="s">
        <v>238</v>
      </c>
      <c r="BC447" s="5" t="s">
        <v>250</v>
      </c>
      <c r="BD447" s="6" t="s">
        <v>243</v>
      </c>
      <c r="BE447" s="5" t="s">
        <v>251</v>
      </c>
      <c r="BF447" s="5" t="s">
        <v>252</v>
      </c>
      <c r="BG447" s="5" t="s">
        <v>238</v>
      </c>
      <c r="BH447" s="7">
        <f>0</f>
        <v>0</v>
      </c>
      <c r="BI447" s="8">
        <f>0</f>
        <v>0</v>
      </c>
      <c r="BJ447" s="5" t="s">
        <v>253</v>
      </c>
      <c r="BK447" s="5" t="s">
        <v>254</v>
      </c>
      <c r="BY447" s="5" t="s">
        <v>238</v>
      </c>
      <c r="BZ447" s="5" t="s">
        <v>238</v>
      </c>
      <c r="CD447" s="5" t="s">
        <v>255</v>
      </c>
      <c r="CE447" s="5" t="s">
        <v>256</v>
      </c>
      <c r="CF447" s="5" t="s">
        <v>238</v>
      </c>
      <c r="CI447" s="6" t="s">
        <v>257</v>
      </c>
      <c r="CJ447" s="5" t="s">
        <v>238</v>
      </c>
      <c r="CK447" s="5" t="s">
        <v>258</v>
      </c>
      <c r="CL447" s="5" t="s">
        <v>238</v>
      </c>
      <c r="CM447" s="5" t="s">
        <v>238</v>
      </c>
      <c r="CN447" s="5">
        <v>0</v>
      </c>
      <c r="CO447" s="5" t="s">
        <v>259</v>
      </c>
      <c r="CP447" s="5" t="s">
        <v>260</v>
      </c>
      <c r="CQ447" s="5" t="s">
        <v>260</v>
      </c>
      <c r="CR447" s="5" t="s">
        <v>261</v>
      </c>
      <c r="CU447" s="8">
        <f>7869895</f>
        <v>7869895</v>
      </c>
      <c r="CV447" s="8">
        <f>0</f>
        <v>0</v>
      </c>
      <c r="CX447" s="8">
        <f>0</f>
        <v>0</v>
      </c>
      <c r="CY447" s="8">
        <f>7869895</f>
        <v>7869895</v>
      </c>
      <c r="DA447" s="5" t="s">
        <v>389</v>
      </c>
      <c r="DB447" s="5" t="s">
        <v>238</v>
      </c>
      <c r="DD447" s="5" t="s">
        <v>356</v>
      </c>
      <c r="DE447" s="8">
        <f>0</f>
        <v>0</v>
      </c>
      <c r="DG447" s="5" t="s">
        <v>389</v>
      </c>
      <c r="DH447" s="5" t="s">
        <v>238</v>
      </c>
      <c r="DI447" s="5" t="s">
        <v>238</v>
      </c>
      <c r="DJ447" s="5" t="s">
        <v>238</v>
      </c>
      <c r="DN447" s="5" t="s">
        <v>238</v>
      </c>
      <c r="DO447" s="5" t="s">
        <v>238</v>
      </c>
      <c r="DP447" s="5" t="s">
        <v>238</v>
      </c>
      <c r="DQ447" s="5" t="s">
        <v>238</v>
      </c>
      <c r="DT447" s="5" t="s">
        <v>5886</v>
      </c>
      <c r="DU447" s="5" t="s">
        <v>967</v>
      </c>
      <c r="HM447" s="5" t="s">
        <v>264</v>
      </c>
    </row>
    <row r="448" spans="1:221" x14ac:dyDescent="0.4">
      <c r="A448" s="5">
        <v>1183</v>
      </c>
      <c r="B448" s="5">
        <v>1</v>
      </c>
      <c r="C448" s="5">
        <v>1</v>
      </c>
      <c r="D448" s="5" t="s">
        <v>5884</v>
      </c>
      <c r="E448" s="5" t="s">
        <v>3336</v>
      </c>
      <c r="F448" s="5" t="s">
        <v>248</v>
      </c>
      <c r="G448" s="5" t="s">
        <v>5883</v>
      </c>
      <c r="H448" s="6" t="s">
        <v>5891</v>
      </c>
      <c r="I448" s="7">
        <f>4505</f>
        <v>4505</v>
      </c>
      <c r="J448" s="5" t="s">
        <v>262</v>
      </c>
      <c r="K448" s="8">
        <f>9978575</f>
        <v>9978575</v>
      </c>
      <c r="L448" s="6" t="s">
        <v>242</v>
      </c>
      <c r="M448" s="5" t="s">
        <v>267</v>
      </c>
      <c r="N448" s="5" t="s">
        <v>237</v>
      </c>
      <c r="O448" s="5" t="s">
        <v>238</v>
      </c>
      <c r="P448" s="5" t="s">
        <v>238</v>
      </c>
      <c r="Q448" s="5" t="s">
        <v>239</v>
      </c>
      <c r="R448" s="5" t="s">
        <v>270</v>
      </c>
      <c r="S448" s="5" t="s">
        <v>238</v>
      </c>
      <c r="V448" s="5" t="s">
        <v>238</v>
      </c>
      <c r="X448" s="6" t="s">
        <v>238</v>
      </c>
      <c r="AA448" s="6" t="s">
        <v>243</v>
      </c>
      <c r="AB448" s="5" t="s">
        <v>238</v>
      </c>
      <c r="AC448" s="5" t="s">
        <v>244</v>
      </c>
      <c r="AD448" s="5" t="s">
        <v>245</v>
      </c>
      <c r="AT448" s="5" t="s">
        <v>246</v>
      </c>
      <c r="AU448" s="5" t="s">
        <v>238</v>
      </c>
      <c r="AV448" s="5" t="s">
        <v>247</v>
      </c>
      <c r="AW448" s="5" t="s">
        <v>238</v>
      </c>
      <c r="AX448" s="5" t="s">
        <v>249</v>
      </c>
      <c r="AY448" s="5" t="s">
        <v>238</v>
      </c>
      <c r="BA448" s="5" t="s">
        <v>238</v>
      </c>
      <c r="BC448" s="5" t="s">
        <v>250</v>
      </c>
      <c r="BD448" s="6" t="s">
        <v>243</v>
      </c>
      <c r="BE448" s="5" t="s">
        <v>251</v>
      </c>
      <c r="BF448" s="5" t="s">
        <v>252</v>
      </c>
      <c r="BG448" s="5" t="s">
        <v>238</v>
      </c>
      <c r="BH448" s="7">
        <f>0</f>
        <v>0</v>
      </c>
      <c r="BI448" s="8">
        <f>0</f>
        <v>0</v>
      </c>
      <c r="BJ448" s="5" t="s">
        <v>253</v>
      </c>
      <c r="BK448" s="5" t="s">
        <v>254</v>
      </c>
      <c r="BY448" s="5" t="s">
        <v>238</v>
      </c>
      <c r="BZ448" s="5" t="s">
        <v>238</v>
      </c>
      <c r="CD448" s="5" t="s">
        <v>255</v>
      </c>
      <c r="CE448" s="5" t="s">
        <v>256</v>
      </c>
      <c r="CF448" s="5" t="s">
        <v>238</v>
      </c>
      <c r="CI448" s="6" t="s">
        <v>257</v>
      </c>
      <c r="CJ448" s="5" t="s">
        <v>238</v>
      </c>
      <c r="CK448" s="5" t="s">
        <v>258</v>
      </c>
      <c r="CL448" s="5" t="s">
        <v>238</v>
      </c>
      <c r="CM448" s="5" t="s">
        <v>238</v>
      </c>
      <c r="CN448" s="5">
        <v>0</v>
      </c>
      <c r="CO448" s="5" t="s">
        <v>259</v>
      </c>
      <c r="CP448" s="5" t="s">
        <v>260</v>
      </c>
      <c r="CQ448" s="5" t="s">
        <v>260</v>
      </c>
      <c r="CR448" s="5" t="s">
        <v>261</v>
      </c>
      <c r="CU448" s="8">
        <f>9978575</f>
        <v>9978575</v>
      </c>
      <c r="CV448" s="8">
        <f>0</f>
        <v>0</v>
      </c>
      <c r="CX448" s="8">
        <f>0</f>
        <v>0</v>
      </c>
      <c r="CY448" s="8">
        <f>9978575</f>
        <v>9978575</v>
      </c>
      <c r="DA448" s="5" t="s">
        <v>389</v>
      </c>
      <c r="DB448" s="5" t="s">
        <v>238</v>
      </c>
      <c r="DD448" s="5" t="s">
        <v>356</v>
      </c>
      <c r="DE448" s="8">
        <f>0</f>
        <v>0</v>
      </c>
      <c r="DG448" s="5" t="s">
        <v>389</v>
      </c>
      <c r="DH448" s="5" t="s">
        <v>238</v>
      </c>
      <c r="DI448" s="5" t="s">
        <v>238</v>
      </c>
      <c r="DJ448" s="5" t="s">
        <v>238</v>
      </c>
      <c r="DN448" s="5" t="s">
        <v>238</v>
      </c>
      <c r="DO448" s="5" t="s">
        <v>238</v>
      </c>
      <c r="DP448" s="5" t="s">
        <v>238</v>
      </c>
      <c r="DQ448" s="5" t="s">
        <v>238</v>
      </c>
      <c r="DT448" s="5" t="s">
        <v>5886</v>
      </c>
      <c r="DU448" s="5" t="s">
        <v>1376</v>
      </c>
      <c r="HM448" s="5" t="s">
        <v>264</v>
      </c>
    </row>
    <row r="449" spans="1:221" x14ac:dyDescent="0.4">
      <c r="A449" s="5">
        <v>1184</v>
      </c>
      <c r="B449" s="5">
        <v>1</v>
      </c>
      <c r="C449" s="5">
        <v>1</v>
      </c>
      <c r="D449" s="5" t="s">
        <v>5884</v>
      </c>
      <c r="E449" s="5" t="s">
        <v>3336</v>
      </c>
      <c r="F449" s="5" t="s">
        <v>248</v>
      </c>
      <c r="G449" s="5" t="s">
        <v>5883</v>
      </c>
      <c r="H449" s="6" t="s">
        <v>5896</v>
      </c>
      <c r="I449" s="7">
        <f>977</f>
        <v>977</v>
      </c>
      <c r="J449" s="5" t="s">
        <v>262</v>
      </c>
      <c r="K449" s="8">
        <f>2164055</f>
        <v>2164055</v>
      </c>
      <c r="L449" s="6" t="s">
        <v>242</v>
      </c>
      <c r="M449" s="5" t="s">
        <v>267</v>
      </c>
      <c r="N449" s="5" t="s">
        <v>237</v>
      </c>
      <c r="O449" s="5" t="s">
        <v>238</v>
      </c>
      <c r="P449" s="5" t="s">
        <v>238</v>
      </c>
      <c r="Q449" s="5" t="s">
        <v>239</v>
      </c>
      <c r="R449" s="5" t="s">
        <v>270</v>
      </c>
      <c r="S449" s="5" t="s">
        <v>238</v>
      </c>
      <c r="V449" s="5" t="s">
        <v>238</v>
      </c>
      <c r="X449" s="6" t="s">
        <v>238</v>
      </c>
      <c r="AA449" s="6" t="s">
        <v>243</v>
      </c>
      <c r="AB449" s="5" t="s">
        <v>238</v>
      </c>
      <c r="AC449" s="5" t="s">
        <v>244</v>
      </c>
      <c r="AD449" s="5" t="s">
        <v>245</v>
      </c>
      <c r="AT449" s="5" t="s">
        <v>246</v>
      </c>
      <c r="AU449" s="5" t="s">
        <v>238</v>
      </c>
      <c r="AV449" s="5" t="s">
        <v>247</v>
      </c>
      <c r="AW449" s="5" t="s">
        <v>238</v>
      </c>
      <c r="AX449" s="5" t="s">
        <v>249</v>
      </c>
      <c r="AY449" s="5" t="s">
        <v>238</v>
      </c>
      <c r="BA449" s="5" t="s">
        <v>238</v>
      </c>
      <c r="BC449" s="5" t="s">
        <v>250</v>
      </c>
      <c r="BD449" s="6" t="s">
        <v>243</v>
      </c>
      <c r="BE449" s="5" t="s">
        <v>251</v>
      </c>
      <c r="BF449" s="5" t="s">
        <v>252</v>
      </c>
      <c r="BG449" s="5" t="s">
        <v>238</v>
      </c>
      <c r="BH449" s="7">
        <f>0</f>
        <v>0</v>
      </c>
      <c r="BI449" s="8">
        <f>0</f>
        <v>0</v>
      </c>
      <c r="BJ449" s="5" t="s">
        <v>253</v>
      </c>
      <c r="BK449" s="5" t="s">
        <v>254</v>
      </c>
      <c r="BY449" s="5" t="s">
        <v>238</v>
      </c>
      <c r="BZ449" s="5" t="s">
        <v>238</v>
      </c>
      <c r="CD449" s="5" t="s">
        <v>255</v>
      </c>
      <c r="CE449" s="5" t="s">
        <v>256</v>
      </c>
      <c r="CF449" s="5" t="s">
        <v>238</v>
      </c>
      <c r="CI449" s="6" t="s">
        <v>257</v>
      </c>
      <c r="CJ449" s="5" t="s">
        <v>238</v>
      </c>
      <c r="CK449" s="5" t="s">
        <v>258</v>
      </c>
      <c r="CL449" s="5" t="s">
        <v>238</v>
      </c>
      <c r="CM449" s="5" t="s">
        <v>238</v>
      </c>
      <c r="CN449" s="5">
        <v>0</v>
      </c>
      <c r="CO449" s="5" t="s">
        <v>259</v>
      </c>
      <c r="CP449" s="5" t="s">
        <v>260</v>
      </c>
      <c r="CQ449" s="5" t="s">
        <v>260</v>
      </c>
      <c r="CR449" s="5" t="s">
        <v>261</v>
      </c>
      <c r="CU449" s="8">
        <f>2164055</f>
        <v>2164055</v>
      </c>
      <c r="CV449" s="8">
        <f>0</f>
        <v>0</v>
      </c>
      <c r="CX449" s="8">
        <f>0</f>
        <v>0</v>
      </c>
      <c r="CY449" s="8">
        <f>2164055</f>
        <v>2164055</v>
      </c>
      <c r="DA449" s="5" t="s">
        <v>389</v>
      </c>
      <c r="DB449" s="5" t="s">
        <v>238</v>
      </c>
      <c r="DD449" s="5" t="s">
        <v>356</v>
      </c>
      <c r="DE449" s="8">
        <f>0</f>
        <v>0</v>
      </c>
      <c r="DG449" s="5" t="s">
        <v>389</v>
      </c>
      <c r="DH449" s="5" t="s">
        <v>238</v>
      </c>
      <c r="DI449" s="5" t="s">
        <v>238</v>
      </c>
      <c r="DJ449" s="5" t="s">
        <v>238</v>
      </c>
      <c r="DN449" s="5" t="s">
        <v>238</v>
      </c>
      <c r="DO449" s="5" t="s">
        <v>238</v>
      </c>
      <c r="DP449" s="5" t="s">
        <v>238</v>
      </c>
      <c r="DQ449" s="5" t="s">
        <v>238</v>
      </c>
      <c r="DT449" s="5" t="s">
        <v>5886</v>
      </c>
      <c r="DU449" s="5" t="s">
        <v>1372</v>
      </c>
      <c r="HM449" s="5" t="s">
        <v>264</v>
      </c>
    </row>
    <row r="450" spans="1:221" x14ac:dyDescent="0.4">
      <c r="A450" s="5">
        <v>1185</v>
      </c>
      <c r="B450" s="5">
        <v>1</v>
      </c>
      <c r="C450" s="5">
        <v>1</v>
      </c>
      <c r="D450" s="5" t="s">
        <v>5884</v>
      </c>
      <c r="E450" s="5" t="s">
        <v>3336</v>
      </c>
      <c r="F450" s="5" t="s">
        <v>248</v>
      </c>
      <c r="G450" s="5" t="s">
        <v>5883</v>
      </c>
      <c r="H450" s="6" t="s">
        <v>5892</v>
      </c>
      <c r="I450" s="7">
        <f>273</f>
        <v>273</v>
      </c>
      <c r="J450" s="5" t="s">
        <v>262</v>
      </c>
      <c r="K450" s="8">
        <f>604695</f>
        <v>604695</v>
      </c>
      <c r="L450" s="6" t="s">
        <v>242</v>
      </c>
      <c r="M450" s="5" t="s">
        <v>267</v>
      </c>
      <c r="N450" s="5" t="s">
        <v>237</v>
      </c>
      <c r="O450" s="5" t="s">
        <v>238</v>
      </c>
      <c r="P450" s="5" t="s">
        <v>238</v>
      </c>
      <c r="Q450" s="5" t="s">
        <v>239</v>
      </c>
      <c r="R450" s="5" t="s">
        <v>270</v>
      </c>
      <c r="S450" s="5" t="s">
        <v>238</v>
      </c>
      <c r="V450" s="5" t="s">
        <v>238</v>
      </c>
      <c r="X450" s="6" t="s">
        <v>238</v>
      </c>
      <c r="AA450" s="6" t="s">
        <v>243</v>
      </c>
      <c r="AB450" s="5" t="s">
        <v>238</v>
      </c>
      <c r="AC450" s="5" t="s">
        <v>244</v>
      </c>
      <c r="AD450" s="5" t="s">
        <v>245</v>
      </c>
      <c r="AT450" s="5" t="s">
        <v>246</v>
      </c>
      <c r="AU450" s="5" t="s">
        <v>238</v>
      </c>
      <c r="AV450" s="5" t="s">
        <v>247</v>
      </c>
      <c r="AW450" s="5" t="s">
        <v>238</v>
      </c>
      <c r="AX450" s="5" t="s">
        <v>249</v>
      </c>
      <c r="AY450" s="5" t="s">
        <v>238</v>
      </c>
      <c r="BA450" s="5" t="s">
        <v>238</v>
      </c>
      <c r="BC450" s="5" t="s">
        <v>250</v>
      </c>
      <c r="BD450" s="6" t="s">
        <v>243</v>
      </c>
      <c r="BE450" s="5" t="s">
        <v>251</v>
      </c>
      <c r="BF450" s="5" t="s">
        <v>252</v>
      </c>
      <c r="BG450" s="5" t="s">
        <v>238</v>
      </c>
      <c r="BH450" s="7">
        <f>0</f>
        <v>0</v>
      </c>
      <c r="BI450" s="8">
        <f>0</f>
        <v>0</v>
      </c>
      <c r="BJ450" s="5" t="s">
        <v>253</v>
      </c>
      <c r="BK450" s="5" t="s">
        <v>254</v>
      </c>
      <c r="BY450" s="5" t="s">
        <v>238</v>
      </c>
      <c r="BZ450" s="5" t="s">
        <v>238</v>
      </c>
      <c r="CD450" s="5" t="s">
        <v>255</v>
      </c>
      <c r="CE450" s="5" t="s">
        <v>256</v>
      </c>
      <c r="CF450" s="5" t="s">
        <v>238</v>
      </c>
      <c r="CI450" s="6" t="s">
        <v>257</v>
      </c>
      <c r="CJ450" s="5" t="s">
        <v>238</v>
      </c>
      <c r="CK450" s="5" t="s">
        <v>258</v>
      </c>
      <c r="CL450" s="5" t="s">
        <v>238</v>
      </c>
      <c r="CM450" s="5" t="s">
        <v>238</v>
      </c>
      <c r="CN450" s="5">
        <v>0</v>
      </c>
      <c r="CO450" s="5" t="s">
        <v>259</v>
      </c>
      <c r="CP450" s="5" t="s">
        <v>260</v>
      </c>
      <c r="CQ450" s="5" t="s">
        <v>260</v>
      </c>
      <c r="CR450" s="5" t="s">
        <v>261</v>
      </c>
      <c r="CU450" s="8">
        <f>604695</f>
        <v>604695</v>
      </c>
      <c r="CV450" s="8">
        <f>0</f>
        <v>0</v>
      </c>
      <c r="CX450" s="8">
        <f>0</f>
        <v>0</v>
      </c>
      <c r="CY450" s="8">
        <f>604695</f>
        <v>604695</v>
      </c>
      <c r="DA450" s="5" t="s">
        <v>389</v>
      </c>
      <c r="DB450" s="5" t="s">
        <v>238</v>
      </c>
      <c r="DD450" s="5" t="s">
        <v>356</v>
      </c>
      <c r="DE450" s="8">
        <f>0</f>
        <v>0</v>
      </c>
      <c r="DG450" s="5" t="s">
        <v>389</v>
      </c>
      <c r="DH450" s="5" t="s">
        <v>238</v>
      </c>
      <c r="DI450" s="5" t="s">
        <v>238</v>
      </c>
      <c r="DJ450" s="5" t="s">
        <v>238</v>
      </c>
      <c r="DN450" s="5" t="s">
        <v>238</v>
      </c>
      <c r="DO450" s="5" t="s">
        <v>238</v>
      </c>
      <c r="DP450" s="5" t="s">
        <v>238</v>
      </c>
      <c r="DQ450" s="5" t="s">
        <v>238</v>
      </c>
      <c r="DT450" s="5" t="s">
        <v>5886</v>
      </c>
      <c r="DU450" s="5" t="s">
        <v>1370</v>
      </c>
      <c r="HM450" s="5" t="s">
        <v>264</v>
      </c>
    </row>
    <row r="451" spans="1:221" x14ac:dyDescent="0.4">
      <c r="A451" s="5">
        <v>1186</v>
      </c>
      <c r="B451" s="5">
        <v>1</v>
      </c>
      <c r="C451" s="5">
        <v>1</v>
      </c>
      <c r="D451" s="5" t="s">
        <v>5884</v>
      </c>
      <c r="E451" s="5" t="s">
        <v>3336</v>
      </c>
      <c r="F451" s="5" t="s">
        <v>248</v>
      </c>
      <c r="G451" s="5" t="s">
        <v>5883</v>
      </c>
      <c r="H451" s="6" t="s">
        <v>5893</v>
      </c>
      <c r="I451" s="7">
        <f>0.85</f>
        <v>0.85</v>
      </c>
      <c r="J451" s="5" t="s">
        <v>262</v>
      </c>
      <c r="K451" s="8">
        <f>3910</f>
        <v>3910</v>
      </c>
      <c r="L451" s="6" t="s">
        <v>242</v>
      </c>
      <c r="M451" s="5" t="s">
        <v>267</v>
      </c>
      <c r="N451" s="5" t="s">
        <v>237</v>
      </c>
      <c r="O451" s="5" t="s">
        <v>238</v>
      </c>
      <c r="P451" s="5" t="s">
        <v>238</v>
      </c>
      <c r="Q451" s="5" t="s">
        <v>239</v>
      </c>
      <c r="R451" s="5" t="s">
        <v>270</v>
      </c>
      <c r="S451" s="5" t="s">
        <v>238</v>
      </c>
      <c r="V451" s="5" t="s">
        <v>238</v>
      </c>
      <c r="X451" s="6" t="s">
        <v>238</v>
      </c>
      <c r="AA451" s="6" t="s">
        <v>243</v>
      </c>
      <c r="AB451" s="5" t="s">
        <v>238</v>
      </c>
      <c r="AC451" s="5" t="s">
        <v>244</v>
      </c>
      <c r="AD451" s="5" t="s">
        <v>245</v>
      </c>
      <c r="AT451" s="5" t="s">
        <v>246</v>
      </c>
      <c r="AU451" s="5" t="s">
        <v>238</v>
      </c>
      <c r="AV451" s="5" t="s">
        <v>247</v>
      </c>
      <c r="AW451" s="5" t="s">
        <v>238</v>
      </c>
      <c r="AX451" s="5" t="s">
        <v>249</v>
      </c>
      <c r="AY451" s="5" t="s">
        <v>238</v>
      </c>
      <c r="BA451" s="5" t="s">
        <v>238</v>
      </c>
      <c r="BC451" s="5" t="s">
        <v>250</v>
      </c>
      <c r="BD451" s="6" t="s">
        <v>243</v>
      </c>
      <c r="BE451" s="5" t="s">
        <v>251</v>
      </c>
      <c r="BF451" s="5" t="s">
        <v>252</v>
      </c>
      <c r="BG451" s="5" t="s">
        <v>238</v>
      </c>
      <c r="BH451" s="7">
        <f>0</f>
        <v>0</v>
      </c>
      <c r="BI451" s="8">
        <f>0</f>
        <v>0</v>
      </c>
      <c r="BJ451" s="5" t="s">
        <v>253</v>
      </c>
      <c r="BK451" s="5" t="s">
        <v>254</v>
      </c>
      <c r="BY451" s="5" t="s">
        <v>238</v>
      </c>
      <c r="BZ451" s="5" t="s">
        <v>238</v>
      </c>
      <c r="CD451" s="5" t="s">
        <v>255</v>
      </c>
      <c r="CE451" s="5" t="s">
        <v>256</v>
      </c>
      <c r="CF451" s="5" t="s">
        <v>238</v>
      </c>
      <c r="CI451" s="6" t="s">
        <v>257</v>
      </c>
      <c r="CJ451" s="5" t="s">
        <v>238</v>
      </c>
      <c r="CK451" s="5" t="s">
        <v>258</v>
      </c>
      <c r="CL451" s="5" t="s">
        <v>238</v>
      </c>
      <c r="CM451" s="5" t="s">
        <v>238</v>
      </c>
      <c r="CN451" s="5">
        <v>0</v>
      </c>
      <c r="CO451" s="5" t="s">
        <v>259</v>
      </c>
      <c r="CP451" s="5" t="s">
        <v>260</v>
      </c>
      <c r="CQ451" s="5" t="s">
        <v>260</v>
      </c>
      <c r="CR451" s="5" t="s">
        <v>261</v>
      </c>
      <c r="CU451" s="8">
        <f>3910</f>
        <v>3910</v>
      </c>
      <c r="CV451" s="8">
        <f>0</f>
        <v>0</v>
      </c>
      <c r="CX451" s="8">
        <f>0</f>
        <v>0</v>
      </c>
      <c r="CY451" s="8">
        <f>3910</f>
        <v>3910</v>
      </c>
      <c r="DA451" s="5" t="s">
        <v>263</v>
      </c>
      <c r="DB451" s="5" t="s">
        <v>238</v>
      </c>
      <c r="DD451" s="5" t="s">
        <v>356</v>
      </c>
      <c r="DE451" s="8">
        <f>0</f>
        <v>0</v>
      </c>
      <c r="DG451" s="5" t="s">
        <v>263</v>
      </c>
      <c r="DH451" s="5" t="s">
        <v>238</v>
      </c>
      <c r="DI451" s="5" t="s">
        <v>238</v>
      </c>
      <c r="DJ451" s="5" t="s">
        <v>238</v>
      </c>
      <c r="DN451" s="5" t="s">
        <v>238</v>
      </c>
      <c r="DO451" s="5" t="s">
        <v>238</v>
      </c>
      <c r="DP451" s="5" t="s">
        <v>238</v>
      </c>
      <c r="DQ451" s="5" t="s">
        <v>238</v>
      </c>
      <c r="DT451" s="5" t="s">
        <v>5886</v>
      </c>
      <c r="DU451" s="5" t="s">
        <v>1364</v>
      </c>
      <c r="HM451" s="5" t="s">
        <v>264</v>
      </c>
    </row>
    <row r="452" spans="1:221" x14ac:dyDescent="0.4">
      <c r="A452" s="5">
        <v>1187</v>
      </c>
      <c r="B452" s="5">
        <v>1</v>
      </c>
      <c r="C452" s="5">
        <v>1</v>
      </c>
      <c r="D452" s="5" t="s">
        <v>5884</v>
      </c>
      <c r="E452" s="5" t="s">
        <v>3336</v>
      </c>
      <c r="F452" s="5" t="s">
        <v>248</v>
      </c>
      <c r="G452" s="5" t="s">
        <v>5883</v>
      </c>
      <c r="H452" s="6" t="s">
        <v>5894</v>
      </c>
      <c r="I452" s="7">
        <f>146.29</f>
        <v>146.29</v>
      </c>
      <c r="J452" s="5" t="s">
        <v>262</v>
      </c>
      <c r="K452" s="8">
        <f>672934</f>
        <v>672934</v>
      </c>
      <c r="L452" s="6" t="s">
        <v>242</v>
      </c>
      <c r="M452" s="5" t="s">
        <v>267</v>
      </c>
      <c r="N452" s="5" t="s">
        <v>237</v>
      </c>
      <c r="O452" s="5" t="s">
        <v>238</v>
      </c>
      <c r="P452" s="5" t="s">
        <v>238</v>
      </c>
      <c r="Q452" s="5" t="s">
        <v>239</v>
      </c>
      <c r="R452" s="5" t="s">
        <v>270</v>
      </c>
      <c r="S452" s="5" t="s">
        <v>238</v>
      </c>
      <c r="V452" s="5" t="s">
        <v>238</v>
      </c>
      <c r="X452" s="6" t="s">
        <v>238</v>
      </c>
      <c r="AA452" s="6" t="s">
        <v>243</v>
      </c>
      <c r="AB452" s="5" t="s">
        <v>238</v>
      </c>
      <c r="AC452" s="5" t="s">
        <v>244</v>
      </c>
      <c r="AD452" s="5" t="s">
        <v>245</v>
      </c>
      <c r="AT452" s="5" t="s">
        <v>246</v>
      </c>
      <c r="AU452" s="5" t="s">
        <v>238</v>
      </c>
      <c r="AV452" s="5" t="s">
        <v>247</v>
      </c>
      <c r="AW452" s="5" t="s">
        <v>238</v>
      </c>
      <c r="AX452" s="5" t="s">
        <v>249</v>
      </c>
      <c r="AY452" s="5" t="s">
        <v>238</v>
      </c>
      <c r="BA452" s="5" t="s">
        <v>238</v>
      </c>
      <c r="BC452" s="5" t="s">
        <v>250</v>
      </c>
      <c r="BD452" s="6" t="s">
        <v>243</v>
      </c>
      <c r="BE452" s="5" t="s">
        <v>251</v>
      </c>
      <c r="BF452" s="5" t="s">
        <v>252</v>
      </c>
      <c r="BG452" s="5" t="s">
        <v>238</v>
      </c>
      <c r="BH452" s="7">
        <f>0</f>
        <v>0</v>
      </c>
      <c r="BI452" s="8">
        <f>0</f>
        <v>0</v>
      </c>
      <c r="BJ452" s="5" t="s">
        <v>253</v>
      </c>
      <c r="BK452" s="5" t="s">
        <v>254</v>
      </c>
      <c r="BY452" s="5" t="s">
        <v>238</v>
      </c>
      <c r="BZ452" s="5" t="s">
        <v>238</v>
      </c>
      <c r="CD452" s="5" t="s">
        <v>255</v>
      </c>
      <c r="CE452" s="5" t="s">
        <v>256</v>
      </c>
      <c r="CF452" s="5" t="s">
        <v>238</v>
      </c>
      <c r="CI452" s="6" t="s">
        <v>257</v>
      </c>
      <c r="CJ452" s="5" t="s">
        <v>238</v>
      </c>
      <c r="CK452" s="5" t="s">
        <v>258</v>
      </c>
      <c r="CL452" s="5" t="s">
        <v>238</v>
      </c>
      <c r="CM452" s="5" t="s">
        <v>238</v>
      </c>
      <c r="CN452" s="5">
        <v>0</v>
      </c>
      <c r="CO452" s="5" t="s">
        <v>259</v>
      </c>
      <c r="CP452" s="5" t="s">
        <v>260</v>
      </c>
      <c r="CQ452" s="5" t="s">
        <v>260</v>
      </c>
      <c r="CR452" s="5" t="s">
        <v>261</v>
      </c>
      <c r="CU452" s="8">
        <f>672934</f>
        <v>672934</v>
      </c>
      <c r="CV452" s="8">
        <f>0</f>
        <v>0</v>
      </c>
      <c r="CX452" s="8">
        <f>0</f>
        <v>0</v>
      </c>
      <c r="CY452" s="8">
        <f>672934</f>
        <v>672934</v>
      </c>
      <c r="DA452" s="5" t="s">
        <v>263</v>
      </c>
      <c r="DB452" s="5" t="s">
        <v>238</v>
      </c>
      <c r="DD452" s="5" t="s">
        <v>356</v>
      </c>
      <c r="DE452" s="8">
        <f>0</f>
        <v>0</v>
      </c>
      <c r="DG452" s="5" t="s">
        <v>263</v>
      </c>
      <c r="DH452" s="5" t="s">
        <v>238</v>
      </c>
      <c r="DI452" s="5" t="s">
        <v>238</v>
      </c>
      <c r="DJ452" s="5" t="s">
        <v>238</v>
      </c>
      <c r="DN452" s="5" t="s">
        <v>238</v>
      </c>
      <c r="DO452" s="5" t="s">
        <v>238</v>
      </c>
      <c r="DP452" s="5" t="s">
        <v>238</v>
      </c>
      <c r="DQ452" s="5" t="s">
        <v>238</v>
      </c>
      <c r="DT452" s="5" t="s">
        <v>5886</v>
      </c>
      <c r="DU452" s="5" t="s">
        <v>1360</v>
      </c>
      <c r="HM452" s="5" t="s">
        <v>264</v>
      </c>
    </row>
    <row r="453" spans="1:221" x14ac:dyDescent="0.4">
      <c r="A453" s="5">
        <v>1188</v>
      </c>
      <c r="B453" s="5">
        <v>1</v>
      </c>
      <c r="C453" s="5">
        <v>1</v>
      </c>
      <c r="D453" s="5" t="s">
        <v>5880</v>
      </c>
      <c r="E453" s="5" t="s">
        <v>475</v>
      </c>
      <c r="F453" s="5" t="s">
        <v>248</v>
      </c>
      <c r="G453" s="5" t="s">
        <v>5879</v>
      </c>
      <c r="H453" s="6" t="s">
        <v>5881</v>
      </c>
      <c r="I453" s="7">
        <f>468.25</f>
        <v>468.25</v>
      </c>
      <c r="J453" s="5" t="s">
        <v>262</v>
      </c>
      <c r="K453" s="8">
        <f>1305766</f>
        <v>1305766</v>
      </c>
      <c r="L453" s="6" t="s">
        <v>4412</v>
      </c>
      <c r="M453" s="5" t="s">
        <v>267</v>
      </c>
      <c r="N453" s="5" t="s">
        <v>237</v>
      </c>
      <c r="O453" s="5" t="s">
        <v>238</v>
      </c>
      <c r="P453" s="5" t="s">
        <v>238</v>
      </c>
      <c r="Q453" s="5" t="s">
        <v>239</v>
      </c>
      <c r="R453" s="5" t="s">
        <v>270</v>
      </c>
      <c r="S453" s="5" t="s">
        <v>238</v>
      </c>
      <c r="V453" s="5" t="s">
        <v>238</v>
      </c>
      <c r="X453" s="6" t="s">
        <v>238</v>
      </c>
      <c r="AA453" s="6" t="s">
        <v>243</v>
      </c>
      <c r="AB453" s="5" t="s">
        <v>238</v>
      </c>
      <c r="AC453" s="5" t="s">
        <v>244</v>
      </c>
      <c r="AD453" s="5" t="s">
        <v>245</v>
      </c>
      <c r="AT453" s="5" t="s">
        <v>246</v>
      </c>
      <c r="AU453" s="5" t="s">
        <v>238</v>
      </c>
      <c r="AV453" s="5" t="s">
        <v>247</v>
      </c>
      <c r="AW453" s="5" t="s">
        <v>238</v>
      </c>
      <c r="AX453" s="5" t="s">
        <v>249</v>
      </c>
      <c r="AY453" s="5" t="s">
        <v>238</v>
      </c>
      <c r="BA453" s="5" t="s">
        <v>4547</v>
      </c>
      <c r="BC453" s="5" t="s">
        <v>250</v>
      </c>
      <c r="BD453" s="6" t="s">
        <v>243</v>
      </c>
      <c r="BE453" s="5" t="s">
        <v>251</v>
      </c>
      <c r="BF453" s="5" t="s">
        <v>252</v>
      </c>
      <c r="BG453" s="5" t="s">
        <v>238</v>
      </c>
      <c r="BH453" s="7">
        <f>0</f>
        <v>0</v>
      </c>
      <c r="BI453" s="8">
        <f>0</f>
        <v>0</v>
      </c>
      <c r="BJ453" s="5" t="s">
        <v>253</v>
      </c>
      <c r="BK453" s="5" t="s">
        <v>254</v>
      </c>
      <c r="BY453" s="5" t="s">
        <v>238</v>
      </c>
      <c r="BZ453" s="5" t="s">
        <v>238</v>
      </c>
      <c r="CD453" s="5" t="s">
        <v>293</v>
      </c>
      <c r="CE453" s="5" t="s">
        <v>256</v>
      </c>
      <c r="CF453" s="5" t="s">
        <v>238</v>
      </c>
      <c r="CI453" s="6" t="s">
        <v>257</v>
      </c>
      <c r="CJ453" s="5" t="s">
        <v>238</v>
      </c>
      <c r="CK453" s="5" t="s">
        <v>258</v>
      </c>
      <c r="CL453" s="5" t="s">
        <v>238</v>
      </c>
      <c r="CM453" s="5" t="s">
        <v>238</v>
      </c>
      <c r="CN453" s="5">
        <v>0</v>
      </c>
      <c r="CO453" s="5" t="s">
        <v>259</v>
      </c>
      <c r="CP453" s="5" t="s">
        <v>260</v>
      </c>
      <c r="CQ453" s="5" t="s">
        <v>260</v>
      </c>
      <c r="CR453" s="5" t="s">
        <v>261</v>
      </c>
      <c r="CU453" s="8">
        <f>1305766</f>
        <v>1305766</v>
      </c>
      <c r="CV453" s="8">
        <f>0</f>
        <v>0</v>
      </c>
      <c r="CX453" s="8">
        <f>0</f>
        <v>0</v>
      </c>
      <c r="CY453" s="8">
        <f>1305766</f>
        <v>1305766</v>
      </c>
      <c r="DA453" s="5" t="s">
        <v>2032</v>
      </c>
      <c r="DB453" s="5" t="s">
        <v>238</v>
      </c>
      <c r="DD453" s="5" t="s">
        <v>2032</v>
      </c>
      <c r="DE453" s="8">
        <f>468</f>
        <v>468</v>
      </c>
      <c r="DG453" s="5" t="s">
        <v>389</v>
      </c>
      <c r="DH453" s="5" t="s">
        <v>238</v>
      </c>
      <c r="DI453" s="5" t="s">
        <v>238</v>
      </c>
      <c r="DJ453" s="5" t="s">
        <v>238</v>
      </c>
      <c r="DN453" s="5" t="s">
        <v>238</v>
      </c>
      <c r="DO453" s="5" t="s">
        <v>238</v>
      </c>
      <c r="DP453" s="5" t="s">
        <v>238</v>
      </c>
      <c r="DQ453" s="5" t="s">
        <v>238</v>
      </c>
      <c r="DT453" s="5" t="s">
        <v>5882</v>
      </c>
      <c r="DU453" s="5" t="s">
        <v>264</v>
      </c>
      <c r="HM453" s="5" t="s">
        <v>264</v>
      </c>
    </row>
    <row r="454" spans="1:221" x14ac:dyDescent="0.4">
      <c r="A454" s="5">
        <v>1189</v>
      </c>
      <c r="B454" s="5">
        <v>1</v>
      </c>
      <c r="C454" s="5">
        <v>1</v>
      </c>
      <c r="D454" s="5" t="s">
        <v>5153</v>
      </c>
      <c r="E454" s="5" t="s">
        <v>475</v>
      </c>
      <c r="F454" s="5" t="s">
        <v>248</v>
      </c>
      <c r="G454" s="5" t="s">
        <v>5152</v>
      </c>
      <c r="H454" s="6" t="s">
        <v>5154</v>
      </c>
      <c r="I454" s="7">
        <f>1215.13</f>
        <v>1215.1300000000001</v>
      </c>
      <c r="J454" s="5" t="s">
        <v>262</v>
      </c>
      <c r="K454" s="8">
        <f>3477774</f>
        <v>3477774</v>
      </c>
      <c r="L454" s="6" t="s">
        <v>4412</v>
      </c>
      <c r="M454" s="5" t="s">
        <v>267</v>
      </c>
      <c r="N454" s="5" t="s">
        <v>237</v>
      </c>
      <c r="O454" s="5" t="s">
        <v>238</v>
      </c>
      <c r="P454" s="5" t="s">
        <v>238</v>
      </c>
      <c r="Q454" s="5" t="s">
        <v>239</v>
      </c>
      <c r="R454" s="5" t="s">
        <v>270</v>
      </c>
      <c r="S454" s="5" t="s">
        <v>238</v>
      </c>
      <c r="V454" s="5" t="s">
        <v>238</v>
      </c>
      <c r="X454" s="6" t="s">
        <v>238</v>
      </c>
      <c r="AA454" s="6" t="s">
        <v>243</v>
      </c>
      <c r="AB454" s="5" t="s">
        <v>238</v>
      </c>
      <c r="AC454" s="5" t="s">
        <v>244</v>
      </c>
      <c r="AD454" s="5" t="s">
        <v>245</v>
      </c>
      <c r="AT454" s="5" t="s">
        <v>246</v>
      </c>
      <c r="AU454" s="5" t="s">
        <v>238</v>
      </c>
      <c r="AV454" s="5" t="s">
        <v>247</v>
      </c>
      <c r="AW454" s="5" t="s">
        <v>238</v>
      </c>
      <c r="AX454" s="5" t="s">
        <v>249</v>
      </c>
      <c r="AY454" s="5" t="s">
        <v>238</v>
      </c>
      <c r="BA454" s="5" t="s">
        <v>4547</v>
      </c>
      <c r="BC454" s="5" t="s">
        <v>250</v>
      </c>
      <c r="BD454" s="6" t="s">
        <v>243</v>
      </c>
      <c r="BE454" s="5" t="s">
        <v>251</v>
      </c>
      <c r="BF454" s="5" t="s">
        <v>252</v>
      </c>
      <c r="BG454" s="5" t="s">
        <v>238</v>
      </c>
      <c r="BH454" s="7">
        <f>0</f>
        <v>0</v>
      </c>
      <c r="BI454" s="8">
        <f>0</f>
        <v>0</v>
      </c>
      <c r="BJ454" s="5" t="s">
        <v>253</v>
      </c>
      <c r="BK454" s="5" t="s">
        <v>254</v>
      </c>
      <c r="BY454" s="5" t="s">
        <v>238</v>
      </c>
      <c r="BZ454" s="5" t="s">
        <v>238</v>
      </c>
      <c r="CD454" s="5" t="s">
        <v>293</v>
      </c>
      <c r="CE454" s="5" t="s">
        <v>256</v>
      </c>
      <c r="CF454" s="5" t="s">
        <v>238</v>
      </c>
      <c r="CI454" s="6" t="s">
        <v>257</v>
      </c>
      <c r="CJ454" s="5" t="s">
        <v>238</v>
      </c>
      <c r="CK454" s="5" t="s">
        <v>258</v>
      </c>
      <c r="CL454" s="5" t="s">
        <v>238</v>
      </c>
      <c r="CM454" s="5" t="s">
        <v>238</v>
      </c>
      <c r="CN454" s="5">
        <v>0</v>
      </c>
      <c r="CO454" s="5" t="s">
        <v>259</v>
      </c>
      <c r="CP454" s="5" t="s">
        <v>260</v>
      </c>
      <c r="CQ454" s="5" t="s">
        <v>260</v>
      </c>
      <c r="CR454" s="5" t="s">
        <v>261</v>
      </c>
      <c r="CU454" s="8">
        <f>3477774</f>
        <v>3477774</v>
      </c>
      <c r="CV454" s="8">
        <f>0</f>
        <v>0</v>
      </c>
      <c r="CX454" s="8">
        <f>0</f>
        <v>0</v>
      </c>
      <c r="CY454" s="8">
        <f>3477774</f>
        <v>3477774</v>
      </c>
      <c r="DA454" s="5" t="s">
        <v>2032</v>
      </c>
      <c r="DB454" s="5" t="s">
        <v>238</v>
      </c>
      <c r="DD454" s="5" t="s">
        <v>2032</v>
      </c>
      <c r="DE454" s="8">
        <f>1210.73</f>
        <v>1210.73</v>
      </c>
      <c r="DF454" s="6" t="s">
        <v>4412</v>
      </c>
      <c r="DG454" s="5" t="s">
        <v>389</v>
      </c>
      <c r="DH454" s="5" t="s">
        <v>238</v>
      </c>
      <c r="DI454" s="5" t="s">
        <v>238</v>
      </c>
      <c r="DJ454" s="5" t="s">
        <v>238</v>
      </c>
      <c r="DN454" s="5" t="s">
        <v>238</v>
      </c>
      <c r="DO454" s="5" t="s">
        <v>238</v>
      </c>
      <c r="DP454" s="5" t="s">
        <v>238</v>
      </c>
      <c r="DQ454" s="5" t="s">
        <v>238</v>
      </c>
      <c r="DT454" s="5" t="s">
        <v>5155</v>
      </c>
      <c r="DU454" s="5" t="s">
        <v>264</v>
      </c>
      <c r="HM454" s="5" t="s">
        <v>264</v>
      </c>
    </row>
    <row r="455" spans="1:221" x14ac:dyDescent="0.4">
      <c r="A455" s="5">
        <v>1190</v>
      </c>
      <c r="B455" s="5">
        <v>1</v>
      </c>
      <c r="C455" s="5">
        <v>1</v>
      </c>
      <c r="D455" s="5" t="s">
        <v>5874</v>
      </c>
      <c r="E455" s="5" t="s">
        <v>475</v>
      </c>
      <c r="F455" s="5" t="s">
        <v>248</v>
      </c>
      <c r="G455" s="5" t="s">
        <v>5873</v>
      </c>
      <c r="H455" s="6" t="s">
        <v>5877</v>
      </c>
      <c r="I455" s="7">
        <f>375.76</f>
        <v>375.76</v>
      </c>
      <c r="J455" s="5" t="s">
        <v>262</v>
      </c>
      <c r="K455" s="8">
        <f>6538224</f>
        <v>6538224</v>
      </c>
      <c r="L455" s="6" t="s">
        <v>5875</v>
      </c>
      <c r="M455" s="5" t="s">
        <v>267</v>
      </c>
      <c r="N455" s="5" t="s">
        <v>237</v>
      </c>
      <c r="O455" s="5" t="s">
        <v>238</v>
      </c>
      <c r="P455" s="5" t="s">
        <v>238</v>
      </c>
      <c r="Q455" s="5" t="s">
        <v>239</v>
      </c>
      <c r="R455" s="5" t="s">
        <v>270</v>
      </c>
      <c r="S455" s="5" t="s">
        <v>238</v>
      </c>
      <c r="V455" s="5" t="s">
        <v>238</v>
      </c>
      <c r="X455" s="6" t="s">
        <v>238</v>
      </c>
      <c r="AA455" s="6" t="s">
        <v>243</v>
      </c>
      <c r="AB455" s="5" t="s">
        <v>5876</v>
      </c>
      <c r="AC455" s="5" t="s">
        <v>244</v>
      </c>
      <c r="AD455" s="5" t="s">
        <v>245</v>
      </c>
      <c r="AT455" s="5" t="s">
        <v>246</v>
      </c>
      <c r="AU455" s="5" t="s">
        <v>238</v>
      </c>
      <c r="AV455" s="5" t="s">
        <v>247</v>
      </c>
      <c r="AW455" s="5" t="s">
        <v>238</v>
      </c>
      <c r="AX455" s="5" t="s">
        <v>249</v>
      </c>
      <c r="AY455" s="5" t="s">
        <v>238</v>
      </c>
      <c r="BA455" s="5" t="s">
        <v>4547</v>
      </c>
      <c r="BC455" s="5" t="s">
        <v>250</v>
      </c>
      <c r="BD455" s="6" t="s">
        <v>243</v>
      </c>
      <c r="BE455" s="5" t="s">
        <v>251</v>
      </c>
      <c r="BF455" s="5" t="s">
        <v>252</v>
      </c>
      <c r="BG455" s="5" t="s">
        <v>238</v>
      </c>
      <c r="BH455" s="7">
        <f>0</f>
        <v>0</v>
      </c>
      <c r="BI455" s="8">
        <f>0</f>
        <v>0</v>
      </c>
      <c r="BJ455" s="5" t="s">
        <v>253</v>
      </c>
      <c r="BK455" s="5" t="s">
        <v>254</v>
      </c>
      <c r="BY455" s="5" t="s">
        <v>238</v>
      </c>
      <c r="BZ455" s="5" t="s">
        <v>238</v>
      </c>
      <c r="CD455" s="5" t="s">
        <v>293</v>
      </c>
      <c r="CE455" s="5" t="s">
        <v>256</v>
      </c>
      <c r="CF455" s="5" t="s">
        <v>238</v>
      </c>
      <c r="CI455" s="6" t="s">
        <v>257</v>
      </c>
      <c r="CJ455" s="5" t="s">
        <v>238</v>
      </c>
      <c r="CK455" s="5" t="s">
        <v>258</v>
      </c>
      <c r="CL455" s="5" t="s">
        <v>238</v>
      </c>
      <c r="CM455" s="5" t="s">
        <v>238</v>
      </c>
      <c r="CN455" s="5">
        <v>0</v>
      </c>
      <c r="CO455" s="5" t="s">
        <v>259</v>
      </c>
      <c r="CP455" s="5" t="s">
        <v>260</v>
      </c>
      <c r="CQ455" s="5" t="s">
        <v>260</v>
      </c>
      <c r="CR455" s="5" t="s">
        <v>261</v>
      </c>
      <c r="CU455" s="8">
        <f>6538224</f>
        <v>6538224</v>
      </c>
      <c r="CV455" s="8">
        <f>0</f>
        <v>0</v>
      </c>
      <c r="CX455" s="8">
        <f>0</f>
        <v>0</v>
      </c>
      <c r="CY455" s="8">
        <f>6538224</f>
        <v>6538224</v>
      </c>
      <c r="DA455" s="5" t="s">
        <v>263</v>
      </c>
      <c r="DB455" s="5" t="s">
        <v>238</v>
      </c>
      <c r="DD455" s="5" t="s">
        <v>263</v>
      </c>
      <c r="DE455" s="8">
        <f>375.76</f>
        <v>375.76</v>
      </c>
      <c r="DF455" s="6" t="s">
        <v>4412</v>
      </c>
      <c r="DG455" s="5" t="s">
        <v>263</v>
      </c>
      <c r="DH455" s="5" t="s">
        <v>238</v>
      </c>
      <c r="DI455" s="5" t="s">
        <v>238</v>
      </c>
      <c r="DJ455" s="5" t="s">
        <v>238</v>
      </c>
      <c r="DN455" s="5" t="s">
        <v>238</v>
      </c>
      <c r="DO455" s="5" t="s">
        <v>238</v>
      </c>
      <c r="DP455" s="5" t="s">
        <v>238</v>
      </c>
      <c r="DQ455" s="5" t="s">
        <v>238</v>
      </c>
      <c r="DT455" s="5" t="s">
        <v>5878</v>
      </c>
      <c r="DU455" s="5" t="s">
        <v>264</v>
      </c>
      <c r="HM455" s="5" t="s">
        <v>264</v>
      </c>
    </row>
    <row r="456" spans="1:221" x14ac:dyDescent="0.4">
      <c r="A456" s="5">
        <v>1191</v>
      </c>
      <c r="B456" s="5">
        <v>1</v>
      </c>
      <c r="C456" s="5">
        <v>1</v>
      </c>
      <c r="D456" s="5" t="s">
        <v>5869</v>
      </c>
      <c r="E456" s="5" t="s">
        <v>241</v>
      </c>
      <c r="F456" s="5" t="s">
        <v>248</v>
      </c>
      <c r="G456" s="5" t="s">
        <v>5868</v>
      </c>
      <c r="H456" s="6" t="s">
        <v>5870</v>
      </c>
      <c r="I456" s="7">
        <f>1114</f>
        <v>1114</v>
      </c>
      <c r="J456" s="5" t="s">
        <v>262</v>
      </c>
      <c r="K456" s="8">
        <f>2467510</f>
        <v>2467510</v>
      </c>
      <c r="L456" s="6" t="s">
        <v>242</v>
      </c>
      <c r="M456" s="5" t="s">
        <v>267</v>
      </c>
      <c r="N456" s="5" t="s">
        <v>237</v>
      </c>
      <c r="O456" s="5" t="s">
        <v>238</v>
      </c>
      <c r="P456" s="5" t="s">
        <v>238</v>
      </c>
      <c r="Q456" s="5" t="s">
        <v>239</v>
      </c>
      <c r="R456" s="5" t="s">
        <v>270</v>
      </c>
      <c r="S456" s="5" t="s">
        <v>238</v>
      </c>
      <c r="V456" s="5" t="s">
        <v>238</v>
      </c>
      <c r="X456" s="6" t="s">
        <v>238</v>
      </c>
      <c r="AA456" s="6" t="s">
        <v>243</v>
      </c>
      <c r="AB456" s="5" t="s">
        <v>238</v>
      </c>
      <c r="AC456" s="5" t="s">
        <v>244</v>
      </c>
      <c r="AD456" s="5" t="s">
        <v>245</v>
      </c>
      <c r="AT456" s="5" t="s">
        <v>246</v>
      </c>
      <c r="AU456" s="5" t="s">
        <v>238</v>
      </c>
      <c r="AV456" s="5" t="s">
        <v>247</v>
      </c>
      <c r="AW456" s="5" t="s">
        <v>238</v>
      </c>
      <c r="AX456" s="5" t="s">
        <v>249</v>
      </c>
      <c r="AY456" s="5" t="s">
        <v>238</v>
      </c>
      <c r="BA456" s="5" t="s">
        <v>4547</v>
      </c>
      <c r="BC456" s="5" t="s">
        <v>250</v>
      </c>
      <c r="BD456" s="6" t="s">
        <v>243</v>
      </c>
      <c r="BE456" s="5" t="s">
        <v>251</v>
      </c>
      <c r="BF456" s="5" t="s">
        <v>252</v>
      </c>
      <c r="BG456" s="5" t="s">
        <v>238</v>
      </c>
      <c r="BH456" s="7">
        <f>0</f>
        <v>0</v>
      </c>
      <c r="BI456" s="8">
        <f>0</f>
        <v>0</v>
      </c>
      <c r="BJ456" s="5" t="s">
        <v>253</v>
      </c>
      <c r="BK456" s="5" t="s">
        <v>254</v>
      </c>
      <c r="BY456" s="5" t="s">
        <v>238</v>
      </c>
      <c r="BZ456" s="5" t="s">
        <v>238</v>
      </c>
      <c r="CD456" s="5" t="s">
        <v>255</v>
      </c>
      <c r="CE456" s="5" t="s">
        <v>256</v>
      </c>
      <c r="CF456" s="5" t="s">
        <v>238</v>
      </c>
      <c r="CI456" s="6" t="s">
        <v>257</v>
      </c>
      <c r="CJ456" s="5" t="s">
        <v>238</v>
      </c>
      <c r="CK456" s="5" t="s">
        <v>258</v>
      </c>
      <c r="CL456" s="5" t="s">
        <v>238</v>
      </c>
      <c r="CM456" s="5" t="s">
        <v>238</v>
      </c>
      <c r="CN456" s="5">
        <v>0</v>
      </c>
      <c r="CO456" s="5" t="s">
        <v>259</v>
      </c>
      <c r="CP456" s="5" t="s">
        <v>260</v>
      </c>
      <c r="CQ456" s="5" t="s">
        <v>260</v>
      </c>
      <c r="CR456" s="5" t="s">
        <v>261</v>
      </c>
      <c r="CU456" s="8">
        <f>2467510</f>
        <v>2467510</v>
      </c>
      <c r="CV456" s="8">
        <f>0</f>
        <v>0</v>
      </c>
      <c r="CX456" s="8">
        <f>0</f>
        <v>0</v>
      </c>
      <c r="CY456" s="8">
        <f>2467510</f>
        <v>2467510</v>
      </c>
      <c r="DA456" s="5" t="s">
        <v>2032</v>
      </c>
      <c r="DB456" s="5" t="s">
        <v>238</v>
      </c>
      <c r="DD456" s="5" t="s">
        <v>2032</v>
      </c>
      <c r="DE456" s="8">
        <f>0</f>
        <v>0</v>
      </c>
      <c r="DF456" s="6" t="s">
        <v>5871</v>
      </c>
      <c r="DG456" s="5" t="s">
        <v>389</v>
      </c>
      <c r="DH456" s="5" t="s">
        <v>238</v>
      </c>
      <c r="DI456" s="5" t="s">
        <v>238</v>
      </c>
      <c r="DJ456" s="5" t="s">
        <v>238</v>
      </c>
      <c r="DN456" s="5" t="s">
        <v>238</v>
      </c>
      <c r="DO456" s="5" t="s">
        <v>238</v>
      </c>
      <c r="DP456" s="5" t="s">
        <v>238</v>
      </c>
      <c r="DQ456" s="5" t="s">
        <v>238</v>
      </c>
      <c r="DT456" s="5" t="s">
        <v>5872</v>
      </c>
      <c r="DU456" s="5" t="s">
        <v>264</v>
      </c>
      <c r="HM456" s="5" t="s">
        <v>264</v>
      </c>
    </row>
    <row r="457" spans="1:221" x14ac:dyDescent="0.4">
      <c r="A457" s="5">
        <v>1192</v>
      </c>
      <c r="B457" s="5">
        <v>1</v>
      </c>
      <c r="C457" s="5">
        <v>1</v>
      </c>
      <c r="D457" s="5" t="s">
        <v>5861</v>
      </c>
      <c r="E457" s="5" t="s">
        <v>241</v>
      </c>
      <c r="F457" s="5" t="s">
        <v>248</v>
      </c>
      <c r="G457" s="5" t="s">
        <v>5860</v>
      </c>
      <c r="H457" s="6" t="s">
        <v>5866</v>
      </c>
      <c r="I457" s="7">
        <f>101.26</f>
        <v>101.26</v>
      </c>
      <c r="J457" s="5" t="s">
        <v>262</v>
      </c>
      <c r="K457" s="8">
        <f>668316</f>
        <v>668316</v>
      </c>
      <c r="L457" s="6" t="s">
        <v>242</v>
      </c>
      <c r="M457" s="5" t="s">
        <v>267</v>
      </c>
      <c r="N457" s="5" t="s">
        <v>237</v>
      </c>
      <c r="O457" s="5" t="s">
        <v>238</v>
      </c>
      <c r="P457" s="5" t="s">
        <v>238</v>
      </c>
      <c r="Q457" s="5" t="s">
        <v>239</v>
      </c>
      <c r="R457" s="5" t="s">
        <v>270</v>
      </c>
      <c r="S457" s="5" t="s">
        <v>238</v>
      </c>
      <c r="V457" s="5" t="s">
        <v>238</v>
      </c>
      <c r="X457" s="6" t="s">
        <v>238</v>
      </c>
      <c r="AA457" s="6" t="s">
        <v>243</v>
      </c>
      <c r="AB457" s="5" t="s">
        <v>238</v>
      </c>
      <c r="AC457" s="5" t="s">
        <v>244</v>
      </c>
      <c r="AD457" s="5" t="s">
        <v>245</v>
      </c>
      <c r="AT457" s="5" t="s">
        <v>246</v>
      </c>
      <c r="AU457" s="5" t="s">
        <v>238</v>
      </c>
      <c r="AV457" s="5" t="s">
        <v>247</v>
      </c>
      <c r="AW457" s="5" t="s">
        <v>238</v>
      </c>
      <c r="AX457" s="5" t="s">
        <v>249</v>
      </c>
      <c r="AY457" s="5" t="s">
        <v>238</v>
      </c>
      <c r="BA457" s="5" t="s">
        <v>4547</v>
      </c>
      <c r="BC457" s="5" t="s">
        <v>250</v>
      </c>
      <c r="BD457" s="6" t="s">
        <v>243</v>
      </c>
      <c r="BE457" s="5" t="s">
        <v>251</v>
      </c>
      <c r="BF457" s="5" t="s">
        <v>252</v>
      </c>
      <c r="BG457" s="5" t="s">
        <v>238</v>
      </c>
      <c r="BH457" s="7">
        <f>0</f>
        <v>0</v>
      </c>
      <c r="BI457" s="8">
        <f>0</f>
        <v>0</v>
      </c>
      <c r="BJ457" s="5" t="s">
        <v>253</v>
      </c>
      <c r="BK457" s="5" t="s">
        <v>254</v>
      </c>
      <c r="BY457" s="5" t="s">
        <v>238</v>
      </c>
      <c r="BZ457" s="5" t="s">
        <v>238</v>
      </c>
      <c r="CD457" s="5" t="s">
        <v>255</v>
      </c>
      <c r="CE457" s="5" t="s">
        <v>256</v>
      </c>
      <c r="CF457" s="5" t="s">
        <v>238</v>
      </c>
      <c r="CI457" s="6" t="s">
        <v>257</v>
      </c>
      <c r="CJ457" s="5" t="s">
        <v>238</v>
      </c>
      <c r="CK457" s="5" t="s">
        <v>258</v>
      </c>
      <c r="CL457" s="5" t="s">
        <v>238</v>
      </c>
      <c r="CM457" s="5" t="s">
        <v>238</v>
      </c>
      <c r="CN457" s="5">
        <v>0</v>
      </c>
      <c r="CO457" s="5" t="s">
        <v>259</v>
      </c>
      <c r="CP457" s="5" t="s">
        <v>260</v>
      </c>
      <c r="CQ457" s="5" t="s">
        <v>260</v>
      </c>
      <c r="CR457" s="5" t="s">
        <v>261</v>
      </c>
      <c r="CU457" s="8">
        <f>668316</f>
        <v>668316</v>
      </c>
      <c r="CV457" s="8">
        <f>0</f>
        <v>0</v>
      </c>
      <c r="CX457" s="8">
        <f>0</f>
        <v>0</v>
      </c>
      <c r="CY457" s="8">
        <f>668316</f>
        <v>668316</v>
      </c>
      <c r="DA457" s="5" t="s">
        <v>263</v>
      </c>
      <c r="DB457" s="5" t="s">
        <v>238</v>
      </c>
      <c r="DD457" s="5" t="s">
        <v>263</v>
      </c>
      <c r="DE457" s="8">
        <f>0</f>
        <v>0</v>
      </c>
      <c r="DF457" s="6" t="s">
        <v>5867</v>
      </c>
      <c r="DG457" s="5" t="s">
        <v>263</v>
      </c>
      <c r="DH457" s="5" t="s">
        <v>238</v>
      </c>
      <c r="DI457" s="5" t="s">
        <v>238</v>
      </c>
      <c r="DJ457" s="5" t="s">
        <v>238</v>
      </c>
      <c r="DN457" s="5" t="s">
        <v>238</v>
      </c>
      <c r="DO457" s="5" t="s">
        <v>238</v>
      </c>
      <c r="DP457" s="5" t="s">
        <v>238</v>
      </c>
      <c r="DQ457" s="5" t="s">
        <v>238</v>
      </c>
      <c r="DT457" s="5" t="s">
        <v>5863</v>
      </c>
      <c r="DU457" s="5" t="s">
        <v>264</v>
      </c>
      <c r="HM457" s="5" t="s">
        <v>264</v>
      </c>
    </row>
    <row r="458" spans="1:221" x14ac:dyDescent="0.4">
      <c r="A458" s="5">
        <v>1193</v>
      </c>
      <c r="B458" s="5">
        <v>1</v>
      </c>
      <c r="C458" s="5">
        <v>1</v>
      </c>
      <c r="D458" s="5" t="s">
        <v>5861</v>
      </c>
      <c r="E458" s="5" t="s">
        <v>241</v>
      </c>
      <c r="F458" s="5" t="s">
        <v>248</v>
      </c>
      <c r="G458" s="5" t="s">
        <v>5860</v>
      </c>
      <c r="H458" s="6" t="s">
        <v>5862</v>
      </c>
      <c r="I458" s="7">
        <f>86.25</f>
        <v>86.25</v>
      </c>
      <c r="J458" s="5" t="s">
        <v>262</v>
      </c>
      <c r="K458" s="8">
        <f>569250</f>
        <v>569250</v>
      </c>
      <c r="L458" s="6" t="s">
        <v>242</v>
      </c>
      <c r="M458" s="5" t="s">
        <v>267</v>
      </c>
      <c r="N458" s="5" t="s">
        <v>237</v>
      </c>
      <c r="O458" s="5" t="s">
        <v>238</v>
      </c>
      <c r="P458" s="5" t="s">
        <v>238</v>
      </c>
      <c r="Q458" s="5" t="s">
        <v>239</v>
      </c>
      <c r="R458" s="5" t="s">
        <v>270</v>
      </c>
      <c r="S458" s="5" t="s">
        <v>238</v>
      </c>
      <c r="V458" s="5" t="s">
        <v>238</v>
      </c>
      <c r="X458" s="6" t="s">
        <v>238</v>
      </c>
      <c r="AA458" s="6" t="s">
        <v>243</v>
      </c>
      <c r="AB458" s="5" t="s">
        <v>238</v>
      </c>
      <c r="AC458" s="5" t="s">
        <v>244</v>
      </c>
      <c r="AD458" s="5" t="s">
        <v>245</v>
      </c>
      <c r="AT458" s="5" t="s">
        <v>246</v>
      </c>
      <c r="AU458" s="5" t="s">
        <v>238</v>
      </c>
      <c r="AV458" s="5" t="s">
        <v>247</v>
      </c>
      <c r="AW458" s="5" t="s">
        <v>238</v>
      </c>
      <c r="AX458" s="5" t="s">
        <v>249</v>
      </c>
      <c r="AY458" s="5" t="s">
        <v>238</v>
      </c>
      <c r="BA458" s="5" t="s">
        <v>238</v>
      </c>
      <c r="BC458" s="5" t="s">
        <v>250</v>
      </c>
      <c r="BD458" s="6" t="s">
        <v>243</v>
      </c>
      <c r="BE458" s="5" t="s">
        <v>251</v>
      </c>
      <c r="BF458" s="5" t="s">
        <v>252</v>
      </c>
      <c r="BG458" s="5" t="s">
        <v>238</v>
      </c>
      <c r="BH458" s="7">
        <f>0</f>
        <v>0</v>
      </c>
      <c r="BI458" s="8">
        <f>0</f>
        <v>0</v>
      </c>
      <c r="BJ458" s="5" t="s">
        <v>253</v>
      </c>
      <c r="BK458" s="5" t="s">
        <v>254</v>
      </c>
      <c r="BY458" s="5" t="s">
        <v>238</v>
      </c>
      <c r="BZ458" s="5" t="s">
        <v>238</v>
      </c>
      <c r="CD458" s="5" t="s">
        <v>255</v>
      </c>
      <c r="CE458" s="5" t="s">
        <v>256</v>
      </c>
      <c r="CF458" s="5" t="s">
        <v>238</v>
      </c>
      <c r="CI458" s="6" t="s">
        <v>257</v>
      </c>
      <c r="CJ458" s="5" t="s">
        <v>238</v>
      </c>
      <c r="CK458" s="5" t="s">
        <v>258</v>
      </c>
      <c r="CL458" s="5" t="s">
        <v>238</v>
      </c>
      <c r="CM458" s="5" t="s">
        <v>238</v>
      </c>
      <c r="CN458" s="5">
        <v>0</v>
      </c>
      <c r="CO458" s="5" t="s">
        <v>259</v>
      </c>
      <c r="CP458" s="5" t="s">
        <v>260</v>
      </c>
      <c r="CQ458" s="5" t="s">
        <v>260</v>
      </c>
      <c r="CR458" s="5" t="s">
        <v>261</v>
      </c>
      <c r="CU458" s="8">
        <f>569250</f>
        <v>569250</v>
      </c>
      <c r="CV458" s="8">
        <f>0</f>
        <v>0</v>
      </c>
      <c r="CX458" s="8">
        <f>0</f>
        <v>0</v>
      </c>
      <c r="CY458" s="8">
        <f>569250</f>
        <v>569250</v>
      </c>
      <c r="DA458" s="5" t="s">
        <v>263</v>
      </c>
      <c r="DB458" s="5" t="s">
        <v>238</v>
      </c>
      <c r="DD458" s="5" t="s">
        <v>263</v>
      </c>
      <c r="DE458" s="8">
        <f>0</f>
        <v>0</v>
      </c>
      <c r="DF458" s="6" t="s">
        <v>5858</v>
      </c>
      <c r="DG458" s="5" t="s">
        <v>263</v>
      </c>
      <c r="DH458" s="5" t="s">
        <v>238</v>
      </c>
      <c r="DI458" s="5" t="s">
        <v>238</v>
      </c>
      <c r="DJ458" s="5" t="s">
        <v>238</v>
      </c>
      <c r="DN458" s="5" t="s">
        <v>238</v>
      </c>
      <c r="DO458" s="5" t="s">
        <v>238</v>
      </c>
      <c r="DP458" s="5" t="s">
        <v>238</v>
      </c>
      <c r="DQ458" s="5" t="s">
        <v>238</v>
      </c>
      <c r="DT458" s="5" t="s">
        <v>5863</v>
      </c>
      <c r="DU458" s="5" t="s">
        <v>294</v>
      </c>
      <c r="HM458" s="5" t="s">
        <v>264</v>
      </c>
    </row>
    <row r="459" spans="1:221" x14ac:dyDescent="0.4">
      <c r="A459" s="5">
        <v>1194</v>
      </c>
      <c r="B459" s="5">
        <v>1</v>
      </c>
      <c r="C459" s="5">
        <v>1</v>
      </c>
      <c r="D459" s="5" t="s">
        <v>5861</v>
      </c>
      <c r="E459" s="5" t="s">
        <v>241</v>
      </c>
      <c r="F459" s="5" t="s">
        <v>248</v>
      </c>
      <c r="G459" s="5" t="s">
        <v>5860</v>
      </c>
      <c r="H459" s="6" t="s">
        <v>5864</v>
      </c>
      <c r="I459" s="7">
        <f>68.16</f>
        <v>68.16</v>
      </c>
      <c r="J459" s="5" t="s">
        <v>262</v>
      </c>
      <c r="K459" s="8">
        <f>449856</f>
        <v>449856</v>
      </c>
      <c r="L459" s="6" t="s">
        <v>242</v>
      </c>
      <c r="M459" s="5" t="s">
        <v>267</v>
      </c>
      <c r="N459" s="5" t="s">
        <v>237</v>
      </c>
      <c r="O459" s="5" t="s">
        <v>238</v>
      </c>
      <c r="P459" s="5" t="s">
        <v>238</v>
      </c>
      <c r="Q459" s="5" t="s">
        <v>239</v>
      </c>
      <c r="R459" s="5" t="s">
        <v>270</v>
      </c>
      <c r="S459" s="5" t="s">
        <v>238</v>
      </c>
      <c r="V459" s="5" t="s">
        <v>238</v>
      </c>
      <c r="X459" s="6" t="s">
        <v>238</v>
      </c>
      <c r="AA459" s="6" t="s">
        <v>243</v>
      </c>
      <c r="AB459" s="5" t="s">
        <v>238</v>
      </c>
      <c r="AC459" s="5" t="s">
        <v>244</v>
      </c>
      <c r="AD459" s="5" t="s">
        <v>245</v>
      </c>
      <c r="AT459" s="5" t="s">
        <v>246</v>
      </c>
      <c r="AU459" s="5" t="s">
        <v>238</v>
      </c>
      <c r="AV459" s="5" t="s">
        <v>247</v>
      </c>
      <c r="AW459" s="5" t="s">
        <v>238</v>
      </c>
      <c r="AX459" s="5" t="s">
        <v>249</v>
      </c>
      <c r="AY459" s="5" t="s">
        <v>238</v>
      </c>
      <c r="BA459" s="5" t="s">
        <v>238</v>
      </c>
      <c r="BC459" s="5" t="s">
        <v>250</v>
      </c>
      <c r="BD459" s="6" t="s">
        <v>243</v>
      </c>
      <c r="BE459" s="5" t="s">
        <v>251</v>
      </c>
      <c r="BF459" s="5" t="s">
        <v>252</v>
      </c>
      <c r="BG459" s="5" t="s">
        <v>238</v>
      </c>
      <c r="BH459" s="7">
        <f>0</f>
        <v>0</v>
      </c>
      <c r="BI459" s="8">
        <f>0</f>
        <v>0</v>
      </c>
      <c r="BJ459" s="5" t="s">
        <v>253</v>
      </c>
      <c r="BK459" s="5" t="s">
        <v>254</v>
      </c>
      <c r="BY459" s="5" t="s">
        <v>238</v>
      </c>
      <c r="BZ459" s="5" t="s">
        <v>238</v>
      </c>
      <c r="CD459" s="5" t="s">
        <v>255</v>
      </c>
      <c r="CE459" s="5" t="s">
        <v>256</v>
      </c>
      <c r="CF459" s="5" t="s">
        <v>238</v>
      </c>
      <c r="CI459" s="6" t="s">
        <v>257</v>
      </c>
      <c r="CJ459" s="5" t="s">
        <v>238</v>
      </c>
      <c r="CK459" s="5" t="s">
        <v>258</v>
      </c>
      <c r="CL459" s="5" t="s">
        <v>238</v>
      </c>
      <c r="CM459" s="5" t="s">
        <v>238</v>
      </c>
      <c r="CN459" s="5">
        <v>0</v>
      </c>
      <c r="CO459" s="5" t="s">
        <v>259</v>
      </c>
      <c r="CP459" s="5" t="s">
        <v>260</v>
      </c>
      <c r="CQ459" s="5" t="s">
        <v>260</v>
      </c>
      <c r="CR459" s="5" t="s">
        <v>261</v>
      </c>
      <c r="CU459" s="8">
        <f>449856</f>
        <v>449856</v>
      </c>
      <c r="CV459" s="8">
        <f>0</f>
        <v>0</v>
      </c>
      <c r="CX459" s="8">
        <f>0</f>
        <v>0</v>
      </c>
      <c r="CY459" s="8">
        <f>449856</f>
        <v>449856</v>
      </c>
      <c r="DA459" s="5" t="s">
        <v>263</v>
      </c>
      <c r="DB459" s="5" t="s">
        <v>238</v>
      </c>
      <c r="DD459" s="5" t="s">
        <v>263</v>
      </c>
      <c r="DE459" s="8">
        <f>0</f>
        <v>0</v>
      </c>
      <c r="DF459" s="6" t="s">
        <v>5858</v>
      </c>
      <c r="DG459" s="5" t="s">
        <v>263</v>
      </c>
      <c r="DH459" s="5" t="s">
        <v>238</v>
      </c>
      <c r="DI459" s="5" t="s">
        <v>238</v>
      </c>
      <c r="DJ459" s="5" t="s">
        <v>238</v>
      </c>
      <c r="DN459" s="5" t="s">
        <v>238</v>
      </c>
      <c r="DO459" s="5" t="s">
        <v>238</v>
      </c>
      <c r="DP459" s="5" t="s">
        <v>238</v>
      </c>
      <c r="DQ459" s="5" t="s">
        <v>238</v>
      </c>
      <c r="DT459" s="5" t="s">
        <v>5863</v>
      </c>
      <c r="DU459" s="5" t="s">
        <v>806</v>
      </c>
      <c r="HM459" s="5" t="s">
        <v>264</v>
      </c>
    </row>
    <row r="460" spans="1:221" x14ac:dyDescent="0.4">
      <c r="A460" s="5">
        <v>1195</v>
      </c>
      <c r="B460" s="5">
        <v>1</v>
      </c>
      <c r="C460" s="5">
        <v>1</v>
      </c>
      <c r="D460" s="5" t="s">
        <v>5861</v>
      </c>
      <c r="E460" s="5" t="s">
        <v>241</v>
      </c>
      <c r="F460" s="5" t="s">
        <v>248</v>
      </c>
      <c r="G460" s="5" t="s">
        <v>5860</v>
      </c>
      <c r="H460" s="6" t="s">
        <v>5865</v>
      </c>
      <c r="I460" s="7">
        <f>88.07</f>
        <v>88.07</v>
      </c>
      <c r="J460" s="5" t="s">
        <v>262</v>
      </c>
      <c r="K460" s="8">
        <f>581262</f>
        <v>581262</v>
      </c>
      <c r="L460" s="6" t="s">
        <v>242</v>
      </c>
      <c r="M460" s="5" t="s">
        <v>267</v>
      </c>
      <c r="N460" s="5" t="s">
        <v>237</v>
      </c>
      <c r="O460" s="5" t="s">
        <v>238</v>
      </c>
      <c r="P460" s="5" t="s">
        <v>238</v>
      </c>
      <c r="Q460" s="5" t="s">
        <v>239</v>
      </c>
      <c r="R460" s="5" t="s">
        <v>270</v>
      </c>
      <c r="S460" s="5" t="s">
        <v>238</v>
      </c>
      <c r="V460" s="5" t="s">
        <v>238</v>
      </c>
      <c r="X460" s="6" t="s">
        <v>238</v>
      </c>
      <c r="AA460" s="6" t="s">
        <v>243</v>
      </c>
      <c r="AB460" s="5" t="s">
        <v>238</v>
      </c>
      <c r="AC460" s="5" t="s">
        <v>244</v>
      </c>
      <c r="AD460" s="5" t="s">
        <v>245</v>
      </c>
      <c r="AT460" s="5" t="s">
        <v>246</v>
      </c>
      <c r="AU460" s="5" t="s">
        <v>238</v>
      </c>
      <c r="AV460" s="5" t="s">
        <v>247</v>
      </c>
      <c r="AW460" s="5" t="s">
        <v>238</v>
      </c>
      <c r="AX460" s="5" t="s">
        <v>249</v>
      </c>
      <c r="AY460" s="5" t="s">
        <v>238</v>
      </c>
      <c r="BA460" s="5" t="s">
        <v>238</v>
      </c>
      <c r="BC460" s="5" t="s">
        <v>250</v>
      </c>
      <c r="BD460" s="6" t="s">
        <v>243</v>
      </c>
      <c r="BE460" s="5" t="s">
        <v>251</v>
      </c>
      <c r="BF460" s="5" t="s">
        <v>252</v>
      </c>
      <c r="BG460" s="5" t="s">
        <v>238</v>
      </c>
      <c r="BH460" s="7">
        <f>0</f>
        <v>0</v>
      </c>
      <c r="BI460" s="8">
        <f>0</f>
        <v>0</v>
      </c>
      <c r="BJ460" s="5" t="s">
        <v>253</v>
      </c>
      <c r="BK460" s="5" t="s">
        <v>254</v>
      </c>
      <c r="BY460" s="5" t="s">
        <v>238</v>
      </c>
      <c r="BZ460" s="5" t="s">
        <v>238</v>
      </c>
      <c r="CD460" s="5" t="s">
        <v>255</v>
      </c>
      <c r="CE460" s="5" t="s">
        <v>256</v>
      </c>
      <c r="CF460" s="5" t="s">
        <v>238</v>
      </c>
      <c r="CI460" s="6" t="s">
        <v>257</v>
      </c>
      <c r="CJ460" s="5" t="s">
        <v>238</v>
      </c>
      <c r="CK460" s="5" t="s">
        <v>258</v>
      </c>
      <c r="CL460" s="5" t="s">
        <v>238</v>
      </c>
      <c r="CM460" s="5" t="s">
        <v>238</v>
      </c>
      <c r="CN460" s="5">
        <v>0</v>
      </c>
      <c r="CO460" s="5" t="s">
        <v>259</v>
      </c>
      <c r="CP460" s="5" t="s">
        <v>260</v>
      </c>
      <c r="CQ460" s="5" t="s">
        <v>260</v>
      </c>
      <c r="CR460" s="5" t="s">
        <v>261</v>
      </c>
      <c r="CU460" s="8">
        <f>581262</f>
        <v>581262</v>
      </c>
      <c r="CV460" s="8">
        <f>0</f>
        <v>0</v>
      </c>
      <c r="CX460" s="8">
        <f>0</f>
        <v>0</v>
      </c>
      <c r="CY460" s="8">
        <f>581262</f>
        <v>581262</v>
      </c>
      <c r="DA460" s="5" t="s">
        <v>263</v>
      </c>
      <c r="DB460" s="5" t="s">
        <v>238</v>
      </c>
      <c r="DD460" s="5" t="s">
        <v>263</v>
      </c>
      <c r="DE460" s="8">
        <f>0</f>
        <v>0</v>
      </c>
      <c r="DF460" s="6" t="s">
        <v>5858</v>
      </c>
      <c r="DG460" s="5" t="s">
        <v>263</v>
      </c>
      <c r="DH460" s="5" t="s">
        <v>238</v>
      </c>
      <c r="DI460" s="5" t="s">
        <v>238</v>
      </c>
      <c r="DJ460" s="5" t="s">
        <v>238</v>
      </c>
      <c r="DN460" s="5" t="s">
        <v>238</v>
      </c>
      <c r="DO460" s="5" t="s">
        <v>238</v>
      </c>
      <c r="DP460" s="5" t="s">
        <v>238</v>
      </c>
      <c r="DQ460" s="5" t="s">
        <v>238</v>
      </c>
      <c r="DT460" s="5" t="s">
        <v>5863</v>
      </c>
      <c r="DU460" s="5" t="s">
        <v>854</v>
      </c>
      <c r="HM460" s="5" t="s">
        <v>264</v>
      </c>
    </row>
    <row r="461" spans="1:221" x14ac:dyDescent="0.4">
      <c r="A461" s="5">
        <v>1196</v>
      </c>
      <c r="B461" s="5">
        <v>1</v>
      </c>
      <c r="C461" s="5">
        <v>1</v>
      </c>
      <c r="D461" s="5" t="s">
        <v>5856</v>
      </c>
      <c r="E461" s="5" t="s">
        <v>241</v>
      </c>
      <c r="F461" s="5" t="s">
        <v>248</v>
      </c>
      <c r="G461" s="5" t="s">
        <v>5855</v>
      </c>
      <c r="H461" s="6" t="s">
        <v>5857</v>
      </c>
      <c r="I461" s="7">
        <f>421.32</f>
        <v>421.32</v>
      </c>
      <c r="J461" s="5" t="s">
        <v>262</v>
      </c>
      <c r="K461" s="8">
        <f>4213200</f>
        <v>4213200</v>
      </c>
      <c r="L461" s="6" t="s">
        <v>242</v>
      </c>
      <c r="M461" s="5" t="s">
        <v>267</v>
      </c>
      <c r="N461" s="5" t="s">
        <v>237</v>
      </c>
      <c r="O461" s="5" t="s">
        <v>238</v>
      </c>
      <c r="P461" s="5" t="s">
        <v>238</v>
      </c>
      <c r="Q461" s="5" t="s">
        <v>239</v>
      </c>
      <c r="R461" s="5" t="s">
        <v>270</v>
      </c>
      <c r="S461" s="5" t="s">
        <v>238</v>
      </c>
      <c r="V461" s="5" t="s">
        <v>238</v>
      </c>
      <c r="X461" s="6" t="s">
        <v>238</v>
      </c>
      <c r="AA461" s="6" t="s">
        <v>243</v>
      </c>
      <c r="AB461" s="5" t="s">
        <v>238</v>
      </c>
      <c r="AC461" s="5" t="s">
        <v>244</v>
      </c>
      <c r="AD461" s="5" t="s">
        <v>245</v>
      </c>
      <c r="AT461" s="5" t="s">
        <v>246</v>
      </c>
      <c r="AU461" s="5" t="s">
        <v>238</v>
      </c>
      <c r="AV461" s="5" t="s">
        <v>247</v>
      </c>
      <c r="AW461" s="5" t="s">
        <v>238</v>
      </c>
      <c r="AX461" s="5" t="s">
        <v>249</v>
      </c>
      <c r="AY461" s="5" t="s">
        <v>238</v>
      </c>
      <c r="BA461" s="5" t="s">
        <v>4547</v>
      </c>
      <c r="BC461" s="5" t="s">
        <v>250</v>
      </c>
      <c r="BD461" s="6" t="s">
        <v>243</v>
      </c>
      <c r="BE461" s="5" t="s">
        <v>251</v>
      </c>
      <c r="BF461" s="5" t="s">
        <v>252</v>
      </c>
      <c r="BG461" s="5" t="s">
        <v>238</v>
      </c>
      <c r="BH461" s="7">
        <f>0</f>
        <v>0</v>
      </c>
      <c r="BI461" s="8">
        <f>0</f>
        <v>0</v>
      </c>
      <c r="BJ461" s="5" t="s">
        <v>253</v>
      </c>
      <c r="BK461" s="5" t="s">
        <v>254</v>
      </c>
      <c r="BY461" s="5" t="s">
        <v>238</v>
      </c>
      <c r="BZ461" s="5" t="s">
        <v>238</v>
      </c>
      <c r="CD461" s="5" t="s">
        <v>255</v>
      </c>
      <c r="CE461" s="5" t="s">
        <v>256</v>
      </c>
      <c r="CF461" s="5" t="s">
        <v>238</v>
      </c>
      <c r="CI461" s="6" t="s">
        <v>257</v>
      </c>
      <c r="CJ461" s="5" t="s">
        <v>238</v>
      </c>
      <c r="CK461" s="5" t="s">
        <v>258</v>
      </c>
      <c r="CL461" s="5" t="s">
        <v>238</v>
      </c>
      <c r="CM461" s="5" t="s">
        <v>238</v>
      </c>
      <c r="CN461" s="5">
        <v>0</v>
      </c>
      <c r="CO461" s="5" t="s">
        <v>259</v>
      </c>
      <c r="CP461" s="5" t="s">
        <v>260</v>
      </c>
      <c r="CQ461" s="5" t="s">
        <v>260</v>
      </c>
      <c r="CR461" s="5" t="s">
        <v>261</v>
      </c>
      <c r="CU461" s="8">
        <f>4213200</f>
        <v>4213200</v>
      </c>
      <c r="CV461" s="8">
        <f>0</f>
        <v>0</v>
      </c>
      <c r="CX461" s="8">
        <f>0</f>
        <v>0</v>
      </c>
      <c r="CY461" s="8">
        <f>4213200</f>
        <v>4213200</v>
      </c>
      <c r="DA461" s="5" t="s">
        <v>263</v>
      </c>
      <c r="DB461" s="5" t="s">
        <v>238</v>
      </c>
      <c r="DD461" s="5" t="s">
        <v>263</v>
      </c>
      <c r="DE461" s="8">
        <f>0</f>
        <v>0</v>
      </c>
      <c r="DF461" s="6" t="s">
        <v>5858</v>
      </c>
      <c r="DG461" s="5" t="s">
        <v>263</v>
      </c>
      <c r="DH461" s="5" t="s">
        <v>238</v>
      </c>
      <c r="DI461" s="5" t="s">
        <v>238</v>
      </c>
      <c r="DJ461" s="5" t="s">
        <v>238</v>
      </c>
      <c r="DN461" s="5" t="s">
        <v>238</v>
      </c>
      <c r="DO461" s="5" t="s">
        <v>238</v>
      </c>
      <c r="DP461" s="5" t="s">
        <v>238</v>
      </c>
      <c r="DQ461" s="5" t="s">
        <v>238</v>
      </c>
      <c r="DT461" s="5" t="s">
        <v>5859</v>
      </c>
      <c r="DU461" s="5" t="s">
        <v>264</v>
      </c>
      <c r="HM461" s="5" t="s">
        <v>264</v>
      </c>
    </row>
    <row r="462" spans="1:221" x14ac:dyDescent="0.4">
      <c r="A462" s="5">
        <v>1197</v>
      </c>
      <c r="B462" s="5">
        <v>1</v>
      </c>
      <c r="C462" s="5">
        <v>1</v>
      </c>
      <c r="D462" s="5" t="s">
        <v>5851</v>
      </c>
      <c r="E462" s="5" t="s">
        <v>241</v>
      </c>
      <c r="F462" s="5" t="s">
        <v>248</v>
      </c>
      <c r="G462" s="5" t="s">
        <v>5850</v>
      </c>
      <c r="H462" s="6" t="s">
        <v>5852</v>
      </c>
      <c r="I462" s="7">
        <f>276</f>
        <v>276</v>
      </c>
      <c r="J462" s="5" t="s">
        <v>262</v>
      </c>
      <c r="K462" s="8">
        <f>611340</f>
        <v>611340</v>
      </c>
      <c r="L462" s="6" t="s">
        <v>242</v>
      </c>
      <c r="M462" s="5" t="s">
        <v>267</v>
      </c>
      <c r="N462" s="5" t="s">
        <v>237</v>
      </c>
      <c r="O462" s="5" t="s">
        <v>238</v>
      </c>
      <c r="P462" s="5" t="s">
        <v>238</v>
      </c>
      <c r="Q462" s="5" t="s">
        <v>239</v>
      </c>
      <c r="R462" s="5" t="s">
        <v>270</v>
      </c>
      <c r="S462" s="5" t="s">
        <v>238</v>
      </c>
      <c r="V462" s="5" t="s">
        <v>238</v>
      </c>
      <c r="X462" s="6" t="s">
        <v>238</v>
      </c>
      <c r="AA462" s="6" t="s">
        <v>243</v>
      </c>
      <c r="AB462" s="5" t="s">
        <v>238</v>
      </c>
      <c r="AC462" s="5" t="s">
        <v>244</v>
      </c>
      <c r="AD462" s="5" t="s">
        <v>245</v>
      </c>
      <c r="AT462" s="5" t="s">
        <v>246</v>
      </c>
      <c r="AU462" s="5" t="s">
        <v>238</v>
      </c>
      <c r="AV462" s="5" t="s">
        <v>247</v>
      </c>
      <c r="AW462" s="5" t="s">
        <v>238</v>
      </c>
      <c r="AX462" s="5" t="s">
        <v>249</v>
      </c>
      <c r="AY462" s="5" t="s">
        <v>238</v>
      </c>
      <c r="BA462" s="5" t="s">
        <v>4547</v>
      </c>
      <c r="BC462" s="5" t="s">
        <v>250</v>
      </c>
      <c r="BD462" s="6" t="s">
        <v>243</v>
      </c>
      <c r="BE462" s="5" t="s">
        <v>251</v>
      </c>
      <c r="BF462" s="5" t="s">
        <v>252</v>
      </c>
      <c r="BG462" s="5" t="s">
        <v>238</v>
      </c>
      <c r="BH462" s="7">
        <f>0</f>
        <v>0</v>
      </c>
      <c r="BI462" s="8">
        <f>0</f>
        <v>0</v>
      </c>
      <c r="BJ462" s="5" t="s">
        <v>253</v>
      </c>
      <c r="BK462" s="5" t="s">
        <v>254</v>
      </c>
      <c r="BY462" s="5" t="s">
        <v>238</v>
      </c>
      <c r="BZ462" s="5" t="s">
        <v>238</v>
      </c>
      <c r="CD462" s="5" t="s">
        <v>255</v>
      </c>
      <c r="CE462" s="5" t="s">
        <v>256</v>
      </c>
      <c r="CF462" s="5" t="s">
        <v>238</v>
      </c>
      <c r="CI462" s="6" t="s">
        <v>257</v>
      </c>
      <c r="CJ462" s="5" t="s">
        <v>238</v>
      </c>
      <c r="CK462" s="5" t="s">
        <v>258</v>
      </c>
      <c r="CL462" s="5" t="s">
        <v>238</v>
      </c>
      <c r="CM462" s="5" t="s">
        <v>238</v>
      </c>
      <c r="CN462" s="5">
        <v>0</v>
      </c>
      <c r="CO462" s="5" t="s">
        <v>259</v>
      </c>
      <c r="CP462" s="5" t="s">
        <v>260</v>
      </c>
      <c r="CQ462" s="5" t="s">
        <v>260</v>
      </c>
      <c r="CR462" s="5" t="s">
        <v>261</v>
      </c>
      <c r="CU462" s="8">
        <f>611340</f>
        <v>611340</v>
      </c>
      <c r="CV462" s="8">
        <f>0</f>
        <v>0</v>
      </c>
      <c r="CX462" s="8">
        <f>0</f>
        <v>0</v>
      </c>
      <c r="CY462" s="8">
        <f>611340</f>
        <v>611340</v>
      </c>
      <c r="DA462" s="5" t="s">
        <v>2032</v>
      </c>
      <c r="DB462" s="5" t="s">
        <v>238</v>
      </c>
      <c r="DD462" s="5" t="s">
        <v>2032</v>
      </c>
      <c r="DE462" s="8">
        <f>0</f>
        <v>0</v>
      </c>
      <c r="DF462" s="6" t="s">
        <v>5853</v>
      </c>
      <c r="DG462" s="5" t="s">
        <v>389</v>
      </c>
      <c r="DH462" s="5" t="s">
        <v>238</v>
      </c>
      <c r="DI462" s="5" t="s">
        <v>238</v>
      </c>
      <c r="DJ462" s="5" t="s">
        <v>238</v>
      </c>
      <c r="DN462" s="5" t="s">
        <v>238</v>
      </c>
      <c r="DO462" s="5" t="s">
        <v>238</v>
      </c>
      <c r="DP462" s="5" t="s">
        <v>238</v>
      </c>
      <c r="DQ462" s="5" t="s">
        <v>238</v>
      </c>
      <c r="DT462" s="5" t="s">
        <v>5854</v>
      </c>
      <c r="DU462" s="5" t="s">
        <v>264</v>
      </c>
      <c r="HM462" s="5" t="s">
        <v>264</v>
      </c>
    </row>
    <row r="463" spans="1:221" x14ac:dyDescent="0.4">
      <c r="A463" s="5">
        <v>1198</v>
      </c>
      <c r="B463" s="5">
        <v>1</v>
      </c>
      <c r="C463" s="5">
        <v>1</v>
      </c>
      <c r="D463" s="5" t="s">
        <v>5846</v>
      </c>
      <c r="E463" s="5" t="s">
        <v>475</v>
      </c>
      <c r="F463" s="5" t="s">
        <v>248</v>
      </c>
      <c r="G463" s="5" t="s">
        <v>5845</v>
      </c>
      <c r="H463" s="6" t="s">
        <v>5848</v>
      </c>
      <c r="I463" s="7">
        <f>379</f>
        <v>379</v>
      </c>
      <c r="J463" s="5" t="s">
        <v>262</v>
      </c>
      <c r="K463" s="8">
        <f>162970</f>
        <v>162970</v>
      </c>
      <c r="L463" s="6" t="s">
        <v>2041</v>
      </c>
      <c r="M463" s="5" t="s">
        <v>267</v>
      </c>
      <c r="N463" s="5" t="s">
        <v>265</v>
      </c>
      <c r="O463" s="5" t="s">
        <v>238</v>
      </c>
      <c r="P463" s="5" t="s">
        <v>238</v>
      </c>
      <c r="Q463" s="5" t="s">
        <v>239</v>
      </c>
      <c r="R463" s="5" t="s">
        <v>270</v>
      </c>
      <c r="S463" s="5" t="s">
        <v>238</v>
      </c>
      <c r="V463" s="5" t="s">
        <v>238</v>
      </c>
      <c r="X463" s="6" t="s">
        <v>238</v>
      </c>
      <c r="AA463" s="6" t="s">
        <v>243</v>
      </c>
      <c r="AB463" s="5" t="s">
        <v>5847</v>
      </c>
      <c r="AC463" s="5" t="s">
        <v>244</v>
      </c>
      <c r="AD463" s="5" t="s">
        <v>245</v>
      </c>
      <c r="AT463" s="5" t="s">
        <v>246</v>
      </c>
      <c r="AU463" s="5" t="s">
        <v>238</v>
      </c>
      <c r="AV463" s="5" t="s">
        <v>247</v>
      </c>
      <c r="AW463" s="5" t="s">
        <v>238</v>
      </c>
      <c r="AX463" s="5" t="s">
        <v>249</v>
      </c>
      <c r="AY463" s="5" t="s">
        <v>238</v>
      </c>
      <c r="BA463" s="5" t="s">
        <v>4547</v>
      </c>
      <c r="BC463" s="5" t="s">
        <v>250</v>
      </c>
      <c r="BD463" s="6" t="s">
        <v>2041</v>
      </c>
      <c r="BE463" s="5" t="s">
        <v>251</v>
      </c>
      <c r="BF463" s="5" t="s">
        <v>2101</v>
      </c>
      <c r="BG463" s="5" t="s">
        <v>238</v>
      </c>
      <c r="BH463" s="7">
        <f>0</f>
        <v>0</v>
      </c>
      <c r="BI463" s="8">
        <f>0</f>
        <v>0</v>
      </c>
      <c r="BJ463" s="5" t="s">
        <v>253</v>
      </c>
      <c r="BK463" s="5" t="s">
        <v>254</v>
      </c>
      <c r="BY463" s="5" t="s">
        <v>238</v>
      </c>
      <c r="BZ463" s="5" t="s">
        <v>238</v>
      </c>
      <c r="CD463" s="5" t="s">
        <v>293</v>
      </c>
      <c r="CE463" s="5" t="s">
        <v>256</v>
      </c>
      <c r="CF463" s="5" t="s">
        <v>238</v>
      </c>
      <c r="CI463" s="6" t="s">
        <v>257</v>
      </c>
      <c r="CJ463" s="5" t="s">
        <v>238</v>
      </c>
      <c r="CK463" s="5" t="s">
        <v>258</v>
      </c>
      <c r="CL463" s="5" t="s">
        <v>238</v>
      </c>
      <c r="CM463" s="5" t="s">
        <v>238</v>
      </c>
      <c r="CN463" s="5">
        <v>0</v>
      </c>
      <c r="CO463" s="5" t="s">
        <v>259</v>
      </c>
      <c r="CP463" s="5" t="s">
        <v>260</v>
      </c>
      <c r="CQ463" s="5" t="s">
        <v>260</v>
      </c>
      <c r="CR463" s="5" t="s">
        <v>261</v>
      </c>
      <c r="CU463" s="8">
        <f>162970</f>
        <v>162970</v>
      </c>
      <c r="CV463" s="8">
        <f>0</f>
        <v>0</v>
      </c>
      <c r="CX463" s="8">
        <f>0</f>
        <v>0</v>
      </c>
      <c r="CY463" s="8">
        <f>162970</f>
        <v>162970</v>
      </c>
      <c r="DA463" s="5" t="s">
        <v>356</v>
      </c>
      <c r="DB463" s="5" t="s">
        <v>238</v>
      </c>
      <c r="DD463" s="5" t="s">
        <v>389</v>
      </c>
      <c r="DE463" s="8">
        <f>379.16</f>
        <v>379.16</v>
      </c>
      <c r="DG463" s="5" t="s">
        <v>238</v>
      </c>
      <c r="DH463" s="5" t="s">
        <v>238</v>
      </c>
      <c r="DI463" s="5" t="s">
        <v>238</v>
      </c>
      <c r="DJ463" s="5" t="s">
        <v>238</v>
      </c>
      <c r="DN463" s="5" t="s">
        <v>238</v>
      </c>
      <c r="DO463" s="5" t="s">
        <v>238</v>
      </c>
      <c r="DP463" s="5" t="s">
        <v>238</v>
      </c>
      <c r="DQ463" s="5" t="s">
        <v>238</v>
      </c>
      <c r="DT463" s="5" t="s">
        <v>5849</v>
      </c>
      <c r="DU463" s="5" t="s">
        <v>264</v>
      </c>
      <c r="HM463" s="5" t="s">
        <v>854</v>
      </c>
    </row>
    <row r="464" spans="1:221" x14ac:dyDescent="0.4">
      <c r="A464" s="5">
        <v>1326</v>
      </c>
      <c r="B464" s="5">
        <v>1</v>
      </c>
      <c r="C464" s="5">
        <v>1</v>
      </c>
      <c r="D464" s="5" t="s">
        <v>484</v>
      </c>
      <c r="E464" s="5" t="s">
        <v>485</v>
      </c>
      <c r="F464" s="5" t="s">
        <v>248</v>
      </c>
      <c r="G464" s="5" t="s">
        <v>531</v>
      </c>
      <c r="H464" s="6" t="s">
        <v>4146</v>
      </c>
      <c r="I464" s="7">
        <f>312</f>
        <v>312</v>
      </c>
      <c r="J464" s="5" t="s">
        <v>262</v>
      </c>
      <c r="K464" s="8">
        <f>3432</f>
        <v>3432</v>
      </c>
      <c r="L464" s="6" t="s">
        <v>242</v>
      </c>
      <c r="M464" s="5" t="s">
        <v>267</v>
      </c>
      <c r="N464" s="5" t="s">
        <v>237</v>
      </c>
      <c r="O464" s="5" t="s">
        <v>238</v>
      </c>
      <c r="P464" s="5" t="s">
        <v>238</v>
      </c>
      <c r="Q464" s="5" t="s">
        <v>239</v>
      </c>
      <c r="R464" s="5" t="s">
        <v>240</v>
      </c>
      <c r="S464" s="5" t="s">
        <v>238</v>
      </c>
      <c r="V464" s="5" t="s">
        <v>238</v>
      </c>
      <c r="X464" s="6" t="s">
        <v>238</v>
      </c>
      <c r="AA464" s="6" t="s">
        <v>243</v>
      </c>
      <c r="AB464" s="5" t="s">
        <v>238</v>
      </c>
      <c r="AC464" s="5" t="s">
        <v>244</v>
      </c>
      <c r="AD464" s="5" t="s">
        <v>245</v>
      </c>
      <c r="AT464" s="5" t="s">
        <v>246</v>
      </c>
      <c r="AU464" s="5" t="s">
        <v>238</v>
      </c>
      <c r="AV464" s="5" t="s">
        <v>247</v>
      </c>
      <c r="AW464" s="5" t="s">
        <v>238</v>
      </c>
      <c r="AX464" s="5" t="s">
        <v>249</v>
      </c>
      <c r="AY464" s="5" t="s">
        <v>238</v>
      </c>
      <c r="BA464" s="5" t="s">
        <v>238</v>
      </c>
      <c r="BC464" s="5" t="s">
        <v>250</v>
      </c>
      <c r="BD464" s="6" t="s">
        <v>243</v>
      </c>
      <c r="BE464" s="5" t="s">
        <v>251</v>
      </c>
      <c r="BF464" s="5" t="s">
        <v>252</v>
      </c>
      <c r="BG464" s="5" t="s">
        <v>238</v>
      </c>
      <c r="BH464" s="7">
        <f>0</f>
        <v>0</v>
      </c>
      <c r="BI464" s="8">
        <f>0</f>
        <v>0</v>
      </c>
      <c r="BJ464" s="5" t="s">
        <v>253</v>
      </c>
      <c r="BK464" s="5" t="s">
        <v>254</v>
      </c>
      <c r="BY464" s="5" t="s">
        <v>238</v>
      </c>
      <c r="BZ464" s="5" t="s">
        <v>238</v>
      </c>
      <c r="CD464" s="5" t="s">
        <v>255</v>
      </c>
      <c r="CE464" s="5" t="s">
        <v>256</v>
      </c>
      <c r="CF464" s="5" t="s">
        <v>238</v>
      </c>
      <c r="CI464" s="6" t="s">
        <v>257</v>
      </c>
      <c r="CJ464" s="5" t="s">
        <v>238</v>
      </c>
      <c r="CK464" s="5" t="s">
        <v>258</v>
      </c>
      <c r="CL464" s="5" t="s">
        <v>238</v>
      </c>
      <c r="CM464" s="5" t="s">
        <v>238</v>
      </c>
      <c r="CN464" s="5">
        <v>0</v>
      </c>
      <c r="CO464" s="5" t="s">
        <v>259</v>
      </c>
      <c r="CP464" s="5" t="s">
        <v>260</v>
      </c>
      <c r="CQ464" s="5" t="s">
        <v>260</v>
      </c>
      <c r="CR464" s="5" t="s">
        <v>261</v>
      </c>
      <c r="CU464" s="8">
        <f>3432</f>
        <v>3432</v>
      </c>
      <c r="CV464" s="8">
        <f>0</f>
        <v>0</v>
      </c>
      <c r="CX464" s="8">
        <f>0</f>
        <v>0</v>
      </c>
      <c r="CY464" s="8">
        <f>3432</f>
        <v>3432</v>
      </c>
      <c r="DA464" s="5" t="s">
        <v>533</v>
      </c>
      <c r="DB464" s="5" t="s">
        <v>238</v>
      </c>
      <c r="DD464" s="5" t="s">
        <v>356</v>
      </c>
      <c r="DE464" s="8">
        <f>0</f>
        <v>0</v>
      </c>
      <c r="DG464" s="5" t="s">
        <v>534</v>
      </c>
      <c r="DH464" s="5" t="s">
        <v>238</v>
      </c>
      <c r="DI464" s="5" t="s">
        <v>238</v>
      </c>
      <c r="DJ464" s="5" t="s">
        <v>238</v>
      </c>
      <c r="DN464" s="5" t="s">
        <v>238</v>
      </c>
      <c r="DO464" s="5" t="s">
        <v>238</v>
      </c>
      <c r="DP464" s="5" t="s">
        <v>238</v>
      </c>
      <c r="DQ464" s="5" t="s">
        <v>238</v>
      </c>
      <c r="DT464" s="5" t="s">
        <v>535</v>
      </c>
      <c r="DU464" s="5" t="s">
        <v>264</v>
      </c>
      <c r="HM464" s="5" t="s">
        <v>264</v>
      </c>
    </row>
    <row r="465" spans="1:221" x14ac:dyDescent="0.4">
      <c r="A465" s="5">
        <v>1327</v>
      </c>
      <c r="B465" s="5">
        <v>1</v>
      </c>
      <c r="C465" s="5">
        <v>1</v>
      </c>
      <c r="D465" s="5" t="s">
        <v>484</v>
      </c>
      <c r="E465" s="5" t="s">
        <v>485</v>
      </c>
      <c r="F465" s="5" t="s">
        <v>248</v>
      </c>
      <c r="G465" s="5" t="s">
        <v>531</v>
      </c>
      <c r="H465" s="6" t="s">
        <v>4130</v>
      </c>
      <c r="I465" s="7">
        <f>1769</f>
        <v>1769</v>
      </c>
      <c r="J465" s="5" t="s">
        <v>262</v>
      </c>
      <c r="K465" s="8">
        <f>19459</f>
        <v>19459</v>
      </c>
      <c r="L465" s="6" t="s">
        <v>242</v>
      </c>
      <c r="M465" s="5" t="s">
        <v>267</v>
      </c>
      <c r="N465" s="5" t="s">
        <v>237</v>
      </c>
      <c r="O465" s="5" t="s">
        <v>238</v>
      </c>
      <c r="P465" s="5" t="s">
        <v>238</v>
      </c>
      <c r="Q465" s="5" t="s">
        <v>239</v>
      </c>
      <c r="R465" s="5" t="s">
        <v>240</v>
      </c>
      <c r="S465" s="5" t="s">
        <v>238</v>
      </c>
      <c r="V465" s="5" t="s">
        <v>238</v>
      </c>
      <c r="X465" s="6" t="s">
        <v>238</v>
      </c>
      <c r="AA465" s="6" t="s">
        <v>243</v>
      </c>
      <c r="AB465" s="5" t="s">
        <v>238</v>
      </c>
      <c r="AC465" s="5" t="s">
        <v>244</v>
      </c>
      <c r="AD465" s="5" t="s">
        <v>245</v>
      </c>
      <c r="AT465" s="5" t="s">
        <v>246</v>
      </c>
      <c r="AU465" s="5" t="s">
        <v>238</v>
      </c>
      <c r="AV465" s="5" t="s">
        <v>247</v>
      </c>
      <c r="AW465" s="5" t="s">
        <v>238</v>
      </c>
      <c r="AX465" s="5" t="s">
        <v>249</v>
      </c>
      <c r="AY465" s="5" t="s">
        <v>238</v>
      </c>
      <c r="BA465" s="5" t="s">
        <v>238</v>
      </c>
      <c r="BC465" s="5" t="s">
        <v>250</v>
      </c>
      <c r="BD465" s="6" t="s">
        <v>243</v>
      </c>
      <c r="BE465" s="5" t="s">
        <v>251</v>
      </c>
      <c r="BF465" s="5" t="s">
        <v>252</v>
      </c>
      <c r="BG465" s="5" t="s">
        <v>238</v>
      </c>
      <c r="BH465" s="7">
        <f>0</f>
        <v>0</v>
      </c>
      <c r="BI465" s="8">
        <f>0</f>
        <v>0</v>
      </c>
      <c r="BJ465" s="5" t="s">
        <v>253</v>
      </c>
      <c r="BK465" s="5" t="s">
        <v>254</v>
      </c>
      <c r="BY465" s="5" t="s">
        <v>238</v>
      </c>
      <c r="BZ465" s="5" t="s">
        <v>238</v>
      </c>
      <c r="CD465" s="5" t="s">
        <v>255</v>
      </c>
      <c r="CE465" s="5" t="s">
        <v>256</v>
      </c>
      <c r="CF465" s="5" t="s">
        <v>238</v>
      </c>
      <c r="CI465" s="6" t="s">
        <v>257</v>
      </c>
      <c r="CJ465" s="5" t="s">
        <v>238</v>
      </c>
      <c r="CK465" s="5" t="s">
        <v>258</v>
      </c>
      <c r="CL465" s="5" t="s">
        <v>238</v>
      </c>
      <c r="CM465" s="5" t="s">
        <v>238</v>
      </c>
      <c r="CN465" s="5">
        <v>0</v>
      </c>
      <c r="CO465" s="5" t="s">
        <v>259</v>
      </c>
      <c r="CP465" s="5" t="s">
        <v>260</v>
      </c>
      <c r="CQ465" s="5" t="s">
        <v>260</v>
      </c>
      <c r="CR465" s="5" t="s">
        <v>261</v>
      </c>
      <c r="CU465" s="8">
        <f>19459</f>
        <v>19459</v>
      </c>
      <c r="CV465" s="8">
        <f>0</f>
        <v>0</v>
      </c>
      <c r="CX465" s="8">
        <f>0</f>
        <v>0</v>
      </c>
      <c r="CY465" s="8">
        <f>19459</f>
        <v>19459</v>
      </c>
      <c r="DA465" s="5" t="s">
        <v>533</v>
      </c>
      <c r="DB465" s="5" t="s">
        <v>238</v>
      </c>
      <c r="DD465" s="5" t="s">
        <v>356</v>
      </c>
      <c r="DE465" s="8">
        <f>0</f>
        <v>0</v>
      </c>
      <c r="DG465" s="5" t="s">
        <v>534</v>
      </c>
      <c r="DH465" s="5" t="s">
        <v>238</v>
      </c>
      <c r="DI465" s="5" t="s">
        <v>238</v>
      </c>
      <c r="DJ465" s="5" t="s">
        <v>238</v>
      </c>
      <c r="DN465" s="5" t="s">
        <v>238</v>
      </c>
      <c r="DO465" s="5" t="s">
        <v>238</v>
      </c>
      <c r="DP465" s="5" t="s">
        <v>238</v>
      </c>
      <c r="DQ465" s="5" t="s">
        <v>238</v>
      </c>
      <c r="DT465" s="5" t="s">
        <v>535</v>
      </c>
      <c r="DU465" s="5" t="s">
        <v>294</v>
      </c>
      <c r="HM465" s="5" t="s">
        <v>264</v>
      </c>
    </row>
    <row r="466" spans="1:221" x14ac:dyDescent="0.4">
      <c r="A466" s="5">
        <v>1328</v>
      </c>
      <c r="B466" s="5">
        <v>1</v>
      </c>
      <c r="C466" s="5">
        <v>1</v>
      </c>
      <c r="D466" s="5" t="s">
        <v>484</v>
      </c>
      <c r="E466" s="5" t="s">
        <v>485</v>
      </c>
      <c r="F466" s="5" t="s">
        <v>248</v>
      </c>
      <c r="G466" s="5" t="s">
        <v>531</v>
      </c>
      <c r="H466" s="6" t="s">
        <v>5608</v>
      </c>
      <c r="I466" s="7">
        <f>1244</f>
        <v>1244</v>
      </c>
      <c r="J466" s="5" t="s">
        <v>262</v>
      </c>
      <c r="K466" s="8">
        <f>13684</f>
        <v>13684</v>
      </c>
      <c r="L466" s="6" t="s">
        <v>242</v>
      </c>
      <c r="M466" s="5" t="s">
        <v>267</v>
      </c>
      <c r="N466" s="5" t="s">
        <v>237</v>
      </c>
      <c r="O466" s="5" t="s">
        <v>238</v>
      </c>
      <c r="P466" s="5" t="s">
        <v>238</v>
      </c>
      <c r="Q466" s="5" t="s">
        <v>239</v>
      </c>
      <c r="R466" s="5" t="s">
        <v>240</v>
      </c>
      <c r="S466" s="5" t="s">
        <v>238</v>
      </c>
      <c r="V466" s="5" t="s">
        <v>238</v>
      </c>
      <c r="X466" s="6" t="s">
        <v>238</v>
      </c>
      <c r="AA466" s="6" t="s">
        <v>243</v>
      </c>
      <c r="AB466" s="5" t="s">
        <v>238</v>
      </c>
      <c r="AC466" s="5" t="s">
        <v>244</v>
      </c>
      <c r="AD466" s="5" t="s">
        <v>245</v>
      </c>
      <c r="AT466" s="5" t="s">
        <v>246</v>
      </c>
      <c r="AU466" s="5" t="s">
        <v>238</v>
      </c>
      <c r="AV466" s="5" t="s">
        <v>247</v>
      </c>
      <c r="AW466" s="5" t="s">
        <v>238</v>
      </c>
      <c r="AX466" s="5" t="s">
        <v>249</v>
      </c>
      <c r="AY466" s="5" t="s">
        <v>238</v>
      </c>
      <c r="BA466" s="5" t="s">
        <v>238</v>
      </c>
      <c r="BC466" s="5" t="s">
        <v>250</v>
      </c>
      <c r="BD466" s="6" t="s">
        <v>243</v>
      </c>
      <c r="BE466" s="5" t="s">
        <v>251</v>
      </c>
      <c r="BF466" s="5" t="s">
        <v>252</v>
      </c>
      <c r="BG466" s="5" t="s">
        <v>238</v>
      </c>
      <c r="BH466" s="7">
        <f>0</f>
        <v>0</v>
      </c>
      <c r="BI466" s="8">
        <f>0</f>
        <v>0</v>
      </c>
      <c r="BJ466" s="5" t="s">
        <v>253</v>
      </c>
      <c r="BK466" s="5" t="s">
        <v>254</v>
      </c>
      <c r="BY466" s="5" t="s">
        <v>238</v>
      </c>
      <c r="BZ466" s="5" t="s">
        <v>238</v>
      </c>
      <c r="CD466" s="5" t="s">
        <v>255</v>
      </c>
      <c r="CE466" s="5" t="s">
        <v>256</v>
      </c>
      <c r="CF466" s="5" t="s">
        <v>238</v>
      </c>
      <c r="CI466" s="6" t="s">
        <v>257</v>
      </c>
      <c r="CJ466" s="5" t="s">
        <v>238</v>
      </c>
      <c r="CK466" s="5" t="s">
        <v>258</v>
      </c>
      <c r="CL466" s="5" t="s">
        <v>238</v>
      </c>
      <c r="CM466" s="5" t="s">
        <v>238</v>
      </c>
      <c r="CN466" s="5">
        <v>0</v>
      </c>
      <c r="CO466" s="5" t="s">
        <v>259</v>
      </c>
      <c r="CP466" s="5" t="s">
        <v>260</v>
      </c>
      <c r="CQ466" s="5" t="s">
        <v>260</v>
      </c>
      <c r="CR466" s="5" t="s">
        <v>261</v>
      </c>
      <c r="CU466" s="8">
        <f>13684</f>
        <v>13684</v>
      </c>
      <c r="CV466" s="8">
        <f>0</f>
        <v>0</v>
      </c>
      <c r="CX466" s="8">
        <f>0</f>
        <v>0</v>
      </c>
      <c r="CY466" s="8">
        <f>13684</f>
        <v>13684</v>
      </c>
      <c r="DA466" s="5" t="s">
        <v>533</v>
      </c>
      <c r="DB466" s="5" t="s">
        <v>238</v>
      </c>
      <c r="DD466" s="5" t="s">
        <v>356</v>
      </c>
      <c r="DE466" s="8">
        <f>0</f>
        <v>0</v>
      </c>
      <c r="DG466" s="5" t="s">
        <v>534</v>
      </c>
      <c r="DH466" s="5" t="s">
        <v>238</v>
      </c>
      <c r="DI466" s="5" t="s">
        <v>238</v>
      </c>
      <c r="DJ466" s="5" t="s">
        <v>238</v>
      </c>
      <c r="DN466" s="5" t="s">
        <v>238</v>
      </c>
      <c r="DO466" s="5" t="s">
        <v>238</v>
      </c>
      <c r="DP466" s="5" t="s">
        <v>238</v>
      </c>
      <c r="DQ466" s="5" t="s">
        <v>238</v>
      </c>
      <c r="DT466" s="5" t="s">
        <v>535</v>
      </c>
      <c r="DU466" s="5" t="s">
        <v>806</v>
      </c>
      <c r="HM466" s="5" t="s">
        <v>264</v>
      </c>
    </row>
    <row r="467" spans="1:221" x14ac:dyDescent="0.4">
      <c r="A467" s="5">
        <v>1329</v>
      </c>
      <c r="B467" s="5">
        <v>1</v>
      </c>
      <c r="C467" s="5">
        <v>1</v>
      </c>
      <c r="D467" s="5" t="s">
        <v>484</v>
      </c>
      <c r="E467" s="5" t="s">
        <v>485</v>
      </c>
      <c r="F467" s="5" t="s">
        <v>248</v>
      </c>
      <c r="G467" s="5" t="s">
        <v>531</v>
      </c>
      <c r="H467" s="6" t="s">
        <v>4075</v>
      </c>
      <c r="I467" s="7">
        <f>1359</f>
        <v>1359</v>
      </c>
      <c r="J467" s="5" t="s">
        <v>262</v>
      </c>
      <c r="K467" s="8">
        <f>14949</f>
        <v>14949</v>
      </c>
      <c r="L467" s="6" t="s">
        <v>242</v>
      </c>
      <c r="M467" s="5" t="s">
        <v>267</v>
      </c>
      <c r="N467" s="5" t="s">
        <v>237</v>
      </c>
      <c r="O467" s="5" t="s">
        <v>238</v>
      </c>
      <c r="P467" s="5" t="s">
        <v>238</v>
      </c>
      <c r="Q467" s="5" t="s">
        <v>239</v>
      </c>
      <c r="R467" s="5" t="s">
        <v>240</v>
      </c>
      <c r="S467" s="5" t="s">
        <v>238</v>
      </c>
      <c r="V467" s="5" t="s">
        <v>238</v>
      </c>
      <c r="X467" s="6" t="s">
        <v>238</v>
      </c>
      <c r="AA467" s="6" t="s">
        <v>243</v>
      </c>
      <c r="AB467" s="5" t="s">
        <v>238</v>
      </c>
      <c r="AC467" s="5" t="s">
        <v>244</v>
      </c>
      <c r="AD467" s="5" t="s">
        <v>245</v>
      </c>
      <c r="AT467" s="5" t="s">
        <v>246</v>
      </c>
      <c r="AU467" s="5" t="s">
        <v>238</v>
      </c>
      <c r="AV467" s="5" t="s">
        <v>247</v>
      </c>
      <c r="AW467" s="5" t="s">
        <v>238</v>
      </c>
      <c r="AX467" s="5" t="s">
        <v>249</v>
      </c>
      <c r="AY467" s="5" t="s">
        <v>238</v>
      </c>
      <c r="BA467" s="5" t="s">
        <v>238</v>
      </c>
      <c r="BC467" s="5" t="s">
        <v>250</v>
      </c>
      <c r="BD467" s="6" t="s">
        <v>243</v>
      </c>
      <c r="BE467" s="5" t="s">
        <v>251</v>
      </c>
      <c r="BF467" s="5" t="s">
        <v>252</v>
      </c>
      <c r="BG467" s="5" t="s">
        <v>238</v>
      </c>
      <c r="BH467" s="7">
        <f>0</f>
        <v>0</v>
      </c>
      <c r="BI467" s="8">
        <f>0</f>
        <v>0</v>
      </c>
      <c r="BJ467" s="5" t="s">
        <v>253</v>
      </c>
      <c r="BK467" s="5" t="s">
        <v>254</v>
      </c>
      <c r="BY467" s="5" t="s">
        <v>238</v>
      </c>
      <c r="BZ467" s="5" t="s">
        <v>238</v>
      </c>
      <c r="CD467" s="5" t="s">
        <v>255</v>
      </c>
      <c r="CE467" s="5" t="s">
        <v>256</v>
      </c>
      <c r="CF467" s="5" t="s">
        <v>238</v>
      </c>
      <c r="CI467" s="6" t="s">
        <v>257</v>
      </c>
      <c r="CJ467" s="5" t="s">
        <v>238</v>
      </c>
      <c r="CK467" s="5" t="s">
        <v>258</v>
      </c>
      <c r="CL467" s="5" t="s">
        <v>238</v>
      </c>
      <c r="CM467" s="5" t="s">
        <v>238</v>
      </c>
      <c r="CN467" s="5">
        <v>0</v>
      </c>
      <c r="CO467" s="5" t="s">
        <v>259</v>
      </c>
      <c r="CP467" s="5" t="s">
        <v>260</v>
      </c>
      <c r="CQ467" s="5" t="s">
        <v>260</v>
      </c>
      <c r="CR467" s="5" t="s">
        <v>261</v>
      </c>
      <c r="CU467" s="8">
        <f>14949</f>
        <v>14949</v>
      </c>
      <c r="CV467" s="8">
        <f>0</f>
        <v>0</v>
      </c>
      <c r="CX467" s="8">
        <f>0</f>
        <v>0</v>
      </c>
      <c r="CY467" s="8">
        <f>14949</f>
        <v>14949</v>
      </c>
      <c r="DA467" s="5" t="s">
        <v>533</v>
      </c>
      <c r="DB467" s="5" t="s">
        <v>238</v>
      </c>
      <c r="DD467" s="5" t="s">
        <v>356</v>
      </c>
      <c r="DE467" s="8">
        <f>1359</f>
        <v>1359</v>
      </c>
      <c r="DG467" s="5" t="s">
        <v>534</v>
      </c>
      <c r="DH467" s="5" t="s">
        <v>238</v>
      </c>
      <c r="DI467" s="5" t="s">
        <v>238</v>
      </c>
      <c r="DJ467" s="5" t="s">
        <v>238</v>
      </c>
      <c r="DN467" s="5" t="s">
        <v>238</v>
      </c>
      <c r="DO467" s="5" t="s">
        <v>238</v>
      </c>
      <c r="DP467" s="5" t="s">
        <v>238</v>
      </c>
      <c r="DQ467" s="5" t="s">
        <v>238</v>
      </c>
      <c r="DT467" s="5" t="s">
        <v>535</v>
      </c>
      <c r="DU467" s="5" t="s">
        <v>854</v>
      </c>
      <c r="HM467" s="5" t="s">
        <v>264</v>
      </c>
    </row>
    <row r="468" spans="1:221" x14ac:dyDescent="0.4">
      <c r="A468" s="5">
        <v>1330</v>
      </c>
      <c r="B468" s="5">
        <v>1</v>
      </c>
      <c r="C468" s="5">
        <v>1</v>
      </c>
      <c r="D468" s="5" t="s">
        <v>484</v>
      </c>
      <c r="E468" s="5" t="s">
        <v>485</v>
      </c>
      <c r="F468" s="5" t="s">
        <v>248</v>
      </c>
      <c r="G468" s="5" t="s">
        <v>531</v>
      </c>
      <c r="H468" s="6" t="s">
        <v>4039</v>
      </c>
      <c r="I468" s="7">
        <f>1363</f>
        <v>1363</v>
      </c>
      <c r="J468" s="5" t="s">
        <v>262</v>
      </c>
      <c r="K468" s="8">
        <f>14993</f>
        <v>14993</v>
      </c>
      <c r="L468" s="6" t="s">
        <v>242</v>
      </c>
      <c r="M468" s="5" t="s">
        <v>267</v>
      </c>
      <c r="N468" s="5" t="s">
        <v>237</v>
      </c>
      <c r="O468" s="5" t="s">
        <v>238</v>
      </c>
      <c r="P468" s="5" t="s">
        <v>238</v>
      </c>
      <c r="Q468" s="5" t="s">
        <v>239</v>
      </c>
      <c r="R468" s="5" t="s">
        <v>240</v>
      </c>
      <c r="S468" s="5" t="s">
        <v>238</v>
      </c>
      <c r="V468" s="5" t="s">
        <v>238</v>
      </c>
      <c r="X468" s="6" t="s">
        <v>238</v>
      </c>
      <c r="AA468" s="6" t="s">
        <v>243</v>
      </c>
      <c r="AB468" s="5" t="s">
        <v>238</v>
      </c>
      <c r="AC468" s="5" t="s">
        <v>244</v>
      </c>
      <c r="AD468" s="5" t="s">
        <v>245</v>
      </c>
      <c r="AT468" s="5" t="s">
        <v>246</v>
      </c>
      <c r="AU468" s="5" t="s">
        <v>238</v>
      </c>
      <c r="AV468" s="5" t="s">
        <v>247</v>
      </c>
      <c r="AW468" s="5" t="s">
        <v>238</v>
      </c>
      <c r="AX468" s="5" t="s">
        <v>249</v>
      </c>
      <c r="AY468" s="5" t="s">
        <v>238</v>
      </c>
      <c r="BA468" s="5" t="s">
        <v>238</v>
      </c>
      <c r="BC468" s="5" t="s">
        <v>250</v>
      </c>
      <c r="BD468" s="6" t="s">
        <v>243</v>
      </c>
      <c r="BE468" s="5" t="s">
        <v>251</v>
      </c>
      <c r="BF468" s="5" t="s">
        <v>252</v>
      </c>
      <c r="BG468" s="5" t="s">
        <v>238</v>
      </c>
      <c r="BH468" s="7">
        <f>0</f>
        <v>0</v>
      </c>
      <c r="BI468" s="8">
        <f>0</f>
        <v>0</v>
      </c>
      <c r="BJ468" s="5" t="s">
        <v>253</v>
      </c>
      <c r="BK468" s="5" t="s">
        <v>254</v>
      </c>
      <c r="BY468" s="5" t="s">
        <v>238</v>
      </c>
      <c r="BZ468" s="5" t="s">
        <v>238</v>
      </c>
      <c r="CD468" s="5" t="s">
        <v>255</v>
      </c>
      <c r="CE468" s="5" t="s">
        <v>256</v>
      </c>
      <c r="CF468" s="5" t="s">
        <v>238</v>
      </c>
      <c r="CI468" s="6" t="s">
        <v>257</v>
      </c>
      <c r="CJ468" s="5" t="s">
        <v>238</v>
      </c>
      <c r="CK468" s="5" t="s">
        <v>258</v>
      </c>
      <c r="CL468" s="5" t="s">
        <v>238</v>
      </c>
      <c r="CM468" s="5" t="s">
        <v>238</v>
      </c>
      <c r="CN468" s="5">
        <v>0</v>
      </c>
      <c r="CO468" s="5" t="s">
        <v>259</v>
      </c>
      <c r="CP468" s="5" t="s">
        <v>260</v>
      </c>
      <c r="CQ468" s="5" t="s">
        <v>260</v>
      </c>
      <c r="CR468" s="5" t="s">
        <v>261</v>
      </c>
      <c r="CU468" s="8">
        <f>14993</f>
        <v>14993</v>
      </c>
      <c r="CV468" s="8">
        <f>0</f>
        <v>0</v>
      </c>
      <c r="CX468" s="8">
        <f>0</f>
        <v>0</v>
      </c>
      <c r="CY468" s="8">
        <f>14993</f>
        <v>14993</v>
      </c>
      <c r="DA468" s="5" t="s">
        <v>533</v>
      </c>
      <c r="DB468" s="5" t="s">
        <v>238</v>
      </c>
      <c r="DD468" s="5" t="s">
        <v>356</v>
      </c>
      <c r="DE468" s="8">
        <f>1363</f>
        <v>1363</v>
      </c>
      <c r="DG468" s="5" t="s">
        <v>534</v>
      </c>
      <c r="DH468" s="5" t="s">
        <v>238</v>
      </c>
      <c r="DI468" s="5" t="s">
        <v>238</v>
      </c>
      <c r="DJ468" s="5" t="s">
        <v>238</v>
      </c>
      <c r="DN468" s="5" t="s">
        <v>238</v>
      </c>
      <c r="DO468" s="5" t="s">
        <v>238</v>
      </c>
      <c r="DP468" s="5" t="s">
        <v>238</v>
      </c>
      <c r="DQ468" s="5" t="s">
        <v>238</v>
      </c>
      <c r="DT468" s="5" t="s">
        <v>535</v>
      </c>
      <c r="DU468" s="5" t="s">
        <v>911</v>
      </c>
      <c r="HM468" s="5" t="s">
        <v>264</v>
      </c>
    </row>
    <row r="469" spans="1:221" x14ac:dyDescent="0.4">
      <c r="A469" s="5">
        <v>1331</v>
      </c>
      <c r="B469" s="5">
        <v>1</v>
      </c>
      <c r="C469" s="5">
        <v>1</v>
      </c>
      <c r="D469" s="5" t="s">
        <v>484</v>
      </c>
      <c r="E469" s="5" t="s">
        <v>485</v>
      </c>
      <c r="F469" s="5" t="s">
        <v>248</v>
      </c>
      <c r="G469" s="5" t="s">
        <v>531</v>
      </c>
      <c r="H469" s="6" t="s">
        <v>4006</v>
      </c>
      <c r="I469" s="7">
        <f>1295</f>
        <v>1295</v>
      </c>
      <c r="J469" s="5" t="s">
        <v>262</v>
      </c>
      <c r="K469" s="8">
        <f>14245</f>
        <v>14245</v>
      </c>
      <c r="L469" s="6" t="s">
        <v>242</v>
      </c>
      <c r="M469" s="5" t="s">
        <v>267</v>
      </c>
      <c r="N469" s="5" t="s">
        <v>237</v>
      </c>
      <c r="O469" s="5" t="s">
        <v>238</v>
      </c>
      <c r="P469" s="5" t="s">
        <v>238</v>
      </c>
      <c r="Q469" s="5" t="s">
        <v>239</v>
      </c>
      <c r="R469" s="5" t="s">
        <v>240</v>
      </c>
      <c r="S469" s="5" t="s">
        <v>238</v>
      </c>
      <c r="V469" s="5" t="s">
        <v>238</v>
      </c>
      <c r="X469" s="6" t="s">
        <v>238</v>
      </c>
      <c r="AA469" s="6" t="s">
        <v>243</v>
      </c>
      <c r="AB469" s="5" t="s">
        <v>238</v>
      </c>
      <c r="AC469" s="5" t="s">
        <v>244</v>
      </c>
      <c r="AD469" s="5" t="s">
        <v>245</v>
      </c>
      <c r="AT469" s="5" t="s">
        <v>246</v>
      </c>
      <c r="AU469" s="5" t="s">
        <v>238</v>
      </c>
      <c r="AV469" s="5" t="s">
        <v>247</v>
      </c>
      <c r="AW469" s="5" t="s">
        <v>238</v>
      </c>
      <c r="AX469" s="5" t="s">
        <v>249</v>
      </c>
      <c r="AY469" s="5" t="s">
        <v>238</v>
      </c>
      <c r="BA469" s="5" t="s">
        <v>238</v>
      </c>
      <c r="BC469" s="5" t="s">
        <v>250</v>
      </c>
      <c r="BD469" s="6" t="s">
        <v>243</v>
      </c>
      <c r="BE469" s="5" t="s">
        <v>251</v>
      </c>
      <c r="BF469" s="5" t="s">
        <v>252</v>
      </c>
      <c r="BG469" s="5" t="s">
        <v>238</v>
      </c>
      <c r="BH469" s="7">
        <f>0</f>
        <v>0</v>
      </c>
      <c r="BI469" s="8">
        <f>0</f>
        <v>0</v>
      </c>
      <c r="BJ469" s="5" t="s">
        <v>253</v>
      </c>
      <c r="BK469" s="5" t="s">
        <v>254</v>
      </c>
      <c r="BY469" s="5" t="s">
        <v>238</v>
      </c>
      <c r="BZ469" s="5" t="s">
        <v>238</v>
      </c>
      <c r="CD469" s="5" t="s">
        <v>255</v>
      </c>
      <c r="CE469" s="5" t="s">
        <v>256</v>
      </c>
      <c r="CF469" s="5" t="s">
        <v>238</v>
      </c>
      <c r="CI469" s="6" t="s">
        <v>257</v>
      </c>
      <c r="CJ469" s="5" t="s">
        <v>238</v>
      </c>
      <c r="CK469" s="5" t="s">
        <v>258</v>
      </c>
      <c r="CL469" s="5" t="s">
        <v>238</v>
      </c>
      <c r="CM469" s="5" t="s">
        <v>238</v>
      </c>
      <c r="CN469" s="5">
        <v>0</v>
      </c>
      <c r="CO469" s="5" t="s">
        <v>259</v>
      </c>
      <c r="CP469" s="5" t="s">
        <v>260</v>
      </c>
      <c r="CQ469" s="5" t="s">
        <v>260</v>
      </c>
      <c r="CR469" s="5" t="s">
        <v>261</v>
      </c>
      <c r="CU469" s="8">
        <f>14245</f>
        <v>14245</v>
      </c>
      <c r="CV469" s="8">
        <f>0</f>
        <v>0</v>
      </c>
      <c r="CX469" s="8">
        <f>0</f>
        <v>0</v>
      </c>
      <c r="CY469" s="8">
        <f>14245</f>
        <v>14245</v>
      </c>
      <c r="DA469" s="5" t="s">
        <v>533</v>
      </c>
      <c r="DB469" s="5" t="s">
        <v>238</v>
      </c>
      <c r="DD469" s="5" t="s">
        <v>356</v>
      </c>
      <c r="DE469" s="8">
        <f>0</f>
        <v>0</v>
      </c>
      <c r="DG469" s="5" t="s">
        <v>534</v>
      </c>
      <c r="DH469" s="5" t="s">
        <v>238</v>
      </c>
      <c r="DI469" s="5" t="s">
        <v>238</v>
      </c>
      <c r="DJ469" s="5" t="s">
        <v>238</v>
      </c>
      <c r="DN469" s="5" t="s">
        <v>238</v>
      </c>
      <c r="DO469" s="5" t="s">
        <v>238</v>
      </c>
      <c r="DP469" s="5" t="s">
        <v>238</v>
      </c>
      <c r="DQ469" s="5" t="s">
        <v>238</v>
      </c>
      <c r="DT469" s="5" t="s">
        <v>535</v>
      </c>
      <c r="DU469" s="5" t="s">
        <v>967</v>
      </c>
      <c r="HM469" s="5" t="s">
        <v>264</v>
      </c>
    </row>
    <row r="470" spans="1:221" x14ac:dyDescent="0.4">
      <c r="A470" s="5">
        <v>1332</v>
      </c>
      <c r="B470" s="5">
        <v>1</v>
      </c>
      <c r="C470" s="5">
        <v>1</v>
      </c>
      <c r="D470" s="5" t="s">
        <v>484</v>
      </c>
      <c r="E470" s="5" t="s">
        <v>485</v>
      </c>
      <c r="F470" s="5" t="s">
        <v>248</v>
      </c>
      <c r="G470" s="5" t="s">
        <v>531</v>
      </c>
      <c r="H470" s="6" t="s">
        <v>5585</v>
      </c>
      <c r="I470" s="7">
        <f>1324</f>
        <v>1324</v>
      </c>
      <c r="J470" s="5" t="s">
        <v>262</v>
      </c>
      <c r="K470" s="8">
        <f>14564</f>
        <v>14564</v>
      </c>
      <c r="L470" s="6" t="s">
        <v>242</v>
      </c>
      <c r="M470" s="5" t="s">
        <v>267</v>
      </c>
      <c r="N470" s="5" t="s">
        <v>237</v>
      </c>
      <c r="O470" s="5" t="s">
        <v>238</v>
      </c>
      <c r="P470" s="5" t="s">
        <v>238</v>
      </c>
      <c r="Q470" s="5" t="s">
        <v>239</v>
      </c>
      <c r="R470" s="5" t="s">
        <v>240</v>
      </c>
      <c r="S470" s="5" t="s">
        <v>238</v>
      </c>
      <c r="V470" s="5" t="s">
        <v>238</v>
      </c>
      <c r="X470" s="6" t="s">
        <v>238</v>
      </c>
      <c r="AA470" s="6" t="s">
        <v>243</v>
      </c>
      <c r="AB470" s="5" t="s">
        <v>238</v>
      </c>
      <c r="AC470" s="5" t="s">
        <v>244</v>
      </c>
      <c r="AD470" s="5" t="s">
        <v>245</v>
      </c>
      <c r="AT470" s="5" t="s">
        <v>246</v>
      </c>
      <c r="AU470" s="5" t="s">
        <v>238</v>
      </c>
      <c r="AV470" s="5" t="s">
        <v>247</v>
      </c>
      <c r="AW470" s="5" t="s">
        <v>238</v>
      </c>
      <c r="AX470" s="5" t="s">
        <v>249</v>
      </c>
      <c r="AY470" s="5" t="s">
        <v>238</v>
      </c>
      <c r="BA470" s="5" t="s">
        <v>238</v>
      </c>
      <c r="BC470" s="5" t="s">
        <v>250</v>
      </c>
      <c r="BD470" s="6" t="s">
        <v>243</v>
      </c>
      <c r="BE470" s="5" t="s">
        <v>251</v>
      </c>
      <c r="BF470" s="5" t="s">
        <v>252</v>
      </c>
      <c r="BG470" s="5" t="s">
        <v>238</v>
      </c>
      <c r="BH470" s="7">
        <f>0</f>
        <v>0</v>
      </c>
      <c r="BI470" s="8">
        <f>0</f>
        <v>0</v>
      </c>
      <c r="BJ470" s="5" t="s">
        <v>253</v>
      </c>
      <c r="BK470" s="5" t="s">
        <v>254</v>
      </c>
      <c r="BY470" s="5" t="s">
        <v>238</v>
      </c>
      <c r="BZ470" s="5" t="s">
        <v>238</v>
      </c>
      <c r="CD470" s="5" t="s">
        <v>255</v>
      </c>
      <c r="CE470" s="5" t="s">
        <v>256</v>
      </c>
      <c r="CF470" s="5" t="s">
        <v>238</v>
      </c>
      <c r="CI470" s="6" t="s">
        <v>257</v>
      </c>
      <c r="CJ470" s="5" t="s">
        <v>238</v>
      </c>
      <c r="CK470" s="5" t="s">
        <v>258</v>
      </c>
      <c r="CL470" s="5" t="s">
        <v>238</v>
      </c>
      <c r="CM470" s="5" t="s">
        <v>238</v>
      </c>
      <c r="CN470" s="5">
        <v>0</v>
      </c>
      <c r="CO470" s="5" t="s">
        <v>259</v>
      </c>
      <c r="CP470" s="5" t="s">
        <v>260</v>
      </c>
      <c r="CQ470" s="5" t="s">
        <v>260</v>
      </c>
      <c r="CR470" s="5" t="s">
        <v>261</v>
      </c>
      <c r="CU470" s="8">
        <f>14564</f>
        <v>14564</v>
      </c>
      <c r="CV470" s="8">
        <f>0</f>
        <v>0</v>
      </c>
      <c r="CX470" s="8">
        <f>0</f>
        <v>0</v>
      </c>
      <c r="CY470" s="8">
        <f>14564</f>
        <v>14564</v>
      </c>
      <c r="DA470" s="5" t="s">
        <v>533</v>
      </c>
      <c r="DB470" s="5" t="s">
        <v>238</v>
      </c>
      <c r="DD470" s="5" t="s">
        <v>356</v>
      </c>
      <c r="DE470" s="8">
        <f>0</f>
        <v>0</v>
      </c>
      <c r="DG470" s="5" t="s">
        <v>534</v>
      </c>
      <c r="DH470" s="5" t="s">
        <v>238</v>
      </c>
      <c r="DI470" s="5" t="s">
        <v>238</v>
      </c>
      <c r="DJ470" s="5" t="s">
        <v>238</v>
      </c>
      <c r="DN470" s="5" t="s">
        <v>238</v>
      </c>
      <c r="DO470" s="5" t="s">
        <v>238</v>
      </c>
      <c r="DP470" s="5" t="s">
        <v>238</v>
      </c>
      <c r="DQ470" s="5" t="s">
        <v>238</v>
      </c>
      <c r="DT470" s="5" t="s">
        <v>535</v>
      </c>
      <c r="DU470" s="5" t="s">
        <v>1376</v>
      </c>
      <c r="HM470" s="5" t="s">
        <v>264</v>
      </c>
    </row>
    <row r="471" spans="1:221" x14ac:dyDescent="0.4">
      <c r="A471" s="5">
        <v>1333</v>
      </c>
      <c r="B471" s="5">
        <v>1</v>
      </c>
      <c r="C471" s="5">
        <v>1</v>
      </c>
      <c r="D471" s="5" t="s">
        <v>484</v>
      </c>
      <c r="E471" s="5" t="s">
        <v>485</v>
      </c>
      <c r="F471" s="5" t="s">
        <v>248</v>
      </c>
      <c r="G471" s="5" t="s">
        <v>531</v>
      </c>
      <c r="H471" s="6" t="s">
        <v>4001</v>
      </c>
      <c r="I471" s="7">
        <f>1151</f>
        <v>1151</v>
      </c>
      <c r="J471" s="5" t="s">
        <v>262</v>
      </c>
      <c r="K471" s="8">
        <f>12661</f>
        <v>12661</v>
      </c>
      <c r="L471" s="6" t="s">
        <v>242</v>
      </c>
      <c r="M471" s="5" t="s">
        <v>267</v>
      </c>
      <c r="N471" s="5" t="s">
        <v>237</v>
      </c>
      <c r="O471" s="5" t="s">
        <v>238</v>
      </c>
      <c r="P471" s="5" t="s">
        <v>238</v>
      </c>
      <c r="Q471" s="5" t="s">
        <v>239</v>
      </c>
      <c r="R471" s="5" t="s">
        <v>240</v>
      </c>
      <c r="S471" s="5" t="s">
        <v>238</v>
      </c>
      <c r="V471" s="5" t="s">
        <v>238</v>
      </c>
      <c r="X471" s="6" t="s">
        <v>238</v>
      </c>
      <c r="AA471" s="6" t="s">
        <v>243</v>
      </c>
      <c r="AB471" s="5" t="s">
        <v>238</v>
      </c>
      <c r="AC471" s="5" t="s">
        <v>244</v>
      </c>
      <c r="AD471" s="5" t="s">
        <v>245</v>
      </c>
      <c r="AT471" s="5" t="s">
        <v>246</v>
      </c>
      <c r="AU471" s="5" t="s">
        <v>238</v>
      </c>
      <c r="AV471" s="5" t="s">
        <v>247</v>
      </c>
      <c r="AW471" s="5" t="s">
        <v>238</v>
      </c>
      <c r="AX471" s="5" t="s">
        <v>249</v>
      </c>
      <c r="AY471" s="5" t="s">
        <v>238</v>
      </c>
      <c r="BA471" s="5" t="s">
        <v>238</v>
      </c>
      <c r="BC471" s="5" t="s">
        <v>250</v>
      </c>
      <c r="BD471" s="6" t="s">
        <v>243</v>
      </c>
      <c r="BE471" s="5" t="s">
        <v>251</v>
      </c>
      <c r="BF471" s="5" t="s">
        <v>252</v>
      </c>
      <c r="BG471" s="5" t="s">
        <v>238</v>
      </c>
      <c r="BH471" s="7">
        <f>0</f>
        <v>0</v>
      </c>
      <c r="BI471" s="8">
        <f>0</f>
        <v>0</v>
      </c>
      <c r="BJ471" s="5" t="s">
        <v>253</v>
      </c>
      <c r="BK471" s="5" t="s">
        <v>254</v>
      </c>
      <c r="BY471" s="5" t="s">
        <v>238</v>
      </c>
      <c r="BZ471" s="5" t="s">
        <v>238</v>
      </c>
      <c r="CD471" s="5" t="s">
        <v>255</v>
      </c>
      <c r="CE471" s="5" t="s">
        <v>256</v>
      </c>
      <c r="CF471" s="5" t="s">
        <v>238</v>
      </c>
      <c r="CI471" s="6" t="s">
        <v>257</v>
      </c>
      <c r="CJ471" s="5" t="s">
        <v>238</v>
      </c>
      <c r="CK471" s="5" t="s">
        <v>258</v>
      </c>
      <c r="CL471" s="5" t="s">
        <v>238</v>
      </c>
      <c r="CM471" s="5" t="s">
        <v>238</v>
      </c>
      <c r="CN471" s="5">
        <v>0</v>
      </c>
      <c r="CO471" s="5" t="s">
        <v>259</v>
      </c>
      <c r="CP471" s="5" t="s">
        <v>260</v>
      </c>
      <c r="CQ471" s="5" t="s">
        <v>260</v>
      </c>
      <c r="CR471" s="5" t="s">
        <v>261</v>
      </c>
      <c r="CU471" s="8">
        <f>12661</f>
        <v>12661</v>
      </c>
      <c r="CV471" s="8">
        <f>0</f>
        <v>0</v>
      </c>
      <c r="CX471" s="8">
        <f>0</f>
        <v>0</v>
      </c>
      <c r="CY471" s="8">
        <f>12661</f>
        <v>12661</v>
      </c>
      <c r="DA471" s="5" t="s">
        <v>533</v>
      </c>
      <c r="DB471" s="5" t="s">
        <v>238</v>
      </c>
      <c r="DD471" s="5" t="s">
        <v>356</v>
      </c>
      <c r="DE471" s="8">
        <f>0</f>
        <v>0</v>
      </c>
      <c r="DG471" s="5" t="s">
        <v>534</v>
      </c>
      <c r="DH471" s="5" t="s">
        <v>238</v>
      </c>
      <c r="DI471" s="5" t="s">
        <v>238</v>
      </c>
      <c r="DJ471" s="5" t="s">
        <v>238</v>
      </c>
      <c r="DN471" s="5" t="s">
        <v>238</v>
      </c>
      <c r="DO471" s="5" t="s">
        <v>238</v>
      </c>
      <c r="DP471" s="5" t="s">
        <v>238</v>
      </c>
      <c r="DQ471" s="5" t="s">
        <v>238</v>
      </c>
      <c r="DT471" s="5" t="s">
        <v>535</v>
      </c>
      <c r="DU471" s="5" t="s">
        <v>1372</v>
      </c>
      <c r="HM471" s="5" t="s">
        <v>264</v>
      </c>
    </row>
    <row r="472" spans="1:221" x14ac:dyDescent="0.4">
      <c r="A472" s="5">
        <v>1334</v>
      </c>
      <c r="B472" s="5">
        <v>1</v>
      </c>
      <c r="C472" s="5">
        <v>1</v>
      </c>
      <c r="D472" s="5" t="s">
        <v>484</v>
      </c>
      <c r="E472" s="5" t="s">
        <v>485</v>
      </c>
      <c r="F472" s="5" t="s">
        <v>248</v>
      </c>
      <c r="G472" s="5" t="s">
        <v>531</v>
      </c>
      <c r="H472" s="6" t="s">
        <v>3947</v>
      </c>
      <c r="I472" s="7">
        <f>216</f>
        <v>216</v>
      </c>
      <c r="J472" s="5" t="s">
        <v>262</v>
      </c>
      <c r="K472" s="8">
        <f>2376</f>
        <v>2376</v>
      </c>
      <c r="L472" s="6" t="s">
        <v>242</v>
      </c>
      <c r="M472" s="5" t="s">
        <v>267</v>
      </c>
      <c r="N472" s="5" t="s">
        <v>237</v>
      </c>
      <c r="O472" s="5" t="s">
        <v>238</v>
      </c>
      <c r="P472" s="5" t="s">
        <v>238</v>
      </c>
      <c r="Q472" s="5" t="s">
        <v>239</v>
      </c>
      <c r="R472" s="5" t="s">
        <v>240</v>
      </c>
      <c r="S472" s="5" t="s">
        <v>238</v>
      </c>
      <c r="V472" s="5" t="s">
        <v>238</v>
      </c>
      <c r="X472" s="6" t="s">
        <v>238</v>
      </c>
      <c r="AA472" s="6" t="s">
        <v>243</v>
      </c>
      <c r="AB472" s="5" t="s">
        <v>238</v>
      </c>
      <c r="AC472" s="5" t="s">
        <v>244</v>
      </c>
      <c r="AD472" s="5" t="s">
        <v>245</v>
      </c>
      <c r="AT472" s="5" t="s">
        <v>246</v>
      </c>
      <c r="AU472" s="5" t="s">
        <v>238</v>
      </c>
      <c r="AV472" s="5" t="s">
        <v>247</v>
      </c>
      <c r="AW472" s="5" t="s">
        <v>238</v>
      </c>
      <c r="AX472" s="5" t="s">
        <v>249</v>
      </c>
      <c r="AY472" s="5" t="s">
        <v>238</v>
      </c>
      <c r="BA472" s="5" t="s">
        <v>238</v>
      </c>
      <c r="BC472" s="5" t="s">
        <v>250</v>
      </c>
      <c r="BD472" s="6" t="s">
        <v>243</v>
      </c>
      <c r="BE472" s="5" t="s">
        <v>251</v>
      </c>
      <c r="BF472" s="5" t="s">
        <v>252</v>
      </c>
      <c r="BG472" s="5" t="s">
        <v>238</v>
      </c>
      <c r="BH472" s="7">
        <f>0</f>
        <v>0</v>
      </c>
      <c r="BI472" s="8">
        <f>0</f>
        <v>0</v>
      </c>
      <c r="BJ472" s="5" t="s">
        <v>253</v>
      </c>
      <c r="BK472" s="5" t="s">
        <v>254</v>
      </c>
      <c r="BY472" s="5" t="s">
        <v>238</v>
      </c>
      <c r="BZ472" s="5" t="s">
        <v>238</v>
      </c>
      <c r="CD472" s="5" t="s">
        <v>255</v>
      </c>
      <c r="CE472" s="5" t="s">
        <v>256</v>
      </c>
      <c r="CF472" s="5" t="s">
        <v>238</v>
      </c>
      <c r="CI472" s="6" t="s">
        <v>257</v>
      </c>
      <c r="CJ472" s="5" t="s">
        <v>238</v>
      </c>
      <c r="CK472" s="5" t="s">
        <v>258</v>
      </c>
      <c r="CL472" s="5" t="s">
        <v>238</v>
      </c>
      <c r="CM472" s="5" t="s">
        <v>238</v>
      </c>
      <c r="CN472" s="5">
        <v>0</v>
      </c>
      <c r="CO472" s="5" t="s">
        <v>259</v>
      </c>
      <c r="CP472" s="5" t="s">
        <v>260</v>
      </c>
      <c r="CQ472" s="5" t="s">
        <v>260</v>
      </c>
      <c r="CR472" s="5" t="s">
        <v>261</v>
      </c>
      <c r="CU472" s="8">
        <f>2376</f>
        <v>2376</v>
      </c>
      <c r="CV472" s="8">
        <f>0</f>
        <v>0</v>
      </c>
      <c r="CX472" s="8">
        <f>0</f>
        <v>0</v>
      </c>
      <c r="CY472" s="8">
        <f>2376</f>
        <v>2376</v>
      </c>
      <c r="DA472" s="5" t="s">
        <v>533</v>
      </c>
      <c r="DB472" s="5" t="s">
        <v>238</v>
      </c>
      <c r="DD472" s="5" t="s">
        <v>356</v>
      </c>
      <c r="DE472" s="8">
        <f>0</f>
        <v>0</v>
      </c>
      <c r="DG472" s="5" t="s">
        <v>534</v>
      </c>
      <c r="DH472" s="5" t="s">
        <v>238</v>
      </c>
      <c r="DI472" s="5" t="s">
        <v>238</v>
      </c>
      <c r="DJ472" s="5" t="s">
        <v>238</v>
      </c>
      <c r="DN472" s="5" t="s">
        <v>238</v>
      </c>
      <c r="DO472" s="5" t="s">
        <v>238</v>
      </c>
      <c r="DP472" s="5" t="s">
        <v>238</v>
      </c>
      <c r="DQ472" s="5" t="s">
        <v>238</v>
      </c>
      <c r="DT472" s="5" t="s">
        <v>535</v>
      </c>
      <c r="DU472" s="5" t="s">
        <v>1370</v>
      </c>
      <c r="HM472" s="5" t="s">
        <v>264</v>
      </c>
    </row>
    <row r="473" spans="1:221" x14ac:dyDescent="0.4">
      <c r="A473" s="5">
        <v>1335</v>
      </c>
      <c r="B473" s="5">
        <v>1</v>
      </c>
      <c r="C473" s="5">
        <v>1</v>
      </c>
      <c r="D473" s="5" t="s">
        <v>484</v>
      </c>
      <c r="E473" s="5" t="s">
        <v>485</v>
      </c>
      <c r="F473" s="5" t="s">
        <v>248</v>
      </c>
      <c r="G473" s="5" t="s">
        <v>531</v>
      </c>
      <c r="H473" s="6" t="s">
        <v>3944</v>
      </c>
      <c r="I473" s="7">
        <f>1594</f>
        <v>1594</v>
      </c>
      <c r="J473" s="5" t="s">
        <v>262</v>
      </c>
      <c r="K473" s="8">
        <f>17534</f>
        <v>17534</v>
      </c>
      <c r="L473" s="6" t="s">
        <v>242</v>
      </c>
      <c r="M473" s="5" t="s">
        <v>267</v>
      </c>
      <c r="N473" s="5" t="s">
        <v>237</v>
      </c>
      <c r="O473" s="5" t="s">
        <v>238</v>
      </c>
      <c r="P473" s="5" t="s">
        <v>238</v>
      </c>
      <c r="Q473" s="5" t="s">
        <v>239</v>
      </c>
      <c r="R473" s="5" t="s">
        <v>240</v>
      </c>
      <c r="S473" s="5" t="s">
        <v>238</v>
      </c>
      <c r="V473" s="5" t="s">
        <v>238</v>
      </c>
      <c r="X473" s="6" t="s">
        <v>238</v>
      </c>
      <c r="AA473" s="6" t="s">
        <v>243</v>
      </c>
      <c r="AB473" s="5" t="s">
        <v>238</v>
      </c>
      <c r="AC473" s="5" t="s">
        <v>244</v>
      </c>
      <c r="AD473" s="5" t="s">
        <v>245</v>
      </c>
      <c r="AT473" s="5" t="s">
        <v>246</v>
      </c>
      <c r="AU473" s="5" t="s">
        <v>238</v>
      </c>
      <c r="AV473" s="5" t="s">
        <v>247</v>
      </c>
      <c r="AW473" s="5" t="s">
        <v>238</v>
      </c>
      <c r="AX473" s="5" t="s">
        <v>249</v>
      </c>
      <c r="AY473" s="5" t="s">
        <v>238</v>
      </c>
      <c r="BA473" s="5" t="s">
        <v>238</v>
      </c>
      <c r="BC473" s="5" t="s">
        <v>250</v>
      </c>
      <c r="BD473" s="6" t="s">
        <v>243</v>
      </c>
      <c r="BE473" s="5" t="s">
        <v>251</v>
      </c>
      <c r="BF473" s="5" t="s">
        <v>252</v>
      </c>
      <c r="BG473" s="5" t="s">
        <v>238</v>
      </c>
      <c r="BH473" s="7">
        <f>0</f>
        <v>0</v>
      </c>
      <c r="BI473" s="8">
        <f>0</f>
        <v>0</v>
      </c>
      <c r="BJ473" s="5" t="s">
        <v>253</v>
      </c>
      <c r="BK473" s="5" t="s">
        <v>254</v>
      </c>
      <c r="BY473" s="5" t="s">
        <v>238</v>
      </c>
      <c r="BZ473" s="5" t="s">
        <v>238</v>
      </c>
      <c r="CD473" s="5" t="s">
        <v>255</v>
      </c>
      <c r="CE473" s="5" t="s">
        <v>256</v>
      </c>
      <c r="CF473" s="5" t="s">
        <v>238</v>
      </c>
      <c r="CI473" s="6" t="s">
        <v>257</v>
      </c>
      <c r="CJ473" s="5" t="s">
        <v>238</v>
      </c>
      <c r="CK473" s="5" t="s">
        <v>258</v>
      </c>
      <c r="CL473" s="5" t="s">
        <v>238</v>
      </c>
      <c r="CM473" s="5" t="s">
        <v>238</v>
      </c>
      <c r="CN473" s="5">
        <v>0</v>
      </c>
      <c r="CO473" s="5" t="s">
        <v>259</v>
      </c>
      <c r="CP473" s="5" t="s">
        <v>260</v>
      </c>
      <c r="CQ473" s="5" t="s">
        <v>260</v>
      </c>
      <c r="CR473" s="5" t="s">
        <v>261</v>
      </c>
      <c r="CU473" s="8">
        <f>17534</f>
        <v>17534</v>
      </c>
      <c r="CV473" s="8">
        <f>0</f>
        <v>0</v>
      </c>
      <c r="CX473" s="8">
        <f>0</f>
        <v>0</v>
      </c>
      <c r="CY473" s="8">
        <f>17534</f>
        <v>17534</v>
      </c>
      <c r="DA473" s="5" t="s">
        <v>533</v>
      </c>
      <c r="DB473" s="5" t="s">
        <v>238</v>
      </c>
      <c r="DD473" s="5" t="s">
        <v>356</v>
      </c>
      <c r="DE473" s="8">
        <f>0</f>
        <v>0</v>
      </c>
      <c r="DG473" s="5" t="s">
        <v>534</v>
      </c>
      <c r="DH473" s="5" t="s">
        <v>238</v>
      </c>
      <c r="DI473" s="5" t="s">
        <v>238</v>
      </c>
      <c r="DJ473" s="5" t="s">
        <v>238</v>
      </c>
      <c r="DN473" s="5" t="s">
        <v>238</v>
      </c>
      <c r="DO473" s="5" t="s">
        <v>238</v>
      </c>
      <c r="DP473" s="5" t="s">
        <v>238</v>
      </c>
      <c r="DQ473" s="5" t="s">
        <v>238</v>
      </c>
      <c r="DT473" s="5" t="s">
        <v>535</v>
      </c>
      <c r="DU473" s="5" t="s">
        <v>1364</v>
      </c>
      <c r="HM473" s="5" t="s">
        <v>264</v>
      </c>
    </row>
    <row r="474" spans="1:221" x14ac:dyDescent="0.4">
      <c r="A474" s="5">
        <v>1336</v>
      </c>
      <c r="B474" s="5">
        <v>1</v>
      </c>
      <c r="C474" s="5">
        <v>1</v>
      </c>
      <c r="D474" s="5" t="s">
        <v>484</v>
      </c>
      <c r="E474" s="5" t="s">
        <v>485</v>
      </c>
      <c r="F474" s="5" t="s">
        <v>248</v>
      </c>
      <c r="G474" s="5" t="s">
        <v>531</v>
      </c>
      <c r="H474" s="6" t="s">
        <v>5725</v>
      </c>
      <c r="I474" s="7">
        <f>97</f>
        <v>97</v>
      </c>
      <c r="J474" s="5" t="s">
        <v>262</v>
      </c>
      <c r="K474" s="8">
        <f>1067</f>
        <v>1067</v>
      </c>
      <c r="L474" s="6" t="s">
        <v>242</v>
      </c>
      <c r="M474" s="5" t="s">
        <v>267</v>
      </c>
      <c r="N474" s="5" t="s">
        <v>237</v>
      </c>
      <c r="O474" s="5" t="s">
        <v>238</v>
      </c>
      <c r="P474" s="5" t="s">
        <v>238</v>
      </c>
      <c r="Q474" s="5" t="s">
        <v>239</v>
      </c>
      <c r="R474" s="5" t="s">
        <v>240</v>
      </c>
      <c r="S474" s="5" t="s">
        <v>238</v>
      </c>
      <c r="V474" s="5" t="s">
        <v>238</v>
      </c>
      <c r="X474" s="6" t="s">
        <v>238</v>
      </c>
      <c r="AA474" s="6" t="s">
        <v>243</v>
      </c>
      <c r="AB474" s="5" t="s">
        <v>238</v>
      </c>
      <c r="AC474" s="5" t="s">
        <v>244</v>
      </c>
      <c r="AD474" s="5" t="s">
        <v>245</v>
      </c>
      <c r="AT474" s="5" t="s">
        <v>246</v>
      </c>
      <c r="AU474" s="5" t="s">
        <v>238</v>
      </c>
      <c r="AV474" s="5" t="s">
        <v>247</v>
      </c>
      <c r="AW474" s="5" t="s">
        <v>238</v>
      </c>
      <c r="AX474" s="5" t="s">
        <v>249</v>
      </c>
      <c r="AY474" s="5" t="s">
        <v>238</v>
      </c>
      <c r="BA474" s="5" t="s">
        <v>238</v>
      </c>
      <c r="BC474" s="5" t="s">
        <v>250</v>
      </c>
      <c r="BD474" s="6" t="s">
        <v>243</v>
      </c>
      <c r="BE474" s="5" t="s">
        <v>251</v>
      </c>
      <c r="BF474" s="5" t="s">
        <v>252</v>
      </c>
      <c r="BG474" s="5" t="s">
        <v>238</v>
      </c>
      <c r="BH474" s="7">
        <f>0</f>
        <v>0</v>
      </c>
      <c r="BI474" s="8">
        <f>0</f>
        <v>0</v>
      </c>
      <c r="BJ474" s="5" t="s">
        <v>253</v>
      </c>
      <c r="BK474" s="5" t="s">
        <v>254</v>
      </c>
      <c r="BY474" s="5" t="s">
        <v>238</v>
      </c>
      <c r="BZ474" s="5" t="s">
        <v>238</v>
      </c>
      <c r="CD474" s="5" t="s">
        <v>255</v>
      </c>
      <c r="CE474" s="5" t="s">
        <v>256</v>
      </c>
      <c r="CF474" s="5" t="s">
        <v>238</v>
      </c>
      <c r="CI474" s="6" t="s">
        <v>257</v>
      </c>
      <c r="CJ474" s="5" t="s">
        <v>238</v>
      </c>
      <c r="CK474" s="5" t="s">
        <v>258</v>
      </c>
      <c r="CL474" s="5" t="s">
        <v>238</v>
      </c>
      <c r="CM474" s="5" t="s">
        <v>238</v>
      </c>
      <c r="CN474" s="5">
        <v>0</v>
      </c>
      <c r="CO474" s="5" t="s">
        <v>259</v>
      </c>
      <c r="CP474" s="5" t="s">
        <v>260</v>
      </c>
      <c r="CQ474" s="5" t="s">
        <v>260</v>
      </c>
      <c r="CR474" s="5" t="s">
        <v>261</v>
      </c>
      <c r="CU474" s="8">
        <f>1067</f>
        <v>1067</v>
      </c>
      <c r="CV474" s="8">
        <f>0</f>
        <v>0</v>
      </c>
      <c r="CX474" s="8">
        <f>0</f>
        <v>0</v>
      </c>
      <c r="CY474" s="8">
        <f>1067</f>
        <v>1067</v>
      </c>
      <c r="DA474" s="5" t="s">
        <v>533</v>
      </c>
      <c r="DB474" s="5" t="s">
        <v>238</v>
      </c>
      <c r="DD474" s="5" t="s">
        <v>356</v>
      </c>
      <c r="DE474" s="8">
        <f>0</f>
        <v>0</v>
      </c>
      <c r="DG474" s="5" t="s">
        <v>534</v>
      </c>
      <c r="DH474" s="5" t="s">
        <v>238</v>
      </c>
      <c r="DI474" s="5" t="s">
        <v>238</v>
      </c>
      <c r="DJ474" s="5" t="s">
        <v>238</v>
      </c>
      <c r="DN474" s="5" t="s">
        <v>238</v>
      </c>
      <c r="DO474" s="5" t="s">
        <v>238</v>
      </c>
      <c r="DP474" s="5" t="s">
        <v>238</v>
      </c>
      <c r="DQ474" s="5" t="s">
        <v>238</v>
      </c>
      <c r="DT474" s="5" t="s">
        <v>535</v>
      </c>
      <c r="DU474" s="5" t="s">
        <v>1360</v>
      </c>
      <c r="HM474" s="5" t="s">
        <v>264</v>
      </c>
    </row>
    <row r="475" spans="1:221" x14ac:dyDescent="0.4">
      <c r="A475" s="5">
        <v>1337</v>
      </c>
      <c r="B475" s="5">
        <v>1</v>
      </c>
      <c r="C475" s="5">
        <v>1</v>
      </c>
      <c r="D475" s="5" t="s">
        <v>484</v>
      </c>
      <c r="E475" s="5" t="s">
        <v>485</v>
      </c>
      <c r="F475" s="5" t="s">
        <v>248</v>
      </c>
      <c r="G475" s="5" t="s">
        <v>531</v>
      </c>
      <c r="H475" s="6" t="s">
        <v>3940</v>
      </c>
      <c r="I475" s="7">
        <f>544</f>
        <v>544</v>
      </c>
      <c r="J475" s="5" t="s">
        <v>262</v>
      </c>
      <c r="K475" s="8">
        <f>5984</f>
        <v>5984</v>
      </c>
      <c r="L475" s="6" t="s">
        <v>242</v>
      </c>
      <c r="M475" s="5" t="s">
        <v>267</v>
      </c>
      <c r="N475" s="5" t="s">
        <v>237</v>
      </c>
      <c r="O475" s="5" t="s">
        <v>238</v>
      </c>
      <c r="P475" s="5" t="s">
        <v>238</v>
      </c>
      <c r="Q475" s="5" t="s">
        <v>239</v>
      </c>
      <c r="R475" s="5" t="s">
        <v>240</v>
      </c>
      <c r="S475" s="5" t="s">
        <v>238</v>
      </c>
      <c r="V475" s="5" t="s">
        <v>238</v>
      </c>
      <c r="X475" s="6" t="s">
        <v>238</v>
      </c>
      <c r="AA475" s="6" t="s">
        <v>243</v>
      </c>
      <c r="AB475" s="5" t="s">
        <v>238</v>
      </c>
      <c r="AC475" s="5" t="s">
        <v>244</v>
      </c>
      <c r="AD475" s="5" t="s">
        <v>245</v>
      </c>
      <c r="AT475" s="5" t="s">
        <v>246</v>
      </c>
      <c r="AU475" s="5" t="s">
        <v>238</v>
      </c>
      <c r="AV475" s="5" t="s">
        <v>247</v>
      </c>
      <c r="AW475" s="5" t="s">
        <v>238</v>
      </c>
      <c r="AX475" s="5" t="s">
        <v>249</v>
      </c>
      <c r="AY475" s="5" t="s">
        <v>238</v>
      </c>
      <c r="BA475" s="5" t="s">
        <v>238</v>
      </c>
      <c r="BC475" s="5" t="s">
        <v>250</v>
      </c>
      <c r="BD475" s="6" t="s">
        <v>243</v>
      </c>
      <c r="BE475" s="5" t="s">
        <v>251</v>
      </c>
      <c r="BF475" s="5" t="s">
        <v>252</v>
      </c>
      <c r="BG475" s="5" t="s">
        <v>238</v>
      </c>
      <c r="BH475" s="7">
        <f>0</f>
        <v>0</v>
      </c>
      <c r="BI475" s="8">
        <f>0</f>
        <v>0</v>
      </c>
      <c r="BJ475" s="5" t="s">
        <v>253</v>
      </c>
      <c r="BK475" s="5" t="s">
        <v>254</v>
      </c>
      <c r="BY475" s="5" t="s">
        <v>238</v>
      </c>
      <c r="BZ475" s="5" t="s">
        <v>238</v>
      </c>
      <c r="CD475" s="5" t="s">
        <v>255</v>
      </c>
      <c r="CE475" s="5" t="s">
        <v>256</v>
      </c>
      <c r="CF475" s="5" t="s">
        <v>238</v>
      </c>
      <c r="CI475" s="6" t="s">
        <v>257</v>
      </c>
      <c r="CJ475" s="5" t="s">
        <v>238</v>
      </c>
      <c r="CK475" s="5" t="s">
        <v>258</v>
      </c>
      <c r="CL475" s="5" t="s">
        <v>238</v>
      </c>
      <c r="CM475" s="5" t="s">
        <v>238</v>
      </c>
      <c r="CN475" s="5">
        <v>0</v>
      </c>
      <c r="CO475" s="5" t="s">
        <v>259</v>
      </c>
      <c r="CP475" s="5" t="s">
        <v>260</v>
      </c>
      <c r="CQ475" s="5" t="s">
        <v>260</v>
      </c>
      <c r="CR475" s="5" t="s">
        <v>261</v>
      </c>
      <c r="CU475" s="8">
        <f>5984</f>
        <v>5984</v>
      </c>
      <c r="CV475" s="8">
        <f>0</f>
        <v>0</v>
      </c>
      <c r="CX475" s="8">
        <f>0</f>
        <v>0</v>
      </c>
      <c r="CY475" s="8">
        <f>5984</f>
        <v>5984</v>
      </c>
      <c r="DA475" s="5" t="s">
        <v>533</v>
      </c>
      <c r="DB475" s="5" t="s">
        <v>238</v>
      </c>
      <c r="DD475" s="5" t="s">
        <v>356</v>
      </c>
      <c r="DE475" s="8">
        <f>0</f>
        <v>0</v>
      </c>
      <c r="DG475" s="5" t="s">
        <v>534</v>
      </c>
      <c r="DH475" s="5" t="s">
        <v>238</v>
      </c>
      <c r="DI475" s="5" t="s">
        <v>238</v>
      </c>
      <c r="DJ475" s="5" t="s">
        <v>238</v>
      </c>
      <c r="DN475" s="5" t="s">
        <v>238</v>
      </c>
      <c r="DO475" s="5" t="s">
        <v>238</v>
      </c>
      <c r="DP475" s="5" t="s">
        <v>238</v>
      </c>
      <c r="DQ475" s="5" t="s">
        <v>238</v>
      </c>
      <c r="DT475" s="5" t="s">
        <v>535</v>
      </c>
      <c r="DU475" s="5" t="s">
        <v>1358</v>
      </c>
      <c r="HM475" s="5" t="s">
        <v>264</v>
      </c>
    </row>
    <row r="476" spans="1:221" x14ac:dyDescent="0.4">
      <c r="A476" s="5">
        <v>1338</v>
      </c>
      <c r="B476" s="5">
        <v>1</v>
      </c>
      <c r="C476" s="5">
        <v>1</v>
      </c>
      <c r="D476" s="5" t="s">
        <v>484</v>
      </c>
      <c r="E476" s="5" t="s">
        <v>485</v>
      </c>
      <c r="F476" s="5" t="s">
        <v>248</v>
      </c>
      <c r="G476" s="5" t="s">
        <v>531</v>
      </c>
      <c r="H476" s="6" t="s">
        <v>3937</v>
      </c>
      <c r="I476" s="7">
        <f>606</f>
        <v>606</v>
      </c>
      <c r="J476" s="5" t="s">
        <v>262</v>
      </c>
      <c r="K476" s="8">
        <f>6666</f>
        <v>6666</v>
      </c>
      <c r="L476" s="6" t="s">
        <v>242</v>
      </c>
      <c r="M476" s="5" t="s">
        <v>267</v>
      </c>
      <c r="N476" s="5" t="s">
        <v>237</v>
      </c>
      <c r="O476" s="5" t="s">
        <v>238</v>
      </c>
      <c r="P476" s="5" t="s">
        <v>238</v>
      </c>
      <c r="Q476" s="5" t="s">
        <v>239</v>
      </c>
      <c r="R476" s="5" t="s">
        <v>240</v>
      </c>
      <c r="S476" s="5" t="s">
        <v>238</v>
      </c>
      <c r="V476" s="5" t="s">
        <v>238</v>
      </c>
      <c r="X476" s="6" t="s">
        <v>238</v>
      </c>
      <c r="AA476" s="6" t="s">
        <v>243</v>
      </c>
      <c r="AB476" s="5" t="s">
        <v>238</v>
      </c>
      <c r="AC476" s="5" t="s">
        <v>244</v>
      </c>
      <c r="AD476" s="5" t="s">
        <v>245</v>
      </c>
      <c r="AT476" s="5" t="s">
        <v>246</v>
      </c>
      <c r="AU476" s="5" t="s">
        <v>238</v>
      </c>
      <c r="AV476" s="5" t="s">
        <v>247</v>
      </c>
      <c r="AW476" s="5" t="s">
        <v>238</v>
      </c>
      <c r="AX476" s="5" t="s">
        <v>249</v>
      </c>
      <c r="AY476" s="5" t="s">
        <v>238</v>
      </c>
      <c r="BA476" s="5" t="s">
        <v>238</v>
      </c>
      <c r="BC476" s="5" t="s">
        <v>250</v>
      </c>
      <c r="BD476" s="6" t="s">
        <v>243</v>
      </c>
      <c r="BE476" s="5" t="s">
        <v>251</v>
      </c>
      <c r="BF476" s="5" t="s">
        <v>252</v>
      </c>
      <c r="BG476" s="5" t="s">
        <v>238</v>
      </c>
      <c r="BH476" s="7">
        <f>0</f>
        <v>0</v>
      </c>
      <c r="BI476" s="8">
        <f>0</f>
        <v>0</v>
      </c>
      <c r="BJ476" s="5" t="s">
        <v>253</v>
      </c>
      <c r="BK476" s="5" t="s">
        <v>254</v>
      </c>
      <c r="BY476" s="5" t="s">
        <v>238</v>
      </c>
      <c r="BZ476" s="5" t="s">
        <v>238</v>
      </c>
      <c r="CD476" s="5" t="s">
        <v>255</v>
      </c>
      <c r="CE476" s="5" t="s">
        <v>256</v>
      </c>
      <c r="CF476" s="5" t="s">
        <v>238</v>
      </c>
      <c r="CI476" s="6" t="s">
        <v>257</v>
      </c>
      <c r="CJ476" s="5" t="s">
        <v>238</v>
      </c>
      <c r="CK476" s="5" t="s">
        <v>258</v>
      </c>
      <c r="CL476" s="5" t="s">
        <v>238</v>
      </c>
      <c r="CM476" s="5" t="s">
        <v>238</v>
      </c>
      <c r="CN476" s="5">
        <v>0</v>
      </c>
      <c r="CO476" s="5" t="s">
        <v>259</v>
      </c>
      <c r="CP476" s="5" t="s">
        <v>260</v>
      </c>
      <c r="CQ476" s="5" t="s">
        <v>260</v>
      </c>
      <c r="CR476" s="5" t="s">
        <v>261</v>
      </c>
      <c r="CU476" s="8">
        <f>6666</f>
        <v>6666</v>
      </c>
      <c r="CV476" s="8">
        <f>0</f>
        <v>0</v>
      </c>
      <c r="CX476" s="8">
        <f>0</f>
        <v>0</v>
      </c>
      <c r="CY476" s="8">
        <f>6666</f>
        <v>6666</v>
      </c>
      <c r="DA476" s="5" t="s">
        <v>356</v>
      </c>
      <c r="DB476" s="5" t="s">
        <v>238</v>
      </c>
      <c r="DD476" s="5" t="s">
        <v>356</v>
      </c>
      <c r="DE476" s="8">
        <f>0</f>
        <v>0</v>
      </c>
      <c r="DG476" s="5" t="s">
        <v>534</v>
      </c>
      <c r="DH476" s="5" t="s">
        <v>238</v>
      </c>
      <c r="DI476" s="5" t="s">
        <v>238</v>
      </c>
      <c r="DJ476" s="5" t="s">
        <v>238</v>
      </c>
      <c r="DN476" s="5" t="s">
        <v>238</v>
      </c>
      <c r="DO476" s="5" t="s">
        <v>238</v>
      </c>
      <c r="DP476" s="5" t="s">
        <v>238</v>
      </c>
      <c r="DQ476" s="5" t="s">
        <v>238</v>
      </c>
      <c r="DT476" s="5" t="s">
        <v>535</v>
      </c>
      <c r="DU476" s="5" t="s">
        <v>976</v>
      </c>
      <c r="HM476" s="5" t="s">
        <v>264</v>
      </c>
    </row>
    <row r="477" spans="1:221" x14ac:dyDescent="0.4">
      <c r="A477" s="5">
        <v>1339</v>
      </c>
      <c r="B477" s="5">
        <v>1</v>
      </c>
      <c r="C477" s="5">
        <v>1</v>
      </c>
      <c r="D477" s="5" t="s">
        <v>484</v>
      </c>
      <c r="E477" s="5" t="s">
        <v>485</v>
      </c>
      <c r="F477" s="5" t="s">
        <v>248</v>
      </c>
      <c r="G477" s="5" t="s">
        <v>531</v>
      </c>
      <c r="H477" s="6" t="s">
        <v>3927</v>
      </c>
      <c r="I477" s="7">
        <f>5470</f>
        <v>5470</v>
      </c>
      <c r="J477" s="5" t="s">
        <v>262</v>
      </c>
      <c r="K477" s="8">
        <f>60170</f>
        <v>60170</v>
      </c>
      <c r="L477" s="6" t="s">
        <v>242</v>
      </c>
      <c r="M477" s="5" t="s">
        <v>267</v>
      </c>
      <c r="N477" s="5" t="s">
        <v>237</v>
      </c>
      <c r="O477" s="5" t="s">
        <v>238</v>
      </c>
      <c r="P477" s="5" t="s">
        <v>238</v>
      </c>
      <c r="Q477" s="5" t="s">
        <v>239</v>
      </c>
      <c r="R477" s="5" t="s">
        <v>240</v>
      </c>
      <c r="S477" s="5" t="s">
        <v>238</v>
      </c>
      <c r="V477" s="5" t="s">
        <v>238</v>
      </c>
      <c r="X477" s="6" t="s">
        <v>238</v>
      </c>
      <c r="AA477" s="6" t="s">
        <v>243</v>
      </c>
      <c r="AB477" s="5" t="s">
        <v>238</v>
      </c>
      <c r="AC477" s="5" t="s">
        <v>244</v>
      </c>
      <c r="AD477" s="5" t="s">
        <v>245</v>
      </c>
      <c r="AT477" s="5" t="s">
        <v>246</v>
      </c>
      <c r="AU477" s="5" t="s">
        <v>238</v>
      </c>
      <c r="AV477" s="5" t="s">
        <v>247</v>
      </c>
      <c r="AW477" s="5" t="s">
        <v>238</v>
      </c>
      <c r="AX477" s="5" t="s">
        <v>249</v>
      </c>
      <c r="AY477" s="5" t="s">
        <v>238</v>
      </c>
      <c r="BA477" s="5" t="s">
        <v>238</v>
      </c>
      <c r="BC477" s="5" t="s">
        <v>250</v>
      </c>
      <c r="BD477" s="6" t="s">
        <v>243</v>
      </c>
      <c r="BE477" s="5" t="s">
        <v>251</v>
      </c>
      <c r="BF477" s="5" t="s">
        <v>252</v>
      </c>
      <c r="BG477" s="5" t="s">
        <v>238</v>
      </c>
      <c r="BH477" s="7">
        <f>0</f>
        <v>0</v>
      </c>
      <c r="BI477" s="8">
        <f>0</f>
        <v>0</v>
      </c>
      <c r="BJ477" s="5" t="s">
        <v>253</v>
      </c>
      <c r="BK477" s="5" t="s">
        <v>254</v>
      </c>
      <c r="BY477" s="5" t="s">
        <v>238</v>
      </c>
      <c r="BZ477" s="5" t="s">
        <v>238</v>
      </c>
      <c r="CD477" s="5" t="s">
        <v>255</v>
      </c>
      <c r="CE477" s="5" t="s">
        <v>256</v>
      </c>
      <c r="CF477" s="5" t="s">
        <v>238</v>
      </c>
      <c r="CI477" s="6" t="s">
        <v>257</v>
      </c>
      <c r="CJ477" s="5" t="s">
        <v>238</v>
      </c>
      <c r="CK477" s="5" t="s">
        <v>258</v>
      </c>
      <c r="CL477" s="5" t="s">
        <v>238</v>
      </c>
      <c r="CM477" s="5" t="s">
        <v>238</v>
      </c>
      <c r="CN477" s="5">
        <v>0</v>
      </c>
      <c r="CO477" s="5" t="s">
        <v>259</v>
      </c>
      <c r="CP477" s="5" t="s">
        <v>260</v>
      </c>
      <c r="CQ477" s="5" t="s">
        <v>260</v>
      </c>
      <c r="CR477" s="5" t="s">
        <v>261</v>
      </c>
      <c r="CU477" s="8">
        <f>60170</f>
        <v>60170</v>
      </c>
      <c r="CV477" s="8">
        <f>0</f>
        <v>0</v>
      </c>
      <c r="CX477" s="8">
        <f>0</f>
        <v>0</v>
      </c>
      <c r="CY477" s="8">
        <f>60170</f>
        <v>60170</v>
      </c>
      <c r="DA477" s="5" t="s">
        <v>533</v>
      </c>
      <c r="DB477" s="5" t="s">
        <v>238</v>
      </c>
      <c r="DD477" s="5" t="s">
        <v>356</v>
      </c>
      <c r="DE477" s="8">
        <f>0</f>
        <v>0</v>
      </c>
      <c r="DG477" s="5" t="s">
        <v>534</v>
      </c>
      <c r="DH477" s="5" t="s">
        <v>238</v>
      </c>
      <c r="DI477" s="5" t="s">
        <v>238</v>
      </c>
      <c r="DJ477" s="5" t="s">
        <v>238</v>
      </c>
      <c r="DN477" s="5" t="s">
        <v>238</v>
      </c>
      <c r="DO477" s="5" t="s">
        <v>238</v>
      </c>
      <c r="DP477" s="5" t="s">
        <v>238</v>
      </c>
      <c r="DQ477" s="5" t="s">
        <v>238</v>
      </c>
      <c r="DT477" s="5" t="s">
        <v>535</v>
      </c>
      <c r="DU477" s="5" t="s">
        <v>1354</v>
      </c>
      <c r="HM477" s="5" t="s">
        <v>264</v>
      </c>
    </row>
    <row r="478" spans="1:221" x14ac:dyDescent="0.4">
      <c r="A478" s="5">
        <v>1340</v>
      </c>
      <c r="B478" s="5">
        <v>1</v>
      </c>
      <c r="C478" s="5">
        <v>1</v>
      </c>
      <c r="D478" s="5" t="s">
        <v>484</v>
      </c>
      <c r="E478" s="5" t="s">
        <v>485</v>
      </c>
      <c r="F478" s="5" t="s">
        <v>248</v>
      </c>
      <c r="G478" s="5" t="s">
        <v>531</v>
      </c>
      <c r="H478" s="6" t="s">
        <v>3926</v>
      </c>
      <c r="I478" s="7">
        <f>886</f>
        <v>886</v>
      </c>
      <c r="J478" s="5" t="s">
        <v>262</v>
      </c>
      <c r="K478" s="8">
        <f>9746</f>
        <v>9746</v>
      </c>
      <c r="L478" s="6" t="s">
        <v>242</v>
      </c>
      <c r="M478" s="5" t="s">
        <v>267</v>
      </c>
      <c r="N478" s="5" t="s">
        <v>237</v>
      </c>
      <c r="O478" s="5" t="s">
        <v>238</v>
      </c>
      <c r="P478" s="5" t="s">
        <v>238</v>
      </c>
      <c r="Q478" s="5" t="s">
        <v>239</v>
      </c>
      <c r="R478" s="5" t="s">
        <v>240</v>
      </c>
      <c r="S478" s="5" t="s">
        <v>238</v>
      </c>
      <c r="V478" s="5" t="s">
        <v>238</v>
      </c>
      <c r="X478" s="6" t="s">
        <v>238</v>
      </c>
      <c r="AA478" s="6" t="s">
        <v>243</v>
      </c>
      <c r="AB478" s="5" t="s">
        <v>238</v>
      </c>
      <c r="AC478" s="5" t="s">
        <v>244</v>
      </c>
      <c r="AD478" s="5" t="s">
        <v>245</v>
      </c>
      <c r="AT478" s="5" t="s">
        <v>246</v>
      </c>
      <c r="AU478" s="5" t="s">
        <v>238</v>
      </c>
      <c r="AV478" s="5" t="s">
        <v>247</v>
      </c>
      <c r="AW478" s="5" t="s">
        <v>238</v>
      </c>
      <c r="AX478" s="5" t="s">
        <v>249</v>
      </c>
      <c r="AY478" s="5" t="s">
        <v>238</v>
      </c>
      <c r="BA478" s="5" t="s">
        <v>238</v>
      </c>
      <c r="BC478" s="5" t="s">
        <v>250</v>
      </c>
      <c r="BD478" s="6" t="s">
        <v>243</v>
      </c>
      <c r="BE478" s="5" t="s">
        <v>251</v>
      </c>
      <c r="BF478" s="5" t="s">
        <v>252</v>
      </c>
      <c r="BG478" s="5" t="s">
        <v>238</v>
      </c>
      <c r="BH478" s="7">
        <f>0</f>
        <v>0</v>
      </c>
      <c r="BI478" s="8">
        <f>0</f>
        <v>0</v>
      </c>
      <c r="BJ478" s="5" t="s">
        <v>253</v>
      </c>
      <c r="BK478" s="5" t="s">
        <v>254</v>
      </c>
      <c r="BY478" s="5" t="s">
        <v>238</v>
      </c>
      <c r="BZ478" s="5" t="s">
        <v>238</v>
      </c>
      <c r="CD478" s="5" t="s">
        <v>255</v>
      </c>
      <c r="CE478" s="5" t="s">
        <v>256</v>
      </c>
      <c r="CF478" s="5" t="s">
        <v>238</v>
      </c>
      <c r="CI478" s="6" t="s">
        <v>257</v>
      </c>
      <c r="CJ478" s="5" t="s">
        <v>238</v>
      </c>
      <c r="CK478" s="5" t="s">
        <v>258</v>
      </c>
      <c r="CL478" s="5" t="s">
        <v>238</v>
      </c>
      <c r="CM478" s="5" t="s">
        <v>238</v>
      </c>
      <c r="CN478" s="5">
        <v>0</v>
      </c>
      <c r="CO478" s="5" t="s">
        <v>259</v>
      </c>
      <c r="CP478" s="5" t="s">
        <v>260</v>
      </c>
      <c r="CQ478" s="5" t="s">
        <v>260</v>
      </c>
      <c r="CR478" s="5" t="s">
        <v>261</v>
      </c>
      <c r="CU478" s="8">
        <f>9746</f>
        <v>9746</v>
      </c>
      <c r="CV478" s="8">
        <f>0</f>
        <v>0</v>
      </c>
      <c r="CX478" s="8">
        <f>0</f>
        <v>0</v>
      </c>
      <c r="CY478" s="8">
        <f>9746</f>
        <v>9746</v>
      </c>
      <c r="DA478" s="5" t="s">
        <v>533</v>
      </c>
      <c r="DB478" s="5" t="s">
        <v>238</v>
      </c>
      <c r="DD478" s="5" t="s">
        <v>356</v>
      </c>
      <c r="DE478" s="8">
        <f>0</f>
        <v>0</v>
      </c>
      <c r="DG478" s="5" t="s">
        <v>534</v>
      </c>
      <c r="DH478" s="5" t="s">
        <v>238</v>
      </c>
      <c r="DI478" s="5" t="s">
        <v>238</v>
      </c>
      <c r="DJ478" s="5" t="s">
        <v>238</v>
      </c>
      <c r="DN478" s="5" t="s">
        <v>238</v>
      </c>
      <c r="DO478" s="5" t="s">
        <v>238</v>
      </c>
      <c r="DP478" s="5" t="s">
        <v>238</v>
      </c>
      <c r="DQ478" s="5" t="s">
        <v>238</v>
      </c>
      <c r="DT478" s="5" t="s">
        <v>535</v>
      </c>
      <c r="DU478" s="5" t="s">
        <v>1350</v>
      </c>
      <c r="HM478" s="5" t="s">
        <v>264</v>
      </c>
    </row>
    <row r="479" spans="1:221" x14ac:dyDescent="0.4">
      <c r="A479" s="5">
        <v>1341</v>
      </c>
      <c r="B479" s="5">
        <v>1</v>
      </c>
      <c r="C479" s="5">
        <v>1</v>
      </c>
      <c r="D479" s="5" t="s">
        <v>484</v>
      </c>
      <c r="E479" s="5" t="s">
        <v>485</v>
      </c>
      <c r="F479" s="5" t="s">
        <v>248</v>
      </c>
      <c r="G479" s="5" t="s">
        <v>531</v>
      </c>
      <c r="H479" s="6" t="s">
        <v>3923</v>
      </c>
      <c r="I479" s="7">
        <f>383</f>
        <v>383</v>
      </c>
      <c r="J479" s="5" t="s">
        <v>262</v>
      </c>
      <c r="K479" s="8">
        <f>4213</f>
        <v>4213</v>
      </c>
      <c r="L479" s="6" t="s">
        <v>242</v>
      </c>
      <c r="M479" s="5" t="s">
        <v>267</v>
      </c>
      <c r="N479" s="5" t="s">
        <v>237</v>
      </c>
      <c r="O479" s="5" t="s">
        <v>238</v>
      </c>
      <c r="P479" s="5" t="s">
        <v>238</v>
      </c>
      <c r="Q479" s="5" t="s">
        <v>239</v>
      </c>
      <c r="R479" s="5" t="s">
        <v>240</v>
      </c>
      <c r="S479" s="5" t="s">
        <v>238</v>
      </c>
      <c r="V479" s="5" t="s">
        <v>238</v>
      </c>
      <c r="X479" s="6" t="s">
        <v>238</v>
      </c>
      <c r="AA479" s="6" t="s">
        <v>243</v>
      </c>
      <c r="AB479" s="5" t="s">
        <v>238</v>
      </c>
      <c r="AC479" s="5" t="s">
        <v>244</v>
      </c>
      <c r="AD479" s="5" t="s">
        <v>245</v>
      </c>
      <c r="AT479" s="5" t="s">
        <v>246</v>
      </c>
      <c r="AU479" s="5" t="s">
        <v>238</v>
      </c>
      <c r="AV479" s="5" t="s">
        <v>247</v>
      </c>
      <c r="AW479" s="5" t="s">
        <v>238</v>
      </c>
      <c r="AX479" s="5" t="s">
        <v>249</v>
      </c>
      <c r="AY479" s="5" t="s">
        <v>238</v>
      </c>
      <c r="BA479" s="5" t="s">
        <v>238</v>
      </c>
      <c r="BC479" s="5" t="s">
        <v>250</v>
      </c>
      <c r="BD479" s="6" t="s">
        <v>243</v>
      </c>
      <c r="BE479" s="5" t="s">
        <v>251</v>
      </c>
      <c r="BF479" s="5" t="s">
        <v>252</v>
      </c>
      <c r="BG479" s="5" t="s">
        <v>238</v>
      </c>
      <c r="BH479" s="7">
        <f>0</f>
        <v>0</v>
      </c>
      <c r="BI479" s="8">
        <f>0</f>
        <v>0</v>
      </c>
      <c r="BJ479" s="5" t="s">
        <v>253</v>
      </c>
      <c r="BK479" s="5" t="s">
        <v>254</v>
      </c>
      <c r="BY479" s="5" t="s">
        <v>238</v>
      </c>
      <c r="BZ479" s="5" t="s">
        <v>238</v>
      </c>
      <c r="CD479" s="5" t="s">
        <v>255</v>
      </c>
      <c r="CE479" s="5" t="s">
        <v>256</v>
      </c>
      <c r="CF479" s="5" t="s">
        <v>238</v>
      </c>
      <c r="CI479" s="6" t="s">
        <v>257</v>
      </c>
      <c r="CJ479" s="5" t="s">
        <v>238</v>
      </c>
      <c r="CK479" s="5" t="s">
        <v>258</v>
      </c>
      <c r="CL479" s="5" t="s">
        <v>238</v>
      </c>
      <c r="CM479" s="5" t="s">
        <v>238</v>
      </c>
      <c r="CN479" s="5">
        <v>0</v>
      </c>
      <c r="CO479" s="5" t="s">
        <v>259</v>
      </c>
      <c r="CP479" s="5" t="s">
        <v>260</v>
      </c>
      <c r="CQ479" s="5" t="s">
        <v>260</v>
      </c>
      <c r="CR479" s="5" t="s">
        <v>261</v>
      </c>
      <c r="CU479" s="8">
        <f>4213</f>
        <v>4213</v>
      </c>
      <c r="CV479" s="8">
        <f>0</f>
        <v>0</v>
      </c>
      <c r="CX479" s="8">
        <f>0</f>
        <v>0</v>
      </c>
      <c r="CY479" s="8">
        <f>4213</f>
        <v>4213</v>
      </c>
      <c r="DA479" s="5" t="s">
        <v>533</v>
      </c>
      <c r="DB479" s="5" t="s">
        <v>238</v>
      </c>
      <c r="DD479" s="5" t="s">
        <v>356</v>
      </c>
      <c r="DE479" s="8">
        <f>0</f>
        <v>0</v>
      </c>
      <c r="DG479" s="5" t="s">
        <v>534</v>
      </c>
      <c r="DH479" s="5" t="s">
        <v>238</v>
      </c>
      <c r="DI479" s="5" t="s">
        <v>238</v>
      </c>
      <c r="DJ479" s="5" t="s">
        <v>238</v>
      </c>
      <c r="DN479" s="5" t="s">
        <v>238</v>
      </c>
      <c r="DO479" s="5" t="s">
        <v>238</v>
      </c>
      <c r="DP479" s="5" t="s">
        <v>238</v>
      </c>
      <c r="DQ479" s="5" t="s">
        <v>238</v>
      </c>
      <c r="DT479" s="5" t="s">
        <v>535</v>
      </c>
      <c r="DU479" s="5" t="s">
        <v>1346</v>
      </c>
      <c r="HM479" s="5" t="s">
        <v>264</v>
      </c>
    </row>
    <row r="480" spans="1:221" x14ac:dyDescent="0.4">
      <c r="A480" s="5">
        <v>1342</v>
      </c>
      <c r="B480" s="5">
        <v>1</v>
      </c>
      <c r="C480" s="5">
        <v>1</v>
      </c>
      <c r="D480" s="5" t="s">
        <v>484</v>
      </c>
      <c r="E480" s="5" t="s">
        <v>485</v>
      </c>
      <c r="F480" s="5" t="s">
        <v>248</v>
      </c>
      <c r="G480" s="5" t="s">
        <v>531</v>
      </c>
      <c r="H480" s="6" t="s">
        <v>3920</v>
      </c>
      <c r="I480" s="7">
        <f>1231</f>
        <v>1231</v>
      </c>
      <c r="J480" s="5" t="s">
        <v>262</v>
      </c>
      <c r="K480" s="8">
        <f>13541</f>
        <v>13541</v>
      </c>
      <c r="L480" s="6" t="s">
        <v>242</v>
      </c>
      <c r="M480" s="5" t="s">
        <v>267</v>
      </c>
      <c r="N480" s="5" t="s">
        <v>237</v>
      </c>
      <c r="O480" s="5" t="s">
        <v>238</v>
      </c>
      <c r="P480" s="5" t="s">
        <v>238</v>
      </c>
      <c r="Q480" s="5" t="s">
        <v>239</v>
      </c>
      <c r="R480" s="5" t="s">
        <v>240</v>
      </c>
      <c r="S480" s="5" t="s">
        <v>238</v>
      </c>
      <c r="V480" s="5" t="s">
        <v>238</v>
      </c>
      <c r="X480" s="6" t="s">
        <v>238</v>
      </c>
      <c r="AA480" s="6" t="s">
        <v>243</v>
      </c>
      <c r="AB480" s="5" t="s">
        <v>238</v>
      </c>
      <c r="AC480" s="5" t="s">
        <v>244</v>
      </c>
      <c r="AD480" s="5" t="s">
        <v>245</v>
      </c>
      <c r="AT480" s="5" t="s">
        <v>246</v>
      </c>
      <c r="AU480" s="5" t="s">
        <v>238</v>
      </c>
      <c r="AV480" s="5" t="s">
        <v>247</v>
      </c>
      <c r="AW480" s="5" t="s">
        <v>238</v>
      </c>
      <c r="AX480" s="5" t="s">
        <v>249</v>
      </c>
      <c r="AY480" s="5" t="s">
        <v>238</v>
      </c>
      <c r="BA480" s="5" t="s">
        <v>238</v>
      </c>
      <c r="BC480" s="5" t="s">
        <v>250</v>
      </c>
      <c r="BD480" s="6" t="s">
        <v>243</v>
      </c>
      <c r="BE480" s="5" t="s">
        <v>251</v>
      </c>
      <c r="BF480" s="5" t="s">
        <v>252</v>
      </c>
      <c r="BG480" s="5" t="s">
        <v>238</v>
      </c>
      <c r="BH480" s="7">
        <f>0</f>
        <v>0</v>
      </c>
      <c r="BI480" s="8">
        <f>0</f>
        <v>0</v>
      </c>
      <c r="BJ480" s="5" t="s">
        <v>253</v>
      </c>
      <c r="BK480" s="5" t="s">
        <v>254</v>
      </c>
      <c r="BY480" s="5" t="s">
        <v>238</v>
      </c>
      <c r="BZ480" s="5" t="s">
        <v>238</v>
      </c>
      <c r="CD480" s="5" t="s">
        <v>255</v>
      </c>
      <c r="CE480" s="5" t="s">
        <v>256</v>
      </c>
      <c r="CF480" s="5" t="s">
        <v>238</v>
      </c>
      <c r="CI480" s="6" t="s">
        <v>257</v>
      </c>
      <c r="CJ480" s="5" t="s">
        <v>238</v>
      </c>
      <c r="CK480" s="5" t="s">
        <v>258</v>
      </c>
      <c r="CL480" s="5" t="s">
        <v>238</v>
      </c>
      <c r="CM480" s="5" t="s">
        <v>238</v>
      </c>
      <c r="CN480" s="5">
        <v>0</v>
      </c>
      <c r="CO480" s="5" t="s">
        <v>259</v>
      </c>
      <c r="CP480" s="5" t="s">
        <v>260</v>
      </c>
      <c r="CQ480" s="5" t="s">
        <v>260</v>
      </c>
      <c r="CR480" s="5" t="s">
        <v>261</v>
      </c>
      <c r="CU480" s="8">
        <f>13541</f>
        <v>13541</v>
      </c>
      <c r="CV480" s="8">
        <f>0</f>
        <v>0</v>
      </c>
      <c r="CX480" s="8">
        <f>0</f>
        <v>0</v>
      </c>
      <c r="CY480" s="8">
        <f>13541</f>
        <v>13541</v>
      </c>
      <c r="DA480" s="5" t="s">
        <v>533</v>
      </c>
      <c r="DB480" s="5" t="s">
        <v>238</v>
      </c>
      <c r="DD480" s="5" t="s">
        <v>356</v>
      </c>
      <c r="DE480" s="8">
        <f>0</f>
        <v>0</v>
      </c>
      <c r="DG480" s="5" t="s">
        <v>534</v>
      </c>
      <c r="DH480" s="5" t="s">
        <v>238</v>
      </c>
      <c r="DI480" s="5" t="s">
        <v>238</v>
      </c>
      <c r="DJ480" s="5" t="s">
        <v>238</v>
      </c>
      <c r="DN480" s="5" t="s">
        <v>238</v>
      </c>
      <c r="DO480" s="5" t="s">
        <v>238</v>
      </c>
      <c r="DP480" s="5" t="s">
        <v>238</v>
      </c>
      <c r="DQ480" s="5" t="s">
        <v>238</v>
      </c>
      <c r="DT480" s="5" t="s">
        <v>535</v>
      </c>
      <c r="DU480" s="5" t="s">
        <v>1342</v>
      </c>
      <c r="HM480" s="5" t="s">
        <v>264</v>
      </c>
    </row>
    <row r="481" spans="1:221" x14ac:dyDescent="0.4">
      <c r="A481" s="5">
        <v>1343</v>
      </c>
      <c r="B481" s="5">
        <v>1</v>
      </c>
      <c r="C481" s="5">
        <v>1</v>
      </c>
      <c r="D481" s="5" t="s">
        <v>484</v>
      </c>
      <c r="E481" s="5" t="s">
        <v>485</v>
      </c>
      <c r="F481" s="5" t="s">
        <v>248</v>
      </c>
      <c r="G481" s="5" t="s">
        <v>531</v>
      </c>
      <c r="H481" s="6" t="s">
        <v>3916</v>
      </c>
      <c r="I481" s="7">
        <f>1774</f>
        <v>1774</v>
      </c>
      <c r="J481" s="5" t="s">
        <v>262</v>
      </c>
      <c r="K481" s="8">
        <f>19514</f>
        <v>19514</v>
      </c>
      <c r="L481" s="6" t="s">
        <v>242</v>
      </c>
      <c r="M481" s="5" t="s">
        <v>267</v>
      </c>
      <c r="N481" s="5" t="s">
        <v>237</v>
      </c>
      <c r="O481" s="5" t="s">
        <v>238</v>
      </c>
      <c r="P481" s="5" t="s">
        <v>238</v>
      </c>
      <c r="Q481" s="5" t="s">
        <v>239</v>
      </c>
      <c r="R481" s="5" t="s">
        <v>240</v>
      </c>
      <c r="S481" s="5" t="s">
        <v>238</v>
      </c>
      <c r="V481" s="5" t="s">
        <v>238</v>
      </c>
      <c r="X481" s="6" t="s">
        <v>238</v>
      </c>
      <c r="AA481" s="6" t="s">
        <v>243</v>
      </c>
      <c r="AB481" s="5" t="s">
        <v>238</v>
      </c>
      <c r="AC481" s="5" t="s">
        <v>244</v>
      </c>
      <c r="AD481" s="5" t="s">
        <v>245</v>
      </c>
      <c r="AT481" s="5" t="s">
        <v>246</v>
      </c>
      <c r="AU481" s="5" t="s">
        <v>238</v>
      </c>
      <c r="AV481" s="5" t="s">
        <v>247</v>
      </c>
      <c r="AW481" s="5" t="s">
        <v>238</v>
      </c>
      <c r="AX481" s="5" t="s">
        <v>249</v>
      </c>
      <c r="AY481" s="5" t="s">
        <v>238</v>
      </c>
      <c r="BA481" s="5" t="s">
        <v>238</v>
      </c>
      <c r="BC481" s="5" t="s">
        <v>250</v>
      </c>
      <c r="BD481" s="6" t="s">
        <v>243</v>
      </c>
      <c r="BE481" s="5" t="s">
        <v>251</v>
      </c>
      <c r="BF481" s="5" t="s">
        <v>252</v>
      </c>
      <c r="BG481" s="5" t="s">
        <v>238</v>
      </c>
      <c r="BH481" s="7">
        <f>0</f>
        <v>0</v>
      </c>
      <c r="BI481" s="8">
        <f>0</f>
        <v>0</v>
      </c>
      <c r="BJ481" s="5" t="s">
        <v>253</v>
      </c>
      <c r="BK481" s="5" t="s">
        <v>254</v>
      </c>
      <c r="BY481" s="5" t="s">
        <v>238</v>
      </c>
      <c r="BZ481" s="5" t="s">
        <v>238</v>
      </c>
      <c r="CD481" s="5" t="s">
        <v>255</v>
      </c>
      <c r="CE481" s="5" t="s">
        <v>256</v>
      </c>
      <c r="CF481" s="5" t="s">
        <v>238</v>
      </c>
      <c r="CI481" s="6" t="s">
        <v>257</v>
      </c>
      <c r="CJ481" s="5" t="s">
        <v>238</v>
      </c>
      <c r="CK481" s="5" t="s">
        <v>258</v>
      </c>
      <c r="CL481" s="5" t="s">
        <v>238</v>
      </c>
      <c r="CM481" s="5" t="s">
        <v>238</v>
      </c>
      <c r="CN481" s="5">
        <v>0</v>
      </c>
      <c r="CO481" s="5" t="s">
        <v>259</v>
      </c>
      <c r="CP481" s="5" t="s">
        <v>260</v>
      </c>
      <c r="CQ481" s="5" t="s">
        <v>260</v>
      </c>
      <c r="CR481" s="5" t="s">
        <v>261</v>
      </c>
      <c r="CU481" s="8">
        <f>19514</f>
        <v>19514</v>
      </c>
      <c r="CV481" s="8">
        <f>0</f>
        <v>0</v>
      </c>
      <c r="CX481" s="8">
        <f>0</f>
        <v>0</v>
      </c>
      <c r="CY481" s="8">
        <f>19514</f>
        <v>19514</v>
      </c>
      <c r="DA481" s="5" t="s">
        <v>533</v>
      </c>
      <c r="DB481" s="5" t="s">
        <v>238</v>
      </c>
      <c r="DD481" s="5" t="s">
        <v>356</v>
      </c>
      <c r="DE481" s="8">
        <f>0</f>
        <v>0</v>
      </c>
      <c r="DG481" s="5" t="s">
        <v>534</v>
      </c>
      <c r="DH481" s="5" t="s">
        <v>238</v>
      </c>
      <c r="DI481" s="5" t="s">
        <v>238</v>
      </c>
      <c r="DJ481" s="5" t="s">
        <v>238</v>
      </c>
      <c r="DN481" s="5" t="s">
        <v>238</v>
      </c>
      <c r="DO481" s="5" t="s">
        <v>238</v>
      </c>
      <c r="DP481" s="5" t="s">
        <v>238</v>
      </c>
      <c r="DQ481" s="5" t="s">
        <v>238</v>
      </c>
      <c r="DT481" s="5" t="s">
        <v>535</v>
      </c>
      <c r="DU481" s="5" t="s">
        <v>1338</v>
      </c>
      <c r="HM481" s="5" t="s">
        <v>264</v>
      </c>
    </row>
    <row r="482" spans="1:221" x14ac:dyDescent="0.4">
      <c r="A482" s="5">
        <v>1344</v>
      </c>
      <c r="B482" s="5">
        <v>1</v>
      </c>
      <c r="C482" s="5">
        <v>1</v>
      </c>
      <c r="D482" s="5" t="s">
        <v>484</v>
      </c>
      <c r="E482" s="5" t="s">
        <v>485</v>
      </c>
      <c r="F482" s="5" t="s">
        <v>248</v>
      </c>
      <c r="G482" s="5" t="s">
        <v>531</v>
      </c>
      <c r="H482" s="6" t="s">
        <v>5406</v>
      </c>
      <c r="I482" s="7">
        <f>562</f>
        <v>562</v>
      </c>
      <c r="J482" s="5" t="s">
        <v>262</v>
      </c>
      <c r="K482" s="8">
        <f>60134</f>
        <v>60134</v>
      </c>
      <c r="L482" s="6" t="s">
        <v>242</v>
      </c>
      <c r="M482" s="5" t="s">
        <v>267</v>
      </c>
      <c r="N482" s="5" t="s">
        <v>237</v>
      </c>
      <c r="O482" s="5" t="s">
        <v>238</v>
      </c>
      <c r="P482" s="5" t="s">
        <v>238</v>
      </c>
      <c r="Q482" s="5" t="s">
        <v>239</v>
      </c>
      <c r="R482" s="5" t="s">
        <v>240</v>
      </c>
      <c r="S482" s="5" t="s">
        <v>238</v>
      </c>
      <c r="V482" s="5" t="s">
        <v>238</v>
      </c>
      <c r="X482" s="6" t="s">
        <v>238</v>
      </c>
      <c r="AA482" s="6" t="s">
        <v>243</v>
      </c>
      <c r="AB482" s="5" t="s">
        <v>238</v>
      </c>
      <c r="AC482" s="5" t="s">
        <v>244</v>
      </c>
      <c r="AD482" s="5" t="s">
        <v>245</v>
      </c>
      <c r="AT482" s="5" t="s">
        <v>246</v>
      </c>
      <c r="AU482" s="5" t="s">
        <v>238</v>
      </c>
      <c r="AV482" s="5" t="s">
        <v>247</v>
      </c>
      <c r="AW482" s="5" t="s">
        <v>238</v>
      </c>
      <c r="AX482" s="5" t="s">
        <v>249</v>
      </c>
      <c r="AY482" s="5" t="s">
        <v>238</v>
      </c>
      <c r="BA482" s="5" t="s">
        <v>238</v>
      </c>
      <c r="BC482" s="5" t="s">
        <v>250</v>
      </c>
      <c r="BD482" s="6" t="s">
        <v>243</v>
      </c>
      <c r="BE482" s="5" t="s">
        <v>251</v>
      </c>
      <c r="BF482" s="5" t="s">
        <v>252</v>
      </c>
      <c r="BG482" s="5" t="s">
        <v>238</v>
      </c>
      <c r="BH482" s="7">
        <f>0</f>
        <v>0</v>
      </c>
      <c r="BI482" s="8">
        <f>0</f>
        <v>0</v>
      </c>
      <c r="BJ482" s="5" t="s">
        <v>253</v>
      </c>
      <c r="BK482" s="5" t="s">
        <v>254</v>
      </c>
      <c r="BY482" s="5" t="s">
        <v>238</v>
      </c>
      <c r="BZ482" s="5" t="s">
        <v>238</v>
      </c>
      <c r="CD482" s="5" t="s">
        <v>255</v>
      </c>
      <c r="CE482" s="5" t="s">
        <v>256</v>
      </c>
      <c r="CF482" s="5" t="s">
        <v>238</v>
      </c>
      <c r="CI482" s="6" t="s">
        <v>257</v>
      </c>
      <c r="CJ482" s="5" t="s">
        <v>238</v>
      </c>
      <c r="CK482" s="5" t="s">
        <v>258</v>
      </c>
      <c r="CL482" s="5" t="s">
        <v>238</v>
      </c>
      <c r="CM482" s="5" t="s">
        <v>238</v>
      </c>
      <c r="CN482" s="5">
        <v>0</v>
      </c>
      <c r="CO482" s="5" t="s">
        <v>259</v>
      </c>
      <c r="CP482" s="5" t="s">
        <v>260</v>
      </c>
      <c r="CQ482" s="5" t="s">
        <v>260</v>
      </c>
      <c r="CR482" s="5" t="s">
        <v>261</v>
      </c>
      <c r="CU482" s="8">
        <f>60134</f>
        <v>60134</v>
      </c>
      <c r="CV482" s="8">
        <f>0</f>
        <v>0</v>
      </c>
      <c r="CX482" s="8">
        <f>0</f>
        <v>0</v>
      </c>
      <c r="CY482" s="8">
        <f>60134</f>
        <v>60134</v>
      </c>
      <c r="DA482" s="5" t="s">
        <v>2211</v>
      </c>
      <c r="DB482" s="5" t="s">
        <v>238</v>
      </c>
      <c r="DD482" s="5" t="s">
        <v>356</v>
      </c>
      <c r="DE482" s="8">
        <f>0</f>
        <v>0</v>
      </c>
      <c r="DG482" s="5" t="s">
        <v>2211</v>
      </c>
      <c r="DH482" s="5" t="s">
        <v>238</v>
      </c>
      <c r="DI482" s="5" t="s">
        <v>238</v>
      </c>
      <c r="DJ482" s="5" t="s">
        <v>238</v>
      </c>
      <c r="DN482" s="5" t="s">
        <v>238</v>
      </c>
      <c r="DO482" s="5" t="s">
        <v>238</v>
      </c>
      <c r="DP482" s="5" t="s">
        <v>238</v>
      </c>
      <c r="DQ482" s="5" t="s">
        <v>238</v>
      </c>
      <c r="DT482" s="5" t="s">
        <v>535</v>
      </c>
      <c r="DU482" s="5" t="s">
        <v>1334</v>
      </c>
      <c r="HM482" s="5" t="s">
        <v>264</v>
      </c>
    </row>
    <row r="483" spans="1:221" x14ac:dyDescent="0.4">
      <c r="A483" s="5">
        <v>1345</v>
      </c>
      <c r="B483" s="5">
        <v>1</v>
      </c>
      <c r="C483" s="5">
        <v>1</v>
      </c>
      <c r="D483" s="5" t="s">
        <v>484</v>
      </c>
      <c r="E483" s="5" t="s">
        <v>485</v>
      </c>
      <c r="F483" s="5" t="s">
        <v>248</v>
      </c>
      <c r="G483" s="5" t="s">
        <v>531</v>
      </c>
      <c r="H483" s="6" t="s">
        <v>3913</v>
      </c>
      <c r="I483" s="7">
        <f>538</f>
        <v>538</v>
      </c>
      <c r="J483" s="5" t="s">
        <v>262</v>
      </c>
      <c r="K483" s="8">
        <f>5918</f>
        <v>5918</v>
      </c>
      <c r="L483" s="6" t="s">
        <v>242</v>
      </c>
      <c r="M483" s="5" t="s">
        <v>267</v>
      </c>
      <c r="N483" s="5" t="s">
        <v>237</v>
      </c>
      <c r="O483" s="5" t="s">
        <v>238</v>
      </c>
      <c r="P483" s="5" t="s">
        <v>238</v>
      </c>
      <c r="Q483" s="5" t="s">
        <v>239</v>
      </c>
      <c r="R483" s="5" t="s">
        <v>240</v>
      </c>
      <c r="S483" s="5" t="s">
        <v>238</v>
      </c>
      <c r="V483" s="5" t="s">
        <v>238</v>
      </c>
      <c r="X483" s="6" t="s">
        <v>238</v>
      </c>
      <c r="AA483" s="6" t="s">
        <v>243</v>
      </c>
      <c r="AB483" s="5" t="s">
        <v>238</v>
      </c>
      <c r="AC483" s="5" t="s">
        <v>244</v>
      </c>
      <c r="AD483" s="5" t="s">
        <v>245</v>
      </c>
      <c r="AT483" s="5" t="s">
        <v>246</v>
      </c>
      <c r="AU483" s="5" t="s">
        <v>238</v>
      </c>
      <c r="AV483" s="5" t="s">
        <v>247</v>
      </c>
      <c r="AW483" s="5" t="s">
        <v>238</v>
      </c>
      <c r="AX483" s="5" t="s">
        <v>249</v>
      </c>
      <c r="AY483" s="5" t="s">
        <v>238</v>
      </c>
      <c r="BA483" s="5" t="s">
        <v>238</v>
      </c>
      <c r="BC483" s="5" t="s">
        <v>250</v>
      </c>
      <c r="BD483" s="6" t="s">
        <v>243</v>
      </c>
      <c r="BE483" s="5" t="s">
        <v>251</v>
      </c>
      <c r="BF483" s="5" t="s">
        <v>252</v>
      </c>
      <c r="BG483" s="5" t="s">
        <v>238</v>
      </c>
      <c r="BH483" s="7">
        <f>0</f>
        <v>0</v>
      </c>
      <c r="BI483" s="8">
        <f>0</f>
        <v>0</v>
      </c>
      <c r="BJ483" s="5" t="s">
        <v>253</v>
      </c>
      <c r="BK483" s="5" t="s">
        <v>254</v>
      </c>
      <c r="BY483" s="5" t="s">
        <v>238</v>
      </c>
      <c r="BZ483" s="5" t="s">
        <v>238</v>
      </c>
      <c r="CD483" s="5" t="s">
        <v>255</v>
      </c>
      <c r="CE483" s="5" t="s">
        <v>256</v>
      </c>
      <c r="CF483" s="5" t="s">
        <v>238</v>
      </c>
      <c r="CI483" s="6" t="s">
        <v>257</v>
      </c>
      <c r="CJ483" s="5" t="s">
        <v>238</v>
      </c>
      <c r="CK483" s="5" t="s">
        <v>258</v>
      </c>
      <c r="CL483" s="5" t="s">
        <v>238</v>
      </c>
      <c r="CM483" s="5" t="s">
        <v>238</v>
      </c>
      <c r="CN483" s="5">
        <v>0</v>
      </c>
      <c r="CO483" s="5" t="s">
        <v>259</v>
      </c>
      <c r="CP483" s="5" t="s">
        <v>260</v>
      </c>
      <c r="CQ483" s="5" t="s">
        <v>260</v>
      </c>
      <c r="CR483" s="5" t="s">
        <v>261</v>
      </c>
      <c r="CU483" s="8">
        <f>5918</f>
        <v>5918</v>
      </c>
      <c r="CV483" s="8">
        <f>0</f>
        <v>0</v>
      </c>
      <c r="CX483" s="8">
        <f>0</f>
        <v>0</v>
      </c>
      <c r="CY483" s="8">
        <f>5918</f>
        <v>5918</v>
      </c>
      <c r="DA483" s="5" t="s">
        <v>533</v>
      </c>
      <c r="DB483" s="5" t="s">
        <v>238</v>
      </c>
      <c r="DD483" s="5" t="s">
        <v>356</v>
      </c>
      <c r="DE483" s="8">
        <f>0</f>
        <v>0</v>
      </c>
      <c r="DG483" s="5" t="s">
        <v>534</v>
      </c>
      <c r="DH483" s="5" t="s">
        <v>238</v>
      </c>
      <c r="DI483" s="5" t="s">
        <v>238</v>
      </c>
      <c r="DJ483" s="5" t="s">
        <v>238</v>
      </c>
      <c r="DN483" s="5" t="s">
        <v>238</v>
      </c>
      <c r="DO483" s="5" t="s">
        <v>238</v>
      </c>
      <c r="DP483" s="5" t="s">
        <v>238</v>
      </c>
      <c r="DQ483" s="5" t="s">
        <v>238</v>
      </c>
      <c r="DT483" s="5" t="s">
        <v>535</v>
      </c>
      <c r="DU483" s="5" t="s">
        <v>882</v>
      </c>
      <c r="HM483" s="5" t="s">
        <v>264</v>
      </c>
    </row>
    <row r="484" spans="1:221" x14ac:dyDescent="0.4">
      <c r="A484" s="5">
        <v>1346</v>
      </c>
      <c r="B484" s="5">
        <v>1</v>
      </c>
      <c r="C484" s="5">
        <v>1</v>
      </c>
      <c r="D484" s="5" t="s">
        <v>484</v>
      </c>
      <c r="E484" s="5" t="s">
        <v>485</v>
      </c>
      <c r="F484" s="5" t="s">
        <v>248</v>
      </c>
      <c r="G484" s="5" t="s">
        <v>531</v>
      </c>
      <c r="H484" s="6" t="s">
        <v>5667</v>
      </c>
      <c r="I484" s="7">
        <f>467</f>
        <v>467</v>
      </c>
      <c r="J484" s="5" t="s">
        <v>262</v>
      </c>
      <c r="K484" s="8">
        <f>5137</f>
        <v>5137</v>
      </c>
      <c r="L484" s="6" t="s">
        <v>242</v>
      </c>
      <c r="M484" s="5" t="s">
        <v>267</v>
      </c>
      <c r="N484" s="5" t="s">
        <v>237</v>
      </c>
      <c r="O484" s="5" t="s">
        <v>238</v>
      </c>
      <c r="P484" s="5" t="s">
        <v>238</v>
      </c>
      <c r="Q484" s="5" t="s">
        <v>239</v>
      </c>
      <c r="R484" s="5" t="s">
        <v>240</v>
      </c>
      <c r="S484" s="5" t="s">
        <v>238</v>
      </c>
      <c r="V484" s="5" t="s">
        <v>238</v>
      </c>
      <c r="X484" s="6" t="s">
        <v>238</v>
      </c>
      <c r="AA484" s="6" t="s">
        <v>243</v>
      </c>
      <c r="AB484" s="5" t="s">
        <v>238</v>
      </c>
      <c r="AC484" s="5" t="s">
        <v>244</v>
      </c>
      <c r="AD484" s="5" t="s">
        <v>245</v>
      </c>
      <c r="AT484" s="5" t="s">
        <v>246</v>
      </c>
      <c r="AU484" s="5" t="s">
        <v>238</v>
      </c>
      <c r="AV484" s="5" t="s">
        <v>247</v>
      </c>
      <c r="AW484" s="5" t="s">
        <v>238</v>
      </c>
      <c r="AX484" s="5" t="s">
        <v>249</v>
      </c>
      <c r="AY484" s="5" t="s">
        <v>238</v>
      </c>
      <c r="BA484" s="5" t="s">
        <v>238</v>
      </c>
      <c r="BC484" s="5" t="s">
        <v>250</v>
      </c>
      <c r="BD484" s="6" t="s">
        <v>243</v>
      </c>
      <c r="BE484" s="5" t="s">
        <v>251</v>
      </c>
      <c r="BF484" s="5" t="s">
        <v>252</v>
      </c>
      <c r="BG484" s="5" t="s">
        <v>238</v>
      </c>
      <c r="BH484" s="7">
        <f>0</f>
        <v>0</v>
      </c>
      <c r="BI484" s="8">
        <f>0</f>
        <v>0</v>
      </c>
      <c r="BJ484" s="5" t="s">
        <v>253</v>
      </c>
      <c r="BK484" s="5" t="s">
        <v>254</v>
      </c>
      <c r="BY484" s="5" t="s">
        <v>238</v>
      </c>
      <c r="BZ484" s="5" t="s">
        <v>238</v>
      </c>
      <c r="CD484" s="5" t="s">
        <v>255</v>
      </c>
      <c r="CE484" s="5" t="s">
        <v>256</v>
      </c>
      <c r="CF484" s="5" t="s">
        <v>238</v>
      </c>
      <c r="CI484" s="6" t="s">
        <v>257</v>
      </c>
      <c r="CJ484" s="5" t="s">
        <v>238</v>
      </c>
      <c r="CK484" s="5" t="s">
        <v>258</v>
      </c>
      <c r="CL484" s="5" t="s">
        <v>238</v>
      </c>
      <c r="CM484" s="5" t="s">
        <v>238</v>
      </c>
      <c r="CN484" s="5">
        <v>0</v>
      </c>
      <c r="CO484" s="5" t="s">
        <v>259</v>
      </c>
      <c r="CP484" s="5" t="s">
        <v>260</v>
      </c>
      <c r="CQ484" s="5" t="s">
        <v>260</v>
      </c>
      <c r="CR484" s="5" t="s">
        <v>261</v>
      </c>
      <c r="CU484" s="8">
        <f>5137</f>
        <v>5137</v>
      </c>
      <c r="CV484" s="8">
        <f>0</f>
        <v>0</v>
      </c>
      <c r="CX484" s="8">
        <f>0</f>
        <v>0</v>
      </c>
      <c r="CY484" s="8">
        <f>5137</f>
        <v>5137</v>
      </c>
      <c r="DA484" s="5" t="s">
        <v>533</v>
      </c>
      <c r="DB484" s="5" t="s">
        <v>238</v>
      </c>
      <c r="DD484" s="5" t="s">
        <v>356</v>
      </c>
      <c r="DE484" s="8">
        <f>0</f>
        <v>0</v>
      </c>
      <c r="DG484" s="5" t="s">
        <v>534</v>
      </c>
      <c r="DH484" s="5" t="s">
        <v>238</v>
      </c>
      <c r="DI484" s="5" t="s">
        <v>238</v>
      </c>
      <c r="DJ484" s="5" t="s">
        <v>238</v>
      </c>
      <c r="DN484" s="5" t="s">
        <v>238</v>
      </c>
      <c r="DO484" s="5" t="s">
        <v>238</v>
      </c>
      <c r="DP484" s="5" t="s">
        <v>238</v>
      </c>
      <c r="DQ484" s="5" t="s">
        <v>238</v>
      </c>
      <c r="DT484" s="5" t="s">
        <v>535</v>
      </c>
      <c r="DU484" s="5" t="s">
        <v>1594</v>
      </c>
      <c r="HM484" s="5" t="s">
        <v>264</v>
      </c>
    </row>
    <row r="485" spans="1:221" x14ac:dyDescent="0.4">
      <c r="A485" s="5">
        <v>1347</v>
      </c>
      <c r="B485" s="5">
        <v>1</v>
      </c>
      <c r="C485" s="5">
        <v>1</v>
      </c>
      <c r="D485" s="5" t="s">
        <v>484</v>
      </c>
      <c r="E485" s="5" t="s">
        <v>485</v>
      </c>
      <c r="F485" s="5" t="s">
        <v>248</v>
      </c>
      <c r="G485" s="5" t="s">
        <v>531</v>
      </c>
      <c r="H485" s="6" t="s">
        <v>4562</v>
      </c>
      <c r="I485" s="7">
        <f>280</f>
        <v>280</v>
      </c>
      <c r="J485" s="5" t="s">
        <v>262</v>
      </c>
      <c r="K485" s="8">
        <f>3080</f>
        <v>3080</v>
      </c>
      <c r="L485" s="6" t="s">
        <v>242</v>
      </c>
      <c r="M485" s="5" t="s">
        <v>267</v>
      </c>
      <c r="N485" s="5" t="s">
        <v>237</v>
      </c>
      <c r="O485" s="5" t="s">
        <v>238</v>
      </c>
      <c r="P485" s="5" t="s">
        <v>238</v>
      </c>
      <c r="Q485" s="5" t="s">
        <v>239</v>
      </c>
      <c r="R485" s="5" t="s">
        <v>240</v>
      </c>
      <c r="S485" s="5" t="s">
        <v>238</v>
      </c>
      <c r="V485" s="5" t="s">
        <v>238</v>
      </c>
      <c r="X485" s="6" t="s">
        <v>238</v>
      </c>
      <c r="AA485" s="6" t="s">
        <v>243</v>
      </c>
      <c r="AB485" s="5" t="s">
        <v>238</v>
      </c>
      <c r="AC485" s="5" t="s">
        <v>244</v>
      </c>
      <c r="AD485" s="5" t="s">
        <v>245</v>
      </c>
      <c r="AT485" s="5" t="s">
        <v>246</v>
      </c>
      <c r="AU485" s="5" t="s">
        <v>238</v>
      </c>
      <c r="AV485" s="5" t="s">
        <v>247</v>
      </c>
      <c r="AW485" s="5" t="s">
        <v>238</v>
      </c>
      <c r="AX485" s="5" t="s">
        <v>249</v>
      </c>
      <c r="AY485" s="5" t="s">
        <v>238</v>
      </c>
      <c r="BA485" s="5" t="s">
        <v>238</v>
      </c>
      <c r="BC485" s="5" t="s">
        <v>250</v>
      </c>
      <c r="BD485" s="6" t="s">
        <v>243</v>
      </c>
      <c r="BE485" s="5" t="s">
        <v>251</v>
      </c>
      <c r="BF485" s="5" t="s">
        <v>252</v>
      </c>
      <c r="BG485" s="5" t="s">
        <v>238</v>
      </c>
      <c r="BH485" s="7">
        <f>0</f>
        <v>0</v>
      </c>
      <c r="BI485" s="8">
        <f>0</f>
        <v>0</v>
      </c>
      <c r="BJ485" s="5" t="s">
        <v>253</v>
      </c>
      <c r="BK485" s="5" t="s">
        <v>254</v>
      </c>
      <c r="BY485" s="5" t="s">
        <v>238</v>
      </c>
      <c r="BZ485" s="5" t="s">
        <v>238</v>
      </c>
      <c r="CD485" s="5" t="s">
        <v>255</v>
      </c>
      <c r="CE485" s="5" t="s">
        <v>256</v>
      </c>
      <c r="CF485" s="5" t="s">
        <v>238</v>
      </c>
      <c r="CI485" s="6" t="s">
        <v>257</v>
      </c>
      <c r="CJ485" s="5" t="s">
        <v>238</v>
      </c>
      <c r="CK485" s="5" t="s">
        <v>258</v>
      </c>
      <c r="CL485" s="5" t="s">
        <v>238</v>
      </c>
      <c r="CM485" s="5" t="s">
        <v>238</v>
      </c>
      <c r="CN485" s="5">
        <v>0</v>
      </c>
      <c r="CO485" s="5" t="s">
        <v>259</v>
      </c>
      <c r="CP485" s="5" t="s">
        <v>260</v>
      </c>
      <c r="CQ485" s="5" t="s">
        <v>260</v>
      </c>
      <c r="CR485" s="5" t="s">
        <v>261</v>
      </c>
      <c r="CU485" s="8">
        <f>3080</f>
        <v>3080</v>
      </c>
      <c r="CV485" s="8">
        <f>0</f>
        <v>0</v>
      </c>
      <c r="CX485" s="8">
        <f>0</f>
        <v>0</v>
      </c>
      <c r="CY485" s="8">
        <f>3080</f>
        <v>3080</v>
      </c>
      <c r="DA485" s="5" t="s">
        <v>533</v>
      </c>
      <c r="DB485" s="5" t="s">
        <v>238</v>
      </c>
      <c r="DD485" s="5" t="s">
        <v>356</v>
      </c>
      <c r="DE485" s="8">
        <f>0</f>
        <v>0</v>
      </c>
      <c r="DG485" s="5" t="s">
        <v>534</v>
      </c>
      <c r="DH485" s="5" t="s">
        <v>238</v>
      </c>
      <c r="DI485" s="5" t="s">
        <v>238</v>
      </c>
      <c r="DJ485" s="5" t="s">
        <v>238</v>
      </c>
      <c r="DN485" s="5" t="s">
        <v>238</v>
      </c>
      <c r="DO485" s="5" t="s">
        <v>238</v>
      </c>
      <c r="DP485" s="5" t="s">
        <v>238</v>
      </c>
      <c r="DQ485" s="5" t="s">
        <v>238</v>
      </c>
      <c r="DT485" s="5" t="s">
        <v>535</v>
      </c>
      <c r="DU485" s="5" t="s">
        <v>1329</v>
      </c>
      <c r="HM485" s="5" t="s">
        <v>264</v>
      </c>
    </row>
    <row r="486" spans="1:221" x14ac:dyDescent="0.4">
      <c r="A486" s="5">
        <v>1348</v>
      </c>
      <c r="B486" s="5">
        <v>1</v>
      </c>
      <c r="C486" s="5">
        <v>1</v>
      </c>
      <c r="D486" s="5" t="s">
        <v>484</v>
      </c>
      <c r="E486" s="5" t="s">
        <v>485</v>
      </c>
      <c r="F486" s="5" t="s">
        <v>248</v>
      </c>
      <c r="G486" s="5" t="s">
        <v>531</v>
      </c>
      <c r="H486" s="6" t="s">
        <v>5680</v>
      </c>
      <c r="I486" s="7">
        <f>2733</f>
        <v>2733</v>
      </c>
      <c r="J486" s="5" t="s">
        <v>262</v>
      </c>
      <c r="K486" s="8">
        <f>30063</f>
        <v>30063</v>
      </c>
      <c r="L486" s="6" t="s">
        <v>242</v>
      </c>
      <c r="M486" s="5" t="s">
        <v>267</v>
      </c>
      <c r="N486" s="5" t="s">
        <v>237</v>
      </c>
      <c r="O486" s="5" t="s">
        <v>238</v>
      </c>
      <c r="P486" s="5" t="s">
        <v>238</v>
      </c>
      <c r="Q486" s="5" t="s">
        <v>239</v>
      </c>
      <c r="R486" s="5" t="s">
        <v>240</v>
      </c>
      <c r="S486" s="5" t="s">
        <v>238</v>
      </c>
      <c r="V486" s="5" t="s">
        <v>238</v>
      </c>
      <c r="X486" s="6" t="s">
        <v>238</v>
      </c>
      <c r="AA486" s="6" t="s">
        <v>243</v>
      </c>
      <c r="AB486" s="5" t="s">
        <v>238</v>
      </c>
      <c r="AC486" s="5" t="s">
        <v>244</v>
      </c>
      <c r="AD486" s="5" t="s">
        <v>245</v>
      </c>
      <c r="AT486" s="5" t="s">
        <v>246</v>
      </c>
      <c r="AU486" s="5" t="s">
        <v>238</v>
      </c>
      <c r="AV486" s="5" t="s">
        <v>247</v>
      </c>
      <c r="AW486" s="5" t="s">
        <v>238</v>
      </c>
      <c r="AX486" s="5" t="s">
        <v>249</v>
      </c>
      <c r="AY486" s="5" t="s">
        <v>238</v>
      </c>
      <c r="BA486" s="5" t="s">
        <v>238</v>
      </c>
      <c r="BC486" s="5" t="s">
        <v>250</v>
      </c>
      <c r="BD486" s="6" t="s">
        <v>243</v>
      </c>
      <c r="BE486" s="5" t="s">
        <v>251</v>
      </c>
      <c r="BF486" s="5" t="s">
        <v>252</v>
      </c>
      <c r="BG486" s="5" t="s">
        <v>238</v>
      </c>
      <c r="BH486" s="7">
        <f>0</f>
        <v>0</v>
      </c>
      <c r="BI486" s="8">
        <f>0</f>
        <v>0</v>
      </c>
      <c r="BJ486" s="5" t="s">
        <v>253</v>
      </c>
      <c r="BK486" s="5" t="s">
        <v>254</v>
      </c>
      <c r="BY486" s="5" t="s">
        <v>238</v>
      </c>
      <c r="BZ486" s="5" t="s">
        <v>238</v>
      </c>
      <c r="CD486" s="5" t="s">
        <v>255</v>
      </c>
      <c r="CE486" s="5" t="s">
        <v>256</v>
      </c>
      <c r="CF486" s="5" t="s">
        <v>238</v>
      </c>
      <c r="CI486" s="6" t="s">
        <v>257</v>
      </c>
      <c r="CJ486" s="5" t="s">
        <v>238</v>
      </c>
      <c r="CK486" s="5" t="s">
        <v>258</v>
      </c>
      <c r="CL486" s="5" t="s">
        <v>238</v>
      </c>
      <c r="CM486" s="5" t="s">
        <v>238</v>
      </c>
      <c r="CN486" s="5">
        <v>0</v>
      </c>
      <c r="CO486" s="5" t="s">
        <v>259</v>
      </c>
      <c r="CP486" s="5" t="s">
        <v>260</v>
      </c>
      <c r="CQ486" s="5" t="s">
        <v>260</v>
      </c>
      <c r="CR486" s="5" t="s">
        <v>261</v>
      </c>
      <c r="CU486" s="8">
        <f>30063</f>
        <v>30063</v>
      </c>
      <c r="CV486" s="8">
        <f>0</f>
        <v>0</v>
      </c>
      <c r="CX486" s="8">
        <f>0</f>
        <v>0</v>
      </c>
      <c r="CY486" s="8">
        <f>30063</f>
        <v>30063</v>
      </c>
      <c r="DA486" s="5" t="s">
        <v>533</v>
      </c>
      <c r="DB486" s="5" t="s">
        <v>238</v>
      </c>
      <c r="DD486" s="5" t="s">
        <v>356</v>
      </c>
      <c r="DE486" s="8">
        <f>0</f>
        <v>0</v>
      </c>
      <c r="DG486" s="5" t="s">
        <v>534</v>
      </c>
      <c r="DH486" s="5" t="s">
        <v>238</v>
      </c>
      <c r="DI486" s="5" t="s">
        <v>238</v>
      </c>
      <c r="DJ486" s="5" t="s">
        <v>238</v>
      </c>
      <c r="DN486" s="5" t="s">
        <v>238</v>
      </c>
      <c r="DO486" s="5" t="s">
        <v>238</v>
      </c>
      <c r="DP486" s="5" t="s">
        <v>238</v>
      </c>
      <c r="DQ486" s="5" t="s">
        <v>238</v>
      </c>
      <c r="DT486" s="5" t="s">
        <v>535</v>
      </c>
      <c r="DU486" s="5" t="s">
        <v>1327</v>
      </c>
      <c r="HM486" s="5" t="s">
        <v>264</v>
      </c>
    </row>
    <row r="487" spans="1:221" x14ac:dyDescent="0.4">
      <c r="A487" s="5">
        <v>1349</v>
      </c>
      <c r="B487" s="5">
        <v>1</v>
      </c>
      <c r="C487" s="5">
        <v>1</v>
      </c>
      <c r="D487" s="5" t="s">
        <v>484</v>
      </c>
      <c r="E487" s="5" t="s">
        <v>485</v>
      </c>
      <c r="F487" s="5" t="s">
        <v>248</v>
      </c>
      <c r="G487" s="5" t="s">
        <v>531</v>
      </c>
      <c r="H487" s="6" t="s">
        <v>6451</v>
      </c>
      <c r="I487" s="7">
        <f>914</f>
        <v>914</v>
      </c>
      <c r="J487" s="5" t="s">
        <v>262</v>
      </c>
      <c r="K487" s="8">
        <f>10054</f>
        <v>10054</v>
      </c>
      <c r="L487" s="6" t="s">
        <v>242</v>
      </c>
      <c r="M487" s="5" t="s">
        <v>267</v>
      </c>
      <c r="N487" s="5" t="s">
        <v>237</v>
      </c>
      <c r="O487" s="5" t="s">
        <v>238</v>
      </c>
      <c r="P487" s="5" t="s">
        <v>238</v>
      </c>
      <c r="Q487" s="5" t="s">
        <v>239</v>
      </c>
      <c r="R487" s="5" t="s">
        <v>240</v>
      </c>
      <c r="S487" s="5" t="s">
        <v>238</v>
      </c>
      <c r="V487" s="5" t="s">
        <v>238</v>
      </c>
      <c r="X487" s="6" t="s">
        <v>238</v>
      </c>
      <c r="AA487" s="6" t="s">
        <v>243</v>
      </c>
      <c r="AB487" s="5" t="s">
        <v>238</v>
      </c>
      <c r="AC487" s="5" t="s">
        <v>244</v>
      </c>
      <c r="AD487" s="5" t="s">
        <v>245</v>
      </c>
      <c r="AT487" s="5" t="s">
        <v>246</v>
      </c>
      <c r="AU487" s="5" t="s">
        <v>238</v>
      </c>
      <c r="AV487" s="5" t="s">
        <v>247</v>
      </c>
      <c r="AW487" s="5" t="s">
        <v>238</v>
      </c>
      <c r="AX487" s="5" t="s">
        <v>249</v>
      </c>
      <c r="AY487" s="5" t="s">
        <v>238</v>
      </c>
      <c r="BA487" s="5" t="s">
        <v>238</v>
      </c>
      <c r="BC487" s="5" t="s">
        <v>250</v>
      </c>
      <c r="BD487" s="6" t="s">
        <v>243</v>
      </c>
      <c r="BE487" s="5" t="s">
        <v>251</v>
      </c>
      <c r="BF487" s="5" t="s">
        <v>252</v>
      </c>
      <c r="BG487" s="5" t="s">
        <v>238</v>
      </c>
      <c r="BH487" s="7">
        <f>0</f>
        <v>0</v>
      </c>
      <c r="BI487" s="8">
        <f>0</f>
        <v>0</v>
      </c>
      <c r="BJ487" s="5" t="s">
        <v>253</v>
      </c>
      <c r="BK487" s="5" t="s">
        <v>254</v>
      </c>
      <c r="BY487" s="5" t="s">
        <v>238</v>
      </c>
      <c r="BZ487" s="5" t="s">
        <v>238</v>
      </c>
      <c r="CD487" s="5" t="s">
        <v>255</v>
      </c>
      <c r="CE487" s="5" t="s">
        <v>256</v>
      </c>
      <c r="CF487" s="5" t="s">
        <v>238</v>
      </c>
      <c r="CI487" s="6" t="s">
        <v>257</v>
      </c>
      <c r="CJ487" s="5" t="s">
        <v>238</v>
      </c>
      <c r="CK487" s="5" t="s">
        <v>258</v>
      </c>
      <c r="CL487" s="5" t="s">
        <v>238</v>
      </c>
      <c r="CM487" s="5" t="s">
        <v>238</v>
      </c>
      <c r="CN487" s="5">
        <v>0</v>
      </c>
      <c r="CO487" s="5" t="s">
        <v>259</v>
      </c>
      <c r="CP487" s="5" t="s">
        <v>260</v>
      </c>
      <c r="CQ487" s="5" t="s">
        <v>260</v>
      </c>
      <c r="CR487" s="5" t="s">
        <v>261</v>
      </c>
      <c r="CU487" s="8">
        <f>10054</f>
        <v>10054</v>
      </c>
      <c r="CV487" s="8">
        <f>0</f>
        <v>0</v>
      </c>
      <c r="CX487" s="8">
        <f>0</f>
        <v>0</v>
      </c>
      <c r="CY487" s="8">
        <f>10054</f>
        <v>10054</v>
      </c>
      <c r="DA487" s="5" t="s">
        <v>533</v>
      </c>
      <c r="DB487" s="5" t="s">
        <v>238</v>
      </c>
      <c r="DD487" s="5" t="s">
        <v>356</v>
      </c>
      <c r="DE487" s="8">
        <f>0</f>
        <v>0</v>
      </c>
      <c r="DG487" s="5" t="s">
        <v>534</v>
      </c>
      <c r="DH487" s="5" t="s">
        <v>238</v>
      </c>
      <c r="DI487" s="5" t="s">
        <v>238</v>
      </c>
      <c r="DJ487" s="5" t="s">
        <v>238</v>
      </c>
      <c r="DN487" s="5" t="s">
        <v>238</v>
      </c>
      <c r="DO487" s="5" t="s">
        <v>238</v>
      </c>
      <c r="DP487" s="5" t="s">
        <v>238</v>
      </c>
      <c r="DQ487" s="5" t="s">
        <v>238</v>
      </c>
      <c r="DT487" s="5" t="s">
        <v>535</v>
      </c>
      <c r="DU487" s="5" t="s">
        <v>1320</v>
      </c>
      <c r="HM487" s="5" t="s">
        <v>264</v>
      </c>
    </row>
    <row r="488" spans="1:221" x14ac:dyDescent="0.4">
      <c r="A488" s="5">
        <v>1350</v>
      </c>
      <c r="B488" s="5">
        <v>1</v>
      </c>
      <c r="C488" s="5">
        <v>1</v>
      </c>
      <c r="D488" s="5" t="s">
        <v>484</v>
      </c>
      <c r="E488" s="5" t="s">
        <v>485</v>
      </c>
      <c r="F488" s="5" t="s">
        <v>248</v>
      </c>
      <c r="G488" s="5" t="s">
        <v>531</v>
      </c>
      <c r="H488" s="6" t="s">
        <v>5256</v>
      </c>
      <c r="I488" s="7">
        <f>1397</f>
        <v>1397</v>
      </c>
      <c r="J488" s="5" t="s">
        <v>262</v>
      </c>
      <c r="K488" s="8">
        <f>15367</f>
        <v>15367</v>
      </c>
      <c r="L488" s="6" t="s">
        <v>242</v>
      </c>
      <c r="M488" s="5" t="s">
        <v>267</v>
      </c>
      <c r="N488" s="5" t="s">
        <v>237</v>
      </c>
      <c r="O488" s="5" t="s">
        <v>238</v>
      </c>
      <c r="P488" s="5" t="s">
        <v>238</v>
      </c>
      <c r="Q488" s="5" t="s">
        <v>239</v>
      </c>
      <c r="R488" s="5" t="s">
        <v>240</v>
      </c>
      <c r="S488" s="5" t="s">
        <v>238</v>
      </c>
      <c r="V488" s="5" t="s">
        <v>238</v>
      </c>
      <c r="X488" s="6" t="s">
        <v>238</v>
      </c>
      <c r="AA488" s="6" t="s">
        <v>243</v>
      </c>
      <c r="AB488" s="5" t="s">
        <v>238</v>
      </c>
      <c r="AC488" s="5" t="s">
        <v>244</v>
      </c>
      <c r="AD488" s="5" t="s">
        <v>245</v>
      </c>
      <c r="AT488" s="5" t="s">
        <v>246</v>
      </c>
      <c r="AU488" s="5" t="s">
        <v>238</v>
      </c>
      <c r="AV488" s="5" t="s">
        <v>247</v>
      </c>
      <c r="AW488" s="5" t="s">
        <v>238</v>
      </c>
      <c r="AX488" s="5" t="s">
        <v>249</v>
      </c>
      <c r="AY488" s="5" t="s">
        <v>238</v>
      </c>
      <c r="BA488" s="5" t="s">
        <v>238</v>
      </c>
      <c r="BC488" s="5" t="s">
        <v>250</v>
      </c>
      <c r="BD488" s="6" t="s">
        <v>243</v>
      </c>
      <c r="BE488" s="5" t="s">
        <v>251</v>
      </c>
      <c r="BF488" s="5" t="s">
        <v>252</v>
      </c>
      <c r="BG488" s="5" t="s">
        <v>238</v>
      </c>
      <c r="BH488" s="7">
        <f>0</f>
        <v>0</v>
      </c>
      <c r="BI488" s="8">
        <f>0</f>
        <v>0</v>
      </c>
      <c r="BJ488" s="5" t="s">
        <v>253</v>
      </c>
      <c r="BK488" s="5" t="s">
        <v>254</v>
      </c>
      <c r="BY488" s="5" t="s">
        <v>238</v>
      </c>
      <c r="BZ488" s="5" t="s">
        <v>238</v>
      </c>
      <c r="CD488" s="5" t="s">
        <v>255</v>
      </c>
      <c r="CE488" s="5" t="s">
        <v>256</v>
      </c>
      <c r="CF488" s="5" t="s">
        <v>238</v>
      </c>
      <c r="CI488" s="6" t="s">
        <v>257</v>
      </c>
      <c r="CJ488" s="5" t="s">
        <v>238</v>
      </c>
      <c r="CK488" s="5" t="s">
        <v>258</v>
      </c>
      <c r="CL488" s="5" t="s">
        <v>238</v>
      </c>
      <c r="CM488" s="5" t="s">
        <v>238</v>
      </c>
      <c r="CN488" s="5">
        <v>0</v>
      </c>
      <c r="CO488" s="5" t="s">
        <v>259</v>
      </c>
      <c r="CP488" s="5" t="s">
        <v>260</v>
      </c>
      <c r="CQ488" s="5" t="s">
        <v>260</v>
      </c>
      <c r="CR488" s="5" t="s">
        <v>261</v>
      </c>
      <c r="CU488" s="8">
        <f>15367</f>
        <v>15367</v>
      </c>
      <c r="CV488" s="8">
        <f>0</f>
        <v>0</v>
      </c>
      <c r="CX488" s="8">
        <f>0</f>
        <v>0</v>
      </c>
      <c r="CY488" s="8">
        <f>15367</f>
        <v>15367</v>
      </c>
      <c r="DA488" s="5" t="s">
        <v>533</v>
      </c>
      <c r="DB488" s="5" t="s">
        <v>238</v>
      </c>
      <c r="DD488" s="5" t="s">
        <v>356</v>
      </c>
      <c r="DE488" s="8">
        <f>0</f>
        <v>0</v>
      </c>
      <c r="DG488" s="5" t="s">
        <v>534</v>
      </c>
      <c r="DH488" s="5" t="s">
        <v>238</v>
      </c>
      <c r="DI488" s="5" t="s">
        <v>238</v>
      </c>
      <c r="DJ488" s="5" t="s">
        <v>238</v>
      </c>
      <c r="DN488" s="5" t="s">
        <v>238</v>
      </c>
      <c r="DO488" s="5" t="s">
        <v>238</v>
      </c>
      <c r="DP488" s="5" t="s">
        <v>238</v>
      </c>
      <c r="DQ488" s="5" t="s">
        <v>238</v>
      </c>
      <c r="DT488" s="5" t="s">
        <v>535</v>
      </c>
      <c r="DU488" s="5" t="s">
        <v>1318</v>
      </c>
      <c r="HM488" s="5" t="s">
        <v>264</v>
      </c>
    </row>
    <row r="489" spans="1:221" x14ac:dyDescent="0.4">
      <c r="A489" s="5">
        <v>1351</v>
      </c>
      <c r="B489" s="5">
        <v>1</v>
      </c>
      <c r="C489" s="5">
        <v>1</v>
      </c>
      <c r="D489" s="5" t="s">
        <v>484</v>
      </c>
      <c r="E489" s="5" t="s">
        <v>485</v>
      </c>
      <c r="F489" s="5" t="s">
        <v>248</v>
      </c>
      <c r="G489" s="5" t="s">
        <v>531</v>
      </c>
      <c r="H489" s="6" t="s">
        <v>5834</v>
      </c>
      <c r="I489" s="7">
        <f>729</f>
        <v>729</v>
      </c>
      <c r="J489" s="5" t="s">
        <v>262</v>
      </c>
      <c r="K489" s="8">
        <f>8019</f>
        <v>8019</v>
      </c>
      <c r="L489" s="6" t="s">
        <v>242</v>
      </c>
      <c r="M489" s="5" t="s">
        <v>267</v>
      </c>
      <c r="N489" s="5" t="s">
        <v>237</v>
      </c>
      <c r="O489" s="5" t="s">
        <v>238</v>
      </c>
      <c r="P489" s="5" t="s">
        <v>238</v>
      </c>
      <c r="Q489" s="5" t="s">
        <v>239</v>
      </c>
      <c r="R489" s="5" t="s">
        <v>240</v>
      </c>
      <c r="S489" s="5" t="s">
        <v>238</v>
      </c>
      <c r="V489" s="5" t="s">
        <v>238</v>
      </c>
      <c r="X489" s="6" t="s">
        <v>238</v>
      </c>
      <c r="AA489" s="6" t="s">
        <v>243</v>
      </c>
      <c r="AB489" s="5" t="s">
        <v>238</v>
      </c>
      <c r="AC489" s="5" t="s">
        <v>244</v>
      </c>
      <c r="AD489" s="5" t="s">
        <v>245</v>
      </c>
      <c r="AT489" s="5" t="s">
        <v>246</v>
      </c>
      <c r="AU489" s="5" t="s">
        <v>238</v>
      </c>
      <c r="AV489" s="5" t="s">
        <v>247</v>
      </c>
      <c r="AW489" s="5" t="s">
        <v>238</v>
      </c>
      <c r="AX489" s="5" t="s">
        <v>249</v>
      </c>
      <c r="AY489" s="5" t="s">
        <v>238</v>
      </c>
      <c r="BA489" s="5" t="s">
        <v>238</v>
      </c>
      <c r="BC489" s="5" t="s">
        <v>250</v>
      </c>
      <c r="BD489" s="6" t="s">
        <v>243</v>
      </c>
      <c r="BE489" s="5" t="s">
        <v>251</v>
      </c>
      <c r="BF489" s="5" t="s">
        <v>252</v>
      </c>
      <c r="BG489" s="5" t="s">
        <v>238</v>
      </c>
      <c r="BH489" s="7">
        <f>0</f>
        <v>0</v>
      </c>
      <c r="BI489" s="8">
        <f>0</f>
        <v>0</v>
      </c>
      <c r="BJ489" s="5" t="s">
        <v>253</v>
      </c>
      <c r="BK489" s="5" t="s">
        <v>254</v>
      </c>
      <c r="BY489" s="5" t="s">
        <v>238</v>
      </c>
      <c r="BZ489" s="5" t="s">
        <v>238</v>
      </c>
      <c r="CD489" s="5" t="s">
        <v>255</v>
      </c>
      <c r="CE489" s="5" t="s">
        <v>256</v>
      </c>
      <c r="CF489" s="5" t="s">
        <v>238</v>
      </c>
      <c r="CI489" s="6" t="s">
        <v>257</v>
      </c>
      <c r="CJ489" s="5" t="s">
        <v>238</v>
      </c>
      <c r="CK489" s="5" t="s">
        <v>258</v>
      </c>
      <c r="CL489" s="5" t="s">
        <v>238</v>
      </c>
      <c r="CM489" s="5" t="s">
        <v>238</v>
      </c>
      <c r="CN489" s="5">
        <v>0</v>
      </c>
      <c r="CO489" s="5" t="s">
        <v>259</v>
      </c>
      <c r="CP489" s="5" t="s">
        <v>260</v>
      </c>
      <c r="CQ489" s="5" t="s">
        <v>260</v>
      </c>
      <c r="CR489" s="5" t="s">
        <v>261</v>
      </c>
      <c r="CU489" s="8">
        <f>8019</f>
        <v>8019</v>
      </c>
      <c r="CV489" s="8">
        <f>0</f>
        <v>0</v>
      </c>
      <c r="CX489" s="8">
        <f>0</f>
        <v>0</v>
      </c>
      <c r="CY489" s="8">
        <f>8019</f>
        <v>8019</v>
      </c>
      <c r="DA489" s="5" t="s">
        <v>533</v>
      </c>
      <c r="DB489" s="5" t="s">
        <v>238</v>
      </c>
      <c r="DD489" s="5" t="s">
        <v>356</v>
      </c>
      <c r="DE489" s="8">
        <f>0</f>
        <v>0</v>
      </c>
      <c r="DG489" s="5" t="s">
        <v>534</v>
      </c>
      <c r="DH489" s="5" t="s">
        <v>238</v>
      </c>
      <c r="DI489" s="5" t="s">
        <v>238</v>
      </c>
      <c r="DJ489" s="5" t="s">
        <v>238</v>
      </c>
      <c r="DN489" s="5" t="s">
        <v>238</v>
      </c>
      <c r="DO489" s="5" t="s">
        <v>238</v>
      </c>
      <c r="DP489" s="5" t="s">
        <v>238</v>
      </c>
      <c r="DQ489" s="5" t="s">
        <v>238</v>
      </c>
      <c r="DT489" s="5" t="s">
        <v>535</v>
      </c>
      <c r="DU489" s="5" t="s">
        <v>1314</v>
      </c>
      <c r="HM489" s="5" t="s">
        <v>264</v>
      </c>
    </row>
    <row r="490" spans="1:221" x14ac:dyDescent="0.4">
      <c r="A490" s="5">
        <v>1352</v>
      </c>
      <c r="B490" s="5">
        <v>1</v>
      </c>
      <c r="C490" s="5">
        <v>1</v>
      </c>
      <c r="D490" s="5" t="s">
        <v>484</v>
      </c>
      <c r="E490" s="5" t="s">
        <v>485</v>
      </c>
      <c r="F490" s="5" t="s">
        <v>248</v>
      </c>
      <c r="G490" s="5" t="s">
        <v>531</v>
      </c>
      <c r="H490" s="6" t="s">
        <v>5760</v>
      </c>
      <c r="I490" s="7">
        <f>6575</f>
        <v>6575</v>
      </c>
      <c r="J490" s="5" t="s">
        <v>262</v>
      </c>
      <c r="K490" s="8">
        <f>72325</f>
        <v>72325</v>
      </c>
      <c r="L490" s="6" t="s">
        <v>242</v>
      </c>
      <c r="M490" s="5" t="s">
        <v>267</v>
      </c>
      <c r="N490" s="5" t="s">
        <v>237</v>
      </c>
      <c r="O490" s="5" t="s">
        <v>238</v>
      </c>
      <c r="P490" s="5" t="s">
        <v>238</v>
      </c>
      <c r="Q490" s="5" t="s">
        <v>239</v>
      </c>
      <c r="R490" s="5" t="s">
        <v>240</v>
      </c>
      <c r="S490" s="5" t="s">
        <v>238</v>
      </c>
      <c r="V490" s="5" t="s">
        <v>238</v>
      </c>
      <c r="X490" s="6" t="s">
        <v>238</v>
      </c>
      <c r="AA490" s="6" t="s">
        <v>243</v>
      </c>
      <c r="AB490" s="5" t="s">
        <v>238</v>
      </c>
      <c r="AC490" s="5" t="s">
        <v>244</v>
      </c>
      <c r="AD490" s="5" t="s">
        <v>245</v>
      </c>
      <c r="AT490" s="5" t="s">
        <v>246</v>
      </c>
      <c r="AU490" s="5" t="s">
        <v>238</v>
      </c>
      <c r="AV490" s="5" t="s">
        <v>247</v>
      </c>
      <c r="AW490" s="5" t="s">
        <v>238</v>
      </c>
      <c r="AX490" s="5" t="s">
        <v>249</v>
      </c>
      <c r="AY490" s="5" t="s">
        <v>238</v>
      </c>
      <c r="BA490" s="5" t="s">
        <v>238</v>
      </c>
      <c r="BC490" s="5" t="s">
        <v>250</v>
      </c>
      <c r="BD490" s="6" t="s">
        <v>243</v>
      </c>
      <c r="BE490" s="5" t="s">
        <v>251</v>
      </c>
      <c r="BF490" s="5" t="s">
        <v>252</v>
      </c>
      <c r="BG490" s="5" t="s">
        <v>238</v>
      </c>
      <c r="BH490" s="7">
        <f>0</f>
        <v>0</v>
      </c>
      <c r="BI490" s="8">
        <f>0</f>
        <v>0</v>
      </c>
      <c r="BJ490" s="5" t="s">
        <v>253</v>
      </c>
      <c r="BK490" s="5" t="s">
        <v>254</v>
      </c>
      <c r="BY490" s="5" t="s">
        <v>238</v>
      </c>
      <c r="BZ490" s="5" t="s">
        <v>238</v>
      </c>
      <c r="CD490" s="5" t="s">
        <v>255</v>
      </c>
      <c r="CE490" s="5" t="s">
        <v>256</v>
      </c>
      <c r="CF490" s="5" t="s">
        <v>238</v>
      </c>
      <c r="CI490" s="6" t="s">
        <v>257</v>
      </c>
      <c r="CJ490" s="5" t="s">
        <v>238</v>
      </c>
      <c r="CK490" s="5" t="s">
        <v>258</v>
      </c>
      <c r="CL490" s="5" t="s">
        <v>238</v>
      </c>
      <c r="CM490" s="5" t="s">
        <v>238</v>
      </c>
      <c r="CN490" s="5">
        <v>0</v>
      </c>
      <c r="CO490" s="5" t="s">
        <v>259</v>
      </c>
      <c r="CP490" s="5" t="s">
        <v>260</v>
      </c>
      <c r="CQ490" s="5" t="s">
        <v>260</v>
      </c>
      <c r="CR490" s="5" t="s">
        <v>261</v>
      </c>
      <c r="CU490" s="8">
        <f>72325</f>
        <v>72325</v>
      </c>
      <c r="CV490" s="8">
        <f>0</f>
        <v>0</v>
      </c>
      <c r="CX490" s="8">
        <f>0</f>
        <v>0</v>
      </c>
      <c r="CY490" s="8">
        <f>72325</f>
        <v>72325</v>
      </c>
      <c r="DA490" s="5" t="s">
        <v>533</v>
      </c>
      <c r="DB490" s="5" t="s">
        <v>238</v>
      </c>
      <c r="DD490" s="5" t="s">
        <v>356</v>
      </c>
      <c r="DE490" s="8">
        <f>0</f>
        <v>0</v>
      </c>
      <c r="DG490" s="5" t="s">
        <v>534</v>
      </c>
      <c r="DH490" s="5" t="s">
        <v>238</v>
      </c>
      <c r="DI490" s="5" t="s">
        <v>238</v>
      </c>
      <c r="DJ490" s="5" t="s">
        <v>238</v>
      </c>
      <c r="DN490" s="5" t="s">
        <v>238</v>
      </c>
      <c r="DO490" s="5" t="s">
        <v>238</v>
      </c>
      <c r="DP490" s="5" t="s">
        <v>238</v>
      </c>
      <c r="DQ490" s="5" t="s">
        <v>238</v>
      </c>
      <c r="DT490" s="5" t="s">
        <v>535</v>
      </c>
      <c r="DU490" s="5" t="s">
        <v>602</v>
      </c>
      <c r="HM490" s="5" t="s">
        <v>264</v>
      </c>
    </row>
    <row r="491" spans="1:221" x14ac:dyDescent="0.4">
      <c r="A491" s="5">
        <v>1353</v>
      </c>
      <c r="B491" s="5">
        <v>1</v>
      </c>
      <c r="C491" s="5">
        <v>1</v>
      </c>
      <c r="D491" s="5" t="s">
        <v>484</v>
      </c>
      <c r="E491" s="5" t="s">
        <v>485</v>
      </c>
      <c r="F491" s="5" t="s">
        <v>248</v>
      </c>
      <c r="G491" s="5" t="s">
        <v>531</v>
      </c>
      <c r="H491" s="6" t="s">
        <v>5227</v>
      </c>
      <c r="I491" s="7">
        <f>363</f>
        <v>363</v>
      </c>
      <c r="J491" s="5" t="s">
        <v>262</v>
      </c>
      <c r="K491" s="8">
        <f>3993</f>
        <v>3993</v>
      </c>
      <c r="L491" s="6" t="s">
        <v>242</v>
      </c>
      <c r="M491" s="5" t="s">
        <v>267</v>
      </c>
      <c r="N491" s="5" t="s">
        <v>237</v>
      </c>
      <c r="O491" s="5" t="s">
        <v>238</v>
      </c>
      <c r="P491" s="5" t="s">
        <v>238</v>
      </c>
      <c r="Q491" s="5" t="s">
        <v>239</v>
      </c>
      <c r="R491" s="5" t="s">
        <v>240</v>
      </c>
      <c r="S491" s="5" t="s">
        <v>238</v>
      </c>
      <c r="V491" s="5" t="s">
        <v>238</v>
      </c>
      <c r="X491" s="6" t="s">
        <v>238</v>
      </c>
      <c r="AA491" s="6" t="s">
        <v>243</v>
      </c>
      <c r="AB491" s="5" t="s">
        <v>238</v>
      </c>
      <c r="AC491" s="5" t="s">
        <v>244</v>
      </c>
      <c r="AD491" s="5" t="s">
        <v>245</v>
      </c>
      <c r="AT491" s="5" t="s">
        <v>246</v>
      </c>
      <c r="AU491" s="5" t="s">
        <v>238</v>
      </c>
      <c r="AV491" s="5" t="s">
        <v>247</v>
      </c>
      <c r="AW491" s="5" t="s">
        <v>238</v>
      </c>
      <c r="AX491" s="5" t="s">
        <v>249</v>
      </c>
      <c r="AY491" s="5" t="s">
        <v>238</v>
      </c>
      <c r="BA491" s="5" t="s">
        <v>238</v>
      </c>
      <c r="BC491" s="5" t="s">
        <v>250</v>
      </c>
      <c r="BD491" s="6" t="s">
        <v>243</v>
      </c>
      <c r="BE491" s="5" t="s">
        <v>251</v>
      </c>
      <c r="BF491" s="5" t="s">
        <v>252</v>
      </c>
      <c r="BG491" s="5" t="s">
        <v>238</v>
      </c>
      <c r="BH491" s="7">
        <f>0</f>
        <v>0</v>
      </c>
      <c r="BI491" s="8">
        <f>0</f>
        <v>0</v>
      </c>
      <c r="BJ491" s="5" t="s">
        <v>253</v>
      </c>
      <c r="BK491" s="5" t="s">
        <v>254</v>
      </c>
      <c r="BY491" s="5" t="s">
        <v>238</v>
      </c>
      <c r="BZ491" s="5" t="s">
        <v>238</v>
      </c>
      <c r="CD491" s="5" t="s">
        <v>255</v>
      </c>
      <c r="CE491" s="5" t="s">
        <v>256</v>
      </c>
      <c r="CF491" s="5" t="s">
        <v>238</v>
      </c>
      <c r="CI491" s="6" t="s">
        <v>257</v>
      </c>
      <c r="CJ491" s="5" t="s">
        <v>238</v>
      </c>
      <c r="CK491" s="5" t="s">
        <v>258</v>
      </c>
      <c r="CL491" s="5" t="s">
        <v>238</v>
      </c>
      <c r="CM491" s="5" t="s">
        <v>238</v>
      </c>
      <c r="CN491" s="5">
        <v>0</v>
      </c>
      <c r="CO491" s="5" t="s">
        <v>259</v>
      </c>
      <c r="CP491" s="5" t="s">
        <v>260</v>
      </c>
      <c r="CQ491" s="5" t="s">
        <v>260</v>
      </c>
      <c r="CR491" s="5" t="s">
        <v>261</v>
      </c>
      <c r="CU491" s="8">
        <f>3993</f>
        <v>3993</v>
      </c>
      <c r="CV491" s="8">
        <f>0</f>
        <v>0</v>
      </c>
      <c r="CX491" s="8">
        <f>0</f>
        <v>0</v>
      </c>
      <c r="CY491" s="8">
        <f>3993</f>
        <v>3993</v>
      </c>
      <c r="DA491" s="5" t="s">
        <v>533</v>
      </c>
      <c r="DB491" s="5" t="s">
        <v>238</v>
      </c>
      <c r="DD491" s="5" t="s">
        <v>356</v>
      </c>
      <c r="DE491" s="8">
        <f>0</f>
        <v>0</v>
      </c>
      <c r="DG491" s="5" t="s">
        <v>534</v>
      </c>
      <c r="DH491" s="5" t="s">
        <v>238</v>
      </c>
      <c r="DI491" s="5" t="s">
        <v>238</v>
      </c>
      <c r="DJ491" s="5" t="s">
        <v>238</v>
      </c>
      <c r="DN491" s="5" t="s">
        <v>238</v>
      </c>
      <c r="DO491" s="5" t="s">
        <v>238</v>
      </c>
      <c r="DP491" s="5" t="s">
        <v>238</v>
      </c>
      <c r="DQ491" s="5" t="s">
        <v>238</v>
      </c>
      <c r="DT491" s="5" t="s">
        <v>535</v>
      </c>
      <c r="DU491" s="5" t="s">
        <v>1307</v>
      </c>
      <c r="HM491" s="5" t="s">
        <v>264</v>
      </c>
    </row>
    <row r="492" spans="1:221" x14ac:dyDescent="0.4">
      <c r="A492" s="5">
        <v>1354</v>
      </c>
      <c r="B492" s="5">
        <v>1</v>
      </c>
      <c r="C492" s="5">
        <v>1</v>
      </c>
      <c r="D492" s="5" t="s">
        <v>484</v>
      </c>
      <c r="E492" s="5" t="s">
        <v>485</v>
      </c>
      <c r="F492" s="5" t="s">
        <v>248</v>
      </c>
      <c r="G492" s="5" t="s">
        <v>531</v>
      </c>
      <c r="H492" s="6" t="s">
        <v>4537</v>
      </c>
      <c r="I492" s="7">
        <f>663</f>
        <v>663</v>
      </c>
      <c r="J492" s="5" t="s">
        <v>262</v>
      </c>
      <c r="K492" s="8">
        <f>7293</f>
        <v>7293</v>
      </c>
      <c r="L492" s="6" t="s">
        <v>242</v>
      </c>
      <c r="M492" s="5" t="s">
        <v>267</v>
      </c>
      <c r="N492" s="5" t="s">
        <v>237</v>
      </c>
      <c r="O492" s="5" t="s">
        <v>238</v>
      </c>
      <c r="P492" s="5" t="s">
        <v>238</v>
      </c>
      <c r="Q492" s="5" t="s">
        <v>239</v>
      </c>
      <c r="R492" s="5" t="s">
        <v>240</v>
      </c>
      <c r="S492" s="5" t="s">
        <v>238</v>
      </c>
      <c r="V492" s="5" t="s">
        <v>238</v>
      </c>
      <c r="X492" s="6" t="s">
        <v>238</v>
      </c>
      <c r="AA492" s="6" t="s">
        <v>243</v>
      </c>
      <c r="AB492" s="5" t="s">
        <v>238</v>
      </c>
      <c r="AC492" s="5" t="s">
        <v>244</v>
      </c>
      <c r="AD492" s="5" t="s">
        <v>245</v>
      </c>
      <c r="AT492" s="5" t="s">
        <v>246</v>
      </c>
      <c r="AU492" s="5" t="s">
        <v>238</v>
      </c>
      <c r="AV492" s="5" t="s">
        <v>247</v>
      </c>
      <c r="AW492" s="5" t="s">
        <v>238</v>
      </c>
      <c r="AX492" s="5" t="s">
        <v>249</v>
      </c>
      <c r="AY492" s="5" t="s">
        <v>238</v>
      </c>
      <c r="BA492" s="5" t="s">
        <v>238</v>
      </c>
      <c r="BC492" s="5" t="s">
        <v>250</v>
      </c>
      <c r="BD492" s="6" t="s">
        <v>243</v>
      </c>
      <c r="BE492" s="5" t="s">
        <v>251</v>
      </c>
      <c r="BF492" s="5" t="s">
        <v>252</v>
      </c>
      <c r="BG492" s="5" t="s">
        <v>238</v>
      </c>
      <c r="BH492" s="7">
        <f>0</f>
        <v>0</v>
      </c>
      <c r="BI492" s="8">
        <f>0</f>
        <v>0</v>
      </c>
      <c r="BJ492" s="5" t="s">
        <v>253</v>
      </c>
      <c r="BK492" s="5" t="s">
        <v>254</v>
      </c>
      <c r="BY492" s="5" t="s">
        <v>238</v>
      </c>
      <c r="BZ492" s="5" t="s">
        <v>238</v>
      </c>
      <c r="CD492" s="5" t="s">
        <v>255</v>
      </c>
      <c r="CE492" s="5" t="s">
        <v>256</v>
      </c>
      <c r="CF492" s="5" t="s">
        <v>238</v>
      </c>
      <c r="CI492" s="6" t="s">
        <v>257</v>
      </c>
      <c r="CJ492" s="5" t="s">
        <v>238</v>
      </c>
      <c r="CK492" s="5" t="s">
        <v>258</v>
      </c>
      <c r="CL492" s="5" t="s">
        <v>238</v>
      </c>
      <c r="CM492" s="5" t="s">
        <v>238</v>
      </c>
      <c r="CN492" s="5">
        <v>0</v>
      </c>
      <c r="CO492" s="5" t="s">
        <v>259</v>
      </c>
      <c r="CP492" s="5" t="s">
        <v>260</v>
      </c>
      <c r="CQ492" s="5" t="s">
        <v>260</v>
      </c>
      <c r="CR492" s="5" t="s">
        <v>261</v>
      </c>
      <c r="CU492" s="8">
        <f>7293</f>
        <v>7293</v>
      </c>
      <c r="CV492" s="8">
        <f>0</f>
        <v>0</v>
      </c>
      <c r="CX492" s="8">
        <f>0</f>
        <v>0</v>
      </c>
      <c r="CY492" s="8">
        <f>7293</f>
        <v>7293</v>
      </c>
      <c r="DA492" s="5" t="s">
        <v>533</v>
      </c>
      <c r="DB492" s="5" t="s">
        <v>238</v>
      </c>
      <c r="DD492" s="5" t="s">
        <v>356</v>
      </c>
      <c r="DE492" s="8">
        <f>0</f>
        <v>0</v>
      </c>
      <c r="DG492" s="5" t="s">
        <v>534</v>
      </c>
      <c r="DH492" s="5" t="s">
        <v>238</v>
      </c>
      <c r="DI492" s="5" t="s">
        <v>238</v>
      </c>
      <c r="DJ492" s="5" t="s">
        <v>238</v>
      </c>
      <c r="DN492" s="5" t="s">
        <v>238</v>
      </c>
      <c r="DO492" s="5" t="s">
        <v>238</v>
      </c>
      <c r="DP492" s="5" t="s">
        <v>238</v>
      </c>
      <c r="DQ492" s="5" t="s">
        <v>238</v>
      </c>
      <c r="DT492" s="5" t="s">
        <v>535</v>
      </c>
      <c r="DU492" s="5" t="s">
        <v>1305</v>
      </c>
      <c r="HM492" s="5" t="s">
        <v>264</v>
      </c>
    </row>
    <row r="493" spans="1:221" x14ac:dyDescent="0.4">
      <c r="A493" s="5">
        <v>1355</v>
      </c>
      <c r="B493" s="5">
        <v>1</v>
      </c>
      <c r="C493" s="5">
        <v>1</v>
      </c>
      <c r="D493" s="5" t="s">
        <v>484</v>
      </c>
      <c r="E493" s="5" t="s">
        <v>485</v>
      </c>
      <c r="F493" s="5" t="s">
        <v>248</v>
      </c>
      <c r="G493" s="5" t="s">
        <v>531</v>
      </c>
      <c r="H493" s="6" t="s">
        <v>5658</v>
      </c>
      <c r="I493" s="7">
        <f>2147</f>
        <v>2147</v>
      </c>
      <c r="J493" s="5" t="s">
        <v>262</v>
      </c>
      <c r="K493" s="8">
        <f>23617</f>
        <v>23617</v>
      </c>
      <c r="L493" s="6" t="s">
        <v>242</v>
      </c>
      <c r="M493" s="5" t="s">
        <v>267</v>
      </c>
      <c r="N493" s="5" t="s">
        <v>237</v>
      </c>
      <c r="O493" s="5" t="s">
        <v>238</v>
      </c>
      <c r="P493" s="5" t="s">
        <v>238</v>
      </c>
      <c r="Q493" s="5" t="s">
        <v>239</v>
      </c>
      <c r="R493" s="5" t="s">
        <v>240</v>
      </c>
      <c r="S493" s="5" t="s">
        <v>238</v>
      </c>
      <c r="V493" s="5" t="s">
        <v>238</v>
      </c>
      <c r="X493" s="6" t="s">
        <v>238</v>
      </c>
      <c r="AA493" s="6" t="s">
        <v>243</v>
      </c>
      <c r="AB493" s="5" t="s">
        <v>238</v>
      </c>
      <c r="AC493" s="5" t="s">
        <v>244</v>
      </c>
      <c r="AD493" s="5" t="s">
        <v>245</v>
      </c>
      <c r="AT493" s="5" t="s">
        <v>246</v>
      </c>
      <c r="AU493" s="5" t="s">
        <v>238</v>
      </c>
      <c r="AV493" s="5" t="s">
        <v>247</v>
      </c>
      <c r="AW493" s="5" t="s">
        <v>238</v>
      </c>
      <c r="AX493" s="5" t="s">
        <v>249</v>
      </c>
      <c r="AY493" s="5" t="s">
        <v>238</v>
      </c>
      <c r="BA493" s="5" t="s">
        <v>238</v>
      </c>
      <c r="BC493" s="5" t="s">
        <v>250</v>
      </c>
      <c r="BD493" s="6" t="s">
        <v>243</v>
      </c>
      <c r="BE493" s="5" t="s">
        <v>251</v>
      </c>
      <c r="BF493" s="5" t="s">
        <v>252</v>
      </c>
      <c r="BG493" s="5" t="s">
        <v>238</v>
      </c>
      <c r="BH493" s="7">
        <f>0</f>
        <v>0</v>
      </c>
      <c r="BI493" s="8">
        <f>0</f>
        <v>0</v>
      </c>
      <c r="BJ493" s="5" t="s">
        <v>253</v>
      </c>
      <c r="BK493" s="5" t="s">
        <v>254</v>
      </c>
      <c r="BY493" s="5" t="s">
        <v>238</v>
      </c>
      <c r="BZ493" s="5" t="s">
        <v>238</v>
      </c>
      <c r="CD493" s="5" t="s">
        <v>255</v>
      </c>
      <c r="CE493" s="5" t="s">
        <v>256</v>
      </c>
      <c r="CF493" s="5" t="s">
        <v>238</v>
      </c>
      <c r="CI493" s="6" t="s">
        <v>257</v>
      </c>
      <c r="CJ493" s="5" t="s">
        <v>238</v>
      </c>
      <c r="CK493" s="5" t="s">
        <v>258</v>
      </c>
      <c r="CL493" s="5" t="s">
        <v>238</v>
      </c>
      <c r="CM493" s="5" t="s">
        <v>238</v>
      </c>
      <c r="CN493" s="5">
        <v>0</v>
      </c>
      <c r="CO493" s="5" t="s">
        <v>259</v>
      </c>
      <c r="CP493" s="5" t="s">
        <v>260</v>
      </c>
      <c r="CQ493" s="5" t="s">
        <v>260</v>
      </c>
      <c r="CR493" s="5" t="s">
        <v>261</v>
      </c>
      <c r="CU493" s="8">
        <f>23617</f>
        <v>23617</v>
      </c>
      <c r="CV493" s="8">
        <f>0</f>
        <v>0</v>
      </c>
      <c r="CX493" s="8">
        <f>0</f>
        <v>0</v>
      </c>
      <c r="CY493" s="8">
        <f>23617</f>
        <v>23617</v>
      </c>
      <c r="DA493" s="5" t="s">
        <v>533</v>
      </c>
      <c r="DB493" s="5" t="s">
        <v>238</v>
      </c>
      <c r="DD493" s="5" t="s">
        <v>356</v>
      </c>
      <c r="DE493" s="8">
        <f>0</f>
        <v>0</v>
      </c>
      <c r="DG493" s="5" t="s">
        <v>534</v>
      </c>
      <c r="DH493" s="5" t="s">
        <v>238</v>
      </c>
      <c r="DI493" s="5" t="s">
        <v>238</v>
      </c>
      <c r="DJ493" s="5" t="s">
        <v>238</v>
      </c>
      <c r="DN493" s="5" t="s">
        <v>238</v>
      </c>
      <c r="DO493" s="5" t="s">
        <v>238</v>
      </c>
      <c r="DP493" s="5" t="s">
        <v>238</v>
      </c>
      <c r="DQ493" s="5" t="s">
        <v>238</v>
      </c>
      <c r="DT493" s="5" t="s">
        <v>535</v>
      </c>
      <c r="DU493" s="5" t="s">
        <v>1301</v>
      </c>
      <c r="HM493" s="5" t="s">
        <v>264</v>
      </c>
    </row>
    <row r="494" spans="1:221" x14ac:dyDescent="0.4">
      <c r="A494" s="5">
        <v>1356</v>
      </c>
      <c r="B494" s="5">
        <v>1</v>
      </c>
      <c r="C494" s="5">
        <v>1</v>
      </c>
      <c r="D494" s="5" t="s">
        <v>484</v>
      </c>
      <c r="E494" s="5" t="s">
        <v>485</v>
      </c>
      <c r="F494" s="5" t="s">
        <v>248</v>
      </c>
      <c r="G494" s="5" t="s">
        <v>531</v>
      </c>
      <c r="H494" s="6" t="s">
        <v>4903</v>
      </c>
      <c r="I494" s="7">
        <f>820</f>
        <v>820</v>
      </c>
      <c r="J494" s="5" t="s">
        <v>262</v>
      </c>
      <c r="K494" s="8">
        <f>9020</f>
        <v>9020</v>
      </c>
      <c r="L494" s="6" t="s">
        <v>242</v>
      </c>
      <c r="M494" s="5" t="s">
        <v>267</v>
      </c>
      <c r="N494" s="5" t="s">
        <v>237</v>
      </c>
      <c r="O494" s="5" t="s">
        <v>238</v>
      </c>
      <c r="P494" s="5" t="s">
        <v>238</v>
      </c>
      <c r="Q494" s="5" t="s">
        <v>239</v>
      </c>
      <c r="R494" s="5" t="s">
        <v>240</v>
      </c>
      <c r="S494" s="5" t="s">
        <v>238</v>
      </c>
      <c r="V494" s="5" t="s">
        <v>238</v>
      </c>
      <c r="X494" s="6" t="s">
        <v>238</v>
      </c>
      <c r="AA494" s="6" t="s">
        <v>243</v>
      </c>
      <c r="AB494" s="5" t="s">
        <v>238</v>
      </c>
      <c r="AC494" s="5" t="s">
        <v>244</v>
      </c>
      <c r="AD494" s="5" t="s">
        <v>245</v>
      </c>
      <c r="AT494" s="5" t="s">
        <v>246</v>
      </c>
      <c r="AU494" s="5" t="s">
        <v>238</v>
      </c>
      <c r="AV494" s="5" t="s">
        <v>247</v>
      </c>
      <c r="AW494" s="5" t="s">
        <v>238</v>
      </c>
      <c r="AX494" s="5" t="s">
        <v>249</v>
      </c>
      <c r="AY494" s="5" t="s">
        <v>238</v>
      </c>
      <c r="BA494" s="5" t="s">
        <v>238</v>
      </c>
      <c r="BC494" s="5" t="s">
        <v>250</v>
      </c>
      <c r="BD494" s="6" t="s">
        <v>243</v>
      </c>
      <c r="BE494" s="5" t="s">
        <v>251</v>
      </c>
      <c r="BF494" s="5" t="s">
        <v>252</v>
      </c>
      <c r="BG494" s="5" t="s">
        <v>238</v>
      </c>
      <c r="BH494" s="7">
        <f>0</f>
        <v>0</v>
      </c>
      <c r="BI494" s="8">
        <f>0</f>
        <v>0</v>
      </c>
      <c r="BJ494" s="5" t="s">
        <v>253</v>
      </c>
      <c r="BK494" s="5" t="s">
        <v>254</v>
      </c>
      <c r="BY494" s="5" t="s">
        <v>238</v>
      </c>
      <c r="BZ494" s="5" t="s">
        <v>238</v>
      </c>
      <c r="CD494" s="5" t="s">
        <v>255</v>
      </c>
      <c r="CE494" s="5" t="s">
        <v>256</v>
      </c>
      <c r="CF494" s="5" t="s">
        <v>238</v>
      </c>
      <c r="CI494" s="6" t="s">
        <v>257</v>
      </c>
      <c r="CJ494" s="5" t="s">
        <v>238</v>
      </c>
      <c r="CK494" s="5" t="s">
        <v>258</v>
      </c>
      <c r="CL494" s="5" t="s">
        <v>238</v>
      </c>
      <c r="CM494" s="5" t="s">
        <v>238</v>
      </c>
      <c r="CN494" s="5">
        <v>0</v>
      </c>
      <c r="CO494" s="5" t="s">
        <v>259</v>
      </c>
      <c r="CP494" s="5" t="s">
        <v>260</v>
      </c>
      <c r="CQ494" s="5" t="s">
        <v>260</v>
      </c>
      <c r="CR494" s="5" t="s">
        <v>261</v>
      </c>
      <c r="CU494" s="8">
        <f>9020</f>
        <v>9020</v>
      </c>
      <c r="CV494" s="8">
        <f>0</f>
        <v>0</v>
      </c>
      <c r="CX494" s="8">
        <f>0</f>
        <v>0</v>
      </c>
      <c r="CY494" s="8">
        <f>9020</f>
        <v>9020</v>
      </c>
      <c r="DA494" s="5" t="s">
        <v>533</v>
      </c>
      <c r="DB494" s="5" t="s">
        <v>238</v>
      </c>
      <c r="DD494" s="5" t="s">
        <v>356</v>
      </c>
      <c r="DE494" s="8">
        <f>0</f>
        <v>0</v>
      </c>
      <c r="DG494" s="5" t="s">
        <v>534</v>
      </c>
      <c r="DH494" s="5" t="s">
        <v>238</v>
      </c>
      <c r="DI494" s="5" t="s">
        <v>238</v>
      </c>
      <c r="DJ494" s="5" t="s">
        <v>238</v>
      </c>
      <c r="DN494" s="5" t="s">
        <v>238</v>
      </c>
      <c r="DO494" s="5" t="s">
        <v>238</v>
      </c>
      <c r="DP494" s="5" t="s">
        <v>238</v>
      </c>
      <c r="DQ494" s="5" t="s">
        <v>238</v>
      </c>
      <c r="DT494" s="5" t="s">
        <v>535</v>
      </c>
      <c r="DU494" s="5" t="s">
        <v>1299</v>
      </c>
      <c r="HM494" s="5" t="s">
        <v>264</v>
      </c>
    </row>
    <row r="495" spans="1:221" x14ac:dyDescent="0.4">
      <c r="A495" s="5">
        <v>1357</v>
      </c>
      <c r="B495" s="5">
        <v>1</v>
      </c>
      <c r="C495" s="5">
        <v>1</v>
      </c>
      <c r="D495" s="5" t="s">
        <v>484</v>
      </c>
      <c r="E495" s="5" t="s">
        <v>485</v>
      </c>
      <c r="F495" s="5" t="s">
        <v>248</v>
      </c>
      <c r="G495" s="5" t="s">
        <v>531</v>
      </c>
      <c r="H495" s="6" t="s">
        <v>4487</v>
      </c>
      <c r="I495" s="7">
        <f>863</f>
        <v>863</v>
      </c>
      <c r="J495" s="5" t="s">
        <v>262</v>
      </c>
      <c r="K495" s="8">
        <f>9493</f>
        <v>9493</v>
      </c>
      <c r="L495" s="6" t="s">
        <v>242</v>
      </c>
      <c r="M495" s="5" t="s">
        <v>267</v>
      </c>
      <c r="N495" s="5" t="s">
        <v>237</v>
      </c>
      <c r="O495" s="5" t="s">
        <v>238</v>
      </c>
      <c r="P495" s="5" t="s">
        <v>238</v>
      </c>
      <c r="Q495" s="5" t="s">
        <v>239</v>
      </c>
      <c r="R495" s="5" t="s">
        <v>240</v>
      </c>
      <c r="S495" s="5" t="s">
        <v>238</v>
      </c>
      <c r="V495" s="5" t="s">
        <v>238</v>
      </c>
      <c r="X495" s="6" t="s">
        <v>238</v>
      </c>
      <c r="AA495" s="6" t="s">
        <v>243</v>
      </c>
      <c r="AB495" s="5" t="s">
        <v>238</v>
      </c>
      <c r="AC495" s="5" t="s">
        <v>244</v>
      </c>
      <c r="AD495" s="5" t="s">
        <v>245</v>
      </c>
      <c r="AT495" s="5" t="s">
        <v>246</v>
      </c>
      <c r="AU495" s="5" t="s">
        <v>238</v>
      </c>
      <c r="AV495" s="5" t="s">
        <v>247</v>
      </c>
      <c r="AW495" s="5" t="s">
        <v>238</v>
      </c>
      <c r="AX495" s="5" t="s">
        <v>249</v>
      </c>
      <c r="AY495" s="5" t="s">
        <v>238</v>
      </c>
      <c r="BA495" s="5" t="s">
        <v>238</v>
      </c>
      <c r="BC495" s="5" t="s">
        <v>250</v>
      </c>
      <c r="BD495" s="6" t="s">
        <v>243</v>
      </c>
      <c r="BE495" s="5" t="s">
        <v>251</v>
      </c>
      <c r="BF495" s="5" t="s">
        <v>252</v>
      </c>
      <c r="BG495" s="5" t="s">
        <v>238</v>
      </c>
      <c r="BH495" s="7">
        <f>0</f>
        <v>0</v>
      </c>
      <c r="BI495" s="8">
        <f>0</f>
        <v>0</v>
      </c>
      <c r="BJ495" s="5" t="s">
        <v>253</v>
      </c>
      <c r="BK495" s="5" t="s">
        <v>254</v>
      </c>
      <c r="BY495" s="5" t="s">
        <v>238</v>
      </c>
      <c r="BZ495" s="5" t="s">
        <v>238</v>
      </c>
      <c r="CD495" s="5" t="s">
        <v>255</v>
      </c>
      <c r="CE495" s="5" t="s">
        <v>256</v>
      </c>
      <c r="CF495" s="5" t="s">
        <v>238</v>
      </c>
      <c r="CI495" s="6" t="s">
        <v>257</v>
      </c>
      <c r="CJ495" s="5" t="s">
        <v>238</v>
      </c>
      <c r="CK495" s="5" t="s">
        <v>258</v>
      </c>
      <c r="CL495" s="5" t="s">
        <v>238</v>
      </c>
      <c r="CM495" s="5" t="s">
        <v>238</v>
      </c>
      <c r="CN495" s="5">
        <v>0</v>
      </c>
      <c r="CO495" s="5" t="s">
        <v>259</v>
      </c>
      <c r="CP495" s="5" t="s">
        <v>260</v>
      </c>
      <c r="CQ495" s="5" t="s">
        <v>260</v>
      </c>
      <c r="CR495" s="5" t="s">
        <v>261</v>
      </c>
      <c r="CU495" s="8">
        <f>9493</f>
        <v>9493</v>
      </c>
      <c r="CV495" s="8">
        <f>0</f>
        <v>0</v>
      </c>
      <c r="CX495" s="8">
        <f>0</f>
        <v>0</v>
      </c>
      <c r="CY495" s="8">
        <f>9493</f>
        <v>9493</v>
      </c>
      <c r="DA495" s="5" t="s">
        <v>533</v>
      </c>
      <c r="DB495" s="5" t="s">
        <v>238</v>
      </c>
      <c r="DD495" s="5" t="s">
        <v>356</v>
      </c>
      <c r="DE495" s="8">
        <f>0</f>
        <v>0</v>
      </c>
      <c r="DG495" s="5" t="s">
        <v>534</v>
      </c>
      <c r="DH495" s="5" t="s">
        <v>238</v>
      </c>
      <c r="DI495" s="5" t="s">
        <v>238</v>
      </c>
      <c r="DJ495" s="5" t="s">
        <v>238</v>
      </c>
      <c r="DN495" s="5" t="s">
        <v>238</v>
      </c>
      <c r="DO495" s="5" t="s">
        <v>238</v>
      </c>
      <c r="DP495" s="5" t="s">
        <v>238</v>
      </c>
      <c r="DQ495" s="5" t="s">
        <v>238</v>
      </c>
      <c r="DT495" s="5" t="s">
        <v>535</v>
      </c>
      <c r="DU495" s="5" t="s">
        <v>1291</v>
      </c>
      <c r="HM495" s="5" t="s">
        <v>264</v>
      </c>
    </row>
    <row r="496" spans="1:221" x14ac:dyDescent="0.4">
      <c r="A496" s="5">
        <v>1358</v>
      </c>
      <c r="B496" s="5">
        <v>1</v>
      </c>
      <c r="C496" s="5">
        <v>1</v>
      </c>
      <c r="D496" s="5" t="s">
        <v>484</v>
      </c>
      <c r="E496" s="5" t="s">
        <v>485</v>
      </c>
      <c r="F496" s="5" t="s">
        <v>248</v>
      </c>
      <c r="G496" s="5" t="s">
        <v>531</v>
      </c>
      <c r="H496" s="6" t="s">
        <v>4510</v>
      </c>
      <c r="I496" s="7">
        <f>742</f>
        <v>742</v>
      </c>
      <c r="J496" s="5" t="s">
        <v>262</v>
      </c>
      <c r="K496" s="8">
        <f>8162</f>
        <v>8162</v>
      </c>
      <c r="L496" s="6" t="s">
        <v>242</v>
      </c>
      <c r="M496" s="5" t="s">
        <v>267</v>
      </c>
      <c r="N496" s="5" t="s">
        <v>237</v>
      </c>
      <c r="O496" s="5" t="s">
        <v>238</v>
      </c>
      <c r="P496" s="5" t="s">
        <v>238</v>
      </c>
      <c r="Q496" s="5" t="s">
        <v>239</v>
      </c>
      <c r="R496" s="5" t="s">
        <v>240</v>
      </c>
      <c r="S496" s="5" t="s">
        <v>238</v>
      </c>
      <c r="V496" s="5" t="s">
        <v>238</v>
      </c>
      <c r="X496" s="6" t="s">
        <v>238</v>
      </c>
      <c r="AA496" s="6" t="s">
        <v>243</v>
      </c>
      <c r="AB496" s="5" t="s">
        <v>238</v>
      </c>
      <c r="AC496" s="5" t="s">
        <v>244</v>
      </c>
      <c r="AD496" s="5" t="s">
        <v>245</v>
      </c>
      <c r="AT496" s="5" t="s">
        <v>246</v>
      </c>
      <c r="AU496" s="5" t="s">
        <v>238</v>
      </c>
      <c r="AV496" s="5" t="s">
        <v>247</v>
      </c>
      <c r="AW496" s="5" t="s">
        <v>238</v>
      </c>
      <c r="AX496" s="5" t="s">
        <v>249</v>
      </c>
      <c r="AY496" s="5" t="s">
        <v>238</v>
      </c>
      <c r="BA496" s="5" t="s">
        <v>238</v>
      </c>
      <c r="BC496" s="5" t="s">
        <v>250</v>
      </c>
      <c r="BD496" s="6" t="s">
        <v>243</v>
      </c>
      <c r="BE496" s="5" t="s">
        <v>251</v>
      </c>
      <c r="BF496" s="5" t="s">
        <v>252</v>
      </c>
      <c r="BG496" s="5" t="s">
        <v>238</v>
      </c>
      <c r="BH496" s="7">
        <f>0</f>
        <v>0</v>
      </c>
      <c r="BI496" s="8">
        <f>0</f>
        <v>0</v>
      </c>
      <c r="BJ496" s="5" t="s">
        <v>253</v>
      </c>
      <c r="BK496" s="5" t="s">
        <v>254</v>
      </c>
      <c r="BY496" s="5" t="s">
        <v>238</v>
      </c>
      <c r="BZ496" s="5" t="s">
        <v>238</v>
      </c>
      <c r="CD496" s="5" t="s">
        <v>255</v>
      </c>
      <c r="CE496" s="5" t="s">
        <v>256</v>
      </c>
      <c r="CF496" s="5" t="s">
        <v>238</v>
      </c>
      <c r="CI496" s="6" t="s">
        <v>257</v>
      </c>
      <c r="CJ496" s="5" t="s">
        <v>238</v>
      </c>
      <c r="CK496" s="5" t="s">
        <v>258</v>
      </c>
      <c r="CL496" s="5" t="s">
        <v>238</v>
      </c>
      <c r="CM496" s="5" t="s">
        <v>238</v>
      </c>
      <c r="CN496" s="5">
        <v>0</v>
      </c>
      <c r="CO496" s="5" t="s">
        <v>259</v>
      </c>
      <c r="CP496" s="5" t="s">
        <v>260</v>
      </c>
      <c r="CQ496" s="5" t="s">
        <v>260</v>
      </c>
      <c r="CR496" s="5" t="s">
        <v>261</v>
      </c>
      <c r="CU496" s="8">
        <f>8162</f>
        <v>8162</v>
      </c>
      <c r="CV496" s="8">
        <f>0</f>
        <v>0</v>
      </c>
      <c r="CX496" s="8">
        <f>0</f>
        <v>0</v>
      </c>
      <c r="CY496" s="8">
        <f>8162</f>
        <v>8162</v>
      </c>
      <c r="DA496" s="5" t="s">
        <v>533</v>
      </c>
      <c r="DB496" s="5" t="s">
        <v>238</v>
      </c>
      <c r="DD496" s="5" t="s">
        <v>356</v>
      </c>
      <c r="DE496" s="8">
        <f>0</f>
        <v>0</v>
      </c>
      <c r="DG496" s="5" t="s">
        <v>534</v>
      </c>
      <c r="DH496" s="5" t="s">
        <v>238</v>
      </c>
      <c r="DI496" s="5" t="s">
        <v>238</v>
      </c>
      <c r="DJ496" s="5" t="s">
        <v>238</v>
      </c>
      <c r="DN496" s="5" t="s">
        <v>238</v>
      </c>
      <c r="DO496" s="5" t="s">
        <v>238</v>
      </c>
      <c r="DP496" s="5" t="s">
        <v>238</v>
      </c>
      <c r="DQ496" s="5" t="s">
        <v>238</v>
      </c>
      <c r="DT496" s="5" t="s">
        <v>535</v>
      </c>
      <c r="DU496" s="5" t="s">
        <v>1289</v>
      </c>
      <c r="HM496" s="5" t="s">
        <v>264</v>
      </c>
    </row>
    <row r="497" spans="1:221" x14ac:dyDescent="0.4">
      <c r="A497" s="5">
        <v>1359</v>
      </c>
      <c r="B497" s="5">
        <v>1</v>
      </c>
      <c r="C497" s="5">
        <v>1</v>
      </c>
      <c r="D497" s="5" t="s">
        <v>484</v>
      </c>
      <c r="E497" s="5" t="s">
        <v>485</v>
      </c>
      <c r="F497" s="5" t="s">
        <v>248</v>
      </c>
      <c r="G497" s="5" t="s">
        <v>531</v>
      </c>
      <c r="H497" s="6" t="s">
        <v>4442</v>
      </c>
      <c r="I497" s="7">
        <f>722</f>
        <v>722</v>
      </c>
      <c r="J497" s="5" t="s">
        <v>262</v>
      </c>
      <c r="K497" s="8">
        <f>7942</f>
        <v>7942</v>
      </c>
      <c r="L497" s="6" t="s">
        <v>242</v>
      </c>
      <c r="M497" s="5" t="s">
        <v>267</v>
      </c>
      <c r="N497" s="5" t="s">
        <v>237</v>
      </c>
      <c r="O497" s="5" t="s">
        <v>238</v>
      </c>
      <c r="P497" s="5" t="s">
        <v>238</v>
      </c>
      <c r="Q497" s="5" t="s">
        <v>239</v>
      </c>
      <c r="R497" s="5" t="s">
        <v>240</v>
      </c>
      <c r="S497" s="5" t="s">
        <v>238</v>
      </c>
      <c r="V497" s="5" t="s">
        <v>238</v>
      </c>
      <c r="X497" s="6" t="s">
        <v>238</v>
      </c>
      <c r="AA497" s="6" t="s">
        <v>243</v>
      </c>
      <c r="AB497" s="5" t="s">
        <v>238</v>
      </c>
      <c r="AC497" s="5" t="s">
        <v>244</v>
      </c>
      <c r="AD497" s="5" t="s">
        <v>245</v>
      </c>
      <c r="AT497" s="5" t="s">
        <v>246</v>
      </c>
      <c r="AU497" s="5" t="s">
        <v>238</v>
      </c>
      <c r="AV497" s="5" t="s">
        <v>247</v>
      </c>
      <c r="AW497" s="5" t="s">
        <v>238</v>
      </c>
      <c r="AX497" s="5" t="s">
        <v>249</v>
      </c>
      <c r="AY497" s="5" t="s">
        <v>238</v>
      </c>
      <c r="BA497" s="5" t="s">
        <v>238</v>
      </c>
      <c r="BC497" s="5" t="s">
        <v>250</v>
      </c>
      <c r="BD497" s="6" t="s">
        <v>243</v>
      </c>
      <c r="BE497" s="5" t="s">
        <v>251</v>
      </c>
      <c r="BF497" s="5" t="s">
        <v>252</v>
      </c>
      <c r="BG497" s="5" t="s">
        <v>238</v>
      </c>
      <c r="BH497" s="7">
        <f>0</f>
        <v>0</v>
      </c>
      <c r="BI497" s="8">
        <f>0</f>
        <v>0</v>
      </c>
      <c r="BJ497" s="5" t="s">
        <v>253</v>
      </c>
      <c r="BK497" s="5" t="s">
        <v>254</v>
      </c>
      <c r="BY497" s="5" t="s">
        <v>238</v>
      </c>
      <c r="BZ497" s="5" t="s">
        <v>238</v>
      </c>
      <c r="CD497" s="5" t="s">
        <v>255</v>
      </c>
      <c r="CE497" s="5" t="s">
        <v>256</v>
      </c>
      <c r="CF497" s="5" t="s">
        <v>238</v>
      </c>
      <c r="CI497" s="6" t="s">
        <v>257</v>
      </c>
      <c r="CJ497" s="5" t="s">
        <v>238</v>
      </c>
      <c r="CK497" s="5" t="s">
        <v>258</v>
      </c>
      <c r="CL497" s="5" t="s">
        <v>238</v>
      </c>
      <c r="CM497" s="5" t="s">
        <v>238</v>
      </c>
      <c r="CN497" s="5">
        <v>0</v>
      </c>
      <c r="CO497" s="5" t="s">
        <v>259</v>
      </c>
      <c r="CP497" s="5" t="s">
        <v>260</v>
      </c>
      <c r="CQ497" s="5" t="s">
        <v>260</v>
      </c>
      <c r="CR497" s="5" t="s">
        <v>261</v>
      </c>
      <c r="CU497" s="8">
        <f>7942</f>
        <v>7942</v>
      </c>
      <c r="CV497" s="8">
        <f>0</f>
        <v>0</v>
      </c>
      <c r="CX497" s="8">
        <f>0</f>
        <v>0</v>
      </c>
      <c r="CY497" s="8">
        <f>7942</f>
        <v>7942</v>
      </c>
      <c r="DA497" s="5" t="s">
        <v>533</v>
      </c>
      <c r="DB497" s="5" t="s">
        <v>238</v>
      </c>
      <c r="DD497" s="5" t="s">
        <v>356</v>
      </c>
      <c r="DE497" s="8">
        <f>0</f>
        <v>0</v>
      </c>
      <c r="DG497" s="5" t="s">
        <v>534</v>
      </c>
      <c r="DH497" s="5" t="s">
        <v>238</v>
      </c>
      <c r="DI497" s="5" t="s">
        <v>238</v>
      </c>
      <c r="DJ497" s="5" t="s">
        <v>238</v>
      </c>
      <c r="DN497" s="5" t="s">
        <v>238</v>
      </c>
      <c r="DO497" s="5" t="s">
        <v>238</v>
      </c>
      <c r="DP497" s="5" t="s">
        <v>238</v>
      </c>
      <c r="DQ497" s="5" t="s">
        <v>238</v>
      </c>
      <c r="DT497" s="5" t="s">
        <v>535</v>
      </c>
      <c r="DU497" s="5" t="s">
        <v>358</v>
      </c>
      <c r="HM497" s="5" t="s">
        <v>264</v>
      </c>
    </row>
    <row r="498" spans="1:221" x14ac:dyDescent="0.4">
      <c r="A498" s="5">
        <v>1360</v>
      </c>
      <c r="B498" s="5">
        <v>1</v>
      </c>
      <c r="C498" s="5">
        <v>1</v>
      </c>
      <c r="D498" s="5" t="s">
        <v>484</v>
      </c>
      <c r="E498" s="5" t="s">
        <v>485</v>
      </c>
      <c r="F498" s="5" t="s">
        <v>248</v>
      </c>
      <c r="G498" s="5" t="s">
        <v>531</v>
      </c>
      <c r="H498" s="6" t="s">
        <v>3909</v>
      </c>
      <c r="I498" s="7">
        <f>1725</f>
        <v>1725</v>
      </c>
      <c r="J498" s="5" t="s">
        <v>262</v>
      </c>
      <c r="K498" s="8">
        <f>18975</f>
        <v>18975</v>
      </c>
      <c r="L498" s="6" t="s">
        <v>242</v>
      </c>
      <c r="M498" s="5" t="s">
        <v>267</v>
      </c>
      <c r="N498" s="5" t="s">
        <v>237</v>
      </c>
      <c r="O498" s="5" t="s">
        <v>238</v>
      </c>
      <c r="P498" s="5" t="s">
        <v>238</v>
      </c>
      <c r="Q498" s="5" t="s">
        <v>239</v>
      </c>
      <c r="R498" s="5" t="s">
        <v>240</v>
      </c>
      <c r="S498" s="5" t="s">
        <v>238</v>
      </c>
      <c r="V498" s="5" t="s">
        <v>238</v>
      </c>
      <c r="X498" s="6" t="s">
        <v>238</v>
      </c>
      <c r="AA498" s="6" t="s">
        <v>243</v>
      </c>
      <c r="AB498" s="5" t="s">
        <v>238</v>
      </c>
      <c r="AC498" s="5" t="s">
        <v>244</v>
      </c>
      <c r="AD498" s="5" t="s">
        <v>245</v>
      </c>
      <c r="AT498" s="5" t="s">
        <v>246</v>
      </c>
      <c r="AU498" s="5" t="s">
        <v>238</v>
      </c>
      <c r="AV498" s="5" t="s">
        <v>247</v>
      </c>
      <c r="AW498" s="5" t="s">
        <v>238</v>
      </c>
      <c r="AX498" s="5" t="s">
        <v>249</v>
      </c>
      <c r="AY498" s="5" t="s">
        <v>238</v>
      </c>
      <c r="BA498" s="5" t="s">
        <v>238</v>
      </c>
      <c r="BC498" s="5" t="s">
        <v>250</v>
      </c>
      <c r="BD498" s="6" t="s">
        <v>243</v>
      </c>
      <c r="BE498" s="5" t="s">
        <v>251</v>
      </c>
      <c r="BF498" s="5" t="s">
        <v>252</v>
      </c>
      <c r="BG498" s="5" t="s">
        <v>238</v>
      </c>
      <c r="BH498" s="7">
        <f>0</f>
        <v>0</v>
      </c>
      <c r="BI498" s="8">
        <f>0</f>
        <v>0</v>
      </c>
      <c r="BJ498" s="5" t="s">
        <v>253</v>
      </c>
      <c r="BK498" s="5" t="s">
        <v>254</v>
      </c>
      <c r="BY498" s="5" t="s">
        <v>238</v>
      </c>
      <c r="BZ498" s="5" t="s">
        <v>238</v>
      </c>
      <c r="CD498" s="5" t="s">
        <v>255</v>
      </c>
      <c r="CE498" s="5" t="s">
        <v>256</v>
      </c>
      <c r="CF498" s="5" t="s">
        <v>238</v>
      </c>
      <c r="CI498" s="6" t="s">
        <v>257</v>
      </c>
      <c r="CJ498" s="5" t="s">
        <v>238</v>
      </c>
      <c r="CK498" s="5" t="s">
        <v>258</v>
      </c>
      <c r="CL498" s="5" t="s">
        <v>238</v>
      </c>
      <c r="CM498" s="5" t="s">
        <v>238</v>
      </c>
      <c r="CN498" s="5">
        <v>0</v>
      </c>
      <c r="CO498" s="5" t="s">
        <v>259</v>
      </c>
      <c r="CP498" s="5" t="s">
        <v>260</v>
      </c>
      <c r="CQ498" s="5" t="s">
        <v>260</v>
      </c>
      <c r="CR498" s="5" t="s">
        <v>261</v>
      </c>
      <c r="CU498" s="8">
        <f>18975</f>
        <v>18975</v>
      </c>
      <c r="CV498" s="8">
        <f>0</f>
        <v>0</v>
      </c>
      <c r="CX498" s="8">
        <f>0</f>
        <v>0</v>
      </c>
      <c r="CY498" s="8">
        <f>18975</f>
        <v>18975</v>
      </c>
      <c r="DA498" s="5" t="s">
        <v>533</v>
      </c>
      <c r="DB498" s="5" t="s">
        <v>238</v>
      </c>
      <c r="DD498" s="5" t="s">
        <v>356</v>
      </c>
      <c r="DE498" s="8">
        <f>0</f>
        <v>0</v>
      </c>
      <c r="DG498" s="5" t="s">
        <v>534</v>
      </c>
      <c r="DH498" s="5" t="s">
        <v>238</v>
      </c>
      <c r="DI498" s="5" t="s">
        <v>238</v>
      </c>
      <c r="DJ498" s="5" t="s">
        <v>238</v>
      </c>
      <c r="DN498" s="5" t="s">
        <v>238</v>
      </c>
      <c r="DO498" s="5" t="s">
        <v>238</v>
      </c>
      <c r="DP498" s="5" t="s">
        <v>238</v>
      </c>
      <c r="DQ498" s="5" t="s">
        <v>238</v>
      </c>
      <c r="DT498" s="5" t="s">
        <v>535</v>
      </c>
      <c r="DU498" s="5" t="s">
        <v>1284</v>
      </c>
      <c r="HM498" s="5" t="s">
        <v>264</v>
      </c>
    </row>
    <row r="499" spans="1:221" x14ac:dyDescent="0.4">
      <c r="A499" s="5">
        <v>1361</v>
      </c>
      <c r="B499" s="5">
        <v>1</v>
      </c>
      <c r="C499" s="5">
        <v>1</v>
      </c>
      <c r="D499" s="5" t="s">
        <v>484</v>
      </c>
      <c r="E499" s="5" t="s">
        <v>485</v>
      </c>
      <c r="F499" s="5" t="s">
        <v>248</v>
      </c>
      <c r="G499" s="5" t="s">
        <v>531</v>
      </c>
      <c r="H499" s="6" t="s">
        <v>3906</v>
      </c>
      <c r="I499" s="7">
        <f>831</f>
        <v>831</v>
      </c>
      <c r="J499" s="5" t="s">
        <v>262</v>
      </c>
      <c r="K499" s="8">
        <f>9141</f>
        <v>9141</v>
      </c>
      <c r="L499" s="6" t="s">
        <v>242</v>
      </c>
      <c r="M499" s="5" t="s">
        <v>267</v>
      </c>
      <c r="N499" s="5" t="s">
        <v>237</v>
      </c>
      <c r="O499" s="5" t="s">
        <v>238</v>
      </c>
      <c r="P499" s="5" t="s">
        <v>238</v>
      </c>
      <c r="Q499" s="5" t="s">
        <v>239</v>
      </c>
      <c r="R499" s="5" t="s">
        <v>240</v>
      </c>
      <c r="S499" s="5" t="s">
        <v>238</v>
      </c>
      <c r="V499" s="5" t="s">
        <v>238</v>
      </c>
      <c r="X499" s="6" t="s">
        <v>238</v>
      </c>
      <c r="AA499" s="6" t="s">
        <v>243</v>
      </c>
      <c r="AB499" s="5" t="s">
        <v>238</v>
      </c>
      <c r="AC499" s="5" t="s">
        <v>244</v>
      </c>
      <c r="AD499" s="5" t="s">
        <v>245</v>
      </c>
      <c r="AT499" s="5" t="s">
        <v>246</v>
      </c>
      <c r="AU499" s="5" t="s">
        <v>238</v>
      </c>
      <c r="AV499" s="5" t="s">
        <v>247</v>
      </c>
      <c r="AW499" s="5" t="s">
        <v>238</v>
      </c>
      <c r="AX499" s="5" t="s">
        <v>249</v>
      </c>
      <c r="AY499" s="5" t="s">
        <v>238</v>
      </c>
      <c r="BA499" s="5" t="s">
        <v>238</v>
      </c>
      <c r="BC499" s="5" t="s">
        <v>250</v>
      </c>
      <c r="BD499" s="6" t="s">
        <v>243</v>
      </c>
      <c r="BE499" s="5" t="s">
        <v>251</v>
      </c>
      <c r="BF499" s="5" t="s">
        <v>252</v>
      </c>
      <c r="BG499" s="5" t="s">
        <v>238</v>
      </c>
      <c r="BH499" s="7">
        <f>0</f>
        <v>0</v>
      </c>
      <c r="BI499" s="8">
        <f>0</f>
        <v>0</v>
      </c>
      <c r="BJ499" s="5" t="s">
        <v>253</v>
      </c>
      <c r="BK499" s="5" t="s">
        <v>254</v>
      </c>
      <c r="BY499" s="5" t="s">
        <v>238</v>
      </c>
      <c r="BZ499" s="5" t="s">
        <v>238</v>
      </c>
      <c r="CD499" s="5" t="s">
        <v>255</v>
      </c>
      <c r="CE499" s="5" t="s">
        <v>256</v>
      </c>
      <c r="CF499" s="5" t="s">
        <v>238</v>
      </c>
      <c r="CI499" s="6" t="s">
        <v>257</v>
      </c>
      <c r="CJ499" s="5" t="s">
        <v>238</v>
      </c>
      <c r="CK499" s="5" t="s">
        <v>258</v>
      </c>
      <c r="CL499" s="5" t="s">
        <v>238</v>
      </c>
      <c r="CM499" s="5" t="s">
        <v>238</v>
      </c>
      <c r="CN499" s="5">
        <v>0</v>
      </c>
      <c r="CO499" s="5" t="s">
        <v>259</v>
      </c>
      <c r="CP499" s="5" t="s">
        <v>260</v>
      </c>
      <c r="CQ499" s="5" t="s">
        <v>260</v>
      </c>
      <c r="CR499" s="5" t="s">
        <v>261</v>
      </c>
      <c r="CU499" s="8">
        <f>9141</f>
        <v>9141</v>
      </c>
      <c r="CV499" s="8">
        <f>0</f>
        <v>0</v>
      </c>
      <c r="CX499" s="8">
        <f>0</f>
        <v>0</v>
      </c>
      <c r="CY499" s="8">
        <f>9141</f>
        <v>9141</v>
      </c>
      <c r="DA499" s="5" t="s">
        <v>533</v>
      </c>
      <c r="DB499" s="5" t="s">
        <v>238</v>
      </c>
      <c r="DD499" s="5" t="s">
        <v>356</v>
      </c>
      <c r="DE499" s="8">
        <f>0</f>
        <v>0</v>
      </c>
      <c r="DG499" s="5" t="s">
        <v>534</v>
      </c>
      <c r="DH499" s="5" t="s">
        <v>238</v>
      </c>
      <c r="DI499" s="5" t="s">
        <v>238</v>
      </c>
      <c r="DJ499" s="5" t="s">
        <v>238</v>
      </c>
      <c r="DN499" s="5" t="s">
        <v>238</v>
      </c>
      <c r="DO499" s="5" t="s">
        <v>238</v>
      </c>
      <c r="DP499" s="5" t="s">
        <v>238</v>
      </c>
      <c r="DQ499" s="5" t="s">
        <v>238</v>
      </c>
      <c r="DT499" s="5" t="s">
        <v>535</v>
      </c>
      <c r="DU499" s="5" t="s">
        <v>1276</v>
      </c>
      <c r="HM499" s="5" t="s">
        <v>264</v>
      </c>
    </row>
    <row r="500" spans="1:221" x14ac:dyDescent="0.4">
      <c r="A500" s="5">
        <v>1362</v>
      </c>
      <c r="B500" s="5">
        <v>1</v>
      </c>
      <c r="C500" s="5">
        <v>1</v>
      </c>
      <c r="D500" s="5" t="s">
        <v>484</v>
      </c>
      <c r="E500" s="5" t="s">
        <v>485</v>
      </c>
      <c r="F500" s="5" t="s">
        <v>248</v>
      </c>
      <c r="G500" s="5" t="s">
        <v>531</v>
      </c>
      <c r="H500" s="6" t="s">
        <v>4235</v>
      </c>
      <c r="I500" s="7">
        <f>2773</f>
        <v>2773</v>
      </c>
      <c r="J500" s="5" t="s">
        <v>262</v>
      </c>
      <c r="K500" s="8">
        <f>30503</f>
        <v>30503</v>
      </c>
      <c r="L500" s="6" t="s">
        <v>242</v>
      </c>
      <c r="M500" s="5" t="s">
        <v>267</v>
      </c>
      <c r="N500" s="5" t="s">
        <v>237</v>
      </c>
      <c r="O500" s="5" t="s">
        <v>238</v>
      </c>
      <c r="P500" s="5" t="s">
        <v>238</v>
      </c>
      <c r="Q500" s="5" t="s">
        <v>239</v>
      </c>
      <c r="R500" s="5" t="s">
        <v>240</v>
      </c>
      <c r="S500" s="5" t="s">
        <v>238</v>
      </c>
      <c r="V500" s="5" t="s">
        <v>238</v>
      </c>
      <c r="X500" s="6" t="s">
        <v>238</v>
      </c>
      <c r="AA500" s="6" t="s">
        <v>243</v>
      </c>
      <c r="AB500" s="5" t="s">
        <v>238</v>
      </c>
      <c r="AC500" s="5" t="s">
        <v>244</v>
      </c>
      <c r="AD500" s="5" t="s">
        <v>245</v>
      </c>
      <c r="AT500" s="5" t="s">
        <v>246</v>
      </c>
      <c r="AU500" s="5" t="s">
        <v>238</v>
      </c>
      <c r="AV500" s="5" t="s">
        <v>247</v>
      </c>
      <c r="AW500" s="5" t="s">
        <v>238</v>
      </c>
      <c r="AX500" s="5" t="s">
        <v>249</v>
      </c>
      <c r="AY500" s="5" t="s">
        <v>238</v>
      </c>
      <c r="BA500" s="5" t="s">
        <v>238</v>
      </c>
      <c r="BC500" s="5" t="s">
        <v>250</v>
      </c>
      <c r="BD500" s="6" t="s">
        <v>243</v>
      </c>
      <c r="BE500" s="5" t="s">
        <v>251</v>
      </c>
      <c r="BF500" s="5" t="s">
        <v>252</v>
      </c>
      <c r="BG500" s="5" t="s">
        <v>238</v>
      </c>
      <c r="BH500" s="7">
        <f>0</f>
        <v>0</v>
      </c>
      <c r="BI500" s="8">
        <f>0</f>
        <v>0</v>
      </c>
      <c r="BJ500" s="5" t="s">
        <v>253</v>
      </c>
      <c r="BK500" s="5" t="s">
        <v>254</v>
      </c>
      <c r="BY500" s="5" t="s">
        <v>238</v>
      </c>
      <c r="BZ500" s="5" t="s">
        <v>238</v>
      </c>
      <c r="CD500" s="5" t="s">
        <v>255</v>
      </c>
      <c r="CE500" s="5" t="s">
        <v>256</v>
      </c>
      <c r="CF500" s="5" t="s">
        <v>238</v>
      </c>
      <c r="CI500" s="6" t="s">
        <v>257</v>
      </c>
      <c r="CJ500" s="5" t="s">
        <v>238</v>
      </c>
      <c r="CK500" s="5" t="s">
        <v>258</v>
      </c>
      <c r="CL500" s="5" t="s">
        <v>238</v>
      </c>
      <c r="CM500" s="5" t="s">
        <v>238</v>
      </c>
      <c r="CN500" s="5">
        <v>0</v>
      </c>
      <c r="CO500" s="5" t="s">
        <v>259</v>
      </c>
      <c r="CP500" s="5" t="s">
        <v>260</v>
      </c>
      <c r="CQ500" s="5" t="s">
        <v>260</v>
      </c>
      <c r="CR500" s="5" t="s">
        <v>261</v>
      </c>
      <c r="CU500" s="8">
        <f>30503</f>
        <v>30503</v>
      </c>
      <c r="CV500" s="8">
        <f>0</f>
        <v>0</v>
      </c>
      <c r="CX500" s="8">
        <f>0</f>
        <v>0</v>
      </c>
      <c r="CY500" s="8">
        <f>30503</f>
        <v>30503</v>
      </c>
      <c r="DA500" s="5" t="s">
        <v>533</v>
      </c>
      <c r="DB500" s="5" t="s">
        <v>238</v>
      </c>
      <c r="DD500" s="5" t="s">
        <v>356</v>
      </c>
      <c r="DE500" s="8">
        <f>0</f>
        <v>0</v>
      </c>
      <c r="DG500" s="5" t="s">
        <v>534</v>
      </c>
      <c r="DH500" s="5" t="s">
        <v>238</v>
      </c>
      <c r="DI500" s="5" t="s">
        <v>238</v>
      </c>
      <c r="DJ500" s="5" t="s">
        <v>238</v>
      </c>
      <c r="DN500" s="5" t="s">
        <v>238</v>
      </c>
      <c r="DO500" s="5" t="s">
        <v>238</v>
      </c>
      <c r="DP500" s="5" t="s">
        <v>238</v>
      </c>
      <c r="DQ500" s="5" t="s">
        <v>238</v>
      </c>
      <c r="DT500" s="5" t="s">
        <v>535</v>
      </c>
      <c r="DU500" s="5" t="s">
        <v>1274</v>
      </c>
      <c r="HM500" s="5" t="s">
        <v>264</v>
      </c>
    </row>
    <row r="501" spans="1:221" x14ac:dyDescent="0.4">
      <c r="A501" s="5">
        <v>1363</v>
      </c>
      <c r="B501" s="5">
        <v>1</v>
      </c>
      <c r="C501" s="5">
        <v>1</v>
      </c>
      <c r="D501" s="5" t="s">
        <v>484</v>
      </c>
      <c r="E501" s="5" t="s">
        <v>485</v>
      </c>
      <c r="F501" s="5" t="s">
        <v>248</v>
      </c>
      <c r="G501" s="5" t="s">
        <v>531</v>
      </c>
      <c r="H501" s="6" t="s">
        <v>5778</v>
      </c>
      <c r="I501" s="7">
        <f>482</f>
        <v>482</v>
      </c>
      <c r="J501" s="5" t="s">
        <v>262</v>
      </c>
      <c r="K501" s="8">
        <f>5302</f>
        <v>5302</v>
      </c>
      <c r="L501" s="6" t="s">
        <v>242</v>
      </c>
      <c r="M501" s="5" t="s">
        <v>267</v>
      </c>
      <c r="N501" s="5" t="s">
        <v>237</v>
      </c>
      <c r="O501" s="5" t="s">
        <v>238</v>
      </c>
      <c r="P501" s="5" t="s">
        <v>238</v>
      </c>
      <c r="Q501" s="5" t="s">
        <v>239</v>
      </c>
      <c r="R501" s="5" t="s">
        <v>240</v>
      </c>
      <c r="S501" s="5" t="s">
        <v>238</v>
      </c>
      <c r="V501" s="5" t="s">
        <v>238</v>
      </c>
      <c r="X501" s="6" t="s">
        <v>238</v>
      </c>
      <c r="AA501" s="6" t="s">
        <v>243</v>
      </c>
      <c r="AB501" s="5" t="s">
        <v>238</v>
      </c>
      <c r="AC501" s="5" t="s">
        <v>244</v>
      </c>
      <c r="AD501" s="5" t="s">
        <v>245</v>
      </c>
      <c r="AT501" s="5" t="s">
        <v>246</v>
      </c>
      <c r="AU501" s="5" t="s">
        <v>238</v>
      </c>
      <c r="AV501" s="5" t="s">
        <v>247</v>
      </c>
      <c r="AW501" s="5" t="s">
        <v>238</v>
      </c>
      <c r="AX501" s="5" t="s">
        <v>249</v>
      </c>
      <c r="AY501" s="5" t="s">
        <v>238</v>
      </c>
      <c r="BA501" s="5" t="s">
        <v>238</v>
      </c>
      <c r="BC501" s="5" t="s">
        <v>250</v>
      </c>
      <c r="BD501" s="6" t="s">
        <v>243</v>
      </c>
      <c r="BE501" s="5" t="s">
        <v>251</v>
      </c>
      <c r="BF501" s="5" t="s">
        <v>252</v>
      </c>
      <c r="BG501" s="5" t="s">
        <v>238</v>
      </c>
      <c r="BH501" s="7">
        <f>0</f>
        <v>0</v>
      </c>
      <c r="BI501" s="8">
        <f>0</f>
        <v>0</v>
      </c>
      <c r="BJ501" s="5" t="s">
        <v>253</v>
      </c>
      <c r="BK501" s="5" t="s">
        <v>254</v>
      </c>
      <c r="BY501" s="5" t="s">
        <v>238</v>
      </c>
      <c r="BZ501" s="5" t="s">
        <v>238</v>
      </c>
      <c r="CD501" s="5" t="s">
        <v>255</v>
      </c>
      <c r="CE501" s="5" t="s">
        <v>256</v>
      </c>
      <c r="CF501" s="5" t="s">
        <v>238</v>
      </c>
      <c r="CI501" s="6" t="s">
        <v>257</v>
      </c>
      <c r="CJ501" s="5" t="s">
        <v>238</v>
      </c>
      <c r="CK501" s="5" t="s">
        <v>258</v>
      </c>
      <c r="CL501" s="5" t="s">
        <v>238</v>
      </c>
      <c r="CM501" s="5" t="s">
        <v>238</v>
      </c>
      <c r="CN501" s="5">
        <v>0</v>
      </c>
      <c r="CO501" s="5" t="s">
        <v>259</v>
      </c>
      <c r="CP501" s="5" t="s">
        <v>260</v>
      </c>
      <c r="CQ501" s="5" t="s">
        <v>260</v>
      </c>
      <c r="CR501" s="5" t="s">
        <v>261</v>
      </c>
      <c r="CU501" s="8">
        <f>5302</f>
        <v>5302</v>
      </c>
      <c r="CV501" s="8">
        <f>0</f>
        <v>0</v>
      </c>
      <c r="CX501" s="8">
        <f>0</f>
        <v>0</v>
      </c>
      <c r="CY501" s="8">
        <f>5302</f>
        <v>5302</v>
      </c>
      <c r="DA501" s="5" t="s">
        <v>533</v>
      </c>
      <c r="DB501" s="5" t="s">
        <v>238</v>
      </c>
      <c r="DD501" s="5" t="s">
        <v>356</v>
      </c>
      <c r="DE501" s="8">
        <f>0</f>
        <v>0</v>
      </c>
      <c r="DG501" s="5" t="s">
        <v>534</v>
      </c>
      <c r="DH501" s="5" t="s">
        <v>238</v>
      </c>
      <c r="DI501" s="5" t="s">
        <v>238</v>
      </c>
      <c r="DJ501" s="5" t="s">
        <v>238</v>
      </c>
      <c r="DN501" s="5" t="s">
        <v>238</v>
      </c>
      <c r="DO501" s="5" t="s">
        <v>238</v>
      </c>
      <c r="DP501" s="5" t="s">
        <v>238</v>
      </c>
      <c r="DQ501" s="5" t="s">
        <v>238</v>
      </c>
      <c r="DT501" s="5" t="s">
        <v>535</v>
      </c>
      <c r="DU501" s="5" t="s">
        <v>1270</v>
      </c>
      <c r="HM501" s="5" t="s">
        <v>264</v>
      </c>
    </row>
    <row r="502" spans="1:221" x14ac:dyDescent="0.4">
      <c r="A502" s="5">
        <v>1364</v>
      </c>
      <c r="B502" s="5">
        <v>1</v>
      </c>
      <c r="C502" s="5">
        <v>1</v>
      </c>
      <c r="D502" s="5" t="s">
        <v>484</v>
      </c>
      <c r="E502" s="5" t="s">
        <v>485</v>
      </c>
      <c r="F502" s="5" t="s">
        <v>248</v>
      </c>
      <c r="G502" s="5" t="s">
        <v>531</v>
      </c>
      <c r="H502" s="6" t="s">
        <v>4188</v>
      </c>
      <c r="I502" s="7">
        <f>4397</f>
        <v>4397</v>
      </c>
      <c r="J502" s="5" t="s">
        <v>262</v>
      </c>
      <c r="K502" s="8">
        <f>48367</f>
        <v>48367</v>
      </c>
      <c r="L502" s="6" t="s">
        <v>242</v>
      </c>
      <c r="M502" s="5" t="s">
        <v>267</v>
      </c>
      <c r="N502" s="5" t="s">
        <v>237</v>
      </c>
      <c r="O502" s="5" t="s">
        <v>238</v>
      </c>
      <c r="P502" s="5" t="s">
        <v>238</v>
      </c>
      <c r="Q502" s="5" t="s">
        <v>239</v>
      </c>
      <c r="R502" s="5" t="s">
        <v>240</v>
      </c>
      <c r="S502" s="5" t="s">
        <v>238</v>
      </c>
      <c r="V502" s="5" t="s">
        <v>238</v>
      </c>
      <c r="X502" s="6" t="s">
        <v>238</v>
      </c>
      <c r="AA502" s="6" t="s">
        <v>243</v>
      </c>
      <c r="AB502" s="5" t="s">
        <v>238</v>
      </c>
      <c r="AC502" s="5" t="s">
        <v>244</v>
      </c>
      <c r="AD502" s="5" t="s">
        <v>245</v>
      </c>
      <c r="AT502" s="5" t="s">
        <v>246</v>
      </c>
      <c r="AU502" s="5" t="s">
        <v>238</v>
      </c>
      <c r="AV502" s="5" t="s">
        <v>247</v>
      </c>
      <c r="AW502" s="5" t="s">
        <v>238</v>
      </c>
      <c r="AX502" s="5" t="s">
        <v>249</v>
      </c>
      <c r="AY502" s="5" t="s">
        <v>238</v>
      </c>
      <c r="BA502" s="5" t="s">
        <v>238</v>
      </c>
      <c r="BC502" s="5" t="s">
        <v>250</v>
      </c>
      <c r="BD502" s="6" t="s">
        <v>243</v>
      </c>
      <c r="BE502" s="5" t="s">
        <v>251</v>
      </c>
      <c r="BF502" s="5" t="s">
        <v>252</v>
      </c>
      <c r="BG502" s="5" t="s">
        <v>238</v>
      </c>
      <c r="BH502" s="7">
        <f>0</f>
        <v>0</v>
      </c>
      <c r="BI502" s="8">
        <f>0</f>
        <v>0</v>
      </c>
      <c r="BJ502" s="5" t="s">
        <v>253</v>
      </c>
      <c r="BK502" s="5" t="s">
        <v>254</v>
      </c>
      <c r="BY502" s="5" t="s">
        <v>238</v>
      </c>
      <c r="BZ502" s="5" t="s">
        <v>238</v>
      </c>
      <c r="CD502" s="5" t="s">
        <v>255</v>
      </c>
      <c r="CE502" s="5" t="s">
        <v>256</v>
      </c>
      <c r="CF502" s="5" t="s">
        <v>238</v>
      </c>
      <c r="CI502" s="6" t="s">
        <v>257</v>
      </c>
      <c r="CJ502" s="5" t="s">
        <v>238</v>
      </c>
      <c r="CK502" s="5" t="s">
        <v>258</v>
      </c>
      <c r="CL502" s="5" t="s">
        <v>238</v>
      </c>
      <c r="CM502" s="5" t="s">
        <v>238</v>
      </c>
      <c r="CN502" s="5">
        <v>0</v>
      </c>
      <c r="CO502" s="5" t="s">
        <v>259</v>
      </c>
      <c r="CP502" s="5" t="s">
        <v>260</v>
      </c>
      <c r="CQ502" s="5" t="s">
        <v>260</v>
      </c>
      <c r="CR502" s="5" t="s">
        <v>261</v>
      </c>
      <c r="CU502" s="8">
        <f>48367</f>
        <v>48367</v>
      </c>
      <c r="CV502" s="8">
        <f>0</f>
        <v>0</v>
      </c>
      <c r="CX502" s="8">
        <f>0</f>
        <v>0</v>
      </c>
      <c r="CY502" s="8">
        <f>48367</f>
        <v>48367</v>
      </c>
      <c r="DA502" s="5" t="s">
        <v>533</v>
      </c>
      <c r="DB502" s="5" t="s">
        <v>238</v>
      </c>
      <c r="DD502" s="5" t="s">
        <v>356</v>
      </c>
      <c r="DE502" s="8">
        <f>0</f>
        <v>0</v>
      </c>
      <c r="DG502" s="5" t="s">
        <v>534</v>
      </c>
      <c r="DH502" s="5" t="s">
        <v>238</v>
      </c>
      <c r="DI502" s="5" t="s">
        <v>238</v>
      </c>
      <c r="DJ502" s="5" t="s">
        <v>238</v>
      </c>
      <c r="DN502" s="5" t="s">
        <v>238</v>
      </c>
      <c r="DO502" s="5" t="s">
        <v>238</v>
      </c>
      <c r="DP502" s="5" t="s">
        <v>238</v>
      </c>
      <c r="DQ502" s="5" t="s">
        <v>238</v>
      </c>
      <c r="DT502" s="5" t="s">
        <v>535</v>
      </c>
      <c r="DU502" s="5" t="s">
        <v>1268</v>
      </c>
      <c r="HM502" s="5" t="s">
        <v>264</v>
      </c>
    </row>
    <row r="503" spans="1:221" x14ac:dyDescent="0.4">
      <c r="A503" s="5">
        <v>1365</v>
      </c>
      <c r="B503" s="5">
        <v>1</v>
      </c>
      <c r="C503" s="5">
        <v>1</v>
      </c>
      <c r="D503" s="5" t="s">
        <v>484</v>
      </c>
      <c r="E503" s="5" t="s">
        <v>485</v>
      </c>
      <c r="F503" s="5" t="s">
        <v>248</v>
      </c>
      <c r="G503" s="5" t="s">
        <v>531</v>
      </c>
      <c r="H503" s="6" t="s">
        <v>5751</v>
      </c>
      <c r="I503" s="7">
        <f>889</f>
        <v>889</v>
      </c>
      <c r="J503" s="5" t="s">
        <v>262</v>
      </c>
      <c r="K503" s="8">
        <f>9779</f>
        <v>9779</v>
      </c>
      <c r="L503" s="6" t="s">
        <v>242</v>
      </c>
      <c r="M503" s="5" t="s">
        <v>267</v>
      </c>
      <c r="N503" s="5" t="s">
        <v>237</v>
      </c>
      <c r="O503" s="5" t="s">
        <v>238</v>
      </c>
      <c r="P503" s="5" t="s">
        <v>238</v>
      </c>
      <c r="Q503" s="5" t="s">
        <v>239</v>
      </c>
      <c r="R503" s="5" t="s">
        <v>240</v>
      </c>
      <c r="S503" s="5" t="s">
        <v>238</v>
      </c>
      <c r="V503" s="5" t="s">
        <v>238</v>
      </c>
      <c r="X503" s="6" t="s">
        <v>238</v>
      </c>
      <c r="AA503" s="6" t="s">
        <v>243</v>
      </c>
      <c r="AB503" s="5" t="s">
        <v>238</v>
      </c>
      <c r="AC503" s="5" t="s">
        <v>244</v>
      </c>
      <c r="AD503" s="5" t="s">
        <v>245</v>
      </c>
      <c r="AT503" s="5" t="s">
        <v>246</v>
      </c>
      <c r="AU503" s="5" t="s">
        <v>238</v>
      </c>
      <c r="AV503" s="5" t="s">
        <v>247</v>
      </c>
      <c r="AW503" s="5" t="s">
        <v>238</v>
      </c>
      <c r="AX503" s="5" t="s">
        <v>249</v>
      </c>
      <c r="AY503" s="5" t="s">
        <v>238</v>
      </c>
      <c r="BA503" s="5" t="s">
        <v>238</v>
      </c>
      <c r="BC503" s="5" t="s">
        <v>250</v>
      </c>
      <c r="BD503" s="6" t="s">
        <v>243</v>
      </c>
      <c r="BE503" s="5" t="s">
        <v>251</v>
      </c>
      <c r="BF503" s="5" t="s">
        <v>252</v>
      </c>
      <c r="BG503" s="5" t="s">
        <v>238</v>
      </c>
      <c r="BH503" s="7">
        <f>0</f>
        <v>0</v>
      </c>
      <c r="BI503" s="8">
        <f>0</f>
        <v>0</v>
      </c>
      <c r="BJ503" s="5" t="s">
        <v>253</v>
      </c>
      <c r="BK503" s="5" t="s">
        <v>254</v>
      </c>
      <c r="BY503" s="5" t="s">
        <v>238</v>
      </c>
      <c r="BZ503" s="5" t="s">
        <v>238</v>
      </c>
      <c r="CD503" s="5" t="s">
        <v>255</v>
      </c>
      <c r="CE503" s="5" t="s">
        <v>256</v>
      </c>
      <c r="CF503" s="5" t="s">
        <v>238</v>
      </c>
      <c r="CI503" s="6" t="s">
        <v>257</v>
      </c>
      <c r="CJ503" s="5" t="s">
        <v>238</v>
      </c>
      <c r="CK503" s="5" t="s">
        <v>258</v>
      </c>
      <c r="CL503" s="5" t="s">
        <v>238</v>
      </c>
      <c r="CM503" s="5" t="s">
        <v>238</v>
      </c>
      <c r="CN503" s="5">
        <v>0</v>
      </c>
      <c r="CO503" s="5" t="s">
        <v>259</v>
      </c>
      <c r="CP503" s="5" t="s">
        <v>260</v>
      </c>
      <c r="CQ503" s="5" t="s">
        <v>260</v>
      </c>
      <c r="CR503" s="5" t="s">
        <v>261</v>
      </c>
      <c r="CU503" s="8">
        <f>9779</f>
        <v>9779</v>
      </c>
      <c r="CV503" s="8">
        <f>0</f>
        <v>0</v>
      </c>
      <c r="CX503" s="8">
        <f>0</f>
        <v>0</v>
      </c>
      <c r="CY503" s="8">
        <f>9779</f>
        <v>9779</v>
      </c>
      <c r="DA503" s="5" t="s">
        <v>533</v>
      </c>
      <c r="DB503" s="5" t="s">
        <v>238</v>
      </c>
      <c r="DD503" s="5" t="s">
        <v>356</v>
      </c>
      <c r="DE503" s="8">
        <f>0</f>
        <v>0</v>
      </c>
      <c r="DG503" s="5" t="s">
        <v>534</v>
      </c>
      <c r="DH503" s="5" t="s">
        <v>238</v>
      </c>
      <c r="DI503" s="5" t="s">
        <v>238</v>
      </c>
      <c r="DJ503" s="5" t="s">
        <v>238</v>
      </c>
      <c r="DN503" s="5" t="s">
        <v>238</v>
      </c>
      <c r="DO503" s="5" t="s">
        <v>238</v>
      </c>
      <c r="DP503" s="5" t="s">
        <v>238</v>
      </c>
      <c r="DQ503" s="5" t="s">
        <v>238</v>
      </c>
      <c r="DT503" s="5" t="s">
        <v>535</v>
      </c>
      <c r="DU503" s="5" t="s">
        <v>1262</v>
      </c>
      <c r="HM503" s="5" t="s">
        <v>264</v>
      </c>
    </row>
    <row r="504" spans="1:221" x14ac:dyDescent="0.4">
      <c r="A504" s="5">
        <v>1366</v>
      </c>
      <c r="B504" s="5">
        <v>1</v>
      </c>
      <c r="C504" s="5">
        <v>1</v>
      </c>
      <c r="D504" s="5" t="s">
        <v>484</v>
      </c>
      <c r="E504" s="5" t="s">
        <v>485</v>
      </c>
      <c r="F504" s="5" t="s">
        <v>248</v>
      </c>
      <c r="G504" s="5" t="s">
        <v>531</v>
      </c>
      <c r="H504" s="6" t="s">
        <v>5754</v>
      </c>
      <c r="I504" s="7">
        <f>1835</f>
        <v>1835</v>
      </c>
      <c r="J504" s="5" t="s">
        <v>262</v>
      </c>
      <c r="K504" s="8">
        <f>20185</f>
        <v>20185</v>
      </c>
      <c r="L504" s="6" t="s">
        <v>242</v>
      </c>
      <c r="M504" s="5" t="s">
        <v>267</v>
      </c>
      <c r="N504" s="5" t="s">
        <v>237</v>
      </c>
      <c r="O504" s="5" t="s">
        <v>238</v>
      </c>
      <c r="P504" s="5" t="s">
        <v>238</v>
      </c>
      <c r="Q504" s="5" t="s">
        <v>239</v>
      </c>
      <c r="R504" s="5" t="s">
        <v>240</v>
      </c>
      <c r="S504" s="5" t="s">
        <v>238</v>
      </c>
      <c r="V504" s="5" t="s">
        <v>238</v>
      </c>
      <c r="X504" s="6" t="s">
        <v>238</v>
      </c>
      <c r="AA504" s="6" t="s">
        <v>243</v>
      </c>
      <c r="AB504" s="5" t="s">
        <v>238</v>
      </c>
      <c r="AC504" s="5" t="s">
        <v>244</v>
      </c>
      <c r="AD504" s="5" t="s">
        <v>245</v>
      </c>
      <c r="AT504" s="5" t="s">
        <v>246</v>
      </c>
      <c r="AU504" s="5" t="s">
        <v>238</v>
      </c>
      <c r="AV504" s="5" t="s">
        <v>247</v>
      </c>
      <c r="AW504" s="5" t="s">
        <v>238</v>
      </c>
      <c r="AX504" s="5" t="s">
        <v>249</v>
      </c>
      <c r="AY504" s="5" t="s">
        <v>238</v>
      </c>
      <c r="BA504" s="5" t="s">
        <v>238</v>
      </c>
      <c r="BC504" s="5" t="s">
        <v>250</v>
      </c>
      <c r="BD504" s="6" t="s">
        <v>243</v>
      </c>
      <c r="BE504" s="5" t="s">
        <v>251</v>
      </c>
      <c r="BF504" s="5" t="s">
        <v>252</v>
      </c>
      <c r="BG504" s="5" t="s">
        <v>238</v>
      </c>
      <c r="BH504" s="7">
        <f>0</f>
        <v>0</v>
      </c>
      <c r="BI504" s="8">
        <f>0</f>
        <v>0</v>
      </c>
      <c r="BJ504" s="5" t="s">
        <v>253</v>
      </c>
      <c r="BK504" s="5" t="s">
        <v>254</v>
      </c>
      <c r="BY504" s="5" t="s">
        <v>238</v>
      </c>
      <c r="BZ504" s="5" t="s">
        <v>238</v>
      </c>
      <c r="CD504" s="5" t="s">
        <v>255</v>
      </c>
      <c r="CE504" s="5" t="s">
        <v>256</v>
      </c>
      <c r="CF504" s="5" t="s">
        <v>238</v>
      </c>
      <c r="CI504" s="6" t="s">
        <v>257</v>
      </c>
      <c r="CJ504" s="5" t="s">
        <v>238</v>
      </c>
      <c r="CK504" s="5" t="s">
        <v>258</v>
      </c>
      <c r="CL504" s="5" t="s">
        <v>238</v>
      </c>
      <c r="CM504" s="5" t="s">
        <v>238</v>
      </c>
      <c r="CN504" s="5">
        <v>0</v>
      </c>
      <c r="CO504" s="5" t="s">
        <v>259</v>
      </c>
      <c r="CP504" s="5" t="s">
        <v>260</v>
      </c>
      <c r="CQ504" s="5" t="s">
        <v>260</v>
      </c>
      <c r="CR504" s="5" t="s">
        <v>261</v>
      </c>
      <c r="CU504" s="8">
        <f>20185</f>
        <v>20185</v>
      </c>
      <c r="CV504" s="8">
        <f>0</f>
        <v>0</v>
      </c>
      <c r="CX504" s="8">
        <f>0</f>
        <v>0</v>
      </c>
      <c r="CY504" s="8">
        <f>20185</f>
        <v>20185</v>
      </c>
      <c r="DA504" s="5" t="s">
        <v>533</v>
      </c>
      <c r="DB504" s="5" t="s">
        <v>238</v>
      </c>
      <c r="DD504" s="5" t="s">
        <v>356</v>
      </c>
      <c r="DE504" s="8">
        <f>0</f>
        <v>0</v>
      </c>
      <c r="DG504" s="5" t="s">
        <v>534</v>
      </c>
      <c r="DH504" s="5" t="s">
        <v>238</v>
      </c>
      <c r="DI504" s="5" t="s">
        <v>238</v>
      </c>
      <c r="DJ504" s="5" t="s">
        <v>238</v>
      </c>
      <c r="DN504" s="5" t="s">
        <v>238</v>
      </c>
      <c r="DO504" s="5" t="s">
        <v>238</v>
      </c>
      <c r="DP504" s="5" t="s">
        <v>238</v>
      </c>
      <c r="DQ504" s="5" t="s">
        <v>238</v>
      </c>
      <c r="DT504" s="5" t="s">
        <v>535</v>
      </c>
      <c r="DU504" s="5" t="s">
        <v>1258</v>
      </c>
      <c r="HM504" s="5" t="s">
        <v>264</v>
      </c>
    </row>
    <row r="505" spans="1:221" x14ac:dyDescent="0.4">
      <c r="A505" s="5">
        <v>1367</v>
      </c>
      <c r="B505" s="5">
        <v>1</v>
      </c>
      <c r="C505" s="5">
        <v>1</v>
      </c>
      <c r="D505" s="5" t="s">
        <v>484</v>
      </c>
      <c r="E505" s="5" t="s">
        <v>485</v>
      </c>
      <c r="F505" s="5" t="s">
        <v>248</v>
      </c>
      <c r="G505" s="5" t="s">
        <v>531</v>
      </c>
      <c r="H505" s="6" t="s">
        <v>3903</v>
      </c>
      <c r="I505" s="7">
        <f>357</f>
        <v>357</v>
      </c>
      <c r="J505" s="5" t="s">
        <v>262</v>
      </c>
      <c r="K505" s="8">
        <f>3927</f>
        <v>3927</v>
      </c>
      <c r="L505" s="6" t="s">
        <v>242</v>
      </c>
      <c r="M505" s="5" t="s">
        <v>267</v>
      </c>
      <c r="N505" s="5" t="s">
        <v>237</v>
      </c>
      <c r="O505" s="5" t="s">
        <v>238</v>
      </c>
      <c r="P505" s="5" t="s">
        <v>238</v>
      </c>
      <c r="Q505" s="5" t="s">
        <v>239</v>
      </c>
      <c r="R505" s="5" t="s">
        <v>240</v>
      </c>
      <c r="S505" s="5" t="s">
        <v>238</v>
      </c>
      <c r="V505" s="5" t="s">
        <v>238</v>
      </c>
      <c r="X505" s="6" t="s">
        <v>238</v>
      </c>
      <c r="AA505" s="6" t="s">
        <v>243</v>
      </c>
      <c r="AB505" s="5" t="s">
        <v>238</v>
      </c>
      <c r="AC505" s="5" t="s">
        <v>244</v>
      </c>
      <c r="AD505" s="5" t="s">
        <v>245</v>
      </c>
      <c r="AT505" s="5" t="s">
        <v>246</v>
      </c>
      <c r="AU505" s="5" t="s">
        <v>238</v>
      </c>
      <c r="AV505" s="5" t="s">
        <v>247</v>
      </c>
      <c r="AW505" s="5" t="s">
        <v>238</v>
      </c>
      <c r="AX505" s="5" t="s">
        <v>249</v>
      </c>
      <c r="AY505" s="5" t="s">
        <v>238</v>
      </c>
      <c r="BA505" s="5" t="s">
        <v>238</v>
      </c>
      <c r="BC505" s="5" t="s">
        <v>250</v>
      </c>
      <c r="BD505" s="6" t="s">
        <v>243</v>
      </c>
      <c r="BE505" s="5" t="s">
        <v>251</v>
      </c>
      <c r="BF505" s="5" t="s">
        <v>252</v>
      </c>
      <c r="BG505" s="5" t="s">
        <v>238</v>
      </c>
      <c r="BH505" s="7">
        <f>0</f>
        <v>0</v>
      </c>
      <c r="BI505" s="8">
        <f>0</f>
        <v>0</v>
      </c>
      <c r="BJ505" s="5" t="s">
        <v>253</v>
      </c>
      <c r="BK505" s="5" t="s">
        <v>254</v>
      </c>
      <c r="BY505" s="5" t="s">
        <v>238</v>
      </c>
      <c r="BZ505" s="5" t="s">
        <v>238</v>
      </c>
      <c r="CD505" s="5" t="s">
        <v>255</v>
      </c>
      <c r="CE505" s="5" t="s">
        <v>256</v>
      </c>
      <c r="CF505" s="5" t="s">
        <v>238</v>
      </c>
      <c r="CI505" s="6" t="s">
        <v>257</v>
      </c>
      <c r="CJ505" s="5" t="s">
        <v>238</v>
      </c>
      <c r="CK505" s="5" t="s">
        <v>258</v>
      </c>
      <c r="CL505" s="5" t="s">
        <v>238</v>
      </c>
      <c r="CM505" s="5" t="s">
        <v>238</v>
      </c>
      <c r="CN505" s="5">
        <v>0</v>
      </c>
      <c r="CO505" s="5" t="s">
        <v>259</v>
      </c>
      <c r="CP505" s="5" t="s">
        <v>260</v>
      </c>
      <c r="CQ505" s="5" t="s">
        <v>260</v>
      </c>
      <c r="CR505" s="5" t="s">
        <v>261</v>
      </c>
      <c r="CU505" s="8">
        <f>3927</f>
        <v>3927</v>
      </c>
      <c r="CV505" s="8">
        <f>0</f>
        <v>0</v>
      </c>
      <c r="CX505" s="8">
        <f>0</f>
        <v>0</v>
      </c>
      <c r="CY505" s="8">
        <f>3927</f>
        <v>3927</v>
      </c>
      <c r="DA505" s="5" t="s">
        <v>533</v>
      </c>
      <c r="DB505" s="5" t="s">
        <v>238</v>
      </c>
      <c r="DD505" s="5" t="s">
        <v>356</v>
      </c>
      <c r="DE505" s="8">
        <f>0</f>
        <v>0</v>
      </c>
      <c r="DG505" s="5" t="s">
        <v>534</v>
      </c>
      <c r="DH505" s="5" t="s">
        <v>238</v>
      </c>
      <c r="DI505" s="5" t="s">
        <v>238</v>
      </c>
      <c r="DJ505" s="5" t="s">
        <v>238</v>
      </c>
      <c r="DN505" s="5" t="s">
        <v>238</v>
      </c>
      <c r="DO505" s="5" t="s">
        <v>238</v>
      </c>
      <c r="DP505" s="5" t="s">
        <v>238</v>
      </c>
      <c r="DQ505" s="5" t="s">
        <v>238</v>
      </c>
      <c r="DT505" s="5" t="s">
        <v>535</v>
      </c>
      <c r="DU505" s="5" t="s">
        <v>1256</v>
      </c>
      <c r="HM505" s="5" t="s">
        <v>264</v>
      </c>
    </row>
    <row r="506" spans="1:221" x14ac:dyDescent="0.4">
      <c r="A506" s="5">
        <v>1368</v>
      </c>
      <c r="B506" s="5">
        <v>1</v>
      </c>
      <c r="C506" s="5">
        <v>1</v>
      </c>
      <c r="D506" s="5" t="s">
        <v>484</v>
      </c>
      <c r="E506" s="5" t="s">
        <v>485</v>
      </c>
      <c r="F506" s="5" t="s">
        <v>248</v>
      </c>
      <c r="G506" s="5" t="s">
        <v>531</v>
      </c>
      <c r="H506" s="6" t="s">
        <v>3899</v>
      </c>
      <c r="I506" s="7">
        <f>1480</f>
        <v>1480</v>
      </c>
      <c r="J506" s="5" t="s">
        <v>262</v>
      </c>
      <c r="K506" s="8">
        <f>16280</f>
        <v>16280</v>
      </c>
      <c r="L506" s="6" t="s">
        <v>242</v>
      </c>
      <c r="M506" s="5" t="s">
        <v>267</v>
      </c>
      <c r="N506" s="5" t="s">
        <v>237</v>
      </c>
      <c r="O506" s="5" t="s">
        <v>238</v>
      </c>
      <c r="P506" s="5" t="s">
        <v>238</v>
      </c>
      <c r="Q506" s="5" t="s">
        <v>239</v>
      </c>
      <c r="R506" s="5" t="s">
        <v>240</v>
      </c>
      <c r="S506" s="5" t="s">
        <v>238</v>
      </c>
      <c r="V506" s="5" t="s">
        <v>238</v>
      </c>
      <c r="X506" s="6" t="s">
        <v>238</v>
      </c>
      <c r="AA506" s="6" t="s">
        <v>243</v>
      </c>
      <c r="AB506" s="5" t="s">
        <v>238</v>
      </c>
      <c r="AC506" s="5" t="s">
        <v>244</v>
      </c>
      <c r="AD506" s="5" t="s">
        <v>245</v>
      </c>
      <c r="AT506" s="5" t="s">
        <v>246</v>
      </c>
      <c r="AU506" s="5" t="s">
        <v>238</v>
      </c>
      <c r="AV506" s="5" t="s">
        <v>247</v>
      </c>
      <c r="AW506" s="5" t="s">
        <v>238</v>
      </c>
      <c r="AX506" s="5" t="s">
        <v>249</v>
      </c>
      <c r="AY506" s="5" t="s">
        <v>238</v>
      </c>
      <c r="BA506" s="5" t="s">
        <v>238</v>
      </c>
      <c r="BC506" s="5" t="s">
        <v>250</v>
      </c>
      <c r="BD506" s="6" t="s">
        <v>243</v>
      </c>
      <c r="BE506" s="5" t="s">
        <v>251</v>
      </c>
      <c r="BF506" s="5" t="s">
        <v>252</v>
      </c>
      <c r="BG506" s="5" t="s">
        <v>238</v>
      </c>
      <c r="BH506" s="7">
        <f>0</f>
        <v>0</v>
      </c>
      <c r="BI506" s="8">
        <f>0</f>
        <v>0</v>
      </c>
      <c r="BJ506" s="5" t="s">
        <v>253</v>
      </c>
      <c r="BK506" s="5" t="s">
        <v>254</v>
      </c>
      <c r="BY506" s="5" t="s">
        <v>238</v>
      </c>
      <c r="BZ506" s="5" t="s">
        <v>238</v>
      </c>
      <c r="CD506" s="5" t="s">
        <v>255</v>
      </c>
      <c r="CE506" s="5" t="s">
        <v>256</v>
      </c>
      <c r="CF506" s="5" t="s">
        <v>238</v>
      </c>
      <c r="CI506" s="6" t="s">
        <v>257</v>
      </c>
      <c r="CJ506" s="5" t="s">
        <v>238</v>
      </c>
      <c r="CK506" s="5" t="s">
        <v>258</v>
      </c>
      <c r="CL506" s="5" t="s">
        <v>238</v>
      </c>
      <c r="CM506" s="5" t="s">
        <v>238</v>
      </c>
      <c r="CN506" s="5">
        <v>0</v>
      </c>
      <c r="CO506" s="5" t="s">
        <v>259</v>
      </c>
      <c r="CP506" s="5" t="s">
        <v>260</v>
      </c>
      <c r="CQ506" s="5" t="s">
        <v>260</v>
      </c>
      <c r="CR506" s="5" t="s">
        <v>261</v>
      </c>
      <c r="CU506" s="8">
        <f>16280</f>
        <v>16280</v>
      </c>
      <c r="CV506" s="8">
        <f>0</f>
        <v>0</v>
      </c>
      <c r="CX506" s="8">
        <f>0</f>
        <v>0</v>
      </c>
      <c r="CY506" s="8">
        <f>16280</f>
        <v>16280</v>
      </c>
      <c r="DA506" s="5" t="s">
        <v>533</v>
      </c>
      <c r="DB506" s="5" t="s">
        <v>238</v>
      </c>
      <c r="DD506" s="5" t="s">
        <v>356</v>
      </c>
      <c r="DE506" s="8">
        <f>0</f>
        <v>0</v>
      </c>
      <c r="DG506" s="5" t="s">
        <v>534</v>
      </c>
      <c r="DH506" s="5" t="s">
        <v>238</v>
      </c>
      <c r="DI506" s="5" t="s">
        <v>238</v>
      </c>
      <c r="DJ506" s="5" t="s">
        <v>238</v>
      </c>
      <c r="DN506" s="5" t="s">
        <v>238</v>
      </c>
      <c r="DO506" s="5" t="s">
        <v>238</v>
      </c>
      <c r="DP506" s="5" t="s">
        <v>238</v>
      </c>
      <c r="DQ506" s="5" t="s">
        <v>238</v>
      </c>
      <c r="DT506" s="5" t="s">
        <v>535</v>
      </c>
      <c r="DU506" s="5" t="s">
        <v>1252</v>
      </c>
      <c r="HM506" s="5" t="s">
        <v>264</v>
      </c>
    </row>
    <row r="507" spans="1:221" x14ac:dyDescent="0.4">
      <c r="A507" s="5">
        <v>1369</v>
      </c>
      <c r="B507" s="5">
        <v>1</v>
      </c>
      <c r="C507" s="5">
        <v>1</v>
      </c>
      <c r="D507" s="5" t="s">
        <v>484</v>
      </c>
      <c r="E507" s="5" t="s">
        <v>485</v>
      </c>
      <c r="F507" s="5" t="s">
        <v>248</v>
      </c>
      <c r="G507" s="5" t="s">
        <v>531</v>
      </c>
      <c r="H507" s="6" t="s">
        <v>3896</v>
      </c>
      <c r="I507" s="7">
        <f>817</f>
        <v>817</v>
      </c>
      <c r="J507" s="5" t="s">
        <v>262</v>
      </c>
      <c r="K507" s="8">
        <f>8987</f>
        <v>8987</v>
      </c>
      <c r="L507" s="6" t="s">
        <v>242</v>
      </c>
      <c r="M507" s="5" t="s">
        <v>267</v>
      </c>
      <c r="N507" s="5" t="s">
        <v>237</v>
      </c>
      <c r="O507" s="5" t="s">
        <v>238</v>
      </c>
      <c r="P507" s="5" t="s">
        <v>238</v>
      </c>
      <c r="Q507" s="5" t="s">
        <v>239</v>
      </c>
      <c r="R507" s="5" t="s">
        <v>240</v>
      </c>
      <c r="S507" s="5" t="s">
        <v>238</v>
      </c>
      <c r="V507" s="5" t="s">
        <v>238</v>
      </c>
      <c r="X507" s="6" t="s">
        <v>238</v>
      </c>
      <c r="AA507" s="6" t="s">
        <v>243</v>
      </c>
      <c r="AB507" s="5" t="s">
        <v>238</v>
      </c>
      <c r="AC507" s="5" t="s">
        <v>244</v>
      </c>
      <c r="AD507" s="5" t="s">
        <v>245</v>
      </c>
      <c r="AT507" s="5" t="s">
        <v>246</v>
      </c>
      <c r="AU507" s="5" t="s">
        <v>238</v>
      </c>
      <c r="AV507" s="5" t="s">
        <v>247</v>
      </c>
      <c r="AW507" s="5" t="s">
        <v>238</v>
      </c>
      <c r="AX507" s="5" t="s">
        <v>249</v>
      </c>
      <c r="AY507" s="5" t="s">
        <v>238</v>
      </c>
      <c r="BA507" s="5" t="s">
        <v>238</v>
      </c>
      <c r="BC507" s="5" t="s">
        <v>250</v>
      </c>
      <c r="BD507" s="6" t="s">
        <v>243</v>
      </c>
      <c r="BE507" s="5" t="s">
        <v>251</v>
      </c>
      <c r="BF507" s="5" t="s">
        <v>252</v>
      </c>
      <c r="BG507" s="5" t="s">
        <v>238</v>
      </c>
      <c r="BH507" s="7">
        <f>0</f>
        <v>0</v>
      </c>
      <c r="BI507" s="8">
        <f>0</f>
        <v>0</v>
      </c>
      <c r="BJ507" s="5" t="s">
        <v>253</v>
      </c>
      <c r="BK507" s="5" t="s">
        <v>254</v>
      </c>
      <c r="BY507" s="5" t="s">
        <v>238</v>
      </c>
      <c r="BZ507" s="5" t="s">
        <v>238</v>
      </c>
      <c r="CD507" s="5" t="s">
        <v>255</v>
      </c>
      <c r="CE507" s="5" t="s">
        <v>256</v>
      </c>
      <c r="CF507" s="5" t="s">
        <v>238</v>
      </c>
      <c r="CI507" s="6" t="s">
        <v>257</v>
      </c>
      <c r="CJ507" s="5" t="s">
        <v>238</v>
      </c>
      <c r="CK507" s="5" t="s">
        <v>258</v>
      </c>
      <c r="CL507" s="5" t="s">
        <v>238</v>
      </c>
      <c r="CM507" s="5" t="s">
        <v>238</v>
      </c>
      <c r="CN507" s="5">
        <v>0</v>
      </c>
      <c r="CO507" s="5" t="s">
        <v>259</v>
      </c>
      <c r="CP507" s="5" t="s">
        <v>260</v>
      </c>
      <c r="CQ507" s="5" t="s">
        <v>260</v>
      </c>
      <c r="CR507" s="5" t="s">
        <v>261</v>
      </c>
      <c r="CU507" s="8">
        <f>8987</f>
        <v>8987</v>
      </c>
      <c r="CV507" s="8">
        <f>0</f>
        <v>0</v>
      </c>
      <c r="CX507" s="8">
        <f>0</f>
        <v>0</v>
      </c>
      <c r="CY507" s="8">
        <f>8987</f>
        <v>8987</v>
      </c>
      <c r="DA507" s="5" t="s">
        <v>533</v>
      </c>
      <c r="DB507" s="5" t="s">
        <v>238</v>
      </c>
      <c r="DD507" s="5" t="s">
        <v>356</v>
      </c>
      <c r="DE507" s="8">
        <f>0</f>
        <v>0</v>
      </c>
      <c r="DG507" s="5" t="s">
        <v>534</v>
      </c>
      <c r="DH507" s="5" t="s">
        <v>238</v>
      </c>
      <c r="DI507" s="5" t="s">
        <v>238</v>
      </c>
      <c r="DJ507" s="5" t="s">
        <v>238</v>
      </c>
      <c r="DN507" s="5" t="s">
        <v>238</v>
      </c>
      <c r="DO507" s="5" t="s">
        <v>238</v>
      </c>
      <c r="DP507" s="5" t="s">
        <v>238</v>
      </c>
      <c r="DQ507" s="5" t="s">
        <v>238</v>
      </c>
      <c r="DT507" s="5" t="s">
        <v>535</v>
      </c>
      <c r="DU507" s="5" t="s">
        <v>1245</v>
      </c>
      <c r="HM507" s="5" t="s">
        <v>264</v>
      </c>
    </row>
    <row r="508" spans="1:221" x14ac:dyDescent="0.4">
      <c r="A508" s="5">
        <v>1370</v>
      </c>
      <c r="B508" s="5">
        <v>1</v>
      </c>
      <c r="C508" s="5">
        <v>1</v>
      </c>
      <c r="D508" s="5" t="s">
        <v>484</v>
      </c>
      <c r="E508" s="5" t="s">
        <v>485</v>
      </c>
      <c r="F508" s="5" t="s">
        <v>248</v>
      </c>
      <c r="G508" s="5" t="s">
        <v>531</v>
      </c>
      <c r="H508" s="6" t="s">
        <v>2139</v>
      </c>
      <c r="I508" s="7">
        <f>571</f>
        <v>571</v>
      </c>
      <c r="J508" s="5" t="s">
        <v>262</v>
      </c>
      <c r="K508" s="8">
        <f>6281</f>
        <v>6281</v>
      </c>
      <c r="L508" s="6" t="s">
        <v>242</v>
      </c>
      <c r="M508" s="5" t="s">
        <v>267</v>
      </c>
      <c r="N508" s="5" t="s">
        <v>237</v>
      </c>
      <c r="O508" s="5" t="s">
        <v>238</v>
      </c>
      <c r="P508" s="5" t="s">
        <v>238</v>
      </c>
      <c r="Q508" s="5" t="s">
        <v>239</v>
      </c>
      <c r="R508" s="5" t="s">
        <v>240</v>
      </c>
      <c r="S508" s="5" t="s">
        <v>238</v>
      </c>
      <c r="V508" s="5" t="s">
        <v>238</v>
      </c>
      <c r="X508" s="6" t="s">
        <v>238</v>
      </c>
      <c r="AA508" s="6" t="s">
        <v>243</v>
      </c>
      <c r="AB508" s="5" t="s">
        <v>238</v>
      </c>
      <c r="AC508" s="5" t="s">
        <v>244</v>
      </c>
      <c r="AD508" s="5" t="s">
        <v>245</v>
      </c>
      <c r="AT508" s="5" t="s">
        <v>246</v>
      </c>
      <c r="AU508" s="5" t="s">
        <v>238</v>
      </c>
      <c r="AV508" s="5" t="s">
        <v>247</v>
      </c>
      <c r="AW508" s="5" t="s">
        <v>238</v>
      </c>
      <c r="AX508" s="5" t="s">
        <v>249</v>
      </c>
      <c r="AY508" s="5" t="s">
        <v>238</v>
      </c>
      <c r="BA508" s="5" t="s">
        <v>238</v>
      </c>
      <c r="BC508" s="5" t="s">
        <v>250</v>
      </c>
      <c r="BD508" s="6" t="s">
        <v>243</v>
      </c>
      <c r="BE508" s="5" t="s">
        <v>251</v>
      </c>
      <c r="BF508" s="5" t="s">
        <v>252</v>
      </c>
      <c r="BG508" s="5" t="s">
        <v>238</v>
      </c>
      <c r="BH508" s="7">
        <f>0</f>
        <v>0</v>
      </c>
      <c r="BI508" s="8">
        <f>0</f>
        <v>0</v>
      </c>
      <c r="BJ508" s="5" t="s">
        <v>253</v>
      </c>
      <c r="BK508" s="5" t="s">
        <v>254</v>
      </c>
      <c r="BY508" s="5" t="s">
        <v>238</v>
      </c>
      <c r="BZ508" s="5" t="s">
        <v>238</v>
      </c>
      <c r="CD508" s="5" t="s">
        <v>255</v>
      </c>
      <c r="CE508" s="5" t="s">
        <v>256</v>
      </c>
      <c r="CF508" s="5" t="s">
        <v>238</v>
      </c>
      <c r="CI508" s="6" t="s">
        <v>257</v>
      </c>
      <c r="CJ508" s="5" t="s">
        <v>238</v>
      </c>
      <c r="CK508" s="5" t="s">
        <v>258</v>
      </c>
      <c r="CL508" s="5" t="s">
        <v>238</v>
      </c>
      <c r="CM508" s="5" t="s">
        <v>238</v>
      </c>
      <c r="CN508" s="5">
        <v>0</v>
      </c>
      <c r="CO508" s="5" t="s">
        <v>259</v>
      </c>
      <c r="CP508" s="5" t="s">
        <v>260</v>
      </c>
      <c r="CQ508" s="5" t="s">
        <v>260</v>
      </c>
      <c r="CR508" s="5" t="s">
        <v>261</v>
      </c>
      <c r="CU508" s="8">
        <f>6281</f>
        <v>6281</v>
      </c>
      <c r="CV508" s="8">
        <f>0</f>
        <v>0</v>
      </c>
      <c r="CX508" s="8">
        <f>0</f>
        <v>0</v>
      </c>
      <c r="CY508" s="8">
        <f>6281</f>
        <v>6281</v>
      </c>
      <c r="DA508" s="5" t="s">
        <v>533</v>
      </c>
      <c r="DB508" s="5" t="s">
        <v>238</v>
      </c>
      <c r="DD508" s="5" t="s">
        <v>356</v>
      </c>
      <c r="DE508" s="8">
        <f>0</f>
        <v>0</v>
      </c>
      <c r="DG508" s="5" t="s">
        <v>534</v>
      </c>
      <c r="DH508" s="5" t="s">
        <v>238</v>
      </c>
      <c r="DI508" s="5" t="s">
        <v>238</v>
      </c>
      <c r="DJ508" s="5" t="s">
        <v>238</v>
      </c>
      <c r="DN508" s="5" t="s">
        <v>238</v>
      </c>
      <c r="DO508" s="5" t="s">
        <v>238</v>
      </c>
      <c r="DP508" s="5" t="s">
        <v>238</v>
      </c>
      <c r="DQ508" s="5" t="s">
        <v>238</v>
      </c>
      <c r="DT508" s="5" t="s">
        <v>535</v>
      </c>
      <c r="DU508" s="5" t="s">
        <v>1241</v>
      </c>
      <c r="HM508" s="5" t="s">
        <v>264</v>
      </c>
    </row>
    <row r="509" spans="1:221" x14ac:dyDescent="0.4">
      <c r="A509" s="5">
        <v>1371</v>
      </c>
      <c r="B509" s="5">
        <v>1</v>
      </c>
      <c r="C509" s="5">
        <v>1</v>
      </c>
      <c r="D509" s="5" t="s">
        <v>484</v>
      </c>
      <c r="E509" s="5" t="s">
        <v>485</v>
      </c>
      <c r="F509" s="5" t="s">
        <v>248</v>
      </c>
      <c r="G509" s="5" t="s">
        <v>531</v>
      </c>
      <c r="H509" s="6" t="s">
        <v>3893</v>
      </c>
      <c r="I509" s="7">
        <f>551</f>
        <v>551</v>
      </c>
      <c r="J509" s="5" t="s">
        <v>262</v>
      </c>
      <c r="K509" s="8">
        <f>6061</f>
        <v>6061</v>
      </c>
      <c r="L509" s="6" t="s">
        <v>242</v>
      </c>
      <c r="M509" s="5" t="s">
        <v>267</v>
      </c>
      <c r="N509" s="5" t="s">
        <v>237</v>
      </c>
      <c r="O509" s="5" t="s">
        <v>238</v>
      </c>
      <c r="P509" s="5" t="s">
        <v>238</v>
      </c>
      <c r="Q509" s="5" t="s">
        <v>239</v>
      </c>
      <c r="R509" s="5" t="s">
        <v>240</v>
      </c>
      <c r="S509" s="5" t="s">
        <v>238</v>
      </c>
      <c r="V509" s="5" t="s">
        <v>238</v>
      </c>
      <c r="X509" s="6" t="s">
        <v>238</v>
      </c>
      <c r="AA509" s="6" t="s">
        <v>243</v>
      </c>
      <c r="AB509" s="5" t="s">
        <v>238</v>
      </c>
      <c r="AC509" s="5" t="s">
        <v>244</v>
      </c>
      <c r="AD509" s="5" t="s">
        <v>245</v>
      </c>
      <c r="AT509" s="5" t="s">
        <v>246</v>
      </c>
      <c r="AU509" s="5" t="s">
        <v>238</v>
      </c>
      <c r="AV509" s="5" t="s">
        <v>247</v>
      </c>
      <c r="AW509" s="5" t="s">
        <v>238</v>
      </c>
      <c r="AX509" s="5" t="s">
        <v>249</v>
      </c>
      <c r="AY509" s="5" t="s">
        <v>238</v>
      </c>
      <c r="BA509" s="5" t="s">
        <v>238</v>
      </c>
      <c r="BC509" s="5" t="s">
        <v>250</v>
      </c>
      <c r="BD509" s="6" t="s">
        <v>243</v>
      </c>
      <c r="BE509" s="5" t="s">
        <v>251</v>
      </c>
      <c r="BF509" s="5" t="s">
        <v>252</v>
      </c>
      <c r="BG509" s="5" t="s">
        <v>238</v>
      </c>
      <c r="BH509" s="7">
        <f>0</f>
        <v>0</v>
      </c>
      <c r="BI509" s="8">
        <f>0</f>
        <v>0</v>
      </c>
      <c r="BJ509" s="5" t="s">
        <v>253</v>
      </c>
      <c r="BK509" s="5" t="s">
        <v>254</v>
      </c>
      <c r="BY509" s="5" t="s">
        <v>238</v>
      </c>
      <c r="BZ509" s="5" t="s">
        <v>238</v>
      </c>
      <c r="CD509" s="5" t="s">
        <v>255</v>
      </c>
      <c r="CE509" s="5" t="s">
        <v>256</v>
      </c>
      <c r="CF509" s="5" t="s">
        <v>238</v>
      </c>
      <c r="CI509" s="6" t="s">
        <v>257</v>
      </c>
      <c r="CJ509" s="5" t="s">
        <v>238</v>
      </c>
      <c r="CK509" s="5" t="s">
        <v>258</v>
      </c>
      <c r="CL509" s="5" t="s">
        <v>238</v>
      </c>
      <c r="CM509" s="5" t="s">
        <v>238</v>
      </c>
      <c r="CN509" s="5">
        <v>0</v>
      </c>
      <c r="CO509" s="5" t="s">
        <v>259</v>
      </c>
      <c r="CP509" s="5" t="s">
        <v>260</v>
      </c>
      <c r="CQ509" s="5" t="s">
        <v>260</v>
      </c>
      <c r="CR509" s="5" t="s">
        <v>261</v>
      </c>
      <c r="CU509" s="8">
        <f>6061</f>
        <v>6061</v>
      </c>
      <c r="CV509" s="8">
        <f>0</f>
        <v>0</v>
      </c>
      <c r="CX509" s="8">
        <f>0</f>
        <v>0</v>
      </c>
      <c r="CY509" s="8">
        <f>6061</f>
        <v>6061</v>
      </c>
      <c r="DA509" s="5" t="s">
        <v>533</v>
      </c>
      <c r="DB509" s="5" t="s">
        <v>238</v>
      </c>
      <c r="DD509" s="5" t="s">
        <v>356</v>
      </c>
      <c r="DE509" s="8">
        <f>0</f>
        <v>0</v>
      </c>
      <c r="DG509" s="5" t="s">
        <v>534</v>
      </c>
      <c r="DH509" s="5" t="s">
        <v>238</v>
      </c>
      <c r="DI509" s="5" t="s">
        <v>238</v>
      </c>
      <c r="DJ509" s="5" t="s">
        <v>238</v>
      </c>
      <c r="DN509" s="5" t="s">
        <v>238</v>
      </c>
      <c r="DO509" s="5" t="s">
        <v>238</v>
      </c>
      <c r="DP509" s="5" t="s">
        <v>238</v>
      </c>
      <c r="DQ509" s="5" t="s">
        <v>238</v>
      </c>
      <c r="DT509" s="5" t="s">
        <v>535</v>
      </c>
      <c r="DU509" s="5" t="s">
        <v>1239</v>
      </c>
      <c r="HM509" s="5" t="s">
        <v>264</v>
      </c>
    </row>
    <row r="510" spans="1:221" x14ac:dyDescent="0.4">
      <c r="A510" s="5">
        <v>1372</v>
      </c>
      <c r="B510" s="5">
        <v>1</v>
      </c>
      <c r="C510" s="5">
        <v>1</v>
      </c>
      <c r="D510" s="5" t="s">
        <v>484</v>
      </c>
      <c r="E510" s="5" t="s">
        <v>485</v>
      </c>
      <c r="F510" s="5" t="s">
        <v>248</v>
      </c>
      <c r="G510" s="5" t="s">
        <v>531</v>
      </c>
      <c r="H510" s="6" t="s">
        <v>3883</v>
      </c>
      <c r="I510" s="7">
        <f>2651</f>
        <v>2651</v>
      </c>
      <c r="J510" s="5" t="s">
        <v>262</v>
      </c>
      <c r="K510" s="8">
        <f>29161</f>
        <v>29161</v>
      </c>
      <c r="L510" s="6" t="s">
        <v>242</v>
      </c>
      <c r="M510" s="5" t="s">
        <v>267</v>
      </c>
      <c r="N510" s="5" t="s">
        <v>237</v>
      </c>
      <c r="O510" s="5" t="s">
        <v>238</v>
      </c>
      <c r="P510" s="5" t="s">
        <v>238</v>
      </c>
      <c r="Q510" s="5" t="s">
        <v>239</v>
      </c>
      <c r="R510" s="5" t="s">
        <v>240</v>
      </c>
      <c r="S510" s="5" t="s">
        <v>238</v>
      </c>
      <c r="V510" s="5" t="s">
        <v>238</v>
      </c>
      <c r="X510" s="6" t="s">
        <v>238</v>
      </c>
      <c r="AA510" s="6" t="s">
        <v>243</v>
      </c>
      <c r="AB510" s="5" t="s">
        <v>238</v>
      </c>
      <c r="AC510" s="5" t="s">
        <v>244</v>
      </c>
      <c r="AD510" s="5" t="s">
        <v>245</v>
      </c>
      <c r="AT510" s="5" t="s">
        <v>246</v>
      </c>
      <c r="AU510" s="5" t="s">
        <v>238</v>
      </c>
      <c r="AV510" s="5" t="s">
        <v>247</v>
      </c>
      <c r="AW510" s="5" t="s">
        <v>238</v>
      </c>
      <c r="AX510" s="5" t="s">
        <v>249</v>
      </c>
      <c r="AY510" s="5" t="s">
        <v>238</v>
      </c>
      <c r="BA510" s="5" t="s">
        <v>238</v>
      </c>
      <c r="BC510" s="5" t="s">
        <v>250</v>
      </c>
      <c r="BD510" s="6" t="s">
        <v>243</v>
      </c>
      <c r="BE510" s="5" t="s">
        <v>251</v>
      </c>
      <c r="BF510" s="5" t="s">
        <v>252</v>
      </c>
      <c r="BG510" s="5" t="s">
        <v>238</v>
      </c>
      <c r="BH510" s="7">
        <f>0</f>
        <v>0</v>
      </c>
      <c r="BI510" s="8">
        <f>0</f>
        <v>0</v>
      </c>
      <c r="BJ510" s="5" t="s">
        <v>253</v>
      </c>
      <c r="BK510" s="5" t="s">
        <v>254</v>
      </c>
      <c r="BY510" s="5" t="s">
        <v>238</v>
      </c>
      <c r="BZ510" s="5" t="s">
        <v>238</v>
      </c>
      <c r="CD510" s="5" t="s">
        <v>255</v>
      </c>
      <c r="CE510" s="5" t="s">
        <v>256</v>
      </c>
      <c r="CF510" s="5" t="s">
        <v>238</v>
      </c>
      <c r="CI510" s="6" t="s">
        <v>257</v>
      </c>
      <c r="CJ510" s="5" t="s">
        <v>238</v>
      </c>
      <c r="CK510" s="5" t="s">
        <v>258</v>
      </c>
      <c r="CL510" s="5" t="s">
        <v>238</v>
      </c>
      <c r="CM510" s="5" t="s">
        <v>238</v>
      </c>
      <c r="CN510" s="5">
        <v>0</v>
      </c>
      <c r="CO510" s="5" t="s">
        <v>259</v>
      </c>
      <c r="CP510" s="5" t="s">
        <v>260</v>
      </c>
      <c r="CQ510" s="5" t="s">
        <v>260</v>
      </c>
      <c r="CR510" s="5" t="s">
        <v>261</v>
      </c>
      <c r="CU510" s="8">
        <f>29161</f>
        <v>29161</v>
      </c>
      <c r="CV510" s="8">
        <f>0</f>
        <v>0</v>
      </c>
      <c r="CX510" s="8">
        <f>0</f>
        <v>0</v>
      </c>
      <c r="CY510" s="8">
        <f>29161</f>
        <v>29161</v>
      </c>
      <c r="DA510" s="5" t="s">
        <v>533</v>
      </c>
      <c r="DB510" s="5" t="s">
        <v>238</v>
      </c>
      <c r="DD510" s="5" t="s">
        <v>356</v>
      </c>
      <c r="DE510" s="8">
        <f>0</f>
        <v>0</v>
      </c>
      <c r="DG510" s="5" t="s">
        <v>534</v>
      </c>
      <c r="DH510" s="5" t="s">
        <v>238</v>
      </c>
      <c r="DI510" s="5" t="s">
        <v>238</v>
      </c>
      <c r="DJ510" s="5" t="s">
        <v>238</v>
      </c>
      <c r="DN510" s="5" t="s">
        <v>238</v>
      </c>
      <c r="DO510" s="5" t="s">
        <v>238</v>
      </c>
      <c r="DP510" s="5" t="s">
        <v>238</v>
      </c>
      <c r="DQ510" s="5" t="s">
        <v>238</v>
      </c>
      <c r="DT510" s="5" t="s">
        <v>535</v>
      </c>
      <c r="DU510" s="5" t="s">
        <v>1232</v>
      </c>
      <c r="HM510" s="5" t="s">
        <v>264</v>
      </c>
    </row>
    <row r="511" spans="1:221" x14ac:dyDescent="0.4">
      <c r="A511" s="5">
        <v>1373</v>
      </c>
      <c r="B511" s="5">
        <v>1</v>
      </c>
      <c r="C511" s="5">
        <v>1</v>
      </c>
      <c r="D511" s="5" t="s">
        <v>484</v>
      </c>
      <c r="E511" s="5" t="s">
        <v>485</v>
      </c>
      <c r="F511" s="5" t="s">
        <v>248</v>
      </c>
      <c r="G511" s="5" t="s">
        <v>531</v>
      </c>
      <c r="H511" s="6" t="s">
        <v>2255</v>
      </c>
      <c r="I511" s="7">
        <f>10927</f>
        <v>10927</v>
      </c>
      <c r="J511" s="5" t="s">
        <v>262</v>
      </c>
      <c r="K511" s="8">
        <f>120197</f>
        <v>120197</v>
      </c>
      <c r="L511" s="6" t="s">
        <v>242</v>
      </c>
      <c r="M511" s="5" t="s">
        <v>267</v>
      </c>
      <c r="N511" s="5" t="s">
        <v>237</v>
      </c>
      <c r="O511" s="5" t="s">
        <v>238</v>
      </c>
      <c r="P511" s="5" t="s">
        <v>238</v>
      </c>
      <c r="Q511" s="5" t="s">
        <v>239</v>
      </c>
      <c r="R511" s="5" t="s">
        <v>240</v>
      </c>
      <c r="S511" s="5" t="s">
        <v>238</v>
      </c>
      <c r="V511" s="5" t="s">
        <v>238</v>
      </c>
      <c r="X511" s="6" t="s">
        <v>238</v>
      </c>
      <c r="AA511" s="6" t="s">
        <v>243</v>
      </c>
      <c r="AB511" s="5" t="s">
        <v>238</v>
      </c>
      <c r="AC511" s="5" t="s">
        <v>244</v>
      </c>
      <c r="AD511" s="5" t="s">
        <v>245</v>
      </c>
      <c r="AT511" s="5" t="s">
        <v>246</v>
      </c>
      <c r="AU511" s="5" t="s">
        <v>238</v>
      </c>
      <c r="AV511" s="5" t="s">
        <v>247</v>
      </c>
      <c r="AW511" s="5" t="s">
        <v>238</v>
      </c>
      <c r="AX511" s="5" t="s">
        <v>249</v>
      </c>
      <c r="AY511" s="5" t="s">
        <v>238</v>
      </c>
      <c r="BA511" s="5" t="s">
        <v>238</v>
      </c>
      <c r="BC511" s="5" t="s">
        <v>250</v>
      </c>
      <c r="BD511" s="6" t="s">
        <v>243</v>
      </c>
      <c r="BE511" s="5" t="s">
        <v>251</v>
      </c>
      <c r="BF511" s="5" t="s">
        <v>252</v>
      </c>
      <c r="BG511" s="5" t="s">
        <v>238</v>
      </c>
      <c r="BH511" s="7">
        <f>0</f>
        <v>0</v>
      </c>
      <c r="BI511" s="8">
        <f>0</f>
        <v>0</v>
      </c>
      <c r="BJ511" s="5" t="s">
        <v>253</v>
      </c>
      <c r="BK511" s="5" t="s">
        <v>254</v>
      </c>
      <c r="BY511" s="5" t="s">
        <v>238</v>
      </c>
      <c r="BZ511" s="5" t="s">
        <v>238</v>
      </c>
      <c r="CD511" s="5" t="s">
        <v>255</v>
      </c>
      <c r="CE511" s="5" t="s">
        <v>256</v>
      </c>
      <c r="CF511" s="5" t="s">
        <v>238</v>
      </c>
      <c r="CI511" s="6" t="s">
        <v>257</v>
      </c>
      <c r="CJ511" s="5" t="s">
        <v>238</v>
      </c>
      <c r="CK511" s="5" t="s">
        <v>258</v>
      </c>
      <c r="CL511" s="5" t="s">
        <v>238</v>
      </c>
      <c r="CM511" s="5" t="s">
        <v>238</v>
      </c>
      <c r="CN511" s="5">
        <v>0</v>
      </c>
      <c r="CO511" s="5" t="s">
        <v>259</v>
      </c>
      <c r="CP511" s="5" t="s">
        <v>260</v>
      </c>
      <c r="CQ511" s="5" t="s">
        <v>260</v>
      </c>
      <c r="CR511" s="5" t="s">
        <v>261</v>
      </c>
      <c r="CU511" s="8">
        <f>120197</f>
        <v>120197</v>
      </c>
      <c r="CV511" s="8">
        <f>0</f>
        <v>0</v>
      </c>
      <c r="CX511" s="8">
        <f>0</f>
        <v>0</v>
      </c>
      <c r="CY511" s="8">
        <f>120197</f>
        <v>120197</v>
      </c>
      <c r="DA511" s="5" t="s">
        <v>533</v>
      </c>
      <c r="DB511" s="5" t="s">
        <v>238</v>
      </c>
      <c r="DD511" s="5" t="s">
        <v>356</v>
      </c>
      <c r="DE511" s="8">
        <f>0</f>
        <v>0</v>
      </c>
      <c r="DG511" s="5" t="s">
        <v>534</v>
      </c>
      <c r="DH511" s="5" t="s">
        <v>238</v>
      </c>
      <c r="DI511" s="5" t="s">
        <v>238</v>
      </c>
      <c r="DJ511" s="5" t="s">
        <v>238</v>
      </c>
      <c r="DN511" s="5" t="s">
        <v>238</v>
      </c>
      <c r="DO511" s="5" t="s">
        <v>238</v>
      </c>
      <c r="DP511" s="5" t="s">
        <v>238</v>
      </c>
      <c r="DQ511" s="5" t="s">
        <v>238</v>
      </c>
      <c r="DT511" s="5" t="s">
        <v>535</v>
      </c>
      <c r="DU511" s="5" t="s">
        <v>1228</v>
      </c>
      <c r="HM511" s="5" t="s">
        <v>264</v>
      </c>
    </row>
    <row r="512" spans="1:221" x14ac:dyDescent="0.4">
      <c r="A512" s="5">
        <v>1374</v>
      </c>
      <c r="B512" s="5">
        <v>1</v>
      </c>
      <c r="C512" s="5">
        <v>1</v>
      </c>
      <c r="D512" s="5" t="s">
        <v>484</v>
      </c>
      <c r="E512" s="5" t="s">
        <v>485</v>
      </c>
      <c r="F512" s="5" t="s">
        <v>248</v>
      </c>
      <c r="G512" s="5" t="s">
        <v>531</v>
      </c>
      <c r="H512" s="6" t="s">
        <v>2235</v>
      </c>
      <c r="I512" s="7">
        <f>2348</f>
        <v>2348</v>
      </c>
      <c r="J512" s="5" t="s">
        <v>262</v>
      </c>
      <c r="K512" s="8">
        <f>25828</f>
        <v>25828</v>
      </c>
      <c r="L512" s="6" t="s">
        <v>242</v>
      </c>
      <c r="M512" s="5" t="s">
        <v>267</v>
      </c>
      <c r="N512" s="5" t="s">
        <v>237</v>
      </c>
      <c r="O512" s="5" t="s">
        <v>238</v>
      </c>
      <c r="P512" s="5" t="s">
        <v>238</v>
      </c>
      <c r="Q512" s="5" t="s">
        <v>239</v>
      </c>
      <c r="R512" s="5" t="s">
        <v>240</v>
      </c>
      <c r="S512" s="5" t="s">
        <v>238</v>
      </c>
      <c r="V512" s="5" t="s">
        <v>238</v>
      </c>
      <c r="X512" s="6" t="s">
        <v>238</v>
      </c>
      <c r="AA512" s="6" t="s">
        <v>243</v>
      </c>
      <c r="AB512" s="5" t="s">
        <v>238</v>
      </c>
      <c r="AC512" s="5" t="s">
        <v>244</v>
      </c>
      <c r="AD512" s="5" t="s">
        <v>245</v>
      </c>
      <c r="AT512" s="5" t="s">
        <v>246</v>
      </c>
      <c r="AU512" s="5" t="s">
        <v>238</v>
      </c>
      <c r="AV512" s="5" t="s">
        <v>247</v>
      </c>
      <c r="AW512" s="5" t="s">
        <v>238</v>
      </c>
      <c r="AX512" s="5" t="s">
        <v>249</v>
      </c>
      <c r="AY512" s="5" t="s">
        <v>238</v>
      </c>
      <c r="BA512" s="5" t="s">
        <v>238</v>
      </c>
      <c r="BC512" s="5" t="s">
        <v>250</v>
      </c>
      <c r="BD512" s="6" t="s">
        <v>243</v>
      </c>
      <c r="BE512" s="5" t="s">
        <v>251</v>
      </c>
      <c r="BF512" s="5" t="s">
        <v>252</v>
      </c>
      <c r="BG512" s="5" t="s">
        <v>238</v>
      </c>
      <c r="BH512" s="7">
        <f>0</f>
        <v>0</v>
      </c>
      <c r="BI512" s="8">
        <f>0</f>
        <v>0</v>
      </c>
      <c r="BJ512" s="5" t="s">
        <v>253</v>
      </c>
      <c r="BK512" s="5" t="s">
        <v>254</v>
      </c>
      <c r="BY512" s="5" t="s">
        <v>238</v>
      </c>
      <c r="BZ512" s="5" t="s">
        <v>238</v>
      </c>
      <c r="CD512" s="5" t="s">
        <v>255</v>
      </c>
      <c r="CE512" s="5" t="s">
        <v>256</v>
      </c>
      <c r="CF512" s="5" t="s">
        <v>238</v>
      </c>
      <c r="CI512" s="6" t="s">
        <v>257</v>
      </c>
      <c r="CJ512" s="5" t="s">
        <v>238</v>
      </c>
      <c r="CK512" s="5" t="s">
        <v>258</v>
      </c>
      <c r="CL512" s="5" t="s">
        <v>238</v>
      </c>
      <c r="CM512" s="5" t="s">
        <v>238</v>
      </c>
      <c r="CN512" s="5">
        <v>0</v>
      </c>
      <c r="CO512" s="5" t="s">
        <v>259</v>
      </c>
      <c r="CP512" s="5" t="s">
        <v>260</v>
      </c>
      <c r="CQ512" s="5" t="s">
        <v>260</v>
      </c>
      <c r="CR512" s="5" t="s">
        <v>261</v>
      </c>
      <c r="CU512" s="8">
        <f>25828</f>
        <v>25828</v>
      </c>
      <c r="CV512" s="8">
        <f>0</f>
        <v>0</v>
      </c>
      <c r="CX512" s="8">
        <f>0</f>
        <v>0</v>
      </c>
      <c r="CY512" s="8">
        <f>25828</f>
        <v>25828</v>
      </c>
      <c r="DA512" s="5" t="s">
        <v>533</v>
      </c>
      <c r="DB512" s="5" t="s">
        <v>238</v>
      </c>
      <c r="DD512" s="5" t="s">
        <v>356</v>
      </c>
      <c r="DE512" s="8">
        <f>0</f>
        <v>0</v>
      </c>
      <c r="DG512" s="5" t="s">
        <v>534</v>
      </c>
      <c r="DH512" s="5" t="s">
        <v>238</v>
      </c>
      <c r="DI512" s="5" t="s">
        <v>238</v>
      </c>
      <c r="DJ512" s="5" t="s">
        <v>238</v>
      </c>
      <c r="DN512" s="5" t="s">
        <v>238</v>
      </c>
      <c r="DO512" s="5" t="s">
        <v>238</v>
      </c>
      <c r="DP512" s="5" t="s">
        <v>238</v>
      </c>
      <c r="DQ512" s="5" t="s">
        <v>238</v>
      </c>
      <c r="DT512" s="5" t="s">
        <v>535</v>
      </c>
      <c r="DU512" s="5" t="s">
        <v>1226</v>
      </c>
      <c r="HM512" s="5" t="s">
        <v>264</v>
      </c>
    </row>
    <row r="513" spans="1:221" x14ac:dyDescent="0.4">
      <c r="A513" s="5">
        <v>1375</v>
      </c>
      <c r="B513" s="5">
        <v>1</v>
      </c>
      <c r="C513" s="5">
        <v>1</v>
      </c>
      <c r="D513" s="5" t="s">
        <v>484</v>
      </c>
      <c r="E513" s="5" t="s">
        <v>485</v>
      </c>
      <c r="F513" s="5" t="s">
        <v>248</v>
      </c>
      <c r="G513" s="5" t="s">
        <v>531</v>
      </c>
      <c r="H513" s="6" t="s">
        <v>2224</v>
      </c>
      <c r="I513" s="7">
        <f>842</f>
        <v>842</v>
      </c>
      <c r="J513" s="5" t="s">
        <v>262</v>
      </c>
      <c r="K513" s="8">
        <f>9262</f>
        <v>9262</v>
      </c>
      <c r="L513" s="6" t="s">
        <v>242</v>
      </c>
      <c r="M513" s="5" t="s">
        <v>267</v>
      </c>
      <c r="N513" s="5" t="s">
        <v>237</v>
      </c>
      <c r="O513" s="5" t="s">
        <v>238</v>
      </c>
      <c r="P513" s="5" t="s">
        <v>238</v>
      </c>
      <c r="Q513" s="5" t="s">
        <v>239</v>
      </c>
      <c r="R513" s="5" t="s">
        <v>240</v>
      </c>
      <c r="S513" s="5" t="s">
        <v>238</v>
      </c>
      <c r="V513" s="5" t="s">
        <v>238</v>
      </c>
      <c r="X513" s="6" t="s">
        <v>238</v>
      </c>
      <c r="AA513" s="6" t="s">
        <v>243</v>
      </c>
      <c r="AB513" s="5" t="s">
        <v>238</v>
      </c>
      <c r="AC513" s="5" t="s">
        <v>244</v>
      </c>
      <c r="AD513" s="5" t="s">
        <v>245</v>
      </c>
      <c r="AT513" s="5" t="s">
        <v>246</v>
      </c>
      <c r="AU513" s="5" t="s">
        <v>238</v>
      </c>
      <c r="AV513" s="5" t="s">
        <v>247</v>
      </c>
      <c r="AW513" s="5" t="s">
        <v>238</v>
      </c>
      <c r="AX513" s="5" t="s">
        <v>249</v>
      </c>
      <c r="AY513" s="5" t="s">
        <v>238</v>
      </c>
      <c r="BA513" s="5" t="s">
        <v>238</v>
      </c>
      <c r="BC513" s="5" t="s">
        <v>250</v>
      </c>
      <c r="BD513" s="6" t="s">
        <v>243</v>
      </c>
      <c r="BE513" s="5" t="s">
        <v>251</v>
      </c>
      <c r="BF513" s="5" t="s">
        <v>252</v>
      </c>
      <c r="BG513" s="5" t="s">
        <v>238</v>
      </c>
      <c r="BH513" s="7">
        <f>0</f>
        <v>0</v>
      </c>
      <c r="BI513" s="8">
        <f>0</f>
        <v>0</v>
      </c>
      <c r="BJ513" s="5" t="s">
        <v>253</v>
      </c>
      <c r="BK513" s="5" t="s">
        <v>254</v>
      </c>
      <c r="BY513" s="5" t="s">
        <v>238</v>
      </c>
      <c r="BZ513" s="5" t="s">
        <v>238</v>
      </c>
      <c r="CD513" s="5" t="s">
        <v>255</v>
      </c>
      <c r="CE513" s="5" t="s">
        <v>256</v>
      </c>
      <c r="CF513" s="5" t="s">
        <v>238</v>
      </c>
      <c r="CI513" s="6" t="s">
        <v>257</v>
      </c>
      <c r="CJ513" s="5" t="s">
        <v>238</v>
      </c>
      <c r="CK513" s="5" t="s">
        <v>258</v>
      </c>
      <c r="CL513" s="5" t="s">
        <v>238</v>
      </c>
      <c r="CM513" s="5" t="s">
        <v>238</v>
      </c>
      <c r="CN513" s="5">
        <v>0</v>
      </c>
      <c r="CO513" s="5" t="s">
        <v>259</v>
      </c>
      <c r="CP513" s="5" t="s">
        <v>260</v>
      </c>
      <c r="CQ513" s="5" t="s">
        <v>260</v>
      </c>
      <c r="CR513" s="5" t="s">
        <v>261</v>
      </c>
      <c r="CU513" s="8">
        <f>9262</f>
        <v>9262</v>
      </c>
      <c r="CV513" s="8">
        <f>0</f>
        <v>0</v>
      </c>
      <c r="CX513" s="8">
        <f>0</f>
        <v>0</v>
      </c>
      <c r="CY513" s="8">
        <f>9262</f>
        <v>9262</v>
      </c>
      <c r="DA513" s="5" t="s">
        <v>533</v>
      </c>
      <c r="DB513" s="5" t="s">
        <v>238</v>
      </c>
      <c r="DD513" s="5" t="s">
        <v>356</v>
      </c>
      <c r="DE513" s="8">
        <f>0</f>
        <v>0</v>
      </c>
      <c r="DG513" s="5" t="s">
        <v>534</v>
      </c>
      <c r="DH513" s="5" t="s">
        <v>238</v>
      </c>
      <c r="DI513" s="5" t="s">
        <v>238</v>
      </c>
      <c r="DJ513" s="5" t="s">
        <v>238</v>
      </c>
      <c r="DN513" s="5" t="s">
        <v>238</v>
      </c>
      <c r="DO513" s="5" t="s">
        <v>238</v>
      </c>
      <c r="DP513" s="5" t="s">
        <v>238</v>
      </c>
      <c r="DQ513" s="5" t="s">
        <v>238</v>
      </c>
      <c r="DT513" s="5" t="s">
        <v>535</v>
      </c>
      <c r="DU513" s="5" t="s">
        <v>1222</v>
      </c>
      <c r="HM513" s="5" t="s">
        <v>264</v>
      </c>
    </row>
    <row r="514" spans="1:221" x14ac:dyDescent="0.4">
      <c r="A514" s="5">
        <v>1376</v>
      </c>
      <c r="B514" s="5">
        <v>1</v>
      </c>
      <c r="C514" s="5">
        <v>1</v>
      </c>
      <c r="D514" s="5" t="s">
        <v>484</v>
      </c>
      <c r="E514" s="5" t="s">
        <v>485</v>
      </c>
      <c r="F514" s="5" t="s">
        <v>248</v>
      </c>
      <c r="G514" s="5" t="s">
        <v>531</v>
      </c>
      <c r="H514" s="6" t="s">
        <v>2170</v>
      </c>
      <c r="I514" s="7">
        <f>1463</f>
        <v>1463</v>
      </c>
      <c r="J514" s="5" t="s">
        <v>262</v>
      </c>
      <c r="K514" s="8">
        <f>16093</f>
        <v>16093</v>
      </c>
      <c r="L514" s="6" t="s">
        <v>242</v>
      </c>
      <c r="M514" s="5" t="s">
        <v>267</v>
      </c>
      <c r="N514" s="5" t="s">
        <v>237</v>
      </c>
      <c r="O514" s="5" t="s">
        <v>238</v>
      </c>
      <c r="P514" s="5" t="s">
        <v>238</v>
      </c>
      <c r="Q514" s="5" t="s">
        <v>239</v>
      </c>
      <c r="R514" s="5" t="s">
        <v>240</v>
      </c>
      <c r="S514" s="5" t="s">
        <v>238</v>
      </c>
      <c r="V514" s="5" t="s">
        <v>238</v>
      </c>
      <c r="X514" s="6" t="s">
        <v>238</v>
      </c>
      <c r="AA514" s="6" t="s">
        <v>243</v>
      </c>
      <c r="AB514" s="5" t="s">
        <v>238</v>
      </c>
      <c r="AC514" s="5" t="s">
        <v>244</v>
      </c>
      <c r="AD514" s="5" t="s">
        <v>245</v>
      </c>
      <c r="AT514" s="5" t="s">
        <v>246</v>
      </c>
      <c r="AU514" s="5" t="s">
        <v>238</v>
      </c>
      <c r="AV514" s="5" t="s">
        <v>247</v>
      </c>
      <c r="AW514" s="5" t="s">
        <v>238</v>
      </c>
      <c r="AX514" s="5" t="s">
        <v>249</v>
      </c>
      <c r="AY514" s="5" t="s">
        <v>238</v>
      </c>
      <c r="BA514" s="5" t="s">
        <v>238</v>
      </c>
      <c r="BC514" s="5" t="s">
        <v>250</v>
      </c>
      <c r="BD514" s="6" t="s">
        <v>243</v>
      </c>
      <c r="BE514" s="5" t="s">
        <v>251</v>
      </c>
      <c r="BF514" s="5" t="s">
        <v>252</v>
      </c>
      <c r="BG514" s="5" t="s">
        <v>238</v>
      </c>
      <c r="BH514" s="7">
        <f>0</f>
        <v>0</v>
      </c>
      <c r="BI514" s="8">
        <f>0</f>
        <v>0</v>
      </c>
      <c r="BJ514" s="5" t="s">
        <v>253</v>
      </c>
      <c r="BK514" s="5" t="s">
        <v>254</v>
      </c>
      <c r="BY514" s="5" t="s">
        <v>238</v>
      </c>
      <c r="BZ514" s="5" t="s">
        <v>238</v>
      </c>
      <c r="CD514" s="5" t="s">
        <v>255</v>
      </c>
      <c r="CE514" s="5" t="s">
        <v>256</v>
      </c>
      <c r="CF514" s="5" t="s">
        <v>238</v>
      </c>
      <c r="CI514" s="6" t="s">
        <v>257</v>
      </c>
      <c r="CJ514" s="5" t="s">
        <v>238</v>
      </c>
      <c r="CK514" s="5" t="s">
        <v>258</v>
      </c>
      <c r="CL514" s="5" t="s">
        <v>238</v>
      </c>
      <c r="CM514" s="5" t="s">
        <v>238</v>
      </c>
      <c r="CN514" s="5">
        <v>0</v>
      </c>
      <c r="CO514" s="5" t="s">
        <v>259</v>
      </c>
      <c r="CP514" s="5" t="s">
        <v>260</v>
      </c>
      <c r="CQ514" s="5" t="s">
        <v>260</v>
      </c>
      <c r="CR514" s="5" t="s">
        <v>261</v>
      </c>
      <c r="CU514" s="8">
        <f>16093</f>
        <v>16093</v>
      </c>
      <c r="CV514" s="8">
        <f>0</f>
        <v>0</v>
      </c>
      <c r="CX514" s="8">
        <f>0</f>
        <v>0</v>
      </c>
      <c r="CY514" s="8">
        <f>16093</f>
        <v>16093</v>
      </c>
      <c r="DA514" s="5" t="s">
        <v>533</v>
      </c>
      <c r="DB514" s="5" t="s">
        <v>238</v>
      </c>
      <c r="DD514" s="5" t="s">
        <v>356</v>
      </c>
      <c r="DE514" s="8">
        <f>0</f>
        <v>0</v>
      </c>
      <c r="DG514" s="5" t="s">
        <v>534</v>
      </c>
      <c r="DH514" s="5" t="s">
        <v>238</v>
      </c>
      <c r="DI514" s="5" t="s">
        <v>238</v>
      </c>
      <c r="DJ514" s="5" t="s">
        <v>238</v>
      </c>
      <c r="DN514" s="5" t="s">
        <v>238</v>
      </c>
      <c r="DO514" s="5" t="s">
        <v>238</v>
      </c>
      <c r="DP514" s="5" t="s">
        <v>238</v>
      </c>
      <c r="DQ514" s="5" t="s">
        <v>238</v>
      </c>
      <c r="DT514" s="5" t="s">
        <v>535</v>
      </c>
      <c r="DU514" s="5" t="s">
        <v>1217</v>
      </c>
      <c r="HM514" s="5" t="s">
        <v>264</v>
      </c>
    </row>
    <row r="515" spans="1:221" x14ac:dyDescent="0.4">
      <c r="A515" s="5">
        <v>1377</v>
      </c>
      <c r="B515" s="5">
        <v>1</v>
      </c>
      <c r="C515" s="5">
        <v>1</v>
      </c>
      <c r="D515" s="5" t="s">
        <v>484</v>
      </c>
      <c r="E515" s="5" t="s">
        <v>485</v>
      </c>
      <c r="F515" s="5" t="s">
        <v>248</v>
      </c>
      <c r="G515" s="5" t="s">
        <v>531</v>
      </c>
      <c r="H515" s="6" t="s">
        <v>2146</v>
      </c>
      <c r="I515" s="7">
        <f>377</f>
        <v>377</v>
      </c>
      <c r="J515" s="5" t="s">
        <v>262</v>
      </c>
      <c r="K515" s="8">
        <f>4147</f>
        <v>4147</v>
      </c>
      <c r="L515" s="6" t="s">
        <v>242</v>
      </c>
      <c r="M515" s="5" t="s">
        <v>267</v>
      </c>
      <c r="N515" s="5" t="s">
        <v>237</v>
      </c>
      <c r="O515" s="5" t="s">
        <v>238</v>
      </c>
      <c r="P515" s="5" t="s">
        <v>238</v>
      </c>
      <c r="Q515" s="5" t="s">
        <v>239</v>
      </c>
      <c r="R515" s="5" t="s">
        <v>240</v>
      </c>
      <c r="S515" s="5" t="s">
        <v>238</v>
      </c>
      <c r="V515" s="5" t="s">
        <v>238</v>
      </c>
      <c r="X515" s="6" t="s">
        <v>238</v>
      </c>
      <c r="AA515" s="6" t="s">
        <v>243</v>
      </c>
      <c r="AB515" s="5" t="s">
        <v>238</v>
      </c>
      <c r="AC515" s="5" t="s">
        <v>244</v>
      </c>
      <c r="AD515" s="5" t="s">
        <v>245</v>
      </c>
      <c r="AT515" s="5" t="s">
        <v>246</v>
      </c>
      <c r="AU515" s="5" t="s">
        <v>238</v>
      </c>
      <c r="AV515" s="5" t="s">
        <v>247</v>
      </c>
      <c r="AW515" s="5" t="s">
        <v>238</v>
      </c>
      <c r="AX515" s="5" t="s">
        <v>249</v>
      </c>
      <c r="AY515" s="5" t="s">
        <v>238</v>
      </c>
      <c r="BA515" s="5" t="s">
        <v>238</v>
      </c>
      <c r="BC515" s="5" t="s">
        <v>250</v>
      </c>
      <c r="BD515" s="6" t="s">
        <v>243</v>
      </c>
      <c r="BE515" s="5" t="s">
        <v>251</v>
      </c>
      <c r="BF515" s="5" t="s">
        <v>252</v>
      </c>
      <c r="BG515" s="5" t="s">
        <v>238</v>
      </c>
      <c r="BH515" s="7">
        <f>0</f>
        <v>0</v>
      </c>
      <c r="BI515" s="8">
        <f>0</f>
        <v>0</v>
      </c>
      <c r="BJ515" s="5" t="s">
        <v>253</v>
      </c>
      <c r="BK515" s="5" t="s">
        <v>254</v>
      </c>
      <c r="BY515" s="5" t="s">
        <v>238</v>
      </c>
      <c r="BZ515" s="5" t="s">
        <v>238</v>
      </c>
      <c r="CD515" s="5" t="s">
        <v>255</v>
      </c>
      <c r="CE515" s="5" t="s">
        <v>256</v>
      </c>
      <c r="CF515" s="5" t="s">
        <v>238</v>
      </c>
      <c r="CI515" s="6" t="s">
        <v>257</v>
      </c>
      <c r="CJ515" s="5" t="s">
        <v>238</v>
      </c>
      <c r="CK515" s="5" t="s">
        <v>258</v>
      </c>
      <c r="CL515" s="5" t="s">
        <v>238</v>
      </c>
      <c r="CM515" s="5" t="s">
        <v>238</v>
      </c>
      <c r="CN515" s="5">
        <v>0</v>
      </c>
      <c r="CO515" s="5" t="s">
        <v>259</v>
      </c>
      <c r="CP515" s="5" t="s">
        <v>260</v>
      </c>
      <c r="CQ515" s="5" t="s">
        <v>260</v>
      </c>
      <c r="CR515" s="5" t="s">
        <v>261</v>
      </c>
      <c r="CU515" s="8">
        <f>4147</f>
        <v>4147</v>
      </c>
      <c r="CV515" s="8">
        <f>0</f>
        <v>0</v>
      </c>
      <c r="CX515" s="8">
        <f>0</f>
        <v>0</v>
      </c>
      <c r="CY515" s="8">
        <f>4147</f>
        <v>4147</v>
      </c>
      <c r="DA515" s="5" t="s">
        <v>533</v>
      </c>
      <c r="DB515" s="5" t="s">
        <v>238</v>
      </c>
      <c r="DD515" s="5" t="s">
        <v>356</v>
      </c>
      <c r="DE515" s="8">
        <f>0</f>
        <v>0</v>
      </c>
      <c r="DG515" s="5" t="s">
        <v>534</v>
      </c>
      <c r="DH515" s="5" t="s">
        <v>238</v>
      </c>
      <c r="DI515" s="5" t="s">
        <v>238</v>
      </c>
      <c r="DJ515" s="5" t="s">
        <v>238</v>
      </c>
      <c r="DN515" s="5" t="s">
        <v>238</v>
      </c>
      <c r="DO515" s="5" t="s">
        <v>238</v>
      </c>
      <c r="DP515" s="5" t="s">
        <v>238</v>
      </c>
      <c r="DQ515" s="5" t="s">
        <v>238</v>
      </c>
      <c r="DT515" s="5" t="s">
        <v>535</v>
      </c>
      <c r="DU515" s="5" t="s">
        <v>1211</v>
      </c>
      <c r="HM515" s="5" t="s">
        <v>264</v>
      </c>
    </row>
    <row r="516" spans="1:221" x14ac:dyDescent="0.4">
      <c r="A516" s="5">
        <v>1378</v>
      </c>
      <c r="B516" s="5">
        <v>1</v>
      </c>
      <c r="C516" s="5">
        <v>1</v>
      </c>
      <c r="D516" s="5" t="s">
        <v>484</v>
      </c>
      <c r="E516" s="5" t="s">
        <v>485</v>
      </c>
      <c r="F516" s="5" t="s">
        <v>248</v>
      </c>
      <c r="G516" s="5" t="s">
        <v>531</v>
      </c>
      <c r="H516" s="6" t="s">
        <v>4369</v>
      </c>
      <c r="I516" s="7">
        <f>418</f>
        <v>418</v>
      </c>
      <c r="J516" s="5" t="s">
        <v>262</v>
      </c>
      <c r="K516" s="8">
        <f>4598</f>
        <v>4598</v>
      </c>
      <c r="L516" s="6" t="s">
        <v>242</v>
      </c>
      <c r="M516" s="5" t="s">
        <v>267</v>
      </c>
      <c r="N516" s="5" t="s">
        <v>237</v>
      </c>
      <c r="O516" s="5" t="s">
        <v>238</v>
      </c>
      <c r="P516" s="5" t="s">
        <v>238</v>
      </c>
      <c r="Q516" s="5" t="s">
        <v>239</v>
      </c>
      <c r="R516" s="5" t="s">
        <v>240</v>
      </c>
      <c r="S516" s="5" t="s">
        <v>238</v>
      </c>
      <c r="V516" s="5" t="s">
        <v>238</v>
      </c>
      <c r="X516" s="6" t="s">
        <v>238</v>
      </c>
      <c r="AA516" s="6" t="s">
        <v>243</v>
      </c>
      <c r="AB516" s="5" t="s">
        <v>238</v>
      </c>
      <c r="AC516" s="5" t="s">
        <v>244</v>
      </c>
      <c r="AD516" s="5" t="s">
        <v>245</v>
      </c>
      <c r="AT516" s="5" t="s">
        <v>246</v>
      </c>
      <c r="AU516" s="5" t="s">
        <v>238</v>
      </c>
      <c r="AV516" s="5" t="s">
        <v>247</v>
      </c>
      <c r="AW516" s="5" t="s">
        <v>238</v>
      </c>
      <c r="AX516" s="5" t="s">
        <v>249</v>
      </c>
      <c r="AY516" s="5" t="s">
        <v>238</v>
      </c>
      <c r="BA516" s="5" t="s">
        <v>238</v>
      </c>
      <c r="BC516" s="5" t="s">
        <v>250</v>
      </c>
      <c r="BD516" s="6" t="s">
        <v>243</v>
      </c>
      <c r="BE516" s="5" t="s">
        <v>251</v>
      </c>
      <c r="BF516" s="5" t="s">
        <v>252</v>
      </c>
      <c r="BG516" s="5" t="s">
        <v>238</v>
      </c>
      <c r="BH516" s="7">
        <f>0</f>
        <v>0</v>
      </c>
      <c r="BI516" s="8">
        <f>0</f>
        <v>0</v>
      </c>
      <c r="BJ516" s="5" t="s">
        <v>253</v>
      </c>
      <c r="BK516" s="5" t="s">
        <v>254</v>
      </c>
      <c r="BY516" s="5" t="s">
        <v>238</v>
      </c>
      <c r="BZ516" s="5" t="s">
        <v>238</v>
      </c>
      <c r="CD516" s="5" t="s">
        <v>255</v>
      </c>
      <c r="CE516" s="5" t="s">
        <v>256</v>
      </c>
      <c r="CF516" s="5" t="s">
        <v>238</v>
      </c>
      <c r="CI516" s="6" t="s">
        <v>257</v>
      </c>
      <c r="CJ516" s="5" t="s">
        <v>238</v>
      </c>
      <c r="CK516" s="5" t="s">
        <v>258</v>
      </c>
      <c r="CL516" s="5" t="s">
        <v>238</v>
      </c>
      <c r="CM516" s="5" t="s">
        <v>238</v>
      </c>
      <c r="CN516" s="5">
        <v>0</v>
      </c>
      <c r="CO516" s="5" t="s">
        <v>259</v>
      </c>
      <c r="CP516" s="5" t="s">
        <v>260</v>
      </c>
      <c r="CQ516" s="5" t="s">
        <v>260</v>
      </c>
      <c r="CR516" s="5" t="s">
        <v>261</v>
      </c>
      <c r="CU516" s="8">
        <f>4598</f>
        <v>4598</v>
      </c>
      <c r="CV516" s="8">
        <f>0</f>
        <v>0</v>
      </c>
      <c r="CX516" s="8">
        <f>0</f>
        <v>0</v>
      </c>
      <c r="CY516" s="8">
        <f>4598</f>
        <v>4598</v>
      </c>
      <c r="DA516" s="5" t="s">
        <v>533</v>
      </c>
      <c r="DB516" s="5" t="s">
        <v>238</v>
      </c>
      <c r="DD516" s="5" t="s">
        <v>356</v>
      </c>
      <c r="DE516" s="8">
        <f>0</f>
        <v>0</v>
      </c>
      <c r="DG516" s="5" t="s">
        <v>534</v>
      </c>
      <c r="DH516" s="5" t="s">
        <v>238</v>
      </c>
      <c r="DI516" s="5" t="s">
        <v>238</v>
      </c>
      <c r="DJ516" s="5" t="s">
        <v>238</v>
      </c>
      <c r="DN516" s="5" t="s">
        <v>238</v>
      </c>
      <c r="DO516" s="5" t="s">
        <v>238</v>
      </c>
      <c r="DP516" s="5" t="s">
        <v>238</v>
      </c>
      <c r="DQ516" s="5" t="s">
        <v>238</v>
      </c>
      <c r="DT516" s="5" t="s">
        <v>535</v>
      </c>
      <c r="DU516" s="5" t="s">
        <v>1209</v>
      </c>
      <c r="HM516" s="5" t="s">
        <v>264</v>
      </c>
    </row>
    <row r="517" spans="1:221" x14ac:dyDescent="0.4">
      <c r="A517" s="5">
        <v>1379</v>
      </c>
      <c r="B517" s="5">
        <v>1</v>
      </c>
      <c r="C517" s="5">
        <v>1</v>
      </c>
      <c r="D517" s="5" t="s">
        <v>484</v>
      </c>
      <c r="E517" s="5" t="s">
        <v>485</v>
      </c>
      <c r="F517" s="5" t="s">
        <v>248</v>
      </c>
      <c r="G517" s="5" t="s">
        <v>531</v>
      </c>
      <c r="H517" s="6" t="s">
        <v>2110</v>
      </c>
      <c r="I517" s="7">
        <f>18063</f>
        <v>18063</v>
      </c>
      <c r="J517" s="5" t="s">
        <v>262</v>
      </c>
      <c r="K517" s="8">
        <f>198693</f>
        <v>198693</v>
      </c>
      <c r="L517" s="6" t="s">
        <v>242</v>
      </c>
      <c r="M517" s="5" t="s">
        <v>267</v>
      </c>
      <c r="N517" s="5" t="s">
        <v>237</v>
      </c>
      <c r="O517" s="5" t="s">
        <v>238</v>
      </c>
      <c r="P517" s="5" t="s">
        <v>238</v>
      </c>
      <c r="Q517" s="5" t="s">
        <v>239</v>
      </c>
      <c r="R517" s="5" t="s">
        <v>240</v>
      </c>
      <c r="S517" s="5" t="s">
        <v>238</v>
      </c>
      <c r="V517" s="5" t="s">
        <v>238</v>
      </c>
      <c r="X517" s="6" t="s">
        <v>238</v>
      </c>
      <c r="AA517" s="6" t="s">
        <v>243</v>
      </c>
      <c r="AB517" s="5" t="s">
        <v>238</v>
      </c>
      <c r="AC517" s="5" t="s">
        <v>244</v>
      </c>
      <c r="AD517" s="5" t="s">
        <v>245</v>
      </c>
      <c r="AT517" s="5" t="s">
        <v>246</v>
      </c>
      <c r="AU517" s="5" t="s">
        <v>238</v>
      </c>
      <c r="AV517" s="5" t="s">
        <v>247</v>
      </c>
      <c r="AW517" s="5" t="s">
        <v>238</v>
      </c>
      <c r="AX517" s="5" t="s">
        <v>249</v>
      </c>
      <c r="AY517" s="5" t="s">
        <v>238</v>
      </c>
      <c r="BA517" s="5" t="s">
        <v>238</v>
      </c>
      <c r="BC517" s="5" t="s">
        <v>250</v>
      </c>
      <c r="BD517" s="6" t="s">
        <v>243</v>
      </c>
      <c r="BE517" s="5" t="s">
        <v>251</v>
      </c>
      <c r="BF517" s="5" t="s">
        <v>252</v>
      </c>
      <c r="BG517" s="5" t="s">
        <v>238</v>
      </c>
      <c r="BH517" s="7">
        <f>0</f>
        <v>0</v>
      </c>
      <c r="BI517" s="8">
        <f>0</f>
        <v>0</v>
      </c>
      <c r="BJ517" s="5" t="s">
        <v>253</v>
      </c>
      <c r="BK517" s="5" t="s">
        <v>254</v>
      </c>
      <c r="BY517" s="5" t="s">
        <v>238</v>
      </c>
      <c r="BZ517" s="5" t="s">
        <v>238</v>
      </c>
      <c r="CD517" s="5" t="s">
        <v>255</v>
      </c>
      <c r="CE517" s="5" t="s">
        <v>256</v>
      </c>
      <c r="CF517" s="5" t="s">
        <v>238</v>
      </c>
      <c r="CI517" s="6" t="s">
        <v>257</v>
      </c>
      <c r="CJ517" s="5" t="s">
        <v>238</v>
      </c>
      <c r="CK517" s="5" t="s">
        <v>258</v>
      </c>
      <c r="CL517" s="5" t="s">
        <v>238</v>
      </c>
      <c r="CM517" s="5" t="s">
        <v>238</v>
      </c>
      <c r="CN517" s="5">
        <v>0</v>
      </c>
      <c r="CO517" s="5" t="s">
        <v>259</v>
      </c>
      <c r="CP517" s="5" t="s">
        <v>260</v>
      </c>
      <c r="CQ517" s="5" t="s">
        <v>260</v>
      </c>
      <c r="CR517" s="5" t="s">
        <v>261</v>
      </c>
      <c r="CU517" s="8">
        <f>198693</f>
        <v>198693</v>
      </c>
      <c r="CV517" s="8">
        <f>0</f>
        <v>0</v>
      </c>
      <c r="CX517" s="8">
        <f>0</f>
        <v>0</v>
      </c>
      <c r="CY517" s="8">
        <f>198693</f>
        <v>198693</v>
      </c>
      <c r="DA517" s="5" t="s">
        <v>533</v>
      </c>
      <c r="DB517" s="5" t="s">
        <v>238</v>
      </c>
      <c r="DD517" s="5" t="s">
        <v>356</v>
      </c>
      <c r="DE517" s="8">
        <f>0</f>
        <v>0</v>
      </c>
      <c r="DG517" s="5" t="s">
        <v>534</v>
      </c>
      <c r="DH517" s="5" t="s">
        <v>238</v>
      </c>
      <c r="DI517" s="5" t="s">
        <v>238</v>
      </c>
      <c r="DJ517" s="5" t="s">
        <v>238</v>
      </c>
      <c r="DN517" s="5" t="s">
        <v>238</v>
      </c>
      <c r="DO517" s="5" t="s">
        <v>238</v>
      </c>
      <c r="DP517" s="5" t="s">
        <v>238</v>
      </c>
      <c r="DQ517" s="5" t="s">
        <v>238</v>
      </c>
      <c r="DT517" s="5" t="s">
        <v>535</v>
      </c>
      <c r="DU517" s="5" t="s">
        <v>1202</v>
      </c>
      <c r="HM517" s="5" t="s">
        <v>264</v>
      </c>
    </row>
    <row r="518" spans="1:221" x14ac:dyDescent="0.4">
      <c r="A518" s="5">
        <v>1380</v>
      </c>
      <c r="B518" s="5">
        <v>1</v>
      </c>
      <c r="C518" s="5">
        <v>1</v>
      </c>
      <c r="D518" s="5" t="s">
        <v>484</v>
      </c>
      <c r="E518" s="5" t="s">
        <v>485</v>
      </c>
      <c r="F518" s="5" t="s">
        <v>248</v>
      </c>
      <c r="G518" s="5" t="s">
        <v>531</v>
      </c>
      <c r="H518" s="6" t="s">
        <v>983</v>
      </c>
      <c r="I518" s="7">
        <f>1005</f>
        <v>1005</v>
      </c>
      <c r="J518" s="5" t="s">
        <v>262</v>
      </c>
      <c r="K518" s="8">
        <f>11055</f>
        <v>11055</v>
      </c>
      <c r="L518" s="6" t="s">
        <v>242</v>
      </c>
      <c r="M518" s="5" t="s">
        <v>267</v>
      </c>
      <c r="N518" s="5" t="s">
        <v>237</v>
      </c>
      <c r="O518" s="5" t="s">
        <v>238</v>
      </c>
      <c r="P518" s="5" t="s">
        <v>238</v>
      </c>
      <c r="Q518" s="5" t="s">
        <v>239</v>
      </c>
      <c r="R518" s="5" t="s">
        <v>240</v>
      </c>
      <c r="S518" s="5" t="s">
        <v>238</v>
      </c>
      <c r="V518" s="5" t="s">
        <v>238</v>
      </c>
      <c r="X518" s="6" t="s">
        <v>238</v>
      </c>
      <c r="AA518" s="6" t="s">
        <v>243</v>
      </c>
      <c r="AB518" s="5" t="s">
        <v>238</v>
      </c>
      <c r="AC518" s="5" t="s">
        <v>244</v>
      </c>
      <c r="AD518" s="5" t="s">
        <v>245</v>
      </c>
      <c r="AT518" s="5" t="s">
        <v>246</v>
      </c>
      <c r="AU518" s="5" t="s">
        <v>238</v>
      </c>
      <c r="AV518" s="5" t="s">
        <v>247</v>
      </c>
      <c r="AW518" s="5" t="s">
        <v>238</v>
      </c>
      <c r="AX518" s="5" t="s">
        <v>249</v>
      </c>
      <c r="AY518" s="5" t="s">
        <v>238</v>
      </c>
      <c r="BA518" s="5" t="s">
        <v>238</v>
      </c>
      <c r="BC518" s="5" t="s">
        <v>250</v>
      </c>
      <c r="BD518" s="6" t="s">
        <v>243</v>
      </c>
      <c r="BE518" s="5" t="s">
        <v>251</v>
      </c>
      <c r="BF518" s="5" t="s">
        <v>252</v>
      </c>
      <c r="BG518" s="5" t="s">
        <v>238</v>
      </c>
      <c r="BH518" s="7">
        <f>0</f>
        <v>0</v>
      </c>
      <c r="BI518" s="8">
        <f>0</f>
        <v>0</v>
      </c>
      <c r="BJ518" s="5" t="s">
        <v>253</v>
      </c>
      <c r="BK518" s="5" t="s">
        <v>254</v>
      </c>
      <c r="BY518" s="5" t="s">
        <v>238</v>
      </c>
      <c r="BZ518" s="5" t="s">
        <v>238</v>
      </c>
      <c r="CD518" s="5" t="s">
        <v>255</v>
      </c>
      <c r="CE518" s="5" t="s">
        <v>256</v>
      </c>
      <c r="CF518" s="5" t="s">
        <v>238</v>
      </c>
      <c r="CI518" s="6" t="s">
        <v>257</v>
      </c>
      <c r="CJ518" s="5" t="s">
        <v>238</v>
      </c>
      <c r="CK518" s="5" t="s">
        <v>258</v>
      </c>
      <c r="CL518" s="5" t="s">
        <v>238</v>
      </c>
      <c r="CM518" s="5" t="s">
        <v>238</v>
      </c>
      <c r="CN518" s="5">
        <v>0</v>
      </c>
      <c r="CO518" s="5" t="s">
        <v>259</v>
      </c>
      <c r="CP518" s="5" t="s">
        <v>260</v>
      </c>
      <c r="CQ518" s="5" t="s">
        <v>260</v>
      </c>
      <c r="CR518" s="5" t="s">
        <v>261</v>
      </c>
      <c r="CU518" s="8">
        <f>11055</f>
        <v>11055</v>
      </c>
      <c r="CV518" s="8">
        <f>0</f>
        <v>0</v>
      </c>
      <c r="CX518" s="8">
        <f>0</f>
        <v>0</v>
      </c>
      <c r="CY518" s="8">
        <f>11055</f>
        <v>11055</v>
      </c>
      <c r="DA518" s="5" t="s">
        <v>533</v>
      </c>
      <c r="DB518" s="5" t="s">
        <v>238</v>
      </c>
      <c r="DD518" s="5" t="s">
        <v>356</v>
      </c>
      <c r="DE518" s="8">
        <f>0</f>
        <v>0</v>
      </c>
      <c r="DG518" s="5" t="s">
        <v>534</v>
      </c>
      <c r="DH518" s="5" t="s">
        <v>238</v>
      </c>
      <c r="DI518" s="5" t="s">
        <v>238</v>
      </c>
      <c r="DJ518" s="5" t="s">
        <v>238</v>
      </c>
      <c r="DN518" s="5" t="s">
        <v>238</v>
      </c>
      <c r="DO518" s="5" t="s">
        <v>238</v>
      </c>
      <c r="DP518" s="5" t="s">
        <v>238</v>
      </c>
      <c r="DQ518" s="5" t="s">
        <v>238</v>
      </c>
      <c r="DT518" s="5" t="s">
        <v>535</v>
      </c>
      <c r="DU518" s="5" t="s">
        <v>984</v>
      </c>
      <c r="HM518" s="5" t="s">
        <v>264</v>
      </c>
    </row>
    <row r="519" spans="1:221" x14ac:dyDescent="0.4">
      <c r="A519" s="5">
        <v>1381</v>
      </c>
      <c r="B519" s="5">
        <v>1</v>
      </c>
      <c r="C519" s="5">
        <v>1</v>
      </c>
      <c r="D519" s="5" t="s">
        <v>484</v>
      </c>
      <c r="E519" s="5" t="s">
        <v>485</v>
      </c>
      <c r="F519" s="5" t="s">
        <v>248</v>
      </c>
      <c r="G519" s="5" t="s">
        <v>531</v>
      </c>
      <c r="H519" s="6" t="s">
        <v>951</v>
      </c>
      <c r="I519" s="7">
        <f>1415</f>
        <v>1415</v>
      </c>
      <c r="J519" s="5" t="s">
        <v>262</v>
      </c>
      <c r="K519" s="8">
        <f>15565</f>
        <v>15565</v>
      </c>
      <c r="L519" s="6" t="s">
        <v>242</v>
      </c>
      <c r="M519" s="5" t="s">
        <v>267</v>
      </c>
      <c r="N519" s="5" t="s">
        <v>237</v>
      </c>
      <c r="O519" s="5" t="s">
        <v>238</v>
      </c>
      <c r="P519" s="5" t="s">
        <v>238</v>
      </c>
      <c r="Q519" s="5" t="s">
        <v>239</v>
      </c>
      <c r="R519" s="5" t="s">
        <v>240</v>
      </c>
      <c r="S519" s="5" t="s">
        <v>238</v>
      </c>
      <c r="V519" s="5" t="s">
        <v>238</v>
      </c>
      <c r="X519" s="6" t="s">
        <v>238</v>
      </c>
      <c r="AA519" s="6" t="s">
        <v>243</v>
      </c>
      <c r="AB519" s="5" t="s">
        <v>238</v>
      </c>
      <c r="AC519" s="5" t="s">
        <v>244</v>
      </c>
      <c r="AD519" s="5" t="s">
        <v>245</v>
      </c>
      <c r="AT519" s="5" t="s">
        <v>246</v>
      </c>
      <c r="AU519" s="5" t="s">
        <v>238</v>
      </c>
      <c r="AV519" s="5" t="s">
        <v>247</v>
      </c>
      <c r="AW519" s="5" t="s">
        <v>238</v>
      </c>
      <c r="AX519" s="5" t="s">
        <v>249</v>
      </c>
      <c r="AY519" s="5" t="s">
        <v>238</v>
      </c>
      <c r="BA519" s="5" t="s">
        <v>238</v>
      </c>
      <c r="BC519" s="5" t="s">
        <v>250</v>
      </c>
      <c r="BD519" s="6" t="s">
        <v>243</v>
      </c>
      <c r="BE519" s="5" t="s">
        <v>251</v>
      </c>
      <c r="BF519" s="5" t="s">
        <v>252</v>
      </c>
      <c r="BG519" s="5" t="s">
        <v>238</v>
      </c>
      <c r="BH519" s="7">
        <f>0</f>
        <v>0</v>
      </c>
      <c r="BI519" s="8">
        <f>0</f>
        <v>0</v>
      </c>
      <c r="BJ519" s="5" t="s">
        <v>253</v>
      </c>
      <c r="BK519" s="5" t="s">
        <v>254</v>
      </c>
      <c r="BY519" s="5" t="s">
        <v>238</v>
      </c>
      <c r="BZ519" s="5" t="s">
        <v>238</v>
      </c>
      <c r="CD519" s="5" t="s">
        <v>255</v>
      </c>
      <c r="CE519" s="5" t="s">
        <v>256</v>
      </c>
      <c r="CF519" s="5" t="s">
        <v>238</v>
      </c>
      <c r="CI519" s="6" t="s">
        <v>257</v>
      </c>
      <c r="CJ519" s="5" t="s">
        <v>238</v>
      </c>
      <c r="CK519" s="5" t="s">
        <v>258</v>
      </c>
      <c r="CL519" s="5" t="s">
        <v>238</v>
      </c>
      <c r="CM519" s="5" t="s">
        <v>238</v>
      </c>
      <c r="CN519" s="5">
        <v>0</v>
      </c>
      <c r="CO519" s="5" t="s">
        <v>259</v>
      </c>
      <c r="CP519" s="5" t="s">
        <v>260</v>
      </c>
      <c r="CQ519" s="5" t="s">
        <v>260</v>
      </c>
      <c r="CR519" s="5" t="s">
        <v>261</v>
      </c>
      <c r="CU519" s="8">
        <f>15565</f>
        <v>15565</v>
      </c>
      <c r="CV519" s="8">
        <f>0</f>
        <v>0</v>
      </c>
      <c r="CX519" s="8">
        <f>0</f>
        <v>0</v>
      </c>
      <c r="CY519" s="8">
        <f>15565</f>
        <v>15565</v>
      </c>
      <c r="DA519" s="5" t="s">
        <v>533</v>
      </c>
      <c r="DB519" s="5" t="s">
        <v>238</v>
      </c>
      <c r="DD519" s="5" t="s">
        <v>356</v>
      </c>
      <c r="DE519" s="8">
        <f>0</f>
        <v>0</v>
      </c>
      <c r="DG519" s="5" t="s">
        <v>534</v>
      </c>
      <c r="DH519" s="5" t="s">
        <v>238</v>
      </c>
      <c r="DI519" s="5" t="s">
        <v>238</v>
      </c>
      <c r="DJ519" s="5" t="s">
        <v>238</v>
      </c>
      <c r="DN519" s="5" t="s">
        <v>238</v>
      </c>
      <c r="DO519" s="5" t="s">
        <v>238</v>
      </c>
      <c r="DP519" s="5" t="s">
        <v>238</v>
      </c>
      <c r="DQ519" s="5" t="s">
        <v>238</v>
      </c>
      <c r="DT519" s="5" t="s">
        <v>535</v>
      </c>
      <c r="DU519" s="5" t="s">
        <v>952</v>
      </c>
      <c r="HM519" s="5" t="s">
        <v>264</v>
      </c>
    </row>
    <row r="520" spans="1:221" x14ac:dyDescent="0.4">
      <c r="A520" s="5">
        <v>1382</v>
      </c>
      <c r="B520" s="5">
        <v>1</v>
      </c>
      <c r="C520" s="5">
        <v>1</v>
      </c>
      <c r="D520" s="5" t="s">
        <v>484</v>
      </c>
      <c r="E520" s="5" t="s">
        <v>485</v>
      </c>
      <c r="F520" s="5" t="s">
        <v>248</v>
      </c>
      <c r="G520" s="5" t="s">
        <v>531</v>
      </c>
      <c r="H520" s="6" t="s">
        <v>4373</v>
      </c>
      <c r="I520" s="7">
        <f>6182</f>
        <v>6182</v>
      </c>
      <c r="J520" s="5" t="s">
        <v>262</v>
      </c>
      <c r="K520" s="8">
        <f>68002</f>
        <v>68002</v>
      </c>
      <c r="L520" s="6" t="s">
        <v>242</v>
      </c>
      <c r="M520" s="5" t="s">
        <v>267</v>
      </c>
      <c r="N520" s="5" t="s">
        <v>237</v>
      </c>
      <c r="O520" s="5" t="s">
        <v>238</v>
      </c>
      <c r="P520" s="5" t="s">
        <v>238</v>
      </c>
      <c r="Q520" s="5" t="s">
        <v>239</v>
      </c>
      <c r="R520" s="5" t="s">
        <v>240</v>
      </c>
      <c r="S520" s="5" t="s">
        <v>238</v>
      </c>
      <c r="V520" s="5" t="s">
        <v>238</v>
      </c>
      <c r="X520" s="6" t="s">
        <v>238</v>
      </c>
      <c r="AA520" s="6" t="s">
        <v>243</v>
      </c>
      <c r="AB520" s="5" t="s">
        <v>238</v>
      </c>
      <c r="AC520" s="5" t="s">
        <v>244</v>
      </c>
      <c r="AD520" s="5" t="s">
        <v>245</v>
      </c>
      <c r="AT520" s="5" t="s">
        <v>246</v>
      </c>
      <c r="AU520" s="5" t="s">
        <v>238</v>
      </c>
      <c r="AV520" s="5" t="s">
        <v>247</v>
      </c>
      <c r="AW520" s="5" t="s">
        <v>238</v>
      </c>
      <c r="AX520" s="5" t="s">
        <v>249</v>
      </c>
      <c r="AY520" s="5" t="s">
        <v>238</v>
      </c>
      <c r="BA520" s="5" t="s">
        <v>238</v>
      </c>
      <c r="BC520" s="5" t="s">
        <v>250</v>
      </c>
      <c r="BD520" s="6" t="s">
        <v>243</v>
      </c>
      <c r="BE520" s="5" t="s">
        <v>251</v>
      </c>
      <c r="BF520" s="5" t="s">
        <v>252</v>
      </c>
      <c r="BG520" s="5" t="s">
        <v>238</v>
      </c>
      <c r="BH520" s="7">
        <f>0</f>
        <v>0</v>
      </c>
      <c r="BI520" s="8">
        <f>0</f>
        <v>0</v>
      </c>
      <c r="BJ520" s="5" t="s">
        <v>253</v>
      </c>
      <c r="BK520" s="5" t="s">
        <v>254</v>
      </c>
      <c r="BY520" s="5" t="s">
        <v>238</v>
      </c>
      <c r="BZ520" s="5" t="s">
        <v>238</v>
      </c>
      <c r="CD520" s="5" t="s">
        <v>255</v>
      </c>
      <c r="CE520" s="5" t="s">
        <v>256</v>
      </c>
      <c r="CF520" s="5" t="s">
        <v>238</v>
      </c>
      <c r="CI520" s="6" t="s">
        <v>257</v>
      </c>
      <c r="CJ520" s="5" t="s">
        <v>238</v>
      </c>
      <c r="CK520" s="5" t="s">
        <v>258</v>
      </c>
      <c r="CL520" s="5" t="s">
        <v>238</v>
      </c>
      <c r="CM520" s="5" t="s">
        <v>238</v>
      </c>
      <c r="CN520" s="5">
        <v>0</v>
      </c>
      <c r="CO520" s="5" t="s">
        <v>259</v>
      </c>
      <c r="CP520" s="5" t="s">
        <v>260</v>
      </c>
      <c r="CQ520" s="5" t="s">
        <v>260</v>
      </c>
      <c r="CR520" s="5" t="s">
        <v>261</v>
      </c>
      <c r="CU520" s="8">
        <f>68002</f>
        <v>68002</v>
      </c>
      <c r="CV520" s="8">
        <f>0</f>
        <v>0</v>
      </c>
      <c r="CX520" s="8">
        <f>0</f>
        <v>0</v>
      </c>
      <c r="CY520" s="8">
        <f>68002</f>
        <v>68002</v>
      </c>
      <c r="DA520" s="5" t="s">
        <v>533</v>
      </c>
      <c r="DB520" s="5" t="s">
        <v>238</v>
      </c>
      <c r="DD520" s="5" t="s">
        <v>356</v>
      </c>
      <c r="DE520" s="8">
        <f>0</f>
        <v>0</v>
      </c>
      <c r="DG520" s="5" t="s">
        <v>534</v>
      </c>
      <c r="DH520" s="5" t="s">
        <v>238</v>
      </c>
      <c r="DI520" s="5" t="s">
        <v>238</v>
      </c>
      <c r="DJ520" s="5" t="s">
        <v>238</v>
      </c>
      <c r="DN520" s="5" t="s">
        <v>238</v>
      </c>
      <c r="DO520" s="5" t="s">
        <v>238</v>
      </c>
      <c r="DP520" s="5" t="s">
        <v>238</v>
      </c>
      <c r="DQ520" s="5" t="s">
        <v>238</v>
      </c>
      <c r="DT520" s="5" t="s">
        <v>535</v>
      </c>
      <c r="DU520" s="5" t="s">
        <v>1192</v>
      </c>
      <c r="HM520" s="5" t="s">
        <v>264</v>
      </c>
    </row>
    <row r="521" spans="1:221" x14ac:dyDescent="0.4">
      <c r="A521" s="5">
        <v>1383</v>
      </c>
      <c r="B521" s="5">
        <v>1</v>
      </c>
      <c r="C521" s="5">
        <v>1</v>
      </c>
      <c r="D521" s="5" t="s">
        <v>484</v>
      </c>
      <c r="E521" s="5" t="s">
        <v>485</v>
      </c>
      <c r="F521" s="5" t="s">
        <v>248</v>
      </c>
      <c r="G521" s="5" t="s">
        <v>531</v>
      </c>
      <c r="H521" s="6" t="s">
        <v>889</v>
      </c>
      <c r="I521" s="7">
        <f>817</f>
        <v>817</v>
      </c>
      <c r="J521" s="5" t="s">
        <v>262</v>
      </c>
      <c r="K521" s="8">
        <f>8987</f>
        <v>8987</v>
      </c>
      <c r="L521" s="6" t="s">
        <v>242</v>
      </c>
      <c r="M521" s="5" t="s">
        <v>267</v>
      </c>
      <c r="N521" s="5" t="s">
        <v>237</v>
      </c>
      <c r="O521" s="5" t="s">
        <v>238</v>
      </c>
      <c r="P521" s="5" t="s">
        <v>238</v>
      </c>
      <c r="Q521" s="5" t="s">
        <v>239</v>
      </c>
      <c r="R521" s="5" t="s">
        <v>240</v>
      </c>
      <c r="S521" s="5" t="s">
        <v>238</v>
      </c>
      <c r="V521" s="5" t="s">
        <v>238</v>
      </c>
      <c r="X521" s="6" t="s">
        <v>238</v>
      </c>
      <c r="AA521" s="6" t="s">
        <v>243</v>
      </c>
      <c r="AB521" s="5" t="s">
        <v>238</v>
      </c>
      <c r="AC521" s="5" t="s">
        <v>244</v>
      </c>
      <c r="AD521" s="5" t="s">
        <v>245</v>
      </c>
      <c r="AT521" s="5" t="s">
        <v>246</v>
      </c>
      <c r="AU521" s="5" t="s">
        <v>238</v>
      </c>
      <c r="AV521" s="5" t="s">
        <v>247</v>
      </c>
      <c r="AW521" s="5" t="s">
        <v>238</v>
      </c>
      <c r="AX521" s="5" t="s">
        <v>249</v>
      </c>
      <c r="AY521" s="5" t="s">
        <v>238</v>
      </c>
      <c r="BA521" s="5" t="s">
        <v>238</v>
      </c>
      <c r="BC521" s="5" t="s">
        <v>250</v>
      </c>
      <c r="BD521" s="6" t="s">
        <v>243</v>
      </c>
      <c r="BE521" s="5" t="s">
        <v>251</v>
      </c>
      <c r="BF521" s="5" t="s">
        <v>252</v>
      </c>
      <c r="BG521" s="5" t="s">
        <v>238</v>
      </c>
      <c r="BH521" s="7">
        <f>0</f>
        <v>0</v>
      </c>
      <c r="BI521" s="8">
        <f>0</f>
        <v>0</v>
      </c>
      <c r="BJ521" s="5" t="s">
        <v>253</v>
      </c>
      <c r="BK521" s="5" t="s">
        <v>254</v>
      </c>
      <c r="BY521" s="5" t="s">
        <v>238</v>
      </c>
      <c r="BZ521" s="5" t="s">
        <v>238</v>
      </c>
      <c r="CD521" s="5" t="s">
        <v>255</v>
      </c>
      <c r="CE521" s="5" t="s">
        <v>256</v>
      </c>
      <c r="CF521" s="5" t="s">
        <v>238</v>
      </c>
      <c r="CI521" s="6" t="s">
        <v>257</v>
      </c>
      <c r="CJ521" s="5" t="s">
        <v>238</v>
      </c>
      <c r="CK521" s="5" t="s">
        <v>258</v>
      </c>
      <c r="CL521" s="5" t="s">
        <v>238</v>
      </c>
      <c r="CM521" s="5" t="s">
        <v>238</v>
      </c>
      <c r="CN521" s="5">
        <v>0</v>
      </c>
      <c r="CO521" s="5" t="s">
        <v>259</v>
      </c>
      <c r="CP521" s="5" t="s">
        <v>260</v>
      </c>
      <c r="CQ521" s="5" t="s">
        <v>260</v>
      </c>
      <c r="CR521" s="5" t="s">
        <v>261</v>
      </c>
      <c r="CU521" s="8">
        <f>8987</f>
        <v>8987</v>
      </c>
      <c r="CV521" s="8">
        <f>0</f>
        <v>0</v>
      </c>
      <c r="CX521" s="8">
        <f>0</f>
        <v>0</v>
      </c>
      <c r="CY521" s="8">
        <f>8987</f>
        <v>8987</v>
      </c>
      <c r="DA521" s="5" t="s">
        <v>533</v>
      </c>
      <c r="DB521" s="5" t="s">
        <v>238</v>
      </c>
      <c r="DD521" s="5" t="s">
        <v>356</v>
      </c>
      <c r="DE521" s="8">
        <f>0</f>
        <v>0</v>
      </c>
      <c r="DG521" s="5" t="s">
        <v>534</v>
      </c>
      <c r="DH521" s="5" t="s">
        <v>238</v>
      </c>
      <c r="DI521" s="5" t="s">
        <v>238</v>
      </c>
      <c r="DJ521" s="5" t="s">
        <v>238</v>
      </c>
      <c r="DN521" s="5" t="s">
        <v>238</v>
      </c>
      <c r="DO521" s="5" t="s">
        <v>238</v>
      </c>
      <c r="DP521" s="5" t="s">
        <v>238</v>
      </c>
      <c r="DQ521" s="5" t="s">
        <v>238</v>
      </c>
      <c r="DT521" s="5" t="s">
        <v>535</v>
      </c>
      <c r="DU521" s="5" t="s">
        <v>890</v>
      </c>
      <c r="HM521" s="5" t="s">
        <v>264</v>
      </c>
    </row>
    <row r="522" spans="1:221" x14ac:dyDescent="0.4">
      <c r="A522" s="5">
        <v>1384</v>
      </c>
      <c r="B522" s="5">
        <v>1</v>
      </c>
      <c r="C522" s="5">
        <v>1</v>
      </c>
      <c r="D522" s="5" t="s">
        <v>484</v>
      </c>
      <c r="E522" s="5" t="s">
        <v>485</v>
      </c>
      <c r="F522" s="5" t="s">
        <v>248</v>
      </c>
      <c r="G522" s="5" t="s">
        <v>531</v>
      </c>
      <c r="H522" s="6" t="s">
        <v>838</v>
      </c>
      <c r="I522" s="7">
        <f>679</f>
        <v>679</v>
      </c>
      <c r="J522" s="5" t="s">
        <v>262</v>
      </c>
      <c r="K522" s="8">
        <f>7469</f>
        <v>7469</v>
      </c>
      <c r="L522" s="6" t="s">
        <v>242</v>
      </c>
      <c r="M522" s="5" t="s">
        <v>267</v>
      </c>
      <c r="N522" s="5" t="s">
        <v>237</v>
      </c>
      <c r="O522" s="5" t="s">
        <v>238</v>
      </c>
      <c r="P522" s="5" t="s">
        <v>238</v>
      </c>
      <c r="Q522" s="5" t="s">
        <v>239</v>
      </c>
      <c r="R522" s="5" t="s">
        <v>240</v>
      </c>
      <c r="S522" s="5" t="s">
        <v>238</v>
      </c>
      <c r="V522" s="5" t="s">
        <v>238</v>
      </c>
      <c r="X522" s="6" t="s">
        <v>238</v>
      </c>
      <c r="AA522" s="6" t="s">
        <v>243</v>
      </c>
      <c r="AB522" s="5" t="s">
        <v>238</v>
      </c>
      <c r="AC522" s="5" t="s">
        <v>244</v>
      </c>
      <c r="AD522" s="5" t="s">
        <v>245</v>
      </c>
      <c r="AT522" s="5" t="s">
        <v>246</v>
      </c>
      <c r="AU522" s="5" t="s">
        <v>238</v>
      </c>
      <c r="AV522" s="5" t="s">
        <v>247</v>
      </c>
      <c r="AW522" s="5" t="s">
        <v>238</v>
      </c>
      <c r="AX522" s="5" t="s">
        <v>249</v>
      </c>
      <c r="AY522" s="5" t="s">
        <v>238</v>
      </c>
      <c r="BA522" s="5" t="s">
        <v>238</v>
      </c>
      <c r="BC522" s="5" t="s">
        <v>250</v>
      </c>
      <c r="BD522" s="6" t="s">
        <v>243</v>
      </c>
      <c r="BE522" s="5" t="s">
        <v>251</v>
      </c>
      <c r="BF522" s="5" t="s">
        <v>252</v>
      </c>
      <c r="BG522" s="5" t="s">
        <v>238</v>
      </c>
      <c r="BH522" s="7">
        <f>0</f>
        <v>0</v>
      </c>
      <c r="BI522" s="8">
        <f>0</f>
        <v>0</v>
      </c>
      <c r="BJ522" s="5" t="s">
        <v>253</v>
      </c>
      <c r="BK522" s="5" t="s">
        <v>254</v>
      </c>
      <c r="BY522" s="5" t="s">
        <v>238</v>
      </c>
      <c r="BZ522" s="5" t="s">
        <v>238</v>
      </c>
      <c r="CD522" s="5" t="s">
        <v>255</v>
      </c>
      <c r="CE522" s="5" t="s">
        <v>256</v>
      </c>
      <c r="CF522" s="5" t="s">
        <v>238</v>
      </c>
      <c r="CI522" s="6" t="s">
        <v>257</v>
      </c>
      <c r="CJ522" s="5" t="s">
        <v>238</v>
      </c>
      <c r="CK522" s="5" t="s">
        <v>258</v>
      </c>
      <c r="CL522" s="5" t="s">
        <v>238</v>
      </c>
      <c r="CM522" s="5" t="s">
        <v>238</v>
      </c>
      <c r="CN522" s="5">
        <v>0</v>
      </c>
      <c r="CO522" s="5" t="s">
        <v>259</v>
      </c>
      <c r="CP522" s="5" t="s">
        <v>260</v>
      </c>
      <c r="CQ522" s="5" t="s">
        <v>260</v>
      </c>
      <c r="CR522" s="5" t="s">
        <v>261</v>
      </c>
      <c r="CU522" s="8">
        <f>7469</f>
        <v>7469</v>
      </c>
      <c r="CV522" s="8">
        <f>0</f>
        <v>0</v>
      </c>
      <c r="CX522" s="8">
        <f>0</f>
        <v>0</v>
      </c>
      <c r="CY522" s="8">
        <f>7469</f>
        <v>7469</v>
      </c>
      <c r="DA522" s="5" t="s">
        <v>533</v>
      </c>
      <c r="DB522" s="5" t="s">
        <v>238</v>
      </c>
      <c r="DD522" s="5" t="s">
        <v>356</v>
      </c>
      <c r="DE522" s="8">
        <f>0</f>
        <v>0</v>
      </c>
      <c r="DG522" s="5" t="s">
        <v>534</v>
      </c>
      <c r="DH522" s="5" t="s">
        <v>238</v>
      </c>
      <c r="DI522" s="5" t="s">
        <v>238</v>
      </c>
      <c r="DJ522" s="5" t="s">
        <v>238</v>
      </c>
      <c r="DN522" s="5" t="s">
        <v>238</v>
      </c>
      <c r="DO522" s="5" t="s">
        <v>238</v>
      </c>
      <c r="DP522" s="5" t="s">
        <v>238</v>
      </c>
      <c r="DQ522" s="5" t="s">
        <v>238</v>
      </c>
      <c r="DT522" s="5" t="s">
        <v>535</v>
      </c>
      <c r="DU522" s="5" t="s">
        <v>839</v>
      </c>
      <c r="HM522" s="5" t="s">
        <v>264</v>
      </c>
    </row>
    <row r="523" spans="1:221" x14ac:dyDescent="0.4">
      <c r="A523" s="5">
        <v>1385</v>
      </c>
      <c r="B523" s="5">
        <v>1</v>
      </c>
      <c r="C523" s="5">
        <v>1</v>
      </c>
      <c r="D523" s="5" t="s">
        <v>484</v>
      </c>
      <c r="E523" s="5" t="s">
        <v>485</v>
      </c>
      <c r="F523" s="5" t="s">
        <v>248</v>
      </c>
      <c r="G523" s="5" t="s">
        <v>531</v>
      </c>
      <c r="H523" s="6" t="s">
        <v>775</v>
      </c>
      <c r="I523" s="7">
        <f>620</f>
        <v>620</v>
      </c>
      <c r="J523" s="5" t="s">
        <v>262</v>
      </c>
      <c r="K523" s="8">
        <f>6820</f>
        <v>6820</v>
      </c>
      <c r="L523" s="6" t="s">
        <v>242</v>
      </c>
      <c r="M523" s="5" t="s">
        <v>267</v>
      </c>
      <c r="N523" s="5" t="s">
        <v>237</v>
      </c>
      <c r="O523" s="5" t="s">
        <v>238</v>
      </c>
      <c r="P523" s="5" t="s">
        <v>238</v>
      </c>
      <c r="Q523" s="5" t="s">
        <v>239</v>
      </c>
      <c r="R523" s="5" t="s">
        <v>240</v>
      </c>
      <c r="S523" s="5" t="s">
        <v>238</v>
      </c>
      <c r="V523" s="5" t="s">
        <v>238</v>
      </c>
      <c r="X523" s="6" t="s">
        <v>238</v>
      </c>
      <c r="AA523" s="6" t="s">
        <v>243</v>
      </c>
      <c r="AB523" s="5" t="s">
        <v>238</v>
      </c>
      <c r="AC523" s="5" t="s">
        <v>244</v>
      </c>
      <c r="AD523" s="5" t="s">
        <v>245</v>
      </c>
      <c r="AT523" s="5" t="s">
        <v>246</v>
      </c>
      <c r="AU523" s="5" t="s">
        <v>238</v>
      </c>
      <c r="AV523" s="5" t="s">
        <v>247</v>
      </c>
      <c r="AW523" s="5" t="s">
        <v>238</v>
      </c>
      <c r="AX523" s="5" t="s">
        <v>249</v>
      </c>
      <c r="AY523" s="5" t="s">
        <v>238</v>
      </c>
      <c r="BA523" s="5" t="s">
        <v>238</v>
      </c>
      <c r="BC523" s="5" t="s">
        <v>250</v>
      </c>
      <c r="BD523" s="6" t="s">
        <v>243</v>
      </c>
      <c r="BE523" s="5" t="s">
        <v>251</v>
      </c>
      <c r="BF523" s="5" t="s">
        <v>252</v>
      </c>
      <c r="BG523" s="5" t="s">
        <v>238</v>
      </c>
      <c r="BH523" s="7">
        <f>0</f>
        <v>0</v>
      </c>
      <c r="BI523" s="8">
        <f>0</f>
        <v>0</v>
      </c>
      <c r="BJ523" s="5" t="s">
        <v>253</v>
      </c>
      <c r="BK523" s="5" t="s">
        <v>254</v>
      </c>
      <c r="BY523" s="5" t="s">
        <v>238</v>
      </c>
      <c r="BZ523" s="5" t="s">
        <v>238</v>
      </c>
      <c r="CD523" s="5" t="s">
        <v>255</v>
      </c>
      <c r="CE523" s="5" t="s">
        <v>256</v>
      </c>
      <c r="CF523" s="5" t="s">
        <v>238</v>
      </c>
      <c r="CI523" s="6" t="s">
        <v>257</v>
      </c>
      <c r="CJ523" s="5" t="s">
        <v>238</v>
      </c>
      <c r="CK523" s="5" t="s">
        <v>258</v>
      </c>
      <c r="CL523" s="5" t="s">
        <v>238</v>
      </c>
      <c r="CM523" s="5" t="s">
        <v>238</v>
      </c>
      <c r="CN523" s="5">
        <v>0</v>
      </c>
      <c r="CO523" s="5" t="s">
        <v>259</v>
      </c>
      <c r="CP523" s="5" t="s">
        <v>260</v>
      </c>
      <c r="CQ523" s="5" t="s">
        <v>260</v>
      </c>
      <c r="CR523" s="5" t="s">
        <v>261</v>
      </c>
      <c r="CU523" s="8">
        <f>6820</f>
        <v>6820</v>
      </c>
      <c r="CV523" s="8">
        <f>0</f>
        <v>0</v>
      </c>
      <c r="CX523" s="8">
        <f>0</f>
        <v>0</v>
      </c>
      <c r="CY523" s="8">
        <f>6820</f>
        <v>6820</v>
      </c>
      <c r="DA523" s="5" t="s">
        <v>533</v>
      </c>
      <c r="DB523" s="5" t="s">
        <v>238</v>
      </c>
      <c r="DD523" s="5" t="s">
        <v>356</v>
      </c>
      <c r="DE523" s="8">
        <f>0</f>
        <v>0</v>
      </c>
      <c r="DG523" s="5" t="s">
        <v>534</v>
      </c>
      <c r="DH523" s="5" t="s">
        <v>238</v>
      </c>
      <c r="DI523" s="5" t="s">
        <v>238</v>
      </c>
      <c r="DJ523" s="5" t="s">
        <v>238</v>
      </c>
      <c r="DN523" s="5" t="s">
        <v>238</v>
      </c>
      <c r="DO523" s="5" t="s">
        <v>238</v>
      </c>
      <c r="DP523" s="5" t="s">
        <v>238</v>
      </c>
      <c r="DQ523" s="5" t="s">
        <v>238</v>
      </c>
      <c r="DT523" s="5" t="s">
        <v>535</v>
      </c>
      <c r="DU523" s="5" t="s">
        <v>776</v>
      </c>
      <c r="HM523" s="5" t="s">
        <v>264</v>
      </c>
    </row>
    <row r="524" spans="1:221" x14ac:dyDescent="0.4">
      <c r="A524" s="5">
        <v>1386</v>
      </c>
      <c r="B524" s="5">
        <v>1</v>
      </c>
      <c r="C524" s="5">
        <v>1</v>
      </c>
      <c r="D524" s="5" t="s">
        <v>484</v>
      </c>
      <c r="E524" s="5" t="s">
        <v>485</v>
      </c>
      <c r="F524" s="5" t="s">
        <v>248</v>
      </c>
      <c r="G524" s="5" t="s">
        <v>531</v>
      </c>
      <c r="H524" s="6" t="s">
        <v>4363</v>
      </c>
      <c r="I524" s="7">
        <f>614</f>
        <v>614</v>
      </c>
      <c r="J524" s="5" t="s">
        <v>262</v>
      </c>
      <c r="K524" s="8">
        <f>6754</f>
        <v>6754</v>
      </c>
      <c r="L524" s="6" t="s">
        <v>242</v>
      </c>
      <c r="M524" s="5" t="s">
        <v>267</v>
      </c>
      <c r="N524" s="5" t="s">
        <v>237</v>
      </c>
      <c r="O524" s="5" t="s">
        <v>238</v>
      </c>
      <c r="P524" s="5" t="s">
        <v>238</v>
      </c>
      <c r="Q524" s="5" t="s">
        <v>239</v>
      </c>
      <c r="R524" s="5" t="s">
        <v>240</v>
      </c>
      <c r="S524" s="5" t="s">
        <v>238</v>
      </c>
      <c r="V524" s="5" t="s">
        <v>238</v>
      </c>
      <c r="X524" s="6" t="s">
        <v>238</v>
      </c>
      <c r="AA524" s="6" t="s">
        <v>243</v>
      </c>
      <c r="AB524" s="5" t="s">
        <v>238</v>
      </c>
      <c r="AC524" s="5" t="s">
        <v>244</v>
      </c>
      <c r="AD524" s="5" t="s">
        <v>245</v>
      </c>
      <c r="AT524" s="5" t="s">
        <v>246</v>
      </c>
      <c r="AU524" s="5" t="s">
        <v>238</v>
      </c>
      <c r="AV524" s="5" t="s">
        <v>247</v>
      </c>
      <c r="AW524" s="5" t="s">
        <v>238</v>
      </c>
      <c r="AX524" s="5" t="s">
        <v>249</v>
      </c>
      <c r="AY524" s="5" t="s">
        <v>238</v>
      </c>
      <c r="BA524" s="5" t="s">
        <v>238</v>
      </c>
      <c r="BC524" s="5" t="s">
        <v>250</v>
      </c>
      <c r="BD524" s="6" t="s">
        <v>243</v>
      </c>
      <c r="BE524" s="5" t="s">
        <v>251</v>
      </c>
      <c r="BF524" s="5" t="s">
        <v>252</v>
      </c>
      <c r="BG524" s="5" t="s">
        <v>238</v>
      </c>
      <c r="BH524" s="7">
        <f>0</f>
        <v>0</v>
      </c>
      <c r="BI524" s="8">
        <f>0</f>
        <v>0</v>
      </c>
      <c r="BJ524" s="5" t="s">
        <v>253</v>
      </c>
      <c r="BK524" s="5" t="s">
        <v>254</v>
      </c>
      <c r="BY524" s="5" t="s">
        <v>238</v>
      </c>
      <c r="BZ524" s="5" t="s">
        <v>238</v>
      </c>
      <c r="CD524" s="5" t="s">
        <v>255</v>
      </c>
      <c r="CE524" s="5" t="s">
        <v>256</v>
      </c>
      <c r="CF524" s="5" t="s">
        <v>238</v>
      </c>
      <c r="CI524" s="6" t="s">
        <v>257</v>
      </c>
      <c r="CJ524" s="5" t="s">
        <v>238</v>
      </c>
      <c r="CK524" s="5" t="s">
        <v>258</v>
      </c>
      <c r="CL524" s="5" t="s">
        <v>238</v>
      </c>
      <c r="CM524" s="5" t="s">
        <v>238</v>
      </c>
      <c r="CN524" s="5">
        <v>0</v>
      </c>
      <c r="CO524" s="5" t="s">
        <v>259</v>
      </c>
      <c r="CP524" s="5" t="s">
        <v>260</v>
      </c>
      <c r="CQ524" s="5" t="s">
        <v>260</v>
      </c>
      <c r="CR524" s="5" t="s">
        <v>261</v>
      </c>
      <c r="CU524" s="8">
        <f>6754</f>
        <v>6754</v>
      </c>
      <c r="CV524" s="8">
        <f>0</f>
        <v>0</v>
      </c>
      <c r="CX524" s="8">
        <f>0</f>
        <v>0</v>
      </c>
      <c r="CY524" s="8">
        <f>6754</f>
        <v>6754</v>
      </c>
      <c r="DA524" s="5" t="s">
        <v>533</v>
      </c>
      <c r="DB524" s="5" t="s">
        <v>238</v>
      </c>
      <c r="DD524" s="5" t="s">
        <v>356</v>
      </c>
      <c r="DE524" s="8">
        <f>0</f>
        <v>0</v>
      </c>
      <c r="DG524" s="5" t="s">
        <v>534</v>
      </c>
      <c r="DH524" s="5" t="s">
        <v>238</v>
      </c>
      <c r="DI524" s="5" t="s">
        <v>238</v>
      </c>
      <c r="DJ524" s="5" t="s">
        <v>238</v>
      </c>
      <c r="DN524" s="5" t="s">
        <v>238</v>
      </c>
      <c r="DO524" s="5" t="s">
        <v>238</v>
      </c>
      <c r="DP524" s="5" t="s">
        <v>238</v>
      </c>
      <c r="DQ524" s="5" t="s">
        <v>238</v>
      </c>
      <c r="DT524" s="5" t="s">
        <v>535</v>
      </c>
      <c r="DU524" s="5" t="s">
        <v>1178</v>
      </c>
      <c r="HM524" s="5" t="s">
        <v>264</v>
      </c>
    </row>
    <row r="525" spans="1:221" x14ac:dyDescent="0.4">
      <c r="A525" s="5">
        <v>1387</v>
      </c>
      <c r="B525" s="5">
        <v>1</v>
      </c>
      <c r="C525" s="5">
        <v>1</v>
      </c>
      <c r="D525" s="5" t="s">
        <v>484</v>
      </c>
      <c r="E525" s="5" t="s">
        <v>485</v>
      </c>
      <c r="F525" s="5" t="s">
        <v>248</v>
      </c>
      <c r="G525" s="5" t="s">
        <v>531</v>
      </c>
      <c r="H525" s="6" t="s">
        <v>713</v>
      </c>
      <c r="I525" s="7">
        <f>4311</f>
        <v>4311</v>
      </c>
      <c r="J525" s="5" t="s">
        <v>262</v>
      </c>
      <c r="K525" s="8">
        <f>47421</f>
        <v>47421</v>
      </c>
      <c r="L525" s="6" t="s">
        <v>242</v>
      </c>
      <c r="M525" s="5" t="s">
        <v>267</v>
      </c>
      <c r="N525" s="5" t="s">
        <v>237</v>
      </c>
      <c r="O525" s="5" t="s">
        <v>238</v>
      </c>
      <c r="P525" s="5" t="s">
        <v>238</v>
      </c>
      <c r="Q525" s="5" t="s">
        <v>239</v>
      </c>
      <c r="R525" s="5" t="s">
        <v>240</v>
      </c>
      <c r="S525" s="5" t="s">
        <v>238</v>
      </c>
      <c r="V525" s="5" t="s">
        <v>238</v>
      </c>
      <c r="X525" s="6" t="s">
        <v>238</v>
      </c>
      <c r="AA525" s="6" t="s">
        <v>243</v>
      </c>
      <c r="AB525" s="5" t="s">
        <v>238</v>
      </c>
      <c r="AC525" s="5" t="s">
        <v>244</v>
      </c>
      <c r="AD525" s="5" t="s">
        <v>245</v>
      </c>
      <c r="AT525" s="5" t="s">
        <v>246</v>
      </c>
      <c r="AU525" s="5" t="s">
        <v>238</v>
      </c>
      <c r="AV525" s="5" t="s">
        <v>247</v>
      </c>
      <c r="AW525" s="5" t="s">
        <v>238</v>
      </c>
      <c r="AX525" s="5" t="s">
        <v>249</v>
      </c>
      <c r="AY525" s="5" t="s">
        <v>238</v>
      </c>
      <c r="BA525" s="5" t="s">
        <v>238</v>
      </c>
      <c r="BC525" s="5" t="s">
        <v>250</v>
      </c>
      <c r="BD525" s="6" t="s">
        <v>243</v>
      </c>
      <c r="BE525" s="5" t="s">
        <v>251</v>
      </c>
      <c r="BF525" s="5" t="s">
        <v>252</v>
      </c>
      <c r="BG525" s="5" t="s">
        <v>238</v>
      </c>
      <c r="BH525" s="7">
        <f>0</f>
        <v>0</v>
      </c>
      <c r="BI525" s="8">
        <f>0</f>
        <v>0</v>
      </c>
      <c r="BJ525" s="5" t="s">
        <v>253</v>
      </c>
      <c r="BK525" s="5" t="s">
        <v>254</v>
      </c>
      <c r="BY525" s="5" t="s">
        <v>238</v>
      </c>
      <c r="BZ525" s="5" t="s">
        <v>238</v>
      </c>
      <c r="CD525" s="5" t="s">
        <v>255</v>
      </c>
      <c r="CE525" s="5" t="s">
        <v>256</v>
      </c>
      <c r="CF525" s="5" t="s">
        <v>238</v>
      </c>
      <c r="CI525" s="6" t="s">
        <v>257</v>
      </c>
      <c r="CJ525" s="5" t="s">
        <v>238</v>
      </c>
      <c r="CK525" s="5" t="s">
        <v>258</v>
      </c>
      <c r="CL525" s="5" t="s">
        <v>238</v>
      </c>
      <c r="CM525" s="5" t="s">
        <v>238</v>
      </c>
      <c r="CN525" s="5">
        <v>0</v>
      </c>
      <c r="CO525" s="5" t="s">
        <v>259</v>
      </c>
      <c r="CP525" s="5" t="s">
        <v>260</v>
      </c>
      <c r="CQ525" s="5" t="s">
        <v>260</v>
      </c>
      <c r="CR525" s="5" t="s">
        <v>261</v>
      </c>
      <c r="CU525" s="8">
        <f>47421</f>
        <v>47421</v>
      </c>
      <c r="CV525" s="8">
        <f>0</f>
        <v>0</v>
      </c>
      <c r="CX525" s="8">
        <f>0</f>
        <v>0</v>
      </c>
      <c r="CY525" s="8">
        <f>47421</f>
        <v>47421</v>
      </c>
      <c r="DA525" s="5" t="s">
        <v>533</v>
      </c>
      <c r="DB525" s="5" t="s">
        <v>238</v>
      </c>
      <c r="DD525" s="5" t="s">
        <v>356</v>
      </c>
      <c r="DE525" s="8">
        <f>0</f>
        <v>0</v>
      </c>
      <c r="DG525" s="5" t="s">
        <v>534</v>
      </c>
      <c r="DH525" s="5" t="s">
        <v>238</v>
      </c>
      <c r="DI525" s="5" t="s">
        <v>238</v>
      </c>
      <c r="DJ525" s="5" t="s">
        <v>238</v>
      </c>
      <c r="DN525" s="5" t="s">
        <v>238</v>
      </c>
      <c r="DO525" s="5" t="s">
        <v>238</v>
      </c>
      <c r="DP525" s="5" t="s">
        <v>238</v>
      </c>
      <c r="DQ525" s="5" t="s">
        <v>238</v>
      </c>
      <c r="DT525" s="5" t="s">
        <v>535</v>
      </c>
      <c r="DU525" s="5" t="s">
        <v>714</v>
      </c>
      <c r="HM525" s="5" t="s">
        <v>264</v>
      </c>
    </row>
    <row r="526" spans="1:221" x14ac:dyDescent="0.4">
      <c r="A526" s="5">
        <v>1388</v>
      </c>
      <c r="B526" s="5">
        <v>1</v>
      </c>
      <c r="C526" s="5">
        <v>1</v>
      </c>
      <c r="D526" s="5" t="s">
        <v>484</v>
      </c>
      <c r="E526" s="5" t="s">
        <v>485</v>
      </c>
      <c r="F526" s="5" t="s">
        <v>248</v>
      </c>
      <c r="G526" s="5" t="s">
        <v>531</v>
      </c>
      <c r="H526" s="6" t="s">
        <v>665</v>
      </c>
      <c r="I526" s="7">
        <f>3994</f>
        <v>3994</v>
      </c>
      <c r="J526" s="5" t="s">
        <v>262</v>
      </c>
      <c r="K526" s="8">
        <f>43934</f>
        <v>43934</v>
      </c>
      <c r="L526" s="6" t="s">
        <v>242</v>
      </c>
      <c r="M526" s="5" t="s">
        <v>267</v>
      </c>
      <c r="N526" s="5" t="s">
        <v>237</v>
      </c>
      <c r="O526" s="5" t="s">
        <v>238</v>
      </c>
      <c r="P526" s="5" t="s">
        <v>238</v>
      </c>
      <c r="Q526" s="5" t="s">
        <v>239</v>
      </c>
      <c r="R526" s="5" t="s">
        <v>240</v>
      </c>
      <c r="S526" s="5" t="s">
        <v>238</v>
      </c>
      <c r="V526" s="5" t="s">
        <v>238</v>
      </c>
      <c r="X526" s="6" t="s">
        <v>238</v>
      </c>
      <c r="AA526" s="6" t="s">
        <v>243</v>
      </c>
      <c r="AB526" s="5" t="s">
        <v>238</v>
      </c>
      <c r="AC526" s="5" t="s">
        <v>244</v>
      </c>
      <c r="AD526" s="5" t="s">
        <v>245</v>
      </c>
      <c r="AT526" s="5" t="s">
        <v>246</v>
      </c>
      <c r="AU526" s="5" t="s">
        <v>238</v>
      </c>
      <c r="AV526" s="5" t="s">
        <v>247</v>
      </c>
      <c r="AW526" s="5" t="s">
        <v>238</v>
      </c>
      <c r="AX526" s="5" t="s">
        <v>249</v>
      </c>
      <c r="AY526" s="5" t="s">
        <v>238</v>
      </c>
      <c r="BA526" s="5" t="s">
        <v>238</v>
      </c>
      <c r="BC526" s="5" t="s">
        <v>250</v>
      </c>
      <c r="BD526" s="6" t="s">
        <v>243</v>
      </c>
      <c r="BE526" s="5" t="s">
        <v>251</v>
      </c>
      <c r="BF526" s="5" t="s">
        <v>252</v>
      </c>
      <c r="BG526" s="5" t="s">
        <v>238</v>
      </c>
      <c r="BH526" s="7">
        <f>0</f>
        <v>0</v>
      </c>
      <c r="BI526" s="8">
        <f>0</f>
        <v>0</v>
      </c>
      <c r="BJ526" s="5" t="s">
        <v>253</v>
      </c>
      <c r="BK526" s="5" t="s">
        <v>254</v>
      </c>
      <c r="BY526" s="5" t="s">
        <v>238</v>
      </c>
      <c r="BZ526" s="5" t="s">
        <v>238</v>
      </c>
      <c r="CD526" s="5" t="s">
        <v>255</v>
      </c>
      <c r="CE526" s="5" t="s">
        <v>256</v>
      </c>
      <c r="CF526" s="5" t="s">
        <v>238</v>
      </c>
      <c r="CI526" s="6" t="s">
        <v>257</v>
      </c>
      <c r="CJ526" s="5" t="s">
        <v>238</v>
      </c>
      <c r="CK526" s="5" t="s">
        <v>258</v>
      </c>
      <c r="CL526" s="5" t="s">
        <v>238</v>
      </c>
      <c r="CM526" s="5" t="s">
        <v>238</v>
      </c>
      <c r="CN526" s="5">
        <v>0</v>
      </c>
      <c r="CO526" s="5" t="s">
        <v>259</v>
      </c>
      <c r="CP526" s="5" t="s">
        <v>260</v>
      </c>
      <c r="CQ526" s="5" t="s">
        <v>260</v>
      </c>
      <c r="CR526" s="5" t="s">
        <v>261</v>
      </c>
      <c r="CU526" s="8">
        <f>43934</f>
        <v>43934</v>
      </c>
      <c r="CV526" s="8">
        <f>0</f>
        <v>0</v>
      </c>
      <c r="CX526" s="8">
        <f>0</f>
        <v>0</v>
      </c>
      <c r="CY526" s="8">
        <f>43934</f>
        <v>43934</v>
      </c>
      <c r="DA526" s="5" t="s">
        <v>533</v>
      </c>
      <c r="DB526" s="5" t="s">
        <v>238</v>
      </c>
      <c r="DD526" s="5" t="s">
        <v>356</v>
      </c>
      <c r="DE526" s="8">
        <f>0</f>
        <v>0</v>
      </c>
      <c r="DG526" s="5" t="s">
        <v>534</v>
      </c>
      <c r="DH526" s="5" t="s">
        <v>238</v>
      </c>
      <c r="DI526" s="5" t="s">
        <v>238</v>
      </c>
      <c r="DJ526" s="5" t="s">
        <v>238</v>
      </c>
      <c r="DN526" s="5" t="s">
        <v>238</v>
      </c>
      <c r="DO526" s="5" t="s">
        <v>238</v>
      </c>
      <c r="DP526" s="5" t="s">
        <v>238</v>
      </c>
      <c r="DQ526" s="5" t="s">
        <v>238</v>
      </c>
      <c r="DT526" s="5" t="s">
        <v>535</v>
      </c>
      <c r="DU526" s="5" t="s">
        <v>666</v>
      </c>
      <c r="HM526" s="5" t="s">
        <v>264</v>
      </c>
    </row>
    <row r="527" spans="1:221" x14ac:dyDescent="0.4">
      <c r="A527" s="5">
        <v>1389</v>
      </c>
      <c r="B527" s="5">
        <v>1</v>
      </c>
      <c r="C527" s="5">
        <v>1</v>
      </c>
      <c r="D527" s="5" t="s">
        <v>484</v>
      </c>
      <c r="E527" s="5" t="s">
        <v>485</v>
      </c>
      <c r="F527" s="5" t="s">
        <v>248</v>
      </c>
      <c r="G527" s="5" t="s">
        <v>531</v>
      </c>
      <c r="H527" s="6" t="s">
        <v>532</v>
      </c>
      <c r="I527" s="7">
        <f>1278</f>
        <v>1278</v>
      </c>
      <c r="J527" s="5" t="s">
        <v>262</v>
      </c>
      <c r="K527" s="8">
        <f>14058</f>
        <v>14058</v>
      </c>
      <c r="L527" s="6" t="s">
        <v>242</v>
      </c>
      <c r="M527" s="5" t="s">
        <v>267</v>
      </c>
      <c r="N527" s="5" t="s">
        <v>237</v>
      </c>
      <c r="O527" s="5" t="s">
        <v>238</v>
      </c>
      <c r="P527" s="5" t="s">
        <v>238</v>
      </c>
      <c r="Q527" s="5" t="s">
        <v>239</v>
      </c>
      <c r="R527" s="5" t="s">
        <v>240</v>
      </c>
      <c r="S527" s="5" t="s">
        <v>238</v>
      </c>
      <c r="V527" s="5" t="s">
        <v>238</v>
      </c>
      <c r="X527" s="6" t="s">
        <v>238</v>
      </c>
      <c r="AA527" s="6" t="s">
        <v>243</v>
      </c>
      <c r="AB527" s="5" t="s">
        <v>238</v>
      </c>
      <c r="AC527" s="5" t="s">
        <v>244</v>
      </c>
      <c r="AD527" s="5" t="s">
        <v>245</v>
      </c>
      <c r="AT527" s="5" t="s">
        <v>246</v>
      </c>
      <c r="AU527" s="5" t="s">
        <v>238</v>
      </c>
      <c r="AV527" s="5" t="s">
        <v>247</v>
      </c>
      <c r="AW527" s="5" t="s">
        <v>238</v>
      </c>
      <c r="AX527" s="5" t="s">
        <v>249</v>
      </c>
      <c r="AY527" s="5" t="s">
        <v>238</v>
      </c>
      <c r="BA527" s="5" t="s">
        <v>238</v>
      </c>
      <c r="BC527" s="5" t="s">
        <v>250</v>
      </c>
      <c r="BD527" s="6" t="s">
        <v>243</v>
      </c>
      <c r="BE527" s="5" t="s">
        <v>251</v>
      </c>
      <c r="BF527" s="5" t="s">
        <v>252</v>
      </c>
      <c r="BG527" s="5" t="s">
        <v>238</v>
      </c>
      <c r="BH527" s="7">
        <f>0</f>
        <v>0</v>
      </c>
      <c r="BI527" s="8">
        <f>0</f>
        <v>0</v>
      </c>
      <c r="BJ527" s="5" t="s">
        <v>253</v>
      </c>
      <c r="BK527" s="5" t="s">
        <v>254</v>
      </c>
      <c r="BY527" s="5" t="s">
        <v>238</v>
      </c>
      <c r="BZ527" s="5" t="s">
        <v>238</v>
      </c>
      <c r="CD527" s="5" t="s">
        <v>255</v>
      </c>
      <c r="CE527" s="5" t="s">
        <v>256</v>
      </c>
      <c r="CF527" s="5" t="s">
        <v>238</v>
      </c>
      <c r="CI527" s="6" t="s">
        <v>257</v>
      </c>
      <c r="CJ527" s="5" t="s">
        <v>238</v>
      </c>
      <c r="CK527" s="5" t="s">
        <v>258</v>
      </c>
      <c r="CL527" s="5" t="s">
        <v>238</v>
      </c>
      <c r="CM527" s="5" t="s">
        <v>238</v>
      </c>
      <c r="CN527" s="5">
        <v>0</v>
      </c>
      <c r="CO527" s="5" t="s">
        <v>259</v>
      </c>
      <c r="CP527" s="5" t="s">
        <v>260</v>
      </c>
      <c r="CQ527" s="5" t="s">
        <v>260</v>
      </c>
      <c r="CR527" s="5" t="s">
        <v>261</v>
      </c>
      <c r="CU527" s="8">
        <f>14058</f>
        <v>14058</v>
      </c>
      <c r="CV527" s="8">
        <f>0</f>
        <v>0</v>
      </c>
      <c r="CX527" s="8">
        <f>0</f>
        <v>0</v>
      </c>
      <c r="CY527" s="8">
        <f>14058</f>
        <v>14058</v>
      </c>
      <c r="DA527" s="5" t="s">
        <v>533</v>
      </c>
      <c r="DB527" s="5" t="s">
        <v>238</v>
      </c>
      <c r="DD527" s="5" t="s">
        <v>356</v>
      </c>
      <c r="DE527" s="8">
        <f>0</f>
        <v>0</v>
      </c>
      <c r="DG527" s="5" t="s">
        <v>534</v>
      </c>
      <c r="DH527" s="5" t="s">
        <v>238</v>
      </c>
      <c r="DI527" s="5" t="s">
        <v>238</v>
      </c>
      <c r="DJ527" s="5" t="s">
        <v>238</v>
      </c>
      <c r="DN527" s="5" t="s">
        <v>238</v>
      </c>
      <c r="DO527" s="5" t="s">
        <v>238</v>
      </c>
      <c r="DP527" s="5" t="s">
        <v>238</v>
      </c>
      <c r="DQ527" s="5" t="s">
        <v>238</v>
      </c>
      <c r="DT527" s="5" t="s">
        <v>535</v>
      </c>
      <c r="DU527" s="5" t="s">
        <v>536</v>
      </c>
      <c r="HM527" s="5" t="s">
        <v>264</v>
      </c>
    </row>
    <row r="528" spans="1:221" x14ac:dyDescent="0.4">
      <c r="A528" s="5">
        <v>1390</v>
      </c>
      <c r="B528" s="5">
        <v>1</v>
      </c>
      <c r="C528" s="5">
        <v>1</v>
      </c>
      <c r="D528" s="5" t="s">
        <v>484</v>
      </c>
      <c r="E528" s="5" t="s">
        <v>485</v>
      </c>
      <c r="F528" s="5" t="s">
        <v>248</v>
      </c>
      <c r="G528" s="5" t="s">
        <v>531</v>
      </c>
      <c r="H528" s="6" t="s">
        <v>5837</v>
      </c>
      <c r="I528" s="7">
        <f>1763</f>
        <v>1763</v>
      </c>
      <c r="J528" s="5" t="s">
        <v>262</v>
      </c>
      <c r="K528" s="8">
        <f>19393</f>
        <v>19393</v>
      </c>
      <c r="L528" s="6" t="s">
        <v>242</v>
      </c>
      <c r="M528" s="5" t="s">
        <v>267</v>
      </c>
      <c r="N528" s="5" t="s">
        <v>237</v>
      </c>
      <c r="O528" s="5" t="s">
        <v>238</v>
      </c>
      <c r="P528" s="5" t="s">
        <v>238</v>
      </c>
      <c r="Q528" s="5" t="s">
        <v>239</v>
      </c>
      <c r="R528" s="5" t="s">
        <v>240</v>
      </c>
      <c r="S528" s="5" t="s">
        <v>238</v>
      </c>
      <c r="V528" s="5" t="s">
        <v>238</v>
      </c>
      <c r="X528" s="6" t="s">
        <v>238</v>
      </c>
      <c r="AA528" s="6" t="s">
        <v>243</v>
      </c>
      <c r="AB528" s="5" t="s">
        <v>238</v>
      </c>
      <c r="AC528" s="5" t="s">
        <v>244</v>
      </c>
      <c r="AD528" s="5" t="s">
        <v>245</v>
      </c>
      <c r="AT528" s="5" t="s">
        <v>246</v>
      </c>
      <c r="AU528" s="5" t="s">
        <v>238</v>
      </c>
      <c r="AV528" s="5" t="s">
        <v>247</v>
      </c>
      <c r="AW528" s="5" t="s">
        <v>238</v>
      </c>
      <c r="AX528" s="5" t="s">
        <v>249</v>
      </c>
      <c r="AY528" s="5" t="s">
        <v>238</v>
      </c>
      <c r="BA528" s="5" t="s">
        <v>238</v>
      </c>
      <c r="BC528" s="5" t="s">
        <v>250</v>
      </c>
      <c r="BD528" s="6" t="s">
        <v>243</v>
      </c>
      <c r="BE528" s="5" t="s">
        <v>251</v>
      </c>
      <c r="BF528" s="5" t="s">
        <v>252</v>
      </c>
      <c r="BG528" s="5" t="s">
        <v>238</v>
      </c>
      <c r="BH528" s="7">
        <f>0</f>
        <v>0</v>
      </c>
      <c r="BI528" s="8">
        <f>0</f>
        <v>0</v>
      </c>
      <c r="BJ528" s="5" t="s">
        <v>253</v>
      </c>
      <c r="BK528" s="5" t="s">
        <v>254</v>
      </c>
      <c r="BY528" s="5" t="s">
        <v>238</v>
      </c>
      <c r="BZ528" s="5" t="s">
        <v>238</v>
      </c>
      <c r="CD528" s="5" t="s">
        <v>255</v>
      </c>
      <c r="CE528" s="5" t="s">
        <v>256</v>
      </c>
      <c r="CF528" s="5" t="s">
        <v>238</v>
      </c>
      <c r="CI528" s="6" t="s">
        <v>257</v>
      </c>
      <c r="CJ528" s="5" t="s">
        <v>238</v>
      </c>
      <c r="CK528" s="5" t="s">
        <v>258</v>
      </c>
      <c r="CL528" s="5" t="s">
        <v>238</v>
      </c>
      <c r="CM528" s="5" t="s">
        <v>238</v>
      </c>
      <c r="CN528" s="5">
        <v>0</v>
      </c>
      <c r="CO528" s="5" t="s">
        <v>259</v>
      </c>
      <c r="CP528" s="5" t="s">
        <v>260</v>
      </c>
      <c r="CQ528" s="5" t="s">
        <v>260</v>
      </c>
      <c r="CR528" s="5" t="s">
        <v>261</v>
      </c>
      <c r="CU528" s="8">
        <f>19393</f>
        <v>19393</v>
      </c>
      <c r="CV528" s="8">
        <f>0</f>
        <v>0</v>
      </c>
      <c r="CX528" s="8">
        <f>0</f>
        <v>0</v>
      </c>
      <c r="CY528" s="8">
        <f>19393</f>
        <v>19393</v>
      </c>
      <c r="DA528" s="5" t="s">
        <v>533</v>
      </c>
      <c r="DB528" s="5" t="s">
        <v>238</v>
      </c>
      <c r="DD528" s="5" t="s">
        <v>356</v>
      </c>
      <c r="DE528" s="8">
        <f>0</f>
        <v>0</v>
      </c>
      <c r="DG528" s="5" t="s">
        <v>534</v>
      </c>
      <c r="DH528" s="5" t="s">
        <v>238</v>
      </c>
      <c r="DI528" s="5" t="s">
        <v>238</v>
      </c>
      <c r="DJ528" s="5" t="s">
        <v>238</v>
      </c>
      <c r="DN528" s="5" t="s">
        <v>238</v>
      </c>
      <c r="DO528" s="5" t="s">
        <v>238</v>
      </c>
      <c r="DP528" s="5" t="s">
        <v>238</v>
      </c>
      <c r="DQ528" s="5" t="s">
        <v>238</v>
      </c>
      <c r="DT528" s="5" t="s">
        <v>535</v>
      </c>
      <c r="DU528" s="5" t="s">
        <v>1166</v>
      </c>
      <c r="HM528" s="5" t="s">
        <v>264</v>
      </c>
    </row>
    <row r="529" spans="1:221" x14ac:dyDescent="0.4">
      <c r="A529" s="5">
        <v>1391</v>
      </c>
      <c r="B529" s="5">
        <v>1</v>
      </c>
      <c r="C529" s="5">
        <v>1</v>
      </c>
      <c r="D529" s="5" t="s">
        <v>484</v>
      </c>
      <c r="E529" s="5" t="s">
        <v>485</v>
      </c>
      <c r="F529" s="5" t="s">
        <v>248</v>
      </c>
      <c r="G529" s="5" t="s">
        <v>531</v>
      </c>
      <c r="H529" s="6" t="s">
        <v>5788</v>
      </c>
      <c r="I529" s="7">
        <f>3188</f>
        <v>3188</v>
      </c>
      <c r="J529" s="5" t="s">
        <v>262</v>
      </c>
      <c r="K529" s="8">
        <f>35068</f>
        <v>35068</v>
      </c>
      <c r="L529" s="6" t="s">
        <v>242</v>
      </c>
      <c r="M529" s="5" t="s">
        <v>267</v>
      </c>
      <c r="N529" s="5" t="s">
        <v>237</v>
      </c>
      <c r="O529" s="5" t="s">
        <v>238</v>
      </c>
      <c r="P529" s="5" t="s">
        <v>238</v>
      </c>
      <c r="Q529" s="5" t="s">
        <v>239</v>
      </c>
      <c r="R529" s="5" t="s">
        <v>240</v>
      </c>
      <c r="S529" s="5" t="s">
        <v>238</v>
      </c>
      <c r="V529" s="5" t="s">
        <v>238</v>
      </c>
      <c r="X529" s="6" t="s">
        <v>238</v>
      </c>
      <c r="AA529" s="6" t="s">
        <v>243</v>
      </c>
      <c r="AB529" s="5" t="s">
        <v>238</v>
      </c>
      <c r="AC529" s="5" t="s">
        <v>244</v>
      </c>
      <c r="AD529" s="5" t="s">
        <v>245</v>
      </c>
      <c r="AT529" s="5" t="s">
        <v>246</v>
      </c>
      <c r="AU529" s="5" t="s">
        <v>238</v>
      </c>
      <c r="AV529" s="5" t="s">
        <v>247</v>
      </c>
      <c r="AW529" s="5" t="s">
        <v>238</v>
      </c>
      <c r="AX529" s="5" t="s">
        <v>249</v>
      </c>
      <c r="AY529" s="5" t="s">
        <v>238</v>
      </c>
      <c r="BA529" s="5" t="s">
        <v>238</v>
      </c>
      <c r="BC529" s="5" t="s">
        <v>250</v>
      </c>
      <c r="BD529" s="6" t="s">
        <v>243</v>
      </c>
      <c r="BE529" s="5" t="s">
        <v>251</v>
      </c>
      <c r="BF529" s="5" t="s">
        <v>252</v>
      </c>
      <c r="BG529" s="5" t="s">
        <v>238</v>
      </c>
      <c r="BH529" s="7">
        <f>0</f>
        <v>0</v>
      </c>
      <c r="BI529" s="8">
        <f>0</f>
        <v>0</v>
      </c>
      <c r="BJ529" s="5" t="s">
        <v>253</v>
      </c>
      <c r="BK529" s="5" t="s">
        <v>254</v>
      </c>
      <c r="BY529" s="5" t="s">
        <v>238</v>
      </c>
      <c r="BZ529" s="5" t="s">
        <v>238</v>
      </c>
      <c r="CD529" s="5" t="s">
        <v>255</v>
      </c>
      <c r="CE529" s="5" t="s">
        <v>256</v>
      </c>
      <c r="CF529" s="5" t="s">
        <v>238</v>
      </c>
      <c r="CI529" s="6" t="s">
        <v>257</v>
      </c>
      <c r="CJ529" s="5" t="s">
        <v>238</v>
      </c>
      <c r="CK529" s="5" t="s">
        <v>258</v>
      </c>
      <c r="CL529" s="5" t="s">
        <v>238</v>
      </c>
      <c r="CM529" s="5" t="s">
        <v>238</v>
      </c>
      <c r="CN529" s="5">
        <v>0</v>
      </c>
      <c r="CO529" s="5" t="s">
        <v>259</v>
      </c>
      <c r="CP529" s="5" t="s">
        <v>260</v>
      </c>
      <c r="CQ529" s="5" t="s">
        <v>260</v>
      </c>
      <c r="CR529" s="5" t="s">
        <v>261</v>
      </c>
      <c r="CU529" s="8">
        <f>35068</f>
        <v>35068</v>
      </c>
      <c r="CV529" s="8">
        <f>0</f>
        <v>0</v>
      </c>
      <c r="CX529" s="8">
        <f>0</f>
        <v>0</v>
      </c>
      <c r="CY529" s="8">
        <f>35068</f>
        <v>35068</v>
      </c>
      <c r="DA529" s="5" t="s">
        <v>533</v>
      </c>
      <c r="DB529" s="5" t="s">
        <v>238</v>
      </c>
      <c r="DD529" s="5" t="s">
        <v>356</v>
      </c>
      <c r="DE529" s="8">
        <f>0</f>
        <v>0</v>
      </c>
      <c r="DG529" s="5" t="s">
        <v>534</v>
      </c>
      <c r="DH529" s="5" t="s">
        <v>238</v>
      </c>
      <c r="DI529" s="5" t="s">
        <v>238</v>
      </c>
      <c r="DJ529" s="5" t="s">
        <v>238</v>
      </c>
      <c r="DN529" s="5" t="s">
        <v>238</v>
      </c>
      <c r="DO529" s="5" t="s">
        <v>238</v>
      </c>
      <c r="DP529" s="5" t="s">
        <v>238</v>
      </c>
      <c r="DQ529" s="5" t="s">
        <v>238</v>
      </c>
      <c r="DT529" s="5" t="s">
        <v>535</v>
      </c>
      <c r="DU529" s="5" t="s">
        <v>1164</v>
      </c>
      <c r="HM529" s="5" t="s">
        <v>264</v>
      </c>
    </row>
    <row r="530" spans="1:221" x14ac:dyDescent="0.4">
      <c r="A530" s="5">
        <v>1392</v>
      </c>
      <c r="B530" s="5">
        <v>1</v>
      </c>
      <c r="C530" s="5">
        <v>1</v>
      </c>
      <c r="D530" s="5" t="s">
        <v>484</v>
      </c>
      <c r="E530" s="5" t="s">
        <v>485</v>
      </c>
      <c r="F530" s="5" t="s">
        <v>248</v>
      </c>
      <c r="G530" s="5" t="s">
        <v>531</v>
      </c>
      <c r="H530" s="6" t="s">
        <v>5013</v>
      </c>
      <c r="I530" s="7">
        <f>1312</f>
        <v>1312</v>
      </c>
      <c r="J530" s="5" t="s">
        <v>262</v>
      </c>
      <c r="K530" s="8">
        <f>14432</f>
        <v>14432</v>
      </c>
      <c r="L530" s="6" t="s">
        <v>242</v>
      </c>
      <c r="M530" s="5" t="s">
        <v>267</v>
      </c>
      <c r="N530" s="5" t="s">
        <v>237</v>
      </c>
      <c r="O530" s="5" t="s">
        <v>238</v>
      </c>
      <c r="P530" s="5" t="s">
        <v>238</v>
      </c>
      <c r="Q530" s="5" t="s">
        <v>239</v>
      </c>
      <c r="R530" s="5" t="s">
        <v>240</v>
      </c>
      <c r="S530" s="5" t="s">
        <v>238</v>
      </c>
      <c r="V530" s="5" t="s">
        <v>238</v>
      </c>
      <c r="X530" s="6" t="s">
        <v>238</v>
      </c>
      <c r="AA530" s="6" t="s">
        <v>243</v>
      </c>
      <c r="AB530" s="5" t="s">
        <v>238</v>
      </c>
      <c r="AC530" s="5" t="s">
        <v>244</v>
      </c>
      <c r="AD530" s="5" t="s">
        <v>245</v>
      </c>
      <c r="AT530" s="5" t="s">
        <v>246</v>
      </c>
      <c r="AU530" s="5" t="s">
        <v>238</v>
      </c>
      <c r="AV530" s="5" t="s">
        <v>247</v>
      </c>
      <c r="AW530" s="5" t="s">
        <v>238</v>
      </c>
      <c r="AX530" s="5" t="s">
        <v>249</v>
      </c>
      <c r="AY530" s="5" t="s">
        <v>238</v>
      </c>
      <c r="BA530" s="5" t="s">
        <v>238</v>
      </c>
      <c r="BC530" s="5" t="s">
        <v>250</v>
      </c>
      <c r="BD530" s="6" t="s">
        <v>243</v>
      </c>
      <c r="BE530" s="5" t="s">
        <v>251</v>
      </c>
      <c r="BF530" s="5" t="s">
        <v>252</v>
      </c>
      <c r="BG530" s="5" t="s">
        <v>238</v>
      </c>
      <c r="BH530" s="7">
        <f>0</f>
        <v>0</v>
      </c>
      <c r="BI530" s="8">
        <f>0</f>
        <v>0</v>
      </c>
      <c r="BJ530" s="5" t="s">
        <v>253</v>
      </c>
      <c r="BK530" s="5" t="s">
        <v>254</v>
      </c>
      <c r="BY530" s="5" t="s">
        <v>238</v>
      </c>
      <c r="BZ530" s="5" t="s">
        <v>238</v>
      </c>
      <c r="CD530" s="5" t="s">
        <v>255</v>
      </c>
      <c r="CE530" s="5" t="s">
        <v>256</v>
      </c>
      <c r="CF530" s="5" t="s">
        <v>238</v>
      </c>
      <c r="CI530" s="6" t="s">
        <v>257</v>
      </c>
      <c r="CJ530" s="5" t="s">
        <v>238</v>
      </c>
      <c r="CK530" s="5" t="s">
        <v>258</v>
      </c>
      <c r="CL530" s="5" t="s">
        <v>238</v>
      </c>
      <c r="CM530" s="5" t="s">
        <v>238</v>
      </c>
      <c r="CN530" s="5">
        <v>0</v>
      </c>
      <c r="CO530" s="5" t="s">
        <v>259</v>
      </c>
      <c r="CP530" s="5" t="s">
        <v>260</v>
      </c>
      <c r="CQ530" s="5" t="s">
        <v>260</v>
      </c>
      <c r="CR530" s="5" t="s">
        <v>261</v>
      </c>
      <c r="CU530" s="8">
        <f>14432</f>
        <v>14432</v>
      </c>
      <c r="CV530" s="8">
        <f>0</f>
        <v>0</v>
      </c>
      <c r="CX530" s="8">
        <f>0</f>
        <v>0</v>
      </c>
      <c r="CY530" s="8">
        <f>14432</f>
        <v>14432</v>
      </c>
      <c r="DA530" s="5" t="s">
        <v>533</v>
      </c>
      <c r="DB530" s="5" t="s">
        <v>238</v>
      </c>
      <c r="DD530" s="5" t="s">
        <v>356</v>
      </c>
      <c r="DE530" s="8">
        <f>0</f>
        <v>0</v>
      </c>
      <c r="DG530" s="5" t="s">
        <v>534</v>
      </c>
      <c r="DH530" s="5" t="s">
        <v>238</v>
      </c>
      <c r="DI530" s="5" t="s">
        <v>238</v>
      </c>
      <c r="DJ530" s="5" t="s">
        <v>238</v>
      </c>
      <c r="DN530" s="5" t="s">
        <v>238</v>
      </c>
      <c r="DO530" s="5" t="s">
        <v>238</v>
      </c>
      <c r="DP530" s="5" t="s">
        <v>238</v>
      </c>
      <c r="DQ530" s="5" t="s">
        <v>238</v>
      </c>
      <c r="DT530" s="5" t="s">
        <v>535</v>
      </c>
      <c r="DU530" s="5" t="s">
        <v>1162</v>
      </c>
      <c r="HM530" s="5" t="s">
        <v>264</v>
      </c>
    </row>
    <row r="531" spans="1:221" x14ac:dyDescent="0.4">
      <c r="A531" s="5">
        <v>1393</v>
      </c>
      <c r="B531" s="5">
        <v>1</v>
      </c>
      <c r="C531" s="5">
        <v>1</v>
      </c>
      <c r="D531" s="5" t="s">
        <v>484</v>
      </c>
      <c r="E531" s="5" t="s">
        <v>485</v>
      </c>
      <c r="F531" s="5" t="s">
        <v>248</v>
      </c>
      <c r="G531" s="5" t="s">
        <v>531</v>
      </c>
      <c r="H531" s="6" t="s">
        <v>5425</v>
      </c>
      <c r="I531" s="7">
        <f>736</f>
        <v>736</v>
      </c>
      <c r="J531" s="5" t="s">
        <v>262</v>
      </c>
      <c r="K531" s="8">
        <f>8096</f>
        <v>8096</v>
      </c>
      <c r="L531" s="6" t="s">
        <v>242</v>
      </c>
      <c r="M531" s="5" t="s">
        <v>267</v>
      </c>
      <c r="N531" s="5" t="s">
        <v>237</v>
      </c>
      <c r="O531" s="5" t="s">
        <v>238</v>
      </c>
      <c r="P531" s="5" t="s">
        <v>238</v>
      </c>
      <c r="Q531" s="5" t="s">
        <v>239</v>
      </c>
      <c r="R531" s="5" t="s">
        <v>240</v>
      </c>
      <c r="S531" s="5" t="s">
        <v>238</v>
      </c>
      <c r="V531" s="5" t="s">
        <v>238</v>
      </c>
      <c r="X531" s="6" t="s">
        <v>238</v>
      </c>
      <c r="AA531" s="6" t="s">
        <v>243</v>
      </c>
      <c r="AB531" s="5" t="s">
        <v>238</v>
      </c>
      <c r="AC531" s="5" t="s">
        <v>244</v>
      </c>
      <c r="AD531" s="5" t="s">
        <v>245</v>
      </c>
      <c r="AT531" s="5" t="s">
        <v>246</v>
      </c>
      <c r="AU531" s="5" t="s">
        <v>238</v>
      </c>
      <c r="AV531" s="5" t="s">
        <v>247</v>
      </c>
      <c r="AW531" s="5" t="s">
        <v>238</v>
      </c>
      <c r="AX531" s="5" t="s">
        <v>249</v>
      </c>
      <c r="AY531" s="5" t="s">
        <v>238</v>
      </c>
      <c r="BA531" s="5" t="s">
        <v>238</v>
      </c>
      <c r="BC531" s="5" t="s">
        <v>250</v>
      </c>
      <c r="BD531" s="6" t="s">
        <v>243</v>
      </c>
      <c r="BE531" s="5" t="s">
        <v>251</v>
      </c>
      <c r="BF531" s="5" t="s">
        <v>252</v>
      </c>
      <c r="BG531" s="5" t="s">
        <v>238</v>
      </c>
      <c r="BH531" s="7">
        <f>0</f>
        <v>0</v>
      </c>
      <c r="BI531" s="8">
        <f>0</f>
        <v>0</v>
      </c>
      <c r="BJ531" s="5" t="s">
        <v>253</v>
      </c>
      <c r="BK531" s="5" t="s">
        <v>254</v>
      </c>
      <c r="BY531" s="5" t="s">
        <v>238</v>
      </c>
      <c r="BZ531" s="5" t="s">
        <v>238</v>
      </c>
      <c r="CD531" s="5" t="s">
        <v>255</v>
      </c>
      <c r="CE531" s="5" t="s">
        <v>256</v>
      </c>
      <c r="CF531" s="5" t="s">
        <v>238</v>
      </c>
      <c r="CI531" s="6" t="s">
        <v>257</v>
      </c>
      <c r="CJ531" s="5" t="s">
        <v>238</v>
      </c>
      <c r="CK531" s="5" t="s">
        <v>258</v>
      </c>
      <c r="CL531" s="5" t="s">
        <v>238</v>
      </c>
      <c r="CM531" s="5" t="s">
        <v>238</v>
      </c>
      <c r="CN531" s="5">
        <v>0</v>
      </c>
      <c r="CO531" s="5" t="s">
        <v>259</v>
      </c>
      <c r="CP531" s="5" t="s">
        <v>260</v>
      </c>
      <c r="CQ531" s="5" t="s">
        <v>260</v>
      </c>
      <c r="CR531" s="5" t="s">
        <v>261</v>
      </c>
      <c r="CU531" s="8">
        <f>8096</f>
        <v>8096</v>
      </c>
      <c r="CV531" s="8">
        <f>0</f>
        <v>0</v>
      </c>
      <c r="CX531" s="8">
        <f>0</f>
        <v>0</v>
      </c>
      <c r="CY531" s="8">
        <f>8096</f>
        <v>8096</v>
      </c>
      <c r="DA531" s="5" t="s">
        <v>533</v>
      </c>
      <c r="DB531" s="5" t="s">
        <v>238</v>
      </c>
      <c r="DD531" s="5" t="s">
        <v>356</v>
      </c>
      <c r="DE531" s="8">
        <f>0</f>
        <v>0</v>
      </c>
      <c r="DG531" s="5" t="s">
        <v>534</v>
      </c>
      <c r="DH531" s="5" t="s">
        <v>238</v>
      </c>
      <c r="DI531" s="5" t="s">
        <v>238</v>
      </c>
      <c r="DJ531" s="5" t="s">
        <v>238</v>
      </c>
      <c r="DN531" s="5" t="s">
        <v>238</v>
      </c>
      <c r="DO531" s="5" t="s">
        <v>238</v>
      </c>
      <c r="DP531" s="5" t="s">
        <v>238</v>
      </c>
      <c r="DQ531" s="5" t="s">
        <v>238</v>
      </c>
      <c r="DT531" s="5" t="s">
        <v>535</v>
      </c>
      <c r="DU531" s="5" t="s">
        <v>1158</v>
      </c>
      <c r="HM531" s="5" t="s">
        <v>264</v>
      </c>
    </row>
    <row r="532" spans="1:221" x14ac:dyDescent="0.4">
      <c r="A532" s="5">
        <v>1394</v>
      </c>
      <c r="B532" s="5">
        <v>1</v>
      </c>
      <c r="C532" s="5">
        <v>1</v>
      </c>
      <c r="D532" s="5" t="s">
        <v>484</v>
      </c>
      <c r="E532" s="5" t="s">
        <v>485</v>
      </c>
      <c r="F532" s="5" t="s">
        <v>248</v>
      </c>
      <c r="G532" s="5" t="s">
        <v>531</v>
      </c>
      <c r="H532" s="6" t="s">
        <v>5836</v>
      </c>
      <c r="I532" s="7">
        <f>1137</f>
        <v>1137</v>
      </c>
      <c r="J532" s="5" t="s">
        <v>262</v>
      </c>
      <c r="K532" s="8">
        <f>12507</f>
        <v>12507</v>
      </c>
      <c r="L532" s="6" t="s">
        <v>242</v>
      </c>
      <c r="M532" s="5" t="s">
        <v>267</v>
      </c>
      <c r="N532" s="5" t="s">
        <v>237</v>
      </c>
      <c r="O532" s="5" t="s">
        <v>238</v>
      </c>
      <c r="P532" s="5" t="s">
        <v>238</v>
      </c>
      <c r="Q532" s="5" t="s">
        <v>239</v>
      </c>
      <c r="R532" s="5" t="s">
        <v>240</v>
      </c>
      <c r="S532" s="5" t="s">
        <v>238</v>
      </c>
      <c r="V532" s="5" t="s">
        <v>238</v>
      </c>
      <c r="X532" s="6" t="s">
        <v>238</v>
      </c>
      <c r="AA532" s="6" t="s">
        <v>243</v>
      </c>
      <c r="AB532" s="5" t="s">
        <v>238</v>
      </c>
      <c r="AC532" s="5" t="s">
        <v>244</v>
      </c>
      <c r="AD532" s="5" t="s">
        <v>245</v>
      </c>
      <c r="AT532" s="5" t="s">
        <v>246</v>
      </c>
      <c r="AU532" s="5" t="s">
        <v>238</v>
      </c>
      <c r="AV532" s="5" t="s">
        <v>247</v>
      </c>
      <c r="AW532" s="5" t="s">
        <v>238</v>
      </c>
      <c r="AX532" s="5" t="s">
        <v>249</v>
      </c>
      <c r="AY532" s="5" t="s">
        <v>238</v>
      </c>
      <c r="BA532" s="5" t="s">
        <v>238</v>
      </c>
      <c r="BC532" s="5" t="s">
        <v>250</v>
      </c>
      <c r="BD532" s="6" t="s">
        <v>243</v>
      </c>
      <c r="BE532" s="5" t="s">
        <v>251</v>
      </c>
      <c r="BF532" s="5" t="s">
        <v>252</v>
      </c>
      <c r="BG532" s="5" t="s">
        <v>238</v>
      </c>
      <c r="BH532" s="7">
        <f>0</f>
        <v>0</v>
      </c>
      <c r="BI532" s="8">
        <f>0</f>
        <v>0</v>
      </c>
      <c r="BJ532" s="5" t="s">
        <v>253</v>
      </c>
      <c r="BK532" s="5" t="s">
        <v>254</v>
      </c>
      <c r="BY532" s="5" t="s">
        <v>238</v>
      </c>
      <c r="BZ532" s="5" t="s">
        <v>238</v>
      </c>
      <c r="CD532" s="5" t="s">
        <v>255</v>
      </c>
      <c r="CE532" s="5" t="s">
        <v>256</v>
      </c>
      <c r="CF532" s="5" t="s">
        <v>238</v>
      </c>
      <c r="CI532" s="6" t="s">
        <v>257</v>
      </c>
      <c r="CJ532" s="5" t="s">
        <v>238</v>
      </c>
      <c r="CK532" s="5" t="s">
        <v>258</v>
      </c>
      <c r="CL532" s="5" t="s">
        <v>238</v>
      </c>
      <c r="CM532" s="5" t="s">
        <v>238</v>
      </c>
      <c r="CN532" s="5">
        <v>0</v>
      </c>
      <c r="CO532" s="5" t="s">
        <v>259</v>
      </c>
      <c r="CP532" s="5" t="s">
        <v>260</v>
      </c>
      <c r="CQ532" s="5" t="s">
        <v>260</v>
      </c>
      <c r="CR532" s="5" t="s">
        <v>261</v>
      </c>
      <c r="CU532" s="8">
        <f>12507</f>
        <v>12507</v>
      </c>
      <c r="CV532" s="8">
        <f>0</f>
        <v>0</v>
      </c>
      <c r="CX532" s="8">
        <f>0</f>
        <v>0</v>
      </c>
      <c r="CY532" s="8">
        <f>12507</f>
        <v>12507</v>
      </c>
      <c r="DA532" s="5" t="s">
        <v>533</v>
      </c>
      <c r="DB532" s="5" t="s">
        <v>238</v>
      </c>
      <c r="DD532" s="5" t="s">
        <v>356</v>
      </c>
      <c r="DE532" s="8">
        <f>0</f>
        <v>0</v>
      </c>
      <c r="DG532" s="5" t="s">
        <v>534</v>
      </c>
      <c r="DH532" s="5" t="s">
        <v>238</v>
      </c>
      <c r="DI532" s="5" t="s">
        <v>238</v>
      </c>
      <c r="DJ532" s="5" t="s">
        <v>238</v>
      </c>
      <c r="DN532" s="5" t="s">
        <v>238</v>
      </c>
      <c r="DO532" s="5" t="s">
        <v>238</v>
      </c>
      <c r="DP532" s="5" t="s">
        <v>238</v>
      </c>
      <c r="DQ532" s="5" t="s">
        <v>238</v>
      </c>
      <c r="DT532" s="5" t="s">
        <v>535</v>
      </c>
      <c r="DU532" s="5" t="s">
        <v>1156</v>
      </c>
      <c r="HM532" s="5" t="s">
        <v>264</v>
      </c>
    </row>
    <row r="533" spans="1:221" x14ac:dyDescent="0.4">
      <c r="A533" s="5">
        <v>1395</v>
      </c>
      <c r="B533" s="5">
        <v>1</v>
      </c>
      <c r="C533" s="5">
        <v>1</v>
      </c>
      <c r="D533" s="5" t="s">
        <v>484</v>
      </c>
      <c r="E533" s="5" t="s">
        <v>485</v>
      </c>
      <c r="F533" s="5" t="s">
        <v>248</v>
      </c>
      <c r="G533" s="5" t="s">
        <v>531</v>
      </c>
      <c r="H533" s="6" t="s">
        <v>5245</v>
      </c>
      <c r="I533" s="7">
        <f>1031</f>
        <v>1031</v>
      </c>
      <c r="J533" s="5" t="s">
        <v>262</v>
      </c>
      <c r="K533" s="8">
        <f>11341</f>
        <v>11341</v>
      </c>
      <c r="L533" s="6" t="s">
        <v>242</v>
      </c>
      <c r="M533" s="5" t="s">
        <v>267</v>
      </c>
      <c r="N533" s="5" t="s">
        <v>237</v>
      </c>
      <c r="O533" s="5" t="s">
        <v>238</v>
      </c>
      <c r="P533" s="5" t="s">
        <v>238</v>
      </c>
      <c r="Q533" s="5" t="s">
        <v>239</v>
      </c>
      <c r="R533" s="5" t="s">
        <v>240</v>
      </c>
      <c r="S533" s="5" t="s">
        <v>238</v>
      </c>
      <c r="V533" s="5" t="s">
        <v>238</v>
      </c>
      <c r="X533" s="6" t="s">
        <v>238</v>
      </c>
      <c r="AA533" s="6" t="s">
        <v>243</v>
      </c>
      <c r="AB533" s="5" t="s">
        <v>238</v>
      </c>
      <c r="AC533" s="5" t="s">
        <v>244</v>
      </c>
      <c r="AD533" s="5" t="s">
        <v>245</v>
      </c>
      <c r="AT533" s="5" t="s">
        <v>246</v>
      </c>
      <c r="AU533" s="5" t="s">
        <v>238</v>
      </c>
      <c r="AV533" s="5" t="s">
        <v>247</v>
      </c>
      <c r="AW533" s="5" t="s">
        <v>238</v>
      </c>
      <c r="AX533" s="5" t="s">
        <v>249</v>
      </c>
      <c r="AY533" s="5" t="s">
        <v>238</v>
      </c>
      <c r="BA533" s="5" t="s">
        <v>238</v>
      </c>
      <c r="BC533" s="5" t="s">
        <v>250</v>
      </c>
      <c r="BD533" s="6" t="s">
        <v>243</v>
      </c>
      <c r="BE533" s="5" t="s">
        <v>251</v>
      </c>
      <c r="BF533" s="5" t="s">
        <v>252</v>
      </c>
      <c r="BG533" s="5" t="s">
        <v>238</v>
      </c>
      <c r="BH533" s="7">
        <f>0</f>
        <v>0</v>
      </c>
      <c r="BI533" s="8">
        <f>0</f>
        <v>0</v>
      </c>
      <c r="BJ533" s="5" t="s">
        <v>253</v>
      </c>
      <c r="BK533" s="5" t="s">
        <v>254</v>
      </c>
      <c r="BY533" s="5" t="s">
        <v>238</v>
      </c>
      <c r="BZ533" s="5" t="s">
        <v>238</v>
      </c>
      <c r="CD533" s="5" t="s">
        <v>255</v>
      </c>
      <c r="CE533" s="5" t="s">
        <v>256</v>
      </c>
      <c r="CF533" s="5" t="s">
        <v>238</v>
      </c>
      <c r="CI533" s="6" t="s">
        <v>257</v>
      </c>
      <c r="CJ533" s="5" t="s">
        <v>238</v>
      </c>
      <c r="CK533" s="5" t="s">
        <v>258</v>
      </c>
      <c r="CL533" s="5" t="s">
        <v>238</v>
      </c>
      <c r="CM533" s="5" t="s">
        <v>238</v>
      </c>
      <c r="CN533" s="5">
        <v>0</v>
      </c>
      <c r="CO533" s="5" t="s">
        <v>259</v>
      </c>
      <c r="CP533" s="5" t="s">
        <v>260</v>
      </c>
      <c r="CQ533" s="5" t="s">
        <v>260</v>
      </c>
      <c r="CR533" s="5" t="s">
        <v>261</v>
      </c>
      <c r="CU533" s="8">
        <f>11341</f>
        <v>11341</v>
      </c>
      <c r="CV533" s="8">
        <f>0</f>
        <v>0</v>
      </c>
      <c r="CX533" s="8">
        <f>0</f>
        <v>0</v>
      </c>
      <c r="CY533" s="8">
        <f>11341</f>
        <v>11341</v>
      </c>
      <c r="DA533" s="5" t="s">
        <v>533</v>
      </c>
      <c r="DB533" s="5" t="s">
        <v>238</v>
      </c>
      <c r="DD533" s="5" t="s">
        <v>356</v>
      </c>
      <c r="DE533" s="8">
        <f>0</f>
        <v>0</v>
      </c>
      <c r="DG533" s="5" t="s">
        <v>534</v>
      </c>
      <c r="DH533" s="5" t="s">
        <v>238</v>
      </c>
      <c r="DI533" s="5" t="s">
        <v>238</v>
      </c>
      <c r="DJ533" s="5" t="s">
        <v>238</v>
      </c>
      <c r="DN533" s="5" t="s">
        <v>238</v>
      </c>
      <c r="DO533" s="5" t="s">
        <v>238</v>
      </c>
      <c r="DP533" s="5" t="s">
        <v>238</v>
      </c>
      <c r="DQ533" s="5" t="s">
        <v>238</v>
      </c>
      <c r="DT533" s="5" t="s">
        <v>535</v>
      </c>
      <c r="DU533" s="5" t="s">
        <v>1152</v>
      </c>
      <c r="HM533" s="5" t="s">
        <v>264</v>
      </c>
    </row>
    <row r="534" spans="1:221" x14ac:dyDescent="0.4">
      <c r="A534" s="5">
        <v>1396</v>
      </c>
      <c r="B534" s="5">
        <v>1</v>
      </c>
      <c r="C534" s="5">
        <v>1</v>
      </c>
      <c r="D534" s="5" t="s">
        <v>484</v>
      </c>
      <c r="E534" s="5" t="s">
        <v>485</v>
      </c>
      <c r="F534" s="5" t="s">
        <v>248</v>
      </c>
      <c r="G534" s="5" t="s">
        <v>531</v>
      </c>
      <c r="H534" s="6" t="s">
        <v>5249</v>
      </c>
      <c r="I534" s="7">
        <f>1029</f>
        <v>1029</v>
      </c>
      <c r="J534" s="5" t="s">
        <v>262</v>
      </c>
      <c r="K534" s="8">
        <f>11319</f>
        <v>11319</v>
      </c>
      <c r="L534" s="6" t="s">
        <v>242</v>
      </c>
      <c r="M534" s="5" t="s">
        <v>267</v>
      </c>
      <c r="N534" s="5" t="s">
        <v>237</v>
      </c>
      <c r="O534" s="5" t="s">
        <v>238</v>
      </c>
      <c r="P534" s="5" t="s">
        <v>238</v>
      </c>
      <c r="Q534" s="5" t="s">
        <v>239</v>
      </c>
      <c r="R534" s="5" t="s">
        <v>240</v>
      </c>
      <c r="S534" s="5" t="s">
        <v>238</v>
      </c>
      <c r="V534" s="5" t="s">
        <v>238</v>
      </c>
      <c r="X534" s="6" t="s">
        <v>238</v>
      </c>
      <c r="AA534" s="6" t="s">
        <v>243</v>
      </c>
      <c r="AB534" s="5" t="s">
        <v>238</v>
      </c>
      <c r="AC534" s="5" t="s">
        <v>244</v>
      </c>
      <c r="AD534" s="5" t="s">
        <v>245</v>
      </c>
      <c r="AT534" s="5" t="s">
        <v>246</v>
      </c>
      <c r="AU534" s="5" t="s">
        <v>238</v>
      </c>
      <c r="AV534" s="5" t="s">
        <v>247</v>
      </c>
      <c r="AW534" s="5" t="s">
        <v>238</v>
      </c>
      <c r="AX534" s="5" t="s">
        <v>249</v>
      </c>
      <c r="AY534" s="5" t="s">
        <v>238</v>
      </c>
      <c r="BA534" s="5" t="s">
        <v>238</v>
      </c>
      <c r="BC534" s="5" t="s">
        <v>250</v>
      </c>
      <c r="BD534" s="6" t="s">
        <v>243</v>
      </c>
      <c r="BE534" s="5" t="s">
        <v>251</v>
      </c>
      <c r="BF534" s="5" t="s">
        <v>252</v>
      </c>
      <c r="BG534" s="5" t="s">
        <v>238</v>
      </c>
      <c r="BH534" s="7">
        <f>0</f>
        <v>0</v>
      </c>
      <c r="BI534" s="8">
        <f>0</f>
        <v>0</v>
      </c>
      <c r="BJ534" s="5" t="s">
        <v>253</v>
      </c>
      <c r="BK534" s="5" t="s">
        <v>254</v>
      </c>
      <c r="BY534" s="5" t="s">
        <v>238</v>
      </c>
      <c r="BZ534" s="5" t="s">
        <v>238</v>
      </c>
      <c r="CD534" s="5" t="s">
        <v>255</v>
      </c>
      <c r="CE534" s="5" t="s">
        <v>256</v>
      </c>
      <c r="CF534" s="5" t="s">
        <v>238</v>
      </c>
      <c r="CI534" s="6" t="s">
        <v>257</v>
      </c>
      <c r="CJ534" s="5" t="s">
        <v>238</v>
      </c>
      <c r="CK534" s="5" t="s">
        <v>258</v>
      </c>
      <c r="CL534" s="5" t="s">
        <v>238</v>
      </c>
      <c r="CM534" s="5" t="s">
        <v>238</v>
      </c>
      <c r="CN534" s="5">
        <v>0</v>
      </c>
      <c r="CO534" s="5" t="s">
        <v>259</v>
      </c>
      <c r="CP534" s="5" t="s">
        <v>260</v>
      </c>
      <c r="CQ534" s="5" t="s">
        <v>260</v>
      </c>
      <c r="CR534" s="5" t="s">
        <v>261</v>
      </c>
      <c r="CU534" s="8">
        <f>11319</f>
        <v>11319</v>
      </c>
      <c r="CV534" s="8">
        <f>0</f>
        <v>0</v>
      </c>
      <c r="CX534" s="8">
        <f>0</f>
        <v>0</v>
      </c>
      <c r="CY534" s="8">
        <f>11319</f>
        <v>11319</v>
      </c>
      <c r="DA534" s="5" t="s">
        <v>533</v>
      </c>
      <c r="DB534" s="5" t="s">
        <v>238</v>
      </c>
      <c r="DD534" s="5" t="s">
        <v>356</v>
      </c>
      <c r="DE534" s="8">
        <f>0</f>
        <v>0</v>
      </c>
      <c r="DG534" s="5" t="s">
        <v>534</v>
      </c>
      <c r="DH534" s="5" t="s">
        <v>238</v>
      </c>
      <c r="DI534" s="5" t="s">
        <v>238</v>
      </c>
      <c r="DJ534" s="5" t="s">
        <v>238</v>
      </c>
      <c r="DN534" s="5" t="s">
        <v>238</v>
      </c>
      <c r="DO534" s="5" t="s">
        <v>238</v>
      </c>
      <c r="DP534" s="5" t="s">
        <v>238</v>
      </c>
      <c r="DQ534" s="5" t="s">
        <v>238</v>
      </c>
      <c r="DT534" s="5" t="s">
        <v>535</v>
      </c>
      <c r="DU534" s="5" t="s">
        <v>1148</v>
      </c>
      <c r="HM534" s="5" t="s">
        <v>264</v>
      </c>
    </row>
    <row r="535" spans="1:221" x14ac:dyDescent="0.4">
      <c r="A535" s="5">
        <v>1397</v>
      </c>
      <c r="B535" s="5">
        <v>1</v>
      </c>
      <c r="C535" s="5">
        <v>1</v>
      </c>
      <c r="D535" s="5" t="s">
        <v>484</v>
      </c>
      <c r="E535" s="5" t="s">
        <v>485</v>
      </c>
      <c r="F535" s="5" t="s">
        <v>248</v>
      </c>
      <c r="G535" s="5" t="s">
        <v>531</v>
      </c>
      <c r="H535" s="6" t="s">
        <v>5253</v>
      </c>
      <c r="I535" s="7">
        <f>297</f>
        <v>297</v>
      </c>
      <c r="J535" s="5" t="s">
        <v>262</v>
      </c>
      <c r="K535" s="8">
        <f>3267</f>
        <v>3267</v>
      </c>
      <c r="L535" s="6" t="s">
        <v>242</v>
      </c>
      <c r="M535" s="5" t="s">
        <v>267</v>
      </c>
      <c r="N535" s="5" t="s">
        <v>237</v>
      </c>
      <c r="O535" s="5" t="s">
        <v>238</v>
      </c>
      <c r="P535" s="5" t="s">
        <v>238</v>
      </c>
      <c r="Q535" s="5" t="s">
        <v>239</v>
      </c>
      <c r="R535" s="5" t="s">
        <v>240</v>
      </c>
      <c r="S535" s="5" t="s">
        <v>238</v>
      </c>
      <c r="V535" s="5" t="s">
        <v>238</v>
      </c>
      <c r="X535" s="6" t="s">
        <v>238</v>
      </c>
      <c r="AA535" s="6" t="s">
        <v>243</v>
      </c>
      <c r="AB535" s="5" t="s">
        <v>238</v>
      </c>
      <c r="AC535" s="5" t="s">
        <v>244</v>
      </c>
      <c r="AD535" s="5" t="s">
        <v>245</v>
      </c>
      <c r="AT535" s="5" t="s">
        <v>246</v>
      </c>
      <c r="AU535" s="5" t="s">
        <v>238</v>
      </c>
      <c r="AV535" s="5" t="s">
        <v>247</v>
      </c>
      <c r="AW535" s="5" t="s">
        <v>238</v>
      </c>
      <c r="AX535" s="5" t="s">
        <v>249</v>
      </c>
      <c r="AY535" s="5" t="s">
        <v>238</v>
      </c>
      <c r="BA535" s="5" t="s">
        <v>238</v>
      </c>
      <c r="BC535" s="5" t="s">
        <v>250</v>
      </c>
      <c r="BD535" s="6" t="s">
        <v>243</v>
      </c>
      <c r="BE535" s="5" t="s">
        <v>251</v>
      </c>
      <c r="BF535" s="5" t="s">
        <v>252</v>
      </c>
      <c r="BG535" s="5" t="s">
        <v>238</v>
      </c>
      <c r="BH535" s="7">
        <f>0</f>
        <v>0</v>
      </c>
      <c r="BI535" s="8">
        <f>0</f>
        <v>0</v>
      </c>
      <c r="BJ535" s="5" t="s">
        <v>253</v>
      </c>
      <c r="BK535" s="5" t="s">
        <v>254</v>
      </c>
      <c r="BY535" s="5" t="s">
        <v>238</v>
      </c>
      <c r="BZ535" s="5" t="s">
        <v>238</v>
      </c>
      <c r="CD535" s="5" t="s">
        <v>255</v>
      </c>
      <c r="CE535" s="5" t="s">
        <v>256</v>
      </c>
      <c r="CF535" s="5" t="s">
        <v>238</v>
      </c>
      <c r="CI535" s="6" t="s">
        <v>257</v>
      </c>
      <c r="CJ535" s="5" t="s">
        <v>238</v>
      </c>
      <c r="CK535" s="5" t="s">
        <v>258</v>
      </c>
      <c r="CL535" s="5" t="s">
        <v>238</v>
      </c>
      <c r="CM535" s="5" t="s">
        <v>238</v>
      </c>
      <c r="CN535" s="5">
        <v>0</v>
      </c>
      <c r="CO535" s="5" t="s">
        <v>259</v>
      </c>
      <c r="CP535" s="5" t="s">
        <v>260</v>
      </c>
      <c r="CQ535" s="5" t="s">
        <v>260</v>
      </c>
      <c r="CR535" s="5" t="s">
        <v>261</v>
      </c>
      <c r="CU535" s="8">
        <f>3267</f>
        <v>3267</v>
      </c>
      <c r="CV535" s="8">
        <f>0</f>
        <v>0</v>
      </c>
      <c r="CX535" s="8">
        <f>0</f>
        <v>0</v>
      </c>
      <c r="CY535" s="8">
        <f>3267</f>
        <v>3267</v>
      </c>
      <c r="DA535" s="5" t="s">
        <v>533</v>
      </c>
      <c r="DB535" s="5" t="s">
        <v>238</v>
      </c>
      <c r="DD535" s="5" t="s">
        <v>356</v>
      </c>
      <c r="DE535" s="8">
        <f>0</f>
        <v>0</v>
      </c>
      <c r="DG535" s="5" t="s">
        <v>534</v>
      </c>
      <c r="DH535" s="5" t="s">
        <v>238</v>
      </c>
      <c r="DI535" s="5" t="s">
        <v>238</v>
      </c>
      <c r="DJ535" s="5" t="s">
        <v>238</v>
      </c>
      <c r="DN535" s="5" t="s">
        <v>238</v>
      </c>
      <c r="DO535" s="5" t="s">
        <v>238</v>
      </c>
      <c r="DP535" s="5" t="s">
        <v>238</v>
      </c>
      <c r="DQ535" s="5" t="s">
        <v>238</v>
      </c>
      <c r="DT535" s="5" t="s">
        <v>535</v>
      </c>
      <c r="DU535" s="5" t="s">
        <v>1146</v>
      </c>
      <c r="HM535" s="5" t="s">
        <v>264</v>
      </c>
    </row>
    <row r="536" spans="1:221" x14ac:dyDescent="0.4">
      <c r="A536" s="5">
        <v>1398</v>
      </c>
      <c r="B536" s="5">
        <v>1</v>
      </c>
      <c r="C536" s="5">
        <v>1</v>
      </c>
      <c r="D536" s="5" t="s">
        <v>484</v>
      </c>
      <c r="E536" s="5" t="s">
        <v>485</v>
      </c>
      <c r="F536" s="5" t="s">
        <v>248</v>
      </c>
      <c r="G536" s="5" t="s">
        <v>531</v>
      </c>
      <c r="H536" s="6" t="s">
        <v>5824</v>
      </c>
      <c r="I536" s="7">
        <f>3225</f>
        <v>3225</v>
      </c>
      <c r="J536" s="5" t="s">
        <v>262</v>
      </c>
      <c r="K536" s="8">
        <f>35475</f>
        <v>35475</v>
      </c>
      <c r="L536" s="6" t="s">
        <v>242</v>
      </c>
      <c r="M536" s="5" t="s">
        <v>267</v>
      </c>
      <c r="N536" s="5" t="s">
        <v>237</v>
      </c>
      <c r="O536" s="5" t="s">
        <v>238</v>
      </c>
      <c r="P536" s="5" t="s">
        <v>238</v>
      </c>
      <c r="Q536" s="5" t="s">
        <v>239</v>
      </c>
      <c r="R536" s="5" t="s">
        <v>240</v>
      </c>
      <c r="S536" s="5" t="s">
        <v>238</v>
      </c>
      <c r="V536" s="5" t="s">
        <v>238</v>
      </c>
      <c r="X536" s="6" t="s">
        <v>238</v>
      </c>
      <c r="AA536" s="6" t="s">
        <v>243</v>
      </c>
      <c r="AB536" s="5" t="s">
        <v>238</v>
      </c>
      <c r="AC536" s="5" t="s">
        <v>244</v>
      </c>
      <c r="AD536" s="5" t="s">
        <v>245</v>
      </c>
      <c r="AT536" s="5" t="s">
        <v>246</v>
      </c>
      <c r="AU536" s="5" t="s">
        <v>238</v>
      </c>
      <c r="AV536" s="5" t="s">
        <v>247</v>
      </c>
      <c r="AW536" s="5" t="s">
        <v>238</v>
      </c>
      <c r="AX536" s="5" t="s">
        <v>249</v>
      </c>
      <c r="AY536" s="5" t="s">
        <v>238</v>
      </c>
      <c r="BA536" s="5" t="s">
        <v>238</v>
      </c>
      <c r="BC536" s="5" t="s">
        <v>250</v>
      </c>
      <c r="BD536" s="6" t="s">
        <v>243</v>
      </c>
      <c r="BE536" s="5" t="s">
        <v>251</v>
      </c>
      <c r="BF536" s="5" t="s">
        <v>252</v>
      </c>
      <c r="BG536" s="5" t="s">
        <v>238</v>
      </c>
      <c r="BH536" s="7">
        <f>0</f>
        <v>0</v>
      </c>
      <c r="BI536" s="8">
        <f>0</f>
        <v>0</v>
      </c>
      <c r="BJ536" s="5" t="s">
        <v>253</v>
      </c>
      <c r="BK536" s="5" t="s">
        <v>254</v>
      </c>
      <c r="BY536" s="5" t="s">
        <v>238</v>
      </c>
      <c r="BZ536" s="5" t="s">
        <v>238</v>
      </c>
      <c r="CD536" s="5" t="s">
        <v>255</v>
      </c>
      <c r="CE536" s="5" t="s">
        <v>256</v>
      </c>
      <c r="CF536" s="5" t="s">
        <v>238</v>
      </c>
      <c r="CI536" s="6" t="s">
        <v>257</v>
      </c>
      <c r="CJ536" s="5" t="s">
        <v>238</v>
      </c>
      <c r="CK536" s="5" t="s">
        <v>258</v>
      </c>
      <c r="CL536" s="5" t="s">
        <v>238</v>
      </c>
      <c r="CM536" s="5" t="s">
        <v>238</v>
      </c>
      <c r="CN536" s="5">
        <v>0</v>
      </c>
      <c r="CO536" s="5" t="s">
        <v>259</v>
      </c>
      <c r="CP536" s="5" t="s">
        <v>260</v>
      </c>
      <c r="CQ536" s="5" t="s">
        <v>260</v>
      </c>
      <c r="CR536" s="5" t="s">
        <v>261</v>
      </c>
      <c r="CU536" s="8">
        <f>35475</f>
        <v>35475</v>
      </c>
      <c r="CV536" s="8">
        <f>0</f>
        <v>0</v>
      </c>
      <c r="CX536" s="8">
        <f>0</f>
        <v>0</v>
      </c>
      <c r="CY536" s="8">
        <f>35475</f>
        <v>35475</v>
      </c>
      <c r="DA536" s="5" t="s">
        <v>533</v>
      </c>
      <c r="DB536" s="5" t="s">
        <v>238</v>
      </c>
      <c r="DD536" s="5" t="s">
        <v>356</v>
      </c>
      <c r="DE536" s="8">
        <f>0</f>
        <v>0</v>
      </c>
      <c r="DG536" s="5" t="s">
        <v>534</v>
      </c>
      <c r="DH536" s="5" t="s">
        <v>238</v>
      </c>
      <c r="DI536" s="5" t="s">
        <v>238</v>
      </c>
      <c r="DJ536" s="5" t="s">
        <v>238</v>
      </c>
      <c r="DN536" s="5" t="s">
        <v>238</v>
      </c>
      <c r="DO536" s="5" t="s">
        <v>238</v>
      </c>
      <c r="DP536" s="5" t="s">
        <v>238</v>
      </c>
      <c r="DQ536" s="5" t="s">
        <v>238</v>
      </c>
      <c r="DT536" s="5" t="s">
        <v>535</v>
      </c>
      <c r="DU536" s="5" t="s">
        <v>1428</v>
      </c>
      <c r="HM536" s="5" t="s">
        <v>264</v>
      </c>
    </row>
    <row r="537" spans="1:221" x14ac:dyDescent="0.4">
      <c r="A537" s="5">
        <v>1399</v>
      </c>
      <c r="B537" s="5">
        <v>1</v>
      </c>
      <c r="C537" s="5">
        <v>1</v>
      </c>
      <c r="D537" s="5" t="s">
        <v>484</v>
      </c>
      <c r="E537" s="5" t="s">
        <v>485</v>
      </c>
      <c r="F537" s="5" t="s">
        <v>248</v>
      </c>
      <c r="G537" s="5" t="s">
        <v>531</v>
      </c>
      <c r="H537" s="6" t="s">
        <v>5259</v>
      </c>
      <c r="I537" s="7">
        <f>2471</f>
        <v>2471</v>
      </c>
      <c r="J537" s="5" t="s">
        <v>262</v>
      </c>
      <c r="K537" s="8">
        <f>27181</f>
        <v>27181</v>
      </c>
      <c r="L537" s="6" t="s">
        <v>242</v>
      </c>
      <c r="M537" s="5" t="s">
        <v>267</v>
      </c>
      <c r="N537" s="5" t="s">
        <v>237</v>
      </c>
      <c r="O537" s="5" t="s">
        <v>238</v>
      </c>
      <c r="P537" s="5" t="s">
        <v>238</v>
      </c>
      <c r="Q537" s="5" t="s">
        <v>239</v>
      </c>
      <c r="R537" s="5" t="s">
        <v>240</v>
      </c>
      <c r="S537" s="5" t="s">
        <v>238</v>
      </c>
      <c r="V537" s="5" t="s">
        <v>238</v>
      </c>
      <c r="X537" s="6" t="s">
        <v>238</v>
      </c>
      <c r="AA537" s="6" t="s">
        <v>243</v>
      </c>
      <c r="AB537" s="5" t="s">
        <v>238</v>
      </c>
      <c r="AC537" s="5" t="s">
        <v>244</v>
      </c>
      <c r="AD537" s="5" t="s">
        <v>245</v>
      </c>
      <c r="AT537" s="5" t="s">
        <v>246</v>
      </c>
      <c r="AU537" s="5" t="s">
        <v>238</v>
      </c>
      <c r="AV537" s="5" t="s">
        <v>247</v>
      </c>
      <c r="AW537" s="5" t="s">
        <v>238</v>
      </c>
      <c r="AX537" s="5" t="s">
        <v>249</v>
      </c>
      <c r="AY537" s="5" t="s">
        <v>238</v>
      </c>
      <c r="BA537" s="5" t="s">
        <v>238</v>
      </c>
      <c r="BC537" s="5" t="s">
        <v>250</v>
      </c>
      <c r="BD537" s="6" t="s">
        <v>243</v>
      </c>
      <c r="BE537" s="5" t="s">
        <v>251</v>
      </c>
      <c r="BF537" s="5" t="s">
        <v>252</v>
      </c>
      <c r="BG537" s="5" t="s">
        <v>238</v>
      </c>
      <c r="BH537" s="7">
        <f>0</f>
        <v>0</v>
      </c>
      <c r="BI537" s="8">
        <f>0</f>
        <v>0</v>
      </c>
      <c r="BJ537" s="5" t="s">
        <v>253</v>
      </c>
      <c r="BK537" s="5" t="s">
        <v>254</v>
      </c>
      <c r="BY537" s="5" t="s">
        <v>238</v>
      </c>
      <c r="BZ537" s="5" t="s">
        <v>238</v>
      </c>
      <c r="CD537" s="5" t="s">
        <v>255</v>
      </c>
      <c r="CE537" s="5" t="s">
        <v>256</v>
      </c>
      <c r="CF537" s="5" t="s">
        <v>238</v>
      </c>
      <c r="CI537" s="6" t="s">
        <v>257</v>
      </c>
      <c r="CJ537" s="5" t="s">
        <v>238</v>
      </c>
      <c r="CK537" s="5" t="s">
        <v>258</v>
      </c>
      <c r="CL537" s="5" t="s">
        <v>238</v>
      </c>
      <c r="CM537" s="5" t="s">
        <v>238</v>
      </c>
      <c r="CN537" s="5">
        <v>0</v>
      </c>
      <c r="CO537" s="5" t="s">
        <v>259</v>
      </c>
      <c r="CP537" s="5" t="s">
        <v>260</v>
      </c>
      <c r="CQ537" s="5" t="s">
        <v>260</v>
      </c>
      <c r="CR537" s="5" t="s">
        <v>261</v>
      </c>
      <c r="CU537" s="8">
        <f>27181</f>
        <v>27181</v>
      </c>
      <c r="CV537" s="8">
        <f>0</f>
        <v>0</v>
      </c>
      <c r="CX537" s="8">
        <f>0</f>
        <v>0</v>
      </c>
      <c r="CY537" s="8">
        <f>27181</f>
        <v>27181</v>
      </c>
      <c r="DA537" s="5" t="s">
        <v>533</v>
      </c>
      <c r="DB537" s="5" t="s">
        <v>238</v>
      </c>
      <c r="DD537" s="5" t="s">
        <v>356</v>
      </c>
      <c r="DE537" s="8">
        <f>0</f>
        <v>0</v>
      </c>
      <c r="DG537" s="5" t="s">
        <v>534</v>
      </c>
      <c r="DH537" s="5" t="s">
        <v>238</v>
      </c>
      <c r="DI537" s="5" t="s">
        <v>238</v>
      </c>
      <c r="DJ537" s="5" t="s">
        <v>238</v>
      </c>
      <c r="DN537" s="5" t="s">
        <v>238</v>
      </c>
      <c r="DO537" s="5" t="s">
        <v>238</v>
      </c>
      <c r="DP537" s="5" t="s">
        <v>238</v>
      </c>
      <c r="DQ537" s="5" t="s">
        <v>238</v>
      </c>
      <c r="DT537" s="5" t="s">
        <v>535</v>
      </c>
      <c r="DU537" s="5" t="s">
        <v>1142</v>
      </c>
      <c r="HM537" s="5" t="s">
        <v>264</v>
      </c>
    </row>
    <row r="538" spans="1:221" x14ac:dyDescent="0.4">
      <c r="A538" s="5">
        <v>1400</v>
      </c>
      <c r="B538" s="5">
        <v>1</v>
      </c>
      <c r="C538" s="5">
        <v>1</v>
      </c>
      <c r="D538" s="5" t="s">
        <v>484</v>
      </c>
      <c r="E538" s="5" t="s">
        <v>485</v>
      </c>
      <c r="F538" s="5" t="s">
        <v>248</v>
      </c>
      <c r="G538" s="5" t="s">
        <v>531</v>
      </c>
      <c r="H538" s="6" t="s">
        <v>5262</v>
      </c>
      <c r="I538" s="7">
        <f>604</f>
        <v>604</v>
      </c>
      <c r="J538" s="5" t="s">
        <v>262</v>
      </c>
      <c r="K538" s="8">
        <f>6644</f>
        <v>6644</v>
      </c>
      <c r="L538" s="6" t="s">
        <v>242</v>
      </c>
      <c r="M538" s="5" t="s">
        <v>267</v>
      </c>
      <c r="N538" s="5" t="s">
        <v>237</v>
      </c>
      <c r="O538" s="5" t="s">
        <v>238</v>
      </c>
      <c r="P538" s="5" t="s">
        <v>238</v>
      </c>
      <c r="Q538" s="5" t="s">
        <v>239</v>
      </c>
      <c r="R538" s="5" t="s">
        <v>240</v>
      </c>
      <c r="S538" s="5" t="s">
        <v>238</v>
      </c>
      <c r="V538" s="5" t="s">
        <v>238</v>
      </c>
      <c r="X538" s="6" t="s">
        <v>238</v>
      </c>
      <c r="AA538" s="6" t="s">
        <v>243</v>
      </c>
      <c r="AB538" s="5" t="s">
        <v>238</v>
      </c>
      <c r="AC538" s="5" t="s">
        <v>244</v>
      </c>
      <c r="AD538" s="5" t="s">
        <v>245</v>
      </c>
      <c r="AT538" s="5" t="s">
        <v>246</v>
      </c>
      <c r="AU538" s="5" t="s">
        <v>238</v>
      </c>
      <c r="AV538" s="5" t="s">
        <v>247</v>
      </c>
      <c r="AW538" s="5" t="s">
        <v>238</v>
      </c>
      <c r="AX538" s="5" t="s">
        <v>249</v>
      </c>
      <c r="AY538" s="5" t="s">
        <v>238</v>
      </c>
      <c r="BA538" s="5" t="s">
        <v>238</v>
      </c>
      <c r="BC538" s="5" t="s">
        <v>250</v>
      </c>
      <c r="BD538" s="6" t="s">
        <v>243</v>
      </c>
      <c r="BE538" s="5" t="s">
        <v>251</v>
      </c>
      <c r="BF538" s="5" t="s">
        <v>252</v>
      </c>
      <c r="BG538" s="5" t="s">
        <v>238</v>
      </c>
      <c r="BH538" s="7">
        <f>0</f>
        <v>0</v>
      </c>
      <c r="BI538" s="8">
        <f>0</f>
        <v>0</v>
      </c>
      <c r="BJ538" s="5" t="s">
        <v>253</v>
      </c>
      <c r="BK538" s="5" t="s">
        <v>254</v>
      </c>
      <c r="BY538" s="5" t="s">
        <v>238</v>
      </c>
      <c r="BZ538" s="5" t="s">
        <v>238</v>
      </c>
      <c r="CD538" s="5" t="s">
        <v>255</v>
      </c>
      <c r="CE538" s="5" t="s">
        <v>256</v>
      </c>
      <c r="CF538" s="5" t="s">
        <v>238</v>
      </c>
      <c r="CI538" s="6" t="s">
        <v>257</v>
      </c>
      <c r="CJ538" s="5" t="s">
        <v>238</v>
      </c>
      <c r="CK538" s="5" t="s">
        <v>258</v>
      </c>
      <c r="CL538" s="5" t="s">
        <v>238</v>
      </c>
      <c r="CM538" s="5" t="s">
        <v>238</v>
      </c>
      <c r="CN538" s="5">
        <v>0</v>
      </c>
      <c r="CO538" s="5" t="s">
        <v>259</v>
      </c>
      <c r="CP538" s="5" t="s">
        <v>260</v>
      </c>
      <c r="CQ538" s="5" t="s">
        <v>260</v>
      </c>
      <c r="CR538" s="5" t="s">
        <v>261</v>
      </c>
      <c r="CU538" s="8">
        <f>6644</f>
        <v>6644</v>
      </c>
      <c r="CV538" s="8">
        <f>0</f>
        <v>0</v>
      </c>
      <c r="CX538" s="8">
        <f>0</f>
        <v>0</v>
      </c>
      <c r="CY538" s="8">
        <f>6644</f>
        <v>6644</v>
      </c>
      <c r="DA538" s="5" t="s">
        <v>533</v>
      </c>
      <c r="DB538" s="5" t="s">
        <v>238</v>
      </c>
      <c r="DD538" s="5" t="s">
        <v>356</v>
      </c>
      <c r="DE538" s="8">
        <f>0</f>
        <v>0</v>
      </c>
      <c r="DG538" s="5" t="s">
        <v>534</v>
      </c>
      <c r="DH538" s="5" t="s">
        <v>238</v>
      </c>
      <c r="DI538" s="5" t="s">
        <v>238</v>
      </c>
      <c r="DJ538" s="5" t="s">
        <v>238</v>
      </c>
      <c r="DN538" s="5" t="s">
        <v>238</v>
      </c>
      <c r="DO538" s="5" t="s">
        <v>238</v>
      </c>
      <c r="DP538" s="5" t="s">
        <v>238</v>
      </c>
      <c r="DQ538" s="5" t="s">
        <v>238</v>
      </c>
      <c r="DT538" s="5" t="s">
        <v>535</v>
      </c>
      <c r="DU538" s="5" t="s">
        <v>390</v>
      </c>
      <c r="HM538" s="5" t="s">
        <v>264</v>
      </c>
    </row>
    <row r="539" spans="1:221" x14ac:dyDescent="0.4">
      <c r="A539" s="5">
        <v>1401</v>
      </c>
      <c r="B539" s="5">
        <v>1</v>
      </c>
      <c r="C539" s="5">
        <v>1</v>
      </c>
      <c r="D539" s="5" t="s">
        <v>484</v>
      </c>
      <c r="E539" s="5" t="s">
        <v>485</v>
      </c>
      <c r="F539" s="5" t="s">
        <v>248</v>
      </c>
      <c r="G539" s="5" t="s">
        <v>531</v>
      </c>
      <c r="H539" s="6" t="s">
        <v>5265</v>
      </c>
      <c r="I539" s="7">
        <f>1508</f>
        <v>1508</v>
      </c>
      <c r="J539" s="5" t="s">
        <v>262</v>
      </c>
      <c r="K539" s="8">
        <f>16588</f>
        <v>16588</v>
      </c>
      <c r="L539" s="6" t="s">
        <v>242</v>
      </c>
      <c r="M539" s="5" t="s">
        <v>267</v>
      </c>
      <c r="N539" s="5" t="s">
        <v>237</v>
      </c>
      <c r="O539" s="5" t="s">
        <v>238</v>
      </c>
      <c r="P539" s="5" t="s">
        <v>238</v>
      </c>
      <c r="Q539" s="5" t="s">
        <v>239</v>
      </c>
      <c r="R539" s="5" t="s">
        <v>240</v>
      </c>
      <c r="S539" s="5" t="s">
        <v>238</v>
      </c>
      <c r="V539" s="5" t="s">
        <v>238</v>
      </c>
      <c r="X539" s="6" t="s">
        <v>238</v>
      </c>
      <c r="AA539" s="6" t="s">
        <v>243</v>
      </c>
      <c r="AB539" s="5" t="s">
        <v>238</v>
      </c>
      <c r="AC539" s="5" t="s">
        <v>244</v>
      </c>
      <c r="AD539" s="5" t="s">
        <v>245</v>
      </c>
      <c r="AT539" s="5" t="s">
        <v>246</v>
      </c>
      <c r="AU539" s="5" t="s">
        <v>238</v>
      </c>
      <c r="AV539" s="5" t="s">
        <v>247</v>
      </c>
      <c r="AW539" s="5" t="s">
        <v>238</v>
      </c>
      <c r="AX539" s="5" t="s">
        <v>249</v>
      </c>
      <c r="AY539" s="5" t="s">
        <v>238</v>
      </c>
      <c r="BA539" s="5" t="s">
        <v>238</v>
      </c>
      <c r="BC539" s="5" t="s">
        <v>250</v>
      </c>
      <c r="BD539" s="6" t="s">
        <v>243</v>
      </c>
      <c r="BE539" s="5" t="s">
        <v>251</v>
      </c>
      <c r="BF539" s="5" t="s">
        <v>252</v>
      </c>
      <c r="BG539" s="5" t="s">
        <v>238</v>
      </c>
      <c r="BH539" s="7">
        <f>0</f>
        <v>0</v>
      </c>
      <c r="BI539" s="8">
        <f>0</f>
        <v>0</v>
      </c>
      <c r="BJ539" s="5" t="s">
        <v>253</v>
      </c>
      <c r="BK539" s="5" t="s">
        <v>254</v>
      </c>
      <c r="BY539" s="5" t="s">
        <v>238</v>
      </c>
      <c r="BZ539" s="5" t="s">
        <v>238</v>
      </c>
      <c r="CD539" s="5" t="s">
        <v>255</v>
      </c>
      <c r="CE539" s="5" t="s">
        <v>256</v>
      </c>
      <c r="CF539" s="5" t="s">
        <v>238</v>
      </c>
      <c r="CI539" s="6" t="s">
        <v>257</v>
      </c>
      <c r="CJ539" s="5" t="s">
        <v>238</v>
      </c>
      <c r="CK539" s="5" t="s">
        <v>258</v>
      </c>
      <c r="CL539" s="5" t="s">
        <v>238</v>
      </c>
      <c r="CM539" s="5" t="s">
        <v>238</v>
      </c>
      <c r="CN539" s="5">
        <v>0</v>
      </c>
      <c r="CO539" s="5" t="s">
        <v>259</v>
      </c>
      <c r="CP539" s="5" t="s">
        <v>260</v>
      </c>
      <c r="CQ539" s="5" t="s">
        <v>260</v>
      </c>
      <c r="CR539" s="5" t="s">
        <v>261</v>
      </c>
      <c r="CU539" s="8">
        <f>16588</f>
        <v>16588</v>
      </c>
      <c r="CV539" s="8">
        <f>0</f>
        <v>0</v>
      </c>
      <c r="CX539" s="8">
        <f>0</f>
        <v>0</v>
      </c>
      <c r="CY539" s="8">
        <f>16588</f>
        <v>16588</v>
      </c>
      <c r="DA539" s="5" t="s">
        <v>533</v>
      </c>
      <c r="DB539" s="5" t="s">
        <v>238</v>
      </c>
      <c r="DD539" s="5" t="s">
        <v>356</v>
      </c>
      <c r="DE539" s="8">
        <f>0</f>
        <v>0</v>
      </c>
      <c r="DG539" s="5" t="s">
        <v>534</v>
      </c>
      <c r="DH539" s="5" t="s">
        <v>238</v>
      </c>
      <c r="DI539" s="5" t="s">
        <v>238</v>
      </c>
      <c r="DJ539" s="5" t="s">
        <v>238</v>
      </c>
      <c r="DN539" s="5" t="s">
        <v>238</v>
      </c>
      <c r="DO539" s="5" t="s">
        <v>238</v>
      </c>
      <c r="DP539" s="5" t="s">
        <v>238</v>
      </c>
      <c r="DQ539" s="5" t="s">
        <v>238</v>
      </c>
      <c r="DT539" s="5" t="s">
        <v>535</v>
      </c>
      <c r="DU539" s="5" t="s">
        <v>1137</v>
      </c>
      <c r="HM539" s="5" t="s">
        <v>264</v>
      </c>
    </row>
    <row r="540" spans="1:221" x14ac:dyDescent="0.4">
      <c r="A540" s="5">
        <v>1402</v>
      </c>
      <c r="B540" s="5">
        <v>1</v>
      </c>
      <c r="C540" s="5">
        <v>1</v>
      </c>
      <c r="D540" s="5" t="s">
        <v>484</v>
      </c>
      <c r="E540" s="5" t="s">
        <v>485</v>
      </c>
      <c r="F540" s="5" t="s">
        <v>248</v>
      </c>
      <c r="G540" s="5" t="s">
        <v>531</v>
      </c>
      <c r="H540" s="6" t="s">
        <v>5818</v>
      </c>
      <c r="I540" s="7">
        <f>2145</f>
        <v>2145</v>
      </c>
      <c r="J540" s="5" t="s">
        <v>262</v>
      </c>
      <c r="K540" s="8">
        <f>23595</f>
        <v>23595</v>
      </c>
      <c r="L540" s="6" t="s">
        <v>242</v>
      </c>
      <c r="M540" s="5" t="s">
        <v>267</v>
      </c>
      <c r="N540" s="5" t="s">
        <v>237</v>
      </c>
      <c r="O540" s="5" t="s">
        <v>238</v>
      </c>
      <c r="P540" s="5" t="s">
        <v>238</v>
      </c>
      <c r="Q540" s="5" t="s">
        <v>239</v>
      </c>
      <c r="R540" s="5" t="s">
        <v>240</v>
      </c>
      <c r="S540" s="5" t="s">
        <v>238</v>
      </c>
      <c r="V540" s="5" t="s">
        <v>238</v>
      </c>
      <c r="X540" s="6" t="s">
        <v>238</v>
      </c>
      <c r="AA540" s="6" t="s">
        <v>243</v>
      </c>
      <c r="AB540" s="5" t="s">
        <v>238</v>
      </c>
      <c r="AC540" s="5" t="s">
        <v>244</v>
      </c>
      <c r="AD540" s="5" t="s">
        <v>245</v>
      </c>
      <c r="AT540" s="5" t="s">
        <v>246</v>
      </c>
      <c r="AU540" s="5" t="s">
        <v>238</v>
      </c>
      <c r="AV540" s="5" t="s">
        <v>247</v>
      </c>
      <c r="AW540" s="5" t="s">
        <v>238</v>
      </c>
      <c r="AX540" s="5" t="s">
        <v>249</v>
      </c>
      <c r="AY540" s="5" t="s">
        <v>238</v>
      </c>
      <c r="BA540" s="5" t="s">
        <v>238</v>
      </c>
      <c r="BC540" s="5" t="s">
        <v>250</v>
      </c>
      <c r="BD540" s="6" t="s">
        <v>243</v>
      </c>
      <c r="BE540" s="5" t="s">
        <v>251</v>
      </c>
      <c r="BF540" s="5" t="s">
        <v>252</v>
      </c>
      <c r="BG540" s="5" t="s">
        <v>238</v>
      </c>
      <c r="BH540" s="7">
        <f>0</f>
        <v>0</v>
      </c>
      <c r="BI540" s="8">
        <f>0</f>
        <v>0</v>
      </c>
      <c r="BJ540" s="5" t="s">
        <v>253</v>
      </c>
      <c r="BK540" s="5" t="s">
        <v>254</v>
      </c>
      <c r="BY540" s="5" t="s">
        <v>238</v>
      </c>
      <c r="BZ540" s="5" t="s">
        <v>238</v>
      </c>
      <c r="CD540" s="5" t="s">
        <v>255</v>
      </c>
      <c r="CE540" s="5" t="s">
        <v>256</v>
      </c>
      <c r="CF540" s="5" t="s">
        <v>238</v>
      </c>
      <c r="CI540" s="6" t="s">
        <v>257</v>
      </c>
      <c r="CJ540" s="5" t="s">
        <v>238</v>
      </c>
      <c r="CK540" s="5" t="s">
        <v>258</v>
      </c>
      <c r="CL540" s="5" t="s">
        <v>238</v>
      </c>
      <c r="CM540" s="5" t="s">
        <v>238</v>
      </c>
      <c r="CN540" s="5">
        <v>0</v>
      </c>
      <c r="CO540" s="5" t="s">
        <v>259</v>
      </c>
      <c r="CP540" s="5" t="s">
        <v>260</v>
      </c>
      <c r="CQ540" s="5" t="s">
        <v>260</v>
      </c>
      <c r="CR540" s="5" t="s">
        <v>261</v>
      </c>
      <c r="CU540" s="8">
        <f>23595</f>
        <v>23595</v>
      </c>
      <c r="CV540" s="8">
        <f>0</f>
        <v>0</v>
      </c>
      <c r="CX540" s="8">
        <f>0</f>
        <v>0</v>
      </c>
      <c r="CY540" s="8">
        <f>23595</f>
        <v>23595</v>
      </c>
      <c r="DA540" s="5" t="s">
        <v>533</v>
      </c>
      <c r="DB540" s="5" t="s">
        <v>238</v>
      </c>
      <c r="DD540" s="5" t="s">
        <v>356</v>
      </c>
      <c r="DE540" s="8">
        <f>0</f>
        <v>0</v>
      </c>
      <c r="DG540" s="5" t="s">
        <v>534</v>
      </c>
      <c r="DH540" s="5" t="s">
        <v>238</v>
      </c>
      <c r="DI540" s="5" t="s">
        <v>238</v>
      </c>
      <c r="DJ540" s="5" t="s">
        <v>238</v>
      </c>
      <c r="DN540" s="5" t="s">
        <v>238</v>
      </c>
      <c r="DO540" s="5" t="s">
        <v>238</v>
      </c>
      <c r="DP540" s="5" t="s">
        <v>238</v>
      </c>
      <c r="DQ540" s="5" t="s">
        <v>238</v>
      </c>
      <c r="DT540" s="5" t="s">
        <v>535</v>
      </c>
      <c r="DU540" s="5" t="s">
        <v>1135</v>
      </c>
      <c r="HM540" s="5" t="s">
        <v>264</v>
      </c>
    </row>
    <row r="541" spans="1:221" x14ac:dyDescent="0.4">
      <c r="A541" s="5">
        <v>1403</v>
      </c>
      <c r="B541" s="5">
        <v>1</v>
      </c>
      <c r="C541" s="5">
        <v>1</v>
      </c>
      <c r="D541" s="5" t="s">
        <v>484</v>
      </c>
      <c r="E541" s="5" t="s">
        <v>485</v>
      </c>
      <c r="F541" s="5" t="s">
        <v>248</v>
      </c>
      <c r="G541" s="5" t="s">
        <v>531</v>
      </c>
      <c r="H541" s="6" t="s">
        <v>5268</v>
      </c>
      <c r="I541" s="7">
        <f>1100</f>
        <v>1100</v>
      </c>
      <c r="J541" s="5" t="s">
        <v>262</v>
      </c>
      <c r="K541" s="8">
        <f>12100</f>
        <v>12100</v>
      </c>
      <c r="L541" s="6" t="s">
        <v>242</v>
      </c>
      <c r="M541" s="5" t="s">
        <v>267</v>
      </c>
      <c r="N541" s="5" t="s">
        <v>237</v>
      </c>
      <c r="O541" s="5" t="s">
        <v>238</v>
      </c>
      <c r="P541" s="5" t="s">
        <v>238</v>
      </c>
      <c r="Q541" s="5" t="s">
        <v>239</v>
      </c>
      <c r="R541" s="5" t="s">
        <v>240</v>
      </c>
      <c r="S541" s="5" t="s">
        <v>238</v>
      </c>
      <c r="V541" s="5" t="s">
        <v>238</v>
      </c>
      <c r="X541" s="6" t="s">
        <v>238</v>
      </c>
      <c r="AA541" s="6" t="s">
        <v>243</v>
      </c>
      <c r="AB541" s="5" t="s">
        <v>238</v>
      </c>
      <c r="AC541" s="5" t="s">
        <v>244</v>
      </c>
      <c r="AD541" s="5" t="s">
        <v>245</v>
      </c>
      <c r="AT541" s="5" t="s">
        <v>246</v>
      </c>
      <c r="AU541" s="5" t="s">
        <v>238</v>
      </c>
      <c r="AV541" s="5" t="s">
        <v>247</v>
      </c>
      <c r="AW541" s="5" t="s">
        <v>238</v>
      </c>
      <c r="AX541" s="5" t="s">
        <v>249</v>
      </c>
      <c r="AY541" s="5" t="s">
        <v>238</v>
      </c>
      <c r="BA541" s="5" t="s">
        <v>238</v>
      </c>
      <c r="BC541" s="5" t="s">
        <v>250</v>
      </c>
      <c r="BD541" s="6" t="s">
        <v>243</v>
      </c>
      <c r="BE541" s="5" t="s">
        <v>251</v>
      </c>
      <c r="BF541" s="5" t="s">
        <v>252</v>
      </c>
      <c r="BG541" s="5" t="s">
        <v>238</v>
      </c>
      <c r="BH541" s="7">
        <f>0</f>
        <v>0</v>
      </c>
      <c r="BI541" s="8">
        <f>0</f>
        <v>0</v>
      </c>
      <c r="BJ541" s="5" t="s">
        <v>253</v>
      </c>
      <c r="BK541" s="5" t="s">
        <v>254</v>
      </c>
      <c r="BY541" s="5" t="s">
        <v>238</v>
      </c>
      <c r="BZ541" s="5" t="s">
        <v>238</v>
      </c>
      <c r="CD541" s="5" t="s">
        <v>255</v>
      </c>
      <c r="CE541" s="5" t="s">
        <v>256</v>
      </c>
      <c r="CF541" s="5" t="s">
        <v>238</v>
      </c>
      <c r="CI541" s="6" t="s">
        <v>257</v>
      </c>
      <c r="CJ541" s="5" t="s">
        <v>238</v>
      </c>
      <c r="CK541" s="5" t="s">
        <v>258</v>
      </c>
      <c r="CL541" s="5" t="s">
        <v>238</v>
      </c>
      <c r="CM541" s="5" t="s">
        <v>238</v>
      </c>
      <c r="CN541" s="5">
        <v>0</v>
      </c>
      <c r="CO541" s="5" t="s">
        <v>259</v>
      </c>
      <c r="CP541" s="5" t="s">
        <v>260</v>
      </c>
      <c r="CQ541" s="5" t="s">
        <v>260</v>
      </c>
      <c r="CR541" s="5" t="s">
        <v>261</v>
      </c>
      <c r="CU541" s="8">
        <f>12100</f>
        <v>12100</v>
      </c>
      <c r="CV541" s="8">
        <f>0</f>
        <v>0</v>
      </c>
      <c r="CX541" s="8">
        <f>0</f>
        <v>0</v>
      </c>
      <c r="CY541" s="8">
        <f>12100</f>
        <v>12100</v>
      </c>
      <c r="DA541" s="5" t="s">
        <v>533</v>
      </c>
      <c r="DB541" s="5" t="s">
        <v>238</v>
      </c>
      <c r="DD541" s="5" t="s">
        <v>356</v>
      </c>
      <c r="DE541" s="8">
        <f>0</f>
        <v>0</v>
      </c>
      <c r="DG541" s="5" t="s">
        <v>534</v>
      </c>
      <c r="DH541" s="5" t="s">
        <v>238</v>
      </c>
      <c r="DI541" s="5" t="s">
        <v>238</v>
      </c>
      <c r="DJ541" s="5" t="s">
        <v>238</v>
      </c>
      <c r="DN541" s="5" t="s">
        <v>238</v>
      </c>
      <c r="DO541" s="5" t="s">
        <v>238</v>
      </c>
      <c r="DP541" s="5" t="s">
        <v>238</v>
      </c>
      <c r="DQ541" s="5" t="s">
        <v>238</v>
      </c>
      <c r="DT541" s="5" t="s">
        <v>535</v>
      </c>
      <c r="DU541" s="5" t="s">
        <v>422</v>
      </c>
      <c r="HM541" s="5" t="s">
        <v>264</v>
      </c>
    </row>
    <row r="542" spans="1:221" x14ac:dyDescent="0.4">
      <c r="A542" s="5">
        <v>1404</v>
      </c>
      <c r="B542" s="5">
        <v>1</v>
      </c>
      <c r="C542" s="5">
        <v>1</v>
      </c>
      <c r="D542" s="5" t="s">
        <v>484</v>
      </c>
      <c r="E542" s="5" t="s">
        <v>485</v>
      </c>
      <c r="F542" s="5" t="s">
        <v>248</v>
      </c>
      <c r="G542" s="5" t="s">
        <v>531</v>
      </c>
      <c r="H542" s="6" t="s">
        <v>5270</v>
      </c>
      <c r="I542" s="7">
        <f>1918</f>
        <v>1918</v>
      </c>
      <c r="J542" s="5" t="s">
        <v>262</v>
      </c>
      <c r="K542" s="8">
        <f>21098</f>
        <v>21098</v>
      </c>
      <c r="L542" s="6" t="s">
        <v>242</v>
      </c>
      <c r="M542" s="5" t="s">
        <v>267</v>
      </c>
      <c r="N542" s="5" t="s">
        <v>237</v>
      </c>
      <c r="O542" s="5" t="s">
        <v>238</v>
      </c>
      <c r="P542" s="5" t="s">
        <v>238</v>
      </c>
      <c r="Q542" s="5" t="s">
        <v>239</v>
      </c>
      <c r="R542" s="5" t="s">
        <v>240</v>
      </c>
      <c r="S542" s="5" t="s">
        <v>238</v>
      </c>
      <c r="V542" s="5" t="s">
        <v>238</v>
      </c>
      <c r="X542" s="6" t="s">
        <v>238</v>
      </c>
      <c r="AA542" s="6" t="s">
        <v>243</v>
      </c>
      <c r="AB542" s="5" t="s">
        <v>238</v>
      </c>
      <c r="AC542" s="5" t="s">
        <v>244</v>
      </c>
      <c r="AD542" s="5" t="s">
        <v>245</v>
      </c>
      <c r="AT542" s="5" t="s">
        <v>246</v>
      </c>
      <c r="AU542" s="5" t="s">
        <v>238</v>
      </c>
      <c r="AV542" s="5" t="s">
        <v>247</v>
      </c>
      <c r="AW542" s="5" t="s">
        <v>238</v>
      </c>
      <c r="AX542" s="5" t="s">
        <v>249</v>
      </c>
      <c r="AY542" s="5" t="s">
        <v>238</v>
      </c>
      <c r="BA542" s="5" t="s">
        <v>238</v>
      </c>
      <c r="BC542" s="5" t="s">
        <v>250</v>
      </c>
      <c r="BD542" s="6" t="s">
        <v>243</v>
      </c>
      <c r="BE542" s="5" t="s">
        <v>251</v>
      </c>
      <c r="BF542" s="5" t="s">
        <v>252</v>
      </c>
      <c r="BG542" s="5" t="s">
        <v>238</v>
      </c>
      <c r="BH542" s="7">
        <f>0</f>
        <v>0</v>
      </c>
      <c r="BI542" s="8">
        <f>0</f>
        <v>0</v>
      </c>
      <c r="BJ542" s="5" t="s">
        <v>253</v>
      </c>
      <c r="BK542" s="5" t="s">
        <v>254</v>
      </c>
      <c r="BY542" s="5" t="s">
        <v>238</v>
      </c>
      <c r="BZ542" s="5" t="s">
        <v>238</v>
      </c>
      <c r="CD542" s="5" t="s">
        <v>255</v>
      </c>
      <c r="CE542" s="5" t="s">
        <v>256</v>
      </c>
      <c r="CF542" s="5" t="s">
        <v>238</v>
      </c>
      <c r="CI542" s="6" t="s">
        <v>257</v>
      </c>
      <c r="CJ542" s="5" t="s">
        <v>238</v>
      </c>
      <c r="CK542" s="5" t="s">
        <v>258</v>
      </c>
      <c r="CL542" s="5" t="s">
        <v>238</v>
      </c>
      <c r="CM542" s="5" t="s">
        <v>238</v>
      </c>
      <c r="CN542" s="5">
        <v>0</v>
      </c>
      <c r="CO542" s="5" t="s">
        <v>259</v>
      </c>
      <c r="CP542" s="5" t="s">
        <v>260</v>
      </c>
      <c r="CQ542" s="5" t="s">
        <v>260</v>
      </c>
      <c r="CR542" s="5" t="s">
        <v>261</v>
      </c>
      <c r="CU542" s="8">
        <f>21098</f>
        <v>21098</v>
      </c>
      <c r="CV542" s="8">
        <f>0</f>
        <v>0</v>
      </c>
      <c r="CX542" s="8">
        <f>0</f>
        <v>0</v>
      </c>
      <c r="CY542" s="8">
        <f>21098</f>
        <v>21098</v>
      </c>
      <c r="DA542" s="5" t="s">
        <v>533</v>
      </c>
      <c r="DB542" s="5" t="s">
        <v>238</v>
      </c>
      <c r="DD542" s="5" t="s">
        <v>356</v>
      </c>
      <c r="DE542" s="8">
        <f>0</f>
        <v>0</v>
      </c>
      <c r="DG542" s="5" t="s">
        <v>534</v>
      </c>
      <c r="DH542" s="5" t="s">
        <v>238</v>
      </c>
      <c r="DI542" s="5" t="s">
        <v>238</v>
      </c>
      <c r="DJ542" s="5" t="s">
        <v>238</v>
      </c>
      <c r="DN542" s="5" t="s">
        <v>238</v>
      </c>
      <c r="DO542" s="5" t="s">
        <v>238</v>
      </c>
      <c r="DP542" s="5" t="s">
        <v>238</v>
      </c>
      <c r="DQ542" s="5" t="s">
        <v>238</v>
      </c>
      <c r="DT542" s="5" t="s">
        <v>535</v>
      </c>
      <c r="DU542" s="5" t="s">
        <v>1128</v>
      </c>
      <c r="HM542" s="5" t="s">
        <v>264</v>
      </c>
    </row>
    <row r="543" spans="1:221" x14ac:dyDescent="0.4">
      <c r="A543" s="5">
        <v>1405</v>
      </c>
      <c r="B543" s="5">
        <v>1</v>
      </c>
      <c r="C543" s="5">
        <v>1</v>
      </c>
      <c r="D543" s="5" t="s">
        <v>484</v>
      </c>
      <c r="E543" s="5" t="s">
        <v>485</v>
      </c>
      <c r="F543" s="5" t="s">
        <v>248</v>
      </c>
      <c r="G543" s="5" t="s">
        <v>531</v>
      </c>
      <c r="H543" s="6" t="s">
        <v>5273</v>
      </c>
      <c r="I543" s="7">
        <f>455</f>
        <v>455</v>
      </c>
      <c r="J543" s="5" t="s">
        <v>262</v>
      </c>
      <c r="K543" s="8">
        <f>5005</f>
        <v>5005</v>
      </c>
      <c r="L543" s="6" t="s">
        <v>242</v>
      </c>
      <c r="M543" s="5" t="s">
        <v>267</v>
      </c>
      <c r="N543" s="5" t="s">
        <v>237</v>
      </c>
      <c r="O543" s="5" t="s">
        <v>238</v>
      </c>
      <c r="P543" s="5" t="s">
        <v>238</v>
      </c>
      <c r="Q543" s="5" t="s">
        <v>239</v>
      </c>
      <c r="R543" s="5" t="s">
        <v>240</v>
      </c>
      <c r="S543" s="5" t="s">
        <v>238</v>
      </c>
      <c r="V543" s="5" t="s">
        <v>238</v>
      </c>
      <c r="X543" s="6" t="s">
        <v>238</v>
      </c>
      <c r="AA543" s="6" t="s">
        <v>243</v>
      </c>
      <c r="AB543" s="5" t="s">
        <v>238</v>
      </c>
      <c r="AC543" s="5" t="s">
        <v>244</v>
      </c>
      <c r="AD543" s="5" t="s">
        <v>245</v>
      </c>
      <c r="AT543" s="5" t="s">
        <v>246</v>
      </c>
      <c r="AU543" s="5" t="s">
        <v>238</v>
      </c>
      <c r="AV543" s="5" t="s">
        <v>247</v>
      </c>
      <c r="AW543" s="5" t="s">
        <v>238</v>
      </c>
      <c r="AX543" s="5" t="s">
        <v>249</v>
      </c>
      <c r="AY543" s="5" t="s">
        <v>238</v>
      </c>
      <c r="BA543" s="5" t="s">
        <v>238</v>
      </c>
      <c r="BC543" s="5" t="s">
        <v>250</v>
      </c>
      <c r="BD543" s="6" t="s">
        <v>243</v>
      </c>
      <c r="BE543" s="5" t="s">
        <v>251</v>
      </c>
      <c r="BF543" s="5" t="s">
        <v>252</v>
      </c>
      <c r="BG543" s="5" t="s">
        <v>238</v>
      </c>
      <c r="BH543" s="7">
        <f>0</f>
        <v>0</v>
      </c>
      <c r="BI543" s="8">
        <f>0</f>
        <v>0</v>
      </c>
      <c r="BJ543" s="5" t="s">
        <v>253</v>
      </c>
      <c r="BK543" s="5" t="s">
        <v>254</v>
      </c>
      <c r="BY543" s="5" t="s">
        <v>238</v>
      </c>
      <c r="BZ543" s="5" t="s">
        <v>238</v>
      </c>
      <c r="CD543" s="5" t="s">
        <v>255</v>
      </c>
      <c r="CE543" s="5" t="s">
        <v>256</v>
      </c>
      <c r="CF543" s="5" t="s">
        <v>238</v>
      </c>
      <c r="CI543" s="6" t="s">
        <v>257</v>
      </c>
      <c r="CJ543" s="5" t="s">
        <v>238</v>
      </c>
      <c r="CK543" s="5" t="s">
        <v>258</v>
      </c>
      <c r="CL543" s="5" t="s">
        <v>238</v>
      </c>
      <c r="CM543" s="5" t="s">
        <v>238</v>
      </c>
      <c r="CN543" s="5">
        <v>0</v>
      </c>
      <c r="CO543" s="5" t="s">
        <v>259</v>
      </c>
      <c r="CP543" s="5" t="s">
        <v>260</v>
      </c>
      <c r="CQ543" s="5" t="s">
        <v>260</v>
      </c>
      <c r="CR543" s="5" t="s">
        <v>261</v>
      </c>
      <c r="CU543" s="8">
        <f>5005</f>
        <v>5005</v>
      </c>
      <c r="CV543" s="8">
        <f>0</f>
        <v>0</v>
      </c>
      <c r="CX543" s="8">
        <f>0</f>
        <v>0</v>
      </c>
      <c r="CY543" s="8">
        <f>5005</f>
        <v>5005</v>
      </c>
      <c r="DA543" s="5" t="s">
        <v>533</v>
      </c>
      <c r="DB543" s="5" t="s">
        <v>238</v>
      </c>
      <c r="DD543" s="5" t="s">
        <v>356</v>
      </c>
      <c r="DE543" s="8">
        <f>0</f>
        <v>0</v>
      </c>
      <c r="DG543" s="5" t="s">
        <v>534</v>
      </c>
      <c r="DH543" s="5" t="s">
        <v>238</v>
      </c>
      <c r="DI543" s="5" t="s">
        <v>238</v>
      </c>
      <c r="DJ543" s="5" t="s">
        <v>238</v>
      </c>
      <c r="DN543" s="5" t="s">
        <v>238</v>
      </c>
      <c r="DO543" s="5" t="s">
        <v>238</v>
      </c>
      <c r="DP543" s="5" t="s">
        <v>238</v>
      </c>
      <c r="DQ543" s="5" t="s">
        <v>238</v>
      </c>
      <c r="DT543" s="5" t="s">
        <v>535</v>
      </c>
      <c r="DU543" s="5" t="s">
        <v>1126</v>
      </c>
      <c r="HM543" s="5" t="s">
        <v>264</v>
      </c>
    </row>
    <row r="544" spans="1:221" x14ac:dyDescent="0.4">
      <c r="A544" s="5">
        <v>1406</v>
      </c>
      <c r="B544" s="5">
        <v>1</v>
      </c>
      <c r="C544" s="5">
        <v>1</v>
      </c>
      <c r="D544" s="5" t="s">
        <v>484</v>
      </c>
      <c r="E544" s="5" t="s">
        <v>485</v>
      </c>
      <c r="F544" s="5" t="s">
        <v>248</v>
      </c>
      <c r="G544" s="5" t="s">
        <v>531</v>
      </c>
      <c r="H544" s="6" t="s">
        <v>5810</v>
      </c>
      <c r="I544" s="7">
        <f>4456</f>
        <v>4456</v>
      </c>
      <c r="J544" s="5" t="s">
        <v>262</v>
      </c>
      <c r="K544" s="8">
        <f>49016</f>
        <v>49016</v>
      </c>
      <c r="L544" s="6" t="s">
        <v>242</v>
      </c>
      <c r="M544" s="5" t="s">
        <v>267</v>
      </c>
      <c r="N544" s="5" t="s">
        <v>237</v>
      </c>
      <c r="O544" s="5" t="s">
        <v>238</v>
      </c>
      <c r="P544" s="5" t="s">
        <v>238</v>
      </c>
      <c r="Q544" s="5" t="s">
        <v>239</v>
      </c>
      <c r="R544" s="5" t="s">
        <v>240</v>
      </c>
      <c r="S544" s="5" t="s">
        <v>238</v>
      </c>
      <c r="V544" s="5" t="s">
        <v>238</v>
      </c>
      <c r="X544" s="6" t="s">
        <v>238</v>
      </c>
      <c r="AA544" s="6" t="s">
        <v>243</v>
      </c>
      <c r="AB544" s="5" t="s">
        <v>238</v>
      </c>
      <c r="AC544" s="5" t="s">
        <v>244</v>
      </c>
      <c r="AD544" s="5" t="s">
        <v>245</v>
      </c>
      <c r="AT544" s="5" t="s">
        <v>246</v>
      </c>
      <c r="AU544" s="5" t="s">
        <v>238</v>
      </c>
      <c r="AV544" s="5" t="s">
        <v>247</v>
      </c>
      <c r="AW544" s="5" t="s">
        <v>238</v>
      </c>
      <c r="AX544" s="5" t="s">
        <v>249</v>
      </c>
      <c r="AY544" s="5" t="s">
        <v>238</v>
      </c>
      <c r="BA544" s="5" t="s">
        <v>238</v>
      </c>
      <c r="BC544" s="5" t="s">
        <v>250</v>
      </c>
      <c r="BD544" s="6" t="s">
        <v>243</v>
      </c>
      <c r="BE544" s="5" t="s">
        <v>251</v>
      </c>
      <c r="BF544" s="5" t="s">
        <v>252</v>
      </c>
      <c r="BG544" s="5" t="s">
        <v>238</v>
      </c>
      <c r="BH544" s="7">
        <f>0</f>
        <v>0</v>
      </c>
      <c r="BI544" s="8">
        <f>0</f>
        <v>0</v>
      </c>
      <c r="BJ544" s="5" t="s">
        <v>253</v>
      </c>
      <c r="BK544" s="5" t="s">
        <v>254</v>
      </c>
      <c r="BY544" s="5" t="s">
        <v>238</v>
      </c>
      <c r="BZ544" s="5" t="s">
        <v>238</v>
      </c>
      <c r="CD544" s="5" t="s">
        <v>255</v>
      </c>
      <c r="CE544" s="5" t="s">
        <v>256</v>
      </c>
      <c r="CF544" s="5" t="s">
        <v>238</v>
      </c>
      <c r="CI544" s="6" t="s">
        <v>257</v>
      </c>
      <c r="CJ544" s="5" t="s">
        <v>238</v>
      </c>
      <c r="CK544" s="5" t="s">
        <v>258</v>
      </c>
      <c r="CL544" s="5" t="s">
        <v>238</v>
      </c>
      <c r="CM544" s="5" t="s">
        <v>238</v>
      </c>
      <c r="CN544" s="5">
        <v>0</v>
      </c>
      <c r="CO544" s="5" t="s">
        <v>259</v>
      </c>
      <c r="CP544" s="5" t="s">
        <v>260</v>
      </c>
      <c r="CQ544" s="5" t="s">
        <v>260</v>
      </c>
      <c r="CR544" s="5" t="s">
        <v>261</v>
      </c>
      <c r="CU544" s="8">
        <f>49016</f>
        <v>49016</v>
      </c>
      <c r="CV544" s="8">
        <f>0</f>
        <v>0</v>
      </c>
      <c r="CX544" s="8">
        <f>0</f>
        <v>0</v>
      </c>
      <c r="CY544" s="8">
        <f>49016</f>
        <v>49016</v>
      </c>
      <c r="DA544" s="5" t="s">
        <v>533</v>
      </c>
      <c r="DB544" s="5" t="s">
        <v>238</v>
      </c>
      <c r="DD544" s="5" t="s">
        <v>356</v>
      </c>
      <c r="DE544" s="8">
        <f>0</f>
        <v>0</v>
      </c>
      <c r="DG544" s="5" t="s">
        <v>534</v>
      </c>
      <c r="DH544" s="5" t="s">
        <v>238</v>
      </c>
      <c r="DI544" s="5" t="s">
        <v>238</v>
      </c>
      <c r="DJ544" s="5" t="s">
        <v>238</v>
      </c>
      <c r="DN544" s="5" t="s">
        <v>238</v>
      </c>
      <c r="DO544" s="5" t="s">
        <v>238</v>
      </c>
      <c r="DP544" s="5" t="s">
        <v>238</v>
      </c>
      <c r="DQ544" s="5" t="s">
        <v>238</v>
      </c>
      <c r="DT544" s="5" t="s">
        <v>535</v>
      </c>
      <c r="DU544" s="5" t="s">
        <v>1122</v>
      </c>
      <c r="HM544" s="5" t="s">
        <v>264</v>
      </c>
    </row>
    <row r="545" spans="1:221" x14ac:dyDescent="0.4">
      <c r="A545" s="5">
        <v>1407</v>
      </c>
      <c r="B545" s="5">
        <v>1</v>
      </c>
      <c r="C545" s="5">
        <v>1</v>
      </c>
      <c r="D545" s="5" t="s">
        <v>484</v>
      </c>
      <c r="E545" s="5" t="s">
        <v>485</v>
      </c>
      <c r="F545" s="5" t="s">
        <v>248</v>
      </c>
      <c r="G545" s="5" t="s">
        <v>531</v>
      </c>
      <c r="H545" s="6" t="s">
        <v>5276</v>
      </c>
      <c r="I545" s="7">
        <f>1731</f>
        <v>1731</v>
      </c>
      <c r="J545" s="5" t="s">
        <v>262</v>
      </c>
      <c r="K545" s="8">
        <f>19041</f>
        <v>19041</v>
      </c>
      <c r="L545" s="6" t="s">
        <v>242</v>
      </c>
      <c r="M545" s="5" t="s">
        <v>267</v>
      </c>
      <c r="N545" s="5" t="s">
        <v>237</v>
      </c>
      <c r="O545" s="5" t="s">
        <v>238</v>
      </c>
      <c r="P545" s="5" t="s">
        <v>238</v>
      </c>
      <c r="Q545" s="5" t="s">
        <v>239</v>
      </c>
      <c r="R545" s="5" t="s">
        <v>240</v>
      </c>
      <c r="S545" s="5" t="s">
        <v>238</v>
      </c>
      <c r="V545" s="5" t="s">
        <v>238</v>
      </c>
      <c r="X545" s="6" t="s">
        <v>238</v>
      </c>
      <c r="AA545" s="6" t="s">
        <v>243</v>
      </c>
      <c r="AB545" s="5" t="s">
        <v>238</v>
      </c>
      <c r="AC545" s="5" t="s">
        <v>244</v>
      </c>
      <c r="AD545" s="5" t="s">
        <v>245</v>
      </c>
      <c r="AT545" s="5" t="s">
        <v>246</v>
      </c>
      <c r="AU545" s="5" t="s">
        <v>238</v>
      </c>
      <c r="AV545" s="5" t="s">
        <v>247</v>
      </c>
      <c r="AW545" s="5" t="s">
        <v>238</v>
      </c>
      <c r="AX545" s="5" t="s">
        <v>249</v>
      </c>
      <c r="AY545" s="5" t="s">
        <v>238</v>
      </c>
      <c r="BA545" s="5" t="s">
        <v>238</v>
      </c>
      <c r="BC545" s="5" t="s">
        <v>250</v>
      </c>
      <c r="BD545" s="6" t="s">
        <v>243</v>
      </c>
      <c r="BE545" s="5" t="s">
        <v>251</v>
      </c>
      <c r="BF545" s="5" t="s">
        <v>252</v>
      </c>
      <c r="BG545" s="5" t="s">
        <v>238</v>
      </c>
      <c r="BH545" s="7">
        <f>0</f>
        <v>0</v>
      </c>
      <c r="BI545" s="8">
        <f>0</f>
        <v>0</v>
      </c>
      <c r="BJ545" s="5" t="s">
        <v>253</v>
      </c>
      <c r="BK545" s="5" t="s">
        <v>254</v>
      </c>
      <c r="BY545" s="5" t="s">
        <v>238</v>
      </c>
      <c r="BZ545" s="5" t="s">
        <v>238</v>
      </c>
      <c r="CD545" s="5" t="s">
        <v>255</v>
      </c>
      <c r="CE545" s="5" t="s">
        <v>256</v>
      </c>
      <c r="CF545" s="5" t="s">
        <v>238</v>
      </c>
      <c r="CI545" s="6" t="s">
        <v>257</v>
      </c>
      <c r="CJ545" s="5" t="s">
        <v>238</v>
      </c>
      <c r="CK545" s="5" t="s">
        <v>258</v>
      </c>
      <c r="CL545" s="5" t="s">
        <v>238</v>
      </c>
      <c r="CM545" s="5" t="s">
        <v>238</v>
      </c>
      <c r="CN545" s="5">
        <v>0</v>
      </c>
      <c r="CO545" s="5" t="s">
        <v>259</v>
      </c>
      <c r="CP545" s="5" t="s">
        <v>260</v>
      </c>
      <c r="CQ545" s="5" t="s">
        <v>260</v>
      </c>
      <c r="CR545" s="5" t="s">
        <v>261</v>
      </c>
      <c r="CU545" s="8">
        <f>19041</f>
        <v>19041</v>
      </c>
      <c r="CV545" s="8">
        <f>0</f>
        <v>0</v>
      </c>
      <c r="CX545" s="8">
        <f>0</f>
        <v>0</v>
      </c>
      <c r="CY545" s="8">
        <f>19041</f>
        <v>19041</v>
      </c>
      <c r="DA545" s="5" t="s">
        <v>533</v>
      </c>
      <c r="DB545" s="5" t="s">
        <v>238</v>
      </c>
      <c r="DD545" s="5" t="s">
        <v>356</v>
      </c>
      <c r="DE545" s="8">
        <f>0</f>
        <v>0</v>
      </c>
      <c r="DG545" s="5" t="s">
        <v>534</v>
      </c>
      <c r="DH545" s="5" t="s">
        <v>238</v>
      </c>
      <c r="DI545" s="5" t="s">
        <v>238</v>
      </c>
      <c r="DJ545" s="5" t="s">
        <v>238</v>
      </c>
      <c r="DN545" s="5" t="s">
        <v>238</v>
      </c>
      <c r="DO545" s="5" t="s">
        <v>238</v>
      </c>
      <c r="DP545" s="5" t="s">
        <v>238</v>
      </c>
      <c r="DQ545" s="5" t="s">
        <v>238</v>
      </c>
      <c r="DT545" s="5" t="s">
        <v>535</v>
      </c>
      <c r="DU545" s="5" t="s">
        <v>1120</v>
      </c>
      <c r="HM545" s="5" t="s">
        <v>264</v>
      </c>
    </row>
    <row r="546" spans="1:221" x14ac:dyDescent="0.4">
      <c r="A546" s="5">
        <v>1408</v>
      </c>
      <c r="B546" s="5">
        <v>1</v>
      </c>
      <c r="C546" s="5">
        <v>1</v>
      </c>
      <c r="D546" s="5" t="s">
        <v>484</v>
      </c>
      <c r="E546" s="5" t="s">
        <v>485</v>
      </c>
      <c r="F546" s="5" t="s">
        <v>248</v>
      </c>
      <c r="G546" s="5" t="s">
        <v>531</v>
      </c>
      <c r="H546" s="6" t="s">
        <v>5279</v>
      </c>
      <c r="I546" s="7">
        <f>669</f>
        <v>669</v>
      </c>
      <c r="J546" s="5" t="s">
        <v>262</v>
      </c>
      <c r="K546" s="8">
        <f>7359</f>
        <v>7359</v>
      </c>
      <c r="L546" s="6" t="s">
        <v>242</v>
      </c>
      <c r="M546" s="5" t="s">
        <v>267</v>
      </c>
      <c r="N546" s="5" t="s">
        <v>237</v>
      </c>
      <c r="O546" s="5" t="s">
        <v>238</v>
      </c>
      <c r="P546" s="5" t="s">
        <v>238</v>
      </c>
      <c r="Q546" s="5" t="s">
        <v>239</v>
      </c>
      <c r="R546" s="5" t="s">
        <v>240</v>
      </c>
      <c r="S546" s="5" t="s">
        <v>238</v>
      </c>
      <c r="V546" s="5" t="s">
        <v>238</v>
      </c>
      <c r="X546" s="6" t="s">
        <v>238</v>
      </c>
      <c r="AA546" s="6" t="s">
        <v>243</v>
      </c>
      <c r="AB546" s="5" t="s">
        <v>238</v>
      </c>
      <c r="AC546" s="5" t="s">
        <v>244</v>
      </c>
      <c r="AD546" s="5" t="s">
        <v>245</v>
      </c>
      <c r="AT546" s="5" t="s">
        <v>246</v>
      </c>
      <c r="AU546" s="5" t="s">
        <v>238</v>
      </c>
      <c r="AV546" s="5" t="s">
        <v>247</v>
      </c>
      <c r="AW546" s="5" t="s">
        <v>238</v>
      </c>
      <c r="AX546" s="5" t="s">
        <v>249</v>
      </c>
      <c r="AY546" s="5" t="s">
        <v>238</v>
      </c>
      <c r="BA546" s="5" t="s">
        <v>238</v>
      </c>
      <c r="BC546" s="5" t="s">
        <v>250</v>
      </c>
      <c r="BD546" s="6" t="s">
        <v>243</v>
      </c>
      <c r="BE546" s="5" t="s">
        <v>251</v>
      </c>
      <c r="BF546" s="5" t="s">
        <v>252</v>
      </c>
      <c r="BG546" s="5" t="s">
        <v>238</v>
      </c>
      <c r="BH546" s="7">
        <f>0</f>
        <v>0</v>
      </c>
      <c r="BI546" s="8">
        <f>0</f>
        <v>0</v>
      </c>
      <c r="BJ546" s="5" t="s">
        <v>253</v>
      </c>
      <c r="BK546" s="5" t="s">
        <v>254</v>
      </c>
      <c r="BY546" s="5" t="s">
        <v>238</v>
      </c>
      <c r="BZ546" s="5" t="s">
        <v>238</v>
      </c>
      <c r="CD546" s="5" t="s">
        <v>255</v>
      </c>
      <c r="CE546" s="5" t="s">
        <v>256</v>
      </c>
      <c r="CF546" s="5" t="s">
        <v>238</v>
      </c>
      <c r="CI546" s="6" t="s">
        <v>257</v>
      </c>
      <c r="CJ546" s="5" t="s">
        <v>238</v>
      </c>
      <c r="CK546" s="5" t="s">
        <v>258</v>
      </c>
      <c r="CL546" s="5" t="s">
        <v>238</v>
      </c>
      <c r="CM546" s="5" t="s">
        <v>238</v>
      </c>
      <c r="CN546" s="5">
        <v>0</v>
      </c>
      <c r="CO546" s="5" t="s">
        <v>259</v>
      </c>
      <c r="CP546" s="5" t="s">
        <v>260</v>
      </c>
      <c r="CQ546" s="5" t="s">
        <v>260</v>
      </c>
      <c r="CR546" s="5" t="s">
        <v>261</v>
      </c>
      <c r="CU546" s="8">
        <f>7359</f>
        <v>7359</v>
      </c>
      <c r="CV546" s="8">
        <f>0</f>
        <v>0</v>
      </c>
      <c r="CX546" s="8">
        <f>0</f>
        <v>0</v>
      </c>
      <c r="CY546" s="8">
        <f>7359</f>
        <v>7359</v>
      </c>
      <c r="DA546" s="5" t="s">
        <v>533</v>
      </c>
      <c r="DB546" s="5" t="s">
        <v>238</v>
      </c>
      <c r="DD546" s="5" t="s">
        <v>356</v>
      </c>
      <c r="DE546" s="8">
        <f>0</f>
        <v>0</v>
      </c>
      <c r="DG546" s="5" t="s">
        <v>534</v>
      </c>
      <c r="DH546" s="5" t="s">
        <v>238</v>
      </c>
      <c r="DI546" s="5" t="s">
        <v>238</v>
      </c>
      <c r="DJ546" s="5" t="s">
        <v>238</v>
      </c>
      <c r="DN546" s="5" t="s">
        <v>238</v>
      </c>
      <c r="DO546" s="5" t="s">
        <v>238</v>
      </c>
      <c r="DP546" s="5" t="s">
        <v>238</v>
      </c>
      <c r="DQ546" s="5" t="s">
        <v>238</v>
      </c>
      <c r="DT546" s="5" t="s">
        <v>535</v>
      </c>
      <c r="DU546" s="5" t="s">
        <v>1116</v>
      </c>
      <c r="HM546" s="5" t="s">
        <v>264</v>
      </c>
    </row>
    <row r="547" spans="1:221" x14ac:dyDescent="0.4">
      <c r="A547" s="5">
        <v>1409</v>
      </c>
      <c r="B547" s="5">
        <v>1</v>
      </c>
      <c r="C547" s="5">
        <v>1</v>
      </c>
      <c r="D547" s="5" t="s">
        <v>484</v>
      </c>
      <c r="E547" s="5" t="s">
        <v>485</v>
      </c>
      <c r="F547" s="5" t="s">
        <v>248</v>
      </c>
      <c r="G547" s="5" t="s">
        <v>531</v>
      </c>
      <c r="H547" s="6" t="s">
        <v>5284</v>
      </c>
      <c r="I547" s="7">
        <f>7735</f>
        <v>7735</v>
      </c>
      <c r="J547" s="5" t="s">
        <v>262</v>
      </c>
      <c r="K547" s="8">
        <f>85085</f>
        <v>85085</v>
      </c>
      <c r="L547" s="6" t="s">
        <v>242</v>
      </c>
      <c r="M547" s="5" t="s">
        <v>267</v>
      </c>
      <c r="N547" s="5" t="s">
        <v>237</v>
      </c>
      <c r="O547" s="5" t="s">
        <v>238</v>
      </c>
      <c r="P547" s="5" t="s">
        <v>238</v>
      </c>
      <c r="Q547" s="5" t="s">
        <v>239</v>
      </c>
      <c r="R547" s="5" t="s">
        <v>240</v>
      </c>
      <c r="S547" s="5" t="s">
        <v>238</v>
      </c>
      <c r="V547" s="5" t="s">
        <v>238</v>
      </c>
      <c r="X547" s="6" t="s">
        <v>238</v>
      </c>
      <c r="AA547" s="6" t="s">
        <v>243</v>
      </c>
      <c r="AB547" s="5" t="s">
        <v>238</v>
      </c>
      <c r="AC547" s="5" t="s">
        <v>244</v>
      </c>
      <c r="AD547" s="5" t="s">
        <v>245</v>
      </c>
      <c r="AT547" s="5" t="s">
        <v>246</v>
      </c>
      <c r="AU547" s="5" t="s">
        <v>238</v>
      </c>
      <c r="AV547" s="5" t="s">
        <v>247</v>
      </c>
      <c r="AW547" s="5" t="s">
        <v>238</v>
      </c>
      <c r="AX547" s="5" t="s">
        <v>249</v>
      </c>
      <c r="AY547" s="5" t="s">
        <v>238</v>
      </c>
      <c r="BA547" s="5" t="s">
        <v>238</v>
      </c>
      <c r="BC547" s="5" t="s">
        <v>250</v>
      </c>
      <c r="BD547" s="6" t="s">
        <v>243</v>
      </c>
      <c r="BE547" s="5" t="s">
        <v>251</v>
      </c>
      <c r="BF547" s="5" t="s">
        <v>252</v>
      </c>
      <c r="BG547" s="5" t="s">
        <v>238</v>
      </c>
      <c r="BH547" s="7">
        <f>0</f>
        <v>0</v>
      </c>
      <c r="BI547" s="8">
        <f>0</f>
        <v>0</v>
      </c>
      <c r="BJ547" s="5" t="s">
        <v>253</v>
      </c>
      <c r="BK547" s="5" t="s">
        <v>254</v>
      </c>
      <c r="BY547" s="5" t="s">
        <v>238</v>
      </c>
      <c r="BZ547" s="5" t="s">
        <v>238</v>
      </c>
      <c r="CD547" s="5" t="s">
        <v>255</v>
      </c>
      <c r="CE547" s="5" t="s">
        <v>256</v>
      </c>
      <c r="CF547" s="5" t="s">
        <v>238</v>
      </c>
      <c r="CI547" s="6" t="s">
        <v>257</v>
      </c>
      <c r="CJ547" s="5" t="s">
        <v>238</v>
      </c>
      <c r="CK547" s="5" t="s">
        <v>258</v>
      </c>
      <c r="CL547" s="5" t="s">
        <v>238</v>
      </c>
      <c r="CM547" s="5" t="s">
        <v>238</v>
      </c>
      <c r="CN547" s="5">
        <v>0</v>
      </c>
      <c r="CO547" s="5" t="s">
        <v>259</v>
      </c>
      <c r="CP547" s="5" t="s">
        <v>260</v>
      </c>
      <c r="CQ547" s="5" t="s">
        <v>260</v>
      </c>
      <c r="CR547" s="5" t="s">
        <v>261</v>
      </c>
      <c r="CU547" s="8">
        <f>85085</f>
        <v>85085</v>
      </c>
      <c r="CV547" s="8">
        <f>0</f>
        <v>0</v>
      </c>
      <c r="CX547" s="8">
        <f>0</f>
        <v>0</v>
      </c>
      <c r="CY547" s="8">
        <f>85085</f>
        <v>85085</v>
      </c>
      <c r="DA547" s="5" t="s">
        <v>533</v>
      </c>
      <c r="DB547" s="5" t="s">
        <v>238</v>
      </c>
      <c r="DD547" s="5" t="s">
        <v>356</v>
      </c>
      <c r="DE547" s="8">
        <f>0</f>
        <v>0</v>
      </c>
      <c r="DG547" s="5" t="s">
        <v>534</v>
      </c>
      <c r="DH547" s="5" t="s">
        <v>238</v>
      </c>
      <c r="DI547" s="5" t="s">
        <v>238</v>
      </c>
      <c r="DJ547" s="5" t="s">
        <v>238</v>
      </c>
      <c r="DN547" s="5" t="s">
        <v>238</v>
      </c>
      <c r="DO547" s="5" t="s">
        <v>238</v>
      </c>
      <c r="DP547" s="5" t="s">
        <v>238</v>
      </c>
      <c r="DQ547" s="5" t="s">
        <v>238</v>
      </c>
      <c r="DT547" s="5" t="s">
        <v>535</v>
      </c>
      <c r="DU547" s="5" t="s">
        <v>1112</v>
      </c>
      <c r="HM547" s="5" t="s">
        <v>264</v>
      </c>
    </row>
    <row r="548" spans="1:221" x14ac:dyDescent="0.4">
      <c r="A548" s="5">
        <v>1410</v>
      </c>
      <c r="B548" s="5">
        <v>1</v>
      </c>
      <c r="C548" s="5">
        <v>1</v>
      </c>
      <c r="D548" s="5" t="s">
        <v>484</v>
      </c>
      <c r="E548" s="5" t="s">
        <v>485</v>
      </c>
      <c r="F548" s="5" t="s">
        <v>248</v>
      </c>
      <c r="G548" s="5" t="s">
        <v>531</v>
      </c>
      <c r="H548" s="6" t="s">
        <v>5286</v>
      </c>
      <c r="I548" s="7">
        <f>313</f>
        <v>313</v>
      </c>
      <c r="J548" s="5" t="s">
        <v>262</v>
      </c>
      <c r="K548" s="8">
        <f>3443</f>
        <v>3443</v>
      </c>
      <c r="L548" s="6" t="s">
        <v>242</v>
      </c>
      <c r="M548" s="5" t="s">
        <v>267</v>
      </c>
      <c r="N548" s="5" t="s">
        <v>237</v>
      </c>
      <c r="O548" s="5" t="s">
        <v>238</v>
      </c>
      <c r="P548" s="5" t="s">
        <v>238</v>
      </c>
      <c r="Q548" s="5" t="s">
        <v>239</v>
      </c>
      <c r="R548" s="5" t="s">
        <v>240</v>
      </c>
      <c r="S548" s="5" t="s">
        <v>238</v>
      </c>
      <c r="V548" s="5" t="s">
        <v>238</v>
      </c>
      <c r="X548" s="6" t="s">
        <v>238</v>
      </c>
      <c r="AA548" s="6" t="s">
        <v>243</v>
      </c>
      <c r="AB548" s="5" t="s">
        <v>238</v>
      </c>
      <c r="AC548" s="5" t="s">
        <v>244</v>
      </c>
      <c r="AD548" s="5" t="s">
        <v>245</v>
      </c>
      <c r="AT548" s="5" t="s">
        <v>246</v>
      </c>
      <c r="AU548" s="5" t="s">
        <v>238</v>
      </c>
      <c r="AV548" s="5" t="s">
        <v>247</v>
      </c>
      <c r="AW548" s="5" t="s">
        <v>238</v>
      </c>
      <c r="AX548" s="5" t="s">
        <v>249</v>
      </c>
      <c r="AY548" s="5" t="s">
        <v>238</v>
      </c>
      <c r="BA548" s="5" t="s">
        <v>238</v>
      </c>
      <c r="BC548" s="5" t="s">
        <v>250</v>
      </c>
      <c r="BD548" s="6" t="s">
        <v>243</v>
      </c>
      <c r="BE548" s="5" t="s">
        <v>251</v>
      </c>
      <c r="BF548" s="5" t="s">
        <v>252</v>
      </c>
      <c r="BG548" s="5" t="s">
        <v>238</v>
      </c>
      <c r="BH548" s="7">
        <f>0</f>
        <v>0</v>
      </c>
      <c r="BI548" s="8">
        <f>0</f>
        <v>0</v>
      </c>
      <c r="BJ548" s="5" t="s">
        <v>253</v>
      </c>
      <c r="BK548" s="5" t="s">
        <v>254</v>
      </c>
      <c r="BY548" s="5" t="s">
        <v>238</v>
      </c>
      <c r="BZ548" s="5" t="s">
        <v>238</v>
      </c>
      <c r="CD548" s="5" t="s">
        <v>255</v>
      </c>
      <c r="CE548" s="5" t="s">
        <v>256</v>
      </c>
      <c r="CF548" s="5" t="s">
        <v>238</v>
      </c>
      <c r="CI548" s="6" t="s">
        <v>257</v>
      </c>
      <c r="CJ548" s="5" t="s">
        <v>238</v>
      </c>
      <c r="CK548" s="5" t="s">
        <v>258</v>
      </c>
      <c r="CL548" s="5" t="s">
        <v>238</v>
      </c>
      <c r="CM548" s="5" t="s">
        <v>238</v>
      </c>
      <c r="CN548" s="5">
        <v>0</v>
      </c>
      <c r="CO548" s="5" t="s">
        <v>259</v>
      </c>
      <c r="CP548" s="5" t="s">
        <v>260</v>
      </c>
      <c r="CQ548" s="5" t="s">
        <v>260</v>
      </c>
      <c r="CR548" s="5" t="s">
        <v>261</v>
      </c>
      <c r="CU548" s="8">
        <f>3443</f>
        <v>3443</v>
      </c>
      <c r="CV548" s="8">
        <f>0</f>
        <v>0</v>
      </c>
      <c r="CX548" s="8">
        <f>0</f>
        <v>0</v>
      </c>
      <c r="CY548" s="8">
        <f>3443</f>
        <v>3443</v>
      </c>
      <c r="DA548" s="5" t="s">
        <v>533</v>
      </c>
      <c r="DB548" s="5" t="s">
        <v>238</v>
      </c>
      <c r="DD548" s="5" t="s">
        <v>356</v>
      </c>
      <c r="DE548" s="8">
        <f>0</f>
        <v>0</v>
      </c>
      <c r="DG548" s="5" t="s">
        <v>534</v>
      </c>
      <c r="DH548" s="5" t="s">
        <v>238</v>
      </c>
      <c r="DI548" s="5" t="s">
        <v>238</v>
      </c>
      <c r="DJ548" s="5" t="s">
        <v>238</v>
      </c>
      <c r="DN548" s="5" t="s">
        <v>238</v>
      </c>
      <c r="DO548" s="5" t="s">
        <v>238</v>
      </c>
      <c r="DP548" s="5" t="s">
        <v>238</v>
      </c>
      <c r="DQ548" s="5" t="s">
        <v>238</v>
      </c>
      <c r="DT548" s="5" t="s">
        <v>535</v>
      </c>
      <c r="DU548" s="5" t="s">
        <v>1108</v>
      </c>
      <c r="HM548" s="5" t="s">
        <v>264</v>
      </c>
    </row>
    <row r="549" spans="1:221" x14ac:dyDescent="0.4">
      <c r="A549" s="5">
        <v>1411</v>
      </c>
      <c r="B549" s="5">
        <v>1</v>
      </c>
      <c r="C549" s="5">
        <v>1</v>
      </c>
      <c r="D549" s="5" t="s">
        <v>484</v>
      </c>
      <c r="E549" s="5" t="s">
        <v>485</v>
      </c>
      <c r="F549" s="5" t="s">
        <v>248</v>
      </c>
      <c r="G549" s="5" t="s">
        <v>531</v>
      </c>
      <c r="H549" s="6" t="s">
        <v>5289</v>
      </c>
      <c r="I549" s="7">
        <f>488</f>
        <v>488</v>
      </c>
      <c r="J549" s="5" t="s">
        <v>262</v>
      </c>
      <c r="K549" s="8">
        <f>5368</f>
        <v>5368</v>
      </c>
      <c r="L549" s="6" t="s">
        <v>242</v>
      </c>
      <c r="M549" s="5" t="s">
        <v>267</v>
      </c>
      <c r="N549" s="5" t="s">
        <v>237</v>
      </c>
      <c r="O549" s="5" t="s">
        <v>238</v>
      </c>
      <c r="P549" s="5" t="s">
        <v>238</v>
      </c>
      <c r="Q549" s="5" t="s">
        <v>239</v>
      </c>
      <c r="R549" s="5" t="s">
        <v>240</v>
      </c>
      <c r="S549" s="5" t="s">
        <v>238</v>
      </c>
      <c r="V549" s="5" t="s">
        <v>238</v>
      </c>
      <c r="X549" s="6" t="s">
        <v>238</v>
      </c>
      <c r="AA549" s="6" t="s">
        <v>243</v>
      </c>
      <c r="AB549" s="5" t="s">
        <v>238</v>
      </c>
      <c r="AC549" s="5" t="s">
        <v>244</v>
      </c>
      <c r="AD549" s="5" t="s">
        <v>245</v>
      </c>
      <c r="AT549" s="5" t="s">
        <v>246</v>
      </c>
      <c r="AU549" s="5" t="s">
        <v>238</v>
      </c>
      <c r="AV549" s="5" t="s">
        <v>247</v>
      </c>
      <c r="AW549" s="5" t="s">
        <v>238</v>
      </c>
      <c r="AX549" s="5" t="s">
        <v>249</v>
      </c>
      <c r="AY549" s="5" t="s">
        <v>238</v>
      </c>
      <c r="BA549" s="5" t="s">
        <v>238</v>
      </c>
      <c r="BC549" s="5" t="s">
        <v>250</v>
      </c>
      <c r="BD549" s="6" t="s">
        <v>243</v>
      </c>
      <c r="BE549" s="5" t="s">
        <v>251</v>
      </c>
      <c r="BF549" s="5" t="s">
        <v>252</v>
      </c>
      <c r="BG549" s="5" t="s">
        <v>238</v>
      </c>
      <c r="BH549" s="7">
        <f>0</f>
        <v>0</v>
      </c>
      <c r="BI549" s="8">
        <f>0</f>
        <v>0</v>
      </c>
      <c r="BJ549" s="5" t="s">
        <v>253</v>
      </c>
      <c r="BK549" s="5" t="s">
        <v>254</v>
      </c>
      <c r="BY549" s="5" t="s">
        <v>238</v>
      </c>
      <c r="BZ549" s="5" t="s">
        <v>238</v>
      </c>
      <c r="CD549" s="5" t="s">
        <v>255</v>
      </c>
      <c r="CE549" s="5" t="s">
        <v>256</v>
      </c>
      <c r="CF549" s="5" t="s">
        <v>238</v>
      </c>
      <c r="CI549" s="6" t="s">
        <v>257</v>
      </c>
      <c r="CJ549" s="5" t="s">
        <v>238</v>
      </c>
      <c r="CK549" s="5" t="s">
        <v>258</v>
      </c>
      <c r="CL549" s="5" t="s">
        <v>238</v>
      </c>
      <c r="CM549" s="5" t="s">
        <v>238</v>
      </c>
      <c r="CN549" s="5">
        <v>0</v>
      </c>
      <c r="CO549" s="5" t="s">
        <v>259</v>
      </c>
      <c r="CP549" s="5" t="s">
        <v>260</v>
      </c>
      <c r="CQ549" s="5" t="s">
        <v>260</v>
      </c>
      <c r="CR549" s="5" t="s">
        <v>261</v>
      </c>
      <c r="CU549" s="8">
        <f>5368</f>
        <v>5368</v>
      </c>
      <c r="CV549" s="8">
        <f>0</f>
        <v>0</v>
      </c>
      <c r="CX549" s="8">
        <f>0</f>
        <v>0</v>
      </c>
      <c r="CY549" s="8">
        <f>5368</f>
        <v>5368</v>
      </c>
      <c r="DA549" s="5" t="s">
        <v>533</v>
      </c>
      <c r="DB549" s="5" t="s">
        <v>238</v>
      </c>
      <c r="DD549" s="5" t="s">
        <v>356</v>
      </c>
      <c r="DE549" s="8">
        <f>0</f>
        <v>0</v>
      </c>
      <c r="DG549" s="5" t="s">
        <v>534</v>
      </c>
      <c r="DH549" s="5" t="s">
        <v>238</v>
      </c>
      <c r="DI549" s="5" t="s">
        <v>238</v>
      </c>
      <c r="DJ549" s="5" t="s">
        <v>238</v>
      </c>
      <c r="DN549" s="5" t="s">
        <v>238</v>
      </c>
      <c r="DO549" s="5" t="s">
        <v>238</v>
      </c>
      <c r="DP549" s="5" t="s">
        <v>238</v>
      </c>
      <c r="DQ549" s="5" t="s">
        <v>238</v>
      </c>
      <c r="DT549" s="5" t="s">
        <v>535</v>
      </c>
      <c r="DU549" s="5" t="s">
        <v>1104</v>
      </c>
      <c r="HM549" s="5" t="s">
        <v>264</v>
      </c>
    </row>
    <row r="550" spans="1:221" x14ac:dyDescent="0.4">
      <c r="A550" s="5">
        <v>1412</v>
      </c>
      <c r="B550" s="5">
        <v>1</v>
      </c>
      <c r="C550" s="5">
        <v>1</v>
      </c>
      <c r="D550" s="5" t="s">
        <v>484</v>
      </c>
      <c r="E550" s="5" t="s">
        <v>485</v>
      </c>
      <c r="F550" s="5" t="s">
        <v>248</v>
      </c>
      <c r="G550" s="5" t="s">
        <v>531</v>
      </c>
      <c r="H550" s="6" t="s">
        <v>5292</v>
      </c>
      <c r="I550" s="7">
        <f>1592</f>
        <v>1592</v>
      </c>
      <c r="J550" s="5" t="s">
        <v>262</v>
      </c>
      <c r="K550" s="8">
        <f>17512</f>
        <v>17512</v>
      </c>
      <c r="L550" s="6" t="s">
        <v>242</v>
      </c>
      <c r="M550" s="5" t="s">
        <v>267</v>
      </c>
      <c r="N550" s="5" t="s">
        <v>237</v>
      </c>
      <c r="O550" s="5" t="s">
        <v>238</v>
      </c>
      <c r="P550" s="5" t="s">
        <v>238</v>
      </c>
      <c r="Q550" s="5" t="s">
        <v>239</v>
      </c>
      <c r="R550" s="5" t="s">
        <v>240</v>
      </c>
      <c r="S550" s="5" t="s">
        <v>238</v>
      </c>
      <c r="V550" s="5" t="s">
        <v>238</v>
      </c>
      <c r="X550" s="6" t="s">
        <v>238</v>
      </c>
      <c r="AA550" s="6" t="s">
        <v>243</v>
      </c>
      <c r="AB550" s="5" t="s">
        <v>238</v>
      </c>
      <c r="AC550" s="5" t="s">
        <v>244</v>
      </c>
      <c r="AD550" s="5" t="s">
        <v>245</v>
      </c>
      <c r="AT550" s="5" t="s">
        <v>246</v>
      </c>
      <c r="AU550" s="5" t="s">
        <v>238</v>
      </c>
      <c r="AV550" s="5" t="s">
        <v>247</v>
      </c>
      <c r="AW550" s="5" t="s">
        <v>238</v>
      </c>
      <c r="AX550" s="5" t="s">
        <v>249</v>
      </c>
      <c r="AY550" s="5" t="s">
        <v>238</v>
      </c>
      <c r="BA550" s="5" t="s">
        <v>238</v>
      </c>
      <c r="BC550" s="5" t="s">
        <v>250</v>
      </c>
      <c r="BD550" s="6" t="s">
        <v>243</v>
      </c>
      <c r="BE550" s="5" t="s">
        <v>251</v>
      </c>
      <c r="BF550" s="5" t="s">
        <v>252</v>
      </c>
      <c r="BG550" s="5" t="s">
        <v>238</v>
      </c>
      <c r="BH550" s="7">
        <f>0</f>
        <v>0</v>
      </c>
      <c r="BI550" s="8">
        <f>0</f>
        <v>0</v>
      </c>
      <c r="BJ550" s="5" t="s">
        <v>253</v>
      </c>
      <c r="BK550" s="5" t="s">
        <v>254</v>
      </c>
      <c r="BY550" s="5" t="s">
        <v>238</v>
      </c>
      <c r="BZ550" s="5" t="s">
        <v>238</v>
      </c>
      <c r="CD550" s="5" t="s">
        <v>255</v>
      </c>
      <c r="CE550" s="5" t="s">
        <v>256</v>
      </c>
      <c r="CF550" s="5" t="s">
        <v>238</v>
      </c>
      <c r="CI550" s="6" t="s">
        <v>257</v>
      </c>
      <c r="CJ550" s="5" t="s">
        <v>238</v>
      </c>
      <c r="CK550" s="5" t="s">
        <v>258</v>
      </c>
      <c r="CL550" s="5" t="s">
        <v>238</v>
      </c>
      <c r="CM550" s="5" t="s">
        <v>238</v>
      </c>
      <c r="CN550" s="5">
        <v>0</v>
      </c>
      <c r="CO550" s="5" t="s">
        <v>259</v>
      </c>
      <c r="CP550" s="5" t="s">
        <v>260</v>
      </c>
      <c r="CQ550" s="5" t="s">
        <v>260</v>
      </c>
      <c r="CR550" s="5" t="s">
        <v>261</v>
      </c>
      <c r="CU550" s="8">
        <f>17512</f>
        <v>17512</v>
      </c>
      <c r="CV550" s="8">
        <f>0</f>
        <v>0</v>
      </c>
      <c r="CX550" s="8">
        <f>0</f>
        <v>0</v>
      </c>
      <c r="CY550" s="8">
        <f>17512</f>
        <v>17512</v>
      </c>
      <c r="DA550" s="5" t="s">
        <v>533</v>
      </c>
      <c r="DB550" s="5" t="s">
        <v>238</v>
      </c>
      <c r="DD550" s="5" t="s">
        <v>356</v>
      </c>
      <c r="DE550" s="8">
        <f>0</f>
        <v>0</v>
      </c>
      <c r="DG550" s="5" t="s">
        <v>534</v>
      </c>
      <c r="DH550" s="5" t="s">
        <v>238</v>
      </c>
      <c r="DI550" s="5" t="s">
        <v>238</v>
      </c>
      <c r="DJ550" s="5" t="s">
        <v>238</v>
      </c>
      <c r="DN550" s="5" t="s">
        <v>238</v>
      </c>
      <c r="DO550" s="5" t="s">
        <v>238</v>
      </c>
      <c r="DP550" s="5" t="s">
        <v>238</v>
      </c>
      <c r="DQ550" s="5" t="s">
        <v>238</v>
      </c>
      <c r="DT550" s="5" t="s">
        <v>535</v>
      </c>
      <c r="DU550" s="5" t="s">
        <v>1102</v>
      </c>
      <c r="HM550" s="5" t="s">
        <v>264</v>
      </c>
    </row>
    <row r="551" spans="1:221" x14ac:dyDescent="0.4">
      <c r="A551" s="5">
        <v>1413</v>
      </c>
      <c r="B551" s="5">
        <v>1</v>
      </c>
      <c r="C551" s="5">
        <v>1</v>
      </c>
      <c r="D551" s="5" t="s">
        <v>484</v>
      </c>
      <c r="E551" s="5" t="s">
        <v>485</v>
      </c>
      <c r="F551" s="5" t="s">
        <v>248</v>
      </c>
      <c r="G551" s="5" t="s">
        <v>531</v>
      </c>
      <c r="H551" s="6" t="s">
        <v>5293</v>
      </c>
      <c r="I551" s="7">
        <f>1197</f>
        <v>1197</v>
      </c>
      <c r="J551" s="5" t="s">
        <v>262</v>
      </c>
      <c r="K551" s="8">
        <f>13167</f>
        <v>13167</v>
      </c>
      <c r="L551" s="6" t="s">
        <v>242</v>
      </c>
      <c r="M551" s="5" t="s">
        <v>267</v>
      </c>
      <c r="N551" s="5" t="s">
        <v>237</v>
      </c>
      <c r="O551" s="5" t="s">
        <v>238</v>
      </c>
      <c r="P551" s="5" t="s">
        <v>238</v>
      </c>
      <c r="Q551" s="5" t="s">
        <v>239</v>
      </c>
      <c r="R551" s="5" t="s">
        <v>240</v>
      </c>
      <c r="S551" s="5" t="s">
        <v>238</v>
      </c>
      <c r="V551" s="5" t="s">
        <v>238</v>
      </c>
      <c r="X551" s="6" t="s">
        <v>238</v>
      </c>
      <c r="AA551" s="6" t="s">
        <v>243</v>
      </c>
      <c r="AB551" s="5" t="s">
        <v>238</v>
      </c>
      <c r="AC551" s="5" t="s">
        <v>244</v>
      </c>
      <c r="AD551" s="5" t="s">
        <v>245</v>
      </c>
      <c r="AT551" s="5" t="s">
        <v>246</v>
      </c>
      <c r="AU551" s="5" t="s">
        <v>238</v>
      </c>
      <c r="AV551" s="5" t="s">
        <v>247</v>
      </c>
      <c r="AW551" s="5" t="s">
        <v>238</v>
      </c>
      <c r="AX551" s="5" t="s">
        <v>249</v>
      </c>
      <c r="AY551" s="5" t="s">
        <v>238</v>
      </c>
      <c r="BA551" s="5" t="s">
        <v>238</v>
      </c>
      <c r="BC551" s="5" t="s">
        <v>250</v>
      </c>
      <c r="BD551" s="6" t="s">
        <v>243</v>
      </c>
      <c r="BE551" s="5" t="s">
        <v>251</v>
      </c>
      <c r="BF551" s="5" t="s">
        <v>252</v>
      </c>
      <c r="BG551" s="5" t="s">
        <v>238</v>
      </c>
      <c r="BH551" s="7">
        <f>0</f>
        <v>0</v>
      </c>
      <c r="BI551" s="8">
        <f>0</f>
        <v>0</v>
      </c>
      <c r="BJ551" s="5" t="s">
        <v>253</v>
      </c>
      <c r="BK551" s="5" t="s">
        <v>254</v>
      </c>
      <c r="BY551" s="5" t="s">
        <v>238</v>
      </c>
      <c r="BZ551" s="5" t="s">
        <v>238</v>
      </c>
      <c r="CD551" s="5" t="s">
        <v>255</v>
      </c>
      <c r="CE551" s="5" t="s">
        <v>256</v>
      </c>
      <c r="CF551" s="5" t="s">
        <v>238</v>
      </c>
      <c r="CI551" s="6" t="s">
        <v>257</v>
      </c>
      <c r="CJ551" s="5" t="s">
        <v>238</v>
      </c>
      <c r="CK551" s="5" t="s">
        <v>258</v>
      </c>
      <c r="CL551" s="5" t="s">
        <v>238</v>
      </c>
      <c r="CM551" s="5" t="s">
        <v>238</v>
      </c>
      <c r="CN551" s="5">
        <v>0</v>
      </c>
      <c r="CO551" s="5" t="s">
        <v>259</v>
      </c>
      <c r="CP551" s="5" t="s">
        <v>260</v>
      </c>
      <c r="CQ551" s="5" t="s">
        <v>260</v>
      </c>
      <c r="CR551" s="5" t="s">
        <v>261</v>
      </c>
      <c r="CU551" s="8">
        <f>13167</f>
        <v>13167</v>
      </c>
      <c r="CV551" s="8">
        <f>0</f>
        <v>0</v>
      </c>
      <c r="CX551" s="8">
        <f>0</f>
        <v>0</v>
      </c>
      <c r="CY551" s="8">
        <f>13167</f>
        <v>13167</v>
      </c>
      <c r="DA551" s="5" t="s">
        <v>533</v>
      </c>
      <c r="DB551" s="5" t="s">
        <v>238</v>
      </c>
      <c r="DD551" s="5" t="s">
        <v>356</v>
      </c>
      <c r="DE551" s="8">
        <f>0</f>
        <v>0</v>
      </c>
      <c r="DG551" s="5" t="s">
        <v>534</v>
      </c>
      <c r="DH551" s="5" t="s">
        <v>238</v>
      </c>
      <c r="DI551" s="5" t="s">
        <v>238</v>
      </c>
      <c r="DJ551" s="5" t="s">
        <v>238</v>
      </c>
      <c r="DN551" s="5" t="s">
        <v>238</v>
      </c>
      <c r="DO551" s="5" t="s">
        <v>238</v>
      </c>
      <c r="DP551" s="5" t="s">
        <v>238</v>
      </c>
      <c r="DQ551" s="5" t="s">
        <v>238</v>
      </c>
      <c r="DT551" s="5" t="s">
        <v>535</v>
      </c>
      <c r="DU551" s="5" t="s">
        <v>1098</v>
      </c>
      <c r="HM551" s="5" t="s">
        <v>264</v>
      </c>
    </row>
    <row r="552" spans="1:221" x14ac:dyDescent="0.4">
      <c r="A552" s="5">
        <v>1414</v>
      </c>
      <c r="B552" s="5">
        <v>1</v>
      </c>
      <c r="C552" s="5">
        <v>1</v>
      </c>
      <c r="D552" s="5" t="s">
        <v>484</v>
      </c>
      <c r="E552" s="5" t="s">
        <v>485</v>
      </c>
      <c r="F552" s="5" t="s">
        <v>248</v>
      </c>
      <c r="G552" s="5" t="s">
        <v>531</v>
      </c>
      <c r="H552" s="6" t="s">
        <v>5794</v>
      </c>
      <c r="I552" s="7">
        <f>5579</f>
        <v>5579</v>
      </c>
      <c r="J552" s="5" t="s">
        <v>262</v>
      </c>
      <c r="K552" s="8">
        <f>61369</f>
        <v>61369</v>
      </c>
      <c r="L552" s="6" t="s">
        <v>242</v>
      </c>
      <c r="M552" s="5" t="s">
        <v>267</v>
      </c>
      <c r="N552" s="5" t="s">
        <v>237</v>
      </c>
      <c r="O552" s="5" t="s">
        <v>238</v>
      </c>
      <c r="P552" s="5" t="s">
        <v>238</v>
      </c>
      <c r="Q552" s="5" t="s">
        <v>239</v>
      </c>
      <c r="R552" s="5" t="s">
        <v>240</v>
      </c>
      <c r="S552" s="5" t="s">
        <v>238</v>
      </c>
      <c r="V552" s="5" t="s">
        <v>238</v>
      </c>
      <c r="X552" s="6" t="s">
        <v>238</v>
      </c>
      <c r="AA552" s="6" t="s">
        <v>243</v>
      </c>
      <c r="AB552" s="5" t="s">
        <v>238</v>
      </c>
      <c r="AC552" s="5" t="s">
        <v>244</v>
      </c>
      <c r="AD552" s="5" t="s">
        <v>245</v>
      </c>
      <c r="AT552" s="5" t="s">
        <v>246</v>
      </c>
      <c r="AU552" s="5" t="s">
        <v>238</v>
      </c>
      <c r="AV552" s="5" t="s">
        <v>247</v>
      </c>
      <c r="AW552" s="5" t="s">
        <v>238</v>
      </c>
      <c r="AX552" s="5" t="s">
        <v>249</v>
      </c>
      <c r="AY552" s="5" t="s">
        <v>238</v>
      </c>
      <c r="BA552" s="5" t="s">
        <v>238</v>
      </c>
      <c r="BC552" s="5" t="s">
        <v>250</v>
      </c>
      <c r="BD552" s="6" t="s">
        <v>243</v>
      </c>
      <c r="BE552" s="5" t="s">
        <v>251</v>
      </c>
      <c r="BF552" s="5" t="s">
        <v>252</v>
      </c>
      <c r="BG552" s="5" t="s">
        <v>238</v>
      </c>
      <c r="BH552" s="7">
        <f>0</f>
        <v>0</v>
      </c>
      <c r="BI552" s="8">
        <f>0</f>
        <v>0</v>
      </c>
      <c r="BJ552" s="5" t="s">
        <v>253</v>
      </c>
      <c r="BK552" s="5" t="s">
        <v>254</v>
      </c>
      <c r="BY552" s="5" t="s">
        <v>238</v>
      </c>
      <c r="BZ552" s="5" t="s">
        <v>238</v>
      </c>
      <c r="CD552" s="5" t="s">
        <v>255</v>
      </c>
      <c r="CE552" s="5" t="s">
        <v>256</v>
      </c>
      <c r="CF552" s="5" t="s">
        <v>238</v>
      </c>
      <c r="CI552" s="6" t="s">
        <v>257</v>
      </c>
      <c r="CJ552" s="5" t="s">
        <v>238</v>
      </c>
      <c r="CK552" s="5" t="s">
        <v>258</v>
      </c>
      <c r="CL552" s="5" t="s">
        <v>238</v>
      </c>
      <c r="CM552" s="5" t="s">
        <v>238</v>
      </c>
      <c r="CN552" s="5">
        <v>0</v>
      </c>
      <c r="CO552" s="5" t="s">
        <v>259</v>
      </c>
      <c r="CP552" s="5" t="s">
        <v>260</v>
      </c>
      <c r="CQ552" s="5" t="s">
        <v>260</v>
      </c>
      <c r="CR552" s="5" t="s">
        <v>261</v>
      </c>
      <c r="CU552" s="8">
        <f>61369</f>
        <v>61369</v>
      </c>
      <c r="CV552" s="8">
        <f>0</f>
        <v>0</v>
      </c>
      <c r="CX552" s="8">
        <f>0</f>
        <v>0</v>
      </c>
      <c r="CY552" s="8">
        <f>61369</f>
        <v>61369</v>
      </c>
      <c r="DA552" s="5" t="s">
        <v>533</v>
      </c>
      <c r="DB552" s="5" t="s">
        <v>238</v>
      </c>
      <c r="DD552" s="5" t="s">
        <v>356</v>
      </c>
      <c r="DE552" s="8">
        <f>0</f>
        <v>0</v>
      </c>
      <c r="DG552" s="5" t="s">
        <v>534</v>
      </c>
      <c r="DH552" s="5" t="s">
        <v>238</v>
      </c>
      <c r="DI552" s="5" t="s">
        <v>238</v>
      </c>
      <c r="DJ552" s="5" t="s">
        <v>238</v>
      </c>
      <c r="DN552" s="5" t="s">
        <v>238</v>
      </c>
      <c r="DO552" s="5" t="s">
        <v>238</v>
      </c>
      <c r="DP552" s="5" t="s">
        <v>238</v>
      </c>
      <c r="DQ552" s="5" t="s">
        <v>238</v>
      </c>
      <c r="DT552" s="5" t="s">
        <v>535</v>
      </c>
      <c r="DU552" s="5" t="s">
        <v>1094</v>
      </c>
      <c r="HM552" s="5" t="s">
        <v>264</v>
      </c>
    </row>
    <row r="553" spans="1:221" x14ac:dyDescent="0.4">
      <c r="A553" s="5">
        <v>1415</v>
      </c>
      <c r="B553" s="5">
        <v>1</v>
      </c>
      <c r="C553" s="5">
        <v>1</v>
      </c>
      <c r="D553" s="5" t="s">
        <v>484</v>
      </c>
      <c r="E553" s="5" t="s">
        <v>485</v>
      </c>
      <c r="F553" s="5" t="s">
        <v>248</v>
      </c>
      <c r="G553" s="5" t="s">
        <v>531</v>
      </c>
      <c r="H553" s="6" t="s">
        <v>5297</v>
      </c>
      <c r="I553" s="7">
        <f>897</f>
        <v>897</v>
      </c>
      <c r="J553" s="5" t="s">
        <v>262</v>
      </c>
      <c r="K553" s="8">
        <f>9867</f>
        <v>9867</v>
      </c>
      <c r="L553" s="6" t="s">
        <v>242</v>
      </c>
      <c r="M553" s="5" t="s">
        <v>267</v>
      </c>
      <c r="N553" s="5" t="s">
        <v>237</v>
      </c>
      <c r="O553" s="5" t="s">
        <v>238</v>
      </c>
      <c r="P553" s="5" t="s">
        <v>238</v>
      </c>
      <c r="Q553" s="5" t="s">
        <v>239</v>
      </c>
      <c r="R553" s="5" t="s">
        <v>240</v>
      </c>
      <c r="S553" s="5" t="s">
        <v>238</v>
      </c>
      <c r="V553" s="5" t="s">
        <v>238</v>
      </c>
      <c r="X553" s="6" t="s">
        <v>238</v>
      </c>
      <c r="AA553" s="6" t="s">
        <v>243</v>
      </c>
      <c r="AB553" s="5" t="s">
        <v>238</v>
      </c>
      <c r="AC553" s="5" t="s">
        <v>244</v>
      </c>
      <c r="AD553" s="5" t="s">
        <v>245</v>
      </c>
      <c r="AT553" s="5" t="s">
        <v>246</v>
      </c>
      <c r="AU553" s="5" t="s">
        <v>238</v>
      </c>
      <c r="AV553" s="5" t="s">
        <v>247</v>
      </c>
      <c r="AW553" s="5" t="s">
        <v>238</v>
      </c>
      <c r="AX553" s="5" t="s">
        <v>249</v>
      </c>
      <c r="AY553" s="5" t="s">
        <v>238</v>
      </c>
      <c r="BA553" s="5" t="s">
        <v>238</v>
      </c>
      <c r="BC553" s="5" t="s">
        <v>250</v>
      </c>
      <c r="BD553" s="6" t="s">
        <v>243</v>
      </c>
      <c r="BE553" s="5" t="s">
        <v>251</v>
      </c>
      <c r="BF553" s="5" t="s">
        <v>252</v>
      </c>
      <c r="BG553" s="5" t="s">
        <v>238</v>
      </c>
      <c r="BH553" s="7">
        <f>0</f>
        <v>0</v>
      </c>
      <c r="BI553" s="8">
        <f>0</f>
        <v>0</v>
      </c>
      <c r="BJ553" s="5" t="s">
        <v>253</v>
      </c>
      <c r="BK553" s="5" t="s">
        <v>254</v>
      </c>
      <c r="BY553" s="5" t="s">
        <v>238</v>
      </c>
      <c r="BZ553" s="5" t="s">
        <v>238</v>
      </c>
      <c r="CD553" s="5" t="s">
        <v>255</v>
      </c>
      <c r="CE553" s="5" t="s">
        <v>256</v>
      </c>
      <c r="CF553" s="5" t="s">
        <v>238</v>
      </c>
      <c r="CI553" s="6" t="s">
        <v>257</v>
      </c>
      <c r="CJ553" s="5" t="s">
        <v>238</v>
      </c>
      <c r="CK553" s="5" t="s">
        <v>258</v>
      </c>
      <c r="CL553" s="5" t="s">
        <v>238</v>
      </c>
      <c r="CM553" s="5" t="s">
        <v>238</v>
      </c>
      <c r="CN553" s="5">
        <v>0</v>
      </c>
      <c r="CO553" s="5" t="s">
        <v>259</v>
      </c>
      <c r="CP553" s="5" t="s">
        <v>260</v>
      </c>
      <c r="CQ553" s="5" t="s">
        <v>260</v>
      </c>
      <c r="CR553" s="5" t="s">
        <v>261</v>
      </c>
      <c r="CU553" s="8">
        <f>9867</f>
        <v>9867</v>
      </c>
      <c r="CV553" s="8">
        <f>0</f>
        <v>0</v>
      </c>
      <c r="CX553" s="8">
        <f>0</f>
        <v>0</v>
      </c>
      <c r="CY553" s="8">
        <f>9867</f>
        <v>9867</v>
      </c>
      <c r="DA553" s="5" t="s">
        <v>533</v>
      </c>
      <c r="DB553" s="5" t="s">
        <v>238</v>
      </c>
      <c r="DD553" s="5" t="s">
        <v>356</v>
      </c>
      <c r="DE553" s="8">
        <f>0</f>
        <v>0</v>
      </c>
      <c r="DG553" s="5" t="s">
        <v>534</v>
      </c>
      <c r="DH553" s="5" t="s">
        <v>238</v>
      </c>
      <c r="DI553" s="5" t="s">
        <v>238</v>
      </c>
      <c r="DJ553" s="5" t="s">
        <v>238</v>
      </c>
      <c r="DN553" s="5" t="s">
        <v>238</v>
      </c>
      <c r="DO553" s="5" t="s">
        <v>238</v>
      </c>
      <c r="DP553" s="5" t="s">
        <v>238</v>
      </c>
      <c r="DQ553" s="5" t="s">
        <v>238</v>
      </c>
      <c r="DT553" s="5" t="s">
        <v>535</v>
      </c>
      <c r="DU553" s="5" t="s">
        <v>1090</v>
      </c>
      <c r="HM553" s="5" t="s">
        <v>264</v>
      </c>
    </row>
    <row r="554" spans="1:221" x14ac:dyDescent="0.4">
      <c r="A554" s="5">
        <v>1416</v>
      </c>
      <c r="B554" s="5">
        <v>1</v>
      </c>
      <c r="C554" s="5">
        <v>1</v>
      </c>
      <c r="D554" s="5" t="s">
        <v>484</v>
      </c>
      <c r="E554" s="5" t="s">
        <v>485</v>
      </c>
      <c r="F554" s="5" t="s">
        <v>248</v>
      </c>
      <c r="G554" s="5" t="s">
        <v>531</v>
      </c>
      <c r="H554" s="6" t="s">
        <v>5300</v>
      </c>
      <c r="I554" s="7">
        <f>2173</f>
        <v>2173</v>
      </c>
      <c r="J554" s="5" t="s">
        <v>262</v>
      </c>
      <c r="K554" s="8">
        <f>23903</f>
        <v>23903</v>
      </c>
      <c r="L554" s="6" t="s">
        <v>242</v>
      </c>
      <c r="M554" s="5" t="s">
        <v>267</v>
      </c>
      <c r="N554" s="5" t="s">
        <v>237</v>
      </c>
      <c r="O554" s="5" t="s">
        <v>238</v>
      </c>
      <c r="P554" s="5" t="s">
        <v>238</v>
      </c>
      <c r="Q554" s="5" t="s">
        <v>239</v>
      </c>
      <c r="R554" s="5" t="s">
        <v>240</v>
      </c>
      <c r="S554" s="5" t="s">
        <v>238</v>
      </c>
      <c r="V554" s="5" t="s">
        <v>238</v>
      </c>
      <c r="X554" s="6" t="s">
        <v>238</v>
      </c>
      <c r="AA554" s="6" t="s">
        <v>243</v>
      </c>
      <c r="AB554" s="5" t="s">
        <v>238</v>
      </c>
      <c r="AC554" s="5" t="s">
        <v>244</v>
      </c>
      <c r="AD554" s="5" t="s">
        <v>245</v>
      </c>
      <c r="AT554" s="5" t="s">
        <v>246</v>
      </c>
      <c r="AU554" s="5" t="s">
        <v>238</v>
      </c>
      <c r="AV554" s="5" t="s">
        <v>247</v>
      </c>
      <c r="AW554" s="5" t="s">
        <v>238</v>
      </c>
      <c r="AX554" s="5" t="s">
        <v>249</v>
      </c>
      <c r="AY554" s="5" t="s">
        <v>238</v>
      </c>
      <c r="BA554" s="5" t="s">
        <v>238</v>
      </c>
      <c r="BC554" s="5" t="s">
        <v>250</v>
      </c>
      <c r="BD554" s="6" t="s">
        <v>243</v>
      </c>
      <c r="BE554" s="5" t="s">
        <v>251</v>
      </c>
      <c r="BF554" s="5" t="s">
        <v>252</v>
      </c>
      <c r="BG554" s="5" t="s">
        <v>238</v>
      </c>
      <c r="BH554" s="7">
        <f>0</f>
        <v>0</v>
      </c>
      <c r="BI554" s="8">
        <f>0</f>
        <v>0</v>
      </c>
      <c r="BJ554" s="5" t="s">
        <v>253</v>
      </c>
      <c r="BK554" s="5" t="s">
        <v>254</v>
      </c>
      <c r="BY554" s="5" t="s">
        <v>238</v>
      </c>
      <c r="BZ554" s="5" t="s">
        <v>238</v>
      </c>
      <c r="CD554" s="5" t="s">
        <v>255</v>
      </c>
      <c r="CE554" s="5" t="s">
        <v>256</v>
      </c>
      <c r="CF554" s="5" t="s">
        <v>238</v>
      </c>
      <c r="CI554" s="6" t="s">
        <v>257</v>
      </c>
      <c r="CJ554" s="5" t="s">
        <v>238</v>
      </c>
      <c r="CK554" s="5" t="s">
        <v>258</v>
      </c>
      <c r="CL554" s="5" t="s">
        <v>238</v>
      </c>
      <c r="CM554" s="5" t="s">
        <v>238</v>
      </c>
      <c r="CN554" s="5">
        <v>0</v>
      </c>
      <c r="CO554" s="5" t="s">
        <v>259</v>
      </c>
      <c r="CP554" s="5" t="s">
        <v>260</v>
      </c>
      <c r="CQ554" s="5" t="s">
        <v>260</v>
      </c>
      <c r="CR554" s="5" t="s">
        <v>261</v>
      </c>
      <c r="CU554" s="8">
        <f>23903</f>
        <v>23903</v>
      </c>
      <c r="CV554" s="8">
        <f>0</f>
        <v>0</v>
      </c>
      <c r="CX554" s="8">
        <f>0</f>
        <v>0</v>
      </c>
      <c r="CY554" s="8">
        <f>23903</f>
        <v>23903</v>
      </c>
      <c r="DA554" s="5" t="s">
        <v>533</v>
      </c>
      <c r="DB554" s="5" t="s">
        <v>238</v>
      </c>
      <c r="DD554" s="5" t="s">
        <v>356</v>
      </c>
      <c r="DE554" s="8">
        <f>0</f>
        <v>0</v>
      </c>
      <c r="DG554" s="5" t="s">
        <v>534</v>
      </c>
      <c r="DH554" s="5" t="s">
        <v>238</v>
      </c>
      <c r="DI554" s="5" t="s">
        <v>238</v>
      </c>
      <c r="DJ554" s="5" t="s">
        <v>238</v>
      </c>
      <c r="DN554" s="5" t="s">
        <v>238</v>
      </c>
      <c r="DO554" s="5" t="s">
        <v>238</v>
      </c>
      <c r="DP554" s="5" t="s">
        <v>238</v>
      </c>
      <c r="DQ554" s="5" t="s">
        <v>238</v>
      </c>
      <c r="DT554" s="5" t="s">
        <v>535</v>
      </c>
      <c r="DU554" s="5" t="s">
        <v>1084</v>
      </c>
      <c r="HM554" s="5" t="s">
        <v>264</v>
      </c>
    </row>
    <row r="555" spans="1:221" x14ac:dyDescent="0.4">
      <c r="A555" s="5">
        <v>1417</v>
      </c>
      <c r="B555" s="5">
        <v>1</v>
      </c>
      <c r="C555" s="5">
        <v>1</v>
      </c>
      <c r="D555" s="5" t="s">
        <v>484</v>
      </c>
      <c r="E555" s="5" t="s">
        <v>485</v>
      </c>
      <c r="F555" s="5" t="s">
        <v>248</v>
      </c>
      <c r="G555" s="5" t="s">
        <v>531</v>
      </c>
      <c r="H555" s="6" t="s">
        <v>5303</v>
      </c>
      <c r="I555" s="7">
        <f>1321</f>
        <v>1321</v>
      </c>
      <c r="J555" s="5" t="s">
        <v>262</v>
      </c>
      <c r="K555" s="8">
        <f>14531</f>
        <v>14531</v>
      </c>
      <c r="L555" s="6" t="s">
        <v>242</v>
      </c>
      <c r="M555" s="5" t="s">
        <v>267</v>
      </c>
      <c r="N555" s="5" t="s">
        <v>237</v>
      </c>
      <c r="O555" s="5" t="s">
        <v>238</v>
      </c>
      <c r="P555" s="5" t="s">
        <v>238</v>
      </c>
      <c r="Q555" s="5" t="s">
        <v>239</v>
      </c>
      <c r="R555" s="5" t="s">
        <v>240</v>
      </c>
      <c r="S555" s="5" t="s">
        <v>238</v>
      </c>
      <c r="V555" s="5" t="s">
        <v>238</v>
      </c>
      <c r="X555" s="6" t="s">
        <v>238</v>
      </c>
      <c r="AA555" s="6" t="s">
        <v>243</v>
      </c>
      <c r="AB555" s="5" t="s">
        <v>238</v>
      </c>
      <c r="AC555" s="5" t="s">
        <v>244</v>
      </c>
      <c r="AD555" s="5" t="s">
        <v>245</v>
      </c>
      <c r="AT555" s="5" t="s">
        <v>246</v>
      </c>
      <c r="AU555" s="5" t="s">
        <v>238</v>
      </c>
      <c r="AV555" s="5" t="s">
        <v>247</v>
      </c>
      <c r="AW555" s="5" t="s">
        <v>238</v>
      </c>
      <c r="AX555" s="5" t="s">
        <v>249</v>
      </c>
      <c r="AY555" s="5" t="s">
        <v>238</v>
      </c>
      <c r="BA555" s="5" t="s">
        <v>238</v>
      </c>
      <c r="BC555" s="5" t="s">
        <v>250</v>
      </c>
      <c r="BD555" s="6" t="s">
        <v>243</v>
      </c>
      <c r="BE555" s="5" t="s">
        <v>251</v>
      </c>
      <c r="BF555" s="5" t="s">
        <v>252</v>
      </c>
      <c r="BG555" s="5" t="s">
        <v>238</v>
      </c>
      <c r="BH555" s="7">
        <f>0</f>
        <v>0</v>
      </c>
      <c r="BI555" s="8">
        <f>0</f>
        <v>0</v>
      </c>
      <c r="BJ555" s="5" t="s">
        <v>253</v>
      </c>
      <c r="BK555" s="5" t="s">
        <v>254</v>
      </c>
      <c r="BY555" s="5" t="s">
        <v>238</v>
      </c>
      <c r="BZ555" s="5" t="s">
        <v>238</v>
      </c>
      <c r="CD555" s="5" t="s">
        <v>255</v>
      </c>
      <c r="CE555" s="5" t="s">
        <v>256</v>
      </c>
      <c r="CF555" s="5" t="s">
        <v>238</v>
      </c>
      <c r="CI555" s="6" t="s">
        <v>257</v>
      </c>
      <c r="CJ555" s="5" t="s">
        <v>238</v>
      </c>
      <c r="CK555" s="5" t="s">
        <v>258</v>
      </c>
      <c r="CL555" s="5" t="s">
        <v>238</v>
      </c>
      <c r="CM555" s="5" t="s">
        <v>238</v>
      </c>
      <c r="CN555" s="5">
        <v>0</v>
      </c>
      <c r="CO555" s="5" t="s">
        <v>259</v>
      </c>
      <c r="CP555" s="5" t="s">
        <v>260</v>
      </c>
      <c r="CQ555" s="5" t="s">
        <v>260</v>
      </c>
      <c r="CR555" s="5" t="s">
        <v>261</v>
      </c>
      <c r="CU555" s="8">
        <f>14531</f>
        <v>14531</v>
      </c>
      <c r="CV555" s="8">
        <f>0</f>
        <v>0</v>
      </c>
      <c r="CX555" s="8">
        <f>0</f>
        <v>0</v>
      </c>
      <c r="CY555" s="8">
        <f>14531</f>
        <v>14531</v>
      </c>
      <c r="DA555" s="5" t="s">
        <v>533</v>
      </c>
      <c r="DB555" s="5" t="s">
        <v>238</v>
      </c>
      <c r="DD555" s="5" t="s">
        <v>356</v>
      </c>
      <c r="DE555" s="8">
        <f>0</f>
        <v>0</v>
      </c>
      <c r="DG555" s="5" t="s">
        <v>534</v>
      </c>
      <c r="DH555" s="5" t="s">
        <v>238</v>
      </c>
      <c r="DI555" s="5" t="s">
        <v>238</v>
      </c>
      <c r="DJ555" s="5" t="s">
        <v>238</v>
      </c>
      <c r="DN555" s="5" t="s">
        <v>238</v>
      </c>
      <c r="DO555" s="5" t="s">
        <v>238</v>
      </c>
      <c r="DP555" s="5" t="s">
        <v>238</v>
      </c>
      <c r="DQ555" s="5" t="s">
        <v>238</v>
      </c>
      <c r="DT555" s="5" t="s">
        <v>535</v>
      </c>
      <c r="DU555" s="5" t="s">
        <v>1082</v>
      </c>
      <c r="HM555" s="5" t="s">
        <v>264</v>
      </c>
    </row>
    <row r="556" spans="1:221" x14ac:dyDescent="0.4">
      <c r="A556" s="5">
        <v>1418</v>
      </c>
      <c r="B556" s="5">
        <v>1</v>
      </c>
      <c r="C556" s="5">
        <v>1</v>
      </c>
      <c r="D556" s="5" t="s">
        <v>484</v>
      </c>
      <c r="E556" s="5" t="s">
        <v>485</v>
      </c>
      <c r="F556" s="5" t="s">
        <v>248</v>
      </c>
      <c r="G556" s="5" t="s">
        <v>531</v>
      </c>
      <c r="H556" s="6" t="s">
        <v>5789</v>
      </c>
      <c r="I556" s="7">
        <f>3638</f>
        <v>3638</v>
      </c>
      <c r="J556" s="5" t="s">
        <v>262</v>
      </c>
      <c r="K556" s="8">
        <f>40018</f>
        <v>40018</v>
      </c>
      <c r="L556" s="6" t="s">
        <v>242</v>
      </c>
      <c r="M556" s="5" t="s">
        <v>267</v>
      </c>
      <c r="N556" s="5" t="s">
        <v>237</v>
      </c>
      <c r="O556" s="5" t="s">
        <v>238</v>
      </c>
      <c r="P556" s="5" t="s">
        <v>238</v>
      </c>
      <c r="Q556" s="5" t="s">
        <v>239</v>
      </c>
      <c r="R556" s="5" t="s">
        <v>240</v>
      </c>
      <c r="S556" s="5" t="s">
        <v>238</v>
      </c>
      <c r="V556" s="5" t="s">
        <v>238</v>
      </c>
      <c r="X556" s="6" t="s">
        <v>238</v>
      </c>
      <c r="AA556" s="6" t="s">
        <v>243</v>
      </c>
      <c r="AB556" s="5" t="s">
        <v>238</v>
      </c>
      <c r="AC556" s="5" t="s">
        <v>244</v>
      </c>
      <c r="AD556" s="5" t="s">
        <v>245</v>
      </c>
      <c r="AT556" s="5" t="s">
        <v>246</v>
      </c>
      <c r="AU556" s="5" t="s">
        <v>238</v>
      </c>
      <c r="AV556" s="5" t="s">
        <v>247</v>
      </c>
      <c r="AW556" s="5" t="s">
        <v>238</v>
      </c>
      <c r="AX556" s="5" t="s">
        <v>249</v>
      </c>
      <c r="AY556" s="5" t="s">
        <v>238</v>
      </c>
      <c r="BA556" s="5" t="s">
        <v>238</v>
      </c>
      <c r="BC556" s="5" t="s">
        <v>250</v>
      </c>
      <c r="BD556" s="6" t="s">
        <v>243</v>
      </c>
      <c r="BE556" s="5" t="s">
        <v>251</v>
      </c>
      <c r="BF556" s="5" t="s">
        <v>252</v>
      </c>
      <c r="BG556" s="5" t="s">
        <v>238</v>
      </c>
      <c r="BH556" s="7">
        <f>0</f>
        <v>0</v>
      </c>
      <c r="BI556" s="8">
        <f>0</f>
        <v>0</v>
      </c>
      <c r="BJ556" s="5" t="s">
        <v>253</v>
      </c>
      <c r="BK556" s="5" t="s">
        <v>254</v>
      </c>
      <c r="BY556" s="5" t="s">
        <v>238</v>
      </c>
      <c r="BZ556" s="5" t="s">
        <v>238</v>
      </c>
      <c r="CD556" s="5" t="s">
        <v>255</v>
      </c>
      <c r="CE556" s="5" t="s">
        <v>256</v>
      </c>
      <c r="CF556" s="5" t="s">
        <v>238</v>
      </c>
      <c r="CI556" s="6" t="s">
        <v>257</v>
      </c>
      <c r="CJ556" s="5" t="s">
        <v>238</v>
      </c>
      <c r="CK556" s="5" t="s">
        <v>258</v>
      </c>
      <c r="CL556" s="5" t="s">
        <v>238</v>
      </c>
      <c r="CM556" s="5" t="s">
        <v>238</v>
      </c>
      <c r="CN556" s="5">
        <v>0</v>
      </c>
      <c r="CO556" s="5" t="s">
        <v>259</v>
      </c>
      <c r="CP556" s="5" t="s">
        <v>260</v>
      </c>
      <c r="CQ556" s="5" t="s">
        <v>260</v>
      </c>
      <c r="CR556" s="5" t="s">
        <v>261</v>
      </c>
      <c r="CU556" s="8">
        <f>40018</f>
        <v>40018</v>
      </c>
      <c r="CV556" s="8">
        <f>0</f>
        <v>0</v>
      </c>
      <c r="CX556" s="8">
        <f>0</f>
        <v>0</v>
      </c>
      <c r="CY556" s="8">
        <f>40018</f>
        <v>40018</v>
      </c>
      <c r="DA556" s="5" t="s">
        <v>533</v>
      </c>
      <c r="DB556" s="5" t="s">
        <v>238</v>
      </c>
      <c r="DD556" s="5" t="s">
        <v>356</v>
      </c>
      <c r="DE556" s="8">
        <f>0</f>
        <v>0</v>
      </c>
      <c r="DG556" s="5" t="s">
        <v>534</v>
      </c>
      <c r="DH556" s="5" t="s">
        <v>238</v>
      </c>
      <c r="DI556" s="5" t="s">
        <v>238</v>
      </c>
      <c r="DJ556" s="5" t="s">
        <v>238</v>
      </c>
      <c r="DN556" s="5" t="s">
        <v>238</v>
      </c>
      <c r="DO556" s="5" t="s">
        <v>238</v>
      </c>
      <c r="DP556" s="5" t="s">
        <v>238</v>
      </c>
      <c r="DQ556" s="5" t="s">
        <v>238</v>
      </c>
      <c r="DT556" s="5" t="s">
        <v>535</v>
      </c>
      <c r="DU556" s="5" t="s">
        <v>1078</v>
      </c>
      <c r="HM556" s="5" t="s">
        <v>264</v>
      </c>
    </row>
    <row r="557" spans="1:221" x14ac:dyDescent="0.4">
      <c r="A557" s="5">
        <v>1419</v>
      </c>
      <c r="B557" s="5">
        <v>1</v>
      </c>
      <c r="C557" s="5">
        <v>1</v>
      </c>
      <c r="D557" s="5" t="s">
        <v>484</v>
      </c>
      <c r="E557" s="5" t="s">
        <v>485</v>
      </c>
      <c r="F557" s="5" t="s">
        <v>248</v>
      </c>
      <c r="G557" s="5" t="s">
        <v>531</v>
      </c>
      <c r="H557" s="6" t="s">
        <v>5306</v>
      </c>
      <c r="I557" s="7">
        <f>1885</f>
        <v>1885</v>
      </c>
      <c r="J557" s="5" t="s">
        <v>262</v>
      </c>
      <c r="K557" s="8">
        <f>20735</f>
        <v>20735</v>
      </c>
      <c r="L557" s="6" t="s">
        <v>242</v>
      </c>
      <c r="M557" s="5" t="s">
        <v>267</v>
      </c>
      <c r="N557" s="5" t="s">
        <v>237</v>
      </c>
      <c r="O557" s="5" t="s">
        <v>238</v>
      </c>
      <c r="P557" s="5" t="s">
        <v>238</v>
      </c>
      <c r="Q557" s="5" t="s">
        <v>239</v>
      </c>
      <c r="R557" s="5" t="s">
        <v>240</v>
      </c>
      <c r="S557" s="5" t="s">
        <v>238</v>
      </c>
      <c r="V557" s="5" t="s">
        <v>238</v>
      </c>
      <c r="X557" s="6" t="s">
        <v>238</v>
      </c>
      <c r="AA557" s="6" t="s">
        <v>243</v>
      </c>
      <c r="AB557" s="5" t="s">
        <v>238</v>
      </c>
      <c r="AC557" s="5" t="s">
        <v>244</v>
      </c>
      <c r="AD557" s="5" t="s">
        <v>245</v>
      </c>
      <c r="AT557" s="5" t="s">
        <v>246</v>
      </c>
      <c r="AU557" s="5" t="s">
        <v>238</v>
      </c>
      <c r="AV557" s="5" t="s">
        <v>247</v>
      </c>
      <c r="AW557" s="5" t="s">
        <v>238</v>
      </c>
      <c r="AX557" s="5" t="s">
        <v>249</v>
      </c>
      <c r="AY557" s="5" t="s">
        <v>238</v>
      </c>
      <c r="BA557" s="5" t="s">
        <v>238</v>
      </c>
      <c r="BC557" s="5" t="s">
        <v>250</v>
      </c>
      <c r="BD557" s="6" t="s">
        <v>243</v>
      </c>
      <c r="BE557" s="5" t="s">
        <v>251</v>
      </c>
      <c r="BF557" s="5" t="s">
        <v>252</v>
      </c>
      <c r="BG557" s="5" t="s">
        <v>238</v>
      </c>
      <c r="BH557" s="7">
        <f>0</f>
        <v>0</v>
      </c>
      <c r="BI557" s="8">
        <f>0</f>
        <v>0</v>
      </c>
      <c r="BJ557" s="5" t="s">
        <v>253</v>
      </c>
      <c r="BK557" s="5" t="s">
        <v>254</v>
      </c>
      <c r="BY557" s="5" t="s">
        <v>238</v>
      </c>
      <c r="BZ557" s="5" t="s">
        <v>238</v>
      </c>
      <c r="CD557" s="5" t="s">
        <v>255</v>
      </c>
      <c r="CE557" s="5" t="s">
        <v>256</v>
      </c>
      <c r="CF557" s="5" t="s">
        <v>238</v>
      </c>
      <c r="CI557" s="6" t="s">
        <v>257</v>
      </c>
      <c r="CJ557" s="5" t="s">
        <v>238</v>
      </c>
      <c r="CK557" s="5" t="s">
        <v>258</v>
      </c>
      <c r="CL557" s="5" t="s">
        <v>238</v>
      </c>
      <c r="CM557" s="5" t="s">
        <v>238</v>
      </c>
      <c r="CN557" s="5">
        <v>0</v>
      </c>
      <c r="CO557" s="5" t="s">
        <v>259</v>
      </c>
      <c r="CP557" s="5" t="s">
        <v>260</v>
      </c>
      <c r="CQ557" s="5" t="s">
        <v>260</v>
      </c>
      <c r="CR557" s="5" t="s">
        <v>261</v>
      </c>
      <c r="CU557" s="8">
        <f>20735</f>
        <v>20735</v>
      </c>
      <c r="CV557" s="8">
        <f>0</f>
        <v>0</v>
      </c>
      <c r="CX557" s="8">
        <f>0</f>
        <v>0</v>
      </c>
      <c r="CY557" s="8">
        <f>20735</f>
        <v>20735</v>
      </c>
      <c r="DA557" s="5" t="s">
        <v>533</v>
      </c>
      <c r="DB557" s="5" t="s">
        <v>238</v>
      </c>
      <c r="DD557" s="5" t="s">
        <v>356</v>
      </c>
      <c r="DE557" s="8">
        <f>0</f>
        <v>0</v>
      </c>
      <c r="DG557" s="5" t="s">
        <v>534</v>
      </c>
      <c r="DH557" s="5" t="s">
        <v>238</v>
      </c>
      <c r="DI557" s="5" t="s">
        <v>238</v>
      </c>
      <c r="DJ557" s="5" t="s">
        <v>238</v>
      </c>
      <c r="DN557" s="5" t="s">
        <v>238</v>
      </c>
      <c r="DO557" s="5" t="s">
        <v>238</v>
      </c>
      <c r="DP557" s="5" t="s">
        <v>238</v>
      </c>
      <c r="DQ557" s="5" t="s">
        <v>238</v>
      </c>
      <c r="DT557" s="5" t="s">
        <v>535</v>
      </c>
      <c r="DU557" s="5" t="s">
        <v>1076</v>
      </c>
      <c r="HM557" s="5" t="s">
        <v>264</v>
      </c>
    </row>
    <row r="558" spans="1:221" x14ac:dyDescent="0.4">
      <c r="A558" s="5">
        <v>1420</v>
      </c>
      <c r="B558" s="5">
        <v>1</v>
      </c>
      <c r="C558" s="5">
        <v>1</v>
      </c>
      <c r="D558" s="5" t="s">
        <v>484</v>
      </c>
      <c r="E558" s="5" t="s">
        <v>485</v>
      </c>
      <c r="F558" s="5" t="s">
        <v>248</v>
      </c>
      <c r="G558" s="5" t="s">
        <v>531</v>
      </c>
      <c r="H558" s="6" t="s">
        <v>5309</v>
      </c>
      <c r="I558" s="7">
        <f>617</f>
        <v>617</v>
      </c>
      <c r="J558" s="5" t="s">
        <v>262</v>
      </c>
      <c r="K558" s="8">
        <f>6787</f>
        <v>6787</v>
      </c>
      <c r="L558" s="6" t="s">
        <v>242</v>
      </c>
      <c r="M558" s="5" t="s">
        <v>267</v>
      </c>
      <c r="N558" s="5" t="s">
        <v>237</v>
      </c>
      <c r="O558" s="5" t="s">
        <v>238</v>
      </c>
      <c r="P558" s="5" t="s">
        <v>238</v>
      </c>
      <c r="Q558" s="5" t="s">
        <v>239</v>
      </c>
      <c r="R558" s="5" t="s">
        <v>240</v>
      </c>
      <c r="S558" s="5" t="s">
        <v>238</v>
      </c>
      <c r="V558" s="5" t="s">
        <v>238</v>
      </c>
      <c r="X558" s="6" t="s">
        <v>238</v>
      </c>
      <c r="AA558" s="6" t="s">
        <v>243</v>
      </c>
      <c r="AB558" s="5" t="s">
        <v>238</v>
      </c>
      <c r="AC558" s="5" t="s">
        <v>244</v>
      </c>
      <c r="AD558" s="5" t="s">
        <v>245</v>
      </c>
      <c r="AT558" s="5" t="s">
        <v>246</v>
      </c>
      <c r="AU558" s="5" t="s">
        <v>238</v>
      </c>
      <c r="AV558" s="5" t="s">
        <v>247</v>
      </c>
      <c r="AW558" s="5" t="s">
        <v>238</v>
      </c>
      <c r="AX558" s="5" t="s">
        <v>249</v>
      </c>
      <c r="AY558" s="5" t="s">
        <v>238</v>
      </c>
      <c r="BA558" s="5" t="s">
        <v>238</v>
      </c>
      <c r="BC558" s="5" t="s">
        <v>250</v>
      </c>
      <c r="BD558" s="6" t="s">
        <v>243</v>
      </c>
      <c r="BE558" s="5" t="s">
        <v>251</v>
      </c>
      <c r="BF558" s="5" t="s">
        <v>252</v>
      </c>
      <c r="BG558" s="5" t="s">
        <v>238</v>
      </c>
      <c r="BH558" s="7">
        <f>0</f>
        <v>0</v>
      </c>
      <c r="BI558" s="8">
        <f>0</f>
        <v>0</v>
      </c>
      <c r="BJ558" s="5" t="s">
        <v>253</v>
      </c>
      <c r="BK558" s="5" t="s">
        <v>254</v>
      </c>
      <c r="BY558" s="5" t="s">
        <v>238</v>
      </c>
      <c r="BZ558" s="5" t="s">
        <v>238</v>
      </c>
      <c r="CD558" s="5" t="s">
        <v>255</v>
      </c>
      <c r="CE558" s="5" t="s">
        <v>256</v>
      </c>
      <c r="CF558" s="5" t="s">
        <v>238</v>
      </c>
      <c r="CI558" s="6" t="s">
        <v>257</v>
      </c>
      <c r="CJ558" s="5" t="s">
        <v>238</v>
      </c>
      <c r="CK558" s="5" t="s">
        <v>258</v>
      </c>
      <c r="CL558" s="5" t="s">
        <v>238</v>
      </c>
      <c r="CM558" s="5" t="s">
        <v>238</v>
      </c>
      <c r="CN558" s="5">
        <v>0</v>
      </c>
      <c r="CO558" s="5" t="s">
        <v>259</v>
      </c>
      <c r="CP558" s="5" t="s">
        <v>260</v>
      </c>
      <c r="CQ558" s="5" t="s">
        <v>260</v>
      </c>
      <c r="CR558" s="5" t="s">
        <v>261</v>
      </c>
      <c r="CU558" s="8">
        <f>6787</f>
        <v>6787</v>
      </c>
      <c r="CV558" s="8">
        <f>0</f>
        <v>0</v>
      </c>
      <c r="CX558" s="8">
        <f>0</f>
        <v>0</v>
      </c>
      <c r="CY558" s="8">
        <f>6787</f>
        <v>6787</v>
      </c>
      <c r="DA558" s="5" t="s">
        <v>533</v>
      </c>
      <c r="DB558" s="5" t="s">
        <v>238</v>
      </c>
      <c r="DD558" s="5" t="s">
        <v>356</v>
      </c>
      <c r="DE558" s="8">
        <f>0</f>
        <v>0</v>
      </c>
      <c r="DG558" s="5" t="s">
        <v>534</v>
      </c>
      <c r="DH558" s="5" t="s">
        <v>238</v>
      </c>
      <c r="DI558" s="5" t="s">
        <v>238</v>
      </c>
      <c r="DJ558" s="5" t="s">
        <v>238</v>
      </c>
      <c r="DN558" s="5" t="s">
        <v>238</v>
      </c>
      <c r="DO558" s="5" t="s">
        <v>238</v>
      </c>
      <c r="DP558" s="5" t="s">
        <v>238</v>
      </c>
      <c r="DQ558" s="5" t="s">
        <v>238</v>
      </c>
      <c r="DT558" s="5" t="s">
        <v>535</v>
      </c>
      <c r="DU558" s="5" t="s">
        <v>1070</v>
      </c>
      <c r="HM558" s="5" t="s">
        <v>264</v>
      </c>
    </row>
    <row r="559" spans="1:221" x14ac:dyDescent="0.4">
      <c r="A559" s="5">
        <v>1421</v>
      </c>
      <c r="B559" s="5">
        <v>1</v>
      </c>
      <c r="C559" s="5">
        <v>1</v>
      </c>
      <c r="D559" s="5" t="s">
        <v>484</v>
      </c>
      <c r="E559" s="5" t="s">
        <v>485</v>
      </c>
      <c r="F559" s="5" t="s">
        <v>248</v>
      </c>
      <c r="G559" s="5" t="s">
        <v>531</v>
      </c>
      <c r="H559" s="6" t="s">
        <v>5312</v>
      </c>
      <c r="I559" s="7">
        <f>1738</f>
        <v>1738</v>
      </c>
      <c r="J559" s="5" t="s">
        <v>262</v>
      </c>
      <c r="K559" s="8">
        <f>19118</f>
        <v>19118</v>
      </c>
      <c r="L559" s="6" t="s">
        <v>242</v>
      </c>
      <c r="M559" s="5" t="s">
        <v>267</v>
      </c>
      <c r="N559" s="5" t="s">
        <v>237</v>
      </c>
      <c r="O559" s="5" t="s">
        <v>238</v>
      </c>
      <c r="P559" s="5" t="s">
        <v>238</v>
      </c>
      <c r="Q559" s="5" t="s">
        <v>239</v>
      </c>
      <c r="R559" s="5" t="s">
        <v>240</v>
      </c>
      <c r="S559" s="5" t="s">
        <v>238</v>
      </c>
      <c r="V559" s="5" t="s">
        <v>238</v>
      </c>
      <c r="X559" s="6" t="s">
        <v>238</v>
      </c>
      <c r="AA559" s="6" t="s">
        <v>243</v>
      </c>
      <c r="AB559" s="5" t="s">
        <v>238</v>
      </c>
      <c r="AC559" s="5" t="s">
        <v>244</v>
      </c>
      <c r="AD559" s="5" t="s">
        <v>245</v>
      </c>
      <c r="AT559" s="5" t="s">
        <v>246</v>
      </c>
      <c r="AU559" s="5" t="s">
        <v>238</v>
      </c>
      <c r="AV559" s="5" t="s">
        <v>247</v>
      </c>
      <c r="AW559" s="5" t="s">
        <v>238</v>
      </c>
      <c r="AX559" s="5" t="s">
        <v>249</v>
      </c>
      <c r="AY559" s="5" t="s">
        <v>238</v>
      </c>
      <c r="BA559" s="5" t="s">
        <v>238</v>
      </c>
      <c r="BC559" s="5" t="s">
        <v>250</v>
      </c>
      <c r="BD559" s="6" t="s">
        <v>243</v>
      </c>
      <c r="BE559" s="5" t="s">
        <v>251</v>
      </c>
      <c r="BF559" s="5" t="s">
        <v>252</v>
      </c>
      <c r="BG559" s="5" t="s">
        <v>238</v>
      </c>
      <c r="BH559" s="7">
        <f>0</f>
        <v>0</v>
      </c>
      <c r="BI559" s="8">
        <f>0</f>
        <v>0</v>
      </c>
      <c r="BJ559" s="5" t="s">
        <v>253</v>
      </c>
      <c r="BK559" s="5" t="s">
        <v>254</v>
      </c>
      <c r="BY559" s="5" t="s">
        <v>238</v>
      </c>
      <c r="BZ559" s="5" t="s">
        <v>238</v>
      </c>
      <c r="CD559" s="5" t="s">
        <v>255</v>
      </c>
      <c r="CE559" s="5" t="s">
        <v>256</v>
      </c>
      <c r="CF559" s="5" t="s">
        <v>238</v>
      </c>
      <c r="CI559" s="6" t="s">
        <v>257</v>
      </c>
      <c r="CJ559" s="5" t="s">
        <v>238</v>
      </c>
      <c r="CK559" s="5" t="s">
        <v>258</v>
      </c>
      <c r="CL559" s="5" t="s">
        <v>238</v>
      </c>
      <c r="CM559" s="5" t="s">
        <v>238</v>
      </c>
      <c r="CN559" s="5">
        <v>0</v>
      </c>
      <c r="CO559" s="5" t="s">
        <v>259</v>
      </c>
      <c r="CP559" s="5" t="s">
        <v>260</v>
      </c>
      <c r="CQ559" s="5" t="s">
        <v>260</v>
      </c>
      <c r="CR559" s="5" t="s">
        <v>261</v>
      </c>
      <c r="CU559" s="8">
        <f>19118</f>
        <v>19118</v>
      </c>
      <c r="CV559" s="8">
        <f>0</f>
        <v>0</v>
      </c>
      <c r="CX559" s="8">
        <f>0</f>
        <v>0</v>
      </c>
      <c r="CY559" s="8">
        <f>19118</f>
        <v>19118</v>
      </c>
      <c r="DA559" s="5" t="s">
        <v>533</v>
      </c>
      <c r="DB559" s="5" t="s">
        <v>238</v>
      </c>
      <c r="DD559" s="5" t="s">
        <v>356</v>
      </c>
      <c r="DE559" s="8">
        <f>0</f>
        <v>0</v>
      </c>
      <c r="DG559" s="5" t="s">
        <v>534</v>
      </c>
      <c r="DH559" s="5" t="s">
        <v>238</v>
      </c>
      <c r="DI559" s="5" t="s">
        <v>238</v>
      </c>
      <c r="DJ559" s="5" t="s">
        <v>238</v>
      </c>
      <c r="DN559" s="5" t="s">
        <v>238</v>
      </c>
      <c r="DO559" s="5" t="s">
        <v>238</v>
      </c>
      <c r="DP559" s="5" t="s">
        <v>238</v>
      </c>
      <c r="DQ559" s="5" t="s">
        <v>238</v>
      </c>
      <c r="DT559" s="5" t="s">
        <v>535</v>
      </c>
      <c r="DU559" s="5" t="s">
        <v>1068</v>
      </c>
      <c r="HM559" s="5" t="s">
        <v>264</v>
      </c>
    </row>
    <row r="560" spans="1:221" x14ac:dyDescent="0.4">
      <c r="A560" s="5">
        <v>1422</v>
      </c>
      <c r="B560" s="5">
        <v>1</v>
      </c>
      <c r="C560" s="5">
        <v>1</v>
      </c>
      <c r="D560" s="5" t="s">
        <v>484</v>
      </c>
      <c r="E560" s="5" t="s">
        <v>485</v>
      </c>
      <c r="F560" s="5" t="s">
        <v>248</v>
      </c>
      <c r="G560" s="5" t="s">
        <v>531</v>
      </c>
      <c r="H560" s="6" t="s">
        <v>5785</v>
      </c>
      <c r="I560" s="7">
        <f>848</f>
        <v>848</v>
      </c>
      <c r="J560" s="5" t="s">
        <v>262</v>
      </c>
      <c r="K560" s="8">
        <f>9328</f>
        <v>9328</v>
      </c>
      <c r="L560" s="6" t="s">
        <v>242</v>
      </c>
      <c r="M560" s="5" t="s">
        <v>267</v>
      </c>
      <c r="N560" s="5" t="s">
        <v>237</v>
      </c>
      <c r="O560" s="5" t="s">
        <v>238</v>
      </c>
      <c r="P560" s="5" t="s">
        <v>238</v>
      </c>
      <c r="Q560" s="5" t="s">
        <v>239</v>
      </c>
      <c r="R560" s="5" t="s">
        <v>240</v>
      </c>
      <c r="S560" s="5" t="s">
        <v>238</v>
      </c>
      <c r="V560" s="5" t="s">
        <v>238</v>
      </c>
      <c r="X560" s="6" t="s">
        <v>238</v>
      </c>
      <c r="AA560" s="6" t="s">
        <v>243</v>
      </c>
      <c r="AB560" s="5" t="s">
        <v>238</v>
      </c>
      <c r="AC560" s="5" t="s">
        <v>244</v>
      </c>
      <c r="AD560" s="5" t="s">
        <v>245</v>
      </c>
      <c r="AT560" s="5" t="s">
        <v>246</v>
      </c>
      <c r="AU560" s="5" t="s">
        <v>238</v>
      </c>
      <c r="AV560" s="5" t="s">
        <v>247</v>
      </c>
      <c r="AW560" s="5" t="s">
        <v>238</v>
      </c>
      <c r="AX560" s="5" t="s">
        <v>249</v>
      </c>
      <c r="AY560" s="5" t="s">
        <v>238</v>
      </c>
      <c r="BA560" s="5" t="s">
        <v>238</v>
      </c>
      <c r="BC560" s="5" t="s">
        <v>250</v>
      </c>
      <c r="BD560" s="6" t="s">
        <v>243</v>
      </c>
      <c r="BE560" s="5" t="s">
        <v>251</v>
      </c>
      <c r="BF560" s="5" t="s">
        <v>252</v>
      </c>
      <c r="BG560" s="5" t="s">
        <v>238</v>
      </c>
      <c r="BH560" s="7">
        <f>0</f>
        <v>0</v>
      </c>
      <c r="BI560" s="8">
        <f>0</f>
        <v>0</v>
      </c>
      <c r="BJ560" s="5" t="s">
        <v>253</v>
      </c>
      <c r="BK560" s="5" t="s">
        <v>254</v>
      </c>
      <c r="BY560" s="5" t="s">
        <v>238</v>
      </c>
      <c r="BZ560" s="5" t="s">
        <v>238</v>
      </c>
      <c r="CD560" s="5" t="s">
        <v>255</v>
      </c>
      <c r="CE560" s="5" t="s">
        <v>256</v>
      </c>
      <c r="CF560" s="5" t="s">
        <v>238</v>
      </c>
      <c r="CI560" s="6" t="s">
        <v>257</v>
      </c>
      <c r="CJ560" s="5" t="s">
        <v>238</v>
      </c>
      <c r="CK560" s="5" t="s">
        <v>258</v>
      </c>
      <c r="CL560" s="5" t="s">
        <v>238</v>
      </c>
      <c r="CM560" s="5" t="s">
        <v>238</v>
      </c>
      <c r="CN560" s="5">
        <v>0</v>
      </c>
      <c r="CO560" s="5" t="s">
        <v>259</v>
      </c>
      <c r="CP560" s="5" t="s">
        <v>260</v>
      </c>
      <c r="CQ560" s="5" t="s">
        <v>260</v>
      </c>
      <c r="CR560" s="5" t="s">
        <v>261</v>
      </c>
      <c r="CU560" s="8">
        <f>9328</f>
        <v>9328</v>
      </c>
      <c r="CV560" s="8">
        <f>0</f>
        <v>0</v>
      </c>
      <c r="CX560" s="8">
        <f>0</f>
        <v>0</v>
      </c>
      <c r="CY560" s="8">
        <f>9328</f>
        <v>9328</v>
      </c>
      <c r="DA560" s="5" t="s">
        <v>533</v>
      </c>
      <c r="DB560" s="5" t="s">
        <v>238</v>
      </c>
      <c r="DD560" s="5" t="s">
        <v>356</v>
      </c>
      <c r="DE560" s="8">
        <f>0</f>
        <v>0</v>
      </c>
      <c r="DG560" s="5" t="s">
        <v>534</v>
      </c>
      <c r="DH560" s="5" t="s">
        <v>238</v>
      </c>
      <c r="DI560" s="5" t="s">
        <v>238</v>
      </c>
      <c r="DJ560" s="5" t="s">
        <v>238</v>
      </c>
      <c r="DN560" s="5" t="s">
        <v>238</v>
      </c>
      <c r="DO560" s="5" t="s">
        <v>238</v>
      </c>
      <c r="DP560" s="5" t="s">
        <v>238</v>
      </c>
      <c r="DQ560" s="5" t="s">
        <v>238</v>
      </c>
      <c r="DT560" s="5" t="s">
        <v>535</v>
      </c>
      <c r="DU560" s="5" t="s">
        <v>1064</v>
      </c>
      <c r="HM560" s="5" t="s">
        <v>264</v>
      </c>
    </row>
    <row r="561" spans="1:221" x14ac:dyDescent="0.4">
      <c r="A561" s="5">
        <v>1423</v>
      </c>
      <c r="B561" s="5">
        <v>1</v>
      </c>
      <c r="C561" s="5">
        <v>1</v>
      </c>
      <c r="D561" s="5" t="s">
        <v>484</v>
      </c>
      <c r="E561" s="5" t="s">
        <v>485</v>
      </c>
      <c r="F561" s="5" t="s">
        <v>248</v>
      </c>
      <c r="G561" s="5" t="s">
        <v>531</v>
      </c>
      <c r="H561" s="6" t="s">
        <v>5315</v>
      </c>
      <c r="I561" s="7">
        <f>1076</f>
        <v>1076</v>
      </c>
      <c r="J561" s="5" t="s">
        <v>262</v>
      </c>
      <c r="K561" s="8">
        <f>11836</f>
        <v>11836</v>
      </c>
      <c r="L561" s="6" t="s">
        <v>242</v>
      </c>
      <c r="M561" s="5" t="s">
        <v>267</v>
      </c>
      <c r="N561" s="5" t="s">
        <v>237</v>
      </c>
      <c r="O561" s="5" t="s">
        <v>238</v>
      </c>
      <c r="P561" s="5" t="s">
        <v>238</v>
      </c>
      <c r="Q561" s="5" t="s">
        <v>239</v>
      </c>
      <c r="R561" s="5" t="s">
        <v>240</v>
      </c>
      <c r="S561" s="5" t="s">
        <v>238</v>
      </c>
      <c r="V561" s="5" t="s">
        <v>238</v>
      </c>
      <c r="X561" s="6" t="s">
        <v>238</v>
      </c>
      <c r="AA561" s="6" t="s">
        <v>243</v>
      </c>
      <c r="AB561" s="5" t="s">
        <v>238</v>
      </c>
      <c r="AC561" s="5" t="s">
        <v>244</v>
      </c>
      <c r="AD561" s="5" t="s">
        <v>245</v>
      </c>
      <c r="AT561" s="5" t="s">
        <v>246</v>
      </c>
      <c r="AU561" s="5" t="s">
        <v>238</v>
      </c>
      <c r="AV561" s="5" t="s">
        <v>247</v>
      </c>
      <c r="AW561" s="5" t="s">
        <v>238</v>
      </c>
      <c r="AX561" s="5" t="s">
        <v>249</v>
      </c>
      <c r="AY561" s="5" t="s">
        <v>238</v>
      </c>
      <c r="BA561" s="5" t="s">
        <v>238</v>
      </c>
      <c r="BC561" s="5" t="s">
        <v>250</v>
      </c>
      <c r="BD561" s="6" t="s">
        <v>243</v>
      </c>
      <c r="BE561" s="5" t="s">
        <v>251</v>
      </c>
      <c r="BF561" s="5" t="s">
        <v>252</v>
      </c>
      <c r="BG561" s="5" t="s">
        <v>238</v>
      </c>
      <c r="BH561" s="7">
        <f>0</f>
        <v>0</v>
      </c>
      <c r="BI561" s="8">
        <f>0</f>
        <v>0</v>
      </c>
      <c r="BJ561" s="5" t="s">
        <v>253</v>
      </c>
      <c r="BK561" s="5" t="s">
        <v>254</v>
      </c>
      <c r="BY561" s="5" t="s">
        <v>238</v>
      </c>
      <c r="BZ561" s="5" t="s">
        <v>238</v>
      </c>
      <c r="CD561" s="5" t="s">
        <v>255</v>
      </c>
      <c r="CE561" s="5" t="s">
        <v>256</v>
      </c>
      <c r="CF561" s="5" t="s">
        <v>238</v>
      </c>
      <c r="CI561" s="6" t="s">
        <v>257</v>
      </c>
      <c r="CJ561" s="5" t="s">
        <v>238</v>
      </c>
      <c r="CK561" s="5" t="s">
        <v>258</v>
      </c>
      <c r="CL561" s="5" t="s">
        <v>238</v>
      </c>
      <c r="CM561" s="5" t="s">
        <v>238</v>
      </c>
      <c r="CN561" s="5">
        <v>0</v>
      </c>
      <c r="CO561" s="5" t="s">
        <v>259</v>
      </c>
      <c r="CP561" s="5" t="s">
        <v>260</v>
      </c>
      <c r="CQ561" s="5" t="s">
        <v>260</v>
      </c>
      <c r="CR561" s="5" t="s">
        <v>261</v>
      </c>
      <c r="CU561" s="8">
        <f>11836</f>
        <v>11836</v>
      </c>
      <c r="CV561" s="8">
        <f>0</f>
        <v>0</v>
      </c>
      <c r="CX561" s="8">
        <f>0</f>
        <v>0</v>
      </c>
      <c r="CY561" s="8">
        <f>11836</f>
        <v>11836</v>
      </c>
      <c r="DA561" s="5" t="s">
        <v>533</v>
      </c>
      <c r="DB561" s="5" t="s">
        <v>238</v>
      </c>
      <c r="DD561" s="5" t="s">
        <v>356</v>
      </c>
      <c r="DE561" s="8">
        <f>0</f>
        <v>0</v>
      </c>
      <c r="DG561" s="5" t="s">
        <v>534</v>
      </c>
      <c r="DH561" s="5" t="s">
        <v>238</v>
      </c>
      <c r="DI561" s="5" t="s">
        <v>238</v>
      </c>
      <c r="DJ561" s="5" t="s">
        <v>238</v>
      </c>
      <c r="DN561" s="5" t="s">
        <v>238</v>
      </c>
      <c r="DO561" s="5" t="s">
        <v>238</v>
      </c>
      <c r="DP561" s="5" t="s">
        <v>238</v>
      </c>
      <c r="DQ561" s="5" t="s">
        <v>238</v>
      </c>
      <c r="DT561" s="5" t="s">
        <v>535</v>
      </c>
      <c r="DU561" s="5" t="s">
        <v>1060</v>
      </c>
      <c r="HM561" s="5" t="s">
        <v>264</v>
      </c>
    </row>
    <row r="562" spans="1:221" x14ac:dyDescent="0.4">
      <c r="A562" s="5">
        <v>1424</v>
      </c>
      <c r="B562" s="5">
        <v>1</v>
      </c>
      <c r="C562" s="5">
        <v>1</v>
      </c>
      <c r="D562" s="5" t="s">
        <v>484</v>
      </c>
      <c r="E562" s="5" t="s">
        <v>485</v>
      </c>
      <c r="F562" s="5" t="s">
        <v>248</v>
      </c>
      <c r="G562" s="5" t="s">
        <v>531</v>
      </c>
      <c r="H562" s="6" t="s">
        <v>5317</v>
      </c>
      <c r="I562" s="7">
        <f>494</f>
        <v>494</v>
      </c>
      <c r="J562" s="5" t="s">
        <v>262</v>
      </c>
      <c r="K562" s="8">
        <f>5434</f>
        <v>5434</v>
      </c>
      <c r="L562" s="6" t="s">
        <v>242</v>
      </c>
      <c r="M562" s="5" t="s">
        <v>267</v>
      </c>
      <c r="N562" s="5" t="s">
        <v>237</v>
      </c>
      <c r="O562" s="5" t="s">
        <v>238</v>
      </c>
      <c r="P562" s="5" t="s">
        <v>238</v>
      </c>
      <c r="Q562" s="5" t="s">
        <v>239</v>
      </c>
      <c r="R562" s="5" t="s">
        <v>240</v>
      </c>
      <c r="S562" s="5" t="s">
        <v>238</v>
      </c>
      <c r="V562" s="5" t="s">
        <v>238</v>
      </c>
      <c r="X562" s="6" t="s">
        <v>238</v>
      </c>
      <c r="AA562" s="6" t="s">
        <v>243</v>
      </c>
      <c r="AB562" s="5" t="s">
        <v>238</v>
      </c>
      <c r="AC562" s="5" t="s">
        <v>244</v>
      </c>
      <c r="AD562" s="5" t="s">
        <v>245</v>
      </c>
      <c r="AT562" s="5" t="s">
        <v>246</v>
      </c>
      <c r="AU562" s="5" t="s">
        <v>238</v>
      </c>
      <c r="AV562" s="5" t="s">
        <v>247</v>
      </c>
      <c r="AW562" s="5" t="s">
        <v>238</v>
      </c>
      <c r="AX562" s="5" t="s">
        <v>249</v>
      </c>
      <c r="AY562" s="5" t="s">
        <v>238</v>
      </c>
      <c r="BA562" s="5" t="s">
        <v>238</v>
      </c>
      <c r="BC562" s="5" t="s">
        <v>250</v>
      </c>
      <c r="BD562" s="6" t="s">
        <v>243</v>
      </c>
      <c r="BE562" s="5" t="s">
        <v>251</v>
      </c>
      <c r="BF562" s="5" t="s">
        <v>252</v>
      </c>
      <c r="BG562" s="5" t="s">
        <v>238</v>
      </c>
      <c r="BH562" s="7">
        <f>0</f>
        <v>0</v>
      </c>
      <c r="BI562" s="8">
        <f>0</f>
        <v>0</v>
      </c>
      <c r="BJ562" s="5" t="s">
        <v>253</v>
      </c>
      <c r="BK562" s="5" t="s">
        <v>254</v>
      </c>
      <c r="BY562" s="5" t="s">
        <v>238</v>
      </c>
      <c r="BZ562" s="5" t="s">
        <v>238</v>
      </c>
      <c r="CD562" s="5" t="s">
        <v>255</v>
      </c>
      <c r="CE562" s="5" t="s">
        <v>256</v>
      </c>
      <c r="CF562" s="5" t="s">
        <v>238</v>
      </c>
      <c r="CI562" s="6" t="s">
        <v>257</v>
      </c>
      <c r="CJ562" s="5" t="s">
        <v>238</v>
      </c>
      <c r="CK562" s="5" t="s">
        <v>258</v>
      </c>
      <c r="CL562" s="5" t="s">
        <v>238</v>
      </c>
      <c r="CM562" s="5" t="s">
        <v>238</v>
      </c>
      <c r="CN562" s="5">
        <v>0</v>
      </c>
      <c r="CO562" s="5" t="s">
        <v>259</v>
      </c>
      <c r="CP562" s="5" t="s">
        <v>260</v>
      </c>
      <c r="CQ562" s="5" t="s">
        <v>260</v>
      </c>
      <c r="CR562" s="5" t="s">
        <v>261</v>
      </c>
      <c r="CU562" s="8">
        <f>5434</f>
        <v>5434</v>
      </c>
      <c r="CV562" s="8">
        <f>0</f>
        <v>0</v>
      </c>
      <c r="CX562" s="8">
        <f>0</f>
        <v>0</v>
      </c>
      <c r="CY562" s="8">
        <f>5434</f>
        <v>5434</v>
      </c>
      <c r="DA562" s="5" t="s">
        <v>533</v>
      </c>
      <c r="DB562" s="5" t="s">
        <v>238</v>
      </c>
      <c r="DD562" s="5" t="s">
        <v>356</v>
      </c>
      <c r="DE562" s="8">
        <f>0</f>
        <v>0</v>
      </c>
      <c r="DG562" s="5" t="s">
        <v>534</v>
      </c>
      <c r="DH562" s="5" t="s">
        <v>238</v>
      </c>
      <c r="DI562" s="5" t="s">
        <v>238</v>
      </c>
      <c r="DJ562" s="5" t="s">
        <v>238</v>
      </c>
      <c r="DN562" s="5" t="s">
        <v>238</v>
      </c>
      <c r="DO562" s="5" t="s">
        <v>238</v>
      </c>
      <c r="DP562" s="5" t="s">
        <v>238</v>
      </c>
      <c r="DQ562" s="5" t="s">
        <v>238</v>
      </c>
      <c r="DT562" s="5" t="s">
        <v>535</v>
      </c>
      <c r="DU562" s="5" t="s">
        <v>1056</v>
      </c>
      <c r="HM562" s="5" t="s">
        <v>264</v>
      </c>
    </row>
    <row r="563" spans="1:221" x14ac:dyDescent="0.4">
      <c r="A563" s="5">
        <v>1425</v>
      </c>
      <c r="B563" s="5">
        <v>1</v>
      </c>
      <c r="C563" s="5">
        <v>1</v>
      </c>
      <c r="D563" s="5" t="s">
        <v>484</v>
      </c>
      <c r="E563" s="5" t="s">
        <v>485</v>
      </c>
      <c r="F563" s="5" t="s">
        <v>248</v>
      </c>
      <c r="G563" s="5" t="s">
        <v>531</v>
      </c>
      <c r="H563" s="6" t="s">
        <v>5320</v>
      </c>
      <c r="I563" s="7">
        <f>536</f>
        <v>536</v>
      </c>
      <c r="J563" s="5" t="s">
        <v>262</v>
      </c>
      <c r="K563" s="8">
        <f>5896</f>
        <v>5896</v>
      </c>
      <c r="L563" s="6" t="s">
        <v>242</v>
      </c>
      <c r="M563" s="5" t="s">
        <v>267</v>
      </c>
      <c r="N563" s="5" t="s">
        <v>237</v>
      </c>
      <c r="O563" s="5" t="s">
        <v>238</v>
      </c>
      <c r="P563" s="5" t="s">
        <v>238</v>
      </c>
      <c r="Q563" s="5" t="s">
        <v>239</v>
      </c>
      <c r="R563" s="5" t="s">
        <v>240</v>
      </c>
      <c r="S563" s="5" t="s">
        <v>238</v>
      </c>
      <c r="V563" s="5" t="s">
        <v>238</v>
      </c>
      <c r="X563" s="6" t="s">
        <v>238</v>
      </c>
      <c r="AA563" s="6" t="s">
        <v>243</v>
      </c>
      <c r="AB563" s="5" t="s">
        <v>238</v>
      </c>
      <c r="AC563" s="5" t="s">
        <v>244</v>
      </c>
      <c r="AD563" s="5" t="s">
        <v>245</v>
      </c>
      <c r="AT563" s="5" t="s">
        <v>246</v>
      </c>
      <c r="AU563" s="5" t="s">
        <v>238</v>
      </c>
      <c r="AV563" s="5" t="s">
        <v>247</v>
      </c>
      <c r="AW563" s="5" t="s">
        <v>238</v>
      </c>
      <c r="AX563" s="5" t="s">
        <v>249</v>
      </c>
      <c r="AY563" s="5" t="s">
        <v>238</v>
      </c>
      <c r="BA563" s="5" t="s">
        <v>238</v>
      </c>
      <c r="BC563" s="5" t="s">
        <v>250</v>
      </c>
      <c r="BD563" s="6" t="s">
        <v>243</v>
      </c>
      <c r="BE563" s="5" t="s">
        <v>251</v>
      </c>
      <c r="BF563" s="5" t="s">
        <v>252</v>
      </c>
      <c r="BG563" s="5" t="s">
        <v>238</v>
      </c>
      <c r="BH563" s="7">
        <f>0</f>
        <v>0</v>
      </c>
      <c r="BI563" s="8">
        <f>0</f>
        <v>0</v>
      </c>
      <c r="BJ563" s="5" t="s">
        <v>253</v>
      </c>
      <c r="BK563" s="5" t="s">
        <v>254</v>
      </c>
      <c r="BY563" s="5" t="s">
        <v>238</v>
      </c>
      <c r="BZ563" s="5" t="s">
        <v>238</v>
      </c>
      <c r="CD563" s="5" t="s">
        <v>255</v>
      </c>
      <c r="CE563" s="5" t="s">
        <v>256</v>
      </c>
      <c r="CF563" s="5" t="s">
        <v>238</v>
      </c>
      <c r="CI563" s="6" t="s">
        <v>257</v>
      </c>
      <c r="CJ563" s="5" t="s">
        <v>238</v>
      </c>
      <c r="CK563" s="5" t="s">
        <v>258</v>
      </c>
      <c r="CL563" s="5" t="s">
        <v>238</v>
      </c>
      <c r="CM563" s="5" t="s">
        <v>238</v>
      </c>
      <c r="CN563" s="5">
        <v>0</v>
      </c>
      <c r="CO563" s="5" t="s">
        <v>259</v>
      </c>
      <c r="CP563" s="5" t="s">
        <v>260</v>
      </c>
      <c r="CQ563" s="5" t="s">
        <v>260</v>
      </c>
      <c r="CR563" s="5" t="s">
        <v>261</v>
      </c>
      <c r="CU563" s="8">
        <f>5896</f>
        <v>5896</v>
      </c>
      <c r="CV563" s="8">
        <f>0</f>
        <v>0</v>
      </c>
      <c r="CX563" s="8">
        <f>0</f>
        <v>0</v>
      </c>
      <c r="CY563" s="8">
        <f>5896</f>
        <v>5896</v>
      </c>
      <c r="DA563" s="5" t="s">
        <v>533</v>
      </c>
      <c r="DB563" s="5" t="s">
        <v>238</v>
      </c>
      <c r="DD563" s="5" t="s">
        <v>356</v>
      </c>
      <c r="DE563" s="8">
        <f>0</f>
        <v>0</v>
      </c>
      <c r="DG563" s="5" t="s">
        <v>534</v>
      </c>
      <c r="DH563" s="5" t="s">
        <v>238</v>
      </c>
      <c r="DI563" s="5" t="s">
        <v>238</v>
      </c>
      <c r="DJ563" s="5" t="s">
        <v>238</v>
      </c>
      <c r="DN563" s="5" t="s">
        <v>238</v>
      </c>
      <c r="DO563" s="5" t="s">
        <v>238</v>
      </c>
      <c r="DP563" s="5" t="s">
        <v>238</v>
      </c>
      <c r="DQ563" s="5" t="s">
        <v>238</v>
      </c>
      <c r="DT563" s="5" t="s">
        <v>535</v>
      </c>
      <c r="DU563" s="5" t="s">
        <v>245</v>
      </c>
      <c r="HM563" s="5" t="s">
        <v>264</v>
      </c>
    </row>
    <row r="564" spans="1:221" x14ac:dyDescent="0.4">
      <c r="A564" s="5">
        <v>1426</v>
      </c>
      <c r="B564" s="5">
        <v>1</v>
      </c>
      <c r="C564" s="5">
        <v>1</v>
      </c>
      <c r="D564" s="5" t="s">
        <v>484</v>
      </c>
      <c r="E564" s="5" t="s">
        <v>485</v>
      </c>
      <c r="F564" s="5" t="s">
        <v>248</v>
      </c>
      <c r="G564" s="5" t="s">
        <v>531</v>
      </c>
      <c r="H564" s="6" t="s">
        <v>5804</v>
      </c>
      <c r="I564" s="7">
        <f>7263</f>
        <v>7263</v>
      </c>
      <c r="J564" s="5" t="s">
        <v>262</v>
      </c>
      <c r="K564" s="8">
        <f>79893</f>
        <v>79893</v>
      </c>
      <c r="L564" s="6" t="s">
        <v>242</v>
      </c>
      <c r="M564" s="5" t="s">
        <v>267</v>
      </c>
      <c r="N564" s="5" t="s">
        <v>237</v>
      </c>
      <c r="O564" s="5" t="s">
        <v>238</v>
      </c>
      <c r="P564" s="5" t="s">
        <v>238</v>
      </c>
      <c r="Q564" s="5" t="s">
        <v>239</v>
      </c>
      <c r="R564" s="5" t="s">
        <v>240</v>
      </c>
      <c r="S564" s="5" t="s">
        <v>238</v>
      </c>
      <c r="V564" s="5" t="s">
        <v>238</v>
      </c>
      <c r="X564" s="6" t="s">
        <v>238</v>
      </c>
      <c r="AA564" s="6" t="s">
        <v>243</v>
      </c>
      <c r="AB564" s="5" t="s">
        <v>238</v>
      </c>
      <c r="AC564" s="5" t="s">
        <v>244</v>
      </c>
      <c r="AD564" s="5" t="s">
        <v>245</v>
      </c>
      <c r="AT564" s="5" t="s">
        <v>246</v>
      </c>
      <c r="AU564" s="5" t="s">
        <v>238</v>
      </c>
      <c r="AV564" s="5" t="s">
        <v>247</v>
      </c>
      <c r="AW564" s="5" t="s">
        <v>238</v>
      </c>
      <c r="AX564" s="5" t="s">
        <v>249</v>
      </c>
      <c r="AY564" s="5" t="s">
        <v>238</v>
      </c>
      <c r="BA564" s="5" t="s">
        <v>238</v>
      </c>
      <c r="BC564" s="5" t="s">
        <v>250</v>
      </c>
      <c r="BD564" s="6" t="s">
        <v>243</v>
      </c>
      <c r="BE564" s="5" t="s">
        <v>251</v>
      </c>
      <c r="BF564" s="5" t="s">
        <v>252</v>
      </c>
      <c r="BG564" s="5" t="s">
        <v>238</v>
      </c>
      <c r="BH564" s="7">
        <f>0</f>
        <v>0</v>
      </c>
      <c r="BI564" s="8">
        <f>0</f>
        <v>0</v>
      </c>
      <c r="BJ564" s="5" t="s">
        <v>253</v>
      </c>
      <c r="BK564" s="5" t="s">
        <v>254</v>
      </c>
      <c r="BY564" s="5" t="s">
        <v>238</v>
      </c>
      <c r="BZ564" s="5" t="s">
        <v>238</v>
      </c>
      <c r="CD564" s="5" t="s">
        <v>255</v>
      </c>
      <c r="CE564" s="5" t="s">
        <v>256</v>
      </c>
      <c r="CF564" s="5" t="s">
        <v>238</v>
      </c>
      <c r="CI564" s="6" t="s">
        <v>257</v>
      </c>
      <c r="CJ564" s="5" t="s">
        <v>238</v>
      </c>
      <c r="CK564" s="5" t="s">
        <v>258</v>
      </c>
      <c r="CL564" s="5" t="s">
        <v>238</v>
      </c>
      <c r="CM564" s="5" t="s">
        <v>238</v>
      </c>
      <c r="CN564" s="5">
        <v>0</v>
      </c>
      <c r="CO564" s="5" t="s">
        <v>259</v>
      </c>
      <c r="CP564" s="5" t="s">
        <v>260</v>
      </c>
      <c r="CQ564" s="5" t="s">
        <v>260</v>
      </c>
      <c r="CR564" s="5" t="s">
        <v>261</v>
      </c>
      <c r="CU564" s="8">
        <f>79893</f>
        <v>79893</v>
      </c>
      <c r="CV564" s="8">
        <f>0</f>
        <v>0</v>
      </c>
      <c r="CX564" s="8">
        <f>0</f>
        <v>0</v>
      </c>
      <c r="CY564" s="8">
        <f>79893</f>
        <v>79893</v>
      </c>
      <c r="DA564" s="5" t="s">
        <v>533</v>
      </c>
      <c r="DB564" s="5" t="s">
        <v>238</v>
      </c>
      <c r="DD564" s="5" t="s">
        <v>356</v>
      </c>
      <c r="DE564" s="8">
        <f>0</f>
        <v>0</v>
      </c>
      <c r="DG564" s="5" t="s">
        <v>534</v>
      </c>
      <c r="DH564" s="5" t="s">
        <v>238</v>
      </c>
      <c r="DI564" s="5" t="s">
        <v>238</v>
      </c>
      <c r="DJ564" s="5" t="s">
        <v>238</v>
      </c>
      <c r="DN564" s="5" t="s">
        <v>238</v>
      </c>
      <c r="DO564" s="5" t="s">
        <v>238</v>
      </c>
      <c r="DP564" s="5" t="s">
        <v>238</v>
      </c>
      <c r="DQ564" s="5" t="s">
        <v>238</v>
      </c>
      <c r="DT564" s="5" t="s">
        <v>535</v>
      </c>
      <c r="DU564" s="5" t="s">
        <v>1049</v>
      </c>
      <c r="HM564" s="5" t="s">
        <v>264</v>
      </c>
    </row>
    <row r="565" spans="1:221" x14ac:dyDescent="0.4">
      <c r="A565" s="5">
        <v>1427</v>
      </c>
      <c r="B565" s="5">
        <v>1</v>
      </c>
      <c r="C565" s="5">
        <v>1</v>
      </c>
      <c r="D565" s="5" t="s">
        <v>484</v>
      </c>
      <c r="E565" s="5" t="s">
        <v>485</v>
      </c>
      <c r="F565" s="5" t="s">
        <v>248</v>
      </c>
      <c r="G565" s="5" t="s">
        <v>531</v>
      </c>
      <c r="H565" s="6" t="s">
        <v>5323</v>
      </c>
      <c r="I565" s="7">
        <f>1255</f>
        <v>1255</v>
      </c>
      <c r="J565" s="5" t="s">
        <v>262</v>
      </c>
      <c r="K565" s="8">
        <f>13805</f>
        <v>13805</v>
      </c>
      <c r="L565" s="6" t="s">
        <v>242</v>
      </c>
      <c r="M565" s="5" t="s">
        <v>267</v>
      </c>
      <c r="N565" s="5" t="s">
        <v>237</v>
      </c>
      <c r="O565" s="5" t="s">
        <v>238</v>
      </c>
      <c r="P565" s="5" t="s">
        <v>238</v>
      </c>
      <c r="Q565" s="5" t="s">
        <v>239</v>
      </c>
      <c r="R565" s="5" t="s">
        <v>240</v>
      </c>
      <c r="S565" s="5" t="s">
        <v>238</v>
      </c>
      <c r="V565" s="5" t="s">
        <v>238</v>
      </c>
      <c r="X565" s="6" t="s">
        <v>238</v>
      </c>
      <c r="AA565" s="6" t="s">
        <v>243</v>
      </c>
      <c r="AB565" s="5" t="s">
        <v>238</v>
      </c>
      <c r="AC565" s="5" t="s">
        <v>244</v>
      </c>
      <c r="AD565" s="5" t="s">
        <v>245</v>
      </c>
      <c r="AT565" s="5" t="s">
        <v>246</v>
      </c>
      <c r="AU565" s="5" t="s">
        <v>238</v>
      </c>
      <c r="AV565" s="5" t="s">
        <v>247</v>
      </c>
      <c r="AW565" s="5" t="s">
        <v>238</v>
      </c>
      <c r="AX565" s="5" t="s">
        <v>249</v>
      </c>
      <c r="AY565" s="5" t="s">
        <v>238</v>
      </c>
      <c r="BA565" s="5" t="s">
        <v>238</v>
      </c>
      <c r="BC565" s="5" t="s">
        <v>250</v>
      </c>
      <c r="BD565" s="6" t="s">
        <v>243</v>
      </c>
      <c r="BE565" s="5" t="s">
        <v>251</v>
      </c>
      <c r="BF565" s="5" t="s">
        <v>252</v>
      </c>
      <c r="BG565" s="5" t="s">
        <v>238</v>
      </c>
      <c r="BH565" s="7">
        <f>0</f>
        <v>0</v>
      </c>
      <c r="BI565" s="8">
        <f>0</f>
        <v>0</v>
      </c>
      <c r="BJ565" s="5" t="s">
        <v>253</v>
      </c>
      <c r="BK565" s="5" t="s">
        <v>254</v>
      </c>
      <c r="BY565" s="5" t="s">
        <v>238</v>
      </c>
      <c r="BZ565" s="5" t="s">
        <v>238</v>
      </c>
      <c r="CD565" s="5" t="s">
        <v>255</v>
      </c>
      <c r="CE565" s="5" t="s">
        <v>256</v>
      </c>
      <c r="CF565" s="5" t="s">
        <v>238</v>
      </c>
      <c r="CI565" s="6" t="s">
        <v>257</v>
      </c>
      <c r="CJ565" s="5" t="s">
        <v>238</v>
      </c>
      <c r="CK565" s="5" t="s">
        <v>258</v>
      </c>
      <c r="CL565" s="5" t="s">
        <v>238</v>
      </c>
      <c r="CM565" s="5" t="s">
        <v>238</v>
      </c>
      <c r="CN565" s="5">
        <v>0</v>
      </c>
      <c r="CO565" s="5" t="s">
        <v>259</v>
      </c>
      <c r="CP565" s="5" t="s">
        <v>260</v>
      </c>
      <c r="CQ565" s="5" t="s">
        <v>260</v>
      </c>
      <c r="CR565" s="5" t="s">
        <v>261</v>
      </c>
      <c r="CU565" s="8">
        <f>13805</f>
        <v>13805</v>
      </c>
      <c r="CV565" s="8">
        <f>0</f>
        <v>0</v>
      </c>
      <c r="CX565" s="8">
        <f>0</f>
        <v>0</v>
      </c>
      <c r="CY565" s="8">
        <f>13805</f>
        <v>13805</v>
      </c>
      <c r="DA565" s="5" t="s">
        <v>533</v>
      </c>
      <c r="DB565" s="5" t="s">
        <v>238</v>
      </c>
      <c r="DD565" s="5" t="s">
        <v>356</v>
      </c>
      <c r="DE565" s="8">
        <f>0</f>
        <v>0</v>
      </c>
      <c r="DG565" s="5" t="s">
        <v>534</v>
      </c>
      <c r="DH565" s="5" t="s">
        <v>238</v>
      </c>
      <c r="DI565" s="5" t="s">
        <v>238</v>
      </c>
      <c r="DJ565" s="5" t="s">
        <v>238</v>
      </c>
      <c r="DN565" s="5" t="s">
        <v>238</v>
      </c>
      <c r="DO565" s="5" t="s">
        <v>238</v>
      </c>
      <c r="DP565" s="5" t="s">
        <v>238</v>
      </c>
      <c r="DQ565" s="5" t="s">
        <v>238</v>
      </c>
      <c r="DT565" s="5" t="s">
        <v>535</v>
      </c>
      <c r="DU565" s="5" t="s">
        <v>1045</v>
      </c>
      <c r="HM565" s="5" t="s">
        <v>264</v>
      </c>
    </row>
    <row r="566" spans="1:221" x14ac:dyDescent="0.4">
      <c r="A566" s="5">
        <v>1428</v>
      </c>
      <c r="B566" s="5">
        <v>1</v>
      </c>
      <c r="C566" s="5">
        <v>1</v>
      </c>
      <c r="D566" s="5" t="s">
        <v>484</v>
      </c>
      <c r="E566" s="5" t="s">
        <v>485</v>
      </c>
      <c r="F566" s="5" t="s">
        <v>248</v>
      </c>
      <c r="G566" s="5" t="s">
        <v>531</v>
      </c>
      <c r="H566" s="6" t="s">
        <v>6374</v>
      </c>
      <c r="I566" s="7">
        <f>1963</f>
        <v>1963</v>
      </c>
      <c r="J566" s="5" t="s">
        <v>262</v>
      </c>
      <c r="K566" s="8">
        <f>21593</f>
        <v>21593</v>
      </c>
      <c r="L566" s="6" t="s">
        <v>242</v>
      </c>
      <c r="M566" s="5" t="s">
        <v>267</v>
      </c>
      <c r="N566" s="5" t="s">
        <v>237</v>
      </c>
      <c r="O566" s="5" t="s">
        <v>238</v>
      </c>
      <c r="P566" s="5" t="s">
        <v>238</v>
      </c>
      <c r="Q566" s="5" t="s">
        <v>239</v>
      </c>
      <c r="R566" s="5" t="s">
        <v>240</v>
      </c>
      <c r="S566" s="5" t="s">
        <v>238</v>
      </c>
      <c r="V566" s="5" t="s">
        <v>238</v>
      </c>
      <c r="X566" s="6" t="s">
        <v>238</v>
      </c>
      <c r="AA566" s="6" t="s">
        <v>243</v>
      </c>
      <c r="AB566" s="5" t="s">
        <v>238</v>
      </c>
      <c r="AC566" s="5" t="s">
        <v>244</v>
      </c>
      <c r="AD566" s="5" t="s">
        <v>245</v>
      </c>
      <c r="AT566" s="5" t="s">
        <v>246</v>
      </c>
      <c r="AU566" s="5" t="s">
        <v>238</v>
      </c>
      <c r="AV566" s="5" t="s">
        <v>247</v>
      </c>
      <c r="AW566" s="5" t="s">
        <v>238</v>
      </c>
      <c r="AX566" s="5" t="s">
        <v>249</v>
      </c>
      <c r="AY566" s="5" t="s">
        <v>238</v>
      </c>
      <c r="BA566" s="5" t="s">
        <v>238</v>
      </c>
      <c r="BC566" s="5" t="s">
        <v>250</v>
      </c>
      <c r="BD566" s="6" t="s">
        <v>243</v>
      </c>
      <c r="BE566" s="5" t="s">
        <v>251</v>
      </c>
      <c r="BF566" s="5" t="s">
        <v>252</v>
      </c>
      <c r="BG566" s="5" t="s">
        <v>238</v>
      </c>
      <c r="BH566" s="7">
        <f>0</f>
        <v>0</v>
      </c>
      <c r="BI566" s="8">
        <f>0</f>
        <v>0</v>
      </c>
      <c r="BJ566" s="5" t="s">
        <v>253</v>
      </c>
      <c r="BK566" s="5" t="s">
        <v>254</v>
      </c>
      <c r="BY566" s="5" t="s">
        <v>238</v>
      </c>
      <c r="BZ566" s="5" t="s">
        <v>238</v>
      </c>
      <c r="CD566" s="5" t="s">
        <v>255</v>
      </c>
      <c r="CE566" s="5" t="s">
        <v>256</v>
      </c>
      <c r="CF566" s="5" t="s">
        <v>238</v>
      </c>
      <c r="CI566" s="6" t="s">
        <v>257</v>
      </c>
      <c r="CJ566" s="5" t="s">
        <v>238</v>
      </c>
      <c r="CK566" s="5" t="s">
        <v>258</v>
      </c>
      <c r="CL566" s="5" t="s">
        <v>238</v>
      </c>
      <c r="CM566" s="5" t="s">
        <v>238</v>
      </c>
      <c r="CN566" s="5">
        <v>0</v>
      </c>
      <c r="CO566" s="5" t="s">
        <v>259</v>
      </c>
      <c r="CP566" s="5" t="s">
        <v>260</v>
      </c>
      <c r="CQ566" s="5" t="s">
        <v>260</v>
      </c>
      <c r="CR566" s="5" t="s">
        <v>261</v>
      </c>
      <c r="CU566" s="8">
        <f>21593</f>
        <v>21593</v>
      </c>
      <c r="CV566" s="8">
        <f>0</f>
        <v>0</v>
      </c>
      <c r="CX566" s="8">
        <f>0</f>
        <v>0</v>
      </c>
      <c r="CY566" s="8">
        <f>21593</f>
        <v>21593</v>
      </c>
      <c r="DA566" s="5" t="s">
        <v>533</v>
      </c>
      <c r="DB566" s="5" t="s">
        <v>238</v>
      </c>
      <c r="DD566" s="5" t="s">
        <v>356</v>
      </c>
      <c r="DE566" s="8">
        <f>0</f>
        <v>0</v>
      </c>
      <c r="DG566" s="5" t="s">
        <v>534</v>
      </c>
      <c r="DH566" s="5" t="s">
        <v>238</v>
      </c>
      <c r="DI566" s="5" t="s">
        <v>238</v>
      </c>
      <c r="DJ566" s="5" t="s">
        <v>238</v>
      </c>
      <c r="DN566" s="5" t="s">
        <v>238</v>
      </c>
      <c r="DO566" s="5" t="s">
        <v>238</v>
      </c>
      <c r="DP566" s="5" t="s">
        <v>238</v>
      </c>
      <c r="DQ566" s="5" t="s">
        <v>238</v>
      </c>
      <c r="DT566" s="5" t="s">
        <v>535</v>
      </c>
      <c r="DU566" s="5" t="s">
        <v>1043</v>
      </c>
      <c r="HM566" s="5" t="s">
        <v>264</v>
      </c>
    </row>
    <row r="567" spans="1:221" x14ac:dyDescent="0.4">
      <c r="A567" s="5">
        <v>1429</v>
      </c>
      <c r="B567" s="5">
        <v>1</v>
      </c>
      <c r="C567" s="5">
        <v>1</v>
      </c>
      <c r="D567" s="5" t="s">
        <v>484</v>
      </c>
      <c r="E567" s="5" t="s">
        <v>485</v>
      </c>
      <c r="F567" s="5" t="s">
        <v>248</v>
      </c>
      <c r="G567" s="5" t="s">
        <v>531</v>
      </c>
      <c r="H567" s="6" t="s">
        <v>5327</v>
      </c>
      <c r="I567" s="7">
        <f>1284</f>
        <v>1284</v>
      </c>
      <c r="J567" s="5" t="s">
        <v>262</v>
      </c>
      <c r="K567" s="8">
        <f>14124</f>
        <v>14124</v>
      </c>
      <c r="L567" s="6" t="s">
        <v>242</v>
      </c>
      <c r="M567" s="5" t="s">
        <v>267</v>
      </c>
      <c r="N567" s="5" t="s">
        <v>237</v>
      </c>
      <c r="O567" s="5" t="s">
        <v>238</v>
      </c>
      <c r="P567" s="5" t="s">
        <v>238</v>
      </c>
      <c r="Q567" s="5" t="s">
        <v>239</v>
      </c>
      <c r="R567" s="5" t="s">
        <v>240</v>
      </c>
      <c r="S567" s="5" t="s">
        <v>238</v>
      </c>
      <c r="V567" s="5" t="s">
        <v>238</v>
      </c>
      <c r="X567" s="6" t="s">
        <v>238</v>
      </c>
      <c r="AA567" s="6" t="s">
        <v>243</v>
      </c>
      <c r="AB567" s="5" t="s">
        <v>238</v>
      </c>
      <c r="AC567" s="5" t="s">
        <v>244</v>
      </c>
      <c r="AD567" s="5" t="s">
        <v>245</v>
      </c>
      <c r="AT567" s="5" t="s">
        <v>246</v>
      </c>
      <c r="AU567" s="5" t="s">
        <v>238</v>
      </c>
      <c r="AV567" s="5" t="s">
        <v>247</v>
      </c>
      <c r="AW567" s="5" t="s">
        <v>238</v>
      </c>
      <c r="AX567" s="5" t="s">
        <v>249</v>
      </c>
      <c r="AY567" s="5" t="s">
        <v>238</v>
      </c>
      <c r="BA567" s="5" t="s">
        <v>238</v>
      </c>
      <c r="BC567" s="5" t="s">
        <v>250</v>
      </c>
      <c r="BD567" s="6" t="s">
        <v>243</v>
      </c>
      <c r="BE567" s="5" t="s">
        <v>251</v>
      </c>
      <c r="BF567" s="5" t="s">
        <v>252</v>
      </c>
      <c r="BG567" s="5" t="s">
        <v>238</v>
      </c>
      <c r="BH567" s="7">
        <f>0</f>
        <v>0</v>
      </c>
      <c r="BI567" s="8">
        <f>0</f>
        <v>0</v>
      </c>
      <c r="BJ567" s="5" t="s">
        <v>253</v>
      </c>
      <c r="BK567" s="5" t="s">
        <v>254</v>
      </c>
      <c r="BY567" s="5" t="s">
        <v>238</v>
      </c>
      <c r="BZ567" s="5" t="s">
        <v>238</v>
      </c>
      <c r="CD567" s="5" t="s">
        <v>255</v>
      </c>
      <c r="CE567" s="5" t="s">
        <v>256</v>
      </c>
      <c r="CF567" s="5" t="s">
        <v>238</v>
      </c>
      <c r="CI567" s="6" t="s">
        <v>257</v>
      </c>
      <c r="CJ567" s="5" t="s">
        <v>238</v>
      </c>
      <c r="CK567" s="5" t="s">
        <v>258</v>
      </c>
      <c r="CL567" s="5" t="s">
        <v>238</v>
      </c>
      <c r="CM567" s="5" t="s">
        <v>238</v>
      </c>
      <c r="CN567" s="5">
        <v>0</v>
      </c>
      <c r="CO567" s="5" t="s">
        <v>259</v>
      </c>
      <c r="CP567" s="5" t="s">
        <v>260</v>
      </c>
      <c r="CQ567" s="5" t="s">
        <v>260</v>
      </c>
      <c r="CR567" s="5" t="s">
        <v>261</v>
      </c>
      <c r="CU567" s="8">
        <f>14124</f>
        <v>14124</v>
      </c>
      <c r="CV567" s="8">
        <f>0</f>
        <v>0</v>
      </c>
      <c r="CX567" s="8">
        <f>0</f>
        <v>0</v>
      </c>
      <c r="CY567" s="8">
        <f>14124</f>
        <v>14124</v>
      </c>
      <c r="DA567" s="5" t="s">
        <v>533</v>
      </c>
      <c r="DB567" s="5" t="s">
        <v>238</v>
      </c>
      <c r="DD567" s="5" t="s">
        <v>356</v>
      </c>
      <c r="DE567" s="8">
        <f>0</f>
        <v>0</v>
      </c>
      <c r="DG567" s="5" t="s">
        <v>534</v>
      </c>
      <c r="DH567" s="5" t="s">
        <v>238</v>
      </c>
      <c r="DI567" s="5" t="s">
        <v>238</v>
      </c>
      <c r="DJ567" s="5" t="s">
        <v>238</v>
      </c>
      <c r="DN567" s="5" t="s">
        <v>238</v>
      </c>
      <c r="DO567" s="5" t="s">
        <v>238</v>
      </c>
      <c r="DP567" s="5" t="s">
        <v>238</v>
      </c>
      <c r="DQ567" s="5" t="s">
        <v>238</v>
      </c>
      <c r="DT567" s="5" t="s">
        <v>535</v>
      </c>
      <c r="DU567" s="5" t="s">
        <v>1041</v>
      </c>
      <c r="HM567" s="5" t="s">
        <v>264</v>
      </c>
    </row>
    <row r="568" spans="1:221" x14ac:dyDescent="0.4">
      <c r="A568" s="5">
        <v>1430</v>
      </c>
      <c r="B568" s="5">
        <v>1</v>
      </c>
      <c r="C568" s="5">
        <v>1</v>
      </c>
      <c r="D568" s="5" t="s">
        <v>484</v>
      </c>
      <c r="E568" s="5" t="s">
        <v>485</v>
      </c>
      <c r="F568" s="5" t="s">
        <v>248</v>
      </c>
      <c r="G568" s="5" t="s">
        <v>531</v>
      </c>
      <c r="H568" s="6" t="s">
        <v>5774</v>
      </c>
      <c r="I568" s="7">
        <f>399</f>
        <v>399</v>
      </c>
      <c r="J568" s="5" t="s">
        <v>262</v>
      </c>
      <c r="K568" s="8">
        <f>4389</f>
        <v>4389</v>
      </c>
      <c r="L568" s="6" t="s">
        <v>242</v>
      </c>
      <c r="M568" s="5" t="s">
        <v>267</v>
      </c>
      <c r="N568" s="5" t="s">
        <v>237</v>
      </c>
      <c r="O568" s="5" t="s">
        <v>238</v>
      </c>
      <c r="P568" s="5" t="s">
        <v>238</v>
      </c>
      <c r="Q568" s="5" t="s">
        <v>239</v>
      </c>
      <c r="R568" s="5" t="s">
        <v>240</v>
      </c>
      <c r="S568" s="5" t="s">
        <v>238</v>
      </c>
      <c r="V568" s="5" t="s">
        <v>238</v>
      </c>
      <c r="X568" s="6" t="s">
        <v>238</v>
      </c>
      <c r="AA568" s="6" t="s">
        <v>243</v>
      </c>
      <c r="AB568" s="5" t="s">
        <v>238</v>
      </c>
      <c r="AC568" s="5" t="s">
        <v>244</v>
      </c>
      <c r="AD568" s="5" t="s">
        <v>245</v>
      </c>
      <c r="AT568" s="5" t="s">
        <v>246</v>
      </c>
      <c r="AU568" s="5" t="s">
        <v>238</v>
      </c>
      <c r="AV568" s="5" t="s">
        <v>247</v>
      </c>
      <c r="AW568" s="5" t="s">
        <v>238</v>
      </c>
      <c r="AX568" s="5" t="s">
        <v>249</v>
      </c>
      <c r="AY568" s="5" t="s">
        <v>238</v>
      </c>
      <c r="BA568" s="5" t="s">
        <v>238</v>
      </c>
      <c r="BC568" s="5" t="s">
        <v>250</v>
      </c>
      <c r="BD568" s="6" t="s">
        <v>243</v>
      </c>
      <c r="BE568" s="5" t="s">
        <v>251</v>
      </c>
      <c r="BF568" s="5" t="s">
        <v>252</v>
      </c>
      <c r="BG568" s="5" t="s">
        <v>238</v>
      </c>
      <c r="BH568" s="7">
        <f>0</f>
        <v>0</v>
      </c>
      <c r="BI568" s="8">
        <f>0</f>
        <v>0</v>
      </c>
      <c r="BJ568" s="5" t="s">
        <v>253</v>
      </c>
      <c r="BK568" s="5" t="s">
        <v>254</v>
      </c>
      <c r="BY568" s="5" t="s">
        <v>238</v>
      </c>
      <c r="BZ568" s="5" t="s">
        <v>238</v>
      </c>
      <c r="CD568" s="5" t="s">
        <v>255</v>
      </c>
      <c r="CE568" s="5" t="s">
        <v>256</v>
      </c>
      <c r="CF568" s="5" t="s">
        <v>238</v>
      </c>
      <c r="CI568" s="6" t="s">
        <v>257</v>
      </c>
      <c r="CJ568" s="5" t="s">
        <v>238</v>
      </c>
      <c r="CK568" s="5" t="s">
        <v>258</v>
      </c>
      <c r="CL568" s="5" t="s">
        <v>238</v>
      </c>
      <c r="CM568" s="5" t="s">
        <v>238</v>
      </c>
      <c r="CN568" s="5">
        <v>0</v>
      </c>
      <c r="CO568" s="5" t="s">
        <v>259</v>
      </c>
      <c r="CP568" s="5" t="s">
        <v>260</v>
      </c>
      <c r="CQ568" s="5" t="s">
        <v>260</v>
      </c>
      <c r="CR568" s="5" t="s">
        <v>261</v>
      </c>
      <c r="CU568" s="8">
        <f>4389</f>
        <v>4389</v>
      </c>
      <c r="CV568" s="8">
        <f>0</f>
        <v>0</v>
      </c>
      <c r="CX568" s="8">
        <f>0</f>
        <v>0</v>
      </c>
      <c r="CY568" s="8">
        <f>4389</f>
        <v>4389</v>
      </c>
      <c r="DA568" s="5" t="s">
        <v>533</v>
      </c>
      <c r="DB568" s="5" t="s">
        <v>238</v>
      </c>
      <c r="DD568" s="5" t="s">
        <v>356</v>
      </c>
      <c r="DE568" s="8">
        <f>0</f>
        <v>0</v>
      </c>
      <c r="DG568" s="5" t="s">
        <v>534</v>
      </c>
      <c r="DH568" s="5" t="s">
        <v>238</v>
      </c>
      <c r="DI568" s="5" t="s">
        <v>238</v>
      </c>
      <c r="DJ568" s="5" t="s">
        <v>238</v>
      </c>
      <c r="DN568" s="5" t="s">
        <v>238</v>
      </c>
      <c r="DO568" s="5" t="s">
        <v>238</v>
      </c>
      <c r="DP568" s="5" t="s">
        <v>238</v>
      </c>
      <c r="DQ568" s="5" t="s">
        <v>238</v>
      </c>
      <c r="DT568" s="5" t="s">
        <v>535</v>
      </c>
      <c r="DU568" s="5" t="s">
        <v>1037</v>
      </c>
      <c r="HM568" s="5" t="s">
        <v>264</v>
      </c>
    </row>
    <row r="569" spans="1:221" x14ac:dyDescent="0.4">
      <c r="A569" s="5">
        <v>1431</v>
      </c>
      <c r="B569" s="5">
        <v>1</v>
      </c>
      <c r="C569" s="5">
        <v>1</v>
      </c>
      <c r="D569" s="5" t="s">
        <v>484</v>
      </c>
      <c r="E569" s="5" t="s">
        <v>485</v>
      </c>
      <c r="F569" s="5" t="s">
        <v>248</v>
      </c>
      <c r="G569" s="5" t="s">
        <v>531</v>
      </c>
      <c r="H569" s="6" t="s">
        <v>5781</v>
      </c>
      <c r="I569" s="7">
        <f>986</f>
        <v>986</v>
      </c>
      <c r="J569" s="5" t="s">
        <v>262</v>
      </c>
      <c r="K569" s="8">
        <f>10846</f>
        <v>10846</v>
      </c>
      <c r="L569" s="6" t="s">
        <v>242</v>
      </c>
      <c r="M569" s="5" t="s">
        <v>267</v>
      </c>
      <c r="N569" s="5" t="s">
        <v>237</v>
      </c>
      <c r="O569" s="5" t="s">
        <v>238</v>
      </c>
      <c r="P569" s="5" t="s">
        <v>238</v>
      </c>
      <c r="Q569" s="5" t="s">
        <v>239</v>
      </c>
      <c r="R569" s="5" t="s">
        <v>240</v>
      </c>
      <c r="S569" s="5" t="s">
        <v>238</v>
      </c>
      <c r="V569" s="5" t="s">
        <v>238</v>
      </c>
      <c r="X569" s="6" t="s">
        <v>238</v>
      </c>
      <c r="AA569" s="6" t="s">
        <v>243</v>
      </c>
      <c r="AB569" s="5" t="s">
        <v>238</v>
      </c>
      <c r="AC569" s="5" t="s">
        <v>244</v>
      </c>
      <c r="AD569" s="5" t="s">
        <v>245</v>
      </c>
      <c r="AT569" s="5" t="s">
        <v>246</v>
      </c>
      <c r="AU569" s="5" t="s">
        <v>238</v>
      </c>
      <c r="AV569" s="5" t="s">
        <v>247</v>
      </c>
      <c r="AW569" s="5" t="s">
        <v>238</v>
      </c>
      <c r="AX569" s="5" t="s">
        <v>249</v>
      </c>
      <c r="AY569" s="5" t="s">
        <v>238</v>
      </c>
      <c r="BA569" s="5" t="s">
        <v>238</v>
      </c>
      <c r="BC569" s="5" t="s">
        <v>250</v>
      </c>
      <c r="BD569" s="6" t="s">
        <v>243</v>
      </c>
      <c r="BE569" s="5" t="s">
        <v>251</v>
      </c>
      <c r="BF569" s="5" t="s">
        <v>252</v>
      </c>
      <c r="BG569" s="5" t="s">
        <v>238</v>
      </c>
      <c r="BH569" s="7">
        <f>0</f>
        <v>0</v>
      </c>
      <c r="BI569" s="8">
        <f>0</f>
        <v>0</v>
      </c>
      <c r="BJ569" s="5" t="s">
        <v>253</v>
      </c>
      <c r="BK569" s="5" t="s">
        <v>254</v>
      </c>
      <c r="BY569" s="5" t="s">
        <v>238</v>
      </c>
      <c r="BZ569" s="5" t="s">
        <v>238</v>
      </c>
      <c r="CD569" s="5" t="s">
        <v>255</v>
      </c>
      <c r="CE569" s="5" t="s">
        <v>256</v>
      </c>
      <c r="CF569" s="5" t="s">
        <v>238</v>
      </c>
      <c r="CI569" s="6" t="s">
        <v>257</v>
      </c>
      <c r="CJ569" s="5" t="s">
        <v>238</v>
      </c>
      <c r="CK569" s="5" t="s">
        <v>258</v>
      </c>
      <c r="CL569" s="5" t="s">
        <v>238</v>
      </c>
      <c r="CM569" s="5" t="s">
        <v>238</v>
      </c>
      <c r="CN569" s="5">
        <v>0</v>
      </c>
      <c r="CO569" s="5" t="s">
        <v>259</v>
      </c>
      <c r="CP569" s="5" t="s">
        <v>260</v>
      </c>
      <c r="CQ569" s="5" t="s">
        <v>260</v>
      </c>
      <c r="CR569" s="5" t="s">
        <v>261</v>
      </c>
      <c r="CU569" s="8">
        <f>10846</f>
        <v>10846</v>
      </c>
      <c r="CV569" s="8">
        <f>0</f>
        <v>0</v>
      </c>
      <c r="CX569" s="8">
        <f>0</f>
        <v>0</v>
      </c>
      <c r="CY569" s="8">
        <f>10846</f>
        <v>10846</v>
      </c>
      <c r="DA569" s="5" t="s">
        <v>533</v>
      </c>
      <c r="DB569" s="5" t="s">
        <v>238</v>
      </c>
      <c r="DD569" s="5" t="s">
        <v>356</v>
      </c>
      <c r="DE569" s="8">
        <f>0</f>
        <v>0</v>
      </c>
      <c r="DG569" s="5" t="s">
        <v>534</v>
      </c>
      <c r="DH569" s="5" t="s">
        <v>238</v>
      </c>
      <c r="DI569" s="5" t="s">
        <v>238</v>
      </c>
      <c r="DJ569" s="5" t="s">
        <v>238</v>
      </c>
      <c r="DN569" s="5" t="s">
        <v>238</v>
      </c>
      <c r="DO569" s="5" t="s">
        <v>238</v>
      </c>
      <c r="DP569" s="5" t="s">
        <v>238</v>
      </c>
      <c r="DQ569" s="5" t="s">
        <v>238</v>
      </c>
      <c r="DT569" s="5" t="s">
        <v>535</v>
      </c>
      <c r="DU569" s="5" t="s">
        <v>1033</v>
      </c>
      <c r="HM569" s="5" t="s">
        <v>264</v>
      </c>
    </row>
    <row r="570" spans="1:221" x14ac:dyDescent="0.4">
      <c r="A570" s="5">
        <v>1432</v>
      </c>
      <c r="B570" s="5">
        <v>1</v>
      </c>
      <c r="C570" s="5">
        <v>1</v>
      </c>
      <c r="D570" s="5" t="s">
        <v>484</v>
      </c>
      <c r="E570" s="5" t="s">
        <v>485</v>
      </c>
      <c r="F570" s="5" t="s">
        <v>248</v>
      </c>
      <c r="G570" s="5" t="s">
        <v>531</v>
      </c>
      <c r="H570" s="6" t="s">
        <v>5337</v>
      </c>
      <c r="I570" s="7">
        <f>1713</f>
        <v>1713</v>
      </c>
      <c r="J570" s="5" t="s">
        <v>262</v>
      </c>
      <c r="K570" s="8">
        <f>18843</f>
        <v>18843</v>
      </c>
      <c r="L570" s="6" t="s">
        <v>242</v>
      </c>
      <c r="M570" s="5" t="s">
        <v>267</v>
      </c>
      <c r="N570" s="5" t="s">
        <v>237</v>
      </c>
      <c r="O570" s="5" t="s">
        <v>238</v>
      </c>
      <c r="P570" s="5" t="s">
        <v>238</v>
      </c>
      <c r="Q570" s="5" t="s">
        <v>239</v>
      </c>
      <c r="R570" s="5" t="s">
        <v>240</v>
      </c>
      <c r="S570" s="5" t="s">
        <v>238</v>
      </c>
      <c r="V570" s="5" t="s">
        <v>238</v>
      </c>
      <c r="X570" s="6" t="s">
        <v>238</v>
      </c>
      <c r="AA570" s="6" t="s">
        <v>243</v>
      </c>
      <c r="AB570" s="5" t="s">
        <v>238</v>
      </c>
      <c r="AC570" s="5" t="s">
        <v>244</v>
      </c>
      <c r="AD570" s="5" t="s">
        <v>245</v>
      </c>
      <c r="AT570" s="5" t="s">
        <v>246</v>
      </c>
      <c r="AU570" s="5" t="s">
        <v>238</v>
      </c>
      <c r="AV570" s="5" t="s">
        <v>247</v>
      </c>
      <c r="AW570" s="5" t="s">
        <v>238</v>
      </c>
      <c r="AX570" s="5" t="s">
        <v>249</v>
      </c>
      <c r="AY570" s="5" t="s">
        <v>238</v>
      </c>
      <c r="BA570" s="5" t="s">
        <v>238</v>
      </c>
      <c r="BC570" s="5" t="s">
        <v>250</v>
      </c>
      <c r="BD570" s="6" t="s">
        <v>243</v>
      </c>
      <c r="BE570" s="5" t="s">
        <v>251</v>
      </c>
      <c r="BF570" s="5" t="s">
        <v>252</v>
      </c>
      <c r="BG570" s="5" t="s">
        <v>238</v>
      </c>
      <c r="BH570" s="7">
        <f>0</f>
        <v>0</v>
      </c>
      <c r="BI570" s="8">
        <f>0</f>
        <v>0</v>
      </c>
      <c r="BJ570" s="5" t="s">
        <v>253</v>
      </c>
      <c r="BK570" s="5" t="s">
        <v>254</v>
      </c>
      <c r="BY570" s="5" t="s">
        <v>238</v>
      </c>
      <c r="BZ570" s="5" t="s">
        <v>238</v>
      </c>
      <c r="CD570" s="5" t="s">
        <v>255</v>
      </c>
      <c r="CE570" s="5" t="s">
        <v>256</v>
      </c>
      <c r="CF570" s="5" t="s">
        <v>238</v>
      </c>
      <c r="CI570" s="6" t="s">
        <v>257</v>
      </c>
      <c r="CJ570" s="5" t="s">
        <v>238</v>
      </c>
      <c r="CK570" s="5" t="s">
        <v>258</v>
      </c>
      <c r="CL570" s="5" t="s">
        <v>238</v>
      </c>
      <c r="CM570" s="5" t="s">
        <v>238</v>
      </c>
      <c r="CN570" s="5">
        <v>0</v>
      </c>
      <c r="CO570" s="5" t="s">
        <v>259</v>
      </c>
      <c r="CP570" s="5" t="s">
        <v>260</v>
      </c>
      <c r="CQ570" s="5" t="s">
        <v>260</v>
      </c>
      <c r="CR570" s="5" t="s">
        <v>261</v>
      </c>
      <c r="CU570" s="8">
        <f>18843</f>
        <v>18843</v>
      </c>
      <c r="CV570" s="8">
        <f>0</f>
        <v>0</v>
      </c>
      <c r="CX570" s="8">
        <f>0</f>
        <v>0</v>
      </c>
      <c r="CY570" s="8">
        <f>18843</f>
        <v>18843</v>
      </c>
      <c r="DA570" s="5" t="s">
        <v>533</v>
      </c>
      <c r="DB570" s="5" t="s">
        <v>238</v>
      </c>
      <c r="DD570" s="5" t="s">
        <v>356</v>
      </c>
      <c r="DE570" s="8">
        <f>0</f>
        <v>0</v>
      </c>
      <c r="DG570" s="5" t="s">
        <v>534</v>
      </c>
      <c r="DH570" s="5" t="s">
        <v>238</v>
      </c>
      <c r="DI570" s="5" t="s">
        <v>238</v>
      </c>
      <c r="DJ570" s="5" t="s">
        <v>238</v>
      </c>
      <c r="DN570" s="5" t="s">
        <v>238</v>
      </c>
      <c r="DO570" s="5" t="s">
        <v>238</v>
      </c>
      <c r="DP570" s="5" t="s">
        <v>238</v>
      </c>
      <c r="DQ570" s="5" t="s">
        <v>238</v>
      </c>
      <c r="DT570" s="5" t="s">
        <v>535</v>
      </c>
      <c r="DU570" s="5" t="s">
        <v>1031</v>
      </c>
      <c r="HM570" s="5" t="s">
        <v>264</v>
      </c>
    </row>
    <row r="571" spans="1:221" x14ac:dyDescent="0.4">
      <c r="A571" s="5">
        <v>1433</v>
      </c>
      <c r="B571" s="5">
        <v>1</v>
      </c>
      <c r="C571" s="5">
        <v>1</v>
      </c>
      <c r="D571" s="5" t="s">
        <v>484</v>
      </c>
      <c r="E571" s="5" t="s">
        <v>485</v>
      </c>
      <c r="F571" s="5" t="s">
        <v>248</v>
      </c>
      <c r="G571" s="5" t="s">
        <v>531</v>
      </c>
      <c r="H571" s="6" t="s">
        <v>5341</v>
      </c>
      <c r="I571" s="7">
        <f>1977</f>
        <v>1977</v>
      </c>
      <c r="J571" s="5" t="s">
        <v>262</v>
      </c>
      <c r="K571" s="8">
        <f>21747</f>
        <v>21747</v>
      </c>
      <c r="L571" s="6" t="s">
        <v>242</v>
      </c>
      <c r="M571" s="5" t="s">
        <v>267</v>
      </c>
      <c r="N571" s="5" t="s">
        <v>237</v>
      </c>
      <c r="O571" s="5" t="s">
        <v>238</v>
      </c>
      <c r="P571" s="5" t="s">
        <v>238</v>
      </c>
      <c r="Q571" s="5" t="s">
        <v>239</v>
      </c>
      <c r="R571" s="5" t="s">
        <v>240</v>
      </c>
      <c r="S571" s="5" t="s">
        <v>238</v>
      </c>
      <c r="V571" s="5" t="s">
        <v>238</v>
      </c>
      <c r="X571" s="6" t="s">
        <v>238</v>
      </c>
      <c r="AA571" s="6" t="s">
        <v>243</v>
      </c>
      <c r="AB571" s="5" t="s">
        <v>238</v>
      </c>
      <c r="AC571" s="5" t="s">
        <v>244</v>
      </c>
      <c r="AD571" s="5" t="s">
        <v>245</v>
      </c>
      <c r="AT571" s="5" t="s">
        <v>246</v>
      </c>
      <c r="AU571" s="5" t="s">
        <v>238</v>
      </c>
      <c r="AV571" s="5" t="s">
        <v>247</v>
      </c>
      <c r="AW571" s="5" t="s">
        <v>238</v>
      </c>
      <c r="AX571" s="5" t="s">
        <v>249</v>
      </c>
      <c r="AY571" s="5" t="s">
        <v>238</v>
      </c>
      <c r="BA571" s="5" t="s">
        <v>238</v>
      </c>
      <c r="BC571" s="5" t="s">
        <v>250</v>
      </c>
      <c r="BD571" s="6" t="s">
        <v>243</v>
      </c>
      <c r="BE571" s="5" t="s">
        <v>251</v>
      </c>
      <c r="BF571" s="5" t="s">
        <v>252</v>
      </c>
      <c r="BG571" s="5" t="s">
        <v>238</v>
      </c>
      <c r="BH571" s="7">
        <f>0</f>
        <v>0</v>
      </c>
      <c r="BI571" s="8">
        <f>0</f>
        <v>0</v>
      </c>
      <c r="BJ571" s="5" t="s">
        <v>253</v>
      </c>
      <c r="BK571" s="5" t="s">
        <v>254</v>
      </c>
      <c r="BY571" s="5" t="s">
        <v>238</v>
      </c>
      <c r="BZ571" s="5" t="s">
        <v>238</v>
      </c>
      <c r="CD571" s="5" t="s">
        <v>255</v>
      </c>
      <c r="CE571" s="5" t="s">
        <v>256</v>
      </c>
      <c r="CF571" s="5" t="s">
        <v>238</v>
      </c>
      <c r="CI571" s="6" t="s">
        <v>257</v>
      </c>
      <c r="CJ571" s="5" t="s">
        <v>238</v>
      </c>
      <c r="CK571" s="5" t="s">
        <v>258</v>
      </c>
      <c r="CL571" s="5" t="s">
        <v>238</v>
      </c>
      <c r="CM571" s="5" t="s">
        <v>238</v>
      </c>
      <c r="CN571" s="5">
        <v>0</v>
      </c>
      <c r="CO571" s="5" t="s">
        <v>259</v>
      </c>
      <c r="CP571" s="5" t="s">
        <v>260</v>
      </c>
      <c r="CQ571" s="5" t="s">
        <v>260</v>
      </c>
      <c r="CR571" s="5" t="s">
        <v>261</v>
      </c>
      <c r="CU571" s="8">
        <f>21747</f>
        <v>21747</v>
      </c>
      <c r="CV571" s="8">
        <f>0</f>
        <v>0</v>
      </c>
      <c r="CX571" s="8">
        <f>0</f>
        <v>0</v>
      </c>
      <c r="CY571" s="8">
        <f>21747</f>
        <v>21747</v>
      </c>
      <c r="DA571" s="5" t="s">
        <v>533</v>
      </c>
      <c r="DB571" s="5" t="s">
        <v>238</v>
      </c>
      <c r="DD571" s="5" t="s">
        <v>356</v>
      </c>
      <c r="DE571" s="8">
        <f>0</f>
        <v>0</v>
      </c>
      <c r="DG571" s="5" t="s">
        <v>534</v>
      </c>
      <c r="DH571" s="5" t="s">
        <v>238</v>
      </c>
      <c r="DI571" s="5" t="s">
        <v>238</v>
      </c>
      <c r="DJ571" s="5" t="s">
        <v>238</v>
      </c>
      <c r="DN571" s="5" t="s">
        <v>238</v>
      </c>
      <c r="DO571" s="5" t="s">
        <v>238</v>
      </c>
      <c r="DP571" s="5" t="s">
        <v>238</v>
      </c>
      <c r="DQ571" s="5" t="s">
        <v>238</v>
      </c>
      <c r="DT571" s="5" t="s">
        <v>535</v>
      </c>
      <c r="DU571" s="5" t="s">
        <v>1029</v>
      </c>
      <c r="HM571" s="5" t="s">
        <v>264</v>
      </c>
    </row>
    <row r="572" spans="1:221" x14ac:dyDescent="0.4">
      <c r="A572" s="5">
        <v>1434</v>
      </c>
      <c r="B572" s="5">
        <v>1</v>
      </c>
      <c r="C572" s="5">
        <v>1</v>
      </c>
      <c r="D572" s="5" t="s">
        <v>484</v>
      </c>
      <c r="E572" s="5" t="s">
        <v>485</v>
      </c>
      <c r="F572" s="5" t="s">
        <v>248</v>
      </c>
      <c r="G572" s="5" t="s">
        <v>531</v>
      </c>
      <c r="H572" s="6" t="s">
        <v>5769</v>
      </c>
      <c r="I572" s="7">
        <f>1836</f>
        <v>1836</v>
      </c>
      <c r="J572" s="5" t="s">
        <v>262</v>
      </c>
      <c r="K572" s="8">
        <f>20196</f>
        <v>20196</v>
      </c>
      <c r="L572" s="6" t="s">
        <v>242</v>
      </c>
      <c r="M572" s="5" t="s">
        <v>267</v>
      </c>
      <c r="N572" s="5" t="s">
        <v>237</v>
      </c>
      <c r="O572" s="5" t="s">
        <v>238</v>
      </c>
      <c r="P572" s="5" t="s">
        <v>238</v>
      </c>
      <c r="Q572" s="5" t="s">
        <v>239</v>
      </c>
      <c r="R572" s="5" t="s">
        <v>240</v>
      </c>
      <c r="S572" s="5" t="s">
        <v>238</v>
      </c>
      <c r="V572" s="5" t="s">
        <v>238</v>
      </c>
      <c r="X572" s="6" t="s">
        <v>238</v>
      </c>
      <c r="AA572" s="6" t="s">
        <v>243</v>
      </c>
      <c r="AB572" s="5" t="s">
        <v>238</v>
      </c>
      <c r="AC572" s="5" t="s">
        <v>244</v>
      </c>
      <c r="AD572" s="5" t="s">
        <v>245</v>
      </c>
      <c r="AT572" s="5" t="s">
        <v>246</v>
      </c>
      <c r="AU572" s="5" t="s">
        <v>238</v>
      </c>
      <c r="AV572" s="5" t="s">
        <v>247</v>
      </c>
      <c r="AW572" s="5" t="s">
        <v>238</v>
      </c>
      <c r="AX572" s="5" t="s">
        <v>249</v>
      </c>
      <c r="AY572" s="5" t="s">
        <v>238</v>
      </c>
      <c r="BA572" s="5" t="s">
        <v>238</v>
      </c>
      <c r="BC572" s="5" t="s">
        <v>250</v>
      </c>
      <c r="BD572" s="6" t="s">
        <v>243</v>
      </c>
      <c r="BE572" s="5" t="s">
        <v>251</v>
      </c>
      <c r="BF572" s="5" t="s">
        <v>252</v>
      </c>
      <c r="BG572" s="5" t="s">
        <v>238</v>
      </c>
      <c r="BH572" s="7">
        <f>0</f>
        <v>0</v>
      </c>
      <c r="BI572" s="8">
        <f>0</f>
        <v>0</v>
      </c>
      <c r="BJ572" s="5" t="s">
        <v>253</v>
      </c>
      <c r="BK572" s="5" t="s">
        <v>254</v>
      </c>
      <c r="BY572" s="5" t="s">
        <v>238</v>
      </c>
      <c r="BZ572" s="5" t="s">
        <v>238</v>
      </c>
      <c r="CD572" s="5" t="s">
        <v>255</v>
      </c>
      <c r="CE572" s="5" t="s">
        <v>256</v>
      </c>
      <c r="CF572" s="5" t="s">
        <v>238</v>
      </c>
      <c r="CI572" s="6" t="s">
        <v>257</v>
      </c>
      <c r="CJ572" s="5" t="s">
        <v>238</v>
      </c>
      <c r="CK572" s="5" t="s">
        <v>258</v>
      </c>
      <c r="CL572" s="5" t="s">
        <v>238</v>
      </c>
      <c r="CM572" s="5" t="s">
        <v>238</v>
      </c>
      <c r="CN572" s="5">
        <v>0</v>
      </c>
      <c r="CO572" s="5" t="s">
        <v>259</v>
      </c>
      <c r="CP572" s="5" t="s">
        <v>260</v>
      </c>
      <c r="CQ572" s="5" t="s">
        <v>260</v>
      </c>
      <c r="CR572" s="5" t="s">
        <v>261</v>
      </c>
      <c r="CU572" s="8">
        <f>20196</f>
        <v>20196</v>
      </c>
      <c r="CV572" s="8">
        <f>0</f>
        <v>0</v>
      </c>
      <c r="CX572" s="8">
        <f>0</f>
        <v>0</v>
      </c>
      <c r="CY572" s="8">
        <f>20196</f>
        <v>20196</v>
      </c>
      <c r="DA572" s="5" t="s">
        <v>533</v>
      </c>
      <c r="DB572" s="5" t="s">
        <v>238</v>
      </c>
      <c r="DD572" s="5" t="s">
        <v>356</v>
      </c>
      <c r="DE572" s="8">
        <f>0</f>
        <v>0</v>
      </c>
      <c r="DG572" s="5" t="s">
        <v>534</v>
      </c>
      <c r="DH572" s="5" t="s">
        <v>238</v>
      </c>
      <c r="DI572" s="5" t="s">
        <v>238</v>
      </c>
      <c r="DJ572" s="5" t="s">
        <v>238</v>
      </c>
      <c r="DN572" s="5" t="s">
        <v>238</v>
      </c>
      <c r="DO572" s="5" t="s">
        <v>238</v>
      </c>
      <c r="DP572" s="5" t="s">
        <v>238</v>
      </c>
      <c r="DQ572" s="5" t="s">
        <v>238</v>
      </c>
      <c r="DT572" s="5" t="s">
        <v>535</v>
      </c>
      <c r="DU572" s="5" t="s">
        <v>1025</v>
      </c>
      <c r="HM572" s="5" t="s">
        <v>264</v>
      </c>
    </row>
    <row r="573" spans="1:221" x14ac:dyDescent="0.4">
      <c r="A573" s="5">
        <v>1435</v>
      </c>
      <c r="B573" s="5">
        <v>1</v>
      </c>
      <c r="C573" s="5">
        <v>1</v>
      </c>
      <c r="D573" s="5" t="s">
        <v>484</v>
      </c>
      <c r="E573" s="5" t="s">
        <v>485</v>
      </c>
      <c r="F573" s="5" t="s">
        <v>248</v>
      </c>
      <c r="G573" s="5" t="s">
        <v>531</v>
      </c>
      <c r="H573" s="6" t="s">
        <v>5343</v>
      </c>
      <c r="I573" s="7">
        <f>565</f>
        <v>565</v>
      </c>
      <c r="J573" s="5" t="s">
        <v>262</v>
      </c>
      <c r="K573" s="8">
        <f>6215</f>
        <v>6215</v>
      </c>
      <c r="L573" s="6" t="s">
        <v>242</v>
      </c>
      <c r="M573" s="5" t="s">
        <v>267</v>
      </c>
      <c r="N573" s="5" t="s">
        <v>237</v>
      </c>
      <c r="O573" s="5" t="s">
        <v>238</v>
      </c>
      <c r="P573" s="5" t="s">
        <v>238</v>
      </c>
      <c r="Q573" s="5" t="s">
        <v>239</v>
      </c>
      <c r="R573" s="5" t="s">
        <v>240</v>
      </c>
      <c r="S573" s="5" t="s">
        <v>238</v>
      </c>
      <c r="V573" s="5" t="s">
        <v>238</v>
      </c>
      <c r="X573" s="6" t="s">
        <v>238</v>
      </c>
      <c r="AA573" s="6" t="s">
        <v>243</v>
      </c>
      <c r="AB573" s="5" t="s">
        <v>238</v>
      </c>
      <c r="AC573" s="5" t="s">
        <v>244</v>
      </c>
      <c r="AD573" s="5" t="s">
        <v>245</v>
      </c>
      <c r="AT573" s="5" t="s">
        <v>246</v>
      </c>
      <c r="AU573" s="5" t="s">
        <v>238</v>
      </c>
      <c r="AV573" s="5" t="s">
        <v>247</v>
      </c>
      <c r="AW573" s="5" t="s">
        <v>238</v>
      </c>
      <c r="AX573" s="5" t="s">
        <v>249</v>
      </c>
      <c r="AY573" s="5" t="s">
        <v>238</v>
      </c>
      <c r="BA573" s="5" t="s">
        <v>238</v>
      </c>
      <c r="BC573" s="5" t="s">
        <v>250</v>
      </c>
      <c r="BD573" s="6" t="s">
        <v>243</v>
      </c>
      <c r="BE573" s="5" t="s">
        <v>251</v>
      </c>
      <c r="BF573" s="5" t="s">
        <v>252</v>
      </c>
      <c r="BG573" s="5" t="s">
        <v>238</v>
      </c>
      <c r="BH573" s="7">
        <f>0</f>
        <v>0</v>
      </c>
      <c r="BI573" s="8">
        <f>0</f>
        <v>0</v>
      </c>
      <c r="BJ573" s="5" t="s">
        <v>253</v>
      </c>
      <c r="BK573" s="5" t="s">
        <v>254</v>
      </c>
      <c r="BY573" s="5" t="s">
        <v>238</v>
      </c>
      <c r="BZ573" s="5" t="s">
        <v>238</v>
      </c>
      <c r="CD573" s="5" t="s">
        <v>255</v>
      </c>
      <c r="CE573" s="5" t="s">
        <v>256</v>
      </c>
      <c r="CF573" s="5" t="s">
        <v>238</v>
      </c>
      <c r="CI573" s="6" t="s">
        <v>257</v>
      </c>
      <c r="CJ573" s="5" t="s">
        <v>238</v>
      </c>
      <c r="CK573" s="5" t="s">
        <v>258</v>
      </c>
      <c r="CL573" s="5" t="s">
        <v>238</v>
      </c>
      <c r="CM573" s="5" t="s">
        <v>238</v>
      </c>
      <c r="CN573" s="5">
        <v>0</v>
      </c>
      <c r="CO573" s="5" t="s">
        <v>259</v>
      </c>
      <c r="CP573" s="5" t="s">
        <v>260</v>
      </c>
      <c r="CQ573" s="5" t="s">
        <v>260</v>
      </c>
      <c r="CR573" s="5" t="s">
        <v>261</v>
      </c>
      <c r="CU573" s="8">
        <f>6215</f>
        <v>6215</v>
      </c>
      <c r="CV573" s="8">
        <f>0</f>
        <v>0</v>
      </c>
      <c r="CX573" s="8">
        <f>0</f>
        <v>0</v>
      </c>
      <c r="CY573" s="8">
        <f>6215</f>
        <v>6215</v>
      </c>
      <c r="DA573" s="5" t="s">
        <v>533</v>
      </c>
      <c r="DB573" s="5" t="s">
        <v>238</v>
      </c>
      <c r="DD573" s="5" t="s">
        <v>356</v>
      </c>
      <c r="DE573" s="8">
        <f>0</f>
        <v>0</v>
      </c>
      <c r="DG573" s="5" t="s">
        <v>534</v>
      </c>
      <c r="DH573" s="5" t="s">
        <v>238</v>
      </c>
      <c r="DI573" s="5" t="s">
        <v>238</v>
      </c>
      <c r="DJ573" s="5" t="s">
        <v>238</v>
      </c>
      <c r="DN573" s="5" t="s">
        <v>238</v>
      </c>
      <c r="DO573" s="5" t="s">
        <v>238</v>
      </c>
      <c r="DP573" s="5" t="s">
        <v>238</v>
      </c>
      <c r="DQ573" s="5" t="s">
        <v>238</v>
      </c>
      <c r="DT573" s="5" t="s">
        <v>535</v>
      </c>
      <c r="DU573" s="5" t="s">
        <v>1021</v>
      </c>
      <c r="HM573" s="5" t="s">
        <v>264</v>
      </c>
    </row>
    <row r="574" spans="1:221" x14ac:dyDescent="0.4">
      <c r="A574" s="5">
        <v>1436</v>
      </c>
      <c r="B574" s="5">
        <v>1</v>
      </c>
      <c r="C574" s="5">
        <v>1</v>
      </c>
      <c r="D574" s="5" t="s">
        <v>484</v>
      </c>
      <c r="E574" s="5" t="s">
        <v>485</v>
      </c>
      <c r="F574" s="5" t="s">
        <v>248</v>
      </c>
      <c r="G574" s="5" t="s">
        <v>531</v>
      </c>
      <c r="H574" s="6" t="s">
        <v>5347</v>
      </c>
      <c r="I574" s="7">
        <f>1861.98</f>
        <v>1861.98</v>
      </c>
      <c r="J574" s="5" t="s">
        <v>262</v>
      </c>
      <c r="K574" s="8">
        <f>20481</f>
        <v>20481</v>
      </c>
      <c r="L574" s="6" t="s">
        <v>242</v>
      </c>
      <c r="M574" s="5" t="s">
        <v>267</v>
      </c>
      <c r="N574" s="5" t="s">
        <v>237</v>
      </c>
      <c r="O574" s="5" t="s">
        <v>238</v>
      </c>
      <c r="P574" s="5" t="s">
        <v>238</v>
      </c>
      <c r="Q574" s="5" t="s">
        <v>239</v>
      </c>
      <c r="R574" s="5" t="s">
        <v>240</v>
      </c>
      <c r="S574" s="5" t="s">
        <v>238</v>
      </c>
      <c r="V574" s="5" t="s">
        <v>238</v>
      </c>
      <c r="X574" s="6" t="s">
        <v>238</v>
      </c>
      <c r="AA574" s="6" t="s">
        <v>243</v>
      </c>
      <c r="AB574" s="5" t="s">
        <v>238</v>
      </c>
      <c r="AC574" s="5" t="s">
        <v>244</v>
      </c>
      <c r="AD574" s="5" t="s">
        <v>245</v>
      </c>
      <c r="AT574" s="5" t="s">
        <v>246</v>
      </c>
      <c r="AU574" s="5" t="s">
        <v>238</v>
      </c>
      <c r="AV574" s="5" t="s">
        <v>247</v>
      </c>
      <c r="AW574" s="5" t="s">
        <v>238</v>
      </c>
      <c r="AX574" s="5" t="s">
        <v>249</v>
      </c>
      <c r="AY574" s="5" t="s">
        <v>238</v>
      </c>
      <c r="BA574" s="5" t="s">
        <v>238</v>
      </c>
      <c r="BC574" s="5" t="s">
        <v>250</v>
      </c>
      <c r="BD574" s="6" t="s">
        <v>243</v>
      </c>
      <c r="BE574" s="5" t="s">
        <v>251</v>
      </c>
      <c r="BF574" s="5" t="s">
        <v>252</v>
      </c>
      <c r="BG574" s="5" t="s">
        <v>238</v>
      </c>
      <c r="BH574" s="7">
        <f>0</f>
        <v>0</v>
      </c>
      <c r="BI574" s="8">
        <f>0</f>
        <v>0</v>
      </c>
      <c r="BJ574" s="5" t="s">
        <v>253</v>
      </c>
      <c r="BK574" s="5" t="s">
        <v>254</v>
      </c>
      <c r="BY574" s="5" t="s">
        <v>238</v>
      </c>
      <c r="BZ574" s="5" t="s">
        <v>238</v>
      </c>
      <c r="CD574" s="5" t="s">
        <v>255</v>
      </c>
      <c r="CE574" s="5" t="s">
        <v>256</v>
      </c>
      <c r="CF574" s="5" t="s">
        <v>238</v>
      </c>
      <c r="CI574" s="6" t="s">
        <v>257</v>
      </c>
      <c r="CJ574" s="5" t="s">
        <v>238</v>
      </c>
      <c r="CK574" s="5" t="s">
        <v>258</v>
      </c>
      <c r="CL574" s="5" t="s">
        <v>238</v>
      </c>
      <c r="CM574" s="5" t="s">
        <v>238</v>
      </c>
      <c r="CN574" s="5">
        <v>0</v>
      </c>
      <c r="CO574" s="5" t="s">
        <v>259</v>
      </c>
      <c r="CP574" s="5" t="s">
        <v>260</v>
      </c>
      <c r="CQ574" s="5" t="s">
        <v>260</v>
      </c>
      <c r="CR574" s="5" t="s">
        <v>261</v>
      </c>
      <c r="CU574" s="8">
        <f>20481</f>
        <v>20481</v>
      </c>
      <c r="CV574" s="8">
        <f>0</f>
        <v>0</v>
      </c>
      <c r="CX574" s="8">
        <f>0</f>
        <v>0</v>
      </c>
      <c r="CY574" s="8">
        <f>20481</f>
        <v>20481</v>
      </c>
      <c r="DA574" s="5" t="s">
        <v>533</v>
      </c>
      <c r="DB574" s="5" t="s">
        <v>238</v>
      </c>
      <c r="DD574" s="5" t="s">
        <v>533</v>
      </c>
      <c r="DE574" s="8">
        <f>1861.98</f>
        <v>1861.98</v>
      </c>
      <c r="DG574" s="5" t="s">
        <v>534</v>
      </c>
      <c r="DH574" s="5" t="s">
        <v>238</v>
      </c>
      <c r="DI574" s="5" t="s">
        <v>238</v>
      </c>
      <c r="DJ574" s="5" t="s">
        <v>238</v>
      </c>
      <c r="DN574" s="5" t="s">
        <v>238</v>
      </c>
      <c r="DO574" s="5" t="s">
        <v>238</v>
      </c>
      <c r="DP574" s="5" t="s">
        <v>238</v>
      </c>
      <c r="DQ574" s="5" t="s">
        <v>238</v>
      </c>
      <c r="DT574" s="5" t="s">
        <v>535</v>
      </c>
      <c r="DU574" s="5" t="s">
        <v>1019</v>
      </c>
      <c r="HM574" s="5" t="s">
        <v>264</v>
      </c>
    </row>
    <row r="575" spans="1:221" x14ac:dyDescent="0.4">
      <c r="A575" s="5">
        <v>1437</v>
      </c>
      <c r="B575" s="5">
        <v>1</v>
      </c>
      <c r="C575" s="5">
        <v>1</v>
      </c>
      <c r="D575" s="5" t="s">
        <v>484</v>
      </c>
      <c r="E575" s="5" t="s">
        <v>485</v>
      </c>
      <c r="F575" s="5" t="s">
        <v>248</v>
      </c>
      <c r="G575" s="5" t="s">
        <v>531</v>
      </c>
      <c r="H575" s="6" t="s">
        <v>5348</v>
      </c>
      <c r="I575" s="7">
        <f>3275</f>
        <v>3275</v>
      </c>
      <c r="J575" s="5" t="s">
        <v>262</v>
      </c>
      <c r="K575" s="8">
        <f>36025</f>
        <v>36025</v>
      </c>
      <c r="L575" s="6" t="s">
        <v>242</v>
      </c>
      <c r="M575" s="5" t="s">
        <v>267</v>
      </c>
      <c r="N575" s="5" t="s">
        <v>237</v>
      </c>
      <c r="O575" s="5" t="s">
        <v>238</v>
      </c>
      <c r="P575" s="5" t="s">
        <v>238</v>
      </c>
      <c r="Q575" s="5" t="s">
        <v>239</v>
      </c>
      <c r="R575" s="5" t="s">
        <v>240</v>
      </c>
      <c r="S575" s="5" t="s">
        <v>238</v>
      </c>
      <c r="V575" s="5" t="s">
        <v>238</v>
      </c>
      <c r="X575" s="6" t="s">
        <v>238</v>
      </c>
      <c r="AA575" s="6" t="s">
        <v>243</v>
      </c>
      <c r="AB575" s="5" t="s">
        <v>238</v>
      </c>
      <c r="AC575" s="5" t="s">
        <v>244</v>
      </c>
      <c r="AD575" s="5" t="s">
        <v>245</v>
      </c>
      <c r="AT575" s="5" t="s">
        <v>246</v>
      </c>
      <c r="AU575" s="5" t="s">
        <v>238</v>
      </c>
      <c r="AV575" s="5" t="s">
        <v>247</v>
      </c>
      <c r="AW575" s="5" t="s">
        <v>238</v>
      </c>
      <c r="AX575" s="5" t="s">
        <v>249</v>
      </c>
      <c r="AY575" s="5" t="s">
        <v>238</v>
      </c>
      <c r="BA575" s="5" t="s">
        <v>238</v>
      </c>
      <c r="BC575" s="5" t="s">
        <v>250</v>
      </c>
      <c r="BD575" s="6" t="s">
        <v>243</v>
      </c>
      <c r="BE575" s="5" t="s">
        <v>251</v>
      </c>
      <c r="BF575" s="5" t="s">
        <v>252</v>
      </c>
      <c r="BG575" s="5" t="s">
        <v>238</v>
      </c>
      <c r="BH575" s="7">
        <f>0</f>
        <v>0</v>
      </c>
      <c r="BI575" s="8">
        <f>0</f>
        <v>0</v>
      </c>
      <c r="BJ575" s="5" t="s">
        <v>253</v>
      </c>
      <c r="BK575" s="5" t="s">
        <v>254</v>
      </c>
      <c r="BY575" s="5" t="s">
        <v>238</v>
      </c>
      <c r="BZ575" s="5" t="s">
        <v>238</v>
      </c>
      <c r="CD575" s="5" t="s">
        <v>255</v>
      </c>
      <c r="CE575" s="5" t="s">
        <v>256</v>
      </c>
      <c r="CF575" s="5" t="s">
        <v>238</v>
      </c>
      <c r="CI575" s="6" t="s">
        <v>257</v>
      </c>
      <c r="CJ575" s="5" t="s">
        <v>238</v>
      </c>
      <c r="CK575" s="5" t="s">
        <v>258</v>
      </c>
      <c r="CL575" s="5" t="s">
        <v>238</v>
      </c>
      <c r="CM575" s="5" t="s">
        <v>238</v>
      </c>
      <c r="CN575" s="5">
        <v>0</v>
      </c>
      <c r="CO575" s="5" t="s">
        <v>259</v>
      </c>
      <c r="CP575" s="5" t="s">
        <v>260</v>
      </c>
      <c r="CQ575" s="5" t="s">
        <v>260</v>
      </c>
      <c r="CR575" s="5" t="s">
        <v>261</v>
      </c>
      <c r="CU575" s="8">
        <f>36025</f>
        <v>36025</v>
      </c>
      <c r="CV575" s="8">
        <f>0</f>
        <v>0</v>
      </c>
      <c r="CX575" s="8">
        <f>0</f>
        <v>0</v>
      </c>
      <c r="CY575" s="8">
        <f>36025</f>
        <v>36025</v>
      </c>
      <c r="DA575" s="5" t="s">
        <v>533</v>
      </c>
      <c r="DB575" s="5" t="s">
        <v>238</v>
      </c>
      <c r="DD575" s="5" t="s">
        <v>356</v>
      </c>
      <c r="DE575" s="8">
        <f>0</f>
        <v>0</v>
      </c>
      <c r="DG575" s="5" t="s">
        <v>534</v>
      </c>
      <c r="DH575" s="5" t="s">
        <v>238</v>
      </c>
      <c r="DI575" s="5" t="s">
        <v>238</v>
      </c>
      <c r="DJ575" s="5" t="s">
        <v>238</v>
      </c>
      <c r="DN575" s="5" t="s">
        <v>238</v>
      </c>
      <c r="DO575" s="5" t="s">
        <v>238</v>
      </c>
      <c r="DP575" s="5" t="s">
        <v>238</v>
      </c>
      <c r="DQ575" s="5" t="s">
        <v>238</v>
      </c>
      <c r="DT575" s="5" t="s">
        <v>535</v>
      </c>
      <c r="DU575" s="5" t="s">
        <v>1017</v>
      </c>
      <c r="HM575" s="5" t="s">
        <v>264</v>
      </c>
    </row>
    <row r="576" spans="1:221" x14ac:dyDescent="0.4">
      <c r="A576" s="5">
        <v>1438</v>
      </c>
      <c r="B576" s="5">
        <v>1</v>
      </c>
      <c r="C576" s="5">
        <v>1</v>
      </c>
      <c r="D576" s="5" t="s">
        <v>484</v>
      </c>
      <c r="E576" s="5" t="s">
        <v>485</v>
      </c>
      <c r="F576" s="5" t="s">
        <v>248</v>
      </c>
      <c r="G576" s="5" t="s">
        <v>531</v>
      </c>
      <c r="H576" s="6" t="s">
        <v>5772</v>
      </c>
      <c r="I576" s="7">
        <f>2932</f>
        <v>2932</v>
      </c>
      <c r="J576" s="5" t="s">
        <v>262</v>
      </c>
      <c r="K576" s="8">
        <f>32252</f>
        <v>32252</v>
      </c>
      <c r="L576" s="6" t="s">
        <v>242</v>
      </c>
      <c r="M576" s="5" t="s">
        <v>267</v>
      </c>
      <c r="N576" s="5" t="s">
        <v>237</v>
      </c>
      <c r="O576" s="5" t="s">
        <v>238</v>
      </c>
      <c r="P576" s="5" t="s">
        <v>238</v>
      </c>
      <c r="Q576" s="5" t="s">
        <v>239</v>
      </c>
      <c r="R576" s="5" t="s">
        <v>240</v>
      </c>
      <c r="S576" s="5" t="s">
        <v>238</v>
      </c>
      <c r="V576" s="5" t="s">
        <v>238</v>
      </c>
      <c r="X576" s="6" t="s">
        <v>238</v>
      </c>
      <c r="AA576" s="6" t="s">
        <v>243</v>
      </c>
      <c r="AB576" s="5" t="s">
        <v>238</v>
      </c>
      <c r="AC576" s="5" t="s">
        <v>244</v>
      </c>
      <c r="AD576" s="5" t="s">
        <v>245</v>
      </c>
      <c r="AT576" s="5" t="s">
        <v>246</v>
      </c>
      <c r="AU576" s="5" t="s">
        <v>238</v>
      </c>
      <c r="AV576" s="5" t="s">
        <v>247</v>
      </c>
      <c r="AW576" s="5" t="s">
        <v>238</v>
      </c>
      <c r="AX576" s="5" t="s">
        <v>249</v>
      </c>
      <c r="AY576" s="5" t="s">
        <v>238</v>
      </c>
      <c r="BA576" s="5" t="s">
        <v>238</v>
      </c>
      <c r="BC576" s="5" t="s">
        <v>250</v>
      </c>
      <c r="BD576" s="6" t="s">
        <v>243</v>
      </c>
      <c r="BE576" s="5" t="s">
        <v>251</v>
      </c>
      <c r="BF576" s="5" t="s">
        <v>252</v>
      </c>
      <c r="BG576" s="5" t="s">
        <v>238</v>
      </c>
      <c r="BH576" s="7">
        <f>0</f>
        <v>0</v>
      </c>
      <c r="BI576" s="8">
        <f>0</f>
        <v>0</v>
      </c>
      <c r="BJ576" s="5" t="s">
        <v>253</v>
      </c>
      <c r="BK576" s="5" t="s">
        <v>254</v>
      </c>
      <c r="BY576" s="5" t="s">
        <v>238</v>
      </c>
      <c r="BZ576" s="5" t="s">
        <v>238</v>
      </c>
      <c r="CD576" s="5" t="s">
        <v>255</v>
      </c>
      <c r="CE576" s="5" t="s">
        <v>256</v>
      </c>
      <c r="CF576" s="5" t="s">
        <v>238</v>
      </c>
      <c r="CI576" s="6" t="s">
        <v>257</v>
      </c>
      <c r="CJ576" s="5" t="s">
        <v>238</v>
      </c>
      <c r="CK576" s="5" t="s">
        <v>258</v>
      </c>
      <c r="CL576" s="5" t="s">
        <v>238</v>
      </c>
      <c r="CM576" s="5" t="s">
        <v>238</v>
      </c>
      <c r="CN576" s="5">
        <v>0</v>
      </c>
      <c r="CO576" s="5" t="s">
        <v>259</v>
      </c>
      <c r="CP576" s="5" t="s">
        <v>260</v>
      </c>
      <c r="CQ576" s="5" t="s">
        <v>260</v>
      </c>
      <c r="CR576" s="5" t="s">
        <v>261</v>
      </c>
      <c r="CU576" s="8">
        <f>32252</f>
        <v>32252</v>
      </c>
      <c r="CV576" s="8">
        <f>0</f>
        <v>0</v>
      </c>
      <c r="CX576" s="8">
        <f>0</f>
        <v>0</v>
      </c>
      <c r="CY576" s="8">
        <f>32252</f>
        <v>32252</v>
      </c>
      <c r="DA576" s="5" t="s">
        <v>533</v>
      </c>
      <c r="DB576" s="5" t="s">
        <v>238</v>
      </c>
      <c r="DD576" s="5" t="s">
        <v>356</v>
      </c>
      <c r="DE576" s="8">
        <f>0</f>
        <v>0</v>
      </c>
      <c r="DG576" s="5" t="s">
        <v>534</v>
      </c>
      <c r="DH576" s="5" t="s">
        <v>238</v>
      </c>
      <c r="DI576" s="5" t="s">
        <v>238</v>
      </c>
      <c r="DJ576" s="5" t="s">
        <v>238</v>
      </c>
      <c r="DN576" s="5" t="s">
        <v>238</v>
      </c>
      <c r="DO576" s="5" t="s">
        <v>238</v>
      </c>
      <c r="DP576" s="5" t="s">
        <v>238</v>
      </c>
      <c r="DQ576" s="5" t="s">
        <v>238</v>
      </c>
      <c r="DT576" s="5" t="s">
        <v>535</v>
      </c>
      <c r="DU576" s="5" t="s">
        <v>1013</v>
      </c>
      <c r="HM576" s="5" t="s">
        <v>264</v>
      </c>
    </row>
    <row r="577" spans="1:221" x14ac:dyDescent="0.4">
      <c r="A577" s="5">
        <v>1439</v>
      </c>
      <c r="B577" s="5">
        <v>1</v>
      </c>
      <c r="C577" s="5">
        <v>1</v>
      </c>
      <c r="D577" s="5" t="s">
        <v>484</v>
      </c>
      <c r="E577" s="5" t="s">
        <v>485</v>
      </c>
      <c r="F577" s="5" t="s">
        <v>248</v>
      </c>
      <c r="G577" s="5" t="s">
        <v>531</v>
      </c>
      <c r="H577" s="6" t="s">
        <v>5355</v>
      </c>
      <c r="I577" s="7">
        <f>3887</f>
        <v>3887</v>
      </c>
      <c r="J577" s="5" t="s">
        <v>262</v>
      </c>
      <c r="K577" s="8">
        <f>42757</f>
        <v>42757</v>
      </c>
      <c r="L577" s="6" t="s">
        <v>242</v>
      </c>
      <c r="M577" s="5" t="s">
        <v>267</v>
      </c>
      <c r="N577" s="5" t="s">
        <v>237</v>
      </c>
      <c r="O577" s="5" t="s">
        <v>238</v>
      </c>
      <c r="P577" s="5" t="s">
        <v>238</v>
      </c>
      <c r="Q577" s="5" t="s">
        <v>239</v>
      </c>
      <c r="R577" s="5" t="s">
        <v>240</v>
      </c>
      <c r="S577" s="5" t="s">
        <v>238</v>
      </c>
      <c r="V577" s="5" t="s">
        <v>238</v>
      </c>
      <c r="X577" s="6" t="s">
        <v>238</v>
      </c>
      <c r="AA577" s="6" t="s">
        <v>243</v>
      </c>
      <c r="AB577" s="5" t="s">
        <v>238</v>
      </c>
      <c r="AC577" s="5" t="s">
        <v>244</v>
      </c>
      <c r="AD577" s="5" t="s">
        <v>245</v>
      </c>
      <c r="AT577" s="5" t="s">
        <v>246</v>
      </c>
      <c r="AU577" s="5" t="s">
        <v>238</v>
      </c>
      <c r="AV577" s="5" t="s">
        <v>247</v>
      </c>
      <c r="AW577" s="5" t="s">
        <v>238</v>
      </c>
      <c r="AX577" s="5" t="s">
        <v>249</v>
      </c>
      <c r="AY577" s="5" t="s">
        <v>238</v>
      </c>
      <c r="BA577" s="5" t="s">
        <v>238</v>
      </c>
      <c r="BC577" s="5" t="s">
        <v>250</v>
      </c>
      <c r="BD577" s="6" t="s">
        <v>243</v>
      </c>
      <c r="BE577" s="5" t="s">
        <v>251</v>
      </c>
      <c r="BF577" s="5" t="s">
        <v>252</v>
      </c>
      <c r="BG577" s="5" t="s">
        <v>238</v>
      </c>
      <c r="BH577" s="7">
        <f>0</f>
        <v>0</v>
      </c>
      <c r="BI577" s="8">
        <f>0</f>
        <v>0</v>
      </c>
      <c r="BJ577" s="5" t="s">
        <v>253</v>
      </c>
      <c r="BK577" s="5" t="s">
        <v>254</v>
      </c>
      <c r="BY577" s="5" t="s">
        <v>238</v>
      </c>
      <c r="BZ577" s="5" t="s">
        <v>238</v>
      </c>
      <c r="CD577" s="5" t="s">
        <v>255</v>
      </c>
      <c r="CE577" s="5" t="s">
        <v>256</v>
      </c>
      <c r="CF577" s="5" t="s">
        <v>238</v>
      </c>
      <c r="CI577" s="6" t="s">
        <v>257</v>
      </c>
      <c r="CJ577" s="5" t="s">
        <v>238</v>
      </c>
      <c r="CK577" s="5" t="s">
        <v>258</v>
      </c>
      <c r="CL577" s="5" t="s">
        <v>238</v>
      </c>
      <c r="CM577" s="5" t="s">
        <v>238</v>
      </c>
      <c r="CN577" s="5">
        <v>0</v>
      </c>
      <c r="CO577" s="5" t="s">
        <v>259</v>
      </c>
      <c r="CP577" s="5" t="s">
        <v>260</v>
      </c>
      <c r="CQ577" s="5" t="s">
        <v>260</v>
      </c>
      <c r="CR577" s="5" t="s">
        <v>261</v>
      </c>
      <c r="CU577" s="8">
        <f>42757</f>
        <v>42757</v>
      </c>
      <c r="CV577" s="8">
        <f>0</f>
        <v>0</v>
      </c>
      <c r="CX577" s="8">
        <f>0</f>
        <v>0</v>
      </c>
      <c r="CY577" s="8">
        <f>42757</f>
        <v>42757</v>
      </c>
      <c r="DA577" s="5" t="s">
        <v>533</v>
      </c>
      <c r="DB577" s="5" t="s">
        <v>238</v>
      </c>
      <c r="DD577" s="5" t="s">
        <v>356</v>
      </c>
      <c r="DE577" s="8">
        <f>0</f>
        <v>0</v>
      </c>
      <c r="DG577" s="5" t="s">
        <v>534</v>
      </c>
      <c r="DH577" s="5" t="s">
        <v>238</v>
      </c>
      <c r="DI577" s="5" t="s">
        <v>238</v>
      </c>
      <c r="DJ577" s="5" t="s">
        <v>238</v>
      </c>
      <c r="DN577" s="5" t="s">
        <v>238</v>
      </c>
      <c r="DO577" s="5" t="s">
        <v>238</v>
      </c>
      <c r="DP577" s="5" t="s">
        <v>238</v>
      </c>
      <c r="DQ577" s="5" t="s">
        <v>238</v>
      </c>
      <c r="DT577" s="5" t="s">
        <v>535</v>
      </c>
      <c r="DU577" s="5" t="s">
        <v>1009</v>
      </c>
      <c r="HM577" s="5" t="s">
        <v>264</v>
      </c>
    </row>
    <row r="578" spans="1:221" x14ac:dyDescent="0.4">
      <c r="A578" s="5">
        <v>1440</v>
      </c>
      <c r="B578" s="5">
        <v>1</v>
      </c>
      <c r="C578" s="5">
        <v>1</v>
      </c>
      <c r="D578" s="5" t="s">
        <v>484</v>
      </c>
      <c r="E578" s="5" t="s">
        <v>485</v>
      </c>
      <c r="F578" s="5" t="s">
        <v>248</v>
      </c>
      <c r="G578" s="5" t="s">
        <v>531</v>
      </c>
      <c r="H578" s="6" t="s">
        <v>5765</v>
      </c>
      <c r="I578" s="7">
        <f>548</f>
        <v>548</v>
      </c>
      <c r="J578" s="5" t="s">
        <v>262</v>
      </c>
      <c r="K578" s="8">
        <f>6028</f>
        <v>6028</v>
      </c>
      <c r="L578" s="6" t="s">
        <v>242</v>
      </c>
      <c r="M578" s="5" t="s">
        <v>267</v>
      </c>
      <c r="N578" s="5" t="s">
        <v>237</v>
      </c>
      <c r="O578" s="5" t="s">
        <v>238</v>
      </c>
      <c r="P578" s="5" t="s">
        <v>238</v>
      </c>
      <c r="Q578" s="5" t="s">
        <v>239</v>
      </c>
      <c r="R578" s="5" t="s">
        <v>240</v>
      </c>
      <c r="S578" s="5" t="s">
        <v>238</v>
      </c>
      <c r="V578" s="5" t="s">
        <v>238</v>
      </c>
      <c r="X578" s="6" t="s">
        <v>238</v>
      </c>
      <c r="AA578" s="6" t="s">
        <v>243</v>
      </c>
      <c r="AB578" s="5" t="s">
        <v>238</v>
      </c>
      <c r="AC578" s="5" t="s">
        <v>244</v>
      </c>
      <c r="AD578" s="5" t="s">
        <v>245</v>
      </c>
      <c r="AT578" s="5" t="s">
        <v>246</v>
      </c>
      <c r="AU578" s="5" t="s">
        <v>238</v>
      </c>
      <c r="AV578" s="5" t="s">
        <v>247</v>
      </c>
      <c r="AW578" s="5" t="s">
        <v>238</v>
      </c>
      <c r="AX578" s="5" t="s">
        <v>249</v>
      </c>
      <c r="AY578" s="5" t="s">
        <v>238</v>
      </c>
      <c r="BA578" s="5" t="s">
        <v>238</v>
      </c>
      <c r="BC578" s="5" t="s">
        <v>250</v>
      </c>
      <c r="BD578" s="6" t="s">
        <v>243</v>
      </c>
      <c r="BE578" s="5" t="s">
        <v>251</v>
      </c>
      <c r="BF578" s="5" t="s">
        <v>252</v>
      </c>
      <c r="BG578" s="5" t="s">
        <v>238</v>
      </c>
      <c r="BH578" s="7">
        <f>0</f>
        <v>0</v>
      </c>
      <c r="BI578" s="8">
        <f>0</f>
        <v>0</v>
      </c>
      <c r="BJ578" s="5" t="s">
        <v>253</v>
      </c>
      <c r="BK578" s="5" t="s">
        <v>254</v>
      </c>
      <c r="BY578" s="5" t="s">
        <v>238</v>
      </c>
      <c r="BZ578" s="5" t="s">
        <v>238</v>
      </c>
      <c r="CD578" s="5" t="s">
        <v>255</v>
      </c>
      <c r="CE578" s="5" t="s">
        <v>256</v>
      </c>
      <c r="CF578" s="5" t="s">
        <v>238</v>
      </c>
      <c r="CI578" s="6" t="s">
        <v>257</v>
      </c>
      <c r="CJ578" s="5" t="s">
        <v>238</v>
      </c>
      <c r="CK578" s="5" t="s">
        <v>258</v>
      </c>
      <c r="CL578" s="5" t="s">
        <v>238</v>
      </c>
      <c r="CM578" s="5" t="s">
        <v>238</v>
      </c>
      <c r="CN578" s="5">
        <v>0</v>
      </c>
      <c r="CO578" s="5" t="s">
        <v>259</v>
      </c>
      <c r="CP578" s="5" t="s">
        <v>260</v>
      </c>
      <c r="CQ578" s="5" t="s">
        <v>260</v>
      </c>
      <c r="CR578" s="5" t="s">
        <v>261</v>
      </c>
      <c r="CU578" s="8">
        <f>6028</f>
        <v>6028</v>
      </c>
      <c r="CV578" s="8">
        <f>0</f>
        <v>0</v>
      </c>
      <c r="CX578" s="8">
        <f>0</f>
        <v>0</v>
      </c>
      <c r="CY578" s="8">
        <f>6028</f>
        <v>6028</v>
      </c>
      <c r="DA578" s="5" t="s">
        <v>533</v>
      </c>
      <c r="DB578" s="5" t="s">
        <v>238</v>
      </c>
      <c r="DD578" s="5" t="s">
        <v>356</v>
      </c>
      <c r="DE578" s="8">
        <f>0</f>
        <v>0</v>
      </c>
      <c r="DG578" s="5" t="s">
        <v>534</v>
      </c>
      <c r="DH578" s="5" t="s">
        <v>238</v>
      </c>
      <c r="DI578" s="5" t="s">
        <v>238</v>
      </c>
      <c r="DJ578" s="5" t="s">
        <v>238</v>
      </c>
      <c r="DN578" s="5" t="s">
        <v>238</v>
      </c>
      <c r="DO578" s="5" t="s">
        <v>238</v>
      </c>
      <c r="DP578" s="5" t="s">
        <v>238</v>
      </c>
      <c r="DQ578" s="5" t="s">
        <v>238</v>
      </c>
      <c r="DT578" s="5" t="s">
        <v>535</v>
      </c>
      <c r="DU578" s="5" t="s">
        <v>1007</v>
      </c>
      <c r="HM578" s="5" t="s">
        <v>264</v>
      </c>
    </row>
    <row r="579" spans="1:221" x14ac:dyDescent="0.4">
      <c r="A579" s="5">
        <v>1441</v>
      </c>
      <c r="B579" s="5">
        <v>1</v>
      </c>
      <c r="C579" s="5">
        <v>1</v>
      </c>
      <c r="D579" s="5" t="s">
        <v>484</v>
      </c>
      <c r="E579" s="5" t="s">
        <v>485</v>
      </c>
      <c r="F579" s="5" t="s">
        <v>248</v>
      </c>
      <c r="G579" s="5" t="s">
        <v>531</v>
      </c>
      <c r="H579" s="6" t="s">
        <v>5358</v>
      </c>
      <c r="I579" s="7">
        <f>728</f>
        <v>728</v>
      </c>
      <c r="J579" s="5" t="s">
        <v>262</v>
      </c>
      <c r="K579" s="8">
        <f>8008</f>
        <v>8008</v>
      </c>
      <c r="L579" s="6" t="s">
        <v>242</v>
      </c>
      <c r="M579" s="5" t="s">
        <v>267</v>
      </c>
      <c r="N579" s="5" t="s">
        <v>237</v>
      </c>
      <c r="O579" s="5" t="s">
        <v>238</v>
      </c>
      <c r="P579" s="5" t="s">
        <v>238</v>
      </c>
      <c r="Q579" s="5" t="s">
        <v>239</v>
      </c>
      <c r="R579" s="5" t="s">
        <v>240</v>
      </c>
      <c r="S579" s="5" t="s">
        <v>238</v>
      </c>
      <c r="V579" s="5" t="s">
        <v>238</v>
      </c>
      <c r="X579" s="6" t="s">
        <v>238</v>
      </c>
      <c r="AA579" s="6" t="s">
        <v>243</v>
      </c>
      <c r="AB579" s="5" t="s">
        <v>238</v>
      </c>
      <c r="AC579" s="5" t="s">
        <v>244</v>
      </c>
      <c r="AD579" s="5" t="s">
        <v>245</v>
      </c>
      <c r="AT579" s="5" t="s">
        <v>246</v>
      </c>
      <c r="AU579" s="5" t="s">
        <v>238</v>
      </c>
      <c r="AV579" s="5" t="s">
        <v>247</v>
      </c>
      <c r="AW579" s="5" t="s">
        <v>238</v>
      </c>
      <c r="AX579" s="5" t="s">
        <v>249</v>
      </c>
      <c r="AY579" s="5" t="s">
        <v>238</v>
      </c>
      <c r="BA579" s="5" t="s">
        <v>238</v>
      </c>
      <c r="BC579" s="5" t="s">
        <v>250</v>
      </c>
      <c r="BD579" s="6" t="s">
        <v>243</v>
      </c>
      <c r="BE579" s="5" t="s">
        <v>251</v>
      </c>
      <c r="BF579" s="5" t="s">
        <v>252</v>
      </c>
      <c r="BG579" s="5" t="s">
        <v>238</v>
      </c>
      <c r="BH579" s="7">
        <f>0</f>
        <v>0</v>
      </c>
      <c r="BI579" s="8">
        <f>0</f>
        <v>0</v>
      </c>
      <c r="BJ579" s="5" t="s">
        <v>253</v>
      </c>
      <c r="BK579" s="5" t="s">
        <v>254</v>
      </c>
      <c r="BY579" s="5" t="s">
        <v>238</v>
      </c>
      <c r="BZ579" s="5" t="s">
        <v>238</v>
      </c>
      <c r="CD579" s="5" t="s">
        <v>255</v>
      </c>
      <c r="CE579" s="5" t="s">
        <v>256</v>
      </c>
      <c r="CF579" s="5" t="s">
        <v>238</v>
      </c>
      <c r="CI579" s="6" t="s">
        <v>257</v>
      </c>
      <c r="CJ579" s="5" t="s">
        <v>238</v>
      </c>
      <c r="CK579" s="5" t="s">
        <v>258</v>
      </c>
      <c r="CL579" s="5" t="s">
        <v>238</v>
      </c>
      <c r="CM579" s="5" t="s">
        <v>238</v>
      </c>
      <c r="CN579" s="5">
        <v>0</v>
      </c>
      <c r="CO579" s="5" t="s">
        <v>259</v>
      </c>
      <c r="CP579" s="5" t="s">
        <v>260</v>
      </c>
      <c r="CQ579" s="5" t="s">
        <v>260</v>
      </c>
      <c r="CR579" s="5" t="s">
        <v>261</v>
      </c>
      <c r="CU579" s="8">
        <f>8008</f>
        <v>8008</v>
      </c>
      <c r="CV579" s="8">
        <f>0</f>
        <v>0</v>
      </c>
      <c r="CX579" s="8">
        <f>0</f>
        <v>0</v>
      </c>
      <c r="CY579" s="8">
        <f>8008</f>
        <v>8008</v>
      </c>
      <c r="DA579" s="5" t="s">
        <v>356</v>
      </c>
      <c r="DB579" s="5" t="s">
        <v>238</v>
      </c>
      <c r="DD579" s="5" t="s">
        <v>356</v>
      </c>
      <c r="DE579" s="8">
        <f>0</f>
        <v>0</v>
      </c>
      <c r="DG579" s="5" t="s">
        <v>534</v>
      </c>
      <c r="DH579" s="5" t="s">
        <v>238</v>
      </c>
      <c r="DI579" s="5" t="s">
        <v>238</v>
      </c>
      <c r="DJ579" s="5" t="s">
        <v>238</v>
      </c>
      <c r="DN579" s="5" t="s">
        <v>238</v>
      </c>
      <c r="DO579" s="5" t="s">
        <v>238</v>
      </c>
      <c r="DP579" s="5" t="s">
        <v>238</v>
      </c>
      <c r="DQ579" s="5" t="s">
        <v>238</v>
      </c>
      <c r="DT579" s="5" t="s">
        <v>535</v>
      </c>
      <c r="DU579" s="5" t="s">
        <v>498</v>
      </c>
      <c r="HM579" s="5" t="s">
        <v>264</v>
      </c>
    </row>
    <row r="580" spans="1:221" x14ac:dyDescent="0.4">
      <c r="A580" s="5">
        <v>1442</v>
      </c>
      <c r="B580" s="5">
        <v>1</v>
      </c>
      <c r="C580" s="5">
        <v>1</v>
      </c>
      <c r="D580" s="5" t="s">
        <v>484</v>
      </c>
      <c r="E580" s="5" t="s">
        <v>485</v>
      </c>
      <c r="F580" s="5" t="s">
        <v>248</v>
      </c>
      <c r="G580" s="5" t="s">
        <v>531</v>
      </c>
      <c r="H580" s="6" t="s">
        <v>5361</v>
      </c>
      <c r="I580" s="7">
        <f>562</f>
        <v>562</v>
      </c>
      <c r="J580" s="5" t="s">
        <v>262</v>
      </c>
      <c r="K580" s="8">
        <f>6182</f>
        <v>6182</v>
      </c>
      <c r="L580" s="6" t="s">
        <v>242</v>
      </c>
      <c r="M580" s="5" t="s">
        <v>267</v>
      </c>
      <c r="N580" s="5" t="s">
        <v>237</v>
      </c>
      <c r="O580" s="5" t="s">
        <v>238</v>
      </c>
      <c r="P580" s="5" t="s">
        <v>238</v>
      </c>
      <c r="Q580" s="5" t="s">
        <v>239</v>
      </c>
      <c r="R580" s="5" t="s">
        <v>240</v>
      </c>
      <c r="S580" s="5" t="s">
        <v>238</v>
      </c>
      <c r="V580" s="5" t="s">
        <v>238</v>
      </c>
      <c r="X580" s="6" t="s">
        <v>238</v>
      </c>
      <c r="AA580" s="6" t="s">
        <v>243</v>
      </c>
      <c r="AB580" s="5" t="s">
        <v>238</v>
      </c>
      <c r="AC580" s="5" t="s">
        <v>244</v>
      </c>
      <c r="AD580" s="5" t="s">
        <v>245</v>
      </c>
      <c r="AT580" s="5" t="s">
        <v>246</v>
      </c>
      <c r="AU580" s="5" t="s">
        <v>238</v>
      </c>
      <c r="AV580" s="5" t="s">
        <v>247</v>
      </c>
      <c r="AW580" s="5" t="s">
        <v>238</v>
      </c>
      <c r="AX580" s="5" t="s">
        <v>249</v>
      </c>
      <c r="AY580" s="5" t="s">
        <v>238</v>
      </c>
      <c r="BA580" s="5" t="s">
        <v>238</v>
      </c>
      <c r="BC580" s="5" t="s">
        <v>250</v>
      </c>
      <c r="BD580" s="6" t="s">
        <v>243</v>
      </c>
      <c r="BE580" s="5" t="s">
        <v>251</v>
      </c>
      <c r="BF580" s="5" t="s">
        <v>252</v>
      </c>
      <c r="BG580" s="5" t="s">
        <v>238</v>
      </c>
      <c r="BH580" s="7">
        <f>0</f>
        <v>0</v>
      </c>
      <c r="BI580" s="8">
        <f>0</f>
        <v>0</v>
      </c>
      <c r="BJ580" s="5" t="s">
        <v>253</v>
      </c>
      <c r="BK580" s="5" t="s">
        <v>254</v>
      </c>
      <c r="BY580" s="5" t="s">
        <v>238</v>
      </c>
      <c r="BZ580" s="5" t="s">
        <v>238</v>
      </c>
      <c r="CD580" s="5" t="s">
        <v>255</v>
      </c>
      <c r="CE580" s="5" t="s">
        <v>256</v>
      </c>
      <c r="CF580" s="5" t="s">
        <v>238</v>
      </c>
      <c r="CI580" s="6" t="s">
        <v>257</v>
      </c>
      <c r="CJ580" s="5" t="s">
        <v>238</v>
      </c>
      <c r="CK580" s="5" t="s">
        <v>258</v>
      </c>
      <c r="CL580" s="5" t="s">
        <v>238</v>
      </c>
      <c r="CM580" s="5" t="s">
        <v>238</v>
      </c>
      <c r="CN580" s="5">
        <v>0</v>
      </c>
      <c r="CO580" s="5" t="s">
        <v>259</v>
      </c>
      <c r="CP580" s="5" t="s">
        <v>260</v>
      </c>
      <c r="CQ580" s="5" t="s">
        <v>260</v>
      </c>
      <c r="CR580" s="5" t="s">
        <v>261</v>
      </c>
      <c r="CU580" s="8">
        <f>6182</f>
        <v>6182</v>
      </c>
      <c r="CV580" s="8">
        <f>0</f>
        <v>0</v>
      </c>
      <c r="CX580" s="8">
        <f>0</f>
        <v>0</v>
      </c>
      <c r="CY580" s="8">
        <f>6182</f>
        <v>6182</v>
      </c>
      <c r="DA580" s="5" t="s">
        <v>533</v>
      </c>
      <c r="DB580" s="5" t="s">
        <v>238</v>
      </c>
      <c r="DD580" s="5" t="s">
        <v>356</v>
      </c>
      <c r="DE580" s="8">
        <f>0</f>
        <v>0</v>
      </c>
      <c r="DG580" s="5" t="s">
        <v>534</v>
      </c>
      <c r="DH580" s="5" t="s">
        <v>238</v>
      </c>
      <c r="DI580" s="5" t="s">
        <v>238</v>
      </c>
      <c r="DJ580" s="5" t="s">
        <v>238</v>
      </c>
      <c r="DN580" s="5" t="s">
        <v>238</v>
      </c>
      <c r="DO580" s="5" t="s">
        <v>238</v>
      </c>
      <c r="DP580" s="5" t="s">
        <v>238</v>
      </c>
      <c r="DQ580" s="5" t="s">
        <v>238</v>
      </c>
      <c r="DT580" s="5" t="s">
        <v>535</v>
      </c>
      <c r="DU580" s="5" t="s">
        <v>1000</v>
      </c>
      <c r="HM580" s="5" t="s">
        <v>264</v>
      </c>
    </row>
    <row r="581" spans="1:221" x14ac:dyDescent="0.4">
      <c r="A581" s="5">
        <v>1443</v>
      </c>
      <c r="B581" s="5">
        <v>1</v>
      </c>
      <c r="C581" s="5">
        <v>1</v>
      </c>
      <c r="D581" s="5" t="s">
        <v>484</v>
      </c>
      <c r="E581" s="5" t="s">
        <v>485</v>
      </c>
      <c r="F581" s="5" t="s">
        <v>248</v>
      </c>
      <c r="G581" s="5" t="s">
        <v>531</v>
      </c>
      <c r="H581" s="6" t="s">
        <v>5364</v>
      </c>
      <c r="I581" s="7">
        <f>645</f>
        <v>645</v>
      </c>
      <c r="J581" s="5" t="s">
        <v>262</v>
      </c>
      <c r="K581" s="8">
        <f>7095</f>
        <v>7095</v>
      </c>
      <c r="L581" s="6" t="s">
        <v>242</v>
      </c>
      <c r="M581" s="5" t="s">
        <v>267</v>
      </c>
      <c r="N581" s="5" t="s">
        <v>237</v>
      </c>
      <c r="O581" s="5" t="s">
        <v>238</v>
      </c>
      <c r="P581" s="5" t="s">
        <v>238</v>
      </c>
      <c r="Q581" s="5" t="s">
        <v>239</v>
      </c>
      <c r="R581" s="5" t="s">
        <v>240</v>
      </c>
      <c r="S581" s="5" t="s">
        <v>238</v>
      </c>
      <c r="V581" s="5" t="s">
        <v>238</v>
      </c>
      <c r="X581" s="6" t="s">
        <v>238</v>
      </c>
      <c r="AA581" s="6" t="s">
        <v>243</v>
      </c>
      <c r="AB581" s="5" t="s">
        <v>238</v>
      </c>
      <c r="AC581" s="5" t="s">
        <v>244</v>
      </c>
      <c r="AD581" s="5" t="s">
        <v>245</v>
      </c>
      <c r="AT581" s="5" t="s">
        <v>246</v>
      </c>
      <c r="AU581" s="5" t="s">
        <v>238</v>
      </c>
      <c r="AV581" s="5" t="s">
        <v>247</v>
      </c>
      <c r="AW581" s="5" t="s">
        <v>238</v>
      </c>
      <c r="AX581" s="5" t="s">
        <v>249</v>
      </c>
      <c r="AY581" s="5" t="s">
        <v>238</v>
      </c>
      <c r="BA581" s="5" t="s">
        <v>238</v>
      </c>
      <c r="BC581" s="5" t="s">
        <v>250</v>
      </c>
      <c r="BD581" s="6" t="s">
        <v>243</v>
      </c>
      <c r="BE581" s="5" t="s">
        <v>251</v>
      </c>
      <c r="BF581" s="5" t="s">
        <v>252</v>
      </c>
      <c r="BG581" s="5" t="s">
        <v>238</v>
      </c>
      <c r="BH581" s="7">
        <f>0</f>
        <v>0</v>
      </c>
      <c r="BI581" s="8">
        <f>0</f>
        <v>0</v>
      </c>
      <c r="BJ581" s="5" t="s">
        <v>253</v>
      </c>
      <c r="BK581" s="5" t="s">
        <v>254</v>
      </c>
      <c r="BY581" s="5" t="s">
        <v>238</v>
      </c>
      <c r="BZ581" s="5" t="s">
        <v>238</v>
      </c>
      <c r="CD581" s="5" t="s">
        <v>255</v>
      </c>
      <c r="CE581" s="5" t="s">
        <v>256</v>
      </c>
      <c r="CF581" s="5" t="s">
        <v>238</v>
      </c>
      <c r="CI581" s="6" t="s">
        <v>257</v>
      </c>
      <c r="CJ581" s="5" t="s">
        <v>238</v>
      </c>
      <c r="CK581" s="5" t="s">
        <v>258</v>
      </c>
      <c r="CL581" s="5" t="s">
        <v>238</v>
      </c>
      <c r="CM581" s="5" t="s">
        <v>238</v>
      </c>
      <c r="CN581" s="5">
        <v>0</v>
      </c>
      <c r="CO581" s="5" t="s">
        <v>259</v>
      </c>
      <c r="CP581" s="5" t="s">
        <v>260</v>
      </c>
      <c r="CQ581" s="5" t="s">
        <v>260</v>
      </c>
      <c r="CR581" s="5" t="s">
        <v>261</v>
      </c>
      <c r="CU581" s="8">
        <f>7095</f>
        <v>7095</v>
      </c>
      <c r="CV581" s="8">
        <f>0</f>
        <v>0</v>
      </c>
      <c r="CX581" s="8">
        <f>0</f>
        <v>0</v>
      </c>
      <c r="CY581" s="8">
        <f>7095</f>
        <v>7095</v>
      </c>
      <c r="DA581" s="5" t="s">
        <v>533</v>
      </c>
      <c r="DB581" s="5" t="s">
        <v>238</v>
      </c>
      <c r="DD581" s="5" t="s">
        <v>356</v>
      </c>
      <c r="DE581" s="8">
        <f>0</f>
        <v>0</v>
      </c>
      <c r="DG581" s="5" t="s">
        <v>534</v>
      </c>
      <c r="DH581" s="5" t="s">
        <v>238</v>
      </c>
      <c r="DI581" s="5" t="s">
        <v>238</v>
      </c>
      <c r="DJ581" s="5" t="s">
        <v>238</v>
      </c>
      <c r="DN581" s="5" t="s">
        <v>238</v>
      </c>
      <c r="DO581" s="5" t="s">
        <v>238</v>
      </c>
      <c r="DP581" s="5" t="s">
        <v>238</v>
      </c>
      <c r="DQ581" s="5" t="s">
        <v>238</v>
      </c>
      <c r="DT581" s="5" t="s">
        <v>535</v>
      </c>
      <c r="DU581" s="5" t="s">
        <v>996</v>
      </c>
      <c r="HM581" s="5" t="s">
        <v>264</v>
      </c>
    </row>
    <row r="582" spans="1:221" x14ac:dyDescent="0.4">
      <c r="A582" s="5">
        <v>1444</v>
      </c>
      <c r="B582" s="5">
        <v>1</v>
      </c>
      <c r="C582" s="5">
        <v>1</v>
      </c>
      <c r="D582" s="5" t="s">
        <v>484</v>
      </c>
      <c r="E582" s="5" t="s">
        <v>485</v>
      </c>
      <c r="F582" s="5" t="s">
        <v>248</v>
      </c>
      <c r="G582" s="5" t="s">
        <v>531</v>
      </c>
      <c r="H582" s="6" t="s">
        <v>6381</v>
      </c>
      <c r="I582" s="7">
        <f>222</f>
        <v>222</v>
      </c>
      <c r="J582" s="5" t="s">
        <v>262</v>
      </c>
      <c r="K582" s="8">
        <f>2442</f>
        <v>2442</v>
      </c>
      <c r="L582" s="6" t="s">
        <v>242</v>
      </c>
      <c r="M582" s="5" t="s">
        <v>267</v>
      </c>
      <c r="N582" s="5" t="s">
        <v>237</v>
      </c>
      <c r="O582" s="5" t="s">
        <v>238</v>
      </c>
      <c r="P582" s="5" t="s">
        <v>238</v>
      </c>
      <c r="Q582" s="5" t="s">
        <v>239</v>
      </c>
      <c r="R582" s="5" t="s">
        <v>240</v>
      </c>
      <c r="S582" s="5" t="s">
        <v>238</v>
      </c>
      <c r="V582" s="5" t="s">
        <v>238</v>
      </c>
      <c r="X582" s="6" t="s">
        <v>238</v>
      </c>
      <c r="AA582" s="6" t="s">
        <v>243</v>
      </c>
      <c r="AB582" s="5" t="s">
        <v>238</v>
      </c>
      <c r="AC582" s="5" t="s">
        <v>244</v>
      </c>
      <c r="AD582" s="5" t="s">
        <v>245</v>
      </c>
      <c r="AT582" s="5" t="s">
        <v>246</v>
      </c>
      <c r="AU582" s="5" t="s">
        <v>238</v>
      </c>
      <c r="AV582" s="5" t="s">
        <v>247</v>
      </c>
      <c r="AW582" s="5" t="s">
        <v>238</v>
      </c>
      <c r="AX582" s="5" t="s">
        <v>249</v>
      </c>
      <c r="AY582" s="5" t="s">
        <v>238</v>
      </c>
      <c r="BA582" s="5" t="s">
        <v>238</v>
      </c>
      <c r="BC582" s="5" t="s">
        <v>250</v>
      </c>
      <c r="BD582" s="6" t="s">
        <v>243</v>
      </c>
      <c r="BE582" s="5" t="s">
        <v>251</v>
      </c>
      <c r="BF582" s="5" t="s">
        <v>252</v>
      </c>
      <c r="BG582" s="5" t="s">
        <v>238</v>
      </c>
      <c r="BH582" s="7">
        <f>0</f>
        <v>0</v>
      </c>
      <c r="BI582" s="8">
        <f>0</f>
        <v>0</v>
      </c>
      <c r="BJ582" s="5" t="s">
        <v>253</v>
      </c>
      <c r="BK582" s="5" t="s">
        <v>254</v>
      </c>
      <c r="BY582" s="5" t="s">
        <v>238</v>
      </c>
      <c r="BZ582" s="5" t="s">
        <v>238</v>
      </c>
      <c r="CD582" s="5" t="s">
        <v>255</v>
      </c>
      <c r="CE582" s="5" t="s">
        <v>256</v>
      </c>
      <c r="CF582" s="5" t="s">
        <v>238</v>
      </c>
      <c r="CI582" s="6" t="s">
        <v>257</v>
      </c>
      <c r="CJ582" s="5" t="s">
        <v>238</v>
      </c>
      <c r="CK582" s="5" t="s">
        <v>258</v>
      </c>
      <c r="CL582" s="5" t="s">
        <v>238</v>
      </c>
      <c r="CM582" s="5" t="s">
        <v>238</v>
      </c>
      <c r="CN582" s="5">
        <v>0</v>
      </c>
      <c r="CO582" s="5" t="s">
        <v>259</v>
      </c>
      <c r="CP582" s="5" t="s">
        <v>260</v>
      </c>
      <c r="CQ582" s="5" t="s">
        <v>260</v>
      </c>
      <c r="CR582" s="5" t="s">
        <v>261</v>
      </c>
      <c r="CU582" s="8">
        <f>2442</f>
        <v>2442</v>
      </c>
      <c r="CV582" s="8">
        <f>0</f>
        <v>0</v>
      </c>
      <c r="CX582" s="8">
        <f>0</f>
        <v>0</v>
      </c>
      <c r="CY582" s="8">
        <f>2442</f>
        <v>2442</v>
      </c>
      <c r="DA582" s="5" t="s">
        <v>533</v>
      </c>
      <c r="DB582" s="5" t="s">
        <v>238</v>
      </c>
      <c r="DD582" s="5" t="s">
        <v>356</v>
      </c>
      <c r="DE582" s="8">
        <f>0</f>
        <v>0</v>
      </c>
      <c r="DG582" s="5" t="s">
        <v>534</v>
      </c>
      <c r="DH582" s="5" t="s">
        <v>238</v>
      </c>
      <c r="DI582" s="5" t="s">
        <v>238</v>
      </c>
      <c r="DJ582" s="5" t="s">
        <v>238</v>
      </c>
      <c r="DN582" s="5" t="s">
        <v>238</v>
      </c>
      <c r="DO582" s="5" t="s">
        <v>238</v>
      </c>
      <c r="DP582" s="5" t="s">
        <v>238</v>
      </c>
      <c r="DQ582" s="5" t="s">
        <v>238</v>
      </c>
      <c r="DT582" s="5" t="s">
        <v>535</v>
      </c>
      <c r="DU582" s="5" t="s">
        <v>994</v>
      </c>
      <c r="HM582" s="5" t="s">
        <v>264</v>
      </c>
    </row>
    <row r="583" spans="1:221" x14ac:dyDescent="0.4">
      <c r="A583" s="5">
        <v>1445</v>
      </c>
      <c r="B583" s="5">
        <v>1</v>
      </c>
      <c r="C583" s="5">
        <v>1</v>
      </c>
      <c r="D583" s="5" t="s">
        <v>484</v>
      </c>
      <c r="E583" s="5" t="s">
        <v>485</v>
      </c>
      <c r="F583" s="5" t="s">
        <v>248</v>
      </c>
      <c r="G583" s="5" t="s">
        <v>531</v>
      </c>
      <c r="H583" s="6" t="s">
        <v>5369</v>
      </c>
      <c r="I583" s="7">
        <f>129</f>
        <v>129</v>
      </c>
      <c r="J583" s="5" t="s">
        <v>262</v>
      </c>
      <c r="K583" s="8">
        <f>1419</f>
        <v>1419</v>
      </c>
      <c r="L583" s="6" t="s">
        <v>242</v>
      </c>
      <c r="M583" s="5" t="s">
        <v>267</v>
      </c>
      <c r="N583" s="5" t="s">
        <v>237</v>
      </c>
      <c r="O583" s="5" t="s">
        <v>238</v>
      </c>
      <c r="P583" s="5" t="s">
        <v>238</v>
      </c>
      <c r="Q583" s="5" t="s">
        <v>239</v>
      </c>
      <c r="R583" s="5" t="s">
        <v>240</v>
      </c>
      <c r="S583" s="5" t="s">
        <v>238</v>
      </c>
      <c r="V583" s="5" t="s">
        <v>238</v>
      </c>
      <c r="X583" s="6" t="s">
        <v>238</v>
      </c>
      <c r="AA583" s="6" t="s">
        <v>243</v>
      </c>
      <c r="AB583" s="5" t="s">
        <v>238</v>
      </c>
      <c r="AC583" s="5" t="s">
        <v>244</v>
      </c>
      <c r="AD583" s="5" t="s">
        <v>245</v>
      </c>
      <c r="AT583" s="5" t="s">
        <v>246</v>
      </c>
      <c r="AU583" s="5" t="s">
        <v>238</v>
      </c>
      <c r="AV583" s="5" t="s">
        <v>247</v>
      </c>
      <c r="AW583" s="5" t="s">
        <v>238</v>
      </c>
      <c r="AX583" s="5" t="s">
        <v>249</v>
      </c>
      <c r="AY583" s="5" t="s">
        <v>238</v>
      </c>
      <c r="BA583" s="5" t="s">
        <v>238</v>
      </c>
      <c r="BC583" s="5" t="s">
        <v>250</v>
      </c>
      <c r="BD583" s="6" t="s">
        <v>243</v>
      </c>
      <c r="BE583" s="5" t="s">
        <v>251</v>
      </c>
      <c r="BF583" s="5" t="s">
        <v>252</v>
      </c>
      <c r="BG583" s="5" t="s">
        <v>238</v>
      </c>
      <c r="BH583" s="7">
        <f>0</f>
        <v>0</v>
      </c>
      <c r="BI583" s="8">
        <f>0</f>
        <v>0</v>
      </c>
      <c r="BJ583" s="5" t="s">
        <v>253</v>
      </c>
      <c r="BK583" s="5" t="s">
        <v>254</v>
      </c>
      <c r="BY583" s="5" t="s">
        <v>238</v>
      </c>
      <c r="BZ583" s="5" t="s">
        <v>238</v>
      </c>
      <c r="CD583" s="5" t="s">
        <v>255</v>
      </c>
      <c r="CE583" s="5" t="s">
        <v>256</v>
      </c>
      <c r="CF583" s="5" t="s">
        <v>238</v>
      </c>
      <c r="CI583" s="6" t="s">
        <v>257</v>
      </c>
      <c r="CJ583" s="5" t="s">
        <v>238</v>
      </c>
      <c r="CK583" s="5" t="s">
        <v>258</v>
      </c>
      <c r="CL583" s="5" t="s">
        <v>238</v>
      </c>
      <c r="CM583" s="5" t="s">
        <v>238</v>
      </c>
      <c r="CN583" s="5">
        <v>0</v>
      </c>
      <c r="CO583" s="5" t="s">
        <v>259</v>
      </c>
      <c r="CP583" s="5" t="s">
        <v>260</v>
      </c>
      <c r="CQ583" s="5" t="s">
        <v>260</v>
      </c>
      <c r="CR583" s="5" t="s">
        <v>261</v>
      </c>
      <c r="CU583" s="8">
        <f>1419</f>
        <v>1419</v>
      </c>
      <c r="CV583" s="8">
        <f>0</f>
        <v>0</v>
      </c>
      <c r="CX583" s="8">
        <f>0</f>
        <v>0</v>
      </c>
      <c r="CY583" s="8">
        <f>1419</f>
        <v>1419</v>
      </c>
      <c r="DA583" s="5" t="s">
        <v>533</v>
      </c>
      <c r="DB583" s="5" t="s">
        <v>238</v>
      </c>
      <c r="DD583" s="5" t="s">
        <v>356</v>
      </c>
      <c r="DE583" s="8">
        <f>0</f>
        <v>0</v>
      </c>
      <c r="DG583" s="5" t="s">
        <v>534</v>
      </c>
      <c r="DH583" s="5" t="s">
        <v>238</v>
      </c>
      <c r="DI583" s="5" t="s">
        <v>238</v>
      </c>
      <c r="DJ583" s="5" t="s">
        <v>238</v>
      </c>
      <c r="DN583" s="5" t="s">
        <v>238</v>
      </c>
      <c r="DO583" s="5" t="s">
        <v>238</v>
      </c>
      <c r="DP583" s="5" t="s">
        <v>238</v>
      </c>
      <c r="DQ583" s="5" t="s">
        <v>238</v>
      </c>
      <c r="DT583" s="5" t="s">
        <v>535</v>
      </c>
      <c r="DU583" s="5" t="s">
        <v>276</v>
      </c>
      <c r="HM583" s="5" t="s">
        <v>264</v>
      </c>
    </row>
    <row r="584" spans="1:221" x14ac:dyDescent="0.4">
      <c r="A584" s="5">
        <v>1446</v>
      </c>
      <c r="B584" s="5">
        <v>1</v>
      </c>
      <c r="C584" s="5">
        <v>1</v>
      </c>
      <c r="D584" s="5" t="s">
        <v>484</v>
      </c>
      <c r="E584" s="5" t="s">
        <v>485</v>
      </c>
      <c r="F584" s="5" t="s">
        <v>248</v>
      </c>
      <c r="G584" s="5" t="s">
        <v>531</v>
      </c>
      <c r="H584" s="6" t="s">
        <v>5743</v>
      </c>
      <c r="I584" s="7">
        <f>1207</f>
        <v>1207</v>
      </c>
      <c r="J584" s="5" t="s">
        <v>262</v>
      </c>
      <c r="K584" s="8">
        <f>13277</f>
        <v>13277</v>
      </c>
      <c r="L584" s="6" t="s">
        <v>242</v>
      </c>
      <c r="M584" s="5" t="s">
        <v>267</v>
      </c>
      <c r="N584" s="5" t="s">
        <v>237</v>
      </c>
      <c r="O584" s="5" t="s">
        <v>238</v>
      </c>
      <c r="P584" s="5" t="s">
        <v>238</v>
      </c>
      <c r="Q584" s="5" t="s">
        <v>239</v>
      </c>
      <c r="R584" s="5" t="s">
        <v>240</v>
      </c>
      <c r="S584" s="5" t="s">
        <v>238</v>
      </c>
      <c r="V584" s="5" t="s">
        <v>238</v>
      </c>
      <c r="X584" s="6" t="s">
        <v>238</v>
      </c>
      <c r="AA584" s="6" t="s">
        <v>243</v>
      </c>
      <c r="AB584" s="5" t="s">
        <v>238</v>
      </c>
      <c r="AC584" s="5" t="s">
        <v>244</v>
      </c>
      <c r="AD584" s="5" t="s">
        <v>245</v>
      </c>
      <c r="AT584" s="5" t="s">
        <v>246</v>
      </c>
      <c r="AU584" s="5" t="s">
        <v>238</v>
      </c>
      <c r="AV584" s="5" t="s">
        <v>247</v>
      </c>
      <c r="AW584" s="5" t="s">
        <v>238</v>
      </c>
      <c r="AX584" s="5" t="s">
        <v>249</v>
      </c>
      <c r="AY584" s="5" t="s">
        <v>238</v>
      </c>
      <c r="BA584" s="5" t="s">
        <v>238</v>
      </c>
      <c r="BC584" s="5" t="s">
        <v>250</v>
      </c>
      <c r="BD584" s="6" t="s">
        <v>243</v>
      </c>
      <c r="BE584" s="5" t="s">
        <v>251</v>
      </c>
      <c r="BF584" s="5" t="s">
        <v>252</v>
      </c>
      <c r="BG584" s="5" t="s">
        <v>238</v>
      </c>
      <c r="BH584" s="7">
        <f>0</f>
        <v>0</v>
      </c>
      <c r="BI584" s="8">
        <f>0</f>
        <v>0</v>
      </c>
      <c r="BJ584" s="5" t="s">
        <v>253</v>
      </c>
      <c r="BK584" s="5" t="s">
        <v>254</v>
      </c>
      <c r="BY584" s="5" t="s">
        <v>238</v>
      </c>
      <c r="BZ584" s="5" t="s">
        <v>238</v>
      </c>
      <c r="CD584" s="5" t="s">
        <v>255</v>
      </c>
      <c r="CE584" s="5" t="s">
        <v>256</v>
      </c>
      <c r="CF584" s="5" t="s">
        <v>238</v>
      </c>
      <c r="CI584" s="6" t="s">
        <v>257</v>
      </c>
      <c r="CJ584" s="5" t="s">
        <v>238</v>
      </c>
      <c r="CK584" s="5" t="s">
        <v>258</v>
      </c>
      <c r="CL584" s="5" t="s">
        <v>238</v>
      </c>
      <c r="CM584" s="5" t="s">
        <v>238</v>
      </c>
      <c r="CN584" s="5">
        <v>0</v>
      </c>
      <c r="CO584" s="5" t="s">
        <v>259</v>
      </c>
      <c r="CP584" s="5" t="s">
        <v>260</v>
      </c>
      <c r="CQ584" s="5" t="s">
        <v>260</v>
      </c>
      <c r="CR584" s="5" t="s">
        <v>261</v>
      </c>
      <c r="CU584" s="8">
        <f>13277</f>
        <v>13277</v>
      </c>
      <c r="CV584" s="8">
        <f>0</f>
        <v>0</v>
      </c>
      <c r="CX584" s="8">
        <f>0</f>
        <v>0</v>
      </c>
      <c r="CY584" s="8">
        <f>13277</f>
        <v>13277</v>
      </c>
      <c r="DA584" s="5" t="s">
        <v>533</v>
      </c>
      <c r="DB584" s="5" t="s">
        <v>238</v>
      </c>
      <c r="DD584" s="5" t="s">
        <v>356</v>
      </c>
      <c r="DE584" s="8">
        <f>0</f>
        <v>0</v>
      </c>
      <c r="DG584" s="5" t="s">
        <v>534</v>
      </c>
      <c r="DH584" s="5" t="s">
        <v>238</v>
      </c>
      <c r="DI584" s="5" t="s">
        <v>238</v>
      </c>
      <c r="DJ584" s="5" t="s">
        <v>238</v>
      </c>
      <c r="DN584" s="5" t="s">
        <v>238</v>
      </c>
      <c r="DO584" s="5" t="s">
        <v>238</v>
      </c>
      <c r="DP584" s="5" t="s">
        <v>238</v>
      </c>
      <c r="DQ584" s="5" t="s">
        <v>238</v>
      </c>
      <c r="DT584" s="5" t="s">
        <v>535</v>
      </c>
      <c r="DU584" s="5" t="s">
        <v>278</v>
      </c>
      <c r="HM584" s="5" t="s">
        <v>264</v>
      </c>
    </row>
    <row r="585" spans="1:221" x14ac:dyDescent="0.4">
      <c r="A585" s="5">
        <v>1447</v>
      </c>
      <c r="B585" s="5">
        <v>1</v>
      </c>
      <c r="C585" s="5">
        <v>1</v>
      </c>
      <c r="D585" s="5" t="s">
        <v>484</v>
      </c>
      <c r="E585" s="5" t="s">
        <v>485</v>
      </c>
      <c r="F585" s="5" t="s">
        <v>248</v>
      </c>
      <c r="G585" s="5" t="s">
        <v>531</v>
      </c>
      <c r="H585" s="6" t="s">
        <v>5376</v>
      </c>
      <c r="I585" s="7">
        <f>2201</f>
        <v>2201</v>
      </c>
      <c r="J585" s="5" t="s">
        <v>262</v>
      </c>
      <c r="K585" s="8">
        <f>24211</f>
        <v>24211</v>
      </c>
      <c r="L585" s="6" t="s">
        <v>242</v>
      </c>
      <c r="M585" s="5" t="s">
        <v>267</v>
      </c>
      <c r="N585" s="5" t="s">
        <v>237</v>
      </c>
      <c r="O585" s="5" t="s">
        <v>238</v>
      </c>
      <c r="P585" s="5" t="s">
        <v>238</v>
      </c>
      <c r="Q585" s="5" t="s">
        <v>239</v>
      </c>
      <c r="R585" s="5" t="s">
        <v>240</v>
      </c>
      <c r="S585" s="5" t="s">
        <v>238</v>
      </c>
      <c r="V585" s="5" t="s">
        <v>238</v>
      </c>
      <c r="X585" s="6" t="s">
        <v>238</v>
      </c>
      <c r="AA585" s="6" t="s">
        <v>243</v>
      </c>
      <c r="AB585" s="5" t="s">
        <v>238</v>
      </c>
      <c r="AC585" s="5" t="s">
        <v>244</v>
      </c>
      <c r="AD585" s="5" t="s">
        <v>245</v>
      </c>
      <c r="AT585" s="5" t="s">
        <v>246</v>
      </c>
      <c r="AU585" s="5" t="s">
        <v>238</v>
      </c>
      <c r="AV585" s="5" t="s">
        <v>247</v>
      </c>
      <c r="AW585" s="5" t="s">
        <v>238</v>
      </c>
      <c r="AX585" s="5" t="s">
        <v>249</v>
      </c>
      <c r="AY585" s="5" t="s">
        <v>238</v>
      </c>
      <c r="BA585" s="5" t="s">
        <v>238</v>
      </c>
      <c r="BC585" s="5" t="s">
        <v>250</v>
      </c>
      <c r="BD585" s="6" t="s">
        <v>243</v>
      </c>
      <c r="BE585" s="5" t="s">
        <v>251</v>
      </c>
      <c r="BF585" s="5" t="s">
        <v>252</v>
      </c>
      <c r="BG585" s="5" t="s">
        <v>238</v>
      </c>
      <c r="BH585" s="7">
        <f>0</f>
        <v>0</v>
      </c>
      <c r="BI585" s="8">
        <f>0</f>
        <v>0</v>
      </c>
      <c r="BJ585" s="5" t="s">
        <v>253</v>
      </c>
      <c r="BK585" s="5" t="s">
        <v>254</v>
      </c>
      <c r="BY585" s="5" t="s">
        <v>238</v>
      </c>
      <c r="BZ585" s="5" t="s">
        <v>238</v>
      </c>
      <c r="CD585" s="5" t="s">
        <v>255</v>
      </c>
      <c r="CE585" s="5" t="s">
        <v>256</v>
      </c>
      <c r="CF585" s="5" t="s">
        <v>238</v>
      </c>
      <c r="CI585" s="6" t="s">
        <v>257</v>
      </c>
      <c r="CJ585" s="5" t="s">
        <v>238</v>
      </c>
      <c r="CK585" s="5" t="s">
        <v>258</v>
      </c>
      <c r="CL585" s="5" t="s">
        <v>238</v>
      </c>
      <c r="CM585" s="5" t="s">
        <v>238</v>
      </c>
      <c r="CN585" s="5">
        <v>0</v>
      </c>
      <c r="CO585" s="5" t="s">
        <v>259</v>
      </c>
      <c r="CP585" s="5" t="s">
        <v>260</v>
      </c>
      <c r="CQ585" s="5" t="s">
        <v>260</v>
      </c>
      <c r="CR585" s="5" t="s">
        <v>261</v>
      </c>
      <c r="CU585" s="8">
        <f>24211</f>
        <v>24211</v>
      </c>
      <c r="CV585" s="8">
        <f>0</f>
        <v>0</v>
      </c>
      <c r="CX585" s="8">
        <f>0</f>
        <v>0</v>
      </c>
      <c r="CY585" s="8">
        <f>24211</f>
        <v>24211</v>
      </c>
      <c r="DA585" s="5" t="s">
        <v>533</v>
      </c>
      <c r="DB585" s="5" t="s">
        <v>238</v>
      </c>
      <c r="DD585" s="5" t="s">
        <v>356</v>
      </c>
      <c r="DE585" s="8">
        <f>0</f>
        <v>0</v>
      </c>
      <c r="DG585" s="5" t="s">
        <v>534</v>
      </c>
      <c r="DH585" s="5" t="s">
        <v>238</v>
      </c>
      <c r="DI585" s="5" t="s">
        <v>238</v>
      </c>
      <c r="DJ585" s="5" t="s">
        <v>238</v>
      </c>
      <c r="DN585" s="5" t="s">
        <v>238</v>
      </c>
      <c r="DO585" s="5" t="s">
        <v>238</v>
      </c>
      <c r="DP585" s="5" t="s">
        <v>238</v>
      </c>
      <c r="DQ585" s="5" t="s">
        <v>238</v>
      </c>
      <c r="DT585" s="5" t="s">
        <v>535</v>
      </c>
      <c r="DU585" s="5" t="s">
        <v>282</v>
      </c>
      <c r="HM585" s="5" t="s">
        <v>264</v>
      </c>
    </row>
    <row r="586" spans="1:221" x14ac:dyDescent="0.4">
      <c r="A586" s="5">
        <v>1448</v>
      </c>
      <c r="B586" s="5">
        <v>1</v>
      </c>
      <c r="C586" s="5">
        <v>1</v>
      </c>
      <c r="D586" s="5" t="s">
        <v>484</v>
      </c>
      <c r="E586" s="5" t="s">
        <v>485</v>
      </c>
      <c r="F586" s="5" t="s">
        <v>248</v>
      </c>
      <c r="G586" s="5" t="s">
        <v>531</v>
      </c>
      <c r="H586" s="6" t="s">
        <v>5379</v>
      </c>
      <c r="I586" s="7">
        <f>3951</f>
        <v>3951</v>
      </c>
      <c r="J586" s="5" t="s">
        <v>262</v>
      </c>
      <c r="K586" s="8">
        <f>43461</f>
        <v>43461</v>
      </c>
      <c r="L586" s="6" t="s">
        <v>242</v>
      </c>
      <c r="M586" s="5" t="s">
        <v>267</v>
      </c>
      <c r="N586" s="5" t="s">
        <v>237</v>
      </c>
      <c r="O586" s="5" t="s">
        <v>238</v>
      </c>
      <c r="P586" s="5" t="s">
        <v>238</v>
      </c>
      <c r="Q586" s="5" t="s">
        <v>239</v>
      </c>
      <c r="R586" s="5" t="s">
        <v>240</v>
      </c>
      <c r="S586" s="5" t="s">
        <v>238</v>
      </c>
      <c r="V586" s="5" t="s">
        <v>238</v>
      </c>
      <c r="X586" s="6" t="s">
        <v>238</v>
      </c>
      <c r="AA586" s="6" t="s">
        <v>243</v>
      </c>
      <c r="AB586" s="5" t="s">
        <v>238</v>
      </c>
      <c r="AC586" s="5" t="s">
        <v>244</v>
      </c>
      <c r="AD586" s="5" t="s">
        <v>245</v>
      </c>
      <c r="AT586" s="5" t="s">
        <v>246</v>
      </c>
      <c r="AU586" s="5" t="s">
        <v>238</v>
      </c>
      <c r="AV586" s="5" t="s">
        <v>247</v>
      </c>
      <c r="AW586" s="5" t="s">
        <v>238</v>
      </c>
      <c r="AX586" s="5" t="s">
        <v>249</v>
      </c>
      <c r="AY586" s="5" t="s">
        <v>238</v>
      </c>
      <c r="BA586" s="5" t="s">
        <v>238</v>
      </c>
      <c r="BC586" s="5" t="s">
        <v>250</v>
      </c>
      <c r="BD586" s="6" t="s">
        <v>243</v>
      </c>
      <c r="BE586" s="5" t="s">
        <v>251</v>
      </c>
      <c r="BF586" s="5" t="s">
        <v>252</v>
      </c>
      <c r="BG586" s="5" t="s">
        <v>238</v>
      </c>
      <c r="BH586" s="7">
        <f>0</f>
        <v>0</v>
      </c>
      <c r="BI586" s="8">
        <f>0</f>
        <v>0</v>
      </c>
      <c r="BJ586" s="5" t="s">
        <v>253</v>
      </c>
      <c r="BK586" s="5" t="s">
        <v>254</v>
      </c>
      <c r="BY586" s="5" t="s">
        <v>238</v>
      </c>
      <c r="BZ586" s="5" t="s">
        <v>238</v>
      </c>
      <c r="CD586" s="5" t="s">
        <v>255</v>
      </c>
      <c r="CE586" s="5" t="s">
        <v>256</v>
      </c>
      <c r="CF586" s="5" t="s">
        <v>238</v>
      </c>
      <c r="CI586" s="6" t="s">
        <v>257</v>
      </c>
      <c r="CJ586" s="5" t="s">
        <v>238</v>
      </c>
      <c r="CK586" s="5" t="s">
        <v>258</v>
      </c>
      <c r="CL586" s="5" t="s">
        <v>238</v>
      </c>
      <c r="CM586" s="5" t="s">
        <v>238</v>
      </c>
      <c r="CN586" s="5">
        <v>0</v>
      </c>
      <c r="CO586" s="5" t="s">
        <v>259</v>
      </c>
      <c r="CP586" s="5" t="s">
        <v>260</v>
      </c>
      <c r="CQ586" s="5" t="s">
        <v>260</v>
      </c>
      <c r="CR586" s="5" t="s">
        <v>261</v>
      </c>
      <c r="CU586" s="8">
        <f>43461</f>
        <v>43461</v>
      </c>
      <c r="CV586" s="8">
        <f>0</f>
        <v>0</v>
      </c>
      <c r="CX586" s="8">
        <f>0</f>
        <v>0</v>
      </c>
      <c r="CY586" s="8">
        <f>43461</f>
        <v>43461</v>
      </c>
      <c r="DA586" s="5" t="s">
        <v>533</v>
      </c>
      <c r="DB586" s="5" t="s">
        <v>238</v>
      </c>
      <c r="DD586" s="5" t="s">
        <v>356</v>
      </c>
      <c r="DE586" s="8">
        <f>0</f>
        <v>0</v>
      </c>
      <c r="DG586" s="5" t="s">
        <v>534</v>
      </c>
      <c r="DH586" s="5" t="s">
        <v>238</v>
      </c>
      <c r="DI586" s="5" t="s">
        <v>238</v>
      </c>
      <c r="DJ586" s="5" t="s">
        <v>238</v>
      </c>
      <c r="DN586" s="5" t="s">
        <v>238</v>
      </c>
      <c r="DO586" s="5" t="s">
        <v>238</v>
      </c>
      <c r="DP586" s="5" t="s">
        <v>238</v>
      </c>
      <c r="DQ586" s="5" t="s">
        <v>238</v>
      </c>
      <c r="DT586" s="5" t="s">
        <v>535</v>
      </c>
      <c r="DU586" s="5" t="s">
        <v>284</v>
      </c>
      <c r="HM586" s="5" t="s">
        <v>264</v>
      </c>
    </row>
    <row r="587" spans="1:221" x14ac:dyDescent="0.4">
      <c r="A587" s="5">
        <v>1449</v>
      </c>
      <c r="B587" s="5">
        <v>1</v>
      </c>
      <c r="C587" s="5">
        <v>1</v>
      </c>
      <c r="D587" s="5" t="s">
        <v>484</v>
      </c>
      <c r="E587" s="5" t="s">
        <v>485</v>
      </c>
      <c r="F587" s="5" t="s">
        <v>248</v>
      </c>
      <c r="G587" s="5" t="s">
        <v>531</v>
      </c>
      <c r="H587" s="6" t="s">
        <v>5330</v>
      </c>
      <c r="I587" s="7">
        <f>516</f>
        <v>516</v>
      </c>
      <c r="J587" s="5" t="s">
        <v>262</v>
      </c>
      <c r="K587" s="8">
        <f>5676</f>
        <v>5676</v>
      </c>
      <c r="L587" s="6" t="s">
        <v>242</v>
      </c>
      <c r="M587" s="5" t="s">
        <v>267</v>
      </c>
      <c r="N587" s="5" t="s">
        <v>237</v>
      </c>
      <c r="O587" s="5" t="s">
        <v>238</v>
      </c>
      <c r="P587" s="5" t="s">
        <v>238</v>
      </c>
      <c r="Q587" s="5" t="s">
        <v>239</v>
      </c>
      <c r="R587" s="5" t="s">
        <v>240</v>
      </c>
      <c r="S587" s="5" t="s">
        <v>238</v>
      </c>
      <c r="V587" s="5" t="s">
        <v>238</v>
      </c>
      <c r="X587" s="6" t="s">
        <v>238</v>
      </c>
      <c r="AA587" s="6" t="s">
        <v>243</v>
      </c>
      <c r="AB587" s="5" t="s">
        <v>238</v>
      </c>
      <c r="AC587" s="5" t="s">
        <v>244</v>
      </c>
      <c r="AD587" s="5" t="s">
        <v>245</v>
      </c>
      <c r="AT587" s="5" t="s">
        <v>246</v>
      </c>
      <c r="AU587" s="5" t="s">
        <v>238</v>
      </c>
      <c r="AV587" s="5" t="s">
        <v>247</v>
      </c>
      <c r="AW587" s="5" t="s">
        <v>238</v>
      </c>
      <c r="AX587" s="5" t="s">
        <v>249</v>
      </c>
      <c r="AY587" s="5" t="s">
        <v>238</v>
      </c>
      <c r="BA587" s="5" t="s">
        <v>238</v>
      </c>
      <c r="BC587" s="5" t="s">
        <v>250</v>
      </c>
      <c r="BD587" s="6" t="s">
        <v>243</v>
      </c>
      <c r="BE587" s="5" t="s">
        <v>251</v>
      </c>
      <c r="BF587" s="5" t="s">
        <v>252</v>
      </c>
      <c r="BG587" s="5" t="s">
        <v>238</v>
      </c>
      <c r="BH587" s="7">
        <f>0</f>
        <v>0</v>
      </c>
      <c r="BI587" s="8">
        <f>0</f>
        <v>0</v>
      </c>
      <c r="BJ587" s="5" t="s">
        <v>253</v>
      </c>
      <c r="BK587" s="5" t="s">
        <v>254</v>
      </c>
      <c r="BY587" s="5" t="s">
        <v>238</v>
      </c>
      <c r="BZ587" s="5" t="s">
        <v>238</v>
      </c>
      <c r="CD587" s="5" t="s">
        <v>255</v>
      </c>
      <c r="CE587" s="5" t="s">
        <v>256</v>
      </c>
      <c r="CF587" s="5" t="s">
        <v>238</v>
      </c>
      <c r="CI587" s="6" t="s">
        <v>257</v>
      </c>
      <c r="CJ587" s="5" t="s">
        <v>238</v>
      </c>
      <c r="CK587" s="5" t="s">
        <v>258</v>
      </c>
      <c r="CL587" s="5" t="s">
        <v>238</v>
      </c>
      <c r="CM587" s="5" t="s">
        <v>238</v>
      </c>
      <c r="CN587" s="5">
        <v>0</v>
      </c>
      <c r="CO587" s="5" t="s">
        <v>259</v>
      </c>
      <c r="CP587" s="5" t="s">
        <v>260</v>
      </c>
      <c r="CQ587" s="5" t="s">
        <v>260</v>
      </c>
      <c r="CR587" s="5" t="s">
        <v>261</v>
      </c>
      <c r="CU587" s="8">
        <f>5676</f>
        <v>5676</v>
      </c>
      <c r="CV587" s="8">
        <f>0</f>
        <v>0</v>
      </c>
      <c r="CX587" s="8">
        <f>0</f>
        <v>0</v>
      </c>
      <c r="CY587" s="8">
        <f>5676</f>
        <v>5676</v>
      </c>
      <c r="DA587" s="5" t="s">
        <v>533</v>
      </c>
      <c r="DB587" s="5" t="s">
        <v>238</v>
      </c>
      <c r="DD587" s="5" t="s">
        <v>356</v>
      </c>
      <c r="DE587" s="8">
        <f>0</f>
        <v>0</v>
      </c>
      <c r="DG587" s="5" t="s">
        <v>534</v>
      </c>
      <c r="DH587" s="5" t="s">
        <v>238</v>
      </c>
      <c r="DI587" s="5" t="s">
        <v>238</v>
      </c>
      <c r="DJ587" s="5" t="s">
        <v>238</v>
      </c>
      <c r="DN587" s="5" t="s">
        <v>238</v>
      </c>
      <c r="DO587" s="5" t="s">
        <v>238</v>
      </c>
      <c r="DP587" s="5" t="s">
        <v>238</v>
      </c>
      <c r="DQ587" s="5" t="s">
        <v>238</v>
      </c>
      <c r="DT587" s="5" t="s">
        <v>535</v>
      </c>
      <c r="DU587" s="5" t="s">
        <v>288</v>
      </c>
      <c r="HM587" s="5" t="s">
        <v>264</v>
      </c>
    </row>
    <row r="588" spans="1:221" x14ac:dyDescent="0.4">
      <c r="A588" s="5">
        <v>1450</v>
      </c>
      <c r="B588" s="5">
        <v>1</v>
      </c>
      <c r="C588" s="5">
        <v>1</v>
      </c>
      <c r="D588" s="5" t="s">
        <v>484</v>
      </c>
      <c r="E588" s="5" t="s">
        <v>485</v>
      </c>
      <c r="F588" s="5" t="s">
        <v>248</v>
      </c>
      <c r="G588" s="5" t="s">
        <v>531</v>
      </c>
      <c r="H588" s="6" t="s">
        <v>5331</v>
      </c>
      <c r="I588" s="7">
        <f>68</f>
        <v>68</v>
      </c>
      <c r="J588" s="5" t="s">
        <v>262</v>
      </c>
      <c r="K588" s="8">
        <f>748</f>
        <v>748</v>
      </c>
      <c r="L588" s="6" t="s">
        <v>242</v>
      </c>
      <c r="M588" s="5" t="s">
        <v>267</v>
      </c>
      <c r="N588" s="5" t="s">
        <v>237</v>
      </c>
      <c r="O588" s="5" t="s">
        <v>238</v>
      </c>
      <c r="P588" s="5" t="s">
        <v>238</v>
      </c>
      <c r="Q588" s="5" t="s">
        <v>239</v>
      </c>
      <c r="R588" s="5" t="s">
        <v>240</v>
      </c>
      <c r="S588" s="5" t="s">
        <v>238</v>
      </c>
      <c r="V588" s="5" t="s">
        <v>238</v>
      </c>
      <c r="X588" s="6" t="s">
        <v>238</v>
      </c>
      <c r="AA588" s="6" t="s">
        <v>243</v>
      </c>
      <c r="AB588" s="5" t="s">
        <v>238</v>
      </c>
      <c r="AC588" s="5" t="s">
        <v>244</v>
      </c>
      <c r="AD588" s="5" t="s">
        <v>245</v>
      </c>
      <c r="AT588" s="5" t="s">
        <v>246</v>
      </c>
      <c r="AU588" s="5" t="s">
        <v>238</v>
      </c>
      <c r="AV588" s="5" t="s">
        <v>247</v>
      </c>
      <c r="AW588" s="5" t="s">
        <v>238</v>
      </c>
      <c r="AX588" s="5" t="s">
        <v>249</v>
      </c>
      <c r="AY588" s="5" t="s">
        <v>238</v>
      </c>
      <c r="BA588" s="5" t="s">
        <v>238</v>
      </c>
      <c r="BC588" s="5" t="s">
        <v>250</v>
      </c>
      <c r="BD588" s="6" t="s">
        <v>243</v>
      </c>
      <c r="BE588" s="5" t="s">
        <v>251</v>
      </c>
      <c r="BF588" s="5" t="s">
        <v>252</v>
      </c>
      <c r="BG588" s="5" t="s">
        <v>238</v>
      </c>
      <c r="BH588" s="7">
        <f>0</f>
        <v>0</v>
      </c>
      <c r="BI588" s="8">
        <f>0</f>
        <v>0</v>
      </c>
      <c r="BJ588" s="5" t="s">
        <v>253</v>
      </c>
      <c r="BK588" s="5" t="s">
        <v>254</v>
      </c>
      <c r="BY588" s="5" t="s">
        <v>238</v>
      </c>
      <c r="BZ588" s="5" t="s">
        <v>238</v>
      </c>
      <c r="CD588" s="5" t="s">
        <v>255</v>
      </c>
      <c r="CE588" s="5" t="s">
        <v>256</v>
      </c>
      <c r="CF588" s="5" t="s">
        <v>238</v>
      </c>
      <c r="CI588" s="6" t="s">
        <v>257</v>
      </c>
      <c r="CJ588" s="5" t="s">
        <v>238</v>
      </c>
      <c r="CK588" s="5" t="s">
        <v>258</v>
      </c>
      <c r="CL588" s="5" t="s">
        <v>238</v>
      </c>
      <c r="CM588" s="5" t="s">
        <v>238</v>
      </c>
      <c r="CN588" s="5">
        <v>0</v>
      </c>
      <c r="CO588" s="5" t="s">
        <v>259</v>
      </c>
      <c r="CP588" s="5" t="s">
        <v>260</v>
      </c>
      <c r="CQ588" s="5" t="s">
        <v>260</v>
      </c>
      <c r="CR588" s="5" t="s">
        <v>261</v>
      </c>
      <c r="CU588" s="8">
        <f>748</f>
        <v>748</v>
      </c>
      <c r="CV588" s="8">
        <f>0</f>
        <v>0</v>
      </c>
      <c r="CX588" s="8">
        <f>0</f>
        <v>0</v>
      </c>
      <c r="CY588" s="8">
        <f>748</f>
        <v>748</v>
      </c>
      <c r="DA588" s="5" t="s">
        <v>533</v>
      </c>
      <c r="DB588" s="5" t="s">
        <v>238</v>
      </c>
      <c r="DD588" s="5" t="s">
        <v>533</v>
      </c>
      <c r="DE588" s="8">
        <f>68</f>
        <v>68</v>
      </c>
      <c r="DG588" s="5" t="s">
        <v>534</v>
      </c>
      <c r="DH588" s="5" t="s">
        <v>238</v>
      </c>
      <c r="DI588" s="5" t="s">
        <v>238</v>
      </c>
      <c r="DJ588" s="5" t="s">
        <v>238</v>
      </c>
      <c r="DN588" s="5" t="s">
        <v>238</v>
      </c>
      <c r="DO588" s="5" t="s">
        <v>238</v>
      </c>
      <c r="DP588" s="5" t="s">
        <v>238</v>
      </c>
      <c r="DQ588" s="5" t="s">
        <v>238</v>
      </c>
      <c r="DT588" s="5" t="s">
        <v>535</v>
      </c>
      <c r="DU588" s="5" t="s">
        <v>292</v>
      </c>
      <c r="HM588" s="5" t="s">
        <v>264</v>
      </c>
    </row>
    <row r="589" spans="1:221" x14ac:dyDescent="0.4">
      <c r="A589" s="5">
        <v>1451</v>
      </c>
      <c r="B589" s="5">
        <v>1</v>
      </c>
      <c r="C589" s="5">
        <v>1</v>
      </c>
      <c r="D589" s="5" t="s">
        <v>484</v>
      </c>
      <c r="E589" s="5" t="s">
        <v>485</v>
      </c>
      <c r="F589" s="5" t="s">
        <v>248</v>
      </c>
      <c r="G589" s="5" t="s">
        <v>531</v>
      </c>
      <c r="H589" s="6" t="s">
        <v>5335</v>
      </c>
      <c r="I589" s="7">
        <f>6605</f>
        <v>6605</v>
      </c>
      <c r="J589" s="5" t="s">
        <v>262</v>
      </c>
      <c r="K589" s="8">
        <f>72655</f>
        <v>72655</v>
      </c>
      <c r="L589" s="6" t="s">
        <v>242</v>
      </c>
      <c r="M589" s="5" t="s">
        <v>267</v>
      </c>
      <c r="N589" s="5" t="s">
        <v>237</v>
      </c>
      <c r="O589" s="5" t="s">
        <v>238</v>
      </c>
      <c r="P589" s="5" t="s">
        <v>238</v>
      </c>
      <c r="Q589" s="5" t="s">
        <v>239</v>
      </c>
      <c r="R589" s="5" t="s">
        <v>240</v>
      </c>
      <c r="S589" s="5" t="s">
        <v>238</v>
      </c>
      <c r="V589" s="5" t="s">
        <v>238</v>
      </c>
      <c r="X589" s="6" t="s">
        <v>238</v>
      </c>
      <c r="AA589" s="6" t="s">
        <v>243</v>
      </c>
      <c r="AB589" s="5" t="s">
        <v>238</v>
      </c>
      <c r="AC589" s="5" t="s">
        <v>244</v>
      </c>
      <c r="AD589" s="5" t="s">
        <v>245</v>
      </c>
      <c r="AT589" s="5" t="s">
        <v>246</v>
      </c>
      <c r="AU589" s="5" t="s">
        <v>238</v>
      </c>
      <c r="AV589" s="5" t="s">
        <v>247</v>
      </c>
      <c r="AW589" s="5" t="s">
        <v>238</v>
      </c>
      <c r="AX589" s="5" t="s">
        <v>249</v>
      </c>
      <c r="AY589" s="5" t="s">
        <v>238</v>
      </c>
      <c r="BA589" s="5" t="s">
        <v>238</v>
      </c>
      <c r="BC589" s="5" t="s">
        <v>250</v>
      </c>
      <c r="BD589" s="6" t="s">
        <v>243</v>
      </c>
      <c r="BE589" s="5" t="s">
        <v>251</v>
      </c>
      <c r="BF589" s="5" t="s">
        <v>252</v>
      </c>
      <c r="BG589" s="5" t="s">
        <v>238</v>
      </c>
      <c r="BH589" s="7">
        <f>0</f>
        <v>0</v>
      </c>
      <c r="BI589" s="8">
        <f>0</f>
        <v>0</v>
      </c>
      <c r="BJ589" s="5" t="s">
        <v>253</v>
      </c>
      <c r="BK589" s="5" t="s">
        <v>254</v>
      </c>
      <c r="BY589" s="5" t="s">
        <v>238</v>
      </c>
      <c r="BZ589" s="5" t="s">
        <v>238</v>
      </c>
      <c r="CD589" s="5" t="s">
        <v>255</v>
      </c>
      <c r="CE589" s="5" t="s">
        <v>256</v>
      </c>
      <c r="CF589" s="5" t="s">
        <v>238</v>
      </c>
      <c r="CI589" s="6" t="s">
        <v>257</v>
      </c>
      <c r="CJ589" s="5" t="s">
        <v>238</v>
      </c>
      <c r="CK589" s="5" t="s">
        <v>258</v>
      </c>
      <c r="CL589" s="5" t="s">
        <v>238</v>
      </c>
      <c r="CM589" s="5" t="s">
        <v>238</v>
      </c>
      <c r="CN589" s="5">
        <v>0</v>
      </c>
      <c r="CO589" s="5" t="s">
        <v>259</v>
      </c>
      <c r="CP589" s="5" t="s">
        <v>260</v>
      </c>
      <c r="CQ589" s="5" t="s">
        <v>260</v>
      </c>
      <c r="CR589" s="5" t="s">
        <v>261</v>
      </c>
      <c r="CU589" s="8">
        <f>72655</f>
        <v>72655</v>
      </c>
      <c r="CV589" s="8">
        <f>0</f>
        <v>0</v>
      </c>
      <c r="CX589" s="8">
        <f>0</f>
        <v>0</v>
      </c>
      <c r="CY589" s="8">
        <f>72655</f>
        <v>72655</v>
      </c>
      <c r="DA589" s="5" t="s">
        <v>533</v>
      </c>
      <c r="DB589" s="5" t="s">
        <v>238</v>
      </c>
      <c r="DD589" s="5" t="s">
        <v>356</v>
      </c>
      <c r="DE589" s="8">
        <f>0</f>
        <v>0</v>
      </c>
      <c r="DG589" s="5" t="s">
        <v>534</v>
      </c>
      <c r="DH589" s="5" t="s">
        <v>238</v>
      </c>
      <c r="DI589" s="5" t="s">
        <v>238</v>
      </c>
      <c r="DJ589" s="5" t="s">
        <v>238</v>
      </c>
      <c r="DN589" s="5" t="s">
        <v>238</v>
      </c>
      <c r="DO589" s="5" t="s">
        <v>238</v>
      </c>
      <c r="DP589" s="5" t="s">
        <v>238</v>
      </c>
      <c r="DQ589" s="5" t="s">
        <v>238</v>
      </c>
      <c r="DT589" s="5" t="s">
        <v>535</v>
      </c>
      <c r="DU589" s="5" t="s">
        <v>298</v>
      </c>
      <c r="HM589" s="5" t="s">
        <v>264</v>
      </c>
    </row>
    <row r="590" spans="1:221" x14ac:dyDescent="0.4">
      <c r="A590" s="5">
        <v>1452</v>
      </c>
      <c r="B590" s="5">
        <v>1</v>
      </c>
      <c r="C590" s="5">
        <v>1</v>
      </c>
      <c r="D590" s="5" t="s">
        <v>484</v>
      </c>
      <c r="E590" s="5" t="s">
        <v>485</v>
      </c>
      <c r="F590" s="5" t="s">
        <v>248</v>
      </c>
      <c r="G590" s="5" t="s">
        <v>531</v>
      </c>
      <c r="H590" s="6" t="s">
        <v>5351</v>
      </c>
      <c r="I590" s="7">
        <f>538</f>
        <v>538</v>
      </c>
      <c r="J590" s="5" t="s">
        <v>262</v>
      </c>
      <c r="K590" s="8">
        <f>5918</f>
        <v>5918</v>
      </c>
      <c r="L590" s="6" t="s">
        <v>242</v>
      </c>
      <c r="M590" s="5" t="s">
        <v>267</v>
      </c>
      <c r="N590" s="5" t="s">
        <v>237</v>
      </c>
      <c r="O590" s="5" t="s">
        <v>238</v>
      </c>
      <c r="P590" s="5" t="s">
        <v>238</v>
      </c>
      <c r="Q590" s="5" t="s">
        <v>239</v>
      </c>
      <c r="R590" s="5" t="s">
        <v>240</v>
      </c>
      <c r="S590" s="5" t="s">
        <v>238</v>
      </c>
      <c r="V590" s="5" t="s">
        <v>238</v>
      </c>
      <c r="X590" s="6" t="s">
        <v>238</v>
      </c>
      <c r="AA590" s="6" t="s">
        <v>243</v>
      </c>
      <c r="AB590" s="5" t="s">
        <v>238</v>
      </c>
      <c r="AC590" s="5" t="s">
        <v>244</v>
      </c>
      <c r="AD590" s="5" t="s">
        <v>245</v>
      </c>
      <c r="AT590" s="5" t="s">
        <v>246</v>
      </c>
      <c r="AU590" s="5" t="s">
        <v>238</v>
      </c>
      <c r="AV590" s="5" t="s">
        <v>247</v>
      </c>
      <c r="AW590" s="5" t="s">
        <v>238</v>
      </c>
      <c r="AX590" s="5" t="s">
        <v>249</v>
      </c>
      <c r="AY590" s="5" t="s">
        <v>238</v>
      </c>
      <c r="BA590" s="5" t="s">
        <v>238</v>
      </c>
      <c r="BC590" s="5" t="s">
        <v>250</v>
      </c>
      <c r="BD590" s="6" t="s">
        <v>243</v>
      </c>
      <c r="BE590" s="5" t="s">
        <v>251</v>
      </c>
      <c r="BF590" s="5" t="s">
        <v>252</v>
      </c>
      <c r="BG590" s="5" t="s">
        <v>238</v>
      </c>
      <c r="BH590" s="7">
        <f>0</f>
        <v>0</v>
      </c>
      <c r="BI590" s="8">
        <f>0</f>
        <v>0</v>
      </c>
      <c r="BJ590" s="5" t="s">
        <v>253</v>
      </c>
      <c r="BK590" s="5" t="s">
        <v>254</v>
      </c>
      <c r="BY590" s="5" t="s">
        <v>238</v>
      </c>
      <c r="BZ590" s="5" t="s">
        <v>238</v>
      </c>
      <c r="CD590" s="5" t="s">
        <v>255</v>
      </c>
      <c r="CE590" s="5" t="s">
        <v>256</v>
      </c>
      <c r="CF590" s="5" t="s">
        <v>238</v>
      </c>
      <c r="CI590" s="6" t="s">
        <v>257</v>
      </c>
      <c r="CJ590" s="5" t="s">
        <v>238</v>
      </c>
      <c r="CK590" s="5" t="s">
        <v>258</v>
      </c>
      <c r="CL590" s="5" t="s">
        <v>238</v>
      </c>
      <c r="CM590" s="5" t="s">
        <v>238</v>
      </c>
      <c r="CN590" s="5">
        <v>0</v>
      </c>
      <c r="CO590" s="5" t="s">
        <v>259</v>
      </c>
      <c r="CP590" s="5" t="s">
        <v>260</v>
      </c>
      <c r="CQ590" s="5" t="s">
        <v>260</v>
      </c>
      <c r="CR590" s="5" t="s">
        <v>261</v>
      </c>
      <c r="CU590" s="8">
        <f>5918</f>
        <v>5918</v>
      </c>
      <c r="CV590" s="8">
        <f>0</f>
        <v>0</v>
      </c>
      <c r="CX590" s="8">
        <f>0</f>
        <v>0</v>
      </c>
      <c r="CY590" s="8">
        <f>5918</f>
        <v>5918</v>
      </c>
      <c r="DA590" s="5" t="s">
        <v>533</v>
      </c>
      <c r="DB590" s="5" t="s">
        <v>238</v>
      </c>
      <c r="DD590" s="5" t="s">
        <v>356</v>
      </c>
      <c r="DE590" s="8">
        <f>538</f>
        <v>538</v>
      </c>
      <c r="DG590" s="5" t="s">
        <v>534</v>
      </c>
      <c r="DH590" s="5" t="s">
        <v>238</v>
      </c>
      <c r="DI590" s="5" t="s">
        <v>238</v>
      </c>
      <c r="DJ590" s="5" t="s">
        <v>238</v>
      </c>
      <c r="DN590" s="5" t="s">
        <v>238</v>
      </c>
      <c r="DO590" s="5" t="s">
        <v>238</v>
      </c>
      <c r="DP590" s="5" t="s">
        <v>238</v>
      </c>
      <c r="DQ590" s="5" t="s">
        <v>238</v>
      </c>
      <c r="DT590" s="5" t="s">
        <v>535</v>
      </c>
      <c r="DU590" s="5" t="s">
        <v>300</v>
      </c>
      <c r="HM590" s="5" t="s">
        <v>264</v>
      </c>
    </row>
    <row r="591" spans="1:221" x14ac:dyDescent="0.4">
      <c r="A591" s="5">
        <v>1453</v>
      </c>
      <c r="B591" s="5">
        <v>1</v>
      </c>
      <c r="C591" s="5">
        <v>1</v>
      </c>
      <c r="D591" s="5" t="s">
        <v>484</v>
      </c>
      <c r="E591" s="5" t="s">
        <v>485</v>
      </c>
      <c r="F591" s="5" t="s">
        <v>248</v>
      </c>
      <c r="G591" s="5" t="s">
        <v>531</v>
      </c>
      <c r="H591" s="6" t="s">
        <v>5359</v>
      </c>
      <c r="I591" s="7">
        <f>855</f>
        <v>855</v>
      </c>
      <c r="J591" s="5" t="s">
        <v>262</v>
      </c>
      <c r="K591" s="8">
        <f>9405</f>
        <v>9405</v>
      </c>
      <c r="L591" s="6" t="s">
        <v>242</v>
      </c>
      <c r="M591" s="5" t="s">
        <v>267</v>
      </c>
      <c r="N591" s="5" t="s">
        <v>237</v>
      </c>
      <c r="O591" s="5" t="s">
        <v>238</v>
      </c>
      <c r="P591" s="5" t="s">
        <v>238</v>
      </c>
      <c r="Q591" s="5" t="s">
        <v>239</v>
      </c>
      <c r="R591" s="5" t="s">
        <v>240</v>
      </c>
      <c r="S591" s="5" t="s">
        <v>238</v>
      </c>
      <c r="V591" s="5" t="s">
        <v>238</v>
      </c>
      <c r="X591" s="6" t="s">
        <v>238</v>
      </c>
      <c r="AA591" s="6" t="s">
        <v>243</v>
      </c>
      <c r="AB591" s="5" t="s">
        <v>238</v>
      </c>
      <c r="AC591" s="5" t="s">
        <v>244</v>
      </c>
      <c r="AD591" s="5" t="s">
        <v>245</v>
      </c>
      <c r="AT591" s="5" t="s">
        <v>246</v>
      </c>
      <c r="AU591" s="5" t="s">
        <v>238</v>
      </c>
      <c r="AV591" s="5" t="s">
        <v>247</v>
      </c>
      <c r="AW591" s="5" t="s">
        <v>238</v>
      </c>
      <c r="AX591" s="5" t="s">
        <v>249</v>
      </c>
      <c r="AY591" s="5" t="s">
        <v>238</v>
      </c>
      <c r="BA591" s="5" t="s">
        <v>238</v>
      </c>
      <c r="BC591" s="5" t="s">
        <v>250</v>
      </c>
      <c r="BD591" s="6" t="s">
        <v>243</v>
      </c>
      <c r="BE591" s="5" t="s">
        <v>251</v>
      </c>
      <c r="BF591" s="5" t="s">
        <v>252</v>
      </c>
      <c r="BG591" s="5" t="s">
        <v>238</v>
      </c>
      <c r="BH591" s="7">
        <f>0</f>
        <v>0</v>
      </c>
      <c r="BI591" s="8">
        <f>0</f>
        <v>0</v>
      </c>
      <c r="BJ591" s="5" t="s">
        <v>253</v>
      </c>
      <c r="BK591" s="5" t="s">
        <v>254</v>
      </c>
      <c r="BY591" s="5" t="s">
        <v>238</v>
      </c>
      <c r="BZ591" s="5" t="s">
        <v>238</v>
      </c>
      <c r="CD591" s="5" t="s">
        <v>255</v>
      </c>
      <c r="CE591" s="5" t="s">
        <v>256</v>
      </c>
      <c r="CF591" s="5" t="s">
        <v>238</v>
      </c>
      <c r="CI591" s="6" t="s">
        <v>257</v>
      </c>
      <c r="CJ591" s="5" t="s">
        <v>238</v>
      </c>
      <c r="CK591" s="5" t="s">
        <v>258</v>
      </c>
      <c r="CL591" s="5" t="s">
        <v>238</v>
      </c>
      <c r="CM591" s="5" t="s">
        <v>238</v>
      </c>
      <c r="CN591" s="5">
        <v>0</v>
      </c>
      <c r="CO591" s="5" t="s">
        <v>259</v>
      </c>
      <c r="CP591" s="5" t="s">
        <v>260</v>
      </c>
      <c r="CQ591" s="5" t="s">
        <v>260</v>
      </c>
      <c r="CR591" s="5" t="s">
        <v>261</v>
      </c>
      <c r="CU591" s="8">
        <f>9405</f>
        <v>9405</v>
      </c>
      <c r="CV591" s="8">
        <f>0</f>
        <v>0</v>
      </c>
      <c r="CX591" s="8">
        <f>0</f>
        <v>0</v>
      </c>
      <c r="CY591" s="8">
        <f>9405</f>
        <v>9405</v>
      </c>
      <c r="DA591" s="5" t="s">
        <v>533</v>
      </c>
      <c r="DB591" s="5" t="s">
        <v>238</v>
      </c>
      <c r="DD591" s="5" t="s">
        <v>356</v>
      </c>
      <c r="DE591" s="8">
        <f>0</f>
        <v>0</v>
      </c>
      <c r="DG591" s="5" t="s">
        <v>534</v>
      </c>
      <c r="DH591" s="5" t="s">
        <v>238</v>
      </c>
      <c r="DI591" s="5" t="s">
        <v>238</v>
      </c>
      <c r="DJ591" s="5" t="s">
        <v>238</v>
      </c>
      <c r="DN591" s="5" t="s">
        <v>238</v>
      </c>
      <c r="DO591" s="5" t="s">
        <v>238</v>
      </c>
      <c r="DP591" s="5" t="s">
        <v>238</v>
      </c>
      <c r="DQ591" s="5" t="s">
        <v>238</v>
      </c>
      <c r="DT591" s="5" t="s">
        <v>535</v>
      </c>
      <c r="DU591" s="5" t="s">
        <v>304</v>
      </c>
      <c r="HM591" s="5" t="s">
        <v>264</v>
      </c>
    </row>
    <row r="592" spans="1:221" x14ac:dyDescent="0.4">
      <c r="A592" s="5">
        <v>1454</v>
      </c>
      <c r="B592" s="5">
        <v>1</v>
      </c>
      <c r="C592" s="5">
        <v>1</v>
      </c>
      <c r="D592" s="5" t="s">
        <v>484</v>
      </c>
      <c r="E592" s="5" t="s">
        <v>485</v>
      </c>
      <c r="F592" s="5" t="s">
        <v>248</v>
      </c>
      <c r="G592" s="5" t="s">
        <v>531</v>
      </c>
      <c r="H592" s="6" t="s">
        <v>5372</v>
      </c>
      <c r="I592" s="7">
        <f>2863</f>
        <v>2863</v>
      </c>
      <c r="J592" s="5" t="s">
        <v>262</v>
      </c>
      <c r="K592" s="8">
        <f>31493</f>
        <v>31493</v>
      </c>
      <c r="L592" s="6" t="s">
        <v>242</v>
      </c>
      <c r="M592" s="5" t="s">
        <v>267</v>
      </c>
      <c r="N592" s="5" t="s">
        <v>237</v>
      </c>
      <c r="O592" s="5" t="s">
        <v>238</v>
      </c>
      <c r="P592" s="5" t="s">
        <v>238</v>
      </c>
      <c r="Q592" s="5" t="s">
        <v>239</v>
      </c>
      <c r="R592" s="5" t="s">
        <v>240</v>
      </c>
      <c r="S592" s="5" t="s">
        <v>238</v>
      </c>
      <c r="V592" s="5" t="s">
        <v>238</v>
      </c>
      <c r="X592" s="6" t="s">
        <v>238</v>
      </c>
      <c r="AA592" s="6" t="s">
        <v>243</v>
      </c>
      <c r="AB592" s="5" t="s">
        <v>238</v>
      </c>
      <c r="AC592" s="5" t="s">
        <v>244</v>
      </c>
      <c r="AD592" s="5" t="s">
        <v>245</v>
      </c>
      <c r="AT592" s="5" t="s">
        <v>246</v>
      </c>
      <c r="AU592" s="5" t="s">
        <v>238</v>
      </c>
      <c r="AV592" s="5" t="s">
        <v>247</v>
      </c>
      <c r="AW592" s="5" t="s">
        <v>238</v>
      </c>
      <c r="AX592" s="5" t="s">
        <v>249</v>
      </c>
      <c r="AY592" s="5" t="s">
        <v>238</v>
      </c>
      <c r="BA592" s="5" t="s">
        <v>238</v>
      </c>
      <c r="BC592" s="5" t="s">
        <v>250</v>
      </c>
      <c r="BD592" s="6" t="s">
        <v>243</v>
      </c>
      <c r="BE592" s="5" t="s">
        <v>251</v>
      </c>
      <c r="BF592" s="5" t="s">
        <v>252</v>
      </c>
      <c r="BG592" s="5" t="s">
        <v>238</v>
      </c>
      <c r="BH592" s="7">
        <f>0</f>
        <v>0</v>
      </c>
      <c r="BI592" s="8">
        <f>0</f>
        <v>0</v>
      </c>
      <c r="BJ592" s="5" t="s">
        <v>253</v>
      </c>
      <c r="BK592" s="5" t="s">
        <v>254</v>
      </c>
      <c r="BY592" s="5" t="s">
        <v>238</v>
      </c>
      <c r="BZ592" s="5" t="s">
        <v>238</v>
      </c>
      <c r="CD592" s="5" t="s">
        <v>255</v>
      </c>
      <c r="CE592" s="5" t="s">
        <v>256</v>
      </c>
      <c r="CF592" s="5" t="s">
        <v>238</v>
      </c>
      <c r="CI592" s="6" t="s">
        <v>257</v>
      </c>
      <c r="CJ592" s="5" t="s">
        <v>238</v>
      </c>
      <c r="CK592" s="5" t="s">
        <v>258</v>
      </c>
      <c r="CL592" s="5" t="s">
        <v>238</v>
      </c>
      <c r="CM592" s="5" t="s">
        <v>238</v>
      </c>
      <c r="CN592" s="5">
        <v>0</v>
      </c>
      <c r="CO592" s="5" t="s">
        <v>259</v>
      </c>
      <c r="CP592" s="5" t="s">
        <v>260</v>
      </c>
      <c r="CQ592" s="5" t="s">
        <v>260</v>
      </c>
      <c r="CR592" s="5" t="s">
        <v>261</v>
      </c>
      <c r="CU592" s="8">
        <f>31493</f>
        <v>31493</v>
      </c>
      <c r="CV592" s="8">
        <f>0</f>
        <v>0</v>
      </c>
      <c r="CX592" s="8">
        <f>0</f>
        <v>0</v>
      </c>
      <c r="CY592" s="8">
        <f>31493</f>
        <v>31493</v>
      </c>
      <c r="DA592" s="5" t="s">
        <v>533</v>
      </c>
      <c r="DB592" s="5" t="s">
        <v>238</v>
      </c>
      <c r="DD592" s="5" t="s">
        <v>356</v>
      </c>
      <c r="DE592" s="8">
        <f>0</f>
        <v>0</v>
      </c>
      <c r="DG592" s="5" t="s">
        <v>534</v>
      </c>
      <c r="DH592" s="5" t="s">
        <v>238</v>
      </c>
      <c r="DI592" s="5" t="s">
        <v>238</v>
      </c>
      <c r="DJ592" s="5" t="s">
        <v>238</v>
      </c>
      <c r="DN592" s="5" t="s">
        <v>238</v>
      </c>
      <c r="DO592" s="5" t="s">
        <v>238</v>
      </c>
      <c r="DP592" s="5" t="s">
        <v>238</v>
      </c>
      <c r="DQ592" s="5" t="s">
        <v>238</v>
      </c>
      <c r="DT592" s="5" t="s">
        <v>535</v>
      </c>
      <c r="DU592" s="5" t="s">
        <v>308</v>
      </c>
      <c r="HM592" s="5" t="s">
        <v>264</v>
      </c>
    </row>
    <row r="593" spans="1:221" x14ac:dyDescent="0.4">
      <c r="A593" s="5">
        <v>1455</v>
      </c>
      <c r="B593" s="5">
        <v>1</v>
      </c>
      <c r="C593" s="5">
        <v>1</v>
      </c>
      <c r="D593" s="5" t="s">
        <v>484</v>
      </c>
      <c r="E593" s="5" t="s">
        <v>485</v>
      </c>
      <c r="F593" s="5" t="s">
        <v>248</v>
      </c>
      <c r="G593" s="5" t="s">
        <v>531</v>
      </c>
      <c r="H593" s="6" t="s">
        <v>5381</v>
      </c>
      <c r="I593" s="7">
        <f>2390</f>
        <v>2390</v>
      </c>
      <c r="J593" s="5" t="s">
        <v>262</v>
      </c>
      <c r="K593" s="8">
        <f>26290</f>
        <v>26290</v>
      </c>
      <c r="L593" s="6" t="s">
        <v>242</v>
      </c>
      <c r="M593" s="5" t="s">
        <v>267</v>
      </c>
      <c r="N593" s="5" t="s">
        <v>237</v>
      </c>
      <c r="O593" s="5" t="s">
        <v>238</v>
      </c>
      <c r="P593" s="5" t="s">
        <v>238</v>
      </c>
      <c r="Q593" s="5" t="s">
        <v>239</v>
      </c>
      <c r="R593" s="5" t="s">
        <v>240</v>
      </c>
      <c r="S593" s="5" t="s">
        <v>238</v>
      </c>
      <c r="V593" s="5" t="s">
        <v>238</v>
      </c>
      <c r="X593" s="6" t="s">
        <v>238</v>
      </c>
      <c r="AA593" s="6" t="s">
        <v>243</v>
      </c>
      <c r="AB593" s="5" t="s">
        <v>238</v>
      </c>
      <c r="AC593" s="5" t="s">
        <v>244</v>
      </c>
      <c r="AD593" s="5" t="s">
        <v>245</v>
      </c>
      <c r="AT593" s="5" t="s">
        <v>246</v>
      </c>
      <c r="AU593" s="5" t="s">
        <v>238</v>
      </c>
      <c r="AV593" s="5" t="s">
        <v>247</v>
      </c>
      <c r="AW593" s="5" t="s">
        <v>238</v>
      </c>
      <c r="AX593" s="5" t="s">
        <v>249</v>
      </c>
      <c r="AY593" s="5" t="s">
        <v>238</v>
      </c>
      <c r="BA593" s="5" t="s">
        <v>238</v>
      </c>
      <c r="BC593" s="5" t="s">
        <v>250</v>
      </c>
      <c r="BD593" s="6" t="s">
        <v>243</v>
      </c>
      <c r="BE593" s="5" t="s">
        <v>251</v>
      </c>
      <c r="BF593" s="5" t="s">
        <v>252</v>
      </c>
      <c r="BG593" s="5" t="s">
        <v>238</v>
      </c>
      <c r="BH593" s="7">
        <f>0</f>
        <v>0</v>
      </c>
      <c r="BI593" s="8">
        <f>0</f>
        <v>0</v>
      </c>
      <c r="BJ593" s="5" t="s">
        <v>253</v>
      </c>
      <c r="BK593" s="5" t="s">
        <v>254</v>
      </c>
      <c r="BY593" s="5" t="s">
        <v>238</v>
      </c>
      <c r="BZ593" s="5" t="s">
        <v>238</v>
      </c>
      <c r="CD593" s="5" t="s">
        <v>255</v>
      </c>
      <c r="CE593" s="5" t="s">
        <v>256</v>
      </c>
      <c r="CF593" s="5" t="s">
        <v>238</v>
      </c>
      <c r="CI593" s="6" t="s">
        <v>257</v>
      </c>
      <c r="CJ593" s="5" t="s">
        <v>238</v>
      </c>
      <c r="CK593" s="5" t="s">
        <v>258</v>
      </c>
      <c r="CL593" s="5" t="s">
        <v>238</v>
      </c>
      <c r="CM593" s="5" t="s">
        <v>238</v>
      </c>
      <c r="CN593" s="5">
        <v>0</v>
      </c>
      <c r="CO593" s="5" t="s">
        <v>259</v>
      </c>
      <c r="CP593" s="5" t="s">
        <v>260</v>
      </c>
      <c r="CQ593" s="5" t="s">
        <v>260</v>
      </c>
      <c r="CR593" s="5" t="s">
        <v>261</v>
      </c>
      <c r="CU593" s="8">
        <f>26290</f>
        <v>26290</v>
      </c>
      <c r="CV593" s="8">
        <f>0</f>
        <v>0</v>
      </c>
      <c r="CX593" s="8">
        <f>0</f>
        <v>0</v>
      </c>
      <c r="CY593" s="8">
        <f>26290</f>
        <v>26290</v>
      </c>
      <c r="DA593" s="5" t="s">
        <v>533</v>
      </c>
      <c r="DB593" s="5" t="s">
        <v>238</v>
      </c>
      <c r="DD593" s="5" t="s">
        <v>356</v>
      </c>
      <c r="DE593" s="8">
        <f>0</f>
        <v>0</v>
      </c>
      <c r="DG593" s="5" t="s">
        <v>534</v>
      </c>
      <c r="DH593" s="5" t="s">
        <v>238</v>
      </c>
      <c r="DI593" s="5" t="s">
        <v>238</v>
      </c>
      <c r="DJ593" s="5" t="s">
        <v>238</v>
      </c>
      <c r="DN593" s="5" t="s">
        <v>238</v>
      </c>
      <c r="DO593" s="5" t="s">
        <v>238</v>
      </c>
      <c r="DP593" s="5" t="s">
        <v>238</v>
      </c>
      <c r="DQ593" s="5" t="s">
        <v>238</v>
      </c>
      <c r="DT593" s="5" t="s">
        <v>535</v>
      </c>
      <c r="DU593" s="5" t="s">
        <v>312</v>
      </c>
      <c r="HM593" s="5" t="s">
        <v>264</v>
      </c>
    </row>
    <row r="594" spans="1:221" x14ac:dyDescent="0.4">
      <c r="A594" s="5">
        <v>1456</v>
      </c>
      <c r="B594" s="5">
        <v>1</v>
      </c>
      <c r="C594" s="5">
        <v>1</v>
      </c>
      <c r="D594" s="5" t="s">
        <v>484</v>
      </c>
      <c r="E594" s="5" t="s">
        <v>485</v>
      </c>
      <c r="F594" s="5" t="s">
        <v>248</v>
      </c>
      <c r="G594" s="5" t="s">
        <v>531</v>
      </c>
      <c r="H594" s="6" t="s">
        <v>5384</v>
      </c>
      <c r="I594" s="7">
        <f>2326</f>
        <v>2326</v>
      </c>
      <c r="J594" s="5" t="s">
        <v>262</v>
      </c>
      <c r="K594" s="8">
        <f>25586</f>
        <v>25586</v>
      </c>
      <c r="L594" s="6" t="s">
        <v>242</v>
      </c>
      <c r="M594" s="5" t="s">
        <v>267</v>
      </c>
      <c r="N594" s="5" t="s">
        <v>237</v>
      </c>
      <c r="O594" s="5" t="s">
        <v>238</v>
      </c>
      <c r="P594" s="5" t="s">
        <v>238</v>
      </c>
      <c r="Q594" s="5" t="s">
        <v>239</v>
      </c>
      <c r="R594" s="5" t="s">
        <v>240</v>
      </c>
      <c r="S594" s="5" t="s">
        <v>238</v>
      </c>
      <c r="V594" s="5" t="s">
        <v>238</v>
      </c>
      <c r="X594" s="6" t="s">
        <v>238</v>
      </c>
      <c r="AA594" s="6" t="s">
        <v>243</v>
      </c>
      <c r="AB594" s="5" t="s">
        <v>238</v>
      </c>
      <c r="AC594" s="5" t="s">
        <v>244</v>
      </c>
      <c r="AD594" s="5" t="s">
        <v>245</v>
      </c>
      <c r="AT594" s="5" t="s">
        <v>246</v>
      </c>
      <c r="AU594" s="5" t="s">
        <v>238</v>
      </c>
      <c r="AV594" s="5" t="s">
        <v>247</v>
      </c>
      <c r="AW594" s="5" t="s">
        <v>238</v>
      </c>
      <c r="AX594" s="5" t="s">
        <v>249</v>
      </c>
      <c r="AY594" s="5" t="s">
        <v>238</v>
      </c>
      <c r="BA594" s="5" t="s">
        <v>238</v>
      </c>
      <c r="BC594" s="5" t="s">
        <v>250</v>
      </c>
      <c r="BD594" s="6" t="s">
        <v>243</v>
      </c>
      <c r="BE594" s="5" t="s">
        <v>251</v>
      </c>
      <c r="BF594" s="5" t="s">
        <v>252</v>
      </c>
      <c r="BG594" s="5" t="s">
        <v>238</v>
      </c>
      <c r="BH594" s="7">
        <f>0</f>
        <v>0</v>
      </c>
      <c r="BI594" s="8">
        <f>0</f>
        <v>0</v>
      </c>
      <c r="BJ594" s="5" t="s">
        <v>253</v>
      </c>
      <c r="BK594" s="5" t="s">
        <v>254</v>
      </c>
      <c r="BY594" s="5" t="s">
        <v>238</v>
      </c>
      <c r="BZ594" s="5" t="s">
        <v>238</v>
      </c>
      <c r="CD594" s="5" t="s">
        <v>255</v>
      </c>
      <c r="CE594" s="5" t="s">
        <v>256</v>
      </c>
      <c r="CF594" s="5" t="s">
        <v>238</v>
      </c>
      <c r="CI594" s="6" t="s">
        <v>257</v>
      </c>
      <c r="CJ594" s="5" t="s">
        <v>238</v>
      </c>
      <c r="CK594" s="5" t="s">
        <v>258</v>
      </c>
      <c r="CL594" s="5" t="s">
        <v>238</v>
      </c>
      <c r="CM594" s="5" t="s">
        <v>238</v>
      </c>
      <c r="CN594" s="5">
        <v>0</v>
      </c>
      <c r="CO594" s="5" t="s">
        <v>259</v>
      </c>
      <c r="CP594" s="5" t="s">
        <v>260</v>
      </c>
      <c r="CQ594" s="5" t="s">
        <v>260</v>
      </c>
      <c r="CR594" s="5" t="s">
        <v>261</v>
      </c>
      <c r="CU594" s="8">
        <f>25586</f>
        <v>25586</v>
      </c>
      <c r="CV594" s="8">
        <f>0</f>
        <v>0</v>
      </c>
      <c r="CX594" s="8">
        <f>0</f>
        <v>0</v>
      </c>
      <c r="CY594" s="8">
        <f>25586</f>
        <v>25586</v>
      </c>
      <c r="DA594" s="5" t="s">
        <v>533</v>
      </c>
      <c r="DB594" s="5" t="s">
        <v>238</v>
      </c>
      <c r="DD594" s="5" t="s">
        <v>356</v>
      </c>
      <c r="DE594" s="8">
        <f>0</f>
        <v>0</v>
      </c>
      <c r="DG594" s="5" t="s">
        <v>534</v>
      </c>
      <c r="DH594" s="5" t="s">
        <v>238</v>
      </c>
      <c r="DI594" s="5" t="s">
        <v>238</v>
      </c>
      <c r="DJ594" s="5" t="s">
        <v>238</v>
      </c>
      <c r="DN594" s="5" t="s">
        <v>238</v>
      </c>
      <c r="DO594" s="5" t="s">
        <v>238</v>
      </c>
      <c r="DP594" s="5" t="s">
        <v>238</v>
      </c>
      <c r="DQ594" s="5" t="s">
        <v>238</v>
      </c>
      <c r="DT594" s="5" t="s">
        <v>535</v>
      </c>
      <c r="DU594" s="5" t="s">
        <v>314</v>
      </c>
      <c r="HM594" s="5" t="s">
        <v>264</v>
      </c>
    </row>
    <row r="595" spans="1:221" x14ac:dyDescent="0.4">
      <c r="A595" s="5">
        <v>1457</v>
      </c>
      <c r="B595" s="5">
        <v>1</v>
      </c>
      <c r="C595" s="5">
        <v>1</v>
      </c>
      <c r="D595" s="5" t="s">
        <v>484</v>
      </c>
      <c r="E595" s="5" t="s">
        <v>485</v>
      </c>
      <c r="F595" s="5" t="s">
        <v>248</v>
      </c>
      <c r="G595" s="5" t="s">
        <v>531</v>
      </c>
      <c r="H595" s="6" t="s">
        <v>5387</v>
      </c>
      <c r="I595" s="7">
        <f>835</f>
        <v>835</v>
      </c>
      <c r="J595" s="5" t="s">
        <v>262</v>
      </c>
      <c r="K595" s="8">
        <f>9185</f>
        <v>9185</v>
      </c>
      <c r="L595" s="6" t="s">
        <v>242</v>
      </c>
      <c r="M595" s="5" t="s">
        <v>267</v>
      </c>
      <c r="N595" s="5" t="s">
        <v>237</v>
      </c>
      <c r="O595" s="5" t="s">
        <v>238</v>
      </c>
      <c r="P595" s="5" t="s">
        <v>238</v>
      </c>
      <c r="Q595" s="5" t="s">
        <v>239</v>
      </c>
      <c r="R595" s="5" t="s">
        <v>240</v>
      </c>
      <c r="S595" s="5" t="s">
        <v>238</v>
      </c>
      <c r="V595" s="5" t="s">
        <v>238</v>
      </c>
      <c r="X595" s="6" t="s">
        <v>238</v>
      </c>
      <c r="AA595" s="6" t="s">
        <v>243</v>
      </c>
      <c r="AB595" s="5" t="s">
        <v>238</v>
      </c>
      <c r="AC595" s="5" t="s">
        <v>244</v>
      </c>
      <c r="AD595" s="5" t="s">
        <v>245</v>
      </c>
      <c r="AT595" s="5" t="s">
        <v>246</v>
      </c>
      <c r="AU595" s="5" t="s">
        <v>238</v>
      </c>
      <c r="AV595" s="5" t="s">
        <v>247</v>
      </c>
      <c r="AW595" s="5" t="s">
        <v>238</v>
      </c>
      <c r="AX595" s="5" t="s">
        <v>249</v>
      </c>
      <c r="AY595" s="5" t="s">
        <v>238</v>
      </c>
      <c r="BA595" s="5" t="s">
        <v>238</v>
      </c>
      <c r="BC595" s="5" t="s">
        <v>250</v>
      </c>
      <c r="BD595" s="6" t="s">
        <v>243</v>
      </c>
      <c r="BE595" s="5" t="s">
        <v>251</v>
      </c>
      <c r="BF595" s="5" t="s">
        <v>252</v>
      </c>
      <c r="BG595" s="5" t="s">
        <v>238</v>
      </c>
      <c r="BH595" s="7">
        <f>0</f>
        <v>0</v>
      </c>
      <c r="BI595" s="8">
        <f>0</f>
        <v>0</v>
      </c>
      <c r="BJ595" s="5" t="s">
        <v>253</v>
      </c>
      <c r="BK595" s="5" t="s">
        <v>254</v>
      </c>
      <c r="BY595" s="5" t="s">
        <v>238</v>
      </c>
      <c r="BZ595" s="5" t="s">
        <v>238</v>
      </c>
      <c r="CD595" s="5" t="s">
        <v>255</v>
      </c>
      <c r="CE595" s="5" t="s">
        <v>256</v>
      </c>
      <c r="CF595" s="5" t="s">
        <v>238</v>
      </c>
      <c r="CI595" s="6" t="s">
        <v>257</v>
      </c>
      <c r="CJ595" s="5" t="s">
        <v>238</v>
      </c>
      <c r="CK595" s="5" t="s">
        <v>258</v>
      </c>
      <c r="CL595" s="5" t="s">
        <v>238</v>
      </c>
      <c r="CM595" s="5" t="s">
        <v>238</v>
      </c>
      <c r="CN595" s="5">
        <v>0</v>
      </c>
      <c r="CO595" s="5" t="s">
        <v>259</v>
      </c>
      <c r="CP595" s="5" t="s">
        <v>260</v>
      </c>
      <c r="CQ595" s="5" t="s">
        <v>260</v>
      </c>
      <c r="CR595" s="5" t="s">
        <v>261</v>
      </c>
      <c r="CU595" s="8">
        <f>9185</f>
        <v>9185</v>
      </c>
      <c r="CV595" s="8">
        <f>0</f>
        <v>0</v>
      </c>
      <c r="CX595" s="8">
        <f>0</f>
        <v>0</v>
      </c>
      <c r="CY595" s="8">
        <f>9185</f>
        <v>9185</v>
      </c>
      <c r="DA595" s="5" t="s">
        <v>533</v>
      </c>
      <c r="DB595" s="5" t="s">
        <v>238</v>
      </c>
      <c r="DD595" s="5" t="s">
        <v>356</v>
      </c>
      <c r="DE595" s="8">
        <f>0</f>
        <v>0</v>
      </c>
      <c r="DG595" s="5" t="s">
        <v>534</v>
      </c>
      <c r="DH595" s="5" t="s">
        <v>238</v>
      </c>
      <c r="DI595" s="5" t="s">
        <v>238</v>
      </c>
      <c r="DJ595" s="5" t="s">
        <v>238</v>
      </c>
      <c r="DN595" s="5" t="s">
        <v>238</v>
      </c>
      <c r="DO595" s="5" t="s">
        <v>238</v>
      </c>
      <c r="DP595" s="5" t="s">
        <v>238</v>
      </c>
      <c r="DQ595" s="5" t="s">
        <v>238</v>
      </c>
      <c r="DT595" s="5" t="s">
        <v>535</v>
      </c>
      <c r="DU595" s="5" t="s">
        <v>316</v>
      </c>
      <c r="HM595" s="5" t="s">
        <v>264</v>
      </c>
    </row>
    <row r="596" spans="1:221" x14ac:dyDescent="0.4">
      <c r="A596" s="5">
        <v>1458</v>
      </c>
      <c r="B596" s="5">
        <v>1</v>
      </c>
      <c r="C596" s="5">
        <v>1</v>
      </c>
      <c r="D596" s="5" t="s">
        <v>484</v>
      </c>
      <c r="E596" s="5" t="s">
        <v>485</v>
      </c>
      <c r="F596" s="5" t="s">
        <v>248</v>
      </c>
      <c r="G596" s="5" t="s">
        <v>531</v>
      </c>
      <c r="H596" s="6" t="s">
        <v>5391</v>
      </c>
      <c r="I596" s="7">
        <f>7024</f>
        <v>7024</v>
      </c>
      <c r="J596" s="5" t="s">
        <v>262</v>
      </c>
      <c r="K596" s="8">
        <f>77264</f>
        <v>77264</v>
      </c>
      <c r="L596" s="6" t="s">
        <v>242</v>
      </c>
      <c r="M596" s="5" t="s">
        <v>267</v>
      </c>
      <c r="N596" s="5" t="s">
        <v>237</v>
      </c>
      <c r="O596" s="5" t="s">
        <v>238</v>
      </c>
      <c r="P596" s="5" t="s">
        <v>238</v>
      </c>
      <c r="Q596" s="5" t="s">
        <v>239</v>
      </c>
      <c r="R596" s="5" t="s">
        <v>240</v>
      </c>
      <c r="S596" s="5" t="s">
        <v>238</v>
      </c>
      <c r="V596" s="5" t="s">
        <v>238</v>
      </c>
      <c r="X596" s="6" t="s">
        <v>238</v>
      </c>
      <c r="AA596" s="6" t="s">
        <v>243</v>
      </c>
      <c r="AB596" s="5" t="s">
        <v>238</v>
      </c>
      <c r="AC596" s="5" t="s">
        <v>244</v>
      </c>
      <c r="AD596" s="5" t="s">
        <v>245</v>
      </c>
      <c r="AT596" s="5" t="s">
        <v>246</v>
      </c>
      <c r="AU596" s="5" t="s">
        <v>238</v>
      </c>
      <c r="AV596" s="5" t="s">
        <v>247</v>
      </c>
      <c r="AW596" s="5" t="s">
        <v>238</v>
      </c>
      <c r="AX596" s="5" t="s">
        <v>249</v>
      </c>
      <c r="AY596" s="5" t="s">
        <v>238</v>
      </c>
      <c r="BA596" s="5" t="s">
        <v>238</v>
      </c>
      <c r="BC596" s="5" t="s">
        <v>250</v>
      </c>
      <c r="BD596" s="6" t="s">
        <v>243</v>
      </c>
      <c r="BE596" s="5" t="s">
        <v>251</v>
      </c>
      <c r="BF596" s="5" t="s">
        <v>252</v>
      </c>
      <c r="BG596" s="5" t="s">
        <v>238</v>
      </c>
      <c r="BH596" s="7">
        <f>0</f>
        <v>0</v>
      </c>
      <c r="BI596" s="8">
        <f>0</f>
        <v>0</v>
      </c>
      <c r="BJ596" s="5" t="s">
        <v>253</v>
      </c>
      <c r="BK596" s="5" t="s">
        <v>254</v>
      </c>
      <c r="BY596" s="5" t="s">
        <v>238</v>
      </c>
      <c r="BZ596" s="5" t="s">
        <v>238</v>
      </c>
      <c r="CD596" s="5" t="s">
        <v>255</v>
      </c>
      <c r="CE596" s="5" t="s">
        <v>256</v>
      </c>
      <c r="CF596" s="5" t="s">
        <v>238</v>
      </c>
      <c r="CI596" s="6" t="s">
        <v>257</v>
      </c>
      <c r="CJ596" s="5" t="s">
        <v>238</v>
      </c>
      <c r="CK596" s="5" t="s">
        <v>258</v>
      </c>
      <c r="CL596" s="5" t="s">
        <v>238</v>
      </c>
      <c r="CM596" s="5" t="s">
        <v>238</v>
      </c>
      <c r="CN596" s="5">
        <v>0</v>
      </c>
      <c r="CO596" s="5" t="s">
        <v>259</v>
      </c>
      <c r="CP596" s="5" t="s">
        <v>260</v>
      </c>
      <c r="CQ596" s="5" t="s">
        <v>260</v>
      </c>
      <c r="CR596" s="5" t="s">
        <v>261</v>
      </c>
      <c r="CU596" s="8">
        <f>77264</f>
        <v>77264</v>
      </c>
      <c r="CV596" s="8">
        <f>0</f>
        <v>0</v>
      </c>
      <c r="CX596" s="8">
        <f>0</f>
        <v>0</v>
      </c>
      <c r="CY596" s="8">
        <f>77264</f>
        <v>77264</v>
      </c>
      <c r="DA596" s="5" t="s">
        <v>533</v>
      </c>
      <c r="DB596" s="5" t="s">
        <v>238</v>
      </c>
      <c r="DD596" s="5" t="s">
        <v>356</v>
      </c>
      <c r="DE596" s="8">
        <f>0</f>
        <v>0</v>
      </c>
      <c r="DG596" s="5" t="s">
        <v>534</v>
      </c>
      <c r="DH596" s="5" t="s">
        <v>238</v>
      </c>
      <c r="DI596" s="5" t="s">
        <v>238</v>
      </c>
      <c r="DJ596" s="5" t="s">
        <v>238</v>
      </c>
      <c r="DN596" s="5" t="s">
        <v>238</v>
      </c>
      <c r="DO596" s="5" t="s">
        <v>238</v>
      </c>
      <c r="DP596" s="5" t="s">
        <v>238</v>
      </c>
      <c r="DQ596" s="5" t="s">
        <v>238</v>
      </c>
      <c r="DT596" s="5" t="s">
        <v>535</v>
      </c>
      <c r="DU596" s="5" t="s">
        <v>320</v>
      </c>
      <c r="HM596" s="5" t="s">
        <v>264</v>
      </c>
    </row>
    <row r="597" spans="1:221" x14ac:dyDescent="0.4">
      <c r="A597" s="5">
        <v>1459</v>
      </c>
      <c r="B597" s="5">
        <v>1</v>
      </c>
      <c r="C597" s="5">
        <v>1</v>
      </c>
      <c r="D597" s="5" t="s">
        <v>484</v>
      </c>
      <c r="E597" s="5" t="s">
        <v>485</v>
      </c>
      <c r="F597" s="5" t="s">
        <v>248</v>
      </c>
      <c r="G597" s="5" t="s">
        <v>531</v>
      </c>
      <c r="H597" s="6" t="s">
        <v>5393</v>
      </c>
      <c r="I597" s="7">
        <f>5545</f>
        <v>5545</v>
      </c>
      <c r="J597" s="5" t="s">
        <v>262</v>
      </c>
      <c r="K597" s="8">
        <f>60995</f>
        <v>60995</v>
      </c>
      <c r="L597" s="6" t="s">
        <v>242</v>
      </c>
      <c r="M597" s="5" t="s">
        <v>267</v>
      </c>
      <c r="N597" s="5" t="s">
        <v>237</v>
      </c>
      <c r="O597" s="5" t="s">
        <v>238</v>
      </c>
      <c r="P597" s="5" t="s">
        <v>238</v>
      </c>
      <c r="Q597" s="5" t="s">
        <v>239</v>
      </c>
      <c r="R597" s="5" t="s">
        <v>240</v>
      </c>
      <c r="S597" s="5" t="s">
        <v>238</v>
      </c>
      <c r="V597" s="5" t="s">
        <v>238</v>
      </c>
      <c r="X597" s="6" t="s">
        <v>238</v>
      </c>
      <c r="AA597" s="6" t="s">
        <v>243</v>
      </c>
      <c r="AB597" s="5" t="s">
        <v>238</v>
      </c>
      <c r="AC597" s="5" t="s">
        <v>244</v>
      </c>
      <c r="AD597" s="5" t="s">
        <v>245</v>
      </c>
      <c r="AT597" s="5" t="s">
        <v>246</v>
      </c>
      <c r="AU597" s="5" t="s">
        <v>238</v>
      </c>
      <c r="AV597" s="5" t="s">
        <v>247</v>
      </c>
      <c r="AW597" s="5" t="s">
        <v>238</v>
      </c>
      <c r="AX597" s="5" t="s">
        <v>249</v>
      </c>
      <c r="AY597" s="5" t="s">
        <v>238</v>
      </c>
      <c r="BA597" s="5" t="s">
        <v>238</v>
      </c>
      <c r="BC597" s="5" t="s">
        <v>250</v>
      </c>
      <c r="BD597" s="6" t="s">
        <v>243</v>
      </c>
      <c r="BE597" s="5" t="s">
        <v>251</v>
      </c>
      <c r="BF597" s="5" t="s">
        <v>252</v>
      </c>
      <c r="BG597" s="5" t="s">
        <v>238</v>
      </c>
      <c r="BH597" s="7">
        <f>0</f>
        <v>0</v>
      </c>
      <c r="BI597" s="8">
        <f>0</f>
        <v>0</v>
      </c>
      <c r="BJ597" s="5" t="s">
        <v>253</v>
      </c>
      <c r="BK597" s="5" t="s">
        <v>254</v>
      </c>
      <c r="BY597" s="5" t="s">
        <v>238</v>
      </c>
      <c r="BZ597" s="5" t="s">
        <v>238</v>
      </c>
      <c r="CD597" s="5" t="s">
        <v>255</v>
      </c>
      <c r="CE597" s="5" t="s">
        <v>256</v>
      </c>
      <c r="CF597" s="5" t="s">
        <v>238</v>
      </c>
      <c r="CI597" s="6" t="s">
        <v>257</v>
      </c>
      <c r="CJ597" s="5" t="s">
        <v>238</v>
      </c>
      <c r="CK597" s="5" t="s">
        <v>258</v>
      </c>
      <c r="CL597" s="5" t="s">
        <v>238</v>
      </c>
      <c r="CM597" s="5" t="s">
        <v>238</v>
      </c>
      <c r="CN597" s="5">
        <v>0</v>
      </c>
      <c r="CO597" s="5" t="s">
        <v>259</v>
      </c>
      <c r="CP597" s="5" t="s">
        <v>260</v>
      </c>
      <c r="CQ597" s="5" t="s">
        <v>260</v>
      </c>
      <c r="CR597" s="5" t="s">
        <v>261</v>
      </c>
      <c r="CU597" s="8">
        <f>60995</f>
        <v>60995</v>
      </c>
      <c r="CV597" s="8">
        <f>0</f>
        <v>0</v>
      </c>
      <c r="CX597" s="8">
        <f>0</f>
        <v>0</v>
      </c>
      <c r="CY597" s="8">
        <f>60995</f>
        <v>60995</v>
      </c>
      <c r="DA597" s="5" t="s">
        <v>533</v>
      </c>
      <c r="DB597" s="5" t="s">
        <v>238</v>
      </c>
      <c r="DD597" s="5" t="s">
        <v>356</v>
      </c>
      <c r="DE597" s="8">
        <f>0</f>
        <v>0</v>
      </c>
      <c r="DG597" s="5" t="s">
        <v>534</v>
      </c>
      <c r="DH597" s="5" t="s">
        <v>238</v>
      </c>
      <c r="DI597" s="5" t="s">
        <v>238</v>
      </c>
      <c r="DJ597" s="5" t="s">
        <v>238</v>
      </c>
      <c r="DN597" s="5" t="s">
        <v>238</v>
      </c>
      <c r="DO597" s="5" t="s">
        <v>238</v>
      </c>
      <c r="DP597" s="5" t="s">
        <v>238</v>
      </c>
      <c r="DQ597" s="5" t="s">
        <v>238</v>
      </c>
      <c r="DT597" s="5" t="s">
        <v>535</v>
      </c>
      <c r="DU597" s="5" t="s">
        <v>324</v>
      </c>
      <c r="HM597" s="5" t="s">
        <v>264</v>
      </c>
    </row>
    <row r="598" spans="1:221" x14ac:dyDescent="0.4">
      <c r="A598" s="5">
        <v>1460</v>
      </c>
      <c r="B598" s="5">
        <v>1</v>
      </c>
      <c r="C598" s="5">
        <v>1</v>
      </c>
      <c r="D598" s="5" t="s">
        <v>484</v>
      </c>
      <c r="E598" s="5" t="s">
        <v>485</v>
      </c>
      <c r="F598" s="5" t="s">
        <v>248</v>
      </c>
      <c r="G598" s="5" t="s">
        <v>531</v>
      </c>
      <c r="H598" s="6" t="s">
        <v>5396</v>
      </c>
      <c r="I598" s="7">
        <f>1006</f>
        <v>1006</v>
      </c>
      <c r="J598" s="5" t="s">
        <v>262</v>
      </c>
      <c r="K598" s="8">
        <f>11066</f>
        <v>11066</v>
      </c>
      <c r="L598" s="6" t="s">
        <v>242</v>
      </c>
      <c r="M598" s="5" t="s">
        <v>267</v>
      </c>
      <c r="N598" s="5" t="s">
        <v>237</v>
      </c>
      <c r="O598" s="5" t="s">
        <v>238</v>
      </c>
      <c r="P598" s="5" t="s">
        <v>238</v>
      </c>
      <c r="Q598" s="5" t="s">
        <v>239</v>
      </c>
      <c r="R598" s="5" t="s">
        <v>240</v>
      </c>
      <c r="S598" s="5" t="s">
        <v>238</v>
      </c>
      <c r="V598" s="5" t="s">
        <v>238</v>
      </c>
      <c r="X598" s="6" t="s">
        <v>238</v>
      </c>
      <c r="AA598" s="6" t="s">
        <v>243</v>
      </c>
      <c r="AB598" s="5" t="s">
        <v>238</v>
      </c>
      <c r="AC598" s="5" t="s">
        <v>244</v>
      </c>
      <c r="AD598" s="5" t="s">
        <v>245</v>
      </c>
      <c r="AT598" s="5" t="s">
        <v>246</v>
      </c>
      <c r="AU598" s="5" t="s">
        <v>238</v>
      </c>
      <c r="AV598" s="5" t="s">
        <v>247</v>
      </c>
      <c r="AW598" s="5" t="s">
        <v>238</v>
      </c>
      <c r="AX598" s="5" t="s">
        <v>249</v>
      </c>
      <c r="AY598" s="5" t="s">
        <v>238</v>
      </c>
      <c r="BA598" s="5" t="s">
        <v>238</v>
      </c>
      <c r="BC598" s="5" t="s">
        <v>250</v>
      </c>
      <c r="BD598" s="6" t="s">
        <v>243</v>
      </c>
      <c r="BE598" s="5" t="s">
        <v>251</v>
      </c>
      <c r="BF598" s="5" t="s">
        <v>252</v>
      </c>
      <c r="BG598" s="5" t="s">
        <v>238</v>
      </c>
      <c r="BH598" s="7">
        <f>0</f>
        <v>0</v>
      </c>
      <c r="BI598" s="8">
        <f>0</f>
        <v>0</v>
      </c>
      <c r="BJ598" s="5" t="s">
        <v>253</v>
      </c>
      <c r="BK598" s="5" t="s">
        <v>254</v>
      </c>
      <c r="BY598" s="5" t="s">
        <v>238</v>
      </c>
      <c r="BZ598" s="5" t="s">
        <v>238</v>
      </c>
      <c r="CD598" s="5" t="s">
        <v>255</v>
      </c>
      <c r="CE598" s="5" t="s">
        <v>256</v>
      </c>
      <c r="CF598" s="5" t="s">
        <v>238</v>
      </c>
      <c r="CI598" s="6" t="s">
        <v>257</v>
      </c>
      <c r="CJ598" s="5" t="s">
        <v>238</v>
      </c>
      <c r="CK598" s="5" t="s">
        <v>258</v>
      </c>
      <c r="CL598" s="5" t="s">
        <v>238</v>
      </c>
      <c r="CM598" s="5" t="s">
        <v>238</v>
      </c>
      <c r="CN598" s="5">
        <v>0</v>
      </c>
      <c r="CO598" s="5" t="s">
        <v>259</v>
      </c>
      <c r="CP598" s="5" t="s">
        <v>260</v>
      </c>
      <c r="CQ598" s="5" t="s">
        <v>260</v>
      </c>
      <c r="CR598" s="5" t="s">
        <v>261</v>
      </c>
      <c r="CU598" s="8">
        <f>11066</f>
        <v>11066</v>
      </c>
      <c r="CV598" s="8">
        <f>0</f>
        <v>0</v>
      </c>
      <c r="CX598" s="8">
        <f>0</f>
        <v>0</v>
      </c>
      <c r="CY598" s="8">
        <f>11066</f>
        <v>11066</v>
      </c>
      <c r="DA598" s="5" t="s">
        <v>533</v>
      </c>
      <c r="DB598" s="5" t="s">
        <v>238</v>
      </c>
      <c r="DD598" s="5" t="s">
        <v>356</v>
      </c>
      <c r="DE598" s="8">
        <f>0</f>
        <v>0</v>
      </c>
      <c r="DG598" s="5" t="s">
        <v>534</v>
      </c>
      <c r="DH598" s="5" t="s">
        <v>238</v>
      </c>
      <c r="DI598" s="5" t="s">
        <v>238</v>
      </c>
      <c r="DJ598" s="5" t="s">
        <v>238</v>
      </c>
      <c r="DN598" s="5" t="s">
        <v>238</v>
      </c>
      <c r="DO598" s="5" t="s">
        <v>238</v>
      </c>
      <c r="DP598" s="5" t="s">
        <v>238</v>
      </c>
      <c r="DQ598" s="5" t="s">
        <v>238</v>
      </c>
      <c r="DT598" s="5" t="s">
        <v>535</v>
      </c>
      <c r="DU598" s="5" t="s">
        <v>3355</v>
      </c>
      <c r="HM598" s="5" t="s">
        <v>264</v>
      </c>
    </row>
    <row r="599" spans="1:221" x14ac:dyDescent="0.4">
      <c r="A599" s="5">
        <v>1461</v>
      </c>
      <c r="B599" s="5">
        <v>1</v>
      </c>
      <c r="C599" s="5">
        <v>1</v>
      </c>
      <c r="D599" s="5" t="s">
        <v>484</v>
      </c>
      <c r="E599" s="5" t="s">
        <v>485</v>
      </c>
      <c r="F599" s="5" t="s">
        <v>248</v>
      </c>
      <c r="G599" s="5" t="s">
        <v>531</v>
      </c>
      <c r="H599" s="6" t="s">
        <v>5400</v>
      </c>
      <c r="I599" s="7">
        <f>1195</f>
        <v>1195</v>
      </c>
      <c r="J599" s="5" t="s">
        <v>262</v>
      </c>
      <c r="K599" s="8">
        <f>13145</f>
        <v>13145</v>
      </c>
      <c r="L599" s="6" t="s">
        <v>242</v>
      </c>
      <c r="M599" s="5" t="s">
        <v>267</v>
      </c>
      <c r="N599" s="5" t="s">
        <v>237</v>
      </c>
      <c r="O599" s="5" t="s">
        <v>238</v>
      </c>
      <c r="P599" s="5" t="s">
        <v>238</v>
      </c>
      <c r="Q599" s="5" t="s">
        <v>239</v>
      </c>
      <c r="R599" s="5" t="s">
        <v>240</v>
      </c>
      <c r="S599" s="5" t="s">
        <v>238</v>
      </c>
      <c r="V599" s="5" t="s">
        <v>238</v>
      </c>
      <c r="X599" s="6" t="s">
        <v>238</v>
      </c>
      <c r="AA599" s="6" t="s">
        <v>243</v>
      </c>
      <c r="AB599" s="5" t="s">
        <v>238</v>
      </c>
      <c r="AC599" s="5" t="s">
        <v>244</v>
      </c>
      <c r="AD599" s="5" t="s">
        <v>245</v>
      </c>
      <c r="AT599" s="5" t="s">
        <v>246</v>
      </c>
      <c r="AU599" s="5" t="s">
        <v>238</v>
      </c>
      <c r="AV599" s="5" t="s">
        <v>247</v>
      </c>
      <c r="AW599" s="5" t="s">
        <v>238</v>
      </c>
      <c r="AX599" s="5" t="s">
        <v>249</v>
      </c>
      <c r="AY599" s="5" t="s">
        <v>238</v>
      </c>
      <c r="BA599" s="5" t="s">
        <v>238</v>
      </c>
      <c r="BC599" s="5" t="s">
        <v>250</v>
      </c>
      <c r="BD599" s="6" t="s">
        <v>243</v>
      </c>
      <c r="BE599" s="5" t="s">
        <v>251</v>
      </c>
      <c r="BF599" s="5" t="s">
        <v>252</v>
      </c>
      <c r="BG599" s="5" t="s">
        <v>238</v>
      </c>
      <c r="BH599" s="7">
        <f>0</f>
        <v>0</v>
      </c>
      <c r="BI599" s="8">
        <f>0</f>
        <v>0</v>
      </c>
      <c r="BJ599" s="5" t="s">
        <v>253</v>
      </c>
      <c r="BK599" s="5" t="s">
        <v>254</v>
      </c>
      <c r="BY599" s="5" t="s">
        <v>238</v>
      </c>
      <c r="BZ599" s="5" t="s">
        <v>238</v>
      </c>
      <c r="CD599" s="5" t="s">
        <v>255</v>
      </c>
      <c r="CE599" s="5" t="s">
        <v>256</v>
      </c>
      <c r="CF599" s="5" t="s">
        <v>238</v>
      </c>
      <c r="CI599" s="6" t="s">
        <v>257</v>
      </c>
      <c r="CJ599" s="5" t="s">
        <v>238</v>
      </c>
      <c r="CK599" s="5" t="s">
        <v>258</v>
      </c>
      <c r="CL599" s="5" t="s">
        <v>238</v>
      </c>
      <c r="CM599" s="5" t="s">
        <v>238</v>
      </c>
      <c r="CN599" s="5">
        <v>0</v>
      </c>
      <c r="CO599" s="5" t="s">
        <v>259</v>
      </c>
      <c r="CP599" s="5" t="s">
        <v>260</v>
      </c>
      <c r="CQ599" s="5" t="s">
        <v>260</v>
      </c>
      <c r="CR599" s="5" t="s">
        <v>261</v>
      </c>
      <c r="CU599" s="8">
        <f>13145</f>
        <v>13145</v>
      </c>
      <c r="CV599" s="8">
        <f>0</f>
        <v>0</v>
      </c>
      <c r="CX599" s="8">
        <f>0</f>
        <v>0</v>
      </c>
      <c r="CY599" s="8">
        <f>13145</f>
        <v>13145</v>
      </c>
      <c r="DA599" s="5" t="s">
        <v>533</v>
      </c>
      <c r="DB599" s="5" t="s">
        <v>238</v>
      </c>
      <c r="DD599" s="5" t="s">
        <v>356</v>
      </c>
      <c r="DE599" s="8">
        <f>0</f>
        <v>0</v>
      </c>
      <c r="DG599" s="5" t="s">
        <v>534</v>
      </c>
      <c r="DH599" s="5" t="s">
        <v>238</v>
      </c>
      <c r="DI599" s="5" t="s">
        <v>238</v>
      </c>
      <c r="DJ599" s="5" t="s">
        <v>238</v>
      </c>
      <c r="DN599" s="5" t="s">
        <v>238</v>
      </c>
      <c r="DO599" s="5" t="s">
        <v>238</v>
      </c>
      <c r="DP599" s="5" t="s">
        <v>238</v>
      </c>
      <c r="DQ599" s="5" t="s">
        <v>238</v>
      </c>
      <c r="DT599" s="5" t="s">
        <v>535</v>
      </c>
      <c r="DU599" s="5" t="s">
        <v>326</v>
      </c>
      <c r="HM599" s="5" t="s">
        <v>264</v>
      </c>
    </row>
    <row r="600" spans="1:221" x14ac:dyDescent="0.4">
      <c r="A600" s="5">
        <v>1462</v>
      </c>
      <c r="B600" s="5">
        <v>1</v>
      </c>
      <c r="C600" s="5">
        <v>1</v>
      </c>
      <c r="D600" s="5" t="s">
        <v>484</v>
      </c>
      <c r="E600" s="5" t="s">
        <v>485</v>
      </c>
      <c r="F600" s="5" t="s">
        <v>248</v>
      </c>
      <c r="G600" s="5" t="s">
        <v>531</v>
      </c>
      <c r="H600" s="6" t="s">
        <v>5404</v>
      </c>
      <c r="I600" s="7">
        <f>1068</f>
        <v>1068</v>
      </c>
      <c r="J600" s="5" t="s">
        <v>262</v>
      </c>
      <c r="K600" s="8">
        <f>11748</f>
        <v>11748</v>
      </c>
      <c r="L600" s="6" t="s">
        <v>242</v>
      </c>
      <c r="M600" s="5" t="s">
        <v>267</v>
      </c>
      <c r="N600" s="5" t="s">
        <v>237</v>
      </c>
      <c r="O600" s="5" t="s">
        <v>238</v>
      </c>
      <c r="P600" s="5" t="s">
        <v>238</v>
      </c>
      <c r="Q600" s="5" t="s">
        <v>239</v>
      </c>
      <c r="R600" s="5" t="s">
        <v>240</v>
      </c>
      <c r="S600" s="5" t="s">
        <v>238</v>
      </c>
      <c r="V600" s="5" t="s">
        <v>238</v>
      </c>
      <c r="X600" s="6" t="s">
        <v>238</v>
      </c>
      <c r="AA600" s="6" t="s">
        <v>243</v>
      </c>
      <c r="AB600" s="5" t="s">
        <v>238</v>
      </c>
      <c r="AC600" s="5" t="s">
        <v>244</v>
      </c>
      <c r="AD600" s="5" t="s">
        <v>245</v>
      </c>
      <c r="AT600" s="5" t="s">
        <v>246</v>
      </c>
      <c r="AU600" s="5" t="s">
        <v>238</v>
      </c>
      <c r="AV600" s="5" t="s">
        <v>247</v>
      </c>
      <c r="AW600" s="5" t="s">
        <v>238</v>
      </c>
      <c r="AX600" s="5" t="s">
        <v>249</v>
      </c>
      <c r="AY600" s="5" t="s">
        <v>238</v>
      </c>
      <c r="BA600" s="5" t="s">
        <v>238</v>
      </c>
      <c r="BC600" s="5" t="s">
        <v>250</v>
      </c>
      <c r="BD600" s="6" t="s">
        <v>243</v>
      </c>
      <c r="BE600" s="5" t="s">
        <v>251</v>
      </c>
      <c r="BF600" s="5" t="s">
        <v>252</v>
      </c>
      <c r="BG600" s="5" t="s">
        <v>238</v>
      </c>
      <c r="BH600" s="7">
        <f>0</f>
        <v>0</v>
      </c>
      <c r="BI600" s="8">
        <f>0</f>
        <v>0</v>
      </c>
      <c r="BJ600" s="5" t="s">
        <v>253</v>
      </c>
      <c r="BK600" s="5" t="s">
        <v>254</v>
      </c>
      <c r="BY600" s="5" t="s">
        <v>238</v>
      </c>
      <c r="BZ600" s="5" t="s">
        <v>238</v>
      </c>
      <c r="CD600" s="5" t="s">
        <v>255</v>
      </c>
      <c r="CE600" s="5" t="s">
        <v>256</v>
      </c>
      <c r="CF600" s="5" t="s">
        <v>238</v>
      </c>
      <c r="CI600" s="6" t="s">
        <v>257</v>
      </c>
      <c r="CJ600" s="5" t="s">
        <v>238</v>
      </c>
      <c r="CK600" s="5" t="s">
        <v>258</v>
      </c>
      <c r="CL600" s="5" t="s">
        <v>238</v>
      </c>
      <c r="CM600" s="5" t="s">
        <v>238</v>
      </c>
      <c r="CN600" s="5">
        <v>0</v>
      </c>
      <c r="CO600" s="5" t="s">
        <v>259</v>
      </c>
      <c r="CP600" s="5" t="s">
        <v>260</v>
      </c>
      <c r="CQ600" s="5" t="s">
        <v>260</v>
      </c>
      <c r="CR600" s="5" t="s">
        <v>261</v>
      </c>
      <c r="CU600" s="8">
        <f>11748</f>
        <v>11748</v>
      </c>
      <c r="CV600" s="8">
        <f>0</f>
        <v>0</v>
      </c>
      <c r="CX600" s="8">
        <f>0</f>
        <v>0</v>
      </c>
      <c r="CY600" s="8">
        <f>11748</f>
        <v>11748</v>
      </c>
      <c r="DA600" s="5" t="s">
        <v>533</v>
      </c>
      <c r="DB600" s="5" t="s">
        <v>238</v>
      </c>
      <c r="DD600" s="5" t="s">
        <v>356</v>
      </c>
      <c r="DE600" s="8">
        <f>0</f>
        <v>0</v>
      </c>
      <c r="DG600" s="5" t="s">
        <v>534</v>
      </c>
      <c r="DH600" s="5" t="s">
        <v>238</v>
      </c>
      <c r="DI600" s="5" t="s">
        <v>238</v>
      </c>
      <c r="DJ600" s="5" t="s">
        <v>238</v>
      </c>
      <c r="DN600" s="5" t="s">
        <v>238</v>
      </c>
      <c r="DO600" s="5" t="s">
        <v>238</v>
      </c>
      <c r="DP600" s="5" t="s">
        <v>238</v>
      </c>
      <c r="DQ600" s="5" t="s">
        <v>238</v>
      </c>
      <c r="DT600" s="5" t="s">
        <v>535</v>
      </c>
      <c r="DU600" s="5" t="s">
        <v>330</v>
      </c>
      <c r="HM600" s="5" t="s">
        <v>264</v>
      </c>
    </row>
    <row r="601" spans="1:221" x14ac:dyDescent="0.4">
      <c r="A601" s="5">
        <v>1463</v>
      </c>
      <c r="B601" s="5">
        <v>1</v>
      </c>
      <c r="C601" s="5">
        <v>1</v>
      </c>
      <c r="D601" s="5" t="s">
        <v>484</v>
      </c>
      <c r="E601" s="5" t="s">
        <v>485</v>
      </c>
      <c r="F601" s="5" t="s">
        <v>248</v>
      </c>
      <c r="G601" s="5" t="s">
        <v>531</v>
      </c>
      <c r="H601" s="6" t="s">
        <v>5409</v>
      </c>
      <c r="I601" s="7">
        <f>1260</f>
        <v>1260</v>
      </c>
      <c r="J601" s="5" t="s">
        <v>262</v>
      </c>
      <c r="K601" s="8">
        <f>13860</f>
        <v>13860</v>
      </c>
      <c r="L601" s="6" t="s">
        <v>242</v>
      </c>
      <c r="M601" s="5" t="s">
        <v>267</v>
      </c>
      <c r="N601" s="5" t="s">
        <v>237</v>
      </c>
      <c r="O601" s="5" t="s">
        <v>238</v>
      </c>
      <c r="P601" s="5" t="s">
        <v>238</v>
      </c>
      <c r="Q601" s="5" t="s">
        <v>239</v>
      </c>
      <c r="R601" s="5" t="s">
        <v>240</v>
      </c>
      <c r="S601" s="5" t="s">
        <v>238</v>
      </c>
      <c r="V601" s="5" t="s">
        <v>238</v>
      </c>
      <c r="X601" s="6" t="s">
        <v>238</v>
      </c>
      <c r="AA601" s="6" t="s">
        <v>243</v>
      </c>
      <c r="AB601" s="5" t="s">
        <v>238</v>
      </c>
      <c r="AC601" s="5" t="s">
        <v>244</v>
      </c>
      <c r="AD601" s="5" t="s">
        <v>245</v>
      </c>
      <c r="AT601" s="5" t="s">
        <v>246</v>
      </c>
      <c r="AU601" s="5" t="s">
        <v>238</v>
      </c>
      <c r="AV601" s="5" t="s">
        <v>247</v>
      </c>
      <c r="AW601" s="5" t="s">
        <v>238</v>
      </c>
      <c r="AX601" s="5" t="s">
        <v>249</v>
      </c>
      <c r="AY601" s="5" t="s">
        <v>238</v>
      </c>
      <c r="BA601" s="5" t="s">
        <v>238</v>
      </c>
      <c r="BC601" s="5" t="s">
        <v>250</v>
      </c>
      <c r="BD601" s="6" t="s">
        <v>243</v>
      </c>
      <c r="BE601" s="5" t="s">
        <v>251</v>
      </c>
      <c r="BF601" s="5" t="s">
        <v>252</v>
      </c>
      <c r="BG601" s="5" t="s">
        <v>238</v>
      </c>
      <c r="BH601" s="7">
        <f>0</f>
        <v>0</v>
      </c>
      <c r="BI601" s="8">
        <f>0</f>
        <v>0</v>
      </c>
      <c r="BJ601" s="5" t="s">
        <v>253</v>
      </c>
      <c r="BK601" s="5" t="s">
        <v>254</v>
      </c>
      <c r="BY601" s="5" t="s">
        <v>238</v>
      </c>
      <c r="BZ601" s="5" t="s">
        <v>238</v>
      </c>
      <c r="CD601" s="5" t="s">
        <v>255</v>
      </c>
      <c r="CE601" s="5" t="s">
        <v>256</v>
      </c>
      <c r="CF601" s="5" t="s">
        <v>238</v>
      </c>
      <c r="CI601" s="6" t="s">
        <v>257</v>
      </c>
      <c r="CJ601" s="5" t="s">
        <v>238</v>
      </c>
      <c r="CK601" s="5" t="s">
        <v>258</v>
      </c>
      <c r="CL601" s="5" t="s">
        <v>238</v>
      </c>
      <c r="CM601" s="5" t="s">
        <v>238</v>
      </c>
      <c r="CN601" s="5">
        <v>0</v>
      </c>
      <c r="CO601" s="5" t="s">
        <v>259</v>
      </c>
      <c r="CP601" s="5" t="s">
        <v>260</v>
      </c>
      <c r="CQ601" s="5" t="s">
        <v>260</v>
      </c>
      <c r="CR601" s="5" t="s">
        <v>261</v>
      </c>
      <c r="CU601" s="8">
        <f>13860</f>
        <v>13860</v>
      </c>
      <c r="CV601" s="8">
        <f>0</f>
        <v>0</v>
      </c>
      <c r="CX601" s="8">
        <f>0</f>
        <v>0</v>
      </c>
      <c r="CY601" s="8">
        <f>13860</f>
        <v>13860</v>
      </c>
      <c r="DA601" s="5" t="s">
        <v>533</v>
      </c>
      <c r="DB601" s="5" t="s">
        <v>238</v>
      </c>
      <c r="DD601" s="5" t="s">
        <v>356</v>
      </c>
      <c r="DE601" s="8">
        <f>0</f>
        <v>0</v>
      </c>
      <c r="DG601" s="5" t="s">
        <v>534</v>
      </c>
      <c r="DH601" s="5" t="s">
        <v>238</v>
      </c>
      <c r="DI601" s="5" t="s">
        <v>238</v>
      </c>
      <c r="DJ601" s="5" t="s">
        <v>238</v>
      </c>
      <c r="DN601" s="5" t="s">
        <v>238</v>
      </c>
      <c r="DO601" s="5" t="s">
        <v>238</v>
      </c>
      <c r="DP601" s="5" t="s">
        <v>238</v>
      </c>
      <c r="DQ601" s="5" t="s">
        <v>238</v>
      </c>
      <c r="DT601" s="5" t="s">
        <v>535</v>
      </c>
      <c r="DU601" s="5" t="s">
        <v>332</v>
      </c>
      <c r="HM601" s="5" t="s">
        <v>264</v>
      </c>
    </row>
    <row r="602" spans="1:221" x14ac:dyDescent="0.4">
      <c r="A602" s="5">
        <v>1464</v>
      </c>
      <c r="B602" s="5">
        <v>1</v>
      </c>
      <c r="C602" s="5">
        <v>1</v>
      </c>
      <c r="D602" s="5" t="s">
        <v>484</v>
      </c>
      <c r="E602" s="5" t="s">
        <v>485</v>
      </c>
      <c r="F602" s="5" t="s">
        <v>248</v>
      </c>
      <c r="G602" s="5" t="s">
        <v>531</v>
      </c>
      <c r="H602" s="6" t="s">
        <v>5412</v>
      </c>
      <c r="I602" s="7">
        <f>6628</f>
        <v>6628</v>
      </c>
      <c r="J602" s="5" t="s">
        <v>262</v>
      </c>
      <c r="K602" s="8">
        <f>72908</f>
        <v>72908</v>
      </c>
      <c r="L602" s="6" t="s">
        <v>242</v>
      </c>
      <c r="M602" s="5" t="s">
        <v>267</v>
      </c>
      <c r="N602" s="5" t="s">
        <v>237</v>
      </c>
      <c r="O602" s="5" t="s">
        <v>238</v>
      </c>
      <c r="P602" s="5" t="s">
        <v>238</v>
      </c>
      <c r="Q602" s="5" t="s">
        <v>239</v>
      </c>
      <c r="R602" s="5" t="s">
        <v>240</v>
      </c>
      <c r="S602" s="5" t="s">
        <v>238</v>
      </c>
      <c r="V602" s="5" t="s">
        <v>238</v>
      </c>
      <c r="X602" s="6" t="s">
        <v>238</v>
      </c>
      <c r="AA602" s="6" t="s">
        <v>243</v>
      </c>
      <c r="AB602" s="5" t="s">
        <v>238</v>
      </c>
      <c r="AC602" s="5" t="s">
        <v>244</v>
      </c>
      <c r="AD602" s="5" t="s">
        <v>245</v>
      </c>
      <c r="AT602" s="5" t="s">
        <v>246</v>
      </c>
      <c r="AU602" s="5" t="s">
        <v>238</v>
      </c>
      <c r="AV602" s="5" t="s">
        <v>247</v>
      </c>
      <c r="AW602" s="5" t="s">
        <v>238</v>
      </c>
      <c r="AX602" s="5" t="s">
        <v>249</v>
      </c>
      <c r="AY602" s="5" t="s">
        <v>238</v>
      </c>
      <c r="BA602" s="5" t="s">
        <v>238</v>
      </c>
      <c r="BC602" s="5" t="s">
        <v>250</v>
      </c>
      <c r="BD602" s="6" t="s">
        <v>243</v>
      </c>
      <c r="BE602" s="5" t="s">
        <v>251</v>
      </c>
      <c r="BF602" s="5" t="s">
        <v>252</v>
      </c>
      <c r="BG602" s="5" t="s">
        <v>238</v>
      </c>
      <c r="BH602" s="7">
        <f>0</f>
        <v>0</v>
      </c>
      <c r="BI602" s="8">
        <f>0</f>
        <v>0</v>
      </c>
      <c r="BJ602" s="5" t="s">
        <v>253</v>
      </c>
      <c r="BK602" s="5" t="s">
        <v>254</v>
      </c>
      <c r="BY602" s="5" t="s">
        <v>238</v>
      </c>
      <c r="BZ602" s="5" t="s">
        <v>238</v>
      </c>
      <c r="CD602" s="5" t="s">
        <v>255</v>
      </c>
      <c r="CE602" s="5" t="s">
        <v>256</v>
      </c>
      <c r="CF602" s="5" t="s">
        <v>238</v>
      </c>
      <c r="CI602" s="6" t="s">
        <v>257</v>
      </c>
      <c r="CJ602" s="5" t="s">
        <v>238</v>
      </c>
      <c r="CK602" s="5" t="s">
        <v>258</v>
      </c>
      <c r="CL602" s="5" t="s">
        <v>238</v>
      </c>
      <c r="CM602" s="5" t="s">
        <v>238</v>
      </c>
      <c r="CN602" s="5">
        <v>0</v>
      </c>
      <c r="CO602" s="5" t="s">
        <v>259</v>
      </c>
      <c r="CP602" s="5" t="s">
        <v>260</v>
      </c>
      <c r="CQ602" s="5" t="s">
        <v>260</v>
      </c>
      <c r="CR602" s="5" t="s">
        <v>261</v>
      </c>
      <c r="CU602" s="8">
        <f>72908</f>
        <v>72908</v>
      </c>
      <c r="CV602" s="8">
        <f>0</f>
        <v>0</v>
      </c>
      <c r="CX602" s="8">
        <f>0</f>
        <v>0</v>
      </c>
      <c r="CY602" s="8">
        <f>72908</f>
        <v>72908</v>
      </c>
      <c r="DA602" s="5" t="s">
        <v>533</v>
      </c>
      <c r="DB602" s="5" t="s">
        <v>238</v>
      </c>
      <c r="DD602" s="5" t="s">
        <v>356</v>
      </c>
      <c r="DE602" s="8">
        <f>0</f>
        <v>0</v>
      </c>
      <c r="DG602" s="5" t="s">
        <v>534</v>
      </c>
      <c r="DH602" s="5" t="s">
        <v>238</v>
      </c>
      <c r="DI602" s="5" t="s">
        <v>238</v>
      </c>
      <c r="DJ602" s="5" t="s">
        <v>238</v>
      </c>
      <c r="DN602" s="5" t="s">
        <v>238</v>
      </c>
      <c r="DO602" s="5" t="s">
        <v>238</v>
      </c>
      <c r="DP602" s="5" t="s">
        <v>238</v>
      </c>
      <c r="DQ602" s="5" t="s">
        <v>238</v>
      </c>
      <c r="DT602" s="5" t="s">
        <v>535</v>
      </c>
      <c r="DU602" s="5" t="s">
        <v>336</v>
      </c>
      <c r="HM602" s="5" t="s">
        <v>264</v>
      </c>
    </row>
    <row r="603" spans="1:221" x14ac:dyDescent="0.4">
      <c r="A603" s="5">
        <v>1465</v>
      </c>
      <c r="B603" s="5">
        <v>1</v>
      </c>
      <c r="C603" s="5">
        <v>1</v>
      </c>
      <c r="D603" s="5" t="s">
        <v>484</v>
      </c>
      <c r="E603" s="5" t="s">
        <v>485</v>
      </c>
      <c r="F603" s="5" t="s">
        <v>248</v>
      </c>
      <c r="G603" s="5" t="s">
        <v>531</v>
      </c>
      <c r="H603" s="6" t="s">
        <v>5415</v>
      </c>
      <c r="I603" s="7">
        <f>2803</f>
        <v>2803</v>
      </c>
      <c r="J603" s="5" t="s">
        <v>262</v>
      </c>
      <c r="K603" s="8">
        <f>30833</f>
        <v>30833</v>
      </c>
      <c r="L603" s="6" t="s">
        <v>242</v>
      </c>
      <c r="M603" s="5" t="s">
        <v>267</v>
      </c>
      <c r="N603" s="5" t="s">
        <v>237</v>
      </c>
      <c r="O603" s="5" t="s">
        <v>238</v>
      </c>
      <c r="P603" s="5" t="s">
        <v>238</v>
      </c>
      <c r="Q603" s="5" t="s">
        <v>239</v>
      </c>
      <c r="R603" s="5" t="s">
        <v>240</v>
      </c>
      <c r="S603" s="5" t="s">
        <v>238</v>
      </c>
      <c r="V603" s="5" t="s">
        <v>238</v>
      </c>
      <c r="X603" s="6" t="s">
        <v>238</v>
      </c>
      <c r="AA603" s="6" t="s">
        <v>243</v>
      </c>
      <c r="AB603" s="5" t="s">
        <v>238</v>
      </c>
      <c r="AC603" s="5" t="s">
        <v>244</v>
      </c>
      <c r="AD603" s="5" t="s">
        <v>245</v>
      </c>
      <c r="AT603" s="5" t="s">
        <v>246</v>
      </c>
      <c r="AU603" s="5" t="s">
        <v>238</v>
      </c>
      <c r="AV603" s="5" t="s">
        <v>247</v>
      </c>
      <c r="AW603" s="5" t="s">
        <v>238</v>
      </c>
      <c r="AX603" s="5" t="s">
        <v>249</v>
      </c>
      <c r="AY603" s="5" t="s">
        <v>238</v>
      </c>
      <c r="BA603" s="5" t="s">
        <v>238</v>
      </c>
      <c r="BC603" s="5" t="s">
        <v>250</v>
      </c>
      <c r="BD603" s="6" t="s">
        <v>243</v>
      </c>
      <c r="BE603" s="5" t="s">
        <v>251</v>
      </c>
      <c r="BF603" s="5" t="s">
        <v>252</v>
      </c>
      <c r="BG603" s="5" t="s">
        <v>238</v>
      </c>
      <c r="BH603" s="7">
        <f>0</f>
        <v>0</v>
      </c>
      <c r="BI603" s="8">
        <f>0</f>
        <v>0</v>
      </c>
      <c r="BJ603" s="5" t="s">
        <v>253</v>
      </c>
      <c r="BK603" s="5" t="s">
        <v>254</v>
      </c>
      <c r="BY603" s="5" t="s">
        <v>238</v>
      </c>
      <c r="BZ603" s="5" t="s">
        <v>238</v>
      </c>
      <c r="CD603" s="5" t="s">
        <v>255</v>
      </c>
      <c r="CE603" s="5" t="s">
        <v>256</v>
      </c>
      <c r="CF603" s="5" t="s">
        <v>238</v>
      </c>
      <c r="CI603" s="6" t="s">
        <v>257</v>
      </c>
      <c r="CJ603" s="5" t="s">
        <v>238</v>
      </c>
      <c r="CK603" s="5" t="s">
        <v>258</v>
      </c>
      <c r="CL603" s="5" t="s">
        <v>238</v>
      </c>
      <c r="CM603" s="5" t="s">
        <v>238</v>
      </c>
      <c r="CN603" s="5">
        <v>0</v>
      </c>
      <c r="CO603" s="5" t="s">
        <v>259</v>
      </c>
      <c r="CP603" s="5" t="s">
        <v>260</v>
      </c>
      <c r="CQ603" s="5" t="s">
        <v>260</v>
      </c>
      <c r="CR603" s="5" t="s">
        <v>261</v>
      </c>
      <c r="CU603" s="8">
        <f>30833</f>
        <v>30833</v>
      </c>
      <c r="CV603" s="8">
        <f>0</f>
        <v>0</v>
      </c>
      <c r="CX603" s="8">
        <f>0</f>
        <v>0</v>
      </c>
      <c r="CY603" s="8">
        <f>30833</f>
        <v>30833</v>
      </c>
      <c r="DA603" s="5" t="s">
        <v>356</v>
      </c>
      <c r="DB603" s="5" t="s">
        <v>238</v>
      </c>
      <c r="DD603" s="5" t="s">
        <v>356</v>
      </c>
      <c r="DE603" s="8">
        <f>0</f>
        <v>0</v>
      </c>
      <c r="DG603" s="5" t="s">
        <v>534</v>
      </c>
      <c r="DH603" s="5" t="s">
        <v>238</v>
      </c>
      <c r="DI603" s="5" t="s">
        <v>238</v>
      </c>
      <c r="DJ603" s="5" t="s">
        <v>238</v>
      </c>
      <c r="DN603" s="5" t="s">
        <v>238</v>
      </c>
      <c r="DO603" s="5" t="s">
        <v>238</v>
      </c>
      <c r="DP603" s="5" t="s">
        <v>238</v>
      </c>
      <c r="DQ603" s="5" t="s">
        <v>238</v>
      </c>
      <c r="DT603" s="5" t="s">
        <v>535</v>
      </c>
      <c r="DU603" s="5" t="s">
        <v>340</v>
      </c>
      <c r="HM603" s="5" t="s">
        <v>264</v>
      </c>
    </row>
    <row r="604" spans="1:221" x14ac:dyDescent="0.4">
      <c r="A604" s="5">
        <v>1466</v>
      </c>
      <c r="B604" s="5">
        <v>1</v>
      </c>
      <c r="C604" s="5">
        <v>1</v>
      </c>
      <c r="D604" s="5" t="s">
        <v>484</v>
      </c>
      <c r="E604" s="5" t="s">
        <v>485</v>
      </c>
      <c r="F604" s="5" t="s">
        <v>248</v>
      </c>
      <c r="G604" s="5" t="s">
        <v>531</v>
      </c>
      <c r="H604" s="6" t="s">
        <v>5417</v>
      </c>
      <c r="I604" s="7">
        <f>949</f>
        <v>949</v>
      </c>
      <c r="J604" s="5" t="s">
        <v>262</v>
      </c>
      <c r="K604" s="8">
        <f>10439</f>
        <v>10439</v>
      </c>
      <c r="L604" s="6" t="s">
        <v>242</v>
      </c>
      <c r="M604" s="5" t="s">
        <v>267</v>
      </c>
      <c r="N604" s="5" t="s">
        <v>237</v>
      </c>
      <c r="O604" s="5" t="s">
        <v>238</v>
      </c>
      <c r="P604" s="5" t="s">
        <v>238</v>
      </c>
      <c r="Q604" s="5" t="s">
        <v>239</v>
      </c>
      <c r="R604" s="5" t="s">
        <v>240</v>
      </c>
      <c r="S604" s="5" t="s">
        <v>238</v>
      </c>
      <c r="V604" s="5" t="s">
        <v>238</v>
      </c>
      <c r="X604" s="6" t="s">
        <v>238</v>
      </c>
      <c r="AA604" s="6" t="s">
        <v>243</v>
      </c>
      <c r="AB604" s="5" t="s">
        <v>238</v>
      </c>
      <c r="AC604" s="5" t="s">
        <v>244</v>
      </c>
      <c r="AD604" s="5" t="s">
        <v>245</v>
      </c>
      <c r="AT604" s="5" t="s">
        <v>246</v>
      </c>
      <c r="AU604" s="5" t="s">
        <v>238</v>
      </c>
      <c r="AV604" s="5" t="s">
        <v>247</v>
      </c>
      <c r="AW604" s="5" t="s">
        <v>238</v>
      </c>
      <c r="AX604" s="5" t="s">
        <v>249</v>
      </c>
      <c r="AY604" s="5" t="s">
        <v>238</v>
      </c>
      <c r="BA604" s="5" t="s">
        <v>238</v>
      </c>
      <c r="BC604" s="5" t="s">
        <v>250</v>
      </c>
      <c r="BD604" s="6" t="s">
        <v>243</v>
      </c>
      <c r="BE604" s="5" t="s">
        <v>251</v>
      </c>
      <c r="BF604" s="5" t="s">
        <v>252</v>
      </c>
      <c r="BG604" s="5" t="s">
        <v>238</v>
      </c>
      <c r="BH604" s="7">
        <f>0</f>
        <v>0</v>
      </c>
      <c r="BI604" s="8">
        <f>0</f>
        <v>0</v>
      </c>
      <c r="BJ604" s="5" t="s">
        <v>253</v>
      </c>
      <c r="BK604" s="5" t="s">
        <v>254</v>
      </c>
      <c r="BY604" s="5" t="s">
        <v>238</v>
      </c>
      <c r="BZ604" s="5" t="s">
        <v>238</v>
      </c>
      <c r="CD604" s="5" t="s">
        <v>255</v>
      </c>
      <c r="CE604" s="5" t="s">
        <v>256</v>
      </c>
      <c r="CF604" s="5" t="s">
        <v>238</v>
      </c>
      <c r="CI604" s="6" t="s">
        <v>257</v>
      </c>
      <c r="CJ604" s="5" t="s">
        <v>238</v>
      </c>
      <c r="CK604" s="5" t="s">
        <v>258</v>
      </c>
      <c r="CL604" s="5" t="s">
        <v>238</v>
      </c>
      <c r="CM604" s="5" t="s">
        <v>238</v>
      </c>
      <c r="CN604" s="5">
        <v>0</v>
      </c>
      <c r="CO604" s="5" t="s">
        <v>259</v>
      </c>
      <c r="CP604" s="5" t="s">
        <v>260</v>
      </c>
      <c r="CQ604" s="5" t="s">
        <v>260</v>
      </c>
      <c r="CR604" s="5" t="s">
        <v>261</v>
      </c>
      <c r="CU604" s="8">
        <f>10439</f>
        <v>10439</v>
      </c>
      <c r="CV604" s="8">
        <f>0</f>
        <v>0</v>
      </c>
      <c r="CX604" s="8">
        <f>0</f>
        <v>0</v>
      </c>
      <c r="CY604" s="8">
        <f>10439</f>
        <v>10439</v>
      </c>
      <c r="DA604" s="5" t="s">
        <v>533</v>
      </c>
      <c r="DB604" s="5" t="s">
        <v>238</v>
      </c>
      <c r="DD604" s="5" t="s">
        <v>356</v>
      </c>
      <c r="DE604" s="8">
        <f>0</f>
        <v>0</v>
      </c>
      <c r="DG604" s="5" t="s">
        <v>534</v>
      </c>
      <c r="DH604" s="5" t="s">
        <v>238</v>
      </c>
      <c r="DI604" s="5" t="s">
        <v>238</v>
      </c>
      <c r="DJ604" s="5" t="s">
        <v>238</v>
      </c>
      <c r="DN604" s="5" t="s">
        <v>238</v>
      </c>
      <c r="DO604" s="5" t="s">
        <v>238</v>
      </c>
      <c r="DP604" s="5" t="s">
        <v>238</v>
      </c>
      <c r="DQ604" s="5" t="s">
        <v>238</v>
      </c>
      <c r="DT604" s="5" t="s">
        <v>535</v>
      </c>
      <c r="DU604" s="5" t="s">
        <v>342</v>
      </c>
      <c r="HM604" s="5" t="s">
        <v>264</v>
      </c>
    </row>
    <row r="605" spans="1:221" x14ac:dyDescent="0.4">
      <c r="A605" s="5">
        <v>1467</v>
      </c>
      <c r="B605" s="5">
        <v>1</v>
      </c>
      <c r="C605" s="5">
        <v>1</v>
      </c>
      <c r="D605" s="5" t="s">
        <v>484</v>
      </c>
      <c r="E605" s="5" t="s">
        <v>485</v>
      </c>
      <c r="F605" s="5" t="s">
        <v>248</v>
      </c>
      <c r="G605" s="5" t="s">
        <v>531</v>
      </c>
      <c r="H605" s="6" t="s">
        <v>5435</v>
      </c>
      <c r="I605" s="7">
        <f>4048</f>
        <v>4048</v>
      </c>
      <c r="J605" s="5" t="s">
        <v>262</v>
      </c>
      <c r="K605" s="8">
        <f>44528</f>
        <v>44528</v>
      </c>
      <c r="L605" s="6" t="s">
        <v>242</v>
      </c>
      <c r="M605" s="5" t="s">
        <v>267</v>
      </c>
      <c r="N605" s="5" t="s">
        <v>237</v>
      </c>
      <c r="O605" s="5" t="s">
        <v>238</v>
      </c>
      <c r="P605" s="5" t="s">
        <v>238</v>
      </c>
      <c r="Q605" s="5" t="s">
        <v>239</v>
      </c>
      <c r="R605" s="5" t="s">
        <v>240</v>
      </c>
      <c r="S605" s="5" t="s">
        <v>238</v>
      </c>
      <c r="V605" s="5" t="s">
        <v>238</v>
      </c>
      <c r="X605" s="6" t="s">
        <v>238</v>
      </c>
      <c r="AA605" s="6" t="s">
        <v>243</v>
      </c>
      <c r="AB605" s="5" t="s">
        <v>238</v>
      </c>
      <c r="AC605" s="5" t="s">
        <v>244</v>
      </c>
      <c r="AD605" s="5" t="s">
        <v>245</v>
      </c>
      <c r="AT605" s="5" t="s">
        <v>246</v>
      </c>
      <c r="AU605" s="5" t="s">
        <v>238</v>
      </c>
      <c r="AV605" s="5" t="s">
        <v>247</v>
      </c>
      <c r="AW605" s="5" t="s">
        <v>238</v>
      </c>
      <c r="AX605" s="5" t="s">
        <v>249</v>
      </c>
      <c r="AY605" s="5" t="s">
        <v>238</v>
      </c>
      <c r="BA605" s="5" t="s">
        <v>238</v>
      </c>
      <c r="BC605" s="5" t="s">
        <v>250</v>
      </c>
      <c r="BD605" s="6" t="s">
        <v>243</v>
      </c>
      <c r="BE605" s="5" t="s">
        <v>251</v>
      </c>
      <c r="BF605" s="5" t="s">
        <v>252</v>
      </c>
      <c r="BG605" s="5" t="s">
        <v>238</v>
      </c>
      <c r="BH605" s="7">
        <f>0</f>
        <v>0</v>
      </c>
      <c r="BI605" s="8">
        <f>0</f>
        <v>0</v>
      </c>
      <c r="BJ605" s="5" t="s">
        <v>253</v>
      </c>
      <c r="BK605" s="5" t="s">
        <v>254</v>
      </c>
      <c r="BY605" s="5" t="s">
        <v>238</v>
      </c>
      <c r="BZ605" s="5" t="s">
        <v>238</v>
      </c>
      <c r="CD605" s="5" t="s">
        <v>255</v>
      </c>
      <c r="CE605" s="5" t="s">
        <v>256</v>
      </c>
      <c r="CF605" s="5" t="s">
        <v>238</v>
      </c>
      <c r="CI605" s="6" t="s">
        <v>257</v>
      </c>
      <c r="CJ605" s="5" t="s">
        <v>238</v>
      </c>
      <c r="CK605" s="5" t="s">
        <v>258</v>
      </c>
      <c r="CL605" s="5" t="s">
        <v>238</v>
      </c>
      <c r="CM605" s="5" t="s">
        <v>238</v>
      </c>
      <c r="CN605" s="5">
        <v>0</v>
      </c>
      <c r="CO605" s="5" t="s">
        <v>259</v>
      </c>
      <c r="CP605" s="5" t="s">
        <v>260</v>
      </c>
      <c r="CQ605" s="5" t="s">
        <v>260</v>
      </c>
      <c r="CR605" s="5" t="s">
        <v>261</v>
      </c>
      <c r="CU605" s="8">
        <f>44528</f>
        <v>44528</v>
      </c>
      <c r="CV605" s="8">
        <f>0</f>
        <v>0</v>
      </c>
      <c r="CX605" s="8">
        <f>0</f>
        <v>0</v>
      </c>
      <c r="CY605" s="8">
        <f>44528</f>
        <v>44528</v>
      </c>
      <c r="DA605" s="5" t="s">
        <v>356</v>
      </c>
      <c r="DB605" s="5" t="s">
        <v>238</v>
      </c>
      <c r="DD605" s="5" t="s">
        <v>356</v>
      </c>
      <c r="DE605" s="8">
        <f>0</f>
        <v>0</v>
      </c>
      <c r="DG605" s="5" t="s">
        <v>534</v>
      </c>
      <c r="DH605" s="5" t="s">
        <v>238</v>
      </c>
      <c r="DI605" s="5" t="s">
        <v>238</v>
      </c>
      <c r="DJ605" s="5" t="s">
        <v>238</v>
      </c>
      <c r="DN605" s="5" t="s">
        <v>238</v>
      </c>
      <c r="DO605" s="5" t="s">
        <v>238</v>
      </c>
      <c r="DP605" s="5" t="s">
        <v>238</v>
      </c>
      <c r="DQ605" s="5" t="s">
        <v>238</v>
      </c>
      <c r="DT605" s="5" t="s">
        <v>535</v>
      </c>
      <c r="DU605" s="5" t="s">
        <v>346</v>
      </c>
      <c r="HM605" s="5" t="s">
        <v>264</v>
      </c>
    </row>
    <row r="606" spans="1:221" x14ac:dyDescent="0.4">
      <c r="A606" s="5">
        <v>1468</v>
      </c>
      <c r="B606" s="5">
        <v>1</v>
      </c>
      <c r="C606" s="5">
        <v>1</v>
      </c>
      <c r="D606" s="5" t="s">
        <v>484</v>
      </c>
      <c r="E606" s="5" t="s">
        <v>485</v>
      </c>
      <c r="F606" s="5" t="s">
        <v>248</v>
      </c>
      <c r="G606" s="5" t="s">
        <v>531</v>
      </c>
      <c r="H606" s="6" t="s">
        <v>5437</v>
      </c>
      <c r="I606" s="7">
        <f>138</f>
        <v>138</v>
      </c>
      <c r="J606" s="5" t="s">
        <v>262</v>
      </c>
      <c r="K606" s="8">
        <f>1518</f>
        <v>1518</v>
      </c>
      <c r="L606" s="6" t="s">
        <v>242</v>
      </c>
      <c r="M606" s="5" t="s">
        <v>267</v>
      </c>
      <c r="N606" s="5" t="s">
        <v>237</v>
      </c>
      <c r="O606" s="5" t="s">
        <v>238</v>
      </c>
      <c r="P606" s="5" t="s">
        <v>238</v>
      </c>
      <c r="Q606" s="5" t="s">
        <v>239</v>
      </c>
      <c r="R606" s="5" t="s">
        <v>240</v>
      </c>
      <c r="S606" s="5" t="s">
        <v>238</v>
      </c>
      <c r="V606" s="5" t="s">
        <v>238</v>
      </c>
      <c r="X606" s="6" t="s">
        <v>238</v>
      </c>
      <c r="AA606" s="6" t="s">
        <v>243</v>
      </c>
      <c r="AB606" s="5" t="s">
        <v>238</v>
      </c>
      <c r="AC606" s="5" t="s">
        <v>244</v>
      </c>
      <c r="AD606" s="5" t="s">
        <v>245</v>
      </c>
      <c r="AT606" s="5" t="s">
        <v>246</v>
      </c>
      <c r="AU606" s="5" t="s">
        <v>238</v>
      </c>
      <c r="AV606" s="5" t="s">
        <v>247</v>
      </c>
      <c r="AW606" s="5" t="s">
        <v>238</v>
      </c>
      <c r="AX606" s="5" t="s">
        <v>249</v>
      </c>
      <c r="AY606" s="5" t="s">
        <v>238</v>
      </c>
      <c r="BA606" s="5" t="s">
        <v>238</v>
      </c>
      <c r="BC606" s="5" t="s">
        <v>250</v>
      </c>
      <c r="BD606" s="6" t="s">
        <v>243</v>
      </c>
      <c r="BE606" s="5" t="s">
        <v>251</v>
      </c>
      <c r="BF606" s="5" t="s">
        <v>252</v>
      </c>
      <c r="BG606" s="5" t="s">
        <v>238</v>
      </c>
      <c r="BH606" s="7">
        <f>0</f>
        <v>0</v>
      </c>
      <c r="BI606" s="8">
        <f>0</f>
        <v>0</v>
      </c>
      <c r="BJ606" s="5" t="s">
        <v>253</v>
      </c>
      <c r="BK606" s="5" t="s">
        <v>254</v>
      </c>
      <c r="BY606" s="5" t="s">
        <v>238</v>
      </c>
      <c r="BZ606" s="5" t="s">
        <v>238</v>
      </c>
      <c r="CD606" s="5" t="s">
        <v>255</v>
      </c>
      <c r="CE606" s="5" t="s">
        <v>256</v>
      </c>
      <c r="CF606" s="5" t="s">
        <v>238</v>
      </c>
      <c r="CI606" s="6" t="s">
        <v>257</v>
      </c>
      <c r="CJ606" s="5" t="s">
        <v>238</v>
      </c>
      <c r="CK606" s="5" t="s">
        <v>258</v>
      </c>
      <c r="CL606" s="5" t="s">
        <v>238</v>
      </c>
      <c r="CM606" s="5" t="s">
        <v>238</v>
      </c>
      <c r="CN606" s="5">
        <v>0</v>
      </c>
      <c r="CO606" s="5" t="s">
        <v>259</v>
      </c>
      <c r="CP606" s="5" t="s">
        <v>260</v>
      </c>
      <c r="CQ606" s="5" t="s">
        <v>260</v>
      </c>
      <c r="CR606" s="5" t="s">
        <v>261</v>
      </c>
      <c r="CU606" s="8">
        <f>1518</f>
        <v>1518</v>
      </c>
      <c r="CV606" s="8">
        <f>0</f>
        <v>0</v>
      </c>
      <c r="CX606" s="8">
        <f>0</f>
        <v>0</v>
      </c>
      <c r="CY606" s="8">
        <f>1518</f>
        <v>1518</v>
      </c>
      <c r="DA606" s="5" t="s">
        <v>533</v>
      </c>
      <c r="DB606" s="5" t="s">
        <v>238</v>
      </c>
      <c r="DD606" s="5" t="s">
        <v>356</v>
      </c>
      <c r="DE606" s="8">
        <f>0</f>
        <v>0</v>
      </c>
      <c r="DG606" s="5" t="s">
        <v>534</v>
      </c>
      <c r="DH606" s="5" t="s">
        <v>238</v>
      </c>
      <c r="DI606" s="5" t="s">
        <v>238</v>
      </c>
      <c r="DJ606" s="5" t="s">
        <v>238</v>
      </c>
      <c r="DN606" s="5" t="s">
        <v>238</v>
      </c>
      <c r="DO606" s="5" t="s">
        <v>238</v>
      </c>
      <c r="DP606" s="5" t="s">
        <v>238</v>
      </c>
      <c r="DQ606" s="5" t="s">
        <v>238</v>
      </c>
      <c r="DT606" s="5" t="s">
        <v>535</v>
      </c>
      <c r="DU606" s="5" t="s">
        <v>352</v>
      </c>
      <c r="HM606" s="5" t="s">
        <v>264</v>
      </c>
    </row>
    <row r="607" spans="1:221" x14ac:dyDescent="0.4">
      <c r="A607" s="5">
        <v>1469</v>
      </c>
      <c r="B607" s="5">
        <v>1</v>
      </c>
      <c r="C607" s="5">
        <v>1</v>
      </c>
      <c r="D607" s="5" t="s">
        <v>484</v>
      </c>
      <c r="E607" s="5" t="s">
        <v>485</v>
      </c>
      <c r="F607" s="5" t="s">
        <v>248</v>
      </c>
      <c r="G607" s="5" t="s">
        <v>531</v>
      </c>
      <c r="H607" s="6" t="s">
        <v>5745</v>
      </c>
      <c r="I607" s="7">
        <f>978</f>
        <v>978</v>
      </c>
      <c r="J607" s="5" t="s">
        <v>262</v>
      </c>
      <c r="K607" s="8">
        <f>10758</f>
        <v>10758</v>
      </c>
      <c r="L607" s="6" t="s">
        <v>242</v>
      </c>
      <c r="M607" s="5" t="s">
        <v>267</v>
      </c>
      <c r="N607" s="5" t="s">
        <v>237</v>
      </c>
      <c r="O607" s="5" t="s">
        <v>238</v>
      </c>
      <c r="P607" s="5" t="s">
        <v>238</v>
      </c>
      <c r="Q607" s="5" t="s">
        <v>239</v>
      </c>
      <c r="R607" s="5" t="s">
        <v>240</v>
      </c>
      <c r="S607" s="5" t="s">
        <v>238</v>
      </c>
      <c r="V607" s="5" t="s">
        <v>238</v>
      </c>
      <c r="X607" s="6" t="s">
        <v>238</v>
      </c>
      <c r="AA607" s="6" t="s">
        <v>243</v>
      </c>
      <c r="AB607" s="5" t="s">
        <v>238</v>
      </c>
      <c r="AC607" s="5" t="s">
        <v>244</v>
      </c>
      <c r="AD607" s="5" t="s">
        <v>245</v>
      </c>
      <c r="AT607" s="5" t="s">
        <v>246</v>
      </c>
      <c r="AU607" s="5" t="s">
        <v>238</v>
      </c>
      <c r="AV607" s="5" t="s">
        <v>247</v>
      </c>
      <c r="AW607" s="5" t="s">
        <v>238</v>
      </c>
      <c r="AX607" s="5" t="s">
        <v>249</v>
      </c>
      <c r="AY607" s="5" t="s">
        <v>238</v>
      </c>
      <c r="BA607" s="5" t="s">
        <v>238</v>
      </c>
      <c r="BC607" s="5" t="s">
        <v>250</v>
      </c>
      <c r="BD607" s="6" t="s">
        <v>243</v>
      </c>
      <c r="BE607" s="5" t="s">
        <v>251</v>
      </c>
      <c r="BF607" s="5" t="s">
        <v>252</v>
      </c>
      <c r="BG607" s="5" t="s">
        <v>238</v>
      </c>
      <c r="BH607" s="7">
        <f>0</f>
        <v>0</v>
      </c>
      <c r="BI607" s="8">
        <f>0</f>
        <v>0</v>
      </c>
      <c r="BJ607" s="5" t="s">
        <v>253</v>
      </c>
      <c r="BK607" s="5" t="s">
        <v>254</v>
      </c>
      <c r="BY607" s="5" t="s">
        <v>238</v>
      </c>
      <c r="BZ607" s="5" t="s">
        <v>238</v>
      </c>
      <c r="CD607" s="5" t="s">
        <v>255</v>
      </c>
      <c r="CE607" s="5" t="s">
        <v>256</v>
      </c>
      <c r="CF607" s="5" t="s">
        <v>238</v>
      </c>
      <c r="CI607" s="6" t="s">
        <v>257</v>
      </c>
      <c r="CJ607" s="5" t="s">
        <v>238</v>
      </c>
      <c r="CK607" s="5" t="s">
        <v>258</v>
      </c>
      <c r="CL607" s="5" t="s">
        <v>238</v>
      </c>
      <c r="CM607" s="5" t="s">
        <v>238</v>
      </c>
      <c r="CN607" s="5">
        <v>0</v>
      </c>
      <c r="CO607" s="5" t="s">
        <v>259</v>
      </c>
      <c r="CP607" s="5" t="s">
        <v>260</v>
      </c>
      <c r="CQ607" s="5" t="s">
        <v>260</v>
      </c>
      <c r="CR607" s="5" t="s">
        <v>261</v>
      </c>
      <c r="CU607" s="8">
        <f>10758</f>
        <v>10758</v>
      </c>
      <c r="CV607" s="8">
        <f>0</f>
        <v>0</v>
      </c>
      <c r="CX607" s="8">
        <f>0</f>
        <v>0</v>
      </c>
      <c r="CY607" s="8">
        <f>10758</f>
        <v>10758</v>
      </c>
      <c r="DA607" s="5" t="s">
        <v>533</v>
      </c>
      <c r="DB607" s="5" t="s">
        <v>238</v>
      </c>
      <c r="DD607" s="5" t="s">
        <v>356</v>
      </c>
      <c r="DE607" s="8">
        <f>0</f>
        <v>0</v>
      </c>
      <c r="DG607" s="5" t="s">
        <v>534</v>
      </c>
      <c r="DH607" s="5" t="s">
        <v>238</v>
      </c>
      <c r="DI607" s="5" t="s">
        <v>238</v>
      </c>
      <c r="DJ607" s="5" t="s">
        <v>238</v>
      </c>
      <c r="DN607" s="5" t="s">
        <v>238</v>
      </c>
      <c r="DO607" s="5" t="s">
        <v>238</v>
      </c>
      <c r="DP607" s="5" t="s">
        <v>238</v>
      </c>
      <c r="DQ607" s="5" t="s">
        <v>238</v>
      </c>
      <c r="DT607" s="5" t="s">
        <v>535</v>
      </c>
      <c r="DU607" s="5" t="s">
        <v>3343</v>
      </c>
      <c r="HM607" s="5" t="s">
        <v>264</v>
      </c>
    </row>
    <row r="608" spans="1:221" x14ac:dyDescent="0.4">
      <c r="A608" s="5">
        <v>1470</v>
      </c>
      <c r="B608" s="5">
        <v>1</v>
      </c>
      <c r="C608" s="5">
        <v>1</v>
      </c>
      <c r="D608" s="5" t="s">
        <v>484</v>
      </c>
      <c r="E608" s="5" t="s">
        <v>485</v>
      </c>
      <c r="F608" s="5" t="s">
        <v>248</v>
      </c>
      <c r="G608" s="5" t="s">
        <v>531</v>
      </c>
      <c r="H608" s="6" t="s">
        <v>5749</v>
      </c>
      <c r="I608" s="7">
        <f>512</f>
        <v>512</v>
      </c>
      <c r="J608" s="5" t="s">
        <v>262</v>
      </c>
      <c r="K608" s="8">
        <f>5632</f>
        <v>5632</v>
      </c>
      <c r="L608" s="6" t="s">
        <v>242</v>
      </c>
      <c r="M608" s="5" t="s">
        <v>267</v>
      </c>
      <c r="N608" s="5" t="s">
        <v>237</v>
      </c>
      <c r="O608" s="5" t="s">
        <v>238</v>
      </c>
      <c r="P608" s="5" t="s">
        <v>238</v>
      </c>
      <c r="Q608" s="5" t="s">
        <v>239</v>
      </c>
      <c r="R608" s="5" t="s">
        <v>240</v>
      </c>
      <c r="S608" s="5" t="s">
        <v>238</v>
      </c>
      <c r="V608" s="5" t="s">
        <v>238</v>
      </c>
      <c r="X608" s="6" t="s">
        <v>238</v>
      </c>
      <c r="AA608" s="6" t="s">
        <v>243</v>
      </c>
      <c r="AB608" s="5" t="s">
        <v>238</v>
      </c>
      <c r="AC608" s="5" t="s">
        <v>244</v>
      </c>
      <c r="AD608" s="5" t="s">
        <v>245</v>
      </c>
      <c r="AT608" s="5" t="s">
        <v>246</v>
      </c>
      <c r="AU608" s="5" t="s">
        <v>238</v>
      </c>
      <c r="AV608" s="5" t="s">
        <v>247</v>
      </c>
      <c r="AW608" s="5" t="s">
        <v>238</v>
      </c>
      <c r="AX608" s="5" t="s">
        <v>249</v>
      </c>
      <c r="AY608" s="5" t="s">
        <v>238</v>
      </c>
      <c r="BA608" s="5" t="s">
        <v>238</v>
      </c>
      <c r="BC608" s="5" t="s">
        <v>250</v>
      </c>
      <c r="BD608" s="6" t="s">
        <v>243</v>
      </c>
      <c r="BE608" s="5" t="s">
        <v>251</v>
      </c>
      <c r="BF608" s="5" t="s">
        <v>252</v>
      </c>
      <c r="BG608" s="5" t="s">
        <v>238</v>
      </c>
      <c r="BH608" s="7">
        <f>0</f>
        <v>0</v>
      </c>
      <c r="BI608" s="8">
        <f>0</f>
        <v>0</v>
      </c>
      <c r="BJ608" s="5" t="s">
        <v>253</v>
      </c>
      <c r="BK608" s="5" t="s">
        <v>254</v>
      </c>
      <c r="BY608" s="5" t="s">
        <v>238</v>
      </c>
      <c r="BZ608" s="5" t="s">
        <v>238</v>
      </c>
      <c r="CD608" s="5" t="s">
        <v>255</v>
      </c>
      <c r="CE608" s="5" t="s">
        <v>256</v>
      </c>
      <c r="CF608" s="5" t="s">
        <v>238</v>
      </c>
      <c r="CI608" s="6" t="s">
        <v>257</v>
      </c>
      <c r="CJ608" s="5" t="s">
        <v>238</v>
      </c>
      <c r="CK608" s="5" t="s">
        <v>258</v>
      </c>
      <c r="CL608" s="5" t="s">
        <v>238</v>
      </c>
      <c r="CM608" s="5" t="s">
        <v>238</v>
      </c>
      <c r="CN608" s="5">
        <v>0</v>
      </c>
      <c r="CO608" s="5" t="s">
        <v>259</v>
      </c>
      <c r="CP608" s="5" t="s">
        <v>260</v>
      </c>
      <c r="CQ608" s="5" t="s">
        <v>260</v>
      </c>
      <c r="CR608" s="5" t="s">
        <v>261</v>
      </c>
      <c r="CU608" s="8">
        <f>5632</f>
        <v>5632</v>
      </c>
      <c r="CV608" s="8">
        <f>0</f>
        <v>0</v>
      </c>
      <c r="CX608" s="8">
        <f>0</f>
        <v>0</v>
      </c>
      <c r="CY608" s="8">
        <f>5632</f>
        <v>5632</v>
      </c>
      <c r="DA608" s="5" t="s">
        <v>533</v>
      </c>
      <c r="DB608" s="5" t="s">
        <v>238</v>
      </c>
      <c r="DD608" s="5" t="s">
        <v>356</v>
      </c>
      <c r="DE608" s="8">
        <f>0</f>
        <v>0</v>
      </c>
      <c r="DG608" s="5" t="s">
        <v>534</v>
      </c>
      <c r="DH608" s="5" t="s">
        <v>238</v>
      </c>
      <c r="DI608" s="5" t="s">
        <v>238</v>
      </c>
      <c r="DJ608" s="5" t="s">
        <v>238</v>
      </c>
      <c r="DN608" s="5" t="s">
        <v>238</v>
      </c>
      <c r="DO608" s="5" t="s">
        <v>238</v>
      </c>
      <c r="DP608" s="5" t="s">
        <v>238</v>
      </c>
      <c r="DQ608" s="5" t="s">
        <v>238</v>
      </c>
      <c r="DT608" s="5" t="s">
        <v>535</v>
      </c>
      <c r="DU608" s="5" t="s">
        <v>362</v>
      </c>
      <c r="HM608" s="5" t="s">
        <v>264</v>
      </c>
    </row>
    <row r="609" spans="1:221" x14ac:dyDescent="0.4">
      <c r="A609" s="5">
        <v>1471</v>
      </c>
      <c r="B609" s="5">
        <v>1</v>
      </c>
      <c r="C609" s="5">
        <v>1</v>
      </c>
      <c r="D609" s="5" t="s">
        <v>484</v>
      </c>
      <c r="E609" s="5" t="s">
        <v>485</v>
      </c>
      <c r="F609" s="5" t="s">
        <v>248</v>
      </c>
      <c r="G609" s="5" t="s">
        <v>531</v>
      </c>
      <c r="H609" s="6" t="s">
        <v>5440</v>
      </c>
      <c r="I609" s="7">
        <f>2003</f>
        <v>2003</v>
      </c>
      <c r="J609" s="5" t="s">
        <v>262</v>
      </c>
      <c r="K609" s="8">
        <f>22033</f>
        <v>22033</v>
      </c>
      <c r="L609" s="6" t="s">
        <v>242</v>
      </c>
      <c r="M609" s="5" t="s">
        <v>267</v>
      </c>
      <c r="N609" s="5" t="s">
        <v>237</v>
      </c>
      <c r="O609" s="5" t="s">
        <v>238</v>
      </c>
      <c r="P609" s="5" t="s">
        <v>238</v>
      </c>
      <c r="Q609" s="5" t="s">
        <v>239</v>
      </c>
      <c r="R609" s="5" t="s">
        <v>240</v>
      </c>
      <c r="S609" s="5" t="s">
        <v>238</v>
      </c>
      <c r="V609" s="5" t="s">
        <v>238</v>
      </c>
      <c r="X609" s="6" t="s">
        <v>238</v>
      </c>
      <c r="AA609" s="6" t="s">
        <v>243</v>
      </c>
      <c r="AB609" s="5" t="s">
        <v>238</v>
      </c>
      <c r="AC609" s="5" t="s">
        <v>244</v>
      </c>
      <c r="AD609" s="5" t="s">
        <v>245</v>
      </c>
      <c r="AT609" s="5" t="s">
        <v>246</v>
      </c>
      <c r="AU609" s="5" t="s">
        <v>238</v>
      </c>
      <c r="AV609" s="5" t="s">
        <v>247</v>
      </c>
      <c r="AW609" s="5" t="s">
        <v>238</v>
      </c>
      <c r="AX609" s="5" t="s">
        <v>249</v>
      </c>
      <c r="AY609" s="5" t="s">
        <v>238</v>
      </c>
      <c r="BA609" s="5" t="s">
        <v>238</v>
      </c>
      <c r="BC609" s="5" t="s">
        <v>250</v>
      </c>
      <c r="BD609" s="6" t="s">
        <v>243</v>
      </c>
      <c r="BE609" s="5" t="s">
        <v>251</v>
      </c>
      <c r="BF609" s="5" t="s">
        <v>252</v>
      </c>
      <c r="BG609" s="5" t="s">
        <v>238</v>
      </c>
      <c r="BH609" s="7">
        <f>0</f>
        <v>0</v>
      </c>
      <c r="BI609" s="8">
        <f>0</f>
        <v>0</v>
      </c>
      <c r="BJ609" s="5" t="s">
        <v>253</v>
      </c>
      <c r="BK609" s="5" t="s">
        <v>254</v>
      </c>
      <c r="BY609" s="5" t="s">
        <v>238</v>
      </c>
      <c r="BZ609" s="5" t="s">
        <v>238</v>
      </c>
      <c r="CD609" s="5" t="s">
        <v>255</v>
      </c>
      <c r="CE609" s="5" t="s">
        <v>256</v>
      </c>
      <c r="CF609" s="5" t="s">
        <v>238</v>
      </c>
      <c r="CI609" s="6" t="s">
        <v>257</v>
      </c>
      <c r="CJ609" s="5" t="s">
        <v>238</v>
      </c>
      <c r="CK609" s="5" t="s">
        <v>258</v>
      </c>
      <c r="CL609" s="5" t="s">
        <v>238</v>
      </c>
      <c r="CM609" s="5" t="s">
        <v>238</v>
      </c>
      <c r="CN609" s="5">
        <v>0</v>
      </c>
      <c r="CO609" s="5" t="s">
        <v>259</v>
      </c>
      <c r="CP609" s="5" t="s">
        <v>260</v>
      </c>
      <c r="CQ609" s="5" t="s">
        <v>260</v>
      </c>
      <c r="CR609" s="5" t="s">
        <v>261</v>
      </c>
      <c r="CU609" s="8">
        <f>22033</f>
        <v>22033</v>
      </c>
      <c r="CV609" s="8">
        <f>0</f>
        <v>0</v>
      </c>
      <c r="CX609" s="8">
        <f>0</f>
        <v>0</v>
      </c>
      <c r="CY609" s="8">
        <f>22033</f>
        <v>22033</v>
      </c>
      <c r="DA609" s="5" t="s">
        <v>533</v>
      </c>
      <c r="DB609" s="5" t="s">
        <v>238</v>
      </c>
      <c r="DD609" s="5" t="s">
        <v>356</v>
      </c>
      <c r="DE609" s="8">
        <f>0</f>
        <v>0</v>
      </c>
      <c r="DG609" s="5" t="s">
        <v>534</v>
      </c>
      <c r="DH609" s="5" t="s">
        <v>238</v>
      </c>
      <c r="DI609" s="5" t="s">
        <v>238</v>
      </c>
      <c r="DJ609" s="5" t="s">
        <v>238</v>
      </c>
      <c r="DN609" s="5" t="s">
        <v>238</v>
      </c>
      <c r="DO609" s="5" t="s">
        <v>238</v>
      </c>
      <c r="DP609" s="5" t="s">
        <v>238</v>
      </c>
      <c r="DQ609" s="5" t="s">
        <v>238</v>
      </c>
      <c r="DT609" s="5" t="s">
        <v>535</v>
      </c>
      <c r="DU609" s="5" t="s">
        <v>366</v>
      </c>
      <c r="HM609" s="5" t="s">
        <v>264</v>
      </c>
    </row>
    <row r="610" spans="1:221" x14ac:dyDescent="0.4">
      <c r="A610" s="5">
        <v>1472</v>
      </c>
      <c r="B610" s="5">
        <v>1</v>
      </c>
      <c r="C610" s="5">
        <v>1</v>
      </c>
      <c r="D610" s="5" t="s">
        <v>484</v>
      </c>
      <c r="E610" s="5" t="s">
        <v>485</v>
      </c>
      <c r="F610" s="5" t="s">
        <v>248</v>
      </c>
      <c r="G610" s="5" t="s">
        <v>531</v>
      </c>
      <c r="H610" s="6" t="s">
        <v>5443</v>
      </c>
      <c r="I610" s="7">
        <f>4252</f>
        <v>4252</v>
      </c>
      <c r="J610" s="5" t="s">
        <v>262</v>
      </c>
      <c r="K610" s="8">
        <f>46772</f>
        <v>46772</v>
      </c>
      <c r="L610" s="6" t="s">
        <v>242</v>
      </c>
      <c r="M610" s="5" t="s">
        <v>267</v>
      </c>
      <c r="N610" s="5" t="s">
        <v>237</v>
      </c>
      <c r="O610" s="5" t="s">
        <v>238</v>
      </c>
      <c r="P610" s="5" t="s">
        <v>238</v>
      </c>
      <c r="Q610" s="5" t="s">
        <v>239</v>
      </c>
      <c r="R610" s="5" t="s">
        <v>240</v>
      </c>
      <c r="S610" s="5" t="s">
        <v>238</v>
      </c>
      <c r="V610" s="5" t="s">
        <v>238</v>
      </c>
      <c r="X610" s="6" t="s">
        <v>238</v>
      </c>
      <c r="AA610" s="6" t="s">
        <v>243</v>
      </c>
      <c r="AB610" s="5" t="s">
        <v>238</v>
      </c>
      <c r="AC610" s="5" t="s">
        <v>244</v>
      </c>
      <c r="AD610" s="5" t="s">
        <v>245</v>
      </c>
      <c r="AT610" s="5" t="s">
        <v>246</v>
      </c>
      <c r="AU610" s="5" t="s">
        <v>238</v>
      </c>
      <c r="AV610" s="5" t="s">
        <v>247</v>
      </c>
      <c r="AW610" s="5" t="s">
        <v>238</v>
      </c>
      <c r="AX610" s="5" t="s">
        <v>249</v>
      </c>
      <c r="AY610" s="5" t="s">
        <v>238</v>
      </c>
      <c r="BA610" s="5" t="s">
        <v>238</v>
      </c>
      <c r="BC610" s="5" t="s">
        <v>250</v>
      </c>
      <c r="BD610" s="6" t="s">
        <v>243</v>
      </c>
      <c r="BE610" s="5" t="s">
        <v>251</v>
      </c>
      <c r="BF610" s="5" t="s">
        <v>252</v>
      </c>
      <c r="BG610" s="5" t="s">
        <v>238</v>
      </c>
      <c r="BH610" s="7">
        <f>0</f>
        <v>0</v>
      </c>
      <c r="BI610" s="8">
        <f>0</f>
        <v>0</v>
      </c>
      <c r="BJ610" s="5" t="s">
        <v>253</v>
      </c>
      <c r="BK610" s="5" t="s">
        <v>254</v>
      </c>
      <c r="BY610" s="5" t="s">
        <v>238</v>
      </c>
      <c r="BZ610" s="5" t="s">
        <v>238</v>
      </c>
      <c r="CD610" s="5" t="s">
        <v>255</v>
      </c>
      <c r="CE610" s="5" t="s">
        <v>256</v>
      </c>
      <c r="CF610" s="5" t="s">
        <v>238</v>
      </c>
      <c r="CI610" s="6" t="s">
        <v>257</v>
      </c>
      <c r="CJ610" s="5" t="s">
        <v>238</v>
      </c>
      <c r="CK610" s="5" t="s">
        <v>258</v>
      </c>
      <c r="CL610" s="5" t="s">
        <v>238</v>
      </c>
      <c r="CM610" s="5" t="s">
        <v>238</v>
      </c>
      <c r="CN610" s="5">
        <v>0</v>
      </c>
      <c r="CO610" s="5" t="s">
        <v>259</v>
      </c>
      <c r="CP610" s="5" t="s">
        <v>260</v>
      </c>
      <c r="CQ610" s="5" t="s">
        <v>260</v>
      </c>
      <c r="CR610" s="5" t="s">
        <v>261</v>
      </c>
      <c r="CU610" s="8">
        <f>46772</f>
        <v>46772</v>
      </c>
      <c r="CV610" s="8">
        <f>0</f>
        <v>0</v>
      </c>
      <c r="CX610" s="8">
        <f>0</f>
        <v>0</v>
      </c>
      <c r="CY610" s="8">
        <f>46772</f>
        <v>46772</v>
      </c>
      <c r="DA610" s="5" t="s">
        <v>533</v>
      </c>
      <c r="DB610" s="5" t="s">
        <v>238</v>
      </c>
      <c r="DD610" s="5" t="s">
        <v>356</v>
      </c>
      <c r="DE610" s="8">
        <f>0</f>
        <v>0</v>
      </c>
      <c r="DG610" s="5" t="s">
        <v>534</v>
      </c>
      <c r="DH610" s="5" t="s">
        <v>238</v>
      </c>
      <c r="DI610" s="5" t="s">
        <v>238</v>
      </c>
      <c r="DJ610" s="5" t="s">
        <v>238</v>
      </c>
      <c r="DN610" s="5" t="s">
        <v>238</v>
      </c>
      <c r="DO610" s="5" t="s">
        <v>238</v>
      </c>
      <c r="DP610" s="5" t="s">
        <v>238</v>
      </c>
      <c r="DQ610" s="5" t="s">
        <v>238</v>
      </c>
      <c r="DT610" s="5" t="s">
        <v>535</v>
      </c>
      <c r="DU610" s="5" t="s">
        <v>368</v>
      </c>
      <c r="HM610" s="5" t="s">
        <v>264</v>
      </c>
    </row>
    <row r="611" spans="1:221" x14ac:dyDescent="0.4">
      <c r="A611" s="5">
        <v>1473</v>
      </c>
      <c r="B611" s="5">
        <v>1</v>
      </c>
      <c r="C611" s="5">
        <v>1</v>
      </c>
      <c r="D611" s="5" t="s">
        <v>484</v>
      </c>
      <c r="E611" s="5" t="s">
        <v>485</v>
      </c>
      <c r="F611" s="5" t="s">
        <v>248</v>
      </c>
      <c r="G611" s="5" t="s">
        <v>531</v>
      </c>
      <c r="H611" s="6" t="s">
        <v>5446</v>
      </c>
      <c r="I611" s="7">
        <f>397</f>
        <v>397</v>
      </c>
      <c r="J611" s="5" t="s">
        <v>262</v>
      </c>
      <c r="K611" s="8">
        <f>4367</f>
        <v>4367</v>
      </c>
      <c r="L611" s="6" t="s">
        <v>242</v>
      </c>
      <c r="M611" s="5" t="s">
        <v>267</v>
      </c>
      <c r="N611" s="5" t="s">
        <v>237</v>
      </c>
      <c r="O611" s="5" t="s">
        <v>238</v>
      </c>
      <c r="P611" s="5" t="s">
        <v>238</v>
      </c>
      <c r="Q611" s="5" t="s">
        <v>239</v>
      </c>
      <c r="R611" s="5" t="s">
        <v>240</v>
      </c>
      <c r="S611" s="5" t="s">
        <v>238</v>
      </c>
      <c r="V611" s="5" t="s">
        <v>238</v>
      </c>
      <c r="X611" s="6" t="s">
        <v>238</v>
      </c>
      <c r="AA611" s="6" t="s">
        <v>243</v>
      </c>
      <c r="AB611" s="5" t="s">
        <v>238</v>
      </c>
      <c r="AC611" s="5" t="s">
        <v>244</v>
      </c>
      <c r="AD611" s="5" t="s">
        <v>245</v>
      </c>
      <c r="AT611" s="5" t="s">
        <v>246</v>
      </c>
      <c r="AU611" s="5" t="s">
        <v>238</v>
      </c>
      <c r="AV611" s="5" t="s">
        <v>247</v>
      </c>
      <c r="AW611" s="5" t="s">
        <v>238</v>
      </c>
      <c r="AX611" s="5" t="s">
        <v>249</v>
      </c>
      <c r="AY611" s="5" t="s">
        <v>238</v>
      </c>
      <c r="BA611" s="5" t="s">
        <v>238</v>
      </c>
      <c r="BC611" s="5" t="s">
        <v>250</v>
      </c>
      <c r="BD611" s="6" t="s">
        <v>243</v>
      </c>
      <c r="BE611" s="5" t="s">
        <v>251</v>
      </c>
      <c r="BF611" s="5" t="s">
        <v>252</v>
      </c>
      <c r="BG611" s="5" t="s">
        <v>238</v>
      </c>
      <c r="BH611" s="7">
        <f>0</f>
        <v>0</v>
      </c>
      <c r="BI611" s="8">
        <f>0</f>
        <v>0</v>
      </c>
      <c r="BJ611" s="5" t="s">
        <v>253</v>
      </c>
      <c r="BK611" s="5" t="s">
        <v>254</v>
      </c>
      <c r="BY611" s="5" t="s">
        <v>238</v>
      </c>
      <c r="BZ611" s="5" t="s">
        <v>238</v>
      </c>
      <c r="CD611" s="5" t="s">
        <v>255</v>
      </c>
      <c r="CE611" s="5" t="s">
        <v>256</v>
      </c>
      <c r="CF611" s="5" t="s">
        <v>238</v>
      </c>
      <c r="CI611" s="6" t="s">
        <v>257</v>
      </c>
      <c r="CJ611" s="5" t="s">
        <v>238</v>
      </c>
      <c r="CK611" s="5" t="s">
        <v>258</v>
      </c>
      <c r="CL611" s="5" t="s">
        <v>238</v>
      </c>
      <c r="CM611" s="5" t="s">
        <v>238</v>
      </c>
      <c r="CN611" s="5">
        <v>0</v>
      </c>
      <c r="CO611" s="5" t="s">
        <v>259</v>
      </c>
      <c r="CP611" s="5" t="s">
        <v>260</v>
      </c>
      <c r="CQ611" s="5" t="s">
        <v>260</v>
      </c>
      <c r="CR611" s="5" t="s">
        <v>261</v>
      </c>
      <c r="CU611" s="8">
        <f>4367</f>
        <v>4367</v>
      </c>
      <c r="CV611" s="8">
        <f>0</f>
        <v>0</v>
      </c>
      <c r="CX611" s="8">
        <f>0</f>
        <v>0</v>
      </c>
      <c r="CY611" s="8">
        <f>4367</f>
        <v>4367</v>
      </c>
      <c r="DA611" s="5" t="s">
        <v>533</v>
      </c>
      <c r="DB611" s="5" t="s">
        <v>238</v>
      </c>
      <c r="DD611" s="5" t="s">
        <v>356</v>
      </c>
      <c r="DE611" s="8">
        <f>0</f>
        <v>0</v>
      </c>
      <c r="DG611" s="5" t="s">
        <v>534</v>
      </c>
      <c r="DH611" s="5" t="s">
        <v>238</v>
      </c>
      <c r="DI611" s="5" t="s">
        <v>238</v>
      </c>
      <c r="DJ611" s="5" t="s">
        <v>238</v>
      </c>
      <c r="DN611" s="5" t="s">
        <v>238</v>
      </c>
      <c r="DO611" s="5" t="s">
        <v>238</v>
      </c>
      <c r="DP611" s="5" t="s">
        <v>238</v>
      </c>
      <c r="DQ611" s="5" t="s">
        <v>238</v>
      </c>
      <c r="DT611" s="5" t="s">
        <v>535</v>
      </c>
      <c r="DU611" s="5" t="s">
        <v>372</v>
      </c>
      <c r="HM611" s="5" t="s">
        <v>264</v>
      </c>
    </row>
    <row r="612" spans="1:221" x14ac:dyDescent="0.4">
      <c r="A612" s="5">
        <v>1474</v>
      </c>
      <c r="B612" s="5">
        <v>1</v>
      </c>
      <c r="C612" s="5">
        <v>1</v>
      </c>
      <c r="D612" s="5" t="s">
        <v>484</v>
      </c>
      <c r="E612" s="5" t="s">
        <v>485</v>
      </c>
      <c r="F612" s="5" t="s">
        <v>248</v>
      </c>
      <c r="G612" s="5" t="s">
        <v>531</v>
      </c>
      <c r="H612" s="6" t="s">
        <v>5448</v>
      </c>
      <c r="I612" s="7">
        <f>375</f>
        <v>375</v>
      </c>
      <c r="J612" s="5" t="s">
        <v>262</v>
      </c>
      <c r="K612" s="8">
        <f>4125</f>
        <v>4125</v>
      </c>
      <c r="L612" s="6" t="s">
        <v>242</v>
      </c>
      <c r="M612" s="5" t="s">
        <v>267</v>
      </c>
      <c r="N612" s="5" t="s">
        <v>237</v>
      </c>
      <c r="O612" s="5" t="s">
        <v>238</v>
      </c>
      <c r="P612" s="5" t="s">
        <v>238</v>
      </c>
      <c r="Q612" s="5" t="s">
        <v>239</v>
      </c>
      <c r="R612" s="5" t="s">
        <v>240</v>
      </c>
      <c r="S612" s="5" t="s">
        <v>238</v>
      </c>
      <c r="V612" s="5" t="s">
        <v>238</v>
      </c>
      <c r="X612" s="6" t="s">
        <v>238</v>
      </c>
      <c r="AA612" s="6" t="s">
        <v>243</v>
      </c>
      <c r="AB612" s="5" t="s">
        <v>238</v>
      </c>
      <c r="AC612" s="5" t="s">
        <v>244</v>
      </c>
      <c r="AD612" s="5" t="s">
        <v>245</v>
      </c>
      <c r="AT612" s="5" t="s">
        <v>246</v>
      </c>
      <c r="AU612" s="5" t="s">
        <v>238</v>
      </c>
      <c r="AV612" s="5" t="s">
        <v>247</v>
      </c>
      <c r="AW612" s="5" t="s">
        <v>238</v>
      </c>
      <c r="AX612" s="5" t="s">
        <v>249</v>
      </c>
      <c r="AY612" s="5" t="s">
        <v>238</v>
      </c>
      <c r="BA612" s="5" t="s">
        <v>238</v>
      </c>
      <c r="BC612" s="5" t="s">
        <v>250</v>
      </c>
      <c r="BD612" s="6" t="s">
        <v>243</v>
      </c>
      <c r="BE612" s="5" t="s">
        <v>251</v>
      </c>
      <c r="BF612" s="5" t="s">
        <v>252</v>
      </c>
      <c r="BG612" s="5" t="s">
        <v>238</v>
      </c>
      <c r="BH612" s="7">
        <f>0</f>
        <v>0</v>
      </c>
      <c r="BI612" s="8">
        <f>0</f>
        <v>0</v>
      </c>
      <c r="BJ612" s="5" t="s">
        <v>253</v>
      </c>
      <c r="BK612" s="5" t="s">
        <v>254</v>
      </c>
      <c r="BY612" s="5" t="s">
        <v>238</v>
      </c>
      <c r="BZ612" s="5" t="s">
        <v>238</v>
      </c>
      <c r="CD612" s="5" t="s">
        <v>255</v>
      </c>
      <c r="CE612" s="5" t="s">
        <v>256</v>
      </c>
      <c r="CF612" s="5" t="s">
        <v>238</v>
      </c>
      <c r="CI612" s="6" t="s">
        <v>257</v>
      </c>
      <c r="CJ612" s="5" t="s">
        <v>238</v>
      </c>
      <c r="CK612" s="5" t="s">
        <v>258</v>
      </c>
      <c r="CL612" s="5" t="s">
        <v>238</v>
      </c>
      <c r="CM612" s="5" t="s">
        <v>238</v>
      </c>
      <c r="CN612" s="5">
        <v>0</v>
      </c>
      <c r="CO612" s="5" t="s">
        <v>259</v>
      </c>
      <c r="CP612" s="5" t="s">
        <v>260</v>
      </c>
      <c r="CQ612" s="5" t="s">
        <v>260</v>
      </c>
      <c r="CR612" s="5" t="s">
        <v>261</v>
      </c>
      <c r="CU612" s="8">
        <f>4125</f>
        <v>4125</v>
      </c>
      <c r="CV612" s="8">
        <f>0</f>
        <v>0</v>
      </c>
      <c r="CX612" s="8">
        <f>0</f>
        <v>0</v>
      </c>
      <c r="CY612" s="8">
        <f>4125</f>
        <v>4125</v>
      </c>
      <c r="DA612" s="5" t="s">
        <v>533</v>
      </c>
      <c r="DB612" s="5" t="s">
        <v>238</v>
      </c>
      <c r="DD612" s="5" t="s">
        <v>356</v>
      </c>
      <c r="DE612" s="8">
        <f>0</f>
        <v>0</v>
      </c>
      <c r="DG612" s="5" t="s">
        <v>534</v>
      </c>
      <c r="DH612" s="5" t="s">
        <v>238</v>
      </c>
      <c r="DI612" s="5" t="s">
        <v>238</v>
      </c>
      <c r="DJ612" s="5" t="s">
        <v>238</v>
      </c>
      <c r="DN612" s="5" t="s">
        <v>238</v>
      </c>
      <c r="DO612" s="5" t="s">
        <v>238</v>
      </c>
      <c r="DP612" s="5" t="s">
        <v>238</v>
      </c>
      <c r="DQ612" s="5" t="s">
        <v>238</v>
      </c>
      <c r="DT612" s="5" t="s">
        <v>535</v>
      </c>
      <c r="DU612" s="5" t="s">
        <v>376</v>
      </c>
      <c r="HM612" s="5" t="s">
        <v>264</v>
      </c>
    </row>
    <row r="613" spans="1:221" x14ac:dyDescent="0.4">
      <c r="A613" s="5">
        <v>1475</v>
      </c>
      <c r="B613" s="5">
        <v>1</v>
      </c>
      <c r="C613" s="5">
        <v>1</v>
      </c>
      <c r="D613" s="5" t="s">
        <v>484</v>
      </c>
      <c r="E613" s="5" t="s">
        <v>485</v>
      </c>
      <c r="F613" s="5" t="s">
        <v>248</v>
      </c>
      <c r="G613" s="5" t="s">
        <v>531</v>
      </c>
      <c r="H613" s="6" t="s">
        <v>5452</v>
      </c>
      <c r="I613" s="7">
        <f>1285</f>
        <v>1285</v>
      </c>
      <c r="J613" s="5" t="s">
        <v>262</v>
      </c>
      <c r="K613" s="8">
        <f>14135</f>
        <v>14135</v>
      </c>
      <c r="L613" s="6" t="s">
        <v>242</v>
      </c>
      <c r="M613" s="5" t="s">
        <v>267</v>
      </c>
      <c r="N613" s="5" t="s">
        <v>237</v>
      </c>
      <c r="O613" s="5" t="s">
        <v>238</v>
      </c>
      <c r="P613" s="5" t="s">
        <v>238</v>
      </c>
      <c r="Q613" s="5" t="s">
        <v>239</v>
      </c>
      <c r="R613" s="5" t="s">
        <v>240</v>
      </c>
      <c r="S613" s="5" t="s">
        <v>238</v>
      </c>
      <c r="V613" s="5" t="s">
        <v>238</v>
      </c>
      <c r="X613" s="6" t="s">
        <v>238</v>
      </c>
      <c r="AA613" s="6" t="s">
        <v>243</v>
      </c>
      <c r="AB613" s="5" t="s">
        <v>238</v>
      </c>
      <c r="AC613" s="5" t="s">
        <v>244</v>
      </c>
      <c r="AD613" s="5" t="s">
        <v>245</v>
      </c>
      <c r="AT613" s="5" t="s">
        <v>246</v>
      </c>
      <c r="AU613" s="5" t="s">
        <v>238</v>
      </c>
      <c r="AV613" s="5" t="s">
        <v>247</v>
      </c>
      <c r="AW613" s="5" t="s">
        <v>238</v>
      </c>
      <c r="AX613" s="5" t="s">
        <v>249</v>
      </c>
      <c r="AY613" s="5" t="s">
        <v>238</v>
      </c>
      <c r="BA613" s="5" t="s">
        <v>238</v>
      </c>
      <c r="BC613" s="5" t="s">
        <v>250</v>
      </c>
      <c r="BD613" s="6" t="s">
        <v>243</v>
      </c>
      <c r="BE613" s="5" t="s">
        <v>251</v>
      </c>
      <c r="BF613" s="5" t="s">
        <v>252</v>
      </c>
      <c r="BG613" s="5" t="s">
        <v>238</v>
      </c>
      <c r="BH613" s="7">
        <f>0</f>
        <v>0</v>
      </c>
      <c r="BI613" s="8">
        <f>0</f>
        <v>0</v>
      </c>
      <c r="BJ613" s="5" t="s">
        <v>253</v>
      </c>
      <c r="BK613" s="5" t="s">
        <v>254</v>
      </c>
      <c r="BY613" s="5" t="s">
        <v>238</v>
      </c>
      <c r="BZ613" s="5" t="s">
        <v>238</v>
      </c>
      <c r="CD613" s="5" t="s">
        <v>255</v>
      </c>
      <c r="CE613" s="5" t="s">
        <v>256</v>
      </c>
      <c r="CF613" s="5" t="s">
        <v>238</v>
      </c>
      <c r="CI613" s="6" t="s">
        <v>257</v>
      </c>
      <c r="CJ613" s="5" t="s">
        <v>238</v>
      </c>
      <c r="CK613" s="5" t="s">
        <v>258</v>
      </c>
      <c r="CL613" s="5" t="s">
        <v>238</v>
      </c>
      <c r="CM613" s="5" t="s">
        <v>238</v>
      </c>
      <c r="CN613" s="5">
        <v>0</v>
      </c>
      <c r="CO613" s="5" t="s">
        <v>259</v>
      </c>
      <c r="CP613" s="5" t="s">
        <v>260</v>
      </c>
      <c r="CQ613" s="5" t="s">
        <v>260</v>
      </c>
      <c r="CR613" s="5" t="s">
        <v>261</v>
      </c>
      <c r="CU613" s="8">
        <f>14135</f>
        <v>14135</v>
      </c>
      <c r="CV613" s="8">
        <f>0</f>
        <v>0</v>
      </c>
      <c r="CX613" s="8">
        <f>0</f>
        <v>0</v>
      </c>
      <c r="CY613" s="8">
        <f>14135</f>
        <v>14135</v>
      </c>
      <c r="DA613" s="5" t="s">
        <v>533</v>
      </c>
      <c r="DB613" s="5" t="s">
        <v>238</v>
      </c>
      <c r="DD613" s="5" t="s">
        <v>356</v>
      </c>
      <c r="DE613" s="8">
        <f>0</f>
        <v>0</v>
      </c>
      <c r="DG613" s="5" t="s">
        <v>534</v>
      </c>
      <c r="DH613" s="5" t="s">
        <v>238</v>
      </c>
      <c r="DI613" s="5" t="s">
        <v>238</v>
      </c>
      <c r="DJ613" s="5" t="s">
        <v>238</v>
      </c>
      <c r="DN613" s="5" t="s">
        <v>238</v>
      </c>
      <c r="DO613" s="5" t="s">
        <v>238</v>
      </c>
      <c r="DP613" s="5" t="s">
        <v>238</v>
      </c>
      <c r="DQ613" s="5" t="s">
        <v>238</v>
      </c>
      <c r="DT613" s="5" t="s">
        <v>535</v>
      </c>
      <c r="DU613" s="5" t="s">
        <v>380</v>
      </c>
      <c r="HM613" s="5" t="s">
        <v>264</v>
      </c>
    </row>
    <row r="614" spans="1:221" x14ac:dyDescent="0.4">
      <c r="A614" s="5">
        <v>1476</v>
      </c>
      <c r="B614" s="5">
        <v>1</v>
      </c>
      <c r="C614" s="5">
        <v>1</v>
      </c>
      <c r="D614" s="5" t="s">
        <v>484</v>
      </c>
      <c r="E614" s="5" t="s">
        <v>485</v>
      </c>
      <c r="F614" s="5" t="s">
        <v>248</v>
      </c>
      <c r="G614" s="5" t="s">
        <v>531</v>
      </c>
      <c r="H614" s="6" t="s">
        <v>5475</v>
      </c>
      <c r="I614" s="7">
        <f>538</f>
        <v>538</v>
      </c>
      <c r="J614" s="5" t="s">
        <v>262</v>
      </c>
      <c r="K614" s="8">
        <f>5918</f>
        <v>5918</v>
      </c>
      <c r="L614" s="6" t="s">
        <v>242</v>
      </c>
      <c r="M614" s="5" t="s">
        <v>267</v>
      </c>
      <c r="N614" s="5" t="s">
        <v>237</v>
      </c>
      <c r="O614" s="5" t="s">
        <v>238</v>
      </c>
      <c r="P614" s="5" t="s">
        <v>238</v>
      </c>
      <c r="Q614" s="5" t="s">
        <v>239</v>
      </c>
      <c r="R614" s="5" t="s">
        <v>240</v>
      </c>
      <c r="S614" s="5" t="s">
        <v>238</v>
      </c>
      <c r="V614" s="5" t="s">
        <v>238</v>
      </c>
      <c r="X614" s="6" t="s">
        <v>238</v>
      </c>
      <c r="AA614" s="6" t="s">
        <v>243</v>
      </c>
      <c r="AB614" s="5" t="s">
        <v>238</v>
      </c>
      <c r="AC614" s="5" t="s">
        <v>244</v>
      </c>
      <c r="AD614" s="5" t="s">
        <v>245</v>
      </c>
      <c r="AT614" s="5" t="s">
        <v>246</v>
      </c>
      <c r="AU614" s="5" t="s">
        <v>238</v>
      </c>
      <c r="AV614" s="5" t="s">
        <v>247</v>
      </c>
      <c r="AW614" s="5" t="s">
        <v>238</v>
      </c>
      <c r="AX614" s="5" t="s">
        <v>249</v>
      </c>
      <c r="AY614" s="5" t="s">
        <v>238</v>
      </c>
      <c r="BA614" s="5" t="s">
        <v>238</v>
      </c>
      <c r="BC614" s="5" t="s">
        <v>250</v>
      </c>
      <c r="BD614" s="6" t="s">
        <v>243</v>
      </c>
      <c r="BE614" s="5" t="s">
        <v>251</v>
      </c>
      <c r="BF614" s="5" t="s">
        <v>252</v>
      </c>
      <c r="BG614" s="5" t="s">
        <v>238</v>
      </c>
      <c r="BH614" s="7">
        <f>0</f>
        <v>0</v>
      </c>
      <c r="BI614" s="8">
        <f>0</f>
        <v>0</v>
      </c>
      <c r="BJ614" s="5" t="s">
        <v>253</v>
      </c>
      <c r="BK614" s="5" t="s">
        <v>254</v>
      </c>
      <c r="BY614" s="5" t="s">
        <v>238</v>
      </c>
      <c r="BZ614" s="5" t="s">
        <v>238</v>
      </c>
      <c r="CD614" s="5" t="s">
        <v>255</v>
      </c>
      <c r="CE614" s="5" t="s">
        <v>256</v>
      </c>
      <c r="CF614" s="5" t="s">
        <v>238</v>
      </c>
      <c r="CI614" s="6" t="s">
        <v>257</v>
      </c>
      <c r="CJ614" s="5" t="s">
        <v>238</v>
      </c>
      <c r="CK614" s="5" t="s">
        <v>258</v>
      </c>
      <c r="CL614" s="5" t="s">
        <v>238</v>
      </c>
      <c r="CM614" s="5" t="s">
        <v>238</v>
      </c>
      <c r="CN614" s="5">
        <v>0</v>
      </c>
      <c r="CO614" s="5" t="s">
        <v>259</v>
      </c>
      <c r="CP614" s="5" t="s">
        <v>260</v>
      </c>
      <c r="CQ614" s="5" t="s">
        <v>260</v>
      </c>
      <c r="CR614" s="5" t="s">
        <v>261</v>
      </c>
      <c r="CU614" s="8">
        <f>5918</f>
        <v>5918</v>
      </c>
      <c r="CV614" s="8">
        <f>0</f>
        <v>0</v>
      </c>
      <c r="CX614" s="8">
        <f>0</f>
        <v>0</v>
      </c>
      <c r="CY614" s="8">
        <f>5918</f>
        <v>5918</v>
      </c>
      <c r="DA614" s="5" t="s">
        <v>533</v>
      </c>
      <c r="DB614" s="5" t="s">
        <v>238</v>
      </c>
      <c r="DD614" s="5" t="s">
        <v>356</v>
      </c>
      <c r="DE614" s="8">
        <f>0</f>
        <v>0</v>
      </c>
      <c r="DG614" s="5" t="s">
        <v>534</v>
      </c>
      <c r="DH614" s="5" t="s">
        <v>238</v>
      </c>
      <c r="DI614" s="5" t="s">
        <v>238</v>
      </c>
      <c r="DJ614" s="5" t="s">
        <v>238</v>
      </c>
      <c r="DN614" s="5" t="s">
        <v>238</v>
      </c>
      <c r="DO614" s="5" t="s">
        <v>238</v>
      </c>
      <c r="DP614" s="5" t="s">
        <v>238</v>
      </c>
      <c r="DQ614" s="5" t="s">
        <v>238</v>
      </c>
      <c r="DT614" s="5" t="s">
        <v>535</v>
      </c>
      <c r="DU614" s="5" t="s">
        <v>382</v>
      </c>
      <c r="HM614" s="5" t="s">
        <v>264</v>
      </c>
    </row>
    <row r="615" spans="1:221" x14ac:dyDescent="0.4">
      <c r="A615" s="5">
        <v>1477</v>
      </c>
      <c r="B615" s="5">
        <v>1</v>
      </c>
      <c r="C615" s="5">
        <v>1</v>
      </c>
      <c r="D615" s="5" t="s">
        <v>484</v>
      </c>
      <c r="E615" s="5" t="s">
        <v>485</v>
      </c>
      <c r="F615" s="5" t="s">
        <v>248</v>
      </c>
      <c r="G615" s="5" t="s">
        <v>531</v>
      </c>
      <c r="H615" s="6" t="s">
        <v>5497</v>
      </c>
      <c r="I615" s="7">
        <f>623</f>
        <v>623</v>
      </c>
      <c r="J615" s="5" t="s">
        <v>262</v>
      </c>
      <c r="K615" s="8">
        <f>6853</f>
        <v>6853</v>
      </c>
      <c r="L615" s="6" t="s">
        <v>242</v>
      </c>
      <c r="M615" s="5" t="s">
        <v>267</v>
      </c>
      <c r="N615" s="5" t="s">
        <v>237</v>
      </c>
      <c r="O615" s="5" t="s">
        <v>238</v>
      </c>
      <c r="P615" s="5" t="s">
        <v>238</v>
      </c>
      <c r="Q615" s="5" t="s">
        <v>239</v>
      </c>
      <c r="R615" s="5" t="s">
        <v>240</v>
      </c>
      <c r="S615" s="5" t="s">
        <v>238</v>
      </c>
      <c r="V615" s="5" t="s">
        <v>238</v>
      </c>
      <c r="X615" s="6" t="s">
        <v>238</v>
      </c>
      <c r="AA615" s="6" t="s">
        <v>243</v>
      </c>
      <c r="AB615" s="5" t="s">
        <v>238</v>
      </c>
      <c r="AC615" s="5" t="s">
        <v>244</v>
      </c>
      <c r="AD615" s="5" t="s">
        <v>245</v>
      </c>
      <c r="AT615" s="5" t="s">
        <v>246</v>
      </c>
      <c r="AU615" s="5" t="s">
        <v>238</v>
      </c>
      <c r="AV615" s="5" t="s">
        <v>247</v>
      </c>
      <c r="AW615" s="5" t="s">
        <v>238</v>
      </c>
      <c r="AX615" s="5" t="s">
        <v>249</v>
      </c>
      <c r="AY615" s="5" t="s">
        <v>238</v>
      </c>
      <c r="BA615" s="5" t="s">
        <v>238</v>
      </c>
      <c r="BC615" s="5" t="s">
        <v>250</v>
      </c>
      <c r="BD615" s="6" t="s">
        <v>243</v>
      </c>
      <c r="BE615" s="5" t="s">
        <v>251</v>
      </c>
      <c r="BF615" s="5" t="s">
        <v>252</v>
      </c>
      <c r="BG615" s="5" t="s">
        <v>238</v>
      </c>
      <c r="BH615" s="7">
        <f>0</f>
        <v>0</v>
      </c>
      <c r="BI615" s="8">
        <f>0</f>
        <v>0</v>
      </c>
      <c r="BJ615" s="5" t="s">
        <v>253</v>
      </c>
      <c r="BK615" s="5" t="s">
        <v>254</v>
      </c>
      <c r="BY615" s="5" t="s">
        <v>238</v>
      </c>
      <c r="BZ615" s="5" t="s">
        <v>238</v>
      </c>
      <c r="CD615" s="5" t="s">
        <v>255</v>
      </c>
      <c r="CE615" s="5" t="s">
        <v>256</v>
      </c>
      <c r="CF615" s="5" t="s">
        <v>238</v>
      </c>
      <c r="CI615" s="6" t="s">
        <v>257</v>
      </c>
      <c r="CJ615" s="5" t="s">
        <v>238</v>
      </c>
      <c r="CK615" s="5" t="s">
        <v>258</v>
      </c>
      <c r="CL615" s="5" t="s">
        <v>238</v>
      </c>
      <c r="CM615" s="5" t="s">
        <v>238</v>
      </c>
      <c r="CN615" s="5">
        <v>0</v>
      </c>
      <c r="CO615" s="5" t="s">
        <v>259</v>
      </c>
      <c r="CP615" s="5" t="s">
        <v>260</v>
      </c>
      <c r="CQ615" s="5" t="s">
        <v>260</v>
      </c>
      <c r="CR615" s="5" t="s">
        <v>261</v>
      </c>
      <c r="CU615" s="8">
        <f>6853</f>
        <v>6853</v>
      </c>
      <c r="CV615" s="8">
        <f>0</f>
        <v>0</v>
      </c>
      <c r="CX615" s="8">
        <f>0</f>
        <v>0</v>
      </c>
      <c r="CY615" s="8">
        <f>6853</f>
        <v>6853</v>
      </c>
      <c r="DA615" s="5" t="s">
        <v>533</v>
      </c>
      <c r="DB615" s="5" t="s">
        <v>238</v>
      </c>
      <c r="DD615" s="5" t="s">
        <v>356</v>
      </c>
      <c r="DE615" s="8">
        <f>0</f>
        <v>0</v>
      </c>
      <c r="DG615" s="5" t="s">
        <v>534</v>
      </c>
      <c r="DH615" s="5" t="s">
        <v>238</v>
      </c>
      <c r="DI615" s="5" t="s">
        <v>238</v>
      </c>
      <c r="DJ615" s="5" t="s">
        <v>238</v>
      </c>
      <c r="DN615" s="5" t="s">
        <v>238</v>
      </c>
      <c r="DO615" s="5" t="s">
        <v>238</v>
      </c>
      <c r="DP615" s="5" t="s">
        <v>238</v>
      </c>
      <c r="DQ615" s="5" t="s">
        <v>238</v>
      </c>
      <c r="DT615" s="5" t="s">
        <v>535</v>
      </c>
      <c r="DU615" s="5" t="s">
        <v>386</v>
      </c>
      <c r="HM615" s="5" t="s">
        <v>264</v>
      </c>
    </row>
    <row r="616" spans="1:221" x14ac:dyDescent="0.4">
      <c r="A616" s="5">
        <v>1478</v>
      </c>
      <c r="B616" s="5">
        <v>1</v>
      </c>
      <c r="C616" s="5">
        <v>1</v>
      </c>
      <c r="D616" s="5" t="s">
        <v>484</v>
      </c>
      <c r="E616" s="5" t="s">
        <v>485</v>
      </c>
      <c r="F616" s="5" t="s">
        <v>248</v>
      </c>
      <c r="G616" s="5" t="s">
        <v>531</v>
      </c>
      <c r="H616" s="6" t="s">
        <v>5521</v>
      </c>
      <c r="I616" s="7">
        <f>4966</f>
        <v>4966</v>
      </c>
      <c r="J616" s="5" t="s">
        <v>262</v>
      </c>
      <c r="K616" s="8">
        <f>54626</f>
        <v>54626</v>
      </c>
      <c r="L616" s="6" t="s">
        <v>242</v>
      </c>
      <c r="M616" s="5" t="s">
        <v>267</v>
      </c>
      <c r="N616" s="5" t="s">
        <v>237</v>
      </c>
      <c r="O616" s="5" t="s">
        <v>238</v>
      </c>
      <c r="P616" s="5" t="s">
        <v>238</v>
      </c>
      <c r="Q616" s="5" t="s">
        <v>239</v>
      </c>
      <c r="R616" s="5" t="s">
        <v>240</v>
      </c>
      <c r="S616" s="5" t="s">
        <v>238</v>
      </c>
      <c r="V616" s="5" t="s">
        <v>238</v>
      </c>
      <c r="X616" s="6" t="s">
        <v>238</v>
      </c>
      <c r="AA616" s="6" t="s">
        <v>243</v>
      </c>
      <c r="AB616" s="5" t="s">
        <v>238</v>
      </c>
      <c r="AC616" s="5" t="s">
        <v>244</v>
      </c>
      <c r="AD616" s="5" t="s">
        <v>245</v>
      </c>
      <c r="AT616" s="5" t="s">
        <v>246</v>
      </c>
      <c r="AU616" s="5" t="s">
        <v>238</v>
      </c>
      <c r="AV616" s="5" t="s">
        <v>247</v>
      </c>
      <c r="AW616" s="5" t="s">
        <v>238</v>
      </c>
      <c r="AX616" s="5" t="s">
        <v>249</v>
      </c>
      <c r="AY616" s="5" t="s">
        <v>238</v>
      </c>
      <c r="BA616" s="5" t="s">
        <v>238</v>
      </c>
      <c r="BC616" s="5" t="s">
        <v>250</v>
      </c>
      <c r="BD616" s="6" t="s">
        <v>243</v>
      </c>
      <c r="BE616" s="5" t="s">
        <v>251</v>
      </c>
      <c r="BF616" s="5" t="s">
        <v>252</v>
      </c>
      <c r="BG616" s="5" t="s">
        <v>238</v>
      </c>
      <c r="BH616" s="7">
        <f>0</f>
        <v>0</v>
      </c>
      <c r="BI616" s="8">
        <f>0</f>
        <v>0</v>
      </c>
      <c r="BJ616" s="5" t="s">
        <v>253</v>
      </c>
      <c r="BK616" s="5" t="s">
        <v>254</v>
      </c>
      <c r="BY616" s="5" t="s">
        <v>238</v>
      </c>
      <c r="BZ616" s="5" t="s">
        <v>238</v>
      </c>
      <c r="CD616" s="5" t="s">
        <v>255</v>
      </c>
      <c r="CE616" s="5" t="s">
        <v>256</v>
      </c>
      <c r="CF616" s="5" t="s">
        <v>238</v>
      </c>
      <c r="CI616" s="6" t="s">
        <v>257</v>
      </c>
      <c r="CJ616" s="5" t="s">
        <v>238</v>
      </c>
      <c r="CK616" s="5" t="s">
        <v>258</v>
      </c>
      <c r="CL616" s="5" t="s">
        <v>238</v>
      </c>
      <c r="CM616" s="5" t="s">
        <v>238</v>
      </c>
      <c r="CN616" s="5">
        <v>0</v>
      </c>
      <c r="CO616" s="5" t="s">
        <v>259</v>
      </c>
      <c r="CP616" s="5" t="s">
        <v>260</v>
      </c>
      <c r="CQ616" s="5" t="s">
        <v>260</v>
      </c>
      <c r="CR616" s="5" t="s">
        <v>261</v>
      </c>
      <c r="CU616" s="8">
        <f>54626</f>
        <v>54626</v>
      </c>
      <c r="CV616" s="8">
        <f>0</f>
        <v>0</v>
      </c>
      <c r="CX616" s="8">
        <f>0</f>
        <v>0</v>
      </c>
      <c r="CY616" s="8">
        <f>54626</f>
        <v>54626</v>
      </c>
      <c r="DA616" s="5" t="s">
        <v>533</v>
      </c>
      <c r="DB616" s="5" t="s">
        <v>238</v>
      </c>
      <c r="DD616" s="5" t="s">
        <v>356</v>
      </c>
      <c r="DE616" s="8">
        <f>0</f>
        <v>0</v>
      </c>
      <c r="DG616" s="5" t="s">
        <v>534</v>
      </c>
      <c r="DH616" s="5" t="s">
        <v>238</v>
      </c>
      <c r="DI616" s="5" t="s">
        <v>238</v>
      </c>
      <c r="DJ616" s="5" t="s">
        <v>238</v>
      </c>
      <c r="DN616" s="5" t="s">
        <v>238</v>
      </c>
      <c r="DO616" s="5" t="s">
        <v>238</v>
      </c>
      <c r="DP616" s="5" t="s">
        <v>238</v>
      </c>
      <c r="DQ616" s="5" t="s">
        <v>238</v>
      </c>
      <c r="DT616" s="5" t="s">
        <v>535</v>
      </c>
      <c r="DU616" s="5" t="s">
        <v>3332</v>
      </c>
      <c r="HM616" s="5" t="s">
        <v>264</v>
      </c>
    </row>
    <row r="617" spans="1:221" x14ac:dyDescent="0.4">
      <c r="A617" s="5">
        <v>1479</v>
      </c>
      <c r="B617" s="5">
        <v>1</v>
      </c>
      <c r="C617" s="5">
        <v>1</v>
      </c>
      <c r="D617" s="5" t="s">
        <v>484</v>
      </c>
      <c r="E617" s="5" t="s">
        <v>485</v>
      </c>
      <c r="F617" s="5" t="s">
        <v>248</v>
      </c>
      <c r="G617" s="5" t="s">
        <v>531</v>
      </c>
      <c r="H617" s="6" t="s">
        <v>5542</v>
      </c>
      <c r="I617" s="7">
        <f>1548</f>
        <v>1548</v>
      </c>
      <c r="J617" s="5" t="s">
        <v>262</v>
      </c>
      <c r="K617" s="8">
        <f>17028</f>
        <v>17028</v>
      </c>
      <c r="L617" s="6" t="s">
        <v>242</v>
      </c>
      <c r="M617" s="5" t="s">
        <v>267</v>
      </c>
      <c r="N617" s="5" t="s">
        <v>237</v>
      </c>
      <c r="O617" s="5" t="s">
        <v>238</v>
      </c>
      <c r="P617" s="5" t="s">
        <v>238</v>
      </c>
      <c r="Q617" s="5" t="s">
        <v>239</v>
      </c>
      <c r="R617" s="5" t="s">
        <v>240</v>
      </c>
      <c r="S617" s="5" t="s">
        <v>238</v>
      </c>
      <c r="V617" s="5" t="s">
        <v>238</v>
      </c>
      <c r="X617" s="6" t="s">
        <v>238</v>
      </c>
      <c r="AA617" s="6" t="s">
        <v>243</v>
      </c>
      <c r="AB617" s="5" t="s">
        <v>238</v>
      </c>
      <c r="AC617" s="5" t="s">
        <v>244</v>
      </c>
      <c r="AD617" s="5" t="s">
        <v>245</v>
      </c>
      <c r="AT617" s="5" t="s">
        <v>246</v>
      </c>
      <c r="AU617" s="5" t="s">
        <v>238</v>
      </c>
      <c r="AV617" s="5" t="s">
        <v>247</v>
      </c>
      <c r="AW617" s="5" t="s">
        <v>238</v>
      </c>
      <c r="AX617" s="5" t="s">
        <v>249</v>
      </c>
      <c r="AY617" s="5" t="s">
        <v>238</v>
      </c>
      <c r="BA617" s="5" t="s">
        <v>238</v>
      </c>
      <c r="BC617" s="5" t="s">
        <v>250</v>
      </c>
      <c r="BD617" s="6" t="s">
        <v>243</v>
      </c>
      <c r="BE617" s="5" t="s">
        <v>251</v>
      </c>
      <c r="BF617" s="5" t="s">
        <v>252</v>
      </c>
      <c r="BG617" s="5" t="s">
        <v>238</v>
      </c>
      <c r="BH617" s="7">
        <f>0</f>
        <v>0</v>
      </c>
      <c r="BI617" s="8">
        <f>0</f>
        <v>0</v>
      </c>
      <c r="BJ617" s="5" t="s">
        <v>253</v>
      </c>
      <c r="BK617" s="5" t="s">
        <v>254</v>
      </c>
      <c r="BY617" s="5" t="s">
        <v>238</v>
      </c>
      <c r="BZ617" s="5" t="s">
        <v>238</v>
      </c>
      <c r="CD617" s="5" t="s">
        <v>255</v>
      </c>
      <c r="CE617" s="5" t="s">
        <v>256</v>
      </c>
      <c r="CF617" s="5" t="s">
        <v>238</v>
      </c>
      <c r="CI617" s="6" t="s">
        <v>257</v>
      </c>
      <c r="CJ617" s="5" t="s">
        <v>238</v>
      </c>
      <c r="CK617" s="5" t="s">
        <v>258</v>
      </c>
      <c r="CL617" s="5" t="s">
        <v>238</v>
      </c>
      <c r="CM617" s="5" t="s">
        <v>238</v>
      </c>
      <c r="CN617" s="5">
        <v>0</v>
      </c>
      <c r="CO617" s="5" t="s">
        <v>259</v>
      </c>
      <c r="CP617" s="5" t="s">
        <v>260</v>
      </c>
      <c r="CQ617" s="5" t="s">
        <v>260</v>
      </c>
      <c r="CR617" s="5" t="s">
        <v>261</v>
      </c>
      <c r="CU617" s="8">
        <f>17028</f>
        <v>17028</v>
      </c>
      <c r="CV617" s="8">
        <f>0</f>
        <v>0</v>
      </c>
      <c r="CX617" s="8">
        <f>0</f>
        <v>0</v>
      </c>
      <c r="CY617" s="8">
        <f>17028</f>
        <v>17028</v>
      </c>
      <c r="DA617" s="5" t="s">
        <v>533</v>
      </c>
      <c r="DB617" s="5" t="s">
        <v>238</v>
      </c>
      <c r="DD617" s="5" t="s">
        <v>356</v>
      </c>
      <c r="DE617" s="8">
        <f>0</f>
        <v>0</v>
      </c>
      <c r="DG617" s="5" t="s">
        <v>534</v>
      </c>
      <c r="DH617" s="5" t="s">
        <v>238</v>
      </c>
      <c r="DI617" s="5" t="s">
        <v>238</v>
      </c>
      <c r="DJ617" s="5" t="s">
        <v>238</v>
      </c>
      <c r="DN617" s="5" t="s">
        <v>238</v>
      </c>
      <c r="DO617" s="5" t="s">
        <v>238</v>
      </c>
      <c r="DP617" s="5" t="s">
        <v>238</v>
      </c>
      <c r="DQ617" s="5" t="s">
        <v>238</v>
      </c>
      <c r="DT617" s="5" t="s">
        <v>535</v>
      </c>
      <c r="DU617" s="5" t="s">
        <v>392</v>
      </c>
      <c r="HM617" s="5" t="s">
        <v>264</v>
      </c>
    </row>
    <row r="618" spans="1:221" x14ac:dyDescent="0.4">
      <c r="A618" s="5">
        <v>1480</v>
      </c>
      <c r="B618" s="5">
        <v>1</v>
      </c>
      <c r="C618" s="5">
        <v>1</v>
      </c>
      <c r="D618" s="5" t="s">
        <v>484</v>
      </c>
      <c r="E618" s="5" t="s">
        <v>485</v>
      </c>
      <c r="F618" s="5" t="s">
        <v>248</v>
      </c>
      <c r="G618" s="5" t="s">
        <v>531</v>
      </c>
      <c r="H618" s="6" t="s">
        <v>5555</v>
      </c>
      <c r="I618" s="7">
        <f>8351</f>
        <v>8351</v>
      </c>
      <c r="J618" s="5" t="s">
        <v>262</v>
      </c>
      <c r="K618" s="8">
        <f>91861</f>
        <v>91861</v>
      </c>
      <c r="L618" s="6" t="s">
        <v>242</v>
      </c>
      <c r="M618" s="5" t="s">
        <v>267</v>
      </c>
      <c r="N618" s="5" t="s">
        <v>237</v>
      </c>
      <c r="O618" s="5" t="s">
        <v>238</v>
      </c>
      <c r="P618" s="5" t="s">
        <v>238</v>
      </c>
      <c r="Q618" s="5" t="s">
        <v>239</v>
      </c>
      <c r="R618" s="5" t="s">
        <v>240</v>
      </c>
      <c r="S618" s="5" t="s">
        <v>238</v>
      </c>
      <c r="V618" s="5" t="s">
        <v>238</v>
      </c>
      <c r="X618" s="6" t="s">
        <v>238</v>
      </c>
      <c r="AA618" s="6" t="s">
        <v>243</v>
      </c>
      <c r="AB618" s="5" t="s">
        <v>238</v>
      </c>
      <c r="AC618" s="5" t="s">
        <v>244</v>
      </c>
      <c r="AD618" s="5" t="s">
        <v>245</v>
      </c>
      <c r="AT618" s="5" t="s">
        <v>246</v>
      </c>
      <c r="AU618" s="5" t="s">
        <v>238</v>
      </c>
      <c r="AV618" s="5" t="s">
        <v>247</v>
      </c>
      <c r="AW618" s="5" t="s">
        <v>238</v>
      </c>
      <c r="AX618" s="5" t="s">
        <v>249</v>
      </c>
      <c r="AY618" s="5" t="s">
        <v>238</v>
      </c>
      <c r="BA618" s="5" t="s">
        <v>238</v>
      </c>
      <c r="BC618" s="5" t="s">
        <v>250</v>
      </c>
      <c r="BD618" s="6" t="s">
        <v>243</v>
      </c>
      <c r="BE618" s="5" t="s">
        <v>251</v>
      </c>
      <c r="BF618" s="5" t="s">
        <v>252</v>
      </c>
      <c r="BG618" s="5" t="s">
        <v>238</v>
      </c>
      <c r="BH618" s="7">
        <f>0</f>
        <v>0</v>
      </c>
      <c r="BI618" s="8">
        <f>0</f>
        <v>0</v>
      </c>
      <c r="BJ618" s="5" t="s">
        <v>253</v>
      </c>
      <c r="BK618" s="5" t="s">
        <v>254</v>
      </c>
      <c r="BY618" s="5" t="s">
        <v>238</v>
      </c>
      <c r="BZ618" s="5" t="s">
        <v>238</v>
      </c>
      <c r="CD618" s="5" t="s">
        <v>255</v>
      </c>
      <c r="CE618" s="5" t="s">
        <v>256</v>
      </c>
      <c r="CF618" s="5" t="s">
        <v>238</v>
      </c>
      <c r="CI618" s="6" t="s">
        <v>257</v>
      </c>
      <c r="CJ618" s="5" t="s">
        <v>238</v>
      </c>
      <c r="CK618" s="5" t="s">
        <v>258</v>
      </c>
      <c r="CL618" s="5" t="s">
        <v>238</v>
      </c>
      <c r="CM618" s="5" t="s">
        <v>238</v>
      </c>
      <c r="CN618" s="5">
        <v>0</v>
      </c>
      <c r="CO618" s="5" t="s">
        <v>259</v>
      </c>
      <c r="CP618" s="5" t="s">
        <v>260</v>
      </c>
      <c r="CQ618" s="5" t="s">
        <v>260</v>
      </c>
      <c r="CR618" s="5" t="s">
        <v>261</v>
      </c>
      <c r="CU618" s="8">
        <f>91861</f>
        <v>91861</v>
      </c>
      <c r="CV618" s="8">
        <f>0</f>
        <v>0</v>
      </c>
      <c r="CX618" s="8">
        <f>0</f>
        <v>0</v>
      </c>
      <c r="CY618" s="8">
        <f>91861</f>
        <v>91861</v>
      </c>
      <c r="DA618" s="5" t="s">
        <v>533</v>
      </c>
      <c r="DB618" s="5" t="s">
        <v>238</v>
      </c>
      <c r="DD618" s="5" t="s">
        <v>356</v>
      </c>
      <c r="DE618" s="8">
        <f>0</f>
        <v>0</v>
      </c>
      <c r="DG618" s="5" t="s">
        <v>534</v>
      </c>
      <c r="DH618" s="5" t="s">
        <v>238</v>
      </c>
      <c r="DI618" s="5" t="s">
        <v>238</v>
      </c>
      <c r="DJ618" s="5" t="s">
        <v>238</v>
      </c>
      <c r="DN618" s="5" t="s">
        <v>238</v>
      </c>
      <c r="DO618" s="5" t="s">
        <v>238</v>
      </c>
      <c r="DP618" s="5" t="s">
        <v>238</v>
      </c>
      <c r="DQ618" s="5" t="s">
        <v>238</v>
      </c>
      <c r="DT618" s="5" t="s">
        <v>535</v>
      </c>
      <c r="DU618" s="5" t="s">
        <v>394</v>
      </c>
      <c r="HM618" s="5" t="s">
        <v>264</v>
      </c>
    </row>
    <row r="619" spans="1:221" x14ac:dyDescent="0.4">
      <c r="A619" s="5">
        <v>1481</v>
      </c>
      <c r="B619" s="5">
        <v>1</v>
      </c>
      <c r="C619" s="5">
        <v>1</v>
      </c>
      <c r="D619" s="5" t="s">
        <v>484</v>
      </c>
      <c r="E619" s="5" t="s">
        <v>485</v>
      </c>
      <c r="F619" s="5" t="s">
        <v>248</v>
      </c>
      <c r="G619" s="5" t="s">
        <v>531</v>
      </c>
      <c r="H619" s="6" t="s">
        <v>5566</v>
      </c>
      <c r="I619" s="7">
        <f>711</f>
        <v>711</v>
      </c>
      <c r="J619" s="5" t="s">
        <v>262</v>
      </c>
      <c r="K619" s="8">
        <f>7821</f>
        <v>7821</v>
      </c>
      <c r="L619" s="6" t="s">
        <v>242</v>
      </c>
      <c r="M619" s="5" t="s">
        <v>267</v>
      </c>
      <c r="N619" s="5" t="s">
        <v>237</v>
      </c>
      <c r="O619" s="5" t="s">
        <v>238</v>
      </c>
      <c r="P619" s="5" t="s">
        <v>238</v>
      </c>
      <c r="Q619" s="5" t="s">
        <v>239</v>
      </c>
      <c r="R619" s="5" t="s">
        <v>240</v>
      </c>
      <c r="S619" s="5" t="s">
        <v>238</v>
      </c>
      <c r="V619" s="5" t="s">
        <v>238</v>
      </c>
      <c r="X619" s="6" t="s">
        <v>238</v>
      </c>
      <c r="AA619" s="6" t="s">
        <v>243</v>
      </c>
      <c r="AB619" s="5" t="s">
        <v>238</v>
      </c>
      <c r="AC619" s="5" t="s">
        <v>244</v>
      </c>
      <c r="AD619" s="5" t="s">
        <v>245</v>
      </c>
      <c r="AT619" s="5" t="s">
        <v>246</v>
      </c>
      <c r="AU619" s="5" t="s">
        <v>238</v>
      </c>
      <c r="AV619" s="5" t="s">
        <v>247</v>
      </c>
      <c r="AW619" s="5" t="s">
        <v>238</v>
      </c>
      <c r="AX619" s="5" t="s">
        <v>249</v>
      </c>
      <c r="AY619" s="5" t="s">
        <v>238</v>
      </c>
      <c r="BA619" s="5" t="s">
        <v>238</v>
      </c>
      <c r="BC619" s="5" t="s">
        <v>250</v>
      </c>
      <c r="BD619" s="6" t="s">
        <v>243</v>
      </c>
      <c r="BE619" s="5" t="s">
        <v>251</v>
      </c>
      <c r="BF619" s="5" t="s">
        <v>252</v>
      </c>
      <c r="BG619" s="5" t="s">
        <v>238</v>
      </c>
      <c r="BH619" s="7">
        <f>0</f>
        <v>0</v>
      </c>
      <c r="BI619" s="8">
        <f>0</f>
        <v>0</v>
      </c>
      <c r="BJ619" s="5" t="s">
        <v>253</v>
      </c>
      <c r="BK619" s="5" t="s">
        <v>254</v>
      </c>
      <c r="BY619" s="5" t="s">
        <v>238</v>
      </c>
      <c r="BZ619" s="5" t="s">
        <v>238</v>
      </c>
      <c r="CD619" s="5" t="s">
        <v>255</v>
      </c>
      <c r="CE619" s="5" t="s">
        <v>256</v>
      </c>
      <c r="CF619" s="5" t="s">
        <v>238</v>
      </c>
      <c r="CI619" s="6" t="s">
        <v>257</v>
      </c>
      <c r="CJ619" s="5" t="s">
        <v>238</v>
      </c>
      <c r="CK619" s="5" t="s">
        <v>258</v>
      </c>
      <c r="CL619" s="5" t="s">
        <v>238</v>
      </c>
      <c r="CM619" s="5" t="s">
        <v>238</v>
      </c>
      <c r="CN619" s="5">
        <v>0</v>
      </c>
      <c r="CO619" s="5" t="s">
        <v>259</v>
      </c>
      <c r="CP619" s="5" t="s">
        <v>260</v>
      </c>
      <c r="CQ619" s="5" t="s">
        <v>260</v>
      </c>
      <c r="CR619" s="5" t="s">
        <v>261</v>
      </c>
      <c r="CU619" s="8">
        <f>7821</f>
        <v>7821</v>
      </c>
      <c r="CV619" s="8">
        <f>0</f>
        <v>0</v>
      </c>
      <c r="CX619" s="8">
        <f>0</f>
        <v>0</v>
      </c>
      <c r="CY619" s="8">
        <f>7821</f>
        <v>7821</v>
      </c>
      <c r="DA619" s="5" t="s">
        <v>533</v>
      </c>
      <c r="DB619" s="5" t="s">
        <v>238</v>
      </c>
      <c r="DD619" s="5" t="s">
        <v>356</v>
      </c>
      <c r="DE619" s="8">
        <f>0</f>
        <v>0</v>
      </c>
      <c r="DG619" s="5" t="s">
        <v>534</v>
      </c>
      <c r="DH619" s="5" t="s">
        <v>238</v>
      </c>
      <c r="DI619" s="5" t="s">
        <v>238</v>
      </c>
      <c r="DJ619" s="5" t="s">
        <v>238</v>
      </c>
      <c r="DN619" s="5" t="s">
        <v>238</v>
      </c>
      <c r="DO619" s="5" t="s">
        <v>238</v>
      </c>
      <c r="DP619" s="5" t="s">
        <v>238</v>
      </c>
      <c r="DQ619" s="5" t="s">
        <v>238</v>
      </c>
      <c r="DT619" s="5" t="s">
        <v>535</v>
      </c>
      <c r="DU619" s="5" t="s">
        <v>398</v>
      </c>
      <c r="HM619" s="5" t="s">
        <v>264</v>
      </c>
    </row>
    <row r="620" spans="1:221" x14ac:dyDescent="0.4">
      <c r="A620" s="5">
        <v>1482</v>
      </c>
      <c r="B620" s="5">
        <v>1</v>
      </c>
      <c r="C620" s="5">
        <v>1</v>
      </c>
      <c r="D620" s="5" t="s">
        <v>484</v>
      </c>
      <c r="E620" s="5" t="s">
        <v>485</v>
      </c>
      <c r="F620" s="5" t="s">
        <v>248</v>
      </c>
      <c r="G620" s="5" t="s">
        <v>531</v>
      </c>
      <c r="H620" s="6" t="s">
        <v>5581</v>
      </c>
      <c r="I620" s="7">
        <f>2784</f>
        <v>2784</v>
      </c>
      <c r="J620" s="5" t="s">
        <v>262</v>
      </c>
      <c r="K620" s="8">
        <f>30624</f>
        <v>30624</v>
      </c>
      <c r="L620" s="6" t="s">
        <v>242</v>
      </c>
      <c r="M620" s="5" t="s">
        <v>267</v>
      </c>
      <c r="N620" s="5" t="s">
        <v>237</v>
      </c>
      <c r="O620" s="5" t="s">
        <v>238</v>
      </c>
      <c r="P620" s="5" t="s">
        <v>238</v>
      </c>
      <c r="Q620" s="5" t="s">
        <v>239</v>
      </c>
      <c r="R620" s="5" t="s">
        <v>240</v>
      </c>
      <c r="S620" s="5" t="s">
        <v>238</v>
      </c>
      <c r="V620" s="5" t="s">
        <v>238</v>
      </c>
      <c r="X620" s="6" t="s">
        <v>238</v>
      </c>
      <c r="AA620" s="6" t="s">
        <v>243</v>
      </c>
      <c r="AB620" s="5" t="s">
        <v>238</v>
      </c>
      <c r="AC620" s="5" t="s">
        <v>244</v>
      </c>
      <c r="AD620" s="5" t="s">
        <v>245</v>
      </c>
      <c r="AT620" s="5" t="s">
        <v>246</v>
      </c>
      <c r="AU620" s="5" t="s">
        <v>238</v>
      </c>
      <c r="AV620" s="5" t="s">
        <v>247</v>
      </c>
      <c r="AW620" s="5" t="s">
        <v>238</v>
      </c>
      <c r="AX620" s="5" t="s">
        <v>249</v>
      </c>
      <c r="AY620" s="5" t="s">
        <v>238</v>
      </c>
      <c r="BA620" s="5" t="s">
        <v>238</v>
      </c>
      <c r="BC620" s="5" t="s">
        <v>250</v>
      </c>
      <c r="BD620" s="6" t="s">
        <v>243</v>
      </c>
      <c r="BE620" s="5" t="s">
        <v>251</v>
      </c>
      <c r="BF620" s="5" t="s">
        <v>252</v>
      </c>
      <c r="BG620" s="5" t="s">
        <v>238</v>
      </c>
      <c r="BH620" s="7">
        <f>0</f>
        <v>0</v>
      </c>
      <c r="BI620" s="8">
        <f>0</f>
        <v>0</v>
      </c>
      <c r="BJ620" s="5" t="s">
        <v>253</v>
      </c>
      <c r="BK620" s="5" t="s">
        <v>254</v>
      </c>
      <c r="BY620" s="5" t="s">
        <v>238</v>
      </c>
      <c r="BZ620" s="5" t="s">
        <v>238</v>
      </c>
      <c r="CD620" s="5" t="s">
        <v>255</v>
      </c>
      <c r="CE620" s="5" t="s">
        <v>256</v>
      </c>
      <c r="CF620" s="5" t="s">
        <v>238</v>
      </c>
      <c r="CI620" s="6" t="s">
        <v>257</v>
      </c>
      <c r="CJ620" s="5" t="s">
        <v>238</v>
      </c>
      <c r="CK620" s="5" t="s">
        <v>258</v>
      </c>
      <c r="CL620" s="5" t="s">
        <v>238</v>
      </c>
      <c r="CM620" s="5" t="s">
        <v>238</v>
      </c>
      <c r="CN620" s="5">
        <v>0</v>
      </c>
      <c r="CO620" s="5" t="s">
        <v>259</v>
      </c>
      <c r="CP620" s="5" t="s">
        <v>260</v>
      </c>
      <c r="CQ620" s="5" t="s">
        <v>260</v>
      </c>
      <c r="CR620" s="5" t="s">
        <v>261</v>
      </c>
      <c r="CU620" s="8">
        <f>30624</f>
        <v>30624</v>
      </c>
      <c r="CV620" s="8">
        <f>0</f>
        <v>0</v>
      </c>
      <c r="CX620" s="8">
        <f>0</f>
        <v>0</v>
      </c>
      <c r="CY620" s="8">
        <f>30624</f>
        <v>30624</v>
      </c>
      <c r="DA620" s="5" t="s">
        <v>533</v>
      </c>
      <c r="DB620" s="5" t="s">
        <v>238</v>
      </c>
      <c r="DD620" s="5" t="s">
        <v>356</v>
      </c>
      <c r="DE620" s="8">
        <f>0</f>
        <v>0</v>
      </c>
      <c r="DG620" s="5" t="s">
        <v>534</v>
      </c>
      <c r="DH620" s="5" t="s">
        <v>238</v>
      </c>
      <c r="DI620" s="5" t="s">
        <v>238</v>
      </c>
      <c r="DJ620" s="5" t="s">
        <v>238</v>
      </c>
      <c r="DN620" s="5" t="s">
        <v>238</v>
      </c>
      <c r="DO620" s="5" t="s">
        <v>238</v>
      </c>
      <c r="DP620" s="5" t="s">
        <v>238</v>
      </c>
      <c r="DQ620" s="5" t="s">
        <v>238</v>
      </c>
      <c r="DT620" s="5" t="s">
        <v>535</v>
      </c>
      <c r="DU620" s="5" t="s">
        <v>402</v>
      </c>
      <c r="HM620" s="5" t="s">
        <v>264</v>
      </c>
    </row>
    <row r="621" spans="1:221" x14ac:dyDescent="0.4">
      <c r="A621" s="5">
        <v>1483</v>
      </c>
      <c r="B621" s="5">
        <v>1</v>
      </c>
      <c r="C621" s="5">
        <v>1</v>
      </c>
      <c r="D621" s="5" t="s">
        <v>484</v>
      </c>
      <c r="E621" s="5" t="s">
        <v>485</v>
      </c>
      <c r="F621" s="5" t="s">
        <v>248</v>
      </c>
      <c r="G621" s="5" t="s">
        <v>531</v>
      </c>
      <c r="H621" s="6" t="s">
        <v>5587</v>
      </c>
      <c r="I621" s="7">
        <f>504</f>
        <v>504</v>
      </c>
      <c r="J621" s="5" t="s">
        <v>262</v>
      </c>
      <c r="K621" s="8">
        <f>5544</f>
        <v>5544</v>
      </c>
      <c r="L621" s="6" t="s">
        <v>242</v>
      </c>
      <c r="M621" s="5" t="s">
        <v>267</v>
      </c>
      <c r="N621" s="5" t="s">
        <v>237</v>
      </c>
      <c r="O621" s="5" t="s">
        <v>238</v>
      </c>
      <c r="P621" s="5" t="s">
        <v>238</v>
      </c>
      <c r="Q621" s="5" t="s">
        <v>239</v>
      </c>
      <c r="R621" s="5" t="s">
        <v>240</v>
      </c>
      <c r="S621" s="5" t="s">
        <v>238</v>
      </c>
      <c r="V621" s="5" t="s">
        <v>238</v>
      </c>
      <c r="X621" s="6" t="s">
        <v>238</v>
      </c>
      <c r="AA621" s="6" t="s">
        <v>243</v>
      </c>
      <c r="AB621" s="5" t="s">
        <v>238</v>
      </c>
      <c r="AC621" s="5" t="s">
        <v>244</v>
      </c>
      <c r="AD621" s="5" t="s">
        <v>245</v>
      </c>
      <c r="AT621" s="5" t="s">
        <v>246</v>
      </c>
      <c r="AU621" s="5" t="s">
        <v>238</v>
      </c>
      <c r="AV621" s="5" t="s">
        <v>247</v>
      </c>
      <c r="AW621" s="5" t="s">
        <v>238</v>
      </c>
      <c r="AX621" s="5" t="s">
        <v>249</v>
      </c>
      <c r="AY621" s="5" t="s">
        <v>238</v>
      </c>
      <c r="BA621" s="5" t="s">
        <v>238</v>
      </c>
      <c r="BC621" s="5" t="s">
        <v>250</v>
      </c>
      <c r="BD621" s="6" t="s">
        <v>243</v>
      </c>
      <c r="BE621" s="5" t="s">
        <v>251</v>
      </c>
      <c r="BF621" s="5" t="s">
        <v>252</v>
      </c>
      <c r="BG621" s="5" t="s">
        <v>238</v>
      </c>
      <c r="BH621" s="7">
        <f>0</f>
        <v>0</v>
      </c>
      <c r="BI621" s="8">
        <f>0</f>
        <v>0</v>
      </c>
      <c r="BJ621" s="5" t="s">
        <v>253</v>
      </c>
      <c r="BK621" s="5" t="s">
        <v>254</v>
      </c>
      <c r="BY621" s="5" t="s">
        <v>238</v>
      </c>
      <c r="BZ621" s="5" t="s">
        <v>238</v>
      </c>
      <c r="CD621" s="5" t="s">
        <v>255</v>
      </c>
      <c r="CE621" s="5" t="s">
        <v>256</v>
      </c>
      <c r="CF621" s="5" t="s">
        <v>238</v>
      </c>
      <c r="CI621" s="6" t="s">
        <v>257</v>
      </c>
      <c r="CJ621" s="5" t="s">
        <v>238</v>
      </c>
      <c r="CK621" s="5" t="s">
        <v>258</v>
      </c>
      <c r="CL621" s="5" t="s">
        <v>238</v>
      </c>
      <c r="CM621" s="5" t="s">
        <v>238</v>
      </c>
      <c r="CN621" s="5">
        <v>0</v>
      </c>
      <c r="CO621" s="5" t="s">
        <v>259</v>
      </c>
      <c r="CP621" s="5" t="s">
        <v>260</v>
      </c>
      <c r="CQ621" s="5" t="s">
        <v>260</v>
      </c>
      <c r="CR621" s="5" t="s">
        <v>261</v>
      </c>
      <c r="CU621" s="8">
        <f>5544</f>
        <v>5544</v>
      </c>
      <c r="CV621" s="8">
        <f>0</f>
        <v>0</v>
      </c>
      <c r="CX621" s="8">
        <f>0</f>
        <v>0</v>
      </c>
      <c r="CY621" s="8">
        <f>5544</f>
        <v>5544</v>
      </c>
      <c r="DA621" s="5" t="s">
        <v>533</v>
      </c>
      <c r="DB621" s="5" t="s">
        <v>238</v>
      </c>
      <c r="DD621" s="5" t="s">
        <v>356</v>
      </c>
      <c r="DE621" s="8">
        <f>0</f>
        <v>0</v>
      </c>
      <c r="DG621" s="5" t="s">
        <v>534</v>
      </c>
      <c r="DH621" s="5" t="s">
        <v>238</v>
      </c>
      <c r="DI621" s="5" t="s">
        <v>238</v>
      </c>
      <c r="DJ621" s="5" t="s">
        <v>238</v>
      </c>
      <c r="DN621" s="5" t="s">
        <v>238</v>
      </c>
      <c r="DO621" s="5" t="s">
        <v>238</v>
      </c>
      <c r="DP621" s="5" t="s">
        <v>238</v>
      </c>
      <c r="DQ621" s="5" t="s">
        <v>238</v>
      </c>
      <c r="DT621" s="5" t="s">
        <v>535</v>
      </c>
      <c r="DU621" s="5" t="s">
        <v>406</v>
      </c>
      <c r="HM621" s="5" t="s">
        <v>264</v>
      </c>
    </row>
    <row r="622" spans="1:221" x14ac:dyDescent="0.4">
      <c r="A622" s="5">
        <v>1484</v>
      </c>
      <c r="B622" s="5">
        <v>1</v>
      </c>
      <c r="C622" s="5">
        <v>1</v>
      </c>
      <c r="D622" s="5" t="s">
        <v>484</v>
      </c>
      <c r="E622" s="5" t="s">
        <v>485</v>
      </c>
      <c r="F622" s="5" t="s">
        <v>248</v>
      </c>
      <c r="G622" s="5" t="s">
        <v>531</v>
      </c>
      <c r="H622" s="6" t="s">
        <v>5590</v>
      </c>
      <c r="I622" s="7">
        <f>337</f>
        <v>337</v>
      </c>
      <c r="J622" s="5" t="s">
        <v>262</v>
      </c>
      <c r="K622" s="8">
        <f>3707</f>
        <v>3707</v>
      </c>
      <c r="L622" s="6" t="s">
        <v>242</v>
      </c>
      <c r="M622" s="5" t="s">
        <v>267</v>
      </c>
      <c r="N622" s="5" t="s">
        <v>237</v>
      </c>
      <c r="O622" s="5" t="s">
        <v>238</v>
      </c>
      <c r="P622" s="5" t="s">
        <v>238</v>
      </c>
      <c r="Q622" s="5" t="s">
        <v>239</v>
      </c>
      <c r="R622" s="5" t="s">
        <v>240</v>
      </c>
      <c r="S622" s="5" t="s">
        <v>238</v>
      </c>
      <c r="V622" s="5" t="s">
        <v>238</v>
      </c>
      <c r="X622" s="6" t="s">
        <v>238</v>
      </c>
      <c r="AA622" s="6" t="s">
        <v>243</v>
      </c>
      <c r="AB622" s="5" t="s">
        <v>238</v>
      </c>
      <c r="AC622" s="5" t="s">
        <v>244</v>
      </c>
      <c r="AD622" s="5" t="s">
        <v>245</v>
      </c>
      <c r="AT622" s="5" t="s">
        <v>246</v>
      </c>
      <c r="AU622" s="5" t="s">
        <v>238</v>
      </c>
      <c r="AV622" s="5" t="s">
        <v>247</v>
      </c>
      <c r="AW622" s="5" t="s">
        <v>238</v>
      </c>
      <c r="AX622" s="5" t="s">
        <v>249</v>
      </c>
      <c r="AY622" s="5" t="s">
        <v>238</v>
      </c>
      <c r="BA622" s="5" t="s">
        <v>238</v>
      </c>
      <c r="BC622" s="5" t="s">
        <v>250</v>
      </c>
      <c r="BD622" s="6" t="s">
        <v>243</v>
      </c>
      <c r="BE622" s="5" t="s">
        <v>251</v>
      </c>
      <c r="BF622" s="5" t="s">
        <v>252</v>
      </c>
      <c r="BG622" s="5" t="s">
        <v>238</v>
      </c>
      <c r="BH622" s="7">
        <f>0</f>
        <v>0</v>
      </c>
      <c r="BI622" s="8">
        <f>0</f>
        <v>0</v>
      </c>
      <c r="BJ622" s="5" t="s">
        <v>253</v>
      </c>
      <c r="BK622" s="5" t="s">
        <v>254</v>
      </c>
      <c r="BY622" s="5" t="s">
        <v>238</v>
      </c>
      <c r="BZ622" s="5" t="s">
        <v>238</v>
      </c>
      <c r="CD622" s="5" t="s">
        <v>255</v>
      </c>
      <c r="CE622" s="5" t="s">
        <v>256</v>
      </c>
      <c r="CF622" s="5" t="s">
        <v>238</v>
      </c>
      <c r="CI622" s="6" t="s">
        <v>257</v>
      </c>
      <c r="CJ622" s="5" t="s">
        <v>238</v>
      </c>
      <c r="CK622" s="5" t="s">
        <v>258</v>
      </c>
      <c r="CL622" s="5" t="s">
        <v>238</v>
      </c>
      <c r="CM622" s="5" t="s">
        <v>238</v>
      </c>
      <c r="CN622" s="5">
        <v>0</v>
      </c>
      <c r="CO622" s="5" t="s">
        <v>259</v>
      </c>
      <c r="CP622" s="5" t="s">
        <v>260</v>
      </c>
      <c r="CQ622" s="5" t="s">
        <v>260</v>
      </c>
      <c r="CR622" s="5" t="s">
        <v>261</v>
      </c>
      <c r="CU622" s="8">
        <f>3707</f>
        <v>3707</v>
      </c>
      <c r="CV622" s="8">
        <f>0</f>
        <v>0</v>
      </c>
      <c r="CX622" s="8">
        <f>0</f>
        <v>0</v>
      </c>
      <c r="CY622" s="8">
        <f>3707</f>
        <v>3707</v>
      </c>
      <c r="DA622" s="5" t="s">
        <v>533</v>
      </c>
      <c r="DB622" s="5" t="s">
        <v>238</v>
      </c>
      <c r="DD622" s="5" t="s">
        <v>356</v>
      </c>
      <c r="DE622" s="8">
        <f>0</f>
        <v>0</v>
      </c>
      <c r="DG622" s="5" t="s">
        <v>534</v>
      </c>
      <c r="DH622" s="5" t="s">
        <v>238</v>
      </c>
      <c r="DI622" s="5" t="s">
        <v>238</v>
      </c>
      <c r="DJ622" s="5" t="s">
        <v>238</v>
      </c>
      <c r="DN622" s="5" t="s">
        <v>238</v>
      </c>
      <c r="DO622" s="5" t="s">
        <v>238</v>
      </c>
      <c r="DP622" s="5" t="s">
        <v>238</v>
      </c>
      <c r="DQ622" s="5" t="s">
        <v>238</v>
      </c>
      <c r="DT622" s="5" t="s">
        <v>535</v>
      </c>
      <c r="DU622" s="5" t="s">
        <v>408</v>
      </c>
      <c r="HM622" s="5" t="s">
        <v>264</v>
      </c>
    </row>
    <row r="623" spans="1:221" x14ac:dyDescent="0.4">
      <c r="A623" s="5">
        <v>1485</v>
      </c>
      <c r="B623" s="5">
        <v>1</v>
      </c>
      <c r="C623" s="5">
        <v>1</v>
      </c>
      <c r="D623" s="5" t="s">
        <v>484</v>
      </c>
      <c r="E623" s="5" t="s">
        <v>485</v>
      </c>
      <c r="F623" s="5" t="s">
        <v>248</v>
      </c>
      <c r="G623" s="5" t="s">
        <v>531</v>
      </c>
      <c r="H623" s="6" t="s">
        <v>5592</v>
      </c>
      <c r="I623" s="7">
        <f>389</f>
        <v>389</v>
      </c>
      <c r="J623" s="5" t="s">
        <v>262</v>
      </c>
      <c r="K623" s="8">
        <f>4279</f>
        <v>4279</v>
      </c>
      <c r="L623" s="6" t="s">
        <v>242</v>
      </c>
      <c r="M623" s="5" t="s">
        <v>267</v>
      </c>
      <c r="N623" s="5" t="s">
        <v>237</v>
      </c>
      <c r="O623" s="5" t="s">
        <v>238</v>
      </c>
      <c r="P623" s="5" t="s">
        <v>238</v>
      </c>
      <c r="Q623" s="5" t="s">
        <v>239</v>
      </c>
      <c r="R623" s="5" t="s">
        <v>240</v>
      </c>
      <c r="S623" s="5" t="s">
        <v>238</v>
      </c>
      <c r="V623" s="5" t="s">
        <v>238</v>
      </c>
      <c r="X623" s="6" t="s">
        <v>238</v>
      </c>
      <c r="AA623" s="6" t="s">
        <v>243</v>
      </c>
      <c r="AB623" s="5" t="s">
        <v>238</v>
      </c>
      <c r="AC623" s="5" t="s">
        <v>244</v>
      </c>
      <c r="AD623" s="5" t="s">
        <v>245</v>
      </c>
      <c r="AT623" s="5" t="s">
        <v>246</v>
      </c>
      <c r="AU623" s="5" t="s">
        <v>238</v>
      </c>
      <c r="AV623" s="5" t="s">
        <v>247</v>
      </c>
      <c r="AW623" s="5" t="s">
        <v>238</v>
      </c>
      <c r="AX623" s="5" t="s">
        <v>249</v>
      </c>
      <c r="AY623" s="5" t="s">
        <v>238</v>
      </c>
      <c r="BA623" s="5" t="s">
        <v>238</v>
      </c>
      <c r="BC623" s="5" t="s">
        <v>250</v>
      </c>
      <c r="BD623" s="6" t="s">
        <v>243</v>
      </c>
      <c r="BE623" s="5" t="s">
        <v>251</v>
      </c>
      <c r="BF623" s="5" t="s">
        <v>252</v>
      </c>
      <c r="BG623" s="5" t="s">
        <v>238</v>
      </c>
      <c r="BH623" s="7">
        <f>0</f>
        <v>0</v>
      </c>
      <c r="BI623" s="8">
        <f>0</f>
        <v>0</v>
      </c>
      <c r="BJ623" s="5" t="s">
        <v>253</v>
      </c>
      <c r="BK623" s="5" t="s">
        <v>254</v>
      </c>
      <c r="BY623" s="5" t="s">
        <v>238</v>
      </c>
      <c r="BZ623" s="5" t="s">
        <v>238</v>
      </c>
      <c r="CD623" s="5" t="s">
        <v>255</v>
      </c>
      <c r="CE623" s="5" t="s">
        <v>256</v>
      </c>
      <c r="CF623" s="5" t="s">
        <v>238</v>
      </c>
      <c r="CI623" s="6" t="s">
        <v>257</v>
      </c>
      <c r="CJ623" s="5" t="s">
        <v>238</v>
      </c>
      <c r="CK623" s="5" t="s">
        <v>258</v>
      </c>
      <c r="CL623" s="5" t="s">
        <v>238</v>
      </c>
      <c r="CM623" s="5" t="s">
        <v>238</v>
      </c>
      <c r="CN623" s="5">
        <v>0</v>
      </c>
      <c r="CO623" s="5" t="s">
        <v>259</v>
      </c>
      <c r="CP623" s="5" t="s">
        <v>260</v>
      </c>
      <c r="CQ623" s="5" t="s">
        <v>260</v>
      </c>
      <c r="CR623" s="5" t="s">
        <v>261</v>
      </c>
      <c r="CU623" s="8">
        <f>4279</f>
        <v>4279</v>
      </c>
      <c r="CV623" s="8">
        <f>0</f>
        <v>0</v>
      </c>
      <c r="CX623" s="8">
        <f>0</f>
        <v>0</v>
      </c>
      <c r="CY623" s="8">
        <f>4279</f>
        <v>4279</v>
      </c>
      <c r="DA623" s="5" t="s">
        <v>533</v>
      </c>
      <c r="DB623" s="5" t="s">
        <v>238</v>
      </c>
      <c r="DD623" s="5" t="s">
        <v>356</v>
      </c>
      <c r="DE623" s="8">
        <f>0</f>
        <v>0</v>
      </c>
      <c r="DG623" s="5" t="s">
        <v>534</v>
      </c>
      <c r="DH623" s="5" t="s">
        <v>238</v>
      </c>
      <c r="DI623" s="5" t="s">
        <v>238</v>
      </c>
      <c r="DJ623" s="5" t="s">
        <v>238</v>
      </c>
      <c r="DN623" s="5" t="s">
        <v>238</v>
      </c>
      <c r="DO623" s="5" t="s">
        <v>238</v>
      </c>
      <c r="DP623" s="5" t="s">
        <v>238</v>
      </c>
      <c r="DQ623" s="5" t="s">
        <v>238</v>
      </c>
      <c r="DT623" s="5" t="s">
        <v>535</v>
      </c>
      <c r="DU623" s="5" t="s">
        <v>410</v>
      </c>
      <c r="HM623" s="5" t="s">
        <v>264</v>
      </c>
    </row>
    <row r="624" spans="1:221" x14ac:dyDescent="0.4">
      <c r="A624" s="5">
        <v>1486</v>
      </c>
      <c r="B624" s="5">
        <v>1</v>
      </c>
      <c r="C624" s="5">
        <v>1</v>
      </c>
      <c r="D624" s="5" t="s">
        <v>484</v>
      </c>
      <c r="E624" s="5" t="s">
        <v>485</v>
      </c>
      <c r="F624" s="5" t="s">
        <v>248</v>
      </c>
      <c r="G624" s="5" t="s">
        <v>531</v>
      </c>
      <c r="H624" s="6" t="s">
        <v>5595</v>
      </c>
      <c r="I624" s="7">
        <f>1461</f>
        <v>1461</v>
      </c>
      <c r="J624" s="5" t="s">
        <v>262</v>
      </c>
      <c r="K624" s="8">
        <f>16071</f>
        <v>16071</v>
      </c>
      <c r="L624" s="6" t="s">
        <v>242</v>
      </c>
      <c r="M624" s="5" t="s">
        <v>267</v>
      </c>
      <c r="N624" s="5" t="s">
        <v>237</v>
      </c>
      <c r="O624" s="5" t="s">
        <v>238</v>
      </c>
      <c r="P624" s="5" t="s">
        <v>238</v>
      </c>
      <c r="Q624" s="5" t="s">
        <v>239</v>
      </c>
      <c r="R624" s="5" t="s">
        <v>240</v>
      </c>
      <c r="S624" s="5" t="s">
        <v>238</v>
      </c>
      <c r="V624" s="5" t="s">
        <v>238</v>
      </c>
      <c r="X624" s="6" t="s">
        <v>238</v>
      </c>
      <c r="AA624" s="6" t="s">
        <v>243</v>
      </c>
      <c r="AB624" s="5" t="s">
        <v>238</v>
      </c>
      <c r="AC624" s="5" t="s">
        <v>244</v>
      </c>
      <c r="AD624" s="5" t="s">
        <v>245</v>
      </c>
      <c r="AT624" s="5" t="s">
        <v>246</v>
      </c>
      <c r="AU624" s="5" t="s">
        <v>238</v>
      </c>
      <c r="AV624" s="5" t="s">
        <v>247</v>
      </c>
      <c r="AW624" s="5" t="s">
        <v>238</v>
      </c>
      <c r="AX624" s="5" t="s">
        <v>249</v>
      </c>
      <c r="AY624" s="5" t="s">
        <v>238</v>
      </c>
      <c r="BA624" s="5" t="s">
        <v>238</v>
      </c>
      <c r="BC624" s="5" t="s">
        <v>250</v>
      </c>
      <c r="BD624" s="6" t="s">
        <v>243</v>
      </c>
      <c r="BE624" s="5" t="s">
        <v>251</v>
      </c>
      <c r="BF624" s="5" t="s">
        <v>252</v>
      </c>
      <c r="BG624" s="5" t="s">
        <v>238</v>
      </c>
      <c r="BH624" s="7">
        <f>0</f>
        <v>0</v>
      </c>
      <c r="BI624" s="8">
        <f>0</f>
        <v>0</v>
      </c>
      <c r="BJ624" s="5" t="s">
        <v>253</v>
      </c>
      <c r="BK624" s="5" t="s">
        <v>254</v>
      </c>
      <c r="BY624" s="5" t="s">
        <v>238</v>
      </c>
      <c r="BZ624" s="5" t="s">
        <v>238</v>
      </c>
      <c r="CD624" s="5" t="s">
        <v>255</v>
      </c>
      <c r="CE624" s="5" t="s">
        <v>256</v>
      </c>
      <c r="CF624" s="5" t="s">
        <v>238</v>
      </c>
      <c r="CI624" s="6" t="s">
        <v>257</v>
      </c>
      <c r="CJ624" s="5" t="s">
        <v>238</v>
      </c>
      <c r="CK624" s="5" t="s">
        <v>258</v>
      </c>
      <c r="CL624" s="5" t="s">
        <v>238</v>
      </c>
      <c r="CM624" s="5" t="s">
        <v>238</v>
      </c>
      <c r="CN624" s="5">
        <v>0</v>
      </c>
      <c r="CO624" s="5" t="s">
        <v>259</v>
      </c>
      <c r="CP624" s="5" t="s">
        <v>260</v>
      </c>
      <c r="CQ624" s="5" t="s">
        <v>260</v>
      </c>
      <c r="CR624" s="5" t="s">
        <v>261</v>
      </c>
      <c r="CU624" s="8">
        <f>16071</f>
        <v>16071</v>
      </c>
      <c r="CV624" s="8">
        <f>0</f>
        <v>0</v>
      </c>
      <c r="CX624" s="8">
        <f>0</f>
        <v>0</v>
      </c>
      <c r="CY624" s="8">
        <f>16071</f>
        <v>16071</v>
      </c>
      <c r="DA624" s="5" t="s">
        <v>533</v>
      </c>
      <c r="DB624" s="5" t="s">
        <v>238</v>
      </c>
      <c r="DD624" s="5" t="s">
        <v>356</v>
      </c>
      <c r="DE624" s="8">
        <f>0</f>
        <v>0</v>
      </c>
      <c r="DG624" s="5" t="s">
        <v>534</v>
      </c>
      <c r="DH624" s="5" t="s">
        <v>238</v>
      </c>
      <c r="DI624" s="5" t="s">
        <v>238</v>
      </c>
      <c r="DJ624" s="5" t="s">
        <v>238</v>
      </c>
      <c r="DN624" s="5" t="s">
        <v>238</v>
      </c>
      <c r="DO624" s="5" t="s">
        <v>238</v>
      </c>
      <c r="DP624" s="5" t="s">
        <v>238</v>
      </c>
      <c r="DQ624" s="5" t="s">
        <v>238</v>
      </c>
      <c r="DT624" s="5" t="s">
        <v>535</v>
      </c>
      <c r="DU624" s="5" t="s">
        <v>414</v>
      </c>
      <c r="HM624" s="5" t="s">
        <v>264</v>
      </c>
    </row>
    <row r="625" spans="1:221" x14ac:dyDescent="0.4">
      <c r="A625" s="5">
        <v>1487</v>
      </c>
      <c r="B625" s="5">
        <v>1</v>
      </c>
      <c r="C625" s="5">
        <v>1</v>
      </c>
      <c r="D625" s="5" t="s">
        <v>484</v>
      </c>
      <c r="E625" s="5" t="s">
        <v>485</v>
      </c>
      <c r="F625" s="5" t="s">
        <v>248</v>
      </c>
      <c r="G625" s="5" t="s">
        <v>531</v>
      </c>
      <c r="H625" s="6" t="s">
        <v>5597</v>
      </c>
      <c r="I625" s="7">
        <f>3338</f>
        <v>3338</v>
      </c>
      <c r="J625" s="5" t="s">
        <v>262</v>
      </c>
      <c r="K625" s="8">
        <f>36718</f>
        <v>36718</v>
      </c>
      <c r="L625" s="6" t="s">
        <v>242</v>
      </c>
      <c r="M625" s="5" t="s">
        <v>267</v>
      </c>
      <c r="N625" s="5" t="s">
        <v>237</v>
      </c>
      <c r="O625" s="5" t="s">
        <v>238</v>
      </c>
      <c r="P625" s="5" t="s">
        <v>238</v>
      </c>
      <c r="Q625" s="5" t="s">
        <v>239</v>
      </c>
      <c r="R625" s="5" t="s">
        <v>240</v>
      </c>
      <c r="S625" s="5" t="s">
        <v>238</v>
      </c>
      <c r="V625" s="5" t="s">
        <v>238</v>
      </c>
      <c r="X625" s="6" t="s">
        <v>238</v>
      </c>
      <c r="AA625" s="6" t="s">
        <v>243</v>
      </c>
      <c r="AB625" s="5" t="s">
        <v>238</v>
      </c>
      <c r="AC625" s="5" t="s">
        <v>244</v>
      </c>
      <c r="AD625" s="5" t="s">
        <v>245</v>
      </c>
      <c r="AT625" s="5" t="s">
        <v>246</v>
      </c>
      <c r="AU625" s="5" t="s">
        <v>238</v>
      </c>
      <c r="AV625" s="5" t="s">
        <v>247</v>
      </c>
      <c r="AW625" s="5" t="s">
        <v>238</v>
      </c>
      <c r="AX625" s="5" t="s">
        <v>249</v>
      </c>
      <c r="AY625" s="5" t="s">
        <v>238</v>
      </c>
      <c r="BA625" s="5" t="s">
        <v>238</v>
      </c>
      <c r="BC625" s="5" t="s">
        <v>250</v>
      </c>
      <c r="BD625" s="6" t="s">
        <v>243</v>
      </c>
      <c r="BE625" s="5" t="s">
        <v>251</v>
      </c>
      <c r="BF625" s="5" t="s">
        <v>252</v>
      </c>
      <c r="BG625" s="5" t="s">
        <v>238</v>
      </c>
      <c r="BH625" s="7">
        <f>0</f>
        <v>0</v>
      </c>
      <c r="BI625" s="8">
        <f>0</f>
        <v>0</v>
      </c>
      <c r="BJ625" s="5" t="s">
        <v>253</v>
      </c>
      <c r="BK625" s="5" t="s">
        <v>254</v>
      </c>
      <c r="BY625" s="5" t="s">
        <v>238</v>
      </c>
      <c r="BZ625" s="5" t="s">
        <v>238</v>
      </c>
      <c r="CD625" s="5" t="s">
        <v>255</v>
      </c>
      <c r="CE625" s="5" t="s">
        <v>256</v>
      </c>
      <c r="CF625" s="5" t="s">
        <v>238</v>
      </c>
      <c r="CI625" s="6" t="s">
        <v>257</v>
      </c>
      <c r="CJ625" s="5" t="s">
        <v>238</v>
      </c>
      <c r="CK625" s="5" t="s">
        <v>258</v>
      </c>
      <c r="CL625" s="5" t="s">
        <v>238</v>
      </c>
      <c r="CM625" s="5" t="s">
        <v>238</v>
      </c>
      <c r="CN625" s="5">
        <v>0</v>
      </c>
      <c r="CO625" s="5" t="s">
        <v>259</v>
      </c>
      <c r="CP625" s="5" t="s">
        <v>260</v>
      </c>
      <c r="CQ625" s="5" t="s">
        <v>260</v>
      </c>
      <c r="CR625" s="5" t="s">
        <v>261</v>
      </c>
      <c r="CU625" s="8">
        <f>36718</f>
        <v>36718</v>
      </c>
      <c r="CV625" s="8">
        <f>0</f>
        <v>0</v>
      </c>
      <c r="CX625" s="8">
        <f>0</f>
        <v>0</v>
      </c>
      <c r="CY625" s="8">
        <f>36718</f>
        <v>36718</v>
      </c>
      <c r="DA625" s="5" t="s">
        <v>533</v>
      </c>
      <c r="DB625" s="5" t="s">
        <v>238</v>
      </c>
      <c r="DD625" s="5" t="s">
        <v>356</v>
      </c>
      <c r="DE625" s="8">
        <f>0</f>
        <v>0</v>
      </c>
      <c r="DG625" s="5" t="s">
        <v>534</v>
      </c>
      <c r="DH625" s="5" t="s">
        <v>238</v>
      </c>
      <c r="DI625" s="5" t="s">
        <v>238</v>
      </c>
      <c r="DJ625" s="5" t="s">
        <v>238</v>
      </c>
      <c r="DN625" s="5" t="s">
        <v>238</v>
      </c>
      <c r="DO625" s="5" t="s">
        <v>238</v>
      </c>
      <c r="DP625" s="5" t="s">
        <v>238</v>
      </c>
      <c r="DQ625" s="5" t="s">
        <v>238</v>
      </c>
      <c r="DT625" s="5" t="s">
        <v>535</v>
      </c>
      <c r="DU625" s="5" t="s">
        <v>418</v>
      </c>
      <c r="HM625" s="5" t="s">
        <v>264</v>
      </c>
    </row>
    <row r="626" spans="1:221" x14ac:dyDescent="0.4">
      <c r="A626" s="5">
        <v>1488</v>
      </c>
      <c r="B626" s="5">
        <v>1</v>
      </c>
      <c r="C626" s="5">
        <v>1</v>
      </c>
      <c r="D626" s="5" t="s">
        <v>484</v>
      </c>
      <c r="E626" s="5" t="s">
        <v>485</v>
      </c>
      <c r="F626" s="5" t="s">
        <v>248</v>
      </c>
      <c r="G626" s="5" t="s">
        <v>531</v>
      </c>
      <c r="H626" s="6" t="s">
        <v>5600</v>
      </c>
      <c r="I626" s="7">
        <f>5925</f>
        <v>5925</v>
      </c>
      <c r="J626" s="5" t="s">
        <v>262</v>
      </c>
      <c r="K626" s="8">
        <f>65175</f>
        <v>65175</v>
      </c>
      <c r="L626" s="6" t="s">
        <v>242</v>
      </c>
      <c r="M626" s="5" t="s">
        <v>267</v>
      </c>
      <c r="N626" s="5" t="s">
        <v>237</v>
      </c>
      <c r="O626" s="5" t="s">
        <v>238</v>
      </c>
      <c r="P626" s="5" t="s">
        <v>238</v>
      </c>
      <c r="Q626" s="5" t="s">
        <v>239</v>
      </c>
      <c r="R626" s="5" t="s">
        <v>240</v>
      </c>
      <c r="S626" s="5" t="s">
        <v>238</v>
      </c>
      <c r="V626" s="5" t="s">
        <v>238</v>
      </c>
      <c r="X626" s="6" t="s">
        <v>238</v>
      </c>
      <c r="AA626" s="6" t="s">
        <v>243</v>
      </c>
      <c r="AB626" s="5" t="s">
        <v>238</v>
      </c>
      <c r="AC626" s="5" t="s">
        <v>244</v>
      </c>
      <c r="AD626" s="5" t="s">
        <v>245</v>
      </c>
      <c r="AT626" s="5" t="s">
        <v>246</v>
      </c>
      <c r="AU626" s="5" t="s">
        <v>238</v>
      </c>
      <c r="AV626" s="5" t="s">
        <v>247</v>
      </c>
      <c r="AW626" s="5" t="s">
        <v>238</v>
      </c>
      <c r="AX626" s="5" t="s">
        <v>249</v>
      </c>
      <c r="AY626" s="5" t="s">
        <v>238</v>
      </c>
      <c r="BA626" s="5" t="s">
        <v>238</v>
      </c>
      <c r="BC626" s="5" t="s">
        <v>250</v>
      </c>
      <c r="BD626" s="6" t="s">
        <v>243</v>
      </c>
      <c r="BE626" s="5" t="s">
        <v>251</v>
      </c>
      <c r="BF626" s="5" t="s">
        <v>252</v>
      </c>
      <c r="BG626" s="5" t="s">
        <v>238</v>
      </c>
      <c r="BH626" s="7">
        <f>0</f>
        <v>0</v>
      </c>
      <c r="BI626" s="8">
        <f>0</f>
        <v>0</v>
      </c>
      <c r="BJ626" s="5" t="s">
        <v>253</v>
      </c>
      <c r="BK626" s="5" t="s">
        <v>254</v>
      </c>
      <c r="BY626" s="5" t="s">
        <v>238</v>
      </c>
      <c r="BZ626" s="5" t="s">
        <v>238</v>
      </c>
      <c r="CD626" s="5" t="s">
        <v>255</v>
      </c>
      <c r="CE626" s="5" t="s">
        <v>256</v>
      </c>
      <c r="CF626" s="5" t="s">
        <v>238</v>
      </c>
      <c r="CI626" s="6" t="s">
        <v>257</v>
      </c>
      <c r="CJ626" s="5" t="s">
        <v>238</v>
      </c>
      <c r="CK626" s="5" t="s">
        <v>258</v>
      </c>
      <c r="CL626" s="5" t="s">
        <v>238</v>
      </c>
      <c r="CM626" s="5" t="s">
        <v>238</v>
      </c>
      <c r="CN626" s="5">
        <v>0</v>
      </c>
      <c r="CO626" s="5" t="s">
        <v>259</v>
      </c>
      <c r="CP626" s="5" t="s">
        <v>260</v>
      </c>
      <c r="CQ626" s="5" t="s">
        <v>260</v>
      </c>
      <c r="CR626" s="5" t="s">
        <v>261</v>
      </c>
      <c r="CU626" s="8">
        <f>65175</f>
        <v>65175</v>
      </c>
      <c r="CV626" s="8">
        <f>0</f>
        <v>0</v>
      </c>
      <c r="CX626" s="8">
        <f>0</f>
        <v>0</v>
      </c>
      <c r="CY626" s="8">
        <f>65175</f>
        <v>65175</v>
      </c>
      <c r="DA626" s="5" t="s">
        <v>533</v>
      </c>
      <c r="DB626" s="5" t="s">
        <v>238</v>
      </c>
      <c r="DD626" s="5" t="s">
        <v>356</v>
      </c>
      <c r="DE626" s="8">
        <f>0</f>
        <v>0</v>
      </c>
      <c r="DG626" s="5" t="s">
        <v>534</v>
      </c>
      <c r="DH626" s="5" t="s">
        <v>238</v>
      </c>
      <c r="DI626" s="5" t="s">
        <v>238</v>
      </c>
      <c r="DJ626" s="5" t="s">
        <v>238</v>
      </c>
      <c r="DN626" s="5" t="s">
        <v>238</v>
      </c>
      <c r="DO626" s="5" t="s">
        <v>238</v>
      </c>
      <c r="DP626" s="5" t="s">
        <v>238</v>
      </c>
      <c r="DQ626" s="5" t="s">
        <v>238</v>
      </c>
      <c r="DT626" s="5" t="s">
        <v>535</v>
      </c>
      <c r="DU626" s="5" t="s">
        <v>420</v>
      </c>
      <c r="HM626" s="5" t="s">
        <v>264</v>
      </c>
    </row>
    <row r="627" spans="1:221" x14ac:dyDescent="0.4">
      <c r="A627" s="5">
        <v>1489</v>
      </c>
      <c r="B627" s="5">
        <v>1</v>
      </c>
      <c r="C627" s="5">
        <v>1</v>
      </c>
      <c r="D627" s="5" t="s">
        <v>484</v>
      </c>
      <c r="E627" s="5" t="s">
        <v>485</v>
      </c>
      <c r="F627" s="5" t="s">
        <v>248</v>
      </c>
      <c r="G627" s="5" t="s">
        <v>531</v>
      </c>
      <c r="H627" s="6" t="s">
        <v>5602</v>
      </c>
      <c r="I627" s="7">
        <f>280</f>
        <v>280</v>
      </c>
      <c r="J627" s="5" t="s">
        <v>262</v>
      </c>
      <c r="K627" s="8">
        <f>3080</f>
        <v>3080</v>
      </c>
      <c r="L627" s="6" t="s">
        <v>242</v>
      </c>
      <c r="M627" s="5" t="s">
        <v>267</v>
      </c>
      <c r="N627" s="5" t="s">
        <v>237</v>
      </c>
      <c r="O627" s="5" t="s">
        <v>238</v>
      </c>
      <c r="P627" s="5" t="s">
        <v>238</v>
      </c>
      <c r="Q627" s="5" t="s">
        <v>239</v>
      </c>
      <c r="R627" s="5" t="s">
        <v>240</v>
      </c>
      <c r="S627" s="5" t="s">
        <v>238</v>
      </c>
      <c r="V627" s="5" t="s">
        <v>238</v>
      </c>
      <c r="X627" s="6" t="s">
        <v>238</v>
      </c>
      <c r="AA627" s="6" t="s">
        <v>243</v>
      </c>
      <c r="AB627" s="5" t="s">
        <v>238</v>
      </c>
      <c r="AC627" s="5" t="s">
        <v>244</v>
      </c>
      <c r="AD627" s="5" t="s">
        <v>245</v>
      </c>
      <c r="AT627" s="5" t="s">
        <v>246</v>
      </c>
      <c r="AU627" s="5" t="s">
        <v>238</v>
      </c>
      <c r="AV627" s="5" t="s">
        <v>247</v>
      </c>
      <c r="AW627" s="5" t="s">
        <v>238</v>
      </c>
      <c r="AX627" s="5" t="s">
        <v>249</v>
      </c>
      <c r="AY627" s="5" t="s">
        <v>238</v>
      </c>
      <c r="BA627" s="5" t="s">
        <v>238</v>
      </c>
      <c r="BC627" s="5" t="s">
        <v>250</v>
      </c>
      <c r="BD627" s="6" t="s">
        <v>243</v>
      </c>
      <c r="BE627" s="5" t="s">
        <v>251</v>
      </c>
      <c r="BF627" s="5" t="s">
        <v>252</v>
      </c>
      <c r="BG627" s="5" t="s">
        <v>238</v>
      </c>
      <c r="BH627" s="7">
        <f>0</f>
        <v>0</v>
      </c>
      <c r="BI627" s="8">
        <f>0</f>
        <v>0</v>
      </c>
      <c r="BJ627" s="5" t="s">
        <v>253</v>
      </c>
      <c r="BK627" s="5" t="s">
        <v>254</v>
      </c>
      <c r="BY627" s="5" t="s">
        <v>238</v>
      </c>
      <c r="BZ627" s="5" t="s">
        <v>238</v>
      </c>
      <c r="CD627" s="5" t="s">
        <v>255</v>
      </c>
      <c r="CE627" s="5" t="s">
        <v>256</v>
      </c>
      <c r="CF627" s="5" t="s">
        <v>238</v>
      </c>
      <c r="CI627" s="6" t="s">
        <v>257</v>
      </c>
      <c r="CJ627" s="5" t="s">
        <v>238</v>
      </c>
      <c r="CK627" s="5" t="s">
        <v>258</v>
      </c>
      <c r="CL627" s="5" t="s">
        <v>238</v>
      </c>
      <c r="CM627" s="5" t="s">
        <v>238</v>
      </c>
      <c r="CN627" s="5">
        <v>0</v>
      </c>
      <c r="CO627" s="5" t="s">
        <v>259</v>
      </c>
      <c r="CP627" s="5" t="s">
        <v>260</v>
      </c>
      <c r="CQ627" s="5" t="s">
        <v>260</v>
      </c>
      <c r="CR627" s="5" t="s">
        <v>261</v>
      </c>
      <c r="CU627" s="8">
        <f>3080</f>
        <v>3080</v>
      </c>
      <c r="CV627" s="8">
        <f>0</f>
        <v>0</v>
      </c>
      <c r="CX627" s="8">
        <f>0</f>
        <v>0</v>
      </c>
      <c r="CY627" s="8">
        <f>3080</f>
        <v>3080</v>
      </c>
      <c r="DA627" s="5" t="s">
        <v>533</v>
      </c>
      <c r="DB627" s="5" t="s">
        <v>238</v>
      </c>
      <c r="DD627" s="5" t="s">
        <v>356</v>
      </c>
      <c r="DE627" s="8">
        <f>0</f>
        <v>0</v>
      </c>
      <c r="DG627" s="5" t="s">
        <v>534</v>
      </c>
      <c r="DH627" s="5" t="s">
        <v>238</v>
      </c>
      <c r="DI627" s="5" t="s">
        <v>238</v>
      </c>
      <c r="DJ627" s="5" t="s">
        <v>238</v>
      </c>
      <c r="DN627" s="5" t="s">
        <v>238</v>
      </c>
      <c r="DO627" s="5" t="s">
        <v>238</v>
      </c>
      <c r="DP627" s="5" t="s">
        <v>238</v>
      </c>
      <c r="DQ627" s="5" t="s">
        <v>238</v>
      </c>
      <c r="DT627" s="5" t="s">
        <v>535</v>
      </c>
      <c r="DU627" s="5" t="s">
        <v>3318</v>
      </c>
      <c r="HM627" s="5" t="s">
        <v>264</v>
      </c>
    </row>
    <row r="628" spans="1:221" x14ac:dyDescent="0.4">
      <c r="A628" s="5">
        <v>1490</v>
      </c>
      <c r="B628" s="5">
        <v>1</v>
      </c>
      <c r="C628" s="5">
        <v>1</v>
      </c>
      <c r="D628" s="5" t="s">
        <v>484</v>
      </c>
      <c r="E628" s="5" t="s">
        <v>485</v>
      </c>
      <c r="F628" s="5" t="s">
        <v>248</v>
      </c>
      <c r="G628" s="5" t="s">
        <v>531</v>
      </c>
      <c r="H628" s="6" t="s">
        <v>5606</v>
      </c>
      <c r="I628" s="7">
        <f>496</f>
        <v>496</v>
      </c>
      <c r="J628" s="5" t="s">
        <v>262</v>
      </c>
      <c r="K628" s="8">
        <f>5456</f>
        <v>5456</v>
      </c>
      <c r="L628" s="6" t="s">
        <v>242</v>
      </c>
      <c r="M628" s="5" t="s">
        <v>267</v>
      </c>
      <c r="N628" s="5" t="s">
        <v>237</v>
      </c>
      <c r="O628" s="5" t="s">
        <v>238</v>
      </c>
      <c r="P628" s="5" t="s">
        <v>238</v>
      </c>
      <c r="Q628" s="5" t="s">
        <v>239</v>
      </c>
      <c r="R628" s="5" t="s">
        <v>240</v>
      </c>
      <c r="S628" s="5" t="s">
        <v>238</v>
      </c>
      <c r="V628" s="5" t="s">
        <v>238</v>
      </c>
      <c r="X628" s="6" t="s">
        <v>238</v>
      </c>
      <c r="AA628" s="6" t="s">
        <v>243</v>
      </c>
      <c r="AB628" s="5" t="s">
        <v>238</v>
      </c>
      <c r="AC628" s="5" t="s">
        <v>244</v>
      </c>
      <c r="AD628" s="5" t="s">
        <v>245</v>
      </c>
      <c r="AT628" s="5" t="s">
        <v>246</v>
      </c>
      <c r="AU628" s="5" t="s">
        <v>238</v>
      </c>
      <c r="AV628" s="5" t="s">
        <v>247</v>
      </c>
      <c r="AW628" s="5" t="s">
        <v>238</v>
      </c>
      <c r="AX628" s="5" t="s">
        <v>249</v>
      </c>
      <c r="AY628" s="5" t="s">
        <v>238</v>
      </c>
      <c r="BA628" s="5" t="s">
        <v>238</v>
      </c>
      <c r="BC628" s="5" t="s">
        <v>250</v>
      </c>
      <c r="BD628" s="6" t="s">
        <v>243</v>
      </c>
      <c r="BE628" s="5" t="s">
        <v>251</v>
      </c>
      <c r="BF628" s="5" t="s">
        <v>252</v>
      </c>
      <c r="BG628" s="5" t="s">
        <v>238</v>
      </c>
      <c r="BH628" s="7">
        <f>0</f>
        <v>0</v>
      </c>
      <c r="BI628" s="8">
        <f>0</f>
        <v>0</v>
      </c>
      <c r="BJ628" s="5" t="s">
        <v>253</v>
      </c>
      <c r="BK628" s="5" t="s">
        <v>254</v>
      </c>
      <c r="BY628" s="5" t="s">
        <v>238</v>
      </c>
      <c r="BZ628" s="5" t="s">
        <v>238</v>
      </c>
      <c r="CD628" s="5" t="s">
        <v>255</v>
      </c>
      <c r="CE628" s="5" t="s">
        <v>256</v>
      </c>
      <c r="CF628" s="5" t="s">
        <v>238</v>
      </c>
      <c r="CI628" s="6" t="s">
        <v>257</v>
      </c>
      <c r="CJ628" s="5" t="s">
        <v>238</v>
      </c>
      <c r="CK628" s="5" t="s">
        <v>258</v>
      </c>
      <c r="CL628" s="5" t="s">
        <v>238</v>
      </c>
      <c r="CM628" s="5" t="s">
        <v>238</v>
      </c>
      <c r="CN628" s="5">
        <v>0</v>
      </c>
      <c r="CO628" s="5" t="s">
        <v>259</v>
      </c>
      <c r="CP628" s="5" t="s">
        <v>260</v>
      </c>
      <c r="CQ628" s="5" t="s">
        <v>260</v>
      </c>
      <c r="CR628" s="5" t="s">
        <v>261</v>
      </c>
      <c r="CU628" s="8">
        <f>5456</f>
        <v>5456</v>
      </c>
      <c r="CV628" s="8">
        <f>0</f>
        <v>0</v>
      </c>
      <c r="CX628" s="8">
        <f>0</f>
        <v>0</v>
      </c>
      <c r="CY628" s="8">
        <f>5456</f>
        <v>5456</v>
      </c>
      <c r="DA628" s="5" t="s">
        <v>533</v>
      </c>
      <c r="DB628" s="5" t="s">
        <v>238</v>
      </c>
      <c r="DD628" s="5" t="s">
        <v>356</v>
      </c>
      <c r="DE628" s="8">
        <f>0</f>
        <v>0</v>
      </c>
      <c r="DG628" s="5" t="s">
        <v>534</v>
      </c>
      <c r="DH628" s="5" t="s">
        <v>238</v>
      </c>
      <c r="DI628" s="5" t="s">
        <v>238</v>
      </c>
      <c r="DJ628" s="5" t="s">
        <v>238</v>
      </c>
      <c r="DN628" s="5" t="s">
        <v>238</v>
      </c>
      <c r="DO628" s="5" t="s">
        <v>238</v>
      </c>
      <c r="DP628" s="5" t="s">
        <v>238</v>
      </c>
      <c r="DQ628" s="5" t="s">
        <v>238</v>
      </c>
      <c r="DT628" s="5" t="s">
        <v>535</v>
      </c>
      <c r="DU628" s="5" t="s">
        <v>426</v>
      </c>
      <c r="HM628" s="5" t="s">
        <v>264</v>
      </c>
    </row>
    <row r="629" spans="1:221" x14ac:dyDescent="0.4">
      <c r="A629" s="5">
        <v>1491</v>
      </c>
      <c r="B629" s="5">
        <v>1</v>
      </c>
      <c r="C629" s="5">
        <v>1</v>
      </c>
      <c r="D629" s="5" t="s">
        <v>484</v>
      </c>
      <c r="E629" s="5" t="s">
        <v>485</v>
      </c>
      <c r="F629" s="5" t="s">
        <v>248</v>
      </c>
      <c r="G629" s="5" t="s">
        <v>531</v>
      </c>
      <c r="H629" s="6" t="s">
        <v>5610</v>
      </c>
      <c r="I629" s="7">
        <f>6188</f>
        <v>6188</v>
      </c>
      <c r="J629" s="5" t="s">
        <v>262</v>
      </c>
      <c r="K629" s="8">
        <f>68068</f>
        <v>68068</v>
      </c>
      <c r="L629" s="6" t="s">
        <v>242</v>
      </c>
      <c r="M629" s="5" t="s">
        <v>267</v>
      </c>
      <c r="N629" s="5" t="s">
        <v>237</v>
      </c>
      <c r="O629" s="5" t="s">
        <v>238</v>
      </c>
      <c r="P629" s="5" t="s">
        <v>238</v>
      </c>
      <c r="Q629" s="5" t="s">
        <v>239</v>
      </c>
      <c r="R629" s="5" t="s">
        <v>240</v>
      </c>
      <c r="S629" s="5" t="s">
        <v>238</v>
      </c>
      <c r="V629" s="5" t="s">
        <v>238</v>
      </c>
      <c r="X629" s="6" t="s">
        <v>238</v>
      </c>
      <c r="AA629" s="6" t="s">
        <v>243</v>
      </c>
      <c r="AB629" s="5" t="s">
        <v>238</v>
      </c>
      <c r="AC629" s="5" t="s">
        <v>244</v>
      </c>
      <c r="AD629" s="5" t="s">
        <v>245</v>
      </c>
      <c r="AT629" s="5" t="s">
        <v>246</v>
      </c>
      <c r="AU629" s="5" t="s">
        <v>238</v>
      </c>
      <c r="AV629" s="5" t="s">
        <v>247</v>
      </c>
      <c r="AW629" s="5" t="s">
        <v>238</v>
      </c>
      <c r="AX629" s="5" t="s">
        <v>249</v>
      </c>
      <c r="AY629" s="5" t="s">
        <v>238</v>
      </c>
      <c r="BA629" s="5" t="s">
        <v>238</v>
      </c>
      <c r="BC629" s="5" t="s">
        <v>250</v>
      </c>
      <c r="BD629" s="6" t="s">
        <v>243</v>
      </c>
      <c r="BE629" s="5" t="s">
        <v>251</v>
      </c>
      <c r="BF629" s="5" t="s">
        <v>252</v>
      </c>
      <c r="BG629" s="5" t="s">
        <v>238</v>
      </c>
      <c r="BH629" s="7">
        <f>0</f>
        <v>0</v>
      </c>
      <c r="BI629" s="8">
        <f>0</f>
        <v>0</v>
      </c>
      <c r="BJ629" s="5" t="s">
        <v>253</v>
      </c>
      <c r="BK629" s="5" t="s">
        <v>254</v>
      </c>
      <c r="BY629" s="5" t="s">
        <v>238</v>
      </c>
      <c r="BZ629" s="5" t="s">
        <v>238</v>
      </c>
      <c r="CD629" s="5" t="s">
        <v>255</v>
      </c>
      <c r="CE629" s="5" t="s">
        <v>256</v>
      </c>
      <c r="CF629" s="5" t="s">
        <v>238</v>
      </c>
      <c r="CI629" s="6" t="s">
        <v>257</v>
      </c>
      <c r="CJ629" s="5" t="s">
        <v>238</v>
      </c>
      <c r="CK629" s="5" t="s">
        <v>258</v>
      </c>
      <c r="CL629" s="5" t="s">
        <v>238</v>
      </c>
      <c r="CM629" s="5" t="s">
        <v>238</v>
      </c>
      <c r="CN629" s="5">
        <v>0</v>
      </c>
      <c r="CO629" s="5" t="s">
        <v>259</v>
      </c>
      <c r="CP629" s="5" t="s">
        <v>260</v>
      </c>
      <c r="CQ629" s="5" t="s">
        <v>260</v>
      </c>
      <c r="CR629" s="5" t="s">
        <v>261</v>
      </c>
      <c r="CU629" s="8">
        <f>68068</f>
        <v>68068</v>
      </c>
      <c r="CV629" s="8">
        <f>0</f>
        <v>0</v>
      </c>
      <c r="CX629" s="8">
        <f>0</f>
        <v>0</v>
      </c>
      <c r="CY629" s="8">
        <f>68068</f>
        <v>68068</v>
      </c>
      <c r="DA629" s="5" t="s">
        <v>356</v>
      </c>
      <c r="DB629" s="5" t="s">
        <v>238</v>
      </c>
      <c r="DD629" s="5" t="s">
        <v>356</v>
      </c>
      <c r="DE629" s="8">
        <f>0</f>
        <v>0</v>
      </c>
      <c r="DG629" s="5" t="s">
        <v>534</v>
      </c>
      <c r="DH629" s="5" t="s">
        <v>238</v>
      </c>
      <c r="DI629" s="5" t="s">
        <v>238</v>
      </c>
      <c r="DJ629" s="5" t="s">
        <v>238</v>
      </c>
      <c r="DN629" s="5" t="s">
        <v>238</v>
      </c>
      <c r="DO629" s="5" t="s">
        <v>238</v>
      </c>
      <c r="DP629" s="5" t="s">
        <v>238</v>
      </c>
      <c r="DQ629" s="5" t="s">
        <v>238</v>
      </c>
      <c r="DT629" s="5" t="s">
        <v>535</v>
      </c>
      <c r="DU629" s="5" t="s">
        <v>430</v>
      </c>
      <c r="HM629" s="5" t="s">
        <v>264</v>
      </c>
    </row>
    <row r="630" spans="1:221" x14ac:dyDescent="0.4">
      <c r="A630" s="5">
        <v>1492</v>
      </c>
      <c r="B630" s="5">
        <v>1</v>
      </c>
      <c r="C630" s="5">
        <v>1</v>
      </c>
      <c r="D630" s="5" t="s">
        <v>484</v>
      </c>
      <c r="E630" s="5" t="s">
        <v>485</v>
      </c>
      <c r="F630" s="5" t="s">
        <v>248</v>
      </c>
      <c r="G630" s="5" t="s">
        <v>531</v>
      </c>
      <c r="H630" s="6" t="s">
        <v>5612</v>
      </c>
      <c r="I630" s="7">
        <f>558</f>
        <v>558</v>
      </c>
      <c r="J630" s="5" t="s">
        <v>262</v>
      </c>
      <c r="K630" s="8">
        <f>6138</f>
        <v>6138</v>
      </c>
      <c r="L630" s="6" t="s">
        <v>242</v>
      </c>
      <c r="M630" s="5" t="s">
        <v>267</v>
      </c>
      <c r="N630" s="5" t="s">
        <v>237</v>
      </c>
      <c r="O630" s="5" t="s">
        <v>238</v>
      </c>
      <c r="P630" s="5" t="s">
        <v>238</v>
      </c>
      <c r="Q630" s="5" t="s">
        <v>239</v>
      </c>
      <c r="R630" s="5" t="s">
        <v>240</v>
      </c>
      <c r="S630" s="5" t="s">
        <v>238</v>
      </c>
      <c r="V630" s="5" t="s">
        <v>238</v>
      </c>
      <c r="X630" s="6" t="s">
        <v>238</v>
      </c>
      <c r="AA630" s="6" t="s">
        <v>243</v>
      </c>
      <c r="AB630" s="5" t="s">
        <v>238</v>
      </c>
      <c r="AC630" s="5" t="s">
        <v>244</v>
      </c>
      <c r="AD630" s="5" t="s">
        <v>245</v>
      </c>
      <c r="AT630" s="5" t="s">
        <v>246</v>
      </c>
      <c r="AU630" s="5" t="s">
        <v>238</v>
      </c>
      <c r="AV630" s="5" t="s">
        <v>247</v>
      </c>
      <c r="AW630" s="5" t="s">
        <v>238</v>
      </c>
      <c r="AX630" s="5" t="s">
        <v>249</v>
      </c>
      <c r="AY630" s="5" t="s">
        <v>238</v>
      </c>
      <c r="BA630" s="5" t="s">
        <v>238</v>
      </c>
      <c r="BC630" s="5" t="s">
        <v>250</v>
      </c>
      <c r="BD630" s="6" t="s">
        <v>243</v>
      </c>
      <c r="BE630" s="5" t="s">
        <v>251</v>
      </c>
      <c r="BF630" s="5" t="s">
        <v>252</v>
      </c>
      <c r="BG630" s="5" t="s">
        <v>238</v>
      </c>
      <c r="BH630" s="7">
        <f>0</f>
        <v>0</v>
      </c>
      <c r="BI630" s="8">
        <f>0</f>
        <v>0</v>
      </c>
      <c r="BJ630" s="5" t="s">
        <v>253</v>
      </c>
      <c r="BK630" s="5" t="s">
        <v>254</v>
      </c>
      <c r="BY630" s="5" t="s">
        <v>238</v>
      </c>
      <c r="BZ630" s="5" t="s">
        <v>238</v>
      </c>
      <c r="CD630" s="5" t="s">
        <v>255</v>
      </c>
      <c r="CE630" s="5" t="s">
        <v>256</v>
      </c>
      <c r="CF630" s="5" t="s">
        <v>238</v>
      </c>
      <c r="CI630" s="6" t="s">
        <v>257</v>
      </c>
      <c r="CJ630" s="5" t="s">
        <v>238</v>
      </c>
      <c r="CK630" s="5" t="s">
        <v>258</v>
      </c>
      <c r="CL630" s="5" t="s">
        <v>238</v>
      </c>
      <c r="CM630" s="5" t="s">
        <v>238</v>
      </c>
      <c r="CN630" s="5">
        <v>0</v>
      </c>
      <c r="CO630" s="5" t="s">
        <v>259</v>
      </c>
      <c r="CP630" s="5" t="s">
        <v>260</v>
      </c>
      <c r="CQ630" s="5" t="s">
        <v>260</v>
      </c>
      <c r="CR630" s="5" t="s">
        <v>261</v>
      </c>
      <c r="CU630" s="8">
        <f>6138</f>
        <v>6138</v>
      </c>
      <c r="CV630" s="8">
        <f>0</f>
        <v>0</v>
      </c>
      <c r="CX630" s="8">
        <f>0</f>
        <v>0</v>
      </c>
      <c r="CY630" s="8">
        <f>6138</f>
        <v>6138</v>
      </c>
      <c r="DA630" s="5" t="s">
        <v>533</v>
      </c>
      <c r="DB630" s="5" t="s">
        <v>238</v>
      </c>
      <c r="DD630" s="5" t="s">
        <v>533</v>
      </c>
      <c r="DE630" s="8">
        <f>828</f>
        <v>828</v>
      </c>
      <c r="DG630" s="5" t="s">
        <v>534</v>
      </c>
      <c r="DH630" s="5" t="s">
        <v>238</v>
      </c>
      <c r="DI630" s="5" t="s">
        <v>238</v>
      </c>
      <c r="DJ630" s="5" t="s">
        <v>238</v>
      </c>
      <c r="DN630" s="5" t="s">
        <v>238</v>
      </c>
      <c r="DO630" s="5" t="s">
        <v>238</v>
      </c>
      <c r="DP630" s="5" t="s">
        <v>238</v>
      </c>
      <c r="DQ630" s="5" t="s">
        <v>238</v>
      </c>
      <c r="DT630" s="5" t="s">
        <v>535</v>
      </c>
      <c r="DU630" s="5" t="s">
        <v>432</v>
      </c>
      <c r="HM630" s="5" t="s">
        <v>264</v>
      </c>
    </row>
    <row r="631" spans="1:221" x14ac:dyDescent="0.4">
      <c r="A631" s="5">
        <v>1493</v>
      </c>
      <c r="B631" s="5">
        <v>1</v>
      </c>
      <c r="C631" s="5">
        <v>1</v>
      </c>
      <c r="D631" s="5" t="s">
        <v>484</v>
      </c>
      <c r="E631" s="5" t="s">
        <v>485</v>
      </c>
      <c r="F631" s="5" t="s">
        <v>248</v>
      </c>
      <c r="G631" s="5" t="s">
        <v>531</v>
      </c>
      <c r="H631" s="6" t="s">
        <v>5618</v>
      </c>
      <c r="I631" s="7">
        <f>1198</f>
        <v>1198</v>
      </c>
      <c r="J631" s="5" t="s">
        <v>262</v>
      </c>
      <c r="K631" s="8">
        <f>13178</f>
        <v>13178</v>
      </c>
      <c r="L631" s="6" t="s">
        <v>242</v>
      </c>
      <c r="M631" s="5" t="s">
        <v>267</v>
      </c>
      <c r="N631" s="5" t="s">
        <v>237</v>
      </c>
      <c r="O631" s="5" t="s">
        <v>238</v>
      </c>
      <c r="P631" s="5" t="s">
        <v>238</v>
      </c>
      <c r="Q631" s="5" t="s">
        <v>239</v>
      </c>
      <c r="R631" s="5" t="s">
        <v>240</v>
      </c>
      <c r="S631" s="5" t="s">
        <v>238</v>
      </c>
      <c r="V631" s="5" t="s">
        <v>238</v>
      </c>
      <c r="X631" s="6" t="s">
        <v>238</v>
      </c>
      <c r="AA631" s="6" t="s">
        <v>243</v>
      </c>
      <c r="AB631" s="5" t="s">
        <v>238</v>
      </c>
      <c r="AC631" s="5" t="s">
        <v>244</v>
      </c>
      <c r="AD631" s="5" t="s">
        <v>245</v>
      </c>
      <c r="AT631" s="5" t="s">
        <v>246</v>
      </c>
      <c r="AU631" s="5" t="s">
        <v>238</v>
      </c>
      <c r="AV631" s="5" t="s">
        <v>247</v>
      </c>
      <c r="AW631" s="5" t="s">
        <v>238</v>
      </c>
      <c r="AX631" s="5" t="s">
        <v>249</v>
      </c>
      <c r="AY631" s="5" t="s">
        <v>238</v>
      </c>
      <c r="BA631" s="5" t="s">
        <v>238</v>
      </c>
      <c r="BC631" s="5" t="s">
        <v>250</v>
      </c>
      <c r="BD631" s="6" t="s">
        <v>243</v>
      </c>
      <c r="BE631" s="5" t="s">
        <v>251</v>
      </c>
      <c r="BF631" s="5" t="s">
        <v>252</v>
      </c>
      <c r="BG631" s="5" t="s">
        <v>238</v>
      </c>
      <c r="BH631" s="7">
        <f>0</f>
        <v>0</v>
      </c>
      <c r="BI631" s="8">
        <f>0</f>
        <v>0</v>
      </c>
      <c r="BJ631" s="5" t="s">
        <v>253</v>
      </c>
      <c r="BK631" s="5" t="s">
        <v>254</v>
      </c>
      <c r="BY631" s="5" t="s">
        <v>238</v>
      </c>
      <c r="BZ631" s="5" t="s">
        <v>238</v>
      </c>
      <c r="CD631" s="5" t="s">
        <v>255</v>
      </c>
      <c r="CE631" s="5" t="s">
        <v>256</v>
      </c>
      <c r="CF631" s="5" t="s">
        <v>238</v>
      </c>
      <c r="CI631" s="6" t="s">
        <v>257</v>
      </c>
      <c r="CJ631" s="5" t="s">
        <v>238</v>
      </c>
      <c r="CK631" s="5" t="s">
        <v>258</v>
      </c>
      <c r="CL631" s="5" t="s">
        <v>238</v>
      </c>
      <c r="CM631" s="5" t="s">
        <v>238</v>
      </c>
      <c r="CN631" s="5">
        <v>0</v>
      </c>
      <c r="CO631" s="5" t="s">
        <v>259</v>
      </c>
      <c r="CP631" s="5" t="s">
        <v>260</v>
      </c>
      <c r="CQ631" s="5" t="s">
        <v>260</v>
      </c>
      <c r="CR631" s="5" t="s">
        <v>261</v>
      </c>
      <c r="CU631" s="8">
        <f>13178</f>
        <v>13178</v>
      </c>
      <c r="CV631" s="8">
        <f>0</f>
        <v>0</v>
      </c>
      <c r="CX631" s="8">
        <f>0</f>
        <v>0</v>
      </c>
      <c r="CY631" s="8">
        <f>13178</f>
        <v>13178</v>
      </c>
      <c r="DA631" s="5" t="s">
        <v>533</v>
      </c>
      <c r="DB631" s="5" t="s">
        <v>238</v>
      </c>
      <c r="DD631" s="5" t="s">
        <v>356</v>
      </c>
      <c r="DE631" s="8">
        <f>0</f>
        <v>0</v>
      </c>
      <c r="DG631" s="5" t="s">
        <v>534</v>
      </c>
      <c r="DH631" s="5" t="s">
        <v>238</v>
      </c>
      <c r="DI631" s="5" t="s">
        <v>238</v>
      </c>
      <c r="DJ631" s="5" t="s">
        <v>238</v>
      </c>
      <c r="DN631" s="5" t="s">
        <v>238</v>
      </c>
      <c r="DO631" s="5" t="s">
        <v>238</v>
      </c>
      <c r="DP631" s="5" t="s">
        <v>238</v>
      </c>
      <c r="DQ631" s="5" t="s">
        <v>238</v>
      </c>
      <c r="DT631" s="5" t="s">
        <v>535</v>
      </c>
      <c r="DU631" s="5" t="s">
        <v>434</v>
      </c>
      <c r="HM631" s="5" t="s">
        <v>264</v>
      </c>
    </row>
    <row r="632" spans="1:221" x14ac:dyDescent="0.4">
      <c r="A632" s="5">
        <v>1494</v>
      </c>
      <c r="B632" s="5">
        <v>1</v>
      </c>
      <c r="C632" s="5">
        <v>1</v>
      </c>
      <c r="D632" s="5" t="s">
        <v>484</v>
      </c>
      <c r="E632" s="5" t="s">
        <v>485</v>
      </c>
      <c r="F632" s="5" t="s">
        <v>248</v>
      </c>
      <c r="G632" s="5" t="s">
        <v>531</v>
      </c>
      <c r="H632" s="6" t="s">
        <v>5616</v>
      </c>
      <c r="I632" s="7">
        <f>8413</f>
        <v>8413</v>
      </c>
      <c r="J632" s="5" t="s">
        <v>262</v>
      </c>
      <c r="K632" s="8">
        <f>92543</f>
        <v>92543</v>
      </c>
      <c r="L632" s="6" t="s">
        <v>242</v>
      </c>
      <c r="M632" s="5" t="s">
        <v>267</v>
      </c>
      <c r="N632" s="5" t="s">
        <v>237</v>
      </c>
      <c r="O632" s="5" t="s">
        <v>238</v>
      </c>
      <c r="P632" s="5" t="s">
        <v>238</v>
      </c>
      <c r="Q632" s="5" t="s">
        <v>239</v>
      </c>
      <c r="R632" s="5" t="s">
        <v>240</v>
      </c>
      <c r="S632" s="5" t="s">
        <v>238</v>
      </c>
      <c r="V632" s="5" t="s">
        <v>238</v>
      </c>
      <c r="X632" s="6" t="s">
        <v>238</v>
      </c>
      <c r="AA632" s="6" t="s">
        <v>243</v>
      </c>
      <c r="AB632" s="5" t="s">
        <v>238</v>
      </c>
      <c r="AC632" s="5" t="s">
        <v>244</v>
      </c>
      <c r="AD632" s="5" t="s">
        <v>245</v>
      </c>
      <c r="AT632" s="5" t="s">
        <v>246</v>
      </c>
      <c r="AU632" s="5" t="s">
        <v>238</v>
      </c>
      <c r="AV632" s="5" t="s">
        <v>247</v>
      </c>
      <c r="AW632" s="5" t="s">
        <v>238</v>
      </c>
      <c r="AX632" s="5" t="s">
        <v>249</v>
      </c>
      <c r="AY632" s="5" t="s">
        <v>238</v>
      </c>
      <c r="BA632" s="5" t="s">
        <v>238</v>
      </c>
      <c r="BC632" s="5" t="s">
        <v>250</v>
      </c>
      <c r="BD632" s="6" t="s">
        <v>243</v>
      </c>
      <c r="BE632" s="5" t="s">
        <v>251</v>
      </c>
      <c r="BF632" s="5" t="s">
        <v>252</v>
      </c>
      <c r="BG632" s="5" t="s">
        <v>238</v>
      </c>
      <c r="BH632" s="7">
        <f>0</f>
        <v>0</v>
      </c>
      <c r="BI632" s="8">
        <f>0</f>
        <v>0</v>
      </c>
      <c r="BJ632" s="5" t="s">
        <v>253</v>
      </c>
      <c r="BK632" s="5" t="s">
        <v>254</v>
      </c>
      <c r="BY632" s="5" t="s">
        <v>238</v>
      </c>
      <c r="BZ632" s="5" t="s">
        <v>238</v>
      </c>
      <c r="CD632" s="5" t="s">
        <v>255</v>
      </c>
      <c r="CE632" s="5" t="s">
        <v>256</v>
      </c>
      <c r="CF632" s="5" t="s">
        <v>238</v>
      </c>
      <c r="CI632" s="6" t="s">
        <v>257</v>
      </c>
      <c r="CJ632" s="5" t="s">
        <v>238</v>
      </c>
      <c r="CK632" s="5" t="s">
        <v>258</v>
      </c>
      <c r="CL632" s="5" t="s">
        <v>238</v>
      </c>
      <c r="CM632" s="5" t="s">
        <v>238</v>
      </c>
      <c r="CN632" s="5">
        <v>0</v>
      </c>
      <c r="CO632" s="5" t="s">
        <v>259</v>
      </c>
      <c r="CP632" s="5" t="s">
        <v>260</v>
      </c>
      <c r="CQ632" s="5" t="s">
        <v>260</v>
      </c>
      <c r="CR632" s="5" t="s">
        <v>261</v>
      </c>
      <c r="CU632" s="8">
        <f>92543</f>
        <v>92543</v>
      </c>
      <c r="CV632" s="8">
        <f>0</f>
        <v>0</v>
      </c>
      <c r="CX632" s="8">
        <f>0</f>
        <v>0</v>
      </c>
      <c r="CY632" s="8">
        <f>92543</f>
        <v>92543</v>
      </c>
      <c r="DA632" s="5" t="s">
        <v>533</v>
      </c>
      <c r="DB632" s="5" t="s">
        <v>238</v>
      </c>
      <c r="DD632" s="5" t="s">
        <v>356</v>
      </c>
      <c r="DE632" s="8">
        <f>0</f>
        <v>0</v>
      </c>
      <c r="DG632" s="5" t="s">
        <v>534</v>
      </c>
      <c r="DH632" s="5" t="s">
        <v>238</v>
      </c>
      <c r="DI632" s="5" t="s">
        <v>238</v>
      </c>
      <c r="DJ632" s="5" t="s">
        <v>238</v>
      </c>
      <c r="DN632" s="5" t="s">
        <v>238</v>
      </c>
      <c r="DO632" s="5" t="s">
        <v>238</v>
      </c>
      <c r="DP632" s="5" t="s">
        <v>238</v>
      </c>
      <c r="DQ632" s="5" t="s">
        <v>238</v>
      </c>
      <c r="DT632" s="5" t="s">
        <v>535</v>
      </c>
      <c r="DU632" s="5" t="s">
        <v>3312</v>
      </c>
      <c r="HM632" s="5" t="s">
        <v>264</v>
      </c>
    </row>
    <row r="633" spans="1:221" x14ac:dyDescent="0.4">
      <c r="A633" s="5">
        <v>1495</v>
      </c>
      <c r="B633" s="5">
        <v>1</v>
      </c>
      <c r="C633" s="5">
        <v>1</v>
      </c>
      <c r="D633" s="5" t="s">
        <v>484</v>
      </c>
      <c r="E633" s="5" t="s">
        <v>485</v>
      </c>
      <c r="F633" s="5" t="s">
        <v>248</v>
      </c>
      <c r="G633" s="5" t="s">
        <v>531</v>
      </c>
      <c r="H633" s="6" t="s">
        <v>5420</v>
      </c>
      <c r="I633" s="7">
        <f>8806</f>
        <v>8806</v>
      </c>
      <c r="J633" s="5" t="s">
        <v>262</v>
      </c>
      <c r="K633" s="8">
        <f>96866</f>
        <v>96866</v>
      </c>
      <c r="L633" s="6" t="s">
        <v>242</v>
      </c>
      <c r="M633" s="5" t="s">
        <v>267</v>
      </c>
      <c r="N633" s="5" t="s">
        <v>237</v>
      </c>
      <c r="O633" s="5" t="s">
        <v>238</v>
      </c>
      <c r="P633" s="5" t="s">
        <v>238</v>
      </c>
      <c r="Q633" s="5" t="s">
        <v>239</v>
      </c>
      <c r="R633" s="5" t="s">
        <v>240</v>
      </c>
      <c r="S633" s="5" t="s">
        <v>238</v>
      </c>
      <c r="V633" s="5" t="s">
        <v>238</v>
      </c>
      <c r="X633" s="6" t="s">
        <v>238</v>
      </c>
      <c r="AA633" s="6" t="s">
        <v>243</v>
      </c>
      <c r="AB633" s="5" t="s">
        <v>238</v>
      </c>
      <c r="AC633" s="5" t="s">
        <v>244</v>
      </c>
      <c r="AD633" s="5" t="s">
        <v>245</v>
      </c>
      <c r="AT633" s="5" t="s">
        <v>246</v>
      </c>
      <c r="AU633" s="5" t="s">
        <v>238</v>
      </c>
      <c r="AV633" s="5" t="s">
        <v>247</v>
      </c>
      <c r="AW633" s="5" t="s">
        <v>238</v>
      </c>
      <c r="AX633" s="5" t="s">
        <v>249</v>
      </c>
      <c r="AY633" s="5" t="s">
        <v>238</v>
      </c>
      <c r="BA633" s="5" t="s">
        <v>238</v>
      </c>
      <c r="BC633" s="5" t="s">
        <v>250</v>
      </c>
      <c r="BD633" s="6" t="s">
        <v>243</v>
      </c>
      <c r="BE633" s="5" t="s">
        <v>251</v>
      </c>
      <c r="BF633" s="5" t="s">
        <v>252</v>
      </c>
      <c r="BG633" s="5" t="s">
        <v>238</v>
      </c>
      <c r="BH633" s="7">
        <f>0</f>
        <v>0</v>
      </c>
      <c r="BI633" s="8">
        <f>0</f>
        <v>0</v>
      </c>
      <c r="BJ633" s="5" t="s">
        <v>253</v>
      </c>
      <c r="BK633" s="5" t="s">
        <v>254</v>
      </c>
      <c r="BY633" s="5" t="s">
        <v>238</v>
      </c>
      <c r="BZ633" s="5" t="s">
        <v>238</v>
      </c>
      <c r="CD633" s="5" t="s">
        <v>255</v>
      </c>
      <c r="CE633" s="5" t="s">
        <v>256</v>
      </c>
      <c r="CF633" s="5" t="s">
        <v>238</v>
      </c>
      <c r="CI633" s="6" t="s">
        <v>257</v>
      </c>
      <c r="CJ633" s="5" t="s">
        <v>238</v>
      </c>
      <c r="CK633" s="5" t="s">
        <v>258</v>
      </c>
      <c r="CL633" s="5" t="s">
        <v>238</v>
      </c>
      <c r="CM633" s="5" t="s">
        <v>238</v>
      </c>
      <c r="CN633" s="5">
        <v>0</v>
      </c>
      <c r="CO633" s="5" t="s">
        <v>259</v>
      </c>
      <c r="CP633" s="5" t="s">
        <v>260</v>
      </c>
      <c r="CQ633" s="5" t="s">
        <v>260</v>
      </c>
      <c r="CR633" s="5" t="s">
        <v>261</v>
      </c>
      <c r="CU633" s="8">
        <f>96866</f>
        <v>96866</v>
      </c>
      <c r="CV633" s="8">
        <f>0</f>
        <v>0</v>
      </c>
      <c r="CX633" s="8">
        <f>0</f>
        <v>0</v>
      </c>
      <c r="CY633" s="8">
        <f>96866</f>
        <v>96866</v>
      </c>
      <c r="DA633" s="5" t="s">
        <v>533</v>
      </c>
      <c r="DB633" s="5" t="s">
        <v>238</v>
      </c>
      <c r="DD633" s="5" t="s">
        <v>356</v>
      </c>
      <c r="DE633" s="8">
        <f>0</f>
        <v>0</v>
      </c>
      <c r="DG633" s="5" t="s">
        <v>534</v>
      </c>
      <c r="DH633" s="5" t="s">
        <v>238</v>
      </c>
      <c r="DI633" s="5" t="s">
        <v>238</v>
      </c>
      <c r="DJ633" s="5" t="s">
        <v>238</v>
      </c>
      <c r="DN633" s="5" t="s">
        <v>238</v>
      </c>
      <c r="DO633" s="5" t="s">
        <v>238</v>
      </c>
      <c r="DP633" s="5" t="s">
        <v>238</v>
      </c>
      <c r="DQ633" s="5" t="s">
        <v>238</v>
      </c>
      <c r="DT633" s="5" t="s">
        <v>535</v>
      </c>
      <c r="DU633" s="5" t="s">
        <v>440</v>
      </c>
      <c r="HM633" s="5" t="s">
        <v>264</v>
      </c>
    </row>
    <row r="634" spans="1:221" x14ac:dyDescent="0.4">
      <c r="A634" s="5">
        <v>1496</v>
      </c>
      <c r="B634" s="5">
        <v>1</v>
      </c>
      <c r="C634" s="5">
        <v>1</v>
      </c>
      <c r="D634" s="5" t="s">
        <v>484</v>
      </c>
      <c r="E634" s="5" t="s">
        <v>485</v>
      </c>
      <c r="F634" s="5" t="s">
        <v>248</v>
      </c>
      <c r="G634" s="5" t="s">
        <v>531</v>
      </c>
      <c r="H634" s="6" t="s">
        <v>5620</v>
      </c>
      <c r="I634" s="7">
        <f>572</f>
        <v>572</v>
      </c>
      <c r="J634" s="5" t="s">
        <v>262</v>
      </c>
      <c r="K634" s="8">
        <f>6292</f>
        <v>6292</v>
      </c>
      <c r="L634" s="6" t="s">
        <v>242</v>
      </c>
      <c r="M634" s="5" t="s">
        <v>267</v>
      </c>
      <c r="N634" s="5" t="s">
        <v>237</v>
      </c>
      <c r="O634" s="5" t="s">
        <v>238</v>
      </c>
      <c r="P634" s="5" t="s">
        <v>238</v>
      </c>
      <c r="Q634" s="5" t="s">
        <v>239</v>
      </c>
      <c r="R634" s="5" t="s">
        <v>240</v>
      </c>
      <c r="S634" s="5" t="s">
        <v>238</v>
      </c>
      <c r="V634" s="5" t="s">
        <v>238</v>
      </c>
      <c r="X634" s="6" t="s">
        <v>238</v>
      </c>
      <c r="AA634" s="6" t="s">
        <v>243</v>
      </c>
      <c r="AB634" s="5" t="s">
        <v>238</v>
      </c>
      <c r="AC634" s="5" t="s">
        <v>244</v>
      </c>
      <c r="AD634" s="5" t="s">
        <v>245</v>
      </c>
      <c r="AT634" s="5" t="s">
        <v>246</v>
      </c>
      <c r="AU634" s="5" t="s">
        <v>238</v>
      </c>
      <c r="AV634" s="5" t="s">
        <v>247</v>
      </c>
      <c r="AW634" s="5" t="s">
        <v>238</v>
      </c>
      <c r="AX634" s="5" t="s">
        <v>249</v>
      </c>
      <c r="AY634" s="5" t="s">
        <v>238</v>
      </c>
      <c r="BA634" s="5" t="s">
        <v>238</v>
      </c>
      <c r="BC634" s="5" t="s">
        <v>250</v>
      </c>
      <c r="BD634" s="6" t="s">
        <v>243</v>
      </c>
      <c r="BE634" s="5" t="s">
        <v>251</v>
      </c>
      <c r="BF634" s="5" t="s">
        <v>252</v>
      </c>
      <c r="BG634" s="5" t="s">
        <v>238</v>
      </c>
      <c r="BH634" s="7">
        <f>0</f>
        <v>0</v>
      </c>
      <c r="BI634" s="8">
        <f>0</f>
        <v>0</v>
      </c>
      <c r="BJ634" s="5" t="s">
        <v>253</v>
      </c>
      <c r="BK634" s="5" t="s">
        <v>254</v>
      </c>
      <c r="BY634" s="5" t="s">
        <v>238</v>
      </c>
      <c r="BZ634" s="5" t="s">
        <v>238</v>
      </c>
      <c r="CD634" s="5" t="s">
        <v>255</v>
      </c>
      <c r="CE634" s="5" t="s">
        <v>256</v>
      </c>
      <c r="CF634" s="5" t="s">
        <v>238</v>
      </c>
      <c r="CI634" s="6" t="s">
        <v>257</v>
      </c>
      <c r="CJ634" s="5" t="s">
        <v>238</v>
      </c>
      <c r="CK634" s="5" t="s">
        <v>258</v>
      </c>
      <c r="CL634" s="5" t="s">
        <v>238</v>
      </c>
      <c r="CM634" s="5" t="s">
        <v>238</v>
      </c>
      <c r="CN634" s="5">
        <v>0</v>
      </c>
      <c r="CO634" s="5" t="s">
        <v>259</v>
      </c>
      <c r="CP634" s="5" t="s">
        <v>260</v>
      </c>
      <c r="CQ634" s="5" t="s">
        <v>260</v>
      </c>
      <c r="CR634" s="5" t="s">
        <v>261</v>
      </c>
      <c r="CU634" s="8">
        <f>6292</f>
        <v>6292</v>
      </c>
      <c r="CV634" s="8">
        <f>0</f>
        <v>0</v>
      </c>
      <c r="CX634" s="8">
        <f>0</f>
        <v>0</v>
      </c>
      <c r="CY634" s="8">
        <f>6292</f>
        <v>6292</v>
      </c>
      <c r="DA634" s="5" t="s">
        <v>533</v>
      </c>
      <c r="DB634" s="5" t="s">
        <v>238</v>
      </c>
      <c r="DD634" s="5" t="s">
        <v>356</v>
      </c>
      <c r="DE634" s="8">
        <f>0</f>
        <v>0</v>
      </c>
      <c r="DG634" s="5" t="s">
        <v>534</v>
      </c>
      <c r="DH634" s="5" t="s">
        <v>238</v>
      </c>
      <c r="DI634" s="5" t="s">
        <v>238</v>
      </c>
      <c r="DJ634" s="5" t="s">
        <v>238</v>
      </c>
      <c r="DN634" s="5" t="s">
        <v>238</v>
      </c>
      <c r="DO634" s="5" t="s">
        <v>238</v>
      </c>
      <c r="DP634" s="5" t="s">
        <v>238</v>
      </c>
      <c r="DQ634" s="5" t="s">
        <v>238</v>
      </c>
      <c r="DT634" s="5" t="s">
        <v>535</v>
      </c>
      <c r="DU634" s="5" t="s">
        <v>444</v>
      </c>
      <c r="HM634" s="5" t="s">
        <v>264</v>
      </c>
    </row>
    <row r="635" spans="1:221" x14ac:dyDescent="0.4">
      <c r="A635" s="5">
        <v>1497</v>
      </c>
      <c r="B635" s="5">
        <v>1</v>
      </c>
      <c r="C635" s="5">
        <v>1</v>
      </c>
      <c r="D635" s="5" t="s">
        <v>484</v>
      </c>
      <c r="E635" s="5" t="s">
        <v>485</v>
      </c>
      <c r="F635" s="5" t="s">
        <v>248</v>
      </c>
      <c r="G635" s="5" t="s">
        <v>531</v>
      </c>
      <c r="H635" s="6" t="s">
        <v>5622</v>
      </c>
      <c r="I635" s="7">
        <f>1714</f>
        <v>1714</v>
      </c>
      <c r="J635" s="5" t="s">
        <v>262</v>
      </c>
      <c r="K635" s="8">
        <f>18854</f>
        <v>18854</v>
      </c>
      <c r="L635" s="6" t="s">
        <v>242</v>
      </c>
      <c r="M635" s="5" t="s">
        <v>267</v>
      </c>
      <c r="N635" s="5" t="s">
        <v>237</v>
      </c>
      <c r="O635" s="5" t="s">
        <v>238</v>
      </c>
      <c r="P635" s="5" t="s">
        <v>238</v>
      </c>
      <c r="Q635" s="5" t="s">
        <v>239</v>
      </c>
      <c r="R635" s="5" t="s">
        <v>240</v>
      </c>
      <c r="S635" s="5" t="s">
        <v>238</v>
      </c>
      <c r="V635" s="5" t="s">
        <v>238</v>
      </c>
      <c r="X635" s="6" t="s">
        <v>238</v>
      </c>
      <c r="AA635" s="6" t="s">
        <v>243</v>
      </c>
      <c r="AB635" s="5" t="s">
        <v>238</v>
      </c>
      <c r="AC635" s="5" t="s">
        <v>244</v>
      </c>
      <c r="AD635" s="5" t="s">
        <v>245</v>
      </c>
      <c r="AT635" s="5" t="s">
        <v>246</v>
      </c>
      <c r="AU635" s="5" t="s">
        <v>238</v>
      </c>
      <c r="AV635" s="5" t="s">
        <v>247</v>
      </c>
      <c r="AW635" s="5" t="s">
        <v>238</v>
      </c>
      <c r="AX635" s="5" t="s">
        <v>249</v>
      </c>
      <c r="AY635" s="5" t="s">
        <v>238</v>
      </c>
      <c r="BA635" s="5" t="s">
        <v>238</v>
      </c>
      <c r="BC635" s="5" t="s">
        <v>250</v>
      </c>
      <c r="BD635" s="6" t="s">
        <v>243</v>
      </c>
      <c r="BE635" s="5" t="s">
        <v>251</v>
      </c>
      <c r="BF635" s="5" t="s">
        <v>252</v>
      </c>
      <c r="BG635" s="5" t="s">
        <v>238</v>
      </c>
      <c r="BH635" s="7">
        <f>0</f>
        <v>0</v>
      </c>
      <c r="BI635" s="8">
        <f>0</f>
        <v>0</v>
      </c>
      <c r="BJ635" s="5" t="s">
        <v>253</v>
      </c>
      <c r="BK635" s="5" t="s">
        <v>254</v>
      </c>
      <c r="BY635" s="5" t="s">
        <v>238</v>
      </c>
      <c r="BZ635" s="5" t="s">
        <v>238</v>
      </c>
      <c r="CD635" s="5" t="s">
        <v>255</v>
      </c>
      <c r="CE635" s="5" t="s">
        <v>256</v>
      </c>
      <c r="CF635" s="5" t="s">
        <v>238</v>
      </c>
      <c r="CI635" s="6" t="s">
        <v>257</v>
      </c>
      <c r="CJ635" s="5" t="s">
        <v>238</v>
      </c>
      <c r="CK635" s="5" t="s">
        <v>258</v>
      </c>
      <c r="CL635" s="5" t="s">
        <v>238</v>
      </c>
      <c r="CM635" s="5" t="s">
        <v>238</v>
      </c>
      <c r="CN635" s="5">
        <v>0</v>
      </c>
      <c r="CO635" s="5" t="s">
        <v>259</v>
      </c>
      <c r="CP635" s="5" t="s">
        <v>260</v>
      </c>
      <c r="CQ635" s="5" t="s">
        <v>260</v>
      </c>
      <c r="CR635" s="5" t="s">
        <v>261</v>
      </c>
      <c r="CU635" s="8">
        <f>18854</f>
        <v>18854</v>
      </c>
      <c r="CV635" s="8">
        <f>0</f>
        <v>0</v>
      </c>
      <c r="CX635" s="8">
        <f>0</f>
        <v>0</v>
      </c>
      <c r="CY635" s="8">
        <f>18854</f>
        <v>18854</v>
      </c>
      <c r="DA635" s="5" t="s">
        <v>533</v>
      </c>
      <c r="DB635" s="5" t="s">
        <v>238</v>
      </c>
      <c r="DD635" s="5" t="s">
        <v>356</v>
      </c>
      <c r="DE635" s="8">
        <f>0</f>
        <v>0</v>
      </c>
      <c r="DG635" s="5" t="s">
        <v>534</v>
      </c>
      <c r="DH635" s="5" t="s">
        <v>238</v>
      </c>
      <c r="DI635" s="5" t="s">
        <v>238</v>
      </c>
      <c r="DJ635" s="5" t="s">
        <v>238</v>
      </c>
      <c r="DN635" s="5" t="s">
        <v>238</v>
      </c>
      <c r="DO635" s="5" t="s">
        <v>238</v>
      </c>
      <c r="DP635" s="5" t="s">
        <v>238</v>
      </c>
      <c r="DQ635" s="5" t="s">
        <v>238</v>
      </c>
      <c r="DT635" s="5" t="s">
        <v>535</v>
      </c>
      <c r="DU635" s="5" t="s">
        <v>446</v>
      </c>
      <c r="HM635" s="5" t="s">
        <v>264</v>
      </c>
    </row>
    <row r="636" spans="1:221" x14ac:dyDescent="0.4">
      <c r="A636" s="5">
        <v>1498</v>
      </c>
      <c r="B636" s="5">
        <v>1</v>
      </c>
      <c r="C636" s="5">
        <v>1</v>
      </c>
      <c r="D636" s="5" t="s">
        <v>484</v>
      </c>
      <c r="E636" s="5" t="s">
        <v>485</v>
      </c>
      <c r="F636" s="5" t="s">
        <v>248</v>
      </c>
      <c r="G636" s="5" t="s">
        <v>531</v>
      </c>
      <c r="H636" s="6" t="s">
        <v>5625</v>
      </c>
      <c r="I636" s="7">
        <f>1094</f>
        <v>1094</v>
      </c>
      <c r="J636" s="5" t="s">
        <v>262</v>
      </c>
      <c r="K636" s="8">
        <f>12034</f>
        <v>12034</v>
      </c>
      <c r="L636" s="6" t="s">
        <v>242</v>
      </c>
      <c r="M636" s="5" t="s">
        <v>267</v>
      </c>
      <c r="N636" s="5" t="s">
        <v>237</v>
      </c>
      <c r="O636" s="5" t="s">
        <v>238</v>
      </c>
      <c r="P636" s="5" t="s">
        <v>238</v>
      </c>
      <c r="Q636" s="5" t="s">
        <v>239</v>
      </c>
      <c r="R636" s="5" t="s">
        <v>240</v>
      </c>
      <c r="S636" s="5" t="s">
        <v>238</v>
      </c>
      <c r="V636" s="5" t="s">
        <v>238</v>
      </c>
      <c r="X636" s="6" t="s">
        <v>238</v>
      </c>
      <c r="AA636" s="6" t="s">
        <v>243</v>
      </c>
      <c r="AB636" s="5" t="s">
        <v>238</v>
      </c>
      <c r="AC636" s="5" t="s">
        <v>244</v>
      </c>
      <c r="AD636" s="5" t="s">
        <v>245</v>
      </c>
      <c r="AT636" s="5" t="s">
        <v>246</v>
      </c>
      <c r="AU636" s="5" t="s">
        <v>238</v>
      </c>
      <c r="AV636" s="5" t="s">
        <v>247</v>
      </c>
      <c r="AW636" s="5" t="s">
        <v>238</v>
      </c>
      <c r="AX636" s="5" t="s">
        <v>249</v>
      </c>
      <c r="AY636" s="5" t="s">
        <v>238</v>
      </c>
      <c r="BA636" s="5" t="s">
        <v>238</v>
      </c>
      <c r="BC636" s="5" t="s">
        <v>250</v>
      </c>
      <c r="BD636" s="6" t="s">
        <v>243</v>
      </c>
      <c r="BE636" s="5" t="s">
        <v>251</v>
      </c>
      <c r="BF636" s="5" t="s">
        <v>252</v>
      </c>
      <c r="BG636" s="5" t="s">
        <v>238</v>
      </c>
      <c r="BH636" s="7">
        <f>0</f>
        <v>0</v>
      </c>
      <c r="BI636" s="8">
        <f>0</f>
        <v>0</v>
      </c>
      <c r="BJ636" s="5" t="s">
        <v>253</v>
      </c>
      <c r="BK636" s="5" t="s">
        <v>254</v>
      </c>
      <c r="BY636" s="5" t="s">
        <v>238</v>
      </c>
      <c r="BZ636" s="5" t="s">
        <v>238</v>
      </c>
      <c r="CD636" s="5" t="s">
        <v>255</v>
      </c>
      <c r="CE636" s="5" t="s">
        <v>256</v>
      </c>
      <c r="CF636" s="5" t="s">
        <v>238</v>
      </c>
      <c r="CI636" s="6" t="s">
        <v>257</v>
      </c>
      <c r="CJ636" s="5" t="s">
        <v>238</v>
      </c>
      <c r="CK636" s="5" t="s">
        <v>258</v>
      </c>
      <c r="CL636" s="5" t="s">
        <v>238</v>
      </c>
      <c r="CM636" s="5" t="s">
        <v>238</v>
      </c>
      <c r="CN636" s="5">
        <v>0</v>
      </c>
      <c r="CO636" s="5" t="s">
        <v>259</v>
      </c>
      <c r="CP636" s="5" t="s">
        <v>260</v>
      </c>
      <c r="CQ636" s="5" t="s">
        <v>260</v>
      </c>
      <c r="CR636" s="5" t="s">
        <v>261</v>
      </c>
      <c r="CU636" s="8">
        <f>12034</f>
        <v>12034</v>
      </c>
      <c r="CV636" s="8">
        <f>0</f>
        <v>0</v>
      </c>
      <c r="CX636" s="8">
        <f>0</f>
        <v>0</v>
      </c>
      <c r="CY636" s="8">
        <f>12034</f>
        <v>12034</v>
      </c>
      <c r="DA636" s="5" t="s">
        <v>533</v>
      </c>
      <c r="DB636" s="5" t="s">
        <v>238</v>
      </c>
      <c r="DD636" s="5" t="s">
        <v>356</v>
      </c>
      <c r="DE636" s="8">
        <f>0</f>
        <v>0</v>
      </c>
      <c r="DG636" s="5" t="s">
        <v>534</v>
      </c>
      <c r="DH636" s="5" t="s">
        <v>238</v>
      </c>
      <c r="DI636" s="5" t="s">
        <v>238</v>
      </c>
      <c r="DJ636" s="5" t="s">
        <v>238</v>
      </c>
      <c r="DN636" s="5" t="s">
        <v>238</v>
      </c>
      <c r="DO636" s="5" t="s">
        <v>238</v>
      </c>
      <c r="DP636" s="5" t="s">
        <v>238</v>
      </c>
      <c r="DQ636" s="5" t="s">
        <v>238</v>
      </c>
      <c r="DT636" s="5" t="s">
        <v>535</v>
      </c>
      <c r="DU636" s="5" t="s">
        <v>450</v>
      </c>
      <c r="HM636" s="5" t="s">
        <v>264</v>
      </c>
    </row>
    <row r="637" spans="1:221" x14ac:dyDescent="0.4">
      <c r="A637" s="5">
        <v>1499</v>
      </c>
      <c r="B637" s="5">
        <v>1</v>
      </c>
      <c r="C637" s="5">
        <v>1</v>
      </c>
      <c r="D637" s="5" t="s">
        <v>484</v>
      </c>
      <c r="E637" s="5" t="s">
        <v>485</v>
      </c>
      <c r="F637" s="5" t="s">
        <v>248</v>
      </c>
      <c r="G637" s="5" t="s">
        <v>531</v>
      </c>
      <c r="H637" s="6" t="s">
        <v>5628</v>
      </c>
      <c r="I637" s="7">
        <f>1969</f>
        <v>1969</v>
      </c>
      <c r="J637" s="5" t="s">
        <v>262</v>
      </c>
      <c r="K637" s="8">
        <f>21659</f>
        <v>21659</v>
      </c>
      <c r="L637" s="6" t="s">
        <v>242</v>
      </c>
      <c r="M637" s="5" t="s">
        <v>267</v>
      </c>
      <c r="N637" s="5" t="s">
        <v>237</v>
      </c>
      <c r="O637" s="5" t="s">
        <v>238</v>
      </c>
      <c r="P637" s="5" t="s">
        <v>238</v>
      </c>
      <c r="Q637" s="5" t="s">
        <v>239</v>
      </c>
      <c r="R637" s="5" t="s">
        <v>240</v>
      </c>
      <c r="S637" s="5" t="s">
        <v>238</v>
      </c>
      <c r="V637" s="5" t="s">
        <v>238</v>
      </c>
      <c r="X637" s="6" t="s">
        <v>238</v>
      </c>
      <c r="AA637" s="6" t="s">
        <v>243</v>
      </c>
      <c r="AB637" s="5" t="s">
        <v>238</v>
      </c>
      <c r="AC637" s="5" t="s">
        <v>244</v>
      </c>
      <c r="AD637" s="5" t="s">
        <v>245</v>
      </c>
      <c r="AT637" s="5" t="s">
        <v>246</v>
      </c>
      <c r="AU637" s="5" t="s">
        <v>238</v>
      </c>
      <c r="AV637" s="5" t="s">
        <v>247</v>
      </c>
      <c r="AW637" s="5" t="s">
        <v>238</v>
      </c>
      <c r="AX637" s="5" t="s">
        <v>249</v>
      </c>
      <c r="AY637" s="5" t="s">
        <v>238</v>
      </c>
      <c r="BA637" s="5" t="s">
        <v>238</v>
      </c>
      <c r="BC637" s="5" t="s">
        <v>250</v>
      </c>
      <c r="BD637" s="6" t="s">
        <v>243</v>
      </c>
      <c r="BE637" s="5" t="s">
        <v>251</v>
      </c>
      <c r="BF637" s="5" t="s">
        <v>252</v>
      </c>
      <c r="BG637" s="5" t="s">
        <v>238</v>
      </c>
      <c r="BH637" s="7">
        <f>0</f>
        <v>0</v>
      </c>
      <c r="BI637" s="8">
        <f>0</f>
        <v>0</v>
      </c>
      <c r="BJ637" s="5" t="s">
        <v>253</v>
      </c>
      <c r="BK637" s="5" t="s">
        <v>254</v>
      </c>
      <c r="BY637" s="5" t="s">
        <v>238</v>
      </c>
      <c r="BZ637" s="5" t="s">
        <v>238</v>
      </c>
      <c r="CD637" s="5" t="s">
        <v>255</v>
      </c>
      <c r="CE637" s="5" t="s">
        <v>256</v>
      </c>
      <c r="CF637" s="5" t="s">
        <v>238</v>
      </c>
      <c r="CI637" s="6" t="s">
        <v>257</v>
      </c>
      <c r="CJ637" s="5" t="s">
        <v>238</v>
      </c>
      <c r="CK637" s="5" t="s">
        <v>258</v>
      </c>
      <c r="CL637" s="5" t="s">
        <v>238</v>
      </c>
      <c r="CM637" s="5" t="s">
        <v>238</v>
      </c>
      <c r="CN637" s="5">
        <v>0</v>
      </c>
      <c r="CO637" s="5" t="s">
        <v>259</v>
      </c>
      <c r="CP637" s="5" t="s">
        <v>260</v>
      </c>
      <c r="CQ637" s="5" t="s">
        <v>260</v>
      </c>
      <c r="CR637" s="5" t="s">
        <v>261</v>
      </c>
      <c r="CU637" s="8">
        <f>21659</f>
        <v>21659</v>
      </c>
      <c r="CV637" s="8">
        <f>0</f>
        <v>0</v>
      </c>
      <c r="CX637" s="8">
        <f>0</f>
        <v>0</v>
      </c>
      <c r="CY637" s="8">
        <f>21659</f>
        <v>21659</v>
      </c>
      <c r="DA637" s="5" t="s">
        <v>533</v>
      </c>
      <c r="DB637" s="5" t="s">
        <v>238</v>
      </c>
      <c r="DD637" s="5" t="s">
        <v>356</v>
      </c>
      <c r="DE637" s="8">
        <f>0</f>
        <v>0</v>
      </c>
      <c r="DG637" s="5" t="s">
        <v>534</v>
      </c>
      <c r="DH637" s="5" t="s">
        <v>238</v>
      </c>
      <c r="DI637" s="5" t="s">
        <v>238</v>
      </c>
      <c r="DJ637" s="5" t="s">
        <v>238</v>
      </c>
      <c r="DN637" s="5" t="s">
        <v>238</v>
      </c>
      <c r="DO637" s="5" t="s">
        <v>238</v>
      </c>
      <c r="DP637" s="5" t="s">
        <v>238</v>
      </c>
      <c r="DQ637" s="5" t="s">
        <v>238</v>
      </c>
      <c r="DT637" s="5" t="s">
        <v>535</v>
      </c>
      <c r="DU637" s="5" t="s">
        <v>3306</v>
      </c>
      <c r="HM637" s="5" t="s">
        <v>264</v>
      </c>
    </row>
    <row r="638" spans="1:221" x14ac:dyDescent="0.4">
      <c r="A638" s="5">
        <v>1500</v>
      </c>
      <c r="B638" s="5">
        <v>1</v>
      </c>
      <c r="C638" s="5">
        <v>1</v>
      </c>
      <c r="D638" s="5" t="s">
        <v>484</v>
      </c>
      <c r="E638" s="5" t="s">
        <v>485</v>
      </c>
      <c r="F638" s="5" t="s">
        <v>248</v>
      </c>
      <c r="G638" s="5" t="s">
        <v>531</v>
      </c>
      <c r="H638" s="6" t="s">
        <v>5631</v>
      </c>
      <c r="I638" s="7">
        <f>9011</f>
        <v>9011</v>
      </c>
      <c r="J638" s="5" t="s">
        <v>262</v>
      </c>
      <c r="K638" s="8">
        <f>99121</f>
        <v>99121</v>
      </c>
      <c r="L638" s="6" t="s">
        <v>242</v>
      </c>
      <c r="M638" s="5" t="s">
        <v>267</v>
      </c>
      <c r="N638" s="5" t="s">
        <v>237</v>
      </c>
      <c r="O638" s="5" t="s">
        <v>238</v>
      </c>
      <c r="P638" s="5" t="s">
        <v>238</v>
      </c>
      <c r="Q638" s="5" t="s">
        <v>239</v>
      </c>
      <c r="R638" s="5" t="s">
        <v>240</v>
      </c>
      <c r="S638" s="5" t="s">
        <v>238</v>
      </c>
      <c r="V638" s="5" t="s">
        <v>238</v>
      </c>
      <c r="X638" s="6" t="s">
        <v>238</v>
      </c>
      <c r="AA638" s="6" t="s">
        <v>243</v>
      </c>
      <c r="AB638" s="5" t="s">
        <v>238</v>
      </c>
      <c r="AC638" s="5" t="s">
        <v>244</v>
      </c>
      <c r="AD638" s="5" t="s">
        <v>245</v>
      </c>
      <c r="AT638" s="5" t="s">
        <v>246</v>
      </c>
      <c r="AU638" s="5" t="s">
        <v>238</v>
      </c>
      <c r="AV638" s="5" t="s">
        <v>247</v>
      </c>
      <c r="AW638" s="5" t="s">
        <v>238</v>
      </c>
      <c r="AX638" s="5" t="s">
        <v>249</v>
      </c>
      <c r="AY638" s="5" t="s">
        <v>238</v>
      </c>
      <c r="BA638" s="5" t="s">
        <v>238</v>
      </c>
      <c r="BC638" s="5" t="s">
        <v>250</v>
      </c>
      <c r="BD638" s="6" t="s">
        <v>243</v>
      </c>
      <c r="BE638" s="5" t="s">
        <v>251</v>
      </c>
      <c r="BF638" s="5" t="s">
        <v>252</v>
      </c>
      <c r="BG638" s="5" t="s">
        <v>238</v>
      </c>
      <c r="BH638" s="7">
        <f>0</f>
        <v>0</v>
      </c>
      <c r="BI638" s="8">
        <f>0</f>
        <v>0</v>
      </c>
      <c r="BJ638" s="5" t="s">
        <v>253</v>
      </c>
      <c r="BK638" s="5" t="s">
        <v>254</v>
      </c>
      <c r="BY638" s="5" t="s">
        <v>238</v>
      </c>
      <c r="BZ638" s="5" t="s">
        <v>238</v>
      </c>
      <c r="CD638" s="5" t="s">
        <v>255</v>
      </c>
      <c r="CE638" s="5" t="s">
        <v>256</v>
      </c>
      <c r="CF638" s="5" t="s">
        <v>238</v>
      </c>
      <c r="CI638" s="6" t="s">
        <v>257</v>
      </c>
      <c r="CJ638" s="5" t="s">
        <v>238</v>
      </c>
      <c r="CK638" s="5" t="s">
        <v>258</v>
      </c>
      <c r="CL638" s="5" t="s">
        <v>238</v>
      </c>
      <c r="CM638" s="5" t="s">
        <v>238</v>
      </c>
      <c r="CN638" s="5">
        <v>0</v>
      </c>
      <c r="CO638" s="5" t="s">
        <v>259</v>
      </c>
      <c r="CP638" s="5" t="s">
        <v>260</v>
      </c>
      <c r="CQ638" s="5" t="s">
        <v>260</v>
      </c>
      <c r="CR638" s="5" t="s">
        <v>261</v>
      </c>
      <c r="CU638" s="8">
        <f>99121</f>
        <v>99121</v>
      </c>
      <c r="CV638" s="8">
        <f>0</f>
        <v>0</v>
      </c>
      <c r="CX638" s="8">
        <f>0</f>
        <v>0</v>
      </c>
      <c r="CY638" s="8">
        <f>99121</f>
        <v>99121</v>
      </c>
      <c r="DA638" s="5" t="s">
        <v>533</v>
      </c>
      <c r="DB638" s="5" t="s">
        <v>238</v>
      </c>
      <c r="DD638" s="5" t="s">
        <v>356</v>
      </c>
      <c r="DE638" s="8">
        <f>0</f>
        <v>0</v>
      </c>
      <c r="DG638" s="5" t="s">
        <v>534</v>
      </c>
      <c r="DH638" s="5" t="s">
        <v>238</v>
      </c>
      <c r="DI638" s="5" t="s">
        <v>238</v>
      </c>
      <c r="DJ638" s="5" t="s">
        <v>238</v>
      </c>
      <c r="DN638" s="5" t="s">
        <v>238</v>
      </c>
      <c r="DO638" s="5" t="s">
        <v>238</v>
      </c>
      <c r="DP638" s="5" t="s">
        <v>238</v>
      </c>
      <c r="DQ638" s="5" t="s">
        <v>238</v>
      </c>
      <c r="DT638" s="5" t="s">
        <v>535</v>
      </c>
      <c r="DU638" s="5" t="s">
        <v>454</v>
      </c>
      <c r="HM638" s="5" t="s">
        <v>264</v>
      </c>
    </row>
    <row r="639" spans="1:221" x14ac:dyDescent="0.4">
      <c r="A639" s="5">
        <v>1501</v>
      </c>
      <c r="B639" s="5">
        <v>1</v>
      </c>
      <c r="C639" s="5">
        <v>1</v>
      </c>
      <c r="D639" s="5" t="s">
        <v>484</v>
      </c>
      <c r="E639" s="5" t="s">
        <v>485</v>
      </c>
      <c r="F639" s="5" t="s">
        <v>248</v>
      </c>
      <c r="G639" s="5" t="s">
        <v>531</v>
      </c>
      <c r="H639" s="6" t="s">
        <v>5633</v>
      </c>
      <c r="I639" s="7">
        <f>2084</f>
        <v>2084</v>
      </c>
      <c r="J639" s="5" t="s">
        <v>262</v>
      </c>
      <c r="K639" s="8">
        <f>22924</f>
        <v>22924</v>
      </c>
      <c r="L639" s="6" t="s">
        <v>242</v>
      </c>
      <c r="M639" s="5" t="s">
        <v>267</v>
      </c>
      <c r="N639" s="5" t="s">
        <v>237</v>
      </c>
      <c r="O639" s="5" t="s">
        <v>238</v>
      </c>
      <c r="P639" s="5" t="s">
        <v>238</v>
      </c>
      <c r="Q639" s="5" t="s">
        <v>239</v>
      </c>
      <c r="R639" s="5" t="s">
        <v>240</v>
      </c>
      <c r="S639" s="5" t="s">
        <v>238</v>
      </c>
      <c r="V639" s="5" t="s">
        <v>238</v>
      </c>
      <c r="X639" s="6" t="s">
        <v>238</v>
      </c>
      <c r="AA639" s="6" t="s">
        <v>243</v>
      </c>
      <c r="AB639" s="5" t="s">
        <v>238</v>
      </c>
      <c r="AC639" s="5" t="s">
        <v>244</v>
      </c>
      <c r="AD639" s="5" t="s">
        <v>245</v>
      </c>
      <c r="AT639" s="5" t="s">
        <v>246</v>
      </c>
      <c r="AU639" s="5" t="s">
        <v>238</v>
      </c>
      <c r="AV639" s="5" t="s">
        <v>247</v>
      </c>
      <c r="AW639" s="5" t="s">
        <v>238</v>
      </c>
      <c r="AX639" s="5" t="s">
        <v>249</v>
      </c>
      <c r="AY639" s="5" t="s">
        <v>238</v>
      </c>
      <c r="BA639" s="5" t="s">
        <v>238</v>
      </c>
      <c r="BC639" s="5" t="s">
        <v>250</v>
      </c>
      <c r="BD639" s="6" t="s">
        <v>243</v>
      </c>
      <c r="BE639" s="5" t="s">
        <v>251</v>
      </c>
      <c r="BF639" s="5" t="s">
        <v>252</v>
      </c>
      <c r="BG639" s="5" t="s">
        <v>238</v>
      </c>
      <c r="BH639" s="7">
        <f>0</f>
        <v>0</v>
      </c>
      <c r="BI639" s="8">
        <f>0</f>
        <v>0</v>
      </c>
      <c r="BJ639" s="5" t="s">
        <v>253</v>
      </c>
      <c r="BK639" s="5" t="s">
        <v>254</v>
      </c>
      <c r="BY639" s="5" t="s">
        <v>238</v>
      </c>
      <c r="BZ639" s="5" t="s">
        <v>238</v>
      </c>
      <c r="CD639" s="5" t="s">
        <v>255</v>
      </c>
      <c r="CE639" s="5" t="s">
        <v>256</v>
      </c>
      <c r="CF639" s="5" t="s">
        <v>238</v>
      </c>
      <c r="CI639" s="6" t="s">
        <v>257</v>
      </c>
      <c r="CJ639" s="5" t="s">
        <v>238</v>
      </c>
      <c r="CK639" s="5" t="s">
        <v>258</v>
      </c>
      <c r="CL639" s="5" t="s">
        <v>238</v>
      </c>
      <c r="CM639" s="5" t="s">
        <v>238</v>
      </c>
      <c r="CN639" s="5">
        <v>0</v>
      </c>
      <c r="CO639" s="5" t="s">
        <v>259</v>
      </c>
      <c r="CP639" s="5" t="s">
        <v>260</v>
      </c>
      <c r="CQ639" s="5" t="s">
        <v>260</v>
      </c>
      <c r="CR639" s="5" t="s">
        <v>261</v>
      </c>
      <c r="CU639" s="8">
        <f>22924</f>
        <v>22924</v>
      </c>
      <c r="CV639" s="8">
        <f>0</f>
        <v>0</v>
      </c>
      <c r="CX639" s="8">
        <f>0</f>
        <v>0</v>
      </c>
      <c r="CY639" s="8">
        <f>22924</f>
        <v>22924</v>
      </c>
      <c r="DA639" s="5" t="s">
        <v>533</v>
      </c>
      <c r="DB639" s="5" t="s">
        <v>238</v>
      </c>
      <c r="DD639" s="5" t="s">
        <v>356</v>
      </c>
      <c r="DE639" s="8">
        <f>0</f>
        <v>0</v>
      </c>
      <c r="DG639" s="5" t="s">
        <v>534</v>
      </c>
      <c r="DH639" s="5" t="s">
        <v>238</v>
      </c>
      <c r="DI639" s="5" t="s">
        <v>238</v>
      </c>
      <c r="DJ639" s="5" t="s">
        <v>238</v>
      </c>
      <c r="DN639" s="5" t="s">
        <v>238</v>
      </c>
      <c r="DO639" s="5" t="s">
        <v>238</v>
      </c>
      <c r="DP639" s="5" t="s">
        <v>238</v>
      </c>
      <c r="DQ639" s="5" t="s">
        <v>238</v>
      </c>
      <c r="DT639" s="5" t="s">
        <v>535</v>
      </c>
      <c r="DU639" s="5" t="s">
        <v>456</v>
      </c>
      <c r="HM639" s="5" t="s">
        <v>264</v>
      </c>
    </row>
    <row r="640" spans="1:221" x14ac:dyDescent="0.4">
      <c r="A640" s="5">
        <v>1502</v>
      </c>
      <c r="B640" s="5">
        <v>1</v>
      </c>
      <c r="C640" s="5">
        <v>1</v>
      </c>
      <c r="D640" s="5" t="s">
        <v>484</v>
      </c>
      <c r="E640" s="5" t="s">
        <v>485</v>
      </c>
      <c r="F640" s="5" t="s">
        <v>248</v>
      </c>
      <c r="G640" s="5" t="s">
        <v>531</v>
      </c>
      <c r="H640" s="6" t="s">
        <v>5422</v>
      </c>
      <c r="I640" s="7">
        <f>3198</f>
        <v>3198</v>
      </c>
      <c r="J640" s="5" t="s">
        <v>262</v>
      </c>
      <c r="K640" s="8">
        <f>35178</f>
        <v>35178</v>
      </c>
      <c r="L640" s="6" t="s">
        <v>242</v>
      </c>
      <c r="M640" s="5" t="s">
        <v>267</v>
      </c>
      <c r="N640" s="5" t="s">
        <v>237</v>
      </c>
      <c r="O640" s="5" t="s">
        <v>238</v>
      </c>
      <c r="P640" s="5" t="s">
        <v>238</v>
      </c>
      <c r="Q640" s="5" t="s">
        <v>239</v>
      </c>
      <c r="R640" s="5" t="s">
        <v>240</v>
      </c>
      <c r="S640" s="5" t="s">
        <v>238</v>
      </c>
      <c r="V640" s="5" t="s">
        <v>238</v>
      </c>
      <c r="X640" s="6" t="s">
        <v>238</v>
      </c>
      <c r="AA640" s="6" t="s">
        <v>243</v>
      </c>
      <c r="AB640" s="5" t="s">
        <v>238</v>
      </c>
      <c r="AC640" s="5" t="s">
        <v>244</v>
      </c>
      <c r="AD640" s="5" t="s">
        <v>245</v>
      </c>
      <c r="AT640" s="5" t="s">
        <v>246</v>
      </c>
      <c r="AU640" s="5" t="s">
        <v>238</v>
      </c>
      <c r="AV640" s="5" t="s">
        <v>247</v>
      </c>
      <c r="AW640" s="5" t="s">
        <v>238</v>
      </c>
      <c r="AX640" s="5" t="s">
        <v>249</v>
      </c>
      <c r="AY640" s="5" t="s">
        <v>238</v>
      </c>
      <c r="BA640" s="5" t="s">
        <v>238</v>
      </c>
      <c r="BC640" s="5" t="s">
        <v>250</v>
      </c>
      <c r="BD640" s="6" t="s">
        <v>243</v>
      </c>
      <c r="BE640" s="5" t="s">
        <v>251</v>
      </c>
      <c r="BF640" s="5" t="s">
        <v>252</v>
      </c>
      <c r="BG640" s="5" t="s">
        <v>238</v>
      </c>
      <c r="BH640" s="7">
        <f>0</f>
        <v>0</v>
      </c>
      <c r="BI640" s="8">
        <f>0</f>
        <v>0</v>
      </c>
      <c r="BJ640" s="5" t="s">
        <v>253</v>
      </c>
      <c r="BK640" s="5" t="s">
        <v>254</v>
      </c>
      <c r="BY640" s="5" t="s">
        <v>238</v>
      </c>
      <c r="BZ640" s="5" t="s">
        <v>238</v>
      </c>
      <c r="CD640" s="5" t="s">
        <v>255</v>
      </c>
      <c r="CE640" s="5" t="s">
        <v>256</v>
      </c>
      <c r="CF640" s="5" t="s">
        <v>238</v>
      </c>
      <c r="CI640" s="6" t="s">
        <v>257</v>
      </c>
      <c r="CJ640" s="5" t="s">
        <v>238</v>
      </c>
      <c r="CK640" s="5" t="s">
        <v>258</v>
      </c>
      <c r="CL640" s="5" t="s">
        <v>238</v>
      </c>
      <c r="CM640" s="5" t="s">
        <v>238</v>
      </c>
      <c r="CN640" s="5">
        <v>0</v>
      </c>
      <c r="CO640" s="5" t="s">
        <v>259</v>
      </c>
      <c r="CP640" s="5" t="s">
        <v>260</v>
      </c>
      <c r="CQ640" s="5" t="s">
        <v>260</v>
      </c>
      <c r="CR640" s="5" t="s">
        <v>261</v>
      </c>
      <c r="CU640" s="8">
        <f>35178</f>
        <v>35178</v>
      </c>
      <c r="CV640" s="8">
        <f>0</f>
        <v>0</v>
      </c>
      <c r="CX640" s="8">
        <f>0</f>
        <v>0</v>
      </c>
      <c r="CY640" s="8">
        <f>35178</f>
        <v>35178</v>
      </c>
      <c r="DA640" s="5" t="s">
        <v>533</v>
      </c>
      <c r="DB640" s="5" t="s">
        <v>238</v>
      </c>
      <c r="DD640" s="5" t="s">
        <v>356</v>
      </c>
      <c r="DE640" s="8">
        <f>0</f>
        <v>0</v>
      </c>
      <c r="DG640" s="5" t="s">
        <v>534</v>
      </c>
      <c r="DH640" s="5" t="s">
        <v>238</v>
      </c>
      <c r="DI640" s="5" t="s">
        <v>238</v>
      </c>
      <c r="DJ640" s="5" t="s">
        <v>238</v>
      </c>
      <c r="DN640" s="5" t="s">
        <v>238</v>
      </c>
      <c r="DO640" s="5" t="s">
        <v>238</v>
      </c>
      <c r="DP640" s="5" t="s">
        <v>238</v>
      </c>
      <c r="DQ640" s="5" t="s">
        <v>238</v>
      </c>
      <c r="DT640" s="5" t="s">
        <v>535</v>
      </c>
      <c r="DU640" s="5" t="s">
        <v>460</v>
      </c>
      <c r="HM640" s="5" t="s">
        <v>264</v>
      </c>
    </row>
    <row r="641" spans="1:221" x14ac:dyDescent="0.4">
      <c r="A641" s="5">
        <v>1503</v>
      </c>
      <c r="B641" s="5">
        <v>1</v>
      </c>
      <c r="C641" s="5">
        <v>1</v>
      </c>
      <c r="D641" s="5" t="s">
        <v>484</v>
      </c>
      <c r="E641" s="5" t="s">
        <v>485</v>
      </c>
      <c r="F641" s="5" t="s">
        <v>248</v>
      </c>
      <c r="G641" s="5" t="s">
        <v>531</v>
      </c>
      <c r="H641" s="6" t="s">
        <v>5427</v>
      </c>
      <c r="I641" s="7">
        <f>6470</f>
        <v>6470</v>
      </c>
      <c r="J641" s="5" t="s">
        <v>262</v>
      </c>
      <c r="K641" s="8">
        <f>71170</f>
        <v>71170</v>
      </c>
      <c r="L641" s="6" t="s">
        <v>242</v>
      </c>
      <c r="M641" s="5" t="s">
        <v>267</v>
      </c>
      <c r="N641" s="5" t="s">
        <v>237</v>
      </c>
      <c r="O641" s="5" t="s">
        <v>238</v>
      </c>
      <c r="P641" s="5" t="s">
        <v>238</v>
      </c>
      <c r="Q641" s="5" t="s">
        <v>239</v>
      </c>
      <c r="R641" s="5" t="s">
        <v>240</v>
      </c>
      <c r="S641" s="5" t="s">
        <v>238</v>
      </c>
      <c r="V641" s="5" t="s">
        <v>238</v>
      </c>
      <c r="X641" s="6" t="s">
        <v>238</v>
      </c>
      <c r="AA641" s="6" t="s">
        <v>243</v>
      </c>
      <c r="AB641" s="5" t="s">
        <v>238</v>
      </c>
      <c r="AC641" s="5" t="s">
        <v>244</v>
      </c>
      <c r="AD641" s="5" t="s">
        <v>245</v>
      </c>
      <c r="AT641" s="5" t="s">
        <v>246</v>
      </c>
      <c r="AU641" s="5" t="s">
        <v>238</v>
      </c>
      <c r="AV641" s="5" t="s">
        <v>247</v>
      </c>
      <c r="AW641" s="5" t="s">
        <v>238</v>
      </c>
      <c r="AX641" s="5" t="s">
        <v>249</v>
      </c>
      <c r="AY641" s="5" t="s">
        <v>238</v>
      </c>
      <c r="BA641" s="5" t="s">
        <v>238</v>
      </c>
      <c r="BC641" s="5" t="s">
        <v>250</v>
      </c>
      <c r="BD641" s="6" t="s">
        <v>243</v>
      </c>
      <c r="BE641" s="5" t="s">
        <v>251</v>
      </c>
      <c r="BF641" s="5" t="s">
        <v>252</v>
      </c>
      <c r="BG641" s="5" t="s">
        <v>238</v>
      </c>
      <c r="BH641" s="7">
        <f>0</f>
        <v>0</v>
      </c>
      <c r="BI641" s="8">
        <f>0</f>
        <v>0</v>
      </c>
      <c r="BJ641" s="5" t="s">
        <v>253</v>
      </c>
      <c r="BK641" s="5" t="s">
        <v>254</v>
      </c>
      <c r="BY641" s="5" t="s">
        <v>238</v>
      </c>
      <c r="BZ641" s="5" t="s">
        <v>238</v>
      </c>
      <c r="CD641" s="5" t="s">
        <v>255</v>
      </c>
      <c r="CE641" s="5" t="s">
        <v>256</v>
      </c>
      <c r="CF641" s="5" t="s">
        <v>238</v>
      </c>
      <c r="CI641" s="6" t="s">
        <v>257</v>
      </c>
      <c r="CJ641" s="5" t="s">
        <v>238</v>
      </c>
      <c r="CK641" s="5" t="s">
        <v>258</v>
      </c>
      <c r="CL641" s="5" t="s">
        <v>238</v>
      </c>
      <c r="CM641" s="5" t="s">
        <v>238</v>
      </c>
      <c r="CN641" s="5">
        <v>0</v>
      </c>
      <c r="CO641" s="5" t="s">
        <v>259</v>
      </c>
      <c r="CP641" s="5" t="s">
        <v>260</v>
      </c>
      <c r="CQ641" s="5" t="s">
        <v>260</v>
      </c>
      <c r="CR641" s="5" t="s">
        <v>261</v>
      </c>
      <c r="CU641" s="8">
        <f>71170</f>
        <v>71170</v>
      </c>
      <c r="CV641" s="8">
        <f>0</f>
        <v>0</v>
      </c>
      <c r="CX641" s="8">
        <f>0</f>
        <v>0</v>
      </c>
      <c r="CY641" s="8">
        <f>71170</f>
        <v>71170</v>
      </c>
      <c r="DA641" s="5" t="s">
        <v>533</v>
      </c>
      <c r="DB641" s="5" t="s">
        <v>238</v>
      </c>
      <c r="DD641" s="5" t="s">
        <v>356</v>
      </c>
      <c r="DE641" s="8">
        <f>0</f>
        <v>0</v>
      </c>
      <c r="DG641" s="5" t="s">
        <v>534</v>
      </c>
      <c r="DH641" s="5" t="s">
        <v>238</v>
      </c>
      <c r="DI641" s="5" t="s">
        <v>238</v>
      </c>
      <c r="DJ641" s="5" t="s">
        <v>238</v>
      </c>
      <c r="DN641" s="5" t="s">
        <v>238</v>
      </c>
      <c r="DO641" s="5" t="s">
        <v>238</v>
      </c>
      <c r="DP641" s="5" t="s">
        <v>238</v>
      </c>
      <c r="DQ641" s="5" t="s">
        <v>238</v>
      </c>
      <c r="DT641" s="5" t="s">
        <v>535</v>
      </c>
      <c r="DU641" s="5" t="s">
        <v>462</v>
      </c>
      <c r="HM641" s="5" t="s">
        <v>264</v>
      </c>
    </row>
    <row r="642" spans="1:221" x14ac:dyDescent="0.4">
      <c r="A642" s="5">
        <v>1504</v>
      </c>
      <c r="B642" s="5">
        <v>1</v>
      </c>
      <c r="C642" s="5">
        <v>1</v>
      </c>
      <c r="D642" s="5" t="s">
        <v>484</v>
      </c>
      <c r="E642" s="5" t="s">
        <v>485</v>
      </c>
      <c r="F642" s="5" t="s">
        <v>248</v>
      </c>
      <c r="G642" s="5" t="s">
        <v>531</v>
      </c>
      <c r="H642" s="6" t="s">
        <v>4299</v>
      </c>
      <c r="I642" s="7">
        <f>720</f>
        <v>720</v>
      </c>
      <c r="J642" s="5" t="s">
        <v>262</v>
      </c>
      <c r="K642" s="8">
        <f>7920</f>
        <v>7920</v>
      </c>
      <c r="L642" s="6" t="s">
        <v>242</v>
      </c>
      <c r="M642" s="5" t="s">
        <v>267</v>
      </c>
      <c r="N642" s="5" t="s">
        <v>237</v>
      </c>
      <c r="O642" s="5" t="s">
        <v>238</v>
      </c>
      <c r="P642" s="5" t="s">
        <v>238</v>
      </c>
      <c r="Q642" s="5" t="s">
        <v>239</v>
      </c>
      <c r="R642" s="5" t="s">
        <v>240</v>
      </c>
      <c r="S642" s="5" t="s">
        <v>238</v>
      </c>
      <c r="V642" s="5" t="s">
        <v>238</v>
      </c>
      <c r="X642" s="6" t="s">
        <v>238</v>
      </c>
      <c r="AA642" s="6" t="s">
        <v>243</v>
      </c>
      <c r="AB642" s="5" t="s">
        <v>238</v>
      </c>
      <c r="AC642" s="5" t="s">
        <v>244</v>
      </c>
      <c r="AD642" s="5" t="s">
        <v>245</v>
      </c>
      <c r="AT642" s="5" t="s">
        <v>246</v>
      </c>
      <c r="AU642" s="5" t="s">
        <v>238</v>
      </c>
      <c r="AV642" s="5" t="s">
        <v>247</v>
      </c>
      <c r="AW642" s="5" t="s">
        <v>238</v>
      </c>
      <c r="AX642" s="5" t="s">
        <v>249</v>
      </c>
      <c r="AY642" s="5" t="s">
        <v>238</v>
      </c>
      <c r="BA642" s="5" t="s">
        <v>238</v>
      </c>
      <c r="BC642" s="5" t="s">
        <v>250</v>
      </c>
      <c r="BD642" s="6" t="s">
        <v>243</v>
      </c>
      <c r="BE642" s="5" t="s">
        <v>251</v>
      </c>
      <c r="BF642" s="5" t="s">
        <v>252</v>
      </c>
      <c r="BG642" s="5" t="s">
        <v>238</v>
      </c>
      <c r="BH642" s="7">
        <f>0</f>
        <v>0</v>
      </c>
      <c r="BI642" s="8">
        <f>0</f>
        <v>0</v>
      </c>
      <c r="BJ642" s="5" t="s">
        <v>253</v>
      </c>
      <c r="BK642" s="5" t="s">
        <v>254</v>
      </c>
      <c r="BY642" s="5" t="s">
        <v>238</v>
      </c>
      <c r="BZ642" s="5" t="s">
        <v>238</v>
      </c>
      <c r="CD642" s="5" t="s">
        <v>255</v>
      </c>
      <c r="CE642" s="5" t="s">
        <v>256</v>
      </c>
      <c r="CF642" s="5" t="s">
        <v>238</v>
      </c>
      <c r="CI642" s="6" t="s">
        <v>257</v>
      </c>
      <c r="CJ642" s="5" t="s">
        <v>238</v>
      </c>
      <c r="CK642" s="5" t="s">
        <v>258</v>
      </c>
      <c r="CL642" s="5" t="s">
        <v>238</v>
      </c>
      <c r="CM642" s="5" t="s">
        <v>238</v>
      </c>
      <c r="CN642" s="5">
        <v>0</v>
      </c>
      <c r="CO642" s="5" t="s">
        <v>259</v>
      </c>
      <c r="CP642" s="5" t="s">
        <v>260</v>
      </c>
      <c r="CQ642" s="5" t="s">
        <v>260</v>
      </c>
      <c r="CR642" s="5" t="s">
        <v>261</v>
      </c>
      <c r="CU642" s="8">
        <f>7920</f>
        <v>7920</v>
      </c>
      <c r="CV642" s="8">
        <f>0</f>
        <v>0</v>
      </c>
      <c r="CX642" s="8">
        <f>0</f>
        <v>0</v>
      </c>
      <c r="CY642" s="8">
        <f>7920</f>
        <v>7920</v>
      </c>
      <c r="DA642" s="5" t="s">
        <v>533</v>
      </c>
      <c r="DB642" s="5" t="s">
        <v>238</v>
      </c>
      <c r="DD642" s="5" t="s">
        <v>356</v>
      </c>
      <c r="DE642" s="8">
        <f>0</f>
        <v>0</v>
      </c>
      <c r="DG642" s="5" t="s">
        <v>534</v>
      </c>
      <c r="DH642" s="5" t="s">
        <v>238</v>
      </c>
      <c r="DI642" s="5" t="s">
        <v>238</v>
      </c>
      <c r="DJ642" s="5" t="s">
        <v>238</v>
      </c>
      <c r="DN642" s="5" t="s">
        <v>238</v>
      </c>
      <c r="DO642" s="5" t="s">
        <v>238</v>
      </c>
      <c r="DP642" s="5" t="s">
        <v>238</v>
      </c>
      <c r="DQ642" s="5" t="s">
        <v>238</v>
      </c>
      <c r="DT642" s="5" t="s">
        <v>535</v>
      </c>
      <c r="DU642" s="5" t="s">
        <v>466</v>
      </c>
      <c r="HM642" s="5" t="s">
        <v>264</v>
      </c>
    </row>
    <row r="643" spans="1:221" x14ac:dyDescent="0.4">
      <c r="A643" s="5">
        <v>1505</v>
      </c>
      <c r="B643" s="5">
        <v>1</v>
      </c>
      <c r="C643" s="5">
        <v>1</v>
      </c>
      <c r="D643" s="5" t="s">
        <v>484</v>
      </c>
      <c r="E643" s="5" t="s">
        <v>485</v>
      </c>
      <c r="F643" s="5" t="s">
        <v>248</v>
      </c>
      <c r="G643" s="5" t="s">
        <v>531</v>
      </c>
      <c r="H643" s="6" t="s">
        <v>5430</v>
      </c>
      <c r="I643" s="7">
        <f>662</f>
        <v>662</v>
      </c>
      <c r="J643" s="5" t="s">
        <v>262</v>
      </c>
      <c r="K643" s="8">
        <f>7282</f>
        <v>7282</v>
      </c>
      <c r="L643" s="6" t="s">
        <v>242</v>
      </c>
      <c r="M643" s="5" t="s">
        <v>267</v>
      </c>
      <c r="N643" s="5" t="s">
        <v>237</v>
      </c>
      <c r="O643" s="5" t="s">
        <v>238</v>
      </c>
      <c r="P643" s="5" t="s">
        <v>238</v>
      </c>
      <c r="Q643" s="5" t="s">
        <v>239</v>
      </c>
      <c r="R643" s="5" t="s">
        <v>240</v>
      </c>
      <c r="S643" s="5" t="s">
        <v>238</v>
      </c>
      <c r="V643" s="5" t="s">
        <v>238</v>
      </c>
      <c r="X643" s="6" t="s">
        <v>238</v>
      </c>
      <c r="AA643" s="6" t="s">
        <v>243</v>
      </c>
      <c r="AB643" s="5" t="s">
        <v>238</v>
      </c>
      <c r="AC643" s="5" t="s">
        <v>244</v>
      </c>
      <c r="AD643" s="5" t="s">
        <v>245</v>
      </c>
      <c r="AT643" s="5" t="s">
        <v>246</v>
      </c>
      <c r="AU643" s="5" t="s">
        <v>238</v>
      </c>
      <c r="AV643" s="5" t="s">
        <v>247</v>
      </c>
      <c r="AW643" s="5" t="s">
        <v>238</v>
      </c>
      <c r="AX643" s="5" t="s">
        <v>249</v>
      </c>
      <c r="AY643" s="5" t="s">
        <v>238</v>
      </c>
      <c r="BA643" s="5" t="s">
        <v>238</v>
      </c>
      <c r="BC643" s="5" t="s">
        <v>250</v>
      </c>
      <c r="BD643" s="6" t="s">
        <v>243</v>
      </c>
      <c r="BE643" s="5" t="s">
        <v>251</v>
      </c>
      <c r="BF643" s="5" t="s">
        <v>252</v>
      </c>
      <c r="BG643" s="5" t="s">
        <v>238</v>
      </c>
      <c r="BH643" s="7">
        <f>0</f>
        <v>0</v>
      </c>
      <c r="BI643" s="8">
        <f>0</f>
        <v>0</v>
      </c>
      <c r="BJ643" s="5" t="s">
        <v>253</v>
      </c>
      <c r="BK643" s="5" t="s">
        <v>254</v>
      </c>
      <c r="BY643" s="5" t="s">
        <v>238</v>
      </c>
      <c r="BZ643" s="5" t="s">
        <v>238</v>
      </c>
      <c r="CD643" s="5" t="s">
        <v>255</v>
      </c>
      <c r="CE643" s="5" t="s">
        <v>256</v>
      </c>
      <c r="CF643" s="5" t="s">
        <v>238</v>
      </c>
      <c r="CI643" s="6" t="s">
        <v>257</v>
      </c>
      <c r="CJ643" s="5" t="s">
        <v>238</v>
      </c>
      <c r="CK643" s="5" t="s">
        <v>258</v>
      </c>
      <c r="CL643" s="5" t="s">
        <v>238</v>
      </c>
      <c r="CM643" s="5" t="s">
        <v>238</v>
      </c>
      <c r="CN643" s="5">
        <v>0</v>
      </c>
      <c r="CO643" s="5" t="s">
        <v>259</v>
      </c>
      <c r="CP643" s="5" t="s">
        <v>260</v>
      </c>
      <c r="CQ643" s="5" t="s">
        <v>260</v>
      </c>
      <c r="CR643" s="5" t="s">
        <v>261</v>
      </c>
      <c r="CU643" s="8">
        <f>7282</f>
        <v>7282</v>
      </c>
      <c r="CV643" s="8">
        <f>0</f>
        <v>0</v>
      </c>
      <c r="CX643" s="8">
        <f>0</f>
        <v>0</v>
      </c>
      <c r="CY643" s="8">
        <f>7282</f>
        <v>7282</v>
      </c>
      <c r="DA643" s="5" t="s">
        <v>533</v>
      </c>
      <c r="DB643" s="5" t="s">
        <v>238</v>
      </c>
      <c r="DD643" s="5" t="s">
        <v>356</v>
      </c>
      <c r="DE643" s="8">
        <f>0</f>
        <v>0</v>
      </c>
      <c r="DG643" s="5" t="s">
        <v>534</v>
      </c>
      <c r="DH643" s="5" t="s">
        <v>238</v>
      </c>
      <c r="DI643" s="5" t="s">
        <v>238</v>
      </c>
      <c r="DJ643" s="5" t="s">
        <v>238</v>
      </c>
      <c r="DN643" s="5" t="s">
        <v>238</v>
      </c>
      <c r="DO643" s="5" t="s">
        <v>238</v>
      </c>
      <c r="DP643" s="5" t="s">
        <v>238</v>
      </c>
      <c r="DQ643" s="5" t="s">
        <v>238</v>
      </c>
      <c r="DT643" s="5" t="s">
        <v>535</v>
      </c>
      <c r="DU643" s="5" t="s">
        <v>468</v>
      </c>
      <c r="HM643" s="5" t="s">
        <v>264</v>
      </c>
    </row>
    <row r="644" spans="1:221" x14ac:dyDescent="0.4">
      <c r="A644" s="5">
        <v>1506</v>
      </c>
      <c r="B644" s="5">
        <v>1</v>
      </c>
      <c r="C644" s="5">
        <v>1</v>
      </c>
      <c r="D644" s="5" t="s">
        <v>484</v>
      </c>
      <c r="E644" s="5" t="s">
        <v>485</v>
      </c>
      <c r="F644" s="5" t="s">
        <v>248</v>
      </c>
      <c r="G644" s="5" t="s">
        <v>531</v>
      </c>
      <c r="H644" s="6" t="s">
        <v>5756</v>
      </c>
      <c r="I644" s="7">
        <f>888</f>
        <v>888</v>
      </c>
      <c r="J644" s="5" t="s">
        <v>262</v>
      </c>
      <c r="K644" s="8">
        <f>9768</f>
        <v>9768</v>
      </c>
      <c r="L644" s="6" t="s">
        <v>242</v>
      </c>
      <c r="M644" s="5" t="s">
        <v>267</v>
      </c>
      <c r="N644" s="5" t="s">
        <v>237</v>
      </c>
      <c r="O644" s="5" t="s">
        <v>238</v>
      </c>
      <c r="P644" s="5" t="s">
        <v>238</v>
      </c>
      <c r="Q644" s="5" t="s">
        <v>239</v>
      </c>
      <c r="R644" s="5" t="s">
        <v>240</v>
      </c>
      <c r="S644" s="5" t="s">
        <v>238</v>
      </c>
      <c r="V644" s="5" t="s">
        <v>238</v>
      </c>
      <c r="X644" s="6" t="s">
        <v>238</v>
      </c>
      <c r="AA644" s="6" t="s">
        <v>243</v>
      </c>
      <c r="AB644" s="5" t="s">
        <v>238</v>
      </c>
      <c r="AC644" s="5" t="s">
        <v>244</v>
      </c>
      <c r="AD644" s="5" t="s">
        <v>245</v>
      </c>
      <c r="AT644" s="5" t="s">
        <v>246</v>
      </c>
      <c r="AU644" s="5" t="s">
        <v>238</v>
      </c>
      <c r="AV644" s="5" t="s">
        <v>247</v>
      </c>
      <c r="AW644" s="5" t="s">
        <v>238</v>
      </c>
      <c r="AX644" s="5" t="s">
        <v>249</v>
      </c>
      <c r="AY644" s="5" t="s">
        <v>238</v>
      </c>
      <c r="BA644" s="5" t="s">
        <v>238</v>
      </c>
      <c r="BC644" s="5" t="s">
        <v>250</v>
      </c>
      <c r="BD644" s="6" t="s">
        <v>243</v>
      </c>
      <c r="BE644" s="5" t="s">
        <v>251</v>
      </c>
      <c r="BF644" s="5" t="s">
        <v>252</v>
      </c>
      <c r="BG644" s="5" t="s">
        <v>238</v>
      </c>
      <c r="BH644" s="7">
        <f>0</f>
        <v>0</v>
      </c>
      <c r="BI644" s="8">
        <f>0</f>
        <v>0</v>
      </c>
      <c r="BJ644" s="5" t="s">
        <v>253</v>
      </c>
      <c r="BK644" s="5" t="s">
        <v>254</v>
      </c>
      <c r="BY644" s="5" t="s">
        <v>238</v>
      </c>
      <c r="BZ644" s="5" t="s">
        <v>238</v>
      </c>
      <c r="CD644" s="5" t="s">
        <v>255</v>
      </c>
      <c r="CE644" s="5" t="s">
        <v>256</v>
      </c>
      <c r="CF644" s="5" t="s">
        <v>238</v>
      </c>
      <c r="CI644" s="6" t="s">
        <v>257</v>
      </c>
      <c r="CJ644" s="5" t="s">
        <v>238</v>
      </c>
      <c r="CK644" s="5" t="s">
        <v>258</v>
      </c>
      <c r="CL644" s="5" t="s">
        <v>238</v>
      </c>
      <c r="CM644" s="5" t="s">
        <v>238</v>
      </c>
      <c r="CN644" s="5">
        <v>0</v>
      </c>
      <c r="CO644" s="5" t="s">
        <v>259</v>
      </c>
      <c r="CP644" s="5" t="s">
        <v>260</v>
      </c>
      <c r="CQ644" s="5" t="s">
        <v>260</v>
      </c>
      <c r="CR644" s="5" t="s">
        <v>261</v>
      </c>
      <c r="CU644" s="8">
        <f>9768</f>
        <v>9768</v>
      </c>
      <c r="CV644" s="8">
        <f>0</f>
        <v>0</v>
      </c>
      <c r="CX644" s="8">
        <f>0</f>
        <v>0</v>
      </c>
      <c r="CY644" s="8">
        <f>9768</f>
        <v>9768</v>
      </c>
      <c r="DA644" s="5" t="s">
        <v>533</v>
      </c>
      <c r="DB644" s="5" t="s">
        <v>238</v>
      </c>
      <c r="DD644" s="5" t="s">
        <v>356</v>
      </c>
      <c r="DE644" s="8">
        <f>0</f>
        <v>0</v>
      </c>
      <c r="DG644" s="5" t="s">
        <v>534</v>
      </c>
      <c r="DH644" s="5" t="s">
        <v>238</v>
      </c>
      <c r="DI644" s="5" t="s">
        <v>238</v>
      </c>
      <c r="DJ644" s="5" t="s">
        <v>238</v>
      </c>
      <c r="DN644" s="5" t="s">
        <v>238</v>
      </c>
      <c r="DO644" s="5" t="s">
        <v>238</v>
      </c>
      <c r="DP644" s="5" t="s">
        <v>238</v>
      </c>
      <c r="DQ644" s="5" t="s">
        <v>238</v>
      </c>
      <c r="DT644" s="5" t="s">
        <v>535</v>
      </c>
      <c r="DU644" s="5" t="s">
        <v>472</v>
      </c>
      <c r="HM644" s="5" t="s">
        <v>264</v>
      </c>
    </row>
    <row r="645" spans="1:221" x14ac:dyDescent="0.4">
      <c r="A645" s="5">
        <v>1507</v>
      </c>
      <c r="B645" s="5">
        <v>1</v>
      </c>
      <c r="C645" s="5">
        <v>1</v>
      </c>
      <c r="D645" s="5" t="s">
        <v>484</v>
      </c>
      <c r="E645" s="5" t="s">
        <v>485</v>
      </c>
      <c r="F645" s="5" t="s">
        <v>248</v>
      </c>
      <c r="G645" s="5" t="s">
        <v>531</v>
      </c>
      <c r="H645" s="6" t="s">
        <v>4324</v>
      </c>
      <c r="I645" s="7">
        <f>1990</f>
        <v>1990</v>
      </c>
      <c r="J645" s="5" t="s">
        <v>262</v>
      </c>
      <c r="K645" s="8">
        <f>21890</f>
        <v>21890</v>
      </c>
      <c r="L645" s="6" t="s">
        <v>242</v>
      </c>
      <c r="M645" s="5" t="s">
        <v>267</v>
      </c>
      <c r="N645" s="5" t="s">
        <v>237</v>
      </c>
      <c r="O645" s="5" t="s">
        <v>238</v>
      </c>
      <c r="P645" s="5" t="s">
        <v>238</v>
      </c>
      <c r="Q645" s="5" t="s">
        <v>239</v>
      </c>
      <c r="R645" s="5" t="s">
        <v>240</v>
      </c>
      <c r="S645" s="5" t="s">
        <v>238</v>
      </c>
      <c r="V645" s="5" t="s">
        <v>238</v>
      </c>
      <c r="X645" s="6" t="s">
        <v>238</v>
      </c>
      <c r="AA645" s="6" t="s">
        <v>243</v>
      </c>
      <c r="AB645" s="5" t="s">
        <v>238</v>
      </c>
      <c r="AC645" s="5" t="s">
        <v>244</v>
      </c>
      <c r="AD645" s="5" t="s">
        <v>245</v>
      </c>
      <c r="AT645" s="5" t="s">
        <v>246</v>
      </c>
      <c r="AU645" s="5" t="s">
        <v>238</v>
      </c>
      <c r="AV645" s="5" t="s">
        <v>247</v>
      </c>
      <c r="AW645" s="5" t="s">
        <v>238</v>
      </c>
      <c r="AX645" s="5" t="s">
        <v>249</v>
      </c>
      <c r="AY645" s="5" t="s">
        <v>238</v>
      </c>
      <c r="BA645" s="5" t="s">
        <v>238</v>
      </c>
      <c r="BC645" s="5" t="s">
        <v>250</v>
      </c>
      <c r="BD645" s="6" t="s">
        <v>243</v>
      </c>
      <c r="BE645" s="5" t="s">
        <v>251</v>
      </c>
      <c r="BF645" s="5" t="s">
        <v>252</v>
      </c>
      <c r="BG645" s="5" t="s">
        <v>238</v>
      </c>
      <c r="BH645" s="7">
        <f>0</f>
        <v>0</v>
      </c>
      <c r="BI645" s="8">
        <f>0</f>
        <v>0</v>
      </c>
      <c r="BJ645" s="5" t="s">
        <v>253</v>
      </c>
      <c r="BK645" s="5" t="s">
        <v>254</v>
      </c>
      <c r="BY645" s="5" t="s">
        <v>238</v>
      </c>
      <c r="BZ645" s="5" t="s">
        <v>238</v>
      </c>
      <c r="CD645" s="5" t="s">
        <v>255</v>
      </c>
      <c r="CE645" s="5" t="s">
        <v>256</v>
      </c>
      <c r="CF645" s="5" t="s">
        <v>238</v>
      </c>
      <c r="CI645" s="6" t="s">
        <v>257</v>
      </c>
      <c r="CJ645" s="5" t="s">
        <v>238</v>
      </c>
      <c r="CK645" s="5" t="s">
        <v>258</v>
      </c>
      <c r="CL645" s="5" t="s">
        <v>238</v>
      </c>
      <c r="CM645" s="5" t="s">
        <v>238</v>
      </c>
      <c r="CN645" s="5">
        <v>0</v>
      </c>
      <c r="CO645" s="5" t="s">
        <v>259</v>
      </c>
      <c r="CP645" s="5" t="s">
        <v>260</v>
      </c>
      <c r="CQ645" s="5" t="s">
        <v>260</v>
      </c>
      <c r="CR645" s="5" t="s">
        <v>261</v>
      </c>
      <c r="CU645" s="8">
        <f>21890</f>
        <v>21890</v>
      </c>
      <c r="CV645" s="8">
        <f>0</f>
        <v>0</v>
      </c>
      <c r="CX645" s="8">
        <f>0</f>
        <v>0</v>
      </c>
      <c r="CY645" s="8">
        <f>21890</f>
        <v>21890</v>
      </c>
      <c r="DA645" s="5" t="s">
        <v>533</v>
      </c>
      <c r="DB645" s="5" t="s">
        <v>238</v>
      </c>
      <c r="DD645" s="5" t="s">
        <v>356</v>
      </c>
      <c r="DE645" s="8">
        <f>0</f>
        <v>0</v>
      </c>
      <c r="DG645" s="5" t="s">
        <v>534</v>
      </c>
      <c r="DH645" s="5" t="s">
        <v>238</v>
      </c>
      <c r="DI645" s="5" t="s">
        <v>238</v>
      </c>
      <c r="DJ645" s="5" t="s">
        <v>238</v>
      </c>
      <c r="DN645" s="5" t="s">
        <v>238</v>
      </c>
      <c r="DO645" s="5" t="s">
        <v>238</v>
      </c>
      <c r="DP645" s="5" t="s">
        <v>238</v>
      </c>
      <c r="DQ645" s="5" t="s">
        <v>238</v>
      </c>
      <c r="DT645" s="5" t="s">
        <v>535</v>
      </c>
      <c r="DU645" s="5" t="s">
        <v>3296</v>
      </c>
      <c r="HM645" s="5" t="s">
        <v>264</v>
      </c>
    </row>
    <row r="646" spans="1:221" x14ac:dyDescent="0.4">
      <c r="A646" s="5">
        <v>1508</v>
      </c>
      <c r="B646" s="5">
        <v>1</v>
      </c>
      <c r="C646" s="5">
        <v>1</v>
      </c>
      <c r="D646" s="5" t="s">
        <v>484</v>
      </c>
      <c r="E646" s="5" t="s">
        <v>485</v>
      </c>
      <c r="F646" s="5" t="s">
        <v>248</v>
      </c>
      <c r="G646" s="5" t="s">
        <v>531</v>
      </c>
      <c r="H646" s="6" t="s">
        <v>5802</v>
      </c>
      <c r="I646" s="7">
        <f>740</f>
        <v>740</v>
      </c>
      <c r="J646" s="5" t="s">
        <v>262</v>
      </c>
      <c r="K646" s="8">
        <f>8140</f>
        <v>8140</v>
      </c>
      <c r="L646" s="6" t="s">
        <v>242</v>
      </c>
      <c r="M646" s="5" t="s">
        <v>267</v>
      </c>
      <c r="N646" s="5" t="s">
        <v>237</v>
      </c>
      <c r="O646" s="5" t="s">
        <v>238</v>
      </c>
      <c r="P646" s="5" t="s">
        <v>238</v>
      </c>
      <c r="Q646" s="5" t="s">
        <v>239</v>
      </c>
      <c r="R646" s="5" t="s">
        <v>240</v>
      </c>
      <c r="S646" s="5" t="s">
        <v>238</v>
      </c>
      <c r="V646" s="5" t="s">
        <v>238</v>
      </c>
      <c r="X646" s="6" t="s">
        <v>238</v>
      </c>
      <c r="AA646" s="6" t="s">
        <v>243</v>
      </c>
      <c r="AB646" s="5" t="s">
        <v>238</v>
      </c>
      <c r="AC646" s="5" t="s">
        <v>244</v>
      </c>
      <c r="AD646" s="5" t="s">
        <v>245</v>
      </c>
      <c r="AT646" s="5" t="s">
        <v>246</v>
      </c>
      <c r="AU646" s="5" t="s">
        <v>238</v>
      </c>
      <c r="AV646" s="5" t="s">
        <v>247</v>
      </c>
      <c r="AW646" s="5" t="s">
        <v>238</v>
      </c>
      <c r="AX646" s="5" t="s">
        <v>249</v>
      </c>
      <c r="AY646" s="5" t="s">
        <v>238</v>
      </c>
      <c r="BA646" s="5" t="s">
        <v>238</v>
      </c>
      <c r="BC646" s="5" t="s">
        <v>250</v>
      </c>
      <c r="BD646" s="6" t="s">
        <v>243</v>
      </c>
      <c r="BE646" s="5" t="s">
        <v>251</v>
      </c>
      <c r="BF646" s="5" t="s">
        <v>252</v>
      </c>
      <c r="BG646" s="5" t="s">
        <v>238</v>
      </c>
      <c r="BH646" s="7">
        <f>0</f>
        <v>0</v>
      </c>
      <c r="BI646" s="8">
        <f>0</f>
        <v>0</v>
      </c>
      <c r="BJ646" s="5" t="s">
        <v>253</v>
      </c>
      <c r="BK646" s="5" t="s">
        <v>254</v>
      </c>
      <c r="BY646" s="5" t="s">
        <v>238</v>
      </c>
      <c r="BZ646" s="5" t="s">
        <v>238</v>
      </c>
      <c r="CD646" s="5" t="s">
        <v>255</v>
      </c>
      <c r="CE646" s="5" t="s">
        <v>256</v>
      </c>
      <c r="CF646" s="5" t="s">
        <v>238</v>
      </c>
      <c r="CI646" s="6" t="s">
        <v>257</v>
      </c>
      <c r="CJ646" s="5" t="s">
        <v>238</v>
      </c>
      <c r="CK646" s="5" t="s">
        <v>258</v>
      </c>
      <c r="CL646" s="5" t="s">
        <v>238</v>
      </c>
      <c r="CM646" s="5" t="s">
        <v>238</v>
      </c>
      <c r="CN646" s="5">
        <v>0</v>
      </c>
      <c r="CO646" s="5" t="s">
        <v>259</v>
      </c>
      <c r="CP646" s="5" t="s">
        <v>260</v>
      </c>
      <c r="CQ646" s="5" t="s">
        <v>260</v>
      </c>
      <c r="CR646" s="5" t="s">
        <v>261</v>
      </c>
      <c r="CU646" s="8">
        <f>8140</f>
        <v>8140</v>
      </c>
      <c r="CV646" s="8">
        <f>0</f>
        <v>0</v>
      </c>
      <c r="CX646" s="8">
        <f>0</f>
        <v>0</v>
      </c>
      <c r="CY646" s="8">
        <f>8140</f>
        <v>8140</v>
      </c>
      <c r="DA646" s="5" t="s">
        <v>533</v>
      </c>
      <c r="DB646" s="5" t="s">
        <v>238</v>
      </c>
      <c r="DD646" s="5" t="s">
        <v>356</v>
      </c>
      <c r="DE646" s="8">
        <f>0</f>
        <v>0</v>
      </c>
      <c r="DG646" s="5" t="s">
        <v>534</v>
      </c>
      <c r="DH646" s="5" t="s">
        <v>238</v>
      </c>
      <c r="DI646" s="5" t="s">
        <v>238</v>
      </c>
      <c r="DJ646" s="5" t="s">
        <v>238</v>
      </c>
      <c r="DN646" s="5" t="s">
        <v>238</v>
      </c>
      <c r="DO646" s="5" t="s">
        <v>238</v>
      </c>
      <c r="DP646" s="5" t="s">
        <v>238</v>
      </c>
      <c r="DQ646" s="5" t="s">
        <v>238</v>
      </c>
      <c r="DT646" s="5" t="s">
        <v>535</v>
      </c>
      <c r="DU646" s="5" t="s">
        <v>477</v>
      </c>
      <c r="HM646" s="5" t="s">
        <v>264</v>
      </c>
    </row>
    <row r="647" spans="1:221" x14ac:dyDescent="0.4">
      <c r="A647" s="5">
        <v>1509</v>
      </c>
      <c r="B647" s="5">
        <v>1</v>
      </c>
      <c r="C647" s="5">
        <v>1</v>
      </c>
      <c r="D647" s="5" t="s">
        <v>484</v>
      </c>
      <c r="E647" s="5" t="s">
        <v>485</v>
      </c>
      <c r="F647" s="5" t="s">
        <v>248</v>
      </c>
      <c r="G647" s="5" t="s">
        <v>531</v>
      </c>
      <c r="H647" s="6" t="s">
        <v>5763</v>
      </c>
      <c r="I647" s="7">
        <f>393</f>
        <v>393</v>
      </c>
      <c r="J647" s="5" t="s">
        <v>262</v>
      </c>
      <c r="K647" s="8">
        <f>4323</f>
        <v>4323</v>
      </c>
      <c r="L647" s="6" t="s">
        <v>242</v>
      </c>
      <c r="M647" s="5" t="s">
        <v>267</v>
      </c>
      <c r="N647" s="5" t="s">
        <v>237</v>
      </c>
      <c r="O647" s="5" t="s">
        <v>238</v>
      </c>
      <c r="P647" s="5" t="s">
        <v>238</v>
      </c>
      <c r="Q647" s="5" t="s">
        <v>239</v>
      </c>
      <c r="R647" s="5" t="s">
        <v>240</v>
      </c>
      <c r="S647" s="5" t="s">
        <v>238</v>
      </c>
      <c r="V647" s="5" t="s">
        <v>238</v>
      </c>
      <c r="X647" s="6" t="s">
        <v>238</v>
      </c>
      <c r="AA647" s="6" t="s">
        <v>243</v>
      </c>
      <c r="AB647" s="5" t="s">
        <v>238</v>
      </c>
      <c r="AC647" s="5" t="s">
        <v>244</v>
      </c>
      <c r="AD647" s="5" t="s">
        <v>245</v>
      </c>
      <c r="AT647" s="5" t="s">
        <v>246</v>
      </c>
      <c r="AU647" s="5" t="s">
        <v>238</v>
      </c>
      <c r="AV647" s="5" t="s">
        <v>247</v>
      </c>
      <c r="AW647" s="5" t="s">
        <v>238</v>
      </c>
      <c r="AX647" s="5" t="s">
        <v>249</v>
      </c>
      <c r="AY647" s="5" t="s">
        <v>238</v>
      </c>
      <c r="BA647" s="5" t="s">
        <v>238</v>
      </c>
      <c r="BC647" s="5" t="s">
        <v>250</v>
      </c>
      <c r="BD647" s="6" t="s">
        <v>243</v>
      </c>
      <c r="BE647" s="5" t="s">
        <v>251</v>
      </c>
      <c r="BF647" s="5" t="s">
        <v>252</v>
      </c>
      <c r="BG647" s="5" t="s">
        <v>238</v>
      </c>
      <c r="BH647" s="7">
        <f>0</f>
        <v>0</v>
      </c>
      <c r="BI647" s="8">
        <f>0</f>
        <v>0</v>
      </c>
      <c r="BJ647" s="5" t="s">
        <v>253</v>
      </c>
      <c r="BK647" s="5" t="s">
        <v>254</v>
      </c>
      <c r="BY647" s="5" t="s">
        <v>238</v>
      </c>
      <c r="BZ647" s="5" t="s">
        <v>238</v>
      </c>
      <c r="CD647" s="5" t="s">
        <v>255</v>
      </c>
      <c r="CE647" s="5" t="s">
        <v>256</v>
      </c>
      <c r="CF647" s="5" t="s">
        <v>238</v>
      </c>
      <c r="CI647" s="6" t="s">
        <v>257</v>
      </c>
      <c r="CJ647" s="5" t="s">
        <v>238</v>
      </c>
      <c r="CK647" s="5" t="s">
        <v>258</v>
      </c>
      <c r="CL647" s="5" t="s">
        <v>238</v>
      </c>
      <c r="CM647" s="5" t="s">
        <v>238</v>
      </c>
      <c r="CN647" s="5">
        <v>0</v>
      </c>
      <c r="CO647" s="5" t="s">
        <v>259</v>
      </c>
      <c r="CP647" s="5" t="s">
        <v>260</v>
      </c>
      <c r="CQ647" s="5" t="s">
        <v>260</v>
      </c>
      <c r="CR647" s="5" t="s">
        <v>261</v>
      </c>
      <c r="CU647" s="8">
        <f>4323</f>
        <v>4323</v>
      </c>
      <c r="CV647" s="8">
        <f>0</f>
        <v>0</v>
      </c>
      <c r="CX647" s="8">
        <f>0</f>
        <v>0</v>
      </c>
      <c r="CY647" s="8">
        <f>4323</f>
        <v>4323</v>
      </c>
      <c r="DA647" s="5" t="s">
        <v>533</v>
      </c>
      <c r="DB647" s="5" t="s">
        <v>238</v>
      </c>
      <c r="DD647" s="5" t="s">
        <v>356</v>
      </c>
      <c r="DE647" s="8">
        <f>0</f>
        <v>0</v>
      </c>
      <c r="DG647" s="5" t="s">
        <v>534</v>
      </c>
      <c r="DH647" s="5" t="s">
        <v>238</v>
      </c>
      <c r="DI647" s="5" t="s">
        <v>238</v>
      </c>
      <c r="DJ647" s="5" t="s">
        <v>238</v>
      </c>
      <c r="DN647" s="5" t="s">
        <v>238</v>
      </c>
      <c r="DO647" s="5" t="s">
        <v>238</v>
      </c>
      <c r="DP647" s="5" t="s">
        <v>238</v>
      </c>
      <c r="DQ647" s="5" t="s">
        <v>238</v>
      </c>
      <c r="DT647" s="5" t="s">
        <v>535</v>
      </c>
      <c r="DU647" s="5" t="s">
        <v>479</v>
      </c>
      <c r="HM647" s="5" t="s">
        <v>264</v>
      </c>
    </row>
    <row r="648" spans="1:221" x14ac:dyDescent="0.4">
      <c r="A648" s="5">
        <v>1510</v>
      </c>
      <c r="B648" s="5">
        <v>1</v>
      </c>
      <c r="C648" s="5">
        <v>1</v>
      </c>
      <c r="D648" s="5" t="s">
        <v>484</v>
      </c>
      <c r="E648" s="5" t="s">
        <v>485</v>
      </c>
      <c r="F648" s="5" t="s">
        <v>248</v>
      </c>
      <c r="G648" s="5" t="s">
        <v>531</v>
      </c>
      <c r="H648" s="6" t="s">
        <v>5433</v>
      </c>
      <c r="I648" s="7">
        <f>10127</f>
        <v>10127</v>
      </c>
      <c r="J648" s="5" t="s">
        <v>262</v>
      </c>
      <c r="K648" s="8">
        <f>111397</f>
        <v>111397</v>
      </c>
      <c r="L648" s="6" t="s">
        <v>242</v>
      </c>
      <c r="M648" s="5" t="s">
        <v>267</v>
      </c>
      <c r="N648" s="5" t="s">
        <v>237</v>
      </c>
      <c r="O648" s="5" t="s">
        <v>238</v>
      </c>
      <c r="P648" s="5" t="s">
        <v>238</v>
      </c>
      <c r="Q648" s="5" t="s">
        <v>239</v>
      </c>
      <c r="R648" s="5" t="s">
        <v>240</v>
      </c>
      <c r="S648" s="5" t="s">
        <v>238</v>
      </c>
      <c r="V648" s="5" t="s">
        <v>238</v>
      </c>
      <c r="X648" s="6" t="s">
        <v>238</v>
      </c>
      <c r="AA648" s="6" t="s">
        <v>243</v>
      </c>
      <c r="AB648" s="5" t="s">
        <v>238</v>
      </c>
      <c r="AC648" s="5" t="s">
        <v>244</v>
      </c>
      <c r="AD648" s="5" t="s">
        <v>245</v>
      </c>
      <c r="AT648" s="5" t="s">
        <v>246</v>
      </c>
      <c r="AU648" s="5" t="s">
        <v>238</v>
      </c>
      <c r="AV648" s="5" t="s">
        <v>247</v>
      </c>
      <c r="AW648" s="5" t="s">
        <v>238</v>
      </c>
      <c r="AX648" s="5" t="s">
        <v>249</v>
      </c>
      <c r="AY648" s="5" t="s">
        <v>238</v>
      </c>
      <c r="BA648" s="5" t="s">
        <v>238</v>
      </c>
      <c r="BC648" s="5" t="s">
        <v>250</v>
      </c>
      <c r="BD648" s="6" t="s">
        <v>243</v>
      </c>
      <c r="BE648" s="5" t="s">
        <v>251</v>
      </c>
      <c r="BF648" s="5" t="s">
        <v>252</v>
      </c>
      <c r="BG648" s="5" t="s">
        <v>238</v>
      </c>
      <c r="BH648" s="7">
        <f>0</f>
        <v>0</v>
      </c>
      <c r="BI648" s="8">
        <f>0</f>
        <v>0</v>
      </c>
      <c r="BJ648" s="5" t="s">
        <v>253</v>
      </c>
      <c r="BK648" s="5" t="s">
        <v>254</v>
      </c>
      <c r="BY648" s="5" t="s">
        <v>238</v>
      </c>
      <c r="BZ648" s="5" t="s">
        <v>238</v>
      </c>
      <c r="CD648" s="5" t="s">
        <v>255</v>
      </c>
      <c r="CE648" s="5" t="s">
        <v>256</v>
      </c>
      <c r="CF648" s="5" t="s">
        <v>238</v>
      </c>
      <c r="CI648" s="6" t="s">
        <v>257</v>
      </c>
      <c r="CJ648" s="5" t="s">
        <v>238</v>
      </c>
      <c r="CK648" s="5" t="s">
        <v>258</v>
      </c>
      <c r="CL648" s="5" t="s">
        <v>238</v>
      </c>
      <c r="CM648" s="5" t="s">
        <v>238</v>
      </c>
      <c r="CN648" s="5">
        <v>0</v>
      </c>
      <c r="CO648" s="5" t="s">
        <v>259</v>
      </c>
      <c r="CP648" s="5" t="s">
        <v>260</v>
      </c>
      <c r="CQ648" s="5" t="s">
        <v>260</v>
      </c>
      <c r="CR648" s="5" t="s">
        <v>261</v>
      </c>
      <c r="CU648" s="8">
        <f>111397</f>
        <v>111397</v>
      </c>
      <c r="CV648" s="8">
        <f>0</f>
        <v>0</v>
      </c>
      <c r="CX648" s="8">
        <f>0</f>
        <v>0</v>
      </c>
      <c r="CY648" s="8">
        <f>111397</f>
        <v>111397</v>
      </c>
      <c r="DA648" s="5" t="s">
        <v>533</v>
      </c>
      <c r="DB648" s="5" t="s">
        <v>238</v>
      </c>
      <c r="DD648" s="5" t="s">
        <v>356</v>
      </c>
      <c r="DE648" s="8">
        <f>0</f>
        <v>0</v>
      </c>
      <c r="DG648" s="5" t="s">
        <v>534</v>
      </c>
      <c r="DH648" s="5" t="s">
        <v>238</v>
      </c>
      <c r="DI648" s="5" t="s">
        <v>238</v>
      </c>
      <c r="DJ648" s="5" t="s">
        <v>238</v>
      </c>
      <c r="DN648" s="5" t="s">
        <v>238</v>
      </c>
      <c r="DO648" s="5" t="s">
        <v>238</v>
      </c>
      <c r="DP648" s="5" t="s">
        <v>238</v>
      </c>
      <c r="DQ648" s="5" t="s">
        <v>238</v>
      </c>
      <c r="DT648" s="5" t="s">
        <v>535</v>
      </c>
      <c r="DU648" s="5" t="s">
        <v>3291</v>
      </c>
      <c r="HM648" s="5" t="s">
        <v>264</v>
      </c>
    </row>
    <row r="649" spans="1:221" x14ac:dyDescent="0.4">
      <c r="A649" s="5">
        <v>1511</v>
      </c>
      <c r="B649" s="5">
        <v>1</v>
      </c>
      <c r="C649" s="5">
        <v>1</v>
      </c>
      <c r="D649" s="5" t="s">
        <v>484</v>
      </c>
      <c r="E649" s="5" t="s">
        <v>485</v>
      </c>
      <c r="F649" s="5" t="s">
        <v>248</v>
      </c>
      <c r="G649" s="5" t="s">
        <v>531</v>
      </c>
      <c r="H649" s="6" t="s">
        <v>4349</v>
      </c>
      <c r="I649" s="7">
        <f>70</f>
        <v>70</v>
      </c>
      <c r="J649" s="5" t="s">
        <v>262</v>
      </c>
      <c r="K649" s="8">
        <f>770</f>
        <v>770</v>
      </c>
      <c r="L649" s="6" t="s">
        <v>242</v>
      </c>
      <c r="M649" s="5" t="s">
        <v>267</v>
      </c>
      <c r="N649" s="5" t="s">
        <v>237</v>
      </c>
      <c r="O649" s="5" t="s">
        <v>238</v>
      </c>
      <c r="P649" s="5" t="s">
        <v>238</v>
      </c>
      <c r="Q649" s="5" t="s">
        <v>239</v>
      </c>
      <c r="R649" s="5" t="s">
        <v>240</v>
      </c>
      <c r="S649" s="5" t="s">
        <v>238</v>
      </c>
      <c r="V649" s="5" t="s">
        <v>238</v>
      </c>
      <c r="X649" s="6" t="s">
        <v>238</v>
      </c>
      <c r="AA649" s="6" t="s">
        <v>243</v>
      </c>
      <c r="AB649" s="5" t="s">
        <v>238</v>
      </c>
      <c r="AC649" s="5" t="s">
        <v>244</v>
      </c>
      <c r="AD649" s="5" t="s">
        <v>245</v>
      </c>
      <c r="AT649" s="5" t="s">
        <v>246</v>
      </c>
      <c r="AU649" s="5" t="s">
        <v>238</v>
      </c>
      <c r="AV649" s="5" t="s">
        <v>247</v>
      </c>
      <c r="AW649" s="5" t="s">
        <v>238</v>
      </c>
      <c r="AX649" s="5" t="s">
        <v>249</v>
      </c>
      <c r="AY649" s="5" t="s">
        <v>238</v>
      </c>
      <c r="BA649" s="5" t="s">
        <v>238</v>
      </c>
      <c r="BC649" s="5" t="s">
        <v>250</v>
      </c>
      <c r="BD649" s="6" t="s">
        <v>243</v>
      </c>
      <c r="BE649" s="5" t="s">
        <v>251</v>
      </c>
      <c r="BF649" s="5" t="s">
        <v>252</v>
      </c>
      <c r="BG649" s="5" t="s">
        <v>238</v>
      </c>
      <c r="BH649" s="7">
        <f>0</f>
        <v>0</v>
      </c>
      <c r="BI649" s="8">
        <f>0</f>
        <v>0</v>
      </c>
      <c r="BJ649" s="5" t="s">
        <v>253</v>
      </c>
      <c r="BK649" s="5" t="s">
        <v>254</v>
      </c>
      <c r="BY649" s="5" t="s">
        <v>238</v>
      </c>
      <c r="BZ649" s="5" t="s">
        <v>238</v>
      </c>
      <c r="CD649" s="5" t="s">
        <v>255</v>
      </c>
      <c r="CE649" s="5" t="s">
        <v>256</v>
      </c>
      <c r="CF649" s="5" t="s">
        <v>238</v>
      </c>
      <c r="CI649" s="6" t="s">
        <v>257</v>
      </c>
      <c r="CJ649" s="5" t="s">
        <v>238</v>
      </c>
      <c r="CK649" s="5" t="s">
        <v>258</v>
      </c>
      <c r="CL649" s="5" t="s">
        <v>238</v>
      </c>
      <c r="CM649" s="5" t="s">
        <v>238</v>
      </c>
      <c r="CN649" s="5">
        <v>0</v>
      </c>
      <c r="CO649" s="5" t="s">
        <v>259</v>
      </c>
      <c r="CP649" s="5" t="s">
        <v>260</v>
      </c>
      <c r="CQ649" s="5" t="s">
        <v>260</v>
      </c>
      <c r="CR649" s="5" t="s">
        <v>261</v>
      </c>
      <c r="CU649" s="8">
        <f>770</f>
        <v>770</v>
      </c>
      <c r="CV649" s="8">
        <f>0</f>
        <v>0</v>
      </c>
      <c r="CX649" s="8">
        <f>0</f>
        <v>0</v>
      </c>
      <c r="CY649" s="8">
        <f>770</f>
        <v>770</v>
      </c>
      <c r="DA649" s="5" t="s">
        <v>533</v>
      </c>
      <c r="DB649" s="5" t="s">
        <v>238</v>
      </c>
      <c r="DD649" s="5" t="s">
        <v>356</v>
      </c>
      <c r="DE649" s="8">
        <f>0</f>
        <v>0</v>
      </c>
      <c r="DG649" s="5" t="s">
        <v>534</v>
      </c>
      <c r="DH649" s="5" t="s">
        <v>238</v>
      </c>
      <c r="DI649" s="5" t="s">
        <v>238</v>
      </c>
      <c r="DJ649" s="5" t="s">
        <v>238</v>
      </c>
      <c r="DN649" s="5" t="s">
        <v>238</v>
      </c>
      <c r="DO649" s="5" t="s">
        <v>238</v>
      </c>
      <c r="DP649" s="5" t="s">
        <v>238</v>
      </c>
      <c r="DQ649" s="5" t="s">
        <v>238</v>
      </c>
      <c r="DT649" s="5" t="s">
        <v>535</v>
      </c>
      <c r="DU649" s="5" t="s">
        <v>502</v>
      </c>
      <c r="HM649" s="5" t="s">
        <v>264</v>
      </c>
    </row>
    <row r="650" spans="1:221" x14ac:dyDescent="0.4">
      <c r="A650" s="5">
        <v>1512</v>
      </c>
      <c r="B650" s="5">
        <v>1</v>
      </c>
      <c r="C650" s="5">
        <v>1</v>
      </c>
      <c r="D650" s="5" t="s">
        <v>484</v>
      </c>
      <c r="E650" s="5" t="s">
        <v>485</v>
      </c>
      <c r="F650" s="5" t="s">
        <v>248</v>
      </c>
      <c r="G650" s="5" t="s">
        <v>531</v>
      </c>
      <c r="H650" s="6" t="s">
        <v>4790</v>
      </c>
      <c r="I650" s="7">
        <f>1244</f>
        <v>1244</v>
      </c>
      <c r="J650" s="5" t="s">
        <v>262</v>
      </c>
      <c r="K650" s="8">
        <f>13684</f>
        <v>13684</v>
      </c>
      <c r="L650" s="6" t="s">
        <v>242</v>
      </c>
      <c r="M650" s="5" t="s">
        <v>267</v>
      </c>
      <c r="N650" s="5" t="s">
        <v>237</v>
      </c>
      <c r="O650" s="5" t="s">
        <v>238</v>
      </c>
      <c r="P650" s="5" t="s">
        <v>238</v>
      </c>
      <c r="Q650" s="5" t="s">
        <v>239</v>
      </c>
      <c r="R650" s="5" t="s">
        <v>240</v>
      </c>
      <c r="S650" s="5" t="s">
        <v>238</v>
      </c>
      <c r="V650" s="5" t="s">
        <v>238</v>
      </c>
      <c r="X650" s="6" t="s">
        <v>238</v>
      </c>
      <c r="AA650" s="6" t="s">
        <v>243</v>
      </c>
      <c r="AB650" s="5" t="s">
        <v>238</v>
      </c>
      <c r="AC650" s="5" t="s">
        <v>244</v>
      </c>
      <c r="AD650" s="5" t="s">
        <v>245</v>
      </c>
      <c r="AT650" s="5" t="s">
        <v>246</v>
      </c>
      <c r="AU650" s="5" t="s">
        <v>238</v>
      </c>
      <c r="AV650" s="5" t="s">
        <v>247</v>
      </c>
      <c r="AW650" s="5" t="s">
        <v>238</v>
      </c>
      <c r="AX650" s="5" t="s">
        <v>249</v>
      </c>
      <c r="AY650" s="5" t="s">
        <v>238</v>
      </c>
      <c r="BA650" s="5" t="s">
        <v>238</v>
      </c>
      <c r="BC650" s="5" t="s">
        <v>250</v>
      </c>
      <c r="BD650" s="6" t="s">
        <v>243</v>
      </c>
      <c r="BE650" s="5" t="s">
        <v>251</v>
      </c>
      <c r="BF650" s="5" t="s">
        <v>252</v>
      </c>
      <c r="BG650" s="5" t="s">
        <v>238</v>
      </c>
      <c r="BH650" s="7">
        <f>0</f>
        <v>0</v>
      </c>
      <c r="BI650" s="8">
        <f>0</f>
        <v>0</v>
      </c>
      <c r="BJ650" s="5" t="s">
        <v>253</v>
      </c>
      <c r="BK650" s="5" t="s">
        <v>254</v>
      </c>
      <c r="BY650" s="5" t="s">
        <v>238</v>
      </c>
      <c r="BZ650" s="5" t="s">
        <v>238</v>
      </c>
      <c r="CD650" s="5" t="s">
        <v>255</v>
      </c>
      <c r="CE650" s="5" t="s">
        <v>256</v>
      </c>
      <c r="CF650" s="5" t="s">
        <v>238</v>
      </c>
      <c r="CI650" s="6" t="s">
        <v>257</v>
      </c>
      <c r="CJ650" s="5" t="s">
        <v>238</v>
      </c>
      <c r="CK650" s="5" t="s">
        <v>258</v>
      </c>
      <c r="CL650" s="5" t="s">
        <v>238</v>
      </c>
      <c r="CM650" s="5" t="s">
        <v>238</v>
      </c>
      <c r="CN650" s="5">
        <v>0</v>
      </c>
      <c r="CO650" s="5" t="s">
        <v>259</v>
      </c>
      <c r="CP650" s="5" t="s">
        <v>260</v>
      </c>
      <c r="CQ650" s="5" t="s">
        <v>260</v>
      </c>
      <c r="CR650" s="5" t="s">
        <v>261</v>
      </c>
      <c r="CU650" s="8">
        <f>13684</f>
        <v>13684</v>
      </c>
      <c r="CV650" s="8">
        <f>0</f>
        <v>0</v>
      </c>
      <c r="CX650" s="8">
        <f>0</f>
        <v>0</v>
      </c>
      <c r="CY650" s="8">
        <f>13684</f>
        <v>13684</v>
      </c>
      <c r="DA650" s="5" t="s">
        <v>533</v>
      </c>
      <c r="DB650" s="5" t="s">
        <v>238</v>
      </c>
      <c r="DD650" s="5" t="s">
        <v>356</v>
      </c>
      <c r="DE650" s="8">
        <f>0</f>
        <v>0</v>
      </c>
      <c r="DG650" s="5" t="s">
        <v>534</v>
      </c>
      <c r="DH650" s="5" t="s">
        <v>238</v>
      </c>
      <c r="DI650" s="5" t="s">
        <v>238</v>
      </c>
      <c r="DJ650" s="5" t="s">
        <v>238</v>
      </c>
      <c r="DN650" s="5" t="s">
        <v>238</v>
      </c>
      <c r="DO650" s="5" t="s">
        <v>238</v>
      </c>
      <c r="DP650" s="5" t="s">
        <v>238</v>
      </c>
      <c r="DQ650" s="5" t="s">
        <v>238</v>
      </c>
      <c r="DT650" s="5" t="s">
        <v>535</v>
      </c>
      <c r="DU650" s="5" t="s">
        <v>506</v>
      </c>
      <c r="HM650" s="5" t="s">
        <v>264</v>
      </c>
    </row>
    <row r="651" spans="1:221" x14ac:dyDescent="0.4">
      <c r="A651" s="5">
        <v>1513</v>
      </c>
      <c r="B651" s="5">
        <v>1</v>
      </c>
      <c r="C651" s="5">
        <v>1</v>
      </c>
      <c r="D651" s="5" t="s">
        <v>484</v>
      </c>
      <c r="E651" s="5" t="s">
        <v>485</v>
      </c>
      <c r="F651" s="5" t="s">
        <v>248</v>
      </c>
      <c r="G651" s="5" t="s">
        <v>531</v>
      </c>
      <c r="H651" s="6" t="s">
        <v>5071</v>
      </c>
      <c r="I651" s="7">
        <f>610</f>
        <v>610</v>
      </c>
      <c r="J651" s="5" t="s">
        <v>262</v>
      </c>
      <c r="K651" s="8">
        <f>6710</f>
        <v>6710</v>
      </c>
      <c r="L651" s="6" t="s">
        <v>242</v>
      </c>
      <c r="M651" s="5" t="s">
        <v>267</v>
      </c>
      <c r="N651" s="5" t="s">
        <v>237</v>
      </c>
      <c r="O651" s="5" t="s">
        <v>238</v>
      </c>
      <c r="P651" s="5" t="s">
        <v>238</v>
      </c>
      <c r="Q651" s="5" t="s">
        <v>239</v>
      </c>
      <c r="R651" s="5" t="s">
        <v>240</v>
      </c>
      <c r="S651" s="5" t="s">
        <v>238</v>
      </c>
      <c r="V651" s="5" t="s">
        <v>238</v>
      </c>
      <c r="X651" s="6" t="s">
        <v>238</v>
      </c>
      <c r="AA651" s="6" t="s">
        <v>243</v>
      </c>
      <c r="AB651" s="5" t="s">
        <v>238</v>
      </c>
      <c r="AC651" s="5" t="s">
        <v>244</v>
      </c>
      <c r="AD651" s="5" t="s">
        <v>245</v>
      </c>
      <c r="AT651" s="5" t="s">
        <v>246</v>
      </c>
      <c r="AU651" s="5" t="s">
        <v>238</v>
      </c>
      <c r="AV651" s="5" t="s">
        <v>247</v>
      </c>
      <c r="AW651" s="5" t="s">
        <v>238</v>
      </c>
      <c r="AX651" s="5" t="s">
        <v>249</v>
      </c>
      <c r="AY651" s="5" t="s">
        <v>238</v>
      </c>
      <c r="BA651" s="5" t="s">
        <v>238</v>
      </c>
      <c r="BC651" s="5" t="s">
        <v>250</v>
      </c>
      <c r="BD651" s="6" t="s">
        <v>243</v>
      </c>
      <c r="BE651" s="5" t="s">
        <v>251</v>
      </c>
      <c r="BF651" s="5" t="s">
        <v>252</v>
      </c>
      <c r="BG651" s="5" t="s">
        <v>238</v>
      </c>
      <c r="BH651" s="7">
        <f>0</f>
        <v>0</v>
      </c>
      <c r="BI651" s="8">
        <f>0</f>
        <v>0</v>
      </c>
      <c r="BJ651" s="5" t="s">
        <v>253</v>
      </c>
      <c r="BK651" s="5" t="s">
        <v>254</v>
      </c>
      <c r="BY651" s="5" t="s">
        <v>238</v>
      </c>
      <c r="BZ651" s="5" t="s">
        <v>238</v>
      </c>
      <c r="CD651" s="5" t="s">
        <v>255</v>
      </c>
      <c r="CE651" s="5" t="s">
        <v>256</v>
      </c>
      <c r="CF651" s="5" t="s">
        <v>238</v>
      </c>
      <c r="CI651" s="6" t="s">
        <v>257</v>
      </c>
      <c r="CJ651" s="5" t="s">
        <v>238</v>
      </c>
      <c r="CK651" s="5" t="s">
        <v>258</v>
      </c>
      <c r="CL651" s="5" t="s">
        <v>238</v>
      </c>
      <c r="CM651" s="5" t="s">
        <v>238</v>
      </c>
      <c r="CN651" s="5">
        <v>0</v>
      </c>
      <c r="CO651" s="5" t="s">
        <v>259</v>
      </c>
      <c r="CP651" s="5" t="s">
        <v>260</v>
      </c>
      <c r="CQ651" s="5" t="s">
        <v>260</v>
      </c>
      <c r="CR651" s="5" t="s">
        <v>261</v>
      </c>
      <c r="CU651" s="8">
        <f>6710</f>
        <v>6710</v>
      </c>
      <c r="CV651" s="8">
        <f>0</f>
        <v>0</v>
      </c>
      <c r="CX651" s="8">
        <f>0</f>
        <v>0</v>
      </c>
      <c r="CY651" s="8">
        <f>6710</f>
        <v>6710</v>
      </c>
      <c r="DA651" s="5" t="s">
        <v>533</v>
      </c>
      <c r="DB651" s="5" t="s">
        <v>238</v>
      </c>
      <c r="DD651" s="5" t="s">
        <v>356</v>
      </c>
      <c r="DE651" s="8">
        <f>0</f>
        <v>0</v>
      </c>
      <c r="DG651" s="5" t="s">
        <v>534</v>
      </c>
      <c r="DH651" s="5" t="s">
        <v>238</v>
      </c>
      <c r="DI651" s="5" t="s">
        <v>238</v>
      </c>
      <c r="DJ651" s="5" t="s">
        <v>238</v>
      </c>
      <c r="DN651" s="5" t="s">
        <v>238</v>
      </c>
      <c r="DO651" s="5" t="s">
        <v>238</v>
      </c>
      <c r="DP651" s="5" t="s">
        <v>238</v>
      </c>
      <c r="DQ651" s="5" t="s">
        <v>238</v>
      </c>
      <c r="DT651" s="5" t="s">
        <v>535</v>
      </c>
      <c r="DU651" s="5" t="s">
        <v>508</v>
      </c>
      <c r="HM651" s="5" t="s">
        <v>264</v>
      </c>
    </row>
    <row r="652" spans="1:221" x14ac:dyDescent="0.4">
      <c r="A652" s="5">
        <v>1514</v>
      </c>
      <c r="B652" s="5">
        <v>1</v>
      </c>
      <c r="C652" s="5">
        <v>1</v>
      </c>
      <c r="D652" s="5" t="s">
        <v>484</v>
      </c>
      <c r="E652" s="5" t="s">
        <v>485</v>
      </c>
      <c r="F652" s="5" t="s">
        <v>248</v>
      </c>
      <c r="G652" s="5" t="s">
        <v>531</v>
      </c>
      <c r="H652" s="6" t="s">
        <v>5552</v>
      </c>
      <c r="I652" s="7">
        <f>503</f>
        <v>503</v>
      </c>
      <c r="J652" s="5" t="s">
        <v>262</v>
      </c>
      <c r="K652" s="8">
        <f>5533</f>
        <v>5533</v>
      </c>
      <c r="L652" s="6" t="s">
        <v>242</v>
      </c>
      <c r="M652" s="5" t="s">
        <v>267</v>
      </c>
      <c r="N652" s="5" t="s">
        <v>237</v>
      </c>
      <c r="O652" s="5" t="s">
        <v>238</v>
      </c>
      <c r="P652" s="5" t="s">
        <v>238</v>
      </c>
      <c r="Q652" s="5" t="s">
        <v>239</v>
      </c>
      <c r="R652" s="5" t="s">
        <v>240</v>
      </c>
      <c r="S652" s="5" t="s">
        <v>238</v>
      </c>
      <c r="V652" s="5" t="s">
        <v>238</v>
      </c>
      <c r="X652" s="6" t="s">
        <v>238</v>
      </c>
      <c r="AA652" s="6" t="s">
        <v>243</v>
      </c>
      <c r="AB652" s="5" t="s">
        <v>238</v>
      </c>
      <c r="AC652" s="5" t="s">
        <v>244</v>
      </c>
      <c r="AD652" s="5" t="s">
        <v>245</v>
      </c>
      <c r="AT652" s="5" t="s">
        <v>246</v>
      </c>
      <c r="AU652" s="5" t="s">
        <v>238</v>
      </c>
      <c r="AV652" s="5" t="s">
        <v>247</v>
      </c>
      <c r="AW652" s="5" t="s">
        <v>238</v>
      </c>
      <c r="AX652" s="5" t="s">
        <v>249</v>
      </c>
      <c r="AY652" s="5" t="s">
        <v>238</v>
      </c>
      <c r="BA652" s="5" t="s">
        <v>238</v>
      </c>
      <c r="BC652" s="5" t="s">
        <v>250</v>
      </c>
      <c r="BD652" s="6" t="s">
        <v>243</v>
      </c>
      <c r="BE652" s="5" t="s">
        <v>251</v>
      </c>
      <c r="BF652" s="5" t="s">
        <v>252</v>
      </c>
      <c r="BG652" s="5" t="s">
        <v>238</v>
      </c>
      <c r="BH652" s="7">
        <f>0</f>
        <v>0</v>
      </c>
      <c r="BI652" s="8">
        <f>0</f>
        <v>0</v>
      </c>
      <c r="BJ652" s="5" t="s">
        <v>253</v>
      </c>
      <c r="BK652" s="5" t="s">
        <v>254</v>
      </c>
      <c r="BY652" s="5" t="s">
        <v>238</v>
      </c>
      <c r="BZ652" s="5" t="s">
        <v>238</v>
      </c>
      <c r="CD652" s="5" t="s">
        <v>255</v>
      </c>
      <c r="CE652" s="5" t="s">
        <v>256</v>
      </c>
      <c r="CF652" s="5" t="s">
        <v>238</v>
      </c>
      <c r="CI652" s="6" t="s">
        <v>257</v>
      </c>
      <c r="CJ652" s="5" t="s">
        <v>238</v>
      </c>
      <c r="CK652" s="5" t="s">
        <v>258</v>
      </c>
      <c r="CL652" s="5" t="s">
        <v>238</v>
      </c>
      <c r="CM652" s="5" t="s">
        <v>238</v>
      </c>
      <c r="CN652" s="5">
        <v>0</v>
      </c>
      <c r="CO652" s="5" t="s">
        <v>259</v>
      </c>
      <c r="CP652" s="5" t="s">
        <v>260</v>
      </c>
      <c r="CQ652" s="5" t="s">
        <v>260</v>
      </c>
      <c r="CR652" s="5" t="s">
        <v>261</v>
      </c>
      <c r="CU652" s="8">
        <f>5533</f>
        <v>5533</v>
      </c>
      <c r="CV652" s="8">
        <f>0</f>
        <v>0</v>
      </c>
      <c r="CX652" s="8">
        <f>0</f>
        <v>0</v>
      </c>
      <c r="CY652" s="8">
        <f>5533</f>
        <v>5533</v>
      </c>
      <c r="DA652" s="5" t="s">
        <v>533</v>
      </c>
      <c r="DB652" s="5" t="s">
        <v>238</v>
      </c>
      <c r="DD652" s="5" t="s">
        <v>356</v>
      </c>
      <c r="DE652" s="8">
        <f>0</f>
        <v>0</v>
      </c>
      <c r="DG652" s="5" t="s">
        <v>534</v>
      </c>
      <c r="DH652" s="5" t="s">
        <v>238</v>
      </c>
      <c r="DI652" s="5" t="s">
        <v>238</v>
      </c>
      <c r="DJ652" s="5" t="s">
        <v>238</v>
      </c>
      <c r="DN652" s="5" t="s">
        <v>238</v>
      </c>
      <c r="DO652" s="5" t="s">
        <v>238</v>
      </c>
      <c r="DP652" s="5" t="s">
        <v>238</v>
      </c>
      <c r="DQ652" s="5" t="s">
        <v>238</v>
      </c>
      <c r="DT652" s="5" t="s">
        <v>535</v>
      </c>
      <c r="DU652" s="5" t="s">
        <v>512</v>
      </c>
      <c r="HM652" s="5" t="s">
        <v>264</v>
      </c>
    </row>
    <row r="653" spans="1:221" x14ac:dyDescent="0.4">
      <c r="A653" s="5">
        <v>1515</v>
      </c>
      <c r="B653" s="5">
        <v>1</v>
      </c>
      <c r="C653" s="5">
        <v>1</v>
      </c>
      <c r="D653" s="5" t="s">
        <v>484</v>
      </c>
      <c r="E653" s="5" t="s">
        <v>485</v>
      </c>
      <c r="F653" s="5" t="s">
        <v>248</v>
      </c>
      <c r="G653" s="5" t="s">
        <v>531</v>
      </c>
      <c r="H653" s="6" t="s">
        <v>4797</v>
      </c>
      <c r="I653" s="7">
        <f>570</f>
        <v>570</v>
      </c>
      <c r="J653" s="5" t="s">
        <v>262</v>
      </c>
      <c r="K653" s="8">
        <f>6270</f>
        <v>6270</v>
      </c>
      <c r="L653" s="6" t="s">
        <v>242</v>
      </c>
      <c r="M653" s="5" t="s">
        <v>267</v>
      </c>
      <c r="N653" s="5" t="s">
        <v>237</v>
      </c>
      <c r="O653" s="5" t="s">
        <v>238</v>
      </c>
      <c r="P653" s="5" t="s">
        <v>238</v>
      </c>
      <c r="Q653" s="5" t="s">
        <v>239</v>
      </c>
      <c r="R653" s="5" t="s">
        <v>240</v>
      </c>
      <c r="S653" s="5" t="s">
        <v>238</v>
      </c>
      <c r="V653" s="5" t="s">
        <v>238</v>
      </c>
      <c r="X653" s="6" t="s">
        <v>238</v>
      </c>
      <c r="AA653" s="6" t="s">
        <v>243</v>
      </c>
      <c r="AB653" s="5" t="s">
        <v>238</v>
      </c>
      <c r="AC653" s="5" t="s">
        <v>244</v>
      </c>
      <c r="AD653" s="5" t="s">
        <v>245</v>
      </c>
      <c r="AT653" s="5" t="s">
        <v>246</v>
      </c>
      <c r="AU653" s="5" t="s">
        <v>238</v>
      </c>
      <c r="AV653" s="5" t="s">
        <v>247</v>
      </c>
      <c r="AW653" s="5" t="s">
        <v>238</v>
      </c>
      <c r="AX653" s="5" t="s">
        <v>249</v>
      </c>
      <c r="AY653" s="5" t="s">
        <v>238</v>
      </c>
      <c r="BA653" s="5" t="s">
        <v>238</v>
      </c>
      <c r="BC653" s="5" t="s">
        <v>250</v>
      </c>
      <c r="BD653" s="6" t="s">
        <v>243</v>
      </c>
      <c r="BE653" s="5" t="s">
        <v>251</v>
      </c>
      <c r="BF653" s="5" t="s">
        <v>252</v>
      </c>
      <c r="BG653" s="5" t="s">
        <v>238</v>
      </c>
      <c r="BH653" s="7">
        <f>0</f>
        <v>0</v>
      </c>
      <c r="BI653" s="8">
        <f>0</f>
        <v>0</v>
      </c>
      <c r="BJ653" s="5" t="s">
        <v>253</v>
      </c>
      <c r="BK653" s="5" t="s">
        <v>254</v>
      </c>
      <c r="BY653" s="5" t="s">
        <v>238</v>
      </c>
      <c r="BZ653" s="5" t="s">
        <v>238</v>
      </c>
      <c r="CD653" s="5" t="s">
        <v>255</v>
      </c>
      <c r="CE653" s="5" t="s">
        <v>256</v>
      </c>
      <c r="CF653" s="5" t="s">
        <v>238</v>
      </c>
      <c r="CI653" s="6" t="s">
        <v>257</v>
      </c>
      <c r="CJ653" s="5" t="s">
        <v>238</v>
      </c>
      <c r="CK653" s="5" t="s">
        <v>258</v>
      </c>
      <c r="CL653" s="5" t="s">
        <v>238</v>
      </c>
      <c r="CM653" s="5" t="s">
        <v>238</v>
      </c>
      <c r="CN653" s="5">
        <v>0</v>
      </c>
      <c r="CO653" s="5" t="s">
        <v>259</v>
      </c>
      <c r="CP653" s="5" t="s">
        <v>260</v>
      </c>
      <c r="CQ653" s="5" t="s">
        <v>260</v>
      </c>
      <c r="CR653" s="5" t="s">
        <v>261</v>
      </c>
      <c r="CU653" s="8">
        <f>6270</f>
        <v>6270</v>
      </c>
      <c r="CV653" s="8">
        <f>0</f>
        <v>0</v>
      </c>
      <c r="CX653" s="8">
        <f>0</f>
        <v>0</v>
      </c>
      <c r="CY653" s="8">
        <f>6270</f>
        <v>6270</v>
      </c>
      <c r="DA653" s="5" t="s">
        <v>533</v>
      </c>
      <c r="DB653" s="5" t="s">
        <v>238</v>
      </c>
      <c r="DD653" s="5" t="s">
        <v>356</v>
      </c>
      <c r="DE653" s="8">
        <f>0</f>
        <v>0</v>
      </c>
      <c r="DG653" s="5" t="s">
        <v>534</v>
      </c>
      <c r="DH653" s="5" t="s">
        <v>238</v>
      </c>
      <c r="DI653" s="5" t="s">
        <v>238</v>
      </c>
      <c r="DJ653" s="5" t="s">
        <v>238</v>
      </c>
      <c r="DN653" s="5" t="s">
        <v>238</v>
      </c>
      <c r="DO653" s="5" t="s">
        <v>238</v>
      </c>
      <c r="DP653" s="5" t="s">
        <v>238</v>
      </c>
      <c r="DQ653" s="5" t="s">
        <v>238</v>
      </c>
      <c r="DT653" s="5" t="s">
        <v>535</v>
      </c>
      <c r="DU653" s="5" t="s">
        <v>516</v>
      </c>
      <c r="HM653" s="5" t="s">
        <v>264</v>
      </c>
    </row>
    <row r="654" spans="1:221" x14ac:dyDescent="0.4">
      <c r="A654" s="5">
        <v>1516</v>
      </c>
      <c r="B654" s="5">
        <v>1</v>
      </c>
      <c r="C654" s="5">
        <v>1</v>
      </c>
      <c r="D654" s="5" t="s">
        <v>484</v>
      </c>
      <c r="E654" s="5" t="s">
        <v>485</v>
      </c>
      <c r="F654" s="5" t="s">
        <v>248</v>
      </c>
      <c r="G654" s="5" t="s">
        <v>531</v>
      </c>
      <c r="H654" s="6" t="s">
        <v>4769</v>
      </c>
      <c r="I654" s="7">
        <f>570</f>
        <v>570</v>
      </c>
      <c r="J654" s="5" t="s">
        <v>262</v>
      </c>
      <c r="K654" s="8">
        <f>6270</f>
        <v>6270</v>
      </c>
      <c r="L654" s="6" t="s">
        <v>242</v>
      </c>
      <c r="M654" s="5" t="s">
        <v>267</v>
      </c>
      <c r="N654" s="5" t="s">
        <v>237</v>
      </c>
      <c r="O654" s="5" t="s">
        <v>238</v>
      </c>
      <c r="P654" s="5" t="s">
        <v>238</v>
      </c>
      <c r="Q654" s="5" t="s">
        <v>239</v>
      </c>
      <c r="R654" s="5" t="s">
        <v>240</v>
      </c>
      <c r="S654" s="5" t="s">
        <v>238</v>
      </c>
      <c r="V654" s="5" t="s">
        <v>238</v>
      </c>
      <c r="X654" s="6" t="s">
        <v>238</v>
      </c>
      <c r="AA654" s="6" t="s">
        <v>243</v>
      </c>
      <c r="AB654" s="5" t="s">
        <v>238</v>
      </c>
      <c r="AC654" s="5" t="s">
        <v>244</v>
      </c>
      <c r="AD654" s="5" t="s">
        <v>245</v>
      </c>
      <c r="AT654" s="5" t="s">
        <v>246</v>
      </c>
      <c r="AU654" s="5" t="s">
        <v>238</v>
      </c>
      <c r="AV654" s="5" t="s">
        <v>247</v>
      </c>
      <c r="AW654" s="5" t="s">
        <v>238</v>
      </c>
      <c r="AX654" s="5" t="s">
        <v>249</v>
      </c>
      <c r="AY654" s="5" t="s">
        <v>238</v>
      </c>
      <c r="BA654" s="5" t="s">
        <v>238</v>
      </c>
      <c r="BC654" s="5" t="s">
        <v>250</v>
      </c>
      <c r="BD654" s="6" t="s">
        <v>243</v>
      </c>
      <c r="BE654" s="5" t="s">
        <v>251</v>
      </c>
      <c r="BF654" s="5" t="s">
        <v>252</v>
      </c>
      <c r="BG654" s="5" t="s">
        <v>238</v>
      </c>
      <c r="BH654" s="7">
        <f>0</f>
        <v>0</v>
      </c>
      <c r="BI654" s="8">
        <f>0</f>
        <v>0</v>
      </c>
      <c r="BJ654" s="5" t="s">
        <v>253</v>
      </c>
      <c r="BK654" s="5" t="s">
        <v>254</v>
      </c>
      <c r="BY654" s="5" t="s">
        <v>238</v>
      </c>
      <c r="BZ654" s="5" t="s">
        <v>238</v>
      </c>
      <c r="CD654" s="5" t="s">
        <v>255</v>
      </c>
      <c r="CE654" s="5" t="s">
        <v>256</v>
      </c>
      <c r="CF654" s="5" t="s">
        <v>238</v>
      </c>
      <c r="CI654" s="6" t="s">
        <v>257</v>
      </c>
      <c r="CJ654" s="5" t="s">
        <v>238</v>
      </c>
      <c r="CK654" s="5" t="s">
        <v>258</v>
      </c>
      <c r="CL654" s="5" t="s">
        <v>238</v>
      </c>
      <c r="CM654" s="5" t="s">
        <v>238</v>
      </c>
      <c r="CN654" s="5">
        <v>0</v>
      </c>
      <c r="CO654" s="5" t="s">
        <v>259</v>
      </c>
      <c r="CP654" s="5" t="s">
        <v>260</v>
      </c>
      <c r="CQ654" s="5" t="s">
        <v>260</v>
      </c>
      <c r="CR654" s="5" t="s">
        <v>261</v>
      </c>
      <c r="CU654" s="8">
        <f>6270</f>
        <v>6270</v>
      </c>
      <c r="CV654" s="8">
        <f>0</f>
        <v>0</v>
      </c>
      <c r="CX654" s="8">
        <f>0</f>
        <v>0</v>
      </c>
      <c r="CY654" s="8">
        <f>6270</f>
        <v>6270</v>
      </c>
      <c r="DA654" s="5" t="s">
        <v>533</v>
      </c>
      <c r="DB654" s="5" t="s">
        <v>238</v>
      </c>
      <c r="DD654" s="5" t="s">
        <v>356</v>
      </c>
      <c r="DE654" s="8">
        <f>0</f>
        <v>0</v>
      </c>
      <c r="DG654" s="5" t="s">
        <v>534</v>
      </c>
      <c r="DH654" s="5" t="s">
        <v>238</v>
      </c>
      <c r="DI654" s="5" t="s">
        <v>238</v>
      </c>
      <c r="DJ654" s="5" t="s">
        <v>238</v>
      </c>
      <c r="DN654" s="5" t="s">
        <v>238</v>
      </c>
      <c r="DO654" s="5" t="s">
        <v>238</v>
      </c>
      <c r="DP654" s="5" t="s">
        <v>238</v>
      </c>
      <c r="DQ654" s="5" t="s">
        <v>238</v>
      </c>
      <c r="DT654" s="5" t="s">
        <v>535</v>
      </c>
      <c r="DU654" s="5" t="s">
        <v>518</v>
      </c>
      <c r="HM654" s="5" t="s">
        <v>264</v>
      </c>
    </row>
    <row r="655" spans="1:221" x14ac:dyDescent="0.4">
      <c r="A655" s="5">
        <v>1517</v>
      </c>
      <c r="B655" s="5">
        <v>1</v>
      </c>
      <c r="C655" s="5">
        <v>1</v>
      </c>
      <c r="D655" s="5" t="s">
        <v>484</v>
      </c>
      <c r="E655" s="5" t="s">
        <v>485</v>
      </c>
      <c r="F655" s="5" t="s">
        <v>248</v>
      </c>
      <c r="G655" s="5" t="s">
        <v>531</v>
      </c>
      <c r="H655" s="6" t="s">
        <v>4825</v>
      </c>
      <c r="I655" s="7">
        <f>912</f>
        <v>912</v>
      </c>
      <c r="J655" s="5" t="s">
        <v>262</v>
      </c>
      <c r="K655" s="8">
        <f>10032</f>
        <v>10032</v>
      </c>
      <c r="L655" s="6" t="s">
        <v>242</v>
      </c>
      <c r="M655" s="5" t="s">
        <v>267</v>
      </c>
      <c r="N655" s="5" t="s">
        <v>237</v>
      </c>
      <c r="O655" s="5" t="s">
        <v>238</v>
      </c>
      <c r="P655" s="5" t="s">
        <v>238</v>
      </c>
      <c r="Q655" s="5" t="s">
        <v>239</v>
      </c>
      <c r="R655" s="5" t="s">
        <v>240</v>
      </c>
      <c r="S655" s="5" t="s">
        <v>238</v>
      </c>
      <c r="V655" s="5" t="s">
        <v>238</v>
      </c>
      <c r="X655" s="6" t="s">
        <v>238</v>
      </c>
      <c r="AA655" s="6" t="s">
        <v>243</v>
      </c>
      <c r="AB655" s="5" t="s">
        <v>238</v>
      </c>
      <c r="AC655" s="5" t="s">
        <v>244</v>
      </c>
      <c r="AD655" s="5" t="s">
        <v>245</v>
      </c>
      <c r="AT655" s="5" t="s">
        <v>246</v>
      </c>
      <c r="AU655" s="5" t="s">
        <v>238</v>
      </c>
      <c r="AV655" s="5" t="s">
        <v>247</v>
      </c>
      <c r="AW655" s="5" t="s">
        <v>238</v>
      </c>
      <c r="AX655" s="5" t="s">
        <v>249</v>
      </c>
      <c r="AY655" s="5" t="s">
        <v>238</v>
      </c>
      <c r="BA655" s="5" t="s">
        <v>238</v>
      </c>
      <c r="BC655" s="5" t="s">
        <v>250</v>
      </c>
      <c r="BD655" s="6" t="s">
        <v>243</v>
      </c>
      <c r="BE655" s="5" t="s">
        <v>251</v>
      </c>
      <c r="BF655" s="5" t="s">
        <v>252</v>
      </c>
      <c r="BG655" s="5" t="s">
        <v>238</v>
      </c>
      <c r="BH655" s="7">
        <f>0</f>
        <v>0</v>
      </c>
      <c r="BI655" s="8">
        <f>0</f>
        <v>0</v>
      </c>
      <c r="BJ655" s="5" t="s">
        <v>253</v>
      </c>
      <c r="BK655" s="5" t="s">
        <v>254</v>
      </c>
      <c r="BY655" s="5" t="s">
        <v>238</v>
      </c>
      <c r="BZ655" s="5" t="s">
        <v>238</v>
      </c>
      <c r="CD655" s="5" t="s">
        <v>255</v>
      </c>
      <c r="CE655" s="5" t="s">
        <v>256</v>
      </c>
      <c r="CF655" s="5" t="s">
        <v>238</v>
      </c>
      <c r="CI655" s="6" t="s">
        <v>257</v>
      </c>
      <c r="CJ655" s="5" t="s">
        <v>238</v>
      </c>
      <c r="CK655" s="5" t="s">
        <v>258</v>
      </c>
      <c r="CL655" s="5" t="s">
        <v>238</v>
      </c>
      <c r="CM655" s="5" t="s">
        <v>238</v>
      </c>
      <c r="CN655" s="5">
        <v>0</v>
      </c>
      <c r="CO655" s="5" t="s">
        <v>259</v>
      </c>
      <c r="CP655" s="5" t="s">
        <v>260</v>
      </c>
      <c r="CQ655" s="5" t="s">
        <v>260</v>
      </c>
      <c r="CR655" s="5" t="s">
        <v>261</v>
      </c>
      <c r="CU655" s="8">
        <f>10032</f>
        <v>10032</v>
      </c>
      <c r="CV655" s="8">
        <f>0</f>
        <v>0</v>
      </c>
      <c r="CX655" s="8">
        <f>0</f>
        <v>0</v>
      </c>
      <c r="CY655" s="8">
        <f>10032</f>
        <v>10032</v>
      </c>
      <c r="DA655" s="5" t="s">
        <v>533</v>
      </c>
      <c r="DB655" s="5" t="s">
        <v>238</v>
      </c>
      <c r="DD655" s="5" t="s">
        <v>356</v>
      </c>
      <c r="DE655" s="8">
        <f>0</f>
        <v>0</v>
      </c>
      <c r="DG655" s="5" t="s">
        <v>534</v>
      </c>
      <c r="DH655" s="5" t="s">
        <v>238</v>
      </c>
      <c r="DI655" s="5" t="s">
        <v>238</v>
      </c>
      <c r="DJ655" s="5" t="s">
        <v>238</v>
      </c>
      <c r="DN655" s="5" t="s">
        <v>238</v>
      </c>
      <c r="DO655" s="5" t="s">
        <v>238</v>
      </c>
      <c r="DP655" s="5" t="s">
        <v>238</v>
      </c>
      <c r="DQ655" s="5" t="s">
        <v>238</v>
      </c>
      <c r="DT655" s="5" t="s">
        <v>535</v>
      </c>
      <c r="DU655" s="5" t="s">
        <v>520</v>
      </c>
      <c r="HM655" s="5" t="s">
        <v>264</v>
      </c>
    </row>
    <row r="656" spans="1:221" x14ac:dyDescent="0.4">
      <c r="A656" s="5">
        <v>1518</v>
      </c>
      <c r="B656" s="5">
        <v>1</v>
      </c>
      <c r="C656" s="5">
        <v>1</v>
      </c>
      <c r="D656" s="5" t="s">
        <v>484</v>
      </c>
      <c r="E656" s="5" t="s">
        <v>485</v>
      </c>
      <c r="F656" s="5" t="s">
        <v>248</v>
      </c>
      <c r="G656" s="5" t="s">
        <v>531</v>
      </c>
      <c r="H656" s="6" t="s">
        <v>6480</v>
      </c>
      <c r="I656" s="7">
        <f>6860</f>
        <v>6860</v>
      </c>
      <c r="J656" s="5" t="s">
        <v>262</v>
      </c>
      <c r="K656" s="8">
        <f>75460</f>
        <v>75460</v>
      </c>
      <c r="L656" s="6" t="s">
        <v>242</v>
      </c>
      <c r="M656" s="5" t="s">
        <v>267</v>
      </c>
      <c r="N656" s="5" t="s">
        <v>237</v>
      </c>
      <c r="O656" s="5" t="s">
        <v>238</v>
      </c>
      <c r="P656" s="5" t="s">
        <v>238</v>
      </c>
      <c r="Q656" s="5" t="s">
        <v>239</v>
      </c>
      <c r="R656" s="5" t="s">
        <v>240</v>
      </c>
      <c r="S656" s="5" t="s">
        <v>238</v>
      </c>
      <c r="V656" s="5" t="s">
        <v>238</v>
      </c>
      <c r="X656" s="6" t="s">
        <v>238</v>
      </c>
      <c r="AA656" s="6" t="s">
        <v>243</v>
      </c>
      <c r="AB656" s="5" t="s">
        <v>238</v>
      </c>
      <c r="AC656" s="5" t="s">
        <v>244</v>
      </c>
      <c r="AD656" s="5" t="s">
        <v>245</v>
      </c>
      <c r="AT656" s="5" t="s">
        <v>246</v>
      </c>
      <c r="AU656" s="5" t="s">
        <v>238</v>
      </c>
      <c r="AV656" s="5" t="s">
        <v>247</v>
      </c>
      <c r="AW656" s="5" t="s">
        <v>238</v>
      </c>
      <c r="AX656" s="5" t="s">
        <v>249</v>
      </c>
      <c r="AY656" s="5" t="s">
        <v>238</v>
      </c>
      <c r="BA656" s="5" t="s">
        <v>238</v>
      </c>
      <c r="BC656" s="5" t="s">
        <v>250</v>
      </c>
      <c r="BD656" s="6" t="s">
        <v>243</v>
      </c>
      <c r="BE656" s="5" t="s">
        <v>251</v>
      </c>
      <c r="BF656" s="5" t="s">
        <v>252</v>
      </c>
      <c r="BG656" s="5" t="s">
        <v>238</v>
      </c>
      <c r="BH656" s="7">
        <f>0</f>
        <v>0</v>
      </c>
      <c r="BI656" s="8">
        <f>0</f>
        <v>0</v>
      </c>
      <c r="BJ656" s="5" t="s">
        <v>253</v>
      </c>
      <c r="BK656" s="5" t="s">
        <v>254</v>
      </c>
      <c r="BY656" s="5" t="s">
        <v>238</v>
      </c>
      <c r="BZ656" s="5" t="s">
        <v>238</v>
      </c>
      <c r="CD656" s="5" t="s">
        <v>255</v>
      </c>
      <c r="CE656" s="5" t="s">
        <v>256</v>
      </c>
      <c r="CF656" s="5" t="s">
        <v>238</v>
      </c>
      <c r="CI656" s="6" t="s">
        <v>257</v>
      </c>
      <c r="CJ656" s="5" t="s">
        <v>238</v>
      </c>
      <c r="CK656" s="5" t="s">
        <v>258</v>
      </c>
      <c r="CL656" s="5" t="s">
        <v>238</v>
      </c>
      <c r="CM656" s="5" t="s">
        <v>238</v>
      </c>
      <c r="CN656" s="5">
        <v>0</v>
      </c>
      <c r="CO656" s="5" t="s">
        <v>259</v>
      </c>
      <c r="CP656" s="5" t="s">
        <v>260</v>
      </c>
      <c r="CQ656" s="5" t="s">
        <v>260</v>
      </c>
      <c r="CR656" s="5" t="s">
        <v>261</v>
      </c>
      <c r="CU656" s="8">
        <f>75460</f>
        <v>75460</v>
      </c>
      <c r="CV656" s="8">
        <f>0</f>
        <v>0</v>
      </c>
      <c r="CX656" s="8">
        <f>0</f>
        <v>0</v>
      </c>
      <c r="CY656" s="8">
        <f>75460</f>
        <v>75460</v>
      </c>
      <c r="DA656" s="5" t="s">
        <v>533</v>
      </c>
      <c r="DB656" s="5" t="s">
        <v>238</v>
      </c>
      <c r="DD656" s="5" t="s">
        <v>356</v>
      </c>
      <c r="DE656" s="8">
        <f>0</f>
        <v>0</v>
      </c>
      <c r="DG656" s="5" t="s">
        <v>534</v>
      </c>
      <c r="DH656" s="5" t="s">
        <v>238</v>
      </c>
      <c r="DI656" s="5" t="s">
        <v>238</v>
      </c>
      <c r="DJ656" s="5" t="s">
        <v>238</v>
      </c>
      <c r="DN656" s="5" t="s">
        <v>238</v>
      </c>
      <c r="DO656" s="5" t="s">
        <v>238</v>
      </c>
      <c r="DP656" s="5" t="s">
        <v>238</v>
      </c>
      <c r="DQ656" s="5" t="s">
        <v>238</v>
      </c>
      <c r="DT656" s="5" t="s">
        <v>535</v>
      </c>
      <c r="DU656" s="5" t="s">
        <v>522</v>
      </c>
      <c r="HM656" s="5" t="s">
        <v>264</v>
      </c>
    </row>
    <row r="657" spans="1:221" x14ac:dyDescent="0.4">
      <c r="A657" s="5">
        <v>1519</v>
      </c>
      <c r="B657" s="5">
        <v>1</v>
      </c>
      <c r="C657" s="5">
        <v>1</v>
      </c>
      <c r="D657" s="5" t="s">
        <v>484</v>
      </c>
      <c r="E657" s="5" t="s">
        <v>485</v>
      </c>
      <c r="F657" s="5" t="s">
        <v>248</v>
      </c>
      <c r="G657" s="5" t="s">
        <v>531</v>
      </c>
      <c r="H657" s="6" t="s">
        <v>5831</v>
      </c>
      <c r="I657" s="7">
        <f>2889</f>
        <v>2889</v>
      </c>
      <c r="J657" s="5" t="s">
        <v>262</v>
      </c>
      <c r="K657" s="8">
        <f>31779</f>
        <v>31779</v>
      </c>
      <c r="L657" s="6" t="s">
        <v>242</v>
      </c>
      <c r="M657" s="5" t="s">
        <v>267</v>
      </c>
      <c r="N657" s="5" t="s">
        <v>237</v>
      </c>
      <c r="O657" s="5" t="s">
        <v>238</v>
      </c>
      <c r="P657" s="5" t="s">
        <v>238</v>
      </c>
      <c r="Q657" s="5" t="s">
        <v>239</v>
      </c>
      <c r="R657" s="5" t="s">
        <v>240</v>
      </c>
      <c r="S657" s="5" t="s">
        <v>238</v>
      </c>
      <c r="V657" s="5" t="s">
        <v>238</v>
      </c>
      <c r="X657" s="6" t="s">
        <v>238</v>
      </c>
      <c r="AA657" s="6" t="s">
        <v>243</v>
      </c>
      <c r="AB657" s="5" t="s">
        <v>238</v>
      </c>
      <c r="AC657" s="5" t="s">
        <v>244</v>
      </c>
      <c r="AD657" s="5" t="s">
        <v>245</v>
      </c>
      <c r="AT657" s="5" t="s">
        <v>246</v>
      </c>
      <c r="AU657" s="5" t="s">
        <v>238</v>
      </c>
      <c r="AV657" s="5" t="s">
        <v>247</v>
      </c>
      <c r="AW657" s="5" t="s">
        <v>238</v>
      </c>
      <c r="AX657" s="5" t="s">
        <v>249</v>
      </c>
      <c r="AY657" s="5" t="s">
        <v>238</v>
      </c>
      <c r="BA657" s="5" t="s">
        <v>238</v>
      </c>
      <c r="BC657" s="5" t="s">
        <v>250</v>
      </c>
      <c r="BD657" s="6" t="s">
        <v>243</v>
      </c>
      <c r="BE657" s="5" t="s">
        <v>251</v>
      </c>
      <c r="BF657" s="5" t="s">
        <v>252</v>
      </c>
      <c r="BG657" s="5" t="s">
        <v>238</v>
      </c>
      <c r="BH657" s="7">
        <f>0</f>
        <v>0</v>
      </c>
      <c r="BI657" s="8">
        <f>0</f>
        <v>0</v>
      </c>
      <c r="BJ657" s="5" t="s">
        <v>253</v>
      </c>
      <c r="BK657" s="5" t="s">
        <v>254</v>
      </c>
      <c r="BY657" s="5" t="s">
        <v>238</v>
      </c>
      <c r="BZ657" s="5" t="s">
        <v>238</v>
      </c>
      <c r="CD657" s="5" t="s">
        <v>255</v>
      </c>
      <c r="CE657" s="5" t="s">
        <v>256</v>
      </c>
      <c r="CF657" s="5" t="s">
        <v>238</v>
      </c>
      <c r="CI657" s="6" t="s">
        <v>257</v>
      </c>
      <c r="CJ657" s="5" t="s">
        <v>238</v>
      </c>
      <c r="CK657" s="5" t="s">
        <v>258</v>
      </c>
      <c r="CL657" s="5" t="s">
        <v>238</v>
      </c>
      <c r="CM657" s="5" t="s">
        <v>238</v>
      </c>
      <c r="CN657" s="5">
        <v>0</v>
      </c>
      <c r="CO657" s="5" t="s">
        <v>259</v>
      </c>
      <c r="CP657" s="5" t="s">
        <v>260</v>
      </c>
      <c r="CQ657" s="5" t="s">
        <v>260</v>
      </c>
      <c r="CR657" s="5" t="s">
        <v>261</v>
      </c>
      <c r="CU657" s="8">
        <f>31779</f>
        <v>31779</v>
      </c>
      <c r="CV657" s="8">
        <f>0</f>
        <v>0</v>
      </c>
      <c r="CX657" s="8">
        <f>0</f>
        <v>0</v>
      </c>
      <c r="CY657" s="8">
        <f>31779</f>
        <v>31779</v>
      </c>
      <c r="DA657" s="5" t="s">
        <v>533</v>
      </c>
      <c r="DB657" s="5" t="s">
        <v>238</v>
      </c>
      <c r="DD657" s="5" t="s">
        <v>356</v>
      </c>
      <c r="DE657" s="8">
        <f>0</f>
        <v>0</v>
      </c>
      <c r="DG657" s="5" t="s">
        <v>534</v>
      </c>
      <c r="DH657" s="5" t="s">
        <v>238</v>
      </c>
      <c r="DI657" s="5" t="s">
        <v>238</v>
      </c>
      <c r="DJ657" s="5" t="s">
        <v>238</v>
      </c>
      <c r="DN657" s="5" t="s">
        <v>238</v>
      </c>
      <c r="DO657" s="5" t="s">
        <v>238</v>
      </c>
      <c r="DP657" s="5" t="s">
        <v>238</v>
      </c>
      <c r="DQ657" s="5" t="s">
        <v>238</v>
      </c>
      <c r="DT657" s="5" t="s">
        <v>535</v>
      </c>
      <c r="DU657" s="5" t="s">
        <v>526</v>
      </c>
      <c r="HM657" s="5" t="s">
        <v>264</v>
      </c>
    </row>
    <row r="658" spans="1:221" x14ac:dyDescent="0.4">
      <c r="A658" s="5">
        <v>1520</v>
      </c>
      <c r="B658" s="5">
        <v>1</v>
      </c>
      <c r="C658" s="5">
        <v>1</v>
      </c>
      <c r="D658" s="5" t="s">
        <v>484</v>
      </c>
      <c r="E658" s="5" t="s">
        <v>485</v>
      </c>
      <c r="F658" s="5" t="s">
        <v>248</v>
      </c>
      <c r="G658" s="5" t="s">
        <v>531</v>
      </c>
      <c r="H658" s="6" t="s">
        <v>5829</v>
      </c>
      <c r="I658" s="7">
        <f>4944</f>
        <v>4944</v>
      </c>
      <c r="J658" s="5" t="s">
        <v>262</v>
      </c>
      <c r="K658" s="8">
        <f>54384</f>
        <v>54384</v>
      </c>
      <c r="L658" s="6" t="s">
        <v>242</v>
      </c>
      <c r="M658" s="5" t="s">
        <v>267</v>
      </c>
      <c r="N658" s="5" t="s">
        <v>237</v>
      </c>
      <c r="O658" s="5" t="s">
        <v>238</v>
      </c>
      <c r="P658" s="5" t="s">
        <v>238</v>
      </c>
      <c r="Q658" s="5" t="s">
        <v>239</v>
      </c>
      <c r="R658" s="5" t="s">
        <v>240</v>
      </c>
      <c r="S658" s="5" t="s">
        <v>238</v>
      </c>
      <c r="V658" s="5" t="s">
        <v>238</v>
      </c>
      <c r="X658" s="6" t="s">
        <v>238</v>
      </c>
      <c r="AA658" s="6" t="s">
        <v>243</v>
      </c>
      <c r="AB658" s="5" t="s">
        <v>238</v>
      </c>
      <c r="AC658" s="5" t="s">
        <v>244</v>
      </c>
      <c r="AD658" s="5" t="s">
        <v>245</v>
      </c>
      <c r="AT658" s="5" t="s">
        <v>246</v>
      </c>
      <c r="AU658" s="5" t="s">
        <v>238</v>
      </c>
      <c r="AV658" s="5" t="s">
        <v>247</v>
      </c>
      <c r="AW658" s="5" t="s">
        <v>238</v>
      </c>
      <c r="AX658" s="5" t="s">
        <v>249</v>
      </c>
      <c r="AY658" s="5" t="s">
        <v>238</v>
      </c>
      <c r="BA658" s="5" t="s">
        <v>238</v>
      </c>
      <c r="BC658" s="5" t="s">
        <v>250</v>
      </c>
      <c r="BD658" s="6" t="s">
        <v>243</v>
      </c>
      <c r="BE658" s="5" t="s">
        <v>251</v>
      </c>
      <c r="BF658" s="5" t="s">
        <v>252</v>
      </c>
      <c r="BG658" s="5" t="s">
        <v>238</v>
      </c>
      <c r="BH658" s="7">
        <f>0</f>
        <v>0</v>
      </c>
      <c r="BI658" s="8">
        <f>0</f>
        <v>0</v>
      </c>
      <c r="BJ658" s="5" t="s">
        <v>253</v>
      </c>
      <c r="BK658" s="5" t="s">
        <v>254</v>
      </c>
      <c r="BY658" s="5" t="s">
        <v>238</v>
      </c>
      <c r="BZ658" s="5" t="s">
        <v>238</v>
      </c>
      <c r="CD658" s="5" t="s">
        <v>255</v>
      </c>
      <c r="CE658" s="5" t="s">
        <v>256</v>
      </c>
      <c r="CF658" s="5" t="s">
        <v>238</v>
      </c>
      <c r="CI658" s="6" t="s">
        <v>257</v>
      </c>
      <c r="CJ658" s="5" t="s">
        <v>238</v>
      </c>
      <c r="CK658" s="5" t="s">
        <v>258</v>
      </c>
      <c r="CL658" s="5" t="s">
        <v>238</v>
      </c>
      <c r="CM658" s="5" t="s">
        <v>238</v>
      </c>
      <c r="CN658" s="5">
        <v>0</v>
      </c>
      <c r="CO658" s="5" t="s">
        <v>259</v>
      </c>
      <c r="CP658" s="5" t="s">
        <v>260</v>
      </c>
      <c r="CQ658" s="5" t="s">
        <v>260</v>
      </c>
      <c r="CR658" s="5" t="s">
        <v>261</v>
      </c>
      <c r="CU658" s="8">
        <f>54384</f>
        <v>54384</v>
      </c>
      <c r="CV658" s="8">
        <f>0</f>
        <v>0</v>
      </c>
      <c r="CX658" s="8">
        <f>0</f>
        <v>0</v>
      </c>
      <c r="CY658" s="8">
        <f>54384</f>
        <v>54384</v>
      </c>
      <c r="DA658" s="5" t="s">
        <v>533</v>
      </c>
      <c r="DB658" s="5" t="s">
        <v>238</v>
      </c>
      <c r="DD658" s="5" t="s">
        <v>356</v>
      </c>
      <c r="DE658" s="8">
        <f>0</f>
        <v>0</v>
      </c>
      <c r="DG658" s="5" t="s">
        <v>534</v>
      </c>
      <c r="DH658" s="5" t="s">
        <v>238</v>
      </c>
      <c r="DI658" s="5" t="s">
        <v>238</v>
      </c>
      <c r="DJ658" s="5" t="s">
        <v>238</v>
      </c>
      <c r="DN658" s="5" t="s">
        <v>238</v>
      </c>
      <c r="DO658" s="5" t="s">
        <v>238</v>
      </c>
      <c r="DP658" s="5" t="s">
        <v>238</v>
      </c>
      <c r="DQ658" s="5" t="s">
        <v>238</v>
      </c>
      <c r="DT658" s="5" t="s">
        <v>535</v>
      </c>
      <c r="DU658" s="5" t="s">
        <v>528</v>
      </c>
      <c r="HM658" s="5" t="s">
        <v>264</v>
      </c>
    </row>
    <row r="659" spans="1:221" x14ac:dyDescent="0.4">
      <c r="A659" s="5">
        <v>1521</v>
      </c>
      <c r="B659" s="5">
        <v>1</v>
      </c>
      <c r="C659" s="5">
        <v>1</v>
      </c>
      <c r="D659" s="5" t="s">
        <v>484</v>
      </c>
      <c r="E659" s="5" t="s">
        <v>485</v>
      </c>
      <c r="F659" s="5" t="s">
        <v>248</v>
      </c>
      <c r="G659" s="5" t="s">
        <v>531</v>
      </c>
      <c r="H659" s="6" t="s">
        <v>5826</v>
      </c>
      <c r="I659" s="7">
        <f>2341</f>
        <v>2341</v>
      </c>
      <c r="J659" s="5" t="s">
        <v>262</v>
      </c>
      <c r="K659" s="8">
        <f>25751</f>
        <v>25751</v>
      </c>
      <c r="L659" s="6" t="s">
        <v>242</v>
      </c>
      <c r="M659" s="5" t="s">
        <v>267</v>
      </c>
      <c r="N659" s="5" t="s">
        <v>237</v>
      </c>
      <c r="O659" s="5" t="s">
        <v>238</v>
      </c>
      <c r="P659" s="5" t="s">
        <v>238</v>
      </c>
      <c r="Q659" s="5" t="s">
        <v>239</v>
      </c>
      <c r="R659" s="5" t="s">
        <v>240</v>
      </c>
      <c r="S659" s="5" t="s">
        <v>238</v>
      </c>
      <c r="V659" s="5" t="s">
        <v>238</v>
      </c>
      <c r="X659" s="6" t="s">
        <v>238</v>
      </c>
      <c r="AA659" s="6" t="s">
        <v>243</v>
      </c>
      <c r="AB659" s="5" t="s">
        <v>238</v>
      </c>
      <c r="AC659" s="5" t="s">
        <v>244</v>
      </c>
      <c r="AD659" s="5" t="s">
        <v>245</v>
      </c>
      <c r="AT659" s="5" t="s">
        <v>246</v>
      </c>
      <c r="AU659" s="5" t="s">
        <v>238</v>
      </c>
      <c r="AV659" s="5" t="s">
        <v>247</v>
      </c>
      <c r="AW659" s="5" t="s">
        <v>238</v>
      </c>
      <c r="AX659" s="5" t="s">
        <v>249</v>
      </c>
      <c r="AY659" s="5" t="s">
        <v>238</v>
      </c>
      <c r="BA659" s="5" t="s">
        <v>238</v>
      </c>
      <c r="BC659" s="5" t="s">
        <v>250</v>
      </c>
      <c r="BD659" s="6" t="s">
        <v>243</v>
      </c>
      <c r="BE659" s="5" t="s">
        <v>251</v>
      </c>
      <c r="BF659" s="5" t="s">
        <v>252</v>
      </c>
      <c r="BG659" s="5" t="s">
        <v>238</v>
      </c>
      <c r="BH659" s="7">
        <f>0</f>
        <v>0</v>
      </c>
      <c r="BI659" s="8">
        <f>0</f>
        <v>0</v>
      </c>
      <c r="BJ659" s="5" t="s">
        <v>253</v>
      </c>
      <c r="BK659" s="5" t="s">
        <v>254</v>
      </c>
      <c r="BY659" s="5" t="s">
        <v>238</v>
      </c>
      <c r="BZ659" s="5" t="s">
        <v>238</v>
      </c>
      <c r="CD659" s="5" t="s">
        <v>255</v>
      </c>
      <c r="CE659" s="5" t="s">
        <v>256</v>
      </c>
      <c r="CF659" s="5" t="s">
        <v>238</v>
      </c>
      <c r="CI659" s="6" t="s">
        <v>257</v>
      </c>
      <c r="CJ659" s="5" t="s">
        <v>238</v>
      </c>
      <c r="CK659" s="5" t="s">
        <v>258</v>
      </c>
      <c r="CL659" s="5" t="s">
        <v>238</v>
      </c>
      <c r="CM659" s="5" t="s">
        <v>238</v>
      </c>
      <c r="CN659" s="5">
        <v>0</v>
      </c>
      <c r="CO659" s="5" t="s">
        <v>259</v>
      </c>
      <c r="CP659" s="5" t="s">
        <v>260</v>
      </c>
      <c r="CQ659" s="5" t="s">
        <v>260</v>
      </c>
      <c r="CR659" s="5" t="s">
        <v>261</v>
      </c>
      <c r="CU659" s="8">
        <f>25751</f>
        <v>25751</v>
      </c>
      <c r="CV659" s="8">
        <f>0</f>
        <v>0</v>
      </c>
      <c r="CX659" s="8">
        <f>0</f>
        <v>0</v>
      </c>
      <c r="CY659" s="8">
        <f>25751</f>
        <v>25751</v>
      </c>
      <c r="DA659" s="5" t="s">
        <v>533</v>
      </c>
      <c r="DB659" s="5" t="s">
        <v>238</v>
      </c>
      <c r="DD659" s="5" t="s">
        <v>356</v>
      </c>
      <c r="DE659" s="8">
        <f>0</f>
        <v>0</v>
      </c>
      <c r="DG659" s="5" t="s">
        <v>534</v>
      </c>
      <c r="DH659" s="5" t="s">
        <v>238</v>
      </c>
      <c r="DI659" s="5" t="s">
        <v>238</v>
      </c>
      <c r="DJ659" s="5" t="s">
        <v>238</v>
      </c>
      <c r="DN659" s="5" t="s">
        <v>238</v>
      </c>
      <c r="DO659" s="5" t="s">
        <v>238</v>
      </c>
      <c r="DP659" s="5" t="s">
        <v>238</v>
      </c>
      <c r="DQ659" s="5" t="s">
        <v>238</v>
      </c>
      <c r="DT659" s="5" t="s">
        <v>535</v>
      </c>
      <c r="DU659" s="5" t="s">
        <v>530</v>
      </c>
      <c r="HM659" s="5" t="s">
        <v>264</v>
      </c>
    </row>
    <row r="660" spans="1:221" x14ac:dyDescent="0.4">
      <c r="A660" s="5">
        <v>1522</v>
      </c>
      <c r="B660" s="5">
        <v>1</v>
      </c>
      <c r="C660" s="5">
        <v>1</v>
      </c>
      <c r="D660" s="5" t="s">
        <v>484</v>
      </c>
      <c r="E660" s="5" t="s">
        <v>485</v>
      </c>
      <c r="F660" s="5" t="s">
        <v>248</v>
      </c>
      <c r="G660" s="5" t="s">
        <v>531</v>
      </c>
      <c r="H660" s="6" t="s">
        <v>5820</v>
      </c>
      <c r="I660" s="7">
        <f>1752</f>
        <v>1752</v>
      </c>
      <c r="J660" s="5" t="s">
        <v>262</v>
      </c>
      <c r="K660" s="8">
        <f>19272</f>
        <v>19272</v>
      </c>
      <c r="L660" s="6" t="s">
        <v>242</v>
      </c>
      <c r="M660" s="5" t="s">
        <v>267</v>
      </c>
      <c r="N660" s="5" t="s">
        <v>237</v>
      </c>
      <c r="O660" s="5" t="s">
        <v>238</v>
      </c>
      <c r="P660" s="5" t="s">
        <v>238</v>
      </c>
      <c r="Q660" s="5" t="s">
        <v>239</v>
      </c>
      <c r="R660" s="5" t="s">
        <v>240</v>
      </c>
      <c r="S660" s="5" t="s">
        <v>238</v>
      </c>
      <c r="V660" s="5" t="s">
        <v>238</v>
      </c>
      <c r="X660" s="6" t="s">
        <v>238</v>
      </c>
      <c r="AA660" s="6" t="s">
        <v>243</v>
      </c>
      <c r="AB660" s="5" t="s">
        <v>238</v>
      </c>
      <c r="AC660" s="5" t="s">
        <v>244</v>
      </c>
      <c r="AD660" s="5" t="s">
        <v>245</v>
      </c>
      <c r="AT660" s="5" t="s">
        <v>246</v>
      </c>
      <c r="AU660" s="5" t="s">
        <v>238</v>
      </c>
      <c r="AV660" s="5" t="s">
        <v>247</v>
      </c>
      <c r="AW660" s="5" t="s">
        <v>238</v>
      </c>
      <c r="AX660" s="5" t="s">
        <v>249</v>
      </c>
      <c r="AY660" s="5" t="s">
        <v>238</v>
      </c>
      <c r="BA660" s="5" t="s">
        <v>238</v>
      </c>
      <c r="BC660" s="5" t="s">
        <v>250</v>
      </c>
      <c r="BD660" s="6" t="s">
        <v>243</v>
      </c>
      <c r="BE660" s="5" t="s">
        <v>251</v>
      </c>
      <c r="BF660" s="5" t="s">
        <v>252</v>
      </c>
      <c r="BG660" s="5" t="s">
        <v>238</v>
      </c>
      <c r="BH660" s="7">
        <f>0</f>
        <v>0</v>
      </c>
      <c r="BI660" s="8">
        <f>0</f>
        <v>0</v>
      </c>
      <c r="BJ660" s="5" t="s">
        <v>253</v>
      </c>
      <c r="BK660" s="5" t="s">
        <v>254</v>
      </c>
      <c r="BY660" s="5" t="s">
        <v>238</v>
      </c>
      <c r="BZ660" s="5" t="s">
        <v>238</v>
      </c>
      <c r="CD660" s="5" t="s">
        <v>255</v>
      </c>
      <c r="CE660" s="5" t="s">
        <v>256</v>
      </c>
      <c r="CF660" s="5" t="s">
        <v>238</v>
      </c>
      <c r="CI660" s="6" t="s">
        <v>257</v>
      </c>
      <c r="CJ660" s="5" t="s">
        <v>238</v>
      </c>
      <c r="CK660" s="5" t="s">
        <v>258</v>
      </c>
      <c r="CL660" s="5" t="s">
        <v>238</v>
      </c>
      <c r="CM660" s="5" t="s">
        <v>238</v>
      </c>
      <c r="CN660" s="5">
        <v>0</v>
      </c>
      <c r="CO660" s="5" t="s">
        <v>259</v>
      </c>
      <c r="CP660" s="5" t="s">
        <v>260</v>
      </c>
      <c r="CQ660" s="5" t="s">
        <v>260</v>
      </c>
      <c r="CR660" s="5" t="s">
        <v>261</v>
      </c>
      <c r="CU660" s="8">
        <f>19272</f>
        <v>19272</v>
      </c>
      <c r="CV660" s="8">
        <f>0</f>
        <v>0</v>
      </c>
      <c r="CX660" s="8">
        <f>0</f>
        <v>0</v>
      </c>
      <c r="CY660" s="8">
        <f>19272</f>
        <v>19272</v>
      </c>
      <c r="DA660" s="5" t="s">
        <v>533</v>
      </c>
      <c r="DB660" s="5" t="s">
        <v>238</v>
      </c>
      <c r="DD660" s="5" t="s">
        <v>356</v>
      </c>
      <c r="DE660" s="8">
        <f>0</f>
        <v>0</v>
      </c>
      <c r="DG660" s="5" t="s">
        <v>534</v>
      </c>
      <c r="DH660" s="5" t="s">
        <v>238</v>
      </c>
      <c r="DI660" s="5" t="s">
        <v>238</v>
      </c>
      <c r="DJ660" s="5" t="s">
        <v>238</v>
      </c>
      <c r="DN660" s="5" t="s">
        <v>238</v>
      </c>
      <c r="DO660" s="5" t="s">
        <v>238</v>
      </c>
      <c r="DP660" s="5" t="s">
        <v>238</v>
      </c>
      <c r="DQ660" s="5" t="s">
        <v>238</v>
      </c>
      <c r="DT660" s="5" t="s">
        <v>535</v>
      </c>
      <c r="DU660" s="5" t="s">
        <v>538</v>
      </c>
      <c r="HM660" s="5" t="s">
        <v>264</v>
      </c>
    </row>
    <row r="661" spans="1:221" x14ac:dyDescent="0.4">
      <c r="A661" s="5">
        <v>1523</v>
      </c>
      <c r="B661" s="5">
        <v>1</v>
      </c>
      <c r="C661" s="5">
        <v>1</v>
      </c>
      <c r="D661" s="5" t="s">
        <v>484</v>
      </c>
      <c r="E661" s="5" t="s">
        <v>485</v>
      </c>
      <c r="F661" s="5" t="s">
        <v>248</v>
      </c>
      <c r="G661" s="5" t="s">
        <v>531</v>
      </c>
      <c r="H661" s="6" t="s">
        <v>5815</v>
      </c>
      <c r="I661" s="7">
        <f>1157</f>
        <v>1157</v>
      </c>
      <c r="J661" s="5" t="s">
        <v>262</v>
      </c>
      <c r="K661" s="8">
        <f>12727</f>
        <v>12727</v>
      </c>
      <c r="L661" s="6" t="s">
        <v>242</v>
      </c>
      <c r="M661" s="5" t="s">
        <v>267</v>
      </c>
      <c r="N661" s="5" t="s">
        <v>237</v>
      </c>
      <c r="O661" s="5" t="s">
        <v>238</v>
      </c>
      <c r="P661" s="5" t="s">
        <v>238</v>
      </c>
      <c r="Q661" s="5" t="s">
        <v>239</v>
      </c>
      <c r="R661" s="5" t="s">
        <v>240</v>
      </c>
      <c r="S661" s="5" t="s">
        <v>238</v>
      </c>
      <c r="V661" s="5" t="s">
        <v>238</v>
      </c>
      <c r="X661" s="6" t="s">
        <v>238</v>
      </c>
      <c r="AA661" s="6" t="s">
        <v>243</v>
      </c>
      <c r="AB661" s="5" t="s">
        <v>238</v>
      </c>
      <c r="AC661" s="5" t="s">
        <v>244</v>
      </c>
      <c r="AD661" s="5" t="s">
        <v>245</v>
      </c>
      <c r="AT661" s="5" t="s">
        <v>246</v>
      </c>
      <c r="AU661" s="5" t="s">
        <v>238</v>
      </c>
      <c r="AV661" s="5" t="s">
        <v>247</v>
      </c>
      <c r="AW661" s="5" t="s">
        <v>238</v>
      </c>
      <c r="AX661" s="5" t="s">
        <v>249</v>
      </c>
      <c r="AY661" s="5" t="s">
        <v>238</v>
      </c>
      <c r="BA661" s="5" t="s">
        <v>238</v>
      </c>
      <c r="BC661" s="5" t="s">
        <v>250</v>
      </c>
      <c r="BD661" s="6" t="s">
        <v>243</v>
      </c>
      <c r="BE661" s="5" t="s">
        <v>251</v>
      </c>
      <c r="BF661" s="5" t="s">
        <v>252</v>
      </c>
      <c r="BG661" s="5" t="s">
        <v>238</v>
      </c>
      <c r="BH661" s="7">
        <f>0</f>
        <v>0</v>
      </c>
      <c r="BI661" s="8">
        <f>0</f>
        <v>0</v>
      </c>
      <c r="BJ661" s="5" t="s">
        <v>253</v>
      </c>
      <c r="BK661" s="5" t="s">
        <v>254</v>
      </c>
      <c r="BY661" s="5" t="s">
        <v>238</v>
      </c>
      <c r="BZ661" s="5" t="s">
        <v>238</v>
      </c>
      <c r="CD661" s="5" t="s">
        <v>255</v>
      </c>
      <c r="CE661" s="5" t="s">
        <v>256</v>
      </c>
      <c r="CF661" s="5" t="s">
        <v>238</v>
      </c>
      <c r="CI661" s="6" t="s">
        <v>257</v>
      </c>
      <c r="CJ661" s="5" t="s">
        <v>238</v>
      </c>
      <c r="CK661" s="5" t="s">
        <v>258</v>
      </c>
      <c r="CL661" s="5" t="s">
        <v>238</v>
      </c>
      <c r="CM661" s="5" t="s">
        <v>238</v>
      </c>
      <c r="CN661" s="5">
        <v>0</v>
      </c>
      <c r="CO661" s="5" t="s">
        <v>259</v>
      </c>
      <c r="CP661" s="5" t="s">
        <v>260</v>
      </c>
      <c r="CQ661" s="5" t="s">
        <v>260</v>
      </c>
      <c r="CR661" s="5" t="s">
        <v>261</v>
      </c>
      <c r="CU661" s="8">
        <f>12727</f>
        <v>12727</v>
      </c>
      <c r="CV661" s="8">
        <f>0</f>
        <v>0</v>
      </c>
      <c r="CX661" s="8">
        <f>0</f>
        <v>0</v>
      </c>
      <c r="CY661" s="8">
        <f>12727</f>
        <v>12727</v>
      </c>
      <c r="DA661" s="5" t="s">
        <v>533</v>
      </c>
      <c r="DB661" s="5" t="s">
        <v>238</v>
      </c>
      <c r="DD661" s="5" t="s">
        <v>356</v>
      </c>
      <c r="DE661" s="8">
        <f>0</f>
        <v>0</v>
      </c>
      <c r="DG661" s="5" t="s">
        <v>534</v>
      </c>
      <c r="DH661" s="5" t="s">
        <v>238</v>
      </c>
      <c r="DI661" s="5" t="s">
        <v>238</v>
      </c>
      <c r="DJ661" s="5" t="s">
        <v>238</v>
      </c>
      <c r="DN661" s="5" t="s">
        <v>238</v>
      </c>
      <c r="DO661" s="5" t="s">
        <v>238</v>
      </c>
      <c r="DP661" s="5" t="s">
        <v>238</v>
      </c>
      <c r="DQ661" s="5" t="s">
        <v>238</v>
      </c>
      <c r="DT661" s="5" t="s">
        <v>535</v>
      </c>
      <c r="DU661" s="5" t="s">
        <v>542</v>
      </c>
      <c r="HM661" s="5" t="s">
        <v>264</v>
      </c>
    </row>
    <row r="662" spans="1:221" x14ac:dyDescent="0.4">
      <c r="A662" s="5">
        <v>1524</v>
      </c>
      <c r="B662" s="5">
        <v>1</v>
      </c>
      <c r="C662" s="5">
        <v>1</v>
      </c>
      <c r="D662" s="5" t="s">
        <v>484</v>
      </c>
      <c r="E662" s="5" t="s">
        <v>485</v>
      </c>
      <c r="F662" s="5" t="s">
        <v>248</v>
      </c>
      <c r="G662" s="5" t="s">
        <v>531</v>
      </c>
      <c r="H662" s="6" t="s">
        <v>5813</v>
      </c>
      <c r="I662" s="7">
        <f>540</f>
        <v>540</v>
      </c>
      <c r="J662" s="5" t="s">
        <v>262</v>
      </c>
      <c r="K662" s="8">
        <f>5940</f>
        <v>5940</v>
      </c>
      <c r="L662" s="6" t="s">
        <v>242</v>
      </c>
      <c r="M662" s="5" t="s">
        <v>267</v>
      </c>
      <c r="N662" s="5" t="s">
        <v>237</v>
      </c>
      <c r="O662" s="5" t="s">
        <v>238</v>
      </c>
      <c r="P662" s="5" t="s">
        <v>238</v>
      </c>
      <c r="Q662" s="5" t="s">
        <v>239</v>
      </c>
      <c r="R662" s="5" t="s">
        <v>240</v>
      </c>
      <c r="S662" s="5" t="s">
        <v>238</v>
      </c>
      <c r="V662" s="5" t="s">
        <v>238</v>
      </c>
      <c r="X662" s="6" t="s">
        <v>238</v>
      </c>
      <c r="AA662" s="6" t="s">
        <v>243</v>
      </c>
      <c r="AB662" s="5" t="s">
        <v>238</v>
      </c>
      <c r="AC662" s="5" t="s">
        <v>244</v>
      </c>
      <c r="AD662" s="5" t="s">
        <v>245</v>
      </c>
      <c r="AT662" s="5" t="s">
        <v>246</v>
      </c>
      <c r="AU662" s="5" t="s">
        <v>238</v>
      </c>
      <c r="AV662" s="5" t="s">
        <v>247</v>
      </c>
      <c r="AW662" s="5" t="s">
        <v>238</v>
      </c>
      <c r="AX662" s="5" t="s">
        <v>249</v>
      </c>
      <c r="AY662" s="5" t="s">
        <v>238</v>
      </c>
      <c r="BA662" s="5" t="s">
        <v>238</v>
      </c>
      <c r="BC662" s="5" t="s">
        <v>250</v>
      </c>
      <c r="BD662" s="6" t="s">
        <v>243</v>
      </c>
      <c r="BE662" s="5" t="s">
        <v>251</v>
      </c>
      <c r="BF662" s="5" t="s">
        <v>252</v>
      </c>
      <c r="BG662" s="5" t="s">
        <v>238</v>
      </c>
      <c r="BH662" s="7">
        <f>0</f>
        <v>0</v>
      </c>
      <c r="BI662" s="8">
        <f>0</f>
        <v>0</v>
      </c>
      <c r="BJ662" s="5" t="s">
        <v>253</v>
      </c>
      <c r="BK662" s="5" t="s">
        <v>254</v>
      </c>
      <c r="BY662" s="5" t="s">
        <v>238</v>
      </c>
      <c r="BZ662" s="5" t="s">
        <v>238</v>
      </c>
      <c r="CD662" s="5" t="s">
        <v>255</v>
      </c>
      <c r="CE662" s="5" t="s">
        <v>256</v>
      </c>
      <c r="CF662" s="5" t="s">
        <v>238</v>
      </c>
      <c r="CI662" s="6" t="s">
        <v>257</v>
      </c>
      <c r="CJ662" s="5" t="s">
        <v>238</v>
      </c>
      <c r="CK662" s="5" t="s">
        <v>258</v>
      </c>
      <c r="CL662" s="5" t="s">
        <v>238</v>
      </c>
      <c r="CM662" s="5" t="s">
        <v>238</v>
      </c>
      <c r="CN662" s="5">
        <v>0</v>
      </c>
      <c r="CO662" s="5" t="s">
        <v>259</v>
      </c>
      <c r="CP662" s="5" t="s">
        <v>260</v>
      </c>
      <c r="CQ662" s="5" t="s">
        <v>260</v>
      </c>
      <c r="CR662" s="5" t="s">
        <v>261</v>
      </c>
      <c r="CU662" s="8">
        <f>5940</f>
        <v>5940</v>
      </c>
      <c r="CV662" s="8">
        <f>0</f>
        <v>0</v>
      </c>
      <c r="CX662" s="8">
        <f>0</f>
        <v>0</v>
      </c>
      <c r="CY662" s="8">
        <f>5940</f>
        <v>5940</v>
      </c>
      <c r="DA662" s="5" t="s">
        <v>533</v>
      </c>
      <c r="DB662" s="5" t="s">
        <v>238</v>
      </c>
      <c r="DD662" s="5" t="s">
        <v>356</v>
      </c>
      <c r="DE662" s="8">
        <f>0</f>
        <v>0</v>
      </c>
      <c r="DG662" s="5" t="s">
        <v>534</v>
      </c>
      <c r="DH662" s="5" t="s">
        <v>238</v>
      </c>
      <c r="DI662" s="5" t="s">
        <v>238</v>
      </c>
      <c r="DJ662" s="5" t="s">
        <v>238</v>
      </c>
      <c r="DN662" s="5" t="s">
        <v>238</v>
      </c>
      <c r="DO662" s="5" t="s">
        <v>238</v>
      </c>
      <c r="DP662" s="5" t="s">
        <v>238</v>
      </c>
      <c r="DQ662" s="5" t="s">
        <v>238</v>
      </c>
      <c r="DT662" s="5" t="s">
        <v>535</v>
      </c>
      <c r="DU662" s="5" t="s">
        <v>546</v>
      </c>
      <c r="HM662" s="5" t="s">
        <v>264</v>
      </c>
    </row>
    <row r="663" spans="1:221" x14ac:dyDescent="0.4">
      <c r="A663" s="5">
        <v>1525</v>
      </c>
      <c r="B663" s="5">
        <v>1</v>
      </c>
      <c r="C663" s="5">
        <v>1</v>
      </c>
      <c r="D663" s="5" t="s">
        <v>484</v>
      </c>
      <c r="E663" s="5" t="s">
        <v>485</v>
      </c>
      <c r="F663" s="5" t="s">
        <v>248</v>
      </c>
      <c r="G663" s="5" t="s">
        <v>531</v>
      </c>
      <c r="H663" s="6" t="s">
        <v>5807</v>
      </c>
      <c r="I663" s="7">
        <f>662</f>
        <v>662</v>
      </c>
      <c r="J663" s="5" t="s">
        <v>262</v>
      </c>
      <c r="K663" s="8">
        <f>7282</f>
        <v>7282</v>
      </c>
      <c r="L663" s="6" t="s">
        <v>242</v>
      </c>
      <c r="M663" s="5" t="s">
        <v>267</v>
      </c>
      <c r="N663" s="5" t="s">
        <v>237</v>
      </c>
      <c r="O663" s="5" t="s">
        <v>238</v>
      </c>
      <c r="P663" s="5" t="s">
        <v>238</v>
      </c>
      <c r="Q663" s="5" t="s">
        <v>239</v>
      </c>
      <c r="R663" s="5" t="s">
        <v>240</v>
      </c>
      <c r="S663" s="5" t="s">
        <v>238</v>
      </c>
      <c r="V663" s="5" t="s">
        <v>238</v>
      </c>
      <c r="X663" s="6" t="s">
        <v>238</v>
      </c>
      <c r="AA663" s="6" t="s">
        <v>243</v>
      </c>
      <c r="AB663" s="5" t="s">
        <v>238</v>
      </c>
      <c r="AC663" s="5" t="s">
        <v>244</v>
      </c>
      <c r="AD663" s="5" t="s">
        <v>245</v>
      </c>
      <c r="AT663" s="5" t="s">
        <v>246</v>
      </c>
      <c r="AU663" s="5" t="s">
        <v>238</v>
      </c>
      <c r="AV663" s="5" t="s">
        <v>247</v>
      </c>
      <c r="AW663" s="5" t="s">
        <v>238</v>
      </c>
      <c r="AX663" s="5" t="s">
        <v>249</v>
      </c>
      <c r="AY663" s="5" t="s">
        <v>238</v>
      </c>
      <c r="BA663" s="5" t="s">
        <v>238</v>
      </c>
      <c r="BC663" s="5" t="s">
        <v>250</v>
      </c>
      <c r="BD663" s="6" t="s">
        <v>243</v>
      </c>
      <c r="BE663" s="5" t="s">
        <v>251</v>
      </c>
      <c r="BF663" s="5" t="s">
        <v>252</v>
      </c>
      <c r="BG663" s="5" t="s">
        <v>238</v>
      </c>
      <c r="BH663" s="7">
        <f>0</f>
        <v>0</v>
      </c>
      <c r="BI663" s="8">
        <f>0</f>
        <v>0</v>
      </c>
      <c r="BJ663" s="5" t="s">
        <v>253</v>
      </c>
      <c r="BK663" s="5" t="s">
        <v>254</v>
      </c>
      <c r="BY663" s="5" t="s">
        <v>238</v>
      </c>
      <c r="BZ663" s="5" t="s">
        <v>238</v>
      </c>
      <c r="CD663" s="5" t="s">
        <v>255</v>
      </c>
      <c r="CE663" s="5" t="s">
        <v>256</v>
      </c>
      <c r="CF663" s="5" t="s">
        <v>238</v>
      </c>
      <c r="CI663" s="6" t="s">
        <v>257</v>
      </c>
      <c r="CJ663" s="5" t="s">
        <v>238</v>
      </c>
      <c r="CK663" s="5" t="s">
        <v>258</v>
      </c>
      <c r="CL663" s="5" t="s">
        <v>238</v>
      </c>
      <c r="CM663" s="5" t="s">
        <v>238</v>
      </c>
      <c r="CN663" s="5">
        <v>0</v>
      </c>
      <c r="CO663" s="5" t="s">
        <v>259</v>
      </c>
      <c r="CP663" s="5" t="s">
        <v>260</v>
      </c>
      <c r="CQ663" s="5" t="s">
        <v>260</v>
      </c>
      <c r="CR663" s="5" t="s">
        <v>261</v>
      </c>
      <c r="CU663" s="8">
        <f>7282</f>
        <v>7282</v>
      </c>
      <c r="CV663" s="8">
        <f>0</f>
        <v>0</v>
      </c>
      <c r="CX663" s="8">
        <f>0</f>
        <v>0</v>
      </c>
      <c r="CY663" s="8">
        <f>7282</f>
        <v>7282</v>
      </c>
      <c r="DA663" s="5" t="s">
        <v>533</v>
      </c>
      <c r="DB663" s="5" t="s">
        <v>238</v>
      </c>
      <c r="DD663" s="5" t="s">
        <v>356</v>
      </c>
      <c r="DE663" s="8">
        <f>0</f>
        <v>0</v>
      </c>
      <c r="DG663" s="5" t="s">
        <v>534</v>
      </c>
      <c r="DH663" s="5" t="s">
        <v>238</v>
      </c>
      <c r="DI663" s="5" t="s">
        <v>238</v>
      </c>
      <c r="DJ663" s="5" t="s">
        <v>238</v>
      </c>
      <c r="DN663" s="5" t="s">
        <v>238</v>
      </c>
      <c r="DO663" s="5" t="s">
        <v>238</v>
      </c>
      <c r="DP663" s="5" t="s">
        <v>238</v>
      </c>
      <c r="DQ663" s="5" t="s">
        <v>238</v>
      </c>
      <c r="DT663" s="5" t="s">
        <v>535</v>
      </c>
      <c r="DU663" s="5" t="s">
        <v>550</v>
      </c>
      <c r="HM663" s="5" t="s">
        <v>264</v>
      </c>
    </row>
    <row r="664" spans="1:221" x14ac:dyDescent="0.4">
      <c r="A664" s="5">
        <v>1526</v>
      </c>
      <c r="B664" s="5">
        <v>1</v>
      </c>
      <c r="C664" s="5">
        <v>1</v>
      </c>
      <c r="D664" s="5" t="s">
        <v>484</v>
      </c>
      <c r="E664" s="5" t="s">
        <v>485</v>
      </c>
      <c r="F664" s="5" t="s">
        <v>248</v>
      </c>
      <c r="G664" s="5" t="s">
        <v>531</v>
      </c>
      <c r="H664" s="6" t="s">
        <v>5799</v>
      </c>
      <c r="I664" s="7">
        <f>37551</f>
        <v>37551</v>
      </c>
      <c r="J664" s="5" t="s">
        <v>262</v>
      </c>
      <c r="K664" s="8">
        <f>413061</f>
        <v>413061</v>
      </c>
      <c r="L664" s="6" t="s">
        <v>242</v>
      </c>
      <c r="M664" s="5" t="s">
        <v>267</v>
      </c>
      <c r="N664" s="5" t="s">
        <v>237</v>
      </c>
      <c r="O664" s="5" t="s">
        <v>238</v>
      </c>
      <c r="P664" s="5" t="s">
        <v>238</v>
      </c>
      <c r="Q664" s="5" t="s">
        <v>239</v>
      </c>
      <c r="R664" s="5" t="s">
        <v>240</v>
      </c>
      <c r="S664" s="5" t="s">
        <v>238</v>
      </c>
      <c r="V664" s="5" t="s">
        <v>238</v>
      </c>
      <c r="X664" s="6" t="s">
        <v>238</v>
      </c>
      <c r="AA664" s="6" t="s">
        <v>243</v>
      </c>
      <c r="AB664" s="5" t="s">
        <v>238</v>
      </c>
      <c r="AC664" s="5" t="s">
        <v>244</v>
      </c>
      <c r="AD664" s="5" t="s">
        <v>245</v>
      </c>
      <c r="AT664" s="5" t="s">
        <v>246</v>
      </c>
      <c r="AU664" s="5" t="s">
        <v>238</v>
      </c>
      <c r="AV664" s="5" t="s">
        <v>247</v>
      </c>
      <c r="AW664" s="5" t="s">
        <v>238</v>
      </c>
      <c r="AX664" s="5" t="s">
        <v>249</v>
      </c>
      <c r="AY664" s="5" t="s">
        <v>238</v>
      </c>
      <c r="BA664" s="5" t="s">
        <v>238</v>
      </c>
      <c r="BC664" s="5" t="s">
        <v>250</v>
      </c>
      <c r="BD664" s="6" t="s">
        <v>243</v>
      </c>
      <c r="BE664" s="5" t="s">
        <v>251</v>
      </c>
      <c r="BF664" s="5" t="s">
        <v>252</v>
      </c>
      <c r="BG664" s="5" t="s">
        <v>238</v>
      </c>
      <c r="BH664" s="7">
        <f>0</f>
        <v>0</v>
      </c>
      <c r="BI664" s="8">
        <f>0</f>
        <v>0</v>
      </c>
      <c r="BJ664" s="5" t="s">
        <v>253</v>
      </c>
      <c r="BK664" s="5" t="s">
        <v>254</v>
      </c>
      <c r="BY664" s="5" t="s">
        <v>238</v>
      </c>
      <c r="BZ664" s="5" t="s">
        <v>238</v>
      </c>
      <c r="CD664" s="5" t="s">
        <v>255</v>
      </c>
      <c r="CE664" s="5" t="s">
        <v>256</v>
      </c>
      <c r="CF664" s="5" t="s">
        <v>238</v>
      </c>
      <c r="CI664" s="6" t="s">
        <v>257</v>
      </c>
      <c r="CJ664" s="5" t="s">
        <v>238</v>
      </c>
      <c r="CK664" s="5" t="s">
        <v>258</v>
      </c>
      <c r="CL664" s="5" t="s">
        <v>238</v>
      </c>
      <c r="CM664" s="5" t="s">
        <v>238</v>
      </c>
      <c r="CN664" s="5">
        <v>0</v>
      </c>
      <c r="CO664" s="5" t="s">
        <v>259</v>
      </c>
      <c r="CP664" s="5" t="s">
        <v>260</v>
      </c>
      <c r="CQ664" s="5" t="s">
        <v>260</v>
      </c>
      <c r="CR664" s="5" t="s">
        <v>261</v>
      </c>
      <c r="CU664" s="8">
        <f>413061</f>
        <v>413061</v>
      </c>
      <c r="CV664" s="8">
        <f>0</f>
        <v>0</v>
      </c>
      <c r="CX664" s="8">
        <f>0</f>
        <v>0</v>
      </c>
      <c r="CY664" s="8">
        <f>413061</f>
        <v>413061</v>
      </c>
      <c r="DA664" s="5" t="s">
        <v>533</v>
      </c>
      <c r="DB664" s="5" t="s">
        <v>238</v>
      </c>
      <c r="DD664" s="5" t="s">
        <v>356</v>
      </c>
      <c r="DE664" s="8">
        <f>0</f>
        <v>0</v>
      </c>
      <c r="DG664" s="5" t="s">
        <v>534</v>
      </c>
      <c r="DH664" s="5" t="s">
        <v>238</v>
      </c>
      <c r="DI664" s="5" t="s">
        <v>238</v>
      </c>
      <c r="DJ664" s="5" t="s">
        <v>238</v>
      </c>
      <c r="DN664" s="5" t="s">
        <v>238</v>
      </c>
      <c r="DO664" s="5" t="s">
        <v>238</v>
      </c>
      <c r="DP664" s="5" t="s">
        <v>238</v>
      </c>
      <c r="DQ664" s="5" t="s">
        <v>238</v>
      </c>
      <c r="DT664" s="5" t="s">
        <v>535</v>
      </c>
      <c r="DU664" s="5" t="s">
        <v>554</v>
      </c>
      <c r="HM664" s="5" t="s">
        <v>264</v>
      </c>
    </row>
    <row r="665" spans="1:221" x14ac:dyDescent="0.4">
      <c r="A665" s="5">
        <v>1527</v>
      </c>
      <c r="B665" s="5">
        <v>1</v>
      </c>
      <c r="C665" s="5">
        <v>1</v>
      </c>
      <c r="D665" s="5" t="s">
        <v>484</v>
      </c>
      <c r="E665" s="5" t="s">
        <v>485</v>
      </c>
      <c r="F665" s="5" t="s">
        <v>248</v>
      </c>
      <c r="G665" s="5" t="s">
        <v>531</v>
      </c>
      <c r="H665" s="6" t="s">
        <v>5797</v>
      </c>
      <c r="I665" s="7">
        <f>416</f>
        <v>416</v>
      </c>
      <c r="J665" s="5" t="s">
        <v>262</v>
      </c>
      <c r="K665" s="8">
        <f>4576</f>
        <v>4576</v>
      </c>
      <c r="L665" s="6" t="s">
        <v>242</v>
      </c>
      <c r="M665" s="5" t="s">
        <v>267</v>
      </c>
      <c r="N665" s="5" t="s">
        <v>237</v>
      </c>
      <c r="O665" s="5" t="s">
        <v>238</v>
      </c>
      <c r="P665" s="5" t="s">
        <v>238</v>
      </c>
      <c r="Q665" s="5" t="s">
        <v>239</v>
      </c>
      <c r="R665" s="5" t="s">
        <v>240</v>
      </c>
      <c r="S665" s="5" t="s">
        <v>238</v>
      </c>
      <c r="V665" s="5" t="s">
        <v>238</v>
      </c>
      <c r="X665" s="6" t="s">
        <v>238</v>
      </c>
      <c r="AA665" s="6" t="s">
        <v>243</v>
      </c>
      <c r="AB665" s="5" t="s">
        <v>238</v>
      </c>
      <c r="AC665" s="5" t="s">
        <v>244</v>
      </c>
      <c r="AD665" s="5" t="s">
        <v>245</v>
      </c>
      <c r="AT665" s="5" t="s">
        <v>246</v>
      </c>
      <c r="AU665" s="5" t="s">
        <v>238</v>
      </c>
      <c r="AV665" s="5" t="s">
        <v>247</v>
      </c>
      <c r="AW665" s="5" t="s">
        <v>238</v>
      </c>
      <c r="AX665" s="5" t="s">
        <v>249</v>
      </c>
      <c r="AY665" s="5" t="s">
        <v>238</v>
      </c>
      <c r="BA665" s="5" t="s">
        <v>238</v>
      </c>
      <c r="BC665" s="5" t="s">
        <v>250</v>
      </c>
      <c r="BD665" s="6" t="s">
        <v>243</v>
      </c>
      <c r="BE665" s="5" t="s">
        <v>251</v>
      </c>
      <c r="BF665" s="5" t="s">
        <v>252</v>
      </c>
      <c r="BG665" s="5" t="s">
        <v>238</v>
      </c>
      <c r="BH665" s="7">
        <f>0</f>
        <v>0</v>
      </c>
      <c r="BI665" s="8">
        <f>0</f>
        <v>0</v>
      </c>
      <c r="BJ665" s="5" t="s">
        <v>253</v>
      </c>
      <c r="BK665" s="5" t="s">
        <v>254</v>
      </c>
      <c r="BY665" s="5" t="s">
        <v>238</v>
      </c>
      <c r="BZ665" s="5" t="s">
        <v>238</v>
      </c>
      <c r="CD665" s="5" t="s">
        <v>255</v>
      </c>
      <c r="CE665" s="5" t="s">
        <v>256</v>
      </c>
      <c r="CF665" s="5" t="s">
        <v>238</v>
      </c>
      <c r="CI665" s="6" t="s">
        <v>257</v>
      </c>
      <c r="CJ665" s="5" t="s">
        <v>238</v>
      </c>
      <c r="CK665" s="5" t="s">
        <v>258</v>
      </c>
      <c r="CL665" s="5" t="s">
        <v>238</v>
      </c>
      <c r="CM665" s="5" t="s">
        <v>238</v>
      </c>
      <c r="CN665" s="5">
        <v>0</v>
      </c>
      <c r="CO665" s="5" t="s">
        <v>259</v>
      </c>
      <c r="CP665" s="5" t="s">
        <v>260</v>
      </c>
      <c r="CQ665" s="5" t="s">
        <v>260</v>
      </c>
      <c r="CR665" s="5" t="s">
        <v>261</v>
      </c>
      <c r="CU665" s="8">
        <f>4576</f>
        <v>4576</v>
      </c>
      <c r="CV665" s="8">
        <f>0</f>
        <v>0</v>
      </c>
      <c r="CX665" s="8">
        <f>0</f>
        <v>0</v>
      </c>
      <c r="CY665" s="8">
        <f>4576</f>
        <v>4576</v>
      </c>
      <c r="DA665" s="5" t="s">
        <v>533</v>
      </c>
      <c r="DB665" s="5" t="s">
        <v>238</v>
      </c>
      <c r="DD665" s="5" t="s">
        <v>356</v>
      </c>
      <c r="DE665" s="8">
        <f>0</f>
        <v>0</v>
      </c>
      <c r="DG665" s="5" t="s">
        <v>534</v>
      </c>
      <c r="DH665" s="5" t="s">
        <v>238</v>
      </c>
      <c r="DI665" s="5" t="s">
        <v>238</v>
      </c>
      <c r="DJ665" s="5" t="s">
        <v>238</v>
      </c>
      <c r="DN665" s="5" t="s">
        <v>238</v>
      </c>
      <c r="DO665" s="5" t="s">
        <v>238</v>
      </c>
      <c r="DP665" s="5" t="s">
        <v>238</v>
      </c>
      <c r="DQ665" s="5" t="s">
        <v>238</v>
      </c>
      <c r="DT665" s="5" t="s">
        <v>535</v>
      </c>
      <c r="DU665" s="5" t="s">
        <v>558</v>
      </c>
      <c r="HM665" s="5" t="s">
        <v>264</v>
      </c>
    </row>
    <row r="666" spans="1:221" x14ac:dyDescent="0.4">
      <c r="A666" s="5">
        <v>1528</v>
      </c>
      <c r="B666" s="5">
        <v>1</v>
      </c>
      <c r="C666" s="5">
        <v>1</v>
      </c>
      <c r="D666" s="5" t="s">
        <v>484</v>
      </c>
      <c r="E666" s="5" t="s">
        <v>485</v>
      </c>
      <c r="F666" s="5" t="s">
        <v>248</v>
      </c>
      <c r="G666" s="5" t="s">
        <v>531</v>
      </c>
      <c r="H666" s="6" t="s">
        <v>5792</v>
      </c>
      <c r="I666" s="7">
        <f>1983</f>
        <v>1983</v>
      </c>
      <c r="J666" s="5" t="s">
        <v>262</v>
      </c>
      <c r="K666" s="8">
        <f>21813</f>
        <v>21813</v>
      </c>
      <c r="L666" s="6" t="s">
        <v>242</v>
      </c>
      <c r="M666" s="5" t="s">
        <v>267</v>
      </c>
      <c r="N666" s="5" t="s">
        <v>237</v>
      </c>
      <c r="O666" s="5" t="s">
        <v>238</v>
      </c>
      <c r="P666" s="5" t="s">
        <v>238</v>
      </c>
      <c r="Q666" s="5" t="s">
        <v>239</v>
      </c>
      <c r="R666" s="5" t="s">
        <v>240</v>
      </c>
      <c r="S666" s="5" t="s">
        <v>238</v>
      </c>
      <c r="V666" s="5" t="s">
        <v>238</v>
      </c>
      <c r="X666" s="6" t="s">
        <v>238</v>
      </c>
      <c r="AA666" s="6" t="s">
        <v>243</v>
      </c>
      <c r="AB666" s="5" t="s">
        <v>238</v>
      </c>
      <c r="AC666" s="5" t="s">
        <v>244</v>
      </c>
      <c r="AD666" s="5" t="s">
        <v>245</v>
      </c>
      <c r="AT666" s="5" t="s">
        <v>246</v>
      </c>
      <c r="AU666" s="5" t="s">
        <v>238</v>
      </c>
      <c r="AV666" s="5" t="s">
        <v>247</v>
      </c>
      <c r="AW666" s="5" t="s">
        <v>238</v>
      </c>
      <c r="AX666" s="5" t="s">
        <v>249</v>
      </c>
      <c r="AY666" s="5" t="s">
        <v>238</v>
      </c>
      <c r="BA666" s="5" t="s">
        <v>238</v>
      </c>
      <c r="BC666" s="5" t="s">
        <v>250</v>
      </c>
      <c r="BD666" s="6" t="s">
        <v>243</v>
      </c>
      <c r="BE666" s="5" t="s">
        <v>251</v>
      </c>
      <c r="BF666" s="5" t="s">
        <v>252</v>
      </c>
      <c r="BG666" s="5" t="s">
        <v>238</v>
      </c>
      <c r="BH666" s="7">
        <f>0</f>
        <v>0</v>
      </c>
      <c r="BI666" s="8">
        <f>0</f>
        <v>0</v>
      </c>
      <c r="BJ666" s="5" t="s">
        <v>253</v>
      </c>
      <c r="BK666" s="5" t="s">
        <v>254</v>
      </c>
      <c r="BY666" s="5" t="s">
        <v>238</v>
      </c>
      <c r="BZ666" s="5" t="s">
        <v>238</v>
      </c>
      <c r="CD666" s="5" t="s">
        <v>255</v>
      </c>
      <c r="CE666" s="5" t="s">
        <v>256</v>
      </c>
      <c r="CF666" s="5" t="s">
        <v>238</v>
      </c>
      <c r="CI666" s="6" t="s">
        <v>257</v>
      </c>
      <c r="CJ666" s="5" t="s">
        <v>238</v>
      </c>
      <c r="CK666" s="5" t="s">
        <v>258</v>
      </c>
      <c r="CL666" s="5" t="s">
        <v>238</v>
      </c>
      <c r="CM666" s="5" t="s">
        <v>238</v>
      </c>
      <c r="CN666" s="5">
        <v>0</v>
      </c>
      <c r="CO666" s="5" t="s">
        <v>259</v>
      </c>
      <c r="CP666" s="5" t="s">
        <v>260</v>
      </c>
      <c r="CQ666" s="5" t="s">
        <v>260</v>
      </c>
      <c r="CR666" s="5" t="s">
        <v>261</v>
      </c>
      <c r="CU666" s="8">
        <f>21813</f>
        <v>21813</v>
      </c>
      <c r="CV666" s="8">
        <f>0</f>
        <v>0</v>
      </c>
      <c r="CX666" s="8">
        <f>0</f>
        <v>0</v>
      </c>
      <c r="CY666" s="8">
        <f>21813</f>
        <v>21813</v>
      </c>
      <c r="DA666" s="5" t="s">
        <v>533</v>
      </c>
      <c r="DB666" s="5" t="s">
        <v>238</v>
      </c>
      <c r="DD666" s="5" t="s">
        <v>356</v>
      </c>
      <c r="DE666" s="8">
        <f>0</f>
        <v>0</v>
      </c>
      <c r="DG666" s="5" t="s">
        <v>534</v>
      </c>
      <c r="DH666" s="5" t="s">
        <v>238</v>
      </c>
      <c r="DI666" s="5" t="s">
        <v>238</v>
      </c>
      <c r="DJ666" s="5" t="s">
        <v>238</v>
      </c>
      <c r="DN666" s="5" t="s">
        <v>238</v>
      </c>
      <c r="DO666" s="5" t="s">
        <v>238</v>
      </c>
      <c r="DP666" s="5" t="s">
        <v>238</v>
      </c>
      <c r="DQ666" s="5" t="s">
        <v>238</v>
      </c>
      <c r="DT666" s="5" t="s">
        <v>535</v>
      </c>
      <c r="DU666" s="5" t="s">
        <v>560</v>
      </c>
      <c r="HM666" s="5" t="s">
        <v>264</v>
      </c>
    </row>
    <row r="667" spans="1:221" x14ac:dyDescent="0.4">
      <c r="A667" s="5">
        <v>1529</v>
      </c>
      <c r="B667" s="5">
        <v>1</v>
      </c>
      <c r="C667" s="5">
        <v>1</v>
      </c>
      <c r="D667" s="5" t="s">
        <v>484</v>
      </c>
      <c r="E667" s="5" t="s">
        <v>485</v>
      </c>
      <c r="F667" s="5" t="s">
        <v>248</v>
      </c>
      <c r="G667" s="5" t="s">
        <v>531</v>
      </c>
      <c r="H667" s="6" t="s">
        <v>5791</v>
      </c>
      <c r="I667" s="7">
        <f>13029</f>
        <v>13029</v>
      </c>
      <c r="J667" s="5" t="s">
        <v>262</v>
      </c>
      <c r="K667" s="8">
        <f>143319</f>
        <v>143319</v>
      </c>
      <c r="L667" s="6" t="s">
        <v>242</v>
      </c>
      <c r="M667" s="5" t="s">
        <v>267</v>
      </c>
      <c r="N667" s="5" t="s">
        <v>237</v>
      </c>
      <c r="O667" s="5" t="s">
        <v>238</v>
      </c>
      <c r="P667" s="5" t="s">
        <v>238</v>
      </c>
      <c r="Q667" s="5" t="s">
        <v>239</v>
      </c>
      <c r="R667" s="5" t="s">
        <v>240</v>
      </c>
      <c r="S667" s="5" t="s">
        <v>238</v>
      </c>
      <c r="V667" s="5" t="s">
        <v>238</v>
      </c>
      <c r="X667" s="6" t="s">
        <v>238</v>
      </c>
      <c r="AA667" s="6" t="s">
        <v>243</v>
      </c>
      <c r="AB667" s="5" t="s">
        <v>238</v>
      </c>
      <c r="AC667" s="5" t="s">
        <v>244</v>
      </c>
      <c r="AD667" s="5" t="s">
        <v>245</v>
      </c>
      <c r="AT667" s="5" t="s">
        <v>246</v>
      </c>
      <c r="AU667" s="5" t="s">
        <v>238</v>
      </c>
      <c r="AV667" s="5" t="s">
        <v>247</v>
      </c>
      <c r="AW667" s="5" t="s">
        <v>238</v>
      </c>
      <c r="AX667" s="5" t="s">
        <v>249</v>
      </c>
      <c r="AY667" s="5" t="s">
        <v>238</v>
      </c>
      <c r="BA667" s="5" t="s">
        <v>238</v>
      </c>
      <c r="BC667" s="5" t="s">
        <v>250</v>
      </c>
      <c r="BD667" s="6" t="s">
        <v>243</v>
      </c>
      <c r="BE667" s="5" t="s">
        <v>251</v>
      </c>
      <c r="BF667" s="5" t="s">
        <v>252</v>
      </c>
      <c r="BG667" s="5" t="s">
        <v>238</v>
      </c>
      <c r="BH667" s="7">
        <f>0</f>
        <v>0</v>
      </c>
      <c r="BI667" s="8">
        <f>0</f>
        <v>0</v>
      </c>
      <c r="BJ667" s="5" t="s">
        <v>253</v>
      </c>
      <c r="BK667" s="5" t="s">
        <v>254</v>
      </c>
      <c r="BY667" s="5" t="s">
        <v>238</v>
      </c>
      <c r="BZ667" s="5" t="s">
        <v>238</v>
      </c>
      <c r="CD667" s="5" t="s">
        <v>255</v>
      </c>
      <c r="CE667" s="5" t="s">
        <v>256</v>
      </c>
      <c r="CF667" s="5" t="s">
        <v>238</v>
      </c>
      <c r="CI667" s="6" t="s">
        <v>257</v>
      </c>
      <c r="CJ667" s="5" t="s">
        <v>238</v>
      </c>
      <c r="CK667" s="5" t="s">
        <v>258</v>
      </c>
      <c r="CL667" s="5" t="s">
        <v>238</v>
      </c>
      <c r="CM667" s="5" t="s">
        <v>238</v>
      </c>
      <c r="CN667" s="5">
        <v>0</v>
      </c>
      <c r="CO667" s="5" t="s">
        <v>259</v>
      </c>
      <c r="CP667" s="5" t="s">
        <v>260</v>
      </c>
      <c r="CQ667" s="5" t="s">
        <v>260</v>
      </c>
      <c r="CR667" s="5" t="s">
        <v>261</v>
      </c>
      <c r="CU667" s="8">
        <f>143319</f>
        <v>143319</v>
      </c>
      <c r="CV667" s="8">
        <f>0</f>
        <v>0</v>
      </c>
      <c r="CX667" s="8">
        <f>0</f>
        <v>0</v>
      </c>
      <c r="CY667" s="8">
        <f>143319</f>
        <v>143319</v>
      </c>
      <c r="DA667" s="5" t="s">
        <v>533</v>
      </c>
      <c r="DB667" s="5" t="s">
        <v>238</v>
      </c>
      <c r="DD667" s="5" t="s">
        <v>356</v>
      </c>
      <c r="DE667" s="8">
        <f>0</f>
        <v>0</v>
      </c>
      <c r="DG667" s="5" t="s">
        <v>534</v>
      </c>
      <c r="DH667" s="5" t="s">
        <v>238</v>
      </c>
      <c r="DI667" s="5" t="s">
        <v>238</v>
      </c>
      <c r="DJ667" s="5" t="s">
        <v>238</v>
      </c>
      <c r="DN667" s="5" t="s">
        <v>238</v>
      </c>
      <c r="DO667" s="5" t="s">
        <v>238</v>
      </c>
      <c r="DP667" s="5" t="s">
        <v>238</v>
      </c>
      <c r="DQ667" s="5" t="s">
        <v>238</v>
      </c>
      <c r="DT667" s="5" t="s">
        <v>535</v>
      </c>
      <c r="DU667" s="5" t="s">
        <v>562</v>
      </c>
      <c r="HM667" s="5" t="s">
        <v>264</v>
      </c>
    </row>
    <row r="668" spans="1:221" x14ac:dyDescent="0.4">
      <c r="A668" s="5">
        <v>1530</v>
      </c>
      <c r="B668" s="5">
        <v>1</v>
      </c>
      <c r="C668" s="5">
        <v>1</v>
      </c>
      <c r="D668" s="5" t="s">
        <v>484</v>
      </c>
      <c r="E668" s="5" t="s">
        <v>485</v>
      </c>
      <c r="F668" s="5" t="s">
        <v>248</v>
      </c>
      <c r="G668" s="5" t="s">
        <v>531</v>
      </c>
      <c r="H668" s="6" t="s">
        <v>5787</v>
      </c>
      <c r="I668" s="7">
        <f>320</f>
        <v>320</v>
      </c>
      <c r="J668" s="5" t="s">
        <v>262</v>
      </c>
      <c r="K668" s="8">
        <f>3520</f>
        <v>3520</v>
      </c>
      <c r="L668" s="6" t="s">
        <v>242</v>
      </c>
      <c r="M668" s="5" t="s">
        <v>267</v>
      </c>
      <c r="N668" s="5" t="s">
        <v>237</v>
      </c>
      <c r="O668" s="5" t="s">
        <v>238</v>
      </c>
      <c r="P668" s="5" t="s">
        <v>238</v>
      </c>
      <c r="Q668" s="5" t="s">
        <v>239</v>
      </c>
      <c r="R668" s="5" t="s">
        <v>240</v>
      </c>
      <c r="S668" s="5" t="s">
        <v>238</v>
      </c>
      <c r="V668" s="5" t="s">
        <v>238</v>
      </c>
      <c r="X668" s="6" t="s">
        <v>238</v>
      </c>
      <c r="AA668" s="6" t="s">
        <v>243</v>
      </c>
      <c r="AB668" s="5" t="s">
        <v>238</v>
      </c>
      <c r="AC668" s="5" t="s">
        <v>244</v>
      </c>
      <c r="AD668" s="5" t="s">
        <v>245</v>
      </c>
      <c r="AT668" s="5" t="s">
        <v>246</v>
      </c>
      <c r="AU668" s="5" t="s">
        <v>238</v>
      </c>
      <c r="AV668" s="5" t="s">
        <v>247</v>
      </c>
      <c r="AW668" s="5" t="s">
        <v>238</v>
      </c>
      <c r="AX668" s="5" t="s">
        <v>249</v>
      </c>
      <c r="AY668" s="5" t="s">
        <v>238</v>
      </c>
      <c r="BA668" s="5" t="s">
        <v>238</v>
      </c>
      <c r="BC668" s="5" t="s">
        <v>250</v>
      </c>
      <c r="BD668" s="6" t="s">
        <v>243</v>
      </c>
      <c r="BE668" s="5" t="s">
        <v>251</v>
      </c>
      <c r="BF668" s="5" t="s">
        <v>252</v>
      </c>
      <c r="BG668" s="5" t="s">
        <v>238</v>
      </c>
      <c r="BH668" s="7">
        <f>0</f>
        <v>0</v>
      </c>
      <c r="BI668" s="8">
        <f>0</f>
        <v>0</v>
      </c>
      <c r="BJ668" s="5" t="s">
        <v>253</v>
      </c>
      <c r="BK668" s="5" t="s">
        <v>254</v>
      </c>
      <c r="BY668" s="5" t="s">
        <v>238</v>
      </c>
      <c r="BZ668" s="5" t="s">
        <v>238</v>
      </c>
      <c r="CD668" s="5" t="s">
        <v>255</v>
      </c>
      <c r="CE668" s="5" t="s">
        <v>256</v>
      </c>
      <c r="CF668" s="5" t="s">
        <v>238</v>
      </c>
      <c r="CI668" s="6" t="s">
        <v>257</v>
      </c>
      <c r="CJ668" s="5" t="s">
        <v>238</v>
      </c>
      <c r="CK668" s="5" t="s">
        <v>258</v>
      </c>
      <c r="CL668" s="5" t="s">
        <v>238</v>
      </c>
      <c r="CM668" s="5" t="s">
        <v>238</v>
      </c>
      <c r="CN668" s="5">
        <v>0</v>
      </c>
      <c r="CO668" s="5" t="s">
        <v>259</v>
      </c>
      <c r="CP668" s="5" t="s">
        <v>260</v>
      </c>
      <c r="CQ668" s="5" t="s">
        <v>260</v>
      </c>
      <c r="CR668" s="5" t="s">
        <v>261</v>
      </c>
      <c r="CU668" s="8">
        <f>3520</f>
        <v>3520</v>
      </c>
      <c r="CV668" s="8">
        <f>0</f>
        <v>0</v>
      </c>
      <c r="CX668" s="8">
        <f>0</f>
        <v>0</v>
      </c>
      <c r="CY668" s="8">
        <f>3520</f>
        <v>3520</v>
      </c>
      <c r="DA668" s="5" t="s">
        <v>534</v>
      </c>
      <c r="DB668" s="5" t="s">
        <v>238</v>
      </c>
      <c r="DD668" s="5" t="s">
        <v>356</v>
      </c>
      <c r="DE668" s="8">
        <f>0</f>
        <v>0</v>
      </c>
      <c r="DG668" s="5" t="s">
        <v>534</v>
      </c>
      <c r="DH668" s="5" t="s">
        <v>238</v>
      </c>
      <c r="DI668" s="5" t="s">
        <v>238</v>
      </c>
      <c r="DJ668" s="5" t="s">
        <v>238</v>
      </c>
      <c r="DN668" s="5" t="s">
        <v>238</v>
      </c>
      <c r="DO668" s="5" t="s">
        <v>238</v>
      </c>
      <c r="DP668" s="5" t="s">
        <v>238</v>
      </c>
      <c r="DQ668" s="5" t="s">
        <v>238</v>
      </c>
      <c r="DT668" s="5" t="s">
        <v>535</v>
      </c>
      <c r="DU668" s="5" t="s">
        <v>566</v>
      </c>
      <c r="HM668" s="5" t="s">
        <v>264</v>
      </c>
    </row>
    <row r="669" spans="1:221" x14ac:dyDescent="0.4">
      <c r="A669" s="5">
        <v>1531</v>
      </c>
      <c r="B669" s="5">
        <v>1</v>
      </c>
      <c r="C669" s="5">
        <v>1</v>
      </c>
      <c r="D669" s="5" t="s">
        <v>484</v>
      </c>
      <c r="E669" s="5" t="s">
        <v>485</v>
      </c>
      <c r="F669" s="5" t="s">
        <v>248</v>
      </c>
      <c r="G669" s="5" t="s">
        <v>531</v>
      </c>
      <c r="H669" s="6" t="s">
        <v>5636</v>
      </c>
      <c r="I669" s="7">
        <f>988</f>
        <v>988</v>
      </c>
      <c r="J669" s="5" t="s">
        <v>262</v>
      </c>
      <c r="K669" s="8">
        <f>10868</f>
        <v>10868</v>
      </c>
      <c r="L669" s="6" t="s">
        <v>242</v>
      </c>
      <c r="M669" s="5" t="s">
        <v>267</v>
      </c>
      <c r="N669" s="5" t="s">
        <v>237</v>
      </c>
      <c r="O669" s="5" t="s">
        <v>238</v>
      </c>
      <c r="P669" s="5" t="s">
        <v>238</v>
      </c>
      <c r="Q669" s="5" t="s">
        <v>239</v>
      </c>
      <c r="R669" s="5" t="s">
        <v>240</v>
      </c>
      <c r="S669" s="5" t="s">
        <v>238</v>
      </c>
      <c r="V669" s="5" t="s">
        <v>238</v>
      </c>
      <c r="X669" s="6" t="s">
        <v>238</v>
      </c>
      <c r="AA669" s="6" t="s">
        <v>243</v>
      </c>
      <c r="AB669" s="5" t="s">
        <v>238</v>
      </c>
      <c r="AC669" s="5" t="s">
        <v>244</v>
      </c>
      <c r="AD669" s="5" t="s">
        <v>245</v>
      </c>
      <c r="AT669" s="5" t="s">
        <v>246</v>
      </c>
      <c r="AU669" s="5" t="s">
        <v>238</v>
      </c>
      <c r="AV669" s="5" t="s">
        <v>247</v>
      </c>
      <c r="AW669" s="5" t="s">
        <v>238</v>
      </c>
      <c r="AX669" s="5" t="s">
        <v>249</v>
      </c>
      <c r="AY669" s="5" t="s">
        <v>238</v>
      </c>
      <c r="BA669" s="5" t="s">
        <v>238</v>
      </c>
      <c r="BC669" s="5" t="s">
        <v>250</v>
      </c>
      <c r="BD669" s="6" t="s">
        <v>243</v>
      </c>
      <c r="BE669" s="5" t="s">
        <v>251</v>
      </c>
      <c r="BF669" s="5" t="s">
        <v>252</v>
      </c>
      <c r="BG669" s="5" t="s">
        <v>238</v>
      </c>
      <c r="BH669" s="7">
        <f>0</f>
        <v>0</v>
      </c>
      <c r="BI669" s="8">
        <f>0</f>
        <v>0</v>
      </c>
      <c r="BJ669" s="5" t="s">
        <v>253</v>
      </c>
      <c r="BK669" s="5" t="s">
        <v>254</v>
      </c>
      <c r="BY669" s="5" t="s">
        <v>238</v>
      </c>
      <c r="BZ669" s="5" t="s">
        <v>238</v>
      </c>
      <c r="CD669" s="5" t="s">
        <v>255</v>
      </c>
      <c r="CE669" s="5" t="s">
        <v>256</v>
      </c>
      <c r="CF669" s="5" t="s">
        <v>238</v>
      </c>
      <c r="CI669" s="6" t="s">
        <v>257</v>
      </c>
      <c r="CJ669" s="5" t="s">
        <v>238</v>
      </c>
      <c r="CK669" s="5" t="s">
        <v>258</v>
      </c>
      <c r="CL669" s="5" t="s">
        <v>238</v>
      </c>
      <c r="CM669" s="5" t="s">
        <v>238</v>
      </c>
      <c r="CN669" s="5">
        <v>0</v>
      </c>
      <c r="CO669" s="5" t="s">
        <v>259</v>
      </c>
      <c r="CP669" s="5" t="s">
        <v>260</v>
      </c>
      <c r="CQ669" s="5" t="s">
        <v>260</v>
      </c>
      <c r="CR669" s="5" t="s">
        <v>261</v>
      </c>
      <c r="CU669" s="8">
        <f>10868</f>
        <v>10868</v>
      </c>
      <c r="CV669" s="8">
        <f>0</f>
        <v>0</v>
      </c>
      <c r="CX669" s="8">
        <f>0</f>
        <v>0</v>
      </c>
      <c r="CY669" s="8">
        <f>10868</f>
        <v>10868</v>
      </c>
      <c r="DA669" s="5" t="s">
        <v>533</v>
      </c>
      <c r="DB669" s="5" t="s">
        <v>238</v>
      </c>
      <c r="DD669" s="5" t="s">
        <v>356</v>
      </c>
      <c r="DE669" s="8">
        <f>0</f>
        <v>0</v>
      </c>
      <c r="DG669" s="5" t="s">
        <v>534</v>
      </c>
      <c r="DH669" s="5" t="s">
        <v>238</v>
      </c>
      <c r="DI669" s="5" t="s">
        <v>238</v>
      </c>
      <c r="DJ669" s="5" t="s">
        <v>238</v>
      </c>
      <c r="DN669" s="5" t="s">
        <v>238</v>
      </c>
      <c r="DO669" s="5" t="s">
        <v>238</v>
      </c>
      <c r="DP669" s="5" t="s">
        <v>238</v>
      </c>
      <c r="DQ669" s="5" t="s">
        <v>238</v>
      </c>
      <c r="DT669" s="5" t="s">
        <v>535</v>
      </c>
      <c r="DU669" s="5" t="s">
        <v>568</v>
      </c>
      <c r="HM669" s="5" t="s">
        <v>264</v>
      </c>
    </row>
    <row r="670" spans="1:221" x14ac:dyDescent="0.4">
      <c r="A670" s="5">
        <v>1532</v>
      </c>
      <c r="B670" s="5">
        <v>1</v>
      </c>
      <c r="C670" s="5">
        <v>1</v>
      </c>
      <c r="D670" s="5" t="s">
        <v>484</v>
      </c>
      <c r="E670" s="5" t="s">
        <v>485</v>
      </c>
      <c r="F670" s="5" t="s">
        <v>248</v>
      </c>
      <c r="G670" s="5" t="s">
        <v>531</v>
      </c>
      <c r="H670" s="6" t="s">
        <v>5638</v>
      </c>
      <c r="I670" s="7">
        <f>2976</f>
        <v>2976</v>
      </c>
      <c r="J670" s="5" t="s">
        <v>262</v>
      </c>
      <c r="K670" s="8">
        <f>32736</f>
        <v>32736</v>
      </c>
      <c r="L670" s="6" t="s">
        <v>242</v>
      </c>
      <c r="M670" s="5" t="s">
        <v>267</v>
      </c>
      <c r="N670" s="5" t="s">
        <v>237</v>
      </c>
      <c r="O670" s="5" t="s">
        <v>238</v>
      </c>
      <c r="P670" s="5" t="s">
        <v>238</v>
      </c>
      <c r="Q670" s="5" t="s">
        <v>239</v>
      </c>
      <c r="R670" s="5" t="s">
        <v>240</v>
      </c>
      <c r="S670" s="5" t="s">
        <v>238</v>
      </c>
      <c r="V670" s="5" t="s">
        <v>238</v>
      </c>
      <c r="X670" s="6" t="s">
        <v>238</v>
      </c>
      <c r="AA670" s="6" t="s">
        <v>243</v>
      </c>
      <c r="AB670" s="5" t="s">
        <v>238</v>
      </c>
      <c r="AC670" s="5" t="s">
        <v>244</v>
      </c>
      <c r="AD670" s="5" t="s">
        <v>245</v>
      </c>
      <c r="AT670" s="5" t="s">
        <v>246</v>
      </c>
      <c r="AU670" s="5" t="s">
        <v>238</v>
      </c>
      <c r="AV670" s="5" t="s">
        <v>247</v>
      </c>
      <c r="AW670" s="5" t="s">
        <v>238</v>
      </c>
      <c r="AX670" s="5" t="s">
        <v>249</v>
      </c>
      <c r="AY670" s="5" t="s">
        <v>238</v>
      </c>
      <c r="BA670" s="5" t="s">
        <v>238</v>
      </c>
      <c r="BC670" s="5" t="s">
        <v>250</v>
      </c>
      <c r="BD670" s="6" t="s">
        <v>243</v>
      </c>
      <c r="BE670" s="5" t="s">
        <v>251</v>
      </c>
      <c r="BF670" s="5" t="s">
        <v>252</v>
      </c>
      <c r="BG670" s="5" t="s">
        <v>238</v>
      </c>
      <c r="BH670" s="7">
        <f>0</f>
        <v>0</v>
      </c>
      <c r="BI670" s="8">
        <f>0</f>
        <v>0</v>
      </c>
      <c r="BJ670" s="5" t="s">
        <v>253</v>
      </c>
      <c r="BK670" s="5" t="s">
        <v>254</v>
      </c>
      <c r="BY670" s="5" t="s">
        <v>238</v>
      </c>
      <c r="BZ670" s="5" t="s">
        <v>238</v>
      </c>
      <c r="CD670" s="5" t="s">
        <v>255</v>
      </c>
      <c r="CE670" s="5" t="s">
        <v>256</v>
      </c>
      <c r="CF670" s="5" t="s">
        <v>238</v>
      </c>
      <c r="CI670" s="6" t="s">
        <v>257</v>
      </c>
      <c r="CJ670" s="5" t="s">
        <v>238</v>
      </c>
      <c r="CK670" s="5" t="s">
        <v>258</v>
      </c>
      <c r="CL670" s="5" t="s">
        <v>238</v>
      </c>
      <c r="CM670" s="5" t="s">
        <v>238</v>
      </c>
      <c r="CN670" s="5">
        <v>0</v>
      </c>
      <c r="CO670" s="5" t="s">
        <v>259</v>
      </c>
      <c r="CP670" s="5" t="s">
        <v>260</v>
      </c>
      <c r="CQ670" s="5" t="s">
        <v>260</v>
      </c>
      <c r="CR670" s="5" t="s">
        <v>261</v>
      </c>
      <c r="CU670" s="8">
        <f>32736</f>
        <v>32736</v>
      </c>
      <c r="CV670" s="8">
        <f>0</f>
        <v>0</v>
      </c>
      <c r="CX670" s="8">
        <f>0</f>
        <v>0</v>
      </c>
      <c r="CY670" s="8">
        <f>32736</f>
        <v>32736</v>
      </c>
      <c r="DA670" s="5" t="s">
        <v>533</v>
      </c>
      <c r="DB670" s="5" t="s">
        <v>238</v>
      </c>
      <c r="DD670" s="5" t="s">
        <v>356</v>
      </c>
      <c r="DE670" s="8">
        <f>0</f>
        <v>0</v>
      </c>
      <c r="DG670" s="5" t="s">
        <v>534</v>
      </c>
      <c r="DH670" s="5" t="s">
        <v>238</v>
      </c>
      <c r="DI670" s="5" t="s">
        <v>238</v>
      </c>
      <c r="DJ670" s="5" t="s">
        <v>238</v>
      </c>
      <c r="DN670" s="5" t="s">
        <v>238</v>
      </c>
      <c r="DO670" s="5" t="s">
        <v>238</v>
      </c>
      <c r="DP670" s="5" t="s">
        <v>238</v>
      </c>
      <c r="DQ670" s="5" t="s">
        <v>238</v>
      </c>
      <c r="DT670" s="5" t="s">
        <v>535</v>
      </c>
      <c r="DU670" s="5" t="s">
        <v>570</v>
      </c>
      <c r="HM670" s="5" t="s">
        <v>264</v>
      </c>
    </row>
    <row r="671" spans="1:221" x14ac:dyDescent="0.4">
      <c r="A671" s="5">
        <v>1533</v>
      </c>
      <c r="B671" s="5">
        <v>1</v>
      </c>
      <c r="C671" s="5">
        <v>1</v>
      </c>
      <c r="D671" s="5" t="s">
        <v>484</v>
      </c>
      <c r="E671" s="5" t="s">
        <v>485</v>
      </c>
      <c r="F671" s="5" t="s">
        <v>248</v>
      </c>
      <c r="G671" s="5" t="s">
        <v>531</v>
      </c>
      <c r="H671" s="6" t="s">
        <v>5640</v>
      </c>
      <c r="I671" s="7">
        <f>596</f>
        <v>596</v>
      </c>
      <c r="J671" s="5" t="s">
        <v>262</v>
      </c>
      <c r="K671" s="8">
        <f>6556</f>
        <v>6556</v>
      </c>
      <c r="L671" s="6" t="s">
        <v>242</v>
      </c>
      <c r="M671" s="5" t="s">
        <v>267</v>
      </c>
      <c r="N671" s="5" t="s">
        <v>237</v>
      </c>
      <c r="O671" s="5" t="s">
        <v>238</v>
      </c>
      <c r="P671" s="5" t="s">
        <v>238</v>
      </c>
      <c r="Q671" s="5" t="s">
        <v>239</v>
      </c>
      <c r="R671" s="5" t="s">
        <v>240</v>
      </c>
      <c r="S671" s="5" t="s">
        <v>238</v>
      </c>
      <c r="V671" s="5" t="s">
        <v>238</v>
      </c>
      <c r="X671" s="6" t="s">
        <v>238</v>
      </c>
      <c r="AA671" s="6" t="s">
        <v>243</v>
      </c>
      <c r="AB671" s="5" t="s">
        <v>238</v>
      </c>
      <c r="AC671" s="5" t="s">
        <v>244</v>
      </c>
      <c r="AD671" s="5" t="s">
        <v>245</v>
      </c>
      <c r="AT671" s="5" t="s">
        <v>246</v>
      </c>
      <c r="AU671" s="5" t="s">
        <v>238</v>
      </c>
      <c r="AV671" s="5" t="s">
        <v>247</v>
      </c>
      <c r="AW671" s="5" t="s">
        <v>238</v>
      </c>
      <c r="AX671" s="5" t="s">
        <v>249</v>
      </c>
      <c r="AY671" s="5" t="s">
        <v>238</v>
      </c>
      <c r="BA671" s="5" t="s">
        <v>238</v>
      </c>
      <c r="BC671" s="5" t="s">
        <v>250</v>
      </c>
      <c r="BD671" s="6" t="s">
        <v>243</v>
      </c>
      <c r="BE671" s="5" t="s">
        <v>251</v>
      </c>
      <c r="BF671" s="5" t="s">
        <v>252</v>
      </c>
      <c r="BG671" s="5" t="s">
        <v>238</v>
      </c>
      <c r="BH671" s="7">
        <f>0</f>
        <v>0</v>
      </c>
      <c r="BI671" s="8">
        <f>0</f>
        <v>0</v>
      </c>
      <c r="BJ671" s="5" t="s">
        <v>253</v>
      </c>
      <c r="BK671" s="5" t="s">
        <v>254</v>
      </c>
      <c r="BY671" s="5" t="s">
        <v>238</v>
      </c>
      <c r="BZ671" s="5" t="s">
        <v>238</v>
      </c>
      <c r="CD671" s="5" t="s">
        <v>255</v>
      </c>
      <c r="CE671" s="5" t="s">
        <v>256</v>
      </c>
      <c r="CF671" s="5" t="s">
        <v>238</v>
      </c>
      <c r="CI671" s="6" t="s">
        <v>257</v>
      </c>
      <c r="CJ671" s="5" t="s">
        <v>238</v>
      </c>
      <c r="CK671" s="5" t="s">
        <v>258</v>
      </c>
      <c r="CL671" s="5" t="s">
        <v>238</v>
      </c>
      <c r="CM671" s="5" t="s">
        <v>238</v>
      </c>
      <c r="CN671" s="5">
        <v>0</v>
      </c>
      <c r="CO671" s="5" t="s">
        <v>259</v>
      </c>
      <c r="CP671" s="5" t="s">
        <v>260</v>
      </c>
      <c r="CQ671" s="5" t="s">
        <v>260</v>
      </c>
      <c r="CR671" s="5" t="s">
        <v>261</v>
      </c>
      <c r="CU671" s="8">
        <f>6556</f>
        <v>6556</v>
      </c>
      <c r="CV671" s="8">
        <f>0</f>
        <v>0</v>
      </c>
      <c r="CX671" s="8">
        <f>0</f>
        <v>0</v>
      </c>
      <c r="CY671" s="8">
        <f>6556</f>
        <v>6556</v>
      </c>
      <c r="DA671" s="5" t="s">
        <v>533</v>
      </c>
      <c r="DB671" s="5" t="s">
        <v>238</v>
      </c>
      <c r="DD671" s="5" t="s">
        <v>356</v>
      </c>
      <c r="DE671" s="8">
        <f>0</f>
        <v>0</v>
      </c>
      <c r="DG671" s="5" t="s">
        <v>534</v>
      </c>
      <c r="DH671" s="5" t="s">
        <v>238</v>
      </c>
      <c r="DI671" s="5" t="s">
        <v>238</v>
      </c>
      <c r="DJ671" s="5" t="s">
        <v>238</v>
      </c>
      <c r="DN671" s="5" t="s">
        <v>238</v>
      </c>
      <c r="DO671" s="5" t="s">
        <v>238</v>
      </c>
      <c r="DP671" s="5" t="s">
        <v>238</v>
      </c>
      <c r="DQ671" s="5" t="s">
        <v>238</v>
      </c>
      <c r="DT671" s="5" t="s">
        <v>535</v>
      </c>
      <c r="DU671" s="5" t="s">
        <v>574</v>
      </c>
      <c r="HM671" s="5" t="s">
        <v>264</v>
      </c>
    </row>
    <row r="672" spans="1:221" x14ac:dyDescent="0.4">
      <c r="A672" s="5">
        <v>1534</v>
      </c>
      <c r="B672" s="5">
        <v>1</v>
      </c>
      <c r="C672" s="5">
        <v>1</v>
      </c>
      <c r="D672" s="5" t="s">
        <v>484</v>
      </c>
      <c r="E672" s="5" t="s">
        <v>485</v>
      </c>
      <c r="F672" s="5" t="s">
        <v>248</v>
      </c>
      <c r="G672" s="5" t="s">
        <v>531</v>
      </c>
      <c r="H672" s="6" t="s">
        <v>5642</v>
      </c>
      <c r="I672" s="7">
        <f>493</f>
        <v>493</v>
      </c>
      <c r="J672" s="5" t="s">
        <v>262</v>
      </c>
      <c r="K672" s="8">
        <f>5423</f>
        <v>5423</v>
      </c>
      <c r="L672" s="6" t="s">
        <v>242</v>
      </c>
      <c r="M672" s="5" t="s">
        <v>267</v>
      </c>
      <c r="N672" s="5" t="s">
        <v>237</v>
      </c>
      <c r="O672" s="5" t="s">
        <v>238</v>
      </c>
      <c r="P672" s="5" t="s">
        <v>238</v>
      </c>
      <c r="Q672" s="5" t="s">
        <v>239</v>
      </c>
      <c r="R672" s="5" t="s">
        <v>240</v>
      </c>
      <c r="S672" s="5" t="s">
        <v>238</v>
      </c>
      <c r="V672" s="5" t="s">
        <v>238</v>
      </c>
      <c r="X672" s="6" t="s">
        <v>238</v>
      </c>
      <c r="AA672" s="6" t="s">
        <v>243</v>
      </c>
      <c r="AB672" s="5" t="s">
        <v>238</v>
      </c>
      <c r="AC672" s="5" t="s">
        <v>244</v>
      </c>
      <c r="AD672" s="5" t="s">
        <v>245</v>
      </c>
      <c r="AT672" s="5" t="s">
        <v>246</v>
      </c>
      <c r="AU672" s="5" t="s">
        <v>238</v>
      </c>
      <c r="AV672" s="5" t="s">
        <v>247</v>
      </c>
      <c r="AW672" s="5" t="s">
        <v>238</v>
      </c>
      <c r="AX672" s="5" t="s">
        <v>249</v>
      </c>
      <c r="AY672" s="5" t="s">
        <v>238</v>
      </c>
      <c r="BA672" s="5" t="s">
        <v>238</v>
      </c>
      <c r="BC672" s="5" t="s">
        <v>250</v>
      </c>
      <c r="BD672" s="6" t="s">
        <v>243</v>
      </c>
      <c r="BE672" s="5" t="s">
        <v>251</v>
      </c>
      <c r="BF672" s="5" t="s">
        <v>252</v>
      </c>
      <c r="BG672" s="5" t="s">
        <v>238</v>
      </c>
      <c r="BH672" s="7">
        <f>0</f>
        <v>0</v>
      </c>
      <c r="BI672" s="8">
        <f>0</f>
        <v>0</v>
      </c>
      <c r="BJ672" s="5" t="s">
        <v>253</v>
      </c>
      <c r="BK672" s="5" t="s">
        <v>254</v>
      </c>
      <c r="BY672" s="5" t="s">
        <v>238</v>
      </c>
      <c r="BZ672" s="5" t="s">
        <v>238</v>
      </c>
      <c r="CD672" s="5" t="s">
        <v>255</v>
      </c>
      <c r="CE672" s="5" t="s">
        <v>256</v>
      </c>
      <c r="CF672" s="5" t="s">
        <v>238</v>
      </c>
      <c r="CI672" s="6" t="s">
        <v>257</v>
      </c>
      <c r="CJ672" s="5" t="s">
        <v>238</v>
      </c>
      <c r="CK672" s="5" t="s">
        <v>258</v>
      </c>
      <c r="CL672" s="5" t="s">
        <v>238</v>
      </c>
      <c r="CM672" s="5" t="s">
        <v>238</v>
      </c>
      <c r="CN672" s="5">
        <v>0</v>
      </c>
      <c r="CO672" s="5" t="s">
        <v>259</v>
      </c>
      <c r="CP672" s="5" t="s">
        <v>260</v>
      </c>
      <c r="CQ672" s="5" t="s">
        <v>260</v>
      </c>
      <c r="CR672" s="5" t="s">
        <v>261</v>
      </c>
      <c r="CU672" s="8">
        <f>5423</f>
        <v>5423</v>
      </c>
      <c r="CV672" s="8">
        <f>0</f>
        <v>0</v>
      </c>
      <c r="CX672" s="8">
        <f>0</f>
        <v>0</v>
      </c>
      <c r="CY672" s="8">
        <f>5423</f>
        <v>5423</v>
      </c>
      <c r="DA672" s="5" t="s">
        <v>533</v>
      </c>
      <c r="DB672" s="5" t="s">
        <v>238</v>
      </c>
      <c r="DD672" s="5" t="s">
        <v>356</v>
      </c>
      <c r="DE672" s="8">
        <f>0</f>
        <v>0</v>
      </c>
      <c r="DG672" s="5" t="s">
        <v>534</v>
      </c>
      <c r="DH672" s="5" t="s">
        <v>238</v>
      </c>
      <c r="DI672" s="5" t="s">
        <v>238</v>
      </c>
      <c r="DJ672" s="5" t="s">
        <v>238</v>
      </c>
      <c r="DN672" s="5" t="s">
        <v>238</v>
      </c>
      <c r="DO672" s="5" t="s">
        <v>238</v>
      </c>
      <c r="DP672" s="5" t="s">
        <v>238</v>
      </c>
      <c r="DQ672" s="5" t="s">
        <v>238</v>
      </c>
      <c r="DT672" s="5" t="s">
        <v>535</v>
      </c>
      <c r="DU672" s="5" t="s">
        <v>576</v>
      </c>
      <c r="HM672" s="5" t="s">
        <v>264</v>
      </c>
    </row>
    <row r="673" spans="1:221" x14ac:dyDescent="0.4">
      <c r="A673" s="5">
        <v>1535</v>
      </c>
      <c r="B673" s="5">
        <v>1</v>
      </c>
      <c r="C673" s="5">
        <v>1</v>
      </c>
      <c r="D673" s="5" t="s">
        <v>484</v>
      </c>
      <c r="E673" s="5" t="s">
        <v>485</v>
      </c>
      <c r="F673" s="5" t="s">
        <v>248</v>
      </c>
      <c r="G673" s="5" t="s">
        <v>531</v>
      </c>
      <c r="H673" s="6" t="s">
        <v>5645</v>
      </c>
      <c r="I673" s="7">
        <f>718</f>
        <v>718</v>
      </c>
      <c r="J673" s="5" t="s">
        <v>262</v>
      </c>
      <c r="K673" s="8">
        <f>7898</f>
        <v>7898</v>
      </c>
      <c r="L673" s="6" t="s">
        <v>242</v>
      </c>
      <c r="M673" s="5" t="s">
        <v>267</v>
      </c>
      <c r="N673" s="5" t="s">
        <v>237</v>
      </c>
      <c r="O673" s="5" t="s">
        <v>238</v>
      </c>
      <c r="P673" s="5" t="s">
        <v>238</v>
      </c>
      <c r="Q673" s="5" t="s">
        <v>239</v>
      </c>
      <c r="R673" s="5" t="s">
        <v>240</v>
      </c>
      <c r="S673" s="5" t="s">
        <v>238</v>
      </c>
      <c r="V673" s="5" t="s">
        <v>238</v>
      </c>
      <c r="X673" s="6" t="s">
        <v>238</v>
      </c>
      <c r="AA673" s="6" t="s">
        <v>243</v>
      </c>
      <c r="AB673" s="5" t="s">
        <v>238</v>
      </c>
      <c r="AC673" s="5" t="s">
        <v>244</v>
      </c>
      <c r="AD673" s="5" t="s">
        <v>245</v>
      </c>
      <c r="AT673" s="5" t="s">
        <v>246</v>
      </c>
      <c r="AU673" s="5" t="s">
        <v>238</v>
      </c>
      <c r="AV673" s="5" t="s">
        <v>247</v>
      </c>
      <c r="AW673" s="5" t="s">
        <v>238</v>
      </c>
      <c r="AX673" s="5" t="s">
        <v>249</v>
      </c>
      <c r="AY673" s="5" t="s">
        <v>238</v>
      </c>
      <c r="BA673" s="5" t="s">
        <v>238</v>
      </c>
      <c r="BC673" s="5" t="s">
        <v>250</v>
      </c>
      <c r="BD673" s="6" t="s">
        <v>243</v>
      </c>
      <c r="BE673" s="5" t="s">
        <v>251</v>
      </c>
      <c r="BF673" s="5" t="s">
        <v>252</v>
      </c>
      <c r="BG673" s="5" t="s">
        <v>238</v>
      </c>
      <c r="BH673" s="7">
        <f>0</f>
        <v>0</v>
      </c>
      <c r="BI673" s="8">
        <f>0</f>
        <v>0</v>
      </c>
      <c r="BJ673" s="5" t="s">
        <v>253</v>
      </c>
      <c r="BK673" s="5" t="s">
        <v>254</v>
      </c>
      <c r="BY673" s="5" t="s">
        <v>238</v>
      </c>
      <c r="BZ673" s="5" t="s">
        <v>238</v>
      </c>
      <c r="CD673" s="5" t="s">
        <v>255</v>
      </c>
      <c r="CE673" s="5" t="s">
        <v>256</v>
      </c>
      <c r="CF673" s="5" t="s">
        <v>238</v>
      </c>
      <c r="CI673" s="6" t="s">
        <v>257</v>
      </c>
      <c r="CJ673" s="5" t="s">
        <v>238</v>
      </c>
      <c r="CK673" s="5" t="s">
        <v>258</v>
      </c>
      <c r="CL673" s="5" t="s">
        <v>238</v>
      </c>
      <c r="CM673" s="5" t="s">
        <v>238</v>
      </c>
      <c r="CN673" s="5">
        <v>0</v>
      </c>
      <c r="CO673" s="5" t="s">
        <v>259</v>
      </c>
      <c r="CP673" s="5" t="s">
        <v>260</v>
      </c>
      <c r="CQ673" s="5" t="s">
        <v>260</v>
      </c>
      <c r="CR673" s="5" t="s">
        <v>261</v>
      </c>
      <c r="CU673" s="8">
        <f>7898</f>
        <v>7898</v>
      </c>
      <c r="CV673" s="8">
        <f>0</f>
        <v>0</v>
      </c>
      <c r="CX673" s="8">
        <f>0</f>
        <v>0</v>
      </c>
      <c r="CY673" s="8">
        <f>7898</f>
        <v>7898</v>
      </c>
      <c r="DA673" s="5" t="s">
        <v>533</v>
      </c>
      <c r="DB673" s="5" t="s">
        <v>238</v>
      </c>
      <c r="DD673" s="5" t="s">
        <v>356</v>
      </c>
      <c r="DE673" s="8">
        <f>0</f>
        <v>0</v>
      </c>
      <c r="DG673" s="5" t="s">
        <v>534</v>
      </c>
      <c r="DH673" s="5" t="s">
        <v>238</v>
      </c>
      <c r="DI673" s="5" t="s">
        <v>238</v>
      </c>
      <c r="DJ673" s="5" t="s">
        <v>238</v>
      </c>
      <c r="DN673" s="5" t="s">
        <v>238</v>
      </c>
      <c r="DO673" s="5" t="s">
        <v>238</v>
      </c>
      <c r="DP673" s="5" t="s">
        <v>238</v>
      </c>
      <c r="DQ673" s="5" t="s">
        <v>238</v>
      </c>
      <c r="DT673" s="5" t="s">
        <v>535</v>
      </c>
      <c r="DU673" s="5" t="s">
        <v>580</v>
      </c>
      <c r="HM673" s="5" t="s">
        <v>264</v>
      </c>
    </row>
    <row r="674" spans="1:221" x14ac:dyDescent="0.4">
      <c r="A674" s="5">
        <v>1536</v>
      </c>
      <c r="B674" s="5">
        <v>1</v>
      </c>
      <c r="C674" s="5">
        <v>1</v>
      </c>
      <c r="D674" s="5" t="s">
        <v>484</v>
      </c>
      <c r="E674" s="5" t="s">
        <v>485</v>
      </c>
      <c r="F674" s="5" t="s">
        <v>248</v>
      </c>
      <c r="G674" s="5" t="s">
        <v>531</v>
      </c>
      <c r="H674" s="6" t="s">
        <v>5649</v>
      </c>
      <c r="I674" s="7">
        <f>307</f>
        <v>307</v>
      </c>
      <c r="J674" s="5" t="s">
        <v>262</v>
      </c>
      <c r="K674" s="8">
        <f>3377</f>
        <v>3377</v>
      </c>
      <c r="L674" s="6" t="s">
        <v>242</v>
      </c>
      <c r="M674" s="5" t="s">
        <v>267</v>
      </c>
      <c r="N674" s="5" t="s">
        <v>237</v>
      </c>
      <c r="O674" s="5" t="s">
        <v>238</v>
      </c>
      <c r="P674" s="5" t="s">
        <v>238</v>
      </c>
      <c r="Q674" s="5" t="s">
        <v>239</v>
      </c>
      <c r="R674" s="5" t="s">
        <v>240</v>
      </c>
      <c r="S674" s="5" t="s">
        <v>238</v>
      </c>
      <c r="V674" s="5" t="s">
        <v>238</v>
      </c>
      <c r="X674" s="6" t="s">
        <v>238</v>
      </c>
      <c r="AA674" s="6" t="s">
        <v>243</v>
      </c>
      <c r="AB674" s="5" t="s">
        <v>238</v>
      </c>
      <c r="AC674" s="5" t="s">
        <v>244</v>
      </c>
      <c r="AD674" s="5" t="s">
        <v>245</v>
      </c>
      <c r="AT674" s="5" t="s">
        <v>246</v>
      </c>
      <c r="AU674" s="5" t="s">
        <v>238</v>
      </c>
      <c r="AV674" s="5" t="s">
        <v>247</v>
      </c>
      <c r="AW674" s="5" t="s">
        <v>238</v>
      </c>
      <c r="AX674" s="5" t="s">
        <v>249</v>
      </c>
      <c r="AY674" s="5" t="s">
        <v>238</v>
      </c>
      <c r="BA674" s="5" t="s">
        <v>238</v>
      </c>
      <c r="BC674" s="5" t="s">
        <v>250</v>
      </c>
      <c r="BD674" s="6" t="s">
        <v>243</v>
      </c>
      <c r="BE674" s="5" t="s">
        <v>251</v>
      </c>
      <c r="BF674" s="5" t="s">
        <v>252</v>
      </c>
      <c r="BG674" s="5" t="s">
        <v>238</v>
      </c>
      <c r="BH674" s="7">
        <f>0</f>
        <v>0</v>
      </c>
      <c r="BI674" s="8">
        <f>0</f>
        <v>0</v>
      </c>
      <c r="BJ674" s="5" t="s">
        <v>253</v>
      </c>
      <c r="BK674" s="5" t="s">
        <v>254</v>
      </c>
      <c r="BY674" s="5" t="s">
        <v>238</v>
      </c>
      <c r="BZ674" s="5" t="s">
        <v>238</v>
      </c>
      <c r="CD674" s="5" t="s">
        <v>255</v>
      </c>
      <c r="CE674" s="5" t="s">
        <v>256</v>
      </c>
      <c r="CF674" s="5" t="s">
        <v>238</v>
      </c>
      <c r="CI674" s="6" t="s">
        <v>257</v>
      </c>
      <c r="CJ674" s="5" t="s">
        <v>238</v>
      </c>
      <c r="CK674" s="5" t="s">
        <v>258</v>
      </c>
      <c r="CL674" s="5" t="s">
        <v>238</v>
      </c>
      <c r="CM674" s="5" t="s">
        <v>238</v>
      </c>
      <c r="CN674" s="5">
        <v>0</v>
      </c>
      <c r="CO674" s="5" t="s">
        <v>259</v>
      </c>
      <c r="CP674" s="5" t="s">
        <v>260</v>
      </c>
      <c r="CQ674" s="5" t="s">
        <v>260</v>
      </c>
      <c r="CR674" s="5" t="s">
        <v>261</v>
      </c>
      <c r="CU674" s="8">
        <f>3377</f>
        <v>3377</v>
      </c>
      <c r="CV674" s="8">
        <f>0</f>
        <v>0</v>
      </c>
      <c r="CX674" s="8">
        <f>0</f>
        <v>0</v>
      </c>
      <c r="CY674" s="8">
        <f>3377</f>
        <v>3377</v>
      </c>
      <c r="DA674" s="5" t="s">
        <v>533</v>
      </c>
      <c r="DB674" s="5" t="s">
        <v>238</v>
      </c>
      <c r="DD674" s="5" t="s">
        <v>356</v>
      </c>
      <c r="DE674" s="8">
        <f>0</f>
        <v>0</v>
      </c>
      <c r="DG674" s="5" t="s">
        <v>534</v>
      </c>
      <c r="DH674" s="5" t="s">
        <v>238</v>
      </c>
      <c r="DI674" s="5" t="s">
        <v>238</v>
      </c>
      <c r="DJ674" s="5" t="s">
        <v>238</v>
      </c>
      <c r="DN674" s="5" t="s">
        <v>238</v>
      </c>
      <c r="DO674" s="5" t="s">
        <v>238</v>
      </c>
      <c r="DP674" s="5" t="s">
        <v>238</v>
      </c>
      <c r="DQ674" s="5" t="s">
        <v>238</v>
      </c>
      <c r="DT674" s="5" t="s">
        <v>535</v>
      </c>
      <c r="DU674" s="5" t="s">
        <v>584</v>
      </c>
      <c r="HM674" s="5" t="s">
        <v>264</v>
      </c>
    </row>
    <row r="675" spans="1:221" x14ac:dyDescent="0.4">
      <c r="A675" s="5">
        <v>1537</v>
      </c>
      <c r="B675" s="5">
        <v>1</v>
      </c>
      <c r="C675" s="5">
        <v>1</v>
      </c>
      <c r="D675" s="5" t="s">
        <v>484</v>
      </c>
      <c r="E675" s="5" t="s">
        <v>485</v>
      </c>
      <c r="F675" s="5" t="s">
        <v>248</v>
      </c>
      <c r="G675" s="5" t="s">
        <v>531</v>
      </c>
      <c r="H675" s="6" t="s">
        <v>5652</v>
      </c>
      <c r="I675" s="7">
        <f>2063</f>
        <v>2063</v>
      </c>
      <c r="J675" s="5" t="s">
        <v>262</v>
      </c>
      <c r="K675" s="8">
        <f>22693</f>
        <v>22693</v>
      </c>
      <c r="L675" s="6" t="s">
        <v>242</v>
      </c>
      <c r="M675" s="5" t="s">
        <v>267</v>
      </c>
      <c r="N675" s="5" t="s">
        <v>237</v>
      </c>
      <c r="O675" s="5" t="s">
        <v>238</v>
      </c>
      <c r="P675" s="5" t="s">
        <v>238</v>
      </c>
      <c r="Q675" s="5" t="s">
        <v>239</v>
      </c>
      <c r="R675" s="5" t="s">
        <v>240</v>
      </c>
      <c r="S675" s="5" t="s">
        <v>238</v>
      </c>
      <c r="V675" s="5" t="s">
        <v>238</v>
      </c>
      <c r="X675" s="6" t="s">
        <v>238</v>
      </c>
      <c r="AA675" s="6" t="s">
        <v>243</v>
      </c>
      <c r="AB675" s="5" t="s">
        <v>238</v>
      </c>
      <c r="AC675" s="5" t="s">
        <v>244</v>
      </c>
      <c r="AD675" s="5" t="s">
        <v>245</v>
      </c>
      <c r="AT675" s="5" t="s">
        <v>246</v>
      </c>
      <c r="AU675" s="5" t="s">
        <v>238</v>
      </c>
      <c r="AV675" s="5" t="s">
        <v>247</v>
      </c>
      <c r="AW675" s="5" t="s">
        <v>238</v>
      </c>
      <c r="AX675" s="5" t="s">
        <v>249</v>
      </c>
      <c r="AY675" s="5" t="s">
        <v>238</v>
      </c>
      <c r="BA675" s="5" t="s">
        <v>238</v>
      </c>
      <c r="BC675" s="5" t="s">
        <v>250</v>
      </c>
      <c r="BD675" s="6" t="s">
        <v>243</v>
      </c>
      <c r="BE675" s="5" t="s">
        <v>251</v>
      </c>
      <c r="BF675" s="5" t="s">
        <v>252</v>
      </c>
      <c r="BG675" s="5" t="s">
        <v>238</v>
      </c>
      <c r="BH675" s="7">
        <f>0</f>
        <v>0</v>
      </c>
      <c r="BI675" s="8">
        <f>0</f>
        <v>0</v>
      </c>
      <c r="BJ675" s="5" t="s">
        <v>253</v>
      </c>
      <c r="BK675" s="5" t="s">
        <v>254</v>
      </c>
      <c r="BY675" s="5" t="s">
        <v>238</v>
      </c>
      <c r="BZ675" s="5" t="s">
        <v>238</v>
      </c>
      <c r="CD675" s="5" t="s">
        <v>255</v>
      </c>
      <c r="CE675" s="5" t="s">
        <v>256</v>
      </c>
      <c r="CF675" s="5" t="s">
        <v>238</v>
      </c>
      <c r="CI675" s="6" t="s">
        <v>257</v>
      </c>
      <c r="CJ675" s="5" t="s">
        <v>238</v>
      </c>
      <c r="CK675" s="5" t="s">
        <v>258</v>
      </c>
      <c r="CL675" s="5" t="s">
        <v>238</v>
      </c>
      <c r="CM675" s="5" t="s">
        <v>238</v>
      </c>
      <c r="CN675" s="5">
        <v>0</v>
      </c>
      <c r="CO675" s="5" t="s">
        <v>259</v>
      </c>
      <c r="CP675" s="5" t="s">
        <v>260</v>
      </c>
      <c r="CQ675" s="5" t="s">
        <v>260</v>
      </c>
      <c r="CR675" s="5" t="s">
        <v>261</v>
      </c>
      <c r="CU675" s="8">
        <f>22693</f>
        <v>22693</v>
      </c>
      <c r="CV675" s="8">
        <f>0</f>
        <v>0</v>
      </c>
      <c r="CX675" s="8">
        <f>0</f>
        <v>0</v>
      </c>
      <c r="CY675" s="8">
        <f>22693</f>
        <v>22693</v>
      </c>
      <c r="DA675" s="5" t="s">
        <v>533</v>
      </c>
      <c r="DB675" s="5" t="s">
        <v>238</v>
      </c>
      <c r="DD675" s="5" t="s">
        <v>356</v>
      </c>
      <c r="DE675" s="8">
        <f>0</f>
        <v>0</v>
      </c>
      <c r="DG675" s="5" t="s">
        <v>534</v>
      </c>
      <c r="DH675" s="5" t="s">
        <v>238</v>
      </c>
      <c r="DI675" s="5" t="s">
        <v>238</v>
      </c>
      <c r="DJ675" s="5" t="s">
        <v>238</v>
      </c>
      <c r="DN675" s="5" t="s">
        <v>238</v>
      </c>
      <c r="DO675" s="5" t="s">
        <v>238</v>
      </c>
      <c r="DP675" s="5" t="s">
        <v>238</v>
      </c>
      <c r="DQ675" s="5" t="s">
        <v>238</v>
      </c>
      <c r="DT675" s="5" t="s">
        <v>535</v>
      </c>
      <c r="DU675" s="5" t="s">
        <v>586</v>
      </c>
      <c r="HM675" s="5" t="s">
        <v>264</v>
      </c>
    </row>
    <row r="676" spans="1:221" x14ac:dyDescent="0.4">
      <c r="A676" s="5">
        <v>1538</v>
      </c>
      <c r="B676" s="5">
        <v>1</v>
      </c>
      <c r="C676" s="5">
        <v>1</v>
      </c>
      <c r="D676" s="5" t="s">
        <v>484</v>
      </c>
      <c r="E676" s="5" t="s">
        <v>485</v>
      </c>
      <c r="F676" s="5" t="s">
        <v>248</v>
      </c>
      <c r="G676" s="5" t="s">
        <v>531</v>
      </c>
      <c r="H676" s="6" t="s">
        <v>5655</v>
      </c>
      <c r="I676" s="7">
        <f>197</f>
        <v>197</v>
      </c>
      <c r="J676" s="5" t="s">
        <v>262</v>
      </c>
      <c r="K676" s="8">
        <f>2167</f>
        <v>2167</v>
      </c>
      <c r="L676" s="6" t="s">
        <v>242</v>
      </c>
      <c r="M676" s="5" t="s">
        <v>267</v>
      </c>
      <c r="N676" s="5" t="s">
        <v>237</v>
      </c>
      <c r="O676" s="5" t="s">
        <v>238</v>
      </c>
      <c r="P676" s="5" t="s">
        <v>238</v>
      </c>
      <c r="Q676" s="5" t="s">
        <v>239</v>
      </c>
      <c r="R676" s="5" t="s">
        <v>240</v>
      </c>
      <c r="S676" s="5" t="s">
        <v>238</v>
      </c>
      <c r="V676" s="5" t="s">
        <v>238</v>
      </c>
      <c r="X676" s="6" t="s">
        <v>238</v>
      </c>
      <c r="AA676" s="6" t="s">
        <v>243</v>
      </c>
      <c r="AB676" s="5" t="s">
        <v>238</v>
      </c>
      <c r="AC676" s="5" t="s">
        <v>244</v>
      </c>
      <c r="AD676" s="5" t="s">
        <v>245</v>
      </c>
      <c r="AT676" s="5" t="s">
        <v>246</v>
      </c>
      <c r="AU676" s="5" t="s">
        <v>238</v>
      </c>
      <c r="AV676" s="5" t="s">
        <v>247</v>
      </c>
      <c r="AW676" s="5" t="s">
        <v>238</v>
      </c>
      <c r="AX676" s="5" t="s">
        <v>249</v>
      </c>
      <c r="AY676" s="5" t="s">
        <v>238</v>
      </c>
      <c r="BA676" s="5" t="s">
        <v>238</v>
      </c>
      <c r="BC676" s="5" t="s">
        <v>250</v>
      </c>
      <c r="BD676" s="6" t="s">
        <v>243</v>
      </c>
      <c r="BE676" s="5" t="s">
        <v>251</v>
      </c>
      <c r="BF676" s="5" t="s">
        <v>252</v>
      </c>
      <c r="BG676" s="5" t="s">
        <v>238</v>
      </c>
      <c r="BH676" s="7">
        <f>0</f>
        <v>0</v>
      </c>
      <c r="BI676" s="8">
        <f>0</f>
        <v>0</v>
      </c>
      <c r="BJ676" s="5" t="s">
        <v>253</v>
      </c>
      <c r="BK676" s="5" t="s">
        <v>254</v>
      </c>
      <c r="BY676" s="5" t="s">
        <v>238</v>
      </c>
      <c r="BZ676" s="5" t="s">
        <v>238</v>
      </c>
      <c r="CD676" s="5" t="s">
        <v>255</v>
      </c>
      <c r="CE676" s="5" t="s">
        <v>256</v>
      </c>
      <c r="CF676" s="5" t="s">
        <v>238</v>
      </c>
      <c r="CI676" s="6" t="s">
        <v>257</v>
      </c>
      <c r="CJ676" s="5" t="s">
        <v>238</v>
      </c>
      <c r="CK676" s="5" t="s">
        <v>258</v>
      </c>
      <c r="CL676" s="5" t="s">
        <v>238</v>
      </c>
      <c r="CM676" s="5" t="s">
        <v>238</v>
      </c>
      <c r="CN676" s="5">
        <v>0</v>
      </c>
      <c r="CO676" s="5" t="s">
        <v>259</v>
      </c>
      <c r="CP676" s="5" t="s">
        <v>260</v>
      </c>
      <c r="CQ676" s="5" t="s">
        <v>260</v>
      </c>
      <c r="CR676" s="5" t="s">
        <v>261</v>
      </c>
      <c r="CU676" s="8">
        <f>2167</f>
        <v>2167</v>
      </c>
      <c r="CV676" s="8">
        <f>0</f>
        <v>0</v>
      </c>
      <c r="CX676" s="8">
        <f>0</f>
        <v>0</v>
      </c>
      <c r="CY676" s="8">
        <f>2167</f>
        <v>2167</v>
      </c>
      <c r="DA676" s="5" t="s">
        <v>533</v>
      </c>
      <c r="DB676" s="5" t="s">
        <v>238</v>
      </c>
      <c r="DD676" s="5" t="s">
        <v>533</v>
      </c>
      <c r="DE676" s="8">
        <f>197</f>
        <v>197</v>
      </c>
      <c r="DG676" s="5" t="s">
        <v>534</v>
      </c>
      <c r="DH676" s="5" t="s">
        <v>238</v>
      </c>
      <c r="DI676" s="5" t="s">
        <v>238</v>
      </c>
      <c r="DJ676" s="5" t="s">
        <v>238</v>
      </c>
      <c r="DN676" s="5" t="s">
        <v>238</v>
      </c>
      <c r="DO676" s="5" t="s">
        <v>238</v>
      </c>
      <c r="DP676" s="5" t="s">
        <v>238</v>
      </c>
      <c r="DQ676" s="5" t="s">
        <v>238</v>
      </c>
      <c r="DT676" s="5" t="s">
        <v>535</v>
      </c>
      <c r="DU676" s="5" t="s">
        <v>590</v>
      </c>
      <c r="HM676" s="5" t="s">
        <v>264</v>
      </c>
    </row>
    <row r="677" spans="1:221" x14ac:dyDescent="0.4">
      <c r="A677" s="5">
        <v>1539</v>
      </c>
      <c r="B677" s="5">
        <v>1</v>
      </c>
      <c r="C677" s="5">
        <v>1</v>
      </c>
      <c r="D677" s="5" t="s">
        <v>484</v>
      </c>
      <c r="E677" s="5" t="s">
        <v>485</v>
      </c>
      <c r="F677" s="5" t="s">
        <v>248</v>
      </c>
      <c r="G677" s="5" t="s">
        <v>531</v>
      </c>
      <c r="H677" s="6" t="s">
        <v>5657</v>
      </c>
      <c r="I677" s="7">
        <f>6188</f>
        <v>6188</v>
      </c>
      <c r="J677" s="5" t="s">
        <v>262</v>
      </c>
      <c r="K677" s="8">
        <f>68068</f>
        <v>68068</v>
      </c>
      <c r="L677" s="6" t="s">
        <v>242</v>
      </c>
      <c r="M677" s="5" t="s">
        <v>267</v>
      </c>
      <c r="N677" s="5" t="s">
        <v>237</v>
      </c>
      <c r="O677" s="5" t="s">
        <v>238</v>
      </c>
      <c r="P677" s="5" t="s">
        <v>238</v>
      </c>
      <c r="Q677" s="5" t="s">
        <v>239</v>
      </c>
      <c r="R677" s="5" t="s">
        <v>240</v>
      </c>
      <c r="S677" s="5" t="s">
        <v>238</v>
      </c>
      <c r="V677" s="5" t="s">
        <v>238</v>
      </c>
      <c r="X677" s="6" t="s">
        <v>238</v>
      </c>
      <c r="AA677" s="6" t="s">
        <v>243</v>
      </c>
      <c r="AB677" s="5" t="s">
        <v>238</v>
      </c>
      <c r="AC677" s="5" t="s">
        <v>244</v>
      </c>
      <c r="AD677" s="5" t="s">
        <v>245</v>
      </c>
      <c r="AT677" s="5" t="s">
        <v>246</v>
      </c>
      <c r="AU677" s="5" t="s">
        <v>238</v>
      </c>
      <c r="AV677" s="5" t="s">
        <v>247</v>
      </c>
      <c r="AW677" s="5" t="s">
        <v>238</v>
      </c>
      <c r="AX677" s="5" t="s">
        <v>249</v>
      </c>
      <c r="AY677" s="5" t="s">
        <v>238</v>
      </c>
      <c r="BA677" s="5" t="s">
        <v>238</v>
      </c>
      <c r="BC677" s="5" t="s">
        <v>250</v>
      </c>
      <c r="BD677" s="6" t="s">
        <v>243</v>
      </c>
      <c r="BE677" s="5" t="s">
        <v>251</v>
      </c>
      <c r="BF677" s="5" t="s">
        <v>252</v>
      </c>
      <c r="BG677" s="5" t="s">
        <v>238</v>
      </c>
      <c r="BH677" s="7">
        <f>0</f>
        <v>0</v>
      </c>
      <c r="BI677" s="8">
        <f>0</f>
        <v>0</v>
      </c>
      <c r="BJ677" s="5" t="s">
        <v>253</v>
      </c>
      <c r="BK677" s="5" t="s">
        <v>254</v>
      </c>
      <c r="BY677" s="5" t="s">
        <v>238</v>
      </c>
      <c r="BZ677" s="5" t="s">
        <v>238</v>
      </c>
      <c r="CD677" s="5" t="s">
        <v>255</v>
      </c>
      <c r="CE677" s="5" t="s">
        <v>256</v>
      </c>
      <c r="CF677" s="5" t="s">
        <v>238</v>
      </c>
      <c r="CI677" s="6" t="s">
        <v>257</v>
      </c>
      <c r="CJ677" s="5" t="s">
        <v>238</v>
      </c>
      <c r="CK677" s="5" t="s">
        <v>258</v>
      </c>
      <c r="CL677" s="5" t="s">
        <v>238</v>
      </c>
      <c r="CM677" s="5" t="s">
        <v>238</v>
      </c>
      <c r="CN677" s="5">
        <v>0</v>
      </c>
      <c r="CO677" s="5" t="s">
        <v>259</v>
      </c>
      <c r="CP677" s="5" t="s">
        <v>260</v>
      </c>
      <c r="CQ677" s="5" t="s">
        <v>260</v>
      </c>
      <c r="CR677" s="5" t="s">
        <v>261</v>
      </c>
      <c r="CU677" s="8">
        <f>68068</f>
        <v>68068</v>
      </c>
      <c r="CV677" s="8">
        <f>0</f>
        <v>0</v>
      </c>
      <c r="CX677" s="8">
        <f>0</f>
        <v>0</v>
      </c>
      <c r="CY677" s="8">
        <f>68068</f>
        <v>68068</v>
      </c>
      <c r="DA677" s="5" t="s">
        <v>533</v>
      </c>
      <c r="DB677" s="5" t="s">
        <v>238</v>
      </c>
      <c r="DD677" s="5" t="s">
        <v>533</v>
      </c>
      <c r="DE677" s="8">
        <f>6188</f>
        <v>6188</v>
      </c>
      <c r="DG677" s="5" t="s">
        <v>534</v>
      </c>
      <c r="DH677" s="5" t="s">
        <v>238</v>
      </c>
      <c r="DI677" s="5" t="s">
        <v>238</v>
      </c>
      <c r="DJ677" s="5" t="s">
        <v>238</v>
      </c>
      <c r="DN677" s="5" t="s">
        <v>238</v>
      </c>
      <c r="DO677" s="5" t="s">
        <v>238</v>
      </c>
      <c r="DP677" s="5" t="s">
        <v>238</v>
      </c>
      <c r="DQ677" s="5" t="s">
        <v>238</v>
      </c>
      <c r="DT677" s="5" t="s">
        <v>535</v>
      </c>
      <c r="DU677" s="5" t="s">
        <v>592</v>
      </c>
      <c r="HM677" s="5" t="s">
        <v>264</v>
      </c>
    </row>
    <row r="678" spans="1:221" x14ac:dyDescent="0.4">
      <c r="A678" s="5">
        <v>1540</v>
      </c>
      <c r="B678" s="5">
        <v>1</v>
      </c>
      <c r="C678" s="5">
        <v>1</v>
      </c>
      <c r="D678" s="5" t="s">
        <v>484</v>
      </c>
      <c r="E678" s="5" t="s">
        <v>485</v>
      </c>
      <c r="F678" s="5" t="s">
        <v>248</v>
      </c>
      <c r="G678" s="5" t="s">
        <v>531</v>
      </c>
      <c r="H678" s="6" t="s">
        <v>5659</v>
      </c>
      <c r="I678" s="7">
        <f>61447</f>
        <v>61447</v>
      </c>
      <c r="J678" s="5" t="s">
        <v>262</v>
      </c>
      <c r="K678" s="8">
        <f>675917</f>
        <v>675917</v>
      </c>
      <c r="L678" s="6" t="s">
        <v>242</v>
      </c>
      <c r="M678" s="5" t="s">
        <v>267</v>
      </c>
      <c r="N678" s="5" t="s">
        <v>237</v>
      </c>
      <c r="O678" s="5" t="s">
        <v>238</v>
      </c>
      <c r="P678" s="5" t="s">
        <v>238</v>
      </c>
      <c r="Q678" s="5" t="s">
        <v>239</v>
      </c>
      <c r="R678" s="5" t="s">
        <v>240</v>
      </c>
      <c r="S678" s="5" t="s">
        <v>238</v>
      </c>
      <c r="V678" s="5" t="s">
        <v>238</v>
      </c>
      <c r="X678" s="6" t="s">
        <v>238</v>
      </c>
      <c r="AA678" s="6" t="s">
        <v>243</v>
      </c>
      <c r="AB678" s="5" t="s">
        <v>238</v>
      </c>
      <c r="AC678" s="5" t="s">
        <v>244</v>
      </c>
      <c r="AD678" s="5" t="s">
        <v>245</v>
      </c>
      <c r="AT678" s="5" t="s">
        <v>246</v>
      </c>
      <c r="AU678" s="5" t="s">
        <v>238</v>
      </c>
      <c r="AV678" s="5" t="s">
        <v>247</v>
      </c>
      <c r="AW678" s="5" t="s">
        <v>238</v>
      </c>
      <c r="AX678" s="5" t="s">
        <v>249</v>
      </c>
      <c r="AY678" s="5" t="s">
        <v>238</v>
      </c>
      <c r="BA678" s="5" t="s">
        <v>238</v>
      </c>
      <c r="BC678" s="5" t="s">
        <v>250</v>
      </c>
      <c r="BD678" s="6" t="s">
        <v>243</v>
      </c>
      <c r="BE678" s="5" t="s">
        <v>251</v>
      </c>
      <c r="BF678" s="5" t="s">
        <v>252</v>
      </c>
      <c r="BG678" s="5" t="s">
        <v>238</v>
      </c>
      <c r="BH678" s="7">
        <f>0</f>
        <v>0</v>
      </c>
      <c r="BI678" s="8">
        <f>0</f>
        <v>0</v>
      </c>
      <c r="BJ678" s="5" t="s">
        <v>253</v>
      </c>
      <c r="BK678" s="5" t="s">
        <v>254</v>
      </c>
      <c r="BY678" s="5" t="s">
        <v>238</v>
      </c>
      <c r="BZ678" s="5" t="s">
        <v>238</v>
      </c>
      <c r="CD678" s="5" t="s">
        <v>255</v>
      </c>
      <c r="CE678" s="5" t="s">
        <v>256</v>
      </c>
      <c r="CF678" s="5" t="s">
        <v>238</v>
      </c>
      <c r="CI678" s="6" t="s">
        <v>257</v>
      </c>
      <c r="CJ678" s="5" t="s">
        <v>238</v>
      </c>
      <c r="CK678" s="5" t="s">
        <v>258</v>
      </c>
      <c r="CL678" s="5" t="s">
        <v>238</v>
      </c>
      <c r="CM678" s="5" t="s">
        <v>238</v>
      </c>
      <c r="CN678" s="5">
        <v>0</v>
      </c>
      <c r="CO678" s="5" t="s">
        <v>259</v>
      </c>
      <c r="CP678" s="5" t="s">
        <v>260</v>
      </c>
      <c r="CQ678" s="5" t="s">
        <v>260</v>
      </c>
      <c r="CR678" s="5" t="s">
        <v>261</v>
      </c>
      <c r="CU678" s="8">
        <f>675917</f>
        <v>675917</v>
      </c>
      <c r="CV678" s="8">
        <f>0</f>
        <v>0</v>
      </c>
      <c r="CX678" s="8">
        <f>0</f>
        <v>0</v>
      </c>
      <c r="CY678" s="8">
        <f>675917</f>
        <v>675917</v>
      </c>
      <c r="DA678" s="5" t="s">
        <v>533</v>
      </c>
      <c r="DB678" s="5" t="s">
        <v>238</v>
      </c>
      <c r="DD678" s="5" t="s">
        <v>533</v>
      </c>
      <c r="DE678" s="8">
        <f>61447</f>
        <v>61447</v>
      </c>
      <c r="DG678" s="5" t="s">
        <v>534</v>
      </c>
      <c r="DH678" s="5" t="s">
        <v>238</v>
      </c>
      <c r="DI678" s="5" t="s">
        <v>238</v>
      </c>
      <c r="DJ678" s="5" t="s">
        <v>238</v>
      </c>
      <c r="DN678" s="5" t="s">
        <v>238</v>
      </c>
      <c r="DO678" s="5" t="s">
        <v>238</v>
      </c>
      <c r="DP678" s="5" t="s">
        <v>238</v>
      </c>
      <c r="DQ678" s="5" t="s">
        <v>238</v>
      </c>
      <c r="DT678" s="5" t="s">
        <v>535</v>
      </c>
      <c r="DU678" s="5" t="s">
        <v>596</v>
      </c>
      <c r="HM678" s="5" t="s">
        <v>264</v>
      </c>
    </row>
    <row r="679" spans="1:221" x14ac:dyDescent="0.4">
      <c r="A679" s="5">
        <v>1541</v>
      </c>
      <c r="B679" s="5">
        <v>1</v>
      </c>
      <c r="C679" s="5">
        <v>1</v>
      </c>
      <c r="D679" s="5" t="s">
        <v>484</v>
      </c>
      <c r="E679" s="5" t="s">
        <v>485</v>
      </c>
      <c r="F679" s="5" t="s">
        <v>248</v>
      </c>
      <c r="G679" s="5" t="s">
        <v>531</v>
      </c>
      <c r="H679" s="6" t="s">
        <v>5662</v>
      </c>
      <c r="I679" s="7">
        <f>20</f>
        <v>20</v>
      </c>
      <c r="J679" s="5" t="s">
        <v>262</v>
      </c>
      <c r="K679" s="8">
        <f>220</f>
        <v>220</v>
      </c>
      <c r="L679" s="6" t="s">
        <v>242</v>
      </c>
      <c r="M679" s="5" t="s">
        <v>267</v>
      </c>
      <c r="N679" s="5" t="s">
        <v>237</v>
      </c>
      <c r="O679" s="5" t="s">
        <v>238</v>
      </c>
      <c r="P679" s="5" t="s">
        <v>238</v>
      </c>
      <c r="Q679" s="5" t="s">
        <v>239</v>
      </c>
      <c r="R679" s="5" t="s">
        <v>240</v>
      </c>
      <c r="S679" s="5" t="s">
        <v>238</v>
      </c>
      <c r="V679" s="5" t="s">
        <v>238</v>
      </c>
      <c r="X679" s="6" t="s">
        <v>238</v>
      </c>
      <c r="AA679" s="6" t="s">
        <v>243</v>
      </c>
      <c r="AB679" s="5" t="s">
        <v>238</v>
      </c>
      <c r="AC679" s="5" t="s">
        <v>244</v>
      </c>
      <c r="AD679" s="5" t="s">
        <v>245</v>
      </c>
      <c r="AT679" s="5" t="s">
        <v>246</v>
      </c>
      <c r="AU679" s="5" t="s">
        <v>238</v>
      </c>
      <c r="AV679" s="5" t="s">
        <v>247</v>
      </c>
      <c r="AW679" s="5" t="s">
        <v>238</v>
      </c>
      <c r="AX679" s="5" t="s">
        <v>249</v>
      </c>
      <c r="AY679" s="5" t="s">
        <v>238</v>
      </c>
      <c r="BA679" s="5" t="s">
        <v>238</v>
      </c>
      <c r="BC679" s="5" t="s">
        <v>250</v>
      </c>
      <c r="BD679" s="6" t="s">
        <v>243</v>
      </c>
      <c r="BE679" s="5" t="s">
        <v>251</v>
      </c>
      <c r="BF679" s="5" t="s">
        <v>252</v>
      </c>
      <c r="BG679" s="5" t="s">
        <v>238</v>
      </c>
      <c r="BH679" s="7">
        <f>0</f>
        <v>0</v>
      </c>
      <c r="BI679" s="8">
        <f>0</f>
        <v>0</v>
      </c>
      <c r="BJ679" s="5" t="s">
        <v>253</v>
      </c>
      <c r="BK679" s="5" t="s">
        <v>254</v>
      </c>
      <c r="BY679" s="5" t="s">
        <v>238</v>
      </c>
      <c r="BZ679" s="5" t="s">
        <v>238</v>
      </c>
      <c r="CD679" s="5" t="s">
        <v>255</v>
      </c>
      <c r="CE679" s="5" t="s">
        <v>256</v>
      </c>
      <c r="CF679" s="5" t="s">
        <v>238</v>
      </c>
      <c r="CI679" s="6" t="s">
        <v>257</v>
      </c>
      <c r="CJ679" s="5" t="s">
        <v>238</v>
      </c>
      <c r="CK679" s="5" t="s">
        <v>258</v>
      </c>
      <c r="CL679" s="5" t="s">
        <v>238</v>
      </c>
      <c r="CM679" s="5" t="s">
        <v>238</v>
      </c>
      <c r="CN679" s="5">
        <v>0</v>
      </c>
      <c r="CO679" s="5" t="s">
        <v>259</v>
      </c>
      <c r="CP679" s="5" t="s">
        <v>260</v>
      </c>
      <c r="CQ679" s="5" t="s">
        <v>260</v>
      </c>
      <c r="CR679" s="5" t="s">
        <v>261</v>
      </c>
      <c r="CU679" s="8">
        <f>220</f>
        <v>220</v>
      </c>
      <c r="CV679" s="8">
        <f>0</f>
        <v>0</v>
      </c>
      <c r="CX679" s="8">
        <f>0</f>
        <v>0</v>
      </c>
      <c r="CY679" s="8">
        <f>220</f>
        <v>220</v>
      </c>
      <c r="DA679" s="5" t="s">
        <v>533</v>
      </c>
      <c r="DB679" s="5" t="s">
        <v>238</v>
      </c>
      <c r="DD679" s="5" t="s">
        <v>533</v>
      </c>
      <c r="DE679" s="8">
        <f>20</f>
        <v>20</v>
      </c>
      <c r="DG679" s="5" t="s">
        <v>534</v>
      </c>
      <c r="DH679" s="5" t="s">
        <v>238</v>
      </c>
      <c r="DI679" s="5" t="s">
        <v>238</v>
      </c>
      <c r="DJ679" s="5" t="s">
        <v>238</v>
      </c>
      <c r="DN679" s="5" t="s">
        <v>238</v>
      </c>
      <c r="DO679" s="5" t="s">
        <v>238</v>
      </c>
      <c r="DP679" s="5" t="s">
        <v>238</v>
      </c>
      <c r="DQ679" s="5" t="s">
        <v>238</v>
      </c>
      <c r="DT679" s="5" t="s">
        <v>535</v>
      </c>
      <c r="DU679" s="5" t="s">
        <v>604</v>
      </c>
      <c r="HM679" s="5" t="s">
        <v>264</v>
      </c>
    </row>
    <row r="680" spans="1:221" x14ac:dyDescent="0.4">
      <c r="A680" s="5">
        <v>1542</v>
      </c>
      <c r="B680" s="5">
        <v>1</v>
      </c>
      <c r="C680" s="5">
        <v>1</v>
      </c>
      <c r="D680" s="5" t="s">
        <v>484</v>
      </c>
      <c r="E680" s="5" t="s">
        <v>485</v>
      </c>
      <c r="F680" s="5" t="s">
        <v>248</v>
      </c>
      <c r="G680" s="5" t="s">
        <v>531</v>
      </c>
      <c r="H680" s="6" t="s">
        <v>5664</v>
      </c>
      <c r="I680" s="7">
        <f>79</f>
        <v>79</v>
      </c>
      <c r="J680" s="5" t="s">
        <v>262</v>
      </c>
      <c r="K680" s="8">
        <f>869</f>
        <v>869</v>
      </c>
      <c r="L680" s="6" t="s">
        <v>242</v>
      </c>
      <c r="M680" s="5" t="s">
        <v>267</v>
      </c>
      <c r="N680" s="5" t="s">
        <v>237</v>
      </c>
      <c r="O680" s="5" t="s">
        <v>238</v>
      </c>
      <c r="P680" s="5" t="s">
        <v>238</v>
      </c>
      <c r="Q680" s="5" t="s">
        <v>239</v>
      </c>
      <c r="R680" s="5" t="s">
        <v>240</v>
      </c>
      <c r="S680" s="5" t="s">
        <v>238</v>
      </c>
      <c r="V680" s="5" t="s">
        <v>238</v>
      </c>
      <c r="X680" s="6" t="s">
        <v>238</v>
      </c>
      <c r="AA680" s="6" t="s">
        <v>243</v>
      </c>
      <c r="AB680" s="5" t="s">
        <v>238</v>
      </c>
      <c r="AC680" s="5" t="s">
        <v>244</v>
      </c>
      <c r="AD680" s="5" t="s">
        <v>245</v>
      </c>
      <c r="AT680" s="5" t="s">
        <v>246</v>
      </c>
      <c r="AU680" s="5" t="s">
        <v>238</v>
      </c>
      <c r="AV680" s="5" t="s">
        <v>247</v>
      </c>
      <c r="AW680" s="5" t="s">
        <v>238</v>
      </c>
      <c r="AX680" s="5" t="s">
        <v>249</v>
      </c>
      <c r="AY680" s="5" t="s">
        <v>238</v>
      </c>
      <c r="BA680" s="5" t="s">
        <v>238</v>
      </c>
      <c r="BC680" s="5" t="s">
        <v>250</v>
      </c>
      <c r="BD680" s="6" t="s">
        <v>243</v>
      </c>
      <c r="BE680" s="5" t="s">
        <v>251</v>
      </c>
      <c r="BF680" s="5" t="s">
        <v>252</v>
      </c>
      <c r="BG680" s="5" t="s">
        <v>238</v>
      </c>
      <c r="BH680" s="7">
        <f>0</f>
        <v>0</v>
      </c>
      <c r="BI680" s="8">
        <f>0</f>
        <v>0</v>
      </c>
      <c r="BJ680" s="5" t="s">
        <v>253</v>
      </c>
      <c r="BK680" s="5" t="s">
        <v>254</v>
      </c>
      <c r="BY680" s="5" t="s">
        <v>238</v>
      </c>
      <c r="BZ680" s="5" t="s">
        <v>238</v>
      </c>
      <c r="CD680" s="5" t="s">
        <v>255</v>
      </c>
      <c r="CE680" s="5" t="s">
        <v>256</v>
      </c>
      <c r="CF680" s="5" t="s">
        <v>238</v>
      </c>
      <c r="CI680" s="6" t="s">
        <v>257</v>
      </c>
      <c r="CJ680" s="5" t="s">
        <v>238</v>
      </c>
      <c r="CK680" s="5" t="s">
        <v>258</v>
      </c>
      <c r="CL680" s="5" t="s">
        <v>238</v>
      </c>
      <c r="CM680" s="5" t="s">
        <v>238</v>
      </c>
      <c r="CN680" s="5">
        <v>0</v>
      </c>
      <c r="CO680" s="5" t="s">
        <v>259</v>
      </c>
      <c r="CP680" s="5" t="s">
        <v>260</v>
      </c>
      <c r="CQ680" s="5" t="s">
        <v>260</v>
      </c>
      <c r="CR680" s="5" t="s">
        <v>261</v>
      </c>
      <c r="CU680" s="8">
        <f>869</f>
        <v>869</v>
      </c>
      <c r="CV680" s="8">
        <f>0</f>
        <v>0</v>
      </c>
      <c r="CX680" s="8">
        <f>0</f>
        <v>0</v>
      </c>
      <c r="CY680" s="8">
        <f>869</f>
        <v>869</v>
      </c>
      <c r="DA680" s="5" t="s">
        <v>533</v>
      </c>
      <c r="DB680" s="5" t="s">
        <v>238</v>
      </c>
      <c r="DD680" s="5" t="s">
        <v>533</v>
      </c>
      <c r="DE680" s="8">
        <f>79</f>
        <v>79</v>
      </c>
      <c r="DG680" s="5" t="s">
        <v>534</v>
      </c>
      <c r="DH680" s="5" t="s">
        <v>238</v>
      </c>
      <c r="DI680" s="5" t="s">
        <v>238</v>
      </c>
      <c r="DJ680" s="5" t="s">
        <v>238</v>
      </c>
      <c r="DN680" s="5" t="s">
        <v>238</v>
      </c>
      <c r="DO680" s="5" t="s">
        <v>238</v>
      </c>
      <c r="DP680" s="5" t="s">
        <v>238</v>
      </c>
      <c r="DQ680" s="5" t="s">
        <v>238</v>
      </c>
      <c r="DT680" s="5" t="s">
        <v>535</v>
      </c>
      <c r="DU680" s="5" t="s">
        <v>606</v>
      </c>
      <c r="HM680" s="5" t="s">
        <v>264</v>
      </c>
    </row>
    <row r="681" spans="1:221" x14ac:dyDescent="0.4">
      <c r="A681" s="5">
        <v>1543</v>
      </c>
      <c r="B681" s="5">
        <v>1</v>
      </c>
      <c r="C681" s="5">
        <v>1</v>
      </c>
      <c r="D681" s="5" t="s">
        <v>484</v>
      </c>
      <c r="E681" s="5" t="s">
        <v>485</v>
      </c>
      <c r="F681" s="5" t="s">
        <v>248</v>
      </c>
      <c r="G681" s="5" t="s">
        <v>531</v>
      </c>
      <c r="H681" s="6" t="s">
        <v>5670</v>
      </c>
      <c r="I681" s="7">
        <f>24</f>
        <v>24</v>
      </c>
      <c r="J681" s="5" t="s">
        <v>262</v>
      </c>
      <c r="K681" s="8">
        <f>264</f>
        <v>264</v>
      </c>
      <c r="L681" s="6" t="s">
        <v>242</v>
      </c>
      <c r="M681" s="5" t="s">
        <v>267</v>
      </c>
      <c r="N681" s="5" t="s">
        <v>237</v>
      </c>
      <c r="O681" s="5" t="s">
        <v>238</v>
      </c>
      <c r="P681" s="5" t="s">
        <v>238</v>
      </c>
      <c r="Q681" s="5" t="s">
        <v>239</v>
      </c>
      <c r="R681" s="5" t="s">
        <v>240</v>
      </c>
      <c r="S681" s="5" t="s">
        <v>238</v>
      </c>
      <c r="V681" s="5" t="s">
        <v>238</v>
      </c>
      <c r="X681" s="6" t="s">
        <v>238</v>
      </c>
      <c r="AA681" s="6" t="s">
        <v>243</v>
      </c>
      <c r="AB681" s="5" t="s">
        <v>238</v>
      </c>
      <c r="AC681" s="5" t="s">
        <v>244</v>
      </c>
      <c r="AD681" s="5" t="s">
        <v>245</v>
      </c>
      <c r="AT681" s="5" t="s">
        <v>246</v>
      </c>
      <c r="AU681" s="5" t="s">
        <v>238</v>
      </c>
      <c r="AV681" s="5" t="s">
        <v>247</v>
      </c>
      <c r="AW681" s="5" t="s">
        <v>238</v>
      </c>
      <c r="AX681" s="5" t="s">
        <v>249</v>
      </c>
      <c r="AY681" s="5" t="s">
        <v>238</v>
      </c>
      <c r="BA681" s="5" t="s">
        <v>238</v>
      </c>
      <c r="BC681" s="5" t="s">
        <v>250</v>
      </c>
      <c r="BD681" s="6" t="s">
        <v>243</v>
      </c>
      <c r="BE681" s="5" t="s">
        <v>251</v>
      </c>
      <c r="BF681" s="5" t="s">
        <v>252</v>
      </c>
      <c r="BG681" s="5" t="s">
        <v>238</v>
      </c>
      <c r="BH681" s="7">
        <f>0</f>
        <v>0</v>
      </c>
      <c r="BI681" s="8">
        <f>0</f>
        <v>0</v>
      </c>
      <c r="BJ681" s="5" t="s">
        <v>253</v>
      </c>
      <c r="BK681" s="5" t="s">
        <v>254</v>
      </c>
      <c r="BY681" s="5" t="s">
        <v>238</v>
      </c>
      <c r="BZ681" s="5" t="s">
        <v>238</v>
      </c>
      <c r="CD681" s="5" t="s">
        <v>255</v>
      </c>
      <c r="CE681" s="5" t="s">
        <v>256</v>
      </c>
      <c r="CF681" s="5" t="s">
        <v>238</v>
      </c>
      <c r="CI681" s="6" t="s">
        <v>257</v>
      </c>
      <c r="CJ681" s="5" t="s">
        <v>238</v>
      </c>
      <c r="CK681" s="5" t="s">
        <v>258</v>
      </c>
      <c r="CL681" s="5" t="s">
        <v>238</v>
      </c>
      <c r="CM681" s="5" t="s">
        <v>238</v>
      </c>
      <c r="CN681" s="5">
        <v>0</v>
      </c>
      <c r="CO681" s="5" t="s">
        <v>259</v>
      </c>
      <c r="CP681" s="5" t="s">
        <v>260</v>
      </c>
      <c r="CQ681" s="5" t="s">
        <v>260</v>
      </c>
      <c r="CR681" s="5" t="s">
        <v>261</v>
      </c>
      <c r="CU681" s="8">
        <f>264</f>
        <v>264</v>
      </c>
      <c r="CV681" s="8">
        <f>0</f>
        <v>0</v>
      </c>
      <c r="CX681" s="8">
        <f>0</f>
        <v>0</v>
      </c>
      <c r="CY681" s="8">
        <f>264</f>
        <v>264</v>
      </c>
      <c r="DA681" s="5" t="s">
        <v>533</v>
      </c>
      <c r="DB681" s="5" t="s">
        <v>238</v>
      </c>
      <c r="DD681" s="5" t="s">
        <v>533</v>
      </c>
      <c r="DE681" s="8">
        <f>24</f>
        <v>24</v>
      </c>
      <c r="DG681" s="5" t="s">
        <v>534</v>
      </c>
      <c r="DH681" s="5" t="s">
        <v>238</v>
      </c>
      <c r="DI681" s="5" t="s">
        <v>238</v>
      </c>
      <c r="DJ681" s="5" t="s">
        <v>238</v>
      </c>
      <c r="DN681" s="5" t="s">
        <v>238</v>
      </c>
      <c r="DO681" s="5" t="s">
        <v>238</v>
      </c>
      <c r="DP681" s="5" t="s">
        <v>238</v>
      </c>
      <c r="DQ681" s="5" t="s">
        <v>238</v>
      </c>
      <c r="DT681" s="5" t="s">
        <v>535</v>
      </c>
      <c r="DU681" s="5" t="s">
        <v>610</v>
      </c>
      <c r="HM681" s="5" t="s">
        <v>264</v>
      </c>
    </row>
    <row r="682" spans="1:221" x14ac:dyDescent="0.4">
      <c r="A682" s="5">
        <v>1544</v>
      </c>
      <c r="B682" s="5">
        <v>1</v>
      </c>
      <c r="C682" s="5">
        <v>1</v>
      </c>
      <c r="D682" s="5" t="s">
        <v>484</v>
      </c>
      <c r="E682" s="5" t="s">
        <v>485</v>
      </c>
      <c r="F682" s="5" t="s">
        <v>248</v>
      </c>
      <c r="G682" s="5" t="s">
        <v>531</v>
      </c>
      <c r="H682" s="6" t="s">
        <v>5673</v>
      </c>
      <c r="I682" s="7">
        <f>69</f>
        <v>69</v>
      </c>
      <c r="J682" s="5" t="s">
        <v>262</v>
      </c>
      <c r="K682" s="8">
        <f>759</f>
        <v>759</v>
      </c>
      <c r="L682" s="6" t="s">
        <v>242</v>
      </c>
      <c r="M682" s="5" t="s">
        <v>267</v>
      </c>
      <c r="N682" s="5" t="s">
        <v>237</v>
      </c>
      <c r="O682" s="5" t="s">
        <v>238</v>
      </c>
      <c r="P682" s="5" t="s">
        <v>238</v>
      </c>
      <c r="Q682" s="5" t="s">
        <v>239</v>
      </c>
      <c r="R682" s="5" t="s">
        <v>240</v>
      </c>
      <c r="S682" s="5" t="s">
        <v>238</v>
      </c>
      <c r="V682" s="5" t="s">
        <v>238</v>
      </c>
      <c r="X682" s="6" t="s">
        <v>238</v>
      </c>
      <c r="AA682" s="6" t="s">
        <v>243</v>
      </c>
      <c r="AB682" s="5" t="s">
        <v>238</v>
      </c>
      <c r="AC682" s="5" t="s">
        <v>244</v>
      </c>
      <c r="AD682" s="5" t="s">
        <v>245</v>
      </c>
      <c r="AT682" s="5" t="s">
        <v>246</v>
      </c>
      <c r="AU682" s="5" t="s">
        <v>238</v>
      </c>
      <c r="AV682" s="5" t="s">
        <v>247</v>
      </c>
      <c r="AW682" s="5" t="s">
        <v>238</v>
      </c>
      <c r="AX682" s="5" t="s">
        <v>249</v>
      </c>
      <c r="AY682" s="5" t="s">
        <v>238</v>
      </c>
      <c r="BA682" s="5" t="s">
        <v>238</v>
      </c>
      <c r="BC682" s="5" t="s">
        <v>250</v>
      </c>
      <c r="BD682" s="6" t="s">
        <v>243</v>
      </c>
      <c r="BE682" s="5" t="s">
        <v>251</v>
      </c>
      <c r="BF682" s="5" t="s">
        <v>252</v>
      </c>
      <c r="BG682" s="5" t="s">
        <v>238</v>
      </c>
      <c r="BH682" s="7">
        <f>0</f>
        <v>0</v>
      </c>
      <c r="BI682" s="8">
        <f>0</f>
        <v>0</v>
      </c>
      <c r="BJ682" s="5" t="s">
        <v>253</v>
      </c>
      <c r="BK682" s="5" t="s">
        <v>254</v>
      </c>
      <c r="BY682" s="5" t="s">
        <v>238</v>
      </c>
      <c r="BZ682" s="5" t="s">
        <v>238</v>
      </c>
      <c r="CD682" s="5" t="s">
        <v>255</v>
      </c>
      <c r="CE682" s="5" t="s">
        <v>256</v>
      </c>
      <c r="CF682" s="5" t="s">
        <v>238</v>
      </c>
      <c r="CI682" s="6" t="s">
        <v>257</v>
      </c>
      <c r="CJ682" s="5" t="s">
        <v>238</v>
      </c>
      <c r="CK682" s="5" t="s">
        <v>258</v>
      </c>
      <c r="CL682" s="5" t="s">
        <v>238</v>
      </c>
      <c r="CM682" s="5" t="s">
        <v>238</v>
      </c>
      <c r="CN682" s="5">
        <v>0</v>
      </c>
      <c r="CO682" s="5" t="s">
        <v>259</v>
      </c>
      <c r="CP682" s="5" t="s">
        <v>260</v>
      </c>
      <c r="CQ682" s="5" t="s">
        <v>260</v>
      </c>
      <c r="CR682" s="5" t="s">
        <v>261</v>
      </c>
      <c r="CU682" s="8">
        <f>759</f>
        <v>759</v>
      </c>
      <c r="CV682" s="8">
        <f>0</f>
        <v>0</v>
      </c>
      <c r="CX682" s="8">
        <f>0</f>
        <v>0</v>
      </c>
      <c r="CY682" s="8">
        <f>759</f>
        <v>759</v>
      </c>
      <c r="DA682" s="5" t="s">
        <v>533</v>
      </c>
      <c r="DB682" s="5" t="s">
        <v>238</v>
      </c>
      <c r="DD682" s="5" t="s">
        <v>533</v>
      </c>
      <c r="DE682" s="8">
        <f>69</f>
        <v>69</v>
      </c>
      <c r="DG682" s="5" t="s">
        <v>534</v>
      </c>
      <c r="DH682" s="5" t="s">
        <v>238</v>
      </c>
      <c r="DI682" s="5" t="s">
        <v>238</v>
      </c>
      <c r="DJ682" s="5" t="s">
        <v>238</v>
      </c>
      <c r="DN682" s="5" t="s">
        <v>238</v>
      </c>
      <c r="DO682" s="5" t="s">
        <v>238</v>
      </c>
      <c r="DP682" s="5" t="s">
        <v>238</v>
      </c>
      <c r="DQ682" s="5" t="s">
        <v>238</v>
      </c>
      <c r="DT682" s="5" t="s">
        <v>535</v>
      </c>
      <c r="DU682" s="5" t="s">
        <v>612</v>
      </c>
      <c r="HM682" s="5" t="s">
        <v>264</v>
      </c>
    </row>
    <row r="683" spans="1:221" x14ac:dyDescent="0.4">
      <c r="A683" s="5">
        <v>1545</v>
      </c>
      <c r="B683" s="5">
        <v>1</v>
      </c>
      <c r="C683" s="5">
        <v>1</v>
      </c>
      <c r="D683" s="5" t="s">
        <v>484</v>
      </c>
      <c r="E683" s="5" t="s">
        <v>485</v>
      </c>
      <c r="F683" s="5" t="s">
        <v>248</v>
      </c>
      <c r="G683" s="5" t="s">
        <v>531</v>
      </c>
      <c r="H683" s="6" t="s">
        <v>5675</v>
      </c>
      <c r="I683" s="7">
        <f>250</f>
        <v>250</v>
      </c>
      <c r="J683" s="5" t="s">
        <v>262</v>
      </c>
      <c r="K683" s="8">
        <f>2750</f>
        <v>2750</v>
      </c>
      <c r="L683" s="6" t="s">
        <v>242</v>
      </c>
      <c r="M683" s="5" t="s">
        <v>267</v>
      </c>
      <c r="N683" s="5" t="s">
        <v>237</v>
      </c>
      <c r="O683" s="5" t="s">
        <v>238</v>
      </c>
      <c r="P683" s="5" t="s">
        <v>238</v>
      </c>
      <c r="Q683" s="5" t="s">
        <v>239</v>
      </c>
      <c r="R683" s="5" t="s">
        <v>240</v>
      </c>
      <c r="S683" s="5" t="s">
        <v>238</v>
      </c>
      <c r="V683" s="5" t="s">
        <v>238</v>
      </c>
      <c r="X683" s="6" t="s">
        <v>238</v>
      </c>
      <c r="AA683" s="6" t="s">
        <v>243</v>
      </c>
      <c r="AB683" s="5" t="s">
        <v>238</v>
      </c>
      <c r="AC683" s="5" t="s">
        <v>244</v>
      </c>
      <c r="AD683" s="5" t="s">
        <v>245</v>
      </c>
      <c r="AT683" s="5" t="s">
        <v>246</v>
      </c>
      <c r="AU683" s="5" t="s">
        <v>238</v>
      </c>
      <c r="AV683" s="5" t="s">
        <v>247</v>
      </c>
      <c r="AW683" s="5" t="s">
        <v>238</v>
      </c>
      <c r="AX683" s="5" t="s">
        <v>249</v>
      </c>
      <c r="AY683" s="5" t="s">
        <v>238</v>
      </c>
      <c r="BA683" s="5" t="s">
        <v>238</v>
      </c>
      <c r="BC683" s="5" t="s">
        <v>250</v>
      </c>
      <c r="BD683" s="6" t="s">
        <v>243</v>
      </c>
      <c r="BE683" s="5" t="s">
        <v>251</v>
      </c>
      <c r="BF683" s="5" t="s">
        <v>252</v>
      </c>
      <c r="BG683" s="5" t="s">
        <v>238</v>
      </c>
      <c r="BH683" s="7">
        <f>0</f>
        <v>0</v>
      </c>
      <c r="BI683" s="8">
        <f>0</f>
        <v>0</v>
      </c>
      <c r="BJ683" s="5" t="s">
        <v>253</v>
      </c>
      <c r="BK683" s="5" t="s">
        <v>254</v>
      </c>
      <c r="BY683" s="5" t="s">
        <v>238</v>
      </c>
      <c r="BZ683" s="5" t="s">
        <v>238</v>
      </c>
      <c r="CD683" s="5" t="s">
        <v>255</v>
      </c>
      <c r="CE683" s="5" t="s">
        <v>256</v>
      </c>
      <c r="CF683" s="5" t="s">
        <v>238</v>
      </c>
      <c r="CI683" s="6" t="s">
        <v>257</v>
      </c>
      <c r="CJ683" s="5" t="s">
        <v>238</v>
      </c>
      <c r="CK683" s="5" t="s">
        <v>258</v>
      </c>
      <c r="CL683" s="5" t="s">
        <v>238</v>
      </c>
      <c r="CM683" s="5" t="s">
        <v>238</v>
      </c>
      <c r="CN683" s="5">
        <v>0</v>
      </c>
      <c r="CO683" s="5" t="s">
        <v>259</v>
      </c>
      <c r="CP683" s="5" t="s">
        <v>260</v>
      </c>
      <c r="CQ683" s="5" t="s">
        <v>260</v>
      </c>
      <c r="CR683" s="5" t="s">
        <v>261</v>
      </c>
      <c r="CU683" s="8">
        <f>2750</f>
        <v>2750</v>
      </c>
      <c r="CV683" s="8">
        <f>0</f>
        <v>0</v>
      </c>
      <c r="CX683" s="8">
        <f>0</f>
        <v>0</v>
      </c>
      <c r="CY683" s="8">
        <f>2750</f>
        <v>2750</v>
      </c>
      <c r="DA683" s="5" t="s">
        <v>533</v>
      </c>
      <c r="DB683" s="5" t="s">
        <v>238</v>
      </c>
      <c r="DD683" s="5" t="s">
        <v>533</v>
      </c>
      <c r="DE683" s="8">
        <f>250</f>
        <v>250</v>
      </c>
      <c r="DG683" s="5" t="s">
        <v>534</v>
      </c>
      <c r="DH683" s="5" t="s">
        <v>238</v>
      </c>
      <c r="DI683" s="5" t="s">
        <v>238</v>
      </c>
      <c r="DJ683" s="5" t="s">
        <v>238</v>
      </c>
      <c r="DN683" s="5" t="s">
        <v>238</v>
      </c>
      <c r="DO683" s="5" t="s">
        <v>238</v>
      </c>
      <c r="DP683" s="5" t="s">
        <v>238</v>
      </c>
      <c r="DQ683" s="5" t="s">
        <v>238</v>
      </c>
      <c r="DT683" s="5" t="s">
        <v>535</v>
      </c>
      <c r="DU683" s="5" t="s">
        <v>614</v>
      </c>
      <c r="HM683" s="5" t="s">
        <v>264</v>
      </c>
    </row>
    <row r="684" spans="1:221" x14ac:dyDescent="0.4">
      <c r="A684" s="5">
        <v>1546</v>
      </c>
      <c r="B684" s="5">
        <v>1</v>
      </c>
      <c r="C684" s="5">
        <v>1</v>
      </c>
      <c r="D684" s="5" t="s">
        <v>484</v>
      </c>
      <c r="E684" s="5" t="s">
        <v>485</v>
      </c>
      <c r="F684" s="5" t="s">
        <v>248</v>
      </c>
      <c r="G684" s="5" t="s">
        <v>531</v>
      </c>
      <c r="H684" s="6" t="s">
        <v>5677</v>
      </c>
      <c r="I684" s="7">
        <f>205</f>
        <v>205</v>
      </c>
      <c r="J684" s="5" t="s">
        <v>262</v>
      </c>
      <c r="K684" s="8">
        <f>100450</f>
        <v>100450</v>
      </c>
      <c r="L684" s="6" t="s">
        <v>242</v>
      </c>
      <c r="M684" s="5" t="s">
        <v>267</v>
      </c>
      <c r="N684" s="5" t="s">
        <v>237</v>
      </c>
      <c r="O684" s="5" t="s">
        <v>238</v>
      </c>
      <c r="P684" s="5" t="s">
        <v>238</v>
      </c>
      <c r="Q684" s="5" t="s">
        <v>239</v>
      </c>
      <c r="R684" s="5" t="s">
        <v>240</v>
      </c>
      <c r="S684" s="5" t="s">
        <v>238</v>
      </c>
      <c r="V684" s="5" t="s">
        <v>238</v>
      </c>
      <c r="X684" s="6" t="s">
        <v>238</v>
      </c>
      <c r="AA684" s="6" t="s">
        <v>243</v>
      </c>
      <c r="AB684" s="5" t="s">
        <v>238</v>
      </c>
      <c r="AC684" s="5" t="s">
        <v>244</v>
      </c>
      <c r="AD684" s="5" t="s">
        <v>245</v>
      </c>
      <c r="AT684" s="5" t="s">
        <v>246</v>
      </c>
      <c r="AU684" s="5" t="s">
        <v>238</v>
      </c>
      <c r="AV684" s="5" t="s">
        <v>247</v>
      </c>
      <c r="AW684" s="5" t="s">
        <v>238</v>
      </c>
      <c r="AX684" s="5" t="s">
        <v>249</v>
      </c>
      <c r="AY684" s="5" t="s">
        <v>238</v>
      </c>
      <c r="BA684" s="5" t="s">
        <v>238</v>
      </c>
      <c r="BC684" s="5" t="s">
        <v>250</v>
      </c>
      <c r="BD684" s="6" t="s">
        <v>243</v>
      </c>
      <c r="BE684" s="5" t="s">
        <v>251</v>
      </c>
      <c r="BF684" s="5" t="s">
        <v>252</v>
      </c>
      <c r="BG684" s="5" t="s">
        <v>238</v>
      </c>
      <c r="BH684" s="7">
        <f>0</f>
        <v>0</v>
      </c>
      <c r="BI684" s="8">
        <f>0</f>
        <v>0</v>
      </c>
      <c r="BJ684" s="5" t="s">
        <v>253</v>
      </c>
      <c r="BK684" s="5" t="s">
        <v>254</v>
      </c>
      <c r="BY684" s="5" t="s">
        <v>238</v>
      </c>
      <c r="BZ684" s="5" t="s">
        <v>238</v>
      </c>
      <c r="CD684" s="5" t="s">
        <v>255</v>
      </c>
      <c r="CE684" s="5" t="s">
        <v>256</v>
      </c>
      <c r="CF684" s="5" t="s">
        <v>238</v>
      </c>
      <c r="CI684" s="6" t="s">
        <v>257</v>
      </c>
      <c r="CJ684" s="5" t="s">
        <v>238</v>
      </c>
      <c r="CK684" s="5" t="s">
        <v>258</v>
      </c>
      <c r="CL684" s="5" t="s">
        <v>238</v>
      </c>
      <c r="CM684" s="5" t="s">
        <v>238</v>
      </c>
      <c r="CN684" s="5">
        <v>0</v>
      </c>
      <c r="CO684" s="5" t="s">
        <v>259</v>
      </c>
      <c r="CP684" s="5" t="s">
        <v>260</v>
      </c>
      <c r="CQ684" s="5" t="s">
        <v>260</v>
      </c>
      <c r="CR684" s="5" t="s">
        <v>261</v>
      </c>
      <c r="CU684" s="8">
        <f>100450</f>
        <v>100450</v>
      </c>
      <c r="CV684" s="8">
        <f>0</f>
        <v>0</v>
      </c>
      <c r="CX684" s="8">
        <f>0</f>
        <v>0</v>
      </c>
      <c r="CY684" s="8">
        <f>100450</f>
        <v>100450</v>
      </c>
      <c r="DA684" s="5" t="s">
        <v>5678</v>
      </c>
      <c r="DB684" s="5" t="s">
        <v>238</v>
      </c>
      <c r="DD684" s="5" t="s">
        <v>5678</v>
      </c>
      <c r="DE684" s="8">
        <f>205</f>
        <v>205</v>
      </c>
      <c r="DG684" s="5" t="s">
        <v>356</v>
      </c>
      <c r="DH684" s="5" t="s">
        <v>238</v>
      </c>
      <c r="DI684" s="5" t="s">
        <v>238</v>
      </c>
      <c r="DJ684" s="5" t="s">
        <v>238</v>
      </c>
      <c r="DN684" s="5" t="s">
        <v>238</v>
      </c>
      <c r="DO684" s="5" t="s">
        <v>238</v>
      </c>
      <c r="DP684" s="5" t="s">
        <v>238</v>
      </c>
      <c r="DQ684" s="5" t="s">
        <v>238</v>
      </c>
      <c r="DT684" s="5" t="s">
        <v>535</v>
      </c>
      <c r="DU684" s="5" t="s">
        <v>618</v>
      </c>
      <c r="HM684" s="5" t="s">
        <v>264</v>
      </c>
    </row>
    <row r="685" spans="1:221" x14ac:dyDescent="0.4">
      <c r="A685" s="5">
        <v>1547</v>
      </c>
      <c r="B685" s="5">
        <v>1</v>
      </c>
      <c r="C685" s="5">
        <v>1</v>
      </c>
      <c r="D685" s="5" t="s">
        <v>484</v>
      </c>
      <c r="E685" s="5" t="s">
        <v>485</v>
      </c>
      <c r="F685" s="5" t="s">
        <v>248</v>
      </c>
      <c r="G685" s="5" t="s">
        <v>5738</v>
      </c>
      <c r="H685" s="6" t="s">
        <v>5739</v>
      </c>
      <c r="I685" s="7">
        <f>1942</f>
        <v>1942</v>
      </c>
      <c r="J685" s="5" t="s">
        <v>262</v>
      </c>
      <c r="K685" s="8">
        <f>21362</f>
        <v>21362</v>
      </c>
      <c r="L685" s="6" t="s">
        <v>242</v>
      </c>
      <c r="M685" s="5" t="s">
        <v>267</v>
      </c>
      <c r="N685" s="5" t="s">
        <v>237</v>
      </c>
      <c r="O685" s="5" t="s">
        <v>238</v>
      </c>
      <c r="P685" s="5" t="s">
        <v>238</v>
      </c>
      <c r="Q685" s="5" t="s">
        <v>239</v>
      </c>
      <c r="R685" s="5" t="s">
        <v>240</v>
      </c>
      <c r="S685" s="5" t="s">
        <v>238</v>
      </c>
      <c r="V685" s="5" t="s">
        <v>238</v>
      </c>
      <c r="X685" s="6" t="s">
        <v>238</v>
      </c>
      <c r="AA685" s="6" t="s">
        <v>243</v>
      </c>
      <c r="AB685" s="5" t="s">
        <v>238</v>
      </c>
      <c r="AC685" s="5" t="s">
        <v>244</v>
      </c>
      <c r="AD685" s="5" t="s">
        <v>245</v>
      </c>
      <c r="AT685" s="5" t="s">
        <v>246</v>
      </c>
      <c r="AU685" s="5" t="s">
        <v>238</v>
      </c>
      <c r="AV685" s="5" t="s">
        <v>247</v>
      </c>
      <c r="AW685" s="5" t="s">
        <v>238</v>
      </c>
      <c r="AX685" s="5" t="s">
        <v>249</v>
      </c>
      <c r="AY685" s="5" t="s">
        <v>238</v>
      </c>
      <c r="BA685" s="5" t="s">
        <v>1397</v>
      </c>
      <c r="BC685" s="5" t="s">
        <v>250</v>
      </c>
      <c r="BD685" s="6" t="s">
        <v>243</v>
      </c>
      <c r="BE685" s="5" t="s">
        <v>251</v>
      </c>
      <c r="BF685" s="5" t="s">
        <v>252</v>
      </c>
      <c r="BG685" s="5" t="s">
        <v>238</v>
      </c>
      <c r="BH685" s="7">
        <f>0</f>
        <v>0</v>
      </c>
      <c r="BI685" s="8">
        <f>0</f>
        <v>0</v>
      </c>
      <c r="BJ685" s="5" t="s">
        <v>253</v>
      </c>
      <c r="BK685" s="5" t="s">
        <v>254</v>
      </c>
      <c r="BY685" s="5" t="s">
        <v>238</v>
      </c>
      <c r="BZ685" s="5" t="s">
        <v>238</v>
      </c>
      <c r="CD685" s="5" t="s">
        <v>255</v>
      </c>
      <c r="CE685" s="5" t="s">
        <v>256</v>
      </c>
      <c r="CF685" s="5" t="s">
        <v>238</v>
      </c>
      <c r="CI685" s="6" t="s">
        <v>257</v>
      </c>
      <c r="CJ685" s="5" t="s">
        <v>238</v>
      </c>
      <c r="CK685" s="5" t="s">
        <v>258</v>
      </c>
      <c r="CL685" s="5" t="s">
        <v>238</v>
      </c>
      <c r="CM685" s="5" t="s">
        <v>238</v>
      </c>
      <c r="CN685" s="5">
        <v>0</v>
      </c>
      <c r="CO685" s="5" t="s">
        <v>259</v>
      </c>
      <c r="CP685" s="5" t="s">
        <v>260</v>
      </c>
      <c r="CQ685" s="5" t="s">
        <v>260</v>
      </c>
      <c r="CR685" s="5" t="s">
        <v>261</v>
      </c>
      <c r="CU685" s="8">
        <f>21362</f>
        <v>21362</v>
      </c>
      <c r="CV685" s="8">
        <f>0</f>
        <v>0</v>
      </c>
      <c r="CX685" s="8">
        <f>0</f>
        <v>0</v>
      </c>
      <c r="CY685" s="8">
        <f>21362</f>
        <v>21362</v>
      </c>
      <c r="DA685" s="5" t="s">
        <v>534</v>
      </c>
      <c r="DB685" s="5" t="s">
        <v>238</v>
      </c>
      <c r="DD685" s="5" t="s">
        <v>356</v>
      </c>
      <c r="DE685" s="8">
        <f>0</f>
        <v>0</v>
      </c>
      <c r="DG685" s="5" t="s">
        <v>534</v>
      </c>
      <c r="DH685" s="5" t="s">
        <v>238</v>
      </c>
      <c r="DI685" s="5" t="s">
        <v>238</v>
      </c>
      <c r="DJ685" s="5" t="s">
        <v>238</v>
      </c>
      <c r="DN685" s="5" t="s">
        <v>238</v>
      </c>
      <c r="DO685" s="5" t="s">
        <v>238</v>
      </c>
      <c r="DP685" s="5" t="s">
        <v>238</v>
      </c>
      <c r="DQ685" s="5" t="s">
        <v>238</v>
      </c>
      <c r="DT685" s="5" t="s">
        <v>5740</v>
      </c>
      <c r="DU685" s="5" t="s">
        <v>264</v>
      </c>
      <c r="HM685" s="5" t="s">
        <v>264</v>
      </c>
    </row>
    <row r="686" spans="1:221" x14ac:dyDescent="0.4">
      <c r="A686" s="5">
        <v>1548</v>
      </c>
      <c r="B686" s="5">
        <v>1</v>
      </c>
      <c r="C686" s="5">
        <v>1</v>
      </c>
      <c r="D686" s="5" t="s">
        <v>484</v>
      </c>
      <c r="E686" s="5" t="s">
        <v>485</v>
      </c>
      <c r="F686" s="5" t="s">
        <v>248</v>
      </c>
      <c r="G686" s="5" t="s">
        <v>5734</v>
      </c>
      <c r="H686" s="6" t="s">
        <v>5735</v>
      </c>
      <c r="I686" s="7">
        <f>551</f>
        <v>551</v>
      </c>
      <c r="J686" s="5" t="s">
        <v>262</v>
      </c>
      <c r="K686" s="8">
        <f>6061</f>
        <v>6061</v>
      </c>
      <c r="L686" s="6" t="s">
        <v>242</v>
      </c>
      <c r="M686" s="5" t="s">
        <v>267</v>
      </c>
      <c r="N686" s="5" t="s">
        <v>237</v>
      </c>
      <c r="O686" s="5" t="s">
        <v>238</v>
      </c>
      <c r="P686" s="5" t="s">
        <v>238</v>
      </c>
      <c r="Q686" s="5" t="s">
        <v>239</v>
      </c>
      <c r="R686" s="5" t="s">
        <v>240</v>
      </c>
      <c r="S686" s="5" t="s">
        <v>238</v>
      </c>
      <c r="V686" s="5" t="s">
        <v>238</v>
      </c>
      <c r="X686" s="6" t="s">
        <v>238</v>
      </c>
      <c r="AA686" s="6" t="s">
        <v>243</v>
      </c>
      <c r="AB686" s="5" t="s">
        <v>238</v>
      </c>
      <c r="AC686" s="5" t="s">
        <v>244</v>
      </c>
      <c r="AD686" s="5" t="s">
        <v>245</v>
      </c>
      <c r="AT686" s="5" t="s">
        <v>246</v>
      </c>
      <c r="AU686" s="5" t="s">
        <v>238</v>
      </c>
      <c r="AV686" s="5" t="s">
        <v>247</v>
      </c>
      <c r="AW686" s="5" t="s">
        <v>238</v>
      </c>
      <c r="AX686" s="5" t="s">
        <v>249</v>
      </c>
      <c r="AY686" s="5" t="s">
        <v>238</v>
      </c>
      <c r="BA686" s="5" t="s">
        <v>1397</v>
      </c>
      <c r="BC686" s="5" t="s">
        <v>250</v>
      </c>
      <c r="BD686" s="6" t="s">
        <v>243</v>
      </c>
      <c r="BE686" s="5" t="s">
        <v>251</v>
      </c>
      <c r="BF686" s="5" t="s">
        <v>252</v>
      </c>
      <c r="BG686" s="5" t="s">
        <v>238</v>
      </c>
      <c r="BH686" s="7">
        <f>0</f>
        <v>0</v>
      </c>
      <c r="BI686" s="8">
        <f>0</f>
        <v>0</v>
      </c>
      <c r="BJ686" s="5" t="s">
        <v>253</v>
      </c>
      <c r="BK686" s="5" t="s">
        <v>254</v>
      </c>
      <c r="BY686" s="5" t="s">
        <v>238</v>
      </c>
      <c r="BZ686" s="5" t="s">
        <v>238</v>
      </c>
      <c r="CD686" s="5" t="s">
        <v>255</v>
      </c>
      <c r="CE686" s="5" t="s">
        <v>256</v>
      </c>
      <c r="CF686" s="5" t="s">
        <v>238</v>
      </c>
      <c r="CI686" s="6" t="s">
        <v>257</v>
      </c>
      <c r="CJ686" s="5" t="s">
        <v>238</v>
      </c>
      <c r="CK686" s="5" t="s">
        <v>258</v>
      </c>
      <c r="CL686" s="5" t="s">
        <v>238</v>
      </c>
      <c r="CM686" s="5" t="s">
        <v>238</v>
      </c>
      <c r="CN686" s="5">
        <v>0</v>
      </c>
      <c r="CO686" s="5" t="s">
        <v>259</v>
      </c>
      <c r="CP686" s="5" t="s">
        <v>260</v>
      </c>
      <c r="CQ686" s="5" t="s">
        <v>260</v>
      </c>
      <c r="CR686" s="5" t="s">
        <v>261</v>
      </c>
      <c r="CU686" s="8">
        <f>6061</f>
        <v>6061</v>
      </c>
      <c r="CV686" s="8">
        <f>0</f>
        <v>0</v>
      </c>
      <c r="CX686" s="8">
        <f>0</f>
        <v>0</v>
      </c>
      <c r="CY686" s="8">
        <f>6061</f>
        <v>6061</v>
      </c>
      <c r="DA686" s="5" t="s">
        <v>356</v>
      </c>
      <c r="DB686" s="5" t="s">
        <v>238</v>
      </c>
      <c r="DD686" s="5" t="s">
        <v>356</v>
      </c>
      <c r="DE686" s="8">
        <f>0</f>
        <v>0</v>
      </c>
      <c r="DG686" s="5" t="s">
        <v>534</v>
      </c>
      <c r="DH686" s="5" t="s">
        <v>238</v>
      </c>
      <c r="DI686" s="5" t="s">
        <v>238</v>
      </c>
      <c r="DJ686" s="5" t="s">
        <v>238</v>
      </c>
      <c r="DN686" s="5" t="s">
        <v>238</v>
      </c>
      <c r="DO686" s="5" t="s">
        <v>238</v>
      </c>
      <c r="DP686" s="5" t="s">
        <v>238</v>
      </c>
      <c r="DQ686" s="5" t="s">
        <v>238</v>
      </c>
      <c r="DT686" s="5" t="s">
        <v>5736</v>
      </c>
      <c r="DU686" s="5" t="s">
        <v>264</v>
      </c>
      <c r="HM686" s="5" t="s">
        <v>264</v>
      </c>
    </row>
    <row r="687" spans="1:221" x14ac:dyDescent="0.4">
      <c r="A687" s="5">
        <v>1549</v>
      </c>
      <c r="B687" s="5">
        <v>1</v>
      </c>
      <c r="C687" s="5">
        <v>1</v>
      </c>
      <c r="D687" s="5" t="s">
        <v>484</v>
      </c>
      <c r="E687" s="5" t="s">
        <v>485</v>
      </c>
      <c r="F687" s="5" t="s">
        <v>248</v>
      </c>
      <c r="G687" s="5" t="s">
        <v>5729</v>
      </c>
      <c r="H687" s="6" t="s">
        <v>5730</v>
      </c>
      <c r="I687" s="7">
        <f>660</f>
        <v>660</v>
      </c>
      <c r="J687" s="5" t="s">
        <v>262</v>
      </c>
      <c r="K687" s="8">
        <f>7260</f>
        <v>7260</v>
      </c>
      <c r="L687" s="6" t="s">
        <v>242</v>
      </c>
      <c r="M687" s="5" t="s">
        <v>267</v>
      </c>
      <c r="N687" s="5" t="s">
        <v>237</v>
      </c>
      <c r="O687" s="5" t="s">
        <v>238</v>
      </c>
      <c r="P687" s="5" t="s">
        <v>238</v>
      </c>
      <c r="Q687" s="5" t="s">
        <v>239</v>
      </c>
      <c r="R687" s="5" t="s">
        <v>240</v>
      </c>
      <c r="S687" s="5" t="s">
        <v>238</v>
      </c>
      <c r="V687" s="5" t="s">
        <v>238</v>
      </c>
      <c r="X687" s="6" t="s">
        <v>238</v>
      </c>
      <c r="AA687" s="6" t="s">
        <v>243</v>
      </c>
      <c r="AB687" s="5" t="s">
        <v>238</v>
      </c>
      <c r="AC687" s="5" t="s">
        <v>244</v>
      </c>
      <c r="AD687" s="5" t="s">
        <v>245</v>
      </c>
      <c r="AT687" s="5" t="s">
        <v>246</v>
      </c>
      <c r="AU687" s="5" t="s">
        <v>238</v>
      </c>
      <c r="AV687" s="5" t="s">
        <v>247</v>
      </c>
      <c r="AW687" s="5" t="s">
        <v>238</v>
      </c>
      <c r="AX687" s="5" t="s">
        <v>249</v>
      </c>
      <c r="AY687" s="5" t="s">
        <v>238</v>
      </c>
      <c r="BA687" s="5" t="s">
        <v>1397</v>
      </c>
      <c r="BC687" s="5" t="s">
        <v>250</v>
      </c>
      <c r="BD687" s="6" t="s">
        <v>243</v>
      </c>
      <c r="BE687" s="5" t="s">
        <v>251</v>
      </c>
      <c r="BF687" s="5" t="s">
        <v>252</v>
      </c>
      <c r="BG687" s="5" t="s">
        <v>238</v>
      </c>
      <c r="BH687" s="7">
        <f>0</f>
        <v>0</v>
      </c>
      <c r="BI687" s="8">
        <f>0</f>
        <v>0</v>
      </c>
      <c r="BJ687" s="5" t="s">
        <v>253</v>
      </c>
      <c r="BK687" s="5" t="s">
        <v>254</v>
      </c>
      <c r="BY687" s="5" t="s">
        <v>238</v>
      </c>
      <c r="BZ687" s="5" t="s">
        <v>238</v>
      </c>
      <c r="CD687" s="5" t="s">
        <v>255</v>
      </c>
      <c r="CE687" s="5" t="s">
        <v>256</v>
      </c>
      <c r="CF687" s="5" t="s">
        <v>238</v>
      </c>
      <c r="CI687" s="6" t="s">
        <v>257</v>
      </c>
      <c r="CJ687" s="5" t="s">
        <v>238</v>
      </c>
      <c r="CK687" s="5" t="s">
        <v>258</v>
      </c>
      <c r="CL687" s="5" t="s">
        <v>238</v>
      </c>
      <c r="CM687" s="5" t="s">
        <v>238</v>
      </c>
      <c r="CN687" s="5">
        <v>0</v>
      </c>
      <c r="CO687" s="5" t="s">
        <v>259</v>
      </c>
      <c r="CP687" s="5" t="s">
        <v>260</v>
      </c>
      <c r="CQ687" s="5" t="s">
        <v>260</v>
      </c>
      <c r="CR687" s="5" t="s">
        <v>261</v>
      </c>
      <c r="CU687" s="8">
        <f>7260</f>
        <v>7260</v>
      </c>
      <c r="CV687" s="8">
        <f>0</f>
        <v>0</v>
      </c>
      <c r="CX687" s="8">
        <f>0</f>
        <v>0</v>
      </c>
      <c r="CY687" s="8">
        <f>7260</f>
        <v>7260</v>
      </c>
      <c r="DA687" s="5" t="s">
        <v>356</v>
      </c>
      <c r="DB687" s="5" t="s">
        <v>238</v>
      </c>
      <c r="DD687" s="5" t="s">
        <v>356</v>
      </c>
      <c r="DE687" s="8">
        <f>0</f>
        <v>0</v>
      </c>
      <c r="DG687" s="5" t="s">
        <v>534</v>
      </c>
      <c r="DH687" s="5" t="s">
        <v>238</v>
      </c>
      <c r="DI687" s="5" t="s">
        <v>238</v>
      </c>
      <c r="DJ687" s="5" t="s">
        <v>238</v>
      </c>
      <c r="DN687" s="5" t="s">
        <v>238</v>
      </c>
      <c r="DO687" s="5" t="s">
        <v>238</v>
      </c>
      <c r="DP687" s="5" t="s">
        <v>238</v>
      </c>
      <c r="DQ687" s="5" t="s">
        <v>238</v>
      </c>
      <c r="DT687" s="5" t="s">
        <v>5731</v>
      </c>
      <c r="DU687" s="5" t="s">
        <v>264</v>
      </c>
      <c r="HM687" s="5" t="s">
        <v>264</v>
      </c>
    </row>
    <row r="688" spans="1:221" x14ac:dyDescent="0.4">
      <c r="A688" s="5">
        <v>1550</v>
      </c>
      <c r="B688" s="5">
        <v>1</v>
      </c>
      <c r="C688" s="5">
        <v>1</v>
      </c>
      <c r="D688" s="5" t="s">
        <v>484</v>
      </c>
      <c r="E688" s="5" t="s">
        <v>485</v>
      </c>
      <c r="F688" s="5" t="s">
        <v>248</v>
      </c>
      <c r="G688" s="5" t="s">
        <v>5684</v>
      </c>
      <c r="H688" s="6" t="s">
        <v>3881</v>
      </c>
      <c r="I688" s="7">
        <f>66210.58</f>
        <v>66210.58</v>
      </c>
      <c r="J688" s="5" t="s">
        <v>262</v>
      </c>
      <c r="K688" s="8">
        <f>728316</f>
        <v>728316</v>
      </c>
      <c r="L688" s="6" t="s">
        <v>5685</v>
      </c>
      <c r="M688" s="5" t="s">
        <v>267</v>
      </c>
      <c r="N688" s="5" t="s">
        <v>237</v>
      </c>
      <c r="O688" s="5" t="s">
        <v>238</v>
      </c>
      <c r="P688" s="5" t="s">
        <v>238</v>
      </c>
      <c r="Q688" s="5" t="s">
        <v>239</v>
      </c>
      <c r="R688" s="5" t="s">
        <v>240</v>
      </c>
      <c r="S688" s="5" t="s">
        <v>238</v>
      </c>
      <c r="V688" s="5" t="s">
        <v>238</v>
      </c>
      <c r="X688" s="6" t="s">
        <v>238</v>
      </c>
      <c r="AA688" s="6" t="s">
        <v>243</v>
      </c>
      <c r="AB688" s="5" t="s">
        <v>238</v>
      </c>
      <c r="AC688" s="5" t="s">
        <v>244</v>
      </c>
      <c r="AD688" s="5" t="s">
        <v>245</v>
      </c>
      <c r="AT688" s="5" t="s">
        <v>246</v>
      </c>
      <c r="AU688" s="5" t="s">
        <v>238</v>
      </c>
      <c r="AV688" s="5" t="s">
        <v>247</v>
      </c>
      <c r="AW688" s="5" t="s">
        <v>238</v>
      </c>
      <c r="AX688" s="5" t="s">
        <v>249</v>
      </c>
      <c r="AY688" s="5" t="s">
        <v>238</v>
      </c>
      <c r="BA688" s="5" t="s">
        <v>1397</v>
      </c>
      <c r="BC688" s="5" t="s">
        <v>250</v>
      </c>
      <c r="BD688" s="6" t="s">
        <v>243</v>
      </c>
      <c r="BE688" s="5" t="s">
        <v>251</v>
      </c>
      <c r="BF688" s="5" t="s">
        <v>252</v>
      </c>
      <c r="BG688" s="5" t="s">
        <v>238</v>
      </c>
      <c r="BH688" s="7">
        <f>0</f>
        <v>0</v>
      </c>
      <c r="BI688" s="8">
        <f>0</f>
        <v>0</v>
      </c>
      <c r="BJ688" s="5" t="s">
        <v>253</v>
      </c>
      <c r="BK688" s="5" t="s">
        <v>254</v>
      </c>
      <c r="BY688" s="5" t="s">
        <v>238</v>
      </c>
      <c r="BZ688" s="5" t="s">
        <v>238</v>
      </c>
      <c r="CD688" s="5" t="s">
        <v>255</v>
      </c>
      <c r="CE688" s="5" t="s">
        <v>256</v>
      </c>
      <c r="CF688" s="5" t="s">
        <v>238</v>
      </c>
      <c r="CI688" s="6" t="s">
        <v>257</v>
      </c>
      <c r="CJ688" s="5" t="s">
        <v>238</v>
      </c>
      <c r="CK688" s="5" t="s">
        <v>258</v>
      </c>
      <c r="CL688" s="5" t="s">
        <v>238</v>
      </c>
      <c r="CM688" s="5" t="s">
        <v>238</v>
      </c>
      <c r="CN688" s="5">
        <v>0</v>
      </c>
      <c r="CO688" s="5" t="s">
        <v>259</v>
      </c>
      <c r="CP688" s="5" t="s">
        <v>260</v>
      </c>
      <c r="CQ688" s="5" t="s">
        <v>260</v>
      </c>
      <c r="CR688" s="5" t="s">
        <v>261</v>
      </c>
      <c r="CU688" s="8">
        <f>728316</f>
        <v>728316</v>
      </c>
      <c r="CV688" s="8">
        <f>0</f>
        <v>0</v>
      </c>
      <c r="CX688" s="8">
        <f>0</f>
        <v>0</v>
      </c>
      <c r="CY688" s="8">
        <f>728316</f>
        <v>728316</v>
      </c>
      <c r="DA688" s="5" t="s">
        <v>533</v>
      </c>
      <c r="DB688" s="5" t="s">
        <v>238</v>
      </c>
      <c r="DD688" s="5" t="s">
        <v>533</v>
      </c>
      <c r="DE688" s="8">
        <f>66646</f>
        <v>66646</v>
      </c>
      <c r="DG688" s="5" t="s">
        <v>534</v>
      </c>
      <c r="DH688" s="5" t="s">
        <v>238</v>
      </c>
      <c r="DI688" s="5" t="s">
        <v>238</v>
      </c>
      <c r="DJ688" s="5" t="s">
        <v>238</v>
      </c>
      <c r="DN688" s="5" t="s">
        <v>238</v>
      </c>
      <c r="DO688" s="5" t="s">
        <v>238</v>
      </c>
      <c r="DP688" s="5" t="s">
        <v>238</v>
      </c>
      <c r="DQ688" s="5" t="s">
        <v>238</v>
      </c>
      <c r="DT688" s="5" t="s">
        <v>5686</v>
      </c>
      <c r="DU688" s="5" t="s">
        <v>264</v>
      </c>
      <c r="HM688" s="5" t="s">
        <v>264</v>
      </c>
    </row>
    <row r="689" spans="1:221" x14ac:dyDescent="0.4">
      <c r="A689" s="5">
        <v>1551</v>
      </c>
      <c r="B689" s="5">
        <v>1</v>
      </c>
      <c r="C689" s="5">
        <v>1</v>
      </c>
      <c r="D689" s="5" t="s">
        <v>484</v>
      </c>
      <c r="E689" s="5" t="s">
        <v>485</v>
      </c>
      <c r="F689" s="5" t="s">
        <v>248</v>
      </c>
      <c r="G689" s="5" t="s">
        <v>5689</v>
      </c>
      <c r="H689" s="6" t="s">
        <v>5690</v>
      </c>
      <c r="I689" s="7">
        <f>8986</f>
        <v>8986</v>
      </c>
      <c r="J689" s="5" t="s">
        <v>262</v>
      </c>
      <c r="K689" s="8">
        <f>98846</f>
        <v>98846</v>
      </c>
      <c r="L689" s="6" t="s">
        <v>242</v>
      </c>
      <c r="M689" s="5" t="s">
        <v>267</v>
      </c>
      <c r="N689" s="5" t="s">
        <v>237</v>
      </c>
      <c r="O689" s="5" t="s">
        <v>238</v>
      </c>
      <c r="P689" s="5" t="s">
        <v>238</v>
      </c>
      <c r="Q689" s="5" t="s">
        <v>239</v>
      </c>
      <c r="R689" s="5" t="s">
        <v>240</v>
      </c>
      <c r="S689" s="5" t="s">
        <v>238</v>
      </c>
      <c r="V689" s="5" t="s">
        <v>238</v>
      </c>
      <c r="X689" s="6" t="s">
        <v>238</v>
      </c>
      <c r="AA689" s="6" t="s">
        <v>243</v>
      </c>
      <c r="AB689" s="5" t="s">
        <v>238</v>
      </c>
      <c r="AC689" s="5" t="s">
        <v>244</v>
      </c>
      <c r="AD689" s="5" t="s">
        <v>245</v>
      </c>
      <c r="AT689" s="5" t="s">
        <v>246</v>
      </c>
      <c r="AU689" s="5" t="s">
        <v>238</v>
      </c>
      <c r="AV689" s="5" t="s">
        <v>247</v>
      </c>
      <c r="AW689" s="5" t="s">
        <v>238</v>
      </c>
      <c r="AX689" s="5" t="s">
        <v>249</v>
      </c>
      <c r="AY689" s="5" t="s">
        <v>238</v>
      </c>
      <c r="BA689" s="5" t="s">
        <v>1397</v>
      </c>
      <c r="BC689" s="5" t="s">
        <v>250</v>
      </c>
      <c r="BD689" s="6" t="s">
        <v>243</v>
      </c>
      <c r="BE689" s="5" t="s">
        <v>251</v>
      </c>
      <c r="BF689" s="5" t="s">
        <v>252</v>
      </c>
      <c r="BG689" s="5" t="s">
        <v>238</v>
      </c>
      <c r="BH689" s="7">
        <f>0</f>
        <v>0</v>
      </c>
      <c r="BI689" s="8">
        <f>0</f>
        <v>0</v>
      </c>
      <c r="BJ689" s="5" t="s">
        <v>253</v>
      </c>
      <c r="BK689" s="5" t="s">
        <v>254</v>
      </c>
      <c r="BY689" s="5" t="s">
        <v>238</v>
      </c>
      <c r="BZ689" s="5" t="s">
        <v>238</v>
      </c>
      <c r="CD689" s="5" t="s">
        <v>255</v>
      </c>
      <c r="CE689" s="5" t="s">
        <v>256</v>
      </c>
      <c r="CF689" s="5" t="s">
        <v>238</v>
      </c>
      <c r="CI689" s="6" t="s">
        <v>257</v>
      </c>
      <c r="CJ689" s="5" t="s">
        <v>238</v>
      </c>
      <c r="CK689" s="5" t="s">
        <v>258</v>
      </c>
      <c r="CL689" s="5" t="s">
        <v>238</v>
      </c>
      <c r="CM689" s="5" t="s">
        <v>238</v>
      </c>
      <c r="CN689" s="5">
        <v>0</v>
      </c>
      <c r="CO689" s="5" t="s">
        <v>259</v>
      </c>
      <c r="CP689" s="5" t="s">
        <v>260</v>
      </c>
      <c r="CQ689" s="5" t="s">
        <v>260</v>
      </c>
      <c r="CR689" s="5" t="s">
        <v>261</v>
      </c>
      <c r="CU689" s="8">
        <f>98846</f>
        <v>98846</v>
      </c>
      <c r="CV689" s="8">
        <f>0</f>
        <v>0</v>
      </c>
      <c r="CX689" s="8">
        <f>0</f>
        <v>0</v>
      </c>
      <c r="CY689" s="8">
        <f>98846</f>
        <v>98846</v>
      </c>
      <c r="DA689" s="5" t="s">
        <v>356</v>
      </c>
      <c r="DB689" s="5" t="s">
        <v>238</v>
      </c>
      <c r="DD689" s="5" t="s">
        <v>356</v>
      </c>
      <c r="DE689" s="8">
        <f>0</f>
        <v>0</v>
      </c>
      <c r="DG689" s="5" t="s">
        <v>534</v>
      </c>
      <c r="DH689" s="5" t="s">
        <v>238</v>
      </c>
      <c r="DI689" s="5" t="s">
        <v>238</v>
      </c>
      <c r="DJ689" s="5" t="s">
        <v>238</v>
      </c>
      <c r="DN689" s="5" t="s">
        <v>238</v>
      </c>
      <c r="DO689" s="5" t="s">
        <v>238</v>
      </c>
      <c r="DP689" s="5" t="s">
        <v>238</v>
      </c>
      <c r="DQ689" s="5" t="s">
        <v>238</v>
      </c>
      <c r="DT689" s="5" t="s">
        <v>5691</v>
      </c>
      <c r="DU689" s="5" t="s">
        <v>264</v>
      </c>
      <c r="HM689" s="5" t="s">
        <v>264</v>
      </c>
    </row>
    <row r="690" spans="1:221" x14ac:dyDescent="0.4">
      <c r="A690" s="5">
        <v>1552</v>
      </c>
      <c r="B690" s="5">
        <v>1</v>
      </c>
      <c r="C690" s="5">
        <v>1</v>
      </c>
      <c r="D690" s="5" t="s">
        <v>484</v>
      </c>
      <c r="E690" s="5" t="s">
        <v>485</v>
      </c>
      <c r="F690" s="5" t="s">
        <v>248</v>
      </c>
      <c r="G690" s="5" t="s">
        <v>5693</v>
      </c>
      <c r="H690" s="6" t="s">
        <v>5694</v>
      </c>
      <c r="I690" s="7">
        <f>1189</f>
        <v>1189</v>
      </c>
      <c r="J690" s="5" t="s">
        <v>262</v>
      </c>
      <c r="K690" s="8">
        <f>13079</f>
        <v>13079</v>
      </c>
      <c r="L690" s="6" t="s">
        <v>242</v>
      </c>
      <c r="M690" s="5" t="s">
        <v>267</v>
      </c>
      <c r="N690" s="5" t="s">
        <v>237</v>
      </c>
      <c r="O690" s="5" t="s">
        <v>238</v>
      </c>
      <c r="P690" s="5" t="s">
        <v>238</v>
      </c>
      <c r="Q690" s="5" t="s">
        <v>239</v>
      </c>
      <c r="R690" s="5" t="s">
        <v>240</v>
      </c>
      <c r="S690" s="5" t="s">
        <v>238</v>
      </c>
      <c r="V690" s="5" t="s">
        <v>238</v>
      </c>
      <c r="X690" s="6" t="s">
        <v>238</v>
      </c>
      <c r="AA690" s="6" t="s">
        <v>243</v>
      </c>
      <c r="AB690" s="5" t="s">
        <v>238</v>
      </c>
      <c r="AC690" s="5" t="s">
        <v>244</v>
      </c>
      <c r="AD690" s="5" t="s">
        <v>245</v>
      </c>
      <c r="AT690" s="5" t="s">
        <v>246</v>
      </c>
      <c r="AU690" s="5" t="s">
        <v>238</v>
      </c>
      <c r="AV690" s="5" t="s">
        <v>247</v>
      </c>
      <c r="AW690" s="5" t="s">
        <v>238</v>
      </c>
      <c r="AX690" s="5" t="s">
        <v>249</v>
      </c>
      <c r="AY690" s="5" t="s">
        <v>238</v>
      </c>
      <c r="BA690" s="5" t="s">
        <v>1397</v>
      </c>
      <c r="BC690" s="5" t="s">
        <v>250</v>
      </c>
      <c r="BD690" s="6" t="s">
        <v>243</v>
      </c>
      <c r="BE690" s="5" t="s">
        <v>251</v>
      </c>
      <c r="BF690" s="5" t="s">
        <v>252</v>
      </c>
      <c r="BG690" s="5" t="s">
        <v>238</v>
      </c>
      <c r="BH690" s="7">
        <f>0</f>
        <v>0</v>
      </c>
      <c r="BI690" s="8">
        <f>0</f>
        <v>0</v>
      </c>
      <c r="BJ690" s="5" t="s">
        <v>253</v>
      </c>
      <c r="BK690" s="5" t="s">
        <v>254</v>
      </c>
      <c r="BY690" s="5" t="s">
        <v>238</v>
      </c>
      <c r="BZ690" s="5" t="s">
        <v>238</v>
      </c>
      <c r="CD690" s="5" t="s">
        <v>255</v>
      </c>
      <c r="CE690" s="5" t="s">
        <v>256</v>
      </c>
      <c r="CF690" s="5" t="s">
        <v>238</v>
      </c>
      <c r="CI690" s="6" t="s">
        <v>257</v>
      </c>
      <c r="CJ690" s="5" t="s">
        <v>238</v>
      </c>
      <c r="CK690" s="5" t="s">
        <v>258</v>
      </c>
      <c r="CL690" s="5" t="s">
        <v>238</v>
      </c>
      <c r="CM690" s="5" t="s">
        <v>238</v>
      </c>
      <c r="CN690" s="5">
        <v>0</v>
      </c>
      <c r="CO690" s="5" t="s">
        <v>259</v>
      </c>
      <c r="CP690" s="5" t="s">
        <v>260</v>
      </c>
      <c r="CQ690" s="5" t="s">
        <v>260</v>
      </c>
      <c r="CR690" s="5" t="s">
        <v>261</v>
      </c>
      <c r="CU690" s="8">
        <f>13079</f>
        <v>13079</v>
      </c>
      <c r="CV690" s="8">
        <f>0</f>
        <v>0</v>
      </c>
      <c r="CX690" s="8">
        <f>0</f>
        <v>0</v>
      </c>
      <c r="CY690" s="8">
        <f>13079</f>
        <v>13079</v>
      </c>
      <c r="DA690" s="5" t="s">
        <v>356</v>
      </c>
      <c r="DB690" s="5" t="s">
        <v>238</v>
      </c>
      <c r="DD690" s="5" t="s">
        <v>356</v>
      </c>
      <c r="DE690" s="8">
        <f>0</f>
        <v>0</v>
      </c>
      <c r="DG690" s="5" t="s">
        <v>534</v>
      </c>
      <c r="DH690" s="5" t="s">
        <v>238</v>
      </c>
      <c r="DI690" s="5" t="s">
        <v>238</v>
      </c>
      <c r="DJ690" s="5" t="s">
        <v>238</v>
      </c>
      <c r="DN690" s="5" t="s">
        <v>238</v>
      </c>
      <c r="DO690" s="5" t="s">
        <v>238</v>
      </c>
      <c r="DP690" s="5" t="s">
        <v>238</v>
      </c>
      <c r="DQ690" s="5" t="s">
        <v>238</v>
      </c>
      <c r="DT690" s="5" t="s">
        <v>5695</v>
      </c>
      <c r="DU690" s="5" t="s">
        <v>264</v>
      </c>
      <c r="HM690" s="5" t="s">
        <v>264</v>
      </c>
    </row>
    <row r="691" spans="1:221" x14ac:dyDescent="0.4">
      <c r="A691" s="5">
        <v>1553</v>
      </c>
      <c r="B691" s="5">
        <v>1</v>
      </c>
      <c r="C691" s="5">
        <v>1</v>
      </c>
      <c r="D691" s="5" t="s">
        <v>484</v>
      </c>
      <c r="E691" s="5" t="s">
        <v>485</v>
      </c>
      <c r="F691" s="5" t="s">
        <v>248</v>
      </c>
      <c r="G691" s="5" t="s">
        <v>5698</v>
      </c>
      <c r="H691" s="6" t="s">
        <v>5699</v>
      </c>
      <c r="I691" s="7">
        <f>921</f>
        <v>921</v>
      </c>
      <c r="J691" s="5" t="s">
        <v>262</v>
      </c>
      <c r="K691" s="8">
        <f>10131</f>
        <v>10131</v>
      </c>
      <c r="L691" s="6" t="s">
        <v>242</v>
      </c>
      <c r="M691" s="5" t="s">
        <v>267</v>
      </c>
      <c r="N691" s="5" t="s">
        <v>237</v>
      </c>
      <c r="O691" s="5" t="s">
        <v>238</v>
      </c>
      <c r="P691" s="5" t="s">
        <v>238</v>
      </c>
      <c r="Q691" s="5" t="s">
        <v>239</v>
      </c>
      <c r="R691" s="5" t="s">
        <v>240</v>
      </c>
      <c r="S691" s="5" t="s">
        <v>238</v>
      </c>
      <c r="V691" s="5" t="s">
        <v>238</v>
      </c>
      <c r="X691" s="6" t="s">
        <v>238</v>
      </c>
      <c r="AA691" s="6" t="s">
        <v>243</v>
      </c>
      <c r="AB691" s="5" t="s">
        <v>238</v>
      </c>
      <c r="AC691" s="5" t="s">
        <v>244</v>
      </c>
      <c r="AD691" s="5" t="s">
        <v>245</v>
      </c>
      <c r="AT691" s="5" t="s">
        <v>246</v>
      </c>
      <c r="AU691" s="5" t="s">
        <v>238</v>
      </c>
      <c r="AV691" s="5" t="s">
        <v>247</v>
      </c>
      <c r="AW691" s="5" t="s">
        <v>238</v>
      </c>
      <c r="AX691" s="5" t="s">
        <v>249</v>
      </c>
      <c r="AY691" s="5" t="s">
        <v>238</v>
      </c>
      <c r="BA691" s="5" t="s">
        <v>1397</v>
      </c>
      <c r="BC691" s="5" t="s">
        <v>250</v>
      </c>
      <c r="BD691" s="6" t="s">
        <v>243</v>
      </c>
      <c r="BE691" s="5" t="s">
        <v>251</v>
      </c>
      <c r="BF691" s="5" t="s">
        <v>252</v>
      </c>
      <c r="BG691" s="5" t="s">
        <v>238</v>
      </c>
      <c r="BH691" s="7">
        <f>0</f>
        <v>0</v>
      </c>
      <c r="BI691" s="8">
        <f>0</f>
        <v>0</v>
      </c>
      <c r="BJ691" s="5" t="s">
        <v>253</v>
      </c>
      <c r="BK691" s="5" t="s">
        <v>254</v>
      </c>
      <c r="BY691" s="5" t="s">
        <v>238</v>
      </c>
      <c r="BZ691" s="5" t="s">
        <v>238</v>
      </c>
      <c r="CD691" s="5" t="s">
        <v>255</v>
      </c>
      <c r="CE691" s="5" t="s">
        <v>256</v>
      </c>
      <c r="CF691" s="5" t="s">
        <v>238</v>
      </c>
      <c r="CI691" s="6" t="s">
        <v>257</v>
      </c>
      <c r="CJ691" s="5" t="s">
        <v>238</v>
      </c>
      <c r="CK691" s="5" t="s">
        <v>258</v>
      </c>
      <c r="CL691" s="5" t="s">
        <v>238</v>
      </c>
      <c r="CM691" s="5" t="s">
        <v>238</v>
      </c>
      <c r="CN691" s="5">
        <v>0</v>
      </c>
      <c r="CO691" s="5" t="s">
        <v>259</v>
      </c>
      <c r="CP691" s="5" t="s">
        <v>260</v>
      </c>
      <c r="CQ691" s="5" t="s">
        <v>260</v>
      </c>
      <c r="CR691" s="5" t="s">
        <v>261</v>
      </c>
      <c r="CU691" s="8">
        <f>10131</f>
        <v>10131</v>
      </c>
      <c r="CV691" s="8">
        <f>0</f>
        <v>0</v>
      </c>
      <c r="CX691" s="8">
        <f>0</f>
        <v>0</v>
      </c>
      <c r="CY691" s="8">
        <f>10131</f>
        <v>10131</v>
      </c>
      <c r="DA691" s="5" t="s">
        <v>356</v>
      </c>
      <c r="DB691" s="5" t="s">
        <v>238</v>
      </c>
      <c r="DD691" s="5" t="s">
        <v>356</v>
      </c>
      <c r="DE691" s="8">
        <f>0</f>
        <v>0</v>
      </c>
      <c r="DG691" s="5" t="s">
        <v>534</v>
      </c>
      <c r="DH691" s="5" t="s">
        <v>238</v>
      </c>
      <c r="DI691" s="5" t="s">
        <v>238</v>
      </c>
      <c r="DJ691" s="5" t="s">
        <v>238</v>
      </c>
      <c r="DN691" s="5" t="s">
        <v>238</v>
      </c>
      <c r="DO691" s="5" t="s">
        <v>238</v>
      </c>
      <c r="DP691" s="5" t="s">
        <v>238</v>
      </c>
      <c r="DQ691" s="5" t="s">
        <v>238</v>
      </c>
      <c r="DT691" s="5" t="s">
        <v>5700</v>
      </c>
      <c r="DU691" s="5" t="s">
        <v>264</v>
      </c>
      <c r="HM691" s="5" t="s">
        <v>264</v>
      </c>
    </row>
    <row r="692" spans="1:221" x14ac:dyDescent="0.4">
      <c r="A692" s="5">
        <v>1554</v>
      </c>
      <c r="B692" s="5">
        <v>1</v>
      </c>
      <c r="C692" s="5">
        <v>1</v>
      </c>
      <c r="D692" s="5" t="s">
        <v>484</v>
      </c>
      <c r="E692" s="5" t="s">
        <v>485</v>
      </c>
      <c r="F692" s="5" t="s">
        <v>248</v>
      </c>
      <c r="G692" s="5" t="s">
        <v>5702</v>
      </c>
      <c r="H692" s="6" t="s">
        <v>5703</v>
      </c>
      <c r="I692" s="7">
        <f>997</f>
        <v>997</v>
      </c>
      <c r="J692" s="5" t="s">
        <v>262</v>
      </c>
      <c r="K692" s="8">
        <f>10967</f>
        <v>10967</v>
      </c>
      <c r="L692" s="6" t="s">
        <v>242</v>
      </c>
      <c r="M692" s="5" t="s">
        <v>267</v>
      </c>
      <c r="N692" s="5" t="s">
        <v>237</v>
      </c>
      <c r="O692" s="5" t="s">
        <v>238</v>
      </c>
      <c r="P692" s="5" t="s">
        <v>238</v>
      </c>
      <c r="Q692" s="5" t="s">
        <v>239</v>
      </c>
      <c r="R692" s="5" t="s">
        <v>240</v>
      </c>
      <c r="S692" s="5" t="s">
        <v>238</v>
      </c>
      <c r="V692" s="5" t="s">
        <v>238</v>
      </c>
      <c r="X692" s="6" t="s">
        <v>238</v>
      </c>
      <c r="AA692" s="6" t="s">
        <v>243</v>
      </c>
      <c r="AB692" s="5" t="s">
        <v>238</v>
      </c>
      <c r="AC692" s="5" t="s">
        <v>244</v>
      </c>
      <c r="AD692" s="5" t="s">
        <v>245</v>
      </c>
      <c r="AT692" s="5" t="s">
        <v>246</v>
      </c>
      <c r="AU692" s="5" t="s">
        <v>238</v>
      </c>
      <c r="AV692" s="5" t="s">
        <v>247</v>
      </c>
      <c r="AW692" s="5" t="s">
        <v>238</v>
      </c>
      <c r="AX692" s="5" t="s">
        <v>249</v>
      </c>
      <c r="AY692" s="5" t="s">
        <v>238</v>
      </c>
      <c r="BA692" s="5" t="s">
        <v>1397</v>
      </c>
      <c r="BC692" s="5" t="s">
        <v>250</v>
      </c>
      <c r="BD692" s="6" t="s">
        <v>243</v>
      </c>
      <c r="BE692" s="5" t="s">
        <v>251</v>
      </c>
      <c r="BF692" s="5" t="s">
        <v>252</v>
      </c>
      <c r="BG692" s="5" t="s">
        <v>238</v>
      </c>
      <c r="BH692" s="7">
        <f>0</f>
        <v>0</v>
      </c>
      <c r="BI692" s="8">
        <f>0</f>
        <v>0</v>
      </c>
      <c r="BJ692" s="5" t="s">
        <v>253</v>
      </c>
      <c r="BK692" s="5" t="s">
        <v>254</v>
      </c>
      <c r="BY692" s="5" t="s">
        <v>238</v>
      </c>
      <c r="BZ692" s="5" t="s">
        <v>238</v>
      </c>
      <c r="CD692" s="5" t="s">
        <v>255</v>
      </c>
      <c r="CE692" s="5" t="s">
        <v>256</v>
      </c>
      <c r="CF692" s="5" t="s">
        <v>238</v>
      </c>
      <c r="CI692" s="6" t="s">
        <v>257</v>
      </c>
      <c r="CJ692" s="5" t="s">
        <v>238</v>
      </c>
      <c r="CK692" s="5" t="s">
        <v>258</v>
      </c>
      <c r="CL692" s="5" t="s">
        <v>238</v>
      </c>
      <c r="CM692" s="5" t="s">
        <v>238</v>
      </c>
      <c r="CN692" s="5">
        <v>0</v>
      </c>
      <c r="CO692" s="5" t="s">
        <v>259</v>
      </c>
      <c r="CP692" s="5" t="s">
        <v>260</v>
      </c>
      <c r="CQ692" s="5" t="s">
        <v>260</v>
      </c>
      <c r="CR692" s="5" t="s">
        <v>261</v>
      </c>
      <c r="CU692" s="8">
        <f>10967</f>
        <v>10967</v>
      </c>
      <c r="CV692" s="8">
        <f>0</f>
        <v>0</v>
      </c>
      <c r="CX692" s="8">
        <f>0</f>
        <v>0</v>
      </c>
      <c r="CY692" s="8">
        <f>10967</f>
        <v>10967</v>
      </c>
      <c r="DA692" s="5" t="s">
        <v>356</v>
      </c>
      <c r="DB692" s="5" t="s">
        <v>238</v>
      </c>
      <c r="DD692" s="5" t="s">
        <v>356</v>
      </c>
      <c r="DE692" s="8">
        <f>0</f>
        <v>0</v>
      </c>
      <c r="DG692" s="5" t="s">
        <v>534</v>
      </c>
      <c r="DH692" s="5" t="s">
        <v>238</v>
      </c>
      <c r="DI692" s="5" t="s">
        <v>238</v>
      </c>
      <c r="DJ692" s="5" t="s">
        <v>238</v>
      </c>
      <c r="DN692" s="5" t="s">
        <v>238</v>
      </c>
      <c r="DO692" s="5" t="s">
        <v>238</v>
      </c>
      <c r="DP692" s="5" t="s">
        <v>238</v>
      </c>
      <c r="DQ692" s="5" t="s">
        <v>238</v>
      </c>
      <c r="DT692" s="5" t="s">
        <v>5704</v>
      </c>
      <c r="DU692" s="5" t="s">
        <v>264</v>
      </c>
      <c r="HM692" s="5" t="s">
        <v>264</v>
      </c>
    </row>
    <row r="693" spans="1:221" x14ac:dyDescent="0.4">
      <c r="A693" s="5">
        <v>1555</v>
      </c>
      <c r="B693" s="5">
        <v>1</v>
      </c>
      <c r="C693" s="5">
        <v>1</v>
      </c>
      <c r="D693" s="5" t="s">
        <v>484</v>
      </c>
      <c r="E693" s="5" t="s">
        <v>485</v>
      </c>
      <c r="F693" s="5" t="s">
        <v>248</v>
      </c>
      <c r="G693" s="5" t="s">
        <v>5707</v>
      </c>
      <c r="H693" s="6" t="s">
        <v>5708</v>
      </c>
      <c r="I693" s="7">
        <f>254</f>
        <v>254</v>
      </c>
      <c r="J693" s="5" t="s">
        <v>262</v>
      </c>
      <c r="K693" s="8">
        <f>2794</f>
        <v>2794</v>
      </c>
      <c r="L693" s="6" t="s">
        <v>242</v>
      </c>
      <c r="M693" s="5" t="s">
        <v>267</v>
      </c>
      <c r="N693" s="5" t="s">
        <v>237</v>
      </c>
      <c r="O693" s="5" t="s">
        <v>238</v>
      </c>
      <c r="P693" s="5" t="s">
        <v>238</v>
      </c>
      <c r="Q693" s="5" t="s">
        <v>239</v>
      </c>
      <c r="R693" s="5" t="s">
        <v>240</v>
      </c>
      <c r="S693" s="5" t="s">
        <v>238</v>
      </c>
      <c r="V693" s="5" t="s">
        <v>238</v>
      </c>
      <c r="X693" s="6" t="s">
        <v>238</v>
      </c>
      <c r="AA693" s="6" t="s">
        <v>243</v>
      </c>
      <c r="AB693" s="5" t="s">
        <v>238</v>
      </c>
      <c r="AC693" s="5" t="s">
        <v>244</v>
      </c>
      <c r="AD693" s="5" t="s">
        <v>245</v>
      </c>
      <c r="AT693" s="5" t="s">
        <v>246</v>
      </c>
      <c r="AU693" s="5" t="s">
        <v>238</v>
      </c>
      <c r="AV693" s="5" t="s">
        <v>247</v>
      </c>
      <c r="AW693" s="5" t="s">
        <v>238</v>
      </c>
      <c r="AX693" s="5" t="s">
        <v>249</v>
      </c>
      <c r="AY693" s="5" t="s">
        <v>238</v>
      </c>
      <c r="BA693" s="5" t="s">
        <v>1397</v>
      </c>
      <c r="BC693" s="5" t="s">
        <v>250</v>
      </c>
      <c r="BD693" s="6" t="s">
        <v>243</v>
      </c>
      <c r="BE693" s="5" t="s">
        <v>251</v>
      </c>
      <c r="BF693" s="5" t="s">
        <v>252</v>
      </c>
      <c r="BG693" s="5" t="s">
        <v>238</v>
      </c>
      <c r="BH693" s="7">
        <f>0</f>
        <v>0</v>
      </c>
      <c r="BI693" s="8">
        <f>0</f>
        <v>0</v>
      </c>
      <c r="BJ693" s="5" t="s">
        <v>253</v>
      </c>
      <c r="BK693" s="5" t="s">
        <v>254</v>
      </c>
      <c r="BY693" s="5" t="s">
        <v>238</v>
      </c>
      <c r="BZ693" s="5" t="s">
        <v>238</v>
      </c>
      <c r="CD693" s="5" t="s">
        <v>255</v>
      </c>
      <c r="CE693" s="5" t="s">
        <v>256</v>
      </c>
      <c r="CF693" s="5" t="s">
        <v>238</v>
      </c>
      <c r="CI693" s="6" t="s">
        <v>257</v>
      </c>
      <c r="CJ693" s="5" t="s">
        <v>238</v>
      </c>
      <c r="CK693" s="5" t="s">
        <v>258</v>
      </c>
      <c r="CL693" s="5" t="s">
        <v>238</v>
      </c>
      <c r="CM693" s="5" t="s">
        <v>238</v>
      </c>
      <c r="CN693" s="5">
        <v>0</v>
      </c>
      <c r="CO693" s="5" t="s">
        <v>259</v>
      </c>
      <c r="CP693" s="5" t="s">
        <v>260</v>
      </c>
      <c r="CQ693" s="5" t="s">
        <v>260</v>
      </c>
      <c r="CR693" s="5" t="s">
        <v>261</v>
      </c>
      <c r="CU693" s="8">
        <f>2794</f>
        <v>2794</v>
      </c>
      <c r="CV693" s="8">
        <f>0</f>
        <v>0</v>
      </c>
      <c r="CX693" s="8">
        <f>0</f>
        <v>0</v>
      </c>
      <c r="CY693" s="8">
        <f>2794</f>
        <v>2794</v>
      </c>
      <c r="DA693" s="5" t="s">
        <v>356</v>
      </c>
      <c r="DB693" s="5" t="s">
        <v>238</v>
      </c>
      <c r="DD693" s="5" t="s">
        <v>356</v>
      </c>
      <c r="DE693" s="8">
        <f>0</f>
        <v>0</v>
      </c>
      <c r="DF693" s="6" t="s">
        <v>5685</v>
      </c>
      <c r="DG693" s="5" t="s">
        <v>534</v>
      </c>
      <c r="DH693" s="5" t="s">
        <v>238</v>
      </c>
      <c r="DI693" s="5" t="s">
        <v>238</v>
      </c>
      <c r="DJ693" s="5" t="s">
        <v>238</v>
      </c>
      <c r="DN693" s="5" t="s">
        <v>238</v>
      </c>
      <c r="DO693" s="5" t="s">
        <v>238</v>
      </c>
      <c r="DP693" s="5" t="s">
        <v>238</v>
      </c>
      <c r="DQ693" s="5" t="s">
        <v>238</v>
      </c>
      <c r="DT693" s="5" t="s">
        <v>5709</v>
      </c>
      <c r="DU693" s="5" t="s">
        <v>264</v>
      </c>
      <c r="HM693" s="5" t="s">
        <v>264</v>
      </c>
    </row>
    <row r="694" spans="1:221" x14ac:dyDescent="0.4">
      <c r="A694" s="5">
        <v>1556</v>
      </c>
      <c r="B694" s="5">
        <v>1</v>
      </c>
      <c r="C694" s="5">
        <v>1</v>
      </c>
      <c r="D694" s="5" t="s">
        <v>484</v>
      </c>
      <c r="E694" s="5" t="s">
        <v>485</v>
      </c>
      <c r="F694" s="5" t="s">
        <v>248</v>
      </c>
      <c r="G694" s="5" t="s">
        <v>5712</v>
      </c>
      <c r="H694" s="6" t="s">
        <v>5713</v>
      </c>
      <c r="I694" s="7">
        <f>834</f>
        <v>834</v>
      </c>
      <c r="J694" s="5" t="s">
        <v>262</v>
      </c>
      <c r="K694" s="8">
        <f>9174</f>
        <v>9174</v>
      </c>
      <c r="L694" s="6" t="s">
        <v>242</v>
      </c>
      <c r="M694" s="5" t="s">
        <v>267</v>
      </c>
      <c r="N694" s="5" t="s">
        <v>237</v>
      </c>
      <c r="O694" s="5" t="s">
        <v>238</v>
      </c>
      <c r="P694" s="5" t="s">
        <v>238</v>
      </c>
      <c r="Q694" s="5" t="s">
        <v>239</v>
      </c>
      <c r="R694" s="5" t="s">
        <v>240</v>
      </c>
      <c r="S694" s="5" t="s">
        <v>238</v>
      </c>
      <c r="V694" s="5" t="s">
        <v>238</v>
      </c>
      <c r="X694" s="6" t="s">
        <v>238</v>
      </c>
      <c r="AA694" s="6" t="s">
        <v>243</v>
      </c>
      <c r="AB694" s="5" t="s">
        <v>238</v>
      </c>
      <c r="AC694" s="5" t="s">
        <v>244</v>
      </c>
      <c r="AD694" s="5" t="s">
        <v>245</v>
      </c>
      <c r="AT694" s="5" t="s">
        <v>246</v>
      </c>
      <c r="AU694" s="5" t="s">
        <v>238</v>
      </c>
      <c r="AV694" s="5" t="s">
        <v>247</v>
      </c>
      <c r="AW694" s="5" t="s">
        <v>238</v>
      </c>
      <c r="AX694" s="5" t="s">
        <v>249</v>
      </c>
      <c r="AY694" s="5" t="s">
        <v>238</v>
      </c>
      <c r="BA694" s="5" t="s">
        <v>1397</v>
      </c>
      <c r="BC694" s="5" t="s">
        <v>250</v>
      </c>
      <c r="BD694" s="6" t="s">
        <v>243</v>
      </c>
      <c r="BE694" s="5" t="s">
        <v>251</v>
      </c>
      <c r="BF694" s="5" t="s">
        <v>252</v>
      </c>
      <c r="BG694" s="5" t="s">
        <v>238</v>
      </c>
      <c r="BH694" s="7">
        <f>0</f>
        <v>0</v>
      </c>
      <c r="BI694" s="8">
        <f>0</f>
        <v>0</v>
      </c>
      <c r="BJ694" s="5" t="s">
        <v>253</v>
      </c>
      <c r="BK694" s="5" t="s">
        <v>254</v>
      </c>
      <c r="BY694" s="5" t="s">
        <v>238</v>
      </c>
      <c r="BZ694" s="5" t="s">
        <v>238</v>
      </c>
      <c r="CD694" s="5" t="s">
        <v>255</v>
      </c>
      <c r="CE694" s="5" t="s">
        <v>256</v>
      </c>
      <c r="CF694" s="5" t="s">
        <v>238</v>
      </c>
      <c r="CI694" s="6" t="s">
        <v>257</v>
      </c>
      <c r="CJ694" s="5" t="s">
        <v>238</v>
      </c>
      <c r="CK694" s="5" t="s">
        <v>258</v>
      </c>
      <c r="CL694" s="5" t="s">
        <v>238</v>
      </c>
      <c r="CM694" s="5" t="s">
        <v>238</v>
      </c>
      <c r="CN694" s="5">
        <v>0</v>
      </c>
      <c r="CO694" s="5" t="s">
        <v>259</v>
      </c>
      <c r="CP694" s="5" t="s">
        <v>260</v>
      </c>
      <c r="CQ694" s="5" t="s">
        <v>260</v>
      </c>
      <c r="CR694" s="5" t="s">
        <v>261</v>
      </c>
      <c r="CU694" s="8">
        <f>9174</f>
        <v>9174</v>
      </c>
      <c r="CV694" s="8">
        <f>0</f>
        <v>0</v>
      </c>
      <c r="CX694" s="8">
        <f>0</f>
        <v>0</v>
      </c>
      <c r="CY694" s="8">
        <f>9174</f>
        <v>9174</v>
      </c>
      <c r="DA694" s="5" t="s">
        <v>356</v>
      </c>
      <c r="DB694" s="5" t="s">
        <v>238</v>
      </c>
      <c r="DD694" s="5" t="s">
        <v>356</v>
      </c>
      <c r="DE694" s="8">
        <f>0</f>
        <v>0</v>
      </c>
      <c r="DG694" s="5" t="s">
        <v>534</v>
      </c>
      <c r="DH694" s="5" t="s">
        <v>238</v>
      </c>
      <c r="DI694" s="5" t="s">
        <v>238</v>
      </c>
      <c r="DJ694" s="5" t="s">
        <v>238</v>
      </c>
      <c r="DN694" s="5" t="s">
        <v>238</v>
      </c>
      <c r="DO694" s="5" t="s">
        <v>238</v>
      </c>
      <c r="DP694" s="5" t="s">
        <v>238</v>
      </c>
      <c r="DQ694" s="5" t="s">
        <v>238</v>
      </c>
      <c r="DT694" s="5" t="s">
        <v>5714</v>
      </c>
      <c r="DU694" s="5" t="s">
        <v>264</v>
      </c>
      <c r="HM694" s="5" t="s">
        <v>264</v>
      </c>
    </row>
    <row r="695" spans="1:221" x14ac:dyDescent="0.4">
      <c r="A695" s="5">
        <v>1557</v>
      </c>
      <c r="B695" s="5">
        <v>1</v>
      </c>
      <c r="C695" s="5">
        <v>1</v>
      </c>
      <c r="D695" s="5" t="s">
        <v>484</v>
      </c>
      <c r="E695" s="5" t="s">
        <v>485</v>
      </c>
      <c r="F695" s="5" t="s">
        <v>248</v>
      </c>
      <c r="G695" s="5" t="s">
        <v>5717</v>
      </c>
      <c r="H695" s="6" t="s">
        <v>5718</v>
      </c>
      <c r="I695" s="7">
        <f>1102</f>
        <v>1102</v>
      </c>
      <c r="J695" s="5" t="s">
        <v>262</v>
      </c>
      <c r="K695" s="8">
        <f>12122</f>
        <v>12122</v>
      </c>
      <c r="L695" s="6" t="s">
        <v>242</v>
      </c>
      <c r="M695" s="5" t="s">
        <v>267</v>
      </c>
      <c r="N695" s="5" t="s">
        <v>237</v>
      </c>
      <c r="O695" s="5" t="s">
        <v>238</v>
      </c>
      <c r="P695" s="5" t="s">
        <v>238</v>
      </c>
      <c r="Q695" s="5" t="s">
        <v>239</v>
      </c>
      <c r="R695" s="5" t="s">
        <v>240</v>
      </c>
      <c r="S695" s="5" t="s">
        <v>238</v>
      </c>
      <c r="V695" s="5" t="s">
        <v>238</v>
      </c>
      <c r="X695" s="6" t="s">
        <v>238</v>
      </c>
      <c r="AA695" s="6" t="s">
        <v>243</v>
      </c>
      <c r="AB695" s="5" t="s">
        <v>238</v>
      </c>
      <c r="AC695" s="5" t="s">
        <v>244</v>
      </c>
      <c r="AD695" s="5" t="s">
        <v>245</v>
      </c>
      <c r="AT695" s="5" t="s">
        <v>246</v>
      </c>
      <c r="AU695" s="5" t="s">
        <v>238</v>
      </c>
      <c r="AV695" s="5" t="s">
        <v>247</v>
      </c>
      <c r="AW695" s="5" t="s">
        <v>238</v>
      </c>
      <c r="AX695" s="5" t="s">
        <v>249</v>
      </c>
      <c r="AY695" s="5" t="s">
        <v>238</v>
      </c>
      <c r="BA695" s="5" t="s">
        <v>1397</v>
      </c>
      <c r="BC695" s="5" t="s">
        <v>250</v>
      </c>
      <c r="BD695" s="6" t="s">
        <v>243</v>
      </c>
      <c r="BE695" s="5" t="s">
        <v>251</v>
      </c>
      <c r="BF695" s="5" t="s">
        <v>252</v>
      </c>
      <c r="BG695" s="5" t="s">
        <v>238</v>
      </c>
      <c r="BH695" s="7">
        <f>0</f>
        <v>0</v>
      </c>
      <c r="BI695" s="8">
        <f>0</f>
        <v>0</v>
      </c>
      <c r="BJ695" s="5" t="s">
        <v>253</v>
      </c>
      <c r="BK695" s="5" t="s">
        <v>254</v>
      </c>
      <c r="BY695" s="5" t="s">
        <v>238</v>
      </c>
      <c r="BZ695" s="5" t="s">
        <v>238</v>
      </c>
      <c r="CD695" s="5" t="s">
        <v>255</v>
      </c>
      <c r="CE695" s="5" t="s">
        <v>256</v>
      </c>
      <c r="CF695" s="5" t="s">
        <v>238</v>
      </c>
      <c r="CI695" s="6" t="s">
        <v>257</v>
      </c>
      <c r="CJ695" s="5" t="s">
        <v>238</v>
      </c>
      <c r="CK695" s="5" t="s">
        <v>258</v>
      </c>
      <c r="CL695" s="5" t="s">
        <v>238</v>
      </c>
      <c r="CM695" s="5" t="s">
        <v>238</v>
      </c>
      <c r="CN695" s="5">
        <v>0</v>
      </c>
      <c r="CO695" s="5" t="s">
        <v>259</v>
      </c>
      <c r="CP695" s="5" t="s">
        <v>260</v>
      </c>
      <c r="CQ695" s="5" t="s">
        <v>260</v>
      </c>
      <c r="CR695" s="5" t="s">
        <v>261</v>
      </c>
      <c r="CU695" s="8">
        <f>12122</f>
        <v>12122</v>
      </c>
      <c r="CV695" s="8">
        <f>0</f>
        <v>0</v>
      </c>
      <c r="CX695" s="8">
        <f>0</f>
        <v>0</v>
      </c>
      <c r="CY695" s="8">
        <f>12122</f>
        <v>12122</v>
      </c>
      <c r="DA695" s="5" t="s">
        <v>356</v>
      </c>
      <c r="DB695" s="5" t="s">
        <v>238</v>
      </c>
      <c r="DD695" s="5" t="s">
        <v>356</v>
      </c>
      <c r="DE695" s="8">
        <f>0</f>
        <v>0</v>
      </c>
      <c r="DG695" s="5" t="s">
        <v>534</v>
      </c>
      <c r="DH695" s="5" t="s">
        <v>238</v>
      </c>
      <c r="DI695" s="5" t="s">
        <v>238</v>
      </c>
      <c r="DJ695" s="5" t="s">
        <v>238</v>
      </c>
      <c r="DN695" s="5" t="s">
        <v>238</v>
      </c>
      <c r="DO695" s="5" t="s">
        <v>238</v>
      </c>
      <c r="DP695" s="5" t="s">
        <v>238</v>
      </c>
      <c r="DQ695" s="5" t="s">
        <v>238</v>
      </c>
      <c r="DT695" s="5" t="s">
        <v>5719</v>
      </c>
      <c r="DU695" s="5" t="s">
        <v>264</v>
      </c>
      <c r="HM695" s="5" t="s">
        <v>264</v>
      </c>
    </row>
    <row r="696" spans="1:221" x14ac:dyDescent="0.4">
      <c r="A696" s="5">
        <v>1558</v>
      </c>
      <c r="B696" s="5">
        <v>1</v>
      </c>
      <c r="C696" s="5">
        <v>1</v>
      </c>
      <c r="D696" s="5" t="s">
        <v>484</v>
      </c>
      <c r="E696" s="5" t="s">
        <v>485</v>
      </c>
      <c r="F696" s="5" t="s">
        <v>248</v>
      </c>
      <c r="G696" s="5" t="s">
        <v>5721</v>
      </c>
      <c r="H696" s="6" t="s">
        <v>5722</v>
      </c>
      <c r="I696" s="7">
        <f>10838</f>
        <v>10838</v>
      </c>
      <c r="J696" s="5" t="s">
        <v>262</v>
      </c>
      <c r="K696" s="8">
        <f>119218</f>
        <v>119218</v>
      </c>
      <c r="L696" s="6" t="s">
        <v>242</v>
      </c>
      <c r="M696" s="5" t="s">
        <v>267</v>
      </c>
      <c r="N696" s="5" t="s">
        <v>237</v>
      </c>
      <c r="O696" s="5" t="s">
        <v>238</v>
      </c>
      <c r="P696" s="5" t="s">
        <v>238</v>
      </c>
      <c r="Q696" s="5" t="s">
        <v>239</v>
      </c>
      <c r="R696" s="5" t="s">
        <v>240</v>
      </c>
      <c r="S696" s="5" t="s">
        <v>238</v>
      </c>
      <c r="V696" s="5" t="s">
        <v>238</v>
      </c>
      <c r="X696" s="6" t="s">
        <v>238</v>
      </c>
      <c r="AA696" s="6" t="s">
        <v>243</v>
      </c>
      <c r="AB696" s="5" t="s">
        <v>238</v>
      </c>
      <c r="AC696" s="5" t="s">
        <v>244</v>
      </c>
      <c r="AD696" s="5" t="s">
        <v>245</v>
      </c>
      <c r="AT696" s="5" t="s">
        <v>246</v>
      </c>
      <c r="AU696" s="5" t="s">
        <v>238</v>
      </c>
      <c r="AV696" s="5" t="s">
        <v>247</v>
      </c>
      <c r="AW696" s="5" t="s">
        <v>238</v>
      </c>
      <c r="AX696" s="5" t="s">
        <v>249</v>
      </c>
      <c r="AY696" s="5" t="s">
        <v>238</v>
      </c>
      <c r="BA696" s="5" t="s">
        <v>1397</v>
      </c>
      <c r="BC696" s="5" t="s">
        <v>250</v>
      </c>
      <c r="BD696" s="6" t="s">
        <v>243</v>
      </c>
      <c r="BE696" s="5" t="s">
        <v>251</v>
      </c>
      <c r="BF696" s="5" t="s">
        <v>252</v>
      </c>
      <c r="BG696" s="5" t="s">
        <v>238</v>
      </c>
      <c r="BH696" s="7">
        <f>0</f>
        <v>0</v>
      </c>
      <c r="BI696" s="8">
        <f>0</f>
        <v>0</v>
      </c>
      <c r="BJ696" s="5" t="s">
        <v>253</v>
      </c>
      <c r="BK696" s="5" t="s">
        <v>254</v>
      </c>
      <c r="BY696" s="5" t="s">
        <v>238</v>
      </c>
      <c r="BZ696" s="5" t="s">
        <v>238</v>
      </c>
      <c r="CD696" s="5" t="s">
        <v>255</v>
      </c>
      <c r="CE696" s="5" t="s">
        <v>256</v>
      </c>
      <c r="CF696" s="5" t="s">
        <v>238</v>
      </c>
      <c r="CI696" s="6" t="s">
        <v>257</v>
      </c>
      <c r="CJ696" s="5" t="s">
        <v>238</v>
      </c>
      <c r="CK696" s="5" t="s">
        <v>258</v>
      </c>
      <c r="CL696" s="5" t="s">
        <v>238</v>
      </c>
      <c r="CM696" s="5" t="s">
        <v>238</v>
      </c>
      <c r="CN696" s="5">
        <v>0</v>
      </c>
      <c r="CO696" s="5" t="s">
        <v>259</v>
      </c>
      <c r="CP696" s="5" t="s">
        <v>260</v>
      </c>
      <c r="CQ696" s="5" t="s">
        <v>260</v>
      </c>
      <c r="CR696" s="5" t="s">
        <v>261</v>
      </c>
      <c r="CU696" s="8">
        <f>119218</f>
        <v>119218</v>
      </c>
      <c r="CV696" s="8">
        <f>0</f>
        <v>0</v>
      </c>
      <c r="CX696" s="8">
        <f>0</f>
        <v>0</v>
      </c>
      <c r="CY696" s="8">
        <f>119218</f>
        <v>119218</v>
      </c>
      <c r="DA696" s="5" t="s">
        <v>356</v>
      </c>
      <c r="DB696" s="5" t="s">
        <v>238</v>
      </c>
      <c r="DD696" s="5" t="s">
        <v>356</v>
      </c>
      <c r="DE696" s="8">
        <f>0</f>
        <v>0</v>
      </c>
      <c r="DG696" s="5" t="s">
        <v>534</v>
      </c>
      <c r="DH696" s="5" t="s">
        <v>238</v>
      </c>
      <c r="DI696" s="5" t="s">
        <v>238</v>
      </c>
      <c r="DJ696" s="5" t="s">
        <v>238</v>
      </c>
      <c r="DN696" s="5" t="s">
        <v>238</v>
      </c>
      <c r="DO696" s="5" t="s">
        <v>238</v>
      </c>
      <c r="DP696" s="5" t="s">
        <v>238</v>
      </c>
      <c r="DQ696" s="5" t="s">
        <v>238</v>
      </c>
      <c r="DT696" s="5" t="s">
        <v>5723</v>
      </c>
      <c r="DU696" s="5" t="s">
        <v>264</v>
      </c>
      <c r="HM696" s="5" t="s">
        <v>264</v>
      </c>
    </row>
    <row r="697" spans="1:221" x14ac:dyDescent="0.4">
      <c r="A697" s="5">
        <v>1559</v>
      </c>
      <c r="B697" s="5">
        <v>1</v>
      </c>
      <c r="C697" s="5">
        <v>1</v>
      </c>
      <c r="D697" s="5" t="s">
        <v>484</v>
      </c>
      <c r="E697" s="5" t="s">
        <v>485</v>
      </c>
      <c r="F697" s="5" t="s">
        <v>248</v>
      </c>
      <c r="G697" s="5" t="s">
        <v>5456</v>
      </c>
      <c r="H697" s="6" t="s">
        <v>5457</v>
      </c>
      <c r="I697" s="7">
        <f>296</f>
        <v>296</v>
      </c>
      <c r="J697" s="5" t="s">
        <v>262</v>
      </c>
      <c r="K697" s="8">
        <f>3256</f>
        <v>3256</v>
      </c>
      <c r="L697" s="6" t="s">
        <v>242</v>
      </c>
      <c r="M697" s="5" t="s">
        <v>267</v>
      </c>
      <c r="N697" s="5" t="s">
        <v>237</v>
      </c>
      <c r="O697" s="5" t="s">
        <v>238</v>
      </c>
      <c r="P697" s="5" t="s">
        <v>238</v>
      </c>
      <c r="Q697" s="5" t="s">
        <v>239</v>
      </c>
      <c r="R697" s="5" t="s">
        <v>240</v>
      </c>
      <c r="S697" s="5" t="s">
        <v>238</v>
      </c>
      <c r="V697" s="5" t="s">
        <v>238</v>
      </c>
      <c r="X697" s="6" t="s">
        <v>238</v>
      </c>
      <c r="AA697" s="6" t="s">
        <v>243</v>
      </c>
      <c r="AB697" s="5" t="s">
        <v>238</v>
      </c>
      <c r="AC697" s="5" t="s">
        <v>244</v>
      </c>
      <c r="AD697" s="5" t="s">
        <v>245</v>
      </c>
      <c r="AT697" s="5" t="s">
        <v>246</v>
      </c>
      <c r="AU697" s="5" t="s">
        <v>238</v>
      </c>
      <c r="AV697" s="5" t="s">
        <v>247</v>
      </c>
      <c r="AW697" s="5" t="s">
        <v>238</v>
      </c>
      <c r="AX697" s="5" t="s">
        <v>249</v>
      </c>
      <c r="AY697" s="5" t="s">
        <v>238</v>
      </c>
      <c r="BA697" s="5" t="s">
        <v>1397</v>
      </c>
      <c r="BC697" s="5" t="s">
        <v>250</v>
      </c>
      <c r="BD697" s="6" t="s">
        <v>243</v>
      </c>
      <c r="BE697" s="5" t="s">
        <v>251</v>
      </c>
      <c r="BF697" s="5" t="s">
        <v>252</v>
      </c>
      <c r="BG697" s="5" t="s">
        <v>238</v>
      </c>
      <c r="BH697" s="7">
        <f>0</f>
        <v>0</v>
      </c>
      <c r="BI697" s="8">
        <f>0</f>
        <v>0</v>
      </c>
      <c r="BJ697" s="5" t="s">
        <v>253</v>
      </c>
      <c r="BK697" s="5" t="s">
        <v>254</v>
      </c>
      <c r="BY697" s="5" t="s">
        <v>238</v>
      </c>
      <c r="BZ697" s="5" t="s">
        <v>238</v>
      </c>
      <c r="CD697" s="5" t="s">
        <v>255</v>
      </c>
      <c r="CE697" s="5" t="s">
        <v>256</v>
      </c>
      <c r="CF697" s="5" t="s">
        <v>238</v>
      </c>
      <c r="CI697" s="6" t="s">
        <v>257</v>
      </c>
      <c r="CJ697" s="5" t="s">
        <v>238</v>
      </c>
      <c r="CK697" s="5" t="s">
        <v>258</v>
      </c>
      <c r="CL697" s="5" t="s">
        <v>238</v>
      </c>
      <c r="CM697" s="5" t="s">
        <v>238</v>
      </c>
      <c r="CN697" s="5">
        <v>0</v>
      </c>
      <c r="CO697" s="5" t="s">
        <v>259</v>
      </c>
      <c r="CP697" s="5" t="s">
        <v>260</v>
      </c>
      <c r="CQ697" s="5" t="s">
        <v>260</v>
      </c>
      <c r="CR697" s="5" t="s">
        <v>261</v>
      </c>
      <c r="CU697" s="8">
        <f>3256</f>
        <v>3256</v>
      </c>
      <c r="CV697" s="8">
        <f>0</f>
        <v>0</v>
      </c>
      <c r="CX697" s="8">
        <f>0</f>
        <v>0</v>
      </c>
      <c r="CY697" s="8">
        <f>3256</f>
        <v>3256</v>
      </c>
      <c r="DA697" s="5" t="s">
        <v>356</v>
      </c>
      <c r="DB697" s="5" t="s">
        <v>238</v>
      </c>
      <c r="DD697" s="5" t="s">
        <v>356</v>
      </c>
      <c r="DE697" s="8">
        <f>0</f>
        <v>0</v>
      </c>
      <c r="DG697" s="5" t="s">
        <v>534</v>
      </c>
      <c r="DH697" s="5" t="s">
        <v>238</v>
      </c>
      <c r="DI697" s="5" t="s">
        <v>238</v>
      </c>
      <c r="DJ697" s="5" t="s">
        <v>238</v>
      </c>
      <c r="DN697" s="5" t="s">
        <v>238</v>
      </c>
      <c r="DO697" s="5" t="s">
        <v>238</v>
      </c>
      <c r="DP697" s="5" t="s">
        <v>238</v>
      </c>
      <c r="DQ697" s="5" t="s">
        <v>238</v>
      </c>
      <c r="DT697" s="5" t="s">
        <v>5458</v>
      </c>
      <c r="DU697" s="5" t="s">
        <v>264</v>
      </c>
      <c r="HM697" s="5" t="s">
        <v>264</v>
      </c>
    </row>
    <row r="698" spans="1:221" x14ac:dyDescent="0.4">
      <c r="A698" s="5">
        <v>1560</v>
      </c>
      <c r="B698" s="5">
        <v>1</v>
      </c>
      <c r="C698" s="5">
        <v>1</v>
      </c>
      <c r="D698" s="5" t="s">
        <v>484</v>
      </c>
      <c r="E698" s="5" t="s">
        <v>485</v>
      </c>
      <c r="F698" s="5" t="s">
        <v>248</v>
      </c>
      <c r="G698" s="5" t="s">
        <v>5461</v>
      </c>
      <c r="H698" s="6" t="s">
        <v>5462</v>
      </c>
      <c r="I698" s="7">
        <f>232</f>
        <v>232</v>
      </c>
      <c r="J698" s="5" t="s">
        <v>262</v>
      </c>
      <c r="K698" s="8">
        <f>2552</f>
        <v>2552</v>
      </c>
      <c r="L698" s="6" t="s">
        <v>242</v>
      </c>
      <c r="M698" s="5" t="s">
        <v>267</v>
      </c>
      <c r="N698" s="5" t="s">
        <v>237</v>
      </c>
      <c r="O698" s="5" t="s">
        <v>238</v>
      </c>
      <c r="P698" s="5" t="s">
        <v>238</v>
      </c>
      <c r="Q698" s="5" t="s">
        <v>239</v>
      </c>
      <c r="R698" s="5" t="s">
        <v>240</v>
      </c>
      <c r="S698" s="5" t="s">
        <v>238</v>
      </c>
      <c r="V698" s="5" t="s">
        <v>238</v>
      </c>
      <c r="X698" s="6" t="s">
        <v>238</v>
      </c>
      <c r="AA698" s="6" t="s">
        <v>243</v>
      </c>
      <c r="AB698" s="5" t="s">
        <v>238</v>
      </c>
      <c r="AC698" s="5" t="s">
        <v>244</v>
      </c>
      <c r="AD698" s="5" t="s">
        <v>245</v>
      </c>
      <c r="AT698" s="5" t="s">
        <v>246</v>
      </c>
      <c r="AU698" s="5" t="s">
        <v>238</v>
      </c>
      <c r="AV698" s="5" t="s">
        <v>247</v>
      </c>
      <c r="AW698" s="5" t="s">
        <v>238</v>
      </c>
      <c r="AX698" s="5" t="s">
        <v>249</v>
      </c>
      <c r="AY698" s="5" t="s">
        <v>238</v>
      </c>
      <c r="BA698" s="5" t="s">
        <v>1397</v>
      </c>
      <c r="BC698" s="5" t="s">
        <v>250</v>
      </c>
      <c r="BD698" s="6" t="s">
        <v>243</v>
      </c>
      <c r="BE698" s="5" t="s">
        <v>251</v>
      </c>
      <c r="BF698" s="5" t="s">
        <v>252</v>
      </c>
      <c r="BG698" s="5" t="s">
        <v>238</v>
      </c>
      <c r="BH698" s="7">
        <f>0</f>
        <v>0</v>
      </c>
      <c r="BI698" s="8">
        <f>0</f>
        <v>0</v>
      </c>
      <c r="BJ698" s="5" t="s">
        <v>253</v>
      </c>
      <c r="BK698" s="5" t="s">
        <v>254</v>
      </c>
      <c r="BY698" s="5" t="s">
        <v>238</v>
      </c>
      <c r="BZ698" s="5" t="s">
        <v>238</v>
      </c>
      <c r="CD698" s="5" t="s">
        <v>255</v>
      </c>
      <c r="CE698" s="5" t="s">
        <v>256</v>
      </c>
      <c r="CF698" s="5" t="s">
        <v>238</v>
      </c>
      <c r="CI698" s="6" t="s">
        <v>257</v>
      </c>
      <c r="CJ698" s="5" t="s">
        <v>238</v>
      </c>
      <c r="CK698" s="5" t="s">
        <v>258</v>
      </c>
      <c r="CL698" s="5" t="s">
        <v>238</v>
      </c>
      <c r="CM698" s="5" t="s">
        <v>238</v>
      </c>
      <c r="CN698" s="5">
        <v>0</v>
      </c>
      <c r="CO698" s="5" t="s">
        <v>259</v>
      </c>
      <c r="CP698" s="5" t="s">
        <v>260</v>
      </c>
      <c r="CQ698" s="5" t="s">
        <v>260</v>
      </c>
      <c r="CR698" s="5" t="s">
        <v>261</v>
      </c>
      <c r="CU698" s="8">
        <f>2552</f>
        <v>2552</v>
      </c>
      <c r="CV698" s="8">
        <f>0</f>
        <v>0</v>
      </c>
      <c r="CX698" s="8">
        <f>0</f>
        <v>0</v>
      </c>
      <c r="CY698" s="8">
        <f>2552</f>
        <v>2552</v>
      </c>
      <c r="DA698" s="5" t="s">
        <v>356</v>
      </c>
      <c r="DB698" s="5" t="s">
        <v>238</v>
      </c>
      <c r="DD698" s="5" t="s">
        <v>356</v>
      </c>
      <c r="DE698" s="8">
        <f>0</f>
        <v>0</v>
      </c>
      <c r="DG698" s="5" t="s">
        <v>534</v>
      </c>
      <c r="DH698" s="5" t="s">
        <v>238</v>
      </c>
      <c r="DI698" s="5" t="s">
        <v>238</v>
      </c>
      <c r="DJ698" s="5" t="s">
        <v>238</v>
      </c>
      <c r="DN698" s="5" t="s">
        <v>238</v>
      </c>
      <c r="DO698" s="5" t="s">
        <v>238</v>
      </c>
      <c r="DP698" s="5" t="s">
        <v>238</v>
      </c>
      <c r="DQ698" s="5" t="s">
        <v>238</v>
      </c>
      <c r="DT698" s="5" t="s">
        <v>5463</v>
      </c>
      <c r="DU698" s="5" t="s">
        <v>264</v>
      </c>
      <c r="HM698" s="5" t="s">
        <v>264</v>
      </c>
    </row>
    <row r="699" spans="1:221" x14ac:dyDescent="0.4">
      <c r="A699" s="5">
        <v>1561</v>
      </c>
      <c r="B699" s="5">
        <v>1</v>
      </c>
      <c r="C699" s="5">
        <v>1</v>
      </c>
      <c r="D699" s="5" t="s">
        <v>484</v>
      </c>
      <c r="E699" s="5" t="s">
        <v>485</v>
      </c>
      <c r="F699" s="5" t="s">
        <v>248</v>
      </c>
      <c r="G699" s="5" t="s">
        <v>5465</v>
      </c>
      <c r="H699" s="6" t="s">
        <v>5466</v>
      </c>
      <c r="I699" s="7">
        <f>509</f>
        <v>509</v>
      </c>
      <c r="J699" s="5" t="s">
        <v>262</v>
      </c>
      <c r="K699" s="8">
        <f>5599</f>
        <v>5599</v>
      </c>
      <c r="L699" s="6" t="s">
        <v>242</v>
      </c>
      <c r="M699" s="5" t="s">
        <v>267</v>
      </c>
      <c r="N699" s="5" t="s">
        <v>237</v>
      </c>
      <c r="O699" s="5" t="s">
        <v>238</v>
      </c>
      <c r="P699" s="5" t="s">
        <v>238</v>
      </c>
      <c r="Q699" s="5" t="s">
        <v>239</v>
      </c>
      <c r="R699" s="5" t="s">
        <v>240</v>
      </c>
      <c r="S699" s="5" t="s">
        <v>238</v>
      </c>
      <c r="V699" s="5" t="s">
        <v>238</v>
      </c>
      <c r="X699" s="6" t="s">
        <v>238</v>
      </c>
      <c r="AA699" s="6" t="s">
        <v>243</v>
      </c>
      <c r="AB699" s="5" t="s">
        <v>238</v>
      </c>
      <c r="AC699" s="5" t="s">
        <v>244</v>
      </c>
      <c r="AD699" s="5" t="s">
        <v>245</v>
      </c>
      <c r="AT699" s="5" t="s">
        <v>246</v>
      </c>
      <c r="AU699" s="5" t="s">
        <v>238</v>
      </c>
      <c r="AV699" s="5" t="s">
        <v>247</v>
      </c>
      <c r="AW699" s="5" t="s">
        <v>238</v>
      </c>
      <c r="AX699" s="5" t="s">
        <v>249</v>
      </c>
      <c r="AY699" s="5" t="s">
        <v>238</v>
      </c>
      <c r="BA699" s="5" t="s">
        <v>1397</v>
      </c>
      <c r="BC699" s="5" t="s">
        <v>250</v>
      </c>
      <c r="BD699" s="6" t="s">
        <v>243</v>
      </c>
      <c r="BE699" s="5" t="s">
        <v>251</v>
      </c>
      <c r="BF699" s="5" t="s">
        <v>252</v>
      </c>
      <c r="BG699" s="5" t="s">
        <v>238</v>
      </c>
      <c r="BH699" s="7">
        <f>0</f>
        <v>0</v>
      </c>
      <c r="BI699" s="8">
        <f>0</f>
        <v>0</v>
      </c>
      <c r="BJ699" s="5" t="s">
        <v>253</v>
      </c>
      <c r="BK699" s="5" t="s">
        <v>254</v>
      </c>
      <c r="BY699" s="5" t="s">
        <v>238</v>
      </c>
      <c r="BZ699" s="5" t="s">
        <v>238</v>
      </c>
      <c r="CD699" s="5" t="s">
        <v>255</v>
      </c>
      <c r="CE699" s="5" t="s">
        <v>256</v>
      </c>
      <c r="CF699" s="5" t="s">
        <v>238</v>
      </c>
      <c r="CI699" s="6" t="s">
        <v>257</v>
      </c>
      <c r="CJ699" s="5" t="s">
        <v>238</v>
      </c>
      <c r="CK699" s="5" t="s">
        <v>258</v>
      </c>
      <c r="CL699" s="5" t="s">
        <v>238</v>
      </c>
      <c r="CM699" s="5" t="s">
        <v>238</v>
      </c>
      <c r="CN699" s="5">
        <v>0</v>
      </c>
      <c r="CO699" s="5" t="s">
        <v>259</v>
      </c>
      <c r="CP699" s="5" t="s">
        <v>260</v>
      </c>
      <c r="CQ699" s="5" t="s">
        <v>260</v>
      </c>
      <c r="CR699" s="5" t="s">
        <v>261</v>
      </c>
      <c r="CU699" s="8">
        <f>5599</f>
        <v>5599</v>
      </c>
      <c r="CV699" s="8">
        <f>0</f>
        <v>0</v>
      </c>
      <c r="CX699" s="8">
        <f>0</f>
        <v>0</v>
      </c>
      <c r="CY699" s="8">
        <f>5599</f>
        <v>5599</v>
      </c>
      <c r="DA699" s="5" t="s">
        <v>356</v>
      </c>
      <c r="DB699" s="5" t="s">
        <v>238</v>
      </c>
      <c r="DD699" s="5" t="s">
        <v>356</v>
      </c>
      <c r="DE699" s="8">
        <f>0</f>
        <v>0</v>
      </c>
      <c r="DG699" s="5" t="s">
        <v>534</v>
      </c>
      <c r="DH699" s="5" t="s">
        <v>238</v>
      </c>
      <c r="DI699" s="5" t="s">
        <v>238</v>
      </c>
      <c r="DJ699" s="5" t="s">
        <v>238</v>
      </c>
      <c r="DN699" s="5" t="s">
        <v>238</v>
      </c>
      <c r="DO699" s="5" t="s">
        <v>238</v>
      </c>
      <c r="DP699" s="5" t="s">
        <v>238</v>
      </c>
      <c r="DQ699" s="5" t="s">
        <v>238</v>
      </c>
      <c r="DT699" s="5" t="s">
        <v>5467</v>
      </c>
      <c r="DU699" s="5" t="s">
        <v>264</v>
      </c>
      <c r="HM699" s="5" t="s">
        <v>264</v>
      </c>
    </row>
    <row r="700" spans="1:221" x14ac:dyDescent="0.4">
      <c r="A700" s="5">
        <v>1562</v>
      </c>
      <c r="B700" s="5">
        <v>1</v>
      </c>
      <c r="C700" s="5">
        <v>1</v>
      </c>
      <c r="D700" s="5" t="s">
        <v>484</v>
      </c>
      <c r="E700" s="5" t="s">
        <v>485</v>
      </c>
      <c r="F700" s="5" t="s">
        <v>248</v>
      </c>
      <c r="G700" s="5" t="s">
        <v>5470</v>
      </c>
      <c r="H700" s="6" t="s">
        <v>5471</v>
      </c>
      <c r="I700" s="7">
        <f>2546</f>
        <v>2546</v>
      </c>
      <c r="J700" s="5" t="s">
        <v>262</v>
      </c>
      <c r="K700" s="8">
        <f>28006</f>
        <v>28006</v>
      </c>
      <c r="L700" s="6" t="s">
        <v>242</v>
      </c>
      <c r="M700" s="5" t="s">
        <v>267</v>
      </c>
      <c r="N700" s="5" t="s">
        <v>237</v>
      </c>
      <c r="O700" s="5" t="s">
        <v>238</v>
      </c>
      <c r="P700" s="5" t="s">
        <v>238</v>
      </c>
      <c r="Q700" s="5" t="s">
        <v>239</v>
      </c>
      <c r="R700" s="5" t="s">
        <v>240</v>
      </c>
      <c r="S700" s="5" t="s">
        <v>238</v>
      </c>
      <c r="V700" s="5" t="s">
        <v>238</v>
      </c>
      <c r="X700" s="6" t="s">
        <v>238</v>
      </c>
      <c r="AA700" s="6" t="s">
        <v>243</v>
      </c>
      <c r="AB700" s="5" t="s">
        <v>238</v>
      </c>
      <c r="AC700" s="5" t="s">
        <v>244</v>
      </c>
      <c r="AD700" s="5" t="s">
        <v>245</v>
      </c>
      <c r="AT700" s="5" t="s">
        <v>246</v>
      </c>
      <c r="AU700" s="5" t="s">
        <v>238</v>
      </c>
      <c r="AV700" s="5" t="s">
        <v>247</v>
      </c>
      <c r="AW700" s="5" t="s">
        <v>238</v>
      </c>
      <c r="AX700" s="5" t="s">
        <v>249</v>
      </c>
      <c r="AY700" s="5" t="s">
        <v>238</v>
      </c>
      <c r="BA700" s="5" t="s">
        <v>1397</v>
      </c>
      <c r="BC700" s="5" t="s">
        <v>250</v>
      </c>
      <c r="BD700" s="6" t="s">
        <v>243</v>
      </c>
      <c r="BE700" s="5" t="s">
        <v>251</v>
      </c>
      <c r="BF700" s="5" t="s">
        <v>252</v>
      </c>
      <c r="BG700" s="5" t="s">
        <v>238</v>
      </c>
      <c r="BH700" s="7">
        <f>0</f>
        <v>0</v>
      </c>
      <c r="BI700" s="8">
        <f>0</f>
        <v>0</v>
      </c>
      <c r="BJ700" s="5" t="s">
        <v>253</v>
      </c>
      <c r="BK700" s="5" t="s">
        <v>254</v>
      </c>
      <c r="BY700" s="5" t="s">
        <v>238</v>
      </c>
      <c r="BZ700" s="5" t="s">
        <v>238</v>
      </c>
      <c r="CD700" s="5" t="s">
        <v>255</v>
      </c>
      <c r="CE700" s="5" t="s">
        <v>256</v>
      </c>
      <c r="CF700" s="5" t="s">
        <v>238</v>
      </c>
      <c r="CI700" s="6" t="s">
        <v>257</v>
      </c>
      <c r="CJ700" s="5" t="s">
        <v>238</v>
      </c>
      <c r="CK700" s="5" t="s">
        <v>258</v>
      </c>
      <c r="CL700" s="5" t="s">
        <v>238</v>
      </c>
      <c r="CM700" s="5" t="s">
        <v>238</v>
      </c>
      <c r="CN700" s="5">
        <v>0</v>
      </c>
      <c r="CO700" s="5" t="s">
        <v>259</v>
      </c>
      <c r="CP700" s="5" t="s">
        <v>260</v>
      </c>
      <c r="CQ700" s="5" t="s">
        <v>260</v>
      </c>
      <c r="CR700" s="5" t="s">
        <v>261</v>
      </c>
      <c r="CU700" s="8">
        <f>28006</f>
        <v>28006</v>
      </c>
      <c r="CV700" s="8">
        <f>0</f>
        <v>0</v>
      </c>
      <c r="CX700" s="8">
        <f>0</f>
        <v>0</v>
      </c>
      <c r="CY700" s="8">
        <f>28006</f>
        <v>28006</v>
      </c>
      <c r="DA700" s="5" t="s">
        <v>356</v>
      </c>
      <c r="DB700" s="5" t="s">
        <v>238</v>
      </c>
      <c r="DD700" s="5" t="s">
        <v>356</v>
      </c>
      <c r="DE700" s="8">
        <f>0</f>
        <v>0</v>
      </c>
      <c r="DG700" s="5" t="s">
        <v>534</v>
      </c>
      <c r="DH700" s="5" t="s">
        <v>238</v>
      </c>
      <c r="DI700" s="5" t="s">
        <v>238</v>
      </c>
      <c r="DJ700" s="5" t="s">
        <v>238</v>
      </c>
      <c r="DN700" s="5" t="s">
        <v>238</v>
      </c>
      <c r="DO700" s="5" t="s">
        <v>238</v>
      </c>
      <c r="DP700" s="5" t="s">
        <v>238</v>
      </c>
      <c r="DQ700" s="5" t="s">
        <v>238</v>
      </c>
      <c r="DT700" s="5" t="s">
        <v>5472</v>
      </c>
      <c r="DU700" s="5" t="s">
        <v>264</v>
      </c>
      <c r="HM700" s="5" t="s">
        <v>264</v>
      </c>
    </row>
    <row r="701" spans="1:221" x14ac:dyDescent="0.4">
      <c r="A701" s="5">
        <v>1563</v>
      </c>
      <c r="B701" s="5">
        <v>1</v>
      </c>
      <c r="C701" s="5">
        <v>1</v>
      </c>
      <c r="D701" s="5" t="s">
        <v>484</v>
      </c>
      <c r="E701" s="5" t="s">
        <v>485</v>
      </c>
      <c r="F701" s="5" t="s">
        <v>248</v>
      </c>
      <c r="G701" s="5" t="s">
        <v>5478</v>
      </c>
      <c r="H701" s="6" t="s">
        <v>5479</v>
      </c>
      <c r="I701" s="7">
        <f>680</f>
        <v>680</v>
      </c>
      <c r="J701" s="5" t="s">
        <v>262</v>
      </c>
      <c r="K701" s="8">
        <f>7480</f>
        <v>7480</v>
      </c>
      <c r="L701" s="6" t="s">
        <v>242</v>
      </c>
      <c r="M701" s="5" t="s">
        <v>267</v>
      </c>
      <c r="N701" s="5" t="s">
        <v>237</v>
      </c>
      <c r="O701" s="5" t="s">
        <v>238</v>
      </c>
      <c r="P701" s="5" t="s">
        <v>238</v>
      </c>
      <c r="Q701" s="5" t="s">
        <v>239</v>
      </c>
      <c r="R701" s="5" t="s">
        <v>240</v>
      </c>
      <c r="S701" s="5" t="s">
        <v>238</v>
      </c>
      <c r="V701" s="5" t="s">
        <v>238</v>
      </c>
      <c r="X701" s="6" t="s">
        <v>238</v>
      </c>
      <c r="AA701" s="6" t="s">
        <v>243</v>
      </c>
      <c r="AB701" s="5" t="s">
        <v>238</v>
      </c>
      <c r="AC701" s="5" t="s">
        <v>244</v>
      </c>
      <c r="AD701" s="5" t="s">
        <v>245</v>
      </c>
      <c r="AT701" s="5" t="s">
        <v>246</v>
      </c>
      <c r="AU701" s="5" t="s">
        <v>238</v>
      </c>
      <c r="AV701" s="5" t="s">
        <v>247</v>
      </c>
      <c r="AW701" s="5" t="s">
        <v>238</v>
      </c>
      <c r="AX701" s="5" t="s">
        <v>249</v>
      </c>
      <c r="AY701" s="5" t="s">
        <v>238</v>
      </c>
      <c r="BA701" s="5" t="s">
        <v>1397</v>
      </c>
      <c r="BC701" s="5" t="s">
        <v>250</v>
      </c>
      <c r="BD701" s="6" t="s">
        <v>243</v>
      </c>
      <c r="BE701" s="5" t="s">
        <v>251</v>
      </c>
      <c r="BF701" s="5" t="s">
        <v>252</v>
      </c>
      <c r="BG701" s="5" t="s">
        <v>238</v>
      </c>
      <c r="BH701" s="7">
        <f>0</f>
        <v>0</v>
      </c>
      <c r="BI701" s="8">
        <f>0</f>
        <v>0</v>
      </c>
      <c r="BJ701" s="5" t="s">
        <v>253</v>
      </c>
      <c r="BK701" s="5" t="s">
        <v>254</v>
      </c>
      <c r="BY701" s="5" t="s">
        <v>238</v>
      </c>
      <c r="BZ701" s="5" t="s">
        <v>238</v>
      </c>
      <c r="CD701" s="5" t="s">
        <v>255</v>
      </c>
      <c r="CE701" s="5" t="s">
        <v>256</v>
      </c>
      <c r="CF701" s="5" t="s">
        <v>238</v>
      </c>
      <c r="CI701" s="6" t="s">
        <v>257</v>
      </c>
      <c r="CJ701" s="5" t="s">
        <v>238</v>
      </c>
      <c r="CK701" s="5" t="s">
        <v>258</v>
      </c>
      <c r="CL701" s="5" t="s">
        <v>238</v>
      </c>
      <c r="CM701" s="5" t="s">
        <v>238</v>
      </c>
      <c r="CN701" s="5">
        <v>0</v>
      </c>
      <c r="CO701" s="5" t="s">
        <v>259</v>
      </c>
      <c r="CP701" s="5" t="s">
        <v>260</v>
      </c>
      <c r="CQ701" s="5" t="s">
        <v>260</v>
      </c>
      <c r="CR701" s="5" t="s">
        <v>261</v>
      </c>
      <c r="CU701" s="8">
        <f>7480</f>
        <v>7480</v>
      </c>
      <c r="CV701" s="8">
        <f>0</f>
        <v>0</v>
      </c>
      <c r="CX701" s="8">
        <f>0</f>
        <v>0</v>
      </c>
      <c r="CY701" s="8">
        <f>7480</f>
        <v>7480</v>
      </c>
      <c r="DA701" s="5" t="s">
        <v>356</v>
      </c>
      <c r="DB701" s="5" t="s">
        <v>238</v>
      </c>
      <c r="DD701" s="5" t="s">
        <v>356</v>
      </c>
      <c r="DE701" s="8">
        <f>0</f>
        <v>0</v>
      </c>
      <c r="DG701" s="5" t="s">
        <v>534</v>
      </c>
      <c r="DH701" s="5" t="s">
        <v>238</v>
      </c>
      <c r="DI701" s="5" t="s">
        <v>238</v>
      </c>
      <c r="DJ701" s="5" t="s">
        <v>238</v>
      </c>
      <c r="DN701" s="5" t="s">
        <v>238</v>
      </c>
      <c r="DO701" s="5" t="s">
        <v>238</v>
      </c>
      <c r="DP701" s="5" t="s">
        <v>238</v>
      </c>
      <c r="DQ701" s="5" t="s">
        <v>238</v>
      </c>
      <c r="DT701" s="5" t="s">
        <v>5480</v>
      </c>
      <c r="DU701" s="5" t="s">
        <v>264</v>
      </c>
      <c r="HM701" s="5" t="s">
        <v>264</v>
      </c>
    </row>
    <row r="702" spans="1:221" x14ac:dyDescent="0.4">
      <c r="A702" s="5">
        <v>1564</v>
      </c>
      <c r="B702" s="5">
        <v>1</v>
      </c>
      <c r="C702" s="5">
        <v>1</v>
      </c>
      <c r="D702" s="5" t="s">
        <v>484</v>
      </c>
      <c r="E702" s="5" t="s">
        <v>485</v>
      </c>
      <c r="F702" s="5" t="s">
        <v>248</v>
      </c>
      <c r="G702" s="5" t="s">
        <v>5482</v>
      </c>
      <c r="H702" s="6" t="s">
        <v>3880</v>
      </c>
      <c r="I702" s="7">
        <f>2030.15</f>
        <v>2030.15</v>
      </c>
      <c r="J702" s="5" t="s">
        <v>262</v>
      </c>
      <c r="K702" s="8">
        <f>22331</f>
        <v>22331</v>
      </c>
      <c r="L702" s="6" t="s">
        <v>242</v>
      </c>
      <c r="M702" s="5" t="s">
        <v>267</v>
      </c>
      <c r="N702" s="5" t="s">
        <v>237</v>
      </c>
      <c r="O702" s="5" t="s">
        <v>238</v>
      </c>
      <c r="P702" s="5" t="s">
        <v>238</v>
      </c>
      <c r="Q702" s="5" t="s">
        <v>239</v>
      </c>
      <c r="R702" s="5" t="s">
        <v>240</v>
      </c>
      <c r="S702" s="5" t="s">
        <v>238</v>
      </c>
      <c r="V702" s="5" t="s">
        <v>238</v>
      </c>
      <c r="X702" s="6" t="s">
        <v>238</v>
      </c>
      <c r="AA702" s="6" t="s">
        <v>243</v>
      </c>
      <c r="AB702" s="5" t="s">
        <v>238</v>
      </c>
      <c r="AC702" s="5" t="s">
        <v>244</v>
      </c>
      <c r="AD702" s="5" t="s">
        <v>245</v>
      </c>
      <c r="AT702" s="5" t="s">
        <v>246</v>
      </c>
      <c r="AU702" s="5" t="s">
        <v>238</v>
      </c>
      <c r="AV702" s="5" t="s">
        <v>247</v>
      </c>
      <c r="AW702" s="5" t="s">
        <v>238</v>
      </c>
      <c r="AX702" s="5" t="s">
        <v>249</v>
      </c>
      <c r="AY702" s="5" t="s">
        <v>238</v>
      </c>
      <c r="BA702" s="5" t="s">
        <v>1397</v>
      </c>
      <c r="BC702" s="5" t="s">
        <v>250</v>
      </c>
      <c r="BD702" s="6" t="s">
        <v>243</v>
      </c>
      <c r="BE702" s="5" t="s">
        <v>251</v>
      </c>
      <c r="BF702" s="5" t="s">
        <v>252</v>
      </c>
      <c r="BG702" s="5" t="s">
        <v>238</v>
      </c>
      <c r="BH702" s="7">
        <f>0</f>
        <v>0</v>
      </c>
      <c r="BI702" s="8">
        <f>0</f>
        <v>0</v>
      </c>
      <c r="BJ702" s="5" t="s">
        <v>253</v>
      </c>
      <c r="BK702" s="5" t="s">
        <v>254</v>
      </c>
      <c r="BY702" s="5" t="s">
        <v>238</v>
      </c>
      <c r="BZ702" s="5" t="s">
        <v>238</v>
      </c>
      <c r="CD702" s="5" t="s">
        <v>255</v>
      </c>
      <c r="CE702" s="5" t="s">
        <v>256</v>
      </c>
      <c r="CF702" s="5" t="s">
        <v>238</v>
      </c>
      <c r="CI702" s="6" t="s">
        <v>257</v>
      </c>
      <c r="CJ702" s="5" t="s">
        <v>238</v>
      </c>
      <c r="CK702" s="5" t="s">
        <v>258</v>
      </c>
      <c r="CL702" s="5" t="s">
        <v>238</v>
      </c>
      <c r="CM702" s="5" t="s">
        <v>238</v>
      </c>
      <c r="CN702" s="5">
        <v>0</v>
      </c>
      <c r="CO702" s="5" t="s">
        <v>259</v>
      </c>
      <c r="CP702" s="5" t="s">
        <v>260</v>
      </c>
      <c r="CQ702" s="5" t="s">
        <v>260</v>
      </c>
      <c r="CR702" s="5" t="s">
        <v>261</v>
      </c>
      <c r="CU702" s="8">
        <f>22331</f>
        <v>22331</v>
      </c>
      <c r="CV702" s="8">
        <f>0</f>
        <v>0</v>
      </c>
      <c r="CX702" s="8">
        <f>0</f>
        <v>0</v>
      </c>
      <c r="CY702" s="8">
        <f>22331</f>
        <v>22331</v>
      </c>
      <c r="DA702" s="5" t="s">
        <v>356</v>
      </c>
      <c r="DB702" s="5" t="s">
        <v>238</v>
      </c>
      <c r="DD702" s="5" t="s">
        <v>356</v>
      </c>
      <c r="DE702" s="8">
        <f>0</f>
        <v>0</v>
      </c>
      <c r="DG702" s="5" t="s">
        <v>534</v>
      </c>
      <c r="DH702" s="5" t="s">
        <v>238</v>
      </c>
      <c r="DI702" s="5" t="s">
        <v>238</v>
      </c>
      <c r="DJ702" s="5" t="s">
        <v>238</v>
      </c>
      <c r="DN702" s="5" t="s">
        <v>238</v>
      </c>
      <c r="DO702" s="5" t="s">
        <v>238</v>
      </c>
      <c r="DP702" s="5" t="s">
        <v>238</v>
      </c>
      <c r="DQ702" s="5" t="s">
        <v>238</v>
      </c>
      <c r="DT702" s="5" t="s">
        <v>5483</v>
      </c>
      <c r="DU702" s="5" t="s">
        <v>264</v>
      </c>
      <c r="HM702" s="5" t="s">
        <v>264</v>
      </c>
    </row>
    <row r="703" spans="1:221" x14ac:dyDescent="0.4">
      <c r="A703" s="5">
        <v>1565</v>
      </c>
      <c r="B703" s="5">
        <v>1</v>
      </c>
      <c r="C703" s="5">
        <v>1</v>
      </c>
      <c r="D703" s="5" t="s">
        <v>484</v>
      </c>
      <c r="E703" s="5" t="s">
        <v>485</v>
      </c>
      <c r="F703" s="5" t="s">
        <v>248</v>
      </c>
      <c r="G703" s="5" t="s">
        <v>5487</v>
      </c>
      <c r="H703" s="6" t="s">
        <v>5488</v>
      </c>
      <c r="I703" s="7">
        <f>1621</f>
        <v>1621</v>
      </c>
      <c r="J703" s="5" t="s">
        <v>262</v>
      </c>
      <c r="K703" s="8">
        <f>17831</f>
        <v>17831</v>
      </c>
      <c r="L703" s="6" t="s">
        <v>242</v>
      </c>
      <c r="M703" s="5" t="s">
        <v>267</v>
      </c>
      <c r="N703" s="5" t="s">
        <v>237</v>
      </c>
      <c r="O703" s="5" t="s">
        <v>238</v>
      </c>
      <c r="P703" s="5" t="s">
        <v>238</v>
      </c>
      <c r="Q703" s="5" t="s">
        <v>239</v>
      </c>
      <c r="R703" s="5" t="s">
        <v>240</v>
      </c>
      <c r="S703" s="5" t="s">
        <v>238</v>
      </c>
      <c r="V703" s="5" t="s">
        <v>238</v>
      </c>
      <c r="X703" s="6" t="s">
        <v>238</v>
      </c>
      <c r="AA703" s="6" t="s">
        <v>243</v>
      </c>
      <c r="AB703" s="5" t="s">
        <v>238</v>
      </c>
      <c r="AC703" s="5" t="s">
        <v>244</v>
      </c>
      <c r="AD703" s="5" t="s">
        <v>245</v>
      </c>
      <c r="AT703" s="5" t="s">
        <v>246</v>
      </c>
      <c r="AU703" s="5" t="s">
        <v>238</v>
      </c>
      <c r="AV703" s="5" t="s">
        <v>247</v>
      </c>
      <c r="AW703" s="5" t="s">
        <v>238</v>
      </c>
      <c r="AX703" s="5" t="s">
        <v>249</v>
      </c>
      <c r="AY703" s="5" t="s">
        <v>238</v>
      </c>
      <c r="BA703" s="5" t="s">
        <v>1397</v>
      </c>
      <c r="BC703" s="5" t="s">
        <v>250</v>
      </c>
      <c r="BD703" s="6" t="s">
        <v>243</v>
      </c>
      <c r="BE703" s="5" t="s">
        <v>251</v>
      </c>
      <c r="BF703" s="5" t="s">
        <v>252</v>
      </c>
      <c r="BG703" s="5" t="s">
        <v>238</v>
      </c>
      <c r="BH703" s="7">
        <f>0</f>
        <v>0</v>
      </c>
      <c r="BI703" s="8">
        <f>0</f>
        <v>0</v>
      </c>
      <c r="BJ703" s="5" t="s">
        <v>253</v>
      </c>
      <c r="BK703" s="5" t="s">
        <v>254</v>
      </c>
      <c r="BY703" s="5" t="s">
        <v>238</v>
      </c>
      <c r="BZ703" s="5" t="s">
        <v>238</v>
      </c>
      <c r="CD703" s="5" t="s">
        <v>255</v>
      </c>
      <c r="CE703" s="5" t="s">
        <v>256</v>
      </c>
      <c r="CF703" s="5" t="s">
        <v>238</v>
      </c>
      <c r="CI703" s="6" t="s">
        <v>257</v>
      </c>
      <c r="CJ703" s="5" t="s">
        <v>238</v>
      </c>
      <c r="CK703" s="5" t="s">
        <v>258</v>
      </c>
      <c r="CL703" s="5" t="s">
        <v>238</v>
      </c>
      <c r="CM703" s="5" t="s">
        <v>238</v>
      </c>
      <c r="CN703" s="5">
        <v>0</v>
      </c>
      <c r="CO703" s="5" t="s">
        <v>259</v>
      </c>
      <c r="CP703" s="5" t="s">
        <v>260</v>
      </c>
      <c r="CQ703" s="5" t="s">
        <v>260</v>
      </c>
      <c r="CR703" s="5" t="s">
        <v>261</v>
      </c>
      <c r="CU703" s="8">
        <f>17831</f>
        <v>17831</v>
      </c>
      <c r="CV703" s="8">
        <f>0</f>
        <v>0</v>
      </c>
      <c r="CX703" s="8">
        <f>0</f>
        <v>0</v>
      </c>
      <c r="CY703" s="8">
        <f>17831</f>
        <v>17831</v>
      </c>
      <c r="DA703" s="5" t="s">
        <v>356</v>
      </c>
      <c r="DB703" s="5" t="s">
        <v>238</v>
      </c>
      <c r="DD703" s="5" t="s">
        <v>356</v>
      </c>
      <c r="DE703" s="8">
        <f>0</f>
        <v>0</v>
      </c>
      <c r="DG703" s="5" t="s">
        <v>534</v>
      </c>
      <c r="DH703" s="5" t="s">
        <v>238</v>
      </c>
      <c r="DI703" s="5" t="s">
        <v>238</v>
      </c>
      <c r="DJ703" s="5" t="s">
        <v>238</v>
      </c>
      <c r="DN703" s="5" t="s">
        <v>238</v>
      </c>
      <c r="DO703" s="5" t="s">
        <v>238</v>
      </c>
      <c r="DP703" s="5" t="s">
        <v>238</v>
      </c>
      <c r="DQ703" s="5" t="s">
        <v>238</v>
      </c>
      <c r="DT703" s="5" t="s">
        <v>5489</v>
      </c>
      <c r="DU703" s="5" t="s">
        <v>264</v>
      </c>
      <c r="HM703" s="5" t="s">
        <v>264</v>
      </c>
    </row>
    <row r="704" spans="1:221" x14ac:dyDescent="0.4">
      <c r="A704" s="5">
        <v>1566</v>
      </c>
      <c r="B704" s="5">
        <v>1</v>
      </c>
      <c r="C704" s="5">
        <v>1</v>
      </c>
      <c r="D704" s="5" t="s">
        <v>484</v>
      </c>
      <c r="E704" s="5" t="s">
        <v>485</v>
      </c>
      <c r="F704" s="5" t="s">
        <v>248</v>
      </c>
      <c r="G704" s="5" t="s">
        <v>5492</v>
      </c>
      <c r="H704" s="6" t="s">
        <v>5493</v>
      </c>
      <c r="I704" s="7">
        <f>1604</f>
        <v>1604</v>
      </c>
      <c r="J704" s="5" t="s">
        <v>262</v>
      </c>
      <c r="K704" s="8">
        <f>17644</f>
        <v>17644</v>
      </c>
      <c r="L704" s="6" t="s">
        <v>242</v>
      </c>
      <c r="M704" s="5" t="s">
        <v>267</v>
      </c>
      <c r="N704" s="5" t="s">
        <v>237</v>
      </c>
      <c r="O704" s="5" t="s">
        <v>238</v>
      </c>
      <c r="P704" s="5" t="s">
        <v>238</v>
      </c>
      <c r="Q704" s="5" t="s">
        <v>239</v>
      </c>
      <c r="R704" s="5" t="s">
        <v>240</v>
      </c>
      <c r="S704" s="5" t="s">
        <v>238</v>
      </c>
      <c r="V704" s="5" t="s">
        <v>238</v>
      </c>
      <c r="X704" s="6" t="s">
        <v>238</v>
      </c>
      <c r="AA704" s="6" t="s">
        <v>243</v>
      </c>
      <c r="AB704" s="5" t="s">
        <v>238</v>
      </c>
      <c r="AC704" s="5" t="s">
        <v>244</v>
      </c>
      <c r="AD704" s="5" t="s">
        <v>245</v>
      </c>
      <c r="AT704" s="5" t="s">
        <v>246</v>
      </c>
      <c r="AU704" s="5" t="s">
        <v>238</v>
      </c>
      <c r="AV704" s="5" t="s">
        <v>247</v>
      </c>
      <c r="AW704" s="5" t="s">
        <v>238</v>
      </c>
      <c r="AX704" s="5" t="s">
        <v>249</v>
      </c>
      <c r="AY704" s="5" t="s">
        <v>238</v>
      </c>
      <c r="BA704" s="5" t="s">
        <v>1397</v>
      </c>
      <c r="BC704" s="5" t="s">
        <v>250</v>
      </c>
      <c r="BD704" s="6" t="s">
        <v>243</v>
      </c>
      <c r="BE704" s="5" t="s">
        <v>251</v>
      </c>
      <c r="BF704" s="5" t="s">
        <v>252</v>
      </c>
      <c r="BG704" s="5" t="s">
        <v>238</v>
      </c>
      <c r="BH704" s="7">
        <f>0</f>
        <v>0</v>
      </c>
      <c r="BI704" s="8">
        <f>0</f>
        <v>0</v>
      </c>
      <c r="BJ704" s="5" t="s">
        <v>253</v>
      </c>
      <c r="BK704" s="5" t="s">
        <v>254</v>
      </c>
      <c r="BY704" s="5" t="s">
        <v>238</v>
      </c>
      <c r="BZ704" s="5" t="s">
        <v>238</v>
      </c>
      <c r="CD704" s="5" t="s">
        <v>255</v>
      </c>
      <c r="CE704" s="5" t="s">
        <v>256</v>
      </c>
      <c r="CF704" s="5" t="s">
        <v>238</v>
      </c>
      <c r="CI704" s="6" t="s">
        <v>257</v>
      </c>
      <c r="CJ704" s="5" t="s">
        <v>238</v>
      </c>
      <c r="CK704" s="5" t="s">
        <v>258</v>
      </c>
      <c r="CL704" s="5" t="s">
        <v>238</v>
      </c>
      <c r="CM704" s="5" t="s">
        <v>238</v>
      </c>
      <c r="CN704" s="5">
        <v>0</v>
      </c>
      <c r="CO704" s="5" t="s">
        <v>259</v>
      </c>
      <c r="CP704" s="5" t="s">
        <v>260</v>
      </c>
      <c r="CQ704" s="5" t="s">
        <v>260</v>
      </c>
      <c r="CR704" s="5" t="s">
        <v>261</v>
      </c>
      <c r="CU704" s="8">
        <f>17644</f>
        <v>17644</v>
      </c>
      <c r="CV704" s="8">
        <f>0</f>
        <v>0</v>
      </c>
      <c r="CX704" s="8">
        <f>0</f>
        <v>0</v>
      </c>
      <c r="CY704" s="8">
        <f>17644</f>
        <v>17644</v>
      </c>
      <c r="DA704" s="5" t="s">
        <v>356</v>
      </c>
      <c r="DB704" s="5" t="s">
        <v>238</v>
      </c>
      <c r="DD704" s="5" t="s">
        <v>356</v>
      </c>
      <c r="DE704" s="8">
        <f>0</f>
        <v>0</v>
      </c>
      <c r="DG704" s="5" t="s">
        <v>534</v>
      </c>
      <c r="DH704" s="5" t="s">
        <v>238</v>
      </c>
      <c r="DI704" s="5" t="s">
        <v>238</v>
      </c>
      <c r="DJ704" s="5" t="s">
        <v>238</v>
      </c>
      <c r="DN704" s="5" t="s">
        <v>238</v>
      </c>
      <c r="DO704" s="5" t="s">
        <v>238</v>
      </c>
      <c r="DP704" s="5" t="s">
        <v>238</v>
      </c>
      <c r="DQ704" s="5" t="s">
        <v>238</v>
      </c>
      <c r="DT704" s="5" t="s">
        <v>5494</v>
      </c>
      <c r="DU704" s="5" t="s">
        <v>264</v>
      </c>
      <c r="HM704" s="5" t="s">
        <v>264</v>
      </c>
    </row>
    <row r="705" spans="1:221" x14ac:dyDescent="0.4">
      <c r="A705" s="5">
        <v>1567</v>
      </c>
      <c r="B705" s="5">
        <v>1</v>
      </c>
      <c r="C705" s="5">
        <v>1</v>
      </c>
      <c r="D705" s="5" t="s">
        <v>484</v>
      </c>
      <c r="E705" s="5" t="s">
        <v>485</v>
      </c>
      <c r="F705" s="5" t="s">
        <v>248</v>
      </c>
      <c r="G705" s="5" t="s">
        <v>5501</v>
      </c>
      <c r="H705" s="6" t="s">
        <v>5502</v>
      </c>
      <c r="I705" s="7">
        <f>665</f>
        <v>665</v>
      </c>
      <c r="J705" s="5" t="s">
        <v>262</v>
      </c>
      <c r="K705" s="8">
        <f>7315</f>
        <v>7315</v>
      </c>
      <c r="L705" s="6" t="s">
        <v>242</v>
      </c>
      <c r="M705" s="5" t="s">
        <v>267</v>
      </c>
      <c r="N705" s="5" t="s">
        <v>237</v>
      </c>
      <c r="O705" s="5" t="s">
        <v>238</v>
      </c>
      <c r="P705" s="5" t="s">
        <v>238</v>
      </c>
      <c r="Q705" s="5" t="s">
        <v>239</v>
      </c>
      <c r="R705" s="5" t="s">
        <v>240</v>
      </c>
      <c r="S705" s="5" t="s">
        <v>238</v>
      </c>
      <c r="V705" s="5" t="s">
        <v>238</v>
      </c>
      <c r="X705" s="6" t="s">
        <v>238</v>
      </c>
      <c r="AA705" s="6" t="s">
        <v>243</v>
      </c>
      <c r="AB705" s="5" t="s">
        <v>238</v>
      </c>
      <c r="AC705" s="5" t="s">
        <v>244</v>
      </c>
      <c r="AD705" s="5" t="s">
        <v>245</v>
      </c>
      <c r="AT705" s="5" t="s">
        <v>246</v>
      </c>
      <c r="AU705" s="5" t="s">
        <v>238</v>
      </c>
      <c r="AV705" s="5" t="s">
        <v>247</v>
      </c>
      <c r="AW705" s="5" t="s">
        <v>238</v>
      </c>
      <c r="AX705" s="5" t="s">
        <v>249</v>
      </c>
      <c r="AY705" s="5" t="s">
        <v>238</v>
      </c>
      <c r="BA705" s="5" t="s">
        <v>1397</v>
      </c>
      <c r="BC705" s="5" t="s">
        <v>250</v>
      </c>
      <c r="BD705" s="6" t="s">
        <v>243</v>
      </c>
      <c r="BE705" s="5" t="s">
        <v>251</v>
      </c>
      <c r="BF705" s="5" t="s">
        <v>252</v>
      </c>
      <c r="BG705" s="5" t="s">
        <v>238</v>
      </c>
      <c r="BH705" s="7">
        <f>0</f>
        <v>0</v>
      </c>
      <c r="BI705" s="8">
        <f>0</f>
        <v>0</v>
      </c>
      <c r="BJ705" s="5" t="s">
        <v>253</v>
      </c>
      <c r="BK705" s="5" t="s">
        <v>254</v>
      </c>
      <c r="BY705" s="5" t="s">
        <v>238</v>
      </c>
      <c r="BZ705" s="5" t="s">
        <v>238</v>
      </c>
      <c r="CD705" s="5" t="s">
        <v>255</v>
      </c>
      <c r="CE705" s="5" t="s">
        <v>256</v>
      </c>
      <c r="CF705" s="5" t="s">
        <v>238</v>
      </c>
      <c r="CI705" s="6" t="s">
        <v>257</v>
      </c>
      <c r="CJ705" s="5" t="s">
        <v>238</v>
      </c>
      <c r="CK705" s="5" t="s">
        <v>258</v>
      </c>
      <c r="CL705" s="5" t="s">
        <v>238</v>
      </c>
      <c r="CM705" s="5" t="s">
        <v>238</v>
      </c>
      <c r="CN705" s="5">
        <v>0</v>
      </c>
      <c r="CO705" s="5" t="s">
        <v>259</v>
      </c>
      <c r="CP705" s="5" t="s">
        <v>260</v>
      </c>
      <c r="CQ705" s="5" t="s">
        <v>260</v>
      </c>
      <c r="CR705" s="5" t="s">
        <v>261</v>
      </c>
      <c r="CU705" s="8">
        <f>7315</f>
        <v>7315</v>
      </c>
      <c r="CV705" s="8">
        <f>0</f>
        <v>0</v>
      </c>
      <c r="CX705" s="8">
        <f>0</f>
        <v>0</v>
      </c>
      <c r="CY705" s="8">
        <f>7315</f>
        <v>7315</v>
      </c>
      <c r="DA705" s="5" t="s">
        <v>356</v>
      </c>
      <c r="DB705" s="5" t="s">
        <v>238</v>
      </c>
      <c r="DD705" s="5" t="s">
        <v>356</v>
      </c>
      <c r="DE705" s="8">
        <f>0</f>
        <v>0</v>
      </c>
      <c r="DG705" s="5" t="s">
        <v>534</v>
      </c>
      <c r="DH705" s="5" t="s">
        <v>238</v>
      </c>
      <c r="DI705" s="5" t="s">
        <v>238</v>
      </c>
      <c r="DJ705" s="5" t="s">
        <v>238</v>
      </c>
      <c r="DN705" s="5" t="s">
        <v>238</v>
      </c>
      <c r="DO705" s="5" t="s">
        <v>238</v>
      </c>
      <c r="DP705" s="5" t="s">
        <v>238</v>
      </c>
      <c r="DQ705" s="5" t="s">
        <v>238</v>
      </c>
      <c r="DT705" s="5" t="s">
        <v>5503</v>
      </c>
      <c r="DU705" s="5" t="s">
        <v>264</v>
      </c>
      <c r="HM705" s="5" t="s">
        <v>264</v>
      </c>
    </row>
    <row r="706" spans="1:221" x14ac:dyDescent="0.4">
      <c r="A706" s="5">
        <v>1568</v>
      </c>
      <c r="B706" s="5">
        <v>1</v>
      </c>
      <c r="C706" s="5">
        <v>1</v>
      </c>
      <c r="D706" s="5" t="s">
        <v>484</v>
      </c>
      <c r="E706" s="5" t="s">
        <v>485</v>
      </c>
      <c r="F706" s="5" t="s">
        <v>248</v>
      </c>
      <c r="G706" s="5" t="s">
        <v>5506</v>
      </c>
      <c r="H706" s="6" t="s">
        <v>5507</v>
      </c>
      <c r="I706" s="7">
        <f>899</f>
        <v>899</v>
      </c>
      <c r="J706" s="5" t="s">
        <v>262</v>
      </c>
      <c r="K706" s="8">
        <f>9889</f>
        <v>9889</v>
      </c>
      <c r="L706" s="6" t="s">
        <v>242</v>
      </c>
      <c r="M706" s="5" t="s">
        <v>267</v>
      </c>
      <c r="N706" s="5" t="s">
        <v>237</v>
      </c>
      <c r="O706" s="5" t="s">
        <v>238</v>
      </c>
      <c r="P706" s="5" t="s">
        <v>238</v>
      </c>
      <c r="Q706" s="5" t="s">
        <v>239</v>
      </c>
      <c r="R706" s="5" t="s">
        <v>240</v>
      </c>
      <c r="S706" s="5" t="s">
        <v>238</v>
      </c>
      <c r="V706" s="5" t="s">
        <v>238</v>
      </c>
      <c r="X706" s="6" t="s">
        <v>238</v>
      </c>
      <c r="AA706" s="6" t="s">
        <v>243</v>
      </c>
      <c r="AB706" s="5" t="s">
        <v>238</v>
      </c>
      <c r="AC706" s="5" t="s">
        <v>244</v>
      </c>
      <c r="AD706" s="5" t="s">
        <v>245</v>
      </c>
      <c r="AT706" s="5" t="s">
        <v>246</v>
      </c>
      <c r="AU706" s="5" t="s">
        <v>238</v>
      </c>
      <c r="AV706" s="5" t="s">
        <v>247</v>
      </c>
      <c r="AW706" s="5" t="s">
        <v>238</v>
      </c>
      <c r="AX706" s="5" t="s">
        <v>249</v>
      </c>
      <c r="AY706" s="5" t="s">
        <v>238</v>
      </c>
      <c r="BA706" s="5" t="s">
        <v>1397</v>
      </c>
      <c r="BC706" s="5" t="s">
        <v>250</v>
      </c>
      <c r="BD706" s="6" t="s">
        <v>243</v>
      </c>
      <c r="BE706" s="5" t="s">
        <v>251</v>
      </c>
      <c r="BF706" s="5" t="s">
        <v>252</v>
      </c>
      <c r="BG706" s="5" t="s">
        <v>238</v>
      </c>
      <c r="BH706" s="7">
        <f>0</f>
        <v>0</v>
      </c>
      <c r="BI706" s="8">
        <f>0</f>
        <v>0</v>
      </c>
      <c r="BJ706" s="5" t="s">
        <v>253</v>
      </c>
      <c r="BK706" s="5" t="s">
        <v>254</v>
      </c>
      <c r="BY706" s="5" t="s">
        <v>238</v>
      </c>
      <c r="BZ706" s="5" t="s">
        <v>238</v>
      </c>
      <c r="CD706" s="5" t="s">
        <v>255</v>
      </c>
      <c r="CE706" s="5" t="s">
        <v>256</v>
      </c>
      <c r="CF706" s="5" t="s">
        <v>238</v>
      </c>
      <c r="CI706" s="6" t="s">
        <v>257</v>
      </c>
      <c r="CJ706" s="5" t="s">
        <v>238</v>
      </c>
      <c r="CK706" s="5" t="s">
        <v>258</v>
      </c>
      <c r="CL706" s="5" t="s">
        <v>238</v>
      </c>
      <c r="CM706" s="5" t="s">
        <v>238</v>
      </c>
      <c r="CN706" s="5">
        <v>0</v>
      </c>
      <c r="CO706" s="5" t="s">
        <v>259</v>
      </c>
      <c r="CP706" s="5" t="s">
        <v>260</v>
      </c>
      <c r="CQ706" s="5" t="s">
        <v>260</v>
      </c>
      <c r="CR706" s="5" t="s">
        <v>261</v>
      </c>
      <c r="CU706" s="8">
        <f>9889</f>
        <v>9889</v>
      </c>
      <c r="CV706" s="8">
        <f>0</f>
        <v>0</v>
      </c>
      <c r="CX706" s="8">
        <f>0</f>
        <v>0</v>
      </c>
      <c r="CY706" s="8">
        <f>9889</f>
        <v>9889</v>
      </c>
      <c r="DA706" s="5" t="s">
        <v>356</v>
      </c>
      <c r="DB706" s="5" t="s">
        <v>238</v>
      </c>
      <c r="DD706" s="5" t="s">
        <v>356</v>
      </c>
      <c r="DE706" s="8">
        <f>0</f>
        <v>0</v>
      </c>
      <c r="DG706" s="5" t="s">
        <v>534</v>
      </c>
      <c r="DH706" s="5" t="s">
        <v>238</v>
      </c>
      <c r="DI706" s="5" t="s">
        <v>238</v>
      </c>
      <c r="DJ706" s="5" t="s">
        <v>238</v>
      </c>
      <c r="DN706" s="5" t="s">
        <v>238</v>
      </c>
      <c r="DO706" s="5" t="s">
        <v>238</v>
      </c>
      <c r="DP706" s="5" t="s">
        <v>238</v>
      </c>
      <c r="DQ706" s="5" t="s">
        <v>238</v>
      </c>
      <c r="DT706" s="5" t="s">
        <v>5508</v>
      </c>
      <c r="DU706" s="5" t="s">
        <v>264</v>
      </c>
      <c r="HM706" s="5" t="s">
        <v>264</v>
      </c>
    </row>
    <row r="707" spans="1:221" x14ac:dyDescent="0.4">
      <c r="A707" s="5">
        <v>1569</v>
      </c>
      <c r="B707" s="5">
        <v>1</v>
      </c>
      <c r="C707" s="5">
        <v>1</v>
      </c>
      <c r="D707" s="5" t="s">
        <v>484</v>
      </c>
      <c r="E707" s="5" t="s">
        <v>485</v>
      </c>
      <c r="F707" s="5" t="s">
        <v>248</v>
      </c>
      <c r="G707" s="5" t="s">
        <v>5512</v>
      </c>
      <c r="H707" s="6" t="s">
        <v>5513</v>
      </c>
      <c r="I707" s="7">
        <f>1153</f>
        <v>1153</v>
      </c>
      <c r="J707" s="5" t="s">
        <v>262</v>
      </c>
      <c r="K707" s="8">
        <f>12683</f>
        <v>12683</v>
      </c>
      <c r="L707" s="6" t="s">
        <v>242</v>
      </c>
      <c r="M707" s="5" t="s">
        <v>267</v>
      </c>
      <c r="N707" s="5" t="s">
        <v>237</v>
      </c>
      <c r="O707" s="5" t="s">
        <v>238</v>
      </c>
      <c r="P707" s="5" t="s">
        <v>238</v>
      </c>
      <c r="Q707" s="5" t="s">
        <v>239</v>
      </c>
      <c r="R707" s="5" t="s">
        <v>240</v>
      </c>
      <c r="S707" s="5" t="s">
        <v>238</v>
      </c>
      <c r="V707" s="5" t="s">
        <v>238</v>
      </c>
      <c r="X707" s="6" t="s">
        <v>238</v>
      </c>
      <c r="AA707" s="6" t="s">
        <v>243</v>
      </c>
      <c r="AB707" s="5" t="s">
        <v>238</v>
      </c>
      <c r="AC707" s="5" t="s">
        <v>244</v>
      </c>
      <c r="AD707" s="5" t="s">
        <v>245</v>
      </c>
      <c r="AT707" s="5" t="s">
        <v>246</v>
      </c>
      <c r="AU707" s="5" t="s">
        <v>238</v>
      </c>
      <c r="AV707" s="5" t="s">
        <v>247</v>
      </c>
      <c r="AW707" s="5" t="s">
        <v>238</v>
      </c>
      <c r="AX707" s="5" t="s">
        <v>249</v>
      </c>
      <c r="AY707" s="5" t="s">
        <v>238</v>
      </c>
      <c r="BA707" s="5" t="s">
        <v>1397</v>
      </c>
      <c r="BC707" s="5" t="s">
        <v>250</v>
      </c>
      <c r="BD707" s="6" t="s">
        <v>243</v>
      </c>
      <c r="BE707" s="5" t="s">
        <v>251</v>
      </c>
      <c r="BF707" s="5" t="s">
        <v>252</v>
      </c>
      <c r="BG707" s="5" t="s">
        <v>238</v>
      </c>
      <c r="BH707" s="7">
        <f>0</f>
        <v>0</v>
      </c>
      <c r="BI707" s="8">
        <f>0</f>
        <v>0</v>
      </c>
      <c r="BJ707" s="5" t="s">
        <v>253</v>
      </c>
      <c r="BK707" s="5" t="s">
        <v>254</v>
      </c>
      <c r="BY707" s="5" t="s">
        <v>238</v>
      </c>
      <c r="BZ707" s="5" t="s">
        <v>238</v>
      </c>
      <c r="CD707" s="5" t="s">
        <v>255</v>
      </c>
      <c r="CE707" s="5" t="s">
        <v>256</v>
      </c>
      <c r="CF707" s="5" t="s">
        <v>238</v>
      </c>
      <c r="CI707" s="6" t="s">
        <v>257</v>
      </c>
      <c r="CJ707" s="5" t="s">
        <v>238</v>
      </c>
      <c r="CK707" s="5" t="s">
        <v>258</v>
      </c>
      <c r="CL707" s="5" t="s">
        <v>238</v>
      </c>
      <c r="CM707" s="5" t="s">
        <v>238</v>
      </c>
      <c r="CN707" s="5">
        <v>0</v>
      </c>
      <c r="CO707" s="5" t="s">
        <v>259</v>
      </c>
      <c r="CP707" s="5" t="s">
        <v>260</v>
      </c>
      <c r="CQ707" s="5" t="s">
        <v>260</v>
      </c>
      <c r="CR707" s="5" t="s">
        <v>261</v>
      </c>
      <c r="CU707" s="8">
        <f>12683</f>
        <v>12683</v>
      </c>
      <c r="CV707" s="8">
        <f>0</f>
        <v>0</v>
      </c>
      <c r="CX707" s="8">
        <f>0</f>
        <v>0</v>
      </c>
      <c r="CY707" s="8">
        <f>12683</f>
        <v>12683</v>
      </c>
      <c r="DA707" s="5" t="s">
        <v>356</v>
      </c>
      <c r="DB707" s="5" t="s">
        <v>238</v>
      </c>
      <c r="DD707" s="5" t="s">
        <v>356</v>
      </c>
      <c r="DE707" s="8">
        <f>0</f>
        <v>0</v>
      </c>
      <c r="DG707" s="5" t="s">
        <v>534</v>
      </c>
      <c r="DH707" s="5" t="s">
        <v>238</v>
      </c>
      <c r="DI707" s="5" t="s">
        <v>238</v>
      </c>
      <c r="DJ707" s="5" t="s">
        <v>238</v>
      </c>
      <c r="DN707" s="5" t="s">
        <v>238</v>
      </c>
      <c r="DO707" s="5" t="s">
        <v>238</v>
      </c>
      <c r="DP707" s="5" t="s">
        <v>238</v>
      </c>
      <c r="DQ707" s="5" t="s">
        <v>238</v>
      </c>
      <c r="DT707" s="5" t="s">
        <v>5514</v>
      </c>
      <c r="DU707" s="5" t="s">
        <v>264</v>
      </c>
      <c r="HM707" s="5" t="s">
        <v>264</v>
      </c>
    </row>
    <row r="708" spans="1:221" x14ac:dyDescent="0.4">
      <c r="A708" s="5">
        <v>1570</v>
      </c>
      <c r="B708" s="5">
        <v>1</v>
      </c>
      <c r="C708" s="5">
        <v>1</v>
      </c>
      <c r="D708" s="5" t="s">
        <v>484</v>
      </c>
      <c r="E708" s="5" t="s">
        <v>485</v>
      </c>
      <c r="F708" s="5" t="s">
        <v>248</v>
      </c>
      <c r="G708" s="5" t="s">
        <v>5517</v>
      </c>
      <c r="H708" s="6" t="s">
        <v>5518</v>
      </c>
      <c r="I708" s="7">
        <f>2203</f>
        <v>2203</v>
      </c>
      <c r="J708" s="5" t="s">
        <v>262</v>
      </c>
      <c r="K708" s="8">
        <f>24233</f>
        <v>24233</v>
      </c>
      <c r="L708" s="6" t="s">
        <v>242</v>
      </c>
      <c r="M708" s="5" t="s">
        <v>267</v>
      </c>
      <c r="N708" s="5" t="s">
        <v>237</v>
      </c>
      <c r="O708" s="5" t="s">
        <v>238</v>
      </c>
      <c r="P708" s="5" t="s">
        <v>238</v>
      </c>
      <c r="Q708" s="5" t="s">
        <v>239</v>
      </c>
      <c r="R708" s="5" t="s">
        <v>240</v>
      </c>
      <c r="S708" s="5" t="s">
        <v>238</v>
      </c>
      <c r="V708" s="5" t="s">
        <v>238</v>
      </c>
      <c r="X708" s="6" t="s">
        <v>238</v>
      </c>
      <c r="AA708" s="6" t="s">
        <v>243</v>
      </c>
      <c r="AB708" s="5" t="s">
        <v>238</v>
      </c>
      <c r="AC708" s="5" t="s">
        <v>244</v>
      </c>
      <c r="AD708" s="5" t="s">
        <v>245</v>
      </c>
      <c r="AT708" s="5" t="s">
        <v>246</v>
      </c>
      <c r="AU708" s="5" t="s">
        <v>238</v>
      </c>
      <c r="AV708" s="5" t="s">
        <v>247</v>
      </c>
      <c r="AW708" s="5" t="s">
        <v>238</v>
      </c>
      <c r="AX708" s="5" t="s">
        <v>249</v>
      </c>
      <c r="AY708" s="5" t="s">
        <v>238</v>
      </c>
      <c r="BA708" s="5" t="s">
        <v>1397</v>
      </c>
      <c r="BC708" s="5" t="s">
        <v>250</v>
      </c>
      <c r="BD708" s="6" t="s">
        <v>243</v>
      </c>
      <c r="BE708" s="5" t="s">
        <v>251</v>
      </c>
      <c r="BF708" s="5" t="s">
        <v>252</v>
      </c>
      <c r="BG708" s="5" t="s">
        <v>238</v>
      </c>
      <c r="BH708" s="7">
        <f>0</f>
        <v>0</v>
      </c>
      <c r="BI708" s="8">
        <f>0</f>
        <v>0</v>
      </c>
      <c r="BJ708" s="5" t="s">
        <v>253</v>
      </c>
      <c r="BK708" s="5" t="s">
        <v>254</v>
      </c>
      <c r="BY708" s="5" t="s">
        <v>238</v>
      </c>
      <c r="BZ708" s="5" t="s">
        <v>238</v>
      </c>
      <c r="CD708" s="5" t="s">
        <v>255</v>
      </c>
      <c r="CE708" s="5" t="s">
        <v>256</v>
      </c>
      <c r="CF708" s="5" t="s">
        <v>238</v>
      </c>
      <c r="CI708" s="6" t="s">
        <v>257</v>
      </c>
      <c r="CJ708" s="5" t="s">
        <v>238</v>
      </c>
      <c r="CK708" s="5" t="s">
        <v>258</v>
      </c>
      <c r="CL708" s="5" t="s">
        <v>238</v>
      </c>
      <c r="CM708" s="5" t="s">
        <v>238</v>
      </c>
      <c r="CN708" s="5">
        <v>0</v>
      </c>
      <c r="CO708" s="5" t="s">
        <v>259</v>
      </c>
      <c r="CP708" s="5" t="s">
        <v>260</v>
      </c>
      <c r="CQ708" s="5" t="s">
        <v>260</v>
      </c>
      <c r="CR708" s="5" t="s">
        <v>261</v>
      </c>
      <c r="CU708" s="8">
        <f>24233</f>
        <v>24233</v>
      </c>
      <c r="CV708" s="8">
        <f>0</f>
        <v>0</v>
      </c>
      <c r="CX708" s="8">
        <f>0</f>
        <v>0</v>
      </c>
      <c r="CY708" s="8">
        <f>24233</f>
        <v>24233</v>
      </c>
      <c r="DA708" s="5" t="s">
        <v>356</v>
      </c>
      <c r="DB708" s="5" t="s">
        <v>238</v>
      </c>
      <c r="DD708" s="5" t="s">
        <v>356</v>
      </c>
      <c r="DE708" s="8">
        <f>0</f>
        <v>0</v>
      </c>
      <c r="DG708" s="5" t="s">
        <v>534</v>
      </c>
      <c r="DH708" s="5" t="s">
        <v>238</v>
      </c>
      <c r="DI708" s="5" t="s">
        <v>238</v>
      </c>
      <c r="DJ708" s="5" t="s">
        <v>238</v>
      </c>
      <c r="DN708" s="5" t="s">
        <v>238</v>
      </c>
      <c r="DO708" s="5" t="s">
        <v>238</v>
      </c>
      <c r="DP708" s="5" t="s">
        <v>238</v>
      </c>
      <c r="DQ708" s="5" t="s">
        <v>238</v>
      </c>
      <c r="DT708" s="5" t="s">
        <v>5519</v>
      </c>
      <c r="DU708" s="5" t="s">
        <v>264</v>
      </c>
      <c r="HM708" s="5" t="s">
        <v>264</v>
      </c>
    </row>
    <row r="709" spans="1:221" x14ac:dyDescent="0.4">
      <c r="A709" s="5">
        <v>1571</v>
      </c>
      <c r="B709" s="5">
        <v>1</v>
      </c>
      <c r="C709" s="5">
        <v>1</v>
      </c>
      <c r="D709" s="5" t="s">
        <v>484</v>
      </c>
      <c r="E709" s="5" t="s">
        <v>485</v>
      </c>
      <c r="F709" s="5" t="s">
        <v>248</v>
      </c>
      <c r="G709" s="5" t="s">
        <v>5523</v>
      </c>
      <c r="H709" s="6" t="s">
        <v>5524</v>
      </c>
      <c r="I709" s="7">
        <f>1065</f>
        <v>1065</v>
      </c>
      <c r="J709" s="5" t="s">
        <v>262</v>
      </c>
      <c r="K709" s="8">
        <f>11715</f>
        <v>11715</v>
      </c>
      <c r="L709" s="6" t="s">
        <v>242</v>
      </c>
      <c r="M709" s="5" t="s">
        <v>267</v>
      </c>
      <c r="N709" s="5" t="s">
        <v>237</v>
      </c>
      <c r="O709" s="5" t="s">
        <v>238</v>
      </c>
      <c r="P709" s="5" t="s">
        <v>238</v>
      </c>
      <c r="Q709" s="5" t="s">
        <v>239</v>
      </c>
      <c r="R709" s="5" t="s">
        <v>240</v>
      </c>
      <c r="S709" s="5" t="s">
        <v>238</v>
      </c>
      <c r="V709" s="5" t="s">
        <v>238</v>
      </c>
      <c r="X709" s="6" t="s">
        <v>238</v>
      </c>
      <c r="AA709" s="6" t="s">
        <v>243</v>
      </c>
      <c r="AB709" s="5" t="s">
        <v>238</v>
      </c>
      <c r="AC709" s="5" t="s">
        <v>244</v>
      </c>
      <c r="AD709" s="5" t="s">
        <v>245</v>
      </c>
      <c r="AT709" s="5" t="s">
        <v>246</v>
      </c>
      <c r="AU709" s="5" t="s">
        <v>238</v>
      </c>
      <c r="AV709" s="5" t="s">
        <v>247</v>
      </c>
      <c r="AW709" s="5" t="s">
        <v>238</v>
      </c>
      <c r="AX709" s="5" t="s">
        <v>249</v>
      </c>
      <c r="AY709" s="5" t="s">
        <v>238</v>
      </c>
      <c r="BA709" s="5" t="s">
        <v>1397</v>
      </c>
      <c r="BC709" s="5" t="s">
        <v>250</v>
      </c>
      <c r="BD709" s="6" t="s">
        <v>243</v>
      </c>
      <c r="BE709" s="5" t="s">
        <v>251</v>
      </c>
      <c r="BF709" s="5" t="s">
        <v>252</v>
      </c>
      <c r="BG709" s="5" t="s">
        <v>238</v>
      </c>
      <c r="BH709" s="7">
        <f>0</f>
        <v>0</v>
      </c>
      <c r="BI709" s="8">
        <f>0</f>
        <v>0</v>
      </c>
      <c r="BJ709" s="5" t="s">
        <v>253</v>
      </c>
      <c r="BK709" s="5" t="s">
        <v>254</v>
      </c>
      <c r="BY709" s="5" t="s">
        <v>238</v>
      </c>
      <c r="BZ709" s="5" t="s">
        <v>238</v>
      </c>
      <c r="CD709" s="5" t="s">
        <v>255</v>
      </c>
      <c r="CE709" s="5" t="s">
        <v>256</v>
      </c>
      <c r="CF709" s="5" t="s">
        <v>238</v>
      </c>
      <c r="CI709" s="6" t="s">
        <v>257</v>
      </c>
      <c r="CJ709" s="5" t="s">
        <v>238</v>
      </c>
      <c r="CK709" s="5" t="s">
        <v>258</v>
      </c>
      <c r="CL709" s="5" t="s">
        <v>238</v>
      </c>
      <c r="CM709" s="5" t="s">
        <v>238</v>
      </c>
      <c r="CN709" s="5">
        <v>0</v>
      </c>
      <c r="CO709" s="5" t="s">
        <v>259</v>
      </c>
      <c r="CP709" s="5" t="s">
        <v>260</v>
      </c>
      <c r="CQ709" s="5" t="s">
        <v>260</v>
      </c>
      <c r="CR709" s="5" t="s">
        <v>261</v>
      </c>
      <c r="CU709" s="8">
        <f>11715</f>
        <v>11715</v>
      </c>
      <c r="CV709" s="8">
        <f>0</f>
        <v>0</v>
      </c>
      <c r="CX709" s="8">
        <f>0</f>
        <v>0</v>
      </c>
      <c r="CY709" s="8">
        <f>11715</f>
        <v>11715</v>
      </c>
      <c r="DA709" s="5" t="s">
        <v>356</v>
      </c>
      <c r="DB709" s="5" t="s">
        <v>238</v>
      </c>
      <c r="DD709" s="5" t="s">
        <v>356</v>
      </c>
      <c r="DE709" s="8">
        <f>0</f>
        <v>0</v>
      </c>
      <c r="DG709" s="5" t="s">
        <v>534</v>
      </c>
      <c r="DH709" s="5" t="s">
        <v>238</v>
      </c>
      <c r="DI709" s="5" t="s">
        <v>238</v>
      </c>
      <c r="DJ709" s="5" t="s">
        <v>238</v>
      </c>
      <c r="DN709" s="5" t="s">
        <v>238</v>
      </c>
      <c r="DO709" s="5" t="s">
        <v>238</v>
      </c>
      <c r="DP709" s="5" t="s">
        <v>238</v>
      </c>
      <c r="DQ709" s="5" t="s">
        <v>238</v>
      </c>
      <c r="DT709" s="5" t="s">
        <v>5525</v>
      </c>
      <c r="DU709" s="5" t="s">
        <v>264</v>
      </c>
      <c r="HM709" s="5" t="s">
        <v>264</v>
      </c>
    </row>
    <row r="710" spans="1:221" x14ac:dyDescent="0.4">
      <c r="A710" s="5">
        <v>1572</v>
      </c>
      <c r="B710" s="5">
        <v>1</v>
      </c>
      <c r="C710" s="5">
        <v>1</v>
      </c>
      <c r="D710" s="5" t="s">
        <v>484</v>
      </c>
      <c r="E710" s="5" t="s">
        <v>485</v>
      </c>
      <c r="F710" s="5" t="s">
        <v>248</v>
      </c>
      <c r="G710" s="5" t="s">
        <v>5528</v>
      </c>
      <c r="H710" s="6" t="s">
        <v>5529</v>
      </c>
      <c r="I710" s="7">
        <f>1451</f>
        <v>1451</v>
      </c>
      <c r="J710" s="5" t="s">
        <v>262</v>
      </c>
      <c r="K710" s="8">
        <f>15961</f>
        <v>15961</v>
      </c>
      <c r="L710" s="6" t="s">
        <v>242</v>
      </c>
      <c r="M710" s="5" t="s">
        <v>267</v>
      </c>
      <c r="N710" s="5" t="s">
        <v>237</v>
      </c>
      <c r="O710" s="5" t="s">
        <v>238</v>
      </c>
      <c r="P710" s="5" t="s">
        <v>238</v>
      </c>
      <c r="Q710" s="5" t="s">
        <v>239</v>
      </c>
      <c r="R710" s="5" t="s">
        <v>240</v>
      </c>
      <c r="S710" s="5" t="s">
        <v>238</v>
      </c>
      <c r="V710" s="5" t="s">
        <v>238</v>
      </c>
      <c r="X710" s="6" t="s">
        <v>238</v>
      </c>
      <c r="AA710" s="6" t="s">
        <v>243</v>
      </c>
      <c r="AB710" s="5" t="s">
        <v>238</v>
      </c>
      <c r="AC710" s="5" t="s">
        <v>244</v>
      </c>
      <c r="AD710" s="5" t="s">
        <v>245</v>
      </c>
      <c r="AT710" s="5" t="s">
        <v>246</v>
      </c>
      <c r="AU710" s="5" t="s">
        <v>238</v>
      </c>
      <c r="AV710" s="5" t="s">
        <v>247</v>
      </c>
      <c r="AW710" s="5" t="s">
        <v>238</v>
      </c>
      <c r="AX710" s="5" t="s">
        <v>249</v>
      </c>
      <c r="AY710" s="5" t="s">
        <v>238</v>
      </c>
      <c r="BA710" s="5" t="s">
        <v>1397</v>
      </c>
      <c r="BC710" s="5" t="s">
        <v>250</v>
      </c>
      <c r="BD710" s="6" t="s">
        <v>243</v>
      </c>
      <c r="BE710" s="5" t="s">
        <v>251</v>
      </c>
      <c r="BF710" s="5" t="s">
        <v>252</v>
      </c>
      <c r="BG710" s="5" t="s">
        <v>238</v>
      </c>
      <c r="BH710" s="7">
        <f>0</f>
        <v>0</v>
      </c>
      <c r="BI710" s="8">
        <f>0</f>
        <v>0</v>
      </c>
      <c r="BJ710" s="5" t="s">
        <v>253</v>
      </c>
      <c r="BK710" s="5" t="s">
        <v>254</v>
      </c>
      <c r="BY710" s="5" t="s">
        <v>238</v>
      </c>
      <c r="BZ710" s="5" t="s">
        <v>238</v>
      </c>
      <c r="CD710" s="5" t="s">
        <v>255</v>
      </c>
      <c r="CE710" s="5" t="s">
        <v>256</v>
      </c>
      <c r="CF710" s="5" t="s">
        <v>238</v>
      </c>
      <c r="CI710" s="6" t="s">
        <v>257</v>
      </c>
      <c r="CJ710" s="5" t="s">
        <v>238</v>
      </c>
      <c r="CK710" s="5" t="s">
        <v>258</v>
      </c>
      <c r="CL710" s="5" t="s">
        <v>238</v>
      </c>
      <c r="CM710" s="5" t="s">
        <v>238</v>
      </c>
      <c r="CN710" s="5">
        <v>0</v>
      </c>
      <c r="CO710" s="5" t="s">
        <v>259</v>
      </c>
      <c r="CP710" s="5" t="s">
        <v>260</v>
      </c>
      <c r="CQ710" s="5" t="s">
        <v>260</v>
      </c>
      <c r="CR710" s="5" t="s">
        <v>261</v>
      </c>
      <c r="CU710" s="8">
        <f>15961</f>
        <v>15961</v>
      </c>
      <c r="CV710" s="8">
        <f>0</f>
        <v>0</v>
      </c>
      <c r="CX710" s="8">
        <f>0</f>
        <v>0</v>
      </c>
      <c r="CY710" s="8">
        <f>15961</f>
        <v>15961</v>
      </c>
      <c r="DA710" s="5" t="s">
        <v>356</v>
      </c>
      <c r="DB710" s="5" t="s">
        <v>238</v>
      </c>
      <c r="DD710" s="5" t="s">
        <v>356</v>
      </c>
      <c r="DE710" s="8">
        <f>0</f>
        <v>0</v>
      </c>
      <c r="DG710" s="5" t="s">
        <v>534</v>
      </c>
      <c r="DH710" s="5" t="s">
        <v>238</v>
      </c>
      <c r="DI710" s="5" t="s">
        <v>238</v>
      </c>
      <c r="DJ710" s="5" t="s">
        <v>238</v>
      </c>
      <c r="DN710" s="5" t="s">
        <v>238</v>
      </c>
      <c r="DO710" s="5" t="s">
        <v>238</v>
      </c>
      <c r="DP710" s="5" t="s">
        <v>238</v>
      </c>
      <c r="DQ710" s="5" t="s">
        <v>238</v>
      </c>
      <c r="DT710" s="5" t="s">
        <v>5530</v>
      </c>
      <c r="DU710" s="5" t="s">
        <v>264</v>
      </c>
      <c r="HM710" s="5" t="s">
        <v>264</v>
      </c>
    </row>
    <row r="711" spans="1:221" x14ac:dyDescent="0.4">
      <c r="A711" s="5">
        <v>1573</v>
      </c>
      <c r="B711" s="5">
        <v>1</v>
      </c>
      <c r="C711" s="5">
        <v>1</v>
      </c>
      <c r="D711" s="5" t="s">
        <v>484</v>
      </c>
      <c r="E711" s="5" t="s">
        <v>485</v>
      </c>
      <c r="F711" s="5" t="s">
        <v>248</v>
      </c>
      <c r="G711" s="5" t="s">
        <v>5533</v>
      </c>
      <c r="H711" s="6" t="s">
        <v>5534</v>
      </c>
      <c r="I711" s="7">
        <f>512</f>
        <v>512</v>
      </c>
      <c r="J711" s="5" t="s">
        <v>262</v>
      </c>
      <c r="K711" s="8">
        <f>5632</f>
        <v>5632</v>
      </c>
      <c r="L711" s="6" t="s">
        <v>242</v>
      </c>
      <c r="M711" s="5" t="s">
        <v>267</v>
      </c>
      <c r="N711" s="5" t="s">
        <v>237</v>
      </c>
      <c r="O711" s="5" t="s">
        <v>238</v>
      </c>
      <c r="P711" s="5" t="s">
        <v>238</v>
      </c>
      <c r="Q711" s="5" t="s">
        <v>239</v>
      </c>
      <c r="R711" s="5" t="s">
        <v>240</v>
      </c>
      <c r="S711" s="5" t="s">
        <v>238</v>
      </c>
      <c r="V711" s="5" t="s">
        <v>238</v>
      </c>
      <c r="X711" s="6" t="s">
        <v>238</v>
      </c>
      <c r="AA711" s="6" t="s">
        <v>243</v>
      </c>
      <c r="AB711" s="5" t="s">
        <v>238</v>
      </c>
      <c r="AC711" s="5" t="s">
        <v>244</v>
      </c>
      <c r="AD711" s="5" t="s">
        <v>245</v>
      </c>
      <c r="AT711" s="5" t="s">
        <v>246</v>
      </c>
      <c r="AU711" s="5" t="s">
        <v>238</v>
      </c>
      <c r="AV711" s="5" t="s">
        <v>247</v>
      </c>
      <c r="AW711" s="5" t="s">
        <v>238</v>
      </c>
      <c r="AX711" s="5" t="s">
        <v>249</v>
      </c>
      <c r="AY711" s="5" t="s">
        <v>238</v>
      </c>
      <c r="BA711" s="5" t="s">
        <v>1397</v>
      </c>
      <c r="BC711" s="5" t="s">
        <v>250</v>
      </c>
      <c r="BD711" s="6" t="s">
        <v>243</v>
      </c>
      <c r="BE711" s="5" t="s">
        <v>251</v>
      </c>
      <c r="BF711" s="5" t="s">
        <v>252</v>
      </c>
      <c r="BG711" s="5" t="s">
        <v>238</v>
      </c>
      <c r="BH711" s="7">
        <f>0</f>
        <v>0</v>
      </c>
      <c r="BI711" s="8">
        <f>0</f>
        <v>0</v>
      </c>
      <c r="BJ711" s="5" t="s">
        <v>253</v>
      </c>
      <c r="BK711" s="5" t="s">
        <v>254</v>
      </c>
      <c r="BY711" s="5" t="s">
        <v>238</v>
      </c>
      <c r="BZ711" s="5" t="s">
        <v>238</v>
      </c>
      <c r="CD711" s="5" t="s">
        <v>255</v>
      </c>
      <c r="CE711" s="5" t="s">
        <v>256</v>
      </c>
      <c r="CF711" s="5" t="s">
        <v>238</v>
      </c>
      <c r="CI711" s="6" t="s">
        <v>257</v>
      </c>
      <c r="CJ711" s="5" t="s">
        <v>238</v>
      </c>
      <c r="CK711" s="5" t="s">
        <v>258</v>
      </c>
      <c r="CL711" s="5" t="s">
        <v>238</v>
      </c>
      <c r="CM711" s="5" t="s">
        <v>238</v>
      </c>
      <c r="CN711" s="5">
        <v>0</v>
      </c>
      <c r="CO711" s="5" t="s">
        <v>259</v>
      </c>
      <c r="CP711" s="5" t="s">
        <v>260</v>
      </c>
      <c r="CQ711" s="5" t="s">
        <v>260</v>
      </c>
      <c r="CR711" s="5" t="s">
        <v>261</v>
      </c>
      <c r="CU711" s="8">
        <f>5632</f>
        <v>5632</v>
      </c>
      <c r="CV711" s="8">
        <f>0</f>
        <v>0</v>
      </c>
      <c r="CX711" s="8">
        <f>0</f>
        <v>0</v>
      </c>
      <c r="CY711" s="8">
        <f>5632</f>
        <v>5632</v>
      </c>
      <c r="DA711" s="5" t="s">
        <v>356</v>
      </c>
      <c r="DB711" s="5" t="s">
        <v>238</v>
      </c>
      <c r="DD711" s="5" t="s">
        <v>356</v>
      </c>
      <c r="DE711" s="8">
        <f>0</f>
        <v>0</v>
      </c>
      <c r="DG711" s="5" t="s">
        <v>534</v>
      </c>
      <c r="DH711" s="5" t="s">
        <v>238</v>
      </c>
      <c r="DI711" s="5" t="s">
        <v>238</v>
      </c>
      <c r="DJ711" s="5" t="s">
        <v>238</v>
      </c>
      <c r="DN711" s="5" t="s">
        <v>238</v>
      </c>
      <c r="DO711" s="5" t="s">
        <v>238</v>
      </c>
      <c r="DP711" s="5" t="s">
        <v>238</v>
      </c>
      <c r="DQ711" s="5" t="s">
        <v>238</v>
      </c>
      <c r="DT711" s="5" t="s">
        <v>5535</v>
      </c>
      <c r="DU711" s="5" t="s">
        <v>264</v>
      </c>
      <c r="HM711" s="5" t="s">
        <v>264</v>
      </c>
    </row>
    <row r="712" spans="1:221" x14ac:dyDescent="0.4">
      <c r="A712" s="5">
        <v>1574</v>
      </c>
      <c r="B712" s="5">
        <v>1</v>
      </c>
      <c r="C712" s="5">
        <v>1</v>
      </c>
      <c r="D712" s="5" t="s">
        <v>484</v>
      </c>
      <c r="E712" s="5" t="s">
        <v>485</v>
      </c>
      <c r="F712" s="5" t="s">
        <v>248</v>
      </c>
      <c r="G712" s="5" t="s">
        <v>5537</v>
      </c>
      <c r="H712" s="6" t="s">
        <v>5538</v>
      </c>
      <c r="I712" s="7">
        <f>1075</f>
        <v>1075</v>
      </c>
      <c r="J712" s="5" t="s">
        <v>262</v>
      </c>
      <c r="K712" s="8">
        <f>11825</f>
        <v>11825</v>
      </c>
      <c r="L712" s="6" t="s">
        <v>242</v>
      </c>
      <c r="M712" s="5" t="s">
        <v>267</v>
      </c>
      <c r="N712" s="5" t="s">
        <v>237</v>
      </c>
      <c r="O712" s="5" t="s">
        <v>238</v>
      </c>
      <c r="P712" s="5" t="s">
        <v>238</v>
      </c>
      <c r="Q712" s="5" t="s">
        <v>239</v>
      </c>
      <c r="R712" s="5" t="s">
        <v>240</v>
      </c>
      <c r="S712" s="5" t="s">
        <v>238</v>
      </c>
      <c r="V712" s="5" t="s">
        <v>238</v>
      </c>
      <c r="X712" s="6" t="s">
        <v>238</v>
      </c>
      <c r="AA712" s="6" t="s">
        <v>243</v>
      </c>
      <c r="AB712" s="5" t="s">
        <v>238</v>
      </c>
      <c r="AC712" s="5" t="s">
        <v>244</v>
      </c>
      <c r="AD712" s="5" t="s">
        <v>245</v>
      </c>
      <c r="AT712" s="5" t="s">
        <v>246</v>
      </c>
      <c r="AU712" s="5" t="s">
        <v>238</v>
      </c>
      <c r="AV712" s="5" t="s">
        <v>247</v>
      </c>
      <c r="AW712" s="5" t="s">
        <v>238</v>
      </c>
      <c r="AX712" s="5" t="s">
        <v>249</v>
      </c>
      <c r="AY712" s="5" t="s">
        <v>238</v>
      </c>
      <c r="BA712" s="5" t="s">
        <v>1397</v>
      </c>
      <c r="BC712" s="5" t="s">
        <v>250</v>
      </c>
      <c r="BD712" s="6" t="s">
        <v>243</v>
      </c>
      <c r="BE712" s="5" t="s">
        <v>251</v>
      </c>
      <c r="BF712" s="5" t="s">
        <v>252</v>
      </c>
      <c r="BG712" s="5" t="s">
        <v>238</v>
      </c>
      <c r="BH712" s="7">
        <f>0</f>
        <v>0</v>
      </c>
      <c r="BI712" s="8">
        <f>0</f>
        <v>0</v>
      </c>
      <c r="BJ712" s="5" t="s">
        <v>253</v>
      </c>
      <c r="BK712" s="5" t="s">
        <v>254</v>
      </c>
      <c r="BY712" s="5" t="s">
        <v>238</v>
      </c>
      <c r="BZ712" s="5" t="s">
        <v>238</v>
      </c>
      <c r="CD712" s="5" t="s">
        <v>255</v>
      </c>
      <c r="CE712" s="5" t="s">
        <v>256</v>
      </c>
      <c r="CF712" s="5" t="s">
        <v>238</v>
      </c>
      <c r="CI712" s="6" t="s">
        <v>257</v>
      </c>
      <c r="CJ712" s="5" t="s">
        <v>238</v>
      </c>
      <c r="CK712" s="5" t="s">
        <v>258</v>
      </c>
      <c r="CL712" s="5" t="s">
        <v>238</v>
      </c>
      <c r="CM712" s="5" t="s">
        <v>238</v>
      </c>
      <c r="CN712" s="5">
        <v>0</v>
      </c>
      <c r="CO712" s="5" t="s">
        <v>259</v>
      </c>
      <c r="CP712" s="5" t="s">
        <v>260</v>
      </c>
      <c r="CQ712" s="5" t="s">
        <v>260</v>
      </c>
      <c r="CR712" s="5" t="s">
        <v>261</v>
      </c>
      <c r="CU712" s="8">
        <f>11825</f>
        <v>11825</v>
      </c>
      <c r="CV712" s="8">
        <f>0</f>
        <v>0</v>
      </c>
      <c r="CX712" s="8">
        <f>0</f>
        <v>0</v>
      </c>
      <c r="CY712" s="8">
        <f>11825</f>
        <v>11825</v>
      </c>
      <c r="DA712" s="5" t="s">
        <v>356</v>
      </c>
      <c r="DB712" s="5" t="s">
        <v>238</v>
      </c>
      <c r="DD712" s="5" t="s">
        <v>356</v>
      </c>
      <c r="DE712" s="8">
        <f>0</f>
        <v>0</v>
      </c>
      <c r="DG712" s="5" t="s">
        <v>534</v>
      </c>
      <c r="DH712" s="5" t="s">
        <v>238</v>
      </c>
      <c r="DI712" s="5" t="s">
        <v>238</v>
      </c>
      <c r="DJ712" s="5" t="s">
        <v>238</v>
      </c>
      <c r="DN712" s="5" t="s">
        <v>238</v>
      </c>
      <c r="DO712" s="5" t="s">
        <v>238</v>
      </c>
      <c r="DP712" s="5" t="s">
        <v>238</v>
      </c>
      <c r="DQ712" s="5" t="s">
        <v>238</v>
      </c>
      <c r="DT712" s="5" t="s">
        <v>5539</v>
      </c>
      <c r="DU712" s="5" t="s">
        <v>264</v>
      </c>
      <c r="HM712" s="5" t="s">
        <v>264</v>
      </c>
    </row>
    <row r="713" spans="1:221" x14ac:dyDescent="0.4">
      <c r="A713" s="5">
        <v>1575</v>
      </c>
      <c r="B713" s="5">
        <v>1</v>
      </c>
      <c r="C713" s="5">
        <v>1</v>
      </c>
      <c r="D713" s="5" t="s">
        <v>484</v>
      </c>
      <c r="E713" s="5" t="s">
        <v>485</v>
      </c>
      <c r="F713" s="5" t="s">
        <v>248</v>
      </c>
      <c r="G713" s="5" t="s">
        <v>5544</v>
      </c>
      <c r="H713" s="6" t="s">
        <v>3879</v>
      </c>
      <c r="I713" s="7">
        <f>839.76</f>
        <v>839.76</v>
      </c>
      <c r="J713" s="5" t="s">
        <v>262</v>
      </c>
      <c r="K713" s="8">
        <f>1860068</f>
        <v>1860068</v>
      </c>
      <c r="L713" s="6" t="s">
        <v>242</v>
      </c>
      <c r="M713" s="5" t="s">
        <v>267</v>
      </c>
      <c r="N713" s="5" t="s">
        <v>237</v>
      </c>
      <c r="O713" s="5" t="s">
        <v>238</v>
      </c>
      <c r="P713" s="5" t="s">
        <v>238</v>
      </c>
      <c r="Q713" s="5" t="s">
        <v>239</v>
      </c>
      <c r="R713" s="5" t="s">
        <v>240</v>
      </c>
      <c r="S713" s="5" t="s">
        <v>238</v>
      </c>
      <c r="V713" s="5" t="s">
        <v>238</v>
      </c>
      <c r="X713" s="6" t="s">
        <v>238</v>
      </c>
      <c r="AA713" s="6" t="s">
        <v>243</v>
      </c>
      <c r="AB713" s="5" t="s">
        <v>238</v>
      </c>
      <c r="AC713" s="5" t="s">
        <v>244</v>
      </c>
      <c r="AD713" s="5" t="s">
        <v>245</v>
      </c>
      <c r="AT713" s="5" t="s">
        <v>246</v>
      </c>
      <c r="AU713" s="5" t="s">
        <v>238</v>
      </c>
      <c r="AV713" s="5" t="s">
        <v>247</v>
      </c>
      <c r="AW713" s="5" t="s">
        <v>238</v>
      </c>
      <c r="AX713" s="5" t="s">
        <v>249</v>
      </c>
      <c r="AY713" s="5" t="s">
        <v>238</v>
      </c>
      <c r="BA713" s="5" t="s">
        <v>1397</v>
      </c>
      <c r="BC713" s="5" t="s">
        <v>250</v>
      </c>
      <c r="BD713" s="6" t="s">
        <v>243</v>
      </c>
      <c r="BE713" s="5" t="s">
        <v>251</v>
      </c>
      <c r="BF713" s="5" t="s">
        <v>252</v>
      </c>
      <c r="BG713" s="5" t="s">
        <v>238</v>
      </c>
      <c r="BH713" s="7">
        <f>0</f>
        <v>0</v>
      </c>
      <c r="BI713" s="8">
        <f>0</f>
        <v>0</v>
      </c>
      <c r="BJ713" s="5" t="s">
        <v>253</v>
      </c>
      <c r="BK713" s="5" t="s">
        <v>254</v>
      </c>
      <c r="BY713" s="5" t="s">
        <v>238</v>
      </c>
      <c r="BZ713" s="5" t="s">
        <v>238</v>
      </c>
      <c r="CD713" s="5" t="s">
        <v>255</v>
      </c>
      <c r="CE713" s="5" t="s">
        <v>256</v>
      </c>
      <c r="CF713" s="5" t="s">
        <v>238</v>
      </c>
      <c r="CI713" s="6" t="s">
        <v>257</v>
      </c>
      <c r="CJ713" s="5" t="s">
        <v>238</v>
      </c>
      <c r="CK713" s="5" t="s">
        <v>258</v>
      </c>
      <c r="CL713" s="5" t="s">
        <v>238</v>
      </c>
      <c r="CM713" s="5" t="s">
        <v>238</v>
      </c>
      <c r="CN713" s="5">
        <v>0</v>
      </c>
      <c r="CO713" s="5" t="s">
        <v>259</v>
      </c>
      <c r="CP713" s="5" t="s">
        <v>260</v>
      </c>
      <c r="CQ713" s="5" t="s">
        <v>260</v>
      </c>
      <c r="CR713" s="5" t="s">
        <v>261</v>
      </c>
      <c r="CU713" s="8">
        <f>1860068</f>
        <v>1860068</v>
      </c>
      <c r="CV713" s="8">
        <f>0</f>
        <v>0</v>
      </c>
      <c r="CX713" s="8">
        <f>0</f>
        <v>0</v>
      </c>
      <c r="CY713" s="8">
        <f>1860068</f>
        <v>1860068</v>
      </c>
      <c r="DA713" s="5" t="s">
        <v>356</v>
      </c>
      <c r="DB713" s="5" t="s">
        <v>238</v>
      </c>
      <c r="DD713" s="5" t="s">
        <v>356</v>
      </c>
      <c r="DE713" s="8">
        <f>0</f>
        <v>0</v>
      </c>
      <c r="DG713" s="5" t="s">
        <v>389</v>
      </c>
      <c r="DH713" s="5" t="s">
        <v>238</v>
      </c>
      <c r="DI713" s="5" t="s">
        <v>238</v>
      </c>
      <c r="DJ713" s="5" t="s">
        <v>238</v>
      </c>
      <c r="DN713" s="5" t="s">
        <v>238</v>
      </c>
      <c r="DO713" s="5" t="s">
        <v>238</v>
      </c>
      <c r="DP713" s="5" t="s">
        <v>238</v>
      </c>
      <c r="DQ713" s="5" t="s">
        <v>238</v>
      </c>
      <c r="DT713" s="5" t="s">
        <v>5545</v>
      </c>
      <c r="DU713" s="5" t="s">
        <v>264</v>
      </c>
      <c r="HM713" s="5" t="s">
        <v>264</v>
      </c>
    </row>
    <row r="714" spans="1:221" x14ac:dyDescent="0.4">
      <c r="A714" s="5">
        <v>1576</v>
      </c>
      <c r="B714" s="5">
        <v>1</v>
      </c>
      <c r="C714" s="5">
        <v>1</v>
      </c>
      <c r="D714" s="5" t="s">
        <v>484</v>
      </c>
      <c r="E714" s="5" t="s">
        <v>485</v>
      </c>
      <c r="F714" s="5" t="s">
        <v>248</v>
      </c>
      <c r="G714" s="5" t="s">
        <v>5548</v>
      </c>
      <c r="H714" s="6" t="s">
        <v>5549</v>
      </c>
      <c r="I714" s="7">
        <f>981</f>
        <v>981</v>
      </c>
      <c r="J714" s="5" t="s">
        <v>262</v>
      </c>
      <c r="K714" s="8">
        <f>10791</f>
        <v>10791</v>
      </c>
      <c r="L714" s="6" t="s">
        <v>242</v>
      </c>
      <c r="M714" s="5" t="s">
        <v>267</v>
      </c>
      <c r="N714" s="5" t="s">
        <v>237</v>
      </c>
      <c r="O714" s="5" t="s">
        <v>238</v>
      </c>
      <c r="P714" s="5" t="s">
        <v>238</v>
      </c>
      <c r="Q714" s="5" t="s">
        <v>239</v>
      </c>
      <c r="R714" s="5" t="s">
        <v>240</v>
      </c>
      <c r="S714" s="5" t="s">
        <v>238</v>
      </c>
      <c r="V714" s="5" t="s">
        <v>238</v>
      </c>
      <c r="X714" s="6" t="s">
        <v>238</v>
      </c>
      <c r="AA714" s="6" t="s">
        <v>243</v>
      </c>
      <c r="AB714" s="5" t="s">
        <v>238</v>
      </c>
      <c r="AC714" s="5" t="s">
        <v>244</v>
      </c>
      <c r="AD714" s="5" t="s">
        <v>245</v>
      </c>
      <c r="AT714" s="5" t="s">
        <v>246</v>
      </c>
      <c r="AU714" s="5" t="s">
        <v>238</v>
      </c>
      <c r="AV714" s="5" t="s">
        <v>247</v>
      </c>
      <c r="AW714" s="5" t="s">
        <v>238</v>
      </c>
      <c r="AX714" s="5" t="s">
        <v>249</v>
      </c>
      <c r="AY714" s="5" t="s">
        <v>238</v>
      </c>
      <c r="BA714" s="5" t="s">
        <v>1397</v>
      </c>
      <c r="BC714" s="5" t="s">
        <v>250</v>
      </c>
      <c r="BD714" s="6" t="s">
        <v>243</v>
      </c>
      <c r="BE714" s="5" t="s">
        <v>251</v>
      </c>
      <c r="BF714" s="5" t="s">
        <v>252</v>
      </c>
      <c r="BG714" s="5" t="s">
        <v>238</v>
      </c>
      <c r="BH714" s="7">
        <f>0</f>
        <v>0</v>
      </c>
      <c r="BI714" s="8">
        <f>0</f>
        <v>0</v>
      </c>
      <c r="BJ714" s="5" t="s">
        <v>253</v>
      </c>
      <c r="BK714" s="5" t="s">
        <v>254</v>
      </c>
      <c r="BY714" s="5" t="s">
        <v>238</v>
      </c>
      <c r="BZ714" s="5" t="s">
        <v>238</v>
      </c>
      <c r="CD714" s="5" t="s">
        <v>255</v>
      </c>
      <c r="CE714" s="5" t="s">
        <v>256</v>
      </c>
      <c r="CF714" s="5" t="s">
        <v>238</v>
      </c>
      <c r="CI714" s="6" t="s">
        <v>257</v>
      </c>
      <c r="CJ714" s="5" t="s">
        <v>238</v>
      </c>
      <c r="CK714" s="5" t="s">
        <v>258</v>
      </c>
      <c r="CL714" s="5" t="s">
        <v>238</v>
      </c>
      <c r="CM714" s="5" t="s">
        <v>238</v>
      </c>
      <c r="CN714" s="5">
        <v>0</v>
      </c>
      <c r="CO714" s="5" t="s">
        <v>259</v>
      </c>
      <c r="CP714" s="5" t="s">
        <v>260</v>
      </c>
      <c r="CQ714" s="5" t="s">
        <v>260</v>
      </c>
      <c r="CR714" s="5" t="s">
        <v>261</v>
      </c>
      <c r="CU714" s="8">
        <f>10791</f>
        <v>10791</v>
      </c>
      <c r="CV714" s="8">
        <f>0</f>
        <v>0</v>
      </c>
      <c r="CX714" s="8">
        <f>0</f>
        <v>0</v>
      </c>
      <c r="CY714" s="8">
        <f>10791</f>
        <v>10791</v>
      </c>
      <c r="DA714" s="5" t="s">
        <v>356</v>
      </c>
      <c r="DB714" s="5" t="s">
        <v>238</v>
      </c>
      <c r="DD714" s="5" t="s">
        <v>356</v>
      </c>
      <c r="DE714" s="8">
        <f>0</f>
        <v>0</v>
      </c>
      <c r="DG714" s="5" t="s">
        <v>534</v>
      </c>
      <c r="DH714" s="5" t="s">
        <v>238</v>
      </c>
      <c r="DI714" s="5" t="s">
        <v>238</v>
      </c>
      <c r="DJ714" s="5" t="s">
        <v>238</v>
      </c>
      <c r="DN714" s="5" t="s">
        <v>238</v>
      </c>
      <c r="DO714" s="5" t="s">
        <v>238</v>
      </c>
      <c r="DP714" s="5" t="s">
        <v>238</v>
      </c>
      <c r="DQ714" s="5" t="s">
        <v>238</v>
      </c>
      <c r="DT714" s="5" t="s">
        <v>5550</v>
      </c>
      <c r="DU714" s="5" t="s">
        <v>264</v>
      </c>
      <c r="HM714" s="5" t="s">
        <v>264</v>
      </c>
    </row>
    <row r="715" spans="1:221" x14ac:dyDescent="0.4">
      <c r="A715" s="5">
        <v>1577</v>
      </c>
      <c r="B715" s="5">
        <v>1</v>
      </c>
      <c r="C715" s="5">
        <v>1</v>
      </c>
      <c r="D715" s="5" t="s">
        <v>5839</v>
      </c>
      <c r="E715" s="5" t="s">
        <v>485</v>
      </c>
      <c r="F715" s="5" t="s">
        <v>248</v>
      </c>
      <c r="G715" s="5" t="s">
        <v>5838</v>
      </c>
      <c r="H715" s="6" t="s">
        <v>5840</v>
      </c>
      <c r="I715" s="7">
        <f>5132</f>
        <v>5132</v>
      </c>
      <c r="J715" s="5" t="s">
        <v>262</v>
      </c>
      <c r="K715" s="8">
        <f>56452</f>
        <v>56452</v>
      </c>
      <c r="L715" s="6" t="s">
        <v>242</v>
      </c>
      <c r="M715" s="5" t="s">
        <v>267</v>
      </c>
      <c r="N715" s="5" t="s">
        <v>237</v>
      </c>
      <c r="O715" s="5" t="s">
        <v>238</v>
      </c>
      <c r="P715" s="5" t="s">
        <v>238</v>
      </c>
      <c r="Q715" s="5" t="s">
        <v>239</v>
      </c>
      <c r="R715" s="5" t="s">
        <v>240</v>
      </c>
      <c r="S715" s="5" t="s">
        <v>238</v>
      </c>
      <c r="V715" s="5" t="s">
        <v>238</v>
      </c>
      <c r="X715" s="6" t="s">
        <v>238</v>
      </c>
      <c r="AA715" s="6" t="s">
        <v>243</v>
      </c>
      <c r="AB715" s="5" t="s">
        <v>238</v>
      </c>
      <c r="AC715" s="5" t="s">
        <v>244</v>
      </c>
      <c r="AD715" s="5" t="s">
        <v>245</v>
      </c>
      <c r="AT715" s="5" t="s">
        <v>246</v>
      </c>
      <c r="AU715" s="5" t="s">
        <v>238</v>
      </c>
      <c r="AV715" s="5" t="s">
        <v>247</v>
      </c>
      <c r="AW715" s="5" t="s">
        <v>238</v>
      </c>
      <c r="AX715" s="5" t="s">
        <v>249</v>
      </c>
      <c r="AY715" s="5" t="s">
        <v>238</v>
      </c>
      <c r="BA715" s="5" t="s">
        <v>1397</v>
      </c>
      <c r="BC715" s="5" t="s">
        <v>250</v>
      </c>
      <c r="BD715" s="6" t="s">
        <v>243</v>
      </c>
      <c r="BE715" s="5" t="s">
        <v>251</v>
      </c>
      <c r="BF715" s="5" t="s">
        <v>252</v>
      </c>
      <c r="BG715" s="5" t="s">
        <v>238</v>
      </c>
      <c r="BH715" s="7">
        <f>0</f>
        <v>0</v>
      </c>
      <c r="BI715" s="8">
        <f>0</f>
        <v>0</v>
      </c>
      <c r="BJ715" s="5" t="s">
        <v>253</v>
      </c>
      <c r="BK715" s="5" t="s">
        <v>254</v>
      </c>
      <c r="BY715" s="5" t="s">
        <v>238</v>
      </c>
      <c r="BZ715" s="5" t="s">
        <v>238</v>
      </c>
      <c r="CD715" s="5" t="s">
        <v>255</v>
      </c>
      <c r="CE715" s="5" t="s">
        <v>256</v>
      </c>
      <c r="CF715" s="5" t="s">
        <v>238</v>
      </c>
      <c r="CI715" s="6" t="s">
        <v>257</v>
      </c>
      <c r="CJ715" s="5" t="s">
        <v>238</v>
      </c>
      <c r="CK715" s="5" t="s">
        <v>258</v>
      </c>
      <c r="CL715" s="5" t="s">
        <v>238</v>
      </c>
      <c r="CM715" s="5" t="s">
        <v>238</v>
      </c>
      <c r="CN715" s="5">
        <v>0</v>
      </c>
      <c r="CO715" s="5" t="s">
        <v>259</v>
      </c>
      <c r="CP715" s="5" t="s">
        <v>260</v>
      </c>
      <c r="CQ715" s="5" t="s">
        <v>260</v>
      </c>
      <c r="CR715" s="5" t="s">
        <v>261</v>
      </c>
      <c r="CU715" s="8">
        <f>56452</f>
        <v>56452</v>
      </c>
      <c r="CV715" s="8">
        <f>0</f>
        <v>0</v>
      </c>
      <c r="CX715" s="8">
        <f>0</f>
        <v>0</v>
      </c>
      <c r="CY715" s="8">
        <f>56452</f>
        <v>56452</v>
      </c>
      <c r="DA715" s="5" t="s">
        <v>356</v>
      </c>
      <c r="DB715" s="5" t="s">
        <v>238</v>
      </c>
      <c r="DD715" s="5" t="s">
        <v>533</v>
      </c>
      <c r="DE715" s="8">
        <f>5132</f>
        <v>5132</v>
      </c>
      <c r="DG715" s="5" t="s">
        <v>534</v>
      </c>
      <c r="DH715" s="5" t="s">
        <v>238</v>
      </c>
      <c r="DI715" s="5" t="s">
        <v>238</v>
      </c>
      <c r="DJ715" s="5" t="s">
        <v>238</v>
      </c>
      <c r="DN715" s="5" t="s">
        <v>238</v>
      </c>
      <c r="DO715" s="5" t="s">
        <v>238</v>
      </c>
      <c r="DP715" s="5" t="s">
        <v>238</v>
      </c>
      <c r="DQ715" s="5" t="s">
        <v>238</v>
      </c>
      <c r="DT715" s="5" t="s">
        <v>5841</v>
      </c>
      <c r="DU715" s="5" t="s">
        <v>264</v>
      </c>
      <c r="HM715" s="5" t="s">
        <v>264</v>
      </c>
    </row>
    <row r="716" spans="1:221" x14ac:dyDescent="0.4">
      <c r="A716" s="5">
        <v>1578</v>
      </c>
      <c r="B716" s="5">
        <v>1</v>
      </c>
      <c r="C716" s="5">
        <v>1</v>
      </c>
      <c r="D716" s="5" t="s">
        <v>4586</v>
      </c>
      <c r="E716" s="5" t="s">
        <v>485</v>
      </c>
      <c r="F716" s="5" t="s">
        <v>248</v>
      </c>
      <c r="G716" s="5" t="s">
        <v>4585</v>
      </c>
      <c r="H716" s="6" t="s">
        <v>5244</v>
      </c>
      <c r="I716" s="7">
        <f>13311</f>
        <v>13311</v>
      </c>
      <c r="J716" s="5" t="s">
        <v>262</v>
      </c>
      <c r="K716" s="8">
        <f>146421</f>
        <v>146421</v>
      </c>
      <c r="L716" s="6" t="s">
        <v>242</v>
      </c>
      <c r="M716" s="5" t="s">
        <v>267</v>
      </c>
      <c r="N716" s="5" t="s">
        <v>237</v>
      </c>
      <c r="O716" s="5" t="s">
        <v>238</v>
      </c>
      <c r="P716" s="5" t="s">
        <v>238</v>
      </c>
      <c r="Q716" s="5" t="s">
        <v>239</v>
      </c>
      <c r="R716" s="5" t="s">
        <v>240</v>
      </c>
      <c r="S716" s="5" t="s">
        <v>238</v>
      </c>
      <c r="V716" s="5" t="s">
        <v>238</v>
      </c>
      <c r="X716" s="6" t="s">
        <v>238</v>
      </c>
      <c r="AA716" s="6" t="s">
        <v>243</v>
      </c>
      <c r="AB716" s="5" t="s">
        <v>238</v>
      </c>
      <c r="AC716" s="5" t="s">
        <v>244</v>
      </c>
      <c r="AD716" s="5" t="s">
        <v>245</v>
      </c>
      <c r="AT716" s="5" t="s">
        <v>246</v>
      </c>
      <c r="AU716" s="5" t="s">
        <v>238</v>
      </c>
      <c r="AV716" s="5" t="s">
        <v>247</v>
      </c>
      <c r="AW716" s="5" t="s">
        <v>238</v>
      </c>
      <c r="AX716" s="5" t="s">
        <v>249</v>
      </c>
      <c r="AY716" s="5" t="s">
        <v>238</v>
      </c>
      <c r="BA716" s="5" t="s">
        <v>1397</v>
      </c>
      <c r="BC716" s="5" t="s">
        <v>250</v>
      </c>
      <c r="BD716" s="6" t="s">
        <v>243</v>
      </c>
      <c r="BE716" s="5" t="s">
        <v>251</v>
      </c>
      <c r="BF716" s="5" t="s">
        <v>252</v>
      </c>
      <c r="BG716" s="5" t="s">
        <v>238</v>
      </c>
      <c r="BH716" s="7">
        <f>0</f>
        <v>0</v>
      </c>
      <c r="BI716" s="8">
        <f>0</f>
        <v>0</v>
      </c>
      <c r="BJ716" s="5" t="s">
        <v>253</v>
      </c>
      <c r="BK716" s="5" t="s">
        <v>254</v>
      </c>
      <c r="BY716" s="5" t="s">
        <v>238</v>
      </c>
      <c r="BZ716" s="5" t="s">
        <v>238</v>
      </c>
      <c r="CD716" s="5" t="s">
        <v>255</v>
      </c>
      <c r="CE716" s="5" t="s">
        <v>256</v>
      </c>
      <c r="CF716" s="5" t="s">
        <v>238</v>
      </c>
      <c r="CI716" s="6" t="s">
        <v>257</v>
      </c>
      <c r="CJ716" s="5" t="s">
        <v>238</v>
      </c>
      <c r="CK716" s="5" t="s">
        <v>258</v>
      </c>
      <c r="CL716" s="5" t="s">
        <v>238</v>
      </c>
      <c r="CM716" s="5" t="s">
        <v>238</v>
      </c>
      <c r="CN716" s="5">
        <v>0</v>
      </c>
      <c r="CO716" s="5" t="s">
        <v>259</v>
      </c>
      <c r="CP716" s="5" t="s">
        <v>260</v>
      </c>
      <c r="CQ716" s="5" t="s">
        <v>260</v>
      </c>
      <c r="CR716" s="5" t="s">
        <v>261</v>
      </c>
      <c r="CU716" s="8">
        <f>146421</f>
        <v>146421</v>
      </c>
      <c r="CV716" s="8">
        <f>0</f>
        <v>0</v>
      </c>
      <c r="CX716" s="8">
        <f>0</f>
        <v>0</v>
      </c>
      <c r="CY716" s="8">
        <f>146421</f>
        <v>146421</v>
      </c>
      <c r="DA716" s="5" t="s">
        <v>356</v>
      </c>
      <c r="DB716" s="5" t="s">
        <v>238</v>
      </c>
      <c r="DD716" s="5" t="s">
        <v>533</v>
      </c>
      <c r="DE716" s="8">
        <f>13311</f>
        <v>13311</v>
      </c>
      <c r="DG716" s="5" t="s">
        <v>534</v>
      </c>
      <c r="DH716" s="5" t="s">
        <v>238</v>
      </c>
      <c r="DI716" s="5" t="s">
        <v>238</v>
      </c>
      <c r="DJ716" s="5" t="s">
        <v>238</v>
      </c>
      <c r="DN716" s="5" t="s">
        <v>238</v>
      </c>
      <c r="DO716" s="5" t="s">
        <v>238</v>
      </c>
      <c r="DP716" s="5" t="s">
        <v>238</v>
      </c>
      <c r="DQ716" s="5" t="s">
        <v>238</v>
      </c>
      <c r="DT716" s="5" t="s">
        <v>4589</v>
      </c>
      <c r="DU716" s="5" t="s">
        <v>264</v>
      </c>
      <c r="HM716" s="5" t="s">
        <v>264</v>
      </c>
    </row>
    <row r="717" spans="1:221" x14ac:dyDescent="0.4">
      <c r="A717" s="5">
        <v>1579</v>
      </c>
      <c r="B717" s="5">
        <v>1</v>
      </c>
      <c r="C717" s="5">
        <v>1</v>
      </c>
      <c r="D717" s="5" t="s">
        <v>4586</v>
      </c>
      <c r="E717" s="5" t="s">
        <v>485</v>
      </c>
      <c r="F717" s="5" t="s">
        <v>248</v>
      </c>
      <c r="G717" s="5" t="s">
        <v>4585</v>
      </c>
      <c r="H717" s="6" t="s">
        <v>4588</v>
      </c>
      <c r="I717" s="7">
        <f>10417</f>
        <v>10417</v>
      </c>
      <c r="J717" s="5" t="s">
        <v>262</v>
      </c>
      <c r="K717" s="8">
        <f>114587</f>
        <v>114587</v>
      </c>
      <c r="L717" s="6" t="s">
        <v>242</v>
      </c>
      <c r="M717" s="5" t="s">
        <v>267</v>
      </c>
      <c r="N717" s="5" t="s">
        <v>237</v>
      </c>
      <c r="O717" s="5" t="s">
        <v>238</v>
      </c>
      <c r="P717" s="5" t="s">
        <v>238</v>
      </c>
      <c r="Q717" s="5" t="s">
        <v>239</v>
      </c>
      <c r="R717" s="5" t="s">
        <v>240</v>
      </c>
      <c r="S717" s="5" t="s">
        <v>238</v>
      </c>
      <c r="V717" s="5" t="s">
        <v>238</v>
      </c>
      <c r="X717" s="6" t="s">
        <v>238</v>
      </c>
      <c r="AA717" s="6" t="s">
        <v>243</v>
      </c>
      <c r="AB717" s="5" t="s">
        <v>4587</v>
      </c>
      <c r="AC717" s="5" t="s">
        <v>244</v>
      </c>
      <c r="AD717" s="5" t="s">
        <v>245</v>
      </c>
      <c r="AT717" s="5" t="s">
        <v>246</v>
      </c>
      <c r="AU717" s="5" t="s">
        <v>238</v>
      </c>
      <c r="AV717" s="5" t="s">
        <v>247</v>
      </c>
      <c r="AW717" s="5" t="s">
        <v>238</v>
      </c>
      <c r="AX717" s="5" t="s">
        <v>249</v>
      </c>
      <c r="AY717" s="5" t="s">
        <v>238</v>
      </c>
      <c r="BA717" s="5" t="s">
        <v>238</v>
      </c>
      <c r="BC717" s="5" t="s">
        <v>250</v>
      </c>
      <c r="BD717" s="6" t="s">
        <v>243</v>
      </c>
      <c r="BE717" s="5" t="s">
        <v>251</v>
      </c>
      <c r="BF717" s="5" t="s">
        <v>252</v>
      </c>
      <c r="BG717" s="5" t="s">
        <v>238</v>
      </c>
      <c r="BH717" s="7">
        <f>0</f>
        <v>0</v>
      </c>
      <c r="BI717" s="8">
        <f>0</f>
        <v>0</v>
      </c>
      <c r="BJ717" s="5" t="s">
        <v>253</v>
      </c>
      <c r="BK717" s="5" t="s">
        <v>254</v>
      </c>
      <c r="BY717" s="5" t="s">
        <v>238</v>
      </c>
      <c r="BZ717" s="5" t="s">
        <v>238</v>
      </c>
      <c r="CD717" s="5" t="s">
        <v>255</v>
      </c>
      <c r="CE717" s="5" t="s">
        <v>256</v>
      </c>
      <c r="CF717" s="5" t="s">
        <v>238</v>
      </c>
      <c r="CI717" s="6" t="s">
        <v>257</v>
      </c>
      <c r="CJ717" s="5" t="s">
        <v>238</v>
      </c>
      <c r="CK717" s="5" t="s">
        <v>258</v>
      </c>
      <c r="CL717" s="5" t="s">
        <v>238</v>
      </c>
      <c r="CM717" s="5" t="s">
        <v>238</v>
      </c>
      <c r="CN717" s="5">
        <v>0</v>
      </c>
      <c r="CO717" s="5" t="s">
        <v>259</v>
      </c>
      <c r="CP717" s="5" t="s">
        <v>260</v>
      </c>
      <c r="CQ717" s="5" t="s">
        <v>260</v>
      </c>
      <c r="CR717" s="5" t="s">
        <v>261</v>
      </c>
      <c r="CU717" s="8">
        <f>114587</f>
        <v>114587</v>
      </c>
      <c r="CV717" s="8">
        <f>0</f>
        <v>0</v>
      </c>
      <c r="CX717" s="8">
        <f>0</f>
        <v>0</v>
      </c>
      <c r="CY717" s="8">
        <f>114587</f>
        <v>114587</v>
      </c>
      <c r="DA717" s="5" t="s">
        <v>356</v>
      </c>
      <c r="DB717" s="5" t="s">
        <v>238</v>
      </c>
      <c r="DD717" s="5" t="s">
        <v>533</v>
      </c>
      <c r="DE717" s="8">
        <f>10417</f>
        <v>10417</v>
      </c>
      <c r="DG717" s="5" t="s">
        <v>534</v>
      </c>
      <c r="DH717" s="5" t="s">
        <v>238</v>
      </c>
      <c r="DI717" s="5" t="s">
        <v>238</v>
      </c>
      <c r="DJ717" s="5" t="s">
        <v>238</v>
      </c>
      <c r="DN717" s="5" t="s">
        <v>238</v>
      </c>
      <c r="DO717" s="5" t="s">
        <v>238</v>
      </c>
      <c r="DP717" s="5" t="s">
        <v>238</v>
      </c>
      <c r="DQ717" s="5" t="s">
        <v>238</v>
      </c>
      <c r="DT717" s="5" t="s">
        <v>4589</v>
      </c>
      <c r="DU717" s="5" t="s">
        <v>294</v>
      </c>
      <c r="HM717" s="5" t="s">
        <v>264</v>
      </c>
    </row>
    <row r="718" spans="1:221" x14ac:dyDescent="0.4">
      <c r="A718" s="5">
        <v>1580</v>
      </c>
      <c r="B718" s="5">
        <v>1</v>
      </c>
      <c r="C718" s="5">
        <v>1</v>
      </c>
      <c r="D718" s="5" t="s">
        <v>4586</v>
      </c>
      <c r="E718" s="5" t="s">
        <v>485</v>
      </c>
      <c r="F718" s="5" t="s">
        <v>248</v>
      </c>
      <c r="G718" s="5" t="s">
        <v>4585</v>
      </c>
      <c r="H718" s="6" t="s">
        <v>5243</v>
      </c>
      <c r="I718" s="7">
        <f>8203</f>
        <v>8203</v>
      </c>
      <c r="J718" s="5" t="s">
        <v>262</v>
      </c>
      <c r="K718" s="8">
        <f>90233</f>
        <v>90233</v>
      </c>
      <c r="L718" s="6" t="s">
        <v>242</v>
      </c>
      <c r="M718" s="5" t="s">
        <v>267</v>
      </c>
      <c r="N718" s="5" t="s">
        <v>237</v>
      </c>
      <c r="O718" s="5" t="s">
        <v>238</v>
      </c>
      <c r="P718" s="5" t="s">
        <v>238</v>
      </c>
      <c r="Q718" s="5" t="s">
        <v>239</v>
      </c>
      <c r="R718" s="5" t="s">
        <v>240</v>
      </c>
      <c r="S718" s="5" t="s">
        <v>238</v>
      </c>
      <c r="V718" s="5" t="s">
        <v>238</v>
      </c>
      <c r="X718" s="6" t="s">
        <v>238</v>
      </c>
      <c r="AA718" s="6" t="s">
        <v>243</v>
      </c>
      <c r="AB718" s="5" t="s">
        <v>5242</v>
      </c>
      <c r="AC718" s="5" t="s">
        <v>244</v>
      </c>
      <c r="AD718" s="5" t="s">
        <v>245</v>
      </c>
      <c r="AT718" s="5" t="s">
        <v>246</v>
      </c>
      <c r="AU718" s="5" t="s">
        <v>238</v>
      </c>
      <c r="AV718" s="5" t="s">
        <v>247</v>
      </c>
      <c r="AW718" s="5" t="s">
        <v>238</v>
      </c>
      <c r="AX718" s="5" t="s">
        <v>249</v>
      </c>
      <c r="AY718" s="5" t="s">
        <v>238</v>
      </c>
      <c r="BA718" s="5" t="s">
        <v>238</v>
      </c>
      <c r="BC718" s="5" t="s">
        <v>250</v>
      </c>
      <c r="BD718" s="6" t="s">
        <v>243</v>
      </c>
      <c r="BE718" s="5" t="s">
        <v>251</v>
      </c>
      <c r="BF718" s="5" t="s">
        <v>252</v>
      </c>
      <c r="BG718" s="5" t="s">
        <v>238</v>
      </c>
      <c r="BH718" s="7">
        <f>0</f>
        <v>0</v>
      </c>
      <c r="BI718" s="8">
        <f>0</f>
        <v>0</v>
      </c>
      <c r="BJ718" s="5" t="s">
        <v>253</v>
      </c>
      <c r="BK718" s="5" t="s">
        <v>254</v>
      </c>
      <c r="BY718" s="5" t="s">
        <v>238</v>
      </c>
      <c r="BZ718" s="5" t="s">
        <v>238</v>
      </c>
      <c r="CD718" s="5" t="s">
        <v>255</v>
      </c>
      <c r="CE718" s="5" t="s">
        <v>256</v>
      </c>
      <c r="CF718" s="5" t="s">
        <v>238</v>
      </c>
      <c r="CI718" s="6" t="s">
        <v>257</v>
      </c>
      <c r="CJ718" s="5" t="s">
        <v>238</v>
      </c>
      <c r="CK718" s="5" t="s">
        <v>258</v>
      </c>
      <c r="CL718" s="5" t="s">
        <v>238</v>
      </c>
      <c r="CM718" s="5" t="s">
        <v>238</v>
      </c>
      <c r="CN718" s="5">
        <v>0</v>
      </c>
      <c r="CO718" s="5" t="s">
        <v>259</v>
      </c>
      <c r="CP718" s="5" t="s">
        <v>260</v>
      </c>
      <c r="CQ718" s="5" t="s">
        <v>260</v>
      </c>
      <c r="CR718" s="5" t="s">
        <v>261</v>
      </c>
      <c r="CU718" s="8">
        <f>90233</f>
        <v>90233</v>
      </c>
      <c r="CV718" s="8">
        <f>0</f>
        <v>0</v>
      </c>
      <c r="CX718" s="8">
        <f>0</f>
        <v>0</v>
      </c>
      <c r="CY718" s="8">
        <f>90233</f>
        <v>90233</v>
      </c>
      <c r="DA718" s="5" t="s">
        <v>356</v>
      </c>
      <c r="DB718" s="5" t="s">
        <v>238</v>
      </c>
      <c r="DD718" s="5" t="s">
        <v>533</v>
      </c>
      <c r="DE718" s="8">
        <f>8203</f>
        <v>8203</v>
      </c>
      <c r="DG718" s="5" t="s">
        <v>534</v>
      </c>
      <c r="DH718" s="5" t="s">
        <v>238</v>
      </c>
      <c r="DI718" s="5" t="s">
        <v>238</v>
      </c>
      <c r="DJ718" s="5" t="s">
        <v>238</v>
      </c>
      <c r="DN718" s="5" t="s">
        <v>238</v>
      </c>
      <c r="DO718" s="5" t="s">
        <v>238</v>
      </c>
      <c r="DP718" s="5" t="s">
        <v>238</v>
      </c>
      <c r="DQ718" s="5" t="s">
        <v>238</v>
      </c>
      <c r="DT718" s="5" t="s">
        <v>4589</v>
      </c>
      <c r="DU718" s="5" t="s">
        <v>806</v>
      </c>
      <c r="HM718" s="5" t="s">
        <v>264</v>
      </c>
    </row>
    <row r="719" spans="1:221" x14ac:dyDescent="0.4">
      <c r="A719" s="5">
        <v>1581</v>
      </c>
      <c r="B719" s="5">
        <v>1</v>
      </c>
      <c r="C719" s="5">
        <v>1</v>
      </c>
      <c r="D719" s="5" t="s">
        <v>484</v>
      </c>
      <c r="E719" s="5" t="s">
        <v>485</v>
      </c>
      <c r="F719" s="5" t="s">
        <v>248</v>
      </c>
      <c r="G719" s="5" t="s">
        <v>531</v>
      </c>
      <c r="H719" s="6" t="s">
        <v>5558</v>
      </c>
      <c r="I719" s="7">
        <f>1160</f>
        <v>1160</v>
      </c>
      <c r="J719" s="5" t="s">
        <v>262</v>
      </c>
      <c r="K719" s="8">
        <f>12760</f>
        <v>12760</v>
      </c>
      <c r="L719" s="6" t="s">
        <v>242</v>
      </c>
      <c r="M719" s="5" t="s">
        <v>267</v>
      </c>
      <c r="N719" s="5" t="s">
        <v>237</v>
      </c>
      <c r="O719" s="5" t="s">
        <v>238</v>
      </c>
      <c r="P719" s="5" t="s">
        <v>238</v>
      </c>
      <c r="Q719" s="5" t="s">
        <v>239</v>
      </c>
      <c r="R719" s="5" t="s">
        <v>240</v>
      </c>
      <c r="S719" s="5" t="s">
        <v>238</v>
      </c>
      <c r="V719" s="5" t="s">
        <v>238</v>
      </c>
      <c r="X719" s="6" t="s">
        <v>238</v>
      </c>
      <c r="AA719" s="6" t="s">
        <v>243</v>
      </c>
      <c r="AB719" s="5" t="s">
        <v>238</v>
      </c>
      <c r="AC719" s="5" t="s">
        <v>244</v>
      </c>
      <c r="AD719" s="5" t="s">
        <v>245</v>
      </c>
      <c r="AT719" s="5" t="s">
        <v>246</v>
      </c>
      <c r="AU719" s="5" t="s">
        <v>238</v>
      </c>
      <c r="AV719" s="5" t="s">
        <v>247</v>
      </c>
      <c r="AW719" s="5" t="s">
        <v>238</v>
      </c>
      <c r="AX719" s="5" t="s">
        <v>249</v>
      </c>
      <c r="AY719" s="5" t="s">
        <v>238</v>
      </c>
      <c r="BA719" s="5" t="s">
        <v>238</v>
      </c>
      <c r="BC719" s="5" t="s">
        <v>250</v>
      </c>
      <c r="BD719" s="6" t="s">
        <v>243</v>
      </c>
      <c r="BE719" s="5" t="s">
        <v>251</v>
      </c>
      <c r="BF719" s="5" t="s">
        <v>252</v>
      </c>
      <c r="BG719" s="5" t="s">
        <v>238</v>
      </c>
      <c r="BH719" s="7">
        <f>0</f>
        <v>0</v>
      </c>
      <c r="BI719" s="8">
        <f>0</f>
        <v>0</v>
      </c>
      <c r="BJ719" s="5" t="s">
        <v>253</v>
      </c>
      <c r="BK719" s="5" t="s">
        <v>254</v>
      </c>
      <c r="BY719" s="5" t="s">
        <v>238</v>
      </c>
      <c r="BZ719" s="5" t="s">
        <v>238</v>
      </c>
      <c r="CD719" s="5" t="s">
        <v>255</v>
      </c>
      <c r="CE719" s="5" t="s">
        <v>256</v>
      </c>
      <c r="CF719" s="5" t="s">
        <v>238</v>
      </c>
      <c r="CI719" s="6" t="s">
        <v>257</v>
      </c>
      <c r="CJ719" s="5" t="s">
        <v>238</v>
      </c>
      <c r="CK719" s="5" t="s">
        <v>258</v>
      </c>
      <c r="CL719" s="5" t="s">
        <v>238</v>
      </c>
      <c r="CM719" s="5" t="s">
        <v>238</v>
      </c>
      <c r="CN719" s="5">
        <v>0</v>
      </c>
      <c r="CO719" s="5" t="s">
        <v>259</v>
      </c>
      <c r="CP719" s="5" t="s">
        <v>260</v>
      </c>
      <c r="CQ719" s="5" t="s">
        <v>260</v>
      </c>
      <c r="CR719" s="5" t="s">
        <v>261</v>
      </c>
      <c r="CU719" s="8">
        <f>12760</f>
        <v>12760</v>
      </c>
      <c r="CV719" s="8">
        <f>0</f>
        <v>0</v>
      </c>
      <c r="CX719" s="8">
        <f>0</f>
        <v>0</v>
      </c>
      <c r="CY719" s="8">
        <f>12760</f>
        <v>12760</v>
      </c>
      <c r="DA719" s="5" t="s">
        <v>534</v>
      </c>
      <c r="DB719" s="5" t="s">
        <v>238</v>
      </c>
      <c r="DD719" s="5" t="s">
        <v>534</v>
      </c>
      <c r="DE719" s="8">
        <f>0</f>
        <v>0</v>
      </c>
      <c r="DG719" s="5" t="s">
        <v>534</v>
      </c>
      <c r="DH719" s="5" t="s">
        <v>238</v>
      </c>
      <c r="DI719" s="5" t="s">
        <v>238</v>
      </c>
      <c r="DJ719" s="5" t="s">
        <v>238</v>
      </c>
      <c r="DN719" s="5" t="s">
        <v>238</v>
      </c>
      <c r="DO719" s="5" t="s">
        <v>238</v>
      </c>
      <c r="DP719" s="5" t="s">
        <v>238</v>
      </c>
      <c r="DQ719" s="5" t="s">
        <v>238</v>
      </c>
      <c r="DT719" s="5" t="s">
        <v>5559</v>
      </c>
      <c r="DU719" s="5" t="s">
        <v>264</v>
      </c>
      <c r="HM719" s="5" t="s">
        <v>264</v>
      </c>
    </row>
    <row r="720" spans="1:221" x14ac:dyDescent="0.4">
      <c r="A720" s="5">
        <v>1582</v>
      </c>
      <c r="B720" s="5">
        <v>1</v>
      </c>
      <c r="C720" s="5">
        <v>1</v>
      </c>
      <c r="D720" s="5" t="s">
        <v>484</v>
      </c>
      <c r="E720" s="5" t="s">
        <v>485</v>
      </c>
      <c r="F720" s="5" t="s">
        <v>248</v>
      </c>
      <c r="G720" s="5" t="s">
        <v>4585</v>
      </c>
      <c r="H720" s="6" t="s">
        <v>5563</v>
      </c>
      <c r="I720" s="7">
        <f>25302</f>
        <v>25302</v>
      </c>
      <c r="J720" s="5" t="s">
        <v>262</v>
      </c>
      <c r="K720" s="8">
        <f>278322</f>
        <v>278322</v>
      </c>
      <c r="L720" s="6" t="s">
        <v>242</v>
      </c>
      <c r="M720" s="5" t="s">
        <v>267</v>
      </c>
      <c r="N720" s="5" t="s">
        <v>237</v>
      </c>
      <c r="O720" s="5" t="s">
        <v>238</v>
      </c>
      <c r="P720" s="5" t="s">
        <v>238</v>
      </c>
      <c r="Q720" s="5" t="s">
        <v>239</v>
      </c>
      <c r="R720" s="5" t="s">
        <v>240</v>
      </c>
      <c r="S720" s="5" t="s">
        <v>238</v>
      </c>
      <c r="V720" s="5" t="s">
        <v>238</v>
      </c>
      <c r="X720" s="6" t="s">
        <v>238</v>
      </c>
      <c r="AA720" s="6" t="s">
        <v>243</v>
      </c>
      <c r="AB720" s="5" t="s">
        <v>5562</v>
      </c>
      <c r="AC720" s="5" t="s">
        <v>244</v>
      </c>
      <c r="AD720" s="5" t="s">
        <v>245</v>
      </c>
      <c r="AT720" s="5" t="s">
        <v>246</v>
      </c>
      <c r="AU720" s="5" t="s">
        <v>238</v>
      </c>
      <c r="AV720" s="5" t="s">
        <v>247</v>
      </c>
      <c r="AW720" s="5" t="s">
        <v>238</v>
      </c>
      <c r="AX720" s="5" t="s">
        <v>249</v>
      </c>
      <c r="AY720" s="5" t="s">
        <v>238</v>
      </c>
      <c r="BA720" s="5" t="s">
        <v>1397</v>
      </c>
      <c r="BC720" s="5" t="s">
        <v>250</v>
      </c>
      <c r="BD720" s="6" t="s">
        <v>243</v>
      </c>
      <c r="BE720" s="5" t="s">
        <v>251</v>
      </c>
      <c r="BF720" s="5" t="s">
        <v>252</v>
      </c>
      <c r="BG720" s="5" t="s">
        <v>238</v>
      </c>
      <c r="BH720" s="7">
        <f>0</f>
        <v>0</v>
      </c>
      <c r="BI720" s="8">
        <f>0</f>
        <v>0</v>
      </c>
      <c r="BJ720" s="5" t="s">
        <v>253</v>
      </c>
      <c r="BK720" s="5" t="s">
        <v>254</v>
      </c>
      <c r="BY720" s="5" t="s">
        <v>238</v>
      </c>
      <c r="BZ720" s="5" t="s">
        <v>238</v>
      </c>
      <c r="CD720" s="5" t="s">
        <v>255</v>
      </c>
      <c r="CE720" s="5" t="s">
        <v>256</v>
      </c>
      <c r="CF720" s="5" t="s">
        <v>238</v>
      </c>
      <c r="CI720" s="6" t="s">
        <v>257</v>
      </c>
      <c r="CJ720" s="5" t="s">
        <v>238</v>
      </c>
      <c r="CK720" s="5" t="s">
        <v>258</v>
      </c>
      <c r="CL720" s="5" t="s">
        <v>238</v>
      </c>
      <c r="CM720" s="5" t="s">
        <v>238</v>
      </c>
      <c r="CN720" s="5">
        <v>0</v>
      </c>
      <c r="CO720" s="5" t="s">
        <v>259</v>
      </c>
      <c r="CP720" s="5" t="s">
        <v>260</v>
      </c>
      <c r="CQ720" s="5" t="s">
        <v>260</v>
      </c>
      <c r="CR720" s="5" t="s">
        <v>261</v>
      </c>
      <c r="CU720" s="8">
        <f>278322</f>
        <v>278322</v>
      </c>
      <c r="CV720" s="8">
        <f>0</f>
        <v>0</v>
      </c>
      <c r="CX720" s="8">
        <f>0</f>
        <v>0</v>
      </c>
      <c r="CY720" s="8">
        <f>278322</f>
        <v>278322</v>
      </c>
      <c r="DA720" s="5" t="s">
        <v>533</v>
      </c>
      <c r="DB720" s="5" t="s">
        <v>238</v>
      </c>
      <c r="DD720" s="5" t="s">
        <v>533</v>
      </c>
      <c r="DE720" s="8">
        <f>25302</f>
        <v>25302</v>
      </c>
      <c r="DF720" s="6" t="s">
        <v>3443</v>
      </c>
      <c r="DG720" s="5" t="s">
        <v>534</v>
      </c>
      <c r="DH720" s="5" t="s">
        <v>238</v>
      </c>
      <c r="DI720" s="5" t="s">
        <v>238</v>
      </c>
      <c r="DJ720" s="5" t="s">
        <v>238</v>
      </c>
      <c r="DN720" s="5" t="s">
        <v>238</v>
      </c>
      <c r="DO720" s="5" t="s">
        <v>238</v>
      </c>
      <c r="DP720" s="5" t="s">
        <v>238</v>
      </c>
      <c r="DQ720" s="5" t="s">
        <v>238</v>
      </c>
      <c r="DT720" s="5" t="s">
        <v>5564</v>
      </c>
      <c r="DU720" s="5" t="s">
        <v>264</v>
      </c>
      <c r="HM720" s="5" t="s">
        <v>264</v>
      </c>
    </row>
    <row r="721" spans="1:221" x14ac:dyDescent="0.4">
      <c r="A721" s="5">
        <v>1583</v>
      </c>
      <c r="B721" s="5">
        <v>1</v>
      </c>
      <c r="C721" s="5">
        <v>1</v>
      </c>
      <c r="D721" s="5" t="s">
        <v>484</v>
      </c>
      <c r="E721" s="5" t="s">
        <v>485</v>
      </c>
      <c r="F721" s="5" t="s">
        <v>248</v>
      </c>
      <c r="G721" s="5" t="s">
        <v>4585</v>
      </c>
      <c r="H721" s="6" t="s">
        <v>5570</v>
      </c>
      <c r="I721" s="7">
        <f>17099</f>
        <v>17099</v>
      </c>
      <c r="J721" s="5" t="s">
        <v>262</v>
      </c>
      <c r="K721" s="8">
        <f>188089</f>
        <v>188089</v>
      </c>
      <c r="L721" s="6" t="s">
        <v>242</v>
      </c>
      <c r="M721" s="5" t="s">
        <v>267</v>
      </c>
      <c r="N721" s="5" t="s">
        <v>237</v>
      </c>
      <c r="O721" s="5" t="s">
        <v>238</v>
      </c>
      <c r="P721" s="5" t="s">
        <v>238</v>
      </c>
      <c r="Q721" s="5" t="s">
        <v>239</v>
      </c>
      <c r="R721" s="5" t="s">
        <v>240</v>
      </c>
      <c r="S721" s="5" t="s">
        <v>238</v>
      </c>
      <c r="V721" s="5" t="s">
        <v>238</v>
      </c>
      <c r="X721" s="6" t="s">
        <v>238</v>
      </c>
      <c r="AA721" s="6" t="s">
        <v>243</v>
      </c>
      <c r="AB721" s="5" t="s">
        <v>5569</v>
      </c>
      <c r="AC721" s="5" t="s">
        <v>244</v>
      </c>
      <c r="AD721" s="5" t="s">
        <v>245</v>
      </c>
      <c r="AT721" s="5" t="s">
        <v>246</v>
      </c>
      <c r="AU721" s="5" t="s">
        <v>238</v>
      </c>
      <c r="AV721" s="5" t="s">
        <v>247</v>
      </c>
      <c r="AW721" s="5" t="s">
        <v>238</v>
      </c>
      <c r="AX721" s="5" t="s">
        <v>249</v>
      </c>
      <c r="AY721" s="5" t="s">
        <v>238</v>
      </c>
      <c r="BA721" s="5" t="s">
        <v>238</v>
      </c>
      <c r="BC721" s="5" t="s">
        <v>250</v>
      </c>
      <c r="BD721" s="6" t="s">
        <v>243</v>
      </c>
      <c r="BE721" s="5" t="s">
        <v>251</v>
      </c>
      <c r="BF721" s="5" t="s">
        <v>252</v>
      </c>
      <c r="BG721" s="5" t="s">
        <v>238</v>
      </c>
      <c r="BH721" s="7">
        <f>0</f>
        <v>0</v>
      </c>
      <c r="BI721" s="8">
        <f>0</f>
        <v>0</v>
      </c>
      <c r="BJ721" s="5" t="s">
        <v>253</v>
      </c>
      <c r="BK721" s="5" t="s">
        <v>254</v>
      </c>
      <c r="BY721" s="5" t="s">
        <v>238</v>
      </c>
      <c r="BZ721" s="5" t="s">
        <v>238</v>
      </c>
      <c r="CD721" s="5" t="s">
        <v>255</v>
      </c>
      <c r="CE721" s="5" t="s">
        <v>256</v>
      </c>
      <c r="CF721" s="5" t="s">
        <v>238</v>
      </c>
      <c r="CI721" s="6" t="s">
        <v>257</v>
      </c>
      <c r="CJ721" s="5" t="s">
        <v>238</v>
      </c>
      <c r="CK721" s="5" t="s">
        <v>258</v>
      </c>
      <c r="CL721" s="5" t="s">
        <v>238</v>
      </c>
      <c r="CM721" s="5" t="s">
        <v>238</v>
      </c>
      <c r="CN721" s="5">
        <v>0</v>
      </c>
      <c r="CO721" s="5" t="s">
        <v>259</v>
      </c>
      <c r="CP721" s="5" t="s">
        <v>260</v>
      </c>
      <c r="CQ721" s="5" t="s">
        <v>260</v>
      </c>
      <c r="CR721" s="5" t="s">
        <v>261</v>
      </c>
      <c r="CU721" s="8">
        <f>188089</f>
        <v>188089</v>
      </c>
      <c r="CV721" s="8">
        <f>0</f>
        <v>0</v>
      </c>
      <c r="CX721" s="8">
        <f>0</f>
        <v>0</v>
      </c>
      <c r="CY721" s="8">
        <f>188089</f>
        <v>188089</v>
      </c>
      <c r="DA721" s="5" t="s">
        <v>533</v>
      </c>
      <c r="DB721" s="5" t="s">
        <v>238</v>
      </c>
      <c r="DD721" s="5" t="s">
        <v>533</v>
      </c>
      <c r="DE721" s="8">
        <f>17099</f>
        <v>17099</v>
      </c>
      <c r="DF721" s="6" t="s">
        <v>3443</v>
      </c>
      <c r="DG721" s="5" t="s">
        <v>534</v>
      </c>
      <c r="DH721" s="5" t="s">
        <v>238</v>
      </c>
      <c r="DI721" s="5" t="s">
        <v>238</v>
      </c>
      <c r="DJ721" s="5" t="s">
        <v>238</v>
      </c>
      <c r="DN721" s="5" t="s">
        <v>238</v>
      </c>
      <c r="DO721" s="5" t="s">
        <v>238</v>
      </c>
      <c r="DP721" s="5" t="s">
        <v>238</v>
      </c>
      <c r="DQ721" s="5" t="s">
        <v>238</v>
      </c>
      <c r="DT721" s="5" t="s">
        <v>5564</v>
      </c>
      <c r="DU721" s="5" t="s">
        <v>294</v>
      </c>
      <c r="HM721" s="5" t="s">
        <v>264</v>
      </c>
    </row>
    <row r="722" spans="1:221" x14ac:dyDescent="0.4">
      <c r="A722" s="5">
        <v>1584</v>
      </c>
      <c r="B722" s="5">
        <v>1</v>
      </c>
      <c r="C722" s="5">
        <v>1</v>
      </c>
      <c r="D722" s="5" t="s">
        <v>484</v>
      </c>
      <c r="E722" s="5" t="s">
        <v>485</v>
      </c>
      <c r="F722" s="5" t="s">
        <v>248</v>
      </c>
      <c r="G722" s="5" t="s">
        <v>4585</v>
      </c>
      <c r="H722" s="6" t="s">
        <v>5573</v>
      </c>
      <c r="I722" s="7">
        <f>6249</f>
        <v>6249</v>
      </c>
      <c r="J722" s="5" t="s">
        <v>262</v>
      </c>
      <c r="K722" s="8">
        <f>68739</f>
        <v>68739</v>
      </c>
      <c r="L722" s="6" t="s">
        <v>242</v>
      </c>
      <c r="M722" s="5" t="s">
        <v>267</v>
      </c>
      <c r="N722" s="5" t="s">
        <v>237</v>
      </c>
      <c r="O722" s="5" t="s">
        <v>238</v>
      </c>
      <c r="P722" s="5" t="s">
        <v>238</v>
      </c>
      <c r="Q722" s="5" t="s">
        <v>239</v>
      </c>
      <c r="R722" s="5" t="s">
        <v>240</v>
      </c>
      <c r="S722" s="5" t="s">
        <v>238</v>
      </c>
      <c r="V722" s="5" t="s">
        <v>238</v>
      </c>
      <c r="X722" s="6" t="s">
        <v>238</v>
      </c>
      <c r="AA722" s="6" t="s">
        <v>243</v>
      </c>
      <c r="AB722" s="5" t="s">
        <v>5572</v>
      </c>
      <c r="AC722" s="5" t="s">
        <v>244</v>
      </c>
      <c r="AD722" s="5" t="s">
        <v>245</v>
      </c>
      <c r="AT722" s="5" t="s">
        <v>246</v>
      </c>
      <c r="AU722" s="5" t="s">
        <v>238</v>
      </c>
      <c r="AV722" s="5" t="s">
        <v>247</v>
      </c>
      <c r="AW722" s="5" t="s">
        <v>238</v>
      </c>
      <c r="AX722" s="5" t="s">
        <v>249</v>
      </c>
      <c r="AY722" s="5" t="s">
        <v>238</v>
      </c>
      <c r="BA722" s="5" t="s">
        <v>238</v>
      </c>
      <c r="BC722" s="5" t="s">
        <v>250</v>
      </c>
      <c r="BD722" s="6" t="s">
        <v>243</v>
      </c>
      <c r="BE722" s="5" t="s">
        <v>251</v>
      </c>
      <c r="BF722" s="5" t="s">
        <v>252</v>
      </c>
      <c r="BG722" s="5" t="s">
        <v>238</v>
      </c>
      <c r="BH722" s="7">
        <f>0</f>
        <v>0</v>
      </c>
      <c r="BI722" s="8">
        <f>0</f>
        <v>0</v>
      </c>
      <c r="BJ722" s="5" t="s">
        <v>253</v>
      </c>
      <c r="BK722" s="5" t="s">
        <v>254</v>
      </c>
      <c r="BY722" s="5" t="s">
        <v>238</v>
      </c>
      <c r="BZ722" s="5" t="s">
        <v>238</v>
      </c>
      <c r="CD722" s="5" t="s">
        <v>255</v>
      </c>
      <c r="CE722" s="5" t="s">
        <v>256</v>
      </c>
      <c r="CF722" s="5" t="s">
        <v>238</v>
      </c>
      <c r="CI722" s="6" t="s">
        <v>257</v>
      </c>
      <c r="CJ722" s="5" t="s">
        <v>238</v>
      </c>
      <c r="CK722" s="5" t="s">
        <v>258</v>
      </c>
      <c r="CL722" s="5" t="s">
        <v>238</v>
      </c>
      <c r="CM722" s="5" t="s">
        <v>238</v>
      </c>
      <c r="CN722" s="5">
        <v>0</v>
      </c>
      <c r="CO722" s="5" t="s">
        <v>259</v>
      </c>
      <c r="CP722" s="5" t="s">
        <v>260</v>
      </c>
      <c r="CQ722" s="5" t="s">
        <v>260</v>
      </c>
      <c r="CR722" s="5" t="s">
        <v>261</v>
      </c>
      <c r="CU722" s="8">
        <f>68739</f>
        <v>68739</v>
      </c>
      <c r="CV722" s="8">
        <f>0</f>
        <v>0</v>
      </c>
      <c r="CX722" s="8">
        <f>0</f>
        <v>0</v>
      </c>
      <c r="CY722" s="8">
        <f>68739</f>
        <v>68739</v>
      </c>
      <c r="DA722" s="5" t="s">
        <v>533</v>
      </c>
      <c r="DB722" s="5" t="s">
        <v>238</v>
      </c>
      <c r="DD722" s="5" t="s">
        <v>533</v>
      </c>
      <c r="DE722" s="8">
        <f>6249</f>
        <v>6249</v>
      </c>
      <c r="DF722" s="6" t="s">
        <v>5574</v>
      </c>
      <c r="DG722" s="5" t="s">
        <v>534</v>
      </c>
      <c r="DH722" s="5" t="s">
        <v>238</v>
      </c>
      <c r="DI722" s="5" t="s">
        <v>238</v>
      </c>
      <c r="DJ722" s="5" t="s">
        <v>238</v>
      </c>
      <c r="DN722" s="5" t="s">
        <v>238</v>
      </c>
      <c r="DO722" s="5" t="s">
        <v>238</v>
      </c>
      <c r="DP722" s="5" t="s">
        <v>238</v>
      </c>
      <c r="DQ722" s="5" t="s">
        <v>238</v>
      </c>
      <c r="DT722" s="5" t="s">
        <v>5564</v>
      </c>
      <c r="DU722" s="5" t="s">
        <v>806</v>
      </c>
      <c r="HM722" s="5" t="s">
        <v>264</v>
      </c>
    </row>
    <row r="723" spans="1:221" x14ac:dyDescent="0.4">
      <c r="A723" s="5">
        <v>1585</v>
      </c>
      <c r="B723" s="5">
        <v>1</v>
      </c>
      <c r="C723" s="5">
        <v>1</v>
      </c>
      <c r="D723" s="5" t="s">
        <v>484</v>
      </c>
      <c r="E723" s="5" t="s">
        <v>485</v>
      </c>
      <c r="F723" s="5" t="s">
        <v>248</v>
      </c>
      <c r="G723" s="5" t="s">
        <v>4585</v>
      </c>
      <c r="H723" s="6" t="s">
        <v>5578</v>
      </c>
      <c r="I723" s="7">
        <f>1801</f>
        <v>1801</v>
      </c>
      <c r="J723" s="5" t="s">
        <v>262</v>
      </c>
      <c r="K723" s="8">
        <f>19811</f>
        <v>19811</v>
      </c>
      <c r="L723" s="6" t="s">
        <v>242</v>
      </c>
      <c r="M723" s="5" t="s">
        <v>267</v>
      </c>
      <c r="N723" s="5" t="s">
        <v>237</v>
      </c>
      <c r="O723" s="5" t="s">
        <v>238</v>
      </c>
      <c r="P723" s="5" t="s">
        <v>238</v>
      </c>
      <c r="Q723" s="5" t="s">
        <v>239</v>
      </c>
      <c r="R723" s="5" t="s">
        <v>240</v>
      </c>
      <c r="S723" s="5" t="s">
        <v>238</v>
      </c>
      <c r="V723" s="5" t="s">
        <v>238</v>
      </c>
      <c r="X723" s="6" t="s">
        <v>238</v>
      </c>
      <c r="AA723" s="6" t="s">
        <v>243</v>
      </c>
      <c r="AB723" s="5" t="s">
        <v>5577</v>
      </c>
      <c r="AC723" s="5" t="s">
        <v>244</v>
      </c>
      <c r="AD723" s="5" t="s">
        <v>245</v>
      </c>
      <c r="AT723" s="5" t="s">
        <v>246</v>
      </c>
      <c r="AU723" s="5" t="s">
        <v>238</v>
      </c>
      <c r="AV723" s="5" t="s">
        <v>247</v>
      </c>
      <c r="AW723" s="5" t="s">
        <v>238</v>
      </c>
      <c r="AX723" s="5" t="s">
        <v>249</v>
      </c>
      <c r="AY723" s="5" t="s">
        <v>238</v>
      </c>
      <c r="BA723" s="5" t="s">
        <v>238</v>
      </c>
      <c r="BC723" s="5" t="s">
        <v>250</v>
      </c>
      <c r="BD723" s="6" t="s">
        <v>243</v>
      </c>
      <c r="BE723" s="5" t="s">
        <v>251</v>
      </c>
      <c r="BF723" s="5" t="s">
        <v>252</v>
      </c>
      <c r="BG723" s="5" t="s">
        <v>238</v>
      </c>
      <c r="BH723" s="7">
        <f>0</f>
        <v>0</v>
      </c>
      <c r="BI723" s="8">
        <f>0</f>
        <v>0</v>
      </c>
      <c r="BJ723" s="5" t="s">
        <v>253</v>
      </c>
      <c r="BK723" s="5" t="s">
        <v>254</v>
      </c>
      <c r="BY723" s="5" t="s">
        <v>238</v>
      </c>
      <c r="BZ723" s="5" t="s">
        <v>238</v>
      </c>
      <c r="CD723" s="5" t="s">
        <v>255</v>
      </c>
      <c r="CE723" s="5" t="s">
        <v>256</v>
      </c>
      <c r="CF723" s="5" t="s">
        <v>238</v>
      </c>
      <c r="CI723" s="6" t="s">
        <v>257</v>
      </c>
      <c r="CJ723" s="5" t="s">
        <v>238</v>
      </c>
      <c r="CK723" s="5" t="s">
        <v>258</v>
      </c>
      <c r="CL723" s="5" t="s">
        <v>238</v>
      </c>
      <c r="CM723" s="5" t="s">
        <v>238</v>
      </c>
      <c r="CN723" s="5">
        <v>0</v>
      </c>
      <c r="CO723" s="5" t="s">
        <v>259</v>
      </c>
      <c r="CP723" s="5" t="s">
        <v>260</v>
      </c>
      <c r="CQ723" s="5" t="s">
        <v>260</v>
      </c>
      <c r="CR723" s="5" t="s">
        <v>261</v>
      </c>
      <c r="CU723" s="8">
        <f>19811</f>
        <v>19811</v>
      </c>
      <c r="CV723" s="8">
        <f>0</f>
        <v>0</v>
      </c>
      <c r="CX723" s="8">
        <f>0</f>
        <v>0</v>
      </c>
      <c r="CY723" s="8">
        <f>19811</f>
        <v>19811</v>
      </c>
      <c r="DA723" s="5" t="s">
        <v>533</v>
      </c>
      <c r="DB723" s="5" t="s">
        <v>238</v>
      </c>
      <c r="DD723" s="5" t="s">
        <v>533</v>
      </c>
      <c r="DE723" s="8">
        <f>1801</f>
        <v>1801</v>
      </c>
      <c r="DF723" s="6" t="s">
        <v>5579</v>
      </c>
      <c r="DG723" s="5" t="s">
        <v>534</v>
      </c>
      <c r="DH723" s="5" t="s">
        <v>238</v>
      </c>
      <c r="DI723" s="5" t="s">
        <v>238</v>
      </c>
      <c r="DJ723" s="5" t="s">
        <v>238</v>
      </c>
      <c r="DN723" s="5" t="s">
        <v>238</v>
      </c>
      <c r="DO723" s="5" t="s">
        <v>238</v>
      </c>
      <c r="DP723" s="5" t="s">
        <v>238</v>
      </c>
      <c r="DQ723" s="5" t="s">
        <v>238</v>
      </c>
      <c r="DT723" s="5" t="s">
        <v>5564</v>
      </c>
      <c r="DU723" s="5" t="s">
        <v>854</v>
      </c>
      <c r="HM723" s="5" t="s">
        <v>264</v>
      </c>
    </row>
    <row r="724" spans="1:221" x14ac:dyDescent="0.4">
      <c r="A724" s="5">
        <v>1586</v>
      </c>
      <c r="B724" s="5">
        <v>1</v>
      </c>
      <c r="C724" s="5">
        <v>1</v>
      </c>
      <c r="D724" s="5" t="s">
        <v>4586</v>
      </c>
      <c r="E724" s="5" t="s">
        <v>289</v>
      </c>
      <c r="F724" s="5" t="s">
        <v>248</v>
      </c>
      <c r="G724" s="5" t="s">
        <v>4585</v>
      </c>
      <c r="H724" s="6" t="s">
        <v>4594</v>
      </c>
      <c r="I724" s="7">
        <f>7878</f>
        <v>7878</v>
      </c>
      <c r="J724" s="5" t="s">
        <v>262</v>
      </c>
      <c r="K724" s="8">
        <f>17449770</f>
        <v>17449770</v>
      </c>
      <c r="L724" s="6" t="s">
        <v>242</v>
      </c>
      <c r="M724" s="5" t="s">
        <v>267</v>
      </c>
      <c r="N724" s="5" t="s">
        <v>237</v>
      </c>
      <c r="O724" s="5" t="s">
        <v>238</v>
      </c>
      <c r="P724" s="5" t="s">
        <v>238</v>
      </c>
      <c r="Q724" s="5" t="s">
        <v>239</v>
      </c>
      <c r="R724" s="5" t="s">
        <v>240</v>
      </c>
      <c r="S724" s="5" t="s">
        <v>238</v>
      </c>
      <c r="V724" s="5" t="s">
        <v>238</v>
      </c>
      <c r="X724" s="6" t="s">
        <v>238</v>
      </c>
      <c r="AA724" s="6" t="s">
        <v>243</v>
      </c>
      <c r="AB724" s="5" t="s">
        <v>4593</v>
      </c>
      <c r="AC724" s="5" t="s">
        <v>244</v>
      </c>
      <c r="AD724" s="5" t="s">
        <v>245</v>
      </c>
      <c r="AT724" s="5" t="s">
        <v>246</v>
      </c>
      <c r="AU724" s="5" t="s">
        <v>238</v>
      </c>
      <c r="AV724" s="5" t="s">
        <v>247</v>
      </c>
      <c r="AW724" s="5" t="s">
        <v>238</v>
      </c>
      <c r="AX724" s="5" t="s">
        <v>249</v>
      </c>
      <c r="AY724" s="5" t="s">
        <v>238</v>
      </c>
      <c r="BA724" s="5" t="s">
        <v>238</v>
      </c>
      <c r="BC724" s="5" t="s">
        <v>250</v>
      </c>
      <c r="BD724" s="6" t="s">
        <v>243</v>
      </c>
      <c r="BE724" s="5" t="s">
        <v>251</v>
      </c>
      <c r="BF724" s="5" t="s">
        <v>252</v>
      </c>
      <c r="BG724" s="5" t="s">
        <v>238</v>
      </c>
      <c r="BH724" s="7">
        <f>0</f>
        <v>0</v>
      </c>
      <c r="BI724" s="8">
        <f>0</f>
        <v>0</v>
      </c>
      <c r="BJ724" s="5" t="s">
        <v>253</v>
      </c>
      <c r="BK724" s="5" t="s">
        <v>254</v>
      </c>
      <c r="BY724" s="5" t="s">
        <v>238</v>
      </c>
      <c r="BZ724" s="5" t="s">
        <v>238</v>
      </c>
      <c r="CD724" s="5" t="s">
        <v>255</v>
      </c>
      <c r="CE724" s="5" t="s">
        <v>256</v>
      </c>
      <c r="CF724" s="5" t="s">
        <v>238</v>
      </c>
      <c r="CI724" s="6" t="s">
        <v>257</v>
      </c>
      <c r="CJ724" s="5" t="s">
        <v>238</v>
      </c>
      <c r="CK724" s="5" t="s">
        <v>258</v>
      </c>
      <c r="CL724" s="5" t="s">
        <v>238</v>
      </c>
      <c r="CM724" s="5" t="s">
        <v>238</v>
      </c>
      <c r="CN724" s="5">
        <v>0</v>
      </c>
      <c r="CO724" s="5" t="s">
        <v>259</v>
      </c>
      <c r="CP724" s="5" t="s">
        <v>260</v>
      </c>
      <c r="CQ724" s="5" t="s">
        <v>260</v>
      </c>
      <c r="CR724" s="5" t="s">
        <v>261</v>
      </c>
      <c r="CU724" s="8">
        <f>17449770</f>
        <v>17449770</v>
      </c>
      <c r="CV724" s="8">
        <f>0</f>
        <v>0</v>
      </c>
      <c r="CX724" s="8">
        <f>0</f>
        <v>0</v>
      </c>
      <c r="CY724" s="8">
        <f>17449770</f>
        <v>17449770</v>
      </c>
      <c r="DA724" s="5" t="s">
        <v>389</v>
      </c>
      <c r="DB724" s="5" t="s">
        <v>238</v>
      </c>
      <c r="DD724" s="5" t="s">
        <v>533</v>
      </c>
      <c r="DE724" s="8">
        <f>7878</f>
        <v>7878</v>
      </c>
      <c r="DG724" s="5" t="s">
        <v>389</v>
      </c>
      <c r="DH724" s="5" t="s">
        <v>238</v>
      </c>
      <c r="DI724" s="5" t="s">
        <v>238</v>
      </c>
      <c r="DJ724" s="5" t="s">
        <v>238</v>
      </c>
      <c r="DN724" s="5" t="s">
        <v>238</v>
      </c>
      <c r="DO724" s="5" t="s">
        <v>238</v>
      </c>
      <c r="DP724" s="5" t="s">
        <v>238</v>
      </c>
      <c r="DQ724" s="5" t="s">
        <v>238</v>
      </c>
      <c r="DT724" s="5" t="s">
        <v>4595</v>
      </c>
      <c r="DU724" s="5" t="s">
        <v>264</v>
      </c>
      <c r="HM724" s="5" t="s">
        <v>264</v>
      </c>
    </row>
    <row r="725" spans="1:221" x14ac:dyDescent="0.4">
      <c r="A725" s="5">
        <v>1587</v>
      </c>
      <c r="B725" s="5">
        <v>1</v>
      </c>
      <c r="C725" s="5">
        <v>1</v>
      </c>
      <c r="D725" s="5" t="s">
        <v>5839</v>
      </c>
      <c r="E725" s="5" t="s">
        <v>475</v>
      </c>
      <c r="F725" s="5" t="s">
        <v>248</v>
      </c>
      <c r="G725" s="5" t="s">
        <v>5842</v>
      </c>
      <c r="H725" s="6" t="s">
        <v>5843</v>
      </c>
      <c r="I725" s="7">
        <f>5396.26</f>
        <v>5396.26</v>
      </c>
      <c r="J725" s="5" t="s">
        <v>262</v>
      </c>
      <c r="K725" s="8">
        <f>15445324</f>
        <v>15445324</v>
      </c>
      <c r="L725" s="6" t="s">
        <v>4412</v>
      </c>
      <c r="M725" s="5" t="s">
        <v>267</v>
      </c>
      <c r="N725" s="5" t="s">
        <v>237</v>
      </c>
      <c r="O725" s="5" t="s">
        <v>238</v>
      </c>
      <c r="P725" s="5" t="s">
        <v>238</v>
      </c>
      <c r="Q725" s="5" t="s">
        <v>239</v>
      </c>
      <c r="R725" s="5" t="s">
        <v>240</v>
      </c>
      <c r="S725" s="5" t="s">
        <v>238</v>
      </c>
      <c r="V725" s="5" t="s">
        <v>238</v>
      </c>
      <c r="X725" s="6" t="s">
        <v>238</v>
      </c>
      <c r="AA725" s="6" t="s">
        <v>243</v>
      </c>
      <c r="AB725" s="5" t="s">
        <v>238</v>
      </c>
      <c r="AC725" s="5" t="s">
        <v>244</v>
      </c>
      <c r="AD725" s="5" t="s">
        <v>245</v>
      </c>
      <c r="AT725" s="5" t="s">
        <v>246</v>
      </c>
      <c r="AU725" s="5" t="s">
        <v>238</v>
      </c>
      <c r="AV725" s="5" t="s">
        <v>247</v>
      </c>
      <c r="AW725" s="5" t="s">
        <v>238</v>
      </c>
      <c r="AX725" s="5" t="s">
        <v>249</v>
      </c>
      <c r="AY725" s="5" t="s">
        <v>238</v>
      </c>
      <c r="BA725" s="5" t="s">
        <v>1397</v>
      </c>
      <c r="BC725" s="5" t="s">
        <v>250</v>
      </c>
      <c r="BD725" s="6" t="s">
        <v>243</v>
      </c>
      <c r="BE725" s="5" t="s">
        <v>251</v>
      </c>
      <c r="BF725" s="5" t="s">
        <v>252</v>
      </c>
      <c r="BG725" s="5" t="s">
        <v>238</v>
      </c>
      <c r="BH725" s="7">
        <f>0</f>
        <v>0</v>
      </c>
      <c r="BI725" s="8">
        <f>0</f>
        <v>0</v>
      </c>
      <c r="BJ725" s="5" t="s">
        <v>253</v>
      </c>
      <c r="BK725" s="5" t="s">
        <v>254</v>
      </c>
      <c r="BY725" s="5" t="s">
        <v>238</v>
      </c>
      <c r="BZ725" s="5" t="s">
        <v>238</v>
      </c>
      <c r="CD725" s="5" t="s">
        <v>293</v>
      </c>
      <c r="CE725" s="5" t="s">
        <v>256</v>
      </c>
      <c r="CF725" s="5" t="s">
        <v>238</v>
      </c>
      <c r="CI725" s="6" t="s">
        <v>257</v>
      </c>
      <c r="CJ725" s="5" t="s">
        <v>238</v>
      </c>
      <c r="CK725" s="5" t="s">
        <v>258</v>
      </c>
      <c r="CL725" s="5" t="s">
        <v>238</v>
      </c>
      <c r="CM725" s="5" t="s">
        <v>238</v>
      </c>
      <c r="CN725" s="5">
        <v>0</v>
      </c>
      <c r="CO725" s="5" t="s">
        <v>259</v>
      </c>
      <c r="CP725" s="5" t="s">
        <v>260</v>
      </c>
      <c r="CQ725" s="5" t="s">
        <v>260</v>
      </c>
      <c r="CR725" s="5" t="s">
        <v>261</v>
      </c>
      <c r="CU725" s="8">
        <f>15445324</f>
        <v>15445324</v>
      </c>
      <c r="CV725" s="8">
        <f>0</f>
        <v>0</v>
      </c>
      <c r="CX725" s="8">
        <f>0</f>
        <v>0</v>
      </c>
      <c r="CY725" s="8">
        <f>15445324</f>
        <v>15445324</v>
      </c>
      <c r="DA725" s="5" t="s">
        <v>389</v>
      </c>
      <c r="DB725" s="5" t="s">
        <v>238</v>
      </c>
      <c r="DD725" s="5" t="s">
        <v>389</v>
      </c>
      <c r="DE725" s="8">
        <f>5396</f>
        <v>5396</v>
      </c>
      <c r="DF725" s="6" t="s">
        <v>3443</v>
      </c>
      <c r="DG725" s="5" t="s">
        <v>389</v>
      </c>
      <c r="DH725" s="5" t="s">
        <v>238</v>
      </c>
      <c r="DI725" s="5" t="s">
        <v>238</v>
      </c>
      <c r="DJ725" s="5" t="s">
        <v>238</v>
      </c>
      <c r="DN725" s="5" t="s">
        <v>238</v>
      </c>
      <c r="DO725" s="5" t="s">
        <v>238</v>
      </c>
      <c r="DP725" s="5" t="s">
        <v>238</v>
      </c>
      <c r="DQ725" s="5" t="s">
        <v>238</v>
      </c>
      <c r="DT725" s="5" t="s">
        <v>5844</v>
      </c>
      <c r="DU725" s="5" t="s">
        <v>264</v>
      </c>
      <c r="HM725" s="5" t="s">
        <v>264</v>
      </c>
    </row>
    <row r="726" spans="1:221" x14ac:dyDescent="0.4">
      <c r="A726" s="5">
        <v>1588</v>
      </c>
      <c r="B726" s="5">
        <v>1</v>
      </c>
      <c r="C726" s="5">
        <v>1</v>
      </c>
      <c r="D726" s="5" t="s">
        <v>4576</v>
      </c>
      <c r="E726" s="5" t="s">
        <v>475</v>
      </c>
      <c r="F726" s="5" t="s">
        <v>248</v>
      </c>
      <c r="G726" s="5" t="s">
        <v>4575</v>
      </c>
      <c r="H726" s="6" t="s">
        <v>4578</v>
      </c>
      <c r="I726" s="7">
        <f>1298.33</f>
        <v>1298.33</v>
      </c>
      <c r="J726" s="5" t="s">
        <v>262</v>
      </c>
      <c r="K726" s="8">
        <f>7974342</f>
        <v>7974342</v>
      </c>
      <c r="L726" s="6" t="s">
        <v>4577</v>
      </c>
      <c r="M726" s="5" t="s">
        <v>267</v>
      </c>
      <c r="N726" s="5" t="s">
        <v>237</v>
      </c>
      <c r="O726" s="5" t="s">
        <v>238</v>
      </c>
      <c r="P726" s="5" t="s">
        <v>238</v>
      </c>
      <c r="Q726" s="5" t="s">
        <v>239</v>
      </c>
      <c r="R726" s="5" t="s">
        <v>270</v>
      </c>
      <c r="S726" s="5" t="s">
        <v>238</v>
      </c>
      <c r="V726" s="5" t="s">
        <v>238</v>
      </c>
      <c r="X726" s="6" t="s">
        <v>238</v>
      </c>
      <c r="AA726" s="6" t="s">
        <v>243</v>
      </c>
      <c r="AB726" s="5" t="s">
        <v>238</v>
      </c>
      <c r="AC726" s="5" t="s">
        <v>244</v>
      </c>
      <c r="AD726" s="5" t="s">
        <v>245</v>
      </c>
      <c r="AT726" s="5" t="s">
        <v>246</v>
      </c>
      <c r="AU726" s="5" t="s">
        <v>238</v>
      </c>
      <c r="AV726" s="5" t="s">
        <v>247</v>
      </c>
      <c r="AW726" s="5" t="s">
        <v>238</v>
      </c>
      <c r="AX726" s="5" t="s">
        <v>249</v>
      </c>
      <c r="AY726" s="5" t="s">
        <v>238</v>
      </c>
      <c r="BA726" s="5" t="s">
        <v>1397</v>
      </c>
      <c r="BC726" s="5" t="s">
        <v>250</v>
      </c>
      <c r="BD726" s="6" t="s">
        <v>243</v>
      </c>
      <c r="BE726" s="5" t="s">
        <v>251</v>
      </c>
      <c r="BF726" s="5" t="s">
        <v>252</v>
      </c>
      <c r="BG726" s="5" t="s">
        <v>238</v>
      </c>
      <c r="BH726" s="7">
        <f>0</f>
        <v>0</v>
      </c>
      <c r="BI726" s="8">
        <f>0</f>
        <v>0</v>
      </c>
      <c r="BJ726" s="5" t="s">
        <v>253</v>
      </c>
      <c r="BK726" s="5" t="s">
        <v>254</v>
      </c>
      <c r="BY726" s="5" t="s">
        <v>238</v>
      </c>
      <c r="BZ726" s="5" t="s">
        <v>238</v>
      </c>
      <c r="CD726" s="5" t="s">
        <v>293</v>
      </c>
      <c r="CE726" s="5" t="s">
        <v>256</v>
      </c>
      <c r="CF726" s="5" t="s">
        <v>238</v>
      </c>
      <c r="CI726" s="6" t="s">
        <v>257</v>
      </c>
      <c r="CJ726" s="5" t="s">
        <v>238</v>
      </c>
      <c r="CK726" s="5" t="s">
        <v>258</v>
      </c>
      <c r="CL726" s="5" t="s">
        <v>238</v>
      </c>
      <c r="CM726" s="5" t="s">
        <v>238</v>
      </c>
      <c r="CN726" s="5">
        <v>0</v>
      </c>
      <c r="CO726" s="5" t="s">
        <v>259</v>
      </c>
      <c r="CP726" s="5" t="s">
        <v>260</v>
      </c>
      <c r="CQ726" s="5" t="s">
        <v>260</v>
      </c>
      <c r="CR726" s="5" t="s">
        <v>261</v>
      </c>
      <c r="CU726" s="8">
        <f>7974342</f>
        <v>7974342</v>
      </c>
      <c r="CV726" s="8">
        <f>0</f>
        <v>0</v>
      </c>
      <c r="CX726" s="8">
        <f>0</f>
        <v>0</v>
      </c>
      <c r="CY726" s="8">
        <f>7974342</f>
        <v>7974342</v>
      </c>
      <c r="DA726" s="5" t="s">
        <v>263</v>
      </c>
      <c r="DB726" s="5" t="s">
        <v>238</v>
      </c>
      <c r="DD726" s="5" t="s">
        <v>263</v>
      </c>
      <c r="DE726" s="8">
        <f>1298.33</f>
        <v>1298.33</v>
      </c>
      <c r="DF726" s="6" t="s">
        <v>3443</v>
      </c>
      <c r="DG726" s="5" t="s">
        <v>263</v>
      </c>
      <c r="DH726" s="5" t="s">
        <v>238</v>
      </c>
      <c r="DI726" s="5" t="s">
        <v>238</v>
      </c>
      <c r="DJ726" s="5" t="s">
        <v>238</v>
      </c>
      <c r="DN726" s="5" t="s">
        <v>238</v>
      </c>
      <c r="DO726" s="5" t="s">
        <v>238</v>
      </c>
      <c r="DP726" s="5" t="s">
        <v>238</v>
      </c>
      <c r="DQ726" s="5" t="s">
        <v>238</v>
      </c>
      <c r="DT726" s="5" t="s">
        <v>4579</v>
      </c>
      <c r="DU726" s="5" t="s">
        <v>264</v>
      </c>
      <c r="HM726" s="5" t="s">
        <v>264</v>
      </c>
    </row>
    <row r="727" spans="1:221" x14ac:dyDescent="0.4">
      <c r="A727" s="5">
        <v>1589</v>
      </c>
      <c r="B727" s="5">
        <v>1</v>
      </c>
      <c r="C727" s="5">
        <v>1</v>
      </c>
      <c r="D727" s="5" t="s">
        <v>5281</v>
      </c>
      <c r="E727" s="5" t="s">
        <v>475</v>
      </c>
      <c r="F727" s="5" t="s">
        <v>248</v>
      </c>
      <c r="G727" s="5" t="s">
        <v>5280</v>
      </c>
      <c r="H727" s="6" t="s">
        <v>3871</v>
      </c>
      <c r="I727" s="7">
        <f>690</f>
        <v>690</v>
      </c>
      <c r="J727" s="5" t="s">
        <v>262</v>
      </c>
      <c r="K727" s="8">
        <f>1528350</f>
        <v>1528350</v>
      </c>
      <c r="L727" s="6" t="s">
        <v>5282</v>
      </c>
      <c r="M727" s="5" t="s">
        <v>267</v>
      </c>
      <c r="N727" s="5" t="s">
        <v>237</v>
      </c>
      <c r="O727" s="5" t="s">
        <v>238</v>
      </c>
      <c r="P727" s="5" t="s">
        <v>238</v>
      </c>
      <c r="Q727" s="5" t="s">
        <v>239</v>
      </c>
      <c r="R727" s="5" t="s">
        <v>270</v>
      </c>
      <c r="S727" s="5" t="s">
        <v>238</v>
      </c>
      <c r="V727" s="5" t="s">
        <v>238</v>
      </c>
      <c r="X727" s="6" t="s">
        <v>238</v>
      </c>
      <c r="AA727" s="6" t="s">
        <v>243</v>
      </c>
      <c r="AB727" s="5" t="s">
        <v>238</v>
      </c>
      <c r="AC727" s="5" t="s">
        <v>244</v>
      </c>
      <c r="AD727" s="5" t="s">
        <v>245</v>
      </c>
      <c r="AT727" s="5" t="s">
        <v>246</v>
      </c>
      <c r="AU727" s="5" t="s">
        <v>238</v>
      </c>
      <c r="AV727" s="5" t="s">
        <v>247</v>
      </c>
      <c r="AW727" s="5" t="s">
        <v>238</v>
      </c>
      <c r="AX727" s="5" t="s">
        <v>249</v>
      </c>
      <c r="AY727" s="5" t="s">
        <v>238</v>
      </c>
      <c r="BA727" s="5" t="s">
        <v>1397</v>
      </c>
      <c r="BC727" s="5" t="s">
        <v>250</v>
      </c>
      <c r="BD727" s="6" t="s">
        <v>243</v>
      </c>
      <c r="BE727" s="5" t="s">
        <v>251</v>
      </c>
      <c r="BF727" s="5" t="s">
        <v>252</v>
      </c>
      <c r="BG727" s="5" t="s">
        <v>238</v>
      </c>
      <c r="BH727" s="7">
        <f>0</f>
        <v>0</v>
      </c>
      <c r="BI727" s="8">
        <f>0</f>
        <v>0</v>
      </c>
      <c r="BJ727" s="5" t="s">
        <v>253</v>
      </c>
      <c r="BK727" s="5" t="s">
        <v>254</v>
      </c>
      <c r="BY727" s="5" t="s">
        <v>238</v>
      </c>
      <c r="BZ727" s="5" t="s">
        <v>238</v>
      </c>
      <c r="CD727" s="5" t="s">
        <v>255</v>
      </c>
      <c r="CE727" s="5" t="s">
        <v>256</v>
      </c>
      <c r="CF727" s="5" t="s">
        <v>238</v>
      </c>
      <c r="CI727" s="6" t="s">
        <v>257</v>
      </c>
      <c r="CJ727" s="5" t="s">
        <v>238</v>
      </c>
      <c r="CK727" s="5" t="s">
        <v>258</v>
      </c>
      <c r="CL727" s="5" t="s">
        <v>238</v>
      </c>
      <c r="CM727" s="5" t="s">
        <v>238</v>
      </c>
      <c r="CN727" s="5">
        <v>0</v>
      </c>
      <c r="CO727" s="5" t="s">
        <v>259</v>
      </c>
      <c r="CP727" s="5" t="s">
        <v>260</v>
      </c>
      <c r="CQ727" s="5" t="s">
        <v>260</v>
      </c>
      <c r="CR727" s="5" t="s">
        <v>261</v>
      </c>
      <c r="CU727" s="8">
        <f>1528350</f>
        <v>1528350</v>
      </c>
      <c r="CV727" s="8">
        <f>0</f>
        <v>0</v>
      </c>
      <c r="CX727" s="8">
        <f>0</f>
        <v>0</v>
      </c>
      <c r="CY727" s="8">
        <f>1528350</f>
        <v>1528350</v>
      </c>
      <c r="DA727" s="5" t="s">
        <v>389</v>
      </c>
      <c r="DB727" s="5" t="s">
        <v>238</v>
      </c>
      <c r="DD727" s="5" t="s">
        <v>389</v>
      </c>
      <c r="DE727" s="8">
        <f>7110</f>
        <v>7110</v>
      </c>
      <c r="DF727" s="6" t="s">
        <v>3443</v>
      </c>
      <c r="DG727" s="5" t="s">
        <v>389</v>
      </c>
      <c r="DH727" s="5" t="s">
        <v>238</v>
      </c>
      <c r="DI727" s="5" t="s">
        <v>238</v>
      </c>
      <c r="DJ727" s="5" t="s">
        <v>238</v>
      </c>
      <c r="DN727" s="5" t="s">
        <v>238</v>
      </c>
      <c r="DO727" s="5" t="s">
        <v>238</v>
      </c>
      <c r="DP727" s="5" t="s">
        <v>238</v>
      </c>
      <c r="DQ727" s="5" t="s">
        <v>238</v>
      </c>
      <c r="DT727" s="5" t="s">
        <v>5283</v>
      </c>
      <c r="DU727" s="5" t="s">
        <v>264</v>
      </c>
      <c r="HM727" s="5" t="s">
        <v>264</v>
      </c>
    </row>
    <row r="728" spans="1:221" x14ac:dyDescent="0.4">
      <c r="A728" s="5">
        <v>1591</v>
      </c>
      <c r="B728" s="5">
        <v>1</v>
      </c>
      <c r="C728" s="5">
        <v>1</v>
      </c>
      <c r="D728" s="5" t="s">
        <v>6084</v>
      </c>
      <c r="E728" s="5" t="s">
        <v>475</v>
      </c>
      <c r="F728" s="5" t="s">
        <v>248</v>
      </c>
      <c r="G728" s="5" t="s">
        <v>6096</v>
      </c>
      <c r="H728" s="6" t="s">
        <v>6098</v>
      </c>
      <c r="I728" s="7">
        <f>36</f>
        <v>36</v>
      </c>
      <c r="J728" s="5" t="s">
        <v>262</v>
      </c>
      <c r="K728" s="8">
        <f>79740</f>
        <v>79740</v>
      </c>
      <c r="L728" s="6" t="s">
        <v>6097</v>
      </c>
      <c r="M728" s="5" t="s">
        <v>267</v>
      </c>
      <c r="N728" s="5" t="s">
        <v>237</v>
      </c>
      <c r="O728" s="5" t="s">
        <v>238</v>
      </c>
      <c r="P728" s="5" t="s">
        <v>238</v>
      </c>
      <c r="Q728" s="5" t="s">
        <v>239</v>
      </c>
      <c r="R728" s="5" t="s">
        <v>270</v>
      </c>
      <c r="S728" s="5" t="s">
        <v>238</v>
      </c>
      <c r="V728" s="5" t="s">
        <v>238</v>
      </c>
      <c r="X728" s="6" t="s">
        <v>238</v>
      </c>
      <c r="AA728" s="6" t="s">
        <v>243</v>
      </c>
      <c r="AB728" s="5" t="s">
        <v>238</v>
      </c>
      <c r="AC728" s="5" t="s">
        <v>244</v>
      </c>
      <c r="AD728" s="5" t="s">
        <v>245</v>
      </c>
      <c r="AT728" s="5" t="s">
        <v>246</v>
      </c>
      <c r="AU728" s="5" t="s">
        <v>238</v>
      </c>
      <c r="AV728" s="5" t="s">
        <v>247</v>
      </c>
      <c r="AW728" s="5" t="s">
        <v>238</v>
      </c>
      <c r="AX728" s="5" t="s">
        <v>249</v>
      </c>
      <c r="AY728" s="5" t="s">
        <v>238</v>
      </c>
      <c r="BA728" s="5" t="s">
        <v>238</v>
      </c>
      <c r="BC728" s="5" t="s">
        <v>250</v>
      </c>
      <c r="BD728" s="6" t="s">
        <v>243</v>
      </c>
      <c r="BE728" s="5" t="s">
        <v>251</v>
      </c>
      <c r="BF728" s="5" t="s">
        <v>252</v>
      </c>
      <c r="BG728" s="5" t="s">
        <v>238</v>
      </c>
      <c r="BH728" s="7">
        <f>0</f>
        <v>0</v>
      </c>
      <c r="BI728" s="8">
        <f>0</f>
        <v>0</v>
      </c>
      <c r="BJ728" s="5" t="s">
        <v>253</v>
      </c>
      <c r="BK728" s="5" t="s">
        <v>254</v>
      </c>
      <c r="BY728" s="5" t="s">
        <v>238</v>
      </c>
      <c r="BZ728" s="5" t="s">
        <v>238</v>
      </c>
      <c r="CD728" s="5" t="s">
        <v>255</v>
      </c>
      <c r="CE728" s="5" t="s">
        <v>256</v>
      </c>
      <c r="CF728" s="5" t="s">
        <v>238</v>
      </c>
      <c r="CI728" s="6" t="s">
        <v>257</v>
      </c>
      <c r="CJ728" s="5" t="s">
        <v>238</v>
      </c>
      <c r="CK728" s="5" t="s">
        <v>258</v>
      </c>
      <c r="CL728" s="5" t="s">
        <v>238</v>
      </c>
      <c r="CM728" s="5" t="s">
        <v>238</v>
      </c>
      <c r="CN728" s="5">
        <v>0</v>
      </c>
      <c r="CO728" s="5" t="s">
        <v>259</v>
      </c>
      <c r="CP728" s="5" t="s">
        <v>260</v>
      </c>
      <c r="CQ728" s="5" t="s">
        <v>260</v>
      </c>
      <c r="CR728" s="5" t="s">
        <v>261</v>
      </c>
      <c r="CU728" s="8">
        <f>79740</f>
        <v>79740</v>
      </c>
      <c r="CV728" s="8">
        <f>0</f>
        <v>0</v>
      </c>
      <c r="CX728" s="8">
        <f>0</f>
        <v>0</v>
      </c>
      <c r="CY728" s="8">
        <f>79740</f>
        <v>79740</v>
      </c>
      <c r="DA728" s="5" t="s">
        <v>389</v>
      </c>
      <c r="DB728" s="5" t="s">
        <v>238</v>
      </c>
      <c r="DD728" s="5" t="s">
        <v>389</v>
      </c>
      <c r="DE728" s="8">
        <f>36</f>
        <v>36</v>
      </c>
      <c r="DF728" s="6" t="s">
        <v>3443</v>
      </c>
      <c r="DG728" s="5" t="s">
        <v>389</v>
      </c>
      <c r="DH728" s="5" t="s">
        <v>238</v>
      </c>
      <c r="DI728" s="5" t="s">
        <v>238</v>
      </c>
      <c r="DJ728" s="5" t="s">
        <v>238</v>
      </c>
      <c r="DN728" s="5" t="s">
        <v>238</v>
      </c>
      <c r="DO728" s="5" t="s">
        <v>238</v>
      </c>
      <c r="DP728" s="5" t="s">
        <v>238</v>
      </c>
      <c r="DQ728" s="5" t="s">
        <v>238</v>
      </c>
      <c r="DT728" s="5" t="s">
        <v>6099</v>
      </c>
      <c r="DU728" s="5" t="s">
        <v>294</v>
      </c>
      <c r="HM728" s="5" t="s">
        <v>264</v>
      </c>
    </row>
    <row r="729" spans="1:221" x14ac:dyDescent="0.4">
      <c r="A729" s="5">
        <v>1592</v>
      </c>
      <c r="B729" s="5">
        <v>1</v>
      </c>
      <c r="C729" s="5">
        <v>1</v>
      </c>
      <c r="D729" s="5" t="s">
        <v>6084</v>
      </c>
      <c r="E729" s="5" t="s">
        <v>475</v>
      </c>
      <c r="F729" s="5" t="s">
        <v>248</v>
      </c>
      <c r="G729" s="5" t="s">
        <v>6096</v>
      </c>
      <c r="H729" s="6" t="s">
        <v>6101</v>
      </c>
      <c r="I729" s="7">
        <f>21</f>
        <v>21</v>
      </c>
      <c r="J729" s="5" t="s">
        <v>262</v>
      </c>
      <c r="K729" s="8">
        <f>10290</f>
        <v>10290</v>
      </c>
      <c r="L729" s="6" t="s">
        <v>6100</v>
      </c>
      <c r="M729" s="5" t="s">
        <v>267</v>
      </c>
      <c r="N729" s="5" t="s">
        <v>237</v>
      </c>
      <c r="O729" s="5" t="s">
        <v>238</v>
      </c>
      <c r="P729" s="5" t="s">
        <v>238</v>
      </c>
      <c r="Q729" s="5" t="s">
        <v>268</v>
      </c>
      <c r="R729" s="5" t="s">
        <v>270</v>
      </c>
      <c r="S729" s="5" t="s">
        <v>238</v>
      </c>
      <c r="V729" s="5" t="s">
        <v>238</v>
      </c>
      <c r="X729" s="6" t="s">
        <v>238</v>
      </c>
      <c r="AA729" s="6" t="s">
        <v>243</v>
      </c>
      <c r="AB729" s="5" t="s">
        <v>238</v>
      </c>
      <c r="AC729" s="5" t="s">
        <v>244</v>
      </c>
      <c r="AD729" s="5" t="s">
        <v>245</v>
      </c>
      <c r="AT729" s="5" t="s">
        <v>246</v>
      </c>
      <c r="AU729" s="5" t="s">
        <v>238</v>
      </c>
      <c r="AV729" s="5" t="s">
        <v>247</v>
      </c>
      <c r="AW729" s="5" t="s">
        <v>238</v>
      </c>
      <c r="AX729" s="5" t="s">
        <v>249</v>
      </c>
      <c r="AY729" s="5" t="s">
        <v>238</v>
      </c>
      <c r="BA729" s="5" t="s">
        <v>238</v>
      </c>
      <c r="BC729" s="5" t="s">
        <v>250</v>
      </c>
      <c r="BD729" s="6" t="s">
        <v>243</v>
      </c>
      <c r="BE729" s="5" t="s">
        <v>251</v>
      </c>
      <c r="BF729" s="5" t="s">
        <v>252</v>
      </c>
      <c r="BG729" s="5" t="s">
        <v>238</v>
      </c>
      <c r="BH729" s="7">
        <f>0</f>
        <v>0</v>
      </c>
      <c r="BI729" s="8">
        <f>0</f>
        <v>0</v>
      </c>
      <c r="BJ729" s="5" t="s">
        <v>253</v>
      </c>
      <c r="BK729" s="5" t="s">
        <v>254</v>
      </c>
      <c r="BY729" s="5" t="s">
        <v>238</v>
      </c>
      <c r="BZ729" s="5" t="s">
        <v>238</v>
      </c>
      <c r="CD729" s="5" t="s">
        <v>255</v>
      </c>
      <c r="CE729" s="5" t="s">
        <v>256</v>
      </c>
      <c r="CF729" s="5" t="s">
        <v>238</v>
      </c>
      <c r="CI729" s="6" t="s">
        <v>257</v>
      </c>
      <c r="CJ729" s="5" t="s">
        <v>238</v>
      </c>
      <c r="CK729" s="5" t="s">
        <v>258</v>
      </c>
      <c r="CL729" s="5" t="s">
        <v>238</v>
      </c>
      <c r="CM729" s="5" t="s">
        <v>238</v>
      </c>
      <c r="CN729" s="5">
        <v>0</v>
      </c>
      <c r="CO729" s="5" t="s">
        <v>259</v>
      </c>
      <c r="CP729" s="5" t="s">
        <v>260</v>
      </c>
      <c r="CQ729" s="5" t="s">
        <v>260</v>
      </c>
      <c r="CR729" s="5" t="s">
        <v>261</v>
      </c>
      <c r="CU729" s="8">
        <f>10290</f>
        <v>10290</v>
      </c>
      <c r="CV729" s="8">
        <f>0</f>
        <v>0</v>
      </c>
      <c r="CX729" s="8">
        <f>0</f>
        <v>0</v>
      </c>
      <c r="CY729" s="8">
        <f>10290</f>
        <v>10290</v>
      </c>
      <c r="DA729" s="5" t="s">
        <v>274</v>
      </c>
      <c r="DB729" s="5" t="s">
        <v>238</v>
      </c>
      <c r="DD729" s="5" t="s">
        <v>274</v>
      </c>
      <c r="DE729" s="8">
        <f>21</f>
        <v>21</v>
      </c>
      <c r="DF729" s="6" t="s">
        <v>4412</v>
      </c>
      <c r="DG729" s="5" t="s">
        <v>356</v>
      </c>
      <c r="DH729" s="5" t="s">
        <v>238</v>
      </c>
      <c r="DI729" s="5" t="s">
        <v>238</v>
      </c>
      <c r="DJ729" s="5" t="s">
        <v>238</v>
      </c>
      <c r="DN729" s="5" t="s">
        <v>238</v>
      </c>
      <c r="DO729" s="5" t="s">
        <v>238</v>
      </c>
      <c r="DP729" s="5" t="s">
        <v>238</v>
      </c>
      <c r="DQ729" s="5" t="s">
        <v>238</v>
      </c>
      <c r="DT729" s="5" t="s">
        <v>6099</v>
      </c>
      <c r="DU729" s="5" t="s">
        <v>806</v>
      </c>
      <c r="HM729" s="5" t="s">
        <v>264</v>
      </c>
    </row>
    <row r="730" spans="1:221" x14ac:dyDescent="0.4">
      <c r="A730" s="5">
        <v>1593</v>
      </c>
      <c r="B730" s="5">
        <v>1</v>
      </c>
      <c r="C730" s="5">
        <v>1</v>
      </c>
      <c r="D730" s="5" t="s">
        <v>6084</v>
      </c>
      <c r="E730" s="5" t="s">
        <v>475</v>
      </c>
      <c r="F730" s="5" t="s">
        <v>248</v>
      </c>
      <c r="G730" s="5" t="s">
        <v>6096</v>
      </c>
      <c r="H730" s="6" t="s">
        <v>6357</v>
      </c>
      <c r="I730" s="7">
        <f>375.61</f>
        <v>375.61</v>
      </c>
      <c r="J730" s="5" t="s">
        <v>262</v>
      </c>
      <c r="K730" s="8">
        <f>831976</f>
        <v>831976</v>
      </c>
      <c r="L730" s="6" t="s">
        <v>6356</v>
      </c>
      <c r="M730" s="5" t="s">
        <v>267</v>
      </c>
      <c r="N730" s="5" t="s">
        <v>237</v>
      </c>
      <c r="O730" s="5" t="s">
        <v>238</v>
      </c>
      <c r="P730" s="5" t="s">
        <v>238</v>
      </c>
      <c r="Q730" s="5" t="s">
        <v>239</v>
      </c>
      <c r="R730" s="5" t="s">
        <v>270</v>
      </c>
      <c r="S730" s="5" t="s">
        <v>238</v>
      </c>
      <c r="V730" s="5" t="s">
        <v>238</v>
      </c>
      <c r="X730" s="6" t="s">
        <v>238</v>
      </c>
      <c r="AA730" s="6" t="s">
        <v>243</v>
      </c>
      <c r="AB730" s="5" t="s">
        <v>238</v>
      </c>
      <c r="AC730" s="5" t="s">
        <v>244</v>
      </c>
      <c r="AD730" s="5" t="s">
        <v>245</v>
      </c>
      <c r="AT730" s="5" t="s">
        <v>246</v>
      </c>
      <c r="AU730" s="5" t="s">
        <v>238</v>
      </c>
      <c r="AV730" s="5" t="s">
        <v>247</v>
      </c>
      <c r="AW730" s="5" t="s">
        <v>238</v>
      </c>
      <c r="AX730" s="5" t="s">
        <v>249</v>
      </c>
      <c r="AY730" s="5" t="s">
        <v>238</v>
      </c>
      <c r="BA730" s="5" t="s">
        <v>238</v>
      </c>
      <c r="BC730" s="5" t="s">
        <v>250</v>
      </c>
      <c r="BD730" s="6" t="s">
        <v>243</v>
      </c>
      <c r="BE730" s="5" t="s">
        <v>251</v>
      </c>
      <c r="BF730" s="5" t="s">
        <v>252</v>
      </c>
      <c r="BG730" s="5" t="s">
        <v>238</v>
      </c>
      <c r="BH730" s="7">
        <f>0</f>
        <v>0</v>
      </c>
      <c r="BI730" s="8">
        <f>0</f>
        <v>0</v>
      </c>
      <c r="BJ730" s="5" t="s">
        <v>253</v>
      </c>
      <c r="BK730" s="5" t="s">
        <v>254</v>
      </c>
      <c r="BY730" s="5" t="s">
        <v>238</v>
      </c>
      <c r="BZ730" s="5" t="s">
        <v>238</v>
      </c>
      <c r="CD730" s="5" t="s">
        <v>255</v>
      </c>
      <c r="CE730" s="5" t="s">
        <v>256</v>
      </c>
      <c r="CF730" s="5" t="s">
        <v>238</v>
      </c>
      <c r="CI730" s="6" t="s">
        <v>257</v>
      </c>
      <c r="CJ730" s="5" t="s">
        <v>238</v>
      </c>
      <c r="CK730" s="5" t="s">
        <v>258</v>
      </c>
      <c r="CL730" s="5" t="s">
        <v>238</v>
      </c>
      <c r="CM730" s="5" t="s">
        <v>238</v>
      </c>
      <c r="CN730" s="5">
        <v>0</v>
      </c>
      <c r="CO730" s="5" t="s">
        <v>259</v>
      </c>
      <c r="CP730" s="5" t="s">
        <v>260</v>
      </c>
      <c r="CQ730" s="5" t="s">
        <v>260</v>
      </c>
      <c r="CR730" s="5" t="s">
        <v>261</v>
      </c>
      <c r="CU730" s="8">
        <f>831976</f>
        <v>831976</v>
      </c>
      <c r="CV730" s="8">
        <f>0</f>
        <v>0</v>
      </c>
      <c r="CX730" s="8">
        <f>0</f>
        <v>0</v>
      </c>
      <c r="CY730" s="8">
        <f>831976</f>
        <v>831976</v>
      </c>
      <c r="DA730" s="5" t="s">
        <v>389</v>
      </c>
      <c r="DB730" s="5" t="s">
        <v>238</v>
      </c>
      <c r="DD730" s="5" t="s">
        <v>389</v>
      </c>
      <c r="DE730" s="8">
        <f>772</f>
        <v>772</v>
      </c>
      <c r="DF730" s="6" t="s">
        <v>4577</v>
      </c>
      <c r="DG730" s="5" t="s">
        <v>389</v>
      </c>
      <c r="DH730" s="5" t="s">
        <v>238</v>
      </c>
      <c r="DI730" s="5" t="s">
        <v>238</v>
      </c>
      <c r="DJ730" s="5" t="s">
        <v>238</v>
      </c>
      <c r="DN730" s="5" t="s">
        <v>238</v>
      </c>
      <c r="DO730" s="5" t="s">
        <v>238</v>
      </c>
      <c r="DP730" s="5" t="s">
        <v>238</v>
      </c>
      <c r="DQ730" s="5" t="s">
        <v>238</v>
      </c>
      <c r="DT730" s="5" t="s">
        <v>6099</v>
      </c>
      <c r="DU730" s="5" t="s">
        <v>854</v>
      </c>
      <c r="HM730" s="5" t="s">
        <v>264</v>
      </c>
    </row>
    <row r="731" spans="1:221" x14ac:dyDescent="0.4">
      <c r="A731" s="5">
        <v>1594</v>
      </c>
      <c r="B731" s="5">
        <v>1</v>
      </c>
      <c r="C731" s="5">
        <v>1</v>
      </c>
      <c r="D731" s="5" t="s">
        <v>4570</v>
      </c>
      <c r="E731" s="5" t="s">
        <v>475</v>
      </c>
      <c r="F731" s="5" t="s">
        <v>248</v>
      </c>
      <c r="G731" s="5" t="s">
        <v>4569</v>
      </c>
      <c r="H731" s="6" t="s">
        <v>4572</v>
      </c>
      <c r="I731" s="7">
        <f>1431</f>
        <v>1431</v>
      </c>
      <c r="J731" s="5" t="s">
        <v>262</v>
      </c>
      <c r="K731" s="8">
        <f>3169665</f>
        <v>3169665</v>
      </c>
      <c r="L731" s="6" t="s">
        <v>4571</v>
      </c>
      <c r="M731" s="5" t="s">
        <v>267</v>
      </c>
      <c r="N731" s="5" t="s">
        <v>237</v>
      </c>
      <c r="O731" s="5" t="s">
        <v>238</v>
      </c>
      <c r="P731" s="5" t="s">
        <v>238</v>
      </c>
      <c r="Q731" s="5" t="s">
        <v>239</v>
      </c>
      <c r="R731" s="5" t="s">
        <v>270</v>
      </c>
      <c r="S731" s="5" t="s">
        <v>238</v>
      </c>
      <c r="V731" s="5" t="s">
        <v>238</v>
      </c>
      <c r="X731" s="6" t="s">
        <v>238</v>
      </c>
      <c r="AA731" s="6" t="s">
        <v>243</v>
      </c>
      <c r="AB731" s="5" t="s">
        <v>238</v>
      </c>
      <c r="AC731" s="5" t="s">
        <v>244</v>
      </c>
      <c r="AD731" s="5" t="s">
        <v>245</v>
      </c>
      <c r="AT731" s="5" t="s">
        <v>246</v>
      </c>
      <c r="AU731" s="5" t="s">
        <v>238</v>
      </c>
      <c r="AV731" s="5" t="s">
        <v>247</v>
      </c>
      <c r="AW731" s="5" t="s">
        <v>238</v>
      </c>
      <c r="AX731" s="5" t="s">
        <v>249</v>
      </c>
      <c r="AY731" s="5" t="s">
        <v>238</v>
      </c>
      <c r="BA731" s="5" t="s">
        <v>1397</v>
      </c>
      <c r="BC731" s="5" t="s">
        <v>250</v>
      </c>
      <c r="BD731" s="6" t="s">
        <v>243</v>
      </c>
      <c r="BE731" s="5" t="s">
        <v>251</v>
      </c>
      <c r="BF731" s="5" t="s">
        <v>252</v>
      </c>
      <c r="BG731" s="5" t="s">
        <v>238</v>
      </c>
      <c r="BH731" s="7">
        <f>0</f>
        <v>0</v>
      </c>
      <c r="BI731" s="8">
        <f>0</f>
        <v>0</v>
      </c>
      <c r="BJ731" s="5" t="s">
        <v>253</v>
      </c>
      <c r="BK731" s="5" t="s">
        <v>254</v>
      </c>
      <c r="BY731" s="5" t="s">
        <v>238</v>
      </c>
      <c r="BZ731" s="5" t="s">
        <v>238</v>
      </c>
      <c r="CD731" s="5" t="s">
        <v>255</v>
      </c>
      <c r="CE731" s="5" t="s">
        <v>256</v>
      </c>
      <c r="CF731" s="5" t="s">
        <v>238</v>
      </c>
      <c r="CI731" s="6" t="s">
        <v>257</v>
      </c>
      <c r="CJ731" s="5" t="s">
        <v>238</v>
      </c>
      <c r="CK731" s="5" t="s">
        <v>258</v>
      </c>
      <c r="CL731" s="5" t="s">
        <v>238</v>
      </c>
      <c r="CM731" s="5" t="s">
        <v>238</v>
      </c>
      <c r="CN731" s="5">
        <v>0</v>
      </c>
      <c r="CO731" s="5" t="s">
        <v>259</v>
      </c>
      <c r="CP731" s="5" t="s">
        <v>260</v>
      </c>
      <c r="CQ731" s="5" t="s">
        <v>260</v>
      </c>
      <c r="CR731" s="5" t="s">
        <v>261</v>
      </c>
      <c r="CU731" s="8">
        <f>3169665</f>
        <v>3169665</v>
      </c>
      <c r="CV731" s="8">
        <f>0</f>
        <v>0</v>
      </c>
      <c r="CX731" s="8">
        <f>0</f>
        <v>0</v>
      </c>
      <c r="CY731" s="8">
        <f>3169665</f>
        <v>3169665</v>
      </c>
      <c r="DA731" s="5" t="s">
        <v>2032</v>
      </c>
      <c r="DB731" s="5" t="s">
        <v>238</v>
      </c>
      <c r="DD731" s="5" t="s">
        <v>2032</v>
      </c>
      <c r="DE731" s="8">
        <f>1431</f>
        <v>1431</v>
      </c>
      <c r="DF731" s="6" t="s">
        <v>4573</v>
      </c>
      <c r="DG731" s="5" t="s">
        <v>389</v>
      </c>
      <c r="DH731" s="5" t="s">
        <v>238</v>
      </c>
      <c r="DI731" s="5" t="s">
        <v>238</v>
      </c>
      <c r="DJ731" s="5" t="s">
        <v>238</v>
      </c>
      <c r="DN731" s="5" t="s">
        <v>238</v>
      </c>
      <c r="DO731" s="5" t="s">
        <v>238</v>
      </c>
      <c r="DP731" s="5" t="s">
        <v>238</v>
      </c>
      <c r="DQ731" s="5" t="s">
        <v>238</v>
      </c>
      <c r="DT731" s="5" t="s">
        <v>4574</v>
      </c>
      <c r="DU731" s="5" t="s">
        <v>264</v>
      </c>
      <c r="HM731" s="5" t="s">
        <v>264</v>
      </c>
    </row>
    <row r="732" spans="1:221" x14ac:dyDescent="0.4">
      <c r="A732" s="5">
        <v>1595</v>
      </c>
      <c r="B732" s="5">
        <v>1</v>
      </c>
      <c r="C732" s="5">
        <v>1</v>
      </c>
      <c r="D732" s="5" t="s">
        <v>4564</v>
      </c>
      <c r="E732" s="5" t="s">
        <v>475</v>
      </c>
      <c r="F732" s="5" t="s">
        <v>248</v>
      </c>
      <c r="G732" s="5" t="s">
        <v>4563</v>
      </c>
      <c r="H732" s="6" t="s">
        <v>4566</v>
      </c>
      <c r="I732" s="7">
        <f>947.13</f>
        <v>947.13</v>
      </c>
      <c r="J732" s="5" t="s">
        <v>262</v>
      </c>
      <c r="K732" s="8">
        <f>2097893</f>
        <v>2097893</v>
      </c>
      <c r="L732" s="6" t="s">
        <v>242</v>
      </c>
      <c r="M732" s="5" t="s">
        <v>267</v>
      </c>
      <c r="N732" s="5" t="s">
        <v>237</v>
      </c>
      <c r="O732" s="5" t="s">
        <v>238</v>
      </c>
      <c r="P732" s="5" t="s">
        <v>238</v>
      </c>
      <c r="Q732" s="5" t="s">
        <v>239</v>
      </c>
      <c r="R732" s="5" t="s">
        <v>270</v>
      </c>
      <c r="S732" s="5" t="s">
        <v>238</v>
      </c>
      <c r="V732" s="5" t="s">
        <v>238</v>
      </c>
      <c r="X732" s="6" t="s">
        <v>238</v>
      </c>
      <c r="AA732" s="6" t="s">
        <v>243</v>
      </c>
      <c r="AB732" s="5" t="s">
        <v>4565</v>
      </c>
      <c r="AC732" s="5" t="s">
        <v>244</v>
      </c>
      <c r="AD732" s="5" t="s">
        <v>245</v>
      </c>
      <c r="AT732" s="5" t="s">
        <v>246</v>
      </c>
      <c r="AU732" s="5" t="s">
        <v>238</v>
      </c>
      <c r="AV732" s="5" t="s">
        <v>247</v>
      </c>
      <c r="AW732" s="5" t="s">
        <v>238</v>
      </c>
      <c r="AX732" s="5" t="s">
        <v>249</v>
      </c>
      <c r="AY732" s="5" t="s">
        <v>238</v>
      </c>
      <c r="BA732" s="5" t="s">
        <v>1397</v>
      </c>
      <c r="BC732" s="5" t="s">
        <v>250</v>
      </c>
      <c r="BD732" s="6" t="s">
        <v>243</v>
      </c>
      <c r="BE732" s="5" t="s">
        <v>251</v>
      </c>
      <c r="BF732" s="5" t="s">
        <v>4397</v>
      </c>
      <c r="BG732" s="5" t="s">
        <v>238</v>
      </c>
      <c r="BH732" s="7">
        <f>0</f>
        <v>0</v>
      </c>
      <c r="BI732" s="8">
        <f>0</f>
        <v>0</v>
      </c>
      <c r="BJ732" s="5" t="s">
        <v>253</v>
      </c>
      <c r="BK732" s="5" t="s">
        <v>254</v>
      </c>
      <c r="BY732" s="5" t="s">
        <v>238</v>
      </c>
      <c r="BZ732" s="5" t="s">
        <v>238</v>
      </c>
      <c r="CD732" s="5" t="s">
        <v>255</v>
      </c>
      <c r="CE732" s="5" t="s">
        <v>256</v>
      </c>
      <c r="CF732" s="5" t="s">
        <v>238</v>
      </c>
      <c r="CI732" s="6" t="s">
        <v>257</v>
      </c>
      <c r="CJ732" s="5" t="s">
        <v>238</v>
      </c>
      <c r="CK732" s="5" t="s">
        <v>258</v>
      </c>
      <c r="CL732" s="5" t="s">
        <v>238</v>
      </c>
      <c r="CM732" s="5" t="s">
        <v>238</v>
      </c>
      <c r="CN732" s="5">
        <v>0</v>
      </c>
      <c r="CO732" s="5" t="s">
        <v>259</v>
      </c>
      <c r="CP732" s="5" t="s">
        <v>260</v>
      </c>
      <c r="CQ732" s="5" t="s">
        <v>260</v>
      </c>
      <c r="CR732" s="5" t="s">
        <v>261</v>
      </c>
      <c r="CU732" s="8">
        <f>2097893</f>
        <v>2097893</v>
      </c>
      <c r="CV732" s="8">
        <f>0</f>
        <v>0</v>
      </c>
      <c r="CX732" s="8">
        <f>0</f>
        <v>0</v>
      </c>
      <c r="CY732" s="8">
        <f>2097893</f>
        <v>2097893</v>
      </c>
      <c r="DA732" s="5" t="s">
        <v>2032</v>
      </c>
      <c r="DB732" s="5" t="s">
        <v>238</v>
      </c>
      <c r="DD732" s="5" t="s">
        <v>2032</v>
      </c>
      <c r="DE732" s="8">
        <f>947.13</f>
        <v>947.13</v>
      </c>
      <c r="DF732" s="6" t="s">
        <v>4567</v>
      </c>
      <c r="DG732" s="5" t="s">
        <v>389</v>
      </c>
      <c r="DH732" s="5" t="s">
        <v>238</v>
      </c>
      <c r="DI732" s="5" t="s">
        <v>238</v>
      </c>
      <c r="DJ732" s="5" t="s">
        <v>238</v>
      </c>
      <c r="DN732" s="5" t="s">
        <v>238</v>
      </c>
      <c r="DO732" s="5" t="s">
        <v>238</v>
      </c>
      <c r="DP732" s="5" t="s">
        <v>238</v>
      </c>
      <c r="DQ732" s="5" t="s">
        <v>238</v>
      </c>
      <c r="DT732" s="5" t="s">
        <v>4568</v>
      </c>
      <c r="DU732" s="5" t="s">
        <v>264</v>
      </c>
      <c r="HM732" s="5" t="s">
        <v>294</v>
      </c>
    </row>
    <row r="733" spans="1:221" x14ac:dyDescent="0.4">
      <c r="A733" s="5">
        <v>1845</v>
      </c>
      <c r="B733" s="5">
        <v>1</v>
      </c>
      <c r="C733" s="5">
        <v>1</v>
      </c>
      <c r="D733" s="5" t="s">
        <v>4466</v>
      </c>
      <c r="E733" s="5" t="s">
        <v>437</v>
      </c>
      <c r="F733" s="5" t="s">
        <v>248</v>
      </c>
      <c r="G733" s="5" t="s">
        <v>4465</v>
      </c>
      <c r="H733" s="6" t="s">
        <v>4473</v>
      </c>
      <c r="I733" s="7">
        <f>51381</f>
        <v>51381</v>
      </c>
      <c r="J733" s="5" t="s">
        <v>262</v>
      </c>
      <c r="K733" s="8">
        <f>113808915</f>
        <v>113808915</v>
      </c>
      <c r="L733" s="6" t="s">
        <v>242</v>
      </c>
      <c r="M733" s="5" t="s">
        <v>267</v>
      </c>
      <c r="N733" s="5" t="s">
        <v>237</v>
      </c>
      <c r="O733" s="5" t="s">
        <v>238</v>
      </c>
      <c r="P733" s="5" t="s">
        <v>238</v>
      </c>
      <c r="Q733" s="5" t="s">
        <v>239</v>
      </c>
      <c r="R733" s="5" t="s">
        <v>270</v>
      </c>
      <c r="S733" s="5" t="s">
        <v>238</v>
      </c>
      <c r="V733" s="5" t="s">
        <v>238</v>
      </c>
      <c r="X733" s="6" t="s">
        <v>238</v>
      </c>
      <c r="AA733" s="6" t="s">
        <v>243</v>
      </c>
      <c r="AB733" s="5" t="s">
        <v>238</v>
      </c>
      <c r="AC733" s="5" t="s">
        <v>244</v>
      </c>
      <c r="AD733" s="5" t="s">
        <v>245</v>
      </c>
      <c r="AT733" s="5" t="s">
        <v>246</v>
      </c>
      <c r="AU733" s="5" t="s">
        <v>238</v>
      </c>
      <c r="AV733" s="5" t="s">
        <v>247</v>
      </c>
      <c r="AW733" s="5" t="s">
        <v>238</v>
      </c>
      <c r="AX733" s="5" t="s">
        <v>249</v>
      </c>
      <c r="AY733" s="5" t="s">
        <v>238</v>
      </c>
      <c r="BA733" s="5" t="s">
        <v>238</v>
      </c>
      <c r="BC733" s="5" t="s">
        <v>250</v>
      </c>
      <c r="BD733" s="6" t="s">
        <v>243</v>
      </c>
      <c r="BE733" s="5" t="s">
        <v>251</v>
      </c>
      <c r="BF733" s="5" t="s">
        <v>2153</v>
      </c>
      <c r="BG733" s="5" t="s">
        <v>238</v>
      </c>
      <c r="BH733" s="7">
        <f>0</f>
        <v>0</v>
      </c>
      <c r="BI733" s="8">
        <f>0</f>
        <v>0</v>
      </c>
      <c r="BJ733" s="5" t="s">
        <v>253</v>
      </c>
      <c r="BK733" s="5" t="s">
        <v>254</v>
      </c>
      <c r="BY733" s="5" t="s">
        <v>238</v>
      </c>
      <c r="BZ733" s="5" t="s">
        <v>238</v>
      </c>
      <c r="CD733" s="5" t="s">
        <v>255</v>
      </c>
      <c r="CE733" s="5" t="s">
        <v>256</v>
      </c>
      <c r="CF733" s="5" t="s">
        <v>238</v>
      </c>
      <c r="CI733" s="6" t="s">
        <v>257</v>
      </c>
      <c r="CJ733" s="5" t="s">
        <v>238</v>
      </c>
      <c r="CK733" s="5" t="s">
        <v>258</v>
      </c>
      <c r="CL733" s="5" t="s">
        <v>238</v>
      </c>
      <c r="CM733" s="5" t="s">
        <v>238</v>
      </c>
      <c r="CN733" s="5">
        <v>0</v>
      </c>
      <c r="CO733" s="5" t="s">
        <v>259</v>
      </c>
      <c r="CP733" s="5" t="s">
        <v>260</v>
      </c>
      <c r="CQ733" s="5" t="s">
        <v>260</v>
      </c>
      <c r="CR733" s="5" t="s">
        <v>261</v>
      </c>
      <c r="CU733" s="8">
        <f>113808915</f>
        <v>113808915</v>
      </c>
      <c r="CV733" s="8">
        <f>0</f>
        <v>0</v>
      </c>
      <c r="CX733" s="8">
        <f>0</f>
        <v>0</v>
      </c>
      <c r="CY733" s="8">
        <f>113808915</f>
        <v>113808915</v>
      </c>
      <c r="DA733" s="5" t="s">
        <v>2032</v>
      </c>
      <c r="DB733" s="5" t="s">
        <v>238</v>
      </c>
      <c r="DD733" s="5" t="s">
        <v>356</v>
      </c>
      <c r="DE733" s="8">
        <f>0</f>
        <v>0</v>
      </c>
      <c r="DG733" s="5" t="s">
        <v>389</v>
      </c>
      <c r="DH733" s="5" t="s">
        <v>238</v>
      </c>
      <c r="DI733" s="5" t="s">
        <v>238</v>
      </c>
      <c r="DJ733" s="5" t="s">
        <v>238</v>
      </c>
      <c r="DN733" s="5" t="s">
        <v>238</v>
      </c>
      <c r="DO733" s="5" t="s">
        <v>238</v>
      </c>
      <c r="DP733" s="5" t="s">
        <v>238</v>
      </c>
      <c r="DQ733" s="5" t="s">
        <v>238</v>
      </c>
      <c r="DT733" s="5" t="s">
        <v>4468</v>
      </c>
      <c r="DU733" s="5" t="s">
        <v>264</v>
      </c>
      <c r="HM733" s="5" t="s">
        <v>806</v>
      </c>
    </row>
    <row r="734" spans="1:221" x14ac:dyDescent="0.4">
      <c r="A734" s="5">
        <v>1846</v>
      </c>
      <c r="B734" s="5">
        <v>1</v>
      </c>
      <c r="C734" s="5">
        <v>1</v>
      </c>
      <c r="D734" s="5" t="s">
        <v>4466</v>
      </c>
      <c r="E734" s="5" t="s">
        <v>437</v>
      </c>
      <c r="F734" s="5" t="s">
        <v>248</v>
      </c>
      <c r="G734" s="5" t="s">
        <v>4465</v>
      </c>
      <c r="H734" s="6" t="s">
        <v>4478</v>
      </c>
      <c r="I734" s="7">
        <f>1345</f>
        <v>1345</v>
      </c>
      <c r="J734" s="5" t="s">
        <v>262</v>
      </c>
      <c r="K734" s="8">
        <f>2979175</f>
        <v>2979175</v>
      </c>
      <c r="L734" s="6" t="s">
        <v>242</v>
      </c>
      <c r="M734" s="5" t="s">
        <v>267</v>
      </c>
      <c r="N734" s="5" t="s">
        <v>237</v>
      </c>
      <c r="O734" s="5" t="s">
        <v>238</v>
      </c>
      <c r="P734" s="5" t="s">
        <v>238</v>
      </c>
      <c r="Q734" s="5" t="s">
        <v>239</v>
      </c>
      <c r="R734" s="5" t="s">
        <v>270</v>
      </c>
      <c r="S734" s="5" t="s">
        <v>238</v>
      </c>
      <c r="V734" s="5" t="s">
        <v>238</v>
      </c>
      <c r="X734" s="6" t="s">
        <v>238</v>
      </c>
      <c r="AA734" s="6" t="s">
        <v>243</v>
      </c>
      <c r="AB734" s="5" t="s">
        <v>238</v>
      </c>
      <c r="AC734" s="5" t="s">
        <v>244</v>
      </c>
      <c r="AD734" s="5" t="s">
        <v>245</v>
      </c>
      <c r="AT734" s="5" t="s">
        <v>246</v>
      </c>
      <c r="AU734" s="5" t="s">
        <v>238</v>
      </c>
      <c r="AV734" s="5" t="s">
        <v>247</v>
      </c>
      <c r="AW734" s="5" t="s">
        <v>238</v>
      </c>
      <c r="AX734" s="5" t="s">
        <v>249</v>
      </c>
      <c r="AY734" s="5" t="s">
        <v>238</v>
      </c>
      <c r="BA734" s="5" t="s">
        <v>238</v>
      </c>
      <c r="BC734" s="5" t="s">
        <v>250</v>
      </c>
      <c r="BD734" s="6" t="s">
        <v>243</v>
      </c>
      <c r="BE734" s="5" t="s">
        <v>251</v>
      </c>
      <c r="BF734" s="5" t="s">
        <v>2153</v>
      </c>
      <c r="BG734" s="5" t="s">
        <v>238</v>
      </c>
      <c r="BH734" s="7">
        <f>0</f>
        <v>0</v>
      </c>
      <c r="BI734" s="8">
        <f>0</f>
        <v>0</v>
      </c>
      <c r="BJ734" s="5" t="s">
        <v>253</v>
      </c>
      <c r="BK734" s="5" t="s">
        <v>254</v>
      </c>
      <c r="BY734" s="5" t="s">
        <v>238</v>
      </c>
      <c r="BZ734" s="5" t="s">
        <v>238</v>
      </c>
      <c r="CD734" s="5" t="s">
        <v>255</v>
      </c>
      <c r="CE734" s="5" t="s">
        <v>256</v>
      </c>
      <c r="CF734" s="5" t="s">
        <v>238</v>
      </c>
      <c r="CI734" s="6" t="s">
        <v>257</v>
      </c>
      <c r="CJ734" s="5" t="s">
        <v>238</v>
      </c>
      <c r="CK734" s="5" t="s">
        <v>258</v>
      </c>
      <c r="CL734" s="5" t="s">
        <v>238</v>
      </c>
      <c r="CM734" s="5" t="s">
        <v>238</v>
      </c>
      <c r="CN734" s="5">
        <v>0</v>
      </c>
      <c r="CO734" s="5" t="s">
        <v>259</v>
      </c>
      <c r="CP734" s="5" t="s">
        <v>260</v>
      </c>
      <c r="CQ734" s="5" t="s">
        <v>260</v>
      </c>
      <c r="CR734" s="5" t="s">
        <v>261</v>
      </c>
      <c r="CU734" s="8">
        <f>2979175</f>
        <v>2979175</v>
      </c>
      <c r="CV734" s="8">
        <f>0</f>
        <v>0</v>
      </c>
      <c r="CX734" s="8">
        <f>0</f>
        <v>0</v>
      </c>
      <c r="CY734" s="8">
        <f>2979175</f>
        <v>2979175</v>
      </c>
      <c r="DA734" s="5" t="s">
        <v>2032</v>
      </c>
      <c r="DB734" s="5" t="s">
        <v>238</v>
      </c>
      <c r="DD734" s="5" t="s">
        <v>356</v>
      </c>
      <c r="DE734" s="8">
        <f>0</f>
        <v>0</v>
      </c>
      <c r="DG734" s="5" t="s">
        <v>389</v>
      </c>
      <c r="DH734" s="5" t="s">
        <v>238</v>
      </c>
      <c r="DI734" s="5" t="s">
        <v>238</v>
      </c>
      <c r="DJ734" s="5" t="s">
        <v>238</v>
      </c>
      <c r="DN734" s="5" t="s">
        <v>238</v>
      </c>
      <c r="DO734" s="5" t="s">
        <v>238</v>
      </c>
      <c r="DP734" s="5" t="s">
        <v>238</v>
      </c>
      <c r="DQ734" s="5" t="s">
        <v>238</v>
      </c>
      <c r="DT734" s="5" t="s">
        <v>4468</v>
      </c>
      <c r="DU734" s="5" t="s">
        <v>294</v>
      </c>
      <c r="HM734" s="5" t="s">
        <v>806</v>
      </c>
    </row>
    <row r="735" spans="1:221" x14ac:dyDescent="0.4">
      <c r="A735" s="5">
        <v>1847</v>
      </c>
      <c r="B735" s="5">
        <v>1</v>
      </c>
      <c r="C735" s="5">
        <v>1</v>
      </c>
      <c r="D735" s="5" t="s">
        <v>4466</v>
      </c>
      <c r="E735" s="5" t="s">
        <v>437</v>
      </c>
      <c r="F735" s="5" t="s">
        <v>248</v>
      </c>
      <c r="G735" s="5" t="s">
        <v>4465</v>
      </c>
      <c r="H735" s="6" t="s">
        <v>6153</v>
      </c>
      <c r="I735" s="7">
        <f>83</f>
        <v>83</v>
      </c>
      <c r="J735" s="5" t="s">
        <v>262</v>
      </c>
      <c r="K735" s="8">
        <f>183845</f>
        <v>183845</v>
      </c>
      <c r="L735" s="6" t="s">
        <v>242</v>
      </c>
      <c r="M735" s="5" t="s">
        <v>267</v>
      </c>
      <c r="N735" s="5" t="s">
        <v>237</v>
      </c>
      <c r="O735" s="5" t="s">
        <v>238</v>
      </c>
      <c r="P735" s="5" t="s">
        <v>238</v>
      </c>
      <c r="Q735" s="5" t="s">
        <v>239</v>
      </c>
      <c r="R735" s="5" t="s">
        <v>270</v>
      </c>
      <c r="S735" s="5" t="s">
        <v>238</v>
      </c>
      <c r="V735" s="5" t="s">
        <v>238</v>
      </c>
      <c r="X735" s="6" t="s">
        <v>238</v>
      </c>
      <c r="AA735" s="6" t="s">
        <v>243</v>
      </c>
      <c r="AB735" s="5" t="s">
        <v>238</v>
      </c>
      <c r="AC735" s="5" t="s">
        <v>244</v>
      </c>
      <c r="AD735" s="5" t="s">
        <v>245</v>
      </c>
      <c r="AT735" s="5" t="s">
        <v>246</v>
      </c>
      <c r="AU735" s="5" t="s">
        <v>238</v>
      </c>
      <c r="AV735" s="5" t="s">
        <v>247</v>
      </c>
      <c r="AW735" s="5" t="s">
        <v>238</v>
      </c>
      <c r="AX735" s="5" t="s">
        <v>249</v>
      </c>
      <c r="AY735" s="5" t="s">
        <v>238</v>
      </c>
      <c r="BA735" s="5" t="s">
        <v>238</v>
      </c>
      <c r="BC735" s="5" t="s">
        <v>250</v>
      </c>
      <c r="BD735" s="6" t="s">
        <v>243</v>
      </c>
      <c r="BE735" s="5" t="s">
        <v>251</v>
      </c>
      <c r="BF735" s="5" t="s">
        <v>2153</v>
      </c>
      <c r="BG735" s="5" t="s">
        <v>238</v>
      </c>
      <c r="BH735" s="7">
        <f>0</f>
        <v>0</v>
      </c>
      <c r="BI735" s="8">
        <f>0</f>
        <v>0</v>
      </c>
      <c r="BJ735" s="5" t="s">
        <v>253</v>
      </c>
      <c r="BK735" s="5" t="s">
        <v>254</v>
      </c>
      <c r="BY735" s="5" t="s">
        <v>238</v>
      </c>
      <c r="BZ735" s="5" t="s">
        <v>238</v>
      </c>
      <c r="CD735" s="5" t="s">
        <v>255</v>
      </c>
      <c r="CE735" s="5" t="s">
        <v>256</v>
      </c>
      <c r="CF735" s="5" t="s">
        <v>238</v>
      </c>
      <c r="CI735" s="6" t="s">
        <v>257</v>
      </c>
      <c r="CJ735" s="5" t="s">
        <v>238</v>
      </c>
      <c r="CK735" s="5" t="s">
        <v>258</v>
      </c>
      <c r="CL735" s="5" t="s">
        <v>238</v>
      </c>
      <c r="CM735" s="5" t="s">
        <v>238</v>
      </c>
      <c r="CN735" s="5">
        <v>0</v>
      </c>
      <c r="CO735" s="5" t="s">
        <v>259</v>
      </c>
      <c r="CP735" s="5" t="s">
        <v>260</v>
      </c>
      <c r="CQ735" s="5" t="s">
        <v>260</v>
      </c>
      <c r="CR735" s="5" t="s">
        <v>261</v>
      </c>
      <c r="CU735" s="8">
        <f>183845</f>
        <v>183845</v>
      </c>
      <c r="CV735" s="8">
        <f>0</f>
        <v>0</v>
      </c>
      <c r="CX735" s="8">
        <f>0</f>
        <v>0</v>
      </c>
      <c r="CY735" s="8">
        <f>183845</f>
        <v>183845</v>
      </c>
      <c r="DA735" s="5" t="s">
        <v>2032</v>
      </c>
      <c r="DB735" s="5" t="s">
        <v>238</v>
      </c>
      <c r="DD735" s="5" t="s">
        <v>356</v>
      </c>
      <c r="DE735" s="8">
        <f>0</f>
        <v>0</v>
      </c>
      <c r="DG735" s="5" t="s">
        <v>389</v>
      </c>
      <c r="DH735" s="5" t="s">
        <v>238</v>
      </c>
      <c r="DI735" s="5" t="s">
        <v>238</v>
      </c>
      <c r="DJ735" s="5" t="s">
        <v>238</v>
      </c>
      <c r="DN735" s="5" t="s">
        <v>238</v>
      </c>
      <c r="DO735" s="5" t="s">
        <v>238</v>
      </c>
      <c r="DP735" s="5" t="s">
        <v>238</v>
      </c>
      <c r="DQ735" s="5" t="s">
        <v>238</v>
      </c>
      <c r="DT735" s="5" t="s">
        <v>4468</v>
      </c>
      <c r="DU735" s="5" t="s">
        <v>806</v>
      </c>
      <c r="HM735" s="5" t="s">
        <v>806</v>
      </c>
    </row>
    <row r="736" spans="1:221" x14ac:dyDescent="0.4">
      <c r="A736" s="5">
        <v>1848</v>
      </c>
      <c r="B736" s="5">
        <v>1</v>
      </c>
      <c r="C736" s="5">
        <v>1</v>
      </c>
      <c r="D736" s="5" t="s">
        <v>4466</v>
      </c>
      <c r="E736" s="5" t="s">
        <v>437</v>
      </c>
      <c r="F736" s="5" t="s">
        <v>248</v>
      </c>
      <c r="G736" s="5" t="s">
        <v>4465</v>
      </c>
      <c r="H736" s="6" t="s">
        <v>4481</v>
      </c>
      <c r="I736" s="7">
        <f>168</f>
        <v>168</v>
      </c>
      <c r="J736" s="5" t="s">
        <v>262</v>
      </c>
      <c r="K736" s="8">
        <f>372120</f>
        <v>372120</v>
      </c>
      <c r="L736" s="6" t="s">
        <v>242</v>
      </c>
      <c r="M736" s="5" t="s">
        <v>267</v>
      </c>
      <c r="N736" s="5" t="s">
        <v>237</v>
      </c>
      <c r="O736" s="5" t="s">
        <v>238</v>
      </c>
      <c r="P736" s="5" t="s">
        <v>238</v>
      </c>
      <c r="Q736" s="5" t="s">
        <v>239</v>
      </c>
      <c r="R736" s="5" t="s">
        <v>270</v>
      </c>
      <c r="S736" s="5" t="s">
        <v>238</v>
      </c>
      <c r="V736" s="5" t="s">
        <v>238</v>
      </c>
      <c r="X736" s="6" t="s">
        <v>238</v>
      </c>
      <c r="AA736" s="6" t="s">
        <v>243</v>
      </c>
      <c r="AB736" s="5" t="s">
        <v>238</v>
      </c>
      <c r="AC736" s="5" t="s">
        <v>244</v>
      </c>
      <c r="AD736" s="5" t="s">
        <v>245</v>
      </c>
      <c r="AT736" s="5" t="s">
        <v>246</v>
      </c>
      <c r="AU736" s="5" t="s">
        <v>238</v>
      </c>
      <c r="AV736" s="5" t="s">
        <v>247</v>
      </c>
      <c r="AW736" s="5" t="s">
        <v>238</v>
      </c>
      <c r="AX736" s="5" t="s">
        <v>249</v>
      </c>
      <c r="AY736" s="5" t="s">
        <v>238</v>
      </c>
      <c r="BA736" s="5" t="s">
        <v>238</v>
      </c>
      <c r="BC736" s="5" t="s">
        <v>250</v>
      </c>
      <c r="BD736" s="6" t="s">
        <v>243</v>
      </c>
      <c r="BE736" s="5" t="s">
        <v>251</v>
      </c>
      <c r="BF736" s="5" t="s">
        <v>2153</v>
      </c>
      <c r="BG736" s="5" t="s">
        <v>238</v>
      </c>
      <c r="BH736" s="7">
        <f>0</f>
        <v>0</v>
      </c>
      <c r="BI736" s="8">
        <f>0</f>
        <v>0</v>
      </c>
      <c r="BJ736" s="5" t="s">
        <v>253</v>
      </c>
      <c r="BK736" s="5" t="s">
        <v>254</v>
      </c>
      <c r="BY736" s="5" t="s">
        <v>238</v>
      </c>
      <c r="BZ736" s="5" t="s">
        <v>238</v>
      </c>
      <c r="CD736" s="5" t="s">
        <v>255</v>
      </c>
      <c r="CE736" s="5" t="s">
        <v>256</v>
      </c>
      <c r="CF736" s="5" t="s">
        <v>238</v>
      </c>
      <c r="CI736" s="6" t="s">
        <v>257</v>
      </c>
      <c r="CJ736" s="5" t="s">
        <v>238</v>
      </c>
      <c r="CK736" s="5" t="s">
        <v>258</v>
      </c>
      <c r="CL736" s="5" t="s">
        <v>238</v>
      </c>
      <c r="CM736" s="5" t="s">
        <v>238</v>
      </c>
      <c r="CN736" s="5">
        <v>0</v>
      </c>
      <c r="CO736" s="5" t="s">
        <v>259</v>
      </c>
      <c r="CP736" s="5" t="s">
        <v>260</v>
      </c>
      <c r="CQ736" s="5" t="s">
        <v>260</v>
      </c>
      <c r="CR736" s="5" t="s">
        <v>261</v>
      </c>
      <c r="CU736" s="8">
        <f>372120</f>
        <v>372120</v>
      </c>
      <c r="CV736" s="8">
        <f>0</f>
        <v>0</v>
      </c>
      <c r="CX736" s="8">
        <f>0</f>
        <v>0</v>
      </c>
      <c r="CY736" s="8">
        <f>372120</f>
        <v>372120</v>
      </c>
      <c r="DA736" s="5" t="s">
        <v>2032</v>
      </c>
      <c r="DB736" s="5" t="s">
        <v>238</v>
      </c>
      <c r="DD736" s="5" t="s">
        <v>356</v>
      </c>
      <c r="DE736" s="8">
        <f>0</f>
        <v>0</v>
      </c>
      <c r="DG736" s="5" t="s">
        <v>389</v>
      </c>
      <c r="DH736" s="5" t="s">
        <v>238</v>
      </c>
      <c r="DI736" s="5" t="s">
        <v>238</v>
      </c>
      <c r="DJ736" s="5" t="s">
        <v>238</v>
      </c>
      <c r="DN736" s="5" t="s">
        <v>238</v>
      </c>
      <c r="DO736" s="5" t="s">
        <v>238</v>
      </c>
      <c r="DP736" s="5" t="s">
        <v>238</v>
      </c>
      <c r="DQ736" s="5" t="s">
        <v>238</v>
      </c>
      <c r="DT736" s="5" t="s">
        <v>4468</v>
      </c>
      <c r="DU736" s="5" t="s">
        <v>854</v>
      </c>
      <c r="HM736" s="5" t="s">
        <v>806</v>
      </c>
    </row>
    <row r="737" spans="1:221" x14ac:dyDescent="0.4">
      <c r="A737" s="5">
        <v>1849</v>
      </c>
      <c r="B737" s="5">
        <v>1</v>
      </c>
      <c r="C737" s="5">
        <v>1</v>
      </c>
      <c r="D737" s="5" t="s">
        <v>4466</v>
      </c>
      <c r="E737" s="5" t="s">
        <v>437</v>
      </c>
      <c r="F737" s="5" t="s">
        <v>248</v>
      </c>
      <c r="G737" s="5" t="s">
        <v>4465</v>
      </c>
      <c r="H737" s="6" t="s">
        <v>6150</v>
      </c>
      <c r="I737" s="7">
        <f>123</f>
        <v>123</v>
      </c>
      <c r="J737" s="5" t="s">
        <v>262</v>
      </c>
      <c r="K737" s="8">
        <f>272445</f>
        <v>272445</v>
      </c>
      <c r="L737" s="6" t="s">
        <v>242</v>
      </c>
      <c r="M737" s="5" t="s">
        <v>267</v>
      </c>
      <c r="N737" s="5" t="s">
        <v>237</v>
      </c>
      <c r="O737" s="5" t="s">
        <v>238</v>
      </c>
      <c r="P737" s="5" t="s">
        <v>238</v>
      </c>
      <c r="Q737" s="5" t="s">
        <v>239</v>
      </c>
      <c r="R737" s="5" t="s">
        <v>270</v>
      </c>
      <c r="S737" s="5" t="s">
        <v>238</v>
      </c>
      <c r="V737" s="5" t="s">
        <v>238</v>
      </c>
      <c r="X737" s="6" t="s">
        <v>238</v>
      </c>
      <c r="AA737" s="6" t="s">
        <v>243</v>
      </c>
      <c r="AB737" s="5" t="s">
        <v>238</v>
      </c>
      <c r="AC737" s="5" t="s">
        <v>244</v>
      </c>
      <c r="AD737" s="5" t="s">
        <v>245</v>
      </c>
      <c r="AT737" s="5" t="s">
        <v>246</v>
      </c>
      <c r="AU737" s="5" t="s">
        <v>238</v>
      </c>
      <c r="AV737" s="5" t="s">
        <v>247</v>
      </c>
      <c r="AW737" s="5" t="s">
        <v>238</v>
      </c>
      <c r="AX737" s="5" t="s">
        <v>249</v>
      </c>
      <c r="AY737" s="5" t="s">
        <v>238</v>
      </c>
      <c r="BA737" s="5" t="s">
        <v>238</v>
      </c>
      <c r="BC737" s="5" t="s">
        <v>250</v>
      </c>
      <c r="BD737" s="6" t="s">
        <v>243</v>
      </c>
      <c r="BE737" s="5" t="s">
        <v>251</v>
      </c>
      <c r="BF737" s="5" t="s">
        <v>2153</v>
      </c>
      <c r="BG737" s="5" t="s">
        <v>238</v>
      </c>
      <c r="BH737" s="7">
        <f>0</f>
        <v>0</v>
      </c>
      <c r="BI737" s="8">
        <f>0</f>
        <v>0</v>
      </c>
      <c r="BJ737" s="5" t="s">
        <v>253</v>
      </c>
      <c r="BK737" s="5" t="s">
        <v>254</v>
      </c>
      <c r="BY737" s="5" t="s">
        <v>238</v>
      </c>
      <c r="BZ737" s="5" t="s">
        <v>238</v>
      </c>
      <c r="CD737" s="5" t="s">
        <v>255</v>
      </c>
      <c r="CE737" s="5" t="s">
        <v>256</v>
      </c>
      <c r="CF737" s="5" t="s">
        <v>238</v>
      </c>
      <c r="CI737" s="6" t="s">
        <v>257</v>
      </c>
      <c r="CJ737" s="5" t="s">
        <v>238</v>
      </c>
      <c r="CK737" s="5" t="s">
        <v>258</v>
      </c>
      <c r="CL737" s="5" t="s">
        <v>238</v>
      </c>
      <c r="CM737" s="5" t="s">
        <v>238</v>
      </c>
      <c r="CN737" s="5">
        <v>0</v>
      </c>
      <c r="CO737" s="5" t="s">
        <v>259</v>
      </c>
      <c r="CP737" s="5" t="s">
        <v>260</v>
      </c>
      <c r="CQ737" s="5" t="s">
        <v>260</v>
      </c>
      <c r="CR737" s="5" t="s">
        <v>261</v>
      </c>
      <c r="CU737" s="8">
        <f>272445</f>
        <v>272445</v>
      </c>
      <c r="CV737" s="8">
        <f>0</f>
        <v>0</v>
      </c>
      <c r="CX737" s="8">
        <f>0</f>
        <v>0</v>
      </c>
      <c r="CY737" s="8">
        <f>272445</f>
        <v>272445</v>
      </c>
      <c r="DA737" s="5" t="s">
        <v>2032</v>
      </c>
      <c r="DB737" s="5" t="s">
        <v>238</v>
      </c>
      <c r="DD737" s="5" t="s">
        <v>356</v>
      </c>
      <c r="DE737" s="8">
        <f>0</f>
        <v>0</v>
      </c>
      <c r="DG737" s="5" t="s">
        <v>389</v>
      </c>
      <c r="DH737" s="5" t="s">
        <v>238</v>
      </c>
      <c r="DI737" s="5" t="s">
        <v>238</v>
      </c>
      <c r="DJ737" s="5" t="s">
        <v>238</v>
      </c>
      <c r="DN737" s="5" t="s">
        <v>238</v>
      </c>
      <c r="DO737" s="5" t="s">
        <v>238</v>
      </c>
      <c r="DP737" s="5" t="s">
        <v>238</v>
      </c>
      <c r="DQ737" s="5" t="s">
        <v>238</v>
      </c>
      <c r="DT737" s="5" t="s">
        <v>4468</v>
      </c>
      <c r="DU737" s="5" t="s">
        <v>911</v>
      </c>
      <c r="HM737" s="5" t="s">
        <v>806</v>
      </c>
    </row>
    <row r="738" spans="1:221" x14ac:dyDescent="0.4">
      <c r="A738" s="5">
        <v>1850</v>
      </c>
      <c r="B738" s="5">
        <v>1</v>
      </c>
      <c r="C738" s="5">
        <v>1</v>
      </c>
      <c r="D738" s="5" t="s">
        <v>4466</v>
      </c>
      <c r="E738" s="5" t="s">
        <v>437</v>
      </c>
      <c r="F738" s="5" t="s">
        <v>248</v>
      </c>
      <c r="G738" s="5" t="s">
        <v>4465</v>
      </c>
      <c r="H738" s="6" t="s">
        <v>6151</v>
      </c>
      <c r="I738" s="7">
        <f>4011</f>
        <v>4011</v>
      </c>
      <c r="J738" s="5" t="s">
        <v>262</v>
      </c>
      <c r="K738" s="8">
        <f>44121</f>
        <v>44121</v>
      </c>
      <c r="L738" s="6" t="s">
        <v>242</v>
      </c>
      <c r="M738" s="5" t="s">
        <v>267</v>
      </c>
      <c r="N738" s="5" t="s">
        <v>237</v>
      </c>
      <c r="O738" s="5" t="s">
        <v>238</v>
      </c>
      <c r="P738" s="5" t="s">
        <v>238</v>
      </c>
      <c r="Q738" s="5" t="s">
        <v>239</v>
      </c>
      <c r="R738" s="5" t="s">
        <v>270</v>
      </c>
      <c r="S738" s="5" t="s">
        <v>238</v>
      </c>
      <c r="V738" s="5" t="s">
        <v>238</v>
      </c>
      <c r="X738" s="6" t="s">
        <v>238</v>
      </c>
      <c r="AA738" s="6" t="s">
        <v>243</v>
      </c>
      <c r="AB738" s="5" t="s">
        <v>238</v>
      </c>
      <c r="AC738" s="5" t="s">
        <v>244</v>
      </c>
      <c r="AD738" s="5" t="s">
        <v>245</v>
      </c>
      <c r="AT738" s="5" t="s">
        <v>246</v>
      </c>
      <c r="AU738" s="5" t="s">
        <v>238</v>
      </c>
      <c r="AV738" s="5" t="s">
        <v>247</v>
      </c>
      <c r="AW738" s="5" t="s">
        <v>238</v>
      </c>
      <c r="AX738" s="5" t="s">
        <v>249</v>
      </c>
      <c r="AY738" s="5" t="s">
        <v>238</v>
      </c>
      <c r="BA738" s="5" t="s">
        <v>1397</v>
      </c>
      <c r="BC738" s="5" t="s">
        <v>250</v>
      </c>
      <c r="BD738" s="6" t="s">
        <v>243</v>
      </c>
      <c r="BE738" s="5" t="s">
        <v>251</v>
      </c>
      <c r="BF738" s="5" t="s">
        <v>2153</v>
      </c>
      <c r="BG738" s="5" t="s">
        <v>238</v>
      </c>
      <c r="BH738" s="7">
        <f>0</f>
        <v>0</v>
      </c>
      <c r="BI738" s="8">
        <f>0</f>
        <v>0</v>
      </c>
      <c r="BJ738" s="5" t="s">
        <v>253</v>
      </c>
      <c r="BK738" s="5" t="s">
        <v>254</v>
      </c>
      <c r="BY738" s="5" t="s">
        <v>238</v>
      </c>
      <c r="BZ738" s="5" t="s">
        <v>238</v>
      </c>
      <c r="CD738" s="5" t="s">
        <v>255</v>
      </c>
      <c r="CE738" s="5" t="s">
        <v>256</v>
      </c>
      <c r="CF738" s="5" t="s">
        <v>238</v>
      </c>
      <c r="CI738" s="6" t="s">
        <v>257</v>
      </c>
      <c r="CJ738" s="5" t="s">
        <v>238</v>
      </c>
      <c r="CK738" s="5" t="s">
        <v>258</v>
      </c>
      <c r="CL738" s="5" t="s">
        <v>238</v>
      </c>
      <c r="CM738" s="5" t="s">
        <v>238</v>
      </c>
      <c r="CN738" s="5">
        <v>0</v>
      </c>
      <c r="CO738" s="5" t="s">
        <v>259</v>
      </c>
      <c r="CP738" s="5" t="s">
        <v>260</v>
      </c>
      <c r="CQ738" s="5" t="s">
        <v>260</v>
      </c>
      <c r="CR738" s="5" t="s">
        <v>261</v>
      </c>
      <c r="CU738" s="8">
        <f>44121</f>
        <v>44121</v>
      </c>
      <c r="CV738" s="8">
        <f>0</f>
        <v>0</v>
      </c>
      <c r="CX738" s="8">
        <f>0</f>
        <v>0</v>
      </c>
      <c r="CY738" s="8">
        <f>44121</f>
        <v>44121</v>
      </c>
      <c r="DA738" s="5" t="s">
        <v>356</v>
      </c>
      <c r="DB738" s="5" t="s">
        <v>238</v>
      </c>
      <c r="DD738" s="5" t="s">
        <v>356</v>
      </c>
      <c r="DE738" s="8">
        <f>0</f>
        <v>0</v>
      </c>
      <c r="DG738" s="5" t="s">
        <v>534</v>
      </c>
      <c r="DH738" s="5" t="s">
        <v>238</v>
      </c>
      <c r="DI738" s="5" t="s">
        <v>238</v>
      </c>
      <c r="DJ738" s="5" t="s">
        <v>238</v>
      </c>
      <c r="DN738" s="5" t="s">
        <v>238</v>
      </c>
      <c r="DO738" s="5" t="s">
        <v>238</v>
      </c>
      <c r="DP738" s="5" t="s">
        <v>238</v>
      </c>
      <c r="DQ738" s="5" t="s">
        <v>238</v>
      </c>
      <c r="DT738" s="5" t="s">
        <v>4468</v>
      </c>
      <c r="DU738" s="5" t="s">
        <v>967</v>
      </c>
      <c r="HM738" s="5" t="s">
        <v>806</v>
      </c>
    </row>
    <row r="739" spans="1:221" x14ac:dyDescent="0.4">
      <c r="A739" s="5">
        <v>1851</v>
      </c>
      <c r="B739" s="5">
        <v>1</v>
      </c>
      <c r="C739" s="5">
        <v>1</v>
      </c>
      <c r="D739" s="5" t="s">
        <v>4466</v>
      </c>
      <c r="E739" s="5" t="s">
        <v>437</v>
      </c>
      <c r="F739" s="5" t="s">
        <v>248</v>
      </c>
      <c r="G739" s="5" t="s">
        <v>4465</v>
      </c>
      <c r="H739" s="6" t="s">
        <v>4469</v>
      </c>
      <c r="I739" s="7">
        <f>437</f>
        <v>437</v>
      </c>
      <c r="J739" s="5" t="s">
        <v>262</v>
      </c>
      <c r="K739" s="8">
        <f>967955</f>
        <v>967955</v>
      </c>
      <c r="L739" s="6" t="s">
        <v>242</v>
      </c>
      <c r="M739" s="5" t="s">
        <v>267</v>
      </c>
      <c r="N739" s="5" t="s">
        <v>237</v>
      </c>
      <c r="O739" s="5" t="s">
        <v>238</v>
      </c>
      <c r="P739" s="5" t="s">
        <v>238</v>
      </c>
      <c r="Q739" s="5" t="s">
        <v>239</v>
      </c>
      <c r="R739" s="5" t="s">
        <v>270</v>
      </c>
      <c r="S739" s="5" t="s">
        <v>238</v>
      </c>
      <c r="V739" s="5" t="s">
        <v>238</v>
      </c>
      <c r="X739" s="6" t="s">
        <v>238</v>
      </c>
      <c r="AA739" s="6" t="s">
        <v>243</v>
      </c>
      <c r="AB739" s="5" t="s">
        <v>238</v>
      </c>
      <c r="AC739" s="5" t="s">
        <v>244</v>
      </c>
      <c r="AD739" s="5" t="s">
        <v>245</v>
      </c>
      <c r="AT739" s="5" t="s">
        <v>246</v>
      </c>
      <c r="AU739" s="5" t="s">
        <v>238</v>
      </c>
      <c r="AV739" s="5" t="s">
        <v>247</v>
      </c>
      <c r="AW739" s="5" t="s">
        <v>238</v>
      </c>
      <c r="AX739" s="5" t="s">
        <v>249</v>
      </c>
      <c r="AY739" s="5" t="s">
        <v>238</v>
      </c>
      <c r="BA739" s="5" t="s">
        <v>238</v>
      </c>
      <c r="BC739" s="5" t="s">
        <v>250</v>
      </c>
      <c r="BD739" s="6" t="s">
        <v>243</v>
      </c>
      <c r="BE739" s="5" t="s">
        <v>251</v>
      </c>
      <c r="BF739" s="5" t="s">
        <v>2153</v>
      </c>
      <c r="BG739" s="5" t="s">
        <v>238</v>
      </c>
      <c r="BH739" s="7">
        <f>0</f>
        <v>0</v>
      </c>
      <c r="BI739" s="8">
        <f>0</f>
        <v>0</v>
      </c>
      <c r="BJ739" s="5" t="s">
        <v>253</v>
      </c>
      <c r="BK739" s="5" t="s">
        <v>254</v>
      </c>
      <c r="BY739" s="5" t="s">
        <v>238</v>
      </c>
      <c r="BZ739" s="5" t="s">
        <v>238</v>
      </c>
      <c r="CD739" s="5" t="s">
        <v>255</v>
      </c>
      <c r="CE739" s="5" t="s">
        <v>256</v>
      </c>
      <c r="CF739" s="5" t="s">
        <v>238</v>
      </c>
      <c r="CI739" s="6" t="s">
        <v>257</v>
      </c>
      <c r="CJ739" s="5" t="s">
        <v>238</v>
      </c>
      <c r="CK739" s="5" t="s">
        <v>258</v>
      </c>
      <c r="CL739" s="5" t="s">
        <v>238</v>
      </c>
      <c r="CM739" s="5" t="s">
        <v>238</v>
      </c>
      <c r="CN739" s="5">
        <v>0</v>
      </c>
      <c r="CO739" s="5" t="s">
        <v>259</v>
      </c>
      <c r="CP739" s="5" t="s">
        <v>260</v>
      </c>
      <c r="CQ739" s="5" t="s">
        <v>260</v>
      </c>
      <c r="CR739" s="5" t="s">
        <v>261</v>
      </c>
      <c r="CU739" s="8">
        <f>967955</f>
        <v>967955</v>
      </c>
      <c r="CV739" s="8">
        <f>0</f>
        <v>0</v>
      </c>
      <c r="CX739" s="8">
        <f>0</f>
        <v>0</v>
      </c>
      <c r="CY739" s="8">
        <f>967955</f>
        <v>967955</v>
      </c>
      <c r="DA739" s="5" t="s">
        <v>2032</v>
      </c>
      <c r="DB739" s="5" t="s">
        <v>238</v>
      </c>
      <c r="DD739" s="5" t="s">
        <v>356</v>
      </c>
      <c r="DE739" s="8">
        <f>0</f>
        <v>0</v>
      </c>
      <c r="DG739" s="5" t="s">
        <v>389</v>
      </c>
      <c r="DH739" s="5" t="s">
        <v>238</v>
      </c>
      <c r="DI739" s="5" t="s">
        <v>238</v>
      </c>
      <c r="DJ739" s="5" t="s">
        <v>238</v>
      </c>
      <c r="DN739" s="5" t="s">
        <v>238</v>
      </c>
      <c r="DO739" s="5" t="s">
        <v>238</v>
      </c>
      <c r="DP739" s="5" t="s">
        <v>238</v>
      </c>
      <c r="DQ739" s="5" t="s">
        <v>238</v>
      </c>
      <c r="DT739" s="5" t="s">
        <v>4468</v>
      </c>
      <c r="DU739" s="5" t="s">
        <v>1376</v>
      </c>
      <c r="HM739" s="5" t="s">
        <v>806</v>
      </c>
    </row>
    <row r="740" spans="1:221" x14ac:dyDescent="0.4">
      <c r="A740" s="5">
        <v>1852</v>
      </c>
      <c r="B740" s="5">
        <v>1</v>
      </c>
      <c r="C740" s="5">
        <v>1</v>
      </c>
      <c r="D740" s="5" t="s">
        <v>4466</v>
      </c>
      <c r="E740" s="5" t="s">
        <v>437</v>
      </c>
      <c r="F740" s="5" t="s">
        <v>248</v>
      </c>
      <c r="G740" s="5" t="s">
        <v>4465</v>
      </c>
      <c r="H740" s="6" t="s">
        <v>6152</v>
      </c>
      <c r="I740" s="7">
        <f>1686</f>
        <v>1686</v>
      </c>
      <c r="J740" s="5" t="s">
        <v>262</v>
      </c>
      <c r="K740" s="8">
        <f>18546</f>
        <v>18546</v>
      </c>
      <c r="L740" s="6" t="s">
        <v>242</v>
      </c>
      <c r="M740" s="5" t="s">
        <v>267</v>
      </c>
      <c r="N740" s="5" t="s">
        <v>237</v>
      </c>
      <c r="O740" s="5" t="s">
        <v>238</v>
      </c>
      <c r="P740" s="5" t="s">
        <v>238</v>
      </c>
      <c r="Q740" s="5" t="s">
        <v>239</v>
      </c>
      <c r="R740" s="5" t="s">
        <v>270</v>
      </c>
      <c r="S740" s="5" t="s">
        <v>238</v>
      </c>
      <c r="V740" s="5" t="s">
        <v>238</v>
      </c>
      <c r="X740" s="6" t="s">
        <v>238</v>
      </c>
      <c r="AA740" s="6" t="s">
        <v>243</v>
      </c>
      <c r="AB740" s="5" t="s">
        <v>238</v>
      </c>
      <c r="AC740" s="5" t="s">
        <v>244</v>
      </c>
      <c r="AD740" s="5" t="s">
        <v>245</v>
      </c>
      <c r="AT740" s="5" t="s">
        <v>246</v>
      </c>
      <c r="AU740" s="5" t="s">
        <v>238</v>
      </c>
      <c r="AV740" s="5" t="s">
        <v>247</v>
      </c>
      <c r="AW740" s="5" t="s">
        <v>238</v>
      </c>
      <c r="AX740" s="5" t="s">
        <v>249</v>
      </c>
      <c r="AY740" s="5" t="s">
        <v>238</v>
      </c>
      <c r="BA740" s="5" t="s">
        <v>238</v>
      </c>
      <c r="BC740" s="5" t="s">
        <v>250</v>
      </c>
      <c r="BD740" s="6" t="s">
        <v>243</v>
      </c>
      <c r="BE740" s="5" t="s">
        <v>251</v>
      </c>
      <c r="BF740" s="5" t="s">
        <v>2153</v>
      </c>
      <c r="BG740" s="5" t="s">
        <v>238</v>
      </c>
      <c r="BH740" s="7">
        <f>0</f>
        <v>0</v>
      </c>
      <c r="BI740" s="8">
        <f>0</f>
        <v>0</v>
      </c>
      <c r="BJ740" s="5" t="s">
        <v>253</v>
      </c>
      <c r="BK740" s="5" t="s">
        <v>254</v>
      </c>
      <c r="BY740" s="5" t="s">
        <v>238</v>
      </c>
      <c r="BZ740" s="5" t="s">
        <v>238</v>
      </c>
      <c r="CD740" s="5" t="s">
        <v>255</v>
      </c>
      <c r="CE740" s="5" t="s">
        <v>256</v>
      </c>
      <c r="CF740" s="5" t="s">
        <v>238</v>
      </c>
      <c r="CI740" s="6" t="s">
        <v>257</v>
      </c>
      <c r="CJ740" s="5" t="s">
        <v>238</v>
      </c>
      <c r="CK740" s="5" t="s">
        <v>258</v>
      </c>
      <c r="CL740" s="5" t="s">
        <v>238</v>
      </c>
      <c r="CM740" s="5" t="s">
        <v>238</v>
      </c>
      <c r="CN740" s="5">
        <v>0</v>
      </c>
      <c r="CO740" s="5" t="s">
        <v>259</v>
      </c>
      <c r="CP740" s="5" t="s">
        <v>260</v>
      </c>
      <c r="CQ740" s="5" t="s">
        <v>260</v>
      </c>
      <c r="CR740" s="5" t="s">
        <v>261</v>
      </c>
      <c r="CU740" s="8">
        <f>18546</f>
        <v>18546</v>
      </c>
      <c r="CV740" s="8">
        <f>0</f>
        <v>0</v>
      </c>
      <c r="CX740" s="8">
        <f>0</f>
        <v>0</v>
      </c>
      <c r="CY740" s="8">
        <f>18546</f>
        <v>18546</v>
      </c>
      <c r="DA740" s="5" t="s">
        <v>356</v>
      </c>
      <c r="DB740" s="5" t="s">
        <v>238</v>
      </c>
      <c r="DD740" s="5" t="s">
        <v>356</v>
      </c>
      <c r="DE740" s="8">
        <f>0</f>
        <v>0</v>
      </c>
      <c r="DG740" s="5" t="s">
        <v>534</v>
      </c>
      <c r="DH740" s="5" t="s">
        <v>238</v>
      </c>
      <c r="DI740" s="5" t="s">
        <v>238</v>
      </c>
      <c r="DJ740" s="5" t="s">
        <v>238</v>
      </c>
      <c r="DN740" s="5" t="s">
        <v>238</v>
      </c>
      <c r="DO740" s="5" t="s">
        <v>238</v>
      </c>
      <c r="DP740" s="5" t="s">
        <v>238</v>
      </c>
      <c r="DQ740" s="5" t="s">
        <v>238</v>
      </c>
      <c r="DT740" s="5" t="s">
        <v>4468</v>
      </c>
      <c r="DU740" s="5" t="s">
        <v>1372</v>
      </c>
      <c r="HM740" s="5" t="s">
        <v>806</v>
      </c>
    </row>
    <row r="741" spans="1:221" x14ac:dyDescent="0.4">
      <c r="A741" s="5">
        <v>2208</v>
      </c>
      <c r="B741" s="5">
        <v>1</v>
      </c>
      <c r="C741" s="5">
        <v>1</v>
      </c>
      <c r="D741" s="5" t="s">
        <v>4384</v>
      </c>
      <c r="E741" s="5" t="s">
        <v>3885</v>
      </c>
      <c r="F741" s="5" t="s">
        <v>248</v>
      </c>
      <c r="G741" s="5" t="s">
        <v>4386</v>
      </c>
      <c r="H741" s="6" t="s">
        <v>4387</v>
      </c>
      <c r="I741" s="7">
        <f>3050</f>
        <v>3050</v>
      </c>
      <c r="J741" s="5" t="s">
        <v>262</v>
      </c>
      <c r="K741" s="8">
        <f>22336400</f>
        <v>22336400</v>
      </c>
      <c r="L741" s="6" t="s">
        <v>242</v>
      </c>
      <c r="M741" s="5" t="s">
        <v>267</v>
      </c>
      <c r="N741" s="5" t="s">
        <v>237</v>
      </c>
      <c r="O741" s="5" t="s">
        <v>238</v>
      </c>
      <c r="P741" s="5" t="s">
        <v>238</v>
      </c>
      <c r="Q741" s="5" t="s">
        <v>239</v>
      </c>
      <c r="R741" s="5" t="s">
        <v>270</v>
      </c>
      <c r="S741" s="5" t="s">
        <v>238</v>
      </c>
      <c r="V741" s="5" t="s">
        <v>238</v>
      </c>
      <c r="X741" s="6" t="s">
        <v>238</v>
      </c>
      <c r="AA741" s="6" t="s">
        <v>2584</v>
      </c>
      <c r="AB741" s="5" t="s">
        <v>238</v>
      </c>
      <c r="AC741" s="5" t="s">
        <v>244</v>
      </c>
      <c r="AD741" s="5" t="s">
        <v>245</v>
      </c>
      <c r="AT741" s="5" t="s">
        <v>246</v>
      </c>
      <c r="AU741" s="5" t="s">
        <v>238</v>
      </c>
      <c r="AV741" s="5" t="s">
        <v>247</v>
      </c>
      <c r="AW741" s="5" t="s">
        <v>238</v>
      </c>
      <c r="AX741" s="5" t="s">
        <v>249</v>
      </c>
      <c r="AY741" s="5" t="s">
        <v>238</v>
      </c>
      <c r="BA741" s="5" t="s">
        <v>238</v>
      </c>
      <c r="BC741" s="5" t="s">
        <v>1468</v>
      </c>
      <c r="BD741" s="6" t="s">
        <v>2584</v>
      </c>
      <c r="BE741" s="5" t="s">
        <v>251</v>
      </c>
      <c r="BF741" s="5" t="s">
        <v>3882</v>
      </c>
      <c r="BG741" s="5" t="s">
        <v>238</v>
      </c>
      <c r="BH741" s="7">
        <f>0</f>
        <v>0</v>
      </c>
      <c r="BI741" s="8">
        <f>0</f>
        <v>0</v>
      </c>
      <c r="BJ741" s="5" t="s">
        <v>253</v>
      </c>
      <c r="BK741" s="5" t="s">
        <v>254</v>
      </c>
      <c r="BY741" s="5" t="s">
        <v>238</v>
      </c>
      <c r="BZ741" s="5" t="s">
        <v>238</v>
      </c>
      <c r="CD741" s="5" t="s">
        <v>255</v>
      </c>
      <c r="CE741" s="5" t="s">
        <v>256</v>
      </c>
      <c r="CF741" s="5" t="s">
        <v>238</v>
      </c>
      <c r="CI741" s="6" t="s">
        <v>257</v>
      </c>
      <c r="CJ741" s="5" t="s">
        <v>238</v>
      </c>
      <c r="CK741" s="5" t="s">
        <v>258</v>
      </c>
      <c r="CL741" s="5" t="s">
        <v>238</v>
      </c>
      <c r="CM741" s="5" t="s">
        <v>238</v>
      </c>
      <c r="CN741" s="5">
        <v>0</v>
      </c>
      <c r="CO741" s="5" t="s">
        <v>259</v>
      </c>
      <c r="CP741" s="5" t="s">
        <v>260</v>
      </c>
      <c r="CQ741" s="5" t="s">
        <v>260</v>
      </c>
      <c r="CR741" s="5" t="s">
        <v>261</v>
      </c>
      <c r="CU741" s="8">
        <f>22336400</f>
        <v>22336400</v>
      </c>
      <c r="CV741" s="8">
        <f>0</f>
        <v>0</v>
      </c>
      <c r="CX741" s="8">
        <f>0</f>
        <v>0</v>
      </c>
      <c r="CY741" s="8">
        <f>22336400</f>
        <v>22336400</v>
      </c>
      <c r="DA741" s="5" t="s">
        <v>263</v>
      </c>
      <c r="DB741" s="5" t="s">
        <v>238</v>
      </c>
      <c r="DD741" s="5" t="s">
        <v>2032</v>
      </c>
      <c r="DE741" s="8">
        <f>2939</f>
        <v>2939</v>
      </c>
      <c r="DG741" s="5" t="s">
        <v>263</v>
      </c>
      <c r="DH741" s="5" t="s">
        <v>238</v>
      </c>
      <c r="DI741" s="5" t="s">
        <v>238</v>
      </c>
      <c r="DJ741" s="5" t="s">
        <v>238</v>
      </c>
      <c r="DN741" s="5" t="s">
        <v>238</v>
      </c>
      <c r="DO741" s="5" t="s">
        <v>238</v>
      </c>
      <c r="DP741" s="5" t="s">
        <v>238</v>
      </c>
      <c r="DQ741" s="5" t="s">
        <v>238</v>
      </c>
      <c r="DT741" s="5" t="s">
        <v>4385</v>
      </c>
      <c r="DU741" s="5" t="s">
        <v>911</v>
      </c>
      <c r="HM741" s="5" t="s">
        <v>854</v>
      </c>
    </row>
    <row r="742" spans="1:221" x14ac:dyDescent="0.4">
      <c r="A742" s="5">
        <v>2417</v>
      </c>
      <c r="B742" s="5">
        <v>1</v>
      </c>
      <c r="C742" s="5">
        <v>1</v>
      </c>
      <c r="D742" s="5" t="s">
        <v>2037</v>
      </c>
      <c r="E742" s="5" t="s">
        <v>271</v>
      </c>
      <c r="F742" s="5" t="s">
        <v>248</v>
      </c>
      <c r="G742" s="5" t="s">
        <v>1969</v>
      </c>
      <c r="H742" s="6" t="s">
        <v>3554</v>
      </c>
      <c r="I742" s="7">
        <f>35</f>
        <v>35</v>
      </c>
      <c r="J742" s="5" t="s">
        <v>262</v>
      </c>
      <c r="K742" s="8">
        <f>1</f>
        <v>1</v>
      </c>
      <c r="L742" s="6" t="s">
        <v>242</v>
      </c>
      <c r="M742" s="5" t="s">
        <v>267</v>
      </c>
      <c r="N742" s="5" t="s">
        <v>265</v>
      </c>
      <c r="O742" s="5" t="s">
        <v>238</v>
      </c>
      <c r="P742" s="5" t="s">
        <v>238</v>
      </c>
      <c r="Q742" s="5" t="s">
        <v>268</v>
      </c>
      <c r="R742" s="5" t="s">
        <v>270</v>
      </c>
      <c r="S742" s="5" t="s">
        <v>238</v>
      </c>
      <c r="V742" s="5" t="s">
        <v>238</v>
      </c>
      <c r="X742" s="6" t="s">
        <v>238</v>
      </c>
      <c r="AA742" s="6" t="s">
        <v>243</v>
      </c>
      <c r="AB742" s="5" t="s">
        <v>238</v>
      </c>
      <c r="AC742" s="5" t="s">
        <v>244</v>
      </c>
      <c r="AD742" s="5" t="s">
        <v>245</v>
      </c>
      <c r="AT742" s="5" t="s">
        <v>246</v>
      </c>
      <c r="AU742" s="5" t="s">
        <v>238</v>
      </c>
      <c r="AV742" s="5" t="s">
        <v>247</v>
      </c>
      <c r="AW742" s="5" t="s">
        <v>238</v>
      </c>
      <c r="AX742" s="5" t="s">
        <v>249</v>
      </c>
      <c r="AY742" s="5" t="s">
        <v>238</v>
      </c>
      <c r="BA742" s="5" t="s">
        <v>238</v>
      </c>
      <c r="BC742" s="5" t="s">
        <v>250</v>
      </c>
      <c r="BD742" s="6" t="s">
        <v>243</v>
      </c>
      <c r="BE742" s="5" t="s">
        <v>251</v>
      </c>
      <c r="BF742" s="5" t="s">
        <v>252</v>
      </c>
      <c r="BG742" s="5" t="s">
        <v>238</v>
      </c>
      <c r="BH742" s="7">
        <f>0</f>
        <v>0</v>
      </c>
      <c r="BI742" s="8">
        <f>0</f>
        <v>0</v>
      </c>
      <c r="BJ742" s="5" t="s">
        <v>253</v>
      </c>
      <c r="BK742" s="5" t="s">
        <v>254</v>
      </c>
      <c r="BY742" s="5" t="s">
        <v>238</v>
      </c>
      <c r="BZ742" s="5" t="s">
        <v>238</v>
      </c>
      <c r="CD742" s="5" t="s">
        <v>273</v>
      </c>
      <c r="CE742" s="5" t="s">
        <v>256</v>
      </c>
      <c r="CF742" s="5" t="s">
        <v>238</v>
      </c>
      <c r="CI742" s="6" t="s">
        <v>257</v>
      </c>
      <c r="CJ742" s="5" t="s">
        <v>238</v>
      </c>
      <c r="CK742" s="5" t="s">
        <v>258</v>
      </c>
      <c r="CL742" s="5" t="s">
        <v>238</v>
      </c>
      <c r="CM742" s="5" t="s">
        <v>238</v>
      </c>
      <c r="CN742" s="5">
        <v>0</v>
      </c>
      <c r="CO742" s="5" t="s">
        <v>259</v>
      </c>
      <c r="CP742" s="5" t="s">
        <v>260</v>
      </c>
      <c r="CQ742" s="5" t="s">
        <v>260</v>
      </c>
      <c r="CR742" s="5" t="s">
        <v>261</v>
      </c>
      <c r="CU742" s="8">
        <f>1</f>
        <v>1</v>
      </c>
      <c r="CV742" s="8">
        <f>0</f>
        <v>0</v>
      </c>
      <c r="CX742" s="8">
        <f>0</f>
        <v>0</v>
      </c>
      <c r="CY742" s="8">
        <f>1</f>
        <v>1</v>
      </c>
      <c r="DA742" s="5" t="s">
        <v>673</v>
      </c>
      <c r="DB742" s="5" t="s">
        <v>238</v>
      </c>
      <c r="DD742" s="5" t="s">
        <v>673</v>
      </c>
      <c r="DE742" s="8">
        <f>35</f>
        <v>35</v>
      </c>
      <c r="DG742" s="5" t="s">
        <v>238</v>
      </c>
      <c r="DH742" s="5" t="s">
        <v>238</v>
      </c>
      <c r="DI742" s="5" t="s">
        <v>238</v>
      </c>
      <c r="DJ742" s="5" t="s">
        <v>238</v>
      </c>
      <c r="DN742" s="5" t="s">
        <v>238</v>
      </c>
      <c r="DO742" s="5" t="s">
        <v>238</v>
      </c>
      <c r="DP742" s="5" t="s">
        <v>238</v>
      </c>
      <c r="DQ742" s="5" t="s">
        <v>238</v>
      </c>
      <c r="DT742" s="5" t="s">
        <v>2039</v>
      </c>
      <c r="DU742" s="5" t="s">
        <v>264</v>
      </c>
      <c r="HM742" s="5" t="s">
        <v>264</v>
      </c>
    </row>
    <row r="743" spans="1:221" x14ac:dyDescent="0.4">
      <c r="A743" s="5">
        <v>2418</v>
      </c>
      <c r="B743" s="5">
        <v>1</v>
      </c>
      <c r="C743" s="5">
        <v>1</v>
      </c>
      <c r="D743" s="5" t="s">
        <v>2037</v>
      </c>
      <c r="E743" s="5" t="s">
        <v>271</v>
      </c>
      <c r="F743" s="5" t="s">
        <v>248</v>
      </c>
      <c r="G743" s="5" t="s">
        <v>1969</v>
      </c>
      <c r="H743" s="6" t="s">
        <v>2838</v>
      </c>
      <c r="I743" s="7">
        <f>70</f>
        <v>70</v>
      </c>
      <c r="J743" s="5" t="s">
        <v>262</v>
      </c>
      <c r="K743" s="8">
        <f>1</f>
        <v>1</v>
      </c>
      <c r="L743" s="6" t="s">
        <v>242</v>
      </c>
      <c r="M743" s="5" t="s">
        <v>267</v>
      </c>
      <c r="N743" s="5" t="s">
        <v>265</v>
      </c>
      <c r="O743" s="5" t="s">
        <v>238</v>
      </c>
      <c r="P743" s="5" t="s">
        <v>238</v>
      </c>
      <c r="Q743" s="5" t="s">
        <v>268</v>
      </c>
      <c r="R743" s="5" t="s">
        <v>270</v>
      </c>
      <c r="S743" s="5" t="s">
        <v>238</v>
      </c>
      <c r="V743" s="5" t="s">
        <v>238</v>
      </c>
      <c r="X743" s="6" t="s">
        <v>238</v>
      </c>
      <c r="AA743" s="6" t="s">
        <v>243</v>
      </c>
      <c r="AB743" s="5" t="s">
        <v>238</v>
      </c>
      <c r="AC743" s="5" t="s">
        <v>244</v>
      </c>
      <c r="AD743" s="5" t="s">
        <v>245</v>
      </c>
      <c r="AT743" s="5" t="s">
        <v>246</v>
      </c>
      <c r="AU743" s="5" t="s">
        <v>238</v>
      </c>
      <c r="AV743" s="5" t="s">
        <v>247</v>
      </c>
      <c r="AW743" s="5" t="s">
        <v>238</v>
      </c>
      <c r="AX743" s="5" t="s">
        <v>249</v>
      </c>
      <c r="AY743" s="5" t="s">
        <v>238</v>
      </c>
      <c r="BA743" s="5" t="s">
        <v>238</v>
      </c>
      <c r="BC743" s="5" t="s">
        <v>250</v>
      </c>
      <c r="BD743" s="6" t="s">
        <v>243</v>
      </c>
      <c r="BE743" s="5" t="s">
        <v>251</v>
      </c>
      <c r="BF743" s="5" t="s">
        <v>252</v>
      </c>
      <c r="BG743" s="5" t="s">
        <v>238</v>
      </c>
      <c r="BH743" s="7">
        <f>0</f>
        <v>0</v>
      </c>
      <c r="BI743" s="8">
        <f>0</f>
        <v>0</v>
      </c>
      <c r="BJ743" s="5" t="s">
        <v>253</v>
      </c>
      <c r="BK743" s="5" t="s">
        <v>254</v>
      </c>
      <c r="BY743" s="5" t="s">
        <v>238</v>
      </c>
      <c r="BZ743" s="5" t="s">
        <v>238</v>
      </c>
      <c r="CD743" s="5" t="s">
        <v>273</v>
      </c>
      <c r="CE743" s="5" t="s">
        <v>256</v>
      </c>
      <c r="CF743" s="5" t="s">
        <v>238</v>
      </c>
      <c r="CI743" s="6" t="s">
        <v>257</v>
      </c>
      <c r="CJ743" s="5" t="s">
        <v>238</v>
      </c>
      <c r="CK743" s="5" t="s">
        <v>258</v>
      </c>
      <c r="CL743" s="5" t="s">
        <v>238</v>
      </c>
      <c r="CM743" s="5" t="s">
        <v>238</v>
      </c>
      <c r="CN743" s="5">
        <v>0</v>
      </c>
      <c r="CO743" s="5" t="s">
        <v>259</v>
      </c>
      <c r="CP743" s="5" t="s">
        <v>260</v>
      </c>
      <c r="CQ743" s="5" t="s">
        <v>260</v>
      </c>
      <c r="CR743" s="5" t="s">
        <v>261</v>
      </c>
      <c r="CU743" s="8">
        <f>1</f>
        <v>1</v>
      </c>
      <c r="CV743" s="8">
        <f>0</f>
        <v>0</v>
      </c>
      <c r="CX743" s="8">
        <f>0</f>
        <v>0</v>
      </c>
      <c r="CY743" s="8">
        <f>1</f>
        <v>1</v>
      </c>
      <c r="DA743" s="5" t="s">
        <v>673</v>
      </c>
      <c r="DB743" s="5" t="s">
        <v>238</v>
      </c>
      <c r="DD743" s="5" t="s">
        <v>673</v>
      </c>
      <c r="DE743" s="8">
        <f>70</f>
        <v>70</v>
      </c>
      <c r="DG743" s="5" t="s">
        <v>238</v>
      </c>
      <c r="DH743" s="5" t="s">
        <v>238</v>
      </c>
      <c r="DI743" s="5" t="s">
        <v>238</v>
      </c>
      <c r="DJ743" s="5" t="s">
        <v>238</v>
      </c>
      <c r="DN743" s="5" t="s">
        <v>238</v>
      </c>
      <c r="DO743" s="5" t="s">
        <v>238</v>
      </c>
      <c r="DP743" s="5" t="s">
        <v>238</v>
      </c>
      <c r="DQ743" s="5" t="s">
        <v>238</v>
      </c>
      <c r="DT743" s="5" t="s">
        <v>2039</v>
      </c>
      <c r="DU743" s="5" t="s">
        <v>294</v>
      </c>
      <c r="HM743" s="5" t="s">
        <v>264</v>
      </c>
    </row>
    <row r="744" spans="1:221" x14ac:dyDescent="0.4">
      <c r="A744" s="5">
        <v>2419</v>
      </c>
      <c r="B744" s="5">
        <v>1</v>
      </c>
      <c r="C744" s="5">
        <v>1</v>
      </c>
      <c r="D744" s="5" t="s">
        <v>2037</v>
      </c>
      <c r="E744" s="5" t="s">
        <v>271</v>
      </c>
      <c r="F744" s="5" t="s">
        <v>248</v>
      </c>
      <c r="G744" s="5" t="s">
        <v>1969</v>
      </c>
      <c r="H744" s="6" t="s">
        <v>2079</v>
      </c>
      <c r="I744" s="7">
        <f>5223</f>
        <v>5223</v>
      </c>
      <c r="J744" s="5" t="s">
        <v>262</v>
      </c>
      <c r="K744" s="8">
        <f>1</f>
        <v>1</v>
      </c>
      <c r="L744" s="6" t="s">
        <v>242</v>
      </c>
      <c r="M744" s="5" t="s">
        <v>267</v>
      </c>
      <c r="N744" s="5" t="s">
        <v>265</v>
      </c>
      <c r="O744" s="5" t="s">
        <v>238</v>
      </c>
      <c r="P744" s="5" t="s">
        <v>238</v>
      </c>
      <c r="Q744" s="5" t="s">
        <v>268</v>
      </c>
      <c r="R744" s="5" t="s">
        <v>270</v>
      </c>
      <c r="S744" s="5" t="s">
        <v>238</v>
      </c>
      <c r="V744" s="5" t="s">
        <v>238</v>
      </c>
      <c r="X744" s="6" t="s">
        <v>238</v>
      </c>
      <c r="AA744" s="6" t="s">
        <v>243</v>
      </c>
      <c r="AB744" s="5" t="s">
        <v>238</v>
      </c>
      <c r="AC744" s="5" t="s">
        <v>244</v>
      </c>
      <c r="AD744" s="5" t="s">
        <v>245</v>
      </c>
      <c r="AT744" s="5" t="s">
        <v>246</v>
      </c>
      <c r="AU744" s="5" t="s">
        <v>238</v>
      </c>
      <c r="AV744" s="5" t="s">
        <v>247</v>
      </c>
      <c r="AW744" s="5" t="s">
        <v>238</v>
      </c>
      <c r="AX744" s="5" t="s">
        <v>249</v>
      </c>
      <c r="AY744" s="5" t="s">
        <v>238</v>
      </c>
      <c r="BA744" s="5" t="s">
        <v>238</v>
      </c>
      <c r="BC744" s="5" t="s">
        <v>250</v>
      </c>
      <c r="BD744" s="6" t="s">
        <v>243</v>
      </c>
      <c r="BE744" s="5" t="s">
        <v>251</v>
      </c>
      <c r="BF744" s="5" t="s">
        <v>252</v>
      </c>
      <c r="BG744" s="5" t="s">
        <v>238</v>
      </c>
      <c r="BH744" s="7">
        <f>0</f>
        <v>0</v>
      </c>
      <c r="BI744" s="8">
        <f>0</f>
        <v>0</v>
      </c>
      <c r="BJ744" s="5" t="s">
        <v>253</v>
      </c>
      <c r="BK744" s="5" t="s">
        <v>254</v>
      </c>
      <c r="BY744" s="5" t="s">
        <v>238</v>
      </c>
      <c r="BZ744" s="5" t="s">
        <v>238</v>
      </c>
      <c r="CD744" s="5" t="s">
        <v>273</v>
      </c>
      <c r="CE744" s="5" t="s">
        <v>256</v>
      </c>
      <c r="CF744" s="5" t="s">
        <v>238</v>
      </c>
      <c r="CI744" s="6" t="s">
        <v>257</v>
      </c>
      <c r="CJ744" s="5" t="s">
        <v>238</v>
      </c>
      <c r="CK744" s="5" t="s">
        <v>258</v>
      </c>
      <c r="CL744" s="5" t="s">
        <v>238</v>
      </c>
      <c r="CM744" s="5" t="s">
        <v>238</v>
      </c>
      <c r="CN744" s="5">
        <v>0</v>
      </c>
      <c r="CO744" s="5" t="s">
        <v>259</v>
      </c>
      <c r="CP744" s="5" t="s">
        <v>260</v>
      </c>
      <c r="CQ744" s="5" t="s">
        <v>260</v>
      </c>
      <c r="CR744" s="5" t="s">
        <v>261</v>
      </c>
      <c r="CU744" s="8">
        <f>1</f>
        <v>1</v>
      </c>
      <c r="CV744" s="8">
        <f>0</f>
        <v>0</v>
      </c>
      <c r="CX744" s="8">
        <f>0</f>
        <v>0</v>
      </c>
      <c r="CY744" s="8">
        <f>1</f>
        <v>1</v>
      </c>
      <c r="DA744" s="5" t="s">
        <v>673</v>
      </c>
      <c r="DB744" s="5" t="s">
        <v>238</v>
      </c>
      <c r="DD744" s="5" t="s">
        <v>673</v>
      </c>
      <c r="DE744" s="8">
        <f>5223</f>
        <v>5223</v>
      </c>
      <c r="DG744" s="5" t="s">
        <v>238</v>
      </c>
      <c r="DH744" s="5" t="s">
        <v>238</v>
      </c>
      <c r="DI744" s="5" t="s">
        <v>238</v>
      </c>
      <c r="DJ744" s="5" t="s">
        <v>238</v>
      </c>
      <c r="DN744" s="5" t="s">
        <v>238</v>
      </c>
      <c r="DO744" s="5" t="s">
        <v>238</v>
      </c>
      <c r="DP744" s="5" t="s">
        <v>238</v>
      </c>
      <c r="DQ744" s="5" t="s">
        <v>238</v>
      </c>
      <c r="DT744" s="5" t="s">
        <v>2039</v>
      </c>
      <c r="DU744" s="5" t="s">
        <v>806</v>
      </c>
      <c r="HM744" s="5" t="s">
        <v>264</v>
      </c>
    </row>
    <row r="745" spans="1:221" x14ac:dyDescent="0.4">
      <c r="A745" s="5">
        <v>2420</v>
      </c>
      <c r="B745" s="5">
        <v>1</v>
      </c>
      <c r="C745" s="5">
        <v>1</v>
      </c>
      <c r="D745" s="5" t="s">
        <v>2037</v>
      </c>
      <c r="E745" s="5" t="s">
        <v>271</v>
      </c>
      <c r="F745" s="5" t="s">
        <v>248</v>
      </c>
      <c r="G745" s="5" t="s">
        <v>1969</v>
      </c>
      <c r="H745" s="6" t="s">
        <v>2840</v>
      </c>
      <c r="I745" s="7">
        <f>984</f>
        <v>984</v>
      </c>
      <c r="J745" s="5" t="s">
        <v>262</v>
      </c>
      <c r="K745" s="8">
        <f>1</f>
        <v>1</v>
      </c>
      <c r="L745" s="6" t="s">
        <v>242</v>
      </c>
      <c r="M745" s="5" t="s">
        <v>267</v>
      </c>
      <c r="N745" s="5" t="s">
        <v>265</v>
      </c>
      <c r="O745" s="5" t="s">
        <v>238</v>
      </c>
      <c r="P745" s="5" t="s">
        <v>238</v>
      </c>
      <c r="Q745" s="5" t="s">
        <v>268</v>
      </c>
      <c r="R745" s="5" t="s">
        <v>270</v>
      </c>
      <c r="S745" s="5" t="s">
        <v>238</v>
      </c>
      <c r="V745" s="5" t="s">
        <v>238</v>
      </c>
      <c r="X745" s="6" t="s">
        <v>238</v>
      </c>
      <c r="AA745" s="6" t="s">
        <v>243</v>
      </c>
      <c r="AB745" s="5" t="s">
        <v>238</v>
      </c>
      <c r="AC745" s="5" t="s">
        <v>244</v>
      </c>
      <c r="AD745" s="5" t="s">
        <v>245</v>
      </c>
      <c r="AT745" s="5" t="s">
        <v>246</v>
      </c>
      <c r="AU745" s="5" t="s">
        <v>238</v>
      </c>
      <c r="AV745" s="5" t="s">
        <v>247</v>
      </c>
      <c r="AW745" s="5" t="s">
        <v>238</v>
      </c>
      <c r="AX745" s="5" t="s">
        <v>249</v>
      </c>
      <c r="AY745" s="5" t="s">
        <v>238</v>
      </c>
      <c r="BA745" s="5" t="s">
        <v>238</v>
      </c>
      <c r="BC745" s="5" t="s">
        <v>250</v>
      </c>
      <c r="BD745" s="6" t="s">
        <v>243</v>
      </c>
      <c r="BE745" s="5" t="s">
        <v>251</v>
      </c>
      <c r="BF745" s="5" t="s">
        <v>252</v>
      </c>
      <c r="BG745" s="5" t="s">
        <v>238</v>
      </c>
      <c r="BH745" s="7">
        <f>0</f>
        <v>0</v>
      </c>
      <c r="BI745" s="8">
        <f>0</f>
        <v>0</v>
      </c>
      <c r="BJ745" s="5" t="s">
        <v>253</v>
      </c>
      <c r="BK745" s="5" t="s">
        <v>254</v>
      </c>
      <c r="BY745" s="5" t="s">
        <v>238</v>
      </c>
      <c r="BZ745" s="5" t="s">
        <v>238</v>
      </c>
      <c r="CD745" s="5" t="s">
        <v>273</v>
      </c>
      <c r="CE745" s="5" t="s">
        <v>256</v>
      </c>
      <c r="CF745" s="5" t="s">
        <v>238</v>
      </c>
      <c r="CI745" s="6" t="s">
        <v>257</v>
      </c>
      <c r="CJ745" s="5" t="s">
        <v>238</v>
      </c>
      <c r="CK745" s="5" t="s">
        <v>258</v>
      </c>
      <c r="CL745" s="5" t="s">
        <v>238</v>
      </c>
      <c r="CM745" s="5" t="s">
        <v>238</v>
      </c>
      <c r="CN745" s="5">
        <v>0</v>
      </c>
      <c r="CO745" s="5" t="s">
        <v>259</v>
      </c>
      <c r="CP745" s="5" t="s">
        <v>260</v>
      </c>
      <c r="CQ745" s="5" t="s">
        <v>260</v>
      </c>
      <c r="CR745" s="5" t="s">
        <v>261</v>
      </c>
      <c r="CU745" s="8">
        <f>1</f>
        <v>1</v>
      </c>
      <c r="CV745" s="8">
        <f>0</f>
        <v>0</v>
      </c>
      <c r="CX745" s="8">
        <f>0</f>
        <v>0</v>
      </c>
      <c r="CY745" s="8">
        <f>1</f>
        <v>1</v>
      </c>
      <c r="DA745" s="5" t="s">
        <v>673</v>
      </c>
      <c r="DB745" s="5" t="s">
        <v>238</v>
      </c>
      <c r="DD745" s="5" t="s">
        <v>673</v>
      </c>
      <c r="DE745" s="8">
        <f>984</f>
        <v>984</v>
      </c>
      <c r="DG745" s="5" t="s">
        <v>238</v>
      </c>
      <c r="DH745" s="5" t="s">
        <v>238</v>
      </c>
      <c r="DI745" s="5" t="s">
        <v>238</v>
      </c>
      <c r="DJ745" s="5" t="s">
        <v>238</v>
      </c>
      <c r="DN745" s="5" t="s">
        <v>238</v>
      </c>
      <c r="DO745" s="5" t="s">
        <v>238</v>
      </c>
      <c r="DP745" s="5" t="s">
        <v>238</v>
      </c>
      <c r="DQ745" s="5" t="s">
        <v>238</v>
      </c>
      <c r="DT745" s="5" t="s">
        <v>2039</v>
      </c>
      <c r="DU745" s="5" t="s">
        <v>854</v>
      </c>
      <c r="HM745" s="5" t="s">
        <v>264</v>
      </c>
    </row>
    <row r="746" spans="1:221" x14ac:dyDescent="0.4">
      <c r="A746" s="5">
        <v>2421</v>
      </c>
      <c r="B746" s="5">
        <v>1</v>
      </c>
      <c r="C746" s="5">
        <v>1</v>
      </c>
      <c r="D746" s="5" t="s">
        <v>2037</v>
      </c>
      <c r="E746" s="5" t="s">
        <v>271</v>
      </c>
      <c r="F746" s="5" t="s">
        <v>248</v>
      </c>
      <c r="G746" s="5" t="s">
        <v>1969</v>
      </c>
      <c r="H746" s="6" t="s">
        <v>2283</v>
      </c>
      <c r="I746" s="7">
        <f>1409</f>
        <v>1409</v>
      </c>
      <c r="J746" s="5" t="s">
        <v>262</v>
      </c>
      <c r="K746" s="8">
        <f>1</f>
        <v>1</v>
      </c>
      <c r="L746" s="6" t="s">
        <v>242</v>
      </c>
      <c r="M746" s="5" t="s">
        <v>267</v>
      </c>
      <c r="N746" s="5" t="s">
        <v>265</v>
      </c>
      <c r="O746" s="5" t="s">
        <v>238</v>
      </c>
      <c r="P746" s="5" t="s">
        <v>238</v>
      </c>
      <c r="Q746" s="5" t="s">
        <v>268</v>
      </c>
      <c r="R746" s="5" t="s">
        <v>270</v>
      </c>
      <c r="S746" s="5" t="s">
        <v>238</v>
      </c>
      <c r="V746" s="5" t="s">
        <v>238</v>
      </c>
      <c r="X746" s="6" t="s">
        <v>238</v>
      </c>
      <c r="AA746" s="6" t="s">
        <v>243</v>
      </c>
      <c r="AB746" s="5" t="s">
        <v>238</v>
      </c>
      <c r="AC746" s="5" t="s">
        <v>244</v>
      </c>
      <c r="AD746" s="5" t="s">
        <v>245</v>
      </c>
      <c r="AT746" s="5" t="s">
        <v>246</v>
      </c>
      <c r="AU746" s="5" t="s">
        <v>238</v>
      </c>
      <c r="AV746" s="5" t="s">
        <v>247</v>
      </c>
      <c r="AW746" s="5" t="s">
        <v>238</v>
      </c>
      <c r="AX746" s="5" t="s">
        <v>249</v>
      </c>
      <c r="AY746" s="5" t="s">
        <v>238</v>
      </c>
      <c r="BA746" s="5" t="s">
        <v>238</v>
      </c>
      <c r="BC746" s="5" t="s">
        <v>250</v>
      </c>
      <c r="BD746" s="6" t="s">
        <v>243</v>
      </c>
      <c r="BE746" s="5" t="s">
        <v>251</v>
      </c>
      <c r="BF746" s="5" t="s">
        <v>252</v>
      </c>
      <c r="BG746" s="5" t="s">
        <v>238</v>
      </c>
      <c r="BH746" s="7">
        <f>0</f>
        <v>0</v>
      </c>
      <c r="BI746" s="8">
        <f>0</f>
        <v>0</v>
      </c>
      <c r="BJ746" s="5" t="s">
        <v>253</v>
      </c>
      <c r="BK746" s="5" t="s">
        <v>254</v>
      </c>
      <c r="BY746" s="5" t="s">
        <v>238</v>
      </c>
      <c r="BZ746" s="5" t="s">
        <v>238</v>
      </c>
      <c r="CD746" s="5" t="s">
        <v>273</v>
      </c>
      <c r="CE746" s="5" t="s">
        <v>256</v>
      </c>
      <c r="CF746" s="5" t="s">
        <v>238</v>
      </c>
      <c r="CI746" s="6" t="s">
        <v>257</v>
      </c>
      <c r="CJ746" s="5" t="s">
        <v>238</v>
      </c>
      <c r="CK746" s="5" t="s">
        <v>258</v>
      </c>
      <c r="CL746" s="5" t="s">
        <v>238</v>
      </c>
      <c r="CM746" s="5" t="s">
        <v>238</v>
      </c>
      <c r="CN746" s="5">
        <v>0</v>
      </c>
      <c r="CO746" s="5" t="s">
        <v>259</v>
      </c>
      <c r="CP746" s="5" t="s">
        <v>260</v>
      </c>
      <c r="CQ746" s="5" t="s">
        <v>260</v>
      </c>
      <c r="CR746" s="5" t="s">
        <v>261</v>
      </c>
      <c r="CU746" s="8">
        <f>1</f>
        <v>1</v>
      </c>
      <c r="CV746" s="8">
        <f>0</f>
        <v>0</v>
      </c>
      <c r="CX746" s="8">
        <f>0</f>
        <v>0</v>
      </c>
      <c r="CY746" s="8">
        <f>1</f>
        <v>1</v>
      </c>
      <c r="DA746" s="5" t="s">
        <v>673</v>
      </c>
      <c r="DB746" s="5" t="s">
        <v>238</v>
      </c>
      <c r="DD746" s="5" t="s">
        <v>673</v>
      </c>
      <c r="DE746" s="8">
        <f>1409</f>
        <v>1409</v>
      </c>
      <c r="DG746" s="5" t="s">
        <v>238</v>
      </c>
      <c r="DH746" s="5" t="s">
        <v>238</v>
      </c>
      <c r="DI746" s="5" t="s">
        <v>238</v>
      </c>
      <c r="DJ746" s="5" t="s">
        <v>238</v>
      </c>
      <c r="DN746" s="5" t="s">
        <v>238</v>
      </c>
      <c r="DO746" s="5" t="s">
        <v>238</v>
      </c>
      <c r="DP746" s="5" t="s">
        <v>238</v>
      </c>
      <c r="DQ746" s="5" t="s">
        <v>238</v>
      </c>
      <c r="DT746" s="5" t="s">
        <v>2039</v>
      </c>
      <c r="DU746" s="5" t="s">
        <v>911</v>
      </c>
      <c r="HM746" s="5" t="s">
        <v>264</v>
      </c>
    </row>
    <row r="747" spans="1:221" x14ac:dyDescent="0.4">
      <c r="A747" s="5">
        <v>2422</v>
      </c>
      <c r="B747" s="5">
        <v>1</v>
      </c>
      <c r="C747" s="5">
        <v>1</v>
      </c>
      <c r="D747" s="5" t="s">
        <v>2037</v>
      </c>
      <c r="E747" s="5" t="s">
        <v>271</v>
      </c>
      <c r="F747" s="5" t="s">
        <v>248</v>
      </c>
      <c r="G747" s="5" t="s">
        <v>1969</v>
      </c>
      <c r="H747" s="6" t="s">
        <v>2842</v>
      </c>
      <c r="I747" s="7">
        <f>184</f>
        <v>184</v>
      </c>
      <c r="J747" s="5" t="s">
        <v>262</v>
      </c>
      <c r="K747" s="8">
        <f>1</f>
        <v>1</v>
      </c>
      <c r="L747" s="6" t="s">
        <v>242</v>
      </c>
      <c r="M747" s="5" t="s">
        <v>267</v>
      </c>
      <c r="N747" s="5" t="s">
        <v>265</v>
      </c>
      <c r="O747" s="5" t="s">
        <v>238</v>
      </c>
      <c r="P747" s="5" t="s">
        <v>238</v>
      </c>
      <c r="Q747" s="5" t="s">
        <v>268</v>
      </c>
      <c r="R747" s="5" t="s">
        <v>270</v>
      </c>
      <c r="S747" s="5" t="s">
        <v>238</v>
      </c>
      <c r="V747" s="5" t="s">
        <v>238</v>
      </c>
      <c r="X747" s="6" t="s">
        <v>238</v>
      </c>
      <c r="AA747" s="6" t="s">
        <v>243</v>
      </c>
      <c r="AB747" s="5" t="s">
        <v>238</v>
      </c>
      <c r="AC747" s="5" t="s">
        <v>244</v>
      </c>
      <c r="AD747" s="5" t="s">
        <v>245</v>
      </c>
      <c r="AT747" s="5" t="s">
        <v>246</v>
      </c>
      <c r="AU747" s="5" t="s">
        <v>238</v>
      </c>
      <c r="AV747" s="5" t="s">
        <v>247</v>
      </c>
      <c r="AW747" s="5" t="s">
        <v>238</v>
      </c>
      <c r="AX747" s="5" t="s">
        <v>249</v>
      </c>
      <c r="AY747" s="5" t="s">
        <v>238</v>
      </c>
      <c r="BA747" s="5" t="s">
        <v>238</v>
      </c>
      <c r="BC747" s="5" t="s">
        <v>250</v>
      </c>
      <c r="BD747" s="6" t="s">
        <v>243</v>
      </c>
      <c r="BE747" s="5" t="s">
        <v>251</v>
      </c>
      <c r="BF747" s="5" t="s">
        <v>252</v>
      </c>
      <c r="BG747" s="5" t="s">
        <v>238</v>
      </c>
      <c r="BH747" s="7">
        <f>0</f>
        <v>0</v>
      </c>
      <c r="BI747" s="8">
        <f>0</f>
        <v>0</v>
      </c>
      <c r="BJ747" s="5" t="s">
        <v>253</v>
      </c>
      <c r="BK747" s="5" t="s">
        <v>254</v>
      </c>
      <c r="BY747" s="5" t="s">
        <v>238</v>
      </c>
      <c r="BZ747" s="5" t="s">
        <v>238</v>
      </c>
      <c r="CD747" s="5" t="s">
        <v>273</v>
      </c>
      <c r="CE747" s="5" t="s">
        <v>256</v>
      </c>
      <c r="CF747" s="5" t="s">
        <v>238</v>
      </c>
      <c r="CI747" s="6" t="s">
        <v>257</v>
      </c>
      <c r="CJ747" s="5" t="s">
        <v>238</v>
      </c>
      <c r="CK747" s="5" t="s">
        <v>258</v>
      </c>
      <c r="CL747" s="5" t="s">
        <v>238</v>
      </c>
      <c r="CM747" s="5" t="s">
        <v>238</v>
      </c>
      <c r="CN747" s="5">
        <v>0</v>
      </c>
      <c r="CO747" s="5" t="s">
        <v>259</v>
      </c>
      <c r="CP747" s="5" t="s">
        <v>260</v>
      </c>
      <c r="CQ747" s="5" t="s">
        <v>260</v>
      </c>
      <c r="CR747" s="5" t="s">
        <v>261</v>
      </c>
      <c r="CU747" s="8">
        <f>1</f>
        <v>1</v>
      </c>
      <c r="CV747" s="8">
        <f>0</f>
        <v>0</v>
      </c>
      <c r="CX747" s="8">
        <f>0</f>
        <v>0</v>
      </c>
      <c r="CY747" s="8">
        <f>1</f>
        <v>1</v>
      </c>
      <c r="DA747" s="5" t="s">
        <v>673</v>
      </c>
      <c r="DB747" s="5" t="s">
        <v>238</v>
      </c>
      <c r="DD747" s="5" t="s">
        <v>673</v>
      </c>
      <c r="DE747" s="8">
        <f>184</f>
        <v>184</v>
      </c>
      <c r="DG747" s="5" t="s">
        <v>238</v>
      </c>
      <c r="DH747" s="5" t="s">
        <v>238</v>
      </c>
      <c r="DI747" s="5" t="s">
        <v>238</v>
      </c>
      <c r="DJ747" s="5" t="s">
        <v>238</v>
      </c>
      <c r="DN747" s="5" t="s">
        <v>238</v>
      </c>
      <c r="DO747" s="5" t="s">
        <v>238</v>
      </c>
      <c r="DP747" s="5" t="s">
        <v>238</v>
      </c>
      <c r="DQ747" s="5" t="s">
        <v>238</v>
      </c>
      <c r="DT747" s="5" t="s">
        <v>2039</v>
      </c>
      <c r="DU747" s="5" t="s">
        <v>967</v>
      </c>
      <c r="HM747" s="5" t="s">
        <v>264</v>
      </c>
    </row>
    <row r="748" spans="1:221" x14ac:dyDescent="0.4">
      <c r="A748" s="5">
        <v>2423</v>
      </c>
      <c r="B748" s="5">
        <v>1</v>
      </c>
      <c r="C748" s="5">
        <v>1</v>
      </c>
      <c r="D748" s="5" t="s">
        <v>2037</v>
      </c>
      <c r="E748" s="5" t="s">
        <v>271</v>
      </c>
      <c r="F748" s="5" t="s">
        <v>248</v>
      </c>
      <c r="G748" s="5" t="s">
        <v>1969</v>
      </c>
      <c r="H748" s="6" t="s">
        <v>2432</v>
      </c>
      <c r="I748" s="7">
        <f>6453</f>
        <v>6453</v>
      </c>
      <c r="J748" s="5" t="s">
        <v>262</v>
      </c>
      <c r="K748" s="8">
        <f>1</f>
        <v>1</v>
      </c>
      <c r="L748" s="6" t="s">
        <v>242</v>
      </c>
      <c r="M748" s="5" t="s">
        <v>267</v>
      </c>
      <c r="N748" s="5" t="s">
        <v>265</v>
      </c>
      <c r="O748" s="5" t="s">
        <v>238</v>
      </c>
      <c r="P748" s="5" t="s">
        <v>238</v>
      </c>
      <c r="Q748" s="5" t="s">
        <v>268</v>
      </c>
      <c r="R748" s="5" t="s">
        <v>270</v>
      </c>
      <c r="S748" s="5" t="s">
        <v>238</v>
      </c>
      <c r="V748" s="5" t="s">
        <v>238</v>
      </c>
      <c r="X748" s="6" t="s">
        <v>238</v>
      </c>
      <c r="AA748" s="6" t="s">
        <v>243</v>
      </c>
      <c r="AB748" s="5" t="s">
        <v>238</v>
      </c>
      <c r="AC748" s="5" t="s">
        <v>244</v>
      </c>
      <c r="AD748" s="5" t="s">
        <v>245</v>
      </c>
      <c r="AT748" s="5" t="s">
        <v>246</v>
      </c>
      <c r="AU748" s="5" t="s">
        <v>238</v>
      </c>
      <c r="AV748" s="5" t="s">
        <v>247</v>
      </c>
      <c r="AW748" s="5" t="s">
        <v>238</v>
      </c>
      <c r="AX748" s="5" t="s">
        <v>249</v>
      </c>
      <c r="AY748" s="5" t="s">
        <v>238</v>
      </c>
      <c r="BA748" s="5" t="s">
        <v>238</v>
      </c>
      <c r="BC748" s="5" t="s">
        <v>250</v>
      </c>
      <c r="BD748" s="6" t="s">
        <v>243</v>
      </c>
      <c r="BE748" s="5" t="s">
        <v>251</v>
      </c>
      <c r="BF748" s="5" t="s">
        <v>252</v>
      </c>
      <c r="BG748" s="5" t="s">
        <v>238</v>
      </c>
      <c r="BH748" s="7">
        <f>0</f>
        <v>0</v>
      </c>
      <c r="BI748" s="8">
        <f>0</f>
        <v>0</v>
      </c>
      <c r="BJ748" s="5" t="s">
        <v>253</v>
      </c>
      <c r="BK748" s="5" t="s">
        <v>254</v>
      </c>
      <c r="BY748" s="5" t="s">
        <v>238</v>
      </c>
      <c r="BZ748" s="5" t="s">
        <v>238</v>
      </c>
      <c r="CD748" s="5" t="s">
        <v>273</v>
      </c>
      <c r="CE748" s="5" t="s">
        <v>256</v>
      </c>
      <c r="CF748" s="5" t="s">
        <v>238</v>
      </c>
      <c r="CI748" s="6" t="s">
        <v>257</v>
      </c>
      <c r="CJ748" s="5" t="s">
        <v>238</v>
      </c>
      <c r="CK748" s="5" t="s">
        <v>258</v>
      </c>
      <c r="CL748" s="5" t="s">
        <v>238</v>
      </c>
      <c r="CM748" s="5" t="s">
        <v>238</v>
      </c>
      <c r="CN748" s="5">
        <v>0</v>
      </c>
      <c r="CO748" s="5" t="s">
        <v>259</v>
      </c>
      <c r="CP748" s="5" t="s">
        <v>260</v>
      </c>
      <c r="CQ748" s="5" t="s">
        <v>260</v>
      </c>
      <c r="CR748" s="5" t="s">
        <v>261</v>
      </c>
      <c r="CU748" s="8">
        <f>1</f>
        <v>1</v>
      </c>
      <c r="CV748" s="8">
        <f>0</f>
        <v>0</v>
      </c>
      <c r="CX748" s="8">
        <f>0</f>
        <v>0</v>
      </c>
      <c r="CY748" s="8">
        <f>1</f>
        <v>1</v>
      </c>
      <c r="DA748" s="5" t="s">
        <v>673</v>
      </c>
      <c r="DB748" s="5" t="s">
        <v>238</v>
      </c>
      <c r="DD748" s="5" t="s">
        <v>673</v>
      </c>
      <c r="DE748" s="8">
        <f>6453</f>
        <v>6453</v>
      </c>
      <c r="DG748" s="5" t="s">
        <v>238</v>
      </c>
      <c r="DH748" s="5" t="s">
        <v>238</v>
      </c>
      <c r="DI748" s="5" t="s">
        <v>238</v>
      </c>
      <c r="DJ748" s="5" t="s">
        <v>238</v>
      </c>
      <c r="DN748" s="5" t="s">
        <v>238</v>
      </c>
      <c r="DO748" s="5" t="s">
        <v>238</v>
      </c>
      <c r="DP748" s="5" t="s">
        <v>238</v>
      </c>
      <c r="DQ748" s="5" t="s">
        <v>238</v>
      </c>
      <c r="DT748" s="5" t="s">
        <v>2039</v>
      </c>
      <c r="DU748" s="5" t="s">
        <v>1376</v>
      </c>
      <c r="HM748" s="5" t="s">
        <v>264</v>
      </c>
    </row>
    <row r="749" spans="1:221" x14ac:dyDescent="0.4">
      <c r="A749" s="5">
        <v>2424</v>
      </c>
      <c r="B749" s="5">
        <v>1</v>
      </c>
      <c r="C749" s="5">
        <v>1</v>
      </c>
      <c r="D749" s="5" t="s">
        <v>2037</v>
      </c>
      <c r="E749" s="5" t="s">
        <v>271</v>
      </c>
      <c r="F749" s="5" t="s">
        <v>248</v>
      </c>
      <c r="G749" s="5" t="s">
        <v>1969</v>
      </c>
      <c r="H749" s="6" t="s">
        <v>3458</v>
      </c>
      <c r="I749" s="7">
        <f>557</f>
        <v>557</v>
      </c>
      <c r="J749" s="5" t="s">
        <v>262</v>
      </c>
      <c r="K749" s="8">
        <f>1</f>
        <v>1</v>
      </c>
      <c r="L749" s="6" t="s">
        <v>242</v>
      </c>
      <c r="M749" s="5" t="s">
        <v>267</v>
      </c>
      <c r="N749" s="5" t="s">
        <v>265</v>
      </c>
      <c r="O749" s="5" t="s">
        <v>238</v>
      </c>
      <c r="P749" s="5" t="s">
        <v>238</v>
      </c>
      <c r="Q749" s="5" t="s">
        <v>268</v>
      </c>
      <c r="R749" s="5" t="s">
        <v>270</v>
      </c>
      <c r="S749" s="5" t="s">
        <v>238</v>
      </c>
      <c r="V749" s="5" t="s">
        <v>238</v>
      </c>
      <c r="X749" s="6" t="s">
        <v>238</v>
      </c>
      <c r="AA749" s="6" t="s">
        <v>243</v>
      </c>
      <c r="AB749" s="5" t="s">
        <v>238</v>
      </c>
      <c r="AC749" s="5" t="s">
        <v>244</v>
      </c>
      <c r="AD749" s="5" t="s">
        <v>245</v>
      </c>
      <c r="AT749" s="5" t="s">
        <v>246</v>
      </c>
      <c r="AU749" s="5" t="s">
        <v>238</v>
      </c>
      <c r="AV749" s="5" t="s">
        <v>247</v>
      </c>
      <c r="AW749" s="5" t="s">
        <v>238</v>
      </c>
      <c r="AX749" s="5" t="s">
        <v>249</v>
      </c>
      <c r="AY749" s="5" t="s">
        <v>238</v>
      </c>
      <c r="BA749" s="5" t="s">
        <v>238</v>
      </c>
      <c r="BC749" s="5" t="s">
        <v>250</v>
      </c>
      <c r="BD749" s="6" t="s">
        <v>243</v>
      </c>
      <c r="BE749" s="5" t="s">
        <v>251</v>
      </c>
      <c r="BF749" s="5" t="s">
        <v>252</v>
      </c>
      <c r="BG749" s="5" t="s">
        <v>238</v>
      </c>
      <c r="BH749" s="7">
        <f>0</f>
        <v>0</v>
      </c>
      <c r="BI749" s="8">
        <f>0</f>
        <v>0</v>
      </c>
      <c r="BJ749" s="5" t="s">
        <v>253</v>
      </c>
      <c r="BK749" s="5" t="s">
        <v>254</v>
      </c>
      <c r="BY749" s="5" t="s">
        <v>238</v>
      </c>
      <c r="BZ749" s="5" t="s">
        <v>238</v>
      </c>
      <c r="CD749" s="5" t="s">
        <v>273</v>
      </c>
      <c r="CE749" s="5" t="s">
        <v>256</v>
      </c>
      <c r="CF749" s="5" t="s">
        <v>238</v>
      </c>
      <c r="CI749" s="6" t="s">
        <v>257</v>
      </c>
      <c r="CJ749" s="5" t="s">
        <v>238</v>
      </c>
      <c r="CK749" s="5" t="s">
        <v>258</v>
      </c>
      <c r="CL749" s="5" t="s">
        <v>238</v>
      </c>
      <c r="CM749" s="5" t="s">
        <v>238</v>
      </c>
      <c r="CN749" s="5">
        <v>0</v>
      </c>
      <c r="CO749" s="5" t="s">
        <v>259</v>
      </c>
      <c r="CP749" s="5" t="s">
        <v>260</v>
      </c>
      <c r="CQ749" s="5" t="s">
        <v>260</v>
      </c>
      <c r="CR749" s="5" t="s">
        <v>261</v>
      </c>
      <c r="CU749" s="8">
        <f>1</f>
        <v>1</v>
      </c>
      <c r="CV749" s="8">
        <f>0</f>
        <v>0</v>
      </c>
      <c r="CX749" s="8">
        <f>0</f>
        <v>0</v>
      </c>
      <c r="CY749" s="8">
        <f>1</f>
        <v>1</v>
      </c>
      <c r="DA749" s="5" t="s">
        <v>673</v>
      </c>
      <c r="DB749" s="5" t="s">
        <v>238</v>
      </c>
      <c r="DD749" s="5" t="s">
        <v>673</v>
      </c>
      <c r="DE749" s="8">
        <f>557</f>
        <v>557</v>
      </c>
      <c r="DG749" s="5" t="s">
        <v>238</v>
      </c>
      <c r="DH749" s="5" t="s">
        <v>238</v>
      </c>
      <c r="DI749" s="5" t="s">
        <v>238</v>
      </c>
      <c r="DJ749" s="5" t="s">
        <v>238</v>
      </c>
      <c r="DN749" s="5" t="s">
        <v>238</v>
      </c>
      <c r="DO749" s="5" t="s">
        <v>238</v>
      </c>
      <c r="DP749" s="5" t="s">
        <v>238</v>
      </c>
      <c r="DQ749" s="5" t="s">
        <v>238</v>
      </c>
      <c r="DT749" s="5" t="s">
        <v>2039</v>
      </c>
      <c r="DU749" s="5" t="s">
        <v>1372</v>
      </c>
      <c r="HM749" s="5" t="s">
        <v>264</v>
      </c>
    </row>
    <row r="750" spans="1:221" x14ac:dyDescent="0.4">
      <c r="A750" s="5">
        <v>2425</v>
      </c>
      <c r="B750" s="5">
        <v>1</v>
      </c>
      <c r="C750" s="5">
        <v>1</v>
      </c>
      <c r="D750" s="5" t="s">
        <v>2037</v>
      </c>
      <c r="E750" s="5" t="s">
        <v>271</v>
      </c>
      <c r="F750" s="5" t="s">
        <v>248</v>
      </c>
      <c r="G750" s="5" t="s">
        <v>1969</v>
      </c>
      <c r="H750" s="6" t="s">
        <v>2543</v>
      </c>
      <c r="I750" s="7">
        <f>735</f>
        <v>735</v>
      </c>
      <c r="J750" s="5" t="s">
        <v>262</v>
      </c>
      <c r="K750" s="8">
        <f>1</f>
        <v>1</v>
      </c>
      <c r="L750" s="6" t="s">
        <v>242</v>
      </c>
      <c r="M750" s="5" t="s">
        <v>267</v>
      </c>
      <c r="N750" s="5" t="s">
        <v>265</v>
      </c>
      <c r="O750" s="5" t="s">
        <v>238</v>
      </c>
      <c r="P750" s="5" t="s">
        <v>238</v>
      </c>
      <c r="Q750" s="5" t="s">
        <v>268</v>
      </c>
      <c r="R750" s="5" t="s">
        <v>270</v>
      </c>
      <c r="S750" s="5" t="s">
        <v>238</v>
      </c>
      <c r="V750" s="5" t="s">
        <v>238</v>
      </c>
      <c r="X750" s="6" t="s">
        <v>238</v>
      </c>
      <c r="AA750" s="6" t="s">
        <v>243</v>
      </c>
      <c r="AB750" s="5" t="s">
        <v>238</v>
      </c>
      <c r="AC750" s="5" t="s">
        <v>244</v>
      </c>
      <c r="AD750" s="5" t="s">
        <v>245</v>
      </c>
      <c r="AT750" s="5" t="s">
        <v>246</v>
      </c>
      <c r="AU750" s="5" t="s">
        <v>238</v>
      </c>
      <c r="AV750" s="5" t="s">
        <v>247</v>
      </c>
      <c r="AW750" s="5" t="s">
        <v>238</v>
      </c>
      <c r="AX750" s="5" t="s">
        <v>249</v>
      </c>
      <c r="AY750" s="5" t="s">
        <v>238</v>
      </c>
      <c r="BA750" s="5" t="s">
        <v>238</v>
      </c>
      <c r="BC750" s="5" t="s">
        <v>250</v>
      </c>
      <c r="BD750" s="6" t="s">
        <v>243</v>
      </c>
      <c r="BE750" s="5" t="s">
        <v>251</v>
      </c>
      <c r="BF750" s="5" t="s">
        <v>252</v>
      </c>
      <c r="BG750" s="5" t="s">
        <v>238</v>
      </c>
      <c r="BH750" s="7">
        <f>0</f>
        <v>0</v>
      </c>
      <c r="BI750" s="8">
        <f>0</f>
        <v>0</v>
      </c>
      <c r="BJ750" s="5" t="s">
        <v>253</v>
      </c>
      <c r="BK750" s="5" t="s">
        <v>254</v>
      </c>
      <c r="BY750" s="5" t="s">
        <v>238</v>
      </c>
      <c r="BZ750" s="5" t="s">
        <v>238</v>
      </c>
      <c r="CD750" s="5" t="s">
        <v>273</v>
      </c>
      <c r="CE750" s="5" t="s">
        <v>256</v>
      </c>
      <c r="CF750" s="5" t="s">
        <v>238</v>
      </c>
      <c r="CI750" s="6" t="s">
        <v>257</v>
      </c>
      <c r="CJ750" s="5" t="s">
        <v>238</v>
      </c>
      <c r="CK750" s="5" t="s">
        <v>258</v>
      </c>
      <c r="CL750" s="5" t="s">
        <v>238</v>
      </c>
      <c r="CM750" s="5" t="s">
        <v>238</v>
      </c>
      <c r="CN750" s="5">
        <v>0</v>
      </c>
      <c r="CO750" s="5" t="s">
        <v>259</v>
      </c>
      <c r="CP750" s="5" t="s">
        <v>260</v>
      </c>
      <c r="CQ750" s="5" t="s">
        <v>260</v>
      </c>
      <c r="CR750" s="5" t="s">
        <v>261</v>
      </c>
      <c r="CU750" s="8">
        <f>1</f>
        <v>1</v>
      </c>
      <c r="CV750" s="8">
        <f>0</f>
        <v>0</v>
      </c>
      <c r="CX750" s="8">
        <f>0</f>
        <v>0</v>
      </c>
      <c r="CY750" s="8">
        <f>1</f>
        <v>1</v>
      </c>
      <c r="DA750" s="5" t="s">
        <v>673</v>
      </c>
      <c r="DB750" s="5" t="s">
        <v>238</v>
      </c>
      <c r="DD750" s="5" t="s">
        <v>673</v>
      </c>
      <c r="DE750" s="8">
        <f>735</f>
        <v>735</v>
      </c>
      <c r="DG750" s="5" t="s">
        <v>238</v>
      </c>
      <c r="DH750" s="5" t="s">
        <v>238</v>
      </c>
      <c r="DI750" s="5" t="s">
        <v>238</v>
      </c>
      <c r="DJ750" s="5" t="s">
        <v>238</v>
      </c>
      <c r="DN750" s="5" t="s">
        <v>238</v>
      </c>
      <c r="DO750" s="5" t="s">
        <v>238</v>
      </c>
      <c r="DP750" s="5" t="s">
        <v>238</v>
      </c>
      <c r="DQ750" s="5" t="s">
        <v>238</v>
      </c>
      <c r="DT750" s="5" t="s">
        <v>2039</v>
      </c>
      <c r="DU750" s="5" t="s">
        <v>1370</v>
      </c>
      <c r="HM750" s="5" t="s">
        <v>264</v>
      </c>
    </row>
    <row r="751" spans="1:221" x14ac:dyDescent="0.4">
      <c r="A751" s="5">
        <v>2426</v>
      </c>
      <c r="B751" s="5">
        <v>1</v>
      </c>
      <c r="C751" s="5">
        <v>1</v>
      </c>
      <c r="D751" s="5" t="s">
        <v>2037</v>
      </c>
      <c r="E751" s="5" t="s">
        <v>271</v>
      </c>
      <c r="F751" s="5" t="s">
        <v>248</v>
      </c>
      <c r="G751" s="5" t="s">
        <v>1969</v>
      </c>
      <c r="H751" s="6" t="s">
        <v>3455</v>
      </c>
      <c r="I751" s="7">
        <f>1183</f>
        <v>1183</v>
      </c>
      <c r="J751" s="5" t="s">
        <v>262</v>
      </c>
      <c r="K751" s="8">
        <f>1</f>
        <v>1</v>
      </c>
      <c r="L751" s="6" t="s">
        <v>242</v>
      </c>
      <c r="M751" s="5" t="s">
        <v>267</v>
      </c>
      <c r="N751" s="5" t="s">
        <v>265</v>
      </c>
      <c r="O751" s="5" t="s">
        <v>238</v>
      </c>
      <c r="P751" s="5" t="s">
        <v>238</v>
      </c>
      <c r="Q751" s="5" t="s">
        <v>268</v>
      </c>
      <c r="R751" s="5" t="s">
        <v>270</v>
      </c>
      <c r="S751" s="5" t="s">
        <v>238</v>
      </c>
      <c r="V751" s="5" t="s">
        <v>238</v>
      </c>
      <c r="X751" s="6" t="s">
        <v>238</v>
      </c>
      <c r="AA751" s="6" t="s">
        <v>243</v>
      </c>
      <c r="AB751" s="5" t="s">
        <v>238</v>
      </c>
      <c r="AC751" s="5" t="s">
        <v>244</v>
      </c>
      <c r="AD751" s="5" t="s">
        <v>245</v>
      </c>
      <c r="AT751" s="5" t="s">
        <v>246</v>
      </c>
      <c r="AU751" s="5" t="s">
        <v>238</v>
      </c>
      <c r="AV751" s="5" t="s">
        <v>247</v>
      </c>
      <c r="AW751" s="5" t="s">
        <v>238</v>
      </c>
      <c r="AX751" s="5" t="s">
        <v>249</v>
      </c>
      <c r="AY751" s="5" t="s">
        <v>238</v>
      </c>
      <c r="BA751" s="5" t="s">
        <v>238</v>
      </c>
      <c r="BC751" s="5" t="s">
        <v>250</v>
      </c>
      <c r="BD751" s="6" t="s">
        <v>243</v>
      </c>
      <c r="BE751" s="5" t="s">
        <v>251</v>
      </c>
      <c r="BF751" s="5" t="s">
        <v>252</v>
      </c>
      <c r="BG751" s="5" t="s">
        <v>238</v>
      </c>
      <c r="BH751" s="7">
        <f>0</f>
        <v>0</v>
      </c>
      <c r="BI751" s="8">
        <f>0</f>
        <v>0</v>
      </c>
      <c r="BJ751" s="5" t="s">
        <v>253</v>
      </c>
      <c r="BK751" s="5" t="s">
        <v>254</v>
      </c>
      <c r="BY751" s="5" t="s">
        <v>238</v>
      </c>
      <c r="BZ751" s="5" t="s">
        <v>238</v>
      </c>
      <c r="CD751" s="5" t="s">
        <v>273</v>
      </c>
      <c r="CE751" s="5" t="s">
        <v>256</v>
      </c>
      <c r="CF751" s="5" t="s">
        <v>238</v>
      </c>
      <c r="CI751" s="6" t="s">
        <v>257</v>
      </c>
      <c r="CJ751" s="5" t="s">
        <v>238</v>
      </c>
      <c r="CK751" s="5" t="s">
        <v>258</v>
      </c>
      <c r="CL751" s="5" t="s">
        <v>238</v>
      </c>
      <c r="CM751" s="5" t="s">
        <v>238</v>
      </c>
      <c r="CN751" s="5">
        <v>0</v>
      </c>
      <c r="CO751" s="5" t="s">
        <v>259</v>
      </c>
      <c r="CP751" s="5" t="s">
        <v>260</v>
      </c>
      <c r="CQ751" s="5" t="s">
        <v>260</v>
      </c>
      <c r="CR751" s="5" t="s">
        <v>261</v>
      </c>
      <c r="CU751" s="8">
        <f>1</f>
        <v>1</v>
      </c>
      <c r="CV751" s="8">
        <f>0</f>
        <v>0</v>
      </c>
      <c r="CX751" s="8">
        <f>0</f>
        <v>0</v>
      </c>
      <c r="CY751" s="8">
        <f>1</f>
        <v>1</v>
      </c>
      <c r="DA751" s="5" t="s">
        <v>673</v>
      </c>
      <c r="DB751" s="5" t="s">
        <v>238</v>
      </c>
      <c r="DD751" s="5" t="s">
        <v>673</v>
      </c>
      <c r="DE751" s="8">
        <f>1183</f>
        <v>1183</v>
      </c>
      <c r="DF751" s="6" t="s">
        <v>3456</v>
      </c>
      <c r="DG751" s="5" t="s">
        <v>238</v>
      </c>
      <c r="DH751" s="5" t="s">
        <v>238</v>
      </c>
      <c r="DI751" s="5" t="s">
        <v>238</v>
      </c>
      <c r="DJ751" s="5" t="s">
        <v>238</v>
      </c>
      <c r="DN751" s="5" t="s">
        <v>238</v>
      </c>
      <c r="DO751" s="5" t="s">
        <v>238</v>
      </c>
      <c r="DP751" s="5" t="s">
        <v>238</v>
      </c>
      <c r="DQ751" s="5" t="s">
        <v>238</v>
      </c>
      <c r="DT751" s="5" t="s">
        <v>2039</v>
      </c>
      <c r="DU751" s="5" t="s">
        <v>1364</v>
      </c>
      <c r="HM751" s="5" t="s">
        <v>264</v>
      </c>
    </row>
    <row r="752" spans="1:221" x14ac:dyDescent="0.4">
      <c r="A752" s="5">
        <v>2427</v>
      </c>
      <c r="B752" s="5">
        <v>1</v>
      </c>
      <c r="C752" s="5">
        <v>1</v>
      </c>
      <c r="D752" s="5" t="s">
        <v>2037</v>
      </c>
      <c r="E752" s="5" t="s">
        <v>271</v>
      </c>
      <c r="F752" s="5" t="s">
        <v>248</v>
      </c>
      <c r="G752" s="5" t="s">
        <v>1969</v>
      </c>
      <c r="H752" s="6" t="s">
        <v>3454</v>
      </c>
      <c r="I752" s="7">
        <f>10107</f>
        <v>10107</v>
      </c>
      <c r="J752" s="5" t="s">
        <v>262</v>
      </c>
      <c r="K752" s="8">
        <f>1</f>
        <v>1</v>
      </c>
      <c r="L752" s="6" t="s">
        <v>242</v>
      </c>
      <c r="M752" s="5" t="s">
        <v>267</v>
      </c>
      <c r="N752" s="5" t="s">
        <v>265</v>
      </c>
      <c r="O752" s="5" t="s">
        <v>238</v>
      </c>
      <c r="P752" s="5" t="s">
        <v>238</v>
      </c>
      <c r="Q752" s="5" t="s">
        <v>268</v>
      </c>
      <c r="R752" s="5" t="s">
        <v>270</v>
      </c>
      <c r="S752" s="5" t="s">
        <v>238</v>
      </c>
      <c r="V752" s="5" t="s">
        <v>238</v>
      </c>
      <c r="X752" s="6" t="s">
        <v>238</v>
      </c>
      <c r="AA752" s="6" t="s">
        <v>243</v>
      </c>
      <c r="AB752" s="5" t="s">
        <v>238</v>
      </c>
      <c r="AC752" s="5" t="s">
        <v>244</v>
      </c>
      <c r="AD752" s="5" t="s">
        <v>245</v>
      </c>
      <c r="AT752" s="5" t="s">
        <v>246</v>
      </c>
      <c r="AU752" s="5" t="s">
        <v>238</v>
      </c>
      <c r="AV752" s="5" t="s">
        <v>247</v>
      </c>
      <c r="AW752" s="5" t="s">
        <v>238</v>
      </c>
      <c r="AX752" s="5" t="s">
        <v>249</v>
      </c>
      <c r="AY752" s="5" t="s">
        <v>238</v>
      </c>
      <c r="BA752" s="5" t="s">
        <v>238</v>
      </c>
      <c r="BC752" s="5" t="s">
        <v>250</v>
      </c>
      <c r="BD752" s="6" t="s">
        <v>243</v>
      </c>
      <c r="BE752" s="5" t="s">
        <v>251</v>
      </c>
      <c r="BF752" s="5" t="s">
        <v>252</v>
      </c>
      <c r="BG752" s="5" t="s">
        <v>238</v>
      </c>
      <c r="BH752" s="7">
        <f>0</f>
        <v>0</v>
      </c>
      <c r="BI752" s="8">
        <f>0</f>
        <v>0</v>
      </c>
      <c r="BJ752" s="5" t="s">
        <v>253</v>
      </c>
      <c r="BK752" s="5" t="s">
        <v>254</v>
      </c>
      <c r="BY752" s="5" t="s">
        <v>238</v>
      </c>
      <c r="BZ752" s="5" t="s">
        <v>238</v>
      </c>
      <c r="CD752" s="5" t="s">
        <v>273</v>
      </c>
      <c r="CE752" s="5" t="s">
        <v>256</v>
      </c>
      <c r="CF752" s="5" t="s">
        <v>238</v>
      </c>
      <c r="CI752" s="6" t="s">
        <v>257</v>
      </c>
      <c r="CJ752" s="5" t="s">
        <v>238</v>
      </c>
      <c r="CK752" s="5" t="s">
        <v>258</v>
      </c>
      <c r="CL752" s="5" t="s">
        <v>238</v>
      </c>
      <c r="CM752" s="5" t="s">
        <v>238</v>
      </c>
      <c r="CN752" s="5">
        <v>0</v>
      </c>
      <c r="CO752" s="5" t="s">
        <v>259</v>
      </c>
      <c r="CP752" s="5" t="s">
        <v>260</v>
      </c>
      <c r="CQ752" s="5" t="s">
        <v>260</v>
      </c>
      <c r="CR752" s="5" t="s">
        <v>261</v>
      </c>
      <c r="CU752" s="8">
        <f>1</f>
        <v>1</v>
      </c>
      <c r="CV752" s="8">
        <f>0</f>
        <v>0</v>
      </c>
      <c r="CX752" s="8">
        <f>0</f>
        <v>0</v>
      </c>
      <c r="CY752" s="8">
        <f>1</f>
        <v>1</v>
      </c>
      <c r="DA752" s="5" t="s">
        <v>673</v>
      </c>
      <c r="DB752" s="5" t="s">
        <v>238</v>
      </c>
      <c r="DD752" s="5" t="s">
        <v>673</v>
      </c>
      <c r="DE752" s="8">
        <f>10107</f>
        <v>10107</v>
      </c>
      <c r="DG752" s="5" t="s">
        <v>238</v>
      </c>
      <c r="DH752" s="5" t="s">
        <v>238</v>
      </c>
      <c r="DI752" s="5" t="s">
        <v>238</v>
      </c>
      <c r="DJ752" s="5" t="s">
        <v>238</v>
      </c>
      <c r="DN752" s="5" t="s">
        <v>238</v>
      </c>
      <c r="DO752" s="5" t="s">
        <v>238</v>
      </c>
      <c r="DP752" s="5" t="s">
        <v>238</v>
      </c>
      <c r="DQ752" s="5" t="s">
        <v>238</v>
      </c>
      <c r="DT752" s="5" t="s">
        <v>2039</v>
      </c>
      <c r="DU752" s="5" t="s">
        <v>1360</v>
      </c>
      <c r="HM752" s="5" t="s">
        <v>264</v>
      </c>
    </row>
    <row r="753" spans="1:221" x14ac:dyDescent="0.4">
      <c r="A753" s="5">
        <v>2428</v>
      </c>
      <c r="B753" s="5">
        <v>1</v>
      </c>
      <c r="C753" s="5">
        <v>1</v>
      </c>
      <c r="D753" s="5" t="s">
        <v>2037</v>
      </c>
      <c r="E753" s="5" t="s">
        <v>271</v>
      </c>
      <c r="F753" s="5" t="s">
        <v>248</v>
      </c>
      <c r="G753" s="5" t="s">
        <v>1969</v>
      </c>
      <c r="H753" s="6" t="s">
        <v>3453</v>
      </c>
      <c r="I753" s="7">
        <f>4734</f>
        <v>4734</v>
      </c>
      <c r="J753" s="5" t="s">
        <v>262</v>
      </c>
      <c r="K753" s="8">
        <f>1</f>
        <v>1</v>
      </c>
      <c r="L753" s="6" t="s">
        <v>242</v>
      </c>
      <c r="M753" s="5" t="s">
        <v>267</v>
      </c>
      <c r="N753" s="5" t="s">
        <v>265</v>
      </c>
      <c r="O753" s="5" t="s">
        <v>238</v>
      </c>
      <c r="P753" s="5" t="s">
        <v>238</v>
      </c>
      <c r="Q753" s="5" t="s">
        <v>268</v>
      </c>
      <c r="R753" s="5" t="s">
        <v>270</v>
      </c>
      <c r="S753" s="5" t="s">
        <v>238</v>
      </c>
      <c r="V753" s="5" t="s">
        <v>238</v>
      </c>
      <c r="X753" s="6" t="s">
        <v>238</v>
      </c>
      <c r="AA753" s="6" t="s">
        <v>243</v>
      </c>
      <c r="AB753" s="5" t="s">
        <v>238</v>
      </c>
      <c r="AC753" s="5" t="s">
        <v>244</v>
      </c>
      <c r="AD753" s="5" t="s">
        <v>245</v>
      </c>
      <c r="AT753" s="5" t="s">
        <v>246</v>
      </c>
      <c r="AU753" s="5" t="s">
        <v>238</v>
      </c>
      <c r="AV753" s="5" t="s">
        <v>247</v>
      </c>
      <c r="AW753" s="5" t="s">
        <v>238</v>
      </c>
      <c r="AX753" s="5" t="s">
        <v>249</v>
      </c>
      <c r="AY753" s="5" t="s">
        <v>238</v>
      </c>
      <c r="BA753" s="5" t="s">
        <v>238</v>
      </c>
      <c r="BC753" s="5" t="s">
        <v>250</v>
      </c>
      <c r="BD753" s="6" t="s">
        <v>243</v>
      </c>
      <c r="BE753" s="5" t="s">
        <v>251</v>
      </c>
      <c r="BF753" s="5" t="s">
        <v>252</v>
      </c>
      <c r="BG753" s="5" t="s">
        <v>238</v>
      </c>
      <c r="BH753" s="7">
        <f>0</f>
        <v>0</v>
      </c>
      <c r="BI753" s="8">
        <f>0</f>
        <v>0</v>
      </c>
      <c r="BJ753" s="5" t="s">
        <v>253</v>
      </c>
      <c r="BK753" s="5" t="s">
        <v>254</v>
      </c>
      <c r="BY753" s="5" t="s">
        <v>238</v>
      </c>
      <c r="BZ753" s="5" t="s">
        <v>238</v>
      </c>
      <c r="CD753" s="5" t="s">
        <v>273</v>
      </c>
      <c r="CE753" s="5" t="s">
        <v>256</v>
      </c>
      <c r="CF753" s="5" t="s">
        <v>238</v>
      </c>
      <c r="CI753" s="6" t="s">
        <v>257</v>
      </c>
      <c r="CJ753" s="5" t="s">
        <v>238</v>
      </c>
      <c r="CK753" s="5" t="s">
        <v>258</v>
      </c>
      <c r="CL753" s="5" t="s">
        <v>238</v>
      </c>
      <c r="CM753" s="5" t="s">
        <v>238</v>
      </c>
      <c r="CN753" s="5">
        <v>0</v>
      </c>
      <c r="CO753" s="5" t="s">
        <v>259</v>
      </c>
      <c r="CP753" s="5" t="s">
        <v>260</v>
      </c>
      <c r="CQ753" s="5" t="s">
        <v>260</v>
      </c>
      <c r="CR753" s="5" t="s">
        <v>261</v>
      </c>
      <c r="CU753" s="8">
        <f>1</f>
        <v>1</v>
      </c>
      <c r="CV753" s="8">
        <f>0</f>
        <v>0</v>
      </c>
      <c r="CX753" s="8">
        <f>0</f>
        <v>0</v>
      </c>
      <c r="CY753" s="8">
        <f>1</f>
        <v>1</v>
      </c>
      <c r="DA753" s="5" t="s">
        <v>673</v>
      </c>
      <c r="DB753" s="5" t="s">
        <v>238</v>
      </c>
      <c r="DD753" s="5" t="s">
        <v>673</v>
      </c>
      <c r="DE753" s="8">
        <f>4734</f>
        <v>4734</v>
      </c>
      <c r="DG753" s="5" t="s">
        <v>238</v>
      </c>
      <c r="DH753" s="5" t="s">
        <v>238</v>
      </c>
      <c r="DI753" s="5" t="s">
        <v>238</v>
      </c>
      <c r="DJ753" s="5" t="s">
        <v>238</v>
      </c>
      <c r="DN753" s="5" t="s">
        <v>238</v>
      </c>
      <c r="DO753" s="5" t="s">
        <v>238</v>
      </c>
      <c r="DP753" s="5" t="s">
        <v>238</v>
      </c>
      <c r="DQ753" s="5" t="s">
        <v>238</v>
      </c>
      <c r="DT753" s="5" t="s">
        <v>2039</v>
      </c>
      <c r="DU753" s="5" t="s">
        <v>1358</v>
      </c>
      <c r="HM753" s="5" t="s">
        <v>264</v>
      </c>
    </row>
    <row r="754" spans="1:221" x14ac:dyDescent="0.4">
      <c r="A754" s="5">
        <v>2429</v>
      </c>
      <c r="B754" s="5">
        <v>1</v>
      </c>
      <c r="C754" s="5">
        <v>1</v>
      </c>
      <c r="D754" s="5" t="s">
        <v>2037</v>
      </c>
      <c r="E754" s="5" t="s">
        <v>271</v>
      </c>
      <c r="F754" s="5" t="s">
        <v>248</v>
      </c>
      <c r="G754" s="5" t="s">
        <v>1969</v>
      </c>
      <c r="H754" s="6" t="s">
        <v>3452</v>
      </c>
      <c r="I754" s="7">
        <f>1067</f>
        <v>1067</v>
      </c>
      <c r="J754" s="5" t="s">
        <v>262</v>
      </c>
      <c r="K754" s="8">
        <f>1</f>
        <v>1</v>
      </c>
      <c r="L754" s="6" t="s">
        <v>242</v>
      </c>
      <c r="M754" s="5" t="s">
        <v>267</v>
      </c>
      <c r="N754" s="5" t="s">
        <v>265</v>
      </c>
      <c r="O754" s="5" t="s">
        <v>238</v>
      </c>
      <c r="P754" s="5" t="s">
        <v>238</v>
      </c>
      <c r="Q754" s="5" t="s">
        <v>268</v>
      </c>
      <c r="R754" s="5" t="s">
        <v>270</v>
      </c>
      <c r="S754" s="5" t="s">
        <v>238</v>
      </c>
      <c r="V754" s="5" t="s">
        <v>238</v>
      </c>
      <c r="X754" s="6" t="s">
        <v>238</v>
      </c>
      <c r="AA754" s="6" t="s">
        <v>243</v>
      </c>
      <c r="AB754" s="5" t="s">
        <v>238</v>
      </c>
      <c r="AC754" s="5" t="s">
        <v>244</v>
      </c>
      <c r="AD754" s="5" t="s">
        <v>245</v>
      </c>
      <c r="AT754" s="5" t="s">
        <v>246</v>
      </c>
      <c r="AU754" s="5" t="s">
        <v>238</v>
      </c>
      <c r="AV754" s="5" t="s">
        <v>247</v>
      </c>
      <c r="AW754" s="5" t="s">
        <v>238</v>
      </c>
      <c r="AX754" s="5" t="s">
        <v>249</v>
      </c>
      <c r="AY754" s="5" t="s">
        <v>238</v>
      </c>
      <c r="BA754" s="5" t="s">
        <v>238</v>
      </c>
      <c r="BC754" s="5" t="s">
        <v>250</v>
      </c>
      <c r="BD754" s="6" t="s">
        <v>243</v>
      </c>
      <c r="BE754" s="5" t="s">
        <v>251</v>
      </c>
      <c r="BF754" s="5" t="s">
        <v>252</v>
      </c>
      <c r="BG754" s="5" t="s">
        <v>238</v>
      </c>
      <c r="BH754" s="7">
        <f>0</f>
        <v>0</v>
      </c>
      <c r="BI754" s="8">
        <f>0</f>
        <v>0</v>
      </c>
      <c r="BJ754" s="5" t="s">
        <v>253</v>
      </c>
      <c r="BK754" s="5" t="s">
        <v>254</v>
      </c>
      <c r="BY754" s="5" t="s">
        <v>238</v>
      </c>
      <c r="BZ754" s="5" t="s">
        <v>238</v>
      </c>
      <c r="CD754" s="5" t="s">
        <v>273</v>
      </c>
      <c r="CE754" s="5" t="s">
        <v>256</v>
      </c>
      <c r="CF754" s="5" t="s">
        <v>238</v>
      </c>
      <c r="CI754" s="6" t="s">
        <v>257</v>
      </c>
      <c r="CJ754" s="5" t="s">
        <v>238</v>
      </c>
      <c r="CK754" s="5" t="s">
        <v>258</v>
      </c>
      <c r="CL754" s="5" t="s">
        <v>238</v>
      </c>
      <c r="CM754" s="5" t="s">
        <v>238</v>
      </c>
      <c r="CN754" s="5">
        <v>0</v>
      </c>
      <c r="CO754" s="5" t="s">
        <v>259</v>
      </c>
      <c r="CP754" s="5" t="s">
        <v>260</v>
      </c>
      <c r="CQ754" s="5" t="s">
        <v>260</v>
      </c>
      <c r="CR754" s="5" t="s">
        <v>261</v>
      </c>
      <c r="CU754" s="8">
        <f>1</f>
        <v>1</v>
      </c>
      <c r="CV754" s="8">
        <f>0</f>
        <v>0</v>
      </c>
      <c r="CX754" s="8">
        <f>0</f>
        <v>0</v>
      </c>
      <c r="CY754" s="8">
        <f>1</f>
        <v>1</v>
      </c>
      <c r="DA754" s="5" t="s">
        <v>673</v>
      </c>
      <c r="DB754" s="5" t="s">
        <v>238</v>
      </c>
      <c r="DD754" s="5" t="s">
        <v>673</v>
      </c>
      <c r="DE754" s="8">
        <f>1067</f>
        <v>1067</v>
      </c>
      <c r="DG754" s="5" t="s">
        <v>238</v>
      </c>
      <c r="DH754" s="5" t="s">
        <v>238</v>
      </c>
      <c r="DI754" s="5" t="s">
        <v>238</v>
      </c>
      <c r="DJ754" s="5" t="s">
        <v>238</v>
      </c>
      <c r="DN754" s="5" t="s">
        <v>238</v>
      </c>
      <c r="DO754" s="5" t="s">
        <v>238</v>
      </c>
      <c r="DP754" s="5" t="s">
        <v>238</v>
      </c>
      <c r="DQ754" s="5" t="s">
        <v>238</v>
      </c>
      <c r="DT754" s="5" t="s">
        <v>2039</v>
      </c>
      <c r="DU754" s="5" t="s">
        <v>976</v>
      </c>
      <c r="HM754" s="5" t="s">
        <v>264</v>
      </c>
    </row>
    <row r="755" spans="1:221" x14ac:dyDescent="0.4">
      <c r="A755" s="5">
        <v>2430</v>
      </c>
      <c r="B755" s="5">
        <v>1</v>
      </c>
      <c r="C755" s="5">
        <v>1</v>
      </c>
      <c r="D755" s="5" t="s">
        <v>2037</v>
      </c>
      <c r="E755" s="5" t="s">
        <v>271</v>
      </c>
      <c r="F755" s="5" t="s">
        <v>248</v>
      </c>
      <c r="G755" s="5" t="s">
        <v>1969</v>
      </c>
      <c r="H755" s="6" t="s">
        <v>3451</v>
      </c>
      <c r="I755" s="7">
        <f>206</f>
        <v>206</v>
      </c>
      <c r="J755" s="5" t="s">
        <v>262</v>
      </c>
      <c r="K755" s="8">
        <f>1</f>
        <v>1</v>
      </c>
      <c r="L755" s="6" t="s">
        <v>242</v>
      </c>
      <c r="M755" s="5" t="s">
        <v>267</v>
      </c>
      <c r="N755" s="5" t="s">
        <v>265</v>
      </c>
      <c r="O755" s="5" t="s">
        <v>238</v>
      </c>
      <c r="P755" s="5" t="s">
        <v>238</v>
      </c>
      <c r="Q755" s="5" t="s">
        <v>268</v>
      </c>
      <c r="R755" s="5" t="s">
        <v>270</v>
      </c>
      <c r="S755" s="5" t="s">
        <v>238</v>
      </c>
      <c r="V755" s="5" t="s">
        <v>238</v>
      </c>
      <c r="X755" s="6" t="s">
        <v>238</v>
      </c>
      <c r="AA755" s="6" t="s">
        <v>243</v>
      </c>
      <c r="AB755" s="5" t="s">
        <v>238</v>
      </c>
      <c r="AC755" s="5" t="s">
        <v>244</v>
      </c>
      <c r="AD755" s="5" t="s">
        <v>245</v>
      </c>
      <c r="AT755" s="5" t="s">
        <v>246</v>
      </c>
      <c r="AU755" s="5" t="s">
        <v>238</v>
      </c>
      <c r="AV755" s="5" t="s">
        <v>247</v>
      </c>
      <c r="AW755" s="5" t="s">
        <v>238</v>
      </c>
      <c r="AX755" s="5" t="s">
        <v>249</v>
      </c>
      <c r="AY755" s="5" t="s">
        <v>238</v>
      </c>
      <c r="BA755" s="5" t="s">
        <v>238</v>
      </c>
      <c r="BC755" s="5" t="s">
        <v>250</v>
      </c>
      <c r="BD755" s="6" t="s">
        <v>243</v>
      </c>
      <c r="BE755" s="5" t="s">
        <v>251</v>
      </c>
      <c r="BF755" s="5" t="s">
        <v>252</v>
      </c>
      <c r="BG755" s="5" t="s">
        <v>238</v>
      </c>
      <c r="BH755" s="7">
        <f>0</f>
        <v>0</v>
      </c>
      <c r="BI755" s="8">
        <f>0</f>
        <v>0</v>
      </c>
      <c r="BJ755" s="5" t="s">
        <v>253</v>
      </c>
      <c r="BK755" s="5" t="s">
        <v>254</v>
      </c>
      <c r="BY755" s="5" t="s">
        <v>238</v>
      </c>
      <c r="BZ755" s="5" t="s">
        <v>238</v>
      </c>
      <c r="CD755" s="5" t="s">
        <v>273</v>
      </c>
      <c r="CE755" s="5" t="s">
        <v>256</v>
      </c>
      <c r="CF755" s="5" t="s">
        <v>238</v>
      </c>
      <c r="CI755" s="6" t="s">
        <v>257</v>
      </c>
      <c r="CJ755" s="5" t="s">
        <v>238</v>
      </c>
      <c r="CK755" s="5" t="s">
        <v>258</v>
      </c>
      <c r="CL755" s="5" t="s">
        <v>238</v>
      </c>
      <c r="CM755" s="5" t="s">
        <v>238</v>
      </c>
      <c r="CN755" s="5">
        <v>0</v>
      </c>
      <c r="CO755" s="5" t="s">
        <v>259</v>
      </c>
      <c r="CP755" s="5" t="s">
        <v>260</v>
      </c>
      <c r="CQ755" s="5" t="s">
        <v>260</v>
      </c>
      <c r="CR755" s="5" t="s">
        <v>261</v>
      </c>
      <c r="CU755" s="8">
        <f>1</f>
        <v>1</v>
      </c>
      <c r="CV755" s="8">
        <f>0</f>
        <v>0</v>
      </c>
      <c r="CX755" s="8">
        <f>0</f>
        <v>0</v>
      </c>
      <c r="CY755" s="8">
        <f>1</f>
        <v>1</v>
      </c>
      <c r="DA755" s="5" t="s">
        <v>673</v>
      </c>
      <c r="DB755" s="5" t="s">
        <v>238</v>
      </c>
      <c r="DD755" s="5" t="s">
        <v>673</v>
      </c>
      <c r="DE755" s="8">
        <f>206</f>
        <v>206</v>
      </c>
      <c r="DG755" s="5" t="s">
        <v>238</v>
      </c>
      <c r="DH755" s="5" t="s">
        <v>238</v>
      </c>
      <c r="DI755" s="5" t="s">
        <v>238</v>
      </c>
      <c r="DJ755" s="5" t="s">
        <v>238</v>
      </c>
      <c r="DN755" s="5" t="s">
        <v>238</v>
      </c>
      <c r="DO755" s="5" t="s">
        <v>238</v>
      </c>
      <c r="DP755" s="5" t="s">
        <v>238</v>
      </c>
      <c r="DQ755" s="5" t="s">
        <v>238</v>
      </c>
      <c r="DT755" s="5" t="s">
        <v>2039</v>
      </c>
      <c r="DU755" s="5" t="s">
        <v>1354</v>
      </c>
      <c r="HM755" s="5" t="s">
        <v>264</v>
      </c>
    </row>
    <row r="756" spans="1:221" x14ac:dyDescent="0.4">
      <c r="A756" s="5">
        <v>2431</v>
      </c>
      <c r="B756" s="5">
        <v>1</v>
      </c>
      <c r="C756" s="5">
        <v>1</v>
      </c>
      <c r="D756" s="5" t="s">
        <v>2037</v>
      </c>
      <c r="E756" s="5" t="s">
        <v>271</v>
      </c>
      <c r="F756" s="5" t="s">
        <v>248</v>
      </c>
      <c r="G756" s="5" t="s">
        <v>1969</v>
      </c>
      <c r="H756" s="6" t="s">
        <v>3450</v>
      </c>
      <c r="I756" s="7">
        <f>4.17</f>
        <v>4.17</v>
      </c>
      <c r="J756" s="5" t="s">
        <v>262</v>
      </c>
      <c r="K756" s="8">
        <f>1</f>
        <v>1</v>
      </c>
      <c r="L756" s="6" t="s">
        <v>242</v>
      </c>
      <c r="M756" s="5" t="s">
        <v>267</v>
      </c>
      <c r="N756" s="5" t="s">
        <v>265</v>
      </c>
      <c r="O756" s="5" t="s">
        <v>238</v>
      </c>
      <c r="P756" s="5" t="s">
        <v>238</v>
      </c>
      <c r="Q756" s="5" t="s">
        <v>268</v>
      </c>
      <c r="R756" s="5" t="s">
        <v>270</v>
      </c>
      <c r="S756" s="5" t="s">
        <v>238</v>
      </c>
      <c r="V756" s="5" t="s">
        <v>238</v>
      </c>
      <c r="X756" s="6" t="s">
        <v>238</v>
      </c>
      <c r="AA756" s="6" t="s">
        <v>243</v>
      </c>
      <c r="AB756" s="5" t="s">
        <v>238</v>
      </c>
      <c r="AC756" s="5" t="s">
        <v>244</v>
      </c>
      <c r="AD756" s="5" t="s">
        <v>245</v>
      </c>
      <c r="AT756" s="5" t="s">
        <v>246</v>
      </c>
      <c r="AU756" s="5" t="s">
        <v>238</v>
      </c>
      <c r="AV756" s="5" t="s">
        <v>247</v>
      </c>
      <c r="AW756" s="5" t="s">
        <v>238</v>
      </c>
      <c r="AX756" s="5" t="s">
        <v>249</v>
      </c>
      <c r="AY756" s="5" t="s">
        <v>238</v>
      </c>
      <c r="BA756" s="5" t="s">
        <v>238</v>
      </c>
      <c r="BC756" s="5" t="s">
        <v>250</v>
      </c>
      <c r="BD756" s="6" t="s">
        <v>243</v>
      </c>
      <c r="BE756" s="5" t="s">
        <v>251</v>
      </c>
      <c r="BF756" s="5" t="s">
        <v>252</v>
      </c>
      <c r="BG756" s="5" t="s">
        <v>238</v>
      </c>
      <c r="BH756" s="7">
        <f>0</f>
        <v>0</v>
      </c>
      <c r="BI756" s="8">
        <f>0</f>
        <v>0</v>
      </c>
      <c r="BJ756" s="5" t="s">
        <v>253</v>
      </c>
      <c r="BK756" s="5" t="s">
        <v>254</v>
      </c>
      <c r="BY756" s="5" t="s">
        <v>238</v>
      </c>
      <c r="BZ756" s="5" t="s">
        <v>238</v>
      </c>
      <c r="CD756" s="5" t="s">
        <v>273</v>
      </c>
      <c r="CE756" s="5" t="s">
        <v>256</v>
      </c>
      <c r="CF756" s="5" t="s">
        <v>238</v>
      </c>
      <c r="CI756" s="6" t="s">
        <v>257</v>
      </c>
      <c r="CJ756" s="5" t="s">
        <v>238</v>
      </c>
      <c r="CK756" s="5" t="s">
        <v>258</v>
      </c>
      <c r="CL756" s="5" t="s">
        <v>238</v>
      </c>
      <c r="CM756" s="5" t="s">
        <v>238</v>
      </c>
      <c r="CN756" s="5">
        <v>0</v>
      </c>
      <c r="CO756" s="5" t="s">
        <v>259</v>
      </c>
      <c r="CP756" s="5" t="s">
        <v>260</v>
      </c>
      <c r="CQ756" s="5" t="s">
        <v>260</v>
      </c>
      <c r="CR756" s="5" t="s">
        <v>261</v>
      </c>
      <c r="CU756" s="8">
        <f>1</f>
        <v>1</v>
      </c>
      <c r="CV756" s="8">
        <f>0</f>
        <v>0</v>
      </c>
      <c r="CX756" s="8">
        <f>0</f>
        <v>0</v>
      </c>
      <c r="CY756" s="8">
        <f>1</f>
        <v>1</v>
      </c>
      <c r="DA756" s="5" t="s">
        <v>673</v>
      </c>
      <c r="DB756" s="5" t="s">
        <v>238</v>
      </c>
      <c r="DD756" s="5" t="s">
        <v>673</v>
      </c>
      <c r="DE756" s="8">
        <f>4.17</f>
        <v>4.17</v>
      </c>
      <c r="DG756" s="5" t="s">
        <v>238</v>
      </c>
      <c r="DH756" s="5" t="s">
        <v>238</v>
      </c>
      <c r="DI756" s="5" t="s">
        <v>238</v>
      </c>
      <c r="DJ756" s="5" t="s">
        <v>238</v>
      </c>
      <c r="DN756" s="5" t="s">
        <v>238</v>
      </c>
      <c r="DO756" s="5" t="s">
        <v>238</v>
      </c>
      <c r="DP756" s="5" t="s">
        <v>238</v>
      </c>
      <c r="DQ756" s="5" t="s">
        <v>238</v>
      </c>
      <c r="DT756" s="5" t="s">
        <v>2039</v>
      </c>
      <c r="DU756" s="5" t="s">
        <v>1350</v>
      </c>
      <c r="HM756" s="5" t="s">
        <v>264</v>
      </c>
    </row>
    <row r="757" spans="1:221" x14ac:dyDescent="0.4">
      <c r="A757" s="5">
        <v>2432</v>
      </c>
      <c r="B757" s="5">
        <v>1</v>
      </c>
      <c r="C757" s="5">
        <v>1</v>
      </c>
      <c r="D757" s="5" t="s">
        <v>2037</v>
      </c>
      <c r="E757" s="5" t="s">
        <v>271</v>
      </c>
      <c r="F757" s="5" t="s">
        <v>248</v>
      </c>
      <c r="G757" s="5" t="s">
        <v>1969</v>
      </c>
      <c r="H757" s="6" t="s">
        <v>3449</v>
      </c>
      <c r="I757" s="7">
        <f>1979</f>
        <v>1979</v>
      </c>
      <c r="J757" s="5" t="s">
        <v>262</v>
      </c>
      <c r="K757" s="8">
        <f>1</f>
        <v>1</v>
      </c>
      <c r="L757" s="6" t="s">
        <v>242</v>
      </c>
      <c r="M757" s="5" t="s">
        <v>267</v>
      </c>
      <c r="N757" s="5" t="s">
        <v>265</v>
      </c>
      <c r="O757" s="5" t="s">
        <v>238</v>
      </c>
      <c r="P757" s="5" t="s">
        <v>238</v>
      </c>
      <c r="Q757" s="5" t="s">
        <v>268</v>
      </c>
      <c r="R757" s="5" t="s">
        <v>270</v>
      </c>
      <c r="S757" s="5" t="s">
        <v>238</v>
      </c>
      <c r="V757" s="5" t="s">
        <v>238</v>
      </c>
      <c r="X757" s="6" t="s">
        <v>238</v>
      </c>
      <c r="AA757" s="6" t="s">
        <v>243</v>
      </c>
      <c r="AB757" s="5" t="s">
        <v>238</v>
      </c>
      <c r="AC757" s="5" t="s">
        <v>244</v>
      </c>
      <c r="AD757" s="5" t="s">
        <v>245</v>
      </c>
      <c r="AT757" s="5" t="s">
        <v>246</v>
      </c>
      <c r="AU757" s="5" t="s">
        <v>238</v>
      </c>
      <c r="AV757" s="5" t="s">
        <v>247</v>
      </c>
      <c r="AW757" s="5" t="s">
        <v>238</v>
      </c>
      <c r="AX757" s="5" t="s">
        <v>249</v>
      </c>
      <c r="AY757" s="5" t="s">
        <v>238</v>
      </c>
      <c r="BA757" s="5" t="s">
        <v>238</v>
      </c>
      <c r="BC757" s="5" t="s">
        <v>250</v>
      </c>
      <c r="BD757" s="6" t="s">
        <v>243</v>
      </c>
      <c r="BE757" s="5" t="s">
        <v>251</v>
      </c>
      <c r="BF757" s="5" t="s">
        <v>252</v>
      </c>
      <c r="BG757" s="5" t="s">
        <v>238</v>
      </c>
      <c r="BH757" s="7">
        <f>0</f>
        <v>0</v>
      </c>
      <c r="BI757" s="8">
        <f>0</f>
        <v>0</v>
      </c>
      <c r="BJ757" s="5" t="s">
        <v>253</v>
      </c>
      <c r="BK757" s="5" t="s">
        <v>254</v>
      </c>
      <c r="BY757" s="5" t="s">
        <v>238</v>
      </c>
      <c r="BZ757" s="5" t="s">
        <v>238</v>
      </c>
      <c r="CD757" s="5" t="s">
        <v>273</v>
      </c>
      <c r="CE757" s="5" t="s">
        <v>256</v>
      </c>
      <c r="CF757" s="5" t="s">
        <v>238</v>
      </c>
      <c r="CI757" s="6" t="s">
        <v>257</v>
      </c>
      <c r="CJ757" s="5" t="s">
        <v>238</v>
      </c>
      <c r="CK757" s="5" t="s">
        <v>258</v>
      </c>
      <c r="CL757" s="5" t="s">
        <v>238</v>
      </c>
      <c r="CM757" s="5" t="s">
        <v>238</v>
      </c>
      <c r="CN757" s="5">
        <v>0</v>
      </c>
      <c r="CO757" s="5" t="s">
        <v>259</v>
      </c>
      <c r="CP757" s="5" t="s">
        <v>260</v>
      </c>
      <c r="CQ757" s="5" t="s">
        <v>260</v>
      </c>
      <c r="CR757" s="5" t="s">
        <v>261</v>
      </c>
      <c r="CU757" s="8">
        <f>1</f>
        <v>1</v>
      </c>
      <c r="CV757" s="8">
        <f>0</f>
        <v>0</v>
      </c>
      <c r="CX757" s="8">
        <f>0</f>
        <v>0</v>
      </c>
      <c r="CY757" s="8">
        <f>1</f>
        <v>1</v>
      </c>
      <c r="DA757" s="5" t="s">
        <v>673</v>
      </c>
      <c r="DB757" s="5" t="s">
        <v>238</v>
      </c>
      <c r="DD757" s="5" t="s">
        <v>673</v>
      </c>
      <c r="DE757" s="8">
        <f>1979</f>
        <v>1979</v>
      </c>
      <c r="DG757" s="5" t="s">
        <v>238</v>
      </c>
      <c r="DH757" s="5" t="s">
        <v>238</v>
      </c>
      <c r="DI757" s="5" t="s">
        <v>238</v>
      </c>
      <c r="DJ757" s="5" t="s">
        <v>238</v>
      </c>
      <c r="DN757" s="5" t="s">
        <v>238</v>
      </c>
      <c r="DO757" s="5" t="s">
        <v>238</v>
      </c>
      <c r="DP757" s="5" t="s">
        <v>238</v>
      </c>
      <c r="DQ757" s="5" t="s">
        <v>238</v>
      </c>
      <c r="DT757" s="5" t="s">
        <v>2039</v>
      </c>
      <c r="DU757" s="5" t="s">
        <v>1346</v>
      </c>
      <c r="HM757" s="5" t="s">
        <v>264</v>
      </c>
    </row>
    <row r="758" spans="1:221" x14ac:dyDescent="0.4">
      <c r="A758" s="5">
        <v>2433</v>
      </c>
      <c r="B758" s="5">
        <v>1</v>
      </c>
      <c r="C758" s="5">
        <v>1</v>
      </c>
      <c r="D758" s="5" t="s">
        <v>2037</v>
      </c>
      <c r="E758" s="5" t="s">
        <v>271</v>
      </c>
      <c r="F758" s="5" t="s">
        <v>248</v>
      </c>
      <c r="G758" s="5" t="s">
        <v>1969</v>
      </c>
      <c r="H758" s="6" t="s">
        <v>3461</v>
      </c>
      <c r="I758" s="7">
        <f>566</f>
        <v>566</v>
      </c>
      <c r="J758" s="5" t="s">
        <v>262</v>
      </c>
      <c r="K758" s="8">
        <f>1</f>
        <v>1</v>
      </c>
      <c r="L758" s="6" t="s">
        <v>242</v>
      </c>
      <c r="M758" s="5" t="s">
        <v>267</v>
      </c>
      <c r="N758" s="5" t="s">
        <v>265</v>
      </c>
      <c r="O758" s="5" t="s">
        <v>238</v>
      </c>
      <c r="P758" s="5" t="s">
        <v>238</v>
      </c>
      <c r="Q758" s="5" t="s">
        <v>268</v>
      </c>
      <c r="R758" s="5" t="s">
        <v>270</v>
      </c>
      <c r="S758" s="5" t="s">
        <v>238</v>
      </c>
      <c r="V758" s="5" t="s">
        <v>238</v>
      </c>
      <c r="X758" s="6" t="s">
        <v>238</v>
      </c>
      <c r="AA758" s="6" t="s">
        <v>243</v>
      </c>
      <c r="AB758" s="5" t="s">
        <v>238</v>
      </c>
      <c r="AC758" s="5" t="s">
        <v>244</v>
      </c>
      <c r="AD758" s="5" t="s">
        <v>245</v>
      </c>
      <c r="AT758" s="5" t="s">
        <v>246</v>
      </c>
      <c r="AU758" s="5" t="s">
        <v>238</v>
      </c>
      <c r="AV758" s="5" t="s">
        <v>247</v>
      </c>
      <c r="AW758" s="5" t="s">
        <v>238</v>
      </c>
      <c r="AX758" s="5" t="s">
        <v>249</v>
      </c>
      <c r="AY758" s="5" t="s">
        <v>238</v>
      </c>
      <c r="BA758" s="5" t="s">
        <v>238</v>
      </c>
      <c r="BC758" s="5" t="s">
        <v>250</v>
      </c>
      <c r="BD758" s="6" t="s">
        <v>243</v>
      </c>
      <c r="BE758" s="5" t="s">
        <v>251</v>
      </c>
      <c r="BF758" s="5" t="s">
        <v>252</v>
      </c>
      <c r="BG758" s="5" t="s">
        <v>238</v>
      </c>
      <c r="BH758" s="7">
        <f>0</f>
        <v>0</v>
      </c>
      <c r="BI758" s="8">
        <f>0</f>
        <v>0</v>
      </c>
      <c r="BJ758" s="5" t="s">
        <v>253</v>
      </c>
      <c r="BK758" s="5" t="s">
        <v>254</v>
      </c>
      <c r="BY758" s="5" t="s">
        <v>238</v>
      </c>
      <c r="BZ758" s="5" t="s">
        <v>238</v>
      </c>
      <c r="CD758" s="5" t="s">
        <v>273</v>
      </c>
      <c r="CE758" s="5" t="s">
        <v>256</v>
      </c>
      <c r="CF758" s="5" t="s">
        <v>238</v>
      </c>
      <c r="CI758" s="6" t="s">
        <v>257</v>
      </c>
      <c r="CJ758" s="5" t="s">
        <v>238</v>
      </c>
      <c r="CK758" s="5" t="s">
        <v>258</v>
      </c>
      <c r="CL758" s="5" t="s">
        <v>238</v>
      </c>
      <c r="CM758" s="5" t="s">
        <v>238</v>
      </c>
      <c r="CN758" s="5">
        <v>0</v>
      </c>
      <c r="CO758" s="5" t="s">
        <v>259</v>
      </c>
      <c r="CP758" s="5" t="s">
        <v>260</v>
      </c>
      <c r="CQ758" s="5" t="s">
        <v>260</v>
      </c>
      <c r="CR758" s="5" t="s">
        <v>261</v>
      </c>
      <c r="CU758" s="8">
        <f>1</f>
        <v>1</v>
      </c>
      <c r="CV758" s="8">
        <f>0</f>
        <v>0</v>
      </c>
      <c r="CX758" s="8">
        <f>0</f>
        <v>0</v>
      </c>
      <c r="CY758" s="8">
        <f>1</f>
        <v>1</v>
      </c>
      <c r="DA758" s="5" t="s">
        <v>673</v>
      </c>
      <c r="DB758" s="5" t="s">
        <v>238</v>
      </c>
      <c r="DD758" s="5" t="s">
        <v>673</v>
      </c>
      <c r="DE758" s="8">
        <f>566</f>
        <v>566</v>
      </c>
      <c r="DG758" s="5" t="s">
        <v>238</v>
      </c>
      <c r="DH758" s="5" t="s">
        <v>238</v>
      </c>
      <c r="DI758" s="5" t="s">
        <v>238</v>
      </c>
      <c r="DJ758" s="5" t="s">
        <v>238</v>
      </c>
      <c r="DN758" s="5" t="s">
        <v>238</v>
      </c>
      <c r="DO758" s="5" t="s">
        <v>238</v>
      </c>
      <c r="DP758" s="5" t="s">
        <v>238</v>
      </c>
      <c r="DQ758" s="5" t="s">
        <v>238</v>
      </c>
      <c r="DT758" s="5" t="s">
        <v>2039</v>
      </c>
      <c r="DU758" s="5" t="s">
        <v>1342</v>
      </c>
      <c r="HM758" s="5" t="s">
        <v>264</v>
      </c>
    </row>
    <row r="759" spans="1:221" x14ac:dyDescent="0.4">
      <c r="A759" s="5">
        <v>2434</v>
      </c>
      <c r="B759" s="5">
        <v>1</v>
      </c>
      <c r="C759" s="5">
        <v>1</v>
      </c>
      <c r="D759" s="5" t="s">
        <v>2037</v>
      </c>
      <c r="E759" s="5" t="s">
        <v>271</v>
      </c>
      <c r="F759" s="5" t="s">
        <v>248</v>
      </c>
      <c r="G759" s="5" t="s">
        <v>1969</v>
      </c>
      <c r="H759" s="6" t="s">
        <v>3448</v>
      </c>
      <c r="I759" s="7">
        <f>4077</f>
        <v>4077</v>
      </c>
      <c r="J759" s="5" t="s">
        <v>262</v>
      </c>
      <c r="K759" s="8">
        <f>1</f>
        <v>1</v>
      </c>
      <c r="L759" s="6" t="s">
        <v>242</v>
      </c>
      <c r="M759" s="5" t="s">
        <v>267</v>
      </c>
      <c r="N759" s="5" t="s">
        <v>265</v>
      </c>
      <c r="O759" s="5" t="s">
        <v>238</v>
      </c>
      <c r="P759" s="5" t="s">
        <v>238</v>
      </c>
      <c r="Q759" s="5" t="s">
        <v>268</v>
      </c>
      <c r="R759" s="5" t="s">
        <v>270</v>
      </c>
      <c r="S759" s="5" t="s">
        <v>238</v>
      </c>
      <c r="V759" s="5" t="s">
        <v>238</v>
      </c>
      <c r="X759" s="6" t="s">
        <v>238</v>
      </c>
      <c r="AA759" s="6" t="s">
        <v>243</v>
      </c>
      <c r="AB759" s="5" t="s">
        <v>238</v>
      </c>
      <c r="AC759" s="5" t="s">
        <v>244</v>
      </c>
      <c r="AD759" s="5" t="s">
        <v>245</v>
      </c>
      <c r="AT759" s="5" t="s">
        <v>246</v>
      </c>
      <c r="AU759" s="5" t="s">
        <v>238</v>
      </c>
      <c r="AV759" s="5" t="s">
        <v>247</v>
      </c>
      <c r="AW759" s="5" t="s">
        <v>238</v>
      </c>
      <c r="AX759" s="5" t="s">
        <v>249</v>
      </c>
      <c r="AY759" s="5" t="s">
        <v>238</v>
      </c>
      <c r="BA759" s="5" t="s">
        <v>238</v>
      </c>
      <c r="BC759" s="5" t="s">
        <v>250</v>
      </c>
      <c r="BD759" s="6" t="s">
        <v>243</v>
      </c>
      <c r="BE759" s="5" t="s">
        <v>251</v>
      </c>
      <c r="BF759" s="5" t="s">
        <v>252</v>
      </c>
      <c r="BG759" s="5" t="s">
        <v>238</v>
      </c>
      <c r="BH759" s="7">
        <f>0</f>
        <v>0</v>
      </c>
      <c r="BI759" s="8">
        <f>0</f>
        <v>0</v>
      </c>
      <c r="BJ759" s="5" t="s">
        <v>253</v>
      </c>
      <c r="BK759" s="5" t="s">
        <v>254</v>
      </c>
      <c r="BY759" s="5" t="s">
        <v>238</v>
      </c>
      <c r="BZ759" s="5" t="s">
        <v>238</v>
      </c>
      <c r="CD759" s="5" t="s">
        <v>273</v>
      </c>
      <c r="CE759" s="5" t="s">
        <v>256</v>
      </c>
      <c r="CF759" s="5" t="s">
        <v>238</v>
      </c>
      <c r="CI759" s="6" t="s">
        <v>257</v>
      </c>
      <c r="CJ759" s="5" t="s">
        <v>238</v>
      </c>
      <c r="CK759" s="5" t="s">
        <v>258</v>
      </c>
      <c r="CL759" s="5" t="s">
        <v>238</v>
      </c>
      <c r="CM759" s="5" t="s">
        <v>238</v>
      </c>
      <c r="CN759" s="5">
        <v>0</v>
      </c>
      <c r="CO759" s="5" t="s">
        <v>259</v>
      </c>
      <c r="CP759" s="5" t="s">
        <v>260</v>
      </c>
      <c r="CQ759" s="5" t="s">
        <v>260</v>
      </c>
      <c r="CR759" s="5" t="s">
        <v>261</v>
      </c>
      <c r="CU759" s="8">
        <f>1</f>
        <v>1</v>
      </c>
      <c r="CV759" s="8">
        <f>0</f>
        <v>0</v>
      </c>
      <c r="CX759" s="8">
        <f>0</f>
        <v>0</v>
      </c>
      <c r="CY759" s="8">
        <f>1</f>
        <v>1</v>
      </c>
      <c r="DA759" s="5" t="s">
        <v>673</v>
      </c>
      <c r="DB759" s="5" t="s">
        <v>238</v>
      </c>
      <c r="DD759" s="5" t="s">
        <v>673</v>
      </c>
      <c r="DE759" s="8">
        <f>4077</f>
        <v>4077</v>
      </c>
      <c r="DG759" s="5" t="s">
        <v>238</v>
      </c>
      <c r="DH759" s="5" t="s">
        <v>238</v>
      </c>
      <c r="DI759" s="5" t="s">
        <v>238</v>
      </c>
      <c r="DJ759" s="5" t="s">
        <v>238</v>
      </c>
      <c r="DN759" s="5" t="s">
        <v>238</v>
      </c>
      <c r="DO759" s="5" t="s">
        <v>238</v>
      </c>
      <c r="DP759" s="5" t="s">
        <v>238</v>
      </c>
      <c r="DQ759" s="5" t="s">
        <v>238</v>
      </c>
      <c r="DT759" s="5" t="s">
        <v>2039</v>
      </c>
      <c r="DU759" s="5" t="s">
        <v>1338</v>
      </c>
      <c r="HM759" s="5" t="s">
        <v>264</v>
      </c>
    </row>
    <row r="760" spans="1:221" x14ac:dyDescent="0.4">
      <c r="A760" s="5">
        <v>2435</v>
      </c>
      <c r="B760" s="5">
        <v>1</v>
      </c>
      <c r="C760" s="5">
        <v>1</v>
      </c>
      <c r="D760" s="5" t="s">
        <v>2037</v>
      </c>
      <c r="E760" s="5" t="s">
        <v>271</v>
      </c>
      <c r="F760" s="5" t="s">
        <v>248</v>
      </c>
      <c r="G760" s="5" t="s">
        <v>1969</v>
      </c>
      <c r="H760" s="6" t="s">
        <v>3447</v>
      </c>
      <c r="I760" s="7">
        <f>5549</f>
        <v>5549</v>
      </c>
      <c r="J760" s="5" t="s">
        <v>262</v>
      </c>
      <c r="K760" s="8">
        <f>1</f>
        <v>1</v>
      </c>
      <c r="L760" s="6" t="s">
        <v>242</v>
      </c>
      <c r="M760" s="5" t="s">
        <v>267</v>
      </c>
      <c r="N760" s="5" t="s">
        <v>265</v>
      </c>
      <c r="O760" s="5" t="s">
        <v>238</v>
      </c>
      <c r="P760" s="5" t="s">
        <v>238</v>
      </c>
      <c r="Q760" s="5" t="s">
        <v>268</v>
      </c>
      <c r="R760" s="5" t="s">
        <v>270</v>
      </c>
      <c r="S760" s="5" t="s">
        <v>238</v>
      </c>
      <c r="V760" s="5" t="s">
        <v>238</v>
      </c>
      <c r="X760" s="6" t="s">
        <v>238</v>
      </c>
      <c r="AA760" s="6" t="s">
        <v>243</v>
      </c>
      <c r="AB760" s="5" t="s">
        <v>238</v>
      </c>
      <c r="AC760" s="5" t="s">
        <v>244</v>
      </c>
      <c r="AD760" s="5" t="s">
        <v>245</v>
      </c>
      <c r="AT760" s="5" t="s">
        <v>246</v>
      </c>
      <c r="AU760" s="5" t="s">
        <v>238</v>
      </c>
      <c r="AV760" s="5" t="s">
        <v>247</v>
      </c>
      <c r="AW760" s="5" t="s">
        <v>238</v>
      </c>
      <c r="AX760" s="5" t="s">
        <v>249</v>
      </c>
      <c r="AY760" s="5" t="s">
        <v>238</v>
      </c>
      <c r="BA760" s="5" t="s">
        <v>238</v>
      </c>
      <c r="BC760" s="5" t="s">
        <v>250</v>
      </c>
      <c r="BD760" s="6" t="s">
        <v>243</v>
      </c>
      <c r="BE760" s="5" t="s">
        <v>251</v>
      </c>
      <c r="BF760" s="5" t="s">
        <v>252</v>
      </c>
      <c r="BG760" s="5" t="s">
        <v>238</v>
      </c>
      <c r="BH760" s="7">
        <f>0</f>
        <v>0</v>
      </c>
      <c r="BI760" s="8">
        <f>0</f>
        <v>0</v>
      </c>
      <c r="BJ760" s="5" t="s">
        <v>253</v>
      </c>
      <c r="BK760" s="5" t="s">
        <v>254</v>
      </c>
      <c r="BY760" s="5" t="s">
        <v>238</v>
      </c>
      <c r="BZ760" s="5" t="s">
        <v>238</v>
      </c>
      <c r="CD760" s="5" t="s">
        <v>273</v>
      </c>
      <c r="CE760" s="5" t="s">
        <v>256</v>
      </c>
      <c r="CF760" s="5" t="s">
        <v>238</v>
      </c>
      <c r="CI760" s="6" t="s">
        <v>257</v>
      </c>
      <c r="CJ760" s="5" t="s">
        <v>238</v>
      </c>
      <c r="CK760" s="5" t="s">
        <v>258</v>
      </c>
      <c r="CL760" s="5" t="s">
        <v>238</v>
      </c>
      <c r="CM760" s="5" t="s">
        <v>238</v>
      </c>
      <c r="CN760" s="5">
        <v>0</v>
      </c>
      <c r="CO760" s="5" t="s">
        <v>259</v>
      </c>
      <c r="CP760" s="5" t="s">
        <v>260</v>
      </c>
      <c r="CQ760" s="5" t="s">
        <v>260</v>
      </c>
      <c r="CR760" s="5" t="s">
        <v>261</v>
      </c>
      <c r="CU760" s="8">
        <f>1</f>
        <v>1</v>
      </c>
      <c r="CV760" s="8">
        <f>0</f>
        <v>0</v>
      </c>
      <c r="CX760" s="8">
        <f>0</f>
        <v>0</v>
      </c>
      <c r="CY760" s="8">
        <f>1</f>
        <v>1</v>
      </c>
      <c r="DA760" s="5" t="s">
        <v>673</v>
      </c>
      <c r="DB760" s="5" t="s">
        <v>238</v>
      </c>
      <c r="DD760" s="5" t="s">
        <v>673</v>
      </c>
      <c r="DE760" s="8">
        <f>5549</f>
        <v>5549</v>
      </c>
      <c r="DG760" s="5" t="s">
        <v>238</v>
      </c>
      <c r="DH760" s="5" t="s">
        <v>238</v>
      </c>
      <c r="DI760" s="5" t="s">
        <v>238</v>
      </c>
      <c r="DJ760" s="5" t="s">
        <v>238</v>
      </c>
      <c r="DN760" s="5" t="s">
        <v>238</v>
      </c>
      <c r="DO760" s="5" t="s">
        <v>238</v>
      </c>
      <c r="DP760" s="5" t="s">
        <v>238</v>
      </c>
      <c r="DQ760" s="5" t="s">
        <v>238</v>
      </c>
      <c r="DT760" s="5" t="s">
        <v>2039</v>
      </c>
      <c r="DU760" s="5" t="s">
        <v>1334</v>
      </c>
      <c r="HM760" s="5" t="s">
        <v>264</v>
      </c>
    </row>
    <row r="761" spans="1:221" x14ac:dyDescent="0.4">
      <c r="A761" s="5">
        <v>2436</v>
      </c>
      <c r="B761" s="5">
        <v>1</v>
      </c>
      <c r="C761" s="5">
        <v>1</v>
      </c>
      <c r="D761" s="5" t="s">
        <v>2037</v>
      </c>
      <c r="E761" s="5" t="s">
        <v>271</v>
      </c>
      <c r="F761" s="5" t="s">
        <v>248</v>
      </c>
      <c r="G761" s="5" t="s">
        <v>1969</v>
      </c>
      <c r="H761" s="6" t="s">
        <v>3446</v>
      </c>
      <c r="I761" s="7">
        <f>4305</f>
        <v>4305</v>
      </c>
      <c r="J761" s="5" t="s">
        <v>262</v>
      </c>
      <c r="K761" s="8">
        <f>1</f>
        <v>1</v>
      </c>
      <c r="L761" s="6" t="s">
        <v>242</v>
      </c>
      <c r="M761" s="5" t="s">
        <v>267</v>
      </c>
      <c r="N761" s="5" t="s">
        <v>265</v>
      </c>
      <c r="O761" s="5" t="s">
        <v>238</v>
      </c>
      <c r="P761" s="5" t="s">
        <v>238</v>
      </c>
      <c r="Q761" s="5" t="s">
        <v>268</v>
      </c>
      <c r="R761" s="5" t="s">
        <v>270</v>
      </c>
      <c r="S761" s="5" t="s">
        <v>238</v>
      </c>
      <c r="V761" s="5" t="s">
        <v>238</v>
      </c>
      <c r="X761" s="6" t="s">
        <v>238</v>
      </c>
      <c r="AA761" s="6" t="s">
        <v>243</v>
      </c>
      <c r="AB761" s="5" t="s">
        <v>238</v>
      </c>
      <c r="AC761" s="5" t="s">
        <v>244</v>
      </c>
      <c r="AD761" s="5" t="s">
        <v>245</v>
      </c>
      <c r="AT761" s="5" t="s">
        <v>246</v>
      </c>
      <c r="AU761" s="5" t="s">
        <v>238</v>
      </c>
      <c r="AV761" s="5" t="s">
        <v>247</v>
      </c>
      <c r="AW761" s="5" t="s">
        <v>238</v>
      </c>
      <c r="AX761" s="5" t="s">
        <v>249</v>
      </c>
      <c r="AY761" s="5" t="s">
        <v>238</v>
      </c>
      <c r="BA761" s="5" t="s">
        <v>238</v>
      </c>
      <c r="BC761" s="5" t="s">
        <v>250</v>
      </c>
      <c r="BD761" s="6" t="s">
        <v>243</v>
      </c>
      <c r="BE761" s="5" t="s">
        <v>251</v>
      </c>
      <c r="BF761" s="5" t="s">
        <v>252</v>
      </c>
      <c r="BG761" s="5" t="s">
        <v>238</v>
      </c>
      <c r="BH761" s="7">
        <f>0</f>
        <v>0</v>
      </c>
      <c r="BI761" s="8">
        <f>0</f>
        <v>0</v>
      </c>
      <c r="BJ761" s="5" t="s">
        <v>253</v>
      </c>
      <c r="BK761" s="5" t="s">
        <v>254</v>
      </c>
      <c r="BY761" s="5" t="s">
        <v>238</v>
      </c>
      <c r="BZ761" s="5" t="s">
        <v>238</v>
      </c>
      <c r="CD761" s="5" t="s">
        <v>273</v>
      </c>
      <c r="CE761" s="5" t="s">
        <v>256</v>
      </c>
      <c r="CF761" s="5" t="s">
        <v>238</v>
      </c>
      <c r="CI761" s="6" t="s">
        <v>257</v>
      </c>
      <c r="CJ761" s="5" t="s">
        <v>238</v>
      </c>
      <c r="CK761" s="5" t="s">
        <v>258</v>
      </c>
      <c r="CL761" s="5" t="s">
        <v>238</v>
      </c>
      <c r="CM761" s="5" t="s">
        <v>238</v>
      </c>
      <c r="CN761" s="5">
        <v>0</v>
      </c>
      <c r="CO761" s="5" t="s">
        <v>259</v>
      </c>
      <c r="CP761" s="5" t="s">
        <v>260</v>
      </c>
      <c r="CQ761" s="5" t="s">
        <v>260</v>
      </c>
      <c r="CR761" s="5" t="s">
        <v>261</v>
      </c>
      <c r="CU761" s="8">
        <f>1</f>
        <v>1</v>
      </c>
      <c r="CV761" s="8">
        <f>0</f>
        <v>0</v>
      </c>
      <c r="CX761" s="8">
        <f>0</f>
        <v>0</v>
      </c>
      <c r="CY761" s="8">
        <f>1</f>
        <v>1</v>
      </c>
      <c r="DA761" s="5" t="s">
        <v>673</v>
      </c>
      <c r="DB761" s="5" t="s">
        <v>238</v>
      </c>
      <c r="DD761" s="5" t="s">
        <v>673</v>
      </c>
      <c r="DE761" s="8">
        <f>4305</f>
        <v>4305</v>
      </c>
      <c r="DF761" s="6" t="s">
        <v>2034</v>
      </c>
      <c r="DG761" s="5" t="s">
        <v>238</v>
      </c>
      <c r="DH761" s="5" t="s">
        <v>238</v>
      </c>
      <c r="DI761" s="5" t="s">
        <v>238</v>
      </c>
      <c r="DJ761" s="5" t="s">
        <v>238</v>
      </c>
      <c r="DN761" s="5" t="s">
        <v>238</v>
      </c>
      <c r="DO761" s="5" t="s">
        <v>238</v>
      </c>
      <c r="DP761" s="5" t="s">
        <v>238</v>
      </c>
      <c r="DQ761" s="5" t="s">
        <v>238</v>
      </c>
      <c r="DT761" s="5" t="s">
        <v>2039</v>
      </c>
      <c r="DU761" s="5" t="s">
        <v>882</v>
      </c>
      <c r="HM761" s="5" t="s">
        <v>264</v>
      </c>
    </row>
    <row r="762" spans="1:221" x14ac:dyDescent="0.4">
      <c r="A762" s="5">
        <v>2437</v>
      </c>
      <c r="B762" s="5">
        <v>1</v>
      </c>
      <c r="C762" s="5">
        <v>1</v>
      </c>
      <c r="D762" s="5" t="s">
        <v>2037</v>
      </c>
      <c r="E762" s="5" t="s">
        <v>271</v>
      </c>
      <c r="F762" s="5" t="s">
        <v>248</v>
      </c>
      <c r="G762" s="5" t="s">
        <v>1969</v>
      </c>
      <c r="H762" s="6" t="s">
        <v>3445</v>
      </c>
      <c r="I762" s="7">
        <f>185</f>
        <v>185</v>
      </c>
      <c r="J762" s="5" t="s">
        <v>262</v>
      </c>
      <c r="K762" s="8">
        <f>1</f>
        <v>1</v>
      </c>
      <c r="L762" s="6" t="s">
        <v>242</v>
      </c>
      <c r="M762" s="5" t="s">
        <v>267</v>
      </c>
      <c r="N762" s="5" t="s">
        <v>265</v>
      </c>
      <c r="O762" s="5" t="s">
        <v>238</v>
      </c>
      <c r="P762" s="5" t="s">
        <v>238</v>
      </c>
      <c r="Q762" s="5" t="s">
        <v>268</v>
      </c>
      <c r="R762" s="5" t="s">
        <v>270</v>
      </c>
      <c r="S762" s="5" t="s">
        <v>238</v>
      </c>
      <c r="V762" s="5" t="s">
        <v>238</v>
      </c>
      <c r="X762" s="6" t="s">
        <v>238</v>
      </c>
      <c r="AA762" s="6" t="s">
        <v>243</v>
      </c>
      <c r="AB762" s="5" t="s">
        <v>238</v>
      </c>
      <c r="AC762" s="5" t="s">
        <v>244</v>
      </c>
      <c r="AD762" s="5" t="s">
        <v>245</v>
      </c>
      <c r="AT762" s="5" t="s">
        <v>246</v>
      </c>
      <c r="AU762" s="5" t="s">
        <v>238</v>
      </c>
      <c r="AV762" s="5" t="s">
        <v>247</v>
      </c>
      <c r="AW762" s="5" t="s">
        <v>238</v>
      </c>
      <c r="AX762" s="5" t="s">
        <v>249</v>
      </c>
      <c r="AY762" s="5" t="s">
        <v>238</v>
      </c>
      <c r="BA762" s="5" t="s">
        <v>238</v>
      </c>
      <c r="BC762" s="5" t="s">
        <v>250</v>
      </c>
      <c r="BD762" s="6" t="s">
        <v>243</v>
      </c>
      <c r="BE762" s="5" t="s">
        <v>251</v>
      </c>
      <c r="BF762" s="5" t="s">
        <v>252</v>
      </c>
      <c r="BG762" s="5" t="s">
        <v>238</v>
      </c>
      <c r="BH762" s="7">
        <f>0</f>
        <v>0</v>
      </c>
      <c r="BI762" s="8">
        <f>0</f>
        <v>0</v>
      </c>
      <c r="BJ762" s="5" t="s">
        <v>253</v>
      </c>
      <c r="BK762" s="5" t="s">
        <v>254</v>
      </c>
      <c r="BY762" s="5" t="s">
        <v>238</v>
      </c>
      <c r="BZ762" s="5" t="s">
        <v>238</v>
      </c>
      <c r="CD762" s="5" t="s">
        <v>273</v>
      </c>
      <c r="CE762" s="5" t="s">
        <v>256</v>
      </c>
      <c r="CF762" s="5" t="s">
        <v>238</v>
      </c>
      <c r="CI762" s="6" t="s">
        <v>257</v>
      </c>
      <c r="CJ762" s="5" t="s">
        <v>238</v>
      </c>
      <c r="CK762" s="5" t="s">
        <v>258</v>
      </c>
      <c r="CL762" s="5" t="s">
        <v>238</v>
      </c>
      <c r="CM762" s="5" t="s">
        <v>238</v>
      </c>
      <c r="CN762" s="5">
        <v>0</v>
      </c>
      <c r="CO762" s="5" t="s">
        <v>259</v>
      </c>
      <c r="CP762" s="5" t="s">
        <v>260</v>
      </c>
      <c r="CQ762" s="5" t="s">
        <v>260</v>
      </c>
      <c r="CR762" s="5" t="s">
        <v>261</v>
      </c>
      <c r="CU762" s="8">
        <f>1</f>
        <v>1</v>
      </c>
      <c r="CV762" s="8">
        <f>0</f>
        <v>0</v>
      </c>
      <c r="CX762" s="8">
        <f>0</f>
        <v>0</v>
      </c>
      <c r="CY762" s="8">
        <f>1</f>
        <v>1</v>
      </c>
      <c r="DA762" s="5" t="s">
        <v>673</v>
      </c>
      <c r="DB762" s="5" t="s">
        <v>238</v>
      </c>
      <c r="DD762" s="5" t="s">
        <v>673</v>
      </c>
      <c r="DE762" s="8">
        <f>185</f>
        <v>185</v>
      </c>
      <c r="DF762" s="6" t="s">
        <v>2034</v>
      </c>
      <c r="DG762" s="5" t="s">
        <v>238</v>
      </c>
      <c r="DH762" s="5" t="s">
        <v>238</v>
      </c>
      <c r="DI762" s="5" t="s">
        <v>238</v>
      </c>
      <c r="DJ762" s="5" t="s">
        <v>238</v>
      </c>
      <c r="DN762" s="5" t="s">
        <v>238</v>
      </c>
      <c r="DO762" s="5" t="s">
        <v>238</v>
      </c>
      <c r="DP762" s="5" t="s">
        <v>238</v>
      </c>
      <c r="DQ762" s="5" t="s">
        <v>238</v>
      </c>
      <c r="DT762" s="5" t="s">
        <v>2039</v>
      </c>
      <c r="DU762" s="5" t="s">
        <v>1594</v>
      </c>
      <c r="HM762" s="5" t="s">
        <v>264</v>
      </c>
    </row>
    <row r="763" spans="1:221" x14ac:dyDescent="0.4">
      <c r="A763" s="5">
        <v>2438</v>
      </c>
      <c r="B763" s="5">
        <v>1</v>
      </c>
      <c r="C763" s="5">
        <v>1</v>
      </c>
      <c r="D763" s="5" t="s">
        <v>2037</v>
      </c>
      <c r="E763" s="5" t="s">
        <v>271</v>
      </c>
      <c r="F763" s="5" t="s">
        <v>248</v>
      </c>
      <c r="G763" s="5" t="s">
        <v>1969</v>
      </c>
      <c r="H763" s="6" t="s">
        <v>3444</v>
      </c>
      <c r="I763" s="7">
        <f>176</f>
        <v>176</v>
      </c>
      <c r="J763" s="5" t="s">
        <v>262</v>
      </c>
      <c r="K763" s="8">
        <f>1</f>
        <v>1</v>
      </c>
      <c r="L763" s="6" t="s">
        <v>242</v>
      </c>
      <c r="M763" s="5" t="s">
        <v>267</v>
      </c>
      <c r="N763" s="5" t="s">
        <v>265</v>
      </c>
      <c r="O763" s="5" t="s">
        <v>238</v>
      </c>
      <c r="P763" s="5" t="s">
        <v>238</v>
      </c>
      <c r="Q763" s="5" t="s">
        <v>268</v>
      </c>
      <c r="R763" s="5" t="s">
        <v>270</v>
      </c>
      <c r="S763" s="5" t="s">
        <v>238</v>
      </c>
      <c r="V763" s="5" t="s">
        <v>238</v>
      </c>
      <c r="X763" s="6" t="s">
        <v>238</v>
      </c>
      <c r="AA763" s="6" t="s">
        <v>243</v>
      </c>
      <c r="AB763" s="5" t="s">
        <v>238</v>
      </c>
      <c r="AC763" s="5" t="s">
        <v>244</v>
      </c>
      <c r="AD763" s="5" t="s">
        <v>245</v>
      </c>
      <c r="AT763" s="5" t="s">
        <v>246</v>
      </c>
      <c r="AU763" s="5" t="s">
        <v>238</v>
      </c>
      <c r="AV763" s="5" t="s">
        <v>247</v>
      </c>
      <c r="AW763" s="5" t="s">
        <v>238</v>
      </c>
      <c r="AX763" s="5" t="s">
        <v>249</v>
      </c>
      <c r="AY763" s="5" t="s">
        <v>238</v>
      </c>
      <c r="BA763" s="5" t="s">
        <v>238</v>
      </c>
      <c r="BC763" s="5" t="s">
        <v>250</v>
      </c>
      <c r="BD763" s="6" t="s">
        <v>243</v>
      </c>
      <c r="BE763" s="5" t="s">
        <v>251</v>
      </c>
      <c r="BF763" s="5" t="s">
        <v>252</v>
      </c>
      <c r="BG763" s="5" t="s">
        <v>238</v>
      </c>
      <c r="BH763" s="7">
        <f>0</f>
        <v>0</v>
      </c>
      <c r="BI763" s="8">
        <f>0</f>
        <v>0</v>
      </c>
      <c r="BJ763" s="5" t="s">
        <v>253</v>
      </c>
      <c r="BK763" s="5" t="s">
        <v>254</v>
      </c>
      <c r="BY763" s="5" t="s">
        <v>238</v>
      </c>
      <c r="BZ763" s="5" t="s">
        <v>238</v>
      </c>
      <c r="CD763" s="5" t="s">
        <v>273</v>
      </c>
      <c r="CE763" s="5" t="s">
        <v>256</v>
      </c>
      <c r="CF763" s="5" t="s">
        <v>238</v>
      </c>
      <c r="CI763" s="6" t="s">
        <v>257</v>
      </c>
      <c r="CJ763" s="5" t="s">
        <v>238</v>
      </c>
      <c r="CK763" s="5" t="s">
        <v>258</v>
      </c>
      <c r="CL763" s="5" t="s">
        <v>238</v>
      </c>
      <c r="CM763" s="5" t="s">
        <v>238</v>
      </c>
      <c r="CN763" s="5">
        <v>0</v>
      </c>
      <c r="CO763" s="5" t="s">
        <v>259</v>
      </c>
      <c r="CP763" s="5" t="s">
        <v>260</v>
      </c>
      <c r="CQ763" s="5" t="s">
        <v>260</v>
      </c>
      <c r="CR763" s="5" t="s">
        <v>261</v>
      </c>
      <c r="CU763" s="8">
        <f>1</f>
        <v>1</v>
      </c>
      <c r="CV763" s="8">
        <f>0</f>
        <v>0</v>
      </c>
      <c r="CX763" s="8">
        <f>0</f>
        <v>0</v>
      </c>
      <c r="CY763" s="8">
        <f>1</f>
        <v>1</v>
      </c>
      <c r="DA763" s="5" t="s">
        <v>673</v>
      </c>
      <c r="DB763" s="5" t="s">
        <v>238</v>
      </c>
      <c r="DD763" s="5" t="s">
        <v>673</v>
      </c>
      <c r="DE763" s="8">
        <f>176</f>
        <v>176</v>
      </c>
      <c r="DF763" s="6" t="s">
        <v>2034</v>
      </c>
      <c r="DG763" s="5" t="s">
        <v>238</v>
      </c>
      <c r="DH763" s="5" t="s">
        <v>238</v>
      </c>
      <c r="DI763" s="5" t="s">
        <v>238</v>
      </c>
      <c r="DJ763" s="5" t="s">
        <v>238</v>
      </c>
      <c r="DN763" s="5" t="s">
        <v>238</v>
      </c>
      <c r="DO763" s="5" t="s">
        <v>238</v>
      </c>
      <c r="DP763" s="5" t="s">
        <v>238</v>
      </c>
      <c r="DQ763" s="5" t="s">
        <v>238</v>
      </c>
      <c r="DT763" s="5" t="s">
        <v>2039</v>
      </c>
      <c r="DU763" s="5" t="s">
        <v>1329</v>
      </c>
      <c r="HM763" s="5" t="s">
        <v>264</v>
      </c>
    </row>
    <row r="764" spans="1:221" x14ac:dyDescent="0.4">
      <c r="A764" s="5">
        <v>2439</v>
      </c>
      <c r="B764" s="5">
        <v>1</v>
      </c>
      <c r="C764" s="5">
        <v>1</v>
      </c>
      <c r="D764" s="5" t="s">
        <v>2037</v>
      </c>
      <c r="E764" s="5" t="s">
        <v>271</v>
      </c>
      <c r="F764" s="5" t="s">
        <v>248</v>
      </c>
      <c r="G764" s="5" t="s">
        <v>1969</v>
      </c>
      <c r="H764" s="6" t="s">
        <v>3293</v>
      </c>
      <c r="I764" s="7">
        <f>217</f>
        <v>217</v>
      </c>
      <c r="J764" s="5" t="s">
        <v>262</v>
      </c>
      <c r="K764" s="8">
        <f>1</f>
        <v>1</v>
      </c>
      <c r="L764" s="6" t="s">
        <v>242</v>
      </c>
      <c r="M764" s="5" t="s">
        <v>267</v>
      </c>
      <c r="N764" s="5" t="s">
        <v>265</v>
      </c>
      <c r="O764" s="5" t="s">
        <v>238</v>
      </c>
      <c r="P764" s="5" t="s">
        <v>238</v>
      </c>
      <c r="Q764" s="5" t="s">
        <v>268</v>
      </c>
      <c r="R764" s="5" t="s">
        <v>270</v>
      </c>
      <c r="S764" s="5" t="s">
        <v>238</v>
      </c>
      <c r="V764" s="5" t="s">
        <v>238</v>
      </c>
      <c r="X764" s="6" t="s">
        <v>238</v>
      </c>
      <c r="AA764" s="6" t="s">
        <v>243</v>
      </c>
      <c r="AB764" s="5" t="s">
        <v>238</v>
      </c>
      <c r="AC764" s="5" t="s">
        <v>244</v>
      </c>
      <c r="AD764" s="5" t="s">
        <v>245</v>
      </c>
      <c r="AT764" s="5" t="s">
        <v>246</v>
      </c>
      <c r="AU764" s="5" t="s">
        <v>238</v>
      </c>
      <c r="AV764" s="5" t="s">
        <v>247</v>
      </c>
      <c r="AW764" s="5" t="s">
        <v>238</v>
      </c>
      <c r="AX764" s="5" t="s">
        <v>249</v>
      </c>
      <c r="AY764" s="5" t="s">
        <v>238</v>
      </c>
      <c r="BA764" s="5" t="s">
        <v>238</v>
      </c>
      <c r="BC764" s="5" t="s">
        <v>250</v>
      </c>
      <c r="BD764" s="6" t="s">
        <v>243</v>
      </c>
      <c r="BE764" s="5" t="s">
        <v>251</v>
      </c>
      <c r="BF764" s="5" t="s">
        <v>252</v>
      </c>
      <c r="BG764" s="5" t="s">
        <v>238</v>
      </c>
      <c r="BH764" s="7">
        <f>0</f>
        <v>0</v>
      </c>
      <c r="BI764" s="8">
        <f>0</f>
        <v>0</v>
      </c>
      <c r="BJ764" s="5" t="s">
        <v>253</v>
      </c>
      <c r="BK764" s="5" t="s">
        <v>254</v>
      </c>
      <c r="BY764" s="5" t="s">
        <v>238</v>
      </c>
      <c r="BZ764" s="5" t="s">
        <v>238</v>
      </c>
      <c r="CD764" s="5" t="s">
        <v>273</v>
      </c>
      <c r="CE764" s="5" t="s">
        <v>256</v>
      </c>
      <c r="CF764" s="5" t="s">
        <v>238</v>
      </c>
      <c r="CI764" s="6" t="s">
        <v>257</v>
      </c>
      <c r="CJ764" s="5" t="s">
        <v>238</v>
      </c>
      <c r="CK764" s="5" t="s">
        <v>258</v>
      </c>
      <c r="CL764" s="5" t="s">
        <v>238</v>
      </c>
      <c r="CM764" s="5" t="s">
        <v>238</v>
      </c>
      <c r="CN764" s="5">
        <v>0</v>
      </c>
      <c r="CO764" s="5" t="s">
        <v>259</v>
      </c>
      <c r="CP764" s="5" t="s">
        <v>260</v>
      </c>
      <c r="CQ764" s="5" t="s">
        <v>260</v>
      </c>
      <c r="CR764" s="5" t="s">
        <v>261</v>
      </c>
      <c r="CU764" s="8">
        <f>1</f>
        <v>1</v>
      </c>
      <c r="CV764" s="8">
        <f>0</f>
        <v>0</v>
      </c>
      <c r="CX764" s="8">
        <f>0</f>
        <v>0</v>
      </c>
      <c r="CY764" s="8">
        <f>1</f>
        <v>1</v>
      </c>
      <c r="DA764" s="5" t="s">
        <v>673</v>
      </c>
      <c r="DB764" s="5" t="s">
        <v>238</v>
      </c>
      <c r="DD764" s="5" t="s">
        <v>673</v>
      </c>
      <c r="DE764" s="8">
        <f>217</f>
        <v>217</v>
      </c>
      <c r="DF764" s="6" t="s">
        <v>2034</v>
      </c>
      <c r="DG764" s="5" t="s">
        <v>238</v>
      </c>
      <c r="DH764" s="5" t="s">
        <v>238</v>
      </c>
      <c r="DI764" s="5" t="s">
        <v>238</v>
      </c>
      <c r="DJ764" s="5" t="s">
        <v>238</v>
      </c>
      <c r="DN764" s="5" t="s">
        <v>238</v>
      </c>
      <c r="DO764" s="5" t="s">
        <v>238</v>
      </c>
      <c r="DP764" s="5" t="s">
        <v>238</v>
      </c>
      <c r="DQ764" s="5" t="s">
        <v>238</v>
      </c>
      <c r="DT764" s="5" t="s">
        <v>2039</v>
      </c>
      <c r="DU764" s="5" t="s">
        <v>1327</v>
      </c>
      <c r="HM764" s="5" t="s">
        <v>264</v>
      </c>
    </row>
    <row r="765" spans="1:221" x14ac:dyDescent="0.4">
      <c r="A765" s="5">
        <v>2440</v>
      </c>
      <c r="B765" s="5">
        <v>1</v>
      </c>
      <c r="C765" s="5">
        <v>1</v>
      </c>
      <c r="D765" s="5" t="s">
        <v>2037</v>
      </c>
      <c r="E765" s="5" t="s">
        <v>271</v>
      </c>
      <c r="F765" s="5" t="s">
        <v>248</v>
      </c>
      <c r="G765" s="5" t="s">
        <v>1969</v>
      </c>
      <c r="H765" s="6" t="s">
        <v>3350</v>
      </c>
      <c r="I765" s="7">
        <f>262</f>
        <v>262</v>
      </c>
      <c r="J765" s="5" t="s">
        <v>262</v>
      </c>
      <c r="K765" s="8">
        <f>1</f>
        <v>1</v>
      </c>
      <c r="L765" s="6" t="s">
        <v>242</v>
      </c>
      <c r="M765" s="5" t="s">
        <v>267</v>
      </c>
      <c r="N765" s="5" t="s">
        <v>265</v>
      </c>
      <c r="O765" s="5" t="s">
        <v>238</v>
      </c>
      <c r="P765" s="5" t="s">
        <v>238</v>
      </c>
      <c r="Q765" s="5" t="s">
        <v>268</v>
      </c>
      <c r="R765" s="5" t="s">
        <v>270</v>
      </c>
      <c r="S765" s="5" t="s">
        <v>238</v>
      </c>
      <c r="V765" s="5" t="s">
        <v>238</v>
      </c>
      <c r="X765" s="6" t="s">
        <v>238</v>
      </c>
      <c r="AA765" s="6" t="s">
        <v>243</v>
      </c>
      <c r="AB765" s="5" t="s">
        <v>238</v>
      </c>
      <c r="AC765" s="5" t="s">
        <v>244</v>
      </c>
      <c r="AD765" s="5" t="s">
        <v>245</v>
      </c>
      <c r="AT765" s="5" t="s">
        <v>246</v>
      </c>
      <c r="AU765" s="5" t="s">
        <v>238</v>
      </c>
      <c r="AV765" s="5" t="s">
        <v>247</v>
      </c>
      <c r="AW765" s="5" t="s">
        <v>238</v>
      </c>
      <c r="AX765" s="5" t="s">
        <v>249</v>
      </c>
      <c r="AY765" s="5" t="s">
        <v>238</v>
      </c>
      <c r="BA765" s="5" t="s">
        <v>238</v>
      </c>
      <c r="BC765" s="5" t="s">
        <v>250</v>
      </c>
      <c r="BD765" s="6" t="s">
        <v>243</v>
      </c>
      <c r="BE765" s="5" t="s">
        <v>251</v>
      </c>
      <c r="BF765" s="5" t="s">
        <v>252</v>
      </c>
      <c r="BG765" s="5" t="s">
        <v>238</v>
      </c>
      <c r="BH765" s="7">
        <f>0</f>
        <v>0</v>
      </c>
      <c r="BI765" s="8">
        <f>0</f>
        <v>0</v>
      </c>
      <c r="BJ765" s="5" t="s">
        <v>253</v>
      </c>
      <c r="BK765" s="5" t="s">
        <v>254</v>
      </c>
      <c r="BY765" s="5" t="s">
        <v>238</v>
      </c>
      <c r="BZ765" s="5" t="s">
        <v>238</v>
      </c>
      <c r="CD765" s="5" t="s">
        <v>273</v>
      </c>
      <c r="CE765" s="5" t="s">
        <v>256</v>
      </c>
      <c r="CF765" s="5" t="s">
        <v>238</v>
      </c>
      <c r="CI765" s="6" t="s">
        <v>257</v>
      </c>
      <c r="CJ765" s="5" t="s">
        <v>238</v>
      </c>
      <c r="CK765" s="5" t="s">
        <v>258</v>
      </c>
      <c r="CL765" s="5" t="s">
        <v>238</v>
      </c>
      <c r="CM765" s="5" t="s">
        <v>238</v>
      </c>
      <c r="CN765" s="5">
        <v>0</v>
      </c>
      <c r="CO765" s="5" t="s">
        <v>259</v>
      </c>
      <c r="CP765" s="5" t="s">
        <v>260</v>
      </c>
      <c r="CQ765" s="5" t="s">
        <v>260</v>
      </c>
      <c r="CR765" s="5" t="s">
        <v>261</v>
      </c>
      <c r="CU765" s="8">
        <f>1</f>
        <v>1</v>
      </c>
      <c r="CV765" s="8">
        <f>0</f>
        <v>0</v>
      </c>
      <c r="CX765" s="8">
        <f>0</f>
        <v>0</v>
      </c>
      <c r="CY765" s="8">
        <f>1</f>
        <v>1</v>
      </c>
      <c r="DA765" s="5" t="s">
        <v>673</v>
      </c>
      <c r="DB765" s="5" t="s">
        <v>238</v>
      </c>
      <c r="DD765" s="5" t="s">
        <v>673</v>
      </c>
      <c r="DE765" s="8">
        <f>262</f>
        <v>262</v>
      </c>
      <c r="DF765" s="6" t="s">
        <v>3351</v>
      </c>
      <c r="DG765" s="5" t="s">
        <v>238</v>
      </c>
      <c r="DH765" s="5" t="s">
        <v>238</v>
      </c>
      <c r="DI765" s="5" t="s">
        <v>238</v>
      </c>
      <c r="DJ765" s="5" t="s">
        <v>238</v>
      </c>
      <c r="DN765" s="5" t="s">
        <v>238</v>
      </c>
      <c r="DO765" s="5" t="s">
        <v>238</v>
      </c>
      <c r="DP765" s="5" t="s">
        <v>238</v>
      </c>
      <c r="DQ765" s="5" t="s">
        <v>238</v>
      </c>
      <c r="DT765" s="5" t="s">
        <v>2039</v>
      </c>
      <c r="DU765" s="5" t="s">
        <v>1320</v>
      </c>
      <c r="HM765" s="5" t="s">
        <v>264</v>
      </c>
    </row>
    <row r="766" spans="1:221" x14ac:dyDescent="0.4">
      <c r="A766" s="5">
        <v>2441</v>
      </c>
      <c r="B766" s="5">
        <v>1</v>
      </c>
      <c r="C766" s="5">
        <v>1</v>
      </c>
      <c r="D766" s="5" t="s">
        <v>2037</v>
      </c>
      <c r="E766" s="5" t="s">
        <v>271</v>
      </c>
      <c r="F766" s="5" t="s">
        <v>248</v>
      </c>
      <c r="G766" s="5" t="s">
        <v>1969</v>
      </c>
      <c r="H766" s="6" t="s">
        <v>3442</v>
      </c>
      <c r="I766" s="7">
        <f>298</f>
        <v>298</v>
      </c>
      <c r="J766" s="5" t="s">
        <v>262</v>
      </c>
      <c r="K766" s="8">
        <f>1</f>
        <v>1</v>
      </c>
      <c r="L766" s="6" t="s">
        <v>242</v>
      </c>
      <c r="M766" s="5" t="s">
        <v>267</v>
      </c>
      <c r="N766" s="5" t="s">
        <v>265</v>
      </c>
      <c r="O766" s="5" t="s">
        <v>238</v>
      </c>
      <c r="P766" s="5" t="s">
        <v>238</v>
      </c>
      <c r="Q766" s="5" t="s">
        <v>268</v>
      </c>
      <c r="R766" s="5" t="s">
        <v>270</v>
      </c>
      <c r="S766" s="5" t="s">
        <v>238</v>
      </c>
      <c r="V766" s="5" t="s">
        <v>238</v>
      </c>
      <c r="X766" s="6" t="s">
        <v>238</v>
      </c>
      <c r="AA766" s="6" t="s">
        <v>243</v>
      </c>
      <c r="AB766" s="5" t="s">
        <v>238</v>
      </c>
      <c r="AC766" s="5" t="s">
        <v>244</v>
      </c>
      <c r="AD766" s="5" t="s">
        <v>245</v>
      </c>
      <c r="AT766" s="5" t="s">
        <v>246</v>
      </c>
      <c r="AU766" s="5" t="s">
        <v>238</v>
      </c>
      <c r="AV766" s="5" t="s">
        <v>247</v>
      </c>
      <c r="AW766" s="5" t="s">
        <v>238</v>
      </c>
      <c r="AX766" s="5" t="s">
        <v>249</v>
      </c>
      <c r="AY766" s="5" t="s">
        <v>238</v>
      </c>
      <c r="BA766" s="5" t="s">
        <v>238</v>
      </c>
      <c r="BC766" s="5" t="s">
        <v>250</v>
      </c>
      <c r="BD766" s="6" t="s">
        <v>243</v>
      </c>
      <c r="BE766" s="5" t="s">
        <v>251</v>
      </c>
      <c r="BF766" s="5" t="s">
        <v>252</v>
      </c>
      <c r="BG766" s="5" t="s">
        <v>238</v>
      </c>
      <c r="BH766" s="7">
        <f>0</f>
        <v>0</v>
      </c>
      <c r="BI766" s="8">
        <f>0</f>
        <v>0</v>
      </c>
      <c r="BJ766" s="5" t="s">
        <v>253</v>
      </c>
      <c r="BK766" s="5" t="s">
        <v>254</v>
      </c>
      <c r="BY766" s="5" t="s">
        <v>238</v>
      </c>
      <c r="BZ766" s="5" t="s">
        <v>238</v>
      </c>
      <c r="CD766" s="5" t="s">
        <v>273</v>
      </c>
      <c r="CE766" s="5" t="s">
        <v>256</v>
      </c>
      <c r="CF766" s="5" t="s">
        <v>238</v>
      </c>
      <c r="CI766" s="6" t="s">
        <v>257</v>
      </c>
      <c r="CJ766" s="5" t="s">
        <v>238</v>
      </c>
      <c r="CK766" s="5" t="s">
        <v>258</v>
      </c>
      <c r="CL766" s="5" t="s">
        <v>238</v>
      </c>
      <c r="CM766" s="5" t="s">
        <v>238</v>
      </c>
      <c r="CN766" s="5">
        <v>0</v>
      </c>
      <c r="CO766" s="5" t="s">
        <v>259</v>
      </c>
      <c r="CP766" s="5" t="s">
        <v>260</v>
      </c>
      <c r="CQ766" s="5" t="s">
        <v>260</v>
      </c>
      <c r="CR766" s="5" t="s">
        <v>261</v>
      </c>
      <c r="CU766" s="8">
        <f>1</f>
        <v>1</v>
      </c>
      <c r="CV766" s="8">
        <f>0</f>
        <v>0</v>
      </c>
      <c r="CX766" s="8">
        <f>0</f>
        <v>0</v>
      </c>
      <c r="CY766" s="8">
        <f>1</f>
        <v>1</v>
      </c>
      <c r="DA766" s="5" t="s">
        <v>673</v>
      </c>
      <c r="DB766" s="5" t="s">
        <v>238</v>
      </c>
      <c r="DD766" s="5" t="s">
        <v>673</v>
      </c>
      <c r="DE766" s="8">
        <f>298</f>
        <v>298</v>
      </c>
      <c r="DF766" s="6" t="s">
        <v>3443</v>
      </c>
      <c r="DG766" s="5" t="s">
        <v>238</v>
      </c>
      <c r="DH766" s="5" t="s">
        <v>238</v>
      </c>
      <c r="DI766" s="5" t="s">
        <v>238</v>
      </c>
      <c r="DJ766" s="5" t="s">
        <v>238</v>
      </c>
      <c r="DN766" s="5" t="s">
        <v>238</v>
      </c>
      <c r="DO766" s="5" t="s">
        <v>238</v>
      </c>
      <c r="DP766" s="5" t="s">
        <v>238</v>
      </c>
      <c r="DQ766" s="5" t="s">
        <v>238</v>
      </c>
      <c r="DT766" s="5" t="s">
        <v>2039</v>
      </c>
      <c r="DU766" s="5" t="s">
        <v>1318</v>
      </c>
      <c r="HM766" s="5" t="s">
        <v>264</v>
      </c>
    </row>
    <row r="767" spans="1:221" x14ac:dyDescent="0.4">
      <c r="A767" s="5">
        <v>2442</v>
      </c>
      <c r="B767" s="5">
        <v>1</v>
      </c>
      <c r="C767" s="5">
        <v>1</v>
      </c>
      <c r="D767" s="5" t="s">
        <v>2037</v>
      </c>
      <c r="E767" s="5" t="s">
        <v>271</v>
      </c>
      <c r="F767" s="5" t="s">
        <v>248</v>
      </c>
      <c r="G767" s="5" t="s">
        <v>1969</v>
      </c>
      <c r="H767" s="6" t="s">
        <v>3441</v>
      </c>
      <c r="I767" s="7">
        <f>172</f>
        <v>172</v>
      </c>
      <c r="J767" s="5" t="s">
        <v>262</v>
      </c>
      <c r="K767" s="8">
        <f>1</f>
        <v>1</v>
      </c>
      <c r="L767" s="6" t="s">
        <v>242</v>
      </c>
      <c r="M767" s="5" t="s">
        <v>267</v>
      </c>
      <c r="N767" s="5" t="s">
        <v>265</v>
      </c>
      <c r="O767" s="5" t="s">
        <v>238</v>
      </c>
      <c r="P767" s="5" t="s">
        <v>238</v>
      </c>
      <c r="Q767" s="5" t="s">
        <v>268</v>
      </c>
      <c r="R767" s="5" t="s">
        <v>270</v>
      </c>
      <c r="S767" s="5" t="s">
        <v>238</v>
      </c>
      <c r="V767" s="5" t="s">
        <v>238</v>
      </c>
      <c r="X767" s="6" t="s">
        <v>238</v>
      </c>
      <c r="AA767" s="6" t="s">
        <v>243</v>
      </c>
      <c r="AB767" s="5" t="s">
        <v>238</v>
      </c>
      <c r="AC767" s="5" t="s">
        <v>244</v>
      </c>
      <c r="AD767" s="5" t="s">
        <v>245</v>
      </c>
      <c r="AT767" s="5" t="s">
        <v>246</v>
      </c>
      <c r="AU767" s="5" t="s">
        <v>238</v>
      </c>
      <c r="AV767" s="5" t="s">
        <v>247</v>
      </c>
      <c r="AW767" s="5" t="s">
        <v>238</v>
      </c>
      <c r="AX767" s="5" t="s">
        <v>249</v>
      </c>
      <c r="AY767" s="5" t="s">
        <v>238</v>
      </c>
      <c r="BA767" s="5" t="s">
        <v>238</v>
      </c>
      <c r="BC767" s="5" t="s">
        <v>250</v>
      </c>
      <c r="BD767" s="6" t="s">
        <v>243</v>
      </c>
      <c r="BE767" s="5" t="s">
        <v>251</v>
      </c>
      <c r="BF767" s="5" t="s">
        <v>252</v>
      </c>
      <c r="BG767" s="5" t="s">
        <v>238</v>
      </c>
      <c r="BH767" s="7">
        <f>0</f>
        <v>0</v>
      </c>
      <c r="BI767" s="8">
        <f>0</f>
        <v>0</v>
      </c>
      <c r="BJ767" s="5" t="s">
        <v>253</v>
      </c>
      <c r="BK767" s="5" t="s">
        <v>254</v>
      </c>
      <c r="BY767" s="5" t="s">
        <v>238</v>
      </c>
      <c r="BZ767" s="5" t="s">
        <v>238</v>
      </c>
      <c r="CD767" s="5" t="s">
        <v>273</v>
      </c>
      <c r="CE767" s="5" t="s">
        <v>256</v>
      </c>
      <c r="CF767" s="5" t="s">
        <v>238</v>
      </c>
      <c r="CI767" s="6" t="s">
        <v>257</v>
      </c>
      <c r="CJ767" s="5" t="s">
        <v>238</v>
      </c>
      <c r="CK767" s="5" t="s">
        <v>258</v>
      </c>
      <c r="CL767" s="5" t="s">
        <v>238</v>
      </c>
      <c r="CM767" s="5" t="s">
        <v>238</v>
      </c>
      <c r="CN767" s="5">
        <v>0</v>
      </c>
      <c r="CO767" s="5" t="s">
        <v>259</v>
      </c>
      <c r="CP767" s="5" t="s">
        <v>260</v>
      </c>
      <c r="CQ767" s="5" t="s">
        <v>260</v>
      </c>
      <c r="CR767" s="5" t="s">
        <v>261</v>
      </c>
      <c r="CU767" s="8">
        <f>1</f>
        <v>1</v>
      </c>
      <c r="CV767" s="8">
        <f>0</f>
        <v>0</v>
      </c>
      <c r="CX767" s="8">
        <f>0</f>
        <v>0</v>
      </c>
      <c r="CY767" s="8">
        <f>1</f>
        <v>1</v>
      </c>
      <c r="DA767" s="5" t="s">
        <v>673</v>
      </c>
      <c r="DB767" s="5" t="s">
        <v>238</v>
      </c>
      <c r="DD767" s="5" t="s">
        <v>673</v>
      </c>
      <c r="DE767" s="8">
        <f>172</f>
        <v>172</v>
      </c>
      <c r="DF767" s="6" t="s">
        <v>2034</v>
      </c>
      <c r="DG767" s="5" t="s">
        <v>238</v>
      </c>
      <c r="DH767" s="5" t="s">
        <v>238</v>
      </c>
      <c r="DI767" s="5" t="s">
        <v>238</v>
      </c>
      <c r="DJ767" s="5" t="s">
        <v>238</v>
      </c>
      <c r="DN767" s="5" t="s">
        <v>238</v>
      </c>
      <c r="DO767" s="5" t="s">
        <v>238</v>
      </c>
      <c r="DP767" s="5" t="s">
        <v>238</v>
      </c>
      <c r="DQ767" s="5" t="s">
        <v>238</v>
      </c>
      <c r="DT767" s="5" t="s">
        <v>2039</v>
      </c>
      <c r="DU767" s="5" t="s">
        <v>1314</v>
      </c>
      <c r="HM767" s="5" t="s">
        <v>264</v>
      </c>
    </row>
    <row r="768" spans="1:221" x14ac:dyDescent="0.4">
      <c r="A768" s="5">
        <v>2443</v>
      </c>
      <c r="B768" s="5">
        <v>1</v>
      </c>
      <c r="C768" s="5">
        <v>1</v>
      </c>
      <c r="D768" s="5" t="s">
        <v>2037</v>
      </c>
      <c r="E768" s="5" t="s">
        <v>271</v>
      </c>
      <c r="F768" s="5" t="s">
        <v>248</v>
      </c>
      <c r="G768" s="5" t="s">
        <v>1969</v>
      </c>
      <c r="H768" s="6" t="s">
        <v>3440</v>
      </c>
      <c r="I768" s="7">
        <f>43</f>
        <v>43</v>
      </c>
      <c r="J768" s="5" t="s">
        <v>262</v>
      </c>
      <c r="K768" s="8">
        <f>1</f>
        <v>1</v>
      </c>
      <c r="L768" s="6" t="s">
        <v>242</v>
      </c>
      <c r="M768" s="5" t="s">
        <v>267</v>
      </c>
      <c r="N768" s="5" t="s">
        <v>265</v>
      </c>
      <c r="O768" s="5" t="s">
        <v>238</v>
      </c>
      <c r="P768" s="5" t="s">
        <v>238</v>
      </c>
      <c r="Q768" s="5" t="s">
        <v>268</v>
      </c>
      <c r="R768" s="5" t="s">
        <v>270</v>
      </c>
      <c r="S768" s="5" t="s">
        <v>238</v>
      </c>
      <c r="V768" s="5" t="s">
        <v>238</v>
      </c>
      <c r="X768" s="6" t="s">
        <v>238</v>
      </c>
      <c r="AA768" s="6" t="s">
        <v>3439</v>
      </c>
      <c r="AB768" s="5" t="s">
        <v>238</v>
      </c>
      <c r="AC768" s="5" t="s">
        <v>244</v>
      </c>
      <c r="AD768" s="5" t="s">
        <v>245</v>
      </c>
      <c r="AT768" s="5" t="s">
        <v>246</v>
      </c>
      <c r="AU768" s="5" t="s">
        <v>238</v>
      </c>
      <c r="AV768" s="5" t="s">
        <v>247</v>
      </c>
      <c r="AW768" s="5" t="s">
        <v>238</v>
      </c>
      <c r="AX768" s="5" t="s">
        <v>249</v>
      </c>
      <c r="AY768" s="5" t="s">
        <v>238</v>
      </c>
      <c r="BA768" s="5" t="s">
        <v>238</v>
      </c>
      <c r="BC768" s="5" t="s">
        <v>2035</v>
      </c>
      <c r="BD768" s="6" t="s">
        <v>3439</v>
      </c>
      <c r="BE768" s="5" t="s">
        <v>251</v>
      </c>
      <c r="BF768" s="5" t="s">
        <v>252</v>
      </c>
      <c r="BG768" s="5" t="s">
        <v>238</v>
      </c>
      <c r="BH768" s="7">
        <f>0</f>
        <v>0</v>
      </c>
      <c r="BI768" s="8">
        <f>0</f>
        <v>0</v>
      </c>
      <c r="BJ768" s="5" t="s">
        <v>253</v>
      </c>
      <c r="BK768" s="5" t="s">
        <v>254</v>
      </c>
      <c r="BY768" s="5" t="s">
        <v>238</v>
      </c>
      <c r="BZ768" s="5" t="s">
        <v>238</v>
      </c>
      <c r="CD768" s="5" t="s">
        <v>273</v>
      </c>
      <c r="CE768" s="5" t="s">
        <v>256</v>
      </c>
      <c r="CF768" s="5" t="s">
        <v>238</v>
      </c>
      <c r="CI768" s="6" t="s">
        <v>257</v>
      </c>
      <c r="CJ768" s="5" t="s">
        <v>238</v>
      </c>
      <c r="CK768" s="5" t="s">
        <v>258</v>
      </c>
      <c r="CL768" s="5" t="s">
        <v>238</v>
      </c>
      <c r="CM768" s="5" t="s">
        <v>238</v>
      </c>
      <c r="CN768" s="5">
        <v>0</v>
      </c>
      <c r="CO768" s="5" t="s">
        <v>259</v>
      </c>
      <c r="CP768" s="5" t="s">
        <v>260</v>
      </c>
      <c r="CQ768" s="5" t="s">
        <v>260</v>
      </c>
      <c r="CR768" s="5" t="s">
        <v>261</v>
      </c>
      <c r="CU768" s="8">
        <f>1</f>
        <v>1</v>
      </c>
      <c r="CV768" s="8">
        <f>0</f>
        <v>0</v>
      </c>
      <c r="CX768" s="8">
        <f>0</f>
        <v>0</v>
      </c>
      <c r="CY768" s="8">
        <f>1</f>
        <v>1</v>
      </c>
      <c r="DA768" s="5" t="s">
        <v>673</v>
      </c>
      <c r="DB768" s="5" t="s">
        <v>238</v>
      </c>
      <c r="DD768" s="5" t="s">
        <v>673</v>
      </c>
      <c r="DE768" s="8">
        <f>43</f>
        <v>43</v>
      </c>
      <c r="DF768" s="6" t="s">
        <v>242</v>
      </c>
      <c r="DG768" s="5" t="s">
        <v>238</v>
      </c>
      <c r="DH768" s="5" t="s">
        <v>238</v>
      </c>
      <c r="DI768" s="5" t="s">
        <v>238</v>
      </c>
      <c r="DJ768" s="5" t="s">
        <v>238</v>
      </c>
      <c r="DN768" s="5" t="s">
        <v>238</v>
      </c>
      <c r="DO768" s="5" t="s">
        <v>238</v>
      </c>
      <c r="DP768" s="5" t="s">
        <v>238</v>
      </c>
      <c r="DQ768" s="5" t="s">
        <v>238</v>
      </c>
      <c r="DT768" s="5" t="s">
        <v>2039</v>
      </c>
      <c r="DU768" s="5" t="s">
        <v>602</v>
      </c>
      <c r="HM768" s="5" t="s">
        <v>264</v>
      </c>
    </row>
    <row r="769" spans="1:221" x14ac:dyDescent="0.4">
      <c r="A769" s="5">
        <v>2444</v>
      </c>
      <c r="B769" s="5">
        <v>1</v>
      </c>
      <c r="C769" s="5">
        <v>1</v>
      </c>
      <c r="D769" s="5" t="s">
        <v>2037</v>
      </c>
      <c r="E769" s="5" t="s">
        <v>271</v>
      </c>
      <c r="F769" s="5" t="s">
        <v>248</v>
      </c>
      <c r="G769" s="5" t="s">
        <v>1969</v>
      </c>
      <c r="H769" s="6" t="s">
        <v>3438</v>
      </c>
      <c r="I769" s="7">
        <f>639</f>
        <v>639</v>
      </c>
      <c r="J769" s="5" t="s">
        <v>262</v>
      </c>
      <c r="K769" s="8">
        <f>1</f>
        <v>1</v>
      </c>
      <c r="L769" s="6" t="s">
        <v>242</v>
      </c>
      <c r="M769" s="5" t="s">
        <v>267</v>
      </c>
      <c r="N769" s="5" t="s">
        <v>265</v>
      </c>
      <c r="O769" s="5" t="s">
        <v>238</v>
      </c>
      <c r="P769" s="5" t="s">
        <v>238</v>
      </c>
      <c r="Q769" s="5" t="s">
        <v>268</v>
      </c>
      <c r="R769" s="5" t="s">
        <v>270</v>
      </c>
      <c r="S769" s="5" t="s">
        <v>238</v>
      </c>
      <c r="V769" s="5" t="s">
        <v>238</v>
      </c>
      <c r="X769" s="6" t="s">
        <v>238</v>
      </c>
      <c r="AA769" s="6" t="s">
        <v>2349</v>
      </c>
      <c r="AB769" s="5" t="s">
        <v>238</v>
      </c>
      <c r="AC769" s="5" t="s">
        <v>244</v>
      </c>
      <c r="AD769" s="5" t="s">
        <v>245</v>
      </c>
      <c r="AT769" s="5" t="s">
        <v>246</v>
      </c>
      <c r="AU769" s="5" t="s">
        <v>238</v>
      </c>
      <c r="AV769" s="5" t="s">
        <v>247</v>
      </c>
      <c r="AW769" s="5" t="s">
        <v>238</v>
      </c>
      <c r="AX769" s="5" t="s">
        <v>249</v>
      </c>
      <c r="AY769" s="5" t="s">
        <v>238</v>
      </c>
      <c r="BA769" s="5" t="s">
        <v>238</v>
      </c>
      <c r="BC769" s="5" t="s">
        <v>1468</v>
      </c>
      <c r="BD769" s="6" t="s">
        <v>2349</v>
      </c>
      <c r="BE769" s="5" t="s">
        <v>251</v>
      </c>
      <c r="BF769" s="5" t="s">
        <v>252</v>
      </c>
      <c r="BG769" s="5" t="s">
        <v>238</v>
      </c>
      <c r="BH769" s="7">
        <f>0</f>
        <v>0</v>
      </c>
      <c r="BI769" s="8">
        <f>0</f>
        <v>0</v>
      </c>
      <c r="BJ769" s="5" t="s">
        <v>253</v>
      </c>
      <c r="BK769" s="5" t="s">
        <v>254</v>
      </c>
      <c r="BY769" s="5" t="s">
        <v>238</v>
      </c>
      <c r="BZ769" s="5" t="s">
        <v>238</v>
      </c>
      <c r="CD769" s="5" t="s">
        <v>273</v>
      </c>
      <c r="CE769" s="5" t="s">
        <v>256</v>
      </c>
      <c r="CF769" s="5" t="s">
        <v>238</v>
      </c>
      <c r="CI769" s="6" t="s">
        <v>257</v>
      </c>
      <c r="CJ769" s="5" t="s">
        <v>238</v>
      </c>
      <c r="CK769" s="5" t="s">
        <v>258</v>
      </c>
      <c r="CL769" s="5" t="s">
        <v>238</v>
      </c>
      <c r="CM769" s="5" t="s">
        <v>238</v>
      </c>
      <c r="CN769" s="5">
        <v>0</v>
      </c>
      <c r="CO769" s="5" t="s">
        <v>259</v>
      </c>
      <c r="CP769" s="5" t="s">
        <v>260</v>
      </c>
      <c r="CQ769" s="5" t="s">
        <v>260</v>
      </c>
      <c r="CR769" s="5" t="s">
        <v>261</v>
      </c>
      <c r="CU769" s="8">
        <f>1</f>
        <v>1</v>
      </c>
      <c r="CV769" s="8">
        <f>0</f>
        <v>0</v>
      </c>
      <c r="CX769" s="8">
        <f>0</f>
        <v>0</v>
      </c>
      <c r="CY769" s="8">
        <f>1</f>
        <v>1</v>
      </c>
      <c r="DA769" s="5" t="s">
        <v>673</v>
      </c>
      <c r="DB769" s="5" t="s">
        <v>238</v>
      </c>
      <c r="DD769" s="5" t="s">
        <v>673</v>
      </c>
      <c r="DE769" s="8">
        <f>639</f>
        <v>639</v>
      </c>
      <c r="DG769" s="5" t="s">
        <v>238</v>
      </c>
      <c r="DH769" s="5" t="s">
        <v>238</v>
      </c>
      <c r="DI769" s="5" t="s">
        <v>238</v>
      </c>
      <c r="DJ769" s="5" t="s">
        <v>238</v>
      </c>
      <c r="DN769" s="5" t="s">
        <v>238</v>
      </c>
      <c r="DO769" s="5" t="s">
        <v>238</v>
      </c>
      <c r="DP769" s="5" t="s">
        <v>238</v>
      </c>
      <c r="DQ769" s="5" t="s">
        <v>238</v>
      </c>
      <c r="DT769" s="5" t="s">
        <v>2039</v>
      </c>
      <c r="DU769" s="5" t="s">
        <v>1307</v>
      </c>
      <c r="HM769" s="5" t="s">
        <v>264</v>
      </c>
    </row>
    <row r="770" spans="1:221" x14ac:dyDescent="0.4">
      <c r="A770" s="5">
        <v>2445</v>
      </c>
      <c r="B770" s="5">
        <v>1</v>
      </c>
      <c r="C770" s="5">
        <v>1</v>
      </c>
      <c r="D770" s="5" t="s">
        <v>2037</v>
      </c>
      <c r="E770" s="5" t="s">
        <v>271</v>
      </c>
      <c r="F770" s="5" t="s">
        <v>248</v>
      </c>
      <c r="G770" s="5" t="s">
        <v>1969</v>
      </c>
      <c r="H770" s="6" t="s">
        <v>3436</v>
      </c>
      <c r="I770" s="7">
        <f>1.68</f>
        <v>1.68</v>
      </c>
      <c r="J770" s="5" t="s">
        <v>262</v>
      </c>
      <c r="K770" s="8">
        <f>1</f>
        <v>1</v>
      </c>
      <c r="L770" s="6" t="s">
        <v>242</v>
      </c>
      <c r="M770" s="5" t="s">
        <v>267</v>
      </c>
      <c r="N770" s="5" t="s">
        <v>265</v>
      </c>
      <c r="O770" s="5" t="s">
        <v>238</v>
      </c>
      <c r="P770" s="5" t="s">
        <v>238</v>
      </c>
      <c r="Q770" s="5" t="s">
        <v>268</v>
      </c>
      <c r="R770" s="5" t="s">
        <v>270</v>
      </c>
      <c r="S770" s="5" t="s">
        <v>238</v>
      </c>
      <c r="V770" s="5" t="s">
        <v>238</v>
      </c>
      <c r="X770" s="6" t="s">
        <v>238</v>
      </c>
      <c r="AA770" s="6" t="s">
        <v>2349</v>
      </c>
      <c r="AB770" s="5" t="s">
        <v>238</v>
      </c>
      <c r="AC770" s="5" t="s">
        <v>244</v>
      </c>
      <c r="AD770" s="5" t="s">
        <v>245</v>
      </c>
      <c r="AT770" s="5" t="s">
        <v>246</v>
      </c>
      <c r="AU770" s="5" t="s">
        <v>238</v>
      </c>
      <c r="AV770" s="5" t="s">
        <v>247</v>
      </c>
      <c r="AW770" s="5" t="s">
        <v>238</v>
      </c>
      <c r="AX770" s="5" t="s">
        <v>249</v>
      </c>
      <c r="AY770" s="5" t="s">
        <v>238</v>
      </c>
      <c r="BA770" s="5" t="s">
        <v>238</v>
      </c>
      <c r="BC770" s="5" t="s">
        <v>1433</v>
      </c>
      <c r="BD770" s="6" t="s">
        <v>3437</v>
      </c>
      <c r="BE770" s="5" t="s">
        <v>251</v>
      </c>
      <c r="BF770" s="5" t="s">
        <v>252</v>
      </c>
      <c r="BG770" s="5" t="s">
        <v>238</v>
      </c>
      <c r="BH770" s="7">
        <f>0</f>
        <v>0</v>
      </c>
      <c r="BI770" s="8">
        <f>0</f>
        <v>0</v>
      </c>
      <c r="BJ770" s="5" t="s">
        <v>253</v>
      </c>
      <c r="BK770" s="5" t="s">
        <v>254</v>
      </c>
      <c r="BY770" s="5" t="s">
        <v>238</v>
      </c>
      <c r="BZ770" s="5" t="s">
        <v>238</v>
      </c>
      <c r="CD770" s="5" t="s">
        <v>273</v>
      </c>
      <c r="CE770" s="5" t="s">
        <v>256</v>
      </c>
      <c r="CF770" s="5" t="s">
        <v>238</v>
      </c>
      <c r="CI770" s="6" t="s">
        <v>257</v>
      </c>
      <c r="CJ770" s="5" t="s">
        <v>238</v>
      </c>
      <c r="CK770" s="5" t="s">
        <v>258</v>
      </c>
      <c r="CL770" s="5" t="s">
        <v>238</v>
      </c>
      <c r="CM770" s="5" t="s">
        <v>238</v>
      </c>
      <c r="CN770" s="5">
        <v>0</v>
      </c>
      <c r="CO770" s="5" t="s">
        <v>259</v>
      </c>
      <c r="CP770" s="5" t="s">
        <v>260</v>
      </c>
      <c r="CQ770" s="5" t="s">
        <v>260</v>
      </c>
      <c r="CR770" s="5" t="s">
        <v>261</v>
      </c>
      <c r="CU770" s="8">
        <f>1</f>
        <v>1</v>
      </c>
      <c r="CV770" s="8">
        <f>0</f>
        <v>0</v>
      </c>
      <c r="CX770" s="8">
        <f>0</f>
        <v>0</v>
      </c>
      <c r="CY770" s="8">
        <f>1</f>
        <v>1</v>
      </c>
      <c r="DA770" s="5" t="s">
        <v>673</v>
      </c>
      <c r="DB770" s="5" t="s">
        <v>238</v>
      </c>
      <c r="DD770" s="5" t="s">
        <v>673</v>
      </c>
      <c r="DE770" s="8">
        <f>1.68</f>
        <v>1.68</v>
      </c>
      <c r="DG770" s="5" t="s">
        <v>238</v>
      </c>
      <c r="DH770" s="5" t="s">
        <v>238</v>
      </c>
      <c r="DI770" s="5" t="s">
        <v>238</v>
      </c>
      <c r="DJ770" s="5" t="s">
        <v>238</v>
      </c>
      <c r="DN770" s="5" t="s">
        <v>238</v>
      </c>
      <c r="DO770" s="5" t="s">
        <v>238</v>
      </c>
      <c r="DP770" s="5" t="s">
        <v>238</v>
      </c>
      <c r="DQ770" s="5" t="s">
        <v>238</v>
      </c>
      <c r="DT770" s="5" t="s">
        <v>2039</v>
      </c>
      <c r="DU770" s="5" t="s">
        <v>1305</v>
      </c>
      <c r="HM770" s="5" t="s">
        <v>264</v>
      </c>
    </row>
    <row r="771" spans="1:221" x14ac:dyDescent="0.4">
      <c r="A771" s="5">
        <v>2446</v>
      </c>
      <c r="B771" s="5">
        <v>1</v>
      </c>
      <c r="C771" s="5">
        <v>1</v>
      </c>
      <c r="D771" s="5" t="s">
        <v>2037</v>
      </c>
      <c r="E771" s="5" t="s">
        <v>271</v>
      </c>
      <c r="F771" s="5" t="s">
        <v>248</v>
      </c>
      <c r="G771" s="5" t="s">
        <v>1969</v>
      </c>
      <c r="H771" s="6" t="s">
        <v>3435</v>
      </c>
      <c r="I771" s="7">
        <f>4.55</f>
        <v>4.55</v>
      </c>
      <c r="J771" s="5" t="s">
        <v>262</v>
      </c>
      <c r="K771" s="8">
        <f>1</f>
        <v>1</v>
      </c>
      <c r="L771" s="6" t="s">
        <v>242</v>
      </c>
      <c r="M771" s="5" t="s">
        <v>267</v>
      </c>
      <c r="N771" s="5" t="s">
        <v>265</v>
      </c>
      <c r="O771" s="5" t="s">
        <v>238</v>
      </c>
      <c r="P771" s="5" t="s">
        <v>238</v>
      </c>
      <c r="Q771" s="5" t="s">
        <v>268</v>
      </c>
      <c r="R771" s="5" t="s">
        <v>270</v>
      </c>
      <c r="S771" s="5" t="s">
        <v>238</v>
      </c>
      <c r="V771" s="5" t="s">
        <v>238</v>
      </c>
      <c r="X771" s="6" t="s">
        <v>238</v>
      </c>
      <c r="AA771" s="6" t="s">
        <v>2344</v>
      </c>
      <c r="AB771" s="5" t="s">
        <v>238</v>
      </c>
      <c r="AC771" s="5" t="s">
        <v>244</v>
      </c>
      <c r="AD771" s="5" t="s">
        <v>245</v>
      </c>
      <c r="AT771" s="5" t="s">
        <v>246</v>
      </c>
      <c r="AU771" s="5" t="s">
        <v>238</v>
      </c>
      <c r="AV771" s="5" t="s">
        <v>247</v>
      </c>
      <c r="AW771" s="5" t="s">
        <v>238</v>
      </c>
      <c r="AX771" s="5" t="s">
        <v>249</v>
      </c>
      <c r="AY771" s="5" t="s">
        <v>238</v>
      </c>
      <c r="BA771" s="5" t="s">
        <v>238</v>
      </c>
      <c r="BC771" s="5" t="s">
        <v>1433</v>
      </c>
      <c r="BD771" s="6" t="s">
        <v>2344</v>
      </c>
      <c r="BE771" s="5" t="s">
        <v>251</v>
      </c>
      <c r="BF771" s="5" t="s">
        <v>252</v>
      </c>
      <c r="BG771" s="5" t="s">
        <v>238</v>
      </c>
      <c r="BH771" s="7">
        <f>0</f>
        <v>0</v>
      </c>
      <c r="BI771" s="8">
        <f>0</f>
        <v>0</v>
      </c>
      <c r="BJ771" s="5" t="s">
        <v>253</v>
      </c>
      <c r="BK771" s="5" t="s">
        <v>254</v>
      </c>
      <c r="BY771" s="5" t="s">
        <v>238</v>
      </c>
      <c r="BZ771" s="5" t="s">
        <v>238</v>
      </c>
      <c r="CD771" s="5" t="s">
        <v>273</v>
      </c>
      <c r="CE771" s="5" t="s">
        <v>256</v>
      </c>
      <c r="CF771" s="5" t="s">
        <v>238</v>
      </c>
      <c r="CI771" s="6" t="s">
        <v>257</v>
      </c>
      <c r="CJ771" s="5" t="s">
        <v>238</v>
      </c>
      <c r="CK771" s="5" t="s">
        <v>258</v>
      </c>
      <c r="CL771" s="5" t="s">
        <v>238</v>
      </c>
      <c r="CM771" s="5" t="s">
        <v>238</v>
      </c>
      <c r="CN771" s="5">
        <v>0</v>
      </c>
      <c r="CO771" s="5" t="s">
        <v>259</v>
      </c>
      <c r="CP771" s="5" t="s">
        <v>260</v>
      </c>
      <c r="CQ771" s="5" t="s">
        <v>260</v>
      </c>
      <c r="CR771" s="5" t="s">
        <v>261</v>
      </c>
      <c r="CU771" s="8">
        <f>1</f>
        <v>1</v>
      </c>
      <c r="CV771" s="8">
        <f>0</f>
        <v>0</v>
      </c>
      <c r="CX771" s="8">
        <f>0</f>
        <v>0</v>
      </c>
      <c r="CY771" s="8">
        <f>1</f>
        <v>1</v>
      </c>
      <c r="DA771" s="5" t="s">
        <v>673</v>
      </c>
      <c r="DB771" s="5" t="s">
        <v>238</v>
      </c>
      <c r="DD771" s="5" t="s">
        <v>673</v>
      </c>
      <c r="DE771" s="8">
        <f>4.55</f>
        <v>4.55</v>
      </c>
      <c r="DG771" s="5" t="s">
        <v>238</v>
      </c>
      <c r="DH771" s="5" t="s">
        <v>238</v>
      </c>
      <c r="DI771" s="5" t="s">
        <v>238</v>
      </c>
      <c r="DJ771" s="5" t="s">
        <v>238</v>
      </c>
      <c r="DN771" s="5" t="s">
        <v>238</v>
      </c>
      <c r="DO771" s="5" t="s">
        <v>238</v>
      </c>
      <c r="DP771" s="5" t="s">
        <v>238</v>
      </c>
      <c r="DQ771" s="5" t="s">
        <v>238</v>
      </c>
      <c r="DT771" s="5" t="s">
        <v>2039</v>
      </c>
      <c r="DU771" s="5" t="s">
        <v>1301</v>
      </c>
      <c r="HM771" s="5" t="s">
        <v>264</v>
      </c>
    </row>
    <row r="772" spans="1:221" x14ac:dyDescent="0.4">
      <c r="A772" s="5">
        <v>2447</v>
      </c>
      <c r="B772" s="5">
        <v>1</v>
      </c>
      <c r="C772" s="5">
        <v>1</v>
      </c>
      <c r="D772" s="5" t="s">
        <v>2037</v>
      </c>
      <c r="E772" s="5" t="s">
        <v>271</v>
      </c>
      <c r="F772" s="5" t="s">
        <v>248</v>
      </c>
      <c r="G772" s="5" t="s">
        <v>1969</v>
      </c>
      <c r="H772" s="6" t="s">
        <v>3434</v>
      </c>
      <c r="I772" s="7">
        <f>6.6</f>
        <v>6.6</v>
      </c>
      <c r="J772" s="5" t="s">
        <v>262</v>
      </c>
      <c r="K772" s="8">
        <f>1</f>
        <v>1</v>
      </c>
      <c r="L772" s="6" t="s">
        <v>242</v>
      </c>
      <c r="M772" s="5" t="s">
        <v>267</v>
      </c>
      <c r="N772" s="5" t="s">
        <v>265</v>
      </c>
      <c r="O772" s="5" t="s">
        <v>238</v>
      </c>
      <c r="P772" s="5" t="s">
        <v>238</v>
      </c>
      <c r="Q772" s="5" t="s">
        <v>268</v>
      </c>
      <c r="R772" s="5" t="s">
        <v>270</v>
      </c>
      <c r="S772" s="5" t="s">
        <v>238</v>
      </c>
      <c r="V772" s="5" t="s">
        <v>238</v>
      </c>
      <c r="X772" s="6" t="s">
        <v>238</v>
      </c>
      <c r="AA772" s="6" t="s">
        <v>2349</v>
      </c>
      <c r="AB772" s="5" t="s">
        <v>238</v>
      </c>
      <c r="AC772" s="5" t="s">
        <v>244</v>
      </c>
      <c r="AD772" s="5" t="s">
        <v>245</v>
      </c>
      <c r="AT772" s="5" t="s">
        <v>246</v>
      </c>
      <c r="AU772" s="5" t="s">
        <v>238</v>
      </c>
      <c r="AV772" s="5" t="s">
        <v>247</v>
      </c>
      <c r="AW772" s="5" t="s">
        <v>238</v>
      </c>
      <c r="AX772" s="5" t="s">
        <v>249</v>
      </c>
      <c r="AY772" s="5" t="s">
        <v>238</v>
      </c>
      <c r="BA772" s="5" t="s">
        <v>238</v>
      </c>
      <c r="BC772" s="5" t="s">
        <v>1468</v>
      </c>
      <c r="BD772" s="6" t="s">
        <v>2349</v>
      </c>
      <c r="BE772" s="5" t="s">
        <v>251</v>
      </c>
      <c r="BF772" s="5" t="s">
        <v>252</v>
      </c>
      <c r="BG772" s="5" t="s">
        <v>238</v>
      </c>
      <c r="BH772" s="7">
        <f>0</f>
        <v>0</v>
      </c>
      <c r="BI772" s="8">
        <f>0</f>
        <v>0</v>
      </c>
      <c r="BJ772" s="5" t="s">
        <v>253</v>
      </c>
      <c r="BK772" s="5" t="s">
        <v>254</v>
      </c>
      <c r="BY772" s="5" t="s">
        <v>238</v>
      </c>
      <c r="BZ772" s="5" t="s">
        <v>238</v>
      </c>
      <c r="CD772" s="5" t="s">
        <v>273</v>
      </c>
      <c r="CE772" s="5" t="s">
        <v>256</v>
      </c>
      <c r="CF772" s="5" t="s">
        <v>238</v>
      </c>
      <c r="CI772" s="6" t="s">
        <v>257</v>
      </c>
      <c r="CJ772" s="5" t="s">
        <v>238</v>
      </c>
      <c r="CK772" s="5" t="s">
        <v>258</v>
      </c>
      <c r="CL772" s="5" t="s">
        <v>238</v>
      </c>
      <c r="CM772" s="5" t="s">
        <v>238</v>
      </c>
      <c r="CN772" s="5">
        <v>0</v>
      </c>
      <c r="CO772" s="5" t="s">
        <v>259</v>
      </c>
      <c r="CP772" s="5" t="s">
        <v>260</v>
      </c>
      <c r="CQ772" s="5" t="s">
        <v>260</v>
      </c>
      <c r="CR772" s="5" t="s">
        <v>261</v>
      </c>
      <c r="CU772" s="8">
        <f>1</f>
        <v>1</v>
      </c>
      <c r="CV772" s="8">
        <f>0</f>
        <v>0</v>
      </c>
      <c r="CX772" s="8">
        <f>0</f>
        <v>0</v>
      </c>
      <c r="CY772" s="8">
        <f>1</f>
        <v>1</v>
      </c>
      <c r="DA772" s="5" t="s">
        <v>673</v>
      </c>
      <c r="DB772" s="5" t="s">
        <v>238</v>
      </c>
      <c r="DD772" s="5" t="s">
        <v>673</v>
      </c>
      <c r="DE772" s="8">
        <f>6.6</f>
        <v>6.6</v>
      </c>
      <c r="DG772" s="5" t="s">
        <v>238</v>
      </c>
      <c r="DH772" s="5" t="s">
        <v>238</v>
      </c>
      <c r="DI772" s="5" t="s">
        <v>238</v>
      </c>
      <c r="DJ772" s="5" t="s">
        <v>238</v>
      </c>
      <c r="DN772" s="5" t="s">
        <v>238</v>
      </c>
      <c r="DO772" s="5" t="s">
        <v>238</v>
      </c>
      <c r="DP772" s="5" t="s">
        <v>238</v>
      </c>
      <c r="DQ772" s="5" t="s">
        <v>238</v>
      </c>
      <c r="DT772" s="5" t="s">
        <v>2039</v>
      </c>
      <c r="DU772" s="5" t="s">
        <v>1299</v>
      </c>
      <c r="HM772" s="5" t="s">
        <v>264</v>
      </c>
    </row>
    <row r="773" spans="1:221" x14ac:dyDescent="0.4">
      <c r="A773" s="5">
        <v>2448</v>
      </c>
      <c r="B773" s="5">
        <v>1</v>
      </c>
      <c r="C773" s="5">
        <v>1</v>
      </c>
      <c r="D773" s="5" t="s">
        <v>2037</v>
      </c>
      <c r="E773" s="5" t="s">
        <v>271</v>
      </c>
      <c r="F773" s="5" t="s">
        <v>248</v>
      </c>
      <c r="G773" s="5" t="s">
        <v>1969</v>
      </c>
      <c r="H773" s="6" t="s">
        <v>3433</v>
      </c>
      <c r="I773" s="7">
        <f>20265</f>
        <v>20265</v>
      </c>
      <c r="J773" s="5" t="s">
        <v>262</v>
      </c>
      <c r="K773" s="8">
        <f>1</f>
        <v>1</v>
      </c>
      <c r="L773" s="6" t="s">
        <v>242</v>
      </c>
      <c r="M773" s="5" t="s">
        <v>267</v>
      </c>
      <c r="N773" s="5" t="s">
        <v>265</v>
      </c>
      <c r="O773" s="5" t="s">
        <v>238</v>
      </c>
      <c r="P773" s="5" t="s">
        <v>238</v>
      </c>
      <c r="Q773" s="5" t="s">
        <v>268</v>
      </c>
      <c r="R773" s="5" t="s">
        <v>270</v>
      </c>
      <c r="S773" s="5" t="s">
        <v>238</v>
      </c>
      <c r="V773" s="5" t="s">
        <v>238</v>
      </c>
      <c r="X773" s="6" t="s">
        <v>238</v>
      </c>
      <c r="AA773" s="6" t="s">
        <v>2349</v>
      </c>
      <c r="AB773" s="5" t="s">
        <v>238</v>
      </c>
      <c r="AC773" s="5" t="s">
        <v>244</v>
      </c>
      <c r="AD773" s="5" t="s">
        <v>245</v>
      </c>
      <c r="AT773" s="5" t="s">
        <v>246</v>
      </c>
      <c r="AU773" s="5" t="s">
        <v>238</v>
      </c>
      <c r="AV773" s="5" t="s">
        <v>247</v>
      </c>
      <c r="AW773" s="5" t="s">
        <v>238</v>
      </c>
      <c r="AX773" s="5" t="s">
        <v>249</v>
      </c>
      <c r="AY773" s="5" t="s">
        <v>238</v>
      </c>
      <c r="BA773" s="5" t="s">
        <v>238</v>
      </c>
      <c r="BC773" s="5" t="s">
        <v>1433</v>
      </c>
      <c r="BD773" s="6" t="s">
        <v>2344</v>
      </c>
      <c r="BE773" s="5" t="s">
        <v>251</v>
      </c>
      <c r="BF773" s="5" t="s">
        <v>252</v>
      </c>
      <c r="BG773" s="5" t="s">
        <v>238</v>
      </c>
      <c r="BH773" s="7">
        <f>0</f>
        <v>0</v>
      </c>
      <c r="BI773" s="8">
        <f>0</f>
        <v>0</v>
      </c>
      <c r="BJ773" s="5" t="s">
        <v>253</v>
      </c>
      <c r="BK773" s="5" t="s">
        <v>254</v>
      </c>
      <c r="BY773" s="5" t="s">
        <v>238</v>
      </c>
      <c r="BZ773" s="5" t="s">
        <v>238</v>
      </c>
      <c r="CD773" s="5" t="s">
        <v>273</v>
      </c>
      <c r="CE773" s="5" t="s">
        <v>256</v>
      </c>
      <c r="CF773" s="5" t="s">
        <v>238</v>
      </c>
      <c r="CI773" s="6" t="s">
        <v>257</v>
      </c>
      <c r="CJ773" s="5" t="s">
        <v>238</v>
      </c>
      <c r="CK773" s="5" t="s">
        <v>258</v>
      </c>
      <c r="CL773" s="5" t="s">
        <v>238</v>
      </c>
      <c r="CM773" s="5" t="s">
        <v>238</v>
      </c>
      <c r="CN773" s="5">
        <v>0</v>
      </c>
      <c r="CO773" s="5" t="s">
        <v>259</v>
      </c>
      <c r="CP773" s="5" t="s">
        <v>260</v>
      </c>
      <c r="CQ773" s="5" t="s">
        <v>260</v>
      </c>
      <c r="CR773" s="5" t="s">
        <v>261</v>
      </c>
      <c r="CU773" s="8">
        <f>1</f>
        <v>1</v>
      </c>
      <c r="CV773" s="8">
        <f>0</f>
        <v>0</v>
      </c>
      <c r="CX773" s="8">
        <f>0</f>
        <v>0</v>
      </c>
      <c r="CY773" s="8">
        <f>1</f>
        <v>1</v>
      </c>
      <c r="DA773" s="5" t="s">
        <v>673</v>
      </c>
      <c r="DB773" s="5" t="s">
        <v>238</v>
      </c>
      <c r="DD773" s="5" t="s">
        <v>673</v>
      </c>
      <c r="DE773" s="8">
        <f>20265</f>
        <v>20265</v>
      </c>
      <c r="DG773" s="5" t="s">
        <v>238</v>
      </c>
      <c r="DH773" s="5" t="s">
        <v>238</v>
      </c>
      <c r="DI773" s="5" t="s">
        <v>238</v>
      </c>
      <c r="DJ773" s="5" t="s">
        <v>238</v>
      </c>
      <c r="DN773" s="5" t="s">
        <v>238</v>
      </c>
      <c r="DO773" s="5" t="s">
        <v>238</v>
      </c>
      <c r="DP773" s="5" t="s">
        <v>238</v>
      </c>
      <c r="DQ773" s="5" t="s">
        <v>238</v>
      </c>
      <c r="DT773" s="5" t="s">
        <v>2039</v>
      </c>
      <c r="DU773" s="5" t="s">
        <v>1291</v>
      </c>
      <c r="HM773" s="5" t="s">
        <v>264</v>
      </c>
    </row>
    <row r="774" spans="1:221" x14ac:dyDescent="0.4">
      <c r="A774" s="5">
        <v>2449</v>
      </c>
      <c r="B774" s="5">
        <v>1</v>
      </c>
      <c r="C774" s="5">
        <v>1</v>
      </c>
      <c r="D774" s="5" t="s">
        <v>2037</v>
      </c>
      <c r="E774" s="5" t="s">
        <v>271</v>
      </c>
      <c r="F774" s="5" t="s">
        <v>248</v>
      </c>
      <c r="G774" s="5" t="s">
        <v>1969</v>
      </c>
      <c r="H774" s="6" t="s">
        <v>3432</v>
      </c>
      <c r="I774" s="7">
        <f>13129</f>
        <v>13129</v>
      </c>
      <c r="J774" s="5" t="s">
        <v>262</v>
      </c>
      <c r="K774" s="8">
        <f>1</f>
        <v>1</v>
      </c>
      <c r="L774" s="6" t="s">
        <v>242</v>
      </c>
      <c r="M774" s="5" t="s">
        <v>267</v>
      </c>
      <c r="N774" s="5" t="s">
        <v>265</v>
      </c>
      <c r="O774" s="5" t="s">
        <v>238</v>
      </c>
      <c r="P774" s="5" t="s">
        <v>238</v>
      </c>
      <c r="Q774" s="5" t="s">
        <v>268</v>
      </c>
      <c r="R774" s="5" t="s">
        <v>270</v>
      </c>
      <c r="S774" s="5" t="s">
        <v>238</v>
      </c>
      <c r="V774" s="5" t="s">
        <v>238</v>
      </c>
      <c r="X774" s="6" t="s">
        <v>238</v>
      </c>
      <c r="AA774" s="6" t="s">
        <v>2349</v>
      </c>
      <c r="AB774" s="5" t="s">
        <v>238</v>
      </c>
      <c r="AC774" s="5" t="s">
        <v>244</v>
      </c>
      <c r="AD774" s="5" t="s">
        <v>245</v>
      </c>
      <c r="AT774" s="5" t="s">
        <v>246</v>
      </c>
      <c r="AU774" s="5" t="s">
        <v>238</v>
      </c>
      <c r="AV774" s="5" t="s">
        <v>247</v>
      </c>
      <c r="AW774" s="5" t="s">
        <v>238</v>
      </c>
      <c r="AX774" s="5" t="s">
        <v>249</v>
      </c>
      <c r="AY774" s="5" t="s">
        <v>238</v>
      </c>
      <c r="BA774" s="5" t="s">
        <v>238</v>
      </c>
      <c r="BC774" s="5" t="s">
        <v>1468</v>
      </c>
      <c r="BD774" s="6" t="s">
        <v>2349</v>
      </c>
      <c r="BE774" s="5" t="s">
        <v>251</v>
      </c>
      <c r="BF774" s="5" t="s">
        <v>252</v>
      </c>
      <c r="BG774" s="5" t="s">
        <v>238</v>
      </c>
      <c r="BH774" s="7">
        <f>0</f>
        <v>0</v>
      </c>
      <c r="BI774" s="8">
        <f>0</f>
        <v>0</v>
      </c>
      <c r="BJ774" s="5" t="s">
        <v>253</v>
      </c>
      <c r="BK774" s="5" t="s">
        <v>254</v>
      </c>
      <c r="BY774" s="5" t="s">
        <v>238</v>
      </c>
      <c r="BZ774" s="5" t="s">
        <v>238</v>
      </c>
      <c r="CD774" s="5" t="s">
        <v>273</v>
      </c>
      <c r="CE774" s="5" t="s">
        <v>256</v>
      </c>
      <c r="CF774" s="5" t="s">
        <v>238</v>
      </c>
      <c r="CI774" s="6" t="s">
        <v>257</v>
      </c>
      <c r="CJ774" s="5" t="s">
        <v>238</v>
      </c>
      <c r="CK774" s="5" t="s">
        <v>258</v>
      </c>
      <c r="CL774" s="5" t="s">
        <v>238</v>
      </c>
      <c r="CM774" s="5" t="s">
        <v>238</v>
      </c>
      <c r="CN774" s="5">
        <v>0</v>
      </c>
      <c r="CO774" s="5" t="s">
        <v>259</v>
      </c>
      <c r="CP774" s="5" t="s">
        <v>260</v>
      </c>
      <c r="CQ774" s="5" t="s">
        <v>260</v>
      </c>
      <c r="CR774" s="5" t="s">
        <v>261</v>
      </c>
      <c r="CU774" s="8">
        <f>1</f>
        <v>1</v>
      </c>
      <c r="CV774" s="8">
        <f>0</f>
        <v>0</v>
      </c>
      <c r="CX774" s="8">
        <f>0</f>
        <v>0</v>
      </c>
      <c r="CY774" s="8">
        <f>1</f>
        <v>1</v>
      </c>
      <c r="DA774" s="5" t="s">
        <v>673</v>
      </c>
      <c r="DB774" s="5" t="s">
        <v>238</v>
      </c>
      <c r="DD774" s="5" t="s">
        <v>673</v>
      </c>
      <c r="DE774" s="8">
        <f>13129</f>
        <v>13129</v>
      </c>
      <c r="DG774" s="5" t="s">
        <v>238</v>
      </c>
      <c r="DH774" s="5" t="s">
        <v>238</v>
      </c>
      <c r="DI774" s="5" t="s">
        <v>238</v>
      </c>
      <c r="DJ774" s="5" t="s">
        <v>238</v>
      </c>
      <c r="DN774" s="5" t="s">
        <v>238</v>
      </c>
      <c r="DO774" s="5" t="s">
        <v>238</v>
      </c>
      <c r="DP774" s="5" t="s">
        <v>238</v>
      </c>
      <c r="DQ774" s="5" t="s">
        <v>238</v>
      </c>
      <c r="DT774" s="5" t="s">
        <v>2039</v>
      </c>
      <c r="DU774" s="5" t="s">
        <v>1289</v>
      </c>
      <c r="HM774" s="5" t="s">
        <v>264</v>
      </c>
    </row>
    <row r="775" spans="1:221" x14ac:dyDescent="0.4">
      <c r="A775" s="5">
        <v>2450</v>
      </c>
      <c r="B775" s="5">
        <v>1</v>
      </c>
      <c r="C775" s="5">
        <v>1</v>
      </c>
      <c r="D775" s="5" t="s">
        <v>2037</v>
      </c>
      <c r="E775" s="5" t="s">
        <v>271</v>
      </c>
      <c r="F775" s="5" t="s">
        <v>248</v>
      </c>
      <c r="G775" s="5" t="s">
        <v>1969</v>
      </c>
      <c r="H775" s="6" t="s">
        <v>3431</v>
      </c>
      <c r="I775" s="7">
        <f>11184</f>
        <v>11184</v>
      </c>
      <c r="J775" s="5" t="s">
        <v>262</v>
      </c>
      <c r="K775" s="8">
        <f>1</f>
        <v>1</v>
      </c>
      <c r="L775" s="6" t="s">
        <v>242</v>
      </c>
      <c r="M775" s="5" t="s">
        <v>267</v>
      </c>
      <c r="N775" s="5" t="s">
        <v>265</v>
      </c>
      <c r="O775" s="5" t="s">
        <v>238</v>
      </c>
      <c r="P775" s="5" t="s">
        <v>238</v>
      </c>
      <c r="Q775" s="5" t="s">
        <v>268</v>
      </c>
      <c r="R775" s="5" t="s">
        <v>270</v>
      </c>
      <c r="S775" s="5" t="s">
        <v>238</v>
      </c>
      <c r="V775" s="5" t="s">
        <v>238</v>
      </c>
      <c r="X775" s="6" t="s">
        <v>238</v>
      </c>
      <c r="AA775" s="6" t="s">
        <v>2349</v>
      </c>
      <c r="AB775" s="5" t="s">
        <v>238</v>
      </c>
      <c r="AC775" s="5" t="s">
        <v>244</v>
      </c>
      <c r="AD775" s="5" t="s">
        <v>245</v>
      </c>
      <c r="AT775" s="5" t="s">
        <v>246</v>
      </c>
      <c r="AU775" s="5" t="s">
        <v>238</v>
      </c>
      <c r="AV775" s="5" t="s">
        <v>247</v>
      </c>
      <c r="AW775" s="5" t="s">
        <v>238</v>
      </c>
      <c r="AX775" s="5" t="s">
        <v>249</v>
      </c>
      <c r="AY775" s="5" t="s">
        <v>238</v>
      </c>
      <c r="BA775" s="5" t="s">
        <v>238</v>
      </c>
      <c r="BC775" s="5" t="s">
        <v>1433</v>
      </c>
      <c r="BD775" s="6" t="s">
        <v>2344</v>
      </c>
      <c r="BE775" s="5" t="s">
        <v>251</v>
      </c>
      <c r="BF775" s="5" t="s">
        <v>252</v>
      </c>
      <c r="BG775" s="5" t="s">
        <v>238</v>
      </c>
      <c r="BH775" s="7">
        <f>0</f>
        <v>0</v>
      </c>
      <c r="BI775" s="8">
        <f>0</f>
        <v>0</v>
      </c>
      <c r="BJ775" s="5" t="s">
        <v>253</v>
      </c>
      <c r="BK775" s="5" t="s">
        <v>254</v>
      </c>
      <c r="BY775" s="5" t="s">
        <v>238</v>
      </c>
      <c r="BZ775" s="5" t="s">
        <v>238</v>
      </c>
      <c r="CD775" s="5" t="s">
        <v>273</v>
      </c>
      <c r="CE775" s="5" t="s">
        <v>256</v>
      </c>
      <c r="CF775" s="5" t="s">
        <v>238</v>
      </c>
      <c r="CI775" s="6" t="s">
        <v>257</v>
      </c>
      <c r="CJ775" s="5" t="s">
        <v>238</v>
      </c>
      <c r="CK775" s="5" t="s">
        <v>258</v>
      </c>
      <c r="CL775" s="5" t="s">
        <v>238</v>
      </c>
      <c r="CM775" s="5" t="s">
        <v>238</v>
      </c>
      <c r="CN775" s="5">
        <v>0</v>
      </c>
      <c r="CO775" s="5" t="s">
        <v>259</v>
      </c>
      <c r="CP775" s="5" t="s">
        <v>260</v>
      </c>
      <c r="CQ775" s="5" t="s">
        <v>260</v>
      </c>
      <c r="CR775" s="5" t="s">
        <v>261</v>
      </c>
      <c r="CU775" s="8">
        <f>1</f>
        <v>1</v>
      </c>
      <c r="CV775" s="8">
        <f>0</f>
        <v>0</v>
      </c>
      <c r="CX775" s="8">
        <f>0</f>
        <v>0</v>
      </c>
      <c r="CY775" s="8">
        <f>1</f>
        <v>1</v>
      </c>
      <c r="DA775" s="5" t="s">
        <v>673</v>
      </c>
      <c r="DB775" s="5" t="s">
        <v>238</v>
      </c>
      <c r="DD775" s="5" t="s">
        <v>673</v>
      </c>
      <c r="DE775" s="8">
        <f>11184</f>
        <v>11184</v>
      </c>
      <c r="DG775" s="5" t="s">
        <v>238</v>
      </c>
      <c r="DH775" s="5" t="s">
        <v>238</v>
      </c>
      <c r="DI775" s="5" t="s">
        <v>238</v>
      </c>
      <c r="DJ775" s="5" t="s">
        <v>238</v>
      </c>
      <c r="DN775" s="5" t="s">
        <v>238</v>
      </c>
      <c r="DO775" s="5" t="s">
        <v>238</v>
      </c>
      <c r="DP775" s="5" t="s">
        <v>238</v>
      </c>
      <c r="DQ775" s="5" t="s">
        <v>238</v>
      </c>
      <c r="DT775" s="5" t="s">
        <v>2039</v>
      </c>
      <c r="DU775" s="5" t="s">
        <v>358</v>
      </c>
      <c r="HM775" s="5" t="s">
        <v>264</v>
      </c>
    </row>
    <row r="776" spans="1:221" x14ac:dyDescent="0.4">
      <c r="A776" s="5">
        <v>2451</v>
      </c>
      <c r="B776" s="5">
        <v>1</v>
      </c>
      <c r="C776" s="5">
        <v>1</v>
      </c>
      <c r="D776" s="5" t="s">
        <v>2037</v>
      </c>
      <c r="E776" s="5" t="s">
        <v>271</v>
      </c>
      <c r="F776" s="5" t="s">
        <v>248</v>
      </c>
      <c r="G776" s="5" t="s">
        <v>1969</v>
      </c>
      <c r="H776" s="6" t="s">
        <v>3430</v>
      </c>
      <c r="I776" s="7">
        <f>322</f>
        <v>322</v>
      </c>
      <c r="J776" s="5" t="s">
        <v>262</v>
      </c>
      <c r="K776" s="8">
        <f>1</f>
        <v>1</v>
      </c>
      <c r="L776" s="6" t="s">
        <v>242</v>
      </c>
      <c r="M776" s="5" t="s">
        <v>267</v>
      </c>
      <c r="N776" s="5" t="s">
        <v>265</v>
      </c>
      <c r="O776" s="5" t="s">
        <v>238</v>
      </c>
      <c r="P776" s="5" t="s">
        <v>238</v>
      </c>
      <c r="Q776" s="5" t="s">
        <v>268</v>
      </c>
      <c r="R776" s="5" t="s">
        <v>270</v>
      </c>
      <c r="S776" s="5" t="s">
        <v>238</v>
      </c>
      <c r="V776" s="5" t="s">
        <v>238</v>
      </c>
      <c r="X776" s="6" t="s">
        <v>238</v>
      </c>
      <c r="AA776" s="6" t="s">
        <v>2349</v>
      </c>
      <c r="AB776" s="5" t="s">
        <v>238</v>
      </c>
      <c r="AC776" s="5" t="s">
        <v>244</v>
      </c>
      <c r="AD776" s="5" t="s">
        <v>245</v>
      </c>
      <c r="AT776" s="5" t="s">
        <v>246</v>
      </c>
      <c r="AU776" s="5" t="s">
        <v>238</v>
      </c>
      <c r="AV776" s="5" t="s">
        <v>247</v>
      </c>
      <c r="AW776" s="5" t="s">
        <v>238</v>
      </c>
      <c r="AX776" s="5" t="s">
        <v>249</v>
      </c>
      <c r="AY776" s="5" t="s">
        <v>238</v>
      </c>
      <c r="BA776" s="5" t="s">
        <v>238</v>
      </c>
      <c r="BC776" s="5" t="s">
        <v>1468</v>
      </c>
      <c r="BD776" s="6" t="s">
        <v>2349</v>
      </c>
      <c r="BE776" s="5" t="s">
        <v>251</v>
      </c>
      <c r="BF776" s="5" t="s">
        <v>252</v>
      </c>
      <c r="BG776" s="5" t="s">
        <v>238</v>
      </c>
      <c r="BH776" s="7">
        <f>0</f>
        <v>0</v>
      </c>
      <c r="BI776" s="8">
        <f>0</f>
        <v>0</v>
      </c>
      <c r="BJ776" s="5" t="s">
        <v>253</v>
      </c>
      <c r="BK776" s="5" t="s">
        <v>254</v>
      </c>
      <c r="BY776" s="5" t="s">
        <v>238</v>
      </c>
      <c r="BZ776" s="5" t="s">
        <v>238</v>
      </c>
      <c r="CD776" s="5" t="s">
        <v>273</v>
      </c>
      <c r="CE776" s="5" t="s">
        <v>256</v>
      </c>
      <c r="CF776" s="5" t="s">
        <v>238</v>
      </c>
      <c r="CI776" s="6" t="s">
        <v>257</v>
      </c>
      <c r="CJ776" s="5" t="s">
        <v>238</v>
      </c>
      <c r="CK776" s="5" t="s">
        <v>258</v>
      </c>
      <c r="CL776" s="5" t="s">
        <v>238</v>
      </c>
      <c r="CM776" s="5" t="s">
        <v>238</v>
      </c>
      <c r="CN776" s="5">
        <v>0</v>
      </c>
      <c r="CO776" s="5" t="s">
        <v>259</v>
      </c>
      <c r="CP776" s="5" t="s">
        <v>260</v>
      </c>
      <c r="CQ776" s="5" t="s">
        <v>260</v>
      </c>
      <c r="CR776" s="5" t="s">
        <v>261</v>
      </c>
      <c r="CU776" s="8">
        <f>1</f>
        <v>1</v>
      </c>
      <c r="CV776" s="8">
        <f>0</f>
        <v>0</v>
      </c>
      <c r="CX776" s="8">
        <f>0</f>
        <v>0</v>
      </c>
      <c r="CY776" s="8">
        <f>1</f>
        <v>1</v>
      </c>
      <c r="DA776" s="5" t="s">
        <v>673</v>
      </c>
      <c r="DB776" s="5" t="s">
        <v>238</v>
      </c>
      <c r="DD776" s="5" t="s">
        <v>673</v>
      </c>
      <c r="DE776" s="8">
        <f>322</f>
        <v>322</v>
      </c>
      <c r="DG776" s="5" t="s">
        <v>238</v>
      </c>
      <c r="DH776" s="5" t="s">
        <v>238</v>
      </c>
      <c r="DI776" s="5" t="s">
        <v>238</v>
      </c>
      <c r="DJ776" s="5" t="s">
        <v>238</v>
      </c>
      <c r="DN776" s="5" t="s">
        <v>238</v>
      </c>
      <c r="DO776" s="5" t="s">
        <v>238</v>
      </c>
      <c r="DP776" s="5" t="s">
        <v>238</v>
      </c>
      <c r="DQ776" s="5" t="s">
        <v>238</v>
      </c>
      <c r="DT776" s="5" t="s">
        <v>2039</v>
      </c>
      <c r="DU776" s="5" t="s">
        <v>1284</v>
      </c>
      <c r="HM776" s="5" t="s">
        <v>264</v>
      </c>
    </row>
    <row r="777" spans="1:221" x14ac:dyDescent="0.4">
      <c r="A777" s="5">
        <v>2452</v>
      </c>
      <c r="B777" s="5">
        <v>1</v>
      </c>
      <c r="C777" s="5">
        <v>1</v>
      </c>
      <c r="D777" s="5" t="s">
        <v>2037</v>
      </c>
      <c r="E777" s="5" t="s">
        <v>271</v>
      </c>
      <c r="F777" s="5" t="s">
        <v>248</v>
      </c>
      <c r="G777" s="5" t="s">
        <v>1969</v>
      </c>
      <c r="H777" s="6" t="s">
        <v>3429</v>
      </c>
      <c r="I777" s="7">
        <f>769</f>
        <v>769</v>
      </c>
      <c r="J777" s="5" t="s">
        <v>262</v>
      </c>
      <c r="K777" s="8">
        <f>1</f>
        <v>1</v>
      </c>
      <c r="L777" s="6" t="s">
        <v>242</v>
      </c>
      <c r="M777" s="5" t="s">
        <v>267</v>
      </c>
      <c r="N777" s="5" t="s">
        <v>265</v>
      </c>
      <c r="O777" s="5" t="s">
        <v>238</v>
      </c>
      <c r="P777" s="5" t="s">
        <v>238</v>
      </c>
      <c r="Q777" s="5" t="s">
        <v>268</v>
      </c>
      <c r="R777" s="5" t="s">
        <v>270</v>
      </c>
      <c r="S777" s="5" t="s">
        <v>238</v>
      </c>
      <c r="V777" s="5" t="s">
        <v>238</v>
      </c>
      <c r="X777" s="6" t="s">
        <v>238</v>
      </c>
      <c r="AA777" s="6" t="s">
        <v>2349</v>
      </c>
      <c r="AB777" s="5" t="s">
        <v>238</v>
      </c>
      <c r="AC777" s="5" t="s">
        <v>244</v>
      </c>
      <c r="AD777" s="5" t="s">
        <v>245</v>
      </c>
      <c r="AT777" s="5" t="s">
        <v>246</v>
      </c>
      <c r="AU777" s="5" t="s">
        <v>238</v>
      </c>
      <c r="AV777" s="5" t="s">
        <v>247</v>
      </c>
      <c r="AW777" s="5" t="s">
        <v>238</v>
      </c>
      <c r="AX777" s="5" t="s">
        <v>249</v>
      </c>
      <c r="AY777" s="5" t="s">
        <v>238</v>
      </c>
      <c r="BA777" s="5" t="s">
        <v>238</v>
      </c>
      <c r="BC777" s="5" t="s">
        <v>1433</v>
      </c>
      <c r="BD777" s="6" t="s">
        <v>2344</v>
      </c>
      <c r="BE777" s="5" t="s">
        <v>251</v>
      </c>
      <c r="BF777" s="5" t="s">
        <v>252</v>
      </c>
      <c r="BG777" s="5" t="s">
        <v>238</v>
      </c>
      <c r="BH777" s="7">
        <f>0</f>
        <v>0</v>
      </c>
      <c r="BI777" s="8">
        <f>0</f>
        <v>0</v>
      </c>
      <c r="BJ777" s="5" t="s">
        <v>253</v>
      </c>
      <c r="BK777" s="5" t="s">
        <v>254</v>
      </c>
      <c r="BY777" s="5" t="s">
        <v>238</v>
      </c>
      <c r="BZ777" s="5" t="s">
        <v>238</v>
      </c>
      <c r="CD777" s="5" t="s">
        <v>273</v>
      </c>
      <c r="CE777" s="5" t="s">
        <v>256</v>
      </c>
      <c r="CF777" s="5" t="s">
        <v>238</v>
      </c>
      <c r="CI777" s="6" t="s">
        <v>257</v>
      </c>
      <c r="CJ777" s="5" t="s">
        <v>238</v>
      </c>
      <c r="CK777" s="5" t="s">
        <v>258</v>
      </c>
      <c r="CL777" s="5" t="s">
        <v>238</v>
      </c>
      <c r="CM777" s="5" t="s">
        <v>238</v>
      </c>
      <c r="CN777" s="5">
        <v>0</v>
      </c>
      <c r="CO777" s="5" t="s">
        <v>259</v>
      </c>
      <c r="CP777" s="5" t="s">
        <v>260</v>
      </c>
      <c r="CQ777" s="5" t="s">
        <v>260</v>
      </c>
      <c r="CR777" s="5" t="s">
        <v>261</v>
      </c>
      <c r="CU777" s="8">
        <f>1</f>
        <v>1</v>
      </c>
      <c r="CV777" s="8">
        <f>0</f>
        <v>0</v>
      </c>
      <c r="CX777" s="8">
        <f>0</f>
        <v>0</v>
      </c>
      <c r="CY777" s="8">
        <f>1</f>
        <v>1</v>
      </c>
      <c r="DA777" s="5" t="s">
        <v>673</v>
      </c>
      <c r="DB777" s="5" t="s">
        <v>238</v>
      </c>
      <c r="DD777" s="5" t="s">
        <v>673</v>
      </c>
      <c r="DE777" s="8">
        <f>769</f>
        <v>769</v>
      </c>
      <c r="DG777" s="5" t="s">
        <v>238</v>
      </c>
      <c r="DH777" s="5" t="s">
        <v>238</v>
      </c>
      <c r="DI777" s="5" t="s">
        <v>238</v>
      </c>
      <c r="DJ777" s="5" t="s">
        <v>238</v>
      </c>
      <c r="DN777" s="5" t="s">
        <v>238</v>
      </c>
      <c r="DO777" s="5" t="s">
        <v>238</v>
      </c>
      <c r="DP777" s="5" t="s">
        <v>238</v>
      </c>
      <c r="DQ777" s="5" t="s">
        <v>238</v>
      </c>
      <c r="DT777" s="5" t="s">
        <v>2039</v>
      </c>
      <c r="DU777" s="5" t="s">
        <v>1276</v>
      </c>
      <c r="HM777" s="5" t="s">
        <v>264</v>
      </c>
    </row>
    <row r="778" spans="1:221" x14ac:dyDescent="0.4">
      <c r="A778" s="5">
        <v>2453</v>
      </c>
      <c r="B778" s="5">
        <v>1</v>
      </c>
      <c r="C778" s="5">
        <v>1</v>
      </c>
      <c r="D778" s="5" t="s">
        <v>2037</v>
      </c>
      <c r="E778" s="5" t="s">
        <v>271</v>
      </c>
      <c r="F778" s="5" t="s">
        <v>248</v>
      </c>
      <c r="G778" s="5" t="s">
        <v>1969</v>
      </c>
      <c r="H778" s="6" t="s">
        <v>3428</v>
      </c>
      <c r="I778" s="7">
        <f>1833</f>
        <v>1833</v>
      </c>
      <c r="J778" s="5" t="s">
        <v>262</v>
      </c>
      <c r="K778" s="8">
        <f>1</f>
        <v>1</v>
      </c>
      <c r="L778" s="6" t="s">
        <v>242</v>
      </c>
      <c r="M778" s="5" t="s">
        <v>267</v>
      </c>
      <c r="N778" s="5" t="s">
        <v>265</v>
      </c>
      <c r="O778" s="5" t="s">
        <v>238</v>
      </c>
      <c r="P778" s="5" t="s">
        <v>238</v>
      </c>
      <c r="Q778" s="5" t="s">
        <v>268</v>
      </c>
      <c r="R778" s="5" t="s">
        <v>270</v>
      </c>
      <c r="S778" s="5" t="s">
        <v>238</v>
      </c>
      <c r="V778" s="5" t="s">
        <v>238</v>
      </c>
      <c r="X778" s="6" t="s">
        <v>238</v>
      </c>
      <c r="AA778" s="6" t="s">
        <v>243</v>
      </c>
      <c r="AB778" s="5" t="s">
        <v>238</v>
      </c>
      <c r="AC778" s="5" t="s">
        <v>244</v>
      </c>
      <c r="AD778" s="5" t="s">
        <v>245</v>
      </c>
      <c r="AT778" s="5" t="s">
        <v>246</v>
      </c>
      <c r="AU778" s="5" t="s">
        <v>238</v>
      </c>
      <c r="AV778" s="5" t="s">
        <v>247</v>
      </c>
      <c r="AW778" s="5" t="s">
        <v>238</v>
      </c>
      <c r="AX778" s="5" t="s">
        <v>249</v>
      </c>
      <c r="AY778" s="5" t="s">
        <v>238</v>
      </c>
      <c r="BA778" s="5" t="s">
        <v>238</v>
      </c>
      <c r="BC778" s="5" t="s">
        <v>250</v>
      </c>
      <c r="BD778" s="6" t="s">
        <v>243</v>
      </c>
      <c r="BE778" s="5" t="s">
        <v>251</v>
      </c>
      <c r="BF778" s="5" t="s">
        <v>252</v>
      </c>
      <c r="BG778" s="5" t="s">
        <v>238</v>
      </c>
      <c r="BH778" s="7">
        <f>0</f>
        <v>0</v>
      </c>
      <c r="BI778" s="8">
        <f>0</f>
        <v>0</v>
      </c>
      <c r="BJ778" s="5" t="s">
        <v>253</v>
      </c>
      <c r="BK778" s="5" t="s">
        <v>254</v>
      </c>
      <c r="BY778" s="5" t="s">
        <v>238</v>
      </c>
      <c r="BZ778" s="5" t="s">
        <v>238</v>
      </c>
      <c r="CD778" s="5" t="s">
        <v>273</v>
      </c>
      <c r="CE778" s="5" t="s">
        <v>256</v>
      </c>
      <c r="CF778" s="5" t="s">
        <v>238</v>
      </c>
      <c r="CI778" s="6" t="s">
        <v>257</v>
      </c>
      <c r="CJ778" s="5" t="s">
        <v>238</v>
      </c>
      <c r="CK778" s="5" t="s">
        <v>258</v>
      </c>
      <c r="CL778" s="5" t="s">
        <v>238</v>
      </c>
      <c r="CM778" s="5" t="s">
        <v>238</v>
      </c>
      <c r="CN778" s="5">
        <v>0</v>
      </c>
      <c r="CO778" s="5" t="s">
        <v>259</v>
      </c>
      <c r="CP778" s="5" t="s">
        <v>260</v>
      </c>
      <c r="CQ778" s="5" t="s">
        <v>260</v>
      </c>
      <c r="CR778" s="5" t="s">
        <v>261</v>
      </c>
      <c r="CU778" s="8">
        <f>1</f>
        <v>1</v>
      </c>
      <c r="CV778" s="8">
        <f>0</f>
        <v>0</v>
      </c>
      <c r="CX778" s="8">
        <f>0</f>
        <v>0</v>
      </c>
      <c r="CY778" s="8">
        <f>1</f>
        <v>1</v>
      </c>
      <c r="DA778" s="5" t="s">
        <v>673</v>
      </c>
      <c r="DB778" s="5" t="s">
        <v>238</v>
      </c>
      <c r="DD778" s="5" t="s">
        <v>673</v>
      </c>
      <c r="DE778" s="8">
        <f>1833</f>
        <v>1833</v>
      </c>
      <c r="DG778" s="5" t="s">
        <v>238</v>
      </c>
      <c r="DH778" s="5" t="s">
        <v>238</v>
      </c>
      <c r="DI778" s="5" t="s">
        <v>238</v>
      </c>
      <c r="DJ778" s="5" t="s">
        <v>238</v>
      </c>
      <c r="DN778" s="5" t="s">
        <v>238</v>
      </c>
      <c r="DO778" s="5" t="s">
        <v>238</v>
      </c>
      <c r="DP778" s="5" t="s">
        <v>238</v>
      </c>
      <c r="DQ778" s="5" t="s">
        <v>238</v>
      </c>
      <c r="DT778" s="5" t="s">
        <v>2039</v>
      </c>
      <c r="DU778" s="5" t="s">
        <v>1274</v>
      </c>
      <c r="HM778" s="5" t="s">
        <v>264</v>
      </c>
    </row>
    <row r="779" spans="1:221" x14ac:dyDescent="0.4">
      <c r="A779" s="5">
        <v>2454</v>
      </c>
      <c r="B779" s="5">
        <v>1</v>
      </c>
      <c r="C779" s="5">
        <v>1</v>
      </c>
      <c r="D779" s="5" t="s">
        <v>2037</v>
      </c>
      <c r="E779" s="5" t="s">
        <v>271</v>
      </c>
      <c r="F779" s="5" t="s">
        <v>248</v>
      </c>
      <c r="G779" s="5" t="s">
        <v>1969</v>
      </c>
      <c r="H779" s="6" t="s">
        <v>3427</v>
      </c>
      <c r="I779" s="7">
        <f>180</f>
        <v>180</v>
      </c>
      <c r="J779" s="5" t="s">
        <v>262</v>
      </c>
      <c r="K779" s="8">
        <f>1</f>
        <v>1</v>
      </c>
      <c r="L779" s="6" t="s">
        <v>242</v>
      </c>
      <c r="M779" s="5" t="s">
        <v>267</v>
      </c>
      <c r="N779" s="5" t="s">
        <v>265</v>
      </c>
      <c r="O779" s="5" t="s">
        <v>238</v>
      </c>
      <c r="P779" s="5" t="s">
        <v>238</v>
      </c>
      <c r="Q779" s="5" t="s">
        <v>268</v>
      </c>
      <c r="R779" s="5" t="s">
        <v>270</v>
      </c>
      <c r="S779" s="5" t="s">
        <v>238</v>
      </c>
      <c r="V779" s="5" t="s">
        <v>238</v>
      </c>
      <c r="X779" s="6" t="s">
        <v>238</v>
      </c>
      <c r="AA779" s="6" t="s">
        <v>243</v>
      </c>
      <c r="AB779" s="5" t="s">
        <v>238</v>
      </c>
      <c r="AC779" s="5" t="s">
        <v>244</v>
      </c>
      <c r="AD779" s="5" t="s">
        <v>245</v>
      </c>
      <c r="AT779" s="5" t="s">
        <v>246</v>
      </c>
      <c r="AU779" s="5" t="s">
        <v>238</v>
      </c>
      <c r="AV779" s="5" t="s">
        <v>247</v>
      </c>
      <c r="AW779" s="5" t="s">
        <v>238</v>
      </c>
      <c r="AX779" s="5" t="s">
        <v>249</v>
      </c>
      <c r="AY779" s="5" t="s">
        <v>238</v>
      </c>
      <c r="BA779" s="5" t="s">
        <v>238</v>
      </c>
      <c r="BC779" s="5" t="s">
        <v>250</v>
      </c>
      <c r="BD779" s="6" t="s">
        <v>243</v>
      </c>
      <c r="BE779" s="5" t="s">
        <v>251</v>
      </c>
      <c r="BF779" s="5" t="s">
        <v>252</v>
      </c>
      <c r="BG779" s="5" t="s">
        <v>238</v>
      </c>
      <c r="BH779" s="7">
        <f>0</f>
        <v>0</v>
      </c>
      <c r="BI779" s="8">
        <f>0</f>
        <v>0</v>
      </c>
      <c r="BJ779" s="5" t="s">
        <v>253</v>
      </c>
      <c r="BK779" s="5" t="s">
        <v>254</v>
      </c>
      <c r="BY779" s="5" t="s">
        <v>238</v>
      </c>
      <c r="BZ779" s="5" t="s">
        <v>238</v>
      </c>
      <c r="CD779" s="5" t="s">
        <v>273</v>
      </c>
      <c r="CE779" s="5" t="s">
        <v>256</v>
      </c>
      <c r="CF779" s="5" t="s">
        <v>238</v>
      </c>
      <c r="CI779" s="6" t="s">
        <v>257</v>
      </c>
      <c r="CJ779" s="5" t="s">
        <v>238</v>
      </c>
      <c r="CK779" s="5" t="s">
        <v>258</v>
      </c>
      <c r="CL779" s="5" t="s">
        <v>238</v>
      </c>
      <c r="CM779" s="5" t="s">
        <v>238</v>
      </c>
      <c r="CN779" s="5">
        <v>0</v>
      </c>
      <c r="CO779" s="5" t="s">
        <v>259</v>
      </c>
      <c r="CP779" s="5" t="s">
        <v>260</v>
      </c>
      <c r="CQ779" s="5" t="s">
        <v>260</v>
      </c>
      <c r="CR779" s="5" t="s">
        <v>261</v>
      </c>
      <c r="CU779" s="8">
        <f>1</f>
        <v>1</v>
      </c>
      <c r="CV779" s="8">
        <f>0</f>
        <v>0</v>
      </c>
      <c r="CX779" s="8">
        <f>0</f>
        <v>0</v>
      </c>
      <c r="CY779" s="8">
        <f>1</f>
        <v>1</v>
      </c>
      <c r="DA779" s="5" t="s">
        <v>673</v>
      </c>
      <c r="DB779" s="5" t="s">
        <v>238</v>
      </c>
      <c r="DD779" s="5" t="s">
        <v>673</v>
      </c>
      <c r="DE779" s="8">
        <f>180</f>
        <v>180</v>
      </c>
      <c r="DG779" s="5" t="s">
        <v>238</v>
      </c>
      <c r="DH779" s="5" t="s">
        <v>238</v>
      </c>
      <c r="DI779" s="5" t="s">
        <v>238</v>
      </c>
      <c r="DJ779" s="5" t="s">
        <v>238</v>
      </c>
      <c r="DN779" s="5" t="s">
        <v>238</v>
      </c>
      <c r="DO779" s="5" t="s">
        <v>238</v>
      </c>
      <c r="DP779" s="5" t="s">
        <v>238</v>
      </c>
      <c r="DQ779" s="5" t="s">
        <v>238</v>
      </c>
      <c r="DT779" s="5" t="s">
        <v>2039</v>
      </c>
      <c r="DU779" s="5" t="s">
        <v>1270</v>
      </c>
      <c r="HM779" s="5" t="s">
        <v>264</v>
      </c>
    </row>
    <row r="780" spans="1:221" x14ac:dyDescent="0.4">
      <c r="A780" s="5">
        <v>2455</v>
      </c>
      <c r="B780" s="5">
        <v>1</v>
      </c>
      <c r="C780" s="5">
        <v>1</v>
      </c>
      <c r="D780" s="5" t="s">
        <v>2037</v>
      </c>
      <c r="E780" s="5" t="s">
        <v>271</v>
      </c>
      <c r="F780" s="5" t="s">
        <v>248</v>
      </c>
      <c r="G780" s="5" t="s">
        <v>1969</v>
      </c>
      <c r="H780" s="6" t="s">
        <v>3426</v>
      </c>
      <c r="I780" s="7">
        <f>5354</f>
        <v>5354</v>
      </c>
      <c r="J780" s="5" t="s">
        <v>262</v>
      </c>
      <c r="K780" s="8">
        <f>1</f>
        <v>1</v>
      </c>
      <c r="L780" s="6" t="s">
        <v>242</v>
      </c>
      <c r="M780" s="5" t="s">
        <v>267</v>
      </c>
      <c r="N780" s="5" t="s">
        <v>265</v>
      </c>
      <c r="O780" s="5" t="s">
        <v>238</v>
      </c>
      <c r="P780" s="5" t="s">
        <v>238</v>
      </c>
      <c r="Q780" s="5" t="s">
        <v>268</v>
      </c>
      <c r="R780" s="5" t="s">
        <v>270</v>
      </c>
      <c r="S780" s="5" t="s">
        <v>238</v>
      </c>
      <c r="V780" s="5" t="s">
        <v>238</v>
      </c>
      <c r="X780" s="6" t="s">
        <v>238</v>
      </c>
      <c r="AA780" s="6" t="s">
        <v>243</v>
      </c>
      <c r="AB780" s="5" t="s">
        <v>238</v>
      </c>
      <c r="AC780" s="5" t="s">
        <v>244</v>
      </c>
      <c r="AD780" s="5" t="s">
        <v>245</v>
      </c>
      <c r="AT780" s="5" t="s">
        <v>246</v>
      </c>
      <c r="AU780" s="5" t="s">
        <v>238</v>
      </c>
      <c r="AV780" s="5" t="s">
        <v>247</v>
      </c>
      <c r="AW780" s="5" t="s">
        <v>238</v>
      </c>
      <c r="AX780" s="5" t="s">
        <v>249</v>
      </c>
      <c r="AY780" s="5" t="s">
        <v>238</v>
      </c>
      <c r="BA780" s="5" t="s">
        <v>238</v>
      </c>
      <c r="BC780" s="5" t="s">
        <v>250</v>
      </c>
      <c r="BD780" s="6" t="s">
        <v>243</v>
      </c>
      <c r="BE780" s="5" t="s">
        <v>251</v>
      </c>
      <c r="BF780" s="5" t="s">
        <v>252</v>
      </c>
      <c r="BG780" s="5" t="s">
        <v>238</v>
      </c>
      <c r="BH780" s="7">
        <f>0</f>
        <v>0</v>
      </c>
      <c r="BI780" s="8">
        <f>0</f>
        <v>0</v>
      </c>
      <c r="BJ780" s="5" t="s">
        <v>253</v>
      </c>
      <c r="BK780" s="5" t="s">
        <v>254</v>
      </c>
      <c r="BY780" s="5" t="s">
        <v>238</v>
      </c>
      <c r="BZ780" s="5" t="s">
        <v>238</v>
      </c>
      <c r="CD780" s="5" t="s">
        <v>273</v>
      </c>
      <c r="CE780" s="5" t="s">
        <v>256</v>
      </c>
      <c r="CF780" s="5" t="s">
        <v>238</v>
      </c>
      <c r="CI780" s="6" t="s">
        <v>257</v>
      </c>
      <c r="CJ780" s="5" t="s">
        <v>238</v>
      </c>
      <c r="CK780" s="5" t="s">
        <v>258</v>
      </c>
      <c r="CL780" s="5" t="s">
        <v>238</v>
      </c>
      <c r="CM780" s="5" t="s">
        <v>238</v>
      </c>
      <c r="CN780" s="5">
        <v>0</v>
      </c>
      <c r="CO780" s="5" t="s">
        <v>259</v>
      </c>
      <c r="CP780" s="5" t="s">
        <v>260</v>
      </c>
      <c r="CQ780" s="5" t="s">
        <v>260</v>
      </c>
      <c r="CR780" s="5" t="s">
        <v>261</v>
      </c>
      <c r="CU780" s="8">
        <f>1</f>
        <v>1</v>
      </c>
      <c r="CV780" s="8">
        <f>0</f>
        <v>0</v>
      </c>
      <c r="CX780" s="8">
        <f>0</f>
        <v>0</v>
      </c>
      <c r="CY780" s="8">
        <f>1</f>
        <v>1</v>
      </c>
      <c r="DA780" s="5" t="s">
        <v>673</v>
      </c>
      <c r="DB780" s="5" t="s">
        <v>238</v>
      </c>
      <c r="DD780" s="5" t="s">
        <v>673</v>
      </c>
      <c r="DE780" s="8">
        <f>5354</f>
        <v>5354</v>
      </c>
      <c r="DG780" s="5" t="s">
        <v>238</v>
      </c>
      <c r="DH780" s="5" t="s">
        <v>238</v>
      </c>
      <c r="DI780" s="5" t="s">
        <v>238</v>
      </c>
      <c r="DJ780" s="5" t="s">
        <v>238</v>
      </c>
      <c r="DN780" s="5" t="s">
        <v>238</v>
      </c>
      <c r="DO780" s="5" t="s">
        <v>238</v>
      </c>
      <c r="DP780" s="5" t="s">
        <v>238</v>
      </c>
      <c r="DQ780" s="5" t="s">
        <v>238</v>
      </c>
      <c r="DT780" s="5" t="s">
        <v>2039</v>
      </c>
      <c r="DU780" s="5" t="s">
        <v>1268</v>
      </c>
      <c r="HM780" s="5" t="s">
        <v>264</v>
      </c>
    </row>
    <row r="781" spans="1:221" x14ac:dyDescent="0.4">
      <c r="A781" s="5">
        <v>2456</v>
      </c>
      <c r="B781" s="5">
        <v>1</v>
      </c>
      <c r="C781" s="5">
        <v>1</v>
      </c>
      <c r="D781" s="5" t="s">
        <v>2037</v>
      </c>
      <c r="E781" s="5" t="s">
        <v>271</v>
      </c>
      <c r="F781" s="5" t="s">
        <v>248</v>
      </c>
      <c r="G781" s="5" t="s">
        <v>1969</v>
      </c>
      <c r="H781" s="6" t="s">
        <v>3425</v>
      </c>
      <c r="I781" s="7">
        <f>1844</f>
        <v>1844</v>
      </c>
      <c r="J781" s="5" t="s">
        <v>262</v>
      </c>
      <c r="K781" s="8">
        <f>1</f>
        <v>1</v>
      </c>
      <c r="L781" s="6" t="s">
        <v>242</v>
      </c>
      <c r="M781" s="5" t="s">
        <v>267</v>
      </c>
      <c r="N781" s="5" t="s">
        <v>265</v>
      </c>
      <c r="O781" s="5" t="s">
        <v>238</v>
      </c>
      <c r="P781" s="5" t="s">
        <v>238</v>
      </c>
      <c r="Q781" s="5" t="s">
        <v>268</v>
      </c>
      <c r="R781" s="5" t="s">
        <v>270</v>
      </c>
      <c r="S781" s="5" t="s">
        <v>238</v>
      </c>
      <c r="V781" s="5" t="s">
        <v>238</v>
      </c>
      <c r="X781" s="6" t="s">
        <v>238</v>
      </c>
      <c r="AA781" s="6" t="s">
        <v>243</v>
      </c>
      <c r="AB781" s="5" t="s">
        <v>238</v>
      </c>
      <c r="AC781" s="5" t="s">
        <v>244</v>
      </c>
      <c r="AD781" s="5" t="s">
        <v>245</v>
      </c>
      <c r="AT781" s="5" t="s">
        <v>246</v>
      </c>
      <c r="AU781" s="5" t="s">
        <v>238</v>
      </c>
      <c r="AV781" s="5" t="s">
        <v>247</v>
      </c>
      <c r="AW781" s="5" t="s">
        <v>238</v>
      </c>
      <c r="AX781" s="5" t="s">
        <v>249</v>
      </c>
      <c r="AY781" s="5" t="s">
        <v>238</v>
      </c>
      <c r="BA781" s="5" t="s">
        <v>238</v>
      </c>
      <c r="BC781" s="5" t="s">
        <v>250</v>
      </c>
      <c r="BD781" s="6" t="s">
        <v>243</v>
      </c>
      <c r="BE781" s="5" t="s">
        <v>251</v>
      </c>
      <c r="BF781" s="5" t="s">
        <v>252</v>
      </c>
      <c r="BG781" s="5" t="s">
        <v>238</v>
      </c>
      <c r="BH781" s="7">
        <f>0</f>
        <v>0</v>
      </c>
      <c r="BI781" s="8">
        <f>0</f>
        <v>0</v>
      </c>
      <c r="BJ781" s="5" t="s">
        <v>253</v>
      </c>
      <c r="BK781" s="5" t="s">
        <v>254</v>
      </c>
      <c r="BY781" s="5" t="s">
        <v>238</v>
      </c>
      <c r="BZ781" s="5" t="s">
        <v>238</v>
      </c>
      <c r="CD781" s="5" t="s">
        <v>273</v>
      </c>
      <c r="CE781" s="5" t="s">
        <v>256</v>
      </c>
      <c r="CF781" s="5" t="s">
        <v>238</v>
      </c>
      <c r="CI781" s="6" t="s">
        <v>257</v>
      </c>
      <c r="CJ781" s="5" t="s">
        <v>238</v>
      </c>
      <c r="CK781" s="5" t="s">
        <v>258</v>
      </c>
      <c r="CL781" s="5" t="s">
        <v>238</v>
      </c>
      <c r="CM781" s="5" t="s">
        <v>238</v>
      </c>
      <c r="CN781" s="5">
        <v>0</v>
      </c>
      <c r="CO781" s="5" t="s">
        <v>259</v>
      </c>
      <c r="CP781" s="5" t="s">
        <v>260</v>
      </c>
      <c r="CQ781" s="5" t="s">
        <v>260</v>
      </c>
      <c r="CR781" s="5" t="s">
        <v>261</v>
      </c>
      <c r="CU781" s="8">
        <f>1</f>
        <v>1</v>
      </c>
      <c r="CV781" s="8">
        <f>0</f>
        <v>0</v>
      </c>
      <c r="CX781" s="8">
        <f>0</f>
        <v>0</v>
      </c>
      <c r="CY781" s="8">
        <f>1</f>
        <v>1</v>
      </c>
      <c r="DA781" s="5" t="s">
        <v>673</v>
      </c>
      <c r="DB781" s="5" t="s">
        <v>238</v>
      </c>
      <c r="DD781" s="5" t="s">
        <v>673</v>
      </c>
      <c r="DE781" s="8">
        <f>1844</f>
        <v>1844</v>
      </c>
      <c r="DG781" s="5" t="s">
        <v>238</v>
      </c>
      <c r="DH781" s="5" t="s">
        <v>238</v>
      </c>
      <c r="DI781" s="5" t="s">
        <v>238</v>
      </c>
      <c r="DJ781" s="5" t="s">
        <v>238</v>
      </c>
      <c r="DN781" s="5" t="s">
        <v>238</v>
      </c>
      <c r="DO781" s="5" t="s">
        <v>238</v>
      </c>
      <c r="DP781" s="5" t="s">
        <v>238</v>
      </c>
      <c r="DQ781" s="5" t="s">
        <v>238</v>
      </c>
      <c r="DT781" s="5" t="s">
        <v>2039</v>
      </c>
      <c r="DU781" s="5" t="s">
        <v>1262</v>
      </c>
      <c r="HM781" s="5" t="s">
        <v>264</v>
      </c>
    </row>
    <row r="782" spans="1:221" x14ac:dyDescent="0.4">
      <c r="A782" s="5">
        <v>2457</v>
      </c>
      <c r="B782" s="5">
        <v>1</v>
      </c>
      <c r="C782" s="5">
        <v>1</v>
      </c>
      <c r="D782" s="5" t="s">
        <v>2037</v>
      </c>
      <c r="E782" s="5" t="s">
        <v>271</v>
      </c>
      <c r="F782" s="5" t="s">
        <v>248</v>
      </c>
      <c r="G782" s="5" t="s">
        <v>1969</v>
      </c>
      <c r="H782" s="6" t="s">
        <v>3424</v>
      </c>
      <c r="I782" s="7">
        <f>870</f>
        <v>870</v>
      </c>
      <c r="J782" s="5" t="s">
        <v>262</v>
      </c>
      <c r="K782" s="8">
        <f>1</f>
        <v>1</v>
      </c>
      <c r="L782" s="6" t="s">
        <v>242</v>
      </c>
      <c r="M782" s="5" t="s">
        <v>267</v>
      </c>
      <c r="N782" s="5" t="s">
        <v>265</v>
      </c>
      <c r="O782" s="5" t="s">
        <v>238</v>
      </c>
      <c r="P782" s="5" t="s">
        <v>238</v>
      </c>
      <c r="Q782" s="5" t="s">
        <v>268</v>
      </c>
      <c r="R782" s="5" t="s">
        <v>270</v>
      </c>
      <c r="S782" s="5" t="s">
        <v>238</v>
      </c>
      <c r="V782" s="5" t="s">
        <v>238</v>
      </c>
      <c r="X782" s="6" t="s">
        <v>238</v>
      </c>
      <c r="AA782" s="6" t="s">
        <v>243</v>
      </c>
      <c r="AB782" s="5" t="s">
        <v>238</v>
      </c>
      <c r="AC782" s="5" t="s">
        <v>244</v>
      </c>
      <c r="AD782" s="5" t="s">
        <v>245</v>
      </c>
      <c r="AT782" s="5" t="s">
        <v>246</v>
      </c>
      <c r="AU782" s="5" t="s">
        <v>238</v>
      </c>
      <c r="AV782" s="5" t="s">
        <v>247</v>
      </c>
      <c r="AW782" s="5" t="s">
        <v>238</v>
      </c>
      <c r="AX782" s="5" t="s">
        <v>249</v>
      </c>
      <c r="AY782" s="5" t="s">
        <v>238</v>
      </c>
      <c r="BA782" s="5" t="s">
        <v>238</v>
      </c>
      <c r="BC782" s="5" t="s">
        <v>250</v>
      </c>
      <c r="BD782" s="6" t="s">
        <v>243</v>
      </c>
      <c r="BE782" s="5" t="s">
        <v>251</v>
      </c>
      <c r="BF782" s="5" t="s">
        <v>252</v>
      </c>
      <c r="BG782" s="5" t="s">
        <v>238</v>
      </c>
      <c r="BH782" s="7">
        <f>0</f>
        <v>0</v>
      </c>
      <c r="BI782" s="8">
        <f>0</f>
        <v>0</v>
      </c>
      <c r="BJ782" s="5" t="s">
        <v>253</v>
      </c>
      <c r="BK782" s="5" t="s">
        <v>254</v>
      </c>
      <c r="BY782" s="5" t="s">
        <v>238</v>
      </c>
      <c r="BZ782" s="5" t="s">
        <v>238</v>
      </c>
      <c r="CD782" s="5" t="s">
        <v>273</v>
      </c>
      <c r="CE782" s="5" t="s">
        <v>256</v>
      </c>
      <c r="CF782" s="5" t="s">
        <v>238</v>
      </c>
      <c r="CI782" s="6" t="s">
        <v>257</v>
      </c>
      <c r="CJ782" s="5" t="s">
        <v>238</v>
      </c>
      <c r="CK782" s="5" t="s">
        <v>258</v>
      </c>
      <c r="CL782" s="5" t="s">
        <v>238</v>
      </c>
      <c r="CM782" s="5" t="s">
        <v>238</v>
      </c>
      <c r="CN782" s="5">
        <v>0</v>
      </c>
      <c r="CO782" s="5" t="s">
        <v>259</v>
      </c>
      <c r="CP782" s="5" t="s">
        <v>260</v>
      </c>
      <c r="CQ782" s="5" t="s">
        <v>260</v>
      </c>
      <c r="CR782" s="5" t="s">
        <v>261</v>
      </c>
      <c r="CU782" s="8">
        <f>1</f>
        <v>1</v>
      </c>
      <c r="CV782" s="8">
        <f>0</f>
        <v>0</v>
      </c>
      <c r="CX782" s="8">
        <f>0</f>
        <v>0</v>
      </c>
      <c r="CY782" s="8">
        <f>1</f>
        <v>1</v>
      </c>
      <c r="DA782" s="5" t="s">
        <v>673</v>
      </c>
      <c r="DB782" s="5" t="s">
        <v>238</v>
      </c>
      <c r="DD782" s="5" t="s">
        <v>673</v>
      </c>
      <c r="DE782" s="8">
        <f>870</f>
        <v>870</v>
      </c>
      <c r="DG782" s="5" t="s">
        <v>238</v>
      </c>
      <c r="DH782" s="5" t="s">
        <v>238</v>
      </c>
      <c r="DI782" s="5" t="s">
        <v>238</v>
      </c>
      <c r="DJ782" s="5" t="s">
        <v>238</v>
      </c>
      <c r="DN782" s="5" t="s">
        <v>238</v>
      </c>
      <c r="DO782" s="5" t="s">
        <v>238</v>
      </c>
      <c r="DP782" s="5" t="s">
        <v>238</v>
      </c>
      <c r="DQ782" s="5" t="s">
        <v>238</v>
      </c>
      <c r="DT782" s="5" t="s">
        <v>2039</v>
      </c>
      <c r="DU782" s="5" t="s">
        <v>1258</v>
      </c>
      <c r="HM782" s="5" t="s">
        <v>264</v>
      </c>
    </row>
    <row r="783" spans="1:221" x14ac:dyDescent="0.4">
      <c r="A783" s="5">
        <v>2458</v>
      </c>
      <c r="B783" s="5">
        <v>1</v>
      </c>
      <c r="C783" s="5">
        <v>1</v>
      </c>
      <c r="D783" s="5" t="s">
        <v>2037</v>
      </c>
      <c r="E783" s="5" t="s">
        <v>271</v>
      </c>
      <c r="F783" s="5" t="s">
        <v>248</v>
      </c>
      <c r="G783" s="5" t="s">
        <v>1969</v>
      </c>
      <c r="H783" s="6" t="s">
        <v>3423</v>
      </c>
      <c r="I783" s="7">
        <f>2925</f>
        <v>2925</v>
      </c>
      <c r="J783" s="5" t="s">
        <v>262</v>
      </c>
      <c r="K783" s="8">
        <f>1</f>
        <v>1</v>
      </c>
      <c r="L783" s="6" t="s">
        <v>242</v>
      </c>
      <c r="M783" s="5" t="s">
        <v>267</v>
      </c>
      <c r="N783" s="5" t="s">
        <v>265</v>
      </c>
      <c r="O783" s="5" t="s">
        <v>238</v>
      </c>
      <c r="P783" s="5" t="s">
        <v>238</v>
      </c>
      <c r="Q783" s="5" t="s">
        <v>268</v>
      </c>
      <c r="R783" s="5" t="s">
        <v>270</v>
      </c>
      <c r="S783" s="5" t="s">
        <v>238</v>
      </c>
      <c r="V783" s="5" t="s">
        <v>238</v>
      </c>
      <c r="X783" s="6" t="s">
        <v>238</v>
      </c>
      <c r="AA783" s="6" t="s">
        <v>243</v>
      </c>
      <c r="AB783" s="5" t="s">
        <v>238</v>
      </c>
      <c r="AC783" s="5" t="s">
        <v>244</v>
      </c>
      <c r="AD783" s="5" t="s">
        <v>245</v>
      </c>
      <c r="AT783" s="5" t="s">
        <v>246</v>
      </c>
      <c r="AU783" s="5" t="s">
        <v>238</v>
      </c>
      <c r="AV783" s="5" t="s">
        <v>247</v>
      </c>
      <c r="AW783" s="5" t="s">
        <v>238</v>
      </c>
      <c r="AX783" s="5" t="s">
        <v>249</v>
      </c>
      <c r="AY783" s="5" t="s">
        <v>238</v>
      </c>
      <c r="BA783" s="5" t="s">
        <v>238</v>
      </c>
      <c r="BC783" s="5" t="s">
        <v>250</v>
      </c>
      <c r="BD783" s="6" t="s">
        <v>243</v>
      </c>
      <c r="BE783" s="5" t="s">
        <v>251</v>
      </c>
      <c r="BF783" s="5" t="s">
        <v>252</v>
      </c>
      <c r="BG783" s="5" t="s">
        <v>238</v>
      </c>
      <c r="BH783" s="7">
        <f>0</f>
        <v>0</v>
      </c>
      <c r="BI783" s="8">
        <f>0</f>
        <v>0</v>
      </c>
      <c r="BJ783" s="5" t="s">
        <v>253</v>
      </c>
      <c r="BK783" s="5" t="s">
        <v>254</v>
      </c>
      <c r="BY783" s="5" t="s">
        <v>238</v>
      </c>
      <c r="BZ783" s="5" t="s">
        <v>238</v>
      </c>
      <c r="CD783" s="5" t="s">
        <v>273</v>
      </c>
      <c r="CE783" s="5" t="s">
        <v>256</v>
      </c>
      <c r="CF783" s="5" t="s">
        <v>238</v>
      </c>
      <c r="CI783" s="6" t="s">
        <v>257</v>
      </c>
      <c r="CJ783" s="5" t="s">
        <v>238</v>
      </c>
      <c r="CK783" s="5" t="s">
        <v>258</v>
      </c>
      <c r="CL783" s="5" t="s">
        <v>238</v>
      </c>
      <c r="CM783" s="5" t="s">
        <v>238</v>
      </c>
      <c r="CN783" s="5">
        <v>0</v>
      </c>
      <c r="CO783" s="5" t="s">
        <v>259</v>
      </c>
      <c r="CP783" s="5" t="s">
        <v>260</v>
      </c>
      <c r="CQ783" s="5" t="s">
        <v>260</v>
      </c>
      <c r="CR783" s="5" t="s">
        <v>261</v>
      </c>
      <c r="CU783" s="8">
        <f>1</f>
        <v>1</v>
      </c>
      <c r="CV783" s="8">
        <f>0</f>
        <v>0</v>
      </c>
      <c r="CX783" s="8">
        <f>0</f>
        <v>0</v>
      </c>
      <c r="CY783" s="8">
        <f>1</f>
        <v>1</v>
      </c>
      <c r="DA783" s="5" t="s">
        <v>673</v>
      </c>
      <c r="DB783" s="5" t="s">
        <v>238</v>
      </c>
      <c r="DD783" s="5" t="s">
        <v>673</v>
      </c>
      <c r="DE783" s="8">
        <f>2925</f>
        <v>2925</v>
      </c>
      <c r="DG783" s="5" t="s">
        <v>238</v>
      </c>
      <c r="DH783" s="5" t="s">
        <v>238</v>
      </c>
      <c r="DI783" s="5" t="s">
        <v>238</v>
      </c>
      <c r="DJ783" s="5" t="s">
        <v>238</v>
      </c>
      <c r="DN783" s="5" t="s">
        <v>238</v>
      </c>
      <c r="DO783" s="5" t="s">
        <v>238</v>
      </c>
      <c r="DP783" s="5" t="s">
        <v>238</v>
      </c>
      <c r="DQ783" s="5" t="s">
        <v>238</v>
      </c>
      <c r="DT783" s="5" t="s">
        <v>2039</v>
      </c>
      <c r="DU783" s="5" t="s">
        <v>1256</v>
      </c>
      <c r="HM783" s="5" t="s">
        <v>264</v>
      </c>
    </row>
    <row r="784" spans="1:221" x14ac:dyDescent="0.4">
      <c r="A784" s="5">
        <v>2459</v>
      </c>
      <c r="B784" s="5">
        <v>1</v>
      </c>
      <c r="C784" s="5">
        <v>1</v>
      </c>
      <c r="D784" s="5" t="s">
        <v>2037</v>
      </c>
      <c r="E784" s="5" t="s">
        <v>271</v>
      </c>
      <c r="F784" s="5" t="s">
        <v>248</v>
      </c>
      <c r="G784" s="5" t="s">
        <v>1969</v>
      </c>
      <c r="H784" s="6" t="s">
        <v>3422</v>
      </c>
      <c r="I784" s="7">
        <f>487</f>
        <v>487</v>
      </c>
      <c r="J784" s="5" t="s">
        <v>262</v>
      </c>
      <c r="K784" s="8">
        <f>1</f>
        <v>1</v>
      </c>
      <c r="L784" s="6" t="s">
        <v>242</v>
      </c>
      <c r="M784" s="5" t="s">
        <v>267</v>
      </c>
      <c r="N784" s="5" t="s">
        <v>265</v>
      </c>
      <c r="O784" s="5" t="s">
        <v>238</v>
      </c>
      <c r="P784" s="5" t="s">
        <v>238</v>
      </c>
      <c r="Q784" s="5" t="s">
        <v>268</v>
      </c>
      <c r="R784" s="5" t="s">
        <v>270</v>
      </c>
      <c r="S784" s="5" t="s">
        <v>238</v>
      </c>
      <c r="V784" s="5" t="s">
        <v>238</v>
      </c>
      <c r="X784" s="6" t="s">
        <v>238</v>
      </c>
      <c r="AA784" s="6" t="s">
        <v>243</v>
      </c>
      <c r="AB784" s="5" t="s">
        <v>238</v>
      </c>
      <c r="AC784" s="5" t="s">
        <v>244</v>
      </c>
      <c r="AD784" s="5" t="s">
        <v>245</v>
      </c>
      <c r="AT784" s="5" t="s">
        <v>246</v>
      </c>
      <c r="AU784" s="5" t="s">
        <v>238</v>
      </c>
      <c r="AV784" s="5" t="s">
        <v>247</v>
      </c>
      <c r="AW784" s="5" t="s">
        <v>238</v>
      </c>
      <c r="AX784" s="5" t="s">
        <v>249</v>
      </c>
      <c r="AY784" s="5" t="s">
        <v>238</v>
      </c>
      <c r="BA784" s="5" t="s">
        <v>238</v>
      </c>
      <c r="BC784" s="5" t="s">
        <v>250</v>
      </c>
      <c r="BD784" s="6" t="s">
        <v>243</v>
      </c>
      <c r="BE784" s="5" t="s">
        <v>251</v>
      </c>
      <c r="BF784" s="5" t="s">
        <v>252</v>
      </c>
      <c r="BG784" s="5" t="s">
        <v>238</v>
      </c>
      <c r="BH784" s="7">
        <f>0</f>
        <v>0</v>
      </c>
      <c r="BI784" s="8">
        <f>0</f>
        <v>0</v>
      </c>
      <c r="BJ784" s="5" t="s">
        <v>253</v>
      </c>
      <c r="BK784" s="5" t="s">
        <v>254</v>
      </c>
      <c r="BY784" s="5" t="s">
        <v>238</v>
      </c>
      <c r="BZ784" s="5" t="s">
        <v>238</v>
      </c>
      <c r="CD784" s="5" t="s">
        <v>273</v>
      </c>
      <c r="CE784" s="5" t="s">
        <v>256</v>
      </c>
      <c r="CF784" s="5" t="s">
        <v>238</v>
      </c>
      <c r="CI784" s="6" t="s">
        <v>257</v>
      </c>
      <c r="CJ784" s="5" t="s">
        <v>238</v>
      </c>
      <c r="CK784" s="5" t="s">
        <v>258</v>
      </c>
      <c r="CL784" s="5" t="s">
        <v>238</v>
      </c>
      <c r="CM784" s="5" t="s">
        <v>238</v>
      </c>
      <c r="CN784" s="5">
        <v>0</v>
      </c>
      <c r="CO784" s="5" t="s">
        <v>259</v>
      </c>
      <c r="CP784" s="5" t="s">
        <v>260</v>
      </c>
      <c r="CQ784" s="5" t="s">
        <v>260</v>
      </c>
      <c r="CR784" s="5" t="s">
        <v>261</v>
      </c>
      <c r="CU784" s="8">
        <f>1</f>
        <v>1</v>
      </c>
      <c r="CV784" s="8">
        <f>0</f>
        <v>0</v>
      </c>
      <c r="CX784" s="8">
        <f>0</f>
        <v>0</v>
      </c>
      <c r="CY784" s="8">
        <f>1</f>
        <v>1</v>
      </c>
      <c r="DA784" s="5" t="s">
        <v>673</v>
      </c>
      <c r="DB784" s="5" t="s">
        <v>238</v>
      </c>
      <c r="DD784" s="5" t="s">
        <v>673</v>
      </c>
      <c r="DE784" s="8">
        <f>487</f>
        <v>487</v>
      </c>
      <c r="DG784" s="5" t="s">
        <v>238</v>
      </c>
      <c r="DH784" s="5" t="s">
        <v>238</v>
      </c>
      <c r="DI784" s="5" t="s">
        <v>238</v>
      </c>
      <c r="DJ784" s="5" t="s">
        <v>238</v>
      </c>
      <c r="DN784" s="5" t="s">
        <v>238</v>
      </c>
      <c r="DO784" s="5" t="s">
        <v>238</v>
      </c>
      <c r="DP784" s="5" t="s">
        <v>238</v>
      </c>
      <c r="DQ784" s="5" t="s">
        <v>238</v>
      </c>
      <c r="DT784" s="5" t="s">
        <v>2039</v>
      </c>
      <c r="DU784" s="5" t="s">
        <v>1252</v>
      </c>
      <c r="HM784" s="5" t="s">
        <v>264</v>
      </c>
    </row>
    <row r="785" spans="1:221" x14ac:dyDescent="0.4">
      <c r="A785" s="5">
        <v>2460</v>
      </c>
      <c r="B785" s="5">
        <v>1</v>
      </c>
      <c r="C785" s="5">
        <v>1</v>
      </c>
      <c r="D785" s="5" t="s">
        <v>2037</v>
      </c>
      <c r="E785" s="5" t="s">
        <v>271</v>
      </c>
      <c r="F785" s="5" t="s">
        <v>248</v>
      </c>
      <c r="G785" s="5" t="s">
        <v>1969</v>
      </c>
      <c r="H785" s="6" t="s">
        <v>3421</v>
      </c>
      <c r="I785" s="7">
        <f>2138</f>
        <v>2138</v>
      </c>
      <c r="J785" s="5" t="s">
        <v>262</v>
      </c>
      <c r="K785" s="8">
        <f>1</f>
        <v>1</v>
      </c>
      <c r="L785" s="6" t="s">
        <v>242</v>
      </c>
      <c r="M785" s="5" t="s">
        <v>267</v>
      </c>
      <c r="N785" s="5" t="s">
        <v>265</v>
      </c>
      <c r="O785" s="5" t="s">
        <v>238</v>
      </c>
      <c r="P785" s="5" t="s">
        <v>238</v>
      </c>
      <c r="Q785" s="5" t="s">
        <v>268</v>
      </c>
      <c r="R785" s="5" t="s">
        <v>270</v>
      </c>
      <c r="S785" s="5" t="s">
        <v>238</v>
      </c>
      <c r="V785" s="5" t="s">
        <v>238</v>
      </c>
      <c r="X785" s="6" t="s">
        <v>238</v>
      </c>
      <c r="AA785" s="6" t="s">
        <v>243</v>
      </c>
      <c r="AB785" s="5" t="s">
        <v>238</v>
      </c>
      <c r="AC785" s="5" t="s">
        <v>244</v>
      </c>
      <c r="AD785" s="5" t="s">
        <v>245</v>
      </c>
      <c r="AT785" s="5" t="s">
        <v>246</v>
      </c>
      <c r="AU785" s="5" t="s">
        <v>238</v>
      </c>
      <c r="AV785" s="5" t="s">
        <v>247</v>
      </c>
      <c r="AW785" s="5" t="s">
        <v>238</v>
      </c>
      <c r="AX785" s="5" t="s">
        <v>249</v>
      </c>
      <c r="AY785" s="5" t="s">
        <v>238</v>
      </c>
      <c r="BA785" s="5" t="s">
        <v>238</v>
      </c>
      <c r="BC785" s="5" t="s">
        <v>250</v>
      </c>
      <c r="BD785" s="6" t="s">
        <v>243</v>
      </c>
      <c r="BE785" s="5" t="s">
        <v>251</v>
      </c>
      <c r="BF785" s="5" t="s">
        <v>252</v>
      </c>
      <c r="BG785" s="5" t="s">
        <v>238</v>
      </c>
      <c r="BH785" s="7">
        <f>0</f>
        <v>0</v>
      </c>
      <c r="BI785" s="8">
        <f>0</f>
        <v>0</v>
      </c>
      <c r="BJ785" s="5" t="s">
        <v>253</v>
      </c>
      <c r="BK785" s="5" t="s">
        <v>254</v>
      </c>
      <c r="BY785" s="5" t="s">
        <v>238</v>
      </c>
      <c r="BZ785" s="5" t="s">
        <v>238</v>
      </c>
      <c r="CD785" s="5" t="s">
        <v>273</v>
      </c>
      <c r="CE785" s="5" t="s">
        <v>256</v>
      </c>
      <c r="CF785" s="5" t="s">
        <v>238</v>
      </c>
      <c r="CI785" s="6" t="s">
        <v>257</v>
      </c>
      <c r="CJ785" s="5" t="s">
        <v>238</v>
      </c>
      <c r="CK785" s="5" t="s">
        <v>258</v>
      </c>
      <c r="CL785" s="5" t="s">
        <v>238</v>
      </c>
      <c r="CM785" s="5" t="s">
        <v>238</v>
      </c>
      <c r="CN785" s="5">
        <v>0</v>
      </c>
      <c r="CO785" s="5" t="s">
        <v>259</v>
      </c>
      <c r="CP785" s="5" t="s">
        <v>260</v>
      </c>
      <c r="CQ785" s="5" t="s">
        <v>260</v>
      </c>
      <c r="CR785" s="5" t="s">
        <v>261</v>
      </c>
      <c r="CU785" s="8">
        <f>1</f>
        <v>1</v>
      </c>
      <c r="CV785" s="8">
        <f>0</f>
        <v>0</v>
      </c>
      <c r="CX785" s="8">
        <f>0</f>
        <v>0</v>
      </c>
      <c r="CY785" s="8">
        <f>1</f>
        <v>1</v>
      </c>
      <c r="DA785" s="5" t="s">
        <v>673</v>
      </c>
      <c r="DB785" s="5" t="s">
        <v>238</v>
      </c>
      <c r="DD785" s="5" t="s">
        <v>673</v>
      </c>
      <c r="DE785" s="8">
        <f>2138</f>
        <v>2138</v>
      </c>
      <c r="DG785" s="5" t="s">
        <v>238</v>
      </c>
      <c r="DH785" s="5" t="s">
        <v>238</v>
      </c>
      <c r="DI785" s="5" t="s">
        <v>238</v>
      </c>
      <c r="DJ785" s="5" t="s">
        <v>238</v>
      </c>
      <c r="DN785" s="5" t="s">
        <v>238</v>
      </c>
      <c r="DO785" s="5" t="s">
        <v>238</v>
      </c>
      <c r="DP785" s="5" t="s">
        <v>238</v>
      </c>
      <c r="DQ785" s="5" t="s">
        <v>238</v>
      </c>
      <c r="DT785" s="5" t="s">
        <v>2039</v>
      </c>
      <c r="DU785" s="5" t="s">
        <v>1245</v>
      </c>
      <c r="HM785" s="5" t="s">
        <v>264</v>
      </c>
    </row>
    <row r="786" spans="1:221" x14ac:dyDescent="0.4">
      <c r="A786" s="5">
        <v>2461</v>
      </c>
      <c r="B786" s="5">
        <v>1</v>
      </c>
      <c r="C786" s="5">
        <v>1</v>
      </c>
      <c r="D786" s="5" t="s">
        <v>2037</v>
      </c>
      <c r="E786" s="5" t="s">
        <v>271</v>
      </c>
      <c r="F786" s="5" t="s">
        <v>248</v>
      </c>
      <c r="G786" s="5" t="s">
        <v>1969</v>
      </c>
      <c r="H786" s="6" t="s">
        <v>3420</v>
      </c>
      <c r="I786" s="7">
        <f>657</f>
        <v>657</v>
      </c>
      <c r="J786" s="5" t="s">
        <v>262</v>
      </c>
      <c r="K786" s="8">
        <f>1</f>
        <v>1</v>
      </c>
      <c r="L786" s="6" t="s">
        <v>242</v>
      </c>
      <c r="M786" s="5" t="s">
        <v>267</v>
      </c>
      <c r="N786" s="5" t="s">
        <v>265</v>
      </c>
      <c r="O786" s="5" t="s">
        <v>238</v>
      </c>
      <c r="P786" s="5" t="s">
        <v>238</v>
      </c>
      <c r="Q786" s="5" t="s">
        <v>268</v>
      </c>
      <c r="R786" s="5" t="s">
        <v>270</v>
      </c>
      <c r="S786" s="5" t="s">
        <v>238</v>
      </c>
      <c r="V786" s="5" t="s">
        <v>238</v>
      </c>
      <c r="X786" s="6" t="s">
        <v>238</v>
      </c>
      <c r="AA786" s="6" t="s">
        <v>243</v>
      </c>
      <c r="AB786" s="5" t="s">
        <v>238</v>
      </c>
      <c r="AC786" s="5" t="s">
        <v>244</v>
      </c>
      <c r="AD786" s="5" t="s">
        <v>245</v>
      </c>
      <c r="AT786" s="5" t="s">
        <v>246</v>
      </c>
      <c r="AU786" s="5" t="s">
        <v>238</v>
      </c>
      <c r="AV786" s="5" t="s">
        <v>247</v>
      </c>
      <c r="AW786" s="5" t="s">
        <v>238</v>
      </c>
      <c r="AX786" s="5" t="s">
        <v>249</v>
      </c>
      <c r="AY786" s="5" t="s">
        <v>238</v>
      </c>
      <c r="BA786" s="5" t="s">
        <v>238</v>
      </c>
      <c r="BC786" s="5" t="s">
        <v>250</v>
      </c>
      <c r="BD786" s="6" t="s">
        <v>243</v>
      </c>
      <c r="BE786" s="5" t="s">
        <v>251</v>
      </c>
      <c r="BF786" s="5" t="s">
        <v>252</v>
      </c>
      <c r="BG786" s="5" t="s">
        <v>238</v>
      </c>
      <c r="BH786" s="7">
        <f>0</f>
        <v>0</v>
      </c>
      <c r="BI786" s="8">
        <f>0</f>
        <v>0</v>
      </c>
      <c r="BJ786" s="5" t="s">
        <v>253</v>
      </c>
      <c r="BK786" s="5" t="s">
        <v>254</v>
      </c>
      <c r="BY786" s="5" t="s">
        <v>238</v>
      </c>
      <c r="BZ786" s="5" t="s">
        <v>238</v>
      </c>
      <c r="CD786" s="5" t="s">
        <v>273</v>
      </c>
      <c r="CE786" s="5" t="s">
        <v>256</v>
      </c>
      <c r="CF786" s="5" t="s">
        <v>238</v>
      </c>
      <c r="CI786" s="6" t="s">
        <v>257</v>
      </c>
      <c r="CJ786" s="5" t="s">
        <v>238</v>
      </c>
      <c r="CK786" s="5" t="s">
        <v>258</v>
      </c>
      <c r="CL786" s="5" t="s">
        <v>238</v>
      </c>
      <c r="CM786" s="5" t="s">
        <v>238</v>
      </c>
      <c r="CN786" s="5">
        <v>0</v>
      </c>
      <c r="CO786" s="5" t="s">
        <v>259</v>
      </c>
      <c r="CP786" s="5" t="s">
        <v>260</v>
      </c>
      <c r="CQ786" s="5" t="s">
        <v>260</v>
      </c>
      <c r="CR786" s="5" t="s">
        <v>261</v>
      </c>
      <c r="CU786" s="8">
        <f>1</f>
        <v>1</v>
      </c>
      <c r="CV786" s="8">
        <f>0</f>
        <v>0</v>
      </c>
      <c r="CX786" s="8">
        <f>0</f>
        <v>0</v>
      </c>
      <c r="CY786" s="8">
        <f>1</f>
        <v>1</v>
      </c>
      <c r="DA786" s="5" t="s">
        <v>673</v>
      </c>
      <c r="DB786" s="5" t="s">
        <v>238</v>
      </c>
      <c r="DD786" s="5" t="s">
        <v>673</v>
      </c>
      <c r="DE786" s="8">
        <f>657</f>
        <v>657</v>
      </c>
      <c r="DG786" s="5" t="s">
        <v>238</v>
      </c>
      <c r="DH786" s="5" t="s">
        <v>238</v>
      </c>
      <c r="DI786" s="5" t="s">
        <v>238</v>
      </c>
      <c r="DJ786" s="5" t="s">
        <v>238</v>
      </c>
      <c r="DN786" s="5" t="s">
        <v>238</v>
      </c>
      <c r="DO786" s="5" t="s">
        <v>238</v>
      </c>
      <c r="DP786" s="5" t="s">
        <v>238</v>
      </c>
      <c r="DQ786" s="5" t="s">
        <v>238</v>
      </c>
      <c r="DT786" s="5" t="s">
        <v>2039</v>
      </c>
      <c r="DU786" s="5" t="s">
        <v>1241</v>
      </c>
      <c r="HM786" s="5" t="s">
        <v>264</v>
      </c>
    </row>
    <row r="787" spans="1:221" x14ac:dyDescent="0.4">
      <c r="A787" s="5">
        <v>2462</v>
      </c>
      <c r="B787" s="5">
        <v>1</v>
      </c>
      <c r="C787" s="5">
        <v>1</v>
      </c>
      <c r="D787" s="5" t="s">
        <v>2037</v>
      </c>
      <c r="E787" s="5" t="s">
        <v>271</v>
      </c>
      <c r="F787" s="5" t="s">
        <v>248</v>
      </c>
      <c r="G787" s="5" t="s">
        <v>1969</v>
      </c>
      <c r="H787" s="6" t="s">
        <v>3419</v>
      </c>
      <c r="I787" s="7">
        <f>2398</f>
        <v>2398</v>
      </c>
      <c r="J787" s="5" t="s">
        <v>262</v>
      </c>
      <c r="K787" s="8">
        <f>1</f>
        <v>1</v>
      </c>
      <c r="L787" s="6" t="s">
        <v>242</v>
      </c>
      <c r="M787" s="5" t="s">
        <v>267</v>
      </c>
      <c r="N787" s="5" t="s">
        <v>265</v>
      </c>
      <c r="O787" s="5" t="s">
        <v>238</v>
      </c>
      <c r="P787" s="5" t="s">
        <v>238</v>
      </c>
      <c r="Q787" s="5" t="s">
        <v>268</v>
      </c>
      <c r="R787" s="5" t="s">
        <v>270</v>
      </c>
      <c r="S787" s="5" t="s">
        <v>238</v>
      </c>
      <c r="V787" s="5" t="s">
        <v>238</v>
      </c>
      <c r="X787" s="6" t="s">
        <v>238</v>
      </c>
      <c r="AA787" s="6" t="s">
        <v>243</v>
      </c>
      <c r="AB787" s="5" t="s">
        <v>238</v>
      </c>
      <c r="AC787" s="5" t="s">
        <v>244</v>
      </c>
      <c r="AD787" s="5" t="s">
        <v>245</v>
      </c>
      <c r="AT787" s="5" t="s">
        <v>246</v>
      </c>
      <c r="AU787" s="5" t="s">
        <v>238</v>
      </c>
      <c r="AV787" s="5" t="s">
        <v>247</v>
      </c>
      <c r="AW787" s="5" t="s">
        <v>238</v>
      </c>
      <c r="AX787" s="5" t="s">
        <v>249</v>
      </c>
      <c r="AY787" s="5" t="s">
        <v>238</v>
      </c>
      <c r="BA787" s="5" t="s">
        <v>238</v>
      </c>
      <c r="BC787" s="5" t="s">
        <v>250</v>
      </c>
      <c r="BD787" s="6" t="s">
        <v>243</v>
      </c>
      <c r="BE787" s="5" t="s">
        <v>251</v>
      </c>
      <c r="BF787" s="5" t="s">
        <v>252</v>
      </c>
      <c r="BG787" s="5" t="s">
        <v>238</v>
      </c>
      <c r="BH787" s="7">
        <f>0</f>
        <v>0</v>
      </c>
      <c r="BI787" s="8">
        <f>0</f>
        <v>0</v>
      </c>
      <c r="BJ787" s="5" t="s">
        <v>253</v>
      </c>
      <c r="BK787" s="5" t="s">
        <v>254</v>
      </c>
      <c r="BY787" s="5" t="s">
        <v>238</v>
      </c>
      <c r="BZ787" s="5" t="s">
        <v>238</v>
      </c>
      <c r="CD787" s="5" t="s">
        <v>273</v>
      </c>
      <c r="CE787" s="5" t="s">
        <v>256</v>
      </c>
      <c r="CF787" s="5" t="s">
        <v>238</v>
      </c>
      <c r="CI787" s="6" t="s">
        <v>257</v>
      </c>
      <c r="CJ787" s="5" t="s">
        <v>238</v>
      </c>
      <c r="CK787" s="5" t="s">
        <v>258</v>
      </c>
      <c r="CL787" s="5" t="s">
        <v>238</v>
      </c>
      <c r="CM787" s="5" t="s">
        <v>238</v>
      </c>
      <c r="CN787" s="5">
        <v>0</v>
      </c>
      <c r="CO787" s="5" t="s">
        <v>259</v>
      </c>
      <c r="CP787" s="5" t="s">
        <v>260</v>
      </c>
      <c r="CQ787" s="5" t="s">
        <v>260</v>
      </c>
      <c r="CR787" s="5" t="s">
        <v>261</v>
      </c>
      <c r="CU787" s="8">
        <f>1</f>
        <v>1</v>
      </c>
      <c r="CV787" s="8">
        <f>0</f>
        <v>0</v>
      </c>
      <c r="CX787" s="8">
        <f>0</f>
        <v>0</v>
      </c>
      <c r="CY787" s="8">
        <f>1</f>
        <v>1</v>
      </c>
      <c r="DA787" s="5" t="s">
        <v>673</v>
      </c>
      <c r="DB787" s="5" t="s">
        <v>238</v>
      </c>
      <c r="DD787" s="5" t="s">
        <v>673</v>
      </c>
      <c r="DE787" s="8">
        <f>2398</f>
        <v>2398</v>
      </c>
      <c r="DG787" s="5" t="s">
        <v>238</v>
      </c>
      <c r="DH787" s="5" t="s">
        <v>238</v>
      </c>
      <c r="DI787" s="5" t="s">
        <v>238</v>
      </c>
      <c r="DJ787" s="5" t="s">
        <v>238</v>
      </c>
      <c r="DN787" s="5" t="s">
        <v>238</v>
      </c>
      <c r="DO787" s="5" t="s">
        <v>238</v>
      </c>
      <c r="DP787" s="5" t="s">
        <v>238</v>
      </c>
      <c r="DQ787" s="5" t="s">
        <v>238</v>
      </c>
      <c r="DT787" s="5" t="s">
        <v>2039</v>
      </c>
      <c r="DU787" s="5" t="s">
        <v>1239</v>
      </c>
      <c r="HM787" s="5" t="s">
        <v>264</v>
      </c>
    </row>
    <row r="788" spans="1:221" x14ac:dyDescent="0.4">
      <c r="A788" s="5">
        <v>2463</v>
      </c>
      <c r="B788" s="5">
        <v>1</v>
      </c>
      <c r="C788" s="5">
        <v>1</v>
      </c>
      <c r="D788" s="5" t="s">
        <v>2037</v>
      </c>
      <c r="E788" s="5" t="s">
        <v>271</v>
      </c>
      <c r="F788" s="5" t="s">
        <v>248</v>
      </c>
      <c r="G788" s="5" t="s">
        <v>1969</v>
      </c>
      <c r="H788" s="6" t="s">
        <v>3418</v>
      </c>
      <c r="I788" s="7">
        <f>1188</f>
        <v>1188</v>
      </c>
      <c r="J788" s="5" t="s">
        <v>262</v>
      </c>
      <c r="K788" s="8">
        <f>1</f>
        <v>1</v>
      </c>
      <c r="L788" s="6" t="s">
        <v>242</v>
      </c>
      <c r="M788" s="5" t="s">
        <v>267</v>
      </c>
      <c r="N788" s="5" t="s">
        <v>265</v>
      </c>
      <c r="O788" s="5" t="s">
        <v>238</v>
      </c>
      <c r="P788" s="5" t="s">
        <v>238</v>
      </c>
      <c r="Q788" s="5" t="s">
        <v>268</v>
      </c>
      <c r="R788" s="5" t="s">
        <v>270</v>
      </c>
      <c r="S788" s="5" t="s">
        <v>238</v>
      </c>
      <c r="V788" s="5" t="s">
        <v>238</v>
      </c>
      <c r="X788" s="6" t="s">
        <v>238</v>
      </c>
      <c r="AA788" s="6" t="s">
        <v>243</v>
      </c>
      <c r="AB788" s="5" t="s">
        <v>238</v>
      </c>
      <c r="AC788" s="5" t="s">
        <v>244</v>
      </c>
      <c r="AD788" s="5" t="s">
        <v>245</v>
      </c>
      <c r="AT788" s="5" t="s">
        <v>246</v>
      </c>
      <c r="AU788" s="5" t="s">
        <v>238</v>
      </c>
      <c r="AV788" s="5" t="s">
        <v>247</v>
      </c>
      <c r="AW788" s="5" t="s">
        <v>238</v>
      </c>
      <c r="AX788" s="5" t="s">
        <v>249</v>
      </c>
      <c r="AY788" s="5" t="s">
        <v>238</v>
      </c>
      <c r="BA788" s="5" t="s">
        <v>238</v>
      </c>
      <c r="BC788" s="5" t="s">
        <v>250</v>
      </c>
      <c r="BD788" s="6" t="s">
        <v>243</v>
      </c>
      <c r="BE788" s="5" t="s">
        <v>251</v>
      </c>
      <c r="BF788" s="5" t="s">
        <v>252</v>
      </c>
      <c r="BG788" s="5" t="s">
        <v>238</v>
      </c>
      <c r="BH788" s="7">
        <f>0</f>
        <v>0</v>
      </c>
      <c r="BI788" s="8">
        <f>0</f>
        <v>0</v>
      </c>
      <c r="BJ788" s="5" t="s">
        <v>253</v>
      </c>
      <c r="BK788" s="5" t="s">
        <v>254</v>
      </c>
      <c r="BY788" s="5" t="s">
        <v>238</v>
      </c>
      <c r="BZ788" s="5" t="s">
        <v>238</v>
      </c>
      <c r="CD788" s="5" t="s">
        <v>273</v>
      </c>
      <c r="CE788" s="5" t="s">
        <v>256</v>
      </c>
      <c r="CF788" s="5" t="s">
        <v>238</v>
      </c>
      <c r="CI788" s="6" t="s">
        <v>257</v>
      </c>
      <c r="CJ788" s="5" t="s">
        <v>238</v>
      </c>
      <c r="CK788" s="5" t="s">
        <v>258</v>
      </c>
      <c r="CL788" s="5" t="s">
        <v>238</v>
      </c>
      <c r="CM788" s="5" t="s">
        <v>238</v>
      </c>
      <c r="CN788" s="5">
        <v>0</v>
      </c>
      <c r="CO788" s="5" t="s">
        <v>259</v>
      </c>
      <c r="CP788" s="5" t="s">
        <v>260</v>
      </c>
      <c r="CQ788" s="5" t="s">
        <v>260</v>
      </c>
      <c r="CR788" s="5" t="s">
        <v>261</v>
      </c>
      <c r="CU788" s="8">
        <f>1</f>
        <v>1</v>
      </c>
      <c r="CV788" s="8">
        <f>0</f>
        <v>0</v>
      </c>
      <c r="CX788" s="8">
        <f>0</f>
        <v>0</v>
      </c>
      <c r="CY788" s="8">
        <f>1</f>
        <v>1</v>
      </c>
      <c r="DA788" s="5" t="s">
        <v>673</v>
      </c>
      <c r="DB788" s="5" t="s">
        <v>238</v>
      </c>
      <c r="DD788" s="5" t="s">
        <v>673</v>
      </c>
      <c r="DE788" s="8">
        <f>1188</f>
        <v>1188</v>
      </c>
      <c r="DG788" s="5" t="s">
        <v>238</v>
      </c>
      <c r="DH788" s="5" t="s">
        <v>238</v>
      </c>
      <c r="DI788" s="5" t="s">
        <v>238</v>
      </c>
      <c r="DJ788" s="5" t="s">
        <v>238</v>
      </c>
      <c r="DN788" s="5" t="s">
        <v>238</v>
      </c>
      <c r="DO788" s="5" t="s">
        <v>238</v>
      </c>
      <c r="DP788" s="5" t="s">
        <v>238</v>
      </c>
      <c r="DQ788" s="5" t="s">
        <v>238</v>
      </c>
      <c r="DT788" s="5" t="s">
        <v>2039</v>
      </c>
      <c r="DU788" s="5" t="s">
        <v>1232</v>
      </c>
      <c r="HM788" s="5" t="s">
        <v>264</v>
      </c>
    </row>
    <row r="789" spans="1:221" x14ac:dyDescent="0.4">
      <c r="A789" s="5">
        <v>2464</v>
      </c>
      <c r="B789" s="5">
        <v>1</v>
      </c>
      <c r="C789" s="5">
        <v>1</v>
      </c>
      <c r="D789" s="5" t="s">
        <v>2037</v>
      </c>
      <c r="E789" s="5" t="s">
        <v>271</v>
      </c>
      <c r="F789" s="5" t="s">
        <v>248</v>
      </c>
      <c r="G789" s="5" t="s">
        <v>1969</v>
      </c>
      <c r="H789" s="6" t="s">
        <v>3417</v>
      </c>
      <c r="I789" s="7">
        <f>2400</f>
        <v>2400</v>
      </c>
      <c r="J789" s="5" t="s">
        <v>262</v>
      </c>
      <c r="K789" s="8">
        <f>1</f>
        <v>1</v>
      </c>
      <c r="L789" s="6" t="s">
        <v>242</v>
      </c>
      <c r="M789" s="5" t="s">
        <v>267</v>
      </c>
      <c r="N789" s="5" t="s">
        <v>265</v>
      </c>
      <c r="O789" s="5" t="s">
        <v>238</v>
      </c>
      <c r="P789" s="5" t="s">
        <v>238</v>
      </c>
      <c r="Q789" s="5" t="s">
        <v>268</v>
      </c>
      <c r="R789" s="5" t="s">
        <v>270</v>
      </c>
      <c r="S789" s="5" t="s">
        <v>238</v>
      </c>
      <c r="V789" s="5" t="s">
        <v>238</v>
      </c>
      <c r="X789" s="6" t="s">
        <v>238</v>
      </c>
      <c r="AA789" s="6" t="s">
        <v>243</v>
      </c>
      <c r="AB789" s="5" t="s">
        <v>238</v>
      </c>
      <c r="AC789" s="5" t="s">
        <v>244</v>
      </c>
      <c r="AD789" s="5" t="s">
        <v>245</v>
      </c>
      <c r="AT789" s="5" t="s">
        <v>246</v>
      </c>
      <c r="AU789" s="5" t="s">
        <v>238</v>
      </c>
      <c r="AV789" s="5" t="s">
        <v>247</v>
      </c>
      <c r="AW789" s="5" t="s">
        <v>238</v>
      </c>
      <c r="AX789" s="5" t="s">
        <v>249</v>
      </c>
      <c r="AY789" s="5" t="s">
        <v>238</v>
      </c>
      <c r="BA789" s="5" t="s">
        <v>238</v>
      </c>
      <c r="BC789" s="5" t="s">
        <v>250</v>
      </c>
      <c r="BD789" s="6" t="s">
        <v>243</v>
      </c>
      <c r="BE789" s="5" t="s">
        <v>251</v>
      </c>
      <c r="BF789" s="5" t="s">
        <v>252</v>
      </c>
      <c r="BG789" s="5" t="s">
        <v>238</v>
      </c>
      <c r="BH789" s="7">
        <f>0</f>
        <v>0</v>
      </c>
      <c r="BI789" s="8">
        <f>0</f>
        <v>0</v>
      </c>
      <c r="BJ789" s="5" t="s">
        <v>253</v>
      </c>
      <c r="BK789" s="5" t="s">
        <v>254</v>
      </c>
      <c r="BY789" s="5" t="s">
        <v>238</v>
      </c>
      <c r="BZ789" s="5" t="s">
        <v>238</v>
      </c>
      <c r="CD789" s="5" t="s">
        <v>273</v>
      </c>
      <c r="CE789" s="5" t="s">
        <v>256</v>
      </c>
      <c r="CF789" s="5" t="s">
        <v>238</v>
      </c>
      <c r="CI789" s="6" t="s">
        <v>257</v>
      </c>
      <c r="CJ789" s="5" t="s">
        <v>238</v>
      </c>
      <c r="CK789" s="5" t="s">
        <v>258</v>
      </c>
      <c r="CL789" s="5" t="s">
        <v>238</v>
      </c>
      <c r="CM789" s="5" t="s">
        <v>238</v>
      </c>
      <c r="CN789" s="5">
        <v>0</v>
      </c>
      <c r="CO789" s="5" t="s">
        <v>259</v>
      </c>
      <c r="CP789" s="5" t="s">
        <v>260</v>
      </c>
      <c r="CQ789" s="5" t="s">
        <v>260</v>
      </c>
      <c r="CR789" s="5" t="s">
        <v>261</v>
      </c>
      <c r="CU789" s="8">
        <f>1</f>
        <v>1</v>
      </c>
      <c r="CV789" s="8">
        <f>0</f>
        <v>0</v>
      </c>
      <c r="CX789" s="8">
        <f>0</f>
        <v>0</v>
      </c>
      <c r="CY789" s="8">
        <f>1</f>
        <v>1</v>
      </c>
      <c r="DA789" s="5" t="s">
        <v>673</v>
      </c>
      <c r="DB789" s="5" t="s">
        <v>238</v>
      </c>
      <c r="DD789" s="5" t="s">
        <v>673</v>
      </c>
      <c r="DE789" s="8">
        <f>2400</f>
        <v>2400</v>
      </c>
      <c r="DG789" s="5" t="s">
        <v>238</v>
      </c>
      <c r="DH789" s="5" t="s">
        <v>238</v>
      </c>
      <c r="DI789" s="5" t="s">
        <v>238</v>
      </c>
      <c r="DJ789" s="5" t="s">
        <v>238</v>
      </c>
      <c r="DN789" s="5" t="s">
        <v>238</v>
      </c>
      <c r="DO789" s="5" t="s">
        <v>238</v>
      </c>
      <c r="DP789" s="5" t="s">
        <v>238</v>
      </c>
      <c r="DQ789" s="5" t="s">
        <v>238</v>
      </c>
      <c r="DT789" s="5" t="s">
        <v>2039</v>
      </c>
      <c r="DU789" s="5" t="s">
        <v>1228</v>
      </c>
      <c r="HM789" s="5" t="s">
        <v>264</v>
      </c>
    </row>
    <row r="790" spans="1:221" x14ac:dyDescent="0.4">
      <c r="A790" s="5">
        <v>2465</v>
      </c>
      <c r="B790" s="5">
        <v>1</v>
      </c>
      <c r="C790" s="5">
        <v>1</v>
      </c>
      <c r="D790" s="5" t="s">
        <v>2037</v>
      </c>
      <c r="E790" s="5" t="s">
        <v>271</v>
      </c>
      <c r="F790" s="5" t="s">
        <v>248</v>
      </c>
      <c r="G790" s="5" t="s">
        <v>1969</v>
      </c>
      <c r="H790" s="6" t="s">
        <v>3416</v>
      </c>
      <c r="I790" s="7">
        <f>2693</f>
        <v>2693</v>
      </c>
      <c r="J790" s="5" t="s">
        <v>262</v>
      </c>
      <c r="K790" s="8">
        <f>1</f>
        <v>1</v>
      </c>
      <c r="L790" s="6" t="s">
        <v>242</v>
      </c>
      <c r="M790" s="5" t="s">
        <v>267</v>
      </c>
      <c r="N790" s="5" t="s">
        <v>265</v>
      </c>
      <c r="O790" s="5" t="s">
        <v>238</v>
      </c>
      <c r="P790" s="5" t="s">
        <v>238</v>
      </c>
      <c r="Q790" s="5" t="s">
        <v>268</v>
      </c>
      <c r="R790" s="5" t="s">
        <v>270</v>
      </c>
      <c r="S790" s="5" t="s">
        <v>238</v>
      </c>
      <c r="V790" s="5" t="s">
        <v>238</v>
      </c>
      <c r="X790" s="6" t="s">
        <v>238</v>
      </c>
      <c r="AA790" s="6" t="s">
        <v>243</v>
      </c>
      <c r="AB790" s="5" t="s">
        <v>238</v>
      </c>
      <c r="AC790" s="5" t="s">
        <v>244</v>
      </c>
      <c r="AD790" s="5" t="s">
        <v>245</v>
      </c>
      <c r="AT790" s="5" t="s">
        <v>246</v>
      </c>
      <c r="AU790" s="5" t="s">
        <v>238</v>
      </c>
      <c r="AV790" s="5" t="s">
        <v>247</v>
      </c>
      <c r="AW790" s="5" t="s">
        <v>238</v>
      </c>
      <c r="AX790" s="5" t="s">
        <v>249</v>
      </c>
      <c r="AY790" s="5" t="s">
        <v>238</v>
      </c>
      <c r="BA790" s="5" t="s">
        <v>238</v>
      </c>
      <c r="BC790" s="5" t="s">
        <v>250</v>
      </c>
      <c r="BD790" s="6" t="s">
        <v>243</v>
      </c>
      <c r="BE790" s="5" t="s">
        <v>251</v>
      </c>
      <c r="BF790" s="5" t="s">
        <v>252</v>
      </c>
      <c r="BG790" s="5" t="s">
        <v>238</v>
      </c>
      <c r="BH790" s="7">
        <f>0</f>
        <v>0</v>
      </c>
      <c r="BI790" s="8">
        <f>0</f>
        <v>0</v>
      </c>
      <c r="BJ790" s="5" t="s">
        <v>253</v>
      </c>
      <c r="BK790" s="5" t="s">
        <v>254</v>
      </c>
      <c r="BY790" s="5" t="s">
        <v>238</v>
      </c>
      <c r="BZ790" s="5" t="s">
        <v>238</v>
      </c>
      <c r="CD790" s="5" t="s">
        <v>273</v>
      </c>
      <c r="CE790" s="5" t="s">
        <v>256</v>
      </c>
      <c r="CF790" s="5" t="s">
        <v>238</v>
      </c>
      <c r="CI790" s="6" t="s">
        <v>257</v>
      </c>
      <c r="CJ790" s="5" t="s">
        <v>238</v>
      </c>
      <c r="CK790" s="5" t="s">
        <v>258</v>
      </c>
      <c r="CL790" s="5" t="s">
        <v>238</v>
      </c>
      <c r="CM790" s="5" t="s">
        <v>238</v>
      </c>
      <c r="CN790" s="5">
        <v>0</v>
      </c>
      <c r="CO790" s="5" t="s">
        <v>259</v>
      </c>
      <c r="CP790" s="5" t="s">
        <v>260</v>
      </c>
      <c r="CQ790" s="5" t="s">
        <v>260</v>
      </c>
      <c r="CR790" s="5" t="s">
        <v>261</v>
      </c>
      <c r="CU790" s="8">
        <f>1</f>
        <v>1</v>
      </c>
      <c r="CV790" s="8">
        <f>0</f>
        <v>0</v>
      </c>
      <c r="CX790" s="8">
        <f>0</f>
        <v>0</v>
      </c>
      <c r="CY790" s="8">
        <f>1</f>
        <v>1</v>
      </c>
      <c r="DA790" s="5" t="s">
        <v>673</v>
      </c>
      <c r="DB790" s="5" t="s">
        <v>238</v>
      </c>
      <c r="DD790" s="5" t="s">
        <v>673</v>
      </c>
      <c r="DE790" s="8">
        <f>2693</f>
        <v>2693</v>
      </c>
      <c r="DG790" s="5" t="s">
        <v>238</v>
      </c>
      <c r="DH790" s="5" t="s">
        <v>238</v>
      </c>
      <c r="DI790" s="5" t="s">
        <v>238</v>
      </c>
      <c r="DJ790" s="5" t="s">
        <v>238</v>
      </c>
      <c r="DN790" s="5" t="s">
        <v>238</v>
      </c>
      <c r="DO790" s="5" t="s">
        <v>238</v>
      </c>
      <c r="DP790" s="5" t="s">
        <v>238</v>
      </c>
      <c r="DQ790" s="5" t="s">
        <v>238</v>
      </c>
      <c r="DT790" s="5" t="s">
        <v>2039</v>
      </c>
      <c r="DU790" s="5" t="s">
        <v>1226</v>
      </c>
      <c r="HM790" s="5" t="s">
        <v>264</v>
      </c>
    </row>
    <row r="791" spans="1:221" x14ac:dyDescent="0.4">
      <c r="A791" s="5">
        <v>2466</v>
      </c>
      <c r="B791" s="5">
        <v>1</v>
      </c>
      <c r="C791" s="5">
        <v>1</v>
      </c>
      <c r="D791" s="5" t="s">
        <v>2037</v>
      </c>
      <c r="E791" s="5" t="s">
        <v>271</v>
      </c>
      <c r="F791" s="5" t="s">
        <v>248</v>
      </c>
      <c r="G791" s="5" t="s">
        <v>1969</v>
      </c>
      <c r="H791" s="6" t="s">
        <v>3415</v>
      </c>
      <c r="I791" s="7">
        <f>16929</f>
        <v>16929</v>
      </c>
      <c r="J791" s="5" t="s">
        <v>262</v>
      </c>
      <c r="K791" s="8">
        <f>1</f>
        <v>1</v>
      </c>
      <c r="L791" s="6" t="s">
        <v>242</v>
      </c>
      <c r="M791" s="5" t="s">
        <v>267</v>
      </c>
      <c r="N791" s="5" t="s">
        <v>265</v>
      </c>
      <c r="O791" s="5" t="s">
        <v>238</v>
      </c>
      <c r="P791" s="5" t="s">
        <v>238</v>
      </c>
      <c r="Q791" s="5" t="s">
        <v>268</v>
      </c>
      <c r="R791" s="5" t="s">
        <v>270</v>
      </c>
      <c r="S791" s="5" t="s">
        <v>238</v>
      </c>
      <c r="V791" s="5" t="s">
        <v>238</v>
      </c>
      <c r="X791" s="6" t="s">
        <v>238</v>
      </c>
      <c r="AA791" s="6" t="s">
        <v>243</v>
      </c>
      <c r="AB791" s="5" t="s">
        <v>238</v>
      </c>
      <c r="AC791" s="5" t="s">
        <v>244</v>
      </c>
      <c r="AD791" s="5" t="s">
        <v>245</v>
      </c>
      <c r="AT791" s="5" t="s">
        <v>246</v>
      </c>
      <c r="AU791" s="5" t="s">
        <v>238</v>
      </c>
      <c r="AV791" s="5" t="s">
        <v>247</v>
      </c>
      <c r="AW791" s="5" t="s">
        <v>238</v>
      </c>
      <c r="AX791" s="5" t="s">
        <v>249</v>
      </c>
      <c r="AY791" s="5" t="s">
        <v>238</v>
      </c>
      <c r="BA791" s="5" t="s">
        <v>238</v>
      </c>
      <c r="BC791" s="5" t="s">
        <v>250</v>
      </c>
      <c r="BD791" s="6" t="s">
        <v>243</v>
      </c>
      <c r="BE791" s="5" t="s">
        <v>251</v>
      </c>
      <c r="BF791" s="5" t="s">
        <v>252</v>
      </c>
      <c r="BG791" s="5" t="s">
        <v>238</v>
      </c>
      <c r="BH791" s="7">
        <f>0</f>
        <v>0</v>
      </c>
      <c r="BI791" s="8">
        <f>0</f>
        <v>0</v>
      </c>
      <c r="BJ791" s="5" t="s">
        <v>253</v>
      </c>
      <c r="BK791" s="5" t="s">
        <v>254</v>
      </c>
      <c r="BY791" s="5" t="s">
        <v>238</v>
      </c>
      <c r="BZ791" s="5" t="s">
        <v>238</v>
      </c>
      <c r="CD791" s="5" t="s">
        <v>273</v>
      </c>
      <c r="CE791" s="5" t="s">
        <v>256</v>
      </c>
      <c r="CF791" s="5" t="s">
        <v>238</v>
      </c>
      <c r="CI791" s="6" t="s">
        <v>257</v>
      </c>
      <c r="CJ791" s="5" t="s">
        <v>238</v>
      </c>
      <c r="CK791" s="5" t="s">
        <v>258</v>
      </c>
      <c r="CL791" s="5" t="s">
        <v>238</v>
      </c>
      <c r="CM791" s="5" t="s">
        <v>238</v>
      </c>
      <c r="CN791" s="5">
        <v>0</v>
      </c>
      <c r="CO791" s="5" t="s">
        <v>259</v>
      </c>
      <c r="CP791" s="5" t="s">
        <v>260</v>
      </c>
      <c r="CQ791" s="5" t="s">
        <v>260</v>
      </c>
      <c r="CR791" s="5" t="s">
        <v>261</v>
      </c>
      <c r="CU791" s="8">
        <f>1</f>
        <v>1</v>
      </c>
      <c r="CV791" s="8">
        <f>0</f>
        <v>0</v>
      </c>
      <c r="CX791" s="8">
        <f>0</f>
        <v>0</v>
      </c>
      <c r="CY791" s="8">
        <f>1</f>
        <v>1</v>
      </c>
      <c r="DA791" s="5" t="s">
        <v>673</v>
      </c>
      <c r="DB791" s="5" t="s">
        <v>238</v>
      </c>
      <c r="DD791" s="5" t="s">
        <v>673</v>
      </c>
      <c r="DE791" s="8">
        <f>16929</f>
        <v>16929</v>
      </c>
      <c r="DG791" s="5" t="s">
        <v>238</v>
      </c>
      <c r="DH791" s="5" t="s">
        <v>238</v>
      </c>
      <c r="DI791" s="5" t="s">
        <v>238</v>
      </c>
      <c r="DJ791" s="5" t="s">
        <v>238</v>
      </c>
      <c r="DN791" s="5" t="s">
        <v>238</v>
      </c>
      <c r="DO791" s="5" t="s">
        <v>238</v>
      </c>
      <c r="DP791" s="5" t="s">
        <v>238</v>
      </c>
      <c r="DQ791" s="5" t="s">
        <v>238</v>
      </c>
      <c r="DT791" s="5" t="s">
        <v>2039</v>
      </c>
      <c r="DU791" s="5" t="s">
        <v>1222</v>
      </c>
      <c r="HM791" s="5" t="s">
        <v>264</v>
      </c>
    </row>
    <row r="792" spans="1:221" x14ac:dyDescent="0.4">
      <c r="A792" s="5">
        <v>2467</v>
      </c>
      <c r="B792" s="5">
        <v>1</v>
      </c>
      <c r="C792" s="5">
        <v>1</v>
      </c>
      <c r="D792" s="5" t="s">
        <v>2037</v>
      </c>
      <c r="E792" s="5" t="s">
        <v>271</v>
      </c>
      <c r="F792" s="5" t="s">
        <v>248</v>
      </c>
      <c r="G792" s="5" t="s">
        <v>1969</v>
      </c>
      <c r="H792" s="6" t="s">
        <v>3414</v>
      </c>
      <c r="I792" s="7">
        <f>1225</f>
        <v>1225</v>
      </c>
      <c r="J792" s="5" t="s">
        <v>262</v>
      </c>
      <c r="K792" s="8">
        <f>1</f>
        <v>1</v>
      </c>
      <c r="L792" s="6" t="s">
        <v>242</v>
      </c>
      <c r="M792" s="5" t="s">
        <v>267</v>
      </c>
      <c r="N792" s="5" t="s">
        <v>265</v>
      </c>
      <c r="O792" s="5" t="s">
        <v>238</v>
      </c>
      <c r="P792" s="5" t="s">
        <v>238</v>
      </c>
      <c r="Q792" s="5" t="s">
        <v>268</v>
      </c>
      <c r="R792" s="5" t="s">
        <v>270</v>
      </c>
      <c r="S792" s="5" t="s">
        <v>238</v>
      </c>
      <c r="V792" s="5" t="s">
        <v>238</v>
      </c>
      <c r="X792" s="6" t="s">
        <v>238</v>
      </c>
      <c r="AA792" s="6" t="s">
        <v>243</v>
      </c>
      <c r="AB792" s="5" t="s">
        <v>238</v>
      </c>
      <c r="AC792" s="5" t="s">
        <v>244</v>
      </c>
      <c r="AD792" s="5" t="s">
        <v>245</v>
      </c>
      <c r="AT792" s="5" t="s">
        <v>246</v>
      </c>
      <c r="AU792" s="5" t="s">
        <v>238</v>
      </c>
      <c r="AV792" s="5" t="s">
        <v>247</v>
      </c>
      <c r="AW792" s="5" t="s">
        <v>238</v>
      </c>
      <c r="AX792" s="5" t="s">
        <v>249</v>
      </c>
      <c r="AY792" s="5" t="s">
        <v>238</v>
      </c>
      <c r="BA792" s="5" t="s">
        <v>238</v>
      </c>
      <c r="BC792" s="5" t="s">
        <v>250</v>
      </c>
      <c r="BD792" s="6" t="s">
        <v>243</v>
      </c>
      <c r="BE792" s="5" t="s">
        <v>251</v>
      </c>
      <c r="BF792" s="5" t="s">
        <v>252</v>
      </c>
      <c r="BG792" s="5" t="s">
        <v>238</v>
      </c>
      <c r="BH792" s="7">
        <f>0</f>
        <v>0</v>
      </c>
      <c r="BI792" s="8">
        <f>0</f>
        <v>0</v>
      </c>
      <c r="BJ792" s="5" t="s">
        <v>253</v>
      </c>
      <c r="BK792" s="5" t="s">
        <v>254</v>
      </c>
      <c r="BY792" s="5" t="s">
        <v>238</v>
      </c>
      <c r="BZ792" s="5" t="s">
        <v>238</v>
      </c>
      <c r="CD792" s="5" t="s">
        <v>273</v>
      </c>
      <c r="CE792" s="5" t="s">
        <v>256</v>
      </c>
      <c r="CF792" s="5" t="s">
        <v>238</v>
      </c>
      <c r="CI792" s="6" t="s">
        <v>257</v>
      </c>
      <c r="CJ792" s="5" t="s">
        <v>238</v>
      </c>
      <c r="CK792" s="5" t="s">
        <v>258</v>
      </c>
      <c r="CL792" s="5" t="s">
        <v>238</v>
      </c>
      <c r="CM792" s="5" t="s">
        <v>238</v>
      </c>
      <c r="CN792" s="5">
        <v>0</v>
      </c>
      <c r="CO792" s="5" t="s">
        <v>259</v>
      </c>
      <c r="CP792" s="5" t="s">
        <v>260</v>
      </c>
      <c r="CQ792" s="5" t="s">
        <v>260</v>
      </c>
      <c r="CR792" s="5" t="s">
        <v>261</v>
      </c>
      <c r="CU792" s="8">
        <f>1</f>
        <v>1</v>
      </c>
      <c r="CV792" s="8">
        <f>0</f>
        <v>0</v>
      </c>
      <c r="CX792" s="8">
        <f>0</f>
        <v>0</v>
      </c>
      <c r="CY792" s="8">
        <f>1</f>
        <v>1</v>
      </c>
      <c r="DA792" s="5" t="s">
        <v>673</v>
      </c>
      <c r="DB792" s="5" t="s">
        <v>238</v>
      </c>
      <c r="DD792" s="5" t="s">
        <v>673</v>
      </c>
      <c r="DE792" s="8">
        <f>1225</f>
        <v>1225</v>
      </c>
      <c r="DG792" s="5" t="s">
        <v>238</v>
      </c>
      <c r="DH792" s="5" t="s">
        <v>238</v>
      </c>
      <c r="DI792" s="5" t="s">
        <v>238</v>
      </c>
      <c r="DJ792" s="5" t="s">
        <v>238</v>
      </c>
      <c r="DN792" s="5" t="s">
        <v>238</v>
      </c>
      <c r="DO792" s="5" t="s">
        <v>238</v>
      </c>
      <c r="DP792" s="5" t="s">
        <v>238</v>
      </c>
      <c r="DQ792" s="5" t="s">
        <v>238</v>
      </c>
      <c r="DT792" s="5" t="s">
        <v>2039</v>
      </c>
      <c r="DU792" s="5" t="s">
        <v>1217</v>
      </c>
      <c r="HM792" s="5" t="s">
        <v>264</v>
      </c>
    </row>
    <row r="793" spans="1:221" x14ac:dyDescent="0.4">
      <c r="A793" s="5">
        <v>2468</v>
      </c>
      <c r="B793" s="5">
        <v>1</v>
      </c>
      <c r="C793" s="5">
        <v>1</v>
      </c>
      <c r="D793" s="5" t="s">
        <v>2037</v>
      </c>
      <c r="E793" s="5" t="s">
        <v>271</v>
      </c>
      <c r="F793" s="5" t="s">
        <v>248</v>
      </c>
      <c r="G793" s="5" t="s">
        <v>1969</v>
      </c>
      <c r="H793" s="6" t="s">
        <v>3413</v>
      </c>
      <c r="I793" s="7">
        <f>6054</f>
        <v>6054</v>
      </c>
      <c r="J793" s="5" t="s">
        <v>262</v>
      </c>
      <c r="K793" s="8">
        <f>1</f>
        <v>1</v>
      </c>
      <c r="L793" s="6" t="s">
        <v>242</v>
      </c>
      <c r="M793" s="5" t="s">
        <v>267</v>
      </c>
      <c r="N793" s="5" t="s">
        <v>265</v>
      </c>
      <c r="O793" s="5" t="s">
        <v>238</v>
      </c>
      <c r="P793" s="5" t="s">
        <v>238</v>
      </c>
      <c r="Q793" s="5" t="s">
        <v>268</v>
      </c>
      <c r="R793" s="5" t="s">
        <v>270</v>
      </c>
      <c r="S793" s="5" t="s">
        <v>238</v>
      </c>
      <c r="V793" s="5" t="s">
        <v>238</v>
      </c>
      <c r="X793" s="6" t="s">
        <v>238</v>
      </c>
      <c r="AA793" s="6" t="s">
        <v>243</v>
      </c>
      <c r="AB793" s="5" t="s">
        <v>238</v>
      </c>
      <c r="AC793" s="5" t="s">
        <v>244</v>
      </c>
      <c r="AD793" s="5" t="s">
        <v>245</v>
      </c>
      <c r="AT793" s="5" t="s">
        <v>246</v>
      </c>
      <c r="AU793" s="5" t="s">
        <v>238</v>
      </c>
      <c r="AV793" s="5" t="s">
        <v>247</v>
      </c>
      <c r="AW793" s="5" t="s">
        <v>238</v>
      </c>
      <c r="AX793" s="5" t="s">
        <v>249</v>
      </c>
      <c r="AY793" s="5" t="s">
        <v>238</v>
      </c>
      <c r="BA793" s="5" t="s">
        <v>238</v>
      </c>
      <c r="BC793" s="5" t="s">
        <v>250</v>
      </c>
      <c r="BD793" s="6" t="s">
        <v>243</v>
      </c>
      <c r="BE793" s="5" t="s">
        <v>251</v>
      </c>
      <c r="BF793" s="5" t="s">
        <v>252</v>
      </c>
      <c r="BG793" s="5" t="s">
        <v>238</v>
      </c>
      <c r="BH793" s="7">
        <f>0</f>
        <v>0</v>
      </c>
      <c r="BI793" s="8">
        <f>0</f>
        <v>0</v>
      </c>
      <c r="BJ793" s="5" t="s">
        <v>253</v>
      </c>
      <c r="BK793" s="5" t="s">
        <v>254</v>
      </c>
      <c r="BY793" s="5" t="s">
        <v>238</v>
      </c>
      <c r="BZ793" s="5" t="s">
        <v>238</v>
      </c>
      <c r="CD793" s="5" t="s">
        <v>273</v>
      </c>
      <c r="CE793" s="5" t="s">
        <v>256</v>
      </c>
      <c r="CF793" s="5" t="s">
        <v>238</v>
      </c>
      <c r="CI793" s="6" t="s">
        <v>257</v>
      </c>
      <c r="CJ793" s="5" t="s">
        <v>238</v>
      </c>
      <c r="CK793" s="5" t="s">
        <v>258</v>
      </c>
      <c r="CL793" s="5" t="s">
        <v>238</v>
      </c>
      <c r="CM793" s="5" t="s">
        <v>238</v>
      </c>
      <c r="CN793" s="5">
        <v>0</v>
      </c>
      <c r="CO793" s="5" t="s">
        <v>259</v>
      </c>
      <c r="CP793" s="5" t="s">
        <v>260</v>
      </c>
      <c r="CQ793" s="5" t="s">
        <v>260</v>
      </c>
      <c r="CR793" s="5" t="s">
        <v>261</v>
      </c>
      <c r="CU793" s="8">
        <f>1</f>
        <v>1</v>
      </c>
      <c r="CV793" s="8">
        <f>0</f>
        <v>0</v>
      </c>
      <c r="CX793" s="8">
        <f>0</f>
        <v>0</v>
      </c>
      <c r="CY793" s="8">
        <f>1</f>
        <v>1</v>
      </c>
      <c r="DA793" s="5" t="s">
        <v>673</v>
      </c>
      <c r="DB793" s="5" t="s">
        <v>238</v>
      </c>
      <c r="DD793" s="5" t="s">
        <v>673</v>
      </c>
      <c r="DE793" s="8">
        <f>6054</f>
        <v>6054</v>
      </c>
      <c r="DG793" s="5" t="s">
        <v>238</v>
      </c>
      <c r="DH793" s="5" t="s">
        <v>238</v>
      </c>
      <c r="DI793" s="5" t="s">
        <v>238</v>
      </c>
      <c r="DJ793" s="5" t="s">
        <v>238</v>
      </c>
      <c r="DN793" s="5" t="s">
        <v>238</v>
      </c>
      <c r="DO793" s="5" t="s">
        <v>238</v>
      </c>
      <c r="DP793" s="5" t="s">
        <v>238</v>
      </c>
      <c r="DQ793" s="5" t="s">
        <v>238</v>
      </c>
      <c r="DT793" s="5" t="s">
        <v>2039</v>
      </c>
      <c r="DU793" s="5" t="s">
        <v>1211</v>
      </c>
      <c r="HM793" s="5" t="s">
        <v>264</v>
      </c>
    </row>
    <row r="794" spans="1:221" x14ac:dyDescent="0.4">
      <c r="A794" s="5">
        <v>2469</v>
      </c>
      <c r="B794" s="5">
        <v>1</v>
      </c>
      <c r="C794" s="5">
        <v>1</v>
      </c>
      <c r="D794" s="5" t="s">
        <v>2037</v>
      </c>
      <c r="E794" s="5" t="s">
        <v>271</v>
      </c>
      <c r="F794" s="5" t="s">
        <v>248</v>
      </c>
      <c r="G794" s="5" t="s">
        <v>1969</v>
      </c>
      <c r="H794" s="6" t="s">
        <v>3412</v>
      </c>
      <c r="I794" s="7">
        <f>592</f>
        <v>592</v>
      </c>
      <c r="J794" s="5" t="s">
        <v>262</v>
      </c>
      <c r="K794" s="8">
        <f>1</f>
        <v>1</v>
      </c>
      <c r="L794" s="6" t="s">
        <v>242</v>
      </c>
      <c r="M794" s="5" t="s">
        <v>267</v>
      </c>
      <c r="N794" s="5" t="s">
        <v>265</v>
      </c>
      <c r="O794" s="5" t="s">
        <v>238</v>
      </c>
      <c r="P794" s="5" t="s">
        <v>238</v>
      </c>
      <c r="Q794" s="5" t="s">
        <v>268</v>
      </c>
      <c r="R794" s="5" t="s">
        <v>270</v>
      </c>
      <c r="S794" s="5" t="s">
        <v>238</v>
      </c>
      <c r="V794" s="5" t="s">
        <v>238</v>
      </c>
      <c r="X794" s="6" t="s">
        <v>238</v>
      </c>
      <c r="AA794" s="6" t="s">
        <v>243</v>
      </c>
      <c r="AB794" s="5" t="s">
        <v>238</v>
      </c>
      <c r="AC794" s="5" t="s">
        <v>244</v>
      </c>
      <c r="AD794" s="5" t="s">
        <v>245</v>
      </c>
      <c r="AT794" s="5" t="s">
        <v>246</v>
      </c>
      <c r="AU794" s="5" t="s">
        <v>238</v>
      </c>
      <c r="AV794" s="5" t="s">
        <v>247</v>
      </c>
      <c r="AW794" s="5" t="s">
        <v>238</v>
      </c>
      <c r="AX794" s="5" t="s">
        <v>249</v>
      </c>
      <c r="AY794" s="5" t="s">
        <v>238</v>
      </c>
      <c r="BA794" s="5" t="s">
        <v>238</v>
      </c>
      <c r="BC794" s="5" t="s">
        <v>250</v>
      </c>
      <c r="BD794" s="6" t="s">
        <v>243</v>
      </c>
      <c r="BE794" s="5" t="s">
        <v>251</v>
      </c>
      <c r="BF794" s="5" t="s">
        <v>252</v>
      </c>
      <c r="BG794" s="5" t="s">
        <v>238</v>
      </c>
      <c r="BH794" s="7">
        <f>0</f>
        <v>0</v>
      </c>
      <c r="BI794" s="8">
        <f>0</f>
        <v>0</v>
      </c>
      <c r="BJ794" s="5" t="s">
        <v>253</v>
      </c>
      <c r="BK794" s="5" t="s">
        <v>254</v>
      </c>
      <c r="BY794" s="5" t="s">
        <v>238</v>
      </c>
      <c r="BZ794" s="5" t="s">
        <v>238</v>
      </c>
      <c r="CD794" s="5" t="s">
        <v>273</v>
      </c>
      <c r="CE794" s="5" t="s">
        <v>256</v>
      </c>
      <c r="CF794" s="5" t="s">
        <v>238</v>
      </c>
      <c r="CI794" s="6" t="s">
        <v>257</v>
      </c>
      <c r="CJ794" s="5" t="s">
        <v>238</v>
      </c>
      <c r="CK794" s="5" t="s">
        <v>258</v>
      </c>
      <c r="CL794" s="5" t="s">
        <v>238</v>
      </c>
      <c r="CM794" s="5" t="s">
        <v>238</v>
      </c>
      <c r="CN794" s="5">
        <v>0</v>
      </c>
      <c r="CO794" s="5" t="s">
        <v>259</v>
      </c>
      <c r="CP794" s="5" t="s">
        <v>260</v>
      </c>
      <c r="CQ794" s="5" t="s">
        <v>260</v>
      </c>
      <c r="CR794" s="5" t="s">
        <v>261</v>
      </c>
      <c r="CU794" s="8">
        <f>1</f>
        <v>1</v>
      </c>
      <c r="CV794" s="8">
        <f>0</f>
        <v>0</v>
      </c>
      <c r="CX794" s="8">
        <f>0</f>
        <v>0</v>
      </c>
      <c r="CY794" s="8">
        <f>1</f>
        <v>1</v>
      </c>
      <c r="DA794" s="5" t="s">
        <v>673</v>
      </c>
      <c r="DB794" s="5" t="s">
        <v>238</v>
      </c>
      <c r="DD794" s="5" t="s">
        <v>673</v>
      </c>
      <c r="DE794" s="8">
        <f>592</f>
        <v>592</v>
      </c>
      <c r="DG794" s="5" t="s">
        <v>238</v>
      </c>
      <c r="DH794" s="5" t="s">
        <v>238</v>
      </c>
      <c r="DI794" s="5" t="s">
        <v>238</v>
      </c>
      <c r="DJ794" s="5" t="s">
        <v>238</v>
      </c>
      <c r="DN794" s="5" t="s">
        <v>238</v>
      </c>
      <c r="DO794" s="5" t="s">
        <v>238</v>
      </c>
      <c r="DP794" s="5" t="s">
        <v>238</v>
      </c>
      <c r="DQ794" s="5" t="s">
        <v>238</v>
      </c>
      <c r="DT794" s="5" t="s">
        <v>2039</v>
      </c>
      <c r="DU794" s="5" t="s">
        <v>1209</v>
      </c>
      <c r="HM794" s="5" t="s">
        <v>264</v>
      </c>
    </row>
    <row r="795" spans="1:221" x14ac:dyDescent="0.4">
      <c r="A795" s="5">
        <v>2470</v>
      </c>
      <c r="B795" s="5">
        <v>1</v>
      </c>
      <c r="C795" s="5">
        <v>1</v>
      </c>
      <c r="D795" s="5" t="s">
        <v>2037</v>
      </c>
      <c r="E795" s="5" t="s">
        <v>271</v>
      </c>
      <c r="F795" s="5" t="s">
        <v>248</v>
      </c>
      <c r="G795" s="5" t="s">
        <v>1969</v>
      </c>
      <c r="H795" s="6" t="s">
        <v>3178</v>
      </c>
      <c r="I795" s="7">
        <f>321</f>
        <v>321</v>
      </c>
      <c r="J795" s="5" t="s">
        <v>262</v>
      </c>
      <c r="K795" s="8">
        <f>1</f>
        <v>1</v>
      </c>
      <c r="L795" s="6" t="s">
        <v>242</v>
      </c>
      <c r="M795" s="5" t="s">
        <v>267</v>
      </c>
      <c r="N795" s="5" t="s">
        <v>265</v>
      </c>
      <c r="O795" s="5" t="s">
        <v>238</v>
      </c>
      <c r="P795" s="5" t="s">
        <v>238</v>
      </c>
      <c r="Q795" s="5" t="s">
        <v>268</v>
      </c>
      <c r="R795" s="5" t="s">
        <v>270</v>
      </c>
      <c r="S795" s="5" t="s">
        <v>238</v>
      </c>
      <c r="V795" s="5" t="s">
        <v>238</v>
      </c>
      <c r="X795" s="6" t="s">
        <v>238</v>
      </c>
      <c r="AA795" s="6" t="s">
        <v>243</v>
      </c>
      <c r="AB795" s="5" t="s">
        <v>238</v>
      </c>
      <c r="AC795" s="5" t="s">
        <v>244</v>
      </c>
      <c r="AD795" s="5" t="s">
        <v>245</v>
      </c>
      <c r="AT795" s="5" t="s">
        <v>246</v>
      </c>
      <c r="AU795" s="5" t="s">
        <v>238</v>
      </c>
      <c r="AV795" s="5" t="s">
        <v>247</v>
      </c>
      <c r="AW795" s="5" t="s">
        <v>238</v>
      </c>
      <c r="AX795" s="5" t="s">
        <v>249</v>
      </c>
      <c r="AY795" s="5" t="s">
        <v>238</v>
      </c>
      <c r="BA795" s="5" t="s">
        <v>238</v>
      </c>
      <c r="BC795" s="5" t="s">
        <v>250</v>
      </c>
      <c r="BD795" s="6" t="s">
        <v>243</v>
      </c>
      <c r="BE795" s="5" t="s">
        <v>251</v>
      </c>
      <c r="BF795" s="5" t="s">
        <v>252</v>
      </c>
      <c r="BG795" s="5" t="s">
        <v>238</v>
      </c>
      <c r="BH795" s="7">
        <f>0</f>
        <v>0</v>
      </c>
      <c r="BI795" s="8">
        <f>0</f>
        <v>0</v>
      </c>
      <c r="BJ795" s="5" t="s">
        <v>253</v>
      </c>
      <c r="BK795" s="5" t="s">
        <v>254</v>
      </c>
      <c r="BY795" s="5" t="s">
        <v>238</v>
      </c>
      <c r="BZ795" s="5" t="s">
        <v>238</v>
      </c>
      <c r="CD795" s="5" t="s">
        <v>273</v>
      </c>
      <c r="CE795" s="5" t="s">
        <v>256</v>
      </c>
      <c r="CF795" s="5" t="s">
        <v>238</v>
      </c>
      <c r="CI795" s="6" t="s">
        <v>257</v>
      </c>
      <c r="CJ795" s="5" t="s">
        <v>238</v>
      </c>
      <c r="CK795" s="5" t="s">
        <v>258</v>
      </c>
      <c r="CL795" s="5" t="s">
        <v>238</v>
      </c>
      <c r="CM795" s="5" t="s">
        <v>238</v>
      </c>
      <c r="CN795" s="5">
        <v>0</v>
      </c>
      <c r="CO795" s="5" t="s">
        <v>259</v>
      </c>
      <c r="CP795" s="5" t="s">
        <v>260</v>
      </c>
      <c r="CQ795" s="5" t="s">
        <v>260</v>
      </c>
      <c r="CR795" s="5" t="s">
        <v>261</v>
      </c>
      <c r="CU795" s="8">
        <f>1</f>
        <v>1</v>
      </c>
      <c r="CV795" s="8">
        <f>0</f>
        <v>0</v>
      </c>
      <c r="CX795" s="8">
        <f>0</f>
        <v>0</v>
      </c>
      <c r="CY795" s="8">
        <f>1</f>
        <v>1</v>
      </c>
      <c r="DA795" s="5" t="s">
        <v>673</v>
      </c>
      <c r="DB795" s="5" t="s">
        <v>238</v>
      </c>
      <c r="DD795" s="5" t="s">
        <v>673</v>
      </c>
      <c r="DE795" s="8">
        <f>321</f>
        <v>321</v>
      </c>
      <c r="DG795" s="5" t="s">
        <v>238</v>
      </c>
      <c r="DH795" s="5" t="s">
        <v>238</v>
      </c>
      <c r="DI795" s="5" t="s">
        <v>238</v>
      </c>
      <c r="DJ795" s="5" t="s">
        <v>238</v>
      </c>
      <c r="DN795" s="5" t="s">
        <v>238</v>
      </c>
      <c r="DO795" s="5" t="s">
        <v>238</v>
      </c>
      <c r="DP795" s="5" t="s">
        <v>238</v>
      </c>
      <c r="DQ795" s="5" t="s">
        <v>238</v>
      </c>
      <c r="DT795" s="5" t="s">
        <v>2039</v>
      </c>
      <c r="DU795" s="5" t="s">
        <v>1202</v>
      </c>
      <c r="HM795" s="5" t="s">
        <v>264</v>
      </c>
    </row>
    <row r="796" spans="1:221" x14ac:dyDescent="0.4">
      <c r="A796" s="5">
        <v>2471</v>
      </c>
      <c r="B796" s="5">
        <v>1</v>
      </c>
      <c r="C796" s="5">
        <v>1</v>
      </c>
      <c r="D796" s="5" t="s">
        <v>2037</v>
      </c>
      <c r="E796" s="5" t="s">
        <v>271</v>
      </c>
      <c r="F796" s="5" t="s">
        <v>248</v>
      </c>
      <c r="G796" s="5" t="s">
        <v>1969</v>
      </c>
      <c r="H796" s="6" t="s">
        <v>3209</v>
      </c>
      <c r="I796" s="7">
        <f>350</f>
        <v>350</v>
      </c>
      <c r="J796" s="5" t="s">
        <v>262</v>
      </c>
      <c r="K796" s="8">
        <f>1</f>
        <v>1</v>
      </c>
      <c r="L796" s="6" t="s">
        <v>242</v>
      </c>
      <c r="M796" s="5" t="s">
        <v>267</v>
      </c>
      <c r="N796" s="5" t="s">
        <v>265</v>
      </c>
      <c r="O796" s="5" t="s">
        <v>238</v>
      </c>
      <c r="P796" s="5" t="s">
        <v>238</v>
      </c>
      <c r="Q796" s="5" t="s">
        <v>268</v>
      </c>
      <c r="R796" s="5" t="s">
        <v>270</v>
      </c>
      <c r="S796" s="5" t="s">
        <v>238</v>
      </c>
      <c r="V796" s="5" t="s">
        <v>238</v>
      </c>
      <c r="X796" s="6" t="s">
        <v>238</v>
      </c>
      <c r="AA796" s="6" t="s">
        <v>243</v>
      </c>
      <c r="AB796" s="5" t="s">
        <v>238</v>
      </c>
      <c r="AC796" s="5" t="s">
        <v>244</v>
      </c>
      <c r="AD796" s="5" t="s">
        <v>245</v>
      </c>
      <c r="AT796" s="5" t="s">
        <v>246</v>
      </c>
      <c r="AU796" s="5" t="s">
        <v>238</v>
      </c>
      <c r="AV796" s="5" t="s">
        <v>247</v>
      </c>
      <c r="AW796" s="5" t="s">
        <v>238</v>
      </c>
      <c r="AX796" s="5" t="s">
        <v>249</v>
      </c>
      <c r="AY796" s="5" t="s">
        <v>238</v>
      </c>
      <c r="BA796" s="5" t="s">
        <v>238</v>
      </c>
      <c r="BC796" s="5" t="s">
        <v>250</v>
      </c>
      <c r="BD796" s="6" t="s">
        <v>243</v>
      </c>
      <c r="BE796" s="5" t="s">
        <v>251</v>
      </c>
      <c r="BF796" s="5" t="s">
        <v>252</v>
      </c>
      <c r="BG796" s="5" t="s">
        <v>238</v>
      </c>
      <c r="BH796" s="7">
        <f>0</f>
        <v>0</v>
      </c>
      <c r="BI796" s="8">
        <f>0</f>
        <v>0</v>
      </c>
      <c r="BJ796" s="5" t="s">
        <v>253</v>
      </c>
      <c r="BK796" s="5" t="s">
        <v>254</v>
      </c>
      <c r="BY796" s="5" t="s">
        <v>238</v>
      </c>
      <c r="BZ796" s="5" t="s">
        <v>238</v>
      </c>
      <c r="CD796" s="5" t="s">
        <v>273</v>
      </c>
      <c r="CE796" s="5" t="s">
        <v>256</v>
      </c>
      <c r="CF796" s="5" t="s">
        <v>238</v>
      </c>
      <c r="CI796" s="6" t="s">
        <v>257</v>
      </c>
      <c r="CJ796" s="5" t="s">
        <v>238</v>
      </c>
      <c r="CK796" s="5" t="s">
        <v>258</v>
      </c>
      <c r="CL796" s="5" t="s">
        <v>238</v>
      </c>
      <c r="CM796" s="5" t="s">
        <v>238</v>
      </c>
      <c r="CN796" s="5">
        <v>0</v>
      </c>
      <c r="CO796" s="5" t="s">
        <v>259</v>
      </c>
      <c r="CP796" s="5" t="s">
        <v>260</v>
      </c>
      <c r="CQ796" s="5" t="s">
        <v>260</v>
      </c>
      <c r="CR796" s="5" t="s">
        <v>261</v>
      </c>
      <c r="CU796" s="8">
        <f>1</f>
        <v>1</v>
      </c>
      <c r="CV796" s="8">
        <f>0</f>
        <v>0</v>
      </c>
      <c r="CX796" s="8">
        <f>0</f>
        <v>0</v>
      </c>
      <c r="CY796" s="8">
        <f>1</f>
        <v>1</v>
      </c>
      <c r="DA796" s="5" t="s">
        <v>673</v>
      </c>
      <c r="DB796" s="5" t="s">
        <v>238</v>
      </c>
      <c r="DD796" s="5" t="s">
        <v>673</v>
      </c>
      <c r="DE796" s="8">
        <f>350</f>
        <v>350</v>
      </c>
      <c r="DG796" s="5" t="s">
        <v>238</v>
      </c>
      <c r="DH796" s="5" t="s">
        <v>238</v>
      </c>
      <c r="DI796" s="5" t="s">
        <v>238</v>
      </c>
      <c r="DJ796" s="5" t="s">
        <v>238</v>
      </c>
      <c r="DN796" s="5" t="s">
        <v>238</v>
      </c>
      <c r="DO796" s="5" t="s">
        <v>238</v>
      </c>
      <c r="DP796" s="5" t="s">
        <v>238</v>
      </c>
      <c r="DQ796" s="5" t="s">
        <v>238</v>
      </c>
      <c r="DT796" s="5" t="s">
        <v>2039</v>
      </c>
      <c r="DU796" s="5" t="s">
        <v>984</v>
      </c>
      <c r="HM796" s="5" t="s">
        <v>264</v>
      </c>
    </row>
    <row r="797" spans="1:221" x14ac:dyDescent="0.4">
      <c r="A797" s="5">
        <v>2472</v>
      </c>
      <c r="B797" s="5">
        <v>1</v>
      </c>
      <c r="C797" s="5">
        <v>1</v>
      </c>
      <c r="D797" s="5" t="s">
        <v>2037</v>
      </c>
      <c r="E797" s="5" t="s">
        <v>271</v>
      </c>
      <c r="F797" s="5" t="s">
        <v>248</v>
      </c>
      <c r="G797" s="5" t="s">
        <v>1969</v>
      </c>
      <c r="H797" s="6" t="s">
        <v>3217</v>
      </c>
      <c r="I797" s="7">
        <f>1245</f>
        <v>1245</v>
      </c>
      <c r="J797" s="5" t="s">
        <v>262</v>
      </c>
      <c r="K797" s="8">
        <f>1</f>
        <v>1</v>
      </c>
      <c r="L797" s="6" t="s">
        <v>242</v>
      </c>
      <c r="M797" s="5" t="s">
        <v>267</v>
      </c>
      <c r="N797" s="5" t="s">
        <v>265</v>
      </c>
      <c r="O797" s="5" t="s">
        <v>238</v>
      </c>
      <c r="P797" s="5" t="s">
        <v>238</v>
      </c>
      <c r="Q797" s="5" t="s">
        <v>268</v>
      </c>
      <c r="R797" s="5" t="s">
        <v>270</v>
      </c>
      <c r="S797" s="5" t="s">
        <v>238</v>
      </c>
      <c r="V797" s="5" t="s">
        <v>238</v>
      </c>
      <c r="X797" s="6" t="s">
        <v>238</v>
      </c>
      <c r="AA797" s="6" t="s">
        <v>243</v>
      </c>
      <c r="AB797" s="5" t="s">
        <v>238</v>
      </c>
      <c r="AC797" s="5" t="s">
        <v>244</v>
      </c>
      <c r="AD797" s="5" t="s">
        <v>245</v>
      </c>
      <c r="AT797" s="5" t="s">
        <v>246</v>
      </c>
      <c r="AU797" s="5" t="s">
        <v>238</v>
      </c>
      <c r="AV797" s="5" t="s">
        <v>247</v>
      </c>
      <c r="AW797" s="5" t="s">
        <v>238</v>
      </c>
      <c r="AX797" s="5" t="s">
        <v>249</v>
      </c>
      <c r="AY797" s="5" t="s">
        <v>238</v>
      </c>
      <c r="BA797" s="5" t="s">
        <v>238</v>
      </c>
      <c r="BC797" s="5" t="s">
        <v>250</v>
      </c>
      <c r="BD797" s="6" t="s">
        <v>243</v>
      </c>
      <c r="BE797" s="5" t="s">
        <v>251</v>
      </c>
      <c r="BF797" s="5" t="s">
        <v>252</v>
      </c>
      <c r="BG797" s="5" t="s">
        <v>238</v>
      </c>
      <c r="BH797" s="7">
        <f>0</f>
        <v>0</v>
      </c>
      <c r="BI797" s="8">
        <f>0</f>
        <v>0</v>
      </c>
      <c r="BJ797" s="5" t="s">
        <v>253</v>
      </c>
      <c r="BK797" s="5" t="s">
        <v>254</v>
      </c>
      <c r="BY797" s="5" t="s">
        <v>238</v>
      </c>
      <c r="BZ797" s="5" t="s">
        <v>238</v>
      </c>
      <c r="CD797" s="5" t="s">
        <v>273</v>
      </c>
      <c r="CE797" s="5" t="s">
        <v>256</v>
      </c>
      <c r="CF797" s="5" t="s">
        <v>238</v>
      </c>
      <c r="CI797" s="6" t="s">
        <v>257</v>
      </c>
      <c r="CJ797" s="5" t="s">
        <v>238</v>
      </c>
      <c r="CK797" s="5" t="s">
        <v>258</v>
      </c>
      <c r="CL797" s="5" t="s">
        <v>238</v>
      </c>
      <c r="CM797" s="5" t="s">
        <v>238</v>
      </c>
      <c r="CN797" s="5">
        <v>0</v>
      </c>
      <c r="CO797" s="5" t="s">
        <v>259</v>
      </c>
      <c r="CP797" s="5" t="s">
        <v>260</v>
      </c>
      <c r="CQ797" s="5" t="s">
        <v>260</v>
      </c>
      <c r="CR797" s="5" t="s">
        <v>261</v>
      </c>
      <c r="CU797" s="8">
        <f>1</f>
        <v>1</v>
      </c>
      <c r="CV797" s="8">
        <f>0</f>
        <v>0</v>
      </c>
      <c r="CX797" s="8">
        <f>0</f>
        <v>0</v>
      </c>
      <c r="CY797" s="8">
        <f>1</f>
        <v>1</v>
      </c>
      <c r="DA797" s="5" t="s">
        <v>673</v>
      </c>
      <c r="DB797" s="5" t="s">
        <v>238</v>
      </c>
      <c r="DD797" s="5" t="s">
        <v>673</v>
      </c>
      <c r="DE797" s="8">
        <f>1245</f>
        <v>1245</v>
      </c>
      <c r="DG797" s="5" t="s">
        <v>238</v>
      </c>
      <c r="DH797" s="5" t="s">
        <v>238</v>
      </c>
      <c r="DI797" s="5" t="s">
        <v>238</v>
      </c>
      <c r="DJ797" s="5" t="s">
        <v>238</v>
      </c>
      <c r="DN797" s="5" t="s">
        <v>238</v>
      </c>
      <c r="DO797" s="5" t="s">
        <v>238</v>
      </c>
      <c r="DP797" s="5" t="s">
        <v>238</v>
      </c>
      <c r="DQ797" s="5" t="s">
        <v>238</v>
      </c>
      <c r="DT797" s="5" t="s">
        <v>2039</v>
      </c>
      <c r="DU797" s="5" t="s">
        <v>952</v>
      </c>
      <c r="HM797" s="5" t="s">
        <v>264</v>
      </c>
    </row>
    <row r="798" spans="1:221" x14ac:dyDescent="0.4">
      <c r="A798" s="5">
        <v>2473</v>
      </c>
      <c r="B798" s="5">
        <v>1</v>
      </c>
      <c r="C798" s="5">
        <v>1</v>
      </c>
      <c r="D798" s="5" t="s">
        <v>2037</v>
      </c>
      <c r="E798" s="5" t="s">
        <v>271</v>
      </c>
      <c r="F798" s="5" t="s">
        <v>248</v>
      </c>
      <c r="G798" s="5" t="s">
        <v>1969</v>
      </c>
      <c r="H798" s="6" t="s">
        <v>3238</v>
      </c>
      <c r="I798" s="7">
        <f>886</f>
        <v>886</v>
      </c>
      <c r="J798" s="5" t="s">
        <v>262</v>
      </c>
      <c r="K798" s="8">
        <f>1</f>
        <v>1</v>
      </c>
      <c r="L798" s="6" t="s">
        <v>242</v>
      </c>
      <c r="M798" s="5" t="s">
        <v>267</v>
      </c>
      <c r="N798" s="5" t="s">
        <v>265</v>
      </c>
      <c r="O798" s="5" t="s">
        <v>238</v>
      </c>
      <c r="P798" s="5" t="s">
        <v>238</v>
      </c>
      <c r="Q798" s="5" t="s">
        <v>268</v>
      </c>
      <c r="R798" s="5" t="s">
        <v>270</v>
      </c>
      <c r="S798" s="5" t="s">
        <v>238</v>
      </c>
      <c r="V798" s="5" t="s">
        <v>238</v>
      </c>
      <c r="X798" s="6" t="s">
        <v>238</v>
      </c>
      <c r="AA798" s="6" t="s">
        <v>243</v>
      </c>
      <c r="AB798" s="5" t="s">
        <v>238</v>
      </c>
      <c r="AC798" s="5" t="s">
        <v>244</v>
      </c>
      <c r="AD798" s="5" t="s">
        <v>245</v>
      </c>
      <c r="AT798" s="5" t="s">
        <v>246</v>
      </c>
      <c r="AU798" s="5" t="s">
        <v>238</v>
      </c>
      <c r="AV798" s="5" t="s">
        <v>247</v>
      </c>
      <c r="AW798" s="5" t="s">
        <v>238</v>
      </c>
      <c r="AX798" s="5" t="s">
        <v>249</v>
      </c>
      <c r="AY798" s="5" t="s">
        <v>238</v>
      </c>
      <c r="BA798" s="5" t="s">
        <v>238</v>
      </c>
      <c r="BC798" s="5" t="s">
        <v>250</v>
      </c>
      <c r="BD798" s="6" t="s">
        <v>243</v>
      </c>
      <c r="BE798" s="5" t="s">
        <v>251</v>
      </c>
      <c r="BF798" s="5" t="s">
        <v>252</v>
      </c>
      <c r="BG798" s="5" t="s">
        <v>238</v>
      </c>
      <c r="BH798" s="7">
        <f>0</f>
        <v>0</v>
      </c>
      <c r="BI798" s="8">
        <f>0</f>
        <v>0</v>
      </c>
      <c r="BJ798" s="5" t="s">
        <v>253</v>
      </c>
      <c r="BK798" s="5" t="s">
        <v>254</v>
      </c>
      <c r="BY798" s="5" t="s">
        <v>238</v>
      </c>
      <c r="BZ798" s="5" t="s">
        <v>238</v>
      </c>
      <c r="CD798" s="5" t="s">
        <v>273</v>
      </c>
      <c r="CE798" s="5" t="s">
        <v>256</v>
      </c>
      <c r="CF798" s="5" t="s">
        <v>238</v>
      </c>
      <c r="CI798" s="6" t="s">
        <v>257</v>
      </c>
      <c r="CJ798" s="5" t="s">
        <v>238</v>
      </c>
      <c r="CK798" s="5" t="s">
        <v>258</v>
      </c>
      <c r="CL798" s="5" t="s">
        <v>238</v>
      </c>
      <c r="CM798" s="5" t="s">
        <v>238</v>
      </c>
      <c r="CN798" s="5">
        <v>0</v>
      </c>
      <c r="CO798" s="5" t="s">
        <v>259</v>
      </c>
      <c r="CP798" s="5" t="s">
        <v>260</v>
      </c>
      <c r="CQ798" s="5" t="s">
        <v>260</v>
      </c>
      <c r="CR798" s="5" t="s">
        <v>261</v>
      </c>
      <c r="CU798" s="8">
        <f>1</f>
        <v>1</v>
      </c>
      <c r="CV798" s="8">
        <f>0</f>
        <v>0</v>
      </c>
      <c r="CX798" s="8">
        <f>0</f>
        <v>0</v>
      </c>
      <c r="CY798" s="8">
        <f>1</f>
        <v>1</v>
      </c>
      <c r="DA798" s="5" t="s">
        <v>673</v>
      </c>
      <c r="DB798" s="5" t="s">
        <v>238</v>
      </c>
      <c r="DD798" s="5" t="s">
        <v>673</v>
      </c>
      <c r="DE798" s="8">
        <f>886</f>
        <v>886</v>
      </c>
      <c r="DG798" s="5" t="s">
        <v>238</v>
      </c>
      <c r="DH798" s="5" t="s">
        <v>238</v>
      </c>
      <c r="DI798" s="5" t="s">
        <v>238</v>
      </c>
      <c r="DJ798" s="5" t="s">
        <v>238</v>
      </c>
      <c r="DN798" s="5" t="s">
        <v>238</v>
      </c>
      <c r="DO798" s="5" t="s">
        <v>238</v>
      </c>
      <c r="DP798" s="5" t="s">
        <v>238</v>
      </c>
      <c r="DQ798" s="5" t="s">
        <v>238</v>
      </c>
      <c r="DT798" s="5" t="s">
        <v>2039</v>
      </c>
      <c r="DU798" s="5" t="s">
        <v>1192</v>
      </c>
      <c r="HM798" s="5" t="s">
        <v>264</v>
      </c>
    </row>
    <row r="799" spans="1:221" x14ac:dyDescent="0.4">
      <c r="A799" s="5">
        <v>2474</v>
      </c>
      <c r="B799" s="5">
        <v>1</v>
      </c>
      <c r="C799" s="5">
        <v>1</v>
      </c>
      <c r="D799" s="5" t="s">
        <v>2037</v>
      </c>
      <c r="E799" s="5" t="s">
        <v>271</v>
      </c>
      <c r="F799" s="5" t="s">
        <v>248</v>
      </c>
      <c r="G799" s="5" t="s">
        <v>1969</v>
      </c>
      <c r="H799" s="6" t="s">
        <v>3528</v>
      </c>
      <c r="I799" s="7">
        <f>410</f>
        <v>410</v>
      </c>
      <c r="J799" s="5" t="s">
        <v>262</v>
      </c>
      <c r="K799" s="8">
        <f>1</f>
        <v>1</v>
      </c>
      <c r="L799" s="6" t="s">
        <v>242</v>
      </c>
      <c r="M799" s="5" t="s">
        <v>267</v>
      </c>
      <c r="N799" s="5" t="s">
        <v>265</v>
      </c>
      <c r="O799" s="5" t="s">
        <v>238</v>
      </c>
      <c r="P799" s="5" t="s">
        <v>238</v>
      </c>
      <c r="Q799" s="5" t="s">
        <v>268</v>
      </c>
      <c r="R799" s="5" t="s">
        <v>270</v>
      </c>
      <c r="S799" s="5" t="s">
        <v>238</v>
      </c>
      <c r="V799" s="5" t="s">
        <v>238</v>
      </c>
      <c r="X799" s="6" t="s">
        <v>238</v>
      </c>
      <c r="AA799" s="6" t="s">
        <v>243</v>
      </c>
      <c r="AB799" s="5" t="s">
        <v>238</v>
      </c>
      <c r="AC799" s="5" t="s">
        <v>244</v>
      </c>
      <c r="AD799" s="5" t="s">
        <v>245</v>
      </c>
      <c r="AT799" s="5" t="s">
        <v>246</v>
      </c>
      <c r="AU799" s="5" t="s">
        <v>238</v>
      </c>
      <c r="AV799" s="5" t="s">
        <v>247</v>
      </c>
      <c r="AW799" s="5" t="s">
        <v>238</v>
      </c>
      <c r="AX799" s="5" t="s">
        <v>249</v>
      </c>
      <c r="AY799" s="5" t="s">
        <v>238</v>
      </c>
      <c r="BA799" s="5" t="s">
        <v>238</v>
      </c>
      <c r="BC799" s="5" t="s">
        <v>250</v>
      </c>
      <c r="BD799" s="6" t="s">
        <v>243</v>
      </c>
      <c r="BE799" s="5" t="s">
        <v>251</v>
      </c>
      <c r="BF799" s="5" t="s">
        <v>252</v>
      </c>
      <c r="BG799" s="5" t="s">
        <v>238</v>
      </c>
      <c r="BH799" s="7">
        <f>0</f>
        <v>0</v>
      </c>
      <c r="BI799" s="8">
        <f>0</f>
        <v>0</v>
      </c>
      <c r="BJ799" s="5" t="s">
        <v>253</v>
      </c>
      <c r="BK799" s="5" t="s">
        <v>254</v>
      </c>
      <c r="BY799" s="5" t="s">
        <v>238</v>
      </c>
      <c r="BZ799" s="5" t="s">
        <v>238</v>
      </c>
      <c r="CD799" s="5" t="s">
        <v>273</v>
      </c>
      <c r="CE799" s="5" t="s">
        <v>256</v>
      </c>
      <c r="CF799" s="5" t="s">
        <v>238</v>
      </c>
      <c r="CI799" s="6" t="s">
        <v>257</v>
      </c>
      <c r="CJ799" s="5" t="s">
        <v>238</v>
      </c>
      <c r="CK799" s="5" t="s">
        <v>258</v>
      </c>
      <c r="CL799" s="5" t="s">
        <v>238</v>
      </c>
      <c r="CM799" s="5" t="s">
        <v>238</v>
      </c>
      <c r="CN799" s="5">
        <v>0</v>
      </c>
      <c r="CO799" s="5" t="s">
        <v>259</v>
      </c>
      <c r="CP799" s="5" t="s">
        <v>260</v>
      </c>
      <c r="CQ799" s="5" t="s">
        <v>260</v>
      </c>
      <c r="CR799" s="5" t="s">
        <v>261</v>
      </c>
      <c r="CU799" s="8">
        <f>1</f>
        <v>1</v>
      </c>
      <c r="CV799" s="8">
        <f>0</f>
        <v>0</v>
      </c>
      <c r="CX799" s="8">
        <f>0</f>
        <v>0</v>
      </c>
      <c r="CY799" s="8">
        <f>1</f>
        <v>1</v>
      </c>
      <c r="DA799" s="5" t="s">
        <v>673</v>
      </c>
      <c r="DB799" s="5" t="s">
        <v>238</v>
      </c>
      <c r="DD799" s="5" t="s">
        <v>673</v>
      </c>
      <c r="DE799" s="8">
        <f>410</f>
        <v>410</v>
      </c>
      <c r="DG799" s="5" t="s">
        <v>238</v>
      </c>
      <c r="DH799" s="5" t="s">
        <v>238</v>
      </c>
      <c r="DI799" s="5" t="s">
        <v>238</v>
      </c>
      <c r="DJ799" s="5" t="s">
        <v>238</v>
      </c>
      <c r="DN799" s="5" t="s">
        <v>238</v>
      </c>
      <c r="DO799" s="5" t="s">
        <v>238</v>
      </c>
      <c r="DP799" s="5" t="s">
        <v>238</v>
      </c>
      <c r="DQ799" s="5" t="s">
        <v>238</v>
      </c>
      <c r="DT799" s="5" t="s">
        <v>2039</v>
      </c>
      <c r="DU799" s="5" t="s">
        <v>890</v>
      </c>
      <c r="HM799" s="5" t="s">
        <v>264</v>
      </c>
    </row>
    <row r="800" spans="1:221" x14ac:dyDescent="0.4">
      <c r="A800" s="5">
        <v>2475</v>
      </c>
      <c r="B800" s="5">
        <v>1</v>
      </c>
      <c r="C800" s="5">
        <v>1</v>
      </c>
      <c r="D800" s="5" t="s">
        <v>2037</v>
      </c>
      <c r="E800" s="5" t="s">
        <v>271</v>
      </c>
      <c r="F800" s="5" t="s">
        <v>248</v>
      </c>
      <c r="G800" s="5" t="s">
        <v>1969</v>
      </c>
      <c r="H800" s="6" t="s">
        <v>3533</v>
      </c>
      <c r="I800" s="7">
        <f>2744</f>
        <v>2744</v>
      </c>
      <c r="J800" s="5" t="s">
        <v>262</v>
      </c>
      <c r="K800" s="8">
        <f>1</f>
        <v>1</v>
      </c>
      <c r="L800" s="6" t="s">
        <v>242</v>
      </c>
      <c r="M800" s="5" t="s">
        <v>267</v>
      </c>
      <c r="N800" s="5" t="s">
        <v>265</v>
      </c>
      <c r="O800" s="5" t="s">
        <v>238</v>
      </c>
      <c r="P800" s="5" t="s">
        <v>238</v>
      </c>
      <c r="Q800" s="5" t="s">
        <v>268</v>
      </c>
      <c r="R800" s="5" t="s">
        <v>270</v>
      </c>
      <c r="S800" s="5" t="s">
        <v>238</v>
      </c>
      <c r="V800" s="5" t="s">
        <v>238</v>
      </c>
      <c r="X800" s="6" t="s">
        <v>238</v>
      </c>
      <c r="AA800" s="6" t="s">
        <v>243</v>
      </c>
      <c r="AB800" s="5" t="s">
        <v>238</v>
      </c>
      <c r="AC800" s="5" t="s">
        <v>244</v>
      </c>
      <c r="AD800" s="5" t="s">
        <v>245</v>
      </c>
      <c r="AT800" s="5" t="s">
        <v>246</v>
      </c>
      <c r="AU800" s="5" t="s">
        <v>238</v>
      </c>
      <c r="AV800" s="5" t="s">
        <v>247</v>
      </c>
      <c r="AW800" s="5" t="s">
        <v>238</v>
      </c>
      <c r="AX800" s="5" t="s">
        <v>249</v>
      </c>
      <c r="AY800" s="5" t="s">
        <v>238</v>
      </c>
      <c r="BA800" s="5" t="s">
        <v>238</v>
      </c>
      <c r="BC800" s="5" t="s">
        <v>250</v>
      </c>
      <c r="BD800" s="6" t="s">
        <v>243</v>
      </c>
      <c r="BE800" s="5" t="s">
        <v>251</v>
      </c>
      <c r="BF800" s="5" t="s">
        <v>252</v>
      </c>
      <c r="BG800" s="5" t="s">
        <v>238</v>
      </c>
      <c r="BH800" s="7">
        <f>0</f>
        <v>0</v>
      </c>
      <c r="BI800" s="8">
        <f>0</f>
        <v>0</v>
      </c>
      <c r="BJ800" s="5" t="s">
        <v>253</v>
      </c>
      <c r="BK800" s="5" t="s">
        <v>254</v>
      </c>
      <c r="BY800" s="5" t="s">
        <v>238</v>
      </c>
      <c r="BZ800" s="5" t="s">
        <v>238</v>
      </c>
      <c r="CD800" s="5" t="s">
        <v>273</v>
      </c>
      <c r="CE800" s="5" t="s">
        <v>256</v>
      </c>
      <c r="CF800" s="5" t="s">
        <v>238</v>
      </c>
      <c r="CI800" s="6" t="s">
        <v>257</v>
      </c>
      <c r="CJ800" s="5" t="s">
        <v>238</v>
      </c>
      <c r="CK800" s="5" t="s">
        <v>258</v>
      </c>
      <c r="CL800" s="5" t="s">
        <v>238</v>
      </c>
      <c r="CM800" s="5" t="s">
        <v>238</v>
      </c>
      <c r="CN800" s="5">
        <v>0</v>
      </c>
      <c r="CO800" s="5" t="s">
        <v>259</v>
      </c>
      <c r="CP800" s="5" t="s">
        <v>260</v>
      </c>
      <c r="CQ800" s="5" t="s">
        <v>260</v>
      </c>
      <c r="CR800" s="5" t="s">
        <v>261</v>
      </c>
      <c r="CU800" s="8">
        <f>1</f>
        <v>1</v>
      </c>
      <c r="CV800" s="8">
        <f>0</f>
        <v>0</v>
      </c>
      <c r="CX800" s="8">
        <f>0</f>
        <v>0</v>
      </c>
      <c r="CY800" s="8">
        <f>1</f>
        <v>1</v>
      </c>
      <c r="DA800" s="5" t="s">
        <v>673</v>
      </c>
      <c r="DB800" s="5" t="s">
        <v>238</v>
      </c>
      <c r="DD800" s="5" t="s">
        <v>673</v>
      </c>
      <c r="DE800" s="8">
        <f>2744</f>
        <v>2744</v>
      </c>
      <c r="DG800" s="5" t="s">
        <v>238</v>
      </c>
      <c r="DH800" s="5" t="s">
        <v>238</v>
      </c>
      <c r="DI800" s="5" t="s">
        <v>238</v>
      </c>
      <c r="DJ800" s="5" t="s">
        <v>238</v>
      </c>
      <c r="DN800" s="5" t="s">
        <v>238</v>
      </c>
      <c r="DO800" s="5" t="s">
        <v>238</v>
      </c>
      <c r="DP800" s="5" t="s">
        <v>238</v>
      </c>
      <c r="DQ800" s="5" t="s">
        <v>238</v>
      </c>
      <c r="DT800" s="5" t="s">
        <v>2039</v>
      </c>
      <c r="DU800" s="5" t="s">
        <v>839</v>
      </c>
      <c r="HM800" s="5" t="s">
        <v>264</v>
      </c>
    </row>
    <row r="801" spans="1:221" x14ac:dyDescent="0.4">
      <c r="A801" s="5">
        <v>2476</v>
      </c>
      <c r="B801" s="5">
        <v>1</v>
      </c>
      <c r="C801" s="5">
        <v>1</v>
      </c>
      <c r="D801" s="5" t="s">
        <v>2037</v>
      </c>
      <c r="E801" s="5" t="s">
        <v>271</v>
      </c>
      <c r="F801" s="5" t="s">
        <v>248</v>
      </c>
      <c r="G801" s="5" t="s">
        <v>1969</v>
      </c>
      <c r="H801" s="6" t="s">
        <v>3534</v>
      </c>
      <c r="I801" s="7">
        <f>14725</f>
        <v>14725</v>
      </c>
      <c r="J801" s="5" t="s">
        <v>262</v>
      </c>
      <c r="K801" s="8">
        <f>1</f>
        <v>1</v>
      </c>
      <c r="L801" s="6" t="s">
        <v>242</v>
      </c>
      <c r="M801" s="5" t="s">
        <v>267</v>
      </c>
      <c r="N801" s="5" t="s">
        <v>265</v>
      </c>
      <c r="O801" s="5" t="s">
        <v>238</v>
      </c>
      <c r="P801" s="5" t="s">
        <v>238</v>
      </c>
      <c r="Q801" s="5" t="s">
        <v>268</v>
      </c>
      <c r="R801" s="5" t="s">
        <v>270</v>
      </c>
      <c r="S801" s="5" t="s">
        <v>238</v>
      </c>
      <c r="V801" s="5" t="s">
        <v>238</v>
      </c>
      <c r="X801" s="6" t="s">
        <v>238</v>
      </c>
      <c r="AA801" s="6" t="s">
        <v>243</v>
      </c>
      <c r="AB801" s="5" t="s">
        <v>238</v>
      </c>
      <c r="AC801" s="5" t="s">
        <v>244</v>
      </c>
      <c r="AD801" s="5" t="s">
        <v>245</v>
      </c>
      <c r="AT801" s="5" t="s">
        <v>246</v>
      </c>
      <c r="AU801" s="5" t="s">
        <v>238</v>
      </c>
      <c r="AV801" s="5" t="s">
        <v>247</v>
      </c>
      <c r="AW801" s="5" t="s">
        <v>238</v>
      </c>
      <c r="AX801" s="5" t="s">
        <v>249</v>
      </c>
      <c r="AY801" s="5" t="s">
        <v>238</v>
      </c>
      <c r="BA801" s="5" t="s">
        <v>238</v>
      </c>
      <c r="BC801" s="5" t="s">
        <v>250</v>
      </c>
      <c r="BD801" s="6" t="s">
        <v>243</v>
      </c>
      <c r="BE801" s="5" t="s">
        <v>251</v>
      </c>
      <c r="BF801" s="5" t="s">
        <v>252</v>
      </c>
      <c r="BG801" s="5" t="s">
        <v>238</v>
      </c>
      <c r="BH801" s="7">
        <f>0</f>
        <v>0</v>
      </c>
      <c r="BI801" s="8">
        <f>0</f>
        <v>0</v>
      </c>
      <c r="BJ801" s="5" t="s">
        <v>253</v>
      </c>
      <c r="BK801" s="5" t="s">
        <v>254</v>
      </c>
      <c r="BY801" s="5" t="s">
        <v>238</v>
      </c>
      <c r="BZ801" s="5" t="s">
        <v>238</v>
      </c>
      <c r="CD801" s="5" t="s">
        <v>273</v>
      </c>
      <c r="CE801" s="5" t="s">
        <v>256</v>
      </c>
      <c r="CF801" s="5" t="s">
        <v>238</v>
      </c>
      <c r="CI801" s="6" t="s">
        <v>257</v>
      </c>
      <c r="CJ801" s="5" t="s">
        <v>238</v>
      </c>
      <c r="CK801" s="5" t="s">
        <v>258</v>
      </c>
      <c r="CL801" s="5" t="s">
        <v>238</v>
      </c>
      <c r="CM801" s="5" t="s">
        <v>238</v>
      </c>
      <c r="CN801" s="5">
        <v>0</v>
      </c>
      <c r="CO801" s="5" t="s">
        <v>259</v>
      </c>
      <c r="CP801" s="5" t="s">
        <v>260</v>
      </c>
      <c r="CQ801" s="5" t="s">
        <v>260</v>
      </c>
      <c r="CR801" s="5" t="s">
        <v>261</v>
      </c>
      <c r="CU801" s="8">
        <f>1</f>
        <v>1</v>
      </c>
      <c r="CV801" s="8">
        <f>0</f>
        <v>0</v>
      </c>
      <c r="CX801" s="8">
        <f>0</f>
        <v>0</v>
      </c>
      <c r="CY801" s="8">
        <f>1</f>
        <v>1</v>
      </c>
      <c r="DA801" s="5" t="s">
        <v>673</v>
      </c>
      <c r="DB801" s="5" t="s">
        <v>238</v>
      </c>
      <c r="DD801" s="5" t="s">
        <v>673</v>
      </c>
      <c r="DE801" s="8">
        <f>14725</f>
        <v>14725</v>
      </c>
      <c r="DG801" s="5" t="s">
        <v>238</v>
      </c>
      <c r="DH801" s="5" t="s">
        <v>238</v>
      </c>
      <c r="DI801" s="5" t="s">
        <v>238</v>
      </c>
      <c r="DJ801" s="5" t="s">
        <v>238</v>
      </c>
      <c r="DN801" s="5" t="s">
        <v>238</v>
      </c>
      <c r="DO801" s="5" t="s">
        <v>238</v>
      </c>
      <c r="DP801" s="5" t="s">
        <v>238</v>
      </c>
      <c r="DQ801" s="5" t="s">
        <v>238</v>
      </c>
      <c r="DT801" s="5" t="s">
        <v>2039</v>
      </c>
      <c r="DU801" s="5" t="s">
        <v>776</v>
      </c>
      <c r="HM801" s="5" t="s">
        <v>264</v>
      </c>
    </row>
    <row r="802" spans="1:221" x14ac:dyDescent="0.4">
      <c r="A802" s="5">
        <v>2477</v>
      </c>
      <c r="B802" s="5">
        <v>1</v>
      </c>
      <c r="C802" s="5">
        <v>1</v>
      </c>
      <c r="D802" s="5" t="s">
        <v>2037</v>
      </c>
      <c r="E802" s="5" t="s">
        <v>271</v>
      </c>
      <c r="F802" s="5" t="s">
        <v>248</v>
      </c>
      <c r="G802" s="5" t="s">
        <v>1969</v>
      </c>
      <c r="H802" s="6" t="s">
        <v>3559</v>
      </c>
      <c r="I802" s="7">
        <f>2056</f>
        <v>2056</v>
      </c>
      <c r="J802" s="5" t="s">
        <v>262</v>
      </c>
      <c r="K802" s="8">
        <f>1</f>
        <v>1</v>
      </c>
      <c r="L802" s="6" t="s">
        <v>242</v>
      </c>
      <c r="M802" s="5" t="s">
        <v>267</v>
      </c>
      <c r="N802" s="5" t="s">
        <v>265</v>
      </c>
      <c r="O802" s="5" t="s">
        <v>238</v>
      </c>
      <c r="P802" s="5" t="s">
        <v>238</v>
      </c>
      <c r="Q802" s="5" t="s">
        <v>268</v>
      </c>
      <c r="R802" s="5" t="s">
        <v>270</v>
      </c>
      <c r="S802" s="5" t="s">
        <v>238</v>
      </c>
      <c r="V802" s="5" t="s">
        <v>238</v>
      </c>
      <c r="X802" s="6" t="s">
        <v>238</v>
      </c>
      <c r="AA802" s="6" t="s">
        <v>243</v>
      </c>
      <c r="AB802" s="5" t="s">
        <v>238</v>
      </c>
      <c r="AC802" s="5" t="s">
        <v>244</v>
      </c>
      <c r="AD802" s="5" t="s">
        <v>245</v>
      </c>
      <c r="AT802" s="5" t="s">
        <v>246</v>
      </c>
      <c r="AU802" s="5" t="s">
        <v>238</v>
      </c>
      <c r="AV802" s="5" t="s">
        <v>247</v>
      </c>
      <c r="AW802" s="5" t="s">
        <v>238</v>
      </c>
      <c r="AX802" s="5" t="s">
        <v>249</v>
      </c>
      <c r="AY802" s="5" t="s">
        <v>238</v>
      </c>
      <c r="BA802" s="5" t="s">
        <v>238</v>
      </c>
      <c r="BC802" s="5" t="s">
        <v>250</v>
      </c>
      <c r="BD802" s="6" t="s">
        <v>243</v>
      </c>
      <c r="BE802" s="5" t="s">
        <v>251</v>
      </c>
      <c r="BF802" s="5" t="s">
        <v>252</v>
      </c>
      <c r="BG802" s="5" t="s">
        <v>238</v>
      </c>
      <c r="BH802" s="7">
        <f>0</f>
        <v>0</v>
      </c>
      <c r="BI802" s="8">
        <f>0</f>
        <v>0</v>
      </c>
      <c r="BJ802" s="5" t="s">
        <v>253</v>
      </c>
      <c r="BK802" s="5" t="s">
        <v>254</v>
      </c>
      <c r="BY802" s="5" t="s">
        <v>238</v>
      </c>
      <c r="BZ802" s="5" t="s">
        <v>238</v>
      </c>
      <c r="CD802" s="5" t="s">
        <v>273</v>
      </c>
      <c r="CE802" s="5" t="s">
        <v>256</v>
      </c>
      <c r="CF802" s="5" t="s">
        <v>238</v>
      </c>
      <c r="CI802" s="6" t="s">
        <v>257</v>
      </c>
      <c r="CJ802" s="5" t="s">
        <v>238</v>
      </c>
      <c r="CK802" s="5" t="s">
        <v>258</v>
      </c>
      <c r="CL802" s="5" t="s">
        <v>238</v>
      </c>
      <c r="CM802" s="5" t="s">
        <v>238</v>
      </c>
      <c r="CN802" s="5">
        <v>0</v>
      </c>
      <c r="CO802" s="5" t="s">
        <v>259</v>
      </c>
      <c r="CP802" s="5" t="s">
        <v>260</v>
      </c>
      <c r="CQ802" s="5" t="s">
        <v>260</v>
      </c>
      <c r="CR802" s="5" t="s">
        <v>261</v>
      </c>
      <c r="CU802" s="8">
        <f>1</f>
        <v>1</v>
      </c>
      <c r="CV802" s="8">
        <f>0</f>
        <v>0</v>
      </c>
      <c r="CX802" s="8">
        <f>0</f>
        <v>0</v>
      </c>
      <c r="CY802" s="8">
        <f>1</f>
        <v>1</v>
      </c>
      <c r="DA802" s="5" t="s">
        <v>673</v>
      </c>
      <c r="DB802" s="5" t="s">
        <v>238</v>
      </c>
      <c r="DD802" s="5" t="s">
        <v>673</v>
      </c>
      <c r="DE802" s="8">
        <f>2056</f>
        <v>2056</v>
      </c>
      <c r="DG802" s="5" t="s">
        <v>238</v>
      </c>
      <c r="DH802" s="5" t="s">
        <v>238</v>
      </c>
      <c r="DI802" s="5" t="s">
        <v>238</v>
      </c>
      <c r="DJ802" s="5" t="s">
        <v>238</v>
      </c>
      <c r="DN802" s="5" t="s">
        <v>238</v>
      </c>
      <c r="DO802" s="5" t="s">
        <v>238</v>
      </c>
      <c r="DP802" s="5" t="s">
        <v>238</v>
      </c>
      <c r="DQ802" s="5" t="s">
        <v>238</v>
      </c>
      <c r="DT802" s="5" t="s">
        <v>2039</v>
      </c>
      <c r="DU802" s="5" t="s">
        <v>1178</v>
      </c>
      <c r="HM802" s="5" t="s">
        <v>264</v>
      </c>
    </row>
    <row r="803" spans="1:221" x14ac:dyDescent="0.4">
      <c r="A803" s="5">
        <v>2478</v>
      </c>
      <c r="B803" s="5">
        <v>1</v>
      </c>
      <c r="C803" s="5">
        <v>1</v>
      </c>
      <c r="D803" s="5" t="s">
        <v>2037</v>
      </c>
      <c r="E803" s="5" t="s">
        <v>271</v>
      </c>
      <c r="F803" s="5" t="s">
        <v>248</v>
      </c>
      <c r="G803" s="5" t="s">
        <v>1969</v>
      </c>
      <c r="H803" s="6" t="s">
        <v>3562</v>
      </c>
      <c r="I803" s="7">
        <f>1048</f>
        <v>1048</v>
      </c>
      <c r="J803" s="5" t="s">
        <v>262</v>
      </c>
      <c r="K803" s="8">
        <f>1</f>
        <v>1</v>
      </c>
      <c r="L803" s="6" t="s">
        <v>242</v>
      </c>
      <c r="M803" s="5" t="s">
        <v>267</v>
      </c>
      <c r="N803" s="5" t="s">
        <v>265</v>
      </c>
      <c r="O803" s="5" t="s">
        <v>238</v>
      </c>
      <c r="P803" s="5" t="s">
        <v>238</v>
      </c>
      <c r="Q803" s="5" t="s">
        <v>268</v>
      </c>
      <c r="R803" s="5" t="s">
        <v>270</v>
      </c>
      <c r="S803" s="5" t="s">
        <v>238</v>
      </c>
      <c r="V803" s="5" t="s">
        <v>238</v>
      </c>
      <c r="X803" s="6" t="s">
        <v>238</v>
      </c>
      <c r="AA803" s="6" t="s">
        <v>243</v>
      </c>
      <c r="AB803" s="5" t="s">
        <v>238</v>
      </c>
      <c r="AC803" s="5" t="s">
        <v>244</v>
      </c>
      <c r="AD803" s="5" t="s">
        <v>245</v>
      </c>
      <c r="AT803" s="5" t="s">
        <v>246</v>
      </c>
      <c r="AU803" s="5" t="s">
        <v>238</v>
      </c>
      <c r="AV803" s="5" t="s">
        <v>247</v>
      </c>
      <c r="AW803" s="5" t="s">
        <v>238</v>
      </c>
      <c r="AX803" s="5" t="s">
        <v>249</v>
      </c>
      <c r="AY803" s="5" t="s">
        <v>238</v>
      </c>
      <c r="BA803" s="5" t="s">
        <v>238</v>
      </c>
      <c r="BC803" s="5" t="s">
        <v>250</v>
      </c>
      <c r="BD803" s="6" t="s">
        <v>243</v>
      </c>
      <c r="BE803" s="5" t="s">
        <v>251</v>
      </c>
      <c r="BF803" s="5" t="s">
        <v>252</v>
      </c>
      <c r="BG803" s="5" t="s">
        <v>238</v>
      </c>
      <c r="BH803" s="7">
        <f>0</f>
        <v>0</v>
      </c>
      <c r="BI803" s="8">
        <f>0</f>
        <v>0</v>
      </c>
      <c r="BJ803" s="5" t="s">
        <v>253</v>
      </c>
      <c r="BK803" s="5" t="s">
        <v>254</v>
      </c>
      <c r="BY803" s="5" t="s">
        <v>238</v>
      </c>
      <c r="BZ803" s="5" t="s">
        <v>238</v>
      </c>
      <c r="CD803" s="5" t="s">
        <v>273</v>
      </c>
      <c r="CE803" s="5" t="s">
        <v>256</v>
      </c>
      <c r="CF803" s="5" t="s">
        <v>238</v>
      </c>
      <c r="CI803" s="6" t="s">
        <v>257</v>
      </c>
      <c r="CJ803" s="5" t="s">
        <v>238</v>
      </c>
      <c r="CK803" s="5" t="s">
        <v>258</v>
      </c>
      <c r="CL803" s="5" t="s">
        <v>238</v>
      </c>
      <c r="CM803" s="5" t="s">
        <v>238</v>
      </c>
      <c r="CN803" s="5">
        <v>0</v>
      </c>
      <c r="CO803" s="5" t="s">
        <v>259</v>
      </c>
      <c r="CP803" s="5" t="s">
        <v>260</v>
      </c>
      <c r="CQ803" s="5" t="s">
        <v>260</v>
      </c>
      <c r="CR803" s="5" t="s">
        <v>261</v>
      </c>
      <c r="CU803" s="8">
        <f>1</f>
        <v>1</v>
      </c>
      <c r="CV803" s="8">
        <f>0</f>
        <v>0</v>
      </c>
      <c r="CX803" s="8">
        <f>0</f>
        <v>0</v>
      </c>
      <c r="CY803" s="8">
        <f>1</f>
        <v>1</v>
      </c>
      <c r="DA803" s="5" t="s">
        <v>673</v>
      </c>
      <c r="DB803" s="5" t="s">
        <v>238</v>
      </c>
      <c r="DD803" s="5" t="s">
        <v>673</v>
      </c>
      <c r="DE803" s="8">
        <f>1048</f>
        <v>1048</v>
      </c>
      <c r="DG803" s="5" t="s">
        <v>238</v>
      </c>
      <c r="DH803" s="5" t="s">
        <v>238</v>
      </c>
      <c r="DI803" s="5" t="s">
        <v>238</v>
      </c>
      <c r="DJ803" s="5" t="s">
        <v>238</v>
      </c>
      <c r="DN803" s="5" t="s">
        <v>238</v>
      </c>
      <c r="DO803" s="5" t="s">
        <v>238</v>
      </c>
      <c r="DP803" s="5" t="s">
        <v>238</v>
      </c>
      <c r="DQ803" s="5" t="s">
        <v>238</v>
      </c>
      <c r="DT803" s="5" t="s">
        <v>2039</v>
      </c>
      <c r="DU803" s="5" t="s">
        <v>714</v>
      </c>
      <c r="HM803" s="5" t="s">
        <v>264</v>
      </c>
    </row>
    <row r="804" spans="1:221" x14ac:dyDescent="0.4">
      <c r="A804" s="5">
        <v>2479</v>
      </c>
      <c r="B804" s="5">
        <v>1</v>
      </c>
      <c r="C804" s="5">
        <v>1</v>
      </c>
      <c r="D804" s="5" t="s">
        <v>2037</v>
      </c>
      <c r="E804" s="5" t="s">
        <v>271</v>
      </c>
      <c r="F804" s="5" t="s">
        <v>248</v>
      </c>
      <c r="G804" s="5" t="s">
        <v>1969</v>
      </c>
      <c r="H804" s="6" t="s">
        <v>3569</v>
      </c>
      <c r="I804" s="7">
        <f>16035</f>
        <v>16035</v>
      </c>
      <c r="J804" s="5" t="s">
        <v>262</v>
      </c>
      <c r="K804" s="8">
        <f>1</f>
        <v>1</v>
      </c>
      <c r="L804" s="6" t="s">
        <v>242</v>
      </c>
      <c r="M804" s="5" t="s">
        <v>267</v>
      </c>
      <c r="N804" s="5" t="s">
        <v>265</v>
      </c>
      <c r="O804" s="5" t="s">
        <v>238</v>
      </c>
      <c r="P804" s="5" t="s">
        <v>238</v>
      </c>
      <c r="Q804" s="5" t="s">
        <v>268</v>
      </c>
      <c r="R804" s="5" t="s">
        <v>270</v>
      </c>
      <c r="S804" s="5" t="s">
        <v>238</v>
      </c>
      <c r="V804" s="5" t="s">
        <v>238</v>
      </c>
      <c r="X804" s="6" t="s">
        <v>238</v>
      </c>
      <c r="AA804" s="6" t="s">
        <v>243</v>
      </c>
      <c r="AB804" s="5" t="s">
        <v>238</v>
      </c>
      <c r="AC804" s="5" t="s">
        <v>244</v>
      </c>
      <c r="AD804" s="5" t="s">
        <v>245</v>
      </c>
      <c r="AT804" s="5" t="s">
        <v>246</v>
      </c>
      <c r="AU804" s="5" t="s">
        <v>238</v>
      </c>
      <c r="AV804" s="5" t="s">
        <v>247</v>
      </c>
      <c r="AW804" s="5" t="s">
        <v>238</v>
      </c>
      <c r="AX804" s="5" t="s">
        <v>249</v>
      </c>
      <c r="AY804" s="5" t="s">
        <v>238</v>
      </c>
      <c r="BA804" s="5" t="s">
        <v>238</v>
      </c>
      <c r="BC804" s="5" t="s">
        <v>250</v>
      </c>
      <c r="BD804" s="6" t="s">
        <v>243</v>
      </c>
      <c r="BE804" s="5" t="s">
        <v>251</v>
      </c>
      <c r="BF804" s="5" t="s">
        <v>252</v>
      </c>
      <c r="BG804" s="5" t="s">
        <v>238</v>
      </c>
      <c r="BH804" s="7">
        <f>0</f>
        <v>0</v>
      </c>
      <c r="BI804" s="8">
        <f>0</f>
        <v>0</v>
      </c>
      <c r="BJ804" s="5" t="s">
        <v>253</v>
      </c>
      <c r="BK804" s="5" t="s">
        <v>254</v>
      </c>
      <c r="BY804" s="5" t="s">
        <v>238</v>
      </c>
      <c r="BZ804" s="5" t="s">
        <v>238</v>
      </c>
      <c r="CD804" s="5" t="s">
        <v>273</v>
      </c>
      <c r="CE804" s="5" t="s">
        <v>256</v>
      </c>
      <c r="CF804" s="5" t="s">
        <v>238</v>
      </c>
      <c r="CI804" s="6" t="s">
        <v>257</v>
      </c>
      <c r="CJ804" s="5" t="s">
        <v>238</v>
      </c>
      <c r="CK804" s="5" t="s">
        <v>258</v>
      </c>
      <c r="CL804" s="5" t="s">
        <v>238</v>
      </c>
      <c r="CM804" s="5" t="s">
        <v>238</v>
      </c>
      <c r="CN804" s="5">
        <v>0</v>
      </c>
      <c r="CO804" s="5" t="s">
        <v>259</v>
      </c>
      <c r="CP804" s="5" t="s">
        <v>260</v>
      </c>
      <c r="CQ804" s="5" t="s">
        <v>260</v>
      </c>
      <c r="CR804" s="5" t="s">
        <v>261</v>
      </c>
      <c r="CU804" s="8">
        <f>1</f>
        <v>1</v>
      </c>
      <c r="CV804" s="8">
        <f>0</f>
        <v>0</v>
      </c>
      <c r="CX804" s="8">
        <f>0</f>
        <v>0</v>
      </c>
      <c r="CY804" s="8">
        <f>1</f>
        <v>1</v>
      </c>
      <c r="DA804" s="5" t="s">
        <v>673</v>
      </c>
      <c r="DB804" s="5" t="s">
        <v>238</v>
      </c>
      <c r="DD804" s="5" t="s">
        <v>673</v>
      </c>
      <c r="DE804" s="8">
        <f>16035</f>
        <v>16035</v>
      </c>
      <c r="DG804" s="5" t="s">
        <v>238</v>
      </c>
      <c r="DH804" s="5" t="s">
        <v>238</v>
      </c>
      <c r="DI804" s="5" t="s">
        <v>238</v>
      </c>
      <c r="DJ804" s="5" t="s">
        <v>238</v>
      </c>
      <c r="DN804" s="5" t="s">
        <v>238</v>
      </c>
      <c r="DO804" s="5" t="s">
        <v>238</v>
      </c>
      <c r="DP804" s="5" t="s">
        <v>238</v>
      </c>
      <c r="DQ804" s="5" t="s">
        <v>238</v>
      </c>
      <c r="DT804" s="5" t="s">
        <v>2039</v>
      </c>
      <c r="DU804" s="5" t="s">
        <v>666</v>
      </c>
      <c r="HM804" s="5" t="s">
        <v>264</v>
      </c>
    </row>
    <row r="805" spans="1:221" x14ac:dyDescent="0.4">
      <c r="A805" s="5">
        <v>2480</v>
      </c>
      <c r="B805" s="5">
        <v>1</v>
      </c>
      <c r="C805" s="5">
        <v>1</v>
      </c>
      <c r="D805" s="5" t="s">
        <v>2037</v>
      </c>
      <c r="E805" s="5" t="s">
        <v>271</v>
      </c>
      <c r="F805" s="5" t="s">
        <v>248</v>
      </c>
      <c r="G805" s="5" t="s">
        <v>1969</v>
      </c>
      <c r="H805" s="6" t="s">
        <v>3576</v>
      </c>
      <c r="I805" s="7">
        <f>2081</f>
        <v>2081</v>
      </c>
      <c r="J805" s="5" t="s">
        <v>262</v>
      </c>
      <c r="K805" s="8">
        <f>1</f>
        <v>1</v>
      </c>
      <c r="L805" s="6" t="s">
        <v>242</v>
      </c>
      <c r="M805" s="5" t="s">
        <v>267</v>
      </c>
      <c r="N805" s="5" t="s">
        <v>265</v>
      </c>
      <c r="O805" s="5" t="s">
        <v>238</v>
      </c>
      <c r="P805" s="5" t="s">
        <v>238</v>
      </c>
      <c r="Q805" s="5" t="s">
        <v>268</v>
      </c>
      <c r="R805" s="5" t="s">
        <v>270</v>
      </c>
      <c r="S805" s="5" t="s">
        <v>238</v>
      </c>
      <c r="V805" s="5" t="s">
        <v>238</v>
      </c>
      <c r="X805" s="6" t="s">
        <v>238</v>
      </c>
      <c r="AA805" s="6" t="s">
        <v>243</v>
      </c>
      <c r="AB805" s="5" t="s">
        <v>238</v>
      </c>
      <c r="AC805" s="5" t="s">
        <v>244</v>
      </c>
      <c r="AD805" s="5" t="s">
        <v>245</v>
      </c>
      <c r="AT805" s="5" t="s">
        <v>246</v>
      </c>
      <c r="AU805" s="5" t="s">
        <v>238</v>
      </c>
      <c r="AV805" s="5" t="s">
        <v>247</v>
      </c>
      <c r="AW805" s="5" t="s">
        <v>238</v>
      </c>
      <c r="AX805" s="5" t="s">
        <v>249</v>
      </c>
      <c r="AY805" s="5" t="s">
        <v>238</v>
      </c>
      <c r="BA805" s="5" t="s">
        <v>238</v>
      </c>
      <c r="BC805" s="5" t="s">
        <v>250</v>
      </c>
      <c r="BD805" s="6" t="s">
        <v>243</v>
      </c>
      <c r="BE805" s="5" t="s">
        <v>251</v>
      </c>
      <c r="BF805" s="5" t="s">
        <v>252</v>
      </c>
      <c r="BG805" s="5" t="s">
        <v>238</v>
      </c>
      <c r="BH805" s="7">
        <f>0</f>
        <v>0</v>
      </c>
      <c r="BI805" s="8">
        <f>0</f>
        <v>0</v>
      </c>
      <c r="BJ805" s="5" t="s">
        <v>253</v>
      </c>
      <c r="BK805" s="5" t="s">
        <v>254</v>
      </c>
      <c r="BY805" s="5" t="s">
        <v>238</v>
      </c>
      <c r="BZ805" s="5" t="s">
        <v>238</v>
      </c>
      <c r="CD805" s="5" t="s">
        <v>273</v>
      </c>
      <c r="CE805" s="5" t="s">
        <v>256</v>
      </c>
      <c r="CF805" s="5" t="s">
        <v>238</v>
      </c>
      <c r="CI805" s="6" t="s">
        <v>257</v>
      </c>
      <c r="CJ805" s="5" t="s">
        <v>238</v>
      </c>
      <c r="CK805" s="5" t="s">
        <v>258</v>
      </c>
      <c r="CL805" s="5" t="s">
        <v>238</v>
      </c>
      <c r="CM805" s="5" t="s">
        <v>238</v>
      </c>
      <c r="CN805" s="5">
        <v>0</v>
      </c>
      <c r="CO805" s="5" t="s">
        <v>259</v>
      </c>
      <c r="CP805" s="5" t="s">
        <v>260</v>
      </c>
      <c r="CQ805" s="5" t="s">
        <v>260</v>
      </c>
      <c r="CR805" s="5" t="s">
        <v>261</v>
      </c>
      <c r="CU805" s="8">
        <f>1</f>
        <v>1</v>
      </c>
      <c r="CV805" s="8">
        <f>0</f>
        <v>0</v>
      </c>
      <c r="CX805" s="8">
        <f>0</f>
        <v>0</v>
      </c>
      <c r="CY805" s="8">
        <f>1</f>
        <v>1</v>
      </c>
      <c r="DA805" s="5" t="s">
        <v>673</v>
      </c>
      <c r="DB805" s="5" t="s">
        <v>238</v>
      </c>
      <c r="DD805" s="5" t="s">
        <v>673</v>
      </c>
      <c r="DE805" s="8">
        <f>2081</f>
        <v>2081</v>
      </c>
      <c r="DG805" s="5" t="s">
        <v>238</v>
      </c>
      <c r="DH805" s="5" t="s">
        <v>238</v>
      </c>
      <c r="DI805" s="5" t="s">
        <v>238</v>
      </c>
      <c r="DJ805" s="5" t="s">
        <v>238</v>
      </c>
      <c r="DN805" s="5" t="s">
        <v>238</v>
      </c>
      <c r="DO805" s="5" t="s">
        <v>238</v>
      </c>
      <c r="DP805" s="5" t="s">
        <v>238</v>
      </c>
      <c r="DQ805" s="5" t="s">
        <v>238</v>
      </c>
      <c r="DT805" s="5" t="s">
        <v>2039</v>
      </c>
      <c r="DU805" s="5" t="s">
        <v>536</v>
      </c>
      <c r="HM805" s="5" t="s">
        <v>264</v>
      </c>
    </row>
    <row r="806" spans="1:221" x14ac:dyDescent="0.4">
      <c r="A806" s="5">
        <v>2481</v>
      </c>
      <c r="B806" s="5">
        <v>1</v>
      </c>
      <c r="C806" s="5">
        <v>1</v>
      </c>
      <c r="D806" s="5" t="s">
        <v>2037</v>
      </c>
      <c r="E806" s="5" t="s">
        <v>271</v>
      </c>
      <c r="F806" s="5" t="s">
        <v>248</v>
      </c>
      <c r="G806" s="5" t="s">
        <v>1969</v>
      </c>
      <c r="H806" s="6" t="s">
        <v>3744</v>
      </c>
      <c r="I806" s="7">
        <f>661</f>
        <v>661</v>
      </c>
      <c r="J806" s="5" t="s">
        <v>262</v>
      </c>
      <c r="K806" s="8">
        <f>1</f>
        <v>1</v>
      </c>
      <c r="L806" s="6" t="s">
        <v>242</v>
      </c>
      <c r="M806" s="5" t="s">
        <v>267</v>
      </c>
      <c r="N806" s="5" t="s">
        <v>265</v>
      </c>
      <c r="O806" s="5" t="s">
        <v>238</v>
      </c>
      <c r="P806" s="5" t="s">
        <v>238</v>
      </c>
      <c r="Q806" s="5" t="s">
        <v>268</v>
      </c>
      <c r="R806" s="5" t="s">
        <v>270</v>
      </c>
      <c r="S806" s="5" t="s">
        <v>238</v>
      </c>
      <c r="V806" s="5" t="s">
        <v>238</v>
      </c>
      <c r="X806" s="6" t="s">
        <v>238</v>
      </c>
      <c r="AA806" s="6" t="s">
        <v>243</v>
      </c>
      <c r="AB806" s="5" t="s">
        <v>238</v>
      </c>
      <c r="AC806" s="5" t="s">
        <v>244</v>
      </c>
      <c r="AD806" s="5" t="s">
        <v>245</v>
      </c>
      <c r="AT806" s="5" t="s">
        <v>246</v>
      </c>
      <c r="AU806" s="5" t="s">
        <v>238</v>
      </c>
      <c r="AV806" s="5" t="s">
        <v>247</v>
      </c>
      <c r="AW806" s="5" t="s">
        <v>238</v>
      </c>
      <c r="AX806" s="5" t="s">
        <v>249</v>
      </c>
      <c r="AY806" s="5" t="s">
        <v>238</v>
      </c>
      <c r="BA806" s="5" t="s">
        <v>238</v>
      </c>
      <c r="BC806" s="5" t="s">
        <v>250</v>
      </c>
      <c r="BD806" s="6" t="s">
        <v>243</v>
      </c>
      <c r="BE806" s="5" t="s">
        <v>251</v>
      </c>
      <c r="BF806" s="5" t="s">
        <v>252</v>
      </c>
      <c r="BG806" s="5" t="s">
        <v>238</v>
      </c>
      <c r="BH806" s="7">
        <f>0</f>
        <v>0</v>
      </c>
      <c r="BI806" s="8">
        <f>0</f>
        <v>0</v>
      </c>
      <c r="BJ806" s="5" t="s">
        <v>253</v>
      </c>
      <c r="BK806" s="5" t="s">
        <v>254</v>
      </c>
      <c r="BY806" s="5" t="s">
        <v>238</v>
      </c>
      <c r="BZ806" s="5" t="s">
        <v>238</v>
      </c>
      <c r="CD806" s="5" t="s">
        <v>273</v>
      </c>
      <c r="CE806" s="5" t="s">
        <v>256</v>
      </c>
      <c r="CF806" s="5" t="s">
        <v>238</v>
      </c>
      <c r="CI806" s="6" t="s">
        <v>257</v>
      </c>
      <c r="CJ806" s="5" t="s">
        <v>238</v>
      </c>
      <c r="CK806" s="5" t="s">
        <v>258</v>
      </c>
      <c r="CL806" s="5" t="s">
        <v>238</v>
      </c>
      <c r="CM806" s="5" t="s">
        <v>238</v>
      </c>
      <c r="CN806" s="5">
        <v>0</v>
      </c>
      <c r="CO806" s="5" t="s">
        <v>259</v>
      </c>
      <c r="CP806" s="5" t="s">
        <v>260</v>
      </c>
      <c r="CQ806" s="5" t="s">
        <v>260</v>
      </c>
      <c r="CR806" s="5" t="s">
        <v>261</v>
      </c>
      <c r="CU806" s="8">
        <f>1</f>
        <v>1</v>
      </c>
      <c r="CV806" s="8">
        <f>0</f>
        <v>0</v>
      </c>
      <c r="CX806" s="8">
        <f>0</f>
        <v>0</v>
      </c>
      <c r="CY806" s="8">
        <f>1</f>
        <v>1</v>
      </c>
      <c r="DA806" s="5" t="s">
        <v>673</v>
      </c>
      <c r="DB806" s="5" t="s">
        <v>238</v>
      </c>
      <c r="DD806" s="5" t="s">
        <v>673</v>
      </c>
      <c r="DE806" s="8">
        <f>661</f>
        <v>661</v>
      </c>
      <c r="DG806" s="5" t="s">
        <v>238</v>
      </c>
      <c r="DH806" s="5" t="s">
        <v>238</v>
      </c>
      <c r="DI806" s="5" t="s">
        <v>238</v>
      </c>
      <c r="DJ806" s="5" t="s">
        <v>238</v>
      </c>
      <c r="DN806" s="5" t="s">
        <v>238</v>
      </c>
      <c r="DO806" s="5" t="s">
        <v>238</v>
      </c>
      <c r="DP806" s="5" t="s">
        <v>238</v>
      </c>
      <c r="DQ806" s="5" t="s">
        <v>238</v>
      </c>
      <c r="DT806" s="5" t="s">
        <v>2039</v>
      </c>
      <c r="DU806" s="5" t="s">
        <v>1166</v>
      </c>
      <c r="HM806" s="5" t="s">
        <v>264</v>
      </c>
    </row>
    <row r="807" spans="1:221" x14ac:dyDescent="0.4">
      <c r="A807" s="5">
        <v>2482</v>
      </c>
      <c r="B807" s="5">
        <v>1</v>
      </c>
      <c r="C807" s="5">
        <v>1</v>
      </c>
      <c r="D807" s="5" t="s">
        <v>2037</v>
      </c>
      <c r="E807" s="5" t="s">
        <v>271</v>
      </c>
      <c r="F807" s="5" t="s">
        <v>248</v>
      </c>
      <c r="G807" s="5" t="s">
        <v>1969</v>
      </c>
      <c r="H807" s="6" t="s">
        <v>3732</v>
      </c>
      <c r="I807" s="7">
        <f>1033</f>
        <v>1033</v>
      </c>
      <c r="J807" s="5" t="s">
        <v>262</v>
      </c>
      <c r="K807" s="8">
        <f>1</f>
        <v>1</v>
      </c>
      <c r="L807" s="6" t="s">
        <v>242</v>
      </c>
      <c r="M807" s="5" t="s">
        <v>267</v>
      </c>
      <c r="N807" s="5" t="s">
        <v>265</v>
      </c>
      <c r="O807" s="5" t="s">
        <v>238</v>
      </c>
      <c r="P807" s="5" t="s">
        <v>238</v>
      </c>
      <c r="Q807" s="5" t="s">
        <v>268</v>
      </c>
      <c r="R807" s="5" t="s">
        <v>270</v>
      </c>
      <c r="S807" s="5" t="s">
        <v>238</v>
      </c>
      <c r="V807" s="5" t="s">
        <v>238</v>
      </c>
      <c r="X807" s="6" t="s">
        <v>238</v>
      </c>
      <c r="AA807" s="6" t="s">
        <v>243</v>
      </c>
      <c r="AB807" s="5" t="s">
        <v>238</v>
      </c>
      <c r="AC807" s="5" t="s">
        <v>244</v>
      </c>
      <c r="AD807" s="5" t="s">
        <v>245</v>
      </c>
      <c r="AT807" s="5" t="s">
        <v>246</v>
      </c>
      <c r="AU807" s="5" t="s">
        <v>238</v>
      </c>
      <c r="AV807" s="5" t="s">
        <v>247</v>
      </c>
      <c r="AW807" s="5" t="s">
        <v>238</v>
      </c>
      <c r="AX807" s="5" t="s">
        <v>249</v>
      </c>
      <c r="AY807" s="5" t="s">
        <v>238</v>
      </c>
      <c r="BA807" s="5" t="s">
        <v>238</v>
      </c>
      <c r="BC807" s="5" t="s">
        <v>250</v>
      </c>
      <c r="BD807" s="6" t="s">
        <v>243</v>
      </c>
      <c r="BE807" s="5" t="s">
        <v>251</v>
      </c>
      <c r="BF807" s="5" t="s">
        <v>252</v>
      </c>
      <c r="BG807" s="5" t="s">
        <v>238</v>
      </c>
      <c r="BH807" s="7">
        <f>0</f>
        <v>0</v>
      </c>
      <c r="BI807" s="8">
        <f>0</f>
        <v>0</v>
      </c>
      <c r="BJ807" s="5" t="s">
        <v>253</v>
      </c>
      <c r="BK807" s="5" t="s">
        <v>254</v>
      </c>
      <c r="BY807" s="5" t="s">
        <v>238</v>
      </c>
      <c r="BZ807" s="5" t="s">
        <v>238</v>
      </c>
      <c r="CD807" s="5" t="s">
        <v>273</v>
      </c>
      <c r="CE807" s="5" t="s">
        <v>256</v>
      </c>
      <c r="CF807" s="5" t="s">
        <v>238</v>
      </c>
      <c r="CI807" s="6" t="s">
        <v>257</v>
      </c>
      <c r="CJ807" s="5" t="s">
        <v>238</v>
      </c>
      <c r="CK807" s="5" t="s">
        <v>258</v>
      </c>
      <c r="CL807" s="5" t="s">
        <v>238</v>
      </c>
      <c r="CM807" s="5" t="s">
        <v>238</v>
      </c>
      <c r="CN807" s="5">
        <v>0</v>
      </c>
      <c r="CO807" s="5" t="s">
        <v>259</v>
      </c>
      <c r="CP807" s="5" t="s">
        <v>260</v>
      </c>
      <c r="CQ807" s="5" t="s">
        <v>260</v>
      </c>
      <c r="CR807" s="5" t="s">
        <v>261</v>
      </c>
      <c r="CU807" s="8">
        <f>1</f>
        <v>1</v>
      </c>
      <c r="CV807" s="8">
        <f>0</f>
        <v>0</v>
      </c>
      <c r="CX807" s="8">
        <f>0</f>
        <v>0</v>
      </c>
      <c r="CY807" s="8">
        <f>1</f>
        <v>1</v>
      </c>
      <c r="DA807" s="5" t="s">
        <v>673</v>
      </c>
      <c r="DB807" s="5" t="s">
        <v>238</v>
      </c>
      <c r="DD807" s="5" t="s">
        <v>673</v>
      </c>
      <c r="DE807" s="8">
        <f>1033</f>
        <v>1033</v>
      </c>
      <c r="DG807" s="5" t="s">
        <v>238</v>
      </c>
      <c r="DH807" s="5" t="s">
        <v>238</v>
      </c>
      <c r="DI807" s="5" t="s">
        <v>238</v>
      </c>
      <c r="DJ807" s="5" t="s">
        <v>238</v>
      </c>
      <c r="DN807" s="5" t="s">
        <v>238</v>
      </c>
      <c r="DO807" s="5" t="s">
        <v>238</v>
      </c>
      <c r="DP807" s="5" t="s">
        <v>238</v>
      </c>
      <c r="DQ807" s="5" t="s">
        <v>238</v>
      </c>
      <c r="DT807" s="5" t="s">
        <v>2039</v>
      </c>
      <c r="DU807" s="5" t="s">
        <v>1164</v>
      </c>
      <c r="HM807" s="5" t="s">
        <v>264</v>
      </c>
    </row>
    <row r="808" spans="1:221" x14ac:dyDescent="0.4">
      <c r="A808" s="5">
        <v>2483</v>
      </c>
      <c r="B808" s="5">
        <v>1</v>
      </c>
      <c r="C808" s="5">
        <v>1</v>
      </c>
      <c r="D808" s="5" t="s">
        <v>2037</v>
      </c>
      <c r="E808" s="5" t="s">
        <v>271</v>
      </c>
      <c r="F808" s="5" t="s">
        <v>248</v>
      </c>
      <c r="G808" s="5" t="s">
        <v>1969</v>
      </c>
      <c r="H808" s="6" t="s">
        <v>3742</v>
      </c>
      <c r="I808" s="7">
        <f>260</f>
        <v>260</v>
      </c>
      <c r="J808" s="5" t="s">
        <v>262</v>
      </c>
      <c r="K808" s="8">
        <f>1</f>
        <v>1</v>
      </c>
      <c r="L808" s="6" t="s">
        <v>242</v>
      </c>
      <c r="M808" s="5" t="s">
        <v>267</v>
      </c>
      <c r="N808" s="5" t="s">
        <v>265</v>
      </c>
      <c r="O808" s="5" t="s">
        <v>238</v>
      </c>
      <c r="P808" s="5" t="s">
        <v>238</v>
      </c>
      <c r="Q808" s="5" t="s">
        <v>268</v>
      </c>
      <c r="R808" s="5" t="s">
        <v>270</v>
      </c>
      <c r="S808" s="5" t="s">
        <v>238</v>
      </c>
      <c r="V808" s="5" t="s">
        <v>238</v>
      </c>
      <c r="X808" s="6" t="s">
        <v>238</v>
      </c>
      <c r="AA808" s="6" t="s">
        <v>243</v>
      </c>
      <c r="AB808" s="5" t="s">
        <v>238</v>
      </c>
      <c r="AC808" s="5" t="s">
        <v>244</v>
      </c>
      <c r="AD808" s="5" t="s">
        <v>245</v>
      </c>
      <c r="AT808" s="5" t="s">
        <v>246</v>
      </c>
      <c r="AU808" s="5" t="s">
        <v>238</v>
      </c>
      <c r="AV808" s="5" t="s">
        <v>247</v>
      </c>
      <c r="AW808" s="5" t="s">
        <v>238</v>
      </c>
      <c r="AX808" s="5" t="s">
        <v>249</v>
      </c>
      <c r="AY808" s="5" t="s">
        <v>238</v>
      </c>
      <c r="BA808" s="5" t="s">
        <v>238</v>
      </c>
      <c r="BC808" s="5" t="s">
        <v>250</v>
      </c>
      <c r="BD808" s="6" t="s">
        <v>243</v>
      </c>
      <c r="BE808" s="5" t="s">
        <v>251</v>
      </c>
      <c r="BF808" s="5" t="s">
        <v>252</v>
      </c>
      <c r="BG808" s="5" t="s">
        <v>238</v>
      </c>
      <c r="BH808" s="7">
        <f>0</f>
        <v>0</v>
      </c>
      <c r="BI808" s="8">
        <f>0</f>
        <v>0</v>
      </c>
      <c r="BJ808" s="5" t="s">
        <v>253</v>
      </c>
      <c r="BK808" s="5" t="s">
        <v>254</v>
      </c>
      <c r="BY808" s="5" t="s">
        <v>238</v>
      </c>
      <c r="BZ808" s="5" t="s">
        <v>238</v>
      </c>
      <c r="CD808" s="5" t="s">
        <v>273</v>
      </c>
      <c r="CE808" s="5" t="s">
        <v>256</v>
      </c>
      <c r="CF808" s="5" t="s">
        <v>238</v>
      </c>
      <c r="CI808" s="6" t="s">
        <v>257</v>
      </c>
      <c r="CJ808" s="5" t="s">
        <v>238</v>
      </c>
      <c r="CK808" s="5" t="s">
        <v>258</v>
      </c>
      <c r="CL808" s="5" t="s">
        <v>238</v>
      </c>
      <c r="CM808" s="5" t="s">
        <v>238</v>
      </c>
      <c r="CN808" s="5">
        <v>0</v>
      </c>
      <c r="CO808" s="5" t="s">
        <v>259</v>
      </c>
      <c r="CP808" s="5" t="s">
        <v>260</v>
      </c>
      <c r="CQ808" s="5" t="s">
        <v>260</v>
      </c>
      <c r="CR808" s="5" t="s">
        <v>261</v>
      </c>
      <c r="CU808" s="8">
        <f>1</f>
        <v>1</v>
      </c>
      <c r="CV808" s="8">
        <f>0</f>
        <v>0</v>
      </c>
      <c r="CX808" s="8">
        <f>0</f>
        <v>0</v>
      </c>
      <c r="CY808" s="8">
        <f>1</f>
        <v>1</v>
      </c>
      <c r="DA808" s="5" t="s">
        <v>673</v>
      </c>
      <c r="DB808" s="5" t="s">
        <v>238</v>
      </c>
      <c r="DD808" s="5" t="s">
        <v>673</v>
      </c>
      <c r="DE808" s="8">
        <f>260</f>
        <v>260</v>
      </c>
      <c r="DG808" s="5" t="s">
        <v>238</v>
      </c>
      <c r="DH808" s="5" t="s">
        <v>238</v>
      </c>
      <c r="DI808" s="5" t="s">
        <v>238</v>
      </c>
      <c r="DJ808" s="5" t="s">
        <v>238</v>
      </c>
      <c r="DN808" s="5" t="s">
        <v>238</v>
      </c>
      <c r="DO808" s="5" t="s">
        <v>238</v>
      </c>
      <c r="DP808" s="5" t="s">
        <v>238</v>
      </c>
      <c r="DQ808" s="5" t="s">
        <v>238</v>
      </c>
      <c r="DT808" s="5" t="s">
        <v>2039</v>
      </c>
      <c r="DU808" s="5" t="s">
        <v>1162</v>
      </c>
      <c r="HM808" s="5" t="s">
        <v>264</v>
      </c>
    </row>
    <row r="809" spans="1:221" x14ac:dyDescent="0.4">
      <c r="A809" s="5">
        <v>2484</v>
      </c>
      <c r="B809" s="5">
        <v>1</v>
      </c>
      <c r="C809" s="5">
        <v>1</v>
      </c>
      <c r="D809" s="5" t="s">
        <v>2037</v>
      </c>
      <c r="E809" s="5" t="s">
        <v>271</v>
      </c>
      <c r="F809" s="5" t="s">
        <v>248</v>
      </c>
      <c r="G809" s="5" t="s">
        <v>1969</v>
      </c>
      <c r="H809" s="6" t="s">
        <v>3743</v>
      </c>
      <c r="I809" s="7">
        <f>3189</f>
        <v>3189</v>
      </c>
      <c r="J809" s="5" t="s">
        <v>262</v>
      </c>
      <c r="K809" s="8">
        <f>1</f>
        <v>1</v>
      </c>
      <c r="L809" s="6" t="s">
        <v>242</v>
      </c>
      <c r="M809" s="5" t="s">
        <v>267</v>
      </c>
      <c r="N809" s="5" t="s">
        <v>265</v>
      </c>
      <c r="O809" s="5" t="s">
        <v>238</v>
      </c>
      <c r="P809" s="5" t="s">
        <v>238</v>
      </c>
      <c r="Q809" s="5" t="s">
        <v>268</v>
      </c>
      <c r="R809" s="5" t="s">
        <v>270</v>
      </c>
      <c r="S809" s="5" t="s">
        <v>238</v>
      </c>
      <c r="V809" s="5" t="s">
        <v>238</v>
      </c>
      <c r="X809" s="6" t="s">
        <v>238</v>
      </c>
      <c r="AA809" s="6" t="s">
        <v>243</v>
      </c>
      <c r="AB809" s="5" t="s">
        <v>238</v>
      </c>
      <c r="AC809" s="5" t="s">
        <v>244</v>
      </c>
      <c r="AD809" s="5" t="s">
        <v>245</v>
      </c>
      <c r="AT809" s="5" t="s">
        <v>246</v>
      </c>
      <c r="AU809" s="5" t="s">
        <v>238</v>
      </c>
      <c r="AV809" s="5" t="s">
        <v>247</v>
      </c>
      <c r="AW809" s="5" t="s">
        <v>238</v>
      </c>
      <c r="AX809" s="5" t="s">
        <v>249</v>
      </c>
      <c r="AY809" s="5" t="s">
        <v>238</v>
      </c>
      <c r="BA809" s="5" t="s">
        <v>238</v>
      </c>
      <c r="BC809" s="5" t="s">
        <v>250</v>
      </c>
      <c r="BD809" s="6" t="s">
        <v>243</v>
      </c>
      <c r="BE809" s="5" t="s">
        <v>251</v>
      </c>
      <c r="BF809" s="5" t="s">
        <v>252</v>
      </c>
      <c r="BG809" s="5" t="s">
        <v>238</v>
      </c>
      <c r="BH809" s="7">
        <f>0</f>
        <v>0</v>
      </c>
      <c r="BI809" s="8">
        <f>0</f>
        <v>0</v>
      </c>
      <c r="BJ809" s="5" t="s">
        <v>253</v>
      </c>
      <c r="BK809" s="5" t="s">
        <v>254</v>
      </c>
      <c r="BY809" s="5" t="s">
        <v>238</v>
      </c>
      <c r="BZ809" s="5" t="s">
        <v>238</v>
      </c>
      <c r="CD809" s="5" t="s">
        <v>273</v>
      </c>
      <c r="CE809" s="5" t="s">
        <v>256</v>
      </c>
      <c r="CF809" s="5" t="s">
        <v>238</v>
      </c>
      <c r="CI809" s="6" t="s">
        <v>257</v>
      </c>
      <c r="CJ809" s="5" t="s">
        <v>238</v>
      </c>
      <c r="CK809" s="5" t="s">
        <v>258</v>
      </c>
      <c r="CL809" s="5" t="s">
        <v>238</v>
      </c>
      <c r="CM809" s="5" t="s">
        <v>238</v>
      </c>
      <c r="CN809" s="5">
        <v>0</v>
      </c>
      <c r="CO809" s="5" t="s">
        <v>259</v>
      </c>
      <c r="CP809" s="5" t="s">
        <v>260</v>
      </c>
      <c r="CQ809" s="5" t="s">
        <v>260</v>
      </c>
      <c r="CR809" s="5" t="s">
        <v>261</v>
      </c>
      <c r="CU809" s="8">
        <f>1</f>
        <v>1</v>
      </c>
      <c r="CV809" s="8">
        <f>0</f>
        <v>0</v>
      </c>
      <c r="CX809" s="8">
        <f>0</f>
        <v>0</v>
      </c>
      <c r="CY809" s="8">
        <f>1</f>
        <v>1</v>
      </c>
      <c r="DA809" s="5" t="s">
        <v>673</v>
      </c>
      <c r="DB809" s="5" t="s">
        <v>238</v>
      </c>
      <c r="DD809" s="5" t="s">
        <v>673</v>
      </c>
      <c r="DE809" s="8">
        <f>3189</f>
        <v>3189</v>
      </c>
      <c r="DG809" s="5" t="s">
        <v>238</v>
      </c>
      <c r="DH809" s="5" t="s">
        <v>238</v>
      </c>
      <c r="DI809" s="5" t="s">
        <v>238</v>
      </c>
      <c r="DJ809" s="5" t="s">
        <v>238</v>
      </c>
      <c r="DN809" s="5" t="s">
        <v>238</v>
      </c>
      <c r="DO809" s="5" t="s">
        <v>238</v>
      </c>
      <c r="DP809" s="5" t="s">
        <v>238</v>
      </c>
      <c r="DQ809" s="5" t="s">
        <v>238</v>
      </c>
      <c r="DT809" s="5" t="s">
        <v>2039</v>
      </c>
      <c r="DU809" s="5" t="s">
        <v>1158</v>
      </c>
      <c r="HM809" s="5" t="s">
        <v>264</v>
      </c>
    </row>
    <row r="810" spans="1:221" x14ac:dyDescent="0.4">
      <c r="A810" s="5">
        <v>2485</v>
      </c>
      <c r="B810" s="5">
        <v>1</v>
      </c>
      <c r="C810" s="5">
        <v>1</v>
      </c>
      <c r="D810" s="5" t="s">
        <v>2037</v>
      </c>
      <c r="E810" s="5" t="s">
        <v>271</v>
      </c>
      <c r="F810" s="5" t="s">
        <v>248</v>
      </c>
      <c r="G810" s="5" t="s">
        <v>1969</v>
      </c>
      <c r="H810" s="6" t="s">
        <v>3745</v>
      </c>
      <c r="I810" s="7">
        <f>697</f>
        <v>697</v>
      </c>
      <c r="J810" s="5" t="s">
        <v>262</v>
      </c>
      <c r="K810" s="8">
        <f>1</f>
        <v>1</v>
      </c>
      <c r="L810" s="6" t="s">
        <v>242</v>
      </c>
      <c r="M810" s="5" t="s">
        <v>267</v>
      </c>
      <c r="N810" s="5" t="s">
        <v>265</v>
      </c>
      <c r="O810" s="5" t="s">
        <v>238</v>
      </c>
      <c r="P810" s="5" t="s">
        <v>238</v>
      </c>
      <c r="Q810" s="5" t="s">
        <v>268</v>
      </c>
      <c r="R810" s="5" t="s">
        <v>270</v>
      </c>
      <c r="S810" s="5" t="s">
        <v>238</v>
      </c>
      <c r="V810" s="5" t="s">
        <v>238</v>
      </c>
      <c r="X810" s="6" t="s">
        <v>238</v>
      </c>
      <c r="AA810" s="6" t="s">
        <v>243</v>
      </c>
      <c r="AB810" s="5" t="s">
        <v>238</v>
      </c>
      <c r="AC810" s="5" t="s">
        <v>244</v>
      </c>
      <c r="AD810" s="5" t="s">
        <v>245</v>
      </c>
      <c r="AT810" s="5" t="s">
        <v>246</v>
      </c>
      <c r="AU810" s="5" t="s">
        <v>238</v>
      </c>
      <c r="AV810" s="5" t="s">
        <v>247</v>
      </c>
      <c r="AW810" s="5" t="s">
        <v>238</v>
      </c>
      <c r="AX810" s="5" t="s">
        <v>249</v>
      </c>
      <c r="AY810" s="5" t="s">
        <v>238</v>
      </c>
      <c r="BA810" s="5" t="s">
        <v>238</v>
      </c>
      <c r="BC810" s="5" t="s">
        <v>250</v>
      </c>
      <c r="BD810" s="6" t="s">
        <v>243</v>
      </c>
      <c r="BE810" s="5" t="s">
        <v>251</v>
      </c>
      <c r="BF810" s="5" t="s">
        <v>252</v>
      </c>
      <c r="BG810" s="5" t="s">
        <v>238</v>
      </c>
      <c r="BH810" s="7">
        <f>0</f>
        <v>0</v>
      </c>
      <c r="BI810" s="8">
        <f>0</f>
        <v>0</v>
      </c>
      <c r="BJ810" s="5" t="s">
        <v>253</v>
      </c>
      <c r="BK810" s="5" t="s">
        <v>254</v>
      </c>
      <c r="BY810" s="5" t="s">
        <v>238</v>
      </c>
      <c r="BZ810" s="5" t="s">
        <v>238</v>
      </c>
      <c r="CD810" s="5" t="s">
        <v>273</v>
      </c>
      <c r="CE810" s="5" t="s">
        <v>256</v>
      </c>
      <c r="CF810" s="5" t="s">
        <v>238</v>
      </c>
      <c r="CI810" s="6" t="s">
        <v>257</v>
      </c>
      <c r="CJ810" s="5" t="s">
        <v>238</v>
      </c>
      <c r="CK810" s="5" t="s">
        <v>258</v>
      </c>
      <c r="CL810" s="5" t="s">
        <v>238</v>
      </c>
      <c r="CM810" s="5" t="s">
        <v>238</v>
      </c>
      <c r="CN810" s="5">
        <v>0</v>
      </c>
      <c r="CO810" s="5" t="s">
        <v>259</v>
      </c>
      <c r="CP810" s="5" t="s">
        <v>260</v>
      </c>
      <c r="CQ810" s="5" t="s">
        <v>260</v>
      </c>
      <c r="CR810" s="5" t="s">
        <v>261</v>
      </c>
      <c r="CU810" s="8">
        <f>1</f>
        <v>1</v>
      </c>
      <c r="CV810" s="8">
        <f>0</f>
        <v>0</v>
      </c>
      <c r="CX810" s="8">
        <f>0</f>
        <v>0</v>
      </c>
      <c r="CY810" s="8">
        <f>1</f>
        <v>1</v>
      </c>
      <c r="DA810" s="5" t="s">
        <v>673</v>
      </c>
      <c r="DB810" s="5" t="s">
        <v>238</v>
      </c>
      <c r="DD810" s="5" t="s">
        <v>673</v>
      </c>
      <c r="DE810" s="8">
        <f>697</f>
        <v>697</v>
      </c>
      <c r="DG810" s="5" t="s">
        <v>238</v>
      </c>
      <c r="DH810" s="5" t="s">
        <v>238</v>
      </c>
      <c r="DI810" s="5" t="s">
        <v>238</v>
      </c>
      <c r="DJ810" s="5" t="s">
        <v>238</v>
      </c>
      <c r="DN810" s="5" t="s">
        <v>238</v>
      </c>
      <c r="DO810" s="5" t="s">
        <v>238</v>
      </c>
      <c r="DP810" s="5" t="s">
        <v>238</v>
      </c>
      <c r="DQ810" s="5" t="s">
        <v>238</v>
      </c>
      <c r="DT810" s="5" t="s">
        <v>2039</v>
      </c>
      <c r="DU810" s="5" t="s">
        <v>1156</v>
      </c>
      <c r="HM810" s="5" t="s">
        <v>264</v>
      </c>
    </row>
    <row r="811" spans="1:221" x14ac:dyDescent="0.4">
      <c r="A811" s="5">
        <v>2486</v>
      </c>
      <c r="B811" s="5">
        <v>1</v>
      </c>
      <c r="C811" s="5">
        <v>1</v>
      </c>
      <c r="D811" s="5" t="s">
        <v>2037</v>
      </c>
      <c r="E811" s="5" t="s">
        <v>271</v>
      </c>
      <c r="F811" s="5" t="s">
        <v>248</v>
      </c>
      <c r="G811" s="5" t="s">
        <v>1969</v>
      </c>
      <c r="H811" s="6" t="s">
        <v>3746</v>
      </c>
      <c r="I811" s="7">
        <f>502</f>
        <v>502</v>
      </c>
      <c r="J811" s="5" t="s">
        <v>262</v>
      </c>
      <c r="K811" s="8">
        <f>1</f>
        <v>1</v>
      </c>
      <c r="L811" s="6" t="s">
        <v>242</v>
      </c>
      <c r="M811" s="5" t="s">
        <v>267</v>
      </c>
      <c r="N811" s="5" t="s">
        <v>265</v>
      </c>
      <c r="O811" s="5" t="s">
        <v>238</v>
      </c>
      <c r="P811" s="5" t="s">
        <v>238</v>
      </c>
      <c r="Q811" s="5" t="s">
        <v>268</v>
      </c>
      <c r="R811" s="5" t="s">
        <v>270</v>
      </c>
      <c r="S811" s="5" t="s">
        <v>238</v>
      </c>
      <c r="V811" s="5" t="s">
        <v>238</v>
      </c>
      <c r="X811" s="6" t="s">
        <v>238</v>
      </c>
      <c r="AA811" s="6" t="s">
        <v>243</v>
      </c>
      <c r="AB811" s="5" t="s">
        <v>238</v>
      </c>
      <c r="AC811" s="5" t="s">
        <v>244</v>
      </c>
      <c r="AD811" s="5" t="s">
        <v>245</v>
      </c>
      <c r="AT811" s="5" t="s">
        <v>246</v>
      </c>
      <c r="AU811" s="5" t="s">
        <v>238</v>
      </c>
      <c r="AV811" s="5" t="s">
        <v>247</v>
      </c>
      <c r="AW811" s="5" t="s">
        <v>238</v>
      </c>
      <c r="AX811" s="5" t="s">
        <v>249</v>
      </c>
      <c r="AY811" s="5" t="s">
        <v>238</v>
      </c>
      <c r="BA811" s="5" t="s">
        <v>238</v>
      </c>
      <c r="BC811" s="5" t="s">
        <v>250</v>
      </c>
      <c r="BD811" s="6" t="s">
        <v>243</v>
      </c>
      <c r="BE811" s="5" t="s">
        <v>251</v>
      </c>
      <c r="BF811" s="5" t="s">
        <v>252</v>
      </c>
      <c r="BG811" s="5" t="s">
        <v>238</v>
      </c>
      <c r="BH811" s="7">
        <f>0</f>
        <v>0</v>
      </c>
      <c r="BI811" s="8">
        <f>0</f>
        <v>0</v>
      </c>
      <c r="BJ811" s="5" t="s">
        <v>253</v>
      </c>
      <c r="BK811" s="5" t="s">
        <v>254</v>
      </c>
      <c r="BY811" s="5" t="s">
        <v>238</v>
      </c>
      <c r="BZ811" s="5" t="s">
        <v>238</v>
      </c>
      <c r="CD811" s="5" t="s">
        <v>273</v>
      </c>
      <c r="CE811" s="5" t="s">
        <v>256</v>
      </c>
      <c r="CF811" s="5" t="s">
        <v>238</v>
      </c>
      <c r="CI811" s="6" t="s">
        <v>257</v>
      </c>
      <c r="CJ811" s="5" t="s">
        <v>238</v>
      </c>
      <c r="CK811" s="5" t="s">
        <v>258</v>
      </c>
      <c r="CL811" s="5" t="s">
        <v>238</v>
      </c>
      <c r="CM811" s="5" t="s">
        <v>238</v>
      </c>
      <c r="CN811" s="5">
        <v>0</v>
      </c>
      <c r="CO811" s="5" t="s">
        <v>259</v>
      </c>
      <c r="CP811" s="5" t="s">
        <v>260</v>
      </c>
      <c r="CQ811" s="5" t="s">
        <v>260</v>
      </c>
      <c r="CR811" s="5" t="s">
        <v>261</v>
      </c>
      <c r="CU811" s="8">
        <f>1</f>
        <v>1</v>
      </c>
      <c r="CV811" s="8">
        <f>0</f>
        <v>0</v>
      </c>
      <c r="CX811" s="8">
        <f>0</f>
        <v>0</v>
      </c>
      <c r="CY811" s="8">
        <f>1</f>
        <v>1</v>
      </c>
      <c r="DA811" s="5" t="s">
        <v>673</v>
      </c>
      <c r="DB811" s="5" t="s">
        <v>238</v>
      </c>
      <c r="DD811" s="5" t="s">
        <v>673</v>
      </c>
      <c r="DE811" s="8">
        <f>502</f>
        <v>502</v>
      </c>
      <c r="DG811" s="5" t="s">
        <v>238</v>
      </c>
      <c r="DH811" s="5" t="s">
        <v>238</v>
      </c>
      <c r="DI811" s="5" t="s">
        <v>238</v>
      </c>
      <c r="DJ811" s="5" t="s">
        <v>238</v>
      </c>
      <c r="DN811" s="5" t="s">
        <v>238</v>
      </c>
      <c r="DO811" s="5" t="s">
        <v>238</v>
      </c>
      <c r="DP811" s="5" t="s">
        <v>238</v>
      </c>
      <c r="DQ811" s="5" t="s">
        <v>238</v>
      </c>
      <c r="DT811" s="5" t="s">
        <v>2039</v>
      </c>
      <c r="DU811" s="5" t="s">
        <v>1152</v>
      </c>
      <c r="HM811" s="5" t="s">
        <v>264</v>
      </c>
    </row>
    <row r="812" spans="1:221" x14ac:dyDescent="0.4">
      <c r="A812" s="5">
        <v>2487</v>
      </c>
      <c r="B812" s="5">
        <v>1</v>
      </c>
      <c r="C812" s="5">
        <v>1</v>
      </c>
      <c r="D812" s="5" t="s">
        <v>2037</v>
      </c>
      <c r="E812" s="5" t="s">
        <v>271</v>
      </c>
      <c r="F812" s="5" t="s">
        <v>248</v>
      </c>
      <c r="G812" s="5" t="s">
        <v>1969</v>
      </c>
      <c r="H812" s="6" t="s">
        <v>3747</v>
      </c>
      <c r="I812" s="7">
        <f>465</f>
        <v>465</v>
      </c>
      <c r="J812" s="5" t="s">
        <v>262</v>
      </c>
      <c r="K812" s="8">
        <f>1</f>
        <v>1</v>
      </c>
      <c r="L812" s="6" t="s">
        <v>242</v>
      </c>
      <c r="M812" s="5" t="s">
        <v>267</v>
      </c>
      <c r="N812" s="5" t="s">
        <v>265</v>
      </c>
      <c r="O812" s="5" t="s">
        <v>238</v>
      </c>
      <c r="P812" s="5" t="s">
        <v>238</v>
      </c>
      <c r="Q812" s="5" t="s">
        <v>268</v>
      </c>
      <c r="R812" s="5" t="s">
        <v>270</v>
      </c>
      <c r="S812" s="5" t="s">
        <v>238</v>
      </c>
      <c r="V812" s="5" t="s">
        <v>238</v>
      </c>
      <c r="X812" s="6" t="s">
        <v>238</v>
      </c>
      <c r="AA812" s="6" t="s">
        <v>243</v>
      </c>
      <c r="AB812" s="5" t="s">
        <v>238</v>
      </c>
      <c r="AC812" s="5" t="s">
        <v>244</v>
      </c>
      <c r="AD812" s="5" t="s">
        <v>245</v>
      </c>
      <c r="AT812" s="5" t="s">
        <v>246</v>
      </c>
      <c r="AU812" s="5" t="s">
        <v>238</v>
      </c>
      <c r="AV812" s="5" t="s">
        <v>247</v>
      </c>
      <c r="AW812" s="5" t="s">
        <v>238</v>
      </c>
      <c r="AX812" s="5" t="s">
        <v>249</v>
      </c>
      <c r="AY812" s="5" t="s">
        <v>238</v>
      </c>
      <c r="BA812" s="5" t="s">
        <v>238</v>
      </c>
      <c r="BC812" s="5" t="s">
        <v>250</v>
      </c>
      <c r="BD812" s="6" t="s">
        <v>243</v>
      </c>
      <c r="BE812" s="5" t="s">
        <v>251</v>
      </c>
      <c r="BF812" s="5" t="s">
        <v>252</v>
      </c>
      <c r="BG812" s="5" t="s">
        <v>238</v>
      </c>
      <c r="BH812" s="7">
        <f>0</f>
        <v>0</v>
      </c>
      <c r="BI812" s="8">
        <f>0</f>
        <v>0</v>
      </c>
      <c r="BJ812" s="5" t="s">
        <v>253</v>
      </c>
      <c r="BK812" s="5" t="s">
        <v>254</v>
      </c>
      <c r="BY812" s="5" t="s">
        <v>238</v>
      </c>
      <c r="BZ812" s="5" t="s">
        <v>238</v>
      </c>
      <c r="CD812" s="5" t="s">
        <v>273</v>
      </c>
      <c r="CE812" s="5" t="s">
        <v>256</v>
      </c>
      <c r="CF812" s="5" t="s">
        <v>238</v>
      </c>
      <c r="CI812" s="6" t="s">
        <v>257</v>
      </c>
      <c r="CJ812" s="5" t="s">
        <v>238</v>
      </c>
      <c r="CK812" s="5" t="s">
        <v>258</v>
      </c>
      <c r="CL812" s="5" t="s">
        <v>238</v>
      </c>
      <c r="CM812" s="5" t="s">
        <v>238</v>
      </c>
      <c r="CN812" s="5">
        <v>0</v>
      </c>
      <c r="CO812" s="5" t="s">
        <v>259</v>
      </c>
      <c r="CP812" s="5" t="s">
        <v>260</v>
      </c>
      <c r="CQ812" s="5" t="s">
        <v>260</v>
      </c>
      <c r="CR812" s="5" t="s">
        <v>261</v>
      </c>
      <c r="CU812" s="8">
        <f>1</f>
        <v>1</v>
      </c>
      <c r="CV812" s="8">
        <f>0</f>
        <v>0</v>
      </c>
      <c r="CX812" s="8">
        <f>0</f>
        <v>0</v>
      </c>
      <c r="CY812" s="8">
        <f>1</f>
        <v>1</v>
      </c>
      <c r="DA812" s="5" t="s">
        <v>673</v>
      </c>
      <c r="DB812" s="5" t="s">
        <v>238</v>
      </c>
      <c r="DD812" s="5" t="s">
        <v>673</v>
      </c>
      <c r="DE812" s="8">
        <f>465</f>
        <v>465</v>
      </c>
      <c r="DG812" s="5" t="s">
        <v>238</v>
      </c>
      <c r="DH812" s="5" t="s">
        <v>238</v>
      </c>
      <c r="DI812" s="5" t="s">
        <v>238</v>
      </c>
      <c r="DJ812" s="5" t="s">
        <v>238</v>
      </c>
      <c r="DN812" s="5" t="s">
        <v>238</v>
      </c>
      <c r="DO812" s="5" t="s">
        <v>238</v>
      </c>
      <c r="DP812" s="5" t="s">
        <v>238</v>
      </c>
      <c r="DQ812" s="5" t="s">
        <v>238</v>
      </c>
      <c r="DT812" s="5" t="s">
        <v>2039</v>
      </c>
      <c r="DU812" s="5" t="s">
        <v>1148</v>
      </c>
      <c r="HM812" s="5" t="s">
        <v>264</v>
      </c>
    </row>
    <row r="813" spans="1:221" x14ac:dyDescent="0.4">
      <c r="A813" s="5">
        <v>2488</v>
      </c>
      <c r="B813" s="5">
        <v>1</v>
      </c>
      <c r="C813" s="5">
        <v>1</v>
      </c>
      <c r="D813" s="5" t="s">
        <v>2037</v>
      </c>
      <c r="E813" s="5" t="s">
        <v>271</v>
      </c>
      <c r="F813" s="5" t="s">
        <v>248</v>
      </c>
      <c r="G813" s="5" t="s">
        <v>1969</v>
      </c>
      <c r="H813" s="6" t="s">
        <v>3749</v>
      </c>
      <c r="I813" s="7">
        <f>1707</f>
        <v>1707</v>
      </c>
      <c r="J813" s="5" t="s">
        <v>262</v>
      </c>
      <c r="K813" s="8">
        <f>1</f>
        <v>1</v>
      </c>
      <c r="L813" s="6" t="s">
        <v>242</v>
      </c>
      <c r="M813" s="5" t="s">
        <v>267</v>
      </c>
      <c r="N813" s="5" t="s">
        <v>265</v>
      </c>
      <c r="O813" s="5" t="s">
        <v>238</v>
      </c>
      <c r="P813" s="5" t="s">
        <v>238</v>
      </c>
      <c r="Q813" s="5" t="s">
        <v>268</v>
      </c>
      <c r="R813" s="5" t="s">
        <v>270</v>
      </c>
      <c r="S813" s="5" t="s">
        <v>238</v>
      </c>
      <c r="V813" s="5" t="s">
        <v>238</v>
      </c>
      <c r="X813" s="6" t="s">
        <v>238</v>
      </c>
      <c r="AA813" s="6" t="s">
        <v>243</v>
      </c>
      <c r="AB813" s="5" t="s">
        <v>238</v>
      </c>
      <c r="AC813" s="5" t="s">
        <v>244</v>
      </c>
      <c r="AD813" s="5" t="s">
        <v>245</v>
      </c>
      <c r="AT813" s="5" t="s">
        <v>246</v>
      </c>
      <c r="AU813" s="5" t="s">
        <v>238</v>
      </c>
      <c r="AV813" s="5" t="s">
        <v>247</v>
      </c>
      <c r="AW813" s="5" t="s">
        <v>238</v>
      </c>
      <c r="AX813" s="5" t="s">
        <v>249</v>
      </c>
      <c r="AY813" s="5" t="s">
        <v>238</v>
      </c>
      <c r="BA813" s="5" t="s">
        <v>238</v>
      </c>
      <c r="BC813" s="5" t="s">
        <v>250</v>
      </c>
      <c r="BD813" s="6" t="s">
        <v>243</v>
      </c>
      <c r="BE813" s="5" t="s">
        <v>251</v>
      </c>
      <c r="BF813" s="5" t="s">
        <v>252</v>
      </c>
      <c r="BG813" s="5" t="s">
        <v>238</v>
      </c>
      <c r="BH813" s="7">
        <f>0</f>
        <v>0</v>
      </c>
      <c r="BI813" s="8">
        <f>0</f>
        <v>0</v>
      </c>
      <c r="BJ813" s="5" t="s">
        <v>253</v>
      </c>
      <c r="BK813" s="5" t="s">
        <v>254</v>
      </c>
      <c r="BY813" s="5" t="s">
        <v>238</v>
      </c>
      <c r="BZ813" s="5" t="s">
        <v>238</v>
      </c>
      <c r="CD813" s="5" t="s">
        <v>273</v>
      </c>
      <c r="CE813" s="5" t="s">
        <v>256</v>
      </c>
      <c r="CF813" s="5" t="s">
        <v>238</v>
      </c>
      <c r="CI813" s="6" t="s">
        <v>257</v>
      </c>
      <c r="CJ813" s="5" t="s">
        <v>238</v>
      </c>
      <c r="CK813" s="5" t="s">
        <v>258</v>
      </c>
      <c r="CL813" s="5" t="s">
        <v>238</v>
      </c>
      <c r="CM813" s="5" t="s">
        <v>238</v>
      </c>
      <c r="CN813" s="5">
        <v>0</v>
      </c>
      <c r="CO813" s="5" t="s">
        <v>259</v>
      </c>
      <c r="CP813" s="5" t="s">
        <v>260</v>
      </c>
      <c r="CQ813" s="5" t="s">
        <v>260</v>
      </c>
      <c r="CR813" s="5" t="s">
        <v>261</v>
      </c>
      <c r="CU813" s="8">
        <f>1</f>
        <v>1</v>
      </c>
      <c r="CV813" s="8">
        <f>0</f>
        <v>0</v>
      </c>
      <c r="CX813" s="8">
        <f>0</f>
        <v>0</v>
      </c>
      <c r="CY813" s="8">
        <f>1</f>
        <v>1</v>
      </c>
      <c r="DA813" s="5" t="s">
        <v>673</v>
      </c>
      <c r="DB813" s="5" t="s">
        <v>238</v>
      </c>
      <c r="DD813" s="5" t="s">
        <v>673</v>
      </c>
      <c r="DE813" s="8">
        <f>1707</f>
        <v>1707</v>
      </c>
      <c r="DG813" s="5" t="s">
        <v>238</v>
      </c>
      <c r="DH813" s="5" t="s">
        <v>238</v>
      </c>
      <c r="DI813" s="5" t="s">
        <v>238</v>
      </c>
      <c r="DJ813" s="5" t="s">
        <v>238</v>
      </c>
      <c r="DN813" s="5" t="s">
        <v>238</v>
      </c>
      <c r="DO813" s="5" t="s">
        <v>238</v>
      </c>
      <c r="DP813" s="5" t="s">
        <v>238</v>
      </c>
      <c r="DQ813" s="5" t="s">
        <v>238</v>
      </c>
      <c r="DT813" s="5" t="s">
        <v>2039</v>
      </c>
      <c r="DU813" s="5" t="s">
        <v>1146</v>
      </c>
      <c r="HM813" s="5" t="s">
        <v>264</v>
      </c>
    </row>
    <row r="814" spans="1:221" x14ac:dyDescent="0.4">
      <c r="A814" s="5">
        <v>2489</v>
      </c>
      <c r="B814" s="5">
        <v>1</v>
      </c>
      <c r="C814" s="5">
        <v>1</v>
      </c>
      <c r="D814" s="5" t="s">
        <v>2037</v>
      </c>
      <c r="E814" s="5" t="s">
        <v>271</v>
      </c>
      <c r="F814" s="5" t="s">
        <v>248</v>
      </c>
      <c r="G814" s="5" t="s">
        <v>1969</v>
      </c>
      <c r="H814" s="6" t="s">
        <v>3490</v>
      </c>
      <c r="I814" s="7">
        <f>751</f>
        <v>751</v>
      </c>
      <c r="J814" s="5" t="s">
        <v>262</v>
      </c>
      <c r="K814" s="8">
        <f>1</f>
        <v>1</v>
      </c>
      <c r="L814" s="6" t="s">
        <v>242</v>
      </c>
      <c r="M814" s="5" t="s">
        <v>267</v>
      </c>
      <c r="N814" s="5" t="s">
        <v>265</v>
      </c>
      <c r="O814" s="5" t="s">
        <v>238</v>
      </c>
      <c r="P814" s="5" t="s">
        <v>238</v>
      </c>
      <c r="Q814" s="5" t="s">
        <v>268</v>
      </c>
      <c r="R814" s="5" t="s">
        <v>270</v>
      </c>
      <c r="S814" s="5" t="s">
        <v>238</v>
      </c>
      <c r="V814" s="5" t="s">
        <v>238</v>
      </c>
      <c r="X814" s="6" t="s">
        <v>238</v>
      </c>
      <c r="AA814" s="6" t="s">
        <v>243</v>
      </c>
      <c r="AB814" s="5" t="s">
        <v>238</v>
      </c>
      <c r="AC814" s="5" t="s">
        <v>244</v>
      </c>
      <c r="AD814" s="5" t="s">
        <v>245</v>
      </c>
      <c r="AT814" s="5" t="s">
        <v>246</v>
      </c>
      <c r="AU814" s="5" t="s">
        <v>238</v>
      </c>
      <c r="AV814" s="5" t="s">
        <v>247</v>
      </c>
      <c r="AW814" s="5" t="s">
        <v>238</v>
      </c>
      <c r="AX814" s="5" t="s">
        <v>249</v>
      </c>
      <c r="AY814" s="5" t="s">
        <v>238</v>
      </c>
      <c r="BA814" s="5" t="s">
        <v>238</v>
      </c>
      <c r="BC814" s="5" t="s">
        <v>250</v>
      </c>
      <c r="BD814" s="6" t="s">
        <v>243</v>
      </c>
      <c r="BE814" s="5" t="s">
        <v>251</v>
      </c>
      <c r="BF814" s="5" t="s">
        <v>252</v>
      </c>
      <c r="BG814" s="5" t="s">
        <v>238</v>
      </c>
      <c r="BH814" s="7">
        <f>0</f>
        <v>0</v>
      </c>
      <c r="BI814" s="8">
        <f>0</f>
        <v>0</v>
      </c>
      <c r="BJ814" s="5" t="s">
        <v>253</v>
      </c>
      <c r="BK814" s="5" t="s">
        <v>254</v>
      </c>
      <c r="BY814" s="5" t="s">
        <v>238</v>
      </c>
      <c r="BZ814" s="5" t="s">
        <v>238</v>
      </c>
      <c r="CD814" s="5" t="s">
        <v>273</v>
      </c>
      <c r="CE814" s="5" t="s">
        <v>256</v>
      </c>
      <c r="CF814" s="5" t="s">
        <v>238</v>
      </c>
      <c r="CI814" s="6" t="s">
        <v>257</v>
      </c>
      <c r="CJ814" s="5" t="s">
        <v>238</v>
      </c>
      <c r="CK814" s="5" t="s">
        <v>258</v>
      </c>
      <c r="CL814" s="5" t="s">
        <v>238</v>
      </c>
      <c r="CM814" s="5" t="s">
        <v>238</v>
      </c>
      <c r="CN814" s="5">
        <v>0</v>
      </c>
      <c r="CO814" s="5" t="s">
        <v>259</v>
      </c>
      <c r="CP814" s="5" t="s">
        <v>260</v>
      </c>
      <c r="CQ814" s="5" t="s">
        <v>260</v>
      </c>
      <c r="CR814" s="5" t="s">
        <v>261</v>
      </c>
      <c r="CU814" s="8">
        <f>1</f>
        <v>1</v>
      </c>
      <c r="CV814" s="8">
        <f>0</f>
        <v>0</v>
      </c>
      <c r="CX814" s="8">
        <f>0</f>
        <v>0</v>
      </c>
      <c r="CY814" s="8">
        <f>1</f>
        <v>1</v>
      </c>
      <c r="DA814" s="5" t="s">
        <v>673</v>
      </c>
      <c r="DB814" s="5" t="s">
        <v>238</v>
      </c>
      <c r="DD814" s="5" t="s">
        <v>673</v>
      </c>
      <c r="DE814" s="8">
        <f>751</f>
        <v>751</v>
      </c>
      <c r="DG814" s="5" t="s">
        <v>238</v>
      </c>
      <c r="DH814" s="5" t="s">
        <v>238</v>
      </c>
      <c r="DI814" s="5" t="s">
        <v>238</v>
      </c>
      <c r="DJ814" s="5" t="s">
        <v>238</v>
      </c>
      <c r="DN814" s="5" t="s">
        <v>238</v>
      </c>
      <c r="DO814" s="5" t="s">
        <v>238</v>
      </c>
      <c r="DP814" s="5" t="s">
        <v>238</v>
      </c>
      <c r="DQ814" s="5" t="s">
        <v>238</v>
      </c>
      <c r="DT814" s="5" t="s">
        <v>2039</v>
      </c>
      <c r="DU814" s="5" t="s">
        <v>1428</v>
      </c>
      <c r="HM814" s="5" t="s">
        <v>264</v>
      </c>
    </row>
    <row r="815" spans="1:221" x14ac:dyDescent="0.4">
      <c r="A815" s="5">
        <v>2490</v>
      </c>
      <c r="B815" s="5">
        <v>1</v>
      </c>
      <c r="C815" s="5">
        <v>1</v>
      </c>
      <c r="D815" s="5" t="s">
        <v>2037</v>
      </c>
      <c r="E815" s="5" t="s">
        <v>271</v>
      </c>
      <c r="F815" s="5" t="s">
        <v>248</v>
      </c>
      <c r="G815" s="5" t="s">
        <v>1969</v>
      </c>
      <c r="H815" s="6" t="s">
        <v>3665</v>
      </c>
      <c r="I815" s="7">
        <f>931</f>
        <v>931</v>
      </c>
      <c r="J815" s="5" t="s">
        <v>262</v>
      </c>
      <c r="K815" s="8">
        <f>1</f>
        <v>1</v>
      </c>
      <c r="L815" s="6" t="s">
        <v>242</v>
      </c>
      <c r="M815" s="5" t="s">
        <v>267</v>
      </c>
      <c r="N815" s="5" t="s">
        <v>265</v>
      </c>
      <c r="O815" s="5" t="s">
        <v>238</v>
      </c>
      <c r="P815" s="5" t="s">
        <v>238</v>
      </c>
      <c r="Q815" s="5" t="s">
        <v>268</v>
      </c>
      <c r="R815" s="5" t="s">
        <v>270</v>
      </c>
      <c r="S815" s="5" t="s">
        <v>238</v>
      </c>
      <c r="V815" s="5" t="s">
        <v>238</v>
      </c>
      <c r="X815" s="6" t="s">
        <v>238</v>
      </c>
      <c r="AA815" s="6" t="s">
        <v>243</v>
      </c>
      <c r="AB815" s="5" t="s">
        <v>238</v>
      </c>
      <c r="AC815" s="5" t="s">
        <v>244</v>
      </c>
      <c r="AD815" s="5" t="s">
        <v>245</v>
      </c>
      <c r="AT815" s="5" t="s">
        <v>246</v>
      </c>
      <c r="AU815" s="5" t="s">
        <v>238</v>
      </c>
      <c r="AV815" s="5" t="s">
        <v>247</v>
      </c>
      <c r="AW815" s="5" t="s">
        <v>238</v>
      </c>
      <c r="AX815" s="5" t="s">
        <v>249</v>
      </c>
      <c r="AY815" s="5" t="s">
        <v>238</v>
      </c>
      <c r="BA815" s="5" t="s">
        <v>238</v>
      </c>
      <c r="BC815" s="5" t="s">
        <v>250</v>
      </c>
      <c r="BD815" s="6" t="s">
        <v>243</v>
      </c>
      <c r="BE815" s="5" t="s">
        <v>251</v>
      </c>
      <c r="BF815" s="5" t="s">
        <v>252</v>
      </c>
      <c r="BG815" s="5" t="s">
        <v>238</v>
      </c>
      <c r="BH815" s="7">
        <f>0</f>
        <v>0</v>
      </c>
      <c r="BI815" s="8">
        <f>0</f>
        <v>0</v>
      </c>
      <c r="BJ815" s="5" t="s">
        <v>253</v>
      </c>
      <c r="BK815" s="5" t="s">
        <v>254</v>
      </c>
      <c r="BY815" s="5" t="s">
        <v>238</v>
      </c>
      <c r="BZ815" s="5" t="s">
        <v>238</v>
      </c>
      <c r="CD815" s="5" t="s">
        <v>273</v>
      </c>
      <c r="CE815" s="5" t="s">
        <v>256</v>
      </c>
      <c r="CF815" s="5" t="s">
        <v>238</v>
      </c>
      <c r="CI815" s="6" t="s">
        <v>257</v>
      </c>
      <c r="CJ815" s="5" t="s">
        <v>238</v>
      </c>
      <c r="CK815" s="5" t="s">
        <v>258</v>
      </c>
      <c r="CL815" s="5" t="s">
        <v>238</v>
      </c>
      <c r="CM815" s="5" t="s">
        <v>238</v>
      </c>
      <c r="CN815" s="5">
        <v>0</v>
      </c>
      <c r="CO815" s="5" t="s">
        <v>259</v>
      </c>
      <c r="CP815" s="5" t="s">
        <v>260</v>
      </c>
      <c r="CQ815" s="5" t="s">
        <v>260</v>
      </c>
      <c r="CR815" s="5" t="s">
        <v>261</v>
      </c>
      <c r="CU815" s="8">
        <f>1</f>
        <v>1</v>
      </c>
      <c r="CV815" s="8">
        <f>0</f>
        <v>0</v>
      </c>
      <c r="CX815" s="8">
        <f>0</f>
        <v>0</v>
      </c>
      <c r="CY815" s="8">
        <f>1</f>
        <v>1</v>
      </c>
      <c r="DA815" s="5" t="s">
        <v>673</v>
      </c>
      <c r="DB815" s="5" t="s">
        <v>238</v>
      </c>
      <c r="DD815" s="5" t="s">
        <v>673</v>
      </c>
      <c r="DE815" s="8">
        <f>931</f>
        <v>931</v>
      </c>
      <c r="DG815" s="5" t="s">
        <v>238</v>
      </c>
      <c r="DH815" s="5" t="s">
        <v>238</v>
      </c>
      <c r="DI815" s="5" t="s">
        <v>238</v>
      </c>
      <c r="DJ815" s="5" t="s">
        <v>238</v>
      </c>
      <c r="DN815" s="5" t="s">
        <v>238</v>
      </c>
      <c r="DO815" s="5" t="s">
        <v>238</v>
      </c>
      <c r="DP815" s="5" t="s">
        <v>238</v>
      </c>
      <c r="DQ815" s="5" t="s">
        <v>238</v>
      </c>
      <c r="DT815" s="5" t="s">
        <v>2039</v>
      </c>
      <c r="DU815" s="5" t="s">
        <v>1142</v>
      </c>
      <c r="HM815" s="5" t="s">
        <v>264</v>
      </c>
    </row>
    <row r="816" spans="1:221" x14ac:dyDescent="0.4">
      <c r="A816" s="5">
        <v>2491</v>
      </c>
      <c r="B816" s="5">
        <v>1</v>
      </c>
      <c r="C816" s="5">
        <v>1</v>
      </c>
      <c r="D816" s="5" t="s">
        <v>2037</v>
      </c>
      <c r="E816" s="5" t="s">
        <v>271</v>
      </c>
      <c r="F816" s="5" t="s">
        <v>248</v>
      </c>
      <c r="G816" s="5" t="s">
        <v>1969</v>
      </c>
      <c r="H816" s="6" t="s">
        <v>3609</v>
      </c>
      <c r="I816" s="7">
        <f>497</f>
        <v>497</v>
      </c>
      <c r="J816" s="5" t="s">
        <v>262</v>
      </c>
      <c r="K816" s="8">
        <f>1</f>
        <v>1</v>
      </c>
      <c r="L816" s="6" t="s">
        <v>242</v>
      </c>
      <c r="M816" s="5" t="s">
        <v>267</v>
      </c>
      <c r="N816" s="5" t="s">
        <v>265</v>
      </c>
      <c r="O816" s="5" t="s">
        <v>238</v>
      </c>
      <c r="P816" s="5" t="s">
        <v>238</v>
      </c>
      <c r="Q816" s="5" t="s">
        <v>268</v>
      </c>
      <c r="R816" s="5" t="s">
        <v>270</v>
      </c>
      <c r="S816" s="5" t="s">
        <v>238</v>
      </c>
      <c r="V816" s="5" t="s">
        <v>238</v>
      </c>
      <c r="X816" s="6" t="s">
        <v>238</v>
      </c>
      <c r="AA816" s="6" t="s">
        <v>243</v>
      </c>
      <c r="AB816" s="5" t="s">
        <v>238</v>
      </c>
      <c r="AC816" s="5" t="s">
        <v>244</v>
      </c>
      <c r="AD816" s="5" t="s">
        <v>245</v>
      </c>
      <c r="AT816" s="5" t="s">
        <v>246</v>
      </c>
      <c r="AU816" s="5" t="s">
        <v>238</v>
      </c>
      <c r="AV816" s="5" t="s">
        <v>247</v>
      </c>
      <c r="AW816" s="5" t="s">
        <v>238</v>
      </c>
      <c r="AX816" s="5" t="s">
        <v>249</v>
      </c>
      <c r="AY816" s="5" t="s">
        <v>238</v>
      </c>
      <c r="BA816" s="5" t="s">
        <v>238</v>
      </c>
      <c r="BC816" s="5" t="s">
        <v>250</v>
      </c>
      <c r="BD816" s="6" t="s">
        <v>243</v>
      </c>
      <c r="BE816" s="5" t="s">
        <v>251</v>
      </c>
      <c r="BF816" s="5" t="s">
        <v>252</v>
      </c>
      <c r="BG816" s="5" t="s">
        <v>238</v>
      </c>
      <c r="BH816" s="7">
        <f>0</f>
        <v>0</v>
      </c>
      <c r="BI816" s="8">
        <f>0</f>
        <v>0</v>
      </c>
      <c r="BJ816" s="5" t="s">
        <v>253</v>
      </c>
      <c r="BK816" s="5" t="s">
        <v>254</v>
      </c>
      <c r="BY816" s="5" t="s">
        <v>238</v>
      </c>
      <c r="BZ816" s="5" t="s">
        <v>238</v>
      </c>
      <c r="CD816" s="5" t="s">
        <v>273</v>
      </c>
      <c r="CE816" s="5" t="s">
        <v>256</v>
      </c>
      <c r="CF816" s="5" t="s">
        <v>238</v>
      </c>
      <c r="CI816" s="6" t="s">
        <v>257</v>
      </c>
      <c r="CJ816" s="5" t="s">
        <v>238</v>
      </c>
      <c r="CK816" s="5" t="s">
        <v>258</v>
      </c>
      <c r="CL816" s="5" t="s">
        <v>238</v>
      </c>
      <c r="CM816" s="5" t="s">
        <v>238</v>
      </c>
      <c r="CN816" s="5">
        <v>0</v>
      </c>
      <c r="CO816" s="5" t="s">
        <v>259</v>
      </c>
      <c r="CP816" s="5" t="s">
        <v>260</v>
      </c>
      <c r="CQ816" s="5" t="s">
        <v>260</v>
      </c>
      <c r="CR816" s="5" t="s">
        <v>261</v>
      </c>
      <c r="CU816" s="8">
        <f>1</f>
        <v>1</v>
      </c>
      <c r="CV816" s="8">
        <f>0</f>
        <v>0</v>
      </c>
      <c r="CX816" s="8">
        <f>0</f>
        <v>0</v>
      </c>
      <c r="CY816" s="8">
        <f>1</f>
        <v>1</v>
      </c>
      <c r="DA816" s="5" t="s">
        <v>673</v>
      </c>
      <c r="DB816" s="5" t="s">
        <v>238</v>
      </c>
      <c r="DD816" s="5" t="s">
        <v>673</v>
      </c>
      <c r="DE816" s="8">
        <f>497</f>
        <v>497</v>
      </c>
      <c r="DG816" s="5" t="s">
        <v>238</v>
      </c>
      <c r="DH816" s="5" t="s">
        <v>238</v>
      </c>
      <c r="DI816" s="5" t="s">
        <v>238</v>
      </c>
      <c r="DJ816" s="5" t="s">
        <v>238</v>
      </c>
      <c r="DN816" s="5" t="s">
        <v>238</v>
      </c>
      <c r="DO816" s="5" t="s">
        <v>238</v>
      </c>
      <c r="DP816" s="5" t="s">
        <v>238</v>
      </c>
      <c r="DQ816" s="5" t="s">
        <v>238</v>
      </c>
      <c r="DT816" s="5" t="s">
        <v>2039</v>
      </c>
      <c r="DU816" s="5" t="s">
        <v>390</v>
      </c>
      <c r="HM816" s="5" t="s">
        <v>264</v>
      </c>
    </row>
    <row r="817" spans="1:221" x14ac:dyDescent="0.4">
      <c r="A817" s="5">
        <v>2492</v>
      </c>
      <c r="B817" s="5">
        <v>1</v>
      </c>
      <c r="C817" s="5">
        <v>1</v>
      </c>
      <c r="D817" s="5" t="s">
        <v>2037</v>
      </c>
      <c r="E817" s="5" t="s">
        <v>271</v>
      </c>
      <c r="F817" s="5" t="s">
        <v>248</v>
      </c>
      <c r="G817" s="5" t="s">
        <v>1969</v>
      </c>
      <c r="H817" s="6" t="s">
        <v>3254</v>
      </c>
      <c r="I817" s="7">
        <f>1453</f>
        <v>1453</v>
      </c>
      <c r="J817" s="5" t="s">
        <v>262</v>
      </c>
      <c r="K817" s="8">
        <f>1</f>
        <v>1</v>
      </c>
      <c r="L817" s="6" t="s">
        <v>242</v>
      </c>
      <c r="M817" s="5" t="s">
        <v>267</v>
      </c>
      <c r="N817" s="5" t="s">
        <v>265</v>
      </c>
      <c r="O817" s="5" t="s">
        <v>238</v>
      </c>
      <c r="P817" s="5" t="s">
        <v>238</v>
      </c>
      <c r="Q817" s="5" t="s">
        <v>268</v>
      </c>
      <c r="R817" s="5" t="s">
        <v>270</v>
      </c>
      <c r="S817" s="5" t="s">
        <v>238</v>
      </c>
      <c r="V817" s="5" t="s">
        <v>238</v>
      </c>
      <c r="X817" s="6" t="s">
        <v>238</v>
      </c>
      <c r="AA817" s="6" t="s">
        <v>243</v>
      </c>
      <c r="AB817" s="5" t="s">
        <v>238</v>
      </c>
      <c r="AC817" s="5" t="s">
        <v>244</v>
      </c>
      <c r="AD817" s="5" t="s">
        <v>245</v>
      </c>
      <c r="AT817" s="5" t="s">
        <v>246</v>
      </c>
      <c r="AU817" s="5" t="s">
        <v>238</v>
      </c>
      <c r="AV817" s="5" t="s">
        <v>247</v>
      </c>
      <c r="AW817" s="5" t="s">
        <v>238</v>
      </c>
      <c r="AX817" s="5" t="s">
        <v>249</v>
      </c>
      <c r="AY817" s="5" t="s">
        <v>238</v>
      </c>
      <c r="BA817" s="5" t="s">
        <v>238</v>
      </c>
      <c r="BC817" s="5" t="s">
        <v>250</v>
      </c>
      <c r="BD817" s="6" t="s">
        <v>243</v>
      </c>
      <c r="BE817" s="5" t="s">
        <v>251</v>
      </c>
      <c r="BF817" s="5" t="s">
        <v>252</v>
      </c>
      <c r="BG817" s="5" t="s">
        <v>238</v>
      </c>
      <c r="BH817" s="7">
        <f>0</f>
        <v>0</v>
      </c>
      <c r="BI817" s="8">
        <f>0</f>
        <v>0</v>
      </c>
      <c r="BJ817" s="5" t="s">
        <v>253</v>
      </c>
      <c r="BK817" s="5" t="s">
        <v>254</v>
      </c>
      <c r="BY817" s="5" t="s">
        <v>238</v>
      </c>
      <c r="BZ817" s="5" t="s">
        <v>238</v>
      </c>
      <c r="CD817" s="5" t="s">
        <v>273</v>
      </c>
      <c r="CE817" s="5" t="s">
        <v>256</v>
      </c>
      <c r="CF817" s="5" t="s">
        <v>238</v>
      </c>
      <c r="CI817" s="6" t="s">
        <v>257</v>
      </c>
      <c r="CJ817" s="5" t="s">
        <v>238</v>
      </c>
      <c r="CK817" s="5" t="s">
        <v>258</v>
      </c>
      <c r="CL817" s="5" t="s">
        <v>238</v>
      </c>
      <c r="CM817" s="5" t="s">
        <v>238</v>
      </c>
      <c r="CN817" s="5">
        <v>0</v>
      </c>
      <c r="CO817" s="5" t="s">
        <v>259</v>
      </c>
      <c r="CP817" s="5" t="s">
        <v>260</v>
      </c>
      <c r="CQ817" s="5" t="s">
        <v>260</v>
      </c>
      <c r="CR817" s="5" t="s">
        <v>261</v>
      </c>
      <c r="CU817" s="8">
        <f>1</f>
        <v>1</v>
      </c>
      <c r="CV817" s="8">
        <f>0</f>
        <v>0</v>
      </c>
      <c r="CX817" s="8">
        <f>0</f>
        <v>0</v>
      </c>
      <c r="CY817" s="8">
        <f>1</f>
        <v>1</v>
      </c>
      <c r="DA817" s="5" t="s">
        <v>673</v>
      </c>
      <c r="DB817" s="5" t="s">
        <v>238</v>
      </c>
      <c r="DD817" s="5" t="s">
        <v>673</v>
      </c>
      <c r="DE817" s="8">
        <f>1453</f>
        <v>1453</v>
      </c>
      <c r="DG817" s="5" t="s">
        <v>238</v>
      </c>
      <c r="DH817" s="5" t="s">
        <v>238</v>
      </c>
      <c r="DI817" s="5" t="s">
        <v>238</v>
      </c>
      <c r="DJ817" s="5" t="s">
        <v>238</v>
      </c>
      <c r="DN817" s="5" t="s">
        <v>238</v>
      </c>
      <c r="DO817" s="5" t="s">
        <v>238</v>
      </c>
      <c r="DP817" s="5" t="s">
        <v>238</v>
      </c>
      <c r="DQ817" s="5" t="s">
        <v>238</v>
      </c>
      <c r="DT817" s="5" t="s">
        <v>2039</v>
      </c>
      <c r="DU817" s="5" t="s">
        <v>1137</v>
      </c>
      <c r="HM817" s="5" t="s">
        <v>264</v>
      </c>
    </row>
    <row r="818" spans="1:221" x14ac:dyDescent="0.4">
      <c r="A818" s="5">
        <v>2493</v>
      </c>
      <c r="B818" s="5">
        <v>1</v>
      </c>
      <c r="C818" s="5">
        <v>1</v>
      </c>
      <c r="D818" s="5" t="s">
        <v>2037</v>
      </c>
      <c r="E818" s="5" t="s">
        <v>271</v>
      </c>
      <c r="F818" s="5" t="s">
        <v>248</v>
      </c>
      <c r="G818" s="5" t="s">
        <v>1969</v>
      </c>
      <c r="H818" s="6" t="s">
        <v>2444</v>
      </c>
      <c r="I818" s="7">
        <f>466</f>
        <v>466</v>
      </c>
      <c r="J818" s="5" t="s">
        <v>262</v>
      </c>
      <c r="K818" s="8">
        <f>1</f>
        <v>1</v>
      </c>
      <c r="L818" s="6" t="s">
        <v>242</v>
      </c>
      <c r="M818" s="5" t="s">
        <v>267</v>
      </c>
      <c r="N818" s="5" t="s">
        <v>265</v>
      </c>
      <c r="O818" s="5" t="s">
        <v>238</v>
      </c>
      <c r="P818" s="5" t="s">
        <v>238</v>
      </c>
      <c r="Q818" s="5" t="s">
        <v>268</v>
      </c>
      <c r="R818" s="5" t="s">
        <v>270</v>
      </c>
      <c r="S818" s="5" t="s">
        <v>238</v>
      </c>
      <c r="V818" s="5" t="s">
        <v>238</v>
      </c>
      <c r="X818" s="6" t="s">
        <v>238</v>
      </c>
      <c r="AA818" s="6" t="s">
        <v>243</v>
      </c>
      <c r="AB818" s="5" t="s">
        <v>238</v>
      </c>
      <c r="AC818" s="5" t="s">
        <v>244</v>
      </c>
      <c r="AD818" s="5" t="s">
        <v>245</v>
      </c>
      <c r="AT818" s="5" t="s">
        <v>246</v>
      </c>
      <c r="AU818" s="5" t="s">
        <v>238</v>
      </c>
      <c r="AV818" s="5" t="s">
        <v>247</v>
      </c>
      <c r="AW818" s="5" t="s">
        <v>238</v>
      </c>
      <c r="AX818" s="5" t="s">
        <v>249</v>
      </c>
      <c r="AY818" s="5" t="s">
        <v>238</v>
      </c>
      <c r="BA818" s="5" t="s">
        <v>238</v>
      </c>
      <c r="BC818" s="5" t="s">
        <v>250</v>
      </c>
      <c r="BD818" s="6" t="s">
        <v>243</v>
      </c>
      <c r="BE818" s="5" t="s">
        <v>251</v>
      </c>
      <c r="BF818" s="5" t="s">
        <v>252</v>
      </c>
      <c r="BG818" s="5" t="s">
        <v>238</v>
      </c>
      <c r="BH818" s="7">
        <f>0</f>
        <v>0</v>
      </c>
      <c r="BI818" s="8">
        <f>0</f>
        <v>0</v>
      </c>
      <c r="BJ818" s="5" t="s">
        <v>253</v>
      </c>
      <c r="BK818" s="5" t="s">
        <v>254</v>
      </c>
      <c r="BY818" s="5" t="s">
        <v>238</v>
      </c>
      <c r="BZ818" s="5" t="s">
        <v>238</v>
      </c>
      <c r="CD818" s="5" t="s">
        <v>273</v>
      </c>
      <c r="CE818" s="5" t="s">
        <v>256</v>
      </c>
      <c r="CF818" s="5" t="s">
        <v>238</v>
      </c>
      <c r="CI818" s="6" t="s">
        <v>257</v>
      </c>
      <c r="CJ818" s="5" t="s">
        <v>238</v>
      </c>
      <c r="CK818" s="5" t="s">
        <v>258</v>
      </c>
      <c r="CL818" s="5" t="s">
        <v>238</v>
      </c>
      <c r="CM818" s="5" t="s">
        <v>238</v>
      </c>
      <c r="CN818" s="5">
        <v>0</v>
      </c>
      <c r="CO818" s="5" t="s">
        <v>259</v>
      </c>
      <c r="CP818" s="5" t="s">
        <v>260</v>
      </c>
      <c r="CQ818" s="5" t="s">
        <v>260</v>
      </c>
      <c r="CR818" s="5" t="s">
        <v>261</v>
      </c>
      <c r="CU818" s="8">
        <f>1</f>
        <v>1</v>
      </c>
      <c r="CV818" s="8">
        <f>0</f>
        <v>0</v>
      </c>
      <c r="CX818" s="8">
        <f>0</f>
        <v>0</v>
      </c>
      <c r="CY818" s="8">
        <f>1</f>
        <v>1</v>
      </c>
      <c r="DA818" s="5" t="s">
        <v>673</v>
      </c>
      <c r="DB818" s="5" t="s">
        <v>238</v>
      </c>
      <c r="DD818" s="5" t="s">
        <v>673</v>
      </c>
      <c r="DE818" s="8">
        <f>466</f>
        <v>466</v>
      </c>
      <c r="DG818" s="5" t="s">
        <v>238</v>
      </c>
      <c r="DH818" s="5" t="s">
        <v>238</v>
      </c>
      <c r="DI818" s="5" t="s">
        <v>238</v>
      </c>
      <c r="DJ818" s="5" t="s">
        <v>238</v>
      </c>
      <c r="DN818" s="5" t="s">
        <v>238</v>
      </c>
      <c r="DO818" s="5" t="s">
        <v>238</v>
      </c>
      <c r="DP818" s="5" t="s">
        <v>238</v>
      </c>
      <c r="DQ818" s="5" t="s">
        <v>238</v>
      </c>
      <c r="DT818" s="5" t="s">
        <v>2039</v>
      </c>
      <c r="DU818" s="5" t="s">
        <v>1135</v>
      </c>
      <c r="HM818" s="5" t="s">
        <v>264</v>
      </c>
    </row>
    <row r="819" spans="1:221" x14ac:dyDescent="0.4">
      <c r="A819" s="5">
        <v>2494</v>
      </c>
      <c r="B819" s="5">
        <v>1</v>
      </c>
      <c r="C819" s="5">
        <v>1</v>
      </c>
      <c r="D819" s="5" t="s">
        <v>2037</v>
      </c>
      <c r="E819" s="5" t="s">
        <v>271</v>
      </c>
      <c r="F819" s="5" t="s">
        <v>248</v>
      </c>
      <c r="G819" s="5" t="s">
        <v>1969</v>
      </c>
      <c r="H819" s="6" t="s">
        <v>3518</v>
      </c>
      <c r="I819" s="7">
        <f>3053</f>
        <v>3053</v>
      </c>
      <c r="J819" s="5" t="s">
        <v>262</v>
      </c>
      <c r="K819" s="8">
        <f>1</f>
        <v>1</v>
      </c>
      <c r="L819" s="6" t="s">
        <v>242</v>
      </c>
      <c r="M819" s="5" t="s">
        <v>267</v>
      </c>
      <c r="N819" s="5" t="s">
        <v>265</v>
      </c>
      <c r="O819" s="5" t="s">
        <v>238</v>
      </c>
      <c r="P819" s="5" t="s">
        <v>238</v>
      </c>
      <c r="Q819" s="5" t="s">
        <v>268</v>
      </c>
      <c r="R819" s="5" t="s">
        <v>270</v>
      </c>
      <c r="S819" s="5" t="s">
        <v>238</v>
      </c>
      <c r="V819" s="5" t="s">
        <v>238</v>
      </c>
      <c r="X819" s="6" t="s">
        <v>238</v>
      </c>
      <c r="AA819" s="6" t="s">
        <v>243</v>
      </c>
      <c r="AB819" s="5" t="s">
        <v>238</v>
      </c>
      <c r="AC819" s="5" t="s">
        <v>244</v>
      </c>
      <c r="AD819" s="5" t="s">
        <v>245</v>
      </c>
      <c r="AT819" s="5" t="s">
        <v>246</v>
      </c>
      <c r="AU819" s="5" t="s">
        <v>238</v>
      </c>
      <c r="AV819" s="5" t="s">
        <v>247</v>
      </c>
      <c r="AW819" s="5" t="s">
        <v>238</v>
      </c>
      <c r="AX819" s="5" t="s">
        <v>249</v>
      </c>
      <c r="AY819" s="5" t="s">
        <v>238</v>
      </c>
      <c r="BA819" s="5" t="s">
        <v>238</v>
      </c>
      <c r="BC819" s="5" t="s">
        <v>250</v>
      </c>
      <c r="BD819" s="6" t="s">
        <v>243</v>
      </c>
      <c r="BE819" s="5" t="s">
        <v>251</v>
      </c>
      <c r="BF819" s="5" t="s">
        <v>252</v>
      </c>
      <c r="BG819" s="5" t="s">
        <v>238</v>
      </c>
      <c r="BH819" s="7">
        <f>0</f>
        <v>0</v>
      </c>
      <c r="BI819" s="8">
        <f>0</f>
        <v>0</v>
      </c>
      <c r="BJ819" s="5" t="s">
        <v>253</v>
      </c>
      <c r="BK819" s="5" t="s">
        <v>254</v>
      </c>
      <c r="BY819" s="5" t="s">
        <v>238</v>
      </c>
      <c r="BZ819" s="5" t="s">
        <v>238</v>
      </c>
      <c r="CD819" s="5" t="s">
        <v>273</v>
      </c>
      <c r="CE819" s="5" t="s">
        <v>256</v>
      </c>
      <c r="CF819" s="5" t="s">
        <v>238</v>
      </c>
      <c r="CI819" s="6" t="s">
        <v>257</v>
      </c>
      <c r="CJ819" s="5" t="s">
        <v>238</v>
      </c>
      <c r="CK819" s="5" t="s">
        <v>258</v>
      </c>
      <c r="CL819" s="5" t="s">
        <v>238</v>
      </c>
      <c r="CM819" s="5" t="s">
        <v>238</v>
      </c>
      <c r="CN819" s="5">
        <v>0</v>
      </c>
      <c r="CO819" s="5" t="s">
        <v>259</v>
      </c>
      <c r="CP819" s="5" t="s">
        <v>260</v>
      </c>
      <c r="CQ819" s="5" t="s">
        <v>260</v>
      </c>
      <c r="CR819" s="5" t="s">
        <v>261</v>
      </c>
      <c r="CU819" s="8">
        <f>1</f>
        <v>1</v>
      </c>
      <c r="CV819" s="8">
        <f>0</f>
        <v>0</v>
      </c>
      <c r="CX819" s="8">
        <f>0</f>
        <v>0</v>
      </c>
      <c r="CY819" s="8">
        <f>1</f>
        <v>1</v>
      </c>
      <c r="DA819" s="5" t="s">
        <v>673</v>
      </c>
      <c r="DB819" s="5" t="s">
        <v>238</v>
      </c>
      <c r="DD819" s="5" t="s">
        <v>673</v>
      </c>
      <c r="DE819" s="8">
        <f>3053</f>
        <v>3053</v>
      </c>
      <c r="DG819" s="5" t="s">
        <v>238</v>
      </c>
      <c r="DH819" s="5" t="s">
        <v>238</v>
      </c>
      <c r="DI819" s="5" t="s">
        <v>238</v>
      </c>
      <c r="DJ819" s="5" t="s">
        <v>238</v>
      </c>
      <c r="DN819" s="5" t="s">
        <v>238</v>
      </c>
      <c r="DO819" s="5" t="s">
        <v>238</v>
      </c>
      <c r="DP819" s="5" t="s">
        <v>238</v>
      </c>
      <c r="DQ819" s="5" t="s">
        <v>238</v>
      </c>
      <c r="DT819" s="5" t="s">
        <v>2039</v>
      </c>
      <c r="DU819" s="5" t="s">
        <v>422</v>
      </c>
      <c r="HM819" s="5" t="s">
        <v>264</v>
      </c>
    </row>
    <row r="820" spans="1:221" x14ac:dyDescent="0.4">
      <c r="A820" s="5">
        <v>2495</v>
      </c>
      <c r="B820" s="5">
        <v>1</v>
      </c>
      <c r="C820" s="5">
        <v>1</v>
      </c>
      <c r="D820" s="5" t="s">
        <v>2037</v>
      </c>
      <c r="E820" s="5" t="s">
        <v>271</v>
      </c>
      <c r="F820" s="5" t="s">
        <v>248</v>
      </c>
      <c r="G820" s="5" t="s">
        <v>1969</v>
      </c>
      <c r="H820" s="6" t="s">
        <v>2193</v>
      </c>
      <c r="I820" s="7">
        <f>1645</f>
        <v>1645</v>
      </c>
      <c r="J820" s="5" t="s">
        <v>262</v>
      </c>
      <c r="K820" s="8">
        <f>1</f>
        <v>1</v>
      </c>
      <c r="L820" s="6" t="s">
        <v>242</v>
      </c>
      <c r="M820" s="5" t="s">
        <v>267</v>
      </c>
      <c r="N820" s="5" t="s">
        <v>265</v>
      </c>
      <c r="O820" s="5" t="s">
        <v>238</v>
      </c>
      <c r="P820" s="5" t="s">
        <v>238</v>
      </c>
      <c r="Q820" s="5" t="s">
        <v>268</v>
      </c>
      <c r="R820" s="5" t="s">
        <v>270</v>
      </c>
      <c r="S820" s="5" t="s">
        <v>238</v>
      </c>
      <c r="V820" s="5" t="s">
        <v>238</v>
      </c>
      <c r="X820" s="6" t="s">
        <v>238</v>
      </c>
      <c r="AA820" s="6" t="s">
        <v>243</v>
      </c>
      <c r="AB820" s="5" t="s">
        <v>238</v>
      </c>
      <c r="AC820" s="5" t="s">
        <v>244</v>
      </c>
      <c r="AD820" s="5" t="s">
        <v>245</v>
      </c>
      <c r="AT820" s="5" t="s">
        <v>246</v>
      </c>
      <c r="AU820" s="5" t="s">
        <v>238</v>
      </c>
      <c r="AV820" s="5" t="s">
        <v>247</v>
      </c>
      <c r="AW820" s="5" t="s">
        <v>238</v>
      </c>
      <c r="AX820" s="5" t="s">
        <v>249</v>
      </c>
      <c r="AY820" s="5" t="s">
        <v>238</v>
      </c>
      <c r="BA820" s="5" t="s">
        <v>238</v>
      </c>
      <c r="BC820" s="5" t="s">
        <v>250</v>
      </c>
      <c r="BD820" s="6" t="s">
        <v>243</v>
      </c>
      <c r="BE820" s="5" t="s">
        <v>251</v>
      </c>
      <c r="BF820" s="5" t="s">
        <v>252</v>
      </c>
      <c r="BG820" s="5" t="s">
        <v>238</v>
      </c>
      <c r="BH820" s="7">
        <f>0</f>
        <v>0</v>
      </c>
      <c r="BI820" s="8">
        <f>0</f>
        <v>0</v>
      </c>
      <c r="BJ820" s="5" t="s">
        <v>253</v>
      </c>
      <c r="BK820" s="5" t="s">
        <v>254</v>
      </c>
      <c r="BY820" s="5" t="s">
        <v>238</v>
      </c>
      <c r="BZ820" s="5" t="s">
        <v>238</v>
      </c>
      <c r="CD820" s="5" t="s">
        <v>273</v>
      </c>
      <c r="CE820" s="5" t="s">
        <v>256</v>
      </c>
      <c r="CF820" s="5" t="s">
        <v>238</v>
      </c>
      <c r="CI820" s="6" t="s">
        <v>257</v>
      </c>
      <c r="CJ820" s="5" t="s">
        <v>238</v>
      </c>
      <c r="CK820" s="5" t="s">
        <v>258</v>
      </c>
      <c r="CL820" s="5" t="s">
        <v>238</v>
      </c>
      <c r="CM820" s="5" t="s">
        <v>238</v>
      </c>
      <c r="CN820" s="5">
        <v>0</v>
      </c>
      <c r="CO820" s="5" t="s">
        <v>259</v>
      </c>
      <c r="CP820" s="5" t="s">
        <v>260</v>
      </c>
      <c r="CQ820" s="5" t="s">
        <v>260</v>
      </c>
      <c r="CR820" s="5" t="s">
        <v>261</v>
      </c>
      <c r="CU820" s="8">
        <f>1</f>
        <v>1</v>
      </c>
      <c r="CV820" s="8">
        <f>0</f>
        <v>0</v>
      </c>
      <c r="CX820" s="8">
        <f>0</f>
        <v>0</v>
      </c>
      <c r="CY820" s="8">
        <f>1</f>
        <v>1</v>
      </c>
      <c r="DA820" s="5" t="s">
        <v>673</v>
      </c>
      <c r="DB820" s="5" t="s">
        <v>238</v>
      </c>
      <c r="DD820" s="5" t="s">
        <v>673</v>
      </c>
      <c r="DE820" s="8">
        <f>1645</f>
        <v>1645</v>
      </c>
      <c r="DG820" s="5" t="s">
        <v>238</v>
      </c>
      <c r="DH820" s="5" t="s">
        <v>238</v>
      </c>
      <c r="DI820" s="5" t="s">
        <v>238</v>
      </c>
      <c r="DJ820" s="5" t="s">
        <v>238</v>
      </c>
      <c r="DN820" s="5" t="s">
        <v>238</v>
      </c>
      <c r="DO820" s="5" t="s">
        <v>238</v>
      </c>
      <c r="DP820" s="5" t="s">
        <v>238</v>
      </c>
      <c r="DQ820" s="5" t="s">
        <v>238</v>
      </c>
      <c r="DT820" s="5" t="s">
        <v>2039</v>
      </c>
      <c r="DU820" s="5" t="s">
        <v>1128</v>
      </c>
      <c r="HM820" s="5" t="s">
        <v>264</v>
      </c>
    </row>
    <row r="821" spans="1:221" x14ac:dyDescent="0.4">
      <c r="A821" s="5">
        <v>2496</v>
      </c>
      <c r="B821" s="5">
        <v>1</v>
      </c>
      <c r="C821" s="5">
        <v>1</v>
      </c>
      <c r="D821" s="5" t="s">
        <v>2037</v>
      </c>
      <c r="E821" s="5" t="s">
        <v>271</v>
      </c>
      <c r="F821" s="5" t="s">
        <v>248</v>
      </c>
      <c r="G821" s="5" t="s">
        <v>1969</v>
      </c>
      <c r="H821" s="6" t="s">
        <v>3457</v>
      </c>
      <c r="I821" s="7">
        <f>1389</f>
        <v>1389</v>
      </c>
      <c r="J821" s="5" t="s">
        <v>262</v>
      </c>
      <c r="K821" s="8">
        <f>1</f>
        <v>1</v>
      </c>
      <c r="L821" s="6" t="s">
        <v>242</v>
      </c>
      <c r="M821" s="5" t="s">
        <v>267</v>
      </c>
      <c r="N821" s="5" t="s">
        <v>265</v>
      </c>
      <c r="O821" s="5" t="s">
        <v>238</v>
      </c>
      <c r="P821" s="5" t="s">
        <v>238</v>
      </c>
      <c r="Q821" s="5" t="s">
        <v>268</v>
      </c>
      <c r="R821" s="5" t="s">
        <v>270</v>
      </c>
      <c r="S821" s="5" t="s">
        <v>238</v>
      </c>
      <c r="V821" s="5" t="s">
        <v>238</v>
      </c>
      <c r="X821" s="6" t="s">
        <v>238</v>
      </c>
      <c r="AA821" s="6" t="s">
        <v>243</v>
      </c>
      <c r="AB821" s="5" t="s">
        <v>238</v>
      </c>
      <c r="AC821" s="5" t="s">
        <v>244</v>
      </c>
      <c r="AD821" s="5" t="s">
        <v>245</v>
      </c>
      <c r="AT821" s="5" t="s">
        <v>246</v>
      </c>
      <c r="AU821" s="5" t="s">
        <v>238</v>
      </c>
      <c r="AV821" s="5" t="s">
        <v>247</v>
      </c>
      <c r="AW821" s="5" t="s">
        <v>238</v>
      </c>
      <c r="AX821" s="5" t="s">
        <v>249</v>
      </c>
      <c r="AY821" s="5" t="s">
        <v>238</v>
      </c>
      <c r="BA821" s="5" t="s">
        <v>238</v>
      </c>
      <c r="BC821" s="5" t="s">
        <v>250</v>
      </c>
      <c r="BD821" s="6" t="s">
        <v>243</v>
      </c>
      <c r="BE821" s="5" t="s">
        <v>251</v>
      </c>
      <c r="BF821" s="5" t="s">
        <v>252</v>
      </c>
      <c r="BG821" s="5" t="s">
        <v>238</v>
      </c>
      <c r="BH821" s="7">
        <f>0</f>
        <v>0</v>
      </c>
      <c r="BI821" s="8">
        <f>0</f>
        <v>0</v>
      </c>
      <c r="BJ821" s="5" t="s">
        <v>253</v>
      </c>
      <c r="BK821" s="5" t="s">
        <v>254</v>
      </c>
      <c r="BY821" s="5" t="s">
        <v>238</v>
      </c>
      <c r="BZ821" s="5" t="s">
        <v>238</v>
      </c>
      <c r="CD821" s="5" t="s">
        <v>273</v>
      </c>
      <c r="CE821" s="5" t="s">
        <v>256</v>
      </c>
      <c r="CF821" s="5" t="s">
        <v>238</v>
      </c>
      <c r="CI821" s="6" t="s">
        <v>257</v>
      </c>
      <c r="CJ821" s="5" t="s">
        <v>238</v>
      </c>
      <c r="CK821" s="5" t="s">
        <v>258</v>
      </c>
      <c r="CL821" s="5" t="s">
        <v>238</v>
      </c>
      <c r="CM821" s="5" t="s">
        <v>238</v>
      </c>
      <c r="CN821" s="5">
        <v>0</v>
      </c>
      <c r="CO821" s="5" t="s">
        <v>259</v>
      </c>
      <c r="CP821" s="5" t="s">
        <v>260</v>
      </c>
      <c r="CQ821" s="5" t="s">
        <v>260</v>
      </c>
      <c r="CR821" s="5" t="s">
        <v>261</v>
      </c>
      <c r="CU821" s="8">
        <f>1</f>
        <v>1</v>
      </c>
      <c r="CV821" s="8">
        <f>0</f>
        <v>0</v>
      </c>
      <c r="CX821" s="8">
        <f>0</f>
        <v>0</v>
      </c>
      <c r="CY821" s="8">
        <f>1</f>
        <v>1</v>
      </c>
      <c r="DA821" s="5" t="s">
        <v>673</v>
      </c>
      <c r="DB821" s="5" t="s">
        <v>238</v>
      </c>
      <c r="DD821" s="5" t="s">
        <v>673</v>
      </c>
      <c r="DE821" s="8">
        <f>1389</f>
        <v>1389</v>
      </c>
      <c r="DG821" s="5" t="s">
        <v>238</v>
      </c>
      <c r="DH821" s="5" t="s">
        <v>238</v>
      </c>
      <c r="DI821" s="5" t="s">
        <v>238</v>
      </c>
      <c r="DJ821" s="5" t="s">
        <v>238</v>
      </c>
      <c r="DN821" s="5" t="s">
        <v>238</v>
      </c>
      <c r="DO821" s="5" t="s">
        <v>238</v>
      </c>
      <c r="DP821" s="5" t="s">
        <v>238</v>
      </c>
      <c r="DQ821" s="5" t="s">
        <v>238</v>
      </c>
      <c r="DT821" s="5" t="s">
        <v>2039</v>
      </c>
      <c r="DU821" s="5" t="s">
        <v>1126</v>
      </c>
      <c r="HM821" s="5" t="s">
        <v>264</v>
      </c>
    </row>
    <row r="822" spans="1:221" x14ac:dyDescent="0.4">
      <c r="A822" s="5">
        <v>2497</v>
      </c>
      <c r="B822" s="5">
        <v>1</v>
      </c>
      <c r="C822" s="5">
        <v>1</v>
      </c>
      <c r="D822" s="5" t="s">
        <v>2037</v>
      </c>
      <c r="E822" s="5" t="s">
        <v>271</v>
      </c>
      <c r="F822" s="5" t="s">
        <v>248</v>
      </c>
      <c r="G822" s="5" t="s">
        <v>1969</v>
      </c>
      <c r="H822" s="6" t="s">
        <v>3411</v>
      </c>
      <c r="I822" s="7">
        <f>967</f>
        <v>967</v>
      </c>
      <c r="J822" s="5" t="s">
        <v>262</v>
      </c>
      <c r="K822" s="8">
        <f>1</f>
        <v>1</v>
      </c>
      <c r="L822" s="6" t="s">
        <v>242</v>
      </c>
      <c r="M822" s="5" t="s">
        <v>267</v>
      </c>
      <c r="N822" s="5" t="s">
        <v>265</v>
      </c>
      <c r="O822" s="5" t="s">
        <v>238</v>
      </c>
      <c r="P822" s="5" t="s">
        <v>238</v>
      </c>
      <c r="Q822" s="5" t="s">
        <v>268</v>
      </c>
      <c r="R822" s="5" t="s">
        <v>270</v>
      </c>
      <c r="S822" s="5" t="s">
        <v>238</v>
      </c>
      <c r="V822" s="5" t="s">
        <v>238</v>
      </c>
      <c r="X822" s="6" t="s">
        <v>238</v>
      </c>
      <c r="AA822" s="6" t="s">
        <v>243</v>
      </c>
      <c r="AB822" s="5" t="s">
        <v>238</v>
      </c>
      <c r="AC822" s="5" t="s">
        <v>244</v>
      </c>
      <c r="AD822" s="5" t="s">
        <v>245</v>
      </c>
      <c r="AT822" s="5" t="s">
        <v>246</v>
      </c>
      <c r="AU822" s="5" t="s">
        <v>238</v>
      </c>
      <c r="AV822" s="5" t="s">
        <v>247</v>
      </c>
      <c r="AW822" s="5" t="s">
        <v>238</v>
      </c>
      <c r="AX822" s="5" t="s">
        <v>249</v>
      </c>
      <c r="AY822" s="5" t="s">
        <v>238</v>
      </c>
      <c r="BA822" s="5" t="s">
        <v>238</v>
      </c>
      <c r="BC822" s="5" t="s">
        <v>250</v>
      </c>
      <c r="BD822" s="6" t="s">
        <v>243</v>
      </c>
      <c r="BE822" s="5" t="s">
        <v>251</v>
      </c>
      <c r="BF822" s="5" t="s">
        <v>252</v>
      </c>
      <c r="BG822" s="5" t="s">
        <v>238</v>
      </c>
      <c r="BH822" s="7">
        <f>0</f>
        <v>0</v>
      </c>
      <c r="BI822" s="8">
        <f>0</f>
        <v>0</v>
      </c>
      <c r="BJ822" s="5" t="s">
        <v>253</v>
      </c>
      <c r="BK822" s="5" t="s">
        <v>254</v>
      </c>
      <c r="BY822" s="5" t="s">
        <v>238</v>
      </c>
      <c r="BZ822" s="5" t="s">
        <v>238</v>
      </c>
      <c r="CD822" s="5" t="s">
        <v>273</v>
      </c>
      <c r="CE822" s="5" t="s">
        <v>256</v>
      </c>
      <c r="CF822" s="5" t="s">
        <v>238</v>
      </c>
      <c r="CI822" s="6" t="s">
        <v>257</v>
      </c>
      <c r="CJ822" s="5" t="s">
        <v>238</v>
      </c>
      <c r="CK822" s="5" t="s">
        <v>258</v>
      </c>
      <c r="CL822" s="5" t="s">
        <v>238</v>
      </c>
      <c r="CM822" s="5" t="s">
        <v>238</v>
      </c>
      <c r="CN822" s="5">
        <v>0</v>
      </c>
      <c r="CO822" s="5" t="s">
        <v>259</v>
      </c>
      <c r="CP822" s="5" t="s">
        <v>260</v>
      </c>
      <c r="CQ822" s="5" t="s">
        <v>260</v>
      </c>
      <c r="CR822" s="5" t="s">
        <v>261</v>
      </c>
      <c r="CU822" s="8">
        <f>1</f>
        <v>1</v>
      </c>
      <c r="CV822" s="8">
        <f>0</f>
        <v>0</v>
      </c>
      <c r="CX822" s="8">
        <f>0</f>
        <v>0</v>
      </c>
      <c r="CY822" s="8">
        <f>1</f>
        <v>1</v>
      </c>
      <c r="DA822" s="5" t="s">
        <v>673</v>
      </c>
      <c r="DB822" s="5" t="s">
        <v>238</v>
      </c>
      <c r="DD822" s="5" t="s">
        <v>673</v>
      </c>
      <c r="DE822" s="8">
        <f>967</f>
        <v>967</v>
      </c>
      <c r="DG822" s="5" t="s">
        <v>238</v>
      </c>
      <c r="DH822" s="5" t="s">
        <v>238</v>
      </c>
      <c r="DI822" s="5" t="s">
        <v>238</v>
      </c>
      <c r="DJ822" s="5" t="s">
        <v>238</v>
      </c>
      <c r="DN822" s="5" t="s">
        <v>238</v>
      </c>
      <c r="DO822" s="5" t="s">
        <v>238</v>
      </c>
      <c r="DP822" s="5" t="s">
        <v>238</v>
      </c>
      <c r="DQ822" s="5" t="s">
        <v>238</v>
      </c>
      <c r="DT822" s="5" t="s">
        <v>2039</v>
      </c>
      <c r="DU822" s="5" t="s">
        <v>1122</v>
      </c>
      <c r="HM822" s="5" t="s">
        <v>264</v>
      </c>
    </row>
    <row r="823" spans="1:221" x14ac:dyDescent="0.4">
      <c r="A823" s="5">
        <v>2498</v>
      </c>
      <c r="B823" s="5">
        <v>1</v>
      </c>
      <c r="C823" s="5">
        <v>1</v>
      </c>
      <c r="D823" s="5" t="s">
        <v>2037</v>
      </c>
      <c r="E823" s="5" t="s">
        <v>271</v>
      </c>
      <c r="F823" s="5" t="s">
        <v>248</v>
      </c>
      <c r="G823" s="5" t="s">
        <v>1969</v>
      </c>
      <c r="H823" s="6" t="s">
        <v>3410</v>
      </c>
      <c r="I823" s="7">
        <f>2497</f>
        <v>2497</v>
      </c>
      <c r="J823" s="5" t="s">
        <v>262</v>
      </c>
      <c r="K823" s="8">
        <f>1</f>
        <v>1</v>
      </c>
      <c r="L823" s="6" t="s">
        <v>242</v>
      </c>
      <c r="M823" s="5" t="s">
        <v>267</v>
      </c>
      <c r="N823" s="5" t="s">
        <v>265</v>
      </c>
      <c r="O823" s="5" t="s">
        <v>238</v>
      </c>
      <c r="P823" s="5" t="s">
        <v>238</v>
      </c>
      <c r="Q823" s="5" t="s">
        <v>268</v>
      </c>
      <c r="R823" s="5" t="s">
        <v>270</v>
      </c>
      <c r="S823" s="5" t="s">
        <v>238</v>
      </c>
      <c r="V823" s="5" t="s">
        <v>238</v>
      </c>
      <c r="X823" s="6" t="s">
        <v>238</v>
      </c>
      <c r="AA823" s="6" t="s">
        <v>243</v>
      </c>
      <c r="AB823" s="5" t="s">
        <v>238</v>
      </c>
      <c r="AC823" s="5" t="s">
        <v>244</v>
      </c>
      <c r="AD823" s="5" t="s">
        <v>245</v>
      </c>
      <c r="AT823" s="5" t="s">
        <v>246</v>
      </c>
      <c r="AU823" s="5" t="s">
        <v>238</v>
      </c>
      <c r="AV823" s="5" t="s">
        <v>247</v>
      </c>
      <c r="AW823" s="5" t="s">
        <v>238</v>
      </c>
      <c r="AX823" s="5" t="s">
        <v>249</v>
      </c>
      <c r="AY823" s="5" t="s">
        <v>238</v>
      </c>
      <c r="BA823" s="5" t="s">
        <v>238</v>
      </c>
      <c r="BC823" s="5" t="s">
        <v>250</v>
      </c>
      <c r="BD823" s="6" t="s">
        <v>243</v>
      </c>
      <c r="BE823" s="5" t="s">
        <v>251</v>
      </c>
      <c r="BF823" s="5" t="s">
        <v>252</v>
      </c>
      <c r="BG823" s="5" t="s">
        <v>238</v>
      </c>
      <c r="BH823" s="7">
        <f>0</f>
        <v>0</v>
      </c>
      <c r="BI823" s="8">
        <f>0</f>
        <v>0</v>
      </c>
      <c r="BJ823" s="5" t="s">
        <v>253</v>
      </c>
      <c r="BK823" s="5" t="s">
        <v>254</v>
      </c>
      <c r="BY823" s="5" t="s">
        <v>238</v>
      </c>
      <c r="BZ823" s="5" t="s">
        <v>238</v>
      </c>
      <c r="CD823" s="5" t="s">
        <v>273</v>
      </c>
      <c r="CE823" s="5" t="s">
        <v>256</v>
      </c>
      <c r="CF823" s="5" t="s">
        <v>238</v>
      </c>
      <c r="CI823" s="6" t="s">
        <v>257</v>
      </c>
      <c r="CJ823" s="5" t="s">
        <v>238</v>
      </c>
      <c r="CK823" s="5" t="s">
        <v>258</v>
      </c>
      <c r="CL823" s="5" t="s">
        <v>238</v>
      </c>
      <c r="CM823" s="5" t="s">
        <v>238</v>
      </c>
      <c r="CN823" s="5">
        <v>0</v>
      </c>
      <c r="CO823" s="5" t="s">
        <v>259</v>
      </c>
      <c r="CP823" s="5" t="s">
        <v>260</v>
      </c>
      <c r="CQ823" s="5" t="s">
        <v>260</v>
      </c>
      <c r="CR823" s="5" t="s">
        <v>261</v>
      </c>
      <c r="CU823" s="8">
        <f>1</f>
        <v>1</v>
      </c>
      <c r="CV823" s="8">
        <f>0</f>
        <v>0</v>
      </c>
      <c r="CX823" s="8">
        <f>0</f>
        <v>0</v>
      </c>
      <c r="CY823" s="8">
        <f>1</f>
        <v>1</v>
      </c>
      <c r="DA823" s="5" t="s">
        <v>673</v>
      </c>
      <c r="DB823" s="5" t="s">
        <v>238</v>
      </c>
      <c r="DD823" s="5" t="s">
        <v>673</v>
      </c>
      <c r="DE823" s="8">
        <f>2497</f>
        <v>2497</v>
      </c>
      <c r="DG823" s="5" t="s">
        <v>238</v>
      </c>
      <c r="DH823" s="5" t="s">
        <v>238</v>
      </c>
      <c r="DI823" s="5" t="s">
        <v>238</v>
      </c>
      <c r="DJ823" s="5" t="s">
        <v>238</v>
      </c>
      <c r="DN823" s="5" t="s">
        <v>238</v>
      </c>
      <c r="DO823" s="5" t="s">
        <v>238</v>
      </c>
      <c r="DP823" s="5" t="s">
        <v>238</v>
      </c>
      <c r="DQ823" s="5" t="s">
        <v>238</v>
      </c>
      <c r="DT823" s="5" t="s">
        <v>2039</v>
      </c>
      <c r="DU823" s="5" t="s">
        <v>1120</v>
      </c>
      <c r="HM823" s="5" t="s">
        <v>264</v>
      </c>
    </row>
    <row r="824" spans="1:221" x14ac:dyDescent="0.4">
      <c r="A824" s="5">
        <v>2499</v>
      </c>
      <c r="B824" s="5">
        <v>1</v>
      </c>
      <c r="C824" s="5">
        <v>1</v>
      </c>
      <c r="D824" s="5" t="s">
        <v>2037</v>
      </c>
      <c r="E824" s="5" t="s">
        <v>271</v>
      </c>
      <c r="F824" s="5" t="s">
        <v>248</v>
      </c>
      <c r="G824" s="5" t="s">
        <v>1969</v>
      </c>
      <c r="H824" s="6" t="s">
        <v>3409</v>
      </c>
      <c r="I824" s="7">
        <f>1071</f>
        <v>1071</v>
      </c>
      <c r="J824" s="5" t="s">
        <v>262</v>
      </c>
      <c r="K824" s="8">
        <f>1</f>
        <v>1</v>
      </c>
      <c r="L824" s="6" t="s">
        <v>242</v>
      </c>
      <c r="M824" s="5" t="s">
        <v>267</v>
      </c>
      <c r="N824" s="5" t="s">
        <v>265</v>
      </c>
      <c r="O824" s="5" t="s">
        <v>238</v>
      </c>
      <c r="P824" s="5" t="s">
        <v>238</v>
      </c>
      <c r="Q824" s="5" t="s">
        <v>268</v>
      </c>
      <c r="R824" s="5" t="s">
        <v>270</v>
      </c>
      <c r="S824" s="5" t="s">
        <v>238</v>
      </c>
      <c r="V824" s="5" t="s">
        <v>238</v>
      </c>
      <c r="X824" s="6" t="s">
        <v>238</v>
      </c>
      <c r="AA824" s="6" t="s">
        <v>243</v>
      </c>
      <c r="AB824" s="5" t="s">
        <v>238</v>
      </c>
      <c r="AC824" s="5" t="s">
        <v>244</v>
      </c>
      <c r="AD824" s="5" t="s">
        <v>245</v>
      </c>
      <c r="AT824" s="5" t="s">
        <v>246</v>
      </c>
      <c r="AU824" s="5" t="s">
        <v>238</v>
      </c>
      <c r="AV824" s="5" t="s">
        <v>247</v>
      </c>
      <c r="AW824" s="5" t="s">
        <v>238</v>
      </c>
      <c r="AX824" s="5" t="s">
        <v>249</v>
      </c>
      <c r="AY824" s="5" t="s">
        <v>238</v>
      </c>
      <c r="BA824" s="5" t="s">
        <v>238</v>
      </c>
      <c r="BC824" s="5" t="s">
        <v>250</v>
      </c>
      <c r="BD824" s="6" t="s">
        <v>243</v>
      </c>
      <c r="BE824" s="5" t="s">
        <v>251</v>
      </c>
      <c r="BF824" s="5" t="s">
        <v>252</v>
      </c>
      <c r="BG824" s="5" t="s">
        <v>238</v>
      </c>
      <c r="BH824" s="7">
        <f>0</f>
        <v>0</v>
      </c>
      <c r="BI824" s="8">
        <f>0</f>
        <v>0</v>
      </c>
      <c r="BJ824" s="5" t="s">
        <v>253</v>
      </c>
      <c r="BK824" s="5" t="s">
        <v>254</v>
      </c>
      <c r="BY824" s="5" t="s">
        <v>238</v>
      </c>
      <c r="BZ824" s="5" t="s">
        <v>238</v>
      </c>
      <c r="CD824" s="5" t="s">
        <v>273</v>
      </c>
      <c r="CE824" s="5" t="s">
        <v>256</v>
      </c>
      <c r="CF824" s="5" t="s">
        <v>238</v>
      </c>
      <c r="CI824" s="6" t="s">
        <v>257</v>
      </c>
      <c r="CJ824" s="5" t="s">
        <v>238</v>
      </c>
      <c r="CK824" s="5" t="s">
        <v>258</v>
      </c>
      <c r="CL824" s="5" t="s">
        <v>238</v>
      </c>
      <c r="CM824" s="5" t="s">
        <v>238</v>
      </c>
      <c r="CN824" s="5">
        <v>0</v>
      </c>
      <c r="CO824" s="5" t="s">
        <v>259</v>
      </c>
      <c r="CP824" s="5" t="s">
        <v>260</v>
      </c>
      <c r="CQ824" s="5" t="s">
        <v>260</v>
      </c>
      <c r="CR824" s="5" t="s">
        <v>261</v>
      </c>
      <c r="CU824" s="8">
        <f>1</f>
        <v>1</v>
      </c>
      <c r="CV824" s="8">
        <f>0</f>
        <v>0</v>
      </c>
      <c r="CX824" s="8">
        <f>0</f>
        <v>0</v>
      </c>
      <c r="CY824" s="8">
        <f>1</f>
        <v>1</v>
      </c>
      <c r="DA824" s="5" t="s">
        <v>673</v>
      </c>
      <c r="DB824" s="5" t="s">
        <v>238</v>
      </c>
      <c r="DD824" s="5" t="s">
        <v>673</v>
      </c>
      <c r="DE824" s="8">
        <f>1071</f>
        <v>1071</v>
      </c>
      <c r="DG824" s="5" t="s">
        <v>238</v>
      </c>
      <c r="DH824" s="5" t="s">
        <v>238</v>
      </c>
      <c r="DI824" s="5" t="s">
        <v>238</v>
      </c>
      <c r="DJ824" s="5" t="s">
        <v>238</v>
      </c>
      <c r="DN824" s="5" t="s">
        <v>238</v>
      </c>
      <c r="DO824" s="5" t="s">
        <v>238</v>
      </c>
      <c r="DP824" s="5" t="s">
        <v>238</v>
      </c>
      <c r="DQ824" s="5" t="s">
        <v>238</v>
      </c>
      <c r="DT824" s="5" t="s">
        <v>2039</v>
      </c>
      <c r="DU824" s="5" t="s">
        <v>1116</v>
      </c>
      <c r="HM824" s="5" t="s">
        <v>264</v>
      </c>
    </row>
    <row r="825" spans="1:221" x14ac:dyDescent="0.4">
      <c r="A825" s="5">
        <v>2500</v>
      </c>
      <c r="B825" s="5">
        <v>1</v>
      </c>
      <c r="C825" s="5">
        <v>1</v>
      </c>
      <c r="D825" s="5" t="s">
        <v>2037</v>
      </c>
      <c r="E825" s="5" t="s">
        <v>271</v>
      </c>
      <c r="F825" s="5" t="s">
        <v>248</v>
      </c>
      <c r="G825" s="5" t="s">
        <v>1969</v>
      </c>
      <c r="H825" s="6" t="s">
        <v>3408</v>
      </c>
      <c r="I825" s="7">
        <f>412</f>
        <v>412</v>
      </c>
      <c r="J825" s="5" t="s">
        <v>262</v>
      </c>
      <c r="K825" s="8">
        <f>1</f>
        <v>1</v>
      </c>
      <c r="L825" s="6" t="s">
        <v>242</v>
      </c>
      <c r="M825" s="5" t="s">
        <v>267</v>
      </c>
      <c r="N825" s="5" t="s">
        <v>265</v>
      </c>
      <c r="O825" s="5" t="s">
        <v>238</v>
      </c>
      <c r="P825" s="5" t="s">
        <v>238</v>
      </c>
      <c r="Q825" s="5" t="s">
        <v>268</v>
      </c>
      <c r="R825" s="5" t="s">
        <v>270</v>
      </c>
      <c r="S825" s="5" t="s">
        <v>238</v>
      </c>
      <c r="V825" s="5" t="s">
        <v>238</v>
      </c>
      <c r="X825" s="6" t="s">
        <v>238</v>
      </c>
      <c r="AA825" s="6" t="s">
        <v>243</v>
      </c>
      <c r="AB825" s="5" t="s">
        <v>238</v>
      </c>
      <c r="AC825" s="5" t="s">
        <v>244</v>
      </c>
      <c r="AD825" s="5" t="s">
        <v>245</v>
      </c>
      <c r="AT825" s="5" t="s">
        <v>246</v>
      </c>
      <c r="AU825" s="5" t="s">
        <v>238</v>
      </c>
      <c r="AV825" s="5" t="s">
        <v>247</v>
      </c>
      <c r="AW825" s="5" t="s">
        <v>238</v>
      </c>
      <c r="AX825" s="5" t="s">
        <v>249</v>
      </c>
      <c r="AY825" s="5" t="s">
        <v>238</v>
      </c>
      <c r="BA825" s="5" t="s">
        <v>238</v>
      </c>
      <c r="BC825" s="5" t="s">
        <v>250</v>
      </c>
      <c r="BD825" s="6" t="s">
        <v>243</v>
      </c>
      <c r="BE825" s="5" t="s">
        <v>251</v>
      </c>
      <c r="BF825" s="5" t="s">
        <v>252</v>
      </c>
      <c r="BG825" s="5" t="s">
        <v>238</v>
      </c>
      <c r="BH825" s="7">
        <f>0</f>
        <v>0</v>
      </c>
      <c r="BI825" s="8">
        <f>0</f>
        <v>0</v>
      </c>
      <c r="BJ825" s="5" t="s">
        <v>253</v>
      </c>
      <c r="BK825" s="5" t="s">
        <v>254</v>
      </c>
      <c r="BY825" s="5" t="s">
        <v>238</v>
      </c>
      <c r="BZ825" s="5" t="s">
        <v>238</v>
      </c>
      <c r="CD825" s="5" t="s">
        <v>273</v>
      </c>
      <c r="CE825" s="5" t="s">
        <v>256</v>
      </c>
      <c r="CF825" s="5" t="s">
        <v>238</v>
      </c>
      <c r="CI825" s="6" t="s">
        <v>257</v>
      </c>
      <c r="CJ825" s="5" t="s">
        <v>238</v>
      </c>
      <c r="CK825" s="5" t="s">
        <v>258</v>
      </c>
      <c r="CL825" s="5" t="s">
        <v>238</v>
      </c>
      <c r="CM825" s="5" t="s">
        <v>238</v>
      </c>
      <c r="CN825" s="5">
        <v>0</v>
      </c>
      <c r="CO825" s="5" t="s">
        <v>259</v>
      </c>
      <c r="CP825" s="5" t="s">
        <v>260</v>
      </c>
      <c r="CQ825" s="5" t="s">
        <v>260</v>
      </c>
      <c r="CR825" s="5" t="s">
        <v>261</v>
      </c>
      <c r="CU825" s="8">
        <f>1</f>
        <v>1</v>
      </c>
      <c r="CV825" s="8">
        <f>0</f>
        <v>0</v>
      </c>
      <c r="CX825" s="8">
        <f>0</f>
        <v>0</v>
      </c>
      <c r="CY825" s="8">
        <f>1</f>
        <v>1</v>
      </c>
      <c r="DA825" s="5" t="s">
        <v>673</v>
      </c>
      <c r="DB825" s="5" t="s">
        <v>238</v>
      </c>
      <c r="DD825" s="5" t="s">
        <v>673</v>
      </c>
      <c r="DE825" s="8">
        <f>412</f>
        <v>412</v>
      </c>
      <c r="DG825" s="5" t="s">
        <v>238</v>
      </c>
      <c r="DH825" s="5" t="s">
        <v>238</v>
      </c>
      <c r="DI825" s="5" t="s">
        <v>238</v>
      </c>
      <c r="DJ825" s="5" t="s">
        <v>238</v>
      </c>
      <c r="DN825" s="5" t="s">
        <v>238</v>
      </c>
      <c r="DO825" s="5" t="s">
        <v>238</v>
      </c>
      <c r="DP825" s="5" t="s">
        <v>238</v>
      </c>
      <c r="DQ825" s="5" t="s">
        <v>238</v>
      </c>
      <c r="DT825" s="5" t="s">
        <v>2039</v>
      </c>
      <c r="DU825" s="5" t="s">
        <v>1112</v>
      </c>
      <c r="HM825" s="5" t="s">
        <v>264</v>
      </c>
    </row>
    <row r="826" spans="1:221" x14ac:dyDescent="0.4">
      <c r="A826" s="5">
        <v>2501</v>
      </c>
      <c r="B826" s="5">
        <v>1</v>
      </c>
      <c r="C826" s="5">
        <v>1</v>
      </c>
      <c r="D826" s="5" t="s">
        <v>2037</v>
      </c>
      <c r="E826" s="5" t="s">
        <v>271</v>
      </c>
      <c r="F826" s="5" t="s">
        <v>248</v>
      </c>
      <c r="G826" s="5" t="s">
        <v>1969</v>
      </c>
      <c r="H826" s="6" t="s">
        <v>3407</v>
      </c>
      <c r="I826" s="7">
        <f>1242</f>
        <v>1242</v>
      </c>
      <c r="J826" s="5" t="s">
        <v>262</v>
      </c>
      <c r="K826" s="8">
        <f>1</f>
        <v>1</v>
      </c>
      <c r="L826" s="6" t="s">
        <v>242</v>
      </c>
      <c r="M826" s="5" t="s">
        <v>267</v>
      </c>
      <c r="N826" s="5" t="s">
        <v>265</v>
      </c>
      <c r="O826" s="5" t="s">
        <v>238</v>
      </c>
      <c r="P826" s="5" t="s">
        <v>238</v>
      </c>
      <c r="Q826" s="5" t="s">
        <v>268</v>
      </c>
      <c r="R826" s="5" t="s">
        <v>270</v>
      </c>
      <c r="S826" s="5" t="s">
        <v>238</v>
      </c>
      <c r="V826" s="5" t="s">
        <v>238</v>
      </c>
      <c r="X826" s="6" t="s">
        <v>238</v>
      </c>
      <c r="AA826" s="6" t="s">
        <v>243</v>
      </c>
      <c r="AB826" s="5" t="s">
        <v>238</v>
      </c>
      <c r="AC826" s="5" t="s">
        <v>244</v>
      </c>
      <c r="AD826" s="5" t="s">
        <v>245</v>
      </c>
      <c r="AT826" s="5" t="s">
        <v>246</v>
      </c>
      <c r="AU826" s="5" t="s">
        <v>238</v>
      </c>
      <c r="AV826" s="5" t="s">
        <v>247</v>
      </c>
      <c r="AW826" s="5" t="s">
        <v>238</v>
      </c>
      <c r="AX826" s="5" t="s">
        <v>249</v>
      </c>
      <c r="AY826" s="5" t="s">
        <v>238</v>
      </c>
      <c r="BA826" s="5" t="s">
        <v>238</v>
      </c>
      <c r="BC826" s="5" t="s">
        <v>250</v>
      </c>
      <c r="BD826" s="6" t="s">
        <v>243</v>
      </c>
      <c r="BE826" s="5" t="s">
        <v>251</v>
      </c>
      <c r="BF826" s="5" t="s">
        <v>252</v>
      </c>
      <c r="BG826" s="5" t="s">
        <v>238</v>
      </c>
      <c r="BH826" s="7">
        <f>0</f>
        <v>0</v>
      </c>
      <c r="BI826" s="8">
        <f>0</f>
        <v>0</v>
      </c>
      <c r="BJ826" s="5" t="s">
        <v>253</v>
      </c>
      <c r="BK826" s="5" t="s">
        <v>254</v>
      </c>
      <c r="BY826" s="5" t="s">
        <v>238</v>
      </c>
      <c r="BZ826" s="5" t="s">
        <v>238</v>
      </c>
      <c r="CD826" s="5" t="s">
        <v>273</v>
      </c>
      <c r="CE826" s="5" t="s">
        <v>256</v>
      </c>
      <c r="CF826" s="5" t="s">
        <v>238</v>
      </c>
      <c r="CI826" s="6" t="s">
        <v>257</v>
      </c>
      <c r="CJ826" s="5" t="s">
        <v>238</v>
      </c>
      <c r="CK826" s="5" t="s">
        <v>258</v>
      </c>
      <c r="CL826" s="5" t="s">
        <v>238</v>
      </c>
      <c r="CM826" s="5" t="s">
        <v>238</v>
      </c>
      <c r="CN826" s="5">
        <v>0</v>
      </c>
      <c r="CO826" s="5" t="s">
        <v>259</v>
      </c>
      <c r="CP826" s="5" t="s">
        <v>260</v>
      </c>
      <c r="CQ826" s="5" t="s">
        <v>260</v>
      </c>
      <c r="CR826" s="5" t="s">
        <v>261</v>
      </c>
      <c r="CU826" s="8">
        <f>1</f>
        <v>1</v>
      </c>
      <c r="CV826" s="8">
        <f>0</f>
        <v>0</v>
      </c>
      <c r="CX826" s="8">
        <f>0</f>
        <v>0</v>
      </c>
      <c r="CY826" s="8">
        <f>1</f>
        <v>1</v>
      </c>
      <c r="DA826" s="5" t="s">
        <v>673</v>
      </c>
      <c r="DB826" s="5" t="s">
        <v>238</v>
      </c>
      <c r="DD826" s="5" t="s">
        <v>673</v>
      </c>
      <c r="DE826" s="8">
        <f>1242</f>
        <v>1242</v>
      </c>
      <c r="DG826" s="5" t="s">
        <v>238</v>
      </c>
      <c r="DH826" s="5" t="s">
        <v>238</v>
      </c>
      <c r="DI826" s="5" t="s">
        <v>238</v>
      </c>
      <c r="DJ826" s="5" t="s">
        <v>238</v>
      </c>
      <c r="DN826" s="5" t="s">
        <v>238</v>
      </c>
      <c r="DO826" s="5" t="s">
        <v>238</v>
      </c>
      <c r="DP826" s="5" t="s">
        <v>238</v>
      </c>
      <c r="DQ826" s="5" t="s">
        <v>238</v>
      </c>
      <c r="DT826" s="5" t="s">
        <v>2039</v>
      </c>
      <c r="DU826" s="5" t="s">
        <v>1108</v>
      </c>
      <c r="HM826" s="5" t="s">
        <v>264</v>
      </c>
    </row>
    <row r="827" spans="1:221" x14ac:dyDescent="0.4">
      <c r="A827" s="5">
        <v>2502</v>
      </c>
      <c r="B827" s="5">
        <v>1</v>
      </c>
      <c r="C827" s="5">
        <v>1</v>
      </c>
      <c r="D827" s="5" t="s">
        <v>2037</v>
      </c>
      <c r="E827" s="5" t="s">
        <v>271</v>
      </c>
      <c r="F827" s="5" t="s">
        <v>248</v>
      </c>
      <c r="G827" s="5" t="s">
        <v>1969</v>
      </c>
      <c r="H827" s="6" t="s">
        <v>3402</v>
      </c>
      <c r="I827" s="7">
        <f>135</f>
        <v>135</v>
      </c>
      <c r="J827" s="5" t="s">
        <v>262</v>
      </c>
      <c r="K827" s="8">
        <f>1</f>
        <v>1</v>
      </c>
      <c r="L827" s="6" t="s">
        <v>242</v>
      </c>
      <c r="M827" s="5" t="s">
        <v>267</v>
      </c>
      <c r="N827" s="5" t="s">
        <v>265</v>
      </c>
      <c r="O827" s="5" t="s">
        <v>238</v>
      </c>
      <c r="P827" s="5" t="s">
        <v>238</v>
      </c>
      <c r="Q827" s="5" t="s">
        <v>268</v>
      </c>
      <c r="R827" s="5" t="s">
        <v>270</v>
      </c>
      <c r="S827" s="5" t="s">
        <v>238</v>
      </c>
      <c r="V827" s="5" t="s">
        <v>238</v>
      </c>
      <c r="X827" s="6" t="s">
        <v>238</v>
      </c>
      <c r="AA827" s="6" t="s">
        <v>243</v>
      </c>
      <c r="AB827" s="5" t="s">
        <v>238</v>
      </c>
      <c r="AC827" s="5" t="s">
        <v>244</v>
      </c>
      <c r="AD827" s="5" t="s">
        <v>245</v>
      </c>
      <c r="AT827" s="5" t="s">
        <v>246</v>
      </c>
      <c r="AU827" s="5" t="s">
        <v>238</v>
      </c>
      <c r="AV827" s="5" t="s">
        <v>247</v>
      </c>
      <c r="AW827" s="5" t="s">
        <v>238</v>
      </c>
      <c r="AX827" s="5" t="s">
        <v>249</v>
      </c>
      <c r="AY827" s="5" t="s">
        <v>238</v>
      </c>
      <c r="BA827" s="5" t="s">
        <v>238</v>
      </c>
      <c r="BC827" s="5" t="s">
        <v>250</v>
      </c>
      <c r="BD827" s="6" t="s">
        <v>243</v>
      </c>
      <c r="BE827" s="5" t="s">
        <v>251</v>
      </c>
      <c r="BF827" s="5" t="s">
        <v>252</v>
      </c>
      <c r="BG827" s="5" t="s">
        <v>238</v>
      </c>
      <c r="BH827" s="7">
        <f>0</f>
        <v>0</v>
      </c>
      <c r="BI827" s="8">
        <f>0</f>
        <v>0</v>
      </c>
      <c r="BJ827" s="5" t="s">
        <v>253</v>
      </c>
      <c r="BK827" s="5" t="s">
        <v>254</v>
      </c>
      <c r="BY827" s="5" t="s">
        <v>238</v>
      </c>
      <c r="BZ827" s="5" t="s">
        <v>238</v>
      </c>
      <c r="CD827" s="5" t="s">
        <v>273</v>
      </c>
      <c r="CE827" s="5" t="s">
        <v>256</v>
      </c>
      <c r="CF827" s="5" t="s">
        <v>238</v>
      </c>
      <c r="CI827" s="6" t="s">
        <v>257</v>
      </c>
      <c r="CJ827" s="5" t="s">
        <v>238</v>
      </c>
      <c r="CK827" s="5" t="s">
        <v>258</v>
      </c>
      <c r="CL827" s="5" t="s">
        <v>238</v>
      </c>
      <c r="CM827" s="5" t="s">
        <v>238</v>
      </c>
      <c r="CN827" s="5">
        <v>0</v>
      </c>
      <c r="CO827" s="5" t="s">
        <v>259</v>
      </c>
      <c r="CP827" s="5" t="s">
        <v>260</v>
      </c>
      <c r="CQ827" s="5" t="s">
        <v>260</v>
      </c>
      <c r="CR827" s="5" t="s">
        <v>261</v>
      </c>
      <c r="CU827" s="8">
        <f>1</f>
        <v>1</v>
      </c>
      <c r="CV827" s="8">
        <f>0</f>
        <v>0</v>
      </c>
      <c r="CX827" s="8">
        <f>0</f>
        <v>0</v>
      </c>
      <c r="CY827" s="8">
        <f>1</f>
        <v>1</v>
      </c>
      <c r="DA827" s="5" t="s">
        <v>673</v>
      </c>
      <c r="DB827" s="5" t="s">
        <v>238</v>
      </c>
      <c r="DD827" s="5" t="s">
        <v>673</v>
      </c>
      <c r="DE827" s="8">
        <f>135</f>
        <v>135</v>
      </c>
      <c r="DG827" s="5" t="s">
        <v>238</v>
      </c>
      <c r="DH827" s="5" t="s">
        <v>238</v>
      </c>
      <c r="DI827" s="5" t="s">
        <v>238</v>
      </c>
      <c r="DJ827" s="5" t="s">
        <v>238</v>
      </c>
      <c r="DN827" s="5" t="s">
        <v>238</v>
      </c>
      <c r="DO827" s="5" t="s">
        <v>238</v>
      </c>
      <c r="DP827" s="5" t="s">
        <v>238</v>
      </c>
      <c r="DQ827" s="5" t="s">
        <v>238</v>
      </c>
      <c r="DT827" s="5" t="s">
        <v>2039</v>
      </c>
      <c r="DU827" s="5" t="s">
        <v>1104</v>
      </c>
      <c r="HM827" s="5" t="s">
        <v>264</v>
      </c>
    </row>
    <row r="828" spans="1:221" x14ac:dyDescent="0.4">
      <c r="A828" s="5">
        <v>2503</v>
      </c>
      <c r="B828" s="5">
        <v>1</v>
      </c>
      <c r="C828" s="5">
        <v>1</v>
      </c>
      <c r="D828" s="5" t="s">
        <v>2037</v>
      </c>
      <c r="E828" s="5" t="s">
        <v>271</v>
      </c>
      <c r="F828" s="5" t="s">
        <v>248</v>
      </c>
      <c r="G828" s="5" t="s">
        <v>1969</v>
      </c>
      <c r="H828" s="6" t="s">
        <v>3401</v>
      </c>
      <c r="I828" s="7">
        <f>3272</f>
        <v>3272</v>
      </c>
      <c r="J828" s="5" t="s">
        <v>262</v>
      </c>
      <c r="K828" s="8">
        <f>1</f>
        <v>1</v>
      </c>
      <c r="L828" s="6" t="s">
        <v>242</v>
      </c>
      <c r="M828" s="5" t="s">
        <v>267</v>
      </c>
      <c r="N828" s="5" t="s">
        <v>265</v>
      </c>
      <c r="O828" s="5" t="s">
        <v>238</v>
      </c>
      <c r="P828" s="5" t="s">
        <v>238</v>
      </c>
      <c r="Q828" s="5" t="s">
        <v>268</v>
      </c>
      <c r="R828" s="5" t="s">
        <v>270</v>
      </c>
      <c r="S828" s="5" t="s">
        <v>238</v>
      </c>
      <c r="V828" s="5" t="s">
        <v>238</v>
      </c>
      <c r="X828" s="6" t="s">
        <v>238</v>
      </c>
      <c r="AA828" s="6" t="s">
        <v>243</v>
      </c>
      <c r="AB828" s="5" t="s">
        <v>238</v>
      </c>
      <c r="AC828" s="5" t="s">
        <v>244</v>
      </c>
      <c r="AD828" s="5" t="s">
        <v>245</v>
      </c>
      <c r="AT828" s="5" t="s">
        <v>246</v>
      </c>
      <c r="AU828" s="5" t="s">
        <v>238</v>
      </c>
      <c r="AV828" s="5" t="s">
        <v>247</v>
      </c>
      <c r="AW828" s="5" t="s">
        <v>238</v>
      </c>
      <c r="AX828" s="5" t="s">
        <v>249</v>
      </c>
      <c r="AY828" s="5" t="s">
        <v>238</v>
      </c>
      <c r="BA828" s="5" t="s">
        <v>238</v>
      </c>
      <c r="BC828" s="5" t="s">
        <v>250</v>
      </c>
      <c r="BD828" s="6" t="s">
        <v>243</v>
      </c>
      <c r="BE828" s="5" t="s">
        <v>251</v>
      </c>
      <c r="BF828" s="5" t="s">
        <v>252</v>
      </c>
      <c r="BG828" s="5" t="s">
        <v>238</v>
      </c>
      <c r="BH828" s="7">
        <f>0</f>
        <v>0</v>
      </c>
      <c r="BI828" s="8">
        <f>0</f>
        <v>0</v>
      </c>
      <c r="BJ828" s="5" t="s">
        <v>253</v>
      </c>
      <c r="BK828" s="5" t="s">
        <v>254</v>
      </c>
      <c r="BY828" s="5" t="s">
        <v>238</v>
      </c>
      <c r="BZ828" s="5" t="s">
        <v>238</v>
      </c>
      <c r="CD828" s="5" t="s">
        <v>273</v>
      </c>
      <c r="CE828" s="5" t="s">
        <v>256</v>
      </c>
      <c r="CF828" s="5" t="s">
        <v>238</v>
      </c>
      <c r="CI828" s="6" t="s">
        <v>257</v>
      </c>
      <c r="CJ828" s="5" t="s">
        <v>238</v>
      </c>
      <c r="CK828" s="5" t="s">
        <v>258</v>
      </c>
      <c r="CL828" s="5" t="s">
        <v>238</v>
      </c>
      <c r="CM828" s="5" t="s">
        <v>238</v>
      </c>
      <c r="CN828" s="5">
        <v>0</v>
      </c>
      <c r="CO828" s="5" t="s">
        <v>259</v>
      </c>
      <c r="CP828" s="5" t="s">
        <v>260</v>
      </c>
      <c r="CQ828" s="5" t="s">
        <v>260</v>
      </c>
      <c r="CR828" s="5" t="s">
        <v>261</v>
      </c>
      <c r="CU828" s="8">
        <f>1</f>
        <v>1</v>
      </c>
      <c r="CV828" s="8">
        <f>0</f>
        <v>0</v>
      </c>
      <c r="CX828" s="8">
        <f>0</f>
        <v>0</v>
      </c>
      <c r="CY828" s="8">
        <f>1</f>
        <v>1</v>
      </c>
      <c r="DA828" s="5" t="s">
        <v>673</v>
      </c>
      <c r="DB828" s="5" t="s">
        <v>238</v>
      </c>
      <c r="DD828" s="5" t="s">
        <v>673</v>
      </c>
      <c r="DE828" s="8">
        <f>3272</f>
        <v>3272</v>
      </c>
      <c r="DG828" s="5" t="s">
        <v>238</v>
      </c>
      <c r="DH828" s="5" t="s">
        <v>238</v>
      </c>
      <c r="DI828" s="5" t="s">
        <v>238</v>
      </c>
      <c r="DJ828" s="5" t="s">
        <v>238</v>
      </c>
      <c r="DN828" s="5" t="s">
        <v>238</v>
      </c>
      <c r="DO828" s="5" t="s">
        <v>238</v>
      </c>
      <c r="DP828" s="5" t="s">
        <v>238</v>
      </c>
      <c r="DQ828" s="5" t="s">
        <v>238</v>
      </c>
      <c r="DT828" s="5" t="s">
        <v>2039</v>
      </c>
      <c r="DU828" s="5" t="s">
        <v>1102</v>
      </c>
      <c r="HM828" s="5" t="s">
        <v>264</v>
      </c>
    </row>
    <row r="829" spans="1:221" x14ac:dyDescent="0.4">
      <c r="A829" s="5">
        <v>2504</v>
      </c>
      <c r="B829" s="5">
        <v>1</v>
      </c>
      <c r="C829" s="5">
        <v>1</v>
      </c>
      <c r="D829" s="5" t="s">
        <v>2037</v>
      </c>
      <c r="E829" s="5" t="s">
        <v>271</v>
      </c>
      <c r="F829" s="5" t="s">
        <v>248</v>
      </c>
      <c r="G829" s="5" t="s">
        <v>1969</v>
      </c>
      <c r="H829" s="6" t="s">
        <v>3400</v>
      </c>
      <c r="I829" s="7">
        <f>1640</f>
        <v>1640</v>
      </c>
      <c r="J829" s="5" t="s">
        <v>262</v>
      </c>
      <c r="K829" s="8">
        <f>1</f>
        <v>1</v>
      </c>
      <c r="L829" s="6" t="s">
        <v>242</v>
      </c>
      <c r="M829" s="5" t="s">
        <v>267</v>
      </c>
      <c r="N829" s="5" t="s">
        <v>265</v>
      </c>
      <c r="O829" s="5" t="s">
        <v>238</v>
      </c>
      <c r="P829" s="5" t="s">
        <v>238</v>
      </c>
      <c r="Q829" s="5" t="s">
        <v>268</v>
      </c>
      <c r="R829" s="5" t="s">
        <v>270</v>
      </c>
      <c r="S829" s="5" t="s">
        <v>238</v>
      </c>
      <c r="V829" s="5" t="s">
        <v>238</v>
      </c>
      <c r="X829" s="6" t="s">
        <v>238</v>
      </c>
      <c r="AA829" s="6" t="s">
        <v>243</v>
      </c>
      <c r="AB829" s="5" t="s">
        <v>238</v>
      </c>
      <c r="AC829" s="5" t="s">
        <v>244</v>
      </c>
      <c r="AD829" s="5" t="s">
        <v>245</v>
      </c>
      <c r="AT829" s="5" t="s">
        <v>246</v>
      </c>
      <c r="AU829" s="5" t="s">
        <v>238</v>
      </c>
      <c r="AV829" s="5" t="s">
        <v>247</v>
      </c>
      <c r="AW829" s="5" t="s">
        <v>238</v>
      </c>
      <c r="AX829" s="5" t="s">
        <v>249</v>
      </c>
      <c r="AY829" s="5" t="s">
        <v>238</v>
      </c>
      <c r="BA829" s="5" t="s">
        <v>238</v>
      </c>
      <c r="BC829" s="5" t="s">
        <v>250</v>
      </c>
      <c r="BD829" s="6" t="s">
        <v>243</v>
      </c>
      <c r="BE829" s="5" t="s">
        <v>251</v>
      </c>
      <c r="BF829" s="5" t="s">
        <v>252</v>
      </c>
      <c r="BG829" s="5" t="s">
        <v>238</v>
      </c>
      <c r="BH829" s="7">
        <f>0</f>
        <v>0</v>
      </c>
      <c r="BI829" s="8">
        <f>0</f>
        <v>0</v>
      </c>
      <c r="BJ829" s="5" t="s">
        <v>253</v>
      </c>
      <c r="BK829" s="5" t="s">
        <v>254</v>
      </c>
      <c r="BY829" s="5" t="s">
        <v>238</v>
      </c>
      <c r="BZ829" s="5" t="s">
        <v>238</v>
      </c>
      <c r="CD829" s="5" t="s">
        <v>273</v>
      </c>
      <c r="CE829" s="5" t="s">
        <v>256</v>
      </c>
      <c r="CF829" s="5" t="s">
        <v>238</v>
      </c>
      <c r="CI829" s="6" t="s">
        <v>257</v>
      </c>
      <c r="CJ829" s="5" t="s">
        <v>238</v>
      </c>
      <c r="CK829" s="5" t="s">
        <v>258</v>
      </c>
      <c r="CL829" s="5" t="s">
        <v>238</v>
      </c>
      <c r="CM829" s="5" t="s">
        <v>238</v>
      </c>
      <c r="CN829" s="5">
        <v>0</v>
      </c>
      <c r="CO829" s="5" t="s">
        <v>259</v>
      </c>
      <c r="CP829" s="5" t="s">
        <v>260</v>
      </c>
      <c r="CQ829" s="5" t="s">
        <v>260</v>
      </c>
      <c r="CR829" s="5" t="s">
        <v>261</v>
      </c>
      <c r="CU829" s="8">
        <f>1</f>
        <v>1</v>
      </c>
      <c r="CV829" s="8">
        <f>0</f>
        <v>0</v>
      </c>
      <c r="CX829" s="8">
        <f>0</f>
        <v>0</v>
      </c>
      <c r="CY829" s="8">
        <f>1</f>
        <v>1</v>
      </c>
      <c r="DA829" s="5" t="s">
        <v>673</v>
      </c>
      <c r="DB829" s="5" t="s">
        <v>238</v>
      </c>
      <c r="DD829" s="5" t="s">
        <v>673</v>
      </c>
      <c r="DE829" s="8">
        <f>1640</f>
        <v>1640</v>
      </c>
      <c r="DG829" s="5" t="s">
        <v>238</v>
      </c>
      <c r="DH829" s="5" t="s">
        <v>238</v>
      </c>
      <c r="DI829" s="5" t="s">
        <v>238</v>
      </c>
      <c r="DJ829" s="5" t="s">
        <v>238</v>
      </c>
      <c r="DN829" s="5" t="s">
        <v>238</v>
      </c>
      <c r="DO829" s="5" t="s">
        <v>238</v>
      </c>
      <c r="DP829" s="5" t="s">
        <v>238</v>
      </c>
      <c r="DQ829" s="5" t="s">
        <v>238</v>
      </c>
      <c r="DT829" s="5" t="s">
        <v>2039</v>
      </c>
      <c r="DU829" s="5" t="s">
        <v>1098</v>
      </c>
      <c r="HM829" s="5" t="s">
        <v>264</v>
      </c>
    </row>
    <row r="830" spans="1:221" x14ac:dyDescent="0.4">
      <c r="A830" s="5">
        <v>2505</v>
      </c>
      <c r="B830" s="5">
        <v>1</v>
      </c>
      <c r="C830" s="5">
        <v>1</v>
      </c>
      <c r="D830" s="5" t="s">
        <v>2037</v>
      </c>
      <c r="E830" s="5" t="s">
        <v>271</v>
      </c>
      <c r="F830" s="5" t="s">
        <v>248</v>
      </c>
      <c r="G830" s="5" t="s">
        <v>1969</v>
      </c>
      <c r="H830" s="6" t="s">
        <v>3399</v>
      </c>
      <c r="I830" s="7">
        <f>350</f>
        <v>350</v>
      </c>
      <c r="J830" s="5" t="s">
        <v>262</v>
      </c>
      <c r="K830" s="8">
        <f>1</f>
        <v>1</v>
      </c>
      <c r="L830" s="6" t="s">
        <v>242</v>
      </c>
      <c r="M830" s="5" t="s">
        <v>267</v>
      </c>
      <c r="N830" s="5" t="s">
        <v>265</v>
      </c>
      <c r="O830" s="5" t="s">
        <v>238</v>
      </c>
      <c r="P830" s="5" t="s">
        <v>238</v>
      </c>
      <c r="Q830" s="5" t="s">
        <v>268</v>
      </c>
      <c r="R830" s="5" t="s">
        <v>270</v>
      </c>
      <c r="S830" s="5" t="s">
        <v>238</v>
      </c>
      <c r="V830" s="5" t="s">
        <v>238</v>
      </c>
      <c r="X830" s="6" t="s">
        <v>238</v>
      </c>
      <c r="AA830" s="6" t="s">
        <v>243</v>
      </c>
      <c r="AB830" s="5" t="s">
        <v>238</v>
      </c>
      <c r="AC830" s="5" t="s">
        <v>244</v>
      </c>
      <c r="AD830" s="5" t="s">
        <v>245</v>
      </c>
      <c r="AT830" s="5" t="s">
        <v>246</v>
      </c>
      <c r="AU830" s="5" t="s">
        <v>238</v>
      </c>
      <c r="AV830" s="5" t="s">
        <v>247</v>
      </c>
      <c r="AW830" s="5" t="s">
        <v>238</v>
      </c>
      <c r="AX830" s="5" t="s">
        <v>249</v>
      </c>
      <c r="AY830" s="5" t="s">
        <v>238</v>
      </c>
      <c r="BA830" s="5" t="s">
        <v>238</v>
      </c>
      <c r="BC830" s="5" t="s">
        <v>250</v>
      </c>
      <c r="BD830" s="6" t="s">
        <v>243</v>
      </c>
      <c r="BE830" s="5" t="s">
        <v>251</v>
      </c>
      <c r="BF830" s="5" t="s">
        <v>252</v>
      </c>
      <c r="BG830" s="5" t="s">
        <v>238</v>
      </c>
      <c r="BH830" s="7">
        <f>0</f>
        <v>0</v>
      </c>
      <c r="BI830" s="8">
        <f>0</f>
        <v>0</v>
      </c>
      <c r="BJ830" s="5" t="s">
        <v>253</v>
      </c>
      <c r="BK830" s="5" t="s">
        <v>254</v>
      </c>
      <c r="BY830" s="5" t="s">
        <v>238</v>
      </c>
      <c r="BZ830" s="5" t="s">
        <v>238</v>
      </c>
      <c r="CD830" s="5" t="s">
        <v>273</v>
      </c>
      <c r="CE830" s="5" t="s">
        <v>256</v>
      </c>
      <c r="CF830" s="5" t="s">
        <v>238</v>
      </c>
      <c r="CI830" s="6" t="s">
        <v>257</v>
      </c>
      <c r="CJ830" s="5" t="s">
        <v>238</v>
      </c>
      <c r="CK830" s="5" t="s">
        <v>258</v>
      </c>
      <c r="CL830" s="5" t="s">
        <v>238</v>
      </c>
      <c r="CM830" s="5" t="s">
        <v>238</v>
      </c>
      <c r="CN830" s="5">
        <v>0</v>
      </c>
      <c r="CO830" s="5" t="s">
        <v>259</v>
      </c>
      <c r="CP830" s="5" t="s">
        <v>260</v>
      </c>
      <c r="CQ830" s="5" t="s">
        <v>260</v>
      </c>
      <c r="CR830" s="5" t="s">
        <v>261</v>
      </c>
      <c r="CU830" s="8">
        <f>1</f>
        <v>1</v>
      </c>
      <c r="CV830" s="8">
        <f>0</f>
        <v>0</v>
      </c>
      <c r="CX830" s="8">
        <f>0</f>
        <v>0</v>
      </c>
      <c r="CY830" s="8">
        <f>1</f>
        <v>1</v>
      </c>
      <c r="DA830" s="5" t="s">
        <v>673</v>
      </c>
      <c r="DB830" s="5" t="s">
        <v>238</v>
      </c>
      <c r="DD830" s="5" t="s">
        <v>673</v>
      </c>
      <c r="DE830" s="8">
        <f>350</f>
        <v>350</v>
      </c>
      <c r="DG830" s="5" t="s">
        <v>238</v>
      </c>
      <c r="DH830" s="5" t="s">
        <v>238</v>
      </c>
      <c r="DI830" s="5" t="s">
        <v>238</v>
      </c>
      <c r="DJ830" s="5" t="s">
        <v>238</v>
      </c>
      <c r="DN830" s="5" t="s">
        <v>238</v>
      </c>
      <c r="DO830" s="5" t="s">
        <v>238</v>
      </c>
      <c r="DP830" s="5" t="s">
        <v>238</v>
      </c>
      <c r="DQ830" s="5" t="s">
        <v>238</v>
      </c>
      <c r="DT830" s="5" t="s">
        <v>2039</v>
      </c>
      <c r="DU830" s="5" t="s">
        <v>1094</v>
      </c>
      <c r="HM830" s="5" t="s">
        <v>264</v>
      </c>
    </row>
    <row r="831" spans="1:221" x14ac:dyDescent="0.4">
      <c r="A831" s="5">
        <v>2506</v>
      </c>
      <c r="B831" s="5">
        <v>1</v>
      </c>
      <c r="C831" s="5">
        <v>1</v>
      </c>
      <c r="D831" s="5" t="s">
        <v>2037</v>
      </c>
      <c r="E831" s="5" t="s">
        <v>271</v>
      </c>
      <c r="F831" s="5" t="s">
        <v>248</v>
      </c>
      <c r="G831" s="5" t="s">
        <v>1969</v>
      </c>
      <c r="H831" s="6" t="s">
        <v>3398</v>
      </c>
      <c r="I831" s="7">
        <f>2812</f>
        <v>2812</v>
      </c>
      <c r="J831" s="5" t="s">
        <v>262</v>
      </c>
      <c r="K831" s="8">
        <f>1</f>
        <v>1</v>
      </c>
      <c r="L831" s="6" t="s">
        <v>242</v>
      </c>
      <c r="M831" s="5" t="s">
        <v>267</v>
      </c>
      <c r="N831" s="5" t="s">
        <v>265</v>
      </c>
      <c r="O831" s="5" t="s">
        <v>238</v>
      </c>
      <c r="P831" s="5" t="s">
        <v>238</v>
      </c>
      <c r="Q831" s="5" t="s">
        <v>268</v>
      </c>
      <c r="R831" s="5" t="s">
        <v>270</v>
      </c>
      <c r="S831" s="5" t="s">
        <v>238</v>
      </c>
      <c r="V831" s="5" t="s">
        <v>238</v>
      </c>
      <c r="X831" s="6" t="s">
        <v>238</v>
      </c>
      <c r="AA831" s="6" t="s">
        <v>243</v>
      </c>
      <c r="AB831" s="5" t="s">
        <v>238</v>
      </c>
      <c r="AC831" s="5" t="s">
        <v>244</v>
      </c>
      <c r="AD831" s="5" t="s">
        <v>245</v>
      </c>
      <c r="AT831" s="5" t="s">
        <v>246</v>
      </c>
      <c r="AU831" s="5" t="s">
        <v>238</v>
      </c>
      <c r="AV831" s="5" t="s">
        <v>247</v>
      </c>
      <c r="AW831" s="5" t="s">
        <v>238</v>
      </c>
      <c r="AX831" s="5" t="s">
        <v>249</v>
      </c>
      <c r="AY831" s="5" t="s">
        <v>238</v>
      </c>
      <c r="BA831" s="5" t="s">
        <v>238</v>
      </c>
      <c r="BC831" s="5" t="s">
        <v>250</v>
      </c>
      <c r="BD831" s="6" t="s">
        <v>243</v>
      </c>
      <c r="BE831" s="5" t="s">
        <v>251</v>
      </c>
      <c r="BF831" s="5" t="s">
        <v>252</v>
      </c>
      <c r="BG831" s="5" t="s">
        <v>238</v>
      </c>
      <c r="BH831" s="7">
        <f>0</f>
        <v>0</v>
      </c>
      <c r="BI831" s="8">
        <f>0</f>
        <v>0</v>
      </c>
      <c r="BJ831" s="5" t="s">
        <v>253</v>
      </c>
      <c r="BK831" s="5" t="s">
        <v>254</v>
      </c>
      <c r="BY831" s="5" t="s">
        <v>238</v>
      </c>
      <c r="BZ831" s="5" t="s">
        <v>238</v>
      </c>
      <c r="CD831" s="5" t="s">
        <v>273</v>
      </c>
      <c r="CE831" s="5" t="s">
        <v>256</v>
      </c>
      <c r="CF831" s="5" t="s">
        <v>238</v>
      </c>
      <c r="CI831" s="6" t="s">
        <v>257</v>
      </c>
      <c r="CJ831" s="5" t="s">
        <v>238</v>
      </c>
      <c r="CK831" s="5" t="s">
        <v>258</v>
      </c>
      <c r="CL831" s="5" t="s">
        <v>238</v>
      </c>
      <c r="CM831" s="5" t="s">
        <v>238</v>
      </c>
      <c r="CN831" s="5">
        <v>0</v>
      </c>
      <c r="CO831" s="5" t="s">
        <v>259</v>
      </c>
      <c r="CP831" s="5" t="s">
        <v>260</v>
      </c>
      <c r="CQ831" s="5" t="s">
        <v>260</v>
      </c>
      <c r="CR831" s="5" t="s">
        <v>261</v>
      </c>
      <c r="CU831" s="8">
        <f>1</f>
        <v>1</v>
      </c>
      <c r="CV831" s="8">
        <f>0</f>
        <v>0</v>
      </c>
      <c r="CX831" s="8">
        <f>0</f>
        <v>0</v>
      </c>
      <c r="CY831" s="8">
        <f>1</f>
        <v>1</v>
      </c>
      <c r="DA831" s="5" t="s">
        <v>673</v>
      </c>
      <c r="DB831" s="5" t="s">
        <v>238</v>
      </c>
      <c r="DD831" s="5" t="s">
        <v>673</v>
      </c>
      <c r="DE831" s="8">
        <f>2812</f>
        <v>2812</v>
      </c>
      <c r="DG831" s="5" t="s">
        <v>238</v>
      </c>
      <c r="DH831" s="5" t="s">
        <v>238</v>
      </c>
      <c r="DI831" s="5" t="s">
        <v>238</v>
      </c>
      <c r="DJ831" s="5" t="s">
        <v>238</v>
      </c>
      <c r="DN831" s="5" t="s">
        <v>238</v>
      </c>
      <c r="DO831" s="5" t="s">
        <v>238</v>
      </c>
      <c r="DP831" s="5" t="s">
        <v>238</v>
      </c>
      <c r="DQ831" s="5" t="s">
        <v>238</v>
      </c>
      <c r="DT831" s="5" t="s">
        <v>2039</v>
      </c>
      <c r="DU831" s="5" t="s">
        <v>1090</v>
      </c>
      <c r="HM831" s="5" t="s">
        <v>264</v>
      </c>
    </row>
    <row r="832" spans="1:221" x14ac:dyDescent="0.4">
      <c r="A832" s="5">
        <v>2507</v>
      </c>
      <c r="B832" s="5">
        <v>1</v>
      </c>
      <c r="C832" s="5">
        <v>1</v>
      </c>
      <c r="D832" s="5" t="s">
        <v>2037</v>
      </c>
      <c r="E832" s="5" t="s">
        <v>271</v>
      </c>
      <c r="F832" s="5" t="s">
        <v>248</v>
      </c>
      <c r="G832" s="5" t="s">
        <v>1969</v>
      </c>
      <c r="H832" s="6" t="s">
        <v>3397</v>
      </c>
      <c r="I832" s="7">
        <f>15526</f>
        <v>15526</v>
      </c>
      <c r="J832" s="5" t="s">
        <v>262</v>
      </c>
      <c r="K832" s="8">
        <f>1</f>
        <v>1</v>
      </c>
      <c r="L832" s="6" t="s">
        <v>242</v>
      </c>
      <c r="M832" s="5" t="s">
        <v>267</v>
      </c>
      <c r="N832" s="5" t="s">
        <v>265</v>
      </c>
      <c r="O832" s="5" t="s">
        <v>238</v>
      </c>
      <c r="P832" s="5" t="s">
        <v>238</v>
      </c>
      <c r="Q832" s="5" t="s">
        <v>268</v>
      </c>
      <c r="R832" s="5" t="s">
        <v>270</v>
      </c>
      <c r="S832" s="5" t="s">
        <v>238</v>
      </c>
      <c r="V832" s="5" t="s">
        <v>238</v>
      </c>
      <c r="X832" s="6" t="s">
        <v>238</v>
      </c>
      <c r="AA832" s="6" t="s">
        <v>243</v>
      </c>
      <c r="AB832" s="5" t="s">
        <v>238</v>
      </c>
      <c r="AC832" s="5" t="s">
        <v>244</v>
      </c>
      <c r="AD832" s="5" t="s">
        <v>245</v>
      </c>
      <c r="AT832" s="5" t="s">
        <v>246</v>
      </c>
      <c r="AU832" s="5" t="s">
        <v>238</v>
      </c>
      <c r="AV832" s="5" t="s">
        <v>247</v>
      </c>
      <c r="AW832" s="5" t="s">
        <v>238</v>
      </c>
      <c r="AX832" s="5" t="s">
        <v>249</v>
      </c>
      <c r="AY832" s="5" t="s">
        <v>238</v>
      </c>
      <c r="BA832" s="5" t="s">
        <v>238</v>
      </c>
      <c r="BC832" s="5" t="s">
        <v>250</v>
      </c>
      <c r="BD832" s="6" t="s">
        <v>243</v>
      </c>
      <c r="BE832" s="5" t="s">
        <v>251</v>
      </c>
      <c r="BF832" s="5" t="s">
        <v>252</v>
      </c>
      <c r="BG832" s="5" t="s">
        <v>238</v>
      </c>
      <c r="BH832" s="7">
        <f>0</f>
        <v>0</v>
      </c>
      <c r="BI832" s="8">
        <f>0</f>
        <v>0</v>
      </c>
      <c r="BJ832" s="5" t="s">
        <v>253</v>
      </c>
      <c r="BK832" s="5" t="s">
        <v>254</v>
      </c>
      <c r="BY832" s="5" t="s">
        <v>238</v>
      </c>
      <c r="BZ832" s="5" t="s">
        <v>238</v>
      </c>
      <c r="CD832" s="5" t="s">
        <v>273</v>
      </c>
      <c r="CE832" s="5" t="s">
        <v>256</v>
      </c>
      <c r="CF832" s="5" t="s">
        <v>238</v>
      </c>
      <c r="CI832" s="6" t="s">
        <v>257</v>
      </c>
      <c r="CJ832" s="5" t="s">
        <v>238</v>
      </c>
      <c r="CK832" s="5" t="s">
        <v>258</v>
      </c>
      <c r="CL832" s="5" t="s">
        <v>238</v>
      </c>
      <c r="CM832" s="5" t="s">
        <v>238</v>
      </c>
      <c r="CN832" s="5">
        <v>0</v>
      </c>
      <c r="CO832" s="5" t="s">
        <v>259</v>
      </c>
      <c r="CP832" s="5" t="s">
        <v>260</v>
      </c>
      <c r="CQ832" s="5" t="s">
        <v>260</v>
      </c>
      <c r="CR832" s="5" t="s">
        <v>261</v>
      </c>
      <c r="CU832" s="8">
        <f>1</f>
        <v>1</v>
      </c>
      <c r="CV832" s="8">
        <f>0</f>
        <v>0</v>
      </c>
      <c r="CX832" s="8">
        <f>0</f>
        <v>0</v>
      </c>
      <c r="CY832" s="8">
        <f>1</f>
        <v>1</v>
      </c>
      <c r="DA832" s="5" t="s">
        <v>673</v>
      </c>
      <c r="DB832" s="5" t="s">
        <v>238</v>
      </c>
      <c r="DD832" s="5" t="s">
        <v>673</v>
      </c>
      <c r="DE832" s="8">
        <f>15526</f>
        <v>15526</v>
      </c>
      <c r="DG832" s="5" t="s">
        <v>238</v>
      </c>
      <c r="DH832" s="5" t="s">
        <v>238</v>
      </c>
      <c r="DI832" s="5" t="s">
        <v>238</v>
      </c>
      <c r="DJ832" s="5" t="s">
        <v>238</v>
      </c>
      <c r="DN832" s="5" t="s">
        <v>238</v>
      </c>
      <c r="DO832" s="5" t="s">
        <v>238</v>
      </c>
      <c r="DP832" s="5" t="s">
        <v>238</v>
      </c>
      <c r="DQ832" s="5" t="s">
        <v>238</v>
      </c>
      <c r="DT832" s="5" t="s">
        <v>2039</v>
      </c>
      <c r="DU832" s="5" t="s">
        <v>1084</v>
      </c>
      <c r="HM832" s="5" t="s">
        <v>264</v>
      </c>
    </row>
    <row r="833" spans="1:221" x14ac:dyDescent="0.4">
      <c r="A833" s="5">
        <v>2508</v>
      </c>
      <c r="B833" s="5">
        <v>1</v>
      </c>
      <c r="C833" s="5">
        <v>1</v>
      </c>
      <c r="D833" s="5" t="s">
        <v>2037</v>
      </c>
      <c r="E833" s="5" t="s">
        <v>271</v>
      </c>
      <c r="F833" s="5" t="s">
        <v>248</v>
      </c>
      <c r="G833" s="5" t="s">
        <v>1969</v>
      </c>
      <c r="H833" s="6" t="s">
        <v>3396</v>
      </c>
      <c r="I833" s="7">
        <f>260</f>
        <v>260</v>
      </c>
      <c r="J833" s="5" t="s">
        <v>262</v>
      </c>
      <c r="K833" s="8">
        <f>1</f>
        <v>1</v>
      </c>
      <c r="L833" s="6" t="s">
        <v>242</v>
      </c>
      <c r="M833" s="5" t="s">
        <v>267</v>
      </c>
      <c r="N833" s="5" t="s">
        <v>265</v>
      </c>
      <c r="O833" s="5" t="s">
        <v>238</v>
      </c>
      <c r="P833" s="5" t="s">
        <v>238</v>
      </c>
      <c r="Q833" s="5" t="s">
        <v>268</v>
      </c>
      <c r="R833" s="5" t="s">
        <v>270</v>
      </c>
      <c r="S833" s="5" t="s">
        <v>238</v>
      </c>
      <c r="V833" s="5" t="s">
        <v>238</v>
      </c>
      <c r="X833" s="6" t="s">
        <v>238</v>
      </c>
      <c r="AA833" s="6" t="s">
        <v>243</v>
      </c>
      <c r="AB833" s="5" t="s">
        <v>238</v>
      </c>
      <c r="AC833" s="5" t="s">
        <v>244</v>
      </c>
      <c r="AD833" s="5" t="s">
        <v>245</v>
      </c>
      <c r="AT833" s="5" t="s">
        <v>246</v>
      </c>
      <c r="AU833" s="5" t="s">
        <v>238</v>
      </c>
      <c r="AV833" s="5" t="s">
        <v>247</v>
      </c>
      <c r="AW833" s="5" t="s">
        <v>238</v>
      </c>
      <c r="AX833" s="5" t="s">
        <v>249</v>
      </c>
      <c r="AY833" s="5" t="s">
        <v>238</v>
      </c>
      <c r="BA833" s="5" t="s">
        <v>238</v>
      </c>
      <c r="BC833" s="5" t="s">
        <v>250</v>
      </c>
      <c r="BD833" s="6" t="s">
        <v>243</v>
      </c>
      <c r="BE833" s="5" t="s">
        <v>251</v>
      </c>
      <c r="BF833" s="5" t="s">
        <v>252</v>
      </c>
      <c r="BG833" s="5" t="s">
        <v>238</v>
      </c>
      <c r="BH833" s="7">
        <f>0</f>
        <v>0</v>
      </c>
      <c r="BI833" s="8">
        <f>0</f>
        <v>0</v>
      </c>
      <c r="BJ833" s="5" t="s">
        <v>253</v>
      </c>
      <c r="BK833" s="5" t="s">
        <v>254</v>
      </c>
      <c r="BY833" s="5" t="s">
        <v>238</v>
      </c>
      <c r="BZ833" s="5" t="s">
        <v>238</v>
      </c>
      <c r="CD833" s="5" t="s">
        <v>273</v>
      </c>
      <c r="CE833" s="5" t="s">
        <v>256</v>
      </c>
      <c r="CF833" s="5" t="s">
        <v>238</v>
      </c>
      <c r="CI833" s="6" t="s">
        <v>257</v>
      </c>
      <c r="CJ833" s="5" t="s">
        <v>238</v>
      </c>
      <c r="CK833" s="5" t="s">
        <v>258</v>
      </c>
      <c r="CL833" s="5" t="s">
        <v>238</v>
      </c>
      <c r="CM833" s="5" t="s">
        <v>238</v>
      </c>
      <c r="CN833" s="5">
        <v>0</v>
      </c>
      <c r="CO833" s="5" t="s">
        <v>259</v>
      </c>
      <c r="CP833" s="5" t="s">
        <v>260</v>
      </c>
      <c r="CQ833" s="5" t="s">
        <v>260</v>
      </c>
      <c r="CR833" s="5" t="s">
        <v>261</v>
      </c>
      <c r="CU833" s="8">
        <f>1</f>
        <v>1</v>
      </c>
      <c r="CV833" s="8">
        <f>0</f>
        <v>0</v>
      </c>
      <c r="CX833" s="8">
        <f>0</f>
        <v>0</v>
      </c>
      <c r="CY833" s="8">
        <f>1</f>
        <v>1</v>
      </c>
      <c r="DA833" s="5" t="s">
        <v>673</v>
      </c>
      <c r="DB833" s="5" t="s">
        <v>238</v>
      </c>
      <c r="DD833" s="5" t="s">
        <v>673</v>
      </c>
      <c r="DE833" s="8">
        <f>260</f>
        <v>260</v>
      </c>
      <c r="DG833" s="5" t="s">
        <v>238</v>
      </c>
      <c r="DH833" s="5" t="s">
        <v>238</v>
      </c>
      <c r="DI833" s="5" t="s">
        <v>238</v>
      </c>
      <c r="DJ833" s="5" t="s">
        <v>238</v>
      </c>
      <c r="DN833" s="5" t="s">
        <v>238</v>
      </c>
      <c r="DO833" s="5" t="s">
        <v>238</v>
      </c>
      <c r="DP833" s="5" t="s">
        <v>238</v>
      </c>
      <c r="DQ833" s="5" t="s">
        <v>238</v>
      </c>
      <c r="DT833" s="5" t="s">
        <v>2039</v>
      </c>
      <c r="DU833" s="5" t="s">
        <v>1082</v>
      </c>
      <c r="HM833" s="5" t="s">
        <v>264</v>
      </c>
    </row>
    <row r="834" spans="1:221" x14ac:dyDescent="0.4">
      <c r="A834" s="5">
        <v>2509</v>
      </c>
      <c r="B834" s="5">
        <v>1</v>
      </c>
      <c r="C834" s="5">
        <v>1</v>
      </c>
      <c r="D834" s="5" t="s">
        <v>2037</v>
      </c>
      <c r="E834" s="5" t="s">
        <v>271</v>
      </c>
      <c r="F834" s="5" t="s">
        <v>248</v>
      </c>
      <c r="G834" s="5" t="s">
        <v>1969</v>
      </c>
      <c r="H834" s="6" t="s">
        <v>3395</v>
      </c>
      <c r="I834" s="7">
        <f>168</f>
        <v>168</v>
      </c>
      <c r="J834" s="5" t="s">
        <v>262</v>
      </c>
      <c r="K834" s="8">
        <f>1</f>
        <v>1</v>
      </c>
      <c r="L834" s="6" t="s">
        <v>242</v>
      </c>
      <c r="M834" s="5" t="s">
        <v>267</v>
      </c>
      <c r="N834" s="5" t="s">
        <v>265</v>
      </c>
      <c r="O834" s="5" t="s">
        <v>238</v>
      </c>
      <c r="P834" s="5" t="s">
        <v>238</v>
      </c>
      <c r="Q834" s="5" t="s">
        <v>268</v>
      </c>
      <c r="R834" s="5" t="s">
        <v>270</v>
      </c>
      <c r="S834" s="5" t="s">
        <v>238</v>
      </c>
      <c r="V834" s="5" t="s">
        <v>238</v>
      </c>
      <c r="X834" s="6" t="s">
        <v>238</v>
      </c>
      <c r="AA834" s="6" t="s">
        <v>243</v>
      </c>
      <c r="AB834" s="5" t="s">
        <v>238</v>
      </c>
      <c r="AC834" s="5" t="s">
        <v>244</v>
      </c>
      <c r="AD834" s="5" t="s">
        <v>245</v>
      </c>
      <c r="AT834" s="5" t="s">
        <v>246</v>
      </c>
      <c r="AU834" s="5" t="s">
        <v>238</v>
      </c>
      <c r="AV834" s="5" t="s">
        <v>247</v>
      </c>
      <c r="AW834" s="5" t="s">
        <v>238</v>
      </c>
      <c r="AX834" s="5" t="s">
        <v>249</v>
      </c>
      <c r="AY834" s="5" t="s">
        <v>238</v>
      </c>
      <c r="BA834" s="5" t="s">
        <v>238</v>
      </c>
      <c r="BC834" s="5" t="s">
        <v>250</v>
      </c>
      <c r="BD834" s="6" t="s">
        <v>243</v>
      </c>
      <c r="BE834" s="5" t="s">
        <v>251</v>
      </c>
      <c r="BF834" s="5" t="s">
        <v>252</v>
      </c>
      <c r="BG834" s="5" t="s">
        <v>238</v>
      </c>
      <c r="BH834" s="7">
        <f>0</f>
        <v>0</v>
      </c>
      <c r="BI834" s="8">
        <f>0</f>
        <v>0</v>
      </c>
      <c r="BJ834" s="5" t="s">
        <v>253</v>
      </c>
      <c r="BK834" s="5" t="s">
        <v>254</v>
      </c>
      <c r="BY834" s="5" t="s">
        <v>238</v>
      </c>
      <c r="BZ834" s="5" t="s">
        <v>238</v>
      </c>
      <c r="CD834" s="5" t="s">
        <v>273</v>
      </c>
      <c r="CE834" s="5" t="s">
        <v>256</v>
      </c>
      <c r="CF834" s="5" t="s">
        <v>238</v>
      </c>
      <c r="CI834" s="6" t="s">
        <v>257</v>
      </c>
      <c r="CJ834" s="5" t="s">
        <v>238</v>
      </c>
      <c r="CK834" s="5" t="s">
        <v>258</v>
      </c>
      <c r="CL834" s="5" t="s">
        <v>238</v>
      </c>
      <c r="CM834" s="5" t="s">
        <v>238</v>
      </c>
      <c r="CN834" s="5">
        <v>0</v>
      </c>
      <c r="CO834" s="5" t="s">
        <v>259</v>
      </c>
      <c r="CP834" s="5" t="s">
        <v>260</v>
      </c>
      <c r="CQ834" s="5" t="s">
        <v>260</v>
      </c>
      <c r="CR834" s="5" t="s">
        <v>261</v>
      </c>
      <c r="CU834" s="8">
        <f>1</f>
        <v>1</v>
      </c>
      <c r="CV834" s="8">
        <f>0</f>
        <v>0</v>
      </c>
      <c r="CX834" s="8">
        <f>0</f>
        <v>0</v>
      </c>
      <c r="CY834" s="8">
        <f>1</f>
        <v>1</v>
      </c>
      <c r="DA834" s="5" t="s">
        <v>673</v>
      </c>
      <c r="DB834" s="5" t="s">
        <v>238</v>
      </c>
      <c r="DD834" s="5" t="s">
        <v>673</v>
      </c>
      <c r="DE834" s="8">
        <f>168</f>
        <v>168</v>
      </c>
      <c r="DG834" s="5" t="s">
        <v>238</v>
      </c>
      <c r="DH834" s="5" t="s">
        <v>238</v>
      </c>
      <c r="DI834" s="5" t="s">
        <v>238</v>
      </c>
      <c r="DJ834" s="5" t="s">
        <v>238</v>
      </c>
      <c r="DN834" s="5" t="s">
        <v>238</v>
      </c>
      <c r="DO834" s="5" t="s">
        <v>238</v>
      </c>
      <c r="DP834" s="5" t="s">
        <v>238</v>
      </c>
      <c r="DQ834" s="5" t="s">
        <v>238</v>
      </c>
      <c r="DT834" s="5" t="s">
        <v>2039</v>
      </c>
      <c r="DU834" s="5" t="s">
        <v>1078</v>
      </c>
      <c r="HM834" s="5" t="s">
        <v>264</v>
      </c>
    </row>
    <row r="835" spans="1:221" x14ac:dyDescent="0.4">
      <c r="A835" s="5">
        <v>2510</v>
      </c>
      <c r="B835" s="5">
        <v>1</v>
      </c>
      <c r="C835" s="5">
        <v>1</v>
      </c>
      <c r="D835" s="5" t="s">
        <v>2037</v>
      </c>
      <c r="E835" s="5" t="s">
        <v>271</v>
      </c>
      <c r="F835" s="5" t="s">
        <v>248</v>
      </c>
      <c r="G835" s="5" t="s">
        <v>1969</v>
      </c>
      <c r="H835" s="6" t="s">
        <v>3394</v>
      </c>
      <c r="I835" s="7">
        <f>1842</f>
        <v>1842</v>
      </c>
      <c r="J835" s="5" t="s">
        <v>262</v>
      </c>
      <c r="K835" s="8">
        <f>1</f>
        <v>1</v>
      </c>
      <c r="L835" s="6" t="s">
        <v>242</v>
      </c>
      <c r="M835" s="5" t="s">
        <v>267</v>
      </c>
      <c r="N835" s="5" t="s">
        <v>265</v>
      </c>
      <c r="O835" s="5" t="s">
        <v>238</v>
      </c>
      <c r="P835" s="5" t="s">
        <v>238</v>
      </c>
      <c r="Q835" s="5" t="s">
        <v>268</v>
      </c>
      <c r="R835" s="5" t="s">
        <v>270</v>
      </c>
      <c r="S835" s="5" t="s">
        <v>238</v>
      </c>
      <c r="V835" s="5" t="s">
        <v>238</v>
      </c>
      <c r="X835" s="6" t="s">
        <v>238</v>
      </c>
      <c r="AA835" s="6" t="s">
        <v>243</v>
      </c>
      <c r="AB835" s="5" t="s">
        <v>238</v>
      </c>
      <c r="AC835" s="5" t="s">
        <v>244</v>
      </c>
      <c r="AD835" s="5" t="s">
        <v>245</v>
      </c>
      <c r="AT835" s="5" t="s">
        <v>246</v>
      </c>
      <c r="AU835" s="5" t="s">
        <v>238</v>
      </c>
      <c r="AV835" s="5" t="s">
        <v>247</v>
      </c>
      <c r="AW835" s="5" t="s">
        <v>238</v>
      </c>
      <c r="AX835" s="5" t="s">
        <v>249</v>
      </c>
      <c r="AY835" s="5" t="s">
        <v>238</v>
      </c>
      <c r="BA835" s="5" t="s">
        <v>238</v>
      </c>
      <c r="BC835" s="5" t="s">
        <v>250</v>
      </c>
      <c r="BD835" s="6" t="s">
        <v>243</v>
      </c>
      <c r="BE835" s="5" t="s">
        <v>251</v>
      </c>
      <c r="BF835" s="5" t="s">
        <v>252</v>
      </c>
      <c r="BG835" s="5" t="s">
        <v>238</v>
      </c>
      <c r="BH835" s="7">
        <f>0</f>
        <v>0</v>
      </c>
      <c r="BI835" s="8">
        <f>0</f>
        <v>0</v>
      </c>
      <c r="BJ835" s="5" t="s">
        <v>253</v>
      </c>
      <c r="BK835" s="5" t="s">
        <v>254</v>
      </c>
      <c r="BY835" s="5" t="s">
        <v>238</v>
      </c>
      <c r="BZ835" s="5" t="s">
        <v>238</v>
      </c>
      <c r="CD835" s="5" t="s">
        <v>273</v>
      </c>
      <c r="CE835" s="5" t="s">
        <v>256</v>
      </c>
      <c r="CF835" s="5" t="s">
        <v>238</v>
      </c>
      <c r="CI835" s="6" t="s">
        <v>257</v>
      </c>
      <c r="CJ835" s="5" t="s">
        <v>238</v>
      </c>
      <c r="CK835" s="5" t="s">
        <v>258</v>
      </c>
      <c r="CL835" s="5" t="s">
        <v>238</v>
      </c>
      <c r="CM835" s="5" t="s">
        <v>238</v>
      </c>
      <c r="CN835" s="5">
        <v>0</v>
      </c>
      <c r="CO835" s="5" t="s">
        <v>259</v>
      </c>
      <c r="CP835" s="5" t="s">
        <v>260</v>
      </c>
      <c r="CQ835" s="5" t="s">
        <v>260</v>
      </c>
      <c r="CR835" s="5" t="s">
        <v>261</v>
      </c>
      <c r="CU835" s="8">
        <f>1</f>
        <v>1</v>
      </c>
      <c r="CV835" s="8">
        <f>0</f>
        <v>0</v>
      </c>
      <c r="CX835" s="8">
        <f>0</f>
        <v>0</v>
      </c>
      <c r="CY835" s="8">
        <f>1</f>
        <v>1</v>
      </c>
      <c r="DA835" s="5" t="s">
        <v>673</v>
      </c>
      <c r="DB835" s="5" t="s">
        <v>238</v>
      </c>
      <c r="DD835" s="5" t="s">
        <v>673</v>
      </c>
      <c r="DE835" s="8">
        <f>1842</f>
        <v>1842</v>
      </c>
      <c r="DG835" s="5" t="s">
        <v>238</v>
      </c>
      <c r="DH835" s="5" t="s">
        <v>238</v>
      </c>
      <c r="DI835" s="5" t="s">
        <v>238</v>
      </c>
      <c r="DJ835" s="5" t="s">
        <v>238</v>
      </c>
      <c r="DN835" s="5" t="s">
        <v>238</v>
      </c>
      <c r="DO835" s="5" t="s">
        <v>238</v>
      </c>
      <c r="DP835" s="5" t="s">
        <v>238</v>
      </c>
      <c r="DQ835" s="5" t="s">
        <v>238</v>
      </c>
      <c r="DT835" s="5" t="s">
        <v>2039</v>
      </c>
      <c r="DU835" s="5" t="s">
        <v>1076</v>
      </c>
      <c r="HM835" s="5" t="s">
        <v>264</v>
      </c>
    </row>
    <row r="836" spans="1:221" x14ac:dyDescent="0.4">
      <c r="A836" s="5">
        <v>2511</v>
      </c>
      <c r="B836" s="5">
        <v>1</v>
      </c>
      <c r="C836" s="5">
        <v>1</v>
      </c>
      <c r="D836" s="5" t="s">
        <v>2037</v>
      </c>
      <c r="E836" s="5" t="s">
        <v>271</v>
      </c>
      <c r="F836" s="5" t="s">
        <v>248</v>
      </c>
      <c r="G836" s="5" t="s">
        <v>1969</v>
      </c>
      <c r="H836" s="6" t="s">
        <v>3393</v>
      </c>
      <c r="I836" s="7">
        <f>825</f>
        <v>825</v>
      </c>
      <c r="J836" s="5" t="s">
        <v>262</v>
      </c>
      <c r="K836" s="8">
        <f>1</f>
        <v>1</v>
      </c>
      <c r="L836" s="6" t="s">
        <v>242</v>
      </c>
      <c r="M836" s="5" t="s">
        <v>267</v>
      </c>
      <c r="N836" s="5" t="s">
        <v>265</v>
      </c>
      <c r="O836" s="5" t="s">
        <v>238</v>
      </c>
      <c r="P836" s="5" t="s">
        <v>238</v>
      </c>
      <c r="Q836" s="5" t="s">
        <v>268</v>
      </c>
      <c r="R836" s="5" t="s">
        <v>270</v>
      </c>
      <c r="S836" s="5" t="s">
        <v>238</v>
      </c>
      <c r="V836" s="5" t="s">
        <v>238</v>
      </c>
      <c r="X836" s="6" t="s">
        <v>238</v>
      </c>
      <c r="AA836" s="6" t="s">
        <v>243</v>
      </c>
      <c r="AB836" s="5" t="s">
        <v>238</v>
      </c>
      <c r="AC836" s="5" t="s">
        <v>244</v>
      </c>
      <c r="AD836" s="5" t="s">
        <v>245</v>
      </c>
      <c r="AT836" s="5" t="s">
        <v>246</v>
      </c>
      <c r="AU836" s="5" t="s">
        <v>238</v>
      </c>
      <c r="AV836" s="5" t="s">
        <v>247</v>
      </c>
      <c r="AW836" s="5" t="s">
        <v>238</v>
      </c>
      <c r="AX836" s="5" t="s">
        <v>249</v>
      </c>
      <c r="AY836" s="5" t="s">
        <v>238</v>
      </c>
      <c r="BA836" s="5" t="s">
        <v>238</v>
      </c>
      <c r="BC836" s="5" t="s">
        <v>250</v>
      </c>
      <c r="BD836" s="6" t="s">
        <v>243</v>
      </c>
      <c r="BE836" s="5" t="s">
        <v>251</v>
      </c>
      <c r="BF836" s="5" t="s">
        <v>252</v>
      </c>
      <c r="BG836" s="5" t="s">
        <v>238</v>
      </c>
      <c r="BH836" s="7">
        <f>0</f>
        <v>0</v>
      </c>
      <c r="BI836" s="8">
        <f>0</f>
        <v>0</v>
      </c>
      <c r="BJ836" s="5" t="s">
        <v>253</v>
      </c>
      <c r="BK836" s="5" t="s">
        <v>254</v>
      </c>
      <c r="BY836" s="5" t="s">
        <v>238</v>
      </c>
      <c r="BZ836" s="5" t="s">
        <v>238</v>
      </c>
      <c r="CD836" s="5" t="s">
        <v>273</v>
      </c>
      <c r="CE836" s="5" t="s">
        <v>256</v>
      </c>
      <c r="CF836" s="5" t="s">
        <v>238</v>
      </c>
      <c r="CI836" s="6" t="s">
        <v>257</v>
      </c>
      <c r="CJ836" s="5" t="s">
        <v>238</v>
      </c>
      <c r="CK836" s="5" t="s">
        <v>258</v>
      </c>
      <c r="CL836" s="5" t="s">
        <v>238</v>
      </c>
      <c r="CM836" s="5" t="s">
        <v>238</v>
      </c>
      <c r="CN836" s="5">
        <v>0</v>
      </c>
      <c r="CO836" s="5" t="s">
        <v>259</v>
      </c>
      <c r="CP836" s="5" t="s">
        <v>260</v>
      </c>
      <c r="CQ836" s="5" t="s">
        <v>260</v>
      </c>
      <c r="CR836" s="5" t="s">
        <v>261</v>
      </c>
      <c r="CU836" s="8">
        <f>1</f>
        <v>1</v>
      </c>
      <c r="CV836" s="8">
        <f>0</f>
        <v>0</v>
      </c>
      <c r="CX836" s="8">
        <f>0</f>
        <v>0</v>
      </c>
      <c r="CY836" s="8">
        <f>1</f>
        <v>1</v>
      </c>
      <c r="DA836" s="5" t="s">
        <v>673</v>
      </c>
      <c r="DB836" s="5" t="s">
        <v>238</v>
      </c>
      <c r="DD836" s="5" t="s">
        <v>673</v>
      </c>
      <c r="DE836" s="8">
        <f>825</f>
        <v>825</v>
      </c>
      <c r="DG836" s="5" t="s">
        <v>238</v>
      </c>
      <c r="DH836" s="5" t="s">
        <v>238</v>
      </c>
      <c r="DI836" s="5" t="s">
        <v>238</v>
      </c>
      <c r="DJ836" s="5" t="s">
        <v>238</v>
      </c>
      <c r="DN836" s="5" t="s">
        <v>238</v>
      </c>
      <c r="DO836" s="5" t="s">
        <v>238</v>
      </c>
      <c r="DP836" s="5" t="s">
        <v>238</v>
      </c>
      <c r="DQ836" s="5" t="s">
        <v>238</v>
      </c>
      <c r="DT836" s="5" t="s">
        <v>2039</v>
      </c>
      <c r="DU836" s="5" t="s">
        <v>1070</v>
      </c>
      <c r="HM836" s="5" t="s">
        <v>264</v>
      </c>
    </row>
    <row r="837" spans="1:221" x14ac:dyDescent="0.4">
      <c r="A837" s="5">
        <v>2512</v>
      </c>
      <c r="B837" s="5">
        <v>1</v>
      </c>
      <c r="C837" s="5">
        <v>1</v>
      </c>
      <c r="D837" s="5" t="s">
        <v>2037</v>
      </c>
      <c r="E837" s="5" t="s">
        <v>271</v>
      </c>
      <c r="F837" s="5" t="s">
        <v>248</v>
      </c>
      <c r="G837" s="5" t="s">
        <v>1969</v>
      </c>
      <c r="H837" s="6" t="s">
        <v>3392</v>
      </c>
      <c r="I837" s="7">
        <f>1622</f>
        <v>1622</v>
      </c>
      <c r="J837" s="5" t="s">
        <v>262</v>
      </c>
      <c r="K837" s="8">
        <f>1</f>
        <v>1</v>
      </c>
      <c r="L837" s="6" t="s">
        <v>242</v>
      </c>
      <c r="M837" s="5" t="s">
        <v>267</v>
      </c>
      <c r="N837" s="5" t="s">
        <v>265</v>
      </c>
      <c r="O837" s="5" t="s">
        <v>238</v>
      </c>
      <c r="P837" s="5" t="s">
        <v>238</v>
      </c>
      <c r="Q837" s="5" t="s">
        <v>268</v>
      </c>
      <c r="R837" s="5" t="s">
        <v>270</v>
      </c>
      <c r="S837" s="5" t="s">
        <v>238</v>
      </c>
      <c r="V837" s="5" t="s">
        <v>238</v>
      </c>
      <c r="X837" s="6" t="s">
        <v>238</v>
      </c>
      <c r="AA837" s="6" t="s">
        <v>243</v>
      </c>
      <c r="AB837" s="5" t="s">
        <v>238</v>
      </c>
      <c r="AC837" s="5" t="s">
        <v>244</v>
      </c>
      <c r="AD837" s="5" t="s">
        <v>245</v>
      </c>
      <c r="AT837" s="5" t="s">
        <v>246</v>
      </c>
      <c r="AU837" s="5" t="s">
        <v>238</v>
      </c>
      <c r="AV837" s="5" t="s">
        <v>247</v>
      </c>
      <c r="AW837" s="5" t="s">
        <v>238</v>
      </c>
      <c r="AX837" s="5" t="s">
        <v>249</v>
      </c>
      <c r="AY837" s="5" t="s">
        <v>238</v>
      </c>
      <c r="BA837" s="5" t="s">
        <v>238</v>
      </c>
      <c r="BC837" s="5" t="s">
        <v>250</v>
      </c>
      <c r="BD837" s="6" t="s">
        <v>243</v>
      </c>
      <c r="BE837" s="5" t="s">
        <v>251</v>
      </c>
      <c r="BF837" s="5" t="s">
        <v>252</v>
      </c>
      <c r="BG837" s="5" t="s">
        <v>238</v>
      </c>
      <c r="BH837" s="7">
        <f>0</f>
        <v>0</v>
      </c>
      <c r="BI837" s="8">
        <f>0</f>
        <v>0</v>
      </c>
      <c r="BJ837" s="5" t="s">
        <v>253</v>
      </c>
      <c r="BK837" s="5" t="s">
        <v>254</v>
      </c>
      <c r="BY837" s="5" t="s">
        <v>238</v>
      </c>
      <c r="BZ837" s="5" t="s">
        <v>238</v>
      </c>
      <c r="CD837" s="5" t="s">
        <v>273</v>
      </c>
      <c r="CE837" s="5" t="s">
        <v>256</v>
      </c>
      <c r="CF837" s="5" t="s">
        <v>238</v>
      </c>
      <c r="CI837" s="6" t="s">
        <v>257</v>
      </c>
      <c r="CJ837" s="5" t="s">
        <v>238</v>
      </c>
      <c r="CK837" s="5" t="s">
        <v>258</v>
      </c>
      <c r="CL837" s="5" t="s">
        <v>238</v>
      </c>
      <c r="CM837" s="5" t="s">
        <v>238</v>
      </c>
      <c r="CN837" s="5">
        <v>0</v>
      </c>
      <c r="CO837" s="5" t="s">
        <v>259</v>
      </c>
      <c r="CP837" s="5" t="s">
        <v>260</v>
      </c>
      <c r="CQ837" s="5" t="s">
        <v>260</v>
      </c>
      <c r="CR837" s="5" t="s">
        <v>261</v>
      </c>
      <c r="CU837" s="8">
        <f>1</f>
        <v>1</v>
      </c>
      <c r="CV837" s="8">
        <f>0</f>
        <v>0</v>
      </c>
      <c r="CX837" s="8">
        <f>0</f>
        <v>0</v>
      </c>
      <c r="CY837" s="8">
        <f>1</f>
        <v>1</v>
      </c>
      <c r="DA837" s="5" t="s">
        <v>673</v>
      </c>
      <c r="DB837" s="5" t="s">
        <v>238</v>
      </c>
      <c r="DD837" s="5" t="s">
        <v>673</v>
      </c>
      <c r="DE837" s="8">
        <f>1622</f>
        <v>1622</v>
      </c>
      <c r="DG837" s="5" t="s">
        <v>238</v>
      </c>
      <c r="DH837" s="5" t="s">
        <v>238</v>
      </c>
      <c r="DI837" s="5" t="s">
        <v>238</v>
      </c>
      <c r="DJ837" s="5" t="s">
        <v>238</v>
      </c>
      <c r="DN837" s="5" t="s">
        <v>238</v>
      </c>
      <c r="DO837" s="5" t="s">
        <v>238</v>
      </c>
      <c r="DP837" s="5" t="s">
        <v>238</v>
      </c>
      <c r="DQ837" s="5" t="s">
        <v>238</v>
      </c>
      <c r="DT837" s="5" t="s">
        <v>2039</v>
      </c>
      <c r="DU837" s="5" t="s">
        <v>1068</v>
      </c>
      <c r="HM837" s="5" t="s">
        <v>264</v>
      </c>
    </row>
    <row r="838" spans="1:221" x14ac:dyDescent="0.4">
      <c r="A838" s="5">
        <v>2513</v>
      </c>
      <c r="B838" s="5">
        <v>1</v>
      </c>
      <c r="C838" s="5">
        <v>1</v>
      </c>
      <c r="D838" s="5" t="s">
        <v>2037</v>
      </c>
      <c r="E838" s="5" t="s">
        <v>271</v>
      </c>
      <c r="F838" s="5" t="s">
        <v>248</v>
      </c>
      <c r="G838" s="5" t="s">
        <v>1969</v>
      </c>
      <c r="H838" s="6" t="s">
        <v>2265</v>
      </c>
      <c r="I838" s="7">
        <f>6431</f>
        <v>6431</v>
      </c>
      <c r="J838" s="5" t="s">
        <v>262</v>
      </c>
      <c r="K838" s="8">
        <f>1</f>
        <v>1</v>
      </c>
      <c r="L838" s="6" t="s">
        <v>242</v>
      </c>
      <c r="M838" s="5" t="s">
        <v>267</v>
      </c>
      <c r="N838" s="5" t="s">
        <v>265</v>
      </c>
      <c r="O838" s="5" t="s">
        <v>238</v>
      </c>
      <c r="P838" s="5" t="s">
        <v>238</v>
      </c>
      <c r="Q838" s="5" t="s">
        <v>268</v>
      </c>
      <c r="R838" s="5" t="s">
        <v>270</v>
      </c>
      <c r="S838" s="5" t="s">
        <v>238</v>
      </c>
      <c r="V838" s="5" t="s">
        <v>238</v>
      </c>
      <c r="X838" s="6" t="s">
        <v>238</v>
      </c>
      <c r="AA838" s="6" t="s">
        <v>243</v>
      </c>
      <c r="AB838" s="5" t="s">
        <v>238</v>
      </c>
      <c r="AC838" s="5" t="s">
        <v>244</v>
      </c>
      <c r="AD838" s="5" t="s">
        <v>245</v>
      </c>
      <c r="AT838" s="5" t="s">
        <v>246</v>
      </c>
      <c r="AU838" s="5" t="s">
        <v>238</v>
      </c>
      <c r="AV838" s="5" t="s">
        <v>247</v>
      </c>
      <c r="AW838" s="5" t="s">
        <v>238</v>
      </c>
      <c r="AX838" s="5" t="s">
        <v>249</v>
      </c>
      <c r="AY838" s="5" t="s">
        <v>238</v>
      </c>
      <c r="BA838" s="5" t="s">
        <v>238</v>
      </c>
      <c r="BC838" s="5" t="s">
        <v>250</v>
      </c>
      <c r="BD838" s="6" t="s">
        <v>243</v>
      </c>
      <c r="BE838" s="5" t="s">
        <v>251</v>
      </c>
      <c r="BF838" s="5" t="s">
        <v>252</v>
      </c>
      <c r="BG838" s="5" t="s">
        <v>238</v>
      </c>
      <c r="BH838" s="7">
        <f>0</f>
        <v>0</v>
      </c>
      <c r="BI838" s="8">
        <f>0</f>
        <v>0</v>
      </c>
      <c r="BJ838" s="5" t="s">
        <v>253</v>
      </c>
      <c r="BK838" s="5" t="s">
        <v>254</v>
      </c>
      <c r="BY838" s="5" t="s">
        <v>238</v>
      </c>
      <c r="BZ838" s="5" t="s">
        <v>238</v>
      </c>
      <c r="CD838" s="5" t="s">
        <v>273</v>
      </c>
      <c r="CE838" s="5" t="s">
        <v>256</v>
      </c>
      <c r="CF838" s="5" t="s">
        <v>238</v>
      </c>
      <c r="CI838" s="6" t="s">
        <v>257</v>
      </c>
      <c r="CJ838" s="5" t="s">
        <v>238</v>
      </c>
      <c r="CK838" s="5" t="s">
        <v>258</v>
      </c>
      <c r="CL838" s="5" t="s">
        <v>238</v>
      </c>
      <c r="CM838" s="5" t="s">
        <v>238</v>
      </c>
      <c r="CN838" s="5">
        <v>0</v>
      </c>
      <c r="CO838" s="5" t="s">
        <v>259</v>
      </c>
      <c r="CP838" s="5" t="s">
        <v>260</v>
      </c>
      <c r="CQ838" s="5" t="s">
        <v>260</v>
      </c>
      <c r="CR838" s="5" t="s">
        <v>261</v>
      </c>
      <c r="CU838" s="8">
        <f>1</f>
        <v>1</v>
      </c>
      <c r="CV838" s="8">
        <f>0</f>
        <v>0</v>
      </c>
      <c r="CX838" s="8">
        <f>0</f>
        <v>0</v>
      </c>
      <c r="CY838" s="8">
        <f>1</f>
        <v>1</v>
      </c>
      <c r="DA838" s="5" t="s">
        <v>673</v>
      </c>
      <c r="DB838" s="5" t="s">
        <v>238</v>
      </c>
      <c r="DD838" s="5" t="s">
        <v>673</v>
      </c>
      <c r="DE838" s="8">
        <f>6431</f>
        <v>6431</v>
      </c>
      <c r="DG838" s="5" t="s">
        <v>238</v>
      </c>
      <c r="DH838" s="5" t="s">
        <v>238</v>
      </c>
      <c r="DI838" s="5" t="s">
        <v>238</v>
      </c>
      <c r="DJ838" s="5" t="s">
        <v>238</v>
      </c>
      <c r="DN838" s="5" t="s">
        <v>238</v>
      </c>
      <c r="DO838" s="5" t="s">
        <v>238</v>
      </c>
      <c r="DP838" s="5" t="s">
        <v>238</v>
      </c>
      <c r="DQ838" s="5" t="s">
        <v>238</v>
      </c>
      <c r="DT838" s="5" t="s">
        <v>2039</v>
      </c>
      <c r="DU838" s="5" t="s">
        <v>1064</v>
      </c>
      <c r="HM838" s="5" t="s">
        <v>264</v>
      </c>
    </row>
    <row r="839" spans="1:221" x14ac:dyDescent="0.4">
      <c r="A839" s="5">
        <v>2514</v>
      </c>
      <c r="B839" s="5">
        <v>1</v>
      </c>
      <c r="C839" s="5">
        <v>1</v>
      </c>
      <c r="D839" s="5" t="s">
        <v>2037</v>
      </c>
      <c r="E839" s="5" t="s">
        <v>271</v>
      </c>
      <c r="F839" s="5" t="s">
        <v>248</v>
      </c>
      <c r="G839" s="5" t="s">
        <v>1969</v>
      </c>
      <c r="H839" s="6" t="s">
        <v>3391</v>
      </c>
      <c r="I839" s="7">
        <f>2169</f>
        <v>2169</v>
      </c>
      <c r="J839" s="5" t="s">
        <v>262</v>
      </c>
      <c r="K839" s="8">
        <f>1</f>
        <v>1</v>
      </c>
      <c r="L839" s="6" t="s">
        <v>242</v>
      </c>
      <c r="M839" s="5" t="s">
        <v>267</v>
      </c>
      <c r="N839" s="5" t="s">
        <v>265</v>
      </c>
      <c r="O839" s="5" t="s">
        <v>238</v>
      </c>
      <c r="P839" s="5" t="s">
        <v>238</v>
      </c>
      <c r="Q839" s="5" t="s">
        <v>268</v>
      </c>
      <c r="R839" s="5" t="s">
        <v>270</v>
      </c>
      <c r="S839" s="5" t="s">
        <v>238</v>
      </c>
      <c r="V839" s="5" t="s">
        <v>238</v>
      </c>
      <c r="X839" s="6" t="s">
        <v>238</v>
      </c>
      <c r="AA839" s="6" t="s">
        <v>243</v>
      </c>
      <c r="AB839" s="5" t="s">
        <v>238</v>
      </c>
      <c r="AC839" s="5" t="s">
        <v>244</v>
      </c>
      <c r="AD839" s="5" t="s">
        <v>245</v>
      </c>
      <c r="AT839" s="5" t="s">
        <v>246</v>
      </c>
      <c r="AU839" s="5" t="s">
        <v>238</v>
      </c>
      <c r="AV839" s="5" t="s">
        <v>247</v>
      </c>
      <c r="AW839" s="5" t="s">
        <v>238</v>
      </c>
      <c r="AX839" s="5" t="s">
        <v>249</v>
      </c>
      <c r="AY839" s="5" t="s">
        <v>238</v>
      </c>
      <c r="BA839" s="5" t="s">
        <v>238</v>
      </c>
      <c r="BC839" s="5" t="s">
        <v>250</v>
      </c>
      <c r="BD839" s="6" t="s">
        <v>243</v>
      </c>
      <c r="BE839" s="5" t="s">
        <v>251</v>
      </c>
      <c r="BF839" s="5" t="s">
        <v>252</v>
      </c>
      <c r="BG839" s="5" t="s">
        <v>238</v>
      </c>
      <c r="BH839" s="7">
        <f>0</f>
        <v>0</v>
      </c>
      <c r="BI839" s="8">
        <f>0</f>
        <v>0</v>
      </c>
      <c r="BJ839" s="5" t="s">
        <v>253</v>
      </c>
      <c r="BK839" s="5" t="s">
        <v>254</v>
      </c>
      <c r="BY839" s="5" t="s">
        <v>238</v>
      </c>
      <c r="BZ839" s="5" t="s">
        <v>238</v>
      </c>
      <c r="CD839" s="5" t="s">
        <v>273</v>
      </c>
      <c r="CE839" s="5" t="s">
        <v>256</v>
      </c>
      <c r="CF839" s="5" t="s">
        <v>238</v>
      </c>
      <c r="CI839" s="6" t="s">
        <v>257</v>
      </c>
      <c r="CJ839" s="5" t="s">
        <v>238</v>
      </c>
      <c r="CK839" s="5" t="s">
        <v>258</v>
      </c>
      <c r="CL839" s="5" t="s">
        <v>238</v>
      </c>
      <c r="CM839" s="5" t="s">
        <v>238</v>
      </c>
      <c r="CN839" s="5">
        <v>0</v>
      </c>
      <c r="CO839" s="5" t="s">
        <v>259</v>
      </c>
      <c r="CP839" s="5" t="s">
        <v>260</v>
      </c>
      <c r="CQ839" s="5" t="s">
        <v>260</v>
      </c>
      <c r="CR839" s="5" t="s">
        <v>261</v>
      </c>
      <c r="CU839" s="8">
        <f>1</f>
        <v>1</v>
      </c>
      <c r="CV839" s="8">
        <f>0</f>
        <v>0</v>
      </c>
      <c r="CX839" s="8">
        <f>0</f>
        <v>0</v>
      </c>
      <c r="CY839" s="8">
        <f>1</f>
        <v>1</v>
      </c>
      <c r="DA839" s="5" t="s">
        <v>673</v>
      </c>
      <c r="DB839" s="5" t="s">
        <v>238</v>
      </c>
      <c r="DD839" s="5" t="s">
        <v>673</v>
      </c>
      <c r="DE839" s="8">
        <f>2169</f>
        <v>2169</v>
      </c>
      <c r="DG839" s="5" t="s">
        <v>238</v>
      </c>
      <c r="DH839" s="5" t="s">
        <v>238</v>
      </c>
      <c r="DI839" s="5" t="s">
        <v>238</v>
      </c>
      <c r="DJ839" s="5" t="s">
        <v>238</v>
      </c>
      <c r="DN839" s="5" t="s">
        <v>238</v>
      </c>
      <c r="DO839" s="5" t="s">
        <v>238</v>
      </c>
      <c r="DP839" s="5" t="s">
        <v>238</v>
      </c>
      <c r="DQ839" s="5" t="s">
        <v>238</v>
      </c>
      <c r="DT839" s="5" t="s">
        <v>2039</v>
      </c>
      <c r="DU839" s="5" t="s">
        <v>1060</v>
      </c>
      <c r="HM839" s="5" t="s">
        <v>264</v>
      </c>
    </row>
    <row r="840" spans="1:221" x14ac:dyDescent="0.4">
      <c r="A840" s="5">
        <v>2515</v>
      </c>
      <c r="B840" s="5">
        <v>1</v>
      </c>
      <c r="C840" s="5">
        <v>1</v>
      </c>
      <c r="D840" s="5" t="s">
        <v>2037</v>
      </c>
      <c r="E840" s="5" t="s">
        <v>271</v>
      </c>
      <c r="F840" s="5" t="s">
        <v>248</v>
      </c>
      <c r="G840" s="5" t="s">
        <v>1969</v>
      </c>
      <c r="H840" s="6" t="s">
        <v>3390</v>
      </c>
      <c r="I840" s="7">
        <f>2646</f>
        <v>2646</v>
      </c>
      <c r="J840" s="5" t="s">
        <v>262</v>
      </c>
      <c r="K840" s="8">
        <f>1</f>
        <v>1</v>
      </c>
      <c r="L840" s="6" t="s">
        <v>242</v>
      </c>
      <c r="M840" s="5" t="s">
        <v>267</v>
      </c>
      <c r="N840" s="5" t="s">
        <v>265</v>
      </c>
      <c r="O840" s="5" t="s">
        <v>238</v>
      </c>
      <c r="P840" s="5" t="s">
        <v>238</v>
      </c>
      <c r="Q840" s="5" t="s">
        <v>268</v>
      </c>
      <c r="R840" s="5" t="s">
        <v>270</v>
      </c>
      <c r="S840" s="5" t="s">
        <v>238</v>
      </c>
      <c r="V840" s="5" t="s">
        <v>238</v>
      </c>
      <c r="X840" s="6" t="s">
        <v>238</v>
      </c>
      <c r="AA840" s="6" t="s">
        <v>243</v>
      </c>
      <c r="AB840" s="5" t="s">
        <v>238</v>
      </c>
      <c r="AC840" s="5" t="s">
        <v>244</v>
      </c>
      <c r="AD840" s="5" t="s">
        <v>245</v>
      </c>
      <c r="AT840" s="5" t="s">
        <v>246</v>
      </c>
      <c r="AU840" s="5" t="s">
        <v>238</v>
      </c>
      <c r="AV840" s="5" t="s">
        <v>247</v>
      </c>
      <c r="AW840" s="5" t="s">
        <v>238</v>
      </c>
      <c r="AX840" s="5" t="s">
        <v>249</v>
      </c>
      <c r="AY840" s="5" t="s">
        <v>238</v>
      </c>
      <c r="BA840" s="5" t="s">
        <v>238</v>
      </c>
      <c r="BC840" s="5" t="s">
        <v>250</v>
      </c>
      <c r="BD840" s="6" t="s">
        <v>243</v>
      </c>
      <c r="BE840" s="5" t="s">
        <v>251</v>
      </c>
      <c r="BF840" s="5" t="s">
        <v>252</v>
      </c>
      <c r="BG840" s="5" t="s">
        <v>238</v>
      </c>
      <c r="BH840" s="7">
        <f>0</f>
        <v>0</v>
      </c>
      <c r="BI840" s="8">
        <f>0</f>
        <v>0</v>
      </c>
      <c r="BJ840" s="5" t="s">
        <v>253</v>
      </c>
      <c r="BK840" s="5" t="s">
        <v>254</v>
      </c>
      <c r="BY840" s="5" t="s">
        <v>238</v>
      </c>
      <c r="BZ840" s="5" t="s">
        <v>238</v>
      </c>
      <c r="CD840" s="5" t="s">
        <v>273</v>
      </c>
      <c r="CE840" s="5" t="s">
        <v>256</v>
      </c>
      <c r="CF840" s="5" t="s">
        <v>238</v>
      </c>
      <c r="CI840" s="6" t="s">
        <v>257</v>
      </c>
      <c r="CJ840" s="5" t="s">
        <v>238</v>
      </c>
      <c r="CK840" s="5" t="s">
        <v>258</v>
      </c>
      <c r="CL840" s="5" t="s">
        <v>238</v>
      </c>
      <c r="CM840" s="5" t="s">
        <v>238</v>
      </c>
      <c r="CN840" s="5">
        <v>0</v>
      </c>
      <c r="CO840" s="5" t="s">
        <v>259</v>
      </c>
      <c r="CP840" s="5" t="s">
        <v>260</v>
      </c>
      <c r="CQ840" s="5" t="s">
        <v>260</v>
      </c>
      <c r="CR840" s="5" t="s">
        <v>261</v>
      </c>
      <c r="CU840" s="8">
        <f>1</f>
        <v>1</v>
      </c>
      <c r="CV840" s="8">
        <f>0</f>
        <v>0</v>
      </c>
      <c r="CX840" s="8">
        <f>0</f>
        <v>0</v>
      </c>
      <c r="CY840" s="8">
        <f>1</f>
        <v>1</v>
      </c>
      <c r="DA840" s="5" t="s">
        <v>673</v>
      </c>
      <c r="DB840" s="5" t="s">
        <v>238</v>
      </c>
      <c r="DD840" s="5" t="s">
        <v>673</v>
      </c>
      <c r="DE840" s="8">
        <f>2646</f>
        <v>2646</v>
      </c>
      <c r="DG840" s="5" t="s">
        <v>238</v>
      </c>
      <c r="DH840" s="5" t="s">
        <v>238</v>
      </c>
      <c r="DI840" s="5" t="s">
        <v>238</v>
      </c>
      <c r="DJ840" s="5" t="s">
        <v>238</v>
      </c>
      <c r="DN840" s="5" t="s">
        <v>238</v>
      </c>
      <c r="DO840" s="5" t="s">
        <v>238</v>
      </c>
      <c r="DP840" s="5" t="s">
        <v>238</v>
      </c>
      <c r="DQ840" s="5" t="s">
        <v>238</v>
      </c>
      <c r="DT840" s="5" t="s">
        <v>2039</v>
      </c>
      <c r="DU840" s="5" t="s">
        <v>1056</v>
      </c>
      <c r="HM840" s="5" t="s">
        <v>264</v>
      </c>
    </row>
    <row r="841" spans="1:221" x14ac:dyDescent="0.4">
      <c r="A841" s="5">
        <v>2516</v>
      </c>
      <c r="B841" s="5">
        <v>1</v>
      </c>
      <c r="C841" s="5">
        <v>1</v>
      </c>
      <c r="D841" s="5" t="s">
        <v>2037</v>
      </c>
      <c r="E841" s="5" t="s">
        <v>271</v>
      </c>
      <c r="F841" s="5" t="s">
        <v>248</v>
      </c>
      <c r="G841" s="5" t="s">
        <v>1969</v>
      </c>
      <c r="H841" s="6" t="s">
        <v>3389</v>
      </c>
      <c r="I841" s="7">
        <f>1644</f>
        <v>1644</v>
      </c>
      <c r="J841" s="5" t="s">
        <v>262</v>
      </c>
      <c r="K841" s="8">
        <f>1</f>
        <v>1</v>
      </c>
      <c r="L841" s="6" t="s">
        <v>242</v>
      </c>
      <c r="M841" s="5" t="s">
        <v>267</v>
      </c>
      <c r="N841" s="5" t="s">
        <v>265</v>
      </c>
      <c r="O841" s="5" t="s">
        <v>238</v>
      </c>
      <c r="P841" s="5" t="s">
        <v>238</v>
      </c>
      <c r="Q841" s="5" t="s">
        <v>268</v>
      </c>
      <c r="R841" s="5" t="s">
        <v>270</v>
      </c>
      <c r="S841" s="5" t="s">
        <v>238</v>
      </c>
      <c r="V841" s="5" t="s">
        <v>238</v>
      </c>
      <c r="X841" s="6" t="s">
        <v>238</v>
      </c>
      <c r="AA841" s="6" t="s">
        <v>243</v>
      </c>
      <c r="AB841" s="5" t="s">
        <v>238</v>
      </c>
      <c r="AC841" s="5" t="s">
        <v>244</v>
      </c>
      <c r="AD841" s="5" t="s">
        <v>245</v>
      </c>
      <c r="AT841" s="5" t="s">
        <v>246</v>
      </c>
      <c r="AU841" s="5" t="s">
        <v>238</v>
      </c>
      <c r="AV841" s="5" t="s">
        <v>247</v>
      </c>
      <c r="AW841" s="5" t="s">
        <v>238</v>
      </c>
      <c r="AX841" s="5" t="s">
        <v>249</v>
      </c>
      <c r="AY841" s="5" t="s">
        <v>238</v>
      </c>
      <c r="BA841" s="5" t="s">
        <v>238</v>
      </c>
      <c r="BC841" s="5" t="s">
        <v>250</v>
      </c>
      <c r="BD841" s="6" t="s">
        <v>243</v>
      </c>
      <c r="BE841" s="5" t="s">
        <v>251</v>
      </c>
      <c r="BF841" s="5" t="s">
        <v>252</v>
      </c>
      <c r="BG841" s="5" t="s">
        <v>238</v>
      </c>
      <c r="BH841" s="7">
        <f>0</f>
        <v>0</v>
      </c>
      <c r="BI841" s="8">
        <f>0</f>
        <v>0</v>
      </c>
      <c r="BJ841" s="5" t="s">
        <v>253</v>
      </c>
      <c r="BK841" s="5" t="s">
        <v>254</v>
      </c>
      <c r="BY841" s="5" t="s">
        <v>238</v>
      </c>
      <c r="BZ841" s="5" t="s">
        <v>238</v>
      </c>
      <c r="CD841" s="5" t="s">
        <v>273</v>
      </c>
      <c r="CE841" s="5" t="s">
        <v>256</v>
      </c>
      <c r="CF841" s="5" t="s">
        <v>238</v>
      </c>
      <c r="CI841" s="6" t="s">
        <v>257</v>
      </c>
      <c r="CJ841" s="5" t="s">
        <v>238</v>
      </c>
      <c r="CK841" s="5" t="s">
        <v>258</v>
      </c>
      <c r="CL841" s="5" t="s">
        <v>238</v>
      </c>
      <c r="CM841" s="5" t="s">
        <v>238</v>
      </c>
      <c r="CN841" s="5">
        <v>0</v>
      </c>
      <c r="CO841" s="5" t="s">
        <v>259</v>
      </c>
      <c r="CP841" s="5" t="s">
        <v>260</v>
      </c>
      <c r="CQ841" s="5" t="s">
        <v>260</v>
      </c>
      <c r="CR841" s="5" t="s">
        <v>261</v>
      </c>
      <c r="CU841" s="8">
        <f>1</f>
        <v>1</v>
      </c>
      <c r="CV841" s="8">
        <f>0</f>
        <v>0</v>
      </c>
      <c r="CX841" s="8">
        <f>0</f>
        <v>0</v>
      </c>
      <c r="CY841" s="8">
        <f>1</f>
        <v>1</v>
      </c>
      <c r="DA841" s="5" t="s">
        <v>673</v>
      </c>
      <c r="DB841" s="5" t="s">
        <v>238</v>
      </c>
      <c r="DD841" s="5" t="s">
        <v>673</v>
      </c>
      <c r="DE841" s="8">
        <f>1644</f>
        <v>1644</v>
      </c>
      <c r="DG841" s="5" t="s">
        <v>238</v>
      </c>
      <c r="DH841" s="5" t="s">
        <v>238</v>
      </c>
      <c r="DI841" s="5" t="s">
        <v>238</v>
      </c>
      <c r="DJ841" s="5" t="s">
        <v>238</v>
      </c>
      <c r="DN841" s="5" t="s">
        <v>238</v>
      </c>
      <c r="DO841" s="5" t="s">
        <v>238</v>
      </c>
      <c r="DP841" s="5" t="s">
        <v>238</v>
      </c>
      <c r="DQ841" s="5" t="s">
        <v>238</v>
      </c>
      <c r="DT841" s="5" t="s">
        <v>2039</v>
      </c>
      <c r="DU841" s="5" t="s">
        <v>245</v>
      </c>
      <c r="HM841" s="5" t="s">
        <v>264</v>
      </c>
    </row>
    <row r="842" spans="1:221" x14ac:dyDescent="0.4">
      <c r="A842" s="5">
        <v>2517</v>
      </c>
      <c r="B842" s="5">
        <v>1</v>
      </c>
      <c r="C842" s="5">
        <v>1</v>
      </c>
      <c r="D842" s="5" t="s">
        <v>2037</v>
      </c>
      <c r="E842" s="5" t="s">
        <v>271</v>
      </c>
      <c r="F842" s="5" t="s">
        <v>248</v>
      </c>
      <c r="G842" s="5" t="s">
        <v>1969</v>
      </c>
      <c r="H842" s="6" t="s">
        <v>3388</v>
      </c>
      <c r="I842" s="7">
        <f>2026</f>
        <v>2026</v>
      </c>
      <c r="J842" s="5" t="s">
        <v>262</v>
      </c>
      <c r="K842" s="8">
        <f>1</f>
        <v>1</v>
      </c>
      <c r="L842" s="6" t="s">
        <v>242</v>
      </c>
      <c r="M842" s="5" t="s">
        <v>267</v>
      </c>
      <c r="N842" s="5" t="s">
        <v>265</v>
      </c>
      <c r="O842" s="5" t="s">
        <v>238</v>
      </c>
      <c r="P842" s="5" t="s">
        <v>238</v>
      </c>
      <c r="Q842" s="5" t="s">
        <v>268</v>
      </c>
      <c r="R842" s="5" t="s">
        <v>270</v>
      </c>
      <c r="S842" s="5" t="s">
        <v>238</v>
      </c>
      <c r="V842" s="5" t="s">
        <v>238</v>
      </c>
      <c r="X842" s="6" t="s">
        <v>238</v>
      </c>
      <c r="AA842" s="6" t="s">
        <v>243</v>
      </c>
      <c r="AB842" s="5" t="s">
        <v>238</v>
      </c>
      <c r="AC842" s="5" t="s">
        <v>244</v>
      </c>
      <c r="AD842" s="5" t="s">
        <v>245</v>
      </c>
      <c r="AT842" s="5" t="s">
        <v>246</v>
      </c>
      <c r="AU842" s="5" t="s">
        <v>238</v>
      </c>
      <c r="AV842" s="5" t="s">
        <v>247</v>
      </c>
      <c r="AW842" s="5" t="s">
        <v>238</v>
      </c>
      <c r="AX842" s="5" t="s">
        <v>249</v>
      </c>
      <c r="AY842" s="5" t="s">
        <v>238</v>
      </c>
      <c r="BA842" s="5" t="s">
        <v>238</v>
      </c>
      <c r="BC842" s="5" t="s">
        <v>250</v>
      </c>
      <c r="BD842" s="6" t="s">
        <v>243</v>
      </c>
      <c r="BE842" s="5" t="s">
        <v>251</v>
      </c>
      <c r="BF842" s="5" t="s">
        <v>252</v>
      </c>
      <c r="BG842" s="5" t="s">
        <v>238</v>
      </c>
      <c r="BH842" s="7">
        <f>0</f>
        <v>0</v>
      </c>
      <c r="BI842" s="8">
        <f>0</f>
        <v>0</v>
      </c>
      <c r="BJ842" s="5" t="s">
        <v>253</v>
      </c>
      <c r="BK842" s="5" t="s">
        <v>254</v>
      </c>
      <c r="BY842" s="5" t="s">
        <v>238</v>
      </c>
      <c r="BZ842" s="5" t="s">
        <v>238</v>
      </c>
      <c r="CD842" s="5" t="s">
        <v>273</v>
      </c>
      <c r="CE842" s="5" t="s">
        <v>256</v>
      </c>
      <c r="CF842" s="5" t="s">
        <v>238</v>
      </c>
      <c r="CI842" s="6" t="s">
        <v>257</v>
      </c>
      <c r="CJ842" s="5" t="s">
        <v>238</v>
      </c>
      <c r="CK842" s="5" t="s">
        <v>258</v>
      </c>
      <c r="CL842" s="5" t="s">
        <v>238</v>
      </c>
      <c r="CM842" s="5" t="s">
        <v>238</v>
      </c>
      <c r="CN842" s="5">
        <v>0</v>
      </c>
      <c r="CO842" s="5" t="s">
        <v>259</v>
      </c>
      <c r="CP842" s="5" t="s">
        <v>260</v>
      </c>
      <c r="CQ842" s="5" t="s">
        <v>260</v>
      </c>
      <c r="CR842" s="5" t="s">
        <v>261</v>
      </c>
      <c r="CU842" s="8">
        <f>1</f>
        <v>1</v>
      </c>
      <c r="CV842" s="8">
        <f>0</f>
        <v>0</v>
      </c>
      <c r="CX842" s="8">
        <f>0</f>
        <v>0</v>
      </c>
      <c r="CY842" s="8">
        <f>1</f>
        <v>1</v>
      </c>
      <c r="DA842" s="5" t="s">
        <v>673</v>
      </c>
      <c r="DB842" s="5" t="s">
        <v>238</v>
      </c>
      <c r="DD842" s="5" t="s">
        <v>673</v>
      </c>
      <c r="DE842" s="8">
        <f>2026</f>
        <v>2026</v>
      </c>
      <c r="DG842" s="5" t="s">
        <v>238</v>
      </c>
      <c r="DH842" s="5" t="s">
        <v>238</v>
      </c>
      <c r="DI842" s="5" t="s">
        <v>238</v>
      </c>
      <c r="DJ842" s="5" t="s">
        <v>238</v>
      </c>
      <c r="DN842" s="5" t="s">
        <v>238</v>
      </c>
      <c r="DO842" s="5" t="s">
        <v>238</v>
      </c>
      <c r="DP842" s="5" t="s">
        <v>238</v>
      </c>
      <c r="DQ842" s="5" t="s">
        <v>238</v>
      </c>
      <c r="DT842" s="5" t="s">
        <v>2039</v>
      </c>
      <c r="DU842" s="5" t="s">
        <v>1049</v>
      </c>
      <c r="HM842" s="5" t="s">
        <v>264</v>
      </c>
    </row>
    <row r="843" spans="1:221" x14ac:dyDescent="0.4">
      <c r="A843" s="5">
        <v>2518</v>
      </c>
      <c r="B843" s="5">
        <v>1</v>
      </c>
      <c r="C843" s="5">
        <v>1</v>
      </c>
      <c r="D843" s="5" t="s">
        <v>2037</v>
      </c>
      <c r="E843" s="5" t="s">
        <v>271</v>
      </c>
      <c r="F843" s="5" t="s">
        <v>248</v>
      </c>
      <c r="G843" s="5" t="s">
        <v>1969</v>
      </c>
      <c r="H843" s="6" t="s">
        <v>3387</v>
      </c>
      <c r="I843" s="7">
        <f>3117</f>
        <v>3117</v>
      </c>
      <c r="J843" s="5" t="s">
        <v>262</v>
      </c>
      <c r="K843" s="8">
        <f>1</f>
        <v>1</v>
      </c>
      <c r="L843" s="6" t="s">
        <v>242</v>
      </c>
      <c r="M843" s="5" t="s">
        <v>267</v>
      </c>
      <c r="N843" s="5" t="s">
        <v>265</v>
      </c>
      <c r="O843" s="5" t="s">
        <v>238</v>
      </c>
      <c r="P843" s="5" t="s">
        <v>238</v>
      </c>
      <c r="Q843" s="5" t="s">
        <v>268</v>
      </c>
      <c r="R843" s="5" t="s">
        <v>270</v>
      </c>
      <c r="S843" s="5" t="s">
        <v>238</v>
      </c>
      <c r="V843" s="5" t="s">
        <v>238</v>
      </c>
      <c r="X843" s="6" t="s">
        <v>238</v>
      </c>
      <c r="AA843" s="6" t="s">
        <v>243</v>
      </c>
      <c r="AB843" s="5" t="s">
        <v>238</v>
      </c>
      <c r="AC843" s="5" t="s">
        <v>244</v>
      </c>
      <c r="AD843" s="5" t="s">
        <v>245</v>
      </c>
      <c r="AT843" s="5" t="s">
        <v>246</v>
      </c>
      <c r="AU843" s="5" t="s">
        <v>238</v>
      </c>
      <c r="AV843" s="5" t="s">
        <v>247</v>
      </c>
      <c r="AW843" s="5" t="s">
        <v>238</v>
      </c>
      <c r="AX843" s="5" t="s">
        <v>249</v>
      </c>
      <c r="AY843" s="5" t="s">
        <v>238</v>
      </c>
      <c r="BA843" s="5" t="s">
        <v>238</v>
      </c>
      <c r="BC843" s="5" t="s">
        <v>250</v>
      </c>
      <c r="BD843" s="6" t="s">
        <v>243</v>
      </c>
      <c r="BE843" s="5" t="s">
        <v>251</v>
      </c>
      <c r="BF843" s="5" t="s">
        <v>252</v>
      </c>
      <c r="BG843" s="5" t="s">
        <v>238</v>
      </c>
      <c r="BH843" s="7">
        <f>0</f>
        <v>0</v>
      </c>
      <c r="BI843" s="8">
        <f>0</f>
        <v>0</v>
      </c>
      <c r="BJ843" s="5" t="s">
        <v>253</v>
      </c>
      <c r="BK843" s="5" t="s">
        <v>254</v>
      </c>
      <c r="BY843" s="5" t="s">
        <v>238</v>
      </c>
      <c r="BZ843" s="5" t="s">
        <v>238</v>
      </c>
      <c r="CD843" s="5" t="s">
        <v>273</v>
      </c>
      <c r="CE843" s="5" t="s">
        <v>256</v>
      </c>
      <c r="CF843" s="5" t="s">
        <v>238</v>
      </c>
      <c r="CI843" s="6" t="s">
        <v>257</v>
      </c>
      <c r="CJ843" s="5" t="s">
        <v>238</v>
      </c>
      <c r="CK843" s="5" t="s">
        <v>258</v>
      </c>
      <c r="CL843" s="5" t="s">
        <v>238</v>
      </c>
      <c r="CM843" s="5" t="s">
        <v>238</v>
      </c>
      <c r="CN843" s="5">
        <v>0</v>
      </c>
      <c r="CO843" s="5" t="s">
        <v>259</v>
      </c>
      <c r="CP843" s="5" t="s">
        <v>260</v>
      </c>
      <c r="CQ843" s="5" t="s">
        <v>260</v>
      </c>
      <c r="CR843" s="5" t="s">
        <v>261</v>
      </c>
      <c r="CU843" s="8">
        <f>1</f>
        <v>1</v>
      </c>
      <c r="CV843" s="8">
        <f>0</f>
        <v>0</v>
      </c>
      <c r="CX843" s="8">
        <f>0</f>
        <v>0</v>
      </c>
      <c r="CY843" s="8">
        <f>1</f>
        <v>1</v>
      </c>
      <c r="DA843" s="5" t="s">
        <v>673</v>
      </c>
      <c r="DB843" s="5" t="s">
        <v>238</v>
      </c>
      <c r="DD843" s="5" t="s">
        <v>673</v>
      </c>
      <c r="DE843" s="8">
        <f>3117</f>
        <v>3117</v>
      </c>
      <c r="DG843" s="5" t="s">
        <v>238</v>
      </c>
      <c r="DH843" s="5" t="s">
        <v>238</v>
      </c>
      <c r="DI843" s="5" t="s">
        <v>238</v>
      </c>
      <c r="DJ843" s="5" t="s">
        <v>238</v>
      </c>
      <c r="DN843" s="5" t="s">
        <v>238</v>
      </c>
      <c r="DO843" s="5" t="s">
        <v>238</v>
      </c>
      <c r="DP843" s="5" t="s">
        <v>238</v>
      </c>
      <c r="DQ843" s="5" t="s">
        <v>238</v>
      </c>
      <c r="DT843" s="5" t="s">
        <v>2039</v>
      </c>
      <c r="DU843" s="5" t="s">
        <v>1045</v>
      </c>
      <c r="HM843" s="5" t="s">
        <v>264</v>
      </c>
    </row>
    <row r="844" spans="1:221" x14ac:dyDescent="0.4">
      <c r="A844" s="5">
        <v>2519</v>
      </c>
      <c r="B844" s="5">
        <v>1</v>
      </c>
      <c r="C844" s="5">
        <v>1</v>
      </c>
      <c r="D844" s="5" t="s">
        <v>2037</v>
      </c>
      <c r="E844" s="5" t="s">
        <v>271</v>
      </c>
      <c r="F844" s="5" t="s">
        <v>248</v>
      </c>
      <c r="G844" s="5" t="s">
        <v>1969</v>
      </c>
      <c r="H844" s="6" t="s">
        <v>3386</v>
      </c>
      <c r="I844" s="7">
        <f>4832</f>
        <v>4832</v>
      </c>
      <c r="J844" s="5" t="s">
        <v>262</v>
      </c>
      <c r="K844" s="8">
        <f>1</f>
        <v>1</v>
      </c>
      <c r="L844" s="6" t="s">
        <v>242</v>
      </c>
      <c r="M844" s="5" t="s">
        <v>267</v>
      </c>
      <c r="N844" s="5" t="s">
        <v>265</v>
      </c>
      <c r="O844" s="5" t="s">
        <v>238</v>
      </c>
      <c r="P844" s="5" t="s">
        <v>238</v>
      </c>
      <c r="Q844" s="5" t="s">
        <v>268</v>
      </c>
      <c r="R844" s="5" t="s">
        <v>270</v>
      </c>
      <c r="S844" s="5" t="s">
        <v>238</v>
      </c>
      <c r="V844" s="5" t="s">
        <v>238</v>
      </c>
      <c r="X844" s="6" t="s">
        <v>238</v>
      </c>
      <c r="AA844" s="6" t="s">
        <v>243</v>
      </c>
      <c r="AB844" s="5" t="s">
        <v>238</v>
      </c>
      <c r="AC844" s="5" t="s">
        <v>244</v>
      </c>
      <c r="AD844" s="5" t="s">
        <v>245</v>
      </c>
      <c r="AT844" s="5" t="s">
        <v>246</v>
      </c>
      <c r="AU844" s="5" t="s">
        <v>238</v>
      </c>
      <c r="AV844" s="5" t="s">
        <v>247</v>
      </c>
      <c r="AW844" s="5" t="s">
        <v>238</v>
      </c>
      <c r="AX844" s="5" t="s">
        <v>249</v>
      </c>
      <c r="AY844" s="5" t="s">
        <v>238</v>
      </c>
      <c r="BA844" s="5" t="s">
        <v>238</v>
      </c>
      <c r="BC844" s="5" t="s">
        <v>250</v>
      </c>
      <c r="BD844" s="6" t="s">
        <v>243</v>
      </c>
      <c r="BE844" s="5" t="s">
        <v>251</v>
      </c>
      <c r="BF844" s="5" t="s">
        <v>252</v>
      </c>
      <c r="BG844" s="5" t="s">
        <v>238</v>
      </c>
      <c r="BH844" s="7">
        <f>0</f>
        <v>0</v>
      </c>
      <c r="BI844" s="8">
        <f>0</f>
        <v>0</v>
      </c>
      <c r="BJ844" s="5" t="s">
        <v>253</v>
      </c>
      <c r="BK844" s="5" t="s">
        <v>254</v>
      </c>
      <c r="BY844" s="5" t="s">
        <v>238</v>
      </c>
      <c r="BZ844" s="5" t="s">
        <v>238</v>
      </c>
      <c r="CD844" s="5" t="s">
        <v>273</v>
      </c>
      <c r="CE844" s="5" t="s">
        <v>256</v>
      </c>
      <c r="CF844" s="5" t="s">
        <v>238</v>
      </c>
      <c r="CI844" s="6" t="s">
        <v>257</v>
      </c>
      <c r="CJ844" s="5" t="s">
        <v>238</v>
      </c>
      <c r="CK844" s="5" t="s">
        <v>258</v>
      </c>
      <c r="CL844" s="5" t="s">
        <v>238</v>
      </c>
      <c r="CM844" s="5" t="s">
        <v>238</v>
      </c>
      <c r="CN844" s="5">
        <v>0</v>
      </c>
      <c r="CO844" s="5" t="s">
        <v>259</v>
      </c>
      <c r="CP844" s="5" t="s">
        <v>260</v>
      </c>
      <c r="CQ844" s="5" t="s">
        <v>260</v>
      </c>
      <c r="CR844" s="5" t="s">
        <v>261</v>
      </c>
      <c r="CU844" s="8">
        <f>1</f>
        <v>1</v>
      </c>
      <c r="CV844" s="8">
        <f>0</f>
        <v>0</v>
      </c>
      <c r="CX844" s="8">
        <f>0</f>
        <v>0</v>
      </c>
      <c r="CY844" s="8">
        <f>1</f>
        <v>1</v>
      </c>
      <c r="DA844" s="5" t="s">
        <v>673</v>
      </c>
      <c r="DB844" s="5" t="s">
        <v>238</v>
      </c>
      <c r="DD844" s="5" t="s">
        <v>673</v>
      </c>
      <c r="DE844" s="8">
        <f>4832</f>
        <v>4832</v>
      </c>
      <c r="DG844" s="5" t="s">
        <v>238</v>
      </c>
      <c r="DH844" s="5" t="s">
        <v>238</v>
      </c>
      <c r="DI844" s="5" t="s">
        <v>238</v>
      </c>
      <c r="DJ844" s="5" t="s">
        <v>238</v>
      </c>
      <c r="DN844" s="5" t="s">
        <v>238</v>
      </c>
      <c r="DO844" s="5" t="s">
        <v>238</v>
      </c>
      <c r="DP844" s="5" t="s">
        <v>238</v>
      </c>
      <c r="DQ844" s="5" t="s">
        <v>238</v>
      </c>
      <c r="DT844" s="5" t="s">
        <v>2039</v>
      </c>
      <c r="DU844" s="5" t="s">
        <v>1043</v>
      </c>
      <c r="HM844" s="5" t="s">
        <v>264</v>
      </c>
    </row>
    <row r="845" spans="1:221" x14ac:dyDescent="0.4">
      <c r="A845" s="5">
        <v>2520</v>
      </c>
      <c r="B845" s="5">
        <v>1</v>
      </c>
      <c r="C845" s="5">
        <v>1</v>
      </c>
      <c r="D845" s="5" t="s">
        <v>2037</v>
      </c>
      <c r="E845" s="5" t="s">
        <v>271</v>
      </c>
      <c r="F845" s="5" t="s">
        <v>248</v>
      </c>
      <c r="G845" s="5" t="s">
        <v>1969</v>
      </c>
      <c r="H845" s="6" t="s">
        <v>3385</v>
      </c>
      <c r="I845" s="7">
        <f>1578</f>
        <v>1578</v>
      </c>
      <c r="J845" s="5" t="s">
        <v>262</v>
      </c>
      <c r="K845" s="8">
        <f>1</f>
        <v>1</v>
      </c>
      <c r="L845" s="6" t="s">
        <v>242</v>
      </c>
      <c r="M845" s="5" t="s">
        <v>267</v>
      </c>
      <c r="N845" s="5" t="s">
        <v>265</v>
      </c>
      <c r="O845" s="5" t="s">
        <v>238</v>
      </c>
      <c r="P845" s="5" t="s">
        <v>238</v>
      </c>
      <c r="Q845" s="5" t="s">
        <v>268</v>
      </c>
      <c r="R845" s="5" t="s">
        <v>270</v>
      </c>
      <c r="S845" s="5" t="s">
        <v>238</v>
      </c>
      <c r="V845" s="5" t="s">
        <v>238</v>
      </c>
      <c r="X845" s="6" t="s">
        <v>238</v>
      </c>
      <c r="AA845" s="6" t="s">
        <v>243</v>
      </c>
      <c r="AB845" s="5" t="s">
        <v>238</v>
      </c>
      <c r="AC845" s="5" t="s">
        <v>244</v>
      </c>
      <c r="AD845" s="5" t="s">
        <v>245</v>
      </c>
      <c r="AT845" s="5" t="s">
        <v>246</v>
      </c>
      <c r="AU845" s="5" t="s">
        <v>238</v>
      </c>
      <c r="AV845" s="5" t="s">
        <v>247</v>
      </c>
      <c r="AW845" s="5" t="s">
        <v>238</v>
      </c>
      <c r="AX845" s="5" t="s">
        <v>249</v>
      </c>
      <c r="AY845" s="5" t="s">
        <v>238</v>
      </c>
      <c r="BA845" s="5" t="s">
        <v>238</v>
      </c>
      <c r="BC845" s="5" t="s">
        <v>250</v>
      </c>
      <c r="BD845" s="6" t="s">
        <v>243</v>
      </c>
      <c r="BE845" s="5" t="s">
        <v>251</v>
      </c>
      <c r="BF845" s="5" t="s">
        <v>252</v>
      </c>
      <c r="BG845" s="5" t="s">
        <v>238</v>
      </c>
      <c r="BH845" s="7">
        <f>0</f>
        <v>0</v>
      </c>
      <c r="BI845" s="8">
        <f>0</f>
        <v>0</v>
      </c>
      <c r="BJ845" s="5" t="s">
        <v>253</v>
      </c>
      <c r="BK845" s="5" t="s">
        <v>254</v>
      </c>
      <c r="BY845" s="5" t="s">
        <v>238</v>
      </c>
      <c r="BZ845" s="5" t="s">
        <v>238</v>
      </c>
      <c r="CD845" s="5" t="s">
        <v>273</v>
      </c>
      <c r="CE845" s="5" t="s">
        <v>256</v>
      </c>
      <c r="CF845" s="5" t="s">
        <v>238</v>
      </c>
      <c r="CI845" s="6" t="s">
        <v>257</v>
      </c>
      <c r="CJ845" s="5" t="s">
        <v>238</v>
      </c>
      <c r="CK845" s="5" t="s">
        <v>258</v>
      </c>
      <c r="CL845" s="5" t="s">
        <v>238</v>
      </c>
      <c r="CM845" s="5" t="s">
        <v>238</v>
      </c>
      <c r="CN845" s="5">
        <v>0</v>
      </c>
      <c r="CO845" s="5" t="s">
        <v>259</v>
      </c>
      <c r="CP845" s="5" t="s">
        <v>260</v>
      </c>
      <c r="CQ845" s="5" t="s">
        <v>260</v>
      </c>
      <c r="CR845" s="5" t="s">
        <v>261</v>
      </c>
      <c r="CU845" s="8">
        <f>1</f>
        <v>1</v>
      </c>
      <c r="CV845" s="8">
        <f>0</f>
        <v>0</v>
      </c>
      <c r="CX845" s="8">
        <f>0</f>
        <v>0</v>
      </c>
      <c r="CY845" s="8">
        <f>1</f>
        <v>1</v>
      </c>
      <c r="DA845" s="5" t="s">
        <v>673</v>
      </c>
      <c r="DB845" s="5" t="s">
        <v>238</v>
      </c>
      <c r="DD845" s="5" t="s">
        <v>673</v>
      </c>
      <c r="DE845" s="8">
        <f>1578</f>
        <v>1578</v>
      </c>
      <c r="DG845" s="5" t="s">
        <v>238</v>
      </c>
      <c r="DH845" s="5" t="s">
        <v>238</v>
      </c>
      <c r="DI845" s="5" t="s">
        <v>238</v>
      </c>
      <c r="DJ845" s="5" t="s">
        <v>238</v>
      </c>
      <c r="DN845" s="5" t="s">
        <v>238</v>
      </c>
      <c r="DO845" s="5" t="s">
        <v>238</v>
      </c>
      <c r="DP845" s="5" t="s">
        <v>238</v>
      </c>
      <c r="DQ845" s="5" t="s">
        <v>238</v>
      </c>
      <c r="DT845" s="5" t="s">
        <v>2039</v>
      </c>
      <c r="DU845" s="5" t="s">
        <v>1041</v>
      </c>
      <c r="HM845" s="5" t="s">
        <v>264</v>
      </c>
    </row>
    <row r="846" spans="1:221" x14ac:dyDescent="0.4">
      <c r="A846" s="5">
        <v>2521</v>
      </c>
      <c r="B846" s="5">
        <v>1</v>
      </c>
      <c r="C846" s="5">
        <v>1</v>
      </c>
      <c r="D846" s="5" t="s">
        <v>2037</v>
      </c>
      <c r="E846" s="5" t="s">
        <v>271</v>
      </c>
      <c r="F846" s="5" t="s">
        <v>248</v>
      </c>
      <c r="G846" s="5" t="s">
        <v>1969</v>
      </c>
      <c r="H846" s="6" t="s">
        <v>3384</v>
      </c>
      <c r="I846" s="7">
        <f>4068</f>
        <v>4068</v>
      </c>
      <c r="J846" s="5" t="s">
        <v>262</v>
      </c>
      <c r="K846" s="8">
        <f>1</f>
        <v>1</v>
      </c>
      <c r="L846" s="6" t="s">
        <v>242</v>
      </c>
      <c r="M846" s="5" t="s">
        <v>267</v>
      </c>
      <c r="N846" s="5" t="s">
        <v>265</v>
      </c>
      <c r="O846" s="5" t="s">
        <v>238</v>
      </c>
      <c r="P846" s="5" t="s">
        <v>238</v>
      </c>
      <c r="Q846" s="5" t="s">
        <v>268</v>
      </c>
      <c r="R846" s="5" t="s">
        <v>270</v>
      </c>
      <c r="S846" s="5" t="s">
        <v>238</v>
      </c>
      <c r="V846" s="5" t="s">
        <v>238</v>
      </c>
      <c r="X846" s="6" t="s">
        <v>238</v>
      </c>
      <c r="AA846" s="6" t="s">
        <v>243</v>
      </c>
      <c r="AB846" s="5" t="s">
        <v>238</v>
      </c>
      <c r="AC846" s="5" t="s">
        <v>244</v>
      </c>
      <c r="AD846" s="5" t="s">
        <v>245</v>
      </c>
      <c r="AT846" s="5" t="s">
        <v>246</v>
      </c>
      <c r="AU846" s="5" t="s">
        <v>238</v>
      </c>
      <c r="AV846" s="5" t="s">
        <v>247</v>
      </c>
      <c r="AW846" s="5" t="s">
        <v>238</v>
      </c>
      <c r="AX846" s="5" t="s">
        <v>249</v>
      </c>
      <c r="AY846" s="5" t="s">
        <v>238</v>
      </c>
      <c r="BA846" s="5" t="s">
        <v>238</v>
      </c>
      <c r="BC846" s="5" t="s">
        <v>250</v>
      </c>
      <c r="BD846" s="6" t="s">
        <v>243</v>
      </c>
      <c r="BE846" s="5" t="s">
        <v>251</v>
      </c>
      <c r="BF846" s="5" t="s">
        <v>252</v>
      </c>
      <c r="BG846" s="5" t="s">
        <v>238</v>
      </c>
      <c r="BH846" s="7">
        <f>0</f>
        <v>0</v>
      </c>
      <c r="BI846" s="8">
        <f>0</f>
        <v>0</v>
      </c>
      <c r="BJ846" s="5" t="s">
        <v>253</v>
      </c>
      <c r="BK846" s="5" t="s">
        <v>254</v>
      </c>
      <c r="BY846" s="5" t="s">
        <v>238</v>
      </c>
      <c r="BZ846" s="5" t="s">
        <v>238</v>
      </c>
      <c r="CD846" s="5" t="s">
        <v>273</v>
      </c>
      <c r="CE846" s="5" t="s">
        <v>256</v>
      </c>
      <c r="CF846" s="5" t="s">
        <v>238</v>
      </c>
      <c r="CI846" s="6" t="s">
        <v>257</v>
      </c>
      <c r="CJ846" s="5" t="s">
        <v>238</v>
      </c>
      <c r="CK846" s="5" t="s">
        <v>258</v>
      </c>
      <c r="CL846" s="5" t="s">
        <v>238</v>
      </c>
      <c r="CM846" s="5" t="s">
        <v>238</v>
      </c>
      <c r="CN846" s="5">
        <v>0</v>
      </c>
      <c r="CO846" s="5" t="s">
        <v>259</v>
      </c>
      <c r="CP846" s="5" t="s">
        <v>260</v>
      </c>
      <c r="CQ846" s="5" t="s">
        <v>260</v>
      </c>
      <c r="CR846" s="5" t="s">
        <v>261</v>
      </c>
      <c r="CU846" s="8">
        <f>1</f>
        <v>1</v>
      </c>
      <c r="CV846" s="8">
        <f>0</f>
        <v>0</v>
      </c>
      <c r="CX846" s="8">
        <f>0</f>
        <v>0</v>
      </c>
      <c r="CY846" s="8">
        <f>1</f>
        <v>1</v>
      </c>
      <c r="DA846" s="5" t="s">
        <v>673</v>
      </c>
      <c r="DB846" s="5" t="s">
        <v>238</v>
      </c>
      <c r="DD846" s="5" t="s">
        <v>673</v>
      </c>
      <c r="DE846" s="8">
        <f>4068</f>
        <v>4068</v>
      </c>
      <c r="DG846" s="5" t="s">
        <v>238</v>
      </c>
      <c r="DH846" s="5" t="s">
        <v>238</v>
      </c>
      <c r="DI846" s="5" t="s">
        <v>238</v>
      </c>
      <c r="DJ846" s="5" t="s">
        <v>238</v>
      </c>
      <c r="DN846" s="5" t="s">
        <v>238</v>
      </c>
      <c r="DO846" s="5" t="s">
        <v>238</v>
      </c>
      <c r="DP846" s="5" t="s">
        <v>238</v>
      </c>
      <c r="DQ846" s="5" t="s">
        <v>238</v>
      </c>
      <c r="DT846" s="5" t="s">
        <v>2039</v>
      </c>
      <c r="DU846" s="5" t="s">
        <v>1037</v>
      </c>
      <c r="HM846" s="5" t="s">
        <v>264</v>
      </c>
    </row>
    <row r="847" spans="1:221" x14ac:dyDescent="0.4">
      <c r="A847" s="5">
        <v>2522</v>
      </c>
      <c r="B847" s="5">
        <v>1</v>
      </c>
      <c r="C847" s="5">
        <v>1</v>
      </c>
      <c r="D847" s="5" t="s">
        <v>2037</v>
      </c>
      <c r="E847" s="5" t="s">
        <v>271</v>
      </c>
      <c r="F847" s="5" t="s">
        <v>248</v>
      </c>
      <c r="G847" s="5" t="s">
        <v>1969</v>
      </c>
      <c r="H847" s="6" t="s">
        <v>3383</v>
      </c>
      <c r="I847" s="7">
        <f>5033</f>
        <v>5033</v>
      </c>
      <c r="J847" s="5" t="s">
        <v>262</v>
      </c>
      <c r="K847" s="8">
        <f>1</f>
        <v>1</v>
      </c>
      <c r="L847" s="6" t="s">
        <v>242</v>
      </c>
      <c r="M847" s="5" t="s">
        <v>267</v>
      </c>
      <c r="N847" s="5" t="s">
        <v>265</v>
      </c>
      <c r="O847" s="5" t="s">
        <v>238</v>
      </c>
      <c r="P847" s="5" t="s">
        <v>238</v>
      </c>
      <c r="Q847" s="5" t="s">
        <v>268</v>
      </c>
      <c r="R847" s="5" t="s">
        <v>270</v>
      </c>
      <c r="S847" s="5" t="s">
        <v>238</v>
      </c>
      <c r="V847" s="5" t="s">
        <v>238</v>
      </c>
      <c r="X847" s="6" t="s">
        <v>238</v>
      </c>
      <c r="AA847" s="6" t="s">
        <v>243</v>
      </c>
      <c r="AB847" s="5" t="s">
        <v>238</v>
      </c>
      <c r="AC847" s="5" t="s">
        <v>244</v>
      </c>
      <c r="AD847" s="5" t="s">
        <v>245</v>
      </c>
      <c r="AT847" s="5" t="s">
        <v>246</v>
      </c>
      <c r="AU847" s="5" t="s">
        <v>238</v>
      </c>
      <c r="AV847" s="5" t="s">
        <v>247</v>
      </c>
      <c r="AW847" s="5" t="s">
        <v>238</v>
      </c>
      <c r="AX847" s="5" t="s">
        <v>249</v>
      </c>
      <c r="AY847" s="5" t="s">
        <v>238</v>
      </c>
      <c r="BA847" s="5" t="s">
        <v>238</v>
      </c>
      <c r="BC847" s="5" t="s">
        <v>250</v>
      </c>
      <c r="BD847" s="6" t="s">
        <v>243</v>
      </c>
      <c r="BE847" s="5" t="s">
        <v>251</v>
      </c>
      <c r="BF847" s="5" t="s">
        <v>252</v>
      </c>
      <c r="BG847" s="5" t="s">
        <v>238</v>
      </c>
      <c r="BH847" s="7">
        <f>0</f>
        <v>0</v>
      </c>
      <c r="BI847" s="8">
        <f>0</f>
        <v>0</v>
      </c>
      <c r="BJ847" s="5" t="s">
        <v>253</v>
      </c>
      <c r="BK847" s="5" t="s">
        <v>254</v>
      </c>
      <c r="BY847" s="5" t="s">
        <v>238</v>
      </c>
      <c r="BZ847" s="5" t="s">
        <v>238</v>
      </c>
      <c r="CD847" s="5" t="s">
        <v>273</v>
      </c>
      <c r="CE847" s="5" t="s">
        <v>256</v>
      </c>
      <c r="CF847" s="5" t="s">
        <v>238</v>
      </c>
      <c r="CI847" s="6" t="s">
        <v>257</v>
      </c>
      <c r="CJ847" s="5" t="s">
        <v>238</v>
      </c>
      <c r="CK847" s="5" t="s">
        <v>258</v>
      </c>
      <c r="CL847" s="5" t="s">
        <v>238</v>
      </c>
      <c r="CM847" s="5" t="s">
        <v>238</v>
      </c>
      <c r="CN847" s="5">
        <v>0</v>
      </c>
      <c r="CO847" s="5" t="s">
        <v>259</v>
      </c>
      <c r="CP847" s="5" t="s">
        <v>260</v>
      </c>
      <c r="CQ847" s="5" t="s">
        <v>260</v>
      </c>
      <c r="CR847" s="5" t="s">
        <v>261</v>
      </c>
      <c r="CU847" s="8">
        <f>1</f>
        <v>1</v>
      </c>
      <c r="CV847" s="8">
        <f>0</f>
        <v>0</v>
      </c>
      <c r="CX847" s="8">
        <f>0</f>
        <v>0</v>
      </c>
      <c r="CY847" s="8">
        <f>1</f>
        <v>1</v>
      </c>
      <c r="DA847" s="5" t="s">
        <v>673</v>
      </c>
      <c r="DB847" s="5" t="s">
        <v>238</v>
      </c>
      <c r="DD847" s="5" t="s">
        <v>673</v>
      </c>
      <c r="DE847" s="8">
        <f>5033</f>
        <v>5033</v>
      </c>
      <c r="DG847" s="5" t="s">
        <v>238</v>
      </c>
      <c r="DH847" s="5" t="s">
        <v>238</v>
      </c>
      <c r="DI847" s="5" t="s">
        <v>238</v>
      </c>
      <c r="DJ847" s="5" t="s">
        <v>238</v>
      </c>
      <c r="DN847" s="5" t="s">
        <v>238</v>
      </c>
      <c r="DO847" s="5" t="s">
        <v>238</v>
      </c>
      <c r="DP847" s="5" t="s">
        <v>238</v>
      </c>
      <c r="DQ847" s="5" t="s">
        <v>238</v>
      </c>
      <c r="DT847" s="5" t="s">
        <v>2039</v>
      </c>
      <c r="DU847" s="5" t="s">
        <v>1033</v>
      </c>
      <c r="HM847" s="5" t="s">
        <v>264</v>
      </c>
    </row>
    <row r="848" spans="1:221" x14ac:dyDescent="0.4">
      <c r="A848" s="5">
        <v>2523</v>
      </c>
      <c r="B848" s="5">
        <v>1</v>
      </c>
      <c r="C848" s="5">
        <v>1</v>
      </c>
      <c r="D848" s="5" t="s">
        <v>2037</v>
      </c>
      <c r="E848" s="5" t="s">
        <v>271</v>
      </c>
      <c r="F848" s="5" t="s">
        <v>248</v>
      </c>
      <c r="G848" s="5" t="s">
        <v>1969</v>
      </c>
      <c r="H848" s="6" t="s">
        <v>3382</v>
      </c>
      <c r="I848" s="7">
        <f>1012</f>
        <v>1012</v>
      </c>
      <c r="J848" s="5" t="s">
        <v>262</v>
      </c>
      <c r="K848" s="8">
        <f>1</f>
        <v>1</v>
      </c>
      <c r="L848" s="6" t="s">
        <v>242</v>
      </c>
      <c r="M848" s="5" t="s">
        <v>267</v>
      </c>
      <c r="N848" s="5" t="s">
        <v>265</v>
      </c>
      <c r="O848" s="5" t="s">
        <v>238</v>
      </c>
      <c r="P848" s="5" t="s">
        <v>238</v>
      </c>
      <c r="Q848" s="5" t="s">
        <v>268</v>
      </c>
      <c r="R848" s="5" t="s">
        <v>270</v>
      </c>
      <c r="S848" s="5" t="s">
        <v>238</v>
      </c>
      <c r="V848" s="5" t="s">
        <v>238</v>
      </c>
      <c r="X848" s="6" t="s">
        <v>238</v>
      </c>
      <c r="AA848" s="6" t="s">
        <v>243</v>
      </c>
      <c r="AB848" s="5" t="s">
        <v>238</v>
      </c>
      <c r="AC848" s="5" t="s">
        <v>244</v>
      </c>
      <c r="AD848" s="5" t="s">
        <v>245</v>
      </c>
      <c r="AT848" s="5" t="s">
        <v>246</v>
      </c>
      <c r="AU848" s="5" t="s">
        <v>238</v>
      </c>
      <c r="AV848" s="5" t="s">
        <v>247</v>
      </c>
      <c r="AW848" s="5" t="s">
        <v>238</v>
      </c>
      <c r="AX848" s="5" t="s">
        <v>249</v>
      </c>
      <c r="AY848" s="5" t="s">
        <v>238</v>
      </c>
      <c r="BA848" s="5" t="s">
        <v>238</v>
      </c>
      <c r="BC848" s="5" t="s">
        <v>250</v>
      </c>
      <c r="BD848" s="6" t="s">
        <v>243</v>
      </c>
      <c r="BE848" s="5" t="s">
        <v>251</v>
      </c>
      <c r="BF848" s="5" t="s">
        <v>252</v>
      </c>
      <c r="BG848" s="5" t="s">
        <v>238</v>
      </c>
      <c r="BH848" s="7">
        <f>0</f>
        <v>0</v>
      </c>
      <c r="BI848" s="8">
        <f>0</f>
        <v>0</v>
      </c>
      <c r="BJ848" s="5" t="s">
        <v>253</v>
      </c>
      <c r="BK848" s="5" t="s">
        <v>254</v>
      </c>
      <c r="BY848" s="5" t="s">
        <v>238</v>
      </c>
      <c r="BZ848" s="5" t="s">
        <v>238</v>
      </c>
      <c r="CD848" s="5" t="s">
        <v>273</v>
      </c>
      <c r="CE848" s="5" t="s">
        <v>256</v>
      </c>
      <c r="CF848" s="5" t="s">
        <v>238</v>
      </c>
      <c r="CI848" s="6" t="s">
        <v>257</v>
      </c>
      <c r="CJ848" s="5" t="s">
        <v>238</v>
      </c>
      <c r="CK848" s="5" t="s">
        <v>258</v>
      </c>
      <c r="CL848" s="5" t="s">
        <v>238</v>
      </c>
      <c r="CM848" s="5" t="s">
        <v>238</v>
      </c>
      <c r="CN848" s="5">
        <v>0</v>
      </c>
      <c r="CO848" s="5" t="s">
        <v>259</v>
      </c>
      <c r="CP848" s="5" t="s">
        <v>260</v>
      </c>
      <c r="CQ848" s="5" t="s">
        <v>260</v>
      </c>
      <c r="CR848" s="5" t="s">
        <v>261</v>
      </c>
      <c r="CU848" s="8">
        <f>1</f>
        <v>1</v>
      </c>
      <c r="CV848" s="8">
        <f>0</f>
        <v>0</v>
      </c>
      <c r="CX848" s="8">
        <f>0</f>
        <v>0</v>
      </c>
      <c r="CY848" s="8">
        <f>1</f>
        <v>1</v>
      </c>
      <c r="DA848" s="5" t="s">
        <v>673</v>
      </c>
      <c r="DB848" s="5" t="s">
        <v>238</v>
      </c>
      <c r="DD848" s="5" t="s">
        <v>673</v>
      </c>
      <c r="DE848" s="8">
        <f>1012</f>
        <v>1012</v>
      </c>
      <c r="DG848" s="5" t="s">
        <v>238</v>
      </c>
      <c r="DH848" s="5" t="s">
        <v>238</v>
      </c>
      <c r="DI848" s="5" t="s">
        <v>238</v>
      </c>
      <c r="DJ848" s="5" t="s">
        <v>238</v>
      </c>
      <c r="DN848" s="5" t="s">
        <v>238</v>
      </c>
      <c r="DO848" s="5" t="s">
        <v>238</v>
      </c>
      <c r="DP848" s="5" t="s">
        <v>238</v>
      </c>
      <c r="DQ848" s="5" t="s">
        <v>238</v>
      </c>
      <c r="DT848" s="5" t="s">
        <v>2039</v>
      </c>
      <c r="DU848" s="5" t="s">
        <v>1031</v>
      </c>
      <c r="HM848" s="5" t="s">
        <v>264</v>
      </c>
    </row>
    <row r="849" spans="1:221" x14ac:dyDescent="0.4">
      <c r="A849" s="5">
        <v>2524</v>
      </c>
      <c r="B849" s="5">
        <v>1</v>
      </c>
      <c r="C849" s="5">
        <v>1</v>
      </c>
      <c r="D849" s="5" t="s">
        <v>2037</v>
      </c>
      <c r="E849" s="5" t="s">
        <v>271</v>
      </c>
      <c r="F849" s="5" t="s">
        <v>248</v>
      </c>
      <c r="G849" s="5" t="s">
        <v>1969</v>
      </c>
      <c r="H849" s="6" t="s">
        <v>3381</v>
      </c>
      <c r="I849" s="7">
        <f>1208</f>
        <v>1208</v>
      </c>
      <c r="J849" s="5" t="s">
        <v>262</v>
      </c>
      <c r="K849" s="8">
        <f>1</f>
        <v>1</v>
      </c>
      <c r="L849" s="6" t="s">
        <v>242</v>
      </c>
      <c r="M849" s="5" t="s">
        <v>267</v>
      </c>
      <c r="N849" s="5" t="s">
        <v>265</v>
      </c>
      <c r="O849" s="5" t="s">
        <v>238</v>
      </c>
      <c r="P849" s="5" t="s">
        <v>238</v>
      </c>
      <c r="Q849" s="5" t="s">
        <v>268</v>
      </c>
      <c r="R849" s="5" t="s">
        <v>270</v>
      </c>
      <c r="S849" s="5" t="s">
        <v>238</v>
      </c>
      <c r="V849" s="5" t="s">
        <v>238</v>
      </c>
      <c r="X849" s="6" t="s">
        <v>238</v>
      </c>
      <c r="AA849" s="6" t="s">
        <v>243</v>
      </c>
      <c r="AB849" s="5" t="s">
        <v>238</v>
      </c>
      <c r="AC849" s="5" t="s">
        <v>244</v>
      </c>
      <c r="AD849" s="5" t="s">
        <v>245</v>
      </c>
      <c r="AT849" s="5" t="s">
        <v>246</v>
      </c>
      <c r="AU849" s="5" t="s">
        <v>238</v>
      </c>
      <c r="AV849" s="5" t="s">
        <v>247</v>
      </c>
      <c r="AW849" s="5" t="s">
        <v>238</v>
      </c>
      <c r="AX849" s="5" t="s">
        <v>249</v>
      </c>
      <c r="AY849" s="5" t="s">
        <v>238</v>
      </c>
      <c r="BA849" s="5" t="s">
        <v>238</v>
      </c>
      <c r="BC849" s="5" t="s">
        <v>250</v>
      </c>
      <c r="BD849" s="6" t="s">
        <v>243</v>
      </c>
      <c r="BE849" s="5" t="s">
        <v>251</v>
      </c>
      <c r="BF849" s="5" t="s">
        <v>252</v>
      </c>
      <c r="BG849" s="5" t="s">
        <v>238</v>
      </c>
      <c r="BH849" s="7">
        <f>0</f>
        <v>0</v>
      </c>
      <c r="BI849" s="8">
        <f>0</f>
        <v>0</v>
      </c>
      <c r="BJ849" s="5" t="s">
        <v>253</v>
      </c>
      <c r="BK849" s="5" t="s">
        <v>254</v>
      </c>
      <c r="BY849" s="5" t="s">
        <v>238</v>
      </c>
      <c r="BZ849" s="5" t="s">
        <v>238</v>
      </c>
      <c r="CD849" s="5" t="s">
        <v>273</v>
      </c>
      <c r="CE849" s="5" t="s">
        <v>256</v>
      </c>
      <c r="CF849" s="5" t="s">
        <v>238</v>
      </c>
      <c r="CI849" s="6" t="s">
        <v>257</v>
      </c>
      <c r="CJ849" s="5" t="s">
        <v>238</v>
      </c>
      <c r="CK849" s="5" t="s">
        <v>258</v>
      </c>
      <c r="CL849" s="5" t="s">
        <v>238</v>
      </c>
      <c r="CM849" s="5" t="s">
        <v>238</v>
      </c>
      <c r="CN849" s="5">
        <v>0</v>
      </c>
      <c r="CO849" s="5" t="s">
        <v>259</v>
      </c>
      <c r="CP849" s="5" t="s">
        <v>260</v>
      </c>
      <c r="CQ849" s="5" t="s">
        <v>260</v>
      </c>
      <c r="CR849" s="5" t="s">
        <v>261</v>
      </c>
      <c r="CU849" s="8">
        <f>1</f>
        <v>1</v>
      </c>
      <c r="CV849" s="8">
        <f>0</f>
        <v>0</v>
      </c>
      <c r="CX849" s="8">
        <f>0</f>
        <v>0</v>
      </c>
      <c r="CY849" s="8">
        <f>1</f>
        <v>1</v>
      </c>
      <c r="DA849" s="5" t="s">
        <v>673</v>
      </c>
      <c r="DB849" s="5" t="s">
        <v>238</v>
      </c>
      <c r="DD849" s="5" t="s">
        <v>673</v>
      </c>
      <c r="DE849" s="8">
        <f>1208</f>
        <v>1208</v>
      </c>
      <c r="DG849" s="5" t="s">
        <v>238</v>
      </c>
      <c r="DH849" s="5" t="s">
        <v>238</v>
      </c>
      <c r="DI849" s="5" t="s">
        <v>238</v>
      </c>
      <c r="DJ849" s="5" t="s">
        <v>238</v>
      </c>
      <c r="DN849" s="5" t="s">
        <v>238</v>
      </c>
      <c r="DO849" s="5" t="s">
        <v>238</v>
      </c>
      <c r="DP849" s="5" t="s">
        <v>238</v>
      </c>
      <c r="DQ849" s="5" t="s">
        <v>238</v>
      </c>
      <c r="DT849" s="5" t="s">
        <v>2039</v>
      </c>
      <c r="DU849" s="5" t="s">
        <v>1029</v>
      </c>
      <c r="HM849" s="5" t="s">
        <v>264</v>
      </c>
    </row>
    <row r="850" spans="1:221" x14ac:dyDescent="0.4">
      <c r="A850" s="5">
        <v>2525</v>
      </c>
      <c r="B850" s="5">
        <v>1</v>
      </c>
      <c r="C850" s="5">
        <v>1</v>
      </c>
      <c r="D850" s="5" t="s">
        <v>2037</v>
      </c>
      <c r="E850" s="5" t="s">
        <v>271</v>
      </c>
      <c r="F850" s="5" t="s">
        <v>248</v>
      </c>
      <c r="G850" s="5" t="s">
        <v>1969</v>
      </c>
      <c r="H850" s="6" t="s">
        <v>3380</v>
      </c>
      <c r="I850" s="7">
        <f>120</f>
        <v>120</v>
      </c>
      <c r="J850" s="5" t="s">
        <v>262</v>
      </c>
      <c r="K850" s="8">
        <f>1</f>
        <v>1</v>
      </c>
      <c r="L850" s="6" t="s">
        <v>242</v>
      </c>
      <c r="M850" s="5" t="s">
        <v>267</v>
      </c>
      <c r="N850" s="5" t="s">
        <v>265</v>
      </c>
      <c r="O850" s="5" t="s">
        <v>238</v>
      </c>
      <c r="P850" s="5" t="s">
        <v>238</v>
      </c>
      <c r="Q850" s="5" t="s">
        <v>268</v>
      </c>
      <c r="R850" s="5" t="s">
        <v>270</v>
      </c>
      <c r="S850" s="5" t="s">
        <v>238</v>
      </c>
      <c r="V850" s="5" t="s">
        <v>238</v>
      </c>
      <c r="X850" s="6" t="s">
        <v>238</v>
      </c>
      <c r="AA850" s="6" t="s">
        <v>243</v>
      </c>
      <c r="AB850" s="5" t="s">
        <v>238</v>
      </c>
      <c r="AC850" s="5" t="s">
        <v>244</v>
      </c>
      <c r="AD850" s="5" t="s">
        <v>245</v>
      </c>
      <c r="AT850" s="5" t="s">
        <v>246</v>
      </c>
      <c r="AU850" s="5" t="s">
        <v>238</v>
      </c>
      <c r="AV850" s="5" t="s">
        <v>247</v>
      </c>
      <c r="AW850" s="5" t="s">
        <v>238</v>
      </c>
      <c r="AX850" s="5" t="s">
        <v>249</v>
      </c>
      <c r="AY850" s="5" t="s">
        <v>238</v>
      </c>
      <c r="BA850" s="5" t="s">
        <v>238</v>
      </c>
      <c r="BC850" s="5" t="s">
        <v>250</v>
      </c>
      <c r="BD850" s="6" t="s">
        <v>243</v>
      </c>
      <c r="BE850" s="5" t="s">
        <v>251</v>
      </c>
      <c r="BF850" s="5" t="s">
        <v>252</v>
      </c>
      <c r="BG850" s="5" t="s">
        <v>238</v>
      </c>
      <c r="BH850" s="7">
        <f>0</f>
        <v>0</v>
      </c>
      <c r="BI850" s="8">
        <f>0</f>
        <v>0</v>
      </c>
      <c r="BJ850" s="5" t="s">
        <v>253</v>
      </c>
      <c r="BK850" s="5" t="s">
        <v>254</v>
      </c>
      <c r="BY850" s="5" t="s">
        <v>238</v>
      </c>
      <c r="BZ850" s="5" t="s">
        <v>238</v>
      </c>
      <c r="CD850" s="5" t="s">
        <v>273</v>
      </c>
      <c r="CE850" s="5" t="s">
        <v>256</v>
      </c>
      <c r="CF850" s="5" t="s">
        <v>238</v>
      </c>
      <c r="CI850" s="6" t="s">
        <v>257</v>
      </c>
      <c r="CJ850" s="5" t="s">
        <v>238</v>
      </c>
      <c r="CK850" s="5" t="s">
        <v>258</v>
      </c>
      <c r="CL850" s="5" t="s">
        <v>238</v>
      </c>
      <c r="CM850" s="5" t="s">
        <v>238</v>
      </c>
      <c r="CN850" s="5">
        <v>0</v>
      </c>
      <c r="CO850" s="5" t="s">
        <v>259</v>
      </c>
      <c r="CP850" s="5" t="s">
        <v>260</v>
      </c>
      <c r="CQ850" s="5" t="s">
        <v>260</v>
      </c>
      <c r="CR850" s="5" t="s">
        <v>261</v>
      </c>
      <c r="CU850" s="8">
        <f>1</f>
        <v>1</v>
      </c>
      <c r="CV850" s="8">
        <f>0</f>
        <v>0</v>
      </c>
      <c r="CX850" s="8">
        <f>0</f>
        <v>0</v>
      </c>
      <c r="CY850" s="8">
        <f>1</f>
        <v>1</v>
      </c>
      <c r="DA850" s="5" t="s">
        <v>673</v>
      </c>
      <c r="DB850" s="5" t="s">
        <v>238</v>
      </c>
      <c r="DD850" s="5" t="s">
        <v>673</v>
      </c>
      <c r="DE850" s="8">
        <f>120</f>
        <v>120</v>
      </c>
      <c r="DG850" s="5" t="s">
        <v>238</v>
      </c>
      <c r="DH850" s="5" t="s">
        <v>238</v>
      </c>
      <c r="DI850" s="5" t="s">
        <v>238</v>
      </c>
      <c r="DJ850" s="5" t="s">
        <v>238</v>
      </c>
      <c r="DN850" s="5" t="s">
        <v>238</v>
      </c>
      <c r="DO850" s="5" t="s">
        <v>238</v>
      </c>
      <c r="DP850" s="5" t="s">
        <v>238</v>
      </c>
      <c r="DQ850" s="5" t="s">
        <v>238</v>
      </c>
      <c r="DT850" s="5" t="s">
        <v>2039</v>
      </c>
      <c r="DU850" s="5" t="s">
        <v>1025</v>
      </c>
      <c r="HM850" s="5" t="s">
        <v>264</v>
      </c>
    </row>
    <row r="851" spans="1:221" x14ac:dyDescent="0.4">
      <c r="A851" s="5">
        <v>2526</v>
      </c>
      <c r="B851" s="5">
        <v>1</v>
      </c>
      <c r="C851" s="5">
        <v>1</v>
      </c>
      <c r="D851" s="5" t="s">
        <v>2037</v>
      </c>
      <c r="E851" s="5" t="s">
        <v>271</v>
      </c>
      <c r="F851" s="5" t="s">
        <v>248</v>
      </c>
      <c r="G851" s="5" t="s">
        <v>1969</v>
      </c>
      <c r="H851" s="6" t="s">
        <v>3379</v>
      </c>
      <c r="I851" s="7">
        <f>2033</f>
        <v>2033</v>
      </c>
      <c r="J851" s="5" t="s">
        <v>262</v>
      </c>
      <c r="K851" s="8">
        <f>1</f>
        <v>1</v>
      </c>
      <c r="L851" s="6" t="s">
        <v>242</v>
      </c>
      <c r="M851" s="5" t="s">
        <v>267</v>
      </c>
      <c r="N851" s="5" t="s">
        <v>265</v>
      </c>
      <c r="O851" s="5" t="s">
        <v>238</v>
      </c>
      <c r="P851" s="5" t="s">
        <v>238</v>
      </c>
      <c r="Q851" s="5" t="s">
        <v>268</v>
      </c>
      <c r="R851" s="5" t="s">
        <v>270</v>
      </c>
      <c r="S851" s="5" t="s">
        <v>238</v>
      </c>
      <c r="V851" s="5" t="s">
        <v>238</v>
      </c>
      <c r="X851" s="6" t="s">
        <v>238</v>
      </c>
      <c r="AA851" s="6" t="s">
        <v>243</v>
      </c>
      <c r="AB851" s="5" t="s">
        <v>238</v>
      </c>
      <c r="AC851" s="5" t="s">
        <v>244</v>
      </c>
      <c r="AD851" s="5" t="s">
        <v>245</v>
      </c>
      <c r="AT851" s="5" t="s">
        <v>246</v>
      </c>
      <c r="AU851" s="5" t="s">
        <v>238</v>
      </c>
      <c r="AV851" s="5" t="s">
        <v>247</v>
      </c>
      <c r="AW851" s="5" t="s">
        <v>238</v>
      </c>
      <c r="AX851" s="5" t="s">
        <v>249</v>
      </c>
      <c r="AY851" s="5" t="s">
        <v>238</v>
      </c>
      <c r="BA851" s="5" t="s">
        <v>238</v>
      </c>
      <c r="BC851" s="5" t="s">
        <v>250</v>
      </c>
      <c r="BD851" s="6" t="s">
        <v>243</v>
      </c>
      <c r="BE851" s="5" t="s">
        <v>251</v>
      </c>
      <c r="BF851" s="5" t="s">
        <v>252</v>
      </c>
      <c r="BG851" s="5" t="s">
        <v>238</v>
      </c>
      <c r="BH851" s="7">
        <f>0</f>
        <v>0</v>
      </c>
      <c r="BI851" s="8">
        <f>0</f>
        <v>0</v>
      </c>
      <c r="BJ851" s="5" t="s">
        <v>253</v>
      </c>
      <c r="BK851" s="5" t="s">
        <v>254</v>
      </c>
      <c r="BY851" s="5" t="s">
        <v>238</v>
      </c>
      <c r="BZ851" s="5" t="s">
        <v>238</v>
      </c>
      <c r="CD851" s="5" t="s">
        <v>273</v>
      </c>
      <c r="CE851" s="5" t="s">
        <v>256</v>
      </c>
      <c r="CF851" s="5" t="s">
        <v>238</v>
      </c>
      <c r="CI851" s="6" t="s">
        <v>257</v>
      </c>
      <c r="CJ851" s="5" t="s">
        <v>238</v>
      </c>
      <c r="CK851" s="5" t="s">
        <v>258</v>
      </c>
      <c r="CL851" s="5" t="s">
        <v>238</v>
      </c>
      <c r="CM851" s="5" t="s">
        <v>238</v>
      </c>
      <c r="CN851" s="5">
        <v>0</v>
      </c>
      <c r="CO851" s="5" t="s">
        <v>259</v>
      </c>
      <c r="CP851" s="5" t="s">
        <v>260</v>
      </c>
      <c r="CQ851" s="5" t="s">
        <v>260</v>
      </c>
      <c r="CR851" s="5" t="s">
        <v>261</v>
      </c>
      <c r="CU851" s="8">
        <f>1</f>
        <v>1</v>
      </c>
      <c r="CV851" s="8">
        <f>0</f>
        <v>0</v>
      </c>
      <c r="CX851" s="8">
        <f>0</f>
        <v>0</v>
      </c>
      <c r="CY851" s="8">
        <f>1</f>
        <v>1</v>
      </c>
      <c r="DA851" s="5" t="s">
        <v>673</v>
      </c>
      <c r="DB851" s="5" t="s">
        <v>238</v>
      </c>
      <c r="DD851" s="5" t="s">
        <v>673</v>
      </c>
      <c r="DE851" s="8">
        <f>2033</f>
        <v>2033</v>
      </c>
      <c r="DG851" s="5" t="s">
        <v>238</v>
      </c>
      <c r="DH851" s="5" t="s">
        <v>238</v>
      </c>
      <c r="DI851" s="5" t="s">
        <v>238</v>
      </c>
      <c r="DJ851" s="5" t="s">
        <v>238</v>
      </c>
      <c r="DN851" s="5" t="s">
        <v>238</v>
      </c>
      <c r="DO851" s="5" t="s">
        <v>238</v>
      </c>
      <c r="DP851" s="5" t="s">
        <v>238</v>
      </c>
      <c r="DQ851" s="5" t="s">
        <v>238</v>
      </c>
      <c r="DT851" s="5" t="s">
        <v>2039</v>
      </c>
      <c r="DU851" s="5" t="s">
        <v>1021</v>
      </c>
      <c r="HM851" s="5" t="s">
        <v>264</v>
      </c>
    </row>
    <row r="852" spans="1:221" x14ac:dyDescent="0.4">
      <c r="A852" s="5">
        <v>2527</v>
      </c>
      <c r="B852" s="5">
        <v>1</v>
      </c>
      <c r="C852" s="5">
        <v>1</v>
      </c>
      <c r="D852" s="5" t="s">
        <v>2037</v>
      </c>
      <c r="E852" s="5" t="s">
        <v>271</v>
      </c>
      <c r="F852" s="5" t="s">
        <v>248</v>
      </c>
      <c r="G852" s="5" t="s">
        <v>1969</v>
      </c>
      <c r="H852" s="6" t="s">
        <v>3378</v>
      </c>
      <c r="I852" s="7">
        <f>3474</f>
        <v>3474</v>
      </c>
      <c r="J852" s="5" t="s">
        <v>262</v>
      </c>
      <c r="K852" s="8">
        <f>1</f>
        <v>1</v>
      </c>
      <c r="L852" s="6" t="s">
        <v>242</v>
      </c>
      <c r="M852" s="5" t="s">
        <v>267</v>
      </c>
      <c r="N852" s="5" t="s">
        <v>265</v>
      </c>
      <c r="O852" s="5" t="s">
        <v>238</v>
      </c>
      <c r="P852" s="5" t="s">
        <v>238</v>
      </c>
      <c r="Q852" s="5" t="s">
        <v>268</v>
      </c>
      <c r="R852" s="5" t="s">
        <v>270</v>
      </c>
      <c r="S852" s="5" t="s">
        <v>238</v>
      </c>
      <c r="V852" s="5" t="s">
        <v>238</v>
      </c>
      <c r="X852" s="6" t="s">
        <v>238</v>
      </c>
      <c r="AA852" s="6" t="s">
        <v>243</v>
      </c>
      <c r="AB852" s="5" t="s">
        <v>238</v>
      </c>
      <c r="AC852" s="5" t="s">
        <v>244</v>
      </c>
      <c r="AD852" s="5" t="s">
        <v>245</v>
      </c>
      <c r="AT852" s="5" t="s">
        <v>246</v>
      </c>
      <c r="AU852" s="5" t="s">
        <v>238</v>
      </c>
      <c r="AV852" s="5" t="s">
        <v>247</v>
      </c>
      <c r="AW852" s="5" t="s">
        <v>238</v>
      </c>
      <c r="AX852" s="5" t="s">
        <v>249</v>
      </c>
      <c r="AY852" s="5" t="s">
        <v>238</v>
      </c>
      <c r="BA852" s="5" t="s">
        <v>238</v>
      </c>
      <c r="BC852" s="5" t="s">
        <v>250</v>
      </c>
      <c r="BD852" s="6" t="s">
        <v>243</v>
      </c>
      <c r="BE852" s="5" t="s">
        <v>251</v>
      </c>
      <c r="BF852" s="5" t="s">
        <v>252</v>
      </c>
      <c r="BG852" s="5" t="s">
        <v>238</v>
      </c>
      <c r="BH852" s="7">
        <f>0</f>
        <v>0</v>
      </c>
      <c r="BI852" s="8">
        <f>0</f>
        <v>0</v>
      </c>
      <c r="BJ852" s="5" t="s">
        <v>253</v>
      </c>
      <c r="BK852" s="5" t="s">
        <v>254</v>
      </c>
      <c r="BY852" s="5" t="s">
        <v>238</v>
      </c>
      <c r="BZ852" s="5" t="s">
        <v>238</v>
      </c>
      <c r="CD852" s="5" t="s">
        <v>273</v>
      </c>
      <c r="CE852" s="5" t="s">
        <v>256</v>
      </c>
      <c r="CF852" s="5" t="s">
        <v>238</v>
      </c>
      <c r="CI852" s="6" t="s">
        <v>257</v>
      </c>
      <c r="CJ852" s="5" t="s">
        <v>238</v>
      </c>
      <c r="CK852" s="5" t="s">
        <v>258</v>
      </c>
      <c r="CL852" s="5" t="s">
        <v>238</v>
      </c>
      <c r="CM852" s="5" t="s">
        <v>238</v>
      </c>
      <c r="CN852" s="5">
        <v>0</v>
      </c>
      <c r="CO852" s="5" t="s">
        <v>259</v>
      </c>
      <c r="CP852" s="5" t="s">
        <v>260</v>
      </c>
      <c r="CQ852" s="5" t="s">
        <v>260</v>
      </c>
      <c r="CR852" s="5" t="s">
        <v>261</v>
      </c>
      <c r="CU852" s="8">
        <f>1</f>
        <v>1</v>
      </c>
      <c r="CV852" s="8">
        <f>0</f>
        <v>0</v>
      </c>
      <c r="CX852" s="8">
        <f>0</f>
        <v>0</v>
      </c>
      <c r="CY852" s="8">
        <f>1</f>
        <v>1</v>
      </c>
      <c r="DA852" s="5" t="s">
        <v>673</v>
      </c>
      <c r="DB852" s="5" t="s">
        <v>238</v>
      </c>
      <c r="DD852" s="5" t="s">
        <v>673</v>
      </c>
      <c r="DE852" s="8">
        <f>3474</f>
        <v>3474</v>
      </c>
      <c r="DG852" s="5" t="s">
        <v>238</v>
      </c>
      <c r="DH852" s="5" t="s">
        <v>238</v>
      </c>
      <c r="DI852" s="5" t="s">
        <v>238</v>
      </c>
      <c r="DJ852" s="5" t="s">
        <v>238</v>
      </c>
      <c r="DN852" s="5" t="s">
        <v>238</v>
      </c>
      <c r="DO852" s="5" t="s">
        <v>238</v>
      </c>
      <c r="DP852" s="5" t="s">
        <v>238</v>
      </c>
      <c r="DQ852" s="5" t="s">
        <v>238</v>
      </c>
      <c r="DT852" s="5" t="s">
        <v>2039</v>
      </c>
      <c r="DU852" s="5" t="s">
        <v>1019</v>
      </c>
      <c r="HM852" s="5" t="s">
        <v>264</v>
      </c>
    </row>
    <row r="853" spans="1:221" x14ac:dyDescent="0.4">
      <c r="A853" s="5">
        <v>2528</v>
      </c>
      <c r="B853" s="5">
        <v>1</v>
      </c>
      <c r="C853" s="5">
        <v>1</v>
      </c>
      <c r="D853" s="5" t="s">
        <v>2037</v>
      </c>
      <c r="E853" s="5" t="s">
        <v>271</v>
      </c>
      <c r="F853" s="5" t="s">
        <v>248</v>
      </c>
      <c r="G853" s="5" t="s">
        <v>1969</v>
      </c>
      <c r="H853" s="6" t="s">
        <v>3377</v>
      </c>
      <c r="I853" s="7">
        <f>3652</f>
        <v>3652</v>
      </c>
      <c r="J853" s="5" t="s">
        <v>262</v>
      </c>
      <c r="K853" s="8">
        <f>1</f>
        <v>1</v>
      </c>
      <c r="L853" s="6" t="s">
        <v>242</v>
      </c>
      <c r="M853" s="5" t="s">
        <v>267</v>
      </c>
      <c r="N853" s="5" t="s">
        <v>265</v>
      </c>
      <c r="O853" s="5" t="s">
        <v>238</v>
      </c>
      <c r="P853" s="5" t="s">
        <v>238</v>
      </c>
      <c r="Q853" s="5" t="s">
        <v>268</v>
      </c>
      <c r="R853" s="5" t="s">
        <v>270</v>
      </c>
      <c r="S853" s="5" t="s">
        <v>238</v>
      </c>
      <c r="V853" s="5" t="s">
        <v>238</v>
      </c>
      <c r="X853" s="6" t="s">
        <v>238</v>
      </c>
      <c r="AA853" s="6" t="s">
        <v>243</v>
      </c>
      <c r="AB853" s="5" t="s">
        <v>238</v>
      </c>
      <c r="AC853" s="5" t="s">
        <v>244</v>
      </c>
      <c r="AD853" s="5" t="s">
        <v>245</v>
      </c>
      <c r="AT853" s="5" t="s">
        <v>246</v>
      </c>
      <c r="AU853" s="5" t="s">
        <v>238</v>
      </c>
      <c r="AV853" s="5" t="s">
        <v>247</v>
      </c>
      <c r="AW853" s="5" t="s">
        <v>238</v>
      </c>
      <c r="AX853" s="5" t="s">
        <v>249</v>
      </c>
      <c r="AY853" s="5" t="s">
        <v>238</v>
      </c>
      <c r="BA853" s="5" t="s">
        <v>238</v>
      </c>
      <c r="BC853" s="5" t="s">
        <v>250</v>
      </c>
      <c r="BD853" s="6" t="s">
        <v>243</v>
      </c>
      <c r="BE853" s="5" t="s">
        <v>251</v>
      </c>
      <c r="BF853" s="5" t="s">
        <v>252</v>
      </c>
      <c r="BG853" s="5" t="s">
        <v>238</v>
      </c>
      <c r="BH853" s="7">
        <f>0</f>
        <v>0</v>
      </c>
      <c r="BI853" s="8">
        <f>0</f>
        <v>0</v>
      </c>
      <c r="BJ853" s="5" t="s">
        <v>253</v>
      </c>
      <c r="BK853" s="5" t="s">
        <v>254</v>
      </c>
      <c r="BY853" s="5" t="s">
        <v>238</v>
      </c>
      <c r="BZ853" s="5" t="s">
        <v>238</v>
      </c>
      <c r="CD853" s="5" t="s">
        <v>273</v>
      </c>
      <c r="CE853" s="5" t="s">
        <v>256</v>
      </c>
      <c r="CF853" s="5" t="s">
        <v>238</v>
      </c>
      <c r="CI853" s="6" t="s">
        <v>257</v>
      </c>
      <c r="CJ853" s="5" t="s">
        <v>238</v>
      </c>
      <c r="CK853" s="5" t="s">
        <v>258</v>
      </c>
      <c r="CL853" s="5" t="s">
        <v>238</v>
      </c>
      <c r="CM853" s="5" t="s">
        <v>238</v>
      </c>
      <c r="CN853" s="5">
        <v>0</v>
      </c>
      <c r="CO853" s="5" t="s">
        <v>259</v>
      </c>
      <c r="CP853" s="5" t="s">
        <v>260</v>
      </c>
      <c r="CQ853" s="5" t="s">
        <v>260</v>
      </c>
      <c r="CR853" s="5" t="s">
        <v>261</v>
      </c>
      <c r="CU853" s="8">
        <f>1</f>
        <v>1</v>
      </c>
      <c r="CV853" s="8">
        <f>0</f>
        <v>0</v>
      </c>
      <c r="CX853" s="8">
        <f>0</f>
        <v>0</v>
      </c>
      <c r="CY853" s="8">
        <f>1</f>
        <v>1</v>
      </c>
      <c r="DA853" s="5" t="s">
        <v>673</v>
      </c>
      <c r="DB853" s="5" t="s">
        <v>238</v>
      </c>
      <c r="DD853" s="5" t="s">
        <v>673</v>
      </c>
      <c r="DE853" s="8">
        <f>3652</f>
        <v>3652</v>
      </c>
      <c r="DG853" s="5" t="s">
        <v>238</v>
      </c>
      <c r="DH853" s="5" t="s">
        <v>238</v>
      </c>
      <c r="DI853" s="5" t="s">
        <v>238</v>
      </c>
      <c r="DJ853" s="5" t="s">
        <v>238</v>
      </c>
      <c r="DN853" s="5" t="s">
        <v>238</v>
      </c>
      <c r="DO853" s="5" t="s">
        <v>238</v>
      </c>
      <c r="DP853" s="5" t="s">
        <v>238</v>
      </c>
      <c r="DQ853" s="5" t="s">
        <v>238</v>
      </c>
      <c r="DT853" s="5" t="s">
        <v>2039</v>
      </c>
      <c r="DU853" s="5" t="s">
        <v>1017</v>
      </c>
      <c r="HM853" s="5" t="s">
        <v>264</v>
      </c>
    </row>
    <row r="854" spans="1:221" x14ac:dyDescent="0.4">
      <c r="A854" s="5">
        <v>2529</v>
      </c>
      <c r="B854" s="5">
        <v>1</v>
      </c>
      <c r="C854" s="5">
        <v>1</v>
      </c>
      <c r="D854" s="5" t="s">
        <v>2037</v>
      </c>
      <c r="E854" s="5" t="s">
        <v>271</v>
      </c>
      <c r="F854" s="5" t="s">
        <v>248</v>
      </c>
      <c r="G854" s="5" t="s">
        <v>1969</v>
      </c>
      <c r="H854" s="6" t="s">
        <v>3376</v>
      </c>
      <c r="I854" s="7">
        <f>2680</f>
        <v>2680</v>
      </c>
      <c r="J854" s="5" t="s">
        <v>262</v>
      </c>
      <c r="K854" s="8">
        <f>1</f>
        <v>1</v>
      </c>
      <c r="L854" s="6" t="s">
        <v>242</v>
      </c>
      <c r="M854" s="5" t="s">
        <v>267</v>
      </c>
      <c r="N854" s="5" t="s">
        <v>265</v>
      </c>
      <c r="O854" s="5" t="s">
        <v>238</v>
      </c>
      <c r="P854" s="5" t="s">
        <v>238</v>
      </c>
      <c r="Q854" s="5" t="s">
        <v>268</v>
      </c>
      <c r="R854" s="5" t="s">
        <v>270</v>
      </c>
      <c r="S854" s="5" t="s">
        <v>238</v>
      </c>
      <c r="V854" s="5" t="s">
        <v>238</v>
      </c>
      <c r="X854" s="6" t="s">
        <v>238</v>
      </c>
      <c r="AA854" s="6" t="s">
        <v>243</v>
      </c>
      <c r="AB854" s="5" t="s">
        <v>238</v>
      </c>
      <c r="AC854" s="5" t="s">
        <v>244</v>
      </c>
      <c r="AD854" s="5" t="s">
        <v>245</v>
      </c>
      <c r="AT854" s="5" t="s">
        <v>246</v>
      </c>
      <c r="AU854" s="5" t="s">
        <v>238</v>
      </c>
      <c r="AV854" s="5" t="s">
        <v>247</v>
      </c>
      <c r="AW854" s="5" t="s">
        <v>238</v>
      </c>
      <c r="AX854" s="5" t="s">
        <v>249</v>
      </c>
      <c r="AY854" s="5" t="s">
        <v>238</v>
      </c>
      <c r="BA854" s="5" t="s">
        <v>238</v>
      </c>
      <c r="BC854" s="5" t="s">
        <v>250</v>
      </c>
      <c r="BD854" s="6" t="s">
        <v>243</v>
      </c>
      <c r="BE854" s="5" t="s">
        <v>251</v>
      </c>
      <c r="BF854" s="5" t="s">
        <v>252</v>
      </c>
      <c r="BG854" s="5" t="s">
        <v>238</v>
      </c>
      <c r="BH854" s="7">
        <f>0</f>
        <v>0</v>
      </c>
      <c r="BI854" s="8">
        <f>0</f>
        <v>0</v>
      </c>
      <c r="BJ854" s="5" t="s">
        <v>253</v>
      </c>
      <c r="BK854" s="5" t="s">
        <v>254</v>
      </c>
      <c r="BY854" s="5" t="s">
        <v>238</v>
      </c>
      <c r="BZ854" s="5" t="s">
        <v>238</v>
      </c>
      <c r="CD854" s="5" t="s">
        <v>273</v>
      </c>
      <c r="CE854" s="5" t="s">
        <v>256</v>
      </c>
      <c r="CF854" s="5" t="s">
        <v>238</v>
      </c>
      <c r="CI854" s="6" t="s">
        <v>257</v>
      </c>
      <c r="CJ854" s="5" t="s">
        <v>238</v>
      </c>
      <c r="CK854" s="5" t="s">
        <v>258</v>
      </c>
      <c r="CL854" s="5" t="s">
        <v>238</v>
      </c>
      <c r="CM854" s="5" t="s">
        <v>238</v>
      </c>
      <c r="CN854" s="5">
        <v>0</v>
      </c>
      <c r="CO854" s="5" t="s">
        <v>259</v>
      </c>
      <c r="CP854" s="5" t="s">
        <v>260</v>
      </c>
      <c r="CQ854" s="5" t="s">
        <v>260</v>
      </c>
      <c r="CR854" s="5" t="s">
        <v>261</v>
      </c>
      <c r="CU854" s="8">
        <f>1</f>
        <v>1</v>
      </c>
      <c r="CV854" s="8">
        <f>0</f>
        <v>0</v>
      </c>
      <c r="CX854" s="8">
        <f>0</f>
        <v>0</v>
      </c>
      <c r="CY854" s="8">
        <f>1</f>
        <v>1</v>
      </c>
      <c r="DA854" s="5" t="s">
        <v>673</v>
      </c>
      <c r="DB854" s="5" t="s">
        <v>238</v>
      </c>
      <c r="DD854" s="5" t="s">
        <v>673</v>
      </c>
      <c r="DE854" s="8">
        <f>2680</f>
        <v>2680</v>
      </c>
      <c r="DG854" s="5" t="s">
        <v>238</v>
      </c>
      <c r="DH854" s="5" t="s">
        <v>238</v>
      </c>
      <c r="DI854" s="5" t="s">
        <v>238</v>
      </c>
      <c r="DJ854" s="5" t="s">
        <v>238</v>
      </c>
      <c r="DN854" s="5" t="s">
        <v>238</v>
      </c>
      <c r="DO854" s="5" t="s">
        <v>238</v>
      </c>
      <c r="DP854" s="5" t="s">
        <v>238</v>
      </c>
      <c r="DQ854" s="5" t="s">
        <v>238</v>
      </c>
      <c r="DT854" s="5" t="s">
        <v>2039</v>
      </c>
      <c r="DU854" s="5" t="s">
        <v>1013</v>
      </c>
      <c r="HM854" s="5" t="s">
        <v>264</v>
      </c>
    </row>
    <row r="855" spans="1:221" x14ac:dyDescent="0.4">
      <c r="A855" s="5">
        <v>2530</v>
      </c>
      <c r="B855" s="5">
        <v>1</v>
      </c>
      <c r="C855" s="5">
        <v>1</v>
      </c>
      <c r="D855" s="5" t="s">
        <v>2037</v>
      </c>
      <c r="E855" s="5" t="s">
        <v>271</v>
      </c>
      <c r="F855" s="5" t="s">
        <v>248</v>
      </c>
      <c r="G855" s="5" t="s">
        <v>1969</v>
      </c>
      <c r="H855" s="6" t="s">
        <v>3375</v>
      </c>
      <c r="I855" s="7">
        <f>1698</f>
        <v>1698</v>
      </c>
      <c r="J855" s="5" t="s">
        <v>262</v>
      </c>
      <c r="K855" s="8">
        <f>1</f>
        <v>1</v>
      </c>
      <c r="L855" s="6" t="s">
        <v>242</v>
      </c>
      <c r="M855" s="5" t="s">
        <v>267</v>
      </c>
      <c r="N855" s="5" t="s">
        <v>265</v>
      </c>
      <c r="O855" s="5" t="s">
        <v>238</v>
      </c>
      <c r="P855" s="5" t="s">
        <v>238</v>
      </c>
      <c r="Q855" s="5" t="s">
        <v>268</v>
      </c>
      <c r="R855" s="5" t="s">
        <v>270</v>
      </c>
      <c r="S855" s="5" t="s">
        <v>238</v>
      </c>
      <c r="V855" s="5" t="s">
        <v>238</v>
      </c>
      <c r="X855" s="6" t="s">
        <v>238</v>
      </c>
      <c r="AA855" s="6" t="s">
        <v>243</v>
      </c>
      <c r="AB855" s="5" t="s">
        <v>238</v>
      </c>
      <c r="AC855" s="5" t="s">
        <v>244</v>
      </c>
      <c r="AD855" s="5" t="s">
        <v>245</v>
      </c>
      <c r="AT855" s="5" t="s">
        <v>246</v>
      </c>
      <c r="AU855" s="5" t="s">
        <v>238</v>
      </c>
      <c r="AV855" s="5" t="s">
        <v>247</v>
      </c>
      <c r="AW855" s="5" t="s">
        <v>238</v>
      </c>
      <c r="AX855" s="5" t="s">
        <v>249</v>
      </c>
      <c r="AY855" s="5" t="s">
        <v>238</v>
      </c>
      <c r="BA855" s="5" t="s">
        <v>238</v>
      </c>
      <c r="BC855" s="5" t="s">
        <v>250</v>
      </c>
      <c r="BD855" s="6" t="s">
        <v>243</v>
      </c>
      <c r="BE855" s="5" t="s">
        <v>251</v>
      </c>
      <c r="BF855" s="5" t="s">
        <v>252</v>
      </c>
      <c r="BG855" s="5" t="s">
        <v>238</v>
      </c>
      <c r="BH855" s="7">
        <f>0</f>
        <v>0</v>
      </c>
      <c r="BI855" s="8">
        <f>0</f>
        <v>0</v>
      </c>
      <c r="BJ855" s="5" t="s">
        <v>253</v>
      </c>
      <c r="BK855" s="5" t="s">
        <v>254</v>
      </c>
      <c r="BY855" s="5" t="s">
        <v>238</v>
      </c>
      <c r="BZ855" s="5" t="s">
        <v>238</v>
      </c>
      <c r="CD855" s="5" t="s">
        <v>273</v>
      </c>
      <c r="CE855" s="5" t="s">
        <v>256</v>
      </c>
      <c r="CF855" s="5" t="s">
        <v>238</v>
      </c>
      <c r="CI855" s="6" t="s">
        <v>257</v>
      </c>
      <c r="CJ855" s="5" t="s">
        <v>238</v>
      </c>
      <c r="CK855" s="5" t="s">
        <v>258</v>
      </c>
      <c r="CL855" s="5" t="s">
        <v>238</v>
      </c>
      <c r="CM855" s="5" t="s">
        <v>238</v>
      </c>
      <c r="CN855" s="5">
        <v>0</v>
      </c>
      <c r="CO855" s="5" t="s">
        <v>259</v>
      </c>
      <c r="CP855" s="5" t="s">
        <v>260</v>
      </c>
      <c r="CQ855" s="5" t="s">
        <v>260</v>
      </c>
      <c r="CR855" s="5" t="s">
        <v>261</v>
      </c>
      <c r="CU855" s="8">
        <f>1</f>
        <v>1</v>
      </c>
      <c r="CV855" s="8">
        <f>0</f>
        <v>0</v>
      </c>
      <c r="CX855" s="8">
        <f>0</f>
        <v>0</v>
      </c>
      <c r="CY855" s="8">
        <f>1</f>
        <v>1</v>
      </c>
      <c r="DA855" s="5" t="s">
        <v>673</v>
      </c>
      <c r="DB855" s="5" t="s">
        <v>238</v>
      </c>
      <c r="DD855" s="5" t="s">
        <v>673</v>
      </c>
      <c r="DE855" s="8">
        <f>1698</f>
        <v>1698</v>
      </c>
      <c r="DG855" s="5" t="s">
        <v>238</v>
      </c>
      <c r="DH855" s="5" t="s">
        <v>238</v>
      </c>
      <c r="DI855" s="5" t="s">
        <v>238</v>
      </c>
      <c r="DJ855" s="5" t="s">
        <v>238</v>
      </c>
      <c r="DN855" s="5" t="s">
        <v>238</v>
      </c>
      <c r="DO855" s="5" t="s">
        <v>238</v>
      </c>
      <c r="DP855" s="5" t="s">
        <v>238</v>
      </c>
      <c r="DQ855" s="5" t="s">
        <v>238</v>
      </c>
      <c r="DT855" s="5" t="s">
        <v>2039</v>
      </c>
      <c r="DU855" s="5" t="s">
        <v>1009</v>
      </c>
      <c r="HM855" s="5" t="s">
        <v>264</v>
      </c>
    </row>
    <row r="856" spans="1:221" x14ac:dyDescent="0.4">
      <c r="A856" s="5">
        <v>2531</v>
      </c>
      <c r="B856" s="5">
        <v>1</v>
      </c>
      <c r="C856" s="5">
        <v>1</v>
      </c>
      <c r="D856" s="5" t="s">
        <v>2037</v>
      </c>
      <c r="E856" s="5" t="s">
        <v>271</v>
      </c>
      <c r="F856" s="5" t="s">
        <v>248</v>
      </c>
      <c r="G856" s="5" t="s">
        <v>1969</v>
      </c>
      <c r="H856" s="6" t="s">
        <v>3374</v>
      </c>
      <c r="I856" s="7">
        <f>795</f>
        <v>795</v>
      </c>
      <c r="J856" s="5" t="s">
        <v>262</v>
      </c>
      <c r="K856" s="8">
        <f>1</f>
        <v>1</v>
      </c>
      <c r="L856" s="6" t="s">
        <v>242</v>
      </c>
      <c r="M856" s="5" t="s">
        <v>267</v>
      </c>
      <c r="N856" s="5" t="s">
        <v>265</v>
      </c>
      <c r="O856" s="5" t="s">
        <v>238</v>
      </c>
      <c r="P856" s="5" t="s">
        <v>238</v>
      </c>
      <c r="Q856" s="5" t="s">
        <v>268</v>
      </c>
      <c r="R856" s="5" t="s">
        <v>270</v>
      </c>
      <c r="S856" s="5" t="s">
        <v>238</v>
      </c>
      <c r="V856" s="5" t="s">
        <v>238</v>
      </c>
      <c r="X856" s="6" t="s">
        <v>238</v>
      </c>
      <c r="AA856" s="6" t="s">
        <v>243</v>
      </c>
      <c r="AB856" s="5" t="s">
        <v>238</v>
      </c>
      <c r="AC856" s="5" t="s">
        <v>244</v>
      </c>
      <c r="AD856" s="5" t="s">
        <v>245</v>
      </c>
      <c r="AT856" s="5" t="s">
        <v>246</v>
      </c>
      <c r="AU856" s="5" t="s">
        <v>238</v>
      </c>
      <c r="AV856" s="5" t="s">
        <v>247</v>
      </c>
      <c r="AW856" s="5" t="s">
        <v>238</v>
      </c>
      <c r="AX856" s="5" t="s">
        <v>249</v>
      </c>
      <c r="AY856" s="5" t="s">
        <v>238</v>
      </c>
      <c r="BA856" s="5" t="s">
        <v>238</v>
      </c>
      <c r="BC856" s="5" t="s">
        <v>250</v>
      </c>
      <c r="BD856" s="6" t="s">
        <v>243</v>
      </c>
      <c r="BE856" s="5" t="s">
        <v>251</v>
      </c>
      <c r="BF856" s="5" t="s">
        <v>252</v>
      </c>
      <c r="BG856" s="5" t="s">
        <v>238</v>
      </c>
      <c r="BH856" s="7">
        <f>0</f>
        <v>0</v>
      </c>
      <c r="BI856" s="8">
        <f>0</f>
        <v>0</v>
      </c>
      <c r="BJ856" s="5" t="s">
        <v>253</v>
      </c>
      <c r="BK856" s="5" t="s">
        <v>254</v>
      </c>
      <c r="BY856" s="5" t="s">
        <v>238</v>
      </c>
      <c r="BZ856" s="5" t="s">
        <v>238</v>
      </c>
      <c r="CD856" s="5" t="s">
        <v>273</v>
      </c>
      <c r="CE856" s="5" t="s">
        <v>256</v>
      </c>
      <c r="CF856" s="5" t="s">
        <v>238</v>
      </c>
      <c r="CI856" s="6" t="s">
        <v>257</v>
      </c>
      <c r="CJ856" s="5" t="s">
        <v>238</v>
      </c>
      <c r="CK856" s="5" t="s">
        <v>258</v>
      </c>
      <c r="CL856" s="5" t="s">
        <v>238</v>
      </c>
      <c r="CM856" s="5" t="s">
        <v>238</v>
      </c>
      <c r="CN856" s="5">
        <v>0</v>
      </c>
      <c r="CO856" s="5" t="s">
        <v>259</v>
      </c>
      <c r="CP856" s="5" t="s">
        <v>260</v>
      </c>
      <c r="CQ856" s="5" t="s">
        <v>260</v>
      </c>
      <c r="CR856" s="5" t="s">
        <v>261</v>
      </c>
      <c r="CU856" s="8">
        <f>1</f>
        <v>1</v>
      </c>
      <c r="CV856" s="8">
        <f>0</f>
        <v>0</v>
      </c>
      <c r="CX856" s="8">
        <f>0</f>
        <v>0</v>
      </c>
      <c r="CY856" s="8">
        <f>1</f>
        <v>1</v>
      </c>
      <c r="DA856" s="5" t="s">
        <v>673</v>
      </c>
      <c r="DB856" s="5" t="s">
        <v>238</v>
      </c>
      <c r="DD856" s="5" t="s">
        <v>673</v>
      </c>
      <c r="DE856" s="8">
        <f>795</f>
        <v>795</v>
      </c>
      <c r="DG856" s="5" t="s">
        <v>238</v>
      </c>
      <c r="DH856" s="5" t="s">
        <v>238</v>
      </c>
      <c r="DI856" s="5" t="s">
        <v>238</v>
      </c>
      <c r="DJ856" s="5" t="s">
        <v>238</v>
      </c>
      <c r="DN856" s="5" t="s">
        <v>238</v>
      </c>
      <c r="DO856" s="5" t="s">
        <v>238</v>
      </c>
      <c r="DP856" s="5" t="s">
        <v>238</v>
      </c>
      <c r="DQ856" s="5" t="s">
        <v>238</v>
      </c>
      <c r="DT856" s="5" t="s">
        <v>2039</v>
      </c>
      <c r="DU856" s="5" t="s">
        <v>1007</v>
      </c>
      <c r="HM856" s="5" t="s">
        <v>264</v>
      </c>
    </row>
    <row r="857" spans="1:221" x14ac:dyDescent="0.4">
      <c r="A857" s="5">
        <v>2532</v>
      </c>
      <c r="B857" s="5">
        <v>1</v>
      </c>
      <c r="C857" s="5">
        <v>1</v>
      </c>
      <c r="D857" s="5" t="s">
        <v>2037</v>
      </c>
      <c r="E857" s="5" t="s">
        <v>271</v>
      </c>
      <c r="F857" s="5" t="s">
        <v>248</v>
      </c>
      <c r="G857" s="5" t="s">
        <v>1969</v>
      </c>
      <c r="H857" s="6" t="s">
        <v>3373</v>
      </c>
      <c r="I857" s="7">
        <f>1750</f>
        <v>1750</v>
      </c>
      <c r="J857" s="5" t="s">
        <v>262</v>
      </c>
      <c r="K857" s="8">
        <f>1</f>
        <v>1</v>
      </c>
      <c r="L857" s="6" t="s">
        <v>242</v>
      </c>
      <c r="M857" s="5" t="s">
        <v>267</v>
      </c>
      <c r="N857" s="5" t="s">
        <v>265</v>
      </c>
      <c r="O857" s="5" t="s">
        <v>238</v>
      </c>
      <c r="P857" s="5" t="s">
        <v>238</v>
      </c>
      <c r="Q857" s="5" t="s">
        <v>268</v>
      </c>
      <c r="R857" s="5" t="s">
        <v>270</v>
      </c>
      <c r="S857" s="5" t="s">
        <v>238</v>
      </c>
      <c r="V857" s="5" t="s">
        <v>238</v>
      </c>
      <c r="X857" s="6" t="s">
        <v>238</v>
      </c>
      <c r="AA857" s="6" t="s">
        <v>243</v>
      </c>
      <c r="AB857" s="5" t="s">
        <v>238</v>
      </c>
      <c r="AC857" s="5" t="s">
        <v>244</v>
      </c>
      <c r="AD857" s="5" t="s">
        <v>245</v>
      </c>
      <c r="AT857" s="5" t="s">
        <v>246</v>
      </c>
      <c r="AU857" s="5" t="s">
        <v>238</v>
      </c>
      <c r="AV857" s="5" t="s">
        <v>247</v>
      </c>
      <c r="AW857" s="5" t="s">
        <v>238</v>
      </c>
      <c r="AX857" s="5" t="s">
        <v>249</v>
      </c>
      <c r="AY857" s="5" t="s">
        <v>238</v>
      </c>
      <c r="BA857" s="5" t="s">
        <v>238</v>
      </c>
      <c r="BC857" s="5" t="s">
        <v>250</v>
      </c>
      <c r="BD857" s="6" t="s">
        <v>243</v>
      </c>
      <c r="BE857" s="5" t="s">
        <v>251</v>
      </c>
      <c r="BF857" s="5" t="s">
        <v>252</v>
      </c>
      <c r="BG857" s="5" t="s">
        <v>238</v>
      </c>
      <c r="BH857" s="7">
        <f>0</f>
        <v>0</v>
      </c>
      <c r="BI857" s="8">
        <f>0</f>
        <v>0</v>
      </c>
      <c r="BJ857" s="5" t="s">
        <v>253</v>
      </c>
      <c r="BK857" s="5" t="s">
        <v>254</v>
      </c>
      <c r="BY857" s="5" t="s">
        <v>238</v>
      </c>
      <c r="BZ857" s="5" t="s">
        <v>238</v>
      </c>
      <c r="CD857" s="5" t="s">
        <v>273</v>
      </c>
      <c r="CE857" s="5" t="s">
        <v>256</v>
      </c>
      <c r="CF857" s="5" t="s">
        <v>238</v>
      </c>
      <c r="CI857" s="6" t="s">
        <v>257</v>
      </c>
      <c r="CJ857" s="5" t="s">
        <v>238</v>
      </c>
      <c r="CK857" s="5" t="s">
        <v>258</v>
      </c>
      <c r="CL857" s="5" t="s">
        <v>238</v>
      </c>
      <c r="CM857" s="5" t="s">
        <v>238</v>
      </c>
      <c r="CN857" s="5">
        <v>0</v>
      </c>
      <c r="CO857" s="5" t="s">
        <v>259</v>
      </c>
      <c r="CP857" s="5" t="s">
        <v>260</v>
      </c>
      <c r="CQ857" s="5" t="s">
        <v>260</v>
      </c>
      <c r="CR857" s="5" t="s">
        <v>261</v>
      </c>
      <c r="CU857" s="8">
        <f>1</f>
        <v>1</v>
      </c>
      <c r="CV857" s="8">
        <f>0</f>
        <v>0</v>
      </c>
      <c r="CX857" s="8">
        <f>0</f>
        <v>0</v>
      </c>
      <c r="CY857" s="8">
        <f>1</f>
        <v>1</v>
      </c>
      <c r="DA857" s="5" t="s">
        <v>673</v>
      </c>
      <c r="DB857" s="5" t="s">
        <v>238</v>
      </c>
      <c r="DD857" s="5" t="s">
        <v>673</v>
      </c>
      <c r="DE857" s="8">
        <f>1750</f>
        <v>1750</v>
      </c>
      <c r="DG857" s="5" t="s">
        <v>238</v>
      </c>
      <c r="DH857" s="5" t="s">
        <v>238</v>
      </c>
      <c r="DI857" s="5" t="s">
        <v>238</v>
      </c>
      <c r="DJ857" s="5" t="s">
        <v>238</v>
      </c>
      <c r="DN857" s="5" t="s">
        <v>238</v>
      </c>
      <c r="DO857" s="5" t="s">
        <v>238</v>
      </c>
      <c r="DP857" s="5" t="s">
        <v>238</v>
      </c>
      <c r="DQ857" s="5" t="s">
        <v>238</v>
      </c>
      <c r="DT857" s="5" t="s">
        <v>2039</v>
      </c>
      <c r="DU857" s="5" t="s">
        <v>498</v>
      </c>
      <c r="HM857" s="5" t="s">
        <v>264</v>
      </c>
    </row>
    <row r="858" spans="1:221" x14ac:dyDescent="0.4">
      <c r="A858" s="5">
        <v>2533</v>
      </c>
      <c r="B858" s="5">
        <v>1</v>
      </c>
      <c r="C858" s="5">
        <v>1</v>
      </c>
      <c r="D858" s="5" t="s">
        <v>2037</v>
      </c>
      <c r="E858" s="5" t="s">
        <v>271</v>
      </c>
      <c r="F858" s="5" t="s">
        <v>248</v>
      </c>
      <c r="G858" s="5" t="s">
        <v>1969</v>
      </c>
      <c r="H858" s="6" t="s">
        <v>3372</v>
      </c>
      <c r="I858" s="7">
        <f>69</f>
        <v>69</v>
      </c>
      <c r="J858" s="5" t="s">
        <v>262</v>
      </c>
      <c r="K858" s="8">
        <f>1</f>
        <v>1</v>
      </c>
      <c r="L858" s="6" t="s">
        <v>242</v>
      </c>
      <c r="M858" s="5" t="s">
        <v>267</v>
      </c>
      <c r="N858" s="5" t="s">
        <v>265</v>
      </c>
      <c r="O858" s="5" t="s">
        <v>238</v>
      </c>
      <c r="P858" s="5" t="s">
        <v>238</v>
      </c>
      <c r="Q858" s="5" t="s">
        <v>268</v>
      </c>
      <c r="R858" s="5" t="s">
        <v>270</v>
      </c>
      <c r="S858" s="5" t="s">
        <v>238</v>
      </c>
      <c r="V858" s="5" t="s">
        <v>238</v>
      </c>
      <c r="X858" s="6" t="s">
        <v>238</v>
      </c>
      <c r="AA858" s="6" t="s">
        <v>243</v>
      </c>
      <c r="AB858" s="5" t="s">
        <v>238</v>
      </c>
      <c r="AC858" s="5" t="s">
        <v>244</v>
      </c>
      <c r="AD858" s="5" t="s">
        <v>245</v>
      </c>
      <c r="AT858" s="5" t="s">
        <v>246</v>
      </c>
      <c r="AU858" s="5" t="s">
        <v>238</v>
      </c>
      <c r="AV858" s="5" t="s">
        <v>247</v>
      </c>
      <c r="AW858" s="5" t="s">
        <v>238</v>
      </c>
      <c r="AX858" s="5" t="s">
        <v>249</v>
      </c>
      <c r="AY858" s="5" t="s">
        <v>238</v>
      </c>
      <c r="BA858" s="5" t="s">
        <v>238</v>
      </c>
      <c r="BC858" s="5" t="s">
        <v>250</v>
      </c>
      <c r="BD858" s="6" t="s">
        <v>243</v>
      </c>
      <c r="BE858" s="5" t="s">
        <v>251</v>
      </c>
      <c r="BF858" s="5" t="s">
        <v>252</v>
      </c>
      <c r="BG858" s="5" t="s">
        <v>238</v>
      </c>
      <c r="BH858" s="7">
        <f>0</f>
        <v>0</v>
      </c>
      <c r="BI858" s="8">
        <f>0</f>
        <v>0</v>
      </c>
      <c r="BJ858" s="5" t="s">
        <v>253</v>
      </c>
      <c r="BK858" s="5" t="s">
        <v>254</v>
      </c>
      <c r="BY858" s="5" t="s">
        <v>238</v>
      </c>
      <c r="BZ858" s="5" t="s">
        <v>238</v>
      </c>
      <c r="CD858" s="5" t="s">
        <v>273</v>
      </c>
      <c r="CE858" s="5" t="s">
        <v>256</v>
      </c>
      <c r="CF858" s="5" t="s">
        <v>238</v>
      </c>
      <c r="CI858" s="6" t="s">
        <v>257</v>
      </c>
      <c r="CJ858" s="5" t="s">
        <v>238</v>
      </c>
      <c r="CK858" s="5" t="s">
        <v>258</v>
      </c>
      <c r="CL858" s="5" t="s">
        <v>238</v>
      </c>
      <c r="CM858" s="5" t="s">
        <v>238</v>
      </c>
      <c r="CN858" s="5">
        <v>0</v>
      </c>
      <c r="CO858" s="5" t="s">
        <v>259</v>
      </c>
      <c r="CP858" s="5" t="s">
        <v>260</v>
      </c>
      <c r="CQ858" s="5" t="s">
        <v>260</v>
      </c>
      <c r="CR858" s="5" t="s">
        <v>261</v>
      </c>
      <c r="CU858" s="8">
        <f>1</f>
        <v>1</v>
      </c>
      <c r="CV858" s="8">
        <f>0</f>
        <v>0</v>
      </c>
      <c r="CX858" s="8">
        <f>0</f>
        <v>0</v>
      </c>
      <c r="CY858" s="8">
        <f>1</f>
        <v>1</v>
      </c>
      <c r="DA858" s="5" t="s">
        <v>673</v>
      </c>
      <c r="DB858" s="5" t="s">
        <v>238</v>
      </c>
      <c r="DD858" s="5" t="s">
        <v>673</v>
      </c>
      <c r="DE858" s="8">
        <f>69</f>
        <v>69</v>
      </c>
      <c r="DG858" s="5" t="s">
        <v>238</v>
      </c>
      <c r="DH858" s="5" t="s">
        <v>238</v>
      </c>
      <c r="DI858" s="5" t="s">
        <v>238</v>
      </c>
      <c r="DJ858" s="5" t="s">
        <v>238</v>
      </c>
      <c r="DN858" s="5" t="s">
        <v>238</v>
      </c>
      <c r="DO858" s="5" t="s">
        <v>238</v>
      </c>
      <c r="DP858" s="5" t="s">
        <v>238</v>
      </c>
      <c r="DQ858" s="5" t="s">
        <v>238</v>
      </c>
      <c r="DT858" s="5" t="s">
        <v>2039</v>
      </c>
      <c r="DU858" s="5" t="s">
        <v>1000</v>
      </c>
      <c r="HM858" s="5" t="s">
        <v>264</v>
      </c>
    </row>
    <row r="859" spans="1:221" x14ac:dyDescent="0.4">
      <c r="A859" s="5">
        <v>2534</v>
      </c>
      <c r="B859" s="5">
        <v>1</v>
      </c>
      <c r="C859" s="5">
        <v>1</v>
      </c>
      <c r="D859" s="5" t="s">
        <v>2037</v>
      </c>
      <c r="E859" s="5" t="s">
        <v>271</v>
      </c>
      <c r="F859" s="5" t="s">
        <v>248</v>
      </c>
      <c r="G859" s="5" t="s">
        <v>1969</v>
      </c>
      <c r="H859" s="6" t="s">
        <v>3371</v>
      </c>
      <c r="I859" s="7">
        <f>1191</f>
        <v>1191</v>
      </c>
      <c r="J859" s="5" t="s">
        <v>262</v>
      </c>
      <c r="K859" s="8">
        <f>1</f>
        <v>1</v>
      </c>
      <c r="L859" s="6" t="s">
        <v>242</v>
      </c>
      <c r="M859" s="5" t="s">
        <v>267</v>
      </c>
      <c r="N859" s="5" t="s">
        <v>265</v>
      </c>
      <c r="O859" s="5" t="s">
        <v>238</v>
      </c>
      <c r="P859" s="5" t="s">
        <v>238</v>
      </c>
      <c r="Q859" s="5" t="s">
        <v>268</v>
      </c>
      <c r="R859" s="5" t="s">
        <v>270</v>
      </c>
      <c r="S859" s="5" t="s">
        <v>238</v>
      </c>
      <c r="V859" s="5" t="s">
        <v>238</v>
      </c>
      <c r="X859" s="6" t="s">
        <v>238</v>
      </c>
      <c r="AA859" s="6" t="s">
        <v>243</v>
      </c>
      <c r="AB859" s="5" t="s">
        <v>238</v>
      </c>
      <c r="AC859" s="5" t="s">
        <v>244</v>
      </c>
      <c r="AD859" s="5" t="s">
        <v>245</v>
      </c>
      <c r="AT859" s="5" t="s">
        <v>246</v>
      </c>
      <c r="AU859" s="5" t="s">
        <v>238</v>
      </c>
      <c r="AV859" s="5" t="s">
        <v>247</v>
      </c>
      <c r="AW859" s="5" t="s">
        <v>238</v>
      </c>
      <c r="AX859" s="5" t="s">
        <v>249</v>
      </c>
      <c r="AY859" s="5" t="s">
        <v>238</v>
      </c>
      <c r="BA859" s="5" t="s">
        <v>238</v>
      </c>
      <c r="BC859" s="5" t="s">
        <v>250</v>
      </c>
      <c r="BD859" s="6" t="s">
        <v>243</v>
      </c>
      <c r="BE859" s="5" t="s">
        <v>251</v>
      </c>
      <c r="BF859" s="5" t="s">
        <v>252</v>
      </c>
      <c r="BG859" s="5" t="s">
        <v>238</v>
      </c>
      <c r="BH859" s="7">
        <f>0</f>
        <v>0</v>
      </c>
      <c r="BI859" s="8">
        <f>0</f>
        <v>0</v>
      </c>
      <c r="BJ859" s="5" t="s">
        <v>253</v>
      </c>
      <c r="BK859" s="5" t="s">
        <v>254</v>
      </c>
      <c r="BY859" s="5" t="s">
        <v>238</v>
      </c>
      <c r="BZ859" s="5" t="s">
        <v>238</v>
      </c>
      <c r="CD859" s="5" t="s">
        <v>273</v>
      </c>
      <c r="CE859" s="5" t="s">
        <v>256</v>
      </c>
      <c r="CF859" s="5" t="s">
        <v>238</v>
      </c>
      <c r="CI859" s="6" t="s">
        <v>257</v>
      </c>
      <c r="CJ859" s="5" t="s">
        <v>238</v>
      </c>
      <c r="CK859" s="5" t="s">
        <v>258</v>
      </c>
      <c r="CL859" s="5" t="s">
        <v>238</v>
      </c>
      <c r="CM859" s="5" t="s">
        <v>238</v>
      </c>
      <c r="CN859" s="5">
        <v>0</v>
      </c>
      <c r="CO859" s="5" t="s">
        <v>259</v>
      </c>
      <c r="CP859" s="5" t="s">
        <v>260</v>
      </c>
      <c r="CQ859" s="5" t="s">
        <v>260</v>
      </c>
      <c r="CR859" s="5" t="s">
        <v>261</v>
      </c>
      <c r="CU859" s="8">
        <f>1</f>
        <v>1</v>
      </c>
      <c r="CV859" s="8">
        <f>0</f>
        <v>0</v>
      </c>
      <c r="CX859" s="8">
        <f>0</f>
        <v>0</v>
      </c>
      <c r="CY859" s="8">
        <f>1</f>
        <v>1</v>
      </c>
      <c r="DA859" s="5" t="s">
        <v>673</v>
      </c>
      <c r="DB859" s="5" t="s">
        <v>238</v>
      </c>
      <c r="DD859" s="5" t="s">
        <v>673</v>
      </c>
      <c r="DE859" s="8">
        <f>1191</f>
        <v>1191</v>
      </c>
      <c r="DG859" s="5" t="s">
        <v>238</v>
      </c>
      <c r="DH859" s="5" t="s">
        <v>238</v>
      </c>
      <c r="DI859" s="5" t="s">
        <v>238</v>
      </c>
      <c r="DJ859" s="5" t="s">
        <v>238</v>
      </c>
      <c r="DN859" s="5" t="s">
        <v>238</v>
      </c>
      <c r="DO859" s="5" t="s">
        <v>238</v>
      </c>
      <c r="DP859" s="5" t="s">
        <v>238</v>
      </c>
      <c r="DQ859" s="5" t="s">
        <v>238</v>
      </c>
      <c r="DT859" s="5" t="s">
        <v>2039</v>
      </c>
      <c r="DU859" s="5" t="s">
        <v>996</v>
      </c>
      <c r="HM859" s="5" t="s">
        <v>264</v>
      </c>
    </row>
    <row r="860" spans="1:221" x14ac:dyDescent="0.4">
      <c r="A860" s="5">
        <v>2535</v>
      </c>
      <c r="B860" s="5">
        <v>1</v>
      </c>
      <c r="C860" s="5">
        <v>1</v>
      </c>
      <c r="D860" s="5" t="s">
        <v>2037</v>
      </c>
      <c r="E860" s="5" t="s">
        <v>271</v>
      </c>
      <c r="F860" s="5" t="s">
        <v>248</v>
      </c>
      <c r="G860" s="5" t="s">
        <v>1969</v>
      </c>
      <c r="H860" s="6" t="s">
        <v>3370</v>
      </c>
      <c r="I860" s="7">
        <f>4460</f>
        <v>4460</v>
      </c>
      <c r="J860" s="5" t="s">
        <v>262</v>
      </c>
      <c r="K860" s="8">
        <f>1</f>
        <v>1</v>
      </c>
      <c r="L860" s="6" t="s">
        <v>242</v>
      </c>
      <c r="M860" s="5" t="s">
        <v>267</v>
      </c>
      <c r="N860" s="5" t="s">
        <v>265</v>
      </c>
      <c r="O860" s="5" t="s">
        <v>238</v>
      </c>
      <c r="P860" s="5" t="s">
        <v>238</v>
      </c>
      <c r="Q860" s="5" t="s">
        <v>268</v>
      </c>
      <c r="R860" s="5" t="s">
        <v>270</v>
      </c>
      <c r="S860" s="5" t="s">
        <v>238</v>
      </c>
      <c r="V860" s="5" t="s">
        <v>238</v>
      </c>
      <c r="X860" s="6" t="s">
        <v>238</v>
      </c>
      <c r="AA860" s="6" t="s">
        <v>243</v>
      </c>
      <c r="AB860" s="5" t="s">
        <v>238</v>
      </c>
      <c r="AC860" s="5" t="s">
        <v>244</v>
      </c>
      <c r="AD860" s="5" t="s">
        <v>245</v>
      </c>
      <c r="AT860" s="5" t="s">
        <v>246</v>
      </c>
      <c r="AU860" s="5" t="s">
        <v>238</v>
      </c>
      <c r="AV860" s="5" t="s">
        <v>247</v>
      </c>
      <c r="AW860" s="5" t="s">
        <v>238</v>
      </c>
      <c r="AX860" s="5" t="s">
        <v>249</v>
      </c>
      <c r="AY860" s="5" t="s">
        <v>238</v>
      </c>
      <c r="BA860" s="5" t="s">
        <v>238</v>
      </c>
      <c r="BC860" s="5" t="s">
        <v>250</v>
      </c>
      <c r="BD860" s="6" t="s">
        <v>243</v>
      </c>
      <c r="BE860" s="5" t="s">
        <v>251</v>
      </c>
      <c r="BF860" s="5" t="s">
        <v>252</v>
      </c>
      <c r="BG860" s="5" t="s">
        <v>238</v>
      </c>
      <c r="BH860" s="7">
        <f>0</f>
        <v>0</v>
      </c>
      <c r="BI860" s="8">
        <f>0</f>
        <v>0</v>
      </c>
      <c r="BJ860" s="5" t="s">
        <v>253</v>
      </c>
      <c r="BK860" s="5" t="s">
        <v>254</v>
      </c>
      <c r="BY860" s="5" t="s">
        <v>238</v>
      </c>
      <c r="BZ860" s="5" t="s">
        <v>238</v>
      </c>
      <c r="CD860" s="5" t="s">
        <v>273</v>
      </c>
      <c r="CE860" s="5" t="s">
        <v>256</v>
      </c>
      <c r="CF860" s="5" t="s">
        <v>238</v>
      </c>
      <c r="CI860" s="6" t="s">
        <v>257</v>
      </c>
      <c r="CJ860" s="5" t="s">
        <v>238</v>
      </c>
      <c r="CK860" s="5" t="s">
        <v>258</v>
      </c>
      <c r="CL860" s="5" t="s">
        <v>238</v>
      </c>
      <c r="CM860" s="5" t="s">
        <v>238</v>
      </c>
      <c r="CN860" s="5">
        <v>0</v>
      </c>
      <c r="CO860" s="5" t="s">
        <v>259</v>
      </c>
      <c r="CP860" s="5" t="s">
        <v>260</v>
      </c>
      <c r="CQ860" s="5" t="s">
        <v>260</v>
      </c>
      <c r="CR860" s="5" t="s">
        <v>261</v>
      </c>
      <c r="CU860" s="8">
        <f>1</f>
        <v>1</v>
      </c>
      <c r="CV860" s="8">
        <f>0</f>
        <v>0</v>
      </c>
      <c r="CX860" s="8">
        <f>0</f>
        <v>0</v>
      </c>
      <c r="CY860" s="8">
        <f>1</f>
        <v>1</v>
      </c>
      <c r="DA860" s="5" t="s">
        <v>673</v>
      </c>
      <c r="DB860" s="5" t="s">
        <v>238</v>
      </c>
      <c r="DD860" s="5" t="s">
        <v>673</v>
      </c>
      <c r="DE860" s="8">
        <f>4460</f>
        <v>4460</v>
      </c>
      <c r="DG860" s="5" t="s">
        <v>238</v>
      </c>
      <c r="DH860" s="5" t="s">
        <v>238</v>
      </c>
      <c r="DI860" s="5" t="s">
        <v>238</v>
      </c>
      <c r="DJ860" s="5" t="s">
        <v>238</v>
      </c>
      <c r="DN860" s="5" t="s">
        <v>238</v>
      </c>
      <c r="DO860" s="5" t="s">
        <v>238</v>
      </c>
      <c r="DP860" s="5" t="s">
        <v>238</v>
      </c>
      <c r="DQ860" s="5" t="s">
        <v>238</v>
      </c>
      <c r="DT860" s="5" t="s">
        <v>2039</v>
      </c>
      <c r="DU860" s="5" t="s">
        <v>994</v>
      </c>
      <c r="HM860" s="5" t="s">
        <v>264</v>
      </c>
    </row>
    <row r="861" spans="1:221" x14ac:dyDescent="0.4">
      <c r="A861" s="5">
        <v>2536</v>
      </c>
      <c r="B861" s="5">
        <v>1</v>
      </c>
      <c r="C861" s="5">
        <v>1</v>
      </c>
      <c r="D861" s="5" t="s">
        <v>2037</v>
      </c>
      <c r="E861" s="5" t="s">
        <v>271</v>
      </c>
      <c r="F861" s="5" t="s">
        <v>248</v>
      </c>
      <c r="G861" s="5" t="s">
        <v>1969</v>
      </c>
      <c r="H861" s="6" t="s">
        <v>3369</v>
      </c>
      <c r="I861" s="7">
        <f>913</f>
        <v>913</v>
      </c>
      <c r="J861" s="5" t="s">
        <v>262</v>
      </c>
      <c r="K861" s="8">
        <f>1</f>
        <v>1</v>
      </c>
      <c r="L861" s="6" t="s">
        <v>242</v>
      </c>
      <c r="M861" s="5" t="s">
        <v>267</v>
      </c>
      <c r="N861" s="5" t="s">
        <v>265</v>
      </c>
      <c r="O861" s="5" t="s">
        <v>238</v>
      </c>
      <c r="P861" s="5" t="s">
        <v>238</v>
      </c>
      <c r="Q861" s="5" t="s">
        <v>268</v>
      </c>
      <c r="R861" s="5" t="s">
        <v>270</v>
      </c>
      <c r="S861" s="5" t="s">
        <v>238</v>
      </c>
      <c r="V861" s="5" t="s">
        <v>238</v>
      </c>
      <c r="X861" s="6" t="s">
        <v>238</v>
      </c>
      <c r="AA861" s="6" t="s">
        <v>243</v>
      </c>
      <c r="AB861" s="5" t="s">
        <v>238</v>
      </c>
      <c r="AC861" s="5" t="s">
        <v>244</v>
      </c>
      <c r="AD861" s="5" t="s">
        <v>245</v>
      </c>
      <c r="AT861" s="5" t="s">
        <v>246</v>
      </c>
      <c r="AU861" s="5" t="s">
        <v>238</v>
      </c>
      <c r="AV861" s="5" t="s">
        <v>247</v>
      </c>
      <c r="AW861" s="5" t="s">
        <v>238</v>
      </c>
      <c r="AX861" s="5" t="s">
        <v>249</v>
      </c>
      <c r="AY861" s="5" t="s">
        <v>238</v>
      </c>
      <c r="BA861" s="5" t="s">
        <v>238</v>
      </c>
      <c r="BC861" s="5" t="s">
        <v>250</v>
      </c>
      <c r="BD861" s="6" t="s">
        <v>243</v>
      </c>
      <c r="BE861" s="5" t="s">
        <v>251</v>
      </c>
      <c r="BF861" s="5" t="s">
        <v>252</v>
      </c>
      <c r="BG861" s="5" t="s">
        <v>238</v>
      </c>
      <c r="BH861" s="7">
        <f>0</f>
        <v>0</v>
      </c>
      <c r="BI861" s="8">
        <f>0</f>
        <v>0</v>
      </c>
      <c r="BJ861" s="5" t="s">
        <v>253</v>
      </c>
      <c r="BK861" s="5" t="s">
        <v>254</v>
      </c>
      <c r="BY861" s="5" t="s">
        <v>238</v>
      </c>
      <c r="BZ861" s="5" t="s">
        <v>238</v>
      </c>
      <c r="CD861" s="5" t="s">
        <v>273</v>
      </c>
      <c r="CE861" s="5" t="s">
        <v>256</v>
      </c>
      <c r="CF861" s="5" t="s">
        <v>238</v>
      </c>
      <c r="CI861" s="6" t="s">
        <v>257</v>
      </c>
      <c r="CJ861" s="5" t="s">
        <v>238</v>
      </c>
      <c r="CK861" s="5" t="s">
        <v>258</v>
      </c>
      <c r="CL861" s="5" t="s">
        <v>238</v>
      </c>
      <c r="CM861" s="5" t="s">
        <v>238</v>
      </c>
      <c r="CN861" s="5">
        <v>0</v>
      </c>
      <c r="CO861" s="5" t="s">
        <v>259</v>
      </c>
      <c r="CP861" s="5" t="s">
        <v>260</v>
      </c>
      <c r="CQ861" s="5" t="s">
        <v>260</v>
      </c>
      <c r="CR861" s="5" t="s">
        <v>261</v>
      </c>
      <c r="CU861" s="8">
        <f>1</f>
        <v>1</v>
      </c>
      <c r="CV861" s="8">
        <f>0</f>
        <v>0</v>
      </c>
      <c r="CX861" s="8">
        <f>0</f>
        <v>0</v>
      </c>
      <c r="CY861" s="8">
        <f>1</f>
        <v>1</v>
      </c>
      <c r="DA861" s="5" t="s">
        <v>673</v>
      </c>
      <c r="DB861" s="5" t="s">
        <v>238</v>
      </c>
      <c r="DD861" s="5" t="s">
        <v>673</v>
      </c>
      <c r="DE861" s="8">
        <f>913</f>
        <v>913</v>
      </c>
      <c r="DG861" s="5" t="s">
        <v>238</v>
      </c>
      <c r="DH861" s="5" t="s">
        <v>238</v>
      </c>
      <c r="DI861" s="5" t="s">
        <v>238</v>
      </c>
      <c r="DJ861" s="5" t="s">
        <v>238</v>
      </c>
      <c r="DN861" s="5" t="s">
        <v>238</v>
      </c>
      <c r="DO861" s="5" t="s">
        <v>238</v>
      </c>
      <c r="DP861" s="5" t="s">
        <v>238</v>
      </c>
      <c r="DQ861" s="5" t="s">
        <v>238</v>
      </c>
      <c r="DT861" s="5" t="s">
        <v>2039</v>
      </c>
      <c r="DU861" s="5" t="s">
        <v>276</v>
      </c>
      <c r="HM861" s="5" t="s">
        <v>264</v>
      </c>
    </row>
    <row r="862" spans="1:221" x14ac:dyDescent="0.4">
      <c r="A862" s="5">
        <v>2537</v>
      </c>
      <c r="B862" s="5">
        <v>1</v>
      </c>
      <c r="C862" s="5">
        <v>1</v>
      </c>
      <c r="D862" s="5" t="s">
        <v>2037</v>
      </c>
      <c r="E862" s="5" t="s">
        <v>271</v>
      </c>
      <c r="F862" s="5" t="s">
        <v>248</v>
      </c>
      <c r="G862" s="5" t="s">
        <v>1969</v>
      </c>
      <c r="H862" s="6" t="s">
        <v>3368</v>
      </c>
      <c r="I862" s="7">
        <f>1760</f>
        <v>1760</v>
      </c>
      <c r="J862" s="5" t="s">
        <v>262</v>
      </c>
      <c r="K862" s="8">
        <f>1</f>
        <v>1</v>
      </c>
      <c r="L862" s="6" t="s">
        <v>242</v>
      </c>
      <c r="M862" s="5" t="s">
        <v>267</v>
      </c>
      <c r="N862" s="5" t="s">
        <v>265</v>
      </c>
      <c r="O862" s="5" t="s">
        <v>238</v>
      </c>
      <c r="P862" s="5" t="s">
        <v>238</v>
      </c>
      <c r="Q862" s="5" t="s">
        <v>268</v>
      </c>
      <c r="R862" s="5" t="s">
        <v>270</v>
      </c>
      <c r="S862" s="5" t="s">
        <v>238</v>
      </c>
      <c r="V862" s="5" t="s">
        <v>238</v>
      </c>
      <c r="X862" s="6" t="s">
        <v>238</v>
      </c>
      <c r="AA862" s="6" t="s">
        <v>243</v>
      </c>
      <c r="AB862" s="5" t="s">
        <v>238</v>
      </c>
      <c r="AC862" s="5" t="s">
        <v>244</v>
      </c>
      <c r="AD862" s="5" t="s">
        <v>245</v>
      </c>
      <c r="AT862" s="5" t="s">
        <v>246</v>
      </c>
      <c r="AU862" s="5" t="s">
        <v>238</v>
      </c>
      <c r="AV862" s="5" t="s">
        <v>247</v>
      </c>
      <c r="AW862" s="5" t="s">
        <v>238</v>
      </c>
      <c r="AX862" s="5" t="s">
        <v>249</v>
      </c>
      <c r="AY862" s="5" t="s">
        <v>238</v>
      </c>
      <c r="BA862" s="5" t="s">
        <v>238</v>
      </c>
      <c r="BC862" s="5" t="s">
        <v>250</v>
      </c>
      <c r="BD862" s="6" t="s">
        <v>243</v>
      </c>
      <c r="BE862" s="5" t="s">
        <v>251</v>
      </c>
      <c r="BF862" s="5" t="s">
        <v>252</v>
      </c>
      <c r="BG862" s="5" t="s">
        <v>238</v>
      </c>
      <c r="BH862" s="7">
        <f>0</f>
        <v>0</v>
      </c>
      <c r="BI862" s="8">
        <f>0</f>
        <v>0</v>
      </c>
      <c r="BJ862" s="5" t="s">
        <v>253</v>
      </c>
      <c r="BK862" s="5" t="s">
        <v>254</v>
      </c>
      <c r="BY862" s="5" t="s">
        <v>238</v>
      </c>
      <c r="BZ862" s="5" t="s">
        <v>238</v>
      </c>
      <c r="CD862" s="5" t="s">
        <v>273</v>
      </c>
      <c r="CE862" s="5" t="s">
        <v>256</v>
      </c>
      <c r="CF862" s="5" t="s">
        <v>238</v>
      </c>
      <c r="CI862" s="6" t="s">
        <v>257</v>
      </c>
      <c r="CJ862" s="5" t="s">
        <v>238</v>
      </c>
      <c r="CK862" s="5" t="s">
        <v>258</v>
      </c>
      <c r="CL862" s="5" t="s">
        <v>238</v>
      </c>
      <c r="CM862" s="5" t="s">
        <v>238</v>
      </c>
      <c r="CN862" s="5">
        <v>0</v>
      </c>
      <c r="CO862" s="5" t="s">
        <v>259</v>
      </c>
      <c r="CP862" s="5" t="s">
        <v>260</v>
      </c>
      <c r="CQ862" s="5" t="s">
        <v>260</v>
      </c>
      <c r="CR862" s="5" t="s">
        <v>261</v>
      </c>
      <c r="CU862" s="8">
        <f>1</f>
        <v>1</v>
      </c>
      <c r="CV862" s="8">
        <f>0</f>
        <v>0</v>
      </c>
      <c r="CX862" s="8">
        <f>0</f>
        <v>0</v>
      </c>
      <c r="CY862" s="8">
        <f>1</f>
        <v>1</v>
      </c>
      <c r="DA862" s="5" t="s">
        <v>673</v>
      </c>
      <c r="DB862" s="5" t="s">
        <v>238</v>
      </c>
      <c r="DD862" s="5" t="s">
        <v>673</v>
      </c>
      <c r="DE862" s="8">
        <f>1760</f>
        <v>1760</v>
      </c>
      <c r="DG862" s="5" t="s">
        <v>238</v>
      </c>
      <c r="DH862" s="5" t="s">
        <v>238</v>
      </c>
      <c r="DI862" s="5" t="s">
        <v>238</v>
      </c>
      <c r="DJ862" s="5" t="s">
        <v>238</v>
      </c>
      <c r="DN862" s="5" t="s">
        <v>238</v>
      </c>
      <c r="DO862" s="5" t="s">
        <v>238</v>
      </c>
      <c r="DP862" s="5" t="s">
        <v>238</v>
      </c>
      <c r="DQ862" s="5" t="s">
        <v>238</v>
      </c>
      <c r="DT862" s="5" t="s">
        <v>2039</v>
      </c>
      <c r="DU862" s="5" t="s">
        <v>278</v>
      </c>
      <c r="HM862" s="5" t="s">
        <v>264</v>
      </c>
    </row>
    <row r="863" spans="1:221" x14ac:dyDescent="0.4">
      <c r="A863" s="5">
        <v>2538</v>
      </c>
      <c r="B863" s="5">
        <v>1</v>
      </c>
      <c r="C863" s="5">
        <v>1</v>
      </c>
      <c r="D863" s="5" t="s">
        <v>2037</v>
      </c>
      <c r="E863" s="5" t="s">
        <v>271</v>
      </c>
      <c r="F863" s="5" t="s">
        <v>248</v>
      </c>
      <c r="G863" s="5" t="s">
        <v>1969</v>
      </c>
      <c r="H863" s="6" t="s">
        <v>3367</v>
      </c>
      <c r="I863" s="7">
        <f>161</f>
        <v>161</v>
      </c>
      <c r="J863" s="5" t="s">
        <v>262</v>
      </c>
      <c r="K863" s="8">
        <f>1</f>
        <v>1</v>
      </c>
      <c r="L863" s="6" t="s">
        <v>242</v>
      </c>
      <c r="M863" s="5" t="s">
        <v>267</v>
      </c>
      <c r="N863" s="5" t="s">
        <v>265</v>
      </c>
      <c r="O863" s="5" t="s">
        <v>238</v>
      </c>
      <c r="P863" s="5" t="s">
        <v>238</v>
      </c>
      <c r="Q863" s="5" t="s">
        <v>268</v>
      </c>
      <c r="R863" s="5" t="s">
        <v>270</v>
      </c>
      <c r="S863" s="5" t="s">
        <v>238</v>
      </c>
      <c r="V863" s="5" t="s">
        <v>238</v>
      </c>
      <c r="X863" s="6" t="s">
        <v>238</v>
      </c>
      <c r="AA863" s="6" t="s">
        <v>243</v>
      </c>
      <c r="AB863" s="5" t="s">
        <v>238</v>
      </c>
      <c r="AC863" s="5" t="s">
        <v>244</v>
      </c>
      <c r="AD863" s="5" t="s">
        <v>245</v>
      </c>
      <c r="AT863" s="5" t="s">
        <v>246</v>
      </c>
      <c r="AU863" s="5" t="s">
        <v>238</v>
      </c>
      <c r="AV863" s="5" t="s">
        <v>247</v>
      </c>
      <c r="AW863" s="5" t="s">
        <v>238</v>
      </c>
      <c r="AX863" s="5" t="s">
        <v>249</v>
      </c>
      <c r="AY863" s="5" t="s">
        <v>238</v>
      </c>
      <c r="BA863" s="5" t="s">
        <v>238</v>
      </c>
      <c r="BC863" s="5" t="s">
        <v>250</v>
      </c>
      <c r="BD863" s="6" t="s">
        <v>243</v>
      </c>
      <c r="BE863" s="5" t="s">
        <v>251</v>
      </c>
      <c r="BF863" s="5" t="s">
        <v>252</v>
      </c>
      <c r="BG863" s="5" t="s">
        <v>238</v>
      </c>
      <c r="BH863" s="7">
        <f>0</f>
        <v>0</v>
      </c>
      <c r="BI863" s="8">
        <f>0</f>
        <v>0</v>
      </c>
      <c r="BJ863" s="5" t="s">
        <v>253</v>
      </c>
      <c r="BK863" s="5" t="s">
        <v>254</v>
      </c>
      <c r="BY863" s="5" t="s">
        <v>238</v>
      </c>
      <c r="BZ863" s="5" t="s">
        <v>238</v>
      </c>
      <c r="CD863" s="5" t="s">
        <v>273</v>
      </c>
      <c r="CE863" s="5" t="s">
        <v>256</v>
      </c>
      <c r="CF863" s="5" t="s">
        <v>238</v>
      </c>
      <c r="CI863" s="6" t="s">
        <v>257</v>
      </c>
      <c r="CJ863" s="5" t="s">
        <v>238</v>
      </c>
      <c r="CK863" s="5" t="s">
        <v>258</v>
      </c>
      <c r="CL863" s="5" t="s">
        <v>238</v>
      </c>
      <c r="CM863" s="5" t="s">
        <v>238</v>
      </c>
      <c r="CN863" s="5">
        <v>0</v>
      </c>
      <c r="CO863" s="5" t="s">
        <v>259</v>
      </c>
      <c r="CP863" s="5" t="s">
        <v>260</v>
      </c>
      <c r="CQ863" s="5" t="s">
        <v>260</v>
      </c>
      <c r="CR863" s="5" t="s">
        <v>261</v>
      </c>
      <c r="CU863" s="8">
        <f>1</f>
        <v>1</v>
      </c>
      <c r="CV863" s="8">
        <f>0</f>
        <v>0</v>
      </c>
      <c r="CX863" s="8">
        <f>0</f>
        <v>0</v>
      </c>
      <c r="CY863" s="8">
        <f>1</f>
        <v>1</v>
      </c>
      <c r="DA863" s="5" t="s">
        <v>673</v>
      </c>
      <c r="DB863" s="5" t="s">
        <v>238</v>
      </c>
      <c r="DD863" s="5" t="s">
        <v>673</v>
      </c>
      <c r="DE863" s="8">
        <f>161</f>
        <v>161</v>
      </c>
      <c r="DG863" s="5" t="s">
        <v>238</v>
      </c>
      <c r="DH863" s="5" t="s">
        <v>238</v>
      </c>
      <c r="DI863" s="5" t="s">
        <v>238</v>
      </c>
      <c r="DJ863" s="5" t="s">
        <v>238</v>
      </c>
      <c r="DN863" s="5" t="s">
        <v>238</v>
      </c>
      <c r="DO863" s="5" t="s">
        <v>238</v>
      </c>
      <c r="DP863" s="5" t="s">
        <v>238</v>
      </c>
      <c r="DQ863" s="5" t="s">
        <v>238</v>
      </c>
      <c r="DT863" s="5" t="s">
        <v>2039</v>
      </c>
      <c r="DU863" s="5" t="s">
        <v>282</v>
      </c>
      <c r="HM863" s="5" t="s">
        <v>264</v>
      </c>
    </row>
    <row r="864" spans="1:221" x14ac:dyDescent="0.4">
      <c r="A864" s="5">
        <v>2539</v>
      </c>
      <c r="B864" s="5">
        <v>1</v>
      </c>
      <c r="C864" s="5">
        <v>1</v>
      </c>
      <c r="D864" s="5" t="s">
        <v>2037</v>
      </c>
      <c r="E864" s="5" t="s">
        <v>271</v>
      </c>
      <c r="F864" s="5" t="s">
        <v>248</v>
      </c>
      <c r="G864" s="5" t="s">
        <v>1969</v>
      </c>
      <c r="H864" s="6" t="s">
        <v>3366</v>
      </c>
      <c r="I864" s="7">
        <f>3493</f>
        <v>3493</v>
      </c>
      <c r="J864" s="5" t="s">
        <v>262</v>
      </c>
      <c r="K864" s="8">
        <f>1</f>
        <v>1</v>
      </c>
      <c r="L864" s="6" t="s">
        <v>242</v>
      </c>
      <c r="M864" s="5" t="s">
        <v>267</v>
      </c>
      <c r="N864" s="5" t="s">
        <v>265</v>
      </c>
      <c r="O864" s="5" t="s">
        <v>238</v>
      </c>
      <c r="P864" s="5" t="s">
        <v>238</v>
      </c>
      <c r="Q864" s="5" t="s">
        <v>268</v>
      </c>
      <c r="R864" s="5" t="s">
        <v>270</v>
      </c>
      <c r="S864" s="5" t="s">
        <v>238</v>
      </c>
      <c r="V864" s="5" t="s">
        <v>238</v>
      </c>
      <c r="X864" s="6" t="s">
        <v>238</v>
      </c>
      <c r="AA864" s="6" t="s">
        <v>243</v>
      </c>
      <c r="AB864" s="5" t="s">
        <v>238</v>
      </c>
      <c r="AC864" s="5" t="s">
        <v>244</v>
      </c>
      <c r="AD864" s="5" t="s">
        <v>245</v>
      </c>
      <c r="AT864" s="5" t="s">
        <v>246</v>
      </c>
      <c r="AU864" s="5" t="s">
        <v>238</v>
      </c>
      <c r="AV864" s="5" t="s">
        <v>247</v>
      </c>
      <c r="AW864" s="5" t="s">
        <v>238</v>
      </c>
      <c r="AX864" s="5" t="s">
        <v>249</v>
      </c>
      <c r="AY864" s="5" t="s">
        <v>238</v>
      </c>
      <c r="BA864" s="5" t="s">
        <v>238</v>
      </c>
      <c r="BC864" s="5" t="s">
        <v>250</v>
      </c>
      <c r="BD864" s="6" t="s">
        <v>243</v>
      </c>
      <c r="BE864" s="5" t="s">
        <v>251</v>
      </c>
      <c r="BF864" s="5" t="s">
        <v>252</v>
      </c>
      <c r="BG864" s="5" t="s">
        <v>238</v>
      </c>
      <c r="BH864" s="7">
        <f>0</f>
        <v>0</v>
      </c>
      <c r="BI864" s="8">
        <f>0</f>
        <v>0</v>
      </c>
      <c r="BJ864" s="5" t="s">
        <v>253</v>
      </c>
      <c r="BK864" s="5" t="s">
        <v>254</v>
      </c>
      <c r="BY864" s="5" t="s">
        <v>238</v>
      </c>
      <c r="BZ864" s="5" t="s">
        <v>238</v>
      </c>
      <c r="CD864" s="5" t="s">
        <v>273</v>
      </c>
      <c r="CE864" s="5" t="s">
        <v>256</v>
      </c>
      <c r="CF864" s="5" t="s">
        <v>238</v>
      </c>
      <c r="CI864" s="6" t="s">
        <v>257</v>
      </c>
      <c r="CJ864" s="5" t="s">
        <v>238</v>
      </c>
      <c r="CK864" s="5" t="s">
        <v>258</v>
      </c>
      <c r="CL864" s="5" t="s">
        <v>238</v>
      </c>
      <c r="CM864" s="5" t="s">
        <v>238</v>
      </c>
      <c r="CN864" s="5">
        <v>0</v>
      </c>
      <c r="CO864" s="5" t="s">
        <v>259</v>
      </c>
      <c r="CP864" s="5" t="s">
        <v>260</v>
      </c>
      <c r="CQ864" s="5" t="s">
        <v>260</v>
      </c>
      <c r="CR864" s="5" t="s">
        <v>261</v>
      </c>
      <c r="CU864" s="8">
        <f>1</f>
        <v>1</v>
      </c>
      <c r="CV864" s="8">
        <f>0</f>
        <v>0</v>
      </c>
      <c r="CX864" s="8">
        <f>0</f>
        <v>0</v>
      </c>
      <c r="CY864" s="8">
        <f>1</f>
        <v>1</v>
      </c>
      <c r="DA864" s="5" t="s">
        <v>673</v>
      </c>
      <c r="DB864" s="5" t="s">
        <v>238</v>
      </c>
      <c r="DD864" s="5" t="s">
        <v>673</v>
      </c>
      <c r="DE864" s="8">
        <f>3493</f>
        <v>3493</v>
      </c>
      <c r="DG864" s="5" t="s">
        <v>238</v>
      </c>
      <c r="DH864" s="5" t="s">
        <v>238</v>
      </c>
      <c r="DI864" s="5" t="s">
        <v>238</v>
      </c>
      <c r="DJ864" s="5" t="s">
        <v>238</v>
      </c>
      <c r="DN864" s="5" t="s">
        <v>238</v>
      </c>
      <c r="DO864" s="5" t="s">
        <v>238</v>
      </c>
      <c r="DP864" s="5" t="s">
        <v>238</v>
      </c>
      <c r="DQ864" s="5" t="s">
        <v>238</v>
      </c>
      <c r="DT864" s="5" t="s">
        <v>2039</v>
      </c>
      <c r="DU864" s="5" t="s">
        <v>284</v>
      </c>
      <c r="HM864" s="5" t="s">
        <v>264</v>
      </c>
    </row>
    <row r="865" spans="1:221" x14ac:dyDescent="0.4">
      <c r="A865" s="5">
        <v>2540</v>
      </c>
      <c r="B865" s="5">
        <v>1</v>
      </c>
      <c r="C865" s="5">
        <v>1</v>
      </c>
      <c r="D865" s="5" t="s">
        <v>2037</v>
      </c>
      <c r="E865" s="5" t="s">
        <v>271</v>
      </c>
      <c r="F865" s="5" t="s">
        <v>248</v>
      </c>
      <c r="G865" s="5" t="s">
        <v>1969</v>
      </c>
      <c r="H865" s="6" t="s">
        <v>3365</v>
      </c>
      <c r="I865" s="7">
        <f>793</f>
        <v>793</v>
      </c>
      <c r="J865" s="5" t="s">
        <v>262</v>
      </c>
      <c r="K865" s="8">
        <f>1</f>
        <v>1</v>
      </c>
      <c r="L865" s="6" t="s">
        <v>242</v>
      </c>
      <c r="M865" s="5" t="s">
        <v>267</v>
      </c>
      <c r="N865" s="5" t="s">
        <v>265</v>
      </c>
      <c r="O865" s="5" t="s">
        <v>238</v>
      </c>
      <c r="P865" s="5" t="s">
        <v>238</v>
      </c>
      <c r="Q865" s="5" t="s">
        <v>268</v>
      </c>
      <c r="R865" s="5" t="s">
        <v>270</v>
      </c>
      <c r="S865" s="5" t="s">
        <v>238</v>
      </c>
      <c r="V865" s="5" t="s">
        <v>238</v>
      </c>
      <c r="X865" s="6" t="s">
        <v>238</v>
      </c>
      <c r="AA865" s="6" t="s">
        <v>243</v>
      </c>
      <c r="AB865" s="5" t="s">
        <v>238</v>
      </c>
      <c r="AC865" s="5" t="s">
        <v>244</v>
      </c>
      <c r="AD865" s="5" t="s">
        <v>245</v>
      </c>
      <c r="AT865" s="5" t="s">
        <v>246</v>
      </c>
      <c r="AU865" s="5" t="s">
        <v>238</v>
      </c>
      <c r="AV865" s="5" t="s">
        <v>247</v>
      </c>
      <c r="AW865" s="5" t="s">
        <v>238</v>
      </c>
      <c r="AX865" s="5" t="s">
        <v>249</v>
      </c>
      <c r="AY865" s="5" t="s">
        <v>238</v>
      </c>
      <c r="BA865" s="5" t="s">
        <v>238</v>
      </c>
      <c r="BC865" s="5" t="s">
        <v>250</v>
      </c>
      <c r="BD865" s="6" t="s">
        <v>243</v>
      </c>
      <c r="BE865" s="5" t="s">
        <v>251</v>
      </c>
      <c r="BF865" s="5" t="s">
        <v>252</v>
      </c>
      <c r="BG865" s="5" t="s">
        <v>238</v>
      </c>
      <c r="BH865" s="7">
        <f>0</f>
        <v>0</v>
      </c>
      <c r="BI865" s="8">
        <f>0</f>
        <v>0</v>
      </c>
      <c r="BJ865" s="5" t="s">
        <v>253</v>
      </c>
      <c r="BK865" s="5" t="s">
        <v>254</v>
      </c>
      <c r="BY865" s="5" t="s">
        <v>238</v>
      </c>
      <c r="BZ865" s="5" t="s">
        <v>238</v>
      </c>
      <c r="CD865" s="5" t="s">
        <v>273</v>
      </c>
      <c r="CE865" s="5" t="s">
        <v>256</v>
      </c>
      <c r="CF865" s="5" t="s">
        <v>238</v>
      </c>
      <c r="CI865" s="6" t="s">
        <v>257</v>
      </c>
      <c r="CJ865" s="5" t="s">
        <v>238</v>
      </c>
      <c r="CK865" s="5" t="s">
        <v>258</v>
      </c>
      <c r="CL865" s="5" t="s">
        <v>238</v>
      </c>
      <c r="CM865" s="5" t="s">
        <v>238</v>
      </c>
      <c r="CN865" s="5">
        <v>0</v>
      </c>
      <c r="CO865" s="5" t="s">
        <v>259</v>
      </c>
      <c r="CP865" s="5" t="s">
        <v>260</v>
      </c>
      <c r="CQ865" s="5" t="s">
        <v>260</v>
      </c>
      <c r="CR865" s="5" t="s">
        <v>261</v>
      </c>
      <c r="CU865" s="8">
        <f>1</f>
        <v>1</v>
      </c>
      <c r="CV865" s="8">
        <f>0</f>
        <v>0</v>
      </c>
      <c r="CX865" s="8">
        <f>0</f>
        <v>0</v>
      </c>
      <c r="CY865" s="8">
        <f>1</f>
        <v>1</v>
      </c>
      <c r="DA865" s="5" t="s">
        <v>673</v>
      </c>
      <c r="DB865" s="5" t="s">
        <v>238</v>
      </c>
      <c r="DD865" s="5" t="s">
        <v>673</v>
      </c>
      <c r="DE865" s="8">
        <f>793</f>
        <v>793</v>
      </c>
      <c r="DG865" s="5" t="s">
        <v>238</v>
      </c>
      <c r="DH865" s="5" t="s">
        <v>238</v>
      </c>
      <c r="DI865" s="5" t="s">
        <v>238</v>
      </c>
      <c r="DJ865" s="5" t="s">
        <v>238</v>
      </c>
      <c r="DN865" s="5" t="s">
        <v>238</v>
      </c>
      <c r="DO865" s="5" t="s">
        <v>238</v>
      </c>
      <c r="DP865" s="5" t="s">
        <v>238</v>
      </c>
      <c r="DQ865" s="5" t="s">
        <v>238</v>
      </c>
      <c r="DT865" s="5" t="s">
        <v>2039</v>
      </c>
      <c r="DU865" s="5" t="s">
        <v>288</v>
      </c>
      <c r="HM865" s="5" t="s">
        <v>264</v>
      </c>
    </row>
    <row r="866" spans="1:221" x14ac:dyDescent="0.4">
      <c r="A866" s="5">
        <v>2541</v>
      </c>
      <c r="B866" s="5">
        <v>1</v>
      </c>
      <c r="C866" s="5">
        <v>1</v>
      </c>
      <c r="D866" s="5" t="s">
        <v>2037</v>
      </c>
      <c r="E866" s="5" t="s">
        <v>271</v>
      </c>
      <c r="F866" s="5" t="s">
        <v>248</v>
      </c>
      <c r="G866" s="5" t="s">
        <v>1969</v>
      </c>
      <c r="H866" s="6" t="s">
        <v>3364</v>
      </c>
      <c r="I866" s="7">
        <f>1714</f>
        <v>1714</v>
      </c>
      <c r="J866" s="5" t="s">
        <v>262</v>
      </c>
      <c r="K866" s="8">
        <f>1</f>
        <v>1</v>
      </c>
      <c r="L866" s="6" t="s">
        <v>242</v>
      </c>
      <c r="M866" s="5" t="s">
        <v>267</v>
      </c>
      <c r="N866" s="5" t="s">
        <v>265</v>
      </c>
      <c r="O866" s="5" t="s">
        <v>238</v>
      </c>
      <c r="P866" s="5" t="s">
        <v>238</v>
      </c>
      <c r="Q866" s="5" t="s">
        <v>268</v>
      </c>
      <c r="R866" s="5" t="s">
        <v>270</v>
      </c>
      <c r="S866" s="5" t="s">
        <v>238</v>
      </c>
      <c r="V866" s="5" t="s">
        <v>238</v>
      </c>
      <c r="X866" s="6" t="s">
        <v>238</v>
      </c>
      <c r="AA866" s="6" t="s">
        <v>243</v>
      </c>
      <c r="AB866" s="5" t="s">
        <v>238</v>
      </c>
      <c r="AC866" s="5" t="s">
        <v>244</v>
      </c>
      <c r="AD866" s="5" t="s">
        <v>245</v>
      </c>
      <c r="AT866" s="5" t="s">
        <v>246</v>
      </c>
      <c r="AU866" s="5" t="s">
        <v>238</v>
      </c>
      <c r="AV866" s="5" t="s">
        <v>247</v>
      </c>
      <c r="AW866" s="5" t="s">
        <v>238</v>
      </c>
      <c r="AX866" s="5" t="s">
        <v>249</v>
      </c>
      <c r="AY866" s="5" t="s">
        <v>238</v>
      </c>
      <c r="BA866" s="5" t="s">
        <v>238</v>
      </c>
      <c r="BC866" s="5" t="s">
        <v>250</v>
      </c>
      <c r="BD866" s="6" t="s">
        <v>243</v>
      </c>
      <c r="BE866" s="5" t="s">
        <v>251</v>
      </c>
      <c r="BF866" s="5" t="s">
        <v>252</v>
      </c>
      <c r="BG866" s="5" t="s">
        <v>238</v>
      </c>
      <c r="BH866" s="7">
        <f>0</f>
        <v>0</v>
      </c>
      <c r="BI866" s="8">
        <f>0</f>
        <v>0</v>
      </c>
      <c r="BJ866" s="5" t="s">
        <v>253</v>
      </c>
      <c r="BK866" s="5" t="s">
        <v>254</v>
      </c>
      <c r="BY866" s="5" t="s">
        <v>238</v>
      </c>
      <c r="BZ866" s="5" t="s">
        <v>238</v>
      </c>
      <c r="CD866" s="5" t="s">
        <v>273</v>
      </c>
      <c r="CE866" s="5" t="s">
        <v>256</v>
      </c>
      <c r="CF866" s="5" t="s">
        <v>238</v>
      </c>
      <c r="CI866" s="6" t="s">
        <v>257</v>
      </c>
      <c r="CJ866" s="5" t="s">
        <v>238</v>
      </c>
      <c r="CK866" s="5" t="s">
        <v>258</v>
      </c>
      <c r="CL866" s="5" t="s">
        <v>238</v>
      </c>
      <c r="CM866" s="5" t="s">
        <v>238</v>
      </c>
      <c r="CN866" s="5">
        <v>0</v>
      </c>
      <c r="CO866" s="5" t="s">
        <v>259</v>
      </c>
      <c r="CP866" s="5" t="s">
        <v>260</v>
      </c>
      <c r="CQ866" s="5" t="s">
        <v>260</v>
      </c>
      <c r="CR866" s="5" t="s">
        <v>261</v>
      </c>
      <c r="CU866" s="8">
        <f>1</f>
        <v>1</v>
      </c>
      <c r="CV866" s="8">
        <f>0</f>
        <v>0</v>
      </c>
      <c r="CX866" s="8">
        <f>0</f>
        <v>0</v>
      </c>
      <c r="CY866" s="8">
        <f>1</f>
        <v>1</v>
      </c>
      <c r="DA866" s="5" t="s">
        <v>673</v>
      </c>
      <c r="DB866" s="5" t="s">
        <v>238</v>
      </c>
      <c r="DD866" s="5" t="s">
        <v>673</v>
      </c>
      <c r="DE866" s="8">
        <f>1714</f>
        <v>1714</v>
      </c>
      <c r="DG866" s="5" t="s">
        <v>238</v>
      </c>
      <c r="DH866" s="5" t="s">
        <v>238</v>
      </c>
      <c r="DI866" s="5" t="s">
        <v>238</v>
      </c>
      <c r="DJ866" s="5" t="s">
        <v>238</v>
      </c>
      <c r="DN866" s="5" t="s">
        <v>238</v>
      </c>
      <c r="DO866" s="5" t="s">
        <v>238</v>
      </c>
      <c r="DP866" s="5" t="s">
        <v>238</v>
      </c>
      <c r="DQ866" s="5" t="s">
        <v>238</v>
      </c>
      <c r="DT866" s="5" t="s">
        <v>2039</v>
      </c>
      <c r="DU866" s="5" t="s">
        <v>292</v>
      </c>
      <c r="HM866" s="5" t="s">
        <v>264</v>
      </c>
    </row>
    <row r="867" spans="1:221" x14ac:dyDescent="0.4">
      <c r="A867" s="5">
        <v>2542</v>
      </c>
      <c r="B867" s="5">
        <v>1</v>
      </c>
      <c r="C867" s="5">
        <v>1</v>
      </c>
      <c r="D867" s="5" t="s">
        <v>2037</v>
      </c>
      <c r="E867" s="5" t="s">
        <v>271</v>
      </c>
      <c r="F867" s="5" t="s">
        <v>248</v>
      </c>
      <c r="G867" s="5" t="s">
        <v>1969</v>
      </c>
      <c r="H867" s="6" t="s">
        <v>3363</v>
      </c>
      <c r="I867" s="7">
        <f>740</f>
        <v>740</v>
      </c>
      <c r="J867" s="5" t="s">
        <v>262</v>
      </c>
      <c r="K867" s="8">
        <f>1</f>
        <v>1</v>
      </c>
      <c r="L867" s="6" t="s">
        <v>242</v>
      </c>
      <c r="M867" s="5" t="s">
        <v>267</v>
      </c>
      <c r="N867" s="5" t="s">
        <v>265</v>
      </c>
      <c r="O867" s="5" t="s">
        <v>238</v>
      </c>
      <c r="P867" s="5" t="s">
        <v>238</v>
      </c>
      <c r="Q867" s="5" t="s">
        <v>268</v>
      </c>
      <c r="R867" s="5" t="s">
        <v>270</v>
      </c>
      <c r="S867" s="5" t="s">
        <v>238</v>
      </c>
      <c r="V867" s="5" t="s">
        <v>238</v>
      </c>
      <c r="X867" s="6" t="s">
        <v>238</v>
      </c>
      <c r="AA867" s="6" t="s">
        <v>243</v>
      </c>
      <c r="AB867" s="5" t="s">
        <v>238</v>
      </c>
      <c r="AC867" s="5" t="s">
        <v>244</v>
      </c>
      <c r="AD867" s="5" t="s">
        <v>245</v>
      </c>
      <c r="AT867" s="5" t="s">
        <v>246</v>
      </c>
      <c r="AU867" s="5" t="s">
        <v>238</v>
      </c>
      <c r="AV867" s="5" t="s">
        <v>247</v>
      </c>
      <c r="AW867" s="5" t="s">
        <v>238</v>
      </c>
      <c r="AX867" s="5" t="s">
        <v>249</v>
      </c>
      <c r="AY867" s="5" t="s">
        <v>238</v>
      </c>
      <c r="BA867" s="5" t="s">
        <v>238</v>
      </c>
      <c r="BC867" s="5" t="s">
        <v>250</v>
      </c>
      <c r="BD867" s="6" t="s">
        <v>243</v>
      </c>
      <c r="BE867" s="5" t="s">
        <v>251</v>
      </c>
      <c r="BF867" s="5" t="s">
        <v>252</v>
      </c>
      <c r="BG867" s="5" t="s">
        <v>238</v>
      </c>
      <c r="BH867" s="7">
        <f>0</f>
        <v>0</v>
      </c>
      <c r="BI867" s="8">
        <f>0</f>
        <v>0</v>
      </c>
      <c r="BJ867" s="5" t="s">
        <v>253</v>
      </c>
      <c r="BK867" s="5" t="s">
        <v>254</v>
      </c>
      <c r="BY867" s="5" t="s">
        <v>238</v>
      </c>
      <c r="BZ867" s="5" t="s">
        <v>238</v>
      </c>
      <c r="CD867" s="5" t="s">
        <v>273</v>
      </c>
      <c r="CE867" s="5" t="s">
        <v>256</v>
      </c>
      <c r="CF867" s="5" t="s">
        <v>238</v>
      </c>
      <c r="CI867" s="6" t="s">
        <v>257</v>
      </c>
      <c r="CJ867" s="5" t="s">
        <v>238</v>
      </c>
      <c r="CK867" s="5" t="s">
        <v>258</v>
      </c>
      <c r="CL867" s="5" t="s">
        <v>238</v>
      </c>
      <c r="CM867" s="5" t="s">
        <v>238</v>
      </c>
      <c r="CN867" s="5">
        <v>0</v>
      </c>
      <c r="CO867" s="5" t="s">
        <v>259</v>
      </c>
      <c r="CP867" s="5" t="s">
        <v>260</v>
      </c>
      <c r="CQ867" s="5" t="s">
        <v>260</v>
      </c>
      <c r="CR867" s="5" t="s">
        <v>261</v>
      </c>
      <c r="CU867" s="8">
        <f>1</f>
        <v>1</v>
      </c>
      <c r="CV867" s="8">
        <f>0</f>
        <v>0</v>
      </c>
      <c r="CX867" s="8">
        <f>0</f>
        <v>0</v>
      </c>
      <c r="CY867" s="8">
        <f>1</f>
        <v>1</v>
      </c>
      <c r="DA867" s="5" t="s">
        <v>673</v>
      </c>
      <c r="DB867" s="5" t="s">
        <v>238</v>
      </c>
      <c r="DD867" s="5" t="s">
        <v>673</v>
      </c>
      <c r="DE867" s="8">
        <f>740</f>
        <v>740</v>
      </c>
      <c r="DG867" s="5" t="s">
        <v>238</v>
      </c>
      <c r="DH867" s="5" t="s">
        <v>238</v>
      </c>
      <c r="DI867" s="5" t="s">
        <v>238</v>
      </c>
      <c r="DJ867" s="5" t="s">
        <v>238</v>
      </c>
      <c r="DN867" s="5" t="s">
        <v>238</v>
      </c>
      <c r="DO867" s="5" t="s">
        <v>238</v>
      </c>
      <c r="DP867" s="5" t="s">
        <v>238</v>
      </c>
      <c r="DQ867" s="5" t="s">
        <v>238</v>
      </c>
      <c r="DT867" s="5" t="s">
        <v>2039</v>
      </c>
      <c r="DU867" s="5" t="s">
        <v>298</v>
      </c>
      <c r="HM867" s="5" t="s">
        <v>264</v>
      </c>
    </row>
    <row r="868" spans="1:221" x14ac:dyDescent="0.4">
      <c r="A868" s="5">
        <v>2543</v>
      </c>
      <c r="B868" s="5">
        <v>1</v>
      </c>
      <c r="C868" s="5">
        <v>1</v>
      </c>
      <c r="D868" s="5" t="s">
        <v>2037</v>
      </c>
      <c r="E868" s="5" t="s">
        <v>271</v>
      </c>
      <c r="F868" s="5" t="s">
        <v>248</v>
      </c>
      <c r="G868" s="5" t="s">
        <v>1969</v>
      </c>
      <c r="H868" s="6" t="s">
        <v>3362</v>
      </c>
      <c r="I868" s="7">
        <f>2923</f>
        <v>2923</v>
      </c>
      <c r="J868" s="5" t="s">
        <v>262</v>
      </c>
      <c r="K868" s="8">
        <f>1</f>
        <v>1</v>
      </c>
      <c r="L868" s="6" t="s">
        <v>242</v>
      </c>
      <c r="M868" s="5" t="s">
        <v>267</v>
      </c>
      <c r="N868" s="5" t="s">
        <v>265</v>
      </c>
      <c r="O868" s="5" t="s">
        <v>238</v>
      </c>
      <c r="P868" s="5" t="s">
        <v>238</v>
      </c>
      <c r="Q868" s="5" t="s">
        <v>268</v>
      </c>
      <c r="R868" s="5" t="s">
        <v>270</v>
      </c>
      <c r="S868" s="5" t="s">
        <v>238</v>
      </c>
      <c r="V868" s="5" t="s">
        <v>238</v>
      </c>
      <c r="X868" s="6" t="s">
        <v>238</v>
      </c>
      <c r="AA868" s="6" t="s">
        <v>243</v>
      </c>
      <c r="AB868" s="5" t="s">
        <v>238</v>
      </c>
      <c r="AC868" s="5" t="s">
        <v>244</v>
      </c>
      <c r="AD868" s="5" t="s">
        <v>245</v>
      </c>
      <c r="AT868" s="5" t="s">
        <v>246</v>
      </c>
      <c r="AU868" s="5" t="s">
        <v>238</v>
      </c>
      <c r="AV868" s="5" t="s">
        <v>247</v>
      </c>
      <c r="AW868" s="5" t="s">
        <v>238</v>
      </c>
      <c r="AX868" s="5" t="s">
        <v>249</v>
      </c>
      <c r="AY868" s="5" t="s">
        <v>238</v>
      </c>
      <c r="BA868" s="5" t="s">
        <v>238</v>
      </c>
      <c r="BC868" s="5" t="s">
        <v>250</v>
      </c>
      <c r="BD868" s="6" t="s">
        <v>243</v>
      </c>
      <c r="BE868" s="5" t="s">
        <v>251</v>
      </c>
      <c r="BF868" s="5" t="s">
        <v>252</v>
      </c>
      <c r="BG868" s="5" t="s">
        <v>238</v>
      </c>
      <c r="BH868" s="7">
        <f>0</f>
        <v>0</v>
      </c>
      <c r="BI868" s="8">
        <f>0</f>
        <v>0</v>
      </c>
      <c r="BJ868" s="5" t="s">
        <v>253</v>
      </c>
      <c r="BK868" s="5" t="s">
        <v>254</v>
      </c>
      <c r="BY868" s="5" t="s">
        <v>238</v>
      </c>
      <c r="BZ868" s="5" t="s">
        <v>238</v>
      </c>
      <c r="CD868" s="5" t="s">
        <v>273</v>
      </c>
      <c r="CE868" s="5" t="s">
        <v>256</v>
      </c>
      <c r="CF868" s="5" t="s">
        <v>238</v>
      </c>
      <c r="CI868" s="6" t="s">
        <v>257</v>
      </c>
      <c r="CJ868" s="5" t="s">
        <v>238</v>
      </c>
      <c r="CK868" s="5" t="s">
        <v>258</v>
      </c>
      <c r="CL868" s="5" t="s">
        <v>238</v>
      </c>
      <c r="CM868" s="5" t="s">
        <v>238</v>
      </c>
      <c r="CN868" s="5">
        <v>0</v>
      </c>
      <c r="CO868" s="5" t="s">
        <v>259</v>
      </c>
      <c r="CP868" s="5" t="s">
        <v>260</v>
      </c>
      <c r="CQ868" s="5" t="s">
        <v>260</v>
      </c>
      <c r="CR868" s="5" t="s">
        <v>261</v>
      </c>
      <c r="CU868" s="8">
        <f>1</f>
        <v>1</v>
      </c>
      <c r="CV868" s="8">
        <f>0</f>
        <v>0</v>
      </c>
      <c r="CX868" s="8">
        <f>0</f>
        <v>0</v>
      </c>
      <c r="CY868" s="8">
        <f>1</f>
        <v>1</v>
      </c>
      <c r="DA868" s="5" t="s">
        <v>673</v>
      </c>
      <c r="DB868" s="5" t="s">
        <v>238</v>
      </c>
      <c r="DD868" s="5" t="s">
        <v>673</v>
      </c>
      <c r="DE868" s="8">
        <f>2923</f>
        <v>2923</v>
      </c>
      <c r="DG868" s="5" t="s">
        <v>238</v>
      </c>
      <c r="DH868" s="5" t="s">
        <v>238</v>
      </c>
      <c r="DI868" s="5" t="s">
        <v>238</v>
      </c>
      <c r="DJ868" s="5" t="s">
        <v>238</v>
      </c>
      <c r="DN868" s="5" t="s">
        <v>238</v>
      </c>
      <c r="DO868" s="5" t="s">
        <v>238</v>
      </c>
      <c r="DP868" s="5" t="s">
        <v>238</v>
      </c>
      <c r="DQ868" s="5" t="s">
        <v>238</v>
      </c>
      <c r="DT868" s="5" t="s">
        <v>2039</v>
      </c>
      <c r="DU868" s="5" t="s">
        <v>300</v>
      </c>
      <c r="HM868" s="5" t="s">
        <v>264</v>
      </c>
    </row>
    <row r="869" spans="1:221" x14ac:dyDescent="0.4">
      <c r="A869" s="5">
        <v>2544</v>
      </c>
      <c r="B869" s="5">
        <v>1</v>
      </c>
      <c r="C869" s="5">
        <v>1</v>
      </c>
      <c r="D869" s="5" t="s">
        <v>2037</v>
      </c>
      <c r="E869" s="5" t="s">
        <v>271</v>
      </c>
      <c r="F869" s="5" t="s">
        <v>248</v>
      </c>
      <c r="G869" s="5" t="s">
        <v>1969</v>
      </c>
      <c r="H869" s="6" t="s">
        <v>3361</v>
      </c>
      <c r="I869" s="7">
        <f>633</f>
        <v>633</v>
      </c>
      <c r="J869" s="5" t="s">
        <v>262</v>
      </c>
      <c r="K869" s="8">
        <f>1</f>
        <v>1</v>
      </c>
      <c r="L869" s="6" t="s">
        <v>242</v>
      </c>
      <c r="M869" s="5" t="s">
        <v>267</v>
      </c>
      <c r="N869" s="5" t="s">
        <v>265</v>
      </c>
      <c r="O869" s="5" t="s">
        <v>238</v>
      </c>
      <c r="P869" s="5" t="s">
        <v>238</v>
      </c>
      <c r="Q869" s="5" t="s">
        <v>268</v>
      </c>
      <c r="R869" s="5" t="s">
        <v>270</v>
      </c>
      <c r="S869" s="5" t="s">
        <v>238</v>
      </c>
      <c r="V869" s="5" t="s">
        <v>238</v>
      </c>
      <c r="X869" s="6" t="s">
        <v>238</v>
      </c>
      <c r="AA869" s="6" t="s">
        <v>243</v>
      </c>
      <c r="AB869" s="5" t="s">
        <v>238</v>
      </c>
      <c r="AC869" s="5" t="s">
        <v>244</v>
      </c>
      <c r="AD869" s="5" t="s">
        <v>245</v>
      </c>
      <c r="AT869" s="5" t="s">
        <v>246</v>
      </c>
      <c r="AU869" s="5" t="s">
        <v>238</v>
      </c>
      <c r="AV869" s="5" t="s">
        <v>247</v>
      </c>
      <c r="AW869" s="5" t="s">
        <v>238</v>
      </c>
      <c r="AX869" s="5" t="s">
        <v>249</v>
      </c>
      <c r="AY869" s="5" t="s">
        <v>238</v>
      </c>
      <c r="BA869" s="5" t="s">
        <v>238</v>
      </c>
      <c r="BC869" s="5" t="s">
        <v>250</v>
      </c>
      <c r="BD869" s="6" t="s">
        <v>243</v>
      </c>
      <c r="BE869" s="5" t="s">
        <v>251</v>
      </c>
      <c r="BF869" s="5" t="s">
        <v>252</v>
      </c>
      <c r="BG869" s="5" t="s">
        <v>238</v>
      </c>
      <c r="BH869" s="7">
        <f>0</f>
        <v>0</v>
      </c>
      <c r="BI869" s="8">
        <f>0</f>
        <v>0</v>
      </c>
      <c r="BJ869" s="5" t="s">
        <v>253</v>
      </c>
      <c r="BK869" s="5" t="s">
        <v>254</v>
      </c>
      <c r="BY869" s="5" t="s">
        <v>238</v>
      </c>
      <c r="BZ869" s="5" t="s">
        <v>238</v>
      </c>
      <c r="CD869" s="5" t="s">
        <v>273</v>
      </c>
      <c r="CE869" s="5" t="s">
        <v>256</v>
      </c>
      <c r="CF869" s="5" t="s">
        <v>238</v>
      </c>
      <c r="CI869" s="6" t="s">
        <v>257</v>
      </c>
      <c r="CJ869" s="5" t="s">
        <v>238</v>
      </c>
      <c r="CK869" s="5" t="s">
        <v>258</v>
      </c>
      <c r="CL869" s="5" t="s">
        <v>238</v>
      </c>
      <c r="CM869" s="5" t="s">
        <v>238</v>
      </c>
      <c r="CN869" s="5">
        <v>0</v>
      </c>
      <c r="CO869" s="5" t="s">
        <v>259</v>
      </c>
      <c r="CP869" s="5" t="s">
        <v>260</v>
      </c>
      <c r="CQ869" s="5" t="s">
        <v>260</v>
      </c>
      <c r="CR869" s="5" t="s">
        <v>261</v>
      </c>
      <c r="CU869" s="8">
        <f>1</f>
        <v>1</v>
      </c>
      <c r="CV869" s="8">
        <f>0</f>
        <v>0</v>
      </c>
      <c r="CX869" s="8">
        <f>0</f>
        <v>0</v>
      </c>
      <c r="CY869" s="8">
        <f>1</f>
        <v>1</v>
      </c>
      <c r="DA869" s="5" t="s">
        <v>673</v>
      </c>
      <c r="DB869" s="5" t="s">
        <v>238</v>
      </c>
      <c r="DD869" s="5" t="s">
        <v>673</v>
      </c>
      <c r="DE869" s="8">
        <f>633</f>
        <v>633</v>
      </c>
      <c r="DG869" s="5" t="s">
        <v>238</v>
      </c>
      <c r="DH869" s="5" t="s">
        <v>238</v>
      </c>
      <c r="DI869" s="5" t="s">
        <v>238</v>
      </c>
      <c r="DJ869" s="5" t="s">
        <v>238</v>
      </c>
      <c r="DN869" s="5" t="s">
        <v>238</v>
      </c>
      <c r="DO869" s="5" t="s">
        <v>238</v>
      </c>
      <c r="DP869" s="5" t="s">
        <v>238</v>
      </c>
      <c r="DQ869" s="5" t="s">
        <v>238</v>
      </c>
      <c r="DT869" s="5" t="s">
        <v>2039</v>
      </c>
      <c r="DU869" s="5" t="s">
        <v>304</v>
      </c>
      <c r="HM869" s="5" t="s">
        <v>264</v>
      </c>
    </row>
    <row r="870" spans="1:221" x14ac:dyDescent="0.4">
      <c r="A870" s="5">
        <v>2545</v>
      </c>
      <c r="B870" s="5">
        <v>1</v>
      </c>
      <c r="C870" s="5">
        <v>1</v>
      </c>
      <c r="D870" s="5" t="s">
        <v>2037</v>
      </c>
      <c r="E870" s="5" t="s">
        <v>271</v>
      </c>
      <c r="F870" s="5" t="s">
        <v>248</v>
      </c>
      <c r="G870" s="5" t="s">
        <v>1969</v>
      </c>
      <c r="H870" s="6" t="s">
        <v>2983</v>
      </c>
      <c r="I870" s="7">
        <f>467</f>
        <v>467</v>
      </c>
      <c r="J870" s="5" t="s">
        <v>262</v>
      </c>
      <c r="K870" s="8">
        <f>1</f>
        <v>1</v>
      </c>
      <c r="L870" s="6" t="s">
        <v>242</v>
      </c>
      <c r="M870" s="5" t="s">
        <v>267</v>
      </c>
      <c r="N870" s="5" t="s">
        <v>265</v>
      </c>
      <c r="O870" s="5" t="s">
        <v>238</v>
      </c>
      <c r="P870" s="5" t="s">
        <v>238</v>
      </c>
      <c r="Q870" s="5" t="s">
        <v>268</v>
      </c>
      <c r="R870" s="5" t="s">
        <v>270</v>
      </c>
      <c r="S870" s="5" t="s">
        <v>238</v>
      </c>
      <c r="V870" s="5" t="s">
        <v>238</v>
      </c>
      <c r="X870" s="6" t="s">
        <v>238</v>
      </c>
      <c r="AA870" s="6" t="s">
        <v>243</v>
      </c>
      <c r="AB870" s="5" t="s">
        <v>238</v>
      </c>
      <c r="AC870" s="5" t="s">
        <v>244</v>
      </c>
      <c r="AD870" s="5" t="s">
        <v>245</v>
      </c>
      <c r="AT870" s="5" t="s">
        <v>246</v>
      </c>
      <c r="AU870" s="5" t="s">
        <v>238</v>
      </c>
      <c r="AV870" s="5" t="s">
        <v>247</v>
      </c>
      <c r="AW870" s="5" t="s">
        <v>238</v>
      </c>
      <c r="AX870" s="5" t="s">
        <v>249</v>
      </c>
      <c r="AY870" s="5" t="s">
        <v>238</v>
      </c>
      <c r="BA870" s="5" t="s">
        <v>238</v>
      </c>
      <c r="BC870" s="5" t="s">
        <v>250</v>
      </c>
      <c r="BD870" s="6" t="s">
        <v>243</v>
      </c>
      <c r="BE870" s="5" t="s">
        <v>251</v>
      </c>
      <c r="BF870" s="5" t="s">
        <v>252</v>
      </c>
      <c r="BG870" s="5" t="s">
        <v>238</v>
      </c>
      <c r="BH870" s="7">
        <f>0</f>
        <v>0</v>
      </c>
      <c r="BI870" s="8">
        <f>0</f>
        <v>0</v>
      </c>
      <c r="BJ870" s="5" t="s">
        <v>253</v>
      </c>
      <c r="BK870" s="5" t="s">
        <v>254</v>
      </c>
      <c r="BY870" s="5" t="s">
        <v>238</v>
      </c>
      <c r="BZ870" s="5" t="s">
        <v>238</v>
      </c>
      <c r="CD870" s="5" t="s">
        <v>273</v>
      </c>
      <c r="CE870" s="5" t="s">
        <v>256</v>
      </c>
      <c r="CF870" s="5" t="s">
        <v>238</v>
      </c>
      <c r="CI870" s="6" t="s">
        <v>257</v>
      </c>
      <c r="CJ870" s="5" t="s">
        <v>238</v>
      </c>
      <c r="CK870" s="5" t="s">
        <v>258</v>
      </c>
      <c r="CL870" s="5" t="s">
        <v>238</v>
      </c>
      <c r="CM870" s="5" t="s">
        <v>238</v>
      </c>
      <c r="CN870" s="5">
        <v>0</v>
      </c>
      <c r="CO870" s="5" t="s">
        <v>259</v>
      </c>
      <c r="CP870" s="5" t="s">
        <v>260</v>
      </c>
      <c r="CQ870" s="5" t="s">
        <v>260</v>
      </c>
      <c r="CR870" s="5" t="s">
        <v>261</v>
      </c>
      <c r="CU870" s="8">
        <f>1</f>
        <v>1</v>
      </c>
      <c r="CV870" s="8">
        <f>0</f>
        <v>0</v>
      </c>
      <c r="CX870" s="8">
        <f>0</f>
        <v>0</v>
      </c>
      <c r="CY870" s="8">
        <f>1</f>
        <v>1</v>
      </c>
      <c r="DA870" s="5" t="s">
        <v>673</v>
      </c>
      <c r="DB870" s="5" t="s">
        <v>238</v>
      </c>
      <c r="DD870" s="5" t="s">
        <v>673</v>
      </c>
      <c r="DE870" s="8">
        <f>467</f>
        <v>467</v>
      </c>
      <c r="DG870" s="5" t="s">
        <v>238</v>
      </c>
      <c r="DH870" s="5" t="s">
        <v>238</v>
      </c>
      <c r="DI870" s="5" t="s">
        <v>238</v>
      </c>
      <c r="DJ870" s="5" t="s">
        <v>238</v>
      </c>
      <c r="DN870" s="5" t="s">
        <v>238</v>
      </c>
      <c r="DO870" s="5" t="s">
        <v>238</v>
      </c>
      <c r="DP870" s="5" t="s">
        <v>238</v>
      </c>
      <c r="DQ870" s="5" t="s">
        <v>238</v>
      </c>
      <c r="DT870" s="5" t="s">
        <v>2039</v>
      </c>
      <c r="DU870" s="5" t="s">
        <v>308</v>
      </c>
      <c r="HM870" s="5" t="s">
        <v>264</v>
      </c>
    </row>
    <row r="871" spans="1:221" x14ac:dyDescent="0.4">
      <c r="A871" s="5">
        <v>2546</v>
      </c>
      <c r="B871" s="5">
        <v>1</v>
      </c>
      <c r="C871" s="5">
        <v>1</v>
      </c>
      <c r="D871" s="5" t="s">
        <v>2037</v>
      </c>
      <c r="E871" s="5" t="s">
        <v>271</v>
      </c>
      <c r="F871" s="5" t="s">
        <v>248</v>
      </c>
      <c r="G871" s="5" t="s">
        <v>1969</v>
      </c>
      <c r="H871" s="6" t="s">
        <v>3360</v>
      </c>
      <c r="I871" s="7">
        <f>5164</f>
        <v>5164</v>
      </c>
      <c r="J871" s="5" t="s">
        <v>262</v>
      </c>
      <c r="K871" s="8">
        <f>1</f>
        <v>1</v>
      </c>
      <c r="L871" s="6" t="s">
        <v>242</v>
      </c>
      <c r="M871" s="5" t="s">
        <v>267</v>
      </c>
      <c r="N871" s="5" t="s">
        <v>265</v>
      </c>
      <c r="O871" s="5" t="s">
        <v>238</v>
      </c>
      <c r="P871" s="5" t="s">
        <v>238</v>
      </c>
      <c r="Q871" s="5" t="s">
        <v>268</v>
      </c>
      <c r="R871" s="5" t="s">
        <v>270</v>
      </c>
      <c r="S871" s="5" t="s">
        <v>238</v>
      </c>
      <c r="V871" s="5" t="s">
        <v>238</v>
      </c>
      <c r="X871" s="6" t="s">
        <v>238</v>
      </c>
      <c r="AA871" s="6" t="s">
        <v>243</v>
      </c>
      <c r="AB871" s="5" t="s">
        <v>238</v>
      </c>
      <c r="AC871" s="5" t="s">
        <v>244</v>
      </c>
      <c r="AD871" s="5" t="s">
        <v>245</v>
      </c>
      <c r="AT871" s="5" t="s">
        <v>246</v>
      </c>
      <c r="AU871" s="5" t="s">
        <v>238</v>
      </c>
      <c r="AV871" s="5" t="s">
        <v>247</v>
      </c>
      <c r="AW871" s="5" t="s">
        <v>238</v>
      </c>
      <c r="AX871" s="5" t="s">
        <v>249</v>
      </c>
      <c r="AY871" s="5" t="s">
        <v>238</v>
      </c>
      <c r="BA871" s="5" t="s">
        <v>238</v>
      </c>
      <c r="BC871" s="5" t="s">
        <v>250</v>
      </c>
      <c r="BD871" s="6" t="s">
        <v>243</v>
      </c>
      <c r="BE871" s="5" t="s">
        <v>251</v>
      </c>
      <c r="BF871" s="5" t="s">
        <v>252</v>
      </c>
      <c r="BG871" s="5" t="s">
        <v>238</v>
      </c>
      <c r="BH871" s="7">
        <f>0</f>
        <v>0</v>
      </c>
      <c r="BI871" s="8">
        <f>0</f>
        <v>0</v>
      </c>
      <c r="BJ871" s="5" t="s">
        <v>253</v>
      </c>
      <c r="BK871" s="5" t="s">
        <v>254</v>
      </c>
      <c r="BY871" s="5" t="s">
        <v>238</v>
      </c>
      <c r="BZ871" s="5" t="s">
        <v>238</v>
      </c>
      <c r="CD871" s="5" t="s">
        <v>273</v>
      </c>
      <c r="CE871" s="5" t="s">
        <v>256</v>
      </c>
      <c r="CF871" s="5" t="s">
        <v>238</v>
      </c>
      <c r="CI871" s="6" t="s">
        <v>257</v>
      </c>
      <c r="CJ871" s="5" t="s">
        <v>238</v>
      </c>
      <c r="CK871" s="5" t="s">
        <v>258</v>
      </c>
      <c r="CL871" s="5" t="s">
        <v>238</v>
      </c>
      <c r="CM871" s="5" t="s">
        <v>238</v>
      </c>
      <c r="CN871" s="5">
        <v>0</v>
      </c>
      <c r="CO871" s="5" t="s">
        <v>259</v>
      </c>
      <c r="CP871" s="5" t="s">
        <v>260</v>
      </c>
      <c r="CQ871" s="5" t="s">
        <v>260</v>
      </c>
      <c r="CR871" s="5" t="s">
        <v>261</v>
      </c>
      <c r="CU871" s="8">
        <f>1</f>
        <v>1</v>
      </c>
      <c r="CV871" s="8">
        <f>0</f>
        <v>0</v>
      </c>
      <c r="CX871" s="8">
        <f>0</f>
        <v>0</v>
      </c>
      <c r="CY871" s="8">
        <f>1</f>
        <v>1</v>
      </c>
      <c r="DA871" s="5" t="s">
        <v>673</v>
      </c>
      <c r="DB871" s="5" t="s">
        <v>238</v>
      </c>
      <c r="DD871" s="5" t="s">
        <v>673</v>
      </c>
      <c r="DE871" s="8">
        <f>5164</f>
        <v>5164</v>
      </c>
      <c r="DG871" s="5" t="s">
        <v>238</v>
      </c>
      <c r="DH871" s="5" t="s">
        <v>238</v>
      </c>
      <c r="DI871" s="5" t="s">
        <v>238</v>
      </c>
      <c r="DJ871" s="5" t="s">
        <v>238</v>
      </c>
      <c r="DN871" s="5" t="s">
        <v>238</v>
      </c>
      <c r="DO871" s="5" t="s">
        <v>238</v>
      </c>
      <c r="DP871" s="5" t="s">
        <v>238</v>
      </c>
      <c r="DQ871" s="5" t="s">
        <v>238</v>
      </c>
      <c r="DT871" s="5" t="s">
        <v>2039</v>
      </c>
      <c r="DU871" s="5" t="s">
        <v>312</v>
      </c>
      <c r="HM871" s="5" t="s">
        <v>264</v>
      </c>
    </row>
    <row r="872" spans="1:221" x14ac:dyDescent="0.4">
      <c r="A872" s="5">
        <v>2547</v>
      </c>
      <c r="B872" s="5">
        <v>1</v>
      </c>
      <c r="C872" s="5">
        <v>1</v>
      </c>
      <c r="D872" s="5" t="s">
        <v>2037</v>
      </c>
      <c r="E872" s="5" t="s">
        <v>271</v>
      </c>
      <c r="F872" s="5" t="s">
        <v>248</v>
      </c>
      <c r="G872" s="5" t="s">
        <v>1969</v>
      </c>
      <c r="H872" s="6" t="s">
        <v>3359</v>
      </c>
      <c r="I872" s="7">
        <f>3926</f>
        <v>3926</v>
      </c>
      <c r="J872" s="5" t="s">
        <v>262</v>
      </c>
      <c r="K872" s="8">
        <f>1</f>
        <v>1</v>
      </c>
      <c r="L872" s="6" t="s">
        <v>242</v>
      </c>
      <c r="M872" s="5" t="s">
        <v>267</v>
      </c>
      <c r="N872" s="5" t="s">
        <v>265</v>
      </c>
      <c r="O872" s="5" t="s">
        <v>238</v>
      </c>
      <c r="P872" s="5" t="s">
        <v>238</v>
      </c>
      <c r="Q872" s="5" t="s">
        <v>268</v>
      </c>
      <c r="R872" s="5" t="s">
        <v>270</v>
      </c>
      <c r="S872" s="5" t="s">
        <v>238</v>
      </c>
      <c r="V872" s="5" t="s">
        <v>238</v>
      </c>
      <c r="X872" s="6" t="s">
        <v>238</v>
      </c>
      <c r="AA872" s="6" t="s">
        <v>243</v>
      </c>
      <c r="AB872" s="5" t="s">
        <v>238</v>
      </c>
      <c r="AC872" s="5" t="s">
        <v>244</v>
      </c>
      <c r="AD872" s="5" t="s">
        <v>245</v>
      </c>
      <c r="AT872" s="5" t="s">
        <v>246</v>
      </c>
      <c r="AU872" s="5" t="s">
        <v>238</v>
      </c>
      <c r="AV872" s="5" t="s">
        <v>247</v>
      </c>
      <c r="AW872" s="5" t="s">
        <v>238</v>
      </c>
      <c r="AX872" s="5" t="s">
        <v>249</v>
      </c>
      <c r="AY872" s="5" t="s">
        <v>238</v>
      </c>
      <c r="BA872" s="5" t="s">
        <v>238</v>
      </c>
      <c r="BC872" s="5" t="s">
        <v>250</v>
      </c>
      <c r="BD872" s="6" t="s">
        <v>243</v>
      </c>
      <c r="BE872" s="5" t="s">
        <v>251</v>
      </c>
      <c r="BF872" s="5" t="s">
        <v>252</v>
      </c>
      <c r="BG872" s="5" t="s">
        <v>238</v>
      </c>
      <c r="BH872" s="7">
        <f>0</f>
        <v>0</v>
      </c>
      <c r="BI872" s="8">
        <f>0</f>
        <v>0</v>
      </c>
      <c r="BJ872" s="5" t="s">
        <v>253</v>
      </c>
      <c r="BK872" s="5" t="s">
        <v>254</v>
      </c>
      <c r="BY872" s="5" t="s">
        <v>238</v>
      </c>
      <c r="BZ872" s="5" t="s">
        <v>238</v>
      </c>
      <c r="CD872" s="5" t="s">
        <v>273</v>
      </c>
      <c r="CE872" s="5" t="s">
        <v>256</v>
      </c>
      <c r="CF872" s="5" t="s">
        <v>238</v>
      </c>
      <c r="CI872" s="6" t="s">
        <v>257</v>
      </c>
      <c r="CJ872" s="5" t="s">
        <v>238</v>
      </c>
      <c r="CK872" s="5" t="s">
        <v>258</v>
      </c>
      <c r="CL872" s="5" t="s">
        <v>238</v>
      </c>
      <c r="CM872" s="5" t="s">
        <v>238</v>
      </c>
      <c r="CN872" s="5">
        <v>0</v>
      </c>
      <c r="CO872" s="5" t="s">
        <v>259</v>
      </c>
      <c r="CP872" s="5" t="s">
        <v>260</v>
      </c>
      <c r="CQ872" s="5" t="s">
        <v>260</v>
      </c>
      <c r="CR872" s="5" t="s">
        <v>261</v>
      </c>
      <c r="CU872" s="8">
        <f>1</f>
        <v>1</v>
      </c>
      <c r="CV872" s="8">
        <f>0</f>
        <v>0</v>
      </c>
      <c r="CX872" s="8">
        <f>0</f>
        <v>0</v>
      </c>
      <c r="CY872" s="8">
        <f>1</f>
        <v>1</v>
      </c>
      <c r="DA872" s="5" t="s">
        <v>673</v>
      </c>
      <c r="DB872" s="5" t="s">
        <v>238</v>
      </c>
      <c r="DD872" s="5" t="s">
        <v>673</v>
      </c>
      <c r="DE872" s="8">
        <f>3926</f>
        <v>3926</v>
      </c>
      <c r="DG872" s="5" t="s">
        <v>238</v>
      </c>
      <c r="DH872" s="5" t="s">
        <v>238</v>
      </c>
      <c r="DI872" s="5" t="s">
        <v>238</v>
      </c>
      <c r="DJ872" s="5" t="s">
        <v>238</v>
      </c>
      <c r="DN872" s="5" t="s">
        <v>238</v>
      </c>
      <c r="DO872" s="5" t="s">
        <v>238</v>
      </c>
      <c r="DP872" s="5" t="s">
        <v>238</v>
      </c>
      <c r="DQ872" s="5" t="s">
        <v>238</v>
      </c>
      <c r="DT872" s="5" t="s">
        <v>2039</v>
      </c>
      <c r="DU872" s="5" t="s">
        <v>314</v>
      </c>
      <c r="HM872" s="5" t="s">
        <v>264</v>
      </c>
    </row>
    <row r="873" spans="1:221" x14ac:dyDescent="0.4">
      <c r="A873" s="5">
        <v>2548</v>
      </c>
      <c r="B873" s="5">
        <v>1</v>
      </c>
      <c r="C873" s="5">
        <v>1</v>
      </c>
      <c r="D873" s="5" t="s">
        <v>2037</v>
      </c>
      <c r="E873" s="5" t="s">
        <v>271</v>
      </c>
      <c r="F873" s="5" t="s">
        <v>248</v>
      </c>
      <c r="G873" s="5" t="s">
        <v>1969</v>
      </c>
      <c r="H873" s="6" t="s">
        <v>3358</v>
      </c>
      <c r="I873" s="7">
        <f>2428</f>
        <v>2428</v>
      </c>
      <c r="J873" s="5" t="s">
        <v>262</v>
      </c>
      <c r="K873" s="8">
        <f>1</f>
        <v>1</v>
      </c>
      <c r="L873" s="6" t="s">
        <v>242</v>
      </c>
      <c r="M873" s="5" t="s">
        <v>267</v>
      </c>
      <c r="N873" s="5" t="s">
        <v>265</v>
      </c>
      <c r="O873" s="5" t="s">
        <v>238</v>
      </c>
      <c r="P873" s="5" t="s">
        <v>238</v>
      </c>
      <c r="Q873" s="5" t="s">
        <v>268</v>
      </c>
      <c r="R873" s="5" t="s">
        <v>270</v>
      </c>
      <c r="S873" s="5" t="s">
        <v>238</v>
      </c>
      <c r="V873" s="5" t="s">
        <v>238</v>
      </c>
      <c r="X873" s="6" t="s">
        <v>238</v>
      </c>
      <c r="AA873" s="6" t="s">
        <v>243</v>
      </c>
      <c r="AB873" s="5" t="s">
        <v>238</v>
      </c>
      <c r="AC873" s="5" t="s">
        <v>244</v>
      </c>
      <c r="AD873" s="5" t="s">
        <v>245</v>
      </c>
      <c r="AT873" s="5" t="s">
        <v>246</v>
      </c>
      <c r="AU873" s="5" t="s">
        <v>238</v>
      </c>
      <c r="AV873" s="5" t="s">
        <v>247</v>
      </c>
      <c r="AW873" s="5" t="s">
        <v>238</v>
      </c>
      <c r="AX873" s="5" t="s">
        <v>249</v>
      </c>
      <c r="AY873" s="5" t="s">
        <v>238</v>
      </c>
      <c r="BA873" s="5" t="s">
        <v>238</v>
      </c>
      <c r="BC873" s="5" t="s">
        <v>250</v>
      </c>
      <c r="BD873" s="6" t="s">
        <v>243</v>
      </c>
      <c r="BE873" s="5" t="s">
        <v>251</v>
      </c>
      <c r="BF873" s="5" t="s">
        <v>252</v>
      </c>
      <c r="BG873" s="5" t="s">
        <v>238</v>
      </c>
      <c r="BH873" s="7">
        <f>0</f>
        <v>0</v>
      </c>
      <c r="BI873" s="8">
        <f>0</f>
        <v>0</v>
      </c>
      <c r="BJ873" s="5" t="s">
        <v>253</v>
      </c>
      <c r="BK873" s="5" t="s">
        <v>254</v>
      </c>
      <c r="BY873" s="5" t="s">
        <v>238</v>
      </c>
      <c r="BZ873" s="5" t="s">
        <v>238</v>
      </c>
      <c r="CD873" s="5" t="s">
        <v>273</v>
      </c>
      <c r="CE873" s="5" t="s">
        <v>256</v>
      </c>
      <c r="CF873" s="5" t="s">
        <v>238</v>
      </c>
      <c r="CI873" s="6" t="s">
        <v>257</v>
      </c>
      <c r="CJ873" s="5" t="s">
        <v>238</v>
      </c>
      <c r="CK873" s="5" t="s">
        <v>258</v>
      </c>
      <c r="CL873" s="5" t="s">
        <v>238</v>
      </c>
      <c r="CM873" s="5" t="s">
        <v>238</v>
      </c>
      <c r="CN873" s="5">
        <v>0</v>
      </c>
      <c r="CO873" s="5" t="s">
        <v>259</v>
      </c>
      <c r="CP873" s="5" t="s">
        <v>260</v>
      </c>
      <c r="CQ873" s="5" t="s">
        <v>260</v>
      </c>
      <c r="CR873" s="5" t="s">
        <v>261</v>
      </c>
      <c r="CU873" s="8">
        <f>1</f>
        <v>1</v>
      </c>
      <c r="CV873" s="8">
        <f>0</f>
        <v>0</v>
      </c>
      <c r="CX873" s="8">
        <f>0</f>
        <v>0</v>
      </c>
      <c r="CY873" s="8">
        <f>1</f>
        <v>1</v>
      </c>
      <c r="DA873" s="5" t="s">
        <v>673</v>
      </c>
      <c r="DB873" s="5" t="s">
        <v>238</v>
      </c>
      <c r="DD873" s="5" t="s">
        <v>673</v>
      </c>
      <c r="DE873" s="8">
        <f>2428</f>
        <v>2428</v>
      </c>
      <c r="DG873" s="5" t="s">
        <v>238</v>
      </c>
      <c r="DH873" s="5" t="s">
        <v>238</v>
      </c>
      <c r="DI873" s="5" t="s">
        <v>238</v>
      </c>
      <c r="DJ873" s="5" t="s">
        <v>238</v>
      </c>
      <c r="DN873" s="5" t="s">
        <v>238</v>
      </c>
      <c r="DO873" s="5" t="s">
        <v>238</v>
      </c>
      <c r="DP873" s="5" t="s">
        <v>238</v>
      </c>
      <c r="DQ873" s="5" t="s">
        <v>238</v>
      </c>
      <c r="DT873" s="5" t="s">
        <v>2039</v>
      </c>
      <c r="DU873" s="5" t="s">
        <v>316</v>
      </c>
      <c r="HM873" s="5" t="s">
        <v>264</v>
      </c>
    </row>
    <row r="874" spans="1:221" x14ac:dyDescent="0.4">
      <c r="A874" s="5">
        <v>2549</v>
      </c>
      <c r="B874" s="5">
        <v>1</v>
      </c>
      <c r="C874" s="5">
        <v>1</v>
      </c>
      <c r="D874" s="5" t="s">
        <v>2037</v>
      </c>
      <c r="E874" s="5" t="s">
        <v>271</v>
      </c>
      <c r="F874" s="5" t="s">
        <v>248</v>
      </c>
      <c r="G874" s="5" t="s">
        <v>1969</v>
      </c>
      <c r="H874" s="6" t="s">
        <v>3357</v>
      </c>
      <c r="I874" s="7">
        <f>5536</f>
        <v>5536</v>
      </c>
      <c r="J874" s="5" t="s">
        <v>262</v>
      </c>
      <c r="K874" s="8">
        <f>1</f>
        <v>1</v>
      </c>
      <c r="L874" s="6" t="s">
        <v>242</v>
      </c>
      <c r="M874" s="5" t="s">
        <v>267</v>
      </c>
      <c r="N874" s="5" t="s">
        <v>265</v>
      </c>
      <c r="O874" s="5" t="s">
        <v>238</v>
      </c>
      <c r="P874" s="5" t="s">
        <v>238</v>
      </c>
      <c r="Q874" s="5" t="s">
        <v>268</v>
      </c>
      <c r="R874" s="5" t="s">
        <v>270</v>
      </c>
      <c r="S874" s="5" t="s">
        <v>238</v>
      </c>
      <c r="V874" s="5" t="s">
        <v>238</v>
      </c>
      <c r="X874" s="6" t="s">
        <v>238</v>
      </c>
      <c r="AA874" s="6" t="s">
        <v>243</v>
      </c>
      <c r="AB874" s="5" t="s">
        <v>238</v>
      </c>
      <c r="AC874" s="5" t="s">
        <v>244</v>
      </c>
      <c r="AD874" s="5" t="s">
        <v>245</v>
      </c>
      <c r="AT874" s="5" t="s">
        <v>246</v>
      </c>
      <c r="AU874" s="5" t="s">
        <v>238</v>
      </c>
      <c r="AV874" s="5" t="s">
        <v>247</v>
      </c>
      <c r="AW874" s="5" t="s">
        <v>238</v>
      </c>
      <c r="AX874" s="5" t="s">
        <v>249</v>
      </c>
      <c r="AY874" s="5" t="s">
        <v>238</v>
      </c>
      <c r="BA874" s="5" t="s">
        <v>238</v>
      </c>
      <c r="BC874" s="5" t="s">
        <v>250</v>
      </c>
      <c r="BD874" s="6" t="s">
        <v>243</v>
      </c>
      <c r="BE874" s="5" t="s">
        <v>251</v>
      </c>
      <c r="BF874" s="5" t="s">
        <v>252</v>
      </c>
      <c r="BG874" s="5" t="s">
        <v>238</v>
      </c>
      <c r="BH874" s="7">
        <f>0</f>
        <v>0</v>
      </c>
      <c r="BI874" s="8">
        <f>0</f>
        <v>0</v>
      </c>
      <c r="BJ874" s="5" t="s">
        <v>253</v>
      </c>
      <c r="BK874" s="5" t="s">
        <v>254</v>
      </c>
      <c r="BY874" s="5" t="s">
        <v>238</v>
      </c>
      <c r="BZ874" s="5" t="s">
        <v>238</v>
      </c>
      <c r="CD874" s="5" t="s">
        <v>273</v>
      </c>
      <c r="CE874" s="5" t="s">
        <v>256</v>
      </c>
      <c r="CF874" s="5" t="s">
        <v>238</v>
      </c>
      <c r="CI874" s="6" t="s">
        <v>257</v>
      </c>
      <c r="CJ874" s="5" t="s">
        <v>238</v>
      </c>
      <c r="CK874" s="5" t="s">
        <v>258</v>
      </c>
      <c r="CL874" s="5" t="s">
        <v>238</v>
      </c>
      <c r="CM874" s="5" t="s">
        <v>238</v>
      </c>
      <c r="CN874" s="5">
        <v>0</v>
      </c>
      <c r="CO874" s="5" t="s">
        <v>259</v>
      </c>
      <c r="CP874" s="5" t="s">
        <v>260</v>
      </c>
      <c r="CQ874" s="5" t="s">
        <v>260</v>
      </c>
      <c r="CR874" s="5" t="s">
        <v>261</v>
      </c>
      <c r="CU874" s="8">
        <f>1</f>
        <v>1</v>
      </c>
      <c r="CV874" s="8">
        <f>0</f>
        <v>0</v>
      </c>
      <c r="CX874" s="8">
        <f>0</f>
        <v>0</v>
      </c>
      <c r="CY874" s="8">
        <f>1</f>
        <v>1</v>
      </c>
      <c r="DA874" s="5" t="s">
        <v>673</v>
      </c>
      <c r="DB874" s="5" t="s">
        <v>238</v>
      </c>
      <c r="DD874" s="5" t="s">
        <v>673</v>
      </c>
      <c r="DE874" s="8">
        <f>5536</f>
        <v>5536</v>
      </c>
      <c r="DG874" s="5" t="s">
        <v>238</v>
      </c>
      <c r="DH874" s="5" t="s">
        <v>238</v>
      </c>
      <c r="DI874" s="5" t="s">
        <v>238</v>
      </c>
      <c r="DJ874" s="5" t="s">
        <v>238</v>
      </c>
      <c r="DN874" s="5" t="s">
        <v>238</v>
      </c>
      <c r="DO874" s="5" t="s">
        <v>238</v>
      </c>
      <c r="DP874" s="5" t="s">
        <v>238</v>
      </c>
      <c r="DQ874" s="5" t="s">
        <v>238</v>
      </c>
      <c r="DT874" s="5" t="s">
        <v>2039</v>
      </c>
      <c r="DU874" s="5" t="s">
        <v>320</v>
      </c>
      <c r="HM874" s="5" t="s">
        <v>264</v>
      </c>
    </row>
    <row r="875" spans="1:221" x14ac:dyDescent="0.4">
      <c r="A875" s="5">
        <v>2550</v>
      </c>
      <c r="B875" s="5">
        <v>1</v>
      </c>
      <c r="C875" s="5">
        <v>1</v>
      </c>
      <c r="D875" s="5" t="s">
        <v>2037</v>
      </c>
      <c r="E875" s="5" t="s">
        <v>271</v>
      </c>
      <c r="F875" s="5" t="s">
        <v>248</v>
      </c>
      <c r="G875" s="5" t="s">
        <v>1969</v>
      </c>
      <c r="H875" s="6" t="s">
        <v>3356</v>
      </c>
      <c r="I875" s="7">
        <f>236</f>
        <v>236</v>
      </c>
      <c r="J875" s="5" t="s">
        <v>262</v>
      </c>
      <c r="K875" s="8">
        <f>1</f>
        <v>1</v>
      </c>
      <c r="L875" s="6" t="s">
        <v>242</v>
      </c>
      <c r="M875" s="5" t="s">
        <v>267</v>
      </c>
      <c r="N875" s="5" t="s">
        <v>265</v>
      </c>
      <c r="O875" s="5" t="s">
        <v>238</v>
      </c>
      <c r="P875" s="5" t="s">
        <v>238</v>
      </c>
      <c r="Q875" s="5" t="s">
        <v>268</v>
      </c>
      <c r="R875" s="5" t="s">
        <v>270</v>
      </c>
      <c r="S875" s="5" t="s">
        <v>238</v>
      </c>
      <c r="V875" s="5" t="s">
        <v>238</v>
      </c>
      <c r="X875" s="6" t="s">
        <v>238</v>
      </c>
      <c r="AA875" s="6" t="s">
        <v>243</v>
      </c>
      <c r="AB875" s="5" t="s">
        <v>238</v>
      </c>
      <c r="AC875" s="5" t="s">
        <v>244</v>
      </c>
      <c r="AD875" s="5" t="s">
        <v>245</v>
      </c>
      <c r="AT875" s="5" t="s">
        <v>246</v>
      </c>
      <c r="AU875" s="5" t="s">
        <v>238</v>
      </c>
      <c r="AV875" s="5" t="s">
        <v>247</v>
      </c>
      <c r="AW875" s="5" t="s">
        <v>238</v>
      </c>
      <c r="AX875" s="5" t="s">
        <v>249</v>
      </c>
      <c r="AY875" s="5" t="s">
        <v>238</v>
      </c>
      <c r="BA875" s="5" t="s">
        <v>238</v>
      </c>
      <c r="BC875" s="5" t="s">
        <v>250</v>
      </c>
      <c r="BD875" s="6" t="s">
        <v>243</v>
      </c>
      <c r="BE875" s="5" t="s">
        <v>251</v>
      </c>
      <c r="BF875" s="5" t="s">
        <v>252</v>
      </c>
      <c r="BG875" s="5" t="s">
        <v>238</v>
      </c>
      <c r="BH875" s="7">
        <f>0</f>
        <v>0</v>
      </c>
      <c r="BI875" s="8">
        <f>0</f>
        <v>0</v>
      </c>
      <c r="BJ875" s="5" t="s">
        <v>253</v>
      </c>
      <c r="BK875" s="5" t="s">
        <v>254</v>
      </c>
      <c r="BY875" s="5" t="s">
        <v>238</v>
      </c>
      <c r="BZ875" s="5" t="s">
        <v>238</v>
      </c>
      <c r="CD875" s="5" t="s">
        <v>273</v>
      </c>
      <c r="CE875" s="5" t="s">
        <v>256</v>
      </c>
      <c r="CF875" s="5" t="s">
        <v>238</v>
      </c>
      <c r="CI875" s="6" t="s">
        <v>257</v>
      </c>
      <c r="CJ875" s="5" t="s">
        <v>238</v>
      </c>
      <c r="CK875" s="5" t="s">
        <v>258</v>
      </c>
      <c r="CL875" s="5" t="s">
        <v>238</v>
      </c>
      <c r="CM875" s="5" t="s">
        <v>238</v>
      </c>
      <c r="CN875" s="5">
        <v>0</v>
      </c>
      <c r="CO875" s="5" t="s">
        <v>259</v>
      </c>
      <c r="CP875" s="5" t="s">
        <v>260</v>
      </c>
      <c r="CQ875" s="5" t="s">
        <v>260</v>
      </c>
      <c r="CR875" s="5" t="s">
        <v>261</v>
      </c>
      <c r="CU875" s="8">
        <f>1</f>
        <v>1</v>
      </c>
      <c r="CV875" s="8">
        <f>0</f>
        <v>0</v>
      </c>
      <c r="CX875" s="8">
        <f>0</f>
        <v>0</v>
      </c>
      <c r="CY875" s="8">
        <f>1</f>
        <v>1</v>
      </c>
      <c r="DA875" s="5" t="s">
        <v>673</v>
      </c>
      <c r="DB875" s="5" t="s">
        <v>238</v>
      </c>
      <c r="DD875" s="5" t="s">
        <v>673</v>
      </c>
      <c r="DE875" s="8">
        <f>236</f>
        <v>236</v>
      </c>
      <c r="DG875" s="5" t="s">
        <v>238</v>
      </c>
      <c r="DH875" s="5" t="s">
        <v>238</v>
      </c>
      <c r="DI875" s="5" t="s">
        <v>238</v>
      </c>
      <c r="DJ875" s="5" t="s">
        <v>238</v>
      </c>
      <c r="DN875" s="5" t="s">
        <v>238</v>
      </c>
      <c r="DO875" s="5" t="s">
        <v>238</v>
      </c>
      <c r="DP875" s="5" t="s">
        <v>238</v>
      </c>
      <c r="DQ875" s="5" t="s">
        <v>238</v>
      </c>
      <c r="DT875" s="5" t="s">
        <v>2039</v>
      </c>
      <c r="DU875" s="5" t="s">
        <v>324</v>
      </c>
      <c r="HM875" s="5" t="s">
        <v>264</v>
      </c>
    </row>
    <row r="876" spans="1:221" x14ac:dyDescent="0.4">
      <c r="A876" s="5">
        <v>2551</v>
      </c>
      <c r="B876" s="5">
        <v>1</v>
      </c>
      <c r="C876" s="5">
        <v>1</v>
      </c>
      <c r="D876" s="5" t="s">
        <v>2037</v>
      </c>
      <c r="E876" s="5" t="s">
        <v>271</v>
      </c>
      <c r="F876" s="5" t="s">
        <v>248</v>
      </c>
      <c r="G876" s="5" t="s">
        <v>1969</v>
      </c>
      <c r="H876" s="6" t="s">
        <v>3354</v>
      </c>
      <c r="I876" s="7">
        <f>3431</f>
        <v>3431</v>
      </c>
      <c r="J876" s="5" t="s">
        <v>262</v>
      </c>
      <c r="K876" s="8">
        <f>1</f>
        <v>1</v>
      </c>
      <c r="L876" s="6" t="s">
        <v>242</v>
      </c>
      <c r="M876" s="5" t="s">
        <v>267</v>
      </c>
      <c r="N876" s="5" t="s">
        <v>265</v>
      </c>
      <c r="O876" s="5" t="s">
        <v>238</v>
      </c>
      <c r="P876" s="5" t="s">
        <v>238</v>
      </c>
      <c r="Q876" s="5" t="s">
        <v>268</v>
      </c>
      <c r="R876" s="5" t="s">
        <v>270</v>
      </c>
      <c r="S876" s="5" t="s">
        <v>238</v>
      </c>
      <c r="V876" s="5" t="s">
        <v>238</v>
      </c>
      <c r="X876" s="6" t="s">
        <v>238</v>
      </c>
      <c r="AA876" s="6" t="s">
        <v>243</v>
      </c>
      <c r="AB876" s="5" t="s">
        <v>238</v>
      </c>
      <c r="AC876" s="5" t="s">
        <v>244</v>
      </c>
      <c r="AD876" s="5" t="s">
        <v>245</v>
      </c>
      <c r="AT876" s="5" t="s">
        <v>246</v>
      </c>
      <c r="AU876" s="5" t="s">
        <v>238</v>
      </c>
      <c r="AV876" s="5" t="s">
        <v>247</v>
      </c>
      <c r="AW876" s="5" t="s">
        <v>238</v>
      </c>
      <c r="AX876" s="5" t="s">
        <v>249</v>
      </c>
      <c r="AY876" s="5" t="s">
        <v>238</v>
      </c>
      <c r="BA876" s="5" t="s">
        <v>238</v>
      </c>
      <c r="BC876" s="5" t="s">
        <v>250</v>
      </c>
      <c r="BD876" s="6" t="s">
        <v>243</v>
      </c>
      <c r="BE876" s="5" t="s">
        <v>251</v>
      </c>
      <c r="BF876" s="5" t="s">
        <v>252</v>
      </c>
      <c r="BG876" s="5" t="s">
        <v>238</v>
      </c>
      <c r="BH876" s="7">
        <f>0</f>
        <v>0</v>
      </c>
      <c r="BI876" s="8">
        <f>0</f>
        <v>0</v>
      </c>
      <c r="BJ876" s="5" t="s">
        <v>253</v>
      </c>
      <c r="BK876" s="5" t="s">
        <v>254</v>
      </c>
      <c r="BY876" s="5" t="s">
        <v>238</v>
      </c>
      <c r="BZ876" s="5" t="s">
        <v>238</v>
      </c>
      <c r="CD876" s="5" t="s">
        <v>273</v>
      </c>
      <c r="CE876" s="5" t="s">
        <v>256</v>
      </c>
      <c r="CF876" s="5" t="s">
        <v>238</v>
      </c>
      <c r="CI876" s="6" t="s">
        <v>257</v>
      </c>
      <c r="CJ876" s="5" t="s">
        <v>238</v>
      </c>
      <c r="CK876" s="5" t="s">
        <v>258</v>
      </c>
      <c r="CL876" s="5" t="s">
        <v>238</v>
      </c>
      <c r="CM876" s="5" t="s">
        <v>238</v>
      </c>
      <c r="CN876" s="5">
        <v>0</v>
      </c>
      <c r="CO876" s="5" t="s">
        <v>259</v>
      </c>
      <c r="CP876" s="5" t="s">
        <v>260</v>
      </c>
      <c r="CQ876" s="5" t="s">
        <v>260</v>
      </c>
      <c r="CR876" s="5" t="s">
        <v>261</v>
      </c>
      <c r="CU876" s="8">
        <f>1</f>
        <v>1</v>
      </c>
      <c r="CV876" s="8">
        <f>0</f>
        <v>0</v>
      </c>
      <c r="CX876" s="8">
        <f>0</f>
        <v>0</v>
      </c>
      <c r="CY876" s="8">
        <f>1</f>
        <v>1</v>
      </c>
      <c r="DA876" s="5" t="s">
        <v>673</v>
      </c>
      <c r="DB876" s="5" t="s">
        <v>238</v>
      </c>
      <c r="DD876" s="5" t="s">
        <v>673</v>
      </c>
      <c r="DE876" s="8">
        <f>3431</f>
        <v>3431</v>
      </c>
      <c r="DG876" s="5" t="s">
        <v>238</v>
      </c>
      <c r="DH876" s="5" t="s">
        <v>238</v>
      </c>
      <c r="DI876" s="5" t="s">
        <v>238</v>
      </c>
      <c r="DJ876" s="5" t="s">
        <v>238</v>
      </c>
      <c r="DN876" s="5" t="s">
        <v>238</v>
      </c>
      <c r="DO876" s="5" t="s">
        <v>238</v>
      </c>
      <c r="DP876" s="5" t="s">
        <v>238</v>
      </c>
      <c r="DQ876" s="5" t="s">
        <v>238</v>
      </c>
      <c r="DT876" s="5" t="s">
        <v>2039</v>
      </c>
      <c r="DU876" s="5" t="s">
        <v>3355</v>
      </c>
      <c r="HM876" s="5" t="s">
        <v>264</v>
      </c>
    </row>
    <row r="877" spans="1:221" x14ac:dyDescent="0.4">
      <c r="A877" s="5">
        <v>2552</v>
      </c>
      <c r="B877" s="5">
        <v>1</v>
      </c>
      <c r="C877" s="5">
        <v>1</v>
      </c>
      <c r="D877" s="5" t="s">
        <v>2037</v>
      </c>
      <c r="E877" s="5" t="s">
        <v>271</v>
      </c>
      <c r="F877" s="5" t="s">
        <v>248</v>
      </c>
      <c r="G877" s="5" t="s">
        <v>1969</v>
      </c>
      <c r="H877" s="6" t="s">
        <v>3353</v>
      </c>
      <c r="I877" s="7">
        <f>2322</f>
        <v>2322</v>
      </c>
      <c r="J877" s="5" t="s">
        <v>262</v>
      </c>
      <c r="K877" s="8">
        <f>1</f>
        <v>1</v>
      </c>
      <c r="L877" s="6" t="s">
        <v>242</v>
      </c>
      <c r="M877" s="5" t="s">
        <v>267</v>
      </c>
      <c r="N877" s="5" t="s">
        <v>265</v>
      </c>
      <c r="O877" s="5" t="s">
        <v>238</v>
      </c>
      <c r="P877" s="5" t="s">
        <v>238</v>
      </c>
      <c r="Q877" s="5" t="s">
        <v>268</v>
      </c>
      <c r="R877" s="5" t="s">
        <v>270</v>
      </c>
      <c r="S877" s="5" t="s">
        <v>238</v>
      </c>
      <c r="V877" s="5" t="s">
        <v>238</v>
      </c>
      <c r="X877" s="6" t="s">
        <v>238</v>
      </c>
      <c r="AA877" s="6" t="s">
        <v>243</v>
      </c>
      <c r="AB877" s="5" t="s">
        <v>238</v>
      </c>
      <c r="AC877" s="5" t="s">
        <v>244</v>
      </c>
      <c r="AD877" s="5" t="s">
        <v>245</v>
      </c>
      <c r="AT877" s="5" t="s">
        <v>246</v>
      </c>
      <c r="AU877" s="5" t="s">
        <v>238</v>
      </c>
      <c r="AV877" s="5" t="s">
        <v>247</v>
      </c>
      <c r="AW877" s="5" t="s">
        <v>238</v>
      </c>
      <c r="AX877" s="5" t="s">
        <v>249</v>
      </c>
      <c r="AY877" s="5" t="s">
        <v>238</v>
      </c>
      <c r="BA877" s="5" t="s">
        <v>238</v>
      </c>
      <c r="BC877" s="5" t="s">
        <v>250</v>
      </c>
      <c r="BD877" s="6" t="s">
        <v>243</v>
      </c>
      <c r="BE877" s="5" t="s">
        <v>251</v>
      </c>
      <c r="BF877" s="5" t="s">
        <v>252</v>
      </c>
      <c r="BG877" s="5" t="s">
        <v>238</v>
      </c>
      <c r="BH877" s="7">
        <f>0</f>
        <v>0</v>
      </c>
      <c r="BI877" s="8">
        <f>0</f>
        <v>0</v>
      </c>
      <c r="BJ877" s="5" t="s">
        <v>253</v>
      </c>
      <c r="BK877" s="5" t="s">
        <v>254</v>
      </c>
      <c r="BY877" s="5" t="s">
        <v>238</v>
      </c>
      <c r="BZ877" s="5" t="s">
        <v>238</v>
      </c>
      <c r="CD877" s="5" t="s">
        <v>273</v>
      </c>
      <c r="CE877" s="5" t="s">
        <v>256</v>
      </c>
      <c r="CF877" s="5" t="s">
        <v>238</v>
      </c>
      <c r="CI877" s="6" t="s">
        <v>257</v>
      </c>
      <c r="CJ877" s="5" t="s">
        <v>238</v>
      </c>
      <c r="CK877" s="5" t="s">
        <v>258</v>
      </c>
      <c r="CL877" s="5" t="s">
        <v>238</v>
      </c>
      <c r="CM877" s="5" t="s">
        <v>238</v>
      </c>
      <c r="CN877" s="5">
        <v>0</v>
      </c>
      <c r="CO877" s="5" t="s">
        <v>259</v>
      </c>
      <c r="CP877" s="5" t="s">
        <v>260</v>
      </c>
      <c r="CQ877" s="5" t="s">
        <v>260</v>
      </c>
      <c r="CR877" s="5" t="s">
        <v>261</v>
      </c>
      <c r="CU877" s="8">
        <f>1</f>
        <v>1</v>
      </c>
      <c r="CV877" s="8">
        <f>0</f>
        <v>0</v>
      </c>
      <c r="CX877" s="8">
        <f>0</f>
        <v>0</v>
      </c>
      <c r="CY877" s="8">
        <f>1</f>
        <v>1</v>
      </c>
      <c r="DA877" s="5" t="s">
        <v>673</v>
      </c>
      <c r="DB877" s="5" t="s">
        <v>238</v>
      </c>
      <c r="DD877" s="5" t="s">
        <v>673</v>
      </c>
      <c r="DE877" s="8">
        <f>2322</f>
        <v>2322</v>
      </c>
      <c r="DG877" s="5" t="s">
        <v>238</v>
      </c>
      <c r="DH877" s="5" t="s">
        <v>238</v>
      </c>
      <c r="DI877" s="5" t="s">
        <v>238</v>
      </c>
      <c r="DJ877" s="5" t="s">
        <v>238</v>
      </c>
      <c r="DN877" s="5" t="s">
        <v>238</v>
      </c>
      <c r="DO877" s="5" t="s">
        <v>238</v>
      </c>
      <c r="DP877" s="5" t="s">
        <v>238</v>
      </c>
      <c r="DQ877" s="5" t="s">
        <v>238</v>
      </c>
      <c r="DT877" s="5" t="s">
        <v>2039</v>
      </c>
      <c r="DU877" s="5" t="s">
        <v>326</v>
      </c>
      <c r="HM877" s="5" t="s">
        <v>264</v>
      </c>
    </row>
    <row r="878" spans="1:221" x14ac:dyDescent="0.4">
      <c r="A878" s="5">
        <v>2553</v>
      </c>
      <c r="B878" s="5">
        <v>1</v>
      </c>
      <c r="C878" s="5">
        <v>1</v>
      </c>
      <c r="D878" s="5" t="s">
        <v>2037</v>
      </c>
      <c r="E878" s="5" t="s">
        <v>271</v>
      </c>
      <c r="F878" s="5" t="s">
        <v>248</v>
      </c>
      <c r="G878" s="5" t="s">
        <v>1969</v>
      </c>
      <c r="H878" s="6" t="s">
        <v>3352</v>
      </c>
      <c r="I878" s="7">
        <f>2935</f>
        <v>2935</v>
      </c>
      <c r="J878" s="5" t="s">
        <v>262</v>
      </c>
      <c r="K878" s="8">
        <f>1</f>
        <v>1</v>
      </c>
      <c r="L878" s="6" t="s">
        <v>242</v>
      </c>
      <c r="M878" s="5" t="s">
        <v>267</v>
      </c>
      <c r="N878" s="5" t="s">
        <v>265</v>
      </c>
      <c r="O878" s="5" t="s">
        <v>238</v>
      </c>
      <c r="P878" s="5" t="s">
        <v>238</v>
      </c>
      <c r="Q878" s="5" t="s">
        <v>268</v>
      </c>
      <c r="R878" s="5" t="s">
        <v>270</v>
      </c>
      <c r="S878" s="5" t="s">
        <v>238</v>
      </c>
      <c r="V878" s="5" t="s">
        <v>238</v>
      </c>
      <c r="X878" s="6" t="s">
        <v>238</v>
      </c>
      <c r="AA878" s="6" t="s">
        <v>243</v>
      </c>
      <c r="AB878" s="5" t="s">
        <v>238</v>
      </c>
      <c r="AC878" s="5" t="s">
        <v>244</v>
      </c>
      <c r="AD878" s="5" t="s">
        <v>245</v>
      </c>
      <c r="AT878" s="5" t="s">
        <v>246</v>
      </c>
      <c r="AU878" s="5" t="s">
        <v>238</v>
      </c>
      <c r="AV878" s="5" t="s">
        <v>247</v>
      </c>
      <c r="AW878" s="5" t="s">
        <v>238</v>
      </c>
      <c r="AX878" s="5" t="s">
        <v>249</v>
      </c>
      <c r="AY878" s="5" t="s">
        <v>238</v>
      </c>
      <c r="BA878" s="5" t="s">
        <v>238</v>
      </c>
      <c r="BC878" s="5" t="s">
        <v>250</v>
      </c>
      <c r="BD878" s="6" t="s">
        <v>243</v>
      </c>
      <c r="BE878" s="5" t="s">
        <v>251</v>
      </c>
      <c r="BF878" s="5" t="s">
        <v>252</v>
      </c>
      <c r="BG878" s="5" t="s">
        <v>238</v>
      </c>
      <c r="BH878" s="7">
        <f>0</f>
        <v>0</v>
      </c>
      <c r="BI878" s="8">
        <f>0</f>
        <v>0</v>
      </c>
      <c r="BJ878" s="5" t="s">
        <v>253</v>
      </c>
      <c r="BK878" s="5" t="s">
        <v>254</v>
      </c>
      <c r="BY878" s="5" t="s">
        <v>238</v>
      </c>
      <c r="BZ878" s="5" t="s">
        <v>238</v>
      </c>
      <c r="CD878" s="5" t="s">
        <v>273</v>
      </c>
      <c r="CE878" s="5" t="s">
        <v>256</v>
      </c>
      <c r="CF878" s="5" t="s">
        <v>238</v>
      </c>
      <c r="CI878" s="6" t="s">
        <v>257</v>
      </c>
      <c r="CJ878" s="5" t="s">
        <v>238</v>
      </c>
      <c r="CK878" s="5" t="s">
        <v>258</v>
      </c>
      <c r="CL878" s="5" t="s">
        <v>238</v>
      </c>
      <c r="CM878" s="5" t="s">
        <v>238</v>
      </c>
      <c r="CN878" s="5">
        <v>0</v>
      </c>
      <c r="CO878" s="5" t="s">
        <v>259</v>
      </c>
      <c r="CP878" s="5" t="s">
        <v>260</v>
      </c>
      <c r="CQ878" s="5" t="s">
        <v>260</v>
      </c>
      <c r="CR878" s="5" t="s">
        <v>261</v>
      </c>
      <c r="CU878" s="8">
        <f>1</f>
        <v>1</v>
      </c>
      <c r="CV878" s="8">
        <f>0</f>
        <v>0</v>
      </c>
      <c r="CX878" s="8">
        <f>0</f>
        <v>0</v>
      </c>
      <c r="CY878" s="8">
        <f>1</f>
        <v>1</v>
      </c>
      <c r="DA878" s="5" t="s">
        <v>673</v>
      </c>
      <c r="DB878" s="5" t="s">
        <v>238</v>
      </c>
      <c r="DD878" s="5" t="s">
        <v>673</v>
      </c>
      <c r="DE878" s="8">
        <f>2935</f>
        <v>2935</v>
      </c>
      <c r="DG878" s="5" t="s">
        <v>238</v>
      </c>
      <c r="DH878" s="5" t="s">
        <v>238</v>
      </c>
      <c r="DI878" s="5" t="s">
        <v>238</v>
      </c>
      <c r="DJ878" s="5" t="s">
        <v>238</v>
      </c>
      <c r="DN878" s="5" t="s">
        <v>238</v>
      </c>
      <c r="DO878" s="5" t="s">
        <v>238</v>
      </c>
      <c r="DP878" s="5" t="s">
        <v>238</v>
      </c>
      <c r="DQ878" s="5" t="s">
        <v>238</v>
      </c>
      <c r="DT878" s="5" t="s">
        <v>2039</v>
      </c>
      <c r="DU878" s="5" t="s">
        <v>330</v>
      </c>
      <c r="HM878" s="5" t="s">
        <v>264</v>
      </c>
    </row>
    <row r="879" spans="1:221" x14ac:dyDescent="0.4">
      <c r="A879" s="5">
        <v>2554</v>
      </c>
      <c r="B879" s="5">
        <v>1</v>
      </c>
      <c r="C879" s="5">
        <v>1</v>
      </c>
      <c r="D879" s="5" t="s">
        <v>2037</v>
      </c>
      <c r="E879" s="5" t="s">
        <v>271</v>
      </c>
      <c r="F879" s="5" t="s">
        <v>248</v>
      </c>
      <c r="G879" s="5" t="s">
        <v>1969</v>
      </c>
      <c r="H879" s="6" t="s">
        <v>3349</v>
      </c>
      <c r="I879" s="7">
        <f>2354</f>
        <v>2354</v>
      </c>
      <c r="J879" s="5" t="s">
        <v>262</v>
      </c>
      <c r="K879" s="8">
        <f>1</f>
        <v>1</v>
      </c>
      <c r="L879" s="6" t="s">
        <v>242</v>
      </c>
      <c r="M879" s="5" t="s">
        <v>267</v>
      </c>
      <c r="N879" s="5" t="s">
        <v>265</v>
      </c>
      <c r="O879" s="5" t="s">
        <v>238</v>
      </c>
      <c r="P879" s="5" t="s">
        <v>238</v>
      </c>
      <c r="Q879" s="5" t="s">
        <v>268</v>
      </c>
      <c r="R879" s="5" t="s">
        <v>270</v>
      </c>
      <c r="S879" s="5" t="s">
        <v>238</v>
      </c>
      <c r="V879" s="5" t="s">
        <v>238</v>
      </c>
      <c r="X879" s="6" t="s">
        <v>238</v>
      </c>
      <c r="AA879" s="6" t="s">
        <v>243</v>
      </c>
      <c r="AB879" s="5" t="s">
        <v>238</v>
      </c>
      <c r="AC879" s="5" t="s">
        <v>244</v>
      </c>
      <c r="AD879" s="5" t="s">
        <v>245</v>
      </c>
      <c r="AT879" s="5" t="s">
        <v>246</v>
      </c>
      <c r="AU879" s="5" t="s">
        <v>238</v>
      </c>
      <c r="AV879" s="5" t="s">
        <v>247</v>
      </c>
      <c r="AW879" s="5" t="s">
        <v>238</v>
      </c>
      <c r="AX879" s="5" t="s">
        <v>249</v>
      </c>
      <c r="AY879" s="5" t="s">
        <v>238</v>
      </c>
      <c r="BA879" s="5" t="s">
        <v>238</v>
      </c>
      <c r="BC879" s="5" t="s">
        <v>250</v>
      </c>
      <c r="BD879" s="6" t="s">
        <v>243</v>
      </c>
      <c r="BE879" s="5" t="s">
        <v>251</v>
      </c>
      <c r="BF879" s="5" t="s">
        <v>252</v>
      </c>
      <c r="BG879" s="5" t="s">
        <v>238</v>
      </c>
      <c r="BH879" s="7">
        <f>0</f>
        <v>0</v>
      </c>
      <c r="BI879" s="8">
        <f>0</f>
        <v>0</v>
      </c>
      <c r="BJ879" s="5" t="s">
        <v>253</v>
      </c>
      <c r="BK879" s="5" t="s">
        <v>254</v>
      </c>
      <c r="BY879" s="5" t="s">
        <v>238</v>
      </c>
      <c r="BZ879" s="5" t="s">
        <v>238</v>
      </c>
      <c r="CD879" s="5" t="s">
        <v>273</v>
      </c>
      <c r="CE879" s="5" t="s">
        <v>256</v>
      </c>
      <c r="CF879" s="5" t="s">
        <v>238</v>
      </c>
      <c r="CI879" s="6" t="s">
        <v>257</v>
      </c>
      <c r="CJ879" s="5" t="s">
        <v>238</v>
      </c>
      <c r="CK879" s="5" t="s">
        <v>258</v>
      </c>
      <c r="CL879" s="5" t="s">
        <v>238</v>
      </c>
      <c r="CM879" s="5" t="s">
        <v>238</v>
      </c>
      <c r="CN879" s="5">
        <v>0</v>
      </c>
      <c r="CO879" s="5" t="s">
        <v>259</v>
      </c>
      <c r="CP879" s="5" t="s">
        <v>260</v>
      </c>
      <c r="CQ879" s="5" t="s">
        <v>260</v>
      </c>
      <c r="CR879" s="5" t="s">
        <v>261</v>
      </c>
      <c r="CU879" s="8">
        <f>1</f>
        <v>1</v>
      </c>
      <c r="CV879" s="8">
        <f>0</f>
        <v>0</v>
      </c>
      <c r="CX879" s="8">
        <f>0</f>
        <v>0</v>
      </c>
      <c r="CY879" s="8">
        <f>1</f>
        <v>1</v>
      </c>
      <c r="DA879" s="5" t="s">
        <v>673</v>
      </c>
      <c r="DB879" s="5" t="s">
        <v>238</v>
      </c>
      <c r="DD879" s="5" t="s">
        <v>673</v>
      </c>
      <c r="DE879" s="8">
        <f>2354</f>
        <v>2354</v>
      </c>
      <c r="DG879" s="5" t="s">
        <v>238</v>
      </c>
      <c r="DH879" s="5" t="s">
        <v>238</v>
      </c>
      <c r="DI879" s="5" t="s">
        <v>238</v>
      </c>
      <c r="DJ879" s="5" t="s">
        <v>238</v>
      </c>
      <c r="DN879" s="5" t="s">
        <v>238</v>
      </c>
      <c r="DO879" s="5" t="s">
        <v>238</v>
      </c>
      <c r="DP879" s="5" t="s">
        <v>238</v>
      </c>
      <c r="DQ879" s="5" t="s">
        <v>238</v>
      </c>
      <c r="DT879" s="5" t="s">
        <v>2039</v>
      </c>
      <c r="DU879" s="5" t="s">
        <v>332</v>
      </c>
      <c r="HM879" s="5" t="s">
        <v>264</v>
      </c>
    </row>
    <row r="880" spans="1:221" x14ac:dyDescent="0.4">
      <c r="A880" s="5">
        <v>2555</v>
      </c>
      <c r="B880" s="5">
        <v>1</v>
      </c>
      <c r="C880" s="5">
        <v>1</v>
      </c>
      <c r="D880" s="5" t="s">
        <v>2037</v>
      </c>
      <c r="E880" s="5" t="s">
        <v>271</v>
      </c>
      <c r="F880" s="5" t="s">
        <v>248</v>
      </c>
      <c r="G880" s="5" t="s">
        <v>1969</v>
      </c>
      <c r="H880" s="6" t="s">
        <v>3348</v>
      </c>
      <c r="I880" s="7">
        <f>158</f>
        <v>158</v>
      </c>
      <c r="J880" s="5" t="s">
        <v>262</v>
      </c>
      <c r="K880" s="8">
        <f>1</f>
        <v>1</v>
      </c>
      <c r="L880" s="6" t="s">
        <v>242</v>
      </c>
      <c r="M880" s="5" t="s">
        <v>267</v>
      </c>
      <c r="N880" s="5" t="s">
        <v>265</v>
      </c>
      <c r="O880" s="5" t="s">
        <v>238</v>
      </c>
      <c r="P880" s="5" t="s">
        <v>238</v>
      </c>
      <c r="Q880" s="5" t="s">
        <v>268</v>
      </c>
      <c r="R880" s="5" t="s">
        <v>270</v>
      </c>
      <c r="S880" s="5" t="s">
        <v>238</v>
      </c>
      <c r="V880" s="5" t="s">
        <v>238</v>
      </c>
      <c r="X880" s="6" t="s">
        <v>238</v>
      </c>
      <c r="AA880" s="6" t="s">
        <v>243</v>
      </c>
      <c r="AB880" s="5" t="s">
        <v>238</v>
      </c>
      <c r="AC880" s="5" t="s">
        <v>244</v>
      </c>
      <c r="AD880" s="5" t="s">
        <v>245</v>
      </c>
      <c r="AT880" s="5" t="s">
        <v>246</v>
      </c>
      <c r="AU880" s="5" t="s">
        <v>238</v>
      </c>
      <c r="AV880" s="5" t="s">
        <v>247</v>
      </c>
      <c r="AW880" s="5" t="s">
        <v>238</v>
      </c>
      <c r="AX880" s="5" t="s">
        <v>249</v>
      </c>
      <c r="AY880" s="5" t="s">
        <v>238</v>
      </c>
      <c r="BA880" s="5" t="s">
        <v>238</v>
      </c>
      <c r="BC880" s="5" t="s">
        <v>250</v>
      </c>
      <c r="BD880" s="6" t="s">
        <v>243</v>
      </c>
      <c r="BE880" s="5" t="s">
        <v>251</v>
      </c>
      <c r="BF880" s="5" t="s">
        <v>252</v>
      </c>
      <c r="BG880" s="5" t="s">
        <v>238</v>
      </c>
      <c r="BH880" s="7">
        <f>0</f>
        <v>0</v>
      </c>
      <c r="BI880" s="8">
        <f>0</f>
        <v>0</v>
      </c>
      <c r="BJ880" s="5" t="s">
        <v>253</v>
      </c>
      <c r="BK880" s="5" t="s">
        <v>254</v>
      </c>
      <c r="BY880" s="5" t="s">
        <v>238</v>
      </c>
      <c r="BZ880" s="5" t="s">
        <v>238</v>
      </c>
      <c r="CD880" s="5" t="s">
        <v>273</v>
      </c>
      <c r="CE880" s="5" t="s">
        <v>256</v>
      </c>
      <c r="CF880" s="5" t="s">
        <v>238</v>
      </c>
      <c r="CI880" s="6" t="s">
        <v>257</v>
      </c>
      <c r="CJ880" s="5" t="s">
        <v>238</v>
      </c>
      <c r="CK880" s="5" t="s">
        <v>258</v>
      </c>
      <c r="CL880" s="5" t="s">
        <v>238</v>
      </c>
      <c r="CM880" s="5" t="s">
        <v>238</v>
      </c>
      <c r="CN880" s="5">
        <v>0</v>
      </c>
      <c r="CO880" s="5" t="s">
        <v>259</v>
      </c>
      <c r="CP880" s="5" t="s">
        <v>260</v>
      </c>
      <c r="CQ880" s="5" t="s">
        <v>260</v>
      </c>
      <c r="CR880" s="5" t="s">
        <v>261</v>
      </c>
      <c r="CU880" s="8">
        <f>1</f>
        <v>1</v>
      </c>
      <c r="CV880" s="8">
        <f>0</f>
        <v>0</v>
      </c>
      <c r="CX880" s="8">
        <f>0</f>
        <v>0</v>
      </c>
      <c r="CY880" s="8">
        <f>1</f>
        <v>1</v>
      </c>
      <c r="DA880" s="5" t="s">
        <v>673</v>
      </c>
      <c r="DB880" s="5" t="s">
        <v>238</v>
      </c>
      <c r="DD880" s="5" t="s">
        <v>673</v>
      </c>
      <c r="DE880" s="8">
        <f>158</f>
        <v>158</v>
      </c>
      <c r="DG880" s="5" t="s">
        <v>238</v>
      </c>
      <c r="DH880" s="5" t="s">
        <v>238</v>
      </c>
      <c r="DI880" s="5" t="s">
        <v>238</v>
      </c>
      <c r="DJ880" s="5" t="s">
        <v>238</v>
      </c>
      <c r="DN880" s="5" t="s">
        <v>238</v>
      </c>
      <c r="DO880" s="5" t="s">
        <v>238</v>
      </c>
      <c r="DP880" s="5" t="s">
        <v>238</v>
      </c>
      <c r="DQ880" s="5" t="s">
        <v>238</v>
      </c>
      <c r="DT880" s="5" t="s">
        <v>2039</v>
      </c>
      <c r="DU880" s="5" t="s">
        <v>336</v>
      </c>
      <c r="HM880" s="5" t="s">
        <v>264</v>
      </c>
    </row>
    <row r="881" spans="1:221" x14ac:dyDescent="0.4">
      <c r="A881" s="5">
        <v>2556</v>
      </c>
      <c r="B881" s="5">
        <v>1</v>
      </c>
      <c r="C881" s="5">
        <v>1</v>
      </c>
      <c r="D881" s="5" t="s">
        <v>2037</v>
      </c>
      <c r="E881" s="5" t="s">
        <v>271</v>
      </c>
      <c r="F881" s="5" t="s">
        <v>248</v>
      </c>
      <c r="G881" s="5" t="s">
        <v>1969</v>
      </c>
      <c r="H881" s="6" t="s">
        <v>3347</v>
      </c>
      <c r="I881" s="7">
        <f>1690</f>
        <v>1690</v>
      </c>
      <c r="J881" s="5" t="s">
        <v>262</v>
      </c>
      <c r="K881" s="8">
        <f>1</f>
        <v>1</v>
      </c>
      <c r="L881" s="6" t="s">
        <v>242</v>
      </c>
      <c r="M881" s="5" t="s">
        <v>267</v>
      </c>
      <c r="N881" s="5" t="s">
        <v>265</v>
      </c>
      <c r="O881" s="5" t="s">
        <v>238</v>
      </c>
      <c r="P881" s="5" t="s">
        <v>238</v>
      </c>
      <c r="Q881" s="5" t="s">
        <v>268</v>
      </c>
      <c r="R881" s="5" t="s">
        <v>270</v>
      </c>
      <c r="S881" s="5" t="s">
        <v>238</v>
      </c>
      <c r="V881" s="5" t="s">
        <v>238</v>
      </c>
      <c r="X881" s="6" t="s">
        <v>238</v>
      </c>
      <c r="AA881" s="6" t="s">
        <v>243</v>
      </c>
      <c r="AB881" s="5" t="s">
        <v>238</v>
      </c>
      <c r="AC881" s="5" t="s">
        <v>244</v>
      </c>
      <c r="AD881" s="5" t="s">
        <v>245</v>
      </c>
      <c r="AT881" s="5" t="s">
        <v>246</v>
      </c>
      <c r="AU881" s="5" t="s">
        <v>238</v>
      </c>
      <c r="AV881" s="5" t="s">
        <v>247</v>
      </c>
      <c r="AW881" s="5" t="s">
        <v>238</v>
      </c>
      <c r="AX881" s="5" t="s">
        <v>249</v>
      </c>
      <c r="AY881" s="5" t="s">
        <v>238</v>
      </c>
      <c r="BA881" s="5" t="s">
        <v>238</v>
      </c>
      <c r="BC881" s="5" t="s">
        <v>250</v>
      </c>
      <c r="BD881" s="6" t="s">
        <v>243</v>
      </c>
      <c r="BE881" s="5" t="s">
        <v>251</v>
      </c>
      <c r="BF881" s="5" t="s">
        <v>252</v>
      </c>
      <c r="BG881" s="5" t="s">
        <v>238</v>
      </c>
      <c r="BH881" s="7">
        <f>0</f>
        <v>0</v>
      </c>
      <c r="BI881" s="8">
        <f>0</f>
        <v>0</v>
      </c>
      <c r="BJ881" s="5" t="s">
        <v>253</v>
      </c>
      <c r="BK881" s="5" t="s">
        <v>254</v>
      </c>
      <c r="BY881" s="5" t="s">
        <v>238</v>
      </c>
      <c r="BZ881" s="5" t="s">
        <v>238</v>
      </c>
      <c r="CD881" s="5" t="s">
        <v>273</v>
      </c>
      <c r="CE881" s="5" t="s">
        <v>256</v>
      </c>
      <c r="CF881" s="5" t="s">
        <v>238</v>
      </c>
      <c r="CI881" s="6" t="s">
        <v>257</v>
      </c>
      <c r="CJ881" s="5" t="s">
        <v>238</v>
      </c>
      <c r="CK881" s="5" t="s">
        <v>258</v>
      </c>
      <c r="CL881" s="5" t="s">
        <v>238</v>
      </c>
      <c r="CM881" s="5" t="s">
        <v>238</v>
      </c>
      <c r="CN881" s="5">
        <v>0</v>
      </c>
      <c r="CO881" s="5" t="s">
        <v>259</v>
      </c>
      <c r="CP881" s="5" t="s">
        <v>260</v>
      </c>
      <c r="CQ881" s="5" t="s">
        <v>260</v>
      </c>
      <c r="CR881" s="5" t="s">
        <v>261</v>
      </c>
      <c r="CU881" s="8">
        <f>1</f>
        <v>1</v>
      </c>
      <c r="CV881" s="8">
        <f>0</f>
        <v>0</v>
      </c>
      <c r="CX881" s="8">
        <f>0</f>
        <v>0</v>
      </c>
      <c r="CY881" s="8">
        <f>1</f>
        <v>1</v>
      </c>
      <c r="DA881" s="5" t="s">
        <v>673</v>
      </c>
      <c r="DB881" s="5" t="s">
        <v>238</v>
      </c>
      <c r="DD881" s="5" t="s">
        <v>673</v>
      </c>
      <c r="DE881" s="8">
        <f>1690</f>
        <v>1690</v>
      </c>
      <c r="DG881" s="5" t="s">
        <v>238</v>
      </c>
      <c r="DH881" s="5" t="s">
        <v>238</v>
      </c>
      <c r="DI881" s="5" t="s">
        <v>238</v>
      </c>
      <c r="DJ881" s="5" t="s">
        <v>238</v>
      </c>
      <c r="DN881" s="5" t="s">
        <v>238</v>
      </c>
      <c r="DO881" s="5" t="s">
        <v>238</v>
      </c>
      <c r="DP881" s="5" t="s">
        <v>238</v>
      </c>
      <c r="DQ881" s="5" t="s">
        <v>238</v>
      </c>
      <c r="DT881" s="5" t="s">
        <v>2039</v>
      </c>
      <c r="DU881" s="5" t="s">
        <v>340</v>
      </c>
      <c r="HM881" s="5" t="s">
        <v>264</v>
      </c>
    </row>
    <row r="882" spans="1:221" x14ac:dyDescent="0.4">
      <c r="A882" s="5">
        <v>2557</v>
      </c>
      <c r="B882" s="5">
        <v>1</v>
      </c>
      <c r="C882" s="5">
        <v>1</v>
      </c>
      <c r="D882" s="5" t="s">
        <v>2037</v>
      </c>
      <c r="E882" s="5" t="s">
        <v>271</v>
      </c>
      <c r="F882" s="5" t="s">
        <v>248</v>
      </c>
      <c r="G882" s="5" t="s">
        <v>1969</v>
      </c>
      <c r="H882" s="6" t="s">
        <v>3346</v>
      </c>
      <c r="I882" s="7">
        <f>1145</f>
        <v>1145</v>
      </c>
      <c r="J882" s="5" t="s">
        <v>262</v>
      </c>
      <c r="K882" s="8">
        <f>1</f>
        <v>1</v>
      </c>
      <c r="L882" s="6" t="s">
        <v>242</v>
      </c>
      <c r="M882" s="5" t="s">
        <v>267</v>
      </c>
      <c r="N882" s="5" t="s">
        <v>265</v>
      </c>
      <c r="O882" s="5" t="s">
        <v>238</v>
      </c>
      <c r="P882" s="5" t="s">
        <v>238</v>
      </c>
      <c r="Q882" s="5" t="s">
        <v>268</v>
      </c>
      <c r="R882" s="5" t="s">
        <v>270</v>
      </c>
      <c r="S882" s="5" t="s">
        <v>238</v>
      </c>
      <c r="V882" s="5" t="s">
        <v>238</v>
      </c>
      <c r="X882" s="6" t="s">
        <v>238</v>
      </c>
      <c r="AA882" s="6" t="s">
        <v>243</v>
      </c>
      <c r="AB882" s="5" t="s">
        <v>238</v>
      </c>
      <c r="AC882" s="5" t="s">
        <v>244</v>
      </c>
      <c r="AD882" s="5" t="s">
        <v>245</v>
      </c>
      <c r="AT882" s="5" t="s">
        <v>246</v>
      </c>
      <c r="AU882" s="5" t="s">
        <v>238</v>
      </c>
      <c r="AV882" s="5" t="s">
        <v>247</v>
      </c>
      <c r="AW882" s="5" t="s">
        <v>238</v>
      </c>
      <c r="AX882" s="5" t="s">
        <v>249</v>
      </c>
      <c r="AY882" s="5" t="s">
        <v>238</v>
      </c>
      <c r="BA882" s="5" t="s">
        <v>238</v>
      </c>
      <c r="BC882" s="5" t="s">
        <v>250</v>
      </c>
      <c r="BD882" s="6" t="s">
        <v>243</v>
      </c>
      <c r="BE882" s="5" t="s">
        <v>251</v>
      </c>
      <c r="BF882" s="5" t="s">
        <v>252</v>
      </c>
      <c r="BG882" s="5" t="s">
        <v>238</v>
      </c>
      <c r="BH882" s="7">
        <f>0</f>
        <v>0</v>
      </c>
      <c r="BI882" s="8">
        <f>0</f>
        <v>0</v>
      </c>
      <c r="BJ882" s="5" t="s">
        <v>253</v>
      </c>
      <c r="BK882" s="5" t="s">
        <v>254</v>
      </c>
      <c r="BY882" s="5" t="s">
        <v>238</v>
      </c>
      <c r="BZ882" s="5" t="s">
        <v>238</v>
      </c>
      <c r="CD882" s="5" t="s">
        <v>273</v>
      </c>
      <c r="CE882" s="5" t="s">
        <v>256</v>
      </c>
      <c r="CF882" s="5" t="s">
        <v>238</v>
      </c>
      <c r="CI882" s="6" t="s">
        <v>257</v>
      </c>
      <c r="CJ882" s="5" t="s">
        <v>238</v>
      </c>
      <c r="CK882" s="5" t="s">
        <v>258</v>
      </c>
      <c r="CL882" s="5" t="s">
        <v>238</v>
      </c>
      <c r="CM882" s="5" t="s">
        <v>238</v>
      </c>
      <c r="CN882" s="5">
        <v>0</v>
      </c>
      <c r="CO882" s="5" t="s">
        <v>259</v>
      </c>
      <c r="CP882" s="5" t="s">
        <v>260</v>
      </c>
      <c r="CQ882" s="5" t="s">
        <v>260</v>
      </c>
      <c r="CR882" s="5" t="s">
        <v>261</v>
      </c>
      <c r="CU882" s="8">
        <f>1</f>
        <v>1</v>
      </c>
      <c r="CV882" s="8">
        <f>0</f>
        <v>0</v>
      </c>
      <c r="CX882" s="8">
        <f>0</f>
        <v>0</v>
      </c>
      <c r="CY882" s="8">
        <f>1</f>
        <v>1</v>
      </c>
      <c r="DA882" s="5" t="s">
        <v>673</v>
      </c>
      <c r="DB882" s="5" t="s">
        <v>238</v>
      </c>
      <c r="DD882" s="5" t="s">
        <v>673</v>
      </c>
      <c r="DE882" s="8">
        <f>1145</f>
        <v>1145</v>
      </c>
      <c r="DG882" s="5" t="s">
        <v>238</v>
      </c>
      <c r="DH882" s="5" t="s">
        <v>238</v>
      </c>
      <c r="DI882" s="5" t="s">
        <v>238</v>
      </c>
      <c r="DJ882" s="5" t="s">
        <v>238</v>
      </c>
      <c r="DN882" s="5" t="s">
        <v>238</v>
      </c>
      <c r="DO882" s="5" t="s">
        <v>238</v>
      </c>
      <c r="DP882" s="5" t="s">
        <v>238</v>
      </c>
      <c r="DQ882" s="5" t="s">
        <v>238</v>
      </c>
      <c r="DT882" s="5" t="s">
        <v>2039</v>
      </c>
      <c r="DU882" s="5" t="s">
        <v>342</v>
      </c>
      <c r="HM882" s="5" t="s">
        <v>264</v>
      </c>
    </row>
    <row r="883" spans="1:221" x14ac:dyDescent="0.4">
      <c r="A883" s="5">
        <v>2558</v>
      </c>
      <c r="B883" s="5">
        <v>1</v>
      </c>
      <c r="C883" s="5">
        <v>1</v>
      </c>
      <c r="D883" s="5" t="s">
        <v>2037</v>
      </c>
      <c r="E883" s="5" t="s">
        <v>271</v>
      </c>
      <c r="F883" s="5" t="s">
        <v>248</v>
      </c>
      <c r="G883" s="5" t="s">
        <v>1969</v>
      </c>
      <c r="H883" s="6" t="s">
        <v>3345</v>
      </c>
      <c r="I883" s="7">
        <f>895</f>
        <v>895</v>
      </c>
      <c r="J883" s="5" t="s">
        <v>262</v>
      </c>
      <c r="K883" s="8">
        <f>1</f>
        <v>1</v>
      </c>
      <c r="L883" s="6" t="s">
        <v>242</v>
      </c>
      <c r="M883" s="5" t="s">
        <v>267</v>
      </c>
      <c r="N883" s="5" t="s">
        <v>265</v>
      </c>
      <c r="O883" s="5" t="s">
        <v>238</v>
      </c>
      <c r="P883" s="5" t="s">
        <v>238</v>
      </c>
      <c r="Q883" s="5" t="s">
        <v>268</v>
      </c>
      <c r="R883" s="5" t="s">
        <v>270</v>
      </c>
      <c r="S883" s="5" t="s">
        <v>238</v>
      </c>
      <c r="V883" s="5" t="s">
        <v>238</v>
      </c>
      <c r="X883" s="6" t="s">
        <v>238</v>
      </c>
      <c r="AA883" s="6" t="s">
        <v>243</v>
      </c>
      <c r="AB883" s="5" t="s">
        <v>238</v>
      </c>
      <c r="AC883" s="5" t="s">
        <v>244</v>
      </c>
      <c r="AD883" s="5" t="s">
        <v>245</v>
      </c>
      <c r="AT883" s="5" t="s">
        <v>246</v>
      </c>
      <c r="AU883" s="5" t="s">
        <v>238</v>
      </c>
      <c r="AV883" s="5" t="s">
        <v>247</v>
      </c>
      <c r="AW883" s="5" t="s">
        <v>238</v>
      </c>
      <c r="AX883" s="5" t="s">
        <v>249</v>
      </c>
      <c r="AY883" s="5" t="s">
        <v>238</v>
      </c>
      <c r="BA883" s="5" t="s">
        <v>238</v>
      </c>
      <c r="BC883" s="5" t="s">
        <v>250</v>
      </c>
      <c r="BD883" s="6" t="s">
        <v>243</v>
      </c>
      <c r="BE883" s="5" t="s">
        <v>251</v>
      </c>
      <c r="BF883" s="5" t="s">
        <v>252</v>
      </c>
      <c r="BG883" s="5" t="s">
        <v>238</v>
      </c>
      <c r="BH883" s="7">
        <f>0</f>
        <v>0</v>
      </c>
      <c r="BI883" s="8">
        <f>0</f>
        <v>0</v>
      </c>
      <c r="BJ883" s="5" t="s">
        <v>253</v>
      </c>
      <c r="BK883" s="5" t="s">
        <v>254</v>
      </c>
      <c r="BY883" s="5" t="s">
        <v>238</v>
      </c>
      <c r="BZ883" s="5" t="s">
        <v>238</v>
      </c>
      <c r="CD883" s="5" t="s">
        <v>273</v>
      </c>
      <c r="CE883" s="5" t="s">
        <v>256</v>
      </c>
      <c r="CF883" s="5" t="s">
        <v>238</v>
      </c>
      <c r="CI883" s="6" t="s">
        <v>257</v>
      </c>
      <c r="CJ883" s="5" t="s">
        <v>238</v>
      </c>
      <c r="CK883" s="5" t="s">
        <v>258</v>
      </c>
      <c r="CL883" s="5" t="s">
        <v>238</v>
      </c>
      <c r="CM883" s="5" t="s">
        <v>238</v>
      </c>
      <c r="CN883" s="5">
        <v>0</v>
      </c>
      <c r="CO883" s="5" t="s">
        <v>259</v>
      </c>
      <c r="CP883" s="5" t="s">
        <v>260</v>
      </c>
      <c r="CQ883" s="5" t="s">
        <v>260</v>
      </c>
      <c r="CR883" s="5" t="s">
        <v>261</v>
      </c>
      <c r="CU883" s="8">
        <f>1</f>
        <v>1</v>
      </c>
      <c r="CV883" s="8">
        <f>0</f>
        <v>0</v>
      </c>
      <c r="CX883" s="8">
        <f>0</f>
        <v>0</v>
      </c>
      <c r="CY883" s="8">
        <f>1</f>
        <v>1</v>
      </c>
      <c r="DA883" s="5" t="s">
        <v>673</v>
      </c>
      <c r="DB883" s="5" t="s">
        <v>238</v>
      </c>
      <c r="DD883" s="5" t="s">
        <v>673</v>
      </c>
      <c r="DE883" s="8">
        <f>895</f>
        <v>895</v>
      </c>
      <c r="DG883" s="5" t="s">
        <v>238</v>
      </c>
      <c r="DH883" s="5" t="s">
        <v>238</v>
      </c>
      <c r="DI883" s="5" t="s">
        <v>238</v>
      </c>
      <c r="DJ883" s="5" t="s">
        <v>238</v>
      </c>
      <c r="DN883" s="5" t="s">
        <v>238</v>
      </c>
      <c r="DO883" s="5" t="s">
        <v>238</v>
      </c>
      <c r="DP883" s="5" t="s">
        <v>238</v>
      </c>
      <c r="DQ883" s="5" t="s">
        <v>238</v>
      </c>
      <c r="DT883" s="5" t="s">
        <v>2039</v>
      </c>
      <c r="DU883" s="5" t="s">
        <v>346</v>
      </c>
      <c r="HM883" s="5" t="s">
        <v>264</v>
      </c>
    </row>
    <row r="884" spans="1:221" x14ac:dyDescent="0.4">
      <c r="A884" s="5">
        <v>2559</v>
      </c>
      <c r="B884" s="5">
        <v>1</v>
      </c>
      <c r="C884" s="5">
        <v>1</v>
      </c>
      <c r="D884" s="5" t="s">
        <v>2037</v>
      </c>
      <c r="E884" s="5" t="s">
        <v>271</v>
      </c>
      <c r="F884" s="5" t="s">
        <v>248</v>
      </c>
      <c r="G884" s="5" t="s">
        <v>1969</v>
      </c>
      <c r="H884" s="6" t="s">
        <v>3344</v>
      </c>
      <c r="I884" s="7">
        <f>179</f>
        <v>179</v>
      </c>
      <c r="J884" s="5" t="s">
        <v>262</v>
      </c>
      <c r="K884" s="8">
        <f>1</f>
        <v>1</v>
      </c>
      <c r="L884" s="6" t="s">
        <v>242</v>
      </c>
      <c r="M884" s="5" t="s">
        <v>267</v>
      </c>
      <c r="N884" s="5" t="s">
        <v>265</v>
      </c>
      <c r="O884" s="5" t="s">
        <v>238</v>
      </c>
      <c r="P884" s="5" t="s">
        <v>238</v>
      </c>
      <c r="Q884" s="5" t="s">
        <v>268</v>
      </c>
      <c r="R884" s="5" t="s">
        <v>270</v>
      </c>
      <c r="S884" s="5" t="s">
        <v>238</v>
      </c>
      <c r="V884" s="5" t="s">
        <v>238</v>
      </c>
      <c r="X884" s="6" t="s">
        <v>238</v>
      </c>
      <c r="AA884" s="6" t="s">
        <v>243</v>
      </c>
      <c r="AB884" s="5" t="s">
        <v>238</v>
      </c>
      <c r="AC884" s="5" t="s">
        <v>244</v>
      </c>
      <c r="AD884" s="5" t="s">
        <v>245</v>
      </c>
      <c r="AT884" s="5" t="s">
        <v>246</v>
      </c>
      <c r="AU884" s="5" t="s">
        <v>238</v>
      </c>
      <c r="AV884" s="5" t="s">
        <v>247</v>
      </c>
      <c r="AW884" s="5" t="s">
        <v>238</v>
      </c>
      <c r="AX884" s="5" t="s">
        <v>249</v>
      </c>
      <c r="AY884" s="5" t="s">
        <v>238</v>
      </c>
      <c r="BA884" s="5" t="s">
        <v>238</v>
      </c>
      <c r="BC884" s="5" t="s">
        <v>250</v>
      </c>
      <c r="BD884" s="6" t="s">
        <v>243</v>
      </c>
      <c r="BE884" s="5" t="s">
        <v>251</v>
      </c>
      <c r="BF884" s="5" t="s">
        <v>252</v>
      </c>
      <c r="BG884" s="5" t="s">
        <v>238</v>
      </c>
      <c r="BH884" s="7">
        <f>0</f>
        <v>0</v>
      </c>
      <c r="BI884" s="8">
        <f>0</f>
        <v>0</v>
      </c>
      <c r="BJ884" s="5" t="s">
        <v>253</v>
      </c>
      <c r="BK884" s="5" t="s">
        <v>254</v>
      </c>
      <c r="BY884" s="5" t="s">
        <v>238</v>
      </c>
      <c r="BZ884" s="5" t="s">
        <v>238</v>
      </c>
      <c r="CD884" s="5" t="s">
        <v>273</v>
      </c>
      <c r="CE884" s="5" t="s">
        <v>256</v>
      </c>
      <c r="CF884" s="5" t="s">
        <v>238</v>
      </c>
      <c r="CI884" s="6" t="s">
        <v>257</v>
      </c>
      <c r="CJ884" s="5" t="s">
        <v>238</v>
      </c>
      <c r="CK884" s="5" t="s">
        <v>258</v>
      </c>
      <c r="CL884" s="5" t="s">
        <v>238</v>
      </c>
      <c r="CM884" s="5" t="s">
        <v>238</v>
      </c>
      <c r="CN884" s="5">
        <v>0</v>
      </c>
      <c r="CO884" s="5" t="s">
        <v>259</v>
      </c>
      <c r="CP884" s="5" t="s">
        <v>260</v>
      </c>
      <c r="CQ884" s="5" t="s">
        <v>260</v>
      </c>
      <c r="CR884" s="5" t="s">
        <v>261</v>
      </c>
      <c r="CU884" s="8">
        <f>1</f>
        <v>1</v>
      </c>
      <c r="CV884" s="8">
        <f>0</f>
        <v>0</v>
      </c>
      <c r="CX884" s="8">
        <f>0</f>
        <v>0</v>
      </c>
      <c r="CY884" s="8">
        <f>1</f>
        <v>1</v>
      </c>
      <c r="DA884" s="5" t="s">
        <v>673</v>
      </c>
      <c r="DB884" s="5" t="s">
        <v>238</v>
      </c>
      <c r="DD884" s="5" t="s">
        <v>673</v>
      </c>
      <c r="DE884" s="8">
        <f>179</f>
        <v>179</v>
      </c>
      <c r="DG884" s="5" t="s">
        <v>238</v>
      </c>
      <c r="DH884" s="5" t="s">
        <v>238</v>
      </c>
      <c r="DI884" s="5" t="s">
        <v>238</v>
      </c>
      <c r="DJ884" s="5" t="s">
        <v>238</v>
      </c>
      <c r="DN884" s="5" t="s">
        <v>238</v>
      </c>
      <c r="DO884" s="5" t="s">
        <v>238</v>
      </c>
      <c r="DP884" s="5" t="s">
        <v>238</v>
      </c>
      <c r="DQ884" s="5" t="s">
        <v>238</v>
      </c>
      <c r="DT884" s="5" t="s">
        <v>2039</v>
      </c>
      <c r="DU884" s="5" t="s">
        <v>352</v>
      </c>
      <c r="HM884" s="5" t="s">
        <v>264</v>
      </c>
    </row>
    <row r="885" spans="1:221" x14ac:dyDescent="0.4">
      <c r="A885" s="5">
        <v>2560</v>
      </c>
      <c r="B885" s="5">
        <v>1</v>
      </c>
      <c r="C885" s="5">
        <v>1</v>
      </c>
      <c r="D885" s="5" t="s">
        <v>2037</v>
      </c>
      <c r="E885" s="5" t="s">
        <v>271</v>
      </c>
      <c r="F885" s="5" t="s">
        <v>248</v>
      </c>
      <c r="G885" s="5" t="s">
        <v>1969</v>
      </c>
      <c r="H885" s="6" t="s">
        <v>3342</v>
      </c>
      <c r="I885" s="7">
        <f>5674</f>
        <v>5674</v>
      </c>
      <c r="J885" s="5" t="s">
        <v>262</v>
      </c>
      <c r="K885" s="8">
        <f>1</f>
        <v>1</v>
      </c>
      <c r="L885" s="6" t="s">
        <v>242</v>
      </c>
      <c r="M885" s="5" t="s">
        <v>267</v>
      </c>
      <c r="N885" s="5" t="s">
        <v>265</v>
      </c>
      <c r="O885" s="5" t="s">
        <v>238</v>
      </c>
      <c r="P885" s="5" t="s">
        <v>238</v>
      </c>
      <c r="Q885" s="5" t="s">
        <v>268</v>
      </c>
      <c r="R885" s="5" t="s">
        <v>270</v>
      </c>
      <c r="S885" s="5" t="s">
        <v>238</v>
      </c>
      <c r="V885" s="5" t="s">
        <v>238</v>
      </c>
      <c r="X885" s="6" t="s">
        <v>238</v>
      </c>
      <c r="AA885" s="6" t="s">
        <v>243</v>
      </c>
      <c r="AB885" s="5" t="s">
        <v>238</v>
      </c>
      <c r="AC885" s="5" t="s">
        <v>244</v>
      </c>
      <c r="AD885" s="5" t="s">
        <v>245</v>
      </c>
      <c r="AT885" s="5" t="s">
        <v>246</v>
      </c>
      <c r="AU885" s="5" t="s">
        <v>238</v>
      </c>
      <c r="AV885" s="5" t="s">
        <v>247</v>
      </c>
      <c r="AW885" s="5" t="s">
        <v>238</v>
      </c>
      <c r="AX885" s="5" t="s">
        <v>249</v>
      </c>
      <c r="AY885" s="5" t="s">
        <v>238</v>
      </c>
      <c r="BA885" s="5" t="s">
        <v>238</v>
      </c>
      <c r="BC885" s="5" t="s">
        <v>250</v>
      </c>
      <c r="BD885" s="6" t="s">
        <v>243</v>
      </c>
      <c r="BE885" s="5" t="s">
        <v>251</v>
      </c>
      <c r="BF885" s="5" t="s">
        <v>252</v>
      </c>
      <c r="BG885" s="5" t="s">
        <v>238</v>
      </c>
      <c r="BH885" s="7">
        <f>0</f>
        <v>0</v>
      </c>
      <c r="BI885" s="8">
        <f>0</f>
        <v>0</v>
      </c>
      <c r="BJ885" s="5" t="s">
        <v>253</v>
      </c>
      <c r="BK885" s="5" t="s">
        <v>254</v>
      </c>
      <c r="BY885" s="5" t="s">
        <v>238</v>
      </c>
      <c r="BZ885" s="5" t="s">
        <v>238</v>
      </c>
      <c r="CD885" s="5" t="s">
        <v>273</v>
      </c>
      <c r="CE885" s="5" t="s">
        <v>256</v>
      </c>
      <c r="CF885" s="5" t="s">
        <v>238</v>
      </c>
      <c r="CI885" s="6" t="s">
        <v>257</v>
      </c>
      <c r="CJ885" s="5" t="s">
        <v>238</v>
      </c>
      <c r="CK885" s="5" t="s">
        <v>258</v>
      </c>
      <c r="CL885" s="5" t="s">
        <v>238</v>
      </c>
      <c r="CM885" s="5" t="s">
        <v>238</v>
      </c>
      <c r="CN885" s="5">
        <v>0</v>
      </c>
      <c r="CO885" s="5" t="s">
        <v>259</v>
      </c>
      <c r="CP885" s="5" t="s">
        <v>260</v>
      </c>
      <c r="CQ885" s="5" t="s">
        <v>260</v>
      </c>
      <c r="CR885" s="5" t="s">
        <v>261</v>
      </c>
      <c r="CU885" s="8">
        <f>1</f>
        <v>1</v>
      </c>
      <c r="CV885" s="8">
        <f>0</f>
        <v>0</v>
      </c>
      <c r="CX885" s="8">
        <f>0</f>
        <v>0</v>
      </c>
      <c r="CY885" s="8">
        <f>1</f>
        <v>1</v>
      </c>
      <c r="DA885" s="5" t="s">
        <v>673</v>
      </c>
      <c r="DB885" s="5" t="s">
        <v>238</v>
      </c>
      <c r="DD885" s="5" t="s">
        <v>673</v>
      </c>
      <c r="DE885" s="8">
        <f>5674</f>
        <v>5674</v>
      </c>
      <c r="DG885" s="5" t="s">
        <v>238</v>
      </c>
      <c r="DH885" s="5" t="s">
        <v>238</v>
      </c>
      <c r="DI885" s="5" t="s">
        <v>238</v>
      </c>
      <c r="DJ885" s="5" t="s">
        <v>238</v>
      </c>
      <c r="DN885" s="5" t="s">
        <v>238</v>
      </c>
      <c r="DO885" s="5" t="s">
        <v>238</v>
      </c>
      <c r="DP885" s="5" t="s">
        <v>238</v>
      </c>
      <c r="DQ885" s="5" t="s">
        <v>238</v>
      </c>
      <c r="DT885" s="5" t="s">
        <v>2039</v>
      </c>
      <c r="DU885" s="5" t="s">
        <v>3343</v>
      </c>
      <c r="HM885" s="5" t="s">
        <v>264</v>
      </c>
    </row>
    <row r="886" spans="1:221" x14ac:dyDescent="0.4">
      <c r="A886" s="5">
        <v>2561</v>
      </c>
      <c r="B886" s="5">
        <v>1</v>
      </c>
      <c r="C886" s="5">
        <v>1</v>
      </c>
      <c r="D886" s="5" t="s">
        <v>2037</v>
      </c>
      <c r="E886" s="5" t="s">
        <v>271</v>
      </c>
      <c r="F886" s="5" t="s">
        <v>248</v>
      </c>
      <c r="G886" s="5" t="s">
        <v>1969</v>
      </c>
      <c r="H886" s="6" t="s">
        <v>3341</v>
      </c>
      <c r="I886" s="7">
        <f>5353</f>
        <v>5353</v>
      </c>
      <c r="J886" s="5" t="s">
        <v>262</v>
      </c>
      <c r="K886" s="8">
        <f>1</f>
        <v>1</v>
      </c>
      <c r="L886" s="6" t="s">
        <v>242</v>
      </c>
      <c r="M886" s="5" t="s">
        <v>267</v>
      </c>
      <c r="N886" s="5" t="s">
        <v>265</v>
      </c>
      <c r="O886" s="5" t="s">
        <v>238</v>
      </c>
      <c r="P886" s="5" t="s">
        <v>238</v>
      </c>
      <c r="Q886" s="5" t="s">
        <v>268</v>
      </c>
      <c r="R886" s="5" t="s">
        <v>270</v>
      </c>
      <c r="S886" s="5" t="s">
        <v>238</v>
      </c>
      <c r="V886" s="5" t="s">
        <v>238</v>
      </c>
      <c r="X886" s="6" t="s">
        <v>238</v>
      </c>
      <c r="AA886" s="6" t="s">
        <v>243</v>
      </c>
      <c r="AB886" s="5" t="s">
        <v>238</v>
      </c>
      <c r="AC886" s="5" t="s">
        <v>244</v>
      </c>
      <c r="AD886" s="5" t="s">
        <v>245</v>
      </c>
      <c r="AT886" s="5" t="s">
        <v>246</v>
      </c>
      <c r="AU886" s="5" t="s">
        <v>238</v>
      </c>
      <c r="AV886" s="5" t="s">
        <v>247</v>
      </c>
      <c r="AW886" s="5" t="s">
        <v>238</v>
      </c>
      <c r="AX886" s="5" t="s">
        <v>249</v>
      </c>
      <c r="AY886" s="5" t="s">
        <v>238</v>
      </c>
      <c r="BA886" s="5" t="s">
        <v>238</v>
      </c>
      <c r="BC886" s="5" t="s">
        <v>250</v>
      </c>
      <c r="BD886" s="6" t="s">
        <v>243</v>
      </c>
      <c r="BE886" s="5" t="s">
        <v>251</v>
      </c>
      <c r="BF886" s="5" t="s">
        <v>252</v>
      </c>
      <c r="BG886" s="5" t="s">
        <v>238</v>
      </c>
      <c r="BH886" s="7">
        <f>0</f>
        <v>0</v>
      </c>
      <c r="BI886" s="8">
        <f>0</f>
        <v>0</v>
      </c>
      <c r="BJ886" s="5" t="s">
        <v>253</v>
      </c>
      <c r="BK886" s="5" t="s">
        <v>254</v>
      </c>
      <c r="BY886" s="5" t="s">
        <v>238</v>
      </c>
      <c r="BZ886" s="5" t="s">
        <v>238</v>
      </c>
      <c r="CD886" s="5" t="s">
        <v>273</v>
      </c>
      <c r="CE886" s="5" t="s">
        <v>256</v>
      </c>
      <c r="CF886" s="5" t="s">
        <v>238</v>
      </c>
      <c r="CI886" s="6" t="s">
        <v>257</v>
      </c>
      <c r="CJ886" s="5" t="s">
        <v>238</v>
      </c>
      <c r="CK886" s="5" t="s">
        <v>258</v>
      </c>
      <c r="CL886" s="5" t="s">
        <v>238</v>
      </c>
      <c r="CM886" s="5" t="s">
        <v>238</v>
      </c>
      <c r="CN886" s="5">
        <v>0</v>
      </c>
      <c r="CO886" s="5" t="s">
        <v>259</v>
      </c>
      <c r="CP886" s="5" t="s">
        <v>260</v>
      </c>
      <c r="CQ886" s="5" t="s">
        <v>260</v>
      </c>
      <c r="CR886" s="5" t="s">
        <v>261</v>
      </c>
      <c r="CU886" s="8">
        <f>1</f>
        <v>1</v>
      </c>
      <c r="CV886" s="8">
        <f>0</f>
        <v>0</v>
      </c>
      <c r="CX886" s="8">
        <f>0</f>
        <v>0</v>
      </c>
      <c r="CY886" s="8">
        <f>1</f>
        <v>1</v>
      </c>
      <c r="DA886" s="5" t="s">
        <v>673</v>
      </c>
      <c r="DB886" s="5" t="s">
        <v>238</v>
      </c>
      <c r="DD886" s="5" t="s">
        <v>673</v>
      </c>
      <c r="DE886" s="8">
        <f>5353</f>
        <v>5353</v>
      </c>
      <c r="DG886" s="5" t="s">
        <v>238</v>
      </c>
      <c r="DH886" s="5" t="s">
        <v>238</v>
      </c>
      <c r="DI886" s="5" t="s">
        <v>238</v>
      </c>
      <c r="DJ886" s="5" t="s">
        <v>238</v>
      </c>
      <c r="DN886" s="5" t="s">
        <v>238</v>
      </c>
      <c r="DO886" s="5" t="s">
        <v>238</v>
      </c>
      <c r="DP886" s="5" t="s">
        <v>238</v>
      </c>
      <c r="DQ886" s="5" t="s">
        <v>238</v>
      </c>
      <c r="DT886" s="5" t="s">
        <v>2039</v>
      </c>
      <c r="DU886" s="5" t="s">
        <v>362</v>
      </c>
      <c r="HM886" s="5" t="s">
        <v>264</v>
      </c>
    </row>
    <row r="887" spans="1:221" x14ac:dyDescent="0.4">
      <c r="A887" s="5">
        <v>2562</v>
      </c>
      <c r="B887" s="5">
        <v>1</v>
      </c>
      <c r="C887" s="5">
        <v>1</v>
      </c>
      <c r="D887" s="5" t="s">
        <v>2037</v>
      </c>
      <c r="E887" s="5" t="s">
        <v>271</v>
      </c>
      <c r="F887" s="5" t="s">
        <v>248</v>
      </c>
      <c r="G887" s="5" t="s">
        <v>1969</v>
      </c>
      <c r="H887" s="6" t="s">
        <v>3340</v>
      </c>
      <c r="I887" s="7">
        <f>1597</f>
        <v>1597</v>
      </c>
      <c r="J887" s="5" t="s">
        <v>262</v>
      </c>
      <c r="K887" s="8">
        <f>1</f>
        <v>1</v>
      </c>
      <c r="L887" s="6" t="s">
        <v>242</v>
      </c>
      <c r="M887" s="5" t="s">
        <v>267</v>
      </c>
      <c r="N887" s="5" t="s">
        <v>265</v>
      </c>
      <c r="O887" s="5" t="s">
        <v>238</v>
      </c>
      <c r="P887" s="5" t="s">
        <v>238</v>
      </c>
      <c r="Q887" s="5" t="s">
        <v>268</v>
      </c>
      <c r="R887" s="5" t="s">
        <v>270</v>
      </c>
      <c r="S887" s="5" t="s">
        <v>238</v>
      </c>
      <c r="V887" s="5" t="s">
        <v>238</v>
      </c>
      <c r="X887" s="6" t="s">
        <v>238</v>
      </c>
      <c r="AA887" s="6" t="s">
        <v>243</v>
      </c>
      <c r="AB887" s="5" t="s">
        <v>238</v>
      </c>
      <c r="AC887" s="5" t="s">
        <v>244</v>
      </c>
      <c r="AD887" s="5" t="s">
        <v>245</v>
      </c>
      <c r="AT887" s="5" t="s">
        <v>246</v>
      </c>
      <c r="AU887" s="5" t="s">
        <v>238</v>
      </c>
      <c r="AV887" s="5" t="s">
        <v>247</v>
      </c>
      <c r="AW887" s="5" t="s">
        <v>238</v>
      </c>
      <c r="AX887" s="5" t="s">
        <v>249</v>
      </c>
      <c r="AY887" s="5" t="s">
        <v>238</v>
      </c>
      <c r="BA887" s="5" t="s">
        <v>238</v>
      </c>
      <c r="BC887" s="5" t="s">
        <v>250</v>
      </c>
      <c r="BD887" s="6" t="s">
        <v>243</v>
      </c>
      <c r="BE887" s="5" t="s">
        <v>251</v>
      </c>
      <c r="BF887" s="5" t="s">
        <v>252</v>
      </c>
      <c r="BG887" s="5" t="s">
        <v>238</v>
      </c>
      <c r="BH887" s="7">
        <f>0</f>
        <v>0</v>
      </c>
      <c r="BI887" s="8">
        <f>0</f>
        <v>0</v>
      </c>
      <c r="BJ887" s="5" t="s">
        <v>253</v>
      </c>
      <c r="BK887" s="5" t="s">
        <v>254</v>
      </c>
      <c r="BY887" s="5" t="s">
        <v>238</v>
      </c>
      <c r="BZ887" s="5" t="s">
        <v>238</v>
      </c>
      <c r="CD887" s="5" t="s">
        <v>273</v>
      </c>
      <c r="CE887" s="5" t="s">
        <v>256</v>
      </c>
      <c r="CF887" s="5" t="s">
        <v>238</v>
      </c>
      <c r="CI887" s="6" t="s">
        <v>257</v>
      </c>
      <c r="CJ887" s="5" t="s">
        <v>238</v>
      </c>
      <c r="CK887" s="5" t="s">
        <v>258</v>
      </c>
      <c r="CL887" s="5" t="s">
        <v>238</v>
      </c>
      <c r="CM887" s="5" t="s">
        <v>238</v>
      </c>
      <c r="CN887" s="5">
        <v>0</v>
      </c>
      <c r="CO887" s="5" t="s">
        <v>259</v>
      </c>
      <c r="CP887" s="5" t="s">
        <v>260</v>
      </c>
      <c r="CQ887" s="5" t="s">
        <v>260</v>
      </c>
      <c r="CR887" s="5" t="s">
        <v>261</v>
      </c>
      <c r="CU887" s="8">
        <f>1</f>
        <v>1</v>
      </c>
      <c r="CV887" s="8">
        <f>0</f>
        <v>0</v>
      </c>
      <c r="CX887" s="8">
        <f>0</f>
        <v>0</v>
      </c>
      <c r="CY887" s="8">
        <f>1</f>
        <v>1</v>
      </c>
      <c r="DA887" s="5" t="s">
        <v>673</v>
      </c>
      <c r="DB887" s="5" t="s">
        <v>238</v>
      </c>
      <c r="DD887" s="5" t="s">
        <v>673</v>
      </c>
      <c r="DE887" s="8">
        <f>1597</f>
        <v>1597</v>
      </c>
      <c r="DG887" s="5" t="s">
        <v>238</v>
      </c>
      <c r="DH887" s="5" t="s">
        <v>238</v>
      </c>
      <c r="DI887" s="5" t="s">
        <v>238</v>
      </c>
      <c r="DJ887" s="5" t="s">
        <v>238</v>
      </c>
      <c r="DN887" s="5" t="s">
        <v>238</v>
      </c>
      <c r="DO887" s="5" t="s">
        <v>238</v>
      </c>
      <c r="DP887" s="5" t="s">
        <v>238</v>
      </c>
      <c r="DQ887" s="5" t="s">
        <v>238</v>
      </c>
      <c r="DT887" s="5" t="s">
        <v>2039</v>
      </c>
      <c r="DU887" s="5" t="s">
        <v>366</v>
      </c>
      <c r="HM887" s="5" t="s">
        <v>264</v>
      </c>
    </row>
    <row r="888" spans="1:221" x14ac:dyDescent="0.4">
      <c r="A888" s="5">
        <v>2563</v>
      </c>
      <c r="B888" s="5">
        <v>1</v>
      </c>
      <c r="C888" s="5">
        <v>1</v>
      </c>
      <c r="D888" s="5" t="s">
        <v>2037</v>
      </c>
      <c r="E888" s="5" t="s">
        <v>271</v>
      </c>
      <c r="F888" s="5" t="s">
        <v>248</v>
      </c>
      <c r="G888" s="5" t="s">
        <v>1969</v>
      </c>
      <c r="H888" s="6" t="s">
        <v>3339</v>
      </c>
      <c r="I888" s="7">
        <f>735</f>
        <v>735</v>
      </c>
      <c r="J888" s="5" t="s">
        <v>262</v>
      </c>
      <c r="K888" s="8">
        <f>1</f>
        <v>1</v>
      </c>
      <c r="L888" s="6" t="s">
        <v>242</v>
      </c>
      <c r="M888" s="5" t="s">
        <v>267</v>
      </c>
      <c r="N888" s="5" t="s">
        <v>265</v>
      </c>
      <c r="O888" s="5" t="s">
        <v>238</v>
      </c>
      <c r="P888" s="5" t="s">
        <v>238</v>
      </c>
      <c r="Q888" s="5" t="s">
        <v>268</v>
      </c>
      <c r="R888" s="5" t="s">
        <v>270</v>
      </c>
      <c r="S888" s="5" t="s">
        <v>238</v>
      </c>
      <c r="V888" s="5" t="s">
        <v>238</v>
      </c>
      <c r="X888" s="6" t="s">
        <v>238</v>
      </c>
      <c r="AA888" s="6" t="s">
        <v>243</v>
      </c>
      <c r="AB888" s="5" t="s">
        <v>238</v>
      </c>
      <c r="AC888" s="5" t="s">
        <v>244</v>
      </c>
      <c r="AD888" s="5" t="s">
        <v>245</v>
      </c>
      <c r="AT888" s="5" t="s">
        <v>246</v>
      </c>
      <c r="AU888" s="5" t="s">
        <v>238</v>
      </c>
      <c r="AV888" s="5" t="s">
        <v>247</v>
      </c>
      <c r="AW888" s="5" t="s">
        <v>238</v>
      </c>
      <c r="AX888" s="5" t="s">
        <v>249</v>
      </c>
      <c r="AY888" s="5" t="s">
        <v>238</v>
      </c>
      <c r="BA888" s="5" t="s">
        <v>238</v>
      </c>
      <c r="BC888" s="5" t="s">
        <v>250</v>
      </c>
      <c r="BD888" s="6" t="s">
        <v>243</v>
      </c>
      <c r="BE888" s="5" t="s">
        <v>251</v>
      </c>
      <c r="BF888" s="5" t="s">
        <v>252</v>
      </c>
      <c r="BG888" s="5" t="s">
        <v>238</v>
      </c>
      <c r="BH888" s="7">
        <f>0</f>
        <v>0</v>
      </c>
      <c r="BI888" s="8">
        <f>0</f>
        <v>0</v>
      </c>
      <c r="BJ888" s="5" t="s">
        <v>253</v>
      </c>
      <c r="BK888" s="5" t="s">
        <v>254</v>
      </c>
      <c r="BY888" s="5" t="s">
        <v>238</v>
      </c>
      <c r="BZ888" s="5" t="s">
        <v>238</v>
      </c>
      <c r="CD888" s="5" t="s">
        <v>273</v>
      </c>
      <c r="CE888" s="5" t="s">
        <v>256</v>
      </c>
      <c r="CF888" s="5" t="s">
        <v>238</v>
      </c>
      <c r="CI888" s="6" t="s">
        <v>257</v>
      </c>
      <c r="CJ888" s="5" t="s">
        <v>238</v>
      </c>
      <c r="CK888" s="5" t="s">
        <v>258</v>
      </c>
      <c r="CL888" s="5" t="s">
        <v>238</v>
      </c>
      <c r="CM888" s="5" t="s">
        <v>238</v>
      </c>
      <c r="CN888" s="5">
        <v>0</v>
      </c>
      <c r="CO888" s="5" t="s">
        <v>259</v>
      </c>
      <c r="CP888" s="5" t="s">
        <v>260</v>
      </c>
      <c r="CQ888" s="5" t="s">
        <v>260</v>
      </c>
      <c r="CR888" s="5" t="s">
        <v>261</v>
      </c>
      <c r="CU888" s="8">
        <f>1</f>
        <v>1</v>
      </c>
      <c r="CV888" s="8">
        <f>0</f>
        <v>0</v>
      </c>
      <c r="CX888" s="8">
        <f>0</f>
        <v>0</v>
      </c>
      <c r="CY888" s="8">
        <f>1</f>
        <v>1</v>
      </c>
      <c r="DA888" s="5" t="s">
        <v>673</v>
      </c>
      <c r="DB888" s="5" t="s">
        <v>238</v>
      </c>
      <c r="DD888" s="5" t="s">
        <v>673</v>
      </c>
      <c r="DE888" s="8">
        <f>735</f>
        <v>735</v>
      </c>
      <c r="DG888" s="5" t="s">
        <v>238</v>
      </c>
      <c r="DH888" s="5" t="s">
        <v>238</v>
      </c>
      <c r="DI888" s="5" t="s">
        <v>238</v>
      </c>
      <c r="DJ888" s="5" t="s">
        <v>238</v>
      </c>
      <c r="DN888" s="5" t="s">
        <v>238</v>
      </c>
      <c r="DO888" s="5" t="s">
        <v>238</v>
      </c>
      <c r="DP888" s="5" t="s">
        <v>238</v>
      </c>
      <c r="DQ888" s="5" t="s">
        <v>238</v>
      </c>
      <c r="DT888" s="5" t="s">
        <v>2039</v>
      </c>
      <c r="DU888" s="5" t="s">
        <v>368</v>
      </c>
      <c r="HM888" s="5" t="s">
        <v>264</v>
      </c>
    </row>
    <row r="889" spans="1:221" x14ac:dyDescent="0.4">
      <c r="A889" s="5">
        <v>2564</v>
      </c>
      <c r="B889" s="5">
        <v>1</v>
      </c>
      <c r="C889" s="5">
        <v>1</v>
      </c>
      <c r="D889" s="5" t="s">
        <v>2037</v>
      </c>
      <c r="E889" s="5" t="s">
        <v>271</v>
      </c>
      <c r="F889" s="5" t="s">
        <v>248</v>
      </c>
      <c r="G889" s="5" t="s">
        <v>1969</v>
      </c>
      <c r="H889" s="6" t="s">
        <v>3338</v>
      </c>
      <c r="I889" s="7">
        <f>2847</f>
        <v>2847</v>
      </c>
      <c r="J889" s="5" t="s">
        <v>262</v>
      </c>
      <c r="K889" s="8">
        <f>1</f>
        <v>1</v>
      </c>
      <c r="L889" s="6" t="s">
        <v>242</v>
      </c>
      <c r="M889" s="5" t="s">
        <v>267</v>
      </c>
      <c r="N889" s="5" t="s">
        <v>265</v>
      </c>
      <c r="O889" s="5" t="s">
        <v>238</v>
      </c>
      <c r="P889" s="5" t="s">
        <v>238</v>
      </c>
      <c r="Q889" s="5" t="s">
        <v>268</v>
      </c>
      <c r="R889" s="5" t="s">
        <v>270</v>
      </c>
      <c r="S889" s="5" t="s">
        <v>238</v>
      </c>
      <c r="V889" s="5" t="s">
        <v>238</v>
      </c>
      <c r="X889" s="6" t="s">
        <v>238</v>
      </c>
      <c r="AA889" s="6" t="s">
        <v>243</v>
      </c>
      <c r="AB889" s="5" t="s">
        <v>238</v>
      </c>
      <c r="AC889" s="5" t="s">
        <v>244</v>
      </c>
      <c r="AD889" s="5" t="s">
        <v>245</v>
      </c>
      <c r="AT889" s="5" t="s">
        <v>246</v>
      </c>
      <c r="AU889" s="5" t="s">
        <v>238</v>
      </c>
      <c r="AV889" s="5" t="s">
        <v>247</v>
      </c>
      <c r="AW889" s="5" t="s">
        <v>238</v>
      </c>
      <c r="AX889" s="5" t="s">
        <v>249</v>
      </c>
      <c r="AY889" s="5" t="s">
        <v>238</v>
      </c>
      <c r="BA889" s="5" t="s">
        <v>238</v>
      </c>
      <c r="BC889" s="5" t="s">
        <v>250</v>
      </c>
      <c r="BD889" s="6" t="s">
        <v>243</v>
      </c>
      <c r="BE889" s="5" t="s">
        <v>251</v>
      </c>
      <c r="BF889" s="5" t="s">
        <v>252</v>
      </c>
      <c r="BG889" s="5" t="s">
        <v>238</v>
      </c>
      <c r="BH889" s="7">
        <f>0</f>
        <v>0</v>
      </c>
      <c r="BI889" s="8">
        <f>0</f>
        <v>0</v>
      </c>
      <c r="BJ889" s="5" t="s">
        <v>253</v>
      </c>
      <c r="BK889" s="5" t="s">
        <v>254</v>
      </c>
      <c r="BY889" s="5" t="s">
        <v>238</v>
      </c>
      <c r="BZ889" s="5" t="s">
        <v>238</v>
      </c>
      <c r="CD889" s="5" t="s">
        <v>273</v>
      </c>
      <c r="CE889" s="5" t="s">
        <v>256</v>
      </c>
      <c r="CF889" s="5" t="s">
        <v>238</v>
      </c>
      <c r="CI889" s="6" t="s">
        <v>257</v>
      </c>
      <c r="CJ889" s="5" t="s">
        <v>238</v>
      </c>
      <c r="CK889" s="5" t="s">
        <v>258</v>
      </c>
      <c r="CL889" s="5" t="s">
        <v>238</v>
      </c>
      <c r="CM889" s="5" t="s">
        <v>238</v>
      </c>
      <c r="CN889" s="5">
        <v>0</v>
      </c>
      <c r="CO889" s="5" t="s">
        <v>259</v>
      </c>
      <c r="CP889" s="5" t="s">
        <v>260</v>
      </c>
      <c r="CQ889" s="5" t="s">
        <v>260</v>
      </c>
      <c r="CR889" s="5" t="s">
        <v>261</v>
      </c>
      <c r="CU889" s="8">
        <f>1</f>
        <v>1</v>
      </c>
      <c r="CV889" s="8">
        <f>0</f>
        <v>0</v>
      </c>
      <c r="CX889" s="8">
        <f>0</f>
        <v>0</v>
      </c>
      <c r="CY889" s="8">
        <f>1</f>
        <v>1</v>
      </c>
      <c r="DA889" s="5" t="s">
        <v>673</v>
      </c>
      <c r="DB889" s="5" t="s">
        <v>238</v>
      </c>
      <c r="DD889" s="5" t="s">
        <v>673</v>
      </c>
      <c r="DE889" s="8">
        <f>2847</f>
        <v>2847</v>
      </c>
      <c r="DG889" s="5" t="s">
        <v>238</v>
      </c>
      <c r="DH889" s="5" t="s">
        <v>238</v>
      </c>
      <c r="DI889" s="5" t="s">
        <v>238</v>
      </c>
      <c r="DJ889" s="5" t="s">
        <v>238</v>
      </c>
      <c r="DN889" s="5" t="s">
        <v>238</v>
      </c>
      <c r="DO889" s="5" t="s">
        <v>238</v>
      </c>
      <c r="DP889" s="5" t="s">
        <v>238</v>
      </c>
      <c r="DQ889" s="5" t="s">
        <v>238</v>
      </c>
      <c r="DT889" s="5" t="s">
        <v>2039</v>
      </c>
      <c r="DU889" s="5" t="s">
        <v>372</v>
      </c>
      <c r="HM889" s="5" t="s">
        <v>264</v>
      </c>
    </row>
    <row r="890" spans="1:221" x14ac:dyDescent="0.4">
      <c r="A890" s="5">
        <v>2565</v>
      </c>
      <c r="B890" s="5">
        <v>1</v>
      </c>
      <c r="C890" s="5">
        <v>1</v>
      </c>
      <c r="D890" s="5" t="s">
        <v>2037</v>
      </c>
      <c r="E890" s="5" t="s">
        <v>271</v>
      </c>
      <c r="F890" s="5" t="s">
        <v>248</v>
      </c>
      <c r="G890" s="5" t="s">
        <v>1969</v>
      </c>
      <c r="H890" s="6" t="s">
        <v>3337</v>
      </c>
      <c r="I890" s="7">
        <f>174</f>
        <v>174</v>
      </c>
      <c r="J890" s="5" t="s">
        <v>262</v>
      </c>
      <c r="K890" s="8">
        <f>1</f>
        <v>1</v>
      </c>
      <c r="L890" s="6" t="s">
        <v>242</v>
      </c>
      <c r="M890" s="5" t="s">
        <v>267</v>
      </c>
      <c r="N890" s="5" t="s">
        <v>265</v>
      </c>
      <c r="O890" s="5" t="s">
        <v>238</v>
      </c>
      <c r="P890" s="5" t="s">
        <v>238</v>
      </c>
      <c r="Q890" s="5" t="s">
        <v>268</v>
      </c>
      <c r="R890" s="5" t="s">
        <v>270</v>
      </c>
      <c r="S890" s="5" t="s">
        <v>238</v>
      </c>
      <c r="V890" s="5" t="s">
        <v>238</v>
      </c>
      <c r="X890" s="6" t="s">
        <v>238</v>
      </c>
      <c r="AA890" s="6" t="s">
        <v>243</v>
      </c>
      <c r="AB890" s="5" t="s">
        <v>238</v>
      </c>
      <c r="AC890" s="5" t="s">
        <v>244</v>
      </c>
      <c r="AD890" s="5" t="s">
        <v>245</v>
      </c>
      <c r="AT890" s="5" t="s">
        <v>246</v>
      </c>
      <c r="AU890" s="5" t="s">
        <v>238</v>
      </c>
      <c r="AV890" s="5" t="s">
        <v>247</v>
      </c>
      <c r="AW890" s="5" t="s">
        <v>238</v>
      </c>
      <c r="AX890" s="5" t="s">
        <v>249</v>
      </c>
      <c r="AY890" s="5" t="s">
        <v>238</v>
      </c>
      <c r="BA890" s="5" t="s">
        <v>238</v>
      </c>
      <c r="BC890" s="5" t="s">
        <v>250</v>
      </c>
      <c r="BD890" s="6" t="s">
        <v>243</v>
      </c>
      <c r="BE890" s="5" t="s">
        <v>251</v>
      </c>
      <c r="BF890" s="5" t="s">
        <v>252</v>
      </c>
      <c r="BG890" s="5" t="s">
        <v>238</v>
      </c>
      <c r="BH890" s="7">
        <f>0</f>
        <v>0</v>
      </c>
      <c r="BI890" s="8">
        <f>0</f>
        <v>0</v>
      </c>
      <c r="BJ890" s="5" t="s">
        <v>253</v>
      </c>
      <c r="BK890" s="5" t="s">
        <v>254</v>
      </c>
      <c r="BY890" s="5" t="s">
        <v>238</v>
      </c>
      <c r="BZ890" s="5" t="s">
        <v>238</v>
      </c>
      <c r="CD890" s="5" t="s">
        <v>273</v>
      </c>
      <c r="CE890" s="5" t="s">
        <v>256</v>
      </c>
      <c r="CF890" s="5" t="s">
        <v>238</v>
      </c>
      <c r="CI890" s="6" t="s">
        <v>257</v>
      </c>
      <c r="CJ890" s="5" t="s">
        <v>238</v>
      </c>
      <c r="CK890" s="5" t="s">
        <v>258</v>
      </c>
      <c r="CL890" s="5" t="s">
        <v>238</v>
      </c>
      <c r="CM890" s="5" t="s">
        <v>238</v>
      </c>
      <c r="CN890" s="5">
        <v>0</v>
      </c>
      <c r="CO890" s="5" t="s">
        <v>259</v>
      </c>
      <c r="CP890" s="5" t="s">
        <v>260</v>
      </c>
      <c r="CQ890" s="5" t="s">
        <v>260</v>
      </c>
      <c r="CR890" s="5" t="s">
        <v>261</v>
      </c>
      <c r="CU890" s="8">
        <f>1</f>
        <v>1</v>
      </c>
      <c r="CV890" s="8">
        <f>0</f>
        <v>0</v>
      </c>
      <c r="CX890" s="8">
        <f>0</f>
        <v>0</v>
      </c>
      <c r="CY890" s="8">
        <f>1</f>
        <v>1</v>
      </c>
      <c r="DA890" s="5" t="s">
        <v>673</v>
      </c>
      <c r="DB890" s="5" t="s">
        <v>238</v>
      </c>
      <c r="DD890" s="5" t="s">
        <v>673</v>
      </c>
      <c r="DE890" s="8">
        <f>174</f>
        <v>174</v>
      </c>
      <c r="DG890" s="5" t="s">
        <v>238</v>
      </c>
      <c r="DH890" s="5" t="s">
        <v>238</v>
      </c>
      <c r="DI890" s="5" t="s">
        <v>238</v>
      </c>
      <c r="DJ890" s="5" t="s">
        <v>238</v>
      </c>
      <c r="DN890" s="5" t="s">
        <v>238</v>
      </c>
      <c r="DO890" s="5" t="s">
        <v>238</v>
      </c>
      <c r="DP890" s="5" t="s">
        <v>238</v>
      </c>
      <c r="DQ890" s="5" t="s">
        <v>238</v>
      </c>
      <c r="DT890" s="5" t="s">
        <v>2039</v>
      </c>
      <c r="DU890" s="5" t="s">
        <v>376</v>
      </c>
      <c r="HM890" s="5" t="s">
        <v>264</v>
      </c>
    </row>
    <row r="891" spans="1:221" x14ac:dyDescent="0.4">
      <c r="A891" s="5">
        <v>2566</v>
      </c>
      <c r="B891" s="5">
        <v>1</v>
      </c>
      <c r="C891" s="5">
        <v>1</v>
      </c>
      <c r="D891" s="5" t="s">
        <v>2037</v>
      </c>
      <c r="E891" s="5" t="s">
        <v>271</v>
      </c>
      <c r="F891" s="5" t="s">
        <v>248</v>
      </c>
      <c r="G891" s="5" t="s">
        <v>1969</v>
      </c>
      <c r="H891" s="6" t="s">
        <v>3335</v>
      </c>
      <c r="I891" s="7">
        <f>2190</f>
        <v>2190</v>
      </c>
      <c r="J891" s="5" t="s">
        <v>262</v>
      </c>
      <c r="K891" s="8">
        <f>1</f>
        <v>1</v>
      </c>
      <c r="L891" s="6" t="s">
        <v>242</v>
      </c>
      <c r="M891" s="5" t="s">
        <v>267</v>
      </c>
      <c r="N891" s="5" t="s">
        <v>265</v>
      </c>
      <c r="O891" s="5" t="s">
        <v>238</v>
      </c>
      <c r="P891" s="5" t="s">
        <v>238</v>
      </c>
      <c r="Q891" s="5" t="s">
        <v>268</v>
      </c>
      <c r="R891" s="5" t="s">
        <v>270</v>
      </c>
      <c r="S891" s="5" t="s">
        <v>238</v>
      </c>
      <c r="V891" s="5" t="s">
        <v>238</v>
      </c>
      <c r="X891" s="6" t="s">
        <v>238</v>
      </c>
      <c r="AA891" s="6" t="s">
        <v>243</v>
      </c>
      <c r="AB891" s="5" t="s">
        <v>238</v>
      </c>
      <c r="AC891" s="5" t="s">
        <v>244</v>
      </c>
      <c r="AD891" s="5" t="s">
        <v>245</v>
      </c>
      <c r="AT891" s="5" t="s">
        <v>246</v>
      </c>
      <c r="AU891" s="5" t="s">
        <v>238</v>
      </c>
      <c r="AV891" s="5" t="s">
        <v>247</v>
      </c>
      <c r="AW891" s="5" t="s">
        <v>238</v>
      </c>
      <c r="AX891" s="5" t="s">
        <v>249</v>
      </c>
      <c r="AY891" s="5" t="s">
        <v>238</v>
      </c>
      <c r="BA891" s="5" t="s">
        <v>238</v>
      </c>
      <c r="BC891" s="5" t="s">
        <v>250</v>
      </c>
      <c r="BD891" s="6" t="s">
        <v>243</v>
      </c>
      <c r="BE891" s="5" t="s">
        <v>251</v>
      </c>
      <c r="BF891" s="5" t="s">
        <v>252</v>
      </c>
      <c r="BG891" s="5" t="s">
        <v>238</v>
      </c>
      <c r="BH891" s="7">
        <f>0</f>
        <v>0</v>
      </c>
      <c r="BI891" s="8">
        <f>0</f>
        <v>0</v>
      </c>
      <c r="BJ891" s="5" t="s">
        <v>253</v>
      </c>
      <c r="BK891" s="5" t="s">
        <v>254</v>
      </c>
      <c r="BY891" s="5" t="s">
        <v>238</v>
      </c>
      <c r="BZ891" s="5" t="s">
        <v>238</v>
      </c>
      <c r="CD891" s="5" t="s">
        <v>273</v>
      </c>
      <c r="CE891" s="5" t="s">
        <v>256</v>
      </c>
      <c r="CF891" s="5" t="s">
        <v>238</v>
      </c>
      <c r="CI891" s="6" t="s">
        <v>257</v>
      </c>
      <c r="CJ891" s="5" t="s">
        <v>238</v>
      </c>
      <c r="CK891" s="5" t="s">
        <v>258</v>
      </c>
      <c r="CL891" s="5" t="s">
        <v>238</v>
      </c>
      <c r="CM891" s="5" t="s">
        <v>238</v>
      </c>
      <c r="CN891" s="5">
        <v>0</v>
      </c>
      <c r="CO891" s="5" t="s">
        <v>259</v>
      </c>
      <c r="CP891" s="5" t="s">
        <v>260</v>
      </c>
      <c r="CQ891" s="5" t="s">
        <v>260</v>
      </c>
      <c r="CR891" s="5" t="s">
        <v>261</v>
      </c>
      <c r="CU891" s="8">
        <f>1</f>
        <v>1</v>
      </c>
      <c r="CV891" s="8">
        <f>0</f>
        <v>0</v>
      </c>
      <c r="CX891" s="8">
        <f>0</f>
        <v>0</v>
      </c>
      <c r="CY891" s="8">
        <f>1</f>
        <v>1</v>
      </c>
      <c r="DA891" s="5" t="s">
        <v>673</v>
      </c>
      <c r="DB891" s="5" t="s">
        <v>238</v>
      </c>
      <c r="DD891" s="5" t="s">
        <v>673</v>
      </c>
      <c r="DE891" s="8">
        <f>2190</f>
        <v>2190</v>
      </c>
      <c r="DG891" s="5" t="s">
        <v>238</v>
      </c>
      <c r="DH891" s="5" t="s">
        <v>238</v>
      </c>
      <c r="DI891" s="5" t="s">
        <v>238</v>
      </c>
      <c r="DJ891" s="5" t="s">
        <v>238</v>
      </c>
      <c r="DN891" s="5" t="s">
        <v>238</v>
      </c>
      <c r="DO891" s="5" t="s">
        <v>238</v>
      </c>
      <c r="DP891" s="5" t="s">
        <v>238</v>
      </c>
      <c r="DQ891" s="5" t="s">
        <v>238</v>
      </c>
      <c r="DT891" s="5" t="s">
        <v>2039</v>
      </c>
      <c r="DU891" s="5" t="s">
        <v>380</v>
      </c>
      <c r="HM891" s="5" t="s">
        <v>264</v>
      </c>
    </row>
    <row r="892" spans="1:221" x14ac:dyDescent="0.4">
      <c r="A892" s="5">
        <v>2567</v>
      </c>
      <c r="B892" s="5">
        <v>1</v>
      </c>
      <c r="C892" s="5">
        <v>1</v>
      </c>
      <c r="D892" s="5" t="s">
        <v>2037</v>
      </c>
      <c r="E892" s="5" t="s">
        <v>271</v>
      </c>
      <c r="F892" s="5" t="s">
        <v>248</v>
      </c>
      <c r="G892" s="5" t="s">
        <v>1969</v>
      </c>
      <c r="H892" s="6" t="s">
        <v>3334</v>
      </c>
      <c r="I892" s="7">
        <f>149</f>
        <v>149</v>
      </c>
      <c r="J892" s="5" t="s">
        <v>262</v>
      </c>
      <c r="K892" s="8">
        <f>1</f>
        <v>1</v>
      </c>
      <c r="L892" s="6" t="s">
        <v>242</v>
      </c>
      <c r="M892" s="5" t="s">
        <v>267</v>
      </c>
      <c r="N892" s="5" t="s">
        <v>265</v>
      </c>
      <c r="O892" s="5" t="s">
        <v>238</v>
      </c>
      <c r="P892" s="5" t="s">
        <v>238</v>
      </c>
      <c r="Q892" s="5" t="s">
        <v>268</v>
      </c>
      <c r="R892" s="5" t="s">
        <v>270</v>
      </c>
      <c r="S892" s="5" t="s">
        <v>238</v>
      </c>
      <c r="V892" s="5" t="s">
        <v>238</v>
      </c>
      <c r="X892" s="6" t="s">
        <v>238</v>
      </c>
      <c r="AA892" s="6" t="s">
        <v>243</v>
      </c>
      <c r="AB892" s="5" t="s">
        <v>238</v>
      </c>
      <c r="AC892" s="5" t="s">
        <v>244</v>
      </c>
      <c r="AD892" s="5" t="s">
        <v>245</v>
      </c>
      <c r="AT892" s="5" t="s">
        <v>246</v>
      </c>
      <c r="AU892" s="5" t="s">
        <v>238</v>
      </c>
      <c r="AV892" s="5" t="s">
        <v>247</v>
      </c>
      <c r="AW892" s="5" t="s">
        <v>238</v>
      </c>
      <c r="AX892" s="5" t="s">
        <v>249</v>
      </c>
      <c r="AY892" s="5" t="s">
        <v>238</v>
      </c>
      <c r="BA892" s="5" t="s">
        <v>238</v>
      </c>
      <c r="BC892" s="5" t="s">
        <v>250</v>
      </c>
      <c r="BD892" s="6" t="s">
        <v>243</v>
      </c>
      <c r="BE892" s="5" t="s">
        <v>251</v>
      </c>
      <c r="BF892" s="5" t="s">
        <v>252</v>
      </c>
      <c r="BG892" s="5" t="s">
        <v>238</v>
      </c>
      <c r="BH892" s="7">
        <f>0</f>
        <v>0</v>
      </c>
      <c r="BI892" s="8">
        <f>0</f>
        <v>0</v>
      </c>
      <c r="BJ892" s="5" t="s">
        <v>253</v>
      </c>
      <c r="BK892" s="5" t="s">
        <v>254</v>
      </c>
      <c r="BY892" s="5" t="s">
        <v>238</v>
      </c>
      <c r="BZ892" s="5" t="s">
        <v>238</v>
      </c>
      <c r="CD892" s="5" t="s">
        <v>273</v>
      </c>
      <c r="CE892" s="5" t="s">
        <v>256</v>
      </c>
      <c r="CF892" s="5" t="s">
        <v>238</v>
      </c>
      <c r="CI892" s="6" t="s">
        <v>257</v>
      </c>
      <c r="CJ892" s="5" t="s">
        <v>238</v>
      </c>
      <c r="CK892" s="5" t="s">
        <v>258</v>
      </c>
      <c r="CL892" s="5" t="s">
        <v>238</v>
      </c>
      <c r="CM892" s="5" t="s">
        <v>238</v>
      </c>
      <c r="CN892" s="5">
        <v>0</v>
      </c>
      <c r="CO892" s="5" t="s">
        <v>259</v>
      </c>
      <c r="CP892" s="5" t="s">
        <v>260</v>
      </c>
      <c r="CQ892" s="5" t="s">
        <v>260</v>
      </c>
      <c r="CR892" s="5" t="s">
        <v>261</v>
      </c>
      <c r="CU892" s="8">
        <f>1</f>
        <v>1</v>
      </c>
      <c r="CV892" s="8">
        <f>0</f>
        <v>0</v>
      </c>
      <c r="CX892" s="8">
        <f>0</f>
        <v>0</v>
      </c>
      <c r="CY892" s="8">
        <f>1</f>
        <v>1</v>
      </c>
      <c r="DA892" s="5" t="s">
        <v>673</v>
      </c>
      <c r="DB892" s="5" t="s">
        <v>238</v>
      </c>
      <c r="DD892" s="5" t="s">
        <v>673</v>
      </c>
      <c r="DE892" s="8">
        <f>149</f>
        <v>149</v>
      </c>
      <c r="DG892" s="5" t="s">
        <v>238</v>
      </c>
      <c r="DH892" s="5" t="s">
        <v>238</v>
      </c>
      <c r="DI892" s="5" t="s">
        <v>238</v>
      </c>
      <c r="DJ892" s="5" t="s">
        <v>238</v>
      </c>
      <c r="DN892" s="5" t="s">
        <v>238</v>
      </c>
      <c r="DO892" s="5" t="s">
        <v>238</v>
      </c>
      <c r="DP892" s="5" t="s">
        <v>238</v>
      </c>
      <c r="DQ892" s="5" t="s">
        <v>238</v>
      </c>
      <c r="DT892" s="5" t="s">
        <v>2039</v>
      </c>
      <c r="DU892" s="5" t="s">
        <v>382</v>
      </c>
      <c r="HM892" s="5" t="s">
        <v>264</v>
      </c>
    </row>
    <row r="893" spans="1:221" x14ac:dyDescent="0.4">
      <c r="A893" s="5">
        <v>2568</v>
      </c>
      <c r="B893" s="5">
        <v>1</v>
      </c>
      <c r="C893" s="5">
        <v>1</v>
      </c>
      <c r="D893" s="5" t="s">
        <v>2037</v>
      </c>
      <c r="E893" s="5" t="s">
        <v>271</v>
      </c>
      <c r="F893" s="5" t="s">
        <v>248</v>
      </c>
      <c r="G893" s="5" t="s">
        <v>1969</v>
      </c>
      <c r="H893" s="6" t="s">
        <v>3333</v>
      </c>
      <c r="I893" s="7">
        <f>1116</f>
        <v>1116</v>
      </c>
      <c r="J893" s="5" t="s">
        <v>262</v>
      </c>
      <c r="K893" s="8">
        <f>1</f>
        <v>1</v>
      </c>
      <c r="L893" s="6" t="s">
        <v>242</v>
      </c>
      <c r="M893" s="5" t="s">
        <v>267</v>
      </c>
      <c r="N893" s="5" t="s">
        <v>265</v>
      </c>
      <c r="O893" s="5" t="s">
        <v>238</v>
      </c>
      <c r="P893" s="5" t="s">
        <v>238</v>
      </c>
      <c r="Q893" s="5" t="s">
        <v>268</v>
      </c>
      <c r="R893" s="5" t="s">
        <v>270</v>
      </c>
      <c r="S893" s="5" t="s">
        <v>238</v>
      </c>
      <c r="V893" s="5" t="s">
        <v>238</v>
      </c>
      <c r="X893" s="6" t="s">
        <v>238</v>
      </c>
      <c r="AA893" s="6" t="s">
        <v>243</v>
      </c>
      <c r="AB893" s="5" t="s">
        <v>238</v>
      </c>
      <c r="AC893" s="5" t="s">
        <v>244</v>
      </c>
      <c r="AD893" s="5" t="s">
        <v>245</v>
      </c>
      <c r="AT893" s="5" t="s">
        <v>246</v>
      </c>
      <c r="AU893" s="5" t="s">
        <v>238</v>
      </c>
      <c r="AV893" s="5" t="s">
        <v>247</v>
      </c>
      <c r="AW893" s="5" t="s">
        <v>238</v>
      </c>
      <c r="AX893" s="5" t="s">
        <v>249</v>
      </c>
      <c r="AY893" s="5" t="s">
        <v>238</v>
      </c>
      <c r="BA893" s="5" t="s">
        <v>238</v>
      </c>
      <c r="BC893" s="5" t="s">
        <v>250</v>
      </c>
      <c r="BD893" s="6" t="s">
        <v>243</v>
      </c>
      <c r="BE893" s="5" t="s">
        <v>251</v>
      </c>
      <c r="BF893" s="5" t="s">
        <v>252</v>
      </c>
      <c r="BG893" s="5" t="s">
        <v>238</v>
      </c>
      <c r="BH893" s="7">
        <f>0</f>
        <v>0</v>
      </c>
      <c r="BI893" s="8">
        <f>0</f>
        <v>0</v>
      </c>
      <c r="BJ893" s="5" t="s">
        <v>253</v>
      </c>
      <c r="BK893" s="5" t="s">
        <v>254</v>
      </c>
      <c r="BY893" s="5" t="s">
        <v>238</v>
      </c>
      <c r="BZ893" s="5" t="s">
        <v>238</v>
      </c>
      <c r="CD893" s="5" t="s">
        <v>273</v>
      </c>
      <c r="CE893" s="5" t="s">
        <v>256</v>
      </c>
      <c r="CF893" s="5" t="s">
        <v>238</v>
      </c>
      <c r="CI893" s="6" t="s">
        <v>257</v>
      </c>
      <c r="CJ893" s="5" t="s">
        <v>238</v>
      </c>
      <c r="CK893" s="5" t="s">
        <v>258</v>
      </c>
      <c r="CL893" s="5" t="s">
        <v>238</v>
      </c>
      <c r="CM893" s="5" t="s">
        <v>238</v>
      </c>
      <c r="CN893" s="5">
        <v>0</v>
      </c>
      <c r="CO893" s="5" t="s">
        <v>259</v>
      </c>
      <c r="CP893" s="5" t="s">
        <v>260</v>
      </c>
      <c r="CQ893" s="5" t="s">
        <v>260</v>
      </c>
      <c r="CR893" s="5" t="s">
        <v>261</v>
      </c>
      <c r="CU893" s="8">
        <f>1</f>
        <v>1</v>
      </c>
      <c r="CV893" s="8">
        <f>0</f>
        <v>0</v>
      </c>
      <c r="CX893" s="8">
        <f>0</f>
        <v>0</v>
      </c>
      <c r="CY893" s="8">
        <f>1</f>
        <v>1</v>
      </c>
      <c r="DA893" s="5" t="s">
        <v>673</v>
      </c>
      <c r="DB893" s="5" t="s">
        <v>238</v>
      </c>
      <c r="DD893" s="5" t="s">
        <v>673</v>
      </c>
      <c r="DE893" s="8">
        <f>1116</f>
        <v>1116</v>
      </c>
      <c r="DG893" s="5" t="s">
        <v>238</v>
      </c>
      <c r="DH893" s="5" t="s">
        <v>238</v>
      </c>
      <c r="DI893" s="5" t="s">
        <v>238</v>
      </c>
      <c r="DJ893" s="5" t="s">
        <v>238</v>
      </c>
      <c r="DN893" s="5" t="s">
        <v>238</v>
      </c>
      <c r="DO893" s="5" t="s">
        <v>238</v>
      </c>
      <c r="DP893" s="5" t="s">
        <v>238</v>
      </c>
      <c r="DQ893" s="5" t="s">
        <v>238</v>
      </c>
      <c r="DT893" s="5" t="s">
        <v>2039</v>
      </c>
      <c r="DU893" s="5" t="s">
        <v>386</v>
      </c>
      <c r="HM893" s="5" t="s">
        <v>264</v>
      </c>
    </row>
    <row r="894" spans="1:221" x14ac:dyDescent="0.4">
      <c r="A894" s="5">
        <v>2569</v>
      </c>
      <c r="B894" s="5">
        <v>1</v>
      </c>
      <c r="C894" s="5">
        <v>1</v>
      </c>
      <c r="D894" s="5" t="s">
        <v>2037</v>
      </c>
      <c r="E894" s="5" t="s">
        <v>271</v>
      </c>
      <c r="F894" s="5" t="s">
        <v>248</v>
      </c>
      <c r="G894" s="5" t="s">
        <v>1969</v>
      </c>
      <c r="H894" s="6" t="s">
        <v>3331</v>
      </c>
      <c r="I894" s="7">
        <f>68</f>
        <v>68</v>
      </c>
      <c r="J894" s="5" t="s">
        <v>262</v>
      </c>
      <c r="K894" s="8">
        <f>1</f>
        <v>1</v>
      </c>
      <c r="L894" s="6" t="s">
        <v>242</v>
      </c>
      <c r="M894" s="5" t="s">
        <v>267</v>
      </c>
      <c r="N894" s="5" t="s">
        <v>265</v>
      </c>
      <c r="O894" s="5" t="s">
        <v>238</v>
      </c>
      <c r="P894" s="5" t="s">
        <v>238</v>
      </c>
      <c r="Q894" s="5" t="s">
        <v>268</v>
      </c>
      <c r="R894" s="5" t="s">
        <v>270</v>
      </c>
      <c r="S894" s="5" t="s">
        <v>238</v>
      </c>
      <c r="V894" s="5" t="s">
        <v>238</v>
      </c>
      <c r="X894" s="6" t="s">
        <v>238</v>
      </c>
      <c r="AA894" s="6" t="s">
        <v>243</v>
      </c>
      <c r="AB894" s="5" t="s">
        <v>238</v>
      </c>
      <c r="AC894" s="5" t="s">
        <v>244</v>
      </c>
      <c r="AD894" s="5" t="s">
        <v>245</v>
      </c>
      <c r="AT894" s="5" t="s">
        <v>246</v>
      </c>
      <c r="AU894" s="5" t="s">
        <v>238</v>
      </c>
      <c r="AV894" s="5" t="s">
        <v>247</v>
      </c>
      <c r="AW894" s="5" t="s">
        <v>238</v>
      </c>
      <c r="AX894" s="5" t="s">
        <v>249</v>
      </c>
      <c r="AY894" s="5" t="s">
        <v>238</v>
      </c>
      <c r="BA894" s="5" t="s">
        <v>238</v>
      </c>
      <c r="BC894" s="5" t="s">
        <v>250</v>
      </c>
      <c r="BD894" s="6" t="s">
        <v>243</v>
      </c>
      <c r="BE894" s="5" t="s">
        <v>251</v>
      </c>
      <c r="BF894" s="5" t="s">
        <v>252</v>
      </c>
      <c r="BG894" s="5" t="s">
        <v>238</v>
      </c>
      <c r="BH894" s="7">
        <f>0</f>
        <v>0</v>
      </c>
      <c r="BI894" s="8">
        <f>0</f>
        <v>0</v>
      </c>
      <c r="BJ894" s="5" t="s">
        <v>253</v>
      </c>
      <c r="BK894" s="5" t="s">
        <v>254</v>
      </c>
      <c r="BY894" s="5" t="s">
        <v>238</v>
      </c>
      <c r="BZ894" s="5" t="s">
        <v>238</v>
      </c>
      <c r="CD894" s="5" t="s">
        <v>273</v>
      </c>
      <c r="CE894" s="5" t="s">
        <v>256</v>
      </c>
      <c r="CF894" s="5" t="s">
        <v>238</v>
      </c>
      <c r="CI894" s="6" t="s">
        <v>257</v>
      </c>
      <c r="CJ894" s="5" t="s">
        <v>238</v>
      </c>
      <c r="CK894" s="5" t="s">
        <v>258</v>
      </c>
      <c r="CL894" s="5" t="s">
        <v>238</v>
      </c>
      <c r="CM894" s="5" t="s">
        <v>238</v>
      </c>
      <c r="CN894" s="5">
        <v>0</v>
      </c>
      <c r="CO894" s="5" t="s">
        <v>259</v>
      </c>
      <c r="CP894" s="5" t="s">
        <v>260</v>
      </c>
      <c r="CQ894" s="5" t="s">
        <v>260</v>
      </c>
      <c r="CR894" s="5" t="s">
        <v>261</v>
      </c>
      <c r="CU894" s="8">
        <f>1</f>
        <v>1</v>
      </c>
      <c r="CV894" s="8">
        <f>0</f>
        <v>0</v>
      </c>
      <c r="CX894" s="8">
        <f>0</f>
        <v>0</v>
      </c>
      <c r="CY894" s="8">
        <f>1</f>
        <v>1</v>
      </c>
      <c r="DA894" s="5" t="s">
        <v>673</v>
      </c>
      <c r="DB894" s="5" t="s">
        <v>238</v>
      </c>
      <c r="DD894" s="5" t="s">
        <v>673</v>
      </c>
      <c r="DE894" s="8">
        <f>68</f>
        <v>68</v>
      </c>
      <c r="DG894" s="5" t="s">
        <v>238</v>
      </c>
      <c r="DH894" s="5" t="s">
        <v>238</v>
      </c>
      <c r="DI894" s="5" t="s">
        <v>238</v>
      </c>
      <c r="DJ894" s="5" t="s">
        <v>238</v>
      </c>
      <c r="DN894" s="5" t="s">
        <v>238</v>
      </c>
      <c r="DO894" s="5" t="s">
        <v>238</v>
      </c>
      <c r="DP894" s="5" t="s">
        <v>238</v>
      </c>
      <c r="DQ894" s="5" t="s">
        <v>238</v>
      </c>
      <c r="DT894" s="5" t="s">
        <v>2039</v>
      </c>
      <c r="DU894" s="5" t="s">
        <v>3332</v>
      </c>
      <c r="HM894" s="5" t="s">
        <v>264</v>
      </c>
    </row>
    <row r="895" spans="1:221" x14ac:dyDescent="0.4">
      <c r="A895" s="5">
        <v>2570</v>
      </c>
      <c r="B895" s="5">
        <v>1</v>
      </c>
      <c r="C895" s="5">
        <v>1</v>
      </c>
      <c r="D895" s="5" t="s">
        <v>2037</v>
      </c>
      <c r="E895" s="5" t="s">
        <v>271</v>
      </c>
      <c r="F895" s="5" t="s">
        <v>248</v>
      </c>
      <c r="G895" s="5" t="s">
        <v>1969</v>
      </c>
      <c r="H895" s="6" t="s">
        <v>3330</v>
      </c>
      <c r="I895" s="7">
        <f>203</f>
        <v>203</v>
      </c>
      <c r="J895" s="5" t="s">
        <v>262</v>
      </c>
      <c r="K895" s="8">
        <f>1</f>
        <v>1</v>
      </c>
      <c r="L895" s="6" t="s">
        <v>242</v>
      </c>
      <c r="M895" s="5" t="s">
        <v>267</v>
      </c>
      <c r="N895" s="5" t="s">
        <v>265</v>
      </c>
      <c r="O895" s="5" t="s">
        <v>238</v>
      </c>
      <c r="P895" s="5" t="s">
        <v>238</v>
      </c>
      <c r="Q895" s="5" t="s">
        <v>268</v>
      </c>
      <c r="R895" s="5" t="s">
        <v>270</v>
      </c>
      <c r="S895" s="5" t="s">
        <v>238</v>
      </c>
      <c r="V895" s="5" t="s">
        <v>238</v>
      </c>
      <c r="X895" s="6" t="s">
        <v>238</v>
      </c>
      <c r="AA895" s="6" t="s">
        <v>243</v>
      </c>
      <c r="AB895" s="5" t="s">
        <v>238</v>
      </c>
      <c r="AC895" s="5" t="s">
        <v>244</v>
      </c>
      <c r="AD895" s="5" t="s">
        <v>245</v>
      </c>
      <c r="AT895" s="5" t="s">
        <v>246</v>
      </c>
      <c r="AU895" s="5" t="s">
        <v>238</v>
      </c>
      <c r="AV895" s="5" t="s">
        <v>247</v>
      </c>
      <c r="AW895" s="5" t="s">
        <v>238</v>
      </c>
      <c r="AX895" s="5" t="s">
        <v>249</v>
      </c>
      <c r="AY895" s="5" t="s">
        <v>238</v>
      </c>
      <c r="BA895" s="5" t="s">
        <v>238</v>
      </c>
      <c r="BC895" s="5" t="s">
        <v>250</v>
      </c>
      <c r="BD895" s="6" t="s">
        <v>243</v>
      </c>
      <c r="BE895" s="5" t="s">
        <v>251</v>
      </c>
      <c r="BF895" s="5" t="s">
        <v>252</v>
      </c>
      <c r="BG895" s="5" t="s">
        <v>238</v>
      </c>
      <c r="BH895" s="7">
        <f>0</f>
        <v>0</v>
      </c>
      <c r="BI895" s="8">
        <f>0</f>
        <v>0</v>
      </c>
      <c r="BJ895" s="5" t="s">
        <v>253</v>
      </c>
      <c r="BK895" s="5" t="s">
        <v>254</v>
      </c>
      <c r="BY895" s="5" t="s">
        <v>238</v>
      </c>
      <c r="BZ895" s="5" t="s">
        <v>238</v>
      </c>
      <c r="CD895" s="5" t="s">
        <v>273</v>
      </c>
      <c r="CE895" s="5" t="s">
        <v>256</v>
      </c>
      <c r="CF895" s="5" t="s">
        <v>238</v>
      </c>
      <c r="CI895" s="6" t="s">
        <v>257</v>
      </c>
      <c r="CJ895" s="5" t="s">
        <v>238</v>
      </c>
      <c r="CK895" s="5" t="s">
        <v>258</v>
      </c>
      <c r="CL895" s="5" t="s">
        <v>238</v>
      </c>
      <c r="CM895" s="5" t="s">
        <v>238</v>
      </c>
      <c r="CN895" s="5">
        <v>0</v>
      </c>
      <c r="CO895" s="5" t="s">
        <v>259</v>
      </c>
      <c r="CP895" s="5" t="s">
        <v>260</v>
      </c>
      <c r="CQ895" s="5" t="s">
        <v>260</v>
      </c>
      <c r="CR895" s="5" t="s">
        <v>261</v>
      </c>
      <c r="CU895" s="8">
        <f>1</f>
        <v>1</v>
      </c>
      <c r="CV895" s="8">
        <f>0</f>
        <v>0</v>
      </c>
      <c r="CX895" s="8">
        <f>0</f>
        <v>0</v>
      </c>
      <c r="CY895" s="8">
        <f>1</f>
        <v>1</v>
      </c>
      <c r="DA895" s="5" t="s">
        <v>673</v>
      </c>
      <c r="DB895" s="5" t="s">
        <v>238</v>
      </c>
      <c r="DD895" s="5" t="s">
        <v>673</v>
      </c>
      <c r="DE895" s="8">
        <f>203</f>
        <v>203</v>
      </c>
      <c r="DG895" s="5" t="s">
        <v>238</v>
      </c>
      <c r="DH895" s="5" t="s">
        <v>238</v>
      </c>
      <c r="DI895" s="5" t="s">
        <v>238</v>
      </c>
      <c r="DJ895" s="5" t="s">
        <v>238</v>
      </c>
      <c r="DN895" s="5" t="s">
        <v>238</v>
      </c>
      <c r="DO895" s="5" t="s">
        <v>238</v>
      </c>
      <c r="DP895" s="5" t="s">
        <v>238</v>
      </c>
      <c r="DQ895" s="5" t="s">
        <v>238</v>
      </c>
      <c r="DT895" s="5" t="s">
        <v>2039</v>
      </c>
      <c r="DU895" s="5" t="s">
        <v>392</v>
      </c>
      <c r="HM895" s="5" t="s">
        <v>264</v>
      </c>
    </row>
    <row r="896" spans="1:221" x14ac:dyDescent="0.4">
      <c r="A896" s="5">
        <v>2571</v>
      </c>
      <c r="B896" s="5">
        <v>1</v>
      </c>
      <c r="C896" s="5">
        <v>1</v>
      </c>
      <c r="D896" s="5" t="s">
        <v>2037</v>
      </c>
      <c r="E896" s="5" t="s">
        <v>271</v>
      </c>
      <c r="F896" s="5" t="s">
        <v>248</v>
      </c>
      <c r="G896" s="5" t="s">
        <v>1969</v>
      </c>
      <c r="H896" s="6" t="s">
        <v>3329</v>
      </c>
      <c r="I896" s="7">
        <f>10</f>
        <v>10</v>
      </c>
      <c r="J896" s="5" t="s">
        <v>262</v>
      </c>
      <c r="K896" s="8">
        <f>1</f>
        <v>1</v>
      </c>
      <c r="L896" s="6" t="s">
        <v>242</v>
      </c>
      <c r="M896" s="5" t="s">
        <v>267</v>
      </c>
      <c r="N896" s="5" t="s">
        <v>265</v>
      </c>
      <c r="O896" s="5" t="s">
        <v>238</v>
      </c>
      <c r="P896" s="5" t="s">
        <v>238</v>
      </c>
      <c r="Q896" s="5" t="s">
        <v>268</v>
      </c>
      <c r="R896" s="5" t="s">
        <v>270</v>
      </c>
      <c r="S896" s="5" t="s">
        <v>238</v>
      </c>
      <c r="V896" s="5" t="s">
        <v>238</v>
      </c>
      <c r="X896" s="6" t="s">
        <v>238</v>
      </c>
      <c r="AA896" s="6" t="s">
        <v>243</v>
      </c>
      <c r="AB896" s="5" t="s">
        <v>238</v>
      </c>
      <c r="AC896" s="5" t="s">
        <v>244</v>
      </c>
      <c r="AD896" s="5" t="s">
        <v>245</v>
      </c>
      <c r="AT896" s="5" t="s">
        <v>246</v>
      </c>
      <c r="AU896" s="5" t="s">
        <v>238</v>
      </c>
      <c r="AV896" s="5" t="s">
        <v>247</v>
      </c>
      <c r="AW896" s="5" t="s">
        <v>238</v>
      </c>
      <c r="AX896" s="5" t="s">
        <v>249</v>
      </c>
      <c r="AY896" s="5" t="s">
        <v>238</v>
      </c>
      <c r="BA896" s="5" t="s">
        <v>238</v>
      </c>
      <c r="BC896" s="5" t="s">
        <v>250</v>
      </c>
      <c r="BD896" s="6" t="s">
        <v>243</v>
      </c>
      <c r="BE896" s="5" t="s">
        <v>251</v>
      </c>
      <c r="BF896" s="5" t="s">
        <v>252</v>
      </c>
      <c r="BG896" s="5" t="s">
        <v>238</v>
      </c>
      <c r="BH896" s="7">
        <f>0</f>
        <v>0</v>
      </c>
      <c r="BI896" s="8">
        <f>0</f>
        <v>0</v>
      </c>
      <c r="BJ896" s="5" t="s">
        <v>253</v>
      </c>
      <c r="BK896" s="5" t="s">
        <v>254</v>
      </c>
      <c r="BY896" s="5" t="s">
        <v>238</v>
      </c>
      <c r="BZ896" s="5" t="s">
        <v>238</v>
      </c>
      <c r="CD896" s="5" t="s">
        <v>273</v>
      </c>
      <c r="CE896" s="5" t="s">
        <v>256</v>
      </c>
      <c r="CF896" s="5" t="s">
        <v>238</v>
      </c>
      <c r="CI896" s="6" t="s">
        <v>257</v>
      </c>
      <c r="CJ896" s="5" t="s">
        <v>238</v>
      </c>
      <c r="CK896" s="5" t="s">
        <v>258</v>
      </c>
      <c r="CL896" s="5" t="s">
        <v>238</v>
      </c>
      <c r="CM896" s="5" t="s">
        <v>238</v>
      </c>
      <c r="CN896" s="5">
        <v>0</v>
      </c>
      <c r="CO896" s="5" t="s">
        <v>259</v>
      </c>
      <c r="CP896" s="5" t="s">
        <v>260</v>
      </c>
      <c r="CQ896" s="5" t="s">
        <v>260</v>
      </c>
      <c r="CR896" s="5" t="s">
        <v>261</v>
      </c>
      <c r="CU896" s="8">
        <f>1</f>
        <v>1</v>
      </c>
      <c r="CV896" s="8">
        <f>0</f>
        <v>0</v>
      </c>
      <c r="CX896" s="8">
        <f>0</f>
        <v>0</v>
      </c>
      <c r="CY896" s="8">
        <f>1</f>
        <v>1</v>
      </c>
      <c r="DA896" s="5" t="s">
        <v>673</v>
      </c>
      <c r="DB896" s="5" t="s">
        <v>238</v>
      </c>
      <c r="DD896" s="5" t="s">
        <v>673</v>
      </c>
      <c r="DE896" s="8">
        <f>10</f>
        <v>10</v>
      </c>
      <c r="DG896" s="5" t="s">
        <v>238</v>
      </c>
      <c r="DH896" s="5" t="s">
        <v>238</v>
      </c>
      <c r="DI896" s="5" t="s">
        <v>238</v>
      </c>
      <c r="DJ896" s="5" t="s">
        <v>238</v>
      </c>
      <c r="DN896" s="5" t="s">
        <v>238</v>
      </c>
      <c r="DO896" s="5" t="s">
        <v>238</v>
      </c>
      <c r="DP896" s="5" t="s">
        <v>238</v>
      </c>
      <c r="DQ896" s="5" t="s">
        <v>238</v>
      </c>
      <c r="DT896" s="5" t="s">
        <v>2039</v>
      </c>
      <c r="DU896" s="5" t="s">
        <v>394</v>
      </c>
      <c r="HM896" s="5" t="s">
        <v>264</v>
      </c>
    </row>
    <row r="897" spans="1:221" x14ac:dyDescent="0.4">
      <c r="A897" s="5">
        <v>2572</v>
      </c>
      <c r="B897" s="5">
        <v>1</v>
      </c>
      <c r="C897" s="5">
        <v>1</v>
      </c>
      <c r="D897" s="5" t="s">
        <v>2037</v>
      </c>
      <c r="E897" s="5" t="s">
        <v>271</v>
      </c>
      <c r="F897" s="5" t="s">
        <v>248</v>
      </c>
      <c r="G897" s="5" t="s">
        <v>1969</v>
      </c>
      <c r="H897" s="6" t="s">
        <v>3328</v>
      </c>
      <c r="I897" s="7">
        <f>128</f>
        <v>128</v>
      </c>
      <c r="J897" s="5" t="s">
        <v>262</v>
      </c>
      <c r="K897" s="8">
        <f>1</f>
        <v>1</v>
      </c>
      <c r="L897" s="6" t="s">
        <v>242</v>
      </c>
      <c r="M897" s="5" t="s">
        <v>267</v>
      </c>
      <c r="N897" s="5" t="s">
        <v>265</v>
      </c>
      <c r="O897" s="5" t="s">
        <v>238</v>
      </c>
      <c r="P897" s="5" t="s">
        <v>238</v>
      </c>
      <c r="Q897" s="5" t="s">
        <v>268</v>
      </c>
      <c r="R897" s="5" t="s">
        <v>270</v>
      </c>
      <c r="S897" s="5" t="s">
        <v>238</v>
      </c>
      <c r="V897" s="5" t="s">
        <v>238</v>
      </c>
      <c r="X897" s="6" t="s">
        <v>238</v>
      </c>
      <c r="AA897" s="6" t="s">
        <v>243</v>
      </c>
      <c r="AB897" s="5" t="s">
        <v>238</v>
      </c>
      <c r="AC897" s="5" t="s">
        <v>244</v>
      </c>
      <c r="AD897" s="5" t="s">
        <v>245</v>
      </c>
      <c r="AT897" s="5" t="s">
        <v>246</v>
      </c>
      <c r="AU897" s="5" t="s">
        <v>238</v>
      </c>
      <c r="AV897" s="5" t="s">
        <v>247</v>
      </c>
      <c r="AW897" s="5" t="s">
        <v>238</v>
      </c>
      <c r="AX897" s="5" t="s">
        <v>249</v>
      </c>
      <c r="AY897" s="5" t="s">
        <v>238</v>
      </c>
      <c r="BA897" s="5" t="s">
        <v>238</v>
      </c>
      <c r="BC897" s="5" t="s">
        <v>250</v>
      </c>
      <c r="BD897" s="6" t="s">
        <v>243</v>
      </c>
      <c r="BE897" s="5" t="s">
        <v>251</v>
      </c>
      <c r="BF897" s="5" t="s">
        <v>252</v>
      </c>
      <c r="BG897" s="5" t="s">
        <v>238</v>
      </c>
      <c r="BH897" s="7">
        <f>0</f>
        <v>0</v>
      </c>
      <c r="BI897" s="8">
        <f>0</f>
        <v>0</v>
      </c>
      <c r="BJ897" s="5" t="s">
        <v>253</v>
      </c>
      <c r="BK897" s="5" t="s">
        <v>254</v>
      </c>
      <c r="BY897" s="5" t="s">
        <v>238</v>
      </c>
      <c r="BZ897" s="5" t="s">
        <v>238</v>
      </c>
      <c r="CD897" s="5" t="s">
        <v>273</v>
      </c>
      <c r="CE897" s="5" t="s">
        <v>256</v>
      </c>
      <c r="CF897" s="5" t="s">
        <v>238</v>
      </c>
      <c r="CI897" s="6" t="s">
        <v>257</v>
      </c>
      <c r="CJ897" s="5" t="s">
        <v>238</v>
      </c>
      <c r="CK897" s="5" t="s">
        <v>258</v>
      </c>
      <c r="CL897" s="5" t="s">
        <v>238</v>
      </c>
      <c r="CM897" s="5" t="s">
        <v>238</v>
      </c>
      <c r="CN897" s="5">
        <v>0</v>
      </c>
      <c r="CO897" s="5" t="s">
        <v>259</v>
      </c>
      <c r="CP897" s="5" t="s">
        <v>260</v>
      </c>
      <c r="CQ897" s="5" t="s">
        <v>260</v>
      </c>
      <c r="CR897" s="5" t="s">
        <v>261</v>
      </c>
      <c r="CU897" s="8">
        <f>1</f>
        <v>1</v>
      </c>
      <c r="CV897" s="8">
        <f>0</f>
        <v>0</v>
      </c>
      <c r="CX897" s="8">
        <f>0</f>
        <v>0</v>
      </c>
      <c r="CY897" s="8">
        <f>1</f>
        <v>1</v>
      </c>
      <c r="DA897" s="5" t="s">
        <v>673</v>
      </c>
      <c r="DB897" s="5" t="s">
        <v>238</v>
      </c>
      <c r="DD897" s="5" t="s">
        <v>673</v>
      </c>
      <c r="DE897" s="8">
        <f>128</f>
        <v>128</v>
      </c>
      <c r="DG897" s="5" t="s">
        <v>238</v>
      </c>
      <c r="DH897" s="5" t="s">
        <v>238</v>
      </c>
      <c r="DI897" s="5" t="s">
        <v>238</v>
      </c>
      <c r="DJ897" s="5" t="s">
        <v>238</v>
      </c>
      <c r="DN897" s="5" t="s">
        <v>238</v>
      </c>
      <c r="DO897" s="5" t="s">
        <v>238</v>
      </c>
      <c r="DP897" s="5" t="s">
        <v>238</v>
      </c>
      <c r="DQ897" s="5" t="s">
        <v>238</v>
      </c>
      <c r="DT897" s="5" t="s">
        <v>2039</v>
      </c>
      <c r="DU897" s="5" t="s">
        <v>398</v>
      </c>
      <c r="HM897" s="5" t="s">
        <v>264</v>
      </c>
    </row>
    <row r="898" spans="1:221" x14ac:dyDescent="0.4">
      <c r="A898" s="5">
        <v>2573</v>
      </c>
      <c r="B898" s="5">
        <v>1</v>
      </c>
      <c r="C898" s="5">
        <v>1</v>
      </c>
      <c r="D898" s="5" t="s">
        <v>2037</v>
      </c>
      <c r="E898" s="5" t="s">
        <v>271</v>
      </c>
      <c r="F898" s="5" t="s">
        <v>248</v>
      </c>
      <c r="G898" s="5" t="s">
        <v>1969</v>
      </c>
      <c r="H898" s="6" t="s">
        <v>3327</v>
      </c>
      <c r="I898" s="7">
        <f>339</f>
        <v>339</v>
      </c>
      <c r="J898" s="5" t="s">
        <v>262</v>
      </c>
      <c r="K898" s="8">
        <f>1</f>
        <v>1</v>
      </c>
      <c r="L898" s="6" t="s">
        <v>242</v>
      </c>
      <c r="M898" s="5" t="s">
        <v>267</v>
      </c>
      <c r="N898" s="5" t="s">
        <v>265</v>
      </c>
      <c r="O898" s="5" t="s">
        <v>238</v>
      </c>
      <c r="P898" s="5" t="s">
        <v>238</v>
      </c>
      <c r="Q898" s="5" t="s">
        <v>268</v>
      </c>
      <c r="R898" s="5" t="s">
        <v>270</v>
      </c>
      <c r="S898" s="5" t="s">
        <v>238</v>
      </c>
      <c r="V898" s="5" t="s">
        <v>238</v>
      </c>
      <c r="X898" s="6" t="s">
        <v>238</v>
      </c>
      <c r="AA898" s="6" t="s">
        <v>243</v>
      </c>
      <c r="AB898" s="5" t="s">
        <v>238</v>
      </c>
      <c r="AC898" s="5" t="s">
        <v>244</v>
      </c>
      <c r="AD898" s="5" t="s">
        <v>245</v>
      </c>
      <c r="AT898" s="5" t="s">
        <v>246</v>
      </c>
      <c r="AU898" s="5" t="s">
        <v>238</v>
      </c>
      <c r="AV898" s="5" t="s">
        <v>247</v>
      </c>
      <c r="AW898" s="5" t="s">
        <v>238</v>
      </c>
      <c r="AX898" s="5" t="s">
        <v>249</v>
      </c>
      <c r="AY898" s="5" t="s">
        <v>238</v>
      </c>
      <c r="BA898" s="5" t="s">
        <v>238</v>
      </c>
      <c r="BC898" s="5" t="s">
        <v>250</v>
      </c>
      <c r="BD898" s="6" t="s">
        <v>243</v>
      </c>
      <c r="BE898" s="5" t="s">
        <v>251</v>
      </c>
      <c r="BF898" s="5" t="s">
        <v>252</v>
      </c>
      <c r="BG898" s="5" t="s">
        <v>238</v>
      </c>
      <c r="BH898" s="7">
        <f>0</f>
        <v>0</v>
      </c>
      <c r="BI898" s="8">
        <f>0</f>
        <v>0</v>
      </c>
      <c r="BJ898" s="5" t="s">
        <v>253</v>
      </c>
      <c r="BK898" s="5" t="s">
        <v>254</v>
      </c>
      <c r="BY898" s="5" t="s">
        <v>238</v>
      </c>
      <c r="BZ898" s="5" t="s">
        <v>238</v>
      </c>
      <c r="CD898" s="5" t="s">
        <v>273</v>
      </c>
      <c r="CE898" s="5" t="s">
        <v>256</v>
      </c>
      <c r="CF898" s="5" t="s">
        <v>238</v>
      </c>
      <c r="CI898" s="6" t="s">
        <v>257</v>
      </c>
      <c r="CJ898" s="5" t="s">
        <v>238</v>
      </c>
      <c r="CK898" s="5" t="s">
        <v>258</v>
      </c>
      <c r="CL898" s="5" t="s">
        <v>238</v>
      </c>
      <c r="CM898" s="5" t="s">
        <v>238</v>
      </c>
      <c r="CN898" s="5">
        <v>0</v>
      </c>
      <c r="CO898" s="5" t="s">
        <v>259</v>
      </c>
      <c r="CP898" s="5" t="s">
        <v>260</v>
      </c>
      <c r="CQ898" s="5" t="s">
        <v>260</v>
      </c>
      <c r="CR898" s="5" t="s">
        <v>261</v>
      </c>
      <c r="CU898" s="8">
        <f>1</f>
        <v>1</v>
      </c>
      <c r="CV898" s="8">
        <f>0</f>
        <v>0</v>
      </c>
      <c r="CX898" s="8">
        <f>0</f>
        <v>0</v>
      </c>
      <c r="CY898" s="8">
        <f>1</f>
        <v>1</v>
      </c>
      <c r="DA898" s="5" t="s">
        <v>673</v>
      </c>
      <c r="DB898" s="5" t="s">
        <v>238</v>
      </c>
      <c r="DD898" s="5" t="s">
        <v>673</v>
      </c>
      <c r="DE898" s="8">
        <f>339</f>
        <v>339</v>
      </c>
      <c r="DG898" s="5" t="s">
        <v>238</v>
      </c>
      <c r="DH898" s="5" t="s">
        <v>238</v>
      </c>
      <c r="DI898" s="5" t="s">
        <v>238</v>
      </c>
      <c r="DJ898" s="5" t="s">
        <v>238</v>
      </c>
      <c r="DN898" s="5" t="s">
        <v>238</v>
      </c>
      <c r="DO898" s="5" t="s">
        <v>238</v>
      </c>
      <c r="DP898" s="5" t="s">
        <v>238</v>
      </c>
      <c r="DQ898" s="5" t="s">
        <v>238</v>
      </c>
      <c r="DT898" s="5" t="s">
        <v>2039</v>
      </c>
      <c r="DU898" s="5" t="s">
        <v>402</v>
      </c>
      <c r="HM898" s="5" t="s">
        <v>264</v>
      </c>
    </row>
    <row r="899" spans="1:221" x14ac:dyDescent="0.4">
      <c r="A899" s="5">
        <v>2574</v>
      </c>
      <c r="B899" s="5">
        <v>1</v>
      </c>
      <c r="C899" s="5">
        <v>1</v>
      </c>
      <c r="D899" s="5" t="s">
        <v>2037</v>
      </c>
      <c r="E899" s="5" t="s">
        <v>271</v>
      </c>
      <c r="F899" s="5" t="s">
        <v>248</v>
      </c>
      <c r="G899" s="5" t="s">
        <v>1969</v>
      </c>
      <c r="H899" s="6" t="s">
        <v>3326</v>
      </c>
      <c r="I899" s="7">
        <f>638</f>
        <v>638</v>
      </c>
      <c r="J899" s="5" t="s">
        <v>262</v>
      </c>
      <c r="K899" s="8">
        <f>1</f>
        <v>1</v>
      </c>
      <c r="L899" s="6" t="s">
        <v>242</v>
      </c>
      <c r="M899" s="5" t="s">
        <v>267</v>
      </c>
      <c r="N899" s="5" t="s">
        <v>265</v>
      </c>
      <c r="O899" s="5" t="s">
        <v>238</v>
      </c>
      <c r="P899" s="5" t="s">
        <v>238</v>
      </c>
      <c r="Q899" s="5" t="s">
        <v>268</v>
      </c>
      <c r="R899" s="5" t="s">
        <v>270</v>
      </c>
      <c r="S899" s="5" t="s">
        <v>238</v>
      </c>
      <c r="V899" s="5" t="s">
        <v>238</v>
      </c>
      <c r="X899" s="6" t="s">
        <v>238</v>
      </c>
      <c r="AA899" s="6" t="s">
        <v>243</v>
      </c>
      <c r="AB899" s="5" t="s">
        <v>238</v>
      </c>
      <c r="AC899" s="5" t="s">
        <v>244</v>
      </c>
      <c r="AD899" s="5" t="s">
        <v>245</v>
      </c>
      <c r="AT899" s="5" t="s">
        <v>246</v>
      </c>
      <c r="AU899" s="5" t="s">
        <v>238</v>
      </c>
      <c r="AV899" s="5" t="s">
        <v>247</v>
      </c>
      <c r="AW899" s="5" t="s">
        <v>238</v>
      </c>
      <c r="AX899" s="5" t="s">
        <v>249</v>
      </c>
      <c r="AY899" s="5" t="s">
        <v>238</v>
      </c>
      <c r="BA899" s="5" t="s">
        <v>238</v>
      </c>
      <c r="BC899" s="5" t="s">
        <v>250</v>
      </c>
      <c r="BD899" s="6" t="s">
        <v>243</v>
      </c>
      <c r="BE899" s="5" t="s">
        <v>251</v>
      </c>
      <c r="BF899" s="5" t="s">
        <v>252</v>
      </c>
      <c r="BG899" s="5" t="s">
        <v>238</v>
      </c>
      <c r="BH899" s="7">
        <f>0</f>
        <v>0</v>
      </c>
      <c r="BI899" s="8">
        <f>0</f>
        <v>0</v>
      </c>
      <c r="BJ899" s="5" t="s">
        <v>253</v>
      </c>
      <c r="BK899" s="5" t="s">
        <v>254</v>
      </c>
      <c r="BY899" s="5" t="s">
        <v>238</v>
      </c>
      <c r="BZ899" s="5" t="s">
        <v>238</v>
      </c>
      <c r="CD899" s="5" t="s">
        <v>273</v>
      </c>
      <c r="CE899" s="5" t="s">
        <v>256</v>
      </c>
      <c r="CF899" s="5" t="s">
        <v>238</v>
      </c>
      <c r="CI899" s="6" t="s">
        <v>257</v>
      </c>
      <c r="CJ899" s="5" t="s">
        <v>238</v>
      </c>
      <c r="CK899" s="5" t="s">
        <v>258</v>
      </c>
      <c r="CL899" s="5" t="s">
        <v>238</v>
      </c>
      <c r="CM899" s="5" t="s">
        <v>238</v>
      </c>
      <c r="CN899" s="5">
        <v>0</v>
      </c>
      <c r="CO899" s="5" t="s">
        <v>259</v>
      </c>
      <c r="CP899" s="5" t="s">
        <v>260</v>
      </c>
      <c r="CQ899" s="5" t="s">
        <v>260</v>
      </c>
      <c r="CR899" s="5" t="s">
        <v>261</v>
      </c>
      <c r="CU899" s="8">
        <f>1</f>
        <v>1</v>
      </c>
      <c r="CV899" s="8">
        <f>0</f>
        <v>0</v>
      </c>
      <c r="CX899" s="8">
        <f>0</f>
        <v>0</v>
      </c>
      <c r="CY899" s="8">
        <f>1</f>
        <v>1</v>
      </c>
      <c r="DA899" s="5" t="s">
        <v>673</v>
      </c>
      <c r="DB899" s="5" t="s">
        <v>238</v>
      </c>
      <c r="DD899" s="5" t="s">
        <v>673</v>
      </c>
      <c r="DE899" s="8">
        <f>638</f>
        <v>638</v>
      </c>
      <c r="DG899" s="5" t="s">
        <v>238</v>
      </c>
      <c r="DH899" s="5" t="s">
        <v>238</v>
      </c>
      <c r="DI899" s="5" t="s">
        <v>238</v>
      </c>
      <c r="DJ899" s="5" t="s">
        <v>238</v>
      </c>
      <c r="DN899" s="5" t="s">
        <v>238</v>
      </c>
      <c r="DO899" s="5" t="s">
        <v>238</v>
      </c>
      <c r="DP899" s="5" t="s">
        <v>238</v>
      </c>
      <c r="DQ899" s="5" t="s">
        <v>238</v>
      </c>
      <c r="DT899" s="5" t="s">
        <v>2039</v>
      </c>
      <c r="DU899" s="5" t="s">
        <v>406</v>
      </c>
      <c r="HM899" s="5" t="s">
        <v>264</v>
      </c>
    </row>
    <row r="900" spans="1:221" x14ac:dyDescent="0.4">
      <c r="A900" s="5">
        <v>2575</v>
      </c>
      <c r="B900" s="5">
        <v>1</v>
      </c>
      <c r="C900" s="5">
        <v>1</v>
      </c>
      <c r="D900" s="5" t="s">
        <v>2037</v>
      </c>
      <c r="E900" s="5" t="s">
        <v>271</v>
      </c>
      <c r="F900" s="5" t="s">
        <v>248</v>
      </c>
      <c r="G900" s="5" t="s">
        <v>1969</v>
      </c>
      <c r="H900" s="6" t="s">
        <v>3325</v>
      </c>
      <c r="I900" s="7">
        <f>1686</f>
        <v>1686</v>
      </c>
      <c r="J900" s="5" t="s">
        <v>262</v>
      </c>
      <c r="K900" s="8">
        <f>1</f>
        <v>1</v>
      </c>
      <c r="L900" s="6" t="s">
        <v>242</v>
      </c>
      <c r="M900" s="5" t="s">
        <v>267</v>
      </c>
      <c r="N900" s="5" t="s">
        <v>265</v>
      </c>
      <c r="O900" s="5" t="s">
        <v>238</v>
      </c>
      <c r="P900" s="5" t="s">
        <v>238</v>
      </c>
      <c r="Q900" s="5" t="s">
        <v>268</v>
      </c>
      <c r="R900" s="5" t="s">
        <v>270</v>
      </c>
      <c r="S900" s="5" t="s">
        <v>238</v>
      </c>
      <c r="V900" s="5" t="s">
        <v>238</v>
      </c>
      <c r="X900" s="6" t="s">
        <v>238</v>
      </c>
      <c r="AA900" s="6" t="s">
        <v>243</v>
      </c>
      <c r="AB900" s="5" t="s">
        <v>238</v>
      </c>
      <c r="AC900" s="5" t="s">
        <v>244</v>
      </c>
      <c r="AD900" s="5" t="s">
        <v>245</v>
      </c>
      <c r="AT900" s="5" t="s">
        <v>246</v>
      </c>
      <c r="AU900" s="5" t="s">
        <v>238</v>
      </c>
      <c r="AV900" s="5" t="s">
        <v>247</v>
      </c>
      <c r="AW900" s="5" t="s">
        <v>238</v>
      </c>
      <c r="AX900" s="5" t="s">
        <v>249</v>
      </c>
      <c r="AY900" s="5" t="s">
        <v>238</v>
      </c>
      <c r="BA900" s="5" t="s">
        <v>238</v>
      </c>
      <c r="BC900" s="5" t="s">
        <v>250</v>
      </c>
      <c r="BD900" s="6" t="s">
        <v>243</v>
      </c>
      <c r="BE900" s="5" t="s">
        <v>251</v>
      </c>
      <c r="BF900" s="5" t="s">
        <v>252</v>
      </c>
      <c r="BG900" s="5" t="s">
        <v>238</v>
      </c>
      <c r="BH900" s="7">
        <f>0</f>
        <v>0</v>
      </c>
      <c r="BI900" s="8">
        <f>0</f>
        <v>0</v>
      </c>
      <c r="BJ900" s="5" t="s">
        <v>253</v>
      </c>
      <c r="BK900" s="5" t="s">
        <v>254</v>
      </c>
      <c r="BY900" s="5" t="s">
        <v>238</v>
      </c>
      <c r="BZ900" s="5" t="s">
        <v>238</v>
      </c>
      <c r="CD900" s="5" t="s">
        <v>273</v>
      </c>
      <c r="CE900" s="5" t="s">
        <v>256</v>
      </c>
      <c r="CF900" s="5" t="s">
        <v>238</v>
      </c>
      <c r="CI900" s="6" t="s">
        <v>257</v>
      </c>
      <c r="CJ900" s="5" t="s">
        <v>238</v>
      </c>
      <c r="CK900" s="5" t="s">
        <v>258</v>
      </c>
      <c r="CL900" s="5" t="s">
        <v>238</v>
      </c>
      <c r="CM900" s="5" t="s">
        <v>238</v>
      </c>
      <c r="CN900" s="5">
        <v>0</v>
      </c>
      <c r="CO900" s="5" t="s">
        <v>259</v>
      </c>
      <c r="CP900" s="5" t="s">
        <v>260</v>
      </c>
      <c r="CQ900" s="5" t="s">
        <v>260</v>
      </c>
      <c r="CR900" s="5" t="s">
        <v>261</v>
      </c>
      <c r="CU900" s="8">
        <f>1</f>
        <v>1</v>
      </c>
      <c r="CV900" s="8">
        <f>0</f>
        <v>0</v>
      </c>
      <c r="CX900" s="8">
        <f>0</f>
        <v>0</v>
      </c>
      <c r="CY900" s="8">
        <f>1</f>
        <v>1</v>
      </c>
      <c r="DA900" s="5" t="s">
        <v>673</v>
      </c>
      <c r="DB900" s="5" t="s">
        <v>238</v>
      </c>
      <c r="DD900" s="5" t="s">
        <v>673</v>
      </c>
      <c r="DE900" s="8">
        <f>1686</f>
        <v>1686</v>
      </c>
      <c r="DG900" s="5" t="s">
        <v>238</v>
      </c>
      <c r="DH900" s="5" t="s">
        <v>238</v>
      </c>
      <c r="DI900" s="5" t="s">
        <v>238</v>
      </c>
      <c r="DJ900" s="5" t="s">
        <v>238</v>
      </c>
      <c r="DN900" s="5" t="s">
        <v>238</v>
      </c>
      <c r="DO900" s="5" t="s">
        <v>238</v>
      </c>
      <c r="DP900" s="5" t="s">
        <v>238</v>
      </c>
      <c r="DQ900" s="5" t="s">
        <v>238</v>
      </c>
      <c r="DT900" s="5" t="s">
        <v>2039</v>
      </c>
      <c r="DU900" s="5" t="s">
        <v>408</v>
      </c>
      <c r="HM900" s="5" t="s">
        <v>264</v>
      </c>
    </row>
    <row r="901" spans="1:221" x14ac:dyDescent="0.4">
      <c r="A901" s="5">
        <v>2576</v>
      </c>
      <c r="B901" s="5">
        <v>1</v>
      </c>
      <c r="C901" s="5">
        <v>1</v>
      </c>
      <c r="D901" s="5" t="s">
        <v>2037</v>
      </c>
      <c r="E901" s="5" t="s">
        <v>271</v>
      </c>
      <c r="F901" s="5" t="s">
        <v>248</v>
      </c>
      <c r="G901" s="5" t="s">
        <v>1969</v>
      </c>
      <c r="H901" s="6" t="s">
        <v>3324</v>
      </c>
      <c r="I901" s="7">
        <f>215</f>
        <v>215</v>
      </c>
      <c r="J901" s="5" t="s">
        <v>262</v>
      </c>
      <c r="K901" s="8">
        <f>1</f>
        <v>1</v>
      </c>
      <c r="L901" s="6" t="s">
        <v>242</v>
      </c>
      <c r="M901" s="5" t="s">
        <v>267</v>
      </c>
      <c r="N901" s="5" t="s">
        <v>265</v>
      </c>
      <c r="O901" s="5" t="s">
        <v>238</v>
      </c>
      <c r="P901" s="5" t="s">
        <v>238</v>
      </c>
      <c r="Q901" s="5" t="s">
        <v>268</v>
      </c>
      <c r="R901" s="5" t="s">
        <v>270</v>
      </c>
      <c r="S901" s="5" t="s">
        <v>238</v>
      </c>
      <c r="V901" s="5" t="s">
        <v>238</v>
      </c>
      <c r="X901" s="6" t="s">
        <v>238</v>
      </c>
      <c r="AA901" s="6" t="s">
        <v>243</v>
      </c>
      <c r="AB901" s="5" t="s">
        <v>238</v>
      </c>
      <c r="AC901" s="5" t="s">
        <v>244</v>
      </c>
      <c r="AD901" s="5" t="s">
        <v>245</v>
      </c>
      <c r="AT901" s="5" t="s">
        <v>246</v>
      </c>
      <c r="AU901" s="5" t="s">
        <v>238</v>
      </c>
      <c r="AV901" s="5" t="s">
        <v>247</v>
      </c>
      <c r="AW901" s="5" t="s">
        <v>238</v>
      </c>
      <c r="AX901" s="5" t="s">
        <v>249</v>
      </c>
      <c r="AY901" s="5" t="s">
        <v>238</v>
      </c>
      <c r="BA901" s="5" t="s">
        <v>238</v>
      </c>
      <c r="BC901" s="5" t="s">
        <v>250</v>
      </c>
      <c r="BD901" s="6" t="s">
        <v>243</v>
      </c>
      <c r="BE901" s="5" t="s">
        <v>251</v>
      </c>
      <c r="BF901" s="5" t="s">
        <v>252</v>
      </c>
      <c r="BG901" s="5" t="s">
        <v>238</v>
      </c>
      <c r="BH901" s="7">
        <f>0</f>
        <v>0</v>
      </c>
      <c r="BI901" s="8">
        <f>0</f>
        <v>0</v>
      </c>
      <c r="BJ901" s="5" t="s">
        <v>253</v>
      </c>
      <c r="BK901" s="5" t="s">
        <v>254</v>
      </c>
      <c r="BY901" s="5" t="s">
        <v>238</v>
      </c>
      <c r="BZ901" s="5" t="s">
        <v>238</v>
      </c>
      <c r="CD901" s="5" t="s">
        <v>273</v>
      </c>
      <c r="CE901" s="5" t="s">
        <v>256</v>
      </c>
      <c r="CF901" s="5" t="s">
        <v>238</v>
      </c>
      <c r="CI901" s="6" t="s">
        <v>257</v>
      </c>
      <c r="CJ901" s="5" t="s">
        <v>238</v>
      </c>
      <c r="CK901" s="5" t="s">
        <v>258</v>
      </c>
      <c r="CL901" s="5" t="s">
        <v>238</v>
      </c>
      <c r="CM901" s="5" t="s">
        <v>238</v>
      </c>
      <c r="CN901" s="5">
        <v>0</v>
      </c>
      <c r="CO901" s="5" t="s">
        <v>259</v>
      </c>
      <c r="CP901" s="5" t="s">
        <v>260</v>
      </c>
      <c r="CQ901" s="5" t="s">
        <v>260</v>
      </c>
      <c r="CR901" s="5" t="s">
        <v>261</v>
      </c>
      <c r="CU901" s="8">
        <f>1</f>
        <v>1</v>
      </c>
      <c r="CV901" s="8">
        <f>0</f>
        <v>0</v>
      </c>
      <c r="CX901" s="8">
        <f>0</f>
        <v>0</v>
      </c>
      <c r="CY901" s="8">
        <f>1</f>
        <v>1</v>
      </c>
      <c r="DA901" s="5" t="s">
        <v>673</v>
      </c>
      <c r="DB901" s="5" t="s">
        <v>238</v>
      </c>
      <c r="DD901" s="5" t="s">
        <v>673</v>
      </c>
      <c r="DE901" s="8">
        <f>215</f>
        <v>215</v>
      </c>
      <c r="DG901" s="5" t="s">
        <v>238</v>
      </c>
      <c r="DH901" s="5" t="s">
        <v>238</v>
      </c>
      <c r="DI901" s="5" t="s">
        <v>238</v>
      </c>
      <c r="DJ901" s="5" t="s">
        <v>238</v>
      </c>
      <c r="DN901" s="5" t="s">
        <v>238</v>
      </c>
      <c r="DO901" s="5" t="s">
        <v>238</v>
      </c>
      <c r="DP901" s="5" t="s">
        <v>238</v>
      </c>
      <c r="DQ901" s="5" t="s">
        <v>238</v>
      </c>
      <c r="DT901" s="5" t="s">
        <v>2039</v>
      </c>
      <c r="DU901" s="5" t="s">
        <v>410</v>
      </c>
      <c r="HM901" s="5" t="s">
        <v>264</v>
      </c>
    </row>
    <row r="902" spans="1:221" x14ac:dyDescent="0.4">
      <c r="A902" s="5">
        <v>2577</v>
      </c>
      <c r="B902" s="5">
        <v>1</v>
      </c>
      <c r="C902" s="5">
        <v>1</v>
      </c>
      <c r="D902" s="5" t="s">
        <v>2037</v>
      </c>
      <c r="E902" s="5" t="s">
        <v>271</v>
      </c>
      <c r="F902" s="5" t="s">
        <v>248</v>
      </c>
      <c r="G902" s="5" t="s">
        <v>1969</v>
      </c>
      <c r="H902" s="6" t="s">
        <v>3323</v>
      </c>
      <c r="I902" s="7">
        <f>421</f>
        <v>421</v>
      </c>
      <c r="J902" s="5" t="s">
        <v>262</v>
      </c>
      <c r="K902" s="8">
        <f>1</f>
        <v>1</v>
      </c>
      <c r="L902" s="6" t="s">
        <v>242</v>
      </c>
      <c r="M902" s="5" t="s">
        <v>267</v>
      </c>
      <c r="N902" s="5" t="s">
        <v>265</v>
      </c>
      <c r="O902" s="5" t="s">
        <v>238</v>
      </c>
      <c r="P902" s="5" t="s">
        <v>238</v>
      </c>
      <c r="Q902" s="5" t="s">
        <v>268</v>
      </c>
      <c r="R902" s="5" t="s">
        <v>270</v>
      </c>
      <c r="S902" s="5" t="s">
        <v>238</v>
      </c>
      <c r="V902" s="5" t="s">
        <v>238</v>
      </c>
      <c r="X902" s="6" t="s">
        <v>238</v>
      </c>
      <c r="AA902" s="6" t="s">
        <v>243</v>
      </c>
      <c r="AB902" s="5" t="s">
        <v>238</v>
      </c>
      <c r="AC902" s="5" t="s">
        <v>244</v>
      </c>
      <c r="AD902" s="5" t="s">
        <v>245</v>
      </c>
      <c r="AT902" s="5" t="s">
        <v>246</v>
      </c>
      <c r="AU902" s="5" t="s">
        <v>238</v>
      </c>
      <c r="AV902" s="5" t="s">
        <v>247</v>
      </c>
      <c r="AW902" s="5" t="s">
        <v>238</v>
      </c>
      <c r="AX902" s="5" t="s">
        <v>249</v>
      </c>
      <c r="AY902" s="5" t="s">
        <v>238</v>
      </c>
      <c r="BA902" s="5" t="s">
        <v>238</v>
      </c>
      <c r="BC902" s="5" t="s">
        <v>250</v>
      </c>
      <c r="BD902" s="6" t="s">
        <v>243</v>
      </c>
      <c r="BE902" s="5" t="s">
        <v>251</v>
      </c>
      <c r="BF902" s="5" t="s">
        <v>252</v>
      </c>
      <c r="BG902" s="5" t="s">
        <v>238</v>
      </c>
      <c r="BH902" s="7">
        <f>0</f>
        <v>0</v>
      </c>
      <c r="BI902" s="8">
        <f>0</f>
        <v>0</v>
      </c>
      <c r="BJ902" s="5" t="s">
        <v>253</v>
      </c>
      <c r="BK902" s="5" t="s">
        <v>254</v>
      </c>
      <c r="BY902" s="5" t="s">
        <v>238</v>
      </c>
      <c r="BZ902" s="5" t="s">
        <v>238</v>
      </c>
      <c r="CD902" s="5" t="s">
        <v>273</v>
      </c>
      <c r="CE902" s="5" t="s">
        <v>256</v>
      </c>
      <c r="CF902" s="5" t="s">
        <v>238</v>
      </c>
      <c r="CI902" s="6" t="s">
        <v>257</v>
      </c>
      <c r="CJ902" s="5" t="s">
        <v>238</v>
      </c>
      <c r="CK902" s="5" t="s">
        <v>258</v>
      </c>
      <c r="CL902" s="5" t="s">
        <v>238</v>
      </c>
      <c r="CM902" s="5" t="s">
        <v>238</v>
      </c>
      <c r="CN902" s="5">
        <v>0</v>
      </c>
      <c r="CO902" s="5" t="s">
        <v>259</v>
      </c>
      <c r="CP902" s="5" t="s">
        <v>260</v>
      </c>
      <c r="CQ902" s="5" t="s">
        <v>260</v>
      </c>
      <c r="CR902" s="5" t="s">
        <v>261</v>
      </c>
      <c r="CU902" s="8">
        <f>1</f>
        <v>1</v>
      </c>
      <c r="CV902" s="8">
        <f>0</f>
        <v>0</v>
      </c>
      <c r="CX902" s="8">
        <f>0</f>
        <v>0</v>
      </c>
      <c r="CY902" s="8">
        <f>1</f>
        <v>1</v>
      </c>
      <c r="DA902" s="5" t="s">
        <v>673</v>
      </c>
      <c r="DB902" s="5" t="s">
        <v>238</v>
      </c>
      <c r="DD902" s="5" t="s">
        <v>673</v>
      </c>
      <c r="DE902" s="8">
        <f>421</f>
        <v>421</v>
      </c>
      <c r="DG902" s="5" t="s">
        <v>238</v>
      </c>
      <c r="DH902" s="5" t="s">
        <v>238</v>
      </c>
      <c r="DI902" s="5" t="s">
        <v>238</v>
      </c>
      <c r="DJ902" s="5" t="s">
        <v>238</v>
      </c>
      <c r="DN902" s="5" t="s">
        <v>238</v>
      </c>
      <c r="DO902" s="5" t="s">
        <v>238</v>
      </c>
      <c r="DP902" s="5" t="s">
        <v>238</v>
      </c>
      <c r="DQ902" s="5" t="s">
        <v>238</v>
      </c>
      <c r="DT902" s="5" t="s">
        <v>2039</v>
      </c>
      <c r="DU902" s="5" t="s">
        <v>414</v>
      </c>
      <c r="HM902" s="5" t="s">
        <v>264</v>
      </c>
    </row>
    <row r="903" spans="1:221" x14ac:dyDescent="0.4">
      <c r="A903" s="5">
        <v>2578</v>
      </c>
      <c r="B903" s="5">
        <v>1</v>
      </c>
      <c r="C903" s="5">
        <v>1</v>
      </c>
      <c r="D903" s="5" t="s">
        <v>2037</v>
      </c>
      <c r="E903" s="5" t="s">
        <v>271</v>
      </c>
      <c r="F903" s="5" t="s">
        <v>248</v>
      </c>
      <c r="G903" s="5" t="s">
        <v>1969</v>
      </c>
      <c r="H903" s="6" t="s">
        <v>3469</v>
      </c>
      <c r="I903" s="7">
        <f>745</f>
        <v>745</v>
      </c>
      <c r="J903" s="5" t="s">
        <v>262</v>
      </c>
      <c r="K903" s="8">
        <f>1</f>
        <v>1</v>
      </c>
      <c r="L903" s="6" t="s">
        <v>242</v>
      </c>
      <c r="M903" s="5" t="s">
        <v>267</v>
      </c>
      <c r="N903" s="5" t="s">
        <v>265</v>
      </c>
      <c r="O903" s="5" t="s">
        <v>238</v>
      </c>
      <c r="P903" s="5" t="s">
        <v>238</v>
      </c>
      <c r="Q903" s="5" t="s">
        <v>268</v>
      </c>
      <c r="R903" s="5" t="s">
        <v>270</v>
      </c>
      <c r="S903" s="5" t="s">
        <v>238</v>
      </c>
      <c r="V903" s="5" t="s">
        <v>238</v>
      </c>
      <c r="X903" s="6" t="s">
        <v>238</v>
      </c>
      <c r="AA903" s="6" t="s">
        <v>243</v>
      </c>
      <c r="AB903" s="5" t="s">
        <v>238</v>
      </c>
      <c r="AC903" s="5" t="s">
        <v>244</v>
      </c>
      <c r="AD903" s="5" t="s">
        <v>245</v>
      </c>
      <c r="AT903" s="5" t="s">
        <v>246</v>
      </c>
      <c r="AU903" s="5" t="s">
        <v>238</v>
      </c>
      <c r="AV903" s="5" t="s">
        <v>247</v>
      </c>
      <c r="AW903" s="5" t="s">
        <v>238</v>
      </c>
      <c r="AX903" s="5" t="s">
        <v>249</v>
      </c>
      <c r="AY903" s="5" t="s">
        <v>238</v>
      </c>
      <c r="BA903" s="5" t="s">
        <v>238</v>
      </c>
      <c r="BC903" s="5" t="s">
        <v>250</v>
      </c>
      <c r="BD903" s="6" t="s">
        <v>243</v>
      </c>
      <c r="BE903" s="5" t="s">
        <v>251</v>
      </c>
      <c r="BF903" s="5" t="s">
        <v>252</v>
      </c>
      <c r="BG903" s="5" t="s">
        <v>238</v>
      </c>
      <c r="BH903" s="7">
        <f>0</f>
        <v>0</v>
      </c>
      <c r="BI903" s="8">
        <f>0</f>
        <v>0</v>
      </c>
      <c r="BJ903" s="5" t="s">
        <v>253</v>
      </c>
      <c r="BK903" s="5" t="s">
        <v>254</v>
      </c>
      <c r="BY903" s="5" t="s">
        <v>238</v>
      </c>
      <c r="BZ903" s="5" t="s">
        <v>238</v>
      </c>
      <c r="CD903" s="5" t="s">
        <v>273</v>
      </c>
      <c r="CE903" s="5" t="s">
        <v>256</v>
      </c>
      <c r="CF903" s="5" t="s">
        <v>238</v>
      </c>
      <c r="CI903" s="6" t="s">
        <v>257</v>
      </c>
      <c r="CJ903" s="5" t="s">
        <v>238</v>
      </c>
      <c r="CK903" s="5" t="s">
        <v>258</v>
      </c>
      <c r="CL903" s="5" t="s">
        <v>238</v>
      </c>
      <c r="CM903" s="5" t="s">
        <v>238</v>
      </c>
      <c r="CN903" s="5">
        <v>0</v>
      </c>
      <c r="CO903" s="5" t="s">
        <v>259</v>
      </c>
      <c r="CP903" s="5" t="s">
        <v>260</v>
      </c>
      <c r="CQ903" s="5" t="s">
        <v>260</v>
      </c>
      <c r="CR903" s="5" t="s">
        <v>261</v>
      </c>
      <c r="CU903" s="8">
        <f>1</f>
        <v>1</v>
      </c>
      <c r="CV903" s="8">
        <f>0</f>
        <v>0</v>
      </c>
      <c r="CX903" s="8">
        <f>0</f>
        <v>0</v>
      </c>
      <c r="CY903" s="8">
        <f>1</f>
        <v>1</v>
      </c>
      <c r="DA903" s="5" t="s">
        <v>673</v>
      </c>
      <c r="DB903" s="5" t="s">
        <v>238</v>
      </c>
      <c r="DD903" s="5" t="s">
        <v>673</v>
      </c>
      <c r="DE903" s="8">
        <f>745</f>
        <v>745</v>
      </c>
      <c r="DG903" s="5" t="s">
        <v>238</v>
      </c>
      <c r="DH903" s="5" t="s">
        <v>238</v>
      </c>
      <c r="DI903" s="5" t="s">
        <v>238</v>
      </c>
      <c r="DJ903" s="5" t="s">
        <v>238</v>
      </c>
      <c r="DN903" s="5" t="s">
        <v>238</v>
      </c>
      <c r="DO903" s="5" t="s">
        <v>238</v>
      </c>
      <c r="DP903" s="5" t="s">
        <v>238</v>
      </c>
      <c r="DQ903" s="5" t="s">
        <v>238</v>
      </c>
      <c r="DT903" s="5" t="s">
        <v>2039</v>
      </c>
      <c r="DU903" s="5" t="s">
        <v>418</v>
      </c>
      <c r="HM903" s="5" t="s">
        <v>264</v>
      </c>
    </row>
    <row r="904" spans="1:221" x14ac:dyDescent="0.4">
      <c r="A904" s="5">
        <v>2579</v>
      </c>
      <c r="B904" s="5">
        <v>1</v>
      </c>
      <c r="C904" s="5">
        <v>1</v>
      </c>
      <c r="D904" s="5" t="s">
        <v>2037</v>
      </c>
      <c r="E904" s="5" t="s">
        <v>271</v>
      </c>
      <c r="F904" s="5" t="s">
        <v>248</v>
      </c>
      <c r="G904" s="5" t="s">
        <v>1969</v>
      </c>
      <c r="H904" s="6" t="s">
        <v>3320</v>
      </c>
      <c r="I904" s="7">
        <f>1453</f>
        <v>1453</v>
      </c>
      <c r="J904" s="5" t="s">
        <v>262</v>
      </c>
      <c r="K904" s="8">
        <f>1</f>
        <v>1</v>
      </c>
      <c r="L904" s="6" t="s">
        <v>242</v>
      </c>
      <c r="M904" s="5" t="s">
        <v>267</v>
      </c>
      <c r="N904" s="5" t="s">
        <v>265</v>
      </c>
      <c r="O904" s="5" t="s">
        <v>238</v>
      </c>
      <c r="P904" s="5" t="s">
        <v>238</v>
      </c>
      <c r="Q904" s="5" t="s">
        <v>268</v>
      </c>
      <c r="R904" s="5" t="s">
        <v>270</v>
      </c>
      <c r="S904" s="5" t="s">
        <v>238</v>
      </c>
      <c r="V904" s="5" t="s">
        <v>238</v>
      </c>
      <c r="X904" s="6" t="s">
        <v>238</v>
      </c>
      <c r="AA904" s="6" t="s">
        <v>243</v>
      </c>
      <c r="AB904" s="5" t="s">
        <v>238</v>
      </c>
      <c r="AC904" s="5" t="s">
        <v>244</v>
      </c>
      <c r="AD904" s="5" t="s">
        <v>245</v>
      </c>
      <c r="AT904" s="5" t="s">
        <v>246</v>
      </c>
      <c r="AU904" s="5" t="s">
        <v>238</v>
      </c>
      <c r="AV904" s="5" t="s">
        <v>247</v>
      </c>
      <c r="AW904" s="5" t="s">
        <v>238</v>
      </c>
      <c r="AX904" s="5" t="s">
        <v>249</v>
      </c>
      <c r="AY904" s="5" t="s">
        <v>238</v>
      </c>
      <c r="BA904" s="5" t="s">
        <v>238</v>
      </c>
      <c r="BC904" s="5" t="s">
        <v>250</v>
      </c>
      <c r="BD904" s="6" t="s">
        <v>243</v>
      </c>
      <c r="BE904" s="5" t="s">
        <v>251</v>
      </c>
      <c r="BF904" s="5" t="s">
        <v>252</v>
      </c>
      <c r="BG904" s="5" t="s">
        <v>238</v>
      </c>
      <c r="BH904" s="7">
        <f>0</f>
        <v>0</v>
      </c>
      <c r="BI904" s="8">
        <f>0</f>
        <v>0</v>
      </c>
      <c r="BJ904" s="5" t="s">
        <v>253</v>
      </c>
      <c r="BK904" s="5" t="s">
        <v>254</v>
      </c>
      <c r="BY904" s="5" t="s">
        <v>238</v>
      </c>
      <c r="BZ904" s="5" t="s">
        <v>238</v>
      </c>
      <c r="CD904" s="5" t="s">
        <v>273</v>
      </c>
      <c r="CE904" s="5" t="s">
        <v>256</v>
      </c>
      <c r="CF904" s="5" t="s">
        <v>238</v>
      </c>
      <c r="CI904" s="6" t="s">
        <v>257</v>
      </c>
      <c r="CJ904" s="5" t="s">
        <v>238</v>
      </c>
      <c r="CK904" s="5" t="s">
        <v>258</v>
      </c>
      <c r="CL904" s="5" t="s">
        <v>238</v>
      </c>
      <c r="CM904" s="5" t="s">
        <v>238</v>
      </c>
      <c r="CN904" s="5">
        <v>0</v>
      </c>
      <c r="CO904" s="5" t="s">
        <v>259</v>
      </c>
      <c r="CP904" s="5" t="s">
        <v>260</v>
      </c>
      <c r="CQ904" s="5" t="s">
        <v>260</v>
      </c>
      <c r="CR904" s="5" t="s">
        <v>261</v>
      </c>
      <c r="CU904" s="8">
        <f>1</f>
        <v>1</v>
      </c>
      <c r="CV904" s="8">
        <f>0</f>
        <v>0</v>
      </c>
      <c r="CX904" s="8">
        <f>0</f>
        <v>0</v>
      </c>
      <c r="CY904" s="8">
        <f>1</f>
        <v>1</v>
      </c>
      <c r="DA904" s="5" t="s">
        <v>673</v>
      </c>
      <c r="DB904" s="5" t="s">
        <v>238</v>
      </c>
      <c r="DD904" s="5" t="s">
        <v>673</v>
      </c>
      <c r="DE904" s="8">
        <f>1453</f>
        <v>1453</v>
      </c>
      <c r="DG904" s="5" t="s">
        <v>238</v>
      </c>
      <c r="DH904" s="5" t="s">
        <v>238</v>
      </c>
      <c r="DI904" s="5" t="s">
        <v>238</v>
      </c>
      <c r="DJ904" s="5" t="s">
        <v>238</v>
      </c>
      <c r="DN904" s="5" t="s">
        <v>238</v>
      </c>
      <c r="DO904" s="5" t="s">
        <v>238</v>
      </c>
      <c r="DP904" s="5" t="s">
        <v>238</v>
      </c>
      <c r="DQ904" s="5" t="s">
        <v>238</v>
      </c>
      <c r="DT904" s="5" t="s">
        <v>2039</v>
      </c>
      <c r="DU904" s="5" t="s">
        <v>420</v>
      </c>
      <c r="HM904" s="5" t="s">
        <v>264</v>
      </c>
    </row>
    <row r="905" spans="1:221" x14ac:dyDescent="0.4">
      <c r="A905" s="5">
        <v>2580</v>
      </c>
      <c r="B905" s="5">
        <v>1</v>
      </c>
      <c r="C905" s="5">
        <v>1</v>
      </c>
      <c r="D905" s="5" t="s">
        <v>2037</v>
      </c>
      <c r="E905" s="5" t="s">
        <v>271</v>
      </c>
      <c r="F905" s="5" t="s">
        <v>248</v>
      </c>
      <c r="G905" s="5" t="s">
        <v>1969</v>
      </c>
      <c r="H905" s="6" t="s">
        <v>3317</v>
      </c>
      <c r="I905" s="7">
        <f>658</f>
        <v>658</v>
      </c>
      <c r="J905" s="5" t="s">
        <v>262</v>
      </c>
      <c r="K905" s="8">
        <f>1</f>
        <v>1</v>
      </c>
      <c r="L905" s="6" t="s">
        <v>242</v>
      </c>
      <c r="M905" s="5" t="s">
        <v>267</v>
      </c>
      <c r="N905" s="5" t="s">
        <v>265</v>
      </c>
      <c r="O905" s="5" t="s">
        <v>238</v>
      </c>
      <c r="P905" s="5" t="s">
        <v>238</v>
      </c>
      <c r="Q905" s="5" t="s">
        <v>268</v>
      </c>
      <c r="R905" s="5" t="s">
        <v>270</v>
      </c>
      <c r="S905" s="5" t="s">
        <v>238</v>
      </c>
      <c r="V905" s="5" t="s">
        <v>238</v>
      </c>
      <c r="X905" s="6" t="s">
        <v>238</v>
      </c>
      <c r="AA905" s="6" t="s">
        <v>243</v>
      </c>
      <c r="AB905" s="5" t="s">
        <v>238</v>
      </c>
      <c r="AC905" s="5" t="s">
        <v>244</v>
      </c>
      <c r="AD905" s="5" t="s">
        <v>245</v>
      </c>
      <c r="AT905" s="5" t="s">
        <v>246</v>
      </c>
      <c r="AU905" s="5" t="s">
        <v>238</v>
      </c>
      <c r="AV905" s="5" t="s">
        <v>247</v>
      </c>
      <c r="AW905" s="5" t="s">
        <v>238</v>
      </c>
      <c r="AX905" s="5" t="s">
        <v>249</v>
      </c>
      <c r="AY905" s="5" t="s">
        <v>238</v>
      </c>
      <c r="BA905" s="5" t="s">
        <v>238</v>
      </c>
      <c r="BC905" s="5" t="s">
        <v>250</v>
      </c>
      <c r="BD905" s="6" t="s">
        <v>243</v>
      </c>
      <c r="BE905" s="5" t="s">
        <v>251</v>
      </c>
      <c r="BF905" s="5" t="s">
        <v>252</v>
      </c>
      <c r="BG905" s="5" t="s">
        <v>238</v>
      </c>
      <c r="BH905" s="7">
        <f>0</f>
        <v>0</v>
      </c>
      <c r="BI905" s="8">
        <f>0</f>
        <v>0</v>
      </c>
      <c r="BJ905" s="5" t="s">
        <v>253</v>
      </c>
      <c r="BK905" s="5" t="s">
        <v>254</v>
      </c>
      <c r="BY905" s="5" t="s">
        <v>238</v>
      </c>
      <c r="BZ905" s="5" t="s">
        <v>238</v>
      </c>
      <c r="CD905" s="5" t="s">
        <v>273</v>
      </c>
      <c r="CE905" s="5" t="s">
        <v>256</v>
      </c>
      <c r="CF905" s="5" t="s">
        <v>238</v>
      </c>
      <c r="CI905" s="6" t="s">
        <v>257</v>
      </c>
      <c r="CJ905" s="5" t="s">
        <v>238</v>
      </c>
      <c r="CK905" s="5" t="s">
        <v>258</v>
      </c>
      <c r="CL905" s="5" t="s">
        <v>238</v>
      </c>
      <c r="CM905" s="5" t="s">
        <v>238</v>
      </c>
      <c r="CN905" s="5">
        <v>0</v>
      </c>
      <c r="CO905" s="5" t="s">
        <v>259</v>
      </c>
      <c r="CP905" s="5" t="s">
        <v>260</v>
      </c>
      <c r="CQ905" s="5" t="s">
        <v>260</v>
      </c>
      <c r="CR905" s="5" t="s">
        <v>261</v>
      </c>
      <c r="CU905" s="8">
        <f>1</f>
        <v>1</v>
      </c>
      <c r="CV905" s="8">
        <f>0</f>
        <v>0</v>
      </c>
      <c r="CX905" s="8">
        <f>0</f>
        <v>0</v>
      </c>
      <c r="CY905" s="8">
        <f>1</f>
        <v>1</v>
      </c>
      <c r="DA905" s="5" t="s">
        <v>673</v>
      </c>
      <c r="DB905" s="5" t="s">
        <v>238</v>
      </c>
      <c r="DD905" s="5" t="s">
        <v>673</v>
      </c>
      <c r="DE905" s="8">
        <f>658</f>
        <v>658</v>
      </c>
      <c r="DG905" s="5" t="s">
        <v>238</v>
      </c>
      <c r="DH905" s="5" t="s">
        <v>238</v>
      </c>
      <c r="DI905" s="5" t="s">
        <v>238</v>
      </c>
      <c r="DJ905" s="5" t="s">
        <v>238</v>
      </c>
      <c r="DN905" s="5" t="s">
        <v>238</v>
      </c>
      <c r="DO905" s="5" t="s">
        <v>238</v>
      </c>
      <c r="DP905" s="5" t="s">
        <v>238</v>
      </c>
      <c r="DQ905" s="5" t="s">
        <v>238</v>
      </c>
      <c r="DT905" s="5" t="s">
        <v>2039</v>
      </c>
      <c r="DU905" s="5" t="s">
        <v>3318</v>
      </c>
      <c r="HM905" s="5" t="s">
        <v>264</v>
      </c>
    </row>
    <row r="906" spans="1:221" x14ac:dyDescent="0.4">
      <c r="A906" s="5">
        <v>2581</v>
      </c>
      <c r="B906" s="5">
        <v>1</v>
      </c>
      <c r="C906" s="5">
        <v>1</v>
      </c>
      <c r="D906" s="5" t="s">
        <v>2037</v>
      </c>
      <c r="E906" s="5" t="s">
        <v>271</v>
      </c>
      <c r="F906" s="5" t="s">
        <v>248</v>
      </c>
      <c r="G906" s="5" t="s">
        <v>1969</v>
      </c>
      <c r="H906" s="6" t="s">
        <v>3316</v>
      </c>
      <c r="I906" s="7">
        <f>3458</f>
        <v>3458</v>
      </c>
      <c r="J906" s="5" t="s">
        <v>262</v>
      </c>
      <c r="K906" s="8">
        <f>1</f>
        <v>1</v>
      </c>
      <c r="L906" s="6" t="s">
        <v>242</v>
      </c>
      <c r="M906" s="5" t="s">
        <v>267</v>
      </c>
      <c r="N906" s="5" t="s">
        <v>265</v>
      </c>
      <c r="O906" s="5" t="s">
        <v>238</v>
      </c>
      <c r="P906" s="5" t="s">
        <v>238</v>
      </c>
      <c r="Q906" s="5" t="s">
        <v>268</v>
      </c>
      <c r="R906" s="5" t="s">
        <v>270</v>
      </c>
      <c r="S906" s="5" t="s">
        <v>238</v>
      </c>
      <c r="V906" s="5" t="s">
        <v>238</v>
      </c>
      <c r="X906" s="6" t="s">
        <v>238</v>
      </c>
      <c r="AA906" s="6" t="s">
        <v>243</v>
      </c>
      <c r="AB906" s="5" t="s">
        <v>238</v>
      </c>
      <c r="AC906" s="5" t="s">
        <v>244</v>
      </c>
      <c r="AD906" s="5" t="s">
        <v>245</v>
      </c>
      <c r="AT906" s="5" t="s">
        <v>246</v>
      </c>
      <c r="AU906" s="5" t="s">
        <v>238</v>
      </c>
      <c r="AV906" s="5" t="s">
        <v>247</v>
      </c>
      <c r="AW906" s="5" t="s">
        <v>238</v>
      </c>
      <c r="AX906" s="5" t="s">
        <v>249</v>
      </c>
      <c r="AY906" s="5" t="s">
        <v>238</v>
      </c>
      <c r="BA906" s="5" t="s">
        <v>238</v>
      </c>
      <c r="BC906" s="5" t="s">
        <v>250</v>
      </c>
      <c r="BD906" s="6" t="s">
        <v>243</v>
      </c>
      <c r="BE906" s="5" t="s">
        <v>251</v>
      </c>
      <c r="BF906" s="5" t="s">
        <v>252</v>
      </c>
      <c r="BG906" s="5" t="s">
        <v>238</v>
      </c>
      <c r="BH906" s="7">
        <f>0</f>
        <v>0</v>
      </c>
      <c r="BI906" s="8">
        <f>0</f>
        <v>0</v>
      </c>
      <c r="BJ906" s="5" t="s">
        <v>253</v>
      </c>
      <c r="BK906" s="5" t="s">
        <v>254</v>
      </c>
      <c r="BY906" s="5" t="s">
        <v>238</v>
      </c>
      <c r="BZ906" s="5" t="s">
        <v>238</v>
      </c>
      <c r="CD906" s="5" t="s">
        <v>273</v>
      </c>
      <c r="CE906" s="5" t="s">
        <v>256</v>
      </c>
      <c r="CF906" s="5" t="s">
        <v>238</v>
      </c>
      <c r="CI906" s="6" t="s">
        <v>257</v>
      </c>
      <c r="CJ906" s="5" t="s">
        <v>238</v>
      </c>
      <c r="CK906" s="5" t="s">
        <v>258</v>
      </c>
      <c r="CL906" s="5" t="s">
        <v>238</v>
      </c>
      <c r="CM906" s="5" t="s">
        <v>238</v>
      </c>
      <c r="CN906" s="5">
        <v>0</v>
      </c>
      <c r="CO906" s="5" t="s">
        <v>259</v>
      </c>
      <c r="CP906" s="5" t="s">
        <v>260</v>
      </c>
      <c r="CQ906" s="5" t="s">
        <v>260</v>
      </c>
      <c r="CR906" s="5" t="s">
        <v>261</v>
      </c>
      <c r="CU906" s="8">
        <f>1</f>
        <v>1</v>
      </c>
      <c r="CV906" s="8">
        <f>0</f>
        <v>0</v>
      </c>
      <c r="CX906" s="8">
        <f>0</f>
        <v>0</v>
      </c>
      <c r="CY906" s="8">
        <f>1</f>
        <v>1</v>
      </c>
      <c r="DA906" s="5" t="s">
        <v>673</v>
      </c>
      <c r="DB906" s="5" t="s">
        <v>238</v>
      </c>
      <c r="DD906" s="5" t="s">
        <v>673</v>
      </c>
      <c r="DE906" s="8">
        <f>3458</f>
        <v>3458</v>
      </c>
      <c r="DG906" s="5" t="s">
        <v>238</v>
      </c>
      <c r="DH906" s="5" t="s">
        <v>238</v>
      </c>
      <c r="DI906" s="5" t="s">
        <v>238</v>
      </c>
      <c r="DJ906" s="5" t="s">
        <v>238</v>
      </c>
      <c r="DN906" s="5" t="s">
        <v>238</v>
      </c>
      <c r="DO906" s="5" t="s">
        <v>238</v>
      </c>
      <c r="DP906" s="5" t="s">
        <v>238</v>
      </c>
      <c r="DQ906" s="5" t="s">
        <v>238</v>
      </c>
      <c r="DT906" s="5" t="s">
        <v>2039</v>
      </c>
      <c r="DU906" s="5" t="s">
        <v>426</v>
      </c>
      <c r="HM906" s="5" t="s">
        <v>264</v>
      </c>
    </row>
    <row r="907" spans="1:221" x14ac:dyDescent="0.4">
      <c r="A907" s="5">
        <v>2582</v>
      </c>
      <c r="B907" s="5">
        <v>1</v>
      </c>
      <c r="C907" s="5">
        <v>1</v>
      </c>
      <c r="D907" s="5" t="s">
        <v>2037</v>
      </c>
      <c r="E907" s="5" t="s">
        <v>271</v>
      </c>
      <c r="F907" s="5" t="s">
        <v>248</v>
      </c>
      <c r="G907" s="5" t="s">
        <v>1969</v>
      </c>
      <c r="H907" s="6" t="s">
        <v>3315</v>
      </c>
      <c r="I907" s="7">
        <f>798</f>
        <v>798</v>
      </c>
      <c r="J907" s="5" t="s">
        <v>262</v>
      </c>
      <c r="K907" s="8">
        <f>1</f>
        <v>1</v>
      </c>
      <c r="L907" s="6" t="s">
        <v>242</v>
      </c>
      <c r="M907" s="5" t="s">
        <v>267</v>
      </c>
      <c r="N907" s="5" t="s">
        <v>265</v>
      </c>
      <c r="O907" s="5" t="s">
        <v>238</v>
      </c>
      <c r="P907" s="5" t="s">
        <v>238</v>
      </c>
      <c r="Q907" s="5" t="s">
        <v>268</v>
      </c>
      <c r="R907" s="5" t="s">
        <v>270</v>
      </c>
      <c r="S907" s="5" t="s">
        <v>238</v>
      </c>
      <c r="V907" s="5" t="s">
        <v>238</v>
      </c>
      <c r="X907" s="6" t="s">
        <v>238</v>
      </c>
      <c r="AA907" s="6" t="s">
        <v>243</v>
      </c>
      <c r="AB907" s="5" t="s">
        <v>238</v>
      </c>
      <c r="AC907" s="5" t="s">
        <v>244</v>
      </c>
      <c r="AD907" s="5" t="s">
        <v>245</v>
      </c>
      <c r="AT907" s="5" t="s">
        <v>246</v>
      </c>
      <c r="AU907" s="5" t="s">
        <v>238</v>
      </c>
      <c r="AV907" s="5" t="s">
        <v>247</v>
      </c>
      <c r="AW907" s="5" t="s">
        <v>238</v>
      </c>
      <c r="AX907" s="5" t="s">
        <v>249</v>
      </c>
      <c r="AY907" s="5" t="s">
        <v>238</v>
      </c>
      <c r="BA907" s="5" t="s">
        <v>238</v>
      </c>
      <c r="BC907" s="5" t="s">
        <v>250</v>
      </c>
      <c r="BD907" s="6" t="s">
        <v>243</v>
      </c>
      <c r="BE907" s="5" t="s">
        <v>251</v>
      </c>
      <c r="BF907" s="5" t="s">
        <v>252</v>
      </c>
      <c r="BG907" s="5" t="s">
        <v>238</v>
      </c>
      <c r="BH907" s="7">
        <f>0</f>
        <v>0</v>
      </c>
      <c r="BI907" s="8">
        <f>0</f>
        <v>0</v>
      </c>
      <c r="BJ907" s="5" t="s">
        <v>253</v>
      </c>
      <c r="BK907" s="5" t="s">
        <v>254</v>
      </c>
      <c r="BY907" s="5" t="s">
        <v>238</v>
      </c>
      <c r="BZ907" s="5" t="s">
        <v>238</v>
      </c>
      <c r="CD907" s="5" t="s">
        <v>273</v>
      </c>
      <c r="CE907" s="5" t="s">
        <v>256</v>
      </c>
      <c r="CF907" s="5" t="s">
        <v>238</v>
      </c>
      <c r="CI907" s="6" t="s">
        <v>257</v>
      </c>
      <c r="CJ907" s="5" t="s">
        <v>238</v>
      </c>
      <c r="CK907" s="5" t="s">
        <v>258</v>
      </c>
      <c r="CL907" s="5" t="s">
        <v>238</v>
      </c>
      <c r="CM907" s="5" t="s">
        <v>238</v>
      </c>
      <c r="CN907" s="5">
        <v>0</v>
      </c>
      <c r="CO907" s="5" t="s">
        <v>259</v>
      </c>
      <c r="CP907" s="5" t="s">
        <v>260</v>
      </c>
      <c r="CQ907" s="5" t="s">
        <v>260</v>
      </c>
      <c r="CR907" s="5" t="s">
        <v>261</v>
      </c>
      <c r="CU907" s="8">
        <f>1</f>
        <v>1</v>
      </c>
      <c r="CV907" s="8">
        <f>0</f>
        <v>0</v>
      </c>
      <c r="CX907" s="8">
        <f>0</f>
        <v>0</v>
      </c>
      <c r="CY907" s="8">
        <f>1</f>
        <v>1</v>
      </c>
      <c r="DA907" s="5" t="s">
        <v>673</v>
      </c>
      <c r="DB907" s="5" t="s">
        <v>238</v>
      </c>
      <c r="DD907" s="5" t="s">
        <v>673</v>
      </c>
      <c r="DE907" s="8">
        <f>798</f>
        <v>798</v>
      </c>
      <c r="DG907" s="5" t="s">
        <v>238</v>
      </c>
      <c r="DH907" s="5" t="s">
        <v>238</v>
      </c>
      <c r="DI907" s="5" t="s">
        <v>238</v>
      </c>
      <c r="DJ907" s="5" t="s">
        <v>238</v>
      </c>
      <c r="DN907" s="5" t="s">
        <v>238</v>
      </c>
      <c r="DO907" s="5" t="s">
        <v>238</v>
      </c>
      <c r="DP907" s="5" t="s">
        <v>238</v>
      </c>
      <c r="DQ907" s="5" t="s">
        <v>238</v>
      </c>
      <c r="DT907" s="5" t="s">
        <v>2039</v>
      </c>
      <c r="DU907" s="5" t="s">
        <v>430</v>
      </c>
      <c r="HM907" s="5" t="s">
        <v>264</v>
      </c>
    </row>
    <row r="908" spans="1:221" x14ac:dyDescent="0.4">
      <c r="A908" s="5">
        <v>2583</v>
      </c>
      <c r="B908" s="5">
        <v>1</v>
      </c>
      <c r="C908" s="5">
        <v>1</v>
      </c>
      <c r="D908" s="5" t="s">
        <v>2037</v>
      </c>
      <c r="E908" s="5" t="s">
        <v>271</v>
      </c>
      <c r="F908" s="5" t="s">
        <v>248</v>
      </c>
      <c r="G908" s="5" t="s">
        <v>1969</v>
      </c>
      <c r="H908" s="6" t="s">
        <v>3314</v>
      </c>
      <c r="I908" s="7">
        <f>368</f>
        <v>368</v>
      </c>
      <c r="J908" s="5" t="s">
        <v>262</v>
      </c>
      <c r="K908" s="8">
        <f>1</f>
        <v>1</v>
      </c>
      <c r="L908" s="6" t="s">
        <v>242</v>
      </c>
      <c r="M908" s="5" t="s">
        <v>267</v>
      </c>
      <c r="N908" s="5" t="s">
        <v>265</v>
      </c>
      <c r="O908" s="5" t="s">
        <v>238</v>
      </c>
      <c r="P908" s="5" t="s">
        <v>238</v>
      </c>
      <c r="Q908" s="5" t="s">
        <v>268</v>
      </c>
      <c r="R908" s="5" t="s">
        <v>270</v>
      </c>
      <c r="S908" s="5" t="s">
        <v>238</v>
      </c>
      <c r="V908" s="5" t="s">
        <v>238</v>
      </c>
      <c r="X908" s="6" t="s">
        <v>238</v>
      </c>
      <c r="AA908" s="6" t="s">
        <v>243</v>
      </c>
      <c r="AB908" s="5" t="s">
        <v>238</v>
      </c>
      <c r="AC908" s="5" t="s">
        <v>244</v>
      </c>
      <c r="AD908" s="5" t="s">
        <v>245</v>
      </c>
      <c r="AT908" s="5" t="s">
        <v>246</v>
      </c>
      <c r="AU908" s="5" t="s">
        <v>238</v>
      </c>
      <c r="AV908" s="5" t="s">
        <v>247</v>
      </c>
      <c r="AW908" s="5" t="s">
        <v>238</v>
      </c>
      <c r="AX908" s="5" t="s">
        <v>249</v>
      </c>
      <c r="AY908" s="5" t="s">
        <v>238</v>
      </c>
      <c r="BA908" s="5" t="s">
        <v>238</v>
      </c>
      <c r="BC908" s="5" t="s">
        <v>250</v>
      </c>
      <c r="BD908" s="6" t="s">
        <v>243</v>
      </c>
      <c r="BE908" s="5" t="s">
        <v>251</v>
      </c>
      <c r="BF908" s="5" t="s">
        <v>252</v>
      </c>
      <c r="BG908" s="5" t="s">
        <v>238</v>
      </c>
      <c r="BH908" s="7">
        <f>0</f>
        <v>0</v>
      </c>
      <c r="BI908" s="8">
        <f>0</f>
        <v>0</v>
      </c>
      <c r="BJ908" s="5" t="s">
        <v>253</v>
      </c>
      <c r="BK908" s="5" t="s">
        <v>254</v>
      </c>
      <c r="BY908" s="5" t="s">
        <v>238</v>
      </c>
      <c r="BZ908" s="5" t="s">
        <v>238</v>
      </c>
      <c r="CD908" s="5" t="s">
        <v>273</v>
      </c>
      <c r="CE908" s="5" t="s">
        <v>256</v>
      </c>
      <c r="CF908" s="5" t="s">
        <v>238</v>
      </c>
      <c r="CI908" s="6" t="s">
        <v>257</v>
      </c>
      <c r="CJ908" s="5" t="s">
        <v>238</v>
      </c>
      <c r="CK908" s="5" t="s">
        <v>258</v>
      </c>
      <c r="CL908" s="5" t="s">
        <v>238</v>
      </c>
      <c r="CM908" s="5" t="s">
        <v>238</v>
      </c>
      <c r="CN908" s="5">
        <v>0</v>
      </c>
      <c r="CO908" s="5" t="s">
        <v>259</v>
      </c>
      <c r="CP908" s="5" t="s">
        <v>260</v>
      </c>
      <c r="CQ908" s="5" t="s">
        <v>260</v>
      </c>
      <c r="CR908" s="5" t="s">
        <v>261</v>
      </c>
      <c r="CU908" s="8">
        <f>1</f>
        <v>1</v>
      </c>
      <c r="CV908" s="8">
        <f>0</f>
        <v>0</v>
      </c>
      <c r="CX908" s="8">
        <f>0</f>
        <v>0</v>
      </c>
      <c r="CY908" s="8">
        <f>1</f>
        <v>1</v>
      </c>
      <c r="DA908" s="5" t="s">
        <v>673</v>
      </c>
      <c r="DB908" s="5" t="s">
        <v>238</v>
      </c>
      <c r="DD908" s="5" t="s">
        <v>673</v>
      </c>
      <c r="DE908" s="8">
        <f>368</f>
        <v>368</v>
      </c>
      <c r="DG908" s="5" t="s">
        <v>238</v>
      </c>
      <c r="DH908" s="5" t="s">
        <v>238</v>
      </c>
      <c r="DI908" s="5" t="s">
        <v>238</v>
      </c>
      <c r="DJ908" s="5" t="s">
        <v>238</v>
      </c>
      <c r="DN908" s="5" t="s">
        <v>238</v>
      </c>
      <c r="DO908" s="5" t="s">
        <v>238</v>
      </c>
      <c r="DP908" s="5" t="s">
        <v>238</v>
      </c>
      <c r="DQ908" s="5" t="s">
        <v>238</v>
      </c>
      <c r="DT908" s="5" t="s">
        <v>2039</v>
      </c>
      <c r="DU908" s="5" t="s">
        <v>432</v>
      </c>
      <c r="HM908" s="5" t="s">
        <v>264</v>
      </c>
    </row>
    <row r="909" spans="1:221" x14ac:dyDescent="0.4">
      <c r="A909" s="5">
        <v>2584</v>
      </c>
      <c r="B909" s="5">
        <v>1</v>
      </c>
      <c r="C909" s="5">
        <v>1</v>
      </c>
      <c r="D909" s="5" t="s">
        <v>2037</v>
      </c>
      <c r="E909" s="5" t="s">
        <v>271</v>
      </c>
      <c r="F909" s="5" t="s">
        <v>248</v>
      </c>
      <c r="G909" s="5" t="s">
        <v>1969</v>
      </c>
      <c r="H909" s="6" t="s">
        <v>3313</v>
      </c>
      <c r="I909" s="7">
        <f>169</f>
        <v>169</v>
      </c>
      <c r="J909" s="5" t="s">
        <v>262</v>
      </c>
      <c r="K909" s="8">
        <f>1</f>
        <v>1</v>
      </c>
      <c r="L909" s="6" t="s">
        <v>242</v>
      </c>
      <c r="M909" s="5" t="s">
        <v>267</v>
      </c>
      <c r="N909" s="5" t="s">
        <v>265</v>
      </c>
      <c r="O909" s="5" t="s">
        <v>238</v>
      </c>
      <c r="P909" s="5" t="s">
        <v>238</v>
      </c>
      <c r="Q909" s="5" t="s">
        <v>268</v>
      </c>
      <c r="R909" s="5" t="s">
        <v>270</v>
      </c>
      <c r="S909" s="5" t="s">
        <v>238</v>
      </c>
      <c r="V909" s="5" t="s">
        <v>238</v>
      </c>
      <c r="X909" s="6" t="s">
        <v>238</v>
      </c>
      <c r="AA909" s="6" t="s">
        <v>243</v>
      </c>
      <c r="AB909" s="5" t="s">
        <v>238</v>
      </c>
      <c r="AC909" s="5" t="s">
        <v>244</v>
      </c>
      <c r="AD909" s="5" t="s">
        <v>245</v>
      </c>
      <c r="AT909" s="5" t="s">
        <v>246</v>
      </c>
      <c r="AU909" s="5" t="s">
        <v>238</v>
      </c>
      <c r="AV909" s="5" t="s">
        <v>247</v>
      </c>
      <c r="AW909" s="5" t="s">
        <v>238</v>
      </c>
      <c r="AX909" s="5" t="s">
        <v>249</v>
      </c>
      <c r="AY909" s="5" t="s">
        <v>238</v>
      </c>
      <c r="BA909" s="5" t="s">
        <v>238</v>
      </c>
      <c r="BC909" s="5" t="s">
        <v>250</v>
      </c>
      <c r="BD909" s="6" t="s">
        <v>243</v>
      </c>
      <c r="BE909" s="5" t="s">
        <v>251</v>
      </c>
      <c r="BF909" s="5" t="s">
        <v>252</v>
      </c>
      <c r="BG909" s="5" t="s">
        <v>238</v>
      </c>
      <c r="BH909" s="7">
        <f>0</f>
        <v>0</v>
      </c>
      <c r="BI909" s="8">
        <f>0</f>
        <v>0</v>
      </c>
      <c r="BJ909" s="5" t="s">
        <v>253</v>
      </c>
      <c r="BK909" s="5" t="s">
        <v>254</v>
      </c>
      <c r="BY909" s="5" t="s">
        <v>238</v>
      </c>
      <c r="BZ909" s="5" t="s">
        <v>238</v>
      </c>
      <c r="CD909" s="5" t="s">
        <v>273</v>
      </c>
      <c r="CE909" s="5" t="s">
        <v>256</v>
      </c>
      <c r="CF909" s="5" t="s">
        <v>238</v>
      </c>
      <c r="CI909" s="6" t="s">
        <v>257</v>
      </c>
      <c r="CJ909" s="5" t="s">
        <v>238</v>
      </c>
      <c r="CK909" s="5" t="s">
        <v>258</v>
      </c>
      <c r="CL909" s="5" t="s">
        <v>238</v>
      </c>
      <c r="CM909" s="5" t="s">
        <v>238</v>
      </c>
      <c r="CN909" s="5">
        <v>0</v>
      </c>
      <c r="CO909" s="5" t="s">
        <v>259</v>
      </c>
      <c r="CP909" s="5" t="s">
        <v>260</v>
      </c>
      <c r="CQ909" s="5" t="s">
        <v>260</v>
      </c>
      <c r="CR909" s="5" t="s">
        <v>261</v>
      </c>
      <c r="CU909" s="8">
        <f>1</f>
        <v>1</v>
      </c>
      <c r="CV909" s="8">
        <f>0</f>
        <v>0</v>
      </c>
      <c r="CX909" s="8">
        <f>0</f>
        <v>0</v>
      </c>
      <c r="CY909" s="8">
        <f>1</f>
        <v>1</v>
      </c>
      <c r="DA909" s="5" t="s">
        <v>673</v>
      </c>
      <c r="DB909" s="5" t="s">
        <v>238</v>
      </c>
      <c r="DD909" s="5" t="s">
        <v>673</v>
      </c>
      <c r="DE909" s="8">
        <f>169</f>
        <v>169</v>
      </c>
      <c r="DG909" s="5" t="s">
        <v>238</v>
      </c>
      <c r="DH909" s="5" t="s">
        <v>238</v>
      </c>
      <c r="DI909" s="5" t="s">
        <v>238</v>
      </c>
      <c r="DJ909" s="5" t="s">
        <v>238</v>
      </c>
      <c r="DN909" s="5" t="s">
        <v>238</v>
      </c>
      <c r="DO909" s="5" t="s">
        <v>238</v>
      </c>
      <c r="DP909" s="5" t="s">
        <v>238</v>
      </c>
      <c r="DQ909" s="5" t="s">
        <v>238</v>
      </c>
      <c r="DT909" s="5" t="s">
        <v>2039</v>
      </c>
      <c r="DU909" s="5" t="s">
        <v>434</v>
      </c>
      <c r="HM909" s="5" t="s">
        <v>264</v>
      </c>
    </row>
    <row r="910" spans="1:221" x14ac:dyDescent="0.4">
      <c r="A910" s="5">
        <v>2585</v>
      </c>
      <c r="B910" s="5">
        <v>1</v>
      </c>
      <c r="C910" s="5">
        <v>1</v>
      </c>
      <c r="D910" s="5" t="s">
        <v>2037</v>
      </c>
      <c r="E910" s="5" t="s">
        <v>271</v>
      </c>
      <c r="F910" s="5" t="s">
        <v>248</v>
      </c>
      <c r="G910" s="5" t="s">
        <v>1969</v>
      </c>
      <c r="H910" s="6" t="s">
        <v>3311</v>
      </c>
      <c r="I910" s="7">
        <f>98</f>
        <v>98</v>
      </c>
      <c r="J910" s="5" t="s">
        <v>262</v>
      </c>
      <c r="K910" s="8">
        <f>1</f>
        <v>1</v>
      </c>
      <c r="L910" s="6" t="s">
        <v>242</v>
      </c>
      <c r="M910" s="5" t="s">
        <v>267</v>
      </c>
      <c r="N910" s="5" t="s">
        <v>265</v>
      </c>
      <c r="O910" s="5" t="s">
        <v>238</v>
      </c>
      <c r="P910" s="5" t="s">
        <v>238</v>
      </c>
      <c r="Q910" s="5" t="s">
        <v>268</v>
      </c>
      <c r="R910" s="5" t="s">
        <v>270</v>
      </c>
      <c r="S910" s="5" t="s">
        <v>238</v>
      </c>
      <c r="V910" s="5" t="s">
        <v>238</v>
      </c>
      <c r="X910" s="6" t="s">
        <v>238</v>
      </c>
      <c r="AA910" s="6" t="s">
        <v>243</v>
      </c>
      <c r="AB910" s="5" t="s">
        <v>238</v>
      </c>
      <c r="AC910" s="5" t="s">
        <v>244</v>
      </c>
      <c r="AD910" s="5" t="s">
        <v>245</v>
      </c>
      <c r="AT910" s="5" t="s">
        <v>246</v>
      </c>
      <c r="AU910" s="5" t="s">
        <v>238</v>
      </c>
      <c r="AV910" s="5" t="s">
        <v>247</v>
      </c>
      <c r="AW910" s="5" t="s">
        <v>238</v>
      </c>
      <c r="AX910" s="5" t="s">
        <v>249</v>
      </c>
      <c r="AY910" s="5" t="s">
        <v>238</v>
      </c>
      <c r="BA910" s="5" t="s">
        <v>238</v>
      </c>
      <c r="BC910" s="5" t="s">
        <v>250</v>
      </c>
      <c r="BD910" s="6" t="s">
        <v>243</v>
      </c>
      <c r="BE910" s="5" t="s">
        <v>251</v>
      </c>
      <c r="BF910" s="5" t="s">
        <v>252</v>
      </c>
      <c r="BG910" s="5" t="s">
        <v>238</v>
      </c>
      <c r="BH910" s="7">
        <f>0</f>
        <v>0</v>
      </c>
      <c r="BI910" s="8">
        <f>0</f>
        <v>0</v>
      </c>
      <c r="BJ910" s="5" t="s">
        <v>253</v>
      </c>
      <c r="BK910" s="5" t="s">
        <v>254</v>
      </c>
      <c r="BY910" s="5" t="s">
        <v>238</v>
      </c>
      <c r="BZ910" s="5" t="s">
        <v>238</v>
      </c>
      <c r="CD910" s="5" t="s">
        <v>273</v>
      </c>
      <c r="CE910" s="5" t="s">
        <v>256</v>
      </c>
      <c r="CF910" s="5" t="s">
        <v>238</v>
      </c>
      <c r="CI910" s="6" t="s">
        <v>257</v>
      </c>
      <c r="CJ910" s="5" t="s">
        <v>238</v>
      </c>
      <c r="CK910" s="5" t="s">
        <v>258</v>
      </c>
      <c r="CL910" s="5" t="s">
        <v>238</v>
      </c>
      <c r="CM910" s="5" t="s">
        <v>238</v>
      </c>
      <c r="CN910" s="5">
        <v>0</v>
      </c>
      <c r="CO910" s="5" t="s">
        <v>259</v>
      </c>
      <c r="CP910" s="5" t="s">
        <v>260</v>
      </c>
      <c r="CQ910" s="5" t="s">
        <v>260</v>
      </c>
      <c r="CR910" s="5" t="s">
        <v>261</v>
      </c>
      <c r="CU910" s="8">
        <f>1</f>
        <v>1</v>
      </c>
      <c r="CV910" s="8">
        <f>0</f>
        <v>0</v>
      </c>
      <c r="CX910" s="8">
        <f>0</f>
        <v>0</v>
      </c>
      <c r="CY910" s="8">
        <f>1</f>
        <v>1</v>
      </c>
      <c r="DA910" s="5" t="s">
        <v>673</v>
      </c>
      <c r="DB910" s="5" t="s">
        <v>238</v>
      </c>
      <c r="DD910" s="5" t="s">
        <v>673</v>
      </c>
      <c r="DE910" s="8">
        <f>98</f>
        <v>98</v>
      </c>
      <c r="DG910" s="5" t="s">
        <v>238</v>
      </c>
      <c r="DH910" s="5" t="s">
        <v>238</v>
      </c>
      <c r="DI910" s="5" t="s">
        <v>238</v>
      </c>
      <c r="DJ910" s="5" t="s">
        <v>238</v>
      </c>
      <c r="DN910" s="5" t="s">
        <v>238</v>
      </c>
      <c r="DO910" s="5" t="s">
        <v>238</v>
      </c>
      <c r="DP910" s="5" t="s">
        <v>238</v>
      </c>
      <c r="DQ910" s="5" t="s">
        <v>238</v>
      </c>
      <c r="DT910" s="5" t="s">
        <v>2039</v>
      </c>
      <c r="DU910" s="5" t="s">
        <v>3312</v>
      </c>
      <c r="HM910" s="5" t="s">
        <v>264</v>
      </c>
    </row>
    <row r="911" spans="1:221" x14ac:dyDescent="0.4">
      <c r="A911" s="5">
        <v>2586</v>
      </c>
      <c r="B911" s="5">
        <v>1</v>
      </c>
      <c r="C911" s="5">
        <v>1</v>
      </c>
      <c r="D911" s="5" t="s">
        <v>2037</v>
      </c>
      <c r="E911" s="5" t="s">
        <v>271</v>
      </c>
      <c r="F911" s="5" t="s">
        <v>248</v>
      </c>
      <c r="G911" s="5" t="s">
        <v>1969</v>
      </c>
      <c r="H911" s="6" t="s">
        <v>3310</v>
      </c>
      <c r="I911" s="7">
        <f>0.83</f>
        <v>0.83</v>
      </c>
      <c r="J911" s="5" t="s">
        <v>262</v>
      </c>
      <c r="K911" s="8">
        <f>1</f>
        <v>1</v>
      </c>
      <c r="L911" s="6" t="s">
        <v>242</v>
      </c>
      <c r="M911" s="5" t="s">
        <v>267</v>
      </c>
      <c r="N911" s="5" t="s">
        <v>265</v>
      </c>
      <c r="O911" s="5" t="s">
        <v>238</v>
      </c>
      <c r="P911" s="5" t="s">
        <v>238</v>
      </c>
      <c r="Q911" s="5" t="s">
        <v>268</v>
      </c>
      <c r="R911" s="5" t="s">
        <v>270</v>
      </c>
      <c r="S911" s="5" t="s">
        <v>238</v>
      </c>
      <c r="V911" s="5" t="s">
        <v>238</v>
      </c>
      <c r="X911" s="6" t="s">
        <v>238</v>
      </c>
      <c r="AA911" s="6" t="s">
        <v>243</v>
      </c>
      <c r="AB911" s="5" t="s">
        <v>238</v>
      </c>
      <c r="AC911" s="5" t="s">
        <v>244</v>
      </c>
      <c r="AD911" s="5" t="s">
        <v>245</v>
      </c>
      <c r="AT911" s="5" t="s">
        <v>246</v>
      </c>
      <c r="AU911" s="5" t="s">
        <v>238</v>
      </c>
      <c r="AV911" s="5" t="s">
        <v>247</v>
      </c>
      <c r="AW911" s="5" t="s">
        <v>238</v>
      </c>
      <c r="AX911" s="5" t="s">
        <v>249</v>
      </c>
      <c r="AY911" s="5" t="s">
        <v>238</v>
      </c>
      <c r="BA911" s="5" t="s">
        <v>238</v>
      </c>
      <c r="BC911" s="5" t="s">
        <v>250</v>
      </c>
      <c r="BD911" s="6" t="s">
        <v>243</v>
      </c>
      <c r="BE911" s="5" t="s">
        <v>251</v>
      </c>
      <c r="BF911" s="5" t="s">
        <v>252</v>
      </c>
      <c r="BG911" s="5" t="s">
        <v>238</v>
      </c>
      <c r="BH911" s="7">
        <f>0</f>
        <v>0</v>
      </c>
      <c r="BI911" s="8">
        <f>0</f>
        <v>0</v>
      </c>
      <c r="BJ911" s="5" t="s">
        <v>253</v>
      </c>
      <c r="BK911" s="5" t="s">
        <v>254</v>
      </c>
      <c r="BY911" s="5" t="s">
        <v>238</v>
      </c>
      <c r="BZ911" s="5" t="s">
        <v>238</v>
      </c>
      <c r="CD911" s="5" t="s">
        <v>273</v>
      </c>
      <c r="CE911" s="5" t="s">
        <v>256</v>
      </c>
      <c r="CF911" s="5" t="s">
        <v>238</v>
      </c>
      <c r="CI911" s="6" t="s">
        <v>257</v>
      </c>
      <c r="CJ911" s="5" t="s">
        <v>238</v>
      </c>
      <c r="CK911" s="5" t="s">
        <v>258</v>
      </c>
      <c r="CL911" s="5" t="s">
        <v>238</v>
      </c>
      <c r="CM911" s="5" t="s">
        <v>238</v>
      </c>
      <c r="CN911" s="5">
        <v>0</v>
      </c>
      <c r="CO911" s="5" t="s">
        <v>259</v>
      </c>
      <c r="CP911" s="5" t="s">
        <v>260</v>
      </c>
      <c r="CQ911" s="5" t="s">
        <v>260</v>
      </c>
      <c r="CR911" s="5" t="s">
        <v>261</v>
      </c>
      <c r="CU911" s="8">
        <f>1</f>
        <v>1</v>
      </c>
      <c r="CV911" s="8">
        <f>0</f>
        <v>0</v>
      </c>
      <c r="CX911" s="8">
        <f>0</f>
        <v>0</v>
      </c>
      <c r="CY911" s="8">
        <f>1</f>
        <v>1</v>
      </c>
      <c r="DA911" s="5" t="s">
        <v>673</v>
      </c>
      <c r="DB911" s="5" t="s">
        <v>238</v>
      </c>
      <c r="DD911" s="5" t="s">
        <v>673</v>
      </c>
      <c r="DE911" s="8">
        <f>0.83</f>
        <v>0.83</v>
      </c>
      <c r="DG911" s="5" t="s">
        <v>238</v>
      </c>
      <c r="DH911" s="5" t="s">
        <v>238</v>
      </c>
      <c r="DI911" s="5" t="s">
        <v>238</v>
      </c>
      <c r="DJ911" s="5" t="s">
        <v>238</v>
      </c>
      <c r="DN911" s="5" t="s">
        <v>238</v>
      </c>
      <c r="DO911" s="5" t="s">
        <v>238</v>
      </c>
      <c r="DP911" s="5" t="s">
        <v>238</v>
      </c>
      <c r="DQ911" s="5" t="s">
        <v>238</v>
      </c>
      <c r="DT911" s="5" t="s">
        <v>2039</v>
      </c>
      <c r="DU911" s="5" t="s">
        <v>440</v>
      </c>
      <c r="HM911" s="5" t="s">
        <v>264</v>
      </c>
    </row>
    <row r="912" spans="1:221" x14ac:dyDescent="0.4">
      <c r="A912" s="5">
        <v>2587</v>
      </c>
      <c r="B912" s="5">
        <v>1</v>
      </c>
      <c r="C912" s="5">
        <v>1</v>
      </c>
      <c r="D912" s="5" t="s">
        <v>2037</v>
      </c>
      <c r="E912" s="5" t="s">
        <v>271</v>
      </c>
      <c r="F912" s="5" t="s">
        <v>248</v>
      </c>
      <c r="G912" s="5" t="s">
        <v>1969</v>
      </c>
      <c r="H912" s="6" t="s">
        <v>3309</v>
      </c>
      <c r="I912" s="7">
        <f>57</f>
        <v>57</v>
      </c>
      <c r="J912" s="5" t="s">
        <v>262</v>
      </c>
      <c r="K912" s="8">
        <f>1</f>
        <v>1</v>
      </c>
      <c r="L912" s="6" t="s">
        <v>242</v>
      </c>
      <c r="M912" s="5" t="s">
        <v>267</v>
      </c>
      <c r="N912" s="5" t="s">
        <v>265</v>
      </c>
      <c r="O912" s="5" t="s">
        <v>238</v>
      </c>
      <c r="P912" s="5" t="s">
        <v>238</v>
      </c>
      <c r="Q912" s="5" t="s">
        <v>268</v>
      </c>
      <c r="R912" s="5" t="s">
        <v>270</v>
      </c>
      <c r="S912" s="5" t="s">
        <v>238</v>
      </c>
      <c r="V912" s="5" t="s">
        <v>238</v>
      </c>
      <c r="X912" s="6" t="s">
        <v>238</v>
      </c>
      <c r="AA912" s="6" t="s">
        <v>243</v>
      </c>
      <c r="AB912" s="5" t="s">
        <v>238</v>
      </c>
      <c r="AC912" s="5" t="s">
        <v>244</v>
      </c>
      <c r="AD912" s="5" t="s">
        <v>245</v>
      </c>
      <c r="AT912" s="5" t="s">
        <v>246</v>
      </c>
      <c r="AU912" s="5" t="s">
        <v>238</v>
      </c>
      <c r="AV912" s="5" t="s">
        <v>247</v>
      </c>
      <c r="AW912" s="5" t="s">
        <v>238</v>
      </c>
      <c r="AX912" s="5" t="s">
        <v>249</v>
      </c>
      <c r="AY912" s="5" t="s">
        <v>238</v>
      </c>
      <c r="BA912" s="5" t="s">
        <v>238</v>
      </c>
      <c r="BC912" s="5" t="s">
        <v>250</v>
      </c>
      <c r="BD912" s="6" t="s">
        <v>243</v>
      </c>
      <c r="BE912" s="5" t="s">
        <v>251</v>
      </c>
      <c r="BF912" s="5" t="s">
        <v>252</v>
      </c>
      <c r="BG912" s="5" t="s">
        <v>238</v>
      </c>
      <c r="BH912" s="7">
        <f>0</f>
        <v>0</v>
      </c>
      <c r="BI912" s="8">
        <f>0</f>
        <v>0</v>
      </c>
      <c r="BJ912" s="5" t="s">
        <v>253</v>
      </c>
      <c r="BK912" s="5" t="s">
        <v>254</v>
      </c>
      <c r="BY912" s="5" t="s">
        <v>238</v>
      </c>
      <c r="BZ912" s="5" t="s">
        <v>238</v>
      </c>
      <c r="CD912" s="5" t="s">
        <v>273</v>
      </c>
      <c r="CE912" s="5" t="s">
        <v>256</v>
      </c>
      <c r="CF912" s="5" t="s">
        <v>238</v>
      </c>
      <c r="CI912" s="6" t="s">
        <v>257</v>
      </c>
      <c r="CJ912" s="5" t="s">
        <v>238</v>
      </c>
      <c r="CK912" s="5" t="s">
        <v>258</v>
      </c>
      <c r="CL912" s="5" t="s">
        <v>238</v>
      </c>
      <c r="CM912" s="5" t="s">
        <v>238</v>
      </c>
      <c r="CN912" s="5">
        <v>0</v>
      </c>
      <c r="CO912" s="5" t="s">
        <v>259</v>
      </c>
      <c r="CP912" s="5" t="s">
        <v>260</v>
      </c>
      <c r="CQ912" s="5" t="s">
        <v>260</v>
      </c>
      <c r="CR912" s="5" t="s">
        <v>261</v>
      </c>
      <c r="CU912" s="8">
        <f>1</f>
        <v>1</v>
      </c>
      <c r="CV912" s="8">
        <f>0</f>
        <v>0</v>
      </c>
      <c r="CX912" s="8">
        <f>0</f>
        <v>0</v>
      </c>
      <c r="CY912" s="8">
        <f>1</f>
        <v>1</v>
      </c>
      <c r="DA912" s="5" t="s">
        <v>673</v>
      </c>
      <c r="DB912" s="5" t="s">
        <v>238</v>
      </c>
      <c r="DD912" s="5" t="s">
        <v>673</v>
      </c>
      <c r="DE912" s="8">
        <f>57</f>
        <v>57</v>
      </c>
      <c r="DG912" s="5" t="s">
        <v>238</v>
      </c>
      <c r="DH912" s="5" t="s">
        <v>238</v>
      </c>
      <c r="DI912" s="5" t="s">
        <v>238</v>
      </c>
      <c r="DJ912" s="5" t="s">
        <v>238</v>
      </c>
      <c r="DN912" s="5" t="s">
        <v>238</v>
      </c>
      <c r="DO912" s="5" t="s">
        <v>238</v>
      </c>
      <c r="DP912" s="5" t="s">
        <v>238</v>
      </c>
      <c r="DQ912" s="5" t="s">
        <v>238</v>
      </c>
      <c r="DT912" s="5" t="s">
        <v>2039</v>
      </c>
      <c r="DU912" s="5" t="s">
        <v>444</v>
      </c>
      <c r="HM912" s="5" t="s">
        <v>264</v>
      </c>
    </row>
    <row r="913" spans="1:221" x14ac:dyDescent="0.4">
      <c r="A913" s="5">
        <v>2588</v>
      </c>
      <c r="B913" s="5">
        <v>1</v>
      </c>
      <c r="C913" s="5">
        <v>1</v>
      </c>
      <c r="D913" s="5" t="s">
        <v>2037</v>
      </c>
      <c r="E913" s="5" t="s">
        <v>271</v>
      </c>
      <c r="F913" s="5" t="s">
        <v>248</v>
      </c>
      <c r="G913" s="5" t="s">
        <v>1969</v>
      </c>
      <c r="H913" s="6" t="s">
        <v>3308</v>
      </c>
      <c r="I913" s="7">
        <f>1221</f>
        <v>1221</v>
      </c>
      <c r="J913" s="5" t="s">
        <v>262</v>
      </c>
      <c r="K913" s="8">
        <f>1</f>
        <v>1</v>
      </c>
      <c r="L913" s="6" t="s">
        <v>242</v>
      </c>
      <c r="M913" s="5" t="s">
        <v>267</v>
      </c>
      <c r="N913" s="5" t="s">
        <v>265</v>
      </c>
      <c r="O913" s="5" t="s">
        <v>238</v>
      </c>
      <c r="P913" s="5" t="s">
        <v>238</v>
      </c>
      <c r="Q913" s="5" t="s">
        <v>268</v>
      </c>
      <c r="R913" s="5" t="s">
        <v>270</v>
      </c>
      <c r="S913" s="5" t="s">
        <v>238</v>
      </c>
      <c r="V913" s="5" t="s">
        <v>238</v>
      </c>
      <c r="X913" s="6" t="s">
        <v>238</v>
      </c>
      <c r="AA913" s="6" t="s">
        <v>243</v>
      </c>
      <c r="AB913" s="5" t="s">
        <v>238</v>
      </c>
      <c r="AC913" s="5" t="s">
        <v>244</v>
      </c>
      <c r="AD913" s="5" t="s">
        <v>245</v>
      </c>
      <c r="AT913" s="5" t="s">
        <v>246</v>
      </c>
      <c r="AU913" s="5" t="s">
        <v>238</v>
      </c>
      <c r="AV913" s="5" t="s">
        <v>247</v>
      </c>
      <c r="AW913" s="5" t="s">
        <v>238</v>
      </c>
      <c r="AX913" s="5" t="s">
        <v>249</v>
      </c>
      <c r="AY913" s="5" t="s">
        <v>238</v>
      </c>
      <c r="BA913" s="5" t="s">
        <v>238</v>
      </c>
      <c r="BC913" s="5" t="s">
        <v>250</v>
      </c>
      <c r="BD913" s="6" t="s">
        <v>243</v>
      </c>
      <c r="BE913" s="5" t="s">
        <v>251</v>
      </c>
      <c r="BF913" s="5" t="s">
        <v>252</v>
      </c>
      <c r="BG913" s="5" t="s">
        <v>238</v>
      </c>
      <c r="BH913" s="7">
        <f>0</f>
        <v>0</v>
      </c>
      <c r="BI913" s="8">
        <f>0</f>
        <v>0</v>
      </c>
      <c r="BJ913" s="5" t="s">
        <v>253</v>
      </c>
      <c r="BK913" s="5" t="s">
        <v>254</v>
      </c>
      <c r="BY913" s="5" t="s">
        <v>238</v>
      </c>
      <c r="BZ913" s="5" t="s">
        <v>238</v>
      </c>
      <c r="CD913" s="5" t="s">
        <v>273</v>
      </c>
      <c r="CE913" s="5" t="s">
        <v>256</v>
      </c>
      <c r="CF913" s="5" t="s">
        <v>238</v>
      </c>
      <c r="CI913" s="6" t="s">
        <v>257</v>
      </c>
      <c r="CJ913" s="5" t="s">
        <v>238</v>
      </c>
      <c r="CK913" s="5" t="s">
        <v>258</v>
      </c>
      <c r="CL913" s="5" t="s">
        <v>238</v>
      </c>
      <c r="CM913" s="5" t="s">
        <v>238</v>
      </c>
      <c r="CN913" s="5">
        <v>0</v>
      </c>
      <c r="CO913" s="5" t="s">
        <v>259</v>
      </c>
      <c r="CP913" s="5" t="s">
        <v>260</v>
      </c>
      <c r="CQ913" s="5" t="s">
        <v>260</v>
      </c>
      <c r="CR913" s="5" t="s">
        <v>261</v>
      </c>
      <c r="CU913" s="8">
        <f>1</f>
        <v>1</v>
      </c>
      <c r="CV913" s="8">
        <f>0</f>
        <v>0</v>
      </c>
      <c r="CX913" s="8">
        <f>0</f>
        <v>0</v>
      </c>
      <c r="CY913" s="8">
        <f>1</f>
        <v>1</v>
      </c>
      <c r="DA913" s="5" t="s">
        <v>673</v>
      </c>
      <c r="DB913" s="5" t="s">
        <v>238</v>
      </c>
      <c r="DD913" s="5" t="s">
        <v>673</v>
      </c>
      <c r="DE913" s="8">
        <f>1221</f>
        <v>1221</v>
      </c>
      <c r="DG913" s="5" t="s">
        <v>238</v>
      </c>
      <c r="DH913" s="5" t="s">
        <v>238</v>
      </c>
      <c r="DI913" s="5" t="s">
        <v>238</v>
      </c>
      <c r="DJ913" s="5" t="s">
        <v>238</v>
      </c>
      <c r="DN913" s="5" t="s">
        <v>238</v>
      </c>
      <c r="DO913" s="5" t="s">
        <v>238</v>
      </c>
      <c r="DP913" s="5" t="s">
        <v>238</v>
      </c>
      <c r="DQ913" s="5" t="s">
        <v>238</v>
      </c>
      <c r="DT913" s="5" t="s">
        <v>2039</v>
      </c>
      <c r="DU913" s="5" t="s">
        <v>446</v>
      </c>
      <c r="HM913" s="5" t="s">
        <v>264</v>
      </c>
    </row>
    <row r="914" spans="1:221" x14ac:dyDescent="0.4">
      <c r="A914" s="5">
        <v>2589</v>
      </c>
      <c r="B914" s="5">
        <v>1</v>
      </c>
      <c r="C914" s="5">
        <v>1</v>
      </c>
      <c r="D914" s="5" t="s">
        <v>2037</v>
      </c>
      <c r="E914" s="5" t="s">
        <v>271</v>
      </c>
      <c r="F914" s="5" t="s">
        <v>248</v>
      </c>
      <c r="G914" s="5" t="s">
        <v>1969</v>
      </c>
      <c r="H914" s="6" t="s">
        <v>3307</v>
      </c>
      <c r="I914" s="7">
        <f>485</f>
        <v>485</v>
      </c>
      <c r="J914" s="5" t="s">
        <v>262</v>
      </c>
      <c r="K914" s="8">
        <f>1</f>
        <v>1</v>
      </c>
      <c r="L914" s="6" t="s">
        <v>242</v>
      </c>
      <c r="M914" s="5" t="s">
        <v>267</v>
      </c>
      <c r="N914" s="5" t="s">
        <v>265</v>
      </c>
      <c r="O914" s="5" t="s">
        <v>238</v>
      </c>
      <c r="P914" s="5" t="s">
        <v>238</v>
      </c>
      <c r="Q914" s="5" t="s">
        <v>268</v>
      </c>
      <c r="R914" s="5" t="s">
        <v>270</v>
      </c>
      <c r="S914" s="5" t="s">
        <v>238</v>
      </c>
      <c r="V914" s="5" t="s">
        <v>238</v>
      </c>
      <c r="X914" s="6" t="s">
        <v>238</v>
      </c>
      <c r="AA914" s="6" t="s">
        <v>243</v>
      </c>
      <c r="AB914" s="5" t="s">
        <v>238</v>
      </c>
      <c r="AC914" s="5" t="s">
        <v>244</v>
      </c>
      <c r="AD914" s="5" t="s">
        <v>245</v>
      </c>
      <c r="AT914" s="5" t="s">
        <v>246</v>
      </c>
      <c r="AU914" s="5" t="s">
        <v>238</v>
      </c>
      <c r="AV914" s="5" t="s">
        <v>247</v>
      </c>
      <c r="AW914" s="5" t="s">
        <v>238</v>
      </c>
      <c r="AX914" s="5" t="s">
        <v>249</v>
      </c>
      <c r="AY914" s="5" t="s">
        <v>238</v>
      </c>
      <c r="BA914" s="5" t="s">
        <v>238</v>
      </c>
      <c r="BC914" s="5" t="s">
        <v>250</v>
      </c>
      <c r="BD914" s="6" t="s">
        <v>243</v>
      </c>
      <c r="BE914" s="5" t="s">
        <v>251</v>
      </c>
      <c r="BF914" s="5" t="s">
        <v>252</v>
      </c>
      <c r="BG914" s="5" t="s">
        <v>238</v>
      </c>
      <c r="BH914" s="7">
        <f>0</f>
        <v>0</v>
      </c>
      <c r="BI914" s="8">
        <f>0</f>
        <v>0</v>
      </c>
      <c r="BJ914" s="5" t="s">
        <v>253</v>
      </c>
      <c r="BK914" s="5" t="s">
        <v>254</v>
      </c>
      <c r="BY914" s="5" t="s">
        <v>238</v>
      </c>
      <c r="BZ914" s="5" t="s">
        <v>238</v>
      </c>
      <c r="CD914" s="5" t="s">
        <v>273</v>
      </c>
      <c r="CE914" s="5" t="s">
        <v>256</v>
      </c>
      <c r="CF914" s="5" t="s">
        <v>238</v>
      </c>
      <c r="CI914" s="6" t="s">
        <v>257</v>
      </c>
      <c r="CJ914" s="5" t="s">
        <v>238</v>
      </c>
      <c r="CK914" s="5" t="s">
        <v>258</v>
      </c>
      <c r="CL914" s="5" t="s">
        <v>238</v>
      </c>
      <c r="CM914" s="5" t="s">
        <v>238</v>
      </c>
      <c r="CN914" s="5">
        <v>0</v>
      </c>
      <c r="CO914" s="5" t="s">
        <v>259</v>
      </c>
      <c r="CP914" s="5" t="s">
        <v>260</v>
      </c>
      <c r="CQ914" s="5" t="s">
        <v>260</v>
      </c>
      <c r="CR914" s="5" t="s">
        <v>261</v>
      </c>
      <c r="CU914" s="8">
        <f>1</f>
        <v>1</v>
      </c>
      <c r="CV914" s="8">
        <f>0</f>
        <v>0</v>
      </c>
      <c r="CX914" s="8">
        <f>0</f>
        <v>0</v>
      </c>
      <c r="CY914" s="8">
        <f>1</f>
        <v>1</v>
      </c>
      <c r="DA914" s="5" t="s">
        <v>673</v>
      </c>
      <c r="DB914" s="5" t="s">
        <v>238</v>
      </c>
      <c r="DD914" s="5" t="s">
        <v>673</v>
      </c>
      <c r="DE914" s="8">
        <f>485</f>
        <v>485</v>
      </c>
      <c r="DG914" s="5" t="s">
        <v>238</v>
      </c>
      <c r="DH914" s="5" t="s">
        <v>238</v>
      </c>
      <c r="DI914" s="5" t="s">
        <v>238</v>
      </c>
      <c r="DJ914" s="5" t="s">
        <v>238</v>
      </c>
      <c r="DN914" s="5" t="s">
        <v>238</v>
      </c>
      <c r="DO914" s="5" t="s">
        <v>238</v>
      </c>
      <c r="DP914" s="5" t="s">
        <v>238</v>
      </c>
      <c r="DQ914" s="5" t="s">
        <v>238</v>
      </c>
      <c r="DT914" s="5" t="s">
        <v>2039</v>
      </c>
      <c r="DU914" s="5" t="s">
        <v>450</v>
      </c>
      <c r="HM914" s="5" t="s">
        <v>264</v>
      </c>
    </row>
    <row r="915" spans="1:221" x14ac:dyDescent="0.4">
      <c r="A915" s="5">
        <v>2590</v>
      </c>
      <c r="B915" s="5">
        <v>1</v>
      </c>
      <c r="C915" s="5">
        <v>1</v>
      </c>
      <c r="D915" s="5" t="s">
        <v>2037</v>
      </c>
      <c r="E915" s="5" t="s">
        <v>271</v>
      </c>
      <c r="F915" s="5" t="s">
        <v>248</v>
      </c>
      <c r="G915" s="5" t="s">
        <v>1969</v>
      </c>
      <c r="H915" s="6" t="s">
        <v>3305</v>
      </c>
      <c r="I915" s="7">
        <f>80</f>
        <v>80</v>
      </c>
      <c r="J915" s="5" t="s">
        <v>262</v>
      </c>
      <c r="K915" s="8">
        <f>1</f>
        <v>1</v>
      </c>
      <c r="L915" s="6" t="s">
        <v>242</v>
      </c>
      <c r="M915" s="5" t="s">
        <v>267</v>
      </c>
      <c r="N915" s="5" t="s">
        <v>265</v>
      </c>
      <c r="O915" s="5" t="s">
        <v>238</v>
      </c>
      <c r="P915" s="5" t="s">
        <v>238</v>
      </c>
      <c r="Q915" s="5" t="s">
        <v>268</v>
      </c>
      <c r="R915" s="5" t="s">
        <v>270</v>
      </c>
      <c r="S915" s="5" t="s">
        <v>238</v>
      </c>
      <c r="V915" s="5" t="s">
        <v>238</v>
      </c>
      <c r="X915" s="6" t="s">
        <v>238</v>
      </c>
      <c r="AA915" s="6" t="s">
        <v>243</v>
      </c>
      <c r="AB915" s="5" t="s">
        <v>238</v>
      </c>
      <c r="AC915" s="5" t="s">
        <v>244</v>
      </c>
      <c r="AD915" s="5" t="s">
        <v>245</v>
      </c>
      <c r="AT915" s="5" t="s">
        <v>246</v>
      </c>
      <c r="AU915" s="5" t="s">
        <v>238</v>
      </c>
      <c r="AV915" s="5" t="s">
        <v>247</v>
      </c>
      <c r="AW915" s="5" t="s">
        <v>238</v>
      </c>
      <c r="AX915" s="5" t="s">
        <v>249</v>
      </c>
      <c r="AY915" s="5" t="s">
        <v>238</v>
      </c>
      <c r="BA915" s="5" t="s">
        <v>238</v>
      </c>
      <c r="BC915" s="5" t="s">
        <v>250</v>
      </c>
      <c r="BD915" s="6" t="s">
        <v>243</v>
      </c>
      <c r="BE915" s="5" t="s">
        <v>251</v>
      </c>
      <c r="BF915" s="5" t="s">
        <v>252</v>
      </c>
      <c r="BG915" s="5" t="s">
        <v>238</v>
      </c>
      <c r="BH915" s="7">
        <f>0</f>
        <v>0</v>
      </c>
      <c r="BI915" s="8">
        <f>0</f>
        <v>0</v>
      </c>
      <c r="BJ915" s="5" t="s">
        <v>253</v>
      </c>
      <c r="BK915" s="5" t="s">
        <v>254</v>
      </c>
      <c r="BY915" s="5" t="s">
        <v>238</v>
      </c>
      <c r="BZ915" s="5" t="s">
        <v>238</v>
      </c>
      <c r="CD915" s="5" t="s">
        <v>273</v>
      </c>
      <c r="CE915" s="5" t="s">
        <v>256</v>
      </c>
      <c r="CF915" s="5" t="s">
        <v>238</v>
      </c>
      <c r="CI915" s="6" t="s">
        <v>257</v>
      </c>
      <c r="CJ915" s="5" t="s">
        <v>238</v>
      </c>
      <c r="CK915" s="5" t="s">
        <v>258</v>
      </c>
      <c r="CL915" s="5" t="s">
        <v>238</v>
      </c>
      <c r="CM915" s="5" t="s">
        <v>238</v>
      </c>
      <c r="CN915" s="5">
        <v>0</v>
      </c>
      <c r="CO915" s="5" t="s">
        <v>259</v>
      </c>
      <c r="CP915" s="5" t="s">
        <v>260</v>
      </c>
      <c r="CQ915" s="5" t="s">
        <v>260</v>
      </c>
      <c r="CR915" s="5" t="s">
        <v>261</v>
      </c>
      <c r="CU915" s="8">
        <f>1</f>
        <v>1</v>
      </c>
      <c r="CV915" s="8">
        <f>0</f>
        <v>0</v>
      </c>
      <c r="CX915" s="8">
        <f>0</f>
        <v>0</v>
      </c>
      <c r="CY915" s="8">
        <f>1</f>
        <v>1</v>
      </c>
      <c r="DA915" s="5" t="s">
        <v>673</v>
      </c>
      <c r="DB915" s="5" t="s">
        <v>238</v>
      </c>
      <c r="DD915" s="5" t="s">
        <v>673</v>
      </c>
      <c r="DE915" s="8">
        <f>80</f>
        <v>80</v>
      </c>
      <c r="DG915" s="5" t="s">
        <v>238</v>
      </c>
      <c r="DH915" s="5" t="s">
        <v>238</v>
      </c>
      <c r="DI915" s="5" t="s">
        <v>238</v>
      </c>
      <c r="DJ915" s="5" t="s">
        <v>238</v>
      </c>
      <c r="DN915" s="5" t="s">
        <v>238</v>
      </c>
      <c r="DO915" s="5" t="s">
        <v>238</v>
      </c>
      <c r="DP915" s="5" t="s">
        <v>238</v>
      </c>
      <c r="DQ915" s="5" t="s">
        <v>238</v>
      </c>
      <c r="DT915" s="5" t="s">
        <v>2039</v>
      </c>
      <c r="DU915" s="5" t="s">
        <v>3306</v>
      </c>
      <c r="HM915" s="5" t="s">
        <v>264</v>
      </c>
    </row>
    <row r="916" spans="1:221" x14ac:dyDescent="0.4">
      <c r="A916" s="5">
        <v>2591</v>
      </c>
      <c r="B916" s="5">
        <v>1</v>
      </c>
      <c r="C916" s="5">
        <v>1</v>
      </c>
      <c r="D916" s="5" t="s">
        <v>2037</v>
      </c>
      <c r="E916" s="5" t="s">
        <v>271</v>
      </c>
      <c r="F916" s="5" t="s">
        <v>248</v>
      </c>
      <c r="G916" s="5" t="s">
        <v>1969</v>
      </c>
      <c r="H916" s="6" t="s">
        <v>3304</v>
      </c>
      <c r="I916" s="7">
        <f>7.11</f>
        <v>7.11</v>
      </c>
      <c r="J916" s="5" t="s">
        <v>262</v>
      </c>
      <c r="K916" s="8">
        <f>1</f>
        <v>1</v>
      </c>
      <c r="L916" s="6" t="s">
        <v>242</v>
      </c>
      <c r="M916" s="5" t="s">
        <v>267</v>
      </c>
      <c r="N916" s="5" t="s">
        <v>265</v>
      </c>
      <c r="O916" s="5" t="s">
        <v>238</v>
      </c>
      <c r="P916" s="5" t="s">
        <v>238</v>
      </c>
      <c r="Q916" s="5" t="s">
        <v>268</v>
      </c>
      <c r="R916" s="5" t="s">
        <v>270</v>
      </c>
      <c r="S916" s="5" t="s">
        <v>238</v>
      </c>
      <c r="V916" s="5" t="s">
        <v>238</v>
      </c>
      <c r="X916" s="6" t="s">
        <v>238</v>
      </c>
      <c r="AA916" s="6" t="s">
        <v>243</v>
      </c>
      <c r="AB916" s="5" t="s">
        <v>238</v>
      </c>
      <c r="AC916" s="5" t="s">
        <v>244</v>
      </c>
      <c r="AD916" s="5" t="s">
        <v>245</v>
      </c>
      <c r="AT916" s="5" t="s">
        <v>246</v>
      </c>
      <c r="AU916" s="5" t="s">
        <v>238</v>
      </c>
      <c r="AV916" s="5" t="s">
        <v>247</v>
      </c>
      <c r="AW916" s="5" t="s">
        <v>238</v>
      </c>
      <c r="AX916" s="5" t="s">
        <v>249</v>
      </c>
      <c r="AY916" s="5" t="s">
        <v>238</v>
      </c>
      <c r="BA916" s="5" t="s">
        <v>238</v>
      </c>
      <c r="BC916" s="5" t="s">
        <v>250</v>
      </c>
      <c r="BD916" s="6" t="s">
        <v>243</v>
      </c>
      <c r="BE916" s="5" t="s">
        <v>251</v>
      </c>
      <c r="BF916" s="5" t="s">
        <v>252</v>
      </c>
      <c r="BG916" s="5" t="s">
        <v>238</v>
      </c>
      <c r="BH916" s="7">
        <f>0</f>
        <v>0</v>
      </c>
      <c r="BI916" s="8">
        <f>0</f>
        <v>0</v>
      </c>
      <c r="BJ916" s="5" t="s">
        <v>253</v>
      </c>
      <c r="BK916" s="5" t="s">
        <v>254</v>
      </c>
      <c r="BY916" s="5" t="s">
        <v>238</v>
      </c>
      <c r="BZ916" s="5" t="s">
        <v>238</v>
      </c>
      <c r="CD916" s="5" t="s">
        <v>273</v>
      </c>
      <c r="CE916" s="5" t="s">
        <v>256</v>
      </c>
      <c r="CF916" s="5" t="s">
        <v>238</v>
      </c>
      <c r="CI916" s="6" t="s">
        <v>257</v>
      </c>
      <c r="CJ916" s="5" t="s">
        <v>238</v>
      </c>
      <c r="CK916" s="5" t="s">
        <v>258</v>
      </c>
      <c r="CL916" s="5" t="s">
        <v>238</v>
      </c>
      <c r="CM916" s="5" t="s">
        <v>238</v>
      </c>
      <c r="CN916" s="5">
        <v>0</v>
      </c>
      <c r="CO916" s="5" t="s">
        <v>259</v>
      </c>
      <c r="CP916" s="5" t="s">
        <v>260</v>
      </c>
      <c r="CQ916" s="5" t="s">
        <v>260</v>
      </c>
      <c r="CR916" s="5" t="s">
        <v>261</v>
      </c>
      <c r="CU916" s="8">
        <f>1</f>
        <v>1</v>
      </c>
      <c r="CV916" s="8">
        <f>0</f>
        <v>0</v>
      </c>
      <c r="CX916" s="8">
        <f>0</f>
        <v>0</v>
      </c>
      <c r="CY916" s="8">
        <f>1</f>
        <v>1</v>
      </c>
      <c r="DA916" s="5" t="s">
        <v>673</v>
      </c>
      <c r="DB916" s="5" t="s">
        <v>238</v>
      </c>
      <c r="DD916" s="5" t="s">
        <v>673</v>
      </c>
      <c r="DE916" s="8">
        <f>7.11</f>
        <v>7.11</v>
      </c>
      <c r="DG916" s="5" t="s">
        <v>238</v>
      </c>
      <c r="DH916" s="5" t="s">
        <v>238</v>
      </c>
      <c r="DI916" s="5" t="s">
        <v>238</v>
      </c>
      <c r="DJ916" s="5" t="s">
        <v>238</v>
      </c>
      <c r="DN916" s="5" t="s">
        <v>238</v>
      </c>
      <c r="DO916" s="5" t="s">
        <v>238</v>
      </c>
      <c r="DP916" s="5" t="s">
        <v>238</v>
      </c>
      <c r="DQ916" s="5" t="s">
        <v>238</v>
      </c>
      <c r="DT916" s="5" t="s">
        <v>2039</v>
      </c>
      <c r="DU916" s="5" t="s">
        <v>454</v>
      </c>
      <c r="HM916" s="5" t="s">
        <v>264</v>
      </c>
    </row>
    <row r="917" spans="1:221" x14ac:dyDescent="0.4">
      <c r="A917" s="5">
        <v>2592</v>
      </c>
      <c r="B917" s="5">
        <v>1</v>
      </c>
      <c r="C917" s="5">
        <v>1</v>
      </c>
      <c r="D917" s="5" t="s">
        <v>2037</v>
      </c>
      <c r="E917" s="5" t="s">
        <v>271</v>
      </c>
      <c r="F917" s="5" t="s">
        <v>248</v>
      </c>
      <c r="G917" s="5" t="s">
        <v>1969</v>
      </c>
      <c r="H917" s="6" t="s">
        <v>3303</v>
      </c>
      <c r="I917" s="7">
        <f>97</f>
        <v>97</v>
      </c>
      <c r="J917" s="5" t="s">
        <v>262</v>
      </c>
      <c r="K917" s="8">
        <f>1</f>
        <v>1</v>
      </c>
      <c r="L917" s="6" t="s">
        <v>242</v>
      </c>
      <c r="M917" s="5" t="s">
        <v>267</v>
      </c>
      <c r="N917" s="5" t="s">
        <v>265</v>
      </c>
      <c r="O917" s="5" t="s">
        <v>238</v>
      </c>
      <c r="P917" s="5" t="s">
        <v>238</v>
      </c>
      <c r="Q917" s="5" t="s">
        <v>268</v>
      </c>
      <c r="R917" s="5" t="s">
        <v>270</v>
      </c>
      <c r="S917" s="5" t="s">
        <v>238</v>
      </c>
      <c r="V917" s="5" t="s">
        <v>238</v>
      </c>
      <c r="X917" s="6" t="s">
        <v>238</v>
      </c>
      <c r="AA917" s="6" t="s">
        <v>243</v>
      </c>
      <c r="AB917" s="5" t="s">
        <v>238</v>
      </c>
      <c r="AC917" s="5" t="s">
        <v>244</v>
      </c>
      <c r="AD917" s="5" t="s">
        <v>245</v>
      </c>
      <c r="AT917" s="5" t="s">
        <v>246</v>
      </c>
      <c r="AU917" s="5" t="s">
        <v>238</v>
      </c>
      <c r="AV917" s="5" t="s">
        <v>247</v>
      </c>
      <c r="AW917" s="5" t="s">
        <v>238</v>
      </c>
      <c r="AX917" s="5" t="s">
        <v>249</v>
      </c>
      <c r="AY917" s="5" t="s">
        <v>238</v>
      </c>
      <c r="BA917" s="5" t="s">
        <v>238</v>
      </c>
      <c r="BC917" s="5" t="s">
        <v>250</v>
      </c>
      <c r="BD917" s="6" t="s">
        <v>243</v>
      </c>
      <c r="BE917" s="5" t="s">
        <v>251</v>
      </c>
      <c r="BF917" s="5" t="s">
        <v>252</v>
      </c>
      <c r="BG917" s="5" t="s">
        <v>238</v>
      </c>
      <c r="BH917" s="7">
        <f>0</f>
        <v>0</v>
      </c>
      <c r="BI917" s="8">
        <f>0</f>
        <v>0</v>
      </c>
      <c r="BJ917" s="5" t="s">
        <v>253</v>
      </c>
      <c r="BK917" s="5" t="s">
        <v>254</v>
      </c>
      <c r="BY917" s="5" t="s">
        <v>238</v>
      </c>
      <c r="BZ917" s="5" t="s">
        <v>238</v>
      </c>
      <c r="CD917" s="5" t="s">
        <v>273</v>
      </c>
      <c r="CE917" s="5" t="s">
        <v>256</v>
      </c>
      <c r="CF917" s="5" t="s">
        <v>238</v>
      </c>
      <c r="CI917" s="6" t="s">
        <v>257</v>
      </c>
      <c r="CJ917" s="5" t="s">
        <v>238</v>
      </c>
      <c r="CK917" s="5" t="s">
        <v>258</v>
      </c>
      <c r="CL917" s="5" t="s">
        <v>238</v>
      </c>
      <c r="CM917" s="5" t="s">
        <v>238</v>
      </c>
      <c r="CN917" s="5">
        <v>0</v>
      </c>
      <c r="CO917" s="5" t="s">
        <v>259</v>
      </c>
      <c r="CP917" s="5" t="s">
        <v>260</v>
      </c>
      <c r="CQ917" s="5" t="s">
        <v>260</v>
      </c>
      <c r="CR917" s="5" t="s">
        <v>261</v>
      </c>
      <c r="CU917" s="8">
        <f>1</f>
        <v>1</v>
      </c>
      <c r="CV917" s="8">
        <f>0</f>
        <v>0</v>
      </c>
      <c r="CX917" s="8">
        <f>0</f>
        <v>0</v>
      </c>
      <c r="CY917" s="8">
        <f>1</f>
        <v>1</v>
      </c>
      <c r="DA917" s="5" t="s">
        <v>673</v>
      </c>
      <c r="DB917" s="5" t="s">
        <v>238</v>
      </c>
      <c r="DD917" s="5" t="s">
        <v>673</v>
      </c>
      <c r="DE917" s="8">
        <f>97</f>
        <v>97</v>
      </c>
      <c r="DG917" s="5" t="s">
        <v>238</v>
      </c>
      <c r="DH917" s="5" t="s">
        <v>238</v>
      </c>
      <c r="DI917" s="5" t="s">
        <v>238</v>
      </c>
      <c r="DJ917" s="5" t="s">
        <v>238</v>
      </c>
      <c r="DN917" s="5" t="s">
        <v>238</v>
      </c>
      <c r="DO917" s="5" t="s">
        <v>238</v>
      </c>
      <c r="DP917" s="5" t="s">
        <v>238</v>
      </c>
      <c r="DQ917" s="5" t="s">
        <v>238</v>
      </c>
      <c r="DT917" s="5" t="s">
        <v>2039</v>
      </c>
      <c r="DU917" s="5" t="s">
        <v>456</v>
      </c>
      <c r="HM917" s="5" t="s">
        <v>264</v>
      </c>
    </row>
    <row r="918" spans="1:221" x14ac:dyDescent="0.4">
      <c r="A918" s="5">
        <v>2593</v>
      </c>
      <c r="B918" s="5">
        <v>1</v>
      </c>
      <c r="C918" s="5">
        <v>1</v>
      </c>
      <c r="D918" s="5" t="s">
        <v>2037</v>
      </c>
      <c r="E918" s="5" t="s">
        <v>271</v>
      </c>
      <c r="F918" s="5" t="s">
        <v>248</v>
      </c>
      <c r="G918" s="5" t="s">
        <v>1969</v>
      </c>
      <c r="H918" s="6" t="s">
        <v>3302</v>
      </c>
      <c r="I918" s="7">
        <f>85</f>
        <v>85</v>
      </c>
      <c r="J918" s="5" t="s">
        <v>262</v>
      </c>
      <c r="K918" s="8">
        <f>1</f>
        <v>1</v>
      </c>
      <c r="L918" s="6" t="s">
        <v>242</v>
      </c>
      <c r="M918" s="5" t="s">
        <v>267</v>
      </c>
      <c r="N918" s="5" t="s">
        <v>265</v>
      </c>
      <c r="O918" s="5" t="s">
        <v>238</v>
      </c>
      <c r="P918" s="5" t="s">
        <v>238</v>
      </c>
      <c r="Q918" s="5" t="s">
        <v>268</v>
      </c>
      <c r="R918" s="5" t="s">
        <v>270</v>
      </c>
      <c r="S918" s="5" t="s">
        <v>238</v>
      </c>
      <c r="V918" s="5" t="s">
        <v>238</v>
      </c>
      <c r="X918" s="6" t="s">
        <v>238</v>
      </c>
      <c r="AA918" s="6" t="s">
        <v>243</v>
      </c>
      <c r="AB918" s="5" t="s">
        <v>238</v>
      </c>
      <c r="AC918" s="5" t="s">
        <v>244</v>
      </c>
      <c r="AD918" s="5" t="s">
        <v>245</v>
      </c>
      <c r="AT918" s="5" t="s">
        <v>246</v>
      </c>
      <c r="AU918" s="5" t="s">
        <v>238</v>
      </c>
      <c r="AV918" s="5" t="s">
        <v>247</v>
      </c>
      <c r="AW918" s="5" t="s">
        <v>238</v>
      </c>
      <c r="AX918" s="5" t="s">
        <v>249</v>
      </c>
      <c r="AY918" s="5" t="s">
        <v>238</v>
      </c>
      <c r="BA918" s="5" t="s">
        <v>238</v>
      </c>
      <c r="BC918" s="5" t="s">
        <v>250</v>
      </c>
      <c r="BD918" s="6" t="s">
        <v>243</v>
      </c>
      <c r="BE918" s="5" t="s">
        <v>251</v>
      </c>
      <c r="BF918" s="5" t="s">
        <v>252</v>
      </c>
      <c r="BG918" s="5" t="s">
        <v>238</v>
      </c>
      <c r="BH918" s="7">
        <f>0</f>
        <v>0</v>
      </c>
      <c r="BI918" s="8">
        <f>0</f>
        <v>0</v>
      </c>
      <c r="BJ918" s="5" t="s">
        <v>253</v>
      </c>
      <c r="BK918" s="5" t="s">
        <v>254</v>
      </c>
      <c r="BY918" s="5" t="s">
        <v>238</v>
      </c>
      <c r="BZ918" s="5" t="s">
        <v>238</v>
      </c>
      <c r="CD918" s="5" t="s">
        <v>273</v>
      </c>
      <c r="CE918" s="5" t="s">
        <v>256</v>
      </c>
      <c r="CF918" s="5" t="s">
        <v>238</v>
      </c>
      <c r="CI918" s="6" t="s">
        <v>257</v>
      </c>
      <c r="CJ918" s="5" t="s">
        <v>238</v>
      </c>
      <c r="CK918" s="5" t="s">
        <v>258</v>
      </c>
      <c r="CL918" s="5" t="s">
        <v>238</v>
      </c>
      <c r="CM918" s="5" t="s">
        <v>238</v>
      </c>
      <c r="CN918" s="5">
        <v>0</v>
      </c>
      <c r="CO918" s="5" t="s">
        <v>259</v>
      </c>
      <c r="CP918" s="5" t="s">
        <v>260</v>
      </c>
      <c r="CQ918" s="5" t="s">
        <v>260</v>
      </c>
      <c r="CR918" s="5" t="s">
        <v>261</v>
      </c>
      <c r="CU918" s="8">
        <f>1</f>
        <v>1</v>
      </c>
      <c r="CV918" s="8">
        <f>0</f>
        <v>0</v>
      </c>
      <c r="CX918" s="8">
        <f>0</f>
        <v>0</v>
      </c>
      <c r="CY918" s="8">
        <f>1</f>
        <v>1</v>
      </c>
      <c r="DA918" s="5" t="s">
        <v>673</v>
      </c>
      <c r="DB918" s="5" t="s">
        <v>238</v>
      </c>
      <c r="DD918" s="5" t="s">
        <v>673</v>
      </c>
      <c r="DE918" s="8">
        <f>85</f>
        <v>85</v>
      </c>
      <c r="DG918" s="5" t="s">
        <v>238</v>
      </c>
      <c r="DH918" s="5" t="s">
        <v>238</v>
      </c>
      <c r="DI918" s="5" t="s">
        <v>238</v>
      </c>
      <c r="DJ918" s="5" t="s">
        <v>238</v>
      </c>
      <c r="DN918" s="5" t="s">
        <v>238</v>
      </c>
      <c r="DO918" s="5" t="s">
        <v>238</v>
      </c>
      <c r="DP918" s="5" t="s">
        <v>238</v>
      </c>
      <c r="DQ918" s="5" t="s">
        <v>238</v>
      </c>
      <c r="DT918" s="5" t="s">
        <v>2039</v>
      </c>
      <c r="DU918" s="5" t="s">
        <v>460</v>
      </c>
      <c r="HM918" s="5" t="s">
        <v>264</v>
      </c>
    </row>
    <row r="919" spans="1:221" x14ac:dyDescent="0.4">
      <c r="A919" s="5">
        <v>2594</v>
      </c>
      <c r="B919" s="5">
        <v>1</v>
      </c>
      <c r="C919" s="5">
        <v>1</v>
      </c>
      <c r="D919" s="5" t="s">
        <v>2037</v>
      </c>
      <c r="E919" s="5" t="s">
        <v>271</v>
      </c>
      <c r="F919" s="5" t="s">
        <v>248</v>
      </c>
      <c r="G919" s="5" t="s">
        <v>1969</v>
      </c>
      <c r="H919" s="6" t="s">
        <v>3301</v>
      </c>
      <c r="I919" s="7">
        <f>21</f>
        <v>21</v>
      </c>
      <c r="J919" s="5" t="s">
        <v>262</v>
      </c>
      <c r="K919" s="8">
        <f>1</f>
        <v>1</v>
      </c>
      <c r="L919" s="6" t="s">
        <v>242</v>
      </c>
      <c r="M919" s="5" t="s">
        <v>267</v>
      </c>
      <c r="N919" s="5" t="s">
        <v>265</v>
      </c>
      <c r="O919" s="5" t="s">
        <v>238</v>
      </c>
      <c r="P919" s="5" t="s">
        <v>238</v>
      </c>
      <c r="Q919" s="5" t="s">
        <v>268</v>
      </c>
      <c r="R919" s="5" t="s">
        <v>270</v>
      </c>
      <c r="S919" s="5" t="s">
        <v>238</v>
      </c>
      <c r="V919" s="5" t="s">
        <v>238</v>
      </c>
      <c r="X919" s="6" t="s">
        <v>238</v>
      </c>
      <c r="AA919" s="6" t="s">
        <v>243</v>
      </c>
      <c r="AB919" s="5" t="s">
        <v>238</v>
      </c>
      <c r="AC919" s="5" t="s">
        <v>244</v>
      </c>
      <c r="AD919" s="5" t="s">
        <v>245</v>
      </c>
      <c r="AT919" s="5" t="s">
        <v>246</v>
      </c>
      <c r="AU919" s="5" t="s">
        <v>238</v>
      </c>
      <c r="AV919" s="5" t="s">
        <v>247</v>
      </c>
      <c r="AW919" s="5" t="s">
        <v>238</v>
      </c>
      <c r="AX919" s="5" t="s">
        <v>249</v>
      </c>
      <c r="AY919" s="5" t="s">
        <v>238</v>
      </c>
      <c r="BA919" s="5" t="s">
        <v>238</v>
      </c>
      <c r="BC919" s="5" t="s">
        <v>250</v>
      </c>
      <c r="BD919" s="6" t="s">
        <v>243</v>
      </c>
      <c r="BE919" s="5" t="s">
        <v>251</v>
      </c>
      <c r="BF919" s="5" t="s">
        <v>252</v>
      </c>
      <c r="BG919" s="5" t="s">
        <v>238</v>
      </c>
      <c r="BH919" s="7">
        <f>0</f>
        <v>0</v>
      </c>
      <c r="BI919" s="8">
        <f>0</f>
        <v>0</v>
      </c>
      <c r="BJ919" s="5" t="s">
        <v>253</v>
      </c>
      <c r="BK919" s="5" t="s">
        <v>254</v>
      </c>
      <c r="BY919" s="5" t="s">
        <v>238</v>
      </c>
      <c r="BZ919" s="5" t="s">
        <v>238</v>
      </c>
      <c r="CD919" s="5" t="s">
        <v>273</v>
      </c>
      <c r="CE919" s="5" t="s">
        <v>256</v>
      </c>
      <c r="CF919" s="5" t="s">
        <v>238</v>
      </c>
      <c r="CI919" s="6" t="s">
        <v>257</v>
      </c>
      <c r="CJ919" s="5" t="s">
        <v>238</v>
      </c>
      <c r="CK919" s="5" t="s">
        <v>258</v>
      </c>
      <c r="CL919" s="5" t="s">
        <v>238</v>
      </c>
      <c r="CM919" s="5" t="s">
        <v>238</v>
      </c>
      <c r="CN919" s="5">
        <v>0</v>
      </c>
      <c r="CO919" s="5" t="s">
        <v>259</v>
      </c>
      <c r="CP919" s="5" t="s">
        <v>260</v>
      </c>
      <c r="CQ919" s="5" t="s">
        <v>260</v>
      </c>
      <c r="CR919" s="5" t="s">
        <v>261</v>
      </c>
      <c r="CU919" s="8">
        <f>1</f>
        <v>1</v>
      </c>
      <c r="CV919" s="8">
        <f>0</f>
        <v>0</v>
      </c>
      <c r="CX919" s="8">
        <f>0</f>
        <v>0</v>
      </c>
      <c r="CY919" s="8">
        <f>1</f>
        <v>1</v>
      </c>
      <c r="DA919" s="5" t="s">
        <v>673</v>
      </c>
      <c r="DB919" s="5" t="s">
        <v>238</v>
      </c>
      <c r="DD919" s="5" t="s">
        <v>673</v>
      </c>
      <c r="DE919" s="8">
        <f>21</f>
        <v>21</v>
      </c>
      <c r="DG919" s="5" t="s">
        <v>238</v>
      </c>
      <c r="DH919" s="5" t="s">
        <v>238</v>
      </c>
      <c r="DI919" s="5" t="s">
        <v>238</v>
      </c>
      <c r="DJ919" s="5" t="s">
        <v>238</v>
      </c>
      <c r="DN919" s="5" t="s">
        <v>238</v>
      </c>
      <c r="DO919" s="5" t="s">
        <v>238</v>
      </c>
      <c r="DP919" s="5" t="s">
        <v>238</v>
      </c>
      <c r="DQ919" s="5" t="s">
        <v>238</v>
      </c>
      <c r="DT919" s="5" t="s">
        <v>2039</v>
      </c>
      <c r="DU919" s="5" t="s">
        <v>462</v>
      </c>
      <c r="HM919" s="5" t="s">
        <v>264</v>
      </c>
    </row>
    <row r="920" spans="1:221" x14ac:dyDescent="0.4">
      <c r="A920" s="5">
        <v>2595</v>
      </c>
      <c r="B920" s="5">
        <v>1</v>
      </c>
      <c r="C920" s="5">
        <v>1</v>
      </c>
      <c r="D920" s="5" t="s">
        <v>2037</v>
      </c>
      <c r="E920" s="5" t="s">
        <v>271</v>
      </c>
      <c r="F920" s="5" t="s">
        <v>248</v>
      </c>
      <c r="G920" s="5" t="s">
        <v>1969</v>
      </c>
      <c r="H920" s="6" t="s">
        <v>3300</v>
      </c>
      <c r="I920" s="7">
        <f>431</f>
        <v>431</v>
      </c>
      <c r="J920" s="5" t="s">
        <v>262</v>
      </c>
      <c r="K920" s="8">
        <f>1</f>
        <v>1</v>
      </c>
      <c r="L920" s="6" t="s">
        <v>242</v>
      </c>
      <c r="M920" s="5" t="s">
        <v>267</v>
      </c>
      <c r="N920" s="5" t="s">
        <v>265</v>
      </c>
      <c r="O920" s="5" t="s">
        <v>238</v>
      </c>
      <c r="P920" s="5" t="s">
        <v>238</v>
      </c>
      <c r="Q920" s="5" t="s">
        <v>268</v>
      </c>
      <c r="R920" s="5" t="s">
        <v>270</v>
      </c>
      <c r="S920" s="5" t="s">
        <v>238</v>
      </c>
      <c r="V920" s="5" t="s">
        <v>238</v>
      </c>
      <c r="X920" s="6" t="s">
        <v>238</v>
      </c>
      <c r="AA920" s="6" t="s">
        <v>243</v>
      </c>
      <c r="AB920" s="5" t="s">
        <v>238</v>
      </c>
      <c r="AC920" s="5" t="s">
        <v>244</v>
      </c>
      <c r="AD920" s="5" t="s">
        <v>245</v>
      </c>
      <c r="AT920" s="5" t="s">
        <v>246</v>
      </c>
      <c r="AU920" s="5" t="s">
        <v>238</v>
      </c>
      <c r="AV920" s="5" t="s">
        <v>247</v>
      </c>
      <c r="AW920" s="5" t="s">
        <v>238</v>
      </c>
      <c r="AX920" s="5" t="s">
        <v>249</v>
      </c>
      <c r="AY920" s="5" t="s">
        <v>238</v>
      </c>
      <c r="BA920" s="5" t="s">
        <v>238</v>
      </c>
      <c r="BC920" s="5" t="s">
        <v>250</v>
      </c>
      <c r="BD920" s="6" t="s">
        <v>243</v>
      </c>
      <c r="BE920" s="5" t="s">
        <v>251</v>
      </c>
      <c r="BF920" s="5" t="s">
        <v>252</v>
      </c>
      <c r="BG920" s="5" t="s">
        <v>238</v>
      </c>
      <c r="BH920" s="7">
        <f>0</f>
        <v>0</v>
      </c>
      <c r="BI920" s="8">
        <f>0</f>
        <v>0</v>
      </c>
      <c r="BJ920" s="5" t="s">
        <v>253</v>
      </c>
      <c r="BK920" s="5" t="s">
        <v>254</v>
      </c>
      <c r="BY920" s="5" t="s">
        <v>238</v>
      </c>
      <c r="BZ920" s="5" t="s">
        <v>238</v>
      </c>
      <c r="CD920" s="5" t="s">
        <v>273</v>
      </c>
      <c r="CE920" s="5" t="s">
        <v>256</v>
      </c>
      <c r="CF920" s="5" t="s">
        <v>238</v>
      </c>
      <c r="CI920" s="6" t="s">
        <v>257</v>
      </c>
      <c r="CJ920" s="5" t="s">
        <v>238</v>
      </c>
      <c r="CK920" s="5" t="s">
        <v>258</v>
      </c>
      <c r="CL920" s="5" t="s">
        <v>238</v>
      </c>
      <c r="CM920" s="5" t="s">
        <v>238</v>
      </c>
      <c r="CN920" s="5">
        <v>0</v>
      </c>
      <c r="CO920" s="5" t="s">
        <v>259</v>
      </c>
      <c r="CP920" s="5" t="s">
        <v>260</v>
      </c>
      <c r="CQ920" s="5" t="s">
        <v>260</v>
      </c>
      <c r="CR920" s="5" t="s">
        <v>261</v>
      </c>
      <c r="CU920" s="8">
        <f>1</f>
        <v>1</v>
      </c>
      <c r="CV920" s="8">
        <f>0</f>
        <v>0</v>
      </c>
      <c r="CX920" s="8">
        <f>0</f>
        <v>0</v>
      </c>
      <c r="CY920" s="8">
        <f>1</f>
        <v>1</v>
      </c>
      <c r="DA920" s="5" t="s">
        <v>673</v>
      </c>
      <c r="DB920" s="5" t="s">
        <v>238</v>
      </c>
      <c r="DD920" s="5" t="s">
        <v>673</v>
      </c>
      <c r="DE920" s="8">
        <f>431</f>
        <v>431</v>
      </c>
      <c r="DG920" s="5" t="s">
        <v>238</v>
      </c>
      <c r="DH920" s="5" t="s">
        <v>238</v>
      </c>
      <c r="DI920" s="5" t="s">
        <v>238</v>
      </c>
      <c r="DJ920" s="5" t="s">
        <v>238</v>
      </c>
      <c r="DN920" s="5" t="s">
        <v>238</v>
      </c>
      <c r="DO920" s="5" t="s">
        <v>238</v>
      </c>
      <c r="DP920" s="5" t="s">
        <v>238</v>
      </c>
      <c r="DQ920" s="5" t="s">
        <v>238</v>
      </c>
      <c r="DT920" s="5" t="s">
        <v>2039</v>
      </c>
      <c r="DU920" s="5" t="s">
        <v>466</v>
      </c>
      <c r="HM920" s="5" t="s">
        <v>264</v>
      </c>
    </row>
    <row r="921" spans="1:221" x14ac:dyDescent="0.4">
      <c r="A921" s="5">
        <v>2596</v>
      </c>
      <c r="B921" s="5">
        <v>1</v>
      </c>
      <c r="C921" s="5">
        <v>1</v>
      </c>
      <c r="D921" s="5" t="s">
        <v>2037</v>
      </c>
      <c r="E921" s="5" t="s">
        <v>271</v>
      </c>
      <c r="F921" s="5" t="s">
        <v>248</v>
      </c>
      <c r="G921" s="5" t="s">
        <v>1969</v>
      </c>
      <c r="H921" s="6" t="s">
        <v>3298</v>
      </c>
      <c r="I921" s="7">
        <f>2188</f>
        <v>2188</v>
      </c>
      <c r="J921" s="5" t="s">
        <v>262</v>
      </c>
      <c r="K921" s="8">
        <f>1</f>
        <v>1</v>
      </c>
      <c r="L921" s="6" t="s">
        <v>242</v>
      </c>
      <c r="M921" s="5" t="s">
        <v>267</v>
      </c>
      <c r="N921" s="5" t="s">
        <v>265</v>
      </c>
      <c r="O921" s="5" t="s">
        <v>238</v>
      </c>
      <c r="P921" s="5" t="s">
        <v>238</v>
      </c>
      <c r="Q921" s="5" t="s">
        <v>268</v>
      </c>
      <c r="R921" s="5" t="s">
        <v>270</v>
      </c>
      <c r="S921" s="5" t="s">
        <v>238</v>
      </c>
      <c r="V921" s="5" t="s">
        <v>238</v>
      </c>
      <c r="X921" s="6" t="s">
        <v>238</v>
      </c>
      <c r="AA921" s="6" t="s">
        <v>243</v>
      </c>
      <c r="AB921" s="5" t="s">
        <v>238</v>
      </c>
      <c r="AC921" s="5" t="s">
        <v>244</v>
      </c>
      <c r="AD921" s="5" t="s">
        <v>245</v>
      </c>
      <c r="AT921" s="5" t="s">
        <v>246</v>
      </c>
      <c r="AU921" s="5" t="s">
        <v>238</v>
      </c>
      <c r="AV921" s="5" t="s">
        <v>247</v>
      </c>
      <c r="AW921" s="5" t="s">
        <v>238</v>
      </c>
      <c r="AX921" s="5" t="s">
        <v>249</v>
      </c>
      <c r="AY921" s="5" t="s">
        <v>238</v>
      </c>
      <c r="BA921" s="5" t="s">
        <v>238</v>
      </c>
      <c r="BC921" s="5" t="s">
        <v>250</v>
      </c>
      <c r="BD921" s="6" t="s">
        <v>243</v>
      </c>
      <c r="BE921" s="5" t="s">
        <v>251</v>
      </c>
      <c r="BF921" s="5" t="s">
        <v>252</v>
      </c>
      <c r="BG921" s="5" t="s">
        <v>238</v>
      </c>
      <c r="BH921" s="7">
        <f>0</f>
        <v>0</v>
      </c>
      <c r="BI921" s="8">
        <f>0</f>
        <v>0</v>
      </c>
      <c r="BJ921" s="5" t="s">
        <v>253</v>
      </c>
      <c r="BK921" s="5" t="s">
        <v>254</v>
      </c>
      <c r="BY921" s="5" t="s">
        <v>238</v>
      </c>
      <c r="BZ921" s="5" t="s">
        <v>238</v>
      </c>
      <c r="CD921" s="5" t="s">
        <v>273</v>
      </c>
      <c r="CE921" s="5" t="s">
        <v>256</v>
      </c>
      <c r="CF921" s="5" t="s">
        <v>238</v>
      </c>
      <c r="CI921" s="6" t="s">
        <v>257</v>
      </c>
      <c r="CJ921" s="5" t="s">
        <v>238</v>
      </c>
      <c r="CK921" s="5" t="s">
        <v>258</v>
      </c>
      <c r="CL921" s="5" t="s">
        <v>238</v>
      </c>
      <c r="CM921" s="5" t="s">
        <v>238</v>
      </c>
      <c r="CN921" s="5">
        <v>0</v>
      </c>
      <c r="CO921" s="5" t="s">
        <v>259</v>
      </c>
      <c r="CP921" s="5" t="s">
        <v>260</v>
      </c>
      <c r="CQ921" s="5" t="s">
        <v>260</v>
      </c>
      <c r="CR921" s="5" t="s">
        <v>261</v>
      </c>
      <c r="CU921" s="8">
        <f>1</f>
        <v>1</v>
      </c>
      <c r="CV921" s="8">
        <f>0</f>
        <v>0</v>
      </c>
      <c r="CX921" s="8">
        <f>0</f>
        <v>0</v>
      </c>
      <c r="CY921" s="8">
        <f>1</f>
        <v>1</v>
      </c>
      <c r="DA921" s="5" t="s">
        <v>673</v>
      </c>
      <c r="DB921" s="5" t="s">
        <v>238</v>
      </c>
      <c r="DD921" s="5" t="s">
        <v>673</v>
      </c>
      <c r="DE921" s="8">
        <f>2188</f>
        <v>2188</v>
      </c>
      <c r="DG921" s="5" t="s">
        <v>238</v>
      </c>
      <c r="DH921" s="5" t="s">
        <v>238</v>
      </c>
      <c r="DI921" s="5" t="s">
        <v>238</v>
      </c>
      <c r="DJ921" s="5" t="s">
        <v>238</v>
      </c>
      <c r="DN921" s="5" t="s">
        <v>238</v>
      </c>
      <c r="DO921" s="5" t="s">
        <v>238</v>
      </c>
      <c r="DP921" s="5" t="s">
        <v>238</v>
      </c>
      <c r="DQ921" s="5" t="s">
        <v>238</v>
      </c>
      <c r="DT921" s="5" t="s">
        <v>2039</v>
      </c>
      <c r="DU921" s="5" t="s">
        <v>468</v>
      </c>
      <c r="HM921" s="5" t="s">
        <v>264</v>
      </c>
    </row>
    <row r="922" spans="1:221" x14ac:dyDescent="0.4">
      <c r="A922" s="5">
        <v>2597</v>
      </c>
      <c r="B922" s="5">
        <v>1</v>
      </c>
      <c r="C922" s="5">
        <v>1</v>
      </c>
      <c r="D922" s="5" t="s">
        <v>2037</v>
      </c>
      <c r="E922" s="5" t="s">
        <v>271</v>
      </c>
      <c r="F922" s="5" t="s">
        <v>248</v>
      </c>
      <c r="G922" s="5" t="s">
        <v>1969</v>
      </c>
      <c r="H922" s="6" t="s">
        <v>3297</v>
      </c>
      <c r="I922" s="7">
        <f>5282</f>
        <v>5282</v>
      </c>
      <c r="J922" s="5" t="s">
        <v>262</v>
      </c>
      <c r="K922" s="8">
        <f>1</f>
        <v>1</v>
      </c>
      <c r="L922" s="6" t="s">
        <v>242</v>
      </c>
      <c r="M922" s="5" t="s">
        <v>267</v>
      </c>
      <c r="N922" s="5" t="s">
        <v>265</v>
      </c>
      <c r="O922" s="5" t="s">
        <v>238</v>
      </c>
      <c r="P922" s="5" t="s">
        <v>238</v>
      </c>
      <c r="Q922" s="5" t="s">
        <v>268</v>
      </c>
      <c r="R922" s="5" t="s">
        <v>270</v>
      </c>
      <c r="S922" s="5" t="s">
        <v>238</v>
      </c>
      <c r="V922" s="5" t="s">
        <v>238</v>
      </c>
      <c r="X922" s="6" t="s">
        <v>238</v>
      </c>
      <c r="AA922" s="6" t="s">
        <v>243</v>
      </c>
      <c r="AB922" s="5" t="s">
        <v>238</v>
      </c>
      <c r="AC922" s="5" t="s">
        <v>244</v>
      </c>
      <c r="AD922" s="5" t="s">
        <v>245</v>
      </c>
      <c r="AT922" s="5" t="s">
        <v>246</v>
      </c>
      <c r="AU922" s="5" t="s">
        <v>238</v>
      </c>
      <c r="AV922" s="5" t="s">
        <v>247</v>
      </c>
      <c r="AW922" s="5" t="s">
        <v>238</v>
      </c>
      <c r="AX922" s="5" t="s">
        <v>249</v>
      </c>
      <c r="AY922" s="5" t="s">
        <v>238</v>
      </c>
      <c r="BA922" s="5" t="s">
        <v>238</v>
      </c>
      <c r="BC922" s="5" t="s">
        <v>250</v>
      </c>
      <c r="BD922" s="6" t="s">
        <v>243</v>
      </c>
      <c r="BE922" s="5" t="s">
        <v>251</v>
      </c>
      <c r="BF922" s="5" t="s">
        <v>252</v>
      </c>
      <c r="BG922" s="5" t="s">
        <v>238</v>
      </c>
      <c r="BH922" s="7">
        <f>0</f>
        <v>0</v>
      </c>
      <c r="BI922" s="8">
        <f>0</f>
        <v>0</v>
      </c>
      <c r="BJ922" s="5" t="s">
        <v>253</v>
      </c>
      <c r="BK922" s="5" t="s">
        <v>254</v>
      </c>
      <c r="BY922" s="5" t="s">
        <v>238</v>
      </c>
      <c r="BZ922" s="5" t="s">
        <v>238</v>
      </c>
      <c r="CD922" s="5" t="s">
        <v>273</v>
      </c>
      <c r="CE922" s="5" t="s">
        <v>256</v>
      </c>
      <c r="CF922" s="5" t="s">
        <v>238</v>
      </c>
      <c r="CI922" s="6" t="s">
        <v>257</v>
      </c>
      <c r="CJ922" s="5" t="s">
        <v>238</v>
      </c>
      <c r="CK922" s="5" t="s">
        <v>258</v>
      </c>
      <c r="CL922" s="5" t="s">
        <v>238</v>
      </c>
      <c r="CM922" s="5" t="s">
        <v>238</v>
      </c>
      <c r="CN922" s="5">
        <v>0</v>
      </c>
      <c r="CO922" s="5" t="s">
        <v>259</v>
      </c>
      <c r="CP922" s="5" t="s">
        <v>260</v>
      </c>
      <c r="CQ922" s="5" t="s">
        <v>260</v>
      </c>
      <c r="CR922" s="5" t="s">
        <v>261</v>
      </c>
      <c r="CU922" s="8">
        <f>1</f>
        <v>1</v>
      </c>
      <c r="CV922" s="8">
        <f>0</f>
        <v>0</v>
      </c>
      <c r="CX922" s="8">
        <f>0</f>
        <v>0</v>
      </c>
      <c r="CY922" s="8">
        <f>1</f>
        <v>1</v>
      </c>
      <c r="DA922" s="5" t="s">
        <v>673</v>
      </c>
      <c r="DB922" s="5" t="s">
        <v>238</v>
      </c>
      <c r="DD922" s="5" t="s">
        <v>673</v>
      </c>
      <c r="DE922" s="8">
        <f>5282</f>
        <v>5282</v>
      </c>
      <c r="DG922" s="5" t="s">
        <v>238</v>
      </c>
      <c r="DH922" s="5" t="s">
        <v>238</v>
      </c>
      <c r="DI922" s="5" t="s">
        <v>238</v>
      </c>
      <c r="DJ922" s="5" t="s">
        <v>238</v>
      </c>
      <c r="DN922" s="5" t="s">
        <v>238</v>
      </c>
      <c r="DO922" s="5" t="s">
        <v>238</v>
      </c>
      <c r="DP922" s="5" t="s">
        <v>238</v>
      </c>
      <c r="DQ922" s="5" t="s">
        <v>238</v>
      </c>
      <c r="DT922" s="5" t="s">
        <v>2039</v>
      </c>
      <c r="DU922" s="5" t="s">
        <v>472</v>
      </c>
      <c r="HM922" s="5" t="s">
        <v>264</v>
      </c>
    </row>
    <row r="923" spans="1:221" x14ac:dyDescent="0.4">
      <c r="A923" s="5">
        <v>2598</v>
      </c>
      <c r="B923" s="5">
        <v>1</v>
      </c>
      <c r="C923" s="5">
        <v>1</v>
      </c>
      <c r="D923" s="5" t="s">
        <v>2037</v>
      </c>
      <c r="E923" s="5" t="s">
        <v>271</v>
      </c>
      <c r="F923" s="5" t="s">
        <v>248</v>
      </c>
      <c r="G923" s="5" t="s">
        <v>1969</v>
      </c>
      <c r="H923" s="6" t="s">
        <v>3295</v>
      </c>
      <c r="I923" s="7">
        <f>1127</f>
        <v>1127</v>
      </c>
      <c r="J923" s="5" t="s">
        <v>262</v>
      </c>
      <c r="K923" s="8">
        <f>1</f>
        <v>1</v>
      </c>
      <c r="L923" s="6" t="s">
        <v>242</v>
      </c>
      <c r="M923" s="5" t="s">
        <v>267</v>
      </c>
      <c r="N923" s="5" t="s">
        <v>265</v>
      </c>
      <c r="O923" s="5" t="s">
        <v>238</v>
      </c>
      <c r="P923" s="5" t="s">
        <v>238</v>
      </c>
      <c r="Q923" s="5" t="s">
        <v>268</v>
      </c>
      <c r="R923" s="5" t="s">
        <v>270</v>
      </c>
      <c r="S923" s="5" t="s">
        <v>238</v>
      </c>
      <c r="V923" s="5" t="s">
        <v>238</v>
      </c>
      <c r="X923" s="6" t="s">
        <v>238</v>
      </c>
      <c r="AA923" s="6" t="s">
        <v>243</v>
      </c>
      <c r="AB923" s="5" t="s">
        <v>238</v>
      </c>
      <c r="AC923" s="5" t="s">
        <v>244</v>
      </c>
      <c r="AD923" s="5" t="s">
        <v>245</v>
      </c>
      <c r="AT923" s="5" t="s">
        <v>246</v>
      </c>
      <c r="AU923" s="5" t="s">
        <v>238</v>
      </c>
      <c r="AV923" s="5" t="s">
        <v>247</v>
      </c>
      <c r="AW923" s="5" t="s">
        <v>238</v>
      </c>
      <c r="AX923" s="5" t="s">
        <v>249</v>
      </c>
      <c r="AY923" s="5" t="s">
        <v>238</v>
      </c>
      <c r="BA923" s="5" t="s">
        <v>238</v>
      </c>
      <c r="BC923" s="5" t="s">
        <v>250</v>
      </c>
      <c r="BD923" s="6" t="s">
        <v>243</v>
      </c>
      <c r="BE923" s="5" t="s">
        <v>251</v>
      </c>
      <c r="BF923" s="5" t="s">
        <v>252</v>
      </c>
      <c r="BG923" s="5" t="s">
        <v>238</v>
      </c>
      <c r="BH923" s="7">
        <f>0</f>
        <v>0</v>
      </c>
      <c r="BI923" s="8">
        <f>0</f>
        <v>0</v>
      </c>
      <c r="BJ923" s="5" t="s">
        <v>253</v>
      </c>
      <c r="BK923" s="5" t="s">
        <v>254</v>
      </c>
      <c r="BY923" s="5" t="s">
        <v>238</v>
      </c>
      <c r="BZ923" s="5" t="s">
        <v>238</v>
      </c>
      <c r="CD923" s="5" t="s">
        <v>273</v>
      </c>
      <c r="CE923" s="5" t="s">
        <v>256</v>
      </c>
      <c r="CF923" s="5" t="s">
        <v>238</v>
      </c>
      <c r="CI923" s="6" t="s">
        <v>257</v>
      </c>
      <c r="CJ923" s="5" t="s">
        <v>238</v>
      </c>
      <c r="CK923" s="5" t="s">
        <v>258</v>
      </c>
      <c r="CL923" s="5" t="s">
        <v>238</v>
      </c>
      <c r="CM923" s="5" t="s">
        <v>238</v>
      </c>
      <c r="CN923" s="5">
        <v>0</v>
      </c>
      <c r="CO923" s="5" t="s">
        <v>259</v>
      </c>
      <c r="CP923" s="5" t="s">
        <v>260</v>
      </c>
      <c r="CQ923" s="5" t="s">
        <v>260</v>
      </c>
      <c r="CR923" s="5" t="s">
        <v>261</v>
      </c>
      <c r="CU923" s="8">
        <f>1</f>
        <v>1</v>
      </c>
      <c r="CV923" s="8">
        <f>0</f>
        <v>0</v>
      </c>
      <c r="CX923" s="8">
        <f>0</f>
        <v>0</v>
      </c>
      <c r="CY923" s="8">
        <f>1</f>
        <v>1</v>
      </c>
      <c r="DA923" s="5" t="s">
        <v>673</v>
      </c>
      <c r="DB923" s="5" t="s">
        <v>238</v>
      </c>
      <c r="DD923" s="5" t="s">
        <v>673</v>
      </c>
      <c r="DE923" s="8">
        <f>1127</f>
        <v>1127</v>
      </c>
      <c r="DG923" s="5" t="s">
        <v>238</v>
      </c>
      <c r="DH923" s="5" t="s">
        <v>238</v>
      </c>
      <c r="DI923" s="5" t="s">
        <v>238</v>
      </c>
      <c r="DJ923" s="5" t="s">
        <v>238</v>
      </c>
      <c r="DN923" s="5" t="s">
        <v>238</v>
      </c>
      <c r="DO923" s="5" t="s">
        <v>238</v>
      </c>
      <c r="DP923" s="5" t="s">
        <v>238</v>
      </c>
      <c r="DQ923" s="5" t="s">
        <v>238</v>
      </c>
      <c r="DT923" s="5" t="s">
        <v>2039</v>
      </c>
      <c r="DU923" s="5" t="s">
        <v>3296</v>
      </c>
      <c r="HM923" s="5" t="s">
        <v>264</v>
      </c>
    </row>
    <row r="924" spans="1:221" x14ac:dyDescent="0.4">
      <c r="A924" s="5">
        <v>2599</v>
      </c>
      <c r="B924" s="5">
        <v>1</v>
      </c>
      <c r="C924" s="5">
        <v>1</v>
      </c>
      <c r="D924" s="5" t="s">
        <v>2037</v>
      </c>
      <c r="E924" s="5" t="s">
        <v>271</v>
      </c>
      <c r="F924" s="5" t="s">
        <v>248</v>
      </c>
      <c r="G924" s="5" t="s">
        <v>1969</v>
      </c>
      <c r="H924" s="6" t="s">
        <v>3294</v>
      </c>
      <c r="I924" s="7">
        <f>1526</f>
        <v>1526</v>
      </c>
      <c r="J924" s="5" t="s">
        <v>262</v>
      </c>
      <c r="K924" s="8">
        <f>1</f>
        <v>1</v>
      </c>
      <c r="L924" s="6" t="s">
        <v>242</v>
      </c>
      <c r="M924" s="5" t="s">
        <v>267</v>
      </c>
      <c r="N924" s="5" t="s">
        <v>265</v>
      </c>
      <c r="O924" s="5" t="s">
        <v>238</v>
      </c>
      <c r="P924" s="5" t="s">
        <v>238</v>
      </c>
      <c r="Q924" s="5" t="s">
        <v>268</v>
      </c>
      <c r="R924" s="5" t="s">
        <v>270</v>
      </c>
      <c r="S924" s="5" t="s">
        <v>238</v>
      </c>
      <c r="V924" s="5" t="s">
        <v>238</v>
      </c>
      <c r="X924" s="6" t="s">
        <v>238</v>
      </c>
      <c r="AA924" s="6" t="s">
        <v>243</v>
      </c>
      <c r="AB924" s="5" t="s">
        <v>238</v>
      </c>
      <c r="AC924" s="5" t="s">
        <v>244</v>
      </c>
      <c r="AD924" s="5" t="s">
        <v>245</v>
      </c>
      <c r="AT924" s="5" t="s">
        <v>246</v>
      </c>
      <c r="AU924" s="5" t="s">
        <v>238</v>
      </c>
      <c r="AV924" s="5" t="s">
        <v>247</v>
      </c>
      <c r="AW924" s="5" t="s">
        <v>238</v>
      </c>
      <c r="AX924" s="5" t="s">
        <v>249</v>
      </c>
      <c r="AY924" s="5" t="s">
        <v>238</v>
      </c>
      <c r="BA924" s="5" t="s">
        <v>238</v>
      </c>
      <c r="BC924" s="5" t="s">
        <v>250</v>
      </c>
      <c r="BD924" s="6" t="s">
        <v>243</v>
      </c>
      <c r="BE924" s="5" t="s">
        <v>251</v>
      </c>
      <c r="BF924" s="5" t="s">
        <v>252</v>
      </c>
      <c r="BG924" s="5" t="s">
        <v>238</v>
      </c>
      <c r="BH924" s="7">
        <f>0</f>
        <v>0</v>
      </c>
      <c r="BI924" s="8">
        <f>0</f>
        <v>0</v>
      </c>
      <c r="BJ924" s="5" t="s">
        <v>253</v>
      </c>
      <c r="BK924" s="5" t="s">
        <v>254</v>
      </c>
      <c r="BY924" s="5" t="s">
        <v>238</v>
      </c>
      <c r="BZ924" s="5" t="s">
        <v>238</v>
      </c>
      <c r="CD924" s="5" t="s">
        <v>273</v>
      </c>
      <c r="CE924" s="5" t="s">
        <v>256</v>
      </c>
      <c r="CF924" s="5" t="s">
        <v>238</v>
      </c>
      <c r="CI924" s="6" t="s">
        <v>257</v>
      </c>
      <c r="CJ924" s="5" t="s">
        <v>238</v>
      </c>
      <c r="CK924" s="5" t="s">
        <v>258</v>
      </c>
      <c r="CL924" s="5" t="s">
        <v>238</v>
      </c>
      <c r="CM924" s="5" t="s">
        <v>238</v>
      </c>
      <c r="CN924" s="5">
        <v>0</v>
      </c>
      <c r="CO924" s="5" t="s">
        <v>259</v>
      </c>
      <c r="CP924" s="5" t="s">
        <v>260</v>
      </c>
      <c r="CQ924" s="5" t="s">
        <v>260</v>
      </c>
      <c r="CR924" s="5" t="s">
        <v>261</v>
      </c>
      <c r="CU924" s="8">
        <f>1</f>
        <v>1</v>
      </c>
      <c r="CV924" s="8">
        <f>0</f>
        <v>0</v>
      </c>
      <c r="CX924" s="8">
        <f>0</f>
        <v>0</v>
      </c>
      <c r="CY924" s="8">
        <f>1</f>
        <v>1</v>
      </c>
      <c r="DA924" s="5" t="s">
        <v>673</v>
      </c>
      <c r="DB924" s="5" t="s">
        <v>238</v>
      </c>
      <c r="DD924" s="5" t="s">
        <v>673</v>
      </c>
      <c r="DE924" s="8">
        <f>1526</f>
        <v>1526</v>
      </c>
      <c r="DG924" s="5" t="s">
        <v>238</v>
      </c>
      <c r="DH924" s="5" t="s">
        <v>238</v>
      </c>
      <c r="DI924" s="5" t="s">
        <v>238</v>
      </c>
      <c r="DJ924" s="5" t="s">
        <v>238</v>
      </c>
      <c r="DN924" s="5" t="s">
        <v>238</v>
      </c>
      <c r="DO924" s="5" t="s">
        <v>238</v>
      </c>
      <c r="DP924" s="5" t="s">
        <v>238</v>
      </c>
      <c r="DQ924" s="5" t="s">
        <v>238</v>
      </c>
      <c r="DT924" s="5" t="s">
        <v>2039</v>
      </c>
      <c r="DU924" s="5" t="s">
        <v>477</v>
      </c>
      <c r="HM924" s="5" t="s">
        <v>264</v>
      </c>
    </row>
    <row r="925" spans="1:221" x14ac:dyDescent="0.4">
      <c r="A925" s="5">
        <v>2600</v>
      </c>
      <c r="B925" s="5">
        <v>1</v>
      </c>
      <c r="C925" s="5">
        <v>1</v>
      </c>
      <c r="D925" s="5" t="s">
        <v>2037</v>
      </c>
      <c r="E925" s="5" t="s">
        <v>271</v>
      </c>
      <c r="F925" s="5" t="s">
        <v>248</v>
      </c>
      <c r="G925" s="5" t="s">
        <v>1969</v>
      </c>
      <c r="H925" s="6" t="s">
        <v>3292</v>
      </c>
      <c r="I925" s="7">
        <f>40</f>
        <v>40</v>
      </c>
      <c r="J925" s="5" t="s">
        <v>262</v>
      </c>
      <c r="K925" s="8">
        <f>1</f>
        <v>1</v>
      </c>
      <c r="L925" s="6" t="s">
        <v>242</v>
      </c>
      <c r="M925" s="5" t="s">
        <v>267</v>
      </c>
      <c r="N925" s="5" t="s">
        <v>265</v>
      </c>
      <c r="O925" s="5" t="s">
        <v>238</v>
      </c>
      <c r="P925" s="5" t="s">
        <v>238</v>
      </c>
      <c r="Q925" s="5" t="s">
        <v>268</v>
      </c>
      <c r="R925" s="5" t="s">
        <v>270</v>
      </c>
      <c r="S925" s="5" t="s">
        <v>238</v>
      </c>
      <c r="V925" s="5" t="s">
        <v>238</v>
      </c>
      <c r="X925" s="6" t="s">
        <v>238</v>
      </c>
      <c r="AA925" s="6" t="s">
        <v>243</v>
      </c>
      <c r="AB925" s="5" t="s">
        <v>238</v>
      </c>
      <c r="AC925" s="5" t="s">
        <v>244</v>
      </c>
      <c r="AD925" s="5" t="s">
        <v>245</v>
      </c>
      <c r="AT925" s="5" t="s">
        <v>246</v>
      </c>
      <c r="AU925" s="5" t="s">
        <v>238</v>
      </c>
      <c r="AV925" s="5" t="s">
        <v>247</v>
      </c>
      <c r="AW925" s="5" t="s">
        <v>238</v>
      </c>
      <c r="AX925" s="5" t="s">
        <v>249</v>
      </c>
      <c r="AY925" s="5" t="s">
        <v>238</v>
      </c>
      <c r="BA925" s="5" t="s">
        <v>238</v>
      </c>
      <c r="BC925" s="5" t="s">
        <v>250</v>
      </c>
      <c r="BD925" s="6" t="s">
        <v>243</v>
      </c>
      <c r="BE925" s="5" t="s">
        <v>251</v>
      </c>
      <c r="BF925" s="5" t="s">
        <v>252</v>
      </c>
      <c r="BG925" s="5" t="s">
        <v>238</v>
      </c>
      <c r="BH925" s="7">
        <f>0</f>
        <v>0</v>
      </c>
      <c r="BI925" s="8">
        <f>0</f>
        <v>0</v>
      </c>
      <c r="BJ925" s="5" t="s">
        <v>253</v>
      </c>
      <c r="BK925" s="5" t="s">
        <v>254</v>
      </c>
      <c r="BY925" s="5" t="s">
        <v>238</v>
      </c>
      <c r="BZ925" s="5" t="s">
        <v>238</v>
      </c>
      <c r="CD925" s="5" t="s">
        <v>273</v>
      </c>
      <c r="CE925" s="5" t="s">
        <v>256</v>
      </c>
      <c r="CF925" s="5" t="s">
        <v>238</v>
      </c>
      <c r="CI925" s="6" t="s">
        <v>257</v>
      </c>
      <c r="CJ925" s="5" t="s">
        <v>238</v>
      </c>
      <c r="CK925" s="5" t="s">
        <v>258</v>
      </c>
      <c r="CL925" s="5" t="s">
        <v>238</v>
      </c>
      <c r="CM925" s="5" t="s">
        <v>238</v>
      </c>
      <c r="CN925" s="5">
        <v>0</v>
      </c>
      <c r="CO925" s="5" t="s">
        <v>259</v>
      </c>
      <c r="CP925" s="5" t="s">
        <v>260</v>
      </c>
      <c r="CQ925" s="5" t="s">
        <v>260</v>
      </c>
      <c r="CR925" s="5" t="s">
        <v>261</v>
      </c>
      <c r="CU925" s="8">
        <f>1</f>
        <v>1</v>
      </c>
      <c r="CV925" s="8">
        <f>0</f>
        <v>0</v>
      </c>
      <c r="CX925" s="8">
        <f>0</f>
        <v>0</v>
      </c>
      <c r="CY925" s="8">
        <f>1</f>
        <v>1</v>
      </c>
      <c r="DA925" s="5" t="s">
        <v>673</v>
      </c>
      <c r="DB925" s="5" t="s">
        <v>238</v>
      </c>
      <c r="DD925" s="5" t="s">
        <v>673</v>
      </c>
      <c r="DE925" s="8">
        <f>40</f>
        <v>40</v>
      </c>
      <c r="DG925" s="5" t="s">
        <v>238</v>
      </c>
      <c r="DH925" s="5" t="s">
        <v>238</v>
      </c>
      <c r="DI925" s="5" t="s">
        <v>238</v>
      </c>
      <c r="DJ925" s="5" t="s">
        <v>238</v>
      </c>
      <c r="DN925" s="5" t="s">
        <v>238</v>
      </c>
      <c r="DO925" s="5" t="s">
        <v>238</v>
      </c>
      <c r="DP925" s="5" t="s">
        <v>238</v>
      </c>
      <c r="DQ925" s="5" t="s">
        <v>238</v>
      </c>
      <c r="DT925" s="5" t="s">
        <v>2039</v>
      </c>
      <c r="DU925" s="5" t="s">
        <v>479</v>
      </c>
      <c r="HM925" s="5" t="s">
        <v>264</v>
      </c>
    </row>
    <row r="926" spans="1:221" x14ac:dyDescent="0.4">
      <c r="A926" s="5">
        <v>2601</v>
      </c>
      <c r="B926" s="5">
        <v>1</v>
      </c>
      <c r="C926" s="5">
        <v>1</v>
      </c>
      <c r="D926" s="5" t="s">
        <v>2037</v>
      </c>
      <c r="E926" s="5" t="s">
        <v>271</v>
      </c>
      <c r="F926" s="5" t="s">
        <v>248</v>
      </c>
      <c r="G926" s="5" t="s">
        <v>1969</v>
      </c>
      <c r="H926" s="6" t="s">
        <v>3290</v>
      </c>
      <c r="I926" s="7">
        <f>161</f>
        <v>161</v>
      </c>
      <c r="J926" s="5" t="s">
        <v>262</v>
      </c>
      <c r="K926" s="8">
        <f>1</f>
        <v>1</v>
      </c>
      <c r="L926" s="6" t="s">
        <v>242</v>
      </c>
      <c r="M926" s="5" t="s">
        <v>267</v>
      </c>
      <c r="N926" s="5" t="s">
        <v>265</v>
      </c>
      <c r="O926" s="5" t="s">
        <v>238</v>
      </c>
      <c r="P926" s="5" t="s">
        <v>238</v>
      </c>
      <c r="Q926" s="5" t="s">
        <v>268</v>
      </c>
      <c r="R926" s="5" t="s">
        <v>270</v>
      </c>
      <c r="S926" s="5" t="s">
        <v>238</v>
      </c>
      <c r="V926" s="5" t="s">
        <v>238</v>
      </c>
      <c r="X926" s="6" t="s">
        <v>238</v>
      </c>
      <c r="AA926" s="6" t="s">
        <v>243</v>
      </c>
      <c r="AB926" s="5" t="s">
        <v>238</v>
      </c>
      <c r="AC926" s="5" t="s">
        <v>244</v>
      </c>
      <c r="AD926" s="5" t="s">
        <v>245</v>
      </c>
      <c r="AT926" s="5" t="s">
        <v>246</v>
      </c>
      <c r="AU926" s="5" t="s">
        <v>238</v>
      </c>
      <c r="AV926" s="5" t="s">
        <v>247</v>
      </c>
      <c r="AW926" s="5" t="s">
        <v>238</v>
      </c>
      <c r="AX926" s="5" t="s">
        <v>249</v>
      </c>
      <c r="AY926" s="5" t="s">
        <v>238</v>
      </c>
      <c r="BA926" s="5" t="s">
        <v>238</v>
      </c>
      <c r="BC926" s="5" t="s">
        <v>250</v>
      </c>
      <c r="BD926" s="6" t="s">
        <v>243</v>
      </c>
      <c r="BE926" s="5" t="s">
        <v>251</v>
      </c>
      <c r="BF926" s="5" t="s">
        <v>252</v>
      </c>
      <c r="BG926" s="5" t="s">
        <v>238</v>
      </c>
      <c r="BH926" s="7">
        <f>0</f>
        <v>0</v>
      </c>
      <c r="BI926" s="8">
        <f>0</f>
        <v>0</v>
      </c>
      <c r="BJ926" s="5" t="s">
        <v>253</v>
      </c>
      <c r="BK926" s="5" t="s">
        <v>254</v>
      </c>
      <c r="BY926" s="5" t="s">
        <v>238</v>
      </c>
      <c r="BZ926" s="5" t="s">
        <v>238</v>
      </c>
      <c r="CD926" s="5" t="s">
        <v>273</v>
      </c>
      <c r="CE926" s="5" t="s">
        <v>256</v>
      </c>
      <c r="CF926" s="5" t="s">
        <v>238</v>
      </c>
      <c r="CI926" s="6" t="s">
        <v>257</v>
      </c>
      <c r="CJ926" s="5" t="s">
        <v>238</v>
      </c>
      <c r="CK926" s="5" t="s">
        <v>258</v>
      </c>
      <c r="CL926" s="5" t="s">
        <v>238</v>
      </c>
      <c r="CM926" s="5" t="s">
        <v>238</v>
      </c>
      <c r="CN926" s="5">
        <v>0</v>
      </c>
      <c r="CO926" s="5" t="s">
        <v>259</v>
      </c>
      <c r="CP926" s="5" t="s">
        <v>260</v>
      </c>
      <c r="CQ926" s="5" t="s">
        <v>260</v>
      </c>
      <c r="CR926" s="5" t="s">
        <v>261</v>
      </c>
      <c r="CU926" s="8">
        <f>1</f>
        <v>1</v>
      </c>
      <c r="CV926" s="8">
        <f>0</f>
        <v>0</v>
      </c>
      <c r="CX926" s="8">
        <f>0</f>
        <v>0</v>
      </c>
      <c r="CY926" s="8">
        <f>1</f>
        <v>1</v>
      </c>
      <c r="DA926" s="5" t="s">
        <v>673</v>
      </c>
      <c r="DB926" s="5" t="s">
        <v>238</v>
      </c>
      <c r="DD926" s="5" t="s">
        <v>673</v>
      </c>
      <c r="DE926" s="8">
        <f>161</f>
        <v>161</v>
      </c>
      <c r="DG926" s="5" t="s">
        <v>238</v>
      </c>
      <c r="DH926" s="5" t="s">
        <v>238</v>
      </c>
      <c r="DI926" s="5" t="s">
        <v>238</v>
      </c>
      <c r="DJ926" s="5" t="s">
        <v>238</v>
      </c>
      <c r="DN926" s="5" t="s">
        <v>238</v>
      </c>
      <c r="DO926" s="5" t="s">
        <v>238</v>
      </c>
      <c r="DP926" s="5" t="s">
        <v>238</v>
      </c>
      <c r="DQ926" s="5" t="s">
        <v>238</v>
      </c>
      <c r="DT926" s="5" t="s">
        <v>2039</v>
      </c>
      <c r="DU926" s="5" t="s">
        <v>3291</v>
      </c>
      <c r="HM926" s="5" t="s">
        <v>264</v>
      </c>
    </row>
    <row r="927" spans="1:221" x14ac:dyDescent="0.4">
      <c r="A927" s="5">
        <v>2602</v>
      </c>
      <c r="B927" s="5">
        <v>1</v>
      </c>
      <c r="C927" s="5">
        <v>1</v>
      </c>
      <c r="D927" s="5" t="s">
        <v>2037</v>
      </c>
      <c r="E927" s="5" t="s">
        <v>271</v>
      </c>
      <c r="F927" s="5" t="s">
        <v>248</v>
      </c>
      <c r="G927" s="5" t="s">
        <v>1969</v>
      </c>
      <c r="H927" s="6" t="s">
        <v>3289</v>
      </c>
      <c r="I927" s="7">
        <f>4600</f>
        <v>4600</v>
      </c>
      <c r="J927" s="5" t="s">
        <v>262</v>
      </c>
      <c r="K927" s="8">
        <f>1</f>
        <v>1</v>
      </c>
      <c r="L927" s="6" t="s">
        <v>242</v>
      </c>
      <c r="M927" s="5" t="s">
        <v>267</v>
      </c>
      <c r="N927" s="5" t="s">
        <v>265</v>
      </c>
      <c r="O927" s="5" t="s">
        <v>238</v>
      </c>
      <c r="P927" s="5" t="s">
        <v>238</v>
      </c>
      <c r="Q927" s="5" t="s">
        <v>268</v>
      </c>
      <c r="R927" s="5" t="s">
        <v>270</v>
      </c>
      <c r="S927" s="5" t="s">
        <v>238</v>
      </c>
      <c r="V927" s="5" t="s">
        <v>238</v>
      </c>
      <c r="X927" s="6" t="s">
        <v>238</v>
      </c>
      <c r="AA927" s="6" t="s">
        <v>243</v>
      </c>
      <c r="AB927" s="5" t="s">
        <v>238</v>
      </c>
      <c r="AC927" s="5" t="s">
        <v>244</v>
      </c>
      <c r="AD927" s="5" t="s">
        <v>245</v>
      </c>
      <c r="AT927" s="5" t="s">
        <v>246</v>
      </c>
      <c r="AU927" s="5" t="s">
        <v>238</v>
      </c>
      <c r="AV927" s="5" t="s">
        <v>247</v>
      </c>
      <c r="AW927" s="5" t="s">
        <v>238</v>
      </c>
      <c r="AX927" s="5" t="s">
        <v>249</v>
      </c>
      <c r="AY927" s="5" t="s">
        <v>238</v>
      </c>
      <c r="BA927" s="5" t="s">
        <v>238</v>
      </c>
      <c r="BC927" s="5" t="s">
        <v>250</v>
      </c>
      <c r="BD927" s="6" t="s">
        <v>243</v>
      </c>
      <c r="BE927" s="5" t="s">
        <v>251</v>
      </c>
      <c r="BF927" s="5" t="s">
        <v>252</v>
      </c>
      <c r="BG927" s="5" t="s">
        <v>238</v>
      </c>
      <c r="BH927" s="7">
        <f>0</f>
        <v>0</v>
      </c>
      <c r="BI927" s="8">
        <f>0</f>
        <v>0</v>
      </c>
      <c r="BJ927" s="5" t="s">
        <v>253</v>
      </c>
      <c r="BK927" s="5" t="s">
        <v>254</v>
      </c>
      <c r="BY927" s="5" t="s">
        <v>238</v>
      </c>
      <c r="BZ927" s="5" t="s">
        <v>238</v>
      </c>
      <c r="CD927" s="5" t="s">
        <v>273</v>
      </c>
      <c r="CE927" s="5" t="s">
        <v>256</v>
      </c>
      <c r="CF927" s="5" t="s">
        <v>238</v>
      </c>
      <c r="CI927" s="6" t="s">
        <v>257</v>
      </c>
      <c r="CJ927" s="5" t="s">
        <v>238</v>
      </c>
      <c r="CK927" s="5" t="s">
        <v>258</v>
      </c>
      <c r="CL927" s="5" t="s">
        <v>238</v>
      </c>
      <c r="CM927" s="5" t="s">
        <v>238</v>
      </c>
      <c r="CN927" s="5">
        <v>0</v>
      </c>
      <c r="CO927" s="5" t="s">
        <v>259</v>
      </c>
      <c r="CP927" s="5" t="s">
        <v>260</v>
      </c>
      <c r="CQ927" s="5" t="s">
        <v>260</v>
      </c>
      <c r="CR927" s="5" t="s">
        <v>261</v>
      </c>
      <c r="CU927" s="8">
        <f>1</f>
        <v>1</v>
      </c>
      <c r="CV927" s="8">
        <f>0</f>
        <v>0</v>
      </c>
      <c r="CX927" s="8">
        <f>0</f>
        <v>0</v>
      </c>
      <c r="CY927" s="8">
        <f>1</f>
        <v>1</v>
      </c>
      <c r="DA927" s="5" t="s">
        <v>673</v>
      </c>
      <c r="DB927" s="5" t="s">
        <v>238</v>
      </c>
      <c r="DD927" s="5" t="s">
        <v>673</v>
      </c>
      <c r="DE927" s="8">
        <f>4600</f>
        <v>4600</v>
      </c>
      <c r="DG927" s="5" t="s">
        <v>238</v>
      </c>
      <c r="DH927" s="5" t="s">
        <v>238</v>
      </c>
      <c r="DI927" s="5" t="s">
        <v>238</v>
      </c>
      <c r="DJ927" s="5" t="s">
        <v>238</v>
      </c>
      <c r="DN927" s="5" t="s">
        <v>238</v>
      </c>
      <c r="DO927" s="5" t="s">
        <v>238</v>
      </c>
      <c r="DP927" s="5" t="s">
        <v>238</v>
      </c>
      <c r="DQ927" s="5" t="s">
        <v>238</v>
      </c>
      <c r="DT927" s="5" t="s">
        <v>2039</v>
      </c>
      <c r="DU927" s="5" t="s">
        <v>502</v>
      </c>
      <c r="HM927" s="5" t="s">
        <v>264</v>
      </c>
    </row>
    <row r="928" spans="1:221" x14ac:dyDescent="0.4">
      <c r="A928" s="5">
        <v>2603</v>
      </c>
      <c r="B928" s="5">
        <v>1</v>
      </c>
      <c r="C928" s="5">
        <v>1</v>
      </c>
      <c r="D928" s="5" t="s">
        <v>2037</v>
      </c>
      <c r="E928" s="5" t="s">
        <v>271</v>
      </c>
      <c r="F928" s="5" t="s">
        <v>248</v>
      </c>
      <c r="G928" s="5" t="s">
        <v>1969</v>
      </c>
      <c r="H928" s="6" t="s">
        <v>3288</v>
      </c>
      <c r="I928" s="7">
        <f>605</f>
        <v>605</v>
      </c>
      <c r="J928" s="5" t="s">
        <v>262</v>
      </c>
      <c r="K928" s="8">
        <f>1</f>
        <v>1</v>
      </c>
      <c r="L928" s="6" t="s">
        <v>242</v>
      </c>
      <c r="M928" s="5" t="s">
        <v>267</v>
      </c>
      <c r="N928" s="5" t="s">
        <v>265</v>
      </c>
      <c r="O928" s="5" t="s">
        <v>238</v>
      </c>
      <c r="P928" s="5" t="s">
        <v>238</v>
      </c>
      <c r="Q928" s="5" t="s">
        <v>268</v>
      </c>
      <c r="R928" s="5" t="s">
        <v>270</v>
      </c>
      <c r="S928" s="5" t="s">
        <v>238</v>
      </c>
      <c r="V928" s="5" t="s">
        <v>238</v>
      </c>
      <c r="X928" s="6" t="s">
        <v>238</v>
      </c>
      <c r="AA928" s="6" t="s">
        <v>243</v>
      </c>
      <c r="AB928" s="5" t="s">
        <v>238</v>
      </c>
      <c r="AC928" s="5" t="s">
        <v>244</v>
      </c>
      <c r="AD928" s="5" t="s">
        <v>245</v>
      </c>
      <c r="AT928" s="5" t="s">
        <v>246</v>
      </c>
      <c r="AU928" s="5" t="s">
        <v>238</v>
      </c>
      <c r="AV928" s="5" t="s">
        <v>247</v>
      </c>
      <c r="AW928" s="5" t="s">
        <v>238</v>
      </c>
      <c r="AX928" s="5" t="s">
        <v>249</v>
      </c>
      <c r="AY928" s="5" t="s">
        <v>238</v>
      </c>
      <c r="BA928" s="5" t="s">
        <v>238</v>
      </c>
      <c r="BC928" s="5" t="s">
        <v>250</v>
      </c>
      <c r="BD928" s="6" t="s">
        <v>243</v>
      </c>
      <c r="BE928" s="5" t="s">
        <v>251</v>
      </c>
      <c r="BF928" s="5" t="s">
        <v>252</v>
      </c>
      <c r="BG928" s="5" t="s">
        <v>238</v>
      </c>
      <c r="BH928" s="7">
        <f>0</f>
        <v>0</v>
      </c>
      <c r="BI928" s="8">
        <f>0</f>
        <v>0</v>
      </c>
      <c r="BJ928" s="5" t="s">
        <v>253</v>
      </c>
      <c r="BK928" s="5" t="s">
        <v>254</v>
      </c>
      <c r="BY928" s="5" t="s">
        <v>238</v>
      </c>
      <c r="BZ928" s="5" t="s">
        <v>238</v>
      </c>
      <c r="CD928" s="5" t="s">
        <v>273</v>
      </c>
      <c r="CE928" s="5" t="s">
        <v>256</v>
      </c>
      <c r="CF928" s="5" t="s">
        <v>238</v>
      </c>
      <c r="CI928" s="6" t="s">
        <v>257</v>
      </c>
      <c r="CJ928" s="5" t="s">
        <v>238</v>
      </c>
      <c r="CK928" s="5" t="s">
        <v>258</v>
      </c>
      <c r="CL928" s="5" t="s">
        <v>238</v>
      </c>
      <c r="CM928" s="5" t="s">
        <v>238</v>
      </c>
      <c r="CN928" s="5">
        <v>0</v>
      </c>
      <c r="CO928" s="5" t="s">
        <v>259</v>
      </c>
      <c r="CP928" s="5" t="s">
        <v>260</v>
      </c>
      <c r="CQ928" s="5" t="s">
        <v>260</v>
      </c>
      <c r="CR928" s="5" t="s">
        <v>261</v>
      </c>
      <c r="CU928" s="8">
        <f>1</f>
        <v>1</v>
      </c>
      <c r="CV928" s="8">
        <f>0</f>
        <v>0</v>
      </c>
      <c r="CX928" s="8">
        <f>0</f>
        <v>0</v>
      </c>
      <c r="CY928" s="8">
        <f>1</f>
        <v>1</v>
      </c>
      <c r="DA928" s="5" t="s">
        <v>673</v>
      </c>
      <c r="DB928" s="5" t="s">
        <v>238</v>
      </c>
      <c r="DD928" s="5" t="s">
        <v>673</v>
      </c>
      <c r="DE928" s="8">
        <f>605</f>
        <v>605</v>
      </c>
      <c r="DG928" s="5" t="s">
        <v>238</v>
      </c>
      <c r="DH928" s="5" t="s">
        <v>238</v>
      </c>
      <c r="DI928" s="5" t="s">
        <v>238</v>
      </c>
      <c r="DJ928" s="5" t="s">
        <v>238</v>
      </c>
      <c r="DN928" s="5" t="s">
        <v>238</v>
      </c>
      <c r="DO928" s="5" t="s">
        <v>238</v>
      </c>
      <c r="DP928" s="5" t="s">
        <v>238</v>
      </c>
      <c r="DQ928" s="5" t="s">
        <v>238</v>
      </c>
      <c r="DT928" s="5" t="s">
        <v>2039</v>
      </c>
      <c r="DU928" s="5" t="s">
        <v>506</v>
      </c>
      <c r="HM928" s="5" t="s">
        <v>264</v>
      </c>
    </row>
    <row r="929" spans="1:221" x14ac:dyDescent="0.4">
      <c r="A929" s="5">
        <v>2604</v>
      </c>
      <c r="B929" s="5">
        <v>1</v>
      </c>
      <c r="C929" s="5">
        <v>1</v>
      </c>
      <c r="D929" s="5" t="s">
        <v>2037</v>
      </c>
      <c r="E929" s="5" t="s">
        <v>271</v>
      </c>
      <c r="F929" s="5" t="s">
        <v>248</v>
      </c>
      <c r="G929" s="5" t="s">
        <v>1969</v>
      </c>
      <c r="H929" s="6" t="s">
        <v>3287</v>
      </c>
      <c r="I929" s="7">
        <f>180</f>
        <v>180</v>
      </c>
      <c r="J929" s="5" t="s">
        <v>262</v>
      </c>
      <c r="K929" s="8">
        <f>1</f>
        <v>1</v>
      </c>
      <c r="L929" s="6" t="s">
        <v>242</v>
      </c>
      <c r="M929" s="5" t="s">
        <v>267</v>
      </c>
      <c r="N929" s="5" t="s">
        <v>265</v>
      </c>
      <c r="O929" s="5" t="s">
        <v>238</v>
      </c>
      <c r="P929" s="5" t="s">
        <v>238</v>
      </c>
      <c r="Q929" s="5" t="s">
        <v>268</v>
      </c>
      <c r="R929" s="5" t="s">
        <v>270</v>
      </c>
      <c r="S929" s="5" t="s">
        <v>238</v>
      </c>
      <c r="V929" s="5" t="s">
        <v>238</v>
      </c>
      <c r="X929" s="6" t="s">
        <v>238</v>
      </c>
      <c r="AA929" s="6" t="s">
        <v>243</v>
      </c>
      <c r="AB929" s="5" t="s">
        <v>238</v>
      </c>
      <c r="AC929" s="5" t="s">
        <v>244</v>
      </c>
      <c r="AD929" s="5" t="s">
        <v>245</v>
      </c>
      <c r="AT929" s="5" t="s">
        <v>246</v>
      </c>
      <c r="AU929" s="5" t="s">
        <v>238</v>
      </c>
      <c r="AV929" s="5" t="s">
        <v>247</v>
      </c>
      <c r="AW929" s="5" t="s">
        <v>238</v>
      </c>
      <c r="AX929" s="5" t="s">
        <v>249</v>
      </c>
      <c r="AY929" s="5" t="s">
        <v>238</v>
      </c>
      <c r="BA929" s="5" t="s">
        <v>238</v>
      </c>
      <c r="BC929" s="5" t="s">
        <v>250</v>
      </c>
      <c r="BD929" s="6" t="s">
        <v>243</v>
      </c>
      <c r="BE929" s="5" t="s">
        <v>251</v>
      </c>
      <c r="BF929" s="5" t="s">
        <v>252</v>
      </c>
      <c r="BG929" s="5" t="s">
        <v>238</v>
      </c>
      <c r="BH929" s="7">
        <f>0</f>
        <v>0</v>
      </c>
      <c r="BI929" s="8">
        <f>0</f>
        <v>0</v>
      </c>
      <c r="BJ929" s="5" t="s">
        <v>253</v>
      </c>
      <c r="BK929" s="5" t="s">
        <v>254</v>
      </c>
      <c r="BY929" s="5" t="s">
        <v>238</v>
      </c>
      <c r="BZ929" s="5" t="s">
        <v>238</v>
      </c>
      <c r="CD929" s="5" t="s">
        <v>273</v>
      </c>
      <c r="CE929" s="5" t="s">
        <v>256</v>
      </c>
      <c r="CF929" s="5" t="s">
        <v>238</v>
      </c>
      <c r="CI929" s="6" t="s">
        <v>257</v>
      </c>
      <c r="CJ929" s="5" t="s">
        <v>238</v>
      </c>
      <c r="CK929" s="5" t="s">
        <v>258</v>
      </c>
      <c r="CL929" s="5" t="s">
        <v>238</v>
      </c>
      <c r="CM929" s="5" t="s">
        <v>238</v>
      </c>
      <c r="CN929" s="5">
        <v>0</v>
      </c>
      <c r="CO929" s="5" t="s">
        <v>259</v>
      </c>
      <c r="CP929" s="5" t="s">
        <v>260</v>
      </c>
      <c r="CQ929" s="5" t="s">
        <v>260</v>
      </c>
      <c r="CR929" s="5" t="s">
        <v>261</v>
      </c>
      <c r="CU929" s="8">
        <f>1</f>
        <v>1</v>
      </c>
      <c r="CV929" s="8">
        <f>0</f>
        <v>0</v>
      </c>
      <c r="CX929" s="8">
        <f>0</f>
        <v>0</v>
      </c>
      <c r="CY929" s="8">
        <f>1</f>
        <v>1</v>
      </c>
      <c r="DA929" s="5" t="s">
        <v>673</v>
      </c>
      <c r="DB929" s="5" t="s">
        <v>238</v>
      </c>
      <c r="DD929" s="5" t="s">
        <v>673</v>
      </c>
      <c r="DE929" s="8">
        <f>180</f>
        <v>180</v>
      </c>
      <c r="DG929" s="5" t="s">
        <v>238</v>
      </c>
      <c r="DH929" s="5" t="s">
        <v>238</v>
      </c>
      <c r="DI929" s="5" t="s">
        <v>238</v>
      </c>
      <c r="DJ929" s="5" t="s">
        <v>238</v>
      </c>
      <c r="DN929" s="5" t="s">
        <v>238</v>
      </c>
      <c r="DO929" s="5" t="s">
        <v>238</v>
      </c>
      <c r="DP929" s="5" t="s">
        <v>238</v>
      </c>
      <c r="DQ929" s="5" t="s">
        <v>238</v>
      </c>
      <c r="DT929" s="5" t="s">
        <v>2039</v>
      </c>
      <c r="DU929" s="5" t="s">
        <v>508</v>
      </c>
      <c r="HM929" s="5" t="s">
        <v>264</v>
      </c>
    </row>
    <row r="930" spans="1:221" x14ac:dyDescent="0.4">
      <c r="A930" s="5">
        <v>2605</v>
      </c>
      <c r="B930" s="5">
        <v>1</v>
      </c>
      <c r="C930" s="5">
        <v>1</v>
      </c>
      <c r="D930" s="5" t="s">
        <v>2037</v>
      </c>
      <c r="E930" s="5" t="s">
        <v>271</v>
      </c>
      <c r="F930" s="5" t="s">
        <v>248</v>
      </c>
      <c r="G930" s="5" t="s">
        <v>1969</v>
      </c>
      <c r="H930" s="6" t="s">
        <v>3286</v>
      </c>
      <c r="I930" s="7">
        <f>222</f>
        <v>222</v>
      </c>
      <c r="J930" s="5" t="s">
        <v>262</v>
      </c>
      <c r="K930" s="8">
        <f>1</f>
        <v>1</v>
      </c>
      <c r="L930" s="6" t="s">
        <v>242</v>
      </c>
      <c r="M930" s="5" t="s">
        <v>267</v>
      </c>
      <c r="N930" s="5" t="s">
        <v>265</v>
      </c>
      <c r="O930" s="5" t="s">
        <v>238</v>
      </c>
      <c r="P930" s="5" t="s">
        <v>238</v>
      </c>
      <c r="Q930" s="5" t="s">
        <v>268</v>
      </c>
      <c r="R930" s="5" t="s">
        <v>270</v>
      </c>
      <c r="S930" s="5" t="s">
        <v>238</v>
      </c>
      <c r="V930" s="5" t="s">
        <v>238</v>
      </c>
      <c r="X930" s="6" t="s">
        <v>238</v>
      </c>
      <c r="AA930" s="6" t="s">
        <v>243</v>
      </c>
      <c r="AB930" s="5" t="s">
        <v>238</v>
      </c>
      <c r="AC930" s="5" t="s">
        <v>244</v>
      </c>
      <c r="AD930" s="5" t="s">
        <v>245</v>
      </c>
      <c r="AT930" s="5" t="s">
        <v>246</v>
      </c>
      <c r="AU930" s="5" t="s">
        <v>238</v>
      </c>
      <c r="AV930" s="5" t="s">
        <v>247</v>
      </c>
      <c r="AW930" s="5" t="s">
        <v>238</v>
      </c>
      <c r="AX930" s="5" t="s">
        <v>249</v>
      </c>
      <c r="AY930" s="5" t="s">
        <v>238</v>
      </c>
      <c r="BA930" s="5" t="s">
        <v>238</v>
      </c>
      <c r="BC930" s="5" t="s">
        <v>250</v>
      </c>
      <c r="BD930" s="6" t="s">
        <v>243</v>
      </c>
      <c r="BE930" s="5" t="s">
        <v>251</v>
      </c>
      <c r="BF930" s="5" t="s">
        <v>252</v>
      </c>
      <c r="BG930" s="5" t="s">
        <v>238</v>
      </c>
      <c r="BH930" s="7">
        <f>0</f>
        <v>0</v>
      </c>
      <c r="BI930" s="8">
        <f>0</f>
        <v>0</v>
      </c>
      <c r="BJ930" s="5" t="s">
        <v>253</v>
      </c>
      <c r="BK930" s="5" t="s">
        <v>254</v>
      </c>
      <c r="BY930" s="5" t="s">
        <v>238</v>
      </c>
      <c r="BZ930" s="5" t="s">
        <v>238</v>
      </c>
      <c r="CD930" s="5" t="s">
        <v>273</v>
      </c>
      <c r="CE930" s="5" t="s">
        <v>256</v>
      </c>
      <c r="CF930" s="5" t="s">
        <v>238</v>
      </c>
      <c r="CI930" s="6" t="s">
        <v>257</v>
      </c>
      <c r="CJ930" s="5" t="s">
        <v>238</v>
      </c>
      <c r="CK930" s="5" t="s">
        <v>258</v>
      </c>
      <c r="CL930" s="5" t="s">
        <v>238</v>
      </c>
      <c r="CM930" s="5" t="s">
        <v>238</v>
      </c>
      <c r="CN930" s="5">
        <v>0</v>
      </c>
      <c r="CO930" s="5" t="s">
        <v>259</v>
      </c>
      <c r="CP930" s="5" t="s">
        <v>260</v>
      </c>
      <c r="CQ930" s="5" t="s">
        <v>260</v>
      </c>
      <c r="CR930" s="5" t="s">
        <v>261</v>
      </c>
      <c r="CU930" s="8">
        <f>1</f>
        <v>1</v>
      </c>
      <c r="CV930" s="8">
        <f>0</f>
        <v>0</v>
      </c>
      <c r="CX930" s="8">
        <f>0</f>
        <v>0</v>
      </c>
      <c r="CY930" s="8">
        <f>1</f>
        <v>1</v>
      </c>
      <c r="DA930" s="5" t="s">
        <v>673</v>
      </c>
      <c r="DB930" s="5" t="s">
        <v>238</v>
      </c>
      <c r="DD930" s="5" t="s">
        <v>673</v>
      </c>
      <c r="DE930" s="8">
        <f>222</f>
        <v>222</v>
      </c>
      <c r="DG930" s="5" t="s">
        <v>238</v>
      </c>
      <c r="DH930" s="5" t="s">
        <v>238</v>
      </c>
      <c r="DI930" s="5" t="s">
        <v>238</v>
      </c>
      <c r="DJ930" s="5" t="s">
        <v>238</v>
      </c>
      <c r="DN930" s="5" t="s">
        <v>238</v>
      </c>
      <c r="DO930" s="5" t="s">
        <v>238</v>
      </c>
      <c r="DP930" s="5" t="s">
        <v>238</v>
      </c>
      <c r="DQ930" s="5" t="s">
        <v>238</v>
      </c>
      <c r="DT930" s="5" t="s">
        <v>2039</v>
      </c>
      <c r="DU930" s="5" t="s">
        <v>512</v>
      </c>
      <c r="HM930" s="5" t="s">
        <v>264</v>
      </c>
    </row>
    <row r="931" spans="1:221" x14ac:dyDescent="0.4">
      <c r="A931" s="5">
        <v>2606</v>
      </c>
      <c r="B931" s="5">
        <v>1</v>
      </c>
      <c r="C931" s="5">
        <v>1</v>
      </c>
      <c r="D931" s="5" t="s">
        <v>2037</v>
      </c>
      <c r="E931" s="5" t="s">
        <v>271</v>
      </c>
      <c r="F931" s="5" t="s">
        <v>248</v>
      </c>
      <c r="G931" s="5" t="s">
        <v>1969</v>
      </c>
      <c r="H931" s="6" t="s">
        <v>3285</v>
      </c>
      <c r="I931" s="7">
        <f>3581</f>
        <v>3581</v>
      </c>
      <c r="J931" s="5" t="s">
        <v>262</v>
      </c>
      <c r="K931" s="8">
        <f>1</f>
        <v>1</v>
      </c>
      <c r="L931" s="6" t="s">
        <v>242</v>
      </c>
      <c r="M931" s="5" t="s">
        <v>267</v>
      </c>
      <c r="N931" s="5" t="s">
        <v>265</v>
      </c>
      <c r="O931" s="5" t="s">
        <v>238</v>
      </c>
      <c r="P931" s="5" t="s">
        <v>238</v>
      </c>
      <c r="Q931" s="5" t="s">
        <v>268</v>
      </c>
      <c r="R931" s="5" t="s">
        <v>270</v>
      </c>
      <c r="S931" s="5" t="s">
        <v>238</v>
      </c>
      <c r="V931" s="5" t="s">
        <v>238</v>
      </c>
      <c r="X931" s="6" t="s">
        <v>238</v>
      </c>
      <c r="AA931" s="6" t="s">
        <v>243</v>
      </c>
      <c r="AB931" s="5" t="s">
        <v>238</v>
      </c>
      <c r="AC931" s="5" t="s">
        <v>244</v>
      </c>
      <c r="AD931" s="5" t="s">
        <v>245</v>
      </c>
      <c r="AT931" s="5" t="s">
        <v>246</v>
      </c>
      <c r="AU931" s="5" t="s">
        <v>238</v>
      </c>
      <c r="AV931" s="5" t="s">
        <v>247</v>
      </c>
      <c r="AW931" s="5" t="s">
        <v>238</v>
      </c>
      <c r="AX931" s="5" t="s">
        <v>249</v>
      </c>
      <c r="AY931" s="5" t="s">
        <v>238</v>
      </c>
      <c r="BA931" s="5" t="s">
        <v>238</v>
      </c>
      <c r="BC931" s="5" t="s">
        <v>250</v>
      </c>
      <c r="BD931" s="6" t="s">
        <v>243</v>
      </c>
      <c r="BE931" s="5" t="s">
        <v>251</v>
      </c>
      <c r="BF931" s="5" t="s">
        <v>252</v>
      </c>
      <c r="BG931" s="5" t="s">
        <v>238</v>
      </c>
      <c r="BH931" s="7">
        <f>0</f>
        <v>0</v>
      </c>
      <c r="BI931" s="8">
        <f>0</f>
        <v>0</v>
      </c>
      <c r="BJ931" s="5" t="s">
        <v>253</v>
      </c>
      <c r="BK931" s="5" t="s">
        <v>254</v>
      </c>
      <c r="BY931" s="5" t="s">
        <v>238</v>
      </c>
      <c r="BZ931" s="5" t="s">
        <v>238</v>
      </c>
      <c r="CD931" s="5" t="s">
        <v>273</v>
      </c>
      <c r="CE931" s="5" t="s">
        <v>256</v>
      </c>
      <c r="CF931" s="5" t="s">
        <v>238</v>
      </c>
      <c r="CI931" s="6" t="s">
        <v>257</v>
      </c>
      <c r="CJ931" s="5" t="s">
        <v>238</v>
      </c>
      <c r="CK931" s="5" t="s">
        <v>258</v>
      </c>
      <c r="CL931" s="5" t="s">
        <v>238</v>
      </c>
      <c r="CM931" s="5" t="s">
        <v>238</v>
      </c>
      <c r="CN931" s="5">
        <v>0</v>
      </c>
      <c r="CO931" s="5" t="s">
        <v>259</v>
      </c>
      <c r="CP931" s="5" t="s">
        <v>260</v>
      </c>
      <c r="CQ931" s="5" t="s">
        <v>260</v>
      </c>
      <c r="CR931" s="5" t="s">
        <v>261</v>
      </c>
      <c r="CU931" s="8">
        <f>1</f>
        <v>1</v>
      </c>
      <c r="CV931" s="8">
        <f>0</f>
        <v>0</v>
      </c>
      <c r="CX931" s="8">
        <f>0</f>
        <v>0</v>
      </c>
      <c r="CY931" s="8">
        <f>1</f>
        <v>1</v>
      </c>
      <c r="DA931" s="5" t="s">
        <v>673</v>
      </c>
      <c r="DB931" s="5" t="s">
        <v>238</v>
      </c>
      <c r="DD931" s="5" t="s">
        <v>673</v>
      </c>
      <c r="DE931" s="8">
        <f>3581</f>
        <v>3581</v>
      </c>
      <c r="DG931" s="5" t="s">
        <v>238</v>
      </c>
      <c r="DH931" s="5" t="s">
        <v>238</v>
      </c>
      <c r="DI931" s="5" t="s">
        <v>238</v>
      </c>
      <c r="DJ931" s="5" t="s">
        <v>238</v>
      </c>
      <c r="DN931" s="5" t="s">
        <v>238</v>
      </c>
      <c r="DO931" s="5" t="s">
        <v>238</v>
      </c>
      <c r="DP931" s="5" t="s">
        <v>238</v>
      </c>
      <c r="DQ931" s="5" t="s">
        <v>238</v>
      </c>
      <c r="DT931" s="5" t="s">
        <v>2039</v>
      </c>
      <c r="DU931" s="5" t="s">
        <v>516</v>
      </c>
      <c r="HM931" s="5" t="s">
        <v>264</v>
      </c>
    </row>
    <row r="932" spans="1:221" x14ac:dyDescent="0.4">
      <c r="A932" s="5">
        <v>2607</v>
      </c>
      <c r="B932" s="5">
        <v>1</v>
      </c>
      <c r="C932" s="5">
        <v>1</v>
      </c>
      <c r="D932" s="5" t="s">
        <v>2037</v>
      </c>
      <c r="E932" s="5" t="s">
        <v>271</v>
      </c>
      <c r="F932" s="5" t="s">
        <v>248</v>
      </c>
      <c r="G932" s="5" t="s">
        <v>1969</v>
      </c>
      <c r="H932" s="6" t="s">
        <v>3284</v>
      </c>
      <c r="I932" s="7">
        <f>603</f>
        <v>603</v>
      </c>
      <c r="J932" s="5" t="s">
        <v>262</v>
      </c>
      <c r="K932" s="8">
        <f>1</f>
        <v>1</v>
      </c>
      <c r="L932" s="6" t="s">
        <v>242</v>
      </c>
      <c r="M932" s="5" t="s">
        <v>267</v>
      </c>
      <c r="N932" s="5" t="s">
        <v>265</v>
      </c>
      <c r="O932" s="5" t="s">
        <v>238</v>
      </c>
      <c r="P932" s="5" t="s">
        <v>238</v>
      </c>
      <c r="Q932" s="5" t="s">
        <v>268</v>
      </c>
      <c r="R932" s="5" t="s">
        <v>270</v>
      </c>
      <c r="S932" s="5" t="s">
        <v>238</v>
      </c>
      <c r="V932" s="5" t="s">
        <v>238</v>
      </c>
      <c r="X932" s="6" t="s">
        <v>238</v>
      </c>
      <c r="AA932" s="6" t="s">
        <v>243</v>
      </c>
      <c r="AB932" s="5" t="s">
        <v>238</v>
      </c>
      <c r="AC932" s="5" t="s">
        <v>244</v>
      </c>
      <c r="AD932" s="5" t="s">
        <v>245</v>
      </c>
      <c r="AT932" s="5" t="s">
        <v>246</v>
      </c>
      <c r="AU932" s="5" t="s">
        <v>238</v>
      </c>
      <c r="AV932" s="5" t="s">
        <v>247</v>
      </c>
      <c r="AW932" s="5" t="s">
        <v>238</v>
      </c>
      <c r="AX932" s="5" t="s">
        <v>249</v>
      </c>
      <c r="AY932" s="5" t="s">
        <v>238</v>
      </c>
      <c r="BA932" s="5" t="s">
        <v>238</v>
      </c>
      <c r="BC932" s="5" t="s">
        <v>250</v>
      </c>
      <c r="BD932" s="6" t="s">
        <v>243</v>
      </c>
      <c r="BE932" s="5" t="s">
        <v>251</v>
      </c>
      <c r="BF932" s="5" t="s">
        <v>252</v>
      </c>
      <c r="BG932" s="5" t="s">
        <v>238</v>
      </c>
      <c r="BH932" s="7">
        <f>0</f>
        <v>0</v>
      </c>
      <c r="BI932" s="8">
        <f>0</f>
        <v>0</v>
      </c>
      <c r="BJ932" s="5" t="s">
        <v>253</v>
      </c>
      <c r="BK932" s="5" t="s">
        <v>254</v>
      </c>
      <c r="BY932" s="5" t="s">
        <v>238</v>
      </c>
      <c r="BZ932" s="5" t="s">
        <v>238</v>
      </c>
      <c r="CD932" s="5" t="s">
        <v>273</v>
      </c>
      <c r="CE932" s="5" t="s">
        <v>256</v>
      </c>
      <c r="CF932" s="5" t="s">
        <v>238</v>
      </c>
      <c r="CI932" s="6" t="s">
        <v>257</v>
      </c>
      <c r="CJ932" s="5" t="s">
        <v>238</v>
      </c>
      <c r="CK932" s="5" t="s">
        <v>258</v>
      </c>
      <c r="CL932" s="5" t="s">
        <v>238</v>
      </c>
      <c r="CM932" s="5" t="s">
        <v>238</v>
      </c>
      <c r="CN932" s="5">
        <v>0</v>
      </c>
      <c r="CO932" s="5" t="s">
        <v>259</v>
      </c>
      <c r="CP932" s="5" t="s">
        <v>260</v>
      </c>
      <c r="CQ932" s="5" t="s">
        <v>260</v>
      </c>
      <c r="CR932" s="5" t="s">
        <v>261</v>
      </c>
      <c r="CU932" s="8">
        <f>1</f>
        <v>1</v>
      </c>
      <c r="CV932" s="8">
        <f>0</f>
        <v>0</v>
      </c>
      <c r="CX932" s="8">
        <f>0</f>
        <v>0</v>
      </c>
      <c r="CY932" s="8">
        <f>1</f>
        <v>1</v>
      </c>
      <c r="DA932" s="5" t="s">
        <v>673</v>
      </c>
      <c r="DB932" s="5" t="s">
        <v>238</v>
      </c>
      <c r="DD932" s="5" t="s">
        <v>673</v>
      </c>
      <c r="DE932" s="8">
        <f>603</f>
        <v>603</v>
      </c>
      <c r="DG932" s="5" t="s">
        <v>238</v>
      </c>
      <c r="DH932" s="5" t="s">
        <v>238</v>
      </c>
      <c r="DI932" s="5" t="s">
        <v>238</v>
      </c>
      <c r="DJ932" s="5" t="s">
        <v>238</v>
      </c>
      <c r="DN932" s="5" t="s">
        <v>238</v>
      </c>
      <c r="DO932" s="5" t="s">
        <v>238</v>
      </c>
      <c r="DP932" s="5" t="s">
        <v>238</v>
      </c>
      <c r="DQ932" s="5" t="s">
        <v>238</v>
      </c>
      <c r="DT932" s="5" t="s">
        <v>2039</v>
      </c>
      <c r="DU932" s="5" t="s">
        <v>518</v>
      </c>
      <c r="HM932" s="5" t="s">
        <v>264</v>
      </c>
    </row>
    <row r="933" spans="1:221" x14ac:dyDescent="0.4">
      <c r="A933" s="5">
        <v>2608</v>
      </c>
      <c r="B933" s="5">
        <v>1</v>
      </c>
      <c r="C933" s="5">
        <v>1</v>
      </c>
      <c r="D933" s="5" t="s">
        <v>2037</v>
      </c>
      <c r="E933" s="5" t="s">
        <v>271</v>
      </c>
      <c r="F933" s="5" t="s">
        <v>248</v>
      </c>
      <c r="G933" s="5" t="s">
        <v>1969</v>
      </c>
      <c r="H933" s="6" t="s">
        <v>3283</v>
      </c>
      <c r="I933" s="7">
        <f>92</f>
        <v>92</v>
      </c>
      <c r="J933" s="5" t="s">
        <v>262</v>
      </c>
      <c r="K933" s="8">
        <f>1</f>
        <v>1</v>
      </c>
      <c r="L933" s="6" t="s">
        <v>242</v>
      </c>
      <c r="M933" s="5" t="s">
        <v>267</v>
      </c>
      <c r="N933" s="5" t="s">
        <v>265</v>
      </c>
      <c r="O933" s="5" t="s">
        <v>238</v>
      </c>
      <c r="P933" s="5" t="s">
        <v>238</v>
      </c>
      <c r="Q933" s="5" t="s">
        <v>268</v>
      </c>
      <c r="R933" s="5" t="s">
        <v>270</v>
      </c>
      <c r="S933" s="5" t="s">
        <v>238</v>
      </c>
      <c r="V933" s="5" t="s">
        <v>238</v>
      </c>
      <c r="X933" s="6" t="s">
        <v>238</v>
      </c>
      <c r="AA933" s="6" t="s">
        <v>243</v>
      </c>
      <c r="AB933" s="5" t="s">
        <v>238</v>
      </c>
      <c r="AC933" s="5" t="s">
        <v>244</v>
      </c>
      <c r="AD933" s="5" t="s">
        <v>245</v>
      </c>
      <c r="AT933" s="5" t="s">
        <v>246</v>
      </c>
      <c r="AU933" s="5" t="s">
        <v>238</v>
      </c>
      <c r="AV933" s="5" t="s">
        <v>247</v>
      </c>
      <c r="AW933" s="5" t="s">
        <v>238</v>
      </c>
      <c r="AX933" s="5" t="s">
        <v>249</v>
      </c>
      <c r="AY933" s="5" t="s">
        <v>238</v>
      </c>
      <c r="BA933" s="5" t="s">
        <v>238</v>
      </c>
      <c r="BC933" s="5" t="s">
        <v>250</v>
      </c>
      <c r="BD933" s="6" t="s">
        <v>243</v>
      </c>
      <c r="BE933" s="5" t="s">
        <v>251</v>
      </c>
      <c r="BF933" s="5" t="s">
        <v>252</v>
      </c>
      <c r="BG933" s="5" t="s">
        <v>238</v>
      </c>
      <c r="BH933" s="7">
        <f>0</f>
        <v>0</v>
      </c>
      <c r="BI933" s="8">
        <f>0</f>
        <v>0</v>
      </c>
      <c r="BJ933" s="5" t="s">
        <v>253</v>
      </c>
      <c r="BK933" s="5" t="s">
        <v>254</v>
      </c>
      <c r="BY933" s="5" t="s">
        <v>238</v>
      </c>
      <c r="BZ933" s="5" t="s">
        <v>238</v>
      </c>
      <c r="CD933" s="5" t="s">
        <v>273</v>
      </c>
      <c r="CE933" s="5" t="s">
        <v>256</v>
      </c>
      <c r="CF933" s="5" t="s">
        <v>238</v>
      </c>
      <c r="CI933" s="6" t="s">
        <v>257</v>
      </c>
      <c r="CJ933" s="5" t="s">
        <v>238</v>
      </c>
      <c r="CK933" s="5" t="s">
        <v>258</v>
      </c>
      <c r="CL933" s="5" t="s">
        <v>238</v>
      </c>
      <c r="CM933" s="5" t="s">
        <v>238</v>
      </c>
      <c r="CN933" s="5">
        <v>0</v>
      </c>
      <c r="CO933" s="5" t="s">
        <v>259</v>
      </c>
      <c r="CP933" s="5" t="s">
        <v>260</v>
      </c>
      <c r="CQ933" s="5" t="s">
        <v>260</v>
      </c>
      <c r="CR933" s="5" t="s">
        <v>261</v>
      </c>
      <c r="CU933" s="8">
        <f>1</f>
        <v>1</v>
      </c>
      <c r="CV933" s="8">
        <f>0</f>
        <v>0</v>
      </c>
      <c r="CX933" s="8">
        <f>0</f>
        <v>0</v>
      </c>
      <c r="CY933" s="8">
        <f>1</f>
        <v>1</v>
      </c>
      <c r="DA933" s="5" t="s">
        <v>673</v>
      </c>
      <c r="DB933" s="5" t="s">
        <v>238</v>
      </c>
      <c r="DD933" s="5" t="s">
        <v>673</v>
      </c>
      <c r="DE933" s="8">
        <f>92</f>
        <v>92</v>
      </c>
      <c r="DG933" s="5" t="s">
        <v>238</v>
      </c>
      <c r="DH933" s="5" t="s">
        <v>238</v>
      </c>
      <c r="DI933" s="5" t="s">
        <v>238</v>
      </c>
      <c r="DJ933" s="5" t="s">
        <v>238</v>
      </c>
      <c r="DN933" s="5" t="s">
        <v>238</v>
      </c>
      <c r="DO933" s="5" t="s">
        <v>238</v>
      </c>
      <c r="DP933" s="5" t="s">
        <v>238</v>
      </c>
      <c r="DQ933" s="5" t="s">
        <v>238</v>
      </c>
      <c r="DT933" s="5" t="s">
        <v>2039</v>
      </c>
      <c r="DU933" s="5" t="s">
        <v>520</v>
      </c>
      <c r="HM933" s="5" t="s">
        <v>264</v>
      </c>
    </row>
    <row r="934" spans="1:221" x14ac:dyDescent="0.4">
      <c r="A934" s="5">
        <v>2609</v>
      </c>
      <c r="B934" s="5">
        <v>1</v>
      </c>
      <c r="C934" s="5">
        <v>1</v>
      </c>
      <c r="D934" s="5" t="s">
        <v>2037</v>
      </c>
      <c r="E934" s="5" t="s">
        <v>271</v>
      </c>
      <c r="F934" s="5" t="s">
        <v>248</v>
      </c>
      <c r="G934" s="5" t="s">
        <v>1969</v>
      </c>
      <c r="H934" s="6" t="s">
        <v>3282</v>
      </c>
      <c r="I934" s="7">
        <f>109</f>
        <v>109</v>
      </c>
      <c r="J934" s="5" t="s">
        <v>262</v>
      </c>
      <c r="K934" s="8">
        <f>1</f>
        <v>1</v>
      </c>
      <c r="L934" s="6" t="s">
        <v>242</v>
      </c>
      <c r="M934" s="5" t="s">
        <v>267</v>
      </c>
      <c r="N934" s="5" t="s">
        <v>265</v>
      </c>
      <c r="O934" s="5" t="s">
        <v>238</v>
      </c>
      <c r="P934" s="5" t="s">
        <v>238</v>
      </c>
      <c r="Q934" s="5" t="s">
        <v>268</v>
      </c>
      <c r="R934" s="5" t="s">
        <v>270</v>
      </c>
      <c r="S934" s="5" t="s">
        <v>238</v>
      </c>
      <c r="V934" s="5" t="s">
        <v>238</v>
      </c>
      <c r="X934" s="6" t="s">
        <v>238</v>
      </c>
      <c r="AA934" s="6" t="s">
        <v>243</v>
      </c>
      <c r="AB934" s="5" t="s">
        <v>238</v>
      </c>
      <c r="AC934" s="5" t="s">
        <v>244</v>
      </c>
      <c r="AD934" s="5" t="s">
        <v>245</v>
      </c>
      <c r="AT934" s="5" t="s">
        <v>246</v>
      </c>
      <c r="AU934" s="5" t="s">
        <v>238</v>
      </c>
      <c r="AV934" s="5" t="s">
        <v>247</v>
      </c>
      <c r="AW934" s="5" t="s">
        <v>238</v>
      </c>
      <c r="AX934" s="5" t="s">
        <v>249</v>
      </c>
      <c r="AY934" s="5" t="s">
        <v>238</v>
      </c>
      <c r="BA934" s="5" t="s">
        <v>238</v>
      </c>
      <c r="BC934" s="5" t="s">
        <v>250</v>
      </c>
      <c r="BD934" s="6" t="s">
        <v>243</v>
      </c>
      <c r="BE934" s="5" t="s">
        <v>251</v>
      </c>
      <c r="BF934" s="5" t="s">
        <v>252</v>
      </c>
      <c r="BG934" s="5" t="s">
        <v>238</v>
      </c>
      <c r="BH934" s="7">
        <f>0</f>
        <v>0</v>
      </c>
      <c r="BI934" s="8">
        <f>0</f>
        <v>0</v>
      </c>
      <c r="BJ934" s="5" t="s">
        <v>253</v>
      </c>
      <c r="BK934" s="5" t="s">
        <v>254</v>
      </c>
      <c r="BY934" s="5" t="s">
        <v>238</v>
      </c>
      <c r="BZ934" s="5" t="s">
        <v>238</v>
      </c>
      <c r="CD934" s="5" t="s">
        <v>273</v>
      </c>
      <c r="CE934" s="5" t="s">
        <v>256</v>
      </c>
      <c r="CF934" s="5" t="s">
        <v>238</v>
      </c>
      <c r="CI934" s="6" t="s">
        <v>257</v>
      </c>
      <c r="CJ934" s="5" t="s">
        <v>238</v>
      </c>
      <c r="CK934" s="5" t="s">
        <v>258</v>
      </c>
      <c r="CL934" s="5" t="s">
        <v>238</v>
      </c>
      <c r="CM934" s="5" t="s">
        <v>238</v>
      </c>
      <c r="CN934" s="5">
        <v>0</v>
      </c>
      <c r="CO934" s="5" t="s">
        <v>259</v>
      </c>
      <c r="CP934" s="5" t="s">
        <v>260</v>
      </c>
      <c r="CQ934" s="5" t="s">
        <v>260</v>
      </c>
      <c r="CR934" s="5" t="s">
        <v>261</v>
      </c>
      <c r="CU934" s="8">
        <f>1</f>
        <v>1</v>
      </c>
      <c r="CV934" s="8">
        <f>0</f>
        <v>0</v>
      </c>
      <c r="CX934" s="8">
        <f>0</f>
        <v>0</v>
      </c>
      <c r="CY934" s="8">
        <f>1</f>
        <v>1</v>
      </c>
      <c r="DA934" s="5" t="s">
        <v>673</v>
      </c>
      <c r="DB934" s="5" t="s">
        <v>238</v>
      </c>
      <c r="DD934" s="5" t="s">
        <v>673</v>
      </c>
      <c r="DE934" s="8">
        <f>109</f>
        <v>109</v>
      </c>
      <c r="DG934" s="5" t="s">
        <v>238</v>
      </c>
      <c r="DH934" s="5" t="s">
        <v>238</v>
      </c>
      <c r="DI934" s="5" t="s">
        <v>238</v>
      </c>
      <c r="DJ934" s="5" t="s">
        <v>238</v>
      </c>
      <c r="DN934" s="5" t="s">
        <v>238</v>
      </c>
      <c r="DO934" s="5" t="s">
        <v>238</v>
      </c>
      <c r="DP934" s="5" t="s">
        <v>238</v>
      </c>
      <c r="DQ934" s="5" t="s">
        <v>238</v>
      </c>
      <c r="DT934" s="5" t="s">
        <v>2039</v>
      </c>
      <c r="DU934" s="5" t="s">
        <v>522</v>
      </c>
      <c r="HM934" s="5" t="s">
        <v>264</v>
      </c>
    </row>
    <row r="935" spans="1:221" x14ac:dyDescent="0.4">
      <c r="A935" s="5">
        <v>2610</v>
      </c>
      <c r="B935" s="5">
        <v>1</v>
      </c>
      <c r="C935" s="5">
        <v>1</v>
      </c>
      <c r="D935" s="5" t="s">
        <v>2037</v>
      </c>
      <c r="E935" s="5" t="s">
        <v>271</v>
      </c>
      <c r="F935" s="5" t="s">
        <v>248</v>
      </c>
      <c r="G935" s="5" t="s">
        <v>1969</v>
      </c>
      <c r="H935" s="6" t="s">
        <v>3281</v>
      </c>
      <c r="I935" s="7">
        <f>1732</f>
        <v>1732</v>
      </c>
      <c r="J935" s="5" t="s">
        <v>262</v>
      </c>
      <c r="K935" s="8">
        <f>1</f>
        <v>1</v>
      </c>
      <c r="L935" s="6" t="s">
        <v>242</v>
      </c>
      <c r="M935" s="5" t="s">
        <v>267</v>
      </c>
      <c r="N935" s="5" t="s">
        <v>265</v>
      </c>
      <c r="O935" s="5" t="s">
        <v>238</v>
      </c>
      <c r="P935" s="5" t="s">
        <v>238</v>
      </c>
      <c r="Q935" s="5" t="s">
        <v>268</v>
      </c>
      <c r="R935" s="5" t="s">
        <v>270</v>
      </c>
      <c r="S935" s="5" t="s">
        <v>238</v>
      </c>
      <c r="V935" s="5" t="s">
        <v>238</v>
      </c>
      <c r="X935" s="6" t="s">
        <v>238</v>
      </c>
      <c r="AA935" s="6" t="s">
        <v>243</v>
      </c>
      <c r="AB935" s="5" t="s">
        <v>238</v>
      </c>
      <c r="AC935" s="5" t="s">
        <v>244</v>
      </c>
      <c r="AD935" s="5" t="s">
        <v>245</v>
      </c>
      <c r="AT935" s="5" t="s">
        <v>246</v>
      </c>
      <c r="AU935" s="5" t="s">
        <v>238</v>
      </c>
      <c r="AV935" s="5" t="s">
        <v>247</v>
      </c>
      <c r="AW935" s="5" t="s">
        <v>238</v>
      </c>
      <c r="AX935" s="5" t="s">
        <v>249</v>
      </c>
      <c r="AY935" s="5" t="s">
        <v>238</v>
      </c>
      <c r="BA935" s="5" t="s">
        <v>238</v>
      </c>
      <c r="BC935" s="5" t="s">
        <v>250</v>
      </c>
      <c r="BD935" s="6" t="s">
        <v>243</v>
      </c>
      <c r="BE935" s="5" t="s">
        <v>251</v>
      </c>
      <c r="BF935" s="5" t="s">
        <v>252</v>
      </c>
      <c r="BG935" s="5" t="s">
        <v>238</v>
      </c>
      <c r="BH935" s="7">
        <f>0</f>
        <v>0</v>
      </c>
      <c r="BI935" s="8">
        <f>0</f>
        <v>0</v>
      </c>
      <c r="BJ935" s="5" t="s">
        <v>253</v>
      </c>
      <c r="BK935" s="5" t="s">
        <v>254</v>
      </c>
      <c r="BY935" s="5" t="s">
        <v>238</v>
      </c>
      <c r="BZ935" s="5" t="s">
        <v>238</v>
      </c>
      <c r="CD935" s="5" t="s">
        <v>273</v>
      </c>
      <c r="CE935" s="5" t="s">
        <v>256</v>
      </c>
      <c r="CF935" s="5" t="s">
        <v>238</v>
      </c>
      <c r="CI935" s="6" t="s">
        <v>257</v>
      </c>
      <c r="CJ935" s="5" t="s">
        <v>238</v>
      </c>
      <c r="CK935" s="5" t="s">
        <v>258</v>
      </c>
      <c r="CL935" s="5" t="s">
        <v>238</v>
      </c>
      <c r="CM935" s="5" t="s">
        <v>238</v>
      </c>
      <c r="CN935" s="5">
        <v>0</v>
      </c>
      <c r="CO935" s="5" t="s">
        <v>259</v>
      </c>
      <c r="CP935" s="5" t="s">
        <v>260</v>
      </c>
      <c r="CQ935" s="5" t="s">
        <v>260</v>
      </c>
      <c r="CR935" s="5" t="s">
        <v>261</v>
      </c>
      <c r="CU935" s="8">
        <f>1</f>
        <v>1</v>
      </c>
      <c r="CV935" s="8">
        <f>0</f>
        <v>0</v>
      </c>
      <c r="CX935" s="8">
        <f>0</f>
        <v>0</v>
      </c>
      <c r="CY935" s="8">
        <f>1</f>
        <v>1</v>
      </c>
      <c r="DA935" s="5" t="s">
        <v>673</v>
      </c>
      <c r="DB935" s="5" t="s">
        <v>238</v>
      </c>
      <c r="DD935" s="5" t="s">
        <v>673</v>
      </c>
      <c r="DE935" s="8">
        <f>1732</f>
        <v>1732</v>
      </c>
      <c r="DG935" s="5" t="s">
        <v>238</v>
      </c>
      <c r="DH935" s="5" t="s">
        <v>238</v>
      </c>
      <c r="DI935" s="5" t="s">
        <v>238</v>
      </c>
      <c r="DJ935" s="5" t="s">
        <v>238</v>
      </c>
      <c r="DN935" s="5" t="s">
        <v>238</v>
      </c>
      <c r="DO935" s="5" t="s">
        <v>238</v>
      </c>
      <c r="DP935" s="5" t="s">
        <v>238</v>
      </c>
      <c r="DQ935" s="5" t="s">
        <v>238</v>
      </c>
      <c r="DT935" s="5" t="s">
        <v>2039</v>
      </c>
      <c r="DU935" s="5" t="s">
        <v>526</v>
      </c>
      <c r="HM935" s="5" t="s">
        <v>264</v>
      </c>
    </row>
    <row r="936" spans="1:221" x14ac:dyDescent="0.4">
      <c r="A936" s="5">
        <v>2611</v>
      </c>
      <c r="B936" s="5">
        <v>1</v>
      </c>
      <c r="C936" s="5">
        <v>1</v>
      </c>
      <c r="D936" s="5" t="s">
        <v>2037</v>
      </c>
      <c r="E936" s="5" t="s">
        <v>271</v>
      </c>
      <c r="F936" s="5" t="s">
        <v>248</v>
      </c>
      <c r="G936" s="5" t="s">
        <v>1969</v>
      </c>
      <c r="H936" s="6" t="s">
        <v>3280</v>
      </c>
      <c r="I936" s="7">
        <f>392</f>
        <v>392</v>
      </c>
      <c r="J936" s="5" t="s">
        <v>262</v>
      </c>
      <c r="K936" s="8">
        <f>1</f>
        <v>1</v>
      </c>
      <c r="L936" s="6" t="s">
        <v>242</v>
      </c>
      <c r="M936" s="5" t="s">
        <v>267</v>
      </c>
      <c r="N936" s="5" t="s">
        <v>265</v>
      </c>
      <c r="O936" s="5" t="s">
        <v>238</v>
      </c>
      <c r="P936" s="5" t="s">
        <v>238</v>
      </c>
      <c r="Q936" s="5" t="s">
        <v>268</v>
      </c>
      <c r="R936" s="5" t="s">
        <v>270</v>
      </c>
      <c r="S936" s="5" t="s">
        <v>238</v>
      </c>
      <c r="V936" s="5" t="s">
        <v>238</v>
      </c>
      <c r="X936" s="6" t="s">
        <v>238</v>
      </c>
      <c r="AA936" s="6" t="s">
        <v>243</v>
      </c>
      <c r="AB936" s="5" t="s">
        <v>238</v>
      </c>
      <c r="AC936" s="5" t="s">
        <v>244</v>
      </c>
      <c r="AD936" s="5" t="s">
        <v>245</v>
      </c>
      <c r="AT936" s="5" t="s">
        <v>246</v>
      </c>
      <c r="AU936" s="5" t="s">
        <v>238</v>
      </c>
      <c r="AV936" s="5" t="s">
        <v>247</v>
      </c>
      <c r="AW936" s="5" t="s">
        <v>238</v>
      </c>
      <c r="AX936" s="5" t="s">
        <v>249</v>
      </c>
      <c r="AY936" s="5" t="s">
        <v>238</v>
      </c>
      <c r="BA936" s="5" t="s">
        <v>238</v>
      </c>
      <c r="BC936" s="5" t="s">
        <v>250</v>
      </c>
      <c r="BD936" s="6" t="s">
        <v>243</v>
      </c>
      <c r="BE936" s="5" t="s">
        <v>251</v>
      </c>
      <c r="BF936" s="5" t="s">
        <v>252</v>
      </c>
      <c r="BG936" s="5" t="s">
        <v>238</v>
      </c>
      <c r="BH936" s="7">
        <f>0</f>
        <v>0</v>
      </c>
      <c r="BI936" s="8">
        <f>0</f>
        <v>0</v>
      </c>
      <c r="BJ936" s="5" t="s">
        <v>253</v>
      </c>
      <c r="BK936" s="5" t="s">
        <v>254</v>
      </c>
      <c r="BY936" s="5" t="s">
        <v>238</v>
      </c>
      <c r="BZ936" s="5" t="s">
        <v>238</v>
      </c>
      <c r="CD936" s="5" t="s">
        <v>273</v>
      </c>
      <c r="CE936" s="5" t="s">
        <v>256</v>
      </c>
      <c r="CF936" s="5" t="s">
        <v>238</v>
      </c>
      <c r="CI936" s="6" t="s">
        <v>257</v>
      </c>
      <c r="CJ936" s="5" t="s">
        <v>238</v>
      </c>
      <c r="CK936" s="5" t="s">
        <v>258</v>
      </c>
      <c r="CL936" s="5" t="s">
        <v>238</v>
      </c>
      <c r="CM936" s="5" t="s">
        <v>238</v>
      </c>
      <c r="CN936" s="5">
        <v>0</v>
      </c>
      <c r="CO936" s="5" t="s">
        <v>259</v>
      </c>
      <c r="CP936" s="5" t="s">
        <v>260</v>
      </c>
      <c r="CQ936" s="5" t="s">
        <v>260</v>
      </c>
      <c r="CR936" s="5" t="s">
        <v>261</v>
      </c>
      <c r="CU936" s="8">
        <f>1</f>
        <v>1</v>
      </c>
      <c r="CV936" s="8">
        <f>0</f>
        <v>0</v>
      </c>
      <c r="CX936" s="8">
        <f>0</f>
        <v>0</v>
      </c>
      <c r="CY936" s="8">
        <f>1</f>
        <v>1</v>
      </c>
      <c r="DA936" s="5" t="s">
        <v>673</v>
      </c>
      <c r="DB936" s="5" t="s">
        <v>238</v>
      </c>
      <c r="DD936" s="5" t="s">
        <v>673</v>
      </c>
      <c r="DE936" s="8">
        <f>392</f>
        <v>392</v>
      </c>
      <c r="DG936" s="5" t="s">
        <v>238</v>
      </c>
      <c r="DH936" s="5" t="s">
        <v>238</v>
      </c>
      <c r="DI936" s="5" t="s">
        <v>238</v>
      </c>
      <c r="DJ936" s="5" t="s">
        <v>238</v>
      </c>
      <c r="DN936" s="5" t="s">
        <v>238</v>
      </c>
      <c r="DO936" s="5" t="s">
        <v>238</v>
      </c>
      <c r="DP936" s="5" t="s">
        <v>238</v>
      </c>
      <c r="DQ936" s="5" t="s">
        <v>238</v>
      </c>
      <c r="DT936" s="5" t="s">
        <v>2039</v>
      </c>
      <c r="DU936" s="5" t="s">
        <v>528</v>
      </c>
      <c r="HM936" s="5" t="s">
        <v>264</v>
      </c>
    </row>
    <row r="937" spans="1:221" x14ac:dyDescent="0.4">
      <c r="A937" s="5">
        <v>2612</v>
      </c>
      <c r="B937" s="5">
        <v>1</v>
      </c>
      <c r="C937" s="5">
        <v>1</v>
      </c>
      <c r="D937" s="5" t="s">
        <v>2037</v>
      </c>
      <c r="E937" s="5" t="s">
        <v>271</v>
      </c>
      <c r="F937" s="5" t="s">
        <v>248</v>
      </c>
      <c r="G937" s="5" t="s">
        <v>1969</v>
      </c>
      <c r="H937" s="6" t="s">
        <v>3278</v>
      </c>
      <c r="I937" s="7">
        <f>341</f>
        <v>341</v>
      </c>
      <c r="J937" s="5" t="s">
        <v>262</v>
      </c>
      <c r="K937" s="8">
        <f>1</f>
        <v>1</v>
      </c>
      <c r="L937" s="6" t="s">
        <v>242</v>
      </c>
      <c r="M937" s="5" t="s">
        <v>267</v>
      </c>
      <c r="N937" s="5" t="s">
        <v>265</v>
      </c>
      <c r="O937" s="5" t="s">
        <v>238</v>
      </c>
      <c r="P937" s="5" t="s">
        <v>238</v>
      </c>
      <c r="Q937" s="5" t="s">
        <v>268</v>
      </c>
      <c r="R937" s="5" t="s">
        <v>270</v>
      </c>
      <c r="S937" s="5" t="s">
        <v>238</v>
      </c>
      <c r="V937" s="5" t="s">
        <v>238</v>
      </c>
      <c r="X937" s="6" t="s">
        <v>238</v>
      </c>
      <c r="AA937" s="6" t="s">
        <v>243</v>
      </c>
      <c r="AB937" s="5" t="s">
        <v>238</v>
      </c>
      <c r="AC937" s="5" t="s">
        <v>244</v>
      </c>
      <c r="AD937" s="5" t="s">
        <v>245</v>
      </c>
      <c r="AT937" s="5" t="s">
        <v>246</v>
      </c>
      <c r="AU937" s="5" t="s">
        <v>238</v>
      </c>
      <c r="AV937" s="5" t="s">
        <v>247</v>
      </c>
      <c r="AW937" s="5" t="s">
        <v>238</v>
      </c>
      <c r="AX937" s="5" t="s">
        <v>249</v>
      </c>
      <c r="AY937" s="5" t="s">
        <v>238</v>
      </c>
      <c r="BA937" s="5" t="s">
        <v>238</v>
      </c>
      <c r="BC937" s="5" t="s">
        <v>250</v>
      </c>
      <c r="BD937" s="6" t="s">
        <v>243</v>
      </c>
      <c r="BE937" s="5" t="s">
        <v>251</v>
      </c>
      <c r="BF937" s="5" t="s">
        <v>252</v>
      </c>
      <c r="BG937" s="5" t="s">
        <v>238</v>
      </c>
      <c r="BH937" s="7">
        <f>0</f>
        <v>0</v>
      </c>
      <c r="BI937" s="8">
        <f>0</f>
        <v>0</v>
      </c>
      <c r="BJ937" s="5" t="s">
        <v>253</v>
      </c>
      <c r="BK937" s="5" t="s">
        <v>254</v>
      </c>
      <c r="BY937" s="5" t="s">
        <v>238</v>
      </c>
      <c r="BZ937" s="5" t="s">
        <v>238</v>
      </c>
      <c r="CD937" s="5" t="s">
        <v>273</v>
      </c>
      <c r="CE937" s="5" t="s">
        <v>256</v>
      </c>
      <c r="CF937" s="5" t="s">
        <v>238</v>
      </c>
      <c r="CI937" s="6" t="s">
        <v>257</v>
      </c>
      <c r="CJ937" s="5" t="s">
        <v>238</v>
      </c>
      <c r="CK937" s="5" t="s">
        <v>258</v>
      </c>
      <c r="CL937" s="5" t="s">
        <v>238</v>
      </c>
      <c r="CM937" s="5" t="s">
        <v>238</v>
      </c>
      <c r="CN937" s="5">
        <v>0</v>
      </c>
      <c r="CO937" s="5" t="s">
        <v>259</v>
      </c>
      <c r="CP937" s="5" t="s">
        <v>260</v>
      </c>
      <c r="CQ937" s="5" t="s">
        <v>260</v>
      </c>
      <c r="CR937" s="5" t="s">
        <v>261</v>
      </c>
      <c r="CU937" s="8">
        <f>1</f>
        <v>1</v>
      </c>
      <c r="CV937" s="8">
        <f>0</f>
        <v>0</v>
      </c>
      <c r="CX937" s="8">
        <f>0</f>
        <v>0</v>
      </c>
      <c r="CY937" s="8">
        <f>1</f>
        <v>1</v>
      </c>
      <c r="DA937" s="5" t="s">
        <v>673</v>
      </c>
      <c r="DB937" s="5" t="s">
        <v>238</v>
      </c>
      <c r="DD937" s="5" t="s">
        <v>673</v>
      </c>
      <c r="DE937" s="8">
        <f>341</f>
        <v>341</v>
      </c>
      <c r="DG937" s="5" t="s">
        <v>238</v>
      </c>
      <c r="DH937" s="5" t="s">
        <v>238</v>
      </c>
      <c r="DI937" s="5" t="s">
        <v>238</v>
      </c>
      <c r="DJ937" s="5" t="s">
        <v>238</v>
      </c>
      <c r="DN937" s="5" t="s">
        <v>238</v>
      </c>
      <c r="DO937" s="5" t="s">
        <v>238</v>
      </c>
      <c r="DP937" s="5" t="s">
        <v>238</v>
      </c>
      <c r="DQ937" s="5" t="s">
        <v>238</v>
      </c>
      <c r="DT937" s="5" t="s">
        <v>2039</v>
      </c>
      <c r="DU937" s="5" t="s">
        <v>530</v>
      </c>
      <c r="HM937" s="5" t="s">
        <v>264</v>
      </c>
    </row>
    <row r="938" spans="1:221" x14ac:dyDescent="0.4">
      <c r="A938" s="5">
        <v>2613</v>
      </c>
      <c r="B938" s="5">
        <v>1</v>
      </c>
      <c r="C938" s="5">
        <v>1</v>
      </c>
      <c r="D938" s="5" t="s">
        <v>2037</v>
      </c>
      <c r="E938" s="5" t="s">
        <v>271</v>
      </c>
      <c r="F938" s="5" t="s">
        <v>248</v>
      </c>
      <c r="G938" s="5" t="s">
        <v>1969</v>
      </c>
      <c r="H938" s="6" t="s">
        <v>3277</v>
      </c>
      <c r="I938" s="7">
        <f>654</f>
        <v>654</v>
      </c>
      <c r="J938" s="5" t="s">
        <v>262</v>
      </c>
      <c r="K938" s="8">
        <f>1</f>
        <v>1</v>
      </c>
      <c r="L938" s="6" t="s">
        <v>242</v>
      </c>
      <c r="M938" s="5" t="s">
        <v>267</v>
      </c>
      <c r="N938" s="5" t="s">
        <v>265</v>
      </c>
      <c r="O938" s="5" t="s">
        <v>238</v>
      </c>
      <c r="P938" s="5" t="s">
        <v>238</v>
      </c>
      <c r="Q938" s="5" t="s">
        <v>268</v>
      </c>
      <c r="R938" s="5" t="s">
        <v>270</v>
      </c>
      <c r="S938" s="5" t="s">
        <v>238</v>
      </c>
      <c r="V938" s="5" t="s">
        <v>238</v>
      </c>
      <c r="X938" s="6" t="s">
        <v>238</v>
      </c>
      <c r="AA938" s="6" t="s">
        <v>243</v>
      </c>
      <c r="AB938" s="5" t="s">
        <v>238</v>
      </c>
      <c r="AC938" s="5" t="s">
        <v>244</v>
      </c>
      <c r="AD938" s="5" t="s">
        <v>245</v>
      </c>
      <c r="AT938" s="5" t="s">
        <v>246</v>
      </c>
      <c r="AU938" s="5" t="s">
        <v>238</v>
      </c>
      <c r="AV938" s="5" t="s">
        <v>247</v>
      </c>
      <c r="AW938" s="5" t="s">
        <v>238</v>
      </c>
      <c r="AX938" s="5" t="s">
        <v>249</v>
      </c>
      <c r="AY938" s="5" t="s">
        <v>238</v>
      </c>
      <c r="BA938" s="5" t="s">
        <v>238</v>
      </c>
      <c r="BC938" s="5" t="s">
        <v>250</v>
      </c>
      <c r="BD938" s="6" t="s">
        <v>243</v>
      </c>
      <c r="BE938" s="5" t="s">
        <v>251</v>
      </c>
      <c r="BF938" s="5" t="s">
        <v>252</v>
      </c>
      <c r="BG938" s="5" t="s">
        <v>238</v>
      </c>
      <c r="BH938" s="7">
        <f>0</f>
        <v>0</v>
      </c>
      <c r="BI938" s="8">
        <f>0</f>
        <v>0</v>
      </c>
      <c r="BJ938" s="5" t="s">
        <v>253</v>
      </c>
      <c r="BK938" s="5" t="s">
        <v>254</v>
      </c>
      <c r="BY938" s="5" t="s">
        <v>238</v>
      </c>
      <c r="BZ938" s="5" t="s">
        <v>238</v>
      </c>
      <c r="CD938" s="5" t="s">
        <v>273</v>
      </c>
      <c r="CE938" s="5" t="s">
        <v>256</v>
      </c>
      <c r="CF938" s="5" t="s">
        <v>238</v>
      </c>
      <c r="CI938" s="6" t="s">
        <v>257</v>
      </c>
      <c r="CJ938" s="5" t="s">
        <v>238</v>
      </c>
      <c r="CK938" s="5" t="s">
        <v>258</v>
      </c>
      <c r="CL938" s="5" t="s">
        <v>238</v>
      </c>
      <c r="CM938" s="5" t="s">
        <v>238</v>
      </c>
      <c r="CN938" s="5">
        <v>0</v>
      </c>
      <c r="CO938" s="5" t="s">
        <v>259</v>
      </c>
      <c r="CP938" s="5" t="s">
        <v>260</v>
      </c>
      <c r="CQ938" s="5" t="s">
        <v>260</v>
      </c>
      <c r="CR938" s="5" t="s">
        <v>261</v>
      </c>
      <c r="CU938" s="8">
        <f>1</f>
        <v>1</v>
      </c>
      <c r="CV938" s="8">
        <f>0</f>
        <v>0</v>
      </c>
      <c r="CX938" s="8">
        <f>0</f>
        <v>0</v>
      </c>
      <c r="CY938" s="8">
        <f>1</f>
        <v>1</v>
      </c>
      <c r="DA938" s="5" t="s">
        <v>673</v>
      </c>
      <c r="DB938" s="5" t="s">
        <v>238</v>
      </c>
      <c r="DD938" s="5" t="s">
        <v>673</v>
      </c>
      <c r="DE938" s="8">
        <f>654</f>
        <v>654</v>
      </c>
      <c r="DG938" s="5" t="s">
        <v>238</v>
      </c>
      <c r="DH938" s="5" t="s">
        <v>238</v>
      </c>
      <c r="DI938" s="5" t="s">
        <v>238</v>
      </c>
      <c r="DJ938" s="5" t="s">
        <v>238</v>
      </c>
      <c r="DN938" s="5" t="s">
        <v>238</v>
      </c>
      <c r="DO938" s="5" t="s">
        <v>238</v>
      </c>
      <c r="DP938" s="5" t="s">
        <v>238</v>
      </c>
      <c r="DQ938" s="5" t="s">
        <v>238</v>
      </c>
      <c r="DT938" s="5" t="s">
        <v>2039</v>
      </c>
      <c r="DU938" s="5" t="s">
        <v>538</v>
      </c>
      <c r="HM938" s="5" t="s">
        <v>264</v>
      </c>
    </row>
    <row r="939" spans="1:221" x14ac:dyDescent="0.4">
      <c r="A939" s="5">
        <v>2614</v>
      </c>
      <c r="B939" s="5">
        <v>1</v>
      </c>
      <c r="C939" s="5">
        <v>1</v>
      </c>
      <c r="D939" s="5" t="s">
        <v>2037</v>
      </c>
      <c r="E939" s="5" t="s">
        <v>271</v>
      </c>
      <c r="F939" s="5" t="s">
        <v>248</v>
      </c>
      <c r="G939" s="5" t="s">
        <v>1969</v>
      </c>
      <c r="H939" s="6" t="s">
        <v>3276</v>
      </c>
      <c r="I939" s="7">
        <f>2693</f>
        <v>2693</v>
      </c>
      <c r="J939" s="5" t="s">
        <v>262</v>
      </c>
      <c r="K939" s="8">
        <f>1</f>
        <v>1</v>
      </c>
      <c r="L939" s="6" t="s">
        <v>242</v>
      </c>
      <c r="M939" s="5" t="s">
        <v>267</v>
      </c>
      <c r="N939" s="5" t="s">
        <v>265</v>
      </c>
      <c r="O939" s="5" t="s">
        <v>238</v>
      </c>
      <c r="P939" s="5" t="s">
        <v>238</v>
      </c>
      <c r="Q939" s="5" t="s">
        <v>268</v>
      </c>
      <c r="R939" s="5" t="s">
        <v>270</v>
      </c>
      <c r="S939" s="5" t="s">
        <v>238</v>
      </c>
      <c r="V939" s="5" t="s">
        <v>238</v>
      </c>
      <c r="X939" s="6" t="s">
        <v>238</v>
      </c>
      <c r="AA939" s="6" t="s">
        <v>243</v>
      </c>
      <c r="AB939" s="5" t="s">
        <v>238</v>
      </c>
      <c r="AC939" s="5" t="s">
        <v>244</v>
      </c>
      <c r="AD939" s="5" t="s">
        <v>245</v>
      </c>
      <c r="AT939" s="5" t="s">
        <v>246</v>
      </c>
      <c r="AU939" s="5" t="s">
        <v>238</v>
      </c>
      <c r="AV939" s="5" t="s">
        <v>247</v>
      </c>
      <c r="AW939" s="5" t="s">
        <v>238</v>
      </c>
      <c r="AX939" s="5" t="s">
        <v>249</v>
      </c>
      <c r="AY939" s="5" t="s">
        <v>238</v>
      </c>
      <c r="BA939" s="5" t="s">
        <v>238</v>
      </c>
      <c r="BC939" s="5" t="s">
        <v>250</v>
      </c>
      <c r="BD939" s="6" t="s">
        <v>243</v>
      </c>
      <c r="BE939" s="5" t="s">
        <v>251</v>
      </c>
      <c r="BF939" s="5" t="s">
        <v>252</v>
      </c>
      <c r="BG939" s="5" t="s">
        <v>238</v>
      </c>
      <c r="BH939" s="7">
        <f>0</f>
        <v>0</v>
      </c>
      <c r="BI939" s="8">
        <f>0</f>
        <v>0</v>
      </c>
      <c r="BJ939" s="5" t="s">
        <v>253</v>
      </c>
      <c r="BK939" s="5" t="s">
        <v>254</v>
      </c>
      <c r="BY939" s="5" t="s">
        <v>238</v>
      </c>
      <c r="BZ939" s="5" t="s">
        <v>238</v>
      </c>
      <c r="CD939" s="5" t="s">
        <v>273</v>
      </c>
      <c r="CE939" s="5" t="s">
        <v>256</v>
      </c>
      <c r="CF939" s="5" t="s">
        <v>238</v>
      </c>
      <c r="CI939" s="6" t="s">
        <v>257</v>
      </c>
      <c r="CJ939" s="5" t="s">
        <v>238</v>
      </c>
      <c r="CK939" s="5" t="s">
        <v>258</v>
      </c>
      <c r="CL939" s="5" t="s">
        <v>238</v>
      </c>
      <c r="CM939" s="5" t="s">
        <v>238</v>
      </c>
      <c r="CN939" s="5">
        <v>0</v>
      </c>
      <c r="CO939" s="5" t="s">
        <v>259</v>
      </c>
      <c r="CP939" s="5" t="s">
        <v>260</v>
      </c>
      <c r="CQ939" s="5" t="s">
        <v>260</v>
      </c>
      <c r="CR939" s="5" t="s">
        <v>261</v>
      </c>
      <c r="CU939" s="8">
        <f>1</f>
        <v>1</v>
      </c>
      <c r="CV939" s="8">
        <f>0</f>
        <v>0</v>
      </c>
      <c r="CX939" s="8">
        <f>0</f>
        <v>0</v>
      </c>
      <c r="CY939" s="8">
        <f>1</f>
        <v>1</v>
      </c>
      <c r="DA939" s="5" t="s">
        <v>673</v>
      </c>
      <c r="DB939" s="5" t="s">
        <v>238</v>
      </c>
      <c r="DD939" s="5" t="s">
        <v>673</v>
      </c>
      <c r="DE939" s="8">
        <f>2693</f>
        <v>2693</v>
      </c>
      <c r="DG939" s="5" t="s">
        <v>238</v>
      </c>
      <c r="DH939" s="5" t="s">
        <v>238</v>
      </c>
      <c r="DI939" s="5" t="s">
        <v>238</v>
      </c>
      <c r="DJ939" s="5" t="s">
        <v>238</v>
      </c>
      <c r="DN939" s="5" t="s">
        <v>238</v>
      </c>
      <c r="DO939" s="5" t="s">
        <v>238</v>
      </c>
      <c r="DP939" s="5" t="s">
        <v>238</v>
      </c>
      <c r="DQ939" s="5" t="s">
        <v>238</v>
      </c>
      <c r="DT939" s="5" t="s">
        <v>2039</v>
      </c>
      <c r="DU939" s="5" t="s">
        <v>542</v>
      </c>
      <c r="HM939" s="5" t="s">
        <v>264</v>
      </c>
    </row>
    <row r="940" spans="1:221" x14ac:dyDescent="0.4">
      <c r="A940" s="5">
        <v>2615</v>
      </c>
      <c r="B940" s="5">
        <v>1</v>
      </c>
      <c r="C940" s="5">
        <v>1</v>
      </c>
      <c r="D940" s="5" t="s">
        <v>2037</v>
      </c>
      <c r="E940" s="5" t="s">
        <v>271</v>
      </c>
      <c r="F940" s="5" t="s">
        <v>248</v>
      </c>
      <c r="G940" s="5" t="s">
        <v>1969</v>
      </c>
      <c r="H940" s="6" t="s">
        <v>3275</v>
      </c>
      <c r="I940" s="7">
        <f>2050</f>
        <v>2050</v>
      </c>
      <c r="J940" s="5" t="s">
        <v>262</v>
      </c>
      <c r="K940" s="8">
        <f>1</f>
        <v>1</v>
      </c>
      <c r="L940" s="6" t="s">
        <v>242</v>
      </c>
      <c r="M940" s="5" t="s">
        <v>267</v>
      </c>
      <c r="N940" s="5" t="s">
        <v>265</v>
      </c>
      <c r="O940" s="5" t="s">
        <v>238</v>
      </c>
      <c r="P940" s="5" t="s">
        <v>238</v>
      </c>
      <c r="Q940" s="5" t="s">
        <v>268</v>
      </c>
      <c r="R940" s="5" t="s">
        <v>270</v>
      </c>
      <c r="S940" s="5" t="s">
        <v>238</v>
      </c>
      <c r="V940" s="5" t="s">
        <v>238</v>
      </c>
      <c r="X940" s="6" t="s">
        <v>238</v>
      </c>
      <c r="AA940" s="6" t="s">
        <v>243</v>
      </c>
      <c r="AB940" s="5" t="s">
        <v>238</v>
      </c>
      <c r="AC940" s="5" t="s">
        <v>244</v>
      </c>
      <c r="AD940" s="5" t="s">
        <v>245</v>
      </c>
      <c r="AT940" s="5" t="s">
        <v>246</v>
      </c>
      <c r="AU940" s="5" t="s">
        <v>238</v>
      </c>
      <c r="AV940" s="5" t="s">
        <v>247</v>
      </c>
      <c r="AW940" s="5" t="s">
        <v>238</v>
      </c>
      <c r="AX940" s="5" t="s">
        <v>249</v>
      </c>
      <c r="AY940" s="5" t="s">
        <v>238</v>
      </c>
      <c r="BA940" s="5" t="s">
        <v>238</v>
      </c>
      <c r="BC940" s="5" t="s">
        <v>250</v>
      </c>
      <c r="BD940" s="6" t="s">
        <v>243</v>
      </c>
      <c r="BE940" s="5" t="s">
        <v>251</v>
      </c>
      <c r="BF940" s="5" t="s">
        <v>252</v>
      </c>
      <c r="BG940" s="5" t="s">
        <v>238</v>
      </c>
      <c r="BH940" s="7">
        <f>0</f>
        <v>0</v>
      </c>
      <c r="BI940" s="8">
        <f>0</f>
        <v>0</v>
      </c>
      <c r="BJ940" s="5" t="s">
        <v>253</v>
      </c>
      <c r="BK940" s="5" t="s">
        <v>254</v>
      </c>
      <c r="BY940" s="5" t="s">
        <v>238</v>
      </c>
      <c r="BZ940" s="5" t="s">
        <v>238</v>
      </c>
      <c r="CD940" s="5" t="s">
        <v>273</v>
      </c>
      <c r="CE940" s="5" t="s">
        <v>256</v>
      </c>
      <c r="CF940" s="5" t="s">
        <v>238</v>
      </c>
      <c r="CI940" s="6" t="s">
        <v>257</v>
      </c>
      <c r="CJ940" s="5" t="s">
        <v>238</v>
      </c>
      <c r="CK940" s="5" t="s">
        <v>258</v>
      </c>
      <c r="CL940" s="5" t="s">
        <v>238</v>
      </c>
      <c r="CM940" s="5" t="s">
        <v>238</v>
      </c>
      <c r="CN940" s="5">
        <v>0</v>
      </c>
      <c r="CO940" s="5" t="s">
        <v>259</v>
      </c>
      <c r="CP940" s="5" t="s">
        <v>260</v>
      </c>
      <c r="CQ940" s="5" t="s">
        <v>260</v>
      </c>
      <c r="CR940" s="5" t="s">
        <v>261</v>
      </c>
      <c r="CU940" s="8">
        <f>1</f>
        <v>1</v>
      </c>
      <c r="CV940" s="8">
        <f>0</f>
        <v>0</v>
      </c>
      <c r="CX940" s="8">
        <f>0</f>
        <v>0</v>
      </c>
      <c r="CY940" s="8">
        <f>1</f>
        <v>1</v>
      </c>
      <c r="DA940" s="5" t="s">
        <v>673</v>
      </c>
      <c r="DB940" s="5" t="s">
        <v>238</v>
      </c>
      <c r="DD940" s="5" t="s">
        <v>673</v>
      </c>
      <c r="DE940" s="8">
        <f>2050</f>
        <v>2050</v>
      </c>
      <c r="DG940" s="5" t="s">
        <v>238</v>
      </c>
      <c r="DH940" s="5" t="s">
        <v>238</v>
      </c>
      <c r="DI940" s="5" t="s">
        <v>238</v>
      </c>
      <c r="DJ940" s="5" t="s">
        <v>238</v>
      </c>
      <c r="DN940" s="5" t="s">
        <v>238</v>
      </c>
      <c r="DO940" s="5" t="s">
        <v>238</v>
      </c>
      <c r="DP940" s="5" t="s">
        <v>238</v>
      </c>
      <c r="DQ940" s="5" t="s">
        <v>238</v>
      </c>
      <c r="DT940" s="5" t="s">
        <v>2039</v>
      </c>
      <c r="DU940" s="5" t="s">
        <v>546</v>
      </c>
      <c r="HM940" s="5" t="s">
        <v>264</v>
      </c>
    </row>
    <row r="941" spans="1:221" x14ac:dyDescent="0.4">
      <c r="A941" s="5">
        <v>2616</v>
      </c>
      <c r="B941" s="5">
        <v>1</v>
      </c>
      <c r="C941" s="5">
        <v>1</v>
      </c>
      <c r="D941" s="5" t="s">
        <v>2037</v>
      </c>
      <c r="E941" s="5" t="s">
        <v>271</v>
      </c>
      <c r="F941" s="5" t="s">
        <v>248</v>
      </c>
      <c r="G941" s="5" t="s">
        <v>1969</v>
      </c>
      <c r="H941" s="6" t="s">
        <v>3274</v>
      </c>
      <c r="I941" s="7">
        <f>1102</f>
        <v>1102</v>
      </c>
      <c r="J941" s="5" t="s">
        <v>262</v>
      </c>
      <c r="K941" s="8">
        <f>1</f>
        <v>1</v>
      </c>
      <c r="L941" s="6" t="s">
        <v>242</v>
      </c>
      <c r="M941" s="5" t="s">
        <v>267</v>
      </c>
      <c r="N941" s="5" t="s">
        <v>265</v>
      </c>
      <c r="O941" s="5" t="s">
        <v>238</v>
      </c>
      <c r="P941" s="5" t="s">
        <v>238</v>
      </c>
      <c r="Q941" s="5" t="s">
        <v>268</v>
      </c>
      <c r="R941" s="5" t="s">
        <v>270</v>
      </c>
      <c r="S941" s="5" t="s">
        <v>238</v>
      </c>
      <c r="V941" s="5" t="s">
        <v>238</v>
      </c>
      <c r="X941" s="6" t="s">
        <v>238</v>
      </c>
      <c r="AA941" s="6" t="s">
        <v>243</v>
      </c>
      <c r="AB941" s="5" t="s">
        <v>238</v>
      </c>
      <c r="AC941" s="5" t="s">
        <v>244</v>
      </c>
      <c r="AD941" s="5" t="s">
        <v>245</v>
      </c>
      <c r="AT941" s="5" t="s">
        <v>246</v>
      </c>
      <c r="AU941" s="5" t="s">
        <v>238</v>
      </c>
      <c r="AV941" s="5" t="s">
        <v>247</v>
      </c>
      <c r="AW941" s="5" t="s">
        <v>238</v>
      </c>
      <c r="AX941" s="5" t="s">
        <v>249</v>
      </c>
      <c r="AY941" s="5" t="s">
        <v>238</v>
      </c>
      <c r="BA941" s="5" t="s">
        <v>238</v>
      </c>
      <c r="BC941" s="5" t="s">
        <v>250</v>
      </c>
      <c r="BD941" s="6" t="s">
        <v>243</v>
      </c>
      <c r="BE941" s="5" t="s">
        <v>251</v>
      </c>
      <c r="BF941" s="5" t="s">
        <v>252</v>
      </c>
      <c r="BG941" s="5" t="s">
        <v>238</v>
      </c>
      <c r="BH941" s="7">
        <f>0</f>
        <v>0</v>
      </c>
      <c r="BI941" s="8">
        <f>0</f>
        <v>0</v>
      </c>
      <c r="BJ941" s="5" t="s">
        <v>253</v>
      </c>
      <c r="BK941" s="5" t="s">
        <v>254</v>
      </c>
      <c r="BY941" s="5" t="s">
        <v>238</v>
      </c>
      <c r="BZ941" s="5" t="s">
        <v>238</v>
      </c>
      <c r="CD941" s="5" t="s">
        <v>273</v>
      </c>
      <c r="CE941" s="5" t="s">
        <v>256</v>
      </c>
      <c r="CF941" s="5" t="s">
        <v>238</v>
      </c>
      <c r="CI941" s="6" t="s">
        <v>257</v>
      </c>
      <c r="CJ941" s="5" t="s">
        <v>238</v>
      </c>
      <c r="CK941" s="5" t="s">
        <v>258</v>
      </c>
      <c r="CL941" s="5" t="s">
        <v>238</v>
      </c>
      <c r="CM941" s="5" t="s">
        <v>238</v>
      </c>
      <c r="CN941" s="5">
        <v>0</v>
      </c>
      <c r="CO941" s="5" t="s">
        <v>259</v>
      </c>
      <c r="CP941" s="5" t="s">
        <v>260</v>
      </c>
      <c r="CQ941" s="5" t="s">
        <v>260</v>
      </c>
      <c r="CR941" s="5" t="s">
        <v>261</v>
      </c>
      <c r="CU941" s="8">
        <f>1</f>
        <v>1</v>
      </c>
      <c r="CV941" s="8">
        <f>0</f>
        <v>0</v>
      </c>
      <c r="CX941" s="8">
        <f>0</f>
        <v>0</v>
      </c>
      <c r="CY941" s="8">
        <f>1</f>
        <v>1</v>
      </c>
      <c r="DA941" s="5" t="s">
        <v>673</v>
      </c>
      <c r="DB941" s="5" t="s">
        <v>238</v>
      </c>
      <c r="DD941" s="5" t="s">
        <v>673</v>
      </c>
      <c r="DE941" s="8">
        <f>1102</f>
        <v>1102</v>
      </c>
      <c r="DG941" s="5" t="s">
        <v>238</v>
      </c>
      <c r="DH941" s="5" t="s">
        <v>238</v>
      </c>
      <c r="DI941" s="5" t="s">
        <v>238</v>
      </c>
      <c r="DJ941" s="5" t="s">
        <v>238</v>
      </c>
      <c r="DN941" s="5" t="s">
        <v>238</v>
      </c>
      <c r="DO941" s="5" t="s">
        <v>238</v>
      </c>
      <c r="DP941" s="5" t="s">
        <v>238</v>
      </c>
      <c r="DQ941" s="5" t="s">
        <v>238</v>
      </c>
      <c r="DT941" s="5" t="s">
        <v>2039</v>
      </c>
      <c r="DU941" s="5" t="s">
        <v>550</v>
      </c>
      <c r="HM941" s="5" t="s">
        <v>264</v>
      </c>
    </row>
    <row r="942" spans="1:221" x14ac:dyDescent="0.4">
      <c r="A942" s="5">
        <v>2617</v>
      </c>
      <c r="B942" s="5">
        <v>1</v>
      </c>
      <c r="C942" s="5">
        <v>1</v>
      </c>
      <c r="D942" s="5" t="s">
        <v>2037</v>
      </c>
      <c r="E942" s="5" t="s">
        <v>271</v>
      </c>
      <c r="F942" s="5" t="s">
        <v>248</v>
      </c>
      <c r="G942" s="5" t="s">
        <v>1969</v>
      </c>
      <c r="H942" s="6" t="s">
        <v>3273</v>
      </c>
      <c r="I942" s="7">
        <f>3914</f>
        <v>3914</v>
      </c>
      <c r="J942" s="5" t="s">
        <v>262</v>
      </c>
      <c r="K942" s="8">
        <f>1</f>
        <v>1</v>
      </c>
      <c r="L942" s="6" t="s">
        <v>242</v>
      </c>
      <c r="M942" s="5" t="s">
        <v>267</v>
      </c>
      <c r="N942" s="5" t="s">
        <v>265</v>
      </c>
      <c r="O942" s="5" t="s">
        <v>238</v>
      </c>
      <c r="P942" s="5" t="s">
        <v>238</v>
      </c>
      <c r="Q942" s="5" t="s">
        <v>268</v>
      </c>
      <c r="R942" s="5" t="s">
        <v>270</v>
      </c>
      <c r="S942" s="5" t="s">
        <v>238</v>
      </c>
      <c r="V942" s="5" t="s">
        <v>238</v>
      </c>
      <c r="X942" s="6" t="s">
        <v>238</v>
      </c>
      <c r="AA942" s="6" t="s">
        <v>243</v>
      </c>
      <c r="AB942" s="5" t="s">
        <v>238</v>
      </c>
      <c r="AC942" s="5" t="s">
        <v>244</v>
      </c>
      <c r="AD942" s="5" t="s">
        <v>245</v>
      </c>
      <c r="AT942" s="5" t="s">
        <v>246</v>
      </c>
      <c r="AU942" s="5" t="s">
        <v>238</v>
      </c>
      <c r="AV942" s="5" t="s">
        <v>247</v>
      </c>
      <c r="AW942" s="5" t="s">
        <v>238</v>
      </c>
      <c r="AX942" s="5" t="s">
        <v>249</v>
      </c>
      <c r="AY942" s="5" t="s">
        <v>238</v>
      </c>
      <c r="BA942" s="5" t="s">
        <v>238</v>
      </c>
      <c r="BC942" s="5" t="s">
        <v>250</v>
      </c>
      <c r="BD942" s="6" t="s">
        <v>243</v>
      </c>
      <c r="BE942" s="5" t="s">
        <v>251</v>
      </c>
      <c r="BF942" s="5" t="s">
        <v>252</v>
      </c>
      <c r="BG942" s="5" t="s">
        <v>238</v>
      </c>
      <c r="BH942" s="7">
        <f>0</f>
        <v>0</v>
      </c>
      <c r="BI942" s="8">
        <f>0</f>
        <v>0</v>
      </c>
      <c r="BJ942" s="5" t="s">
        <v>253</v>
      </c>
      <c r="BK942" s="5" t="s">
        <v>254</v>
      </c>
      <c r="BY942" s="5" t="s">
        <v>238</v>
      </c>
      <c r="BZ942" s="5" t="s">
        <v>238</v>
      </c>
      <c r="CD942" s="5" t="s">
        <v>273</v>
      </c>
      <c r="CE942" s="5" t="s">
        <v>256</v>
      </c>
      <c r="CF942" s="5" t="s">
        <v>238</v>
      </c>
      <c r="CI942" s="6" t="s">
        <v>257</v>
      </c>
      <c r="CJ942" s="5" t="s">
        <v>238</v>
      </c>
      <c r="CK942" s="5" t="s">
        <v>258</v>
      </c>
      <c r="CL942" s="5" t="s">
        <v>238</v>
      </c>
      <c r="CM942" s="5" t="s">
        <v>238</v>
      </c>
      <c r="CN942" s="5">
        <v>0</v>
      </c>
      <c r="CO942" s="5" t="s">
        <v>259</v>
      </c>
      <c r="CP942" s="5" t="s">
        <v>260</v>
      </c>
      <c r="CQ942" s="5" t="s">
        <v>260</v>
      </c>
      <c r="CR942" s="5" t="s">
        <v>261</v>
      </c>
      <c r="CU942" s="8">
        <f>1</f>
        <v>1</v>
      </c>
      <c r="CV942" s="8">
        <f>0</f>
        <v>0</v>
      </c>
      <c r="CX942" s="8">
        <f>0</f>
        <v>0</v>
      </c>
      <c r="CY942" s="8">
        <f>1</f>
        <v>1</v>
      </c>
      <c r="DA942" s="5" t="s">
        <v>673</v>
      </c>
      <c r="DB942" s="5" t="s">
        <v>238</v>
      </c>
      <c r="DD942" s="5" t="s">
        <v>673</v>
      </c>
      <c r="DE942" s="8">
        <f>3914</f>
        <v>3914</v>
      </c>
      <c r="DG942" s="5" t="s">
        <v>238</v>
      </c>
      <c r="DH942" s="5" t="s">
        <v>238</v>
      </c>
      <c r="DI942" s="5" t="s">
        <v>238</v>
      </c>
      <c r="DJ942" s="5" t="s">
        <v>238</v>
      </c>
      <c r="DN942" s="5" t="s">
        <v>238</v>
      </c>
      <c r="DO942" s="5" t="s">
        <v>238</v>
      </c>
      <c r="DP942" s="5" t="s">
        <v>238</v>
      </c>
      <c r="DQ942" s="5" t="s">
        <v>238</v>
      </c>
      <c r="DT942" s="5" t="s">
        <v>2039</v>
      </c>
      <c r="DU942" s="5" t="s">
        <v>554</v>
      </c>
      <c r="HM942" s="5" t="s">
        <v>264</v>
      </c>
    </row>
    <row r="943" spans="1:221" x14ac:dyDescent="0.4">
      <c r="A943" s="5">
        <v>2618</v>
      </c>
      <c r="B943" s="5">
        <v>1</v>
      </c>
      <c r="C943" s="5">
        <v>1</v>
      </c>
      <c r="D943" s="5" t="s">
        <v>2037</v>
      </c>
      <c r="E943" s="5" t="s">
        <v>271</v>
      </c>
      <c r="F943" s="5" t="s">
        <v>248</v>
      </c>
      <c r="G943" s="5" t="s">
        <v>1969</v>
      </c>
      <c r="H943" s="6" t="s">
        <v>3272</v>
      </c>
      <c r="I943" s="7">
        <f>346</f>
        <v>346</v>
      </c>
      <c r="J943" s="5" t="s">
        <v>262</v>
      </c>
      <c r="K943" s="8">
        <f>1</f>
        <v>1</v>
      </c>
      <c r="L943" s="6" t="s">
        <v>242</v>
      </c>
      <c r="M943" s="5" t="s">
        <v>267</v>
      </c>
      <c r="N943" s="5" t="s">
        <v>265</v>
      </c>
      <c r="O943" s="5" t="s">
        <v>238</v>
      </c>
      <c r="P943" s="5" t="s">
        <v>238</v>
      </c>
      <c r="Q943" s="5" t="s">
        <v>268</v>
      </c>
      <c r="R943" s="5" t="s">
        <v>270</v>
      </c>
      <c r="S943" s="5" t="s">
        <v>238</v>
      </c>
      <c r="V943" s="5" t="s">
        <v>238</v>
      </c>
      <c r="X943" s="6" t="s">
        <v>238</v>
      </c>
      <c r="AA943" s="6" t="s">
        <v>243</v>
      </c>
      <c r="AB943" s="5" t="s">
        <v>238</v>
      </c>
      <c r="AC943" s="5" t="s">
        <v>244</v>
      </c>
      <c r="AD943" s="5" t="s">
        <v>245</v>
      </c>
      <c r="AT943" s="5" t="s">
        <v>246</v>
      </c>
      <c r="AU943" s="5" t="s">
        <v>238</v>
      </c>
      <c r="AV943" s="5" t="s">
        <v>247</v>
      </c>
      <c r="AW943" s="5" t="s">
        <v>238</v>
      </c>
      <c r="AX943" s="5" t="s">
        <v>249</v>
      </c>
      <c r="AY943" s="5" t="s">
        <v>238</v>
      </c>
      <c r="BA943" s="5" t="s">
        <v>238</v>
      </c>
      <c r="BC943" s="5" t="s">
        <v>250</v>
      </c>
      <c r="BD943" s="6" t="s">
        <v>243</v>
      </c>
      <c r="BE943" s="5" t="s">
        <v>251</v>
      </c>
      <c r="BF943" s="5" t="s">
        <v>252</v>
      </c>
      <c r="BG943" s="5" t="s">
        <v>238</v>
      </c>
      <c r="BH943" s="7">
        <f>0</f>
        <v>0</v>
      </c>
      <c r="BI943" s="8">
        <f>0</f>
        <v>0</v>
      </c>
      <c r="BJ943" s="5" t="s">
        <v>253</v>
      </c>
      <c r="BK943" s="5" t="s">
        <v>254</v>
      </c>
      <c r="BY943" s="5" t="s">
        <v>238</v>
      </c>
      <c r="BZ943" s="5" t="s">
        <v>238</v>
      </c>
      <c r="CD943" s="5" t="s">
        <v>273</v>
      </c>
      <c r="CE943" s="5" t="s">
        <v>256</v>
      </c>
      <c r="CF943" s="5" t="s">
        <v>238</v>
      </c>
      <c r="CI943" s="6" t="s">
        <v>257</v>
      </c>
      <c r="CJ943" s="5" t="s">
        <v>238</v>
      </c>
      <c r="CK943" s="5" t="s">
        <v>258</v>
      </c>
      <c r="CL943" s="5" t="s">
        <v>238</v>
      </c>
      <c r="CM943" s="5" t="s">
        <v>238</v>
      </c>
      <c r="CN943" s="5">
        <v>0</v>
      </c>
      <c r="CO943" s="5" t="s">
        <v>259</v>
      </c>
      <c r="CP943" s="5" t="s">
        <v>260</v>
      </c>
      <c r="CQ943" s="5" t="s">
        <v>260</v>
      </c>
      <c r="CR943" s="5" t="s">
        <v>261</v>
      </c>
      <c r="CU943" s="8">
        <f>1</f>
        <v>1</v>
      </c>
      <c r="CV943" s="8">
        <f>0</f>
        <v>0</v>
      </c>
      <c r="CX943" s="8">
        <f>0</f>
        <v>0</v>
      </c>
      <c r="CY943" s="8">
        <f>1</f>
        <v>1</v>
      </c>
      <c r="DA943" s="5" t="s">
        <v>673</v>
      </c>
      <c r="DB943" s="5" t="s">
        <v>238</v>
      </c>
      <c r="DD943" s="5" t="s">
        <v>673</v>
      </c>
      <c r="DE943" s="8">
        <f>346</f>
        <v>346</v>
      </c>
      <c r="DG943" s="5" t="s">
        <v>238</v>
      </c>
      <c r="DH943" s="5" t="s">
        <v>238</v>
      </c>
      <c r="DI943" s="5" t="s">
        <v>238</v>
      </c>
      <c r="DJ943" s="5" t="s">
        <v>238</v>
      </c>
      <c r="DN943" s="5" t="s">
        <v>238</v>
      </c>
      <c r="DO943" s="5" t="s">
        <v>238</v>
      </c>
      <c r="DP943" s="5" t="s">
        <v>238</v>
      </c>
      <c r="DQ943" s="5" t="s">
        <v>238</v>
      </c>
      <c r="DT943" s="5" t="s">
        <v>2039</v>
      </c>
      <c r="DU943" s="5" t="s">
        <v>558</v>
      </c>
      <c r="HM943" s="5" t="s">
        <v>264</v>
      </c>
    </row>
    <row r="944" spans="1:221" x14ac:dyDescent="0.4">
      <c r="A944" s="5">
        <v>2619</v>
      </c>
      <c r="B944" s="5">
        <v>1</v>
      </c>
      <c r="C944" s="5">
        <v>1</v>
      </c>
      <c r="D944" s="5" t="s">
        <v>2037</v>
      </c>
      <c r="E944" s="5" t="s">
        <v>271</v>
      </c>
      <c r="F944" s="5" t="s">
        <v>248</v>
      </c>
      <c r="G944" s="5" t="s">
        <v>1969</v>
      </c>
      <c r="H944" s="6" t="s">
        <v>3271</v>
      </c>
      <c r="I944" s="7">
        <f>1261</f>
        <v>1261</v>
      </c>
      <c r="J944" s="5" t="s">
        <v>262</v>
      </c>
      <c r="K944" s="8">
        <f>1</f>
        <v>1</v>
      </c>
      <c r="L944" s="6" t="s">
        <v>242</v>
      </c>
      <c r="M944" s="5" t="s">
        <v>267</v>
      </c>
      <c r="N944" s="5" t="s">
        <v>265</v>
      </c>
      <c r="O944" s="5" t="s">
        <v>238</v>
      </c>
      <c r="P944" s="5" t="s">
        <v>238</v>
      </c>
      <c r="Q944" s="5" t="s">
        <v>268</v>
      </c>
      <c r="R944" s="5" t="s">
        <v>270</v>
      </c>
      <c r="S944" s="5" t="s">
        <v>238</v>
      </c>
      <c r="V944" s="5" t="s">
        <v>238</v>
      </c>
      <c r="X944" s="6" t="s">
        <v>238</v>
      </c>
      <c r="AA944" s="6" t="s">
        <v>243</v>
      </c>
      <c r="AB944" s="5" t="s">
        <v>238</v>
      </c>
      <c r="AC944" s="5" t="s">
        <v>244</v>
      </c>
      <c r="AD944" s="5" t="s">
        <v>245</v>
      </c>
      <c r="AT944" s="5" t="s">
        <v>246</v>
      </c>
      <c r="AU944" s="5" t="s">
        <v>238</v>
      </c>
      <c r="AV944" s="5" t="s">
        <v>247</v>
      </c>
      <c r="AW944" s="5" t="s">
        <v>238</v>
      </c>
      <c r="AX944" s="5" t="s">
        <v>249</v>
      </c>
      <c r="AY944" s="5" t="s">
        <v>238</v>
      </c>
      <c r="BA944" s="5" t="s">
        <v>238</v>
      </c>
      <c r="BC944" s="5" t="s">
        <v>250</v>
      </c>
      <c r="BD944" s="6" t="s">
        <v>243</v>
      </c>
      <c r="BE944" s="5" t="s">
        <v>251</v>
      </c>
      <c r="BF944" s="5" t="s">
        <v>252</v>
      </c>
      <c r="BG944" s="5" t="s">
        <v>238</v>
      </c>
      <c r="BH944" s="7">
        <f>0</f>
        <v>0</v>
      </c>
      <c r="BI944" s="8">
        <f>0</f>
        <v>0</v>
      </c>
      <c r="BJ944" s="5" t="s">
        <v>253</v>
      </c>
      <c r="BK944" s="5" t="s">
        <v>254</v>
      </c>
      <c r="BY944" s="5" t="s">
        <v>238</v>
      </c>
      <c r="BZ944" s="5" t="s">
        <v>238</v>
      </c>
      <c r="CD944" s="5" t="s">
        <v>273</v>
      </c>
      <c r="CE944" s="5" t="s">
        <v>256</v>
      </c>
      <c r="CF944" s="5" t="s">
        <v>238</v>
      </c>
      <c r="CI944" s="6" t="s">
        <v>257</v>
      </c>
      <c r="CJ944" s="5" t="s">
        <v>238</v>
      </c>
      <c r="CK944" s="5" t="s">
        <v>258</v>
      </c>
      <c r="CL944" s="5" t="s">
        <v>238</v>
      </c>
      <c r="CM944" s="5" t="s">
        <v>238</v>
      </c>
      <c r="CN944" s="5">
        <v>0</v>
      </c>
      <c r="CO944" s="5" t="s">
        <v>259</v>
      </c>
      <c r="CP944" s="5" t="s">
        <v>260</v>
      </c>
      <c r="CQ944" s="5" t="s">
        <v>260</v>
      </c>
      <c r="CR944" s="5" t="s">
        <v>261</v>
      </c>
      <c r="CU944" s="8">
        <f>1</f>
        <v>1</v>
      </c>
      <c r="CV944" s="8">
        <f>0</f>
        <v>0</v>
      </c>
      <c r="CX944" s="8">
        <f>0</f>
        <v>0</v>
      </c>
      <c r="CY944" s="8">
        <f>1</f>
        <v>1</v>
      </c>
      <c r="DA944" s="5" t="s">
        <v>673</v>
      </c>
      <c r="DB944" s="5" t="s">
        <v>238</v>
      </c>
      <c r="DD944" s="5" t="s">
        <v>673</v>
      </c>
      <c r="DE944" s="8">
        <f>1261</f>
        <v>1261</v>
      </c>
      <c r="DG944" s="5" t="s">
        <v>238</v>
      </c>
      <c r="DH944" s="5" t="s">
        <v>238</v>
      </c>
      <c r="DI944" s="5" t="s">
        <v>238</v>
      </c>
      <c r="DJ944" s="5" t="s">
        <v>238</v>
      </c>
      <c r="DN944" s="5" t="s">
        <v>238</v>
      </c>
      <c r="DO944" s="5" t="s">
        <v>238</v>
      </c>
      <c r="DP944" s="5" t="s">
        <v>238</v>
      </c>
      <c r="DQ944" s="5" t="s">
        <v>238</v>
      </c>
      <c r="DT944" s="5" t="s">
        <v>2039</v>
      </c>
      <c r="DU944" s="5" t="s">
        <v>560</v>
      </c>
      <c r="HM944" s="5" t="s">
        <v>264</v>
      </c>
    </row>
    <row r="945" spans="1:221" x14ac:dyDescent="0.4">
      <c r="A945" s="5">
        <v>2620</v>
      </c>
      <c r="B945" s="5">
        <v>1</v>
      </c>
      <c r="C945" s="5">
        <v>1</v>
      </c>
      <c r="D945" s="5" t="s">
        <v>2037</v>
      </c>
      <c r="E945" s="5" t="s">
        <v>271</v>
      </c>
      <c r="F945" s="5" t="s">
        <v>248</v>
      </c>
      <c r="G945" s="5" t="s">
        <v>1969</v>
      </c>
      <c r="H945" s="6" t="s">
        <v>3270</v>
      </c>
      <c r="I945" s="7">
        <f>170</f>
        <v>170</v>
      </c>
      <c r="J945" s="5" t="s">
        <v>262</v>
      </c>
      <c r="K945" s="8">
        <f>1</f>
        <v>1</v>
      </c>
      <c r="L945" s="6" t="s">
        <v>242</v>
      </c>
      <c r="M945" s="5" t="s">
        <v>267</v>
      </c>
      <c r="N945" s="5" t="s">
        <v>265</v>
      </c>
      <c r="O945" s="5" t="s">
        <v>238</v>
      </c>
      <c r="P945" s="5" t="s">
        <v>238</v>
      </c>
      <c r="Q945" s="5" t="s">
        <v>268</v>
      </c>
      <c r="R945" s="5" t="s">
        <v>270</v>
      </c>
      <c r="S945" s="5" t="s">
        <v>238</v>
      </c>
      <c r="V945" s="5" t="s">
        <v>238</v>
      </c>
      <c r="X945" s="6" t="s">
        <v>238</v>
      </c>
      <c r="AA945" s="6" t="s">
        <v>243</v>
      </c>
      <c r="AB945" s="5" t="s">
        <v>238</v>
      </c>
      <c r="AC945" s="5" t="s">
        <v>244</v>
      </c>
      <c r="AD945" s="5" t="s">
        <v>245</v>
      </c>
      <c r="AT945" s="5" t="s">
        <v>246</v>
      </c>
      <c r="AU945" s="5" t="s">
        <v>238</v>
      </c>
      <c r="AV945" s="5" t="s">
        <v>247</v>
      </c>
      <c r="AW945" s="5" t="s">
        <v>238</v>
      </c>
      <c r="AX945" s="5" t="s">
        <v>249</v>
      </c>
      <c r="AY945" s="5" t="s">
        <v>238</v>
      </c>
      <c r="BA945" s="5" t="s">
        <v>238</v>
      </c>
      <c r="BC945" s="5" t="s">
        <v>250</v>
      </c>
      <c r="BD945" s="6" t="s">
        <v>243</v>
      </c>
      <c r="BE945" s="5" t="s">
        <v>251</v>
      </c>
      <c r="BF945" s="5" t="s">
        <v>252</v>
      </c>
      <c r="BG945" s="5" t="s">
        <v>238</v>
      </c>
      <c r="BH945" s="7">
        <f>0</f>
        <v>0</v>
      </c>
      <c r="BI945" s="8">
        <f>0</f>
        <v>0</v>
      </c>
      <c r="BJ945" s="5" t="s">
        <v>253</v>
      </c>
      <c r="BK945" s="5" t="s">
        <v>254</v>
      </c>
      <c r="BY945" s="5" t="s">
        <v>238</v>
      </c>
      <c r="BZ945" s="5" t="s">
        <v>238</v>
      </c>
      <c r="CD945" s="5" t="s">
        <v>273</v>
      </c>
      <c r="CE945" s="5" t="s">
        <v>256</v>
      </c>
      <c r="CF945" s="5" t="s">
        <v>238</v>
      </c>
      <c r="CI945" s="6" t="s">
        <v>257</v>
      </c>
      <c r="CJ945" s="5" t="s">
        <v>238</v>
      </c>
      <c r="CK945" s="5" t="s">
        <v>258</v>
      </c>
      <c r="CL945" s="5" t="s">
        <v>238</v>
      </c>
      <c r="CM945" s="5" t="s">
        <v>238</v>
      </c>
      <c r="CN945" s="5">
        <v>0</v>
      </c>
      <c r="CO945" s="5" t="s">
        <v>259</v>
      </c>
      <c r="CP945" s="5" t="s">
        <v>260</v>
      </c>
      <c r="CQ945" s="5" t="s">
        <v>260</v>
      </c>
      <c r="CR945" s="5" t="s">
        <v>261</v>
      </c>
      <c r="CU945" s="8">
        <f>1</f>
        <v>1</v>
      </c>
      <c r="CV945" s="8">
        <f>0</f>
        <v>0</v>
      </c>
      <c r="CX945" s="8">
        <f>0</f>
        <v>0</v>
      </c>
      <c r="CY945" s="8">
        <f>1</f>
        <v>1</v>
      </c>
      <c r="DA945" s="5" t="s">
        <v>673</v>
      </c>
      <c r="DB945" s="5" t="s">
        <v>238</v>
      </c>
      <c r="DD945" s="5" t="s">
        <v>673</v>
      </c>
      <c r="DE945" s="8">
        <f>170</f>
        <v>170</v>
      </c>
      <c r="DG945" s="5" t="s">
        <v>238</v>
      </c>
      <c r="DH945" s="5" t="s">
        <v>238</v>
      </c>
      <c r="DI945" s="5" t="s">
        <v>238</v>
      </c>
      <c r="DJ945" s="5" t="s">
        <v>238</v>
      </c>
      <c r="DN945" s="5" t="s">
        <v>238</v>
      </c>
      <c r="DO945" s="5" t="s">
        <v>238</v>
      </c>
      <c r="DP945" s="5" t="s">
        <v>238</v>
      </c>
      <c r="DQ945" s="5" t="s">
        <v>238</v>
      </c>
      <c r="DT945" s="5" t="s">
        <v>2039</v>
      </c>
      <c r="DU945" s="5" t="s">
        <v>562</v>
      </c>
      <c r="HM945" s="5" t="s">
        <v>264</v>
      </c>
    </row>
    <row r="946" spans="1:221" x14ac:dyDescent="0.4">
      <c r="A946" s="5">
        <v>2621</v>
      </c>
      <c r="B946" s="5">
        <v>1</v>
      </c>
      <c r="C946" s="5">
        <v>1</v>
      </c>
      <c r="D946" s="5" t="s">
        <v>2037</v>
      </c>
      <c r="E946" s="5" t="s">
        <v>271</v>
      </c>
      <c r="F946" s="5" t="s">
        <v>248</v>
      </c>
      <c r="G946" s="5" t="s">
        <v>1969</v>
      </c>
      <c r="H946" s="6" t="s">
        <v>3269</v>
      </c>
      <c r="I946" s="7">
        <f>2865</f>
        <v>2865</v>
      </c>
      <c r="J946" s="5" t="s">
        <v>262</v>
      </c>
      <c r="K946" s="8">
        <f>1</f>
        <v>1</v>
      </c>
      <c r="L946" s="6" t="s">
        <v>242</v>
      </c>
      <c r="M946" s="5" t="s">
        <v>267</v>
      </c>
      <c r="N946" s="5" t="s">
        <v>265</v>
      </c>
      <c r="O946" s="5" t="s">
        <v>238</v>
      </c>
      <c r="P946" s="5" t="s">
        <v>238</v>
      </c>
      <c r="Q946" s="5" t="s">
        <v>268</v>
      </c>
      <c r="R946" s="5" t="s">
        <v>270</v>
      </c>
      <c r="S946" s="5" t="s">
        <v>238</v>
      </c>
      <c r="V946" s="5" t="s">
        <v>238</v>
      </c>
      <c r="X946" s="6" t="s">
        <v>238</v>
      </c>
      <c r="AA946" s="6" t="s">
        <v>243</v>
      </c>
      <c r="AB946" s="5" t="s">
        <v>238</v>
      </c>
      <c r="AC946" s="5" t="s">
        <v>244</v>
      </c>
      <c r="AD946" s="5" t="s">
        <v>245</v>
      </c>
      <c r="AT946" s="5" t="s">
        <v>246</v>
      </c>
      <c r="AU946" s="5" t="s">
        <v>238</v>
      </c>
      <c r="AV946" s="5" t="s">
        <v>247</v>
      </c>
      <c r="AW946" s="5" t="s">
        <v>238</v>
      </c>
      <c r="AX946" s="5" t="s">
        <v>249</v>
      </c>
      <c r="AY946" s="5" t="s">
        <v>238</v>
      </c>
      <c r="BA946" s="5" t="s">
        <v>238</v>
      </c>
      <c r="BC946" s="5" t="s">
        <v>250</v>
      </c>
      <c r="BD946" s="6" t="s">
        <v>243</v>
      </c>
      <c r="BE946" s="5" t="s">
        <v>251</v>
      </c>
      <c r="BF946" s="5" t="s">
        <v>252</v>
      </c>
      <c r="BG946" s="5" t="s">
        <v>238</v>
      </c>
      <c r="BH946" s="7">
        <f>0</f>
        <v>0</v>
      </c>
      <c r="BI946" s="8">
        <f>0</f>
        <v>0</v>
      </c>
      <c r="BJ946" s="5" t="s">
        <v>253</v>
      </c>
      <c r="BK946" s="5" t="s">
        <v>254</v>
      </c>
      <c r="BY946" s="5" t="s">
        <v>238</v>
      </c>
      <c r="BZ946" s="5" t="s">
        <v>238</v>
      </c>
      <c r="CD946" s="5" t="s">
        <v>273</v>
      </c>
      <c r="CE946" s="5" t="s">
        <v>256</v>
      </c>
      <c r="CF946" s="5" t="s">
        <v>238</v>
      </c>
      <c r="CI946" s="6" t="s">
        <v>257</v>
      </c>
      <c r="CJ946" s="5" t="s">
        <v>238</v>
      </c>
      <c r="CK946" s="5" t="s">
        <v>258</v>
      </c>
      <c r="CL946" s="5" t="s">
        <v>238</v>
      </c>
      <c r="CM946" s="5" t="s">
        <v>238</v>
      </c>
      <c r="CN946" s="5">
        <v>0</v>
      </c>
      <c r="CO946" s="5" t="s">
        <v>259</v>
      </c>
      <c r="CP946" s="5" t="s">
        <v>260</v>
      </c>
      <c r="CQ946" s="5" t="s">
        <v>260</v>
      </c>
      <c r="CR946" s="5" t="s">
        <v>261</v>
      </c>
      <c r="CU946" s="8">
        <f>1</f>
        <v>1</v>
      </c>
      <c r="CV946" s="8">
        <f>0</f>
        <v>0</v>
      </c>
      <c r="CX946" s="8">
        <f>0</f>
        <v>0</v>
      </c>
      <c r="CY946" s="8">
        <f>1</f>
        <v>1</v>
      </c>
      <c r="DA946" s="5" t="s">
        <v>673</v>
      </c>
      <c r="DB946" s="5" t="s">
        <v>238</v>
      </c>
      <c r="DD946" s="5" t="s">
        <v>673</v>
      </c>
      <c r="DE946" s="8">
        <f>2865</f>
        <v>2865</v>
      </c>
      <c r="DG946" s="5" t="s">
        <v>238</v>
      </c>
      <c r="DH946" s="5" t="s">
        <v>238</v>
      </c>
      <c r="DI946" s="5" t="s">
        <v>238</v>
      </c>
      <c r="DJ946" s="5" t="s">
        <v>238</v>
      </c>
      <c r="DN946" s="5" t="s">
        <v>238</v>
      </c>
      <c r="DO946" s="5" t="s">
        <v>238</v>
      </c>
      <c r="DP946" s="5" t="s">
        <v>238</v>
      </c>
      <c r="DQ946" s="5" t="s">
        <v>238</v>
      </c>
      <c r="DT946" s="5" t="s">
        <v>2039</v>
      </c>
      <c r="DU946" s="5" t="s">
        <v>566</v>
      </c>
      <c r="HM946" s="5" t="s">
        <v>264</v>
      </c>
    </row>
    <row r="947" spans="1:221" x14ac:dyDescent="0.4">
      <c r="A947" s="5">
        <v>2622</v>
      </c>
      <c r="B947" s="5">
        <v>1</v>
      </c>
      <c r="C947" s="5">
        <v>1</v>
      </c>
      <c r="D947" s="5" t="s">
        <v>2037</v>
      </c>
      <c r="E947" s="5" t="s">
        <v>271</v>
      </c>
      <c r="F947" s="5" t="s">
        <v>248</v>
      </c>
      <c r="G947" s="5" t="s">
        <v>1969</v>
      </c>
      <c r="H947" s="6" t="s">
        <v>3268</v>
      </c>
      <c r="I947" s="7">
        <f>2018</f>
        <v>2018</v>
      </c>
      <c r="J947" s="5" t="s">
        <v>262</v>
      </c>
      <c r="K947" s="8">
        <f>1</f>
        <v>1</v>
      </c>
      <c r="L947" s="6" t="s">
        <v>242</v>
      </c>
      <c r="M947" s="5" t="s">
        <v>267</v>
      </c>
      <c r="N947" s="5" t="s">
        <v>265</v>
      </c>
      <c r="O947" s="5" t="s">
        <v>238</v>
      </c>
      <c r="P947" s="5" t="s">
        <v>238</v>
      </c>
      <c r="Q947" s="5" t="s">
        <v>268</v>
      </c>
      <c r="R947" s="5" t="s">
        <v>270</v>
      </c>
      <c r="S947" s="5" t="s">
        <v>238</v>
      </c>
      <c r="V947" s="5" t="s">
        <v>238</v>
      </c>
      <c r="X947" s="6" t="s">
        <v>238</v>
      </c>
      <c r="AA947" s="6" t="s">
        <v>243</v>
      </c>
      <c r="AB947" s="5" t="s">
        <v>238</v>
      </c>
      <c r="AC947" s="5" t="s">
        <v>244</v>
      </c>
      <c r="AD947" s="5" t="s">
        <v>245</v>
      </c>
      <c r="AT947" s="5" t="s">
        <v>246</v>
      </c>
      <c r="AU947" s="5" t="s">
        <v>238</v>
      </c>
      <c r="AV947" s="5" t="s">
        <v>247</v>
      </c>
      <c r="AW947" s="5" t="s">
        <v>238</v>
      </c>
      <c r="AX947" s="5" t="s">
        <v>249</v>
      </c>
      <c r="AY947" s="5" t="s">
        <v>238</v>
      </c>
      <c r="BA947" s="5" t="s">
        <v>238</v>
      </c>
      <c r="BC947" s="5" t="s">
        <v>250</v>
      </c>
      <c r="BD947" s="6" t="s">
        <v>243</v>
      </c>
      <c r="BE947" s="5" t="s">
        <v>251</v>
      </c>
      <c r="BF947" s="5" t="s">
        <v>252</v>
      </c>
      <c r="BG947" s="5" t="s">
        <v>238</v>
      </c>
      <c r="BH947" s="7">
        <f>0</f>
        <v>0</v>
      </c>
      <c r="BI947" s="8">
        <f>0</f>
        <v>0</v>
      </c>
      <c r="BJ947" s="5" t="s">
        <v>253</v>
      </c>
      <c r="BK947" s="5" t="s">
        <v>254</v>
      </c>
      <c r="BY947" s="5" t="s">
        <v>238</v>
      </c>
      <c r="BZ947" s="5" t="s">
        <v>238</v>
      </c>
      <c r="CD947" s="5" t="s">
        <v>273</v>
      </c>
      <c r="CE947" s="5" t="s">
        <v>256</v>
      </c>
      <c r="CF947" s="5" t="s">
        <v>238</v>
      </c>
      <c r="CI947" s="6" t="s">
        <v>257</v>
      </c>
      <c r="CJ947" s="5" t="s">
        <v>238</v>
      </c>
      <c r="CK947" s="5" t="s">
        <v>258</v>
      </c>
      <c r="CL947" s="5" t="s">
        <v>238</v>
      </c>
      <c r="CM947" s="5" t="s">
        <v>238</v>
      </c>
      <c r="CN947" s="5">
        <v>0</v>
      </c>
      <c r="CO947" s="5" t="s">
        <v>259</v>
      </c>
      <c r="CP947" s="5" t="s">
        <v>260</v>
      </c>
      <c r="CQ947" s="5" t="s">
        <v>260</v>
      </c>
      <c r="CR947" s="5" t="s">
        <v>261</v>
      </c>
      <c r="CU947" s="8">
        <f>1</f>
        <v>1</v>
      </c>
      <c r="CV947" s="8">
        <f>0</f>
        <v>0</v>
      </c>
      <c r="CX947" s="8">
        <f>0</f>
        <v>0</v>
      </c>
      <c r="CY947" s="8">
        <f>1</f>
        <v>1</v>
      </c>
      <c r="DA947" s="5" t="s">
        <v>673</v>
      </c>
      <c r="DB947" s="5" t="s">
        <v>238</v>
      </c>
      <c r="DD947" s="5" t="s">
        <v>673</v>
      </c>
      <c r="DE947" s="8">
        <f>2018</f>
        <v>2018</v>
      </c>
      <c r="DG947" s="5" t="s">
        <v>238</v>
      </c>
      <c r="DH947" s="5" t="s">
        <v>238</v>
      </c>
      <c r="DI947" s="5" t="s">
        <v>238</v>
      </c>
      <c r="DJ947" s="5" t="s">
        <v>238</v>
      </c>
      <c r="DN947" s="5" t="s">
        <v>238</v>
      </c>
      <c r="DO947" s="5" t="s">
        <v>238</v>
      </c>
      <c r="DP947" s="5" t="s">
        <v>238</v>
      </c>
      <c r="DQ947" s="5" t="s">
        <v>238</v>
      </c>
      <c r="DT947" s="5" t="s">
        <v>2039</v>
      </c>
      <c r="DU947" s="5" t="s">
        <v>568</v>
      </c>
      <c r="HM947" s="5" t="s">
        <v>264</v>
      </c>
    </row>
    <row r="948" spans="1:221" x14ac:dyDescent="0.4">
      <c r="A948" s="5">
        <v>2623</v>
      </c>
      <c r="B948" s="5">
        <v>1</v>
      </c>
      <c r="C948" s="5">
        <v>1</v>
      </c>
      <c r="D948" s="5" t="s">
        <v>2037</v>
      </c>
      <c r="E948" s="5" t="s">
        <v>271</v>
      </c>
      <c r="F948" s="5" t="s">
        <v>248</v>
      </c>
      <c r="G948" s="5" t="s">
        <v>1969</v>
      </c>
      <c r="H948" s="6" t="s">
        <v>3267</v>
      </c>
      <c r="I948" s="7">
        <f>145</f>
        <v>145</v>
      </c>
      <c r="J948" s="5" t="s">
        <v>262</v>
      </c>
      <c r="K948" s="8">
        <f>1</f>
        <v>1</v>
      </c>
      <c r="L948" s="6" t="s">
        <v>242</v>
      </c>
      <c r="M948" s="5" t="s">
        <v>267</v>
      </c>
      <c r="N948" s="5" t="s">
        <v>265</v>
      </c>
      <c r="O948" s="5" t="s">
        <v>238</v>
      </c>
      <c r="P948" s="5" t="s">
        <v>238</v>
      </c>
      <c r="Q948" s="5" t="s">
        <v>268</v>
      </c>
      <c r="R948" s="5" t="s">
        <v>270</v>
      </c>
      <c r="S948" s="5" t="s">
        <v>238</v>
      </c>
      <c r="V948" s="5" t="s">
        <v>238</v>
      </c>
      <c r="X948" s="6" t="s">
        <v>238</v>
      </c>
      <c r="AA948" s="6" t="s">
        <v>243</v>
      </c>
      <c r="AB948" s="5" t="s">
        <v>238</v>
      </c>
      <c r="AC948" s="5" t="s">
        <v>244</v>
      </c>
      <c r="AD948" s="5" t="s">
        <v>245</v>
      </c>
      <c r="AT948" s="5" t="s">
        <v>246</v>
      </c>
      <c r="AU948" s="5" t="s">
        <v>238</v>
      </c>
      <c r="AV948" s="5" t="s">
        <v>247</v>
      </c>
      <c r="AW948" s="5" t="s">
        <v>238</v>
      </c>
      <c r="AX948" s="5" t="s">
        <v>249</v>
      </c>
      <c r="AY948" s="5" t="s">
        <v>238</v>
      </c>
      <c r="BA948" s="5" t="s">
        <v>238</v>
      </c>
      <c r="BC948" s="5" t="s">
        <v>250</v>
      </c>
      <c r="BD948" s="6" t="s">
        <v>243</v>
      </c>
      <c r="BE948" s="5" t="s">
        <v>251</v>
      </c>
      <c r="BF948" s="5" t="s">
        <v>252</v>
      </c>
      <c r="BG948" s="5" t="s">
        <v>238</v>
      </c>
      <c r="BH948" s="7">
        <f>0</f>
        <v>0</v>
      </c>
      <c r="BI948" s="8">
        <f>0</f>
        <v>0</v>
      </c>
      <c r="BJ948" s="5" t="s">
        <v>253</v>
      </c>
      <c r="BK948" s="5" t="s">
        <v>254</v>
      </c>
      <c r="BY948" s="5" t="s">
        <v>238</v>
      </c>
      <c r="BZ948" s="5" t="s">
        <v>238</v>
      </c>
      <c r="CD948" s="5" t="s">
        <v>273</v>
      </c>
      <c r="CE948" s="5" t="s">
        <v>256</v>
      </c>
      <c r="CF948" s="5" t="s">
        <v>238</v>
      </c>
      <c r="CI948" s="6" t="s">
        <v>257</v>
      </c>
      <c r="CJ948" s="5" t="s">
        <v>238</v>
      </c>
      <c r="CK948" s="5" t="s">
        <v>258</v>
      </c>
      <c r="CL948" s="5" t="s">
        <v>238</v>
      </c>
      <c r="CM948" s="5" t="s">
        <v>238</v>
      </c>
      <c r="CN948" s="5">
        <v>0</v>
      </c>
      <c r="CO948" s="5" t="s">
        <v>259</v>
      </c>
      <c r="CP948" s="5" t="s">
        <v>260</v>
      </c>
      <c r="CQ948" s="5" t="s">
        <v>260</v>
      </c>
      <c r="CR948" s="5" t="s">
        <v>261</v>
      </c>
      <c r="CU948" s="8">
        <f>1</f>
        <v>1</v>
      </c>
      <c r="CV948" s="8">
        <f>0</f>
        <v>0</v>
      </c>
      <c r="CX948" s="8">
        <f>0</f>
        <v>0</v>
      </c>
      <c r="CY948" s="8">
        <f>1</f>
        <v>1</v>
      </c>
      <c r="DA948" s="5" t="s">
        <v>673</v>
      </c>
      <c r="DB948" s="5" t="s">
        <v>238</v>
      </c>
      <c r="DD948" s="5" t="s">
        <v>673</v>
      </c>
      <c r="DE948" s="8">
        <f>145</f>
        <v>145</v>
      </c>
      <c r="DG948" s="5" t="s">
        <v>238</v>
      </c>
      <c r="DH948" s="5" t="s">
        <v>238</v>
      </c>
      <c r="DI948" s="5" t="s">
        <v>238</v>
      </c>
      <c r="DJ948" s="5" t="s">
        <v>238</v>
      </c>
      <c r="DN948" s="5" t="s">
        <v>238</v>
      </c>
      <c r="DO948" s="5" t="s">
        <v>238</v>
      </c>
      <c r="DP948" s="5" t="s">
        <v>238</v>
      </c>
      <c r="DQ948" s="5" t="s">
        <v>238</v>
      </c>
      <c r="DT948" s="5" t="s">
        <v>2039</v>
      </c>
      <c r="DU948" s="5" t="s">
        <v>570</v>
      </c>
      <c r="HM948" s="5" t="s">
        <v>264</v>
      </c>
    </row>
    <row r="949" spans="1:221" x14ac:dyDescent="0.4">
      <c r="A949" s="5">
        <v>2624</v>
      </c>
      <c r="B949" s="5">
        <v>1</v>
      </c>
      <c r="C949" s="5">
        <v>1</v>
      </c>
      <c r="D949" s="5" t="s">
        <v>2037</v>
      </c>
      <c r="E949" s="5" t="s">
        <v>271</v>
      </c>
      <c r="F949" s="5" t="s">
        <v>248</v>
      </c>
      <c r="G949" s="5" t="s">
        <v>1969</v>
      </c>
      <c r="H949" s="6" t="s">
        <v>2325</v>
      </c>
      <c r="I949" s="7">
        <f>1760</f>
        <v>1760</v>
      </c>
      <c r="J949" s="5" t="s">
        <v>262</v>
      </c>
      <c r="K949" s="8">
        <f>1</f>
        <v>1</v>
      </c>
      <c r="L949" s="6" t="s">
        <v>242</v>
      </c>
      <c r="M949" s="5" t="s">
        <v>267</v>
      </c>
      <c r="N949" s="5" t="s">
        <v>265</v>
      </c>
      <c r="O949" s="5" t="s">
        <v>238</v>
      </c>
      <c r="P949" s="5" t="s">
        <v>238</v>
      </c>
      <c r="Q949" s="5" t="s">
        <v>268</v>
      </c>
      <c r="R949" s="5" t="s">
        <v>270</v>
      </c>
      <c r="S949" s="5" t="s">
        <v>238</v>
      </c>
      <c r="V949" s="5" t="s">
        <v>238</v>
      </c>
      <c r="X949" s="6" t="s">
        <v>238</v>
      </c>
      <c r="AA949" s="6" t="s">
        <v>243</v>
      </c>
      <c r="AB949" s="5" t="s">
        <v>238</v>
      </c>
      <c r="AC949" s="5" t="s">
        <v>244</v>
      </c>
      <c r="AD949" s="5" t="s">
        <v>245</v>
      </c>
      <c r="AT949" s="5" t="s">
        <v>246</v>
      </c>
      <c r="AU949" s="5" t="s">
        <v>238</v>
      </c>
      <c r="AV949" s="5" t="s">
        <v>247</v>
      </c>
      <c r="AW949" s="5" t="s">
        <v>238</v>
      </c>
      <c r="AX949" s="5" t="s">
        <v>249</v>
      </c>
      <c r="AY949" s="5" t="s">
        <v>238</v>
      </c>
      <c r="BA949" s="5" t="s">
        <v>238</v>
      </c>
      <c r="BC949" s="5" t="s">
        <v>250</v>
      </c>
      <c r="BD949" s="6" t="s">
        <v>243</v>
      </c>
      <c r="BE949" s="5" t="s">
        <v>251</v>
      </c>
      <c r="BF949" s="5" t="s">
        <v>252</v>
      </c>
      <c r="BG949" s="5" t="s">
        <v>238</v>
      </c>
      <c r="BH949" s="7">
        <f>0</f>
        <v>0</v>
      </c>
      <c r="BI949" s="8">
        <f>0</f>
        <v>0</v>
      </c>
      <c r="BJ949" s="5" t="s">
        <v>253</v>
      </c>
      <c r="BK949" s="5" t="s">
        <v>254</v>
      </c>
      <c r="BY949" s="5" t="s">
        <v>238</v>
      </c>
      <c r="BZ949" s="5" t="s">
        <v>238</v>
      </c>
      <c r="CD949" s="5" t="s">
        <v>273</v>
      </c>
      <c r="CE949" s="5" t="s">
        <v>256</v>
      </c>
      <c r="CF949" s="5" t="s">
        <v>238</v>
      </c>
      <c r="CI949" s="6" t="s">
        <v>257</v>
      </c>
      <c r="CJ949" s="5" t="s">
        <v>238</v>
      </c>
      <c r="CK949" s="5" t="s">
        <v>258</v>
      </c>
      <c r="CL949" s="5" t="s">
        <v>238</v>
      </c>
      <c r="CM949" s="5" t="s">
        <v>238</v>
      </c>
      <c r="CN949" s="5">
        <v>0</v>
      </c>
      <c r="CO949" s="5" t="s">
        <v>259</v>
      </c>
      <c r="CP949" s="5" t="s">
        <v>260</v>
      </c>
      <c r="CQ949" s="5" t="s">
        <v>260</v>
      </c>
      <c r="CR949" s="5" t="s">
        <v>261</v>
      </c>
      <c r="CU949" s="8">
        <f>1</f>
        <v>1</v>
      </c>
      <c r="CV949" s="8">
        <f>0</f>
        <v>0</v>
      </c>
      <c r="CX949" s="8">
        <f>0</f>
        <v>0</v>
      </c>
      <c r="CY949" s="8">
        <f>1</f>
        <v>1</v>
      </c>
      <c r="DA949" s="5" t="s">
        <v>673</v>
      </c>
      <c r="DB949" s="5" t="s">
        <v>238</v>
      </c>
      <c r="DD949" s="5" t="s">
        <v>673</v>
      </c>
      <c r="DE949" s="8">
        <f>1760</f>
        <v>1760</v>
      </c>
      <c r="DG949" s="5" t="s">
        <v>238</v>
      </c>
      <c r="DH949" s="5" t="s">
        <v>238</v>
      </c>
      <c r="DI949" s="5" t="s">
        <v>238</v>
      </c>
      <c r="DJ949" s="5" t="s">
        <v>238</v>
      </c>
      <c r="DN949" s="5" t="s">
        <v>238</v>
      </c>
      <c r="DO949" s="5" t="s">
        <v>238</v>
      </c>
      <c r="DP949" s="5" t="s">
        <v>238</v>
      </c>
      <c r="DQ949" s="5" t="s">
        <v>238</v>
      </c>
      <c r="DT949" s="5" t="s">
        <v>2039</v>
      </c>
      <c r="DU949" s="5" t="s">
        <v>574</v>
      </c>
      <c r="HM949" s="5" t="s">
        <v>264</v>
      </c>
    </row>
    <row r="950" spans="1:221" x14ac:dyDescent="0.4">
      <c r="A950" s="5">
        <v>2625</v>
      </c>
      <c r="B950" s="5">
        <v>1</v>
      </c>
      <c r="C950" s="5">
        <v>1</v>
      </c>
      <c r="D950" s="5" t="s">
        <v>2037</v>
      </c>
      <c r="E950" s="5" t="s">
        <v>271</v>
      </c>
      <c r="F950" s="5" t="s">
        <v>248</v>
      </c>
      <c r="G950" s="5" t="s">
        <v>1969</v>
      </c>
      <c r="H950" s="6" t="s">
        <v>3266</v>
      </c>
      <c r="I950" s="7">
        <f>714</f>
        <v>714</v>
      </c>
      <c r="J950" s="5" t="s">
        <v>262</v>
      </c>
      <c r="K950" s="8">
        <f>1</f>
        <v>1</v>
      </c>
      <c r="L950" s="6" t="s">
        <v>242</v>
      </c>
      <c r="M950" s="5" t="s">
        <v>267</v>
      </c>
      <c r="N950" s="5" t="s">
        <v>265</v>
      </c>
      <c r="O950" s="5" t="s">
        <v>238</v>
      </c>
      <c r="P950" s="5" t="s">
        <v>238</v>
      </c>
      <c r="Q950" s="5" t="s">
        <v>268</v>
      </c>
      <c r="R950" s="5" t="s">
        <v>270</v>
      </c>
      <c r="S950" s="5" t="s">
        <v>238</v>
      </c>
      <c r="V950" s="5" t="s">
        <v>238</v>
      </c>
      <c r="X950" s="6" t="s">
        <v>238</v>
      </c>
      <c r="AA950" s="6" t="s">
        <v>243</v>
      </c>
      <c r="AB950" s="5" t="s">
        <v>238</v>
      </c>
      <c r="AC950" s="5" t="s">
        <v>244</v>
      </c>
      <c r="AD950" s="5" t="s">
        <v>245</v>
      </c>
      <c r="AT950" s="5" t="s">
        <v>246</v>
      </c>
      <c r="AU950" s="5" t="s">
        <v>238</v>
      </c>
      <c r="AV950" s="5" t="s">
        <v>247</v>
      </c>
      <c r="AW950" s="5" t="s">
        <v>238</v>
      </c>
      <c r="AX950" s="5" t="s">
        <v>249</v>
      </c>
      <c r="AY950" s="5" t="s">
        <v>238</v>
      </c>
      <c r="BA950" s="5" t="s">
        <v>238</v>
      </c>
      <c r="BC950" s="5" t="s">
        <v>250</v>
      </c>
      <c r="BD950" s="6" t="s">
        <v>243</v>
      </c>
      <c r="BE950" s="5" t="s">
        <v>251</v>
      </c>
      <c r="BF950" s="5" t="s">
        <v>252</v>
      </c>
      <c r="BG950" s="5" t="s">
        <v>238</v>
      </c>
      <c r="BH950" s="7">
        <f>0</f>
        <v>0</v>
      </c>
      <c r="BI950" s="8">
        <f>0</f>
        <v>0</v>
      </c>
      <c r="BJ950" s="5" t="s">
        <v>253</v>
      </c>
      <c r="BK950" s="5" t="s">
        <v>254</v>
      </c>
      <c r="BY950" s="5" t="s">
        <v>238</v>
      </c>
      <c r="BZ950" s="5" t="s">
        <v>238</v>
      </c>
      <c r="CD950" s="5" t="s">
        <v>273</v>
      </c>
      <c r="CE950" s="5" t="s">
        <v>256</v>
      </c>
      <c r="CF950" s="5" t="s">
        <v>238</v>
      </c>
      <c r="CI950" s="6" t="s">
        <v>257</v>
      </c>
      <c r="CJ950" s="5" t="s">
        <v>238</v>
      </c>
      <c r="CK950" s="5" t="s">
        <v>258</v>
      </c>
      <c r="CL950" s="5" t="s">
        <v>238</v>
      </c>
      <c r="CM950" s="5" t="s">
        <v>238</v>
      </c>
      <c r="CN950" s="5">
        <v>0</v>
      </c>
      <c r="CO950" s="5" t="s">
        <v>259</v>
      </c>
      <c r="CP950" s="5" t="s">
        <v>260</v>
      </c>
      <c r="CQ950" s="5" t="s">
        <v>260</v>
      </c>
      <c r="CR950" s="5" t="s">
        <v>261</v>
      </c>
      <c r="CU950" s="8">
        <f>1</f>
        <v>1</v>
      </c>
      <c r="CV950" s="8">
        <f>0</f>
        <v>0</v>
      </c>
      <c r="CX950" s="8">
        <f>0</f>
        <v>0</v>
      </c>
      <c r="CY950" s="8">
        <f>1</f>
        <v>1</v>
      </c>
      <c r="DA950" s="5" t="s">
        <v>673</v>
      </c>
      <c r="DB950" s="5" t="s">
        <v>238</v>
      </c>
      <c r="DD950" s="5" t="s">
        <v>673</v>
      </c>
      <c r="DE950" s="8">
        <f>714</f>
        <v>714</v>
      </c>
      <c r="DG950" s="5" t="s">
        <v>238</v>
      </c>
      <c r="DH950" s="5" t="s">
        <v>238</v>
      </c>
      <c r="DI950" s="5" t="s">
        <v>238</v>
      </c>
      <c r="DJ950" s="5" t="s">
        <v>238</v>
      </c>
      <c r="DN950" s="5" t="s">
        <v>238</v>
      </c>
      <c r="DO950" s="5" t="s">
        <v>238</v>
      </c>
      <c r="DP950" s="5" t="s">
        <v>238</v>
      </c>
      <c r="DQ950" s="5" t="s">
        <v>238</v>
      </c>
      <c r="DT950" s="5" t="s">
        <v>2039</v>
      </c>
      <c r="DU950" s="5" t="s">
        <v>576</v>
      </c>
      <c r="HM950" s="5" t="s">
        <v>264</v>
      </c>
    </row>
    <row r="951" spans="1:221" x14ac:dyDescent="0.4">
      <c r="A951" s="5">
        <v>2626</v>
      </c>
      <c r="B951" s="5">
        <v>1</v>
      </c>
      <c r="C951" s="5">
        <v>1</v>
      </c>
      <c r="D951" s="5" t="s">
        <v>2037</v>
      </c>
      <c r="E951" s="5" t="s">
        <v>271</v>
      </c>
      <c r="F951" s="5" t="s">
        <v>248</v>
      </c>
      <c r="G951" s="5" t="s">
        <v>1969</v>
      </c>
      <c r="H951" s="6" t="s">
        <v>3265</v>
      </c>
      <c r="I951" s="7">
        <f>1359</f>
        <v>1359</v>
      </c>
      <c r="J951" s="5" t="s">
        <v>262</v>
      </c>
      <c r="K951" s="8">
        <f>1</f>
        <v>1</v>
      </c>
      <c r="L951" s="6" t="s">
        <v>242</v>
      </c>
      <c r="M951" s="5" t="s">
        <v>267</v>
      </c>
      <c r="N951" s="5" t="s">
        <v>265</v>
      </c>
      <c r="O951" s="5" t="s">
        <v>238</v>
      </c>
      <c r="P951" s="5" t="s">
        <v>238</v>
      </c>
      <c r="Q951" s="5" t="s">
        <v>268</v>
      </c>
      <c r="R951" s="5" t="s">
        <v>270</v>
      </c>
      <c r="S951" s="5" t="s">
        <v>238</v>
      </c>
      <c r="V951" s="5" t="s">
        <v>238</v>
      </c>
      <c r="X951" s="6" t="s">
        <v>238</v>
      </c>
      <c r="AA951" s="6" t="s">
        <v>243</v>
      </c>
      <c r="AB951" s="5" t="s">
        <v>238</v>
      </c>
      <c r="AC951" s="5" t="s">
        <v>244</v>
      </c>
      <c r="AD951" s="5" t="s">
        <v>245</v>
      </c>
      <c r="AT951" s="5" t="s">
        <v>246</v>
      </c>
      <c r="AU951" s="5" t="s">
        <v>238</v>
      </c>
      <c r="AV951" s="5" t="s">
        <v>247</v>
      </c>
      <c r="AW951" s="5" t="s">
        <v>238</v>
      </c>
      <c r="AX951" s="5" t="s">
        <v>249</v>
      </c>
      <c r="AY951" s="5" t="s">
        <v>238</v>
      </c>
      <c r="BA951" s="5" t="s">
        <v>238</v>
      </c>
      <c r="BC951" s="5" t="s">
        <v>250</v>
      </c>
      <c r="BD951" s="6" t="s">
        <v>243</v>
      </c>
      <c r="BE951" s="5" t="s">
        <v>251</v>
      </c>
      <c r="BF951" s="5" t="s">
        <v>252</v>
      </c>
      <c r="BG951" s="5" t="s">
        <v>238</v>
      </c>
      <c r="BH951" s="7">
        <f>0</f>
        <v>0</v>
      </c>
      <c r="BI951" s="8">
        <f>0</f>
        <v>0</v>
      </c>
      <c r="BJ951" s="5" t="s">
        <v>253</v>
      </c>
      <c r="BK951" s="5" t="s">
        <v>254</v>
      </c>
      <c r="BY951" s="5" t="s">
        <v>238</v>
      </c>
      <c r="BZ951" s="5" t="s">
        <v>238</v>
      </c>
      <c r="CD951" s="5" t="s">
        <v>273</v>
      </c>
      <c r="CE951" s="5" t="s">
        <v>256</v>
      </c>
      <c r="CF951" s="5" t="s">
        <v>238</v>
      </c>
      <c r="CI951" s="6" t="s">
        <v>257</v>
      </c>
      <c r="CJ951" s="5" t="s">
        <v>238</v>
      </c>
      <c r="CK951" s="5" t="s">
        <v>258</v>
      </c>
      <c r="CL951" s="5" t="s">
        <v>238</v>
      </c>
      <c r="CM951" s="5" t="s">
        <v>238</v>
      </c>
      <c r="CN951" s="5">
        <v>0</v>
      </c>
      <c r="CO951" s="5" t="s">
        <v>259</v>
      </c>
      <c r="CP951" s="5" t="s">
        <v>260</v>
      </c>
      <c r="CQ951" s="5" t="s">
        <v>260</v>
      </c>
      <c r="CR951" s="5" t="s">
        <v>261</v>
      </c>
      <c r="CU951" s="8">
        <f>1</f>
        <v>1</v>
      </c>
      <c r="CV951" s="8">
        <f>0</f>
        <v>0</v>
      </c>
      <c r="CX951" s="8">
        <f>0</f>
        <v>0</v>
      </c>
      <c r="CY951" s="8">
        <f>1</f>
        <v>1</v>
      </c>
      <c r="DA951" s="5" t="s">
        <v>673</v>
      </c>
      <c r="DB951" s="5" t="s">
        <v>238</v>
      </c>
      <c r="DD951" s="5" t="s">
        <v>673</v>
      </c>
      <c r="DE951" s="8">
        <f>1359</f>
        <v>1359</v>
      </c>
      <c r="DG951" s="5" t="s">
        <v>238</v>
      </c>
      <c r="DH951" s="5" t="s">
        <v>238</v>
      </c>
      <c r="DI951" s="5" t="s">
        <v>238</v>
      </c>
      <c r="DJ951" s="5" t="s">
        <v>238</v>
      </c>
      <c r="DN951" s="5" t="s">
        <v>238</v>
      </c>
      <c r="DO951" s="5" t="s">
        <v>238</v>
      </c>
      <c r="DP951" s="5" t="s">
        <v>238</v>
      </c>
      <c r="DQ951" s="5" t="s">
        <v>238</v>
      </c>
      <c r="DT951" s="5" t="s">
        <v>2039</v>
      </c>
      <c r="DU951" s="5" t="s">
        <v>580</v>
      </c>
      <c r="HM951" s="5" t="s">
        <v>264</v>
      </c>
    </row>
    <row r="952" spans="1:221" x14ac:dyDescent="0.4">
      <c r="A952" s="5">
        <v>2627</v>
      </c>
      <c r="B952" s="5">
        <v>1</v>
      </c>
      <c r="C952" s="5">
        <v>1</v>
      </c>
      <c r="D952" s="5" t="s">
        <v>2037</v>
      </c>
      <c r="E952" s="5" t="s">
        <v>271</v>
      </c>
      <c r="F952" s="5" t="s">
        <v>248</v>
      </c>
      <c r="G952" s="5" t="s">
        <v>1969</v>
      </c>
      <c r="H952" s="6" t="s">
        <v>3264</v>
      </c>
      <c r="I952" s="7">
        <f>4721</f>
        <v>4721</v>
      </c>
      <c r="J952" s="5" t="s">
        <v>262</v>
      </c>
      <c r="K952" s="8">
        <f>1</f>
        <v>1</v>
      </c>
      <c r="L952" s="6" t="s">
        <v>242</v>
      </c>
      <c r="M952" s="5" t="s">
        <v>267</v>
      </c>
      <c r="N952" s="5" t="s">
        <v>265</v>
      </c>
      <c r="O952" s="5" t="s">
        <v>238</v>
      </c>
      <c r="P952" s="5" t="s">
        <v>238</v>
      </c>
      <c r="Q952" s="5" t="s">
        <v>268</v>
      </c>
      <c r="R952" s="5" t="s">
        <v>270</v>
      </c>
      <c r="S952" s="5" t="s">
        <v>238</v>
      </c>
      <c r="V952" s="5" t="s">
        <v>238</v>
      </c>
      <c r="X952" s="6" t="s">
        <v>238</v>
      </c>
      <c r="AA952" s="6" t="s">
        <v>243</v>
      </c>
      <c r="AB952" s="5" t="s">
        <v>238</v>
      </c>
      <c r="AC952" s="5" t="s">
        <v>244</v>
      </c>
      <c r="AD952" s="5" t="s">
        <v>245</v>
      </c>
      <c r="AT952" s="5" t="s">
        <v>246</v>
      </c>
      <c r="AU952" s="5" t="s">
        <v>238</v>
      </c>
      <c r="AV952" s="5" t="s">
        <v>247</v>
      </c>
      <c r="AW952" s="5" t="s">
        <v>238</v>
      </c>
      <c r="AX952" s="5" t="s">
        <v>249</v>
      </c>
      <c r="AY952" s="5" t="s">
        <v>238</v>
      </c>
      <c r="BA952" s="5" t="s">
        <v>238</v>
      </c>
      <c r="BC952" s="5" t="s">
        <v>250</v>
      </c>
      <c r="BD952" s="6" t="s">
        <v>243</v>
      </c>
      <c r="BE952" s="5" t="s">
        <v>251</v>
      </c>
      <c r="BF952" s="5" t="s">
        <v>252</v>
      </c>
      <c r="BG952" s="5" t="s">
        <v>238</v>
      </c>
      <c r="BH952" s="7">
        <f>0</f>
        <v>0</v>
      </c>
      <c r="BI952" s="8">
        <f>0</f>
        <v>0</v>
      </c>
      <c r="BJ952" s="5" t="s">
        <v>253</v>
      </c>
      <c r="BK952" s="5" t="s">
        <v>254</v>
      </c>
      <c r="BY952" s="5" t="s">
        <v>238</v>
      </c>
      <c r="BZ952" s="5" t="s">
        <v>238</v>
      </c>
      <c r="CD952" s="5" t="s">
        <v>273</v>
      </c>
      <c r="CE952" s="5" t="s">
        <v>256</v>
      </c>
      <c r="CF952" s="5" t="s">
        <v>238</v>
      </c>
      <c r="CI952" s="6" t="s">
        <v>257</v>
      </c>
      <c r="CJ952" s="5" t="s">
        <v>238</v>
      </c>
      <c r="CK952" s="5" t="s">
        <v>258</v>
      </c>
      <c r="CL952" s="5" t="s">
        <v>238</v>
      </c>
      <c r="CM952" s="5" t="s">
        <v>238</v>
      </c>
      <c r="CN952" s="5">
        <v>0</v>
      </c>
      <c r="CO952" s="5" t="s">
        <v>259</v>
      </c>
      <c r="CP952" s="5" t="s">
        <v>260</v>
      </c>
      <c r="CQ952" s="5" t="s">
        <v>260</v>
      </c>
      <c r="CR952" s="5" t="s">
        <v>261</v>
      </c>
      <c r="CU952" s="8">
        <f>1</f>
        <v>1</v>
      </c>
      <c r="CV952" s="8">
        <f>0</f>
        <v>0</v>
      </c>
      <c r="CX952" s="8">
        <f>0</f>
        <v>0</v>
      </c>
      <c r="CY952" s="8">
        <f>1</f>
        <v>1</v>
      </c>
      <c r="DA952" s="5" t="s">
        <v>673</v>
      </c>
      <c r="DB952" s="5" t="s">
        <v>238</v>
      </c>
      <c r="DD952" s="5" t="s">
        <v>673</v>
      </c>
      <c r="DE952" s="8">
        <f>4721</f>
        <v>4721</v>
      </c>
      <c r="DG952" s="5" t="s">
        <v>238</v>
      </c>
      <c r="DH952" s="5" t="s">
        <v>238</v>
      </c>
      <c r="DI952" s="5" t="s">
        <v>238</v>
      </c>
      <c r="DJ952" s="5" t="s">
        <v>238</v>
      </c>
      <c r="DN952" s="5" t="s">
        <v>238</v>
      </c>
      <c r="DO952" s="5" t="s">
        <v>238</v>
      </c>
      <c r="DP952" s="5" t="s">
        <v>238</v>
      </c>
      <c r="DQ952" s="5" t="s">
        <v>238</v>
      </c>
      <c r="DT952" s="5" t="s">
        <v>2039</v>
      </c>
      <c r="DU952" s="5" t="s">
        <v>584</v>
      </c>
      <c r="HM952" s="5" t="s">
        <v>264</v>
      </c>
    </row>
    <row r="953" spans="1:221" x14ac:dyDescent="0.4">
      <c r="A953" s="5">
        <v>2628</v>
      </c>
      <c r="B953" s="5">
        <v>1</v>
      </c>
      <c r="C953" s="5">
        <v>1</v>
      </c>
      <c r="D953" s="5" t="s">
        <v>2037</v>
      </c>
      <c r="E953" s="5" t="s">
        <v>271</v>
      </c>
      <c r="F953" s="5" t="s">
        <v>248</v>
      </c>
      <c r="G953" s="5" t="s">
        <v>1969</v>
      </c>
      <c r="H953" s="6" t="s">
        <v>3263</v>
      </c>
      <c r="I953" s="7">
        <f>5722</f>
        <v>5722</v>
      </c>
      <c r="J953" s="5" t="s">
        <v>262</v>
      </c>
      <c r="K953" s="8">
        <f>1</f>
        <v>1</v>
      </c>
      <c r="L953" s="6" t="s">
        <v>242</v>
      </c>
      <c r="M953" s="5" t="s">
        <v>267</v>
      </c>
      <c r="N953" s="5" t="s">
        <v>265</v>
      </c>
      <c r="O953" s="5" t="s">
        <v>238</v>
      </c>
      <c r="P953" s="5" t="s">
        <v>238</v>
      </c>
      <c r="Q953" s="5" t="s">
        <v>268</v>
      </c>
      <c r="R953" s="5" t="s">
        <v>270</v>
      </c>
      <c r="S953" s="5" t="s">
        <v>238</v>
      </c>
      <c r="V953" s="5" t="s">
        <v>238</v>
      </c>
      <c r="X953" s="6" t="s">
        <v>238</v>
      </c>
      <c r="AA953" s="6" t="s">
        <v>243</v>
      </c>
      <c r="AB953" s="5" t="s">
        <v>238</v>
      </c>
      <c r="AC953" s="5" t="s">
        <v>244</v>
      </c>
      <c r="AD953" s="5" t="s">
        <v>245</v>
      </c>
      <c r="AT953" s="5" t="s">
        <v>246</v>
      </c>
      <c r="AU953" s="5" t="s">
        <v>238</v>
      </c>
      <c r="AV953" s="5" t="s">
        <v>247</v>
      </c>
      <c r="AW953" s="5" t="s">
        <v>238</v>
      </c>
      <c r="AX953" s="5" t="s">
        <v>249</v>
      </c>
      <c r="AY953" s="5" t="s">
        <v>238</v>
      </c>
      <c r="BA953" s="5" t="s">
        <v>238</v>
      </c>
      <c r="BC953" s="5" t="s">
        <v>250</v>
      </c>
      <c r="BD953" s="6" t="s">
        <v>243</v>
      </c>
      <c r="BE953" s="5" t="s">
        <v>251</v>
      </c>
      <c r="BF953" s="5" t="s">
        <v>252</v>
      </c>
      <c r="BG953" s="5" t="s">
        <v>238</v>
      </c>
      <c r="BH953" s="7">
        <f>0</f>
        <v>0</v>
      </c>
      <c r="BI953" s="8">
        <f>0</f>
        <v>0</v>
      </c>
      <c r="BJ953" s="5" t="s">
        <v>253</v>
      </c>
      <c r="BK953" s="5" t="s">
        <v>254</v>
      </c>
      <c r="BY953" s="5" t="s">
        <v>238</v>
      </c>
      <c r="BZ953" s="5" t="s">
        <v>238</v>
      </c>
      <c r="CD953" s="5" t="s">
        <v>273</v>
      </c>
      <c r="CE953" s="5" t="s">
        <v>256</v>
      </c>
      <c r="CF953" s="5" t="s">
        <v>238</v>
      </c>
      <c r="CI953" s="6" t="s">
        <v>257</v>
      </c>
      <c r="CJ953" s="5" t="s">
        <v>238</v>
      </c>
      <c r="CK953" s="5" t="s">
        <v>258</v>
      </c>
      <c r="CL953" s="5" t="s">
        <v>238</v>
      </c>
      <c r="CM953" s="5" t="s">
        <v>238</v>
      </c>
      <c r="CN953" s="5">
        <v>0</v>
      </c>
      <c r="CO953" s="5" t="s">
        <v>259</v>
      </c>
      <c r="CP953" s="5" t="s">
        <v>260</v>
      </c>
      <c r="CQ953" s="5" t="s">
        <v>260</v>
      </c>
      <c r="CR953" s="5" t="s">
        <v>261</v>
      </c>
      <c r="CU953" s="8">
        <f>1</f>
        <v>1</v>
      </c>
      <c r="CV953" s="8">
        <f>0</f>
        <v>0</v>
      </c>
      <c r="CX953" s="8">
        <f>0</f>
        <v>0</v>
      </c>
      <c r="CY953" s="8">
        <f>1</f>
        <v>1</v>
      </c>
      <c r="DA953" s="5" t="s">
        <v>673</v>
      </c>
      <c r="DB953" s="5" t="s">
        <v>238</v>
      </c>
      <c r="DD953" s="5" t="s">
        <v>673</v>
      </c>
      <c r="DE953" s="8">
        <f>5722</f>
        <v>5722</v>
      </c>
      <c r="DG953" s="5" t="s">
        <v>238</v>
      </c>
      <c r="DH953" s="5" t="s">
        <v>238</v>
      </c>
      <c r="DI953" s="5" t="s">
        <v>238</v>
      </c>
      <c r="DJ953" s="5" t="s">
        <v>238</v>
      </c>
      <c r="DN953" s="5" t="s">
        <v>238</v>
      </c>
      <c r="DO953" s="5" t="s">
        <v>238</v>
      </c>
      <c r="DP953" s="5" t="s">
        <v>238</v>
      </c>
      <c r="DQ953" s="5" t="s">
        <v>238</v>
      </c>
      <c r="DT953" s="5" t="s">
        <v>2039</v>
      </c>
      <c r="DU953" s="5" t="s">
        <v>586</v>
      </c>
      <c r="HM953" s="5" t="s">
        <v>264</v>
      </c>
    </row>
    <row r="954" spans="1:221" x14ac:dyDescent="0.4">
      <c r="A954" s="5">
        <v>2629</v>
      </c>
      <c r="B954" s="5">
        <v>1</v>
      </c>
      <c r="C954" s="5">
        <v>1</v>
      </c>
      <c r="D954" s="5" t="s">
        <v>2037</v>
      </c>
      <c r="E954" s="5" t="s">
        <v>271</v>
      </c>
      <c r="F954" s="5" t="s">
        <v>248</v>
      </c>
      <c r="G954" s="5" t="s">
        <v>1969</v>
      </c>
      <c r="H954" s="6" t="s">
        <v>3262</v>
      </c>
      <c r="I954" s="7">
        <f>2218</f>
        <v>2218</v>
      </c>
      <c r="J954" s="5" t="s">
        <v>262</v>
      </c>
      <c r="K954" s="8">
        <f>1</f>
        <v>1</v>
      </c>
      <c r="L954" s="6" t="s">
        <v>242</v>
      </c>
      <c r="M954" s="5" t="s">
        <v>267</v>
      </c>
      <c r="N954" s="5" t="s">
        <v>265</v>
      </c>
      <c r="O954" s="5" t="s">
        <v>238</v>
      </c>
      <c r="P954" s="5" t="s">
        <v>238</v>
      </c>
      <c r="Q954" s="5" t="s">
        <v>268</v>
      </c>
      <c r="R954" s="5" t="s">
        <v>270</v>
      </c>
      <c r="S954" s="5" t="s">
        <v>238</v>
      </c>
      <c r="V954" s="5" t="s">
        <v>238</v>
      </c>
      <c r="X954" s="6" t="s">
        <v>238</v>
      </c>
      <c r="AA954" s="6" t="s">
        <v>243</v>
      </c>
      <c r="AB954" s="5" t="s">
        <v>238</v>
      </c>
      <c r="AC954" s="5" t="s">
        <v>244</v>
      </c>
      <c r="AD954" s="5" t="s">
        <v>245</v>
      </c>
      <c r="AT954" s="5" t="s">
        <v>246</v>
      </c>
      <c r="AU954" s="5" t="s">
        <v>238</v>
      </c>
      <c r="AV954" s="5" t="s">
        <v>247</v>
      </c>
      <c r="AW954" s="5" t="s">
        <v>238</v>
      </c>
      <c r="AX954" s="5" t="s">
        <v>249</v>
      </c>
      <c r="AY954" s="5" t="s">
        <v>238</v>
      </c>
      <c r="BA954" s="5" t="s">
        <v>238</v>
      </c>
      <c r="BC954" s="5" t="s">
        <v>250</v>
      </c>
      <c r="BD954" s="6" t="s">
        <v>243</v>
      </c>
      <c r="BE954" s="5" t="s">
        <v>251</v>
      </c>
      <c r="BF954" s="5" t="s">
        <v>252</v>
      </c>
      <c r="BG954" s="5" t="s">
        <v>238</v>
      </c>
      <c r="BH954" s="7">
        <f>0</f>
        <v>0</v>
      </c>
      <c r="BI954" s="8">
        <f>0</f>
        <v>0</v>
      </c>
      <c r="BJ954" s="5" t="s">
        <v>253</v>
      </c>
      <c r="BK954" s="5" t="s">
        <v>254</v>
      </c>
      <c r="BY954" s="5" t="s">
        <v>238</v>
      </c>
      <c r="BZ954" s="5" t="s">
        <v>238</v>
      </c>
      <c r="CD954" s="5" t="s">
        <v>273</v>
      </c>
      <c r="CE954" s="5" t="s">
        <v>256</v>
      </c>
      <c r="CF954" s="5" t="s">
        <v>238</v>
      </c>
      <c r="CI954" s="6" t="s">
        <v>257</v>
      </c>
      <c r="CJ954" s="5" t="s">
        <v>238</v>
      </c>
      <c r="CK954" s="5" t="s">
        <v>258</v>
      </c>
      <c r="CL954" s="5" t="s">
        <v>238</v>
      </c>
      <c r="CM954" s="5" t="s">
        <v>238</v>
      </c>
      <c r="CN954" s="5">
        <v>0</v>
      </c>
      <c r="CO954" s="5" t="s">
        <v>259</v>
      </c>
      <c r="CP954" s="5" t="s">
        <v>260</v>
      </c>
      <c r="CQ954" s="5" t="s">
        <v>260</v>
      </c>
      <c r="CR954" s="5" t="s">
        <v>261</v>
      </c>
      <c r="CU954" s="8">
        <f>1</f>
        <v>1</v>
      </c>
      <c r="CV954" s="8">
        <f>0</f>
        <v>0</v>
      </c>
      <c r="CX954" s="8">
        <f>0</f>
        <v>0</v>
      </c>
      <c r="CY954" s="8">
        <f>1</f>
        <v>1</v>
      </c>
      <c r="DA954" s="5" t="s">
        <v>673</v>
      </c>
      <c r="DB954" s="5" t="s">
        <v>238</v>
      </c>
      <c r="DD954" s="5" t="s">
        <v>673</v>
      </c>
      <c r="DE954" s="8">
        <f>2218</f>
        <v>2218</v>
      </c>
      <c r="DG954" s="5" t="s">
        <v>238</v>
      </c>
      <c r="DH954" s="5" t="s">
        <v>238</v>
      </c>
      <c r="DI954" s="5" t="s">
        <v>238</v>
      </c>
      <c r="DJ954" s="5" t="s">
        <v>238</v>
      </c>
      <c r="DN954" s="5" t="s">
        <v>238</v>
      </c>
      <c r="DO954" s="5" t="s">
        <v>238</v>
      </c>
      <c r="DP954" s="5" t="s">
        <v>238</v>
      </c>
      <c r="DQ954" s="5" t="s">
        <v>238</v>
      </c>
      <c r="DT954" s="5" t="s">
        <v>2039</v>
      </c>
      <c r="DU954" s="5" t="s">
        <v>590</v>
      </c>
      <c r="HM954" s="5" t="s">
        <v>264</v>
      </c>
    </row>
    <row r="955" spans="1:221" x14ac:dyDescent="0.4">
      <c r="A955" s="5">
        <v>2630</v>
      </c>
      <c r="B955" s="5">
        <v>1</v>
      </c>
      <c r="C955" s="5">
        <v>1</v>
      </c>
      <c r="D955" s="5" t="s">
        <v>2037</v>
      </c>
      <c r="E955" s="5" t="s">
        <v>271</v>
      </c>
      <c r="F955" s="5" t="s">
        <v>248</v>
      </c>
      <c r="G955" s="5" t="s">
        <v>1969</v>
      </c>
      <c r="H955" s="6" t="s">
        <v>3261</v>
      </c>
      <c r="I955" s="7">
        <f>706</f>
        <v>706</v>
      </c>
      <c r="J955" s="5" t="s">
        <v>262</v>
      </c>
      <c r="K955" s="8">
        <f>1</f>
        <v>1</v>
      </c>
      <c r="L955" s="6" t="s">
        <v>242</v>
      </c>
      <c r="M955" s="5" t="s">
        <v>267</v>
      </c>
      <c r="N955" s="5" t="s">
        <v>265</v>
      </c>
      <c r="O955" s="5" t="s">
        <v>238</v>
      </c>
      <c r="P955" s="5" t="s">
        <v>238</v>
      </c>
      <c r="Q955" s="5" t="s">
        <v>268</v>
      </c>
      <c r="R955" s="5" t="s">
        <v>270</v>
      </c>
      <c r="S955" s="5" t="s">
        <v>238</v>
      </c>
      <c r="V955" s="5" t="s">
        <v>238</v>
      </c>
      <c r="X955" s="6" t="s">
        <v>238</v>
      </c>
      <c r="AA955" s="6" t="s">
        <v>243</v>
      </c>
      <c r="AB955" s="5" t="s">
        <v>238</v>
      </c>
      <c r="AC955" s="5" t="s">
        <v>244</v>
      </c>
      <c r="AD955" s="5" t="s">
        <v>245</v>
      </c>
      <c r="AT955" s="5" t="s">
        <v>246</v>
      </c>
      <c r="AU955" s="5" t="s">
        <v>238</v>
      </c>
      <c r="AV955" s="5" t="s">
        <v>247</v>
      </c>
      <c r="AW955" s="5" t="s">
        <v>238</v>
      </c>
      <c r="AX955" s="5" t="s">
        <v>249</v>
      </c>
      <c r="AY955" s="5" t="s">
        <v>238</v>
      </c>
      <c r="BA955" s="5" t="s">
        <v>238</v>
      </c>
      <c r="BC955" s="5" t="s">
        <v>250</v>
      </c>
      <c r="BD955" s="6" t="s">
        <v>243</v>
      </c>
      <c r="BE955" s="5" t="s">
        <v>251</v>
      </c>
      <c r="BF955" s="5" t="s">
        <v>252</v>
      </c>
      <c r="BG955" s="5" t="s">
        <v>238</v>
      </c>
      <c r="BH955" s="7">
        <f>0</f>
        <v>0</v>
      </c>
      <c r="BI955" s="8">
        <f>0</f>
        <v>0</v>
      </c>
      <c r="BJ955" s="5" t="s">
        <v>253</v>
      </c>
      <c r="BK955" s="5" t="s">
        <v>254</v>
      </c>
      <c r="BY955" s="5" t="s">
        <v>238</v>
      </c>
      <c r="BZ955" s="5" t="s">
        <v>238</v>
      </c>
      <c r="CD955" s="5" t="s">
        <v>273</v>
      </c>
      <c r="CE955" s="5" t="s">
        <v>256</v>
      </c>
      <c r="CF955" s="5" t="s">
        <v>238</v>
      </c>
      <c r="CI955" s="6" t="s">
        <v>257</v>
      </c>
      <c r="CJ955" s="5" t="s">
        <v>238</v>
      </c>
      <c r="CK955" s="5" t="s">
        <v>258</v>
      </c>
      <c r="CL955" s="5" t="s">
        <v>238</v>
      </c>
      <c r="CM955" s="5" t="s">
        <v>238</v>
      </c>
      <c r="CN955" s="5">
        <v>0</v>
      </c>
      <c r="CO955" s="5" t="s">
        <v>259</v>
      </c>
      <c r="CP955" s="5" t="s">
        <v>260</v>
      </c>
      <c r="CQ955" s="5" t="s">
        <v>260</v>
      </c>
      <c r="CR955" s="5" t="s">
        <v>261</v>
      </c>
      <c r="CU955" s="8">
        <f>1</f>
        <v>1</v>
      </c>
      <c r="CV955" s="8">
        <f>0</f>
        <v>0</v>
      </c>
      <c r="CX955" s="8">
        <f>0</f>
        <v>0</v>
      </c>
      <c r="CY955" s="8">
        <f>1</f>
        <v>1</v>
      </c>
      <c r="DA955" s="5" t="s">
        <v>673</v>
      </c>
      <c r="DB955" s="5" t="s">
        <v>238</v>
      </c>
      <c r="DD955" s="5" t="s">
        <v>673</v>
      </c>
      <c r="DE955" s="8">
        <f>706</f>
        <v>706</v>
      </c>
      <c r="DG955" s="5" t="s">
        <v>238</v>
      </c>
      <c r="DH955" s="5" t="s">
        <v>238</v>
      </c>
      <c r="DI955" s="5" t="s">
        <v>238</v>
      </c>
      <c r="DJ955" s="5" t="s">
        <v>238</v>
      </c>
      <c r="DN955" s="5" t="s">
        <v>238</v>
      </c>
      <c r="DO955" s="5" t="s">
        <v>238</v>
      </c>
      <c r="DP955" s="5" t="s">
        <v>238</v>
      </c>
      <c r="DQ955" s="5" t="s">
        <v>238</v>
      </c>
      <c r="DT955" s="5" t="s">
        <v>2039</v>
      </c>
      <c r="DU955" s="5" t="s">
        <v>592</v>
      </c>
      <c r="HM955" s="5" t="s">
        <v>264</v>
      </c>
    </row>
    <row r="956" spans="1:221" x14ac:dyDescent="0.4">
      <c r="A956" s="5">
        <v>2631</v>
      </c>
      <c r="B956" s="5">
        <v>1</v>
      </c>
      <c r="C956" s="5">
        <v>1</v>
      </c>
      <c r="D956" s="5" t="s">
        <v>2037</v>
      </c>
      <c r="E956" s="5" t="s">
        <v>271</v>
      </c>
      <c r="F956" s="5" t="s">
        <v>248</v>
      </c>
      <c r="G956" s="5" t="s">
        <v>1969</v>
      </c>
      <c r="H956" s="6" t="s">
        <v>3146</v>
      </c>
      <c r="I956" s="7">
        <f>169</f>
        <v>169</v>
      </c>
      <c r="J956" s="5" t="s">
        <v>262</v>
      </c>
      <c r="K956" s="8">
        <f>1</f>
        <v>1</v>
      </c>
      <c r="L956" s="6" t="s">
        <v>242</v>
      </c>
      <c r="M956" s="5" t="s">
        <v>267</v>
      </c>
      <c r="N956" s="5" t="s">
        <v>265</v>
      </c>
      <c r="O956" s="5" t="s">
        <v>238</v>
      </c>
      <c r="P956" s="5" t="s">
        <v>238</v>
      </c>
      <c r="Q956" s="5" t="s">
        <v>268</v>
      </c>
      <c r="R956" s="5" t="s">
        <v>270</v>
      </c>
      <c r="S956" s="5" t="s">
        <v>238</v>
      </c>
      <c r="V956" s="5" t="s">
        <v>238</v>
      </c>
      <c r="X956" s="6" t="s">
        <v>238</v>
      </c>
      <c r="AA956" s="6" t="s">
        <v>243</v>
      </c>
      <c r="AB956" s="5" t="s">
        <v>238</v>
      </c>
      <c r="AC956" s="5" t="s">
        <v>244</v>
      </c>
      <c r="AD956" s="5" t="s">
        <v>245</v>
      </c>
      <c r="AT956" s="5" t="s">
        <v>246</v>
      </c>
      <c r="AU956" s="5" t="s">
        <v>238</v>
      </c>
      <c r="AV956" s="5" t="s">
        <v>247</v>
      </c>
      <c r="AW956" s="5" t="s">
        <v>238</v>
      </c>
      <c r="AX956" s="5" t="s">
        <v>249</v>
      </c>
      <c r="AY956" s="5" t="s">
        <v>238</v>
      </c>
      <c r="BA956" s="5" t="s">
        <v>238</v>
      </c>
      <c r="BC956" s="5" t="s">
        <v>250</v>
      </c>
      <c r="BD956" s="6" t="s">
        <v>243</v>
      </c>
      <c r="BE956" s="5" t="s">
        <v>251</v>
      </c>
      <c r="BF956" s="5" t="s">
        <v>252</v>
      </c>
      <c r="BG956" s="5" t="s">
        <v>238</v>
      </c>
      <c r="BH956" s="7">
        <f>0</f>
        <v>0</v>
      </c>
      <c r="BI956" s="8">
        <f>0</f>
        <v>0</v>
      </c>
      <c r="BJ956" s="5" t="s">
        <v>253</v>
      </c>
      <c r="BK956" s="5" t="s">
        <v>254</v>
      </c>
      <c r="BY956" s="5" t="s">
        <v>238</v>
      </c>
      <c r="BZ956" s="5" t="s">
        <v>238</v>
      </c>
      <c r="CD956" s="5" t="s">
        <v>273</v>
      </c>
      <c r="CE956" s="5" t="s">
        <v>256</v>
      </c>
      <c r="CF956" s="5" t="s">
        <v>238</v>
      </c>
      <c r="CI956" s="6" t="s">
        <v>257</v>
      </c>
      <c r="CJ956" s="5" t="s">
        <v>238</v>
      </c>
      <c r="CK956" s="5" t="s">
        <v>258</v>
      </c>
      <c r="CL956" s="5" t="s">
        <v>238</v>
      </c>
      <c r="CM956" s="5" t="s">
        <v>238</v>
      </c>
      <c r="CN956" s="5">
        <v>0</v>
      </c>
      <c r="CO956" s="5" t="s">
        <v>259</v>
      </c>
      <c r="CP956" s="5" t="s">
        <v>260</v>
      </c>
      <c r="CQ956" s="5" t="s">
        <v>260</v>
      </c>
      <c r="CR956" s="5" t="s">
        <v>261</v>
      </c>
      <c r="CU956" s="8">
        <f>1</f>
        <v>1</v>
      </c>
      <c r="CV956" s="8">
        <f>0</f>
        <v>0</v>
      </c>
      <c r="CX956" s="8">
        <f>0</f>
        <v>0</v>
      </c>
      <c r="CY956" s="8">
        <f>1</f>
        <v>1</v>
      </c>
      <c r="DA956" s="5" t="s">
        <v>673</v>
      </c>
      <c r="DB956" s="5" t="s">
        <v>238</v>
      </c>
      <c r="DD956" s="5" t="s">
        <v>673</v>
      </c>
      <c r="DE956" s="8">
        <f>169</f>
        <v>169</v>
      </c>
      <c r="DG956" s="5" t="s">
        <v>238</v>
      </c>
      <c r="DH956" s="5" t="s">
        <v>238</v>
      </c>
      <c r="DI956" s="5" t="s">
        <v>238</v>
      </c>
      <c r="DJ956" s="5" t="s">
        <v>238</v>
      </c>
      <c r="DN956" s="5" t="s">
        <v>238</v>
      </c>
      <c r="DO956" s="5" t="s">
        <v>238</v>
      </c>
      <c r="DP956" s="5" t="s">
        <v>238</v>
      </c>
      <c r="DQ956" s="5" t="s">
        <v>238</v>
      </c>
      <c r="DT956" s="5" t="s">
        <v>2039</v>
      </c>
      <c r="DU956" s="5" t="s">
        <v>596</v>
      </c>
      <c r="HM956" s="5" t="s">
        <v>264</v>
      </c>
    </row>
    <row r="957" spans="1:221" x14ac:dyDescent="0.4">
      <c r="A957" s="5">
        <v>2632</v>
      </c>
      <c r="B957" s="5">
        <v>1</v>
      </c>
      <c r="C957" s="5">
        <v>1</v>
      </c>
      <c r="D957" s="5" t="s">
        <v>2037</v>
      </c>
      <c r="E957" s="5" t="s">
        <v>271</v>
      </c>
      <c r="F957" s="5" t="s">
        <v>248</v>
      </c>
      <c r="G957" s="5" t="s">
        <v>1969</v>
      </c>
      <c r="H957" s="6" t="s">
        <v>3260</v>
      </c>
      <c r="I957" s="7">
        <f>532</f>
        <v>532</v>
      </c>
      <c r="J957" s="5" t="s">
        <v>262</v>
      </c>
      <c r="K957" s="8">
        <f>1</f>
        <v>1</v>
      </c>
      <c r="L957" s="6" t="s">
        <v>242</v>
      </c>
      <c r="M957" s="5" t="s">
        <v>267</v>
      </c>
      <c r="N957" s="5" t="s">
        <v>265</v>
      </c>
      <c r="O957" s="5" t="s">
        <v>238</v>
      </c>
      <c r="P957" s="5" t="s">
        <v>238</v>
      </c>
      <c r="Q957" s="5" t="s">
        <v>268</v>
      </c>
      <c r="R957" s="5" t="s">
        <v>270</v>
      </c>
      <c r="S957" s="5" t="s">
        <v>238</v>
      </c>
      <c r="V957" s="5" t="s">
        <v>238</v>
      </c>
      <c r="X957" s="6" t="s">
        <v>238</v>
      </c>
      <c r="AA957" s="6" t="s">
        <v>243</v>
      </c>
      <c r="AB957" s="5" t="s">
        <v>238</v>
      </c>
      <c r="AC957" s="5" t="s">
        <v>244</v>
      </c>
      <c r="AD957" s="5" t="s">
        <v>245</v>
      </c>
      <c r="AT957" s="5" t="s">
        <v>246</v>
      </c>
      <c r="AU957" s="5" t="s">
        <v>238</v>
      </c>
      <c r="AV957" s="5" t="s">
        <v>247</v>
      </c>
      <c r="AW957" s="5" t="s">
        <v>238</v>
      </c>
      <c r="AX957" s="5" t="s">
        <v>249</v>
      </c>
      <c r="AY957" s="5" t="s">
        <v>238</v>
      </c>
      <c r="BA957" s="5" t="s">
        <v>238</v>
      </c>
      <c r="BC957" s="5" t="s">
        <v>250</v>
      </c>
      <c r="BD957" s="6" t="s">
        <v>243</v>
      </c>
      <c r="BE957" s="5" t="s">
        <v>251</v>
      </c>
      <c r="BF957" s="5" t="s">
        <v>252</v>
      </c>
      <c r="BG957" s="5" t="s">
        <v>238</v>
      </c>
      <c r="BH957" s="7">
        <f>0</f>
        <v>0</v>
      </c>
      <c r="BI957" s="8">
        <f>0</f>
        <v>0</v>
      </c>
      <c r="BJ957" s="5" t="s">
        <v>253</v>
      </c>
      <c r="BK957" s="5" t="s">
        <v>254</v>
      </c>
      <c r="BY957" s="5" t="s">
        <v>238</v>
      </c>
      <c r="BZ957" s="5" t="s">
        <v>238</v>
      </c>
      <c r="CD957" s="5" t="s">
        <v>273</v>
      </c>
      <c r="CE957" s="5" t="s">
        <v>256</v>
      </c>
      <c r="CF957" s="5" t="s">
        <v>238</v>
      </c>
      <c r="CI957" s="6" t="s">
        <v>257</v>
      </c>
      <c r="CJ957" s="5" t="s">
        <v>238</v>
      </c>
      <c r="CK957" s="5" t="s">
        <v>258</v>
      </c>
      <c r="CL957" s="5" t="s">
        <v>238</v>
      </c>
      <c r="CM957" s="5" t="s">
        <v>238</v>
      </c>
      <c r="CN957" s="5">
        <v>0</v>
      </c>
      <c r="CO957" s="5" t="s">
        <v>259</v>
      </c>
      <c r="CP957" s="5" t="s">
        <v>260</v>
      </c>
      <c r="CQ957" s="5" t="s">
        <v>260</v>
      </c>
      <c r="CR957" s="5" t="s">
        <v>261</v>
      </c>
      <c r="CU957" s="8">
        <f>1</f>
        <v>1</v>
      </c>
      <c r="CV957" s="8">
        <f>0</f>
        <v>0</v>
      </c>
      <c r="CX957" s="8">
        <f>0</f>
        <v>0</v>
      </c>
      <c r="CY957" s="8">
        <f>1</f>
        <v>1</v>
      </c>
      <c r="DA957" s="5" t="s">
        <v>673</v>
      </c>
      <c r="DB957" s="5" t="s">
        <v>238</v>
      </c>
      <c r="DD957" s="5" t="s">
        <v>673</v>
      </c>
      <c r="DE957" s="8">
        <f>532</f>
        <v>532</v>
      </c>
      <c r="DG957" s="5" t="s">
        <v>238</v>
      </c>
      <c r="DH957" s="5" t="s">
        <v>238</v>
      </c>
      <c r="DI957" s="5" t="s">
        <v>238</v>
      </c>
      <c r="DJ957" s="5" t="s">
        <v>238</v>
      </c>
      <c r="DN957" s="5" t="s">
        <v>238</v>
      </c>
      <c r="DO957" s="5" t="s">
        <v>238</v>
      </c>
      <c r="DP957" s="5" t="s">
        <v>238</v>
      </c>
      <c r="DQ957" s="5" t="s">
        <v>238</v>
      </c>
      <c r="DT957" s="5" t="s">
        <v>2039</v>
      </c>
      <c r="DU957" s="5" t="s">
        <v>604</v>
      </c>
      <c r="HM957" s="5" t="s">
        <v>264</v>
      </c>
    </row>
    <row r="958" spans="1:221" x14ac:dyDescent="0.4">
      <c r="A958" s="5">
        <v>2633</v>
      </c>
      <c r="B958" s="5">
        <v>1</v>
      </c>
      <c r="C958" s="5">
        <v>1</v>
      </c>
      <c r="D958" s="5" t="s">
        <v>2037</v>
      </c>
      <c r="E958" s="5" t="s">
        <v>271</v>
      </c>
      <c r="F958" s="5" t="s">
        <v>248</v>
      </c>
      <c r="G958" s="5" t="s">
        <v>1969</v>
      </c>
      <c r="H958" s="6" t="s">
        <v>3149</v>
      </c>
      <c r="I958" s="7">
        <f>1747</f>
        <v>1747</v>
      </c>
      <c r="J958" s="5" t="s">
        <v>262</v>
      </c>
      <c r="K958" s="8">
        <f>1</f>
        <v>1</v>
      </c>
      <c r="L958" s="6" t="s">
        <v>242</v>
      </c>
      <c r="M958" s="5" t="s">
        <v>267</v>
      </c>
      <c r="N958" s="5" t="s">
        <v>265</v>
      </c>
      <c r="O958" s="5" t="s">
        <v>238</v>
      </c>
      <c r="P958" s="5" t="s">
        <v>238</v>
      </c>
      <c r="Q958" s="5" t="s">
        <v>268</v>
      </c>
      <c r="R958" s="5" t="s">
        <v>270</v>
      </c>
      <c r="S958" s="5" t="s">
        <v>238</v>
      </c>
      <c r="V958" s="5" t="s">
        <v>238</v>
      </c>
      <c r="X958" s="6" t="s">
        <v>238</v>
      </c>
      <c r="AA958" s="6" t="s">
        <v>243</v>
      </c>
      <c r="AB958" s="5" t="s">
        <v>238</v>
      </c>
      <c r="AC958" s="5" t="s">
        <v>244</v>
      </c>
      <c r="AD958" s="5" t="s">
        <v>245</v>
      </c>
      <c r="AT958" s="5" t="s">
        <v>246</v>
      </c>
      <c r="AU958" s="5" t="s">
        <v>238</v>
      </c>
      <c r="AV958" s="5" t="s">
        <v>247</v>
      </c>
      <c r="AW958" s="5" t="s">
        <v>238</v>
      </c>
      <c r="AX958" s="5" t="s">
        <v>249</v>
      </c>
      <c r="AY958" s="5" t="s">
        <v>238</v>
      </c>
      <c r="BA958" s="5" t="s">
        <v>238</v>
      </c>
      <c r="BC958" s="5" t="s">
        <v>250</v>
      </c>
      <c r="BD958" s="6" t="s">
        <v>243</v>
      </c>
      <c r="BE958" s="5" t="s">
        <v>251</v>
      </c>
      <c r="BF958" s="5" t="s">
        <v>252</v>
      </c>
      <c r="BG958" s="5" t="s">
        <v>238</v>
      </c>
      <c r="BH958" s="7">
        <f>0</f>
        <v>0</v>
      </c>
      <c r="BI958" s="8">
        <f>0</f>
        <v>0</v>
      </c>
      <c r="BJ958" s="5" t="s">
        <v>253</v>
      </c>
      <c r="BK958" s="5" t="s">
        <v>254</v>
      </c>
      <c r="BY958" s="5" t="s">
        <v>238</v>
      </c>
      <c r="BZ958" s="5" t="s">
        <v>238</v>
      </c>
      <c r="CD958" s="5" t="s">
        <v>273</v>
      </c>
      <c r="CE958" s="5" t="s">
        <v>256</v>
      </c>
      <c r="CF958" s="5" t="s">
        <v>238</v>
      </c>
      <c r="CI958" s="6" t="s">
        <v>257</v>
      </c>
      <c r="CJ958" s="5" t="s">
        <v>238</v>
      </c>
      <c r="CK958" s="5" t="s">
        <v>258</v>
      </c>
      <c r="CL958" s="5" t="s">
        <v>238</v>
      </c>
      <c r="CM958" s="5" t="s">
        <v>238</v>
      </c>
      <c r="CN958" s="5">
        <v>0</v>
      </c>
      <c r="CO958" s="5" t="s">
        <v>259</v>
      </c>
      <c r="CP958" s="5" t="s">
        <v>260</v>
      </c>
      <c r="CQ958" s="5" t="s">
        <v>260</v>
      </c>
      <c r="CR958" s="5" t="s">
        <v>261</v>
      </c>
      <c r="CU958" s="8">
        <f>1</f>
        <v>1</v>
      </c>
      <c r="CV958" s="8">
        <f>0</f>
        <v>0</v>
      </c>
      <c r="CX958" s="8">
        <f>0</f>
        <v>0</v>
      </c>
      <c r="CY958" s="8">
        <f>1</f>
        <v>1</v>
      </c>
      <c r="DA958" s="5" t="s">
        <v>673</v>
      </c>
      <c r="DB958" s="5" t="s">
        <v>238</v>
      </c>
      <c r="DD958" s="5" t="s">
        <v>673</v>
      </c>
      <c r="DE958" s="8">
        <f>1747</f>
        <v>1747</v>
      </c>
      <c r="DG958" s="5" t="s">
        <v>238</v>
      </c>
      <c r="DH958" s="5" t="s">
        <v>238</v>
      </c>
      <c r="DI958" s="5" t="s">
        <v>238</v>
      </c>
      <c r="DJ958" s="5" t="s">
        <v>238</v>
      </c>
      <c r="DN958" s="5" t="s">
        <v>238</v>
      </c>
      <c r="DO958" s="5" t="s">
        <v>238</v>
      </c>
      <c r="DP958" s="5" t="s">
        <v>238</v>
      </c>
      <c r="DQ958" s="5" t="s">
        <v>238</v>
      </c>
      <c r="DT958" s="5" t="s">
        <v>2039</v>
      </c>
      <c r="DU958" s="5" t="s">
        <v>606</v>
      </c>
      <c r="HM958" s="5" t="s">
        <v>264</v>
      </c>
    </row>
    <row r="959" spans="1:221" x14ac:dyDescent="0.4">
      <c r="A959" s="5">
        <v>2634</v>
      </c>
      <c r="B959" s="5">
        <v>1</v>
      </c>
      <c r="C959" s="5">
        <v>1</v>
      </c>
      <c r="D959" s="5" t="s">
        <v>2037</v>
      </c>
      <c r="E959" s="5" t="s">
        <v>271</v>
      </c>
      <c r="F959" s="5" t="s">
        <v>248</v>
      </c>
      <c r="G959" s="5" t="s">
        <v>1969</v>
      </c>
      <c r="H959" s="6" t="s">
        <v>2386</v>
      </c>
      <c r="I959" s="7">
        <f>368</f>
        <v>368</v>
      </c>
      <c r="J959" s="5" t="s">
        <v>262</v>
      </c>
      <c r="K959" s="8">
        <f>1</f>
        <v>1</v>
      </c>
      <c r="L959" s="6" t="s">
        <v>242</v>
      </c>
      <c r="M959" s="5" t="s">
        <v>267</v>
      </c>
      <c r="N959" s="5" t="s">
        <v>265</v>
      </c>
      <c r="O959" s="5" t="s">
        <v>238</v>
      </c>
      <c r="P959" s="5" t="s">
        <v>238</v>
      </c>
      <c r="Q959" s="5" t="s">
        <v>268</v>
      </c>
      <c r="R959" s="5" t="s">
        <v>270</v>
      </c>
      <c r="S959" s="5" t="s">
        <v>238</v>
      </c>
      <c r="V959" s="5" t="s">
        <v>238</v>
      </c>
      <c r="X959" s="6" t="s">
        <v>238</v>
      </c>
      <c r="AA959" s="6" t="s">
        <v>243</v>
      </c>
      <c r="AB959" s="5" t="s">
        <v>238</v>
      </c>
      <c r="AC959" s="5" t="s">
        <v>244</v>
      </c>
      <c r="AD959" s="5" t="s">
        <v>245</v>
      </c>
      <c r="AT959" s="5" t="s">
        <v>246</v>
      </c>
      <c r="AU959" s="5" t="s">
        <v>238</v>
      </c>
      <c r="AV959" s="5" t="s">
        <v>247</v>
      </c>
      <c r="AW959" s="5" t="s">
        <v>238</v>
      </c>
      <c r="AX959" s="5" t="s">
        <v>249</v>
      </c>
      <c r="AY959" s="5" t="s">
        <v>238</v>
      </c>
      <c r="BA959" s="5" t="s">
        <v>238</v>
      </c>
      <c r="BC959" s="5" t="s">
        <v>250</v>
      </c>
      <c r="BD959" s="6" t="s">
        <v>243</v>
      </c>
      <c r="BE959" s="5" t="s">
        <v>251</v>
      </c>
      <c r="BF959" s="5" t="s">
        <v>252</v>
      </c>
      <c r="BG959" s="5" t="s">
        <v>238</v>
      </c>
      <c r="BH959" s="7">
        <f>0</f>
        <v>0</v>
      </c>
      <c r="BI959" s="8">
        <f>0</f>
        <v>0</v>
      </c>
      <c r="BJ959" s="5" t="s">
        <v>253</v>
      </c>
      <c r="BK959" s="5" t="s">
        <v>254</v>
      </c>
      <c r="BY959" s="5" t="s">
        <v>238</v>
      </c>
      <c r="BZ959" s="5" t="s">
        <v>238</v>
      </c>
      <c r="CD959" s="5" t="s">
        <v>273</v>
      </c>
      <c r="CE959" s="5" t="s">
        <v>256</v>
      </c>
      <c r="CF959" s="5" t="s">
        <v>238</v>
      </c>
      <c r="CI959" s="6" t="s">
        <v>257</v>
      </c>
      <c r="CJ959" s="5" t="s">
        <v>238</v>
      </c>
      <c r="CK959" s="5" t="s">
        <v>258</v>
      </c>
      <c r="CL959" s="5" t="s">
        <v>238</v>
      </c>
      <c r="CM959" s="5" t="s">
        <v>238</v>
      </c>
      <c r="CN959" s="5">
        <v>0</v>
      </c>
      <c r="CO959" s="5" t="s">
        <v>259</v>
      </c>
      <c r="CP959" s="5" t="s">
        <v>260</v>
      </c>
      <c r="CQ959" s="5" t="s">
        <v>260</v>
      </c>
      <c r="CR959" s="5" t="s">
        <v>261</v>
      </c>
      <c r="CU959" s="8">
        <f>1</f>
        <v>1</v>
      </c>
      <c r="CV959" s="8">
        <f>0</f>
        <v>0</v>
      </c>
      <c r="CX959" s="8">
        <f>0</f>
        <v>0</v>
      </c>
      <c r="CY959" s="8">
        <f>1</f>
        <v>1</v>
      </c>
      <c r="DA959" s="5" t="s">
        <v>673</v>
      </c>
      <c r="DB959" s="5" t="s">
        <v>238</v>
      </c>
      <c r="DD959" s="5" t="s">
        <v>673</v>
      </c>
      <c r="DE959" s="8">
        <f>368</f>
        <v>368</v>
      </c>
      <c r="DG959" s="5" t="s">
        <v>238</v>
      </c>
      <c r="DH959" s="5" t="s">
        <v>238</v>
      </c>
      <c r="DI959" s="5" t="s">
        <v>238</v>
      </c>
      <c r="DJ959" s="5" t="s">
        <v>238</v>
      </c>
      <c r="DN959" s="5" t="s">
        <v>238</v>
      </c>
      <c r="DO959" s="5" t="s">
        <v>238</v>
      </c>
      <c r="DP959" s="5" t="s">
        <v>238</v>
      </c>
      <c r="DQ959" s="5" t="s">
        <v>238</v>
      </c>
      <c r="DT959" s="5" t="s">
        <v>2039</v>
      </c>
      <c r="DU959" s="5" t="s">
        <v>610</v>
      </c>
      <c r="HM959" s="5" t="s">
        <v>264</v>
      </c>
    </row>
    <row r="960" spans="1:221" x14ac:dyDescent="0.4">
      <c r="A960" s="5">
        <v>2635</v>
      </c>
      <c r="B960" s="5">
        <v>1</v>
      </c>
      <c r="C960" s="5">
        <v>1</v>
      </c>
      <c r="D960" s="5" t="s">
        <v>2037</v>
      </c>
      <c r="E960" s="5" t="s">
        <v>271</v>
      </c>
      <c r="F960" s="5" t="s">
        <v>248</v>
      </c>
      <c r="G960" s="5" t="s">
        <v>1969</v>
      </c>
      <c r="H960" s="6" t="s">
        <v>3152</v>
      </c>
      <c r="I960" s="7">
        <f>2993</f>
        <v>2993</v>
      </c>
      <c r="J960" s="5" t="s">
        <v>262</v>
      </c>
      <c r="K960" s="8">
        <f>1</f>
        <v>1</v>
      </c>
      <c r="L960" s="6" t="s">
        <v>242</v>
      </c>
      <c r="M960" s="5" t="s">
        <v>267</v>
      </c>
      <c r="N960" s="5" t="s">
        <v>265</v>
      </c>
      <c r="O960" s="5" t="s">
        <v>238</v>
      </c>
      <c r="P960" s="5" t="s">
        <v>238</v>
      </c>
      <c r="Q960" s="5" t="s">
        <v>268</v>
      </c>
      <c r="R960" s="5" t="s">
        <v>270</v>
      </c>
      <c r="S960" s="5" t="s">
        <v>238</v>
      </c>
      <c r="V960" s="5" t="s">
        <v>238</v>
      </c>
      <c r="X960" s="6" t="s">
        <v>238</v>
      </c>
      <c r="AA960" s="6" t="s">
        <v>243</v>
      </c>
      <c r="AB960" s="5" t="s">
        <v>238</v>
      </c>
      <c r="AC960" s="5" t="s">
        <v>244</v>
      </c>
      <c r="AD960" s="5" t="s">
        <v>245</v>
      </c>
      <c r="AT960" s="5" t="s">
        <v>246</v>
      </c>
      <c r="AU960" s="5" t="s">
        <v>238</v>
      </c>
      <c r="AV960" s="5" t="s">
        <v>247</v>
      </c>
      <c r="AW960" s="5" t="s">
        <v>238</v>
      </c>
      <c r="AX960" s="5" t="s">
        <v>249</v>
      </c>
      <c r="AY960" s="5" t="s">
        <v>238</v>
      </c>
      <c r="BA960" s="5" t="s">
        <v>238</v>
      </c>
      <c r="BC960" s="5" t="s">
        <v>250</v>
      </c>
      <c r="BD960" s="6" t="s">
        <v>243</v>
      </c>
      <c r="BE960" s="5" t="s">
        <v>251</v>
      </c>
      <c r="BF960" s="5" t="s">
        <v>252</v>
      </c>
      <c r="BG960" s="5" t="s">
        <v>238</v>
      </c>
      <c r="BH960" s="7">
        <f>0</f>
        <v>0</v>
      </c>
      <c r="BI960" s="8">
        <f>0</f>
        <v>0</v>
      </c>
      <c r="BJ960" s="5" t="s">
        <v>253</v>
      </c>
      <c r="BK960" s="5" t="s">
        <v>254</v>
      </c>
      <c r="BY960" s="5" t="s">
        <v>238</v>
      </c>
      <c r="BZ960" s="5" t="s">
        <v>238</v>
      </c>
      <c r="CD960" s="5" t="s">
        <v>273</v>
      </c>
      <c r="CE960" s="5" t="s">
        <v>256</v>
      </c>
      <c r="CF960" s="5" t="s">
        <v>238</v>
      </c>
      <c r="CI960" s="6" t="s">
        <v>257</v>
      </c>
      <c r="CJ960" s="5" t="s">
        <v>238</v>
      </c>
      <c r="CK960" s="5" t="s">
        <v>258</v>
      </c>
      <c r="CL960" s="5" t="s">
        <v>238</v>
      </c>
      <c r="CM960" s="5" t="s">
        <v>238</v>
      </c>
      <c r="CN960" s="5">
        <v>0</v>
      </c>
      <c r="CO960" s="5" t="s">
        <v>259</v>
      </c>
      <c r="CP960" s="5" t="s">
        <v>260</v>
      </c>
      <c r="CQ960" s="5" t="s">
        <v>260</v>
      </c>
      <c r="CR960" s="5" t="s">
        <v>261</v>
      </c>
      <c r="CU960" s="8">
        <f>1</f>
        <v>1</v>
      </c>
      <c r="CV960" s="8">
        <f>0</f>
        <v>0</v>
      </c>
      <c r="CX960" s="8">
        <f>0</f>
        <v>0</v>
      </c>
      <c r="CY960" s="8">
        <f>1</f>
        <v>1</v>
      </c>
      <c r="DA960" s="5" t="s">
        <v>673</v>
      </c>
      <c r="DB960" s="5" t="s">
        <v>238</v>
      </c>
      <c r="DD960" s="5" t="s">
        <v>673</v>
      </c>
      <c r="DE960" s="8">
        <f>2993</f>
        <v>2993</v>
      </c>
      <c r="DG960" s="5" t="s">
        <v>238</v>
      </c>
      <c r="DH960" s="5" t="s">
        <v>238</v>
      </c>
      <c r="DI960" s="5" t="s">
        <v>238</v>
      </c>
      <c r="DJ960" s="5" t="s">
        <v>238</v>
      </c>
      <c r="DN960" s="5" t="s">
        <v>238</v>
      </c>
      <c r="DO960" s="5" t="s">
        <v>238</v>
      </c>
      <c r="DP960" s="5" t="s">
        <v>238</v>
      </c>
      <c r="DQ960" s="5" t="s">
        <v>238</v>
      </c>
      <c r="DT960" s="5" t="s">
        <v>2039</v>
      </c>
      <c r="DU960" s="5" t="s">
        <v>612</v>
      </c>
      <c r="HM960" s="5" t="s">
        <v>264</v>
      </c>
    </row>
    <row r="961" spans="1:221" x14ac:dyDescent="0.4">
      <c r="A961" s="5">
        <v>2636</v>
      </c>
      <c r="B961" s="5">
        <v>1</v>
      </c>
      <c r="C961" s="5">
        <v>1</v>
      </c>
      <c r="D961" s="5" t="s">
        <v>2037</v>
      </c>
      <c r="E961" s="5" t="s">
        <v>271</v>
      </c>
      <c r="F961" s="5" t="s">
        <v>248</v>
      </c>
      <c r="G961" s="5" t="s">
        <v>1969</v>
      </c>
      <c r="H961" s="6" t="s">
        <v>2390</v>
      </c>
      <c r="I961" s="7">
        <f>2380</f>
        <v>2380</v>
      </c>
      <c r="J961" s="5" t="s">
        <v>262</v>
      </c>
      <c r="K961" s="8">
        <f>1</f>
        <v>1</v>
      </c>
      <c r="L961" s="6" t="s">
        <v>242</v>
      </c>
      <c r="M961" s="5" t="s">
        <v>267</v>
      </c>
      <c r="N961" s="5" t="s">
        <v>265</v>
      </c>
      <c r="O961" s="5" t="s">
        <v>238</v>
      </c>
      <c r="P961" s="5" t="s">
        <v>238</v>
      </c>
      <c r="Q961" s="5" t="s">
        <v>268</v>
      </c>
      <c r="R961" s="5" t="s">
        <v>270</v>
      </c>
      <c r="S961" s="5" t="s">
        <v>238</v>
      </c>
      <c r="V961" s="5" t="s">
        <v>238</v>
      </c>
      <c r="X961" s="6" t="s">
        <v>238</v>
      </c>
      <c r="AA961" s="6" t="s">
        <v>243</v>
      </c>
      <c r="AB961" s="5" t="s">
        <v>238</v>
      </c>
      <c r="AC961" s="5" t="s">
        <v>244</v>
      </c>
      <c r="AD961" s="5" t="s">
        <v>245</v>
      </c>
      <c r="AT961" s="5" t="s">
        <v>246</v>
      </c>
      <c r="AU961" s="5" t="s">
        <v>238</v>
      </c>
      <c r="AV961" s="5" t="s">
        <v>247</v>
      </c>
      <c r="AW961" s="5" t="s">
        <v>238</v>
      </c>
      <c r="AX961" s="5" t="s">
        <v>249</v>
      </c>
      <c r="AY961" s="5" t="s">
        <v>238</v>
      </c>
      <c r="BA961" s="5" t="s">
        <v>238</v>
      </c>
      <c r="BC961" s="5" t="s">
        <v>250</v>
      </c>
      <c r="BD961" s="6" t="s">
        <v>243</v>
      </c>
      <c r="BE961" s="5" t="s">
        <v>251</v>
      </c>
      <c r="BF961" s="5" t="s">
        <v>252</v>
      </c>
      <c r="BG961" s="5" t="s">
        <v>238</v>
      </c>
      <c r="BH961" s="7">
        <f>0</f>
        <v>0</v>
      </c>
      <c r="BI961" s="8">
        <f>0</f>
        <v>0</v>
      </c>
      <c r="BJ961" s="5" t="s">
        <v>253</v>
      </c>
      <c r="BK961" s="5" t="s">
        <v>254</v>
      </c>
      <c r="BY961" s="5" t="s">
        <v>238</v>
      </c>
      <c r="BZ961" s="5" t="s">
        <v>238</v>
      </c>
      <c r="CD961" s="5" t="s">
        <v>273</v>
      </c>
      <c r="CE961" s="5" t="s">
        <v>256</v>
      </c>
      <c r="CF961" s="5" t="s">
        <v>238</v>
      </c>
      <c r="CI961" s="6" t="s">
        <v>257</v>
      </c>
      <c r="CJ961" s="5" t="s">
        <v>238</v>
      </c>
      <c r="CK961" s="5" t="s">
        <v>258</v>
      </c>
      <c r="CL961" s="5" t="s">
        <v>238</v>
      </c>
      <c r="CM961" s="5" t="s">
        <v>238</v>
      </c>
      <c r="CN961" s="5">
        <v>0</v>
      </c>
      <c r="CO961" s="5" t="s">
        <v>259</v>
      </c>
      <c r="CP961" s="5" t="s">
        <v>260</v>
      </c>
      <c r="CQ961" s="5" t="s">
        <v>260</v>
      </c>
      <c r="CR961" s="5" t="s">
        <v>261</v>
      </c>
      <c r="CU961" s="8">
        <f>1</f>
        <v>1</v>
      </c>
      <c r="CV961" s="8">
        <f>0</f>
        <v>0</v>
      </c>
      <c r="CX961" s="8">
        <f>0</f>
        <v>0</v>
      </c>
      <c r="CY961" s="8">
        <f>1</f>
        <v>1</v>
      </c>
      <c r="DA961" s="5" t="s">
        <v>673</v>
      </c>
      <c r="DB961" s="5" t="s">
        <v>238</v>
      </c>
      <c r="DD961" s="5" t="s">
        <v>673</v>
      </c>
      <c r="DE961" s="8">
        <f>2380</f>
        <v>2380</v>
      </c>
      <c r="DG961" s="5" t="s">
        <v>238</v>
      </c>
      <c r="DH961" s="5" t="s">
        <v>238</v>
      </c>
      <c r="DI961" s="5" t="s">
        <v>238</v>
      </c>
      <c r="DJ961" s="5" t="s">
        <v>238</v>
      </c>
      <c r="DN961" s="5" t="s">
        <v>238</v>
      </c>
      <c r="DO961" s="5" t="s">
        <v>238</v>
      </c>
      <c r="DP961" s="5" t="s">
        <v>238</v>
      </c>
      <c r="DQ961" s="5" t="s">
        <v>238</v>
      </c>
      <c r="DT961" s="5" t="s">
        <v>2039</v>
      </c>
      <c r="DU961" s="5" t="s">
        <v>614</v>
      </c>
      <c r="HM961" s="5" t="s">
        <v>264</v>
      </c>
    </row>
    <row r="962" spans="1:221" x14ac:dyDescent="0.4">
      <c r="A962" s="5">
        <v>2637</v>
      </c>
      <c r="B962" s="5">
        <v>1</v>
      </c>
      <c r="C962" s="5">
        <v>1</v>
      </c>
      <c r="D962" s="5" t="s">
        <v>2037</v>
      </c>
      <c r="E962" s="5" t="s">
        <v>271</v>
      </c>
      <c r="F962" s="5" t="s">
        <v>248</v>
      </c>
      <c r="G962" s="5" t="s">
        <v>1969</v>
      </c>
      <c r="H962" s="6" t="s">
        <v>3155</v>
      </c>
      <c r="I962" s="7">
        <f>8734</f>
        <v>8734</v>
      </c>
      <c r="J962" s="5" t="s">
        <v>262</v>
      </c>
      <c r="K962" s="8">
        <f>1</f>
        <v>1</v>
      </c>
      <c r="L962" s="6" t="s">
        <v>242</v>
      </c>
      <c r="M962" s="5" t="s">
        <v>267</v>
      </c>
      <c r="N962" s="5" t="s">
        <v>265</v>
      </c>
      <c r="O962" s="5" t="s">
        <v>238</v>
      </c>
      <c r="P962" s="5" t="s">
        <v>238</v>
      </c>
      <c r="Q962" s="5" t="s">
        <v>268</v>
      </c>
      <c r="R962" s="5" t="s">
        <v>270</v>
      </c>
      <c r="S962" s="5" t="s">
        <v>238</v>
      </c>
      <c r="V962" s="5" t="s">
        <v>238</v>
      </c>
      <c r="X962" s="6" t="s">
        <v>238</v>
      </c>
      <c r="AA962" s="6" t="s">
        <v>243</v>
      </c>
      <c r="AB962" s="5" t="s">
        <v>238</v>
      </c>
      <c r="AC962" s="5" t="s">
        <v>244</v>
      </c>
      <c r="AD962" s="5" t="s">
        <v>245</v>
      </c>
      <c r="AT962" s="5" t="s">
        <v>246</v>
      </c>
      <c r="AU962" s="5" t="s">
        <v>238</v>
      </c>
      <c r="AV962" s="5" t="s">
        <v>247</v>
      </c>
      <c r="AW962" s="5" t="s">
        <v>238</v>
      </c>
      <c r="AX962" s="5" t="s">
        <v>249</v>
      </c>
      <c r="AY962" s="5" t="s">
        <v>238</v>
      </c>
      <c r="BA962" s="5" t="s">
        <v>238</v>
      </c>
      <c r="BC962" s="5" t="s">
        <v>250</v>
      </c>
      <c r="BD962" s="6" t="s">
        <v>243</v>
      </c>
      <c r="BE962" s="5" t="s">
        <v>251</v>
      </c>
      <c r="BF962" s="5" t="s">
        <v>252</v>
      </c>
      <c r="BG962" s="5" t="s">
        <v>238</v>
      </c>
      <c r="BH962" s="7">
        <f>0</f>
        <v>0</v>
      </c>
      <c r="BI962" s="8">
        <f>0</f>
        <v>0</v>
      </c>
      <c r="BJ962" s="5" t="s">
        <v>253</v>
      </c>
      <c r="BK962" s="5" t="s">
        <v>254</v>
      </c>
      <c r="BY962" s="5" t="s">
        <v>238</v>
      </c>
      <c r="BZ962" s="5" t="s">
        <v>238</v>
      </c>
      <c r="CD962" s="5" t="s">
        <v>273</v>
      </c>
      <c r="CE962" s="5" t="s">
        <v>256</v>
      </c>
      <c r="CF962" s="5" t="s">
        <v>238</v>
      </c>
      <c r="CI962" s="6" t="s">
        <v>257</v>
      </c>
      <c r="CJ962" s="5" t="s">
        <v>238</v>
      </c>
      <c r="CK962" s="5" t="s">
        <v>258</v>
      </c>
      <c r="CL962" s="5" t="s">
        <v>238</v>
      </c>
      <c r="CM962" s="5" t="s">
        <v>238</v>
      </c>
      <c r="CN962" s="5">
        <v>0</v>
      </c>
      <c r="CO962" s="5" t="s">
        <v>259</v>
      </c>
      <c r="CP962" s="5" t="s">
        <v>260</v>
      </c>
      <c r="CQ962" s="5" t="s">
        <v>260</v>
      </c>
      <c r="CR962" s="5" t="s">
        <v>261</v>
      </c>
      <c r="CU962" s="8">
        <f>1</f>
        <v>1</v>
      </c>
      <c r="CV962" s="8">
        <f>0</f>
        <v>0</v>
      </c>
      <c r="CX962" s="8">
        <f>0</f>
        <v>0</v>
      </c>
      <c r="CY962" s="8">
        <f>1</f>
        <v>1</v>
      </c>
      <c r="DA962" s="5" t="s">
        <v>673</v>
      </c>
      <c r="DB962" s="5" t="s">
        <v>238</v>
      </c>
      <c r="DD962" s="5" t="s">
        <v>673</v>
      </c>
      <c r="DE962" s="8">
        <f>8734</f>
        <v>8734</v>
      </c>
      <c r="DG962" s="5" t="s">
        <v>238</v>
      </c>
      <c r="DH962" s="5" t="s">
        <v>238</v>
      </c>
      <c r="DI962" s="5" t="s">
        <v>238</v>
      </c>
      <c r="DJ962" s="5" t="s">
        <v>238</v>
      </c>
      <c r="DN962" s="5" t="s">
        <v>238</v>
      </c>
      <c r="DO962" s="5" t="s">
        <v>238</v>
      </c>
      <c r="DP962" s="5" t="s">
        <v>238</v>
      </c>
      <c r="DQ962" s="5" t="s">
        <v>238</v>
      </c>
      <c r="DT962" s="5" t="s">
        <v>2039</v>
      </c>
      <c r="DU962" s="5" t="s">
        <v>618</v>
      </c>
      <c r="HM962" s="5" t="s">
        <v>264</v>
      </c>
    </row>
    <row r="963" spans="1:221" x14ac:dyDescent="0.4">
      <c r="A963" s="5">
        <v>2638</v>
      </c>
      <c r="B963" s="5">
        <v>1</v>
      </c>
      <c r="C963" s="5">
        <v>1</v>
      </c>
      <c r="D963" s="5" t="s">
        <v>2037</v>
      </c>
      <c r="E963" s="5" t="s">
        <v>271</v>
      </c>
      <c r="F963" s="5" t="s">
        <v>248</v>
      </c>
      <c r="G963" s="5" t="s">
        <v>1969</v>
      </c>
      <c r="H963" s="6" t="s">
        <v>2403</v>
      </c>
      <c r="I963" s="7">
        <f>816</f>
        <v>816</v>
      </c>
      <c r="J963" s="5" t="s">
        <v>262</v>
      </c>
      <c r="K963" s="8">
        <f>1</f>
        <v>1</v>
      </c>
      <c r="L963" s="6" t="s">
        <v>242</v>
      </c>
      <c r="M963" s="5" t="s">
        <v>267</v>
      </c>
      <c r="N963" s="5" t="s">
        <v>265</v>
      </c>
      <c r="O963" s="5" t="s">
        <v>238</v>
      </c>
      <c r="P963" s="5" t="s">
        <v>238</v>
      </c>
      <c r="Q963" s="5" t="s">
        <v>268</v>
      </c>
      <c r="R963" s="5" t="s">
        <v>270</v>
      </c>
      <c r="S963" s="5" t="s">
        <v>238</v>
      </c>
      <c r="V963" s="5" t="s">
        <v>238</v>
      </c>
      <c r="X963" s="6" t="s">
        <v>238</v>
      </c>
      <c r="AA963" s="6" t="s">
        <v>243</v>
      </c>
      <c r="AB963" s="5" t="s">
        <v>238</v>
      </c>
      <c r="AC963" s="5" t="s">
        <v>244</v>
      </c>
      <c r="AD963" s="5" t="s">
        <v>245</v>
      </c>
      <c r="AT963" s="5" t="s">
        <v>246</v>
      </c>
      <c r="AU963" s="5" t="s">
        <v>238</v>
      </c>
      <c r="AV963" s="5" t="s">
        <v>247</v>
      </c>
      <c r="AW963" s="5" t="s">
        <v>238</v>
      </c>
      <c r="AX963" s="5" t="s">
        <v>249</v>
      </c>
      <c r="AY963" s="5" t="s">
        <v>238</v>
      </c>
      <c r="BA963" s="5" t="s">
        <v>238</v>
      </c>
      <c r="BC963" s="5" t="s">
        <v>250</v>
      </c>
      <c r="BD963" s="6" t="s">
        <v>243</v>
      </c>
      <c r="BE963" s="5" t="s">
        <v>251</v>
      </c>
      <c r="BF963" s="5" t="s">
        <v>252</v>
      </c>
      <c r="BG963" s="5" t="s">
        <v>238</v>
      </c>
      <c r="BH963" s="7">
        <f>0</f>
        <v>0</v>
      </c>
      <c r="BI963" s="8">
        <f>0</f>
        <v>0</v>
      </c>
      <c r="BJ963" s="5" t="s">
        <v>253</v>
      </c>
      <c r="BK963" s="5" t="s">
        <v>254</v>
      </c>
      <c r="BY963" s="5" t="s">
        <v>238</v>
      </c>
      <c r="BZ963" s="5" t="s">
        <v>238</v>
      </c>
      <c r="CD963" s="5" t="s">
        <v>273</v>
      </c>
      <c r="CE963" s="5" t="s">
        <v>256</v>
      </c>
      <c r="CF963" s="5" t="s">
        <v>238</v>
      </c>
      <c r="CI963" s="6" t="s">
        <v>257</v>
      </c>
      <c r="CJ963" s="5" t="s">
        <v>238</v>
      </c>
      <c r="CK963" s="5" t="s">
        <v>258</v>
      </c>
      <c r="CL963" s="5" t="s">
        <v>238</v>
      </c>
      <c r="CM963" s="5" t="s">
        <v>238</v>
      </c>
      <c r="CN963" s="5">
        <v>0</v>
      </c>
      <c r="CO963" s="5" t="s">
        <v>259</v>
      </c>
      <c r="CP963" s="5" t="s">
        <v>260</v>
      </c>
      <c r="CQ963" s="5" t="s">
        <v>260</v>
      </c>
      <c r="CR963" s="5" t="s">
        <v>261</v>
      </c>
      <c r="CU963" s="8">
        <f>1</f>
        <v>1</v>
      </c>
      <c r="CV963" s="8">
        <f>0</f>
        <v>0</v>
      </c>
      <c r="CX963" s="8">
        <f>0</f>
        <v>0</v>
      </c>
      <c r="CY963" s="8">
        <f>1</f>
        <v>1</v>
      </c>
      <c r="DA963" s="5" t="s">
        <v>673</v>
      </c>
      <c r="DB963" s="5" t="s">
        <v>238</v>
      </c>
      <c r="DD963" s="5" t="s">
        <v>673</v>
      </c>
      <c r="DE963" s="8">
        <f>816</f>
        <v>816</v>
      </c>
      <c r="DG963" s="5" t="s">
        <v>238</v>
      </c>
      <c r="DH963" s="5" t="s">
        <v>238</v>
      </c>
      <c r="DI963" s="5" t="s">
        <v>238</v>
      </c>
      <c r="DJ963" s="5" t="s">
        <v>238</v>
      </c>
      <c r="DN963" s="5" t="s">
        <v>238</v>
      </c>
      <c r="DO963" s="5" t="s">
        <v>238</v>
      </c>
      <c r="DP963" s="5" t="s">
        <v>238</v>
      </c>
      <c r="DQ963" s="5" t="s">
        <v>238</v>
      </c>
      <c r="DT963" s="5" t="s">
        <v>2039</v>
      </c>
      <c r="DU963" s="5" t="s">
        <v>622</v>
      </c>
      <c r="HM963" s="5" t="s">
        <v>264</v>
      </c>
    </row>
    <row r="964" spans="1:221" x14ac:dyDescent="0.4">
      <c r="A964" s="5">
        <v>2639</v>
      </c>
      <c r="B964" s="5">
        <v>1</v>
      </c>
      <c r="C964" s="5">
        <v>1</v>
      </c>
      <c r="D964" s="5" t="s">
        <v>2037</v>
      </c>
      <c r="E964" s="5" t="s">
        <v>271</v>
      </c>
      <c r="F964" s="5" t="s">
        <v>248</v>
      </c>
      <c r="G964" s="5" t="s">
        <v>1969</v>
      </c>
      <c r="H964" s="6" t="s">
        <v>3158</v>
      </c>
      <c r="I964" s="7">
        <f>2031</f>
        <v>2031</v>
      </c>
      <c r="J964" s="5" t="s">
        <v>262</v>
      </c>
      <c r="K964" s="8">
        <f>1</f>
        <v>1</v>
      </c>
      <c r="L964" s="6" t="s">
        <v>242</v>
      </c>
      <c r="M964" s="5" t="s">
        <v>267</v>
      </c>
      <c r="N964" s="5" t="s">
        <v>265</v>
      </c>
      <c r="O964" s="5" t="s">
        <v>238</v>
      </c>
      <c r="P964" s="5" t="s">
        <v>238</v>
      </c>
      <c r="Q964" s="5" t="s">
        <v>268</v>
      </c>
      <c r="R964" s="5" t="s">
        <v>270</v>
      </c>
      <c r="S964" s="5" t="s">
        <v>238</v>
      </c>
      <c r="V964" s="5" t="s">
        <v>238</v>
      </c>
      <c r="X964" s="6" t="s">
        <v>238</v>
      </c>
      <c r="AA964" s="6" t="s">
        <v>243</v>
      </c>
      <c r="AB964" s="5" t="s">
        <v>238</v>
      </c>
      <c r="AC964" s="5" t="s">
        <v>244</v>
      </c>
      <c r="AD964" s="5" t="s">
        <v>245</v>
      </c>
      <c r="AT964" s="5" t="s">
        <v>246</v>
      </c>
      <c r="AU964" s="5" t="s">
        <v>238</v>
      </c>
      <c r="AV964" s="5" t="s">
        <v>247</v>
      </c>
      <c r="AW964" s="5" t="s">
        <v>238</v>
      </c>
      <c r="AX964" s="5" t="s">
        <v>249</v>
      </c>
      <c r="AY964" s="5" t="s">
        <v>238</v>
      </c>
      <c r="BA964" s="5" t="s">
        <v>238</v>
      </c>
      <c r="BC964" s="5" t="s">
        <v>250</v>
      </c>
      <c r="BD964" s="6" t="s">
        <v>243</v>
      </c>
      <c r="BE964" s="5" t="s">
        <v>251</v>
      </c>
      <c r="BF964" s="5" t="s">
        <v>252</v>
      </c>
      <c r="BG964" s="5" t="s">
        <v>238</v>
      </c>
      <c r="BH964" s="7">
        <f>0</f>
        <v>0</v>
      </c>
      <c r="BI964" s="8">
        <f>0</f>
        <v>0</v>
      </c>
      <c r="BJ964" s="5" t="s">
        <v>253</v>
      </c>
      <c r="BK964" s="5" t="s">
        <v>254</v>
      </c>
      <c r="BY964" s="5" t="s">
        <v>238</v>
      </c>
      <c r="BZ964" s="5" t="s">
        <v>238</v>
      </c>
      <c r="CD964" s="5" t="s">
        <v>273</v>
      </c>
      <c r="CE964" s="5" t="s">
        <v>256</v>
      </c>
      <c r="CF964" s="5" t="s">
        <v>238</v>
      </c>
      <c r="CI964" s="6" t="s">
        <v>257</v>
      </c>
      <c r="CJ964" s="5" t="s">
        <v>238</v>
      </c>
      <c r="CK964" s="5" t="s">
        <v>258</v>
      </c>
      <c r="CL964" s="5" t="s">
        <v>238</v>
      </c>
      <c r="CM964" s="5" t="s">
        <v>238</v>
      </c>
      <c r="CN964" s="5">
        <v>0</v>
      </c>
      <c r="CO964" s="5" t="s">
        <v>259</v>
      </c>
      <c r="CP964" s="5" t="s">
        <v>260</v>
      </c>
      <c r="CQ964" s="5" t="s">
        <v>260</v>
      </c>
      <c r="CR964" s="5" t="s">
        <v>261</v>
      </c>
      <c r="CU964" s="8">
        <f>1</f>
        <v>1</v>
      </c>
      <c r="CV964" s="8">
        <f>0</f>
        <v>0</v>
      </c>
      <c r="CX964" s="8">
        <f>0</f>
        <v>0</v>
      </c>
      <c r="CY964" s="8">
        <f>1</f>
        <v>1</v>
      </c>
      <c r="DA964" s="5" t="s">
        <v>673</v>
      </c>
      <c r="DB964" s="5" t="s">
        <v>238</v>
      </c>
      <c r="DD964" s="5" t="s">
        <v>673</v>
      </c>
      <c r="DE964" s="8">
        <f>2031</f>
        <v>2031</v>
      </c>
      <c r="DG964" s="5" t="s">
        <v>238</v>
      </c>
      <c r="DH964" s="5" t="s">
        <v>238</v>
      </c>
      <c r="DI964" s="5" t="s">
        <v>238</v>
      </c>
      <c r="DJ964" s="5" t="s">
        <v>238</v>
      </c>
      <c r="DN964" s="5" t="s">
        <v>238</v>
      </c>
      <c r="DO964" s="5" t="s">
        <v>238</v>
      </c>
      <c r="DP964" s="5" t="s">
        <v>238</v>
      </c>
      <c r="DQ964" s="5" t="s">
        <v>238</v>
      </c>
      <c r="DT964" s="5" t="s">
        <v>2039</v>
      </c>
      <c r="DU964" s="5" t="s">
        <v>624</v>
      </c>
      <c r="HM964" s="5" t="s">
        <v>264</v>
      </c>
    </row>
    <row r="965" spans="1:221" x14ac:dyDescent="0.4">
      <c r="A965" s="5">
        <v>2640</v>
      </c>
      <c r="B965" s="5">
        <v>1</v>
      </c>
      <c r="C965" s="5">
        <v>1</v>
      </c>
      <c r="D965" s="5" t="s">
        <v>2037</v>
      </c>
      <c r="E965" s="5" t="s">
        <v>271</v>
      </c>
      <c r="F965" s="5" t="s">
        <v>248</v>
      </c>
      <c r="G965" s="5" t="s">
        <v>1969</v>
      </c>
      <c r="H965" s="6" t="s">
        <v>2402</v>
      </c>
      <c r="I965" s="7">
        <f>1407</f>
        <v>1407</v>
      </c>
      <c r="J965" s="5" t="s">
        <v>262</v>
      </c>
      <c r="K965" s="8">
        <f>1</f>
        <v>1</v>
      </c>
      <c r="L965" s="6" t="s">
        <v>242</v>
      </c>
      <c r="M965" s="5" t="s">
        <v>267</v>
      </c>
      <c r="N965" s="5" t="s">
        <v>265</v>
      </c>
      <c r="O965" s="5" t="s">
        <v>238</v>
      </c>
      <c r="P965" s="5" t="s">
        <v>238</v>
      </c>
      <c r="Q965" s="5" t="s">
        <v>268</v>
      </c>
      <c r="R965" s="5" t="s">
        <v>270</v>
      </c>
      <c r="S965" s="5" t="s">
        <v>238</v>
      </c>
      <c r="V965" s="5" t="s">
        <v>238</v>
      </c>
      <c r="X965" s="6" t="s">
        <v>238</v>
      </c>
      <c r="AA965" s="6" t="s">
        <v>243</v>
      </c>
      <c r="AB965" s="5" t="s">
        <v>238</v>
      </c>
      <c r="AC965" s="5" t="s">
        <v>244</v>
      </c>
      <c r="AD965" s="5" t="s">
        <v>245</v>
      </c>
      <c r="AT965" s="5" t="s">
        <v>246</v>
      </c>
      <c r="AU965" s="5" t="s">
        <v>238</v>
      </c>
      <c r="AV965" s="5" t="s">
        <v>247</v>
      </c>
      <c r="AW965" s="5" t="s">
        <v>238</v>
      </c>
      <c r="AX965" s="5" t="s">
        <v>249</v>
      </c>
      <c r="AY965" s="5" t="s">
        <v>238</v>
      </c>
      <c r="BA965" s="5" t="s">
        <v>238</v>
      </c>
      <c r="BC965" s="5" t="s">
        <v>250</v>
      </c>
      <c r="BD965" s="6" t="s">
        <v>243</v>
      </c>
      <c r="BE965" s="5" t="s">
        <v>251</v>
      </c>
      <c r="BF965" s="5" t="s">
        <v>252</v>
      </c>
      <c r="BG965" s="5" t="s">
        <v>238</v>
      </c>
      <c r="BH965" s="7">
        <f>0</f>
        <v>0</v>
      </c>
      <c r="BI965" s="8">
        <f>0</f>
        <v>0</v>
      </c>
      <c r="BJ965" s="5" t="s">
        <v>253</v>
      </c>
      <c r="BK965" s="5" t="s">
        <v>254</v>
      </c>
      <c r="BY965" s="5" t="s">
        <v>238</v>
      </c>
      <c r="BZ965" s="5" t="s">
        <v>238</v>
      </c>
      <c r="CD965" s="5" t="s">
        <v>273</v>
      </c>
      <c r="CE965" s="5" t="s">
        <v>256</v>
      </c>
      <c r="CF965" s="5" t="s">
        <v>238</v>
      </c>
      <c r="CI965" s="6" t="s">
        <v>257</v>
      </c>
      <c r="CJ965" s="5" t="s">
        <v>238</v>
      </c>
      <c r="CK965" s="5" t="s">
        <v>258</v>
      </c>
      <c r="CL965" s="5" t="s">
        <v>238</v>
      </c>
      <c r="CM965" s="5" t="s">
        <v>238</v>
      </c>
      <c r="CN965" s="5">
        <v>0</v>
      </c>
      <c r="CO965" s="5" t="s">
        <v>259</v>
      </c>
      <c r="CP965" s="5" t="s">
        <v>260</v>
      </c>
      <c r="CQ965" s="5" t="s">
        <v>260</v>
      </c>
      <c r="CR965" s="5" t="s">
        <v>261</v>
      </c>
      <c r="CU965" s="8">
        <f>1</f>
        <v>1</v>
      </c>
      <c r="CV965" s="8">
        <f>0</f>
        <v>0</v>
      </c>
      <c r="CX965" s="8">
        <f>0</f>
        <v>0</v>
      </c>
      <c r="CY965" s="8">
        <f>1</f>
        <v>1</v>
      </c>
      <c r="DA965" s="5" t="s">
        <v>673</v>
      </c>
      <c r="DB965" s="5" t="s">
        <v>238</v>
      </c>
      <c r="DD965" s="5" t="s">
        <v>673</v>
      </c>
      <c r="DE965" s="8">
        <f>1407</f>
        <v>1407</v>
      </c>
      <c r="DG965" s="5" t="s">
        <v>238</v>
      </c>
      <c r="DH965" s="5" t="s">
        <v>238</v>
      </c>
      <c r="DI965" s="5" t="s">
        <v>238</v>
      </c>
      <c r="DJ965" s="5" t="s">
        <v>238</v>
      </c>
      <c r="DN965" s="5" t="s">
        <v>238</v>
      </c>
      <c r="DO965" s="5" t="s">
        <v>238</v>
      </c>
      <c r="DP965" s="5" t="s">
        <v>238</v>
      </c>
      <c r="DQ965" s="5" t="s">
        <v>238</v>
      </c>
      <c r="DT965" s="5" t="s">
        <v>2039</v>
      </c>
      <c r="DU965" s="5" t="s">
        <v>630</v>
      </c>
      <c r="HM965" s="5" t="s">
        <v>264</v>
      </c>
    </row>
    <row r="966" spans="1:221" x14ac:dyDescent="0.4">
      <c r="A966" s="5">
        <v>2641</v>
      </c>
      <c r="B966" s="5">
        <v>1</v>
      </c>
      <c r="C966" s="5">
        <v>1</v>
      </c>
      <c r="D966" s="5" t="s">
        <v>2037</v>
      </c>
      <c r="E966" s="5" t="s">
        <v>271</v>
      </c>
      <c r="F966" s="5" t="s">
        <v>248</v>
      </c>
      <c r="G966" s="5" t="s">
        <v>1969</v>
      </c>
      <c r="H966" s="6" t="s">
        <v>3160</v>
      </c>
      <c r="I966" s="7">
        <f>1076</f>
        <v>1076</v>
      </c>
      <c r="J966" s="5" t="s">
        <v>262</v>
      </c>
      <c r="K966" s="8">
        <f>1</f>
        <v>1</v>
      </c>
      <c r="L966" s="6" t="s">
        <v>242</v>
      </c>
      <c r="M966" s="5" t="s">
        <v>267</v>
      </c>
      <c r="N966" s="5" t="s">
        <v>265</v>
      </c>
      <c r="O966" s="5" t="s">
        <v>238</v>
      </c>
      <c r="P966" s="5" t="s">
        <v>238</v>
      </c>
      <c r="Q966" s="5" t="s">
        <v>268</v>
      </c>
      <c r="R966" s="5" t="s">
        <v>270</v>
      </c>
      <c r="S966" s="5" t="s">
        <v>238</v>
      </c>
      <c r="V966" s="5" t="s">
        <v>238</v>
      </c>
      <c r="X966" s="6" t="s">
        <v>238</v>
      </c>
      <c r="AA966" s="6" t="s">
        <v>243</v>
      </c>
      <c r="AB966" s="5" t="s">
        <v>238</v>
      </c>
      <c r="AC966" s="5" t="s">
        <v>244</v>
      </c>
      <c r="AD966" s="5" t="s">
        <v>245</v>
      </c>
      <c r="AT966" s="5" t="s">
        <v>246</v>
      </c>
      <c r="AU966" s="5" t="s">
        <v>238</v>
      </c>
      <c r="AV966" s="5" t="s">
        <v>247</v>
      </c>
      <c r="AW966" s="5" t="s">
        <v>238</v>
      </c>
      <c r="AX966" s="5" t="s">
        <v>249</v>
      </c>
      <c r="AY966" s="5" t="s">
        <v>238</v>
      </c>
      <c r="BA966" s="5" t="s">
        <v>238</v>
      </c>
      <c r="BC966" s="5" t="s">
        <v>250</v>
      </c>
      <c r="BD966" s="6" t="s">
        <v>243</v>
      </c>
      <c r="BE966" s="5" t="s">
        <v>251</v>
      </c>
      <c r="BF966" s="5" t="s">
        <v>252</v>
      </c>
      <c r="BG966" s="5" t="s">
        <v>238</v>
      </c>
      <c r="BH966" s="7">
        <f>0</f>
        <v>0</v>
      </c>
      <c r="BI966" s="8">
        <f>0</f>
        <v>0</v>
      </c>
      <c r="BJ966" s="5" t="s">
        <v>253</v>
      </c>
      <c r="BK966" s="5" t="s">
        <v>254</v>
      </c>
      <c r="BY966" s="5" t="s">
        <v>238</v>
      </c>
      <c r="BZ966" s="5" t="s">
        <v>238</v>
      </c>
      <c r="CD966" s="5" t="s">
        <v>273</v>
      </c>
      <c r="CE966" s="5" t="s">
        <v>256</v>
      </c>
      <c r="CF966" s="5" t="s">
        <v>238</v>
      </c>
      <c r="CI966" s="6" t="s">
        <v>257</v>
      </c>
      <c r="CJ966" s="5" t="s">
        <v>238</v>
      </c>
      <c r="CK966" s="5" t="s">
        <v>258</v>
      </c>
      <c r="CL966" s="5" t="s">
        <v>238</v>
      </c>
      <c r="CM966" s="5" t="s">
        <v>238</v>
      </c>
      <c r="CN966" s="5">
        <v>0</v>
      </c>
      <c r="CO966" s="5" t="s">
        <v>259</v>
      </c>
      <c r="CP966" s="5" t="s">
        <v>260</v>
      </c>
      <c r="CQ966" s="5" t="s">
        <v>260</v>
      </c>
      <c r="CR966" s="5" t="s">
        <v>261</v>
      </c>
      <c r="CU966" s="8">
        <f>1</f>
        <v>1</v>
      </c>
      <c r="CV966" s="8">
        <f>0</f>
        <v>0</v>
      </c>
      <c r="CX966" s="8">
        <f>0</f>
        <v>0</v>
      </c>
      <c r="CY966" s="8">
        <f>1</f>
        <v>1</v>
      </c>
      <c r="DA966" s="5" t="s">
        <v>673</v>
      </c>
      <c r="DB966" s="5" t="s">
        <v>238</v>
      </c>
      <c r="DD966" s="5" t="s">
        <v>673</v>
      </c>
      <c r="DE966" s="8">
        <f>1076</f>
        <v>1076</v>
      </c>
      <c r="DG966" s="5" t="s">
        <v>238</v>
      </c>
      <c r="DH966" s="5" t="s">
        <v>238</v>
      </c>
      <c r="DI966" s="5" t="s">
        <v>238</v>
      </c>
      <c r="DJ966" s="5" t="s">
        <v>238</v>
      </c>
      <c r="DN966" s="5" t="s">
        <v>238</v>
      </c>
      <c r="DO966" s="5" t="s">
        <v>238</v>
      </c>
      <c r="DP966" s="5" t="s">
        <v>238</v>
      </c>
      <c r="DQ966" s="5" t="s">
        <v>238</v>
      </c>
      <c r="DT966" s="5" t="s">
        <v>2039</v>
      </c>
      <c r="DU966" s="5" t="s">
        <v>632</v>
      </c>
      <c r="HM966" s="5" t="s">
        <v>264</v>
      </c>
    </row>
    <row r="967" spans="1:221" x14ac:dyDescent="0.4">
      <c r="A967" s="5">
        <v>2642</v>
      </c>
      <c r="B967" s="5">
        <v>1</v>
      </c>
      <c r="C967" s="5">
        <v>1</v>
      </c>
      <c r="D967" s="5" t="s">
        <v>2037</v>
      </c>
      <c r="E967" s="5" t="s">
        <v>271</v>
      </c>
      <c r="F967" s="5" t="s">
        <v>248</v>
      </c>
      <c r="G967" s="5" t="s">
        <v>1969</v>
      </c>
      <c r="H967" s="6" t="s">
        <v>2423</v>
      </c>
      <c r="I967" s="7">
        <f>281</f>
        <v>281</v>
      </c>
      <c r="J967" s="5" t="s">
        <v>262</v>
      </c>
      <c r="K967" s="8">
        <f>1</f>
        <v>1</v>
      </c>
      <c r="L967" s="6" t="s">
        <v>242</v>
      </c>
      <c r="M967" s="5" t="s">
        <v>267</v>
      </c>
      <c r="N967" s="5" t="s">
        <v>265</v>
      </c>
      <c r="O967" s="5" t="s">
        <v>238</v>
      </c>
      <c r="P967" s="5" t="s">
        <v>238</v>
      </c>
      <c r="Q967" s="5" t="s">
        <v>268</v>
      </c>
      <c r="R967" s="5" t="s">
        <v>270</v>
      </c>
      <c r="S967" s="5" t="s">
        <v>238</v>
      </c>
      <c r="V967" s="5" t="s">
        <v>238</v>
      </c>
      <c r="X967" s="6" t="s">
        <v>238</v>
      </c>
      <c r="AA967" s="6" t="s">
        <v>243</v>
      </c>
      <c r="AB967" s="5" t="s">
        <v>238</v>
      </c>
      <c r="AC967" s="5" t="s">
        <v>244</v>
      </c>
      <c r="AD967" s="5" t="s">
        <v>245</v>
      </c>
      <c r="AT967" s="5" t="s">
        <v>246</v>
      </c>
      <c r="AU967" s="5" t="s">
        <v>238</v>
      </c>
      <c r="AV967" s="5" t="s">
        <v>247</v>
      </c>
      <c r="AW967" s="5" t="s">
        <v>238</v>
      </c>
      <c r="AX967" s="5" t="s">
        <v>249</v>
      </c>
      <c r="AY967" s="5" t="s">
        <v>238</v>
      </c>
      <c r="BA967" s="5" t="s">
        <v>238</v>
      </c>
      <c r="BC967" s="5" t="s">
        <v>250</v>
      </c>
      <c r="BD967" s="6" t="s">
        <v>243</v>
      </c>
      <c r="BE967" s="5" t="s">
        <v>251</v>
      </c>
      <c r="BF967" s="5" t="s">
        <v>252</v>
      </c>
      <c r="BG967" s="5" t="s">
        <v>238</v>
      </c>
      <c r="BH967" s="7">
        <f>0</f>
        <v>0</v>
      </c>
      <c r="BI967" s="8">
        <f>0</f>
        <v>0</v>
      </c>
      <c r="BJ967" s="5" t="s">
        <v>253</v>
      </c>
      <c r="BK967" s="5" t="s">
        <v>254</v>
      </c>
      <c r="BY967" s="5" t="s">
        <v>238</v>
      </c>
      <c r="BZ967" s="5" t="s">
        <v>238</v>
      </c>
      <c r="CD967" s="5" t="s">
        <v>273</v>
      </c>
      <c r="CE967" s="5" t="s">
        <v>256</v>
      </c>
      <c r="CF967" s="5" t="s">
        <v>238</v>
      </c>
      <c r="CI967" s="6" t="s">
        <v>257</v>
      </c>
      <c r="CJ967" s="5" t="s">
        <v>238</v>
      </c>
      <c r="CK967" s="5" t="s">
        <v>258</v>
      </c>
      <c r="CL967" s="5" t="s">
        <v>238</v>
      </c>
      <c r="CM967" s="5" t="s">
        <v>238</v>
      </c>
      <c r="CN967" s="5">
        <v>0</v>
      </c>
      <c r="CO967" s="5" t="s">
        <v>259</v>
      </c>
      <c r="CP967" s="5" t="s">
        <v>260</v>
      </c>
      <c r="CQ967" s="5" t="s">
        <v>260</v>
      </c>
      <c r="CR967" s="5" t="s">
        <v>261</v>
      </c>
      <c r="CU967" s="8">
        <f>1</f>
        <v>1</v>
      </c>
      <c r="CV967" s="8">
        <f>0</f>
        <v>0</v>
      </c>
      <c r="CX967" s="8">
        <f>0</f>
        <v>0</v>
      </c>
      <c r="CY967" s="8">
        <f>1</f>
        <v>1</v>
      </c>
      <c r="DA967" s="5" t="s">
        <v>673</v>
      </c>
      <c r="DB967" s="5" t="s">
        <v>238</v>
      </c>
      <c r="DD967" s="5" t="s">
        <v>673</v>
      </c>
      <c r="DE967" s="8">
        <f>281</f>
        <v>281</v>
      </c>
      <c r="DG967" s="5" t="s">
        <v>238</v>
      </c>
      <c r="DH967" s="5" t="s">
        <v>238</v>
      </c>
      <c r="DI967" s="5" t="s">
        <v>238</v>
      </c>
      <c r="DJ967" s="5" t="s">
        <v>238</v>
      </c>
      <c r="DN967" s="5" t="s">
        <v>238</v>
      </c>
      <c r="DO967" s="5" t="s">
        <v>238</v>
      </c>
      <c r="DP967" s="5" t="s">
        <v>238</v>
      </c>
      <c r="DQ967" s="5" t="s">
        <v>238</v>
      </c>
      <c r="DT967" s="5" t="s">
        <v>2039</v>
      </c>
      <c r="DU967" s="5" t="s">
        <v>636</v>
      </c>
      <c r="HM967" s="5" t="s">
        <v>264</v>
      </c>
    </row>
    <row r="968" spans="1:221" x14ac:dyDescent="0.4">
      <c r="A968" s="5">
        <v>2643</v>
      </c>
      <c r="B968" s="5">
        <v>1</v>
      </c>
      <c r="C968" s="5">
        <v>1</v>
      </c>
      <c r="D968" s="5" t="s">
        <v>2037</v>
      </c>
      <c r="E968" s="5" t="s">
        <v>271</v>
      </c>
      <c r="F968" s="5" t="s">
        <v>248</v>
      </c>
      <c r="G968" s="5" t="s">
        <v>1969</v>
      </c>
      <c r="H968" s="6" t="s">
        <v>3162</v>
      </c>
      <c r="I968" s="7">
        <f>1557</f>
        <v>1557</v>
      </c>
      <c r="J968" s="5" t="s">
        <v>262</v>
      </c>
      <c r="K968" s="8">
        <f>1</f>
        <v>1</v>
      </c>
      <c r="L968" s="6" t="s">
        <v>242</v>
      </c>
      <c r="M968" s="5" t="s">
        <v>267</v>
      </c>
      <c r="N968" s="5" t="s">
        <v>265</v>
      </c>
      <c r="O968" s="5" t="s">
        <v>238</v>
      </c>
      <c r="P968" s="5" t="s">
        <v>238</v>
      </c>
      <c r="Q968" s="5" t="s">
        <v>268</v>
      </c>
      <c r="R968" s="5" t="s">
        <v>270</v>
      </c>
      <c r="S968" s="5" t="s">
        <v>238</v>
      </c>
      <c r="V968" s="5" t="s">
        <v>238</v>
      </c>
      <c r="X968" s="6" t="s">
        <v>238</v>
      </c>
      <c r="AA968" s="6" t="s">
        <v>243</v>
      </c>
      <c r="AB968" s="5" t="s">
        <v>238</v>
      </c>
      <c r="AC968" s="5" t="s">
        <v>244</v>
      </c>
      <c r="AD968" s="5" t="s">
        <v>245</v>
      </c>
      <c r="AT968" s="5" t="s">
        <v>246</v>
      </c>
      <c r="AU968" s="5" t="s">
        <v>238</v>
      </c>
      <c r="AV968" s="5" t="s">
        <v>247</v>
      </c>
      <c r="AW968" s="5" t="s">
        <v>238</v>
      </c>
      <c r="AX968" s="5" t="s">
        <v>249</v>
      </c>
      <c r="AY968" s="5" t="s">
        <v>238</v>
      </c>
      <c r="BA968" s="5" t="s">
        <v>238</v>
      </c>
      <c r="BC968" s="5" t="s">
        <v>250</v>
      </c>
      <c r="BD968" s="6" t="s">
        <v>243</v>
      </c>
      <c r="BE968" s="5" t="s">
        <v>251</v>
      </c>
      <c r="BF968" s="5" t="s">
        <v>252</v>
      </c>
      <c r="BG968" s="5" t="s">
        <v>238</v>
      </c>
      <c r="BH968" s="7">
        <f>0</f>
        <v>0</v>
      </c>
      <c r="BI968" s="8">
        <f>0</f>
        <v>0</v>
      </c>
      <c r="BJ968" s="5" t="s">
        <v>253</v>
      </c>
      <c r="BK968" s="5" t="s">
        <v>254</v>
      </c>
      <c r="BY968" s="5" t="s">
        <v>238</v>
      </c>
      <c r="BZ968" s="5" t="s">
        <v>238</v>
      </c>
      <c r="CD968" s="5" t="s">
        <v>273</v>
      </c>
      <c r="CE968" s="5" t="s">
        <v>256</v>
      </c>
      <c r="CF968" s="5" t="s">
        <v>238</v>
      </c>
      <c r="CI968" s="6" t="s">
        <v>257</v>
      </c>
      <c r="CJ968" s="5" t="s">
        <v>238</v>
      </c>
      <c r="CK968" s="5" t="s">
        <v>258</v>
      </c>
      <c r="CL968" s="5" t="s">
        <v>238</v>
      </c>
      <c r="CM968" s="5" t="s">
        <v>238</v>
      </c>
      <c r="CN968" s="5">
        <v>0</v>
      </c>
      <c r="CO968" s="5" t="s">
        <v>259</v>
      </c>
      <c r="CP968" s="5" t="s">
        <v>260</v>
      </c>
      <c r="CQ968" s="5" t="s">
        <v>260</v>
      </c>
      <c r="CR968" s="5" t="s">
        <v>261</v>
      </c>
      <c r="CU968" s="8">
        <f>1</f>
        <v>1</v>
      </c>
      <c r="CV968" s="8">
        <f>0</f>
        <v>0</v>
      </c>
      <c r="CX968" s="8">
        <f>0</f>
        <v>0</v>
      </c>
      <c r="CY968" s="8">
        <f>1</f>
        <v>1</v>
      </c>
      <c r="DA968" s="5" t="s">
        <v>673</v>
      </c>
      <c r="DB968" s="5" t="s">
        <v>238</v>
      </c>
      <c r="DD968" s="5" t="s">
        <v>673</v>
      </c>
      <c r="DE968" s="8">
        <f>1557</f>
        <v>1557</v>
      </c>
      <c r="DG968" s="5" t="s">
        <v>238</v>
      </c>
      <c r="DH968" s="5" t="s">
        <v>238</v>
      </c>
      <c r="DI968" s="5" t="s">
        <v>238</v>
      </c>
      <c r="DJ968" s="5" t="s">
        <v>238</v>
      </c>
      <c r="DN968" s="5" t="s">
        <v>238</v>
      </c>
      <c r="DO968" s="5" t="s">
        <v>238</v>
      </c>
      <c r="DP968" s="5" t="s">
        <v>238</v>
      </c>
      <c r="DQ968" s="5" t="s">
        <v>238</v>
      </c>
      <c r="DT968" s="5" t="s">
        <v>2039</v>
      </c>
      <c r="DU968" s="5" t="s">
        <v>638</v>
      </c>
      <c r="HM968" s="5" t="s">
        <v>264</v>
      </c>
    </row>
    <row r="969" spans="1:221" x14ac:dyDescent="0.4">
      <c r="A969" s="5">
        <v>2644</v>
      </c>
      <c r="B969" s="5">
        <v>1</v>
      </c>
      <c r="C969" s="5">
        <v>1</v>
      </c>
      <c r="D969" s="5" t="s">
        <v>2037</v>
      </c>
      <c r="E969" s="5" t="s">
        <v>271</v>
      </c>
      <c r="F969" s="5" t="s">
        <v>248</v>
      </c>
      <c r="G969" s="5" t="s">
        <v>1969</v>
      </c>
      <c r="H969" s="6" t="s">
        <v>2396</v>
      </c>
      <c r="I969" s="7">
        <f>912</f>
        <v>912</v>
      </c>
      <c r="J969" s="5" t="s">
        <v>262</v>
      </c>
      <c r="K969" s="8">
        <f>1</f>
        <v>1</v>
      </c>
      <c r="L969" s="6" t="s">
        <v>242</v>
      </c>
      <c r="M969" s="5" t="s">
        <v>267</v>
      </c>
      <c r="N969" s="5" t="s">
        <v>265</v>
      </c>
      <c r="O969" s="5" t="s">
        <v>238</v>
      </c>
      <c r="P969" s="5" t="s">
        <v>238</v>
      </c>
      <c r="Q969" s="5" t="s">
        <v>268</v>
      </c>
      <c r="R969" s="5" t="s">
        <v>270</v>
      </c>
      <c r="S969" s="5" t="s">
        <v>238</v>
      </c>
      <c r="V969" s="5" t="s">
        <v>238</v>
      </c>
      <c r="X969" s="6" t="s">
        <v>238</v>
      </c>
      <c r="AA969" s="6" t="s">
        <v>243</v>
      </c>
      <c r="AB969" s="5" t="s">
        <v>238</v>
      </c>
      <c r="AC969" s="5" t="s">
        <v>244</v>
      </c>
      <c r="AD969" s="5" t="s">
        <v>245</v>
      </c>
      <c r="AT969" s="5" t="s">
        <v>246</v>
      </c>
      <c r="AU969" s="5" t="s">
        <v>238</v>
      </c>
      <c r="AV969" s="5" t="s">
        <v>247</v>
      </c>
      <c r="AW969" s="5" t="s">
        <v>238</v>
      </c>
      <c r="AX969" s="5" t="s">
        <v>249</v>
      </c>
      <c r="AY969" s="5" t="s">
        <v>238</v>
      </c>
      <c r="BA969" s="5" t="s">
        <v>238</v>
      </c>
      <c r="BC969" s="5" t="s">
        <v>250</v>
      </c>
      <c r="BD969" s="6" t="s">
        <v>243</v>
      </c>
      <c r="BE969" s="5" t="s">
        <v>251</v>
      </c>
      <c r="BF969" s="5" t="s">
        <v>252</v>
      </c>
      <c r="BG969" s="5" t="s">
        <v>238</v>
      </c>
      <c r="BH969" s="7">
        <f>0</f>
        <v>0</v>
      </c>
      <c r="BI969" s="8">
        <f>0</f>
        <v>0</v>
      </c>
      <c r="BJ969" s="5" t="s">
        <v>253</v>
      </c>
      <c r="BK969" s="5" t="s">
        <v>254</v>
      </c>
      <c r="BY969" s="5" t="s">
        <v>238</v>
      </c>
      <c r="BZ969" s="5" t="s">
        <v>238</v>
      </c>
      <c r="CD969" s="5" t="s">
        <v>273</v>
      </c>
      <c r="CE969" s="5" t="s">
        <v>256</v>
      </c>
      <c r="CF969" s="5" t="s">
        <v>238</v>
      </c>
      <c r="CI969" s="6" t="s">
        <v>257</v>
      </c>
      <c r="CJ969" s="5" t="s">
        <v>238</v>
      </c>
      <c r="CK969" s="5" t="s">
        <v>258</v>
      </c>
      <c r="CL969" s="5" t="s">
        <v>238</v>
      </c>
      <c r="CM969" s="5" t="s">
        <v>238</v>
      </c>
      <c r="CN969" s="5">
        <v>0</v>
      </c>
      <c r="CO969" s="5" t="s">
        <v>259</v>
      </c>
      <c r="CP969" s="5" t="s">
        <v>260</v>
      </c>
      <c r="CQ969" s="5" t="s">
        <v>260</v>
      </c>
      <c r="CR969" s="5" t="s">
        <v>261</v>
      </c>
      <c r="CU969" s="8">
        <f>1</f>
        <v>1</v>
      </c>
      <c r="CV969" s="8">
        <f>0</f>
        <v>0</v>
      </c>
      <c r="CX969" s="8">
        <f>0</f>
        <v>0</v>
      </c>
      <c r="CY969" s="8">
        <f>1</f>
        <v>1</v>
      </c>
      <c r="DA969" s="5" t="s">
        <v>673</v>
      </c>
      <c r="DB969" s="5" t="s">
        <v>238</v>
      </c>
      <c r="DD969" s="5" t="s">
        <v>673</v>
      </c>
      <c r="DE969" s="8">
        <f>912</f>
        <v>912</v>
      </c>
      <c r="DG969" s="5" t="s">
        <v>238</v>
      </c>
      <c r="DH969" s="5" t="s">
        <v>238</v>
      </c>
      <c r="DI969" s="5" t="s">
        <v>238</v>
      </c>
      <c r="DJ969" s="5" t="s">
        <v>238</v>
      </c>
      <c r="DN969" s="5" t="s">
        <v>238</v>
      </c>
      <c r="DO969" s="5" t="s">
        <v>238</v>
      </c>
      <c r="DP969" s="5" t="s">
        <v>238</v>
      </c>
      <c r="DQ969" s="5" t="s">
        <v>238</v>
      </c>
      <c r="DT969" s="5" t="s">
        <v>2039</v>
      </c>
      <c r="DU969" s="5" t="s">
        <v>644</v>
      </c>
      <c r="HM969" s="5" t="s">
        <v>264</v>
      </c>
    </row>
    <row r="970" spans="1:221" x14ac:dyDescent="0.4">
      <c r="A970" s="5">
        <v>2645</v>
      </c>
      <c r="B970" s="5">
        <v>1</v>
      </c>
      <c r="C970" s="5">
        <v>1</v>
      </c>
      <c r="D970" s="5" t="s">
        <v>2037</v>
      </c>
      <c r="E970" s="5" t="s">
        <v>271</v>
      </c>
      <c r="F970" s="5" t="s">
        <v>248</v>
      </c>
      <c r="G970" s="5" t="s">
        <v>1969</v>
      </c>
      <c r="H970" s="6" t="s">
        <v>3164</v>
      </c>
      <c r="I970" s="7">
        <f>93</f>
        <v>93</v>
      </c>
      <c r="J970" s="5" t="s">
        <v>262</v>
      </c>
      <c r="K970" s="8">
        <f>1</f>
        <v>1</v>
      </c>
      <c r="L970" s="6" t="s">
        <v>242</v>
      </c>
      <c r="M970" s="5" t="s">
        <v>267</v>
      </c>
      <c r="N970" s="5" t="s">
        <v>265</v>
      </c>
      <c r="O970" s="5" t="s">
        <v>238</v>
      </c>
      <c r="P970" s="5" t="s">
        <v>238</v>
      </c>
      <c r="Q970" s="5" t="s">
        <v>268</v>
      </c>
      <c r="R970" s="5" t="s">
        <v>270</v>
      </c>
      <c r="S970" s="5" t="s">
        <v>238</v>
      </c>
      <c r="V970" s="5" t="s">
        <v>238</v>
      </c>
      <c r="X970" s="6" t="s">
        <v>238</v>
      </c>
      <c r="AA970" s="6" t="s">
        <v>243</v>
      </c>
      <c r="AB970" s="5" t="s">
        <v>238</v>
      </c>
      <c r="AC970" s="5" t="s">
        <v>244</v>
      </c>
      <c r="AD970" s="5" t="s">
        <v>245</v>
      </c>
      <c r="AT970" s="5" t="s">
        <v>246</v>
      </c>
      <c r="AU970" s="5" t="s">
        <v>238</v>
      </c>
      <c r="AV970" s="5" t="s">
        <v>247</v>
      </c>
      <c r="AW970" s="5" t="s">
        <v>238</v>
      </c>
      <c r="AX970" s="5" t="s">
        <v>249</v>
      </c>
      <c r="AY970" s="5" t="s">
        <v>238</v>
      </c>
      <c r="BA970" s="5" t="s">
        <v>238</v>
      </c>
      <c r="BC970" s="5" t="s">
        <v>250</v>
      </c>
      <c r="BD970" s="6" t="s">
        <v>243</v>
      </c>
      <c r="BE970" s="5" t="s">
        <v>251</v>
      </c>
      <c r="BF970" s="5" t="s">
        <v>252</v>
      </c>
      <c r="BG970" s="5" t="s">
        <v>238</v>
      </c>
      <c r="BH970" s="7">
        <f>0</f>
        <v>0</v>
      </c>
      <c r="BI970" s="8">
        <f>0</f>
        <v>0</v>
      </c>
      <c r="BJ970" s="5" t="s">
        <v>253</v>
      </c>
      <c r="BK970" s="5" t="s">
        <v>254</v>
      </c>
      <c r="BY970" s="5" t="s">
        <v>238</v>
      </c>
      <c r="BZ970" s="5" t="s">
        <v>238</v>
      </c>
      <c r="CD970" s="5" t="s">
        <v>273</v>
      </c>
      <c r="CE970" s="5" t="s">
        <v>256</v>
      </c>
      <c r="CF970" s="5" t="s">
        <v>238</v>
      </c>
      <c r="CI970" s="6" t="s">
        <v>257</v>
      </c>
      <c r="CJ970" s="5" t="s">
        <v>238</v>
      </c>
      <c r="CK970" s="5" t="s">
        <v>258</v>
      </c>
      <c r="CL970" s="5" t="s">
        <v>238</v>
      </c>
      <c r="CM970" s="5" t="s">
        <v>238</v>
      </c>
      <c r="CN970" s="5">
        <v>0</v>
      </c>
      <c r="CO970" s="5" t="s">
        <v>259</v>
      </c>
      <c r="CP970" s="5" t="s">
        <v>260</v>
      </c>
      <c r="CQ970" s="5" t="s">
        <v>260</v>
      </c>
      <c r="CR970" s="5" t="s">
        <v>261</v>
      </c>
      <c r="CU970" s="8">
        <f>1</f>
        <v>1</v>
      </c>
      <c r="CV970" s="8">
        <f>0</f>
        <v>0</v>
      </c>
      <c r="CX970" s="8">
        <f>0</f>
        <v>0</v>
      </c>
      <c r="CY970" s="8">
        <f>1</f>
        <v>1</v>
      </c>
      <c r="DA970" s="5" t="s">
        <v>673</v>
      </c>
      <c r="DB970" s="5" t="s">
        <v>238</v>
      </c>
      <c r="DD970" s="5" t="s">
        <v>673</v>
      </c>
      <c r="DE970" s="8">
        <f>93</f>
        <v>93</v>
      </c>
      <c r="DG970" s="5" t="s">
        <v>238</v>
      </c>
      <c r="DH970" s="5" t="s">
        <v>238</v>
      </c>
      <c r="DI970" s="5" t="s">
        <v>238</v>
      </c>
      <c r="DJ970" s="5" t="s">
        <v>238</v>
      </c>
      <c r="DN970" s="5" t="s">
        <v>238</v>
      </c>
      <c r="DO970" s="5" t="s">
        <v>238</v>
      </c>
      <c r="DP970" s="5" t="s">
        <v>238</v>
      </c>
      <c r="DQ970" s="5" t="s">
        <v>238</v>
      </c>
      <c r="DT970" s="5" t="s">
        <v>2039</v>
      </c>
      <c r="DU970" s="5" t="s">
        <v>648</v>
      </c>
      <c r="HM970" s="5" t="s">
        <v>264</v>
      </c>
    </row>
    <row r="971" spans="1:221" x14ac:dyDescent="0.4">
      <c r="A971" s="5">
        <v>2646</v>
      </c>
      <c r="B971" s="5">
        <v>1</v>
      </c>
      <c r="C971" s="5">
        <v>1</v>
      </c>
      <c r="D971" s="5" t="s">
        <v>2037</v>
      </c>
      <c r="E971" s="5" t="s">
        <v>271</v>
      </c>
      <c r="F971" s="5" t="s">
        <v>248</v>
      </c>
      <c r="G971" s="5" t="s">
        <v>1969</v>
      </c>
      <c r="H971" s="6" t="s">
        <v>2439</v>
      </c>
      <c r="I971" s="7">
        <f>90</f>
        <v>90</v>
      </c>
      <c r="J971" s="5" t="s">
        <v>262</v>
      </c>
      <c r="K971" s="8">
        <f>1</f>
        <v>1</v>
      </c>
      <c r="L971" s="6" t="s">
        <v>242</v>
      </c>
      <c r="M971" s="5" t="s">
        <v>267</v>
      </c>
      <c r="N971" s="5" t="s">
        <v>265</v>
      </c>
      <c r="O971" s="5" t="s">
        <v>238</v>
      </c>
      <c r="P971" s="5" t="s">
        <v>238</v>
      </c>
      <c r="Q971" s="5" t="s">
        <v>268</v>
      </c>
      <c r="R971" s="5" t="s">
        <v>270</v>
      </c>
      <c r="S971" s="5" t="s">
        <v>238</v>
      </c>
      <c r="V971" s="5" t="s">
        <v>238</v>
      </c>
      <c r="X971" s="6" t="s">
        <v>238</v>
      </c>
      <c r="AA971" s="6" t="s">
        <v>243</v>
      </c>
      <c r="AB971" s="5" t="s">
        <v>238</v>
      </c>
      <c r="AC971" s="5" t="s">
        <v>244</v>
      </c>
      <c r="AD971" s="5" t="s">
        <v>245</v>
      </c>
      <c r="AT971" s="5" t="s">
        <v>246</v>
      </c>
      <c r="AU971" s="5" t="s">
        <v>238</v>
      </c>
      <c r="AV971" s="5" t="s">
        <v>247</v>
      </c>
      <c r="AW971" s="5" t="s">
        <v>238</v>
      </c>
      <c r="AX971" s="5" t="s">
        <v>249</v>
      </c>
      <c r="AY971" s="5" t="s">
        <v>238</v>
      </c>
      <c r="BA971" s="5" t="s">
        <v>238</v>
      </c>
      <c r="BC971" s="5" t="s">
        <v>250</v>
      </c>
      <c r="BD971" s="6" t="s">
        <v>243</v>
      </c>
      <c r="BE971" s="5" t="s">
        <v>251</v>
      </c>
      <c r="BF971" s="5" t="s">
        <v>252</v>
      </c>
      <c r="BG971" s="5" t="s">
        <v>238</v>
      </c>
      <c r="BH971" s="7">
        <f>0</f>
        <v>0</v>
      </c>
      <c r="BI971" s="8">
        <f>0</f>
        <v>0</v>
      </c>
      <c r="BJ971" s="5" t="s">
        <v>253</v>
      </c>
      <c r="BK971" s="5" t="s">
        <v>254</v>
      </c>
      <c r="BY971" s="5" t="s">
        <v>238</v>
      </c>
      <c r="BZ971" s="5" t="s">
        <v>238</v>
      </c>
      <c r="CD971" s="5" t="s">
        <v>273</v>
      </c>
      <c r="CE971" s="5" t="s">
        <v>256</v>
      </c>
      <c r="CF971" s="5" t="s">
        <v>238</v>
      </c>
      <c r="CI971" s="6" t="s">
        <v>257</v>
      </c>
      <c r="CJ971" s="5" t="s">
        <v>238</v>
      </c>
      <c r="CK971" s="5" t="s">
        <v>258</v>
      </c>
      <c r="CL971" s="5" t="s">
        <v>238</v>
      </c>
      <c r="CM971" s="5" t="s">
        <v>238</v>
      </c>
      <c r="CN971" s="5">
        <v>0</v>
      </c>
      <c r="CO971" s="5" t="s">
        <v>259</v>
      </c>
      <c r="CP971" s="5" t="s">
        <v>260</v>
      </c>
      <c r="CQ971" s="5" t="s">
        <v>260</v>
      </c>
      <c r="CR971" s="5" t="s">
        <v>261</v>
      </c>
      <c r="CU971" s="8">
        <f>1</f>
        <v>1</v>
      </c>
      <c r="CV971" s="8">
        <f>0</f>
        <v>0</v>
      </c>
      <c r="CX971" s="8">
        <f>0</f>
        <v>0</v>
      </c>
      <c r="CY971" s="8">
        <f>1</f>
        <v>1</v>
      </c>
      <c r="DA971" s="5" t="s">
        <v>673</v>
      </c>
      <c r="DB971" s="5" t="s">
        <v>238</v>
      </c>
      <c r="DD971" s="5" t="s">
        <v>673</v>
      </c>
      <c r="DE971" s="8">
        <f>90</f>
        <v>90</v>
      </c>
      <c r="DG971" s="5" t="s">
        <v>238</v>
      </c>
      <c r="DH971" s="5" t="s">
        <v>238</v>
      </c>
      <c r="DI971" s="5" t="s">
        <v>238</v>
      </c>
      <c r="DJ971" s="5" t="s">
        <v>238</v>
      </c>
      <c r="DN971" s="5" t="s">
        <v>238</v>
      </c>
      <c r="DO971" s="5" t="s">
        <v>238</v>
      </c>
      <c r="DP971" s="5" t="s">
        <v>238</v>
      </c>
      <c r="DQ971" s="5" t="s">
        <v>238</v>
      </c>
      <c r="DT971" s="5" t="s">
        <v>2039</v>
      </c>
      <c r="DU971" s="5" t="s">
        <v>652</v>
      </c>
      <c r="HM971" s="5" t="s">
        <v>264</v>
      </c>
    </row>
    <row r="972" spans="1:221" x14ac:dyDescent="0.4">
      <c r="A972" s="5">
        <v>2647</v>
      </c>
      <c r="B972" s="5">
        <v>1</v>
      </c>
      <c r="C972" s="5">
        <v>1</v>
      </c>
      <c r="D972" s="5" t="s">
        <v>2037</v>
      </c>
      <c r="E972" s="5" t="s">
        <v>271</v>
      </c>
      <c r="F972" s="5" t="s">
        <v>248</v>
      </c>
      <c r="G972" s="5" t="s">
        <v>1969</v>
      </c>
      <c r="H972" s="6" t="s">
        <v>3166</v>
      </c>
      <c r="I972" s="7">
        <f>650</f>
        <v>650</v>
      </c>
      <c r="J972" s="5" t="s">
        <v>262</v>
      </c>
      <c r="K972" s="8">
        <f>1</f>
        <v>1</v>
      </c>
      <c r="L972" s="6" t="s">
        <v>242</v>
      </c>
      <c r="M972" s="5" t="s">
        <v>267</v>
      </c>
      <c r="N972" s="5" t="s">
        <v>265</v>
      </c>
      <c r="O972" s="5" t="s">
        <v>238</v>
      </c>
      <c r="P972" s="5" t="s">
        <v>238</v>
      </c>
      <c r="Q972" s="5" t="s">
        <v>268</v>
      </c>
      <c r="R972" s="5" t="s">
        <v>270</v>
      </c>
      <c r="S972" s="5" t="s">
        <v>238</v>
      </c>
      <c r="V972" s="5" t="s">
        <v>238</v>
      </c>
      <c r="X972" s="6" t="s">
        <v>238</v>
      </c>
      <c r="AA972" s="6" t="s">
        <v>243</v>
      </c>
      <c r="AB972" s="5" t="s">
        <v>238</v>
      </c>
      <c r="AC972" s="5" t="s">
        <v>244</v>
      </c>
      <c r="AD972" s="5" t="s">
        <v>245</v>
      </c>
      <c r="AT972" s="5" t="s">
        <v>246</v>
      </c>
      <c r="AU972" s="5" t="s">
        <v>238</v>
      </c>
      <c r="AV972" s="5" t="s">
        <v>247</v>
      </c>
      <c r="AW972" s="5" t="s">
        <v>238</v>
      </c>
      <c r="AX972" s="5" t="s">
        <v>249</v>
      </c>
      <c r="AY972" s="5" t="s">
        <v>238</v>
      </c>
      <c r="BA972" s="5" t="s">
        <v>238</v>
      </c>
      <c r="BC972" s="5" t="s">
        <v>250</v>
      </c>
      <c r="BD972" s="6" t="s">
        <v>243</v>
      </c>
      <c r="BE972" s="5" t="s">
        <v>251</v>
      </c>
      <c r="BF972" s="5" t="s">
        <v>252</v>
      </c>
      <c r="BG972" s="5" t="s">
        <v>238</v>
      </c>
      <c r="BH972" s="7">
        <f>0</f>
        <v>0</v>
      </c>
      <c r="BI972" s="8">
        <f>0</f>
        <v>0</v>
      </c>
      <c r="BJ972" s="5" t="s">
        <v>253</v>
      </c>
      <c r="BK972" s="5" t="s">
        <v>254</v>
      </c>
      <c r="BY972" s="5" t="s">
        <v>238</v>
      </c>
      <c r="BZ972" s="5" t="s">
        <v>238</v>
      </c>
      <c r="CD972" s="5" t="s">
        <v>273</v>
      </c>
      <c r="CE972" s="5" t="s">
        <v>256</v>
      </c>
      <c r="CF972" s="5" t="s">
        <v>238</v>
      </c>
      <c r="CI972" s="6" t="s">
        <v>257</v>
      </c>
      <c r="CJ972" s="5" t="s">
        <v>238</v>
      </c>
      <c r="CK972" s="5" t="s">
        <v>258</v>
      </c>
      <c r="CL972" s="5" t="s">
        <v>238</v>
      </c>
      <c r="CM972" s="5" t="s">
        <v>238</v>
      </c>
      <c r="CN972" s="5">
        <v>0</v>
      </c>
      <c r="CO972" s="5" t="s">
        <v>259</v>
      </c>
      <c r="CP972" s="5" t="s">
        <v>260</v>
      </c>
      <c r="CQ972" s="5" t="s">
        <v>260</v>
      </c>
      <c r="CR972" s="5" t="s">
        <v>261</v>
      </c>
      <c r="CU972" s="8">
        <f>1</f>
        <v>1</v>
      </c>
      <c r="CV972" s="8">
        <f>0</f>
        <v>0</v>
      </c>
      <c r="CX972" s="8">
        <f>0</f>
        <v>0</v>
      </c>
      <c r="CY972" s="8">
        <f>1</f>
        <v>1</v>
      </c>
      <c r="DA972" s="5" t="s">
        <v>673</v>
      </c>
      <c r="DB972" s="5" t="s">
        <v>238</v>
      </c>
      <c r="DD972" s="5" t="s">
        <v>673</v>
      </c>
      <c r="DE972" s="8">
        <f>650</f>
        <v>650</v>
      </c>
      <c r="DG972" s="5" t="s">
        <v>238</v>
      </c>
      <c r="DH972" s="5" t="s">
        <v>238</v>
      </c>
      <c r="DI972" s="5" t="s">
        <v>238</v>
      </c>
      <c r="DJ972" s="5" t="s">
        <v>238</v>
      </c>
      <c r="DN972" s="5" t="s">
        <v>238</v>
      </c>
      <c r="DO972" s="5" t="s">
        <v>238</v>
      </c>
      <c r="DP972" s="5" t="s">
        <v>238</v>
      </c>
      <c r="DQ972" s="5" t="s">
        <v>238</v>
      </c>
      <c r="DT972" s="5" t="s">
        <v>2039</v>
      </c>
      <c r="DU972" s="5" t="s">
        <v>654</v>
      </c>
      <c r="HM972" s="5" t="s">
        <v>264</v>
      </c>
    </row>
    <row r="973" spans="1:221" x14ac:dyDescent="0.4">
      <c r="A973" s="5">
        <v>2648</v>
      </c>
      <c r="B973" s="5">
        <v>1</v>
      </c>
      <c r="C973" s="5">
        <v>1</v>
      </c>
      <c r="D973" s="5" t="s">
        <v>2037</v>
      </c>
      <c r="E973" s="5" t="s">
        <v>271</v>
      </c>
      <c r="F973" s="5" t="s">
        <v>248</v>
      </c>
      <c r="G973" s="5" t="s">
        <v>1969</v>
      </c>
      <c r="H973" s="6" t="s">
        <v>2449</v>
      </c>
      <c r="I973" s="7">
        <f>1430</f>
        <v>1430</v>
      </c>
      <c r="J973" s="5" t="s">
        <v>262</v>
      </c>
      <c r="K973" s="8">
        <f>1</f>
        <v>1</v>
      </c>
      <c r="L973" s="6" t="s">
        <v>242</v>
      </c>
      <c r="M973" s="5" t="s">
        <v>267</v>
      </c>
      <c r="N973" s="5" t="s">
        <v>265</v>
      </c>
      <c r="O973" s="5" t="s">
        <v>238</v>
      </c>
      <c r="P973" s="5" t="s">
        <v>238</v>
      </c>
      <c r="Q973" s="5" t="s">
        <v>268</v>
      </c>
      <c r="R973" s="5" t="s">
        <v>270</v>
      </c>
      <c r="S973" s="5" t="s">
        <v>238</v>
      </c>
      <c r="V973" s="5" t="s">
        <v>238</v>
      </c>
      <c r="X973" s="6" t="s">
        <v>238</v>
      </c>
      <c r="AA973" s="6" t="s">
        <v>243</v>
      </c>
      <c r="AB973" s="5" t="s">
        <v>238</v>
      </c>
      <c r="AC973" s="5" t="s">
        <v>244</v>
      </c>
      <c r="AD973" s="5" t="s">
        <v>245</v>
      </c>
      <c r="AT973" s="5" t="s">
        <v>246</v>
      </c>
      <c r="AU973" s="5" t="s">
        <v>238</v>
      </c>
      <c r="AV973" s="5" t="s">
        <v>247</v>
      </c>
      <c r="AW973" s="5" t="s">
        <v>238</v>
      </c>
      <c r="AX973" s="5" t="s">
        <v>249</v>
      </c>
      <c r="AY973" s="5" t="s">
        <v>238</v>
      </c>
      <c r="BA973" s="5" t="s">
        <v>238</v>
      </c>
      <c r="BC973" s="5" t="s">
        <v>250</v>
      </c>
      <c r="BD973" s="6" t="s">
        <v>243</v>
      </c>
      <c r="BE973" s="5" t="s">
        <v>251</v>
      </c>
      <c r="BF973" s="5" t="s">
        <v>252</v>
      </c>
      <c r="BG973" s="5" t="s">
        <v>238</v>
      </c>
      <c r="BH973" s="7">
        <f>0</f>
        <v>0</v>
      </c>
      <c r="BI973" s="8">
        <f>0</f>
        <v>0</v>
      </c>
      <c r="BJ973" s="5" t="s">
        <v>253</v>
      </c>
      <c r="BK973" s="5" t="s">
        <v>254</v>
      </c>
      <c r="BY973" s="5" t="s">
        <v>238</v>
      </c>
      <c r="BZ973" s="5" t="s">
        <v>238</v>
      </c>
      <c r="CD973" s="5" t="s">
        <v>273</v>
      </c>
      <c r="CE973" s="5" t="s">
        <v>256</v>
      </c>
      <c r="CF973" s="5" t="s">
        <v>238</v>
      </c>
      <c r="CI973" s="6" t="s">
        <v>257</v>
      </c>
      <c r="CJ973" s="5" t="s">
        <v>238</v>
      </c>
      <c r="CK973" s="5" t="s">
        <v>258</v>
      </c>
      <c r="CL973" s="5" t="s">
        <v>238</v>
      </c>
      <c r="CM973" s="5" t="s">
        <v>238</v>
      </c>
      <c r="CN973" s="5">
        <v>0</v>
      </c>
      <c r="CO973" s="5" t="s">
        <v>259</v>
      </c>
      <c r="CP973" s="5" t="s">
        <v>260</v>
      </c>
      <c r="CQ973" s="5" t="s">
        <v>260</v>
      </c>
      <c r="CR973" s="5" t="s">
        <v>261</v>
      </c>
      <c r="CU973" s="8">
        <f>1</f>
        <v>1</v>
      </c>
      <c r="CV973" s="8">
        <f>0</f>
        <v>0</v>
      </c>
      <c r="CX973" s="8">
        <f>0</f>
        <v>0</v>
      </c>
      <c r="CY973" s="8">
        <f>1</f>
        <v>1</v>
      </c>
      <c r="DA973" s="5" t="s">
        <v>673</v>
      </c>
      <c r="DB973" s="5" t="s">
        <v>238</v>
      </c>
      <c r="DD973" s="5" t="s">
        <v>673</v>
      </c>
      <c r="DE973" s="8">
        <f>1430</f>
        <v>1430</v>
      </c>
      <c r="DG973" s="5" t="s">
        <v>238</v>
      </c>
      <c r="DH973" s="5" t="s">
        <v>238</v>
      </c>
      <c r="DI973" s="5" t="s">
        <v>238</v>
      </c>
      <c r="DJ973" s="5" t="s">
        <v>238</v>
      </c>
      <c r="DN973" s="5" t="s">
        <v>238</v>
      </c>
      <c r="DO973" s="5" t="s">
        <v>238</v>
      </c>
      <c r="DP973" s="5" t="s">
        <v>238</v>
      </c>
      <c r="DQ973" s="5" t="s">
        <v>238</v>
      </c>
      <c r="DT973" s="5" t="s">
        <v>2039</v>
      </c>
      <c r="DU973" s="5" t="s">
        <v>658</v>
      </c>
      <c r="HM973" s="5" t="s">
        <v>264</v>
      </c>
    </row>
    <row r="974" spans="1:221" x14ac:dyDescent="0.4">
      <c r="A974" s="5">
        <v>2649</v>
      </c>
      <c r="B974" s="5">
        <v>1</v>
      </c>
      <c r="C974" s="5">
        <v>1</v>
      </c>
      <c r="D974" s="5" t="s">
        <v>2037</v>
      </c>
      <c r="E974" s="5" t="s">
        <v>271</v>
      </c>
      <c r="F974" s="5" t="s">
        <v>248</v>
      </c>
      <c r="G974" s="5" t="s">
        <v>1969</v>
      </c>
      <c r="H974" s="6" t="s">
        <v>3168</v>
      </c>
      <c r="I974" s="7">
        <f>266</f>
        <v>266</v>
      </c>
      <c r="J974" s="5" t="s">
        <v>262</v>
      </c>
      <c r="K974" s="8">
        <f>1</f>
        <v>1</v>
      </c>
      <c r="L974" s="6" t="s">
        <v>242</v>
      </c>
      <c r="M974" s="5" t="s">
        <v>267</v>
      </c>
      <c r="N974" s="5" t="s">
        <v>265</v>
      </c>
      <c r="O974" s="5" t="s">
        <v>238</v>
      </c>
      <c r="P974" s="5" t="s">
        <v>238</v>
      </c>
      <c r="Q974" s="5" t="s">
        <v>268</v>
      </c>
      <c r="R974" s="5" t="s">
        <v>270</v>
      </c>
      <c r="S974" s="5" t="s">
        <v>238</v>
      </c>
      <c r="V974" s="5" t="s">
        <v>238</v>
      </c>
      <c r="X974" s="6" t="s">
        <v>238</v>
      </c>
      <c r="AA974" s="6" t="s">
        <v>243</v>
      </c>
      <c r="AB974" s="5" t="s">
        <v>238</v>
      </c>
      <c r="AC974" s="5" t="s">
        <v>244</v>
      </c>
      <c r="AD974" s="5" t="s">
        <v>245</v>
      </c>
      <c r="AT974" s="5" t="s">
        <v>246</v>
      </c>
      <c r="AU974" s="5" t="s">
        <v>238</v>
      </c>
      <c r="AV974" s="5" t="s">
        <v>247</v>
      </c>
      <c r="AW974" s="5" t="s">
        <v>238</v>
      </c>
      <c r="AX974" s="5" t="s">
        <v>249</v>
      </c>
      <c r="AY974" s="5" t="s">
        <v>238</v>
      </c>
      <c r="BA974" s="5" t="s">
        <v>238</v>
      </c>
      <c r="BC974" s="5" t="s">
        <v>250</v>
      </c>
      <c r="BD974" s="6" t="s">
        <v>243</v>
      </c>
      <c r="BE974" s="5" t="s">
        <v>251</v>
      </c>
      <c r="BF974" s="5" t="s">
        <v>252</v>
      </c>
      <c r="BG974" s="5" t="s">
        <v>238</v>
      </c>
      <c r="BH974" s="7">
        <f>0</f>
        <v>0</v>
      </c>
      <c r="BI974" s="8">
        <f>0</f>
        <v>0</v>
      </c>
      <c r="BJ974" s="5" t="s">
        <v>253</v>
      </c>
      <c r="BK974" s="5" t="s">
        <v>254</v>
      </c>
      <c r="BY974" s="5" t="s">
        <v>238</v>
      </c>
      <c r="BZ974" s="5" t="s">
        <v>238</v>
      </c>
      <c r="CD974" s="5" t="s">
        <v>273</v>
      </c>
      <c r="CE974" s="5" t="s">
        <v>256</v>
      </c>
      <c r="CF974" s="5" t="s">
        <v>238</v>
      </c>
      <c r="CI974" s="6" t="s">
        <v>257</v>
      </c>
      <c r="CJ974" s="5" t="s">
        <v>238</v>
      </c>
      <c r="CK974" s="5" t="s">
        <v>258</v>
      </c>
      <c r="CL974" s="5" t="s">
        <v>238</v>
      </c>
      <c r="CM974" s="5" t="s">
        <v>238</v>
      </c>
      <c r="CN974" s="5">
        <v>0</v>
      </c>
      <c r="CO974" s="5" t="s">
        <v>259</v>
      </c>
      <c r="CP974" s="5" t="s">
        <v>260</v>
      </c>
      <c r="CQ974" s="5" t="s">
        <v>260</v>
      </c>
      <c r="CR974" s="5" t="s">
        <v>261</v>
      </c>
      <c r="CU974" s="8">
        <f>1</f>
        <v>1</v>
      </c>
      <c r="CV974" s="8">
        <f>0</f>
        <v>0</v>
      </c>
      <c r="CX974" s="8">
        <f>0</f>
        <v>0</v>
      </c>
      <c r="CY974" s="8">
        <f>1</f>
        <v>1</v>
      </c>
      <c r="DA974" s="5" t="s">
        <v>673</v>
      </c>
      <c r="DB974" s="5" t="s">
        <v>238</v>
      </c>
      <c r="DD974" s="5" t="s">
        <v>673</v>
      </c>
      <c r="DE974" s="8">
        <f>266</f>
        <v>266</v>
      </c>
      <c r="DG974" s="5" t="s">
        <v>238</v>
      </c>
      <c r="DH974" s="5" t="s">
        <v>238</v>
      </c>
      <c r="DI974" s="5" t="s">
        <v>238</v>
      </c>
      <c r="DJ974" s="5" t="s">
        <v>238</v>
      </c>
      <c r="DN974" s="5" t="s">
        <v>238</v>
      </c>
      <c r="DO974" s="5" t="s">
        <v>238</v>
      </c>
      <c r="DP974" s="5" t="s">
        <v>238</v>
      </c>
      <c r="DQ974" s="5" t="s">
        <v>238</v>
      </c>
      <c r="DT974" s="5" t="s">
        <v>2039</v>
      </c>
      <c r="DU974" s="5" t="s">
        <v>660</v>
      </c>
      <c r="HM974" s="5" t="s">
        <v>264</v>
      </c>
    </row>
    <row r="975" spans="1:221" x14ac:dyDescent="0.4">
      <c r="A975" s="5">
        <v>2650</v>
      </c>
      <c r="B975" s="5">
        <v>1</v>
      </c>
      <c r="C975" s="5">
        <v>1</v>
      </c>
      <c r="D975" s="5" t="s">
        <v>2037</v>
      </c>
      <c r="E975" s="5" t="s">
        <v>271</v>
      </c>
      <c r="F975" s="5" t="s">
        <v>248</v>
      </c>
      <c r="G975" s="5" t="s">
        <v>1969</v>
      </c>
      <c r="H975" s="6" t="s">
        <v>2429</v>
      </c>
      <c r="I975" s="7">
        <f>51</f>
        <v>51</v>
      </c>
      <c r="J975" s="5" t="s">
        <v>262</v>
      </c>
      <c r="K975" s="8">
        <f>1</f>
        <v>1</v>
      </c>
      <c r="L975" s="6" t="s">
        <v>242</v>
      </c>
      <c r="M975" s="5" t="s">
        <v>267</v>
      </c>
      <c r="N975" s="5" t="s">
        <v>265</v>
      </c>
      <c r="O975" s="5" t="s">
        <v>238</v>
      </c>
      <c r="P975" s="5" t="s">
        <v>238</v>
      </c>
      <c r="Q975" s="5" t="s">
        <v>268</v>
      </c>
      <c r="R975" s="5" t="s">
        <v>270</v>
      </c>
      <c r="S975" s="5" t="s">
        <v>238</v>
      </c>
      <c r="V975" s="5" t="s">
        <v>238</v>
      </c>
      <c r="X975" s="6" t="s">
        <v>238</v>
      </c>
      <c r="AA975" s="6" t="s">
        <v>243</v>
      </c>
      <c r="AB975" s="5" t="s">
        <v>238</v>
      </c>
      <c r="AC975" s="5" t="s">
        <v>244</v>
      </c>
      <c r="AD975" s="5" t="s">
        <v>245</v>
      </c>
      <c r="AT975" s="5" t="s">
        <v>246</v>
      </c>
      <c r="AU975" s="5" t="s">
        <v>238</v>
      </c>
      <c r="AV975" s="5" t="s">
        <v>247</v>
      </c>
      <c r="AW975" s="5" t="s">
        <v>238</v>
      </c>
      <c r="AX975" s="5" t="s">
        <v>249</v>
      </c>
      <c r="AY975" s="5" t="s">
        <v>238</v>
      </c>
      <c r="BA975" s="5" t="s">
        <v>238</v>
      </c>
      <c r="BC975" s="5" t="s">
        <v>250</v>
      </c>
      <c r="BD975" s="6" t="s">
        <v>243</v>
      </c>
      <c r="BE975" s="5" t="s">
        <v>251</v>
      </c>
      <c r="BF975" s="5" t="s">
        <v>252</v>
      </c>
      <c r="BG975" s="5" t="s">
        <v>238</v>
      </c>
      <c r="BH975" s="7">
        <f>0</f>
        <v>0</v>
      </c>
      <c r="BI975" s="8">
        <f>0</f>
        <v>0</v>
      </c>
      <c r="BJ975" s="5" t="s">
        <v>253</v>
      </c>
      <c r="BK975" s="5" t="s">
        <v>254</v>
      </c>
      <c r="BY975" s="5" t="s">
        <v>238</v>
      </c>
      <c r="BZ975" s="5" t="s">
        <v>238</v>
      </c>
      <c r="CD975" s="5" t="s">
        <v>273</v>
      </c>
      <c r="CE975" s="5" t="s">
        <v>256</v>
      </c>
      <c r="CF975" s="5" t="s">
        <v>238</v>
      </c>
      <c r="CI975" s="6" t="s">
        <v>257</v>
      </c>
      <c r="CJ975" s="5" t="s">
        <v>238</v>
      </c>
      <c r="CK975" s="5" t="s">
        <v>258</v>
      </c>
      <c r="CL975" s="5" t="s">
        <v>238</v>
      </c>
      <c r="CM975" s="5" t="s">
        <v>238</v>
      </c>
      <c r="CN975" s="5">
        <v>0</v>
      </c>
      <c r="CO975" s="5" t="s">
        <v>259</v>
      </c>
      <c r="CP975" s="5" t="s">
        <v>260</v>
      </c>
      <c r="CQ975" s="5" t="s">
        <v>260</v>
      </c>
      <c r="CR975" s="5" t="s">
        <v>261</v>
      </c>
      <c r="CU975" s="8">
        <f>1</f>
        <v>1</v>
      </c>
      <c r="CV975" s="8">
        <f>0</f>
        <v>0</v>
      </c>
      <c r="CX975" s="8">
        <f>0</f>
        <v>0</v>
      </c>
      <c r="CY975" s="8">
        <f>1</f>
        <v>1</v>
      </c>
      <c r="DA975" s="5" t="s">
        <v>673</v>
      </c>
      <c r="DB975" s="5" t="s">
        <v>238</v>
      </c>
      <c r="DD975" s="5" t="s">
        <v>673</v>
      </c>
      <c r="DE975" s="8">
        <f>51</f>
        <v>51</v>
      </c>
      <c r="DG975" s="5" t="s">
        <v>238</v>
      </c>
      <c r="DH975" s="5" t="s">
        <v>238</v>
      </c>
      <c r="DI975" s="5" t="s">
        <v>238</v>
      </c>
      <c r="DJ975" s="5" t="s">
        <v>238</v>
      </c>
      <c r="DN975" s="5" t="s">
        <v>238</v>
      </c>
      <c r="DO975" s="5" t="s">
        <v>238</v>
      </c>
      <c r="DP975" s="5" t="s">
        <v>238</v>
      </c>
      <c r="DQ975" s="5" t="s">
        <v>238</v>
      </c>
      <c r="DT975" s="5" t="s">
        <v>2039</v>
      </c>
      <c r="DU975" s="5" t="s">
        <v>664</v>
      </c>
      <c r="HM975" s="5" t="s">
        <v>264</v>
      </c>
    </row>
    <row r="976" spans="1:221" x14ac:dyDescent="0.4">
      <c r="A976" s="5">
        <v>2651</v>
      </c>
      <c r="B976" s="5">
        <v>1</v>
      </c>
      <c r="C976" s="5">
        <v>1</v>
      </c>
      <c r="D976" s="5" t="s">
        <v>2037</v>
      </c>
      <c r="E976" s="5" t="s">
        <v>271</v>
      </c>
      <c r="F976" s="5" t="s">
        <v>248</v>
      </c>
      <c r="G976" s="5" t="s">
        <v>1969</v>
      </c>
      <c r="H976" s="6" t="s">
        <v>3170</v>
      </c>
      <c r="I976" s="7">
        <f>92</f>
        <v>92</v>
      </c>
      <c r="J976" s="5" t="s">
        <v>262</v>
      </c>
      <c r="K976" s="8">
        <f>1</f>
        <v>1</v>
      </c>
      <c r="L976" s="6" t="s">
        <v>242</v>
      </c>
      <c r="M976" s="5" t="s">
        <v>267</v>
      </c>
      <c r="N976" s="5" t="s">
        <v>265</v>
      </c>
      <c r="O976" s="5" t="s">
        <v>238</v>
      </c>
      <c r="P976" s="5" t="s">
        <v>238</v>
      </c>
      <c r="Q976" s="5" t="s">
        <v>268</v>
      </c>
      <c r="R976" s="5" t="s">
        <v>270</v>
      </c>
      <c r="S976" s="5" t="s">
        <v>238</v>
      </c>
      <c r="V976" s="5" t="s">
        <v>238</v>
      </c>
      <c r="X976" s="6" t="s">
        <v>238</v>
      </c>
      <c r="AA976" s="6" t="s">
        <v>243</v>
      </c>
      <c r="AB976" s="5" t="s">
        <v>238</v>
      </c>
      <c r="AC976" s="5" t="s">
        <v>244</v>
      </c>
      <c r="AD976" s="5" t="s">
        <v>245</v>
      </c>
      <c r="AT976" s="5" t="s">
        <v>246</v>
      </c>
      <c r="AU976" s="5" t="s">
        <v>238</v>
      </c>
      <c r="AV976" s="5" t="s">
        <v>247</v>
      </c>
      <c r="AW976" s="5" t="s">
        <v>238</v>
      </c>
      <c r="AX976" s="5" t="s">
        <v>249</v>
      </c>
      <c r="AY976" s="5" t="s">
        <v>238</v>
      </c>
      <c r="BA976" s="5" t="s">
        <v>238</v>
      </c>
      <c r="BC976" s="5" t="s">
        <v>250</v>
      </c>
      <c r="BD976" s="6" t="s">
        <v>243</v>
      </c>
      <c r="BE976" s="5" t="s">
        <v>251</v>
      </c>
      <c r="BF976" s="5" t="s">
        <v>252</v>
      </c>
      <c r="BG976" s="5" t="s">
        <v>238</v>
      </c>
      <c r="BH976" s="7">
        <f>0</f>
        <v>0</v>
      </c>
      <c r="BI976" s="8">
        <f>0</f>
        <v>0</v>
      </c>
      <c r="BJ976" s="5" t="s">
        <v>253</v>
      </c>
      <c r="BK976" s="5" t="s">
        <v>254</v>
      </c>
      <c r="BY976" s="5" t="s">
        <v>238</v>
      </c>
      <c r="BZ976" s="5" t="s">
        <v>238</v>
      </c>
      <c r="CD976" s="5" t="s">
        <v>273</v>
      </c>
      <c r="CE976" s="5" t="s">
        <v>256</v>
      </c>
      <c r="CF976" s="5" t="s">
        <v>238</v>
      </c>
      <c r="CI976" s="6" t="s">
        <v>257</v>
      </c>
      <c r="CJ976" s="5" t="s">
        <v>238</v>
      </c>
      <c r="CK976" s="5" t="s">
        <v>258</v>
      </c>
      <c r="CL976" s="5" t="s">
        <v>238</v>
      </c>
      <c r="CM976" s="5" t="s">
        <v>238</v>
      </c>
      <c r="CN976" s="5">
        <v>0</v>
      </c>
      <c r="CO976" s="5" t="s">
        <v>259</v>
      </c>
      <c r="CP976" s="5" t="s">
        <v>260</v>
      </c>
      <c r="CQ976" s="5" t="s">
        <v>260</v>
      </c>
      <c r="CR976" s="5" t="s">
        <v>261</v>
      </c>
      <c r="CU976" s="8">
        <f>1</f>
        <v>1</v>
      </c>
      <c r="CV976" s="8">
        <f>0</f>
        <v>0</v>
      </c>
      <c r="CX976" s="8">
        <f>0</f>
        <v>0</v>
      </c>
      <c r="CY976" s="8">
        <f>1</f>
        <v>1</v>
      </c>
      <c r="DA976" s="5" t="s">
        <v>673</v>
      </c>
      <c r="DB976" s="5" t="s">
        <v>238</v>
      </c>
      <c r="DD976" s="5" t="s">
        <v>673</v>
      </c>
      <c r="DE976" s="8">
        <f>92</f>
        <v>92</v>
      </c>
      <c r="DG976" s="5" t="s">
        <v>238</v>
      </c>
      <c r="DH976" s="5" t="s">
        <v>238</v>
      </c>
      <c r="DI976" s="5" t="s">
        <v>238</v>
      </c>
      <c r="DJ976" s="5" t="s">
        <v>238</v>
      </c>
      <c r="DN976" s="5" t="s">
        <v>238</v>
      </c>
      <c r="DO976" s="5" t="s">
        <v>238</v>
      </c>
      <c r="DP976" s="5" t="s">
        <v>238</v>
      </c>
      <c r="DQ976" s="5" t="s">
        <v>238</v>
      </c>
      <c r="DT976" s="5" t="s">
        <v>2039</v>
      </c>
      <c r="DU976" s="5" t="s">
        <v>3171</v>
      </c>
      <c r="HM976" s="5" t="s">
        <v>264</v>
      </c>
    </row>
    <row r="977" spans="1:221" x14ac:dyDescent="0.4">
      <c r="A977" s="5">
        <v>2652</v>
      </c>
      <c r="B977" s="5">
        <v>1</v>
      </c>
      <c r="C977" s="5">
        <v>1</v>
      </c>
      <c r="D977" s="5" t="s">
        <v>2037</v>
      </c>
      <c r="E977" s="5" t="s">
        <v>271</v>
      </c>
      <c r="F977" s="5" t="s">
        <v>248</v>
      </c>
      <c r="G977" s="5" t="s">
        <v>1969</v>
      </c>
      <c r="H977" s="6" t="s">
        <v>2462</v>
      </c>
      <c r="I977" s="7">
        <f>135</f>
        <v>135</v>
      </c>
      <c r="J977" s="5" t="s">
        <v>262</v>
      </c>
      <c r="K977" s="8">
        <f>1</f>
        <v>1</v>
      </c>
      <c r="L977" s="6" t="s">
        <v>242</v>
      </c>
      <c r="M977" s="5" t="s">
        <v>267</v>
      </c>
      <c r="N977" s="5" t="s">
        <v>265</v>
      </c>
      <c r="O977" s="5" t="s">
        <v>238</v>
      </c>
      <c r="P977" s="5" t="s">
        <v>238</v>
      </c>
      <c r="Q977" s="5" t="s">
        <v>268</v>
      </c>
      <c r="R977" s="5" t="s">
        <v>270</v>
      </c>
      <c r="S977" s="5" t="s">
        <v>238</v>
      </c>
      <c r="V977" s="5" t="s">
        <v>238</v>
      </c>
      <c r="X977" s="6" t="s">
        <v>238</v>
      </c>
      <c r="AA977" s="6" t="s">
        <v>243</v>
      </c>
      <c r="AB977" s="5" t="s">
        <v>238</v>
      </c>
      <c r="AC977" s="5" t="s">
        <v>244</v>
      </c>
      <c r="AD977" s="5" t="s">
        <v>245</v>
      </c>
      <c r="AT977" s="5" t="s">
        <v>246</v>
      </c>
      <c r="AU977" s="5" t="s">
        <v>238</v>
      </c>
      <c r="AV977" s="5" t="s">
        <v>247</v>
      </c>
      <c r="AW977" s="5" t="s">
        <v>238</v>
      </c>
      <c r="AX977" s="5" t="s">
        <v>249</v>
      </c>
      <c r="AY977" s="5" t="s">
        <v>238</v>
      </c>
      <c r="BA977" s="5" t="s">
        <v>238</v>
      </c>
      <c r="BC977" s="5" t="s">
        <v>250</v>
      </c>
      <c r="BD977" s="6" t="s">
        <v>243</v>
      </c>
      <c r="BE977" s="5" t="s">
        <v>251</v>
      </c>
      <c r="BF977" s="5" t="s">
        <v>252</v>
      </c>
      <c r="BG977" s="5" t="s">
        <v>238</v>
      </c>
      <c r="BH977" s="7">
        <f>0</f>
        <v>0</v>
      </c>
      <c r="BI977" s="8">
        <f>0</f>
        <v>0</v>
      </c>
      <c r="BJ977" s="5" t="s">
        <v>253</v>
      </c>
      <c r="BK977" s="5" t="s">
        <v>254</v>
      </c>
      <c r="BY977" s="5" t="s">
        <v>238</v>
      </c>
      <c r="BZ977" s="5" t="s">
        <v>238</v>
      </c>
      <c r="CD977" s="5" t="s">
        <v>273</v>
      </c>
      <c r="CE977" s="5" t="s">
        <v>256</v>
      </c>
      <c r="CF977" s="5" t="s">
        <v>238</v>
      </c>
      <c r="CI977" s="6" t="s">
        <v>257</v>
      </c>
      <c r="CJ977" s="5" t="s">
        <v>238</v>
      </c>
      <c r="CK977" s="5" t="s">
        <v>258</v>
      </c>
      <c r="CL977" s="5" t="s">
        <v>238</v>
      </c>
      <c r="CM977" s="5" t="s">
        <v>238</v>
      </c>
      <c r="CN977" s="5">
        <v>0</v>
      </c>
      <c r="CO977" s="5" t="s">
        <v>259</v>
      </c>
      <c r="CP977" s="5" t="s">
        <v>260</v>
      </c>
      <c r="CQ977" s="5" t="s">
        <v>260</v>
      </c>
      <c r="CR977" s="5" t="s">
        <v>261</v>
      </c>
      <c r="CU977" s="8">
        <f>1</f>
        <v>1</v>
      </c>
      <c r="CV977" s="8">
        <f>0</f>
        <v>0</v>
      </c>
      <c r="CX977" s="8">
        <f>0</f>
        <v>0</v>
      </c>
      <c r="CY977" s="8">
        <f>1</f>
        <v>1</v>
      </c>
      <c r="DA977" s="5" t="s">
        <v>673</v>
      </c>
      <c r="DB977" s="5" t="s">
        <v>238</v>
      </c>
      <c r="DD977" s="5" t="s">
        <v>673</v>
      </c>
      <c r="DE977" s="8">
        <f>135</f>
        <v>135</v>
      </c>
      <c r="DG977" s="5" t="s">
        <v>238</v>
      </c>
      <c r="DH977" s="5" t="s">
        <v>238</v>
      </c>
      <c r="DI977" s="5" t="s">
        <v>238</v>
      </c>
      <c r="DJ977" s="5" t="s">
        <v>238</v>
      </c>
      <c r="DN977" s="5" t="s">
        <v>238</v>
      </c>
      <c r="DO977" s="5" t="s">
        <v>238</v>
      </c>
      <c r="DP977" s="5" t="s">
        <v>238</v>
      </c>
      <c r="DQ977" s="5" t="s">
        <v>238</v>
      </c>
      <c r="DT977" s="5" t="s">
        <v>2039</v>
      </c>
      <c r="DU977" s="5" t="s">
        <v>1523</v>
      </c>
      <c r="HM977" s="5" t="s">
        <v>264</v>
      </c>
    </row>
    <row r="978" spans="1:221" x14ac:dyDescent="0.4">
      <c r="A978" s="5">
        <v>2653</v>
      </c>
      <c r="B978" s="5">
        <v>1</v>
      </c>
      <c r="C978" s="5">
        <v>1</v>
      </c>
      <c r="D978" s="5" t="s">
        <v>2037</v>
      </c>
      <c r="E978" s="5" t="s">
        <v>271</v>
      </c>
      <c r="F978" s="5" t="s">
        <v>248</v>
      </c>
      <c r="G978" s="5" t="s">
        <v>1969</v>
      </c>
      <c r="H978" s="6" t="s">
        <v>3172</v>
      </c>
      <c r="I978" s="7">
        <f>727</f>
        <v>727</v>
      </c>
      <c r="J978" s="5" t="s">
        <v>262</v>
      </c>
      <c r="K978" s="8">
        <f>1</f>
        <v>1</v>
      </c>
      <c r="L978" s="6" t="s">
        <v>242</v>
      </c>
      <c r="M978" s="5" t="s">
        <v>267</v>
      </c>
      <c r="N978" s="5" t="s">
        <v>265</v>
      </c>
      <c r="O978" s="5" t="s">
        <v>238</v>
      </c>
      <c r="P978" s="5" t="s">
        <v>238</v>
      </c>
      <c r="Q978" s="5" t="s">
        <v>268</v>
      </c>
      <c r="R978" s="5" t="s">
        <v>270</v>
      </c>
      <c r="S978" s="5" t="s">
        <v>238</v>
      </c>
      <c r="V978" s="5" t="s">
        <v>238</v>
      </c>
      <c r="X978" s="6" t="s">
        <v>238</v>
      </c>
      <c r="AA978" s="6" t="s">
        <v>243</v>
      </c>
      <c r="AB978" s="5" t="s">
        <v>238</v>
      </c>
      <c r="AC978" s="5" t="s">
        <v>244</v>
      </c>
      <c r="AD978" s="5" t="s">
        <v>245</v>
      </c>
      <c r="AT978" s="5" t="s">
        <v>246</v>
      </c>
      <c r="AU978" s="5" t="s">
        <v>238</v>
      </c>
      <c r="AV978" s="5" t="s">
        <v>247</v>
      </c>
      <c r="AW978" s="5" t="s">
        <v>238</v>
      </c>
      <c r="AX978" s="5" t="s">
        <v>249</v>
      </c>
      <c r="AY978" s="5" t="s">
        <v>238</v>
      </c>
      <c r="BA978" s="5" t="s">
        <v>238</v>
      </c>
      <c r="BC978" s="5" t="s">
        <v>250</v>
      </c>
      <c r="BD978" s="6" t="s">
        <v>243</v>
      </c>
      <c r="BE978" s="5" t="s">
        <v>251</v>
      </c>
      <c r="BF978" s="5" t="s">
        <v>252</v>
      </c>
      <c r="BG978" s="5" t="s">
        <v>238</v>
      </c>
      <c r="BH978" s="7">
        <f>0</f>
        <v>0</v>
      </c>
      <c r="BI978" s="8">
        <f>0</f>
        <v>0</v>
      </c>
      <c r="BJ978" s="5" t="s">
        <v>253</v>
      </c>
      <c r="BK978" s="5" t="s">
        <v>254</v>
      </c>
      <c r="BY978" s="5" t="s">
        <v>238</v>
      </c>
      <c r="BZ978" s="5" t="s">
        <v>238</v>
      </c>
      <c r="CD978" s="5" t="s">
        <v>273</v>
      </c>
      <c r="CE978" s="5" t="s">
        <v>256</v>
      </c>
      <c r="CF978" s="5" t="s">
        <v>238</v>
      </c>
      <c r="CI978" s="6" t="s">
        <v>257</v>
      </c>
      <c r="CJ978" s="5" t="s">
        <v>238</v>
      </c>
      <c r="CK978" s="5" t="s">
        <v>258</v>
      </c>
      <c r="CL978" s="5" t="s">
        <v>238</v>
      </c>
      <c r="CM978" s="5" t="s">
        <v>238</v>
      </c>
      <c r="CN978" s="5">
        <v>0</v>
      </c>
      <c r="CO978" s="5" t="s">
        <v>259</v>
      </c>
      <c r="CP978" s="5" t="s">
        <v>260</v>
      </c>
      <c r="CQ978" s="5" t="s">
        <v>260</v>
      </c>
      <c r="CR978" s="5" t="s">
        <v>261</v>
      </c>
      <c r="CU978" s="8">
        <f>1</f>
        <v>1</v>
      </c>
      <c r="CV978" s="8">
        <f>0</f>
        <v>0</v>
      </c>
      <c r="CX978" s="8">
        <f>0</f>
        <v>0</v>
      </c>
      <c r="CY978" s="8">
        <f>1</f>
        <v>1</v>
      </c>
      <c r="DA978" s="5" t="s">
        <v>673</v>
      </c>
      <c r="DB978" s="5" t="s">
        <v>238</v>
      </c>
      <c r="DD978" s="5" t="s">
        <v>673</v>
      </c>
      <c r="DE978" s="8">
        <f>727</f>
        <v>727</v>
      </c>
      <c r="DG978" s="5" t="s">
        <v>238</v>
      </c>
      <c r="DH978" s="5" t="s">
        <v>238</v>
      </c>
      <c r="DI978" s="5" t="s">
        <v>238</v>
      </c>
      <c r="DJ978" s="5" t="s">
        <v>238</v>
      </c>
      <c r="DN978" s="5" t="s">
        <v>238</v>
      </c>
      <c r="DO978" s="5" t="s">
        <v>238</v>
      </c>
      <c r="DP978" s="5" t="s">
        <v>238</v>
      </c>
      <c r="DQ978" s="5" t="s">
        <v>238</v>
      </c>
      <c r="DT978" s="5" t="s">
        <v>2039</v>
      </c>
      <c r="DU978" s="5" t="s">
        <v>672</v>
      </c>
      <c r="HM978" s="5" t="s">
        <v>264</v>
      </c>
    </row>
    <row r="979" spans="1:221" x14ac:dyDescent="0.4">
      <c r="A979" s="5">
        <v>2654</v>
      </c>
      <c r="B979" s="5">
        <v>1</v>
      </c>
      <c r="C979" s="5">
        <v>1</v>
      </c>
      <c r="D979" s="5" t="s">
        <v>2037</v>
      </c>
      <c r="E979" s="5" t="s">
        <v>271</v>
      </c>
      <c r="F979" s="5" t="s">
        <v>248</v>
      </c>
      <c r="G979" s="5" t="s">
        <v>1969</v>
      </c>
      <c r="H979" s="6" t="s">
        <v>2471</v>
      </c>
      <c r="I979" s="7">
        <f>579</f>
        <v>579</v>
      </c>
      <c r="J979" s="5" t="s">
        <v>262</v>
      </c>
      <c r="K979" s="8">
        <f>1</f>
        <v>1</v>
      </c>
      <c r="L979" s="6" t="s">
        <v>242</v>
      </c>
      <c r="M979" s="5" t="s">
        <v>267</v>
      </c>
      <c r="N979" s="5" t="s">
        <v>265</v>
      </c>
      <c r="O979" s="5" t="s">
        <v>238</v>
      </c>
      <c r="P979" s="5" t="s">
        <v>238</v>
      </c>
      <c r="Q979" s="5" t="s">
        <v>268</v>
      </c>
      <c r="R979" s="5" t="s">
        <v>270</v>
      </c>
      <c r="S979" s="5" t="s">
        <v>238</v>
      </c>
      <c r="V979" s="5" t="s">
        <v>238</v>
      </c>
      <c r="X979" s="6" t="s">
        <v>238</v>
      </c>
      <c r="AA979" s="6" t="s">
        <v>243</v>
      </c>
      <c r="AB979" s="5" t="s">
        <v>238</v>
      </c>
      <c r="AC979" s="5" t="s">
        <v>244</v>
      </c>
      <c r="AD979" s="5" t="s">
        <v>245</v>
      </c>
      <c r="AT979" s="5" t="s">
        <v>246</v>
      </c>
      <c r="AU979" s="5" t="s">
        <v>238</v>
      </c>
      <c r="AV979" s="5" t="s">
        <v>247</v>
      </c>
      <c r="AW979" s="5" t="s">
        <v>238</v>
      </c>
      <c r="AX979" s="5" t="s">
        <v>249</v>
      </c>
      <c r="AY979" s="5" t="s">
        <v>238</v>
      </c>
      <c r="BA979" s="5" t="s">
        <v>238</v>
      </c>
      <c r="BC979" s="5" t="s">
        <v>250</v>
      </c>
      <c r="BD979" s="6" t="s">
        <v>243</v>
      </c>
      <c r="BE979" s="5" t="s">
        <v>251</v>
      </c>
      <c r="BF979" s="5" t="s">
        <v>252</v>
      </c>
      <c r="BG979" s="5" t="s">
        <v>238</v>
      </c>
      <c r="BH979" s="7">
        <f>0</f>
        <v>0</v>
      </c>
      <c r="BI979" s="8">
        <f>0</f>
        <v>0</v>
      </c>
      <c r="BJ979" s="5" t="s">
        <v>253</v>
      </c>
      <c r="BK979" s="5" t="s">
        <v>254</v>
      </c>
      <c r="BY979" s="5" t="s">
        <v>238</v>
      </c>
      <c r="BZ979" s="5" t="s">
        <v>238</v>
      </c>
      <c r="CD979" s="5" t="s">
        <v>273</v>
      </c>
      <c r="CE979" s="5" t="s">
        <v>256</v>
      </c>
      <c r="CF979" s="5" t="s">
        <v>238</v>
      </c>
      <c r="CI979" s="6" t="s">
        <v>257</v>
      </c>
      <c r="CJ979" s="5" t="s">
        <v>238</v>
      </c>
      <c r="CK979" s="5" t="s">
        <v>258</v>
      </c>
      <c r="CL979" s="5" t="s">
        <v>238</v>
      </c>
      <c r="CM979" s="5" t="s">
        <v>238</v>
      </c>
      <c r="CN979" s="5">
        <v>0</v>
      </c>
      <c r="CO979" s="5" t="s">
        <v>259</v>
      </c>
      <c r="CP979" s="5" t="s">
        <v>260</v>
      </c>
      <c r="CQ979" s="5" t="s">
        <v>260</v>
      </c>
      <c r="CR979" s="5" t="s">
        <v>261</v>
      </c>
      <c r="CU979" s="8">
        <f>1</f>
        <v>1</v>
      </c>
      <c r="CV979" s="8">
        <f>0</f>
        <v>0</v>
      </c>
      <c r="CX979" s="8">
        <f>0</f>
        <v>0</v>
      </c>
      <c r="CY979" s="8">
        <f>1</f>
        <v>1</v>
      </c>
      <c r="DA979" s="5" t="s">
        <v>673</v>
      </c>
      <c r="DB979" s="5" t="s">
        <v>238</v>
      </c>
      <c r="DD979" s="5" t="s">
        <v>673</v>
      </c>
      <c r="DE979" s="8">
        <f>579</f>
        <v>579</v>
      </c>
      <c r="DG979" s="5" t="s">
        <v>238</v>
      </c>
      <c r="DH979" s="5" t="s">
        <v>238</v>
      </c>
      <c r="DI979" s="5" t="s">
        <v>238</v>
      </c>
      <c r="DJ979" s="5" t="s">
        <v>238</v>
      </c>
      <c r="DN979" s="5" t="s">
        <v>238</v>
      </c>
      <c r="DO979" s="5" t="s">
        <v>238</v>
      </c>
      <c r="DP979" s="5" t="s">
        <v>238</v>
      </c>
      <c r="DQ979" s="5" t="s">
        <v>238</v>
      </c>
      <c r="DT979" s="5" t="s">
        <v>2039</v>
      </c>
      <c r="DU979" s="5" t="s">
        <v>675</v>
      </c>
      <c r="HM979" s="5" t="s">
        <v>264</v>
      </c>
    </row>
    <row r="980" spans="1:221" x14ac:dyDescent="0.4">
      <c r="A980" s="5">
        <v>2655</v>
      </c>
      <c r="B980" s="5">
        <v>1</v>
      </c>
      <c r="C980" s="5">
        <v>1</v>
      </c>
      <c r="D980" s="5" t="s">
        <v>2037</v>
      </c>
      <c r="E980" s="5" t="s">
        <v>271</v>
      </c>
      <c r="F980" s="5" t="s">
        <v>248</v>
      </c>
      <c r="G980" s="5" t="s">
        <v>1969</v>
      </c>
      <c r="H980" s="6" t="s">
        <v>3173</v>
      </c>
      <c r="I980" s="7">
        <f>66</f>
        <v>66</v>
      </c>
      <c r="J980" s="5" t="s">
        <v>262</v>
      </c>
      <c r="K980" s="8">
        <f>1</f>
        <v>1</v>
      </c>
      <c r="L980" s="6" t="s">
        <v>242</v>
      </c>
      <c r="M980" s="5" t="s">
        <v>267</v>
      </c>
      <c r="N980" s="5" t="s">
        <v>265</v>
      </c>
      <c r="O980" s="5" t="s">
        <v>238</v>
      </c>
      <c r="P980" s="5" t="s">
        <v>238</v>
      </c>
      <c r="Q980" s="5" t="s">
        <v>268</v>
      </c>
      <c r="R980" s="5" t="s">
        <v>270</v>
      </c>
      <c r="S980" s="5" t="s">
        <v>238</v>
      </c>
      <c r="V980" s="5" t="s">
        <v>238</v>
      </c>
      <c r="X980" s="6" t="s">
        <v>238</v>
      </c>
      <c r="AA980" s="6" t="s">
        <v>243</v>
      </c>
      <c r="AB980" s="5" t="s">
        <v>238</v>
      </c>
      <c r="AC980" s="5" t="s">
        <v>244</v>
      </c>
      <c r="AD980" s="5" t="s">
        <v>245</v>
      </c>
      <c r="AT980" s="5" t="s">
        <v>246</v>
      </c>
      <c r="AU980" s="5" t="s">
        <v>238</v>
      </c>
      <c r="AV980" s="5" t="s">
        <v>247</v>
      </c>
      <c r="AW980" s="5" t="s">
        <v>238</v>
      </c>
      <c r="AX980" s="5" t="s">
        <v>249</v>
      </c>
      <c r="AY980" s="5" t="s">
        <v>238</v>
      </c>
      <c r="BA980" s="5" t="s">
        <v>238</v>
      </c>
      <c r="BC980" s="5" t="s">
        <v>250</v>
      </c>
      <c r="BD980" s="6" t="s">
        <v>243</v>
      </c>
      <c r="BE980" s="5" t="s">
        <v>251</v>
      </c>
      <c r="BF980" s="5" t="s">
        <v>252</v>
      </c>
      <c r="BG980" s="5" t="s">
        <v>238</v>
      </c>
      <c r="BH980" s="7">
        <f>0</f>
        <v>0</v>
      </c>
      <c r="BI980" s="8">
        <f>0</f>
        <v>0</v>
      </c>
      <c r="BJ980" s="5" t="s">
        <v>253</v>
      </c>
      <c r="BK980" s="5" t="s">
        <v>254</v>
      </c>
      <c r="BY980" s="5" t="s">
        <v>238</v>
      </c>
      <c r="BZ980" s="5" t="s">
        <v>238</v>
      </c>
      <c r="CD980" s="5" t="s">
        <v>273</v>
      </c>
      <c r="CE980" s="5" t="s">
        <v>256</v>
      </c>
      <c r="CF980" s="5" t="s">
        <v>238</v>
      </c>
      <c r="CI980" s="6" t="s">
        <v>257</v>
      </c>
      <c r="CJ980" s="5" t="s">
        <v>238</v>
      </c>
      <c r="CK980" s="5" t="s">
        <v>258</v>
      </c>
      <c r="CL980" s="5" t="s">
        <v>238</v>
      </c>
      <c r="CM980" s="5" t="s">
        <v>238</v>
      </c>
      <c r="CN980" s="5">
        <v>0</v>
      </c>
      <c r="CO980" s="5" t="s">
        <v>259</v>
      </c>
      <c r="CP980" s="5" t="s">
        <v>260</v>
      </c>
      <c r="CQ980" s="5" t="s">
        <v>260</v>
      </c>
      <c r="CR980" s="5" t="s">
        <v>261</v>
      </c>
      <c r="CU980" s="8">
        <f>1</f>
        <v>1</v>
      </c>
      <c r="CV980" s="8">
        <f>0</f>
        <v>0</v>
      </c>
      <c r="CX980" s="8">
        <f>0</f>
        <v>0</v>
      </c>
      <c r="CY980" s="8">
        <f>1</f>
        <v>1</v>
      </c>
      <c r="DA980" s="5" t="s">
        <v>673</v>
      </c>
      <c r="DB980" s="5" t="s">
        <v>238</v>
      </c>
      <c r="DD980" s="5" t="s">
        <v>673</v>
      </c>
      <c r="DE980" s="8">
        <f>66</f>
        <v>66</v>
      </c>
      <c r="DG980" s="5" t="s">
        <v>238</v>
      </c>
      <c r="DH980" s="5" t="s">
        <v>238</v>
      </c>
      <c r="DI980" s="5" t="s">
        <v>238</v>
      </c>
      <c r="DJ980" s="5" t="s">
        <v>238</v>
      </c>
      <c r="DN980" s="5" t="s">
        <v>238</v>
      </c>
      <c r="DO980" s="5" t="s">
        <v>238</v>
      </c>
      <c r="DP980" s="5" t="s">
        <v>238</v>
      </c>
      <c r="DQ980" s="5" t="s">
        <v>238</v>
      </c>
      <c r="DT980" s="5" t="s">
        <v>2039</v>
      </c>
      <c r="DU980" s="5" t="s">
        <v>677</v>
      </c>
      <c r="HM980" s="5" t="s">
        <v>264</v>
      </c>
    </row>
    <row r="981" spans="1:221" x14ac:dyDescent="0.4">
      <c r="A981" s="5">
        <v>2656</v>
      </c>
      <c r="B981" s="5">
        <v>1</v>
      </c>
      <c r="C981" s="5">
        <v>1</v>
      </c>
      <c r="D981" s="5" t="s">
        <v>2037</v>
      </c>
      <c r="E981" s="5" t="s">
        <v>271</v>
      </c>
      <c r="F981" s="5" t="s">
        <v>248</v>
      </c>
      <c r="G981" s="5" t="s">
        <v>1969</v>
      </c>
      <c r="H981" s="6" t="s">
        <v>2470</v>
      </c>
      <c r="I981" s="7">
        <f>118</f>
        <v>118</v>
      </c>
      <c r="J981" s="5" t="s">
        <v>262</v>
      </c>
      <c r="K981" s="8">
        <f>1</f>
        <v>1</v>
      </c>
      <c r="L981" s="6" t="s">
        <v>242</v>
      </c>
      <c r="M981" s="5" t="s">
        <v>267</v>
      </c>
      <c r="N981" s="5" t="s">
        <v>265</v>
      </c>
      <c r="O981" s="5" t="s">
        <v>238</v>
      </c>
      <c r="P981" s="5" t="s">
        <v>238</v>
      </c>
      <c r="Q981" s="5" t="s">
        <v>268</v>
      </c>
      <c r="R981" s="5" t="s">
        <v>270</v>
      </c>
      <c r="S981" s="5" t="s">
        <v>238</v>
      </c>
      <c r="V981" s="5" t="s">
        <v>238</v>
      </c>
      <c r="X981" s="6" t="s">
        <v>238</v>
      </c>
      <c r="AA981" s="6" t="s">
        <v>243</v>
      </c>
      <c r="AB981" s="5" t="s">
        <v>238</v>
      </c>
      <c r="AC981" s="5" t="s">
        <v>244</v>
      </c>
      <c r="AD981" s="5" t="s">
        <v>245</v>
      </c>
      <c r="AT981" s="5" t="s">
        <v>246</v>
      </c>
      <c r="AU981" s="5" t="s">
        <v>238</v>
      </c>
      <c r="AV981" s="5" t="s">
        <v>247</v>
      </c>
      <c r="AW981" s="5" t="s">
        <v>238</v>
      </c>
      <c r="AX981" s="5" t="s">
        <v>249</v>
      </c>
      <c r="AY981" s="5" t="s">
        <v>238</v>
      </c>
      <c r="BA981" s="5" t="s">
        <v>238</v>
      </c>
      <c r="BC981" s="5" t="s">
        <v>250</v>
      </c>
      <c r="BD981" s="6" t="s">
        <v>243</v>
      </c>
      <c r="BE981" s="5" t="s">
        <v>251</v>
      </c>
      <c r="BF981" s="5" t="s">
        <v>252</v>
      </c>
      <c r="BG981" s="5" t="s">
        <v>238</v>
      </c>
      <c r="BH981" s="7">
        <f>0</f>
        <v>0</v>
      </c>
      <c r="BI981" s="8">
        <f>0</f>
        <v>0</v>
      </c>
      <c r="BJ981" s="5" t="s">
        <v>253</v>
      </c>
      <c r="BK981" s="5" t="s">
        <v>254</v>
      </c>
      <c r="BY981" s="5" t="s">
        <v>238</v>
      </c>
      <c r="BZ981" s="5" t="s">
        <v>238</v>
      </c>
      <c r="CD981" s="5" t="s">
        <v>273</v>
      </c>
      <c r="CE981" s="5" t="s">
        <v>256</v>
      </c>
      <c r="CF981" s="5" t="s">
        <v>238</v>
      </c>
      <c r="CI981" s="6" t="s">
        <v>257</v>
      </c>
      <c r="CJ981" s="5" t="s">
        <v>238</v>
      </c>
      <c r="CK981" s="5" t="s">
        <v>258</v>
      </c>
      <c r="CL981" s="5" t="s">
        <v>238</v>
      </c>
      <c r="CM981" s="5" t="s">
        <v>238</v>
      </c>
      <c r="CN981" s="5">
        <v>0</v>
      </c>
      <c r="CO981" s="5" t="s">
        <v>259</v>
      </c>
      <c r="CP981" s="5" t="s">
        <v>260</v>
      </c>
      <c r="CQ981" s="5" t="s">
        <v>260</v>
      </c>
      <c r="CR981" s="5" t="s">
        <v>261</v>
      </c>
      <c r="CU981" s="8">
        <f>1</f>
        <v>1</v>
      </c>
      <c r="CV981" s="8">
        <f>0</f>
        <v>0</v>
      </c>
      <c r="CX981" s="8">
        <f>0</f>
        <v>0</v>
      </c>
      <c r="CY981" s="8">
        <f>1</f>
        <v>1</v>
      </c>
      <c r="DA981" s="5" t="s">
        <v>673</v>
      </c>
      <c r="DB981" s="5" t="s">
        <v>238</v>
      </c>
      <c r="DD981" s="5" t="s">
        <v>673</v>
      </c>
      <c r="DE981" s="8">
        <f>118</f>
        <v>118</v>
      </c>
      <c r="DG981" s="5" t="s">
        <v>238</v>
      </c>
      <c r="DH981" s="5" t="s">
        <v>238</v>
      </c>
      <c r="DI981" s="5" t="s">
        <v>238</v>
      </c>
      <c r="DJ981" s="5" t="s">
        <v>238</v>
      </c>
      <c r="DN981" s="5" t="s">
        <v>238</v>
      </c>
      <c r="DO981" s="5" t="s">
        <v>238</v>
      </c>
      <c r="DP981" s="5" t="s">
        <v>238</v>
      </c>
      <c r="DQ981" s="5" t="s">
        <v>238</v>
      </c>
      <c r="DT981" s="5" t="s">
        <v>2039</v>
      </c>
      <c r="DU981" s="5" t="s">
        <v>681</v>
      </c>
      <c r="HM981" s="5" t="s">
        <v>264</v>
      </c>
    </row>
    <row r="982" spans="1:221" x14ac:dyDescent="0.4">
      <c r="A982" s="5">
        <v>2657</v>
      </c>
      <c r="B982" s="5">
        <v>1</v>
      </c>
      <c r="C982" s="5">
        <v>1</v>
      </c>
      <c r="D982" s="5" t="s">
        <v>2037</v>
      </c>
      <c r="E982" s="5" t="s">
        <v>271</v>
      </c>
      <c r="F982" s="5" t="s">
        <v>248</v>
      </c>
      <c r="G982" s="5" t="s">
        <v>1969</v>
      </c>
      <c r="H982" s="6" t="s">
        <v>3174</v>
      </c>
      <c r="I982" s="7">
        <f>12031</f>
        <v>12031</v>
      </c>
      <c r="J982" s="5" t="s">
        <v>262</v>
      </c>
      <c r="K982" s="8">
        <f>1</f>
        <v>1</v>
      </c>
      <c r="L982" s="6" t="s">
        <v>242</v>
      </c>
      <c r="M982" s="5" t="s">
        <v>267</v>
      </c>
      <c r="N982" s="5" t="s">
        <v>265</v>
      </c>
      <c r="O982" s="5" t="s">
        <v>238</v>
      </c>
      <c r="P982" s="5" t="s">
        <v>238</v>
      </c>
      <c r="Q982" s="5" t="s">
        <v>268</v>
      </c>
      <c r="R982" s="5" t="s">
        <v>270</v>
      </c>
      <c r="S982" s="5" t="s">
        <v>238</v>
      </c>
      <c r="V982" s="5" t="s">
        <v>238</v>
      </c>
      <c r="X982" s="6" t="s">
        <v>238</v>
      </c>
      <c r="AA982" s="6" t="s">
        <v>243</v>
      </c>
      <c r="AB982" s="5" t="s">
        <v>238</v>
      </c>
      <c r="AC982" s="5" t="s">
        <v>244</v>
      </c>
      <c r="AD982" s="5" t="s">
        <v>245</v>
      </c>
      <c r="AT982" s="5" t="s">
        <v>246</v>
      </c>
      <c r="AU982" s="5" t="s">
        <v>238</v>
      </c>
      <c r="AV982" s="5" t="s">
        <v>247</v>
      </c>
      <c r="AW982" s="5" t="s">
        <v>238</v>
      </c>
      <c r="AX982" s="5" t="s">
        <v>249</v>
      </c>
      <c r="AY982" s="5" t="s">
        <v>238</v>
      </c>
      <c r="BA982" s="5" t="s">
        <v>238</v>
      </c>
      <c r="BC982" s="5" t="s">
        <v>250</v>
      </c>
      <c r="BD982" s="6" t="s">
        <v>243</v>
      </c>
      <c r="BE982" s="5" t="s">
        <v>251</v>
      </c>
      <c r="BF982" s="5" t="s">
        <v>252</v>
      </c>
      <c r="BG982" s="5" t="s">
        <v>238</v>
      </c>
      <c r="BH982" s="7">
        <f>0</f>
        <v>0</v>
      </c>
      <c r="BI982" s="8">
        <f>0</f>
        <v>0</v>
      </c>
      <c r="BJ982" s="5" t="s">
        <v>253</v>
      </c>
      <c r="BK982" s="5" t="s">
        <v>254</v>
      </c>
      <c r="BY982" s="5" t="s">
        <v>238</v>
      </c>
      <c r="BZ982" s="5" t="s">
        <v>238</v>
      </c>
      <c r="CD982" s="5" t="s">
        <v>273</v>
      </c>
      <c r="CE982" s="5" t="s">
        <v>256</v>
      </c>
      <c r="CF982" s="5" t="s">
        <v>238</v>
      </c>
      <c r="CI982" s="6" t="s">
        <v>257</v>
      </c>
      <c r="CJ982" s="5" t="s">
        <v>238</v>
      </c>
      <c r="CK982" s="5" t="s">
        <v>258</v>
      </c>
      <c r="CL982" s="5" t="s">
        <v>238</v>
      </c>
      <c r="CM982" s="5" t="s">
        <v>238</v>
      </c>
      <c r="CN982" s="5">
        <v>0</v>
      </c>
      <c r="CO982" s="5" t="s">
        <v>259</v>
      </c>
      <c r="CP982" s="5" t="s">
        <v>260</v>
      </c>
      <c r="CQ982" s="5" t="s">
        <v>260</v>
      </c>
      <c r="CR982" s="5" t="s">
        <v>261</v>
      </c>
      <c r="CU982" s="8">
        <f>1</f>
        <v>1</v>
      </c>
      <c r="CV982" s="8">
        <f>0</f>
        <v>0</v>
      </c>
      <c r="CX982" s="8">
        <f>0</f>
        <v>0</v>
      </c>
      <c r="CY982" s="8">
        <f>1</f>
        <v>1</v>
      </c>
      <c r="DA982" s="5" t="s">
        <v>673</v>
      </c>
      <c r="DB982" s="5" t="s">
        <v>238</v>
      </c>
      <c r="DD982" s="5" t="s">
        <v>673</v>
      </c>
      <c r="DE982" s="8">
        <f>12031</f>
        <v>12031</v>
      </c>
      <c r="DG982" s="5" t="s">
        <v>238</v>
      </c>
      <c r="DH982" s="5" t="s">
        <v>238</v>
      </c>
      <c r="DI982" s="5" t="s">
        <v>238</v>
      </c>
      <c r="DJ982" s="5" t="s">
        <v>238</v>
      </c>
      <c r="DN982" s="5" t="s">
        <v>238</v>
      </c>
      <c r="DO982" s="5" t="s">
        <v>238</v>
      </c>
      <c r="DP982" s="5" t="s">
        <v>238</v>
      </c>
      <c r="DQ982" s="5" t="s">
        <v>238</v>
      </c>
      <c r="DT982" s="5" t="s">
        <v>2039</v>
      </c>
      <c r="DU982" s="5" t="s">
        <v>685</v>
      </c>
      <c r="HM982" s="5" t="s">
        <v>264</v>
      </c>
    </row>
    <row r="983" spans="1:221" x14ac:dyDescent="0.4">
      <c r="A983" s="5">
        <v>2658</v>
      </c>
      <c r="B983" s="5">
        <v>1</v>
      </c>
      <c r="C983" s="5">
        <v>1</v>
      </c>
      <c r="D983" s="5" t="s">
        <v>2037</v>
      </c>
      <c r="E983" s="5" t="s">
        <v>271</v>
      </c>
      <c r="F983" s="5" t="s">
        <v>248</v>
      </c>
      <c r="G983" s="5" t="s">
        <v>1969</v>
      </c>
      <c r="H983" s="6" t="s">
        <v>2494</v>
      </c>
      <c r="I983" s="7">
        <f>8337</f>
        <v>8337</v>
      </c>
      <c r="J983" s="5" t="s">
        <v>262</v>
      </c>
      <c r="K983" s="8">
        <f>1</f>
        <v>1</v>
      </c>
      <c r="L983" s="6" t="s">
        <v>242</v>
      </c>
      <c r="M983" s="5" t="s">
        <v>267</v>
      </c>
      <c r="N983" s="5" t="s">
        <v>265</v>
      </c>
      <c r="O983" s="5" t="s">
        <v>238</v>
      </c>
      <c r="P983" s="5" t="s">
        <v>238</v>
      </c>
      <c r="Q983" s="5" t="s">
        <v>268</v>
      </c>
      <c r="R983" s="5" t="s">
        <v>270</v>
      </c>
      <c r="S983" s="5" t="s">
        <v>238</v>
      </c>
      <c r="V983" s="5" t="s">
        <v>238</v>
      </c>
      <c r="X983" s="6" t="s">
        <v>238</v>
      </c>
      <c r="AA983" s="6" t="s">
        <v>243</v>
      </c>
      <c r="AB983" s="5" t="s">
        <v>238</v>
      </c>
      <c r="AC983" s="5" t="s">
        <v>244</v>
      </c>
      <c r="AD983" s="5" t="s">
        <v>245</v>
      </c>
      <c r="AT983" s="5" t="s">
        <v>246</v>
      </c>
      <c r="AU983" s="5" t="s">
        <v>238</v>
      </c>
      <c r="AV983" s="5" t="s">
        <v>247</v>
      </c>
      <c r="AW983" s="5" t="s">
        <v>238</v>
      </c>
      <c r="AX983" s="5" t="s">
        <v>249</v>
      </c>
      <c r="AY983" s="5" t="s">
        <v>238</v>
      </c>
      <c r="BA983" s="5" t="s">
        <v>238</v>
      </c>
      <c r="BC983" s="5" t="s">
        <v>250</v>
      </c>
      <c r="BD983" s="6" t="s">
        <v>243</v>
      </c>
      <c r="BE983" s="5" t="s">
        <v>251</v>
      </c>
      <c r="BF983" s="5" t="s">
        <v>252</v>
      </c>
      <c r="BG983" s="5" t="s">
        <v>238</v>
      </c>
      <c r="BH983" s="7">
        <f>0</f>
        <v>0</v>
      </c>
      <c r="BI983" s="8">
        <f>0</f>
        <v>0</v>
      </c>
      <c r="BJ983" s="5" t="s">
        <v>253</v>
      </c>
      <c r="BK983" s="5" t="s">
        <v>254</v>
      </c>
      <c r="BY983" s="5" t="s">
        <v>238</v>
      </c>
      <c r="BZ983" s="5" t="s">
        <v>238</v>
      </c>
      <c r="CD983" s="5" t="s">
        <v>273</v>
      </c>
      <c r="CE983" s="5" t="s">
        <v>256</v>
      </c>
      <c r="CF983" s="5" t="s">
        <v>238</v>
      </c>
      <c r="CI983" s="6" t="s">
        <v>257</v>
      </c>
      <c r="CJ983" s="5" t="s">
        <v>238</v>
      </c>
      <c r="CK983" s="5" t="s">
        <v>258</v>
      </c>
      <c r="CL983" s="5" t="s">
        <v>238</v>
      </c>
      <c r="CM983" s="5" t="s">
        <v>238</v>
      </c>
      <c r="CN983" s="5">
        <v>0</v>
      </c>
      <c r="CO983" s="5" t="s">
        <v>259</v>
      </c>
      <c r="CP983" s="5" t="s">
        <v>260</v>
      </c>
      <c r="CQ983" s="5" t="s">
        <v>260</v>
      </c>
      <c r="CR983" s="5" t="s">
        <v>261</v>
      </c>
      <c r="CU983" s="8">
        <f>1</f>
        <v>1</v>
      </c>
      <c r="CV983" s="8">
        <f>0</f>
        <v>0</v>
      </c>
      <c r="CX983" s="8">
        <f>0</f>
        <v>0</v>
      </c>
      <c r="CY983" s="8">
        <f>1</f>
        <v>1</v>
      </c>
      <c r="DA983" s="5" t="s">
        <v>673</v>
      </c>
      <c r="DB983" s="5" t="s">
        <v>238</v>
      </c>
      <c r="DD983" s="5" t="s">
        <v>673</v>
      </c>
      <c r="DE983" s="8">
        <f>8337</f>
        <v>8337</v>
      </c>
      <c r="DG983" s="5" t="s">
        <v>238</v>
      </c>
      <c r="DH983" s="5" t="s">
        <v>238</v>
      </c>
      <c r="DI983" s="5" t="s">
        <v>238</v>
      </c>
      <c r="DJ983" s="5" t="s">
        <v>238</v>
      </c>
      <c r="DN983" s="5" t="s">
        <v>238</v>
      </c>
      <c r="DO983" s="5" t="s">
        <v>238</v>
      </c>
      <c r="DP983" s="5" t="s">
        <v>238</v>
      </c>
      <c r="DQ983" s="5" t="s">
        <v>238</v>
      </c>
      <c r="DT983" s="5" t="s">
        <v>2039</v>
      </c>
      <c r="DU983" s="5" t="s">
        <v>689</v>
      </c>
      <c r="HM983" s="5" t="s">
        <v>264</v>
      </c>
    </row>
    <row r="984" spans="1:221" x14ac:dyDescent="0.4">
      <c r="A984" s="5">
        <v>2659</v>
      </c>
      <c r="B984" s="5">
        <v>1</v>
      </c>
      <c r="C984" s="5">
        <v>1</v>
      </c>
      <c r="D984" s="5" t="s">
        <v>2037</v>
      </c>
      <c r="E984" s="5" t="s">
        <v>271</v>
      </c>
      <c r="F984" s="5" t="s">
        <v>248</v>
      </c>
      <c r="G984" s="5" t="s">
        <v>1969</v>
      </c>
      <c r="H984" s="6" t="s">
        <v>3177</v>
      </c>
      <c r="I984" s="7">
        <f>4226</f>
        <v>4226</v>
      </c>
      <c r="J984" s="5" t="s">
        <v>262</v>
      </c>
      <c r="K984" s="8">
        <f>1</f>
        <v>1</v>
      </c>
      <c r="L984" s="6" t="s">
        <v>242</v>
      </c>
      <c r="M984" s="5" t="s">
        <v>267</v>
      </c>
      <c r="N984" s="5" t="s">
        <v>265</v>
      </c>
      <c r="O984" s="5" t="s">
        <v>238</v>
      </c>
      <c r="P984" s="5" t="s">
        <v>238</v>
      </c>
      <c r="Q984" s="5" t="s">
        <v>268</v>
      </c>
      <c r="R984" s="5" t="s">
        <v>270</v>
      </c>
      <c r="S984" s="5" t="s">
        <v>238</v>
      </c>
      <c r="V984" s="5" t="s">
        <v>238</v>
      </c>
      <c r="X984" s="6" t="s">
        <v>238</v>
      </c>
      <c r="AA984" s="6" t="s">
        <v>243</v>
      </c>
      <c r="AB984" s="5" t="s">
        <v>238</v>
      </c>
      <c r="AC984" s="5" t="s">
        <v>244</v>
      </c>
      <c r="AD984" s="5" t="s">
        <v>245</v>
      </c>
      <c r="AT984" s="5" t="s">
        <v>246</v>
      </c>
      <c r="AU984" s="5" t="s">
        <v>238</v>
      </c>
      <c r="AV984" s="5" t="s">
        <v>247</v>
      </c>
      <c r="AW984" s="5" t="s">
        <v>238</v>
      </c>
      <c r="AX984" s="5" t="s">
        <v>249</v>
      </c>
      <c r="AY984" s="5" t="s">
        <v>238</v>
      </c>
      <c r="BA984" s="5" t="s">
        <v>238</v>
      </c>
      <c r="BC984" s="5" t="s">
        <v>250</v>
      </c>
      <c r="BD984" s="6" t="s">
        <v>243</v>
      </c>
      <c r="BE984" s="5" t="s">
        <v>251</v>
      </c>
      <c r="BF984" s="5" t="s">
        <v>252</v>
      </c>
      <c r="BG984" s="5" t="s">
        <v>238</v>
      </c>
      <c r="BH984" s="7">
        <f>0</f>
        <v>0</v>
      </c>
      <c r="BI984" s="8">
        <f>0</f>
        <v>0</v>
      </c>
      <c r="BJ984" s="5" t="s">
        <v>253</v>
      </c>
      <c r="BK984" s="5" t="s">
        <v>254</v>
      </c>
      <c r="BY984" s="5" t="s">
        <v>238</v>
      </c>
      <c r="BZ984" s="5" t="s">
        <v>238</v>
      </c>
      <c r="CD984" s="5" t="s">
        <v>273</v>
      </c>
      <c r="CE984" s="5" t="s">
        <v>256</v>
      </c>
      <c r="CF984" s="5" t="s">
        <v>238</v>
      </c>
      <c r="CI984" s="6" t="s">
        <v>257</v>
      </c>
      <c r="CJ984" s="5" t="s">
        <v>238</v>
      </c>
      <c r="CK984" s="5" t="s">
        <v>258</v>
      </c>
      <c r="CL984" s="5" t="s">
        <v>238</v>
      </c>
      <c r="CM984" s="5" t="s">
        <v>238</v>
      </c>
      <c r="CN984" s="5">
        <v>0</v>
      </c>
      <c r="CO984" s="5" t="s">
        <v>259</v>
      </c>
      <c r="CP984" s="5" t="s">
        <v>260</v>
      </c>
      <c r="CQ984" s="5" t="s">
        <v>260</v>
      </c>
      <c r="CR984" s="5" t="s">
        <v>261</v>
      </c>
      <c r="CU984" s="8">
        <f>1</f>
        <v>1</v>
      </c>
      <c r="CV984" s="8">
        <f>0</f>
        <v>0</v>
      </c>
      <c r="CX984" s="8">
        <f>0</f>
        <v>0</v>
      </c>
      <c r="CY984" s="8">
        <f>1</f>
        <v>1</v>
      </c>
      <c r="DA984" s="5" t="s">
        <v>673</v>
      </c>
      <c r="DB984" s="5" t="s">
        <v>238</v>
      </c>
      <c r="DD984" s="5" t="s">
        <v>673</v>
      </c>
      <c r="DE984" s="8">
        <f>4226</f>
        <v>4226</v>
      </c>
      <c r="DG984" s="5" t="s">
        <v>238</v>
      </c>
      <c r="DH984" s="5" t="s">
        <v>238</v>
      </c>
      <c r="DI984" s="5" t="s">
        <v>238</v>
      </c>
      <c r="DJ984" s="5" t="s">
        <v>238</v>
      </c>
      <c r="DN984" s="5" t="s">
        <v>238</v>
      </c>
      <c r="DO984" s="5" t="s">
        <v>238</v>
      </c>
      <c r="DP984" s="5" t="s">
        <v>238</v>
      </c>
      <c r="DQ984" s="5" t="s">
        <v>238</v>
      </c>
      <c r="DT984" s="5" t="s">
        <v>2039</v>
      </c>
      <c r="DU984" s="5" t="s">
        <v>691</v>
      </c>
      <c r="HM984" s="5" t="s">
        <v>264</v>
      </c>
    </row>
    <row r="985" spans="1:221" x14ac:dyDescent="0.4">
      <c r="A985" s="5">
        <v>2660</v>
      </c>
      <c r="B985" s="5">
        <v>1</v>
      </c>
      <c r="C985" s="5">
        <v>1</v>
      </c>
      <c r="D985" s="5" t="s">
        <v>2037</v>
      </c>
      <c r="E985" s="5" t="s">
        <v>271</v>
      </c>
      <c r="F985" s="5" t="s">
        <v>248</v>
      </c>
      <c r="G985" s="5" t="s">
        <v>1969</v>
      </c>
      <c r="H985" s="6" t="s">
        <v>2497</v>
      </c>
      <c r="I985" s="7">
        <f>1929</f>
        <v>1929</v>
      </c>
      <c r="J985" s="5" t="s">
        <v>262</v>
      </c>
      <c r="K985" s="8">
        <f>1</f>
        <v>1</v>
      </c>
      <c r="L985" s="6" t="s">
        <v>242</v>
      </c>
      <c r="M985" s="5" t="s">
        <v>267</v>
      </c>
      <c r="N985" s="5" t="s">
        <v>265</v>
      </c>
      <c r="O985" s="5" t="s">
        <v>238</v>
      </c>
      <c r="P985" s="5" t="s">
        <v>238</v>
      </c>
      <c r="Q985" s="5" t="s">
        <v>268</v>
      </c>
      <c r="R985" s="5" t="s">
        <v>270</v>
      </c>
      <c r="S985" s="5" t="s">
        <v>238</v>
      </c>
      <c r="V985" s="5" t="s">
        <v>238</v>
      </c>
      <c r="X985" s="6" t="s">
        <v>238</v>
      </c>
      <c r="AA985" s="6" t="s">
        <v>243</v>
      </c>
      <c r="AB985" s="5" t="s">
        <v>238</v>
      </c>
      <c r="AC985" s="5" t="s">
        <v>244</v>
      </c>
      <c r="AD985" s="5" t="s">
        <v>245</v>
      </c>
      <c r="AT985" s="5" t="s">
        <v>246</v>
      </c>
      <c r="AU985" s="5" t="s">
        <v>238</v>
      </c>
      <c r="AV985" s="5" t="s">
        <v>247</v>
      </c>
      <c r="AW985" s="5" t="s">
        <v>238</v>
      </c>
      <c r="AX985" s="5" t="s">
        <v>249</v>
      </c>
      <c r="AY985" s="5" t="s">
        <v>238</v>
      </c>
      <c r="BA985" s="5" t="s">
        <v>238</v>
      </c>
      <c r="BC985" s="5" t="s">
        <v>250</v>
      </c>
      <c r="BD985" s="6" t="s">
        <v>243</v>
      </c>
      <c r="BE985" s="5" t="s">
        <v>251</v>
      </c>
      <c r="BF985" s="5" t="s">
        <v>252</v>
      </c>
      <c r="BG985" s="5" t="s">
        <v>238</v>
      </c>
      <c r="BH985" s="7">
        <f>0</f>
        <v>0</v>
      </c>
      <c r="BI985" s="8">
        <f>0</f>
        <v>0</v>
      </c>
      <c r="BJ985" s="5" t="s">
        <v>253</v>
      </c>
      <c r="BK985" s="5" t="s">
        <v>254</v>
      </c>
      <c r="BY985" s="5" t="s">
        <v>238</v>
      </c>
      <c r="BZ985" s="5" t="s">
        <v>238</v>
      </c>
      <c r="CD985" s="5" t="s">
        <v>273</v>
      </c>
      <c r="CE985" s="5" t="s">
        <v>256</v>
      </c>
      <c r="CF985" s="5" t="s">
        <v>238</v>
      </c>
      <c r="CI985" s="6" t="s">
        <v>257</v>
      </c>
      <c r="CJ985" s="5" t="s">
        <v>238</v>
      </c>
      <c r="CK985" s="5" t="s">
        <v>258</v>
      </c>
      <c r="CL985" s="5" t="s">
        <v>238</v>
      </c>
      <c r="CM985" s="5" t="s">
        <v>238</v>
      </c>
      <c r="CN985" s="5">
        <v>0</v>
      </c>
      <c r="CO985" s="5" t="s">
        <v>259</v>
      </c>
      <c r="CP985" s="5" t="s">
        <v>260</v>
      </c>
      <c r="CQ985" s="5" t="s">
        <v>260</v>
      </c>
      <c r="CR985" s="5" t="s">
        <v>261</v>
      </c>
      <c r="CU985" s="8">
        <f>1</f>
        <v>1</v>
      </c>
      <c r="CV985" s="8">
        <f>0</f>
        <v>0</v>
      </c>
      <c r="CX985" s="8">
        <f>0</f>
        <v>0</v>
      </c>
      <c r="CY985" s="8">
        <f>1</f>
        <v>1</v>
      </c>
      <c r="DA985" s="5" t="s">
        <v>673</v>
      </c>
      <c r="DB985" s="5" t="s">
        <v>238</v>
      </c>
      <c r="DD985" s="5" t="s">
        <v>673</v>
      </c>
      <c r="DE985" s="8">
        <f>1929</f>
        <v>1929</v>
      </c>
      <c r="DG985" s="5" t="s">
        <v>238</v>
      </c>
      <c r="DH985" s="5" t="s">
        <v>238</v>
      </c>
      <c r="DI985" s="5" t="s">
        <v>238</v>
      </c>
      <c r="DJ985" s="5" t="s">
        <v>238</v>
      </c>
      <c r="DN985" s="5" t="s">
        <v>238</v>
      </c>
      <c r="DO985" s="5" t="s">
        <v>238</v>
      </c>
      <c r="DP985" s="5" t="s">
        <v>238</v>
      </c>
      <c r="DQ985" s="5" t="s">
        <v>238</v>
      </c>
      <c r="DT985" s="5" t="s">
        <v>2039</v>
      </c>
      <c r="DU985" s="5" t="s">
        <v>693</v>
      </c>
      <c r="HM985" s="5" t="s">
        <v>264</v>
      </c>
    </row>
    <row r="986" spans="1:221" x14ac:dyDescent="0.4">
      <c r="A986" s="5">
        <v>2661</v>
      </c>
      <c r="B986" s="5">
        <v>1</v>
      </c>
      <c r="C986" s="5">
        <v>1</v>
      </c>
      <c r="D986" s="5" t="s">
        <v>2037</v>
      </c>
      <c r="E986" s="5" t="s">
        <v>271</v>
      </c>
      <c r="F986" s="5" t="s">
        <v>248</v>
      </c>
      <c r="G986" s="5" t="s">
        <v>1969</v>
      </c>
      <c r="H986" s="6" t="s">
        <v>3179</v>
      </c>
      <c r="I986" s="7">
        <f>1137</f>
        <v>1137</v>
      </c>
      <c r="J986" s="5" t="s">
        <v>262</v>
      </c>
      <c r="K986" s="8">
        <f>1</f>
        <v>1</v>
      </c>
      <c r="L986" s="6" t="s">
        <v>242</v>
      </c>
      <c r="M986" s="5" t="s">
        <v>267</v>
      </c>
      <c r="N986" s="5" t="s">
        <v>265</v>
      </c>
      <c r="O986" s="5" t="s">
        <v>238</v>
      </c>
      <c r="P986" s="5" t="s">
        <v>238</v>
      </c>
      <c r="Q986" s="5" t="s">
        <v>268</v>
      </c>
      <c r="R986" s="5" t="s">
        <v>270</v>
      </c>
      <c r="S986" s="5" t="s">
        <v>238</v>
      </c>
      <c r="V986" s="5" t="s">
        <v>238</v>
      </c>
      <c r="X986" s="6" t="s">
        <v>238</v>
      </c>
      <c r="AA986" s="6" t="s">
        <v>243</v>
      </c>
      <c r="AB986" s="5" t="s">
        <v>238</v>
      </c>
      <c r="AC986" s="5" t="s">
        <v>244</v>
      </c>
      <c r="AD986" s="5" t="s">
        <v>245</v>
      </c>
      <c r="AT986" s="5" t="s">
        <v>246</v>
      </c>
      <c r="AU986" s="5" t="s">
        <v>238</v>
      </c>
      <c r="AV986" s="5" t="s">
        <v>247</v>
      </c>
      <c r="AW986" s="5" t="s">
        <v>238</v>
      </c>
      <c r="AX986" s="5" t="s">
        <v>249</v>
      </c>
      <c r="AY986" s="5" t="s">
        <v>238</v>
      </c>
      <c r="BA986" s="5" t="s">
        <v>238</v>
      </c>
      <c r="BC986" s="5" t="s">
        <v>250</v>
      </c>
      <c r="BD986" s="6" t="s">
        <v>243</v>
      </c>
      <c r="BE986" s="5" t="s">
        <v>251</v>
      </c>
      <c r="BF986" s="5" t="s">
        <v>252</v>
      </c>
      <c r="BG986" s="5" t="s">
        <v>238</v>
      </c>
      <c r="BH986" s="7">
        <f>0</f>
        <v>0</v>
      </c>
      <c r="BI986" s="8">
        <f>0</f>
        <v>0</v>
      </c>
      <c r="BJ986" s="5" t="s">
        <v>253</v>
      </c>
      <c r="BK986" s="5" t="s">
        <v>254</v>
      </c>
      <c r="BY986" s="5" t="s">
        <v>238</v>
      </c>
      <c r="BZ986" s="5" t="s">
        <v>238</v>
      </c>
      <c r="CD986" s="5" t="s">
        <v>273</v>
      </c>
      <c r="CE986" s="5" t="s">
        <v>256</v>
      </c>
      <c r="CF986" s="5" t="s">
        <v>238</v>
      </c>
      <c r="CI986" s="6" t="s">
        <v>257</v>
      </c>
      <c r="CJ986" s="5" t="s">
        <v>238</v>
      </c>
      <c r="CK986" s="5" t="s">
        <v>258</v>
      </c>
      <c r="CL986" s="5" t="s">
        <v>238</v>
      </c>
      <c r="CM986" s="5" t="s">
        <v>238</v>
      </c>
      <c r="CN986" s="5">
        <v>0</v>
      </c>
      <c r="CO986" s="5" t="s">
        <v>259</v>
      </c>
      <c r="CP986" s="5" t="s">
        <v>260</v>
      </c>
      <c r="CQ986" s="5" t="s">
        <v>260</v>
      </c>
      <c r="CR986" s="5" t="s">
        <v>261</v>
      </c>
      <c r="CU986" s="8">
        <f>1</f>
        <v>1</v>
      </c>
      <c r="CV986" s="8">
        <f>0</f>
        <v>0</v>
      </c>
      <c r="CX986" s="8">
        <f>0</f>
        <v>0</v>
      </c>
      <c r="CY986" s="8">
        <f>1</f>
        <v>1</v>
      </c>
      <c r="DA986" s="5" t="s">
        <v>673</v>
      </c>
      <c r="DB986" s="5" t="s">
        <v>238</v>
      </c>
      <c r="DD986" s="5" t="s">
        <v>673</v>
      </c>
      <c r="DE986" s="8">
        <f>1137</f>
        <v>1137</v>
      </c>
      <c r="DG986" s="5" t="s">
        <v>238</v>
      </c>
      <c r="DH986" s="5" t="s">
        <v>238</v>
      </c>
      <c r="DI986" s="5" t="s">
        <v>238</v>
      </c>
      <c r="DJ986" s="5" t="s">
        <v>238</v>
      </c>
      <c r="DN986" s="5" t="s">
        <v>238</v>
      </c>
      <c r="DO986" s="5" t="s">
        <v>238</v>
      </c>
      <c r="DP986" s="5" t="s">
        <v>238</v>
      </c>
      <c r="DQ986" s="5" t="s">
        <v>238</v>
      </c>
      <c r="DT986" s="5" t="s">
        <v>2039</v>
      </c>
      <c r="DU986" s="5" t="s">
        <v>700</v>
      </c>
      <c r="HM986" s="5" t="s">
        <v>264</v>
      </c>
    </row>
    <row r="987" spans="1:221" x14ac:dyDescent="0.4">
      <c r="A987" s="5">
        <v>2662</v>
      </c>
      <c r="B987" s="5">
        <v>1</v>
      </c>
      <c r="C987" s="5">
        <v>1</v>
      </c>
      <c r="D987" s="5" t="s">
        <v>2037</v>
      </c>
      <c r="E987" s="5" t="s">
        <v>271</v>
      </c>
      <c r="F987" s="5" t="s">
        <v>248</v>
      </c>
      <c r="G987" s="5" t="s">
        <v>1969</v>
      </c>
      <c r="H987" s="6" t="s">
        <v>3180</v>
      </c>
      <c r="I987" s="7">
        <f>1167</f>
        <v>1167</v>
      </c>
      <c r="J987" s="5" t="s">
        <v>262</v>
      </c>
      <c r="K987" s="8">
        <f>1</f>
        <v>1</v>
      </c>
      <c r="L987" s="6" t="s">
        <v>242</v>
      </c>
      <c r="M987" s="5" t="s">
        <v>267</v>
      </c>
      <c r="N987" s="5" t="s">
        <v>265</v>
      </c>
      <c r="O987" s="5" t="s">
        <v>238</v>
      </c>
      <c r="P987" s="5" t="s">
        <v>238</v>
      </c>
      <c r="Q987" s="5" t="s">
        <v>268</v>
      </c>
      <c r="R987" s="5" t="s">
        <v>270</v>
      </c>
      <c r="S987" s="5" t="s">
        <v>238</v>
      </c>
      <c r="V987" s="5" t="s">
        <v>238</v>
      </c>
      <c r="X987" s="6" t="s">
        <v>238</v>
      </c>
      <c r="AA987" s="6" t="s">
        <v>243</v>
      </c>
      <c r="AB987" s="5" t="s">
        <v>238</v>
      </c>
      <c r="AC987" s="5" t="s">
        <v>244</v>
      </c>
      <c r="AD987" s="5" t="s">
        <v>245</v>
      </c>
      <c r="AT987" s="5" t="s">
        <v>246</v>
      </c>
      <c r="AU987" s="5" t="s">
        <v>238</v>
      </c>
      <c r="AV987" s="5" t="s">
        <v>247</v>
      </c>
      <c r="AW987" s="5" t="s">
        <v>238</v>
      </c>
      <c r="AX987" s="5" t="s">
        <v>249</v>
      </c>
      <c r="AY987" s="5" t="s">
        <v>238</v>
      </c>
      <c r="BA987" s="5" t="s">
        <v>238</v>
      </c>
      <c r="BC987" s="5" t="s">
        <v>250</v>
      </c>
      <c r="BD987" s="6" t="s">
        <v>243</v>
      </c>
      <c r="BE987" s="5" t="s">
        <v>251</v>
      </c>
      <c r="BF987" s="5" t="s">
        <v>252</v>
      </c>
      <c r="BG987" s="5" t="s">
        <v>238</v>
      </c>
      <c r="BH987" s="7">
        <f>0</f>
        <v>0</v>
      </c>
      <c r="BI987" s="8">
        <f>0</f>
        <v>0</v>
      </c>
      <c r="BJ987" s="5" t="s">
        <v>253</v>
      </c>
      <c r="BK987" s="5" t="s">
        <v>254</v>
      </c>
      <c r="BY987" s="5" t="s">
        <v>238</v>
      </c>
      <c r="BZ987" s="5" t="s">
        <v>238</v>
      </c>
      <c r="CD987" s="5" t="s">
        <v>273</v>
      </c>
      <c r="CE987" s="5" t="s">
        <v>256</v>
      </c>
      <c r="CF987" s="5" t="s">
        <v>238</v>
      </c>
      <c r="CI987" s="6" t="s">
        <v>257</v>
      </c>
      <c r="CJ987" s="5" t="s">
        <v>238</v>
      </c>
      <c r="CK987" s="5" t="s">
        <v>258</v>
      </c>
      <c r="CL987" s="5" t="s">
        <v>238</v>
      </c>
      <c r="CM987" s="5" t="s">
        <v>238</v>
      </c>
      <c r="CN987" s="5">
        <v>0</v>
      </c>
      <c r="CO987" s="5" t="s">
        <v>259</v>
      </c>
      <c r="CP987" s="5" t="s">
        <v>260</v>
      </c>
      <c r="CQ987" s="5" t="s">
        <v>260</v>
      </c>
      <c r="CR987" s="5" t="s">
        <v>261</v>
      </c>
      <c r="CU987" s="8">
        <f>1</f>
        <v>1</v>
      </c>
      <c r="CV987" s="8">
        <f>0</f>
        <v>0</v>
      </c>
      <c r="CX987" s="8">
        <f>0</f>
        <v>0</v>
      </c>
      <c r="CY987" s="8">
        <f>1</f>
        <v>1</v>
      </c>
      <c r="DA987" s="5" t="s">
        <v>673</v>
      </c>
      <c r="DB987" s="5" t="s">
        <v>238</v>
      </c>
      <c r="DD987" s="5" t="s">
        <v>673</v>
      </c>
      <c r="DE987" s="8">
        <f>1167</f>
        <v>1167</v>
      </c>
      <c r="DG987" s="5" t="s">
        <v>238</v>
      </c>
      <c r="DH987" s="5" t="s">
        <v>238</v>
      </c>
      <c r="DI987" s="5" t="s">
        <v>238</v>
      </c>
      <c r="DJ987" s="5" t="s">
        <v>238</v>
      </c>
      <c r="DN987" s="5" t="s">
        <v>238</v>
      </c>
      <c r="DO987" s="5" t="s">
        <v>238</v>
      </c>
      <c r="DP987" s="5" t="s">
        <v>238</v>
      </c>
      <c r="DQ987" s="5" t="s">
        <v>238</v>
      </c>
      <c r="DT987" s="5" t="s">
        <v>2039</v>
      </c>
      <c r="DU987" s="5" t="s">
        <v>704</v>
      </c>
      <c r="HM987" s="5" t="s">
        <v>264</v>
      </c>
    </row>
    <row r="988" spans="1:221" x14ac:dyDescent="0.4">
      <c r="A988" s="5">
        <v>2663</v>
      </c>
      <c r="B988" s="5">
        <v>1</v>
      </c>
      <c r="C988" s="5">
        <v>1</v>
      </c>
      <c r="D988" s="5" t="s">
        <v>2037</v>
      </c>
      <c r="E988" s="5" t="s">
        <v>271</v>
      </c>
      <c r="F988" s="5" t="s">
        <v>248</v>
      </c>
      <c r="G988" s="5" t="s">
        <v>1969</v>
      </c>
      <c r="H988" s="6" t="s">
        <v>3253</v>
      </c>
      <c r="I988" s="7">
        <f>618</f>
        <v>618</v>
      </c>
      <c r="J988" s="5" t="s">
        <v>262</v>
      </c>
      <c r="K988" s="8">
        <f>1</f>
        <v>1</v>
      </c>
      <c r="L988" s="6" t="s">
        <v>242</v>
      </c>
      <c r="M988" s="5" t="s">
        <v>267</v>
      </c>
      <c r="N988" s="5" t="s">
        <v>265</v>
      </c>
      <c r="O988" s="5" t="s">
        <v>238</v>
      </c>
      <c r="P988" s="5" t="s">
        <v>238</v>
      </c>
      <c r="Q988" s="5" t="s">
        <v>268</v>
      </c>
      <c r="R988" s="5" t="s">
        <v>270</v>
      </c>
      <c r="S988" s="5" t="s">
        <v>238</v>
      </c>
      <c r="V988" s="5" t="s">
        <v>238</v>
      </c>
      <c r="X988" s="6" t="s">
        <v>238</v>
      </c>
      <c r="AA988" s="6" t="s">
        <v>243</v>
      </c>
      <c r="AB988" s="5" t="s">
        <v>238</v>
      </c>
      <c r="AC988" s="5" t="s">
        <v>244</v>
      </c>
      <c r="AD988" s="5" t="s">
        <v>245</v>
      </c>
      <c r="AT988" s="5" t="s">
        <v>246</v>
      </c>
      <c r="AU988" s="5" t="s">
        <v>238</v>
      </c>
      <c r="AV988" s="5" t="s">
        <v>247</v>
      </c>
      <c r="AW988" s="5" t="s">
        <v>238</v>
      </c>
      <c r="AX988" s="5" t="s">
        <v>249</v>
      </c>
      <c r="AY988" s="5" t="s">
        <v>238</v>
      </c>
      <c r="BA988" s="5" t="s">
        <v>238</v>
      </c>
      <c r="BC988" s="5" t="s">
        <v>250</v>
      </c>
      <c r="BD988" s="6" t="s">
        <v>243</v>
      </c>
      <c r="BE988" s="5" t="s">
        <v>251</v>
      </c>
      <c r="BF988" s="5" t="s">
        <v>252</v>
      </c>
      <c r="BG988" s="5" t="s">
        <v>238</v>
      </c>
      <c r="BH988" s="7">
        <f>0</f>
        <v>0</v>
      </c>
      <c r="BI988" s="8">
        <f>0</f>
        <v>0</v>
      </c>
      <c r="BJ988" s="5" t="s">
        <v>253</v>
      </c>
      <c r="BK988" s="5" t="s">
        <v>254</v>
      </c>
      <c r="BY988" s="5" t="s">
        <v>238</v>
      </c>
      <c r="BZ988" s="5" t="s">
        <v>238</v>
      </c>
      <c r="CD988" s="5" t="s">
        <v>273</v>
      </c>
      <c r="CE988" s="5" t="s">
        <v>256</v>
      </c>
      <c r="CF988" s="5" t="s">
        <v>238</v>
      </c>
      <c r="CI988" s="6" t="s">
        <v>257</v>
      </c>
      <c r="CJ988" s="5" t="s">
        <v>238</v>
      </c>
      <c r="CK988" s="5" t="s">
        <v>258</v>
      </c>
      <c r="CL988" s="5" t="s">
        <v>238</v>
      </c>
      <c r="CM988" s="5" t="s">
        <v>238</v>
      </c>
      <c r="CN988" s="5">
        <v>0</v>
      </c>
      <c r="CO988" s="5" t="s">
        <v>259</v>
      </c>
      <c r="CP988" s="5" t="s">
        <v>260</v>
      </c>
      <c r="CQ988" s="5" t="s">
        <v>260</v>
      </c>
      <c r="CR988" s="5" t="s">
        <v>261</v>
      </c>
      <c r="CU988" s="8">
        <f>1</f>
        <v>1</v>
      </c>
      <c r="CV988" s="8">
        <f>0</f>
        <v>0</v>
      </c>
      <c r="CX988" s="8">
        <f>0</f>
        <v>0</v>
      </c>
      <c r="CY988" s="8">
        <f>1</f>
        <v>1</v>
      </c>
      <c r="DA988" s="5" t="s">
        <v>673</v>
      </c>
      <c r="DB988" s="5" t="s">
        <v>238</v>
      </c>
      <c r="DD988" s="5" t="s">
        <v>673</v>
      </c>
      <c r="DE988" s="8">
        <f>618</f>
        <v>618</v>
      </c>
      <c r="DG988" s="5" t="s">
        <v>238</v>
      </c>
      <c r="DH988" s="5" t="s">
        <v>238</v>
      </c>
      <c r="DI988" s="5" t="s">
        <v>238</v>
      </c>
      <c r="DJ988" s="5" t="s">
        <v>238</v>
      </c>
      <c r="DN988" s="5" t="s">
        <v>238</v>
      </c>
      <c r="DO988" s="5" t="s">
        <v>238</v>
      </c>
      <c r="DP988" s="5" t="s">
        <v>238</v>
      </c>
      <c r="DQ988" s="5" t="s">
        <v>238</v>
      </c>
      <c r="DT988" s="5" t="s">
        <v>2039</v>
      </c>
      <c r="DU988" s="5" t="s">
        <v>708</v>
      </c>
      <c r="HM988" s="5" t="s">
        <v>264</v>
      </c>
    </row>
    <row r="989" spans="1:221" x14ac:dyDescent="0.4">
      <c r="A989" s="5">
        <v>2664</v>
      </c>
      <c r="B989" s="5">
        <v>1</v>
      </c>
      <c r="C989" s="5">
        <v>1</v>
      </c>
      <c r="D989" s="5" t="s">
        <v>2037</v>
      </c>
      <c r="E989" s="5" t="s">
        <v>271</v>
      </c>
      <c r="F989" s="5" t="s">
        <v>248</v>
      </c>
      <c r="G989" s="5" t="s">
        <v>1969</v>
      </c>
      <c r="H989" s="6" t="s">
        <v>3252</v>
      </c>
      <c r="I989" s="7">
        <f>2463</f>
        <v>2463</v>
      </c>
      <c r="J989" s="5" t="s">
        <v>262</v>
      </c>
      <c r="K989" s="8">
        <f>1</f>
        <v>1</v>
      </c>
      <c r="L989" s="6" t="s">
        <v>242</v>
      </c>
      <c r="M989" s="5" t="s">
        <v>267</v>
      </c>
      <c r="N989" s="5" t="s">
        <v>265</v>
      </c>
      <c r="O989" s="5" t="s">
        <v>238</v>
      </c>
      <c r="P989" s="5" t="s">
        <v>238</v>
      </c>
      <c r="Q989" s="5" t="s">
        <v>268</v>
      </c>
      <c r="R989" s="5" t="s">
        <v>270</v>
      </c>
      <c r="S989" s="5" t="s">
        <v>238</v>
      </c>
      <c r="V989" s="5" t="s">
        <v>238</v>
      </c>
      <c r="X989" s="6" t="s">
        <v>238</v>
      </c>
      <c r="AA989" s="6" t="s">
        <v>243</v>
      </c>
      <c r="AB989" s="5" t="s">
        <v>238</v>
      </c>
      <c r="AC989" s="5" t="s">
        <v>244</v>
      </c>
      <c r="AD989" s="5" t="s">
        <v>245</v>
      </c>
      <c r="AT989" s="5" t="s">
        <v>246</v>
      </c>
      <c r="AU989" s="5" t="s">
        <v>238</v>
      </c>
      <c r="AV989" s="5" t="s">
        <v>247</v>
      </c>
      <c r="AW989" s="5" t="s">
        <v>238</v>
      </c>
      <c r="AX989" s="5" t="s">
        <v>249</v>
      </c>
      <c r="AY989" s="5" t="s">
        <v>238</v>
      </c>
      <c r="BA989" s="5" t="s">
        <v>238</v>
      </c>
      <c r="BC989" s="5" t="s">
        <v>250</v>
      </c>
      <c r="BD989" s="6" t="s">
        <v>243</v>
      </c>
      <c r="BE989" s="5" t="s">
        <v>251</v>
      </c>
      <c r="BF989" s="5" t="s">
        <v>252</v>
      </c>
      <c r="BG989" s="5" t="s">
        <v>238</v>
      </c>
      <c r="BH989" s="7">
        <f>0</f>
        <v>0</v>
      </c>
      <c r="BI989" s="8">
        <f>0</f>
        <v>0</v>
      </c>
      <c r="BJ989" s="5" t="s">
        <v>253</v>
      </c>
      <c r="BK989" s="5" t="s">
        <v>254</v>
      </c>
      <c r="BY989" s="5" t="s">
        <v>238</v>
      </c>
      <c r="BZ989" s="5" t="s">
        <v>238</v>
      </c>
      <c r="CD989" s="5" t="s">
        <v>273</v>
      </c>
      <c r="CE989" s="5" t="s">
        <v>256</v>
      </c>
      <c r="CF989" s="5" t="s">
        <v>238</v>
      </c>
      <c r="CI989" s="6" t="s">
        <v>257</v>
      </c>
      <c r="CJ989" s="5" t="s">
        <v>238</v>
      </c>
      <c r="CK989" s="5" t="s">
        <v>258</v>
      </c>
      <c r="CL989" s="5" t="s">
        <v>238</v>
      </c>
      <c r="CM989" s="5" t="s">
        <v>238</v>
      </c>
      <c r="CN989" s="5">
        <v>0</v>
      </c>
      <c r="CO989" s="5" t="s">
        <v>259</v>
      </c>
      <c r="CP989" s="5" t="s">
        <v>260</v>
      </c>
      <c r="CQ989" s="5" t="s">
        <v>260</v>
      </c>
      <c r="CR989" s="5" t="s">
        <v>261</v>
      </c>
      <c r="CU989" s="8">
        <f>1</f>
        <v>1</v>
      </c>
      <c r="CV989" s="8">
        <f>0</f>
        <v>0</v>
      </c>
      <c r="CX989" s="8">
        <f>0</f>
        <v>0</v>
      </c>
      <c r="CY989" s="8">
        <f>1</f>
        <v>1</v>
      </c>
      <c r="DA989" s="5" t="s">
        <v>673</v>
      </c>
      <c r="DB989" s="5" t="s">
        <v>238</v>
      </c>
      <c r="DD989" s="5" t="s">
        <v>673</v>
      </c>
      <c r="DE989" s="8">
        <f>2463</f>
        <v>2463</v>
      </c>
      <c r="DG989" s="5" t="s">
        <v>238</v>
      </c>
      <c r="DH989" s="5" t="s">
        <v>238</v>
      </c>
      <c r="DI989" s="5" t="s">
        <v>238</v>
      </c>
      <c r="DJ989" s="5" t="s">
        <v>238</v>
      </c>
      <c r="DN989" s="5" t="s">
        <v>238</v>
      </c>
      <c r="DO989" s="5" t="s">
        <v>238</v>
      </c>
      <c r="DP989" s="5" t="s">
        <v>238</v>
      </c>
      <c r="DQ989" s="5" t="s">
        <v>238</v>
      </c>
      <c r="DT989" s="5" t="s">
        <v>2039</v>
      </c>
      <c r="DU989" s="5" t="s">
        <v>710</v>
      </c>
      <c r="HM989" s="5" t="s">
        <v>264</v>
      </c>
    </row>
    <row r="990" spans="1:221" x14ac:dyDescent="0.4">
      <c r="A990" s="5">
        <v>2665</v>
      </c>
      <c r="B990" s="5">
        <v>1</v>
      </c>
      <c r="C990" s="5">
        <v>1</v>
      </c>
      <c r="D990" s="5" t="s">
        <v>2037</v>
      </c>
      <c r="E990" s="5" t="s">
        <v>271</v>
      </c>
      <c r="F990" s="5" t="s">
        <v>248</v>
      </c>
      <c r="G990" s="5" t="s">
        <v>1969</v>
      </c>
      <c r="H990" s="6" t="s">
        <v>3251</v>
      </c>
      <c r="I990" s="7">
        <f>2910</f>
        <v>2910</v>
      </c>
      <c r="J990" s="5" t="s">
        <v>262</v>
      </c>
      <c r="K990" s="8">
        <f>1</f>
        <v>1</v>
      </c>
      <c r="L990" s="6" t="s">
        <v>242</v>
      </c>
      <c r="M990" s="5" t="s">
        <v>267</v>
      </c>
      <c r="N990" s="5" t="s">
        <v>265</v>
      </c>
      <c r="O990" s="5" t="s">
        <v>238</v>
      </c>
      <c r="P990" s="5" t="s">
        <v>238</v>
      </c>
      <c r="Q990" s="5" t="s">
        <v>268</v>
      </c>
      <c r="R990" s="5" t="s">
        <v>270</v>
      </c>
      <c r="S990" s="5" t="s">
        <v>238</v>
      </c>
      <c r="V990" s="5" t="s">
        <v>238</v>
      </c>
      <c r="X990" s="6" t="s">
        <v>238</v>
      </c>
      <c r="AA990" s="6" t="s">
        <v>243</v>
      </c>
      <c r="AB990" s="5" t="s">
        <v>238</v>
      </c>
      <c r="AC990" s="5" t="s">
        <v>244</v>
      </c>
      <c r="AD990" s="5" t="s">
        <v>245</v>
      </c>
      <c r="AT990" s="5" t="s">
        <v>246</v>
      </c>
      <c r="AU990" s="5" t="s">
        <v>238</v>
      </c>
      <c r="AV990" s="5" t="s">
        <v>247</v>
      </c>
      <c r="AW990" s="5" t="s">
        <v>238</v>
      </c>
      <c r="AX990" s="5" t="s">
        <v>249</v>
      </c>
      <c r="AY990" s="5" t="s">
        <v>238</v>
      </c>
      <c r="BA990" s="5" t="s">
        <v>238</v>
      </c>
      <c r="BC990" s="5" t="s">
        <v>250</v>
      </c>
      <c r="BD990" s="6" t="s">
        <v>243</v>
      </c>
      <c r="BE990" s="5" t="s">
        <v>251</v>
      </c>
      <c r="BF990" s="5" t="s">
        <v>252</v>
      </c>
      <c r="BG990" s="5" t="s">
        <v>238</v>
      </c>
      <c r="BH990" s="7">
        <f>0</f>
        <v>0</v>
      </c>
      <c r="BI990" s="8">
        <f>0</f>
        <v>0</v>
      </c>
      <c r="BJ990" s="5" t="s">
        <v>253</v>
      </c>
      <c r="BK990" s="5" t="s">
        <v>254</v>
      </c>
      <c r="BY990" s="5" t="s">
        <v>238</v>
      </c>
      <c r="BZ990" s="5" t="s">
        <v>238</v>
      </c>
      <c r="CD990" s="5" t="s">
        <v>273</v>
      </c>
      <c r="CE990" s="5" t="s">
        <v>256</v>
      </c>
      <c r="CF990" s="5" t="s">
        <v>238</v>
      </c>
      <c r="CI990" s="6" t="s">
        <v>257</v>
      </c>
      <c r="CJ990" s="5" t="s">
        <v>238</v>
      </c>
      <c r="CK990" s="5" t="s">
        <v>258</v>
      </c>
      <c r="CL990" s="5" t="s">
        <v>238</v>
      </c>
      <c r="CM990" s="5" t="s">
        <v>238</v>
      </c>
      <c r="CN990" s="5">
        <v>0</v>
      </c>
      <c r="CO990" s="5" t="s">
        <v>259</v>
      </c>
      <c r="CP990" s="5" t="s">
        <v>260</v>
      </c>
      <c r="CQ990" s="5" t="s">
        <v>260</v>
      </c>
      <c r="CR990" s="5" t="s">
        <v>261</v>
      </c>
      <c r="CU990" s="8">
        <f>1</f>
        <v>1</v>
      </c>
      <c r="CV990" s="8">
        <f>0</f>
        <v>0</v>
      </c>
      <c r="CX990" s="8">
        <f>0</f>
        <v>0</v>
      </c>
      <c r="CY990" s="8">
        <f>1</f>
        <v>1</v>
      </c>
      <c r="DA990" s="5" t="s">
        <v>673</v>
      </c>
      <c r="DB990" s="5" t="s">
        <v>238</v>
      </c>
      <c r="DD990" s="5" t="s">
        <v>673</v>
      </c>
      <c r="DE990" s="8">
        <f>2910</f>
        <v>2910</v>
      </c>
      <c r="DG990" s="5" t="s">
        <v>238</v>
      </c>
      <c r="DH990" s="5" t="s">
        <v>238</v>
      </c>
      <c r="DI990" s="5" t="s">
        <v>238</v>
      </c>
      <c r="DJ990" s="5" t="s">
        <v>238</v>
      </c>
      <c r="DN990" s="5" t="s">
        <v>238</v>
      </c>
      <c r="DO990" s="5" t="s">
        <v>238</v>
      </c>
      <c r="DP990" s="5" t="s">
        <v>238</v>
      </c>
      <c r="DQ990" s="5" t="s">
        <v>238</v>
      </c>
      <c r="DT990" s="5" t="s">
        <v>2039</v>
      </c>
      <c r="DU990" s="5" t="s">
        <v>712</v>
      </c>
      <c r="HM990" s="5" t="s">
        <v>264</v>
      </c>
    </row>
    <row r="991" spans="1:221" x14ac:dyDescent="0.4">
      <c r="A991" s="5">
        <v>2666</v>
      </c>
      <c r="B991" s="5">
        <v>1</v>
      </c>
      <c r="C991" s="5">
        <v>1</v>
      </c>
      <c r="D991" s="5" t="s">
        <v>2037</v>
      </c>
      <c r="E991" s="5" t="s">
        <v>271</v>
      </c>
      <c r="F991" s="5" t="s">
        <v>248</v>
      </c>
      <c r="G991" s="5" t="s">
        <v>1969</v>
      </c>
      <c r="H991" s="6" t="s">
        <v>3250</v>
      </c>
      <c r="I991" s="7">
        <f>42</f>
        <v>42</v>
      </c>
      <c r="J991" s="5" t="s">
        <v>262</v>
      </c>
      <c r="K991" s="8">
        <f>1</f>
        <v>1</v>
      </c>
      <c r="L991" s="6" t="s">
        <v>242</v>
      </c>
      <c r="M991" s="5" t="s">
        <v>267</v>
      </c>
      <c r="N991" s="5" t="s">
        <v>265</v>
      </c>
      <c r="O991" s="5" t="s">
        <v>238</v>
      </c>
      <c r="P991" s="5" t="s">
        <v>238</v>
      </c>
      <c r="Q991" s="5" t="s">
        <v>268</v>
      </c>
      <c r="R991" s="5" t="s">
        <v>270</v>
      </c>
      <c r="S991" s="5" t="s">
        <v>238</v>
      </c>
      <c r="V991" s="5" t="s">
        <v>238</v>
      </c>
      <c r="X991" s="6" t="s">
        <v>238</v>
      </c>
      <c r="AA991" s="6" t="s">
        <v>243</v>
      </c>
      <c r="AB991" s="5" t="s">
        <v>238</v>
      </c>
      <c r="AC991" s="5" t="s">
        <v>244</v>
      </c>
      <c r="AD991" s="5" t="s">
        <v>245</v>
      </c>
      <c r="AT991" s="5" t="s">
        <v>246</v>
      </c>
      <c r="AU991" s="5" t="s">
        <v>238</v>
      </c>
      <c r="AV991" s="5" t="s">
        <v>247</v>
      </c>
      <c r="AW991" s="5" t="s">
        <v>238</v>
      </c>
      <c r="AX991" s="5" t="s">
        <v>249</v>
      </c>
      <c r="AY991" s="5" t="s">
        <v>238</v>
      </c>
      <c r="BA991" s="5" t="s">
        <v>238</v>
      </c>
      <c r="BC991" s="5" t="s">
        <v>250</v>
      </c>
      <c r="BD991" s="6" t="s">
        <v>243</v>
      </c>
      <c r="BE991" s="5" t="s">
        <v>251</v>
      </c>
      <c r="BF991" s="5" t="s">
        <v>252</v>
      </c>
      <c r="BG991" s="5" t="s">
        <v>238</v>
      </c>
      <c r="BH991" s="7">
        <f>0</f>
        <v>0</v>
      </c>
      <c r="BI991" s="8">
        <f>0</f>
        <v>0</v>
      </c>
      <c r="BJ991" s="5" t="s">
        <v>253</v>
      </c>
      <c r="BK991" s="5" t="s">
        <v>254</v>
      </c>
      <c r="BY991" s="5" t="s">
        <v>238</v>
      </c>
      <c r="BZ991" s="5" t="s">
        <v>238</v>
      </c>
      <c r="CD991" s="5" t="s">
        <v>273</v>
      </c>
      <c r="CE991" s="5" t="s">
        <v>256</v>
      </c>
      <c r="CF991" s="5" t="s">
        <v>238</v>
      </c>
      <c r="CI991" s="6" t="s">
        <v>257</v>
      </c>
      <c r="CJ991" s="5" t="s">
        <v>238</v>
      </c>
      <c r="CK991" s="5" t="s">
        <v>258</v>
      </c>
      <c r="CL991" s="5" t="s">
        <v>238</v>
      </c>
      <c r="CM991" s="5" t="s">
        <v>238</v>
      </c>
      <c r="CN991" s="5">
        <v>0</v>
      </c>
      <c r="CO991" s="5" t="s">
        <v>259</v>
      </c>
      <c r="CP991" s="5" t="s">
        <v>260</v>
      </c>
      <c r="CQ991" s="5" t="s">
        <v>260</v>
      </c>
      <c r="CR991" s="5" t="s">
        <v>261</v>
      </c>
      <c r="CU991" s="8">
        <f>1</f>
        <v>1</v>
      </c>
      <c r="CV991" s="8">
        <f>0</f>
        <v>0</v>
      </c>
      <c r="CX991" s="8">
        <f>0</f>
        <v>0</v>
      </c>
      <c r="CY991" s="8">
        <f>1</f>
        <v>1</v>
      </c>
      <c r="DA991" s="5" t="s">
        <v>673</v>
      </c>
      <c r="DB991" s="5" t="s">
        <v>238</v>
      </c>
      <c r="DD991" s="5" t="s">
        <v>673</v>
      </c>
      <c r="DE991" s="8">
        <f>42</f>
        <v>42</v>
      </c>
      <c r="DG991" s="5" t="s">
        <v>238</v>
      </c>
      <c r="DH991" s="5" t="s">
        <v>238</v>
      </c>
      <c r="DI991" s="5" t="s">
        <v>238</v>
      </c>
      <c r="DJ991" s="5" t="s">
        <v>238</v>
      </c>
      <c r="DN991" s="5" t="s">
        <v>238</v>
      </c>
      <c r="DO991" s="5" t="s">
        <v>238</v>
      </c>
      <c r="DP991" s="5" t="s">
        <v>238</v>
      </c>
      <c r="DQ991" s="5" t="s">
        <v>238</v>
      </c>
      <c r="DT991" s="5" t="s">
        <v>2039</v>
      </c>
      <c r="DU991" s="5" t="s">
        <v>716</v>
      </c>
      <c r="HM991" s="5" t="s">
        <v>264</v>
      </c>
    </row>
    <row r="992" spans="1:221" x14ac:dyDescent="0.4">
      <c r="A992" s="5">
        <v>2667</v>
      </c>
      <c r="B992" s="5">
        <v>1</v>
      </c>
      <c r="C992" s="5">
        <v>1</v>
      </c>
      <c r="D992" s="5" t="s">
        <v>2037</v>
      </c>
      <c r="E992" s="5" t="s">
        <v>271</v>
      </c>
      <c r="F992" s="5" t="s">
        <v>248</v>
      </c>
      <c r="G992" s="5" t="s">
        <v>1969</v>
      </c>
      <c r="H992" s="6" t="s">
        <v>3249</v>
      </c>
      <c r="I992" s="7">
        <f>713</f>
        <v>713</v>
      </c>
      <c r="J992" s="5" t="s">
        <v>262</v>
      </c>
      <c r="K992" s="8">
        <f>1</f>
        <v>1</v>
      </c>
      <c r="L992" s="6" t="s">
        <v>242</v>
      </c>
      <c r="M992" s="5" t="s">
        <v>267</v>
      </c>
      <c r="N992" s="5" t="s">
        <v>265</v>
      </c>
      <c r="O992" s="5" t="s">
        <v>238</v>
      </c>
      <c r="P992" s="5" t="s">
        <v>238</v>
      </c>
      <c r="Q992" s="5" t="s">
        <v>268</v>
      </c>
      <c r="R992" s="5" t="s">
        <v>270</v>
      </c>
      <c r="S992" s="5" t="s">
        <v>238</v>
      </c>
      <c r="V992" s="5" t="s">
        <v>238</v>
      </c>
      <c r="X992" s="6" t="s">
        <v>238</v>
      </c>
      <c r="AA992" s="6" t="s">
        <v>243</v>
      </c>
      <c r="AB992" s="5" t="s">
        <v>238</v>
      </c>
      <c r="AC992" s="5" t="s">
        <v>244</v>
      </c>
      <c r="AD992" s="5" t="s">
        <v>245</v>
      </c>
      <c r="AT992" s="5" t="s">
        <v>246</v>
      </c>
      <c r="AU992" s="5" t="s">
        <v>238</v>
      </c>
      <c r="AV992" s="5" t="s">
        <v>247</v>
      </c>
      <c r="AW992" s="5" t="s">
        <v>238</v>
      </c>
      <c r="AX992" s="5" t="s">
        <v>249</v>
      </c>
      <c r="AY992" s="5" t="s">
        <v>238</v>
      </c>
      <c r="BA992" s="5" t="s">
        <v>238</v>
      </c>
      <c r="BC992" s="5" t="s">
        <v>250</v>
      </c>
      <c r="BD992" s="6" t="s">
        <v>243</v>
      </c>
      <c r="BE992" s="5" t="s">
        <v>251</v>
      </c>
      <c r="BF992" s="5" t="s">
        <v>252</v>
      </c>
      <c r="BG992" s="5" t="s">
        <v>238</v>
      </c>
      <c r="BH992" s="7">
        <f>0</f>
        <v>0</v>
      </c>
      <c r="BI992" s="8">
        <f>0</f>
        <v>0</v>
      </c>
      <c r="BJ992" s="5" t="s">
        <v>253</v>
      </c>
      <c r="BK992" s="5" t="s">
        <v>254</v>
      </c>
      <c r="BY992" s="5" t="s">
        <v>238</v>
      </c>
      <c r="BZ992" s="5" t="s">
        <v>238</v>
      </c>
      <c r="CD992" s="5" t="s">
        <v>273</v>
      </c>
      <c r="CE992" s="5" t="s">
        <v>256</v>
      </c>
      <c r="CF992" s="5" t="s">
        <v>238</v>
      </c>
      <c r="CI992" s="6" t="s">
        <v>257</v>
      </c>
      <c r="CJ992" s="5" t="s">
        <v>238</v>
      </c>
      <c r="CK992" s="5" t="s">
        <v>258</v>
      </c>
      <c r="CL992" s="5" t="s">
        <v>238</v>
      </c>
      <c r="CM992" s="5" t="s">
        <v>238</v>
      </c>
      <c r="CN992" s="5">
        <v>0</v>
      </c>
      <c r="CO992" s="5" t="s">
        <v>259</v>
      </c>
      <c r="CP992" s="5" t="s">
        <v>260</v>
      </c>
      <c r="CQ992" s="5" t="s">
        <v>260</v>
      </c>
      <c r="CR992" s="5" t="s">
        <v>261</v>
      </c>
      <c r="CU992" s="8">
        <f>1</f>
        <v>1</v>
      </c>
      <c r="CV992" s="8">
        <f>0</f>
        <v>0</v>
      </c>
      <c r="CX992" s="8">
        <f>0</f>
        <v>0</v>
      </c>
      <c r="CY992" s="8">
        <f>1</f>
        <v>1</v>
      </c>
      <c r="DA992" s="5" t="s">
        <v>673</v>
      </c>
      <c r="DB992" s="5" t="s">
        <v>238</v>
      </c>
      <c r="DD992" s="5" t="s">
        <v>673</v>
      </c>
      <c r="DE992" s="8">
        <f>713</f>
        <v>713</v>
      </c>
      <c r="DG992" s="5" t="s">
        <v>238</v>
      </c>
      <c r="DH992" s="5" t="s">
        <v>238</v>
      </c>
      <c r="DI992" s="5" t="s">
        <v>238</v>
      </c>
      <c r="DJ992" s="5" t="s">
        <v>238</v>
      </c>
      <c r="DN992" s="5" t="s">
        <v>238</v>
      </c>
      <c r="DO992" s="5" t="s">
        <v>238</v>
      </c>
      <c r="DP992" s="5" t="s">
        <v>238</v>
      </c>
      <c r="DQ992" s="5" t="s">
        <v>238</v>
      </c>
      <c r="DT992" s="5" t="s">
        <v>2039</v>
      </c>
      <c r="DU992" s="5" t="s">
        <v>720</v>
      </c>
      <c r="HM992" s="5" t="s">
        <v>264</v>
      </c>
    </row>
    <row r="993" spans="1:221" x14ac:dyDescent="0.4">
      <c r="A993" s="5">
        <v>2668</v>
      </c>
      <c r="B993" s="5">
        <v>1</v>
      </c>
      <c r="C993" s="5">
        <v>1</v>
      </c>
      <c r="D993" s="5" t="s">
        <v>2037</v>
      </c>
      <c r="E993" s="5" t="s">
        <v>271</v>
      </c>
      <c r="F993" s="5" t="s">
        <v>248</v>
      </c>
      <c r="G993" s="5" t="s">
        <v>1969</v>
      </c>
      <c r="H993" s="6" t="s">
        <v>3248</v>
      </c>
      <c r="I993" s="7">
        <f>1923</f>
        <v>1923</v>
      </c>
      <c r="J993" s="5" t="s">
        <v>262</v>
      </c>
      <c r="K993" s="8">
        <f>1</f>
        <v>1</v>
      </c>
      <c r="L993" s="6" t="s">
        <v>242</v>
      </c>
      <c r="M993" s="5" t="s">
        <v>267</v>
      </c>
      <c r="N993" s="5" t="s">
        <v>265</v>
      </c>
      <c r="O993" s="5" t="s">
        <v>238</v>
      </c>
      <c r="P993" s="5" t="s">
        <v>238</v>
      </c>
      <c r="Q993" s="5" t="s">
        <v>268</v>
      </c>
      <c r="R993" s="5" t="s">
        <v>270</v>
      </c>
      <c r="S993" s="5" t="s">
        <v>238</v>
      </c>
      <c r="V993" s="5" t="s">
        <v>238</v>
      </c>
      <c r="X993" s="6" t="s">
        <v>238</v>
      </c>
      <c r="AA993" s="6" t="s">
        <v>243</v>
      </c>
      <c r="AB993" s="5" t="s">
        <v>238</v>
      </c>
      <c r="AC993" s="5" t="s">
        <v>244</v>
      </c>
      <c r="AD993" s="5" t="s">
        <v>245</v>
      </c>
      <c r="AT993" s="5" t="s">
        <v>246</v>
      </c>
      <c r="AU993" s="5" t="s">
        <v>238</v>
      </c>
      <c r="AV993" s="5" t="s">
        <v>247</v>
      </c>
      <c r="AW993" s="5" t="s">
        <v>238</v>
      </c>
      <c r="AX993" s="5" t="s">
        <v>249</v>
      </c>
      <c r="AY993" s="5" t="s">
        <v>238</v>
      </c>
      <c r="BA993" s="5" t="s">
        <v>238</v>
      </c>
      <c r="BC993" s="5" t="s">
        <v>250</v>
      </c>
      <c r="BD993" s="6" t="s">
        <v>243</v>
      </c>
      <c r="BE993" s="5" t="s">
        <v>251</v>
      </c>
      <c r="BF993" s="5" t="s">
        <v>252</v>
      </c>
      <c r="BG993" s="5" t="s">
        <v>238</v>
      </c>
      <c r="BH993" s="7">
        <f>0</f>
        <v>0</v>
      </c>
      <c r="BI993" s="8">
        <f>0</f>
        <v>0</v>
      </c>
      <c r="BJ993" s="5" t="s">
        <v>253</v>
      </c>
      <c r="BK993" s="5" t="s">
        <v>254</v>
      </c>
      <c r="BY993" s="5" t="s">
        <v>238</v>
      </c>
      <c r="BZ993" s="5" t="s">
        <v>238</v>
      </c>
      <c r="CD993" s="5" t="s">
        <v>273</v>
      </c>
      <c r="CE993" s="5" t="s">
        <v>256</v>
      </c>
      <c r="CF993" s="5" t="s">
        <v>238</v>
      </c>
      <c r="CI993" s="6" t="s">
        <v>257</v>
      </c>
      <c r="CJ993" s="5" t="s">
        <v>238</v>
      </c>
      <c r="CK993" s="5" t="s">
        <v>258</v>
      </c>
      <c r="CL993" s="5" t="s">
        <v>238</v>
      </c>
      <c r="CM993" s="5" t="s">
        <v>238</v>
      </c>
      <c r="CN993" s="5">
        <v>0</v>
      </c>
      <c r="CO993" s="5" t="s">
        <v>259</v>
      </c>
      <c r="CP993" s="5" t="s">
        <v>260</v>
      </c>
      <c r="CQ993" s="5" t="s">
        <v>260</v>
      </c>
      <c r="CR993" s="5" t="s">
        <v>261</v>
      </c>
      <c r="CU993" s="8">
        <f>1</f>
        <v>1</v>
      </c>
      <c r="CV993" s="8">
        <f>0</f>
        <v>0</v>
      </c>
      <c r="CX993" s="8">
        <f>0</f>
        <v>0</v>
      </c>
      <c r="CY993" s="8">
        <f>1</f>
        <v>1</v>
      </c>
      <c r="DA993" s="5" t="s">
        <v>673</v>
      </c>
      <c r="DB993" s="5" t="s">
        <v>238</v>
      </c>
      <c r="DD993" s="5" t="s">
        <v>673</v>
      </c>
      <c r="DE993" s="8">
        <f>1923</f>
        <v>1923</v>
      </c>
      <c r="DG993" s="5" t="s">
        <v>238</v>
      </c>
      <c r="DH993" s="5" t="s">
        <v>238</v>
      </c>
      <c r="DI993" s="5" t="s">
        <v>238</v>
      </c>
      <c r="DJ993" s="5" t="s">
        <v>238</v>
      </c>
      <c r="DN993" s="5" t="s">
        <v>238</v>
      </c>
      <c r="DO993" s="5" t="s">
        <v>238</v>
      </c>
      <c r="DP993" s="5" t="s">
        <v>238</v>
      </c>
      <c r="DQ993" s="5" t="s">
        <v>238</v>
      </c>
      <c r="DT993" s="5" t="s">
        <v>2039</v>
      </c>
      <c r="DU993" s="5" t="s">
        <v>722</v>
      </c>
      <c r="HM993" s="5" t="s">
        <v>264</v>
      </c>
    </row>
    <row r="994" spans="1:221" x14ac:dyDescent="0.4">
      <c r="A994" s="5">
        <v>2669</v>
      </c>
      <c r="B994" s="5">
        <v>1</v>
      </c>
      <c r="C994" s="5">
        <v>1</v>
      </c>
      <c r="D994" s="5" t="s">
        <v>2037</v>
      </c>
      <c r="E994" s="5" t="s">
        <v>271</v>
      </c>
      <c r="F994" s="5" t="s">
        <v>248</v>
      </c>
      <c r="G994" s="5" t="s">
        <v>1969</v>
      </c>
      <c r="H994" s="6" t="s">
        <v>3247</v>
      </c>
      <c r="I994" s="7">
        <f>1768</f>
        <v>1768</v>
      </c>
      <c r="J994" s="5" t="s">
        <v>262</v>
      </c>
      <c r="K994" s="8">
        <f>1</f>
        <v>1</v>
      </c>
      <c r="L994" s="6" t="s">
        <v>242</v>
      </c>
      <c r="M994" s="5" t="s">
        <v>267</v>
      </c>
      <c r="N994" s="5" t="s">
        <v>265</v>
      </c>
      <c r="O994" s="5" t="s">
        <v>238</v>
      </c>
      <c r="P994" s="5" t="s">
        <v>238</v>
      </c>
      <c r="Q994" s="5" t="s">
        <v>268</v>
      </c>
      <c r="R994" s="5" t="s">
        <v>270</v>
      </c>
      <c r="S994" s="5" t="s">
        <v>238</v>
      </c>
      <c r="V994" s="5" t="s">
        <v>238</v>
      </c>
      <c r="X994" s="6" t="s">
        <v>238</v>
      </c>
      <c r="AA994" s="6" t="s">
        <v>243</v>
      </c>
      <c r="AB994" s="5" t="s">
        <v>238</v>
      </c>
      <c r="AC994" s="5" t="s">
        <v>244</v>
      </c>
      <c r="AD994" s="5" t="s">
        <v>245</v>
      </c>
      <c r="AT994" s="5" t="s">
        <v>246</v>
      </c>
      <c r="AU994" s="5" t="s">
        <v>238</v>
      </c>
      <c r="AV994" s="5" t="s">
        <v>247</v>
      </c>
      <c r="AW994" s="5" t="s">
        <v>238</v>
      </c>
      <c r="AX994" s="5" t="s">
        <v>249</v>
      </c>
      <c r="AY994" s="5" t="s">
        <v>238</v>
      </c>
      <c r="BA994" s="5" t="s">
        <v>238</v>
      </c>
      <c r="BC994" s="5" t="s">
        <v>250</v>
      </c>
      <c r="BD994" s="6" t="s">
        <v>243</v>
      </c>
      <c r="BE994" s="5" t="s">
        <v>251</v>
      </c>
      <c r="BF994" s="5" t="s">
        <v>252</v>
      </c>
      <c r="BG994" s="5" t="s">
        <v>238</v>
      </c>
      <c r="BH994" s="7">
        <f>0</f>
        <v>0</v>
      </c>
      <c r="BI994" s="8">
        <f>0</f>
        <v>0</v>
      </c>
      <c r="BJ994" s="5" t="s">
        <v>253</v>
      </c>
      <c r="BK994" s="5" t="s">
        <v>254</v>
      </c>
      <c r="BY994" s="5" t="s">
        <v>238</v>
      </c>
      <c r="BZ994" s="5" t="s">
        <v>238</v>
      </c>
      <c r="CD994" s="5" t="s">
        <v>273</v>
      </c>
      <c r="CE994" s="5" t="s">
        <v>256</v>
      </c>
      <c r="CF994" s="5" t="s">
        <v>238</v>
      </c>
      <c r="CI994" s="6" t="s">
        <v>257</v>
      </c>
      <c r="CJ994" s="5" t="s">
        <v>238</v>
      </c>
      <c r="CK994" s="5" t="s">
        <v>258</v>
      </c>
      <c r="CL994" s="5" t="s">
        <v>238</v>
      </c>
      <c r="CM994" s="5" t="s">
        <v>238</v>
      </c>
      <c r="CN994" s="5">
        <v>0</v>
      </c>
      <c r="CO994" s="5" t="s">
        <v>259</v>
      </c>
      <c r="CP994" s="5" t="s">
        <v>260</v>
      </c>
      <c r="CQ994" s="5" t="s">
        <v>260</v>
      </c>
      <c r="CR994" s="5" t="s">
        <v>261</v>
      </c>
      <c r="CU994" s="8">
        <f>1</f>
        <v>1</v>
      </c>
      <c r="CV994" s="8">
        <f>0</f>
        <v>0</v>
      </c>
      <c r="CX994" s="8">
        <f>0</f>
        <v>0</v>
      </c>
      <c r="CY994" s="8">
        <f>1</f>
        <v>1</v>
      </c>
      <c r="DA994" s="5" t="s">
        <v>673</v>
      </c>
      <c r="DB994" s="5" t="s">
        <v>238</v>
      </c>
      <c r="DD994" s="5" t="s">
        <v>673</v>
      </c>
      <c r="DE994" s="8">
        <f>1768</f>
        <v>1768</v>
      </c>
      <c r="DG994" s="5" t="s">
        <v>238</v>
      </c>
      <c r="DH994" s="5" t="s">
        <v>238</v>
      </c>
      <c r="DI994" s="5" t="s">
        <v>238</v>
      </c>
      <c r="DJ994" s="5" t="s">
        <v>238</v>
      </c>
      <c r="DN994" s="5" t="s">
        <v>238</v>
      </c>
      <c r="DO994" s="5" t="s">
        <v>238</v>
      </c>
      <c r="DP994" s="5" t="s">
        <v>238</v>
      </c>
      <c r="DQ994" s="5" t="s">
        <v>238</v>
      </c>
      <c r="DT994" s="5" t="s">
        <v>2039</v>
      </c>
      <c r="DU994" s="5" t="s">
        <v>728</v>
      </c>
      <c r="HM994" s="5" t="s">
        <v>264</v>
      </c>
    </row>
    <row r="995" spans="1:221" x14ac:dyDescent="0.4">
      <c r="A995" s="5">
        <v>2670</v>
      </c>
      <c r="B995" s="5">
        <v>1</v>
      </c>
      <c r="C995" s="5">
        <v>1</v>
      </c>
      <c r="D995" s="5" t="s">
        <v>2037</v>
      </c>
      <c r="E995" s="5" t="s">
        <v>271</v>
      </c>
      <c r="F995" s="5" t="s">
        <v>248</v>
      </c>
      <c r="G995" s="5" t="s">
        <v>1969</v>
      </c>
      <c r="H995" s="6" t="s">
        <v>3246</v>
      </c>
      <c r="I995" s="7">
        <f>714</f>
        <v>714</v>
      </c>
      <c r="J995" s="5" t="s">
        <v>262</v>
      </c>
      <c r="K995" s="8">
        <f>1</f>
        <v>1</v>
      </c>
      <c r="L995" s="6" t="s">
        <v>242</v>
      </c>
      <c r="M995" s="5" t="s">
        <v>267</v>
      </c>
      <c r="N995" s="5" t="s">
        <v>265</v>
      </c>
      <c r="O995" s="5" t="s">
        <v>238</v>
      </c>
      <c r="P995" s="5" t="s">
        <v>238</v>
      </c>
      <c r="Q995" s="5" t="s">
        <v>268</v>
      </c>
      <c r="R995" s="5" t="s">
        <v>270</v>
      </c>
      <c r="S995" s="5" t="s">
        <v>238</v>
      </c>
      <c r="V995" s="5" t="s">
        <v>238</v>
      </c>
      <c r="X995" s="6" t="s">
        <v>238</v>
      </c>
      <c r="AA995" s="6" t="s">
        <v>243</v>
      </c>
      <c r="AB995" s="5" t="s">
        <v>238</v>
      </c>
      <c r="AC995" s="5" t="s">
        <v>244</v>
      </c>
      <c r="AD995" s="5" t="s">
        <v>245</v>
      </c>
      <c r="AT995" s="5" t="s">
        <v>246</v>
      </c>
      <c r="AU995" s="5" t="s">
        <v>238</v>
      </c>
      <c r="AV995" s="5" t="s">
        <v>247</v>
      </c>
      <c r="AW995" s="5" t="s">
        <v>238</v>
      </c>
      <c r="AX995" s="5" t="s">
        <v>249</v>
      </c>
      <c r="AY995" s="5" t="s">
        <v>238</v>
      </c>
      <c r="BA995" s="5" t="s">
        <v>238</v>
      </c>
      <c r="BC995" s="5" t="s">
        <v>250</v>
      </c>
      <c r="BD995" s="6" t="s">
        <v>243</v>
      </c>
      <c r="BE995" s="5" t="s">
        <v>251</v>
      </c>
      <c r="BF995" s="5" t="s">
        <v>252</v>
      </c>
      <c r="BG995" s="5" t="s">
        <v>238</v>
      </c>
      <c r="BH995" s="7">
        <f>0</f>
        <v>0</v>
      </c>
      <c r="BI995" s="8">
        <f>0</f>
        <v>0</v>
      </c>
      <c r="BJ995" s="5" t="s">
        <v>253</v>
      </c>
      <c r="BK995" s="5" t="s">
        <v>254</v>
      </c>
      <c r="BY995" s="5" t="s">
        <v>238</v>
      </c>
      <c r="BZ995" s="5" t="s">
        <v>238</v>
      </c>
      <c r="CD995" s="5" t="s">
        <v>273</v>
      </c>
      <c r="CE995" s="5" t="s">
        <v>256</v>
      </c>
      <c r="CF995" s="5" t="s">
        <v>238</v>
      </c>
      <c r="CI995" s="6" t="s">
        <v>257</v>
      </c>
      <c r="CJ995" s="5" t="s">
        <v>238</v>
      </c>
      <c r="CK995" s="5" t="s">
        <v>258</v>
      </c>
      <c r="CL995" s="5" t="s">
        <v>238</v>
      </c>
      <c r="CM995" s="5" t="s">
        <v>238</v>
      </c>
      <c r="CN995" s="5">
        <v>0</v>
      </c>
      <c r="CO995" s="5" t="s">
        <v>259</v>
      </c>
      <c r="CP995" s="5" t="s">
        <v>260</v>
      </c>
      <c r="CQ995" s="5" t="s">
        <v>260</v>
      </c>
      <c r="CR995" s="5" t="s">
        <v>261</v>
      </c>
      <c r="CU995" s="8">
        <f>1</f>
        <v>1</v>
      </c>
      <c r="CV995" s="8">
        <f>0</f>
        <v>0</v>
      </c>
      <c r="CX995" s="8">
        <f>0</f>
        <v>0</v>
      </c>
      <c r="CY995" s="8">
        <f>1</f>
        <v>1</v>
      </c>
      <c r="DA995" s="5" t="s">
        <v>673</v>
      </c>
      <c r="DB995" s="5" t="s">
        <v>238</v>
      </c>
      <c r="DD995" s="5" t="s">
        <v>673</v>
      </c>
      <c r="DE995" s="8">
        <f>714</f>
        <v>714</v>
      </c>
      <c r="DG995" s="5" t="s">
        <v>238</v>
      </c>
      <c r="DH995" s="5" t="s">
        <v>238</v>
      </c>
      <c r="DI995" s="5" t="s">
        <v>238</v>
      </c>
      <c r="DJ995" s="5" t="s">
        <v>238</v>
      </c>
      <c r="DN995" s="5" t="s">
        <v>238</v>
      </c>
      <c r="DO995" s="5" t="s">
        <v>238</v>
      </c>
      <c r="DP995" s="5" t="s">
        <v>238</v>
      </c>
      <c r="DQ995" s="5" t="s">
        <v>238</v>
      </c>
      <c r="DT995" s="5" t="s">
        <v>2039</v>
      </c>
      <c r="DU995" s="5" t="s">
        <v>732</v>
      </c>
      <c r="HM995" s="5" t="s">
        <v>264</v>
      </c>
    </row>
    <row r="996" spans="1:221" x14ac:dyDescent="0.4">
      <c r="A996" s="5">
        <v>2671</v>
      </c>
      <c r="B996" s="5">
        <v>1</v>
      </c>
      <c r="C996" s="5">
        <v>1</v>
      </c>
      <c r="D996" s="5" t="s">
        <v>2037</v>
      </c>
      <c r="E996" s="5" t="s">
        <v>271</v>
      </c>
      <c r="F996" s="5" t="s">
        <v>248</v>
      </c>
      <c r="G996" s="5" t="s">
        <v>1969</v>
      </c>
      <c r="H996" s="6" t="s">
        <v>3245</v>
      </c>
      <c r="I996" s="7">
        <f>7175</f>
        <v>7175</v>
      </c>
      <c r="J996" s="5" t="s">
        <v>262</v>
      </c>
      <c r="K996" s="8">
        <f>1</f>
        <v>1</v>
      </c>
      <c r="L996" s="6" t="s">
        <v>242</v>
      </c>
      <c r="M996" s="5" t="s">
        <v>267</v>
      </c>
      <c r="N996" s="5" t="s">
        <v>265</v>
      </c>
      <c r="O996" s="5" t="s">
        <v>238</v>
      </c>
      <c r="P996" s="5" t="s">
        <v>238</v>
      </c>
      <c r="Q996" s="5" t="s">
        <v>268</v>
      </c>
      <c r="R996" s="5" t="s">
        <v>270</v>
      </c>
      <c r="S996" s="5" t="s">
        <v>238</v>
      </c>
      <c r="V996" s="5" t="s">
        <v>238</v>
      </c>
      <c r="X996" s="6" t="s">
        <v>238</v>
      </c>
      <c r="AA996" s="6" t="s">
        <v>243</v>
      </c>
      <c r="AB996" s="5" t="s">
        <v>238</v>
      </c>
      <c r="AC996" s="5" t="s">
        <v>244</v>
      </c>
      <c r="AD996" s="5" t="s">
        <v>245</v>
      </c>
      <c r="AT996" s="5" t="s">
        <v>246</v>
      </c>
      <c r="AU996" s="5" t="s">
        <v>238</v>
      </c>
      <c r="AV996" s="5" t="s">
        <v>247</v>
      </c>
      <c r="AW996" s="5" t="s">
        <v>238</v>
      </c>
      <c r="AX996" s="5" t="s">
        <v>249</v>
      </c>
      <c r="AY996" s="5" t="s">
        <v>238</v>
      </c>
      <c r="BA996" s="5" t="s">
        <v>238</v>
      </c>
      <c r="BC996" s="5" t="s">
        <v>250</v>
      </c>
      <c r="BD996" s="6" t="s">
        <v>243</v>
      </c>
      <c r="BE996" s="5" t="s">
        <v>251</v>
      </c>
      <c r="BF996" s="5" t="s">
        <v>252</v>
      </c>
      <c r="BG996" s="5" t="s">
        <v>238</v>
      </c>
      <c r="BH996" s="7">
        <f>0</f>
        <v>0</v>
      </c>
      <c r="BI996" s="8">
        <f>0</f>
        <v>0</v>
      </c>
      <c r="BJ996" s="5" t="s">
        <v>253</v>
      </c>
      <c r="BK996" s="5" t="s">
        <v>254</v>
      </c>
      <c r="BY996" s="5" t="s">
        <v>238</v>
      </c>
      <c r="BZ996" s="5" t="s">
        <v>238</v>
      </c>
      <c r="CD996" s="5" t="s">
        <v>273</v>
      </c>
      <c r="CE996" s="5" t="s">
        <v>256</v>
      </c>
      <c r="CF996" s="5" t="s">
        <v>238</v>
      </c>
      <c r="CI996" s="6" t="s">
        <v>257</v>
      </c>
      <c r="CJ996" s="5" t="s">
        <v>238</v>
      </c>
      <c r="CK996" s="5" t="s">
        <v>258</v>
      </c>
      <c r="CL996" s="5" t="s">
        <v>238</v>
      </c>
      <c r="CM996" s="5" t="s">
        <v>238</v>
      </c>
      <c r="CN996" s="5">
        <v>0</v>
      </c>
      <c r="CO996" s="5" t="s">
        <v>259</v>
      </c>
      <c r="CP996" s="5" t="s">
        <v>260</v>
      </c>
      <c r="CQ996" s="5" t="s">
        <v>260</v>
      </c>
      <c r="CR996" s="5" t="s">
        <v>261</v>
      </c>
      <c r="CU996" s="8">
        <f>1</f>
        <v>1</v>
      </c>
      <c r="CV996" s="8">
        <f>0</f>
        <v>0</v>
      </c>
      <c r="CX996" s="8">
        <f>0</f>
        <v>0</v>
      </c>
      <c r="CY996" s="8">
        <f>1</f>
        <v>1</v>
      </c>
      <c r="DA996" s="5" t="s">
        <v>673</v>
      </c>
      <c r="DB996" s="5" t="s">
        <v>238</v>
      </c>
      <c r="DD996" s="5" t="s">
        <v>673</v>
      </c>
      <c r="DE996" s="8">
        <f>7175</f>
        <v>7175</v>
      </c>
      <c r="DG996" s="5" t="s">
        <v>238</v>
      </c>
      <c r="DH996" s="5" t="s">
        <v>238</v>
      </c>
      <c r="DI996" s="5" t="s">
        <v>238</v>
      </c>
      <c r="DJ996" s="5" t="s">
        <v>238</v>
      </c>
      <c r="DN996" s="5" t="s">
        <v>238</v>
      </c>
      <c r="DO996" s="5" t="s">
        <v>238</v>
      </c>
      <c r="DP996" s="5" t="s">
        <v>238</v>
      </c>
      <c r="DQ996" s="5" t="s">
        <v>238</v>
      </c>
      <c r="DT996" s="5" t="s">
        <v>2039</v>
      </c>
      <c r="DU996" s="5" t="s">
        <v>734</v>
      </c>
      <c r="HM996" s="5" t="s">
        <v>264</v>
      </c>
    </row>
    <row r="997" spans="1:221" x14ac:dyDescent="0.4">
      <c r="A997" s="5">
        <v>2672</v>
      </c>
      <c r="B997" s="5">
        <v>1</v>
      </c>
      <c r="C997" s="5">
        <v>1</v>
      </c>
      <c r="D997" s="5" t="s">
        <v>2037</v>
      </c>
      <c r="E997" s="5" t="s">
        <v>271</v>
      </c>
      <c r="F997" s="5" t="s">
        <v>248</v>
      </c>
      <c r="G997" s="5" t="s">
        <v>1969</v>
      </c>
      <c r="H997" s="6" t="s">
        <v>3244</v>
      </c>
      <c r="I997" s="7">
        <f>830</f>
        <v>830</v>
      </c>
      <c r="J997" s="5" t="s">
        <v>262</v>
      </c>
      <c r="K997" s="8">
        <f>1</f>
        <v>1</v>
      </c>
      <c r="L997" s="6" t="s">
        <v>242</v>
      </c>
      <c r="M997" s="5" t="s">
        <v>267</v>
      </c>
      <c r="N997" s="5" t="s">
        <v>265</v>
      </c>
      <c r="O997" s="5" t="s">
        <v>238</v>
      </c>
      <c r="P997" s="5" t="s">
        <v>238</v>
      </c>
      <c r="Q997" s="5" t="s">
        <v>268</v>
      </c>
      <c r="R997" s="5" t="s">
        <v>270</v>
      </c>
      <c r="S997" s="5" t="s">
        <v>238</v>
      </c>
      <c r="V997" s="5" t="s">
        <v>238</v>
      </c>
      <c r="X997" s="6" t="s">
        <v>238</v>
      </c>
      <c r="AA997" s="6" t="s">
        <v>243</v>
      </c>
      <c r="AB997" s="5" t="s">
        <v>238</v>
      </c>
      <c r="AC997" s="5" t="s">
        <v>244</v>
      </c>
      <c r="AD997" s="5" t="s">
        <v>245</v>
      </c>
      <c r="AT997" s="5" t="s">
        <v>246</v>
      </c>
      <c r="AU997" s="5" t="s">
        <v>238</v>
      </c>
      <c r="AV997" s="5" t="s">
        <v>247</v>
      </c>
      <c r="AW997" s="5" t="s">
        <v>238</v>
      </c>
      <c r="AX997" s="5" t="s">
        <v>249</v>
      </c>
      <c r="AY997" s="5" t="s">
        <v>238</v>
      </c>
      <c r="BA997" s="5" t="s">
        <v>238</v>
      </c>
      <c r="BC997" s="5" t="s">
        <v>250</v>
      </c>
      <c r="BD997" s="6" t="s">
        <v>243</v>
      </c>
      <c r="BE997" s="5" t="s">
        <v>251</v>
      </c>
      <c r="BF997" s="5" t="s">
        <v>252</v>
      </c>
      <c r="BG997" s="5" t="s">
        <v>238</v>
      </c>
      <c r="BH997" s="7">
        <f>0</f>
        <v>0</v>
      </c>
      <c r="BI997" s="8">
        <f>0</f>
        <v>0</v>
      </c>
      <c r="BJ997" s="5" t="s">
        <v>253</v>
      </c>
      <c r="BK997" s="5" t="s">
        <v>254</v>
      </c>
      <c r="BY997" s="5" t="s">
        <v>238</v>
      </c>
      <c r="BZ997" s="5" t="s">
        <v>238</v>
      </c>
      <c r="CD997" s="5" t="s">
        <v>273</v>
      </c>
      <c r="CE997" s="5" t="s">
        <v>256</v>
      </c>
      <c r="CF997" s="5" t="s">
        <v>238</v>
      </c>
      <c r="CI997" s="6" t="s">
        <v>257</v>
      </c>
      <c r="CJ997" s="5" t="s">
        <v>238</v>
      </c>
      <c r="CK997" s="5" t="s">
        <v>258</v>
      </c>
      <c r="CL997" s="5" t="s">
        <v>238</v>
      </c>
      <c r="CM997" s="5" t="s">
        <v>238</v>
      </c>
      <c r="CN997" s="5">
        <v>0</v>
      </c>
      <c r="CO997" s="5" t="s">
        <v>259</v>
      </c>
      <c r="CP997" s="5" t="s">
        <v>260</v>
      </c>
      <c r="CQ997" s="5" t="s">
        <v>260</v>
      </c>
      <c r="CR997" s="5" t="s">
        <v>261</v>
      </c>
      <c r="CU997" s="8">
        <f>1</f>
        <v>1</v>
      </c>
      <c r="CV997" s="8">
        <f>0</f>
        <v>0</v>
      </c>
      <c r="CX997" s="8">
        <f>0</f>
        <v>0</v>
      </c>
      <c r="CY997" s="8">
        <f>1</f>
        <v>1</v>
      </c>
      <c r="DA997" s="5" t="s">
        <v>673</v>
      </c>
      <c r="DB997" s="5" t="s">
        <v>238</v>
      </c>
      <c r="DD997" s="5" t="s">
        <v>673</v>
      </c>
      <c r="DE997" s="8">
        <f>830</f>
        <v>830</v>
      </c>
      <c r="DG997" s="5" t="s">
        <v>238</v>
      </c>
      <c r="DH997" s="5" t="s">
        <v>238</v>
      </c>
      <c r="DI997" s="5" t="s">
        <v>238</v>
      </c>
      <c r="DJ997" s="5" t="s">
        <v>238</v>
      </c>
      <c r="DN997" s="5" t="s">
        <v>238</v>
      </c>
      <c r="DO997" s="5" t="s">
        <v>238</v>
      </c>
      <c r="DP997" s="5" t="s">
        <v>238</v>
      </c>
      <c r="DQ997" s="5" t="s">
        <v>238</v>
      </c>
      <c r="DT997" s="5" t="s">
        <v>2039</v>
      </c>
      <c r="DU997" s="5" t="s">
        <v>736</v>
      </c>
      <c r="HM997" s="5" t="s">
        <v>264</v>
      </c>
    </row>
    <row r="998" spans="1:221" x14ac:dyDescent="0.4">
      <c r="A998" s="5">
        <v>2673</v>
      </c>
      <c r="B998" s="5">
        <v>1</v>
      </c>
      <c r="C998" s="5">
        <v>1</v>
      </c>
      <c r="D998" s="5" t="s">
        <v>2037</v>
      </c>
      <c r="E998" s="5" t="s">
        <v>271</v>
      </c>
      <c r="F998" s="5" t="s">
        <v>248</v>
      </c>
      <c r="G998" s="5" t="s">
        <v>1969</v>
      </c>
      <c r="H998" s="6" t="s">
        <v>3243</v>
      </c>
      <c r="I998" s="7">
        <f>259</f>
        <v>259</v>
      </c>
      <c r="J998" s="5" t="s">
        <v>262</v>
      </c>
      <c r="K998" s="8">
        <f>1</f>
        <v>1</v>
      </c>
      <c r="L998" s="6" t="s">
        <v>242</v>
      </c>
      <c r="M998" s="5" t="s">
        <v>267</v>
      </c>
      <c r="N998" s="5" t="s">
        <v>265</v>
      </c>
      <c r="O998" s="5" t="s">
        <v>238</v>
      </c>
      <c r="P998" s="5" t="s">
        <v>238</v>
      </c>
      <c r="Q998" s="5" t="s">
        <v>268</v>
      </c>
      <c r="R998" s="5" t="s">
        <v>270</v>
      </c>
      <c r="S998" s="5" t="s">
        <v>238</v>
      </c>
      <c r="V998" s="5" t="s">
        <v>238</v>
      </c>
      <c r="X998" s="6" t="s">
        <v>238</v>
      </c>
      <c r="AA998" s="6" t="s">
        <v>243</v>
      </c>
      <c r="AB998" s="5" t="s">
        <v>238</v>
      </c>
      <c r="AC998" s="5" t="s">
        <v>244</v>
      </c>
      <c r="AD998" s="5" t="s">
        <v>245</v>
      </c>
      <c r="AT998" s="5" t="s">
        <v>246</v>
      </c>
      <c r="AU998" s="5" t="s">
        <v>238</v>
      </c>
      <c r="AV998" s="5" t="s">
        <v>247</v>
      </c>
      <c r="AW998" s="5" t="s">
        <v>238</v>
      </c>
      <c r="AX998" s="5" t="s">
        <v>249</v>
      </c>
      <c r="AY998" s="5" t="s">
        <v>238</v>
      </c>
      <c r="BA998" s="5" t="s">
        <v>238</v>
      </c>
      <c r="BC998" s="5" t="s">
        <v>250</v>
      </c>
      <c r="BD998" s="6" t="s">
        <v>243</v>
      </c>
      <c r="BE998" s="5" t="s">
        <v>251</v>
      </c>
      <c r="BF998" s="5" t="s">
        <v>252</v>
      </c>
      <c r="BG998" s="5" t="s">
        <v>238</v>
      </c>
      <c r="BH998" s="7">
        <f>0</f>
        <v>0</v>
      </c>
      <c r="BI998" s="8">
        <f>0</f>
        <v>0</v>
      </c>
      <c r="BJ998" s="5" t="s">
        <v>253</v>
      </c>
      <c r="BK998" s="5" t="s">
        <v>254</v>
      </c>
      <c r="BY998" s="5" t="s">
        <v>238</v>
      </c>
      <c r="BZ998" s="5" t="s">
        <v>238</v>
      </c>
      <c r="CD998" s="5" t="s">
        <v>273</v>
      </c>
      <c r="CE998" s="5" t="s">
        <v>256</v>
      </c>
      <c r="CF998" s="5" t="s">
        <v>238</v>
      </c>
      <c r="CI998" s="6" t="s">
        <v>257</v>
      </c>
      <c r="CJ998" s="5" t="s">
        <v>238</v>
      </c>
      <c r="CK998" s="5" t="s">
        <v>258</v>
      </c>
      <c r="CL998" s="5" t="s">
        <v>238</v>
      </c>
      <c r="CM998" s="5" t="s">
        <v>238</v>
      </c>
      <c r="CN998" s="5">
        <v>0</v>
      </c>
      <c r="CO998" s="5" t="s">
        <v>259</v>
      </c>
      <c r="CP998" s="5" t="s">
        <v>260</v>
      </c>
      <c r="CQ998" s="5" t="s">
        <v>260</v>
      </c>
      <c r="CR998" s="5" t="s">
        <v>261</v>
      </c>
      <c r="CU998" s="8">
        <f>1</f>
        <v>1</v>
      </c>
      <c r="CV998" s="8">
        <f>0</f>
        <v>0</v>
      </c>
      <c r="CX998" s="8">
        <f>0</f>
        <v>0</v>
      </c>
      <c r="CY998" s="8">
        <f>1</f>
        <v>1</v>
      </c>
      <c r="DA998" s="5" t="s">
        <v>673</v>
      </c>
      <c r="DB998" s="5" t="s">
        <v>238</v>
      </c>
      <c r="DD998" s="5" t="s">
        <v>673</v>
      </c>
      <c r="DE998" s="8">
        <f>259</f>
        <v>259</v>
      </c>
      <c r="DG998" s="5" t="s">
        <v>238</v>
      </c>
      <c r="DH998" s="5" t="s">
        <v>238</v>
      </c>
      <c r="DI998" s="5" t="s">
        <v>238</v>
      </c>
      <c r="DJ998" s="5" t="s">
        <v>238</v>
      </c>
      <c r="DN998" s="5" t="s">
        <v>238</v>
      </c>
      <c r="DO998" s="5" t="s">
        <v>238</v>
      </c>
      <c r="DP998" s="5" t="s">
        <v>238</v>
      </c>
      <c r="DQ998" s="5" t="s">
        <v>238</v>
      </c>
      <c r="DT998" s="5" t="s">
        <v>2039</v>
      </c>
      <c r="DU998" s="5" t="s">
        <v>740</v>
      </c>
      <c r="HM998" s="5" t="s">
        <v>264</v>
      </c>
    </row>
    <row r="999" spans="1:221" x14ac:dyDescent="0.4">
      <c r="A999" s="5">
        <v>2674</v>
      </c>
      <c r="B999" s="5">
        <v>1</v>
      </c>
      <c r="C999" s="5">
        <v>1</v>
      </c>
      <c r="D999" s="5" t="s">
        <v>2037</v>
      </c>
      <c r="E999" s="5" t="s">
        <v>271</v>
      </c>
      <c r="F999" s="5" t="s">
        <v>248</v>
      </c>
      <c r="G999" s="5" t="s">
        <v>1969</v>
      </c>
      <c r="H999" s="6" t="s">
        <v>3242</v>
      </c>
      <c r="I999" s="7">
        <f>60</f>
        <v>60</v>
      </c>
      <c r="J999" s="5" t="s">
        <v>262</v>
      </c>
      <c r="K999" s="8">
        <f>1</f>
        <v>1</v>
      </c>
      <c r="L999" s="6" t="s">
        <v>242</v>
      </c>
      <c r="M999" s="5" t="s">
        <v>267</v>
      </c>
      <c r="N999" s="5" t="s">
        <v>265</v>
      </c>
      <c r="O999" s="5" t="s">
        <v>238</v>
      </c>
      <c r="P999" s="5" t="s">
        <v>238</v>
      </c>
      <c r="Q999" s="5" t="s">
        <v>268</v>
      </c>
      <c r="R999" s="5" t="s">
        <v>270</v>
      </c>
      <c r="S999" s="5" t="s">
        <v>238</v>
      </c>
      <c r="V999" s="5" t="s">
        <v>238</v>
      </c>
      <c r="X999" s="6" t="s">
        <v>238</v>
      </c>
      <c r="AA999" s="6" t="s">
        <v>243</v>
      </c>
      <c r="AB999" s="5" t="s">
        <v>238</v>
      </c>
      <c r="AC999" s="5" t="s">
        <v>244</v>
      </c>
      <c r="AD999" s="5" t="s">
        <v>245</v>
      </c>
      <c r="AT999" s="5" t="s">
        <v>246</v>
      </c>
      <c r="AU999" s="5" t="s">
        <v>238</v>
      </c>
      <c r="AV999" s="5" t="s">
        <v>247</v>
      </c>
      <c r="AW999" s="5" t="s">
        <v>238</v>
      </c>
      <c r="AX999" s="5" t="s">
        <v>249</v>
      </c>
      <c r="AY999" s="5" t="s">
        <v>238</v>
      </c>
      <c r="BA999" s="5" t="s">
        <v>238</v>
      </c>
      <c r="BC999" s="5" t="s">
        <v>250</v>
      </c>
      <c r="BD999" s="6" t="s">
        <v>243</v>
      </c>
      <c r="BE999" s="5" t="s">
        <v>251</v>
      </c>
      <c r="BF999" s="5" t="s">
        <v>252</v>
      </c>
      <c r="BG999" s="5" t="s">
        <v>238</v>
      </c>
      <c r="BH999" s="7">
        <f>0</f>
        <v>0</v>
      </c>
      <c r="BI999" s="8">
        <f>0</f>
        <v>0</v>
      </c>
      <c r="BJ999" s="5" t="s">
        <v>253</v>
      </c>
      <c r="BK999" s="5" t="s">
        <v>254</v>
      </c>
      <c r="BY999" s="5" t="s">
        <v>238</v>
      </c>
      <c r="BZ999" s="5" t="s">
        <v>238</v>
      </c>
      <c r="CD999" s="5" t="s">
        <v>273</v>
      </c>
      <c r="CE999" s="5" t="s">
        <v>256</v>
      </c>
      <c r="CF999" s="5" t="s">
        <v>238</v>
      </c>
      <c r="CI999" s="6" t="s">
        <v>257</v>
      </c>
      <c r="CJ999" s="5" t="s">
        <v>238</v>
      </c>
      <c r="CK999" s="5" t="s">
        <v>258</v>
      </c>
      <c r="CL999" s="5" t="s">
        <v>238</v>
      </c>
      <c r="CM999" s="5" t="s">
        <v>238</v>
      </c>
      <c r="CN999" s="5">
        <v>0</v>
      </c>
      <c r="CO999" s="5" t="s">
        <v>259</v>
      </c>
      <c r="CP999" s="5" t="s">
        <v>260</v>
      </c>
      <c r="CQ999" s="5" t="s">
        <v>260</v>
      </c>
      <c r="CR999" s="5" t="s">
        <v>261</v>
      </c>
      <c r="CU999" s="8">
        <f>1</f>
        <v>1</v>
      </c>
      <c r="CV999" s="8">
        <f>0</f>
        <v>0</v>
      </c>
      <c r="CX999" s="8">
        <f>0</f>
        <v>0</v>
      </c>
      <c r="CY999" s="8">
        <f>1</f>
        <v>1</v>
      </c>
      <c r="DA999" s="5" t="s">
        <v>673</v>
      </c>
      <c r="DB999" s="5" t="s">
        <v>238</v>
      </c>
      <c r="DD999" s="5" t="s">
        <v>673</v>
      </c>
      <c r="DE999" s="8">
        <f>60</f>
        <v>60</v>
      </c>
      <c r="DG999" s="5" t="s">
        <v>238</v>
      </c>
      <c r="DH999" s="5" t="s">
        <v>238</v>
      </c>
      <c r="DI999" s="5" t="s">
        <v>238</v>
      </c>
      <c r="DJ999" s="5" t="s">
        <v>238</v>
      </c>
      <c r="DN999" s="5" t="s">
        <v>238</v>
      </c>
      <c r="DO999" s="5" t="s">
        <v>238</v>
      </c>
      <c r="DP999" s="5" t="s">
        <v>238</v>
      </c>
      <c r="DQ999" s="5" t="s">
        <v>238</v>
      </c>
      <c r="DT999" s="5" t="s">
        <v>2039</v>
      </c>
      <c r="DU999" s="5" t="s">
        <v>742</v>
      </c>
      <c r="HM999" s="5" t="s">
        <v>264</v>
      </c>
    </row>
    <row r="1000" spans="1:221" x14ac:dyDescent="0.4">
      <c r="A1000" s="5">
        <v>2675</v>
      </c>
      <c r="B1000" s="5">
        <v>1</v>
      </c>
      <c r="C1000" s="5">
        <v>1</v>
      </c>
      <c r="D1000" s="5" t="s">
        <v>2037</v>
      </c>
      <c r="E1000" s="5" t="s">
        <v>271</v>
      </c>
      <c r="F1000" s="5" t="s">
        <v>248</v>
      </c>
      <c r="G1000" s="5" t="s">
        <v>1969</v>
      </c>
      <c r="H1000" s="6" t="s">
        <v>3241</v>
      </c>
      <c r="I1000" s="7">
        <f>6305</f>
        <v>6305</v>
      </c>
      <c r="J1000" s="5" t="s">
        <v>262</v>
      </c>
      <c r="K1000" s="8">
        <f>1</f>
        <v>1</v>
      </c>
      <c r="L1000" s="6" t="s">
        <v>242</v>
      </c>
      <c r="M1000" s="5" t="s">
        <v>267</v>
      </c>
      <c r="N1000" s="5" t="s">
        <v>265</v>
      </c>
      <c r="O1000" s="5" t="s">
        <v>238</v>
      </c>
      <c r="P1000" s="5" t="s">
        <v>238</v>
      </c>
      <c r="Q1000" s="5" t="s">
        <v>268</v>
      </c>
      <c r="R1000" s="5" t="s">
        <v>270</v>
      </c>
      <c r="S1000" s="5" t="s">
        <v>238</v>
      </c>
      <c r="V1000" s="5" t="s">
        <v>238</v>
      </c>
      <c r="X1000" s="6" t="s">
        <v>238</v>
      </c>
      <c r="AA1000" s="6" t="s">
        <v>243</v>
      </c>
      <c r="AB1000" s="5" t="s">
        <v>238</v>
      </c>
      <c r="AC1000" s="5" t="s">
        <v>244</v>
      </c>
      <c r="AD1000" s="5" t="s">
        <v>245</v>
      </c>
      <c r="AT1000" s="5" t="s">
        <v>246</v>
      </c>
      <c r="AU1000" s="5" t="s">
        <v>238</v>
      </c>
      <c r="AV1000" s="5" t="s">
        <v>247</v>
      </c>
      <c r="AW1000" s="5" t="s">
        <v>238</v>
      </c>
      <c r="AX1000" s="5" t="s">
        <v>249</v>
      </c>
      <c r="AY1000" s="5" t="s">
        <v>238</v>
      </c>
      <c r="BA1000" s="5" t="s">
        <v>238</v>
      </c>
      <c r="BC1000" s="5" t="s">
        <v>250</v>
      </c>
      <c r="BD1000" s="6" t="s">
        <v>243</v>
      </c>
      <c r="BE1000" s="5" t="s">
        <v>251</v>
      </c>
      <c r="BF1000" s="5" t="s">
        <v>252</v>
      </c>
      <c r="BG1000" s="5" t="s">
        <v>238</v>
      </c>
      <c r="BH1000" s="7">
        <f>0</f>
        <v>0</v>
      </c>
      <c r="BI1000" s="8">
        <f>0</f>
        <v>0</v>
      </c>
      <c r="BJ1000" s="5" t="s">
        <v>253</v>
      </c>
      <c r="BK1000" s="5" t="s">
        <v>254</v>
      </c>
      <c r="BY1000" s="5" t="s">
        <v>238</v>
      </c>
      <c r="BZ1000" s="5" t="s">
        <v>238</v>
      </c>
      <c r="CD1000" s="5" t="s">
        <v>273</v>
      </c>
      <c r="CE1000" s="5" t="s">
        <v>256</v>
      </c>
      <c r="CF1000" s="5" t="s">
        <v>238</v>
      </c>
      <c r="CI1000" s="6" t="s">
        <v>257</v>
      </c>
      <c r="CJ1000" s="5" t="s">
        <v>238</v>
      </c>
      <c r="CK1000" s="5" t="s">
        <v>258</v>
      </c>
      <c r="CL1000" s="5" t="s">
        <v>238</v>
      </c>
      <c r="CM1000" s="5" t="s">
        <v>238</v>
      </c>
      <c r="CN1000" s="5">
        <v>0</v>
      </c>
      <c r="CO1000" s="5" t="s">
        <v>259</v>
      </c>
      <c r="CP1000" s="5" t="s">
        <v>260</v>
      </c>
      <c r="CQ1000" s="5" t="s">
        <v>260</v>
      </c>
      <c r="CR1000" s="5" t="s">
        <v>261</v>
      </c>
      <c r="CU1000" s="8">
        <f>1</f>
        <v>1</v>
      </c>
      <c r="CV1000" s="8">
        <f>0</f>
        <v>0</v>
      </c>
      <c r="CX1000" s="8">
        <f>0</f>
        <v>0</v>
      </c>
      <c r="CY1000" s="8">
        <f>1</f>
        <v>1</v>
      </c>
      <c r="DA1000" s="5" t="s">
        <v>673</v>
      </c>
      <c r="DB1000" s="5" t="s">
        <v>238</v>
      </c>
      <c r="DD1000" s="5" t="s">
        <v>673</v>
      </c>
      <c r="DE1000" s="8">
        <f>6305</f>
        <v>6305</v>
      </c>
      <c r="DG1000" s="5" t="s">
        <v>238</v>
      </c>
      <c r="DH1000" s="5" t="s">
        <v>238</v>
      </c>
      <c r="DI1000" s="5" t="s">
        <v>238</v>
      </c>
      <c r="DJ1000" s="5" t="s">
        <v>238</v>
      </c>
      <c r="DN1000" s="5" t="s">
        <v>238</v>
      </c>
      <c r="DO1000" s="5" t="s">
        <v>238</v>
      </c>
      <c r="DP1000" s="5" t="s">
        <v>238</v>
      </c>
      <c r="DQ1000" s="5" t="s">
        <v>238</v>
      </c>
      <c r="DT1000" s="5" t="s">
        <v>2039</v>
      </c>
      <c r="DU1000" s="5" t="s">
        <v>746</v>
      </c>
      <c r="HM1000" s="5" t="s">
        <v>264</v>
      </c>
    </row>
    <row r="1001" spans="1:221" x14ac:dyDescent="0.4">
      <c r="A1001" s="5">
        <v>2676</v>
      </c>
      <c r="B1001" s="5">
        <v>1</v>
      </c>
      <c r="C1001" s="5">
        <v>1</v>
      </c>
      <c r="D1001" s="5" t="s">
        <v>2037</v>
      </c>
      <c r="E1001" s="5" t="s">
        <v>271</v>
      </c>
      <c r="F1001" s="5" t="s">
        <v>248</v>
      </c>
      <c r="G1001" s="5" t="s">
        <v>1969</v>
      </c>
      <c r="H1001" s="6" t="s">
        <v>3240</v>
      </c>
      <c r="I1001" s="7">
        <f>4.56</f>
        <v>4.5599999999999996</v>
      </c>
      <c r="J1001" s="5" t="s">
        <v>262</v>
      </c>
      <c r="K1001" s="8">
        <f>1</f>
        <v>1</v>
      </c>
      <c r="L1001" s="6" t="s">
        <v>242</v>
      </c>
      <c r="M1001" s="5" t="s">
        <v>267</v>
      </c>
      <c r="N1001" s="5" t="s">
        <v>265</v>
      </c>
      <c r="O1001" s="5" t="s">
        <v>238</v>
      </c>
      <c r="P1001" s="5" t="s">
        <v>238</v>
      </c>
      <c r="Q1001" s="5" t="s">
        <v>268</v>
      </c>
      <c r="R1001" s="5" t="s">
        <v>270</v>
      </c>
      <c r="S1001" s="5" t="s">
        <v>238</v>
      </c>
      <c r="V1001" s="5" t="s">
        <v>238</v>
      </c>
      <c r="X1001" s="6" t="s">
        <v>238</v>
      </c>
      <c r="AA1001" s="6" t="s">
        <v>243</v>
      </c>
      <c r="AB1001" s="5" t="s">
        <v>238</v>
      </c>
      <c r="AC1001" s="5" t="s">
        <v>244</v>
      </c>
      <c r="AD1001" s="5" t="s">
        <v>245</v>
      </c>
      <c r="AT1001" s="5" t="s">
        <v>246</v>
      </c>
      <c r="AU1001" s="5" t="s">
        <v>238</v>
      </c>
      <c r="AV1001" s="5" t="s">
        <v>247</v>
      </c>
      <c r="AW1001" s="5" t="s">
        <v>238</v>
      </c>
      <c r="AX1001" s="5" t="s">
        <v>249</v>
      </c>
      <c r="AY1001" s="5" t="s">
        <v>238</v>
      </c>
      <c r="BA1001" s="5" t="s">
        <v>238</v>
      </c>
      <c r="BC1001" s="5" t="s">
        <v>250</v>
      </c>
      <c r="BD1001" s="6" t="s">
        <v>243</v>
      </c>
      <c r="BE1001" s="5" t="s">
        <v>251</v>
      </c>
      <c r="BF1001" s="5" t="s">
        <v>252</v>
      </c>
      <c r="BG1001" s="5" t="s">
        <v>238</v>
      </c>
      <c r="BH1001" s="7">
        <f>0</f>
        <v>0</v>
      </c>
      <c r="BI1001" s="8">
        <f>0</f>
        <v>0</v>
      </c>
      <c r="BJ1001" s="5" t="s">
        <v>253</v>
      </c>
      <c r="BK1001" s="5" t="s">
        <v>254</v>
      </c>
      <c r="BY1001" s="5" t="s">
        <v>238</v>
      </c>
      <c r="BZ1001" s="5" t="s">
        <v>238</v>
      </c>
      <c r="CD1001" s="5" t="s">
        <v>273</v>
      </c>
      <c r="CE1001" s="5" t="s">
        <v>256</v>
      </c>
      <c r="CF1001" s="5" t="s">
        <v>238</v>
      </c>
      <c r="CI1001" s="6" t="s">
        <v>257</v>
      </c>
      <c r="CJ1001" s="5" t="s">
        <v>238</v>
      </c>
      <c r="CK1001" s="5" t="s">
        <v>258</v>
      </c>
      <c r="CL1001" s="5" t="s">
        <v>238</v>
      </c>
      <c r="CM1001" s="5" t="s">
        <v>238</v>
      </c>
      <c r="CN1001" s="5">
        <v>0</v>
      </c>
      <c r="CO1001" s="5" t="s">
        <v>259</v>
      </c>
      <c r="CP1001" s="5" t="s">
        <v>260</v>
      </c>
      <c r="CQ1001" s="5" t="s">
        <v>260</v>
      </c>
      <c r="CR1001" s="5" t="s">
        <v>261</v>
      </c>
      <c r="CU1001" s="8">
        <f>1</f>
        <v>1</v>
      </c>
      <c r="CV1001" s="8">
        <f>0</f>
        <v>0</v>
      </c>
      <c r="CX1001" s="8">
        <f>0</f>
        <v>0</v>
      </c>
      <c r="CY1001" s="8">
        <f>1</f>
        <v>1</v>
      </c>
      <c r="DA1001" s="5" t="s">
        <v>673</v>
      </c>
      <c r="DB1001" s="5" t="s">
        <v>238</v>
      </c>
      <c r="DD1001" s="5" t="s">
        <v>673</v>
      </c>
      <c r="DE1001" s="8">
        <f>4.56</f>
        <v>4.5599999999999996</v>
      </c>
      <c r="DG1001" s="5" t="s">
        <v>238</v>
      </c>
      <c r="DH1001" s="5" t="s">
        <v>238</v>
      </c>
      <c r="DI1001" s="5" t="s">
        <v>238</v>
      </c>
      <c r="DJ1001" s="5" t="s">
        <v>238</v>
      </c>
      <c r="DN1001" s="5" t="s">
        <v>238</v>
      </c>
      <c r="DO1001" s="5" t="s">
        <v>238</v>
      </c>
      <c r="DP1001" s="5" t="s">
        <v>238</v>
      </c>
      <c r="DQ1001" s="5" t="s">
        <v>238</v>
      </c>
      <c r="DT1001" s="5" t="s">
        <v>2039</v>
      </c>
      <c r="DU1001" s="5" t="s">
        <v>748</v>
      </c>
      <c r="HM1001" s="5" t="s">
        <v>264</v>
      </c>
    </row>
    <row r="1002" spans="1:221" x14ac:dyDescent="0.4">
      <c r="A1002" s="5">
        <v>2677</v>
      </c>
      <c r="B1002" s="5">
        <v>1</v>
      </c>
      <c r="C1002" s="5">
        <v>1</v>
      </c>
      <c r="D1002" s="5" t="s">
        <v>2037</v>
      </c>
      <c r="E1002" s="5" t="s">
        <v>271</v>
      </c>
      <c r="F1002" s="5" t="s">
        <v>248</v>
      </c>
      <c r="G1002" s="5" t="s">
        <v>1969</v>
      </c>
      <c r="H1002" s="6" t="s">
        <v>3239</v>
      </c>
      <c r="I1002" s="7">
        <f>15</f>
        <v>15</v>
      </c>
      <c r="J1002" s="5" t="s">
        <v>262</v>
      </c>
      <c r="K1002" s="8">
        <f>1</f>
        <v>1</v>
      </c>
      <c r="L1002" s="6" t="s">
        <v>242</v>
      </c>
      <c r="M1002" s="5" t="s">
        <v>267</v>
      </c>
      <c r="N1002" s="5" t="s">
        <v>265</v>
      </c>
      <c r="O1002" s="5" t="s">
        <v>238</v>
      </c>
      <c r="P1002" s="5" t="s">
        <v>238</v>
      </c>
      <c r="Q1002" s="5" t="s">
        <v>268</v>
      </c>
      <c r="R1002" s="5" t="s">
        <v>270</v>
      </c>
      <c r="S1002" s="5" t="s">
        <v>238</v>
      </c>
      <c r="V1002" s="5" t="s">
        <v>238</v>
      </c>
      <c r="X1002" s="6" t="s">
        <v>238</v>
      </c>
      <c r="AA1002" s="6" t="s">
        <v>243</v>
      </c>
      <c r="AB1002" s="5" t="s">
        <v>238</v>
      </c>
      <c r="AC1002" s="5" t="s">
        <v>244</v>
      </c>
      <c r="AD1002" s="5" t="s">
        <v>245</v>
      </c>
      <c r="AT1002" s="5" t="s">
        <v>246</v>
      </c>
      <c r="AU1002" s="5" t="s">
        <v>238</v>
      </c>
      <c r="AV1002" s="5" t="s">
        <v>247</v>
      </c>
      <c r="AW1002" s="5" t="s">
        <v>238</v>
      </c>
      <c r="AX1002" s="5" t="s">
        <v>249</v>
      </c>
      <c r="AY1002" s="5" t="s">
        <v>238</v>
      </c>
      <c r="BA1002" s="5" t="s">
        <v>238</v>
      </c>
      <c r="BC1002" s="5" t="s">
        <v>250</v>
      </c>
      <c r="BD1002" s="6" t="s">
        <v>243</v>
      </c>
      <c r="BE1002" s="5" t="s">
        <v>251</v>
      </c>
      <c r="BF1002" s="5" t="s">
        <v>252</v>
      </c>
      <c r="BG1002" s="5" t="s">
        <v>238</v>
      </c>
      <c r="BH1002" s="7">
        <f>0</f>
        <v>0</v>
      </c>
      <c r="BI1002" s="8">
        <f>0</f>
        <v>0</v>
      </c>
      <c r="BJ1002" s="5" t="s">
        <v>253</v>
      </c>
      <c r="BK1002" s="5" t="s">
        <v>254</v>
      </c>
      <c r="BY1002" s="5" t="s">
        <v>238</v>
      </c>
      <c r="BZ1002" s="5" t="s">
        <v>238</v>
      </c>
      <c r="CD1002" s="5" t="s">
        <v>273</v>
      </c>
      <c r="CE1002" s="5" t="s">
        <v>256</v>
      </c>
      <c r="CF1002" s="5" t="s">
        <v>238</v>
      </c>
      <c r="CI1002" s="6" t="s">
        <v>257</v>
      </c>
      <c r="CJ1002" s="5" t="s">
        <v>238</v>
      </c>
      <c r="CK1002" s="5" t="s">
        <v>258</v>
      </c>
      <c r="CL1002" s="5" t="s">
        <v>238</v>
      </c>
      <c r="CM1002" s="5" t="s">
        <v>238</v>
      </c>
      <c r="CN1002" s="5">
        <v>0</v>
      </c>
      <c r="CO1002" s="5" t="s">
        <v>259</v>
      </c>
      <c r="CP1002" s="5" t="s">
        <v>260</v>
      </c>
      <c r="CQ1002" s="5" t="s">
        <v>260</v>
      </c>
      <c r="CR1002" s="5" t="s">
        <v>261</v>
      </c>
      <c r="CU1002" s="8">
        <f>1</f>
        <v>1</v>
      </c>
      <c r="CV1002" s="8">
        <f>0</f>
        <v>0</v>
      </c>
      <c r="CX1002" s="8">
        <f>0</f>
        <v>0</v>
      </c>
      <c r="CY1002" s="8">
        <f>1</f>
        <v>1</v>
      </c>
      <c r="DA1002" s="5" t="s">
        <v>673</v>
      </c>
      <c r="DB1002" s="5" t="s">
        <v>238</v>
      </c>
      <c r="DD1002" s="5" t="s">
        <v>673</v>
      </c>
      <c r="DE1002" s="8">
        <f>15</f>
        <v>15</v>
      </c>
      <c r="DG1002" s="5" t="s">
        <v>238</v>
      </c>
      <c r="DH1002" s="5" t="s">
        <v>238</v>
      </c>
      <c r="DI1002" s="5" t="s">
        <v>238</v>
      </c>
      <c r="DJ1002" s="5" t="s">
        <v>238</v>
      </c>
      <c r="DN1002" s="5" t="s">
        <v>238</v>
      </c>
      <c r="DO1002" s="5" t="s">
        <v>238</v>
      </c>
      <c r="DP1002" s="5" t="s">
        <v>238</v>
      </c>
      <c r="DQ1002" s="5" t="s">
        <v>238</v>
      </c>
      <c r="DT1002" s="5" t="s">
        <v>2039</v>
      </c>
      <c r="DU1002" s="5" t="s">
        <v>752</v>
      </c>
      <c r="HM1002" s="5" t="s">
        <v>264</v>
      </c>
    </row>
    <row r="1003" spans="1:221" x14ac:dyDescent="0.4">
      <c r="A1003" s="5">
        <v>2678</v>
      </c>
      <c r="B1003" s="5">
        <v>1</v>
      </c>
      <c r="C1003" s="5">
        <v>1</v>
      </c>
      <c r="D1003" s="5" t="s">
        <v>2037</v>
      </c>
      <c r="E1003" s="5" t="s">
        <v>271</v>
      </c>
      <c r="F1003" s="5" t="s">
        <v>248</v>
      </c>
      <c r="G1003" s="5" t="s">
        <v>1969</v>
      </c>
      <c r="H1003" s="6" t="s">
        <v>3237</v>
      </c>
      <c r="I1003" s="7">
        <f>664</f>
        <v>664</v>
      </c>
      <c r="J1003" s="5" t="s">
        <v>262</v>
      </c>
      <c r="K1003" s="8">
        <f>1</f>
        <v>1</v>
      </c>
      <c r="L1003" s="6" t="s">
        <v>242</v>
      </c>
      <c r="M1003" s="5" t="s">
        <v>267</v>
      </c>
      <c r="N1003" s="5" t="s">
        <v>265</v>
      </c>
      <c r="O1003" s="5" t="s">
        <v>238</v>
      </c>
      <c r="P1003" s="5" t="s">
        <v>238</v>
      </c>
      <c r="Q1003" s="5" t="s">
        <v>268</v>
      </c>
      <c r="R1003" s="5" t="s">
        <v>270</v>
      </c>
      <c r="S1003" s="5" t="s">
        <v>238</v>
      </c>
      <c r="V1003" s="5" t="s">
        <v>238</v>
      </c>
      <c r="X1003" s="6" t="s">
        <v>238</v>
      </c>
      <c r="AA1003" s="6" t="s">
        <v>243</v>
      </c>
      <c r="AB1003" s="5" t="s">
        <v>238</v>
      </c>
      <c r="AC1003" s="5" t="s">
        <v>244</v>
      </c>
      <c r="AD1003" s="5" t="s">
        <v>245</v>
      </c>
      <c r="AT1003" s="5" t="s">
        <v>246</v>
      </c>
      <c r="AU1003" s="5" t="s">
        <v>238</v>
      </c>
      <c r="AV1003" s="5" t="s">
        <v>247</v>
      </c>
      <c r="AW1003" s="5" t="s">
        <v>238</v>
      </c>
      <c r="AX1003" s="5" t="s">
        <v>249</v>
      </c>
      <c r="AY1003" s="5" t="s">
        <v>238</v>
      </c>
      <c r="BA1003" s="5" t="s">
        <v>238</v>
      </c>
      <c r="BC1003" s="5" t="s">
        <v>250</v>
      </c>
      <c r="BD1003" s="6" t="s">
        <v>243</v>
      </c>
      <c r="BE1003" s="5" t="s">
        <v>251</v>
      </c>
      <c r="BF1003" s="5" t="s">
        <v>252</v>
      </c>
      <c r="BG1003" s="5" t="s">
        <v>238</v>
      </c>
      <c r="BH1003" s="7">
        <f>0</f>
        <v>0</v>
      </c>
      <c r="BI1003" s="8">
        <f>0</f>
        <v>0</v>
      </c>
      <c r="BJ1003" s="5" t="s">
        <v>253</v>
      </c>
      <c r="BK1003" s="5" t="s">
        <v>254</v>
      </c>
      <c r="BY1003" s="5" t="s">
        <v>238</v>
      </c>
      <c r="BZ1003" s="5" t="s">
        <v>238</v>
      </c>
      <c r="CD1003" s="5" t="s">
        <v>273</v>
      </c>
      <c r="CE1003" s="5" t="s">
        <v>256</v>
      </c>
      <c r="CF1003" s="5" t="s">
        <v>238</v>
      </c>
      <c r="CI1003" s="6" t="s">
        <v>257</v>
      </c>
      <c r="CJ1003" s="5" t="s">
        <v>238</v>
      </c>
      <c r="CK1003" s="5" t="s">
        <v>258</v>
      </c>
      <c r="CL1003" s="5" t="s">
        <v>238</v>
      </c>
      <c r="CM1003" s="5" t="s">
        <v>238</v>
      </c>
      <c r="CN1003" s="5">
        <v>0</v>
      </c>
      <c r="CO1003" s="5" t="s">
        <v>259</v>
      </c>
      <c r="CP1003" s="5" t="s">
        <v>260</v>
      </c>
      <c r="CQ1003" s="5" t="s">
        <v>260</v>
      </c>
      <c r="CR1003" s="5" t="s">
        <v>261</v>
      </c>
      <c r="CU1003" s="8">
        <f>1</f>
        <v>1</v>
      </c>
      <c r="CV1003" s="8">
        <f>0</f>
        <v>0</v>
      </c>
      <c r="CX1003" s="8">
        <f>0</f>
        <v>0</v>
      </c>
      <c r="CY1003" s="8">
        <f>1</f>
        <v>1</v>
      </c>
      <c r="DA1003" s="5" t="s">
        <v>673</v>
      </c>
      <c r="DB1003" s="5" t="s">
        <v>238</v>
      </c>
      <c r="DD1003" s="5" t="s">
        <v>673</v>
      </c>
      <c r="DE1003" s="8">
        <f>664</f>
        <v>664</v>
      </c>
      <c r="DG1003" s="5" t="s">
        <v>238</v>
      </c>
      <c r="DH1003" s="5" t="s">
        <v>238</v>
      </c>
      <c r="DI1003" s="5" t="s">
        <v>238</v>
      </c>
      <c r="DJ1003" s="5" t="s">
        <v>238</v>
      </c>
      <c r="DN1003" s="5" t="s">
        <v>238</v>
      </c>
      <c r="DO1003" s="5" t="s">
        <v>238</v>
      </c>
      <c r="DP1003" s="5" t="s">
        <v>238</v>
      </c>
      <c r="DQ1003" s="5" t="s">
        <v>238</v>
      </c>
      <c r="DT1003" s="5" t="s">
        <v>2039</v>
      </c>
      <c r="DU1003" s="5" t="s">
        <v>754</v>
      </c>
      <c r="HM1003" s="5" t="s">
        <v>264</v>
      </c>
    </row>
    <row r="1004" spans="1:221" x14ac:dyDescent="0.4">
      <c r="A1004" s="5">
        <v>2679</v>
      </c>
      <c r="B1004" s="5">
        <v>1</v>
      </c>
      <c r="C1004" s="5">
        <v>1</v>
      </c>
      <c r="D1004" s="5" t="s">
        <v>2037</v>
      </c>
      <c r="E1004" s="5" t="s">
        <v>271</v>
      </c>
      <c r="F1004" s="5" t="s">
        <v>248</v>
      </c>
      <c r="G1004" s="5" t="s">
        <v>1969</v>
      </c>
      <c r="H1004" s="6" t="s">
        <v>3236</v>
      </c>
      <c r="I1004" s="7">
        <f>1103</f>
        <v>1103</v>
      </c>
      <c r="J1004" s="5" t="s">
        <v>262</v>
      </c>
      <c r="K1004" s="8">
        <f>1</f>
        <v>1</v>
      </c>
      <c r="L1004" s="6" t="s">
        <v>242</v>
      </c>
      <c r="M1004" s="5" t="s">
        <v>267</v>
      </c>
      <c r="N1004" s="5" t="s">
        <v>265</v>
      </c>
      <c r="O1004" s="5" t="s">
        <v>238</v>
      </c>
      <c r="P1004" s="5" t="s">
        <v>238</v>
      </c>
      <c r="Q1004" s="5" t="s">
        <v>268</v>
      </c>
      <c r="R1004" s="5" t="s">
        <v>270</v>
      </c>
      <c r="S1004" s="5" t="s">
        <v>238</v>
      </c>
      <c r="V1004" s="5" t="s">
        <v>238</v>
      </c>
      <c r="X1004" s="6" t="s">
        <v>238</v>
      </c>
      <c r="AA1004" s="6" t="s">
        <v>243</v>
      </c>
      <c r="AB1004" s="5" t="s">
        <v>238</v>
      </c>
      <c r="AC1004" s="5" t="s">
        <v>244</v>
      </c>
      <c r="AD1004" s="5" t="s">
        <v>245</v>
      </c>
      <c r="AT1004" s="5" t="s">
        <v>246</v>
      </c>
      <c r="AU1004" s="5" t="s">
        <v>238</v>
      </c>
      <c r="AV1004" s="5" t="s">
        <v>247</v>
      </c>
      <c r="AW1004" s="5" t="s">
        <v>238</v>
      </c>
      <c r="AX1004" s="5" t="s">
        <v>249</v>
      </c>
      <c r="AY1004" s="5" t="s">
        <v>238</v>
      </c>
      <c r="BA1004" s="5" t="s">
        <v>238</v>
      </c>
      <c r="BC1004" s="5" t="s">
        <v>250</v>
      </c>
      <c r="BD1004" s="6" t="s">
        <v>243</v>
      </c>
      <c r="BE1004" s="5" t="s">
        <v>251</v>
      </c>
      <c r="BF1004" s="5" t="s">
        <v>252</v>
      </c>
      <c r="BG1004" s="5" t="s">
        <v>238</v>
      </c>
      <c r="BH1004" s="7">
        <f>0</f>
        <v>0</v>
      </c>
      <c r="BI1004" s="8">
        <f>0</f>
        <v>0</v>
      </c>
      <c r="BJ1004" s="5" t="s">
        <v>253</v>
      </c>
      <c r="BK1004" s="5" t="s">
        <v>254</v>
      </c>
      <c r="BY1004" s="5" t="s">
        <v>238</v>
      </c>
      <c r="BZ1004" s="5" t="s">
        <v>238</v>
      </c>
      <c r="CD1004" s="5" t="s">
        <v>273</v>
      </c>
      <c r="CE1004" s="5" t="s">
        <v>256</v>
      </c>
      <c r="CF1004" s="5" t="s">
        <v>238</v>
      </c>
      <c r="CI1004" s="6" t="s">
        <v>257</v>
      </c>
      <c r="CJ1004" s="5" t="s">
        <v>238</v>
      </c>
      <c r="CK1004" s="5" t="s">
        <v>258</v>
      </c>
      <c r="CL1004" s="5" t="s">
        <v>238</v>
      </c>
      <c r="CM1004" s="5" t="s">
        <v>238</v>
      </c>
      <c r="CN1004" s="5">
        <v>0</v>
      </c>
      <c r="CO1004" s="5" t="s">
        <v>259</v>
      </c>
      <c r="CP1004" s="5" t="s">
        <v>260</v>
      </c>
      <c r="CQ1004" s="5" t="s">
        <v>260</v>
      </c>
      <c r="CR1004" s="5" t="s">
        <v>261</v>
      </c>
      <c r="CU1004" s="8">
        <f>1</f>
        <v>1</v>
      </c>
      <c r="CV1004" s="8">
        <f>0</f>
        <v>0</v>
      </c>
      <c r="CX1004" s="8">
        <f>0</f>
        <v>0</v>
      </c>
      <c r="CY1004" s="8">
        <f>1</f>
        <v>1</v>
      </c>
      <c r="DA1004" s="5" t="s">
        <v>673</v>
      </c>
      <c r="DB1004" s="5" t="s">
        <v>238</v>
      </c>
      <c r="DD1004" s="5" t="s">
        <v>673</v>
      </c>
      <c r="DE1004" s="8">
        <f>1103</f>
        <v>1103</v>
      </c>
      <c r="DG1004" s="5" t="s">
        <v>238</v>
      </c>
      <c r="DH1004" s="5" t="s">
        <v>238</v>
      </c>
      <c r="DI1004" s="5" t="s">
        <v>238</v>
      </c>
      <c r="DJ1004" s="5" t="s">
        <v>238</v>
      </c>
      <c r="DN1004" s="5" t="s">
        <v>238</v>
      </c>
      <c r="DO1004" s="5" t="s">
        <v>238</v>
      </c>
      <c r="DP1004" s="5" t="s">
        <v>238</v>
      </c>
      <c r="DQ1004" s="5" t="s">
        <v>238</v>
      </c>
      <c r="DT1004" s="5" t="s">
        <v>2039</v>
      </c>
      <c r="DU1004" s="5" t="s">
        <v>758</v>
      </c>
      <c r="HM1004" s="5" t="s">
        <v>264</v>
      </c>
    </row>
    <row r="1005" spans="1:221" x14ac:dyDescent="0.4">
      <c r="A1005" s="5">
        <v>2680</v>
      </c>
      <c r="B1005" s="5">
        <v>1</v>
      </c>
      <c r="C1005" s="5">
        <v>1</v>
      </c>
      <c r="D1005" s="5" t="s">
        <v>2037</v>
      </c>
      <c r="E1005" s="5" t="s">
        <v>271</v>
      </c>
      <c r="F1005" s="5" t="s">
        <v>248</v>
      </c>
      <c r="G1005" s="5" t="s">
        <v>1969</v>
      </c>
      <c r="H1005" s="6" t="s">
        <v>3234</v>
      </c>
      <c r="I1005" s="7">
        <f>3180</f>
        <v>3180</v>
      </c>
      <c r="J1005" s="5" t="s">
        <v>262</v>
      </c>
      <c r="K1005" s="8">
        <f>1</f>
        <v>1</v>
      </c>
      <c r="L1005" s="6" t="s">
        <v>242</v>
      </c>
      <c r="M1005" s="5" t="s">
        <v>267</v>
      </c>
      <c r="N1005" s="5" t="s">
        <v>265</v>
      </c>
      <c r="O1005" s="5" t="s">
        <v>238</v>
      </c>
      <c r="P1005" s="5" t="s">
        <v>238</v>
      </c>
      <c r="Q1005" s="5" t="s">
        <v>268</v>
      </c>
      <c r="R1005" s="5" t="s">
        <v>270</v>
      </c>
      <c r="S1005" s="5" t="s">
        <v>238</v>
      </c>
      <c r="V1005" s="5" t="s">
        <v>238</v>
      </c>
      <c r="X1005" s="6" t="s">
        <v>238</v>
      </c>
      <c r="AA1005" s="6" t="s">
        <v>243</v>
      </c>
      <c r="AB1005" s="5" t="s">
        <v>238</v>
      </c>
      <c r="AC1005" s="5" t="s">
        <v>244</v>
      </c>
      <c r="AD1005" s="5" t="s">
        <v>245</v>
      </c>
      <c r="AT1005" s="5" t="s">
        <v>246</v>
      </c>
      <c r="AU1005" s="5" t="s">
        <v>238</v>
      </c>
      <c r="AV1005" s="5" t="s">
        <v>247</v>
      </c>
      <c r="AW1005" s="5" t="s">
        <v>238</v>
      </c>
      <c r="AX1005" s="5" t="s">
        <v>249</v>
      </c>
      <c r="AY1005" s="5" t="s">
        <v>238</v>
      </c>
      <c r="BA1005" s="5" t="s">
        <v>238</v>
      </c>
      <c r="BC1005" s="5" t="s">
        <v>250</v>
      </c>
      <c r="BD1005" s="6" t="s">
        <v>243</v>
      </c>
      <c r="BE1005" s="5" t="s">
        <v>251</v>
      </c>
      <c r="BF1005" s="5" t="s">
        <v>252</v>
      </c>
      <c r="BG1005" s="5" t="s">
        <v>238</v>
      </c>
      <c r="BH1005" s="7">
        <f>0</f>
        <v>0</v>
      </c>
      <c r="BI1005" s="8">
        <f>0</f>
        <v>0</v>
      </c>
      <c r="BJ1005" s="5" t="s">
        <v>253</v>
      </c>
      <c r="BK1005" s="5" t="s">
        <v>254</v>
      </c>
      <c r="BY1005" s="5" t="s">
        <v>238</v>
      </c>
      <c r="BZ1005" s="5" t="s">
        <v>238</v>
      </c>
      <c r="CD1005" s="5" t="s">
        <v>273</v>
      </c>
      <c r="CE1005" s="5" t="s">
        <v>256</v>
      </c>
      <c r="CF1005" s="5" t="s">
        <v>238</v>
      </c>
      <c r="CI1005" s="6" t="s">
        <v>257</v>
      </c>
      <c r="CJ1005" s="5" t="s">
        <v>238</v>
      </c>
      <c r="CK1005" s="5" t="s">
        <v>258</v>
      </c>
      <c r="CL1005" s="5" t="s">
        <v>238</v>
      </c>
      <c r="CM1005" s="5" t="s">
        <v>238</v>
      </c>
      <c r="CN1005" s="5">
        <v>0</v>
      </c>
      <c r="CO1005" s="5" t="s">
        <v>259</v>
      </c>
      <c r="CP1005" s="5" t="s">
        <v>260</v>
      </c>
      <c r="CQ1005" s="5" t="s">
        <v>260</v>
      </c>
      <c r="CR1005" s="5" t="s">
        <v>261</v>
      </c>
      <c r="CU1005" s="8">
        <f>1</f>
        <v>1</v>
      </c>
      <c r="CV1005" s="8">
        <f>0</f>
        <v>0</v>
      </c>
      <c r="CX1005" s="8">
        <f>0</f>
        <v>0</v>
      </c>
      <c r="CY1005" s="8">
        <f>1</f>
        <v>1</v>
      </c>
      <c r="DA1005" s="5" t="s">
        <v>673</v>
      </c>
      <c r="DB1005" s="5" t="s">
        <v>238</v>
      </c>
      <c r="DD1005" s="5" t="s">
        <v>673</v>
      </c>
      <c r="DE1005" s="8">
        <f>3180</f>
        <v>3180</v>
      </c>
      <c r="DG1005" s="5" t="s">
        <v>238</v>
      </c>
      <c r="DH1005" s="5" t="s">
        <v>238</v>
      </c>
      <c r="DI1005" s="5" t="s">
        <v>238</v>
      </c>
      <c r="DJ1005" s="5" t="s">
        <v>238</v>
      </c>
      <c r="DN1005" s="5" t="s">
        <v>238</v>
      </c>
      <c r="DO1005" s="5" t="s">
        <v>238</v>
      </c>
      <c r="DP1005" s="5" t="s">
        <v>238</v>
      </c>
      <c r="DQ1005" s="5" t="s">
        <v>238</v>
      </c>
      <c r="DT1005" s="5" t="s">
        <v>2039</v>
      </c>
      <c r="DU1005" s="5" t="s">
        <v>3235</v>
      </c>
      <c r="HM1005" s="5" t="s">
        <v>264</v>
      </c>
    </row>
    <row r="1006" spans="1:221" x14ac:dyDescent="0.4">
      <c r="A1006" s="5">
        <v>2681</v>
      </c>
      <c r="B1006" s="5">
        <v>1</v>
      </c>
      <c r="C1006" s="5">
        <v>1</v>
      </c>
      <c r="D1006" s="5" t="s">
        <v>2037</v>
      </c>
      <c r="E1006" s="5" t="s">
        <v>271</v>
      </c>
      <c r="F1006" s="5" t="s">
        <v>248</v>
      </c>
      <c r="G1006" s="5" t="s">
        <v>1969</v>
      </c>
      <c r="H1006" s="6" t="s">
        <v>3233</v>
      </c>
      <c r="I1006" s="7">
        <f>3488</f>
        <v>3488</v>
      </c>
      <c r="J1006" s="5" t="s">
        <v>262</v>
      </c>
      <c r="K1006" s="8">
        <f>1</f>
        <v>1</v>
      </c>
      <c r="L1006" s="6" t="s">
        <v>242</v>
      </c>
      <c r="M1006" s="5" t="s">
        <v>267</v>
      </c>
      <c r="N1006" s="5" t="s">
        <v>265</v>
      </c>
      <c r="O1006" s="5" t="s">
        <v>238</v>
      </c>
      <c r="P1006" s="5" t="s">
        <v>238</v>
      </c>
      <c r="Q1006" s="5" t="s">
        <v>268</v>
      </c>
      <c r="R1006" s="5" t="s">
        <v>270</v>
      </c>
      <c r="S1006" s="5" t="s">
        <v>238</v>
      </c>
      <c r="V1006" s="5" t="s">
        <v>238</v>
      </c>
      <c r="X1006" s="6" t="s">
        <v>238</v>
      </c>
      <c r="AA1006" s="6" t="s">
        <v>243</v>
      </c>
      <c r="AB1006" s="5" t="s">
        <v>238</v>
      </c>
      <c r="AC1006" s="5" t="s">
        <v>244</v>
      </c>
      <c r="AD1006" s="5" t="s">
        <v>245</v>
      </c>
      <c r="AT1006" s="5" t="s">
        <v>246</v>
      </c>
      <c r="AU1006" s="5" t="s">
        <v>238</v>
      </c>
      <c r="AV1006" s="5" t="s">
        <v>247</v>
      </c>
      <c r="AW1006" s="5" t="s">
        <v>238</v>
      </c>
      <c r="AX1006" s="5" t="s">
        <v>249</v>
      </c>
      <c r="AY1006" s="5" t="s">
        <v>238</v>
      </c>
      <c r="BA1006" s="5" t="s">
        <v>238</v>
      </c>
      <c r="BC1006" s="5" t="s">
        <v>250</v>
      </c>
      <c r="BD1006" s="6" t="s">
        <v>243</v>
      </c>
      <c r="BE1006" s="5" t="s">
        <v>251</v>
      </c>
      <c r="BF1006" s="5" t="s">
        <v>252</v>
      </c>
      <c r="BG1006" s="5" t="s">
        <v>238</v>
      </c>
      <c r="BH1006" s="7">
        <f>0</f>
        <v>0</v>
      </c>
      <c r="BI1006" s="8">
        <f>0</f>
        <v>0</v>
      </c>
      <c r="BJ1006" s="5" t="s">
        <v>253</v>
      </c>
      <c r="BK1006" s="5" t="s">
        <v>254</v>
      </c>
      <c r="BY1006" s="5" t="s">
        <v>238</v>
      </c>
      <c r="BZ1006" s="5" t="s">
        <v>238</v>
      </c>
      <c r="CD1006" s="5" t="s">
        <v>273</v>
      </c>
      <c r="CE1006" s="5" t="s">
        <v>256</v>
      </c>
      <c r="CF1006" s="5" t="s">
        <v>238</v>
      </c>
      <c r="CI1006" s="6" t="s">
        <v>257</v>
      </c>
      <c r="CJ1006" s="5" t="s">
        <v>238</v>
      </c>
      <c r="CK1006" s="5" t="s">
        <v>258</v>
      </c>
      <c r="CL1006" s="5" t="s">
        <v>238</v>
      </c>
      <c r="CM1006" s="5" t="s">
        <v>238</v>
      </c>
      <c r="CN1006" s="5">
        <v>0</v>
      </c>
      <c r="CO1006" s="5" t="s">
        <v>259</v>
      </c>
      <c r="CP1006" s="5" t="s">
        <v>260</v>
      </c>
      <c r="CQ1006" s="5" t="s">
        <v>260</v>
      </c>
      <c r="CR1006" s="5" t="s">
        <v>261</v>
      </c>
      <c r="CU1006" s="8">
        <f>1</f>
        <v>1</v>
      </c>
      <c r="CV1006" s="8">
        <f>0</f>
        <v>0</v>
      </c>
      <c r="CX1006" s="8">
        <f>0</f>
        <v>0</v>
      </c>
      <c r="CY1006" s="8">
        <f>1</f>
        <v>1</v>
      </c>
      <c r="DA1006" s="5" t="s">
        <v>673</v>
      </c>
      <c r="DB1006" s="5" t="s">
        <v>238</v>
      </c>
      <c r="DD1006" s="5" t="s">
        <v>673</v>
      </c>
      <c r="DE1006" s="8">
        <f>3488</f>
        <v>3488</v>
      </c>
      <c r="DG1006" s="5" t="s">
        <v>238</v>
      </c>
      <c r="DH1006" s="5" t="s">
        <v>238</v>
      </c>
      <c r="DI1006" s="5" t="s">
        <v>238</v>
      </c>
      <c r="DJ1006" s="5" t="s">
        <v>238</v>
      </c>
      <c r="DN1006" s="5" t="s">
        <v>238</v>
      </c>
      <c r="DO1006" s="5" t="s">
        <v>238</v>
      </c>
      <c r="DP1006" s="5" t="s">
        <v>238</v>
      </c>
      <c r="DQ1006" s="5" t="s">
        <v>238</v>
      </c>
      <c r="DT1006" s="5" t="s">
        <v>2039</v>
      </c>
      <c r="DU1006" s="5" t="s">
        <v>766</v>
      </c>
      <c r="HM1006" s="5" t="s">
        <v>264</v>
      </c>
    </row>
    <row r="1007" spans="1:221" x14ac:dyDescent="0.4">
      <c r="A1007" s="5">
        <v>2682</v>
      </c>
      <c r="B1007" s="5">
        <v>1</v>
      </c>
      <c r="C1007" s="5">
        <v>1</v>
      </c>
      <c r="D1007" s="5" t="s">
        <v>2037</v>
      </c>
      <c r="E1007" s="5" t="s">
        <v>271</v>
      </c>
      <c r="F1007" s="5" t="s">
        <v>248</v>
      </c>
      <c r="G1007" s="5" t="s">
        <v>1969</v>
      </c>
      <c r="H1007" s="6" t="s">
        <v>3232</v>
      </c>
      <c r="I1007" s="7">
        <f>3571</f>
        <v>3571</v>
      </c>
      <c r="J1007" s="5" t="s">
        <v>262</v>
      </c>
      <c r="K1007" s="8">
        <f>1</f>
        <v>1</v>
      </c>
      <c r="L1007" s="6" t="s">
        <v>242</v>
      </c>
      <c r="M1007" s="5" t="s">
        <v>267</v>
      </c>
      <c r="N1007" s="5" t="s">
        <v>265</v>
      </c>
      <c r="O1007" s="5" t="s">
        <v>238</v>
      </c>
      <c r="P1007" s="5" t="s">
        <v>238</v>
      </c>
      <c r="Q1007" s="5" t="s">
        <v>268</v>
      </c>
      <c r="R1007" s="5" t="s">
        <v>270</v>
      </c>
      <c r="S1007" s="5" t="s">
        <v>238</v>
      </c>
      <c r="V1007" s="5" t="s">
        <v>238</v>
      </c>
      <c r="X1007" s="6" t="s">
        <v>238</v>
      </c>
      <c r="AA1007" s="6" t="s">
        <v>243</v>
      </c>
      <c r="AB1007" s="5" t="s">
        <v>238</v>
      </c>
      <c r="AC1007" s="5" t="s">
        <v>244</v>
      </c>
      <c r="AD1007" s="5" t="s">
        <v>245</v>
      </c>
      <c r="AT1007" s="5" t="s">
        <v>246</v>
      </c>
      <c r="AU1007" s="5" t="s">
        <v>238</v>
      </c>
      <c r="AV1007" s="5" t="s">
        <v>247</v>
      </c>
      <c r="AW1007" s="5" t="s">
        <v>238</v>
      </c>
      <c r="AX1007" s="5" t="s">
        <v>249</v>
      </c>
      <c r="AY1007" s="5" t="s">
        <v>238</v>
      </c>
      <c r="BA1007" s="5" t="s">
        <v>238</v>
      </c>
      <c r="BC1007" s="5" t="s">
        <v>250</v>
      </c>
      <c r="BD1007" s="6" t="s">
        <v>243</v>
      </c>
      <c r="BE1007" s="5" t="s">
        <v>251</v>
      </c>
      <c r="BF1007" s="5" t="s">
        <v>252</v>
      </c>
      <c r="BG1007" s="5" t="s">
        <v>238</v>
      </c>
      <c r="BH1007" s="7">
        <f>0</f>
        <v>0</v>
      </c>
      <c r="BI1007" s="8">
        <f>0</f>
        <v>0</v>
      </c>
      <c r="BJ1007" s="5" t="s">
        <v>253</v>
      </c>
      <c r="BK1007" s="5" t="s">
        <v>254</v>
      </c>
      <c r="BY1007" s="5" t="s">
        <v>238</v>
      </c>
      <c r="BZ1007" s="5" t="s">
        <v>238</v>
      </c>
      <c r="CD1007" s="5" t="s">
        <v>273</v>
      </c>
      <c r="CE1007" s="5" t="s">
        <v>256</v>
      </c>
      <c r="CF1007" s="5" t="s">
        <v>238</v>
      </c>
      <c r="CI1007" s="6" t="s">
        <v>257</v>
      </c>
      <c r="CJ1007" s="5" t="s">
        <v>238</v>
      </c>
      <c r="CK1007" s="5" t="s">
        <v>258</v>
      </c>
      <c r="CL1007" s="5" t="s">
        <v>238</v>
      </c>
      <c r="CM1007" s="5" t="s">
        <v>238</v>
      </c>
      <c r="CN1007" s="5">
        <v>0</v>
      </c>
      <c r="CO1007" s="5" t="s">
        <v>259</v>
      </c>
      <c r="CP1007" s="5" t="s">
        <v>260</v>
      </c>
      <c r="CQ1007" s="5" t="s">
        <v>260</v>
      </c>
      <c r="CR1007" s="5" t="s">
        <v>261</v>
      </c>
      <c r="CU1007" s="8">
        <f>1</f>
        <v>1</v>
      </c>
      <c r="CV1007" s="8">
        <f>0</f>
        <v>0</v>
      </c>
      <c r="CX1007" s="8">
        <f>0</f>
        <v>0</v>
      </c>
      <c r="CY1007" s="8">
        <f>1</f>
        <v>1</v>
      </c>
      <c r="DA1007" s="5" t="s">
        <v>673</v>
      </c>
      <c r="DB1007" s="5" t="s">
        <v>238</v>
      </c>
      <c r="DD1007" s="5" t="s">
        <v>673</v>
      </c>
      <c r="DE1007" s="8">
        <f>3571</f>
        <v>3571</v>
      </c>
      <c r="DG1007" s="5" t="s">
        <v>238</v>
      </c>
      <c r="DH1007" s="5" t="s">
        <v>238</v>
      </c>
      <c r="DI1007" s="5" t="s">
        <v>238</v>
      </c>
      <c r="DJ1007" s="5" t="s">
        <v>238</v>
      </c>
      <c r="DN1007" s="5" t="s">
        <v>238</v>
      </c>
      <c r="DO1007" s="5" t="s">
        <v>238</v>
      </c>
      <c r="DP1007" s="5" t="s">
        <v>238</v>
      </c>
      <c r="DQ1007" s="5" t="s">
        <v>238</v>
      </c>
      <c r="DT1007" s="5" t="s">
        <v>2039</v>
      </c>
      <c r="DU1007" s="5" t="s">
        <v>772</v>
      </c>
      <c r="HM1007" s="5" t="s">
        <v>264</v>
      </c>
    </row>
    <row r="1008" spans="1:221" x14ac:dyDescent="0.4">
      <c r="A1008" s="5">
        <v>2683</v>
      </c>
      <c r="B1008" s="5">
        <v>1</v>
      </c>
      <c r="C1008" s="5">
        <v>1</v>
      </c>
      <c r="D1008" s="5" t="s">
        <v>2037</v>
      </c>
      <c r="E1008" s="5" t="s">
        <v>271</v>
      </c>
      <c r="F1008" s="5" t="s">
        <v>248</v>
      </c>
      <c r="G1008" s="5" t="s">
        <v>1969</v>
      </c>
      <c r="H1008" s="6" t="s">
        <v>3231</v>
      </c>
      <c r="I1008" s="7">
        <f>125</f>
        <v>125</v>
      </c>
      <c r="J1008" s="5" t="s">
        <v>262</v>
      </c>
      <c r="K1008" s="8">
        <f>1</f>
        <v>1</v>
      </c>
      <c r="L1008" s="6" t="s">
        <v>242</v>
      </c>
      <c r="M1008" s="5" t="s">
        <v>267</v>
      </c>
      <c r="N1008" s="5" t="s">
        <v>265</v>
      </c>
      <c r="O1008" s="5" t="s">
        <v>238</v>
      </c>
      <c r="P1008" s="5" t="s">
        <v>238</v>
      </c>
      <c r="Q1008" s="5" t="s">
        <v>268</v>
      </c>
      <c r="R1008" s="5" t="s">
        <v>270</v>
      </c>
      <c r="S1008" s="5" t="s">
        <v>238</v>
      </c>
      <c r="V1008" s="5" t="s">
        <v>238</v>
      </c>
      <c r="X1008" s="6" t="s">
        <v>238</v>
      </c>
      <c r="AA1008" s="6" t="s">
        <v>243</v>
      </c>
      <c r="AB1008" s="5" t="s">
        <v>238</v>
      </c>
      <c r="AC1008" s="5" t="s">
        <v>244</v>
      </c>
      <c r="AD1008" s="5" t="s">
        <v>245</v>
      </c>
      <c r="AT1008" s="5" t="s">
        <v>246</v>
      </c>
      <c r="AU1008" s="5" t="s">
        <v>238</v>
      </c>
      <c r="AV1008" s="5" t="s">
        <v>247</v>
      </c>
      <c r="AW1008" s="5" t="s">
        <v>238</v>
      </c>
      <c r="AX1008" s="5" t="s">
        <v>249</v>
      </c>
      <c r="AY1008" s="5" t="s">
        <v>238</v>
      </c>
      <c r="BA1008" s="5" t="s">
        <v>238</v>
      </c>
      <c r="BC1008" s="5" t="s">
        <v>250</v>
      </c>
      <c r="BD1008" s="6" t="s">
        <v>243</v>
      </c>
      <c r="BE1008" s="5" t="s">
        <v>251</v>
      </c>
      <c r="BF1008" s="5" t="s">
        <v>252</v>
      </c>
      <c r="BG1008" s="5" t="s">
        <v>238</v>
      </c>
      <c r="BH1008" s="7">
        <f>0</f>
        <v>0</v>
      </c>
      <c r="BI1008" s="8">
        <f>0</f>
        <v>0</v>
      </c>
      <c r="BJ1008" s="5" t="s">
        <v>253</v>
      </c>
      <c r="BK1008" s="5" t="s">
        <v>254</v>
      </c>
      <c r="BY1008" s="5" t="s">
        <v>238</v>
      </c>
      <c r="BZ1008" s="5" t="s">
        <v>238</v>
      </c>
      <c r="CD1008" s="5" t="s">
        <v>273</v>
      </c>
      <c r="CE1008" s="5" t="s">
        <v>256</v>
      </c>
      <c r="CF1008" s="5" t="s">
        <v>238</v>
      </c>
      <c r="CI1008" s="6" t="s">
        <v>257</v>
      </c>
      <c r="CJ1008" s="5" t="s">
        <v>238</v>
      </c>
      <c r="CK1008" s="5" t="s">
        <v>258</v>
      </c>
      <c r="CL1008" s="5" t="s">
        <v>238</v>
      </c>
      <c r="CM1008" s="5" t="s">
        <v>238</v>
      </c>
      <c r="CN1008" s="5">
        <v>0</v>
      </c>
      <c r="CO1008" s="5" t="s">
        <v>259</v>
      </c>
      <c r="CP1008" s="5" t="s">
        <v>260</v>
      </c>
      <c r="CQ1008" s="5" t="s">
        <v>260</v>
      </c>
      <c r="CR1008" s="5" t="s">
        <v>261</v>
      </c>
      <c r="CU1008" s="8">
        <f>1</f>
        <v>1</v>
      </c>
      <c r="CV1008" s="8">
        <f>0</f>
        <v>0</v>
      </c>
      <c r="CX1008" s="8">
        <f>0</f>
        <v>0</v>
      </c>
      <c r="CY1008" s="8">
        <f>1</f>
        <v>1</v>
      </c>
      <c r="DA1008" s="5" t="s">
        <v>673</v>
      </c>
      <c r="DB1008" s="5" t="s">
        <v>238</v>
      </c>
      <c r="DD1008" s="5" t="s">
        <v>673</v>
      </c>
      <c r="DE1008" s="8">
        <f>125</f>
        <v>125</v>
      </c>
      <c r="DG1008" s="5" t="s">
        <v>238</v>
      </c>
      <c r="DH1008" s="5" t="s">
        <v>238</v>
      </c>
      <c r="DI1008" s="5" t="s">
        <v>238</v>
      </c>
      <c r="DJ1008" s="5" t="s">
        <v>238</v>
      </c>
      <c r="DN1008" s="5" t="s">
        <v>238</v>
      </c>
      <c r="DO1008" s="5" t="s">
        <v>238</v>
      </c>
      <c r="DP1008" s="5" t="s">
        <v>238</v>
      </c>
      <c r="DQ1008" s="5" t="s">
        <v>238</v>
      </c>
      <c r="DT1008" s="5" t="s">
        <v>2039</v>
      </c>
      <c r="DU1008" s="5" t="s">
        <v>774</v>
      </c>
      <c r="HM1008" s="5" t="s">
        <v>264</v>
      </c>
    </row>
    <row r="1009" spans="1:221" x14ac:dyDescent="0.4">
      <c r="A1009" s="5">
        <v>2684</v>
      </c>
      <c r="B1009" s="5">
        <v>1</v>
      </c>
      <c r="C1009" s="5">
        <v>1</v>
      </c>
      <c r="D1009" s="5" t="s">
        <v>2037</v>
      </c>
      <c r="E1009" s="5" t="s">
        <v>271</v>
      </c>
      <c r="F1009" s="5" t="s">
        <v>248</v>
      </c>
      <c r="G1009" s="5" t="s">
        <v>1969</v>
      </c>
      <c r="H1009" s="6" t="s">
        <v>3230</v>
      </c>
      <c r="I1009" s="7">
        <f>675</f>
        <v>675</v>
      </c>
      <c r="J1009" s="5" t="s">
        <v>262</v>
      </c>
      <c r="K1009" s="8">
        <f>1</f>
        <v>1</v>
      </c>
      <c r="L1009" s="6" t="s">
        <v>242</v>
      </c>
      <c r="M1009" s="5" t="s">
        <v>267</v>
      </c>
      <c r="N1009" s="5" t="s">
        <v>265</v>
      </c>
      <c r="O1009" s="5" t="s">
        <v>238</v>
      </c>
      <c r="P1009" s="5" t="s">
        <v>238</v>
      </c>
      <c r="Q1009" s="5" t="s">
        <v>268</v>
      </c>
      <c r="R1009" s="5" t="s">
        <v>270</v>
      </c>
      <c r="S1009" s="5" t="s">
        <v>238</v>
      </c>
      <c r="V1009" s="5" t="s">
        <v>238</v>
      </c>
      <c r="X1009" s="6" t="s">
        <v>238</v>
      </c>
      <c r="AA1009" s="6" t="s">
        <v>243</v>
      </c>
      <c r="AB1009" s="5" t="s">
        <v>238</v>
      </c>
      <c r="AC1009" s="5" t="s">
        <v>244</v>
      </c>
      <c r="AD1009" s="5" t="s">
        <v>245</v>
      </c>
      <c r="AT1009" s="5" t="s">
        <v>246</v>
      </c>
      <c r="AU1009" s="5" t="s">
        <v>238</v>
      </c>
      <c r="AV1009" s="5" t="s">
        <v>247</v>
      </c>
      <c r="AW1009" s="5" t="s">
        <v>238</v>
      </c>
      <c r="AX1009" s="5" t="s">
        <v>249</v>
      </c>
      <c r="AY1009" s="5" t="s">
        <v>238</v>
      </c>
      <c r="BA1009" s="5" t="s">
        <v>238</v>
      </c>
      <c r="BC1009" s="5" t="s">
        <v>250</v>
      </c>
      <c r="BD1009" s="6" t="s">
        <v>243</v>
      </c>
      <c r="BE1009" s="5" t="s">
        <v>251</v>
      </c>
      <c r="BF1009" s="5" t="s">
        <v>252</v>
      </c>
      <c r="BG1009" s="5" t="s">
        <v>238</v>
      </c>
      <c r="BH1009" s="7">
        <f>0</f>
        <v>0</v>
      </c>
      <c r="BI1009" s="8">
        <f>0</f>
        <v>0</v>
      </c>
      <c r="BJ1009" s="5" t="s">
        <v>253</v>
      </c>
      <c r="BK1009" s="5" t="s">
        <v>254</v>
      </c>
      <c r="BY1009" s="5" t="s">
        <v>238</v>
      </c>
      <c r="BZ1009" s="5" t="s">
        <v>238</v>
      </c>
      <c r="CD1009" s="5" t="s">
        <v>273</v>
      </c>
      <c r="CE1009" s="5" t="s">
        <v>256</v>
      </c>
      <c r="CF1009" s="5" t="s">
        <v>238</v>
      </c>
      <c r="CI1009" s="6" t="s">
        <v>257</v>
      </c>
      <c r="CJ1009" s="5" t="s">
        <v>238</v>
      </c>
      <c r="CK1009" s="5" t="s">
        <v>258</v>
      </c>
      <c r="CL1009" s="5" t="s">
        <v>238</v>
      </c>
      <c r="CM1009" s="5" t="s">
        <v>238</v>
      </c>
      <c r="CN1009" s="5">
        <v>0</v>
      </c>
      <c r="CO1009" s="5" t="s">
        <v>259</v>
      </c>
      <c r="CP1009" s="5" t="s">
        <v>260</v>
      </c>
      <c r="CQ1009" s="5" t="s">
        <v>260</v>
      </c>
      <c r="CR1009" s="5" t="s">
        <v>261</v>
      </c>
      <c r="CU1009" s="8">
        <f>1</f>
        <v>1</v>
      </c>
      <c r="CV1009" s="8">
        <f>0</f>
        <v>0</v>
      </c>
      <c r="CX1009" s="8">
        <f>0</f>
        <v>0</v>
      </c>
      <c r="CY1009" s="8">
        <f>1</f>
        <v>1</v>
      </c>
      <c r="DA1009" s="5" t="s">
        <v>673</v>
      </c>
      <c r="DB1009" s="5" t="s">
        <v>238</v>
      </c>
      <c r="DD1009" s="5" t="s">
        <v>673</v>
      </c>
      <c r="DE1009" s="8">
        <f>675</f>
        <v>675</v>
      </c>
      <c r="DG1009" s="5" t="s">
        <v>238</v>
      </c>
      <c r="DH1009" s="5" t="s">
        <v>238</v>
      </c>
      <c r="DI1009" s="5" t="s">
        <v>238</v>
      </c>
      <c r="DJ1009" s="5" t="s">
        <v>238</v>
      </c>
      <c r="DN1009" s="5" t="s">
        <v>238</v>
      </c>
      <c r="DO1009" s="5" t="s">
        <v>238</v>
      </c>
      <c r="DP1009" s="5" t="s">
        <v>238</v>
      </c>
      <c r="DQ1009" s="5" t="s">
        <v>238</v>
      </c>
      <c r="DT1009" s="5" t="s">
        <v>2039</v>
      </c>
      <c r="DU1009" s="5" t="s">
        <v>698</v>
      </c>
      <c r="HM1009" s="5" t="s">
        <v>264</v>
      </c>
    </row>
    <row r="1010" spans="1:221" x14ac:dyDescent="0.4">
      <c r="A1010" s="5">
        <v>2685</v>
      </c>
      <c r="B1010" s="5">
        <v>1</v>
      </c>
      <c r="C1010" s="5">
        <v>1</v>
      </c>
      <c r="D1010" s="5" t="s">
        <v>2037</v>
      </c>
      <c r="E1010" s="5" t="s">
        <v>271</v>
      </c>
      <c r="F1010" s="5" t="s">
        <v>248</v>
      </c>
      <c r="G1010" s="5" t="s">
        <v>1969</v>
      </c>
      <c r="H1010" s="6" t="s">
        <v>3229</v>
      </c>
      <c r="I1010" s="7">
        <f>3590</f>
        <v>3590</v>
      </c>
      <c r="J1010" s="5" t="s">
        <v>262</v>
      </c>
      <c r="K1010" s="8">
        <f>1</f>
        <v>1</v>
      </c>
      <c r="L1010" s="6" t="s">
        <v>242</v>
      </c>
      <c r="M1010" s="5" t="s">
        <v>267</v>
      </c>
      <c r="N1010" s="5" t="s">
        <v>265</v>
      </c>
      <c r="O1010" s="5" t="s">
        <v>238</v>
      </c>
      <c r="P1010" s="5" t="s">
        <v>238</v>
      </c>
      <c r="Q1010" s="5" t="s">
        <v>268</v>
      </c>
      <c r="R1010" s="5" t="s">
        <v>270</v>
      </c>
      <c r="S1010" s="5" t="s">
        <v>238</v>
      </c>
      <c r="V1010" s="5" t="s">
        <v>238</v>
      </c>
      <c r="X1010" s="6" t="s">
        <v>238</v>
      </c>
      <c r="AA1010" s="6" t="s">
        <v>243</v>
      </c>
      <c r="AB1010" s="5" t="s">
        <v>238</v>
      </c>
      <c r="AC1010" s="5" t="s">
        <v>244</v>
      </c>
      <c r="AD1010" s="5" t="s">
        <v>245</v>
      </c>
      <c r="AT1010" s="5" t="s">
        <v>246</v>
      </c>
      <c r="AU1010" s="5" t="s">
        <v>238</v>
      </c>
      <c r="AV1010" s="5" t="s">
        <v>247</v>
      </c>
      <c r="AW1010" s="5" t="s">
        <v>238</v>
      </c>
      <c r="AX1010" s="5" t="s">
        <v>249</v>
      </c>
      <c r="AY1010" s="5" t="s">
        <v>238</v>
      </c>
      <c r="BA1010" s="5" t="s">
        <v>238</v>
      </c>
      <c r="BC1010" s="5" t="s">
        <v>250</v>
      </c>
      <c r="BD1010" s="6" t="s">
        <v>243</v>
      </c>
      <c r="BE1010" s="5" t="s">
        <v>251</v>
      </c>
      <c r="BF1010" s="5" t="s">
        <v>252</v>
      </c>
      <c r="BG1010" s="5" t="s">
        <v>238</v>
      </c>
      <c r="BH1010" s="7">
        <f>0</f>
        <v>0</v>
      </c>
      <c r="BI1010" s="8">
        <f>0</f>
        <v>0</v>
      </c>
      <c r="BJ1010" s="5" t="s">
        <v>253</v>
      </c>
      <c r="BK1010" s="5" t="s">
        <v>254</v>
      </c>
      <c r="BY1010" s="5" t="s">
        <v>238</v>
      </c>
      <c r="BZ1010" s="5" t="s">
        <v>238</v>
      </c>
      <c r="CD1010" s="5" t="s">
        <v>273</v>
      </c>
      <c r="CE1010" s="5" t="s">
        <v>256</v>
      </c>
      <c r="CF1010" s="5" t="s">
        <v>238</v>
      </c>
      <c r="CI1010" s="6" t="s">
        <v>257</v>
      </c>
      <c r="CJ1010" s="5" t="s">
        <v>238</v>
      </c>
      <c r="CK1010" s="5" t="s">
        <v>258</v>
      </c>
      <c r="CL1010" s="5" t="s">
        <v>238</v>
      </c>
      <c r="CM1010" s="5" t="s">
        <v>238</v>
      </c>
      <c r="CN1010" s="5">
        <v>0</v>
      </c>
      <c r="CO1010" s="5" t="s">
        <v>259</v>
      </c>
      <c r="CP1010" s="5" t="s">
        <v>260</v>
      </c>
      <c r="CQ1010" s="5" t="s">
        <v>260</v>
      </c>
      <c r="CR1010" s="5" t="s">
        <v>261</v>
      </c>
      <c r="CU1010" s="8">
        <f>1</f>
        <v>1</v>
      </c>
      <c r="CV1010" s="8">
        <f>0</f>
        <v>0</v>
      </c>
      <c r="CX1010" s="8">
        <f>0</f>
        <v>0</v>
      </c>
      <c r="CY1010" s="8">
        <f>1</f>
        <v>1</v>
      </c>
      <c r="DA1010" s="5" t="s">
        <v>673</v>
      </c>
      <c r="DB1010" s="5" t="s">
        <v>238</v>
      </c>
      <c r="DD1010" s="5" t="s">
        <v>673</v>
      </c>
      <c r="DE1010" s="8">
        <f>3590</f>
        <v>3590</v>
      </c>
      <c r="DG1010" s="5" t="s">
        <v>238</v>
      </c>
      <c r="DH1010" s="5" t="s">
        <v>238</v>
      </c>
      <c r="DI1010" s="5" t="s">
        <v>238</v>
      </c>
      <c r="DJ1010" s="5" t="s">
        <v>238</v>
      </c>
      <c r="DN1010" s="5" t="s">
        <v>238</v>
      </c>
      <c r="DO1010" s="5" t="s">
        <v>238</v>
      </c>
      <c r="DP1010" s="5" t="s">
        <v>238</v>
      </c>
      <c r="DQ1010" s="5" t="s">
        <v>238</v>
      </c>
      <c r="DT1010" s="5" t="s">
        <v>2039</v>
      </c>
      <c r="DU1010" s="5" t="s">
        <v>778</v>
      </c>
      <c r="HM1010" s="5" t="s">
        <v>264</v>
      </c>
    </row>
    <row r="1011" spans="1:221" x14ac:dyDescent="0.4">
      <c r="A1011" s="5">
        <v>2686</v>
      </c>
      <c r="B1011" s="5">
        <v>1</v>
      </c>
      <c r="C1011" s="5">
        <v>1</v>
      </c>
      <c r="D1011" s="5" t="s">
        <v>2037</v>
      </c>
      <c r="E1011" s="5" t="s">
        <v>271</v>
      </c>
      <c r="F1011" s="5" t="s">
        <v>248</v>
      </c>
      <c r="G1011" s="5" t="s">
        <v>1969</v>
      </c>
      <c r="H1011" s="6" t="s">
        <v>3228</v>
      </c>
      <c r="I1011" s="7">
        <f>173</f>
        <v>173</v>
      </c>
      <c r="J1011" s="5" t="s">
        <v>262</v>
      </c>
      <c r="K1011" s="8">
        <f>1</f>
        <v>1</v>
      </c>
      <c r="L1011" s="6" t="s">
        <v>242</v>
      </c>
      <c r="M1011" s="5" t="s">
        <v>267</v>
      </c>
      <c r="N1011" s="5" t="s">
        <v>265</v>
      </c>
      <c r="O1011" s="5" t="s">
        <v>238</v>
      </c>
      <c r="P1011" s="5" t="s">
        <v>238</v>
      </c>
      <c r="Q1011" s="5" t="s">
        <v>268</v>
      </c>
      <c r="R1011" s="5" t="s">
        <v>270</v>
      </c>
      <c r="S1011" s="5" t="s">
        <v>238</v>
      </c>
      <c r="V1011" s="5" t="s">
        <v>238</v>
      </c>
      <c r="X1011" s="6" t="s">
        <v>238</v>
      </c>
      <c r="AA1011" s="6" t="s">
        <v>243</v>
      </c>
      <c r="AB1011" s="5" t="s">
        <v>238</v>
      </c>
      <c r="AC1011" s="5" t="s">
        <v>244</v>
      </c>
      <c r="AD1011" s="5" t="s">
        <v>245</v>
      </c>
      <c r="AT1011" s="5" t="s">
        <v>246</v>
      </c>
      <c r="AU1011" s="5" t="s">
        <v>238</v>
      </c>
      <c r="AV1011" s="5" t="s">
        <v>247</v>
      </c>
      <c r="AW1011" s="5" t="s">
        <v>238</v>
      </c>
      <c r="AX1011" s="5" t="s">
        <v>249</v>
      </c>
      <c r="AY1011" s="5" t="s">
        <v>238</v>
      </c>
      <c r="BA1011" s="5" t="s">
        <v>238</v>
      </c>
      <c r="BC1011" s="5" t="s">
        <v>250</v>
      </c>
      <c r="BD1011" s="6" t="s">
        <v>243</v>
      </c>
      <c r="BE1011" s="5" t="s">
        <v>251</v>
      </c>
      <c r="BF1011" s="5" t="s">
        <v>252</v>
      </c>
      <c r="BG1011" s="5" t="s">
        <v>238</v>
      </c>
      <c r="BH1011" s="7">
        <f>0</f>
        <v>0</v>
      </c>
      <c r="BI1011" s="8">
        <f>0</f>
        <v>0</v>
      </c>
      <c r="BJ1011" s="5" t="s">
        <v>253</v>
      </c>
      <c r="BK1011" s="5" t="s">
        <v>254</v>
      </c>
      <c r="BY1011" s="5" t="s">
        <v>238</v>
      </c>
      <c r="BZ1011" s="5" t="s">
        <v>238</v>
      </c>
      <c r="CD1011" s="5" t="s">
        <v>273</v>
      </c>
      <c r="CE1011" s="5" t="s">
        <v>256</v>
      </c>
      <c r="CF1011" s="5" t="s">
        <v>238</v>
      </c>
      <c r="CI1011" s="6" t="s">
        <v>257</v>
      </c>
      <c r="CJ1011" s="5" t="s">
        <v>238</v>
      </c>
      <c r="CK1011" s="5" t="s">
        <v>258</v>
      </c>
      <c r="CL1011" s="5" t="s">
        <v>238</v>
      </c>
      <c r="CM1011" s="5" t="s">
        <v>238</v>
      </c>
      <c r="CN1011" s="5">
        <v>0</v>
      </c>
      <c r="CO1011" s="5" t="s">
        <v>259</v>
      </c>
      <c r="CP1011" s="5" t="s">
        <v>260</v>
      </c>
      <c r="CQ1011" s="5" t="s">
        <v>260</v>
      </c>
      <c r="CR1011" s="5" t="s">
        <v>261</v>
      </c>
      <c r="CU1011" s="8">
        <f>1</f>
        <v>1</v>
      </c>
      <c r="CV1011" s="8">
        <f>0</f>
        <v>0</v>
      </c>
      <c r="CX1011" s="8">
        <f>0</f>
        <v>0</v>
      </c>
      <c r="CY1011" s="8">
        <f>1</f>
        <v>1</v>
      </c>
      <c r="DA1011" s="5" t="s">
        <v>673</v>
      </c>
      <c r="DB1011" s="5" t="s">
        <v>238</v>
      </c>
      <c r="DD1011" s="5" t="s">
        <v>673</v>
      </c>
      <c r="DE1011" s="8">
        <f>173</f>
        <v>173</v>
      </c>
      <c r="DG1011" s="5" t="s">
        <v>238</v>
      </c>
      <c r="DH1011" s="5" t="s">
        <v>238</v>
      </c>
      <c r="DI1011" s="5" t="s">
        <v>238</v>
      </c>
      <c r="DJ1011" s="5" t="s">
        <v>238</v>
      </c>
      <c r="DN1011" s="5" t="s">
        <v>238</v>
      </c>
      <c r="DO1011" s="5" t="s">
        <v>238</v>
      </c>
      <c r="DP1011" s="5" t="s">
        <v>238</v>
      </c>
      <c r="DQ1011" s="5" t="s">
        <v>238</v>
      </c>
      <c r="DT1011" s="5" t="s">
        <v>2039</v>
      </c>
      <c r="DU1011" s="5" t="s">
        <v>780</v>
      </c>
      <c r="HM1011" s="5" t="s">
        <v>264</v>
      </c>
    </row>
    <row r="1012" spans="1:221" x14ac:dyDescent="0.4">
      <c r="A1012" s="5">
        <v>2687</v>
      </c>
      <c r="B1012" s="5">
        <v>1</v>
      </c>
      <c r="C1012" s="5">
        <v>1</v>
      </c>
      <c r="D1012" s="5" t="s">
        <v>2037</v>
      </c>
      <c r="E1012" s="5" t="s">
        <v>271</v>
      </c>
      <c r="F1012" s="5" t="s">
        <v>248</v>
      </c>
      <c r="G1012" s="5" t="s">
        <v>1969</v>
      </c>
      <c r="H1012" s="6" t="s">
        <v>3227</v>
      </c>
      <c r="I1012" s="7">
        <f>4.82</f>
        <v>4.82</v>
      </c>
      <c r="J1012" s="5" t="s">
        <v>262</v>
      </c>
      <c r="K1012" s="8">
        <f>1</f>
        <v>1</v>
      </c>
      <c r="L1012" s="6" t="s">
        <v>242</v>
      </c>
      <c r="M1012" s="5" t="s">
        <v>267</v>
      </c>
      <c r="N1012" s="5" t="s">
        <v>265</v>
      </c>
      <c r="O1012" s="5" t="s">
        <v>238</v>
      </c>
      <c r="P1012" s="5" t="s">
        <v>238</v>
      </c>
      <c r="Q1012" s="5" t="s">
        <v>268</v>
      </c>
      <c r="R1012" s="5" t="s">
        <v>270</v>
      </c>
      <c r="S1012" s="5" t="s">
        <v>238</v>
      </c>
      <c r="V1012" s="5" t="s">
        <v>238</v>
      </c>
      <c r="X1012" s="6" t="s">
        <v>238</v>
      </c>
      <c r="AA1012" s="6" t="s">
        <v>243</v>
      </c>
      <c r="AB1012" s="5" t="s">
        <v>238</v>
      </c>
      <c r="AC1012" s="5" t="s">
        <v>244</v>
      </c>
      <c r="AD1012" s="5" t="s">
        <v>245</v>
      </c>
      <c r="AT1012" s="5" t="s">
        <v>246</v>
      </c>
      <c r="AU1012" s="5" t="s">
        <v>238</v>
      </c>
      <c r="AV1012" s="5" t="s">
        <v>247</v>
      </c>
      <c r="AW1012" s="5" t="s">
        <v>238</v>
      </c>
      <c r="AX1012" s="5" t="s">
        <v>249</v>
      </c>
      <c r="AY1012" s="5" t="s">
        <v>238</v>
      </c>
      <c r="BA1012" s="5" t="s">
        <v>238</v>
      </c>
      <c r="BC1012" s="5" t="s">
        <v>250</v>
      </c>
      <c r="BD1012" s="6" t="s">
        <v>243</v>
      </c>
      <c r="BE1012" s="5" t="s">
        <v>251</v>
      </c>
      <c r="BF1012" s="5" t="s">
        <v>252</v>
      </c>
      <c r="BG1012" s="5" t="s">
        <v>238</v>
      </c>
      <c r="BH1012" s="7">
        <f>0</f>
        <v>0</v>
      </c>
      <c r="BI1012" s="8">
        <f>0</f>
        <v>0</v>
      </c>
      <c r="BJ1012" s="5" t="s">
        <v>253</v>
      </c>
      <c r="BK1012" s="5" t="s">
        <v>254</v>
      </c>
      <c r="BY1012" s="5" t="s">
        <v>238</v>
      </c>
      <c r="BZ1012" s="5" t="s">
        <v>238</v>
      </c>
      <c r="CD1012" s="5" t="s">
        <v>273</v>
      </c>
      <c r="CE1012" s="5" t="s">
        <v>256</v>
      </c>
      <c r="CF1012" s="5" t="s">
        <v>238</v>
      </c>
      <c r="CI1012" s="6" t="s">
        <v>257</v>
      </c>
      <c r="CJ1012" s="5" t="s">
        <v>238</v>
      </c>
      <c r="CK1012" s="5" t="s">
        <v>258</v>
      </c>
      <c r="CL1012" s="5" t="s">
        <v>238</v>
      </c>
      <c r="CM1012" s="5" t="s">
        <v>238</v>
      </c>
      <c r="CN1012" s="5">
        <v>0</v>
      </c>
      <c r="CO1012" s="5" t="s">
        <v>259</v>
      </c>
      <c r="CP1012" s="5" t="s">
        <v>260</v>
      </c>
      <c r="CQ1012" s="5" t="s">
        <v>260</v>
      </c>
      <c r="CR1012" s="5" t="s">
        <v>261</v>
      </c>
      <c r="CU1012" s="8">
        <f>1</f>
        <v>1</v>
      </c>
      <c r="CV1012" s="8">
        <f>0</f>
        <v>0</v>
      </c>
      <c r="CX1012" s="8">
        <f>0</f>
        <v>0</v>
      </c>
      <c r="CY1012" s="8">
        <f>1</f>
        <v>1</v>
      </c>
      <c r="DA1012" s="5" t="s">
        <v>673</v>
      </c>
      <c r="DB1012" s="5" t="s">
        <v>238</v>
      </c>
      <c r="DD1012" s="5" t="s">
        <v>673</v>
      </c>
      <c r="DE1012" s="8">
        <f>4.82</f>
        <v>4.82</v>
      </c>
      <c r="DG1012" s="5" t="s">
        <v>238</v>
      </c>
      <c r="DH1012" s="5" t="s">
        <v>238</v>
      </c>
      <c r="DI1012" s="5" t="s">
        <v>238</v>
      </c>
      <c r="DJ1012" s="5" t="s">
        <v>238</v>
      </c>
      <c r="DN1012" s="5" t="s">
        <v>238</v>
      </c>
      <c r="DO1012" s="5" t="s">
        <v>238</v>
      </c>
      <c r="DP1012" s="5" t="s">
        <v>238</v>
      </c>
      <c r="DQ1012" s="5" t="s">
        <v>238</v>
      </c>
      <c r="DT1012" s="5" t="s">
        <v>2039</v>
      </c>
      <c r="DU1012" s="5" t="s">
        <v>784</v>
      </c>
      <c r="HM1012" s="5" t="s">
        <v>264</v>
      </c>
    </row>
    <row r="1013" spans="1:221" x14ac:dyDescent="0.4">
      <c r="A1013" s="5">
        <v>2688</v>
      </c>
      <c r="B1013" s="5">
        <v>1</v>
      </c>
      <c r="C1013" s="5">
        <v>1</v>
      </c>
      <c r="D1013" s="5" t="s">
        <v>2037</v>
      </c>
      <c r="E1013" s="5" t="s">
        <v>271</v>
      </c>
      <c r="F1013" s="5" t="s">
        <v>248</v>
      </c>
      <c r="G1013" s="5" t="s">
        <v>1969</v>
      </c>
      <c r="H1013" s="6" t="s">
        <v>3225</v>
      </c>
      <c r="I1013" s="7">
        <f>7472</f>
        <v>7472</v>
      </c>
      <c r="J1013" s="5" t="s">
        <v>262</v>
      </c>
      <c r="K1013" s="8">
        <f>1</f>
        <v>1</v>
      </c>
      <c r="L1013" s="6" t="s">
        <v>242</v>
      </c>
      <c r="M1013" s="5" t="s">
        <v>267</v>
      </c>
      <c r="N1013" s="5" t="s">
        <v>265</v>
      </c>
      <c r="O1013" s="5" t="s">
        <v>238</v>
      </c>
      <c r="P1013" s="5" t="s">
        <v>238</v>
      </c>
      <c r="Q1013" s="5" t="s">
        <v>268</v>
      </c>
      <c r="R1013" s="5" t="s">
        <v>270</v>
      </c>
      <c r="S1013" s="5" t="s">
        <v>238</v>
      </c>
      <c r="V1013" s="5" t="s">
        <v>238</v>
      </c>
      <c r="X1013" s="6" t="s">
        <v>238</v>
      </c>
      <c r="AA1013" s="6" t="s">
        <v>243</v>
      </c>
      <c r="AB1013" s="5" t="s">
        <v>238</v>
      </c>
      <c r="AC1013" s="5" t="s">
        <v>244</v>
      </c>
      <c r="AD1013" s="5" t="s">
        <v>245</v>
      </c>
      <c r="AT1013" s="5" t="s">
        <v>246</v>
      </c>
      <c r="AU1013" s="5" t="s">
        <v>238</v>
      </c>
      <c r="AV1013" s="5" t="s">
        <v>247</v>
      </c>
      <c r="AW1013" s="5" t="s">
        <v>238</v>
      </c>
      <c r="AX1013" s="5" t="s">
        <v>249</v>
      </c>
      <c r="AY1013" s="5" t="s">
        <v>238</v>
      </c>
      <c r="BA1013" s="5" t="s">
        <v>238</v>
      </c>
      <c r="BC1013" s="5" t="s">
        <v>250</v>
      </c>
      <c r="BD1013" s="6" t="s">
        <v>243</v>
      </c>
      <c r="BE1013" s="5" t="s">
        <v>251</v>
      </c>
      <c r="BF1013" s="5" t="s">
        <v>252</v>
      </c>
      <c r="BG1013" s="5" t="s">
        <v>238</v>
      </c>
      <c r="BH1013" s="7">
        <f>0</f>
        <v>0</v>
      </c>
      <c r="BI1013" s="8">
        <f>0</f>
        <v>0</v>
      </c>
      <c r="BJ1013" s="5" t="s">
        <v>253</v>
      </c>
      <c r="BK1013" s="5" t="s">
        <v>254</v>
      </c>
      <c r="BY1013" s="5" t="s">
        <v>238</v>
      </c>
      <c r="BZ1013" s="5" t="s">
        <v>238</v>
      </c>
      <c r="CD1013" s="5" t="s">
        <v>273</v>
      </c>
      <c r="CE1013" s="5" t="s">
        <v>256</v>
      </c>
      <c r="CF1013" s="5" t="s">
        <v>238</v>
      </c>
      <c r="CI1013" s="6" t="s">
        <v>257</v>
      </c>
      <c r="CJ1013" s="5" t="s">
        <v>238</v>
      </c>
      <c r="CK1013" s="5" t="s">
        <v>258</v>
      </c>
      <c r="CL1013" s="5" t="s">
        <v>238</v>
      </c>
      <c r="CM1013" s="5" t="s">
        <v>238</v>
      </c>
      <c r="CN1013" s="5">
        <v>0</v>
      </c>
      <c r="CO1013" s="5" t="s">
        <v>259</v>
      </c>
      <c r="CP1013" s="5" t="s">
        <v>260</v>
      </c>
      <c r="CQ1013" s="5" t="s">
        <v>260</v>
      </c>
      <c r="CR1013" s="5" t="s">
        <v>261</v>
      </c>
      <c r="CU1013" s="8">
        <f>1</f>
        <v>1</v>
      </c>
      <c r="CV1013" s="8">
        <f>0</f>
        <v>0</v>
      </c>
      <c r="CX1013" s="8">
        <f>0</f>
        <v>0</v>
      </c>
      <c r="CY1013" s="8">
        <f>1</f>
        <v>1</v>
      </c>
      <c r="DA1013" s="5" t="s">
        <v>673</v>
      </c>
      <c r="DB1013" s="5" t="s">
        <v>238</v>
      </c>
      <c r="DD1013" s="5" t="s">
        <v>673</v>
      </c>
      <c r="DE1013" s="8">
        <f>7472</f>
        <v>7472</v>
      </c>
      <c r="DG1013" s="5" t="s">
        <v>238</v>
      </c>
      <c r="DH1013" s="5" t="s">
        <v>238</v>
      </c>
      <c r="DI1013" s="5" t="s">
        <v>238</v>
      </c>
      <c r="DJ1013" s="5" t="s">
        <v>238</v>
      </c>
      <c r="DN1013" s="5" t="s">
        <v>238</v>
      </c>
      <c r="DO1013" s="5" t="s">
        <v>238</v>
      </c>
      <c r="DP1013" s="5" t="s">
        <v>238</v>
      </c>
      <c r="DQ1013" s="5" t="s">
        <v>238</v>
      </c>
      <c r="DT1013" s="5" t="s">
        <v>2039</v>
      </c>
      <c r="DU1013" s="5" t="s">
        <v>786</v>
      </c>
      <c r="HM1013" s="5" t="s">
        <v>264</v>
      </c>
    </row>
    <row r="1014" spans="1:221" x14ac:dyDescent="0.4">
      <c r="A1014" s="5">
        <v>2689</v>
      </c>
      <c r="B1014" s="5">
        <v>1</v>
      </c>
      <c r="C1014" s="5">
        <v>1</v>
      </c>
      <c r="D1014" s="5" t="s">
        <v>2037</v>
      </c>
      <c r="E1014" s="5" t="s">
        <v>271</v>
      </c>
      <c r="F1014" s="5" t="s">
        <v>248</v>
      </c>
      <c r="G1014" s="5" t="s">
        <v>1969</v>
      </c>
      <c r="H1014" s="6" t="s">
        <v>3224</v>
      </c>
      <c r="I1014" s="7">
        <f>2079</f>
        <v>2079</v>
      </c>
      <c r="J1014" s="5" t="s">
        <v>262</v>
      </c>
      <c r="K1014" s="8">
        <f>1</f>
        <v>1</v>
      </c>
      <c r="L1014" s="6" t="s">
        <v>242</v>
      </c>
      <c r="M1014" s="5" t="s">
        <v>267</v>
      </c>
      <c r="N1014" s="5" t="s">
        <v>265</v>
      </c>
      <c r="O1014" s="5" t="s">
        <v>238</v>
      </c>
      <c r="P1014" s="5" t="s">
        <v>238</v>
      </c>
      <c r="Q1014" s="5" t="s">
        <v>268</v>
      </c>
      <c r="R1014" s="5" t="s">
        <v>270</v>
      </c>
      <c r="S1014" s="5" t="s">
        <v>238</v>
      </c>
      <c r="V1014" s="5" t="s">
        <v>238</v>
      </c>
      <c r="X1014" s="6" t="s">
        <v>238</v>
      </c>
      <c r="AA1014" s="6" t="s">
        <v>243</v>
      </c>
      <c r="AB1014" s="5" t="s">
        <v>238</v>
      </c>
      <c r="AC1014" s="5" t="s">
        <v>244</v>
      </c>
      <c r="AD1014" s="5" t="s">
        <v>245</v>
      </c>
      <c r="AT1014" s="5" t="s">
        <v>246</v>
      </c>
      <c r="AU1014" s="5" t="s">
        <v>238</v>
      </c>
      <c r="AV1014" s="5" t="s">
        <v>247</v>
      </c>
      <c r="AW1014" s="5" t="s">
        <v>238</v>
      </c>
      <c r="AX1014" s="5" t="s">
        <v>249</v>
      </c>
      <c r="AY1014" s="5" t="s">
        <v>238</v>
      </c>
      <c r="BA1014" s="5" t="s">
        <v>238</v>
      </c>
      <c r="BC1014" s="5" t="s">
        <v>250</v>
      </c>
      <c r="BD1014" s="6" t="s">
        <v>243</v>
      </c>
      <c r="BE1014" s="5" t="s">
        <v>251</v>
      </c>
      <c r="BF1014" s="5" t="s">
        <v>252</v>
      </c>
      <c r="BG1014" s="5" t="s">
        <v>238</v>
      </c>
      <c r="BH1014" s="7">
        <f>0</f>
        <v>0</v>
      </c>
      <c r="BI1014" s="8">
        <f>0</f>
        <v>0</v>
      </c>
      <c r="BJ1014" s="5" t="s">
        <v>253</v>
      </c>
      <c r="BK1014" s="5" t="s">
        <v>254</v>
      </c>
      <c r="BY1014" s="5" t="s">
        <v>238</v>
      </c>
      <c r="BZ1014" s="5" t="s">
        <v>238</v>
      </c>
      <c r="CD1014" s="5" t="s">
        <v>273</v>
      </c>
      <c r="CE1014" s="5" t="s">
        <v>256</v>
      </c>
      <c r="CF1014" s="5" t="s">
        <v>238</v>
      </c>
      <c r="CI1014" s="6" t="s">
        <v>257</v>
      </c>
      <c r="CJ1014" s="5" t="s">
        <v>238</v>
      </c>
      <c r="CK1014" s="5" t="s">
        <v>258</v>
      </c>
      <c r="CL1014" s="5" t="s">
        <v>238</v>
      </c>
      <c r="CM1014" s="5" t="s">
        <v>238</v>
      </c>
      <c r="CN1014" s="5">
        <v>0</v>
      </c>
      <c r="CO1014" s="5" t="s">
        <v>259</v>
      </c>
      <c r="CP1014" s="5" t="s">
        <v>260</v>
      </c>
      <c r="CQ1014" s="5" t="s">
        <v>260</v>
      </c>
      <c r="CR1014" s="5" t="s">
        <v>261</v>
      </c>
      <c r="CU1014" s="8">
        <f>1</f>
        <v>1</v>
      </c>
      <c r="CV1014" s="8">
        <f>0</f>
        <v>0</v>
      </c>
      <c r="CX1014" s="8">
        <f>0</f>
        <v>0</v>
      </c>
      <c r="CY1014" s="8">
        <f>1</f>
        <v>1</v>
      </c>
      <c r="DA1014" s="5" t="s">
        <v>673</v>
      </c>
      <c r="DB1014" s="5" t="s">
        <v>238</v>
      </c>
      <c r="DD1014" s="5" t="s">
        <v>673</v>
      </c>
      <c r="DE1014" s="8">
        <f>2079</f>
        <v>2079</v>
      </c>
      <c r="DG1014" s="5" t="s">
        <v>238</v>
      </c>
      <c r="DH1014" s="5" t="s">
        <v>238</v>
      </c>
      <c r="DI1014" s="5" t="s">
        <v>238</v>
      </c>
      <c r="DJ1014" s="5" t="s">
        <v>238</v>
      </c>
      <c r="DN1014" s="5" t="s">
        <v>238</v>
      </c>
      <c r="DO1014" s="5" t="s">
        <v>238</v>
      </c>
      <c r="DP1014" s="5" t="s">
        <v>238</v>
      </c>
      <c r="DQ1014" s="5" t="s">
        <v>238</v>
      </c>
      <c r="DT1014" s="5" t="s">
        <v>2039</v>
      </c>
      <c r="DU1014" s="5" t="s">
        <v>790</v>
      </c>
      <c r="HM1014" s="5" t="s">
        <v>264</v>
      </c>
    </row>
    <row r="1015" spans="1:221" x14ac:dyDescent="0.4">
      <c r="A1015" s="5">
        <v>2690</v>
      </c>
      <c r="B1015" s="5">
        <v>1</v>
      </c>
      <c r="C1015" s="5">
        <v>1</v>
      </c>
      <c r="D1015" s="5" t="s">
        <v>2037</v>
      </c>
      <c r="E1015" s="5" t="s">
        <v>271</v>
      </c>
      <c r="F1015" s="5" t="s">
        <v>248</v>
      </c>
      <c r="G1015" s="5" t="s">
        <v>1969</v>
      </c>
      <c r="H1015" s="6" t="s">
        <v>3223</v>
      </c>
      <c r="I1015" s="7">
        <f>671</f>
        <v>671</v>
      </c>
      <c r="J1015" s="5" t="s">
        <v>262</v>
      </c>
      <c r="K1015" s="8">
        <f>1</f>
        <v>1</v>
      </c>
      <c r="L1015" s="6" t="s">
        <v>242</v>
      </c>
      <c r="M1015" s="5" t="s">
        <v>267</v>
      </c>
      <c r="N1015" s="5" t="s">
        <v>265</v>
      </c>
      <c r="O1015" s="5" t="s">
        <v>238</v>
      </c>
      <c r="P1015" s="5" t="s">
        <v>238</v>
      </c>
      <c r="Q1015" s="5" t="s">
        <v>268</v>
      </c>
      <c r="R1015" s="5" t="s">
        <v>270</v>
      </c>
      <c r="S1015" s="5" t="s">
        <v>238</v>
      </c>
      <c r="V1015" s="5" t="s">
        <v>238</v>
      </c>
      <c r="X1015" s="6" t="s">
        <v>238</v>
      </c>
      <c r="AA1015" s="6" t="s">
        <v>243</v>
      </c>
      <c r="AB1015" s="5" t="s">
        <v>238</v>
      </c>
      <c r="AC1015" s="5" t="s">
        <v>244</v>
      </c>
      <c r="AD1015" s="5" t="s">
        <v>245</v>
      </c>
      <c r="AT1015" s="5" t="s">
        <v>246</v>
      </c>
      <c r="AU1015" s="5" t="s">
        <v>238</v>
      </c>
      <c r="AV1015" s="5" t="s">
        <v>247</v>
      </c>
      <c r="AW1015" s="5" t="s">
        <v>238</v>
      </c>
      <c r="AX1015" s="5" t="s">
        <v>249</v>
      </c>
      <c r="AY1015" s="5" t="s">
        <v>238</v>
      </c>
      <c r="BA1015" s="5" t="s">
        <v>238</v>
      </c>
      <c r="BC1015" s="5" t="s">
        <v>250</v>
      </c>
      <c r="BD1015" s="6" t="s">
        <v>243</v>
      </c>
      <c r="BE1015" s="5" t="s">
        <v>251</v>
      </c>
      <c r="BF1015" s="5" t="s">
        <v>252</v>
      </c>
      <c r="BG1015" s="5" t="s">
        <v>238</v>
      </c>
      <c r="BH1015" s="7">
        <f>0</f>
        <v>0</v>
      </c>
      <c r="BI1015" s="8">
        <f>0</f>
        <v>0</v>
      </c>
      <c r="BJ1015" s="5" t="s">
        <v>253</v>
      </c>
      <c r="BK1015" s="5" t="s">
        <v>254</v>
      </c>
      <c r="BY1015" s="5" t="s">
        <v>238</v>
      </c>
      <c r="BZ1015" s="5" t="s">
        <v>238</v>
      </c>
      <c r="CD1015" s="5" t="s">
        <v>273</v>
      </c>
      <c r="CE1015" s="5" t="s">
        <v>256</v>
      </c>
      <c r="CF1015" s="5" t="s">
        <v>238</v>
      </c>
      <c r="CI1015" s="6" t="s">
        <v>257</v>
      </c>
      <c r="CJ1015" s="5" t="s">
        <v>238</v>
      </c>
      <c r="CK1015" s="5" t="s">
        <v>258</v>
      </c>
      <c r="CL1015" s="5" t="s">
        <v>238</v>
      </c>
      <c r="CM1015" s="5" t="s">
        <v>238</v>
      </c>
      <c r="CN1015" s="5">
        <v>0</v>
      </c>
      <c r="CO1015" s="5" t="s">
        <v>259</v>
      </c>
      <c r="CP1015" s="5" t="s">
        <v>260</v>
      </c>
      <c r="CQ1015" s="5" t="s">
        <v>260</v>
      </c>
      <c r="CR1015" s="5" t="s">
        <v>261</v>
      </c>
      <c r="CU1015" s="8">
        <f>1</f>
        <v>1</v>
      </c>
      <c r="CV1015" s="8">
        <f>0</f>
        <v>0</v>
      </c>
      <c r="CX1015" s="8">
        <f>0</f>
        <v>0</v>
      </c>
      <c r="CY1015" s="8">
        <f>1</f>
        <v>1</v>
      </c>
      <c r="DA1015" s="5" t="s">
        <v>673</v>
      </c>
      <c r="DB1015" s="5" t="s">
        <v>238</v>
      </c>
      <c r="DD1015" s="5" t="s">
        <v>673</v>
      </c>
      <c r="DE1015" s="8">
        <f>671</f>
        <v>671</v>
      </c>
      <c r="DG1015" s="5" t="s">
        <v>238</v>
      </c>
      <c r="DH1015" s="5" t="s">
        <v>238</v>
      </c>
      <c r="DI1015" s="5" t="s">
        <v>238</v>
      </c>
      <c r="DJ1015" s="5" t="s">
        <v>238</v>
      </c>
      <c r="DN1015" s="5" t="s">
        <v>238</v>
      </c>
      <c r="DO1015" s="5" t="s">
        <v>238</v>
      </c>
      <c r="DP1015" s="5" t="s">
        <v>238</v>
      </c>
      <c r="DQ1015" s="5" t="s">
        <v>238</v>
      </c>
      <c r="DT1015" s="5" t="s">
        <v>2039</v>
      </c>
      <c r="DU1015" s="5" t="s">
        <v>793</v>
      </c>
      <c r="HM1015" s="5" t="s">
        <v>264</v>
      </c>
    </row>
    <row r="1016" spans="1:221" x14ac:dyDescent="0.4">
      <c r="A1016" s="5">
        <v>2691</v>
      </c>
      <c r="B1016" s="5">
        <v>1</v>
      </c>
      <c r="C1016" s="5">
        <v>1</v>
      </c>
      <c r="D1016" s="5" t="s">
        <v>2037</v>
      </c>
      <c r="E1016" s="5" t="s">
        <v>271</v>
      </c>
      <c r="F1016" s="5" t="s">
        <v>248</v>
      </c>
      <c r="G1016" s="5" t="s">
        <v>1969</v>
      </c>
      <c r="H1016" s="6" t="s">
        <v>3222</v>
      </c>
      <c r="I1016" s="7">
        <f>1796</f>
        <v>1796</v>
      </c>
      <c r="J1016" s="5" t="s">
        <v>262</v>
      </c>
      <c r="K1016" s="8">
        <f>1</f>
        <v>1</v>
      </c>
      <c r="L1016" s="6" t="s">
        <v>242</v>
      </c>
      <c r="M1016" s="5" t="s">
        <v>267</v>
      </c>
      <c r="N1016" s="5" t="s">
        <v>265</v>
      </c>
      <c r="O1016" s="5" t="s">
        <v>238</v>
      </c>
      <c r="P1016" s="5" t="s">
        <v>238</v>
      </c>
      <c r="Q1016" s="5" t="s">
        <v>268</v>
      </c>
      <c r="R1016" s="5" t="s">
        <v>270</v>
      </c>
      <c r="S1016" s="5" t="s">
        <v>238</v>
      </c>
      <c r="V1016" s="5" t="s">
        <v>238</v>
      </c>
      <c r="X1016" s="6" t="s">
        <v>238</v>
      </c>
      <c r="AA1016" s="6" t="s">
        <v>243</v>
      </c>
      <c r="AB1016" s="5" t="s">
        <v>238</v>
      </c>
      <c r="AC1016" s="5" t="s">
        <v>244</v>
      </c>
      <c r="AD1016" s="5" t="s">
        <v>245</v>
      </c>
      <c r="AT1016" s="5" t="s">
        <v>246</v>
      </c>
      <c r="AU1016" s="5" t="s">
        <v>238</v>
      </c>
      <c r="AV1016" s="5" t="s">
        <v>247</v>
      </c>
      <c r="AW1016" s="5" t="s">
        <v>238</v>
      </c>
      <c r="AX1016" s="5" t="s">
        <v>249</v>
      </c>
      <c r="AY1016" s="5" t="s">
        <v>238</v>
      </c>
      <c r="BA1016" s="5" t="s">
        <v>238</v>
      </c>
      <c r="BC1016" s="5" t="s">
        <v>250</v>
      </c>
      <c r="BD1016" s="6" t="s">
        <v>243</v>
      </c>
      <c r="BE1016" s="5" t="s">
        <v>251</v>
      </c>
      <c r="BF1016" s="5" t="s">
        <v>252</v>
      </c>
      <c r="BG1016" s="5" t="s">
        <v>238</v>
      </c>
      <c r="BH1016" s="7">
        <f>0</f>
        <v>0</v>
      </c>
      <c r="BI1016" s="8">
        <f>0</f>
        <v>0</v>
      </c>
      <c r="BJ1016" s="5" t="s">
        <v>253</v>
      </c>
      <c r="BK1016" s="5" t="s">
        <v>254</v>
      </c>
      <c r="BY1016" s="5" t="s">
        <v>238</v>
      </c>
      <c r="BZ1016" s="5" t="s">
        <v>238</v>
      </c>
      <c r="CD1016" s="5" t="s">
        <v>273</v>
      </c>
      <c r="CE1016" s="5" t="s">
        <v>256</v>
      </c>
      <c r="CF1016" s="5" t="s">
        <v>238</v>
      </c>
      <c r="CI1016" s="6" t="s">
        <v>257</v>
      </c>
      <c r="CJ1016" s="5" t="s">
        <v>238</v>
      </c>
      <c r="CK1016" s="5" t="s">
        <v>258</v>
      </c>
      <c r="CL1016" s="5" t="s">
        <v>238</v>
      </c>
      <c r="CM1016" s="5" t="s">
        <v>238</v>
      </c>
      <c r="CN1016" s="5">
        <v>0</v>
      </c>
      <c r="CO1016" s="5" t="s">
        <v>259</v>
      </c>
      <c r="CP1016" s="5" t="s">
        <v>260</v>
      </c>
      <c r="CQ1016" s="5" t="s">
        <v>260</v>
      </c>
      <c r="CR1016" s="5" t="s">
        <v>261</v>
      </c>
      <c r="CU1016" s="8">
        <f>1</f>
        <v>1</v>
      </c>
      <c r="CV1016" s="8">
        <f>0</f>
        <v>0</v>
      </c>
      <c r="CX1016" s="8">
        <f>0</f>
        <v>0</v>
      </c>
      <c r="CY1016" s="8">
        <f>1</f>
        <v>1</v>
      </c>
      <c r="DA1016" s="5" t="s">
        <v>673</v>
      </c>
      <c r="DB1016" s="5" t="s">
        <v>238</v>
      </c>
      <c r="DD1016" s="5" t="s">
        <v>673</v>
      </c>
      <c r="DE1016" s="8">
        <f>1796</f>
        <v>1796</v>
      </c>
      <c r="DG1016" s="5" t="s">
        <v>238</v>
      </c>
      <c r="DH1016" s="5" t="s">
        <v>238</v>
      </c>
      <c r="DI1016" s="5" t="s">
        <v>238</v>
      </c>
      <c r="DJ1016" s="5" t="s">
        <v>238</v>
      </c>
      <c r="DN1016" s="5" t="s">
        <v>238</v>
      </c>
      <c r="DO1016" s="5" t="s">
        <v>238</v>
      </c>
      <c r="DP1016" s="5" t="s">
        <v>238</v>
      </c>
      <c r="DQ1016" s="5" t="s">
        <v>238</v>
      </c>
      <c r="DT1016" s="5" t="s">
        <v>2039</v>
      </c>
      <c r="DU1016" s="5" t="s">
        <v>795</v>
      </c>
      <c r="HM1016" s="5" t="s">
        <v>264</v>
      </c>
    </row>
    <row r="1017" spans="1:221" x14ac:dyDescent="0.4">
      <c r="A1017" s="5">
        <v>2692</v>
      </c>
      <c r="B1017" s="5">
        <v>1</v>
      </c>
      <c r="C1017" s="5">
        <v>1</v>
      </c>
      <c r="D1017" s="5" t="s">
        <v>2037</v>
      </c>
      <c r="E1017" s="5" t="s">
        <v>271</v>
      </c>
      <c r="F1017" s="5" t="s">
        <v>248</v>
      </c>
      <c r="G1017" s="5" t="s">
        <v>1969</v>
      </c>
      <c r="H1017" s="6" t="s">
        <v>3221</v>
      </c>
      <c r="I1017" s="7">
        <f>1808</f>
        <v>1808</v>
      </c>
      <c r="J1017" s="5" t="s">
        <v>262</v>
      </c>
      <c r="K1017" s="8">
        <f>1</f>
        <v>1</v>
      </c>
      <c r="L1017" s="6" t="s">
        <v>242</v>
      </c>
      <c r="M1017" s="5" t="s">
        <v>267</v>
      </c>
      <c r="N1017" s="5" t="s">
        <v>265</v>
      </c>
      <c r="O1017" s="5" t="s">
        <v>238</v>
      </c>
      <c r="P1017" s="5" t="s">
        <v>238</v>
      </c>
      <c r="Q1017" s="5" t="s">
        <v>268</v>
      </c>
      <c r="R1017" s="5" t="s">
        <v>270</v>
      </c>
      <c r="S1017" s="5" t="s">
        <v>238</v>
      </c>
      <c r="V1017" s="5" t="s">
        <v>238</v>
      </c>
      <c r="X1017" s="6" t="s">
        <v>238</v>
      </c>
      <c r="AA1017" s="6" t="s">
        <v>243</v>
      </c>
      <c r="AB1017" s="5" t="s">
        <v>238</v>
      </c>
      <c r="AC1017" s="5" t="s">
        <v>244</v>
      </c>
      <c r="AD1017" s="5" t="s">
        <v>245</v>
      </c>
      <c r="AT1017" s="5" t="s">
        <v>246</v>
      </c>
      <c r="AU1017" s="5" t="s">
        <v>238</v>
      </c>
      <c r="AV1017" s="5" t="s">
        <v>247</v>
      </c>
      <c r="AW1017" s="5" t="s">
        <v>238</v>
      </c>
      <c r="AX1017" s="5" t="s">
        <v>249</v>
      </c>
      <c r="AY1017" s="5" t="s">
        <v>238</v>
      </c>
      <c r="BA1017" s="5" t="s">
        <v>238</v>
      </c>
      <c r="BC1017" s="5" t="s">
        <v>250</v>
      </c>
      <c r="BD1017" s="6" t="s">
        <v>243</v>
      </c>
      <c r="BE1017" s="5" t="s">
        <v>251</v>
      </c>
      <c r="BF1017" s="5" t="s">
        <v>252</v>
      </c>
      <c r="BG1017" s="5" t="s">
        <v>238</v>
      </c>
      <c r="BH1017" s="7">
        <f>0</f>
        <v>0</v>
      </c>
      <c r="BI1017" s="8">
        <f>0</f>
        <v>0</v>
      </c>
      <c r="BJ1017" s="5" t="s">
        <v>253</v>
      </c>
      <c r="BK1017" s="5" t="s">
        <v>254</v>
      </c>
      <c r="BY1017" s="5" t="s">
        <v>238</v>
      </c>
      <c r="BZ1017" s="5" t="s">
        <v>238</v>
      </c>
      <c r="CD1017" s="5" t="s">
        <v>273</v>
      </c>
      <c r="CE1017" s="5" t="s">
        <v>256</v>
      </c>
      <c r="CF1017" s="5" t="s">
        <v>238</v>
      </c>
      <c r="CI1017" s="6" t="s">
        <v>257</v>
      </c>
      <c r="CJ1017" s="5" t="s">
        <v>238</v>
      </c>
      <c r="CK1017" s="5" t="s">
        <v>258</v>
      </c>
      <c r="CL1017" s="5" t="s">
        <v>238</v>
      </c>
      <c r="CM1017" s="5" t="s">
        <v>238</v>
      </c>
      <c r="CN1017" s="5">
        <v>0</v>
      </c>
      <c r="CO1017" s="5" t="s">
        <v>259</v>
      </c>
      <c r="CP1017" s="5" t="s">
        <v>260</v>
      </c>
      <c r="CQ1017" s="5" t="s">
        <v>260</v>
      </c>
      <c r="CR1017" s="5" t="s">
        <v>261</v>
      </c>
      <c r="CU1017" s="8">
        <f>1</f>
        <v>1</v>
      </c>
      <c r="CV1017" s="8">
        <f>0</f>
        <v>0</v>
      </c>
      <c r="CX1017" s="8">
        <f>0</f>
        <v>0</v>
      </c>
      <c r="CY1017" s="8">
        <f>1</f>
        <v>1</v>
      </c>
      <c r="DA1017" s="5" t="s">
        <v>673</v>
      </c>
      <c r="DB1017" s="5" t="s">
        <v>238</v>
      </c>
      <c r="DD1017" s="5" t="s">
        <v>673</v>
      </c>
      <c r="DE1017" s="8">
        <f>1808</f>
        <v>1808</v>
      </c>
      <c r="DG1017" s="5" t="s">
        <v>238</v>
      </c>
      <c r="DH1017" s="5" t="s">
        <v>238</v>
      </c>
      <c r="DI1017" s="5" t="s">
        <v>238</v>
      </c>
      <c r="DJ1017" s="5" t="s">
        <v>238</v>
      </c>
      <c r="DN1017" s="5" t="s">
        <v>238</v>
      </c>
      <c r="DO1017" s="5" t="s">
        <v>238</v>
      </c>
      <c r="DP1017" s="5" t="s">
        <v>238</v>
      </c>
      <c r="DQ1017" s="5" t="s">
        <v>238</v>
      </c>
      <c r="DT1017" s="5" t="s">
        <v>2039</v>
      </c>
      <c r="DU1017" s="5" t="s">
        <v>797</v>
      </c>
      <c r="HM1017" s="5" t="s">
        <v>264</v>
      </c>
    </row>
    <row r="1018" spans="1:221" x14ac:dyDescent="0.4">
      <c r="A1018" s="5">
        <v>2693</v>
      </c>
      <c r="B1018" s="5">
        <v>1</v>
      </c>
      <c r="C1018" s="5">
        <v>1</v>
      </c>
      <c r="D1018" s="5" t="s">
        <v>2037</v>
      </c>
      <c r="E1018" s="5" t="s">
        <v>271</v>
      </c>
      <c r="F1018" s="5" t="s">
        <v>248</v>
      </c>
      <c r="G1018" s="5" t="s">
        <v>1969</v>
      </c>
      <c r="H1018" s="6" t="s">
        <v>3220</v>
      </c>
      <c r="I1018" s="7">
        <f>2433</f>
        <v>2433</v>
      </c>
      <c r="J1018" s="5" t="s">
        <v>262</v>
      </c>
      <c r="K1018" s="8">
        <f>1</f>
        <v>1</v>
      </c>
      <c r="L1018" s="6" t="s">
        <v>242</v>
      </c>
      <c r="M1018" s="5" t="s">
        <v>267</v>
      </c>
      <c r="N1018" s="5" t="s">
        <v>265</v>
      </c>
      <c r="O1018" s="5" t="s">
        <v>238</v>
      </c>
      <c r="P1018" s="5" t="s">
        <v>238</v>
      </c>
      <c r="Q1018" s="5" t="s">
        <v>268</v>
      </c>
      <c r="R1018" s="5" t="s">
        <v>270</v>
      </c>
      <c r="S1018" s="5" t="s">
        <v>238</v>
      </c>
      <c r="V1018" s="5" t="s">
        <v>238</v>
      </c>
      <c r="X1018" s="6" t="s">
        <v>238</v>
      </c>
      <c r="AA1018" s="6" t="s">
        <v>243</v>
      </c>
      <c r="AB1018" s="5" t="s">
        <v>238</v>
      </c>
      <c r="AC1018" s="5" t="s">
        <v>244</v>
      </c>
      <c r="AD1018" s="5" t="s">
        <v>245</v>
      </c>
      <c r="AT1018" s="5" t="s">
        <v>246</v>
      </c>
      <c r="AU1018" s="5" t="s">
        <v>238</v>
      </c>
      <c r="AV1018" s="5" t="s">
        <v>247</v>
      </c>
      <c r="AW1018" s="5" t="s">
        <v>238</v>
      </c>
      <c r="AX1018" s="5" t="s">
        <v>249</v>
      </c>
      <c r="AY1018" s="5" t="s">
        <v>238</v>
      </c>
      <c r="BA1018" s="5" t="s">
        <v>238</v>
      </c>
      <c r="BC1018" s="5" t="s">
        <v>250</v>
      </c>
      <c r="BD1018" s="6" t="s">
        <v>243</v>
      </c>
      <c r="BE1018" s="5" t="s">
        <v>251</v>
      </c>
      <c r="BF1018" s="5" t="s">
        <v>252</v>
      </c>
      <c r="BG1018" s="5" t="s">
        <v>238</v>
      </c>
      <c r="BH1018" s="7">
        <f>0</f>
        <v>0</v>
      </c>
      <c r="BI1018" s="8">
        <f>0</f>
        <v>0</v>
      </c>
      <c r="BJ1018" s="5" t="s">
        <v>253</v>
      </c>
      <c r="BK1018" s="5" t="s">
        <v>254</v>
      </c>
      <c r="BY1018" s="5" t="s">
        <v>238</v>
      </c>
      <c r="BZ1018" s="5" t="s">
        <v>238</v>
      </c>
      <c r="CD1018" s="5" t="s">
        <v>273</v>
      </c>
      <c r="CE1018" s="5" t="s">
        <v>256</v>
      </c>
      <c r="CF1018" s="5" t="s">
        <v>238</v>
      </c>
      <c r="CI1018" s="6" t="s">
        <v>257</v>
      </c>
      <c r="CJ1018" s="5" t="s">
        <v>238</v>
      </c>
      <c r="CK1018" s="5" t="s">
        <v>258</v>
      </c>
      <c r="CL1018" s="5" t="s">
        <v>238</v>
      </c>
      <c r="CM1018" s="5" t="s">
        <v>238</v>
      </c>
      <c r="CN1018" s="5">
        <v>0</v>
      </c>
      <c r="CO1018" s="5" t="s">
        <v>259</v>
      </c>
      <c r="CP1018" s="5" t="s">
        <v>260</v>
      </c>
      <c r="CQ1018" s="5" t="s">
        <v>260</v>
      </c>
      <c r="CR1018" s="5" t="s">
        <v>261</v>
      </c>
      <c r="CU1018" s="8">
        <f>1</f>
        <v>1</v>
      </c>
      <c r="CV1018" s="8">
        <f>0</f>
        <v>0</v>
      </c>
      <c r="CX1018" s="8">
        <f>0</f>
        <v>0</v>
      </c>
      <c r="CY1018" s="8">
        <f>1</f>
        <v>1</v>
      </c>
      <c r="DA1018" s="5" t="s">
        <v>673</v>
      </c>
      <c r="DB1018" s="5" t="s">
        <v>238</v>
      </c>
      <c r="DD1018" s="5" t="s">
        <v>673</v>
      </c>
      <c r="DE1018" s="8">
        <f>2433</f>
        <v>2433</v>
      </c>
      <c r="DG1018" s="5" t="s">
        <v>238</v>
      </c>
      <c r="DH1018" s="5" t="s">
        <v>238</v>
      </c>
      <c r="DI1018" s="5" t="s">
        <v>238</v>
      </c>
      <c r="DJ1018" s="5" t="s">
        <v>238</v>
      </c>
      <c r="DN1018" s="5" t="s">
        <v>238</v>
      </c>
      <c r="DO1018" s="5" t="s">
        <v>238</v>
      </c>
      <c r="DP1018" s="5" t="s">
        <v>238</v>
      </c>
      <c r="DQ1018" s="5" t="s">
        <v>238</v>
      </c>
      <c r="DT1018" s="5" t="s">
        <v>2039</v>
      </c>
      <c r="DU1018" s="5" t="s">
        <v>803</v>
      </c>
      <c r="HM1018" s="5" t="s">
        <v>264</v>
      </c>
    </row>
    <row r="1019" spans="1:221" x14ac:dyDescent="0.4">
      <c r="A1019" s="5">
        <v>2694</v>
      </c>
      <c r="B1019" s="5">
        <v>1</v>
      </c>
      <c r="C1019" s="5">
        <v>1</v>
      </c>
      <c r="D1019" s="5" t="s">
        <v>2037</v>
      </c>
      <c r="E1019" s="5" t="s">
        <v>271</v>
      </c>
      <c r="F1019" s="5" t="s">
        <v>248</v>
      </c>
      <c r="G1019" s="5" t="s">
        <v>1969</v>
      </c>
      <c r="H1019" s="6" t="s">
        <v>3219</v>
      </c>
      <c r="I1019" s="7">
        <f>1451</f>
        <v>1451</v>
      </c>
      <c r="J1019" s="5" t="s">
        <v>262</v>
      </c>
      <c r="K1019" s="8">
        <f>1</f>
        <v>1</v>
      </c>
      <c r="L1019" s="6" t="s">
        <v>242</v>
      </c>
      <c r="M1019" s="5" t="s">
        <v>267</v>
      </c>
      <c r="N1019" s="5" t="s">
        <v>265</v>
      </c>
      <c r="O1019" s="5" t="s">
        <v>238</v>
      </c>
      <c r="P1019" s="5" t="s">
        <v>238</v>
      </c>
      <c r="Q1019" s="5" t="s">
        <v>268</v>
      </c>
      <c r="R1019" s="5" t="s">
        <v>270</v>
      </c>
      <c r="S1019" s="5" t="s">
        <v>238</v>
      </c>
      <c r="V1019" s="5" t="s">
        <v>238</v>
      </c>
      <c r="X1019" s="6" t="s">
        <v>238</v>
      </c>
      <c r="AA1019" s="6" t="s">
        <v>243</v>
      </c>
      <c r="AB1019" s="5" t="s">
        <v>238</v>
      </c>
      <c r="AC1019" s="5" t="s">
        <v>244</v>
      </c>
      <c r="AD1019" s="5" t="s">
        <v>245</v>
      </c>
      <c r="AT1019" s="5" t="s">
        <v>246</v>
      </c>
      <c r="AU1019" s="5" t="s">
        <v>238</v>
      </c>
      <c r="AV1019" s="5" t="s">
        <v>247</v>
      </c>
      <c r="AW1019" s="5" t="s">
        <v>238</v>
      </c>
      <c r="AX1019" s="5" t="s">
        <v>249</v>
      </c>
      <c r="AY1019" s="5" t="s">
        <v>238</v>
      </c>
      <c r="BA1019" s="5" t="s">
        <v>238</v>
      </c>
      <c r="BC1019" s="5" t="s">
        <v>250</v>
      </c>
      <c r="BD1019" s="6" t="s">
        <v>243</v>
      </c>
      <c r="BE1019" s="5" t="s">
        <v>251</v>
      </c>
      <c r="BF1019" s="5" t="s">
        <v>252</v>
      </c>
      <c r="BG1019" s="5" t="s">
        <v>238</v>
      </c>
      <c r="BH1019" s="7">
        <f>0</f>
        <v>0</v>
      </c>
      <c r="BI1019" s="8">
        <f>0</f>
        <v>0</v>
      </c>
      <c r="BJ1019" s="5" t="s">
        <v>253</v>
      </c>
      <c r="BK1019" s="5" t="s">
        <v>254</v>
      </c>
      <c r="BY1019" s="5" t="s">
        <v>238</v>
      </c>
      <c r="BZ1019" s="5" t="s">
        <v>238</v>
      </c>
      <c r="CD1019" s="5" t="s">
        <v>273</v>
      </c>
      <c r="CE1019" s="5" t="s">
        <v>256</v>
      </c>
      <c r="CF1019" s="5" t="s">
        <v>238</v>
      </c>
      <c r="CI1019" s="6" t="s">
        <v>257</v>
      </c>
      <c r="CJ1019" s="5" t="s">
        <v>238</v>
      </c>
      <c r="CK1019" s="5" t="s">
        <v>258</v>
      </c>
      <c r="CL1019" s="5" t="s">
        <v>238</v>
      </c>
      <c r="CM1019" s="5" t="s">
        <v>238</v>
      </c>
      <c r="CN1019" s="5">
        <v>0</v>
      </c>
      <c r="CO1019" s="5" t="s">
        <v>259</v>
      </c>
      <c r="CP1019" s="5" t="s">
        <v>260</v>
      </c>
      <c r="CQ1019" s="5" t="s">
        <v>260</v>
      </c>
      <c r="CR1019" s="5" t="s">
        <v>261</v>
      </c>
      <c r="CU1019" s="8">
        <f>1</f>
        <v>1</v>
      </c>
      <c r="CV1019" s="8">
        <f>0</f>
        <v>0</v>
      </c>
      <c r="CX1019" s="8">
        <f>0</f>
        <v>0</v>
      </c>
      <c r="CY1019" s="8">
        <f>1</f>
        <v>1</v>
      </c>
      <c r="DA1019" s="5" t="s">
        <v>673</v>
      </c>
      <c r="DB1019" s="5" t="s">
        <v>238</v>
      </c>
      <c r="DD1019" s="5" t="s">
        <v>673</v>
      </c>
      <c r="DE1019" s="8">
        <f>1451</f>
        <v>1451</v>
      </c>
      <c r="DG1019" s="5" t="s">
        <v>238</v>
      </c>
      <c r="DH1019" s="5" t="s">
        <v>238</v>
      </c>
      <c r="DI1019" s="5" t="s">
        <v>238</v>
      </c>
      <c r="DJ1019" s="5" t="s">
        <v>238</v>
      </c>
      <c r="DN1019" s="5" t="s">
        <v>238</v>
      </c>
      <c r="DO1019" s="5" t="s">
        <v>238</v>
      </c>
      <c r="DP1019" s="5" t="s">
        <v>238</v>
      </c>
      <c r="DQ1019" s="5" t="s">
        <v>238</v>
      </c>
      <c r="DT1019" s="5" t="s">
        <v>2039</v>
      </c>
      <c r="DU1019" s="5" t="s">
        <v>805</v>
      </c>
      <c r="HM1019" s="5" t="s">
        <v>264</v>
      </c>
    </row>
    <row r="1020" spans="1:221" x14ac:dyDescent="0.4">
      <c r="A1020" s="5">
        <v>2695</v>
      </c>
      <c r="B1020" s="5">
        <v>1</v>
      </c>
      <c r="C1020" s="5">
        <v>1</v>
      </c>
      <c r="D1020" s="5" t="s">
        <v>2037</v>
      </c>
      <c r="E1020" s="5" t="s">
        <v>271</v>
      </c>
      <c r="F1020" s="5" t="s">
        <v>248</v>
      </c>
      <c r="G1020" s="5" t="s">
        <v>1969</v>
      </c>
      <c r="H1020" s="6" t="s">
        <v>3218</v>
      </c>
      <c r="I1020" s="7">
        <f>198</f>
        <v>198</v>
      </c>
      <c r="J1020" s="5" t="s">
        <v>262</v>
      </c>
      <c r="K1020" s="8">
        <f>1</f>
        <v>1</v>
      </c>
      <c r="L1020" s="6" t="s">
        <v>242</v>
      </c>
      <c r="M1020" s="5" t="s">
        <v>267</v>
      </c>
      <c r="N1020" s="5" t="s">
        <v>265</v>
      </c>
      <c r="O1020" s="5" t="s">
        <v>238</v>
      </c>
      <c r="P1020" s="5" t="s">
        <v>238</v>
      </c>
      <c r="Q1020" s="5" t="s">
        <v>268</v>
      </c>
      <c r="R1020" s="5" t="s">
        <v>270</v>
      </c>
      <c r="S1020" s="5" t="s">
        <v>238</v>
      </c>
      <c r="V1020" s="5" t="s">
        <v>238</v>
      </c>
      <c r="X1020" s="6" t="s">
        <v>238</v>
      </c>
      <c r="AA1020" s="6" t="s">
        <v>243</v>
      </c>
      <c r="AB1020" s="5" t="s">
        <v>238</v>
      </c>
      <c r="AC1020" s="5" t="s">
        <v>244</v>
      </c>
      <c r="AD1020" s="5" t="s">
        <v>245</v>
      </c>
      <c r="AT1020" s="5" t="s">
        <v>246</v>
      </c>
      <c r="AU1020" s="5" t="s">
        <v>238</v>
      </c>
      <c r="AV1020" s="5" t="s">
        <v>247</v>
      </c>
      <c r="AW1020" s="5" t="s">
        <v>238</v>
      </c>
      <c r="AX1020" s="5" t="s">
        <v>249</v>
      </c>
      <c r="AY1020" s="5" t="s">
        <v>238</v>
      </c>
      <c r="BA1020" s="5" t="s">
        <v>238</v>
      </c>
      <c r="BC1020" s="5" t="s">
        <v>250</v>
      </c>
      <c r="BD1020" s="6" t="s">
        <v>243</v>
      </c>
      <c r="BE1020" s="5" t="s">
        <v>251</v>
      </c>
      <c r="BF1020" s="5" t="s">
        <v>252</v>
      </c>
      <c r="BG1020" s="5" t="s">
        <v>238</v>
      </c>
      <c r="BH1020" s="7">
        <f>0</f>
        <v>0</v>
      </c>
      <c r="BI1020" s="8">
        <f>0</f>
        <v>0</v>
      </c>
      <c r="BJ1020" s="5" t="s">
        <v>253</v>
      </c>
      <c r="BK1020" s="5" t="s">
        <v>254</v>
      </c>
      <c r="BY1020" s="5" t="s">
        <v>238</v>
      </c>
      <c r="BZ1020" s="5" t="s">
        <v>238</v>
      </c>
      <c r="CD1020" s="5" t="s">
        <v>273</v>
      </c>
      <c r="CE1020" s="5" t="s">
        <v>256</v>
      </c>
      <c r="CF1020" s="5" t="s">
        <v>238</v>
      </c>
      <c r="CI1020" s="6" t="s">
        <v>257</v>
      </c>
      <c r="CJ1020" s="5" t="s">
        <v>238</v>
      </c>
      <c r="CK1020" s="5" t="s">
        <v>258</v>
      </c>
      <c r="CL1020" s="5" t="s">
        <v>238</v>
      </c>
      <c r="CM1020" s="5" t="s">
        <v>238</v>
      </c>
      <c r="CN1020" s="5">
        <v>0</v>
      </c>
      <c r="CO1020" s="5" t="s">
        <v>259</v>
      </c>
      <c r="CP1020" s="5" t="s">
        <v>260</v>
      </c>
      <c r="CQ1020" s="5" t="s">
        <v>260</v>
      </c>
      <c r="CR1020" s="5" t="s">
        <v>261</v>
      </c>
      <c r="CU1020" s="8">
        <f>1</f>
        <v>1</v>
      </c>
      <c r="CV1020" s="8">
        <f>0</f>
        <v>0</v>
      </c>
      <c r="CX1020" s="8">
        <f>0</f>
        <v>0</v>
      </c>
      <c r="CY1020" s="8">
        <f>1</f>
        <v>1</v>
      </c>
      <c r="DA1020" s="5" t="s">
        <v>673</v>
      </c>
      <c r="DB1020" s="5" t="s">
        <v>238</v>
      </c>
      <c r="DD1020" s="5" t="s">
        <v>673</v>
      </c>
      <c r="DE1020" s="8">
        <f>198</f>
        <v>198</v>
      </c>
      <c r="DG1020" s="5" t="s">
        <v>238</v>
      </c>
      <c r="DH1020" s="5" t="s">
        <v>238</v>
      </c>
      <c r="DI1020" s="5" t="s">
        <v>238</v>
      </c>
      <c r="DJ1020" s="5" t="s">
        <v>238</v>
      </c>
      <c r="DN1020" s="5" t="s">
        <v>238</v>
      </c>
      <c r="DO1020" s="5" t="s">
        <v>238</v>
      </c>
      <c r="DP1020" s="5" t="s">
        <v>238</v>
      </c>
      <c r="DQ1020" s="5" t="s">
        <v>238</v>
      </c>
      <c r="DT1020" s="5" t="s">
        <v>2039</v>
      </c>
      <c r="DU1020" s="5" t="s">
        <v>808</v>
      </c>
      <c r="HM1020" s="5" t="s">
        <v>264</v>
      </c>
    </row>
    <row r="1021" spans="1:221" x14ac:dyDescent="0.4">
      <c r="A1021" s="5">
        <v>2696</v>
      </c>
      <c r="B1021" s="5">
        <v>1</v>
      </c>
      <c r="C1021" s="5">
        <v>1</v>
      </c>
      <c r="D1021" s="5" t="s">
        <v>2037</v>
      </c>
      <c r="E1021" s="5" t="s">
        <v>271</v>
      </c>
      <c r="F1021" s="5" t="s">
        <v>248</v>
      </c>
      <c r="G1021" s="5" t="s">
        <v>1969</v>
      </c>
      <c r="H1021" s="6" t="s">
        <v>3216</v>
      </c>
      <c r="I1021" s="7">
        <f>5.63</f>
        <v>5.63</v>
      </c>
      <c r="J1021" s="5" t="s">
        <v>262</v>
      </c>
      <c r="K1021" s="8">
        <f>1</f>
        <v>1</v>
      </c>
      <c r="L1021" s="6" t="s">
        <v>242</v>
      </c>
      <c r="M1021" s="5" t="s">
        <v>267</v>
      </c>
      <c r="N1021" s="5" t="s">
        <v>265</v>
      </c>
      <c r="O1021" s="5" t="s">
        <v>238</v>
      </c>
      <c r="P1021" s="5" t="s">
        <v>238</v>
      </c>
      <c r="Q1021" s="5" t="s">
        <v>268</v>
      </c>
      <c r="R1021" s="5" t="s">
        <v>270</v>
      </c>
      <c r="S1021" s="5" t="s">
        <v>238</v>
      </c>
      <c r="V1021" s="5" t="s">
        <v>238</v>
      </c>
      <c r="X1021" s="6" t="s">
        <v>238</v>
      </c>
      <c r="AA1021" s="6" t="s">
        <v>243</v>
      </c>
      <c r="AB1021" s="5" t="s">
        <v>238</v>
      </c>
      <c r="AC1021" s="5" t="s">
        <v>244</v>
      </c>
      <c r="AD1021" s="5" t="s">
        <v>245</v>
      </c>
      <c r="AT1021" s="5" t="s">
        <v>246</v>
      </c>
      <c r="AU1021" s="5" t="s">
        <v>238</v>
      </c>
      <c r="AV1021" s="5" t="s">
        <v>247</v>
      </c>
      <c r="AW1021" s="5" t="s">
        <v>238</v>
      </c>
      <c r="AX1021" s="5" t="s">
        <v>249</v>
      </c>
      <c r="AY1021" s="5" t="s">
        <v>238</v>
      </c>
      <c r="BA1021" s="5" t="s">
        <v>238</v>
      </c>
      <c r="BC1021" s="5" t="s">
        <v>250</v>
      </c>
      <c r="BD1021" s="6" t="s">
        <v>243</v>
      </c>
      <c r="BE1021" s="5" t="s">
        <v>251</v>
      </c>
      <c r="BF1021" s="5" t="s">
        <v>252</v>
      </c>
      <c r="BG1021" s="5" t="s">
        <v>238</v>
      </c>
      <c r="BH1021" s="7">
        <f>0</f>
        <v>0</v>
      </c>
      <c r="BI1021" s="8">
        <f>0</f>
        <v>0</v>
      </c>
      <c r="BJ1021" s="5" t="s">
        <v>253</v>
      </c>
      <c r="BK1021" s="5" t="s">
        <v>254</v>
      </c>
      <c r="BY1021" s="5" t="s">
        <v>238</v>
      </c>
      <c r="BZ1021" s="5" t="s">
        <v>238</v>
      </c>
      <c r="CD1021" s="5" t="s">
        <v>273</v>
      </c>
      <c r="CE1021" s="5" t="s">
        <v>256</v>
      </c>
      <c r="CF1021" s="5" t="s">
        <v>238</v>
      </c>
      <c r="CI1021" s="6" t="s">
        <v>257</v>
      </c>
      <c r="CJ1021" s="5" t="s">
        <v>238</v>
      </c>
      <c r="CK1021" s="5" t="s">
        <v>258</v>
      </c>
      <c r="CL1021" s="5" t="s">
        <v>238</v>
      </c>
      <c r="CM1021" s="5" t="s">
        <v>238</v>
      </c>
      <c r="CN1021" s="5">
        <v>0</v>
      </c>
      <c r="CO1021" s="5" t="s">
        <v>259</v>
      </c>
      <c r="CP1021" s="5" t="s">
        <v>260</v>
      </c>
      <c r="CQ1021" s="5" t="s">
        <v>260</v>
      </c>
      <c r="CR1021" s="5" t="s">
        <v>261</v>
      </c>
      <c r="CU1021" s="8">
        <f>1</f>
        <v>1</v>
      </c>
      <c r="CV1021" s="8">
        <f>0</f>
        <v>0</v>
      </c>
      <c r="CX1021" s="8">
        <f>0</f>
        <v>0</v>
      </c>
      <c r="CY1021" s="8">
        <f>1</f>
        <v>1</v>
      </c>
      <c r="DA1021" s="5" t="s">
        <v>673</v>
      </c>
      <c r="DB1021" s="5" t="s">
        <v>238</v>
      </c>
      <c r="DD1021" s="5" t="s">
        <v>673</v>
      </c>
      <c r="DE1021" s="8">
        <f>5.63</f>
        <v>5.63</v>
      </c>
      <c r="DG1021" s="5" t="s">
        <v>238</v>
      </c>
      <c r="DH1021" s="5" t="s">
        <v>238</v>
      </c>
      <c r="DI1021" s="5" t="s">
        <v>238</v>
      </c>
      <c r="DJ1021" s="5" t="s">
        <v>238</v>
      </c>
      <c r="DN1021" s="5" t="s">
        <v>238</v>
      </c>
      <c r="DO1021" s="5" t="s">
        <v>238</v>
      </c>
      <c r="DP1021" s="5" t="s">
        <v>238</v>
      </c>
      <c r="DQ1021" s="5" t="s">
        <v>238</v>
      </c>
      <c r="DT1021" s="5" t="s">
        <v>2039</v>
      </c>
      <c r="DU1021" s="5" t="s">
        <v>810</v>
      </c>
      <c r="HM1021" s="5" t="s">
        <v>264</v>
      </c>
    </row>
    <row r="1022" spans="1:221" x14ac:dyDescent="0.4">
      <c r="A1022" s="5">
        <v>2697</v>
      </c>
      <c r="B1022" s="5">
        <v>1</v>
      </c>
      <c r="C1022" s="5">
        <v>1</v>
      </c>
      <c r="D1022" s="5" t="s">
        <v>2037</v>
      </c>
      <c r="E1022" s="5" t="s">
        <v>271</v>
      </c>
      <c r="F1022" s="5" t="s">
        <v>248</v>
      </c>
      <c r="G1022" s="5" t="s">
        <v>1969</v>
      </c>
      <c r="H1022" s="6" t="s">
        <v>3215</v>
      </c>
      <c r="I1022" s="7">
        <f>7.12</f>
        <v>7.12</v>
      </c>
      <c r="J1022" s="5" t="s">
        <v>262</v>
      </c>
      <c r="K1022" s="8">
        <f>1</f>
        <v>1</v>
      </c>
      <c r="L1022" s="6" t="s">
        <v>242</v>
      </c>
      <c r="M1022" s="5" t="s">
        <v>267</v>
      </c>
      <c r="N1022" s="5" t="s">
        <v>265</v>
      </c>
      <c r="O1022" s="5" t="s">
        <v>238</v>
      </c>
      <c r="P1022" s="5" t="s">
        <v>238</v>
      </c>
      <c r="Q1022" s="5" t="s">
        <v>268</v>
      </c>
      <c r="R1022" s="5" t="s">
        <v>270</v>
      </c>
      <c r="S1022" s="5" t="s">
        <v>238</v>
      </c>
      <c r="V1022" s="5" t="s">
        <v>238</v>
      </c>
      <c r="X1022" s="6" t="s">
        <v>238</v>
      </c>
      <c r="AA1022" s="6" t="s">
        <v>243</v>
      </c>
      <c r="AB1022" s="5" t="s">
        <v>238</v>
      </c>
      <c r="AC1022" s="5" t="s">
        <v>244</v>
      </c>
      <c r="AD1022" s="5" t="s">
        <v>245</v>
      </c>
      <c r="AT1022" s="5" t="s">
        <v>246</v>
      </c>
      <c r="AU1022" s="5" t="s">
        <v>238</v>
      </c>
      <c r="AV1022" s="5" t="s">
        <v>247</v>
      </c>
      <c r="AW1022" s="5" t="s">
        <v>238</v>
      </c>
      <c r="AX1022" s="5" t="s">
        <v>249</v>
      </c>
      <c r="AY1022" s="5" t="s">
        <v>238</v>
      </c>
      <c r="BA1022" s="5" t="s">
        <v>238</v>
      </c>
      <c r="BC1022" s="5" t="s">
        <v>250</v>
      </c>
      <c r="BD1022" s="6" t="s">
        <v>243</v>
      </c>
      <c r="BE1022" s="5" t="s">
        <v>251</v>
      </c>
      <c r="BF1022" s="5" t="s">
        <v>252</v>
      </c>
      <c r="BG1022" s="5" t="s">
        <v>238</v>
      </c>
      <c r="BH1022" s="7">
        <f>0</f>
        <v>0</v>
      </c>
      <c r="BI1022" s="8">
        <f>0</f>
        <v>0</v>
      </c>
      <c r="BJ1022" s="5" t="s">
        <v>253</v>
      </c>
      <c r="BK1022" s="5" t="s">
        <v>254</v>
      </c>
      <c r="BY1022" s="5" t="s">
        <v>238</v>
      </c>
      <c r="BZ1022" s="5" t="s">
        <v>238</v>
      </c>
      <c r="CD1022" s="5" t="s">
        <v>273</v>
      </c>
      <c r="CE1022" s="5" t="s">
        <v>256</v>
      </c>
      <c r="CF1022" s="5" t="s">
        <v>238</v>
      </c>
      <c r="CI1022" s="6" t="s">
        <v>257</v>
      </c>
      <c r="CJ1022" s="5" t="s">
        <v>238</v>
      </c>
      <c r="CK1022" s="5" t="s">
        <v>258</v>
      </c>
      <c r="CL1022" s="5" t="s">
        <v>238</v>
      </c>
      <c r="CM1022" s="5" t="s">
        <v>238</v>
      </c>
      <c r="CN1022" s="5">
        <v>0</v>
      </c>
      <c r="CO1022" s="5" t="s">
        <v>259</v>
      </c>
      <c r="CP1022" s="5" t="s">
        <v>260</v>
      </c>
      <c r="CQ1022" s="5" t="s">
        <v>260</v>
      </c>
      <c r="CR1022" s="5" t="s">
        <v>261</v>
      </c>
      <c r="CU1022" s="8">
        <f>1</f>
        <v>1</v>
      </c>
      <c r="CV1022" s="8">
        <f>0</f>
        <v>0</v>
      </c>
      <c r="CX1022" s="8">
        <f>0</f>
        <v>0</v>
      </c>
      <c r="CY1022" s="8">
        <f>1</f>
        <v>1</v>
      </c>
      <c r="DA1022" s="5" t="s">
        <v>673</v>
      </c>
      <c r="DB1022" s="5" t="s">
        <v>238</v>
      </c>
      <c r="DD1022" s="5" t="s">
        <v>673</v>
      </c>
      <c r="DE1022" s="8">
        <f>7.12</f>
        <v>7.12</v>
      </c>
      <c r="DG1022" s="5" t="s">
        <v>238</v>
      </c>
      <c r="DH1022" s="5" t="s">
        <v>238</v>
      </c>
      <c r="DI1022" s="5" t="s">
        <v>238</v>
      </c>
      <c r="DJ1022" s="5" t="s">
        <v>238</v>
      </c>
      <c r="DN1022" s="5" t="s">
        <v>238</v>
      </c>
      <c r="DO1022" s="5" t="s">
        <v>238</v>
      </c>
      <c r="DP1022" s="5" t="s">
        <v>238</v>
      </c>
      <c r="DQ1022" s="5" t="s">
        <v>238</v>
      </c>
      <c r="DT1022" s="5" t="s">
        <v>2039</v>
      </c>
      <c r="DU1022" s="5" t="s">
        <v>814</v>
      </c>
      <c r="HM1022" s="5" t="s">
        <v>264</v>
      </c>
    </row>
    <row r="1023" spans="1:221" x14ac:dyDescent="0.4">
      <c r="A1023" s="5">
        <v>2698</v>
      </c>
      <c r="B1023" s="5">
        <v>1</v>
      </c>
      <c r="C1023" s="5">
        <v>1</v>
      </c>
      <c r="D1023" s="5" t="s">
        <v>2037</v>
      </c>
      <c r="E1023" s="5" t="s">
        <v>271</v>
      </c>
      <c r="F1023" s="5" t="s">
        <v>248</v>
      </c>
      <c r="G1023" s="5" t="s">
        <v>1969</v>
      </c>
      <c r="H1023" s="6" t="s">
        <v>3214</v>
      </c>
      <c r="I1023" s="7">
        <f>3.76</f>
        <v>3.76</v>
      </c>
      <c r="J1023" s="5" t="s">
        <v>262</v>
      </c>
      <c r="K1023" s="8">
        <f>1</f>
        <v>1</v>
      </c>
      <c r="L1023" s="6" t="s">
        <v>242</v>
      </c>
      <c r="M1023" s="5" t="s">
        <v>267</v>
      </c>
      <c r="N1023" s="5" t="s">
        <v>265</v>
      </c>
      <c r="O1023" s="5" t="s">
        <v>238</v>
      </c>
      <c r="P1023" s="5" t="s">
        <v>238</v>
      </c>
      <c r="Q1023" s="5" t="s">
        <v>268</v>
      </c>
      <c r="R1023" s="5" t="s">
        <v>270</v>
      </c>
      <c r="S1023" s="5" t="s">
        <v>238</v>
      </c>
      <c r="V1023" s="5" t="s">
        <v>238</v>
      </c>
      <c r="X1023" s="6" t="s">
        <v>238</v>
      </c>
      <c r="AA1023" s="6" t="s">
        <v>243</v>
      </c>
      <c r="AB1023" s="5" t="s">
        <v>238</v>
      </c>
      <c r="AC1023" s="5" t="s">
        <v>244</v>
      </c>
      <c r="AD1023" s="5" t="s">
        <v>245</v>
      </c>
      <c r="AT1023" s="5" t="s">
        <v>246</v>
      </c>
      <c r="AU1023" s="5" t="s">
        <v>238</v>
      </c>
      <c r="AV1023" s="5" t="s">
        <v>247</v>
      </c>
      <c r="AW1023" s="5" t="s">
        <v>238</v>
      </c>
      <c r="AX1023" s="5" t="s">
        <v>249</v>
      </c>
      <c r="AY1023" s="5" t="s">
        <v>238</v>
      </c>
      <c r="BA1023" s="5" t="s">
        <v>238</v>
      </c>
      <c r="BC1023" s="5" t="s">
        <v>250</v>
      </c>
      <c r="BD1023" s="6" t="s">
        <v>243</v>
      </c>
      <c r="BE1023" s="5" t="s">
        <v>251</v>
      </c>
      <c r="BF1023" s="5" t="s">
        <v>252</v>
      </c>
      <c r="BG1023" s="5" t="s">
        <v>238</v>
      </c>
      <c r="BH1023" s="7">
        <f>0</f>
        <v>0</v>
      </c>
      <c r="BI1023" s="8">
        <f>0</f>
        <v>0</v>
      </c>
      <c r="BJ1023" s="5" t="s">
        <v>253</v>
      </c>
      <c r="BK1023" s="5" t="s">
        <v>254</v>
      </c>
      <c r="BY1023" s="5" t="s">
        <v>238</v>
      </c>
      <c r="BZ1023" s="5" t="s">
        <v>238</v>
      </c>
      <c r="CD1023" s="5" t="s">
        <v>273</v>
      </c>
      <c r="CE1023" s="5" t="s">
        <v>256</v>
      </c>
      <c r="CF1023" s="5" t="s">
        <v>238</v>
      </c>
      <c r="CI1023" s="6" t="s">
        <v>257</v>
      </c>
      <c r="CJ1023" s="5" t="s">
        <v>238</v>
      </c>
      <c r="CK1023" s="5" t="s">
        <v>258</v>
      </c>
      <c r="CL1023" s="5" t="s">
        <v>238</v>
      </c>
      <c r="CM1023" s="5" t="s">
        <v>238</v>
      </c>
      <c r="CN1023" s="5">
        <v>0</v>
      </c>
      <c r="CO1023" s="5" t="s">
        <v>259</v>
      </c>
      <c r="CP1023" s="5" t="s">
        <v>260</v>
      </c>
      <c r="CQ1023" s="5" t="s">
        <v>260</v>
      </c>
      <c r="CR1023" s="5" t="s">
        <v>261</v>
      </c>
      <c r="CU1023" s="8">
        <f>1</f>
        <v>1</v>
      </c>
      <c r="CV1023" s="8">
        <f>0</f>
        <v>0</v>
      </c>
      <c r="CX1023" s="8">
        <f>0</f>
        <v>0</v>
      </c>
      <c r="CY1023" s="8">
        <f>1</f>
        <v>1</v>
      </c>
      <c r="DA1023" s="5" t="s">
        <v>673</v>
      </c>
      <c r="DB1023" s="5" t="s">
        <v>238</v>
      </c>
      <c r="DD1023" s="5" t="s">
        <v>673</v>
      </c>
      <c r="DE1023" s="8">
        <f>3.76</f>
        <v>3.76</v>
      </c>
      <c r="DG1023" s="5" t="s">
        <v>238</v>
      </c>
      <c r="DH1023" s="5" t="s">
        <v>238</v>
      </c>
      <c r="DI1023" s="5" t="s">
        <v>238</v>
      </c>
      <c r="DJ1023" s="5" t="s">
        <v>238</v>
      </c>
      <c r="DN1023" s="5" t="s">
        <v>238</v>
      </c>
      <c r="DO1023" s="5" t="s">
        <v>238</v>
      </c>
      <c r="DP1023" s="5" t="s">
        <v>238</v>
      </c>
      <c r="DQ1023" s="5" t="s">
        <v>238</v>
      </c>
      <c r="DT1023" s="5" t="s">
        <v>2039</v>
      </c>
      <c r="DU1023" s="5" t="s">
        <v>816</v>
      </c>
      <c r="HM1023" s="5" t="s">
        <v>264</v>
      </c>
    </row>
    <row r="1024" spans="1:221" x14ac:dyDescent="0.4">
      <c r="A1024" s="5">
        <v>2699</v>
      </c>
      <c r="B1024" s="5">
        <v>1</v>
      </c>
      <c r="C1024" s="5">
        <v>1</v>
      </c>
      <c r="D1024" s="5" t="s">
        <v>2037</v>
      </c>
      <c r="E1024" s="5" t="s">
        <v>271</v>
      </c>
      <c r="F1024" s="5" t="s">
        <v>248</v>
      </c>
      <c r="G1024" s="5" t="s">
        <v>1969</v>
      </c>
      <c r="H1024" s="6" t="s">
        <v>3213</v>
      </c>
      <c r="I1024" s="7">
        <f>1879</f>
        <v>1879</v>
      </c>
      <c r="J1024" s="5" t="s">
        <v>262</v>
      </c>
      <c r="K1024" s="8">
        <f>1</f>
        <v>1</v>
      </c>
      <c r="L1024" s="6" t="s">
        <v>242</v>
      </c>
      <c r="M1024" s="5" t="s">
        <v>267</v>
      </c>
      <c r="N1024" s="5" t="s">
        <v>265</v>
      </c>
      <c r="O1024" s="5" t="s">
        <v>238</v>
      </c>
      <c r="P1024" s="5" t="s">
        <v>238</v>
      </c>
      <c r="Q1024" s="5" t="s">
        <v>268</v>
      </c>
      <c r="R1024" s="5" t="s">
        <v>270</v>
      </c>
      <c r="S1024" s="5" t="s">
        <v>238</v>
      </c>
      <c r="V1024" s="5" t="s">
        <v>238</v>
      </c>
      <c r="X1024" s="6" t="s">
        <v>238</v>
      </c>
      <c r="AA1024" s="6" t="s">
        <v>243</v>
      </c>
      <c r="AB1024" s="5" t="s">
        <v>238</v>
      </c>
      <c r="AC1024" s="5" t="s">
        <v>244</v>
      </c>
      <c r="AD1024" s="5" t="s">
        <v>245</v>
      </c>
      <c r="AT1024" s="5" t="s">
        <v>246</v>
      </c>
      <c r="AU1024" s="5" t="s">
        <v>238</v>
      </c>
      <c r="AV1024" s="5" t="s">
        <v>247</v>
      </c>
      <c r="AW1024" s="5" t="s">
        <v>238</v>
      </c>
      <c r="AX1024" s="5" t="s">
        <v>249</v>
      </c>
      <c r="AY1024" s="5" t="s">
        <v>238</v>
      </c>
      <c r="BA1024" s="5" t="s">
        <v>238</v>
      </c>
      <c r="BC1024" s="5" t="s">
        <v>250</v>
      </c>
      <c r="BD1024" s="6" t="s">
        <v>243</v>
      </c>
      <c r="BE1024" s="5" t="s">
        <v>251</v>
      </c>
      <c r="BF1024" s="5" t="s">
        <v>252</v>
      </c>
      <c r="BG1024" s="5" t="s">
        <v>238</v>
      </c>
      <c r="BH1024" s="7">
        <f>0</f>
        <v>0</v>
      </c>
      <c r="BI1024" s="8">
        <f>0</f>
        <v>0</v>
      </c>
      <c r="BJ1024" s="5" t="s">
        <v>253</v>
      </c>
      <c r="BK1024" s="5" t="s">
        <v>254</v>
      </c>
      <c r="BY1024" s="5" t="s">
        <v>238</v>
      </c>
      <c r="BZ1024" s="5" t="s">
        <v>238</v>
      </c>
      <c r="CD1024" s="5" t="s">
        <v>273</v>
      </c>
      <c r="CE1024" s="5" t="s">
        <v>256</v>
      </c>
      <c r="CF1024" s="5" t="s">
        <v>238</v>
      </c>
      <c r="CI1024" s="6" t="s">
        <v>257</v>
      </c>
      <c r="CJ1024" s="5" t="s">
        <v>238</v>
      </c>
      <c r="CK1024" s="5" t="s">
        <v>258</v>
      </c>
      <c r="CL1024" s="5" t="s">
        <v>238</v>
      </c>
      <c r="CM1024" s="5" t="s">
        <v>238</v>
      </c>
      <c r="CN1024" s="5">
        <v>0</v>
      </c>
      <c r="CO1024" s="5" t="s">
        <v>259</v>
      </c>
      <c r="CP1024" s="5" t="s">
        <v>260</v>
      </c>
      <c r="CQ1024" s="5" t="s">
        <v>260</v>
      </c>
      <c r="CR1024" s="5" t="s">
        <v>261</v>
      </c>
      <c r="CU1024" s="8">
        <f>1</f>
        <v>1</v>
      </c>
      <c r="CV1024" s="8">
        <f>0</f>
        <v>0</v>
      </c>
      <c r="CX1024" s="8">
        <f>0</f>
        <v>0</v>
      </c>
      <c r="CY1024" s="8">
        <f>1</f>
        <v>1</v>
      </c>
      <c r="DA1024" s="5" t="s">
        <v>673</v>
      </c>
      <c r="DB1024" s="5" t="s">
        <v>238</v>
      </c>
      <c r="DD1024" s="5" t="s">
        <v>673</v>
      </c>
      <c r="DE1024" s="8">
        <f>1879</f>
        <v>1879</v>
      </c>
      <c r="DG1024" s="5" t="s">
        <v>238</v>
      </c>
      <c r="DH1024" s="5" t="s">
        <v>238</v>
      </c>
      <c r="DI1024" s="5" t="s">
        <v>238</v>
      </c>
      <c r="DJ1024" s="5" t="s">
        <v>238</v>
      </c>
      <c r="DN1024" s="5" t="s">
        <v>238</v>
      </c>
      <c r="DO1024" s="5" t="s">
        <v>238</v>
      </c>
      <c r="DP1024" s="5" t="s">
        <v>238</v>
      </c>
      <c r="DQ1024" s="5" t="s">
        <v>238</v>
      </c>
      <c r="DT1024" s="5" t="s">
        <v>2039</v>
      </c>
      <c r="DU1024" s="5" t="s">
        <v>820</v>
      </c>
      <c r="HM1024" s="5" t="s">
        <v>264</v>
      </c>
    </row>
    <row r="1025" spans="1:221" x14ac:dyDescent="0.4">
      <c r="A1025" s="5">
        <v>2700</v>
      </c>
      <c r="B1025" s="5">
        <v>1</v>
      </c>
      <c r="C1025" s="5">
        <v>1</v>
      </c>
      <c r="D1025" s="5" t="s">
        <v>2037</v>
      </c>
      <c r="E1025" s="5" t="s">
        <v>271</v>
      </c>
      <c r="F1025" s="5" t="s">
        <v>248</v>
      </c>
      <c r="G1025" s="5" t="s">
        <v>1969</v>
      </c>
      <c r="H1025" s="6" t="s">
        <v>3211</v>
      </c>
      <c r="I1025" s="7">
        <f>1227</f>
        <v>1227</v>
      </c>
      <c r="J1025" s="5" t="s">
        <v>262</v>
      </c>
      <c r="K1025" s="8">
        <f>1</f>
        <v>1</v>
      </c>
      <c r="L1025" s="6" t="s">
        <v>242</v>
      </c>
      <c r="M1025" s="5" t="s">
        <v>267</v>
      </c>
      <c r="N1025" s="5" t="s">
        <v>265</v>
      </c>
      <c r="O1025" s="5" t="s">
        <v>238</v>
      </c>
      <c r="P1025" s="5" t="s">
        <v>238</v>
      </c>
      <c r="Q1025" s="5" t="s">
        <v>268</v>
      </c>
      <c r="R1025" s="5" t="s">
        <v>270</v>
      </c>
      <c r="S1025" s="5" t="s">
        <v>238</v>
      </c>
      <c r="V1025" s="5" t="s">
        <v>238</v>
      </c>
      <c r="X1025" s="6" t="s">
        <v>238</v>
      </c>
      <c r="AA1025" s="6" t="s">
        <v>243</v>
      </c>
      <c r="AB1025" s="5" t="s">
        <v>238</v>
      </c>
      <c r="AC1025" s="5" t="s">
        <v>244</v>
      </c>
      <c r="AD1025" s="5" t="s">
        <v>245</v>
      </c>
      <c r="AT1025" s="5" t="s">
        <v>246</v>
      </c>
      <c r="AU1025" s="5" t="s">
        <v>238</v>
      </c>
      <c r="AV1025" s="5" t="s">
        <v>247</v>
      </c>
      <c r="AW1025" s="5" t="s">
        <v>238</v>
      </c>
      <c r="AX1025" s="5" t="s">
        <v>249</v>
      </c>
      <c r="AY1025" s="5" t="s">
        <v>238</v>
      </c>
      <c r="BA1025" s="5" t="s">
        <v>238</v>
      </c>
      <c r="BC1025" s="5" t="s">
        <v>250</v>
      </c>
      <c r="BD1025" s="6" t="s">
        <v>243</v>
      </c>
      <c r="BE1025" s="5" t="s">
        <v>251</v>
      </c>
      <c r="BF1025" s="5" t="s">
        <v>252</v>
      </c>
      <c r="BG1025" s="5" t="s">
        <v>238</v>
      </c>
      <c r="BH1025" s="7">
        <f>0</f>
        <v>0</v>
      </c>
      <c r="BI1025" s="8">
        <f>0</f>
        <v>0</v>
      </c>
      <c r="BJ1025" s="5" t="s">
        <v>253</v>
      </c>
      <c r="BK1025" s="5" t="s">
        <v>254</v>
      </c>
      <c r="BY1025" s="5" t="s">
        <v>238</v>
      </c>
      <c r="BZ1025" s="5" t="s">
        <v>238</v>
      </c>
      <c r="CD1025" s="5" t="s">
        <v>273</v>
      </c>
      <c r="CE1025" s="5" t="s">
        <v>256</v>
      </c>
      <c r="CF1025" s="5" t="s">
        <v>238</v>
      </c>
      <c r="CI1025" s="6" t="s">
        <v>257</v>
      </c>
      <c r="CJ1025" s="5" t="s">
        <v>238</v>
      </c>
      <c r="CK1025" s="5" t="s">
        <v>258</v>
      </c>
      <c r="CL1025" s="5" t="s">
        <v>238</v>
      </c>
      <c r="CM1025" s="5" t="s">
        <v>238</v>
      </c>
      <c r="CN1025" s="5">
        <v>0</v>
      </c>
      <c r="CO1025" s="5" t="s">
        <v>259</v>
      </c>
      <c r="CP1025" s="5" t="s">
        <v>260</v>
      </c>
      <c r="CQ1025" s="5" t="s">
        <v>260</v>
      </c>
      <c r="CR1025" s="5" t="s">
        <v>261</v>
      </c>
      <c r="CU1025" s="8">
        <f>1</f>
        <v>1</v>
      </c>
      <c r="CV1025" s="8">
        <f>0</f>
        <v>0</v>
      </c>
      <c r="CX1025" s="8">
        <f>0</f>
        <v>0</v>
      </c>
      <c r="CY1025" s="8">
        <f>1</f>
        <v>1</v>
      </c>
      <c r="DA1025" s="5" t="s">
        <v>673</v>
      </c>
      <c r="DB1025" s="5" t="s">
        <v>238</v>
      </c>
      <c r="DD1025" s="5" t="s">
        <v>673</v>
      </c>
      <c r="DE1025" s="8">
        <f>1227</f>
        <v>1227</v>
      </c>
      <c r="DG1025" s="5" t="s">
        <v>238</v>
      </c>
      <c r="DH1025" s="5" t="s">
        <v>238</v>
      </c>
      <c r="DI1025" s="5" t="s">
        <v>238</v>
      </c>
      <c r="DJ1025" s="5" t="s">
        <v>238</v>
      </c>
      <c r="DN1025" s="5" t="s">
        <v>238</v>
      </c>
      <c r="DO1025" s="5" t="s">
        <v>238</v>
      </c>
      <c r="DP1025" s="5" t="s">
        <v>238</v>
      </c>
      <c r="DQ1025" s="5" t="s">
        <v>238</v>
      </c>
      <c r="DT1025" s="5" t="s">
        <v>2039</v>
      </c>
      <c r="DU1025" s="5" t="s">
        <v>3212</v>
      </c>
      <c r="HM1025" s="5" t="s">
        <v>264</v>
      </c>
    </row>
    <row r="1026" spans="1:221" x14ac:dyDescent="0.4">
      <c r="A1026" s="5">
        <v>2701</v>
      </c>
      <c r="B1026" s="5">
        <v>1</v>
      </c>
      <c r="C1026" s="5">
        <v>1</v>
      </c>
      <c r="D1026" s="5" t="s">
        <v>2037</v>
      </c>
      <c r="E1026" s="5" t="s">
        <v>271</v>
      </c>
      <c r="F1026" s="5" t="s">
        <v>248</v>
      </c>
      <c r="G1026" s="5" t="s">
        <v>1969</v>
      </c>
      <c r="H1026" s="6" t="s">
        <v>3210</v>
      </c>
      <c r="I1026" s="7">
        <f>165</f>
        <v>165</v>
      </c>
      <c r="J1026" s="5" t="s">
        <v>262</v>
      </c>
      <c r="K1026" s="8">
        <f>1</f>
        <v>1</v>
      </c>
      <c r="L1026" s="6" t="s">
        <v>242</v>
      </c>
      <c r="M1026" s="5" t="s">
        <v>267</v>
      </c>
      <c r="N1026" s="5" t="s">
        <v>265</v>
      </c>
      <c r="O1026" s="5" t="s">
        <v>238</v>
      </c>
      <c r="P1026" s="5" t="s">
        <v>238</v>
      </c>
      <c r="Q1026" s="5" t="s">
        <v>268</v>
      </c>
      <c r="R1026" s="5" t="s">
        <v>270</v>
      </c>
      <c r="S1026" s="5" t="s">
        <v>238</v>
      </c>
      <c r="V1026" s="5" t="s">
        <v>238</v>
      </c>
      <c r="X1026" s="6" t="s">
        <v>238</v>
      </c>
      <c r="AA1026" s="6" t="s">
        <v>243</v>
      </c>
      <c r="AB1026" s="5" t="s">
        <v>238</v>
      </c>
      <c r="AC1026" s="5" t="s">
        <v>244</v>
      </c>
      <c r="AD1026" s="5" t="s">
        <v>245</v>
      </c>
      <c r="AT1026" s="5" t="s">
        <v>246</v>
      </c>
      <c r="AU1026" s="5" t="s">
        <v>238</v>
      </c>
      <c r="AV1026" s="5" t="s">
        <v>247</v>
      </c>
      <c r="AW1026" s="5" t="s">
        <v>238</v>
      </c>
      <c r="AX1026" s="5" t="s">
        <v>249</v>
      </c>
      <c r="AY1026" s="5" t="s">
        <v>238</v>
      </c>
      <c r="BA1026" s="5" t="s">
        <v>238</v>
      </c>
      <c r="BC1026" s="5" t="s">
        <v>250</v>
      </c>
      <c r="BD1026" s="6" t="s">
        <v>243</v>
      </c>
      <c r="BE1026" s="5" t="s">
        <v>251</v>
      </c>
      <c r="BF1026" s="5" t="s">
        <v>252</v>
      </c>
      <c r="BG1026" s="5" t="s">
        <v>238</v>
      </c>
      <c r="BH1026" s="7">
        <f>0</f>
        <v>0</v>
      </c>
      <c r="BI1026" s="8">
        <f>0</f>
        <v>0</v>
      </c>
      <c r="BJ1026" s="5" t="s">
        <v>253</v>
      </c>
      <c r="BK1026" s="5" t="s">
        <v>254</v>
      </c>
      <c r="BY1026" s="5" t="s">
        <v>238</v>
      </c>
      <c r="BZ1026" s="5" t="s">
        <v>238</v>
      </c>
      <c r="CD1026" s="5" t="s">
        <v>273</v>
      </c>
      <c r="CE1026" s="5" t="s">
        <v>256</v>
      </c>
      <c r="CF1026" s="5" t="s">
        <v>238</v>
      </c>
      <c r="CI1026" s="6" t="s">
        <v>257</v>
      </c>
      <c r="CJ1026" s="5" t="s">
        <v>238</v>
      </c>
      <c r="CK1026" s="5" t="s">
        <v>258</v>
      </c>
      <c r="CL1026" s="5" t="s">
        <v>238</v>
      </c>
      <c r="CM1026" s="5" t="s">
        <v>238</v>
      </c>
      <c r="CN1026" s="5">
        <v>0</v>
      </c>
      <c r="CO1026" s="5" t="s">
        <v>259</v>
      </c>
      <c r="CP1026" s="5" t="s">
        <v>260</v>
      </c>
      <c r="CQ1026" s="5" t="s">
        <v>260</v>
      </c>
      <c r="CR1026" s="5" t="s">
        <v>261</v>
      </c>
      <c r="CU1026" s="8">
        <f>1</f>
        <v>1</v>
      </c>
      <c r="CV1026" s="8">
        <f>0</f>
        <v>0</v>
      </c>
      <c r="CX1026" s="8">
        <f>0</f>
        <v>0</v>
      </c>
      <c r="CY1026" s="8">
        <f>1</f>
        <v>1</v>
      </c>
      <c r="DA1026" s="5" t="s">
        <v>673</v>
      </c>
      <c r="DB1026" s="5" t="s">
        <v>238</v>
      </c>
      <c r="DD1026" s="5" t="s">
        <v>673</v>
      </c>
      <c r="DE1026" s="8">
        <f>165</f>
        <v>165</v>
      </c>
      <c r="DG1026" s="5" t="s">
        <v>238</v>
      </c>
      <c r="DH1026" s="5" t="s">
        <v>238</v>
      </c>
      <c r="DI1026" s="5" t="s">
        <v>238</v>
      </c>
      <c r="DJ1026" s="5" t="s">
        <v>238</v>
      </c>
      <c r="DN1026" s="5" t="s">
        <v>238</v>
      </c>
      <c r="DO1026" s="5" t="s">
        <v>238</v>
      </c>
      <c r="DP1026" s="5" t="s">
        <v>238</v>
      </c>
      <c r="DQ1026" s="5" t="s">
        <v>238</v>
      </c>
      <c r="DT1026" s="5" t="s">
        <v>2039</v>
      </c>
      <c r="DU1026" s="5" t="s">
        <v>831</v>
      </c>
      <c r="HM1026" s="5" t="s">
        <v>264</v>
      </c>
    </row>
    <row r="1027" spans="1:221" x14ac:dyDescent="0.4">
      <c r="A1027" s="5">
        <v>2702</v>
      </c>
      <c r="B1027" s="5">
        <v>1</v>
      </c>
      <c r="C1027" s="5">
        <v>1</v>
      </c>
      <c r="D1027" s="5" t="s">
        <v>2037</v>
      </c>
      <c r="E1027" s="5" t="s">
        <v>271</v>
      </c>
      <c r="F1027" s="5" t="s">
        <v>248</v>
      </c>
      <c r="G1027" s="5" t="s">
        <v>1969</v>
      </c>
      <c r="H1027" s="6" t="s">
        <v>3208</v>
      </c>
      <c r="I1027" s="7">
        <f>31</f>
        <v>31</v>
      </c>
      <c r="J1027" s="5" t="s">
        <v>262</v>
      </c>
      <c r="K1027" s="8">
        <f>1</f>
        <v>1</v>
      </c>
      <c r="L1027" s="6" t="s">
        <v>242</v>
      </c>
      <c r="M1027" s="5" t="s">
        <v>267</v>
      </c>
      <c r="N1027" s="5" t="s">
        <v>265</v>
      </c>
      <c r="O1027" s="5" t="s">
        <v>238</v>
      </c>
      <c r="P1027" s="5" t="s">
        <v>238</v>
      </c>
      <c r="Q1027" s="5" t="s">
        <v>268</v>
      </c>
      <c r="R1027" s="5" t="s">
        <v>270</v>
      </c>
      <c r="S1027" s="5" t="s">
        <v>238</v>
      </c>
      <c r="V1027" s="5" t="s">
        <v>238</v>
      </c>
      <c r="X1027" s="6" t="s">
        <v>238</v>
      </c>
      <c r="AA1027" s="6" t="s">
        <v>243</v>
      </c>
      <c r="AB1027" s="5" t="s">
        <v>238</v>
      </c>
      <c r="AC1027" s="5" t="s">
        <v>244</v>
      </c>
      <c r="AD1027" s="5" t="s">
        <v>245</v>
      </c>
      <c r="AT1027" s="5" t="s">
        <v>246</v>
      </c>
      <c r="AU1027" s="5" t="s">
        <v>238</v>
      </c>
      <c r="AV1027" s="5" t="s">
        <v>247</v>
      </c>
      <c r="AW1027" s="5" t="s">
        <v>238</v>
      </c>
      <c r="AX1027" s="5" t="s">
        <v>249</v>
      </c>
      <c r="AY1027" s="5" t="s">
        <v>238</v>
      </c>
      <c r="BA1027" s="5" t="s">
        <v>238</v>
      </c>
      <c r="BC1027" s="5" t="s">
        <v>250</v>
      </c>
      <c r="BD1027" s="6" t="s">
        <v>243</v>
      </c>
      <c r="BE1027" s="5" t="s">
        <v>251</v>
      </c>
      <c r="BF1027" s="5" t="s">
        <v>252</v>
      </c>
      <c r="BG1027" s="5" t="s">
        <v>238</v>
      </c>
      <c r="BH1027" s="7">
        <f>0</f>
        <v>0</v>
      </c>
      <c r="BI1027" s="8">
        <f>0</f>
        <v>0</v>
      </c>
      <c r="BJ1027" s="5" t="s">
        <v>253</v>
      </c>
      <c r="BK1027" s="5" t="s">
        <v>254</v>
      </c>
      <c r="BY1027" s="5" t="s">
        <v>238</v>
      </c>
      <c r="BZ1027" s="5" t="s">
        <v>238</v>
      </c>
      <c r="CD1027" s="5" t="s">
        <v>273</v>
      </c>
      <c r="CE1027" s="5" t="s">
        <v>256</v>
      </c>
      <c r="CF1027" s="5" t="s">
        <v>238</v>
      </c>
      <c r="CI1027" s="6" t="s">
        <v>257</v>
      </c>
      <c r="CJ1027" s="5" t="s">
        <v>238</v>
      </c>
      <c r="CK1027" s="5" t="s">
        <v>258</v>
      </c>
      <c r="CL1027" s="5" t="s">
        <v>238</v>
      </c>
      <c r="CM1027" s="5" t="s">
        <v>238</v>
      </c>
      <c r="CN1027" s="5">
        <v>0</v>
      </c>
      <c r="CO1027" s="5" t="s">
        <v>259</v>
      </c>
      <c r="CP1027" s="5" t="s">
        <v>260</v>
      </c>
      <c r="CQ1027" s="5" t="s">
        <v>260</v>
      </c>
      <c r="CR1027" s="5" t="s">
        <v>261</v>
      </c>
      <c r="CU1027" s="8">
        <f>1</f>
        <v>1</v>
      </c>
      <c r="CV1027" s="8">
        <f>0</f>
        <v>0</v>
      </c>
      <c r="CX1027" s="8">
        <f>0</f>
        <v>0</v>
      </c>
      <c r="CY1027" s="8">
        <f>1</f>
        <v>1</v>
      </c>
      <c r="DA1027" s="5" t="s">
        <v>673</v>
      </c>
      <c r="DB1027" s="5" t="s">
        <v>238</v>
      </c>
      <c r="DD1027" s="5" t="s">
        <v>673</v>
      </c>
      <c r="DE1027" s="8">
        <f>31</f>
        <v>31</v>
      </c>
      <c r="DG1027" s="5" t="s">
        <v>238</v>
      </c>
      <c r="DH1027" s="5" t="s">
        <v>238</v>
      </c>
      <c r="DI1027" s="5" t="s">
        <v>238</v>
      </c>
      <c r="DJ1027" s="5" t="s">
        <v>238</v>
      </c>
      <c r="DN1027" s="5" t="s">
        <v>238</v>
      </c>
      <c r="DO1027" s="5" t="s">
        <v>238</v>
      </c>
      <c r="DP1027" s="5" t="s">
        <v>238</v>
      </c>
      <c r="DQ1027" s="5" t="s">
        <v>238</v>
      </c>
      <c r="DT1027" s="5" t="s">
        <v>2039</v>
      </c>
      <c r="DU1027" s="5" t="s">
        <v>833</v>
      </c>
      <c r="HM1027" s="5" t="s">
        <v>264</v>
      </c>
    </row>
    <row r="1028" spans="1:221" x14ac:dyDescent="0.4">
      <c r="A1028" s="5">
        <v>2703</v>
      </c>
      <c r="B1028" s="5">
        <v>1</v>
      </c>
      <c r="C1028" s="5">
        <v>1</v>
      </c>
      <c r="D1028" s="5" t="s">
        <v>2037</v>
      </c>
      <c r="E1028" s="5" t="s">
        <v>271</v>
      </c>
      <c r="F1028" s="5" t="s">
        <v>248</v>
      </c>
      <c r="G1028" s="5" t="s">
        <v>1969</v>
      </c>
      <c r="H1028" s="6" t="s">
        <v>3207</v>
      </c>
      <c r="I1028" s="7">
        <f>673</f>
        <v>673</v>
      </c>
      <c r="J1028" s="5" t="s">
        <v>262</v>
      </c>
      <c r="K1028" s="8">
        <f>1</f>
        <v>1</v>
      </c>
      <c r="L1028" s="6" t="s">
        <v>242</v>
      </c>
      <c r="M1028" s="5" t="s">
        <v>267</v>
      </c>
      <c r="N1028" s="5" t="s">
        <v>265</v>
      </c>
      <c r="O1028" s="5" t="s">
        <v>238</v>
      </c>
      <c r="P1028" s="5" t="s">
        <v>238</v>
      </c>
      <c r="Q1028" s="5" t="s">
        <v>268</v>
      </c>
      <c r="R1028" s="5" t="s">
        <v>270</v>
      </c>
      <c r="S1028" s="5" t="s">
        <v>238</v>
      </c>
      <c r="V1028" s="5" t="s">
        <v>238</v>
      </c>
      <c r="X1028" s="6" t="s">
        <v>238</v>
      </c>
      <c r="AA1028" s="6" t="s">
        <v>243</v>
      </c>
      <c r="AB1028" s="5" t="s">
        <v>238</v>
      </c>
      <c r="AC1028" s="5" t="s">
        <v>244</v>
      </c>
      <c r="AD1028" s="5" t="s">
        <v>245</v>
      </c>
      <c r="AT1028" s="5" t="s">
        <v>246</v>
      </c>
      <c r="AU1028" s="5" t="s">
        <v>238</v>
      </c>
      <c r="AV1028" s="5" t="s">
        <v>247</v>
      </c>
      <c r="AW1028" s="5" t="s">
        <v>238</v>
      </c>
      <c r="AX1028" s="5" t="s">
        <v>249</v>
      </c>
      <c r="AY1028" s="5" t="s">
        <v>238</v>
      </c>
      <c r="BA1028" s="5" t="s">
        <v>238</v>
      </c>
      <c r="BC1028" s="5" t="s">
        <v>250</v>
      </c>
      <c r="BD1028" s="6" t="s">
        <v>243</v>
      </c>
      <c r="BE1028" s="5" t="s">
        <v>251</v>
      </c>
      <c r="BF1028" s="5" t="s">
        <v>252</v>
      </c>
      <c r="BG1028" s="5" t="s">
        <v>238</v>
      </c>
      <c r="BH1028" s="7">
        <f>0</f>
        <v>0</v>
      </c>
      <c r="BI1028" s="8">
        <f>0</f>
        <v>0</v>
      </c>
      <c r="BJ1028" s="5" t="s">
        <v>253</v>
      </c>
      <c r="BK1028" s="5" t="s">
        <v>254</v>
      </c>
      <c r="BY1028" s="5" t="s">
        <v>238</v>
      </c>
      <c r="BZ1028" s="5" t="s">
        <v>238</v>
      </c>
      <c r="CD1028" s="5" t="s">
        <v>273</v>
      </c>
      <c r="CE1028" s="5" t="s">
        <v>256</v>
      </c>
      <c r="CF1028" s="5" t="s">
        <v>238</v>
      </c>
      <c r="CI1028" s="6" t="s">
        <v>257</v>
      </c>
      <c r="CJ1028" s="5" t="s">
        <v>238</v>
      </c>
      <c r="CK1028" s="5" t="s">
        <v>258</v>
      </c>
      <c r="CL1028" s="5" t="s">
        <v>238</v>
      </c>
      <c r="CM1028" s="5" t="s">
        <v>238</v>
      </c>
      <c r="CN1028" s="5">
        <v>0</v>
      </c>
      <c r="CO1028" s="5" t="s">
        <v>259</v>
      </c>
      <c r="CP1028" s="5" t="s">
        <v>260</v>
      </c>
      <c r="CQ1028" s="5" t="s">
        <v>260</v>
      </c>
      <c r="CR1028" s="5" t="s">
        <v>261</v>
      </c>
      <c r="CU1028" s="8">
        <f>1</f>
        <v>1</v>
      </c>
      <c r="CV1028" s="8">
        <f>0</f>
        <v>0</v>
      </c>
      <c r="CX1028" s="8">
        <f>0</f>
        <v>0</v>
      </c>
      <c r="CY1028" s="8">
        <f>1</f>
        <v>1</v>
      </c>
      <c r="DA1028" s="5" t="s">
        <v>673</v>
      </c>
      <c r="DB1028" s="5" t="s">
        <v>238</v>
      </c>
      <c r="DD1028" s="5" t="s">
        <v>673</v>
      </c>
      <c r="DE1028" s="8">
        <f>673</f>
        <v>673</v>
      </c>
      <c r="DG1028" s="5" t="s">
        <v>238</v>
      </c>
      <c r="DH1028" s="5" t="s">
        <v>238</v>
      </c>
      <c r="DI1028" s="5" t="s">
        <v>238</v>
      </c>
      <c r="DJ1028" s="5" t="s">
        <v>238</v>
      </c>
      <c r="DN1028" s="5" t="s">
        <v>238</v>
      </c>
      <c r="DO1028" s="5" t="s">
        <v>238</v>
      </c>
      <c r="DP1028" s="5" t="s">
        <v>238</v>
      </c>
      <c r="DQ1028" s="5" t="s">
        <v>238</v>
      </c>
      <c r="DT1028" s="5" t="s">
        <v>2039</v>
      </c>
      <c r="DU1028" s="5" t="s">
        <v>837</v>
      </c>
      <c r="HM1028" s="5" t="s">
        <v>264</v>
      </c>
    </row>
    <row r="1029" spans="1:221" x14ac:dyDescent="0.4">
      <c r="A1029" s="5">
        <v>2704</v>
      </c>
      <c r="B1029" s="5">
        <v>1</v>
      </c>
      <c r="C1029" s="5">
        <v>1</v>
      </c>
      <c r="D1029" s="5" t="s">
        <v>2037</v>
      </c>
      <c r="E1029" s="5" t="s">
        <v>271</v>
      </c>
      <c r="F1029" s="5" t="s">
        <v>248</v>
      </c>
      <c r="G1029" s="5" t="s">
        <v>1969</v>
      </c>
      <c r="H1029" s="6" t="s">
        <v>3205</v>
      </c>
      <c r="I1029" s="7">
        <f>841</f>
        <v>841</v>
      </c>
      <c r="J1029" s="5" t="s">
        <v>262</v>
      </c>
      <c r="K1029" s="8">
        <f>1</f>
        <v>1</v>
      </c>
      <c r="L1029" s="6" t="s">
        <v>242</v>
      </c>
      <c r="M1029" s="5" t="s">
        <v>267</v>
      </c>
      <c r="N1029" s="5" t="s">
        <v>265</v>
      </c>
      <c r="O1029" s="5" t="s">
        <v>238</v>
      </c>
      <c r="P1029" s="5" t="s">
        <v>238</v>
      </c>
      <c r="Q1029" s="5" t="s">
        <v>268</v>
      </c>
      <c r="R1029" s="5" t="s">
        <v>270</v>
      </c>
      <c r="S1029" s="5" t="s">
        <v>238</v>
      </c>
      <c r="V1029" s="5" t="s">
        <v>238</v>
      </c>
      <c r="X1029" s="6" t="s">
        <v>238</v>
      </c>
      <c r="AA1029" s="6" t="s">
        <v>243</v>
      </c>
      <c r="AB1029" s="5" t="s">
        <v>238</v>
      </c>
      <c r="AC1029" s="5" t="s">
        <v>244</v>
      </c>
      <c r="AD1029" s="5" t="s">
        <v>245</v>
      </c>
      <c r="AT1029" s="5" t="s">
        <v>246</v>
      </c>
      <c r="AU1029" s="5" t="s">
        <v>238</v>
      </c>
      <c r="AV1029" s="5" t="s">
        <v>247</v>
      </c>
      <c r="AW1029" s="5" t="s">
        <v>238</v>
      </c>
      <c r="AX1029" s="5" t="s">
        <v>249</v>
      </c>
      <c r="AY1029" s="5" t="s">
        <v>238</v>
      </c>
      <c r="BA1029" s="5" t="s">
        <v>238</v>
      </c>
      <c r="BC1029" s="5" t="s">
        <v>250</v>
      </c>
      <c r="BD1029" s="6" t="s">
        <v>243</v>
      </c>
      <c r="BE1029" s="5" t="s">
        <v>251</v>
      </c>
      <c r="BF1029" s="5" t="s">
        <v>252</v>
      </c>
      <c r="BG1029" s="5" t="s">
        <v>238</v>
      </c>
      <c r="BH1029" s="7">
        <f>0</f>
        <v>0</v>
      </c>
      <c r="BI1029" s="8">
        <f>0</f>
        <v>0</v>
      </c>
      <c r="BJ1029" s="5" t="s">
        <v>253</v>
      </c>
      <c r="BK1029" s="5" t="s">
        <v>254</v>
      </c>
      <c r="BY1029" s="5" t="s">
        <v>238</v>
      </c>
      <c r="BZ1029" s="5" t="s">
        <v>238</v>
      </c>
      <c r="CD1029" s="5" t="s">
        <v>273</v>
      </c>
      <c r="CE1029" s="5" t="s">
        <v>256</v>
      </c>
      <c r="CF1029" s="5" t="s">
        <v>238</v>
      </c>
      <c r="CI1029" s="6" t="s">
        <v>257</v>
      </c>
      <c r="CJ1029" s="5" t="s">
        <v>238</v>
      </c>
      <c r="CK1029" s="5" t="s">
        <v>258</v>
      </c>
      <c r="CL1029" s="5" t="s">
        <v>238</v>
      </c>
      <c r="CM1029" s="5" t="s">
        <v>238</v>
      </c>
      <c r="CN1029" s="5">
        <v>0</v>
      </c>
      <c r="CO1029" s="5" t="s">
        <v>259</v>
      </c>
      <c r="CP1029" s="5" t="s">
        <v>260</v>
      </c>
      <c r="CQ1029" s="5" t="s">
        <v>260</v>
      </c>
      <c r="CR1029" s="5" t="s">
        <v>261</v>
      </c>
      <c r="CU1029" s="8">
        <f>1</f>
        <v>1</v>
      </c>
      <c r="CV1029" s="8">
        <f>0</f>
        <v>0</v>
      </c>
      <c r="CX1029" s="8">
        <f>0</f>
        <v>0</v>
      </c>
      <c r="CY1029" s="8">
        <f>1</f>
        <v>1</v>
      </c>
      <c r="DA1029" s="5" t="s">
        <v>673</v>
      </c>
      <c r="DB1029" s="5" t="s">
        <v>238</v>
      </c>
      <c r="DD1029" s="5" t="s">
        <v>673</v>
      </c>
      <c r="DE1029" s="8">
        <f>841</f>
        <v>841</v>
      </c>
      <c r="DG1029" s="5" t="s">
        <v>238</v>
      </c>
      <c r="DH1029" s="5" t="s">
        <v>238</v>
      </c>
      <c r="DI1029" s="5" t="s">
        <v>238</v>
      </c>
      <c r="DJ1029" s="5" t="s">
        <v>238</v>
      </c>
      <c r="DN1029" s="5" t="s">
        <v>238</v>
      </c>
      <c r="DO1029" s="5" t="s">
        <v>238</v>
      </c>
      <c r="DP1029" s="5" t="s">
        <v>238</v>
      </c>
      <c r="DQ1029" s="5" t="s">
        <v>238</v>
      </c>
      <c r="DT1029" s="5" t="s">
        <v>2039</v>
      </c>
      <c r="DU1029" s="5" t="s">
        <v>3206</v>
      </c>
      <c r="HM1029" s="5" t="s">
        <v>264</v>
      </c>
    </row>
    <row r="1030" spans="1:221" x14ac:dyDescent="0.4">
      <c r="A1030" s="5">
        <v>2705</v>
      </c>
      <c r="B1030" s="5">
        <v>1</v>
      </c>
      <c r="C1030" s="5">
        <v>1</v>
      </c>
      <c r="D1030" s="5" t="s">
        <v>2037</v>
      </c>
      <c r="E1030" s="5" t="s">
        <v>271</v>
      </c>
      <c r="F1030" s="5" t="s">
        <v>248</v>
      </c>
      <c r="G1030" s="5" t="s">
        <v>1969</v>
      </c>
      <c r="H1030" s="6" t="s">
        <v>3204</v>
      </c>
      <c r="I1030" s="7">
        <f>793</f>
        <v>793</v>
      </c>
      <c r="J1030" s="5" t="s">
        <v>262</v>
      </c>
      <c r="K1030" s="8">
        <f>1</f>
        <v>1</v>
      </c>
      <c r="L1030" s="6" t="s">
        <v>242</v>
      </c>
      <c r="M1030" s="5" t="s">
        <v>267</v>
      </c>
      <c r="N1030" s="5" t="s">
        <v>265</v>
      </c>
      <c r="O1030" s="5" t="s">
        <v>238</v>
      </c>
      <c r="P1030" s="5" t="s">
        <v>238</v>
      </c>
      <c r="Q1030" s="5" t="s">
        <v>268</v>
      </c>
      <c r="R1030" s="5" t="s">
        <v>270</v>
      </c>
      <c r="S1030" s="5" t="s">
        <v>238</v>
      </c>
      <c r="V1030" s="5" t="s">
        <v>238</v>
      </c>
      <c r="X1030" s="6" t="s">
        <v>238</v>
      </c>
      <c r="AA1030" s="6" t="s">
        <v>243</v>
      </c>
      <c r="AB1030" s="5" t="s">
        <v>238</v>
      </c>
      <c r="AC1030" s="5" t="s">
        <v>244</v>
      </c>
      <c r="AD1030" s="5" t="s">
        <v>245</v>
      </c>
      <c r="AT1030" s="5" t="s">
        <v>246</v>
      </c>
      <c r="AU1030" s="5" t="s">
        <v>238</v>
      </c>
      <c r="AV1030" s="5" t="s">
        <v>247</v>
      </c>
      <c r="AW1030" s="5" t="s">
        <v>238</v>
      </c>
      <c r="AX1030" s="5" t="s">
        <v>249</v>
      </c>
      <c r="AY1030" s="5" t="s">
        <v>238</v>
      </c>
      <c r="BA1030" s="5" t="s">
        <v>238</v>
      </c>
      <c r="BC1030" s="5" t="s">
        <v>250</v>
      </c>
      <c r="BD1030" s="6" t="s">
        <v>243</v>
      </c>
      <c r="BE1030" s="5" t="s">
        <v>251</v>
      </c>
      <c r="BF1030" s="5" t="s">
        <v>252</v>
      </c>
      <c r="BG1030" s="5" t="s">
        <v>238</v>
      </c>
      <c r="BH1030" s="7">
        <f>0</f>
        <v>0</v>
      </c>
      <c r="BI1030" s="8">
        <f>0</f>
        <v>0</v>
      </c>
      <c r="BJ1030" s="5" t="s">
        <v>253</v>
      </c>
      <c r="BK1030" s="5" t="s">
        <v>254</v>
      </c>
      <c r="BY1030" s="5" t="s">
        <v>238</v>
      </c>
      <c r="BZ1030" s="5" t="s">
        <v>238</v>
      </c>
      <c r="CD1030" s="5" t="s">
        <v>273</v>
      </c>
      <c r="CE1030" s="5" t="s">
        <v>256</v>
      </c>
      <c r="CF1030" s="5" t="s">
        <v>238</v>
      </c>
      <c r="CI1030" s="6" t="s">
        <v>257</v>
      </c>
      <c r="CJ1030" s="5" t="s">
        <v>238</v>
      </c>
      <c r="CK1030" s="5" t="s">
        <v>258</v>
      </c>
      <c r="CL1030" s="5" t="s">
        <v>238</v>
      </c>
      <c r="CM1030" s="5" t="s">
        <v>238</v>
      </c>
      <c r="CN1030" s="5">
        <v>0</v>
      </c>
      <c r="CO1030" s="5" t="s">
        <v>259</v>
      </c>
      <c r="CP1030" s="5" t="s">
        <v>260</v>
      </c>
      <c r="CQ1030" s="5" t="s">
        <v>260</v>
      </c>
      <c r="CR1030" s="5" t="s">
        <v>261</v>
      </c>
      <c r="CU1030" s="8">
        <f>1</f>
        <v>1</v>
      </c>
      <c r="CV1030" s="8">
        <f>0</f>
        <v>0</v>
      </c>
      <c r="CX1030" s="8">
        <f>0</f>
        <v>0</v>
      </c>
      <c r="CY1030" s="8">
        <f>1</f>
        <v>1</v>
      </c>
      <c r="DA1030" s="5" t="s">
        <v>673</v>
      </c>
      <c r="DB1030" s="5" t="s">
        <v>238</v>
      </c>
      <c r="DD1030" s="5" t="s">
        <v>673</v>
      </c>
      <c r="DE1030" s="8">
        <f>793</f>
        <v>793</v>
      </c>
      <c r="DG1030" s="5" t="s">
        <v>238</v>
      </c>
      <c r="DH1030" s="5" t="s">
        <v>238</v>
      </c>
      <c r="DI1030" s="5" t="s">
        <v>238</v>
      </c>
      <c r="DJ1030" s="5" t="s">
        <v>238</v>
      </c>
      <c r="DN1030" s="5" t="s">
        <v>238</v>
      </c>
      <c r="DO1030" s="5" t="s">
        <v>238</v>
      </c>
      <c r="DP1030" s="5" t="s">
        <v>238</v>
      </c>
      <c r="DQ1030" s="5" t="s">
        <v>238</v>
      </c>
      <c r="DT1030" s="5" t="s">
        <v>2039</v>
      </c>
      <c r="DU1030" s="5" t="s">
        <v>845</v>
      </c>
      <c r="HM1030" s="5" t="s">
        <v>264</v>
      </c>
    </row>
    <row r="1031" spans="1:221" x14ac:dyDescent="0.4">
      <c r="A1031" s="5">
        <v>2706</v>
      </c>
      <c r="B1031" s="5">
        <v>1</v>
      </c>
      <c r="C1031" s="5">
        <v>1</v>
      </c>
      <c r="D1031" s="5" t="s">
        <v>2037</v>
      </c>
      <c r="E1031" s="5" t="s">
        <v>271</v>
      </c>
      <c r="F1031" s="5" t="s">
        <v>248</v>
      </c>
      <c r="G1031" s="5" t="s">
        <v>1969</v>
      </c>
      <c r="H1031" s="6" t="s">
        <v>3203</v>
      </c>
      <c r="I1031" s="7">
        <f>2460</f>
        <v>2460</v>
      </c>
      <c r="J1031" s="5" t="s">
        <v>262</v>
      </c>
      <c r="K1031" s="8">
        <f>1</f>
        <v>1</v>
      </c>
      <c r="L1031" s="6" t="s">
        <v>242</v>
      </c>
      <c r="M1031" s="5" t="s">
        <v>267</v>
      </c>
      <c r="N1031" s="5" t="s">
        <v>265</v>
      </c>
      <c r="O1031" s="5" t="s">
        <v>238</v>
      </c>
      <c r="P1031" s="5" t="s">
        <v>238</v>
      </c>
      <c r="Q1031" s="5" t="s">
        <v>268</v>
      </c>
      <c r="R1031" s="5" t="s">
        <v>270</v>
      </c>
      <c r="S1031" s="5" t="s">
        <v>238</v>
      </c>
      <c r="V1031" s="5" t="s">
        <v>238</v>
      </c>
      <c r="X1031" s="6" t="s">
        <v>238</v>
      </c>
      <c r="AA1031" s="6" t="s">
        <v>243</v>
      </c>
      <c r="AB1031" s="5" t="s">
        <v>238</v>
      </c>
      <c r="AC1031" s="5" t="s">
        <v>244</v>
      </c>
      <c r="AD1031" s="5" t="s">
        <v>245</v>
      </c>
      <c r="AT1031" s="5" t="s">
        <v>246</v>
      </c>
      <c r="AU1031" s="5" t="s">
        <v>238</v>
      </c>
      <c r="AV1031" s="5" t="s">
        <v>247</v>
      </c>
      <c r="AW1031" s="5" t="s">
        <v>238</v>
      </c>
      <c r="AX1031" s="5" t="s">
        <v>249</v>
      </c>
      <c r="AY1031" s="5" t="s">
        <v>238</v>
      </c>
      <c r="BA1031" s="5" t="s">
        <v>238</v>
      </c>
      <c r="BC1031" s="5" t="s">
        <v>250</v>
      </c>
      <c r="BD1031" s="6" t="s">
        <v>243</v>
      </c>
      <c r="BE1031" s="5" t="s">
        <v>251</v>
      </c>
      <c r="BF1031" s="5" t="s">
        <v>252</v>
      </c>
      <c r="BG1031" s="5" t="s">
        <v>238</v>
      </c>
      <c r="BH1031" s="7">
        <f>0</f>
        <v>0</v>
      </c>
      <c r="BI1031" s="8">
        <f>0</f>
        <v>0</v>
      </c>
      <c r="BJ1031" s="5" t="s">
        <v>253</v>
      </c>
      <c r="BK1031" s="5" t="s">
        <v>254</v>
      </c>
      <c r="BY1031" s="5" t="s">
        <v>238</v>
      </c>
      <c r="BZ1031" s="5" t="s">
        <v>238</v>
      </c>
      <c r="CD1031" s="5" t="s">
        <v>273</v>
      </c>
      <c r="CE1031" s="5" t="s">
        <v>256</v>
      </c>
      <c r="CF1031" s="5" t="s">
        <v>238</v>
      </c>
      <c r="CI1031" s="6" t="s">
        <v>257</v>
      </c>
      <c r="CJ1031" s="5" t="s">
        <v>238</v>
      </c>
      <c r="CK1031" s="5" t="s">
        <v>258</v>
      </c>
      <c r="CL1031" s="5" t="s">
        <v>238</v>
      </c>
      <c r="CM1031" s="5" t="s">
        <v>238</v>
      </c>
      <c r="CN1031" s="5">
        <v>0</v>
      </c>
      <c r="CO1031" s="5" t="s">
        <v>259</v>
      </c>
      <c r="CP1031" s="5" t="s">
        <v>260</v>
      </c>
      <c r="CQ1031" s="5" t="s">
        <v>260</v>
      </c>
      <c r="CR1031" s="5" t="s">
        <v>261</v>
      </c>
      <c r="CU1031" s="8">
        <f>1</f>
        <v>1</v>
      </c>
      <c r="CV1031" s="8">
        <f>0</f>
        <v>0</v>
      </c>
      <c r="CX1031" s="8">
        <f>0</f>
        <v>0</v>
      </c>
      <c r="CY1031" s="8">
        <f>1</f>
        <v>1</v>
      </c>
      <c r="DA1031" s="5" t="s">
        <v>673</v>
      </c>
      <c r="DB1031" s="5" t="s">
        <v>238</v>
      </c>
      <c r="DD1031" s="5" t="s">
        <v>673</v>
      </c>
      <c r="DE1031" s="8">
        <f>2460</f>
        <v>2460</v>
      </c>
      <c r="DG1031" s="5" t="s">
        <v>238</v>
      </c>
      <c r="DH1031" s="5" t="s">
        <v>238</v>
      </c>
      <c r="DI1031" s="5" t="s">
        <v>238</v>
      </c>
      <c r="DJ1031" s="5" t="s">
        <v>238</v>
      </c>
      <c r="DN1031" s="5" t="s">
        <v>238</v>
      </c>
      <c r="DO1031" s="5" t="s">
        <v>238</v>
      </c>
      <c r="DP1031" s="5" t="s">
        <v>238</v>
      </c>
      <c r="DQ1031" s="5" t="s">
        <v>238</v>
      </c>
      <c r="DT1031" s="5" t="s">
        <v>2039</v>
      </c>
      <c r="DU1031" s="5" t="s">
        <v>847</v>
      </c>
      <c r="HM1031" s="5" t="s">
        <v>264</v>
      </c>
    </row>
    <row r="1032" spans="1:221" x14ac:dyDescent="0.4">
      <c r="A1032" s="5">
        <v>2707</v>
      </c>
      <c r="B1032" s="5">
        <v>1</v>
      </c>
      <c r="C1032" s="5">
        <v>1</v>
      </c>
      <c r="D1032" s="5" t="s">
        <v>2037</v>
      </c>
      <c r="E1032" s="5" t="s">
        <v>271</v>
      </c>
      <c r="F1032" s="5" t="s">
        <v>248</v>
      </c>
      <c r="G1032" s="5" t="s">
        <v>1969</v>
      </c>
      <c r="H1032" s="6" t="s">
        <v>3202</v>
      </c>
      <c r="I1032" s="7">
        <f>3251</f>
        <v>3251</v>
      </c>
      <c r="J1032" s="5" t="s">
        <v>262</v>
      </c>
      <c r="K1032" s="8">
        <f>1</f>
        <v>1</v>
      </c>
      <c r="L1032" s="6" t="s">
        <v>242</v>
      </c>
      <c r="M1032" s="5" t="s">
        <v>267</v>
      </c>
      <c r="N1032" s="5" t="s">
        <v>265</v>
      </c>
      <c r="O1032" s="5" t="s">
        <v>238</v>
      </c>
      <c r="P1032" s="5" t="s">
        <v>238</v>
      </c>
      <c r="Q1032" s="5" t="s">
        <v>268</v>
      </c>
      <c r="R1032" s="5" t="s">
        <v>270</v>
      </c>
      <c r="S1032" s="5" t="s">
        <v>238</v>
      </c>
      <c r="V1032" s="5" t="s">
        <v>238</v>
      </c>
      <c r="X1032" s="6" t="s">
        <v>238</v>
      </c>
      <c r="AA1032" s="6" t="s">
        <v>243</v>
      </c>
      <c r="AB1032" s="5" t="s">
        <v>238</v>
      </c>
      <c r="AC1032" s="5" t="s">
        <v>244</v>
      </c>
      <c r="AD1032" s="5" t="s">
        <v>245</v>
      </c>
      <c r="AT1032" s="5" t="s">
        <v>246</v>
      </c>
      <c r="AU1032" s="5" t="s">
        <v>238</v>
      </c>
      <c r="AV1032" s="5" t="s">
        <v>247</v>
      </c>
      <c r="AW1032" s="5" t="s">
        <v>238</v>
      </c>
      <c r="AX1032" s="5" t="s">
        <v>249</v>
      </c>
      <c r="AY1032" s="5" t="s">
        <v>238</v>
      </c>
      <c r="BA1032" s="5" t="s">
        <v>238</v>
      </c>
      <c r="BC1032" s="5" t="s">
        <v>250</v>
      </c>
      <c r="BD1032" s="6" t="s">
        <v>243</v>
      </c>
      <c r="BE1032" s="5" t="s">
        <v>251</v>
      </c>
      <c r="BF1032" s="5" t="s">
        <v>252</v>
      </c>
      <c r="BG1032" s="5" t="s">
        <v>238</v>
      </c>
      <c r="BH1032" s="7">
        <f>0</f>
        <v>0</v>
      </c>
      <c r="BI1032" s="8">
        <f>0</f>
        <v>0</v>
      </c>
      <c r="BJ1032" s="5" t="s">
        <v>253</v>
      </c>
      <c r="BK1032" s="5" t="s">
        <v>254</v>
      </c>
      <c r="BY1032" s="5" t="s">
        <v>238</v>
      </c>
      <c r="BZ1032" s="5" t="s">
        <v>238</v>
      </c>
      <c r="CD1032" s="5" t="s">
        <v>273</v>
      </c>
      <c r="CE1032" s="5" t="s">
        <v>256</v>
      </c>
      <c r="CF1032" s="5" t="s">
        <v>238</v>
      </c>
      <c r="CI1032" s="6" t="s">
        <v>257</v>
      </c>
      <c r="CJ1032" s="5" t="s">
        <v>238</v>
      </c>
      <c r="CK1032" s="5" t="s">
        <v>258</v>
      </c>
      <c r="CL1032" s="5" t="s">
        <v>238</v>
      </c>
      <c r="CM1032" s="5" t="s">
        <v>238</v>
      </c>
      <c r="CN1032" s="5">
        <v>0</v>
      </c>
      <c r="CO1032" s="5" t="s">
        <v>259</v>
      </c>
      <c r="CP1032" s="5" t="s">
        <v>260</v>
      </c>
      <c r="CQ1032" s="5" t="s">
        <v>260</v>
      </c>
      <c r="CR1032" s="5" t="s">
        <v>261</v>
      </c>
      <c r="CU1032" s="8">
        <f>1</f>
        <v>1</v>
      </c>
      <c r="CV1032" s="8">
        <f>0</f>
        <v>0</v>
      </c>
      <c r="CX1032" s="8">
        <f>0</f>
        <v>0</v>
      </c>
      <c r="CY1032" s="8">
        <f>1</f>
        <v>1</v>
      </c>
      <c r="DA1032" s="5" t="s">
        <v>673</v>
      </c>
      <c r="DB1032" s="5" t="s">
        <v>238</v>
      </c>
      <c r="DD1032" s="5" t="s">
        <v>673</v>
      </c>
      <c r="DE1032" s="8">
        <f>3251</f>
        <v>3251</v>
      </c>
      <c r="DG1032" s="5" t="s">
        <v>238</v>
      </c>
      <c r="DH1032" s="5" t="s">
        <v>238</v>
      </c>
      <c r="DI1032" s="5" t="s">
        <v>238</v>
      </c>
      <c r="DJ1032" s="5" t="s">
        <v>238</v>
      </c>
      <c r="DN1032" s="5" t="s">
        <v>238</v>
      </c>
      <c r="DO1032" s="5" t="s">
        <v>238</v>
      </c>
      <c r="DP1032" s="5" t="s">
        <v>238</v>
      </c>
      <c r="DQ1032" s="5" t="s">
        <v>238</v>
      </c>
      <c r="DT1032" s="5" t="s">
        <v>2039</v>
      </c>
      <c r="DU1032" s="5" t="s">
        <v>849</v>
      </c>
      <c r="HM1032" s="5" t="s">
        <v>264</v>
      </c>
    </row>
    <row r="1033" spans="1:221" x14ac:dyDescent="0.4">
      <c r="A1033" s="5">
        <v>2708</v>
      </c>
      <c r="B1033" s="5">
        <v>1</v>
      </c>
      <c r="C1033" s="5">
        <v>1</v>
      </c>
      <c r="D1033" s="5" t="s">
        <v>2037</v>
      </c>
      <c r="E1033" s="5" t="s">
        <v>271</v>
      </c>
      <c r="F1033" s="5" t="s">
        <v>248</v>
      </c>
      <c r="G1033" s="5" t="s">
        <v>1969</v>
      </c>
      <c r="H1033" s="6" t="s">
        <v>3201</v>
      </c>
      <c r="I1033" s="7">
        <f>1034</f>
        <v>1034</v>
      </c>
      <c r="J1033" s="5" t="s">
        <v>262</v>
      </c>
      <c r="K1033" s="8">
        <f>1</f>
        <v>1</v>
      </c>
      <c r="L1033" s="6" t="s">
        <v>242</v>
      </c>
      <c r="M1033" s="5" t="s">
        <v>267</v>
      </c>
      <c r="N1033" s="5" t="s">
        <v>265</v>
      </c>
      <c r="O1033" s="5" t="s">
        <v>238</v>
      </c>
      <c r="P1033" s="5" t="s">
        <v>238</v>
      </c>
      <c r="Q1033" s="5" t="s">
        <v>268</v>
      </c>
      <c r="R1033" s="5" t="s">
        <v>270</v>
      </c>
      <c r="S1033" s="5" t="s">
        <v>238</v>
      </c>
      <c r="V1033" s="5" t="s">
        <v>238</v>
      </c>
      <c r="X1033" s="6" t="s">
        <v>238</v>
      </c>
      <c r="AA1033" s="6" t="s">
        <v>243</v>
      </c>
      <c r="AB1033" s="5" t="s">
        <v>238</v>
      </c>
      <c r="AC1033" s="5" t="s">
        <v>244</v>
      </c>
      <c r="AD1033" s="5" t="s">
        <v>245</v>
      </c>
      <c r="AT1033" s="5" t="s">
        <v>246</v>
      </c>
      <c r="AU1033" s="5" t="s">
        <v>238</v>
      </c>
      <c r="AV1033" s="5" t="s">
        <v>247</v>
      </c>
      <c r="AW1033" s="5" t="s">
        <v>238</v>
      </c>
      <c r="AX1033" s="5" t="s">
        <v>249</v>
      </c>
      <c r="AY1033" s="5" t="s">
        <v>238</v>
      </c>
      <c r="BA1033" s="5" t="s">
        <v>238</v>
      </c>
      <c r="BC1033" s="5" t="s">
        <v>250</v>
      </c>
      <c r="BD1033" s="6" t="s">
        <v>243</v>
      </c>
      <c r="BE1033" s="5" t="s">
        <v>251</v>
      </c>
      <c r="BF1033" s="5" t="s">
        <v>252</v>
      </c>
      <c r="BG1033" s="5" t="s">
        <v>238</v>
      </c>
      <c r="BH1033" s="7">
        <f>0</f>
        <v>0</v>
      </c>
      <c r="BI1033" s="8">
        <f>0</f>
        <v>0</v>
      </c>
      <c r="BJ1033" s="5" t="s">
        <v>253</v>
      </c>
      <c r="BK1033" s="5" t="s">
        <v>254</v>
      </c>
      <c r="BY1033" s="5" t="s">
        <v>238</v>
      </c>
      <c r="BZ1033" s="5" t="s">
        <v>238</v>
      </c>
      <c r="CD1033" s="5" t="s">
        <v>273</v>
      </c>
      <c r="CE1033" s="5" t="s">
        <v>256</v>
      </c>
      <c r="CF1033" s="5" t="s">
        <v>238</v>
      </c>
      <c r="CI1033" s="6" t="s">
        <v>257</v>
      </c>
      <c r="CJ1033" s="5" t="s">
        <v>238</v>
      </c>
      <c r="CK1033" s="5" t="s">
        <v>258</v>
      </c>
      <c r="CL1033" s="5" t="s">
        <v>238</v>
      </c>
      <c r="CM1033" s="5" t="s">
        <v>238</v>
      </c>
      <c r="CN1033" s="5">
        <v>0</v>
      </c>
      <c r="CO1033" s="5" t="s">
        <v>259</v>
      </c>
      <c r="CP1033" s="5" t="s">
        <v>260</v>
      </c>
      <c r="CQ1033" s="5" t="s">
        <v>260</v>
      </c>
      <c r="CR1033" s="5" t="s">
        <v>261</v>
      </c>
      <c r="CU1033" s="8">
        <f>1</f>
        <v>1</v>
      </c>
      <c r="CV1033" s="8">
        <f>0</f>
        <v>0</v>
      </c>
      <c r="CX1033" s="8">
        <f>0</f>
        <v>0</v>
      </c>
      <c r="CY1033" s="8">
        <f>1</f>
        <v>1</v>
      </c>
      <c r="DA1033" s="5" t="s">
        <v>673</v>
      </c>
      <c r="DB1033" s="5" t="s">
        <v>238</v>
      </c>
      <c r="DD1033" s="5" t="s">
        <v>673</v>
      </c>
      <c r="DE1033" s="8">
        <f>1034</f>
        <v>1034</v>
      </c>
      <c r="DG1033" s="5" t="s">
        <v>238</v>
      </c>
      <c r="DH1033" s="5" t="s">
        <v>238</v>
      </c>
      <c r="DI1033" s="5" t="s">
        <v>238</v>
      </c>
      <c r="DJ1033" s="5" t="s">
        <v>238</v>
      </c>
      <c r="DN1033" s="5" t="s">
        <v>238</v>
      </c>
      <c r="DO1033" s="5" t="s">
        <v>238</v>
      </c>
      <c r="DP1033" s="5" t="s">
        <v>238</v>
      </c>
      <c r="DQ1033" s="5" t="s">
        <v>238</v>
      </c>
      <c r="DT1033" s="5" t="s">
        <v>2039</v>
      </c>
      <c r="DU1033" s="5" t="s">
        <v>851</v>
      </c>
      <c r="HM1033" s="5" t="s">
        <v>264</v>
      </c>
    </row>
    <row r="1034" spans="1:221" x14ac:dyDescent="0.4">
      <c r="A1034" s="5">
        <v>2709</v>
      </c>
      <c r="B1034" s="5">
        <v>1</v>
      </c>
      <c r="C1034" s="5">
        <v>1</v>
      </c>
      <c r="D1034" s="5" t="s">
        <v>2037</v>
      </c>
      <c r="E1034" s="5" t="s">
        <v>271</v>
      </c>
      <c r="F1034" s="5" t="s">
        <v>248</v>
      </c>
      <c r="G1034" s="5" t="s">
        <v>1969</v>
      </c>
      <c r="H1034" s="6" t="s">
        <v>3200</v>
      </c>
      <c r="I1034" s="7">
        <f>476</f>
        <v>476</v>
      </c>
      <c r="J1034" s="5" t="s">
        <v>262</v>
      </c>
      <c r="K1034" s="8">
        <f>1</f>
        <v>1</v>
      </c>
      <c r="L1034" s="6" t="s">
        <v>242</v>
      </c>
      <c r="M1034" s="5" t="s">
        <v>267</v>
      </c>
      <c r="N1034" s="5" t="s">
        <v>265</v>
      </c>
      <c r="O1034" s="5" t="s">
        <v>238</v>
      </c>
      <c r="P1034" s="5" t="s">
        <v>238</v>
      </c>
      <c r="Q1034" s="5" t="s">
        <v>268</v>
      </c>
      <c r="R1034" s="5" t="s">
        <v>270</v>
      </c>
      <c r="S1034" s="5" t="s">
        <v>238</v>
      </c>
      <c r="V1034" s="5" t="s">
        <v>238</v>
      </c>
      <c r="X1034" s="6" t="s">
        <v>238</v>
      </c>
      <c r="AA1034" s="6" t="s">
        <v>243</v>
      </c>
      <c r="AB1034" s="5" t="s">
        <v>238</v>
      </c>
      <c r="AC1034" s="5" t="s">
        <v>244</v>
      </c>
      <c r="AD1034" s="5" t="s">
        <v>245</v>
      </c>
      <c r="AT1034" s="5" t="s">
        <v>246</v>
      </c>
      <c r="AU1034" s="5" t="s">
        <v>238</v>
      </c>
      <c r="AV1034" s="5" t="s">
        <v>247</v>
      </c>
      <c r="AW1034" s="5" t="s">
        <v>238</v>
      </c>
      <c r="AX1034" s="5" t="s">
        <v>249</v>
      </c>
      <c r="AY1034" s="5" t="s">
        <v>238</v>
      </c>
      <c r="BA1034" s="5" t="s">
        <v>238</v>
      </c>
      <c r="BC1034" s="5" t="s">
        <v>250</v>
      </c>
      <c r="BD1034" s="6" t="s">
        <v>243</v>
      </c>
      <c r="BE1034" s="5" t="s">
        <v>251</v>
      </c>
      <c r="BF1034" s="5" t="s">
        <v>252</v>
      </c>
      <c r="BG1034" s="5" t="s">
        <v>238</v>
      </c>
      <c r="BH1034" s="7">
        <f>0</f>
        <v>0</v>
      </c>
      <c r="BI1034" s="8">
        <f>0</f>
        <v>0</v>
      </c>
      <c r="BJ1034" s="5" t="s">
        <v>253</v>
      </c>
      <c r="BK1034" s="5" t="s">
        <v>254</v>
      </c>
      <c r="BY1034" s="5" t="s">
        <v>238</v>
      </c>
      <c r="BZ1034" s="5" t="s">
        <v>238</v>
      </c>
      <c r="CD1034" s="5" t="s">
        <v>273</v>
      </c>
      <c r="CE1034" s="5" t="s">
        <v>256</v>
      </c>
      <c r="CF1034" s="5" t="s">
        <v>238</v>
      </c>
      <c r="CI1034" s="6" t="s">
        <v>257</v>
      </c>
      <c r="CJ1034" s="5" t="s">
        <v>238</v>
      </c>
      <c r="CK1034" s="5" t="s">
        <v>258</v>
      </c>
      <c r="CL1034" s="5" t="s">
        <v>238</v>
      </c>
      <c r="CM1034" s="5" t="s">
        <v>238</v>
      </c>
      <c r="CN1034" s="5">
        <v>0</v>
      </c>
      <c r="CO1034" s="5" t="s">
        <v>259</v>
      </c>
      <c r="CP1034" s="5" t="s">
        <v>260</v>
      </c>
      <c r="CQ1034" s="5" t="s">
        <v>260</v>
      </c>
      <c r="CR1034" s="5" t="s">
        <v>261</v>
      </c>
      <c r="CU1034" s="8">
        <f>1</f>
        <v>1</v>
      </c>
      <c r="CV1034" s="8">
        <f>0</f>
        <v>0</v>
      </c>
      <c r="CX1034" s="8">
        <f>0</f>
        <v>0</v>
      </c>
      <c r="CY1034" s="8">
        <f>1</f>
        <v>1</v>
      </c>
      <c r="DA1034" s="5" t="s">
        <v>673</v>
      </c>
      <c r="DB1034" s="5" t="s">
        <v>238</v>
      </c>
      <c r="DD1034" s="5" t="s">
        <v>673</v>
      </c>
      <c r="DE1034" s="8">
        <f>476</f>
        <v>476</v>
      </c>
      <c r="DG1034" s="5" t="s">
        <v>238</v>
      </c>
      <c r="DH1034" s="5" t="s">
        <v>238</v>
      </c>
      <c r="DI1034" s="5" t="s">
        <v>238</v>
      </c>
      <c r="DJ1034" s="5" t="s">
        <v>238</v>
      </c>
      <c r="DN1034" s="5" t="s">
        <v>238</v>
      </c>
      <c r="DO1034" s="5" t="s">
        <v>238</v>
      </c>
      <c r="DP1034" s="5" t="s">
        <v>238</v>
      </c>
      <c r="DQ1034" s="5" t="s">
        <v>238</v>
      </c>
      <c r="DT1034" s="5" t="s">
        <v>2039</v>
      </c>
      <c r="DU1034" s="5" t="s">
        <v>856</v>
      </c>
      <c r="HM1034" s="5" t="s">
        <v>264</v>
      </c>
    </row>
    <row r="1035" spans="1:221" x14ac:dyDescent="0.4">
      <c r="A1035" s="5">
        <v>2710</v>
      </c>
      <c r="B1035" s="5">
        <v>1</v>
      </c>
      <c r="C1035" s="5">
        <v>1</v>
      </c>
      <c r="D1035" s="5" t="s">
        <v>2037</v>
      </c>
      <c r="E1035" s="5" t="s">
        <v>271</v>
      </c>
      <c r="F1035" s="5" t="s">
        <v>248</v>
      </c>
      <c r="G1035" s="5" t="s">
        <v>1969</v>
      </c>
      <c r="H1035" s="6" t="s">
        <v>3199</v>
      </c>
      <c r="I1035" s="7">
        <f>244</f>
        <v>244</v>
      </c>
      <c r="J1035" s="5" t="s">
        <v>262</v>
      </c>
      <c r="K1035" s="8">
        <f>1</f>
        <v>1</v>
      </c>
      <c r="L1035" s="6" t="s">
        <v>242</v>
      </c>
      <c r="M1035" s="5" t="s">
        <v>267</v>
      </c>
      <c r="N1035" s="5" t="s">
        <v>265</v>
      </c>
      <c r="O1035" s="5" t="s">
        <v>238</v>
      </c>
      <c r="P1035" s="5" t="s">
        <v>238</v>
      </c>
      <c r="Q1035" s="5" t="s">
        <v>268</v>
      </c>
      <c r="R1035" s="5" t="s">
        <v>270</v>
      </c>
      <c r="S1035" s="5" t="s">
        <v>238</v>
      </c>
      <c r="V1035" s="5" t="s">
        <v>238</v>
      </c>
      <c r="X1035" s="6" t="s">
        <v>238</v>
      </c>
      <c r="AA1035" s="6" t="s">
        <v>243</v>
      </c>
      <c r="AB1035" s="5" t="s">
        <v>238</v>
      </c>
      <c r="AC1035" s="5" t="s">
        <v>244</v>
      </c>
      <c r="AD1035" s="5" t="s">
        <v>245</v>
      </c>
      <c r="AT1035" s="5" t="s">
        <v>246</v>
      </c>
      <c r="AU1035" s="5" t="s">
        <v>238</v>
      </c>
      <c r="AV1035" s="5" t="s">
        <v>247</v>
      </c>
      <c r="AW1035" s="5" t="s">
        <v>238</v>
      </c>
      <c r="AX1035" s="5" t="s">
        <v>249</v>
      </c>
      <c r="AY1035" s="5" t="s">
        <v>238</v>
      </c>
      <c r="BA1035" s="5" t="s">
        <v>238</v>
      </c>
      <c r="BC1035" s="5" t="s">
        <v>250</v>
      </c>
      <c r="BD1035" s="6" t="s">
        <v>243</v>
      </c>
      <c r="BE1035" s="5" t="s">
        <v>251</v>
      </c>
      <c r="BF1035" s="5" t="s">
        <v>252</v>
      </c>
      <c r="BG1035" s="5" t="s">
        <v>238</v>
      </c>
      <c r="BH1035" s="7">
        <f>0</f>
        <v>0</v>
      </c>
      <c r="BI1035" s="8">
        <f>0</f>
        <v>0</v>
      </c>
      <c r="BJ1035" s="5" t="s">
        <v>253</v>
      </c>
      <c r="BK1035" s="5" t="s">
        <v>254</v>
      </c>
      <c r="BY1035" s="5" t="s">
        <v>238</v>
      </c>
      <c r="BZ1035" s="5" t="s">
        <v>238</v>
      </c>
      <c r="CD1035" s="5" t="s">
        <v>273</v>
      </c>
      <c r="CE1035" s="5" t="s">
        <v>256</v>
      </c>
      <c r="CF1035" s="5" t="s">
        <v>238</v>
      </c>
      <c r="CI1035" s="6" t="s">
        <v>257</v>
      </c>
      <c r="CJ1035" s="5" t="s">
        <v>238</v>
      </c>
      <c r="CK1035" s="5" t="s">
        <v>258</v>
      </c>
      <c r="CL1035" s="5" t="s">
        <v>238</v>
      </c>
      <c r="CM1035" s="5" t="s">
        <v>238</v>
      </c>
      <c r="CN1035" s="5">
        <v>0</v>
      </c>
      <c r="CO1035" s="5" t="s">
        <v>259</v>
      </c>
      <c r="CP1035" s="5" t="s">
        <v>260</v>
      </c>
      <c r="CQ1035" s="5" t="s">
        <v>260</v>
      </c>
      <c r="CR1035" s="5" t="s">
        <v>261</v>
      </c>
      <c r="CU1035" s="8">
        <f>1</f>
        <v>1</v>
      </c>
      <c r="CV1035" s="8">
        <f>0</f>
        <v>0</v>
      </c>
      <c r="CX1035" s="8">
        <f>0</f>
        <v>0</v>
      </c>
      <c r="CY1035" s="8">
        <f>1</f>
        <v>1</v>
      </c>
      <c r="DA1035" s="5" t="s">
        <v>673</v>
      </c>
      <c r="DB1035" s="5" t="s">
        <v>238</v>
      </c>
      <c r="DD1035" s="5" t="s">
        <v>673</v>
      </c>
      <c r="DE1035" s="8">
        <f>244</f>
        <v>244</v>
      </c>
      <c r="DG1035" s="5" t="s">
        <v>238</v>
      </c>
      <c r="DH1035" s="5" t="s">
        <v>238</v>
      </c>
      <c r="DI1035" s="5" t="s">
        <v>238</v>
      </c>
      <c r="DJ1035" s="5" t="s">
        <v>238</v>
      </c>
      <c r="DN1035" s="5" t="s">
        <v>238</v>
      </c>
      <c r="DO1035" s="5" t="s">
        <v>238</v>
      </c>
      <c r="DP1035" s="5" t="s">
        <v>238</v>
      </c>
      <c r="DQ1035" s="5" t="s">
        <v>238</v>
      </c>
      <c r="DT1035" s="5" t="s">
        <v>2039</v>
      </c>
      <c r="DU1035" s="5" t="s">
        <v>858</v>
      </c>
      <c r="HM1035" s="5" t="s">
        <v>264</v>
      </c>
    </row>
    <row r="1036" spans="1:221" x14ac:dyDescent="0.4">
      <c r="A1036" s="5">
        <v>2711</v>
      </c>
      <c r="B1036" s="5">
        <v>1</v>
      </c>
      <c r="C1036" s="5">
        <v>1</v>
      </c>
      <c r="D1036" s="5" t="s">
        <v>2037</v>
      </c>
      <c r="E1036" s="5" t="s">
        <v>271</v>
      </c>
      <c r="F1036" s="5" t="s">
        <v>248</v>
      </c>
      <c r="G1036" s="5" t="s">
        <v>1969</v>
      </c>
      <c r="H1036" s="6" t="s">
        <v>3198</v>
      </c>
      <c r="I1036" s="7">
        <f>19</f>
        <v>19</v>
      </c>
      <c r="J1036" s="5" t="s">
        <v>262</v>
      </c>
      <c r="K1036" s="8">
        <f>1</f>
        <v>1</v>
      </c>
      <c r="L1036" s="6" t="s">
        <v>242</v>
      </c>
      <c r="M1036" s="5" t="s">
        <v>267</v>
      </c>
      <c r="N1036" s="5" t="s">
        <v>265</v>
      </c>
      <c r="O1036" s="5" t="s">
        <v>238</v>
      </c>
      <c r="P1036" s="5" t="s">
        <v>238</v>
      </c>
      <c r="Q1036" s="5" t="s">
        <v>268</v>
      </c>
      <c r="R1036" s="5" t="s">
        <v>270</v>
      </c>
      <c r="S1036" s="5" t="s">
        <v>238</v>
      </c>
      <c r="V1036" s="5" t="s">
        <v>238</v>
      </c>
      <c r="X1036" s="6" t="s">
        <v>238</v>
      </c>
      <c r="AA1036" s="6" t="s">
        <v>243</v>
      </c>
      <c r="AB1036" s="5" t="s">
        <v>238</v>
      </c>
      <c r="AC1036" s="5" t="s">
        <v>244</v>
      </c>
      <c r="AD1036" s="5" t="s">
        <v>245</v>
      </c>
      <c r="AT1036" s="5" t="s">
        <v>246</v>
      </c>
      <c r="AU1036" s="5" t="s">
        <v>238</v>
      </c>
      <c r="AV1036" s="5" t="s">
        <v>247</v>
      </c>
      <c r="AW1036" s="5" t="s">
        <v>238</v>
      </c>
      <c r="AX1036" s="5" t="s">
        <v>249</v>
      </c>
      <c r="AY1036" s="5" t="s">
        <v>238</v>
      </c>
      <c r="BA1036" s="5" t="s">
        <v>238</v>
      </c>
      <c r="BC1036" s="5" t="s">
        <v>250</v>
      </c>
      <c r="BD1036" s="6" t="s">
        <v>243</v>
      </c>
      <c r="BE1036" s="5" t="s">
        <v>251</v>
      </c>
      <c r="BF1036" s="5" t="s">
        <v>252</v>
      </c>
      <c r="BG1036" s="5" t="s">
        <v>238</v>
      </c>
      <c r="BH1036" s="7">
        <f>0</f>
        <v>0</v>
      </c>
      <c r="BI1036" s="8">
        <f>0</f>
        <v>0</v>
      </c>
      <c r="BJ1036" s="5" t="s">
        <v>253</v>
      </c>
      <c r="BK1036" s="5" t="s">
        <v>254</v>
      </c>
      <c r="BY1036" s="5" t="s">
        <v>238</v>
      </c>
      <c r="BZ1036" s="5" t="s">
        <v>238</v>
      </c>
      <c r="CD1036" s="5" t="s">
        <v>273</v>
      </c>
      <c r="CE1036" s="5" t="s">
        <v>256</v>
      </c>
      <c r="CF1036" s="5" t="s">
        <v>238</v>
      </c>
      <c r="CI1036" s="6" t="s">
        <v>257</v>
      </c>
      <c r="CJ1036" s="5" t="s">
        <v>238</v>
      </c>
      <c r="CK1036" s="5" t="s">
        <v>258</v>
      </c>
      <c r="CL1036" s="5" t="s">
        <v>238</v>
      </c>
      <c r="CM1036" s="5" t="s">
        <v>238</v>
      </c>
      <c r="CN1036" s="5">
        <v>0</v>
      </c>
      <c r="CO1036" s="5" t="s">
        <v>259</v>
      </c>
      <c r="CP1036" s="5" t="s">
        <v>260</v>
      </c>
      <c r="CQ1036" s="5" t="s">
        <v>260</v>
      </c>
      <c r="CR1036" s="5" t="s">
        <v>261</v>
      </c>
      <c r="CU1036" s="8">
        <f>1</f>
        <v>1</v>
      </c>
      <c r="CV1036" s="8">
        <f>0</f>
        <v>0</v>
      </c>
      <c r="CX1036" s="8">
        <f>0</f>
        <v>0</v>
      </c>
      <c r="CY1036" s="8">
        <f>1</f>
        <v>1</v>
      </c>
      <c r="DA1036" s="5" t="s">
        <v>673</v>
      </c>
      <c r="DB1036" s="5" t="s">
        <v>238</v>
      </c>
      <c r="DD1036" s="5" t="s">
        <v>673</v>
      </c>
      <c r="DE1036" s="8">
        <f>19</f>
        <v>19</v>
      </c>
      <c r="DG1036" s="5" t="s">
        <v>238</v>
      </c>
      <c r="DH1036" s="5" t="s">
        <v>238</v>
      </c>
      <c r="DI1036" s="5" t="s">
        <v>238</v>
      </c>
      <c r="DJ1036" s="5" t="s">
        <v>238</v>
      </c>
      <c r="DN1036" s="5" t="s">
        <v>238</v>
      </c>
      <c r="DO1036" s="5" t="s">
        <v>238</v>
      </c>
      <c r="DP1036" s="5" t="s">
        <v>238</v>
      </c>
      <c r="DQ1036" s="5" t="s">
        <v>238</v>
      </c>
      <c r="DT1036" s="5" t="s">
        <v>2039</v>
      </c>
      <c r="DU1036" s="5" t="s">
        <v>862</v>
      </c>
      <c r="HM1036" s="5" t="s">
        <v>264</v>
      </c>
    </row>
    <row r="1037" spans="1:221" x14ac:dyDescent="0.4">
      <c r="A1037" s="5">
        <v>2712</v>
      </c>
      <c r="B1037" s="5">
        <v>1</v>
      </c>
      <c r="C1037" s="5">
        <v>1</v>
      </c>
      <c r="D1037" s="5" t="s">
        <v>2037</v>
      </c>
      <c r="E1037" s="5" t="s">
        <v>271</v>
      </c>
      <c r="F1037" s="5" t="s">
        <v>248</v>
      </c>
      <c r="G1037" s="5" t="s">
        <v>1969</v>
      </c>
      <c r="H1037" s="6" t="s">
        <v>3197</v>
      </c>
      <c r="I1037" s="7">
        <f>708</f>
        <v>708</v>
      </c>
      <c r="J1037" s="5" t="s">
        <v>262</v>
      </c>
      <c r="K1037" s="8">
        <f>1</f>
        <v>1</v>
      </c>
      <c r="L1037" s="6" t="s">
        <v>242</v>
      </c>
      <c r="M1037" s="5" t="s">
        <v>267</v>
      </c>
      <c r="N1037" s="5" t="s">
        <v>265</v>
      </c>
      <c r="O1037" s="5" t="s">
        <v>238</v>
      </c>
      <c r="P1037" s="5" t="s">
        <v>238</v>
      </c>
      <c r="Q1037" s="5" t="s">
        <v>268</v>
      </c>
      <c r="R1037" s="5" t="s">
        <v>270</v>
      </c>
      <c r="S1037" s="5" t="s">
        <v>238</v>
      </c>
      <c r="V1037" s="5" t="s">
        <v>238</v>
      </c>
      <c r="X1037" s="6" t="s">
        <v>238</v>
      </c>
      <c r="AA1037" s="6" t="s">
        <v>243</v>
      </c>
      <c r="AB1037" s="5" t="s">
        <v>238</v>
      </c>
      <c r="AC1037" s="5" t="s">
        <v>244</v>
      </c>
      <c r="AD1037" s="5" t="s">
        <v>245</v>
      </c>
      <c r="AT1037" s="5" t="s">
        <v>246</v>
      </c>
      <c r="AU1037" s="5" t="s">
        <v>238</v>
      </c>
      <c r="AV1037" s="5" t="s">
        <v>247</v>
      </c>
      <c r="AW1037" s="5" t="s">
        <v>238</v>
      </c>
      <c r="AX1037" s="5" t="s">
        <v>249</v>
      </c>
      <c r="AY1037" s="5" t="s">
        <v>238</v>
      </c>
      <c r="BA1037" s="5" t="s">
        <v>238</v>
      </c>
      <c r="BC1037" s="5" t="s">
        <v>250</v>
      </c>
      <c r="BD1037" s="6" t="s">
        <v>243</v>
      </c>
      <c r="BE1037" s="5" t="s">
        <v>251</v>
      </c>
      <c r="BF1037" s="5" t="s">
        <v>252</v>
      </c>
      <c r="BG1037" s="5" t="s">
        <v>238</v>
      </c>
      <c r="BH1037" s="7">
        <f>0</f>
        <v>0</v>
      </c>
      <c r="BI1037" s="8">
        <f>0</f>
        <v>0</v>
      </c>
      <c r="BJ1037" s="5" t="s">
        <v>253</v>
      </c>
      <c r="BK1037" s="5" t="s">
        <v>254</v>
      </c>
      <c r="BY1037" s="5" t="s">
        <v>238</v>
      </c>
      <c r="BZ1037" s="5" t="s">
        <v>238</v>
      </c>
      <c r="CD1037" s="5" t="s">
        <v>273</v>
      </c>
      <c r="CE1037" s="5" t="s">
        <v>256</v>
      </c>
      <c r="CF1037" s="5" t="s">
        <v>238</v>
      </c>
      <c r="CI1037" s="6" t="s">
        <v>257</v>
      </c>
      <c r="CJ1037" s="5" t="s">
        <v>238</v>
      </c>
      <c r="CK1037" s="5" t="s">
        <v>258</v>
      </c>
      <c r="CL1037" s="5" t="s">
        <v>238</v>
      </c>
      <c r="CM1037" s="5" t="s">
        <v>238</v>
      </c>
      <c r="CN1037" s="5">
        <v>0</v>
      </c>
      <c r="CO1037" s="5" t="s">
        <v>259</v>
      </c>
      <c r="CP1037" s="5" t="s">
        <v>260</v>
      </c>
      <c r="CQ1037" s="5" t="s">
        <v>260</v>
      </c>
      <c r="CR1037" s="5" t="s">
        <v>261</v>
      </c>
      <c r="CU1037" s="8">
        <f>1</f>
        <v>1</v>
      </c>
      <c r="CV1037" s="8">
        <f>0</f>
        <v>0</v>
      </c>
      <c r="CX1037" s="8">
        <f>0</f>
        <v>0</v>
      </c>
      <c r="CY1037" s="8">
        <f>1</f>
        <v>1</v>
      </c>
      <c r="DA1037" s="5" t="s">
        <v>673</v>
      </c>
      <c r="DB1037" s="5" t="s">
        <v>238</v>
      </c>
      <c r="DD1037" s="5" t="s">
        <v>673</v>
      </c>
      <c r="DE1037" s="8">
        <f>708</f>
        <v>708</v>
      </c>
      <c r="DG1037" s="5" t="s">
        <v>238</v>
      </c>
      <c r="DH1037" s="5" t="s">
        <v>238</v>
      </c>
      <c r="DI1037" s="5" t="s">
        <v>238</v>
      </c>
      <c r="DJ1037" s="5" t="s">
        <v>238</v>
      </c>
      <c r="DN1037" s="5" t="s">
        <v>238</v>
      </c>
      <c r="DO1037" s="5" t="s">
        <v>238</v>
      </c>
      <c r="DP1037" s="5" t="s">
        <v>238</v>
      </c>
      <c r="DQ1037" s="5" t="s">
        <v>238</v>
      </c>
      <c r="DT1037" s="5" t="s">
        <v>2039</v>
      </c>
      <c r="DU1037" s="5" t="s">
        <v>864</v>
      </c>
      <c r="HM1037" s="5" t="s">
        <v>264</v>
      </c>
    </row>
    <row r="1038" spans="1:221" x14ac:dyDescent="0.4">
      <c r="A1038" s="5">
        <v>2713</v>
      </c>
      <c r="B1038" s="5">
        <v>1</v>
      </c>
      <c r="C1038" s="5">
        <v>1</v>
      </c>
      <c r="D1038" s="5" t="s">
        <v>2037</v>
      </c>
      <c r="E1038" s="5" t="s">
        <v>271</v>
      </c>
      <c r="F1038" s="5" t="s">
        <v>248</v>
      </c>
      <c r="G1038" s="5" t="s">
        <v>1969</v>
      </c>
      <c r="H1038" s="6" t="s">
        <v>3196</v>
      </c>
      <c r="I1038" s="7">
        <f>103</f>
        <v>103</v>
      </c>
      <c r="J1038" s="5" t="s">
        <v>262</v>
      </c>
      <c r="K1038" s="8">
        <f>1</f>
        <v>1</v>
      </c>
      <c r="L1038" s="6" t="s">
        <v>242</v>
      </c>
      <c r="M1038" s="5" t="s">
        <v>267</v>
      </c>
      <c r="N1038" s="5" t="s">
        <v>265</v>
      </c>
      <c r="O1038" s="5" t="s">
        <v>238</v>
      </c>
      <c r="P1038" s="5" t="s">
        <v>238</v>
      </c>
      <c r="Q1038" s="5" t="s">
        <v>268</v>
      </c>
      <c r="R1038" s="5" t="s">
        <v>270</v>
      </c>
      <c r="S1038" s="5" t="s">
        <v>238</v>
      </c>
      <c r="V1038" s="5" t="s">
        <v>238</v>
      </c>
      <c r="X1038" s="6" t="s">
        <v>238</v>
      </c>
      <c r="AA1038" s="6" t="s">
        <v>243</v>
      </c>
      <c r="AB1038" s="5" t="s">
        <v>238</v>
      </c>
      <c r="AC1038" s="5" t="s">
        <v>244</v>
      </c>
      <c r="AD1038" s="5" t="s">
        <v>245</v>
      </c>
      <c r="AT1038" s="5" t="s">
        <v>246</v>
      </c>
      <c r="AU1038" s="5" t="s">
        <v>238</v>
      </c>
      <c r="AV1038" s="5" t="s">
        <v>247</v>
      </c>
      <c r="AW1038" s="5" t="s">
        <v>238</v>
      </c>
      <c r="AX1038" s="5" t="s">
        <v>249</v>
      </c>
      <c r="AY1038" s="5" t="s">
        <v>238</v>
      </c>
      <c r="BA1038" s="5" t="s">
        <v>238</v>
      </c>
      <c r="BC1038" s="5" t="s">
        <v>250</v>
      </c>
      <c r="BD1038" s="6" t="s">
        <v>243</v>
      </c>
      <c r="BE1038" s="5" t="s">
        <v>251</v>
      </c>
      <c r="BF1038" s="5" t="s">
        <v>252</v>
      </c>
      <c r="BG1038" s="5" t="s">
        <v>238</v>
      </c>
      <c r="BH1038" s="7">
        <f>0</f>
        <v>0</v>
      </c>
      <c r="BI1038" s="8">
        <f>0</f>
        <v>0</v>
      </c>
      <c r="BJ1038" s="5" t="s">
        <v>253</v>
      </c>
      <c r="BK1038" s="5" t="s">
        <v>254</v>
      </c>
      <c r="BY1038" s="5" t="s">
        <v>238</v>
      </c>
      <c r="BZ1038" s="5" t="s">
        <v>238</v>
      </c>
      <c r="CD1038" s="5" t="s">
        <v>273</v>
      </c>
      <c r="CE1038" s="5" t="s">
        <v>256</v>
      </c>
      <c r="CF1038" s="5" t="s">
        <v>238</v>
      </c>
      <c r="CI1038" s="6" t="s">
        <v>257</v>
      </c>
      <c r="CJ1038" s="5" t="s">
        <v>238</v>
      </c>
      <c r="CK1038" s="5" t="s">
        <v>258</v>
      </c>
      <c r="CL1038" s="5" t="s">
        <v>238</v>
      </c>
      <c r="CM1038" s="5" t="s">
        <v>238</v>
      </c>
      <c r="CN1038" s="5">
        <v>0</v>
      </c>
      <c r="CO1038" s="5" t="s">
        <v>259</v>
      </c>
      <c r="CP1038" s="5" t="s">
        <v>260</v>
      </c>
      <c r="CQ1038" s="5" t="s">
        <v>260</v>
      </c>
      <c r="CR1038" s="5" t="s">
        <v>261</v>
      </c>
      <c r="CU1038" s="8">
        <f>1</f>
        <v>1</v>
      </c>
      <c r="CV1038" s="8">
        <f>0</f>
        <v>0</v>
      </c>
      <c r="CX1038" s="8">
        <f>0</f>
        <v>0</v>
      </c>
      <c r="CY1038" s="8">
        <f>1</f>
        <v>1</v>
      </c>
      <c r="DA1038" s="5" t="s">
        <v>673</v>
      </c>
      <c r="DB1038" s="5" t="s">
        <v>238</v>
      </c>
      <c r="DD1038" s="5" t="s">
        <v>673</v>
      </c>
      <c r="DE1038" s="8">
        <f>103</f>
        <v>103</v>
      </c>
      <c r="DG1038" s="5" t="s">
        <v>238</v>
      </c>
      <c r="DH1038" s="5" t="s">
        <v>238</v>
      </c>
      <c r="DI1038" s="5" t="s">
        <v>238</v>
      </c>
      <c r="DJ1038" s="5" t="s">
        <v>238</v>
      </c>
      <c r="DN1038" s="5" t="s">
        <v>238</v>
      </c>
      <c r="DO1038" s="5" t="s">
        <v>238</v>
      </c>
      <c r="DP1038" s="5" t="s">
        <v>238</v>
      </c>
      <c r="DQ1038" s="5" t="s">
        <v>238</v>
      </c>
      <c r="DT1038" s="5" t="s">
        <v>2039</v>
      </c>
      <c r="DU1038" s="5" t="s">
        <v>868</v>
      </c>
      <c r="HM1038" s="5" t="s">
        <v>264</v>
      </c>
    </row>
    <row r="1039" spans="1:221" x14ac:dyDescent="0.4">
      <c r="A1039" s="5">
        <v>2714</v>
      </c>
      <c r="B1039" s="5">
        <v>1</v>
      </c>
      <c r="C1039" s="5">
        <v>1</v>
      </c>
      <c r="D1039" s="5" t="s">
        <v>2037</v>
      </c>
      <c r="E1039" s="5" t="s">
        <v>271</v>
      </c>
      <c r="F1039" s="5" t="s">
        <v>248</v>
      </c>
      <c r="G1039" s="5" t="s">
        <v>1969</v>
      </c>
      <c r="H1039" s="6" t="s">
        <v>3195</v>
      </c>
      <c r="I1039" s="7">
        <f>680</f>
        <v>680</v>
      </c>
      <c r="J1039" s="5" t="s">
        <v>262</v>
      </c>
      <c r="K1039" s="8">
        <f>1</f>
        <v>1</v>
      </c>
      <c r="L1039" s="6" t="s">
        <v>242</v>
      </c>
      <c r="M1039" s="5" t="s">
        <v>267</v>
      </c>
      <c r="N1039" s="5" t="s">
        <v>265</v>
      </c>
      <c r="O1039" s="5" t="s">
        <v>238</v>
      </c>
      <c r="P1039" s="5" t="s">
        <v>238</v>
      </c>
      <c r="Q1039" s="5" t="s">
        <v>268</v>
      </c>
      <c r="R1039" s="5" t="s">
        <v>270</v>
      </c>
      <c r="S1039" s="5" t="s">
        <v>238</v>
      </c>
      <c r="V1039" s="5" t="s">
        <v>238</v>
      </c>
      <c r="X1039" s="6" t="s">
        <v>238</v>
      </c>
      <c r="AA1039" s="6" t="s">
        <v>243</v>
      </c>
      <c r="AB1039" s="5" t="s">
        <v>238</v>
      </c>
      <c r="AC1039" s="5" t="s">
        <v>244</v>
      </c>
      <c r="AD1039" s="5" t="s">
        <v>245</v>
      </c>
      <c r="AT1039" s="5" t="s">
        <v>246</v>
      </c>
      <c r="AU1039" s="5" t="s">
        <v>238</v>
      </c>
      <c r="AV1039" s="5" t="s">
        <v>247</v>
      </c>
      <c r="AW1039" s="5" t="s">
        <v>238</v>
      </c>
      <c r="AX1039" s="5" t="s">
        <v>249</v>
      </c>
      <c r="AY1039" s="5" t="s">
        <v>238</v>
      </c>
      <c r="BA1039" s="5" t="s">
        <v>238</v>
      </c>
      <c r="BC1039" s="5" t="s">
        <v>250</v>
      </c>
      <c r="BD1039" s="6" t="s">
        <v>243</v>
      </c>
      <c r="BE1039" s="5" t="s">
        <v>251</v>
      </c>
      <c r="BF1039" s="5" t="s">
        <v>252</v>
      </c>
      <c r="BG1039" s="5" t="s">
        <v>238</v>
      </c>
      <c r="BH1039" s="7">
        <f>0</f>
        <v>0</v>
      </c>
      <c r="BI1039" s="8">
        <f>0</f>
        <v>0</v>
      </c>
      <c r="BJ1039" s="5" t="s">
        <v>253</v>
      </c>
      <c r="BK1039" s="5" t="s">
        <v>254</v>
      </c>
      <c r="BY1039" s="5" t="s">
        <v>238</v>
      </c>
      <c r="BZ1039" s="5" t="s">
        <v>238</v>
      </c>
      <c r="CD1039" s="5" t="s">
        <v>273</v>
      </c>
      <c r="CE1039" s="5" t="s">
        <v>256</v>
      </c>
      <c r="CF1039" s="5" t="s">
        <v>238</v>
      </c>
      <c r="CI1039" s="6" t="s">
        <v>257</v>
      </c>
      <c r="CJ1039" s="5" t="s">
        <v>238</v>
      </c>
      <c r="CK1039" s="5" t="s">
        <v>258</v>
      </c>
      <c r="CL1039" s="5" t="s">
        <v>238</v>
      </c>
      <c r="CM1039" s="5" t="s">
        <v>238</v>
      </c>
      <c r="CN1039" s="5">
        <v>0</v>
      </c>
      <c r="CO1039" s="5" t="s">
        <v>259</v>
      </c>
      <c r="CP1039" s="5" t="s">
        <v>260</v>
      </c>
      <c r="CQ1039" s="5" t="s">
        <v>260</v>
      </c>
      <c r="CR1039" s="5" t="s">
        <v>261</v>
      </c>
      <c r="CU1039" s="8">
        <f>1</f>
        <v>1</v>
      </c>
      <c r="CV1039" s="8">
        <f>0</f>
        <v>0</v>
      </c>
      <c r="CX1039" s="8">
        <f>0</f>
        <v>0</v>
      </c>
      <c r="CY1039" s="8">
        <f>1</f>
        <v>1</v>
      </c>
      <c r="DA1039" s="5" t="s">
        <v>673</v>
      </c>
      <c r="DB1039" s="5" t="s">
        <v>238</v>
      </c>
      <c r="DD1039" s="5" t="s">
        <v>673</v>
      </c>
      <c r="DE1039" s="8">
        <f>680</f>
        <v>680</v>
      </c>
      <c r="DG1039" s="5" t="s">
        <v>238</v>
      </c>
      <c r="DH1039" s="5" t="s">
        <v>238</v>
      </c>
      <c r="DI1039" s="5" t="s">
        <v>238</v>
      </c>
      <c r="DJ1039" s="5" t="s">
        <v>238</v>
      </c>
      <c r="DN1039" s="5" t="s">
        <v>238</v>
      </c>
      <c r="DO1039" s="5" t="s">
        <v>238</v>
      </c>
      <c r="DP1039" s="5" t="s">
        <v>238</v>
      </c>
      <c r="DQ1039" s="5" t="s">
        <v>238</v>
      </c>
      <c r="DT1039" s="5" t="s">
        <v>2039</v>
      </c>
      <c r="DU1039" s="5" t="s">
        <v>872</v>
      </c>
      <c r="HM1039" s="5" t="s">
        <v>264</v>
      </c>
    </row>
    <row r="1040" spans="1:221" x14ac:dyDescent="0.4">
      <c r="A1040" s="5">
        <v>2715</v>
      </c>
      <c r="B1040" s="5">
        <v>1</v>
      </c>
      <c r="C1040" s="5">
        <v>1</v>
      </c>
      <c r="D1040" s="5" t="s">
        <v>2037</v>
      </c>
      <c r="E1040" s="5" t="s">
        <v>271</v>
      </c>
      <c r="F1040" s="5" t="s">
        <v>248</v>
      </c>
      <c r="G1040" s="5" t="s">
        <v>1969</v>
      </c>
      <c r="H1040" s="6" t="s">
        <v>3194</v>
      </c>
      <c r="I1040" s="7">
        <f>465</f>
        <v>465</v>
      </c>
      <c r="J1040" s="5" t="s">
        <v>262</v>
      </c>
      <c r="K1040" s="8">
        <f>1</f>
        <v>1</v>
      </c>
      <c r="L1040" s="6" t="s">
        <v>242</v>
      </c>
      <c r="M1040" s="5" t="s">
        <v>267</v>
      </c>
      <c r="N1040" s="5" t="s">
        <v>265</v>
      </c>
      <c r="O1040" s="5" t="s">
        <v>238</v>
      </c>
      <c r="P1040" s="5" t="s">
        <v>238</v>
      </c>
      <c r="Q1040" s="5" t="s">
        <v>268</v>
      </c>
      <c r="R1040" s="5" t="s">
        <v>270</v>
      </c>
      <c r="S1040" s="5" t="s">
        <v>238</v>
      </c>
      <c r="V1040" s="5" t="s">
        <v>238</v>
      </c>
      <c r="X1040" s="6" t="s">
        <v>238</v>
      </c>
      <c r="AA1040" s="6" t="s">
        <v>243</v>
      </c>
      <c r="AB1040" s="5" t="s">
        <v>238</v>
      </c>
      <c r="AC1040" s="5" t="s">
        <v>244</v>
      </c>
      <c r="AD1040" s="5" t="s">
        <v>245</v>
      </c>
      <c r="AT1040" s="5" t="s">
        <v>246</v>
      </c>
      <c r="AU1040" s="5" t="s">
        <v>238</v>
      </c>
      <c r="AV1040" s="5" t="s">
        <v>247</v>
      </c>
      <c r="AW1040" s="5" t="s">
        <v>238</v>
      </c>
      <c r="AX1040" s="5" t="s">
        <v>249</v>
      </c>
      <c r="AY1040" s="5" t="s">
        <v>238</v>
      </c>
      <c r="BA1040" s="5" t="s">
        <v>238</v>
      </c>
      <c r="BC1040" s="5" t="s">
        <v>250</v>
      </c>
      <c r="BD1040" s="6" t="s">
        <v>243</v>
      </c>
      <c r="BE1040" s="5" t="s">
        <v>251</v>
      </c>
      <c r="BF1040" s="5" t="s">
        <v>252</v>
      </c>
      <c r="BG1040" s="5" t="s">
        <v>238</v>
      </c>
      <c r="BH1040" s="7">
        <f>0</f>
        <v>0</v>
      </c>
      <c r="BI1040" s="8">
        <f>0</f>
        <v>0</v>
      </c>
      <c r="BJ1040" s="5" t="s">
        <v>253</v>
      </c>
      <c r="BK1040" s="5" t="s">
        <v>254</v>
      </c>
      <c r="BY1040" s="5" t="s">
        <v>238</v>
      </c>
      <c r="BZ1040" s="5" t="s">
        <v>238</v>
      </c>
      <c r="CD1040" s="5" t="s">
        <v>273</v>
      </c>
      <c r="CE1040" s="5" t="s">
        <v>256</v>
      </c>
      <c r="CF1040" s="5" t="s">
        <v>238</v>
      </c>
      <c r="CI1040" s="6" t="s">
        <v>257</v>
      </c>
      <c r="CJ1040" s="5" t="s">
        <v>238</v>
      </c>
      <c r="CK1040" s="5" t="s">
        <v>258</v>
      </c>
      <c r="CL1040" s="5" t="s">
        <v>238</v>
      </c>
      <c r="CM1040" s="5" t="s">
        <v>238</v>
      </c>
      <c r="CN1040" s="5">
        <v>0</v>
      </c>
      <c r="CO1040" s="5" t="s">
        <v>259</v>
      </c>
      <c r="CP1040" s="5" t="s">
        <v>260</v>
      </c>
      <c r="CQ1040" s="5" t="s">
        <v>260</v>
      </c>
      <c r="CR1040" s="5" t="s">
        <v>261</v>
      </c>
      <c r="CU1040" s="8">
        <f>1</f>
        <v>1</v>
      </c>
      <c r="CV1040" s="8">
        <f>0</f>
        <v>0</v>
      </c>
      <c r="CX1040" s="8">
        <f>0</f>
        <v>0</v>
      </c>
      <c r="CY1040" s="8">
        <f>1</f>
        <v>1</v>
      </c>
      <c r="DA1040" s="5" t="s">
        <v>673</v>
      </c>
      <c r="DB1040" s="5" t="s">
        <v>238</v>
      </c>
      <c r="DD1040" s="5" t="s">
        <v>673</v>
      </c>
      <c r="DE1040" s="8">
        <f>465</f>
        <v>465</v>
      </c>
      <c r="DG1040" s="5" t="s">
        <v>238</v>
      </c>
      <c r="DH1040" s="5" t="s">
        <v>238</v>
      </c>
      <c r="DI1040" s="5" t="s">
        <v>238</v>
      </c>
      <c r="DJ1040" s="5" t="s">
        <v>238</v>
      </c>
      <c r="DN1040" s="5" t="s">
        <v>238</v>
      </c>
      <c r="DO1040" s="5" t="s">
        <v>238</v>
      </c>
      <c r="DP1040" s="5" t="s">
        <v>238</v>
      </c>
      <c r="DQ1040" s="5" t="s">
        <v>238</v>
      </c>
      <c r="DT1040" s="5" t="s">
        <v>2039</v>
      </c>
      <c r="DU1040" s="5" t="s">
        <v>874</v>
      </c>
      <c r="HM1040" s="5" t="s">
        <v>264</v>
      </c>
    </row>
    <row r="1041" spans="1:221" x14ac:dyDescent="0.4">
      <c r="A1041" s="5">
        <v>2716</v>
      </c>
      <c r="B1041" s="5">
        <v>1</v>
      </c>
      <c r="C1041" s="5">
        <v>1</v>
      </c>
      <c r="D1041" s="5" t="s">
        <v>2037</v>
      </c>
      <c r="E1041" s="5" t="s">
        <v>271</v>
      </c>
      <c r="F1041" s="5" t="s">
        <v>248</v>
      </c>
      <c r="G1041" s="5" t="s">
        <v>1969</v>
      </c>
      <c r="H1041" s="6" t="s">
        <v>3193</v>
      </c>
      <c r="I1041" s="7">
        <f>783</f>
        <v>783</v>
      </c>
      <c r="J1041" s="5" t="s">
        <v>262</v>
      </c>
      <c r="K1041" s="8">
        <f>1</f>
        <v>1</v>
      </c>
      <c r="L1041" s="6" t="s">
        <v>242</v>
      </c>
      <c r="M1041" s="5" t="s">
        <v>267</v>
      </c>
      <c r="N1041" s="5" t="s">
        <v>265</v>
      </c>
      <c r="O1041" s="5" t="s">
        <v>238</v>
      </c>
      <c r="P1041" s="5" t="s">
        <v>238</v>
      </c>
      <c r="Q1041" s="5" t="s">
        <v>268</v>
      </c>
      <c r="R1041" s="5" t="s">
        <v>270</v>
      </c>
      <c r="S1041" s="5" t="s">
        <v>238</v>
      </c>
      <c r="V1041" s="5" t="s">
        <v>238</v>
      </c>
      <c r="X1041" s="6" t="s">
        <v>238</v>
      </c>
      <c r="AA1041" s="6" t="s">
        <v>243</v>
      </c>
      <c r="AB1041" s="5" t="s">
        <v>238</v>
      </c>
      <c r="AC1041" s="5" t="s">
        <v>244</v>
      </c>
      <c r="AD1041" s="5" t="s">
        <v>245</v>
      </c>
      <c r="AT1041" s="5" t="s">
        <v>246</v>
      </c>
      <c r="AU1041" s="5" t="s">
        <v>238</v>
      </c>
      <c r="AV1041" s="5" t="s">
        <v>247</v>
      </c>
      <c r="AW1041" s="5" t="s">
        <v>238</v>
      </c>
      <c r="AX1041" s="5" t="s">
        <v>249</v>
      </c>
      <c r="AY1041" s="5" t="s">
        <v>238</v>
      </c>
      <c r="BA1041" s="5" t="s">
        <v>238</v>
      </c>
      <c r="BC1041" s="5" t="s">
        <v>250</v>
      </c>
      <c r="BD1041" s="6" t="s">
        <v>243</v>
      </c>
      <c r="BE1041" s="5" t="s">
        <v>251</v>
      </c>
      <c r="BF1041" s="5" t="s">
        <v>252</v>
      </c>
      <c r="BG1041" s="5" t="s">
        <v>238</v>
      </c>
      <c r="BH1041" s="7">
        <f>0</f>
        <v>0</v>
      </c>
      <c r="BI1041" s="8">
        <f>0</f>
        <v>0</v>
      </c>
      <c r="BJ1041" s="5" t="s">
        <v>253</v>
      </c>
      <c r="BK1041" s="5" t="s">
        <v>254</v>
      </c>
      <c r="BY1041" s="5" t="s">
        <v>238</v>
      </c>
      <c r="BZ1041" s="5" t="s">
        <v>238</v>
      </c>
      <c r="CD1041" s="5" t="s">
        <v>273</v>
      </c>
      <c r="CE1041" s="5" t="s">
        <v>256</v>
      </c>
      <c r="CF1041" s="5" t="s">
        <v>238</v>
      </c>
      <c r="CI1041" s="6" t="s">
        <v>257</v>
      </c>
      <c r="CJ1041" s="5" t="s">
        <v>238</v>
      </c>
      <c r="CK1041" s="5" t="s">
        <v>258</v>
      </c>
      <c r="CL1041" s="5" t="s">
        <v>238</v>
      </c>
      <c r="CM1041" s="5" t="s">
        <v>238</v>
      </c>
      <c r="CN1041" s="5">
        <v>0</v>
      </c>
      <c r="CO1041" s="5" t="s">
        <v>259</v>
      </c>
      <c r="CP1041" s="5" t="s">
        <v>260</v>
      </c>
      <c r="CQ1041" s="5" t="s">
        <v>260</v>
      </c>
      <c r="CR1041" s="5" t="s">
        <v>261</v>
      </c>
      <c r="CU1041" s="8">
        <f>1</f>
        <v>1</v>
      </c>
      <c r="CV1041" s="8">
        <f>0</f>
        <v>0</v>
      </c>
      <c r="CX1041" s="8">
        <f>0</f>
        <v>0</v>
      </c>
      <c r="CY1041" s="8">
        <f>1</f>
        <v>1</v>
      </c>
      <c r="DA1041" s="5" t="s">
        <v>673</v>
      </c>
      <c r="DB1041" s="5" t="s">
        <v>238</v>
      </c>
      <c r="DD1041" s="5" t="s">
        <v>673</v>
      </c>
      <c r="DE1041" s="8">
        <f>783</f>
        <v>783</v>
      </c>
      <c r="DG1041" s="5" t="s">
        <v>238</v>
      </c>
      <c r="DH1041" s="5" t="s">
        <v>238</v>
      </c>
      <c r="DI1041" s="5" t="s">
        <v>238</v>
      </c>
      <c r="DJ1041" s="5" t="s">
        <v>238</v>
      </c>
      <c r="DN1041" s="5" t="s">
        <v>238</v>
      </c>
      <c r="DO1041" s="5" t="s">
        <v>238</v>
      </c>
      <c r="DP1041" s="5" t="s">
        <v>238</v>
      </c>
      <c r="DQ1041" s="5" t="s">
        <v>238</v>
      </c>
      <c r="DT1041" s="5" t="s">
        <v>2039</v>
      </c>
      <c r="DU1041" s="5" t="s">
        <v>876</v>
      </c>
      <c r="HM1041" s="5" t="s">
        <v>264</v>
      </c>
    </row>
    <row r="1042" spans="1:221" x14ac:dyDescent="0.4">
      <c r="A1042" s="5">
        <v>2717</v>
      </c>
      <c r="B1042" s="5">
        <v>1</v>
      </c>
      <c r="C1042" s="5">
        <v>1</v>
      </c>
      <c r="D1042" s="5" t="s">
        <v>2037</v>
      </c>
      <c r="E1042" s="5" t="s">
        <v>271</v>
      </c>
      <c r="F1042" s="5" t="s">
        <v>248</v>
      </c>
      <c r="G1042" s="5" t="s">
        <v>1969</v>
      </c>
      <c r="H1042" s="6" t="s">
        <v>3192</v>
      </c>
      <c r="I1042" s="7">
        <f>217</f>
        <v>217</v>
      </c>
      <c r="J1042" s="5" t="s">
        <v>262</v>
      </c>
      <c r="K1042" s="8">
        <f>1</f>
        <v>1</v>
      </c>
      <c r="L1042" s="6" t="s">
        <v>242</v>
      </c>
      <c r="M1042" s="5" t="s">
        <v>267</v>
      </c>
      <c r="N1042" s="5" t="s">
        <v>265</v>
      </c>
      <c r="O1042" s="5" t="s">
        <v>238</v>
      </c>
      <c r="P1042" s="5" t="s">
        <v>238</v>
      </c>
      <c r="Q1042" s="5" t="s">
        <v>268</v>
      </c>
      <c r="R1042" s="5" t="s">
        <v>270</v>
      </c>
      <c r="S1042" s="5" t="s">
        <v>238</v>
      </c>
      <c r="V1042" s="5" t="s">
        <v>238</v>
      </c>
      <c r="X1042" s="6" t="s">
        <v>238</v>
      </c>
      <c r="AA1042" s="6" t="s">
        <v>243</v>
      </c>
      <c r="AB1042" s="5" t="s">
        <v>238</v>
      </c>
      <c r="AC1042" s="5" t="s">
        <v>244</v>
      </c>
      <c r="AD1042" s="5" t="s">
        <v>245</v>
      </c>
      <c r="AT1042" s="5" t="s">
        <v>246</v>
      </c>
      <c r="AU1042" s="5" t="s">
        <v>238</v>
      </c>
      <c r="AV1042" s="5" t="s">
        <v>247</v>
      </c>
      <c r="AW1042" s="5" t="s">
        <v>238</v>
      </c>
      <c r="AX1042" s="5" t="s">
        <v>249</v>
      </c>
      <c r="AY1042" s="5" t="s">
        <v>238</v>
      </c>
      <c r="BA1042" s="5" t="s">
        <v>238</v>
      </c>
      <c r="BC1042" s="5" t="s">
        <v>250</v>
      </c>
      <c r="BD1042" s="6" t="s">
        <v>243</v>
      </c>
      <c r="BE1042" s="5" t="s">
        <v>251</v>
      </c>
      <c r="BF1042" s="5" t="s">
        <v>252</v>
      </c>
      <c r="BG1042" s="5" t="s">
        <v>238</v>
      </c>
      <c r="BH1042" s="7">
        <f>0</f>
        <v>0</v>
      </c>
      <c r="BI1042" s="8">
        <f>0</f>
        <v>0</v>
      </c>
      <c r="BJ1042" s="5" t="s">
        <v>253</v>
      </c>
      <c r="BK1042" s="5" t="s">
        <v>254</v>
      </c>
      <c r="BY1042" s="5" t="s">
        <v>238</v>
      </c>
      <c r="BZ1042" s="5" t="s">
        <v>238</v>
      </c>
      <c r="CD1042" s="5" t="s">
        <v>273</v>
      </c>
      <c r="CE1042" s="5" t="s">
        <v>256</v>
      </c>
      <c r="CF1042" s="5" t="s">
        <v>238</v>
      </c>
      <c r="CI1042" s="6" t="s">
        <v>257</v>
      </c>
      <c r="CJ1042" s="5" t="s">
        <v>238</v>
      </c>
      <c r="CK1042" s="5" t="s">
        <v>258</v>
      </c>
      <c r="CL1042" s="5" t="s">
        <v>238</v>
      </c>
      <c r="CM1042" s="5" t="s">
        <v>238</v>
      </c>
      <c r="CN1042" s="5">
        <v>0</v>
      </c>
      <c r="CO1042" s="5" t="s">
        <v>259</v>
      </c>
      <c r="CP1042" s="5" t="s">
        <v>260</v>
      </c>
      <c r="CQ1042" s="5" t="s">
        <v>260</v>
      </c>
      <c r="CR1042" s="5" t="s">
        <v>261</v>
      </c>
      <c r="CU1042" s="8">
        <f>1</f>
        <v>1</v>
      </c>
      <c r="CV1042" s="8">
        <f>0</f>
        <v>0</v>
      </c>
      <c r="CX1042" s="8">
        <f>0</f>
        <v>0</v>
      </c>
      <c r="CY1042" s="8">
        <f>1</f>
        <v>1</v>
      </c>
      <c r="DA1042" s="5" t="s">
        <v>673</v>
      </c>
      <c r="DB1042" s="5" t="s">
        <v>238</v>
      </c>
      <c r="DD1042" s="5" t="s">
        <v>673</v>
      </c>
      <c r="DE1042" s="8">
        <f>217</f>
        <v>217</v>
      </c>
      <c r="DG1042" s="5" t="s">
        <v>238</v>
      </c>
      <c r="DH1042" s="5" t="s">
        <v>238</v>
      </c>
      <c r="DI1042" s="5" t="s">
        <v>238</v>
      </c>
      <c r="DJ1042" s="5" t="s">
        <v>238</v>
      </c>
      <c r="DN1042" s="5" t="s">
        <v>238</v>
      </c>
      <c r="DO1042" s="5" t="s">
        <v>238</v>
      </c>
      <c r="DP1042" s="5" t="s">
        <v>238</v>
      </c>
      <c r="DQ1042" s="5" t="s">
        <v>238</v>
      </c>
      <c r="DT1042" s="5" t="s">
        <v>2039</v>
      </c>
      <c r="DU1042" s="5" t="s">
        <v>884</v>
      </c>
      <c r="HM1042" s="5" t="s">
        <v>264</v>
      </c>
    </row>
    <row r="1043" spans="1:221" x14ac:dyDescent="0.4">
      <c r="A1043" s="5">
        <v>2718</v>
      </c>
      <c r="B1043" s="5">
        <v>1</v>
      </c>
      <c r="C1043" s="5">
        <v>1</v>
      </c>
      <c r="D1043" s="5" t="s">
        <v>2037</v>
      </c>
      <c r="E1043" s="5" t="s">
        <v>271</v>
      </c>
      <c r="F1043" s="5" t="s">
        <v>248</v>
      </c>
      <c r="G1043" s="5" t="s">
        <v>1969</v>
      </c>
      <c r="H1043" s="6" t="s">
        <v>3191</v>
      </c>
      <c r="I1043" s="7">
        <f>111</f>
        <v>111</v>
      </c>
      <c r="J1043" s="5" t="s">
        <v>262</v>
      </c>
      <c r="K1043" s="8">
        <f>1</f>
        <v>1</v>
      </c>
      <c r="L1043" s="6" t="s">
        <v>242</v>
      </c>
      <c r="M1043" s="5" t="s">
        <v>267</v>
      </c>
      <c r="N1043" s="5" t="s">
        <v>265</v>
      </c>
      <c r="O1043" s="5" t="s">
        <v>238</v>
      </c>
      <c r="P1043" s="5" t="s">
        <v>238</v>
      </c>
      <c r="Q1043" s="5" t="s">
        <v>268</v>
      </c>
      <c r="R1043" s="5" t="s">
        <v>270</v>
      </c>
      <c r="S1043" s="5" t="s">
        <v>238</v>
      </c>
      <c r="V1043" s="5" t="s">
        <v>238</v>
      </c>
      <c r="X1043" s="6" t="s">
        <v>238</v>
      </c>
      <c r="AA1043" s="6" t="s">
        <v>243</v>
      </c>
      <c r="AB1043" s="5" t="s">
        <v>238</v>
      </c>
      <c r="AC1043" s="5" t="s">
        <v>244</v>
      </c>
      <c r="AD1043" s="5" t="s">
        <v>245</v>
      </c>
      <c r="AT1043" s="5" t="s">
        <v>246</v>
      </c>
      <c r="AU1043" s="5" t="s">
        <v>238</v>
      </c>
      <c r="AV1043" s="5" t="s">
        <v>247</v>
      </c>
      <c r="AW1043" s="5" t="s">
        <v>238</v>
      </c>
      <c r="AX1043" s="5" t="s">
        <v>249</v>
      </c>
      <c r="AY1043" s="5" t="s">
        <v>238</v>
      </c>
      <c r="BA1043" s="5" t="s">
        <v>238</v>
      </c>
      <c r="BC1043" s="5" t="s">
        <v>250</v>
      </c>
      <c r="BD1043" s="6" t="s">
        <v>243</v>
      </c>
      <c r="BE1043" s="5" t="s">
        <v>251</v>
      </c>
      <c r="BF1043" s="5" t="s">
        <v>252</v>
      </c>
      <c r="BG1043" s="5" t="s">
        <v>238</v>
      </c>
      <c r="BH1043" s="7">
        <f>0</f>
        <v>0</v>
      </c>
      <c r="BI1043" s="8">
        <f>0</f>
        <v>0</v>
      </c>
      <c r="BJ1043" s="5" t="s">
        <v>253</v>
      </c>
      <c r="BK1043" s="5" t="s">
        <v>254</v>
      </c>
      <c r="BY1043" s="5" t="s">
        <v>238</v>
      </c>
      <c r="BZ1043" s="5" t="s">
        <v>238</v>
      </c>
      <c r="CD1043" s="5" t="s">
        <v>273</v>
      </c>
      <c r="CE1043" s="5" t="s">
        <v>256</v>
      </c>
      <c r="CF1043" s="5" t="s">
        <v>238</v>
      </c>
      <c r="CI1043" s="6" t="s">
        <v>257</v>
      </c>
      <c r="CJ1043" s="5" t="s">
        <v>238</v>
      </c>
      <c r="CK1043" s="5" t="s">
        <v>258</v>
      </c>
      <c r="CL1043" s="5" t="s">
        <v>238</v>
      </c>
      <c r="CM1043" s="5" t="s">
        <v>238</v>
      </c>
      <c r="CN1043" s="5">
        <v>0</v>
      </c>
      <c r="CO1043" s="5" t="s">
        <v>259</v>
      </c>
      <c r="CP1043" s="5" t="s">
        <v>260</v>
      </c>
      <c r="CQ1043" s="5" t="s">
        <v>260</v>
      </c>
      <c r="CR1043" s="5" t="s">
        <v>261</v>
      </c>
      <c r="CU1043" s="8">
        <f>1</f>
        <v>1</v>
      </c>
      <c r="CV1043" s="8">
        <f>0</f>
        <v>0</v>
      </c>
      <c r="CX1043" s="8">
        <f>0</f>
        <v>0</v>
      </c>
      <c r="CY1043" s="8">
        <f>1</f>
        <v>1</v>
      </c>
      <c r="DA1043" s="5" t="s">
        <v>673</v>
      </c>
      <c r="DB1043" s="5" t="s">
        <v>238</v>
      </c>
      <c r="DD1043" s="5" t="s">
        <v>673</v>
      </c>
      <c r="DE1043" s="8">
        <f>111</f>
        <v>111</v>
      </c>
      <c r="DG1043" s="5" t="s">
        <v>238</v>
      </c>
      <c r="DH1043" s="5" t="s">
        <v>238</v>
      </c>
      <c r="DI1043" s="5" t="s">
        <v>238</v>
      </c>
      <c r="DJ1043" s="5" t="s">
        <v>238</v>
      </c>
      <c r="DN1043" s="5" t="s">
        <v>238</v>
      </c>
      <c r="DO1043" s="5" t="s">
        <v>238</v>
      </c>
      <c r="DP1043" s="5" t="s">
        <v>238</v>
      </c>
      <c r="DQ1043" s="5" t="s">
        <v>238</v>
      </c>
      <c r="DT1043" s="5" t="s">
        <v>2039</v>
      </c>
      <c r="DU1043" s="5" t="s">
        <v>886</v>
      </c>
      <c r="HM1043" s="5" t="s">
        <v>264</v>
      </c>
    </row>
    <row r="1044" spans="1:221" x14ac:dyDescent="0.4">
      <c r="A1044" s="5">
        <v>2719</v>
      </c>
      <c r="B1044" s="5">
        <v>1</v>
      </c>
      <c r="C1044" s="5">
        <v>1</v>
      </c>
      <c r="D1044" s="5" t="s">
        <v>2037</v>
      </c>
      <c r="E1044" s="5" t="s">
        <v>271</v>
      </c>
      <c r="F1044" s="5" t="s">
        <v>248</v>
      </c>
      <c r="G1044" s="5" t="s">
        <v>1969</v>
      </c>
      <c r="H1044" s="6" t="s">
        <v>3190</v>
      </c>
      <c r="I1044" s="7">
        <f>128</f>
        <v>128</v>
      </c>
      <c r="J1044" s="5" t="s">
        <v>262</v>
      </c>
      <c r="K1044" s="8">
        <f>1</f>
        <v>1</v>
      </c>
      <c r="L1044" s="6" t="s">
        <v>242</v>
      </c>
      <c r="M1044" s="5" t="s">
        <v>267</v>
      </c>
      <c r="N1044" s="5" t="s">
        <v>265</v>
      </c>
      <c r="O1044" s="5" t="s">
        <v>238</v>
      </c>
      <c r="P1044" s="5" t="s">
        <v>238</v>
      </c>
      <c r="Q1044" s="5" t="s">
        <v>268</v>
      </c>
      <c r="R1044" s="5" t="s">
        <v>270</v>
      </c>
      <c r="S1044" s="5" t="s">
        <v>238</v>
      </c>
      <c r="V1044" s="5" t="s">
        <v>238</v>
      </c>
      <c r="X1044" s="6" t="s">
        <v>238</v>
      </c>
      <c r="AA1044" s="6" t="s">
        <v>243</v>
      </c>
      <c r="AB1044" s="5" t="s">
        <v>238</v>
      </c>
      <c r="AC1044" s="5" t="s">
        <v>244</v>
      </c>
      <c r="AD1044" s="5" t="s">
        <v>245</v>
      </c>
      <c r="AT1044" s="5" t="s">
        <v>246</v>
      </c>
      <c r="AU1044" s="5" t="s">
        <v>238</v>
      </c>
      <c r="AV1044" s="5" t="s">
        <v>247</v>
      </c>
      <c r="AW1044" s="5" t="s">
        <v>238</v>
      </c>
      <c r="AX1044" s="5" t="s">
        <v>249</v>
      </c>
      <c r="AY1044" s="5" t="s">
        <v>238</v>
      </c>
      <c r="BA1044" s="5" t="s">
        <v>238</v>
      </c>
      <c r="BC1044" s="5" t="s">
        <v>250</v>
      </c>
      <c r="BD1044" s="6" t="s">
        <v>243</v>
      </c>
      <c r="BE1044" s="5" t="s">
        <v>251</v>
      </c>
      <c r="BF1044" s="5" t="s">
        <v>252</v>
      </c>
      <c r="BG1044" s="5" t="s">
        <v>238</v>
      </c>
      <c r="BH1044" s="7">
        <f>0</f>
        <v>0</v>
      </c>
      <c r="BI1044" s="8">
        <f>0</f>
        <v>0</v>
      </c>
      <c r="BJ1044" s="5" t="s">
        <v>253</v>
      </c>
      <c r="BK1044" s="5" t="s">
        <v>254</v>
      </c>
      <c r="BY1044" s="5" t="s">
        <v>238</v>
      </c>
      <c r="BZ1044" s="5" t="s">
        <v>238</v>
      </c>
      <c r="CD1044" s="5" t="s">
        <v>273</v>
      </c>
      <c r="CE1044" s="5" t="s">
        <v>256</v>
      </c>
      <c r="CF1044" s="5" t="s">
        <v>238</v>
      </c>
      <c r="CI1044" s="6" t="s">
        <v>257</v>
      </c>
      <c r="CJ1044" s="5" t="s">
        <v>238</v>
      </c>
      <c r="CK1044" s="5" t="s">
        <v>258</v>
      </c>
      <c r="CL1044" s="5" t="s">
        <v>238</v>
      </c>
      <c r="CM1044" s="5" t="s">
        <v>238</v>
      </c>
      <c r="CN1044" s="5">
        <v>0</v>
      </c>
      <c r="CO1044" s="5" t="s">
        <v>259</v>
      </c>
      <c r="CP1044" s="5" t="s">
        <v>260</v>
      </c>
      <c r="CQ1044" s="5" t="s">
        <v>260</v>
      </c>
      <c r="CR1044" s="5" t="s">
        <v>261</v>
      </c>
      <c r="CU1044" s="8">
        <f>1</f>
        <v>1</v>
      </c>
      <c r="CV1044" s="8">
        <f>0</f>
        <v>0</v>
      </c>
      <c r="CX1044" s="8">
        <f>0</f>
        <v>0</v>
      </c>
      <c r="CY1044" s="8">
        <f>1</f>
        <v>1</v>
      </c>
      <c r="DA1044" s="5" t="s">
        <v>673</v>
      </c>
      <c r="DB1044" s="5" t="s">
        <v>238</v>
      </c>
      <c r="DD1044" s="5" t="s">
        <v>673</v>
      </c>
      <c r="DE1044" s="8">
        <f>128</f>
        <v>128</v>
      </c>
      <c r="DG1044" s="5" t="s">
        <v>238</v>
      </c>
      <c r="DH1044" s="5" t="s">
        <v>238</v>
      </c>
      <c r="DI1044" s="5" t="s">
        <v>238</v>
      </c>
      <c r="DJ1044" s="5" t="s">
        <v>238</v>
      </c>
      <c r="DN1044" s="5" t="s">
        <v>238</v>
      </c>
      <c r="DO1044" s="5" t="s">
        <v>238</v>
      </c>
      <c r="DP1044" s="5" t="s">
        <v>238</v>
      </c>
      <c r="DQ1044" s="5" t="s">
        <v>238</v>
      </c>
      <c r="DT1044" s="5" t="s">
        <v>2039</v>
      </c>
      <c r="DU1044" s="5" t="s">
        <v>892</v>
      </c>
      <c r="HM1044" s="5" t="s">
        <v>264</v>
      </c>
    </row>
    <row r="1045" spans="1:221" x14ac:dyDescent="0.4">
      <c r="A1045" s="5">
        <v>2720</v>
      </c>
      <c r="B1045" s="5">
        <v>1</v>
      </c>
      <c r="C1045" s="5">
        <v>1</v>
      </c>
      <c r="D1045" s="5" t="s">
        <v>2037</v>
      </c>
      <c r="E1045" s="5" t="s">
        <v>271</v>
      </c>
      <c r="F1045" s="5" t="s">
        <v>248</v>
      </c>
      <c r="G1045" s="5" t="s">
        <v>1969</v>
      </c>
      <c r="H1045" s="6" t="s">
        <v>3189</v>
      </c>
      <c r="I1045" s="7">
        <f>34</f>
        <v>34</v>
      </c>
      <c r="J1045" s="5" t="s">
        <v>262</v>
      </c>
      <c r="K1045" s="8">
        <f>1</f>
        <v>1</v>
      </c>
      <c r="L1045" s="6" t="s">
        <v>242</v>
      </c>
      <c r="M1045" s="5" t="s">
        <v>267</v>
      </c>
      <c r="N1045" s="5" t="s">
        <v>265</v>
      </c>
      <c r="O1045" s="5" t="s">
        <v>238</v>
      </c>
      <c r="P1045" s="5" t="s">
        <v>238</v>
      </c>
      <c r="Q1045" s="5" t="s">
        <v>268</v>
      </c>
      <c r="R1045" s="5" t="s">
        <v>270</v>
      </c>
      <c r="S1045" s="5" t="s">
        <v>238</v>
      </c>
      <c r="V1045" s="5" t="s">
        <v>238</v>
      </c>
      <c r="X1045" s="6" t="s">
        <v>238</v>
      </c>
      <c r="AA1045" s="6" t="s">
        <v>243</v>
      </c>
      <c r="AB1045" s="5" t="s">
        <v>238</v>
      </c>
      <c r="AC1045" s="5" t="s">
        <v>244</v>
      </c>
      <c r="AD1045" s="5" t="s">
        <v>245</v>
      </c>
      <c r="AT1045" s="5" t="s">
        <v>246</v>
      </c>
      <c r="AU1045" s="5" t="s">
        <v>238</v>
      </c>
      <c r="AV1045" s="5" t="s">
        <v>247</v>
      </c>
      <c r="AW1045" s="5" t="s">
        <v>238</v>
      </c>
      <c r="AX1045" s="5" t="s">
        <v>249</v>
      </c>
      <c r="AY1045" s="5" t="s">
        <v>238</v>
      </c>
      <c r="BA1045" s="5" t="s">
        <v>238</v>
      </c>
      <c r="BC1045" s="5" t="s">
        <v>250</v>
      </c>
      <c r="BD1045" s="6" t="s">
        <v>243</v>
      </c>
      <c r="BE1045" s="5" t="s">
        <v>251</v>
      </c>
      <c r="BF1045" s="5" t="s">
        <v>252</v>
      </c>
      <c r="BG1045" s="5" t="s">
        <v>238</v>
      </c>
      <c r="BH1045" s="7">
        <f>0</f>
        <v>0</v>
      </c>
      <c r="BI1045" s="8">
        <f>0</f>
        <v>0</v>
      </c>
      <c r="BJ1045" s="5" t="s">
        <v>253</v>
      </c>
      <c r="BK1045" s="5" t="s">
        <v>254</v>
      </c>
      <c r="BY1045" s="5" t="s">
        <v>238</v>
      </c>
      <c r="BZ1045" s="5" t="s">
        <v>238</v>
      </c>
      <c r="CD1045" s="5" t="s">
        <v>273</v>
      </c>
      <c r="CE1045" s="5" t="s">
        <v>256</v>
      </c>
      <c r="CF1045" s="5" t="s">
        <v>238</v>
      </c>
      <c r="CI1045" s="6" t="s">
        <v>257</v>
      </c>
      <c r="CJ1045" s="5" t="s">
        <v>238</v>
      </c>
      <c r="CK1045" s="5" t="s">
        <v>258</v>
      </c>
      <c r="CL1045" s="5" t="s">
        <v>238</v>
      </c>
      <c r="CM1045" s="5" t="s">
        <v>238</v>
      </c>
      <c r="CN1045" s="5">
        <v>0</v>
      </c>
      <c r="CO1045" s="5" t="s">
        <v>259</v>
      </c>
      <c r="CP1045" s="5" t="s">
        <v>260</v>
      </c>
      <c r="CQ1045" s="5" t="s">
        <v>260</v>
      </c>
      <c r="CR1045" s="5" t="s">
        <v>261</v>
      </c>
      <c r="CU1045" s="8">
        <f>1</f>
        <v>1</v>
      </c>
      <c r="CV1045" s="8">
        <f>0</f>
        <v>0</v>
      </c>
      <c r="CX1045" s="8">
        <f>0</f>
        <v>0</v>
      </c>
      <c r="CY1045" s="8">
        <f>1</f>
        <v>1</v>
      </c>
      <c r="DA1045" s="5" t="s">
        <v>673</v>
      </c>
      <c r="DB1045" s="5" t="s">
        <v>238</v>
      </c>
      <c r="DD1045" s="5" t="s">
        <v>673</v>
      </c>
      <c r="DE1045" s="8">
        <f>34</f>
        <v>34</v>
      </c>
      <c r="DG1045" s="5" t="s">
        <v>238</v>
      </c>
      <c r="DH1045" s="5" t="s">
        <v>238</v>
      </c>
      <c r="DI1045" s="5" t="s">
        <v>238</v>
      </c>
      <c r="DJ1045" s="5" t="s">
        <v>238</v>
      </c>
      <c r="DN1045" s="5" t="s">
        <v>238</v>
      </c>
      <c r="DO1045" s="5" t="s">
        <v>238</v>
      </c>
      <c r="DP1045" s="5" t="s">
        <v>238</v>
      </c>
      <c r="DQ1045" s="5" t="s">
        <v>238</v>
      </c>
      <c r="DT1045" s="5" t="s">
        <v>2039</v>
      </c>
      <c r="DU1045" s="5" t="s">
        <v>894</v>
      </c>
      <c r="HM1045" s="5" t="s">
        <v>264</v>
      </c>
    </row>
    <row r="1046" spans="1:221" x14ac:dyDescent="0.4">
      <c r="A1046" s="5">
        <v>2721</v>
      </c>
      <c r="B1046" s="5">
        <v>1</v>
      </c>
      <c r="C1046" s="5">
        <v>1</v>
      </c>
      <c r="D1046" s="5" t="s">
        <v>2037</v>
      </c>
      <c r="E1046" s="5" t="s">
        <v>271</v>
      </c>
      <c r="F1046" s="5" t="s">
        <v>248</v>
      </c>
      <c r="G1046" s="5" t="s">
        <v>1969</v>
      </c>
      <c r="H1046" s="6" t="s">
        <v>3188</v>
      </c>
      <c r="I1046" s="7">
        <f>328</f>
        <v>328</v>
      </c>
      <c r="J1046" s="5" t="s">
        <v>262</v>
      </c>
      <c r="K1046" s="8">
        <f>1</f>
        <v>1</v>
      </c>
      <c r="L1046" s="6" t="s">
        <v>242</v>
      </c>
      <c r="M1046" s="5" t="s">
        <v>267</v>
      </c>
      <c r="N1046" s="5" t="s">
        <v>265</v>
      </c>
      <c r="O1046" s="5" t="s">
        <v>238</v>
      </c>
      <c r="P1046" s="5" t="s">
        <v>238</v>
      </c>
      <c r="Q1046" s="5" t="s">
        <v>268</v>
      </c>
      <c r="R1046" s="5" t="s">
        <v>270</v>
      </c>
      <c r="S1046" s="5" t="s">
        <v>238</v>
      </c>
      <c r="V1046" s="5" t="s">
        <v>238</v>
      </c>
      <c r="X1046" s="6" t="s">
        <v>238</v>
      </c>
      <c r="AA1046" s="6" t="s">
        <v>243</v>
      </c>
      <c r="AB1046" s="5" t="s">
        <v>238</v>
      </c>
      <c r="AC1046" s="5" t="s">
        <v>244</v>
      </c>
      <c r="AD1046" s="5" t="s">
        <v>245</v>
      </c>
      <c r="AT1046" s="5" t="s">
        <v>246</v>
      </c>
      <c r="AU1046" s="5" t="s">
        <v>238</v>
      </c>
      <c r="AV1046" s="5" t="s">
        <v>247</v>
      </c>
      <c r="AW1046" s="5" t="s">
        <v>238</v>
      </c>
      <c r="AX1046" s="5" t="s">
        <v>249</v>
      </c>
      <c r="AY1046" s="5" t="s">
        <v>238</v>
      </c>
      <c r="BA1046" s="5" t="s">
        <v>238</v>
      </c>
      <c r="BC1046" s="5" t="s">
        <v>250</v>
      </c>
      <c r="BD1046" s="6" t="s">
        <v>243</v>
      </c>
      <c r="BE1046" s="5" t="s">
        <v>251</v>
      </c>
      <c r="BF1046" s="5" t="s">
        <v>252</v>
      </c>
      <c r="BG1046" s="5" t="s">
        <v>238</v>
      </c>
      <c r="BH1046" s="7">
        <f>0</f>
        <v>0</v>
      </c>
      <c r="BI1046" s="8">
        <f>0</f>
        <v>0</v>
      </c>
      <c r="BJ1046" s="5" t="s">
        <v>253</v>
      </c>
      <c r="BK1046" s="5" t="s">
        <v>254</v>
      </c>
      <c r="BY1046" s="5" t="s">
        <v>238</v>
      </c>
      <c r="BZ1046" s="5" t="s">
        <v>238</v>
      </c>
      <c r="CD1046" s="5" t="s">
        <v>273</v>
      </c>
      <c r="CE1046" s="5" t="s">
        <v>256</v>
      </c>
      <c r="CF1046" s="5" t="s">
        <v>238</v>
      </c>
      <c r="CI1046" s="6" t="s">
        <v>257</v>
      </c>
      <c r="CJ1046" s="5" t="s">
        <v>238</v>
      </c>
      <c r="CK1046" s="5" t="s">
        <v>258</v>
      </c>
      <c r="CL1046" s="5" t="s">
        <v>238</v>
      </c>
      <c r="CM1046" s="5" t="s">
        <v>238</v>
      </c>
      <c r="CN1046" s="5">
        <v>0</v>
      </c>
      <c r="CO1046" s="5" t="s">
        <v>259</v>
      </c>
      <c r="CP1046" s="5" t="s">
        <v>260</v>
      </c>
      <c r="CQ1046" s="5" t="s">
        <v>260</v>
      </c>
      <c r="CR1046" s="5" t="s">
        <v>261</v>
      </c>
      <c r="CU1046" s="8">
        <f>1</f>
        <v>1</v>
      </c>
      <c r="CV1046" s="8">
        <f>0</f>
        <v>0</v>
      </c>
      <c r="CX1046" s="8">
        <f>0</f>
        <v>0</v>
      </c>
      <c r="CY1046" s="8">
        <f>1</f>
        <v>1</v>
      </c>
      <c r="DA1046" s="5" t="s">
        <v>673</v>
      </c>
      <c r="DB1046" s="5" t="s">
        <v>238</v>
      </c>
      <c r="DD1046" s="5" t="s">
        <v>673</v>
      </c>
      <c r="DE1046" s="8">
        <f>328</f>
        <v>328</v>
      </c>
      <c r="DG1046" s="5" t="s">
        <v>238</v>
      </c>
      <c r="DH1046" s="5" t="s">
        <v>238</v>
      </c>
      <c r="DI1046" s="5" t="s">
        <v>238</v>
      </c>
      <c r="DJ1046" s="5" t="s">
        <v>238</v>
      </c>
      <c r="DN1046" s="5" t="s">
        <v>238</v>
      </c>
      <c r="DO1046" s="5" t="s">
        <v>238</v>
      </c>
      <c r="DP1046" s="5" t="s">
        <v>238</v>
      </c>
      <c r="DQ1046" s="5" t="s">
        <v>238</v>
      </c>
      <c r="DT1046" s="5" t="s">
        <v>2039</v>
      </c>
      <c r="DU1046" s="5" t="s">
        <v>900</v>
      </c>
      <c r="HM1046" s="5" t="s">
        <v>264</v>
      </c>
    </row>
    <row r="1047" spans="1:221" x14ac:dyDescent="0.4">
      <c r="A1047" s="5">
        <v>2722</v>
      </c>
      <c r="B1047" s="5">
        <v>1</v>
      </c>
      <c r="C1047" s="5">
        <v>1</v>
      </c>
      <c r="D1047" s="5" t="s">
        <v>2037</v>
      </c>
      <c r="E1047" s="5" t="s">
        <v>271</v>
      </c>
      <c r="F1047" s="5" t="s">
        <v>248</v>
      </c>
      <c r="G1047" s="5" t="s">
        <v>1969</v>
      </c>
      <c r="H1047" s="6" t="s">
        <v>3187</v>
      </c>
      <c r="I1047" s="7">
        <f>99</f>
        <v>99</v>
      </c>
      <c r="J1047" s="5" t="s">
        <v>262</v>
      </c>
      <c r="K1047" s="8">
        <f>1</f>
        <v>1</v>
      </c>
      <c r="L1047" s="6" t="s">
        <v>242</v>
      </c>
      <c r="M1047" s="5" t="s">
        <v>267</v>
      </c>
      <c r="N1047" s="5" t="s">
        <v>265</v>
      </c>
      <c r="O1047" s="5" t="s">
        <v>238</v>
      </c>
      <c r="P1047" s="5" t="s">
        <v>238</v>
      </c>
      <c r="Q1047" s="5" t="s">
        <v>268</v>
      </c>
      <c r="R1047" s="5" t="s">
        <v>270</v>
      </c>
      <c r="S1047" s="5" t="s">
        <v>238</v>
      </c>
      <c r="V1047" s="5" t="s">
        <v>238</v>
      </c>
      <c r="X1047" s="6" t="s">
        <v>238</v>
      </c>
      <c r="AA1047" s="6" t="s">
        <v>243</v>
      </c>
      <c r="AB1047" s="5" t="s">
        <v>238</v>
      </c>
      <c r="AC1047" s="5" t="s">
        <v>244</v>
      </c>
      <c r="AD1047" s="5" t="s">
        <v>245</v>
      </c>
      <c r="AT1047" s="5" t="s">
        <v>246</v>
      </c>
      <c r="AU1047" s="5" t="s">
        <v>238</v>
      </c>
      <c r="AV1047" s="5" t="s">
        <v>247</v>
      </c>
      <c r="AW1047" s="5" t="s">
        <v>238</v>
      </c>
      <c r="AX1047" s="5" t="s">
        <v>249</v>
      </c>
      <c r="AY1047" s="5" t="s">
        <v>238</v>
      </c>
      <c r="BA1047" s="5" t="s">
        <v>238</v>
      </c>
      <c r="BC1047" s="5" t="s">
        <v>250</v>
      </c>
      <c r="BD1047" s="6" t="s">
        <v>243</v>
      </c>
      <c r="BE1047" s="5" t="s">
        <v>251</v>
      </c>
      <c r="BF1047" s="5" t="s">
        <v>252</v>
      </c>
      <c r="BG1047" s="5" t="s">
        <v>238</v>
      </c>
      <c r="BH1047" s="7">
        <f>0</f>
        <v>0</v>
      </c>
      <c r="BI1047" s="8">
        <f>0</f>
        <v>0</v>
      </c>
      <c r="BJ1047" s="5" t="s">
        <v>253</v>
      </c>
      <c r="BK1047" s="5" t="s">
        <v>254</v>
      </c>
      <c r="BY1047" s="5" t="s">
        <v>238</v>
      </c>
      <c r="BZ1047" s="5" t="s">
        <v>238</v>
      </c>
      <c r="CD1047" s="5" t="s">
        <v>273</v>
      </c>
      <c r="CE1047" s="5" t="s">
        <v>256</v>
      </c>
      <c r="CF1047" s="5" t="s">
        <v>238</v>
      </c>
      <c r="CI1047" s="6" t="s">
        <v>257</v>
      </c>
      <c r="CJ1047" s="5" t="s">
        <v>238</v>
      </c>
      <c r="CK1047" s="5" t="s">
        <v>258</v>
      </c>
      <c r="CL1047" s="5" t="s">
        <v>238</v>
      </c>
      <c r="CM1047" s="5" t="s">
        <v>238</v>
      </c>
      <c r="CN1047" s="5">
        <v>0</v>
      </c>
      <c r="CO1047" s="5" t="s">
        <v>259</v>
      </c>
      <c r="CP1047" s="5" t="s">
        <v>260</v>
      </c>
      <c r="CQ1047" s="5" t="s">
        <v>260</v>
      </c>
      <c r="CR1047" s="5" t="s">
        <v>261</v>
      </c>
      <c r="CU1047" s="8">
        <f>1</f>
        <v>1</v>
      </c>
      <c r="CV1047" s="8">
        <f>0</f>
        <v>0</v>
      </c>
      <c r="CX1047" s="8">
        <f>0</f>
        <v>0</v>
      </c>
      <c r="CY1047" s="8">
        <f>1</f>
        <v>1</v>
      </c>
      <c r="DA1047" s="5" t="s">
        <v>673</v>
      </c>
      <c r="DB1047" s="5" t="s">
        <v>238</v>
      </c>
      <c r="DD1047" s="5" t="s">
        <v>673</v>
      </c>
      <c r="DE1047" s="8">
        <f>99</f>
        <v>99</v>
      </c>
      <c r="DG1047" s="5" t="s">
        <v>238</v>
      </c>
      <c r="DH1047" s="5" t="s">
        <v>238</v>
      </c>
      <c r="DI1047" s="5" t="s">
        <v>238</v>
      </c>
      <c r="DJ1047" s="5" t="s">
        <v>238</v>
      </c>
      <c r="DN1047" s="5" t="s">
        <v>238</v>
      </c>
      <c r="DO1047" s="5" t="s">
        <v>238</v>
      </c>
      <c r="DP1047" s="5" t="s">
        <v>238</v>
      </c>
      <c r="DQ1047" s="5" t="s">
        <v>238</v>
      </c>
      <c r="DT1047" s="5" t="s">
        <v>2039</v>
      </c>
      <c r="DU1047" s="5" t="s">
        <v>1487</v>
      </c>
      <c r="HM1047" s="5" t="s">
        <v>264</v>
      </c>
    </row>
    <row r="1048" spans="1:221" x14ac:dyDescent="0.4">
      <c r="A1048" s="5">
        <v>2723</v>
      </c>
      <c r="B1048" s="5">
        <v>1</v>
      </c>
      <c r="C1048" s="5">
        <v>1</v>
      </c>
      <c r="D1048" s="5" t="s">
        <v>2037</v>
      </c>
      <c r="E1048" s="5" t="s">
        <v>271</v>
      </c>
      <c r="F1048" s="5" t="s">
        <v>248</v>
      </c>
      <c r="G1048" s="5" t="s">
        <v>1969</v>
      </c>
      <c r="H1048" s="6" t="s">
        <v>3185</v>
      </c>
      <c r="I1048" s="7">
        <f>847</f>
        <v>847</v>
      </c>
      <c r="J1048" s="5" t="s">
        <v>262</v>
      </c>
      <c r="K1048" s="8">
        <f>1</f>
        <v>1</v>
      </c>
      <c r="L1048" s="6" t="s">
        <v>242</v>
      </c>
      <c r="M1048" s="5" t="s">
        <v>267</v>
      </c>
      <c r="N1048" s="5" t="s">
        <v>265</v>
      </c>
      <c r="O1048" s="5" t="s">
        <v>238</v>
      </c>
      <c r="P1048" s="5" t="s">
        <v>238</v>
      </c>
      <c r="Q1048" s="5" t="s">
        <v>268</v>
      </c>
      <c r="R1048" s="5" t="s">
        <v>270</v>
      </c>
      <c r="S1048" s="5" t="s">
        <v>238</v>
      </c>
      <c r="V1048" s="5" t="s">
        <v>238</v>
      </c>
      <c r="X1048" s="6" t="s">
        <v>238</v>
      </c>
      <c r="AA1048" s="6" t="s">
        <v>243</v>
      </c>
      <c r="AB1048" s="5" t="s">
        <v>238</v>
      </c>
      <c r="AC1048" s="5" t="s">
        <v>244</v>
      </c>
      <c r="AD1048" s="5" t="s">
        <v>245</v>
      </c>
      <c r="AT1048" s="5" t="s">
        <v>246</v>
      </c>
      <c r="AU1048" s="5" t="s">
        <v>238</v>
      </c>
      <c r="AV1048" s="5" t="s">
        <v>247</v>
      </c>
      <c r="AW1048" s="5" t="s">
        <v>238</v>
      </c>
      <c r="AX1048" s="5" t="s">
        <v>249</v>
      </c>
      <c r="AY1048" s="5" t="s">
        <v>238</v>
      </c>
      <c r="BA1048" s="5" t="s">
        <v>238</v>
      </c>
      <c r="BC1048" s="5" t="s">
        <v>250</v>
      </c>
      <c r="BD1048" s="6" t="s">
        <v>243</v>
      </c>
      <c r="BE1048" s="5" t="s">
        <v>251</v>
      </c>
      <c r="BF1048" s="5" t="s">
        <v>252</v>
      </c>
      <c r="BG1048" s="5" t="s">
        <v>238</v>
      </c>
      <c r="BH1048" s="7">
        <f>0</f>
        <v>0</v>
      </c>
      <c r="BI1048" s="8">
        <f>0</f>
        <v>0</v>
      </c>
      <c r="BJ1048" s="5" t="s">
        <v>253</v>
      </c>
      <c r="BK1048" s="5" t="s">
        <v>254</v>
      </c>
      <c r="BY1048" s="5" t="s">
        <v>238</v>
      </c>
      <c r="BZ1048" s="5" t="s">
        <v>238</v>
      </c>
      <c r="CD1048" s="5" t="s">
        <v>273</v>
      </c>
      <c r="CE1048" s="5" t="s">
        <v>256</v>
      </c>
      <c r="CF1048" s="5" t="s">
        <v>238</v>
      </c>
      <c r="CI1048" s="6" t="s">
        <v>257</v>
      </c>
      <c r="CJ1048" s="5" t="s">
        <v>238</v>
      </c>
      <c r="CK1048" s="5" t="s">
        <v>258</v>
      </c>
      <c r="CL1048" s="5" t="s">
        <v>238</v>
      </c>
      <c r="CM1048" s="5" t="s">
        <v>238</v>
      </c>
      <c r="CN1048" s="5">
        <v>0</v>
      </c>
      <c r="CO1048" s="5" t="s">
        <v>259</v>
      </c>
      <c r="CP1048" s="5" t="s">
        <v>260</v>
      </c>
      <c r="CQ1048" s="5" t="s">
        <v>260</v>
      </c>
      <c r="CR1048" s="5" t="s">
        <v>261</v>
      </c>
      <c r="CU1048" s="8">
        <f>1</f>
        <v>1</v>
      </c>
      <c r="CV1048" s="8">
        <f>0</f>
        <v>0</v>
      </c>
      <c r="CX1048" s="8">
        <f>0</f>
        <v>0</v>
      </c>
      <c r="CY1048" s="8">
        <f>1</f>
        <v>1</v>
      </c>
      <c r="DA1048" s="5" t="s">
        <v>673</v>
      </c>
      <c r="DB1048" s="5" t="s">
        <v>238</v>
      </c>
      <c r="DD1048" s="5" t="s">
        <v>673</v>
      </c>
      <c r="DE1048" s="8">
        <f>847</f>
        <v>847</v>
      </c>
      <c r="DG1048" s="5" t="s">
        <v>238</v>
      </c>
      <c r="DH1048" s="5" t="s">
        <v>238</v>
      </c>
      <c r="DI1048" s="5" t="s">
        <v>238</v>
      </c>
      <c r="DJ1048" s="5" t="s">
        <v>238</v>
      </c>
      <c r="DN1048" s="5" t="s">
        <v>238</v>
      </c>
      <c r="DO1048" s="5" t="s">
        <v>238</v>
      </c>
      <c r="DP1048" s="5" t="s">
        <v>238</v>
      </c>
      <c r="DQ1048" s="5" t="s">
        <v>238</v>
      </c>
      <c r="DT1048" s="5" t="s">
        <v>2039</v>
      </c>
      <c r="DU1048" s="5" t="s">
        <v>3186</v>
      </c>
      <c r="HM1048" s="5" t="s">
        <v>264</v>
      </c>
    </row>
    <row r="1049" spans="1:221" x14ac:dyDescent="0.4">
      <c r="A1049" s="5">
        <v>2724</v>
      </c>
      <c r="B1049" s="5">
        <v>1</v>
      </c>
      <c r="C1049" s="5">
        <v>1</v>
      </c>
      <c r="D1049" s="5" t="s">
        <v>2037</v>
      </c>
      <c r="E1049" s="5" t="s">
        <v>271</v>
      </c>
      <c r="F1049" s="5" t="s">
        <v>248</v>
      </c>
      <c r="G1049" s="5" t="s">
        <v>1969</v>
      </c>
      <c r="H1049" s="6" t="s">
        <v>3184</v>
      </c>
      <c r="I1049" s="7">
        <f>1032</f>
        <v>1032</v>
      </c>
      <c r="J1049" s="5" t="s">
        <v>262</v>
      </c>
      <c r="K1049" s="8">
        <f>1</f>
        <v>1</v>
      </c>
      <c r="L1049" s="6" t="s">
        <v>242</v>
      </c>
      <c r="M1049" s="5" t="s">
        <v>267</v>
      </c>
      <c r="N1049" s="5" t="s">
        <v>265</v>
      </c>
      <c r="O1049" s="5" t="s">
        <v>238</v>
      </c>
      <c r="P1049" s="5" t="s">
        <v>238</v>
      </c>
      <c r="Q1049" s="5" t="s">
        <v>268</v>
      </c>
      <c r="R1049" s="5" t="s">
        <v>270</v>
      </c>
      <c r="S1049" s="5" t="s">
        <v>238</v>
      </c>
      <c r="V1049" s="5" t="s">
        <v>238</v>
      </c>
      <c r="X1049" s="6" t="s">
        <v>238</v>
      </c>
      <c r="AA1049" s="6" t="s">
        <v>243</v>
      </c>
      <c r="AB1049" s="5" t="s">
        <v>238</v>
      </c>
      <c r="AC1049" s="5" t="s">
        <v>244</v>
      </c>
      <c r="AD1049" s="5" t="s">
        <v>245</v>
      </c>
      <c r="AT1049" s="5" t="s">
        <v>246</v>
      </c>
      <c r="AU1049" s="5" t="s">
        <v>238</v>
      </c>
      <c r="AV1049" s="5" t="s">
        <v>247</v>
      </c>
      <c r="AW1049" s="5" t="s">
        <v>238</v>
      </c>
      <c r="AX1049" s="5" t="s">
        <v>249</v>
      </c>
      <c r="AY1049" s="5" t="s">
        <v>238</v>
      </c>
      <c r="BA1049" s="5" t="s">
        <v>238</v>
      </c>
      <c r="BC1049" s="5" t="s">
        <v>250</v>
      </c>
      <c r="BD1049" s="6" t="s">
        <v>243</v>
      </c>
      <c r="BE1049" s="5" t="s">
        <v>251</v>
      </c>
      <c r="BF1049" s="5" t="s">
        <v>252</v>
      </c>
      <c r="BG1049" s="5" t="s">
        <v>238</v>
      </c>
      <c r="BH1049" s="7">
        <f>0</f>
        <v>0</v>
      </c>
      <c r="BI1049" s="8">
        <f>0</f>
        <v>0</v>
      </c>
      <c r="BJ1049" s="5" t="s">
        <v>253</v>
      </c>
      <c r="BK1049" s="5" t="s">
        <v>254</v>
      </c>
      <c r="BY1049" s="5" t="s">
        <v>238</v>
      </c>
      <c r="BZ1049" s="5" t="s">
        <v>238</v>
      </c>
      <c r="CD1049" s="5" t="s">
        <v>273</v>
      </c>
      <c r="CE1049" s="5" t="s">
        <v>256</v>
      </c>
      <c r="CF1049" s="5" t="s">
        <v>238</v>
      </c>
      <c r="CI1049" s="6" t="s">
        <v>257</v>
      </c>
      <c r="CJ1049" s="5" t="s">
        <v>238</v>
      </c>
      <c r="CK1049" s="5" t="s">
        <v>258</v>
      </c>
      <c r="CL1049" s="5" t="s">
        <v>238</v>
      </c>
      <c r="CM1049" s="5" t="s">
        <v>238</v>
      </c>
      <c r="CN1049" s="5">
        <v>0</v>
      </c>
      <c r="CO1049" s="5" t="s">
        <v>259</v>
      </c>
      <c r="CP1049" s="5" t="s">
        <v>260</v>
      </c>
      <c r="CQ1049" s="5" t="s">
        <v>260</v>
      </c>
      <c r="CR1049" s="5" t="s">
        <v>261</v>
      </c>
      <c r="CU1049" s="8">
        <f>1</f>
        <v>1</v>
      </c>
      <c r="CV1049" s="8">
        <f>0</f>
        <v>0</v>
      </c>
      <c r="CX1049" s="8">
        <f>0</f>
        <v>0</v>
      </c>
      <c r="CY1049" s="8">
        <f>1</f>
        <v>1</v>
      </c>
      <c r="DA1049" s="5" t="s">
        <v>673</v>
      </c>
      <c r="DB1049" s="5" t="s">
        <v>238</v>
      </c>
      <c r="DD1049" s="5" t="s">
        <v>673</v>
      </c>
      <c r="DE1049" s="8">
        <f>1032</f>
        <v>1032</v>
      </c>
      <c r="DG1049" s="5" t="s">
        <v>238</v>
      </c>
      <c r="DH1049" s="5" t="s">
        <v>238</v>
      </c>
      <c r="DI1049" s="5" t="s">
        <v>238</v>
      </c>
      <c r="DJ1049" s="5" t="s">
        <v>238</v>
      </c>
      <c r="DN1049" s="5" t="s">
        <v>238</v>
      </c>
      <c r="DO1049" s="5" t="s">
        <v>238</v>
      </c>
      <c r="DP1049" s="5" t="s">
        <v>238</v>
      </c>
      <c r="DQ1049" s="5" t="s">
        <v>238</v>
      </c>
      <c r="DT1049" s="5" t="s">
        <v>2039</v>
      </c>
      <c r="DU1049" s="5" t="s">
        <v>906</v>
      </c>
      <c r="HM1049" s="5" t="s">
        <v>264</v>
      </c>
    </row>
    <row r="1050" spans="1:221" x14ac:dyDescent="0.4">
      <c r="A1050" s="5">
        <v>2725</v>
      </c>
      <c r="B1050" s="5">
        <v>1</v>
      </c>
      <c r="C1050" s="5">
        <v>1</v>
      </c>
      <c r="D1050" s="5" t="s">
        <v>2037</v>
      </c>
      <c r="E1050" s="5" t="s">
        <v>271</v>
      </c>
      <c r="F1050" s="5" t="s">
        <v>248</v>
      </c>
      <c r="G1050" s="5" t="s">
        <v>1969</v>
      </c>
      <c r="H1050" s="6" t="s">
        <v>3183</v>
      </c>
      <c r="I1050" s="7">
        <f>2130</f>
        <v>2130</v>
      </c>
      <c r="J1050" s="5" t="s">
        <v>262</v>
      </c>
      <c r="K1050" s="8">
        <f>1</f>
        <v>1</v>
      </c>
      <c r="L1050" s="6" t="s">
        <v>242</v>
      </c>
      <c r="M1050" s="5" t="s">
        <v>267</v>
      </c>
      <c r="N1050" s="5" t="s">
        <v>265</v>
      </c>
      <c r="O1050" s="5" t="s">
        <v>238</v>
      </c>
      <c r="P1050" s="5" t="s">
        <v>238</v>
      </c>
      <c r="Q1050" s="5" t="s">
        <v>268</v>
      </c>
      <c r="R1050" s="5" t="s">
        <v>270</v>
      </c>
      <c r="S1050" s="5" t="s">
        <v>238</v>
      </c>
      <c r="V1050" s="5" t="s">
        <v>238</v>
      </c>
      <c r="X1050" s="6" t="s">
        <v>238</v>
      </c>
      <c r="AA1050" s="6" t="s">
        <v>243</v>
      </c>
      <c r="AB1050" s="5" t="s">
        <v>238</v>
      </c>
      <c r="AC1050" s="5" t="s">
        <v>244</v>
      </c>
      <c r="AD1050" s="5" t="s">
        <v>245</v>
      </c>
      <c r="AT1050" s="5" t="s">
        <v>246</v>
      </c>
      <c r="AU1050" s="5" t="s">
        <v>238</v>
      </c>
      <c r="AV1050" s="5" t="s">
        <v>247</v>
      </c>
      <c r="AW1050" s="5" t="s">
        <v>238</v>
      </c>
      <c r="AX1050" s="5" t="s">
        <v>249</v>
      </c>
      <c r="AY1050" s="5" t="s">
        <v>238</v>
      </c>
      <c r="BA1050" s="5" t="s">
        <v>238</v>
      </c>
      <c r="BC1050" s="5" t="s">
        <v>250</v>
      </c>
      <c r="BD1050" s="6" t="s">
        <v>243</v>
      </c>
      <c r="BE1050" s="5" t="s">
        <v>251</v>
      </c>
      <c r="BF1050" s="5" t="s">
        <v>252</v>
      </c>
      <c r="BG1050" s="5" t="s">
        <v>238</v>
      </c>
      <c r="BH1050" s="7">
        <f>0</f>
        <v>0</v>
      </c>
      <c r="BI1050" s="8">
        <f>0</f>
        <v>0</v>
      </c>
      <c r="BJ1050" s="5" t="s">
        <v>253</v>
      </c>
      <c r="BK1050" s="5" t="s">
        <v>254</v>
      </c>
      <c r="BY1050" s="5" t="s">
        <v>238</v>
      </c>
      <c r="BZ1050" s="5" t="s">
        <v>238</v>
      </c>
      <c r="CD1050" s="5" t="s">
        <v>273</v>
      </c>
      <c r="CE1050" s="5" t="s">
        <v>256</v>
      </c>
      <c r="CF1050" s="5" t="s">
        <v>238</v>
      </c>
      <c r="CI1050" s="6" t="s">
        <v>257</v>
      </c>
      <c r="CJ1050" s="5" t="s">
        <v>238</v>
      </c>
      <c r="CK1050" s="5" t="s">
        <v>258</v>
      </c>
      <c r="CL1050" s="5" t="s">
        <v>238</v>
      </c>
      <c r="CM1050" s="5" t="s">
        <v>238</v>
      </c>
      <c r="CN1050" s="5">
        <v>0</v>
      </c>
      <c r="CO1050" s="5" t="s">
        <v>259</v>
      </c>
      <c r="CP1050" s="5" t="s">
        <v>260</v>
      </c>
      <c r="CQ1050" s="5" t="s">
        <v>260</v>
      </c>
      <c r="CR1050" s="5" t="s">
        <v>261</v>
      </c>
      <c r="CU1050" s="8">
        <f>1</f>
        <v>1</v>
      </c>
      <c r="CV1050" s="8">
        <f>0</f>
        <v>0</v>
      </c>
      <c r="CX1050" s="8">
        <f>0</f>
        <v>0</v>
      </c>
      <c r="CY1050" s="8">
        <f>1</f>
        <v>1</v>
      </c>
      <c r="DA1050" s="5" t="s">
        <v>673</v>
      </c>
      <c r="DB1050" s="5" t="s">
        <v>238</v>
      </c>
      <c r="DD1050" s="5" t="s">
        <v>673</v>
      </c>
      <c r="DE1050" s="8">
        <f>2130</f>
        <v>2130</v>
      </c>
      <c r="DG1050" s="5" t="s">
        <v>238</v>
      </c>
      <c r="DH1050" s="5" t="s">
        <v>238</v>
      </c>
      <c r="DI1050" s="5" t="s">
        <v>238</v>
      </c>
      <c r="DJ1050" s="5" t="s">
        <v>238</v>
      </c>
      <c r="DN1050" s="5" t="s">
        <v>238</v>
      </c>
      <c r="DO1050" s="5" t="s">
        <v>238</v>
      </c>
      <c r="DP1050" s="5" t="s">
        <v>238</v>
      </c>
      <c r="DQ1050" s="5" t="s">
        <v>238</v>
      </c>
      <c r="DT1050" s="5" t="s">
        <v>2039</v>
      </c>
      <c r="DU1050" s="5" t="s">
        <v>2131</v>
      </c>
      <c r="HM1050" s="5" t="s">
        <v>264</v>
      </c>
    </row>
    <row r="1051" spans="1:221" x14ac:dyDescent="0.4">
      <c r="A1051" s="5">
        <v>2726</v>
      </c>
      <c r="B1051" s="5">
        <v>1</v>
      </c>
      <c r="C1051" s="5">
        <v>1</v>
      </c>
      <c r="D1051" s="5" t="s">
        <v>2037</v>
      </c>
      <c r="E1051" s="5" t="s">
        <v>271</v>
      </c>
      <c r="F1051" s="5" t="s">
        <v>248</v>
      </c>
      <c r="G1051" s="5" t="s">
        <v>1969</v>
      </c>
      <c r="H1051" s="6" t="s">
        <v>3182</v>
      </c>
      <c r="I1051" s="7">
        <f>831</f>
        <v>831</v>
      </c>
      <c r="J1051" s="5" t="s">
        <v>262</v>
      </c>
      <c r="K1051" s="8">
        <f>1</f>
        <v>1</v>
      </c>
      <c r="L1051" s="6" t="s">
        <v>242</v>
      </c>
      <c r="M1051" s="5" t="s">
        <v>267</v>
      </c>
      <c r="N1051" s="5" t="s">
        <v>265</v>
      </c>
      <c r="O1051" s="5" t="s">
        <v>238</v>
      </c>
      <c r="P1051" s="5" t="s">
        <v>238</v>
      </c>
      <c r="Q1051" s="5" t="s">
        <v>268</v>
      </c>
      <c r="R1051" s="5" t="s">
        <v>270</v>
      </c>
      <c r="S1051" s="5" t="s">
        <v>238</v>
      </c>
      <c r="V1051" s="5" t="s">
        <v>238</v>
      </c>
      <c r="X1051" s="6" t="s">
        <v>238</v>
      </c>
      <c r="AA1051" s="6" t="s">
        <v>243</v>
      </c>
      <c r="AB1051" s="5" t="s">
        <v>238</v>
      </c>
      <c r="AC1051" s="5" t="s">
        <v>244</v>
      </c>
      <c r="AD1051" s="5" t="s">
        <v>245</v>
      </c>
      <c r="AT1051" s="5" t="s">
        <v>246</v>
      </c>
      <c r="AU1051" s="5" t="s">
        <v>238</v>
      </c>
      <c r="AV1051" s="5" t="s">
        <v>247</v>
      </c>
      <c r="AW1051" s="5" t="s">
        <v>238</v>
      </c>
      <c r="AX1051" s="5" t="s">
        <v>249</v>
      </c>
      <c r="AY1051" s="5" t="s">
        <v>238</v>
      </c>
      <c r="BA1051" s="5" t="s">
        <v>238</v>
      </c>
      <c r="BC1051" s="5" t="s">
        <v>250</v>
      </c>
      <c r="BD1051" s="6" t="s">
        <v>243</v>
      </c>
      <c r="BE1051" s="5" t="s">
        <v>251</v>
      </c>
      <c r="BF1051" s="5" t="s">
        <v>252</v>
      </c>
      <c r="BG1051" s="5" t="s">
        <v>238</v>
      </c>
      <c r="BH1051" s="7">
        <f>0</f>
        <v>0</v>
      </c>
      <c r="BI1051" s="8">
        <f>0</f>
        <v>0</v>
      </c>
      <c r="BJ1051" s="5" t="s">
        <v>253</v>
      </c>
      <c r="BK1051" s="5" t="s">
        <v>254</v>
      </c>
      <c r="BY1051" s="5" t="s">
        <v>238</v>
      </c>
      <c r="BZ1051" s="5" t="s">
        <v>238</v>
      </c>
      <c r="CD1051" s="5" t="s">
        <v>273</v>
      </c>
      <c r="CE1051" s="5" t="s">
        <v>256</v>
      </c>
      <c r="CF1051" s="5" t="s">
        <v>238</v>
      </c>
      <c r="CI1051" s="6" t="s">
        <v>257</v>
      </c>
      <c r="CJ1051" s="5" t="s">
        <v>238</v>
      </c>
      <c r="CK1051" s="5" t="s">
        <v>258</v>
      </c>
      <c r="CL1051" s="5" t="s">
        <v>238</v>
      </c>
      <c r="CM1051" s="5" t="s">
        <v>238</v>
      </c>
      <c r="CN1051" s="5">
        <v>0</v>
      </c>
      <c r="CO1051" s="5" t="s">
        <v>259</v>
      </c>
      <c r="CP1051" s="5" t="s">
        <v>260</v>
      </c>
      <c r="CQ1051" s="5" t="s">
        <v>260</v>
      </c>
      <c r="CR1051" s="5" t="s">
        <v>261</v>
      </c>
      <c r="CU1051" s="8">
        <f>1</f>
        <v>1</v>
      </c>
      <c r="CV1051" s="8">
        <f>0</f>
        <v>0</v>
      </c>
      <c r="CX1051" s="8">
        <f>0</f>
        <v>0</v>
      </c>
      <c r="CY1051" s="8">
        <f>1</f>
        <v>1</v>
      </c>
      <c r="DA1051" s="5" t="s">
        <v>673</v>
      </c>
      <c r="DB1051" s="5" t="s">
        <v>238</v>
      </c>
      <c r="DD1051" s="5" t="s">
        <v>673</v>
      </c>
      <c r="DE1051" s="8">
        <f>831</f>
        <v>831</v>
      </c>
      <c r="DG1051" s="5" t="s">
        <v>238</v>
      </c>
      <c r="DH1051" s="5" t="s">
        <v>238</v>
      </c>
      <c r="DI1051" s="5" t="s">
        <v>238</v>
      </c>
      <c r="DJ1051" s="5" t="s">
        <v>238</v>
      </c>
      <c r="DN1051" s="5" t="s">
        <v>238</v>
      </c>
      <c r="DO1051" s="5" t="s">
        <v>238</v>
      </c>
      <c r="DP1051" s="5" t="s">
        <v>238</v>
      </c>
      <c r="DQ1051" s="5" t="s">
        <v>238</v>
      </c>
      <c r="DT1051" s="5" t="s">
        <v>2039</v>
      </c>
      <c r="DU1051" s="5" t="s">
        <v>913</v>
      </c>
      <c r="HM1051" s="5" t="s">
        <v>264</v>
      </c>
    </row>
    <row r="1052" spans="1:221" x14ac:dyDescent="0.4">
      <c r="A1052" s="5">
        <v>2727</v>
      </c>
      <c r="B1052" s="5">
        <v>1</v>
      </c>
      <c r="C1052" s="5">
        <v>1</v>
      </c>
      <c r="D1052" s="5" t="s">
        <v>2037</v>
      </c>
      <c r="E1052" s="5" t="s">
        <v>271</v>
      </c>
      <c r="F1052" s="5" t="s">
        <v>248</v>
      </c>
      <c r="G1052" s="5" t="s">
        <v>1969</v>
      </c>
      <c r="H1052" s="6" t="s">
        <v>3181</v>
      </c>
      <c r="I1052" s="7">
        <f>2149</f>
        <v>2149</v>
      </c>
      <c r="J1052" s="5" t="s">
        <v>262</v>
      </c>
      <c r="K1052" s="8">
        <f>1</f>
        <v>1</v>
      </c>
      <c r="L1052" s="6" t="s">
        <v>242</v>
      </c>
      <c r="M1052" s="5" t="s">
        <v>267</v>
      </c>
      <c r="N1052" s="5" t="s">
        <v>265</v>
      </c>
      <c r="O1052" s="5" t="s">
        <v>238</v>
      </c>
      <c r="P1052" s="5" t="s">
        <v>238</v>
      </c>
      <c r="Q1052" s="5" t="s">
        <v>268</v>
      </c>
      <c r="R1052" s="5" t="s">
        <v>270</v>
      </c>
      <c r="S1052" s="5" t="s">
        <v>238</v>
      </c>
      <c r="V1052" s="5" t="s">
        <v>238</v>
      </c>
      <c r="X1052" s="6" t="s">
        <v>238</v>
      </c>
      <c r="AA1052" s="6" t="s">
        <v>243</v>
      </c>
      <c r="AB1052" s="5" t="s">
        <v>238</v>
      </c>
      <c r="AC1052" s="5" t="s">
        <v>244</v>
      </c>
      <c r="AD1052" s="5" t="s">
        <v>245</v>
      </c>
      <c r="AT1052" s="5" t="s">
        <v>246</v>
      </c>
      <c r="AU1052" s="5" t="s">
        <v>238</v>
      </c>
      <c r="AV1052" s="5" t="s">
        <v>247</v>
      </c>
      <c r="AW1052" s="5" t="s">
        <v>238</v>
      </c>
      <c r="AX1052" s="5" t="s">
        <v>249</v>
      </c>
      <c r="AY1052" s="5" t="s">
        <v>238</v>
      </c>
      <c r="BA1052" s="5" t="s">
        <v>238</v>
      </c>
      <c r="BC1052" s="5" t="s">
        <v>250</v>
      </c>
      <c r="BD1052" s="6" t="s">
        <v>243</v>
      </c>
      <c r="BE1052" s="5" t="s">
        <v>251</v>
      </c>
      <c r="BF1052" s="5" t="s">
        <v>252</v>
      </c>
      <c r="BG1052" s="5" t="s">
        <v>238</v>
      </c>
      <c r="BH1052" s="7">
        <f>0</f>
        <v>0</v>
      </c>
      <c r="BI1052" s="8">
        <f>0</f>
        <v>0</v>
      </c>
      <c r="BJ1052" s="5" t="s">
        <v>253</v>
      </c>
      <c r="BK1052" s="5" t="s">
        <v>254</v>
      </c>
      <c r="BY1052" s="5" t="s">
        <v>238</v>
      </c>
      <c r="BZ1052" s="5" t="s">
        <v>238</v>
      </c>
      <c r="CD1052" s="5" t="s">
        <v>273</v>
      </c>
      <c r="CE1052" s="5" t="s">
        <v>256</v>
      </c>
      <c r="CF1052" s="5" t="s">
        <v>238</v>
      </c>
      <c r="CI1052" s="6" t="s">
        <v>257</v>
      </c>
      <c r="CJ1052" s="5" t="s">
        <v>238</v>
      </c>
      <c r="CK1052" s="5" t="s">
        <v>258</v>
      </c>
      <c r="CL1052" s="5" t="s">
        <v>238</v>
      </c>
      <c r="CM1052" s="5" t="s">
        <v>238</v>
      </c>
      <c r="CN1052" s="5">
        <v>0</v>
      </c>
      <c r="CO1052" s="5" t="s">
        <v>259</v>
      </c>
      <c r="CP1052" s="5" t="s">
        <v>260</v>
      </c>
      <c r="CQ1052" s="5" t="s">
        <v>260</v>
      </c>
      <c r="CR1052" s="5" t="s">
        <v>261</v>
      </c>
      <c r="CU1052" s="8">
        <f>1</f>
        <v>1</v>
      </c>
      <c r="CV1052" s="8">
        <f>0</f>
        <v>0</v>
      </c>
      <c r="CX1052" s="8">
        <f>0</f>
        <v>0</v>
      </c>
      <c r="CY1052" s="8">
        <f>1</f>
        <v>1</v>
      </c>
      <c r="DA1052" s="5" t="s">
        <v>673</v>
      </c>
      <c r="DB1052" s="5" t="s">
        <v>238</v>
      </c>
      <c r="DD1052" s="5" t="s">
        <v>673</v>
      </c>
      <c r="DE1052" s="8">
        <f>2149</f>
        <v>2149</v>
      </c>
      <c r="DG1052" s="5" t="s">
        <v>238</v>
      </c>
      <c r="DH1052" s="5" t="s">
        <v>238</v>
      </c>
      <c r="DI1052" s="5" t="s">
        <v>238</v>
      </c>
      <c r="DJ1052" s="5" t="s">
        <v>238</v>
      </c>
      <c r="DN1052" s="5" t="s">
        <v>238</v>
      </c>
      <c r="DO1052" s="5" t="s">
        <v>238</v>
      </c>
      <c r="DP1052" s="5" t="s">
        <v>238</v>
      </c>
      <c r="DQ1052" s="5" t="s">
        <v>238</v>
      </c>
      <c r="DT1052" s="5" t="s">
        <v>2039</v>
      </c>
      <c r="DU1052" s="5" t="s">
        <v>917</v>
      </c>
      <c r="HM1052" s="5" t="s">
        <v>264</v>
      </c>
    </row>
    <row r="1053" spans="1:221" x14ac:dyDescent="0.4">
      <c r="A1053" s="5">
        <v>2728</v>
      </c>
      <c r="B1053" s="5">
        <v>1</v>
      </c>
      <c r="C1053" s="5">
        <v>1</v>
      </c>
      <c r="D1053" s="5" t="s">
        <v>2037</v>
      </c>
      <c r="E1053" s="5" t="s">
        <v>271</v>
      </c>
      <c r="F1053" s="5" t="s">
        <v>248</v>
      </c>
      <c r="G1053" s="5" t="s">
        <v>1969</v>
      </c>
      <c r="H1053" s="6" t="s">
        <v>3175</v>
      </c>
      <c r="I1053" s="7">
        <f>7492</f>
        <v>7492</v>
      </c>
      <c r="J1053" s="5" t="s">
        <v>262</v>
      </c>
      <c r="K1053" s="8">
        <f>1</f>
        <v>1</v>
      </c>
      <c r="L1053" s="6" t="s">
        <v>242</v>
      </c>
      <c r="M1053" s="5" t="s">
        <v>267</v>
      </c>
      <c r="N1053" s="5" t="s">
        <v>265</v>
      </c>
      <c r="O1053" s="5" t="s">
        <v>238</v>
      </c>
      <c r="P1053" s="5" t="s">
        <v>238</v>
      </c>
      <c r="Q1053" s="5" t="s">
        <v>268</v>
      </c>
      <c r="R1053" s="5" t="s">
        <v>270</v>
      </c>
      <c r="S1053" s="5" t="s">
        <v>238</v>
      </c>
      <c r="V1053" s="5" t="s">
        <v>238</v>
      </c>
      <c r="X1053" s="6" t="s">
        <v>238</v>
      </c>
      <c r="AA1053" s="6" t="s">
        <v>243</v>
      </c>
      <c r="AB1053" s="5" t="s">
        <v>238</v>
      </c>
      <c r="AC1053" s="5" t="s">
        <v>244</v>
      </c>
      <c r="AD1053" s="5" t="s">
        <v>245</v>
      </c>
      <c r="AT1053" s="5" t="s">
        <v>246</v>
      </c>
      <c r="AU1053" s="5" t="s">
        <v>238</v>
      </c>
      <c r="AV1053" s="5" t="s">
        <v>247</v>
      </c>
      <c r="AW1053" s="5" t="s">
        <v>238</v>
      </c>
      <c r="AX1053" s="5" t="s">
        <v>249</v>
      </c>
      <c r="AY1053" s="5" t="s">
        <v>238</v>
      </c>
      <c r="BA1053" s="5" t="s">
        <v>238</v>
      </c>
      <c r="BC1053" s="5" t="s">
        <v>250</v>
      </c>
      <c r="BD1053" s="6" t="s">
        <v>243</v>
      </c>
      <c r="BE1053" s="5" t="s">
        <v>251</v>
      </c>
      <c r="BF1053" s="5" t="s">
        <v>252</v>
      </c>
      <c r="BG1053" s="5" t="s">
        <v>238</v>
      </c>
      <c r="BH1053" s="7">
        <f>0</f>
        <v>0</v>
      </c>
      <c r="BI1053" s="8">
        <f>0</f>
        <v>0</v>
      </c>
      <c r="BJ1053" s="5" t="s">
        <v>253</v>
      </c>
      <c r="BK1053" s="5" t="s">
        <v>254</v>
      </c>
      <c r="BY1053" s="5" t="s">
        <v>238</v>
      </c>
      <c r="BZ1053" s="5" t="s">
        <v>238</v>
      </c>
      <c r="CD1053" s="5" t="s">
        <v>273</v>
      </c>
      <c r="CE1053" s="5" t="s">
        <v>256</v>
      </c>
      <c r="CF1053" s="5" t="s">
        <v>238</v>
      </c>
      <c r="CI1053" s="6" t="s">
        <v>257</v>
      </c>
      <c r="CJ1053" s="5" t="s">
        <v>238</v>
      </c>
      <c r="CK1053" s="5" t="s">
        <v>258</v>
      </c>
      <c r="CL1053" s="5" t="s">
        <v>238</v>
      </c>
      <c r="CM1053" s="5" t="s">
        <v>238</v>
      </c>
      <c r="CN1053" s="5">
        <v>0</v>
      </c>
      <c r="CO1053" s="5" t="s">
        <v>259</v>
      </c>
      <c r="CP1053" s="5" t="s">
        <v>260</v>
      </c>
      <c r="CQ1053" s="5" t="s">
        <v>260</v>
      </c>
      <c r="CR1053" s="5" t="s">
        <v>261</v>
      </c>
      <c r="CU1053" s="8">
        <f>1</f>
        <v>1</v>
      </c>
      <c r="CV1053" s="8">
        <f>0</f>
        <v>0</v>
      </c>
      <c r="CX1053" s="8">
        <f>0</f>
        <v>0</v>
      </c>
      <c r="CY1053" s="8">
        <f>1</f>
        <v>1</v>
      </c>
      <c r="DA1053" s="5" t="s">
        <v>673</v>
      </c>
      <c r="DB1053" s="5" t="s">
        <v>238</v>
      </c>
      <c r="DD1053" s="5" t="s">
        <v>673</v>
      </c>
      <c r="DE1053" s="8">
        <f>7492</f>
        <v>7492</v>
      </c>
      <c r="DG1053" s="5" t="s">
        <v>238</v>
      </c>
      <c r="DH1053" s="5" t="s">
        <v>238</v>
      </c>
      <c r="DI1053" s="5" t="s">
        <v>238</v>
      </c>
      <c r="DJ1053" s="5" t="s">
        <v>238</v>
      </c>
      <c r="DN1053" s="5" t="s">
        <v>238</v>
      </c>
      <c r="DO1053" s="5" t="s">
        <v>238</v>
      </c>
      <c r="DP1053" s="5" t="s">
        <v>238</v>
      </c>
      <c r="DQ1053" s="5" t="s">
        <v>238</v>
      </c>
      <c r="DT1053" s="5" t="s">
        <v>2039</v>
      </c>
      <c r="DU1053" s="5" t="s">
        <v>3176</v>
      </c>
      <c r="HM1053" s="5" t="s">
        <v>264</v>
      </c>
    </row>
    <row r="1054" spans="1:221" x14ac:dyDescent="0.4">
      <c r="A1054" s="5">
        <v>2729</v>
      </c>
      <c r="B1054" s="5">
        <v>1</v>
      </c>
      <c r="C1054" s="5">
        <v>1</v>
      </c>
      <c r="D1054" s="5" t="s">
        <v>2037</v>
      </c>
      <c r="E1054" s="5" t="s">
        <v>271</v>
      </c>
      <c r="F1054" s="5" t="s">
        <v>248</v>
      </c>
      <c r="G1054" s="5" t="s">
        <v>1969</v>
      </c>
      <c r="H1054" s="6" t="s">
        <v>3169</v>
      </c>
      <c r="I1054" s="7">
        <f>383</f>
        <v>383</v>
      </c>
      <c r="J1054" s="5" t="s">
        <v>262</v>
      </c>
      <c r="K1054" s="8">
        <f>1</f>
        <v>1</v>
      </c>
      <c r="L1054" s="6" t="s">
        <v>242</v>
      </c>
      <c r="M1054" s="5" t="s">
        <v>267</v>
      </c>
      <c r="N1054" s="5" t="s">
        <v>265</v>
      </c>
      <c r="O1054" s="5" t="s">
        <v>238</v>
      </c>
      <c r="P1054" s="5" t="s">
        <v>238</v>
      </c>
      <c r="Q1054" s="5" t="s">
        <v>268</v>
      </c>
      <c r="R1054" s="5" t="s">
        <v>270</v>
      </c>
      <c r="S1054" s="5" t="s">
        <v>238</v>
      </c>
      <c r="V1054" s="5" t="s">
        <v>238</v>
      </c>
      <c r="X1054" s="6" t="s">
        <v>238</v>
      </c>
      <c r="AA1054" s="6" t="s">
        <v>243</v>
      </c>
      <c r="AB1054" s="5" t="s">
        <v>238</v>
      </c>
      <c r="AC1054" s="5" t="s">
        <v>244</v>
      </c>
      <c r="AD1054" s="5" t="s">
        <v>245</v>
      </c>
      <c r="AT1054" s="5" t="s">
        <v>246</v>
      </c>
      <c r="AU1054" s="5" t="s">
        <v>238</v>
      </c>
      <c r="AV1054" s="5" t="s">
        <v>247</v>
      </c>
      <c r="AW1054" s="5" t="s">
        <v>238</v>
      </c>
      <c r="AX1054" s="5" t="s">
        <v>249</v>
      </c>
      <c r="AY1054" s="5" t="s">
        <v>238</v>
      </c>
      <c r="BA1054" s="5" t="s">
        <v>238</v>
      </c>
      <c r="BC1054" s="5" t="s">
        <v>250</v>
      </c>
      <c r="BD1054" s="6" t="s">
        <v>243</v>
      </c>
      <c r="BE1054" s="5" t="s">
        <v>251</v>
      </c>
      <c r="BF1054" s="5" t="s">
        <v>252</v>
      </c>
      <c r="BG1054" s="5" t="s">
        <v>238</v>
      </c>
      <c r="BH1054" s="7">
        <f>0</f>
        <v>0</v>
      </c>
      <c r="BI1054" s="8">
        <f>0</f>
        <v>0</v>
      </c>
      <c r="BJ1054" s="5" t="s">
        <v>253</v>
      </c>
      <c r="BK1054" s="5" t="s">
        <v>254</v>
      </c>
      <c r="BY1054" s="5" t="s">
        <v>238</v>
      </c>
      <c r="BZ1054" s="5" t="s">
        <v>238</v>
      </c>
      <c r="CD1054" s="5" t="s">
        <v>273</v>
      </c>
      <c r="CE1054" s="5" t="s">
        <v>256</v>
      </c>
      <c r="CF1054" s="5" t="s">
        <v>238</v>
      </c>
      <c r="CI1054" s="6" t="s">
        <v>257</v>
      </c>
      <c r="CJ1054" s="5" t="s">
        <v>238</v>
      </c>
      <c r="CK1054" s="5" t="s">
        <v>258</v>
      </c>
      <c r="CL1054" s="5" t="s">
        <v>238</v>
      </c>
      <c r="CM1054" s="5" t="s">
        <v>238</v>
      </c>
      <c r="CN1054" s="5">
        <v>0</v>
      </c>
      <c r="CO1054" s="5" t="s">
        <v>259</v>
      </c>
      <c r="CP1054" s="5" t="s">
        <v>260</v>
      </c>
      <c r="CQ1054" s="5" t="s">
        <v>260</v>
      </c>
      <c r="CR1054" s="5" t="s">
        <v>261</v>
      </c>
      <c r="CU1054" s="8">
        <f>1</f>
        <v>1</v>
      </c>
      <c r="CV1054" s="8">
        <f>0</f>
        <v>0</v>
      </c>
      <c r="CX1054" s="8">
        <f>0</f>
        <v>0</v>
      </c>
      <c r="CY1054" s="8">
        <f>1</f>
        <v>1</v>
      </c>
      <c r="DA1054" s="5" t="s">
        <v>673</v>
      </c>
      <c r="DB1054" s="5" t="s">
        <v>238</v>
      </c>
      <c r="DD1054" s="5" t="s">
        <v>673</v>
      </c>
      <c r="DE1054" s="8">
        <f>383</f>
        <v>383</v>
      </c>
      <c r="DG1054" s="5" t="s">
        <v>238</v>
      </c>
      <c r="DH1054" s="5" t="s">
        <v>238</v>
      </c>
      <c r="DI1054" s="5" t="s">
        <v>238</v>
      </c>
      <c r="DJ1054" s="5" t="s">
        <v>238</v>
      </c>
      <c r="DN1054" s="5" t="s">
        <v>238</v>
      </c>
      <c r="DO1054" s="5" t="s">
        <v>238</v>
      </c>
      <c r="DP1054" s="5" t="s">
        <v>238</v>
      </c>
      <c r="DQ1054" s="5" t="s">
        <v>238</v>
      </c>
      <c r="DT1054" s="5" t="s">
        <v>2039</v>
      </c>
      <c r="DU1054" s="5" t="s">
        <v>924</v>
      </c>
      <c r="HM1054" s="5" t="s">
        <v>264</v>
      </c>
    </row>
    <row r="1055" spans="1:221" x14ac:dyDescent="0.4">
      <c r="A1055" s="5">
        <v>2730</v>
      </c>
      <c r="B1055" s="5">
        <v>1</v>
      </c>
      <c r="C1055" s="5">
        <v>1</v>
      </c>
      <c r="D1055" s="5" t="s">
        <v>2037</v>
      </c>
      <c r="E1055" s="5" t="s">
        <v>271</v>
      </c>
      <c r="F1055" s="5" t="s">
        <v>248</v>
      </c>
      <c r="G1055" s="5" t="s">
        <v>1969</v>
      </c>
      <c r="H1055" s="6" t="s">
        <v>3165</v>
      </c>
      <c r="I1055" s="7">
        <f>302</f>
        <v>302</v>
      </c>
      <c r="J1055" s="5" t="s">
        <v>262</v>
      </c>
      <c r="K1055" s="8">
        <f>1</f>
        <v>1</v>
      </c>
      <c r="L1055" s="6" t="s">
        <v>242</v>
      </c>
      <c r="M1055" s="5" t="s">
        <v>267</v>
      </c>
      <c r="N1055" s="5" t="s">
        <v>265</v>
      </c>
      <c r="O1055" s="5" t="s">
        <v>238</v>
      </c>
      <c r="P1055" s="5" t="s">
        <v>238</v>
      </c>
      <c r="Q1055" s="5" t="s">
        <v>268</v>
      </c>
      <c r="R1055" s="5" t="s">
        <v>270</v>
      </c>
      <c r="S1055" s="5" t="s">
        <v>238</v>
      </c>
      <c r="V1055" s="5" t="s">
        <v>238</v>
      </c>
      <c r="X1055" s="6" t="s">
        <v>238</v>
      </c>
      <c r="AA1055" s="6" t="s">
        <v>243</v>
      </c>
      <c r="AB1055" s="5" t="s">
        <v>238</v>
      </c>
      <c r="AC1055" s="5" t="s">
        <v>244</v>
      </c>
      <c r="AD1055" s="5" t="s">
        <v>245</v>
      </c>
      <c r="AT1055" s="5" t="s">
        <v>246</v>
      </c>
      <c r="AU1055" s="5" t="s">
        <v>238</v>
      </c>
      <c r="AV1055" s="5" t="s">
        <v>247</v>
      </c>
      <c r="AW1055" s="5" t="s">
        <v>238</v>
      </c>
      <c r="AX1055" s="5" t="s">
        <v>249</v>
      </c>
      <c r="AY1055" s="5" t="s">
        <v>238</v>
      </c>
      <c r="BA1055" s="5" t="s">
        <v>238</v>
      </c>
      <c r="BC1055" s="5" t="s">
        <v>250</v>
      </c>
      <c r="BD1055" s="6" t="s">
        <v>243</v>
      </c>
      <c r="BE1055" s="5" t="s">
        <v>251</v>
      </c>
      <c r="BF1055" s="5" t="s">
        <v>252</v>
      </c>
      <c r="BG1055" s="5" t="s">
        <v>238</v>
      </c>
      <c r="BH1055" s="7">
        <f>0</f>
        <v>0</v>
      </c>
      <c r="BI1055" s="8">
        <f>0</f>
        <v>0</v>
      </c>
      <c r="BJ1055" s="5" t="s">
        <v>253</v>
      </c>
      <c r="BK1055" s="5" t="s">
        <v>254</v>
      </c>
      <c r="BY1055" s="5" t="s">
        <v>238</v>
      </c>
      <c r="BZ1055" s="5" t="s">
        <v>238</v>
      </c>
      <c r="CD1055" s="5" t="s">
        <v>273</v>
      </c>
      <c r="CE1055" s="5" t="s">
        <v>256</v>
      </c>
      <c r="CF1055" s="5" t="s">
        <v>238</v>
      </c>
      <c r="CI1055" s="6" t="s">
        <v>257</v>
      </c>
      <c r="CJ1055" s="5" t="s">
        <v>238</v>
      </c>
      <c r="CK1055" s="5" t="s">
        <v>258</v>
      </c>
      <c r="CL1055" s="5" t="s">
        <v>238</v>
      </c>
      <c r="CM1055" s="5" t="s">
        <v>238</v>
      </c>
      <c r="CN1055" s="5">
        <v>0</v>
      </c>
      <c r="CO1055" s="5" t="s">
        <v>259</v>
      </c>
      <c r="CP1055" s="5" t="s">
        <v>260</v>
      </c>
      <c r="CQ1055" s="5" t="s">
        <v>260</v>
      </c>
      <c r="CR1055" s="5" t="s">
        <v>261</v>
      </c>
      <c r="CU1055" s="8">
        <f>1</f>
        <v>1</v>
      </c>
      <c r="CV1055" s="8">
        <f>0</f>
        <v>0</v>
      </c>
      <c r="CX1055" s="8">
        <f>0</f>
        <v>0</v>
      </c>
      <c r="CY1055" s="8">
        <f>1</f>
        <v>1</v>
      </c>
      <c r="DA1055" s="5" t="s">
        <v>673</v>
      </c>
      <c r="DB1055" s="5" t="s">
        <v>238</v>
      </c>
      <c r="DD1055" s="5" t="s">
        <v>673</v>
      </c>
      <c r="DE1055" s="8">
        <f>302</f>
        <v>302</v>
      </c>
      <c r="DG1055" s="5" t="s">
        <v>238</v>
      </c>
      <c r="DH1055" s="5" t="s">
        <v>238</v>
      </c>
      <c r="DI1055" s="5" t="s">
        <v>238</v>
      </c>
      <c r="DJ1055" s="5" t="s">
        <v>238</v>
      </c>
      <c r="DN1055" s="5" t="s">
        <v>238</v>
      </c>
      <c r="DO1055" s="5" t="s">
        <v>238</v>
      </c>
      <c r="DP1055" s="5" t="s">
        <v>238</v>
      </c>
      <c r="DQ1055" s="5" t="s">
        <v>238</v>
      </c>
      <c r="DT1055" s="5" t="s">
        <v>2039</v>
      </c>
      <c r="DU1055" s="5" t="s">
        <v>926</v>
      </c>
      <c r="HM1055" s="5" t="s">
        <v>264</v>
      </c>
    </row>
    <row r="1056" spans="1:221" x14ac:dyDescent="0.4">
      <c r="A1056" s="5">
        <v>2731</v>
      </c>
      <c r="B1056" s="5">
        <v>1</v>
      </c>
      <c r="C1056" s="5">
        <v>1</v>
      </c>
      <c r="D1056" s="5" t="s">
        <v>2037</v>
      </c>
      <c r="E1056" s="5" t="s">
        <v>271</v>
      </c>
      <c r="F1056" s="5" t="s">
        <v>248</v>
      </c>
      <c r="G1056" s="5" t="s">
        <v>1969</v>
      </c>
      <c r="H1056" s="6" t="s">
        <v>3163</v>
      </c>
      <c r="I1056" s="7">
        <f>216</f>
        <v>216</v>
      </c>
      <c r="J1056" s="5" t="s">
        <v>262</v>
      </c>
      <c r="K1056" s="8">
        <f>1</f>
        <v>1</v>
      </c>
      <c r="L1056" s="6" t="s">
        <v>242</v>
      </c>
      <c r="M1056" s="5" t="s">
        <v>267</v>
      </c>
      <c r="N1056" s="5" t="s">
        <v>265</v>
      </c>
      <c r="O1056" s="5" t="s">
        <v>238</v>
      </c>
      <c r="P1056" s="5" t="s">
        <v>238</v>
      </c>
      <c r="Q1056" s="5" t="s">
        <v>268</v>
      </c>
      <c r="R1056" s="5" t="s">
        <v>270</v>
      </c>
      <c r="S1056" s="5" t="s">
        <v>238</v>
      </c>
      <c r="V1056" s="5" t="s">
        <v>238</v>
      </c>
      <c r="X1056" s="6" t="s">
        <v>238</v>
      </c>
      <c r="AA1056" s="6" t="s">
        <v>243</v>
      </c>
      <c r="AB1056" s="5" t="s">
        <v>238</v>
      </c>
      <c r="AC1056" s="5" t="s">
        <v>244</v>
      </c>
      <c r="AD1056" s="5" t="s">
        <v>245</v>
      </c>
      <c r="AT1056" s="5" t="s">
        <v>246</v>
      </c>
      <c r="AU1056" s="5" t="s">
        <v>238</v>
      </c>
      <c r="AV1056" s="5" t="s">
        <v>247</v>
      </c>
      <c r="AW1056" s="5" t="s">
        <v>238</v>
      </c>
      <c r="AX1056" s="5" t="s">
        <v>249</v>
      </c>
      <c r="AY1056" s="5" t="s">
        <v>238</v>
      </c>
      <c r="BA1056" s="5" t="s">
        <v>238</v>
      </c>
      <c r="BC1056" s="5" t="s">
        <v>250</v>
      </c>
      <c r="BD1056" s="6" t="s">
        <v>243</v>
      </c>
      <c r="BE1056" s="5" t="s">
        <v>251</v>
      </c>
      <c r="BF1056" s="5" t="s">
        <v>252</v>
      </c>
      <c r="BG1056" s="5" t="s">
        <v>238</v>
      </c>
      <c r="BH1056" s="7">
        <f>0</f>
        <v>0</v>
      </c>
      <c r="BI1056" s="8">
        <f>0</f>
        <v>0</v>
      </c>
      <c r="BJ1056" s="5" t="s">
        <v>253</v>
      </c>
      <c r="BK1056" s="5" t="s">
        <v>254</v>
      </c>
      <c r="BY1056" s="5" t="s">
        <v>238</v>
      </c>
      <c r="BZ1056" s="5" t="s">
        <v>238</v>
      </c>
      <c r="CD1056" s="5" t="s">
        <v>273</v>
      </c>
      <c r="CE1056" s="5" t="s">
        <v>256</v>
      </c>
      <c r="CF1056" s="5" t="s">
        <v>238</v>
      </c>
      <c r="CI1056" s="6" t="s">
        <v>257</v>
      </c>
      <c r="CJ1056" s="5" t="s">
        <v>238</v>
      </c>
      <c r="CK1056" s="5" t="s">
        <v>258</v>
      </c>
      <c r="CL1056" s="5" t="s">
        <v>238</v>
      </c>
      <c r="CM1056" s="5" t="s">
        <v>238</v>
      </c>
      <c r="CN1056" s="5">
        <v>0</v>
      </c>
      <c r="CO1056" s="5" t="s">
        <v>259</v>
      </c>
      <c r="CP1056" s="5" t="s">
        <v>260</v>
      </c>
      <c r="CQ1056" s="5" t="s">
        <v>260</v>
      </c>
      <c r="CR1056" s="5" t="s">
        <v>261</v>
      </c>
      <c r="CU1056" s="8">
        <f>1</f>
        <v>1</v>
      </c>
      <c r="CV1056" s="8">
        <f>0</f>
        <v>0</v>
      </c>
      <c r="CX1056" s="8">
        <f>0</f>
        <v>0</v>
      </c>
      <c r="CY1056" s="8">
        <f>1</f>
        <v>1</v>
      </c>
      <c r="DA1056" s="5" t="s">
        <v>673</v>
      </c>
      <c r="DB1056" s="5" t="s">
        <v>238</v>
      </c>
      <c r="DD1056" s="5" t="s">
        <v>673</v>
      </c>
      <c r="DE1056" s="8">
        <f>216</f>
        <v>216</v>
      </c>
      <c r="DG1056" s="5" t="s">
        <v>238</v>
      </c>
      <c r="DH1056" s="5" t="s">
        <v>238</v>
      </c>
      <c r="DI1056" s="5" t="s">
        <v>238</v>
      </c>
      <c r="DJ1056" s="5" t="s">
        <v>238</v>
      </c>
      <c r="DN1056" s="5" t="s">
        <v>238</v>
      </c>
      <c r="DO1056" s="5" t="s">
        <v>238</v>
      </c>
      <c r="DP1056" s="5" t="s">
        <v>238</v>
      </c>
      <c r="DQ1056" s="5" t="s">
        <v>238</v>
      </c>
      <c r="DT1056" s="5" t="s">
        <v>2039</v>
      </c>
      <c r="DU1056" s="5" t="s">
        <v>928</v>
      </c>
      <c r="HM1056" s="5" t="s">
        <v>264</v>
      </c>
    </row>
    <row r="1057" spans="1:221" x14ac:dyDescent="0.4">
      <c r="A1057" s="5">
        <v>2732</v>
      </c>
      <c r="B1057" s="5">
        <v>1</v>
      </c>
      <c r="C1057" s="5">
        <v>1</v>
      </c>
      <c r="D1057" s="5" t="s">
        <v>2037</v>
      </c>
      <c r="E1057" s="5" t="s">
        <v>271</v>
      </c>
      <c r="F1057" s="5" t="s">
        <v>248</v>
      </c>
      <c r="G1057" s="5" t="s">
        <v>1969</v>
      </c>
      <c r="H1057" s="6" t="s">
        <v>3161</v>
      </c>
      <c r="I1057" s="7">
        <f>1118</f>
        <v>1118</v>
      </c>
      <c r="J1057" s="5" t="s">
        <v>262</v>
      </c>
      <c r="K1057" s="8">
        <f>1</f>
        <v>1</v>
      </c>
      <c r="L1057" s="6" t="s">
        <v>242</v>
      </c>
      <c r="M1057" s="5" t="s">
        <v>267</v>
      </c>
      <c r="N1057" s="5" t="s">
        <v>265</v>
      </c>
      <c r="O1057" s="5" t="s">
        <v>238</v>
      </c>
      <c r="P1057" s="5" t="s">
        <v>238</v>
      </c>
      <c r="Q1057" s="5" t="s">
        <v>268</v>
      </c>
      <c r="R1057" s="5" t="s">
        <v>270</v>
      </c>
      <c r="S1057" s="5" t="s">
        <v>238</v>
      </c>
      <c r="V1057" s="5" t="s">
        <v>238</v>
      </c>
      <c r="X1057" s="6" t="s">
        <v>238</v>
      </c>
      <c r="AA1057" s="6" t="s">
        <v>243</v>
      </c>
      <c r="AB1057" s="5" t="s">
        <v>238</v>
      </c>
      <c r="AC1057" s="5" t="s">
        <v>244</v>
      </c>
      <c r="AD1057" s="5" t="s">
        <v>245</v>
      </c>
      <c r="AT1057" s="5" t="s">
        <v>246</v>
      </c>
      <c r="AU1057" s="5" t="s">
        <v>238</v>
      </c>
      <c r="AV1057" s="5" t="s">
        <v>247</v>
      </c>
      <c r="AW1057" s="5" t="s">
        <v>238</v>
      </c>
      <c r="AX1057" s="5" t="s">
        <v>249</v>
      </c>
      <c r="AY1057" s="5" t="s">
        <v>238</v>
      </c>
      <c r="BA1057" s="5" t="s">
        <v>238</v>
      </c>
      <c r="BC1057" s="5" t="s">
        <v>250</v>
      </c>
      <c r="BD1057" s="6" t="s">
        <v>243</v>
      </c>
      <c r="BE1057" s="5" t="s">
        <v>251</v>
      </c>
      <c r="BF1057" s="5" t="s">
        <v>252</v>
      </c>
      <c r="BG1057" s="5" t="s">
        <v>238</v>
      </c>
      <c r="BH1057" s="7">
        <f>0</f>
        <v>0</v>
      </c>
      <c r="BI1057" s="8">
        <f>0</f>
        <v>0</v>
      </c>
      <c r="BJ1057" s="5" t="s">
        <v>253</v>
      </c>
      <c r="BK1057" s="5" t="s">
        <v>254</v>
      </c>
      <c r="BY1057" s="5" t="s">
        <v>238</v>
      </c>
      <c r="BZ1057" s="5" t="s">
        <v>238</v>
      </c>
      <c r="CD1057" s="5" t="s">
        <v>273</v>
      </c>
      <c r="CE1057" s="5" t="s">
        <v>256</v>
      </c>
      <c r="CF1057" s="5" t="s">
        <v>238</v>
      </c>
      <c r="CI1057" s="6" t="s">
        <v>257</v>
      </c>
      <c r="CJ1057" s="5" t="s">
        <v>238</v>
      </c>
      <c r="CK1057" s="5" t="s">
        <v>258</v>
      </c>
      <c r="CL1057" s="5" t="s">
        <v>238</v>
      </c>
      <c r="CM1057" s="5" t="s">
        <v>238</v>
      </c>
      <c r="CN1057" s="5">
        <v>0</v>
      </c>
      <c r="CO1057" s="5" t="s">
        <v>259</v>
      </c>
      <c r="CP1057" s="5" t="s">
        <v>260</v>
      </c>
      <c r="CQ1057" s="5" t="s">
        <v>260</v>
      </c>
      <c r="CR1057" s="5" t="s">
        <v>261</v>
      </c>
      <c r="CU1057" s="8">
        <f>1</f>
        <v>1</v>
      </c>
      <c r="CV1057" s="8">
        <f>0</f>
        <v>0</v>
      </c>
      <c r="CX1057" s="8">
        <f>0</f>
        <v>0</v>
      </c>
      <c r="CY1057" s="8">
        <f>1</f>
        <v>1</v>
      </c>
      <c r="DA1057" s="5" t="s">
        <v>673</v>
      </c>
      <c r="DB1057" s="5" t="s">
        <v>238</v>
      </c>
      <c r="DD1057" s="5" t="s">
        <v>673</v>
      </c>
      <c r="DE1057" s="8">
        <f>1118</f>
        <v>1118</v>
      </c>
      <c r="DG1057" s="5" t="s">
        <v>238</v>
      </c>
      <c r="DH1057" s="5" t="s">
        <v>238</v>
      </c>
      <c r="DI1057" s="5" t="s">
        <v>238</v>
      </c>
      <c r="DJ1057" s="5" t="s">
        <v>238</v>
      </c>
      <c r="DN1057" s="5" t="s">
        <v>238</v>
      </c>
      <c r="DO1057" s="5" t="s">
        <v>238</v>
      </c>
      <c r="DP1057" s="5" t="s">
        <v>238</v>
      </c>
      <c r="DQ1057" s="5" t="s">
        <v>238</v>
      </c>
      <c r="DT1057" s="5" t="s">
        <v>2039</v>
      </c>
      <c r="DU1057" s="5" t="s">
        <v>930</v>
      </c>
      <c r="HM1057" s="5" t="s">
        <v>264</v>
      </c>
    </row>
    <row r="1058" spans="1:221" x14ac:dyDescent="0.4">
      <c r="A1058" s="5">
        <v>2733</v>
      </c>
      <c r="B1058" s="5">
        <v>1</v>
      </c>
      <c r="C1058" s="5">
        <v>1</v>
      </c>
      <c r="D1058" s="5" t="s">
        <v>2037</v>
      </c>
      <c r="E1058" s="5" t="s">
        <v>271</v>
      </c>
      <c r="F1058" s="5" t="s">
        <v>248</v>
      </c>
      <c r="G1058" s="5" t="s">
        <v>1969</v>
      </c>
      <c r="H1058" s="6" t="s">
        <v>3159</v>
      </c>
      <c r="I1058" s="7">
        <f>1321</f>
        <v>1321</v>
      </c>
      <c r="J1058" s="5" t="s">
        <v>262</v>
      </c>
      <c r="K1058" s="8">
        <f>1</f>
        <v>1</v>
      </c>
      <c r="L1058" s="6" t="s">
        <v>242</v>
      </c>
      <c r="M1058" s="5" t="s">
        <v>267</v>
      </c>
      <c r="N1058" s="5" t="s">
        <v>265</v>
      </c>
      <c r="O1058" s="5" t="s">
        <v>238</v>
      </c>
      <c r="P1058" s="5" t="s">
        <v>238</v>
      </c>
      <c r="Q1058" s="5" t="s">
        <v>268</v>
      </c>
      <c r="R1058" s="5" t="s">
        <v>270</v>
      </c>
      <c r="S1058" s="5" t="s">
        <v>238</v>
      </c>
      <c r="V1058" s="5" t="s">
        <v>238</v>
      </c>
      <c r="X1058" s="6" t="s">
        <v>238</v>
      </c>
      <c r="AA1058" s="6" t="s">
        <v>243</v>
      </c>
      <c r="AB1058" s="5" t="s">
        <v>238</v>
      </c>
      <c r="AC1058" s="5" t="s">
        <v>244</v>
      </c>
      <c r="AD1058" s="5" t="s">
        <v>245</v>
      </c>
      <c r="AT1058" s="5" t="s">
        <v>246</v>
      </c>
      <c r="AU1058" s="5" t="s">
        <v>238</v>
      </c>
      <c r="AV1058" s="5" t="s">
        <v>247</v>
      </c>
      <c r="AW1058" s="5" t="s">
        <v>238</v>
      </c>
      <c r="AX1058" s="5" t="s">
        <v>249</v>
      </c>
      <c r="AY1058" s="5" t="s">
        <v>238</v>
      </c>
      <c r="BA1058" s="5" t="s">
        <v>238</v>
      </c>
      <c r="BC1058" s="5" t="s">
        <v>250</v>
      </c>
      <c r="BD1058" s="6" t="s">
        <v>243</v>
      </c>
      <c r="BE1058" s="5" t="s">
        <v>251</v>
      </c>
      <c r="BF1058" s="5" t="s">
        <v>252</v>
      </c>
      <c r="BG1058" s="5" t="s">
        <v>238</v>
      </c>
      <c r="BH1058" s="7">
        <f>0</f>
        <v>0</v>
      </c>
      <c r="BI1058" s="8">
        <f>0</f>
        <v>0</v>
      </c>
      <c r="BJ1058" s="5" t="s">
        <v>253</v>
      </c>
      <c r="BK1058" s="5" t="s">
        <v>254</v>
      </c>
      <c r="BY1058" s="5" t="s">
        <v>238</v>
      </c>
      <c r="BZ1058" s="5" t="s">
        <v>238</v>
      </c>
      <c r="CD1058" s="5" t="s">
        <v>273</v>
      </c>
      <c r="CE1058" s="5" t="s">
        <v>256</v>
      </c>
      <c r="CF1058" s="5" t="s">
        <v>238</v>
      </c>
      <c r="CI1058" s="6" t="s">
        <v>257</v>
      </c>
      <c r="CJ1058" s="5" t="s">
        <v>238</v>
      </c>
      <c r="CK1058" s="5" t="s">
        <v>258</v>
      </c>
      <c r="CL1058" s="5" t="s">
        <v>238</v>
      </c>
      <c r="CM1058" s="5" t="s">
        <v>238</v>
      </c>
      <c r="CN1058" s="5">
        <v>0</v>
      </c>
      <c r="CO1058" s="5" t="s">
        <v>259</v>
      </c>
      <c r="CP1058" s="5" t="s">
        <v>260</v>
      </c>
      <c r="CQ1058" s="5" t="s">
        <v>260</v>
      </c>
      <c r="CR1058" s="5" t="s">
        <v>261</v>
      </c>
      <c r="CU1058" s="8">
        <f>1</f>
        <v>1</v>
      </c>
      <c r="CV1058" s="8">
        <f>0</f>
        <v>0</v>
      </c>
      <c r="CX1058" s="8">
        <f>0</f>
        <v>0</v>
      </c>
      <c r="CY1058" s="8">
        <f>1</f>
        <v>1</v>
      </c>
      <c r="DA1058" s="5" t="s">
        <v>673</v>
      </c>
      <c r="DB1058" s="5" t="s">
        <v>238</v>
      </c>
      <c r="DD1058" s="5" t="s">
        <v>673</v>
      </c>
      <c r="DE1058" s="8">
        <f>1321</f>
        <v>1321</v>
      </c>
      <c r="DG1058" s="5" t="s">
        <v>238</v>
      </c>
      <c r="DH1058" s="5" t="s">
        <v>238</v>
      </c>
      <c r="DI1058" s="5" t="s">
        <v>238</v>
      </c>
      <c r="DJ1058" s="5" t="s">
        <v>238</v>
      </c>
      <c r="DN1058" s="5" t="s">
        <v>238</v>
      </c>
      <c r="DO1058" s="5" t="s">
        <v>238</v>
      </c>
      <c r="DP1058" s="5" t="s">
        <v>238</v>
      </c>
      <c r="DQ1058" s="5" t="s">
        <v>238</v>
      </c>
      <c r="DT1058" s="5" t="s">
        <v>2039</v>
      </c>
      <c r="DU1058" s="5" t="s">
        <v>938</v>
      </c>
      <c r="HM1058" s="5" t="s">
        <v>264</v>
      </c>
    </row>
    <row r="1059" spans="1:221" x14ac:dyDescent="0.4">
      <c r="A1059" s="5">
        <v>2734</v>
      </c>
      <c r="B1059" s="5">
        <v>1</v>
      </c>
      <c r="C1059" s="5">
        <v>1</v>
      </c>
      <c r="D1059" s="5" t="s">
        <v>2037</v>
      </c>
      <c r="E1059" s="5" t="s">
        <v>271</v>
      </c>
      <c r="F1059" s="5" t="s">
        <v>248</v>
      </c>
      <c r="G1059" s="5" t="s">
        <v>1969</v>
      </c>
      <c r="H1059" s="6" t="s">
        <v>3156</v>
      </c>
      <c r="I1059" s="7">
        <f>1098</f>
        <v>1098</v>
      </c>
      <c r="J1059" s="5" t="s">
        <v>262</v>
      </c>
      <c r="K1059" s="8">
        <f>1</f>
        <v>1</v>
      </c>
      <c r="L1059" s="6" t="s">
        <v>242</v>
      </c>
      <c r="M1059" s="5" t="s">
        <v>267</v>
      </c>
      <c r="N1059" s="5" t="s">
        <v>265</v>
      </c>
      <c r="O1059" s="5" t="s">
        <v>238</v>
      </c>
      <c r="P1059" s="5" t="s">
        <v>238</v>
      </c>
      <c r="Q1059" s="5" t="s">
        <v>268</v>
      </c>
      <c r="R1059" s="5" t="s">
        <v>270</v>
      </c>
      <c r="S1059" s="5" t="s">
        <v>238</v>
      </c>
      <c r="V1059" s="5" t="s">
        <v>238</v>
      </c>
      <c r="X1059" s="6" t="s">
        <v>238</v>
      </c>
      <c r="AA1059" s="6" t="s">
        <v>243</v>
      </c>
      <c r="AB1059" s="5" t="s">
        <v>238</v>
      </c>
      <c r="AC1059" s="5" t="s">
        <v>244</v>
      </c>
      <c r="AD1059" s="5" t="s">
        <v>245</v>
      </c>
      <c r="AT1059" s="5" t="s">
        <v>246</v>
      </c>
      <c r="AU1059" s="5" t="s">
        <v>238</v>
      </c>
      <c r="AV1059" s="5" t="s">
        <v>247</v>
      </c>
      <c r="AW1059" s="5" t="s">
        <v>238</v>
      </c>
      <c r="AX1059" s="5" t="s">
        <v>249</v>
      </c>
      <c r="AY1059" s="5" t="s">
        <v>238</v>
      </c>
      <c r="BA1059" s="5" t="s">
        <v>238</v>
      </c>
      <c r="BC1059" s="5" t="s">
        <v>250</v>
      </c>
      <c r="BD1059" s="6" t="s">
        <v>243</v>
      </c>
      <c r="BE1059" s="5" t="s">
        <v>251</v>
      </c>
      <c r="BF1059" s="5" t="s">
        <v>252</v>
      </c>
      <c r="BG1059" s="5" t="s">
        <v>238</v>
      </c>
      <c r="BH1059" s="7">
        <f>0</f>
        <v>0</v>
      </c>
      <c r="BI1059" s="8">
        <f>0</f>
        <v>0</v>
      </c>
      <c r="BJ1059" s="5" t="s">
        <v>253</v>
      </c>
      <c r="BK1059" s="5" t="s">
        <v>254</v>
      </c>
      <c r="BY1059" s="5" t="s">
        <v>238</v>
      </c>
      <c r="BZ1059" s="5" t="s">
        <v>238</v>
      </c>
      <c r="CD1059" s="5" t="s">
        <v>273</v>
      </c>
      <c r="CE1059" s="5" t="s">
        <v>256</v>
      </c>
      <c r="CF1059" s="5" t="s">
        <v>238</v>
      </c>
      <c r="CI1059" s="6" t="s">
        <v>257</v>
      </c>
      <c r="CJ1059" s="5" t="s">
        <v>238</v>
      </c>
      <c r="CK1059" s="5" t="s">
        <v>258</v>
      </c>
      <c r="CL1059" s="5" t="s">
        <v>238</v>
      </c>
      <c r="CM1059" s="5" t="s">
        <v>238</v>
      </c>
      <c r="CN1059" s="5">
        <v>0</v>
      </c>
      <c r="CO1059" s="5" t="s">
        <v>259</v>
      </c>
      <c r="CP1059" s="5" t="s">
        <v>260</v>
      </c>
      <c r="CQ1059" s="5" t="s">
        <v>260</v>
      </c>
      <c r="CR1059" s="5" t="s">
        <v>261</v>
      </c>
      <c r="CU1059" s="8">
        <f>1</f>
        <v>1</v>
      </c>
      <c r="CV1059" s="8">
        <f>0</f>
        <v>0</v>
      </c>
      <c r="CX1059" s="8">
        <f>0</f>
        <v>0</v>
      </c>
      <c r="CY1059" s="8">
        <f>1</f>
        <v>1</v>
      </c>
      <c r="DA1059" s="5" t="s">
        <v>673</v>
      </c>
      <c r="DB1059" s="5" t="s">
        <v>238</v>
      </c>
      <c r="DD1059" s="5" t="s">
        <v>673</v>
      </c>
      <c r="DE1059" s="8">
        <f>1098</f>
        <v>1098</v>
      </c>
      <c r="DG1059" s="5" t="s">
        <v>238</v>
      </c>
      <c r="DH1059" s="5" t="s">
        <v>238</v>
      </c>
      <c r="DI1059" s="5" t="s">
        <v>238</v>
      </c>
      <c r="DJ1059" s="5" t="s">
        <v>238</v>
      </c>
      <c r="DN1059" s="5" t="s">
        <v>238</v>
      </c>
      <c r="DO1059" s="5" t="s">
        <v>238</v>
      </c>
      <c r="DP1059" s="5" t="s">
        <v>238</v>
      </c>
      <c r="DQ1059" s="5" t="s">
        <v>238</v>
      </c>
      <c r="DT1059" s="5" t="s">
        <v>2039</v>
      </c>
      <c r="DU1059" s="5" t="s">
        <v>3157</v>
      </c>
      <c r="HM1059" s="5" t="s">
        <v>264</v>
      </c>
    </row>
    <row r="1060" spans="1:221" x14ac:dyDescent="0.4">
      <c r="A1060" s="5">
        <v>2735</v>
      </c>
      <c r="B1060" s="5">
        <v>1</v>
      </c>
      <c r="C1060" s="5">
        <v>1</v>
      </c>
      <c r="D1060" s="5" t="s">
        <v>2037</v>
      </c>
      <c r="E1060" s="5" t="s">
        <v>271</v>
      </c>
      <c r="F1060" s="5" t="s">
        <v>248</v>
      </c>
      <c r="G1060" s="5" t="s">
        <v>1969</v>
      </c>
      <c r="H1060" s="6" t="s">
        <v>3153</v>
      </c>
      <c r="I1060" s="7">
        <f>454</f>
        <v>454</v>
      </c>
      <c r="J1060" s="5" t="s">
        <v>262</v>
      </c>
      <c r="K1060" s="8">
        <f>1</f>
        <v>1</v>
      </c>
      <c r="L1060" s="6" t="s">
        <v>242</v>
      </c>
      <c r="M1060" s="5" t="s">
        <v>267</v>
      </c>
      <c r="N1060" s="5" t="s">
        <v>265</v>
      </c>
      <c r="O1060" s="5" t="s">
        <v>238</v>
      </c>
      <c r="P1060" s="5" t="s">
        <v>238</v>
      </c>
      <c r="Q1060" s="5" t="s">
        <v>268</v>
      </c>
      <c r="R1060" s="5" t="s">
        <v>270</v>
      </c>
      <c r="S1060" s="5" t="s">
        <v>238</v>
      </c>
      <c r="V1060" s="5" t="s">
        <v>238</v>
      </c>
      <c r="X1060" s="6" t="s">
        <v>238</v>
      </c>
      <c r="AA1060" s="6" t="s">
        <v>243</v>
      </c>
      <c r="AB1060" s="5" t="s">
        <v>238</v>
      </c>
      <c r="AC1060" s="5" t="s">
        <v>244</v>
      </c>
      <c r="AD1060" s="5" t="s">
        <v>245</v>
      </c>
      <c r="AT1060" s="5" t="s">
        <v>246</v>
      </c>
      <c r="AU1060" s="5" t="s">
        <v>238</v>
      </c>
      <c r="AV1060" s="5" t="s">
        <v>247</v>
      </c>
      <c r="AW1060" s="5" t="s">
        <v>238</v>
      </c>
      <c r="AX1060" s="5" t="s">
        <v>249</v>
      </c>
      <c r="AY1060" s="5" t="s">
        <v>238</v>
      </c>
      <c r="BA1060" s="5" t="s">
        <v>238</v>
      </c>
      <c r="BC1060" s="5" t="s">
        <v>250</v>
      </c>
      <c r="BD1060" s="6" t="s">
        <v>243</v>
      </c>
      <c r="BE1060" s="5" t="s">
        <v>251</v>
      </c>
      <c r="BF1060" s="5" t="s">
        <v>252</v>
      </c>
      <c r="BG1060" s="5" t="s">
        <v>238</v>
      </c>
      <c r="BH1060" s="7">
        <f>0</f>
        <v>0</v>
      </c>
      <c r="BI1060" s="8">
        <f>0</f>
        <v>0</v>
      </c>
      <c r="BJ1060" s="5" t="s">
        <v>253</v>
      </c>
      <c r="BK1060" s="5" t="s">
        <v>254</v>
      </c>
      <c r="BY1060" s="5" t="s">
        <v>238</v>
      </c>
      <c r="BZ1060" s="5" t="s">
        <v>238</v>
      </c>
      <c r="CD1060" s="5" t="s">
        <v>273</v>
      </c>
      <c r="CE1060" s="5" t="s">
        <v>256</v>
      </c>
      <c r="CF1060" s="5" t="s">
        <v>238</v>
      </c>
      <c r="CI1060" s="6" t="s">
        <v>257</v>
      </c>
      <c r="CJ1060" s="5" t="s">
        <v>238</v>
      </c>
      <c r="CK1060" s="5" t="s">
        <v>258</v>
      </c>
      <c r="CL1060" s="5" t="s">
        <v>238</v>
      </c>
      <c r="CM1060" s="5" t="s">
        <v>238</v>
      </c>
      <c r="CN1060" s="5">
        <v>0</v>
      </c>
      <c r="CO1060" s="5" t="s">
        <v>259</v>
      </c>
      <c r="CP1060" s="5" t="s">
        <v>260</v>
      </c>
      <c r="CQ1060" s="5" t="s">
        <v>260</v>
      </c>
      <c r="CR1060" s="5" t="s">
        <v>261</v>
      </c>
      <c r="CU1060" s="8">
        <f>1</f>
        <v>1</v>
      </c>
      <c r="CV1060" s="8">
        <f>0</f>
        <v>0</v>
      </c>
      <c r="CX1060" s="8">
        <f>0</f>
        <v>0</v>
      </c>
      <c r="CY1060" s="8">
        <f>1</f>
        <v>1</v>
      </c>
      <c r="DA1060" s="5" t="s">
        <v>673</v>
      </c>
      <c r="DB1060" s="5" t="s">
        <v>238</v>
      </c>
      <c r="DD1060" s="5" t="s">
        <v>673</v>
      </c>
      <c r="DE1060" s="8">
        <f>454</f>
        <v>454</v>
      </c>
      <c r="DG1060" s="5" t="s">
        <v>238</v>
      </c>
      <c r="DH1060" s="5" t="s">
        <v>238</v>
      </c>
      <c r="DI1060" s="5" t="s">
        <v>238</v>
      </c>
      <c r="DJ1060" s="5" t="s">
        <v>238</v>
      </c>
      <c r="DN1060" s="5" t="s">
        <v>238</v>
      </c>
      <c r="DO1060" s="5" t="s">
        <v>238</v>
      </c>
      <c r="DP1060" s="5" t="s">
        <v>238</v>
      </c>
      <c r="DQ1060" s="5" t="s">
        <v>238</v>
      </c>
      <c r="DT1060" s="5" t="s">
        <v>2039</v>
      </c>
      <c r="DU1060" s="5" t="s">
        <v>3154</v>
      </c>
      <c r="HM1060" s="5" t="s">
        <v>264</v>
      </c>
    </row>
    <row r="1061" spans="1:221" x14ac:dyDescent="0.4">
      <c r="A1061" s="5">
        <v>2736</v>
      </c>
      <c r="B1061" s="5">
        <v>1</v>
      </c>
      <c r="C1061" s="5">
        <v>1</v>
      </c>
      <c r="D1061" s="5" t="s">
        <v>2037</v>
      </c>
      <c r="E1061" s="5" t="s">
        <v>271</v>
      </c>
      <c r="F1061" s="5" t="s">
        <v>248</v>
      </c>
      <c r="G1061" s="5" t="s">
        <v>1969</v>
      </c>
      <c r="H1061" s="6" t="s">
        <v>3147</v>
      </c>
      <c r="I1061" s="7">
        <f>130</f>
        <v>130</v>
      </c>
      <c r="J1061" s="5" t="s">
        <v>262</v>
      </c>
      <c r="K1061" s="8">
        <f>1</f>
        <v>1</v>
      </c>
      <c r="L1061" s="6" t="s">
        <v>242</v>
      </c>
      <c r="M1061" s="5" t="s">
        <v>267</v>
      </c>
      <c r="N1061" s="5" t="s">
        <v>265</v>
      </c>
      <c r="O1061" s="5" t="s">
        <v>238</v>
      </c>
      <c r="P1061" s="5" t="s">
        <v>238</v>
      </c>
      <c r="Q1061" s="5" t="s">
        <v>268</v>
      </c>
      <c r="R1061" s="5" t="s">
        <v>270</v>
      </c>
      <c r="S1061" s="5" t="s">
        <v>238</v>
      </c>
      <c r="V1061" s="5" t="s">
        <v>238</v>
      </c>
      <c r="X1061" s="6" t="s">
        <v>238</v>
      </c>
      <c r="AA1061" s="6" t="s">
        <v>243</v>
      </c>
      <c r="AB1061" s="5" t="s">
        <v>238</v>
      </c>
      <c r="AC1061" s="5" t="s">
        <v>244</v>
      </c>
      <c r="AD1061" s="5" t="s">
        <v>245</v>
      </c>
      <c r="AT1061" s="5" t="s">
        <v>246</v>
      </c>
      <c r="AU1061" s="5" t="s">
        <v>238</v>
      </c>
      <c r="AV1061" s="5" t="s">
        <v>247</v>
      </c>
      <c r="AW1061" s="5" t="s">
        <v>238</v>
      </c>
      <c r="AX1061" s="5" t="s">
        <v>249</v>
      </c>
      <c r="AY1061" s="5" t="s">
        <v>238</v>
      </c>
      <c r="BA1061" s="5" t="s">
        <v>238</v>
      </c>
      <c r="BC1061" s="5" t="s">
        <v>250</v>
      </c>
      <c r="BD1061" s="6" t="s">
        <v>243</v>
      </c>
      <c r="BE1061" s="5" t="s">
        <v>251</v>
      </c>
      <c r="BF1061" s="5" t="s">
        <v>252</v>
      </c>
      <c r="BG1061" s="5" t="s">
        <v>238</v>
      </c>
      <c r="BH1061" s="7">
        <f>0</f>
        <v>0</v>
      </c>
      <c r="BI1061" s="8">
        <f>0</f>
        <v>0</v>
      </c>
      <c r="BJ1061" s="5" t="s">
        <v>253</v>
      </c>
      <c r="BK1061" s="5" t="s">
        <v>254</v>
      </c>
      <c r="BY1061" s="5" t="s">
        <v>238</v>
      </c>
      <c r="BZ1061" s="5" t="s">
        <v>238</v>
      </c>
      <c r="CD1061" s="5" t="s">
        <v>273</v>
      </c>
      <c r="CE1061" s="5" t="s">
        <v>256</v>
      </c>
      <c r="CF1061" s="5" t="s">
        <v>238</v>
      </c>
      <c r="CI1061" s="6" t="s">
        <v>257</v>
      </c>
      <c r="CJ1061" s="5" t="s">
        <v>238</v>
      </c>
      <c r="CK1061" s="5" t="s">
        <v>258</v>
      </c>
      <c r="CL1061" s="5" t="s">
        <v>238</v>
      </c>
      <c r="CM1061" s="5" t="s">
        <v>238</v>
      </c>
      <c r="CN1061" s="5">
        <v>0</v>
      </c>
      <c r="CO1061" s="5" t="s">
        <v>259</v>
      </c>
      <c r="CP1061" s="5" t="s">
        <v>260</v>
      </c>
      <c r="CQ1061" s="5" t="s">
        <v>260</v>
      </c>
      <c r="CR1061" s="5" t="s">
        <v>261</v>
      </c>
      <c r="CU1061" s="8">
        <f>1</f>
        <v>1</v>
      </c>
      <c r="CV1061" s="8">
        <f>0</f>
        <v>0</v>
      </c>
      <c r="CX1061" s="8">
        <f>0</f>
        <v>0</v>
      </c>
      <c r="CY1061" s="8">
        <f>1</f>
        <v>1</v>
      </c>
      <c r="DA1061" s="5" t="s">
        <v>673</v>
      </c>
      <c r="DB1061" s="5" t="s">
        <v>238</v>
      </c>
      <c r="DD1061" s="5" t="s">
        <v>673</v>
      </c>
      <c r="DE1061" s="8">
        <f>130</f>
        <v>130</v>
      </c>
      <c r="DG1061" s="5" t="s">
        <v>238</v>
      </c>
      <c r="DH1061" s="5" t="s">
        <v>238</v>
      </c>
      <c r="DI1061" s="5" t="s">
        <v>238</v>
      </c>
      <c r="DJ1061" s="5" t="s">
        <v>238</v>
      </c>
      <c r="DN1061" s="5" t="s">
        <v>238</v>
      </c>
      <c r="DO1061" s="5" t="s">
        <v>238</v>
      </c>
      <c r="DP1061" s="5" t="s">
        <v>238</v>
      </c>
      <c r="DQ1061" s="5" t="s">
        <v>238</v>
      </c>
      <c r="DT1061" s="5" t="s">
        <v>2039</v>
      </c>
      <c r="DU1061" s="5" t="s">
        <v>3148</v>
      </c>
      <c r="HM1061" s="5" t="s">
        <v>264</v>
      </c>
    </row>
    <row r="1062" spans="1:221" x14ac:dyDescent="0.4">
      <c r="A1062" s="5">
        <v>2737</v>
      </c>
      <c r="B1062" s="5">
        <v>1</v>
      </c>
      <c r="C1062" s="5">
        <v>1</v>
      </c>
      <c r="D1062" s="5" t="s">
        <v>2037</v>
      </c>
      <c r="E1062" s="5" t="s">
        <v>271</v>
      </c>
      <c r="F1062" s="5" t="s">
        <v>248</v>
      </c>
      <c r="G1062" s="5" t="s">
        <v>1969</v>
      </c>
      <c r="H1062" s="6" t="s">
        <v>3145</v>
      </c>
      <c r="I1062" s="7">
        <f>16</f>
        <v>16</v>
      </c>
      <c r="J1062" s="5" t="s">
        <v>262</v>
      </c>
      <c r="K1062" s="8">
        <f>1</f>
        <v>1</v>
      </c>
      <c r="L1062" s="6" t="s">
        <v>242</v>
      </c>
      <c r="M1062" s="5" t="s">
        <v>267</v>
      </c>
      <c r="N1062" s="5" t="s">
        <v>265</v>
      </c>
      <c r="O1062" s="5" t="s">
        <v>238</v>
      </c>
      <c r="P1062" s="5" t="s">
        <v>238</v>
      </c>
      <c r="Q1062" s="5" t="s">
        <v>268</v>
      </c>
      <c r="R1062" s="5" t="s">
        <v>270</v>
      </c>
      <c r="S1062" s="5" t="s">
        <v>238</v>
      </c>
      <c r="V1062" s="5" t="s">
        <v>238</v>
      </c>
      <c r="X1062" s="6" t="s">
        <v>238</v>
      </c>
      <c r="AA1062" s="6" t="s">
        <v>243</v>
      </c>
      <c r="AB1062" s="5" t="s">
        <v>238</v>
      </c>
      <c r="AC1062" s="5" t="s">
        <v>244</v>
      </c>
      <c r="AD1062" s="5" t="s">
        <v>245</v>
      </c>
      <c r="AT1062" s="5" t="s">
        <v>246</v>
      </c>
      <c r="AU1062" s="5" t="s">
        <v>238</v>
      </c>
      <c r="AV1062" s="5" t="s">
        <v>247</v>
      </c>
      <c r="AW1062" s="5" t="s">
        <v>238</v>
      </c>
      <c r="AX1062" s="5" t="s">
        <v>249</v>
      </c>
      <c r="AY1062" s="5" t="s">
        <v>238</v>
      </c>
      <c r="BA1062" s="5" t="s">
        <v>238</v>
      </c>
      <c r="BC1062" s="5" t="s">
        <v>250</v>
      </c>
      <c r="BD1062" s="6" t="s">
        <v>243</v>
      </c>
      <c r="BE1062" s="5" t="s">
        <v>251</v>
      </c>
      <c r="BF1062" s="5" t="s">
        <v>252</v>
      </c>
      <c r="BG1062" s="5" t="s">
        <v>238</v>
      </c>
      <c r="BH1062" s="7">
        <f>0</f>
        <v>0</v>
      </c>
      <c r="BI1062" s="8">
        <f>0</f>
        <v>0</v>
      </c>
      <c r="BJ1062" s="5" t="s">
        <v>253</v>
      </c>
      <c r="BK1062" s="5" t="s">
        <v>254</v>
      </c>
      <c r="BY1062" s="5" t="s">
        <v>238</v>
      </c>
      <c r="BZ1062" s="5" t="s">
        <v>238</v>
      </c>
      <c r="CD1062" s="5" t="s">
        <v>273</v>
      </c>
      <c r="CE1062" s="5" t="s">
        <v>256</v>
      </c>
      <c r="CF1062" s="5" t="s">
        <v>238</v>
      </c>
      <c r="CI1062" s="6" t="s">
        <v>257</v>
      </c>
      <c r="CJ1062" s="5" t="s">
        <v>238</v>
      </c>
      <c r="CK1062" s="5" t="s">
        <v>258</v>
      </c>
      <c r="CL1062" s="5" t="s">
        <v>238</v>
      </c>
      <c r="CM1062" s="5" t="s">
        <v>238</v>
      </c>
      <c r="CN1062" s="5">
        <v>0</v>
      </c>
      <c r="CO1062" s="5" t="s">
        <v>259</v>
      </c>
      <c r="CP1062" s="5" t="s">
        <v>260</v>
      </c>
      <c r="CQ1062" s="5" t="s">
        <v>260</v>
      </c>
      <c r="CR1062" s="5" t="s">
        <v>261</v>
      </c>
      <c r="CU1062" s="8">
        <f>1</f>
        <v>1</v>
      </c>
      <c r="CV1062" s="8">
        <f>0</f>
        <v>0</v>
      </c>
      <c r="CX1062" s="8">
        <f>0</f>
        <v>0</v>
      </c>
      <c r="CY1062" s="8">
        <f>1</f>
        <v>1</v>
      </c>
      <c r="DA1062" s="5" t="s">
        <v>673</v>
      </c>
      <c r="DB1062" s="5" t="s">
        <v>238</v>
      </c>
      <c r="DD1062" s="5" t="s">
        <v>673</v>
      </c>
      <c r="DE1062" s="8">
        <f>16</f>
        <v>16</v>
      </c>
      <c r="DG1062" s="5" t="s">
        <v>238</v>
      </c>
      <c r="DH1062" s="5" t="s">
        <v>238</v>
      </c>
      <c r="DI1062" s="5" t="s">
        <v>238</v>
      </c>
      <c r="DJ1062" s="5" t="s">
        <v>238</v>
      </c>
      <c r="DN1062" s="5" t="s">
        <v>238</v>
      </c>
      <c r="DO1062" s="5" t="s">
        <v>238</v>
      </c>
      <c r="DP1062" s="5" t="s">
        <v>238</v>
      </c>
      <c r="DQ1062" s="5" t="s">
        <v>238</v>
      </c>
      <c r="DT1062" s="5" t="s">
        <v>2039</v>
      </c>
      <c r="DU1062" s="5" t="s">
        <v>920</v>
      </c>
      <c r="HM1062" s="5" t="s">
        <v>264</v>
      </c>
    </row>
    <row r="1063" spans="1:221" x14ac:dyDescent="0.4">
      <c r="A1063" s="5">
        <v>2738</v>
      </c>
      <c r="B1063" s="5">
        <v>1</v>
      </c>
      <c r="C1063" s="5">
        <v>1</v>
      </c>
      <c r="D1063" s="5" t="s">
        <v>2037</v>
      </c>
      <c r="E1063" s="5" t="s">
        <v>271</v>
      </c>
      <c r="F1063" s="5" t="s">
        <v>248</v>
      </c>
      <c r="G1063" s="5" t="s">
        <v>1969</v>
      </c>
      <c r="H1063" s="6" t="s">
        <v>3143</v>
      </c>
      <c r="I1063" s="7">
        <f>68</f>
        <v>68</v>
      </c>
      <c r="J1063" s="5" t="s">
        <v>262</v>
      </c>
      <c r="K1063" s="8">
        <f>1</f>
        <v>1</v>
      </c>
      <c r="L1063" s="6" t="s">
        <v>242</v>
      </c>
      <c r="M1063" s="5" t="s">
        <v>267</v>
      </c>
      <c r="N1063" s="5" t="s">
        <v>265</v>
      </c>
      <c r="O1063" s="5" t="s">
        <v>238</v>
      </c>
      <c r="P1063" s="5" t="s">
        <v>238</v>
      </c>
      <c r="Q1063" s="5" t="s">
        <v>268</v>
      </c>
      <c r="R1063" s="5" t="s">
        <v>270</v>
      </c>
      <c r="S1063" s="5" t="s">
        <v>238</v>
      </c>
      <c r="V1063" s="5" t="s">
        <v>238</v>
      </c>
      <c r="X1063" s="6" t="s">
        <v>238</v>
      </c>
      <c r="AA1063" s="6" t="s">
        <v>243</v>
      </c>
      <c r="AB1063" s="5" t="s">
        <v>238</v>
      </c>
      <c r="AC1063" s="5" t="s">
        <v>244</v>
      </c>
      <c r="AD1063" s="5" t="s">
        <v>245</v>
      </c>
      <c r="AT1063" s="5" t="s">
        <v>246</v>
      </c>
      <c r="AU1063" s="5" t="s">
        <v>238</v>
      </c>
      <c r="AV1063" s="5" t="s">
        <v>247</v>
      </c>
      <c r="AW1063" s="5" t="s">
        <v>238</v>
      </c>
      <c r="AX1063" s="5" t="s">
        <v>249</v>
      </c>
      <c r="AY1063" s="5" t="s">
        <v>238</v>
      </c>
      <c r="BA1063" s="5" t="s">
        <v>238</v>
      </c>
      <c r="BC1063" s="5" t="s">
        <v>250</v>
      </c>
      <c r="BD1063" s="6" t="s">
        <v>243</v>
      </c>
      <c r="BE1063" s="5" t="s">
        <v>251</v>
      </c>
      <c r="BF1063" s="5" t="s">
        <v>252</v>
      </c>
      <c r="BG1063" s="5" t="s">
        <v>238</v>
      </c>
      <c r="BH1063" s="7">
        <f>0</f>
        <v>0</v>
      </c>
      <c r="BI1063" s="8">
        <f>0</f>
        <v>0</v>
      </c>
      <c r="BJ1063" s="5" t="s">
        <v>253</v>
      </c>
      <c r="BK1063" s="5" t="s">
        <v>254</v>
      </c>
      <c r="BY1063" s="5" t="s">
        <v>238</v>
      </c>
      <c r="BZ1063" s="5" t="s">
        <v>238</v>
      </c>
      <c r="CD1063" s="5" t="s">
        <v>273</v>
      </c>
      <c r="CE1063" s="5" t="s">
        <v>256</v>
      </c>
      <c r="CF1063" s="5" t="s">
        <v>238</v>
      </c>
      <c r="CI1063" s="6" t="s">
        <v>257</v>
      </c>
      <c r="CJ1063" s="5" t="s">
        <v>238</v>
      </c>
      <c r="CK1063" s="5" t="s">
        <v>258</v>
      </c>
      <c r="CL1063" s="5" t="s">
        <v>238</v>
      </c>
      <c r="CM1063" s="5" t="s">
        <v>238</v>
      </c>
      <c r="CN1063" s="5">
        <v>0</v>
      </c>
      <c r="CO1063" s="5" t="s">
        <v>259</v>
      </c>
      <c r="CP1063" s="5" t="s">
        <v>260</v>
      </c>
      <c r="CQ1063" s="5" t="s">
        <v>260</v>
      </c>
      <c r="CR1063" s="5" t="s">
        <v>261</v>
      </c>
      <c r="CU1063" s="8">
        <f>1</f>
        <v>1</v>
      </c>
      <c r="CV1063" s="8">
        <f>0</f>
        <v>0</v>
      </c>
      <c r="CX1063" s="8">
        <f>0</f>
        <v>0</v>
      </c>
      <c r="CY1063" s="8">
        <f>1</f>
        <v>1</v>
      </c>
      <c r="DA1063" s="5" t="s">
        <v>673</v>
      </c>
      <c r="DB1063" s="5" t="s">
        <v>238</v>
      </c>
      <c r="DD1063" s="5" t="s">
        <v>673</v>
      </c>
      <c r="DE1063" s="8">
        <f>68</f>
        <v>68</v>
      </c>
      <c r="DG1063" s="5" t="s">
        <v>238</v>
      </c>
      <c r="DH1063" s="5" t="s">
        <v>238</v>
      </c>
      <c r="DI1063" s="5" t="s">
        <v>238</v>
      </c>
      <c r="DJ1063" s="5" t="s">
        <v>238</v>
      </c>
      <c r="DN1063" s="5" t="s">
        <v>238</v>
      </c>
      <c r="DO1063" s="5" t="s">
        <v>238</v>
      </c>
      <c r="DP1063" s="5" t="s">
        <v>238</v>
      </c>
      <c r="DQ1063" s="5" t="s">
        <v>238</v>
      </c>
      <c r="DT1063" s="5" t="s">
        <v>2039</v>
      </c>
      <c r="DU1063" s="5" t="s">
        <v>3144</v>
      </c>
      <c r="HM1063" s="5" t="s">
        <v>264</v>
      </c>
    </row>
    <row r="1064" spans="1:221" x14ac:dyDescent="0.4">
      <c r="A1064" s="5">
        <v>2739</v>
      </c>
      <c r="B1064" s="5">
        <v>1</v>
      </c>
      <c r="C1064" s="5">
        <v>1</v>
      </c>
      <c r="D1064" s="5" t="s">
        <v>2037</v>
      </c>
      <c r="E1064" s="5" t="s">
        <v>271</v>
      </c>
      <c r="F1064" s="5" t="s">
        <v>248</v>
      </c>
      <c r="G1064" s="5" t="s">
        <v>1969</v>
      </c>
      <c r="H1064" s="6" t="s">
        <v>3141</v>
      </c>
      <c r="I1064" s="7">
        <f>2551</f>
        <v>2551</v>
      </c>
      <c r="J1064" s="5" t="s">
        <v>262</v>
      </c>
      <c r="K1064" s="8">
        <f>1</f>
        <v>1</v>
      </c>
      <c r="L1064" s="6" t="s">
        <v>242</v>
      </c>
      <c r="M1064" s="5" t="s">
        <v>267</v>
      </c>
      <c r="N1064" s="5" t="s">
        <v>265</v>
      </c>
      <c r="O1064" s="5" t="s">
        <v>238</v>
      </c>
      <c r="P1064" s="5" t="s">
        <v>238</v>
      </c>
      <c r="Q1064" s="5" t="s">
        <v>268</v>
      </c>
      <c r="R1064" s="5" t="s">
        <v>270</v>
      </c>
      <c r="S1064" s="5" t="s">
        <v>238</v>
      </c>
      <c r="V1064" s="5" t="s">
        <v>238</v>
      </c>
      <c r="X1064" s="6" t="s">
        <v>238</v>
      </c>
      <c r="AA1064" s="6" t="s">
        <v>243</v>
      </c>
      <c r="AB1064" s="5" t="s">
        <v>238</v>
      </c>
      <c r="AC1064" s="5" t="s">
        <v>244</v>
      </c>
      <c r="AD1064" s="5" t="s">
        <v>245</v>
      </c>
      <c r="AT1064" s="5" t="s">
        <v>246</v>
      </c>
      <c r="AU1064" s="5" t="s">
        <v>238</v>
      </c>
      <c r="AV1064" s="5" t="s">
        <v>247</v>
      </c>
      <c r="AW1064" s="5" t="s">
        <v>238</v>
      </c>
      <c r="AX1064" s="5" t="s">
        <v>249</v>
      </c>
      <c r="AY1064" s="5" t="s">
        <v>238</v>
      </c>
      <c r="BA1064" s="5" t="s">
        <v>238</v>
      </c>
      <c r="BC1064" s="5" t="s">
        <v>250</v>
      </c>
      <c r="BD1064" s="6" t="s">
        <v>243</v>
      </c>
      <c r="BE1064" s="5" t="s">
        <v>251</v>
      </c>
      <c r="BF1064" s="5" t="s">
        <v>252</v>
      </c>
      <c r="BG1064" s="5" t="s">
        <v>238</v>
      </c>
      <c r="BH1064" s="7">
        <f>0</f>
        <v>0</v>
      </c>
      <c r="BI1064" s="8">
        <f>0</f>
        <v>0</v>
      </c>
      <c r="BJ1064" s="5" t="s">
        <v>253</v>
      </c>
      <c r="BK1064" s="5" t="s">
        <v>254</v>
      </c>
      <c r="BY1064" s="5" t="s">
        <v>238</v>
      </c>
      <c r="BZ1064" s="5" t="s">
        <v>238</v>
      </c>
      <c r="CD1064" s="5" t="s">
        <v>273</v>
      </c>
      <c r="CE1064" s="5" t="s">
        <v>256</v>
      </c>
      <c r="CF1064" s="5" t="s">
        <v>238</v>
      </c>
      <c r="CI1064" s="6" t="s">
        <v>257</v>
      </c>
      <c r="CJ1064" s="5" t="s">
        <v>238</v>
      </c>
      <c r="CK1064" s="5" t="s">
        <v>258</v>
      </c>
      <c r="CL1064" s="5" t="s">
        <v>238</v>
      </c>
      <c r="CM1064" s="5" t="s">
        <v>238</v>
      </c>
      <c r="CN1064" s="5">
        <v>0</v>
      </c>
      <c r="CO1064" s="5" t="s">
        <v>259</v>
      </c>
      <c r="CP1064" s="5" t="s">
        <v>260</v>
      </c>
      <c r="CQ1064" s="5" t="s">
        <v>260</v>
      </c>
      <c r="CR1064" s="5" t="s">
        <v>261</v>
      </c>
      <c r="CU1064" s="8">
        <f>1</f>
        <v>1</v>
      </c>
      <c r="CV1064" s="8">
        <f>0</f>
        <v>0</v>
      </c>
      <c r="CX1064" s="8">
        <f>0</f>
        <v>0</v>
      </c>
      <c r="CY1064" s="8">
        <f>1</f>
        <v>1</v>
      </c>
      <c r="DA1064" s="5" t="s">
        <v>673</v>
      </c>
      <c r="DB1064" s="5" t="s">
        <v>238</v>
      </c>
      <c r="DD1064" s="5" t="s">
        <v>673</v>
      </c>
      <c r="DE1064" s="8">
        <f>2551</f>
        <v>2551</v>
      </c>
      <c r="DG1064" s="5" t="s">
        <v>238</v>
      </c>
      <c r="DH1064" s="5" t="s">
        <v>238</v>
      </c>
      <c r="DI1064" s="5" t="s">
        <v>238</v>
      </c>
      <c r="DJ1064" s="5" t="s">
        <v>238</v>
      </c>
      <c r="DN1064" s="5" t="s">
        <v>238</v>
      </c>
      <c r="DO1064" s="5" t="s">
        <v>238</v>
      </c>
      <c r="DP1064" s="5" t="s">
        <v>238</v>
      </c>
      <c r="DQ1064" s="5" t="s">
        <v>238</v>
      </c>
      <c r="DT1064" s="5" t="s">
        <v>2039</v>
      </c>
      <c r="DU1064" s="5" t="s">
        <v>3142</v>
      </c>
      <c r="HM1064" s="5" t="s">
        <v>264</v>
      </c>
    </row>
    <row r="1065" spans="1:221" x14ac:dyDescent="0.4">
      <c r="A1065" s="5">
        <v>2740</v>
      </c>
      <c r="B1065" s="5">
        <v>1</v>
      </c>
      <c r="C1065" s="5">
        <v>1</v>
      </c>
      <c r="D1065" s="5" t="s">
        <v>2037</v>
      </c>
      <c r="E1065" s="5" t="s">
        <v>271</v>
      </c>
      <c r="F1065" s="5" t="s">
        <v>248</v>
      </c>
      <c r="G1065" s="5" t="s">
        <v>1969</v>
      </c>
      <c r="H1065" s="6" t="s">
        <v>3140</v>
      </c>
      <c r="I1065" s="7">
        <f>421</f>
        <v>421</v>
      </c>
      <c r="J1065" s="5" t="s">
        <v>262</v>
      </c>
      <c r="K1065" s="8">
        <f>1</f>
        <v>1</v>
      </c>
      <c r="L1065" s="6" t="s">
        <v>242</v>
      </c>
      <c r="M1065" s="5" t="s">
        <v>267</v>
      </c>
      <c r="N1065" s="5" t="s">
        <v>265</v>
      </c>
      <c r="O1065" s="5" t="s">
        <v>238</v>
      </c>
      <c r="P1065" s="5" t="s">
        <v>238</v>
      </c>
      <c r="Q1065" s="5" t="s">
        <v>268</v>
      </c>
      <c r="R1065" s="5" t="s">
        <v>270</v>
      </c>
      <c r="S1065" s="5" t="s">
        <v>238</v>
      </c>
      <c r="V1065" s="5" t="s">
        <v>238</v>
      </c>
      <c r="X1065" s="6" t="s">
        <v>238</v>
      </c>
      <c r="AA1065" s="6" t="s">
        <v>243</v>
      </c>
      <c r="AB1065" s="5" t="s">
        <v>238</v>
      </c>
      <c r="AC1065" s="5" t="s">
        <v>244</v>
      </c>
      <c r="AD1065" s="5" t="s">
        <v>245</v>
      </c>
      <c r="AT1065" s="5" t="s">
        <v>246</v>
      </c>
      <c r="AU1065" s="5" t="s">
        <v>238</v>
      </c>
      <c r="AV1065" s="5" t="s">
        <v>247</v>
      </c>
      <c r="AW1065" s="5" t="s">
        <v>238</v>
      </c>
      <c r="AX1065" s="5" t="s">
        <v>249</v>
      </c>
      <c r="AY1065" s="5" t="s">
        <v>238</v>
      </c>
      <c r="BA1065" s="5" t="s">
        <v>238</v>
      </c>
      <c r="BC1065" s="5" t="s">
        <v>250</v>
      </c>
      <c r="BD1065" s="6" t="s">
        <v>243</v>
      </c>
      <c r="BE1065" s="5" t="s">
        <v>251</v>
      </c>
      <c r="BF1065" s="5" t="s">
        <v>252</v>
      </c>
      <c r="BG1065" s="5" t="s">
        <v>238</v>
      </c>
      <c r="BH1065" s="7">
        <f>0</f>
        <v>0</v>
      </c>
      <c r="BI1065" s="8">
        <f>0</f>
        <v>0</v>
      </c>
      <c r="BJ1065" s="5" t="s">
        <v>253</v>
      </c>
      <c r="BK1065" s="5" t="s">
        <v>254</v>
      </c>
      <c r="BY1065" s="5" t="s">
        <v>238</v>
      </c>
      <c r="BZ1065" s="5" t="s">
        <v>238</v>
      </c>
      <c r="CD1065" s="5" t="s">
        <v>273</v>
      </c>
      <c r="CE1065" s="5" t="s">
        <v>256</v>
      </c>
      <c r="CF1065" s="5" t="s">
        <v>238</v>
      </c>
      <c r="CI1065" s="6" t="s">
        <v>257</v>
      </c>
      <c r="CJ1065" s="5" t="s">
        <v>238</v>
      </c>
      <c r="CK1065" s="5" t="s">
        <v>258</v>
      </c>
      <c r="CL1065" s="5" t="s">
        <v>238</v>
      </c>
      <c r="CM1065" s="5" t="s">
        <v>238</v>
      </c>
      <c r="CN1065" s="5">
        <v>0</v>
      </c>
      <c r="CO1065" s="5" t="s">
        <v>259</v>
      </c>
      <c r="CP1065" s="5" t="s">
        <v>260</v>
      </c>
      <c r="CQ1065" s="5" t="s">
        <v>260</v>
      </c>
      <c r="CR1065" s="5" t="s">
        <v>261</v>
      </c>
      <c r="CU1065" s="8">
        <f>1</f>
        <v>1</v>
      </c>
      <c r="CV1065" s="8">
        <f>0</f>
        <v>0</v>
      </c>
      <c r="CX1065" s="8">
        <f>0</f>
        <v>0</v>
      </c>
      <c r="CY1065" s="8">
        <f>1</f>
        <v>1</v>
      </c>
      <c r="DA1065" s="5" t="s">
        <v>673</v>
      </c>
      <c r="DB1065" s="5" t="s">
        <v>238</v>
      </c>
      <c r="DD1065" s="5" t="s">
        <v>673</v>
      </c>
      <c r="DE1065" s="8">
        <f>421</f>
        <v>421</v>
      </c>
      <c r="DG1065" s="5" t="s">
        <v>238</v>
      </c>
      <c r="DH1065" s="5" t="s">
        <v>238</v>
      </c>
      <c r="DI1065" s="5" t="s">
        <v>238</v>
      </c>
      <c r="DJ1065" s="5" t="s">
        <v>238</v>
      </c>
      <c r="DN1065" s="5" t="s">
        <v>238</v>
      </c>
      <c r="DO1065" s="5" t="s">
        <v>238</v>
      </c>
      <c r="DP1065" s="5" t="s">
        <v>238</v>
      </c>
      <c r="DQ1065" s="5" t="s">
        <v>238</v>
      </c>
      <c r="DT1065" s="5" t="s">
        <v>2039</v>
      </c>
      <c r="DU1065" s="5" t="s">
        <v>2208</v>
      </c>
      <c r="HM1065" s="5" t="s">
        <v>264</v>
      </c>
    </row>
    <row r="1066" spans="1:221" x14ac:dyDescent="0.4">
      <c r="A1066" s="5">
        <v>2741</v>
      </c>
      <c r="B1066" s="5">
        <v>1</v>
      </c>
      <c r="C1066" s="5">
        <v>1</v>
      </c>
      <c r="D1066" s="5" t="s">
        <v>2037</v>
      </c>
      <c r="E1066" s="5" t="s">
        <v>271</v>
      </c>
      <c r="F1066" s="5" t="s">
        <v>248</v>
      </c>
      <c r="G1066" s="5" t="s">
        <v>1969</v>
      </c>
      <c r="H1066" s="6" t="s">
        <v>3138</v>
      </c>
      <c r="I1066" s="7">
        <f>1091</f>
        <v>1091</v>
      </c>
      <c r="J1066" s="5" t="s">
        <v>262</v>
      </c>
      <c r="K1066" s="8">
        <f>1</f>
        <v>1</v>
      </c>
      <c r="L1066" s="6" t="s">
        <v>242</v>
      </c>
      <c r="M1066" s="5" t="s">
        <v>267</v>
      </c>
      <c r="N1066" s="5" t="s">
        <v>265</v>
      </c>
      <c r="O1066" s="5" t="s">
        <v>238</v>
      </c>
      <c r="P1066" s="5" t="s">
        <v>238</v>
      </c>
      <c r="Q1066" s="5" t="s">
        <v>268</v>
      </c>
      <c r="R1066" s="5" t="s">
        <v>270</v>
      </c>
      <c r="S1066" s="5" t="s">
        <v>238</v>
      </c>
      <c r="V1066" s="5" t="s">
        <v>238</v>
      </c>
      <c r="X1066" s="6" t="s">
        <v>238</v>
      </c>
      <c r="AA1066" s="6" t="s">
        <v>243</v>
      </c>
      <c r="AB1066" s="5" t="s">
        <v>238</v>
      </c>
      <c r="AC1066" s="5" t="s">
        <v>244</v>
      </c>
      <c r="AD1066" s="5" t="s">
        <v>245</v>
      </c>
      <c r="AT1066" s="5" t="s">
        <v>246</v>
      </c>
      <c r="AU1066" s="5" t="s">
        <v>238</v>
      </c>
      <c r="AV1066" s="5" t="s">
        <v>247</v>
      </c>
      <c r="AW1066" s="5" t="s">
        <v>238</v>
      </c>
      <c r="AX1066" s="5" t="s">
        <v>249</v>
      </c>
      <c r="AY1066" s="5" t="s">
        <v>238</v>
      </c>
      <c r="BA1066" s="5" t="s">
        <v>238</v>
      </c>
      <c r="BC1066" s="5" t="s">
        <v>250</v>
      </c>
      <c r="BD1066" s="6" t="s">
        <v>243</v>
      </c>
      <c r="BE1066" s="5" t="s">
        <v>251</v>
      </c>
      <c r="BF1066" s="5" t="s">
        <v>252</v>
      </c>
      <c r="BG1066" s="5" t="s">
        <v>238</v>
      </c>
      <c r="BH1066" s="7">
        <f>0</f>
        <v>0</v>
      </c>
      <c r="BI1066" s="8">
        <f>0</f>
        <v>0</v>
      </c>
      <c r="BJ1066" s="5" t="s">
        <v>253</v>
      </c>
      <c r="BK1066" s="5" t="s">
        <v>254</v>
      </c>
      <c r="BY1066" s="5" t="s">
        <v>238</v>
      </c>
      <c r="BZ1066" s="5" t="s">
        <v>238</v>
      </c>
      <c r="CD1066" s="5" t="s">
        <v>273</v>
      </c>
      <c r="CE1066" s="5" t="s">
        <v>256</v>
      </c>
      <c r="CF1066" s="5" t="s">
        <v>238</v>
      </c>
      <c r="CI1066" s="6" t="s">
        <v>257</v>
      </c>
      <c r="CJ1066" s="5" t="s">
        <v>238</v>
      </c>
      <c r="CK1066" s="5" t="s">
        <v>258</v>
      </c>
      <c r="CL1066" s="5" t="s">
        <v>238</v>
      </c>
      <c r="CM1066" s="5" t="s">
        <v>238</v>
      </c>
      <c r="CN1066" s="5">
        <v>0</v>
      </c>
      <c r="CO1066" s="5" t="s">
        <v>259</v>
      </c>
      <c r="CP1066" s="5" t="s">
        <v>260</v>
      </c>
      <c r="CQ1066" s="5" t="s">
        <v>260</v>
      </c>
      <c r="CR1066" s="5" t="s">
        <v>261</v>
      </c>
      <c r="CU1066" s="8">
        <f>1</f>
        <v>1</v>
      </c>
      <c r="CV1066" s="8">
        <f>0</f>
        <v>0</v>
      </c>
      <c r="CX1066" s="8">
        <f>0</f>
        <v>0</v>
      </c>
      <c r="CY1066" s="8">
        <f>1</f>
        <v>1</v>
      </c>
      <c r="DA1066" s="5" t="s">
        <v>673</v>
      </c>
      <c r="DB1066" s="5" t="s">
        <v>238</v>
      </c>
      <c r="DD1066" s="5" t="s">
        <v>673</v>
      </c>
      <c r="DE1066" s="8">
        <f>1091</f>
        <v>1091</v>
      </c>
      <c r="DG1066" s="5" t="s">
        <v>238</v>
      </c>
      <c r="DH1066" s="5" t="s">
        <v>238</v>
      </c>
      <c r="DI1066" s="5" t="s">
        <v>238</v>
      </c>
      <c r="DJ1066" s="5" t="s">
        <v>238</v>
      </c>
      <c r="DN1066" s="5" t="s">
        <v>238</v>
      </c>
      <c r="DO1066" s="5" t="s">
        <v>238</v>
      </c>
      <c r="DP1066" s="5" t="s">
        <v>238</v>
      </c>
      <c r="DQ1066" s="5" t="s">
        <v>238</v>
      </c>
      <c r="DT1066" s="5" t="s">
        <v>2039</v>
      </c>
      <c r="DU1066" s="5" t="s">
        <v>3139</v>
      </c>
      <c r="HM1066" s="5" t="s">
        <v>264</v>
      </c>
    </row>
    <row r="1067" spans="1:221" x14ac:dyDescent="0.4">
      <c r="A1067" s="5">
        <v>2742</v>
      </c>
      <c r="B1067" s="5">
        <v>1</v>
      </c>
      <c r="C1067" s="5">
        <v>1</v>
      </c>
      <c r="D1067" s="5" t="s">
        <v>2037</v>
      </c>
      <c r="E1067" s="5" t="s">
        <v>271</v>
      </c>
      <c r="F1067" s="5" t="s">
        <v>248</v>
      </c>
      <c r="G1067" s="5" t="s">
        <v>1969</v>
      </c>
      <c r="H1067" s="6" t="s">
        <v>3136</v>
      </c>
      <c r="I1067" s="7">
        <f>855</f>
        <v>855</v>
      </c>
      <c r="J1067" s="5" t="s">
        <v>262</v>
      </c>
      <c r="K1067" s="8">
        <f>1</f>
        <v>1</v>
      </c>
      <c r="L1067" s="6" t="s">
        <v>242</v>
      </c>
      <c r="M1067" s="5" t="s">
        <v>267</v>
      </c>
      <c r="N1067" s="5" t="s">
        <v>265</v>
      </c>
      <c r="O1067" s="5" t="s">
        <v>238</v>
      </c>
      <c r="P1067" s="5" t="s">
        <v>238</v>
      </c>
      <c r="Q1067" s="5" t="s">
        <v>268</v>
      </c>
      <c r="R1067" s="5" t="s">
        <v>270</v>
      </c>
      <c r="S1067" s="5" t="s">
        <v>238</v>
      </c>
      <c r="V1067" s="5" t="s">
        <v>238</v>
      </c>
      <c r="X1067" s="6" t="s">
        <v>238</v>
      </c>
      <c r="AA1067" s="6" t="s">
        <v>243</v>
      </c>
      <c r="AB1067" s="5" t="s">
        <v>238</v>
      </c>
      <c r="AC1067" s="5" t="s">
        <v>244</v>
      </c>
      <c r="AD1067" s="5" t="s">
        <v>245</v>
      </c>
      <c r="AT1067" s="5" t="s">
        <v>246</v>
      </c>
      <c r="AU1067" s="5" t="s">
        <v>238</v>
      </c>
      <c r="AV1067" s="5" t="s">
        <v>247</v>
      </c>
      <c r="AW1067" s="5" t="s">
        <v>238</v>
      </c>
      <c r="AX1067" s="5" t="s">
        <v>249</v>
      </c>
      <c r="AY1067" s="5" t="s">
        <v>238</v>
      </c>
      <c r="BA1067" s="5" t="s">
        <v>238</v>
      </c>
      <c r="BC1067" s="5" t="s">
        <v>250</v>
      </c>
      <c r="BD1067" s="6" t="s">
        <v>243</v>
      </c>
      <c r="BE1067" s="5" t="s">
        <v>251</v>
      </c>
      <c r="BF1067" s="5" t="s">
        <v>252</v>
      </c>
      <c r="BG1067" s="5" t="s">
        <v>238</v>
      </c>
      <c r="BH1067" s="7">
        <f>0</f>
        <v>0</v>
      </c>
      <c r="BI1067" s="8">
        <f>0</f>
        <v>0</v>
      </c>
      <c r="BJ1067" s="5" t="s">
        <v>253</v>
      </c>
      <c r="BK1067" s="5" t="s">
        <v>254</v>
      </c>
      <c r="BY1067" s="5" t="s">
        <v>238</v>
      </c>
      <c r="BZ1067" s="5" t="s">
        <v>238</v>
      </c>
      <c r="CD1067" s="5" t="s">
        <v>273</v>
      </c>
      <c r="CE1067" s="5" t="s">
        <v>256</v>
      </c>
      <c r="CF1067" s="5" t="s">
        <v>238</v>
      </c>
      <c r="CI1067" s="6" t="s">
        <v>257</v>
      </c>
      <c r="CJ1067" s="5" t="s">
        <v>238</v>
      </c>
      <c r="CK1067" s="5" t="s">
        <v>258</v>
      </c>
      <c r="CL1067" s="5" t="s">
        <v>238</v>
      </c>
      <c r="CM1067" s="5" t="s">
        <v>238</v>
      </c>
      <c r="CN1067" s="5">
        <v>0</v>
      </c>
      <c r="CO1067" s="5" t="s">
        <v>259</v>
      </c>
      <c r="CP1067" s="5" t="s">
        <v>260</v>
      </c>
      <c r="CQ1067" s="5" t="s">
        <v>260</v>
      </c>
      <c r="CR1067" s="5" t="s">
        <v>261</v>
      </c>
      <c r="CU1067" s="8">
        <f>1</f>
        <v>1</v>
      </c>
      <c r="CV1067" s="8">
        <f>0</f>
        <v>0</v>
      </c>
      <c r="CX1067" s="8">
        <f>0</f>
        <v>0</v>
      </c>
      <c r="CY1067" s="8">
        <f>1</f>
        <v>1</v>
      </c>
      <c r="DA1067" s="5" t="s">
        <v>673</v>
      </c>
      <c r="DB1067" s="5" t="s">
        <v>238</v>
      </c>
      <c r="DD1067" s="5" t="s">
        <v>673</v>
      </c>
      <c r="DE1067" s="8">
        <f>855</f>
        <v>855</v>
      </c>
      <c r="DG1067" s="5" t="s">
        <v>238</v>
      </c>
      <c r="DH1067" s="5" t="s">
        <v>238</v>
      </c>
      <c r="DI1067" s="5" t="s">
        <v>238</v>
      </c>
      <c r="DJ1067" s="5" t="s">
        <v>238</v>
      </c>
      <c r="DN1067" s="5" t="s">
        <v>238</v>
      </c>
      <c r="DO1067" s="5" t="s">
        <v>238</v>
      </c>
      <c r="DP1067" s="5" t="s">
        <v>238</v>
      </c>
      <c r="DQ1067" s="5" t="s">
        <v>238</v>
      </c>
      <c r="DT1067" s="5" t="s">
        <v>2039</v>
      </c>
      <c r="DU1067" s="5" t="s">
        <v>3137</v>
      </c>
      <c r="HM1067" s="5" t="s">
        <v>264</v>
      </c>
    </row>
    <row r="1068" spans="1:221" x14ac:dyDescent="0.4">
      <c r="A1068" s="5">
        <v>2743</v>
      </c>
      <c r="B1068" s="5">
        <v>1</v>
      </c>
      <c r="C1068" s="5">
        <v>1</v>
      </c>
      <c r="D1068" s="5" t="s">
        <v>2037</v>
      </c>
      <c r="E1068" s="5" t="s">
        <v>271</v>
      </c>
      <c r="F1068" s="5" t="s">
        <v>248</v>
      </c>
      <c r="G1068" s="5" t="s">
        <v>1969</v>
      </c>
      <c r="H1068" s="6" t="s">
        <v>3134</v>
      </c>
      <c r="I1068" s="7">
        <f>546</f>
        <v>546</v>
      </c>
      <c r="J1068" s="5" t="s">
        <v>262</v>
      </c>
      <c r="K1068" s="8">
        <f>1</f>
        <v>1</v>
      </c>
      <c r="L1068" s="6" t="s">
        <v>242</v>
      </c>
      <c r="M1068" s="5" t="s">
        <v>267</v>
      </c>
      <c r="N1068" s="5" t="s">
        <v>265</v>
      </c>
      <c r="O1068" s="5" t="s">
        <v>238</v>
      </c>
      <c r="P1068" s="5" t="s">
        <v>238</v>
      </c>
      <c r="Q1068" s="5" t="s">
        <v>268</v>
      </c>
      <c r="R1068" s="5" t="s">
        <v>270</v>
      </c>
      <c r="S1068" s="5" t="s">
        <v>238</v>
      </c>
      <c r="V1068" s="5" t="s">
        <v>238</v>
      </c>
      <c r="X1068" s="6" t="s">
        <v>238</v>
      </c>
      <c r="AA1068" s="6" t="s">
        <v>243</v>
      </c>
      <c r="AB1068" s="5" t="s">
        <v>238</v>
      </c>
      <c r="AC1068" s="5" t="s">
        <v>244</v>
      </c>
      <c r="AD1068" s="5" t="s">
        <v>245</v>
      </c>
      <c r="AT1068" s="5" t="s">
        <v>246</v>
      </c>
      <c r="AU1068" s="5" t="s">
        <v>238</v>
      </c>
      <c r="AV1068" s="5" t="s">
        <v>247</v>
      </c>
      <c r="AW1068" s="5" t="s">
        <v>238</v>
      </c>
      <c r="AX1068" s="5" t="s">
        <v>249</v>
      </c>
      <c r="AY1068" s="5" t="s">
        <v>238</v>
      </c>
      <c r="BA1068" s="5" t="s">
        <v>238</v>
      </c>
      <c r="BC1068" s="5" t="s">
        <v>250</v>
      </c>
      <c r="BD1068" s="6" t="s">
        <v>243</v>
      </c>
      <c r="BE1068" s="5" t="s">
        <v>251</v>
      </c>
      <c r="BF1068" s="5" t="s">
        <v>252</v>
      </c>
      <c r="BG1068" s="5" t="s">
        <v>238</v>
      </c>
      <c r="BH1068" s="7">
        <f>0</f>
        <v>0</v>
      </c>
      <c r="BI1068" s="8">
        <f>0</f>
        <v>0</v>
      </c>
      <c r="BJ1068" s="5" t="s">
        <v>253</v>
      </c>
      <c r="BK1068" s="5" t="s">
        <v>254</v>
      </c>
      <c r="BY1068" s="5" t="s">
        <v>238</v>
      </c>
      <c r="BZ1068" s="5" t="s">
        <v>238</v>
      </c>
      <c r="CD1068" s="5" t="s">
        <v>273</v>
      </c>
      <c r="CE1068" s="5" t="s">
        <v>256</v>
      </c>
      <c r="CF1068" s="5" t="s">
        <v>238</v>
      </c>
      <c r="CI1068" s="6" t="s">
        <v>257</v>
      </c>
      <c r="CJ1068" s="5" t="s">
        <v>238</v>
      </c>
      <c r="CK1068" s="5" t="s">
        <v>258</v>
      </c>
      <c r="CL1068" s="5" t="s">
        <v>238</v>
      </c>
      <c r="CM1068" s="5" t="s">
        <v>238</v>
      </c>
      <c r="CN1068" s="5">
        <v>0</v>
      </c>
      <c r="CO1068" s="5" t="s">
        <v>259</v>
      </c>
      <c r="CP1068" s="5" t="s">
        <v>260</v>
      </c>
      <c r="CQ1068" s="5" t="s">
        <v>260</v>
      </c>
      <c r="CR1068" s="5" t="s">
        <v>261</v>
      </c>
      <c r="CU1068" s="8">
        <f>1</f>
        <v>1</v>
      </c>
      <c r="CV1068" s="8">
        <f>0</f>
        <v>0</v>
      </c>
      <c r="CX1068" s="8">
        <f>0</f>
        <v>0</v>
      </c>
      <c r="CY1068" s="8">
        <f>1</f>
        <v>1</v>
      </c>
      <c r="DA1068" s="5" t="s">
        <v>673</v>
      </c>
      <c r="DB1068" s="5" t="s">
        <v>238</v>
      </c>
      <c r="DD1068" s="5" t="s">
        <v>673</v>
      </c>
      <c r="DE1068" s="8">
        <f>546</f>
        <v>546</v>
      </c>
      <c r="DG1068" s="5" t="s">
        <v>238</v>
      </c>
      <c r="DH1068" s="5" t="s">
        <v>238</v>
      </c>
      <c r="DI1068" s="5" t="s">
        <v>238</v>
      </c>
      <c r="DJ1068" s="5" t="s">
        <v>238</v>
      </c>
      <c r="DN1068" s="5" t="s">
        <v>238</v>
      </c>
      <c r="DO1068" s="5" t="s">
        <v>238</v>
      </c>
      <c r="DP1068" s="5" t="s">
        <v>238</v>
      </c>
      <c r="DQ1068" s="5" t="s">
        <v>238</v>
      </c>
      <c r="DT1068" s="5" t="s">
        <v>2039</v>
      </c>
      <c r="DU1068" s="5" t="s">
        <v>3135</v>
      </c>
      <c r="HM1068" s="5" t="s">
        <v>264</v>
      </c>
    </row>
    <row r="1069" spans="1:221" x14ac:dyDescent="0.4">
      <c r="A1069" s="5">
        <v>2744</v>
      </c>
      <c r="B1069" s="5">
        <v>1</v>
      </c>
      <c r="C1069" s="5">
        <v>1</v>
      </c>
      <c r="D1069" s="5" t="s">
        <v>2037</v>
      </c>
      <c r="E1069" s="5" t="s">
        <v>271</v>
      </c>
      <c r="F1069" s="5" t="s">
        <v>248</v>
      </c>
      <c r="G1069" s="5" t="s">
        <v>1969</v>
      </c>
      <c r="H1069" s="6" t="s">
        <v>3130</v>
      </c>
      <c r="I1069" s="7">
        <f>367</f>
        <v>367</v>
      </c>
      <c r="J1069" s="5" t="s">
        <v>262</v>
      </c>
      <c r="K1069" s="8">
        <f>1</f>
        <v>1</v>
      </c>
      <c r="L1069" s="6" t="s">
        <v>242</v>
      </c>
      <c r="M1069" s="5" t="s">
        <v>267</v>
      </c>
      <c r="N1069" s="5" t="s">
        <v>265</v>
      </c>
      <c r="O1069" s="5" t="s">
        <v>238</v>
      </c>
      <c r="P1069" s="5" t="s">
        <v>238</v>
      </c>
      <c r="Q1069" s="5" t="s">
        <v>268</v>
      </c>
      <c r="R1069" s="5" t="s">
        <v>270</v>
      </c>
      <c r="S1069" s="5" t="s">
        <v>238</v>
      </c>
      <c r="V1069" s="5" t="s">
        <v>238</v>
      </c>
      <c r="X1069" s="6" t="s">
        <v>238</v>
      </c>
      <c r="AA1069" s="6" t="s">
        <v>243</v>
      </c>
      <c r="AB1069" s="5" t="s">
        <v>238</v>
      </c>
      <c r="AC1069" s="5" t="s">
        <v>244</v>
      </c>
      <c r="AD1069" s="5" t="s">
        <v>245</v>
      </c>
      <c r="AT1069" s="5" t="s">
        <v>246</v>
      </c>
      <c r="AU1069" s="5" t="s">
        <v>238</v>
      </c>
      <c r="AV1069" s="5" t="s">
        <v>247</v>
      </c>
      <c r="AW1069" s="5" t="s">
        <v>238</v>
      </c>
      <c r="AX1069" s="5" t="s">
        <v>249</v>
      </c>
      <c r="AY1069" s="5" t="s">
        <v>238</v>
      </c>
      <c r="BA1069" s="5" t="s">
        <v>238</v>
      </c>
      <c r="BC1069" s="5" t="s">
        <v>250</v>
      </c>
      <c r="BD1069" s="6" t="s">
        <v>243</v>
      </c>
      <c r="BE1069" s="5" t="s">
        <v>251</v>
      </c>
      <c r="BF1069" s="5" t="s">
        <v>252</v>
      </c>
      <c r="BG1069" s="5" t="s">
        <v>238</v>
      </c>
      <c r="BH1069" s="7">
        <f>0</f>
        <v>0</v>
      </c>
      <c r="BI1069" s="8">
        <f>0</f>
        <v>0</v>
      </c>
      <c r="BJ1069" s="5" t="s">
        <v>253</v>
      </c>
      <c r="BK1069" s="5" t="s">
        <v>254</v>
      </c>
      <c r="BY1069" s="5" t="s">
        <v>238</v>
      </c>
      <c r="BZ1069" s="5" t="s">
        <v>238</v>
      </c>
      <c r="CD1069" s="5" t="s">
        <v>273</v>
      </c>
      <c r="CE1069" s="5" t="s">
        <v>256</v>
      </c>
      <c r="CF1069" s="5" t="s">
        <v>238</v>
      </c>
      <c r="CI1069" s="6" t="s">
        <v>257</v>
      </c>
      <c r="CJ1069" s="5" t="s">
        <v>238</v>
      </c>
      <c r="CK1069" s="5" t="s">
        <v>258</v>
      </c>
      <c r="CL1069" s="5" t="s">
        <v>238</v>
      </c>
      <c r="CM1069" s="5" t="s">
        <v>238</v>
      </c>
      <c r="CN1069" s="5">
        <v>0</v>
      </c>
      <c r="CO1069" s="5" t="s">
        <v>259</v>
      </c>
      <c r="CP1069" s="5" t="s">
        <v>260</v>
      </c>
      <c r="CQ1069" s="5" t="s">
        <v>260</v>
      </c>
      <c r="CR1069" s="5" t="s">
        <v>261</v>
      </c>
      <c r="CU1069" s="8">
        <f>1</f>
        <v>1</v>
      </c>
      <c r="CV1069" s="8">
        <f>0</f>
        <v>0</v>
      </c>
      <c r="CX1069" s="8">
        <f>0</f>
        <v>0</v>
      </c>
      <c r="CY1069" s="8">
        <f>1</f>
        <v>1</v>
      </c>
      <c r="DA1069" s="5" t="s">
        <v>673</v>
      </c>
      <c r="DB1069" s="5" t="s">
        <v>238</v>
      </c>
      <c r="DD1069" s="5" t="s">
        <v>673</v>
      </c>
      <c r="DE1069" s="8">
        <f>367</f>
        <v>367</v>
      </c>
      <c r="DG1069" s="5" t="s">
        <v>238</v>
      </c>
      <c r="DH1069" s="5" t="s">
        <v>238</v>
      </c>
      <c r="DI1069" s="5" t="s">
        <v>238</v>
      </c>
      <c r="DJ1069" s="5" t="s">
        <v>238</v>
      </c>
      <c r="DN1069" s="5" t="s">
        <v>238</v>
      </c>
      <c r="DO1069" s="5" t="s">
        <v>238</v>
      </c>
      <c r="DP1069" s="5" t="s">
        <v>238</v>
      </c>
      <c r="DQ1069" s="5" t="s">
        <v>238</v>
      </c>
      <c r="DT1069" s="5" t="s">
        <v>2039</v>
      </c>
      <c r="DU1069" s="5" t="s">
        <v>3131</v>
      </c>
      <c r="HM1069" s="5" t="s">
        <v>264</v>
      </c>
    </row>
    <row r="1070" spans="1:221" x14ac:dyDescent="0.4">
      <c r="A1070" s="5">
        <v>2745</v>
      </c>
      <c r="B1070" s="5">
        <v>1</v>
      </c>
      <c r="C1070" s="5">
        <v>1</v>
      </c>
      <c r="D1070" s="5" t="s">
        <v>2037</v>
      </c>
      <c r="E1070" s="5" t="s">
        <v>271</v>
      </c>
      <c r="F1070" s="5" t="s">
        <v>248</v>
      </c>
      <c r="G1070" s="5" t="s">
        <v>1969</v>
      </c>
      <c r="H1070" s="6" t="s">
        <v>3128</v>
      </c>
      <c r="I1070" s="7">
        <f>321</f>
        <v>321</v>
      </c>
      <c r="J1070" s="5" t="s">
        <v>262</v>
      </c>
      <c r="K1070" s="8">
        <f>1</f>
        <v>1</v>
      </c>
      <c r="L1070" s="6" t="s">
        <v>242</v>
      </c>
      <c r="M1070" s="5" t="s">
        <v>267</v>
      </c>
      <c r="N1070" s="5" t="s">
        <v>265</v>
      </c>
      <c r="O1070" s="5" t="s">
        <v>238</v>
      </c>
      <c r="P1070" s="5" t="s">
        <v>238</v>
      </c>
      <c r="Q1070" s="5" t="s">
        <v>268</v>
      </c>
      <c r="R1070" s="5" t="s">
        <v>270</v>
      </c>
      <c r="S1070" s="5" t="s">
        <v>238</v>
      </c>
      <c r="V1070" s="5" t="s">
        <v>238</v>
      </c>
      <c r="X1070" s="6" t="s">
        <v>238</v>
      </c>
      <c r="AA1070" s="6" t="s">
        <v>243</v>
      </c>
      <c r="AB1070" s="5" t="s">
        <v>238</v>
      </c>
      <c r="AC1070" s="5" t="s">
        <v>244</v>
      </c>
      <c r="AD1070" s="5" t="s">
        <v>245</v>
      </c>
      <c r="AT1070" s="5" t="s">
        <v>246</v>
      </c>
      <c r="AU1070" s="5" t="s">
        <v>238</v>
      </c>
      <c r="AV1070" s="5" t="s">
        <v>247</v>
      </c>
      <c r="AW1070" s="5" t="s">
        <v>238</v>
      </c>
      <c r="AX1070" s="5" t="s">
        <v>249</v>
      </c>
      <c r="AY1070" s="5" t="s">
        <v>238</v>
      </c>
      <c r="BA1070" s="5" t="s">
        <v>238</v>
      </c>
      <c r="BC1070" s="5" t="s">
        <v>250</v>
      </c>
      <c r="BD1070" s="6" t="s">
        <v>243</v>
      </c>
      <c r="BE1070" s="5" t="s">
        <v>251</v>
      </c>
      <c r="BF1070" s="5" t="s">
        <v>252</v>
      </c>
      <c r="BG1070" s="5" t="s">
        <v>238</v>
      </c>
      <c r="BH1070" s="7">
        <f>0</f>
        <v>0</v>
      </c>
      <c r="BI1070" s="8">
        <f>0</f>
        <v>0</v>
      </c>
      <c r="BJ1070" s="5" t="s">
        <v>253</v>
      </c>
      <c r="BK1070" s="5" t="s">
        <v>254</v>
      </c>
      <c r="BY1070" s="5" t="s">
        <v>238</v>
      </c>
      <c r="BZ1070" s="5" t="s">
        <v>238</v>
      </c>
      <c r="CD1070" s="5" t="s">
        <v>273</v>
      </c>
      <c r="CE1070" s="5" t="s">
        <v>256</v>
      </c>
      <c r="CF1070" s="5" t="s">
        <v>238</v>
      </c>
      <c r="CI1070" s="6" t="s">
        <v>257</v>
      </c>
      <c r="CJ1070" s="5" t="s">
        <v>238</v>
      </c>
      <c r="CK1070" s="5" t="s">
        <v>258</v>
      </c>
      <c r="CL1070" s="5" t="s">
        <v>238</v>
      </c>
      <c r="CM1070" s="5" t="s">
        <v>238</v>
      </c>
      <c r="CN1070" s="5">
        <v>0</v>
      </c>
      <c r="CO1070" s="5" t="s">
        <v>259</v>
      </c>
      <c r="CP1070" s="5" t="s">
        <v>260</v>
      </c>
      <c r="CQ1070" s="5" t="s">
        <v>260</v>
      </c>
      <c r="CR1070" s="5" t="s">
        <v>261</v>
      </c>
      <c r="CU1070" s="8">
        <f>1</f>
        <v>1</v>
      </c>
      <c r="CV1070" s="8">
        <f>0</f>
        <v>0</v>
      </c>
      <c r="CX1070" s="8">
        <f>0</f>
        <v>0</v>
      </c>
      <c r="CY1070" s="8">
        <f>1</f>
        <v>1</v>
      </c>
      <c r="DA1070" s="5" t="s">
        <v>673</v>
      </c>
      <c r="DB1070" s="5" t="s">
        <v>238</v>
      </c>
      <c r="DD1070" s="5" t="s">
        <v>673</v>
      </c>
      <c r="DE1070" s="8">
        <f>321</f>
        <v>321</v>
      </c>
      <c r="DG1070" s="5" t="s">
        <v>238</v>
      </c>
      <c r="DH1070" s="5" t="s">
        <v>238</v>
      </c>
      <c r="DI1070" s="5" t="s">
        <v>238</v>
      </c>
      <c r="DJ1070" s="5" t="s">
        <v>238</v>
      </c>
      <c r="DN1070" s="5" t="s">
        <v>238</v>
      </c>
      <c r="DO1070" s="5" t="s">
        <v>238</v>
      </c>
      <c r="DP1070" s="5" t="s">
        <v>238</v>
      </c>
      <c r="DQ1070" s="5" t="s">
        <v>238</v>
      </c>
      <c r="DT1070" s="5" t="s">
        <v>2039</v>
      </c>
      <c r="DU1070" s="5" t="s">
        <v>3129</v>
      </c>
      <c r="HM1070" s="5" t="s">
        <v>264</v>
      </c>
    </row>
    <row r="1071" spans="1:221" x14ac:dyDescent="0.4">
      <c r="A1071" s="5">
        <v>2746</v>
      </c>
      <c r="B1071" s="5">
        <v>1</v>
      </c>
      <c r="C1071" s="5">
        <v>1</v>
      </c>
      <c r="D1071" s="5" t="s">
        <v>2037</v>
      </c>
      <c r="E1071" s="5" t="s">
        <v>271</v>
      </c>
      <c r="F1071" s="5" t="s">
        <v>248</v>
      </c>
      <c r="G1071" s="5" t="s">
        <v>1969</v>
      </c>
      <c r="H1071" s="6" t="s">
        <v>3126</v>
      </c>
      <c r="I1071" s="7">
        <f>455</f>
        <v>455</v>
      </c>
      <c r="J1071" s="5" t="s">
        <v>262</v>
      </c>
      <c r="K1071" s="8">
        <f>1</f>
        <v>1</v>
      </c>
      <c r="L1071" s="6" t="s">
        <v>242</v>
      </c>
      <c r="M1071" s="5" t="s">
        <v>267</v>
      </c>
      <c r="N1071" s="5" t="s">
        <v>265</v>
      </c>
      <c r="O1071" s="5" t="s">
        <v>238</v>
      </c>
      <c r="P1071" s="5" t="s">
        <v>238</v>
      </c>
      <c r="Q1071" s="5" t="s">
        <v>268</v>
      </c>
      <c r="R1071" s="5" t="s">
        <v>270</v>
      </c>
      <c r="S1071" s="5" t="s">
        <v>238</v>
      </c>
      <c r="V1071" s="5" t="s">
        <v>238</v>
      </c>
      <c r="X1071" s="6" t="s">
        <v>238</v>
      </c>
      <c r="AA1071" s="6" t="s">
        <v>243</v>
      </c>
      <c r="AB1071" s="5" t="s">
        <v>238</v>
      </c>
      <c r="AC1071" s="5" t="s">
        <v>244</v>
      </c>
      <c r="AD1071" s="5" t="s">
        <v>245</v>
      </c>
      <c r="AT1071" s="5" t="s">
        <v>246</v>
      </c>
      <c r="AU1071" s="5" t="s">
        <v>238</v>
      </c>
      <c r="AV1071" s="5" t="s">
        <v>247</v>
      </c>
      <c r="AW1071" s="5" t="s">
        <v>238</v>
      </c>
      <c r="AX1071" s="5" t="s">
        <v>249</v>
      </c>
      <c r="AY1071" s="5" t="s">
        <v>238</v>
      </c>
      <c r="BA1071" s="5" t="s">
        <v>238</v>
      </c>
      <c r="BC1071" s="5" t="s">
        <v>250</v>
      </c>
      <c r="BD1071" s="6" t="s">
        <v>243</v>
      </c>
      <c r="BE1071" s="5" t="s">
        <v>251</v>
      </c>
      <c r="BF1071" s="5" t="s">
        <v>252</v>
      </c>
      <c r="BG1071" s="5" t="s">
        <v>238</v>
      </c>
      <c r="BH1071" s="7">
        <f>0</f>
        <v>0</v>
      </c>
      <c r="BI1071" s="8">
        <f>0</f>
        <v>0</v>
      </c>
      <c r="BJ1071" s="5" t="s">
        <v>253</v>
      </c>
      <c r="BK1071" s="5" t="s">
        <v>254</v>
      </c>
      <c r="BY1071" s="5" t="s">
        <v>238</v>
      </c>
      <c r="BZ1071" s="5" t="s">
        <v>238</v>
      </c>
      <c r="CD1071" s="5" t="s">
        <v>273</v>
      </c>
      <c r="CE1071" s="5" t="s">
        <v>256</v>
      </c>
      <c r="CF1071" s="5" t="s">
        <v>238</v>
      </c>
      <c r="CI1071" s="6" t="s">
        <v>257</v>
      </c>
      <c r="CJ1071" s="5" t="s">
        <v>238</v>
      </c>
      <c r="CK1071" s="5" t="s">
        <v>258</v>
      </c>
      <c r="CL1071" s="5" t="s">
        <v>238</v>
      </c>
      <c r="CM1071" s="5" t="s">
        <v>238</v>
      </c>
      <c r="CN1071" s="5">
        <v>0</v>
      </c>
      <c r="CO1071" s="5" t="s">
        <v>259</v>
      </c>
      <c r="CP1071" s="5" t="s">
        <v>260</v>
      </c>
      <c r="CQ1071" s="5" t="s">
        <v>260</v>
      </c>
      <c r="CR1071" s="5" t="s">
        <v>261</v>
      </c>
      <c r="CU1071" s="8">
        <f>1</f>
        <v>1</v>
      </c>
      <c r="CV1071" s="8">
        <f>0</f>
        <v>0</v>
      </c>
      <c r="CX1071" s="8">
        <f>0</f>
        <v>0</v>
      </c>
      <c r="CY1071" s="8">
        <f>1</f>
        <v>1</v>
      </c>
      <c r="DA1071" s="5" t="s">
        <v>673</v>
      </c>
      <c r="DB1071" s="5" t="s">
        <v>238</v>
      </c>
      <c r="DD1071" s="5" t="s">
        <v>673</v>
      </c>
      <c r="DE1071" s="8">
        <f>455</f>
        <v>455</v>
      </c>
      <c r="DG1071" s="5" t="s">
        <v>238</v>
      </c>
      <c r="DH1071" s="5" t="s">
        <v>238</v>
      </c>
      <c r="DI1071" s="5" t="s">
        <v>238</v>
      </c>
      <c r="DJ1071" s="5" t="s">
        <v>238</v>
      </c>
      <c r="DN1071" s="5" t="s">
        <v>238</v>
      </c>
      <c r="DO1071" s="5" t="s">
        <v>238</v>
      </c>
      <c r="DP1071" s="5" t="s">
        <v>238</v>
      </c>
      <c r="DQ1071" s="5" t="s">
        <v>238</v>
      </c>
      <c r="DT1071" s="5" t="s">
        <v>2039</v>
      </c>
      <c r="DU1071" s="5" t="s">
        <v>3127</v>
      </c>
      <c r="HM1071" s="5" t="s">
        <v>264</v>
      </c>
    </row>
    <row r="1072" spans="1:221" x14ac:dyDescent="0.4">
      <c r="A1072" s="5">
        <v>2747</v>
      </c>
      <c r="B1072" s="5">
        <v>1</v>
      </c>
      <c r="C1072" s="5">
        <v>1</v>
      </c>
      <c r="D1072" s="5" t="s">
        <v>2037</v>
      </c>
      <c r="E1072" s="5" t="s">
        <v>271</v>
      </c>
      <c r="F1072" s="5" t="s">
        <v>248</v>
      </c>
      <c r="G1072" s="5" t="s">
        <v>1969</v>
      </c>
      <c r="H1072" s="6" t="s">
        <v>3124</v>
      </c>
      <c r="I1072" s="7">
        <f>730</f>
        <v>730</v>
      </c>
      <c r="J1072" s="5" t="s">
        <v>262</v>
      </c>
      <c r="K1072" s="8">
        <f>1</f>
        <v>1</v>
      </c>
      <c r="L1072" s="6" t="s">
        <v>242</v>
      </c>
      <c r="M1072" s="5" t="s">
        <v>267</v>
      </c>
      <c r="N1072" s="5" t="s">
        <v>265</v>
      </c>
      <c r="O1072" s="5" t="s">
        <v>238</v>
      </c>
      <c r="P1072" s="5" t="s">
        <v>238</v>
      </c>
      <c r="Q1072" s="5" t="s">
        <v>268</v>
      </c>
      <c r="R1072" s="5" t="s">
        <v>270</v>
      </c>
      <c r="S1072" s="5" t="s">
        <v>238</v>
      </c>
      <c r="V1072" s="5" t="s">
        <v>238</v>
      </c>
      <c r="X1072" s="6" t="s">
        <v>238</v>
      </c>
      <c r="AA1072" s="6" t="s">
        <v>243</v>
      </c>
      <c r="AB1072" s="5" t="s">
        <v>238</v>
      </c>
      <c r="AC1072" s="5" t="s">
        <v>244</v>
      </c>
      <c r="AD1072" s="5" t="s">
        <v>245</v>
      </c>
      <c r="AT1072" s="5" t="s">
        <v>246</v>
      </c>
      <c r="AU1072" s="5" t="s">
        <v>238</v>
      </c>
      <c r="AV1072" s="5" t="s">
        <v>247</v>
      </c>
      <c r="AW1072" s="5" t="s">
        <v>238</v>
      </c>
      <c r="AX1072" s="5" t="s">
        <v>249</v>
      </c>
      <c r="AY1072" s="5" t="s">
        <v>238</v>
      </c>
      <c r="BA1072" s="5" t="s">
        <v>238</v>
      </c>
      <c r="BC1072" s="5" t="s">
        <v>250</v>
      </c>
      <c r="BD1072" s="6" t="s">
        <v>243</v>
      </c>
      <c r="BE1072" s="5" t="s">
        <v>251</v>
      </c>
      <c r="BF1072" s="5" t="s">
        <v>252</v>
      </c>
      <c r="BG1072" s="5" t="s">
        <v>238</v>
      </c>
      <c r="BH1072" s="7">
        <f>0</f>
        <v>0</v>
      </c>
      <c r="BI1072" s="8">
        <f>0</f>
        <v>0</v>
      </c>
      <c r="BJ1072" s="5" t="s">
        <v>253</v>
      </c>
      <c r="BK1072" s="5" t="s">
        <v>254</v>
      </c>
      <c r="BY1072" s="5" t="s">
        <v>238</v>
      </c>
      <c r="BZ1072" s="5" t="s">
        <v>238</v>
      </c>
      <c r="CD1072" s="5" t="s">
        <v>273</v>
      </c>
      <c r="CE1072" s="5" t="s">
        <v>256</v>
      </c>
      <c r="CF1072" s="5" t="s">
        <v>238</v>
      </c>
      <c r="CI1072" s="6" t="s">
        <v>257</v>
      </c>
      <c r="CJ1072" s="5" t="s">
        <v>238</v>
      </c>
      <c r="CK1072" s="5" t="s">
        <v>258</v>
      </c>
      <c r="CL1072" s="5" t="s">
        <v>238</v>
      </c>
      <c r="CM1072" s="5" t="s">
        <v>238</v>
      </c>
      <c r="CN1072" s="5">
        <v>0</v>
      </c>
      <c r="CO1072" s="5" t="s">
        <v>259</v>
      </c>
      <c r="CP1072" s="5" t="s">
        <v>260</v>
      </c>
      <c r="CQ1072" s="5" t="s">
        <v>260</v>
      </c>
      <c r="CR1072" s="5" t="s">
        <v>261</v>
      </c>
      <c r="CU1072" s="8">
        <f>1</f>
        <v>1</v>
      </c>
      <c r="CV1072" s="8">
        <f>0</f>
        <v>0</v>
      </c>
      <c r="CX1072" s="8">
        <f>0</f>
        <v>0</v>
      </c>
      <c r="CY1072" s="8">
        <f>1</f>
        <v>1</v>
      </c>
      <c r="DA1072" s="5" t="s">
        <v>673</v>
      </c>
      <c r="DB1072" s="5" t="s">
        <v>238</v>
      </c>
      <c r="DD1072" s="5" t="s">
        <v>673</v>
      </c>
      <c r="DE1072" s="8">
        <f>730</f>
        <v>730</v>
      </c>
      <c r="DG1072" s="5" t="s">
        <v>238</v>
      </c>
      <c r="DH1072" s="5" t="s">
        <v>238</v>
      </c>
      <c r="DI1072" s="5" t="s">
        <v>238</v>
      </c>
      <c r="DJ1072" s="5" t="s">
        <v>238</v>
      </c>
      <c r="DN1072" s="5" t="s">
        <v>238</v>
      </c>
      <c r="DO1072" s="5" t="s">
        <v>238</v>
      </c>
      <c r="DP1072" s="5" t="s">
        <v>238</v>
      </c>
      <c r="DQ1072" s="5" t="s">
        <v>238</v>
      </c>
      <c r="DT1072" s="5" t="s">
        <v>2039</v>
      </c>
      <c r="DU1072" s="5" t="s">
        <v>3125</v>
      </c>
      <c r="HM1072" s="5" t="s">
        <v>264</v>
      </c>
    </row>
    <row r="1073" spans="1:221" x14ac:dyDescent="0.4">
      <c r="A1073" s="5">
        <v>2748</v>
      </c>
      <c r="B1073" s="5">
        <v>1</v>
      </c>
      <c r="C1073" s="5">
        <v>1</v>
      </c>
      <c r="D1073" s="5" t="s">
        <v>2037</v>
      </c>
      <c r="E1073" s="5" t="s">
        <v>271</v>
      </c>
      <c r="F1073" s="5" t="s">
        <v>248</v>
      </c>
      <c r="G1073" s="5" t="s">
        <v>1969</v>
      </c>
      <c r="H1073" s="6" t="s">
        <v>3122</v>
      </c>
      <c r="I1073" s="7">
        <f>43</f>
        <v>43</v>
      </c>
      <c r="J1073" s="5" t="s">
        <v>262</v>
      </c>
      <c r="K1073" s="8">
        <f>1</f>
        <v>1</v>
      </c>
      <c r="L1073" s="6" t="s">
        <v>242</v>
      </c>
      <c r="M1073" s="5" t="s">
        <v>267</v>
      </c>
      <c r="N1073" s="5" t="s">
        <v>265</v>
      </c>
      <c r="O1073" s="5" t="s">
        <v>238</v>
      </c>
      <c r="P1073" s="5" t="s">
        <v>238</v>
      </c>
      <c r="Q1073" s="5" t="s">
        <v>268</v>
      </c>
      <c r="R1073" s="5" t="s">
        <v>270</v>
      </c>
      <c r="S1073" s="5" t="s">
        <v>238</v>
      </c>
      <c r="V1073" s="5" t="s">
        <v>238</v>
      </c>
      <c r="X1073" s="6" t="s">
        <v>238</v>
      </c>
      <c r="AA1073" s="6" t="s">
        <v>243</v>
      </c>
      <c r="AB1073" s="5" t="s">
        <v>238</v>
      </c>
      <c r="AC1073" s="5" t="s">
        <v>244</v>
      </c>
      <c r="AD1073" s="5" t="s">
        <v>245</v>
      </c>
      <c r="AT1073" s="5" t="s">
        <v>246</v>
      </c>
      <c r="AU1073" s="5" t="s">
        <v>238</v>
      </c>
      <c r="AV1073" s="5" t="s">
        <v>247</v>
      </c>
      <c r="AW1073" s="5" t="s">
        <v>238</v>
      </c>
      <c r="AX1073" s="5" t="s">
        <v>249</v>
      </c>
      <c r="AY1073" s="5" t="s">
        <v>238</v>
      </c>
      <c r="BA1073" s="5" t="s">
        <v>238</v>
      </c>
      <c r="BC1073" s="5" t="s">
        <v>250</v>
      </c>
      <c r="BD1073" s="6" t="s">
        <v>243</v>
      </c>
      <c r="BE1073" s="5" t="s">
        <v>251</v>
      </c>
      <c r="BF1073" s="5" t="s">
        <v>252</v>
      </c>
      <c r="BG1073" s="5" t="s">
        <v>238</v>
      </c>
      <c r="BH1073" s="7">
        <f>0</f>
        <v>0</v>
      </c>
      <c r="BI1073" s="8">
        <f>0</f>
        <v>0</v>
      </c>
      <c r="BJ1073" s="5" t="s">
        <v>253</v>
      </c>
      <c r="BK1073" s="5" t="s">
        <v>254</v>
      </c>
      <c r="BY1073" s="5" t="s">
        <v>238</v>
      </c>
      <c r="BZ1073" s="5" t="s">
        <v>238</v>
      </c>
      <c r="CD1073" s="5" t="s">
        <v>273</v>
      </c>
      <c r="CE1073" s="5" t="s">
        <v>256</v>
      </c>
      <c r="CF1073" s="5" t="s">
        <v>238</v>
      </c>
      <c r="CI1073" s="6" t="s">
        <v>257</v>
      </c>
      <c r="CJ1073" s="5" t="s">
        <v>238</v>
      </c>
      <c r="CK1073" s="5" t="s">
        <v>258</v>
      </c>
      <c r="CL1073" s="5" t="s">
        <v>238</v>
      </c>
      <c r="CM1073" s="5" t="s">
        <v>238</v>
      </c>
      <c r="CN1073" s="5">
        <v>0</v>
      </c>
      <c r="CO1073" s="5" t="s">
        <v>259</v>
      </c>
      <c r="CP1073" s="5" t="s">
        <v>260</v>
      </c>
      <c r="CQ1073" s="5" t="s">
        <v>260</v>
      </c>
      <c r="CR1073" s="5" t="s">
        <v>261</v>
      </c>
      <c r="CU1073" s="8">
        <f>1</f>
        <v>1</v>
      </c>
      <c r="CV1073" s="8">
        <f>0</f>
        <v>0</v>
      </c>
      <c r="CX1073" s="8">
        <f>0</f>
        <v>0</v>
      </c>
      <c r="CY1073" s="8">
        <f>1</f>
        <v>1</v>
      </c>
      <c r="DA1073" s="5" t="s">
        <v>673</v>
      </c>
      <c r="DB1073" s="5" t="s">
        <v>238</v>
      </c>
      <c r="DD1073" s="5" t="s">
        <v>673</v>
      </c>
      <c r="DE1073" s="8">
        <f>43</f>
        <v>43</v>
      </c>
      <c r="DG1073" s="5" t="s">
        <v>238</v>
      </c>
      <c r="DH1073" s="5" t="s">
        <v>238</v>
      </c>
      <c r="DI1073" s="5" t="s">
        <v>238</v>
      </c>
      <c r="DJ1073" s="5" t="s">
        <v>238</v>
      </c>
      <c r="DN1073" s="5" t="s">
        <v>238</v>
      </c>
      <c r="DO1073" s="5" t="s">
        <v>238</v>
      </c>
      <c r="DP1073" s="5" t="s">
        <v>238</v>
      </c>
      <c r="DQ1073" s="5" t="s">
        <v>238</v>
      </c>
      <c r="DT1073" s="5" t="s">
        <v>2039</v>
      </c>
      <c r="DU1073" s="5" t="s">
        <v>3123</v>
      </c>
      <c r="HM1073" s="5" t="s">
        <v>264</v>
      </c>
    </row>
    <row r="1074" spans="1:221" x14ac:dyDescent="0.4">
      <c r="A1074" s="5">
        <v>2749</v>
      </c>
      <c r="B1074" s="5">
        <v>1</v>
      </c>
      <c r="C1074" s="5">
        <v>1</v>
      </c>
      <c r="D1074" s="5" t="s">
        <v>2037</v>
      </c>
      <c r="E1074" s="5" t="s">
        <v>271</v>
      </c>
      <c r="F1074" s="5" t="s">
        <v>248</v>
      </c>
      <c r="G1074" s="5" t="s">
        <v>1969</v>
      </c>
      <c r="H1074" s="6" t="s">
        <v>3120</v>
      </c>
      <c r="I1074" s="7">
        <f>583</f>
        <v>583</v>
      </c>
      <c r="J1074" s="5" t="s">
        <v>262</v>
      </c>
      <c r="K1074" s="8">
        <f>1</f>
        <v>1</v>
      </c>
      <c r="L1074" s="6" t="s">
        <v>242</v>
      </c>
      <c r="M1074" s="5" t="s">
        <v>267</v>
      </c>
      <c r="N1074" s="5" t="s">
        <v>265</v>
      </c>
      <c r="O1074" s="5" t="s">
        <v>238</v>
      </c>
      <c r="P1074" s="5" t="s">
        <v>238</v>
      </c>
      <c r="Q1074" s="5" t="s">
        <v>268</v>
      </c>
      <c r="R1074" s="5" t="s">
        <v>270</v>
      </c>
      <c r="S1074" s="5" t="s">
        <v>238</v>
      </c>
      <c r="V1074" s="5" t="s">
        <v>238</v>
      </c>
      <c r="X1074" s="6" t="s">
        <v>238</v>
      </c>
      <c r="AA1074" s="6" t="s">
        <v>243</v>
      </c>
      <c r="AB1074" s="5" t="s">
        <v>238</v>
      </c>
      <c r="AC1074" s="5" t="s">
        <v>244</v>
      </c>
      <c r="AD1074" s="5" t="s">
        <v>245</v>
      </c>
      <c r="AT1074" s="5" t="s">
        <v>246</v>
      </c>
      <c r="AU1074" s="5" t="s">
        <v>238</v>
      </c>
      <c r="AV1074" s="5" t="s">
        <v>247</v>
      </c>
      <c r="AW1074" s="5" t="s">
        <v>238</v>
      </c>
      <c r="AX1074" s="5" t="s">
        <v>249</v>
      </c>
      <c r="AY1074" s="5" t="s">
        <v>238</v>
      </c>
      <c r="BA1074" s="5" t="s">
        <v>238</v>
      </c>
      <c r="BC1074" s="5" t="s">
        <v>250</v>
      </c>
      <c r="BD1074" s="6" t="s">
        <v>243</v>
      </c>
      <c r="BE1074" s="5" t="s">
        <v>251</v>
      </c>
      <c r="BF1074" s="5" t="s">
        <v>252</v>
      </c>
      <c r="BG1074" s="5" t="s">
        <v>238</v>
      </c>
      <c r="BH1074" s="7">
        <f>0</f>
        <v>0</v>
      </c>
      <c r="BI1074" s="8">
        <f>0</f>
        <v>0</v>
      </c>
      <c r="BJ1074" s="5" t="s">
        <v>253</v>
      </c>
      <c r="BK1074" s="5" t="s">
        <v>254</v>
      </c>
      <c r="BY1074" s="5" t="s">
        <v>238</v>
      </c>
      <c r="BZ1074" s="5" t="s">
        <v>238</v>
      </c>
      <c r="CD1074" s="5" t="s">
        <v>273</v>
      </c>
      <c r="CE1074" s="5" t="s">
        <v>256</v>
      </c>
      <c r="CF1074" s="5" t="s">
        <v>238</v>
      </c>
      <c r="CI1074" s="6" t="s">
        <v>257</v>
      </c>
      <c r="CJ1074" s="5" t="s">
        <v>238</v>
      </c>
      <c r="CK1074" s="5" t="s">
        <v>258</v>
      </c>
      <c r="CL1074" s="5" t="s">
        <v>238</v>
      </c>
      <c r="CM1074" s="5" t="s">
        <v>238</v>
      </c>
      <c r="CN1074" s="5">
        <v>0</v>
      </c>
      <c r="CO1074" s="5" t="s">
        <v>259</v>
      </c>
      <c r="CP1074" s="5" t="s">
        <v>260</v>
      </c>
      <c r="CQ1074" s="5" t="s">
        <v>260</v>
      </c>
      <c r="CR1074" s="5" t="s">
        <v>261</v>
      </c>
      <c r="CU1074" s="8">
        <f>1</f>
        <v>1</v>
      </c>
      <c r="CV1074" s="8">
        <f>0</f>
        <v>0</v>
      </c>
      <c r="CX1074" s="8">
        <f>0</f>
        <v>0</v>
      </c>
      <c r="CY1074" s="8">
        <f>1</f>
        <v>1</v>
      </c>
      <c r="DA1074" s="5" t="s">
        <v>673</v>
      </c>
      <c r="DB1074" s="5" t="s">
        <v>238</v>
      </c>
      <c r="DD1074" s="5" t="s">
        <v>673</v>
      </c>
      <c r="DE1074" s="8">
        <f>583</f>
        <v>583</v>
      </c>
      <c r="DG1074" s="5" t="s">
        <v>238</v>
      </c>
      <c r="DH1074" s="5" t="s">
        <v>238</v>
      </c>
      <c r="DI1074" s="5" t="s">
        <v>238</v>
      </c>
      <c r="DJ1074" s="5" t="s">
        <v>238</v>
      </c>
      <c r="DN1074" s="5" t="s">
        <v>238</v>
      </c>
      <c r="DO1074" s="5" t="s">
        <v>238</v>
      </c>
      <c r="DP1074" s="5" t="s">
        <v>238</v>
      </c>
      <c r="DQ1074" s="5" t="s">
        <v>238</v>
      </c>
      <c r="DT1074" s="5" t="s">
        <v>2039</v>
      </c>
      <c r="DU1074" s="5" t="s">
        <v>3121</v>
      </c>
      <c r="HM1074" s="5" t="s">
        <v>264</v>
      </c>
    </row>
    <row r="1075" spans="1:221" x14ac:dyDescent="0.4">
      <c r="A1075" s="5">
        <v>2750</v>
      </c>
      <c r="B1075" s="5">
        <v>1</v>
      </c>
      <c r="C1075" s="5">
        <v>1</v>
      </c>
      <c r="D1075" s="5" t="s">
        <v>2037</v>
      </c>
      <c r="E1075" s="5" t="s">
        <v>271</v>
      </c>
      <c r="F1075" s="5" t="s">
        <v>248</v>
      </c>
      <c r="G1075" s="5" t="s">
        <v>1969</v>
      </c>
      <c r="H1075" s="6" t="s">
        <v>3118</v>
      </c>
      <c r="I1075" s="7">
        <f>730</f>
        <v>730</v>
      </c>
      <c r="J1075" s="5" t="s">
        <v>262</v>
      </c>
      <c r="K1075" s="8">
        <f>1</f>
        <v>1</v>
      </c>
      <c r="L1075" s="6" t="s">
        <v>242</v>
      </c>
      <c r="M1075" s="5" t="s">
        <v>267</v>
      </c>
      <c r="N1075" s="5" t="s">
        <v>265</v>
      </c>
      <c r="O1075" s="5" t="s">
        <v>238</v>
      </c>
      <c r="P1075" s="5" t="s">
        <v>238</v>
      </c>
      <c r="Q1075" s="5" t="s">
        <v>268</v>
      </c>
      <c r="R1075" s="5" t="s">
        <v>270</v>
      </c>
      <c r="S1075" s="5" t="s">
        <v>238</v>
      </c>
      <c r="V1075" s="5" t="s">
        <v>238</v>
      </c>
      <c r="X1075" s="6" t="s">
        <v>238</v>
      </c>
      <c r="AA1075" s="6" t="s">
        <v>243</v>
      </c>
      <c r="AB1075" s="5" t="s">
        <v>238</v>
      </c>
      <c r="AC1075" s="5" t="s">
        <v>244</v>
      </c>
      <c r="AD1075" s="5" t="s">
        <v>245</v>
      </c>
      <c r="AT1075" s="5" t="s">
        <v>246</v>
      </c>
      <c r="AU1075" s="5" t="s">
        <v>238</v>
      </c>
      <c r="AV1075" s="5" t="s">
        <v>247</v>
      </c>
      <c r="AW1075" s="5" t="s">
        <v>238</v>
      </c>
      <c r="AX1075" s="5" t="s">
        <v>249</v>
      </c>
      <c r="AY1075" s="5" t="s">
        <v>238</v>
      </c>
      <c r="BA1075" s="5" t="s">
        <v>238</v>
      </c>
      <c r="BC1075" s="5" t="s">
        <v>250</v>
      </c>
      <c r="BD1075" s="6" t="s">
        <v>243</v>
      </c>
      <c r="BE1075" s="5" t="s">
        <v>251</v>
      </c>
      <c r="BF1075" s="5" t="s">
        <v>252</v>
      </c>
      <c r="BG1075" s="5" t="s">
        <v>238</v>
      </c>
      <c r="BH1075" s="7">
        <f>0</f>
        <v>0</v>
      </c>
      <c r="BI1075" s="8">
        <f>0</f>
        <v>0</v>
      </c>
      <c r="BJ1075" s="5" t="s">
        <v>253</v>
      </c>
      <c r="BK1075" s="5" t="s">
        <v>254</v>
      </c>
      <c r="BY1075" s="5" t="s">
        <v>238</v>
      </c>
      <c r="BZ1075" s="5" t="s">
        <v>238</v>
      </c>
      <c r="CD1075" s="5" t="s">
        <v>273</v>
      </c>
      <c r="CE1075" s="5" t="s">
        <v>256</v>
      </c>
      <c r="CF1075" s="5" t="s">
        <v>238</v>
      </c>
      <c r="CI1075" s="6" t="s">
        <v>257</v>
      </c>
      <c r="CJ1075" s="5" t="s">
        <v>238</v>
      </c>
      <c r="CK1075" s="5" t="s">
        <v>258</v>
      </c>
      <c r="CL1075" s="5" t="s">
        <v>238</v>
      </c>
      <c r="CM1075" s="5" t="s">
        <v>238</v>
      </c>
      <c r="CN1075" s="5">
        <v>0</v>
      </c>
      <c r="CO1075" s="5" t="s">
        <v>259</v>
      </c>
      <c r="CP1075" s="5" t="s">
        <v>260</v>
      </c>
      <c r="CQ1075" s="5" t="s">
        <v>260</v>
      </c>
      <c r="CR1075" s="5" t="s">
        <v>261</v>
      </c>
      <c r="CU1075" s="8">
        <f>1</f>
        <v>1</v>
      </c>
      <c r="CV1075" s="8">
        <f>0</f>
        <v>0</v>
      </c>
      <c r="CX1075" s="8">
        <f>0</f>
        <v>0</v>
      </c>
      <c r="CY1075" s="8">
        <f>1</f>
        <v>1</v>
      </c>
      <c r="DA1075" s="5" t="s">
        <v>673</v>
      </c>
      <c r="DB1075" s="5" t="s">
        <v>238</v>
      </c>
      <c r="DD1075" s="5" t="s">
        <v>673</v>
      </c>
      <c r="DE1075" s="8">
        <f>730</f>
        <v>730</v>
      </c>
      <c r="DG1075" s="5" t="s">
        <v>238</v>
      </c>
      <c r="DH1075" s="5" t="s">
        <v>238</v>
      </c>
      <c r="DI1075" s="5" t="s">
        <v>238</v>
      </c>
      <c r="DJ1075" s="5" t="s">
        <v>238</v>
      </c>
      <c r="DN1075" s="5" t="s">
        <v>238</v>
      </c>
      <c r="DO1075" s="5" t="s">
        <v>238</v>
      </c>
      <c r="DP1075" s="5" t="s">
        <v>238</v>
      </c>
      <c r="DQ1075" s="5" t="s">
        <v>238</v>
      </c>
      <c r="DT1075" s="5" t="s">
        <v>2039</v>
      </c>
      <c r="DU1075" s="5" t="s">
        <v>3119</v>
      </c>
      <c r="HM1075" s="5" t="s">
        <v>264</v>
      </c>
    </row>
    <row r="1076" spans="1:221" x14ac:dyDescent="0.4">
      <c r="A1076" s="5">
        <v>2751</v>
      </c>
      <c r="B1076" s="5">
        <v>1</v>
      </c>
      <c r="C1076" s="5">
        <v>1</v>
      </c>
      <c r="D1076" s="5" t="s">
        <v>2037</v>
      </c>
      <c r="E1076" s="5" t="s">
        <v>271</v>
      </c>
      <c r="F1076" s="5" t="s">
        <v>248</v>
      </c>
      <c r="G1076" s="5" t="s">
        <v>1969</v>
      </c>
      <c r="H1076" s="6" t="s">
        <v>3116</v>
      </c>
      <c r="I1076" s="7">
        <f>5151</f>
        <v>5151</v>
      </c>
      <c r="J1076" s="5" t="s">
        <v>262</v>
      </c>
      <c r="K1076" s="8">
        <f>1</f>
        <v>1</v>
      </c>
      <c r="L1076" s="6" t="s">
        <v>242</v>
      </c>
      <c r="M1076" s="5" t="s">
        <v>267</v>
      </c>
      <c r="N1076" s="5" t="s">
        <v>265</v>
      </c>
      <c r="O1076" s="5" t="s">
        <v>238</v>
      </c>
      <c r="P1076" s="5" t="s">
        <v>238</v>
      </c>
      <c r="Q1076" s="5" t="s">
        <v>268</v>
      </c>
      <c r="R1076" s="5" t="s">
        <v>270</v>
      </c>
      <c r="S1076" s="5" t="s">
        <v>238</v>
      </c>
      <c r="V1076" s="5" t="s">
        <v>238</v>
      </c>
      <c r="X1076" s="6" t="s">
        <v>238</v>
      </c>
      <c r="AA1076" s="6" t="s">
        <v>243</v>
      </c>
      <c r="AB1076" s="5" t="s">
        <v>238</v>
      </c>
      <c r="AC1076" s="5" t="s">
        <v>244</v>
      </c>
      <c r="AD1076" s="5" t="s">
        <v>245</v>
      </c>
      <c r="AT1076" s="5" t="s">
        <v>246</v>
      </c>
      <c r="AU1076" s="5" t="s">
        <v>238</v>
      </c>
      <c r="AV1076" s="5" t="s">
        <v>247</v>
      </c>
      <c r="AW1076" s="5" t="s">
        <v>238</v>
      </c>
      <c r="AX1076" s="5" t="s">
        <v>249</v>
      </c>
      <c r="AY1076" s="5" t="s">
        <v>238</v>
      </c>
      <c r="BA1076" s="5" t="s">
        <v>238</v>
      </c>
      <c r="BC1076" s="5" t="s">
        <v>250</v>
      </c>
      <c r="BD1076" s="6" t="s">
        <v>243</v>
      </c>
      <c r="BE1076" s="5" t="s">
        <v>251</v>
      </c>
      <c r="BF1076" s="5" t="s">
        <v>252</v>
      </c>
      <c r="BG1076" s="5" t="s">
        <v>238</v>
      </c>
      <c r="BH1076" s="7">
        <f>0</f>
        <v>0</v>
      </c>
      <c r="BI1076" s="8">
        <f>0</f>
        <v>0</v>
      </c>
      <c r="BJ1076" s="5" t="s">
        <v>253</v>
      </c>
      <c r="BK1076" s="5" t="s">
        <v>254</v>
      </c>
      <c r="BY1076" s="5" t="s">
        <v>238</v>
      </c>
      <c r="BZ1076" s="5" t="s">
        <v>238</v>
      </c>
      <c r="CD1076" s="5" t="s">
        <v>273</v>
      </c>
      <c r="CE1076" s="5" t="s">
        <v>256</v>
      </c>
      <c r="CF1076" s="5" t="s">
        <v>238</v>
      </c>
      <c r="CI1076" s="6" t="s">
        <v>257</v>
      </c>
      <c r="CJ1076" s="5" t="s">
        <v>238</v>
      </c>
      <c r="CK1076" s="5" t="s">
        <v>258</v>
      </c>
      <c r="CL1076" s="5" t="s">
        <v>238</v>
      </c>
      <c r="CM1076" s="5" t="s">
        <v>238</v>
      </c>
      <c r="CN1076" s="5">
        <v>0</v>
      </c>
      <c r="CO1076" s="5" t="s">
        <v>259</v>
      </c>
      <c r="CP1076" s="5" t="s">
        <v>260</v>
      </c>
      <c r="CQ1076" s="5" t="s">
        <v>260</v>
      </c>
      <c r="CR1076" s="5" t="s">
        <v>261</v>
      </c>
      <c r="CU1076" s="8">
        <f>1</f>
        <v>1</v>
      </c>
      <c r="CV1076" s="8">
        <f>0</f>
        <v>0</v>
      </c>
      <c r="CX1076" s="8">
        <f>0</f>
        <v>0</v>
      </c>
      <c r="CY1076" s="8">
        <f>1</f>
        <v>1</v>
      </c>
      <c r="DA1076" s="5" t="s">
        <v>673</v>
      </c>
      <c r="DB1076" s="5" t="s">
        <v>238</v>
      </c>
      <c r="DD1076" s="5" t="s">
        <v>673</v>
      </c>
      <c r="DE1076" s="8">
        <f>5151</f>
        <v>5151</v>
      </c>
      <c r="DG1076" s="5" t="s">
        <v>238</v>
      </c>
      <c r="DH1076" s="5" t="s">
        <v>238</v>
      </c>
      <c r="DI1076" s="5" t="s">
        <v>238</v>
      </c>
      <c r="DJ1076" s="5" t="s">
        <v>238</v>
      </c>
      <c r="DN1076" s="5" t="s">
        <v>238</v>
      </c>
      <c r="DO1076" s="5" t="s">
        <v>238</v>
      </c>
      <c r="DP1076" s="5" t="s">
        <v>238</v>
      </c>
      <c r="DQ1076" s="5" t="s">
        <v>238</v>
      </c>
      <c r="DT1076" s="5" t="s">
        <v>2039</v>
      </c>
      <c r="DU1076" s="5" t="s">
        <v>3117</v>
      </c>
      <c r="HM1076" s="5" t="s">
        <v>264</v>
      </c>
    </row>
    <row r="1077" spans="1:221" x14ac:dyDescent="0.4">
      <c r="A1077" s="5">
        <v>2752</v>
      </c>
      <c r="B1077" s="5">
        <v>1</v>
      </c>
      <c r="C1077" s="5">
        <v>1</v>
      </c>
      <c r="D1077" s="5" t="s">
        <v>2037</v>
      </c>
      <c r="E1077" s="5" t="s">
        <v>271</v>
      </c>
      <c r="F1077" s="5" t="s">
        <v>248</v>
      </c>
      <c r="G1077" s="5" t="s">
        <v>1969</v>
      </c>
      <c r="H1077" s="6" t="s">
        <v>3114</v>
      </c>
      <c r="I1077" s="7">
        <f>549</f>
        <v>549</v>
      </c>
      <c r="J1077" s="5" t="s">
        <v>262</v>
      </c>
      <c r="K1077" s="8">
        <f>1</f>
        <v>1</v>
      </c>
      <c r="L1077" s="6" t="s">
        <v>242</v>
      </c>
      <c r="M1077" s="5" t="s">
        <v>267</v>
      </c>
      <c r="N1077" s="5" t="s">
        <v>265</v>
      </c>
      <c r="O1077" s="5" t="s">
        <v>238</v>
      </c>
      <c r="P1077" s="5" t="s">
        <v>238</v>
      </c>
      <c r="Q1077" s="5" t="s">
        <v>268</v>
      </c>
      <c r="R1077" s="5" t="s">
        <v>270</v>
      </c>
      <c r="S1077" s="5" t="s">
        <v>238</v>
      </c>
      <c r="V1077" s="5" t="s">
        <v>238</v>
      </c>
      <c r="X1077" s="6" t="s">
        <v>238</v>
      </c>
      <c r="AA1077" s="6" t="s">
        <v>243</v>
      </c>
      <c r="AB1077" s="5" t="s">
        <v>238</v>
      </c>
      <c r="AC1077" s="5" t="s">
        <v>244</v>
      </c>
      <c r="AD1077" s="5" t="s">
        <v>245</v>
      </c>
      <c r="AT1077" s="5" t="s">
        <v>246</v>
      </c>
      <c r="AU1077" s="5" t="s">
        <v>238</v>
      </c>
      <c r="AV1077" s="5" t="s">
        <v>247</v>
      </c>
      <c r="AW1077" s="5" t="s">
        <v>238</v>
      </c>
      <c r="AX1077" s="5" t="s">
        <v>249</v>
      </c>
      <c r="AY1077" s="5" t="s">
        <v>238</v>
      </c>
      <c r="BA1077" s="5" t="s">
        <v>238</v>
      </c>
      <c r="BC1077" s="5" t="s">
        <v>250</v>
      </c>
      <c r="BD1077" s="6" t="s">
        <v>243</v>
      </c>
      <c r="BE1077" s="5" t="s">
        <v>251</v>
      </c>
      <c r="BF1077" s="5" t="s">
        <v>252</v>
      </c>
      <c r="BG1077" s="5" t="s">
        <v>238</v>
      </c>
      <c r="BH1077" s="7">
        <f>0</f>
        <v>0</v>
      </c>
      <c r="BI1077" s="8">
        <f>0</f>
        <v>0</v>
      </c>
      <c r="BJ1077" s="5" t="s">
        <v>253</v>
      </c>
      <c r="BK1077" s="5" t="s">
        <v>254</v>
      </c>
      <c r="BY1077" s="5" t="s">
        <v>238</v>
      </c>
      <c r="BZ1077" s="5" t="s">
        <v>238</v>
      </c>
      <c r="CD1077" s="5" t="s">
        <v>273</v>
      </c>
      <c r="CE1077" s="5" t="s">
        <v>256</v>
      </c>
      <c r="CF1077" s="5" t="s">
        <v>238</v>
      </c>
      <c r="CI1077" s="6" t="s">
        <v>257</v>
      </c>
      <c r="CJ1077" s="5" t="s">
        <v>238</v>
      </c>
      <c r="CK1077" s="5" t="s">
        <v>258</v>
      </c>
      <c r="CL1077" s="5" t="s">
        <v>238</v>
      </c>
      <c r="CM1077" s="5" t="s">
        <v>238</v>
      </c>
      <c r="CN1077" s="5">
        <v>0</v>
      </c>
      <c r="CO1077" s="5" t="s">
        <v>259</v>
      </c>
      <c r="CP1077" s="5" t="s">
        <v>260</v>
      </c>
      <c r="CQ1077" s="5" t="s">
        <v>260</v>
      </c>
      <c r="CR1077" s="5" t="s">
        <v>261</v>
      </c>
      <c r="CU1077" s="8">
        <f>1</f>
        <v>1</v>
      </c>
      <c r="CV1077" s="8">
        <f>0</f>
        <v>0</v>
      </c>
      <c r="CX1077" s="8">
        <f>0</f>
        <v>0</v>
      </c>
      <c r="CY1077" s="8">
        <f>1</f>
        <v>1</v>
      </c>
      <c r="DA1077" s="5" t="s">
        <v>673</v>
      </c>
      <c r="DB1077" s="5" t="s">
        <v>238</v>
      </c>
      <c r="DD1077" s="5" t="s">
        <v>673</v>
      </c>
      <c r="DE1077" s="8">
        <f>549</f>
        <v>549</v>
      </c>
      <c r="DG1077" s="5" t="s">
        <v>238</v>
      </c>
      <c r="DH1077" s="5" t="s">
        <v>238</v>
      </c>
      <c r="DI1077" s="5" t="s">
        <v>238</v>
      </c>
      <c r="DJ1077" s="5" t="s">
        <v>238</v>
      </c>
      <c r="DN1077" s="5" t="s">
        <v>238</v>
      </c>
      <c r="DO1077" s="5" t="s">
        <v>238</v>
      </c>
      <c r="DP1077" s="5" t="s">
        <v>238</v>
      </c>
      <c r="DQ1077" s="5" t="s">
        <v>238</v>
      </c>
      <c r="DT1077" s="5" t="s">
        <v>2039</v>
      </c>
      <c r="DU1077" s="5" t="s">
        <v>3115</v>
      </c>
      <c r="HM1077" s="5" t="s">
        <v>264</v>
      </c>
    </row>
    <row r="1078" spans="1:221" x14ac:dyDescent="0.4">
      <c r="A1078" s="5">
        <v>2753</v>
      </c>
      <c r="B1078" s="5">
        <v>1</v>
      </c>
      <c r="C1078" s="5">
        <v>1</v>
      </c>
      <c r="D1078" s="5" t="s">
        <v>2037</v>
      </c>
      <c r="E1078" s="5" t="s">
        <v>271</v>
      </c>
      <c r="F1078" s="5" t="s">
        <v>248</v>
      </c>
      <c r="G1078" s="5" t="s">
        <v>1969</v>
      </c>
      <c r="H1078" s="6" t="s">
        <v>3112</v>
      </c>
      <c r="I1078" s="7">
        <f>995</f>
        <v>995</v>
      </c>
      <c r="J1078" s="5" t="s">
        <v>262</v>
      </c>
      <c r="K1078" s="8">
        <f>1</f>
        <v>1</v>
      </c>
      <c r="L1078" s="6" t="s">
        <v>242</v>
      </c>
      <c r="M1078" s="5" t="s">
        <v>267</v>
      </c>
      <c r="N1078" s="5" t="s">
        <v>265</v>
      </c>
      <c r="O1078" s="5" t="s">
        <v>238</v>
      </c>
      <c r="P1078" s="5" t="s">
        <v>238</v>
      </c>
      <c r="Q1078" s="5" t="s">
        <v>268</v>
      </c>
      <c r="R1078" s="5" t="s">
        <v>270</v>
      </c>
      <c r="S1078" s="5" t="s">
        <v>238</v>
      </c>
      <c r="V1078" s="5" t="s">
        <v>238</v>
      </c>
      <c r="X1078" s="6" t="s">
        <v>238</v>
      </c>
      <c r="AA1078" s="6" t="s">
        <v>243</v>
      </c>
      <c r="AB1078" s="5" t="s">
        <v>238</v>
      </c>
      <c r="AC1078" s="5" t="s">
        <v>244</v>
      </c>
      <c r="AD1078" s="5" t="s">
        <v>245</v>
      </c>
      <c r="AT1078" s="5" t="s">
        <v>246</v>
      </c>
      <c r="AU1078" s="5" t="s">
        <v>238</v>
      </c>
      <c r="AV1078" s="5" t="s">
        <v>247</v>
      </c>
      <c r="AW1078" s="5" t="s">
        <v>238</v>
      </c>
      <c r="AX1078" s="5" t="s">
        <v>249</v>
      </c>
      <c r="AY1078" s="5" t="s">
        <v>238</v>
      </c>
      <c r="BA1078" s="5" t="s">
        <v>238</v>
      </c>
      <c r="BC1078" s="5" t="s">
        <v>250</v>
      </c>
      <c r="BD1078" s="6" t="s">
        <v>243</v>
      </c>
      <c r="BE1078" s="5" t="s">
        <v>251</v>
      </c>
      <c r="BF1078" s="5" t="s">
        <v>252</v>
      </c>
      <c r="BG1078" s="5" t="s">
        <v>238</v>
      </c>
      <c r="BH1078" s="7">
        <f>0</f>
        <v>0</v>
      </c>
      <c r="BI1078" s="8">
        <f>0</f>
        <v>0</v>
      </c>
      <c r="BJ1078" s="5" t="s">
        <v>253</v>
      </c>
      <c r="BK1078" s="5" t="s">
        <v>254</v>
      </c>
      <c r="BY1078" s="5" t="s">
        <v>238</v>
      </c>
      <c r="BZ1078" s="5" t="s">
        <v>238</v>
      </c>
      <c r="CD1078" s="5" t="s">
        <v>273</v>
      </c>
      <c r="CE1078" s="5" t="s">
        <v>256</v>
      </c>
      <c r="CF1078" s="5" t="s">
        <v>238</v>
      </c>
      <c r="CI1078" s="6" t="s">
        <v>257</v>
      </c>
      <c r="CJ1078" s="5" t="s">
        <v>238</v>
      </c>
      <c r="CK1078" s="5" t="s">
        <v>258</v>
      </c>
      <c r="CL1078" s="5" t="s">
        <v>238</v>
      </c>
      <c r="CM1078" s="5" t="s">
        <v>238</v>
      </c>
      <c r="CN1078" s="5">
        <v>0</v>
      </c>
      <c r="CO1078" s="5" t="s">
        <v>259</v>
      </c>
      <c r="CP1078" s="5" t="s">
        <v>260</v>
      </c>
      <c r="CQ1078" s="5" t="s">
        <v>260</v>
      </c>
      <c r="CR1078" s="5" t="s">
        <v>261</v>
      </c>
      <c r="CU1078" s="8">
        <f>1</f>
        <v>1</v>
      </c>
      <c r="CV1078" s="8">
        <f>0</f>
        <v>0</v>
      </c>
      <c r="CX1078" s="8">
        <f>0</f>
        <v>0</v>
      </c>
      <c r="CY1078" s="8">
        <f>1</f>
        <v>1</v>
      </c>
      <c r="DA1078" s="5" t="s">
        <v>673</v>
      </c>
      <c r="DB1078" s="5" t="s">
        <v>238</v>
      </c>
      <c r="DD1078" s="5" t="s">
        <v>673</v>
      </c>
      <c r="DE1078" s="8">
        <f>995</f>
        <v>995</v>
      </c>
      <c r="DG1078" s="5" t="s">
        <v>238</v>
      </c>
      <c r="DH1078" s="5" t="s">
        <v>238</v>
      </c>
      <c r="DI1078" s="5" t="s">
        <v>238</v>
      </c>
      <c r="DJ1078" s="5" t="s">
        <v>238</v>
      </c>
      <c r="DN1078" s="5" t="s">
        <v>238</v>
      </c>
      <c r="DO1078" s="5" t="s">
        <v>238</v>
      </c>
      <c r="DP1078" s="5" t="s">
        <v>238</v>
      </c>
      <c r="DQ1078" s="5" t="s">
        <v>238</v>
      </c>
      <c r="DT1078" s="5" t="s">
        <v>2039</v>
      </c>
      <c r="DU1078" s="5" t="s">
        <v>3113</v>
      </c>
      <c r="HM1078" s="5" t="s">
        <v>264</v>
      </c>
    </row>
    <row r="1079" spans="1:221" x14ac:dyDescent="0.4">
      <c r="A1079" s="5">
        <v>2754</v>
      </c>
      <c r="B1079" s="5">
        <v>1</v>
      </c>
      <c r="C1079" s="5">
        <v>1</v>
      </c>
      <c r="D1079" s="5" t="s">
        <v>2037</v>
      </c>
      <c r="E1079" s="5" t="s">
        <v>271</v>
      </c>
      <c r="F1079" s="5" t="s">
        <v>248</v>
      </c>
      <c r="G1079" s="5" t="s">
        <v>1969</v>
      </c>
      <c r="H1079" s="6" t="s">
        <v>3110</v>
      </c>
      <c r="I1079" s="7">
        <f>472</f>
        <v>472</v>
      </c>
      <c r="J1079" s="5" t="s">
        <v>262</v>
      </c>
      <c r="K1079" s="8">
        <f>1</f>
        <v>1</v>
      </c>
      <c r="L1079" s="6" t="s">
        <v>242</v>
      </c>
      <c r="M1079" s="5" t="s">
        <v>267</v>
      </c>
      <c r="N1079" s="5" t="s">
        <v>265</v>
      </c>
      <c r="O1079" s="5" t="s">
        <v>238</v>
      </c>
      <c r="P1079" s="5" t="s">
        <v>238</v>
      </c>
      <c r="Q1079" s="5" t="s">
        <v>268</v>
      </c>
      <c r="R1079" s="5" t="s">
        <v>270</v>
      </c>
      <c r="S1079" s="5" t="s">
        <v>238</v>
      </c>
      <c r="V1079" s="5" t="s">
        <v>238</v>
      </c>
      <c r="X1079" s="6" t="s">
        <v>238</v>
      </c>
      <c r="AA1079" s="6" t="s">
        <v>243</v>
      </c>
      <c r="AB1079" s="5" t="s">
        <v>238</v>
      </c>
      <c r="AC1079" s="5" t="s">
        <v>244</v>
      </c>
      <c r="AD1079" s="5" t="s">
        <v>245</v>
      </c>
      <c r="AT1079" s="5" t="s">
        <v>246</v>
      </c>
      <c r="AU1079" s="5" t="s">
        <v>238</v>
      </c>
      <c r="AV1079" s="5" t="s">
        <v>247</v>
      </c>
      <c r="AW1079" s="5" t="s">
        <v>238</v>
      </c>
      <c r="AX1079" s="5" t="s">
        <v>249</v>
      </c>
      <c r="AY1079" s="5" t="s">
        <v>238</v>
      </c>
      <c r="BA1079" s="5" t="s">
        <v>238</v>
      </c>
      <c r="BC1079" s="5" t="s">
        <v>250</v>
      </c>
      <c r="BD1079" s="6" t="s">
        <v>243</v>
      </c>
      <c r="BE1079" s="5" t="s">
        <v>251</v>
      </c>
      <c r="BF1079" s="5" t="s">
        <v>252</v>
      </c>
      <c r="BG1079" s="5" t="s">
        <v>238</v>
      </c>
      <c r="BH1079" s="7">
        <f>0</f>
        <v>0</v>
      </c>
      <c r="BI1079" s="8">
        <f>0</f>
        <v>0</v>
      </c>
      <c r="BJ1079" s="5" t="s">
        <v>253</v>
      </c>
      <c r="BK1079" s="5" t="s">
        <v>254</v>
      </c>
      <c r="BY1079" s="5" t="s">
        <v>238</v>
      </c>
      <c r="BZ1079" s="5" t="s">
        <v>238</v>
      </c>
      <c r="CD1079" s="5" t="s">
        <v>273</v>
      </c>
      <c r="CE1079" s="5" t="s">
        <v>256</v>
      </c>
      <c r="CF1079" s="5" t="s">
        <v>238</v>
      </c>
      <c r="CI1079" s="6" t="s">
        <v>257</v>
      </c>
      <c r="CJ1079" s="5" t="s">
        <v>238</v>
      </c>
      <c r="CK1079" s="5" t="s">
        <v>258</v>
      </c>
      <c r="CL1079" s="5" t="s">
        <v>238</v>
      </c>
      <c r="CM1079" s="5" t="s">
        <v>238</v>
      </c>
      <c r="CN1079" s="5">
        <v>0</v>
      </c>
      <c r="CO1079" s="5" t="s">
        <v>259</v>
      </c>
      <c r="CP1079" s="5" t="s">
        <v>260</v>
      </c>
      <c r="CQ1079" s="5" t="s">
        <v>260</v>
      </c>
      <c r="CR1079" s="5" t="s">
        <v>261</v>
      </c>
      <c r="CU1079" s="8">
        <f>1</f>
        <v>1</v>
      </c>
      <c r="CV1079" s="8">
        <f>0</f>
        <v>0</v>
      </c>
      <c r="CX1079" s="8">
        <f>0</f>
        <v>0</v>
      </c>
      <c r="CY1079" s="8">
        <f>1</f>
        <v>1</v>
      </c>
      <c r="DA1079" s="5" t="s">
        <v>673</v>
      </c>
      <c r="DB1079" s="5" t="s">
        <v>238</v>
      </c>
      <c r="DD1079" s="5" t="s">
        <v>673</v>
      </c>
      <c r="DE1079" s="8">
        <f>472</f>
        <v>472</v>
      </c>
      <c r="DG1079" s="5" t="s">
        <v>238</v>
      </c>
      <c r="DH1079" s="5" t="s">
        <v>238</v>
      </c>
      <c r="DI1079" s="5" t="s">
        <v>238</v>
      </c>
      <c r="DJ1079" s="5" t="s">
        <v>238</v>
      </c>
      <c r="DN1079" s="5" t="s">
        <v>238</v>
      </c>
      <c r="DO1079" s="5" t="s">
        <v>238</v>
      </c>
      <c r="DP1079" s="5" t="s">
        <v>238</v>
      </c>
      <c r="DQ1079" s="5" t="s">
        <v>238</v>
      </c>
      <c r="DT1079" s="5" t="s">
        <v>2039</v>
      </c>
      <c r="DU1079" s="5" t="s">
        <v>3111</v>
      </c>
      <c r="HM1079" s="5" t="s">
        <v>264</v>
      </c>
    </row>
    <row r="1080" spans="1:221" x14ac:dyDescent="0.4">
      <c r="A1080" s="5">
        <v>2755</v>
      </c>
      <c r="B1080" s="5">
        <v>1</v>
      </c>
      <c r="C1080" s="5">
        <v>1</v>
      </c>
      <c r="D1080" s="5" t="s">
        <v>2037</v>
      </c>
      <c r="E1080" s="5" t="s">
        <v>271</v>
      </c>
      <c r="F1080" s="5" t="s">
        <v>248</v>
      </c>
      <c r="G1080" s="5" t="s">
        <v>1969</v>
      </c>
      <c r="H1080" s="6" t="s">
        <v>3108</v>
      </c>
      <c r="I1080" s="7">
        <f>4385</f>
        <v>4385</v>
      </c>
      <c r="J1080" s="5" t="s">
        <v>262</v>
      </c>
      <c r="K1080" s="8">
        <f>1</f>
        <v>1</v>
      </c>
      <c r="L1080" s="6" t="s">
        <v>242</v>
      </c>
      <c r="M1080" s="5" t="s">
        <v>267</v>
      </c>
      <c r="N1080" s="5" t="s">
        <v>265</v>
      </c>
      <c r="O1080" s="5" t="s">
        <v>238</v>
      </c>
      <c r="P1080" s="5" t="s">
        <v>238</v>
      </c>
      <c r="Q1080" s="5" t="s">
        <v>268</v>
      </c>
      <c r="R1080" s="5" t="s">
        <v>270</v>
      </c>
      <c r="S1080" s="5" t="s">
        <v>238</v>
      </c>
      <c r="V1080" s="5" t="s">
        <v>238</v>
      </c>
      <c r="X1080" s="6" t="s">
        <v>238</v>
      </c>
      <c r="AA1080" s="6" t="s">
        <v>243</v>
      </c>
      <c r="AB1080" s="5" t="s">
        <v>238</v>
      </c>
      <c r="AC1080" s="5" t="s">
        <v>244</v>
      </c>
      <c r="AD1080" s="5" t="s">
        <v>245</v>
      </c>
      <c r="AT1080" s="5" t="s">
        <v>246</v>
      </c>
      <c r="AU1080" s="5" t="s">
        <v>238</v>
      </c>
      <c r="AV1080" s="5" t="s">
        <v>247</v>
      </c>
      <c r="AW1080" s="5" t="s">
        <v>238</v>
      </c>
      <c r="AX1080" s="5" t="s">
        <v>249</v>
      </c>
      <c r="AY1080" s="5" t="s">
        <v>238</v>
      </c>
      <c r="BA1080" s="5" t="s">
        <v>238</v>
      </c>
      <c r="BC1080" s="5" t="s">
        <v>250</v>
      </c>
      <c r="BD1080" s="6" t="s">
        <v>243</v>
      </c>
      <c r="BE1080" s="5" t="s">
        <v>251</v>
      </c>
      <c r="BF1080" s="5" t="s">
        <v>252</v>
      </c>
      <c r="BG1080" s="5" t="s">
        <v>238</v>
      </c>
      <c r="BH1080" s="7">
        <f>0</f>
        <v>0</v>
      </c>
      <c r="BI1080" s="8">
        <f>0</f>
        <v>0</v>
      </c>
      <c r="BJ1080" s="5" t="s">
        <v>253</v>
      </c>
      <c r="BK1080" s="5" t="s">
        <v>254</v>
      </c>
      <c r="BY1080" s="5" t="s">
        <v>238</v>
      </c>
      <c r="BZ1080" s="5" t="s">
        <v>238</v>
      </c>
      <c r="CD1080" s="5" t="s">
        <v>273</v>
      </c>
      <c r="CE1080" s="5" t="s">
        <v>256</v>
      </c>
      <c r="CF1080" s="5" t="s">
        <v>238</v>
      </c>
      <c r="CI1080" s="6" t="s">
        <v>257</v>
      </c>
      <c r="CJ1080" s="5" t="s">
        <v>238</v>
      </c>
      <c r="CK1080" s="5" t="s">
        <v>258</v>
      </c>
      <c r="CL1080" s="5" t="s">
        <v>238</v>
      </c>
      <c r="CM1080" s="5" t="s">
        <v>238</v>
      </c>
      <c r="CN1080" s="5">
        <v>0</v>
      </c>
      <c r="CO1080" s="5" t="s">
        <v>259</v>
      </c>
      <c r="CP1080" s="5" t="s">
        <v>260</v>
      </c>
      <c r="CQ1080" s="5" t="s">
        <v>260</v>
      </c>
      <c r="CR1080" s="5" t="s">
        <v>261</v>
      </c>
      <c r="CU1080" s="8">
        <f>1</f>
        <v>1</v>
      </c>
      <c r="CV1080" s="8">
        <f>0</f>
        <v>0</v>
      </c>
      <c r="CX1080" s="8">
        <f>0</f>
        <v>0</v>
      </c>
      <c r="CY1080" s="8">
        <f>1</f>
        <v>1</v>
      </c>
      <c r="DA1080" s="5" t="s">
        <v>673</v>
      </c>
      <c r="DB1080" s="5" t="s">
        <v>238</v>
      </c>
      <c r="DD1080" s="5" t="s">
        <v>673</v>
      </c>
      <c r="DE1080" s="8">
        <f>4385</f>
        <v>4385</v>
      </c>
      <c r="DG1080" s="5" t="s">
        <v>238</v>
      </c>
      <c r="DH1080" s="5" t="s">
        <v>238</v>
      </c>
      <c r="DI1080" s="5" t="s">
        <v>238</v>
      </c>
      <c r="DJ1080" s="5" t="s">
        <v>238</v>
      </c>
      <c r="DN1080" s="5" t="s">
        <v>238</v>
      </c>
      <c r="DO1080" s="5" t="s">
        <v>238</v>
      </c>
      <c r="DP1080" s="5" t="s">
        <v>238</v>
      </c>
      <c r="DQ1080" s="5" t="s">
        <v>238</v>
      </c>
      <c r="DT1080" s="5" t="s">
        <v>2039</v>
      </c>
      <c r="DU1080" s="5" t="s">
        <v>3109</v>
      </c>
      <c r="HM1080" s="5" t="s">
        <v>264</v>
      </c>
    </row>
    <row r="1081" spans="1:221" x14ac:dyDescent="0.4">
      <c r="A1081" s="5">
        <v>2756</v>
      </c>
      <c r="B1081" s="5">
        <v>1</v>
      </c>
      <c r="C1081" s="5">
        <v>1</v>
      </c>
      <c r="D1081" s="5" t="s">
        <v>2037</v>
      </c>
      <c r="E1081" s="5" t="s">
        <v>271</v>
      </c>
      <c r="F1081" s="5" t="s">
        <v>248</v>
      </c>
      <c r="G1081" s="5" t="s">
        <v>1969</v>
      </c>
      <c r="H1081" s="6" t="s">
        <v>3106</v>
      </c>
      <c r="I1081" s="7">
        <f>338</f>
        <v>338</v>
      </c>
      <c r="J1081" s="5" t="s">
        <v>262</v>
      </c>
      <c r="K1081" s="8">
        <f>1</f>
        <v>1</v>
      </c>
      <c r="L1081" s="6" t="s">
        <v>242</v>
      </c>
      <c r="M1081" s="5" t="s">
        <v>267</v>
      </c>
      <c r="N1081" s="5" t="s">
        <v>265</v>
      </c>
      <c r="O1081" s="5" t="s">
        <v>238</v>
      </c>
      <c r="P1081" s="5" t="s">
        <v>238</v>
      </c>
      <c r="Q1081" s="5" t="s">
        <v>268</v>
      </c>
      <c r="R1081" s="5" t="s">
        <v>270</v>
      </c>
      <c r="S1081" s="5" t="s">
        <v>238</v>
      </c>
      <c r="V1081" s="5" t="s">
        <v>238</v>
      </c>
      <c r="X1081" s="6" t="s">
        <v>238</v>
      </c>
      <c r="AA1081" s="6" t="s">
        <v>243</v>
      </c>
      <c r="AB1081" s="5" t="s">
        <v>238</v>
      </c>
      <c r="AC1081" s="5" t="s">
        <v>244</v>
      </c>
      <c r="AD1081" s="5" t="s">
        <v>245</v>
      </c>
      <c r="AT1081" s="5" t="s">
        <v>246</v>
      </c>
      <c r="AU1081" s="5" t="s">
        <v>238</v>
      </c>
      <c r="AV1081" s="5" t="s">
        <v>247</v>
      </c>
      <c r="AW1081" s="5" t="s">
        <v>238</v>
      </c>
      <c r="AX1081" s="5" t="s">
        <v>249</v>
      </c>
      <c r="AY1081" s="5" t="s">
        <v>238</v>
      </c>
      <c r="BA1081" s="5" t="s">
        <v>238</v>
      </c>
      <c r="BC1081" s="5" t="s">
        <v>250</v>
      </c>
      <c r="BD1081" s="6" t="s">
        <v>243</v>
      </c>
      <c r="BE1081" s="5" t="s">
        <v>251</v>
      </c>
      <c r="BF1081" s="5" t="s">
        <v>252</v>
      </c>
      <c r="BG1081" s="5" t="s">
        <v>238</v>
      </c>
      <c r="BH1081" s="7">
        <f>0</f>
        <v>0</v>
      </c>
      <c r="BI1081" s="8">
        <f>0</f>
        <v>0</v>
      </c>
      <c r="BJ1081" s="5" t="s">
        <v>253</v>
      </c>
      <c r="BK1081" s="5" t="s">
        <v>254</v>
      </c>
      <c r="BY1081" s="5" t="s">
        <v>238</v>
      </c>
      <c r="BZ1081" s="5" t="s">
        <v>238</v>
      </c>
      <c r="CD1081" s="5" t="s">
        <v>273</v>
      </c>
      <c r="CE1081" s="5" t="s">
        <v>256</v>
      </c>
      <c r="CF1081" s="5" t="s">
        <v>238</v>
      </c>
      <c r="CI1081" s="6" t="s">
        <v>257</v>
      </c>
      <c r="CJ1081" s="5" t="s">
        <v>238</v>
      </c>
      <c r="CK1081" s="5" t="s">
        <v>258</v>
      </c>
      <c r="CL1081" s="5" t="s">
        <v>238</v>
      </c>
      <c r="CM1081" s="5" t="s">
        <v>238</v>
      </c>
      <c r="CN1081" s="5">
        <v>0</v>
      </c>
      <c r="CO1081" s="5" t="s">
        <v>259</v>
      </c>
      <c r="CP1081" s="5" t="s">
        <v>260</v>
      </c>
      <c r="CQ1081" s="5" t="s">
        <v>260</v>
      </c>
      <c r="CR1081" s="5" t="s">
        <v>261</v>
      </c>
      <c r="CU1081" s="8">
        <f>1</f>
        <v>1</v>
      </c>
      <c r="CV1081" s="8">
        <f>0</f>
        <v>0</v>
      </c>
      <c r="CX1081" s="8">
        <f>0</f>
        <v>0</v>
      </c>
      <c r="CY1081" s="8">
        <f>1</f>
        <v>1</v>
      </c>
      <c r="DA1081" s="5" t="s">
        <v>673</v>
      </c>
      <c r="DB1081" s="5" t="s">
        <v>238</v>
      </c>
      <c r="DD1081" s="5" t="s">
        <v>673</v>
      </c>
      <c r="DE1081" s="8">
        <f>338</f>
        <v>338</v>
      </c>
      <c r="DG1081" s="5" t="s">
        <v>238</v>
      </c>
      <c r="DH1081" s="5" t="s">
        <v>238</v>
      </c>
      <c r="DI1081" s="5" t="s">
        <v>238</v>
      </c>
      <c r="DJ1081" s="5" t="s">
        <v>238</v>
      </c>
      <c r="DN1081" s="5" t="s">
        <v>238</v>
      </c>
      <c r="DO1081" s="5" t="s">
        <v>238</v>
      </c>
      <c r="DP1081" s="5" t="s">
        <v>238</v>
      </c>
      <c r="DQ1081" s="5" t="s">
        <v>238</v>
      </c>
      <c r="DT1081" s="5" t="s">
        <v>2039</v>
      </c>
      <c r="DU1081" s="5" t="s">
        <v>3107</v>
      </c>
      <c r="HM1081" s="5" t="s">
        <v>264</v>
      </c>
    </row>
    <row r="1082" spans="1:221" x14ac:dyDescent="0.4">
      <c r="A1082" s="5">
        <v>2757</v>
      </c>
      <c r="B1082" s="5">
        <v>1</v>
      </c>
      <c r="C1082" s="5">
        <v>1</v>
      </c>
      <c r="D1082" s="5" t="s">
        <v>2037</v>
      </c>
      <c r="E1082" s="5" t="s">
        <v>271</v>
      </c>
      <c r="F1082" s="5" t="s">
        <v>248</v>
      </c>
      <c r="G1082" s="5" t="s">
        <v>1969</v>
      </c>
      <c r="H1082" s="6" t="s">
        <v>3104</v>
      </c>
      <c r="I1082" s="7">
        <f>1850</f>
        <v>1850</v>
      </c>
      <c r="J1082" s="5" t="s">
        <v>262</v>
      </c>
      <c r="K1082" s="8">
        <f>1</f>
        <v>1</v>
      </c>
      <c r="L1082" s="6" t="s">
        <v>242</v>
      </c>
      <c r="M1082" s="5" t="s">
        <v>267</v>
      </c>
      <c r="N1082" s="5" t="s">
        <v>265</v>
      </c>
      <c r="O1082" s="5" t="s">
        <v>238</v>
      </c>
      <c r="P1082" s="5" t="s">
        <v>238</v>
      </c>
      <c r="Q1082" s="5" t="s">
        <v>268</v>
      </c>
      <c r="R1082" s="5" t="s">
        <v>270</v>
      </c>
      <c r="S1082" s="5" t="s">
        <v>238</v>
      </c>
      <c r="V1082" s="5" t="s">
        <v>238</v>
      </c>
      <c r="X1082" s="6" t="s">
        <v>238</v>
      </c>
      <c r="AA1082" s="6" t="s">
        <v>243</v>
      </c>
      <c r="AB1082" s="5" t="s">
        <v>238</v>
      </c>
      <c r="AC1082" s="5" t="s">
        <v>244</v>
      </c>
      <c r="AD1082" s="5" t="s">
        <v>245</v>
      </c>
      <c r="AT1082" s="5" t="s">
        <v>246</v>
      </c>
      <c r="AU1082" s="5" t="s">
        <v>238</v>
      </c>
      <c r="AV1082" s="5" t="s">
        <v>247</v>
      </c>
      <c r="AW1082" s="5" t="s">
        <v>238</v>
      </c>
      <c r="AX1082" s="5" t="s">
        <v>249</v>
      </c>
      <c r="AY1082" s="5" t="s">
        <v>238</v>
      </c>
      <c r="BA1082" s="5" t="s">
        <v>238</v>
      </c>
      <c r="BC1082" s="5" t="s">
        <v>250</v>
      </c>
      <c r="BD1082" s="6" t="s">
        <v>243</v>
      </c>
      <c r="BE1082" s="5" t="s">
        <v>251</v>
      </c>
      <c r="BF1082" s="5" t="s">
        <v>252</v>
      </c>
      <c r="BG1082" s="5" t="s">
        <v>238</v>
      </c>
      <c r="BH1082" s="7">
        <f>0</f>
        <v>0</v>
      </c>
      <c r="BI1082" s="8">
        <f>0</f>
        <v>0</v>
      </c>
      <c r="BJ1082" s="5" t="s">
        <v>253</v>
      </c>
      <c r="BK1082" s="5" t="s">
        <v>254</v>
      </c>
      <c r="BY1082" s="5" t="s">
        <v>238</v>
      </c>
      <c r="BZ1082" s="5" t="s">
        <v>238</v>
      </c>
      <c r="CD1082" s="5" t="s">
        <v>273</v>
      </c>
      <c r="CE1082" s="5" t="s">
        <v>256</v>
      </c>
      <c r="CF1082" s="5" t="s">
        <v>238</v>
      </c>
      <c r="CI1082" s="6" t="s">
        <v>257</v>
      </c>
      <c r="CJ1082" s="5" t="s">
        <v>238</v>
      </c>
      <c r="CK1082" s="5" t="s">
        <v>258</v>
      </c>
      <c r="CL1082" s="5" t="s">
        <v>238</v>
      </c>
      <c r="CM1082" s="5" t="s">
        <v>238</v>
      </c>
      <c r="CN1082" s="5">
        <v>0</v>
      </c>
      <c r="CO1082" s="5" t="s">
        <v>259</v>
      </c>
      <c r="CP1082" s="5" t="s">
        <v>260</v>
      </c>
      <c r="CQ1082" s="5" t="s">
        <v>260</v>
      </c>
      <c r="CR1082" s="5" t="s">
        <v>261</v>
      </c>
      <c r="CU1082" s="8">
        <f>1</f>
        <v>1</v>
      </c>
      <c r="CV1082" s="8">
        <f>0</f>
        <v>0</v>
      </c>
      <c r="CX1082" s="8">
        <f>0</f>
        <v>0</v>
      </c>
      <c r="CY1082" s="8">
        <f>1</f>
        <v>1</v>
      </c>
      <c r="DA1082" s="5" t="s">
        <v>673</v>
      </c>
      <c r="DB1082" s="5" t="s">
        <v>238</v>
      </c>
      <c r="DD1082" s="5" t="s">
        <v>673</v>
      </c>
      <c r="DE1082" s="8">
        <f>1850</f>
        <v>1850</v>
      </c>
      <c r="DG1082" s="5" t="s">
        <v>238</v>
      </c>
      <c r="DH1082" s="5" t="s">
        <v>238</v>
      </c>
      <c r="DI1082" s="5" t="s">
        <v>238</v>
      </c>
      <c r="DJ1082" s="5" t="s">
        <v>238</v>
      </c>
      <c r="DN1082" s="5" t="s">
        <v>238</v>
      </c>
      <c r="DO1082" s="5" t="s">
        <v>238</v>
      </c>
      <c r="DP1082" s="5" t="s">
        <v>238</v>
      </c>
      <c r="DQ1082" s="5" t="s">
        <v>238</v>
      </c>
      <c r="DT1082" s="5" t="s">
        <v>2039</v>
      </c>
      <c r="DU1082" s="5" t="s">
        <v>3105</v>
      </c>
      <c r="HM1082" s="5" t="s">
        <v>264</v>
      </c>
    </row>
    <row r="1083" spans="1:221" x14ac:dyDescent="0.4">
      <c r="A1083" s="5">
        <v>2758</v>
      </c>
      <c r="B1083" s="5">
        <v>1</v>
      </c>
      <c r="C1083" s="5">
        <v>1</v>
      </c>
      <c r="D1083" s="5" t="s">
        <v>2037</v>
      </c>
      <c r="E1083" s="5" t="s">
        <v>271</v>
      </c>
      <c r="F1083" s="5" t="s">
        <v>248</v>
      </c>
      <c r="G1083" s="5" t="s">
        <v>1969</v>
      </c>
      <c r="H1083" s="6" t="s">
        <v>3102</v>
      </c>
      <c r="I1083" s="7">
        <f>384</f>
        <v>384</v>
      </c>
      <c r="J1083" s="5" t="s">
        <v>262</v>
      </c>
      <c r="K1083" s="8">
        <f>1</f>
        <v>1</v>
      </c>
      <c r="L1083" s="6" t="s">
        <v>242</v>
      </c>
      <c r="M1083" s="5" t="s">
        <v>267</v>
      </c>
      <c r="N1083" s="5" t="s">
        <v>265</v>
      </c>
      <c r="O1083" s="5" t="s">
        <v>238</v>
      </c>
      <c r="P1083" s="5" t="s">
        <v>238</v>
      </c>
      <c r="Q1083" s="5" t="s">
        <v>268</v>
      </c>
      <c r="R1083" s="5" t="s">
        <v>270</v>
      </c>
      <c r="S1083" s="5" t="s">
        <v>238</v>
      </c>
      <c r="V1083" s="5" t="s">
        <v>238</v>
      </c>
      <c r="X1083" s="6" t="s">
        <v>238</v>
      </c>
      <c r="AA1083" s="6" t="s">
        <v>243</v>
      </c>
      <c r="AB1083" s="5" t="s">
        <v>238</v>
      </c>
      <c r="AC1083" s="5" t="s">
        <v>244</v>
      </c>
      <c r="AD1083" s="5" t="s">
        <v>245</v>
      </c>
      <c r="AT1083" s="5" t="s">
        <v>246</v>
      </c>
      <c r="AU1083" s="5" t="s">
        <v>238</v>
      </c>
      <c r="AV1083" s="5" t="s">
        <v>247</v>
      </c>
      <c r="AW1083" s="5" t="s">
        <v>238</v>
      </c>
      <c r="AX1083" s="5" t="s">
        <v>249</v>
      </c>
      <c r="AY1083" s="5" t="s">
        <v>238</v>
      </c>
      <c r="BA1083" s="5" t="s">
        <v>238</v>
      </c>
      <c r="BC1083" s="5" t="s">
        <v>250</v>
      </c>
      <c r="BD1083" s="6" t="s">
        <v>243</v>
      </c>
      <c r="BE1083" s="5" t="s">
        <v>251</v>
      </c>
      <c r="BF1083" s="5" t="s">
        <v>252</v>
      </c>
      <c r="BG1083" s="5" t="s">
        <v>238</v>
      </c>
      <c r="BH1083" s="7">
        <f>0</f>
        <v>0</v>
      </c>
      <c r="BI1083" s="8">
        <f>0</f>
        <v>0</v>
      </c>
      <c r="BJ1083" s="5" t="s">
        <v>253</v>
      </c>
      <c r="BK1083" s="5" t="s">
        <v>254</v>
      </c>
      <c r="BY1083" s="5" t="s">
        <v>238</v>
      </c>
      <c r="BZ1083" s="5" t="s">
        <v>238</v>
      </c>
      <c r="CD1083" s="5" t="s">
        <v>273</v>
      </c>
      <c r="CE1083" s="5" t="s">
        <v>256</v>
      </c>
      <c r="CF1083" s="5" t="s">
        <v>238</v>
      </c>
      <c r="CI1083" s="6" t="s">
        <v>257</v>
      </c>
      <c r="CJ1083" s="5" t="s">
        <v>238</v>
      </c>
      <c r="CK1083" s="5" t="s">
        <v>258</v>
      </c>
      <c r="CL1083" s="5" t="s">
        <v>238</v>
      </c>
      <c r="CM1083" s="5" t="s">
        <v>238</v>
      </c>
      <c r="CN1083" s="5">
        <v>0</v>
      </c>
      <c r="CO1083" s="5" t="s">
        <v>259</v>
      </c>
      <c r="CP1083" s="5" t="s">
        <v>260</v>
      </c>
      <c r="CQ1083" s="5" t="s">
        <v>260</v>
      </c>
      <c r="CR1083" s="5" t="s">
        <v>261</v>
      </c>
      <c r="CU1083" s="8">
        <f>1</f>
        <v>1</v>
      </c>
      <c r="CV1083" s="8">
        <f>0</f>
        <v>0</v>
      </c>
      <c r="CX1083" s="8">
        <f>0</f>
        <v>0</v>
      </c>
      <c r="CY1083" s="8">
        <f>1</f>
        <v>1</v>
      </c>
      <c r="DA1083" s="5" t="s">
        <v>673</v>
      </c>
      <c r="DB1083" s="5" t="s">
        <v>238</v>
      </c>
      <c r="DD1083" s="5" t="s">
        <v>673</v>
      </c>
      <c r="DE1083" s="8">
        <f>384</f>
        <v>384</v>
      </c>
      <c r="DG1083" s="5" t="s">
        <v>238</v>
      </c>
      <c r="DH1083" s="5" t="s">
        <v>238</v>
      </c>
      <c r="DI1083" s="5" t="s">
        <v>238</v>
      </c>
      <c r="DJ1083" s="5" t="s">
        <v>238</v>
      </c>
      <c r="DN1083" s="5" t="s">
        <v>238</v>
      </c>
      <c r="DO1083" s="5" t="s">
        <v>238</v>
      </c>
      <c r="DP1083" s="5" t="s">
        <v>238</v>
      </c>
      <c r="DQ1083" s="5" t="s">
        <v>238</v>
      </c>
      <c r="DT1083" s="5" t="s">
        <v>2039</v>
      </c>
      <c r="DU1083" s="5" t="s">
        <v>3103</v>
      </c>
      <c r="HM1083" s="5" t="s">
        <v>264</v>
      </c>
    </row>
    <row r="1084" spans="1:221" x14ac:dyDescent="0.4">
      <c r="A1084" s="5">
        <v>2759</v>
      </c>
      <c r="B1084" s="5">
        <v>1</v>
      </c>
      <c r="C1084" s="5">
        <v>1</v>
      </c>
      <c r="D1084" s="5" t="s">
        <v>2037</v>
      </c>
      <c r="E1084" s="5" t="s">
        <v>271</v>
      </c>
      <c r="F1084" s="5" t="s">
        <v>248</v>
      </c>
      <c r="G1084" s="5" t="s">
        <v>1969</v>
      </c>
      <c r="H1084" s="6" t="s">
        <v>3100</v>
      </c>
      <c r="I1084" s="7">
        <f>4571</f>
        <v>4571</v>
      </c>
      <c r="J1084" s="5" t="s">
        <v>262</v>
      </c>
      <c r="K1084" s="8">
        <f>1</f>
        <v>1</v>
      </c>
      <c r="L1084" s="6" t="s">
        <v>242</v>
      </c>
      <c r="M1084" s="5" t="s">
        <v>267</v>
      </c>
      <c r="N1084" s="5" t="s">
        <v>265</v>
      </c>
      <c r="O1084" s="5" t="s">
        <v>238</v>
      </c>
      <c r="P1084" s="5" t="s">
        <v>238</v>
      </c>
      <c r="Q1084" s="5" t="s">
        <v>268</v>
      </c>
      <c r="R1084" s="5" t="s">
        <v>270</v>
      </c>
      <c r="S1084" s="5" t="s">
        <v>238</v>
      </c>
      <c r="V1084" s="5" t="s">
        <v>238</v>
      </c>
      <c r="X1084" s="6" t="s">
        <v>238</v>
      </c>
      <c r="AA1084" s="6" t="s">
        <v>243</v>
      </c>
      <c r="AB1084" s="5" t="s">
        <v>238</v>
      </c>
      <c r="AC1084" s="5" t="s">
        <v>244</v>
      </c>
      <c r="AD1084" s="5" t="s">
        <v>245</v>
      </c>
      <c r="AT1084" s="5" t="s">
        <v>246</v>
      </c>
      <c r="AU1084" s="5" t="s">
        <v>238</v>
      </c>
      <c r="AV1084" s="5" t="s">
        <v>247</v>
      </c>
      <c r="AW1084" s="5" t="s">
        <v>238</v>
      </c>
      <c r="AX1084" s="5" t="s">
        <v>249</v>
      </c>
      <c r="AY1084" s="5" t="s">
        <v>238</v>
      </c>
      <c r="BA1084" s="5" t="s">
        <v>238</v>
      </c>
      <c r="BC1084" s="5" t="s">
        <v>250</v>
      </c>
      <c r="BD1084" s="6" t="s">
        <v>243</v>
      </c>
      <c r="BE1084" s="5" t="s">
        <v>251</v>
      </c>
      <c r="BF1084" s="5" t="s">
        <v>252</v>
      </c>
      <c r="BG1084" s="5" t="s">
        <v>238</v>
      </c>
      <c r="BH1084" s="7">
        <f>0</f>
        <v>0</v>
      </c>
      <c r="BI1084" s="8">
        <f>0</f>
        <v>0</v>
      </c>
      <c r="BJ1084" s="5" t="s">
        <v>253</v>
      </c>
      <c r="BK1084" s="5" t="s">
        <v>254</v>
      </c>
      <c r="BY1084" s="5" t="s">
        <v>238</v>
      </c>
      <c r="BZ1084" s="5" t="s">
        <v>238</v>
      </c>
      <c r="CD1084" s="5" t="s">
        <v>273</v>
      </c>
      <c r="CE1084" s="5" t="s">
        <v>256</v>
      </c>
      <c r="CF1084" s="5" t="s">
        <v>238</v>
      </c>
      <c r="CI1084" s="6" t="s">
        <v>257</v>
      </c>
      <c r="CJ1084" s="5" t="s">
        <v>238</v>
      </c>
      <c r="CK1084" s="5" t="s">
        <v>258</v>
      </c>
      <c r="CL1084" s="5" t="s">
        <v>238</v>
      </c>
      <c r="CM1084" s="5" t="s">
        <v>238</v>
      </c>
      <c r="CN1084" s="5">
        <v>0</v>
      </c>
      <c r="CO1084" s="5" t="s">
        <v>259</v>
      </c>
      <c r="CP1084" s="5" t="s">
        <v>260</v>
      </c>
      <c r="CQ1084" s="5" t="s">
        <v>260</v>
      </c>
      <c r="CR1084" s="5" t="s">
        <v>261</v>
      </c>
      <c r="CU1084" s="8">
        <f>1</f>
        <v>1</v>
      </c>
      <c r="CV1084" s="8">
        <f>0</f>
        <v>0</v>
      </c>
      <c r="CX1084" s="8">
        <f>0</f>
        <v>0</v>
      </c>
      <c r="CY1084" s="8">
        <f>1</f>
        <v>1</v>
      </c>
      <c r="DA1084" s="5" t="s">
        <v>673</v>
      </c>
      <c r="DB1084" s="5" t="s">
        <v>238</v>
      </c>
      <c r="DD1084" s="5" t="s">
        <v>673</v>
      </c>
      <c r="DE1084" s="8">
        <f>4571</f>
        <v>4571</v>
      </c>
      <c r="DG1084" s="5" t="s">
        <v>238</v>
      </c>
      <c r="DH1084" s="5" t="s">
        <v>238</v>
      </c>
      <c r="DI1084" s="5" t="s">
        <v>238</v>
      </c>
      <c r="DJ1084" s="5" t="s">
        <v>238</v>
      </c>
      <c r="DN1084" s="5" t="s">
        <v>238</v>
      </c>
      <c r="DO1084" s="5" t="s">
        <v>238</v>
      </c>
      <c r="DP1084" s="5" t="s">
        <v>238</v>
      </c>
      <c r="DQ1084" s="5" t="s">
        <v>238</v>
      </c>
      <c r="DT1084" s="5" t="s">
        <v>2039</v>
      </c>
      <c r="DU1084" s="5" t="s">
        <v>3101</v>
      </c>
      <c r="HM1084" s="5" t="s">
        <v>264</v>
      </c>
    </row>
    <row r="1085" spans="1:221" x14ac:dyDescent="0.4">
      <c r="A1085" s="5">
        <v>2760</v>
      </c>
      <c r="B1085" s="5">
        <v>1</v>
      </c>
      <c r="C1085" s="5">
        <v>1</v>
      </c>
      <c r="D1085" s="5" t="s">
        <v>2037</v>
      </c>
      <c r="E1085" s="5" t="s">
        <v>271</v>
      </c>
      <c r="F1085" s="5" t="s">
        <v>248</v>
      </c>
      <c r="G1085" s="5" t="s">
        <v>1969</v>
      </c>
      <c r="H1085" s="6" t="s">
        <v>3098</v>
      </c>
      <c r="I1085" s="7">
        <f>3019</f>
        <v>3019</v>
      </c>
      <c r="J1085" s="5" t="s">
        <v>262</v>
      </c>
      <c r="K1085" s="8">
        <f>1</f>
        <v>1</v>
      </c>
      <c r="L1085" s="6" t="s">
        <v>242</v>
      </c>
      <c r="M1085" s="5" t="s">
        <v>267</v>
      </c>
      <c r="N1085" s="5" t="s">
        <v>265</v>
      </c>
      <c r="O1085" s="5" t="s">
        <v>238</v>
      </c>
      <c r="P1085" s="5" t="s">
        <v>238</v>
      </c>
      <c r="Q1085" s="5" t="s">
        <v>268</v>
      </c>
      <c r="R1085" s="5" t="s">
        <v>270</v>
      </c>
      <c r="S1085" s="5" t="s">
        <v>238</v>
      </c>
      <c r="V1085" s="5" t="s">
        <v>238</v>
      </c>
      <c r="X1085" s="6" t="s">
        <v>238</v>
      </c>
      <c r="AA1085" s="6" t="s">
        <v>243</v>
      </c>
      <c r="AB1085" s="5" t="s">
        <v>238</v>
      </c>
      <c r="AC1085" s="5" t="s">
        <v>244</v>
      </c>
      <c r="AD1085" s="5" t="s">
        <v>245</v>
      </c>
      <c r="AT1085" s="5" t="s">
        <v>246</v>
      </c>
      <c r="AU1085" s="5" t="s">
        <v>238</v>
      </c>
      <c r="AV1085" s="5" t="s">
        <v>247</v>
      </c>
      <c r="AW1085" s="5" t="s">
        <v>238</v>
      </c>
      <c r="AX1085" s="5" t="s">
        <v>249</v>
      </c>
      <c r="AY1085" s="5" t="s">
        <v>238</v>
      </c>
      <c r="BA1085" s="5" t="s">
        <v>238</v>
      </c>
      <c r="BC1085" s="5" t="s">
        <v>250</v>
      </c>
      <c r="BD1085" s="6" t="s">
        <v>243</v>
      </c>
      <c r="BE1085" s="5" t="s">
        <v>251</v>
      </c>
      <c r="BF1085" s="5" t="s">
        <v>252</v>
      </c>
      <c r="BG1085" s="5" t="s">
        <v>238</v>
      </c>
      <c r="BH1085" s="7">
        <f>0</f>
        <v>0</v>
      </c>
      <c r="BI1085" s="8">
        <f>0</f>
        <v>0</v>
      </c>
      <c r="BJ1085" s="5" t="s">
        <v>253</v>
      </c>
      <c r="BK1085" s="5" t="s">
        <v>254</v>
      </c>
      <c r="BY1085" s="5" t="s">
        <v>238</v>
      </c>
      <c r="BZ1085" s="5" t="s">
        <v>238</v>
      </c>
      <c r="CD1085" s="5" t="s">
        <v>273</v>
      </c>
      <c r="CE1085" s="5" t="s">
        <v>256</v>
      </c>
      <c r="CF1085" s="5" t="s">
        <v>238</v>
      </c>
      <c r="CI1085" s="6" t="s">
        <v>257</v>
      </c>
      <c r="CJ1085" s="5" t="s">
        <v>238</v>
      </c>
      <c r="CK1085" s="5" t="s">
        <v>258</v>
      </c>
      <c r="CL1085" s="5" t="s">
        <v>238</v>
      </c>
      <c r="CM1085" s="5" t="s">
        <v>238</v>
      </c>
      <c r="CN1085" s="5">
        <v>0</v>
      </c>
      <c r="CO1085" s="5" t="s">
        <v>259</v>
      </c>
      <c r="CP1085" s="5" t="s">
        <v>260</v>
      </c>
      <c r="CQ1085" s="5" t="s">
        <v>260</v>
      </c>
      <c r="CR1085" s="5" t="s">
        <v>261</v>
      </c>
      <c r="CU1085" s="8">
        <f>1</f>
        <v>1</v>
      </c>
      <c r="CV1085" s="8">
        <f>0</f>
        <v>0</v>
      </c>
      <c r="CX1085" s="8">
        <f>0</f>
        <v>0</v>
      </c>
      <c r="CY1085" s="8">
        <f>1</f>
        <v>1</v>
      </c>
      <c r="DA1085" s="5" t="s">
        <v>673</v>
      </c>
      <c r="DB1085" s="5" t="s">
        <v>238</v>
      </c>
      <c r="DD1085" s="5" t="s">
        <v>673</v>
      </c>
      <c r="DE1085" s="8">
        <f>3019</f>
        <v>3019</v>
      </c>
      <c r="DG1085" s="5" t="s">
        <v>238</v>
      </c>
      <c r="DH1085" s="5" t="s">
        <v>238</v>
      </c>
      <c r="DI1085" s="5" t="s">
        <v>238</v>
      </c>
      <c r="DJ1085" s="5" t="s">
        <v>238</v>
      </c>
      <c r="DN1085" s="5" t="s">
        <v>238</v>
      </c>
      <c r="DO1085" s="5" t="s">
        <v>238</v>
      </c>
      <c r="DP1085" s="5" t="s">
        <v>238</v>
      </c>
      <c r="DQ1085" s="5" t="s">
        <v>238</v>
      </c>
      <c r="DT1085" s="5" t="s">
        <v>2039</v>
      </c>
      <c r="DU1085" s="5" t="s">
        <v>3099</v>
      </c>
      <c r="HM1085" s="5" t="s">
        <v>264</v>
      </c>
    </row>
    <row r="1086" spans="1:221" x14ac:dyDescent="0.4">
      <c r="A1086" s="5">
        <v>2761</v>
      </c>
      <c r="B1086" s="5">
        <v>1</v>
      </c>
      <c r="C1086" s="5">
        <v>1</v>
      </c>
      <c r="D1086" s="5" t="s">
        <v>2037</v>
      </c>
      <c r="E1086" s="5" t="s">
        <v>271</v>
      </c>
      <c r="F1086" s="5" t="s">
        <v>248</v>
      </c>
      <c r="G1086" s="5" t="s">
        <v>1969</v>
      </c>
      <c r="H1086" s="6" t="s">
        <v>3096</v>
      </c>
      <c r="I1086" s="7">
        <f>2977</f>
        <v>2977</v>
      </c>
      <c r="J1086" s="5" t="s">
        <v>262</v>
      </c>
      <c r="K1086" s="8">
        <f>1</f>
        <v>1</v>
      </c>
      <c r="L1086" s="6" t="s">
        <v>242</v>
      </c>
      <c r="M1086" s="5" t="s">
        <v>267</v>
      </c>
      <c r="N1086" s="5" t="s">
        <v>265</v>
      </c>
      <c r="O1086" s="5" t="s">
        <v>238</v>
      </c>
      <c r="P1086" s="5" t="s">
        <v>238</v>
      </c>
      <c r="Q1086" s="5" t="s">
        <v>268</v>
      </c>
      <c r="R1086" s="5" t="s">
        <v>270</v>
      </c>
      <c r="S1086" s="5" t="s">
        <v>238</v>
      </c>
      <c r="V1086" s="5" t="s">
        <v>238</v>
      </c>
      <c r="X1086" s="6" t="s">
        <v>238</v>
      </c>
      <c r="AA1086" s="6" t="s">
        <v>243</v>
      </c>
      <c r="AB1086" s="5" t="s">
        <v>238</v>
      </c>
      <c r="AC1086" s="5" t="s">
        <v>244</v>
      </c>
      <c r="AD1086" s="5" t="s">
        <v>245</v>
      </c>
      <c r="AT1086" s="5" t="s">
        <v>246</v>
      </c>
      <c r="AU1086" s="5" t="s">
        <v>238</v>
      </c>
      <c r="AV1086" s="5" t="s">
        <v>247</v>
      </c>
      <c r="AW1086" s="5" t="s">
        <v>238</v>
      </c>
      <c r="AX1086" s="5" t="s">
        <v>249</v>
      </c>
      <c r="AY1086" s="5" t="s">
        <v>238</v>
      </c>
      <c r="BA1086" s="5" t="s">
        <v>238</v>
      </c>
      <c r="BC1086" s="5" t="s">
        <v>250</v>
      </c>
      <c r="BD1086" s="6" t="s">
        <v>243</v>
      </c>
      <c r="BE1086" s="5" t="s">
        <v>251</v>
      </c>
      <c r="BF1086" s="5" t="s">
        <v>252</v>
      </c>
      <c r="BG1086" s="5" t="s">
        <v>238</v>
      </c>
      <c r="BH1086" s="7">
        <f>0</f>
        <v>0</v>
      </c>
      <c r="BI1086" s="8">
        <f>0</f>
        <v>0</v>
      </c>
      <c r="BJ1086" s="5" t="s">
        <v>253</v>
      </c>
      <c r="BK1086" s="5" t="s">
        <v>254</v>
      </c>
      <c r="BY1086" s="5" t="s">
        <v>238</v>
      </c>
      <c r="BZ1086" s="5" t="s">
        <v>238</v>
      </c>
      <c r="CD1086" s="5" t="s">
        <v>273</v>
      </c>
      <c r="CE1086" s="5" t="s">
        <v>256</v>
      </c>
      <c r="CF1086" s="5" t="s">
        <v>238</v>
      </c>
      <c r="CI1086" s="6" t="s">
        <v>257</v>
      </c>
      <c r="CJ1086" s="5" t="s">
        <v>238</v>
      </c>
      <c r="CK1086" s="5" t="s">
        <v>258</v>
      </c>
      <c r="CL1086" s="5" t="s">
        <v>238</v>
      </c>
      <c r="CM1086" s="5" t="s">
        <v>238</v>
      </c>
      <c r="CN1086" s="5">
        <v>0</v>
      </c>
      <c r="CO1086" s="5" t="s">
        <v>259</v>
      </c>
      <c r="CP1086" s="5" t="s">
        <v>260</v>
      </c>
      <c r="CQ1086" s="5" t="s">
        <v>260</v>
      </c>
      <c r="CR1086" s="5" t="s">
        <v>261</v>
      </c>
      <c r="CU1086" s="8">
        <f>1</f>
        <v>1</v>
      </c>
      <c r="CV1086" s="8">
        <f>0</f>
        <v>0</v>
      </c>
      <c r="CX1086" s="8">
        <f>0</f>
        <v>0</v>
      </c>
      <c r="CY1086" s="8">
        <f>1</f>
        <v>1</v>
      </c>
      <c r="DA1086" s="5" t="s">
        <v>673</v>
      </c>
      <c r="DB1086" s="5" t="s">
        <v>238</v>
      </c>
      <c r="DD1086" s="5" t="s">
        <v>673</v>
      </c>
      <c r="DE1086" s="8">
        <f>2977</f>
        <v>2977</v>
      </c>
      <c r="DG1086" s="5" t="s">
        <v>238</v>
      </c>
      <c r="DH1086" s="5" t="s">
        <v>238</v>
      </c>
      <c r="DI1086" s="5" t="s">
        <v>238</v>
      </c>
      <c r="DJ1086" s="5" t="s">
        <v>238</v>
      </c>
      <c r="DN1086" s="5" t="s">
        <v>238</v>
      </c>
      <c r="DO1086" s="5" t="s">
        <v>238</v>
      </c>
      <c r="DP1086" s="5" t="s">
        <v>238</v>
      </c>
      <c r="DQ1086" s="5" t="s">
        <v>238</v>
      </c>
      <c r="DT1086" s="5" t="s">
        <v>2039</v>
      </c>
      <c r="DU1086" s="5" t="s">
        <v>3097</v>
      </c>
      <c r="HM1086" s="5" t="s">
        <v>264</v>
      </c>
    </row>
    <row r="1087" spans="1:221" x14ac:dyDescent="0.4">
      <c r="A1087" s="5">
        <v>2762</v>
      </c>
      <c r="B1087" s="5">
        <v>1</v>
      </c>
      <c r="C1087" s="5">
        <v>1</v>
      </c>
      <c r="D1087" s="5" t="s">
        <v>2037</v>
      </c>
      <c r="E1087" s="5" t="s">
        <v>271</v>
      </c>
      <c r="F1087" s="5" t="s">
        <v>248</v>
      </c>
      <c r="G1087" s="5" t="s">
        <v>1969</v>
      </c>
      <c r="H1087" s="6" t="s">
        <v>3094</v>
      </c>
      <c r="I1087" s="7">
        <f>2940</f>
        <v>2940</v>
      </c>
      <c r="J1087" s="5" t="s">
        <v>262</v>
      </c>
      <c r="K1087" s="8">
        <f>1</f>
        <v>1</v>
      </c>
      <c r="L1087" s="6" t="s">
        <v>242</v>
      </c>
      <c r="M1087" s="5" t="s">
        <v>267</v>
      </c>
      <c r="N1087" s="5" t="s">
        <v>265</v>
      </c>
      <c r="O1087" s="5" t="s">
        <v>238</v>
      </c>
      <c r="P1087" s="5" t="s">
        <v>238</v>
      </c>
      <c r="Q1087" s="5" t="s">
        <v>268</v>
      </c>
      <c r="R1087" s="5" t="s">
        <v>270</v>
      </c>
      <c r="S1087" s="5" t="s">
        <v>238</v>
      </c>
      <c r="V1087" s="5" t="s">
        <v>238</v>
      </c>
      <c r="X1087" s="6" t="s">
        <v>238</v>
      </c>
      <c r="AA1087" s="6" t="s">
        <v>243</v>
      </c>
      <c r="AB1087" s="5" t="s">
        <v>238</v>
      </c>
      <c r="AC1087" s="5" t="s">
        <v>244</v>
      </c>
      <c r="AD1087" s="5" t="s">
        <v>245</v>
      </c>
      <c r="AT1087" s="5" t="s">
        <v>246</v>
      </c>
      <c r="AU1087" s="5" t="s">
        <v>238</v>
      </c>
      <c r="AV1087" s="5" t="s">
        <v>247</v>
      </c>
      <c r="AW1087" s="5" t="s">
        <v>238</v>
      </c>
      <c r="AX1087" s="5" t="s">
        <v>249</v>
      </c>
      <c r="AY1087" s="5" t="s">
        <v>238</v>
      </c>
      <c r="BA1087" s="5" t="s">
        <v>238</v>
      </c>
      <c r="BC1087" s="5" t="s">
        <v>250</v>
      </c>
      <c r="BD1087" s="6" t="s">
        <v>243</v>
      </c>
      <c r="BE1087" s="5" t="s">
        <v>251</v>
      </c>
      <c r="BF1087" s="5" t="s">
        <v>252</v>
      </c>
      <c r="BG1087" s="5" t="s">
        <v>238</v>
      </c>
      <c r="BH1087" s="7">
        <f>0</f>
        <v>0</v>
      </c>
      <c r="BI1087" s="8">
        <f>0</f>
        <v>0</v>
      </c>
      <c r="BJ1087" s="5" t="s">
        <v>253</v>
      </c>
      <c r="BK1087" s="5" t="s">
        <v>254</v>
      </c>
      <c r="BY1087" s="5" t="s">
        <v>238</v>
      </c>
      <c r="BZ1087" s="5" t="s">
        <v>238</v>
      </c>
      <c r="CD1087" s="5" t="s">
        <v>273</v>
      </c>
      <c r="CE1087" s="5" t="s">
        <v>256</v>
      </c>
      <c r="CF1087" s="5" t="s">
        <v>238</v>
      </c>
      <c r="CI1087" s="6" t="s">
        <v>257</v>
      </c>
      <c r="CJ1087" s="5" t="s">
        <v>238</v>
      </c>
      <c r="CK1087" s="5" t="s">
        <v>258</v>
      </c>
      <c r="CL1087" s="5" t="s">
        <v>238</v>
      </c>
      <c r="CM1087" s="5" t="s">
        <v>238</v>
      </c>
      <c r="CN1087" s="5">
        <v>0</v>
      </c>
      <c r="CO1087" s="5" t="s">
        <v>259</v>
      </c>
      <c r="CP1087" s="5" t="s">
        <v>260</v>
      </c>
      <c r="CQ1087" s="5" t="s">
        <v>260</v>
      </c>
      <c r="CR1087" s="5" t="s">
        <v>261</v>
      </c>
      <c r="CU1087" s="8">
        <f>1</f>
        <v>1</v>
      </c>
      <c r="CV1087" s="8">
        <f>0</f>
        <v>0</v>
      </c>
      <c r="CX1087" s="8">
        <f>0</f>
        <v>0</v>
      </c>
      <c r="CY1087" s="8">
        <f>1</f>
        <v>1</v>
      </c>
      <c r="DA1087" s="5" t="s">
        <v>673</v>
      </c>
      <c r="DB1087" s="5" t="s">
        <v>238</v>
      </c>
      <c r="DD1087" s="5" t="s">
        <v>673</v>
      </c>
      <c r="DE1087" s="8">
        <f>2940</f>
        <v>2940</v>
      </c>
      <c r="DG1087" s="5" t="s">
        <v>238</v>
      </c>
      <c r="DH1087" s="5" t="s">
        <v>238</v>
      </c>
      <c r="DI1087" s="5" t="s">
        <v>238</v>
      </c>
      <c r="DJ1087" s="5" t="s">
        <v>238</v>
      </c>
      <c r="DN1087" s="5" t="s">
        <v>238</v>
      </c>
      <c r="DO1087" s="5" t="s">
        <v>238</v>
      </c>
      <c r="DP1087" s="5" t="s">
        <v>238</v>
      </c>
      <c r="DQ1087" s="5" t="s">
        <v>238</v>
      </c>
      <c r="DT1087" s="5" t="s">
        <v>2039</v>
      </c>
      <c r="DU1087" s="5" t="s">
        <v>3095</v>
      </c>
      <c r="HM1087" s="5" t="s">
        <v>264</v>
      </c>
    </row>
    <row r="1088" spans="1:221" x14ac:dyDescent="0.4">
      <c r="A1088" s="5">
        <v>2763</v>
      </c>
      <c r="B1088" s="5">
        <v>1</v>
      </c>
      <c r="C1088" s="5">
        <v>1</v>
      </c>
      <c r="D1088" s="5" t="s">
        <v>2037</v>
      </c>
      <c r="E1088" s="5" t="s">
        <v>271</v>
      </c>
      <c r="F1088" s="5" t="s">
        <v>248</v>
      </c>
      <c r="G1088" s="5" t="s">
        <v>1969</v>
      </c>
      <c r="H1088" s="6" t="s">
        <v>3092</v>
      </c>
      <c r="I1088" s="7">
        <f>11409</f>
        <v>11409</v>
      </c>
      <c r="J1088" s="5" t="s">
        <v>262</v>
      </c>
      <c r="K1088" s="8">
        <f>1</f>
        <v>1</v>
      </c>
      <c r="L1088" s="6" t="s">
        <v>242</v>
      </c>
      <c r="M1088" s="5" t="s">
        <v>267</v>
      </c>
      <c r="N1088" s="5" t="s">
        <v>265</v>
      </c>
      <c r="O1088" s="5" t="s">
        <v>238</v>
      </c>
      <c r="P1088" s="5" t="s">
        <v>238</v>
      </c>
      <c r="Q1088" s="5" t="s">
        <v>268</v>
      </c>
      <c r="R1088" s="5" t="s">
        <v>270</v>
      </c>
      <c r="S1088" s="5" t="s">
        <v>238</v>
      </c>
      <c r="V1088" s="5" t="s">
        <v>238</v>
      </c>
      <c r="X1088" s="6" t="s">
        <v>238</v>
      </c>
      <c r="AA1088" s="6" t="s">
        <v>243</v>
      </c>
      <c r="AB1088" s="5" t="s">
        <v>238</v>
      </c>
      <c r="AC1088" s="5" t="s">
        <v>244</v>
      </c>
      <c r="AD1088" s="5" t="s">
        <v>245</v>
      </c>
      <c r="AT1088" s="5" t="s">
        <v>246</v>
      </c>
      <c r="AU1088" s="5" t="s">
        <v>238</v>
      </c>
      <c r="AV1088" s="5" t="s">
        <v>247</v>
      </c>
      <c r="AW1088" s="5" t="s">
        <v>238</v>
      </c>
      <c r="AX1088" s="5" t="s">
        <v>249</v>
      </c>
      <c r="AY1088" s="5" t="s">
        <v>238</v>
      </c>
      <c r="BA1088" s="5" t="s">
        <v>238</v>
      </c>
      <c r="BC1088" s="5" t="s">
        <v>250</v>
      </c>
      <c r="BD1088" s="6" t="s">
        <v>243</v>
      </c>
      <c r="BE1088" s="5" t="s">
        <v>251</v>
      </c>
      <c r="BF1088" s="5" t="s">
        <v>252</v>
      </c>
      <c r="BG1088" s="5" t="s">
        <v>238</v>
      </c>
      <c r="BH1088" s="7">
        <f>0</f>
        <v>0</v>
      </c>
      <c r="BI1088" s="8">
        <f>0</f>
        <v>0</v>
      </c>
      <c r="BJ1088" s="5" t="s">
        <v>253</v>
      </c>
      <c r="BK1088" s="5" t="s">
        <v>254</v>
      </c>
      <c r="BY1088" s="5" t="s">
        <v>238</v>
      </c>
      <c r="BZ1088" s="5" t="s">
        <v>238</v>
      </c>
      <c r="CD1088" s="5" t="s">
        <v>273</v>
      </c>
      <c r="CE1088" s="5" t="s">
        <v>256</v>
      </c>
      <c r="CF1088" s="5" t="s">
        <v>238</v>
      </c>
      <c r="CI1088" s="6" t="s">
        <v>257</v>
      </c>
      <c r="CJ1088" s="5" t="s">
        <v>238</v>
      </c>
      <c r="CK1088" s="5" t="s">
        <v>258</v>
      </c>
      <c r="CL1088" s="5" t="s">
        <v>238</v>
      </c>
      <c r="CM1088" s="5" t="s">
        <v>238</v>
      </c>
      <c r="CN1088" s="5">
        <v>0</v>
      </c>
      <c r="CO1088" s="5" t="s">
        <v>259</v>
      </c>
      <c r="CP1088" s="5" t="s">
        <v>260</v>
      </c>
      <c r="CQ1088" s="5" t="s">
        <v>260</v>
      </c>
      <c r="CR1088" s="5" t="s">
        <v>261</v>
      </c>
      <c r="CU1088" s="8">
        <f>1</f>
        <v>1</v>
      </c>
      <c r="CV1088" s="8">
        <f>0</f>
        <v>0</v>
      </c>
      <c r="CX1088" s="8">
        <f>0</f>
        <v>0</v>
      </c>
      <c r="CY1088" s="8">
        <f>1</f>
        <v>1</v>
      </c>
      <c r="DA1088" s="5" t="s">
        <v>673</v>
      </c>
      <c r="DB1088" s="5" t="s">
        <v>238</v>
      </c>
      <c r="DD1088" s="5" t="s">
        <v>673</v>
      </c>
      <c r="DE1088" s="8">
        <f>11409</f>
        <v>11409</v>
      </c>
      <c r="DG1088" s="5" t="s">
        <v>238</v>
      </c>
      <c r="DH1088" s="5" t="s">
        <v>238</v>
      </c>
      <c r="DI1088" s="5" t="s">
        <v>238</v>
      </c>
      <c r="DJ1088" s="5" t="s">
        <v>238</v>
      </c>
      <c r="DN1088" s="5" t="s">
        <v>238</v>
      </c>
      <c r="DO1088" s="5" t="s">
        <v>238</v>
      </c>
      <c r="DP1088" s="5" t="s">
        <v>238</v>
      </c>
      <c r="DQ1088" s="5" t="s">
        <v>238</v>
      </c>
      <c r="DT1088" s="5" t="s">
        <v>2039</v>
      </c>
      <c r="DU1088" s="5" t="s">
        <v>3093</v>
      </c>
      <c r="HM1088" s="5" t="s">
        <v>264</v>
      </c>
    </row>
    <row r="1089" spans="1:221" x14ac:dyDescent="0.4">
      <c r="A1089" s="5">
        <v>2764</v>
      </c>
      <c r="B1089" s="5">
        <v>1</v>
      </c>
      <c r="C1089" s="5">
        <v>1</v>
      </c>
      <c r="D1089" s="5" t="s">
        <v>2037</v>
      </c>
      <c r="E1089" s="5" t="s">
        <v>271</v>
      </c>
      <c r="F1089" s="5" t="s">
        <v>248</v>
      </c>
      <c r="G1089" s="5" t="s">
        <v>1969</v>
      </c>
      <c r="H1089" s="6" t="s">
        <v>3090</v>
      </c>
      <c r="I1089" s="7">
        <f>3358</f>
        <v>3358</v>
      </c>
      <c r="J1089" s="5" t="s">
        <v>262</v>
      </c>
      <c r="K1089" s="8">
        <f>1</f>
        <v>1</v>
      </c>
      <c r="L1089" s="6" t="s">
        <v>242</v>
      </c>
      <c r="M1089" s="5" t="s">
        <v>267</v>
      </c>
      <c r="N1089" s="5" t="s">
        <v>265</v>
      </c>
      <c r="O1089" s="5" t="s">
        <v>238</v>
      </c>
      <c r="P1089" s="5" t="s">
        <v>238</v>
      </c>
      <c r="Q1089" s="5" t="s">
        <v>268</v>
      </c>
      <c r="R1089" s="5" t="s">
        <v>270</v>
      </c>
      <c r="S1089" s="5" t="s">
        <v>238</v>
      </c>
      <c r="V1089" s="5" t="s">
        <v>238</v>
      </c>
      <c r="X1089" s="6" t="s">
        <v>238</v>
      </c>
      <c r="AA1089" s="6" t="s">
        <v>243</v>
      </c>
      <c r="AB1089" s="5" t="s">
        <v>238</v>
      </c>
      <c r="AC1089" s="5" t="s">
        <v>244</v>
      </c>
      <c r="AD1089" s="5" t="s">
        <v>245</v>
      </c>
      <c r="AT1089" s="5" t="s">
        <v>246</v>
      </c>
      <c r="AU1089" s="5" t="s">
        <v>238</v>
      </c>
      <c r="AV1089" s="5" t="s">
        <v>247</v>
      </c>
      <c r="AW1089" s="5" t="s">
        <v>238</v>
      </c>
      <c r="AX1089" s="5" t="s">
        <v>249</v>
      </c>
      <c r="AY1089" s="5" t="s">
        <v>238</v>
      </c>
      <c r="BA1089" s="5" t="s">
        <v>238</v>
      </c>
      <c r="BC1089" s="5" t="s">
        <v>250</v>
      </c>
      <c r="BD1089" s="6" t="s">
        <v>243</v>
      </c>
      <c r="BE1089" s="5" t="s">
        <v>251</v>
      </c>
      <c r="BF1089" s="5" t="s">
        <v>252</v>
      </c>
      <c r="BG1089" s="5" t="s">
        <v>238</v>
      </c>
      <c r="BH1089" s="7">
        <f>0</f>
        <v>0</v>
      </c>
      <c r="BI1089" s="8">
        <f>0</f>
        <v>0</v>
      </c>
      <c r="BJ1089" s="5" t="s">
        <v>253</v>
      </c>
      <c r="BK1089" s="5" t="s">
        <v>254</v>
      </c>
      <c r="BY1089" s="5" t="s">
        <v>238</v>
      </c>
      <c r="BZ1089" s="5" t="s">
        <v>238</v>
      </c>
      <c r="CD1089" s="5" t="s">
        <v>273</v>
      </c>
      <c r="CE1089" s="5" t="s">
        <v>256</v>
      </c>
      <c r="CF1089" s="5" t="s">
        <v>238</v>
      </c>
      <c r="CI1089" s="6" t="s">
        <v>257</v>
      </c>
      <c r="CJ1089" s="5" t="s">
        <v>238</v>
      </c>
      <c r="CK1089" s="5" t="s">
        <v>258</v>
      </c>
      <c r="CL1089" s="5" t="s">
        <v>238</v>
      </c>
      <c r="CM1089" s="5" t="s">
        <v>238</v>
      </c>
      <c r="CN1089" s="5">
        <v>0</v>
      </c>
      <c r="CO1089" s="5" t="s">
        <v>259</v>
      </c>
      <c r="CP1089" s="5" t="s">
        <v>260</v>
      </c>
      <c r="CQ1089" s="5" t="s">
        <v>260</v>
      </c>
      <c r="CR1089" s="5" t="s">
        <v>261</v>
      </c>
      <c r="CU1089" s="8">
        <f>1</f>
        <v>1</v>
      </c>
      <c r="CV1089" s="8">
        <f>0</f>
        <v>0</v>
      </c>
      <c r="CX1089" s="8">
        <f>0</f>
        <v>0</v>
      </c>
      <c r="CY1089" s="8">
        <f>1</f>
        <v>1</v>
      </c>
      <c r="DA1089" s="5" t="s">
        <v>673</v>
      </c>
      <c r="DB1089" s="5" t="s">
        <v>238</v>
      </c>
      <c r="DD1089" s="5" t="s">
        <v>673</v>
      </c>
      <c r="DE1089" s="8">
        <f>3358</f>
        <v>3358</v>
      </c>
      <c r="DG1089" s="5" t="s">
        <v>238</v>
      </c>
      <c r="DH1089" s="5" t="s">
        <v>238</v>
      </c>
      <c r="DI1089" s="5" t="s">
        <v>238</v>
      </c>
      <c r="DJ1089" s="5" t="s">
        <v>238</v>
      </c>
      <c r="DN1089" s="5" t="s">
        <v>238</v>
      </c>
      <c r="DO1089" s="5" t="s">
        <v>238</v>
      </c>
      <c r="DP1089" s="5" t="s">
        <v>238</v>
      </c>
      <c r="DQ1089" s="5" t="s">
        <v>238</v>
      </c>
      <c r="DT1089" s="5" t="s">
        <v>2039</v>
      </c>
      <c r="DU1089" s="5" t="s">
        <v>3091</v>
      </c>
      <c r="HM1089" s="5" t="s">
        <v>264</v>
      </c>
    </row>
    <row r="1090" spans="1:221" x14ac:dyDescent="0.4">
      <c r="A1090" s="5">
        <v>2765</v>
      </c>
      <c r="B1090" s="5">
        <v>1</v>
      </c>
      <c r="C1090" s="5">
        <v>1</v>
      </c>
      <c r="D1090" s="5" t="s">
        <v>2037</v>
      </c>
      <c r="E1090" s="5" t="s">
        <v>271</v>
      </c>
      <c r="F1090" s="5" t="s">
        <v>248</v>
      </c>
      <c r="G1090" s="5" t="s">
        <v>1969</v>
      </c>
      <c r="H1090" s="6" t="s">
        <v>3088</v>
      </c>
      <c r="I1090" s="7">
        <f>825</f>
        <v>825</v>
      </c>
      <c r="J1090" s="5" t="s">
        <v>262</v>
      </c>
      <c r="K1090" s="8">
        <f>1</f>
        <v>1</v>
      </c>
      <c r="L1090" s="6" t="s">
        <v>242</v>
      </c>
      <c r="M1090" s="5" t="s">
        <v>267</v>
      </c>
      <c r="N1090" s="5" t="s">
        <v>265</v>
      </c>
      <c r="O1090" s="5" t="s">
        <v>238</v>
      </c>
      <c r="P1090" s="5" t="s">
        <v>238</v>
      </c>
      <c r="Q1090" s="5" t="s">
        <v>268</v>
      </c>
      <c r="R1090" s="5" t="s">
        <v>270</v>
      </c>
      <c r="S1090" s="5" t="s">
        <v>238</v>
      </c>
      <c r="V1090" s="5" t="s">
        <v>238</v>
      </c>
      <c r="X1090" s="6" t="s">
        <v>238</v>
      </c>
      <c r="AA1090" s="6" t="s">
        <v>243</v>
      </c>
      <c r="AB1090" s="5" t="s">
        <v>238</v>
      </c>
      <c r="AC1090" s="5" t="s">
        <v>244</v>
      </c>
      <c r="AD1090" s="5" t="s">
        <v>245</v>
      </c>
      <c r="AT1090" s="5" t="s">
        <v>246</v>
      </c>
      <c r="AU1090" s="5" t="s">
        <v>238</v>
      </c>
      <c r="AV1090" s="5" t="s">
        <v>247</v>
      </c>
      <c r="AW1090" s="5" t="s">
        <v>238</v>
      </c>
      <c r="AX1090" s="5" t="s">
        <v>249</v>
      </c>
      <c r="AY1090" s="5" t="s">
        <v>238</v>
      </c>
      <c r="BA1090" s="5" t="s">
        <v>238</v>
      </c>
      <c r="BC1090" s="5" t="s">
        <v>250</v>
      </c>
      <c r="BD1090" s="6" t="s">
        <v>243</v>
      </c>
      <c r="BE1090" s="5" t="s">
        <v>251</v>
      </c>
      <c r="BF1090" s="5" t="s">
        <v>252</v>
      </c>
      <c r="BG1090" s="5" t="s">
        <v>238</v>
      </c>
      <c r="BH1090" s="7">
        <f>0</f>
        <v>0</v>
      </c>
      <c r="BI1090" s="8">
        <f>0</f>
        <v>0</v>
      </c>
      <c r="BJ1090" s="5" t="s">
        <v>253</v>
      </c>
      <c r="BK1090" s="5" t="s">
        <v>254</v>
      </c>
      <c r="BY1090" s="5" t="s">
        <v>238</v>
      </c>
      <c r="BZ1090" s="5" t="s">
        <v>238</v>
      </c>
      <c r="CD1090" s="5" t="s">
        <v>273</v>
      </c>
      <c r="CE1090" s="5" t="s">
        <v>256</v>
      </c>
      <c r="CF1090" s="5" t="s">
        <v>238</v>
      </c>
      <c r="CI1090" s="6" t="s">
        <v>257</v>
      </c>
      <c r="CJ1090" s="5" t="s">
        <v>238</v>
      </c>
      <c r="CK1090" s="5" t="s">
        <v>258</v>
      </c>
      <c r="CL1090" s="5" t="s">
        <v>238</v>
      </c>
      <c r="CM1090" s="5" t="s">
        <v>238</v>
      </c>
      <c r="CN1090" s="5">
        <v>0</v>
      </c>
      <c r="CO1090" s="5" t="s">
        <v>259</v>
      </c>
      <c r="CP1090" s="5" t="s">
        <v>260</v>
      </c>
      <c r="CQ1090" s="5" t="s">
        <v>260</v>
      </c>
      <c r="CR1090" s="5" t="s">
        <v>261</v>
      </c>
      <c r="CU1090" s="8">
        <f>1</f>
        <v>1</v>
      </c>
      <c r="CV1090" s="8">
        <f>0</f>
        <v>0</v>
      </c>
      <c r="CX1090" s="8">
        <f>0</f>
        <v>0</v>
      </c>
      <c r="CY1090" s="8">
        <f>1</f>
        <v>1</v>
      </c>
      <c r="DA1090" s="5" t="s">
        <v>673</v>
      </c>
      <c r="DB1090" s="5" t="s">
        <v>238</v>
      </c>
      <c r="DD1090" s="5" t="s">
        <v>673</v>
      </c>
      <c r="DE1090" s="8">
        <f>825</f>
        <v>825</v>
      </c>
      <c r="DG1090" s="5" t="s">
        <v>238</v>
      </c>
      <c r="DH1090" s="5" t="s">
        <v>238</v>
      </c>
      <c r="DI1090" s="5" t="s">
        <v>238</v>
      </c>
      <c r="DJ1090" s="5" t="s">
        <v>238</v>
      </c>
      <c r="DN1090" s="5" t="s">
        <v>238</v>
      </c>
      <c r="DO1090" s="5" t="s">
        <v>238</v>
      </c>
      <c r="DP1090" s="5" t="s">
        <v>238</v>
      </c>
      <c r="DQ1090" s="5" t="s">
        <v>238</v>
      </c>
      <c r="DT1090" s="5" t="s">
        <v>2039</v>
      </c>
      <c r="DU1090" s="5" t="s">
        <v>3089</v>
      </c>
      <c r="HM1090" s="5" t="s">
        <v>264</v>
      </c>
    </row>
    <row r="1091" spans="1:221" x14ac:dyDescent="0.4">
      <c r="A1091" s="5">
        <v>2766</v>
      </c>
      <c r="B1091" s="5">
        <v>1</v>
      </c>
      <c r="C1091" s="5">
        <v>1</v>
      </c>
      <c r="D1091" s="5" t="s">
        <v>2037</v>
      </c>
      <c r="E1091" s="5" t="s">
        <v>271</v>
      </c>
      <c r="F1091" s="5" t="s">
        <v>248</v>
      </c>
      <c r="G1091" s="5" t="s">
        <v>1969</v>
      </c>
      <c r="H1091" s="6" t="s">
        <v>3086</v>
      </c>
      <c r="I1091" s="7">
        <f>926</f>
        <v>926</v>
      </c>
      <c r="J1091" s="5" t="s">
        <v>262</v>
      </c>
      <c r="K1091" s="8">
        <f>1</f>
        <v>1</v>
      </c>
      <c r="L1091" s="6" t="s">
        <v>242</v>
      </c>
      <c r="M1091" s="5" t="s">
        <v>267</v>
      </c>
      <c r="N1091" s="5" t="s">
        <v>265</v>
      </c>
      <c r="O1091" s="5" t="s">
        <v>238</v>
      </c>
      <c r="P1091" s="5" t="s">
        <v>238</v>
      </c>
      <c r="Q1091" s="5" t="s">
        <v>268</v>
      </c>
      <c r="R1091" s="5" t="s">
        <v>270</v>
      </c>
      <c r="S1091" s="5" t="s">
        <v>238</v>
      </c>
      <c r="V1091" s="5" t="s">
        <v>238</v>
      </c>
      <c r="X1091" s="6" t="s">
        <v>238</v>
      </c>
      <c r="AA1091" s="6" t="s">
        <v>243</v>
      </c>
      <c r="AB1091" s="5" t="s">
        <v>238</v>
      </c>
      <c r="AC1091" s="5" t="s">
        <v>244</v>
      </c>
      <c r="AD1091" s="5" t="s">
        <v>245</v>
      </c>
      <c r="AT1091" s="5" t="s">
        <v>246</v>
      </c>
      <c r="AU1091" s="5" t="s">
        <v>238</v>
      </c>
      <c r="AV1091" s="5" t="s">
        <v>247</v>
      </c>
      <c r="AW1091" s="5" t="s">
        <v>238</v>
      </c>
      <c r="AX1091" s="5" t="s">
        <v>249</v>
      </c>
      <c r="AY1091" s="5" t="s">
        <v>238</v>
      </c>
      <c r="BA1091" s="5" t="s">
        <v>238</v>
      </c>
      <c r="BC1091" s="5" t="s">
        <v>250</v>
      </c>
      <c r="BD1091" s="6" t="s">
        <v>243</v>
      </c>
      <c r="BE1091" s="5" t="s">
        <v>251</v>
      </c>
      <c r="BF1091" s="5" t="s">
        <v>252</v>
      </c>
      <c r="BG1091" s="5" t="s">
        <v>238</v>
      </c>
      <c r="BH1091" s="7">
        <f>0</f>
        <v>0</v>
      </c>
      <c r="BI1091" s="8">
        <f>0</f>
        <v>0</v>
      </c>
      <c r="BJ1091" s="5" t="s">
        <v>253</v>
      </c>
      <c r="BK1091" s="5" t="s">
        <v>254</v>
      </c>
      <c r="BY1091" s="5" t="s">
        <v>238</v>
      </c>
      <c r="BZ1091" s="5" t="s">
        <v>238</v>
      </c>
      <c r="CD1091" s="5" t="s">
        <v>273</v>
      </c>
      <c r="CE1091" s="5" t="s">
        <v>256</v>
      </c>
      <c r="CF1091" s="5" t="s">
        <v>238</v>
      </c>
      <c r="CI1091" s="6" t="s">
        <v>257</v>
      </c>
      <c r="CJ1091" s="5" t="s">
        <v>238</v>
      </c>
      <c r="CK1091" s="5" t="s">
        <v>258</v>
      </c>
      <c r="CL1091" s="5" t="s">
        <v>238</v>
      </c>
      <c r="CM1091" s="5" t="s">
        <v>238</v>
      </c>
      <c r="CN1091" s="5">
        <v>0</v>
      </c>
      <c r="CO1091" s="5" t="s">
        <v>259</v>
      </c>
      <c r="CP1091" s="5" t="s">
        <v>260</v>
      </c>
      <c r="CQ1091" s="5" t="s">
        <v>260</v>
      </c>
      <c r="CR1091" s="5" t="s">
        <v>261</v>
      </c>
      <c r="CU1091" s="8">
        <f>1</f>
        <v>1</v>
      </c>
      <c r="CV1091" s="8">
        <f>0</f>
        <v>0</v>
      </c>
      <c r="CX1091" s="8">
        <f>0</f>
        <v>0</v>
      </c>
      <c r="CY1091" s="8">
        <f>1</f>
        <v>1</v>
      </c>
      <c r="DA1091" s="5" t="s">
        <v>673</v>
      </c>
      <c r="DB1091" s="5" t="s">
        <v>238</v>
      </c>
      <c r="DD1091" s="5" t="s">
        <v>673</v>
      </c>
      <c r="DE1091" s="8">
        <f>926</f>
        <v>926</v>
      </c>
      <c r="DG1091" s="5" t="s">
        <v>238</v>
      </c>
      <c r="DH1091" s="5" t="s">
        <v>238</v>
      </c>
      <c r="DI1091" s="5" t="s">
        <v>238</v>
      </c>
      <c r="DJ1091" s="5" t="s">
        <v>238</v>
      </c>
      <c r="DN1091" s="5" t="s">
        <v>238</v>
      </c>
      <c r="DO1091" s="5" t="s">
        <v>238</v>
      </c>
      <c r="DP1091" s="5" t="s">
        <v>238</v>
      </c>
      <c r="DQ1091" s="5" t="s">
        <v>238</v>
      </c>
      <c r="DT1091" s="5" t="s">
        <v>2039</v>
      </c>
      <c r="DU1091" s="5" t="s">
        <v>3087</v>
      </c>
      <c r="HM1091" s="5" t="s">
        <v>264</v>
      </c>
    </row>
    <row r="1092" spans="1:221" x14ac:dyDescent="0.4">
      <c r="A1092" s="5">
        <v>2767</v>
      </c>
      <c r="B1092" s="5">
        <v>1</v>
      </c>
      <c r="C1092" s="5">
        <v>1</v>
      </c>
      <c r="D1092" s="5" t="s">
        <v>2037</v>
      </c>
      <c r="E1092" s="5" t="s">
        <v>271</v>
      </c>
      <c r="F1092" s="5" t="s">
        <v>248</v>
      </c>
      <c r="G1092" s="5" t="s">
        <v>1969</v>
      </c>
      <c r="H1092" s="6" t="s">
        <v>3084</v>
      </c>
      <c r="I1092" s="7">
        <f>1982</f>
        <v>1982</v>
      </c>
      <c r="J1092" s="5" t="s">
        <v>262</v>
      </c>
      <c r="K1092" s="8">
        <f>1</f>
        <v>1</v>
      </c>
      <c r="L1092" s="6" t="s">
        <v>242</v>
      </c>
      <c r="M1092" s="5" t="s">
        <v>267</v>
      </c>
      <c r="N1092" s="5" t="s">
        <v>265</v>
      </c>
      <c r="O1092" s="5" t="s">
        <v>238</v>
      </c>
      <c r="P1092" s="5" t="s">
        <v>238</v>
      </c>
      <c r="Q1092" s="5" t="s">
        <v>268</v>
      </c>
      <c r="R1092" s="5" t="s">
        <v>270</v>
      </c>
      <c r="S1092" s="5" t="s">
        <v>238</v>
      </c>
      <c r="V1092" s="5" t="s">
        <v>238</v>
      </c>
      <c r="X1092" s="6" t="s">
        <v>238</v>
      </c>
      <c r="AA1092" s="6" t="s">
        <v>243</v>
      </c>
      <c r="AB1092" s="5" t="s">
        <v>238</v>
      </c>
      <c r="AC1092" s="5" t="s">
        <v>244</v>
      </c>
      <c r="AD1092" s="5" t="s">
        <v>245</v>
      </c>
      <c r="AT1092" s="5" t="s">
        <v>246</v>
      </c>
      <c r="AU1092" s="5" t="s">
        <v>238</v>
      </c>
      <c r="AV1092" s="5" t="s">
        <v>247</v>
      </c>
      <c r="AW1092" s="5" t="s">
        <v>238</v>
      </c>
      <c r="AX1092" s="5" t="s">
        <v>249</v>
      </c>
      <c r="AY1092" s="5" t="s">
        <v>238</v>
      </c>
      <c r="BA1092" s="5" t="s">
        <v>238</v>
      </c>
      <c r="BC1092" s="5" t="s">
        <v>250</v>
      </c>
      <c r="BD1092" s="6" t="s">
        <v>243</v>
      </c>
      <c r="BE1092" s="5" t="s">
        <v>251</v>
      </c>
      <c r="BF1092" s="5" t="s">
        <v>252</v>
      </c>
      <c r="BG1092" s="5" t="s">
        <v>238</v>
      </c>
      <c r="BH1092" s="7">
        <f>0</f>
        <v>0</v>
      </c>
      <c r="BI1092" s="8">
        <f>0</f>
        <v>0</v>
      </c>
      <c r="BJ1092" s="5" t="s">
        <v>253</v>
      </c>
      <c r="BK1092" s="5" t="s">
        <v>254</v>
      </c>
      <c r="BY1092" s="5" t="s">
        <v>238</v>
      </c>
      <c r="BZ1092" s="5" t="s">
        <v>238</v>
      </c>
      <c r="CD1092" s="5" t="s">
        <v>273</v>
      </c>
      <c r="CE1092" s="5" t="s">
        <v>256</v>
      </c>
      <c r="CF1092" s="5" t="s">
        <v>238</v>
      </c>
      <c r="CI1092" s="6" t="s">
        <v>257</v>
      </c>
      <c r="CJ1092" s="5" t="s">
        <v>238</v>
      </c>
      <c r="CK1092" s="5" t="s">
        <v>258</v>
      </c>
      <c r="CL1092" s="5" t="s">
        <v>238</v>
      </c>
      <c r="CM1092" s="5" t="s">
        <v>238</v>
      </c>
      <c r="CN1092" s="5">
        <v>0</v>
      </c>
      <c r="CO1092" s="5" t="s">
        <v>259</v>
      </c>
      <c r="CP1092" s="5" t="s">
        <v>260</v>
      </c>
      <c r="CQ1092" s="5" t="s">
        <v>260</v>
      </c>
      <c r="CR1092" s="5" t="s">
        <v>261</v>
      </c>
      <c r="CU1092" s="8">
        <f>1</f>
        <v>1</v>
      </c>
      <c r="CV1092" s="8">
        <f>0</f>
        <v>0</v>
      </c>
      <c r="CX1092" s="8">
        <f>0</f>
        <v>0</v>
      </c>
      <c r="CY1092" s="8">
        <f>1</f>
        <v>1</v>
      </c>
      <c r="DA1092" s="5" t="s">
        <v>673</v>
      </c>
      <c r="DB1092" s="5" t="s">
        <v>238</v>
      </c>
      <c r="DD1092" s="5" t="s">
        <v>673</v>
      </c>
      <c r="DE1092" s="8">
        <f>1982</f>
        <v>1982</v>
      </c>
      <c r="DG1092" s="5" t="s">
        <v>238</v>
      </c>
      <c r="DH1092" s="5" t="s">
        <v>238</v>
      </c>
      <c r="DI1092" s="5" t="s">
        <v>238</v>
      </c>
      <c r="DJ1092" s="5" t="s">
        <v>238</v>
      </c>
      <c r="DN1092" s="5" t="s">
        <v>238</v>
      </c>
      <c r="DO1092" s="5" t="s">
        <v>238</v>
      </c>
      <c r="DP1092" s="5" t="s">
        <v>238</v>
      </c>
      <c r="DQ1092" s="5" t="s">
        <v>238</v>
      </c>
      <c r="DT1092" s="5" t="s">
        <v>2039</v>
      </c>
      <c r="DU1092" s="5" t="s">
        <v>3085</v>
      </c>
      <c r="HM1092" s="5" t="s">
        <v>264</v>
      </c>
    </row>
    <row r="1093" spans="1:221" x14ac:dyDescent="0.4">
      <c r="A1093" s="5">
        <v>2768</v>
      </c>
      <c r="B1093" s="5">
        <v>1</v>
      </c>
      <c r="C1093" s="5">
        <v>1</v>
      </c>
      <c r="D1093" s="5" t="s">
        <v>2037</v>
      </c>
      <c r="E1093" s="5" t="s">
        <v>271</v>
      </c>
      <c r="F1093" s="5" t="s">
        <v>248</v>
      </c>
      <c r="G1093" s="5" t="s">
        <v>1969</v>
      </c>
      <c r="H1093" s="6" t="s">
        <v>3080</v>
      </c>
      <c r="I1093" s="7">
        <f>6199</f>
        <v>6199</v>
      </c>
      <c r="J1093" s="5" t="s">
        <v>262</v>
      </c>
      <c r="K1093" s="8">
        <f>1</f>
        <v>1</v>
      </c>
      <c r="L1093" s="6" t="s">
        <v>242</v>
      </c>
      <c r="M1093" s="5" t="s">
        <v>267</v>
      </c>
      <c r="N1093" s="5" t="s">
        <v>265</v>
      </c>
      <c r="O1093" s="5" t="s">
        <v>238</v>
      </c>
      <c r="P1093" s="5" t="s">
        <v>238</v>
      </c>
      <c r="Q1093" s="5" t="s">
        <v>268</v>
      </c>
      <c r="R1093" s="5" t="s">
        <v>270</v>
      </c>
      <c r="S1093" s="5" t="s">
        <v>238</v>
      </c>
      <c r="V1093" s="5" t="s">
        <v>238</v>
      </c>
      <c r="X1093" s="6" t="s">
        <v>238</v>
      </c>
      <c r="AA1093" s="6" t="s">
        <v>243</v>
      </c>
      <c r="AB1093" s="5" t="s">
        <v>238</v>
      </c>
      <c r="AC1093" s="5" t="s">
        <v>244</v>
      </c>
      <c r="AD1093" s="5" t="s">
        <v>245</v>
      </c>
      <c r="AT1093" s="5" t="s">
        <v>246</v>
      </c>
      <c r="AU1093" s="5" t="s">
        <v>238</v>
      </c>
      <c r="AV1093" s="5" t="s">
        <v>247</v>
      </c>
      <c r="AW1093" s="5" t="s">
        <v>238</v>
      </c>
      <c r="AX1093" s="5" t="s">
        <v>249</v>
      </c>
      <c r="AY1093" s="5" t="s">
        <v>238</v>
      </c>
      <c r="BA1093" s="5" t="s">
        <v>238</v>
      </c>
      <c r="BC1093" s="5" t="s">
        <v>250</v>
      </c>
      <c r="BD1093" s="6" t="s">
        <v>243</v>
      </c>
      <c r="BE1093" s="5" t="s">
        <v>251</v>
      </c>
      <c r="BF1093" s="5" t="s">
        <v>252</v>
      </c>
      <c r="BG1093" s="5" t="s">
        <v>238</v>
      </c>
      <c r="BH1093" s="7">
        <f>0</f>
        <v>0</v>
      </c>
      <c r="BI1093" s="8">
        <f>0</f>
        <v>0</v>
      </c>
      <c r="BJ1093" s="5" t="s">
        <v>253</v>
      </c>
      <c r="BK1093" s="5" t="s">
        <v>254</v>
      </c>
      <c r="BY1093" s="5" t="s">
        <v>238</v>
      </c>
      <c r="BZ1093" s="5" t="s">
        <v>238</v>
      </c>
      <c r="CD1093" s="5" t="s">
        <v>273</v>
      </c>
      <c r="CE1093" s="5" t="s">
        <v>256</v>
      </c>
      <c r="CF1093" s="5" t="s">
        <v>238</v>
      </c>
      <c r="CI1093" s="6" t="s">
        <v>257</v>
      </c>
      <c r="CJ1093" s="5" t="s">
        <v>238</v>
      </c>
      <c r="CK1093" s="5" t="s">
        <v>258</v>
      </c>
      <c r="CL1093" s="5" t="s">
        <v>238</v>
      </c>
      <c r="CM1093" s="5" t="s">
        <v>238</v>
      </c>
      <c r="CN1093" s="5">
        <v>0</v>
      </c>
      <c r="CO1093" s="5" t="s">
        <v>259</v>
      </c>
      <c r="CP1093" s="5" t="s">
        <v>260</v>
      </c>
      <c r="CQ1093" s="5" t="s">
        <v>260</v>
      </c>
      <c r="CR1093" s="5" t="s">
        <v>261</v>
      </c>
      <c r="CU1093" s="8">
        <f>1</f>
        <v>1</v>
      </c>
      <c r="CV1093" s="8">
        <f>0</f>
        <v>0</v>
      </c>
      <c r="CX1093" s="8">
        <f>0</f>
        <v>0</v>
      </c>
      <c r="CY1093" s="8">
        <f>1</f>
        <v>1</v>
      </c>
      <c r="DA1093" s="5" t="s">
        <v>673</v>
      </c>
      <c r="DB1093" s="5" t="s">
        <v>238</v>
      </c>
      <c r="DD1093" s="5" t="s">
        <v>673</v>
      </c>
      <c r="DE1093" s="8">
        <f>6199</f>
        <v>6199</v>
      </c>
      <c r="DG1093" s="5" t="s">
        <v>238</v>
      </c>
      <c r="DH1093" s="5" t="s">
        <v>238</v>
      </c>
      <c r="DI1093" s="5" t="s">
        <v>238</v>
      </c>
      <c r="DJ1093" s="5" t="s">
        <v>238</v>
      </c>
      <c r="DN1093" s="5" t="s">
        <v>238</v>
      </c>
      <c r="DO1093" s="5" t="s">
        <v>238</v>
      </c>
      <c r="DP1093" s="5" t="s">
        <v>238</v>
      </c>
      <c r="DQ1093" s="5" t="s">
        <v>238</v>
      </c>
      <c r="DT1093" s="5" t="s">
        <v>2039</v>
      </c>
      <c r="DU1093" s="5" t="s">
        <v>3081</v>
      </c>
      <c r="HM1093" s="5" t="s">
        <v>264</v>
      </c>
    </row>
    <row r="1094" spans="1:221" x14ac:dyDescent="0.4">
      <c r="A1094" s="5">
        <v>2769</v>
      </c>
      <c r="B1094" s="5">
        <v>1</v>
      </c>
      <c r="C1094" s="5">
        <v>1</v>
      </c>
      <c r="D1094" s="5" t="s">
        <v>2037</v>
      </c>
      <c r="E1094" s="5" t="s">
        <v>271</v>
      </c>
      <c r="F1094" s="5" t="s">
        <v>248</v>
      </c>
      <c r="G1094" s="5" t="s">
        <v>1969</v>
      </c>
      <c r="H1094" s="6" t="s">
        <v>3078</v>
      </c>
      <c r="I1094" s="7">
        <f>2967</f>
        <v>2967</v>
      </c>
      <c r="J1094" s="5" t="s">
        <v>262</v>
      </c>
      <c r="K1094" s="8">
        <f>1</f>
        <v>1</v>
      </c>
      <c r="L1094" s="6" t="s">
        <v>242</v>
      </c>
      <c r="M1094" s="5" t="s">
        <v>267</v>
      </c>
      <c r="N1094" s="5" t="s">
        <v>265</v>
      </c>
      <c r="O1094" s="5" t="s">
        <v>238</v>
      </c>
      <c r="P1094" s="5" t="s">
        <v>238</v>
      </c>
      <c r="Q1094" s="5" t="s">
        <v>268</v>
      </c>
      <c r="R1094" s="5" t="s">
        <v>270</v>
      </c>
      <c r="S1094" s="5" t="s">
        <v>238</v>
      </c>
      <c r="V1094" s="5" t="s">
        <v>238</v>
      </c>
      <c r="X1094" s="6" t="s">
        <v>238</v>
      </c>
      <c r="AA1094" s="6" t="s">
        <v>243</v>
      </c>
      <c r="AB1094" s="5" t="s">
        <v>238</v>
      </c>
      <c r="AC1094" s="5" t="s">
        <v>244</v>
      </c>
      <c r="AD1094" s="5" t="s">
        <v>245</v>
      </c>
      <c r="AT1094" s="5" t="s">
        <v>246</v>
      </c>
      <c r="AU1094" s="5" t="s">
        <v>238</v>
      </c>
      <c r="AV1094" s="5" t="s">
        <v>247</v>
      </c>
      <c r="AW1094" s="5" t="s">
        <v>238</v>
      </c>
      <c r="AX1094" s="5" t="s">
        <v>249</v>
      </c>
      <c r="AY1094" s="5" t="s">
        <v>238</v>
      </c>
      <c r="BA1094" s="5" t="s">
        <v>238</v>
      </c>
      <c r="BC1094" s="5" t="s">
        <v>250</v>
      </c>
      <c r="BD1094" s="6" t="s">
        <v>243</v>
      </c>
      <c r="BE1094" s="5" t="s">
        <v>251</v>
      </c>
      <c r="BF1094" s="5" t="s">
        <v>252</v>
      </c>
      <c r="BG1094" s="5" t="s">
        <v>238</v>
      </c>
      <c r="BH1094" s="7">
        <f>0</f>
        <v>0</v>
      </c>
      <c r="BI1094" s="8">
        <f>0</f>
        <v>0</v>
      </c>
      <c r="BJ1094" s="5" t="s">
        <v>253</v>
      </c>
      <c r="BK1094" s="5" t="s">
        <v>254</v>
      </c>
      <c r="BY1094" s="5" t="s">
        <v>238</v>
      </c>
      <c r="BZ1094" s="5" t="s">
        <v>238</v>
      </c>
      <c r="CD1094" s="5" t="s">
        <v>273</v>
      </c>
      <c r="CE1094" s="5" t="s">
        <v>256</v>
      </c>
      <c r="CF1094" s="5" t="s">
        <v>238</v>
      </c>
      <c r="CI1094" s="6" t="s">
        <v>257</v>
      </c>
      <c r="CJ1094" s="5" t="s">
        <v>238</v>
      </c>
      <c r="CK1094" s="5" t="s">
        <v>258</v>
      </c>
      <c r="CL1094" s="5" t="s">
        <v>238</v>
      </c>
      <c r="CM1094" s="5" t="s">
        <v>238</v>
      </c>
      <c r="CN1094" s="5">
        <v>0</v>
      </c>
      <c r="CO1094" s="5" t="s">
        <v>259</v>
      </c>
      <c r="CP1094" s="5" t="s">
        <v>260</v>
      </c>
      <c r="CQ1094" s="5" t="s">
        <v>260</v>
      </c>
      <c r="CR1094" s="5" t="s">
        <v>261</v>
      </c>
      <c r="CU1094" s="8">
        <f>1</f>
        <v>1</v>
      </c>
      <c r="CV1094" s="8">
        <f>0</f>
        <v>0</v>
      </c>
      <c r="CX1094" s="8">
        <f>0</f>
        <v>0</v>
      </c>
      <c r="CY1094" s="8">
        <f>1</f>
        <v>1</v>
      </c>
      <c r="DA1094" s="5" t="s">
        <v>673</v>
      </c>
      <c r="DB1094" s="5" t="s">
        <v>238</v>
      </c>
      <c r="DD1094" s="5" t="s">
        <v>673</v>
      </c>
      <c r="DE1094" s="8">
        <f>2967</f>
        <v>2967</v>
      </c>
      <c r="DG1094" s="5" t="s">
        <v>238</v>
      </c>
      <c r="DH1094" s="5" t="s">
        <v>238</v>
      </c>
      <c r="DI1094" s="5" t="s">
        <v>238</v>
      </c>
      <c r="DJ1094" s="5" t="s">
        <v>238</v>
      </c>
      <c r="DN1094" s="5" t="s">
        <v>238</v>
      </c>
      <c r="DO1094" s="5" t="s">
        <v>238</v>
      </c>
      <c r="DP1094" s="5" t="s">
        <v>238</v>
      </c>
      <c r="DQ1094" s="5" t="s">
        <v>238</v>
      </c>
      <c r="DT1094" s="5" t="s">
        <v>2039</v>
      </c>
      <c r="DU1094" s="5" t="s">
        <v>3079</v>
      </c>
      <c r="HM1094" s="5" t="s">
        <v>264</v>
      </c>
    </row>
    <row r="1095" spans="1:221" x14ac:dyDescent="0.4">
      <c r="A1095" s="5">
        <v>2770</v>
      </c>
      <c r="B1095" s="5">
        <v>1</v>
      </c>
      <c r="C1095" s="5">
        <v>1</v>
      </c>
      <c r="D1095" s="5" t="s">
        <v>2037</v>
      </c>
      <c r="E1095" s="5" t="s">
        <v>271</v>
      </c>
      <c r="F1095" s="5" t="s">
        <v>248</v>
      </c>
      <c r="G1095" s="5" t="s">
        <v>1969</v>
      </c>
      <c r="H1095" s="6" t="s">
        <v>3076</v>
      </c>
      <c r="I1095" s="7">
        <f>1560</f>
        <v>1560</v>
      </c>
      <c r="J1095" s="5" t="s">
        <v>262</v>
      </c>
      <c r="K1095" s="8">
        <f>1</f>
        <v>1</v>
      </c>
      <c r="L1095" s="6" t="s">
        <v>242</v>
      </c>
      <c r="M1095" s="5" t="s">
        <v>267</v>
      </c>
      <c r="N1095" s="5" t="s">
        <v>265</v>
      </c>
      <c r="O1095" s="5" t="s">
        <v>238</v>
      </c>
      <c r="P1095" s="5" t="s">
        <v>238</v>
      </c>
      <c r="Q1095" s="5" t="s">
        <v>268</v>
      </c>
      <c r="R1095" s="5" t="s">
        <v>270</v>
      </c>
      <c r="S1095" s="5" t="s">
        <v>238</v>
      </c>
      <c r="V1095" s="5" t="s">
        <v>238</v>
      </c>
      <c r="X1095" s="6" t="s">
        <v>238</v>
      </c>
      <c r="AA1095" s="6" t="s">
        <v>243</v>
      </c>
      <c r="AB1095" s="5" t="s">
        <v>238</v>
      </c>
      <c r="AC1095" s="5" t="s">
        <v>244</v>
      </c>
      <c r="AD1095" s="5" t="s">
        <v>245</v>
      </c>
      <c r="AT1095" s="5" t="s">
        <v>246</v>
      </c>
      <c r="AU1095" s="5" t="s">
        <v>238</v>
      </c>
      <c r="AV1095" s="5" t="s">
        <v>247</v>
      </c>
      <c r="AW1095" s="5" t="s">
        <v>238</v>
      </c>
      <c r="AX1095" s="5" t="s">
        <v>249</v>
      </c>
      <c r="AY1095" s="5" t="s">
        <v>238</v>
      </c>
      <c r="BA1095" s="5" t="s">
        <v>238</v>
      </c>
      <c r="BC1095" s="5" t="s">
        <v>250</v>
      </c>
      <c r="BD1095" s="6" t="s">
        <v>243</v>
      </c>
      <c r="BE1095" s="5" t="s">
        <v>251</v>
      </c>
      <c r="BF1095" s="5" t="s">
        <v>252</v>
      </c>
      <c r="BG1095" s="5" t="s">
        <v>238</v>
      </c>
      <c r="BH1095" s="7">
        <f>0</f>
        <v>0</v>
      </c>
      <c r="BI1095" s="8">
        <f>0</f>
        <v>0</v>
      </c>
      <c r="BJ1095" s="5" t="s">
        <v>253</v>
      </c>
      <c r="BK1095" s="5" t="s">
        <v>254</v>
      </c>
      <c r="BY1095" s="5" t="s">
        <v>238</v>
      </c>
      <c r="BZ1095" s="5" t="s">
        <v>238</v>
      </c>
      <c r="CD1095" s="5" t="s">
        <v>273</v>
      </c>
      <c r="CE1095" s="5" t="s">
        <v>256</v>
      </c>
      <c r="CF1095" s="5" t="s">
        <v>238</v>
      </c>
      <c r="CI1095" s="6" t="s">
        <v>257</v>
      </c>
      <c r="CJ1095" s="5" t="s">
        <v>238</v>
      </c>
      <c r="CK1095" s="5" t="s">
        <v>258</v>
      </c>
      <c r="CL1095" s="5" t="s">
        <v>238</v>
      </c>
      <c r="CM1095" s="5" t="s">
        <v>238</v>
      </c>
      <c r="CN1095" s="5">
        <v>0</v>
      </c>
      <c r="CO1095" s="5" t="s">
        <v>259</v>
      </c>
      <c r="CP1095" s="5" t="s">
        <v>260</v>
      </c>
      <c r="CQ1095" s="5" t="s">
        <v>260</v>
      </c>
      <c r="CR1095" s="5" t="s">
        <v>261</v>
      </c>
      <c r="CU1095" s="8">
        <f>1</f>
        <v>1</v>
      </c>
      <c r="CV1095" s="8">
        <f>0</f>
        <v>0</v>
      </c>
      <c r="CX1095" s="8">
        <f>0</f>
        <v>0</v>
      </c>
      <c r="CY1095" s="8">
        <f>1</f>
        <v>1</v>
      </c>
      <c r="DA1095" s="5" t="s">
        <v>673</v>
      </c>
      <c r="DB1095" s="5" t="s">
        <v>238</v>
      </c>
      <c r="DD1095" s="5" t="s">
        <v>673</v>
      </c>
      <c r="DE1095" s="8">
        <f>1560</f>
        <v>1560</v>
      </c>
      <c r="DG1095" s="5" t="s">
        <v>238</v>
      </c>
      <c r="DH1095" s="5" t="s">
        <v>238</v>
      </c>
      <c r="DI1095" s="5" t="s">
        <v>238</v>
      </c>
      <c r="DJ1095" s="5" t="s">
        <v>238</v>
      </c>
      <c r="DN1095" s="5" t="s">
        <v>238</v>
      </c>
      <c r="DO1095" s="5" t="s">
        <v>238</v>
      </c>
      <c r="DP1095" s="5" t="s">
        <v>238</v>
      </c>
      <c r="DQ1095" s="5" t="s">
        <v>238</v>
      </c>
      <c r="DT1095" s="5" t="s">
        <v>2039</v>
      </c>
      <c r="DU1095" s="5" t="s">
        <v>3077</v>
      </c>
      <c r="HM1095" s="5" t="s">
        <v>264</v>
      </c>
    </row>
    <row r="1096" spans="1:221" x14ac:dyDescent="0.4">
      <c r="A1096" s="5">
        <v>2771</v>
      </c>
      <c r="B1096" s="5">
        <v>1</v>
      </c>
      <c r="C1096" s="5">
        <v>1</v>
      </c>
      <c r="D1096" s="5" t="s">
        <v>2037</v>
      </c>
      <c r="E1096" s="5" t="s">
        <v>271</v>
      </c>
      <c r="F1096" s="5" t="s">
        <v>248</v>
      </c>
      <c r="G1096" s="5" t="s">
        <v>1969</v>
      </c>
      <c r="H1096" s="6" t="s">
        <v>3074</v>
      </c>
      <c r="I1096" s="7">
        <f>6076</f>
        <v>6076</v>
      </c>
      <c r="J1096" s="5" t="s">
        <v>262</v>
      </c>
      <c r="K1096" s="8">
        <f>1</f>
        <v>1</v>
      </c>
      <c r="L1096" s="6" t="s">
        <v>242</v>
      </c>
      <c r="M1096" s="5" t="s">
        <v>267</v>
      </c>
      <c r="N1096" s="5" t="s">
        <v>265</v>
      </c>
      <c r="O1096" s="5" t="s">
        <v>238</v>
      </c>
      <c r="P1096" s="5" t="s">
        <v>238</v>
      </c>
      <c r="Q1096" s="5" t="s">
        <v>268</v>
      </c>
      <c r="R1096" s="5" t="s">
        <v>270</v>
      </c>
      <c r="S1096" s="5" t="s">
        <v>238</v>
      </c>
      <c r="V1096" s="5" t="s">
        <v>238</v>
      </c>
      <c r="X1096" s="6" t="s">
        <v>238</v>
      </c>
      <c r="AA1096" s="6" t="s">
        <v>243</v>
      </c>
      <c r="AB1096" s="5" t="s">
        <v>238</v>
      </c>
      <c r="AC1096" s="5" t="s">
        <v>244</v>
      </c>
      <c r="AD1096" s="5" t="s">
        <v>245</v>
      </c>
      <c r="AT1096" s="5" t="s">
        <v>246</v>
      </c>
      <c r="AU1096" s="5" t="s">
        <v>238</v>
      </c>
      <c r="AV1096" s="5" t="s">
        <v>247</v>
      </c>
      <c r="AW1096" s="5" t="s">
        <v>238</v>
      </c>
      <c r="AX1096" s="5" t="s">
        <v>249</v>
      </c>
      <c r="AY1096" s="5" t="s">
        <v>238</v>
      </c>
      <c r="BA1096" s="5" t="s">
        <v>238</v>
      </c>
      <c r="BC1096" s="5" t="s">
        <v>250</v>
      </c>
      <c r="BD1096" s="6" t="s">
        <v>243</v>
      </c>
      <c r="BE1096" s="5" t="s">
        <v>251</v>
      </c>
      <c r="BF1096" s="5" t="s">
        <v>252</v>
      </c>
      <c r="BG1096" s="5" t="s">
        <v>238</v>
      </c>
      <c r="BH1096" s="7">
        <f>0</f>
        <v>0</v>
      </c>
      <c r="BI1096" s="8">
        <f>0</f>
        <v>0</v>
      </c>
      <c r="BJ1096" s="5" t="s">
        <v>253</v>
      </c>
      <c r="BK1096" s="5" t="s">
        <v>254</v>
      </c>
      <c r="BY1096" s="5" t="s">
        <v>238</v>
      </c>
      <c r="BZ1096" s="5" t="s">
        <v>238</v>
      </c>
      <c r="CD1096" s="5" t="s">
        <v>273</v>
      </c>
      <c r="CE1096" s="5" t="s">
        <v>256</v>
      </c>
      <c r="CF1096" s="5" t="s">
        <v>238</v>
      </c>
      <c r="CI1096" s="6" t="s">
        <v>257</v>
      </c>
      <c r="CJ1096" s="5" t="s">
        <v>238</v>
      </c>
      <c r="CK1096" s="5" t="s">
        <v>258</v>
      </c>
      <c r="CL1096" s="5" t="s">
        <v>238</v>
      </c>
      <c r="CM1096" s="5" t="s">
        <v>238</v>
      </c>
      <c r="CN1096" s="5">
        <v>0</v>
      </c>
      <c r="CO1096" s="5" t="s">
        <v>259</v>
      </c>
      <c r="CP1096" s="5" t="s">
        <v>260</v>
      </c>
      <c r="CQ1096" s="5" t="s">
        <v>260</v>
      </c>
      <c r="CR1096" s="5" t="s">
        <v>261</v>
      </c>
      <c r="CU1096" s="8">
        <f>1</f>
        <v>1</v>
      </c>
      <c r="CV1096" s="8">
        <f>0</f>
        <v>0</v>
      </c>
      <c r="CX1096" s="8">
        <f>0</f>
        <v>0</v>
      </c>
      <c r="CY1096" s="8">
        <f>1</f>
        <v>1</v>
      </c>
      <c r="DA1096" s="5" t="s">
        <v>673</v>
      </c>
      <c r="DB1096" s="5" t="s">
        <v>238</v>
      </c>
      <c r="DD1096" s="5" t="s">
        <v>673</v>
      </c>
      <c r="DE1096" s="8">
        <f>6076</f>
        <v>6076</v>
      </c>
      <c r="DG1096" s="5" t="s">
        <v>238</v>
      </c>
      <c r="DH1096" s="5" t="s">
        <v>238</v>
      </c>
      <c r="DI1096" s="5" t="s">
        <v>238</v>
      </c>
      <c r="DJ1096" s="5" t="s">
        <v>238</v>
      </c>
      <c r="DN1096" s="5" t="s">
        <v>238</v>
      </c>
      <c r="DO1096" s="5" t="s">
        <v>238</v>
      </c>
      <c r="DP1096" s="5" t="s">
        <v>238</v>
      </c>
      <c r="DQ1096" s="5" t="s">
        <v>238</v>
      </c>
      <c r="DT1096" s="5" t="s">
        <v>2039</v>
      </c>
      <c r="DU1096" s="5" t="s">
        <v>3075</v>
      </c>
      <c r="HM1096" s="5" t="s">
        <v>264</v>
      </c>
    </row>
    <row r="1097" spans="1:221" x14ac:dyDescent="0.4">
      <c r="A1097" s="5">
        <v>2772</v>
      </c>
      <c r="B1097" s="5">
        <v>1</v>
      </c>
      <c r="C1097" s="5">
        <v>1</v>
      </c>
      <c r="D1097" s="5" t="s">
        <v>2037</v>
      </c>
      <c r="E1097" s="5" t="s">
        <v>271</v>
      </c>
      <c r="F1097" s="5" t="s">
        <v>248</v>
      </c>
      <c r="G1097" s="5" t="s">
        <v>1969</v>
      </c>
      <c r="H1097" s="6" t="s">
        <v>3071</v>
      </c>
      <c r="I1097" s="7">
        <f>3517</f>
        <v>3517</v>
      </c>
      <c r="J1097" s="5" t="s">
        <v>262</v>
      </c>
      <c r="K1097" s="8">
        <f>1</f>
        <v>1</v>
      </c>
      <c r="L1097" s="6" t="s">
        <v>242</v>
      </c>
      <c r="M1097" s="5" t="s">
        <v>267</v>
      </c>
      <c r="N1097" s="5" t="s">
        <v>265</v>
      </c>
      <c r="O1097" s="5" t="s">
        <v>238</v>
      </c>
      <c r="P1097" s="5" t="s">
        <v>238</v>
      </c>
      <c r="Q1097" s="5" t="s">
        <v>268</v>
      </c>
      <c r="R1097" s="5" t="s">
        <v>270</v>
      </c>
      <c r="S1097" s="5" t="s">
        <v>238</v>
      </c>
      <c r="V1097" s="5" t="s">
        <v>238</v>
      </c>
      <c r="X1097" s="6" t="s">
        <v>238</v>
      </c>
      <c r="AA1097" s="6" t="s">
        <v>243</v>
      </c>
      <c r="AB1097" s="5" t="s">
        <v>238</v>
      </c>
      <c r="AC1097" s="5" t="s">
        <v>244</v>
      </c>
      <c r="AD1097" s="5" t="s">
        <v>245</v>
      </c>
      <c r="AT1097" s="5" t="s">
        <v>246</v>
      </c>
      <c r="AU1097" s="5" t="s">
        <v>238</v>
      </c>
      <c r="AV1097" s="5" t="s">
        <v>247</v>
      </c>
      <c r="AW1097" s="5" t="s">
        <v>238</v>
      </c>
      <c r="AX1097" s="5" t="s">
        <v>249</v>
      </c>
      <c r="AY1097" s="5" t="s">
        <v>238</v>
      </c>
      <c r="BA1097" s="5" t="s">
        <v>238</v>
      </c>
      <c r="BC1097" s="5" t="s">
        <v>250</v>
      </c>
      <c r="BD1097" s="6" t="s">
        <v>243</v>
      </c>
      <c r="BE1097" s="5" t="s">
        <v>251</v>
      </c>
      <c r="BF1097" s="5" t="s">
        <v>252</v>
      </c>
      <c r="BG1097" s="5" t="s">
        <v>238</v>
      </c>
      <c r="BH1097" s="7">
        <f>0</f>
        <v>0</v>
      </c>
      <c r="BI1097" s="8">
        <f>0</f>
        <v>0</v>
      </c>
      <c r="BJ1097" s="5" t="s">
        <v>253</v>
      </c>
      <c r="BK1097" s="5" t="s">
        <v>254</v>
      </c>
      <c r="BY1097" s="5" t="s">
        <v>238</v>
      </c>
      <c r="BZ1097" s="5" t="s">
        <v>238</v>
      </c>
      <c r="CD1097" s="5" t="s">
        <v>273</v>
      </c>
      <c r="CE1097" s="5" t="s">
        <v>256</v>
      </c>
      <c r="CF1097" s="5" t="s">
        <v>238</v>
      </c>
      <c r="CI1097" s="6" t="s">
        <v>257</v>
      </c>
      <c r="CJ1097" s="5" t="s">
        <v>238</v>
      </c>
      <c r="CK1097" s="5" t="s">
        <v>258</v>
      </c>
      <c r="CL1097" s="5" t="s">
        <v>238</v>
      </c>
      <c r="CM1097" s="5" t="s">
        <v>238</v>
      </c>
      <c r="CN1097" s="5">
        <v>0</v>
      </c>
      <c r="CO1097" s="5" t="s">
        <v>259</v>
      </c>
      <c r="CP1097" s="5" t="s">
        <v>260</v>
      </c>
      <c r="CQ1097" s="5" t="s">
        <v>260</v>
      </c>
      <c r="CR1097" s="5" t="s">
        <v>261</v>
      </c>
      <c r="CU1097" s="8">
        <f>1</f>
        <v>1</v>
      </c>
      <c r="CV1097" s="8">
        <f>0</f>
        <v>0</v>
      </c>
      <c r="CX1097" s="8">
        <f>0</f>
        <v>0</v>
      </c>
      <c r="CY1097" s="8">
        <f>1</f>
        <v>1</v>
      </c>
      <c r="DA1097" s="5" t="s">
        <v>673</v>
      </c>
      <c r="DB1097" s="5" t="s">
        <v>238</v>
      </c>
      <c r="DD1097" s="5" t="s">
        <v>673</v>
      </c>
      <c r="DE1097" s="8">
        <f>3517</f>
        <v>3517</v>
      </c>
      <c r="DG1097" s="5" t="s">
        <v>238</v>
      </c>
      <c r="DH1097" s="5" t="s">
        <v>238</v>
      </c>
      <c r="DI1097" s="5" t="s">
        <v>238</v>
      </c>
      <c r="DJ1097" s="5" t="s">
        <v>238</v>
      </c>
      <c r="DN1097" s="5" t="s">
        <v>238</v>
      </c>
      <c r="DO1097" s="5" t="s">
        <v>238</v>
      </c>
      <c r="DP1097" s="5" t="s">
        <v>238</v>
      </c>
      <c r="DQ1097" s="5" t="s">
        <v>238</v>
      </c>
      <c r="DT1097" s="5" t="s">
        <v>2039</v>
      </c>
      <c r="DU1097" s="5" t="s">
        <v>3072</v>
      </c>
      <c r="HM1097" s="5" t="s">
        <v>264</v>
      </c>
    </row>
    <row r="1098" spans="1:221" x14ac:dyDescent="0.4">
      <c r="A1098" s="5">
        <v>2773</v>
      </c>
      <c r="B1098" s="5">
        <v>1</v>
      </c>
      <c r="C1098" s="5">
        <v>1</v>
      </c>
      <c r="D1098" s="5" t="s">
        <v>2037</v>
      </c>
      <c r="E1098" s="5" t="s">
        <v>271</v>
      </c>
      <c r="F1098" s="5" t="s">
        <v>248</v>
      </c>
      <c r="G1098" s="5" t="s">
        <v>1969</v>
      </c>
      <c r="H1098" s="6" t="s">
        <v>3069</v>
      </c>
      <c r="I1098" s="7">
        <f>1721</f>
        <v>1721</v>
      </c>
      <c r="J1098" s="5" t="s">
        <v>262</v>
      </c>
      <c r="K1098" s="8">
        <f>1</f>
        <v>1</v>
      </c>
      <c r="L1098" s="6" t="s">
        <v>242</v>
      </c>
      <c r="M1098" s="5" t="s">
        <v>267</v>
      </c>
      <c r="N1098" s="5" t="s">
        <v>265</v>
      </c>
      <c r="O1098" s="5" t="s">
        <v>238</v>
      </c>
      <c r="P1098" s="5" t="s">
        <v>238</v>
      </c>
      <c r="Q1098" s="5" t="s">
        <v>268</v>
      </c>
      <c r="R1098" s="5" t="s">
        <v>270</v>
      </c>
      <c r="S1098" s="5" t="s">
        <v>238</v>
      </c>
      <c r="V1098" s="5" t="s">
        <v>238</v>
      </c>
      <c r="X1098" s="6" t="s">
        <v>238</v>
      </c>
      <c r="AA1098" s="6" t="s">
        <v>243</v>
      </c>
      <c r="AB1098" s="5" t="s">
        <v>238</v>
      </c>
      <c r="AC1098" s="5" t="s">
        <v>244</v>
      </c>
      <c r="AD1098" s="5" t="s">
        <v>245</v>
      </c>
      <c r="AT1098" s="5" t="s">
        <v>246</v>
      </c>
      <c r="AU1098" s="5" t="s">
        <v>238</v>
      </c>
      <c r="AV1098" s="5" t="s">
        <v>247</v>
      </c>
      <c r="AW1098" s="5" t="s">
        <v>238</v>
      </c>
      <c r="AX1098" s="5" t="s">
        <v>249</v>
      </c>
      <c r="AY1098" s="5" t="s">
        <v>238</v>
      </c>
      <c r="BA1098" s="5" t="s">
        <v>238</v>
      </c>
      <c r="BC1098" s="5" t="s">
        <v>250</v>
      </c>
      <c r="BD1098" s="6" t="s">
        <v>243</v>
      </c>
      <c r="BE1098" s="5" t="s">
        <v>251</v>
      </c>
      <c r="BF1098" s="5" t="s">
        <v>252</v>
      </c>
      <c r="BG1098" s="5" t="s">
        <v>238</v>
      </c>
      <c r="BH1098" s="7">
        <f>0</f>
        <v>0</v>
      </c>
      <c r="BI1098" s="8">
        <f>0</f>
        <v>0</v>
      </c>
      <c r="BJ1098" s="5" t="s">
        <v>253</v>
      </c>
      <c r="BK1098" s="5" t="s">
        <v>254</v>
      </c>
      <c r="BY1098" s="5" t="s">
        <v>238</v>
      </c>
      <c r="BZ1098" s="5" t="s">
        <v>238</v>
      </c>
      <c r="CD1098" s="5" t="s">
        <v>273</v>
      </c>
      <c r="CE1098" s="5" t="s">
        <v>256</v>
      </c>
      <c r="CF1098" s="5" t="s">
        <v>238</v>
      </c>
      <c r="CI1098" s="6" t="s">
        <v>257</v>
      </c>
      <c r="CJ1098" s="5" t="s">
        <v>238</v>
      </c>
      <c r="CK1098" s="5" t="s">
        <v>258</v>
      </c>
      <c r="CL1098" s="5" t="s">
        <v>238</v>
      </c>
      <c r="CM1098" s="5" t="s">
        <v>238</v>
      </c>
      <c r="CN1098" s="5">
        <v>0</v>
      </c>
      <c r="CO1098" s="5" t="s">
        <v>259</v>
      </c>
      <c r="CP1098" s="5" t="s">
        <v>260</v>
      </c>
      <c r="CQ1098" s="5" t="s">
        <v>260</v>
      </c>
      <c r="CR1098" s="5" t="s">
        <v>261</v>
      </c>
      <c r="CU1098" s="8">
        <f>1</f>
        <v>1</v>
      </c>
      <c r="CV1098" s="8">
        <f>0</f>
        <v>0</v>
      </c>
      <c r="CX1098" s="8">
        <f>0</f>
        <v>0</v>
      </c>
      <c r="CY1098" s="8">
        <f>1</f>
        <v>1</v>
      </c>
      <c r="DA1098" s="5" t="s">
        <v>673</v>
      </c>
      <c r="DB1098" s="5" t="s">
        <v>238</v>
      </c>
      <c r="DD1098" s="5" t="s">
        <v>673</v>
      </c>
      <c r="DE1098" s="8">
        <f>1721</f>
        <v>1721</v>
      </c>
      <c r="DG1098" s="5" t="s">
        <v>238</v>
      </c>
      <c r="DH1098" s="5" t="s">
        <v>238</v>
      </c>
      <c r="DI1098" s="5" t="s">
        <v>238</v>
      </c>
      <c r="DJ1098" s="5" t="s">
        <v>238</v>
      </c>
      <c r="DN1098" s="5" t="s">
        <v>238</v>
      </c>
      <c r="DO1098" s="5" t="s">
        <v>238</v>
      </c>
      <c r="DP1098" s="5" t="s">
        <v>238</v>
      </c>
      <c r="DQ1098" s="5" t="s">
        <v>238</v>
      </c>
      <c r="DT1098" s="5" t="s">
        <v>2039</v>
      </c>
      <c r="DU1098" s="5" t="s">
        <v>3070</v>
      </c>
      <c r="HM1098" s="5" t="s">
        <v>264</v>
      </c>
    </row>
    <row r="1099" spans="1:221" x14ac:dyDescent="0.4">
      <c r="A1099" s="5">
        <v>2774</v>
      </c>
      <c r="B1099" s="5">
        <v>1</v>
      </c>
      <c r="C1099" s="5">
        <v>1</v>
      </c>
      <c r="D1099" s="5" t="s">
        <v>2037</v>
      </c>
      <c r="E1099" s="5" t="s">
        <v>271</v>
      </c>
      <c r="F1099" s="5" t="s">
        <v>248</v>
      </c>
      <c r="G1099" s="5" t="s">
        <v>1969</v>
      </c>
      <c r="H1099" s="6" t="s">
        <v>3067</v>
      </c>
      <c r="I1099" s="7">
        <f>1090</f>
        <v>1090</v>
      </c>
      <c r="J1099" s="5" t="s">
        <v>262</v>
      </c>
      <c r="K1099" s="8">
        <f>1</f>
        <v>1</v>
      </c>
      <c r="L1099" s="6" t="s">
        <v>242</v>
      </c>
      <c r="M1099" s="5" t="s">
        <v>267</v>
      </c>
      <c r="N1099" s="5" t="s">
        <v>265</v>
      </c>
      <c r="O1099" s="5" t="s">
        <v>238</v>
      </c>
      <c r="P1099" s="5" t="s">
        <v>238</v>
      </c>
      <c r="Q1099" s="5" t="s">
        <v>268</v>
      </c>
      <c r="R1099" s="5" t="s">
        <v>270</v>
      </c>
      <c r="S1099" s="5" t="s">
        <v>238</v>
      </c>
      <c r="V1099" s="5" t="s">
        <v>238</v>
      </c>
      <c r="X1099" s="6" t="s">
        <v>238</v>
      </c>
      <c r="AA1099" s="6" t="s">
        <v>243</v>
      </c>
      <c r="AB1099" s="5" t="s">
        <v>238</v>
      </c>
      <c r="AC1099" s="5" t="s">
        <v>244</v>
      </c>
      <c r="AD1099" s="5" t="s">
        <v>245</v>
      </c>
      <c r="AT1099" s="5" t="s">
        <v>246</v>
      </c>
      <c r="AU1099" s="5" t="s">
        <v>238</v>
      </c>
      <c r="AV1099" s="5" t="s">
        <v>247</v>
      </c>
      <c r="AW1099" s="5" t="s">
        <v>238</v>
      </c>
      <c r="AX1099" s="5" t="s">
        <v>249</v>
      </c>
      <c r="AY1099" s="5" t="s">
        <v>238</v>
      </c>
      <c r="BA1099" s="5" t="s">
        <v>238</v>
      </c>
      <c r="BC1099" s="5" t="s">
        <v>250</v>
      </c>
      <c r="BD1099" s="6" t="s">
        <v>243</v>
      </c>
      <c r="BE1099" s="5" t="s">
        <v>251</v>
      </c>
      <c r="BF1099" s="5" t="s">
        <v>252</v>
      </c>
      <c r="BG1099" s="5" t="s">
        <v>238</v>
      </c>
      <c r="BH1099" s="7">
        <f>0</f>
        <v>0</v>
      </c>
      <c r="BI1099" s="8">
        <f>0</f>
        <v>0</v>
      </c>
      <c r="BJ1099" s="5" t="s">
        <v>253</v>
      </c>
      <c r="BK1099" s="5" t="s">
        <v>254</v>
      </c>
      <c r="BY1099" s="5" t="s">
        <v>238</v>
      </c>
      <c r="BZ1099" s="5" t="s">
        <v>238</v>
      </c>
      <c r="CD1099" s="5" t="s">
        <v>273</v>
      </c>
      <c r="CE1099" s="5" t="s">
        <v>256</v>
      </c>
      <c r="CF1099" s="5" t="s">
        <v>238</v>
      </c>
      <c r="CI1099" s="6" t="s">
        <v>257</v>
      </c>
      <c r="CJ1099" s="5" t="s">
        <v>238</v>
      </c>
      <c r="CK1099" s="5" t="s">
        <v>258</v>
      </c>
      <c r="CL1099" s="5" t="s">
        <v>238</v>
      </c>
      <c r="CM1099" s="5" t="s">
        <v>238</v>
      </c>
      <c r="CN1099" s="5">
        <v>0</v>
      </c>
      <c r="CO1099" s="5" t="s">
        <v>259</v>
      </c>
      <c r="CP1099" s="5" t="s">
        <v>260</v>
      </c>
      <c r="CQ1099" s="5" t="s">
        <v>260</v>
      </c>
      <c r="CR1099" s="5" t="s">
        <v>261</v>
      </c>
      <c r="CU1099" s="8">
        <f>1</f>
        <v>1</v>
      </c>
      <c r="CV1099" s="8">
        <f>0</f>
        <v>0</v>
      </c>
      <c r="CX1099" s="8">
        <f>0</f>
        <v>0</v>
      </c>
      <c r="CY1099" s="8">
        <f>1</f>
        <v>1</v>
      </c>
      <c r="DA1099" s="5" t="s">
        <v>673</v>
      </c>
      <c r="DB1099" s="5" t="s">
        <v>238</v>
      </c>
      <c r="DD1099" s="5" t="s">
        <v>673</v>
      </c>
      <c r="DE1099" s="8">
        <f>1090</f>
        <v>1090</v>
      </c>
      <c r="DG1099" s="5" t="s">
        <v>238</v>
      </c>
      <c r="DH1099" s="5" t="s">
        <v>238</v>
      </c>
      <c r="DI1099" s="5" t="s">
        <v>238</v>
      </c>
      <c r="DJ1099" s="5" t="s">
        <v>238</v>
      </c>
      <c r="DN1099" s="5" t="s">
        <v>238</v>
      </c>
      <c r="DO1099" s="5" t="s">
        <v>238</v>
      </c>
      <c r="DP1099" s="5" t="s">
        <v>238</v>
      </c>
      <c r="DQ1099" s="5" t="s">
        <v>238</v>
      </c>
      <c r="DT1099" s="5" t="s">
        <v>2039</v>
      </c>
      <c r="DU1099" s="5" t="s">
        <v>3068</v>
      </c>
      <c r="HM1099" s="5" t="s">
        <v>264</v>
      </c>
    </row>
    <row r="1100" spans="1:221" x14ac:dyDescent="0.4">
      <c r="A1100" s="5">
        <v>2775</v>
      </c>
      <c r="B1100" s="5">
        <v>1</v>
      </c>
      <c r="C1100" s="5">
        <v>1</v>
      </c>
      <c r="D1100" s="5" t="s">
        <v>2037</v>
      </c>
      <c r="E1100" s="5" t="s">
        <v>271</v>
      </c>
      <c r="F1100" s="5" t="s">
        <v>248</v>
      </c>
      <c r="G1100" s="5" t="s">
        <v>1969</v>
      </c>
      <c r="H1100" s="6" t="s">
        <v>3065</v>
      </c>
      <c r="I1100" s="7">
        <f>1474</f>
        <v>1474</v>
      </c>
      <c r="J1100" s="5" t="s">
        <v>262</v>
      </c>
      <c r="K1100" s="8">
        <f>1</f>
        <v>1</v>
      </c>
      <c r="L1100" s="6" t="s">
        <v>242</v>
      </c>
      <c r="M1100" s="5" t="s">
        <v>267</v>
      </c>
      <c r="N1100" s="5" t="s">
        <v>265</v>
      </c>
      <c r="O1100" s="5" t="s">
        <v>238</v>
      </c>
      <c r="P1100" s="5" t="s">
        <v>238</v>
      </c>
      <c r="Q1100" s="5" t="s">
        <v>268</v>
      </c>
      <c r="R1100" s="5" t="s">
        <v>270</v>
      </c>
      <c r="S1100" s="5" t="s">
        <v>238</v>
      </c>
      <c r="V1100" s="5" t="s">
        <v>238</v>
      </c>
      <c r="X1100" s="6" t="s">
        <v>238</v>
      </c>
      <c r="AA1100" s="6" t="s">
        <v>243</v>
      </c>
      <c r="AB1100" s="5" t="s">
        <v>238</v>
      </c>
      <c r="AC1100" s="5" t="s">
        <v>244</v>
      </c>
      <c r="AD1100" s="5" t="s">
        <v>245</v>
      </c>
      <c r="AT1100" s="5" t="s">
        <v>246</v>
      </c>
      <c r="AU1100" s="5" t="s">
        <v>238</v>
      </c>
      <c r="AV1100" s="5" t="s">
        <v>247</v>
      </c>
      <c r="AW1100" s="5" t="s">
        <v>238</v>
      </c>
      <c r="AX1100" s="5" t="s">
        <v>249</v>
      </c>
      <c r="AY1100" s="5" t="s">
        <v>238</v>
      </c>
      <c r="BA1100" s="5" t="s">
        <v>238</v>
      </c>
      <c r="BC1100" s="5" t="s">
        <v>250</v>
      </c>
      <c r="BD1100" s="6" t="s">
        <v>243</v>
      </c>
      <c r="BE1100" s="5" t="s">
        <v>251</v>
      </c>
      <c r="BF1100" s="5" t="s">
        <v>252</v>
      </c>
      <c r="BG1100" s="5" t="s">
        <v>238</v>
      </c>
      <c r="BH1100" s="7">
        <f>0</f>
        <v>0</v>
      </c>
      <c r="BI1100" s="8">
        <f>0</f>
        <v>0</v>
      </c>
      <c r="BJ1100" s="5" t="s">
        <v>253</v>
      </c>
      <c r="BK1100" s="5" t="s">
        <v>254</v>
      </c>
      <c r="BY1100" s="5" t="s">
        <v>238</v>
      </c>
      <c r="BZ1100" s="5" t="s">
        <v>238</v>
      </c>
      <c r="CD1100" s="5" t="s">
        <v>273</v>
      </c>
      <c r="CE1100" s="5" t="s">
        <v>256</v>
      </c>
      <c r="CF1100" s="5" t="s">
        <v>238</v>
      </c>
      <c r="CI1100" s="6" t="s">
        <v>257</v>
      </c>
      <c r="CJ1100" s="5" t="s">
        <v>238</v>
      </c>
      <c r="CK1100" s="5" t="s">
        <v>258</v>
      </c>
      <c r="CL1100" s="5" t="s">
        <v>238</v>
      </c>
      <c r="CM1100" s="5" t="s">
        <v>238</v>
      </c>
      <c r="CN1100" s="5">
        <v>0</v>
      </c>
      <c r="CO1100" s="5" t="s">
        <v>259</v>
      </c>
      <c r="CP1100" s="5" t="s">
        <v>260</v>
      </c>
      <c r="CQ1100" s="5" t="s">
        <v>260</v>
      </c>
      <c r="CR1100" s="5" t="s">
        <v>261</v>
      </c>
      <c r="CU1100" s="8">
        <f>1</f>
        <v>1</v>
      </c>
      <c r="CV1100" s="8">
        <f>0</f>
        <v>0</v>
      </c>
      <c r="CX1100" s="8">
        <f>0</f>
        <v>0</v>
      </c>
      <c r="CY1100" s="8">
        <f>1</f>
        <v>1</v>
      </c>
      <c r="DA1100" s="5" t="s">
        <v>673</v>
      </c>
      <c r="DB1100" s="5" t="s">
        <v>238</v>
      </c>
      <c r="DD1100" s="5" t="s">
        <v>673</v>
      </c>
      <c r="DE1100" s="8">
        <f>1474</f>
        <v>1474</v>
      </c>
      <c r="DG1100" s="5" t="s">
        <v>238</v>
      </c>
      <c r="DH1100" s="5" t="s">
        <v>238</v>
      </c>
      <c r="DI1100" s="5" t="s">
        <v>238</v>
      </c>
      <c r="DJ1100" s="5" t="s">
        <v>238</v>
      </c>
      <c r="DN1100" s="5" t="s">
        <v>238</v>
      </c>
      <c r="DO1100" s="5" t="s">
        <v>238</v>
      </c>
      <c r="DP1100" s="5" t="s">
        <v>238</v>
      </c>
      <c r="DQ1100" s="5" t="s">
        <v>238</v>
      </c>
      <c r="DT1100" s="5" t="s">
        <v>2039</v>
      </c>
      <c r="DU1100" s="5" t="s">
        <v>3066</v>
      </c>
      <c r="HM1100" s="5" t="s">
        <v>264</v>
      </c>
    </row>
    <row r="1101" spans="1:221" x14ac:dyDescent="0.4">
      <c r="A1101" s="5">
        <v>2776</v>
      </c>
      <c r="B1101" s="5">
        <v>1</v>
      </c>
      <c r="C1101" s="5">
        <v>1</v>
      </c>
      <c r="D1101" s="5" t="s">
        <v>2037</v>
      </c>
      <c r="E1101" s="5" t="s">
        <v>271</v>
      </c>
      <c r="F1101" s="5" t="s">
        <v>248</v>
      </c>
      <c r="G1101" s="5" t="s">
        <v>1969</v>
      </c>
      <c r="H1101" s="6" t="s">
        <v>3063</v>
      </c>
      <c r="I1101" s="7">
        <f>3726</f>
        <v>3726</v>
      </c>
      <c r="J1101" s="5" t="s">
        <v>262</v>
      </c>
      <c r="K1101" s="8">
        <f>1</f>
        <v>1</v>
      </c>
      <c r="L1101" s="6" t="s">
        <v>242</v>
      </c>
      <c r="M1101" s="5" t="s">
        <v>267</v>
      </c>
      <c r="N1101" s="5" t="s">
        <v>265</v>
      </c>
      <c r="O1101" s="5" t="s">
        <v>238</v>
      </c>
      <c r="P1101" s="5" t="s">
        <v>238</v>
      </c>
      <c r="Q1101" s="5" t="s">
        <v>268</v>
      </c>
      <c r="R1101" s="5" t="s">
        <v>270</v>
      </c>
      <c r="S1101" s="5" t="s">
        <v>238</v>
      </c>
      <c r="V1101" s="5" t="s">
        <v>238</v>
      </c>
      <c r="X1101" s="6" t="s">
        <v>238</v>
      </c>
      <c r="AA1101" s="6" t="s">
        <v>243</v>
      </c>
      <c r="AB1101" s="5" t="s">
        <v>238</v>
      </c>
      <c r="AC1101" s="5" t="s">
        <v>244</v>
      </c>
      <c r="AD1101" s="5" t="s">
        <v>245</v>
      </c>
      <c r="AT1101" s="5" t="s">
        <v>246</v>
      </c>
      <c r="AU1101" s="5" t="s">
        <v>238</v>
      </c>
      <c r="AV1101" s="5" t="s">
        <v>247</v>
      </c>
      <c r="AW1101" s="5" t="s">
        <v>238</v>
      </c>
      <c r="AX1101" s="5" t="s">
        <v>249</v>
      </c>
      <c r="AY1101" s="5" t="s">
        <v>238</v>
      </c>
      <c r="BA1101" s="5" t="s">
        <v>238</v>
      </c>
      <c r="BC1101" s="5" t="s">
        <v>250</v>
      </c>
      <c r="BD1101" s="6" t="s">
        <v>243</v>
      </c>
      <c r="BE1101" s="5" t="s">
        <v>251</v>
      </c>
      <c r="BF1101" s="5" t="s">
        <v>252</v>
      </c>
      <c r="BG1101" s="5" t="s">
        <v>238</v>
      </c>
      <c r="BH1101" s="7">
        <f>0</f>
        <v>0</v>
      </c>
      <c r="BI1101" s="8">
        <f>0</f>
        <v>0</v>
      </c>
      <c r="BJ1101" s="5" t="s">
        <v>253</v>
      </c>
      <c r="BK1101" s="5" t="s">
        <v>254</v>
      </c>
      <c r="BY1101" s="5" t="s">
        <v>238</v>
      </c>
      <c r="BZ1101" s="5" t="s">
        <v>238</v>
      </c>
      <c r="CD1101" s="5" t="s">
        <v>273</v>
      </c>
      <c r="CE1101" s="5" t="s">
        <v>256</v>
      </c>
      <c r="CF1101" s="5" t="s">
        <v>238</v>
      </c>
      <c r="CI1101" s="6" t="s">
        <v>257</v>
      </c>
      <c r="CJ1101" s="5" t="s">
        <v>238</v>
      </c>
      <c r="CK1101" s="5" t="s">
        <v>258</v>
      </c>
      <c r="CL1101" s="5" t="s">
        <v>238</v>
      </c>
      <c r="CM1101" s="5" t="s">
        <v>238</v>
      </c>
      <c r="CN1101" s="5">
        <v>0</v>
      </c>
      <c r="CO1101" s="5" t="s">
        <v>259</v>
      </c>
      <c r="CP1101" s="5" t="s">
        <v>260</v>
      </c>
      <c r="CQ1101" s="5" t="s">
        <v>260</v>
      </c>
      <c r="CR1101" s="5" t="s">
        <v>261</v>
      </c>
      <c r="CU1101" s="8">
        <f>1</f>
        <v>1</v>
      </c>
      <c r="CV1101" s="8">
        <f>0</f>
        <v>0</v>
      </c>
      <c r="CX1101" s="8">
        <f>0</f>
        <v>0</v>
      </c>
      <c r="CY1101" s="8">
        <f>1</f>
        <v>1</v>
      </c>
      <c r="DA1101" s="5" t="s">
        <v>673</v>
      </c>
      <c r="DB1101" s="5" t="s">
        <v>238</v>
      </c>
      <c r="DD1101" s="5" t="s">
        <v>673</v>
      </c>
      <c r="DE1101" s="8">
        <f>3726</f>
        <v>3726</v>
      </c>
      <c r="DG1101" s="5" t="s">
        <v>238</v>
      </c>
      <c r="DH1101" s="5" t="s">
        <v>238</v>
      </c>
      <c r="DI1101" s="5" t="s">
        <v>238</v>
      </c>
      <c r="DJ1101" s="5" t="s">
        <v>238</v>
      </c>
      <c r="DN1101" s="5" t="s">
        <v>238</v>
      </c>
      <c r="DO1101" s="5" t="s">
        <v>238</v>
      </c>
      <c r="DP1101" s="5" t="s">
        <v>238</v>
      </c>
      <c r="DQ1101" s="5" t="s">
        <v>238</v>
      </c>
      <c r="DT1101" s="5" t="s">
        <v>2039</v>
      </c>
      <c r="DU1101" s="5" t="s">
        <v>3064</v>
      </c>
      <c r="HM1101" s="5" t="s">
        <v>264</v>
      </c>
    </row>
    <row r="1102" spans="1:221" x14ac:dyDescent="0.4">
      <c r="A1102" s="5">
        <v>2777</v>
      </c>
      <c r="B1102" s="5">
        <v>1</v>
      </c>
      <c r="C1102" s="5">
        <v>1</v>
      </c>
      <c r="D1102" s="5" t="s">
        <v>2037</v>
      </c>
      <c r="E1102" s="5" t="s">
        <v>271</v>
      </c>
      <c r="F1102" s="5" t="s">
        <v>248</v>
      </c>
      <c r="G1102" s="5" t="s">
        <v>1969</v>
      </c>
      <c r="H1102" s="6" t="s">
        <v>3061</v>
      </c>
      <c r="I1102" s="7">
        <f>5795</f>
        <v>5795</v>
      </c>
      <c r="J1102" s="5" t="s">
        <v>262</v>
      </c>
      <c r="K1102" s="8">
        <f>1</f>
        <v>1</v>
      </c>
      <c r="L1102" s="6" t="s">
        <v>242</v>
      </c>
      <c r="M1102" s="5" t="s">
        <v>267</v>
      </c>
      <c r="N1102" s="5" t="s">
        <v>265</v>
      </c>
      <c r="O1102" s="5" t="s">
        <v>238</v>
      </c>
      <c r="P1102" s="5" t="s">
        <v>238</v>
      </c>
      <c r="Q1102" s="5" t="s">
        <v>268</v>
      </c>
      <c r="R1102" s="5" t="s">
        <v>270</v>
      </c>
      <c r="S1102" s="5" t="s">
        <v>238</v>
      </c>
      <c r="V1102" s="5" t="s">
        <v>238</v>
      </c>
      <c r="X1102" s="6" t="s">
        <v>238</v>
      </c>
      <c r="AA1102" s="6" t="s">
        <v>243</v>
      </c>
      <c r="AB1102" s="5" t="s">
        <v>238</v>
      </c>
      <c r="AC1102" s="5" t="s">
        <v>244</v>
      </c>
      <c r="AD1102" s="5" t="s">
        <v>245</v>
      </c>
      <c r="AT1102" s="5" t="s">
        <v>246</v>
      </c>
      <c r="AU1102" s="5" t="s">
        <v>238</v>
      </c>
      <c r="AV1102" s="5" t="s">
        <v>247</v>
      </c>
      <c r="AW1102" s="5" t="s">
        <v>238</v>
      </c>
      <c r="AX1102" s="5" t="s">
        <v>249</v>
      </c>
      <c r="AY1102" s="5" t="s">
        <v>238</v>
      </c>
      <c r="BA1102" s="5" t="s">
        <v>238</v>
      </c>
      <c r="BC1102" s="5" t="s">
        <v>250</v>
      </c>
      <c r="BD1102" s="6" t="s">
        <v>243</v>
      </c>
      <c r="BE1102" s="5" t="s">
        <v>251</v>
      </c>
      <c r="BF1102" s="5" t="s">
        <v>252</v>
      </c>
      <c r="BG1102" s="5" t="s">
        <v>238</v>
      </c>
      <c r="BH1102" s="7">
        <f>0</f>
        <v>0</v>
      </c>
      <c r="BI1102" s="8">
        <f>0</f>
        <v>0</v>
      </c>
      <c r="BJ1102" s="5" t="s">
        <v>253</v>
      </c>
      <c r="BK1102" s="5" t="s">
        <v>254</v>
      </c>
      <c r="BY1102" s="5" t="s">
        <v>238</v>
      </c>
      <c r="BZ1102" s="5" t="s">
        <v>238</v>
      </c>
      <c r="CD1102" s="5" t="s">
        <v>273</v>
      </c>
      <c r="CE1102" s="5" t="s">
        <v>256</v>
      </c>
      <c r="CF1102" s="5" t="s">
        <v>238</v>
      </c>
      <c r="CI1102" s="6" t="s">
        <v>257</v>
      </c>
      <c r="CJ1102" s="5" t="s">
        <v>238</v>
      </c>
      <c r="CK1102" s="5" t="s">
        <v>258</v>
      </c>
      <c r="CL1102" s="5" t="s">
        <v>238</v>
      </c>
      <c r="CM1102" s="5" t="s">
        <v>238</v>
      </c>
      <c r="CN1102" s="5">
        <v>0</v>
      </c>
      <c r="CO1102" s="5" t="s">
        <v>259</v>
      </c>
      <c r="CP1102" s="5" t="s">
        <v>260</v>
      </c>
      <c r="CQ1102" s="5" t="s">
        <v>260</v>
      </c>
      <c r="CR1102" s="5" t="s">
        <v>261</v>
      </c>
      <c r="CU1102" s="8">
        <f>1</f>
        <v>1</v>
      </c>
      <c r="CV1102" s="8">
        <f>0</f>
        <v>0</v>
      </c>
      <c r="CX1102" s="8">
        <f>0</f>
        <v>0</v>
      </c>
      <c r="CY1102" s="8">
        <f>1</f>
        <v>1</v>
      </c>
      <c r="DA1102" s="5" t="s">
        <v>673</v>
      </c>
      <c r="DB1102" s="5" t="s">
        <v>238</v>
      </c>
      <c r="DD1102" s="5" t="s">
        <v>673</v>
      </c>
      <c r="DE1102" s="8">
        <f>5795</f>
        <v>5795</v>
      </c>
      <c r="DG1102" s="5" t="s">
        <v>238</v>
      </c>
      <c r="DH1102" s="5" t="s">
        <v>238</v>
      </c>
      <c r="DI1102" s="5" t="s">
        <v>238</v>
      </c>
      <c r="DJ1102" s="5" t="s">
        <v>238</v>
      </c>
      <c r="DN1102" s="5" t="s">
        <v>238</v>
      </c>
      <c r="DO1102" s="5" t="s">
        <v>238</v>
      </c>
      <c r="DP1102" s="5" t="s">
        <v>238</v>
      </c>
      <c r="DQ1102" s="5" t="s">
        <v>238</v>
      </c>
      <c r="DT1102" s="5" t="s">
        <v>2039</v>
      </c>
      <c r="DU1102" s="5" t="s">
        <v>3062</v>
      </c>
      <c r="HM1102" s="5" t="s">
        <v>264</v>
      </c>
    </row>
    <row r="1103" spans="1:221" x14ac:dyDescent="0.4">
      <c r="A1103" s="5">
        <v>2778</v>
      </c>
      <c r="B1103" s="5">
        <v>1</v>
      </c>
      <c r="C1103" s="5">
        <v>1</v>
      </c>
      <c r="D1103" s="5" t="s">
        <v>2037</v>
      </c>
      <c r="E1103" s="5" t="s">
        <v>271</v>
      </c>
      <c r="F1103" s="5" t="s">
        <v>248</v>
      </c>
      <c r="G1103" s="5" t="s">
        <v>1969</v>
      </c>
      <c r="H1103" s="6" t="s">
        <v>3059</v>
      </c>
      <c r="I1103" s="7">
        <f>2202</f>
        <v>2202</v>
      </c>
      <c r="J1103" s="5" t="s">
        <v>262</v>
      </c>
      <c r="K1103" s="8">
        <f>1</f>
        <v>1</v>
      </c>
      <c r="L1103" s="6" t="s">
        <v>242</v>
      </c>
      <c r="M1103" s="5" t="s">
        <v>267</v>
      </c>
      <c r="N1103" s="5" t="s">
        <v>265</v>
      </c>
      <c r="O1103" s="5" t="s">
        <v>238</v>
      </c>
      <c r="P1103" s="5" t="s">
        <v>238</v>
      </c>
      <c r="Q1103" s="5" t="s">
        <v>268</v>
      </c>
      <c r="R1103" s="5" t="s">
        <v>270</v>
      </c>
      <c r="S1103" s="5" t="s">
        <v>238</v>
      </c>
      <c r="V1103" s="5" t="s">
        <v>238</v>
      </c>
      <c r="X1103" s="6" t="s">
        <v>238</v>
      </c>
      <c r="AA1103" s="6" t="s">
        <v>243</v>
      </c>
      <c r="AB1103" s="5" t="s">
        <v>238</v>
      </c>
      <c r="AC1103" s="5" t="s">
        <v>244</v>
      </c>
      <c r="AD1103" s="5" t="s">
        <v>245</v>
      </c>
      <c r="AT1103" s="5" t="s">
        <v>246</v>
      </c>
      <c r="AU1103" s="5" t="s">
        <v>238</v>
      </c>
      <c r="AV1103" s="5" t="s">
        <v>247</v>
      </c>
      <c r="AW1103" s="5" t="s">
        <v>238</v>
      </c>
      <c r="AX1103" s="5" t="s">
        <v>249</v>
      </c>
      <c r="AY1103" s="5" t="s">
        <v>238</v>
      </c>
      <c r="BA1103" s="5" t="s">
        <v>238</v>
      </c>
      <c r="BC1103" s="5" t="s">
        <v>250</v>
      </c>
      <c r="BD1103" s="6" t="s">
        <v>243</v>
      </c>
      <c r="BE1103" s="5" t="s">
        <v>251</v>
      </c>
      <c r="BF1103" s="5" t="s">
        <v>252</v>
      </c>
      <c r="BG1103" s="5" t="s">
        <v>238</v>
      </c>
      <c r="BH1103" s="7">
        <f>0</f>
        <v>0</v>
      </c>
      <c r="BI1103" s="8">
        <f>0</f>
        <v>0</v>
      </c>
      <c r="BJ1103" s="5" t="s">
        <v>253</v>
      </c>
      <c r="BK1103" s="5" t="s">
        <v>254</v>
      </c>
      <c r="BY1103" s="5" t="s">
        <v>238</v>
      </c>
      <c r="BZ1103" s="5" t="s">
        <v>238</v>
      </c>
      <c r="CD1103" s="5" t="s">
        <v>273</v>
      </c>
      <c r="CE1103" s="5" t="s">
        <v>256</v>
      </c>
      <c r="CF1103" s="5" t="s">
        <v>238</v>
      </c>
      <c r="CI1103" s="6" t="s">
        <v>257</v>
      </c>
      <c r="CJ1103" s="5" t="s">
        <v>238</v>
      </c>
      <c r="CK1103" s="5" t="s">
        <v>258</v>
      </c>
      <c r="CL1103" s="5" t="s">
        <v>238</v>
      </c>
      <c r="CM1103" s="5" t="s">
        <v>238</v>
      </c>
      <c r="CN1103" s="5">
        <v>0</v>
      </c>
      <c r="CO1103" s="5" t="s">
        <v>259</v>
      </c>
      <c r="CP1103" s="5" t="s">
        <v>260</v>
      </c>
      <c r="CQ1103" s="5" t="s">
        <v>260</v>
      </c>
      <c r="CR1103" s="5" t="s">
        <v>261</v>
      </c>
      <c r="CU1103" s="8">
        <f>1</f>
        <v>1</v>
      </c>
      <c r="CV1103" s="8">
        <f>0</f>
        <v>0</v>
      </c>
      <c r="CX1103" s="8">
        <f>0</f>
        <v>0</v>
      </c>
      <c r="CY1103" s="8">
        <f>1</f>
        <v>1</v>
      </c>
      <c r="DA1103" s="5" t="s">
        <v>673</v>
      </c>
      <c r="DB1103" s="5" t="s">
        <v>238</v>
      </c>
      <c r="DD1103" s="5" t="s">
        <v>673</v>
      </c>
      <c r="DE1103" s="8">
        <f>2202</f>
        <v>2202</v>
      </c>
      <c r="DG1103" s="5" t="s">
        <v>238</v>
      </c>
      <c r="DH1103" s="5" t="s">
        <v>238</v>
      </c>
      <c r="DI1103" s="5" t="s">
        <v>238</v>
      </c>
      <c r="DJ1103" s="5" t="s">
        <v>238</v>
      </c>
      <c r="DN1103" s="5" t="s">
        <v>238</v>
      </c>
      <c r="DO1103" s="5" t="s">
        <v>238</v>
      </c>
      <c r="DP1103" s="5" t="s">
        <v>238</v>
      </c>
      <c r="DQ1103" s="5" t="s">
        <v>238</v>
      </c>
      <c r="DT1103" s="5" t="s">
        <v>2039</v>
      </c>
      <c r="DU1103" s="5" t="s">
        <v>3060</v>
      </c>
      <c r="HM1103" s="5" t="s">
        <v>264</v>
      </c>
    </row>
    <row r="1104" spans="1:221" x14ac:dyDescent="0.4">
      <c r="A1104" s="5">
        <v>2779</v>
      </c>
      <c r="B1104" s="5">
        <v>1</v>
      </c>
      <c r="C1104" s="5">
        <v>1</v>
      </c>
      <c r="D1104" s="5" t="s">
        <v>2037</v>
      </c>
      <c r="E1104" s="5" t="s">
        <v>271</v>
      </c>
      <c r="F1104" s="5" t="s">
        <v>248</v>
      </c>
      <c r="G1104" s="5" t="s">
        <v>1969</v>
      </c>
      <c r="H1104" s="6" t="s">
        <v>3057</v>
      </c>
      <c r="I1104" s="7">
        <f>1915</f>
        <v>1915</v>
      </c>
      <c r="J1104" s="5" t="s">
        <v>262</v>
      </c>
      <c r="K1104" s="8">
        <f>1</f>
        <v>1</v>
      </c>
      <c r="L1104" s="6" t="s">
        <v>242</v>
      </c>
      <c r="M1104" s="5" t="s">
        <v>267</v>
      </c>
      <c r="N1104" s="5" t="s">
        <v>265</v>
      </c>
      <c r="O1104" s="5" t="s">
        <v>238</v>
      </c>
      <c r="P1104" s="5" t="s">
        <v>238</v>
      </c>
      <c r="Q1104" s="5" t="s">
        <v>268</v>
      </c>
      <c r="R1104" s="5" t="s">
        <v>270</v>
      </c>
      <c r="S1104" s="5" t="s">
        <v>238</v>
      </c>
      <c r="V1104" s="5" t="s">
        <v>238</v>
      </c>
      <c r="X1104" s="6" t="s">
        <v>238</v>
      </c>
      <c r="AA1104" s="6" t="s">
        <v>243</v>
      </c>
      <c r="AB1104" s="5" t="s">
        <v>238</v>
      </c>
      <c r="AC1104" s="5" t="s">
        <v>244</v>
      </c>
      <c r="AD1104" s="5" t="s">
        <v>245</v>
      </c>
      <c r="AT1104" s="5" t="s">
        <v>246</v>
      </c>
      <c r="AU1104" s="5" t="s">
        <v>238</v>
      </c>
      <c r="AV1104" s="5" t="s">
        <v>247</v>
      </c>
      <c r="AW1104" s="5" t="s">
        <v>238</v>
      </c>
      <c r="AX1104" s="5" t="s">
        <v>249</v>
      </c>
      <c r="AY1104" s="5" t="s">
        <v>238</v>
      </c>
      <c r="BA1104" s="5" t="s">
        <v>238</v>
      </c>
      <c r="BC1104" s="5" t="s">
        <v>250</v>
      </c>
      <c r="BD1104" s="6" t="s">
        <v>243</v>
      </c>
      <c r="BE1104" s="5" t="s">
        <v>251</v>
      </c>
      <c r="BF1104" s="5" t="s">
        <v>252</v>
      </c>
      <c r="BG1104" s="5" t="s">
        <v>238</v>
      </c>
      <c r="BH1104" s="7">
        <f>0</f>
        <v>0</v>
      </c>
      <c r="BI1104" s="8">
        <f>0</f>
        <v>0</v>
      </c>
      <c r="BJ1104" s="5" t="s">
        <v>253</v>
      </c>
      <c r="BK1104" s="5" t="s">
        <v>254</v>
      </c>
      <c r="BY1104" s="5" t="s">
        <v>238</v>
      </c>
      <c r="BZ1104" s="5" t="s">
        <v>238</v>
      </c>
      <c r="CD1104" s="5" t="s">
        <v>273</v>
      </c>
      <c r="CE1104" s="5" t="s">
        <v>256</v>
      </c>
      <c r="CF1104" s="5" t="s">
        <v>238</v>
      </c>
      <c r="CI1104" s="6" t="s">
        <v>257</v>
      </c>
      <c r="CJ1104" s="5" t="s">
        <v>238</v>
      </c>
      <c r="CK1104" s="5" t="s">
        <v>258</v>
      </c>
      <c r="CL1104" s="5" t="s">
        <v>238</v>
      </c>
      <c r="CM1104" s="5" t="s">
        <v>238</v>
      </c>
      <c r="CN1104" s="5">
        <v>0</v>
      </c>
      <c r="CO1104" s="5" t="s">
        <v>259</v>
      </c>
      <c r="CP1104" s="5" t="s">
        <v>260</v>
      </c>
      <c r="CQ1104" s="5" t="s">
        <v>260</v>
      </c>
      <c r="CR1104" s="5" t="s">
        <v>261</v>
      </c>
      <c r="CU1104" s="8">
        <f>1</f>
        <v>1</v>
      </c>
      <c r="CV1104" s="8">
        <f>0</f>
        <v>0</v>
      </c>
      <c r="CX1104" s="8">
        <f>0</f>
        <v>0</v>
      </c>
      <c r="CY1104" s="8">
        <f>1</f>
        <v>1</v>
      </c>
      <c r="DA1104" s="5" t="s">
        <v>673</v>
      </c>
      <c r="DB1104" s="5" t="s">
        <v>238</v>
      </c>
      <c r="DD1104" s="5" t="s">
        <v>673</v>
      </c>
      <c r="DE1104" s="8">
        <f>1915</f>
        <v>1915</v>
      </c>
      <c r="DG1104" s="5" t="s">
        <v>238</v>
      </c>
      <c r="DH1104" s="5" t="s">
        <v>238</v>
      </c>
      <c r="DI1104" s="5" t="s">
        <v>238</v>
      </c>
      <c r="DJ1104" s="5" t="s">
        <v>238</v>
      </c>
      <c r="DN1104" s="5" t="s">
        <v>238</v>
      </c>
      <c r="DO1104" s="5" t="s">
        <v>238</v>
      </c>
      <c r="DP1104" s="5" t="s">
        <v>238</v>
      </c>
      <c r="DQ1104" s="5" t="s">
        <v>238</v>
      </c>
      <c r="DT1104" s="5" t="s">
        <v>2039</v>
      </c>
      <c r="DU1104" s="5" t="s">
        <v>3058</v>
      </c>
      <c r="HM1104" s="5" t="s">
        <v>264</v>
      </c>
    </row>
    <row r="1105" spans="1:221" x14ac:dyDescent="0.4">
      <c r="A1105" s="5">
        <v>2780</v>
      </c>
      <c r="B1105" s="5">
        <v>1</v>
      </c>
      <c r="C1105" s="5">
        <v>1</v>
      </c>
      <c r="D1105" s="5" t="s">
        <v>2037</v>
      </c>
      <c r="E1105" s="5" t="s">
        <v>271</v>
      </c>
      <c r="F1105" s="5" t="s">
        <v>248</v>
      </c>
      <c r="G1105" s="5" t="s">
        <v>1969</v>
      </c>
      <c r="H1105" s="6" t="s">
        <v>3055</v>
      </c>
      <c r="I1105" s="7">
        <f>8092</f>
        <v>8092</v>
      </c>
      <c r="J1105" s="5" t="s">
        <v>262</v>
      </c>
      <c r="K1105" s="8">
        <f>1</f>
        <v>1</v>
      </c>
      <c r="L1105" s="6" t="s">
        <v>242</v>
      </c>
      <c r="M1105" s="5" t="s">
        <v>267</v>
      </c>
      <c r="N1105" s="5" t="s">
        <v>265</v>
      </c>
      <c r="O1105" s="5" t="s">
        <v>238</v>
      </c>
      <c r="P1105" s="5" t="s">
        <v>238</v>
      </c>
      <c r="Q1105" s="5" t="s">
        <v>268</v>
      </c>
      <c r="R1105" s="5" t="s">
        <v>270</v>
      </c>
      <c r="S1105" s="5" t="s">
        <v>238</v>
      </c>
      <c r="V1105" s="5" t="s">
        <v>238</v>
      </c>
      <c r="X1105" s="6" t="s">
        <v>238</v>
      </c>
      <c r="AA1105" s="6" t="s">
        <v>243</v>
      </c>
      <c r="AB1105" s="5" t="s">
        <v>238</v>
      </c>
      <c r="AC1105" s="5" t="s">
        <v>244</v>
      </c>
      <c r="AD1105" s="5" t="s">
        <v>245</v>
      </c>
      <c r="AT1105" s="5" t="s">
        <v>246</v>
      </c>
      <c r="AU1105" s="5" t="s">
        <v>238</v>
      </c>
      <c r="AV1105" s="5" t="s">
        <v>247</v>
      </c>
      <c r="AW1105" s="5" t="s">
        <v>238</v>
      </c>
      <c r="AX1105" s="5" t="s">
        <v>249</v>
      </c>
      <c r="AY1105" s="5" t="s">
        <v>238</v>
      </c>
      <c r="BA1105" s="5" t="s">
        <v>238</v>
      </c>
      <c r="BC1105" s="5" t="s">
        <v>250</v>
      </c>
      <c r="BD1105" s="6" t="s">
        <v>243</v>
      </c>
      <c r="BE1105" s="5" t="s">
        <v>251</v>
      </c>
      <c r="BF1105" s="5" t="s">
        <v>252</v>
      </c>
      <c r="BG1105" s="5" t="s">
        <v>238</v>
      </c>
      <c r="BH1105" s="7">
        <f>0</f>
        <v>0</v>
      </c>
      <c r="BI1105" s="8">
        <f>0</f>
        <v>0</v>
      </c>
      <c r="BJ1105" s="5" t="s">
        <v>253</v>
      </c>
      <c r="BK1105" s="5" t="s">
        <v>254</v>
      </c>
      <c r="BY1105" s="5" t="s">
        <v>238</v>
      </c>
      <c r="BZ1105" s="5" t="s">
        <v>238</v>
      </c>
      <c r="CD1105" s="5" t="s">
        <v>273</v>
      </c>
      <c r="CE1105" s="5" t="s">
        <v>256</v>
      </c>
      <c r="CF1105" s="5" t="s">
        <v>238</v>
      </c>
      <c r="CI1105" s="6" t="s">
        <v>257</v>
      </c>
      <c r="CJ1105" s="5" t="s">
        <v>238</v>
      </c>
      <c r="CK1105" s="5" t="s">
        <v>258</v>
      </c>
      <c r="CL1105" s="5" t="s">
        <v>238</v>
      </c>
      <c r="CM1105" s="5" t="s">
        <v>238</v>
      </c>
      <c r="CN1105" s="5">
        <v>0</v>
      </c>
      <c r="CO1105" s="5" t="s">
        <v>259</v>
      </c>
      <c r="CP1105" s="5" t="s">
        <v>260</v>
      </c>
      <c r="CQ1105" s="5" t="s">
        <v>260</v>
      </c>
      <c r="CR1105" s="5" t="s">
        <v>261</v>
      </c>
      <c r="CU1105" s="8">
        <f>1</f>
        <v>1</v>
      </c>
      <c r="CV1105" s="8">
        <f>0</f>
        <v>0</v>
      </c>
      <c r="CX1105" s="8">
        <f>0</f>
        <v>0</v>
      </c>
      <c r="CY1105" s="8">
        <f>1</f>
        <v>1</v>
      </c>
      <c r="DA1105" s="5" t="s">
        <v>673</v>
      </c>
      <c r="DB1105" s="5" t="s">
        <v>238</v>
      </c>
      <c r="DD1105" s="5" t="s">
        <v>673</v>
      </c>
      <c r="DE1105" s="8">
        <f>8092</f>
        <v>8092</v>
      </c>
      <c r="DG1105" s="5" t="s">
        <v>238</v>
      </c>
      <c r="DH1105" s="5" t="s">
        <v>238</v>
      </c>
      <c r="DI1105" s="5" t="s">
        <v>238</v>
      </c>
      <c r="DJ1105" s="5" t="s">
        <v>238</v>
      </c>
      <c r="DN1105" s="5" t="s">
        <v>238</v>
      </c>
      <c r="DO1105" s="5" t="s">
        <v>238</v>
      </c>
      <c r="DP1105" s="5" t="s">
        <v>238</v>
      </c>
      <c r="DQ1105" s="5" t="s">
        <v>238</v>
      </c>
      <c r="DT1105" s="5" t="s">
        <v>2039</v>
      </c>
      <c r="DU1105" s="5" t="s">
        <v>3056</v>
      </c>
      <c r="HM1105" s="5" t="s">
        <v>264</v>
      </c>
    </row>
    <row r="1106" spans="1:221" x14ac:dyDescent="0.4">
      <c r="A1106" s="5">
        <v>2781</v>
      </c>
      <c r="B1106" s="5">
        <v>1</v>
      </c>
      <c r="C1106" s="5">
        <v>1</v>
      </c>
      <c r="D1106" s="5" t="s">
        <v>2037</v>
      </c>
      <c r="E1106" s="5" t="s">
        <v>271</v>
      </c>
      <c r="F1106" s="5" t="s">
        <v>248</v>
      </c>
      <c r="G1106" s="5" t="s">
        <v>1969</v>
      </c>
      <c r="H1106" s="6" t="s">
        <v>3053</v>
      </c>
      <c r="I1106" s="7">
        <f>3579</f>
        <v>3579</v>
      </c>
      <c r="J1106" s="5" t="s">
        <v>262</v>
      </c>
      <c r="K1106" s="8">
        <f>1</f>
        <v>1</v>
      </c>
      <c r="L1106" s="6" t="s">
        <v>242</v>
      </c>
      <c r="M1106" s="5" t="s">
        <v>267</v>
      </c>
      <c r="N1106" s="5" t="s">
        <v>265</v>
      </c>
      <c r="O1106" s="5" t="s">
        <v>238</v>
      </c>
      <c r="P1106" s="5" t="s">
        <v>238</v>
      </c>
      <c r="Q1106" s="5" t="s">
        <v>268</v>
      </c>
      <c r="R1106" s="5" t="s">
        <v>270</v>
      </c>
      <c r="S1106" s="5" t="s">
        <v>238</v>
      </c>
      <c r="V1106" s="5" t="s">
        <v>238</v>
      </c>
      <c r="X1106" s="6" t="s">
        <v>238</v>
      </c>
      <c r="AA1106" s="6" t="s">
        <v>243</v>
      </c>
      <c r="AB1106" s="5" t="s">
        <v>238</v>
      </c>
      <c r="AC1106" s="5" t="s">
        <v>244</v>
      </c>
      <c r="AD1106" s="5" t="s">
        <v>245</v>
      </c>
      <c r="AT1106" s="5" t="s">
        <v>246</v>
      </c>
      <c r="AU1106" s="5" t="s">
        <v>238</v>
      </c>
      <c r="AV1106" s="5" t="s">
        <v>247</v>
      </c>
      <c r="AW1106" s="5" t="s">
        <v>238</v>
      </c>
      <c r="AX1106" s="5" t="s">
        <v>249</v>
      </c>
      <c r="AY1106" s="5" t="s">
        <v>238</v>
      </c>
      <c r="BA1106" s="5" t="s">
        <v>238</v>
      </c>
      <c r="BC1106" s="5" t="s">
        <v>250</v>
      </c>
      <c r="BD1106" s="6" t="s">
        <v>243</v>
      </c>
      <c r="BE1106" s="5" t="s">
        <v>251</v>
      </c>
      <c r="BF1106" s="5" t="s">
        <v>252</v>
      </c>
      <c r="BG1106" s="5" t="s">
        <v>238</v>
      </c>
      <c r="BH1106" s="7">
        <f>0</f>
        <v>0</v>
      </c>
      <c r="BI1106" s="8">
        <f>0</f>
        <v>0</v>
      </c>
      <c r="BJ1106" s="5" t="s">
        <v>253</v>
      </c>
      <c r="BK1106" s="5" t="s">
        <v>254</v>
      </c>
      <c r="BY1106" s="5" t="s">
        <v>238</v>
      </c>
      <c r="BZ1106" s="5" t="s">
        <v>238</v>
      </c>
      <c r="CD1106" s="5" t="s">
        <v>273</v>
      </c>
      <c r="CE1106" s="5" t="s">
        <v>256</v>
      </c>
      <c r="CF1106" s="5" t="s">
        <v>238</v>
      </c>
      <c r="CI1106" s="6" t="s">
        <v>257</v>
      </c>
      <c r="CJ1106" s="5" t="s">
        <v>238</v>
      </c>
      <c r="CK1106" s="5" t="s">
        <v>258</v>
      </c>
      <c r="CL1106" s="5" t="s">
        <v>238</v>
      </c>
      <c r="CM1106" s="5" t="s">
        <v>238</v>
      </c>
      <c r="CN1106" s="5">
        <v>0</v>
      </c>
      <c r="CO1106" s="5" t="s">
        <v>259</v>
      </c>
      <c r="CP1106" s="5" t="s">
        <v>260</v>
      </c>
      <c r="CQ1106" s="5" t="s">
        <v>260</v>
      </c>
      <c r="CR1106" s="5" t="s">
        <v>261</v>
      </c>
      <c r="CU1106" s="8">
        <f>1</f>
        <v>1</v>
      </c>
      <c r="CV1106" s="8">
        <f>0</f>
        <v>0</v>
      </c>
      <c r="CX1106" s="8">
        <f>0</f>
        <v>0</v>
      </c>
      <c r="CY1106" s="8">
        <f>1</f>
        <v>1</v>
      </c>
      <c r="DA1106" s="5" t="s">
        <v>673</v>
      </c>
      <c r="DB1106" s="5" t="s">
        <v>238</v>
      </c>
      <c r="DD1106" s="5" t="s">
        <v>673</v>
      </c>
      <c r="DE1106" s="8">
        <f>3579</f>
        <v>3579</v>
      </c>
      <c r="DG1106" s="5" t="s">
        <v>238</v>
      </c>
      <c r="DH1106" s="5" t="s">
        <v>238</v>
      </c>
      <c r="DI1106" s="5" t="s">
        <v>238</v>
      </c>
      <c r="DJ1106" s="5" t="s">
        <v>238</v>
      </c>
      <c r="DN1106" s="5" t="s">
        <v>238</v>
      </c>
      <c r="DO1106" s="5" t="s">
        <v>238</v>
      </c>
      <c r="DP1106" s="5" t="s">
        <v>238</v>
      </c>
      <c r="DQ1106" s="5" t="s">
        <v>238</v>
      </c>
      <c r="DT1106" s="5" t="s">
        <v>2039</v>
      </c>
      <c r="DU1106" s="5" t="s">
        <v>3054</v>
      </c>
      <c r="HM1106" s="5" t="s">
        <v>264</v>
      </c>
    </row>
    <row r="1107" spans="1:221" x14ac:dyDescent="0.4">
      <c r="A1107" s="5">
        <v>2782</v>
      </c>
      <c r="B1107" s="5">
        <v>1</v>
      </c>
      <c r="C1107" s="5">
        <v>1</v>
      </c>
      <c r="D1107" s="5" t="s">
        <v>2037</v>
      </c>
      <c r="E1107" s="5" t="s">
        <v>271</v>
      </c>
      <c r="F1107" s="5" t="s">
        <v>248</v>
      </c>
      <c r="G1107" s="5" t="s">
        <v>1969</v>
      </c>
      <c r="H1107" s="6" t="s">
        <v>3051</v>
      </c>
      <c r="I1107" s="7">
        <f>1717</f>
        <v>1717</v>
      </c>
      <c r="J1107" s="5" t="s">
        <v>262</v>
      </c>
      <c r="K1107" s="8">
        <f>1</f>
        <v>1</v>
      </c>
      <c r="L1107" s="6" t="s">
        <v>242</v>
      </c>
      <c r="M1107" s="5" t="s">
        <v>267</v>
      </c>
      <c r="N1107" s="5" t="s">
        <v>265</v>
      </c>
      <c r="O1107" s="5" t="s">
        <v>238</v>
      </c>
      <c r="P1107" s="5" t="s">
        <v>238</v>
      </c>
      <c r="Q1107" s="5" t="s">
        <v>268</v>
      </c>
      <c r="R1107" s="5" t="s">
        <v>270</v>
      </c>
      <c r="S1107" s="5" t="s">
        <v>238</v>
      </c>
      <c r="V1107" s="5" t="s">
        <v>238</v>
      </c>
      <c r="X1107" s="6" t="s">
        <v>238</v>
      </c>
      <c r="AA1107" s="6" t="s">
        <v>243</v>
      </c>
      <c r="AB1107" s="5" t="s">
        <v>238</v>
      </c>
      <c r="AC1107" s="5" t="s">
        <v>244</v>
      </c>
      <c r="AD1107" s="5" t="s">
        <v>245</v>
      </c>
      <c r="AT1107" s="5" t="s">
        <v>246</v>
      </c>
      <c r="AU1107" s="5" t="s">
        <v>238</v>
      </c>
      <c r="AV1107" s="5" t="s">
        <v>247</v>
      </c>
      <c r="AW1107" s="5" t="s">
        <v>238</v>
      </c>
      <c r="AX1107" s="5" t="s">
        <v>249</v>
      </c>
      <c r="AY1107" s="5" t="s">
        <v>238</v>
      </c>
      <c r="BA1107" s="5" t="s">
        <v>238</v>
      </c>
      <c r="BC1107" s="5" t="s">
        <v>250</v>
      </c>
      <c r="BD1107" s="6" t="s">
        <v>243</v>
      </c>
      <c r="BE1107" s="5" t="s">
        <v>251</v>
      </c>
      <c r="BF1107" s="5" t="s">
        <v>252</v>
      </c>
      <c r="BG1107" s="5" t="s">
        <v>238</v>
      </c>
      <c r="BH1107" s="7">
        <f>0</f>
        <v>0</v>
      </c>
      <c r="BI1107" s="8">
        <f>0</f>
        <v>0</v>
      </c>
      <c r="BJ1107" s="5" t="s">
        <v>253</v>
      </c>
      <c r="BK1107" s="5" t="s">
        <v>254</v>
      </c>
      <c r="BY1107" s="5" t="s">
        <v>238</v>
      </c>
      <c r="BZ1107" s="5" t="s">
        <v>238</v>
      </c>
      <c r="CD1107" s="5" t="s">
        <v>273</v>
      </c>
      <c r="CE1107" s="5" t="s">
        <v>256</v>
      </c>
      <c r="CF1107" s="5" t="s">
        <v>238</v>
      </c>
      <c r="CI1107" s="6" t="s">
        <v>257</v>
      </c>
      <c r="CJ1107" s="5" t="s">
        <v>238</v>
      </c>
      <c r="CK1107" s="5" t="s">
        <v>258</v>
      </c>
      <c r="CL1107" s="5" t="s">
        <v>238</v>
      </c>
      <c r="CM1107" s="5" t="s">
        <v>238</v>
      </c>
      <c r="CN1107" s="5">
        <v>0</v>
      </c>
      <c r="CO1107" s="5" t="s">
        <v>259</v>
      </c>
      <c r="CP1107" s="5" t="s">
        <v>260</v>
      </c>
      <c r="CQ1107" s="5" t="s">
        <v>260</v>
      </c>
      <c r="CR1107" s="5" t="s">
        <v>261</v>
      </c>
      <c r="CU1107" s="8">
        <f>1</f>
        <v>1</v>
      </c>
      <c r="CV1107" s="8">
        <f>0</f>
        <v>0</v>
      </c>
      <c r="CX1107" s="8">
        <f>0</f>
        <v>0</v>
      </c>
      <c r="CY1107" s="8">
        <f>1</f>
        <v>1</v>
      </c>
      <c r="DA1107" s="5" t="s">
        <v>673</v>
      </c>
      <c r="DB1107" s="5" t="s">
        <v>238</v>
      </c>
      <c r="DD1107" s="5" t="s">
        <v>673</v>
      </c>
      <c r="DE1107" s="8">
        <f>1717</f>
        <v>1717</v>
      </c>
      <c r="DG1107" s="5" t="s">
        <v>238</v>
      </c>
      <c r="DH1107" s="5" t="s">
        <v>238</v>
      </c>
      <c r="DI1107" s="5" t="s">
        <v>238</v>
      </c>
      <c r="DJ1107" s="5" t="s">
        <v>238</v>
      </c>
      <c r="DN1107" s="5" t="s">
        <v>238</v>
      </c>
      <c r="DO1107" s="5" t="s">
        <v>238</v>
      </c>
      <c r="DP1107" s="5" t="s">
        <v>238</v>
      </c>
      <c r="DQ1107" s="5" t="s">
        <v>238</v>
      </c>
      <c r="DT1107" s="5" t="s">
        <v>2039</v>
      </c>
      <c r="DU1107" s="5" t="s">
        <v>3052</v>
      </c>
      <c r="HM1107" s="5" t="s">
        <v>264</v>
      </c>
    </row>
    <row r="1108" spans="1:221" x14ac:dyDescent="0.4">
      <c r="A1108" s="5">
        <v>2783</v>
      </c>
      <c r="B1108" s="5">
        <v>1</v>
      </c>
      <c r="C1108" s="5">
        <v>1</v>
      </c>
      <c r="D1108" s="5" t="s">
        <v>2037</v>
      </c>
      <c r="E1108" s="5" t="s">
        <v>271</v>
      </c>
      <c r="F1108" s="5" t="s">
        <v>248</v>
      </c>
      <c r="G1108" s="5" t="s">
        <v>1969</v>
      </c>
      <c r="H1108" s="6" t="s">
        <v>3049</v>
      </c>
      <c r="I1108" s="7">
        <f>735</f>
        <v>735</v>
      </c>
      <c r="J1108" s="5" t="s">
        <v>262</v>
      </c>
      <c r="K1108" s="8">
        <f>1</f>
        <v>1</v>
      </c>
      <c r="L1108" s="6" t="s">
        <v>242</v>
      </c>
      <c r="M1108" s="5" t="s">
        <v>267</v>
      </c>
      <c r="N1108" s="5" t="s">
        <v>265</v>
      </c>
      <c r="O1108" s="5" t="s">
        <v>238</v>
      </c>
      <c r="P1108" s="5" t="s">
        <v>238</v>
      </c>
      <c r="Q1108" s="5" t="s">
        <v>268</v>
      </c>
      <c r="R1108" s="5" t="s">
        <v>270</v>
      </c>
      <c r="S1108" s="5" t="s">
        <v>238</v>
      </c>
      <c r="V1108" s="5" t="s">
        <v>238</v>
      </c>
      <c r="X1108" s="6" t="s">
        <v>238</v>
      </c>
      <c r="AA1108" s="6" t="s">
        <v>243</v>
      </c>
      <c r="AB1108" s="5" t="s">
        <v>238</v>
      </c>
      <c r="AC1108" s="5" t="s">
        <v>244</v>
      </c>
      <c r="AD1108" s="5" t="s">
        <v>245</v>
      </c>
      <c r="AT1108" s="5" t="s">
        <v>246</v>
      </c>
      <c r="AU1108" s="5" t="s">
        <v>238</v>
      </c>
      <c r="AV1108" s="5" t="s">
        <v>247</v>
      </c>
      <c r="AW1108" s="5" t="s">
        <v>238</v>
      </c>
      <c r="AX1108" s="5" t="s">
        <v>249</v>
      </c>
      <c r="AY1108" s="5" t="s">
        <v>238</v>
      </c>
      <c r="BA1108" s="5" t="s">
        <v>238</v>
      </c>
      <c r="BC1108" s="5" t="s">
        <v>250</v>
      </c>
      <c r="BD1108" s="6" t="s">
        <v>243</v>
      </c>
      <c r="BE1108" s="5" t="s">
        <v>251</v>
      </c>
      <c r="BF1108" s="5" t="s">
        <v>252</v>
      </c>
      <c r="BG1108" s="5" t="s">
        <v>238</v>
      </c>
      <c r="BH1108" s="7">
        <f>0</f>
        <v>0</v>
      </c>
      <c r="BI1108" s="8">
        <f>0</f>
        <v>0</v>
      </c>
      <c r="BJ1108" s="5" t="s">
        <v>253</v>
      </c>
      <c r="BK1108" s="5" t="s">
        <v>254</v>
      </c>
      <c r="BY1108" s="5" t="s">
        <v>238</v>
      </c>
      <c r="BZ1108" s="5" t="s">
        <v>238</v>
      </c>
      <c r="CD1108" s="5" t="s">
        <v>273</v>
      </c>
      <c r="CE1108" s="5" t="s">
        <v>256</v>
      </c>
      <c r="CF1108" s="5" t="s">
        <v>238</v>
      </c>
      <c r="CI1108" s="6" t="s">
        <v>257</v>
      </c>
      <c r="CJ1108" s="5" t="s">
        <v>238</v>
      </c>
      <c r="CK1108" s="5" t="s">
        <v>258</v>
      </c>
      <c r="CL1108" s="5" t="s">
        <v>238</v>
      </c>
      <c r="CM1108" s="5" t="s">
        <v>238</v>
      </c>
      <c r="CN1108" s="5">
        <v>0</v>
      </c>
      <c r="CO1108" s="5" t="s">
        <v>259</v>
      </c>
      <c r="CP1108" s="5" t="s">
        <v>260</v>
      </c>
      <c r="CQ1108" s="5" t="s">
        <v>260</v>
      </c>
      <c r="CR1108" s="5" t="s">
        <v>261</v>
      </c>
      <c r="CU1108" s="8">
        <f>1</f>
        <v>1</v>
      </c>
      <c r="CV1108" s="8">
        <f>0</f>
        <v>0</v>
      </c>
      <c r="CX1108" s="8">
        <f>0</f>
        <v>0</v>
      </c>
      <c r="CY1108" s="8">
        <f>1</f>
        <v>1</v>
      </c>
      <c r="DA1108" s="5" t="s">
        <v>673</v>
      </c>
      <c r="DB1108" s="5" t="s">
        <v>238</v>
      </c>
      <c r="DD1108" s="5" t="s">
        <v>673</v>
      </c>
      <c r="DE1108" s="8">
        <f>735</f>
        <v>735</v>
      </c>
      <c r="DG1108" s="5" t="s">
        <v>238</v>
      </c>
      <c r="DH1108" s="5" t="s">
        <v>238</v>
      </c>
      <c r="DI1108" s="5" t="s">
        <v>238</v>
      </c>
      <c r="DJ1108" s="5" t="s">
        <v>238</v>
      </c>
      <c r="DN1108" s="5" t="s">
        <v>238</v>
      </c>
      <c r="DO1108" s="5" t="s">
        <v>238</v>
      </c>
      <c r="DP1108" s="5" t="s">
        <v>238</v>
      </c>
      <c r="DQ1108" s="5" t="s">
        <v>238</v>
      </c>
      <c r="DT1108" s="5" t="s">
        <v>2039</v>
      </c>
      <c r="DU1108" s="5" t="s">
        <v>3050</v>
      </c>
      <c r="HM1108" s="5" t="s">
        <v>264</v>
      </c>
    </row>
    <row r="1109" spans="1:221" x14ac:dyDescent="0.4">
      <c r="A1109" s="5">
        <v>2784</v>
      </c>
      <c r="B1109" s="5">
        <v>1</v>
      </c>
      <c r="C1109" s="5">
        <v>1</v>
      </c>
      <c r="D1109" s="5" t="s">
        <v>2037</v>
      </c>
      <c r="E1109" s="5" t="s">
        <v>271</v>
      </c>
      <c r="F1109" s="5" t="s">
        <v>248</v>
      </c>
      <c r="G1109" s="5" t="s">
        <v>1969</v>
      </c>
      <c r="H1109" s="6" t="s">
        <v>3046</v>
      </c>
      <c r="I1109" s="7">
        <f>1007</f>
        <v>1007</v>
      </c>
      <c r="J1109" s="5" t="s">
        <v>262</v>
      </c>
      <c r="K1109" s="8">
        <f>1</f>
        <v>1</v>
      </c>
      <c r="L1109" s="6" t="s">
        <v>242</v>
      </c>
      <c r="M1109" s="5" t="s">
        <v>267</v>
      </c>
      <c r="N1109" s="5" t="s">
        <v>265</v>
      </c>
      <c r="O1109" s="5" t="s">
        <v>238</v>
      </c>
      <c r="P1109" s="5" t="s">
        <v>238</v>
      </c>
      <c r="Q1109" s="5" t="s">
        <v>268</v>
      </c>
      <c r="R1109" s="5" t="s">
        <v>270</v>
      </c>
      <c r="S1109" s="5" t="s">
        <v>238</v>
      </c>
      <c r="V1109" s="5" t="s">
        <v>238</v>
      </c>
      <c r="X1109" s="6" t="s">
        <v>238</v>
      </c>
      <c r="AA1109" s="6" t="s">
        <v>243</v>
      </c>
      <c r="AB1109" s="5" t="s">
        <v>238</v>
      </c>
      <c r="AC1109" s="5" t="s">
        <v>244</v>
      </c>
      <c r="AD1109" s="5" t="s">
        <v>245</v>
      </c>
      <c r="AT1109" s="5" t="s">
        <v>246</v>
      </c>
      <c r="AU1109" s="5" t="s">
        <v>238</v>
      </c>
      <c r="AV1109" s="5" t="s">
        <v>247</v>
      </c>
      <c r="AW1109" s="5" t="s">
        <v>238</v>
      </c>
      <c r="AX1109" s="5" t="s">
        <v>249</v>
      </c>
      <c r="AY1109" s="5" t="s">
        <v>238</v>
      </c>
      <c r="BA1109" s="5" t="s">
        <v>238</v>
      </c>
      <c r="BC1109" s="5" t="s">
        <v>250</v>
      </c>
      <c r="BD1109" s="6" t="s">
        <v>243</v>
      </c>
      <c r="BE1109" s="5" t="s">
        <v>251</v>
      </c>
      <c r="BF1109" s="5" t="s">
        <v>252</v>
      </c>
      <c r="BG1109" s="5" t="s">
        <v>238</v>
      </c>
      <c r="BH1109" s="7">
        <f>0</f>
        <v>0</v>
      </c>
      <c r="BI1109" s="8">
        <f>0</f>
        <v>0</v>
      </c>
      <c r="BJ1109" s="5" t="s">
        <v>253</v>
      </c>
      <c r="BK1109" s="5" t="s">
        <v>254</v>
      </c>
      <c r="BY1109" s="5" t="s">
        <v>238</v>
      </c>
      <c r="BZ1109" s="5" t="s">
        <v>238</v>
      </c>
      <c r="CD1109" s="5" t="s">
        <v>273</v>
      </c>
      <c r="CE1109" s="5" t="s">
        <v>256</v>
      </c>
      <c r="CF1109" s="5" t="s">
        <v>238</v>
      </c>
      <c r="CI1109" s="6" t="s">
        <v>257</v>
      </c>
      <c r="CJ1109" s="5" t="s">
        <v>238</v>
      </c>
      <c r="CK1109" s="5" t="s">
        <v>258</v>
      </c>
      <c r="CL1109" s="5" t="s">
        <v>238</v>
      </c>
      <c r="CM1109" s="5" t="s">
        <v>238</v>
      </c>
      <c r="CN1109" s="5">
        <v>0</v>
      </c>
      <c r="CO1109" s="5" t="s">
        <v>259</v>
      </c>
      <c r="CP1109" s="5" t="s">
        <v>260</v>
      </c>
      <c r="CQ1109" s="5" t="s">
        <v>260</v>
      </c>
      <c r="CR1109" s="5" t="s">
        <v>261</v>
      </c>
      <c r="CU1109" s="8">
        <f>1</f>
        <v>1</v>
      </c>
      <c r="CV1109" s="8">
        <f>0</f>
        <v>0</v>
      </c>
      <c r="CX1109" s="8">
        <f>0</f>
        <v>0</v>
      </c>
      <c r="CY1109" s="8">
        <f>1</f>
        <v>1</v>
      </c>
      <c r="DA1109" s="5" t="s">
        <v>673</v>
      </c>
      <c r="DB1109" s="5" t="s">
        <v>238</v>
      </c>
      <c r="DD1109" s="5" t="s">
        <v>673</v>
      </c>
      <c r="DE1109" s="8">
        <f>1007</f>
        <v>1007</v>
      </c>
      <c r="DG1109" s="5" t="s">
        <v>238</v>
      </c>
      <c r="DH1109" s="5" t="s">
        <v>238</v>
      </c>
      <c r="DI1109" s="5" t="s">
        <v>238</v>
      </c>
      <c r="DJ1109" s="5" t="s">
        <v>238</v>
      </c>
      <c r="DN1109" s="5" t="s">
        <v>238</v>
      </c>
      <c r="DO1109" s="5" t="s">
        <v>238</v>
      </c>
      <c r="DP1109" s="5" t="s">
        <v>238</v>
      </c>
      <c r="DQ1109" s="5" t="s">
        <v>238</v>
      </c>
      <c r="DT1109" s="5" t="s">
        <v>2039</v>
      </c>
      <c r="DU1109" s="5" t="s">
        <v>3047</v>
      </c>
      <c r="HM1109" s="5" t="s">
        <v>264</v>
      </c>
    </row>
    <row r="1110" spans="1:221" x14ac:dyDescent="0.4">
      <c r="A1110" s="5">
        <v>2785</v>
      </c>
      <c r="B1110" s="5">
        <v>1</v>
      </c>
      <c r="C1110" s="5">
        <v>1</v>
      </c>
      <c r="D1110" s="5" t="s">
        <v>2037</v>
      </c>
      <c r="E1110" s="5" t="s">
        <v>271</v>
      </c>
      <c r="F1110" s="5" t="s">
        <v>248</v>
      </c>
      <c r="G1110" s="5" t="s">
        <v>1969</v>
      </c>
      <c r="H1110" s="6" t="s">
        <v>3044</v>
      </c>
      <c r="I1110" s="7">
        <f>1801</f>
        <v>1801</v>
      </c>
      <c r="J1110" s="5" t="s">
        <v>262</v>
      </c>
      <c r="K1110" s="8">
        <f>1</f>
        <v>1</v>
      </c>
      <c r="L1110" s="6" t="s">
        <v>242</v>
      </c>
      <c r="M1110" s="5" t="s">
        <v>267</v>
      </c>
      <c r="N1110" s="5" t="s">
        <v>265</v>
      </c>
      <c r="O1110" s="5" t="s">
        <v>238</v>
      </c>
      <c r="P1110" s="5" t="s">
        <v>238</v>
      </c>
      <c r="Q1110" s="5" t="s">
        <v>268</v>
      </c>
      <c r="R1110" s="5" t="s">
        <v>270</v>
      </c>
      <c r="S1110" s="5" t="s">
        <v>238</v>
      </c>
      <c r="V1110" s="5" t="s">
        <v>238</v>
      </c>
      <c r="X1110" s="6" t="s">
        <v>238</v>
      </c>
      <c r="AA1110" s="6" t="s">
        <v>243</v>
      </c>
      <c r="AB1110" s="5" t="s">
        <v>238</v>
      </c>
      <c r="AC1110" s="5" t="s">
        <v>244</v>
      </c>
      <c r="AD1110" s="5" t="s">
        <v>245</v>
      </c>
      <c r="AT1110" s="5" t="s">
        <v>246</v>
      </c>
      <c r="AU1110" s="5" t="s">
        <v>238</v>
      </c>
      <c r="AV1110" s="5" t="s">
        <v>247</v>
      </c>
      <c r="AW1110" s="5" t="s">
        <v>238</v>
      </c>
      <c r="AX1110" s="5" t="s">
        <v>249</v>
      </c>
      <c r="AY1110" s="5" t="s">
        <v>238</v>
      </c>
      <c r="BA1110" s="5" t="s">
        <v>238</v>
      </c>
      <c r="BC1110" s="5" t="s">
        <v>250</v>
      </c>
      <c r="BD1110" s="6" t="s">
        <v>243</v>
      </c>
      <c r="BE1110" s="5" t="s">
        <v>251</v>
      </c>
      <c r="BF1110" s="5" t="s">
        <v>252</v>
      </c>
      <c r="BG1110" s="5" t="s">
        <v>238</v>
      </c>
      <c r="BH1110" s="7">
        <f>0</f>
        <v>0</v>
      </c>
      <c r="BI1110" s="8">
        <f>0</f>
        <v>0</v>
      </c>
      <c r="BJ1110" s="5" t="s">
        <v>253</v>
      </c>
      <c r="BK1110" s="5" t="s">
        <v>254</v>
      </c>
      <c r="BY1110" s="5" t="s">
        <v>238</v>
      </c>
      <c r="BZ1110" s="5" t="s">
        <v>238</v>
      </c>
      <c r="CD1110" s="5" t="s">
        <v>273</v>
      </c>
      <c r="CE1110" s="5" t="s">
        <v>256</v>
      </c>
      <c r="CF1110" s="5" t="s">
        <v>238</v>
      </c>
      <c r="CI1110" s="6" t="s">
        <v>257</v>
      </c>
      <c r="CJ1110" s="5" t="s">
        <v>238</v>
      </c>
      <c r="CK1110" s="5" t="s">
        <v>258</v>
      </c>
      <c r="CL1110" s="5" t="s">
        <v>238</v>
      </c>
      <c r="CM1110" s="5" t="s">
        <v>238</v>
      </c>
      <c r="CN1110" s="5">
        <v>0</v>
      </c>
      <c r="CO1110" s="5" t="s">
        <v>259</v>
      </c>
      <c r="CP1110" s="5" t="s">
        <v>260</v>
      </c>
      <c r="CQ1110" s="5" t="s">
        <v>260</v>
      </c>
      <c r="CR1110" s="5" t="s">
        <v>261</v>
      </c>
      <c r="CU1110" s="8">
        <f>1</f>
        <v>1</v>
      </c>
      <c r="CV1110" s="8">
        <f>0</f>
        <v>0</v>
      </c>
      <c r="CX1110" s="8">
        <f>0</f>
        <v>0</v>
      </c>
      <c r="CY1110" s="8">
        <f>1</f>
        <v>1</v>
      </c>
      <c r="DA1110" s="5" t="s">
        <v>673</v>
      </c>
      <c r="DB1110" s="5" t="s">
        <v>238</v>
      </c>
      <c r="DD1110" s="5" t="s">
        <v>673</v>
      </c>
      <c r="DE1110" s="8">
        <f>1801</f>
        <v>1801</v>
      </c>
      <c r="DG1110" s="5" t="s">
        <v>238</v>
      </c>
      <c r="DH1110" s="5" t="s">
        <v>238</v>
      </c>
      <c r="DI1110" s="5" t="s">
        <v>238</v>
      </c>
      <c r="DJ1110" s="5" t="s">
        <v>238</v>
      </c>
      <c r="DN1110" s="5" t="s">
        <v>238</v>
      </c>
      <c r="DO1110" s="5" t="s">
        <v>238</v>
      </c>
      <c r="DP1110" s="5" t="s">
        <v>238</v>
      </c>
      <c r="DQ1110" s="5" t="s">
        <v>238</v>
      </c>
      <c r="DT1110" s="5" t="s">
        <v>2039</v>
      </c>
      <c r="DU1110" s="5" t="s">
        <v>3045</v>
      </c>
      <c r="HM1110" s="5" t="s">
        <v>264</v>
      </c>
    </row>
    <row r="1111" spans="1:221" x14ac:dyDescent="0.4">
      <c r="A1111" s="5">
        <v>2786</v>
      </c>
      <c r="B1111" s="5">
        <v>1</v>
      </c>
      <c r="C1111" s="5">
        <v>1</v>
      </c>
      <c r="D1111" s="5" t="s">
        <v>2037</v>
      </c>
      <c r="E1111" s="5" t="s">
        <v>271</v>
      </c>
      <c r="F1111" s="5" t="s">
        <v>248</v>
      </c>
      <c r="G1111" s="5" t="s">
        <v>1969</v>
      </c>
      <c r="H1111" s="6" t="s">
        <v>3042</v>
      </c>
      <c r="I1111" s="7">
        <f>908</f>
        <v>908</v>
      </c>
      <c r="J1111" s="5" t="s">
        <v>262</v>
      </c>
      <c r="K1111" s="8">
        <f>1</f>
        <v>1</v>
      </c>
      <c r="L1111" s="6" t="s">
        <v>242</v>
      </c>
      <c r="M1111" s="5" t="s">
        <v>267</v>
      </c>
      <c r="N1111" s="5" t="s">
        <v>265</v>
      </c>
      <c r="O1111" s="5" t="s">
        <v>238</v>
      </c>
      <c r="P1111" s="5" t="s">
        <v>238</v>
      </c>
      <c r="Q1111" s="5" t="s">
        <v>268</v>
      </c>
      <c r="R1111" s="5" t="s">
        <v>270</v>
      </c>
      <c r="S1111" s="5" t="s">
        <v>238</v>
      </c>
      <c r="V1111" s="5" t="s">
        <v>238</v>
      </c>
      <c r="X1111" s="6" t="s">
        <v>238</v>
      </c>
      <c r="AA1111" s="6" t="s">
        <v>243</v>
      </c>
      <c r="AB1111" s="5" t="s">
        <v>238</v>
      </c>
      <c r="AC1111" s="5" t="s">
        <v>244</v>
      </c>
      <c r="AD1111" s="5" t="s">
        <v>245</v>
      </c>
      <c r="AT1111" s="5" t="s">
        <v>246</v>
      </c>
      <c r="AU1111" s="5" t="s">
        <v>238</v>
      </c>
      <c r="AV1111" s="5" t="s">
        <v>247</v>
      </c>
      <c r="AW1111" s="5" t="s">
        <v>238</v>
      </c>
      <c r="AX1111" s="5" t="s">
        <v>249</v>
      </c>
      <c r="AY1111" s="5" t="s">
        <v>238</v>
      </c>
      <c r="BA1111" s="5" t="s">
        <v>238</v>
      </c>
      <c r="BC1111" s="5" t="s">
        <v>250</v>
      </c>
      <c r="BD1111" s="6" t="s">
        <v>243</v>
      </c>
      <c r="BE1111" s="5" t="s">
        <v>251</v>
      </c>
      <c r="BF1111" s="5" t="s">
        <v>252</v>
      </c>
      <c r="BG1111" s="5" t="s">
        <v>238</v>
      </c>
      <c r="BH1111" s="7">
        <f>0</f>
        <v>0</v>
      </c>
      <c r="BI1111" s="8">
        <f>0</f>
        <v>0</v>
      </c>
      <c r="BJ1111" s="5" t="s">
        <v>253</v>
      </c>
      <c r="BK1111" s="5" t="s">
        <v>254</v>
      </c>
      <c r="BY1111" s="5" t="s">
        <v>238</v>
      </c>
      <c r="BZ1111" s="5" t="s">
        <v>238</v>
      </c>
      <c r="CD1111" s="5" t="s">
        <v>273</v>
      </c>
      <c r="CE1111" s="5" t="s">
        <v>256</v>
      </c>
      <c r="CF1111" s="5" t="s">
        <v>238</v>
      </c>
      <c r="CI1111" s="6" t="s">
        <v>257</v>
      </c>
      <c r="CJ1111" s="5" t="s">
        <v>238</v>
      </c>
      <c r="CK1111" s="5" t="s">
        <v>258</v>
      </c>
      <c r="CL1111" s="5" t="s">
        <v>238</v>
      </c>
      <c r="CM1111" s="5" t="s">
        <v>238</v>
      </c>
      <c r="CN1111" s="5">
        <v>0</v>
      </c>
      <c r="CO1111" s="5" t="s">
        <v>259</v>
      </c>
      <c r="CP1111" s="5" t="s">
        <v>260</v>
      </c>
      <c r="CQ1111" s="5" t="s">
        <v>260</v>
      </c>
      <c r="CR1111" s="5" t="s">
        <v>261</v>
      </c>
      <c r="CU1111" s="8">
        <f>1</f>
        <v>1</v>
      </c>
      <c r="CV1111" s="8">
        <f>0</f>
        <v>0</v>
      </c>
      <c r="CX1111" s="8">
        <f>0</f>
        <v>0</v>
      </c>
      <c r="CY1111" s="8">
        <f>1</f>
        <v>1</v>
      </c>
      <c r="DA1111" s="5" t="s">
        <v>673</v>
      </c>
      <c r="DB1111" s="5" t="s">
        <v>238</v>
      </c>
      <c r="DD1111" s="5" t="s">
        <v>673</v>
      </c>
      <c r="DE1111" s="8">
        <f>908</f>
        <v>908</v>
      </c>
      <c r="DG1111" s="5" t="s">
        <v>238</v>
      </c>
      <c r="DH1111" s="5" t="s">
        <v>238</v>
      </c>
      <c r="DI1111" s="5" t="s">
        <v>238</v>
      </c>
      <c r="DJ1111" s="5" t="s">
        <v>238</v>
      </c>
      <c r="DN1111" s="5" t="s">
        <v>238</v>
      </c>
      <c r="DO1111" s="5" t="s">
        <v>238</v>
      </c>
      <c r="DP1111" s="5" t="s">
        <v>238</v>
      </c>
      <c r="DQ1111" s="5" t="s">
        <v>238</v>
      </c>
      <c r="DT1111" s="5" t="s">
        <v>2039</v>
      </c>
      <c r="DU1111" s="5" t="s">
        <v>3043</v>
      </c>
      <c r="HM1111" s="5" t="s">
        <v>264</v>
      </c>
    </row>
    <row r="1112" spans="1:221" x14ac:dyDescent="0.4">
      <c r="A1112" s="5">
        <v>2787</v>
      </c>
      <c r="B1112" s="5">
        <v>1</v>
      </c>
      <c r="C1112" s="5">
        <v>1</v>
      </c>
      <c r="D1112" s="5" t="s">
        <v>2037</v>
      </c>
      <c r="E1112" s="5" t="s">
        <v>271</v>
      </c>
      <c r="F1112" s="5" t="s">
        <v>248</v>
      </c>
      <c r="G1112" s="5" t="s">
        <v>1969</v>
      </c>
      <c r="H1112" s="6" t="s">
        <v>3040</v>
      </c>
      <c r="I1112" s="7">
        <f>1826</f>
        <v>1826</v>
      </c>
      <c r="J1112" s="5" t="s">
        <v>262</v>
      </c>
      <c r="K1112" s="8">
        <f>1</f>
        <v>1</v>
      </c>
      <c r="L1112" s="6" t="s">
        <v>242</v>
      </c>
      <c r="M1112" s="5" t="s">
        <v>267</v>
      </c>
      <c r="N1112" s="5" t="s">
        <v>265</v>
      </c>
      <c r="O1112" s="5" t="s">
        <v>238</v>
      </c>
      <c r="P1112" s="5" t="s">
        <v>238</v>
      </c>
      <c r="Q1112" s="5" t="s">
        <v>268</v>
      </c>
      <c r="R1112" s="5" t="s">
        <v>270</v>
      </c>
      <c r="S1112" s="5" t="s">
        <v>238</v>
      </c>
      <c r="V1112" s="5" t="s">
        <v>238</v>
      </c>
      <c r="X1112" s="6" t="s">
        <v>238</v>
      </c>
      <c r="AA1112" s="6" t="s">
        <v>243</v>
      </c>
      <c r="AB1112" s="5" t="s">
        <v>238</v>
      </c>
      <c r="AC1112" s="5" t="s">
        <v>244</v>
      </c>
      <c r="AD1112" s="5" t="s">
        <v>245</v>
      </c>
      <c r="AT1112" s="5" t="s">
        <v>246</v>
      </c>
      <c r="AU1112" s="5" t="s">
        <v>238</v>
      </c>
      <c r="AV1112" s="5" t="s">
        <v>247</v>
      </c>
      <c r="AW1112" s="5" t="s">
        <v>238</v>
      </c>
      <c r="AX1112" s="5" t="s">
        <v>249</v>
      </c>
      <c r="AY1112" s="5" t="s">
        <v>238</v>
      </c>
      <c r="BA1112" s="5" t="s">
        <v>238</v>
      </c>
      <c r="BC1112" s="5" t="s">
        <v>250</v>
      </c>
      <c r="BD1112" s="6" t="s">
        <v>243</v>
      </c>
      <c r="BE1112" s="5" t="s">
        <v>251</v>
      </c>
      <c r="BF1112" s="5" t="s">
        <v>252</v>
      </c>
      <c r="BG1112" s="5" t="s">
        <v>238</v>
      </c>
      <c r="BH1112" s="7">
        <f>0</f>
        <v>0</v>
      </c>
      <c r="BI1112" s="8">
        <f>0</f>
        <v>0</v>
      </c>
      <c r="BJ1112" s="5" t="s">
        <v>253</v>
      </c>
      <c r="BK1112" s="5" t="s">
        <v>254</v>
      </c>
      <c r="BY1112" s="5" t="s">
        <v>238</v>
      </c>
      <c r="BZ1112" s="5" t="s">
        <v>238</v>
      </c>
      <c r="CD1112" s="5" t="s">
        <v>273</v>
      </c>
      <c r="CE1112" s="5" t="s">
        <v>256</v>
      </c>
      <c r="CF1112" s="5" t="s">
        <v>238</v>
      </c>
      <c r="CI1112" s="6" t="s">
        <v>257</v>
      </c>
      <c r="CJ1112" s="5" t="s">
        <v>238</v>
      </c>
      <c r="CK1112" s="5" t="s">
        <v>258</v>
      </c>
      <c r="CL1112" s="5" t="s">
        <v>238</v>
      </c>
      <c r="CM1112" s="5" t="s">
        <v>238</v>
      </c>
      <c r="CN1112" s="5">
        <v>0</v>
      </c>
      <c r="CO1112" s="5" t="s">
        <v>259</v>
      </c>
      <c r="CP1112" s="5" t="s">
        <v>260</v>
      </c>
      <c r="CQ1112" s="5" t="s">
        <v>260</v>
      </c>
      <c r="CR1112" s="5" t="s">
        <v>261</v>
      </c>
      <c r="CU1112" s="8">
        <f>1</f>
        <v>1</v>
      </c>
      <c r="CV1112" s="8">
        <f>0</f>
        <v>0</v>
      </c>
      <c r="CX1112" s="8">
        <f>0</f>
        <v>0</v>
      </c>
      <c r="CY1112" s="8">
        <f>1</f>
        <v>1</v>
      </c>
      <c r="DA1112" s="5" t="s">
        <v>673</v>
      </c>
      <c r="DB1112" s="5" t="s">
        <v>238</v>
      </c>
      <c r="DD1112" s="5" t="s">
        <v>673</v>
      </c>
      <c r="DE1112" s="8">
        <f>1826</f>
        <v>1826</v>
      </c>
      <c r="DG1112" s="5" t="s">
        <v>238</v>
      </c>
      <c r="DH1112" s="5" t="s">
        <v>238</v>
      </c>
      <c r="DI1112" s="5" t="s">
        <v>238</v>
      </c>
      <c r="DJ1112" s="5" t="s">
        <v>238</v>
      </c>
      <c r="DN1112" s="5" t="s">
        <v>238</v>
      </c>
      <c r="DO1112" s="5" t="s">
        <v>238</v>
      </c>
      <c r="DP1112" s="5" t="s">
        <v>238</v>
      </c>
      <c r="DQ1112" s="5" t="s">
        <v>238</v>
      </c>
      <c r="DT1112" s="5" t="s">
        <v>2039</v>
      </c>
      <c r="DU1112" s="5" t="s">
        <v>3041</v>
      </c>
      <c r="HM1112" s="5" t="s">
        <v>264</v>
      </c>
    </row>
    <row r="1113" spans="1:221" x14ac:dyDescent="0.4">
      <c r="A1113" s="5">
        <v>2788</v>
      </c>
      <c r="B1113" s="5">
        <v>1</v>
      </c>
      <c r="C1113" s="5">
        <v>1</v>
      </c>
      <c r="D1113" s="5" t="s">
        <v>2037</v>
      </c>
      <c r="E1113" s="5" t="s">
        <v>271</v>
      </c>
      <c r="F1113" s="5" t="s">
        <v>248</v>
      </c>
      <c r="G1113" s="5" t="s">
        <v>1969</v>
      </c>
      <c r="H1113" s="6" t="s">
        <v>3037</v>
      </c>
      <c r="I1113" s="7">
        <f>691</f>
        <v>691</v>
      </c>
      <c r="J1113" s="5" t="s">
        <v>262</v>
      </c>
      <c r="K1113" s="8">
        <f>1</f>
        <v>1</v>
      </c>
      <c r="L1113" s="6" t="s">
        <v>242</v>
      </c>
      <c r="M1113" s="5" t="s">
        <v>267</v>
      </c>
      <c r="N1113" s="5" t="s">
        <v>265</v>
      </c>
      <c r="O1113" s="5" t="s">
        <v>238</v>
      </c>
      <c r="P1113" s="5" t="s">
        <v>238</v>
      </c>
      <c r="Q1113" s="5" t="s">
        <v>268</v>
      </c>
      <c r="R1113" s="5" t="s">
        <v>270</v>
      </c>
      <c r="S1113" s="5" t="s">
        <v>238</v>
      </c>
      <c r="V1113" s="5" t="s">
        <v>238</v>
      </c>
      <c r="X1113" s="6" t="s">
        <v>238</v>
      </c>
      <c r="AA1113" s="6" t="s">
        <v>243</v>
      </c>
      <c r="AB1113" s="5" t="s">
        <v>238</v>
      </c>
      <c r="AC1113" s="5" t="s">
        <v>244</v>
      </c>
      <c r="AD1113" s="5" t="s">
        <v>245</v>
      </c>
      <c r="AT1113" s="5" t="s">
        <v>246</v>
      </c>
      <c r="AU1113" s="5" t="s">
        <v>238</v>
      </c>
      <c r="AV1113" s="5" t="s">
        <v>247</v>
      </c>
      <c r="AW1113" s="5" t="s">
        <v>238</v>
      </c>
      <c r="AX1113" s="5" t="s">
        <v>249</v>
      </c>
      <c r="AY1113" s="5" t="s">
        <v>238</v>
      </c>
      <c r="BA1113" s="5" t="s">
        <v>238</v>
      </c>
      <c r="BC1113" s="5" t="s">
        <v>250</v>
      </c>
      <c r="BD1113" s="6" t="s">
        <v>243</v>
      </c>
      <c r="BE1113" s="5" t="s">
        <v>251</v>
      </c>
      <c r="BF1113" s="5" t="s">
        <v>252</v>
      </c>
      <c r="BG1113" s="5" t="s">
        <v>238</v>
      </c>
      <c r="BH1113" s="7">
        <f>0</f>
        <v>0</v>
      </c>
      <c r="BI1113" s="8">
        <f>0</f>
        <v>0</v>
      </c>
      <c r="BJ1113" s="5" t="s">
        <v>253</v>
      </c>
      <c r="BK1113" s="5" t="s">
        <v>254</v>
      </c>
      <c r="BY1113" s="5" t="s">
        <v>238</v>
      </c>
      <c r="BZ1113" s="5" t="s">
        <v>238</v>
      </c>
      <c r="CD1113" s="5" t="s">
        <v>273</v>
      </c>
      <c r="CE1113" s="5" t="s">
        <v>256</v>
      </c>
      <c r="CF1113" s="5" t="s">
        <v>238</v>
      </c>
      <c r="CI1113" s="6" t="s">
        <v>257</v>
      </c>
      <c r="CJ1113" s="5" t="s">
        <v>238</v>
      </c>
      <c r="CK1113" s="5" t="s">
        <v>258</v>
      </c>
      <c r="CL1113" s="5" t="s">
        <v>238</v>
      </c>
      <c r="CM1113" s="5" t="s">
        <v>238</v>
      </c>
      <c r="CN1113" s="5">
        <v>0</v>
      </c>
      <c r="CO1113" s="5" t="s">
        <v>259</v>
      </c>
      <c r="CP1113" s="5" t="s">
        <v>260</v>
      </c>
      <c r="CQ1113" s="5" t="s">
        <v>260</v>
      </c>
      <c r="CR1113" s="5" t="s">
        <v>261</v>
      </c>
      <c r="CU1113" s="8">
        <f>1</f>
        <v>1</v>
      </c>
      <c r="CV1113" s="8">
        <f>0</f>
        <v>0</v>
      </c>
      <c r="CX1113" s="8">
        <f>0</f>
        <v>0</v>
      </c>
      <c r="CY1113" s="8">
        <f>1</f>
        <v>1</v>
      </c>
      <c r="DA1113" s="5" t="s">
        <v>673</v>
      </c>
      <c r="DB1113" s="5" t="s">
        <v>238</v>
      </c>
      <c r="DD1113" s="5" t="s">
        <v>673</v>
      </c>
      <c r="DE1113" s="8">
        <f>691</f>
        <v>691</v>
      </c>
      <c r="DG1113" s="5" t="s">
        <v>238</v>
      </c>
      <c r="DH1113" s="5" t="s">
        <v>238</v>
      </c>
      <c r="DI1113" s="5" t="s">
        <v>238</v>
      </c>
      <c r="DJ1113" s="5" t="s">
        <v>238</v>
      </c>
      <c r="DN1113" s="5" t="s">
        <v>238</v>
      </c>
      <c r="DO1113" s="5" t="s">
        <v>238</v>
      </c>
      <c r="DP1113" s="5" t="s">
        <v>238</v>
      </c>
      <c r="DQ1113" s="5" t="s">
        <v>238</v>
      </c>
      <c r="DT1113" s="5" t="s">
        <v>2039</v>
      </c>
      <c r="DU1113" s="5" t="s">
        <v>3038</v>
      </c>
      <c r="HM1113" s="5" t="s">
        <v>264</v>
      </c>
    </row>
    <row r="1114" spans="1:221" x14ac:dyDescent="0.4">
      <c r="A1114" s="5">
        <v>2789</v>
      </c>
      <c r="B1114" s="5">
        <v>1</v>
      </c>
      <c r="C1114" s="5">
        <v>1</v>
      </c>
      <c r="D1114" s="5" t="s">
        <v>2037</v>
      </c>
      <c r="E1114" s="5" t="s">
        <v>271</v>
      </c>
      <c r="F1114" s="5" t="s">
        <v>248</v>
      </c>
      <c r="G1114" s="5" t="s">
        <v>1969</v>
      </c>
      <c r="H1114" s="6" t="s">
        <v>3035</v>
      </c>
      <c r="I1114" s="7">
        <f>600</f>
        <v>600</v>
      </c>
      <c r="J1114" s="5" t="s">
        <v>262</v>
      </c>
      <c r="K1114" s="8">
        <f>1</f>
        <v>1</v>
      </c>
      <c r="L1114" s="6" t="s">
        <v>242</v>
      </c>
      <c r="M1114" s="5" t="s">
        <v>267</v>
      </c>
      <c r="N1114" s="5" t="s">
        <v>265</v>
      </c>
      <c r="O1114" s="5" t="s">
        <v>238</v>
      </c>
      <c r="P1114" s="5" t="s">
        <v>238</v>
      </c>
      <c r="Q1114" s="5" t="s">
        <v>268</v>
      </c>
      <c r="R1114" s="5" t="s">
        <v>270</v>
      </c>
      <c r="S1114" s="5" t="s">
        <v>238</v>
      </c>
      <c r="V1114" s="5" t="s">
        <v>238</v>
      </c>
      <c r="X1114" s="6" t="s">
        <v>238</v>
      </c>
      <c r="AA1114" s="6" t="s">
        <v>243</v>
      </c>
      <c r="AB1114" s="5" t="s">
        <v>238</v>
      </c>
      <c r="AC1114" s="5" t="s">
        <v>244</v>
      </c>
      <c r="AD1114" s="5" t="s">
        <v>245</v>
      </c>
      <c r="AT1114" s="5" t="s">
        <v>246</v>
      </c>
      <c r="AU1114" s="5" t="s">
        <v>238</v>
      </c>
      <c r="AV1114" s="5" t="s">
        <v>247</v>
      </c>
      <c r="AW1114" s="5" t="s">
        <v>238</v>
      </c>
      <c r="AX1114" s="5" t="s">
        <v>249</v>
      </c>
      <c r="AY1114" s="5" t="s">
        <v>238</v>
      </c>
      <c r="BA1114" s="5" t="s">
        <v>238</v>
      </c>
      <c r="BC1114" s="5" t="s">
        <v>250</v>
      </c>
      <c r="BD1114" s="6" t="s">
        <v>243</v>
      </c>
      <c r="BE1114" s="5" t="s">
        <v>251</v>
      </c>
      <c r="BF1114" s="5" t="s">
        <v>252</v>
      </c>
      <c r="BG1114" s="5" t="s">
        <v>238</v>
      </c>
      <c r="BH1114" s="7">
        <f>0</f>
        <v>0</v>
      </c>
      <c r="BI1114" s="8">
        <f>0</f>
        <v>0</v>
      </c>
      <c r="BJ1114" s="5" t="s">
        <v>253</v>
      </c>
      <c r="BK1114" s="5" t="s">
        <v>254</v>
      </c>
      <c r="BY1114" s="5" t="s">
        <v>238</v>
      </c>
      <c r="BZ1114" s="5" t="s">
        <v>238</v>
      </c>
      <c r="CD1114" s="5" t="s">
        <v>273</v>
      </c>
      <c r="CE1114" s="5" t="s">
        <v>256</v>
      </c>
      <c r="CF1114" s="5" t="s">
        <v>238</v>
      </c>
      <c r="CI1114" s="6" t="s">
        <v>257</v>
      </c>
      <c r="CJ1114" s="5" t="s">
        <v>238</v>
      </c>
      <c r="CK1114" s="5" t="s">
        <v>258</v>
      </c>
      <c r="CL1114" s="5" t="s">
        <v>238</v>
      </c>
      <c r="CM1114" s="5" t="s">
        <v>238</v>
      </c>
      <c r="CN1114" s="5">
        <v>0</v>
      </c>
      <c r="CO1114" s="5" t="s">
        <v>259</v>
      </c>
      <c r="CP1114" s="5" t="s">
        <v>260</v>
      </c>
      <c r="CQ1114" s="5" t="s">
        <v>260</v>
      </c>
      <c r="CR1114" s="5" t="s">
        <v>261</v>
      </c>
      <c r="CU1114" s="8">
        <f>1</f>
        <v>1</v>
      </c>
      <c r="CV1114" s="8">
        <f>0</f>
        <v>0</v>
      </c>
      <c r="CX1114" s="8">
        <f>0</f>
        <v>0</v>
      </c>
      <c r="CY1114" s="8">
        <f>1</f>
        <v>1</v>
      </c>
      <c r="DA1114" s="5" t="s">
        <v>673</v>
      </c>
      <c r="DB1114" s="5" t="s">
        <v>238</v>
      </c>
      <c r="DD1114" s="5" t="s">
        <v>673</v>
      </c>
      <c r="DE1114" s="8">
        <f>600</f>
        <v>600</v>
      </c>
      <c r="DG1114" s="5" t="s">
        <v>238</v>
      </c>
      <c r="DH1114" s="5" t="s">
        <v>238</v>
      </c>
      <c r="DI1114" s="5" t="s">
        <v>238</v>
      </c>
      <c r="DJ1114" s="5" t="s">
        <v>238</v>
      </c>
      <c r="DN1114" s="5" t="s">
        <v>238</v>
      </c>
      <c r="DO1114" s="5" t="s">
        <v>238</v>
      </c>
      <c r="DP1114" s="5" t="s">
        <v>238</v>
      </c>
      <c r="DQ1114" s="5" t="s">
        <v>238</v>
      </c>
      <c r="DT1114" s="5" t="s">
        <v>2039</v>
      </c>
      <c r="DU1114" s="5" t="s">
        <v>3036</v>
      </c>
      <c r="HM1114" s="5" t="s">
        <v>264</v>
      </c>
    </row>
    <row r="1115" spans="1:221" x14ac:dyDescent="0.4">
      <c r="A1115" s="5">
        <v>2790</v>
      </c>
      <c r="B1115" s="5">
        <v>1</v>
      </c>
      <c r="C1115" s="5">
        <v>1</v>
      </c>
      <c r="D1115" s="5" t="s">
        <v>2037</v>
      </c>
      <c r="E1115" s="5" t="s">
        <v>271</v>
      </c>
      <c r="F1115" s="5" t="s">
        <v>248</v>
      </c>
      <c r="G1115" s="5" t="s">
        <v>1969</v>
      </c>
      <c r="H1115" s="6" t="s">
        <v>3031</v>
      </c>
      <c r="I1115" s="7">
        <f>202</f>
        <v>202</v>
      </c>
      <c r="J1115" s="5" t="s">
        <v>262</v>
      </c>
      <c r="K1115" s="8">
        <f>1</f>
        <v>1</v>
      </c>
      <c r="L1115" s="6" t="s">
        <v>242</v>
      </c>
      <c r="M1115" s="5" t="s">
        <v>267</v>
      </c>
      <c r="N1115" s="5" t="s">
        <v>265</v>
      </c>
      <c r="O1115" s="5" t="s">
        <v>238</v>
      </c>
      <c r="P1115" s="5" t="s">
        <v>238</v>
      </c>
      <c r="Q1115" s="5" t="s">
        <v>268</v>
      </c>
      <c r="R1115" s="5" t="s">
        <v>270</v>
      </c>
      <c r="S1115" s="5" t="s">
        <v>238</v>
      </c>
      <c r="V1115" s="5" t="s">
        <v>238</v>
      </c>
      <c r="X1115" s="6" t="s">
        <v>238</v>
      </c>
      <c r="AA1115" s="6" t="s">
        <v>243</v>
      </c>
      <c r="AB1115" s="5" t="s">
        <v>238</v>
      </c>
      <c r="AC1115" s="5" t="s">
        <v>244</v>
      </c>
      <c r="AD1115" s="5" t="s">
        <v>245</v>
      </c>
      <c r="AT1115" s="5" t="s">
        <v>246</v>
      </c>
      <c r="AU1115" s="5" t="s">
        <v>238</v>
      </c>
      <c r="AV1115" s="5" t="s">
        <v>247</v>
      </c>
      <c r="AW1115" s="5" t="s">
        <v>238</v>
      </c>
      <c r="AX1115" s="5" t="s">
        <v>249</v>
      </c>
      <c r="AY1115" s="5" t="s">
        <v>238</v>
      </c>
      <c r="BA1115" s="5" t="s">
        <v>238</v>
      </c>
      <c r="BC1115" s="5" t="s">
        <v>250</v>
      </c>
      <c r="BD1115" s="6" t="s">
        <v>243</v>
      </c>
      <c r="BE1115" s="5" t="s">
        <v>251</v>
      </c>
      <c r="BF1115" s="5" t="s">
        <v>252</v>
      </c>
      <c r="BG1115" s="5" t="s">
        <v>238</v>
      </c>
      <c r="BH1115" s="7">
        <f>0</f>
        <v>0</v>
      </c>
      <c r="BI1115" s="8">
        <f>0</f>
        <v>0</v>
      </c>
      <c r="BJ1115" s="5" t="s">
        <v>253</v>
      </c>
      <c r="BK1115" s="5" t="s">
        <v>254</v>
      </c>
      <c r="BY1115" s="5" t="s">
        <v>238</v>
      </c>
      <c r="BZ1115" s="5" t="s">
        <v>238</v>
      </c>
      <c r="CD1115" s="5" t="s">
        <v>273</v>
      </c>
      <c r="CE1115" s="5" t="s">
        <v>256</v>
      </c>
      <c r="CF1115" s="5" t="s">
        <v>238</v>
      </c>
      <c r="CI1115" s="6" t="s">
        <v>257</v>
      </c>
      <c r="CJ1115" s="5" t="s">
        <v>238</v>
      </c>
      <c r="CK1115" s="5" t="s">
        <v>258</v>
      </c>
      <c r="CL1115" s="5" t="s">
        <v>238</v>
      </c>
      <c r="CM1115" s="5" t="s">
        <v>238</v>
      </c>
      <c r="CN1115" s="5">
        <v>0</v>
      </c>
      <c r="CO1115" s="5" t="s">
        <v>259</v>
      </c>
      <c r="CP1115" s="5" t="s">
        <v>260</v>
      </c>
      <c r="CQ1115" s="5" t="s">
        <v>260</v>
      </c>
      <c r="CR1115" s="5" t="s">
        <v>261</v>
      </c>
      <c r="CU1115" s="8">
        <f>1</f>
        <v>1</v>
      </c>
      <c r="CV1115" s="8">
        <f>0</f>
        <v>0</v>
      </c>
      <c r="CX1115" s="8">
        <f>0</f>
        <v>0</v>
      </c>
      <c r="CY1115" s="8">
        <f>1</f>
        <v>1</v>
      </c>
      <c r="DA1115" s="5" t="s">
        <v>673</v>
      </c>
      <c r="DB1115" s="5" t="s">
        <v>238</v>
      </c>
      <c r="DD1115" s="5" t="s">
        <v>673</v>
      </c>
      <c r="DE1115" s="8">
        <f>202</f>
        <v>202</v>
      </c>
      <c r="DG1115" s="5" t="s">
        <v>238</v>
      </c>
      <c r="DH1115" s="5" t="s">
        <v>238</v>
      </c>
      <c r="DI1115" s="5" t="s">
        <v>238</v>
      </c>
      <c r="DJ1115" s="5" t="s">
        <v>238</v>
      </c>
      <c r="DN1115" s="5" t="s">
        <v>238</v>
      </c>
      <c r="DO1115" s="5" t="s">
        <v>238</v>
      </c>
      <c r="DP1115" s="5" t="s">
        <v>238</v>
      </c>
      <c r="DQ1115" s="5" t="s">
        <v>238</v>
      </c>
      <c r="DT1115" s="5" t="s">
        <v>2039</v>
      </c>
      <c r="DU1115" s="5" t="s">
        <v>3032</v>
      </c>
      <c r="HM1115" s="5" t="s">
        <v>264</v>
      </c>
    </row>
    <row r="1116" spans="1:221" x14ac:dyDescent="0.4">
      <c r="A1116" s="5">
        <v>2791</v>
      </c>
      <c r="B1116" s="5">
        <v>1</v>
      </c>
      <c r="C1116" s="5">
        <v>1</v>
      </c>
      <c r="D1116" s="5" t="s">
        <v>2037</v>
      </c>
      <c r="E1116" s="5" t="s">
        <v>271</v>
      </c>
      <c r="F1116" s="5" t="s">
        <v>248</v>
      </c>
      <c r="G1116" s="5" t="s">
        <v>1969</v>
      </c>
      <c r="H1116" s="6" t="s">
        <v>3029</v>
      </c>
      <c r="I1116" s="7">
        <f>9865</f>
        <v>9865</v>
      </c>
      <c r="J1116" s="5" t="s">
        <v>262</v>
      </c>
      <c r="K1116" s="8">
        <f>1</f>
        <v>1</v>
      </c>
      <c r="L1116" s="6" t="s">
        <v>242</v>
      </c>
      <c r="M1116" s="5" t="s">
        <v>267</v>
      </c>
      <c r="N1116" s="5" t="s">
        <v>265</v>
      </c>
      <c r="O1116" s="5" t="s">
        <v>238</v>
      </c>
      <c r="P1116" s="5" t="s">
        <v>238</v>
      </c>
      <c r="Q1116" s="5" t="s">
        <v>268</v>
      </c>
      <c r="R1116" s="5" t="s">
        <v>270</v>
      </c>
      <c r="S1116" s="5" t="s">
        <v>238</v>
      </c>
      <c r="V1116" s="5" t="s">
        <v>238</v>
      </c>
      <c r="X1116" s="6" t="s">
        <v>238</v>
      </c>
      <c r="AA1116" s="6" t="s">
        <v>243</v>
      </c>
      <c r="AB1116" s="5" t="s">
        <v>238</v>
      </c>
      <c r="AC1116" s="5" t="s">
        <v>244</v>
      </c>
      <c r="AD1116" s="5" t="s">
        <v>245</v>
      </c>
      <c r="AT1116" s="5" t="s">
        <v>246</v>
      </c>
      <c r="AU1116" s="5" t="s">
        <v>238</v>
      </c>
      <c r="AV1116" s="5" t="s">
        <v>247</v>
      </c>
      <c r="AW1116" s="5" t="s">
        <v>238</v>
      </c>
      <c r="AX1116" s="5" t="s">
        <v>249</v>
      </c>
      <c r="AY1116" s="5" t="s">
        <v>238</v>
      </c>
      <c r="BA1116" s="5" t="s">
        <v>238</v>
      </c>
      <c r="BC1116" s="5" t="s">
        <v>250</v>
      </c>
      <c r="BD1116" s="6" t="s">
        <v>243</v>
      </c>
      <c r="BE1116" s="5" t="s">
        <v>251</v>
      </c>
      <c r="BF1116" s="5" t="s">
        <v>252</v>
      </c>
      <c r="BG1116" s="5" t="s">
        <v>238</v>
      </c>
      <c r="BH1116" s="7">
        <f>0</f>
        <v>0</v>
      </c>
      <c r="BI1116" s="8">
        <f>0</f>
        <v>0</v>
      </c>
      <c r="BJ1116" s="5" t="s">
        <v>253</v>
      </c>
      <c r="BK1116" s="5" t="s">
        <v>254</v>
      </c>
      <c r="BY1116" s="5" t="s">
        <v>238</v>
      </c>
      <c r="BZ1116" s="5" t="s">
        <v>238</v>
      </c>
      <c r="CD1116" s="5" t="s">
        <v>273</v>
      </c>
      <c r="CE1116" s="5" t="s">
        <v>256</v>
      </c>
      <c r="CF1116" s="5" t="s">
        <v>238</v>
      </c>
      <c r="CI1116" s="6" t="s">
        <v>257</v>
      </c>
      <c r="CJ1116" s="5" t="s">
        <v>238</v>
      </c>
      <c r="CK1116" s="5" t="s">
        <v>258</v>
      </c>
      <c r="CL1116" s="5" t="s">
        <v>238</v>
      </c>
      <c r="CM1116" s="5" t="s">
        <v>238</v>
      </c>
      <c r="CN1116" s="5">
        <v>0</v>
      </c>
      <c r="CO1116" s="5" t="s">
        <v>259</v>
      </c>
      <c r="CP1116" s="5" t="s">
        <v>260</v>
      </c>
      <c r="CQ1116" s="5" t="s">
        <v>260</v>
      </c>
      <c r="CR1116" s="5" t="s">
        <v>261</v>
      </c>
      <c r="CU1116" s="8">
        <f>1</f>
        <v>1</v>
      </c>
      <c r="CV1116" s="8">
        <f>0</f>
        <v>0</v>
      </c>
      <c r="CX1116" s="8">
        <f>0</f>
        <v>0</v>
      </c>
      <c r="CY1116" s="8">
        <f>1</f>
        <v>1</v>
      </c>
      <c r="DA1116" s="5" t="s">
        <v>673</v>
      </c>
      <c r="DB1116" s="5" t="s">
        <v>238</v>
      </c>
      <c r="DD1116" s="5" t="s">
        <v>673</v>
      </c>
      <c r="DE1116" s="8">
        <f>9865</f>
        <v>9865</v>
      </c>
      <c r="DG1116" s="5" t="s">
        <v>238</v>
      </c>
      <c r="DH1116" s="5" t="s">
        <v>238</v>
      </c>
      <c r="DI1116" s="5" t="s">
        <v>238</v>
      </c>
      <c r="DJ1116" s="5" t="s">
        <v>238</v>
      </c>
      <c r="DN1116" s="5" t="s">
        <v>238</v>
      </c>
      <c r="DO1116" s="5" t="s">
        <v>238</v>
      </c>
      <c r="DP1116" s="5" t="s">
        <v>238</v>
      </c>
      <c r="DQ1116" s="5" t="s">
        <v>238</v>
      </c>
      <c r="DT1116" s="5" t="s">
        <v>2039</v>
      </c>
      <c r="DU1116" s="5" t="s">
        <v>3030</v>
      </c>
      <c r="HM1116" s="5" t="s">
        <v>264</v>
      </c>
    </row>
    <row r="1117" spans="1:221" x14ac:dyDescent="0.4">
      <c r="A1117" s="5">
        <v>2792</v>
      </c>
      <c r="B1117" s="5">
        <v>1</v>
      </c>
      <c r="C1117" s="5">
        <v>1</v>
      </c>
      <c r="D1117" s="5" t="s">
        <v>2037</v>
      </c>
      <c r="E1117" s="5" t="s">
        <v>271</v>
      </c>
      <c r="F1117" s="5" t="s">
        <v>248</v>
      </c>
      <c r="G1117" s="5" t="s">
        <v>1969</v>
      </c>
      <c r="H1117" s="6" t="s">
        <v>3027</v>
      </c>
      <c r="I1117" s="7">
        <f>696</f>
        <v>696</v>
      </c>
      <c r="J1117" s="5" t="s">
        <v>262</v>
      </c>
      <c r="K1117" s="8">
        <f>1</f>
        <v>1</v>
      </c>
      <c r="L1117" s="6" t="s">
        <v>242</v>
      </c>
      <c r="M1117" s="5" t="s">
        <v>267</v>
      </c>
      <c r="N1117" s="5" t="s">
        <v>265</v>
      </c>
      <c r="O1117" s="5" t="s">
        <v>238</v>
      </c>
      <c r="P1117" s="5" t="s">
        <v>238</v>
      </c>
      <c r="Q1117" s="5" t="s">
        <v>268</v>
      </c>
      <c r="R1117" s="5" t="s">
        <v>270</v>
      </c>
      <c r="S1117" s="5" t="s">
        <v>238</v>
      </c>
      <c r="V1117" s="5" t="s">
        <v>238</v>
      </c>
      <c r="X1117" s="6" t="s">
        <v>238</v>
      </c>
      <c r="AA1117" s="6" t="s">
        <v>243</v>
      </c>
      <c r="AB1117" s="5" t="s">
        <v>238</v>
      </c>
      <c r="AC1117" s="5" t="s">
        <v>244</v>
      </c>
      <c r="AD1117" s="5" t="s">
        <v>245</v>
      </c>
      <c r="AT1117" s="5" t="s">
        <v>246</v>
      </c>
      <c r="AU1117" s="5" t="s">
        <v>238</v>
      </c>
      <c r="AV1117" s="5" t="s">
        <v>247</v>
      </c>
      <c r="AW1117" s="5" t="s">
        <v>238</v>
      </c>
      <c r="AX1117" s="5" t="s">
        <v>249</v>
      </c>
      <c r="AY1117" s="5" t="s">
        <v>238</v>
      </c>
      <c r="BA1117" s="5" t="s">
        <v>238</v>
      </c>
      <c r="BC1117" s="5" t="s">
        <v>250</v>
      </c>
      <c r="BD1117" s="6" t="s">
        <v>243</v>
      </c>
      <c r="BE1117" s="5" t="s">
        <v>251</v>
      </c>
      <c r="BF1117" s="5" t="s">
        <v>252</v>
      </c>
      <c r="BG1117" s="5" t="s">
        <v>238</v>
      </c>
      <c r="BH1117" s="7">
        <f>0</f>
        <v>0</v>
      </c>
      <c r="BI1117" s="8">
        <f>0</f>
        <v>0</v>
      </c>
      <c r="BJ1117" s="5" t="s">
        <v>253</v>
      </c>
      <c r="BK1117" s="5" t="s">
        <v>254</v>
      </c>
      <c r="BY1117" s="5" t="s">
        <v>238</v>
      </c>
      <c r="BZ1117" s="5" t="s">
        <v>238</v>
      </c>
      <c r="CD1117" s="5" t="s">
        <v>273</v>
      </c>
      <c r="CE1117" s="5" t="s">
        <v>256</v>
      </c>
      <c r="CF1117" s="5" t="s">
        <v>238</v>
      </c>
      <c r="CI1117" s="6" t="s">
        <v>257</v>
      </c>
      <c r="CJ1117" s="5" t="s">
        <v>238</v>
      </c>
      <c r="CK1117" s="5" t="s">
        <v>258</v>
      </c>
      <c r="CL1117" s="5" t="s">
        <v>238</v>
      </c>
      <c r="CM1117" s="5" t="s">
        <v>238</v>
      </c>
      <c r="CN1117" s="5">
        <v>0</v>
      </c>
      <c r="CO1117" s="5" t="s">
        <v>259</v>
      </c>
      <c r="CP1117" s="5" t="s">
        <v>260</v>
      </c>
      <c r="CQ1117" s="5" t="s">
        <v>260</v>
      </c>
      <c r="CR1117" s="5" t="s">
        <v>261</v>
      </c>
      <c r="CU1117" s="8">
        <f>1</f>
        <v>1</v>
      </c>
      <c r="CV1117" s="8">
        <f>0</f>
        <v>0</v>
      </c>
      <c r="CX1117" s="8">
        <f>0</f>
        <v>0</v>
      </c>
      <c r="CY1117" s="8">
        <f>1</f>
        <v>1</v>
      </c>
      <c r="DA1117" s="5" t="s">
        <v>673</v>
      </c>
      <c r="DB1117" s="5" t="s">
        <v>238</v>
      </c>
      <c r="DD1117" s="5" t="s">
        <v>673</v>
      </c>
      <c r="DE1117" s="8">
        <f>696</f>
        <v>696</v>
      </c>
      <c r="DG1117" s="5" t="s">
        <v>238</v>
      </c>
      <c r="DH1117" s="5" t="s">
        <v>238</v>
      </c>
      <c r="DI1117" s="5" t="s">
        <v>238</v>
      </c>
      <c r="DJ1117" s="5" t="s">
        <v>238</v>
      </c>
      <c r="DN1117" s="5" t="s">
        <v>238</v>
      </c>
      <c r="DO1117" s="5" t="s">
        <v>238</v>
      </c>
      <c r="DP1117" s="5" t="s">
        <v>238</v>
      </c>
      <c r="DQ1117" s="5" t="s">
        <v>238</v>
      </c>
      <c r="DT1117" s="5" t="s">
        <v>2039</v>
      </c>
      <c r="DU1117" s="5" t="s">
        <v>3028</v>
      </c>
      <c r="HM1117" s="5" t="s">
        <v>264</v>
      </c>
    </row>
    <row r="1118" spans="1:221" x14ac:dyDescent="0.4">
      <c r="A1118" s="5">
        <v>2793</v>
      </c>
      <c r="B1118" s="5">
        <v>1</v>
      </c>
      <c r="C1118" s="5">
        <v>1</v>
      </c>
      <c r="D1118" s="5" t="s">
        <v>2037</v>
      </c>
      <c r="E1118" s="5" t="s">
        <v>271</v>
      </c>
      <c r="F1118" s="5" t="s">
        <v>248</v>
      </c>
      <c r="G1118" s="5" t="s">
        <v>1969</v>
      </c>
      <c r="H1118" s="6" t="s">
        <v>3025</v>
      </c>
      <c r="I1118" s="7">
        <f>3433</f>
        <v>3433</v>
      </c>
      <c r="J1118" s="5" t="s">
        <v>262</v>
      </c>
      <c r="K1118" s="8">
        <f>1</f>
        <v>1</v>
      </c>
      <c r="L1118" s="6" t="s">
        <v>242</v>
      </c>
      <c r="M1118" s="5" t="s">
        <v>267</v>
      </c>
      <c r="N1118" s="5" t="s">
        <v>265</v>
      </c>
      <c r="O1118" s="5" t="s">
        <v>238</v>
      </c>
      <c r="P1118" s="5" t="s">
        <v>238</v>
      </c>
      <c r="Q1118" s="5" t="s">
        <v>268</v>
      </c>
      <c r="R1118" s="5" t="s">
        <v>270</v>
      </c>
      <c r="S1118" s="5" t="s">
        <v>238</v>
      </c>
      <c r="V1118" s="5" t="s">
        <v>238</v>
      </c>
      <c r="X1118" s="6" t="s">
        <v>238</v>
      </c>
      <c r="AA1118" s="6" t="s">
        <v>243</v>
      </c>
      <c r="AB1118" s="5" t="s">
        <v>238</v>
      </c>
      <c r="AC1118" s="5" t="s">
        <v>244</v>
      </c>
      <c r="AD1118" s="5" t="s">
        <v>245</v>
      </c>
      <c r="AT1118" s="5" t="s">
        <v>246</v>
      </c>
      <c r="AU1118" s="5" t="s">
        <v>238</v>
      </c>
      <c r="AV1118" s="5" t="s">
        <v>247</v>
      </c>
      <c r="AW1118" s="5" t="s">
        <v>238</v>
      </c>
      <c r="AX1118" s="5" t="s">
        <v>249</v>
      </c>
      <c r="AY1118" s="5" t="s">
        <v>238</v>
      </c>
      <c r="BA1118" s="5" t="s">
        <v>238</v>
      </c>
      <c r="BC1118" s="5" t="s">
        <v>250</v>
      </c>
      <c r="BD1118" s="6" t="s">
        <v>243</v>
      </c>
      <c r="BE1118" s="5" t="s">
        <v>251</v>
      </c>
      <c r="BF1118" s="5" t="s">
        <v>252</v>
      </c>
      <c r="BG1118" s="5" t="s">
        <v>238</v>
      </c>
      <c r="BH1118" s="7">
        <f>0</f>
        <v>0</v>
      </c>
      <c r="BI1118" s="8">
        <f>0</f>
        <v>0</v>
      </c>
      <c r="BJ1118" s="5" t="s">
        <v>253</v>
      </c>
      <c r="BK1118" s="5" t="s">
        <v>254</v>
      </c>
      <c r="BY1118" s="5" t="s">
        <v>238</v>
      </c>
      <c r="BZ1118" s="5" t="s">
        <v>238</v>
      </c>
      <c r="CD1118" s="5" t="s">
        <v>273</v>
      </c>
      <c r="CE1118" s="5" t="s">
        <v>256</v>
      </c>
      <c r="CF1118" s="5" t="s">
        <v>238</v>
      </c>
      <c r="CI1118" s="6" t="s">
        <v>257</v>
      </c>
      <c r="CJ1118" s="5" t="s">
        <v>238</v>
      </c>
      <c r="CK1118" s="5" t="s">
        <v>258</v>
      </c>
      <c r="CL1118" s="5" t="s">
        <v>238</v>
      </c>
      <c r="CM1118" s="5" t="s">
        <v>238</v>
      </c>
      <c r="CN1118" s="5">
        <v>0</v>
      </c>
      <c r="CO1118" s="5" t="s">
        <v>259</v>
      </c>
      <c r="CP1118" s="5" t="s">
        <v>260</v>
      </c>
      <c r="CQ1118" s="5" t="s">
        <v>260</v>
      </c>
      <c r="CR1118" s="5" t="s">
        <v>261</v>
      </c>
      <c r="CU1118" s="8">
        <f>1</f>
        <v>1</v>
      </c>
      <c r="CV1118" s="8">
        <f>0</f>
        <v>0</v>
      </c>
      <c r="CX1118" s="8">
        <f>0</f>
        <v>0</v>
      </c>
      <c r="CY1118" s="8">
        <f>1</f>
        <v>1</v>
      </c>
      <c r="DA1118" s="5" t="s">
        <v>673</v>
      </c>
      <c r="DB1118" s="5" t="s">
        <v>238</v>
      </c>
      <c r="DD1118" s="5" t="s">
        <v>673</v>
      </c>
      <c r="DE1118" s="8">
        <f>3433</f>
        <v>3433</v>
      </c>
      <c r="DG1118" s="5" t="s">
        <v>238</v>
      </c>
      <c r="DH1118" s="5" t="s">
        <v>238</v>
      </c>
      <c r="DI1118" s="5" t="s">
        <v>238</v>
      </c>
      <c r="DJ1118" s="5" t="s">
        <v>238</v>
      </c>
      <c r="DN1118" s="5" t="s">
        <v>238</v>
      </c>
      <c r="DO1118" s="5" t="s">
        <v>238</v>
      </c>
      <c r="DP1118" s="5" t="s">
        <v>238</v>
      </c>
      <c r="DQ1118" s="5" t="s">
        <v>238</v>
      </c>
      <c r="DT1118" s="5" t="s">
        <v>2039</v>
      </c>
      <c r="DU1118" s="5" t="s">
        <v>3026</v>
      </c>
      <c r="HM1118" s="5" t="s">
        <v>264</v>
      </c>
    </row>
    <row r="1119" spans="1:221" x14ac:dyDescent="0.4">
      <c r="A1119" s="5">
        <v>2794</v>
      </c>
      <c r="B1119" s="5">
        <v>1</v>
      </c>
      <c r="C1119" s="5">
        <v>1</v>
      </c>
      <c r="D1119" s="5" t="s">
        <v>2037</v>
      </c>
      <c r="E1119" s="5" t="s">
        <v>271</v>
      </c>
      <c r="F1119" s="5" t="s">
        <v>248</v>
      </c>
      <c r="G1119" s="5" t="s">
        <v>1969</v>
      </c>
      <c r="H1119" s="6" t="s">
        <v>3023</v>
      </c>
      <c r="I1119" s="7">
        <f>1899</f>
        <v>1899</v>
      </c>
      <c r="J1119" s="5" t="s">
        <v>262</v>
      </c>
      <c r="K1119" s="8">
        <f>1</f>
        <v>1</v>
      </c>
      <c r="L1119" s="6" t="s">
        <v>242</v>
      </c>
      <c r="M1119" s="5" t="s">
        <v>267</v>
      </c>
      <c r="N1119" s="5" t="s">
        <v>265</v>
      </c>
      <c r="O1119" s="5" t="s">
        <v>238</v>
      </c>
      <c r="P1119" s="5" t="s">
        <v>238</v>
      </c>
      <c r="Q1119" s="5" t="s">
        <v>268</v>
      </c>
      <c r="R1119" s="5" t="s">
        <v>270</v>
      </c>
      <c r="S1119" s="5" t="s">
        <v>238</v>
      </c>
      <c r="V1119" s="5" t="s">
        <v>238</v>
      </c>
      <c r="X1119" s="6" t="s">
        <v>238</v>
      </c>
      <c r="AA1119" s="6" t="s">
        <v>243</v>
      </c>
      <c r="AB1119" s="5" t="s">
        <v>238</v>
      </c>
      <c r="AC1119" s="5" t="s">
        <v>244</v>
      </c>
      <c r="AD1119" s="5" t="s">
        <v>245</v>
      </c>
      <c r="AT1119" s="5" t="s">
        <v>246</v>
      </c>
      <c r="AU1119" s="5" t="s">
        <v>238</v>
      </c>
      <c r="AV1119" s="5" t="s">
        <v>247</v>
      </c>
      <c r="AW1119" s="5" t="s">
        <v>238</v>
      </c>
      <c r="AX1119" s="5" t="s">
        <v>249</v>
      </c>
      <c r="AY1119" s="5" t="s">
        <v>238</v>
      </c>
      <c r="BA1119" s="5" t="s">
        <v>238</v>
      </c>
      <c r="BC1119" s="5" t="s">
        <v>250</v>
      </c>
      <c r="BD1119" s="6" t="s">
        <v>243</v>
      </c>
      <c r="BE1119" s="5" t="s">
        <v>251</v>
      </c>
      <c r="BF1119" s="5" t="s">
        <v>252</v>
      </c>
      <c r="BG1119" s="5" t="s">
        <v>238</v>
      </c>
      <c r="BH1119" s="7">
        <f>0</f>
        <v>0</v>
      </c>
      <c r="BI1119" s="8">
        <f>0</f>
        <v>0</v>
      </c>
      <c r="BJ1119" s="5" t="s">
        <v>253</v>
      </c>
      <c r="BK1119" s="5" t="s">
        <v>254</v>
      </c>
      <c r="BY1119" s="5" t="s">
        <v>238</v>
      </c>
      <c r="BZ1119" s="5" t="s">
        <v>238</v>
      </c>
      <c r="CD1119" s="5" t="s">
        <v>273</v>
      </c>
      <c r="CE1119" s="5" t="s">
        <v>256</v>
      </c>
      <c r="CF1119" s="5" t="s">
        <v>238</v>
      </c>
      <c r="CI1119" s="6" t="s">
        <v>257</v>
      </c>
      <c r="CJ1119" s="5" t="s">
        <v>238</v>
      </c>
      <c r="CK1119" s="5" t="s">
        <v>258</v>
      </c>
      <c r="CL1119" s="5" t="s">
        <v>238</v>
      </c>
      <c r="CM1119" s="5" t="s">
        <v>238</v>
      </c>
      <c r="CN1119" s="5">
        <v>0</v>
      </c>
      <c r="CO1119" s="5" t="s">
        <v>259</v>
      </c>
      <c r="CP1119" s="5" t="s">
        <v>260</v>
      </c>
      <c r="CQ1119" s="5" t="s">
        <v>260</v>
      </c>
      <c r="CR1119" s="5" t="s">
        <v>261</v>
      </c>
      <c r="CU1119" s="8">
        <f>1</f>
        <v>1</v>
      </c>
      <c r="CV1119" s="8">
        <f>0</f>
        <v>0</v>
      </c>
      <c r="CX1119" s="8">
        <f>0</f>
        <v>0</v>
      </c>
      <c r="CY1119" s="8">
        <f>1</f>
        <v>1</v>
      </c>
      <c r="DA1119" s="5" t="s">
        <v>673</v>
      </c>
      <c r="DB1119" s="5" t="s">
        <v>238</v>
      </c>
      <c r="DD1119" s="5" t="s">
        <v>673</v>
      </c>
      <c r="DE1119" s="8">
        <f>1899</f>
        <v>1899</v>
      </c>
      <c r="DG1119" s="5" t="s">
        <v>238</v>
      </c>
      <c r="DH1119" s="5" t="s">
        <v>238</v>
      </c>
      <c r="DI1119" s="5" t="s">
        <v>238</v>
      </c>
      <c r="DJ1119" s="5" t="s">
        <v>238</v>
      </c>
      <c r="DN1119" s="5" t="s">
        <v>238</v>
      </c>
      <c r="DO1119" s="5" t="s">
        <v>238</v>
      </c>
      <c r="DP1119" s="5" t="s">
        <v>238</v>
      </c>
      <c r="DQ1119" s="5" t="s">
        <v>238</v>
      </c>
      <c r="DT1119" s="5" t="s">
        <v>2039</v>
      </c>
      <c r="DU1119" s="5" t="s">
        <v>3024</v>
      </c>
      <c r="HM1119" s="5" t="s">
        <v>264</v>
      </c>
    </row>
    <row r="1120" spans="1:221" x14ac:dyDescent="0.4">
      <c r="A1120" s="5">
        <v>2795</v>
      </c>
      <c r="B1120" s="5">
        <v>1</v>
      </c>
      <c r="C1120" s="5">
        <v>1</v>
      </c>
      <c r="D1120" s="5" t="s">
        <v>2037</v>
      </c>
      <c r="E1120" s="5" t="s">
        <v>271</v>
      </c>
      <c r="F1120" s="5" t="s">
        <v>248</v>
      </c>
      <c r="G1120" s="5" t="s">
        <v>1969</v>
      </c>
      <c r="H1120" s="6" t="s">
        <v>3021</v>
      </c>
      <c r="I1120" s="7">
        <f>3443</f>
        <v>3443</v>
      </c>
      <c r="J1120" s="5" t="s">
        <v>262</v>
      </c>
      <c r="K1120" s="8">
        <f>1</f>
        <v>1</v>
      </c>
      <c r="L1120" s="6" t="s">
        <v>242</v>
      </c>
      <c r="M1120" s="5" t="s">
        <v>267</v>
      </c>
      <c r="N1120" s="5" t="s">
        <v>265</v>
      </c>
      <c r="O1120" s="5" t="s">
        <v>238</v>
      </c>
      <c r="P1120" s="5" t="s">
        <v>238</v>
      </c>
      <c r="Q1120" s="5" t="s">
        <v>268</v>
      </c>
      <c r="R1120" s="5" t="s">
        <v>270</v>
      </c>
      <c r="S1120" s="5" t="s">
        <v>238</v>
      </c>
      <c r="V1120" s="5" t="s">
        <v>238</v>
      </c>
      <c r="X1120" s="6" t="s">
        <v>238</v>
      </c>
      <c r="AA1120" s="6" t="s">
        <v>243</v>
      </c>
      <c r="AB1120" s="5" t="s">
        <v>238</v>
      </c>
      <c r="AC1120" s="5" t="s">
        <v>244</v>
      </c>
      <c r="AD1120" s="5" t="s">
        <v>245</v>
      </c>
      <c r="AT1120" s="5" t="s">
        <v>246</v>
      </c>
      <c r="AU1120" s="5" t="s">
        <v>238</v>
      </c>
      <c r="AV1120" s="5" t="s">
        <v>247</v>
      </c>
      <c r="AW1120" s="5" t="s">
        <v>238</v>
      </c>
      <c r="AX1120" s="5" t="s">
        <v>249</v>
      </c>
      <c r="AY1120" s="5" t="s">
        <v>238</v>
      </c>
      <c r="BA1120" s="5" t="s">
        <v>238</v>
      </c>
      <c r="BC1120" s="5" t="s">
        <v>250</v>
      </c>
      <c r="BD1120" s="6" t="s">
        <v>243</v>
      </c>
      <c r="BE1120" s="5" t="s">
        <v>251</v>
      </c>
      <c r="BF1120" s="5" t="s">
        <v>252</v>
      </c>
      <c r="BG1120" s="5" t="s">
        <v>238</v>
      </c>
      <c r="BH1120" s="7">
        <f>0</f>
        <v>0</v>
      </c>
      <c r="BI1120" s="8">
        <f>0</f>
        <v>0</v>
      </c>
      <c r="BJ1120" s="5" t="s">
        <v>253</v>
      </c>
      <c r="BK1120" s="5" t="s">
        <v>254</v>
      </c>
      <c r="BY1120" s="5" t="s">
        <v>238</v>
      </c>
      <c r="BZ1120" s="5" t="s">
        <v>238</v>
      </c>
      <c r="CD1120" s="5" t="s">
        <v>273</v>
      </c>
      <c r="CE1120" s="5" t="s">
        <v>256</v>
      </c>
      <c r="CF1120" s="5" t="s">
        <v>238</v>
      </c>
      <c r="CI1120" s="6" t="s">
        <v>257</v>
      </c>
      <c r="CJ1120" s="5" t="s">
        <v>238</v>
      </c>
      <c r="CK1120" s="5" t="s">
        <v>258</v>
      </c>
      <c r="CL1120" s="5" t="s">
        <v>238</v>
      </c>
      <c r="CM1120" s="5" t="s">
        <v>238</v>
      </c>
      <c r="CN1120" s="5">
        <v>0</v>
      </c>
      <c r="CO1120" s="5" t="s">
        <v>259</v>
      </c>
      <c r="CP1120" s="5" t="s">
        <v>260</v>
      </c>
      <c r="CQ1120" s="5" t="s">
        <v>260</v>
      </c>
      <c r="CR1120" s="5" t="s">
        <v>261</v>
      </c>
      <c r="CU1120" s="8">
        <f>1</f>
        <v>1</v>
      </c>
      <c r="CV1120" s="8">
        <f>0</f>
        <v>0</v>
      </c>
      <c r="CX1120" s="8">
        <f>0</f>
        <v>0</v>
      </c>
      <c r="CY1120" s="8">
        <f>1</f>
        <v>1</v>
      </c>
      <c r="DA1120" s="5" t="s">
        <v>673</v>
      </c>
      <c r="DB1120" s="5" t="s">
        <v>238</v>
      </c>
      <c r="DD1120" s="5" t="s">
        <v>673</v>
      </c>
      <c r="DE1120" s="8">
        <f>3443</f>
        <v>3443</v>
      </c>
      <c r="DG1120" s="5" t="s">
        <v>238</v>
      </c>
      <c r="DH1120" s="5" t="s">
        <v>238</v>
      </c>
      <c r="DI1120" s="5" t="s">
        <v>238</v>
      </c>
      <c r="DJ1120" s="5" t="s">
        <v>238</v>
      </c>
      <c r="DN1120" s="5" t="s">
        <v>238</v>
      </c>
      <c r="DO1120" s="5" t="s">
        <v>238</v>
      </c>
      <c r="DP1120" s="5" t="s">
        <v>238</v>
      </c>
      <c r="DQ1120" s="5" t="s">
        <v>238</v>
      </c>
      <c r="DT1120" s="5" t="s">
        <v>2039</v>
      </c>
      <c r="DU1120" s="5" t="s">
        <v>3022</v>
      </c>
      <c r="HM1120" s="5" t="s">
        <v>264</v>
      </c>
    </row>
    <row r="1121" spans="1:221" x14ac:dyDescent="0.4">
      <c r="A1121" s="5">
        <v>2796</v>
      </c>
      <c r="B1121" s="5">
        <v>1</v>
      </c>
      <c r="C1121" s="5">
        <v>1</v>
      </c>
      <c r="D1121" s="5" t="s">
        <v>2037</v>
      </c>
      <c r="E1121" s="5" t="s">
        <v>271</v>
      </c>
      <c r="F1121" s="5" t="s">
        <v>248</v>
      </c>
      <c r="G1121" s="5" t="s">
        <v>1969</v>
      </c>
      <c r="H1121" s="6" t="s">
        <v>3019</v>
      </c>
      <c r="I1121" s="7">
        <f>605</f>
        <v>605</v>
      </c>
      <c r="J1121" s="5" t="s">
        <v>262</v>
      </c>
      <c r="K1121" s="8">
        <f>1</f>
        <v>1</v>
      </c>
      <c r="L1121" s="6" t="s">
        <v>242</v>
      </c>
      <c r="M1121" s="5" t="s">
        <v>267</v>
      </c>
      <c r="N1121" s="5" t="s">
        <v>265</v>
      </c>
      <c r="O1121" s="5" t="s">
        <v>238</v>
      </c>
      <c r="P1121" s="5" t="s">
        <v>238</v>
      </c>
      <c r="Q1121" s="5" t="s">
        <v>268</v>
      </c>
      <c r="R1121" s="5" t="s">
        <v>270</v>
      </c>
      <c r="S1121" s="5" t="s">
        <v>238</v>
      </c>
      <c r="V1121" s="5" t="s">
        <v>238</v>
      </c>
      <c r="X1121" s="6" t="s">
        <v>238</v>
      </c>
      <c r="AA1121" s="6" t="s">
        <v>243</v>
      </c>
      <c r="AB1121" s="5" t="s">
        <v>238</v>
      </c>
      <c r="AC1121" s="5" t="s">
        <v>244</v>
      </c>
      <c r="AD1121" s="5" t="s">
        <v>245</v>
      </c>
      <c r="AT1121" s="5" t="s">
        <v>246</v>
      </c>
      <c r="AU1121" s="5" t="s">
        <v>238</v>
      </c>
      <c r="AV1121" s="5" t="s">
        <v>247</v>
      </c>
      <c r="AW1121" s="5" t="s">
        <v>238</v>
      </c>
      <c r="AX1121" s="5" t="s">
        <v>249</v>
      </c>
      <c r="AY1121" s="5" t="s">
        <v>238</v>
      </c>
      <c r="BA1121" s="5" t="s">
        <v>238</v>
      </c>
      <c r="BC1121" s="5" t="s">
        <v>250</v>
      </c>
      <c r="BD1121" s="6" t="s">
        <v>243</v>
      </c>
      <c r="BE1121" s="5" t="s">
        <v>251</v>
      </c>
      <c r="BF1121" s="5" t="s">
        <v>252</v>
      </c>
      <c r="BG1121" s="5" t="s">
        <v>238</v>
      </c>
      <c r="BH1121" s="7">
        <f>0</f>
        <v>0</v>
      </c>
      <c r="BI1121" s="8">
        <f>0</f>
        <v>0</v>
      </c>
      <c r="BJ1121" s="5" t="s">
        <v>253</v>
      </c>
      <c r="BK1121" s="5" t="s">
        <v>254</v>
      </c>
      <c r="BY1121" s="5" t="s">
        <v>238</v>
      </c>
      <c r="BZ1121" s="5" t="s">
        <v>238</v>
      </c>
      <c r="CD1121" s="5" t="s">
        <v>273</v>
      </c>
      <c r="CE1121" s="5" t="s">
        <v>256</v>
      </c>
      <c r="CF1121" s="5" t="s">
        <v>238</v>
      </c>
      <c r="CI1121" s="6" t="s">
        <v>257</v>
      </c>
      <c r="CJ1121" s="5" t="s">
        <v>238</v>
      </c>
      <c r="CK1121" s="5" t="s">
        <v>258</v>
      </c>
      <c r="CL1121" s="5" t="s">
        <v>238</v>
      </c>
      <c r="CM1121" s="5" t="s">
        <v>238</v>
      </c>
      <c r="CN1121" s="5">
        <v>0</v>
      </c>
      <c r="CO1121" s="5" t="s">
        <v>259</v>
      </c>
      <c r="CP1121" s="5" t="s">
        <v>260</v>
      </c>
      <c r="CQ1121" s="5" t="s">
        <v>260</v>
      </c>
      <c r="CR1121" s="5" t="s">
        <v>261</v>
      </c>
      <c r="CU1121" s="8">
        <f>1</f>
        <v>1</v>
      </c>
      <c r="CV1121" s="8">
        <f>0</f>
        <v>0</v>
      </c>
      <c r="CX1121" s="8">
        <f>0</f>
        <v>0</v>
      </c>
      <c r="CY1121" s="8">
        <f>1</f>
        <v>1</v>
      </c>
      <c r="DA1121" s="5" t="s">
        <v>673</v>
      </c>
      <c r="DB1121" s="5" t="s">
        <v>238</v>
      </c>
      <c r="DD1121" s="5" t="s">
        <v>673</v>
      </c>
      <c r="DE1121" s="8">
        <f>605</f>
        <v>605</v>
      </c>
      <c r="DG1121" s="5" t="s">
        <v>238</v>
      </c>
      <c r="DH1121" s="5" t="s">
        <v>238</v>
      </c>
      <c r="DI1121" s="5" t="s">
        <v>238</v>
      </c>
      <c r="DJ1121" s="5" t="s">
        <v>238</v>
      </c>
      <c r="DN1121" s="5" t="s">
        <v>238</v>
      </c>
      <c r="DO1121" s="5" t="s">
        <v>238</v>
      </c>
      <c r="DP1121" s="5" t="s">
        <v>238</v>
      </c>
      <c r="DQ1121" s="5" t="s">
        <v>238</v>
      </c>
      <c r="DT1121" s="5" t="s">
        <v>2039</v>
      </c>
      <c r="DU1121" s="5" t="s">
        <v>3020</v>
      </c>
      <c r="HM1121" s="5" t="s">
        <v>264</v>
      </c>
    </row>
    <row r="1122" spans="1:221" x14ac:dyDescent="0.4">
      <c r="A1122" s="5">
        <v>2797</v>
      </c>
      <c r="B1122" s="5">
        <v>1</v>
      </c>
      <c r="C1122" s="5">
        <v>1</v>
      </c>
      <c r="D1122" s="5" t="s">
        <v>2037</v>
      </c>
      <c r="E1122" s="5" t="s">
        <v>271</v>
      </c>
      <c r="F1122" s="5" t="s">
        <v>248</v>
      </c>
      <c r="G1122" s="5" t="s">
        <v>1969</v>
      </c>
      <c r="H1122" s="6" t="s">
        <v>3017</v>
      </c>
      <c r="I1122" s="7">
        <f>255</f>
        <v>255</v>
      </c>
      <c r="J1122" s="5" t="s">
        <v>262</v>
      </c>
      <c r="K1122" s="8">
        <f>1</f>
        <v>1</v>
      </c>
      <c r="L1122" s="6" t="s">
        <v>242</v>
      </c>
      <c r="M1122" s="5" t="s">
        <v>267</v>
      </c>
      <c r="N1122" s="5" t="s">
        <v>265</v>
      </c>
      <c r="O1122" s="5" t="s">
        <v>238</v>
      </c>
      <c r="P1122" s="5" t="s">
        <v>238</v>
      </c>
      <c r="Q1122" s="5" t="s">
        <v>268</v>
      </c>
      <c r="R1122" s="5" t="s">
        <v>270</v>
      </c>
      <c r="S1122" s="5" t="s">
        <v>238</v>
      </c>
      <c r="V1122" s="5" t="s">
        <v>238</v>
      </c>
      <c r="X1122" s="6" t="s">
        <v>238</v>
      </c>
      <c r="AA1122" s="6" t="s">
        <v>243</v>
      </c>
      <c r="AB1122" s="5" t="s">
        <v>238</v>
      </c>
      <c r="AC1122" s="5" t="s">
        <v>244</v>
      </c>
      <c r="AD1122" s="5" t="s">
        <v>245</v>
      </c>
      <c r="AT1122" s="5" t="s">
        <v>246</v>
      </c>
      <c r="AU1122" s="5" t="s">
        <v>238</v>
      </c>
      <c r="AV1122" s="5" t="s">
        <v>247</v>
      </c>
      <c r="AW1122" s="5" t="s">
        <v>238</v>
      </c>
      <c r="AX1122" s="5" t="s">
        <v>249</v>
      </c>
      <c r="AY1122" s="5" t="s">
        <v>238</v>
      </c>
      <c r="BA1122" s="5" t="s">
        <v>238</v>
      </c>
      <c r="BC1122" s="5" t="s">
        <v>250</v>
      </c>
      <c r="BD1122" s="6" t="s">
        <v>243</v>
      </c>
      <c r="BE1122" s="5" t="s">
        <v>251</v>
      </c>
      <c r="BF1122" s="5" t="s">
        <v>252</v>
      </c>
      <c r="BG1122" s="5" t="s">
        <v>238</v>
      </c>
      <c r="BH1122" s="7">
        <f>0</f>
        <v>0</v>
      </c>
      <c r="BI1122" s="8">
        <f>0</f>
        <v>0</v>
      </c>
      <c r="BJ1122" s="5" t="s">
        <v>253</v>
      </c>
      <c r="BK1122" s="5" t="s">
        <v>254</v>
      </c>
      <c r="BY1122" s="5" t="s">
        <v>238</v>
      </c>
      <c r="BZ1122" s="5" t="s">
        <v>238</v>
      </c>
      <c r="CD1122" s="5" t="s">
        <v>273</v>
      </c>
      <c r="CE1122" s="5" t="s">
        <v>256</v>
      </c>
      <c r="CF1122" s="5" t="s">
        <v>238</v>
      </c>
      <c r="CI1122" s="6" t="s">
        <v>257</v>
      </c>
      <c r="CJ1122" s="5" t="s">
        <v>238</v>
      </c>
      <c r="CK1122" s="5" t="s">
        <v>258</v>
      </c>
      <c r="CL1122" s="5" t="s">
        <v>238</v>
      </c>
      <c r="CM1122" s="5" t="s">
        <v>238</v>
      </c>
      <c r="CN1122" s="5">
        <v>0</v>
      </c>
      <c r="CO1122" s="5" t="s">
        <v>259</v>
      </c>
      <c r="CP1122" s="5" t="s">
        <v>260</v>
      </c>
      <c r="CQ1122" s="5" t="s">
        <v>260</v>
      </c>
      <c r="CR1122" s="5" t="s">
        <v>261</v>
      </c>
      <c r="CU1122" s="8">
        <f>1</f>
        <v>1</v>
      </c>
      <c r="CV1122" s="8">
        <f>0</f>
        <v>0</v>
      </c>
      <c r="CX1122" s="8">
        <f>0</f>
        <v>0</v>
      </c>
      <c r="CY1122" s="8">
        <f>1</f>
        <v>1</v>
      </c>
      <c r="DA1122" s="5" t="s">
        <v>673</v>
      </c>
      <c r="DB1122" s="5" t="s">
        <v>238</v>
      </c>
      <c r="DD1122" s="5" t="s">
        <v>673</v>
      </c>
      <c r="DE1122" s="8">
        <f>255</f>
        <v>255</v>
      </c>
      <c r="DG1122" s="5" t="s">
        <v>238</v>
      </c>
      <c r="DH1122" s="5" t="s">
        <v>238</v>
      </c>
      <c r="DI1122" s="5" t="s">
        <v>238</v>
      </c>
      <c r="DJ1122" s="5" t="s">
        <v>238</v>
      </c>
      <c r="DN1122" s="5" t="s">
        <v>238</v>
      </c>
      <c r="DO1122" s="5" t="s">
        <v>238</v>
      </c>
      <c r="DP1122" s="5" t="s">
        <v>238</v>
      </c>
      <c r="DQ1122" s="5" t="s">
        <v>238</v>
      </c>
      <c r="DT1122" s="5" t="s">
        <v>2039</v>
      </c>
      <c r="DU1122" s="5" t="s">
        <v>3018</v>
      </c>
      <c r="HM1122" s="5" t="s">
        <v>264</v>
      </c>
    </row>
    <row r="1123" spans="1:221" x14ac:dyDescent="0.4">
      <c r="A1123" s="5">
        <v>2798</v>
      </c>
      <c r="B1123" s="5">
        <v>1</v>
      </c>
      <c r="C1123" s="5">
        <v>1</v>
      </c>
      <c r="D1123" s="5" t="s">
        <v>2037</v>
      </c>
      <c r="E1123" s="5" t="s">
        <v>271</v>
      </c>
      <c r="F1123" s="5" t="s">
        <v>248</v>
      </c>
      <c r="G1123" s="5" t="s">
        <v>1969</v>
      </c>
      <c r="H1123" s="6" t="s">
        <v>3015</v>
      </c>
      <c r="I1123" s="7">
        <f>1532</f>
        <v>1532</v>
      </c>
      <c r="J1123" s="5" t="s">
        <v>262</v>
      </c>
      <c r="K1123" s="8">
        <f>1</f>
        <v>1</v>
      </c>
      <c r="L1123" s="6" t="s">
        <v>242</v>
      </c>
      <c r="M1123" s="5" t="s">
        <v>267</v>
      </c>
      <c r="N1123" s="5" t="s">
        <v>265</v>
      </c>
      <c r="O1123" s="5" t="s">
        <v>238</v>
      </c>
      <c r="P1123" s="5" t="s">
        <v>238</v>
      </c>
      <c r="Q1123" s="5" t="s">
        <v>268</v>
      </c>
      <c r="R1123" s="5" t="s">
        <v>270</v>
      </c>
      <c r="S1123" s="5" t="s">
        <v>238</v>
      </c>
      <c r="V1123" s="5" t="s">
        <v>238</v>
      </c>
      <c r="X1123" s="6" t="s">
        <v>238</v>
      </c>
      <c r="AA1123" s="6" t="s">
        <v>243</v>
      </c>
      <c r="AB1123" s="5" t="s">
        <v>238</v>
      </c>
      <c r="AC1123" s="5" t="s">
        <v>244</v>
      </c>
      <c r="AD1123" s="5" t="s">
        <v>245</v>
      </c>
      <c r="AT1123" s="5" t="s">
        <v>246</v>
      </c>
      <c r="AU1123" s="5" t="s">
        <v>238</v>
      </c>
      <c r="AV1123" s="5" t="s">
        <v>247</v>
      </c>
      <c r="AW1123" s="5" t="s">
        <v>238</v>
      </c>
      <c r="AX1123" s="5" t="s">
        <v>249</v>
      </c>
      <c r="AY1123" s="5" t="s">
        <v>238</v>
      </c>
      <c r="BA1123" s="5" t="s">
        <v>238</v>
      </c>
      <c r="BC1123" s="5" t="s">
        <v>250</v>
      </c>
      <c r="BD1123" s="6" t="s">
        <v>243</v>
      </c>
      <c r="BE1123" s="5" t="s">
        <v>251</v>
      </c>
      <c r="BF1123" s="5" t="s">
        <v>252</v>
      </c>
      <c r="BG1123" s="5" t="s">
        <v>238</v>
      </c>
      <c r="BH1123" s="7">
        <f>0</f>
        <v>0</v>
      </c>
      <c r="BI1123" s="8">
        <f>0</f>
        <v>0</v>
      </c>
      <c r="BJ1123" s="5" t="s">
        <v>253</v>
      </c>
      <c r="BK1123" s="5" t="s">
        <v>254</v>
      </c>
      <c r="BY1123" s="5" t="s">
        <v>238</v>
      </c>
      <c r="BZ1123" s="5" t="s">
        <v>238</v>
      </c>
      <c r="CD1123" s="5" t="s">
        <v>273</v>
      </c>
      <c r="CE1123" s="5" t="s">
        <v>256</v>
      </c>
      <c r="CF1123" s="5" t="s">
        <v>238</v>
      </c>
      <c r="CI1123" s="6" t="s">
        <v>257</v>
      </c>
      <c r="CJ1123" s="5" t="s">
        <v>238</v>
      </c>
      <c r="CK1123" s="5" t="s">
        <v>258</v>
      </c>
      <c r="CL1123" s="5" t="s">
        <v>238</v>
      </c>
      <c r="CM1123" s="5" t="s">
        <v>238</v>
      </c>
      <c r="CN1123" s="5">
        <v>0</v>
      </c>
      <c r="CO1123" s="5" t="s">
        <v>259</v>
      </c>
      <c r="CP1123" s="5" t="s">
        <v>260</v>
      </c>
      <c r="CQ1123" s="5" t="s">
        <v>260</v>
      </c>
      <c r="CR1123" s="5" t="s">
        <v>261</v>
      </c>
      <c r="CU1123" s="8">
        <f>1</f>
        <v>1</v>
      </c>
      <c r="CV1123" s="8">
        <f>0</f>
        <v>0</v>
      </c>
      <c r="CX1123" s="8">
        <f>0</f>
        <v>0</v>
      </c>
      <c r="CY1123" s="8">
        <f>1</f>
        <v>1</v>
      </c>
      <c r="DA1123" s="5" t="s">
        <v>673</v>
      </c>
      <c r="DB1123" s="5" t="s">
        <v>238</v>
      </c>
      <c r="DD1123" s="5" t="s">
        <v>673</v>
      </c>
      <c r="DE1123" s="8">
        <f>1532</f>
        <v>1532</v>
      </c>
      <c r="DG1123" s="5" t="s">
        <v>238</v>
      </c>
      <c r="DH1123" s="5" t="s">
        <v>238</v>
      </c>
      <c r="DI1123" s="5" t="s">
        <v>238</v>
      </c>
      <c r="DJ1123" s="5" t="s">
        <v>238</v>
      </c>
      <c r="DN1123" s="5" t="s">
        <v>238</v>
      </c>
      <c r="DO1123" s="5" t="s">
        <v>238</v>
      </c>
      <c r="DP1123" s="5" t="s">
        <v>238</v>
      </c>
      <c r="DQ1123" s="5" t="s">
        <v>238</v>
      </c>
      <c r="DT1123" s="5" t="s">
        <v>2039</v>
      </c>
      <c r="DU1123" s="5" t="s">
        <v>3016</v>
      </c>
      <c r="HM1123" s="5" t="s">
        <v>264</v>
      </c>
    </row>
    <row r="1124" spans="1:221" x14ac:dyDescent="0.4">
      <c r="A1124" s="5">
        <v>2799</v>
      </c>
      <c r="B1124" s="5">
        <v>1</v>
      </c>
      <c r="C1124" s="5">
        <v>1</v>
      </c>
      <c r="D1124" s="5" t="s">
        <v>2037</v>
      </c>
      <c r="E1124" s="5" t="s">
        <v>271</v>
      </c>
      <c r="F1124" s="5" t="s">
        <v>248</v>
      </c>
      <c r="G1124" s="5" t="s">
        <v>1969</v>
      </c>
      <c r="H1124" s="6" t="s">
        <v>3013</v>
      </c>
      <c r="I1124" s="7">
        <f>3203</f>
        <v>3203</v>
      </c>
      <c r="J1124" s="5" t="s">
        <v>262</v>
      </c>
      <c r="K1124" s="8">
        <f>1</f>
        <v>1</v>
      </c>
      <c r="L1124" s="6" t="s">
        <v>242</v>
      </c>
      <c r="M1124" s="5" t="s">
        <v>267</v>
      </c>
      <c r="N1124" s="5" t="s">
        <v>265</v>
      </c>
      <c r="O1124" s="5" t="s">
        <v>238</v>
      </c>
      <c r="P1124" s="5" t="s">
        <v>238</v>
      </c>
      <c r="Q1124" s="5" t="s">
        <v>268</v>
      </c>
      <c r="R1124" s="5" t="s">
        <v>270</v>
      </c>
      <c r="S1124" s="5" t="s">
        <v>238</v>
      </c>
      <c r="V1124" s="5" t="s">
        <v>238</v>
      </c>
      <c r="X1124" s="6" t="s">
        <v>238</v>
      </c>
      <c r="AA1124" s="6" t="s">
        <v>243</v>
      </c>
      <c r="AB1124" s="5" t="s">
        <v>238</v>
      </c>
      <c r="AC1124" s="5" t="s">
        <v>244</v>
      </c>
      <c r="AD1124" s="5" t="s">
        <v>245</v>
      </c>
      <c r="AT1124" s="5" t="s">
        <v>246</v>
      </c>
      <c r="AU1124" s="5" t="s">
        <v>238</v>
      </c>
      <c r="AV1124" s="5" t="s">
        <v>247</v>
      </c>
      <c r="AW1124" s="5" t="s">
        <v>238</v>
      </c>
      <c r="AX1124" s="5" t="s">
        <v>249</v>
      </c>
      <c r="AY1124" s="5" t="s">
        <v>238</v>
      </c>
      <c r="BA1124" s="5" t="s">
        <v>238</v>
      </c>
      <c r="BC1124" s="5" t="s">
        <v>250</v>
      </c>
      <c r="BD1124" s="6" t="s">
        <v>243</v>
      </c>
      <c r="BE1124" s="5" t="s">
        <v>251</v>
      </c>
      <c r="BF1124" s="5" t="s">
        <v>252</v>
      </c>
      <c r="BG1124" s="5" t="s">
        <v>238</v>
      </c>
      <c r="BH1124" s="7">
        <f>0</f>
        <v>0</v>
      </c>
      <c r="BI1124" s="8">
        <f>0</f>
        <v>0</v>
      </c>
      <c r="BJ1124" s="5" t="s">
        <v>253</v>
      </c>
      <c r="BK1124" s="5" t="s">
        <v>254</v>
      </c>
      <c r="BY1124" s="5" t="s">
        <v>238</v>
      </c>
      <c r="BZ1124" s="5" t="s">
        <v>238</v>
      </c>
      <c r="CD1124" s="5" t="s">
        <v>273</v>
      </c>
      <c r="CE1124" s="5" t="s">
        <v>256</v>
      </c>
      <c r="CF1124" s="5" t="s">
        <v>238</v>
      </c>
      <c r="CI1124" s="6" t="s">
        <v>257</v>
      </c>
      <c r="CJ1124" s="5" t="s">
        <v>238</v>
      </c>
      <c r="CK1124" s="5" t="s">
        <v>258</v>
      </c>
      <c r="CL1124" s="5" t="s">
        <v>238</v>
      </c>
      <c r="CM1124" s="5" t="s">
        <v>238</v>
      </c>
      <c r="CN1124" s="5">
        <v>0</v>
      </c>
      <c r="CO1124" s="5" t="s">
        <v>259</v>
      </c>
      <c r="CP1124" s="5" t="s">
        <v>260</v>
      </c>
      <c r="CQ1124" s="5" t="s">
        <v>260</v>
      </c>
      <c r="CR1124" s="5" t="s">
        <v>261</v>
      </c>
      <c r="CU1124" s="8">
        <f>1</f>
        <v>1</v>
      </c>
      <c r="CV1124" s="8">
        <f>0</f>
        <v>0</v>
      </c>
      <c r="CX1124" s="8">
        <f>0</f>
        <v>0</v>
      </c>
      <c r="CY1124" s="8">
        <f>1</f>
        <v>1</v>
      </c>
      <c r="DA1124" s="5" t="s">
        <v>673</v>
      </c>
      <c r="DB1124" s="5" t="s">
        <v>238</v>
      </c>
      <c r="DD1124" s="5" t="s">
        <v>673</v>
      </c>
      <c r="DE1124" s="8">
        <f>3203</f>
        <v>3203</v>
      </c>
      <c r="DG1124" s="5" t="s">
        <v>238</v>
      </c>
      <c r="DH1124" s="5" t="s">
        <v>238</v>
      </c>
      <c r="DI1124" s="5" t="s">
        <v>238</v>
      </c>
      <c r="DJ1124" s="5" t="s">
        <v>238</v>
      </c>
      <c r="DN1124" s="5" t="s">
        <v>238</v>
      </c>
      <c r="DO1124" s="5" t="s">
        <v>238</v>
      </c>
      <c r="DP1124" s="5" t="s">
        <v>238</v>
      </c>
      <c r="DQ1124" s="5" t="s">
        <v>238</v>
      </c>
      <c r="DT1124" s="5" t="s">
        <v>2039</v>
      </c>
      <c r="DU1124" s="5" t="s">
        <v>3014</v>
      </c>
      <c r="HM1124" s="5" t="s">
        <v>264</v>
      </c>
    </row>
    <row r="1125" spans="1:221" x14ac:dyDescent="0.4">
      <c r="A1125" s="5">
        <v>2800</v>
      </c>
      <c r="B1125" s="5">
        <v>1</v>
      </c>
      <c r="C1125" s="5">
        <v>1</v>
      </c>
      <c r="D1125" s="5" t="s">
        <v>2037</v>
      </c>
      <c r="E1125" s="5" t="s">
        <v>271</v>
      </c>
      <c r="F1125" s="5" t="s">
        <v>248</v>
      </c>
      <c r="G1125" s="5" t="s">
        <v>1969</v>
      </c>
      <c r="H1125" s="6" t="s">
        <v>3011</v>
      </c>
      <c r="I1125" s="7">
        <f>1208</f>
        <v>1208</v>
      </c>
      <c r="J1125" s="5" t="s">
        <v>262</v>
      </c>
      <c r="K1125" s="8">
        <f>1</f>
        <v>1</v>
      </c>
      <c r="L1125" s="6" t="s">
        <v>242</v>
      </c>
      <c r="M1125" s="5" t="s">
        <v>267</v>
      </c>
      <c r="N1125" s="5" t="s">
        <v>265</v>
      </c>
      <c r="O1125" s="5" t="s">
        <v>238</v>
      </c>
      <c r="P1125" s="5" t="s">
        <v>238</v>
      </c>
      <c r="Q1125" s="5" t="s">
        <v>268</v>
      </c>
      <c r="R1125" s="5" t="s">
        <v>270</v>
      </c>
      <c r="S1125" s="5" t="s">
        <v>238</v>
      </c>
      <c r="V1125" s="5" t="s">
        <v>238</v>
      </c>
      <c r="X1125" s="6" t="s">
        <v>238</v>
      </c>
      <c r="AA1125" s="6" t="s">
        <v>243</v>
      </c>
      <c r="AB1125" s="5" t="s">
        <v>238</v>
      </c>
      <c r="AC1125" s="5" t="s">
        <v>244</v>
      </c>
      <c r="AD1125" s="5" t="s">
        <v>245</v>
      </c>
      <c r="AT1125" s="5" t="s">
        <v>246</v>
      </c>
      <c r="AU1125" s="5" t="s">
        <v>238</v>
      </c>
      <c r="AV1125" s="5" t="s">
        <v>247</v>
      </c>
      <c r="AW1125" s="5" t="s">
        <v>238</v>
      </c>
      <c r="AX1125" s="5" t="s">
        <v>249</v>
      </c>
      <c r="AY1125" s="5" t="s">
        <v>238</v>
      </c>
      <c r="BA1125" s="5" t="s">
        <v>238</v>
      </c>
      <c r="BC1125" s="5" t="s">
        <v>250</v>
      </c>
      <c r="BD1125" s="6" t="s">
        <v>243</v>
      </c>
      <c r="BE1125" s="5" t="s">
        <v>251</v>
      </c>
      <c r="BF1125" s="5" t="s">
        <v>252</v>
      </c>
      <c r="BG1125" s="5" t="s">
        <v>238</v>
      </c>
      <c r="BH1125" s="7">
        <f>0</f>
        <v>0</v>
      </c>
      <c r="BI1125" s="8">
        <f>0</f>
        <v>0</v>
      </c>
      <c r="BJ1125" s="5" t="s">
        <v>253</v>
      </c>
      <c r="BK1125" s="5" t="s">
        <v>254</v>
      </c>
      <c r="BY1125" s="5" t="s">
        <v>238</v>
      </c>
      <c r="BZ1125" s="5" t="s">
        <v>238</v>
      </c>
      <c r="CD1125" s="5" t="s">
        <v>273</v>
      </c>
      <c r="CE1125" s="5" t="s">
        <v>256</v>
      </c>
      <c r="CF1125" s="5" t="s">
        <v>238</v>
      </c>
      <c r="CI1125" s="6" t="s">
        <v>257</v>
      </c>
      <c r="CJ1125" s="5" t="s">
        <v>238</v>
      </c>
      <c r="CK1125" s="5" t="s">
        <v>258</v>
      </c>
      <c r="CL1125" s="5" t="s">
        <v>238</v>
      </c>
      <c r="CM1125" s="5" t="s">
        <v>238</v>
      </c>
      <c r="CN1125" s="5">
        <v>0</v>
      </c>
      <c r="CO1125" s="5" t="s">
        <v>259</v>
      </c>
      <c r="CP1125" s="5" t="s">
        <v>260</v>
      </c>
      <c r="CQ1125" s="5" t="s">
        <v>260</v>
      </c>
      <c r="CR1125" s="5" t="s">
        <v>261</v>
      </c>
      <c r="CU1125" s="8">
        <f>1</f>
        <v>1</v>
      </c>
      <c r="CV1125" s="8">
        <f>0</f>
        <v>0</v>
      </c>
      <c r="CX1125" s="8">
        <f>0</f>
        <v>0</v>
      </c>
      <c r="CY1125" s="8">
        <f>1</f>
        <v>1</v>
      </c>
      <c r="DA1125" s="5" t="s">
        <v>673</v>
      </c>
      <c r="DB1125" s="5" t="s">
        <v>238</v>
      </c>
      <c r="DD1125" s="5" t="s">
        <v>673</v>
      </c>
      <c r="DE1125" s="8">
        <f>1208</f>
        <v>1208</v>
      </c>
      <c r="DG1125" s="5" t="s">
        <v>238</v>
      </c>
      <c r="DH1125" s="5" t="s">
        <v>238</v>
      </c>
      <c r="DI1125" s="5" t="s">
        <v>238</v>
      </c>
      <c r="DJ1125" s="5" t="s">
        <v>238</v>
      </c>
      <c r="DN1125" s="5" t="s">
        <v>238</v>
      </c>
      <c r="DO1125" s="5" t="s">
        <v>238</v>
      </c>
      <c r="DP1125" s="5" t="s">
        <v>238</v>
      </c>
      <c r="DQ1125" s="5" t="s">
        <v>238</v>
      </c>
      <c r="DT1125" s="5" t="s">
        <v>2039</v>
      </c>
      <c r="DU1125" s="5" t="s">
        <v>3012</v>
      </c>
      <c r="HM1125" s="5" t="s">
        <v>264</v>
      </c>
    </row>
    <row r="1126" spans="1:221" x14ac:dyDescent="0.4">
      <c r="A1126" s="5">
        <v>2801</v>
      </c>
      <c r="B1126" s="5">
        <v>1</v>
      </c>
      <c r="C1126" s="5">
        <v>1</v>
      </c>
      <c r="D1126" s="5" t="s">
        <v>2037</v>
      </c>
      <c r="E1126" s="5" t="s">
        <v>271</v>
      </c>
      <c r="F1126" s="5" t="s">
        <v>248</v>
      </c>
      <c r="G1126" s="5" t="s">
        <v>1969</v>
      </c>
      <c r="H1126" s="6" t="s">
        <v>3009</v>
      </c>
      <c r="I1126" s="7">
        <f>211</f>
        <v>211</v>
      </c>
      <c r="J1126" s="5" t="s">
        <v>262</v>
      </c>
      <c r="K1126" s="8">
        <f>1</f>
        <v>1</v>
      </c>
      <c r="L1126" s="6" t="s">
        <v>242</v>
      </c>
      <c r="M1126" s="5" t="s">
        <v>267</v>
      </c>
      <c r="N1126" s="5" t="s">
        <v>265</v>
      </c>
      <c r="O1126" s="5" t="s">
        <v>238</v>
      </c>
      <c r="P1126" s="5" t="s">
        <v>238</v>
      </c>
      <c r="Q1126" s="5" t="s">
        <v>268</v>
      </c>
      <c r="R1126" s="5" t="s">
        <v>270</v>
      </c>
      <c r="S1126" s="5" t="s">
        <v>238</v>
      </c>
      <c r="V1126" s="5" t="s">
        <v>238</v>
      </c>
      <c r="X1126" s="6" t="s">
        <v>238</v>
      </c>
      <c r="AA1126" s="6" t="s">
        <v>243</v>
      </c>
      <c r="AB1126" s="5" t="s">
        <v>238</v>
      </c>
      <c r="AC1126" s="5" t="s">
        <v>244</v>
      </c>
      <c r="AD1126" s="5" t="s">
        <v>245</v>
      </c>
      <c r="AT1126" s="5" t="s">
        <v>246</v>
      </c>
      <c r="AU1126" s="5" t="s">
        <v>238</v>
      </c>
      <c r="AV1126" s="5" t="s">
        <v>247</v>
      </c>
      <c r="AW1126" s="5" t="s">
        <v>238</v>
      </c>
      <c r="AX1126" s="5" t="s">
        <v>249</v>
      </c>
      <c r="AY1126" s="5" t="s">
        <v>238</v>
      </c>
      <c r="BA1126" s="5" t="s">
        <v>238</v>
      </c>
      <c r="BC1126" s="5" t="s">
        <v>250</v>
      </c>
      <c r="BD1126" s="6" t="s">
        <v>243</v>
      </c>
      <c r="BE1126" s="5" t="s">
        <v>251</v>
      </c>
      <c r="BF1126" s="5" t="s">
        <v>252</v>
      </c>
      <c r="BG1126" s="5" t="s">
        <v>238</v>
      </c>
      <c r="BH1126" s="7">
        <f>0</f>
        <v>0</v>
      </c>
      <c r="BI1126" s="8">
        <f>0</f>
        <v>0</v>
      </c>
      <c r="BJ1126" s="5" t="s">
        <v>253</v>
      </c>
      <c r="BK1126" s="5" t="s">
        <v>254</v>
      </c>
      <c r="BY1126" s="5" t="s">
        <v>238</v>
      </c>
      <c r="BZ1126" s="5" t="s">
        <v>238</v>
      </c>
      <c r="CD1126" s="5" t="s">
        <v>273</v>
      </c>
      <c r="CE1126" s="5" t="s">
        <v>256</v>
      </c>
      <c r="CF1126" s="5" t="s">
        <v>238</v>
      </c>
      <c r="CI1126" s="6" t="s">
        <v>257</v>
      </c>
      <c r="CJ1126" s="5" t="s">
        <v>238</v>
      </c>
      <c r="CK1126" s="5" t="s">
        <v>258</v>
      </c>
      <c r="CL1126" s="5" t="s">
        <v>238</v>
      </c>
      <c r="CM1126" s="5" t="s">
        <v>238</v>
      </c>
      <c r="CN1126" s="5">
        <v>0</v>
      </c>
      <c r="CO1126" s="5" t="s">
        <v>259</v>
      </c>
      <c r="CP1126" s="5" t="s">
        <v>260</v>
      </c>
      <c r="CQ1126" s="5" t="s">
        <v>260</v>
      </c>
      <c r="CR1126" s="5" t="s">
        <v>261</v>
      </c>
      <c r="CU1126" s="8">
        <f>1</f>
        <v>1</v>
      </c>
      <c r="CV1126" s="8">
        <f>0</f>
        <v>0</v>
      </c>
      <c r="CX1126" s="8">
        <f>0</f>
        <v>0</v>
      </c>
      <c r="CY1126" s="8">
        <f>1</f>
        <v>1</v>
      </c>
      <c r="DA1126" s="5" t="s">
        <v>673</v>
      </c>
      <c r="DB1126" s="5" t="s">
        <v>238</v>
      </c>
      <c r="DD1126" s="5" t="s">
        <v>673</v>
      </c>
      <c r="DE1126" s="8">
        <f>211</f>
        <v>211</v>
      </c>
      <c r="DG1126" s="5" t="s">
        <v>238</v>
      </c>
      <c r="DH1126" s="5" t="s">
        <v>238</v>
      </c>
      <c r="DI1126" s="5" t="s">
        <v>238</v>
      </c>
      <c r="DJ1126" s="5" t="s">
        <v>238</v>
      </c>
      <c r="DN1126" s="5" t="s">
        <v>238</v>
      </c>
      <c r="DO1126" s="5" t="s">
        <v>238</v>
      </c>
      <c r="DP1126" s="5" t="s">
        <v>238</v>
      </c>
      <c r="DQ1126" s="5" t="s">
        <v>238</v>
      </c>
      <c r="DT1126" s="5" t="s">
        <v>2039</v>
      </c>
      <c r="DU1126" s="5" t="s">
        <v>3010</v>
      </c>
      <c r="HM1126" s="5" t="s">
        <v>264</v>
      </c>
    </row>
    <row r="1127" spans="1:221" x14ac:dyDescent="0.4">
      <c r="A1127" s="5">
        <v>2802</v>
      </c>
      <c r="B1127" s="5">
        <v>1</v>
      </c>
      <c r="C1127" s="5">
        <v>1</v>
      </c>
      <c r="D1127" s="5" t="s">
        <v>2037</v>
      </c>
      <c r="E1127" s="5" t="s">
        <v>271</v>
      </c>
      <c r="F1127" s="5" t="s">
        <v>248</v>
      </c>
      <c r="G1127" s="5" t="s">
        <v>1969</v>
      </c>
      <c r="H1127" s="6" t="s">
        <v>3007</v>
      </c>
      <c r="I1127" s="7">
        <f>682</f>
        <v>682</v>
      </c>
      <c r="J1127" s="5" t="s">
        <v>262</v>
      </c>
      <c r="K1127" s="8">
        <f>1</f>
        <v>1</v>
      </c>
      <c r="L1127" s="6" t="s">
        <v>242</v>
      </c>
      <c r="M1127" s="5" t="s">
        <v>267</v>
      </c>
      <c r="N1127" s="5" t="s">
        <v>265</v>
      </c>
      <c r="O1127" s="5" t="s">
        <v>238</v>
      </c>
      <c r="P1127" s="5" t="s">
        <v>238</v>
      </c>
      <c r="Q1127" s="5" t="s">
        <v>268</v>
      </c>
      <c r="R1127" s="5" t="s">
        <v>270</v>
      </c>
      <c r="S1127" s="5" t="s">
        <v>238</v>
      </c>
      <c r="V1127" s="5" t="s">
        <v>238</v>
      </c>
      <c r="X1127" s="6" t="s">
        <v>238</v>
      </c>
      <c r="AA1127" s="6" t="s">
        <v>243</v>
      </c>
      <c r="AB1127" s="5" t="s">
        <v>238</v>
      </c>
      <c r="AC1127" s="5" t="s">
        <v>244</v>
      </c>
      <c r="AD1127" s="5" t="s">
        <v>245</v>
      </c>
      <c r="AT1127" s="5" t="s">
        <v>246</v>
      </c>
      <c r="AU1127" s="5" t="s">
        <v>238</v>
      </c>
      <c r="AV1127" s="5" t="s">
        <v>247</v>
      </c>
      <c r="AW1127" s="5" t="s">
        <v>238</v>
      </c>
      <c r="AX1127" s="5" t="s">
        <v>249</v>
      </c>
      <c r="AY1127" s="5" t="s">
        <v>238</v>
      </c>
      <c r="BA1127" s="5" t="s">
        <v>238</v>
      </c>
      <c r="BC1127" s="5" t="s">
        <v>250</v>
      </c>
      <c r="BD1127" s="6" t="s">
        <v>243</v>
      </c>
      <c r="BE1127" s="5" t="s">
        <v>251</v>
      </c>
      <c r="BF1127" s="5" t="s">
        <v>252</v>
      </c>
      <c r="BG1127" s="5" t="s">
        <v>238</v>
      </c>
      <c r="BH1127" s="7">
        <f>0</f>
        <v>0</v>
      </c>
      <c r="BI1127" s="8">
        <f>0</f>
        <v>0</v>
      </c>
      <c r="BJ1127" s="5" t="s">
        <v>253</v>
      </c>
      <c r="BK1127" s="5" t="s">
        <v>254</v>
      </c>
      <c r="BY1127" s="5" t="s">
        <v>238</v>
      </c>
      <c r="BZ1127" s="5" t="s">
        <v>238</v>
      </c>
      <c r="CD1127" s="5" t="s">
        <v>273</v>
      </c>
      <c r="CE1127" s="5" t="s">
        <v>256</v>
      </c>
      <c r="CF1127" s="5" t="s">
        <v>238</v>
      </c>
      <c r="CI1127" s="6" t="s">
        <v>257</v>
      </c>
      <c r="CJ1127" s="5" t="s">
        <v>238</v>
      </c>
      <c r="CK1127" s="5" t="s">
        <v>258</v>
      </c>
      <c r="CL1127" s="5" t="s">
        <v>238</v>
      </c>
      <c r="CM1127" s="5" t="s">
        <v>238</v>
      </c>
      <c r="CN1127" s="5">
        <v>0</v>
      </c>
      <c r="CO1127" s="5" t="s">
        <v>259</v>
      </c>
      <c r="CP1127" s="5" t="s">
        <v>260</v>
      </c>
      <c r="CQ1127" s="5" t="s">
        <v>260</v>
      </c>
      <c r="CR1127" s="5" t="s">
        <v>261</v>
      </c>
      <c r="CU1127" s="8">
        <f>1</f>
        <v>1</v>
      </c>
      <c r="CV1127" s="8">
        <f>0</f>
        <v>0</v>
      </c>
      <c r="CX1127" s="8">
        <f>0</f>
        <v>0</v>
      </c>
      <c r="CY1127" s="8">
        <f>1</f>
        <v>1</v>
      </c>
      <c r="DA1127" s="5" t="s">
        <v>673</v>
      </c>
      <c r="DB1127" s="5" t="s">
        <v>238</v>
      </c>
      <c r="DD1127" s="5" t="s">
        <v>673</v>
      </c>
      <c r="DE1127" s="8">
        <f>682</f>
        <v>682</v>
      </c>
      <c r="DG1127" s="5" t="s">
        <v>238</v>
      </c>
      <c r="DH1127" s="5" t="s">
        <v>238</v>
      </c>
      <c r="DI1127" s="5" t="s">
        <v>238</v>
      </c>
      <c r="DJ1127" s="5" t="s">
        <v>238</v>
      </c>
      <c r="DN1127" s="5" t="s">
        <v>238</v>
      </c>
      <c r="DO1127" s="5" t="s">
        <v>238</v>
      </c>
      <c r="DP1127" s="5" t="s">
        <v>238</v>
      </c>
      <c r="DQ1127" s="5" t="s">
        <v>238</v>
      </c>
      <c r="DT1127" s="5" t="s">
        <v>2039</v>
      </c>
      <c r="DU1127" s="5" t="s">
        <v>3008</v>
      </c>
      <c r="HM1127" s="5" t="s">
        <v>264</v>
      </c>
    </row>
    <row r="1128" spans="1:221" x14ac:dyDescent="0.4">
      <c r="A1128" s="5">
        <v>2803</v>
      </c>
      <c r="B1128" s="5">
        <v>1</v>
      </c>
      <c r="C1128" s="5">
        <v>1</v>
      </c>
      <c r="D1128" s="5" t="s">
        <v>2037</v>
      </c>
      <c r="E1128" s="5" t="s">
        <v>271</v>
      </c>
      <c r="F1128" s="5" t="s">
        <v>248</v>
      </c>
      <c r="G1128" s="5" t="s">
        <v>1969</v>
      </c>
      <c r="H1128" s="6" t="s">
        <v>3005</v>
      </c>
      <c r="I1128" s="7">
        <f>228</f>
        <v>228</v>
      </c>
      <c r="J1128" s="5" t="s">
        <v>262</v>
      </c>
      <c r="K1128" s="8">
        <f>1</f>
        <v>1</v>
      </c>
      <c r="L1128" s="6" t="s">
        <v>242</v>
      </c>
      <c r="M1128" s="5" t="s">
        <v>267</v>
      </c>
      <c r="N1128" s="5" t="s">
        <v>265</v>
      </c>
      <c r="O1128" s="5" t="s">
        <v>238</v>
      </c>
      <c r="P1128" s="5" t="s">
        <v>238</v>
      </c>
      <c r="Q1128" s="5" t="s">
        <v>268</v>
      </c>
      <c r="R1128" s="5" t="s">
        <v>270</v>
      </c>
      <c r="S1128" s="5" t="s">
        <v>238</v>
      </c>
      <c r="V1128" s="5" t="s">
        <v>238</v>
      </c>
      <c r="X1128" s="6" t="s">
        <v>238</v>
      </c>
      <c r="AA1128" s="6" t="s">
        <v>243</v>
      </c>
      <c r="AB1128" s="5" t="s">
        <v>238</v>
      </c>
      <c r="AC1128" s="5" t="s">
        <v>244</v>
      </c>
      <c r="AD1128" s="5" t="s">
        <v>245</v>
      </c>
      <c r="AT1128" s="5" t="s">
        <v>246</v>
      </c>
      <c r="AU1128" s="5" t="s">
        <v>238</v>
      </c>
      <c r="AV1128" s="5" t="s">
        <v>247</v>
      </c>
      <c r="AW1128" s="5" t="s">
        <v>238</v>
      </c>
      <c r="AX1128" s="5" t="s">
        <v>249</v>
      </c>
      <c r="AY1128" s="5" t="s">
        <v>238</v>
      </c>
      <c r="BA1128" s="5" t="s">
        <v>238</v>
      </c>
      <c r="BC1128" s="5" t="s">
        <v>250</v>
      </c>
      <c r="BD1128" s="6" t="s">
        <v>243</v>
      </c>
      <c r="BE1128" s="5" t="s">
        <v>251</v>
      </c>
      <c r="BF1128" s="5" t="s">
        <v>252</v>
      </c>
      <c r="BG1128" s="5" t="s">
        <v>238</v>
      </c>
      <c r="BH1128" s="7">
        <f>0</f>
        <v>0</v>
      </c>
      <c r="BI1128" s="8">
        <f>0</f>
        <v>0</v>
      </c>
      <c r="BJ1128" s="5" t="s">
        <v>253</v>
      </c>
      <c r="BK1128" s="5" t="s">
        <v>254</v>
      </c>
      <c r="BY1128" s="5" t="s">
        <v>238</v>
      </c>
      <c r="BZ1128" s="5" t="s">
        <v>238</v>
      </c>
      <c r="CD1128" s="5" t="s">
        <v>273</v>
      </c>
      <c r="CE1128" s="5" t="s">
        <v>256</v>
      </c>
      <c r="CF1128" s="5" t="s">
        <v>238</v>
      </c>
      <c r="CI1128" s="6" t="s">
        <v>257</v>
      </c>
      <c r="CJ1128" s="5" t="s">
        <v>238</v>
      </c>
      <c r="CK1128" s="5" t="s">
        <v>258</v>
      </c>
      <c r="CL1128" s="5" t="s">
        <v>238</v>
      </c>
      <c r="CM1128" s="5" t="s">
        <v>238</v>
      </c>
      <c r="CN1128" s="5">
        <v>0</v>
      </c>
      <c r="CO1128" s="5" t="s">
        <v>259</v>
      </c>
      <c r="CP1128" s="5" t="s">
        <v>260</v>
      </c>
      <c r="CQ1128" s="5" t="s">
        <v>260</v>
      </c>
      <c r="CR1128" s="5" t="s">
        <v>261</v>
      </c>
      <c r="CU1128" s="8">
        <f>1</f>
        <v>1</v>
      </c>
      <c r="CV1128" s="8">
        <f>0</f>
        <v>0</v>
      </c>
      <c r="CX1128" s="8">
        <f>0</f>
        <v>0</v>
      </c>
      <c r="CY1128" s="8">
        <f>1</f>
        <v>1</v>
      </c>
      <c r="DA1128" s="5" t="s">
        <v>673</v>
      </c>
      <c r="DB1128" s="5" t="s">
        <v>238</v>
      </c>
      <c r="DD1128" s="5" t="s">
        <v>673</v>
      </c>
      <c r="DE1128" s="8">
        <f>228</f>
        <v>228</v>
      </c>
      <c r="DG1128" s="5" t="s">
        <v>238</v>
      </c>
      <c r="DH1128" s="5" t="s">
        <v>238</v>
      </c>
      <c r="DI1128" s="5" t="s">
        <v>238</v>
      </c>
      <c r="DJ1128" s="5" t="s">
        <v>238</v>
      </c>
      <c r="DN1128" s="5" t="s">
        <v>238</v>
      </c>
      <c r="DO1128" s="5" t="s">
        <v>238</v>
      </c>
      <c r="DP1128" s="5" t="s">
        <v>238</v>
      </c>
      <c r="DQ1128" s="5" t="s">
        <v>238</v>
      </c>
      <c r="DT1128" s="5" t="s">
        <v>2039</v>
      </c>
      <c r="DU1128" s="5" t="s">
        <v>3006</v>
      </c>
      <c r="HM1128" s="5" t="s">
        <v>264</v>
      </c>
    </row>
    <row r="1129" spans="1:221" x14ac:dyDescent="0.4">
      <c r="A1129" s="5">
        <v>2804</v>
      </c>
      <c r="B1129" s="5">
        <v>1</v>
      </c>
      <c r="C1129" s="5">
        <v>1</v>
      </c>
      <c r="D1129" s="5" t="s">
        <v>2037</v>
      </c>
      <c r="E1129" s="5" t="s">
        <v>271</v>
      </c>
      <c r="F1129" s="5" t="s">
        <v>248</v>
      </c>
      <c r="G1129" s="5" t="s">
        <v>1969</v>
      </c>
      <c r="H1129" s="6" t="s">
        <v>3002</v>
      </c>
      <c r="I1129" s="7">
        <f>46</f>
        <v>46</v>
      </c>
      <c r="J1129" s="5" t="s">
        <v>262</v>
      </c>
      <c r="K1129" s="8">
        <f>1</f>
        <v>1</v>
      </c>
      <c r="L1129" s="6" t="s">
        <v>242</v>
      </c>
      <c r="M1129" s="5" t="s">
        <v>267</v>
      </c>
      <c r="N1129" s="5" t="s">
        <v>265</v>
      </c>
      <c r="O1129" s="5" t="s">
        <v>238</v>
      </c>
      <c r="P1129" s="5" t="s">
        <v>238</v>
      </c>
      <c r="Q1129" s="5" t="s">
        <v>268</v>
      </c>
      <c r="R1129" s="5" t="s">
        <v>270</v>
      </c>
      <c r="S1129" s="5" t="s">
        <v>238</v>
      </c>
      <c r="V1129" s="5" t="s">
        <v>238</v>
      </c>
      <c r="X1129" s="6" t="s">
        <v>238</v>
      </c>
      <c r="AA1129" s="6" t="s">
        <v>243</v>
      </c>
      <c r="AB1129" s="5" t="s">
        <v>238</v>
      </c>
      <c r="AC1129" s="5" t="s">
        <v>244</v>
      </c>
      <c r="AD1129" s="5" t="s">
        <v>245</v>
      </c>
      <c r="AT1129" s="5" t="s">
        <v>246</v>
      </c>
      <c r="AU1129" s="5" t="s">
        <v>238</v>
      </c>
      <c r="AV1129" s="5" t="s">
        <v>247</v>
      </c>
      <c r="AW1129" s="5" t="s">
        <v>238</v>
      </c>
      <c r="AX1129" s="5" t="s">
        <v>249</v>
      </c>
      <c r="AY1129" s="5" t="s">
        <v>238</v>
      </c>
      <c r="BA1129" s="5" t="s">
        <v>238</v>
      </c>
      <c r="BC1129" s="5" t="s">
        <v>250</v>
      </c>
      <c r="BD1129" s="6" t="s">
        <v>243</v>
      </c>
      <c r="BE1129" s="5" t="s">
        <v>251</v>
      </c>
      <c r="BF1129" s="5" t="s">
        <v>252</v>
      </c>
      <c r="BG1129" s="5" t="s">
        <v>238</v>
      </c>
      <c r="BH1129" s="7">
        <f>0</f>
        <v>0</v>
      </c>
      <c r="BI1129" s="8">
        <f>0</f>
        <v>0</v>
      </c>
      <c r="BJ1129" s="5" t="s">
        <v>253</v>
      </c>
      <c r="BK1129" s="5" t="s">
        <v>254</v>
      </c>
      <c r="BY1129" s="5" t="s">
        <v>238</v>
      </c>
      <c r="BZ1129" s="5" t="s">
        <v>238</v>
      </c>
      <c r="CD1129" s="5" t="s">
        <v>273</v>
      </c>
      <c r="CE1129" s="5" t="s">
        <v>256</v>
      </c>
      <c r="CF1129" s="5" t="s">
        <v>238</v>
      </c>
      <c r="CI1129" s="6" t="s">
        <v>257</v>
      </c>
      <c r="CJ1129" s="5" t="s">
        <v>238</v>
      </c>
      <c r="CK1129" s="5" t="s">
        <v>258</v>
      </c>
      <c r="CL1129" s="5" t="s">
        <v>238</v>
      </c>
      <c r="CM1129" s="5" t="s">
        <v>238</v>
      </c>
      <c r="CN1129" s="5">
        <v>0</v>
      </c>
      <c r="CO1129" s="5" t="s">
        <v>259</v>
      </c>
      <c r="CP1129" s="5" t="s">
        <v>260</v>
      </c>
      <c r="CQ1129" s="5" t="s">
        <v>260</v>
      </c>
      <c r="CR1129" s="5" t="s">
        <v>261</v>
      </c>
      <c r="CU1129" s="8">
        <f>1</f>
        <v>1</v>
      </c>
      <c r="CV1129" s="8">
        <f>0</f>
        <v>0</v>
      </c>
      <c r="CX1129" s="8">
        <f>0</f>
        <v>0</v>
      </c>
      <c r="CY1129" s="8">
        <f>1</f>
        <v>1</v>
      </c>
      <c r="DA1129" s="5" t="s">
        <v>673</v>
      </c>
      <c r="DB1129" s="5" t="s">
        <v>238</v>
      </c>
      <c r="DD1129" s="5" t="s">
        <v>673</v>
      </c>
      <c r="DE1129" s="8">
        <f>46</f>
        <v>46</v>
      </c>
      <c r="DG1129" s="5" t="s">
        <v>238</v>
      </c>
      <c r="DH1129" s="5" t="s">
        <v>238</v>
      </c>
      <c r="DI1129" s="5" t="s">
        <v>238</v>
      </c>
      <c r="DJ1129" s="5" t="s">
        <v>238</v>
      </c>
      <c r="DN1129" s="5" t="s">
        <v>238</v>
      </c>
      <c r="DO1129" s="5" t="s">
        <v>238</v>
      </c>
      <c r="DP1129" s="5" t="s">
        <v>238</v>
      </c>
      <c r="DQ1129" s="5" t="s">
        <v>238</v>
      </c>
      <c r="DT1129" s="5" t="s">
        <v>2039</v>
      </c>
      <c r="DU1129" s="5" t="s">
        <v>3003</v>
      </c>
      <c r="HM1129" s="5" t="s">
        <v>264</v>
      </c>
    </row>
    <row r="1130" spans="1:221" x14ac:dyDescent="0.4">
      <c r="A1130" s="5">
        <v>2805</v>
      </c>
      <c r="B1130" s="5">
        <v>1</v>
      </c>
      <c r="C1130" s="5">
        <v>1</v>
      </c>
      <c r="D1130" s="5" t="s">
        <v>2037</v>
      </c>
      <c r="E1130" s="5" t="s">
        <v>271</v>
      </c>
      <c r="F1130" s="5" t="s">
        <v>248</v>
      </c>
      <c r="G1130" s="5" t="s">
        <v>1969</v>
      </c>
      <c r="H1130" s="6" t="s">
        <v>3000</v>
      </c>
      <c r="I1130" s="7">
        <f>60</f>
        <v>60</v>
      </c>
      <c r="J1130" s="5" t="s">
        <v>262</v>
      </c>
      <c r="K1130" s="8">
        <f>1</f>
        <v>1</v>
      </c>
      <c r="L1130" s="6" t="s">
        <v>242</v>
      </c>
      <c r="M1130" s="5" t="s">
        <v>267</v>
      </c>
      <c r="N1130" s="5" t="s">
        <v>265</v>
      </c>
      <c r="O1130" s="5" t="s">
        <v>238</v>
      </c>
      <c r="P1130" s="5" t="s">
        <v>238</v>
      </c>
      <c r="Q1130" s="5" t="s">
        <v>268</v>
      </c>
      <c r="R1130" s="5" t="s">
        <v>270</v>
      </c>
      <c r="S1130" s="5" t="s">
        <v>238</v>
      </c>
      <c r="V1130" s="5" t="s">
        <v>238</v>
      </c>
      <c r="X1130" s="6" t="s">
        <v>238</v>
      </c>
      <c r="AA1130" s="6" t="s">
        <v>243</v>
      </c>
      <c r="AB1130" s="5" t="s">
        <v>238</v>
      </c>
      <c r="AC1130" s="5" t="s">
        <v>244</v>
      </c>
      <c r="AD1130" s="5" t="s">
        <v>245</v>
      </c>
      <c r="AT1130" s="5" t="s">
        <v>246</v>
      </c>
      <c r="AU1130" s="5" t="s">
        <v>238</v>
      </c>
      <c r="AV1130" s="5" t="s">
        <v>247</v>
      </c>
      <c r="AW1130" s="5" t="s">
        <v>238</v>
      </c>
      <c r="AX1130" s="5" t="s">
        <v>249</v>
      </c>
      <c r="AY1130" s="5" t="s">
        <v>238</v>
      </c>
      <c r="BA1130" s="5" t="s">
        <v>238</v>
      </c>
      <c r="BC1130" s="5" t="s">
        <v>250</v>
      </c>
      <c r="BD1130" s="6" t="s">
        <v>243</v>
      </c>
      <c r="BE1130" s="5" t="s">
        <v>251</v>
      </c>
      <c r="BF1130" s="5" t="s">
        <v>252</v>
      </c>
      <c r="BG1130" s="5" t="s">
        <v>238</v>
      </c>
      <c r="BH1130" s="7">
        <f>0</f>
        <v>0</v>
      </c>
      <c r="BI1130" s="8">
        <f>0</f>
        <v>0</v>
      </c>
      <c r="BJ1130" s="5" t="s">
        <v>253</v>
      </c>
      <c r="BK1130" s="5" t="s">
        <v>254</v>
      </c>
      <c r="BY1130" s="5" t="s">
        <v>238</v>
      </c>
      <c r="BZ1130" s="5" t="s">
        <v>238</v>
      </c>
      <c r="CD1130" s="5" t="s">
        <v>273</v>
      </c>
      <c r="CE1130" s="5" t="s">
        <v>256</v>
      </c>
      <c r="CF1130" s="5" t="s">
        <v>238</v>
      </c>
      <c r="CI1130" s="6" t="s">
        <v>257</v>
      </c>
      <c r="CJ1130" s="5" t="s">
        <v>238</v>
      </c>
      <c r="CK1130" s="5" t="s">
        <v>258</v>
      </c>
      <c r="CL1130" s="5" t="s">
        <v>238</v>
      </c>
      <c r="CM1130" s="5" t="s">
        <v>238</v>
      </c>
      <c r="CN1130" s="5">
        <v>0</v>
      </c>
      <c r="CO1130" s="5" t="s">
        <v>259</v>
      </c>
      <c r="CP1130" s="5" t="s">
        <v>260</v>
      </c>
      <c r="CQ1130" s="5" t="s">
        <v>260</v>
      </c>
      <c r="CR1130" s="5" t="s">
        <v>261</v>
      </c>
      <c r="CU1130" s="8">
        <f>1</f>
        <v>1</v>
      </c>
      <c r="CV1130" s="8">
        <f>0</f>
        <v>0</v>
      </c>
      <c r="CX1130" s="8">
        <f>0</f>
        <v>0</v>
      </c>
      <c r="CY1130" s="8">
        <f>1</f>
        <v>1</v>
      </c>
      <c r="DA1130" s="5" t="s">
        <v>673</v>
      </c>
      <c r="DB1130" s="5" t="s">
        <v>238</v>
      </c>
      <c r="DD1130" s="5" t="s">
        <v>673</v>
      </c>
      <c r="DE1130" s="8">
        <f>60</f>
        <v>60</v>
      </c>
      <c r="DG1130" s="5" t="s">
        <v>238</v>
      </c>
      <c r="DH1130" s="5" t="s">
        <v>238</v>
      </c>
      <c r="DI1130" s="5" t="s">
        <v>238</v>
      </c>
      <c r="DJ1130" s="5" t="s">
        <v>238</v>
      </c>
      <c r="DN1130" s="5" t="s">
        <v>238</v>
      </c>
      <c r="DO1130" s="5" t="s">
        <v>238</v>
      </c>
      <c r="DP1130" s="5" t="s">
        <v>238</v>
      </c>
      <c r="DQ1130" s="5" t="s">
        <v>238</v>
      </c>
      <c r="DT1130" s="5" t="s">
        <v>2039</v>
      </c>
      <c r="DU1130" s="5" t="s">
        <v>3001</v>
      </c>
      <c r="HM1130" s="5" t="s">
        <v>264</v>
      </c>
    </row>
    <row r="1131" spans="1:221" x14ac:dyDescent="0.4">
      <c r="A1131" s="5">
        <v>2806</v>
      </c>
      <c r="B1131" s="5">
        <v>1</v>
      </c>
      <c r="C1131" s="5">
        <v>1</v>
      </c>
      <c r="D1131" s="5" t="s">
        <v>2037</v>
      </c>
      <c r="E1131" s="5" t="s">
        <v>271</v>
      </c>
      <c r="F1131" s="5" t="s">
        <v>248</v>
      </c>
      <c r="G1131" s="5" t="s">
        <v>1969</v>
      </c>
      <c r="H1131" s="6" t="s">
        <v>2998</v>
      </c>
      <c r="I1131" s="7">
        <f>10744</f>
        <v>10744</v>
      </c>
      <c r="J1131" s="5" t="s">
        <v>262</v>
      </c>
      <c r="K1131" s="8">
        <f>1</f>
        <v>1</v>
      </c>
      <c r="L1131" s="6" t="s">
        <v>242</v>
      </c>
      <c r="M1131" s="5" t="s">
        <v>267</v>
      </c>
      <c r="N1131" s="5" t="s">
        <v>265</v>
      </c>
      <c r="O1131" s="5" t="s">
        <v>238</v>
      </c>
      <c r="P1131" s="5" t="s">
        <v>238</v>
      </c>
      <c r="Q1131" s="5" t="s">
        <v>268</v>
      </c>
      <c r="R1131" s="5" t="s">
        <v>270</v>
      </c>
      <c r="S1131" s="5" t="s">
        <v>238</v>
      </c>
      <c r="V1131" s="5" t="s">
        <v>238</v>
      </c>
      <c r="X1131" s="6" t="s">
        <v>238</v>
      </c>
      <c r="AA1131" s="6" t="s">
        <v>243</v>
      </c>
      <c r="AB1131" s="5" t="s">
        <v>238</v>
      </c>
      <c r="AC1131" s="5" t="s">
        <v>244</v>
      </c>
      <c r="AD1131" s="5" t="s">
        <v>245</v>
      </c>
      <c r="AT1131" s="5" t="s">
        <v>246</v>
      </c>
      <c r="AU1131" s="5" t="s">
        <v>238</v>
      </c>
      <c r="AV1131" s="5" t="s">
        <v>247</v>
      </c>
      <c r="AW1131" s="5" t="s">
        <v>238</v>
      </c>
      <c r="AX1131" s="5" t="s">
        <v>249</v>
      </c>
      <c r="AY1131" s="5" t="s">
        <v>238</v>
      </c>
      <c r="BA1131" s="5" t="s">
        <v>238</v>
      </c>
      <c r="BC1131" s="5" t="s">
        <v>250</v>
      </c>
      <c r="BD1131" s="6" t="s">
        <v>243</v>
      </c>
      <c r="BE1131" s="5" t="s">
        <v>251</v>
      </c>
      <c r="BF1131" s="5" t="s">
        <v>252</v>
      </c>
      <c r="BG1131" s="5" t="s">
        <v>238</v>
      </c>
      <c r="BH1131" s="7">
        <f>0</f>
        <v>0</v>
      </c>
      <c r="BI1131" s="8">
        <f>0</f>
        <v>0</v>
      </c>
      <c r="BJ1131" s="5" t="s">
        <v>253</v>
      </c>
      <c r="BK1131" s="5" t="s">
        <v>254</v>
      </c>
      <c r="BY1131" s="5" t="s">
        <v>238</v>
      </c>
      <c r="BZ1131" s="5" t="s">
        <v>238</v>
      </c>
      <c r="CD1131" s="5" t="s">
        <v>273</v>
      </c>
      <c r="CE1131" s="5" t="s">
        <v>256</v>
      </c>
      <c r="CF1131" s="5" t="s">
        <v>238</v>
      </c>
      <c r="CI1131" s="6" t="s">
        <v>257</v>
      </c>
      <c r="CJ1131" s="5" t="s">
        <v>238</v>
      </c>
      <c r="CK1131" s="5" t="s">
        <v>258</v>
      </c>
      <c r="CL1131" s="5" t="s">
        <v>238</v>
      </c>
      <c r="CM1131" s="5" t="s">
        <v>238</v>
      </c>
      <c r="CN1131" s="5">
        <v>0</v>
      </c>
      <c r="CO1131" s="5" t="s">
        <v>259</v>
      </c>
      <c r="CP1131" s="5" t="s">
        <v>260</v>
      </c>
      <c r="CQ1131" s="5" t="s">
        <v>260</v>
      </c>
      <c r="CR1131" s="5" t="s">
        <v>261</v>
      </c>
      <c r="CU1131" s="8">
        <f>1</f>
        <v>1</v>
      </c>
      <c r="CV1131" s="8">
        <f>0</f>
        <v>0</v>
      </c>
      <c r="CX1131" s="8">
        <f>0</f>
        <v>0</v>
      </c>
      <c r="CY1131" s="8">
        <f>1</f>
        <v>1</v>
      </c>
      <c r="DA1131" s="5" t="s">
        <v>673</v>
      </c>
      <c r="DB1131" s="5" t="s">
        <v>238</v>
      </c>
      <c r="DD1131" s="5" t="s">
        <v>673</v>
      </c>
      <c r="DE1131" s="8">
        <f>10744</f>
        <v>10744</v>
      </c>
      <c r="DG1131" s="5" t="s">
        <v>238</v>
      </c>
      <c r="DH1131" s="5" t="s">
        <v>238</v>
      </c>
      <c r="DI1131" s="5" t="s">
        <v>238</v>
      </c>
      <c r="DJ1131" s="5" t="s">
        <v>238</v>
      </c>
      <c r="DN1131" s="5" t="s">
        <v>238</v>
      </c>
      <c r="DO1131" s="5" t="s">
        <v>238</v>
      </c>
      <c r="DP1131" s="5" t="s">
        <v>238</v>
      </c>
      <c r="DQ1131" s="5" t="s">
        <v>238</v>
      </c>
      <c r="DT1131" s="5" t="s">
        <v>2039</v>
      </c>
      <c r="DU1131" s="5" t="s">
        <v>2999</v>
      </c>
      <c r="HM1131" s="5" t="s">
        <v>264</v>
      </c>
    </row>
    <row r="1132" spans="1:221" x14ac:dyDescent="0.4">
      <c r="A1132" s="5">
        <v>2807</v>
      </c>
      <c r="B1132" s="5">
        <v>1</v>
      </c>
      <c r="C1132" s="5">
        <v>1</v>
      </c>
      <c r="D1132" s="5" t="s">
        <v>2037</v>
      </c>
      <c r="E1132" s="5" t="s">
        <v>271</v>
      </c>
      <c r="F1132" s="5" t="s">
        <v>248</v>
      </c>
      <c r="G1132" s="5" t="s">
        <v>1969</v>
      </c>
      <c r="H1132" s="6" t="s">
        <v>2996</v>
      </c>
      <c r="I1132" s="7">
        <f>1733</f>
        <v>1733</v>
      </c>
      <c r="J1132" s="5" t="s">
        <v>262</v>
      </c>
      <c r="K1132" s="8">
        <f>1</f>
        <v>1</v>
      </c>
      <c r="L1132" s="6" t="s">
        <v>242</v>
      </c>
      <c r="M1132" s="5" t="s">
        <v>267</v>
      </c>
      <c r="N1132" s="5" t="s">
        <v>265</v>
      </c>
      <c r="O1132" s="5" t="s">
        <v>238</v>
      </c>
      <c r="P1132" s="5" t="s">
        <v>238</v>
      </c>
      <c r="Q1132" s="5" t="s">
        <v>268</v>
      </c>
      <c r="R1132" s="5" t="s">
        <v>270</v>
      </c>
      <c r="S1132" s="5" t="s">
        <v>238</v>
      </c>
      <c r="V1132" s="5" t="s">
        <v>238</v>
      </c>
      <c r="X1132" s="6" t="s">
        <v>238</v>
      </c>
      <c r="AA1132" s="6" t="s">
        <v>243</v>
      </c>
      <c r="AB1132" s="5" t="s">
        <v>238</v>
      </c>
      <c r="AC1132" s="5" t="s">
        <v>244</v>
      </c>
      <c r="AD1132" s="5" t="s">
        <v>245</v>
      </c>
      <c r="AT1132" s="5" t="s">
        <v>246</v>
      </c>
      <c r="AU1132" s="5" t="s">
        <v>238</v>
      </c>
      <c r="AV1132" s="5" t="s">
        <v>247</v>
      </c>
      <c r="AW1132" s="5" t="s">
        <v>238</v>
      </c>
      <c r="AX1132" s="5" t="s">
        <v>249</v>
      </c>
      <c r="AY1132" s="5" t="s">
        <v>238</v>
      </c>
      <c r="BA1132" s="5" t="s">
        <v>238</v>
      </c>
      <c r="BC1132" s="5" t="s">
        <v>250</v>
      </c>
      <c r="BD1132" s="6" t="s">
        <v>243</v>
      </c>
      <c r="BE1132" s="5" t="s">
        <v>251</v>
      </c>
      <c r="BF1132" s="5" t="s">
        <v>252</v>
      </c>
      <c r="BG1132" s="5" t="s">
        <v>238</v>
      </c>
      <c r="BH1132" s="7">
        <f>0</f>
        <v>0</v>
      </c>
      <c r="BI1132" s="8">
        <f>0</f>
        <v>0</v>
      </c>
      <c r="BJ1132" s="5" t="s">
        <v>253</v>
      </c>
      <c r="BK1132" s="5" t="s">
        <v>254</v>
      </c>
      <c r="BY1132" s="5" t="s">
        <v>238</v>
      </c>
      <c r="BZ1132" s="5" t="s">
        <v>238</v>
      </c>
      <c r="CD1132" s="5" t="s">
        <v>273</v>
      </c>
      <c r="CE1132" s="5" t="s">
        <v>256</v>
      </c>
      <c r="CF1132" s="5" t="s">
        <v>238</v>
      </c>
      <c r="CI1132" s="6" t="s">
        <v>257</v>
      </c>
      <c r="CJ1132" s="5" t="s">
        <v>238</v>
      </c>
      <c r="CK1132" s="5" t="s">
        <v>258</v>
      </c>
      <c r="CL1132" s="5" t="s">
        <v>238</v>
      </c>
      <c r="CM1132" s="5" t="s">
        <v>238</v>
      </c>
      <c r="CN1132" s="5">
        <v>0</v>
      </c>
      <c r="CO1132" s="5" t="s">
        <v>259</v>
      </c>
      <c r="CP1132" s="5" t="s">
        <v>260</v>
      </c>
      <c r="CQ1132" s="5" t="s">
        <v>260</v>
      </c>
      <c r="CR1132" s="5" t="s">
        <v>261</v>
      </c>
      <c r="CU1132" s="8">
        <f>1</f>
        <v>1</v>
      </c>
      <c r="CV1132" s="8">
        <f>0</f>
        <v>0</v>
      </c>
      <c r="CX1132" s="8">
        <f>0</f>
        <v>0</v>
      </c>
      <c r="CY1132" s="8">
        <f>1</f>
        <v>1</v>
      </c>
      <c r="DA1132" s="5" t="s">
        <v>673</v>
      </c>
      <c r="DB1132" s="5" t="s">
        <v>238</v>
      </c>
      <c r="DD1132" s="5" t="s">
        <v>673</v>
      </c>
      <c r="DE1132" s="8">
        <f>1733</f>
        <v>1733</v>
      </c>
      <c r="DG1132" s="5" t="s">
        <v>238</v>
      </c>
      <c r="DH1132" s="5" t="s">
        <v>238</v>
      </c>
      <c r="DI1132" s="5" t="s">
        <v>238</v>
      </c>
      <c r="DJ1132" s="5" t="s">
        <v>238</v>
      </c>
      <c r="DN1132" s="5" t="s">
        <v>238</v>
      </c>
      <c r="DO1132" s="5" t="s">
        <v>238</v>
      </c>
      <c r="DP1132" s="5" t="s">
        <v>238</v>
      </c>
      <c r="DQ1132" s="5" t="s">
        <v>238</v>
      </c>
      <c r="DT1132" s="5" t="s">
        <v>2039</v>
      </c>
      <c r="DU1132" s="5" t="s">
        <v>2997</v>
      </c>
      <c r="HM1132" s="5" t="s">
        <v>264</v>
      </c>
    </row>
    <row r="1133" spans="1:221" x14ac:dyDescent="0.4">
      <c r="A1133" s="5">
        <v>2808</v>
      </c>
      <c r="B1133" s="5">
        <v>1</v>
      </c>
      <c r="C1133" s="5">
        <v>1</v>
      </c>
      <c r="D1133" s="5" t="s">
        <v>2037</v>
      </c>
      <c r="E1133" s="5" t="s">
        <v>271</v>
      </c>
      <c r="F1133" s="5" t="s">
        <v>248</v>
      </c>
      <c r="G1133" s="5" t="s">
        <v>1969</v>
      </c>
      <c r="H1133" s="6" t="s">
        <v>2994</v>
      </c>
      <c r="I1133" s="7">
        <f>1656</f>
        <v>1656</v>
      </c>
      <c r="J1133" s="5" t="s">
        <v>262</v>
      </c>
      <c r="K1133" s="8">
        <f>1</f>
        <v>1</v>
      </c>
      <c r="L1133" s="6" t="s">
        <v>242</v>
      </c>
      <c r="M1133" s="5" t="s">
        <v>267</v>
      </c>
      <c r="N1133" s="5" t="s">
        <v>265</v>
      </c>
      <c r="O1133" s="5" t="s">
        <v>238</v>
      </c>
      <c r="P1133" s="5" t="s">
        <v>238</v>
      </c>
      <c r="Q1133" s="5" t="s">
        <v>268</v>
      </c>
      <c r="R1133" s="5" t="s">
        <v>270</v>
      </c>
      <c r="S1133" s="5" t="s">
        <v>238</v>
      </c>
      <c r="V1133" s="5" t="s">
        <v>238</v>
      </c>
      <c r="X1133" s="6" t="s">
        <v>238</v>
      </c>
      <c r="AA1133" s="6" t="s">
        <v>243</v>
      </c>
      <c r="AB1133" s="5" t="s">
        <v>238</v>
      </c>
      <c r="AC1133" s="5" t="s">
        <v>244</v>
      </c>
      <c r="AD1133" s="5" t="s">
        <v>245</v>
      </c>
      <c r="AT1133" s="5" t="s">
        <v>246</v>
      </c>
      <c r="AU1133" s="5" t="s">
        <v>238</v>
      </c>
      <c r="AV1133" s="5" t="s">
        <v>247</v>
      </c>
      <c r="AW1133" s="5" t="s">
        <v>238</v>
      </c>
      <c r="AX1133" s="5" t="s">
        <v>249</v>
      </c>
      <c r="AY1133" s="5" t="s">
        <v>238</v>
      </c>
      <c r="BA1133" s="5" t="s">
        <v>238</v>
      </c>
      <c r="BC1133" s="5" t="s">
        <v>250</v>
      </c>
      <c r="BD1133" s="6" t="s">
        <v>243</v>
      </c>
      <c r="BE1133" s="5" t="s">
        <v>251</v>
      </c>
      <c r="BF1133" s="5" t="s">
        <v>252</v>
      </c>
      <c r="BG1133" s="5" t="s">
        <v>238</v>
      </c>
      <c r="BH1133" s="7">
        <f>0</f>
        <v>0</v>
      </c>
      <c r="BI1133" s="8">
        <f>0</f>
        <v>0</v>
      </c>
      <c r="BJ1133" s="5" t="s">
        <v>253</v>
      </c>
      <c r="BK1133" s="5" t="s">
        <v>254</v>
      </c>
      <c r="BY1133" s="5" t="s">
        <v>238</v>
      </c>
      <c r="BZ1133" s="5" t="s">
        <v>238</v>
      </c>
      <c r="CD1133" s="5" t="s">
        <v>273</v>
      </c>
      <c r="CE1133" s="5" t="s">
        <v>256</v>
      </c>
      <c r="CF1133" s="5" t="s">
        <v>238</v>
      </c>
      <c r="CI1133" s="6" t="s">
        <v>257</v>
      </c>
      <c r="CJ1133" s="5" t="s">
        <v>238</v>
      </c>
      <c r="CK1133" s="5" t="s">
        <v>258</v>
      </c>
      <c r="CL1133" s="5" t="s">
        <v>238</v>
      </c>
      <c r="CM1133" s="5" t="s">
        <v>238</v>
      </c>
      <c r="CN1133" s="5">
        <v>0</v>
      </c>
      <c r="CO1133" s="5" t="s">
        <v>259</v>
      </c>
      <c r="CP1133" s="5" t="s">
        <v>260</v>
      </c>
      <c r="CQ1133" s="5" t="s">
        <v>260</v>
      </c>
      <c r="CR1133" s="5" t="s">
        <v>261</v>
      </c>
      <c r="CU1133" s="8">
        <f>1</f>
        <v>1</v>
      </c>
      <c r="CV1133" s="8">
        <f>0</f>
        <v>0</v>
      </c>
      <c r="CX1133" s="8">
        <f>0</f>
        <v>0</v>
      </c>
      <c r="CY1133" s="8">
        <f>1</f>
        <v>1</v>
      </c>
      <c r="DA1133" s="5" t="s">
        <v>673</v>
      </c>
      <c r="DB1133" s="5" t="s">
        <v>238</v>
      </c>
      <c r="DD1133" s="5" t="s">
        <v>673</v>
      </c>
      <c r="DE1133" s="8">
        <f>1656</f>
        <v>1656</v>
      </c>
      <c r="DG1133" s="5" t="s">
        <v>238</v>
      </c>
      <c r="DH1133" s="5" t="s">
        <v>238</v>
      </c>
      <c r="DI1133" s="5" t="s">
        <v>238</v>
      </c>
      <c r="DJ1133" s="5" t="s">
        <v>238</v>
      </c>
      <c r="DN1133" s="5" t="s">
        <v>238</v>
      </c>
      <c r="DO1133" s="5" t="s">
        <v>238</v>
      </c>
      <c r="DP1133" s="5" t="s">
        <v>238</v>
      </c>
      <c r="DQ1133" s="5" t="s">
        <v>238</v>
      </c>
      <c r="DT1133" s="5" t="s">
        <v>2039</v>
      </c>
      <c r="DU1133" s="5" t="s">
        <v>2995</v>
      </c>
      <c r="HM1133" s="5" t="s">
        <v>264</v>
      </c>
    </row>
    <row r="1134" spans="1:221" x14ac:dyDescent="0.4">
      <c r="A1134" s="5">
        <v>2809</v>
      </c>
      <c r="B1134" s="5">
        <v>1</v>
      </c>
      <c r="C1134" s="5">
        <v>1</v>
      </c>
      <c r="D1134" s="5" t="s">
        <v>2037</v>
      </c>
      <c r="E1134" s="5" t="s">
        <v>271</v>
      </c>
      <c r="F1134" s="5" t="s">
        <v>248</v>
      </c>
      <c r="G1134" s="5" t="s">
        <v>1969</v>
      </c>
      <c r="H1134" s="6" t="s">
        <v>2992</v>
      </c>
      <c r="I1134" s="7">
        <f>303</f>
        <v>303</v>
      </c>
      <c r="J1134" s="5" t="s">
        <v>262</v>
      </c>
      <c r="K1134" s="8">
        <f>1</f>
        <v>1</v>
      </c>
      <c r="L1134" s="6" t="s">
        <v>242</v>
      </c>
      <c r="M1134" s="5" t="s">
        <v>267</v>
      </c>
      <c r="N1134" s="5" t="s">
        <v>265</v>
      </c>
      <c r="O1134" s="5" t="s">
        <v>238</v>
      </c>
      <c r="P1134" s="5" t="s">
        <v>238</v>
      </c>
      <c r="Q1134" s="5" t="s">
        <v>268</v>
      </c>
      <c r="R1134" s="5" t="s">
        <v>270</v>
      </c>
      <c r="S1134" s="5" t="s">
        <v>238</v>
      </c>
      <c r="V1134" s="5" t="s">
        <v>238</v>
      </c>
      <c r="X1134" s="6" t="s">
        <v>238</v>
      </c>
      <c r="AA1134" s="6" t="s">
        <v>243</v>
      </c>
      <c r="AB1134" s="5" t="s">
        <v>238</v>
      </c>
      <c r="AC1134" s="5" t="s">
        <v>244</v>
      </c>
      <c r="AD1134" s="5" t="s">
        <v>245</v>
      </c>
      <c r="AT1134" s="5" t="s">
        <v>246</v>
      </c>
      <c r="AU1134" s="5" t="s">
        <v>238</v>
      </c>
      <c r="AV1134" s="5" t="s">
        <v>247</v>
      </c>
      <c r="AW1134" s="5" t="s">
        <v>238</v>
      </c>
      <c r="AX1134" s="5" t="s">
        <v>249</v>
      </c>
      <c r="AY1134" s="5" t="s">
        <v>238</v>
      </c>
      <c r="BA1134" s="5" t="s">
        <v>238</v>
      </c>
      <c r="BC1134" s="5" t="s">
        <v>250</v>
      </c>
      <c r="BD1134" s="6" t="s">
        <v>243</v>
      </c>
      <c r="BE1134" s="5" t="s">
        <v>251</v>
      </c>
      <c r="BF1134" s="5" t="s">
        <v>252</v>
      </c>
      <c r="BG1134" s="5" t="s">
        <v>238</v>
      </c>
      <c r="BH1134" s="7">
        <f>0</f>
        <v>0</v>
      </c>
      <c r="BI1134" s="8">
        <f>0</f>
        <v>0</v>
      </c>
      <c r="BJ1134" s="5" t="s">
        <v>253</v>
      </c>
      <c r="BK1134" s="5" t="s">
        <v>254</v>
      </c>
      <c r="BY1134" s="5" t="s">
        <v>238</v>
      </c>
      <c r="BZ1134" s="5" t="s">
        <v>238</v>
      </c>
      <c r="CD1134" s="5" t="s">
        <v>273</v>
      </c>
      <c r="CE1134" s="5" t="s">
        <v>256</v>
      </c>
      <c r="CF1134" s="5" t="s">
        <v>238</v>
      </c>
      <c r="CI1134" s="6" t="s">
        <v>257</v>
      </c>
      <c r="CJ1134" s="5" t="s">
        <v>238</v>
      </c>
      <c r="CK1134" s="5" t="s">
        <v>258</v>
      </c>
      <c r="CL1134" s="5" t="s">
        <v>238</v>
      </c>
      <c r="CM1134" s="5" t="s">
        <v>238</v>
      </c>
      <c r="CN1134" s="5">
        <v>0</v>
      </c>
      <c r="CO1134" s="5" t="s">
        <v>259</v>
      </c>
      <c r="CP1134" s="5" t="s">
        <v>260</v>
      </c>
      <c r="CQ1134" s="5" t="s">
        <v>260</v>
      </c>
      <c r="CR1134" s="5" t="s">
        <v>261</v>
      </c>
      <c r="CU1134" s="8">
        <f>1</f>
        <v>1</v>
      </c>
      <c r="CV1134" s="8">
        <f>0</f>
        <v>0</v>
      </c>
      <c r="CX1134" s="8">
        <f>0</f>
        <v>0</v>
      </c>
      <c r="CY1134" s="8">
        <f>1</f>
        <v>1</v>
      </c>
      <c r="DA1134" s="5" t="s">
        <v>673</v>
      </c>
      <c r="DB1134" s="5" t="s">
        <v>238</v>
      </c>
      <c r="DD1134" s="5" t="s">
        <v>673</v>
      </c>
      <c r="DE1134" s="8">
        <f>303</f>
        <v>303</v>
      </c>
      <c r="DG1134" s="5" t="s">
        <v>238</v>
      </c>
      <c r="DH1134" s="5" t="s">
        <v>238</v>
      </c>
      <c r="DI1134" s="5" t="s">
        <v>238</v>
      </c>
      <c r="DJ1134" s="5" t="s">
        <v>238</v>
      </c>
      <c r="DN1134" s="5" t="s">
        <v>238</v>
      </c>
      <c r="DO1134" s="5" t="s">
        <v>238</v>
      </c>
      <c r="DP1134" s="5" t="s">
        <v>238</v>
      </c>
      <c r="DQ1134" s="5" t="s">
        <v>238</v>
      </c>
      <c r="DT1134" s="5" t="s">
        <v>2039</v>
      </c>
      <c r="DU1134" s="5" t="s">
        <v>2993</v>
      </c>
      <c r="HM1134" s="5" t="s">
        <v>264</v>
      </c>
    </row>
    <row r="1135" spans="1:221" x14ac:dyDescent="0.4">
      <c r="A1135" s="5">
        <v>2810</v>
      </c>
      <c r="B1135" s="5">
        <v>1</v>
      </c>
      <c r="C1135" s="5">
        <v>1</v>
      </c>
      <c r="D1135" s="5" t="s">
        <v>2037</v>
      </c>
      <c r="E1135" s="5" t="s">
        <v>271</v>
      </c>
      <c r="F1135" s="5" t="s">
        <v>248</v>
      </c>
      <c r="G1135" s="5" t="s">
        <v>1969</v>
      </c>
      <c r="H1135" s="6" t="s">
        <v>2990</v>
      </c>
      <c r="I1135" s="7">
        <f>12221</f>
        <v>12221</v>
      </c>
      <c r="J1135" s="5" t="s">
        <v>262</v>
      </c>
      <c r="K1135" s="8">
        <f>1</f>
        <v>1</v>
      </c>
      <c r="L1135" s="6" t="s">
        <v>242</v>
      </c>
      <c r="M1135" s="5" t="s">
        <v>267</v>
      </c>
      <c r="N1135" s="5" t="s">
        <v>265</v>
      </c>
      <c r="O1135" s="5" t="s">
        <v>238</v>
      </c>
      <c r="P1135" s="5" t="s">
        <v>238</v>
      </c>
      <c r="Q1135" s="5" t="s">
        <v>268</v>
      </c>
      <c r="R1135" s="5" t="s">
        <v>270</v>
      </c>
      <c r="S1135" s="5" t="s">
        <v>238</v>
      </c>
      <c r="V1135" s="5" t="s">
        <v>238</v>
      </c>
      <c r="X1135" s="6" t="s">
        <v>238</v>
      </c>
      <c r="AA1135" s="6" t="s">
        <v>243</v>
      </c>
      <c r="AB1135" s="5" t="s">
        <v>238</v>
      </c>
      <c r="AC1135" s="5" t="s">
        <v>244</v>
      </c>
      <c r="AD1135" s="5" t="s">
        <v>245</v>
      </c>
      <c r="AT1135" s="5" t="s">
        <v>246</v>
      </c>
      <c r="AU1135" s="5" t="s">
        <v>238</v>
      </c>
      <c r="AV1135" s="5" t="s">
        <v>247</v>
      </c>
      <c r="AW1135" s="5" t="s">
        <v>238</v>
      </c>
      <c r="AX1135" s="5" t="s">
        <v>249</v>
      </c>
      <c r="AY1135" s="5" t="s">
        <v>238</v>
      </c>
      <c r="BA1135" s="5" t="s">
        <v>238</v>
      </c>
      <c r="BC1135" s="5" t="s">
        <v>250</v>
      </c>
      <c r="BD1135" s="6" t="s">
        <v>243</v>
      </c>
      <c r="BE1135" s="5" t="s">
        <v>251</v>
      </c>
      <c r="BF1135" s="5" t="s">
        <v>252</v>
      </c>
      <c r="BG1135" s="5" t="s">
        <v>238</v>
      </c>
      <c r="BH1135" s="7">
        <f>0</f>
        <v>0</v>
      </c>
      <c r="BI1135" s="8">
        <f>0</f>
        <v>0</v>
      </c>
      <c r="BJ1135" s="5" t="s">
        <v>253</v>
      </c>
      <c r="BK1135" s="5" t="s">
        <v>254</v>
      </c>
      <c r="BY1135" s="5" t="s">
        <v>238</v>
      </c>
      <c r="BZ1135" s="5" t="s">
        <v>238</v>
      </c>
      <c r="CD1135" s="5" t="s">
        <v>273</v>
      </c>
      <c r="CE1135" s="5" t="s">
        <v>256</v>
      </c>
      <c r="CF1135" s="5" t="s">
        <v>238</v>
      </c>
      <c r="CI1135" s="6" t="s">
        <v>257</v>
      </c>
      <c r="CJ1135" s="5" t="s">
        <v>238</v>
      </c>
      <c r="CK1135" s="5" t="s">
        <v>258</v>
      </c>
      <c r="CL1135" s="5" t="s">
        <v>238</v>
      </c>
      <c r="CM1135" s="5" t="s">
        <v>238</v>
      </c>
      <c r="CN1135" s="5">
        <v>0</v>
      </c>
      <c r="CO1135" s="5" t="s">
        <v>259</v>
      </c>
      <c r="CP1135" s="5" t="s">
        <v>260</v>
      </c>
      <c r="CQ1135" s="5" t="s">
        <v>260</v>
      </c>
      <c r="CR1135" s="5" t="s">
        <v>261</v>
      </c>
      <c r="CU1135" s="8">
        <f>1</f>
        <v>1</v>
      </c>
      <c r="CV1135" s="8">
        <f>0</f>
        <v>0</v>
      </c>
      <c r="CX1135" s="8">
        <f>0</f>
        <v>0</v>
      </c>
      <c r="CY1135" s="8">
        <f>1</f>
        <v>1</v>
      </c>
      <c r="DA1135" s="5" t="s">
        <v>673</v>
      </c>
      <c r="DB1135" s="5" t="s">
        <v>238</v>
      </c>
      <c r="DD1135" s="5" t="s">
        <v>673</v>
      </c>
      <c r="DE1135" s="8">
        <f>12221</f>
        <v>12221</v>
      </c>
      <c r="DG1135" s="5" t="s">
        <v>238</v>
      </c>
      <c r="DH1135" s="5" t="s">
        <v>238</v>
      </c>
      <c r="DI1135" s="5" t="s">
        <v>238</v>
      </c>
      <c r="DJ1135" s="5" t="s">
        <v>238</v>
      </c>
      <c r="DN1135" s="5" t="s">
        <v>238</v>
      </c>
      <c r="DO1135" s="5" t="s">
        <v>238</v>
      </c>
      <c r="DP1135" s="5" t="s">
        <v>238</v>
      </c>
      <c r="DQ1135" s="5" t="s">
        <v>238</v>
      </c>
      <c r="DT1135" s="5" t="s">
        <v>2039</v>
      </c>
      <c r="DU1135" s="5" t="s">
        <v>2991</v>
      </c>
      <c r="HM1135" s="5" t="s">
        <v>264</v>
      </c>
    </row>
    <row r="1136" spans="1:221" x14ac:dyDescent="0.4">
      <c r="A1136" s="5">
        <v>2811</v>
      </c>
      <c r="B1136" s="5">
        <v>1</v>
      </c>
      <c r="C1136" s="5">
        <v>1</v>
      </c>
      <c r="D1136" s="5" t="s">
        <v>2037</v>
      </c>
      <c r="E1136" s="5" t="s">
        <v>271</v>
      </c>
      <c r="F1136" s="5" t="s">
        <v>248</v>
      </c>
      <c r="G1136" s="5" t="s">
        <v>1969</v>
      </c>
      <c r="H1136" s="6" t="s">
        <v>2988</v>
      </c>
      <c r="I1136" s="7">
        <f>1929</f>
        <v>1929</v>
      </c>
      <c r="J1136" s="5" t="s">
        <v>262</v>
      </c>
      <c r="K1136" s="8">
        <f>1</f>
        <v>1</v>
      </c>
      <c r="L1136" s="6" t="s">
        <v>242</v>
      </c>
      <c r="M1136" s="5" t="s">
        <v>267</v>
      </c>
      <c r="N1136" s="5" t="s">
        <v>265</v>
      </c>
      <c r="O1136" s="5" t="s">
        <v>238</v>
      </c>
      <c r="P1136" s="5" t="s">
        <v>238</v>
      </c>
      <c r="Q1136" s="5" t="s">
        <v>268</v>
      </c>
      <c r="R1136" s="5" t="s">
        <v>270</v>
      </c>
      <c r="S1136" s="5" t="s">
        <v>238</v>
      </c>
      <c r="V1136" s="5" t="s">
        <v>238</v>
      </c>
      <c r="X1136" s="6" t="s">
        <v>238</v>
      </c>
      <c r="AA1136" s="6" t="s">
        <v>243</v>
      </c>
      <c r="AB1136" s="5" t="s">
        <v>238</v>
      </c>
      <c r="AC1136" s="5" t="s">
        <v>244</v>
      </c>
      <c r="AD1136" s="5" t="s">
        <v>245</v>
      </c>
      <c r="AT1136" s="5" t="s">
        <v>246</v>
      </c>
      <c r="AU1136" s="5" t="s">
        <v>238</v>
      </c>
      <c r="AV1136" s="5" t="s">
        <v>247</v>
      </c>
      <c r="AW1136" s="5" t="s">
        <v>238</v>
      </c>
      <c r="AX1136" s="5" t="s">
        <v>249</v>
      </c>
      <c r="AY1136" s="5" t="s">
        <v>238</v>
      </c>
      <c r="BA1136" s="5" t="s">
        <v>238</v>
      </c>
      <c r="BC1136" s="5" t="s">
        <v>250</v>
      </c>
      <c r="BD1136" s="6" t="s">
        <v>243</v>
      </c>
      <c r="BE1136" s="5" t="s">
        <v>251</v>
      </c>
      <c r="BF1136" s="5" t="s">
        <v>252</v>
      </c>
      <c r="BG1136" s="5" t="s">
        <v>238</v>
      </c>
      <c r="BH1136" s="7">
        <f>0</f>
        <v>0</v>
      </c>
      <c r="BI1136" s="8">
        <f>0</f>
        <v>0</v>
      </c>
      <c r="BJ1136" s="5" t="s">
        <v>253</v>
      </c>
      <c r="BK1136" s="5" t="s">
        <v>254</v>
      </c>
      <c r="BY1136" s="5" t="s">
        <v>238</v>
      </c>
      <c r="BZ1136" s="5" t="s">
        <v>238</v>
      </c>
      <c r="CD1136" s="5" t="s">
        <v>273</v>
      </c>
      <c r="CE1136" s="5" t="s">
        <v>256</v>
      </c>
      <c r="CF1136" s="5" t="s">
        <v>238</v>
      </c>
      <c r="CI1136" s="6" t="s">
        <v>257</v>
      </c>
      <c r="CJ1136" s="5" t="s">
        <v>238</v>
      </c>
      <c r="CK1136" s="5" t="s">
        <v>258</v>
      </c>
      <c r="CL1136" s="5" t="s">
        <v>238</v>
      </c>
      <c r="CM1136" s="5" t="s">
        <v>238</v>
      </c>
      <c r="CN1136" s="5">
        <v>0</v>
      </c>
      <c r="CO1136" s="5" t="s">
        <v>259</v>
      </c>
      <c r="CP1136" s="5" t="s">
        <v>260</v>
      </c>
      <c r="CQ1136" s="5" t="s">
        <v>260</v>
      </c>
      <c r="CR1136" s="5" t="s">
        <v>261</v>
      </c>
      <c r="CU1136" s="8">
        <f>1</f>
        <v>1</v>
      </c>
      <c r="CV1136" s="8">
        <f>0</f>
        <v>0</v>
      </c>
      <c r="CX1136" s="8">
        <f>0</f>
        <v>0</v>
      </c>
      <c r="CY1136" s="8">
        <f>1</f>
        <v>1</v>
      </c>
      <c r="DA1136" s="5" t="s">
        <v>673</v>
      </c>
      <c r="DB1136" s="5" t="s">
        <v>238</v>
      </c>
      <c r="DD1136" s="5" t="s">
        <v>673</v>
      </c>
      <c r="DE1136" s="8">
        <f>1929</f>
        <v>1929</v>
      </c>
      <c r="DG1136" s="5" t="s">
        <v>238</v>
      </c>
      <c r="DH1136" s="5" t="s">
        <v>238</v>
      </c>
      <c r="DI1136" s="5" t="s">
        <v>238</v>
      </c>
      <c r="DJ1136" s="5" t="s">
        <v>238</v>
      </c>
      <c r="DN1136" s="5" t="s">
        <v>238</v>
      </c>
      <c r="DO1136" s="5" t="s">
        <v>238</v>
      </c>
      <c r="DP1136" s="5" t="s">
        <v>238</v>
      </c>
      <c r="DQ1136" s="5" t="s">
        <v>238</v>
      </c>
      <c r="DT1136" s="5" t="s">
        <v>2039</v>
      </c>
      <c r="DU1136" s="5" t="s">
        <v>2989</v>
      </c>
      <c r="HM1136" s="5" t="s">
        <v>264</v>
      </c>
    </row>
    <row r="1137" spans="1:221" x14ac:dyDescent="0.4">
      <c r="A1137" s="5">
        <v>2812</v>
      </c>
      <c r="B1137" s="5">
        <v>1</v>
      </c>
      <c r="C1137" s="5">
        <v>1</v>
      </c>
      <c r="D1137" s="5" t="s">
        <v>2037</v>
      </c>
      <c r="E1137" s="5" t="s">
        <v>271</v>
      </c>
      <c r="F1137" s="5" t="s">
        <v>248</v>
      </c>
      <c r="G1137" s="5" t="s">
        <v>1969</v>
      </c>
      <c r="H1137" s="6" t="s">
        <v>2986</v>
      </c>
      <c r="I1137" s="7">
        <f>2832</f>
        <v>2832</v>
      </c>
      <c r="J1137" s="5" t="s">
        <v>262</v>
      </c>
      <c r="K1137" s="8">
        <f>1</f>
        <v>1</v>
      </c>
      <c r="L1137" s="6" t="s">
        <v>242</v>
      </c>
      <c r="M1137" s="5" t="s">
        <v>267</v>
      </c>
      <c r="N1137" s="5" t="s">
        <v>265</v>
      </c>
      <c r="O1137" s="5" t="s">
        <v>238</v>
      </c>
      <c r="P1137" s="5" t="s">
        <v>238</v>
      </c>
      <c r="Q1137" s="5" t="s">
        <v>268</v>
      </c>
      <c r="R1137" s="5" t="s">
        <v>270</v>
      </c>
      <c r="S1137" s="5" t="s">
        <v>238</v>
      </c>
      <c r="V1137" s="5" t="s">
        <v>238</v>
      </c>
      <c r="X1137" s="6" t="s">
        <v>238</v>
      </c>
      <c r="AA1137" s="6" t="s">
        <v>243</v>
      </c>
      <c r="AB1137" s="5" t="s">
        <v>238</v>
      </c>
      <c r="AC1137" s="5" t="s">
        <v>244</v>
      </c>
      <c r="AD1137" s="5" t="s">
        <v>245</v>
      </c>
      <c r="AT1137" s="5" t="s">
        <v>246</v>
      </c>
      <c r="AU1137" s="5" t="s">
        <v>238</v>
      </c>
      <c r="AV1137" s="5" t="s">
        <v>247</v>
      </c>
      <c r="AW1137" s="5" t="s">
        <v>238</v>
      </c>
      <c r="AX1137" s="5" t="s">
        <v>249</v>
      </c>
      <c r="AY1137" s="5" t="s">
        <v>238</v>
      </c>
      <c r="BA1137" s="5" t="s">
        <v>238</v>
      </c>
      <c r="BC1137" s="5" t="s">
        <v>250</v>
      </c>
      <c r="BD1137" s="6" t="s">
        <v>243</v>
      </c>
      <c r="BE1137" s="5" t="s">
        <v>251</v>
      </c>
      <c r="BF1137" s="5" t="s">
        <v>252</v>
      </c>
      <c r="BG1137" s="5" t="s">
        <v>238</v>
      </c>
      <c r="BH1137" s="7">
        <f>0</f>
        <v>0</v>
      </c>
      <c r="BI1137" s="8">
        <f>0</f>
        <v>0</v>
      </c>
      <c r="BJ1137" s="5" t="s">
        <v>253</v>
      </c>
      <c r="BK1137" s="5" t="s">
        <v>254</v>
      </c>
      <c r="BY1137" s="5" t="s">
        <v>238</v>
      </c>
      <c r="BZ1137" s="5" t="s">
        <v>238</v>
      </c>
      <c r="CD1137" s="5" t="s">
        <v>273</v>
      </c>
      <c r="CE1137" s="5" t="s">
        <v>256</v>
      </c>
      <c r="CF1137" s="5" t="s">
        <v>238</v>
      </c>
      <c r="CI1137" s="6" t="s">
        <v>257</v>
      </c>
      <c r="CJ1137" s="5" t="s">
        <v>238</v>
      </c>
      <c r="CK1137" s="5" t="s">
        <v>258</v>
      </c>
      <c r="CL1137" s="5" t="s">
        <v>238</v>
      </c>
      <c r="CM1137" s="5" t="s">
        <v>238</v>
      </c>
      <c r="CN1137" s="5">
        <v>0</v>
      </c>
      <c r="CO1137" s="5" t="s">
        <v>259</v>
      </c>
      <c r="CP1137" s="5" t="s">
        <v>260</v>
      </c>
      <c r="CQ1137" s="5" t="s">
        <v>260</v>
      </c>
      <c r="CR1137" s="5" t="s">
        <v>261</v>
      </c>
      <c r="CU1137" s="8">
        <f>1</f>
        <v>1</v>
      </c>
      <c r="CV1137" s="8">
        <f>0</f>
        <v>0</v>
      </c>
      <c r="CX1137" s="8">
        <f>0</f>
        <v>0</v>
      </c>
      <c r="CY1137" s="8">
        <f>1</f>
        <v>1</v>
      </c>
      <c r="DA1137" s="5" t="s">
        <v>673</v>
      </c>
      <c r="DB1137" s="5" t="s">
        <v>238</v>
      </c>
      <c r="DD1137" s="5" t="s">
        <v>673</v>
      </c>
      <c r="DE1137" s="8">
        <f>2832</f>
        <v>2832</v>
      </c>
      <c r="DG1137" s="5" t="s">
        <v>238</v>
      </c>
      <c r="DH1137" s="5" t="s">
        <v>238</v>
      </c>
      <c r="DI1137" s="5" t="s">
        <v>238</v>
      </c>
      <c r="DJ1137" s="5" t="s">
        <v>238</v>
      </c>
      <c r="DN1137" s="5" t="s">
        <v>238</v>
      </c>
      <c r="DO1137" s="5" t="s">
        <v>238</v>
      </c>
      <c r="DP1137" s="5" t="s">
        <v>238</v>
      </c>
      <c r="DQ1137" s="5" t="s">
        <v>238</v>
      </c>
      <c r="DT1137" s="5" t="s">
        <v>2039</v>
      </c>
      <c r="DU1137" s="5" t="s">
        <v>2987</v>
      </c>
      <c r="HM1137" s="5" t="s">
        <v>264</v>
      </c>
    </row>
    <row r="1138" spans="1:221" x14ac:dyDescent="0.4">
      <c r="A1138" s="5">
        <v>2813</v>
      </c>
      <c r="B1138" s="5">
        <v>1</v>
      </c>
      <c r="C1138" s="5">
        <v>1</v>
      </c>
      <c r="D1138" s="5" t="s">
        <v>2037</v>
      </c>
      <c r="E1138" s="5" t="s">
        <v>271</v>
      </c>
      <c r="F1138" s="5" t="s">
        <v>248</v>
      </c>
      <c r="G1138" s="5" t="s">
        <v>1969</v>
      </c>
      <c r="H1138" s="6" t="s">
        <v>2984</v>
      </c>
      <c r="I1138" s="7">
        <f>3020</f>
        <v>3020</v>
      </c>
      <c r="J1138" s="5" t="s">
        <v>262</v>
      </c>
      <c r="K1138" s="8">
        <f>1</f>
        <v>1</v>
      </c>
      <c r="L1138" s="6" t="s">
        <v>242</v>
      </c>
      <c r="M1138" s="5" t="s">
        <v>267</v>
      </c>
      <c r="N1138" s="5" t="s">
        <v>265</v>
      </c>
      <c r="O1138" s="5" t="s">
        <v>238</v>
      </c>
      <c r="P1138" s="5" t="s">
        <v>238</v>
      </c>
      <c r="Q1138" s="5" t="s">
        <v>268</v>
      </c>
      <c r="R1138" s="5" t="s">
        <v>270</v>
      </c>
      <c r="S1138" s="5" t="s">
        <v>238</v>
      </c>
      <c r="V1138" s="5" t="s">
        <v>238</v>
      </c>
      <c r="X1138" s="6" t="s">
        <v>238</v>
      </c>
      <c r="AA1138" s="6" t="s">
        <v>243</v>
      </c>
      <c r="AB1138" s="5" t="s">
        <v>238</v>
      </c>
      <c r="AC1138" s="5" t="s">
        <v>244</v>
      </c>
      <c r="AD1138" s="5" t="s">
        <v>245</v>
      </c>
      <c r="AT1138" s="5" t="s">
        <v>246</v>
      </c>
      <c r="AU1138" s="5" t="s">
        <v>238</v>
      </c>
      <c r="AV1138" s="5" t="s">
        <v>247</v>
      </c>
      <c r="AW1138" s="5" t="s">
        <v>238</v>
      </c>
      <c r="AX1138" s="5" t="s">
        <v>249</v>
      </c>
      <c r="AY1138" s="5" t="s">
        <v>238</v>
      </c>
      <c r="BA1138" s="5" t="s">
        <v>238</v>
      </c>
      <c r="BC1138" s="5" t="s">
        <v>250</v>
      </c>
      <c r="BD1138" s="6" t="s">
        <v>243</v>
      </c>
      <c r="BE1138" s="5" t="s">
        <v>251</v>
      </c>
      <c r="BF1138" s="5" t="s">
        <v>252</v>
      </c>
      <c r="BG1138" s="5" t="s">
        <v>238</v>
      </c>
      <c r="BH1138" s="7">
        <f>0</f>
        <v>0</v>
      </c>
      <c r="BI1138" s="8">
        <f>0</f>
        <v>0</v>
      </c>
      <c r="BJ1138" s="5" t="s">
        <v>253</v>
      </c>
      <c r="BK1138" s="5" t="s">
        <v>254</v>
      </c>
      <c r="BY1138" s="5" t="s">
        <v>238</v>
      </c>
      <c r="BZ1138" s="5" t="s">
        <v>238</v>
      </c>
      <c r="CD1138" s="5" t="s">
        <v>273</v>
      </c>
      <c r="CE1138" s="5" t="s">
        <v>256</v>
      </c>
      <c r="CF1138" s="5" t="s">
        <v>238</v>
      </c>
      <c r="CI1138" s="6" t="s">
        <v>257</v>
      </c>
      <c r="CJ1138" s="5" t="s">
        <v>238</v>
      </c>
      <c r="CK1138" s="5" t="s">
        <v>258</v>
      </c>
      <c r="CL1138" s="5" t="s">
        <v>238</v>
      </c>
      <c r="CM1138" s="5" t="s">
        <v>238</v>
      </c>
      <c r="CN1138" s="5">
        <v>0</v>
      </c>
      <c r="CO1138" s="5" t="s">
        <v>259</v>
      </c>
      <c r="CP1138" s="5" t="s">
        <v>260</v>
      </c>
      <c r="CQ1138" s="5" t="s">
        <v>260</v>
      </c>
      <c r="CR1138" s="5" t="s">
        <v>261</v>
      </c>
      <c r="CU1138" s="8">
        <f>1</f>
        <v>1</v>
      </c>
      <c r="CV1138" s="8">
        <f>0</f>
        <v>0</v>
      </c>
      <c r="CX1138" s="8">
        <f>0</f>
        <v>0</v>
      </c>
      <c r="CY1138" s="8">
        <f>1</f>
        <v>1</v>
      </c>
      <c r="DA1138" s="5" t="s">
        <v>673</v>
      </c>
      <c r="DB1138" s="5" t="s">
        <v>238</v>
      </c>
      <c r="DD1138" s="5" t="s">
        <v>673</v>
      </c>
      <c r="DE1138" s="8">
        <f>3020</f>
        <v>3020</v>
      </c>
      <c r="DG1138" s="5" t="s">
        <v>238</v>
      </c>
      <c r="DH1138" s="5" t="s">
        <v>238</v>
      </c>
      <c r="DI1138" s="5" t="s">
        <v>238</v>
      </c>
      <c r="DJ1138" s="5" t="s">
        <v>238</v>
      </c>
      <c r="DN1138" s="5" t="s">
        <v>238</v>
      </c>
      <c r="DO1138" s="5" t="s">
        <v>238</v>
      </c>
      <c r="DP1138" s="5" t="s">
        <v>238</v>
      </c>
      <c r="DQ1138" s="5" t="s">
        <v>238</v>
      </c>
      <c r="DT1138" s="5" t="s">
        <v>2039</v>
      </c>
      <c r="DU1138" s="5" t="s">
        <v>2985</v>
      </c>
      <c r="HM1138" s="5" t="s">
        <v>264</v>
      </c>
    </row>
    <row r="1139" spans="1:221" x14ac:dyDescent="0.4">
      <c r="A1139" s="5">
        <v>2814</v>
      </c>
      <c r="B1139" s="5">
        <v>1</v>
      </c>
      <c r="C1139" s="5">
        <v>1</v>
      </c>
      <c r="D1139" s="5" t="s">
        <v>2037</v>
      </c>
      <c r="E1139" s="5" t="s">
        <v>271</v>
      </c>
      <c r="F1139" s="5" t="s">
        <v>248</v>
      </c>
      <c r="G1139" s="5" t="s">
        <v>1969</v>
      </c>
      <c r="H1139" s="6" t="s">
        <v>2981</v>
      </c>
      <c r="I1139" s="7">
        <f>574</f>
        <v>574</v>
      </c>
      <c r="J1139" s="5" t="s">
        <v>262</v>
      </c>
      <c r="K1139" s="8">
        <f>1</f>
        <v>1</v>
      </c>
      <c r="L1139" s="6" t="s">
        <v>242</v>
      </c>
      <c r="M1139" s="5" t="s">
        <v>267</v>
      </c>
      <c r="N1139" s="5" t="s">
        <v>265</v>
      </c>
      <c r="O1139" s="5" t="s">
        <v>238</v>
      </c>
      <c r="P1139" s="5" t="s">
        <v>238</v>
      </c>
      <c r="Q1139" s="5" t="s">
        <v>268</v>
      </c>
      <c r="R1139" s="5" t="s">
        <v>270</v>
      </c>
      <c r="S1139" s="5" t="s">
        <v>238</v>
      </c>
      <c r="V1139" s="5" t="s">
        <v>238</v>
      </c>
      <c r="X1139" s="6" t="s">
        <v>238</v>
      </c>
      <c r="AA1139" s="6" t="s">
        <v>243</v>
      </c>
      <c r="AB1139" s="5" t="s">
        <v>238</v>
      </c>
      <c r="AC1139" s="5" t="s">
        <v>244</v>
      </c>
      <c r="AD1139" s="5" t="s">
        <v>245</v>
      </c>
      <c r="AT1139" s="5" t="s">
        <v>246</v>
      </c>
      <c r="AU1139" s="5" t="s">
        <v>238</v>
      </c>
      <c r="AV1139" s="5" t="s">
        <v>247</v>
      </c>
      <c r="AW1139" s="5" t="s">
        <v>238</v>
      </c>
      <c r="AX1139" s="5" t="s">
        <v>249</v>
      </c>
      <c r="AY1139" s="5" t="s">
        <v>238</v>
      </c>
      <c r="BA1139" s="5" t="s">
        <v>238</v>
      </c>
      <c r="BC1139" s="5" t="s">
        <v>250</v>
      </c>
      <c r="BD1139" s="6" t="s">
        <v>243</v>
      </c>
      <c r="BE1139" s="5" t="s">
        <v>251</v>
      </c>
      <c r="BF1139" s="5" t="s">
        <v>252</v>
      </c>
      <c r="BG1139" s="5" t="s">
        <v>238</v>
      </c>
      <c r="BH1139" s="7">
        <f>0</f>
        <v>0</v>
      </c>
      <c r="BI1139" s="8">
        <f>0</f>
        <v>0</v>
      </c>
      <c r="BJ1139" s="5" t="s">
        <v>253</v>
      </c>
      <c r="BK1139" s="5" t="s">
        <v>254</v>
      </c>
      <c r="BY1139" s="5" t="s">
        <v>238</v>
      </c>
      <c r="BZ1139" s="5" t="s">
        <v>238</v>
      </c>
      <c r="CD1139" s="5" t="s">
        <v>273</v>
      </c>
      <c r="CE1139" s="5" t="s">
        <v>256</v>
      </c>
      <c r="CF1139" s="5" t="s">
        <v>238</v>
      </c>
      <c r="CI1139" s="6" t="s">
        <v>257</v>
      </c>
      <c r="CJ1139" s="5" t="s">
        <v>238</v>
      </c>
      <c r="CK1139" s="5" t="s">
        <v>258</v>
      </c>
      <c r="CL1139" s="5" t="s">
        <v>238</v>
      </c>
      <c r="CM1139" s="5" t="s">
        <v>238</v>
      </c>
      <c r="CN1139" s="5">
        <v>0</v>
      </c>
      <c r="CO1139" s="5" t="s">
        <v>259</v>
      </c>
      <c r="CP1139" s="5" t="s">
        <v>260</v>
      </c>
      <c r="CQ1139" s="5" t="s">
        <v>260</v>
      </c>
      <c r="CR1139" s="5" t="s">
        <v>261</v>
      </c>
      <c r="CU1139" s="8">
        <f>1</f>
        <v>1</v>
      </c>
      <c r="CV1139" s="8">
        <f>0</f>
        <v>0</v>
      </c>
      <c r="CX1139" s="8">
        <f>0</f>
        <v>0</v>
      </c>
      <c r="CY1139" s="8">
        <f>1</f>
        <v>1</v>
      </c>
      <c r="DA1139" s="5" t="s">
        <v>673</v>
      </c>
      <c r="DB1139" s="5" t="s">
        <v>238</v>
      </c>
      <c r="DD1139" s="5" t="s">
        <v>673</v>
      </c>
      <c r="DE1139" s="8">
        <f>574</f>
        <v>574</v>
      </c>
      <c r="DG1139" s="5" t="s">
        <v>238</v>
      </c>
      <c r="DH1139" s="5" t="s">
        <v>238</v>
      </c>
      <c r="DI1139" s="5" t="s">
        <v>238</v>
      </c>
      <c r="DJ1139" s="5" t="s">
        <v>238</v>
      </c>
      <c r="DN1139" s="5" t="s">
        <v>238</v>
      </c>
      <c r="DO1139" s="5" t="s">
        <v>238</v>
      </c>
      <c r="DP1139" s="5" t="s">
        <v>238</v>
      </c>
      <c r="DQ1139" s="5" t="s">
        <v>238</v>
      </c>
      <c r="DT1139" s="5" t="s">
        <v>2039</v>
      </c>
      <c r="DU1139" s="5" t="s">
        <v>2982</v>
      </c>
      <c r="HM1139" s="5" t="s">
        <v>264</v>
      </c>
    </row>
    <row r="1140" spans="1:221" x14ac:dyDescent="0.4">
      <c r="A1140" s="5">
        <v>2815</v>
      </c>
      <c r="B1140" s="5">
        <v>1</v>
      </c>
      <c r="C1140" s="5">
        <v>1</v>
      </c>
      <c r="D1140" s="5" t="s">
        <v>2037</v>
      </c>
      <c r="E1140" s="5" t="s">
        <v>271</v>
      </c>
      <c r="F1140" s="5" t="s">
        <v>248</v>
      </c>
      <c r="G1140" s="5" t="s">
        <v>1969</v>
      </c>
      <c r="H1140" s="6" t="s">
        <v>2979</v>
      </c>
      <c r="I1140" s="7">
        <f>2572</f>
        <v>2572</v>
      </c>
      <c r="J1140" s="5" t="s">
        <v>262</v>
      </c>
      <c r="K1140" s="8">
        <f>1</f>
        <v>1</v>
      </c>
      <c r="L1140" s="6" t="s">
        <v>242</v>
      </c>
      <c r="M1140" s="5" t="s">
        <v>267</v>
      </c>
      <c r="N1140" s="5" t="s">
        <v>265</v>
      </c>
      <c r="O1140" s="5" t="s">
        <v>238</v>
      </c>
      <c r="P1140" s="5" t="s">
        <v>238</v>
      </c>
      <c r="Q1140" s="5" t="s">
        <v>268</v>
      </c>
      <c r="R1140" s="5" t="s">
        <v>270</v>
      </c>
      <c r="S1140" s="5" t="s">
        <v>238</v>
      </c>
      <c r="V1140" s="5" t="s">
        <v>238</v>
      </c>
      <c r="X1140" s="6" t="s">
        <v>238</v>
      </c>
      <c r="AA1140" s="6" t="s">
        <v>243</v>
      </c>
      <c r="AB1140" s="5" t="s">
        <v>238</v>
      </c>
      <c r="AC1140" s="5" t="s">
        <v>244</v>
      </c>
      <c r="AD1140" s="5" t="s">
        <v>245</v>
      </c>
      <c r="AT1140" s="5" t="s">
        <v>246</v>
      </c>
      <c r="AU1140" s="5" t="s">
        <v>238</v>
      </c>
      <c r="AV1140" s="5" t="s">
        <v>247</v>
      </c>
      <c r="AW1140" s="5" t="s">
        <v>238</v>
      </c>
      <c r="AX1140" s="5" t="s">
        <v>249</v>
      </c>
      <c r="AY1140" s="5" t="s">
        <v>238</v>
      </c>
      <c r="BA1140" s="5" t="s">
        <v>238</v>
      </c>
      <c r="BC1140" s="5" t="s">
        <v>250</v>
      </c>
      <c r="BD1140" s="6" t="s">
        <v>243</v>
      </c>
      <c r="BE1140" s="5" t="s">
        <v>251</v>
      </c>
      <c r="BF1140" s="5" t="s">
        <v>252</v>
      </c>
      <c r="BG1140" s="5" t="s">
        <v>238</v>
      </c>
      <c r="BH1140" s="7">
        <f>0</f>
        <v>0</v>
      </c>
      <c r="BI1140" s="8">
        <f>0</f>
        <v>0</v>
      </c>
      <c r="BJ1140" s="5" t="s">
        <v>253</v>
      </c>
      <c r="BK1140" s="5" t="s">
        <v>254</v>
      </c>
      <c r="BY1140" s="5" t="s">
        <v>238</v>
      </c>
      <c r="BZ1140" s="5" t="s">
        <v>238</v>
      </c>
      <c r="CD1140" s="5" t="s">
        <v>273</v>
      </c>
      <c r="CE1140" s="5" t="s">
        <v>256</v>
      </c>
      <c r="CF1140" s="5" t="s">
        <v>238</v>
      </c>
      <c r="CI1140" s="6" t="s">
        <v>257</v>
      </c>
      <c r="CJ1140" s="5" t="s">
        <v>238</v>
      </c>
      <c r="CK1140" s="5" t="s">
        <v>258</v>
      </c>
      <c r="CL1140" s="5" t="s">
        <v>238</v>
      </c>
      <c r="CM1140" s="5" t="s">
        <v>238</v>
      </c>
      <c r="CN1140" s="5">
        <v>0</v>
      </c>
      <c r="CO1140" s="5" t="s">
        <v>259</v>
      </c>
      <c r="CP1140" s="5" t="s">
        <v>260</v>
      </c>
      <c r="CQ1140" s="5" t="s">
        <v>260</v>
      </c>
      <c r="CR1140" s="5" t="s">
        <v>261</v>
      </c>
      <c r="CU1140" s="8">
        <f>1</f>
        <v>1</v>
      </c>
      <c r="CV1140" s="8">
        <f>0</f>
        <v>0</v>
      </c>
      <c r="CX1140" s="8">
        <f>0</f>
        <v>0</v>
      </c>
      <c r="CY1140" s="8">
        <f>1</f>
        <v>1</v>
      </c>
      <c r="DA1140" s="5" t="s">
        <v>673</v>
      </c>
      <c r="DB1140" s="5" t="s">
        <v>238</v>
      </c>
      <c r="DD1140" s="5" t="s">
        <v>673</v>
      </c>
      <c r="DE1140" s="8">
        <f>2572</f>
        <v>2572</v>
      </c>
      <c r="DG1140" s="5" t="s">
        <v>238</v>
      </c>
      <c r="DH1140" s="5" t="s">
        <v>238</v>
      </c>
      <c r="DI1140" s="5" t="s">
        <v>238</v>
      </c>
      <c r="DJ1140" s="5" t="s">
        <v>238</v>
      </c>
      <c r="DN1140" s="5" t="s">
        <v>238</v>
      </c>
      <c r="DO1140" s="5" t="s">
        <v>238</v>
      </c>
      <c r="DP1140" s="5" t="s">
        <v>238</v>
      </c>
      <c r="DQ1140" s="5" t="s">
        <v>238</v>
      </c>
      <c r="DT1140" s="5" t="s">
        <v>2039</v>
      </c>
      <c r="DU1140" s="5" t="s">
        <v>2980</v>
      </c>
      <c r="HM1140" s="5" t="s">
        <v>264</v>
      </c>
    </row>
    <row r="1141" spans="1:221" x14ac:dyDescent="0.4">
      <c r="A1141" s="5">
        <v>2816</v>
      </c>
      <c r="B1141" s="5">
        <v>1</v>
      </c>
      <c r="C1141" s="5">
        <v>1</v>
      </c>
      <c r="D1141" s="5" t="s">
        <v>2037</v>
      </c>
      <c r="E1141" s="5" t="s">
        <v>271</v>
      </c>
      <c r="F1141" s="5" t="s">
        <v>248</v>
      </c>
      <c r="G1141" s="5" t="s">
        <v>1969</v>
      </c>
      <c r="H1141" s="6" t="s">
        <v>2976</v>
      </c>
      <c r="I1141" s="7">
        <f>563</f>
        <v>563</v>
      </c>
      <c r="J1141" s="5" t="s">
        <v>262</v>
      </c>
      <c r="K1141" s="8">
        <f>1</f>
        <v>1</v>
      </c>
      <c r="L1141" s="6" t="s">
        <v>242</v>
      </c>
      <c r="M1141" s="5" t="s">
        <v>267</v>
      </c>
      <c r="N1141" s="5" t="s">
        <v>265</v>
      </c>
      <c r="O1141" s="5" t="s">
        <v>238</v>
      </c>
      <c r="P1141" s="5" t="s">
        <v>238</v>
      </c>
      <c r="Q1141" s="5" t="s">
        <v>268</v>
      </c>
      <c r="R1141" s="5" t="s">
        <v>270</v>
      </c>
      <c r="S1141" s="5" t="s">
        <v>238</v>
      </c>
      <c r="V1141" s="5" t="s">
        <v>238</v>
      </c>
      <c r="X1141" s="6" t="s">
        <v>238</v>
      </c>
      <c r="AA1141" s="6" t="s">
        <v>243</v>
      </c>
      <c r="AB1141" s="5" t="s">
        <v>238</v>
      </c>
      <c r="AC1141" s="5" t="s">
        <v>244</v>
      </c>
      <c r="AD1141" s="5" t="s">
        <v>245</v>
      </c>
      <c r="AT1141" s="5" t="s">
        <v>246</v>
      </c>
      <c r="AU1141" s="5" t="s">
        <v>238</v>
      </c>
      <c r="AV1141" s="5" t="s">
        <v>247</v>
      </c>
      <c r="AW1141" s="5" t="s">
        <v>238</v>
      </c>
      <c r="AX1141" s="5" t="s">
        <v>249</v>
      </c>
      <c r="AY1141" s="5" t="s">
        <v>238</v>
      </c>
      <c r="BA1141" s="5" t="s">
        <v>238</v>
      </c>
      <c r="BC1141" s="5" t="s">
        <v>250</v>
      </c>
      <c r="BD1141" s="6" t="s">
        <v>243</v>
      </c>
      <c r="BE1141" s="5" t="s">
        <v>251</v>
      </c>
      <c r="BF1141" s="5" t="s">
        <v>252</v>
      </c>
      <c r="BG1141" s="5" t="s">
        <v>238</v>
      </c>
      <c r="BH1141" s="7">
        <f>0</f>
        <v>0</v>
      </c>
      <c r="BI1141" s="8">
        <f>0</f>
        <v>0</v>
      </c>
      <c r="BJ1141" s="5" t="s">
        <v>253</v>
      </c>
      <c r="BK1141" s="5" t="s">
        <v>254</v>
      </c>
      <c r="BY1141" s="5" t="s">
        <v>238</v>
      </c>
      <c r="BZ1141" s="5" t="s">
        <v>238</v>
      </c>
      <c r="CD1141" s="5" t="s">
        <v>273</v>
      </c>
      <c r="CE1141" s="5" t="s">
        <v>256</v>
      </c>
      <c r="CF1141" s="5" t="s">
        <v>238</v>
      </c>
      <c r="CI1141" s="6" t="s">
        <v>257</v>
      </c>
      <c r="CJ1141" s="5" t="s">
        <v>238</v>
      </c>
      <c r="CK1141" s="5" t="s">
        <v>258</v>
      </c>
      <c r="CL1141" s="5" t="s">
        <v>238</v>
      </c>
      <c r="CM1141" s="5" t="s">
        <v>238</v>
      </c>
      <c r="CN1141" s="5">
        <v>0</v>
      </c>
      <c r="CO1141" s="5" t="s">
        <v>259</v>
      </c>
      <c r="CP1141" s="5" t="s">
        <v>260</v>
      </c>
      <c r="CQ1141" s="5" t="s">
        <v>260</v>
      </c>
      <c r="CR1141" s="5" t="s">
        <v>261</v>
      </c>
      <c r="CU1141" s="8">
        <f>1</f>
        <v>1</v>
      </c>
      <c r="CV1141" s="8">
        <f>0</f>
        <v>0</v>
      </c>
      <c r="CX1141" s="8">
        <f>0</f>
        <v>0</v>
      </c>
      <c r="CY1141" s="8">
        <f>1</f>
        <v>1</v>
      </c>
      <c r="DA1141" s="5" t="s">
        <v>673</v>
      </c>
      <c r="DB1141" s="5" t="s">
        <v>238</v>
      </c>
      <c r="DD1141" s="5" t="s">
        <v>673</v>
      </c>
      <c r="DE1141" s="8">
        <f>563</f>
        <v>563</v>
      </c>
      <c r="DG1141" s="5" t="s">
        <v>238</v>
      </c>
      <c r="DH1141" s="5" t="s">
        <v>238</v>
      </c>
      <c r="DI1141" s="5" t="s">
        <v>238</v>
      </c>
      <c r="DJ1141" s="5" t="s">
        <v>238</v>
      </c>
      <c r="DN1141" s="5" t="s">
        <v>238</v>
      </c>
      <c r="DO1141" s="5" t="s">
        <v>238</v>
      </c>
      <c r="DP1141" s="5" t="s">
        <v>238</v>
      </c>
      <c r="DQ1141" s="5" t="s">
        <v>238</v>
      </c>
      <c r="DT1141" s="5" t="s">
        <v>2039</v>
      </c>
      <c r="DU1141" s="5" t="s">
        <v>2977</v>
      </c>
      <c r="HM1141" s="5" t="s">
        <v>264</v>
      </c>
    </row>
    <row r="1142" spans="1:221" x14ac:dyDescent="0.4">
      <c r="A1142" s="5">
        <v>2817</v>
      </c>
      <c r="B1142" s="5">
        <v>1</v>
      </c>
      <c r="C1142" s="5">
        <v>1</v>
      </c>
      <c r="D1142" s="5" t="s">
        <v>2037</v>
      </c>
      <c r="E1142" s="5" t="s">
        <v>271</v>
      </c>
      <c r="F1142" s="5" t="s">
        <v>248</v>
      </c>
      <c r="G1142" s="5" t="s">
        <v>1969</v>
      </c>
      <c r="H1142" s="6" t="s">
        <v>2974</v>
      </c>
      <c r="I1142" s="7">
        <f>13783</f>
        <v>13783</v>
      </c>
      <c r="J1142" s="5" t="s">
        <v>262</v>
      </c>
      <c r="K1142" s="8">
        <f>1</f>
        <v>1</v>
      </c>
      <c r="L1142" s="6" t="s">
        <v>242</v>
      </c>
      <c r="M1142" s="5" t="s">
        <v>267</v>
      </c>
      <c r="N1142" s="5" t="s">
        <v>265</v>
      </c>
      <c r="O1142" s="5" t="s">
        <v>238</v>
      </c>
      <c r="P1142" s="5" t="s">
        <v>238</v>
      </c>
      <c r="Q1142" s="5" t="s">
        <v>268</v>
      </c>
      <c r="R1142" s="5" t="s">
        <v>270</v>
      </c>
      <c r="S1142" s="5" t="s">
        <v>238</v>
      </c>
      <c r="V1142" s="5" t="s">
        <v>238</v>
      </c>
      <c r="X1142" s="6" t="s">
        <v>238</v>
      </c>
      <c r="AA1142" s="6" t="s">
        <v>243</v>
      </c>
      <c r="AB1142" s="5" t="s">
        <v>238</v>
      </c>
      <c r="AC1142" s="5" t="s">
        <v>244</v>
      </c>
      <c r="AD1142" s="5" t="s">
        <v>245</v>
      </c>
      <c r="AT1142" s="5" t="s">
        <v>246</v>
      </c>
      <c r="AU1142" s="5" t="s">
        <v>238</v>
      </c>
      <c r="AV1142" s="5" t="s">
        <v>247</v>
      </c>
      <c r="AW1142" s="5" t="s">
        <v>238</v>
      </c>
      <c r="AX1142" s="5" t="s">
        <v>249</v>
      </c>
      <c r="AY1142" s="5" t="s">
        <v>238</v>
      </c>
      <c r="BA1142" s="5" t="s">
        <v>238</v>
      </c>
      <c r="BC1142" s="5" t="s">
        <v>250</v>
      </c>
      <c r="BD1142" s="6" t="s">
        <v>243</v>
      </c>
      <c r="BE1142" s="5" t="s">
        <v>251</v>
      </c>
      <c r="BF1142" s="5" t="s">
        <v>252</v>
      </c>
      <c r="BG1142" s="5" t="s">
        <v>238</v>
      </c>
      <c r="BH1142" s="7">
        <f>0</f>
        <v>0</v>
      </c>
      <c r="BI1142" s="8">
        <f>0</f>
        <v>0</v>
      </c>
      <c r="BJ1142" s="5" t="s">
        <v>253</v>
      </c>
      <c r="BK1142" s="5" t="s">
        <v>254</v>
      </c>
      <c r="BY1142" s="5" t="s">
        <v>238</v>
      </c>
      <c r="BZ1142" s="5" t="s">
        <v>238</v>
      </c>
      <c r="CD1142" s="5" t="s">
        <v>273</v>
      </c>
      <c r="CE1142" s="5" t="s">
        <v>256</v>
      </c>
      <c r="CF1142" s="5" t="s">
        <v>238</v>
      </c>
      <c r="CI1142" s="6" t="s">
        <v>257</v>
      </c>
      <c r="CJ1142" s="5" t="s">
        <v>238</v>
      </c>
      <c r="CK1142" s="5" t="s">
        <v>258</v>
      </c>
      <c r="CL1142" s="5" t="s">
        <v>238</v>
      </c>
      <c r="CM1142" s="5" t="s">
        <v>238</v>
      </c>
      <c r="CN1142" s="5">
        <v>0</v>
      </c>
      <c r="CO1142" s="5" t="s">
        <v>259</v>
      </c>
      <c r="CP1142" s="5" t="s">
        <v>260</v>
      </c>
      <c r="CQ1142" s="5" t="s">
        <v>260</v>
      </c>
      <c r="CR1142" s="5" t="s">
        <v>261</v>
      </c>
      <c r="CU1142" s="8">
        <f>1</f>
        <v>1</v>
      </c>
      <c r="CV1142" s="8">
        <f>0</f>
        <v>0</v>
      </c>
      <c r="CX1142" s="8">
        <f>0</f>
        <v>0</v>
      </c>
      <c r="CY1142" s="8">
        <f>1</f>
        <v>1</v>
      </c>
      <c r="DA1142" s="5" t="s">
        <v>673</v>
      </c>
      <c r="DB1142" s="5" t="s">
        <v>238</v>
      </c>
      <c r="DD1142" s="5" t="s">
        <v>673</v>
      </c>
      <c r="DE1142" s="8">
        <f>13783</f>
        <v>13783</v>
      </c>
      <c r="DG1142" s="5" t="s">
        <v>238</v>
      </c>
      <c r="DH1142" s="5" t="s">
        <v>238</v>
      </c>
      <c r="DI1142" s="5" t="s">
        <v>238</v>
      </c>
      <c r="DJ1142" s="5" t="s">
        <v>238</v>
      </c>
      <c r="DN1142" s="5" t="s">
        <v>238</v>
      </c>
      <c r="DO1142" s="5" t="s">
        <v>238</v>
      </c>
      <c r="DP1142" s="5" t="s">
        <v>238</v>
      </c>
      <c r="DQ1142" s="5" t="s">
        <v>238</v>
      </c>
      <c r="DT1142" s="5" t="s">
        <v>2039</v>
      </c>
      <c r="DU1142" s="5" t="s">
        <v>2975</v>
      </c>
      <c r="HM1142" s="5" t="s">
        <v>264</v>
      </c>
    </row>
    <row r="1143" spans="1:221" x14ac:dyDescent="0.4">
      <c r="A1143" s="5">
        <v>2818</v>
      </c>
      <c r="B1143" s="5">
        <v>1</v>
      </c>
      <c r="C1143" s="5">
        <v>1</v>
      </c>
      <c r="D1143" s="5" t="s">
        <v>2037</v>
      </c>
      <c r="E1143" s="5" t="s">
        <v>271</v>
      </c>
      <c r="F1143" s="5" t="s">
        <v>248</v>
      </c>
      <c r="G1143" s="5" t="s">
        <v>1969</v>
      </c>
      <c r="H1143" s="6" t="s">
        <v>2972</v>
      </c>
      <c r="I1143" s="7">
        <f>4021</f>
        <v>4021</v>
      </c>
      <c r="J1143" s="5" t="s">
        <v>262</v>
      </c>
      <c r="K1143" s="8">
        <f>1</f>
        <v>1</v>
      </c>
      <c r="L1143" s="6" t="s">
        <v>242</v>
      </c>
      <c r="M1143" s="5" t="s">
        <v>267</v>
      </c>
      <c r="N1143" s="5" t="s">
        <v>265</v>
      </c>
      <c r="O1143" s="5" t="s">
        <v>238</v>
      </c>
      <c r="P1143" s="5" t="s">
        <v>238</v>
      </c>
      <c r="Q1143" s="5" t="s">
        <v>268</v>
      </c>
      <c r="R1143" s="5" t="s">
        <v>270</v>
      </c>
      <c r="S1143" s="5" t="s">
        <v>238</v>
      </c>
      <c r="V1143" s="5" t="s">
        <v>238</v>
      </c>
      <c r="X1143" s="6" t="s">
        <v>238</v>
      </c>
      <c r="AA1143" s="6" t="s">
        <v>243</v>
      </c>
      <c r="AB1143" s="5" t="s">
        <v>238</v>
      </c>
      <c r="AC1143" s="5" t="s">
        <v>244</v>
      </c>
      <c r="AD1143" s="5" t="s">
        <v>245</v>
      </c>
      <c r="AT1143" s="5" t="s">
        <v>246</v>
      </c>
      <c r="AU1143" s="5" t="s">
        <v>238</v>
      </c>
      <c r="AV1143" s="5" t="s">
        <v>247</v>
      </c>
      <c r="AW1143" s="5" t="s">
        <v>238</v>
      </c>
      <c r="AX1143" s="5" t="s">
        <v>249</v>
      </c>
      <c r="AY1143" s="5" t="s">
        <v>238</v>
      </c>
      <c r="BA1143" s="5" t="s">
        <v>238</v>
      </c>
      <c r="BC1143" s="5" t="s">
        <v>250</v>
      </c>
      <c r="BD1143" s="6" t="s">
        <v>243</v>
      </c>
      <c r="BE1143" s="5" t="s">
        <v>251</v>
      </c>
      <c r="BF1143" s="5" t="s">
        <v>252</v>
      </c>
      <c r="BG1143" s="5" t="s">
        <v>238</v>
      </c>
      <c r="BH1143" s="7">
        <f>0</f>
        <v>0</v>
      </c>
      <c r="BI1143" s="8">
        <f>0</f>
        <v>0</v>
      </c>
      <c r="BJ1143" s="5" t="s">
        <v>253</v>
      </c>
      <c r="BK1143" s="5" t="s">
        <v>254</v>
      </c>
      <c r="BY1143" s="5" t="s">
        <v>238</v>
      </c>
      <c r="BZ1143" s="5" t="s">
        <v>238</v>
      </c>
      <c r="CD1143" s="5" t="s">
        <v>273</v>
      </c>
      <c r="CE1143" s="5" t="s">
        <v>256</v>
      </c>
      <c r="CF1143" s="5" t="s">
        <v>238</v>
      </c>
      <c r="CI1143" s="6" t="s">
        <v>257</v>
      </c>
      <c r="CJ1143" s="5" t="s">
        <v>238</v>
      </c>
      <c r="CK1143" s="5" t="s">
        <v>258</v>
      </c>
      <c r="CL1143" s="5" t="s">
        <v>238</v>
      </c>
      <c r="CM1143" s="5" t="s">
        <v>238</v>
      </c>
      <c r="CN1143" s="5">
        <v>0</v>
      </c>
      <c r="CO1143" s="5" t="s">
        <v>259</v>
      </c>
      <c r="CP1143" s="5" t="s">
        <v>260</v>
      </c>
      <c r="CQ1143" s="5" t="s">
        <v>260</v>
      </c>
      <c r="CR1143" s="5" t="s">
        <v>261</v>
      </c>
      <c r="CU1143" s="8">
        <f>1</f>
        <v>1</v>
      </c>
      <c r="CV1143" s="8">
        <f>0</f>
        <v>0</v>
      </c>
      <c r="CX1143" s="8">
        <f>0</f>
        <v>0</v>
      </c>
      <c r="CY1143" s="8">
        <f>1</f>
        <v>1</v>
      </c>
      <c r="DA1143" s="5" t="s">
        <v>673</v>
      </c>
      <c r="DB1143" s="5" t="s">
        <v>238</v>
      </c>
      <c r="DD1143" s="5" t="s">
        <v>673</v>
      </c>
      <c r="DE1143" s="8">
        <f>4021</f>
        <v>4021</v>
      </c>
      <c r="DG1143" s="5" t="s">
        <v>238</v>
      </c>
      <c r="DH1143" s="5" t="s">
        <v>238</v>
      </c>
      <c r="DI1143" s="5" t="s">
        <v>238</v>
      </c>
      <c r="DJ1143" s="5" t="s">
        <v>238</v>
      </c>
      <c r="DN1143" s="5" t="s">
        <v>238</v>
      </c>
      <c r="DO1143" s="5" t="s">
        <v>238</v>
      </c>
      <c r="DP1143" s="5" t="s">
        <v>238</v>
      </c>
      <c r="DQ1143" s="5" t="s">
        <v>238</v>
      </c>
      <c r="DT1143" s="5" t="s">
        <v>2039</v>
      </c>
      <c r="DU1143" s="5" t="s">
        <v>2973</v>
      </c>
      <c r="HM1143" s="5" t="s">
        <v>264</v>
      </c>
    </row>
    <row r="1144" spans="1:221" x14ac:dyDescent="0.4">
      <c r="A1144" s="5">
        <v>2819</v>
      </c>
      <c r="B1144" s="5">
        <v>1</v>
      </c>
      <c r="C1144" s="5">
        <v>1</v>
      </c>
      <c r="D1144" s="5" t="s">
        <v>2037</v>
      </c>
      <c r="E1144" s="5" t="s">
        <v>271</v>
      </c>
      <c r="F1144" s="5" t="s">
        <v>248</v>
      </c>
      <c r="G1144" s="5" t="s">
        <v>1969</v>
      </c>
      <c r="H1144" s="6" t="s">
        <v>2970</v>
      </c>
      <c r="I1144" s="7">
        <f>2298</f>
        <v>2298</v>
      </c>
      <c r="J1144" s="5" t="s">
        <v>262</v>
      </c>
      <c r="K1144" s="8">
        <f>1</f>
        <v>1</v>
      </c>
      <c r="L1144" s="6" t="s">
        <v>242</v>
      </c>
      <c r="M1144" s="5" t="s">
        <v>267</v>
      </c>
      <c r="N1144" s="5" t="s">
        <v>265</v>
      </c>
      <c r="O1144" s="5" t="s">
        <v>238</v>
      </c>
      <c r="P1144" s="5" t="s">
        <v>238</v>
      </c>
      <c r="Q1144" s="5" t="s">
        <v>268</v>
      </c>
      <c r="R1144" s="5" t="s">
        <v>270</v>
      </c>
      <c r="S1144" s="5" t="s">
        <v>238</v>
      </c>
      <c r="V1144" s="5" t="s">
        <v>238</v>
      </c>
      <c r="X1144" s="6" t="s">
        <v>238</v>
      </c>
      <c r="AA1144" s="6" t="s">
        <v>243</v>
      </c>
      <c r="AB1144" s="5" t="s">
        <v>238</v>
      </c>
      <c r="AC1144" s="5" t="s">
        <v>244</v>
      </c>
      <c r="AD1144" s="5" t="s">
        <v>245</v>
      </c>
      <c r="AT1144" s="5" t="s">
        <v>246</v>
      </c>
      <c r="AU1144" s="5" t="s">
        <v>238</v>
      </c>
      <c r="AV1144" s="5" t="s">
        <v>247</v>
      </c>
      <c r="AW1144" s="5" t="s">
        <v>238</v>
      </c>
      <c r="AX1144" s="5" t="s">
        <v>249</v>
      </c>
      <c r="AY1144" s="5" t="s">
        <v>238</v>
      </c>
      <c r="BA1144" s="5" t="s">
        <v>238</v>
      </c>
      <c r="BC1144" s="5" t="s">
        <v>250</v>
      </c>
      <c r="BD1144" s="6" t="s">
        <v>243</v>
      </c>
      <c r="BE1144" s="5" t="s">
        <v>251</v>
      </c>
      <c r="BF1144" s="5" t="s">
        <v>252</v>
      </c>
      <c r="BG1144" s="5" t="s">
        <v>238</v>
      </c>
      <c r="BH1144" s="7">
        <f>0</f>
        <v>0</v>
      </c>
      <c r="BI1144" s="8">
        <f>0</f>
        <v>0</v>
      </c>
      <c r="BJ1144" s="5" t="s">
        <v>253</v>
      </c>
      <c r="BK1144" s="5" t="s">
        <v>254</v>
      </c>
      <c r="BY1144" s="5" t="s">
        <v>238</v>
      </c>
      <c r="BZ1144" s="5" t="s">
        <v>238</v>
      </c>
      <c r="CD1144" s="5" t="s">
        <v>273</v>
      </c>
      <c r="CE1144" s="5" t="s">
        <v>256</v>
      </c>
      <c r="CF1144" s="5" t="s">
        <v>238</v>
      </c>
      <c r="CI1144" s="6" t="s">
        <v>257</v>
      </c>
      <c r="CJ1144" s="5" t="s">
        <v>238</v>
      </c>
      <c r="CK1144" s="5" t="s">
        <v>258</v>
      </c>
      <c r="CL1144" s="5" t="s">
        <v>238</v>
      </c>
      <c r="CM1144" s="5" t="s">
        <v>238</v>
      </c>
      <c r="CN1144" s="5">
        <v>0</v>
      </c>
      <c r="CO1144" s="5" t="s">
        <v>259</v>
      </c>
      <c r="CP1144" s="5" t="s">
        <v>260</v>
      </c>
      <c r="CQ1144" s="5" t="s">
        <v>260</v>
      </c>
      <c r="CR1144" s="5" t="s">
        <v>261</v>
      </c>
      <c r="CU1144" s="8">
        <f>1</f>
        <v>1</v>
      </c>
      <c r="CV1144" s="8">
        <f>0</f>
        <v>0</v>
      </c>
      <c r="CX1144" s="8">
        <f>0</f>
        <v>0</v>
      </c>
      <c r="CY1144" s="8">
        <f>1</f>
        <v>1</v>
      </c>
      <c r="DA1144" s="5" t="s">
        <v>673</v>
      </c>
      <c r="DB1144" s="5" t="s">
        <v>238</v>
      </c>
      <c r="DD1144" s="5" t="s">
        <v>673</v>
      </c>
      <c r="DE1144" s="8">
        <f>2298</f>
        <v>2298</v>
      </c>
      <c r="DG1144" s="5" t="s">
        <v>238</v>
      </c>
      <c r="DH1144" s="5" t="s">
        <v>238</v>
      </c>
      <c r="DI1144" s="5" t="s">
        <v>238</v>
      </c>
      <c r="DJ1144" s="5" t="s">
        <v>238</v>
      </c>
      <c r="DN1144" s="5" t="s">
        <v>238</v>
      </c>
      <c r="DO1144" s="5" t="s">
        <v>238</v>
      </c>
      <c r="DP1144" s="5" t="s">
        <v>238</v>
      </c>
      <c r="DQ1144" s="5" t="s">
        <v>238</v>
      </c>
      <c r="DT1144" s="5" t="s">
        <v>2039</v>
      </c>
      <c r="DU1144" s="5" t="s">
        <v>2971</v>
      </c>
      <c r="HM1144" s="5" t="s">
        <v>264</v>
      </c>
    </row>
    <row r="1145" spans="1:221" x14ac:dyDescent="0.4">
      <c r="A1145" s="5">
        <v>2820</v>
      </c>
      <c r="B1145" s="5">
        <v>1</v>
      </c>
      <c r="C1145" s="5">
        <v>1</v>
      </c>
      <c r="D1145" s="5" t="s">
        <v>2037</v>
      </c>
      <c r="E1145" s="5" t="s">
        <v>271</v>
      </c>
      <c r="F1145" s="5" t="s">
        <v>248</v>
      </c>
      <c r="G1145" s="5" t="s">
        <v>1969</v>
      </c>
      <c r="H1145" s="6" t="s">
        <v>2966</v>
      </c>
      <c r="I1145" s="7">
        <f>443</f>
        <v>443</v>
      </c>
      <c r="J1145" s="5" t="s">
        <v>262</v>
      </c>
      <c r="K1145" s="8">
        <f>1</f>
        <v>1</v>
      </c>
      <c r="L1145" s="6" t="s">
        <v>242</v>
      </c>
      <c r="M1145" s="5" t="s">
        <v>267</v>
      </c>
      <c r="N1145" s="5" t="s">
        <v>265</v>
      </c>
      <c r="O1145" s="5" t="s">
        <v>238</v>
      </c>
      <c r="P1145" s="5" t="s">
        <v>238</v>
      </c>
      <c r="Q1145" s="5" t="s">
        <v>268</v>
      </c>
      <c r="R1145" s="5" t="s">
        <v>270</v>
      </c>
      <c r="S1145" s="5" t="s">
        <v>238</v>
      </c>
      <c r="V1145" s="5" t="s">
        <v>238</v>
      </c>
      <c r="X1145" s="6" t="s">
        <v>238</v>
      </c>
      <c r="AA1145" s="6" t="s">
        <v>243</v>
      </c>
      <c r="AB1145" s="5" t="s">
        <v>238</v>
      </c>
      <c r="AC1145" s="5" t="s">
        <v>244</v>
      </c>
      <c r="AD1145" s="5" t="s">
        <v>245</v>
      </c>
      <c r="AT1145" s="5" t="s">
        <v>246</v>
      </c>
      <c r="AU1145" s="5" t="s">
        <v>238</v>
      </c>
      <c r="AV1145" s="5" t="s">
        <v>247</v>
      </c>
      <c r="AW1145" s="5" t="s">
        <v>238</v>
      </c>
      <c r="AX1145" s="5" t="s">
        <v>249</v>
      </c>
      <c r="AY1145" s="5" t="s">
        <v>238</v>
      </c>
      <c r="BA1145" s="5" t="s">
        <v>238</v>
      </c>
      <c r="BC1145" s="5" t="s">
        <v>250</v>
      </c>
      <c r="BD1145" s="6" t="s">
        <v>243</v>
      </c>
      <c r="BE1145" s="5" t="s">
        <v>251</v>
      </c>
      <c r="BF1145" s="5" t="s">
        <v>252</v>
      </c>
      <c r="BG1145" s="5" t="s">
        <v>238</v>
      </c>
      <c r="BH1145" s="7">
        <f>0</f>
        <v>0</v>
      </c>
      <c r="BI1145" s="8">
        <f>0</f>
        <v>0</v>
      </c>
      <c r="BJ1145" s="5" t="s">
        <v>253</v>
      </c>
      <c r="BK1145" s="5" t="s">
        <v>254</v>
      </c>
      <c r="BY1145" s="5" t="s">
        <v>238</v>
      </c>
      <c r="BZ1145" s="5" t="s">
        <v>238</v>
      </c>
      <c r="CD1145" s="5" t="s">
        <v>273</v>
      </c>
      <c r="CE1145" s="5" t="s">
        <v>256</v>
      </c>
      <c r="CF1145" s="5" t="s">
        <v>238</v>
      </c>
      <c r="CI1145" s="6" t="s">
        <v>257</v>
      </c>
      <c r="CJ1145" s="5" t="s">
        <v>238</v>
      </c>
      <c r="CK1145" s="5" t="s">
        <v>258</v>
      </c>
      <c r="CL1145" s="5" t="s">
        <v>238</v>
      </c>
      <c r="CM1145" s="5" t="s">
        <v>238</v>
      </c>
      <c r="CN1145" s="5">
        <v>0</v>
      </c>
      <c r="CO1145" s="5" t="s">
        <v>259</v>
      </c>
      <c r="CP1145" s="5" t="s">
        <v>260</v>
      </c>
      <c r="CQ1145" s="5" t="s">
        <v>260</v>
      </c>
      <c r="CR1145" s="5" t="s">
        <v>261</v>
      </c>
      <c r="CU1145" s="8">
        <f>1</f>
        <v>1</v>
      </c>
      <c r="CV1145" s="8">
        <f>0</f>
        <v>0</v>
      </c>
      <c r="CX1145" s="8">
        <f>0</f>
        <v>0</v>
      </c>
      <c r="CY1145" s="8">
        <f>1</f>
        <v>1</v>
      </c>
      <c r="DA1145" s="5" t="s">
        <v>673</v>
      </c>
      <c r="DB1145" s="5" t="s">
        <v>238</v>
      </c>
      <c r="DD1145" s="5" t="s">
        <v>673</v>
      </c>
      <c r="DE1145" s="8">
        <f>443</f>
        <v>443</v>
      </c>
      <c r="DG1145" s="5" t="s">
        <v>238</v>
      </c>
      <c r="DH1145" s="5" t="s">
        <v>238</v>
      </c>
      <c r="DI1145" s="5" t="s">
        <v>238</v>
      </c>
      <c r="DJ1145" s="5" t="s">
        <v>238</v>
      </c>
      <c r="DN1145" s="5" t="s">
        <v>238</v>
      </c>
      <c r="DO1145" s="5" t="s">
        <v>238</v>
      </c>
      <c r="DP1145" s="5" t="s">
        <v>238</v>
      </c>
      <c r="DQ1145" s="5" t="s">
        <v>238</v>
      </c>
      <c r="DT1145" s="5" t="s">
        <v>2039</v>
      </c>
      <c r="DU1145" s="5" t="s">
        <v>2967</v>
      </c>
      <c r="HM1145" s="5" t="s">
        <v>264</v>
      </c>
    </row>
    <row r="1146" spans="1:221" x14ac:dyDescent="0.4">
      <c r="A1146" s="5">
        <v>2821</v>
      </c>
      <c r="B1146" s="5">
        <v>1</v>
      </c>
      <c r="C1146" s="5">
        <v>1</v>
      </c>
      <c r="D1146" s="5" t="s">
        <v>2037</v>
      </c>
      <c r="E1146" s="5" t="s">
        <v>271</v>
      </c>
      <c r="F1146" s="5" t="s">
        <v>248</v>
      </c>
      <c r="G1146" s="5" t="s">
        <v>1969</v>
      </c>
      <c r="H1146" s="6" t="s">
        <v>2964</v>
      </c>
      <c r="I1146" s="7">
        <f>2182</f>
        <v>2182</v>
      </c>
      <c r="J1146" s="5" t="s">
        <v>262</v>
      </c>
      <c r="K1146" s="8">
        <f>1</f>
        <v>1</v>
      </c>
      <c r="L1146" s="6" t="s">
        <v>242</v>
      </c>
      <c r="M1146" s="5" t="s">
        <v>267</v>
      </c>
      <c r="N1146" s="5" t="s">
        <v>265</v>
      </c>
      <c r="O1146" s="5" t="s">
        <v>238</v>
      </c>
      <c r="P1146" s="5" t="s">
        <v>238</v>
      </c>
      <c r="Q1146" s="5" t="s">
        <v>268</v>
      </c>
      <c r="R1146" s="5" t="s">
        <v>270</v>
      </c>
      <c r="S1146" s="5" t="s">
        <v>238</v>
      </c>
      <c r="V1146" s="5" t="s">
        <v>238</v>
      </c>
      <c r="X1146" s="6" t="s">
        <v>238</v>
      </c>
      <c r="AA1146" s="6" t="s">
        <v>243</v>
      </c>
      <c r="AB1146" s="5" t="s">
        <v>238</v>
      </c>
      <c r="AC1146" s="5" t="s">
        <v>244</v>
      </c>
      <c r="AD1146" s="5" t="s">
        <v>245</v>
      </c>
      <c r="AT1146" s="5" t="s">
        <v>246</v>
      </c>
      <c r="AU1146" s="5" t="s">
        <v>238</v>
      </c>
      <c r="AV1146" s="5" t="s">
        <v>247</v>
      </c>
      <c r="AW1146" s="5" t="s">
        <v>238</v>
      </c>
      <c r="AX1146" s="5" t="s">
        <v>249</v>
      </c>
      <c r="AY1146" s="5" t="s">
        <v>238</v>
      </c>
      <c r="BA1146" s="5" t="s">
        <v>238</v>
      </c>
      <c r="BC1146" s="5" t="s">
        <v>250</v>
      </c>
      <c r="BD1146" s="6" t="s">
        <v>243</v>
      </c>
      <c r="BE1146" s="5" t="s">
        <v>251</v>
      </c>
      <c r="BF1146" s="5" t="s">
        <v>252</v>
      </c>
      <c r="BG1146" s="5" t="s">
        <v>238</v>
      </c>
      <c r="BH1146" s="7">
        <f>0</f>
        <v>0</v>
      </c>
      <c r="BI1146" s="8">
        <f>0</f>
        <v>0</v>
      </c>
      <c r="BJ1146" s="5" t="s">
        <v>253</v>
      </c>
      <c r="BK1146" s="5" t="s">
        <v>254</v>
      </c>
      <c r="BY1146" s="5" t="s">
        <v>238</v>
      </c>
      <c r="BZ1146" s="5" t="s">
        <v>238</v>
      </c>
      <c r="CD1146" s="5" t="s">
        <v>273</v>
      </c>
      <c r="CE1146" s="5" t="s">
        <v>256</v>
      </c>
      <c r="CF1146" s="5" t="s">
        <v>238</v>
      </c>
      <c r="CI1146" s="6" t="s">
        <v>257</v>
      </c>
      <c r="CJ1146" s="5" t="s">
        <v>238</v>
      </c>
      <c r="CK1146" s="5" t="s">
        <v>258</v>
      </c>
      <c r="CL1146" s="5" t="s">
        <v>238</v>
      </c>
      <c r="CM1146" s="5" t="s">
        <v>238</v>
      </c>
      <c r="CN1146" s="5">
        <v>0</v>
      </c>
      <c r="CO1146" s="5" t="s">
        <v>259</v>
      </c>
      <c r="CP1146" s="5" t="s">
        <v>260</v>
      </c>
      <c r="CQ1146" s="5" t="s">
        <v>260</v>
      </c>
      <c r="CR1146" s="5" t="s">
        <v>261</v>
      </c>
      <c r="CU1146" s="8">
        <f>1</f>
        <v>1</v>
      </c>
      <c r="CV1146" s="8">
        <f>0</f>
        <v>0</v>
      </c>
      <c r="CX1146" s="8">
        <f>0</f>
        <v>0</v>
      </c>
      <c r="CY1146" s="8">
        <f>1</f>
        <v>1</v>
      </c>
      <c r="DA1146" s="5" t="s">
        <v>673</v>
      </c>
      <c r="DB1146" s="5" t="s">
        <v>238</v>
      </c>
      <c r="DD1146" s="5" t="s">
        <v>673</v>
      </c>
      <c r="DE1146" s="8">
        <f>2182</f>
        <v>2182</v>
      </c>
      <c r="DG1146" s="5" t="s">
        <v>238</v>
      </c>
      <c r="DH1146" s="5" t="s">
        <v>238</v>
      </c>
      <c r="DI1146" s="5" t="s">
        <v>238</v>
      </c>
      <c r="DJ1146" s="5" t="s">
        <v>238</v>
      </c>
      <c r="DN1146" s="5" t="s">
        <v>238</v>
      </c>
      <c r="DO1146" s="5" t="s">
        <v>238</v>
      </c>
      <c r="DP1146" s="5" t="s">
        <v>238</v>
      </c>
      <c r="DQ1146" s="5" t="s">
        <v>238</v>
      </c>
      <c r="DT1146" s="5" t="s">
        <v>2039</v>
      </c>
      <c r="DU1146" s="5" t="s">
        <v>2965</v>
      </c>
      <c r="HM1146" s="5" t="s">
        <v>264</v>
      </c>
    </row>
    <row r="1147" spans="1:221" x14ac:dyDescent="0.4">
      <c r="A1147" s="5">
        <v>2822</v>
      </c>
      <c r="B1147" s="5">
        <v>1</v>
      </c>
      <c r="C1147" s="5">
        <v>1</v>
      </c>
      <c r="D1147" s="5" t="s">
        <v>2037</v>
      </c>
      <c r="E1147" s="5" t="s">
        <v>271</v>
      </c>
      <c r="F1147" s="5" t="s">
        <v>248</v>
      </c>
      <c r="G1147" s="5" t="s">
        <v>1969</v>
      </c>
      <c r="H1147" s="6" t="s">
        <v>2962</v>
      </c>
      <c r="I1147" s="7">
        <f>2573</f>
        <v>2573</v>
      </c>
      <c r="J1147" s="5" t="s">
        <v>262</v>
      </c>
      <c r="K1147" s="8">
        <f>1</f>
        <v>1</v>
      </c>
      <c r="L1147" s="6" t="s">
        <v>242</v>
      </c>
      <c r="M1147" s="5" t="s">
        <v>267</v>
      </c>
      <c r="N1147" s="5" t="s">
        <v>265</v>
      </c>
      <c r="O1147" s="5" t="s">
        <v>238</v>
      </c>
      <c r="P1147" s="5" t="s">
        <v>238</v>
      </c>
      <c r="Q1147" s="5" t="s">
        <v>268</v>
      </c>
      <c r="R1147" s="5" t="s">
        <v>270</v>
      </c>
      <c r="S1147" s="5" t="s">
        <v>238</v>
      </c>
      <c r="V1147" s="5" t="s">
        <v>238</v>
      </c>
      <c r="X1147" s="6" t="s">
        <v>238</v>
      </c>
      <c r="AA1147" s="6" t="s">
        <v>243</v>
      </c>
      <c r="AB1147" s="5" t="s">
        <v>238</v>
      </c>
      <c r="AC1147" s="5" t="s">
        <v>244</v>
      </c>
      <c r="AD1147" s="5" t="s">
        <v>245</v>
      </c>
      <c r="AT1147" s="5" t="s">
        <v>246</v>
      </c>
      <c r="AU1147" s="5" t="s">
        <v>238</v>
      </c>
      <c r="AV1147" s="5" t="s">
        <v>247</v>
      </c>
      <c r="AW1147" s="5" t="s">
        <v>238</v>
      </c>
      <c r="AX1147" s="5" t="s">
        <v>249</v>
      </c>
      <c r="AY1147" s="5" t="s">
        <v>238</v>
      </c>
      <c r="BA1147" s="5" t="s">
        <v>238</v>
      </c>
      <c r="BC1147" s="5" t="s">
        <v>250</v>
      </c>
      <c r="BD1147" s="6" t="s">
        <v>243</v>
      </c>
      <c r="BE1147" s="5" t="s">
        <v>251</v>
      </c>
      <c r="BF1147" s="5" t="s">
        <v>252</v>
      </c>
      <c r="BG1147" s="5" t="s">
        <v>238</v>
      </c>
      <c r="BH1147" s="7">
        <f>0</f>
        <v>0</v>
      </c>
      <c r="BI1147" s="8">
        <f>0</f>
        <v>0</v>
      </c>
      <c r="BJ1147" s="5" t="s">
        <v>253</v>
      </c>
      <c r="BK1147" s="5" t="s">
        <v>254</v>
      </c>
      <c r="BY1147" s="5" t="s">
        <v>238</v>
      </c>
      <c r="BZ1147" s="5" t="s">
        <v>238</v>
      </c>
      <c r="CD1147" s="5" t="s">
        <v>273</v>
      </c>
      <c r="CE1147" s="5" t="s">
        <v>256</v>
      </c>
      <c r="CF1147" s="5" t="s">
        <v>238</v>
      </c>
      <c r="CI1147" s="6" t="s">
        <v>257</v>
      </c>
      <c r="CJ1147" s="5" t="s">
        <v>238</v>
      </c>
      <c r="CK1147" s="5" t="s">
        <v>258</v>
      </c>
      <c r="CL1147" s="5" t="s">
        <v>238</v>
      </c>
      <c r="CM1147" s="5" t="s">
        <v>238</v>
      </c>
      <c r="CN1147" s="5">
        <v>0</v>
      </c>
      <c r="CO1147" s="5" t="s">
        <v>259</v>
      </c>
      <c r="CP1147" s="5" t="s">
        <v>260</v>
      </c>
      <c r="CQ1147" s="5" t="s">
        <v>260</v>
      </c>
      <c r="CR1147" s="5" t="s">
        <v>261</v>
      </c>
      <c r="CU1147" s="8">
        <f>1</f>
        <v>1</v>
      </c>
      <c r="CV1147" s="8">
        <f>0</f>
        <v>0</v>
      </c>
      <c r="CX1147" s="8">
        <f>0</f>
        <v>0</v>
      </c>
      <c r="CY1147" s="8">
        <f>1</f>
        <v>1</v>
      </c>
      <c r="DA1147" s="5" t="s">
        <v>673</v>
      </c>
      <c r="DB1147" s="5" t="s">
        <v>238</v>
      </c>
      <c r="DD1147" s="5" t="s">
        <v>673</v>
      </c>
      <c r="DE1147" s="8">
        <f>2573</f>
        <v>2573</v>
      </c>
      <c r="DG1147" s="5" t="s">
        <v>238</v>
      </c>
      <c r="DH1147" s="5" t="s">
        <v>238</v>
      </c>
      <c r="DI1147" s="5" t="s">
        <v>238</v>
      </c>
      <c r="DJ1147" s="5" t="s">
        <v>238</v>
      </c>
      <c r="DN1147" s="5" t="s">
        <v>238</v>
      </c>
      <c r="DO1147" s="5" t="s">
        <v>238</v>
      </c>
      <c r="DP1147" s="5" t="s">
        <v>238</v>
      </c>
      <c r="DQ1147" s="5" t="s">
        <v>238</v>
      </c>
      <c r="DT1147" s="5" t="s">
        <v>2039</v>
      </c>
      <c r="DU1147" s="5" t="s">
        <v>2963</v>
      </c>
      <c r="HM1147" s="5" t="s">
        <v>264</v>
      </c>
    </row>
    <row r="1148" spans="1:221" x14ac:dyDescent="0.4">
      <c r="A1148" s="5">
        <v>2823</v>
      </c>
      <c r="B1148" s="5">
        <v>1</v>
      </c>
      <c r="C1148" s="5">
        <v>1</v>
      </c>
      <c r="D1148" s="5" t="s">
        <v>2037</v>
      </c>
      <c r="E1148" s="5" t="s">
        <v>271</v>
      </c>
      <c r="F1148" s="5" t="s">
        <v>248</v>
      </c>
      <c r="G1148" s="5" t="s">
        <v>1969</v>
      </c>
      <c r="H1148" s="6" t="s">
        <v>2960</v>
      </c>
      <c r="I1148" s="7">
        <f>919</f>
        <v>919</v>
      </c>
      <c r="J1148" s="5" t="s">
        <v>262</v>
      </c>
      <c r="K1148" s="8">
        <f>1</f>
        <v>1</v>
      </c>
      <c r="L1148" s="6" t="s">
        <v>242</v>
      </c>
      <c r="M1148" s="5" t="s">
        <v>267</v>
      </c>
      <c r="N1148" s="5" t="s">
        <v>265</v>
      </c>
      <c r="O1148" s="5" t="s">
        <v>238</v>
      </c>
      <c r="P1148" s="5" t="s">
        <v>238</v>
      </c>
      <c r="Q1148" s="5" t="s">
        <v>268</v>
      </c>
      <c r="R1148" s="5" t="s">
        <v>270</v>
      </c>
      <c r="S1148" s="5" t="s">
        <v>238</v>
      </c>
      <c r="V1148" s="5" t="s">
        <v>238</v>
      </c>
      <c r="X1148" s="6" t="s">
        <v>238</v>
      </c>
      <c r="AA1148" s="6" t="s">
        <v>243</v>
      </c>
      <c r="AB1148" s="5" t="s">
        <v>238</v>
      </c>
      <c r="AC1148" s="5" t="s">
        <v>244</v>
      </c>
      <c r="AD1148" s="5" t="s">
        <v>245</v>
      </c>
      <c r="AT1148" s="5" t="s">
        <v>246</v>
      </c>
      <c r="AU1148" s="5" t="s">
        <v>238</v>
      </c>
      <c r="AV1148" s="5" t="s">
        <v>247</v>
      </c>
      <c r="AW1148" s="5" t="s">
        <v>238</v>
      </c>
      <c r="AX1148" s="5" t="s">
        <v>249</v>
      </c>
      <c r="AY1148" s="5" t="s">
        <v>238</v>
      </c>
      <c r="BA1148" s="5" t="s">
        <v>238</v>
      </c>
      <c r="BC1148" s="5" t="s">
        <v>250</v>
      </c>
      <c r="BD1148" s="6" t="s">
        <v>243</v>
      </c>
      <c r="BE1148" s="5" t="s">
        <v>251</v>
      </c>
      <c r="BF1148" s="5" t="s">
        <v>252</v>
      </c>
      <c r="BG1148" s="5" t="s">
        <v>238</v>
      </c>
      <c r="BH1148" s="7">
        <f>0</f>
        <v>0</v>
      </c>
      <c r="BI1148" s="8">
        <f>0</f>
        <v>0</v>
      </c>
      <c r="BJ1148" s="5" t="s">
        <v>253</v>
      </c>
      <c r="BK1148" s="5" t="s">
        <v>254</v>
      </c>
      <c r="BY1148" s="5" t="s">
        <v>238</v>
      </c>
      <c r="BZ1148" s="5" t="s">
        <v>238</v>
      </c>
      <c r="CD1148" s="5" t="s">
        <v>273</v>
      </c>
      <c r="CE1148" s="5" t="s">
        <v>256</v>
      </c>
      <c r="CF1148" s="5" t="s">
        <v>238</v>
      </c>
      <c r="CI1148" s="6" t="s">
        <v>257</v>
      </c>
      <c r="CJ1148" s="5" t="s">
        <v>238</v>
      </c>
      <c r="CK1148" s="5" t="s">
        <v>258</v>
      </c>
      <c r="CL1148" s="5" t="s">
        <v>238</v>
      </c>
      <c r="CM1148" s="5" t="s">
        <v>238</v>
      </c>
      <c r="CN1148" s="5">
        <v>0</v>
      </c>
      <c r="CO1148" s="5" t="s">
        <v>259</v>
      </c>
      <c r="CP1148" s="5" t="s">
        <v>260</v>
      </c>
      <c r="CQ1148" s="5" t="s">
        <v>260</v>
      </c>
      <c r="CR1148" s="5" t="s">
        <v>261</v>
      </c>
      <c r="CU1148" s="8">
        <f>1</f>
        <v>1</v>
      </c>
      <c r="CV1148" s="8">
        <f>0</f>
        <v>0</v>
      </c>
      <c r="CX1148" s="8">
        <f>0</f>
        <v>0</v>
      </c>
      <c r="CY1148" s="8">
        <f>1</f>
        <v>1</v>
      </c>
      <c r="DA1148" s="5" t="s">
        <v>673</v>
      </c>
      <c r="DB1148" s="5" t="s">
        <v>238</v>
      </c>
      <c r="DD1148" s="5" t="s">
        <v>673</v>
      </c>
      <c r="DE1148" s="8">
        <f>919</f>
        <v>919</v>
      </c>
      <c r="DG1148" s="5" t="s">
        <v>238</v>
      </c>
      <c r="DH1148" s="5" t="s">
        <v>238</v>
      </c>
      <c r="DI1148" s="5" t="s">
        <v>238</v>
      </c>
      <c r="DJ1148" s="5" t="s">
        <v>238</v>
      </c>
      <c r="DN1148" s="5" t="s">
        <v>238</v>
      </c>
      <c r="DO1148" s="5" t="s">
        <v>238</v>
      </c>
      <c r="DP1148" s="5" t="s">
        <v>238</v>
      </c>
      <c r="DQ1148" s="5" t="s">
        <v>238</v>
      </c>
      <c r="DT1148" s="5" t="s">
        <v>2039</v>
      </c>
      <c r="DU1148" s="5" t="s">
        <v>2961</v>
      </c>
      <c r="HM1148" s="5" t="s">
        <v>264</v>
      </c>
    </row>
    <row r="1149" spans="1:221" x14ac:dyDescent="0.4">
      <c r="A1149" s="5">
        <v>2824</v>
      </c>
      <c r="B1149" s="5">
        <v>1</v>
      </c>
      <c r="C1149" s="5">
        <v>1</v>
      </c>
      <c r="D1149" s="5" t="s">
        <v>2037</v>
      </c>
      <c r="E1149" s="5" t="s">
        <v>271</v>
      </c>
      <c r="F1149" s="5" t="s">
        <v>248</v>
      </c>
      <c r="G1149" s="5" t="s">
        <v>1969</v>
      </c>
      <c r="H1149" s="6" t="s">
        <v>2956</v>
      </c>
      <c r="I1149" s="7">
        <f>5649</f>
        <v>5649</v>
      </c>
      <c r="J1149" s="5" t="s">
        <v>262</v>
      </c>
      <c r="K1149" s="8">
        <f>1</f>
        <v>1</v>
      </c>
      <c r="L1149" s="6" t="s">
        <v>242</v>
      </c>
      <c r="M1149" s="5" t="s">
        <v>267</v>
      </c>
      <c r="N1149" s="5" t="s">
        <v>265</v>
      </c>
      <c r="O1149" s="5" t="s">
        <v>238</v>
      </c>
      <c r="P1149" s="5" t="s">
        <v>238</v>
      </c>
      <c r="Q1149" s="5" t="s">
        <v>268</v>
      </c>
      <c r="R1149" s="5" t="s">
        <v>270</v>
      </c>
      <c r="S1149" s="5" t="s">
        <v>238</v>
      </c>
      <c r="V1149" s="5" t="s">
        <v>238</v>
      </c>
      <c r="X1149" s="6" t="s">
        <v>238</v>
      </c>
      <c r="AA1149" s="6" t="s">
        <v>243</v>
      </c>
      <c r="AB1149" s="5" t="s">
        <v>238</v>
      </c>
      <c r="AC1149" s="5" t="s">
        <v>244</v>
      </c>
      <c r="AD1149" s="5" t="s">
        <v>245</v>
      </c>
      <c r="AT1149" s="5" t="s">
        <v>246</v>
      </c>
      <c r="AU1149" s="5" t="s">
        <v>238</v>
      </c>
      <c r="AV1149" s="5" t="s">
        <v>247</v>
      </c>
      <c r="AW1149" s="5" t="s">
        <v>238</v>
      </c>
      <c r="AX1149" s="5" t="s">
        <v>249</v>
      </c>
      <c r="AY1149" s="5" t="s">
        <v>238</v>
      </c>
      <c r="BA1149" s="5" t="s">
        <v>238</v>
      </c>
      <c r="BC1149" s="5" t="s">
        <v>250</v>
      </c>
      <c r="BD1149" s="6" t="s">
        <v>243</v>
      </c>
      <c r="BE1149" s="5" t="s">
        <v>251</v>
      </c>
      <c r="BF1149" s="5" t="s">
        <v>252</v>
      </c>
      <c r="BG1149" s="5" t="s">
        <v>238</v>
      </c>
      <c r="BH1149" s="7">
        <f>0</f>
        <v>0</v>
      </c>
      <c r="BI1149" s="8">
        <f>0</f>
        <v>0</v>
      </c>
      <c r="BJ1149" s="5" t="s">
        <v>253</v>
      </c>
      <c r="BK1149" s="5" t="s">
        <v>254</v>
      </c>
      <c r="BY1149" s="5" t="s">
        <v>238</v>
      </c>
      <c r="BZ1149" s="5" t="s">
        <v>238</v>
      </c>
      <c r="CD1149" s="5" t="s">
        <v>273</v>
      </c>
      <c r="CE1149" s="5" t="s">
        <v>256</v>
      </c>
      <c r="CF1149" s="5" t="s">
        <v>238</v>
      </c>
      <c r="CI1149" s="6" t="s">
        <v>257</v>
      </c>
      <c r="CJ1149" s="5" t="s">
        <v>238</v>
      </c>
      <c r="CK1149" s="5" t="s">
        <v>258</v>
      </c>
      <c r="CL1149" s="5" t="s">
        <v>238</v>
      </c>
      <c r="CM1149" s="5" t="s">
        <v>238</v>
      </c>
      <c r="CN1149" s="5">
        <v>0</v>
      </c>
      <c r="CO1149" s="5" t="s">
        <v>259</v>
      </c>
      <c r="CP1149" s="5" t="s">
        <v>260</v>
      </c>
      <c r="CQ1149" s="5" t="s">
        <v>260</v>
      </c>
      <c r="CR1149" s="5" t="s">
        <v>261</v>
      </c>
      <c r="CU1149" s="8">
        <f>1</f>
        <v>1</v>
      </c>
      <c r="CV1149" s="8">
        <f>0</f>
        <v>0</v>
      </c>
      <c r="CX1149" s="8">
        <f>0</f>
        <v>0</v>
      </c>
      <c r="CY1149" s="8">
        <f>1</f>
        <v>1</v>
      </c>
      <c r="DA1149" s="5" t="s">
        <v>673</v>
      </c>
      <c r="DB1149" s="5" t="s">
        <v>238</v>
      </c>
      <c r="DD1149" s="5" t="s">
        <v>673</v>
      </c>
      <c r="DE1149" s="8">
        <f>5649</f>
        <v>5649</v>
      </c>
      <c r="DG1149" s="5" t="s">
        <v>238</v>
      </c>
      <c r="DH1149" s="5" t="s">
        <v>238</v>
      </c>
      <c r="DI1149" s="5" t="s">
        <v>238</v>
      </c>
      <c r="DJ1149" s="5" t="s">
        <v>238</v>
      </c>
      <c r="DN1149" s="5" t="s">
        <v>238</v>
      </c>
      <c r="DO1149" s="5" t="s">
        <v>238</v>
      </c>
      <c r="DP1149" s="5" t="s">
        <v>238</v>
      </c>
      <c r="DQ1149" s="5" t="s">
        <v>238</v>
      </c>
      <c r="DT1149" s="5" t="s">
        <v>2039</v>
      </c>
      <c r="DU1149" s="5" t="s">
        <v>2957</v>
      </c>
      <c r="HM1149" s="5" t="s">
        <v>264</v>
      </c>
    </row>
    <row r="1150" spans="1:221" x14ac:dyDescent="0.4">
      <c r="A1150" s="5">
        <v>2825</v>
      </c>
      <c r="B1150" s="5">
        <v>1</v>
      </c>
      <c r="C1150" s="5">
        <v>1</v>
      </c>
      <c r="D1150" s="5" t="s">
        <v>2037</v>
      </c>
      <c r="E1150" s="5" t="s">
        <v>271</v>
      </c>
      <c r="F1150" s="5" t="s">
        <v>248</v>
      </c>
      <c r="G1150" s="5" t="s">
        <v>1969</v>
      </c>
      <c r="H1150" s="6" t="s">
        <v>2954</v>
      </c>
      <c r="I1150" s="7">
        <f>3537</f>
        <v>3537</v>
      </c>
      <c r="J1150" s="5" t="s">
        <v>262</v>
      </c>
      <c r="K1150" s="8">
        <f>1</f>
        <v>1</v>
      </c>
      <c r="L1150" s="6" t="s">
        <v>242</v>
      </c>
      <c r="M1150" s="5" t="s">
        <v>267</v>
      </c>
      <c r="N1150" s="5" t="s">
        <v>265</v>
      </c>
      <c r="O1150" s="5" t="s">
        <v>238</v>
      </c>
      <c r="P1150" s="5" t="s">
        <v>238</v>
      </c>
      <c r="Q1150" s="5" t="s">
        <v>268</v>
      </c>
      <c r="R1150" s="5" t="s">
        <v>270</v>
      </c>
      <c r="S1150" s="5" t="s">
        <v>238</v>
      </c>
      <c r="V1150" s="5" t="s">
        <v>238</v>
      </c>
      <c r="X1150" s="6" t="s">
        <v>238</v>
      </c>
      <c r="AA1150" s="6" t="s">
        <v>243</v>
      </c>
      <c r="AB1150" s="5" t="s">
        <v>238</v>
      </c>
      <c r="AC1150" s="5" t="s">
        <v>244</v>
      </c>
      <c r="AD1150" s="5" t="s">
        <v>245</v>
      </c>
      <c r="AT1150" s="5" t="s">
        <v>246</v>
      </c>
      <c r="AU1150" s="5" t="s">
        <v>238</v>
      </c>
      <c r="AV1150" s="5" t="s">
        <v>247</v>
      </c>
      <c r="AW1150" s="5" t="s">
        <v>238</v>
      </c>
      <c r="AX1150" s="5" t="s">
        <v>249</v>
      </c>
      <c r="AY1150" s="5" t="s">
        <v>238</v>
      </c>
      <c r="BA1150" s="5" t="s">
        <v>238</v>
      </c>
      <c r="BC1150" s="5" t="s">
        <v>250</v>
      </c>
      <c r="BD1150" s="6" t="s">
        <v>243</v>
      </c>
      <c r="BE1150" s="5" t="s">
        <v>251</v>
      </c>
      <c r="BF1150" s="5" t="s">
        <v>252</v>
      </c>
      <c r="BG1150" s="5" t="s">
        <v>238</v>
      </c>
      <c r="BH1150" s="7">
        <f>0</f>
        <v>0</v>
      </c>
      <c r="BI1150" s="8">
        <f>0</f>
        <v>0</v>
      </c>
      <c r="BJ1150" s="5" t="s">
        <v>253</v>
      </c>
      <c r="BK1150" s="5" t="s">
        <v>254</v>
      </c>
      <c r="BY1150" s="5" t="s">
        <v>238</v>
      </c>
      <c r="BZ1150" s="5" t="s">
        <v>238</v>
      </c>
      <c r="CD1150" s="5" t="s">
        <v>273</v>
      </c>
      <c r="CE1150" s="5" t="s">
        <v>256</v>
      </c>
      <c r="CF1150" s="5" t="s">
        <v>238</v>
      </c>
      <c r="CI1150" s="6" t="s">
        <v>257</v>
      </c>
      <c r="CJ1150" s="5" t="s">
        <v>238</v>
      </c>
      <c r="CK1150" s="5" t="s">
        <v>258</v>
      </c>
      <c r="CL1150" s="5" t="s">
        <v>238</v>
      </c>
      <c r="CM1150" s="5" t="s">
        <v>238</v>
      </c>
      <c r="CN1150" s="5">
        <v>0</v>
      </c>
      <c r="CO1150" s="5" t="s">
        <v>259</v>
      </c>
      <c r="CP1150" s="5" t="s">
        <v>260</v>
      </c>
      <c r="CQ1150" s="5" t="s">
        <v>260</v>
      </c>
      <c r="CR1150" s="5" t="s">
        <v>261</v>
      </c>
      <c r="CU1150" s="8">
        <f>1</f>
        <v>1</v>
      </c>
      <c r="CV1150" s="8">
        <f>0</f>
        <v>0</v>
      </c>
      <c r="CX1150" s="8">
        <f>0</f>
        <v>0</v>
      </c>
      <c r="CY1150" s="8">
        <f>1</f>
        <v>1</v>
      </c>
      <c r="DA1150" s="5" t="s">
        <v>673</v>
      </c>
      <c r="DB1150" s="5" t="s">
        <v>238</v>
      </c>
      <c r="DD1150" s="5" t="s">
        <v>673</v>
      </c>
      <c r="DE1150" s="8">
        <f>3537</f>
        <v>3537</v>
      </c>
      <c r="DG1150" s="5" t="s">
        <v>238</v>
      </c>
      <c r="DH1150" s="5" t="s">
        <v>238</v>
      </c>
      <c r="DI1150" s="5" t="s">
        <v>238</v>
      </c>
      <c r="DJ1150" s="5" t="s">
        <v>238</v>
      </c>
      <c r="DN1150" s="5" t="s">
        <v>238</v>
      </c>
      <c r="DO1150" s="5" t="s">
        <v>238</v>
      </c>
      <c r="DP1150" s="5" t="s">
        <v>238</v>
      </c>
      <c r="DQ1150" s="5" t="s">
        <v>238</v>
      </c>
      <c r="DT1150" s="5" t="s">
        <v>2039</v>
      </c>
      <c r="DU1150" s="5" t="s">
        <v>2955</v>
      </c>
      <c r="HM1150" s="5" t="s">
        <v>264</v>
      </c>
    </row>
    <row r="1151" spans="1:221" x14ac:dyDescent="0.4">
      <c r="A1151" s="5">
        <v>2826</v>
      </c>
      <c r="B1151" s="5">
        <v>1</v>
      </c>
      <c r="C1151" s="5">
        <v>1</v>
      </c>
      <c r="D1151" s="5" t="s">
        <v>2037</v>
      </c>
      <c r="E1151" s="5" t="s">
        <v>271</v>
      </c>
      <c r="F1151" s="5" t="s">
        <v>248</v>
      </c>
      <c r="G1151" s="5" t="s">
        <v>1969</v>
      </c>
      <c r="H1151" s="6" t="s">
        <v>2953</v>
      </c>
      <c r="I1151" s="7">
        <f>3403</f>
        <v>3403</v>
      </c>
      <c r="J1151" s="5" t="s">
        <v>262</v>
      </c>
      <c r="K1151" s="8">
        <f>1</f>
        <v>1</v>
      </c>
      <c r="L1151" s="6" t="s">
        <v>242</v>
      </c>
      <c r="M1151" s="5" t="s">
        <v>267</v>
      </c>
      <c r="N1151" s="5" t="s">
        <v>265</v>
      </c>
      <c r="O1151" s="5" t="s">
        <v>238</v>
      </c>
      <c r="P1151" s="5" t="s">
        <v>238</v>
      </c>
      <c r="Q1151" s="5" t="s">
        <v>268</v>
      </c>
      <c r="R1151" s="5" t="s">
        <v>270</v>
      </c>
      <c r="S1151" s="5" t="s">
        <v>238</v>
      </c>
      <c r="V1151" s="5" t="s">
        <v>238</v>
      </c>
      <c r="X1151" s="6" t="s">
        <v>238</v>
      </c>
      <c r="AA1151" s="6" t="s">
        <v>243</v>
      </c>
      <c r="AB1151" s="5" t="s">
        <v>238</v>
      </c>
      <c r="AC1151" s="5" t="s">
        <v>244</v>
      </c>
      <c r="AD1151" s="5" t="s">
        <v>245</v>
      </c>
      <c r="AT1151" s="5" t="s">
        <v>246</v>
      </c>
      <c r="AU1151" s="5" t="s">
        <v>238</v>
      </c>
      <c r="AV1151" s="5" t="s">
        <v>247</v>
      </c>
      <c r="AW1151" s="5" t="s">
        <v>238</v>
      </c>
      <c r="AX1151" s="5" t="s">
        <v>249</v>
      </c>
      <c r="AY1151" s="5" t="s">
        <v>238</v>
      </c>
      <c r="BA1151" s="5" t="s">
        <v>238</v>
      </c>
      <c r="BC1151" s="5" t="s">
        <v>250</v>
      </c>
      <c r="BD1151" s="6" t="s">
        <v>243</v>
      </c>
      <c r="BE1151" s="5" t="s">
        <v>251</v>
      </c>
      <c r="BF1151" s="5" t="s">
        <v>252</v>
      </c>
      <c r="BG1151" s="5" t="s">
        <v>238</v>
      </c>
      <c r="BH1151" s="7">
        <f>0</f>
        <v>0</v>
      </c>
      <c r="BI1151" s="8">
        <f>0</f>
        <v>0</v>
      </c>
      <c r="BJ1151" s="5" t="s">
        <v>253</v>
      </c>
      <c r="BK1151" s="5" t="s">
        <v>254</v>
      </c>
      <c r="BY1151" s="5" t="s">
        <v>238</v>
      </c>
      <c r="BZ1151" s="5" t="s">
        <v>238</v>
      </c>
      <c r="CD1151" s="5" t="s">
        <v>273</v>
      </c>
      <c r="CE1151" s="5" t="s">
        <v>256</v>
      </c>
      <c r="CF1151" s="5" t="s">
        <v>238</v>
      </c>
      <c r="CI1151" s="6" t="s">
        <v>257</v>
      </c>
      <c r="CJ1151" s="5" t="s">
        <v>238</v>
      </c>
      <c r="CK1151" s="5" t="s">
        <v>258</v>
      </c>
      <c r="CL1151" s="5" t="s">
        <v>238</v>
      </c>
      <c r="CM1151" s="5" t="s">
        <v>238</v>
      </c>
      <c r="CN1151" s="5">
        <v>0</v>
      </c>
      <c r="CO1151" s="5" t="s">
        <v>259</v>
      </c>
      <c r="CP1151" s="5" t="s">
        <v>260</v>
      </c>
      <c r="CQ1151" s="5" t="s">
        <v>260</v>
      </c>
      <c r="CR1151" s="5" t="s">
        <v>261</v>
      </c>
      <c r="CU1151" s="8">
        <f>1</f>
        <v>1</v>
      </c>
      <c r="CV1151" s="8">
        <f>0</f>
        <v>0</v>
      </c>
      <c r="CX1151" s="8">
        <f>0</f>
        <v>0</v>
      </c>
      <c r="CY1151" s="8">
        <f>1</f>
        <v>1</v>
      </c>
      <c r="DA1151" s="5" t="s">
        <v>673</v>
      </c>
      <c r="DB1151" s="5" t="s">
        <v>238</v>
      </c>
      <c r="DD1151" s="5" t="s">
        <v>673</v>
      </c>
      <c r="DE1151" s="8">
        <f>3403</f>
        <v>3403</v>
      </c>
      <c r="DG1151" s="5" t="s">
        <v>238</v>
      </c>
      <c r="DH1151" s="5" t="s">
        <v>238</v>
      </c>
      <c r="DI1151" s="5" t="s">
        <v>238</v>
      </c>
      <c r="DJ1151" s="5" t="s">
        <v>238</v>
      </c>
      <c r="DN1151" s="5" t="s">
        <v>238</v>
      </c>
      <c r="DO1151" s="5" t="s">
        <v>238</v>
      </c>
      <c r="DP1151" s="5" t="s">
        <v>238</v>
      </c>
      <c r="DQ1151" s="5" t="s">
        <v>238</v>
      </c>
      <c r="DT1151" s="5" t="s">
        <v>2039</v>
      </c>
      <c r="DU1151" s="5" t="s">
        <v>350</v>
      </c>
      <c r="HM1151" s="5" t="s">
        <v>264</v>
      </c>
    </row>
    <row r="1152" spans="1:221" x14ac:dyDescent="0.4">
      <c r="A1152" s="5">
        <v>2827</v>
      </c>
      <c r="B1152" s="5">
        <v>1</v>
      </c>
      <c r="C1152" s="5">
        <v>1</v>
      </c>
      <c r="D1152" s="5" t="s">
        <v>2037</v>
      </c>
      <c r="E1152" s="5" t="s">
        <v>271</v>
      </c>
      <c r="F1152" s="5" t="s">
        <v>248</v>
      </c>
      <c r="G1152" s="5" t="s">
        <v>1969</v>
      </c>
      <c r="H1152" s="6" t="s">
        <v>2952</v>
      </c>
      <c r="I1152" s="7">
        <f>399</f>
        <v>399</v>
      </c>
      <c r="J1152" s="5" t="s">
        <v>262</v>
      </c>
      <c r="K1152" s="8">
        <f>1</f>
        <v>1</v>
      </c>
      <c r="L1152" s="6" t="s">
        <v>242</v>
      </c>
      <c r="M1152" s="5" t="s">
        <v>267</v>
      </c>
      <c r="N1152" s="5" t="s">
        <v>265</v>
      </c>
      <c r="O1152" s="5" t="s">
        <v>238</v>
      </c>
      <c r="P1152" s="5" t="s">
        <v>238</v>
      </c>
      <c r="Q1152" s="5" t="s">
        <v>268</v>
      </c>
      <c r="R1152" s="5" t="s">
        <v>270</v>
      </c>
      <c r="S1152" s="5" t="s">
        <v>238</v>
      </c>
      <c r="V1152" s="5" t="s">
        <v>238</v>
      </c>
      <c r="X1152" s="6" t="s">
        <v>238</v>
      </c>
      <c r="AA1152" s="6" t="s">
        <v>243</v>
      </c>
      <c r="AB1152" s="5" t="s">
        <v>238</v>
      </c>
      <c r="AC1152" s="5" t="s">
        <v>244</v>
      </c>
      <c r="AD1152" s="5" t="s">
        <v>245</v>
      </c>
      <c r="AT1152" s="5" t="s">
        <v>246</v>
      </c>
      <c r="AU1152" s="5" t="s">
        <v>238</v>
      </c>
      <c r="AV1152" s="5" t="s">
        <v>247</v>
      </c>
      <c r="AW1152" s="5" t="s">
        <v>238</v>
      </c>
      <c r="AX1152" s="5" t="s">
        <v>249</v>
      </c>
      <c r="AY1152" s="5" t="s">
        <v>238</v>
      </c>
      <c r="BA1152" s="5" t="s">
        <v>238</v>
      </c>
      <c r="BC1152" s="5" t="s">
        <v>250</v>
      </c>
      <c r="BD1152" s="6" t="s">
        <v>243</v>
      </c>
      <c r="BE1152" s="5" t="s">
        <v>251</v>
      </c>
      <c r="BF1152" s="5" t="s">
        <v>252</v>
      </c>
      <c r="BG1152" s="5" t="s">
        <v>238</v>
      </c>
      <c r="BH1152" s="7">
        <f>0</f>
        <v>0</v>
      </c>
      <c r="BI1152" s="8">
        <f>0</f>
        <v>0</v>
      </c>
      <c r="BJ1152" s="5" t="s">
        <v>253</v>
      </c>
      <c r="BK1152" s="5" t="s">
        <v>254</v>
      </c>
      <c r="BY1152" s="5" t="s">
        <v>238</v>
      </c>
      <c r="BZ1152" s="5" t="s">
        <v>238</v>
      </c>
      <c r="CD1152" s="5" t="s">
        <v>273</v>
      </c>
      <c r="CE1152" s="5" t="s">
        <v>256</v>
      </c>
      <c r="CF1152" s="5" t="s">
        <v>238</v>
      </c>
      <c r="CI1152" s="6" t="s">
        <v>257</v>
      </c>
      <c r="CJ1152" s="5" t="s">
        <v>238</v>
      </c>
      <c r="CK1152" s="5" t="s">
        <v>258</v>
      </c>
      <c r="CL1152" s="5" t="s">
        <v>238</v>
      </c>
      <c r="CM1152" s="5" t="s">
        <v>238</v>
      </c>
      <c r="CN1152" s="5">
        <v>0</v>
      </c>
      <c r="CO1152" s="5" t="s">
        <v>259</v>
      </c>
      <c r="CP1152" s="5" t="s">
        <v>260</v>
      </c>
      <c r="CQ1152" s="5" t="s">
        <v>260</v>
      </c>
      <c r="CR1152" s="5" t="s">
        <v>261</v>
      </c>
      <c r="CU1152" s="8">
        <f>1</f>
        <v>1</v>
      </c>
      <c r="CV1152" s="8">
        <f>0</f>
        <v>0</v>
      </c>
      <c r="CX1152" s="8">
        <f>0</f>
        <v>0</v>
      </c>
      <c r="CY1152" s="8">
        <f>1</f>
        <v>1</v>
      </c>
      <c r="DA1152" s="5" t="s">
        <v>673</v>
      </c>
      <c r="DB1152" s="5" t="s">
        <v>238</v>
      </c>
      <c r="DD1152" s="5" t="s">
        <v>673</v>
      </c>
      <c r="DE1152" s="8">
        <f>399</f>
        <v>399</v>
      </c>
      <c r="DG1152" s="5" t="s">
        <v>238</v>
      </c>
      <c r="DH1152" s="5" t="s">
        <v>238</v>
      </c>
      <c r="DI1152" s="5" t="s">
        <v>238</v>
      </c>
      <c r="DJ1152" s="5" t="s">
        <v>238</v>
      </c>
      <c r="DN1152" s="5" t="s">
        <v>238</v>
      </c>
      <c r="DO1152" s="5" t="s">
        <v>238</v>
      </c>
      <c r="DP1152" s="5" t="s">
        <v>238</v>
      </c>
      <c r="DQ1152" s="5" t="s">
        <v>238</v>
      </c>
      <c r="DT1152" s="5" t="s">
        <v>2039</v>
      </c>
      <c r="DU1152" s="5" t="s">
        <v>1962</v>
      </c>
      <c r="HM1152" s="5" t="s">
        <v>264</v>
      </c>
    </row>
    <row r="1153" spans="1:221" x14ac:dyDescent="0.4">
      <c r="A1153" s="5">
        <v>2828</v>
      </c>
      <c r="B1153" s="5">
        <v>1</v>
      </c>
      <c r="C1153" s="5">
        <v>1</v>
      </c>
      <c r="D1153" s="5" t="s">
        <v>2037</v>
      </c>
      <c r="E1153" s="5" t="s">
        <v>271</v>
      </c>
      <c r="F1153" s="5" t="s">
        <v>248</v>
      </c>
      <c r="G1153" s="5" t="s">
        <v>1969</v>
      </c>
      <c r="H1153" s="6" t="s">
        <v>2950</v>
      </c>
      <c r="I1153" s="7">
        <f>2997</f>
        <v>2997</v>
      </c>
      <c r="J1153" s="5" t="s">
        <v>262</v>
      </c>
      <c r="K1153" s="8">
        <f>1</f>
        <v>1</v>
      </c>
      <c r="L1153" s="6" t="s">
        <v>242</v>
      </c>
      <c r="M1153" s="5" t="s">
        <v>267</v>
      </c>
      <c r="N1153" s="5" t="s">
        <v>265</v>
      </c>
      <c r="O1153" s="5" t="s">
        <v>238</v>
      </c>
      <c r="P1153" s="5" t="s">
        <v>238</v>
      </c>
      <c r="Q1153" s="5" t="s">
        <v>268</v>
      </c>
      <c r="R1153" s="5" t="s">
        <v>270</v>
      </c>
      <c r="S1153" s="5" t="s">
        <v>238</v>
      </c>
      <c r="V1153" s="5" t="s">
        <v>238</v>
      </c>
      <c r="X1153" s="6" t="s">
        <v>238</v>
      </c>
      <c r="AA1153" s="6" t="s">
        <v>243</v>
      </c>
      <c r="AB1153" s="5" t="s">
        <v>238</v>
      </c>
      <c r="AC1153" s="5" t="s">
        <v>244</v>
      </c>
      <c r="AD1153" s="5" t="s">
        <v>245</v>
      </c>
      <c r="AT1153" s="5" t="s">
        <v>246</v>
      </c>
      <c r="AU1153" s="5" t="s">
        <v>238</v>
      </c>
      <c r="AV1153" s="5" t="s">
        <v>247</v>
      </c>
      <c r="AW1153" s="5" t="s">
        <v>238</v>
      </c>
      <c r="AX1153" s="5" t="s">
        <v>249</v>
      </c>
      <c r="AY1153" s="5" t="s">
        <v>238</v>
      </c>
      <c r="BA1153" s="5" t="s">
        <v>238</v>
      </c>
      <c r="BC1153" s="5" t="s">
        <v>250</v>
      </c>
      <c r="BD1153" s="6" t="s">
        <v>243</v>
      </c>
      <c r="BE1153" s="5" t="s">
        <v>251</v>
      </c>
      <c r="BF1153" s="5" t="s">
        <v>252</v>
      </c>
      <c r="BG1153" s="5" t="s">
        <v>238</v>
      </c>
      <c r="BH1153" s="7">
        <f>0</f>
        <v>0</v>
      </c>
      <c r="BI1153" s="8">
        <f>0</f>
        <v>0</v>
      </c>
      <c r="BJ1153" s="5" t="s">
        <v>253</v>
      </c>
      <c r="BK1153" s="5" t="s">
        <v>254</v>
      </c>
      <c r="BY1153" s="5" t="s">
        <v>238</v>
      </c>
      <c r="BZ1153" s="5" t="s">
        <v>238</v>
      </c>
      <c r="CD1153" s="5" t="s">
        <v>273</v>
      </c>
      <c r="CE1153" s="5" t="s">
        <v>256</v>
      </c>
      <c r="CF1153" s="5" t="s">
        <v>238</v>
      </c>
      <c r="CI1153" s="6" t="s">
        <v>257</v>
      </c>
      <c r="CJ1153" s="5" t="s">
        <v>238</v>
      </c>
      <c r="CK1153" s="5" t="s">
        <v>258</v>
      </c>
      <c r="CL1153" s="5" t="s">
        <v>238</v>
      </c>
      <c r="CM1153" s="5" t="s">
        <v>238</v>
      </c>
      <c r="CN1153" s="5">
        <v>0</v>
      </c>
      <c r="CO1153" s="5" t="s">
        <v>259</v>
      </c>
      <c r="CP1153" s="5" t="s">
        <v>260</v>
      </c>
      <c r="CQ1153" s="5" t="s">
        <v>260</v>
      </c>
      <c r="CR1153" s="5" t="s">
        <v>261</v>
      </c>
      <c r="CU1153" s="8">
        <f>1</f>
        <v>1</v>
      </c>
      <c r="CV1153" s="8">
        <f>0</f>
        <v>0</v>
      </c>
      <c r="CX1153" s="8">
        <f>0</f>
        <v>0</v>
      </c>
      <c r="CY1153" s="8">
        <f>1</f>
        <v>1</v>
      </c>
      <c r="DA1153" s="5" t="s">
        <v>673</v>
      </c>
      <c r="DB1153" s="5" t="s">
        <v>238</v>
      </c>
      <c r="DD1153" s="5" t="s">
        <v>673</v>
      </c>
      <c r="DE1153" s="8">
        <f>2997</f>
        <v>2997</v>
      </c>
      <c r="DG1153" s="5" t="s">
        <v>238</v>
      </c>
      <c r="DH1153" s="5" t="s">
        <v>238</v>
      </c>
      <c r="DI1153" s="5" t="s">
        <v>238</v>
      </c>
      <c r="DJ1153" s="5" t="s">
        <v>238</v>
      </c>
      <c r="DN1153" s="5" t="s">
        <v>238</v>
      </c>
      <c r="DO1153" s="5" t="s">
        <v>238</v>
      </c>
      <c r="DP1153" s="5" t="s">
        <v>238</v>
      </c>
      <c r="DQ1153" s="5" t="s">
        <v>238</v>
      </c>
      <c r="DT1153" s="5" t="s">
        <v>2039</v>
      </c>
      <c r="DU1153" s="5" t="s">
        <v>2951</v>
      </c>
      <c r="HM1153" s="5" t="s">
        <v>264</v>
      </c>
    </row>
    <row r="1154" spans="1:221" x14ac:dyDescent="0.4">
      <c r="A1154" s="5">
        <v>2829</v>
      </c>
      <c r="B1154" s="5">
        <v>1</v>
      </c>
      <c r="C1154" s="5">
        <v>1</v>
      </c>
      <c r="D1154" s="5" t="s">
        <v>2037</v>
      </c>
      <c r="E1154" s="5" t="s">
        <v>271</v>
      </c>
      <c r="F1154" s="5" t="s">
        <v>248</v>
      </c>
      <c r="G1154" s="5" t="s">
        <v>1969</v>
      </c>
      <c r="H1154" s="6" t="s">
        <v>2949</v>
      </c>
      <c r="I1154" s="7">
        <f>585</f>
        <v>585</v>
      </c>
      <c r="J1154" s="5" t="s">
        <v>262</v>
      </c>
      <c r="K1154" s="8">
        <f>1</f>
        <v>1</v>
      </c>
      <c r="L1154" s="6" t="s">
        <v>242</v>
      </c>
      <c r="M1154" s="5" t="s">
        <v>267</v>
      </c>
      <c r="N1154" s="5" t="s">
        <v>265</v>
      </c>
      <c r="O1154" s="5" t="s">
        <v>238</v>
      </c>
      <c r="P1154" s="5" t="s">
        <v>238</v>
      </c>
      <c r="Q1154" s="5" t="s">
        <v>268</v>
      </c>
      <c r="R1154" s="5" t="s">
        <v>270</v>
      </c>
      <c r="S1154" s="5" t="s">
        <v>238</v>
      </c>
      <c r="V1154" s="5" t="s">
        <v>238</v>
      </c>
      <c r="X1154" s="6" t="s">
        <v>238</v>
      </c>
      <c r="AA1154" s="6" t="s">
        <v>243</v>
      </c>
      <c r="AB1154" s="5" t="s">
        <v>238</v>
      </c>
      <c r="AC1154" s="5" t="s">
        <v>244</v>
      </c>
      <c r="AD1154" s="5" t="s">
        <v>245</v>
      </c>
      <c r="AT1154" s="5" t="s">
        <v>246</v>
      </c>
      <c r="AU1154" s="5" t="s">
        <v>238</v>
      </c>
      <c r="AV1154" s="5" t="s">
        <v>247</v>
      </c>
      <c r="AW1154" s="5" t="s">
        <v>238</v>
      </c>
      <c r="AX1154" s="5" t="s">
        <v>249</v>
      </c>
      <c r="AY1154" s="5" t="s">
        <v>238</v>
      </c>
      <c r="BA1154" s="5" t="s">
        <v>238</v>
      </c>
      <c r="BC1154" s="5" t="s">
        <v>250</v>
      </c>
      <c r="BD1154" s="6" t="s">
        <v>243</v>
      </c>
      <c r="BE1154" s="5" t="s">
        <v>251</v>
      </c>
      <c r="BF1154" s="5" t="s">
        <v>252</v>
      </c>
      <c r="BG1154" s="5" t="s">
        <v>238</v>
      </c>
      <c r="BH1154" s="7">
        <f>0</f>
        <v>0</v>
      </c>
      <c r="BI1154" s="8">
        <f>0</f>
        <v>0</v>
      </c>
      <c r="BJ1154" s="5" t="s">
        <v>253</v>
      </c>
      <c r="BK1154" s="5" t="s">
        <v>254</v>
      </c>
      <c r="BY1154" s="5" t="s">
        <v>238</v>
      </c>
      <c r="BZ1154" s="5" t="s">
        <v>238</v>
      </c>
      <c r="CD1154" s="5" t="s">
        <v>273</v>
      </c>
      <c r="CE1154" s="5" t="s">
        <v>256</v>
      </c>
      <c r="CF1154" s="5" t="s">
        <v>238</v>
      </c>
      <c r="CI1154" s="6" t="s">
        <v>257</v>
      </c>
      <c r="CJ1154" s="5" t="s">
        <v>238</v>
      </c>
      <c r="CK1154" s="5" t="s">
        <v>258</v>
      </c>
      <c r="CL1154" s="5" t="s">
        <v>238</v>
      </c>
      <c r="CM1154" s="5" t="s">
        <v>238</v>
      </c>
      <c r="CN1154" s="5">
        <v>0</v>
      </c>
      <c r="CO1154" s="5" t="s">
        <v>259</v>
      </c>
      <c r="CP1154" s="5" t="s">
        <v>260</v>
      </c>
      <c r="CQ1154" s="5" t="s">
        <v>260</v>
      </c>
      <c r="CR1154" s="5" t="s">
        <v>261</v>
      </c>
      <c r="CU1154" s="8">
        <f>1</f>
        <v>1</v>
      </c>
      <c r="CV1154" s="8">
        <f>0</f>
        <v>0</v>
      </c>
      <c r="CX1154" s="8">
        <f>0</f>
        <v>0</v>
      </c>
      <c r="CY1154" s="8">
        <f>1</f>
        <v>1</v>
      </c>
      <c r="DA1154" s="5" t="s">
        <v>673</v>
      </c>
      <c r="DB1154" s="5" t="s">
        <v>238</v>
      </c>
      <c r="DD1154" s="5" t="s">
        <v>673</v>
      </c>
      <c r="DE1154" s="8">
        <f>585</f>
        <v>585</v>
      </c>
      <c r="DG1154" s="5" t="s">
        <v>238</v>
      </c>
      <c r="DH1154" s="5" t="s">
        <v>238</v>
      </c>
      <c r="DI1154" s="5" t="s">
        <v>238</v>
      </c>
      <c r="DJ1154" s="5" t="s">
        <v>238</v>
      </c>
      <c r="DN1154" s="5" t="s">
        <v>238</v>
      </c>
      <c r="DO1154" s="5" t="s">
        <v>238</v>
      </c>
      <c r="DP1154" s="5" t="s">
        <v>238</v>
      </c>
      <c r="DQ1154" s="5" t="s">
        <v>238</v>
      </c>
      <c r="DT1154" s="5" t="s">
        <v>2039</v>
      </c>
      <c r="DU1154" s="5" t="s">
        <v>829</v>
      </c>
      <c r="HM1154" s="5" t="s">
        <v>264</v>
      </c>
    </row>
    <row r="1155" spans="1:221" x14ac:dyDescent="0.4">
      <c r="A1155" s="5">
        <v>2830</v>
      </c>
      <c r="B1155" s="5">
        <v>1</v>
      </c>
      <c r="C1155" s="5">
        <v>1</v>
      </c>
      <c r="D1155" s="5" t="s">
        <v>2037</v>
      </c>
      <c r="E1155" s="5" t="s">
        <v>271</v>
      </c>
      <c r="F1155" s="5" t="s">
        <v>248</v>
      </c>
      <c r="G1155" s="5" t="s">
        <v>1969</v>
      </c>
      <c r="H1155" s="6" t="s">
        <v>2947</v>
      </c>
      <c r="I1155" s="7">
        <f>2906</f>
        <v>2906</v>
      </c>
      <c r="J1155" s="5" t="s">
        <v>262</v>
      </c>
      <c r="K1155" s="8">
        <f>1</f>
        <v>1</v>
      </c>
      <c r="L1155" s="6" t="s">
        <v>242</v>
      </c>
      <c r="M1155" s="5" t="s">
        <v>267</v>
      </c>
      <c r="N1155" s="5" t="s">
        <v>265</v>
      </c>
      <c r="O1155" s="5" t="s">
        <v>238</v>
      </c>
      <c r="P1155" s="5" t="s">
        <v>238</v>
      </c>
      <c r="Q1155" s="5" t="s">
        <v>268</v>
      </c>
      <c r="R1155" s="5" t="s">
        <v>270</v>
      </c>
      <c r="S1155" s="5" t="s">
        <v>238</v>
      </c>
      <c r="V1155" s="5" t="s">
        <v>238</v>
      </c>
      <c r="X1155" s="6" t="s">
        <v>238</v>
      </c>
      <c r="AA1155" s="6" t="s">
        <v>243</v>
      </c>
      <c r="AB1155" s="5" t="s">
        <v>238</v>
      </c>
      <c r="AC1155" s="5" t="s">
        <v>244</v>
      </c>
      <c r="AD1155" s="5" t="s">
        <v>245</v>
      </c>
      <c r="AT1155" s="5" t="s">
        <v>246</v>
      </c>
      <c r="AU1155" s="5" t="s">
        <v>238</v>
      </c>
      <c r="AV1155" s="5" t="s">
        <v>247</v>
      </c>
      <c r="AW1155" s="5" t="s">
        <v>238</v>
      </c>
      <c r="AX1155" s="5" t="s">
        <v>249</v>
      </c>
      <c r="AY1155" s="5" t="s">
        <v>238</v>
      </c>
      <c r="BA1155" s="5" t="s">
        <v>238</v>
      </c>
      <c r="BC1155" s="5" t="s">
        <v>250</v>
      </c>
      <c r="BD1155" s="6" t="s">
        <v>243</v>
      </c>
      <c r="BE1155" s="5" t="s">
        <v>251</v>
      </c>
      <c r="BF1155" s="5" t="s">
        <v>252</v>
      </c>
      <c r="BG1155" s="5" t="s">
        <v>238</v>
      </c>
      <c r="BH1155" s="7">
        <f>0</f>
        <v>0</v>
      </c>
      <c r="BI1155" s="8">
        <f>0</f>
        <v>0</v>
      </c>
      <c r="BJ1155" s="5" t="s">
        <v>253</v>
      </c>
      <c r="BK1155" s="5" t="s">
        <v>254</v>
      </c>
      <c r="BY1155" s="5" t="s">
        <v>238</v>
      </c>
      <c r="BZ1155" s="5" t="s">
        <v>238</v>
      </c>
      <c r="CD1155" s="5" t="s">
        <v>273</v>
      </c>
      <c r="CE1155" s="5" t="s">
        <v>256</v>
      </c>
      <c r="CF1155" s="5" t="s">
        <v>238</v>
      </c>
      <c r="CI1155" s="6" t="s">
        <v>257</v>
      </c>
      <c r="CJ1155" s="5" t="s">
        <v>238</v>
      </c>
      <c r="CK1155" s="5" t="s">
        <v>258</v>
      </c>
      <c r="CL1155" s="5" t="s">
        <v>238</v>
      </c>
      <c r="CM1155" s="5" t="s">
        <v>238</v>
      </c>
      <c r="CN1155" s="5">
        <v>0</v>
      </c>
      <c r="CO1155" s="5" t="s">
        <v>259</v>
      </c>
      <c r="CP1155" s="5" t="s">
        <v>260</v>
      </c>
      <c r="CQ1155" s="5" t="s">
        <v>260</v>
      </c>
      <c r="CR1155" s="5" t="s">
        <v>261</v>
      </c>
      <c r="CU1155" s="8">
        <f>1</f>
        <v>1</v>
      </c>
      <c r="CV1155" s="8">
        <f>0</f>
        <v>0</v>
      </c>
      <c r="CX1155" s="8">
        <f>0</f>
        <v>0</v>
      </c>
      <c r="CY1155" s="8">
        <f>1</f>
        <v>1</v>
      </c>
      <c r="DA1155" s="5" t="s">
        <v>673</v>
      </c>
      <c r="DB1155" s="5" t="s">
        <v>238</v>
      </c>
      <c r="DD1155" s="5" t="s">
        <v>673</v>
      </c>
      <c r="DE1155" s="8">
        <f>2906</f>
        <v>2906</v>
      </c>
      <c r="DG1155" s="5" t="s">
        <v>238</v>
      </c>
      <c r="DH1155" s="5" t="s">
        <v>238</v>
      </c>
      <c r="DI1155" s="5" t="s">
        <v>238</v>
      </c>
      <c r="DJ1155" s="5" t="s">
        <v>238</v>
      </c>
      <c r="DN1155" s="5" t="s">
        <v>238</v>
      </c>
      <c r="DO1155" s="5" t="s">
        <v>238</v>
      </c>
      <c r="DP1155" s="5" t="s">
        <v>238</v>
      </c>
      <c r="DQ1155" s="5" t="s">
        <v>238</v>
      </c>
      <c r="DT1155" s="5" t="s">
        <v>2039</v>
      </c>
      <c r="DU1155" s="5" t="s">
        <v>2948</v>
      </c>
      <c r="HM1155" s="5" t="s">
        <v>264</v>
      </c>
    </row>
    <row r="1156" spans="1:221" x14ac:dyDescent="0.4">
      <c r="A1156" s="5">
        <v>2831</v>
      </c>
      <c r="B1156" s="5">
        <v>1</v>
      </c>
      <c r="C1156" s="5">
        <v>1</v>
      </c>
      <c r="D1156" s="5" t="s">
        <v>2037</v>
      </c>
      <c r="E1156" s="5" t="s">
        <v>271</v>
      </c>
      <c r="F1156" s="5" t="s">
        <v>248</v>
      </c>
      <c r="G1156" s="5" t="s">
        <v>1969</v>
      </c>
      <c r="H1156" s="6" t="s">
        <v>2945</v>
      </c>
      <c r="I1156" s="7">
        <f>1448</f>
        <v>1448</v>
      </c>
      <c r="J1156" s="5" t="s">
        <v>262</v>
      </c>
      <c r="K1156" s="8">
        <f>1</f>
        <v>1</v>
      </c>
      <c r="L1156" s="6" t="s">
        <v>242</v>
      </c>
      <c r="M1156" s="5" t="s">
        <v>267</v>
      </c>
      <c r="N1156" s="5" t="s">
        <v>265</v>
      </c>
      <c r="O1156" s="5" t="s">
        <v>238</v>
      </c>
      <c r="P1156" s="5" t="s">
        <v>238</v>
      </c>
      <c r="Q1156" s="5" t="s">
        <v>268</v>
      </c>
      <c r="R1156" s="5" t="s">
        <v>270</v>
      </c>
      <c r="S1156" s="5" t="s">
        <v>238</v>
      </c>
      <c r="V1156" s="5" t="s">
        <v>238</v>
      </c>
      <c r="X1156" s="6" t="s">
        <v>238</v>
      </c>
      <c r="AA1156" s="6" t="s">
        <v>243</v>
      </c>
      <c r="AB1156" s="5" t="s">
        <v>238</v>
      </c>
      <c r="AC1156" s="5" t="s">
        <v>244</v>
      </c>
      <c r="AD1156" s="5" t="s">
        <v>245</v>
      </c>
      <c r="AT1156" s="5" t="s">
        <v>246</v>
      </c>
      <c r="AU1156" s="5" t="s">
        <v>238</v>
      </c>
      <c r="AV1156" s="5" t="s">
        <v>247</v>
      </c>
      <c r="AW1156" s="5" t="s">
        <v>238</v>
      </c>
      <c r="AX1156" s="5" t="s">
        <v>249</v>
      </c>
      <c r="AY1156" s="5" t="s">
        <v>238</v>
      </c>
      <c r="BA1156" s="5" t="s">
        <v>238</v>
      </c>
      <c r="BC1156" s="5" t="s">
        <v>250</v>
      </c>
      <c r="BD1156" s="6" t="s">
        <v>243</v>
      </c>
      <c r="BE1156" s="5" t="s">
        <v>251</v>
      </c>
      <c r="BF1156" s="5" t="s">
        <v>252</v>
      </c>
      <c r="BG1156" s="5" t="s">
        <v>238</v>
      </c>
      <c r="BH1156" s="7">
        <f>0</f>
        <v>0</v>
      </c>
      <c r="BI1156" s="8">
        <f>0</f>
        <v>0</v>
      </c>
      <c r="BJ1156" s="5" t="s">
        <v>253</v>
      </c>
      <c r="BK1156" s="5" t="s">
        <v>254</v>
      </c>
      <c r="BY1156" s="5" t="s">
        <v>238</v>
      </c>
      <c r="BZ1156" s="5" t="s">
        <v>238</v>
      </c>
      <c r="CD1156" s="5" t="s">
        <v>273</v>
      </c>
      <c r="CE1156" s="5" t="s">
        <v>256</v>
      </c>
      <c r="CF1156" s="5" t="s">
        <v>238</v>
      </c>
      <c r="CI1156" s="6" t="s">
        <v>257</v>
      </c>
      <c r="CJ1156" s="5" t="s">
        <v>238</v>
      </c>
      <c r="CK1156" s="5" t="s">
        <v>258</v>
      </c>
      <c r="CL1156" s="5" t="s">
        <v>238</v>
      </c>
      <c r="CM1156" s="5" t="s">
        <v>238</v>
      </c>
      <c r="CN1156" s="5">
        <v>0</v>
      </c>
      <c r="CO1156" s="5" t="s">
        <v>259</v>
      </c>
      <c r="CP1156" s="5" t="s">
        <v>260</v>
      </c>
      <c r="CQ1156" s="5" t="s">
        <v>260</v>
      </c>
      <c r="CR1156" s="5" t="s">
        <v>261</v>
      </c>
      <c r="CU1156" s="8">
        <f>1</f>
        <v>1</v>
      </c>
      <c r="CV1156" s="8">
        <f>0</f>
        <v>0</v>
      </c>
      <c r="CX1156" s="8">
        <f>0</f>
        <v>0</v>
      </c>
      <c r="CY1156" s="8">
        <f>1</f>
        <v>1</v>
      </c>
      <c r="DA1156" s="5" t="s">
        <v>673</v>
      </c>
      <c r="DB1156" s="5" t="s">
        <v>238</v>
      </c>
      <c r="DD1156" s="5" t="s">
        <v>673</v>
      </c>
      <c r="DE1156" s="8">
        <f>1448</f>
        <v>1448</v>
      </c>
      <c r="DG1156" s="5" t="s">
        <v>238</v>
      </c>
      <c r="DH1156" s="5" t="s">
        <v>238</v>
      </c>
      <c r="DI1156" s="5" t="s">
        <v>238</v>
      </c>
      <c r="DJ1156" s="5" t="s">
        <v>238</v>
      </c>
      <c r="DN1156" s="5" t="s">
        <v>238</v>
      </c>
      <c r="DO1156" s="5" t="s">
        <v>238</v>
      </c>
      <c r="DP1156" s="5" t="s">
        <v>238</v>
      </c>
      <c r="DQ1156" s="5" t="s">
        <v>238</v>
      </c>
      <c r="DT1156" s="5" t="s">
        <v>2039</v>
      </c>
      <c r="DU1156" s="5" t="s">
        <v>2946</v>
      </c>
      <c r="HM1156" s="5" t="s">
        <v>264</v>
      </c>
    </row>
    <row r="1157" spans="1:221" x14ac:dyDescent="0.4">
      <c r="A1157" s="5">
        <v>2832</v>
      </c>
      <c r="B1157" s="5">
        <v>1</v>
      </c>
      <c r="C1157" s="5">
        <v>1</v>
      </c>
      <c r="D1157" s="5" t="s">
        <v>2037</v>
      </c>
      <c r="E1157" s="5" t="s">
        <v>271</v>
      </c>
      <c r="F1157" s="5" t="s">
        <v>248</v>
      </c>
      <c r="G1157" s="5" t="s">
        <v>1969</v>
      </c>
      <c r="H1157" s="6" t="s">
        <v>2943</v>
      </c>
      <c r="I1157" s="7">
        <f>899</f>
        <v>899</v>
      </c>
      <c r="J1157" s="5" t="s">
        <v>262</v>
      </c>
      <c r="K1157" s="8">
        <f>1</f>
        <v>1</v>
      </c>
      <c r="L1157" s="6" t="s">
        <v>242</v>
      </c>
      <c r="M1157" s="5" t="s">
        <v>267</v>
      </c>
      <c r="N1157" s="5" t="s">
        <v>265</v>
      </c>
      <c r="O1157" s="5" t="s">
        <v>238</v>
      </c>
      <c r="P1157" s="5" t="s">
        <v>238</v>
      </c>
      <c r="Q1157" s="5" t="s">
        <v>268</v>
      </c>
      <c r="R1157" s="5" t="s">
        <v>270</v>
      </c>
      <c r="S1157" s="5" t="s">
        <v>238</v>
      </c>
      <c r="V1157" s="5" t="s">
        <v>238</v>
      </c>
      <c r="X1157" s="6" t="s">
        <v>238</v>
      </c>
      <c r="AA1157" s="6" t="s">
        <v>243</v>
      </c>
      <c r="AB1157" s="5" t="s">
        <v>238</v>
      </c>
      <c r="AC1157" s="5" t="s">
        <v>244</v>
      </c>
      <c r="AD1157" s="5" t="s">
        <v>245</v>
      </c>
      <c r="AT1157" s="5" t="s">
        <v>246</v>
      </c>
      <c r="AU1157" s="5" t="s">
        <v>238</v>
      </c>
      <c r="AV1157" s="5" t="s">
        <v>247</v>
      </c>
      <c r="AW1157" s="5" t="s">
        <v>238</v>
      </c>
      <c r="AX1157" s="5" t="s">
        <v>249</v>
      </c>
      <c r="AY1157" s="5" t="s">
        <v>238</v>
      </c>
      <c r="BA1157" s="5" t="s">
        <v>238</v>
      </c>
      <c r="BC1157" s="5" t="s">
        <v>250</v>
      </c>
      <c r="BD1157" s="6" t="s">
        <v>243</v>
      </c>
      <c r="BE1157" s="5" t="s">
        <v>251</v>
      </c>
      <c r="BF1157" s="5" t="s">
        <v>252</v>
      </c>
      <c r="BG1157" s="5" t="s">
        <v>238</v>
      </c>
      <c r="BH1157" s="7">
        <f>0</f>
        <v>0</v>
      </c>
      <c r="BI1157" s="8">
        <f>0</f>
        <v>0</v>
      </c>
      <c r="BJ1157" s="5" t="s">
        <v>253</v>
      </c>
      <c r="BK1157" s="5" t="s">
        <v>254</v>
      </c>
      <c r="BY1157" s="5" t="s">
        <v>238</v>
      </c>
      <c r="BZ1157" s="5" t="s">
        <v>238</v>
      </c>
      <c r="CD1157" s="5" t="s">
        <v>273</v>
      </c>
      <c r="CE1157" s="5" t="s">
        <v>256</v>
      </c>
      <c r="CF1157" s="5" t="s">
        <v>238</v>
      </c>
      <c r="CI1157" s="6" t="s">
        <v>257</v>
      </c>
      <c r="CJ1157" s="5" t="s">
        <v>238</v>
      </c>
      <c r="CK1157" s="5" t="s">
        <v>258</v>
      </c>
      <c r="CL1157" s="5" t="s">
        <v>238</v>
      </c>
      <c r="CM1157" s="5" t="s">
        <v>238</v>
      </c>
      <c r="CN1157" s="5">
        <v>0</v>
      </c>
      <c r="CO1157" s="5" t="s">
        <v>259</v>
      </c>
      <c r="CP1157" s="5" t="s">
        <v>260</v>
      </c>
      <c r="CQ1157" s="5" t="s">
        <v>260</v>
      </c>
      <c r="CR1157" s="5" t="s">
        <v>261</v>
      </c>
      <c r="CU1157" s="8">
        <f>1</f>
        <v>1</v>
      </c>
      <c r="CV1157" s="8">
        <f>0</f>
        <v>0</v>
      </c>
      <c r="CX1157" s="8">
        <f>0</f>
        <v>0</v>
      </c>
      <c r="CY1157" s="8">
        <f>1</f>
        <v>1</v>
      </c>
      <c r="DA1157" s="5" t="s">
        <v>673</v>
      </c>
      <c r="DB1157" s="5" t="s">
        <v>238</v>
      </c>
      <c r="DD1157" s="5" t="s">
        <v>673</v>
      </c>
      <c r="DE1157" s="8">
        <f>899</f>
        <v>899</v>
      </c>
      <c r="DG1157" s="5" t="s">
        <v>238</v>
      </c>
      <c r="DH1157" s="5" t="s">
        <v>238</v>
      </c>
      <c r="DI1157" s="5" t="s">
        <v>238</v>
      </c>
      <c r="DJ1157" s="5" t="s">
        <v>238</v>
      </c>
      <c r="DN1157" s="5" t="s">
        <v>238</v>
      </c>
      <c r="DO1157" s="5" t="s">
        <v>238</v>
      </c>
      <c r="DP1157" s="5" t="s">
        <v>238</v>
      </c>
      <c r="DQ1157" s="5" t="s">
        <v>238</v>
      </c>
      <c r="DT1157" s="5" t="s">
        <v>2039</v>
      </c>
      <c r="DU1157" s="5" t="s">
        <v>827</v>
      </c>
      <c r="HM1157" s="5" t="s">
        <v>264</v>
      </c>
    </row>
    <row r="1158" spans="1:221" x14ac:dyDescent="0.4">
      <c r="A1158" s="5">
        <v>2833</v>
      </c>
      <c r="B1158" s="5">
        <v>1</v>
      </c>
      <c r="C1158" s="5">
        <v>1</v>
      </c>
      <c r="D1158" s="5" t="s">
        <v>2037</v>
      </c>
      <c r="E1158" s="5" t="s">
        <v>271</v>
      </c>
      <c r="F1158" s="5" t="s">
        <v>248</v>
      </c>
      <c r="G1158" s="5" t="s">
        <v>1969</v>
      </c>
      <c r="H1158" s="6" t="s">
        <v>2942</v>
      </c>
      <c r="I1158" s="7">
        <f>4605</f>
        <v>4605</v>
      </c>
      <c r="J1158" s="5" t="s">
        <v>262</v>
      </c>
      <c r="K1158" s="8">
        <f>1</f>
        <v>1</v>
      </c>
      <c r="L1158" s="6" t="s">
        <v>242</v>
      </c>
      <c r="M1158" s="5" t="s">
        <v>267</v>
      </c>
      <c r="N1158" s="5" t="s">
        <v>265</v>
      </c>
      <c r="O1158" s="5" t="s">
        <v>238</v>
      </c>
      <c r="P1158" s="5" t="s">
        <v>238</v>
      </c>
      <c r="Q1158" s="5" t="s">
        <v>268</v>
      </c>
      <c r="R1158" s="5" t="s">
        <v>270</v>
      </c>
      <c r="S1158" s="5" t="s">
        <v>238</v>
      </c>
      <c r="V1158" s="5" t="s">
        <v>238</v>
      </c>
      <c r="X1158" s="6" t="s">
        <v>238</v>
      </c>
      <c r="AA1158" s="6" t="s">
        <v>243</v>
      </c>
      <c r="AB1158" s="5" t="s">
        <v>238</v>
      </c>
      <c r="AC1158" s="5" t="s">
        <v>244</v>
      </c>
      <c r="AD1158" s="5" t="s">
        <v>245</v>
      </c>
      <c r="AT1158" s="5" t="s">
        <v>246</v>
      </c>
      <c r="AU1158" s="5" t="s">
        <v>238</v>
      </c>
      <c r="AV1158" s="5" t="s">
        <v>247</v>
      </c>
      <c r="AW1158" s="5" t="s">
        <v>238</v>
      </c>
      <c r="AX1158" s="5" t="s">
        <v>249</v>
      </c>
      <c r="AY1158" s="5" t="s">
        <v>238</v>
      </c>
      <c r="BA1158" s="5" t="s">
        <v>238</v>
      </c>
      <c r="BC1158" s="5" t="s">
        <v>250</v>
      </c>
      <c r="BD1158" s="6" t="s">
        <v>243</v>
      </c>
      <c r="BE1158" s="5" t="s">
        <v>251</v>
      </c>
      <c r="BF1158" s="5" t="s">
        <v>252</v>
      </c>
      <c r="BG1158" s="5" t="s">
        <v>238</v>
      </c>
      <c r="BH1158" s="7">
        <f>0</f>
        <v>0</v>
      </c>
      <c r="BI1158" s="8">
        <f>0</f>
        <v>0</v>
      </c>
      <c r="BJ1158" s="5" t="s">
        <v>253</v>
      </c>
      <c r="BK1158" s="5" t="s">
        <v>254</v>
      </c>
      <c r="BY1158" s="5" t="s">
        <v>238</v>
      </c>
      <c r="BZ1158" s="5" t="s">
        <v>238</v>
      </c>
      <c r="CD1158" s="5" t="s">
        <v>273</v>
      </c>
      <c r="CE1158" s="5" t="s">
        <v>256</v>
      </c>
      <c r="CF1158" s="5" t="s">
        <v>238</v>
      </c>
      <c r="CI1158" s="6" t="s">
        <v>257</v>
      </c>
      <c r="CJ1158" s="5" t="s">
        <v>238</v>
      </c>
      <c r="CK1158" s="5" t="s">
        <v>258</v>
      </c>
      <c r="CL1158" s="5" t="s">
        <v>238</v>
      </c>
      <c r="CM1158" s="5" t="s">
        <v>238</v>
      </c>
      <c r="CN1158" s="5">
        <v>0</v>
      </c>
      <c r="CO1158" s="5" t="s">
        <v>259</v>
      </c>
      <c r="CP1158" s="5" t="s">
        <v>260</v>
      </c>
      <c r="CQ1158" s="5" t="s">
        <v>260</v>
      </c>
      <c r="CR1158" s="5" t="s">
        <v>261</v>
      </c>
      <c r="CU1158" s="8">
        <f>1</f>
        <v>1</v>
      </c>
      <c r="CV1158" s="8">
        <f>0</f>
        <v>0</v>
      </c>
      <c r="CX1158" s="8">
        <f>0</f>
        <v>0</v>
      </c>
      <c r="CY1158" s="8">
        <f>1</f>
        <v>1</v>
      </c>
      <c r="DA1158" s="5" t="s">
        <v>673</v>
      </c>
      <c r="DB1158" s="5" t="s">
        <v>238</v>
      </c>
      <c r="DD1158" s="5" t="s">
        <v>673</v>
      </c>
      <c r="DE1158" s="8">
        <f>4605</f>
        <v>4605</v>
      </c>
      <c r="DG1158" s="5" t="s">
        <v>238</v>
      </c>
      <c r="DH1158" s="5" t="s">
        <v>238</v>
      </c>
      <c r="DI1158" s="5" t="s">
        <v>238</v>
      </c>
      <c r="DJ1158" s="5" t="s">
        <v>238</v>
      </c>
      <c r="DN1158" s="5" t="s">
        <v>238</v>
      </c>
      <c r="DO1158" s="5" t="s">
        <v>238</v>
      </c>
      <c r="DP1158" s="5" t="s">
        <v>238</v>
      </c>
      <c r="DQ1158" s="5" t="s">
        <v>238</v>
      </c>
      <c r="DT1158" s="5" t="s">
        <v>2039</v>
      </c>
      <c r="DU1158" s="5" t="s">
        <v>683</v>
      </c>
      <c r="HM1158" s="5" t="s">
        <v>264</v>
      </c>
    </row>
    <row r="1159" spans="1:221" x14ac:dyDescent="0.4">
      <c r="A1159" s="5">
        <v>2834</v>
      </c>
      <c r="B1159" s="5">
        <v>1</v>
      </c>
      <c r="C1159" s="5">
        <v>1</v>
      </c>
      <c r="D1159" s="5" t="s">
        <v>2037</v>
      </c>
      <c r="E1159" s="5" t="s">
        <v>271</v>
      </c>
      <c r="F1159" s="5" t="s">
        <v>248</v>
      </c>
      <c r="G1159" s="5" t="s">
        <v>1969</v>
      </c>
      <c r="H1159" s="6" t="s">
        <v>2941</v>
      </c>
      <c r="I1159" s="7">
        <f>2769</f>
        <v>2769</v>
      </c>
      <c r="J1159" s="5" t="s">
        <v>262</v>
      </c>
      <c r="K1159" s="8">
        <f>1</f>
        <v>1</v>
      </c>
      <c r="L1159" s="6" t="s">
        <v>242</v>
      </c>
      <c r="M1159" s="5" t="s">
        <v>267</v>
      </c>
      <c r="N1159" s="5" t="s">
        <v>265</v>
      </c>
      <c r="O1159" s="5" t="s">
        <v>238</v>
      </c>
      <c r="P1159" s="5" t="s">
        <v>238</v>
      </c>
      <c r="Q1159" s="5" t="s">
        <v>268</v>
      </c>
      <c r="R1159" s="5" t="s">
        <v>270</v>
      </c>
      <c r="S1159" s="5" t="s">
        <v>238</v>
      </c>
      <c r="V1159" s="5" t="s">
        <v>238</v>
      </c>
      <c r="X1159" s="6" t="s">
        <v>238</v>
      </c>
      <c r="AA1159" s="6" t="s">
        <v>243</v>
      </c>
      <c r="AB1159" s="5" t="s">
        <v>238</v>
      </c>
      <c r="AC1159" s="5" t="s">
        <v>244</v>
      </c>
      <c r="AD1159" s="5" t="s">
        <v>245</v>
      </c>
      <c r="AT1159" s="5" t="s">
        <v>246</v>
      </c>
      <c r="AU1159" s="5" t="s">
        <v>238</v>
      </c>
      <c r="AV1159" s="5" t="s">
        <v>247</v>
      </c>
      <c r="AW1159" s="5" t="s">
        <v>238</v>
      </c>
      <c r="AX1159" s="5" t="s">
        <v>249</v>
      </c>
      <c r="AY1159" s="5" t="s">
        <v>238</v>
      </c>
      <c r="BA1159" s="5" t="s">
        <v>238</v>
      </c>
      <c r="BC1159" s="5" t="s">
        <v>250</v>
      </c>
      <c r="BD1159" s="6" t="s">
        <v>243</v>
      </c>
      <c r="BE1159" s="5" t="s">
        <v>251</v>
      </c>
      <c r="BF1159" s="5" t="s">
        <v>252</v>
      </c>
      <c r="BG1159" s="5" t="s">
        <v>238</v>
      </c>
      <c r="BH1159" s="7">
        <f>0</f>
        <v>0</v>
      </c>
      <c r="BI1159" s="8">
        <f>0</f>
        <v>0</v>
      </c>
      <c r="BJ1159" s="5" t="s">
        <v>253</v>
      </c>
      <c r="BK1159" s="5" t="s">
        <v>254</v>
      </c>
      <c r="BY1159" s="5" t="s">
        <v>238</v>
      </c>
      <c r="BZ1159" s="5" t="s">
        <v>238</v>
      </c>
      <c r="CD1159" s="5" t="s">
        <v>273</v>
      </c>
      <c r="CE1159" s="5" t="s">
        <v>256</v>
      </c>
      <c r="CF1159" s="5" t="s">
        <v>238</v>
      </c>
      <c r="CI1159" s="6" t="s">
        <v>257</v>
      </c>
      <c r="CJ1159" s="5" t="s">
        <v>238</v>
      </c>
      <c r="CK1159" s="5" t="s">
        <v>258</v>
      </c>
      <c r="CL1159" s="5" t="s">
        <v>238</v>
      </c>
      <c r="CM1159" s="5" t="s">
        <v>238</v>
      </c>
      <c r="CN1159" s="5">
        <v>0</v>
      </c>
      <c r="CO1159" s="5" t="s">
        <v>259</v>
      </c>
      <c r="CP1159" s="5" t="s">
        <v>260</v>
      </c>
      <c r="CQ1159" s="5" t="s">
        <v>260</v>
      </c>
      <c r="CR1159" s="5" t="s">
        <v>261</v>
      </c>
      <c r="CU1159" s="8">
        <f>1</f>
        <v>1</v>
      </c>
      <c r="CV1159" s="8">
        <f>0</f>
        <v>0</v>
      </c>
      <c r="CX1159" s="8">
        <f>0</f>
        <v>0</v>
      </c>
      <c r="CY1159" s="8">
        <f>1</f>
        <v>1</v>
      </c>
      <c r="DA1159" s="5" t="s">
        <v>673</v>
      </c>
      <c r="DB1159" s="5" t="s">
        <v>238</v>
      </c>
      <c r="DD1159" s="5" t="s">
        <v>673</v>
      </c>
      <c r="DE1159" s="8">
        <f>2769</f>
        <v>2769</v>
      </c>
      <c r="DG1159" s="5" t="s">
        <v>238</v>
      </c>
      <c r="DH1159" s="5" t="s">
        <v>238</v>
      </c>
      <c r="DI1159" s="5" t="s">
        <v>238</v>
      </c>
      <c r="DJ1159" s="5" t="s">
        <v>238</v>
      </c>
      <c r="DN1159" s="5" t="s">
        <v>238</v>
      </c>
      <c r="DO1159" s="5" t="s">
        <v>238</v>
      </c>
      <c r="DP1159" s="5" t="s">
        <v>238</v>
      </c>
      <c r="DQ1159" s="5" t="s">
        <v>238</v>
      </c>
      <c r="DT1159" s="5" t="s">
        <v>2039</v>
      </c>
      <c r="DU1159" s="5" t="s">
        <v>1578</v>
      </c>
      <c r="HM1159" s="5" t="s">
        <v>264</v>
      </c>
    </row>
    <row r="1160" spans="1:221" x14ac:dyDescent="0.4">
      <c r="A1160" s="5">
        <v>2835</v>
      </c>
      <c r="B1160" s="5">
        <v>1</v>
      </c>
      <c r="C1160" s="5">
        <v>1</v>
      </c>
      <c r="D1160" s="5" t="s">
        <v>2037</v>
      </c>
      <c r="E1160" s="5" t="s">
        <v>271</v>
      </c>
      <c r="F1160" s="5" t="s">
        <v>248</v>
      </c>
      <c r="G1160" s="5" t="s">
        <v>1969</v>
      </c>
      <c r="H1160" s="6" t="s">
        <v>2940</v>
      </c>
      <c r="I1160" s="7">
        <f>1804</f>
        <v>1804</v>
      </c>
      <c r="J1160" s="5" t="s">
        <v>262</v>
      </c>
      <c r="K1160" s="8">
        <f>1</f>
        <v>1</v>
      </c>
      <c r="L1160" s="6" t="s">
        <v>242</v>
      </c>
      <c r="M1160" s="5" t="s">
        <v>267</v>
      </c>
      <c r="N1160" s="5" t="s">
        <v>265</v>
      </c>
      <c r="O1160" s="5" t="s">
        <v>238</v>
      </c>
      <c r="P1160" s="5" t="s">
        <v>238</v>
      </c>
      <c r="Q1160" s="5" t="s">
        <v>268</v>
      </c>
      <c r="R1160" s="5" t="s">
        <v>270</v>
      </c>
      <c r="S1160" s="5" t="s">
        <v>238</v>
      </c>
      <c r="V1160" s="5" t="s">
        <v>238</v>
      </c>
      <c r="X1160" s="6" t="s">
        <v>238</v>
      </c>
      <c r="AA1160" s="6" t="s">
        <v>243</v>
      </c>
      <c r="AB1160" s="5" t="s">
        <v>238</v>
      </c>
      <c r="AC1160" s="5" t="s">
        <v>244</v>
      </c>
      <c r="AD1160" s="5" t="s">
        <v>245</v>
      </c>
      <c r="AT1160" s="5" t="s">
        <v>246</v>
      </c>
      <c r="AU1160" s="5" t="s">
        <v>238</v>
      </c>
      <c r="AV1160" s="5" t="s">
        <v>247</v>
      </c>
      <c r="AW1160" s="5" t="s">
        <v>238</v>
      </c>
      <c r="AX1160" s="5" t="s">
        <v>249</v>
      </c>
      <c r="AY1160" s="5" t="s">
        <v>238</v>
      </c>
      <c r="BA1160" s="5" t="s">
        <v>238</v>
      </c>
      <c r="BC1160" s="5" t="s">
        <v>250</v>
      </c>
      <c r="BD1160" s="6" t="s">
        <v>243</v>
      </c>
      <c r="BE1160" s="5" t="s">
        <v>251</v>
      </c>
      <c r="BF1160" s="5" t="s">
        <v>252</v>
      </c>
      <c r="BG1160" s="5" t="s">
        <v>238</v>
      </c>
      <c r="BH1160" s="7">
        <f>0</f>
        <v>0</v>
      </c>
      <c r="BI1160" s="8">
        <f>0</f>
        <v>0</v>
      </c>
      <c r="BJ1160" s="5" t="s">
        <v>253</v>
      </c>
      <c r="BK1160" s="5" t="s">
        <v>254</v>
      </c>
      <c r="BY1160" s="5" t="s">
        <v>238</v>
      </c>
      <c r="BZ1160" s="5" t="s">
        <v>238</v>
      </c>
      <c r="CD1160" s="5" t="s">
        <v>273</v>
      </c>
      <c r="CE1160" s="5" t="s">
        <v>256</v>
      </c>
      <c r="CF1160" s="5" t="s">
        <v>238</v>
      </c>
      <c r="CI1160" s="6" t="s">
        <v>257</v>
      </c>
      <c r="CJ1160" s="5" t="s">
        <v>238</v>
      </c>
      <c r="CK1160" s="5" t="s">
        <v>258</v>
      </c>
      <c r="CL1160" s="5" t="s">
        <v>238</v>
      </c>
      <c r="CM1160" s="5" t="s">
        <v>238</v>
      </c>
      <c r="CN1160" s="5">
        <v>0</v>
      </c>
      <c r="CO1160" s="5" t="s">
        <v>259</v>
      </c>
      <c r="CP1160" s="5" t="s">
        <v>260</v>
      </c>
      <c r="CQ1160" s="5" t="s">
        <v>260</v>
      </c>
      <c r="CR1160" s="5" t="s">
        <v>261</v>
      </c>
      <c r="CU1160" s="8">
        <f>1</f>
        <v>1</v>
      </c>
      <c r="CV1160" s="8">
        <f>0</f>
        <v>0</v>
      </c>
      <c r="CX1160" s="8">
        <f>0</f>
        <v>0</v>
      </c>
      <c r="CY1160" s="8">
        <f>1</f>
        <v>1</v>
      </c>
      <c r="DA1160" s="5" t="s">
        <v>673</v>
      </c>
      <c r="DB1160" s="5" t="s">
        <v>238</v>
      </c>
      <c r="DD1160" s="5" t="s">
        <v>673</v>
      </c>
      <c r="DE1160" s="8">
        <f>1804</f>
        <v>1804</v>
      </c>
      <c r="DG1160" s="5" t="s">
        <v>238</v>
      </c>
      <c r="DH1160" s="5" t="s">
        <v>238</v>
      </c>
      <c r="DI1160" s="5" t="s">
        <v>238</v>
      </c>
      <c r="DJ1160" s="5" t="s">
        <v>238</v>
      </c>
      <c r="DN1160" s="5" t="s">
        <v>238</v>
      </c>
      <c r="DO1160" s="5" t="s">
        <v>238</v>
      </c>
      <c r="DP1160" s="5" t="s">
        <v>238</v>
      </c>
      <c r="DQ1160" s="5" t="s">
        <v>238</v>
      </c>
      <c r="DT1160" s="5" t="s">
        <v>2039</v>
      </c>
      <c r="DU1160" s="5" t="s">
        <v>1730</v>
      </c>
      <c r="HM1160" s="5" t="s">
        <v>264</v>
      </c>
    </row>
    <row r="1161" spans="1:221" x14ac:dyDescent="0.4">
      <c r="A1161" s="5">
        <v>2836</v>
      </c>
      <c r="B1161" s="5">
        <v>1</v>
      </c>
      <c r="C1161" s="5">
        <v>1</v>
      </c>
      <c r="D1161" s="5" t="s">
        <v>2037</v>
      </c>
      <c r="E1161" s="5" t="s">
        <v>271</v>
      </c>
      <c r="F1161" s="5" t="s">
        <v>248</v>
      </c>
      <c r="G1161" s="5" t="s">
        <v>1969</v>
      </c>
      <c r="H1161" s="6" t="s">
        <v>2939</v>
      </c>
      <c r="I1161" s="7">
        <f>2168</f>
        <v>2168</v>
      </c>
      <c r="J1161" s="5" t="s">
        <v>262</v>
      </c>
      <c r="K1161" s="8">
        <f>1</f>
        <v>1</v>
      </c>
      <c r="L1161" s="6" t="s">
        <v>242</v>
      </c>
      <c r="M1161" s="5" t="s">
        <v>267</v>
      </c>
      <c r="N1161" s="5" t="s">
        <v>265</v>
      </c>
      <c r="O1161" s="5" t="s">
        <v>238</v>
      </c>
      <c r="P1161" s="5" t="s">
        <v>238</v>
      </c>
      <c r="Q1161" s="5" t="s">
        <v>268</v>
      </c>
      <c r="R1161" s="5" t="s">
        <v>270</v>
      </c>
      <c r="S1161" s="5" t="s">
        <v>238</v>
      </c>
      <c r="V1161" s="5" t="s">
        <v>238</v>
      </c>
      <c r="X1161" s="6" t="s">
        <v>238</v>
      </c>
      <c r="AA1161" s="6" t="s">
        <v>243</v>
      </c>
      <c r="AB1161" s="5" t="s">
        <v>238</v>
      </c>
      <c r="AC1161" s="5" t="s">
        <v>244</v>
      </c>
      <c r="AD1161" s="5" t="s">
        <v>245</v>
      </c>
      <c r="AT1161" s="5" t="s">
        <v>246</v>
      </c>
      <c r="AU1161" s="5" t="s">
        <v>238</v>
      </c>
      <c r="AV1161" s="5" t="s">
        <v>247</v>
      </c>
      <c r="AW1161" s="5" t="s">
        <v>238</v>
      </c>
      <c r="AX1161" s="5" t="s">
        <v>249</v>
      </c>
      <c r="AY1161" s="5" t="s">
        <v>238</v>
      </c>
      <c r="BA1161" s="5" t="s">
        <v>238</v>
      </c>
      <c r="BC1161" s="5" t="s">
        <v>250</v>
      </c>
      <c r="BD1161" s="6" t="s">
        <v>243</v>
      </c>
      <c r="BE1161" s="5" t="s">
        <v>251</v>
      </c>
      <c r="BF1161" s="5" t="s">
        <v>252</v>
      </c>
      <c r="BG1161" s="5" t="s">
        <v>238</v>
      </c>
      <c r="BH1161" s="7">
        <f>0</f>
        <v>0</v>
      </c>
      <c r="BI1161" s="8">
        <f>0</f>
        <v>0</v>
      </c>
      <c r="BJ1161" s="5" t="s">
        <v>253</v>
      </c>
      <c r="BK1161" s="5" t="s">
        <v>254</v>
      </c>
      <c r="BY1161" s="5" t="s">
        <v>238</v>
      </c>
      <c r="BZ1161" s="5" t="s">
        <v>238</v>
      </c>
      <c r="CD1161" s="5" t="s">
        <v>273</v>
      </c>
      <c r="CE1161" s="5" t="s">
        <v>256</v>
      </c>
      <c r="CF1161" s="5" t="s">
        <v>238</v>
      </c>
      <c r="CI1161" s="6" t="s">
        <v>257</v>
      </c>
      <c r="CJ1161" s="5" t="s">
        <v>238</v>
      </c>
      <c r="CK1161" s="5" t="s">
        <v>258</v>
      </c>
      <c r="CL1161" s="5" t="s">
        <v>238</v>
      </c>
      <c r="CM1161" s="5" t="s">
        <v>238</v>
      </c>
      <c r="CN1161" s="5">
        <v>0</v>
      </c>
      <c r="CO1161" s="5" t="s">
        <v>259</v>
      </c>
      <c r="CP1161" s="5" t="s">
        <v>260</v>
      </c>
      <c r="CQ1161" s="5" t="s">
        <v>260</v>
      </c>
      <c r="CR1161" s="5" t="s">
        <v>261</v>
      </c>
      <c r="CU1161" s="8">
        <f>1</f>
        <v>1</v>
      </c>
      <c r="CV1161" s="8">
        <f>0</f>
        <v>0</v>
      </c>
      <c r="CX1161" s="8">
        <f>0</f>
        <v>0</v>
      </c>
      <c r="CY1161" s="8">
        <f>1</f>
        <v>1</v>
      </c>
      <c r="DA1161" s="5" t="s">
        <v>673</v>
      </c>
      <c r="DB1161" s="5" t="s">
        <v>238</v>
      </c>
      <c r="DD1161" s="5" t="s">
        <v>673</v>
      </c>
      <c r="DE1161" s="8">
        <f>2168</f>
        <v>2168</v>
      </c>
      <c r="DG1161" s="5" t="s">
        <v>238</v>
      </c>
      <c r="DH1161" s="5" t="s">
        <v>238</v>
      </c>
      <c r="DI1161" s="5" t="s">
        <v>238</v>
      </c>
      <c r="DJ1161" s="5" t="s">
        <v>238</v>
      </c>
      <c r="DN1161" s="5" t="s">
        <v>238</v>
      </c>
      <c r="DO1161" s="5" t="s">
        <v>238</v>
      </c>
      <c r="DP1161" s="5" t="s">
        <v>238</v>
      </c>
      <c r="DQ1161" s="5" t="s">
        <v>238</v>
      </c>
      <c r="DT1161" s="5" t="s">
        <v>2039</v>
      </c>
      <c r="DU1161" s="5" t="s">
        <v>1886</v>
      </c>
      <c r="HM1161" s="5" t="s">
        <v>264</v>
      </c>
    </row>
    <row r="1162" spans="1:221" x14ac:dyDescent="0.4">
      <c r="A1162" s="5">
        <v>2837</v>
      </c>
      <c r="B1162" s="5">
        <v>1</v>
      </c>
      <c r="C1162" s="5">
        <v>1</v>
      </c>
      <c r="D1162" s="5" t="s">
        <v>2037</v>
      </c>
      <c r="E1162" s="5" t="s">
        <v>271</v>
      </c>
      <c r="F1162" s="5" t="s">
        <v>248</v>
      </c>
      <c r="G1162" s="5" t="s">
        <v>1969</v>
      </c>
      <c r="H1162" s="6" t="s">
        <v>2937</v>
      </c>
      <c r="I1162" s="7">
        <f>1823</f>
        <v>1823</v>
      </c>
      <c r="J1162" s="5" t="s">
        <v>262</v>
      </c>
      <c r="K1162" s="8">
        <f>1</f>
        <v>1</v>
      </c>
      <c r="L1162" s="6" t="s">
        <v>242</v>
      </c>
      <c r="M1162" s="5" t="s">
        <v>267</v>
      </c>
      <c r="N1162" s="5" t="s">
        <v>265</v>
      </c>
      <c r="O1162" s="5" t="s">
        <v>238</v>
      </c>
      <c r="P1162" s="5" t="s">
        <v>238</v>
      </c>
      <c r="Q1162" s="5" t="s">
        <v>268</v>
      </c>
      <c r="R1162" s="5" t="s">
        <v>270</v>
      </c>
      <c r="S1162" s="5" t="s">
        <v>238</v>
      </c>
      <c r="V1162" s="5" t="s">
        <v>238</v>
      </c>
      <c r="X1162" s="6" t="s">
        <v>238</v>
      </c>
      <c r="AA1162" s="6" t="s">
        <v>243</v>
      </c>
      <c r="AB1162" s="5" t="s">
        <v>238</v>
      </c>
      <c r="AC1162" s="5" t="s">
        <v>244</v>
      </c>
      <c r="AD1162" s="5" t="s">
        <v>245</v>
      </c>
      <c r="AT1162" s="5" t="s">
        <v>246</v>
      </c>
      <c r="AU1162" s="5" t="s">
        <v>238</v>
      </c>
      <c r="AV1162" s="5" t="s">
        <v>247</v>
      </c>
      <c r="AW1162" s="5" t="s">
        <v>238</v>
      </c>
      <c r="AX1162" s="5" t="s">
        <v>249</v>
      </c>
      <c r="AY1162" s="5" t="s">
        <v>238</v>
      </c>
      <c r="BA1162" s="5" t="s">
        <v>238</v>
      </c>
      <c r="BC1162" s="5" t="s">
        <v>250</v>
      </c>
      <c r="BD1162" s="6" t="s">
        <v>243</v>
      </c>
      <c r="BE1162" s="5" t="s">
        <v>251</v>
      </c>
      <c r="BF1162" s="5" t="s">
        <v>252</v>
      </c>
      <c r="BG1162" s="5" t="s">
        <v>238</v>
      </c>
      <c r="BH1162" s="7">
        <f>0</f>
        <v>0</v>
      </c>
      <c r="BI1162" s="8">
        <f>0</f>
        <v>0</v>
      </c>
      <c r="BJ1162" s="5" t="s">
        <v>253</v>
      </c>
      <c r="BK1162" s="5" t="s">
        <v>254</v>
      </c>
      <c r="BY1162" s="5" t="s">
        <v>238</v>
      </c>
      <c r="BZ1162" s="5" t="s">
        <v>238</v>
      </c>
      <c r="CD1162" s="5" t="s">
        <v>273</v>
      </c>
      <c r="CE1162" s="5" t="s">
        <v>256</v>
      </c>
      <c r="CF1162" s="5" t="s">
        <v>238</v>
      </c>
      <c r="CI1162" s="6" t="s">
        <v>257</v>
      </c>
      <c r="CJ1162" s="5" t="s">
        <v>238</v>
      </c>
      <c r="CK1162" s="5" t="s">
        <v>258</v>
      </c>
      <c r="CL1162" s="5" t="s">
        <v>238</v>
      </c>
      <c r="CM1162" s="5" t="s">
        <v>238</v>
      </c>
      <c r="CN1162" s="5">
        <v>0</v>
      </c>
      <c r="CO1162" s="5" t="s">
        <v>259</v>
      </c>
      <c r="CP1162" s="5" t="s">
        <v>260</v>
      </c>
      <c r="CQ1162" s="5" t="s">
        <v>260</v>
      </c>
      <c r="CR1162" s="5" t="s">
        <v>261</v>
      </c>
      <c r="CU1162" s="8">
        <f>1</f>
        <v>1</v>
      </c>
      <c r="CV1162" s="8">
        <f>0</f>
        <v>0</v>
      </c>
      <c r="CX1162" s="8">
        <f>0</f>
        <v>0</v>
      </c>
      <c r="CY1162" s="8">
        <f>1</f>
        <v>1</v>
      </c>
      <c r="DA1162" s="5" t="s">
        <v>673</v>
      </c>
      <c r="DB1162" s="5" t="s">
        <v>238</v>
      </c>
      <c r="DD1162" s="5" t="s">
        <v>673</v>
      </c>
      <c r="DE1162" s="8">
        <f>1823</f>
        <v>1823</v>
      </c>
      <c r="DG1162" s="5" t="s">
        <v>238</v>
      </c>
      <c r="DH1162" s="5" t="s">
        <v>238</v>
      </c>
      <c r="DI1162" s="5" t="s">
        <v>238</v>
      </c>
      <c r="DJ1162" s="5" t="s">
        <v>238</v>
      </c>
      <c r="DN1162" s="5" t="s">
        <v>238</v>
      </c>
      <c r="DO1162" s="5" t="s">
        <v>238</v>
      </c>
      <c r="DP1162" s="5" t="s">
        <v>238</v>
      </c>
      <c r="DQ1162" s="5" t="s">
        <v>238</v>
      </c>
      <c r="DT1162" s="5" t="s">
        <v>2039</v>
      </c>
      <c r="DU1162" s="5" t="s">
        <v>2938</v>
      </c>
      <c r="HM1162" s="5" t="s">
        <v>264</v>
      </c>
    </row>
    <row r="1163" spans="1:221" x14ac:dyDescent="0.4">
      <c r="A1163" s="5">
        <v>2838</v>
      </c>
      <c r="B1163" s="5">
        <v>1</v>
      </c>
      <c r="C1163" s="5">
        <v>1</v>
      </c>
      <c r="D1163" s="5" t="s">
        <v>2037</v>
      </c>
      <c r="E1163" s="5" t="s">
        <v>271</v>
      </c>
      <c r="F1163" s="5" t="s">
        <v>248</v>
      </c>
      <c r="G1163" s="5" t="s">
        <v>1969</v>
      </c>
      <c r="H1163" s="6" t="s">
        <v>2933</v>
      </c>
      <c r="I1163" s="7">
        <f>662</f>
        <v>662</v>
      </c>
      <c r="J1163" s="5" t="s">
        <v>262</v>
      </c>
      <c r="K1163" s="8">
        <f>1</f>
        <v>1</v>
      </c>
      <c r="L1163" s="6" t="s">
        <v>242</v>
      </c>
      <c r="M1163" s="5" t="s">
        <v>267</v>
      </c>
      <c r="N1163" s="5" t="s">
        <v>265</v>
      </c>
      <c r="O1163" s="5" t="s">
        <v>238</v>
      </c>
      <c r="P1163" s="5" t="s">
        <v>238</v>
      </c>
      <c r="Q1163" s="5" t="s">
        <v>268</v>
      </c>
      <c r="R1163" s="5" t="s">
        <v>270</v>
      </c>
      <c r="S1163" s="5" t="s">
        <v>238</v>
      </c>
      <c r="V1163" s="5" t="s">
        <v>238</v>
      </c>
      <c r="X1163" s="6" t="s">
        <v>238</v>
      </c>
      <c r="AA1163" s="6" t="s">
        <v>243</v>
      </c>
      <c r="AB1163" s="5" t="s">
        <v>238</v>
      </c>
      <c r="AC1163" s="5" t="s">
        <v>244</v>
      </c>
      <c r="AD1163" s="5" t="s">
        <v>245</v>
      </c>
      <c r="AT1163" s="5" t="s">
        <v>246</v>
      </c>
      <c r="AU1163" s="5" t="s">
        <v>238</v>
      </c>
      <c r="AV1163" s="5" t="s">
        <v>247</v>
      </c>
      <c r="AW1163" s="5" t="s">
        <v>238</v>
      </c>
      <c r="AX1163" s="5" t="s">
        <v>249</v>
      </c>
      <c r="AY1163" s="5" t="s">
        <v>238</v>
      </c>
      <c r="BA1163" s="5" t="s">
        <v>238</v>
      </c>
      <c r="BC1163" s="5" t="s">
        <v>250</v>
      </c>
      <c r="BD1163" s="6" t="s">
        <v>243</v>
      </c>
      <c r="BE1163" s="5" t="s">
        <v>251</v>
      </c>
      <c r="BF1163" s="5" t="s">
        <v>252</v>
      </c>
      <c r="BG1163" s="5" t="s">
        <v>238</v>
      </c>
      <c r="BH1163" s="7">
        <f>0</f>
        <v>0</v>
      </c>
      <c r="BI1163" s="8">
        <f>0</f>
        <v>0</v>
      </c>
      <c r="BJ1163" s="5" t="s">
        <v>253</v>
      </c>
      <c r="BK1163" s="5" t="s">
        <v>254</v>
      </c>
      <c r="BY1163" s="5" t="s">
        <v>238</v>
      </c>
      <c r="BZ1163" s="5" t="s">
        <v>238</v>
      </c>
      <c r="CD1163" s="5" t="s">
        <v>273</v>
      </c>
      <c r="CE1163" s="5" t="s">
        <v>256</v>
      </c>
      <c r="CF1163" s="5" t="s">
        <v>238</v>
      </c>
      <c r="CI1163" s="6" t="s">
        <v>257</v>
      </c>
      <c r="CJ1163" s="5" t="s">
        <v>238</v>
      </c>
      <c r="CK1163" s="5" t="s">
        <v>258</v>
      </c>
      <c r="CL1163" s="5" t="s">
        <v>238</v>
      </c>
      <c r="CM1163" s="5" t="s">
        <v>238</v>
      </c>
      <c r="CN1163" s="5">
        <v>0</v>
      </c>
      <c r="CO1163" s="5" t="s">
        <v>259</v>
      </c>
      <c r="CP1163" s="5" t="s">
        <v>260</v>
      </c>
      <c r="CQ1163" s="5" t="s">
        <v>260</v>
      </c>
      <c r="CR1163" s="5" t="s">
        <v>261</v>
      </c>
      <c r="CU1163" s="8">
        <f>1</f>
        <v>1</v>
      </c>
      <c r="CV1163" s="8">
        <f>0</f>
        <v>0</v>
      </c>
      <c r="CX1163" s="8">
        <f>0</f>
        <v>0</v>
      </c>
      <c r="CY1163" s="8">
        <f>1</f>
        <v>1</v>
      </c>
      <c r="DA1163" s="5" t="s">
        <v>673</v>
      </c>
      <c r="DB1163" s="5" t="s">
        <v>238</v>
      </c>
      <c r="DD1163" s="5" t="s">
        <v>673</v>
      </c>
      <c r="DE1163" s="8">
        <f>662</f>
        <v>662</v>
      </c>
      <c r="DG1163" s="5" t="s">
        <v>238</v>
      </c>
      <c r="DH1163" s="5" t="s">
        <v>238</v>
      </c>
      <c r="DI1163" s="5" t="s">
        <v>238</v>
      </c>
      <c r="DJ1163" s="5" t="s">
        <v>238</v>
      </c>
      <c r="DN1163" s="5" t="s">
        <v>238</v>
      </c>
      <c r="DO1163" s="5" t="s">
        <v>238</v>
      </c>
      <c r="DP1163" s="5" t="s">
        <v>238</v>
      </c>
      <c r="DQ1163" s="5" t="s">
        <v>238</v>
      </c>
      <c r="DT1163" s="5" t="s">
        <v>2039</v>
      </c>
      <c r="DU1163" s="5" t="s">
        <v>2934</v>
      </c>
      <c r="HM1163" s="5" t="s">
        <v>264</v>
      </c>
    </row>
    <row r="1164" spans="1:221" x14ac:dyDescent="0.4">
      <c r="A1164" s="5">
        <v>2839</v>
      </c>
      <c r="B1164" s="5">
        <v>1</v>
      </c>
      <c r="C1164" s="5">
        <v>1</v>
      </c>
      <c r="D1164" s="5" t="s">
        <v>2037</v>
      </c>
      <c r="E1164" s="5" t="s">
        <v>271</v>
      </c>
      <c r="F1164" s="5" t="s">
        <v>248</v>
      </c>
      <c r="G1164" s="5" t="s">
        <v>1969</v>
      </c>
      <c r="H1164" s="6" t="s">
        <v>2931</v>
      </c>
      <c r="I1164" s="7">
        <f>1664</f>
        <v>1664</v>
      </c>
      <c r="J1164" s="5" t="s">
        <v>262</v>
      </c>
      <c r="K1164" s="8">
        <f>1</f>
        <v>1</v>
      </c>
      <c r="L1164" s="6" t="s">
        <v>242</v>
      </c>
      <c r="M1164" s="5" t="s">
        <v>267</v>
      </c>
      <c r="N1164" s="5" t="s">
        <v>265</v>
      </c>
      <c r="O1164" s="5" t="s">
        <v>238</v>
      </c>
      <c r="P1164" s="5" t="s">
        <v>238</v>
      </c>
      <c r="Q1164" s="5" t="s">
        <v>268</v>
      </c>
      <c r="R1164" s="5" t="s">
        <v>270</v>
      </c>
      <c r="S1164" s="5" t="s">
        <v>238</v>
      </c>
      <c r="V1164" s="5" t="s">
        <v>238</v>
      </c>
      <c r="X1164" s="6" t="s">
        <v>238</v>
      </c>
      <c r="AA1164" s="6" t="s">
        <v>243</v>
      </c>
      <c r="AB1164" s="5" t="s">
        <v>238</v>
      </c>
      <c r="AC1164" s="5" t="s">
        <v>244</v>
      </c>
      <c r="AD1164" s="5" t="s">
        <v>245</v>
      </c>
      <c r="AT1164" s="5" t="s">
        <v>246</v>
      </c>
      <c r="AU1164" s="5" t="s">
        <v>238</v>
      </c>
      <c r="AV1164" s="5" t="s">
        <v>247</v>
      </c>
      <c r="AW1164" s="5" t="s">
        <v>238</v>
      </c>
      <c r="AX1164" s="5" t="s">
        <v>249</v>
      </c>
      <c r="AY1164" s="5" t="s">
        <v>238</v>
      </c>
      <c r="BA1164" s="5" t="s">
        <v>238</v>
      </c>
      <c r="BC1164" s="5" t="s">
        <v>250</v>
      </c>
      <c r="BD1164" s="6" t="s">
        <v>243</v>
      </c>
      <c r="BE1164" s="5" t="s">
        <v>251</v>
      </c>
      <c r="BF1164" s="5" t="s">
        <v>252</v>
      </c>
      <c r="BG1164" s="5" t="s">
        <v>238</v>
      </c>
      <c r="BH1164" s="7">
        <f>0</f>
        <v>0</v>
      </c>
      <c r="BI1164" s="8">
        <f>0</f>
        <v>0</v>
      </c>
      <c r="BJ1164" s="5" t="s">
        <v>253</v>
      </c>
      <c r="BK1164" s="5" t="s">
        <v>254</v>
      </c>
      <c r="BY1164" s="5" t="s">
        <v>238</v>
      </c>
      <c r="BZ1164" s="5" t="s">
        <v>238</v>
      </c>
      <c r="CD1164" s="5" t="s">
        <v>273</v>
      </c>
      <c r="CE1164" s="5" t="s">
        <v>256</v>
      </c>
      <c r="CF1164" s="5" t="s">
        <v>238</v>
      </c>
      <c r="CI1164" s="6" t="s">
        <v>257</v>
      </c>
      <c r="CJ1164" s="5" t="s">
        <v>238</v>
      </c>
      <c r="CK1164" s="5" t="s">
        <v>258</v>
      </c>
      <c r="CL1164" s="5" t="s">
        <v>238</v>
      </c>
      <c r="CM1164" s="5" t="s">
        <v>238</v>
      </c>
      <c r="CN1164" s="5">
        <v>0</v>
      </c>
      <c r="CO1164" s="5" t="s">
        <v>259</v>
      </c>
      <c r="CP1164" s="5" t="s">
        <v>260</v>
      </c>
      <c r="CQ1164" s="5" t="s">
        <v>260</v>
      </c>
      <c r="CR1164" s="5" t="s">
        <v>261</v>
      </c>
      <c r="CU1164" s="8">
        <f>1</f>
        <v>1</v>
      </c>
      <c r="CV1164" s="8">
        <f>0</f>
        <v>0</v>
      </c>
      <c r="CX1164" s="8">
        <f>0</f>
        <v>0</v>
      </c>
      <c r="CY1164" s="8">
        <f>1</f>
        <v>1</v>
      </c>
      <c r="DA1164" s="5" t="s">
        <v>673</v>
      </c>
      <c r="DB1164" s="5" t="s">
        <v>238</v>
      </c>
      <c r="DD1164" s="5" t="s">
        <v>673</v>
      </c>
      <c r="DE1164" s="8">
        <f>1664</f>
        <v>1664</v>
      </c>
      <c r="DG1164" s="5" t="s">
        <v>238</v>
      </c>
      <c r="DH1164" s="5" t="s">
        <v>238</v>
      </c>
      <c r="DI1164" s="5" t="s">
        <v>238</v>
      </c>
      <c r="DJ1164" s="5" t="s">
        <v>238</v>
      </c>
      <c r="DN1164" s="5" t="s">
        <v>238</v>
      </c>
      <c r="DO1164" s="5" t="s">
        <v>238</v>
      </c>
      <c r="DP1164" s="5" t="s">
        <v>238</v>
      </c>
      <c r="DQ1164" s="5" t="s">
        <v>238</v>
      </c>
      <c r="DT1164" s="5" t="s">
        <v>2039</v>
      </c>
      <c r="DU1164" s="5" t="s">
        <v>2932</v>
      </c>
      <c r="HM1164" s="5" t="s">
        <v>264</v>
      </c>
    </row>
    <row r="1165" spans="1:221" x14ac:dyDescent="0.4">
      <c r="A1165" s="5">
        <v>2840</v>
      </c>
      <c r="B1165" s="5">
        <v>1</v>
      </c>
      <c r="C1165" s="5">
        <v>1</v>
      </c>
      <c r="D1165" s="5" t="s">
        <v>2037</v>
      </c>
      <c r="E1165" s="5" t="s">
        <v>271</v>
      </c>
      <c r="F1165" s="5" t="s">
        <v>248</v>
      </c>
      <c r="G1165" s="5" t="s">
        <v>1969</v>
      </c>
      <c r="H1165" s="6" t="s">
        <v>2930</v>
      </c>
      <c r="I1165" s="7">
        <f>44</f>
        <v>44</v>
      </c>
      <c r="J1165" s="5" t="s">
        <v>262</v>
      </c>
      <c r="K1165" s="8">
        <f>1</f>
        <v>1</v>
      </c>
      <c r="L1165" s="6" t="s">
        <v>242</v>
      </c>
      <c r="M1165" s="5" t="s">
        <v>267</v>
      </c>
      <c r="N1165" s="5" t="s">
        <v>265</v>
      </c>
      <c r="O1165" s="5" t="s">
        <v>238</v>
      </c>
      <c r="P1165" s="5" t="s">
        <v>238</v>
      </c>
      <c r="Q1165" s="5" t="s">
        <v>268</v>
      </c>
      <c r="R1165" s="5" t="s">
        <v>270</v>
      </c>
      <c r="S1165" s="5" t="s">
        <v>238</v>
      </c>
      <c r="V1165" s="5" t="s">
        <v>238</v>
      </c>
      <c r="X1165" s="6" t="s">
        <v>238</v>
      </c>
      <c r="AA1165" s="6" t="s">
        <v>243</v>
      </c>
      <c r="AB1165" s="5" t="s">
        <v>238</v>
      </c>
      <c r="AC1165" s="5" t="s">
        <v>244</v>
      </c>
      <c r="AD1165" s="5" t="s">
        <v>245</v>
      </c>
      <c r="AT1165" s="5" t="s">
        <v>246</v>
      </c>
      <c r="AU1165" s="5" t="s">
        <v>238</v>
      </c>
      <c r="AV1165" s="5" t="s">
        <v>247</v>
      </c>
      <c r="AW1165" s="5" t="s">
        <v>238</v>
      </c>
      <c r="AX1165" s="5" t="s">
        <v>249</v>
      </c>
      <c r="AY1165" s="5" t="s">
        <v>238</v>
      </c>
      <c r="BA1165" s="5" t="s">
        <v>238</v>
      </c>
      <c r="BC1165" s="5" t="s">
        <v>250</v>
      </c>
      <c r="BD1165" s="6" t="s">
        <v>243</v>
      </c>
      <c r="BE1165" s="5" t="s">
        <v>251</v>
      </c>
      <c r="BF1165" s="5" t="s">
        <v>252</v>
      </c>
      <c r="BG1165" s="5" t="s">
        <v>238</v>
      </c>
      <c r="BH1165" s="7">
        <f>0</f>
        <v>0</v>
      </c>
      <c r="BI1165" s="8">
        <f>0</f>
        <v>0</v>
      </c>
      <c r="BJ1165" s="5" t="s">
        <v>253</v>
      </c>
      <c r="BK1165" s="5" t="s">
        <v>254</v>
      </c>
      <c r="BY1165" s="5" t="s">
        <v>238</v>
      </c>
      <c r="BZ1165" s="5" t="s">
        <v>238</v>
      </c>
      <c r="CD1165" s="5" t="s">
        <v>273</v>
      </c>
      <c r="CE1165" s="5" t="s">
        <v>256</v>
      </c>
      <c r="CF1165" s="5" t="s">
        <v>238</v>
      </c>
      <c r="CI1165" s="6" t="s">
        <v>257</v>
      </c>
      <c r="CJ1165" s="5" t="s">
        <v>238</v>
      </c>
      <c r="CK1165" s="5" t="s">
        <v>258</v>
      </c>
      <c r="CL1165" s="5" t="s">
        <v>238</v>
      </c>
      <c r="CM1165" s="5" t="s">
        <v>238</v>
      </c>
      <c r="CN1165" s="5">
        <v>0</v>
      </c>
      <c r="CO1165" s="5" t="s">
        <v>259</v>
      </c>
      <c r="CP1165" s="5" t="s">
        <v>260</v>
      </c>
      <c r="CQ1165" s="5" t="s">
        <v>260</v>
      </c>
      <c r="CR1165" s="5" t="s">
        <v>261</v>
      </c>
      <c r="CU1165" s="8">
        <f>1</f>
        <v>1</v>
      </c>
      <c r="CV1165" s="8">
        <f>0</f>
        <v>0</v>
      </c>
      <c r="CX1165" s="8">
        <f>0</f>
        <v>0</v>
      </c>
      <c r="CY1165" s="8">
        <f>1</f>
        <v>1</v>
      </c>
      <c r="DA1165" s="5" t="s">
        <v>673</v>
      </c>
      <c r="DB1165" s="5" t="s">
        <v>238</v>
      </c>
      <c r="DD1165" s="5" t="s">
        <v>673</v>
      </c>
      <c r="DE1165" s="8">
        <f>44</f>
        <v>44</v>
      </c>
      <c r="DG1165" s="5" t="s">
        <v>238</v>
      </c>
      <c r="DH1165" s="5" t="s">
        <v>238</v>
      </c>
      <c r="DI1165" s="5" t="s">
        <v>238</v>
      </c>
      <c r="DJ1165" s="5" t="s">
        <v>238</v>
      </c>
      <c r="DN1165" s="5" t="s">
        <v>238</v>
      </c>
      <c r="DO1165" s="5" t="s">
        <v>238</v>
      </c>
      <c r="DP1165" s="5" t="s">
        <v>238</v>
      </c>
      <c r="DQ1165" s="5" t="s">
        <v>238</v>
      </c>
      <c r="DT1165" s="5" t="s">
        <v>2039</v>
      </c>
      <c r="DU1165" s="5" t="s">
        <v>978</v>
      </c>
      <c r="HM1165" s="5" t="s">
        <v>264</v>
      </c>
    </row>
    <row r="1166" spans="1:221" x14ac:dyDescent="0.4">
      <c r="A1166" s="5">
        <v>2841</v>
      </c>
      <c r="B1166" s="5">
        <v>1</v>
      </c>
      <c r="C1166" s="5">
        <v>1</v>
      </c>
      <c r="D1166" s="5" t="s">
        <v>2037</v>
      </c>
      <c r="E1166" s="5" t="s">
        <v>271</v>
      </c>
      <c r="F1166" s="5" t="s">
        <v>248</v>
      </c>
      <c r="G1166" s="5" t="s">
        <v>1969</v>
      </c>
      <c r="H1166" s="6" t="s">
        <v>2929</v>
      </c>
      <c r="I1166" s="7">
        <f>7407</f>
        <v>7407</v>
      </c>
      <c r="J1166" s="5" t="s">
        <v>262</v>
      </c>
      <c r="K1166" s="8">
        <f>1</f>
        <v>1</v>
      </c>
      <c r="L1166" s="6" t="s">
        <v>242</v>
      </c>
      <c r="M1166" s="5" t="s">
        <v>267</v>
      </c>
      <c r="N1166" s="5" t="s">
        <v>265</v>
      </c>
      <c r="O1166" s="5" t="s">
        <v>238</v>
      </c>
      <c r="P1166" s="5" t="s">
        <v>238</v>
      </c>
      <c r="Q1166" s="5" t="s">
        <v>268</v>
      </c>
      <c r="R1166" s="5" t="s">
        <v>270</v>
      </c>
      <c r="S1166" s="5" t="s">
        <v>238</v>
      </c>
      <c r="V1166" s="5" t="s">
        <v>238</v>
      </c>
      <c r="X1166" s="6" t="s">
        <v>238</v>
      </c>
      <c r="AA1166" s="6" t="s">
        <v>243</v>
      </c>
      <c r="AB1166" s="5" t="s">
        <v>238</v>
      </c>
      <c r="AC1166" s="5" t="s">
        <v>244</v>
      </c>
      <c r="AD1166" s="5" t="s">
        <v>245</v>
      </c>
      <c r="AT1166" s="5" t="s">
        <v>246</v>
      </c>
      <c r="AU1166" s="5" t="s">
        <v>238</v>
      </c>
      <c r="AV1166" s="5" t="s">
        <v>247</v>
      </c>
      <c r="AW1166" s="5" t="s">
        <v>238</v>
      </c>
      <c r="AX1166" s="5" t="s">
        <v>249</v>
      </c>
      <c r="AY1166" s="5" t="s">
        <v>238</v>
      </c>
      <c r="BA1166" s="5" t="s">
        <v>238</v>
      </c>
      <c r="BC1166" s="5" t="s">
        <v>250</v>
      </c>
      <c r="BD1166" s="6" t="s">
        <v>243</v>
      </c>
      <c r="BE1166" s="5" t="s">
        <v>251</v>
      </c>
      <c r="BF1166" s="5" t="s">
        <v>252</v>
      </c>
      <c r="BG1166" s="5" t="s">
        <v>238</v>
      </c>
      <c r="BH1166" s="7">
        <f>0</f>
        <v>0</v>
      </c>
      <c r="BI1166" s="8">
        <f>0</f>
        <v>0</v>
      </c>
      <c r="BJ1166" s="5" t="s">
        <v>253</v>
      </c>
      <c r="BK1166" s="5" t="s">
        <v>254</v>
      </c>
      <c r="BY1166" s="5" t="s">
        <v>238</v>
      </c>
      <c r="BZ1166" s="5" t="s">
        <v>238</v>
      </c>
      <c r="CD1166" s="5" t="s">
        <v>273</v>
      </c>
      <c r="CE1166" s="5" t="s">
        <v>256</v>
      </c>
      <c r="CF1166" s="5" t="s">
        <v>238</v>
      </c>
      <c r="CI1166" s="6" t="s">
        <v>257</v>
      </c>
      <c r="CJ1166" s="5" t="s">
        <v>238</v>
      </c>
      <c r="CK1166" s="5" t="s">
        <v>258</v>
      </c>
      <c r="CL1166" s="5" t="s">
        <v>238</v>
      </c>
      <c r="CM1166" s="5" t="s">
        <v>238</v>
      </c>
      <c r="CN1166" s="5">
        <v>0</v>
      </c>
      <c r="CO1166" s="5" t="s">
        <v>259</v>
      </c>
      <c r="CP1166" s="5" t="s">
        <v>260</v>
      </c>
      <c r="CQ1166" s="5" t="s">
        <v>260</v>
      </c>
      <c r="CR1166" s="5" t="s">
        <v>261</v>
      </c>
      <c r="CU1166" s="8">
        <f>1</f>
        <v>1</v>
      </c>
      <c r="CV1166" s="8">
        <f>0</f>
        <v>0</v>
      </c>
      <c r="CX1166" s="8">
        <f>0</f>
        <v>0</v>
      </c>
      <c r="CY1166" s="8">
        <f>1</f>
        <v>1</v>
      </c>
      <c r="DA1166" s="5" t="s">
        <v>673</v>
      </c>
      <c r="DB1166" s="5" t="s">
        <v>238</v>
      </c>
      <c r="DD1166" s="5" t="s">
        <v>673</v>
      </c>
      <c r="DE1166" s="8">
        <f>7407</f>
        <v>7407</v>
      </c>
      <c r="DG1166" s="5" t="s">
        <v>238</v>
      </c>
      <c r="DH1166" s="5" t="s">
        <v>238</v>
      </c>
      <c r="DI1166" s="5" t="s">
        <v>238</v>
      </c>
      <c r="DJ1166" s="5" t="s">
        <v>238</v>
      </c>
      <c r="DN1166" s="5" t="s">
        <v>238</v>
      </c>
      <c r="DO1166" s="5" t="s">
        <v>238</v>
      </c>
      <c r="DP1166" s="5" t="s">
        <v>238</v>
      </c>
      <c r="DQ1166" s="5" t="s">
        <v>238</v>
      </c>
      <c r="DT1166" s="5" t="s">
        <v>2039</v>
      </c>
      <c r="DU1166" s="5" t="s">
        <v>908</v>
      </c>
      <c r="HM1166" s="5" t="s">
        <v>264</v>
      </c>
    </row>
    <row r="1167" spans="1:221" x14ac:dyDescent="0.4">
      <c r="A1167" s="5">
        <v>2842</v>
      </c>
      <c r="B1167" s="5">
        <v>1</v>
      </c>
      <c r="C1167" s="5">
        <v>1</v>
      </c>
      <c r="D1167" s="5" t="s">
        <v>2037</v>
      </c>
      <c r="E1167" s="5" t="s">
        <v>271</v>
      </c>
      <c r="F1167" s="5" t="s">
        <v>248</v>
      </c>
      <c r="G1167" s="5" t="s">
        <v>1969</v>
      </c>
      <c r="H1167" s="6" t="s">
        <v>3549</v>
      </c>
      <c r="I1167" s="7">
        <f>624</f>
        <v>624</v>
      </c>
      <c r="J1167" s="5" t="s">
        <v>262</v>
      </c>
      <c r="K1167" s="8">
        <f>1</f>
        <v>1</v>
      </c>
      <c r="L1167" s="6" t="s">
        <v>242</v>
      </c>
      <c r="M1167" s="5" t="s">
        <v>267</v>
      </c>
      <c r="N1167" s="5" t="s">
        <v>265</v>
      </c>
      <c r="O1167" s="5" t="s">
        <v>238</v>
      </c>
      <c r="P1167" s="5" t="s">
        <v>238</v>
      </c>
      <c r="Q1167" s="5" t="s">
        <v>268</v>
      </c>
      <c r="R1167" s="5" t="s">
        <v>270</v>
      </c>
      <c r="S1167" s="5" t="s">
        <v>238</v>
      </c>
      <c r="V1167" s="5" t="s">
        <v>238</v>
      </c>
      <c r="X1167" s="6" t="s">
        <v>238</v>
      </c>
      <c r="AA1167" s="6" t="s">
        <v>243</v>
      </c>
      <c r="AB1167" s="5" t="s">
        <v>238</v>
      </c>
      <c r="AC1167" s="5" t="s">
        <v>244</v>
      </c>
      <c r="AD1167" s="5" t="s">
        <v>245</v>
      </c>
      <c r="AT1167" s="5" t="s">
        <v>246</v>
      </c>
      <c r="AU1167" s="5" t="s">
        <v>238</v>
      </c>
      <c r="AV1167" s="5" t="s">
        <v>247</v>
      </c>
      <c r="AW1167" s="5" t="s">
        <v>238</v>
      </c>
      <c r="AX1167" s="5" t="s">
        <v>249</v>
      </c>
      <c r="AY1167" s="5" t="s">
        <v>238</v>
      </c>
      <c r="BA1167" s="5" t="s">
        <v>238</v>
      </c>
      <c r="BC1167" s="5" t="s">
        <v>250</v>
      </c>
      <c r="BD1167" s="6" t="s">
        <v>243</v>
      </c>
      <c r="BE1167" s="5" t="s">
        <v>251</v>
      </c>
      <c r="BF1167" s="5" t="s">
        <v>252</v>
      </c>
      <c r="BG1167" s="5" t="s">
        <v>238</v>
      </c>
      <c r="BH1167" s="7">
        <f>0</f>
        <v>0</v>
      </c>
      <c r="BI1167" s="8">
        <f>0</f>
        <v>0</v>
      </c>
      <c r="BJ1167" s="5" t="s">
        <v>253</v>
      </c>
      <c r="BK1167" s="5" t="s">
        <v>254</v>
      </c>
      <c r="BY1167" s="5" t="s">
        <v>238</v>
      </c>
      <c r="BZ1167" s="5" t="s">
        <v>238</v>
      </c>
      <c r="CD1167" s="5" t="s">
        <v>273</v>
      </c>
      <c r="CE1167" s="5" t="s">
        <v>256</v>
      </c>
      <c r="CF1167" s="5" t="s">
        <v>238</v>
      </c>
      <c r="CI1167" s="6" t="s">
        <v>257</v>
      </c>
      <c r="CJ1167" s="5" t="s">
        <v>238</v>
      </c>
      <c r="CK1167" s="5" t="s">
        <v>258</v>
      </c>
      <c r="CL1167" s="5" t="s">
        <v>238</v>
      </c>
      <c r="CM1167" s="5" t="s">
        <v>238</v>
      </c>
      <c r="CN1167" s="5">
        <v>0</v>
      </c>
      <c r="CO1167" s="5" t="s">
        <v>259</v>
      </c>
      <c r="CP1167" s="5" t="s">
        <v>260</v>
      </c>
      <c r="CQ1167" s="5" t="s">
        <v>260</v>
      </c>
      <c r="CR1167" s="5" t="s">
        <v>261</v>
      </c>
      <c r="CU1167" s="8">
        <f>1</f>
        <v>1</v>
      </c>
      <c r="CV1167" s="8">
        <f>0</f>
        <v>0</v>
      </c>
      <c r="CX1167" s="8">
        <f>0</f>
        <v>0</v>
      </c>
      <c r="CY1167" s="8">
        <f>1</f>
        <v>1</v>
      </c>
      <c r="DA1167" s="5" t="s">
        <v>673</v>
      </c>
      <c r="DB1167" s="5" t="s">
        <v>238</v>
      </c>
      <c r="DD1167" s="5" t="s">
        <v>673</v>
      </c>
      <c r="DE1167" s="8">
        <f>624</f>
        <v>624</v>
      </c>
      <c r="DG1167" s="5" t="s">
        <v>238</v>
      </c>
      <c r="DH1167" s="5" t="s">
        <v>238</v>
      </c>
      <c r="DI1167" s="5" t="s">
        <v>238</v>
      </c>
      <c r="DJ1167" s="5" t="s">
        <v>238</v>
      </c>
      <c r="DN1167" s="5" t="s">
        <v>238</v>
      </c>
      <c r="DO1167" s="5" t="s">
        <v>238</v>
      </c>
      <c r="DP1167" s="5" t="s">
        <v>238</v>
      </c>
      <c r="DQ1167" s="5" t="s">
        <v>238</v>
      </c>
      <c r="DT1167" s="5" t="s">
        <v>2039</v>
      </c>
      <c r="DU1167" s="5" t="s">
        <v>1443</v>
      </c>
      <c r="HM1167" s="5" t="s">
        <v>264</v>
      </c>
    </row>
    <row r="1168" spans="1:221" x14ac:dyDescent="0.4">
      <c r="A1168" s="5">
        <v>2843</v>
      </c>
      <c r="B1168" s="5">
        <v>1</v>
      </c>
      <c r="C1168" s="5">
        <v>1</v>
      </c>
      <c r="D1168" s="5" t="s">
        <v>2037</v>
      </c>
      <c r="E1168" s="5" t="s">
        <v>271</v>
      </c>
      <c r="F1168" s="5" t="s">
        <v>248</v>
      </c>
      <c r="G1168" s="5" t="s">
        <v>1969</v>
      </c>
      <c r="H1168" s="6" t="s">
        <v>2928</v>
      </c>
      <c r="I1168" s="7">
        <f>5587</f>
        <v>5587</v>
      </c>
      <c r="J1168" s="5" t="s">
        <v>262</v>
      </c>
      <c r="K1168" s="8">
        <f>1</f>
        <v>1</v>
      </c>
      <c r="L1168" s="6" t="s">
        <v>242</v>
      </c>
      <c r="M1168" s="5" t="s">
        <v>267</v>
      </c>
      <c r="N1168" s="5" t="s">
        <v>265</v>
      </c>
      <c r="O1168" s="5" t="s">
        <v>238</v>
      </c>
      <c r="P1168" s="5" t="s">
        <v>238</v>
      </c>
      <c r="Q1168" s="5" t="s">
        <v>268</v>
      </c>
      <c r="R1168" s="5" t="s">
        <v>270</v>
      </c>
      <c r="S1168" s="5" t="s">
        <v>238</v>
      </c>
      <c r="V1168" s="5" t="s">
        <v>238</v>
      </c>
      <c r="X1168" s="6" t="s">
        <v>238</v>
      </c>
      <c r="AA1168" s="6" t="s">
        <v>243</v>
      </c>
      <c r="AB1168" s="5" t="s">
        <v>238</v>
      </c>
      <c r="AC1168" s="5" t="s">
        <v>244</v>
      </c>
      <c r="AD1168" s="5" t="s">
        <v>245</v>
      </c>
      <c r="AT1168" s="5" t="s">
        <v>246</v>
      </c>
      <c r="AU1168" s="5" t="s">
        <v>238</v>
      </c>
      <c r="AV1168" s="5" t="s">
        <v>247</v>
      </c>
      <c r="AW1168" s="5" t="s">
        <v>238</v>
      </c>
      <c r="AX1168" s="5" t="s">
        <v>249</v>
      </c>
      <c r="AY1168" s="5" t="s">
        <v>238</v>
      </c>
      <c r="BA1168" s="5" t="s">
        <v>238</v>
      </c>
      <c r="BC1168" s="5" t="s">
        <v>250</v>
      </c>
      <c r="BD1168" s="6" t="s">
        <v>243</v>
      </c>
      <c r="BE1168" s="5" t="s">
        <v>251</v>
      </c>
      <c r="BF1168" s="5" t="s">
        <v>252</v>
      </c>
      <c r="BG1168" s="5" t="s">
        <v>238</v>
      </c>
      <c r="BH1168" s="7">
        <f>0</f>
        <v>0</v>
      </c>
      <c r="BI1168" s="8">
        <f>0</f>
        <v>0</v>
      </c>
      <c r="BJ1168" s="5" t="s">
        <v>253</v>
      </c>
      <c r="BK1168" s="5" t="s">
        <v>254</v>
      </c>
      <c r="BY1168" s="5" t="s">
        <v>238</v>
      </c>
      <c r="BZ1168" s="5" t="s">
        <v>238</v>
      </c>
      <c r="CD1168" s="5" t="s">
        <v>273</v>
      </c>
      <c r="CE1168" s="5" t="s">
        <v>256</v>
      </c>
      <c r="CF1168" s="5" t="s">
        <v>238</v>
      </c>
      <c r="CI1168" s="6" t="s">
        <v>257</v>
      </c>
      <c r="CJ1168" s="5" t="s">
        <v>238</v>
      </c>
      <c r="CK1168" s="5" t="s">
        <v>258</v>
      </c>
      <c r="CL1168" s="5" t="s">
        <v>238</v>
      </c>
      <c r="CM1168" s="5" t="s">
        <v>238</v>
      </c>
      <c r="CN1168" s="5">
        <v>0</v>
      </c>
      <c r="CO1168" s="5" t="s">
        <v>259</v>
      </c>
      <c r="CP1168" s="5" t="s">
        <v>260</v>
      </c>
      <c r="CQ1168" s="5" t="s">
        <v>260</v>
      </c>
      <c r="CR1168" s="5" t="s">
        <v>261</v>
      </c>
      <c r="CU1168" s="8">
        <f>1</f>
        <v>1</v>
      </c>
      <c r="CV1168" s="8">
        <f>0</f>
        <v>0</v>
      </c>
      <c r="CX1168" s="8">
        <f>0</f>
        <v>0</v>
      </c>
      <c r="CY1168" s="8">
        <f>1</f>
        <v>1</v>
      </c>
      <c r="DA1168" s="5" t="s">
        <v>673</v>
      </c>
      <c r="DB1168" s="5" t="s">
        <v>238</v>
      </c>
      <c r="DD1168" s="5" t="s">
        <v>673</v>
      </c>
      <c r="DE1168" s="8">
        <f>5587</f>
        <v>5587</v>
      </c>
      <c r="DG1168" s="5" t="s">
        <v>238</v>
      </c>
      <c r="DH1168" s="5" t="s">
        <v>238</v>
      </c>
      <c r="DI1168" s="5" t="s">
        <v>238</v>
      </c>
      <c r="DJ1168" s="5" t="s">
        <v>238</v>
      </c>
      <c r="DN1168" s="5" t="s">
        <v>238</v>
      </c>
      <c r="DO1168" s="5" t="s">
        <v>238</v>
      </c>
      <c r="DP1168" s="5" t="s">
        <v>238</v>
      </c>
      <c r="DQ1168" s="5" t="s">
        <v>238</v>
      </c>
      <c r="DT1168" s="5" t="s">
        <v>2039</v>
      </c>
      <c r="DU1168" s="5" t="s">
        <v>1445</v>
      </c>
      <c r="HM1168" s="5" t="s">
        <v>264</v>
      </c>
    </row>
    <row r="1169" spans="1:221" x14ac:dyDescent="0.4">
      <c r="A1169" s="5">
        <v>2844</v>
      </c>
      <c r="B1169" s="5">
        <v>1</v>
      </c>
      <c r="C1169" s="5">
        <v>1</v>
      </c>
      <c r="D1169" s="5" t="s">
        <v>2037</v>
      </c>
      <c r="E1169" s="5" t="s">
        <v>271</v>
      </c>
      <c r="F1169" s="5" t="s">
        <v>248</v>
      </c>
      <c r="G1169" s="5" t="s">
        <v>1969</v>
      </c>
      <c r="H1169" s="6" t="s">
        <v>2927</v>
      </c>
      <c r="I1169" s="7">
        <f>1853</f>
        <v>1853</v>
      </c>
      <c r="J1169" s="5" t="s">
        <v>262</v>
      </c>
      <c r="K1169" s="8">
        <f>1</f>
        <v>1</v>
      </c>
      <c r="L1169" s="6" t="s">
        <v>242</v>
      </c>
      <c r="M1169" s="5" t="s">
        <v>267</v>
      </c>
      <c r="N1169" s="5" t="s">
        <v>265</v>
      </c>
      <c r="O1169" s="5" t="s">
        <v>238</v>
      </c>
      <c r="P1169" s="5" t="s">
        <v>238</v>
      </c>
      <c r="Q1169" s="5" t="s">
        <v>268</v>
      </c>
      <c r="R1169" s="5" t="s">
        <v>270</v>
      </c>
      <c r="S1169" s="5" t="s">
        <v>238</v>
      </c>
      <c r="V1169" s="5" t="s">
        <v>238</v>
      </c>
      <c r="X1169" s="6" t="s">
        <v>238</v>
      </c>
      <c r="AA1169" s="6" t="s">
        <v>243</v>
      </c>
      <c r="AB1169" s="5" t="s">
        <v>238</v>
      </c>
      <c r="AC1169" s="5" t="s">
        <v>244</v>
      </c>
      <c r="AD1169" s="5" t="s">
        <v>245</v>
      </c>
      <c r="AT1169" s="5" t="s">
        <v>246</v>
      </c>
      <c r="AU1169" s="5" t="s">
        <v>238</v>
      </c>
      <c r="AV1169" s="5" t="s">
        <v>247</v>
      </c>
      <c r="AW1169" s="5" t="s">
        <v>238</v>
      </c>
      <c r="AX1169" s="5" t="s">
        <v>249</v>
      </c>
      <c r="AY1169" s="5" t="s">
        <v>238</v>
      </c>
      <c r="BA1169" s="5" t="s">
        <v>238</v>
      </c>
      <c r="BC1169" s="5" t="s">
        <v>250</v>
      </c>
      <c r="BD1169" s="6" t="s">
        <v>243</v>
      </c>
      <c r="BE1169" s="5" t="s">
        <v>251</v>
      </c>
      <c r="BF1169" s="5" t="s">
        <v>252</v>
      </c>
      <c r="BG1169" s="5" t="s">
        <v>238</v>
      </c>
      <c r="BH1169" s="7">
        <f>0</f>
        <v>0</v>
      </c>
      <c r="BI1169" s="8">
        <f>0</f>
        <v>0</v>
      </c>
      <c r="BJ1169" s="5" t="s">
        <v>253</v>
      </c>
      <c r="BK1169" s="5" t="s">
        <v>254</v>
      </c>
      <c r="BY1169" s="5" t="s">
        <v>238</v>
      </c>
      <c r="BZ1169" s="5" t="s">
        <v>238</v>
      </c>
      <c r="CD1169" s="5" t="s">
        <v>273</v>
      </c>
      <c r="CE1169" s="5" t="s">
        <v>256</v>
      </c>
      <c r="CF1169" s="5" t="s">
        <v>238</v>
      </c>
      <c r="CI1169" s="6" t="s">
        <v>257</v>
      </c>
      <c r="CJ1169" s="5" t="s">
        <v>238</v>
      </c>
      <c r="CK1169" s="5" t="s">
        <v>258</v>
      </c>
      <c r="CL1169" s="5" t="s">
        <v>238</v>
      </c>
      <c r="CM1169" s="5" t="s">
        <v>238</v>
      </c>
      <c r="CN1169" s="5">
        <v>0</v>
      </c>
      <c r="CO1169" s="5" t="s">
        <v>259</v>
      </c>
      <c r="CP1169" s="5" t="s">
        <v>260</v>
      </c>
      <c r="CQ1169" s="5" t="s">
        <v>260</v>
      </c>
      <c r="CR1169" s="5" t="s">
        <v>261</v>
      </c>
      <c r="CU1169" s="8">
        <f>1</f>
        <v>1</v>
      </c>
      <c r="CV1169" s="8">
        <f>0</f>
        <v>0</v>
      </c>
      <c r="CX1169" s="8">
        <f>0</f>
        <v>0</v>
      </c>
      <c r="CY1169" s="8">
        <f>1</f>
        <v>1</v>
      </c>
      <c r="DA1169" s="5" t="s">
        <v>673</v>
      </c>
      <c r="DB1169" s="5" t="s">
        <v>238</v>
      </c>
      <c r="DD1169" s="5" t="s">
        <v>673</v>
      </c>
      <c r="DE1169" s="8">
        <f>1853</f>
        <v>1853</v>
      </c>
      <c r="DG1169" s="5" t="s">
        <v>238</v>
      </c>
      <c r="DH1169" s="5" t="s">
        <v>238</v>
      </c>
      <c r="DI1169" s="5" t="s">
        <v>238</v>
      </c>
      <c r="DJ1169" s="5" t="s">
        <v>238</v>
      </c>
      <c r="DN1169" s="5" t="s">
        <v>238</v>
      </c>
      <c r="DO1169" s="5" t="s">
        <v>238</v>
      </c>
      <c r="DP1169" s="5" t="s">
        <v>238</v>
      </c>
      <c r="DQ1169" s="5" t="s">
        <v>238</v>
      </c>
      <c r="DT1169" s="5" t="s">
        <v>2039</v>
      </c>
      <c r="DU1169" s="5" t="s">
        <v>1422</v>
      </c>
      <c r="HM1169" s="5" t="s">
        <v>264</v>
      </c>
    </row>
    <row r="1170" spans="1:221" x14ac:dyDescent="0.4">
      <c r="A1170" s="5">
        <v>2845</v>
      </c>
      <c r="B1170" s="5">
        <v>1</v>
      </c>
      <c r="C1170" s="5">
        <v>1</v>
      </c>
      <c r="D1170" s="5" t="s">
        <v>2037</v>
      </c>
      <c r="E1170" s="5" t="s">
        <v>271</v>
      </c>
      <c r="F1170" s="5" t="s">
        <v>248</v>
      </c>
      <c r="G1170" s="5" t="s">
        <v>1969</v>
      </c>
      <c r="H1170" s="6" t="s">
        <v>2926</v>
      </c>
      <c r="I1170" s="7">
        <f>1802</f>
        <v>1802</v>
      </c>
      <c r="J1170" s="5" t="s">
        <v>262</v>
      </c>
      <c r="K1170" s="8">
        <f>1</f>
        <v>1</v>
      </c>
      <c r="L1170" s="6" t="s">
        <v>242</v>
      </c>
      <c r="M1170" s="5" t="s">
        <v>267</v>
      </c>
      <c r="N1170" s="5" t="s">
        <v>265</v>
      </c>
      <c r="O1170" s="5" t="s">
        <v>238</v>
      </c>
      <c r="P1170" s="5" t="s">
        <v>238</v>
      </c>
      <c r="Q1170" s="5" t="s">
        <v>268</v>
      </c>
      <c r="R1170" s="5" t="s">
        <v>270</v>
      </c>
      <c r="S1170" s="5" t="s">
        <v>238</v>
      </c>
      <c r="V1170" s="5" t="s">
        <v>238</v>
      </c>
      <c r="X1170" s="6" t="s">
        <v>238</v>
      </c>
      <c r="AA1170" s="6" t="s">
        <v>243</v>
      </c>
      <c r="AB1170" s="5" t="s">
        <v>238</v>
      </c>
      <c r="AC1170" s="5" t="s">
        <v>244</v>
      </c>
      <c r="AD1170" s="5" t="s">
        <v>245</v>
      </c>
      <c r="AT1170" s="5" t="s">
        <v>246</v>
      </c>
      <c r="AU1170" s="5" t="s">
        <v>238</v>
      </c>
      <c r="AV1170" s="5" t="s">
        <v>247</v>
      </c>
      <c r="AW1170" s="5" t="s">
        <v>238</v>
      </c>
      <c r="AX1170" s="5" t="s">
        <v>249</v>
      </c>
      <c r="AY1170" s="5" t="s">
        <v>238</v>
      </c>
      <c r="BA1170" s="5" t="s">
        <v>238</v>
      </c>
      <c r="BC1170" s="5" t="s">
        <v>250</v>
      </c>
      <c r="BD1170" s="6" t="s">
        <v>243</v>
      </c>
      <c r="BE1170" s="5" t="s">
        <v>251</v>
      </c>
      <c r="BF1170" s="5" t="s">
        <v>252</v>
      </c>
      <c r="BG1170" s="5" t="s">
        <v>238</v>
      </c>
      <c r="BH1170" s="7">
        <f>0</f>
        <v>0</v>
      </c>
      <c r="BI1170" s="8">
        <f>0</f>
        <v>0</v>
      </c>
      <c r="BJ1170" s="5" t="s">
        <v>253</v>
      </c>
      <c r="BK1170" s="5" t="s">
        <v>254</v>
      </c>
      <c r="BY1170" s="5" t="s">
        <v>238</v>
      </c>
      <c r="BZ1170" s="5" t="s">
        <v>238</v>
      </c>
      <c r="CD1170" s="5" t="s">
        <v>273</v>
      </c>
      <c r="CE1170" s="5" t="s">
        <v>256</v>
      </c>
      <c r="CF1170" s="5" t="s">
        <v>238</v>
      </c>
      <c r="CI1170" s="6" t="s">
        <v>257</v>
      </c>
      <c r="CJ1170" s="5" t="s">
        <v>238</v>
      </c>
      <c r="CK1170" s="5" t="s">
        <v>258</v>
      </c>
      <c r="CL1170" s="5" t="s">
        <v>238</v>
      </c>
      <c r="CM1170" s="5" t="s">
        <v>238</v>
      </c>
      <c r="CN1170" s="5">
        <v>0</v>
      </c>
      <c r="CO1170" s="5" t="s">
        <v>259</v>
      </c>
      <c r="CP1170" s="5" t="s">
        <v>260</v>
      </c>
      <c r="CQ1170" s="5" t="s">
        <v>260</v>
      </c>
      <c r="CR1170" s="5" t="s">
        <v>261</v>
      </c>
      <c r="CU1170" s="8">
        <f>1</f>
        <v>1</v>
      </c>
      <c r="CV1170" s="8">
        <f>0</f>
        <v>0</v>
      </c>
      <c r="CX1170" s="8">
        <f>0</f>
        <v>0</v>
      </c>
      <c r="CY1170" s="8">
        <f>1</f>
        <v>1</v>
      </c>
      <c r="DA1170" s="5" t="s">
        <v>673</v>
      </c>
      <c r="DB1170" s="5" t="s">
        <v>238</v>
      </c>
      <c r="DD1170" s="5" t="s">
        <v>673</v>
      </c>
      <c r="DE1170" s="8">
        <f>1802</f>
        <v>1802</v>
      </c>
      <c r="DG1170" s="5" t="s">
        <v>238</v>
      </c>
      <c r="DH1170" s="5" t="s">
        <v>238</v>
      </c>
      <c r="DI1170" s="5" t="s">
        <v>238</v>
      </c>
      <c r="DJ1170" s="5" t="s">
        <v>238</v>
      </c>
      <c r="DN1170" s="5" t="s">
        <v>238</v>
      </c>
      <c r="DO1170" s="5" t="s">
        <v>238</v>
      </c>
      <c r="DP1170" s="5" t="s">
        <v>238</v>
      </c>
      <c r="DQ1170" s="5" t="s">
        <v>238</v>
      </c>
      <c r="DT1170" s="5" t="s">
        <v>2039</v>
      </c>
      <c r="DU1170" s="5" t="s">
        <v>1472</v>
      </c>
      <c r="HM1170" s="5" t="s">
        <v>264</v>
      </c>
    </row>
    <row r="1171" spans="1:221" x14ac:dyDescent="0.4">
      <c r="A1171" s="5">
        <v>2846</v>
      </c>
      <c r="B1171" s="5">
        <v>1</v>
      </c>
      <c r="C1171" s="5">
        <v>1</v>
      </c>
      <c r="D1171" s="5" t="s">
        <v>2037</v>
      </c>
      <c r="E1171" s="5" t="s">
        <v>271</v>
      </c>
      <c r="F1171" s="5" t="s">
        <v>248</v>
      </c>
      <c r="G1171" s="5" t="s">
        <v>1969</v>
      </c>
      <c r="H1171" s="6" t="s">
        <v>2925</v>
      </c>
      <c r="I1171" s="7">
        <f>371</f>
        <v>371</v>
      </c>
      <c r="J1171" s="5" t="s">
        <v>262</v>
      </c>
      <c r="K1171" s="8">
        <f>1</f>
        <v>1</v>
      </c>
      <c r="L1171" s="6" t="s">
        <v>242</v>
      </c>
      <c r="M1171" s="5" t="s">
        <v>267</v>
      </c>
      <c r="N1171" s="5" t="s">
        <v>265</v>
      </c>
      <c r="O1171" s="5" t="s">
        <v>238</v>
      </c>
      <c r="P1171" s="5" t="s">
        <v>238</v>
      </c>
      <c r="Q1171" s="5" t="s">
        <v>268</v>
      </c>
      <c r="R1171" s="5" t="s">
        <v>270</v>
      </c>
      <c r="S1171" s="5" t="s">
        <v>238</v>
      </c>
      <c r="V1171" s="5" t="s">
        <v>238</v>
      </c>
      <c r="X1171" s="6" t="s">
        <v>238</v>
      </c>
      <c r="AA1171" s="6" t="s">
        <v>243</v>
      </c>
      <c r="AB1171" s="5" t="s">
        <v>238</v>
      </c>
      <c r="AC1171" s="5" t="s">
        <v>244</v>
      </c>
      <c r="AD1171" s="5" t="s">
        <v>245</v>
      </c>
      <c r="AT1171" s="5" t="s">
        <v>246</v>
      </c>
      <c r="AU1171" s="5" t="s">
        <v>238</v>
      </c>
      <c r="AV1171" s="5" t="s">
        <v>247</v>
      </c>
      <c r="AW1171" s="5" t="s">
        <v>238</v>
      </c>
      <c r="AX1171" s="5" t="s">
        <v>249</v>
      </c>
      <c r="AY1171" s="5" t="s">
        <v>238</v>
      </c>
      <c r="BA1171" s="5" t="s">
        <v>238</v>
      </c>
      <c r="BC1171" s="5" t="s">
        <v>250</v>
      </c>
      <c r="BD1171" s="6" t="s">
        <v>243</v>
      </c>
      <c r="BE1171" s="5" t="s">
        <v>251</v>
      </c>
      <c r="BF1171" s="5" t="s">
        <v>252</v>
      </c>
      <c r="BG1171" s="5" t="s">
        <v>238</v>
      </c>
      <c r="BH1171" s="7">
        <f>0</f>
        <v>0</v>
      </c>
      <c r="BI1171" s="8">
        <f>0</f>
        <v>0</v>
      </c>
      <c r="BJ1171" s="5" t="s">
        <v>253</v>
      </c>
      <c r="BK1171" s="5" t="s">
        <v>254</v>
      </c>
      <c r="BY1171" s="5" t="s">
        <v>238</v>
      </c>
      <c r="BZ1171" s="5" t="s">
        <v>238</v>
      </c>
      <c r="CD1171" s="5" t="s">
        <v>273</v>
      </c>
      <c r="CE1171" s="5" t="s">
        <v>256</v>
      </c>
      <c r="CF1171" s="5" t="s">
        <v>238</v>
      </c>
      <c r="CI1171" s="6" t="s">
        <v>257</v>
      </c>
      <c r="CJ1171" s="5" t="s">
        <v>238</v>
      </c>
      <c r="CK1171" s="5" t="s">
        <v>258</v>
      </c>
      <c r="CL1171" s="5" t="s">
        <v>238</v>
      </c>
      <c r="CM1171" s="5" t="s">
        <v>238</v>
      </c>
      <c r="CN1171" s="5">
        <v>0</v>
      </c>
      <c r="CO1171" s="5" t="s">
        <v>259</v>
      </c>
      <c r="CP1171" s="5" t="s">
        <v>260</v>
      </c>
      <c r="CQ1171" s="5" t="s">
        <v>260</v>
      </c>
      <c r="CR1171" s="5" t="s">
        <v>261</v>
      </c>
      <c r="CU1171" s="8">
        <f>1</f>
        <v>1</v>
      </c>
      <c r="CV1171" s="8">
        <f>0</f>
        <v>0</v>
      </c>
      <c r="CX1171" s="8">
        <f>0</f>
        <v>0</v>
      </c>
      <c r="CY1171" s="8">
        <f>1</f>
        <v>1</v>
      </c>
      <c r="DA1171" s="5" t="s">
        <v>673</v>
      </c>
      <c r="DB1171" s="5" t="s">
        <v>238</v>
      </c>
      <c r="DD1171" s="5" t="s">
        <v>673</v>
      </c>
      <c r="DE1171" s="8">
        <f>371</f>
        <v>371</v>
      </c>
      <c r="DG1171" s="5" t="s">
        <v>238</v>
      </c>
      <c r="DH1171" s="5" t="s">
        <v>238</v>
      </c>
      <c r="DI1171" s="5" t="s">
        <v>238</v>
      </c>
      <c r="DJ1171" s="5" t="s">
        <v>238</v>
      </c>
      <c r="DN1171" s="5" t="s">
        <v>238</v>
      </c>
      <c r="DO1171" s="5" t="s">
        <v>238</v>
      </c>
      <c r="DP1171" s="5" t="s">
        <v>238</v>
      </c>
      <c r="DQ1171" s="5" t="s">
        <v>238</v>
      </c>
      <c r="DT1171" s="5" t="s">
        <v>2039</v>
      </c>
      <c r="DU1171" s="5" t="s">
        <v>1531</v>
      </c>
      <c r="HM1171" s="5" t="s">
        <v>264</v>
      </c>
    </row>
    <row r="1172" spans="1:221" x14ac:dyDescent="0.4">
      <c r="A1172" s="5">
        <v>2847</v>
      </c>
      <c r="B1172" s="5">
        <v>1</v>
      </c>
      <c r="C1172" s="5">
        <v>1</v>
      </c>
      <c r="D1172" s="5" t="s">
        <v>2037</v>
      </c>
      <c r="E1172" s="5" t="s">
        <v>271</v>
      </c>
      <c r="F1172" s="5" t="s">
        <v>248</v>
      </c>
      <c r="G1172" s="5" t="s">
        <v>1969</v>
      </c>
      <c r="H1172" s="6" t="s">
        <v>2924</v>
      </c>
      <c r="I1172" s="7">
        <f>2234</f>
        <v>2234</v>
      </c>
      <c r="J1172" s="5" t="s">
        <v>262</v>
      </c>
      <c r="K1172" s="8">
        <f>1</f>
        <v>1</v>
      </c>
      <c r="L1172" s="6" t="s">
        <v>242</v>
      </c>
      <c r="M1172" s="5" t="s">
        <v>267</v>
      </c>
      <c r="N1172" s="5" t="s">
        <v>265</v>
      </c>
      <c r="O1172" s="5" t="s">
        <v>238</v>
      </c>
      <c r="P1172" s="5" t="s">
        <v>238</v>
      </c>
      <c r="Q1172" s="5" t="s">
        <v>268</v>
      </c>
      <c r="R1172" s="5" t="s">
        <v>270</v>
      </c>
      <c r="S1172" s="5" t="s">
        <v>238</v>
      </c>
      <c r="V1172" s="5" t="s">
        <v>238</v>
      </c>
      <c r="X1172" s="6" t="s">
        <v>238</v>
      </c>
      <c r="AA1172" s="6" t="s">
        <v>243</v>
      </c>
      <c r="AB1172" s="5" t="s">
        <v>238</v>
      </c>
      <c r="AC1172" s="5" t="s">
        <v>244</v>
      </c>
      <c r="AD1172" s="5" t="s">
        <v>245</v>
      </c>
      <c r="AT1172" s="5" t="s">
        <v>246</v>
      </c>
      <c r="AU1172" s="5" t="s">
        <v>238</v>
      </c>
      <c r="AV1172" s="5" t="s">
        <v>247</v>
      </c>
      <c r="AW1172" s="5" t="s">
        <v>238</v>
      </c>
      <c r="AX1172" s="5" t="s">
        <v>249</v>
      </c>
      <c r="AY1172" s="5" t="s">
        <v>238</v>
      </c>
      <c r="BA1172" s="5" t="s">
        <v>238</v>
      </c>
      <c r="BC1172" s="5" t="s">
        <v>250</v>
      </c>
      <c r="BD1172" s="6" t="s">
        <v>243</v>
      </c>
      <c r="BE1172" s="5" t="s">
        <v>251</v>
      </c>
      <c r="BF1172" s="5" t="s">
        <v>252</v>
      </c>
      <c r="BG1172" s="5" t="s">
        <v>238</v>
      </c>
      <c r="BH1172" s="7">
        <f>0</f>
        <v>0</v>
      </c>
      <c r="BI1172" s="8">
        <f>0</f>
        <v>0</v>
      </c>
      <c r="BJ1172" s="5" t="s">
        <v>253</v>
      </c>
      <c r="BK1172" s="5" t="s">
        <v>254</v>
      </c>
      <c r="BY1172" s="5" t="s">
        <v>238</v>
      </c>
      <c r="BZ1172" s="5" t="s">
        <v>238</v>
      </c>
      <c r="CD1172" s="5" t="s">
        <v>273</v>
      </c>
      <c r="CE1172" s="5" t="s">
        <v>256</v>
      </c>
      <c r="CF1172" s="5" t="s">
        <v>238</v>
      </c>
      <c r="CI1172" s="6" t="s">
        <v>257</v>
      </c>
      <c r="CJ1172" s="5" t="s">
        <v>238</v>
      </c>
      <c r="CK1172" s="5" t="s">
        <v>258</v>
      </c>
      <c r="CL1172" s="5" t="s">
        <v>238</v>
      </c>
      <c r="CM1172" s="5" t="s">
        <v>238</v>
      </c>
      <c r="CN1172" s="5">
        <v>0</v>
      </c>
      <c r="CO1172" s="5" t="s">
        <v>259</v>
      </c>
      <c r="CP1172" s="5" t="s">
        <v>260</v>
      </c>
      <c r="CQ1172" s="5" t="s">
        <v>260</v>
      </c>
      <c r="CR1172" s="5" t="s">
        <v>261</v>
      </c>
      <c r="CU1172" s="8">
        <f>1</f>
        <v>1</v>
      </c>
      <c r="CV1172" s="8">
        <f>0</f>
        <v>0</v>
      </c>
      <c r="CX1172" s="8">
        <f>0</f>
        <v>0</v>
      </c>
      <c r="CY1172" s="8">
        <f>1</f>
        <v>1</v>
      </c>
      <c r="DA1172" s="5" t="s">
        <v>673</v>
      </c>
      <c r="DB1172" s="5" t="s">
        <v>238</v>
      </c>
      <c r="DD1172" s="5" t="s">
        <v>673</v>
      </c>
      <c r="DE1172" s="8">
        <f>2234</f>
        <v>2234</v>
      </c>
      <c r="DG1172" s="5" t="s">
        <v>238</v>
      </c>
      <c r="DH1172" s="5" t="s">
        <v>238</v>
      </c>
      <c r="DI1172" s="5" t="s">
        <v>238</v>
      </c>
      <c r="DJ1172" s="5" t="s">
        <v>238</v>
      </c>
      <c r="DN1172" s="5" t="s">
        <v>238</v>
      </c>
      <c r="DO1172" s="5" t="s">
        <v>238</v>
      </c>
      <c r="DP1172" s="5" t="s">
        <v>238</v>
      </c>
      <c r="DQ1172" s="5" t="s">
        <v>238</v>
      </c>
      <c r="DT1172" s="5" t="s">
        <v>2039</v>
      </c>
      <c r="DU1172" s="5" t="s">
        <v>1656</v>
      </c>
      <c r="HM1172" s="5" t="s">
        <v>264</v>
      </c>
    </row>
    <row r="1173" spans="1:221" x14ac:dyDescent="0.4">
      <c r="A1173" s="5">
        <v>2848</v>
      </c>
      <c r="B1173" s="5">
        <v>1</v>
      </c>
      <c r="C1173" s="5">
        <v>1</v>
      </c>
      <c r="D1173" s="5" t="s">
        <v>2037</v>
      </c>
      <c r="E1173" s="5" t="s">
        <v>271</v>
      </c>
      <c r="F1173" s="5" t="s">
        <v>248</v>
      </c>
      <c r="G1173" s="5" t="s">
        <v>1969</v>
      </c>
      <c r="H1173" s="6" t="s">
        <v>2923</v>
      </c>
      <c r="I1173" s="7">
        <f>441</f>
        <v>441</v>
      </c>
      <c r="J1173" s="5" t="s">
        <v>262</v>
      </c>
      <c r="K1173" s="8">
        <f>1</f>
        <v>1</v>
      </c>
      <c r="L1173" s="6" t="s">
        <v>242</v>
      </c>
      <c r="M1173" s="5" t="s">
        <v>267</v>
      </c>
      <c r="N1173" s="5" t="s">
        <v>265</v>
      </c>
      <c r="O1173" s="5" t="s">
        <v>238</v>
      </c>
      <c r="P1173" s="5" t="s">
        <v>238</v>
      </c>
      <c r="Q1173" s="5" t="s">
        <v>268</v>
      </c>
      <c r="R1173" s="5" t="s">
        <v>270</v>
      </c>
      <c r="S1173" s="5" t="s">
        <v>238</v>
      </c>
      <c r="V1173" s="5" t="s">
        <v>238</v>
      </c>
      <c r="X1173" s="6" t="s">
        <v>238</v>
      </c>
      <c r="AA1173" s="6" t="s">
        <v>243</v>
      </c>
      <c r="AB1173" s="5" t="s">
        <v>238</v>
      </c>
      <c r="AC1173" s="5" t="s">
        <v>244</v>
      </c>
      <c r="AD1173" s="5" t="s">
        <v>245</v>
      </c>
      <c r="AT1173" s="5" t="s">
        <v>246</v>
      </c>
      <c r="AU1173" s="5" t="s">
        <v>238</v>
      </c>
      <c r="AV1173" s="5" t="s">
        <v>247</v>
      </c>
      <c r="AW1173" s="5" t="s">
        <v>238</v>
      </c>
      <c r="AX1173" s="5" t="s">
        <v>249</v>
      </c>
      <c r="AY1173" s="5" t="s">
        <v>238</v>
      </c>
      <c r="BA1173" s="5" t="s">
        <v>238</v>
      </c>
      <c r="BC1173" s="5" t="s">
        <v>250</v>
      </c>
      <c r="BD1173" s="6" t="s">
        <v>243</v>
      </c>
      <c r="BE1173" s="5" t="s">
        <v>251</v>
      </c>
      <c r="BF1173" s="5" t="s">
        <v>252</v>
      </c>
      <c r="BG1173" s="5" t="s">
        <v>238</v>
      </c>
      <c r="BH1173" s="7">
        <f>0</f>
        <v>0</v>
      </c>
      <c r="BI1173" s="8">
        <f>0</f>
        <v>0</v>
      </c>
      <c r="BJ1173" s="5" t="s">
        <v>253</v>
      </c>
      <c r="BK1173" s="5" t="s">
        <v>254</v>
      </c>
      <c r="BY1173" s="5" t="s">
        <v>238</v>
      </c>
      <c r="BZ1173" s="5" t="s">
        <v>238</v>
      </c>
      <c r="CD1173" s="5" t="s">
        <v>273</v>
      </c>
      <c r="CE1173" s="5" t="s">
        <v>256</v>
      </c>
      <c r="CF1173" s="5" t="s">
        <v>238</v>
      </c>
      <c r="CI1173" s="6" t="s">
        <v>257</v>
      </c>
      <c r="CJ1173" s="5" t="s">
        <v>238</v>
      </c>
      <c r="CK1173" s="5" t="s">
        <v>258</v>
      </c>
      <c r="CL1173" s="5" t="s">
        <v>238</v>
      </c>
      <c r="CM1173" s="5" t="s">
        <v>238</v>
      </c>
      <c r="CN1173" s="5">
        <v>0</v>
      </c>
      <c r="CO1173" s="5" t="s">
        <v>259</v>
      </c>
      <c r="CP1173" s="5" t="s">
        <v>260</v>
      </c>
      <c r="CQ1173" s="5" t="s">
        <v>260</v>
      </c>
      <c r="CR1173" s="5" t="s">
        <v>261</v>
      </c>
      <c r="CU1173" s="8">
        <f>1</f>
        <v>1</v>
      </c>
      <c r="CV1173" s="8">
        <f>0</f>
        <v>0</v>
      </c>
      <c r="CX1173" s="8">
        <f>0</f>
        <v>0</v>
      </c>
      <c r="CY1173" s="8">
        <f>1</f>
        <v>1</v>
      </c>
      <c r="DA1173" s="5" t="s">
        <v>673</v>
      </c>
      <c r="DB1173" s="5" t="s">
        <v>238</v>
      </c>
      <c r="DD1173" s="5" t="s">
        <v>673</v>
      </c>
      <c r="DE1173" s="8">
        <f>441</f>
        <v>441</v>
      </c>
      <c r="DG1173" s="5" t="s">
        <v>238</v>
      </c>
      <c r="DH1173" s="5" t="s">
        <v>238</v>
      </c>
      <c r="DI1173" s="5" t="s">
        <v>238</v>
      </c>
      <c r="DJ1173" s="5" t="s">
        <v>238</v>
      </c>
      <c r="DN1173" s="5" t="s">
        <v>238</v>
      </c>
      <c r="DO1173" s="5" t="s">
        <v>238</v>
      </c>
      <c r="DP1173" s="5" t="s">
        <v>238</v>
      </c>
      <c r="DQ1173" s="5" t="s">
        <v>238</v>
      </c>
      <c r="DT1173" s="5" t="s">
        <v>2039</v>
      </c>
      <c r="DU1173" s="5" t="s">
        <v>1679</v>
      </c>
      <c r="HM1173" s="5" t="s">
        <v>264</v>
      </c>
    </row>
    <row r="1174" spans="1:221" x14ac:dyDescent="0.4">
      <c r="A1174" s="5">
        <v>2849</v>
      </c>
      <c r="B1174" s="5">
        <v>1</v>
      </c>
      <c r="C1174" s="5">
        <v>1</v>
      </c>
      <c r="D1174" s="5" t="s">
        <v>2037</v>
      </c>
      <c r="E1174" s="5" t="s">
        <v>271</v>
      </c>
      <c r="F1174" s="5" t="s">
        <v>248</v>
      </c>
      <c r="G1174" s="5" t="s">
        <v>1969</v>
      </c>
      <c r="H1174" s="6" t="s">
        <v>2920</v>
      </c>
      <c r="I1174" s="7">
        <f>1913</f>
        <v>1913</v>
      </c>
      <c r="J1174" s="5" t="s">
        <v>262</v>
      </c>
      <c r="K1174" s="8">
        <f>1</f>
        <v>1</v>
      </c>
      <c r="L1174" s="6" t="s">
        <v>242</v>
      </c>
      <c r="M1174" s="5" t="s">
        <v>267</v>
      </c>
      <c r="N1174" s="5" t="s">
        <v>265</v>
      </c>
      <c r="O1174" s="5" t="s">
        <v>238</v>
      </c>
      <c r="P1174" s="5" t="s">
        <v>238</v>
      </c>
      <c r="Q1174" s="5" t="s">
        <v>268</v>
      </c>
      <c r="R1174" s="5" t="s">
        <v>270</v>
      </c>
      <c r="S1174" s="5" t="s">
        <v>238</v>
      </c>
      <c r="V1174" s="5" t="s">
        <v>238</v>
      </c>
      <c r="X1174" s="6" t="s">
        <v>238</v>
      </c>
      <c r="AA1174" s="6" t="s">
        <v>243</v>
      </c>
      <c r="AB1174" s="5" t="s">
        <v>238</v>
      </c>
      <c r="AC1174" s="5" t="s">
        <v>244</v>
      </c>
      <c r="AD1174" s="5" t="s">
        <v>245</v>
      </c>
      <c r="AT1174" s="5" t="s">
        <v>246</v>
      </c>
      <c r="AU1174" s="5" t="s">
        <v>238</v>
      </c>
      <c r="AV1174" s="5" t="s">
        <v>247</v>
      </c>
      <c r="AW1174" s="5" t="s">
        <v>238</v>
      </c>
      <c r="AX1174" s="5" t="s">
        <v>249</v>
      </c>
      <c r="AY1174" s="5" t="s">
        <v>238</v>
      </c>
      <c r="BA1174" s="5" t="s">
        <v>238</v>
      </c>
      <c r="BC1174" s="5" t="s">
        <v>250</v>
      </c>
      <c r="BD1174" s="6" t="s">
        <v>243</v>
      </c>
      <c r="BE1174" s="5" t="s">
        <v>251</v>
      </c>
      <c r="BF1174" s="5" t="s">
        <v>252</v>
      </c>
      <c r="BG1174" s="5" t="s">
        <v>238</v>
      </c>
      <c r="BH1174" s="7">
        <f>0</f>
        <v>0</v>
      </c>
      <c r="BI1174" s="8">
        <f>0</f>
        <v>0</v>
      </c>
      <c r="BJ1174" s="5" t="s">
        <v>253</v>
      </c>
      <c r="BK1174" s="5" t="s">
        <v>254</v>
      </c>
      <c r="BY1174" s="5" t="s">
        <v>238</v>
      </c>
      <c r="BZ1174" s="5" t="s">
        <v>238</v>
      </c>
      <c r="CD1174" s="5" t="s">
        <v>273</v>
      </c>
      <c r="CE1174" s="5" t="s">
        <v>256</v>
      </c>
      <c r="CF1174" s="5" t="s">
        <v>238</v>
      </c>
      <c r="CI1174" s="6" t="s">
        <v>257</v>
      </c>
      <c r="CJ1174" s="5" t="s">
        <v>238</v>
      </c>
      <c r="CK1174" s="5" t="s">
        <v>258</v>
      </c>
      <c r="CL1174" s="5" t="s">
        <v>238</v>
      </c>
      <c r="CM1174" s="5" t="s">
        <v>238</v>
      </c>
      <c r="CN1174" s="5">
        <v>0</v>
      </c>
      <c r="CO1174" s="5" t="s">
        <v>259</v>
      </c>
      <c r="CP1174" s="5" t="s">
        <v>260</v>
      </c>
      <c r="CQ1174" s="5" t="s">
        <v>260</v>
      </c>
      <c r="CR1174" s="5" t="s">
        <v>261</v>
      </c>
      <c r="CU1174" s="8">
        <f>1</f>
        <v>1</v>
      </c>
      <c r="CV1174" s="8">
        <f>0</f>
        <v>0</v>
      </c>
      <c r="CX1174" s="8">
        <f>0</f>
        <v>0</v>
      </c>
      <c r="CY1174" s="8">
        <f>1</f>
        <v>1</v>
      </c>
      <c r="DA1174" s="5" t="s">
        <v>673</v>
      </c>
      <c r="DB1174" s="5" t="s">
        <v>238</v>
      </c>
      <c r="DD1174" s="5" t="s">
        <v>673</v>
      </c>
      <c r="DE1174" s="8">
        <f>1913</f>
        <v>1913</v>
      </c>
      <c r="DG1174" s="5" t="s">
        <v>238</v>
      </c>
      <c r="DH1174" s="5" t="s">
        <v>238</v>
      </c>
      <c r="DI1174" s="5" t="s">
        <v>238</v>
      </c>
      <c r="DJ1174" s="5" t="s">
        <v>238</v>
      </c>
      <c r="DN1174" s="5" t="s">
        <v>238</v>
      </c>
      <c r="DO1174" s="5" t="s">
        <v>238</v>
      </c>
      <c r="DP1174" s="5" t="s">
        <v>238</v>
      </c>
      <c r="DQ1174" s="5" t="s">
        <v>238</v>
      </c>
      <c r="DT1174" s="5" t="s">
        <v>2039</v>
      </c>
      <c r="DU1174" s="5" t="s">
        <v>1686</v>
      </c>
      <c r="HM1174" s="5" t="s">
        <v>264</v>
      </c>
    </row>
    <row r="1175" spans="1:221" x14ac:dyDescent="0.4">
      <c r="A1175" s="5">
        <v>2850</v>
      </c>
      <c r="B1175" s="5">
        <v>1</v>
      </c>
      <c r="C1175" s="5">
        <v>1</v>
      </c>
      <c r="D1175" s="5" t="s">
        <v>2037</v>
      </c>
      <c r="E1175" s="5" t="s">
        <v>271</v>
      </c>
      <c r="F1175" s="5" t="s">
        <v>248</v>
      </c>
      <c r="G1175" s="5" t="s">
        <v>1969</v>
      </c>
      <c r="H1175" s="6" t="s">
        <v>2919</v>
      </c>
      <c r="I1175" s="7">
        <f>2955</f>
        <v>2955</v>
      </c>
      <c r="J1175" s="5" t="s">
        <v>262</v>
      </c>
      <c r="K1175" s="8">
        <f>1</f>
        <v>1</v>
      </c>
      <c r="L1175" s="6" t="s">
        <v>242</v>
      </c>
      <c r="M1175" s="5" t="s">
        <v>267</v>
      </c>
      <c r="N1175" s="5" t="s">
        <v>265</v>
      </c>
      <c r="O1175" s="5" t="s">
        <v>238</v>
      </c>
      <c r="P1175" s="5" t="s">
        <v>238</v>
      </c>
      <c r="Q1175" s="5" t="s">
        <v>268</v>
      </c>
      <c r="R1175" s="5" t="s">
        <v>270</v>
      </c>
      <c r="S1175" s="5" t="s">
        <v>238</v>
      </c>
      <c r="V1175" s="5" t="s">
        <v>238</v>
      </c>
      <c r="X1175" s="6" t="s">
        <v>238</v>
      </c>
      <c r="AA1175" s="6" t="s">
        <v>243</v>
      </c>
      <c r="AB1175" s="5" t="s">
        <v>238</v>
      </c>
      <c r="AC1175" s="5" t="s">
        <v>244</v>
      </c>
      <c r="AD1175" s="5" t="s">
        <v>245</v>
      </c>
      <c r="AT1175" s="5" t="s">
        <v>246</v>
      </c>
      <c r="AU1175" s="5" t="s">
        <v>238</v>
      </c>
      <c r="AV1175" s="5" t="s">
        <v>247</v>
      </c>
      <c r="AW1175" s="5" t="s">
        <v>238</v>
      </c>
      <c r="AX1175" s="5" t="s">
        <v>249</v>
      </c>
      <c r="AY1175" s="5" t="s">
        <v>238</v>
      </c>
      <c r="BA1175" s="5" t="s">
        <v>238</v>
      </c>
      <c r="BC1175" s="5" t="s">
        <v>250</v>
      </c>
      <c r="BD1175" s="6" t="s">
        <v>243</v>
      </c>
      <c r="BE1175" s="5" t="s">
        <v>251</v>
      </c>
      <c r="BF1175" s="5" t="s">
        <v>252</v>
      </c>
      <c r="BG1175" s="5" t="s">
        <v>238</v>
      </c>
      <c r="BH1175" s="7">
        <f>0</f>
        <v>0</v>
      </c>
      <c r="BI1175" s="8">
        <f>0</f>
        <v>0</v>
      </c>
      <c r="BJ1175" s="5" t="s">
        <v>253</v>
      </c>
      <c r="BK1175" s="5" t="s">
        <v>254</v>
      </c>
      <c r="BY1175" s="5" t="s">
        <v>238</v>
      </c>
      <c r="BZ1175" s="5" t="s">
        <v>238</v>
      </c>
      <c r="CD1175" s="5" t="s">
        <v>273</v>
      </c>
      <c r="CE1175" s="5" t="s">
        <v>256</v>
      </c>
      <c r="CF1175" s="5" t="s">
        <v>238</v>
      </c>
      <c r="CI1175" s="6" t="s">
        <v>257</v>
      </c>
      <c r="CJ1175" s="5" t="s">
        <v>238</v>
      </c>
      <c r="CK1175" s="5" t="s">
        <v>258</v>
      </c>
      <c r="CL1175" s="5" t="s">
        <v>238</v>
      </c>
      <c r="CM1175" s="5" t="s">
        <v>238</v>
      </c>
      <c r="CN1175" s="5">
        <v>0</v>
      </c>
      <c r="CO1175" s="5" t="s">
        <v>259</v>
      </c>
      <c r="CP1175" s="5" t="s">
        <v>260</v>
      </c>
      <c r="CQ1175" s="5" t="s">
        <v>260</v>
      </c>
      <c r="CR1175" s="5" t="s">
        <v>261</v>
      </c>
      <c r="CU1175" s="8">
        <f>1</f>
        <v>1</v>
      </c>
      <c r="CV1175" s="8">
        <f>0</f>
        <v>0</v>
      </c>
      <c r="CX1175" s="8">
        <f>0</f>
        <v>0</v>
      </c>
      <c r="CY1175" s="8">
        <f>1</f>
        <v>1</v>
      </c>
      <c r="DA1175" s="5" t="s">
        <v>673</v>
      </c>
      <c r="DB1175" s="5" t="s">
        <v>238</v>
      </c>
      <c r="DD1175" s="5" t="s">
        <v>673</v>
      </c>
      <c r="DE1175" s="8">
        <f>2955</f>
        <v>2955</v>
      </c>
      <c r="DG1175" s="5" t="s">
        <v>238</v>
      </c>
      <c r="DH1175" s="5" t="s">
        <v>238</v>
      </c>
      <c r="DI1175" s="5" t="s">
        <v>238</v>
      </c>
      <c r="DJ1175" s="5" t="s">
        <v>238</v>
      </c>
      <c r="DN1175" s="5" t="s">
        <v>238</v>
      </c>
      <c r="DO1175" s="5" t="s">
        <v>238</v>
      </c>
      <c r="DP1175" s="5" t="s">
        <v>238</v>
      </c>
      <c r="DQ1175" s="5" t="s">
        <v>238</v>
      </c>
      <c r="DT1175" s="5" t="s">
        <v>2039</v>
      </c>
      <c r="DU1175" s="5" t="s">
        <v>1688</v>
      </c>
      <c r="HM1175" s="5" t="s">
        <v>264</v>
      </c>
    </row>
    <row r="1176" spans="1:221" x14ac:dyDescent="0.4">
      <c r="A1176" s="5">
        <v>2851</v>
      </c>
      <c r="B1176" s="5">
        <v>1</v>
      </c>
      <c r="C1176" s="5">
        <v>1</v>
      </c>
      <c r="D1176" s="5" t="s">
        <v>2037</v>
      </c>
      <c r="E1176" s="5" t="s">
        <v>271</v>
      </c>
      <c r="F1176" s="5" t="s">
        <v>248</v>
      </c>
      <c r="G1176" s="5" t="s">
        <v>1969</v>
      </c>
      <c r="H1176" s="6" t="s">
        <v>2918</v>
      </c>
      <c r="I1176" s="7">
        <f>951</f>
        <v>951</v>
      </c>
      <c r="J1176" s="5" t="s">
        <v>262</v>
      </c>
      <c r="K1176" s="8">
        <f>1</f>
        <v>1</v>
      </c>
      <c r="L1176" s="6" t="s">
        <v>242</v>
      </c>
      <c r="M1176" s="5" t="s">
        <v>267</v>
      </c>
      <c r="N1176" s="5" t="s">
        <v>265</v>
      </c>
      <c r="O1176" s="5" t="s">
        <v>238</v>
      </c>
      <c r="P1176" s="5" t="s">
        <v>238</v>
      </c>
      <c r="Q1176" s="5" t="s">
        <v>268</v>
      </c>
      <c r="R1176" s="5" t="s">
        <v>270</v>
      </c>
      <c r="S1176" s="5" t="s">
        <v>238</v>
      </c>
      <c r="V1176" s="5" t="s">
        <v>238</v>
      </c>
      <c r="X1176" s="6" t="s">
        <v>238</v>
      </c>
      <c r="AA1176" s="6" t="s">
        <v>243</v>
      </c>
      <c r="AB1176" s="5" t="s">
        <v>238</v>
      </c>
      <c r="AC1176" s="5" t="s">
        <v>244</v>
      </c>
      <c r="AD1176" s="5" t="s">
        <v>245</v>
      </c>
      <c r="AT1176" s="5" t="s">
        <v>246</v>
      </c>
      <c r="AU1176" s="5" t="s">
        <v>238</v>
      </c>
      <c r="AV1176" s="5" t="s">
        <v>247</v>
      </c>
      <c r="AW1176" s="5" t="s">
        <v>238</v>
      </c>
      <c r="AX1176" s="5" t="s">
        <v>249</v>
      </c>
      <c r="AY1176" s="5" t="s">
        <v>238</v>
      </c>
      <c r="BA1176" s="5" t="s">
        <v>238</v>
      </c>
      <c r="BC1176" s="5" t="s">
        <v>250</v>
      </c>
      <c r="BD1176" s="6" t="s">
        <v>243</v>
      </c>
      <c r="BE1176" s="5" t="s">
        <v>251</v>
      </c>
      <c r="BF1176" s="5" t="s">
        <v>252</v>
      </c>
      <c r="BG1176" s="5" t="s">
        <v>238</v>
      </c>
      <c r="BH1176" s="7">
        <f>0</f>
        <v>0</v>
      </c>
      <c r="BI1176" s="8">
        <f>0</f>
        <v>0</v>
      </c>
      <c r="BJ1176" s="5" t="s">
        <v>253</v>
      </c>
      <c r="BK1176" s="5" t="s">
        <v>254</v>
      </c>
      <c r="BY1176" s="5" t="s">
        <v>238</v>
      </c>
      <c r="BZ1176" s="5" t="s">
        <v>238</v>
      </c>
      <c r="CD1176" s="5" t="s">
        <v>273</v>
      </c>
      <c r="CE1176" s="5" t="s">
        <v>256</v>
      </c>
      <c r="CF1176" s="5" t="s">
        <v>238</v>
      </c>
      <c r="CI1176" s="6" t="s">
        <v>257</v>
      </c>
      <c r="CJ1176" s="5" t="s">
        <v>238</v>
      </c>
      <c r="CK1176" s="5" t="s">
        <v>258</v>
      </c>
      <c r="CL1176" s="5" t="s">
        <v>238</v>
      </c>
      <c r="CM1176" s="5" t="s">
        <v>238</v>
      </c>
      <c r="CN1176" s="5">
        <v>0</v>
      </c>
      <c r="CO1176" s="5" t="s">
        <v>259</v>
      </c>
      <c r="CP1176" s="5" t="s">
        <v>260</v>
      </c>
      <c r="CQ1176" s="5" t="s">
        <v>260</v>
      </c>
      <c r="CR1176" s="5" t="s">
        <v>261</v>
      </c>
      <c r="CU1176" s="8">
        <f>1</f>
        <v>1</v>
      </c>
      <c r="CV1176" s="8">
        <f>0</f>
        <v>0</v>
      </c>
      <c r="CX1176" s="8">
        <f>0</f>
        <v>0</v>
      </c>
      <c r="CY1176" s="8">
        <f>1</f>
        <v>1</v>
      </c>
      <c r="DA1176" s="5" t="s">
        <v>673</v>
      </c>
      <c r="DB1176" s="5" t="s">
        <v>238</v>
      </c>
      <c r="DD1176" s="5" t="s">
        <v>673</v>
      </c>
      <c r="DE1176" s="8">
        <f>951</f>
        <v>951</v>
      </c>
      <c r="DG1176" s="5" t="s">
        <v>238</v>
      </c>
      <c r="DH1176" s="5" t="s">
        <v>238</v>
      </c>
      <c r="DI1176" s="5" t="s">
        <v>238</v>
      </c>
      <c r="DJ1176" s="5" t="s">
        <v>238</v>
      </c>
      <c r="DN1176" s="5" t="s">
        <v>238</v>
      </c>
      <c r="DO1176" s="5" t="s">
        <v>238</v>
      </c>
      <c r="DP1176" s="5" t="s">
        <v>238</v>
      </c>
      <c r="DQ1176" s="5" t="s">
        <v>238</v>
      </c>
      <c r="DT1176" s="5" t="s">
        <v>2039</v>
      </c>
      <c r="DU1176" s="5" t="s">
        <v>1690</v>
      </c>
      <c r="HM1176" s="5" t="s">
        <v>264</v>
      </c>
    </row>
    <row r="1177" spans="1:221" x14ac:dyDescent="0.4">
      <c r="A1177" s="5">
        <v>2852</v>
      </c>
      <c r="B1177" s="5">
        <v>1</v>
      </c>
      <c r="C1177" s="5">
        <v>1</v>
      </c>
      <c r="D1177" s="5" t="s">
        <v>2037</v>
      </c>
      <c r="E1177" s="5" t="s">
        <v>271</v>
      </c>
      <c r="F1177" s="5" t="s">
        <v>248</v>
      </c>
      <c r="G1177" s="5" t="s">
        <v>1969</v>
      </c>
      <c r="H1177" s="6" t="s">
        <v>2917</v>
      </c>
      <c r="I1177" s="7">
        <f>8746</f>
        <v>8746</v>
      </c>
      <c r="J1177" s="5" t="s">
        <v>262</v>
      </c>
      <c r="K1177" s="8">
        <f>1</f>
        <v>1</v>
      </c>
      <c r="L1177" s="6" t="s">
        <v>242</v>
      </c>
      <c r="M1177" s="5" t="s">
        <v>267</v>
      </c>
      <c r="N1177" s="5" t="s">
        <v>265</v>
      </c>
      <c r="O1177" s="5" t="s">
        <v>238</v>
      </c>
      <c r="P1177" s="5" t="s">
        <v>238</v>
      </c>
      <c r="Q1177" s="5" t="s">
        <v>268</v>
      </c>
      <c r="R1177" s="5" t="s">
        <v>270</v>
      </c>
      <c r="S1177" s="5" t="s">
        <v>238</v>
      </c>
      <c r="V1177" s="5" t="s">
        <v>238</v>
      </c>
      <c r="X1177" s="6" t="s">
        <v>238</v>
      </c>
      <c r="AA1177" s="6" t="s">
        <v>243</v>
      </c>
      <c r="AB1177" s="5" t="s">
        <v>238</v>
      </c>
      <c r="AC1177" s="5" t="s">
        <v>244</v>
      </c>
      <c r="AD1177" s="5" t="s">
        <v>245</v>
      </c>
      <c r="AT1177" s="5" t="s">
        <v>246</v>
      </c>
      <c r="AU1177" s="5" t="s">
        <v>238</v>
      </c>
      <c r="AV1177" s="5" t="s">
        <v>247</v>
      </c>
      <c r="AW1177" s="5" t="s">
        <v>238</v>
      </c>
      <c r="AX1177" s="5" t="s">
        <v>249</v>
      </c>
      <c r="AY1177" s="5" t="s">
        <v>238</v>
      </c>
      <c r="BA1177" s="5" t="s">
        <v>238</v>
      </c>
      <c r="BC1177" s="5" t="s">
        <v>250</v>
      </c>
      <c r="BD1177" s="6" t="s">
        <v>243</v>
      </c>
      <c r="BE1177" s="5" t="s">
        <v>251</v>
      </c>
      <c r="BF1177" s="5" t="s">
        <v>252</v>
      </c>
      <c r="BG1177" s="5" t="s">
        <v>238</v>
      </c>
      <c r="BH1177" s="7">
        <f>0</f>
        <v>0</v>
      </c>
      <c r="BI1177" s="8">
        <f>0</f>
        <v>0</v>
      </c>
      <c r="BJ1177" s="5" t="s">
        <v>253</v>
      </c>
      <c r="BK1177" s="5" t="s">
        <v>254</v>
      </c>
      <c r="BY1177" s="5" t="s">
        <v>238</v>
      </c>
      <c r="BZ1177" s="5" t="s">
        <v>238</v>
      </c>
      <c r="CD1177" s="5" t="s">
        <v>273</v>
      </c>
      <c r="CE1177" s="5" t="s">
        <v>256</v>
      </c>
      <c r="CF1177" s="5" t="s">
        <v>238</v>
      </c>
      <c r="CI1177" s="6" t="s">
        <v>257</v>
      </c>
      <c r="CJ1177" s="5" t="s">
        <v>238</v>
      </c>
      <c r="CK1177" s="5" t="s">
        <v>258</v>
      </c>
      <c r="CL1177" s="5" t="s">
        <v>238</v>
      </c>
      <c r="CM1177" s="5" t="s">
        <v>238</v>
      </c>
      <c r="CN1177" s="5">
        <v>0</v>
      </c>
      <c r="CO1177" s="5" t="s">
        <v>259</v>
      </c>
      <c r="CP1177" s="5" t="s">
        <v>260</v>
      </c>
      <c r="CQ1177" s="5" t="s">
        <v>260</v>
      </c>
      <c r="CR1177" s="5" t="s">
        <v>261</v>
      </c>
      <c r="CU1177" s="8">
        <f>1</f>
        <v>1</v>
      </c>
      <c r="CV1177" s="8">
        <f>0</f>
        <v>0</v>
      </c>
      <c r="CX1177" s="8">
        <f>0</f>
        <v>0</v>
      </c>
      <c r="CY1177" s="8">
        <f>1</f>
        <v>1</v>
      </c>
      <c r="DA1177" s="5" t="s">
        <v>673</v>
      </c>
      <c r="DB1177" s="5" t="s">
        <v>238</v>
      </c>
      <c r="DD1177" s="5" t="s">
        <v>673</v>
      </c>
      <c r="DE1177" s="8">
        <f>8746</f>
        <v>8746</v>
      </c>
      <c r="DG1177" s="5" t="s">
        <v>238</v>
      </c>
      <c r="DH1177" s="5" t="s">
        <v>238</v>
      </c>
      <c r="DI1177" s="5" t="s">
        <v>238</v>
      </c>
      <c r="DJ1177" s="5" t="s">
        <v>238</v>
      </c>
      <c r="DN1177" s="5" t="s">
        <v>238</v>
      </c>
      <c r="DO1177" s="5" t="s">
        <v>238</v>
      </c>
      <c r="DP1177" s="5" t="s">
        <v>238</v>
      </c>
      <c r="DQ1177" s="5" t="s">
        <v>238</v>
      </c>
      <c r="DT1177" s="5" t="s">
        <v>2039</v>
      </c>
      <c r="DU1177" s="5" t="s">
        <v>726</v>
      </c>
      <c r="HM1177" s="5" t="s">
        <v>264</v>
      </c>
    </row>
    <row r="1178" spans="1:221" x14ac:dyDescent="0.4">
      <c r="A1178" s="5">
        <v>2853</v>
      </c>
      <c r="B1178" s="5">
        <v>1</v>
      </c>
      <c r="C1178" s="5">
        <v>1</v>
      </c>
      <c r="D1178" s="5" t="s">
        <v>2037</v>
      </c>
      <c r="E1178" s="5" t="s">
        <v>271</v>
      </c>
      <c r="F1178" s="5" t="s">
        <v>248</v>
      </c>
      <c r="G1178" s="5" t="s">
        <v>1969</v>
      </c>
      <c r="H1178" s="6" t="s">
        <v>2915</v>
      </c>
      <c r="I1178" s="7">
        <f>3558</f>
        <v>3558</v>
      </c>
      <c r="J1178" s="5" t="s">
        <v>262</v>
      </c>
      <c r="K1178" s="8">
        <f>1</f>
        <v>1</v>
      </c>
      <c r="L1178" s="6" t="s">
        <v>242</v>
      </c>
      <c r="M1178" s="5" t="s">
        <v>267</v>
      </c>
      <c r="N1178" s="5" t="s">
        <v>265</v>
      </c>
      <c r="O1178" s="5" t="s">
        <v>238</v>
      </c>
      <c r="P1178" s="5" t="s">
        <v>238</v>
      </c>
      <c r="Q1178" s="5" t="s">
        <v>268</v>
      </c>
      <c r="R1178" s="5" t="s">
        <v>270</v>
      </c>
      <c r="S1178" s="5" t="s">
        <v>238</v>
      </c>
      <c r="V1178" s="5" t="s">
        <v>238</v>
      </c>
      <c r="X1178" s="6" t="s">
        <v>238</v>
      </c>
      <c r="AA1178" s="6" t="s">
        <v>243</v>
      </c>
      <c r="AB1178" s="5" t="s">
        <v>238</v>
      </c>
      <c r="AC1178" s="5" t="s">
        <v>244</v>
      </c>
      <c r="AD1178" s="5" t="s">
        <v>245</v>
      </c>
      <c r="AT1178" s="5" t="s">
        <v>246</v>
      </c>
      <c r="AU1178" s="5" t="s">
        <v>238</v>
      </c>
      <c r="AV1178" s="5" t="s">
        <v>247</v>
      </c>
      <c r="AW1178" s="5" t="s">
        <v>238</v>
      </c>
      <c r="AX1178" s="5" t="s">
        <v>249</v>
      </c>
      <c r="AY1178" s="5" t="s">
        <v>238</v>
      </c>
      <c r="BA1178" s="5" t="s">
        <v>238</v>
      </c>
      <c r="BC1178" s="5" t="s">
        <v>250</v>
      </c>
      <c r="BD1178" s="6" t="s">
        <v>243</v>
      </c>
      <c r="BE1178" s="5" t="s">
        <v>251</v>
      </c>
      <c r="BF1178" s="5" t="s">
        <v>252</v>
      </c>
      <c r="BG1178" s="5" t="s">
        <v>238</v>
      </c>
      <c r="BH1178" s="7">
        <f>0</f>
        <v>0</v>
      </c>
      <c r="BI1178" s="8">
        <f>0</f>
        <v>0</v>
      </c>
      <c r="BJ1178" s="5" t="s">
        <v>253</v>
      </c>
      <c r="BK1178" s="5" t="s">
        <v>254</v>
      </c>
      <c r="BY1178" s="5" t="s">
        <v>238</v>
      </c>
      <c r="BZ1178" s="5" t="s">
        <v>238</v>
      </c>
      <c r="CD1178" s="5" t="s">
        <v>273</v>
      </c>
      <c r="CE1178" s="5" t="s">
        <v>256</v>
      </c>
      <c r="CF1178" s="5" t="s">
        <v>238</v>
      </c>
      <c r="CI1178" s="6" t="s">
        <v>257</v>
      </c>
      <c r="CJ1178" s="5" t="s">
        <v>238</v>
      </c>
      <c r="CK1178" s="5" t="s">
        <v>258</v>
      </c>
      <c r="CL1178" s="5" t="s">
        <v>238</v>
      </c>
      <c r="CM1178" s="5" t="s">
        <v>238</v>
      </c>
      <c r="CN1178" s="5">
        <v>0</v>
      </c>
      <c r="CO1178" s="5" t="s">
        <v>259</v>
      </c>
      <c r="CP1178" s="5" t="s">
        <v>260</v>
      </c>
      <c r="CQ1178" s="5" t="s">
        <v>260</v>
      </c>
      <c r="CR1178" s="5" t="s">
        <v>261</v>
      </c>
      <c r="CU1178" s="8">
        <f>1</f>
        <v>1</v>
      </c>
      <c r="CV1178" s="8">
        <f>0</f>
        <v>0</v>
      </c>
      <c r="CX1178" s="8">
        <f>0</f>
        <v>0</v>
      </c>
      <c r="CY1178" s="8">
        <f>1</f>
        <v>1</v>
      </c>
      <c r="DA1178" s="5" t="s">
        <v>673</v>
      </c>
      <c r="DB1178" s="5" t="s">
        <v>238</v>
      </c>
      <c r="DD1178" s="5" t="s">
        <v>673</v>
      </c>
      <c r="DE1178" s="8">
        <f>3558</f>
        <v>3558</v>
      </c>
      <c r="DG1178" s="5" t="s">
        <v>238</v>
      </c>
      <c r="DH1178" s="5" t="s">
        <v>238</v>
      </c>
      <c r="DI1178" s="5" t="s">
        <v>238</v>
      </c>
      <c r="DJ1178" s="5" t="s">
        <v>238</v>
      </c>
      <c r="DN1178" s="5" t="s">
        <v>238</v>
      </c>
      <c r="DO1178" s="5" t="s">
        <v>238</v>
      </c>
      <c r="DP1178" s="5" t="s">
        <v>238</v>
      </c>
      <c r="DQ1178" s="5" t="s">
        <v>238</v>
      </c>
      <c r="DT1178" s="5" t="s">
        <v>2039</v>
      </c>
      <c r="DU1178" s="5" t="s">
        <v>2916</v>
      </c>
      <c r="HM1178" s="5" t="s">
        <v>264</v>
      </c>
    </row>
    <row r="1179" spans="1:221" x14ac:dyDescent="0.4">
      <c r="A1179" s="5">
        <v>2854</v>
      </c>
      <c r="B1179" s="5">
        <v>1</v>
      </c>
      <c r="C1179" s="5">
        <v>1</v>
      </c>
      <c r="D1179" s="5" t="s">
        <v>2037</v>
      </c>
      <c r="E1179" s="5" t="s">
        <v>271</v>
      </c>
      <c r="F1179" s="5" t="s">
        <v>248</v>
      </c>
      <c r="G1179" s="5" t="s">
        <v>1969</v>
      </c>
      <c r="H1179" s="6" t="s">
        <v>2913</v>
      </c>
      <c r="I1179" s="7">
        <f>2760</f>
        <v>2760</v>
      </c>
      <c r="J1179" s="5" t="s">
        <v>262</v>
      </c>
      <c r="K1179" s="8">
        <f>1</f>
        <v>1</v>
      </c>
      <c r="L1179" s="6" t="s">
        <v>242</v>
      </c>
      <c r="M1179" s="5" t="s">
        <v>267</v>
      </c>
      <c r="N1179" s="5" t="s">
        <v>265</v>
      </c>
      <c r="O1179" s="5" t="s">
        <v>238</v>
      </c>
      <c r="P1179" s="5" t="s">
        <v>238</v>
      </c>
      <c r="Q1179" s="5" t="s">
        <v>268</v>
      </c>
      <c r="R1179" s="5" t="s">
        <v>270</v>
      </c>
      <c r="S1179" s="5" t="s">
        <v>238</v>
      </c>
      <c r="V1179" s="5" t="s">
        <v>238</v>
      </c>
      <c r="X1179" s="6" t="s">
        <v>238</v>
      </c>
      <c r="AA1179" s="6" t="s">
        <v>243</v>
      </c>
      <c r="AB1179" s="5" t="s">
        <v>238</v>
      </c>
      <c r="AC1179" s="5" t="s">
        <v>244</v>
      </c>
      <c r="AD1179" s="5" t="s">
        <v>245</v>
      </c>
      <c r="AT1179" s="5" t="s">
        <v>246</v>
      </c>
      <c r="AU1179" s="5" t="s">
        <v>238</v>
      </c>
      <c r="AV1179" s="5" t="s">
        <v>247</v>
      </c>
      <c r="AW1179" s="5" t="s">
        <v>238</v>
      </c>
      <c r="AX1179" s="5" t="s">
        <v>249</v>
      </c>
      <c r="AY1179" s="5" t="s">
        <v>238</v>
      </c>
      <c r="BA1179" s="5" t="s">
        <v>238</v>
      </c>
      <c r="BC1179" s="5" t="s">
        <v>250</v>
      </c>
      <c r="BD1179" s="6" t="s">
        <v>243</v>
      </c>
      <c r="BE1179" s="5" t="s">
        <v>251</v>
      </c>
      <c r="BF1179" s="5" t="s">
        <v>252</v>
      </c>
      <c r="BG1179" s="5" t="s">
        <v>238</v>
      </c>
      <c r="BH1179" s="7">
        <f>0</f>
        <v>0</v>
      </c>
      <c r="BI1179" s="8">
        <f>0</f>
        <v>0</v>
      </c>
      <c r="BJ1179" s="5" t="s">
        <v>253</v>
      </c>
      <c r="BK1179" s="5" t="s">
        <v>254</v>
      </c>
      <c r="BY1179" s="5" t="s">
        <v>238</v>
      </c>
      <c r="BZ1179" s="5" t="s">
        <v>238</v>
      </c>
      <c r="CD1179" s="5" t="s">
        <v>273</v>
      </c>
      <c r="CE1179" s="5" t="s">
        <v>256</v>
      </c>
      <c r="CF1179" s="5" t="s">
        <v>238</v>
      </c>
      <c r="CI1179" s="6" t="s">
        <v>257</v>
      </c>
      <c r="CJ1179" s="5" t="s">
        <v>238</v>
      </c>
      <c r="CK1179" s="5" t="s">
        <v>258</v>
      </c>
      <c r="CL1179" s="5" t="s">
        <v>238</v>
      </c>
      <c r="CM1179" s="5" t="s">
        <v>238</v>
      </c>
      <c r="CN1179" s="5">
        <v>0</v>
      </c>
      <c r="CO1179" s="5" t="s">
        <v>259</v>
      </c>
      <c r="CP1179" s="5" t="s">
        <v>260</v>
      </c>
      <c r="CQ1179" s="5" t="s">
        <v>260</v>
      </c>
      <c r="CR1179" s="5" t="s">
        <v>261</v>
      </c>
      <c r="CU1179" s="8">
        <f>1</f>
        <v>1</v>
      </c>
      <c r="CV1179" s="8">
        <f>0</f>
        <v>0</v>
      </c>
      <c r="CX1179" s="8">
        <f>0</f>
        <v>0</v>
      </c>
      <c r="CY1179" s="8">
        <f>1</f>
        <v>1</v>
      </c>
      <c r="DA1179" s="5" t="s">
        <v>673</v>
      </c>
      <c r="DB1179" s="5" t="s">
        <v>238</v>
      </c>
      <c r="DD1179" s="5" t="s">
        <v>673</v>
      </c>
      <c r="DE1179" s="8">
        <f>2760</f>
        <v>2760</v>
      </c>
      <c r="DG1179" s="5" t="s">
        <v>238</v>
      </c>
      <c r="DH1179" s="5" t="s">
        <v>238</v>
      </c>
      <c r="DI1179" s="5" t="s">
        <v>238</v>
      </c>
      <c r="DJ1179" s="5" t="s">
        <v>238</v>
      </c>
      <c r="DN1179" s="5" t="s">
        <v>238</v>
      </c>
      <c r="DO1179" s="5" t="s">
        <v>238</v>
      </c>
      <c r="DP1179" s="5" t="s">
        <v>238</v>
      </c>
      <c r="DQ1179" s="5" t="s">
        <v>238</v>
      </c>
      <c r="DT1179" s="5" t="s">
        <v>2039</v>
      </c>
      <c r="DU1179" s="5" t="s">
        <v>2914</v>
      </c>
      <c r="HM1179" s="5" t="s">
        <v>264</v>
      </c>
    </row>
    <row r="1180" spans="1:221" x14ac:dyDescent="0.4">
      <c r="A1180" s="5">
        <v>2855</v>
      </c>
      <c r="B1180" s="5">
        <v>1</v>
      </c>
      <c r="C1180" s="5">
        <v>1</v>
      </c>
      <c r="D1180" s="5" t="s">
        <v>2037</v>
      </c>
      <c r="E1180" s="5" t="s">
        <v>271</v>
      </c>
      <c r="F1180" s="5" t="s">
        <v>248</v>
      </c>
      <c r="G1180" s="5" t="s">
        <v>1969</v>
      </c>
      <c r="H1180" s="6" t="s">
        <v>2911</v>
      </c>
      <c r="I1180" s="7">
        <f>1812</f>
        <v>1812</v>
      </c>
      <c r="J1180" s="5" t="s">
        <v>262</v>
      </c>
      <c r="K1180" s="8">
        <f>1</f>
        <v>1</v>
      </c>
      <c r="L1180" s="6" t="s">
        <v>242</v>
      </c>
      <c r="M1180" s="5" t="s">
        <v>267</v>
      </c>
      <c r="N1180" s="5" t="s">
        <v>265</v>
      </c>
      <c r="O1180" s="5" t="s">
        <v>238</v>
      </c>
      <c r="P1180" s="5" t="s">
        <v>238</v>
      </c>
      <c r="Q1180" s="5" t="s">
        <v>268</v>
      </c>
      <c r="R1180" s="5" t="s">
        <v>270</v>
      </c>
      <c r="S1180" s="5" t="s">
        <v>238</v>
      </c>
      <c r="V1180" s="5" t="s">
        <v>238</v>
      </c>
      <c r="X1180" s="6" t="s">
        <v>238</v>
      </c>
      <c r="AA1180" s="6" t="s">
        <v>243</v>
      </c>
      <c r="AB1180" s="5" t="s">
        <v>238</v>
      </c>
      <c r="AC1180" s="5" t="s">
        <v>244</v>
      </c>
      <c r="AD1180" s="5" t="s">
        <v>245</v>
      </c>
      <c r="AT1180" s="5" t="s">
        <v>246</v>
      </c>
      <c r="AU1180" s="5" t="s">
        <v>238</v>
      </c>
      <c r="AV1180" s="5" t="s">
        <v>247</v>
      </c>
      <c r="AW1180" s="5" t="s">
        <v>238</v>
      </c>
      <c r="AX1180" s="5" t="s">
        <v>249</v>
      </c>
      <c r="AY1180" s="5" t="s">
        <v>238</v>
      </c>
      <c r="BA1180" s="5" t="s">
        <v>238</v>
      </c>
      <c r="BC1180" s="5" t="s">
        <v>250</v>
      </c>
      <c r="BD1180" s="6" t="s">
        <v>243</v>
      </c>
      <c r="BE1180" s="5" t="s">
        <v>251</v>
      </c>
      <c r="BF1180" s="5" t="s">
        <v>252</v>
      </c>
      <c r="BG1180" s="5" t="s">
        <v>238</v>
      </c>
      <c r="BH1180" s="7">
        <f>0</f>
        <v>0</v>
      </c>
      <c r="BI1180" s="8">
        <f>0</f>
        <v>0</v>
      </c>
      <c r="BJ1180" s="5" t="s">
        <v>253</v>
      </c>
      <c r="BK1180" s="5" t="s">
        <v>254</v>
      </c>
      <c r="BY1180" s="5" t="s">
        <v>238</v>
      </c>
      <c r="BZ1180" s="5" t="s">
        <v>238</v>
      </c>
      <c r="CD1180" s="5" t="s">
        <v>273</v>
      </c>
      <c r="CE1180" s="5" t="s">
        <v>256</v>
      </c>
      <c r="CF1180" s="5" t="s">
        <v>238</v>
      </c>
      <c r="CI1180" s="6" t="s">
        <v>257</v>
      </c>
      <c r="CJ1180" s="5" t="s">
        <v>238</v>
      </c>
      <c r="CK1180" s="5" t="s">
        <v>258</v>
      </c>
      <c r="CL1180" s="5" t="s">
        <v>238</v>
      </c>
      <c r="CM1180" s="5" t="s">
        <v>238</v>
      </c>
      <c r="CN1180" s="5">
        <v>0</v>
      </c>
      <c r="CO1180" s="5" t="s">
        <v>259</v>
      </c>
      <c r="CP1180" s="5" t="s">
        <v>260</v>
      </c>
      <c r="CQ1180" s="5" t="s">
        <v>260</v>
      </c>
      <c r="CR1180" s="5" t="s">
        <v>261</v>
      </c>
      <c r="CU1180" s="8">
        <f>1</f>
        <v>1</v>
      </c>
      <c r="CV1180" s="8">
        <f>0</f>
        <v>0</v>
      </c>
      <c r="CX1180" s="8">
        <f>0</f>
        <v>0</v>
      </c>
      <c r="CY1180" s="8">
        <f>1</f>
        <v>1</v>
      </c>
      <c r="DA1180" s="5" t="s">
        <v>673</v>
      </c>
      <c r="DB1180" s="5" t="s">
        <v>238</v>
      </c>
      <c r="DD1180" s="5" t="s">
        <v>673</v>
      </c>
      <c r="DE1180" s="8">
        <f>1812</f>
        <v>1812</v>
      </c>
      <c r="DG1180" s="5" t="s">
        <v>238</v>
      </c>
      <c r="DH1180" s="5" t="s">
        <v>238</v>
      </c>
      <c r="DI1180" s="5" t="s">
        <v>238</v>
      </c>
      <c r="DJ1180" s="5" t="s">
        <v>238</v>
      </c>
      <c r="DN1180" s="5" t="s">
        <v>238</v>
      </c>
      <c r="DO1180" s="5" t="s">
        <v>238</v>
      </c>
      <c r="DP1180" s="5" t="s">
        <v>238</v>
      </c>
      <c r="DQ1180" s="5" t="s">
        <v>238</v>
      </c>
      <c r="DT1180" s="5" t="s">
        <v>2039</v>
      </c>
      <c r="DU1180" s="5" t="s">
        <v>2912</v>
      </c>
      <c r="HM1180" s="5" t="s">
        <v>264</v>
      </c>
    </row>
    <row r="1181" spans="1:221" x14ac:dyDescent="0.4">
      <c r="A1181" s="5">
        <v>2856</v>
      </c>
      <c r="B1181" s="5">
        <v>1</v>
      </c>
      <c r="C1181" s="5">
        <v>1</v>
      </c>
      <c r="D1181" s="5" t="s">
        <v>2037</v>
      </c>
      <c r="E1181" s="5" t="s">
        <v>271</v>
      </c>
      <c r="F1181" s="5" t="s">
        <v>248</v>
      </c>
      <c r="G1181" s="5" t="s">
        <v>1969</v>
      </c>
      <c r="H1181" s="6" t="s">
        <v>2909</v>
      </c>
      <c r="I1181" s="7">
        <f>2744</f>
        <v>2744</v>
      </c>
      <c r="J1181" s="5" t="s">
        <v>262</v>
      </c>
      <c r="K1181" s="8">
        <f>1</f>
        <v>1</v>
      </c>
      <c r="L1181" s="6" t="s">
        <v>242</v>
      </c>
      <c r="M1181" s="5" t="s">
        <v>267</v>
      </c>
      <c r="N1181" s="5" t="s">
        <v>265</v>
      </c>
      <c r="O1181" s="5" t="s">
        <v>238</v>
      </c>
      <c r="P1181" s="5" t="s">
        <v>238</v>
      </c>
      <c r="Q1181" s="5" t="s">
        <v>268</v>
      </c>
      <c r="R1181" s="5" t="s">
        <v>270</v>
      </c>
      <c r="S1181" s="5" t="s">
        <v>238</v>
      </c>
      <c r="V1181" s="5" t="s">
        <v>238</v>
      </c>
      <c r="X1181" s="6" t="s">
        <v>238</v>
      </c>
      <c r="AA1181" s="6" t="s">
        <v>243</v>
      </c>
      <c r="AB1181" s="5" t="s">
        <v>238</v>
      </c>
      <c r="AC1181" s="5" t="s">
        <v>244</v>
      </c>
      <c r="AD1181" s="5" t="s">
        <v>245</v>
      </c>
      <c r="AT1181" s="5" t="s">
        <v>246</v>
      </c>
      <c r="AU1181" s="5" t="s">
        <v>238</v>
      </c>
      <c r="AV1181" s="5" t="s">
        <v>247</v>
      </c>
      <c r="AW1181" s="5" t="s">
        <v>238</v>
      </c>
      <c r="AX1181" s="5" t="s">
        <v>249</v>
      </c>
      <c r="AY1181" s="5" t="s">
        <v>238</v>
      </c>
      <c r="BA1181" s="5" t="s">
        <v>238</v>
      </c>
      <c r="BC1181" s="5" t="s">
        <v>250</v>
      </c>
      <c r="BD1181" s="6" t="s">
        <v>243</v>
      </c>
      <c r="BE1181" s="5" t="s">
        <v>251</v>
      </c>
      <c r="BF1181" s="5" t="s">
        <v>252</v>
      </c>
      <c r="BG1181" s="5" t="s">
        <v>238</v>
      </c>
      <c r="BH1181" s="7">
        <f>0</f>
        <v>0</v>
      </c>
      <c r="BI1181" s="8">
        <f>0</f>
        <v>0</v>
      </c>
      <c r="BJ1181" s="5" t="s">
        <v>253</v>
      </c>
      <c r="BK1181" s="5" t="s">
        <v>254</v>
      </c>
      <c r="BY1181" s="5" t="s">
        <v>238</v>
      </c>
      <c r="BZ1181" s="5" t="s">
        <v>238</v>
      </c>
      <c r="CD1181" s="5" t="s">
        <v>273</v>
      </c>
      <c r="CE1181" s="5" t="s">
        <v>256</v>
      </c>
      <c r="CF1181" s="5" t="s">
        <v>238</v>
      </c>
      <c r="CI1181" s="6" t="s">
        <v>257</v>
      </c>
      <c r="CJ1181" s="5" t="s">
        <v>238</v>
      </c>
      <c r="CK1181" s="5" t="s">
        <v>258</v>
      </c>
      <c r="CL1181" s="5" t="s">
        <v>238</v>
      </c>
      <c r="CM1181" s="5" t="s">
        <v>238</v>
      </c>
      <c r="CN1181" s="5">
        <v>0</v>
      </c>
      <c r="CO1181" s="5" t="s">
        <v>259</v>
      </c>
      <c r="CP1181" s="5" t="s">
        <v>260</v>
      </c>
      <c r="CQ1181" s="5" t="s">
        <v>260</v>
      </c>
      <c r="CR1181" s="5" t="s">
        <v>261</v>
      </c>
      <c r="CU1181" s="8">
        <f>1</f>
        <v>1</v>
      </c>
      <c r="CV1181" s="8">
        <f>0</f>
        <v>0</v>
      </c>
      <c r="CX1181" s="8">
        <f>0</f>
        <v>0</v>
      </c>
      <c r="CY1181" s="8">
        <f>1</f>
        <v>1</v>
      </c>
      <c r="DA1181" s="5" t="s">
        <v>673</v>
      </c>
      <c r="DB1181" s="5" t="s">
        <v>238</v>
      </c>
      <c r="DD1181" s="5" t="s">
        <v>673</v>
      </c>
      <c r="DE1181" s="8">
        <f>2744</f>
        <v>2744</v>
      </c>
      <c r="DG1181" s="5" t="s">
        <v>238</v>
      </c>
      <c r="DH1181" s="5" t="s">
        <v>238</v>
      </c>
      <c r="DI1181" s="5" t="s">
        <v>238</v>
      </c>
      <c r="DJ1181" s="5" t="s">
        <v>238</v>
      </c>
      <c r="DN1181" s="5" t="s">
        <v>238</v>
      </c>
      <c r="DO1181" s="5" t="s">
        <v>238</v>
      </c>
      <c r="DP1181" s="5" t="s">
        <v>238</v>
      </c>
      <c r="DQ1181" s="5" t="s">
        <v>238</v>
      </c>
      <c r="DT1181" s="5" t="s">
        <v>2039</v>
      </c>
      <c r="DU1181" s="5" t="s">
        <v>2910</v>
      </c>
      <c r="HM1181" s="5" t="s">
        <v>264</v>
      </c>
    </row>
    <row r="1182" spans="1:221" x14ac:dyDescent="0.4">
      <c r="A1182" s="5">
        <v>2857</v>
      </c>
      <c r="B1182" s="5">
        <v>1</v>
      </c>
      <c r="C1182" s="5">
        <v>1</v>
      </c>
      <c r="D1182" s="5" t="s">
        <v>2037</v>
      </c>
      <c r="E1182" s="5" t="s">
        <v>271</v>
      </c>
      <c r="F1182" s="5" t="s">
        <v>248</v>
      </c>
      <c r="G1182" s="5" t="s">
        <v>1969</v>
      </c>
      <c r="H1182" s="6" t="s">
        <v>2907</v>
      </c>
      <c r="I1182" s="7">
        <f>2356</f>
        <v>2356</v>
      </c>
      <c r="J1182" s="5" t="s">
        <v>262</v>
      </c>
      <c r="K1182" s="8">
        <f>1</f>
        <v>1</v>
      </c>
      <c r="L1182" s="6" t="s">
        <v>242</v>
      </c>
      <c r="M1182" s="5" t="s">
        <v>267</v>
      </c>
      <c r="N1182" s="5" t="s">
        <v>265</v>
      </c>
      <c r="O1182" s="5" t="s">
        <v>238</v>
      </c>
      <c r="P1182" s="5" t="s">
        <v>238</v>
      </c>
      <c r="Q1182" s="5" t="s">
        <v>268</v>
      </c>
      <c r="R1182" s="5" t="s">
        <v>270</v>
      </c>
      <c r="S1182" s="5" t="s">
        <v>238</v>
      </c>
      <c r="V1182" s="5" t="s">
        <v>238</v>
      </c>
      <c r="X1182" s="6" t="s">
        <v>238</v>
      </c>
      <c r="AA1182" s="6" t="s">
        <v>243</v>
      </c>
      <c r="AB1182" s="5" t="s">
        <v>238</v>
      </c>
      <c r="AC1182" s="5" t="s">
        <v>244</v>
      </c>
      <c r="AD1182" s="5" t="s">
        <v>245</v>
      </c>
      <c r="AT1182" s="5" t="s">
        <v>246</v>
      </c>
      <c r="AU1182" s="5" t="s">
        <v>238</v>
      </c>
      <c r="AV1182" s="5" t="s">
        <v>247</v>
      </c>
      <c r="AW1182" s="5" t="s">
        <v>238</v>
      </c>
      <c r="AX1182" s="5" t="s">
        <v>249</v>
      </c>
      <c r="AY1182" s="5" t="s">
        <v>238</v>
      </c>
      <c r="BA1182" s="5" t="s">
        <v>238</v>
      </c>
      <c r="BC1182" s="5" t="s">
        <v>250</v>
      </c>
      <c r="BD1182" s="6" t="s">
        <v>243</v>
      </c>
      <c r="BE1182" s="5" t="s">
        <v>251</v>
      </c>
      <c r="BF1182" s="5" t="s">
        <v>252</v>
      </c>
      <c r="BG1182" s="5" t="s">
        <v>238</v>
      </c>
      <c r="BH1182" s="7">
        <f>0</f>
        <v>0</v>
      </c>
      <c r="BI1182" s="8">
        <f>0</f>
        <v>0</v>
      </c>
      <c r="BJ1182" s="5" t="s">
        <v>253</v>
      </c>
      <c r="BK1182" s="5" t="s">
        <v>254</v>
      </c>
      <c r="BY1182" s="5" t="s">
        <v>238</v>
      </c>
      <c r="BZ1182" s="5" t="s">
        <v>238</v>
      </c>
      <c r="CD1182" s="5" t="s">
        <v>273</v>
      </c>
      <c r="CE1182" s="5" t="s">
        <v>256</v>
      </c>
      <c r="CF1182" s="5" t="s">
        <v>238</v>
      </c>
      <c r="CI1182" s="6" t="s">
        <v>257</v>
      </c>
      <c r="CJ1182" s="5" t="s">
        <v>238</v>
      </c>
      <c r="CK1182" s="5" t="s">
        <v>258</v>
      </c>
      <c r="CL1182" s="5" t="s">
        <v>238</v>
      </c>
      <c r="CM1182" s="5" t="s">
        <v>238</v>
      </c>
      <c r="CN1182" s="5">
        <v>0</v>
      </c>
      <c r="CO1182" s="5" t="s">
        <v>259</v>
      </c>
      <c r="CP1182" s="5" t="s">
        <v>260</v>
      </c>
      <c r="CQ1182" s="5" t="s">
        <v>260</v>
      </c>
      <c r="CR1182" s="5" t="s">
        <v>261</v>
      </c>
      <c r="CU1182" s="8">
        <f>1</f>
        <v>1</v>
      </c>
      <c r="CV1182" s="8">
        <f>0</f>
        <v>0</v>
      </c>
      <c r="CX1182" s="8">
        <f>0</f>
        <v>0</v>
      </c>
      <c r="CY1182" s="8">
        <f>1</f>
        <v>1</v>
      </c>
      <c r="DA1182" s="5" t="s">
        <v>673</v>
      </c>
      <c r="DB1182" s="5" t="s">
        <v>238</v>
      </c>
      <c r="DD1182" s="5" t="s">
        <v>673</v>
      </c>
      <c r="DE1182" s="8">
        <f>2356</f>
        <v>2356</v>
      </c>
      <c r="DG1182" s="5" t="s">
        <v>238</v>
      </c>
      <c r="DH1182" s="5" t="s">
        <v>238</v>
      </c>
      <c r="DI1182" s="5" t="s">
        <v>238</v>
      </c>
      <c r="DJ1182" s="5" t="s">
        <v>238</v>
      </c>
      <c r="DN1182" s="5" t="s">
        <v>238</v>
      </c>
      <c r="DO1182" s="5" t="s">
        <v>238</v>
      </c>
      <c r="DP1182" s="5" t="s">
        <v>238</v>
      </c>
      <c r="DQ1182" s="5" t="s">
        <v>238</v>
      </c>
      <c r="DT1182" s="5" t="s">
        <v>2039</v>
      </c>
      <c r="DU1182" s="5" t="s">
        <v>2908</v>
      </c>
      <c r="HM1182" s="5" t="s">
        <v>264</v>
      </c>
    </row>
    <row r="1183" spans="1:221" x14ac:dyDescent="0.4">
      <c r="A1183" s="5">
        <v>2858</v>
      </c>
      <c r="B1183" s="5">
        <v>1</v>
      </c>
      <c r="C1183" s="5">
        <v>1</v>
      </c>
      <c r="D1183" s="5" t="s">
        <v>2037</v>
      </c>
      <c r="E1183" s="5" t="s">
        <v>271</v>
      </c>
      <c r="F1183" s="5" t="s">
        <v>248</v>
      </c>
      <c r="G1183" s="5" t="s">
        <v>1969</v>
      </c>
      <c r="H1183" s="6" t="s">
        <v>2905</v>
      </c>
      <c r="I1183" s="7">
        <f>2508</f>
        <v>2508</v>
      </c>
      <c r="J1183" s="5" t="s">
        <v>262</v>
      </c>
      <c r="K1183" s="8">
        <f>1</f>
        <v>1</v>
      </c>
      <c r="L1183" s="6" t="s">
        <v>242</v>
      </c>
      <c r="M1183" s="5" t="s">
        <v>267</v>
      </c>
      <c r="N1183" s="5" t="s">
        <v>265</v>
      </c>
      <c r="O1183" s="5" t="s">
        <v>238</v>
      </c>
      <c r="P1183" s="5" t="s">
        <v>238</v>
      </c>
      <c r="Q1183" s="5" t="s">
        <v>268</v>
      </c>
      <c r="R1183" s="5" t="s">
        <v>270</v>
      </c>
      <c r="S1183" s="5" t="s">
        <v>238</v>
      </c>
      <c r="V1183" s="5" t="s">
        <v>238</v>
      </c>
      <c r="X1183" s="6" t="s">
        <v>238</v>
      </c>
      <c r="AA1183" s="6" t="s">
        <v>243</v>
      </c>
      <c r="AB1183" s="5" t="s">
        <v>238</v>
      </c>
      <c r="AC1183" s="5" t="s">
        <v>244</v>
      </c>
      <c r="AD1183" s="5" t="s">
        <v>245</v>
      </c>
      <c r="AT1183" s="5" t="s">
        <v>246</v>
      </c>
      <c r="AU1183" s="5" t="s">
        <v>238</v>
      </c>
      <c r="AV1183" s="5" t="s">
        <v>247</v>
      </c>
      <c r="AW1183" s="5" t="s">
        <v>238</v>
      </c>
      <c r="AX1183" s="5" t="s">
        <v>249</v>
      </c>
      <c r="AY1183" s="5" t="s">
        <v>238</v>
      </c>
      <c r="BA1183" s="5" t="s">
        <v>238</v>
      </c>
      <c r="BC1183" s="5" t="s">
        <v>250</v>
      </c>
      <c r="BD1183" s="6" t="s">
        <v>243</v>
      </c>
      <c r="BE1183" s="5" t="s">
        <v>251</v>
      </c>
      <c r="BF1183" s="5" t="s">
        <v>252</v>
      </c>
      <c r="BG1183" s="5" t="s">
        <v>238</v>
      </c>
      <c r="BH1183" s="7">
        <f>0</f>
        <v>0</v>
      </c>
      <c r="BI1183" s="8">
        <f>0</f>
        <v>0</v>
      </c>
      <c r="BJ1183" s="5" t="s">
        <v>253</v>
      </c>
      <c r="BK1183" s="5" t="s">
        <v>254</v>
      </c>
      <c r="BY1183" s="5" t="s">
        <v>238</v>
      </c>
      <c r="BZ1183" s="5" t="s">
        <v>238</v>
      </c>
      <c r="CD1183" s="5" t="s">
        <v>273</v>
      </c>
      <c r="CE1183" s="5" t="s">
        <v>256</v>
      </c>
      <c r="CF1183" s="5" t="s">
        <v>238</v>
      </c>
      <c r="CI1183" s="6" t="s">
        <v>257</v>
      </c>
      <c r="CJ1183" s="5" t="s">
        <v>238</v>
      </c>
      <c r="CK1183" s="5" t="s">
        <v>258</v>
      </c>
      <c r="CL1183" s="5" t="s">
        <v>238</v>
      </c>
      <c r="CM1183" s="5" t="s">
        <v>238</v>
      </c>
      <c r="CN1183" s="5">
        <v>0</v>
      </c>
      <c r="CO1183" s="5" t="s">
        <v>259</v>
      </c>
      <c r="CP1183" s="5" t="s">
        <v>260</v>
      </c>
      <c r="CQ1183" s="5" t="s">
        <v>260</v>
      </c>
      <c r="CR1183" s="5" t="s">
        <v>261</v>
      </c>
      <c r="CU1183" s="8">
        <f>1</f>
        <v>1</v>
      </c>
      <c r="CV1183" s="8">
        <f>0</f>
        <v>0</v>
      </c>
      <c r="CX1183" s="8">
        <f>0</f>
        <v>0</v>
      </c>
      <c r="CY1183" s="8">
        <f>1</f>
        <v>1</v>
      </c>
      <c r="DA1183" s="5" t="s">
        <v>673</v>
      </c>
      <c r="DB1183" s="5" t="s">
        <v>238</v>
      </c>
      <c r="DD1183" s="5" t="s">
        <v>673</v>
      </c>
      <c r="DE1183" s="8">
        <f>2508</f>
        <v>2508</v>
      </c>
      <c r="DG1183" s="5" t="s">
        <v>238</v>
      </c>
      <c r="DH1183" s="5" t="s">
        <v>238</v>
      </c>
      <c r="DI1183" s="5" t="s">
        <v>238</v>
      </c>
      <c r="DJ1183" s="5" t="s">
        <v>238</v>
      </c>
      <c r="DN1183" s="5" t="s">
        <v>238</v>
      </c>
      <c r="DO1183" s="5" t="s">
        <v>238</v>
      </c>
      <c r="DP1183" s="5" t="s">
        <v>238</v>
      </c>
      <c r="DQ1183" s="5" t="s">
        <v>238</v>
      </c>
      <c r="DT1183" s="5" t="s">
        <v>2039</v>
      </c>
      <c r="DU1183" s="5" t="s">
        <v>2906</v>
      </c>
      <c r="HM1183" s="5" t="s">
        <v>264</v>
      </c>
    </row>
    <row r="1184" spans="1:221" x14ac:dyDescent="0.4">
      <c r="A1184" s="5">
        <v>2859</v>
      </c>
      <c r="B1184" s="5">
        <v>1</v>
      </c>
      <c r="C1184" s="5">
        <v>1</v>
      </c>
      <c r="D1184" s="5" t="s">
        <v>2037</v>
      </c>
      <c r="E1184" s="5" t="s">
        <v>271</v>
      </c>
      <c r="F1184" s="5" t="s">
        <v>248</v>
      </c>
      <c r="G1184" s="5" t="s">
        <v>1969</v>
      </c>
      <c r="H1184" s="6" t="s">
        <v>2903</v>
      </c>
      <c r="I1184" s="7">
        <f>531</f>
        <v>531</v>
      </c>
      <c r="J1184" s="5" t="s">
        <v>262</v>
      </c>
      <c r="K1184" s="8">
        <f>1</f>
        <v>1</v>
      </c>
      <c r="L1184" s="6" t="s">
        <v>242</v>
      </c>
      <c r="M1184" s="5" t="s">
        <v>267</v>
      </c>
      <c r="N1184" s="5" t="s">
        <v>265</v>
      </c>
      <c r="O1184" s="5" t="s">
        <v>238</v>
      </c>
      <c r="P1184" s="5" t="s">
        <v>238</v>
      </c>
      <c r="Q1184" s="5" t="s">
        <v>268</v>
      </c>
      <c r="R1184" s="5" t="s">
        <v>270</v>
      </c>
      <c r="S1184" s="5" t="s">
        <v>238</v>
      </c>
      <c r="V1184" s="5" t="s">
        <v>238</v>
      </c>
      <c r="X1184" s="6" t="s">
        <v>238</v>
      </c>
      <c r="AA1184" s="6" t="s">
        <v>243</v>
      </c>
      <c r="AB1184" s="5" t="s">
        <v>238</v>
      </c>
      <c r="AC1184" s="5" t="s">
        <v>244</v>
      </c>
      <c r="AD1184" s="5" t="s">
        <v>245</v>
      </c>
      <c r="AT1184" s="5" t="s">
        <v>246</v>
      </c>
      <c r="AU1184" s="5" t="s">
        <v>238</v>
      </c>
      <c r="AV1184" s="5" t="s">
        <v>247</v>
      </c>
      <c r="AW1184" s="5" t="s">
        <v>238</v>
      </c>
      <c r="AX1184" s="5" t="s">
        <v>249</v>
      </c>
      <c r="AY1184" s="5" t="s">
        <v>238</v>
      </c>
      <c r="BA1184" s="5" t="s">
        <v>238</v>
      </c>
      <c r="BC1184" s="5" t="s">
        <v>250</v>
      </c>
      <c r="BD1184" s="6" t="s">
        <v>243</v>
      </c>
      <c r="BE1184" s="5" t="s">
        <v>251</v>
      </c>
      <c r="BF1184" s="5" t="s">
        <v>252</v>
      </c>
      <c r="BG1184" s="5" t="s">
        <v>238</v>
      </c>
      <c r="BH1184" s="7">
        <f>0</f>
        <v>0</v>
      </c>
      <c r="BI1184" s="8">
        <f>0</f>
        <v>0</v>
      </c>
      <c r="BJ1184" s="5" t="s">
        <v>253</v>
      </c>
      <c r="BK1184" s="5" t="s">
        <v>254</v>
      </c>
      <c r="BY1184" s="5" t="s">
        <v>238</v>
      </c>
      <c r="BZ1184" s="5" t="s">
        <v>238</v>
      </c>
      <c r="CD1184" s="5" t="s">
        <v>273</v>
      </c>
      <c r="CE1184" s="5" t="s">
        <v>256</v>
      </c>
      <c r="CF1184" s="5" t="s">
        <v>238</v>
      </c>
      <c r="CI1184" s="6" t="s">
        <v>257</v>
      </c>
      <c r="CJ1184" s="5" t="s">
        <v>238</v>
      </c>
      <c r="CK1184" s="5" t="s">
        <v>258</v>
      </c>
      <c r="CL1184" s="5" t="s">
        <v>238</v>
      </c>
      <c r="CM1184" s="5" t="s">
        <v>238</v>
      </c>
      <c r="CN1184" s="5">
        <v>0</v>
      </c>
      <c r="CO1184" s="5" t="s">
        <v>259</v>
      </c>
      <c r="CP1184" s="5" t="s">
        <v>260</v>
      </c>
      <c r="CQ1184" s="5" t="s">
        <v>260</v>
      </c>
      <c r="CR1184" s="5" t="s">
        <v>261</v>
      </c>
      <c r="CU1184" s="8">
        <f>1</f>
        <v>1</v>
      </c>
      <c r="CV1184" s="8">
        <f>0</f>
        <v>0</v>
      </c>
      <c r="CX1184" s="8">
        <f>0</f>
        <v>0</v>
      </c>
      <c r="CY1184" s="8">
        <f>1</f>
        <v>1</v>
      </c>
      <c r="DA1184" s="5" t="s">
        <v>673</v>
      </c>
      <c r="DB1184" s="5" t="s">
        <v>238</v>
      </c>
      <c r="DD1184" s="5" t="s">
        <v>673</v>
      </c>
      <c r="DE1184" s="8">
        <f>531</f>
        <v>531</v>
      </c>
      <c r="DG1184" s="5" t="s">
        <v>238</v>
      </c>
      <c r="DH1184" s="5" t="s">
        <v>238</v>
      </c>
      <c r="DI1184" s="5" t="s">
        <v>238</v>
      </c>
      <c r="DJ1184" s="5" t="s">
        <v>238</v>
      </c>
      <c r="DN1184" s="5" t="s">
        <v>238</v>
      </c>
      <c r="DO1184" s="5" t="s">
        <v>238</v>
      </c>
      <c r="DP1184" s="5" t="s">
        <v>238</v>
      </c>
      <c r="DQ1184" s="5" t="s">
        <v>238</v>
      </c>
      <c r="DT1184" s="5" t="s">
        <v>2039</v>
      </c>
      <c r="DU1184" s="5" t="s">
        <v>2904</v>
      </c>
      <c r="HM1184" s="5" t="s">
        <v>264</v>
      </c>
    </row>
    <row r="1185" spans="1:221" x14ac:dyDescent="0.4">
      <c r="A1185" s="5">
        <v>2860</v>
      </c>
      <c r="B1185" s="5">
        <v>1</v>
      </c>
      <c r="C1185" s="5">
        <v>1</v>
      </c>
      <c r="D1185" s="5" t="s">
        <v>2037</v>
      </c>
      <c r="E1185" s="5" t="s">
        <v>271</v>
      </c>
      <c r="F1185" s="5" t="s">
        <v>248</v>
      </c>
      <c r="G1185" s="5" t="s">
        <v>1969</v>
      </c>
      <c r="H1185" s="6" t="s">
        <v>2901</v>
      </c>
      <c r="I1185" s="7">
        <f>1961</f>
        <v>1961</v>
      </c>
      <c r="J1185" s="5" t="s">
        <v>262</v>
      </c>
      <c r="K1185" s="8">
        <f>1</f>
        <v>1</v>
      </c>
      <c r="L1185" s="6" t="s">
        <v>242</v>
      </c>
      <c r="M1185" s="5" t="s">
        <v>267</v>
      </c>
      <c r="N1185" s="5" t="s">
        <v>265</v>
      </c>
      <c r="O1185" s="5" t="s">
        <v>238</v>
      </c>
      <c r="P1185" s="5" t="s">
        <v>238</v>
      </c>
      <c r="Q1185" s="5" t="s">
        <v>268</v>
      </c>
      <c r="R1185" s="5" t="s">
        <v>270</v>
      </c>
      <c r="S1185" s="5" t="s">
        <v>238</v>
      </c>
      <c r="V1185" s="5" t="s">
        <v>238</v>
      </c>
      <c r="X1185" s="6" t="s">
        <v>238</v>
      </c>
      <c r="AA1185" s="6" t="s">
        <v>243</v>
      </c>
      <c r="AB1185" s="5" t="s">
        <v>238</v>
      </c>
      <c r="AC1185" s="5" t="s">
        <v>244</v>
      </c>
      <c r="AD1185" s="5" t="s">
        <v>245</v>
      </c>
      <c r="AT1185" s="5" t="s">
        <v>246</v>
      </c>
      <c r="AU1185" s="5" t="s">
        <v>238</v>
      </c>
      <c r="AV1185" s="5" t="s">
        <v>247</v>
      </c>
      <c r="AW1185" s="5" t="s">
        <v>238</v>
      </c>
      <c r="AX1185" s="5" t="s">
        <v>249</v>
      </c>
      <c r="AY1185" s="5" t="s">
        <v>238</v>
      </c>
      <c r="BA1185" s="5" t="s">
        <v>238</v>
      </c>
      <c r="BC1185" s="5" t="s">
        <v>250</v>
      </c>
      <c r="BD1185" s="6" t="s">
        <v>243</v>
      </c>
      <c r="BE1185" s="5" t="s">
        <v>251</v>
      </c>
      <c r="BF1185" s="5" t="s">
        <v>252</v>
      </c>
      <c r="BG1185" s="5" t="s">
        <v>238</v>
      </c>
      <c r="BH1185" s="7">
        <f>0</f>
        <v>0</v>
      </c>
      <c r="BI1185" s="8">
        <f>0</f>
        <v>0</v>
      </c>
      <c r="BJ1185" s="5" t="s">
        <v>253</v>
      </c>
      <c r="BK1185" s="5" t="s">
        <v>254</v>
      </c>
      <c r="BY1185" s="5" t="s">
        <v>238</v>
      </c>
      <c r="BZ1185" s="5" t="s">
        <v>238</v>
      </c>
      <c r="CD1185" s="5" t="s">
        <v>273</v>
      </c>
      <c r="CE1185" s="5" t="s">
        <v>256</v>
      </c>
      <c r="CF1185" s="5" t="s">
        <v>238</v>
      </c>
      <c r="CI1185" s="6" t="s">
        <v>257</v>
      </c>
      <c r="CJ1185" s="5" t="s">
        <v>238</v>
      </c>
      <c r="CK1185" s="5" t="s">
        <v>258</v>
      </c>
      <c r="CL1185" s="5" t="s">
        <v>238</v>
      </c>
      <c r="CM1185" s="5" t="s">
        <v>238</v>
      </c>
      <c r="CN1185" s="5">
        <v>0</v>
      </c>
      <c r="CO1185" s="5" t="s">
        <v>259</v>
      </c>
      <c r="CP1185" s="5" t="s">
        <v>260</v>
      </c>
      <c r="CQ1185" s="5" t="s">
        <v>260</v>
      </c>
      <c r="CR1185" s="5" t="s">
        <v>261</v>
      </c>
      <c r="CU1185" s="8">
        <f>1</f>
        <v>1</v>
      </c>
      <c r="CV1185" s="8">
        <f>0</f>
        <v>0</v>
      </c>
      <c r="CX1185" s="8">
        <f>0</f>
        <v>0</v>
      </c>
      <c r="CY1185" s="8">
        <f>1</f>
        <v>1</v>
      </c>
      <c r="DA1185" s="5" t="s">
        <v>673</v>
      </c>
      <c r="DB1185" s="5" t="s">
        <v>238</v>
      </c>
      <c r="DD1185" s="5" t="s">
        <v>673</v>
      </c>
      <c r="DE1185" s="8">
        <f>1961</f>
        <v>1961</v>
      </c>
      <c r="DG1185" s="5" t="s">
        <v>238</v>
      </c>
      <c r="DH1185" s="5" t="s">
        <v>238</v>
      </c>
      <c r="DI1185" s="5" t="s">
        <v>238</v>
      </c>
      <c r="DJ1185" s="5" t="s">
        <v>238</v>
      </c>
      <c r="DN1185" s="5" t="s">
        <v>238</v>
      </c>
      <c r="DO1185" s="5" t="s">
        <v>238</v>
      </c>
      <c r="DP1185" s="5" t="s">
        <v>238</v>
      </c>
      <c r="DQ1185" s="5" t="s">
        <v>238</v>
      </c>
      <c r="DT1185" s="5" t="s">
        <v>2039</v>
      </c>
      <c r="DU1185" s="5" t="s">
        <v>2902</v>
      </c>
      <c r="HM1185" s="5" t="s">
        <v>264</v>
      </c>
    </row>
    <row r="1186" spans="1:221" x14ac:dyDescent="0.4">
      <c r="A1186" s="5">
        <v>2861</v>
      </c>
      <c r="B1186" s="5">
        <v>1</v>
      </c>
      <c r="C1186" s="5">
        <v>1</v>
      </c>
      <c r="D1186" s="5" t="s">
        <v>2037</v>
      </c>
      <c r="E1186" s="5" t="s">
        <v>271</v>
      </c>
      <c r="F1186" s="5" t="s">
        <v>248</v>
      </c>
      <c r="G1186" s="5" t="s">
        <v>1969</v>
      </c>
      <c r="H1186" s="6" t="s">
        <v>2899</v>
      </c>
      <c r="I1186" s="7">
        <f>38</f>
        <v>38</v>
      </c>
      <c r="J1186" s="5" t="s">
        <v>262</v>
      </c>
      <c r="K1186" s="8">
        <f>1</f>
        <v>1</v>
      </c>
      <c r="L1186" s="6" t="s">
        <v>242</v>
      </c>
      <c r="M1186" s="5" t="s">
        <v>267</v>
      </c>
      <c r="N1186" s="5" t="s">
        <v>265</v>
      </c>
      <c r="O1186" s="5" t="s">
        <v>238</v>
      </c>
      <c r="P1186" s="5" t="s">
        <v>238</v>
      </c>
      <c r="Q1186" s="5" t="s">
        <v>268</v>
      </c>
      <c r="R1186" s="5" t="s">
        <v>270</v>
      </c>
      <c r="S1186" s="5" t="s">
        <v>238</v>
      </c>
      <c r="V1186" s="5" t="s">
        <v>238</v>
      </c>
      <c r="X1186" s="6" t="s">
        <v>238</v>
      </c>
      <c r="AA1186" s="6" t="s">
        <v>243</v>
      </c>
      <c r="AB1186" s="5" t="s">
        <v>238</v>
      </c>
      <c r="AC1186" s="5" t="s">
        <v>244</v>
      </c>
      <c r="AD1186" s="5" t="s">
        <v>245</v>
      </c>
      <c r="AT1186" s="5" t="s">
        <v>246</v>
      </c>
      <c r="AU1186" s="5" t="s">
        <v>238</v>
      </c>
      <c r="AV1186" s="5" t="s">
        <v>247</v>
      </c>
      <c r="AW1186" s="5" t="s">
        <v>238</v>
      </c>
      <c r="AX1186" s="5" t="s">
        <v>249</v>
      </c>
      <c r="AY1186" s="5" t="s">
        <v>238</v>
      </c>
      <c r="BA1186" s="5" t="s">
        <v>238</v>
      </c>
      <c r="BC1186" s="5" t="s">
        <v>250</v>
      </c>
      <c r="BD1186" s="6" t="s">
        <v>243</v>
      </c>
      <c r="BE1186" s="5" t="s">
        <v>251</v>
      </c>
      <c r="BF1186" s="5" t="s">
        <v>252</v>
      </c>
      <c r="BG1186" s="5" t="s">
        <v>238</v>
      </c>
      <c r="BH1186" s="7">
        <f>0</f>
        <v>0</v>
      </c>
      <c r="BI1186" s="8">
        <f>0</f>
        <v>0</v>
      </c>
      <c r="BJ1186" s="5" t="s">
        <v>253</v>
      </c>
      <c r="BK1186" s="5" t="s">
        <v>254</v>
      </c>
      <c r="BY1186" s="5" t="s">
        <v>238</v>
      </c>
      <c r="BZ1186" s="5" t="s">
        <v>238</v>
      </c>
      <c r="CD1186" s="5" t="s">
        <v>273</v>
      </c>
      <c r="CE1186" s="5" t="s">
        <v>256</v>
      </c>
      <c r="CF1186" s="5" t="s">
        <v>238</v>
      </c>
      <c r="CI1186" s="6" t="s">
        <v>257</v>
      </c>
      <c r="CJ1186" s="5" t="s">
        <v>238</v>
      </c>
      <c r="CK1186" s="5" t="s">
        <v>258</v>
      </c>
      <c r="CL1186" s="5" t="s">
        <v>238</v>
      </c>
      <c r="CM1186" s="5" t="s">
        <v>238</v>
      </c>
      <c r="CN1186" s="5">
        <v>0</v>
      </c>
      <c r="CO1186" s="5" t="s">
        <v>259</v>
      </c>
      <c r="CP1186" s="5" t="s">
        <v>260</v>
      </c>
      <c r="CQ1186" s="5" t="s">
        <v>260</v>
      </c>
      <c r="CR1186" s="5" t="s">
        <v>261</v>
      </c>
      <c r="CU1186" s="8">
        <f>1</f>
        <v>1</v>
      </c>
      <c r="CV1186" s="8">
        <f>0</f>
        <v>0</v>
      </c>
      <c r="CX1186" s="8">
        <f>0</f>
        <v>0</v>
      </c>
      <c r="CY1186" s="8">
        <f>1</f>
        <v>1</v>
      </c>
      <c r="DA1186" s="5" t="s">
        <v>673</v>
      </c>
      <c r="DB1186" s="5" t="s">
        <v>238</v>
      </c>
      <c r="DD1186" s="5" t="s">
        <v>673</v>
      </c>
      <c r="DE1186" s="8">
        <f>38</f>
        <v>38</v>
      </c>
      <c r="DG1186" s="5" t="s">
        <v>238</v>
      </c>
      <c r="DH1186" s="5" t="s">
        <v>238</v>
      </c>
      <c r="DI1186" s="5" t="s">
        <v>238</v>
      </c>
      <c r="DJ1186" s="5" t="s">
        <v>238</v>
      </c>
      <c r="DN1186" s="5" t="s">
        <v>238</v>
      </c>
      <c r="DO1186" s="5" t="s">
        <v>238</v>
      </c>
      <c r="DP1186" s="5" t="s">
        <v>238</v>
      </c>
      <c r="DQ1186" s="5" t="s">
        <v>238</v>
      </c>
      <c r="DT1186" s="5" t="s">
        <v>2039</v>
      </c>
      <c r="DU1186" s="5" t="s">
        <v>2900</v>
      </c>
      <c r="HM1186" s="5" t="s">
        <v>264</v>
      </c>
    </row>
    <row r="1187" spans="1:221" x14ac:dyDescent="0.4">
      <c r="A1187" s="5">
        <v>2862</v>
      </c>
      <c r="B1187" s="5">
        <v>1</v>
      </c>
      <c r="C1187" s="5">
        <v>1</v>
      </c>
      <c r="D1187" s="5" t="s">
        <v>2037</v>
      </c>
      <c r="E1187" s="5" t="s">
        <v>271</v>
      </c>
      <c r="F1187" s="5" t="s">
        <v>248</v>
      </c>
      <c r="G1187" s="5" t="s">
        <v>1969</v>
      </c>
      <c r="H1187" s="6" t="s">
        <v>2897</v>
      </c>
      <c r="I1187" s="7">
        <f>2784</f>
        <v>2784</v>
      </c>
      <c r="J1187" s="5" t="s">
        <v>262</v>
      </c>
      <c r="K1187" s="8">
        <f>1</f>
        <v>1</v>
      </c>
      <c r="L1187" s="6" t="s">
        <v>242</v>
      </c>
      <c r="M1187" s="5" t="s">
        <v>267</v>
      </c>
      <c r="N1187" s="5" t="s">
        <v>265</v>
      </c>
      <c r="O1187" s="5" t="s">
        <v>238</v>
      </c>
      <c r="P1187" s="5" t="s">
        <v>238</v>
      </c>
      <c r="Q1187" s="5" t="s">
        <v>268</v>
      </c>
      <c r="R1187" s="5" t="s">
        <v>270</v>
      </c>
      <c r="S1187" s="5" t="s">
        <v>238</v>
      </c>
      <c r="V1187" s="5" t="s">
        <v>238</v>
      </c>
      <c r="X1187" s="6" t="s">
        <v>238</v>
      </c>
      <c r="AA1187" s="6" t="s">
        <v>243</v>
      </c>
      <c r="AB1187" s="5" t="s">
        <v>238</v>
      </c>
      <c r="AC1187" s="5" t="s">
        <v>244</v>
      </c>
      <c r="AD1187" s="5" t="s">
        <v>245</v>
      </c>
      <c r="AT1187" s="5" t="s">
        <v>246</v>
      </c>
      <c r="AU1187" s="5" t="s">
        <v>238</v>
      </c>
      <c r="AV1187" s="5" t="s">
        <v>247</v>
      </c>
      <c r="AW1187" s="5" t="s">
        <v>238</v>
      </c>
      <c r="AX1187" s="5" t="s">
        <v>249</v>
      </c>
      <c r="AY1187" s="5" t="s">
        <v>238</v>
      </c>
      <c r="BA1187" s="5" t="s">
        <v>238</v>
      </c>
      <c r="BC1187" s="5" t="s">
        <v>250</v>
      </c>
      <c r="BD1187" s="6" t="s">
        <v>243</v>
      </c>
      <c r="BE1187" s="5" t="s">
        <v>251</v>
      </c>
      <c r="BF1187" s="5" t="s">
        <v>252</v>
      </c>
      <c r="BG1187" s="5" t="s">
        <v>238</v>
      </c>
      <c r="BH1187" s="7">
        <f>0</f>
        <v>0</v>
      </c>
      <c r="BI1187" s="8">
        <f>0</f>
        <v>0</v>
      </c>
      <c r="BJ1187" s="5" t="s">
        <v>253</v>
      </c>
      <c r="BK1187" s="5" t="s">
        <v>254</v>
      </c>
      <c r="BY1187" s="5" t="s">
        <v>238</v>
      </c>
      <c r="BZ1187" s="5" t="s">
        <v>238</v>
      </c>
      <c r="CD1187" s="5" t="s">
        <v>273</v>
      </c>
      <c r="CE1187" s="5" t="s">
        <v>256</v>
      </c>
      <c r="CF1187" s="5" t="s">
        <v>238</v>
      </c>
      <c r="CI1187" s="6" t="s">
        <v>257</v>
      </c>
      <c r="CJ1187" s="5" t="s">
        <v>238</v>
      </c>
      <c r="CK1187" s="5" t="s">
        <v>258</v>
      </c>
      <c r="CL1187" s="5" t="s">
        <v>238</v>
      </c>
      <c r="CM1187" s="5" t="s">
        <v>238</v>
      </c>
      <c r="CN1187" s="5">
        <v>0</v>
      </c>
      <c r="CO1187" s="5" t="s">
        <v>259</v>
      </c>
      <c r="CP1187" s="5" t="s">
        <v>260</v>
      </c>
      <c r="CQ1187" s="5" t="s">
        <v>260</v>
      </c>
      <c r="CR1187" s="5" t="s">
        <v>261</v>
      </c>
      <c r="CU1187" s="8">
        <f>1</f>
        <v>1</v>
      </c>
      <c r="CV1187" s="8">
        <f>0</f>
        <v>0</v>
      </c>
      <c r="CX1187" s="8">
        <f>0</f>
        <v>0</v>
      </c>
      <c r="CY1187" s="8">
        <f>1</f>
        <v>1</v>
      </c>
      <c r="DA1187" s="5" t="s">
        <v>673</v>
      </c>
      <c r="DB1187" s="5" t="s">
        <v>238</v>
      </c>
      <c r="DD1187" s="5" t="s">
        <v>673</v>
      </c>
      <c r="DE1187" s="8">
        <f>2784</f>
        <v>2784</v>
      </c>
      <c r="DG1187" s="5" t="s">
        <v>238</v>
      </c>
      <c r="DH1187" s="5" t="s">
        <v>238</v>
      </c>
      <c r="DI1187" s="5" t="s">
        <v>238</v>
      </c>
      <c r="DJ1187" s="5" t="s">
        <v>238</v>
      </c>
      <c r="DN1187" s="5" t="s">
        <v>238</v>
      </c>
      <c r="DO1187" s="5" t="s">
        <v>238</v>
      </c>
      <c r="DP1187" s="5" t="s">
        <v>238</v>
      </c>
      <c r="DQ1187" s="5" t="s">
        <v>238</v>
      </c>
      <c r="DT1187" s="5" t="s">
        <v>2039</v>
      </c>
      <c r="DU1187" s="5" t="s">
        <v>2898</v>
      </c>
      <c r="HM1187" s="5" t="s">
        <v>264</v>
      </c>
    </row>
    <row r="1188" spans="1:221" x14ac:dyDescent="0.4">
      <c r="A1188" s="5">
        <v>2863</v>
      </c>
      <c r="B1188" s="5">
        <v>1</v>
      </c>
      <c r="C1188" s="5">
        <v>1</v>
      </c>
      <c r="D1188" s="5" t="s">
        <v>2037</v>
      </c>
      <c r="E1188" s="5" t="s">
        <v>271</v>
      </c>
      <c r="F1188" s="5" t="s">
        <v>248</v>
      </c>
      <c r="G1188" s="5" t="s">
        <v>1969</v>
      </c>
      <c r="H1188" s="6" t="s">
        <v>2895</v>
      </c>
      <c r="I1188" s="7">
        <f>3681</f>
        <v>3681</v>
      </c>
      <c r="J1188" s="5" t="s">
        <v>262</v>
      </c>
      <c r="K1188" s="8">
        <f>1</f>
        <v>1</v>
      </c>
      <c r="L1188" s="6" t="s">
        <v>242</v>
      </c>
      <c r="M1188" s="5" t="s">
        <v>267</v>
      </c>
      <c r="N1188" s="5" t="s">
        <v>265</v>
      </c>
      <c r="O1188" s="5" t="s">
        <v>238</v>
      </c>
      <c r="P1188" s="5" t="s">
        <v>238</v>
      </c>
      <c r="Q1188" s="5" t="s">
        <v>268</v>
      </c>
      <c r="R1188" s="5" t="s">
        <v>270</v>
      </c>
      <c r="S1188" s="5" t="s">
        <v>238</v>
      </c>
      <c r="V1188" s="5" t="s">
        <v>238</v>
      </c>
      <c r="X1188" s="6" t="s">
        <v>238</v>
      </c>
      <c r="AA1188" s="6" t="s">
        <v>243</v>
      </c>
      <c r="AB1188" s="5" t="s">
        <v>238</v>
      </c>
      <c r="AC1188" s="5" t="s">
        <v>244</v>
      </c>
      <c r="AD1188" s="5" t="s">
        <v>245</v>
      </c>
      <c r="AT1188" s="5" t="s">
        <v>246</v>
      </c>
      <c r="AU1188" s="5" t="s">
        <v>238</v>
      </c>
      <c r="AV1188" s="5" t="s">
        <v>247</v>
      </c>
      <c r="AW1188" s="5" t="s">
        <v>238</v>
      </c>
      <c r="AX1188" s="5" t="s">
        <v>249</v>
      </c>
      <c r="AY1188" s="5" t="s">
        <v>238</v>
      </c>
      <c r="BA1188" s="5" t="s">
        <v>238</v>
      </c>
      <c r="BC1188" s="5" t="s">
        <v>250</v>
      </c>
      <c r="BD1188" s="6" t="s">
        <v>243</v>
      </c>
      <c r="BE1188" s="5" t="s">
        <v>251</v>
      </c>
      <c r="BF1188" s="5" t="s">
        <v>252</v>
      </c>
      <c r="BG1188" s="5" t="s">
        <v>238</v>
      </c>
      <c r="BH1188" s="7">
        <f>0</f>
        <v>0</v>
      </c>
      <c r="BI1188" s="8">
        <f>0</f>
        <v>0</v>
      </c>
      <c r="BJ1188" s="5" t="s">
        <v>253</v>
      </c>
      <c r="BK1188" s="5" t="s">
        <v>254</v>
      </c>
      <c r="BY1188" s="5" t="s">
        <v>238</v>
      </c>
      <c r="BZ1188" s="5" t="s">
        <v>238</v>
      </c>
      <c r="CD1188" s="5" t="s">
        <v>273</v>
      </c>
      <c r="CE1188" s="5" t="s">
        <v>256</v>
      </c>
      <c r="CF1188" s="5" t="s">
        <v>238</v>
      </c>
      <c r="CI1188" s="6" t="s">
        <v>257</v>
      </c>
      <c r="CJ1188" s="5" t="s">
        <v>238</v>
      </c>
      <c r="CK1188" s="5" t="s">
        <v>258</v>
      </c>
      <c r="CL1188" s="5" t="s">
        <v>238</v>
      </c>
      <c r="CM1188" s="5" t="s">
        <v>238</v>
      </c>
      <c r="CN1188" s="5">
        <v>0</v>
      </c>
      <c r="CO1188" s="5" t="s">
        <v>259</v>
      </c>
      <c r="CP1188" s="5" t="s">
        <v>260</v>
      </c>
      <c r="CQ1188" s="5" t="s">
        <v>260</v>
      </c>
      <c r="CR1188" s="5" t="s">
        <v>261</v>
      </c>
      <c r="CU1188" s="8">
        <f>1</f>
        <v>1</v>
      </c>
      <c r="CV1188" s="8">
        <f>0</f>
        <v>0</v>
      </c>
      <c r="CX1188" s="8">
        <f>0</f>
        <v>0</v>
      </c>
      <c r="CY1188" s="8">
        <f>1</f>
        <v>1</v>
      </c>
      <c r="DA1188" s="5" t="s">
        <v>673</v>
      </c>
      <c r="DB1188" s="5" t="s">
        <v>238</v>
      </c>
      <c r="DD1188" s="5" t="s">
        <v>673</v>
      </c>
      <c r="DE1188" s="8">
        <f>3681</f>
        <v>3681</v>
      </c>
      <c r="DG1188" s="5" t="s">
        <v>238</v>
      </c>
      <c r="DH1188" s="5" t="s">
        <v>238</v>
      </c>
      <c r="DI1188" s="5" t="s">
        <v>238</v>
      </c>
      <c r="DJ1188" s="5" t="s">
        <v>238</v>
      </c>
      <c r="DN1188" s="5" t="s">
        <v>238</v>
      </c>
      <c r="DO1188" s="5" t="s">
        <v>238</v>
      </c>
      <c r="DP1188" s="5" t="s">
        <v>238</v>
      </c>
      <c r="DQ1188" s="5" t="s">
        <v>238</v>
      </c>
      <c r="DT1188" s="5" t="s">
        <v>2039</v>
      </c>
      <c r="DU1188" s="5" t="s">
        <v>2896</v>
      </c>
      <c r="HM1188" s="5" t="s">
        <v>264</v>
      </c>
    </row>
    <row r="1189" spans="1:221" x14ac:dyDescent="0.4">
      <c r="A1189" s="5">
        <v>2864</v>
      </c>
      <c r="B1189" s="5">
        <v>1</v>
      </c>
      <c r="C1189" s="5">
        <v>1</v>
      </c>
      <c r="D1189" s="5" t="s">
        <v>2037</v>
      </c>
      <c r="E1189" s="5" t="s">
        <v>271</v>
      </c>
      <c r="F1189" s="5" t="s">
        <v>248</v>
      </c>
      <c r="G1189" s="5" t="s">
        <v>1969</v>
      </c>
      <c r="H1189" s="6" t="s">
        <v>2893</v>
      </c>
      <c r="I1189" s="7">
        <f>2076</f>
        <v>2076</v>
      </c>
      <c r="J1189" s="5" t="s">
        <v>262</v>
      </c>
      <c r="K1189" s="8">
        <f>1</f>
        <v>1</v>
      </c>
      <c r="L1189" s="6" t="s">
        <v>242</v>
      </c>
      <c r="M1189" s="5" t="s">
        <v>267</v>
      </c>
      <c r="N1189" s="5" t="s">
        <v>265</v>
      </c>
      <c r="O1189" s="5" t="s">
        <v>238</v>
      </c>
      <c r="P1189" s="5" t="s">
        <v>238</v>
      </c>
      <c r="Q1189" s="5" t="s">
        <v>268</v>
      </c>
      <c r="R1189" s="5" t="s">
        <v>270</v>
      </c>
      <c r="S1189" s="5" t="s">
        <v>238</v>
      </c>
      <c r="V1189" s="5" t="s">
        <v>238</v>
      </c>
      <c r="X1189" s="6" t="s">
        <v>238</v>
      </c>
      <c r="AA1189" s="6" t="s">
        <v>243</v>
      </c>
      <c r="AB1189" s="5" t="s">
        <v>238</v>
      </c>
      <c r="AC1189" s="5" t="s">
        <v>244</v>
      </c>
      <c r="AD1189" s="5" t="s">
        <v>245</v>
      </c>
      <c r="AT1189" s="5" t="s">
        <v>246</v>
      </c>
      <c r="AU1189" s="5" t="s">
        <v>238</v>
      </c>
      <c r="AV1189" s="5" t="s">
        <v>247</v>
      </c>
      <c r="AW1189" s="5" t="s">
        <v>238</v>
      </c>
      <c r="AX1189" s="5" t="s">
        <v>249</v>
      </c>
      <c r="AY1189" s="5" t="s">
        <v>238</v>
      </c>
      <c r="BA1189" s="5" t="s">
        <v>238</v>
      </c>
      <c r="BC1189" s="5" t="s">
        <v>250</v>
      </c>
      <c r="BD1189" s="6" t="s">
        <v>243</v>
      </c>
      <c r="BE1189" s="5" t="s">
        <v>251</v>
      </c>
      <c r="BF1189" s="5" t="s">
        <v>252</v>
      </c>
      <c r="BG1189" s="5" t="s">
        <v>238</v>
      </c>
      <c r="BH1189" s="7">
        <f>0</f>
        <v>0</v>
      </c>
      <c r="BI1189" s="8">
        <f>0</f>
        <v>0</v>
      </c>
      <c r="BJ1189" s="5" t="s">
        <v>253</v>
      </c>
      <c r="BK1189" s="5" t="s">
        <v>254</v>
      </c>
      <c r="BY1189" s="5" t="s">
        <v>238</v>
      </c>
      <c r="BZ1189" s="5" t="s">
        <v>238</v>
      </c>
      <c r="CD1189" s="5" t="s">
        <v>273</v>
      </c>
      <c r="CE1189" s="5" t="s">
        <v>256</v>
      </c>
      <c r="CF1189" s="5" t="s">
        <v>238</v>
      </c>
      <c r="CI1189" s="6" t="s">
        <v>257</v>
      </c>
      <c r="CJ1189" s="5" t="s">
        <v>238</v>
      </c>
      <c r="CK1189" s="5" t="s">
        <v>258</v>
      </c>
      <c r="CL1189" s="5" t="s">
        <v>238</v>
      </c>
      <c r="CM1189" s="5" t="s">
        <v>238</v>
      </c>
      <c r="CN1189" s="5">
        <v>0</v>
      </c>
      <c r="CO1189" s="5" t="s">
        <v>259</v>
      </c>
      <c r="CP1189" s="5" t="s">
        <v>260</v>
      </c>
      <c r="CQ1189" s="5" t="s">
        <v>260</v>
      </c>
      <c r="CR1189" s="5" t="s">
        <v>261</v>
      </c>
      <c r="CU1189" s="8">
        <f>1</f>
        <v>1</v>
      </c>
      <c r="CV1189" s="8">
        <f>0</f>
        <v>0</v>
      </c>
      <c r="CX1189" s="8">
        <f>0</f>
        <v>0</v>
      </c>
      <c r="CY1189" s="8">
        <f>1</f>
        <v>1</v>
      </c>
      <c r="DA1189" s="5" t="s">
        <v>673</v>
      </c>
      <c r="DB1189" s="5" t="s">
        <v>238</v>
      </c>
      <c r="DD1189" s="5" t="s">
        <v>673</v>
      </c>
      <c r="DE1189" s="8">
        <f>2076</f>
        <v>2076</v>
      </c>
      <c r="DG1189" s="5" t="s">
        <v>238</v>
      </c>
      <c r="DH1189" s="5" t="s">
        <v>238</v>
      </c>
      <c r="DI1189" s="5" t="s">
        <v>238</v>
      </c>
      <c r="DJ1189" s="5" t="s">
        <v>238</v>
      </c>
      <c r="DN1189" s="5" t="s">
        <v>238</v>
      </c>
      <c r="DO1189" s="5" t="s">
        <v>238</v>
      </c>
      <c r="DP1189" s="5" t="s">
        <v>238</v>
      </c>
      <c r="DQ1189" s="5" t="s">
        <v>238</v>
      </c>
      <c r="DT1189" s="5" t="s">
        <v>2039</v>
      </c>
      <c r="DU1189" s="5" t="s">
        <v>2894</v>
      </c>
      <c r="HM1189" s="5" t="s">
        <v>264</v>
      </c>
    </row>
    <row r="1190" spans="1:221" x14ac:dyDescent="0.4">
      <c r="A1190" s="5">
        <v>2865</v>
      </c>
      <c r="B1190" s="5">
        <v>1</v>
      </c>
      <c r="C1190" s="5">
        <v>1</v>
      </c>
      <c r="D1190" s="5" t="s">
        <v>2037</v>
      </c>
      <c r="E1190" s="5" t="s">
        <v>271</v>
      </c>
      <c r="F1190" s="5" t="s">
        <v>248</v>
      </c>
      <c r="G1190" s="5" t="s">
        <v>1969</v>
      </c>
      <c r="H1190" s="6" t="s">
        <v>2889</v>
      </c>
      <c r="I1190" s="7">
        <f>474</f>
        <v>474</v>
      </c>
      <c r="J1190" s="5" t="s">
        <v>262</v>
      </c>
      <c r="K1190" s="8">
        <f>1</f>
        <v>1</v>
      </c>
      <c r="L1190" s="6" t="s">
        <v>242</v>
      </c>
      <c r="M1190" s="5" t="s">
        <v>267</v>
      </c>
      <c r="N1190" s="5" t="s">
        <v>265</v>
      </c>
      <c r="O1190" s="5" t="s">
        <v>238</v>
      </c>
      <c r="P1190" s="5" t="s">
        <v>238</v>
      </c>
      <c r="Q1190" s="5" t="s">
        <v>268</v>
      </c>
      <c r="R1190" s="5" t="s">
        <v>270</v>
      </c>
      <c r="S1190" s="5" t="s">
        <v>238</v>
      </c>
      <c r="V1190" s="5" t="s">
        <v>238</v>
      </c>
      <c r="X1190" s="6" t="s">
        <v>238</v>
      </c>
      <c r="AA1190" s="6" t="s">
        <v>243</v>
      </c>
      <c r="AB1190" s="5" t="s">
        <v>238</v>
      </c>
      <c r="AC1190" s="5" t="s">
        <v>244</v>
      </c>
      <c r="AD1190" s="5" t="s">
        <v>245</v>
      </c>
      <c r="AT1190" s="5" t="s">
        <v>246</v>
      </c>
      <c r="AU1190" s="5" t="s">
        <v>238</v>
      </c>
      <c r="AV1190" s="5" t="s">
        <v>247</v>
      </c>
      <c r="AW1190" s="5" t="s">
        <v>238</v>
      </c>
      <c r="AX1190" s="5" t="s">
        <v>249</v>
      </c>
      <c r="AY1190" s="5" t="s">
        <v>238</v>
      </c>
      <c r="BA1190" s="5" t="s">
        <v>238</v>
      </c>
      <c r="BC1190" s="5" t="s">
        <v>250</v>
      </c>
      <c r="BD1190" s="6" t="s">
        <v>243</v>
      </c>
      <c r="BE1190" s="5" t="s">
        <v>251</v>
      </c>
      <c r="BF1190" s="5" t="s">
        <v>252</v>
      </c>
      <c r="BG1190" s="5" t="s">
        <v>238</v>
      </c>
      <c r="BH1190" s="7">
        <f>0</f>
        <v>0</v>
      </c>
      <c r="BI1190" s="8">
        <f>0</f>
        <v>0</v>
      </c>
      <c r="BJ1190" s="5" t="s">
        <v>253</v>
      </c>
      <c r="BK1190" s="5" t="s">
        <v>254</v>
      </c>
      <c r="BY1190" s="5" t="s">
        <v>238</v>
      </c>
      <c r="BZ1190" s="5" t="s">
        <v>238</v>
      </c>
      <c r="CD1190" s="5" t="s">
        <v>273</v>
      </c>
      <c r="CE1190" s="5" t="s">
        <v>256</v>
      </c>
      <c r="CF1190" s="5" t="s">
        <v>238</v>
      </c>
      <c r="CI1190" s="6" t="s">
        <v>257</v>
      </c>
      <c r="CJ1190" s="5" t="s">
        <v>238</v>
      </c>
      <c r="CK1190" s="5" t="s">
        <v>258</v>
      </c>
      <c r="CL1190" s="5" t="s">
        <v>238</v>
      </c>
      <c r="CM1190" s="5" t="s">
        <v>238</v>
      </c>
      <c r="CN1190" s="5">
        <v>0</v>
      </c>
      <c r="CO1190" s="5" t="s">
        <v>259</v>
      </c>
      <c r="CP1190" s="5" t="s">
        <v>260</v>
      </c>
      <c r="CQ1190" s="5" t="s">
        <v>260</v>
      </c>
      <c r="CR1190" s="5" t="s">
        <v>261</v>
      </c>
      <c r="CU1190" s="8">
        <f>1</f>
        <v>1</v>
      </c>
      <c r="CV1190" s="8">
        <f>0</f>
        <v>0</v>
      </c>
      <c r="CX1190" s="8">
        <f>0</f>
        <v>0</v>
      </c>
      <c r="CY1190" s="8">
        <f>1</f>
        <v>1</v>
      </c>
      <c r="DA1190" s="5" t="s">
        <v>673</v>
      </c>
      <c r="DB1190" s="5" t="s">
        <v>238</v>
      </c>
      <c r="DD1190" s="5" t="s">
        <v>673</v>
      </c>
      <c r="DE1190" s="8">
        <f>474</f>
        <v>474</v>
      </c>
      <c r="DG1190" s="5" t="s">
        <v>238</v>
      </c>
      <c r="DH1190" s="5" t="s">
        <v>238</v>
      </c>
      <c r="DI1190" s="5" t="s">
        <v>238</v>
      </c>
      <c r="DJ1190" s="5" t="s">
        <v>238</v>
      </c>
      <c r="DN1190" s="5" t="s">
        <v>238</v>
      </c>
      <c r="DO1190" s="5" t="s">
        <v>238</v>
      </c>
      <c r="DP1190" s="5" t="s">
        <v>238</v>
      </c>
      <c r="DQ1190" s="5" t="s">
        <v>238</v>
      </c>
      <c r="DT1190" s="5" t="s">
        <v>2039</v>
      </c>
      <c r="DU1190" s="5" t="s">
        <v>2890</v>
      </c>
      <c r="HM1190" s="5" t="s">
        <v>264</v>
      </c>
    </row>
    <row r="1191" spans="1:221" x14ac:dyDescent="0.4">
      <c r="A1191" s="5">
        <v>2866</v>
      </c>
      <c r="B1191" s="5">
        <v>1</v>
      </c>
      <c r="C1191" s="5">
        <v>1</v>
      </c>
      <c r="D1191" s="5" t="s">
        <v>2037</v>
      </c>
      <c r="E1191" s="5" t="s">
        <v>271</v>
      </c>
      <c r="F1191" s="5" t="s">
        <v>248</v>
      </c>
      <c r="G1191" s="5" t="s">
        <v>1969</v>
      </c>
      <c r="H1191" s="6" t="s">
        <v>2887</v>
      </c>
      <c r="I1191" s="7">
        <f>1677</f>
        <v>1677</v>
      </c>
      <c r="J1191" s="5" t="s">
        <v>262</v>
      </c>
      <c r="K1191" s="8">
        <f>1</f>
        <v>1</v>
      </c>
      <c r="L1191" s="6" t="s">
        <v>242</v>
      </c>
      <c r="M1191" s="5" t="s">
        <v>267</v>
      </c>
      <c r="N1191" s="5" t="s">
        <v>265</v>
      </c>
      <c r="O1191" s="5" t="s">
        <v>238</v>
      </c>
      <c r="P1191" s="5" t="s">
        <v>238</v>
      </c>
      <c r="Q1191" s="5" t="s">
        <v>268</v>
      </c>
      <c r="R1191" s="5" t="s">
        <v>270</v>
      </c>
      <c r="S1191" s="5" t="s">
        <v>238</v>
      </c>
      <c r="V1191" s="5" t="s">
        <v>238</v>
      </c>
      <c r="X1191" s="6" t="s">
        <v>238</v>
      </c>
      <c r="AA1191" s="6" t="s">
        <v>243</v>
      </c>
      <c r="AB1191" s="5" t="s">
        <v>238</v>
      </c>
      <c r="AC1191" s="5" t="s">
        <v>244</v>
      </c>
      <c r="AD1191" s="5" t="s">
        <v>245</v>
      </c>
      <c r="AT1191" s="5" t="s">
        <v>246</v>
      </c>
      <c r="AU1191" s="5" t="s">
        <v>238</v>
      </c>
      <c r="AV1191" s="5" t="s">
        <v>247</v>
      </c>
      <c r="AW1191" s="5" t="s">
        <v>238</v>
      </c>
      <c r="AX1191" s="5" t="s">
        <v>249</v>
      </c>
      <c r="AY1191" s="5" t="s">
        <v>238</v>
      </c>
      <c r="BA1191" s="5" t="s">
        <v>238</v>
      </c>
      <c r="BC1191" s="5" t="s">
        <v>250</v>
      </c>
      <c r="BD1191" s="6" t="s">
        <v>243</v>
      </c>
      <c r="BE1191" s="5" t="s">
        <v>251</v>
      </c>
      <c r="BF1191" s="5" t="s">
        <v>252</v>
      </c>
      <c r="BG1191" s="5" t="s">
        <v>238</v>
      </c>
      <c r="BH1191" s="7">
        <f>0</f>
        <v>0</v>
      </c>
      <c r="BI1191" s="8">
        <f>0</f>
        <v>0</v>
      </c>
      <c r="BJ1191" s="5" t="s">
        <v>253</v>
      </c>
      <c r="BK1191" s="5" t="s">
        <v>254</v>
      </c>
      <c r="BY1191" s="5" t="s">
        <v>238</v>
      </c>
      <c r="BZ1191" s="5" t="s">
        <v>238</v>
      </c>
      <c r="CD1191" s="5" t="s">
        <v>273</v>
      </c>
      <c r="CE1191" s="5" t="s">
        <v>256</v>
      </c>
      <c r="CF1191" s="5" t="s">
        <v>238</v>
      </c>
      <c r="CI1191" s="6" t="s">
        <v>257</v>
      </c>
      <c r="CJ1191" s="5" t="s">
        <v>238</v>
      </c>
      <c r="CK1191" s="5" t="s">
        <v>258</v>
      </c>
      <c r="CL1191" s="5" t="s">
        <v>238</v>
      </c>
      <c r="CM1191" s="5" t="s">
        <v>238</v>
      </c>
      <c r="CN1191" s="5">
        <v>0</v>
      </c>
      <c r="CO1191" s="5" t="s">
        <v>259</v>
      </c>
      <c r="CP1191" s="5" t="s">
        <v>260</v>
      </c>
      <c r="CQ1191" s="5" t="s">
        <v>260</v>
      </c>
      <c r="CR1191" s="5" t="s">
        <v>261</v>
      </c>
      <c r="CU1191" s="8">
        <f>1</f>
        <v>1</v>
      </c>
      <c r="CV1191" s="8">
        <f>0</f>
        <v>0</v>
      </c>
      <c r="CX1191" s="8">
        <f>0</f>
        <v>0</v>
      </c>
      <c r="CY1191" s="8">
        <f>1</f>
        <v>1</v>
      </c>
      <c r="DA1191" s="5" t="s">
        <v>673</v>
      </c>
      <c r="DB1191" s="5" t="s">
        <v>238</v>
      </c>
      <c r="DD1191" s="5" t="s">
        <v>673</v>
      </c>
      <c r="DE1191" s="8">
        <f>1677</f>
        <v>1677</v>
      </c>
      <c r="DG1191" s="5" t="s">
        <v>238</v>
      </c>
      <c r="DH1191" s="5" t="s">
        <v>238</v>
      </c>
      <c r="DI1191" s="5" t="s">
        <v>238</v>
      </c>
      <c r="DJ1191" s="5" t="s">
        <v>238</v>
      </c>
      <c r="DN1191" s="5" t="s">
        <v>238</v>
      </c>
      <c r="DO1191" s="5" t="s">
        <v>238</v>
      </c>
      <c r="DP1191" s="5" t="s">
        <v>238</v>
      </c>
      <c r="DQ1191" s="5" t="s">
        <v>238</v>
      </c>
      <c r="DT1191" s="5" t="s">
        <v>2039</v>
      </c>
      <c r="DU1191" s="5" t="s">
        <v>2888</v>
      </c>
      <c r="HM1191" s="5" t="s">
        <v>264</v>
      </c>
    </row>
    <row r="1192" spans="1:221" x14ac:dyDescent="0.4">
      <c r="A1192" s="5">
        <v>2867</v>
      </c>
      <c r="B1192" s="5">
        <v>1</v>
      </c>
      <c r="C1192" s="5">
        <v>1</v>
      </c>
      <c r="D1192" s="5" t="s">
        <v>2037</v>
      </c>
      <c r="E1192" s="5" t="s">
        <v>271</v>
      </c>
      <c r="F1192" s="5" t="s">
        <v>248</v>
      </c>
      <c r="G1192" s="5" t="s">
        <v>1969</v>
      </c>
      <c r="H1192" s="6" t="s">
        <v>2886</v>
      </c>
      <c r="I1192" s="7">
        <f>1675</f>
        <v>1675</v>
      </c>
      <c r="J1192" s="5" t="s">
        <v>262</v>
      </c>
      <c r="K1192" s="8">
        <f>1</f>
        <v>1</v>
      </c>
      <c r="L1192" s="6" t="s">
        <v>242</v>
      </c>
      <c r="M1192" s="5" t="s">
        <v>267</v>
      </c>
      <c r="N1192" s="5" t="s">
        <v>265</v>
      </c>
      <c r="O1192" s="5" t="s">
        <v>238</v>
      </c>
      <c r="P1192" s="5" t="s">
        <v>238</v>
      </c>
      <c r="Q1192" s="5" t="s">
        <v>268</v>
      </c>
      <c r="R1192" s="5" t="s">
        <v>270</v>
      </c>
      <c r="S1192" s="5" t="s">
        <v>238</v>
      </c>
      <c r="V1192" s="5" t="s">
        <v>238</v>
      </c>
      <c r="X1192" s="6" t="s">
        <v>238</v>
      </c>
      <c r="AA1192" s="6" t="s">
        <v>243</v>
      </c>
      <c r="AB1192" s="5" t="s">
        <v>238</v>
      </c>
      <c r="AC1192" s="5" t="s">
        <v>244</v>
      </c>
      <c r="AD1192" s="5" t="s">
        <v>245</v>
      </c>
      <c r="AT1192" s="5" t="s">
        <v>246</v>
      </c>
      <c r="AU1192" s="5" t="s">
        <v>238</v>
      </c>
      <c r="AV1192" s="5" t="s">
        <v>247</v>
      </c>
      <c r="AW1192" s="5" t="s">
        <v>238</v>
      </c>
      <c r="AX1192" s="5" t="s">
        <v>249</v>
      </c>
      <c r="AY1192" s="5" t="s">
        <v>238</v>
      </c>
      <c r="BA1192" s="5" t="s">
        <v>238</v>
      </c>
      <c r="BC1192" s="5" t="s">
        <v>250</v>
      </c>
      <c r="BD1192" s="6" t="s">
        <v>243</v>
      </c>
      <c r="BE1192" s="5" t="s">
        <v>251</v>
      </c>
      <c r="BF1192" s="5" t="s">
        <v>252</v>
      </c>
      <c r="BG1192" s="5" t="s">
        <v>238</v>
      </c>
      <c r="BH1192" s="7">
        <f>0</f>
        <v>0</v>
      </c>
      <c r="BI1192" s="8">
        <f>0</f>
        <v>0</v>
      </c>
      <c r="BJ1192" s="5" t="s">
        <v>253</v>
      </c>
      <c r="BK1192" s="5" t="s">
        <v>254</v>
      </c>
      <c r="BY1192" s="5" t="s">
        <v>238</v>
      </c>
      <c r="BZ1192" s="5" t="s">
        <v>238</v>
      </c>
      <c r="CD1192" s="5" t="s">
        <v>273</v>
      </c>
      <c r="CE1192" s="5" t="s">
        <v>256</v>
      </c>
      <c r="CF1192" s="5" t="s">
        <v>238</v>
      </c>
      <c r="CI1192" s="6" t="s">
        <v>257</v>
      </c>
      <c r="CJ1192" s="5" t="s">
        <v>238</v>
      </c>
      <c r="CK1192" s="5" t="s">
        <v>258</v>
      </c>
      <c r="CL1192" s="5" t="s">
        <v>238</v>
      </c>
      <c r="CM1192" s="5" t="s">
        <v>238</v>
      </c>
      <c r="CN1192" s="5">
        <v>0</v>
      </c>
      <c r="CO1192" s="5" t="s">
        <v>259</v>
      </c>
      <c r="CP1192" s="5" t="s">
        <v>260</v>
      </c>
      <c r="CQ1192" s="5" t="s">
        <v>260</v>
      </c>
      <c r="CR1192" s="5" t="s">
        <v>261</v>
      </c>
      <c r="CU1192" s="8">
        <f>1</f>
        <v>1</v>
      </c>
      <c r="CV1192" s="8">
        <f>0</f>
        <v>0</v>
      </c>
      <c r="CX1192" s="8">
        <f>0</f>
        <v>0</v>
      </c>
      <c r="CY1192" s="8">
        <f>1</f>
        <v>1</v>
      </c>
      <c r="DA1192" s="5" t="s">
        <v>673</v>
      </c>
      <c r="DB1192" s="5" t="s">
        <v>238</v>
      </c>
      <c r="DD1192" s="5" t="s">
        <v>673</v>
      </c>
      <c r="DE1192" s="8">
        <f>1675</f>
        <v>1675</v>
      </c>
      <c r="DG1192" s="5" t="s">
        <v>238</v>
      </c>
      <c r="DH1192" s="5" t="s">
        <v>238</v>
      </c>
      <c r="DI1192" s="5" t="s">
        <v>238</v>
      </c>
      <c r="DJ1192" s="5" t="s">
        <v>238</v>
      </c>
      <c r="DN1192" s="5" t="s">
        <v>238</v>
      </c>
      <c r="DO1192" s="5" t="s">
        <v>238</v>
      </c>
      <c r="DP1192" s="5" t="s">
        <v>238</v>
      </c>
      <c r="DQ1192" s="5" t="s">
        <v>238</v>
      </c>
      <c r="DT1192" s="5" t="s">
        <v>2039</v>
      </c>
      <c r="DU1192" s="5" t="s">
        <v>932</v>
      </c>
      <c r="HM1192" s="5" t="s">
        <v>264</v>
      </c>
    </row>
    <row r="1193" spans="1:221" x14ac:dyDescent="0.4">
      <c r="A1193" s="5">
        <v>2868</v>
      </c>
      <c r="B1193" s="5">
        <v>1</v>
      </c>
      <c r="C1193" s="5">
        <v>1</v>
      </c>
      <c r="D1193" s="5" t="s">
        <v>2037</v>
      </c>
      <c r="E1193" s="5" t="s">
        <v>271</v>
      </c>
      <c r="F1193" s="5" t="s">
        <v>248</v>
      </c>
      <c r="G1193" s="5" t="s">
        <v>1969</v>
      </c>
      <c r="H1193" s="6" t="s">
        <v>2884</v>
      </c>
      <c r="I1193" s="7">
        <f>292</f>
        <v>292</v>
      </c>
      <c r="J1193" s="5" t="s">
        <v>262</v>
      </c>
      <c r="K1193" s="8">
        <f>1</f>
        <v>1</v>
      </c>
      <c r="L1193" s="6" t="s">
        <v>242</v>
      </c>
      <c r="M1193" s="5" t="s">
        <v>267</v>
      </c>
      <c r="N1193" s="5" t="s">
        <v>265</v>
      </c>
      <c r="O1193" s="5" t="s">
        <v>238</v>
      </c>
      <c r="P1193" s="5" t="s">
        <v>238</v>
      </c>
      <c r="Q1193" s="5" t="s">
        <v>268</v>
      </c>
      <c r="R1193" s="5" t="s">
        <v>270</v>
      </c>
      <c r="S1193" s="5" t="s">
        <v>238</v>
      </c>
      <c r="V1193" s="5" t="s">
        <v>238</v>
      </c>
      <c r="X1193" s="6" t="s">
        <v>238</v>
      </c>
      <c r="AA1193" s="6" t="s">
        <v>243</v>
      </c>
      <c r="AB1193" s="5" t="s">
        <v>238</v>
      </c>
      <c r="AC1193" s="5" t="s">
        <v>244</v>
      </c>
      <c r="AD1193" s="5" t="s">
        <v>245</v>
      </c>
      <c r="AT1193" s="5" t="s">
        <v>246</v>
      </c>
      <c r="AU1193" s="5" t="s">
        <v>238</v>
      </c>
      <c r="AV1193" s="5" t="s">
        <v>247</v>
      </c>
      <c r="AW1193" s="5" t="s">
        <v>238</v>
      </c>
      <c r="AX1193" s="5" t="s">
        <v>249</v>
      </c>
      <c r="AY1193" s="5" t="s">
        <v>238</v>
      </c>
      <c r="BA1193" s="5" t="s">
        <v>238</v>
      </c>
      <c r="BC1193" s="5" t="s">
        <v>250</v>
      </c>
      <c r="BD1193" s="6" t="s">
        <v>243</v>
      </c>
      <c r="BE1193" s="5" t="s">
        <v>251</v>
      </c>
      <c r="BF1193" s="5" t="s">
        <v>252</v>
      </c>
      <c r="BG1193" s="5" t="s">
        <v>238</v>
      </c>
      <c r="BH1193" s="7">
        <f>0</f>
        <v>0</v>
      </c>
      <c r="BI1193" s="8">
        <f>0</f>
        <v>0</v>
      </c>
      <c r="BJ1193" s="5" t="s">
        <v>253</v>
      </c>
      <c r="BK1193" s="5" t="s">
        <v>254</v>
      </c>
      <c r="BY1193" s="5" t="s">
        <v>238</v>
      </c>
      <c r="BZ1193" s="5" t="s">
        <v>238</v>
      </c>
      <c r="CD1193" s="5" t="s">
        <v>273</v>
      </c>
      <c r="CE1193" s="5" t="s">
        <v>256</v>
      </c>
      <c r="CF1193" s="5" t="s">
        <v>238</v>
      </c>
      <c r="CI1193" s="6" t="s">
        <v>257</v>
      </c>
      <c r="CJ1193" s="5" t="s">
        <v>238</v>
      </c>
      <c r="CK1193" s="5" t="s">
        <v>258</v>
      </c>
      <c r="CL1193" s="5" t="s">
        <v>238</v>
      </c>
      <c r="CM1193" s="5" t="s">
        <v>238</v>
      </c>
      <c r="CN1193" s="5">
        <v>0</v>
      </c>
      <c r="CO1193" s="5" t="s">
        <v>259</v>
      </c>
      <c r="CP1193" s="5" t="s">
        <v>260</v>
      </c>
      <c r="CQ1193" s="5" t="s">
        <v>260</v>
      </c>
      <c r="CR1193" s="5" t="s">
        <v>261</v>
      </c>
      <c r="CU1193" s="8">
        <f>1</f>
        <v>1</v>
      </c>
      <c r="CV1193" s="8">
        <f>0</f>
        <v>0</v>
      </c>
      <c r="CX1193" s="8">
        <f>0</f>
        <v>0</v>
      </c>
      <c r="CY1193" s="8">
        <f>1</f>
        <v>1</v>
      </c>
      <c r="DA1193" s="5" t="s">
        <v>673</v>
      </c>
      <c r="DB1193" s="5" t="s">
        <v>238</v>
      </c>
      <c r="DD1193" s="5" t="s">
        <v>673</v>
      </c>
      <c r="DE1193" s="8">
        <f>292</f>
        <v>292</v>
      </c>
      <c r="DG1193" s="5" t="s">
        <v>238</v>
      </c>
      <c r="DH1193" s="5" t="s">
        <v>238</v>
      </c>
      <c r="DI1193" s="5" t="s">
        <v>238</v>
      </c>
      <c r="DJ1193" s="5" t="s">
        <v>238</v>
      </c>
      <c r="DN1193" s="5" t="s">
        <v>238</v>
      </c>
      <c r="DO1193" s="5" t="s">
        <v>238</v>
      </c>
      <c r="DP1193" s="5" t="s">
        <v>238</v>
      </c>
      <c r="DQ1193" s="5" t="s">
        <v>238</v>
      </c>
      <c r="DT1193" s="5" t="s">
        <v>2039</v>
      </c>
      <c r="DU1193" s="5" t="s">
        <v>2885</v>
      </c>
      <c r="HM1193" s="5" t="s">
        <v>264</v>
      </c>
    </row>
    <row r="1194" spans="1:221" x14ac:dyDescent="0.4">
      <c r="A1194" s="5">
        <v>2869</v>
      </c>
      <c r="B1194" s="5">
        <v>1</v>
      </c>
      <c r="C1194" s="5">
        <v>1</v>
      </c>
      <c r="D1194" s="5" t="s">
        <v>2037</v>
      </c>
      <c r="E1194" s="5" t="s">
        <v>271</v>
      </c>
      <c r="F1194" s="5" t="s">
        <v>248</v>
      </c>
      <c r="G1194" s="5" t="s">
        <v>1969</v>
      </c>
      <c r="H1194" s="6" t="s">
        <v>2883</v>
      </c>
      <c r="I1194" s="7">
        <f>3534</f>
        <v>3534</v>
      </c>
      <c r="J1194" s="5" t="s">
        <v>262</v>
      </c>
      <c r="K1194" s="8">
        <f>1</f>
        <v>1</v>
      </c>
      <c r="L1194" s="6" t="s">
        <v>242</v>
      </c>
      <c r="M1194" s="5" t="s">
        <v>267</v>
      </c>
      <c r="N1194" s="5" t="s">
        <v>265</v>
      </c>
      <c r="O1194" s="5" t="s">
        <v>238</v>
      </c>
      <c r="P1194" s="5" t="s">
        <v>238</v>
      </c>
      <c r="Q1194" s="5" t="s">
        <v>268</v>
      </c>
      <c r="R1194" s="5" t="s">
        <v>270</v>
      </c>
      <c r="S1194" s="5" t="s">
        <v>238</v>
      </c>
      <c r="V1194" s="5" t="s">
        <v>238</v>
      </c>
      <c r="X1194" s="6" t="s">
        <v>238</v>
      </c>
      <c r="AA1194" s="6" t="s">
        <v>243</v>
      </c>
      <c r="AB1194" s="5" t="s">
        <v>238</v>
      </c>
      <c r="AC1194" s="5" t="s">
        <v>244</v>
      </c>
      <c r="AD1194" s="5" t="s">
        <v>245</v>
      </c>
      <c r="AT1194" s="5" t="s">
        <v>246</v>
      </c>
      <c r="AU1194" s="5" t="s">
        <v>238</v>
      </c>
      <c r="AV1194" s="5" t="s">
        <v>247</v>
      </c>
      <c r="AW1194" s="5" t="s">
        <v>238</v>
      </c>
      <c r="AX1194" s="5" t="s">
        <v>249</v>
      </c>
      <c r="AY1194" s="5" t="s">
        <v>238</v>
      </c>
      <c r="BA1194" s="5" t="s">
        <v>238</v>
      </c>
      <c r="BC1194" s="5" t="s">
        <v>250</v>
      </c>
      <c r="BD1194" s="6" t="s">
        <v>243</v>
      </c>
      <c r="BE1194" s="5" t="s">
        <v>251</v>
      </c>
      <c r="BF1194" s="5" t="s">
        <v>252</v>
      </c>
      <c r="BG1194" s="5" t="s">
        <v>238</v>
      </c>
      <c r="BH1194" s="7">
        <f>0</f>
        <v>0</v>
      </c>
      <c r="BI1194" s="8">
        <f>0</f>
        <v>0</v>
      </c>
      <c r="BJ1194" s="5" t="s">
        <v>253</v>
      </c>
      <c r="BK1194" s="5" t="s">
        <v>254</v>
      </c>
      <c r="BY1194" s="5" t="s">
        <v>238</v>
      </c>
      <c r="BZ1194" s="5" t="s">
        <v>238</v>
      </c>
      <c r="CD1194" s="5" t="s">
        <v>273</v>
      </c>
      <c r="CE1194" s="5" t="s">
        <v>256</v>
      </c>
      <c r="CF1194" s="5" t="s">
        <v>238</v>
      </c>
      <c r="CI1194" s="6" t="s">
        <v>257</v>
      </c>
      <c r="CJ1194" s="5" t="s">
        <v>238</v>
      </c>
      <c r="CK1194" s="5" t="s">
        <v>258</v>
      </c>
      <c r="CL1194" s="5" t="s">
        <v>238</v>
      </c>
      <c r="CM1194" s="5" t="s">
        <v>238</v>
      </c>
      <c r="CN1194" s="5">
        <v>0</v>
      </c>
      <c r="CO1194" s="5" t="s">
        <v>259</v>
      </c>
      <c r="CP1194" s="5" t="s">
        <v>260</v>
      </c>
      <c r="CQ1194" s="5" t="s">
        <v>260</v>
      </c>
      <c r="CR1194" s="5" t="s">
        <v>261</v>
      </c>
      <c r="CU1194" s="8">
        <f>1</f>
        <v>1</v>
      </c>
      <c r="CV1194" s="8">
        <f>0</f>
        <v>0</v>
      </c>
      <c r="CX1194" s="8">
        <f>0</f>
        <v>0</v>
      </c>
      <c r="CY1194" s="8">
        <f>1</f>
        <v>1</v>
      </c>
      <c r="DA1194" s="5" t="s">
        <v>673</v>
      </c>
      <c r="DB1194" s="5" t="s">
        <v>238</v>
      </c>
      <c r="DD1194" s="5" t="s">
        <v>673</v>
      </c>
      <c r="DE1194" s="8">
        <f>3534</f>
        <v>3534</v>
      </c>
      <c r="DG1194" s="5" t="s">
        <v>238</v>
      </c>
      <c r="DH1194" s="5" t="s">
        <v>238</v>
      </c>
      <c r="DI1194" s="5" t="s">
        <v>238</v>
      </c>
      <c r="DJ1194" s="5" t="s">
        <v>238</v>
      </c>
      <c r="DN1194" s="5" t="s">
        <v>238</v>
      </c>
      <c r="DO1194" s="5" t="s">
        <v>238</v>
      </c>
      <c r="DP1194" s="5" t="s">
        <v>238</v>
      </c>
      <c r="DQ1194" s="5" t="s">
        <v>238</v>
      </c>
      <c r="DT1194" s="5" t="s">
        <v>2039</v>
      </c>
      <c r="DU1194" s="5" t="s">
        <v>870</v>
      </c>
      <c r="HM1194" s="5" t="s">
        <v>264</v>
      </c>
    </row>
    <row r="1195" spans="1:221" x14ac:dyDescent="0.4">
      <c r="A1195" s="5">
        <v>2870</v>
      </c>
      <c r="B1195" s="5">
        <v>1</v>
      </c>
      <c r="C1195" s="5">
        <v>1</v>
      </c>
      <c r="D1195" s="5" t="s">
        <v>2037</v>
      </c>
      <c r="E1195" s="5" t="s">
        <v>271</v>
      </c>
      <c r="F1195" s="5" t="s">
        <v>248</v>
      </c>
      <c r="G1195" s="5" t="s">
        <v>1969</v>
      </c>
      <c r="H1195" s="6" t="s">
        <v>2881</v>
      </c>
      <c r="I1195" s="7">
        <f>1731</f>
        <v>1731</v>
      </c>
      <c r="J1195" s="5" t="s">
        <v>262</v>
      </c>
      <c r="K1195" s="8">
        <f>1</f>
        <v>1</v>
      </c>
      <c r="L1195" s="6" t="s">
        <v>242</v>
      </c>
      <c r="M1195" s="5" t="s">
        <v>267</v>
      </c>
      <c r="N1195" s="5" t="s">
        <v>265</v>
      </c>
      <c r="O1195" s="5" t="s">
        <v>238</v>
      </c>
      <c r="P1195" s="5" t="s">
        <v>238</v>
      </c>
      <c r="Q1195" s="5" t="s">
        <v>268</v>
      </c>
      <c r="R1195" s="5" t="s">
        <v>270</v>
      </c>
      <c r="S1195" s="5" t="s">
        <v>238</v>
      </c>
      <c r="V1195" s="5" t="s">
        <v>238</v>
      </c>
      <c r="X1195" s="6" t="s">
        <v>238</v>
      </c>
      <c r="AA1195" s="6" t="s">
        <v>243</v>
      </c>
      <c r="AB1195" s="5" t="s">
        <v>238</v>
      </c>
      <c r="AC1195" s="5" t="s">
        <v>244</v>
      </c>
      <c r="AD1195" s="5" t="s">
        <v>245</v>
      </c>
      <c r="AT1195" s="5" t="s">
        <v>246</v>
      </c>
      <c r="AU1195" s="5" t="s">
        <v>238</v>
      </c>
      <c r="AV1195" s="5" t="s">
        <v>247</v>
      </c>
      <c r="AW1195" s="5" t="s">
        <v>238</v>
      </c>
      <c r="AX1195" s="5" t="s">
        <v>249</v>
      </c>
      <c r="AY1195" s="5" t="s">
        <v>238</v>
      </c>
      <c r="BA1195" s="5" t="s">
        <v>238</v>
      </c>
      <c r="BC1195" s="5" t="s">
        <v>250</v>
      </c>
      <c r="BD1195" s="6" t="s">
        <v>243</v>
      </c>
      <c r="BE1195" s="5" t="s">
        <v>251</v>
      </c>
      <c r="BF1195" s="5" t="s">
        <v>252</v>
      </c>
      <c r="BG1195" s="5" t="s">
        <v>238</v>
      </c>
      <c r="BH1195" s="7">
        <f>0</f>
        <v>0</v>
      </c>
      <c r="BI1195" s="8">
        <f>0</f>
        <v>0</v>
      </c>
      <c r="BJ1195" s="5" t="s">
        <v>253</v>
      </c>
      <c r="BK1195" s="5" t="s">
        <v>254</v>
      </c>
      <c r="BY1195" s="5" t="s">
        <v>238</v>
      </c>
      <c r="BZ1195" s="5" t="s">
        <v>238</v>
      </c>
      <c r="CD1195" s="5" t="s">
        <v>273</v>
      </c>
      <c r="CE1195" s="5" t="s">
        <v>256</v>
      </c>
      <c r="CF1195" s="5" t="s">
        <v>238</v>
      </c>
      <c r="CI1195" s="6" t="s">
        <v>257</v>
      </c>
      <c r="CJ1195" s="5" t="s">
        <v>238</v>
      </c>
      <c r="CK1195" s="5" t="s">
        <v>258</v>
      </c>
      <c r="CL1195" s="5" t="s">
        <v>238</v>
      </c>
      <c r="CM1195" s="5" t="s">
        <v>238</v>
      </c>
      <c r="CN1195" s="5">
        <v>0</v>
      </c>
      <c r="CO1195" s="5" t="s">
        <v>259</v>
      </c>
      <c r="CP1195" s="5" t="s">
        <v>260</v>
      </c>
      <c r="CQ1195" s="5" t="s">
        <v>260</v>
      </c>
      <c r="CR1195" s="5" t="s">
        <v>261</v>
      </c>
      <c r="CU1195" s="8">
        <f>1</f>
        <v>1</v>
      </c>
      <c r="CV1195" s="8">
        <f>0</f>
        <v>0</v>
      </c>
      <c r="CX1195" s="8">
        <f>0</f>
        <v>0</v>
      </c>
      <c r="CY1195" s="8">
        <f>1</f>
        <v>1</v>
      </c>
      <c r="DA1195" s="5" t="s">
        <v>673</v>
      </c>
      <c r="DB1195" s="5" t="s">
        <v>238</v>
      </c>
      <c r="DD1195" s="5" t="s">
        <v>673</v>
      </c>
      <c r="DE1195" s="8">
        <f>1731</f>
        <v>1731</v>
      </c>
      <c r="DG1195" s="5" t="s">
        <v>238</v>
      </c>
      <c r="DH1195" s="5" t="s">
        <v>238</v>
      </c>
      <c r="DI1195" s="5" t="s">
        <v>238</v>
      </c>
      <c r="DJ1195" s="5" t="s">
        <v>238</v>
      </c>
      <c r="DN1195" s="5" t="s">
        <v>238</v>
      </c>
      <c r="DO1195" s="5" t="s">
        <v>238</v>
      </c>
      <c r="DP1195" s="5" t="s">
        <v>238</v>
      </c>
      <c r="DQ1195" s="5" t="s">
        <v>238</v>
      </c>
      <c r="DT1195" s="5" t="s">
        <v>2039</v>
      </c>
      <c r="DU1195" s="5" t="s">
        <v>2882</v>
      </c>
      <c r="HM1195" s="5" t="s">
        <v>264</v>
      </c>
    </row>
    <row r="1196" spans="1:221" x14ac:dyDescent="0.4">
      <c r="A1196" s="5">
        <v>2871</v>
      </c>
      <c r="B1196" s="5">
        <v>1</v>
      </c>
      <c r="C1196" s="5">
        <v>1</v>
      </c>
      <c r="D1196" s="5" t="s">
        <v>2037</v>
      </c>
      <c r="E1196" s="5" t="s">
        <v>271</v>
      </c>
      <c r="F1196" s="5" t="s">
        <v>248</v>
      </c>
      <c r="G1196" s="5" t="s">
        <v>1969</v>
      </c>
      <c r="H1196" s="6" t="s">
        <v>2880</v>
      </c>
      <c r="I1196" s="7">
        <f>1780</f>
        <v>1780</v>
      </c>
      <c r="J1196" s="5" t="s">
        <v>262</v>
      </c>
      <c r="K1196" s="8">
        <f>1</f>
        <v>1</v>
      </c>
      <c r="L1196" s="6" t="s">
        <v>242</v>
      </c>
      <c r="M1196" s="5" t="s">
        <v>267</v>
      </c>
      <c r="N1196" s="5" t="s">
        <v>265</v>
      </c>
      <c r="O1196" s="5" t="s">
        <v>238</v>
      </c>
      <c r="P1196" s="5" t="s">
        <v>238</v>
      </c>
      <c r="Q1196" s="5" t="s">
        <v>268</v>
      </c>
      <c r="R1196" s="5" t="s">
        <v>270</v>
      </c>
      <c r="S1196" s="5" t="s">
        <v>238</v>
      </c>
      <c r="V1196" s="5" t="s">
        <v>238</v>
      </c>
      <c r="X1196" s="6" t="s">
        <v>238</v>
      </c>
      <c r="AA1196" s="6" t="s">
        <v>243</v>
      </c>
      <c r="AB1196" s="5" t="s">
        <v>238</v>
      </c>
      <c r="AC1196" s="5" t="s">
        <v>244</v>
      </c>
      <c r="AD1196" s="5" t="s">
        <v>245</v>
      </c>
      <c r="AT1196" s="5" t="s">
        <v>246</v>
      </c>
      <c r="AU1196" s="5" t="s">
        <v>238</v>
      </c>
      <c r="AV1196" s="5" t="s">
        <v>247</v>
      </c>
      <c r="AW1196" s="5" t="s">
        <v>238</v>
      </c>
      <c r="AX1196" s="5" t="s">
        <v>249</v>
      </c>
      <c r="AY1196" s="5" t="s">
        <v>238</v>
      </c>
      <c r="BA1196" s="5" t="s">
        <v>238</v>
      </c>
      <c r="BC1196" s="5" t="s">
        <v>250</v>
      </c>
      <c r="BD1196" s="6" t="s">
        <v>243</v>
      </c>
      <c r="BE1196" s="5" t="s">
        <v>251</v>
      </c>
      <c r="BF1196" s="5" t="s">
        <v>252</v>
      </c>
      <c r="BG1196" s="5" t="s">
        <v>238</v>
      </c>
      <c r="BH1196" s="7">
        <f>0</f>
        <v>0</v>
      </c>
      <c r="BI1196" s="8">
        <f>0</f>
        <v>0</v>
      </c>
      <c r="BJ1196" s="5" t="s">
        <v>253</v>
      </c>
      <c r="BK1196" s="5" t="s">
        <v>254</v>
      </c>
      <c r="BY1196" s="5" t="s">
        <v>238</v>
      </c>
      <c r="BZ1196" s="5" t="s">
        <v>238</v>
      </c>
      <c r="CD1196" s="5" t="s">
        <v>273</v>
      </c>
      <c r="CE1196" s="5" t="s">
        <v>256</v>
      </c>
      <c r="CF1196" s="5" t="s">
        <v>238</v>
      </c>
      <c r="CI1196" s="6" t="s">
        <v>257</v>
      </c>
      <c r="CJ1196" s="5" t="s">
        <v>238</v>
      </c>
      <c r="CK1196" s="5" t="s">
        <v>258</v>
      </c>
      <c r="CL1196" s="5" t="s">
        <v>238</v>
      </c>
      <c r="CM1196" s="5" t="s">
        <v>238</v>
      </c>
      <c r="CN1196" s="5">
        <v>0</v>
      </c>
      <c r="CO1196" s="5" t="s">
        <v>259</v>
      </c>
      <c r="CP1196" s="5" t="s">
        <v>260</v>
      </c>
      <c r="CQ1196" s="5" t="s">
        <v>260</v>
      </c>
      <c r="CR1196" s="5" t="s">
        <v>261</v>
      </c>
      <c r="CU1196" s="8">
        <f>1</f>
        <v>1</v>
      </c>
      <c r="CV1196" s="8">
        <f>0</f>
        <v>0</v>
      </c>
      <c r="CX1196" s="8">
        <f>0</f>
        <v>0</v>
      </c>
      <c r="CY1196" s="8">
        <f>1</f>
        <v>1</v>
      </c>
      <c r="DA1196" s="5" t="s">
        <v>673</v>
      </c>
      <c r="DB1196" s="5" t="s">
        <v>238</v>
      </c>
      <c r="DD1196" s="5" t="s">
        <v>673</v>
      </c>
      <c r="DE1196" s="8">
        <f>1780</f>
        <v>1780</v>
      </c>
      <c r="DG1196" s="5" t="s">
        <v>238</v>
      </c>
      <c r="DH1196" s="5" t="s">
        <v>238</v>
      </c>
      <c r="DI1196" s="5" t="s">
        <v>238</v>
      </c>
      <c r="DJ1196" s="5" t="s">
        <v>238</v>
      </c>
      <c r="DN1196" s="5" t="s">
        <v>238</v>
      </c>
      <c r="DO1196" s="5" t="s">
        <v>238</v>
      </c>
      <c r="DP1196" s="5" t="s">
        <v>238</v>
      </c>
      <c r="DQ1196" s="5" t="s">
        <v>238</v>
      </c>
      <c r="DT1196" s="5" t="s">
        <v>2039</v>
      </c>
      <c r="DU1196" s="5" t="s">
        <v>768</v>
      </c>
      <c r="HM1196" s="5" t="s">
        <v>264</v>
      </c>
    </row>
    <row r="1197" spans="1:221" x14ac:dyDescent="0.4">
      <c r="A1197" s="5">
        <v>2872</v>
      </c>
      <c r="B1197" s="5">
        <v>1</v>
      </c>
      <c r="C1197" s="5">
        <v>1</v>
      </c>
      <c r="D1197" s="5" t="s">
        <v>2037</v>
      </c>
      <c r="E1197" s="5" t="s">
        <v>271</v>
      </c>
      <c r="F1197" s="5" t="s">
        <v>248</v>
      </c>
      <c r="G1197" s="5" t="s">
        <v>1969</v>
      </c>
      <c r="H1197" s="6" t="s">
        <v>2878</v>
      </c>
      <c r="I1197" s="7">
        <f>1242</f>
        <v>1242</v>
      </c>
      <c r="J1197" s="5" t="s">
        <v>262</v>
      </c>
      <c r="K1197" s="8">
        <f>1</f>
        <v>1</v>
      </c>
      <c r="L1197" s="6" t="s">
        <v>242</v>
      </c>
      <c r="M1197" s="5" t="s">
        <v>267</v>
      </c>
      <c r="N1197" s="5" t="s">
        <v>265</v>
      </c>
      <c r="O1197" s="5" t="s">
        <v>238</v>
      </c>
      <c r="P1197" s="5" t="s">
        <v>238</v>
      </c>
      <c r="Q1197" s="5" t="s">
        <v>268</v>
      </c>
      <c r="R1197" s="5" t="s">
        <v>270</v>
      </c>
      <c r="S1197" s="5" t="s">
        <v>238</v>
      </c>
      <c r="V1197" s="5" t="s">
        <v>238</v>
      </c>
      <c r="X1197" s="6" t="s">
        <v>238</v>
      </c>
      <c r="AA1197" s="6" t="s">
        <v>243</v>
      </c>
      <c r="AB1197" s="5" t="s">
        <v>238</v>
      </c>
      <c r="AC1197" s="5" t="s">
        <v>244</v>
      </c>
      <c r="AD1197" s="5" t="s">
        <v>245</v>
      </c>
      <c r="AT1197" s="5" t="s">
        <v>246</v>
      </c>
      <c r="AU1197" s="5" t="s">
        <v>238</v>
      </c>
      <c r="AV1197" s="5" t="s">
        <v>247</v>
      </c>
      <c r="AW1197" s="5" t="s">
        <v>238</v>
      </c>
      <c r="AX1197" s="5" t="s">
        <v>249</v>
      </c>
      <c r="AY1197" s="5" t="s">
        <v>238</v>
      </c>
      <c r="BA1197" s="5" t="s">
        <v>238</v>
      </c>
      <c r="BC1197" s="5" t="s">
        <v>250</v>
      </c>
      <c r="BD1197" s="6" t="s">
        <v>243</v>
      </c>
      <c r="BE1197" s="5" t="s">
        <v>251</v>
      </c>
      <c r="BF1197" s="5" t="s">
        <v>252</v>
      </c>
      <c r="BG1197" s="5" t="s">
        <v>238</v>
      </c>
      <c r="BH1197" s="7">
        <f>0</f>
        <v>0</v>
      </c>
      <c r="BI1197" s="8">
        <f>0</f>
        <v>0</v>
      </c>
      <c r="BJ1197" s="5" t="s">
        <v>253</v>
      </c>
      <c r="BK1197" s="5" t="s">
        <v>254</v>
      </c>
      <c r="BY1197" s="5" t="s">
        <v>238</v>
      </c>
      <c r="BZ1197" s="5" t="s">
        <v>238</v>
      </c>
      <c r="CD1197" s="5" t="s">
        <v>273</v>
      </c>
      <c r="CE1197" s="5" t="s">
        <v>256</v>
      </c>
      <c r="CF1197" s="5" t="s">
        <v>238</v>
      </c>
      <c r="CI1197" s="6" t="s">
        <v>257</v>
      </c>
      <c r="CJ1197" s="5" t="s">
        <v>238</v>
      </c>
      <c r="CK1197" s="5" t="s">
        <v>258</v>
      </c>
      <c r="CL1197" s="5" t="s">
        <v>238</v>
      </c>
      <c r="CM1197" s="5" t="s">
        <v>238</v>
      </c>
      <c r="CN1197" s="5">
        <v>0</v>
      </c>
      <c r="CO1197" s="5" t="s">
        <v>259</v>
      </c>
      <c r="CP1197" s="5" t="s">
        <v>260</v>
      </c>
      <c r="CQ1197" s="5" t="s">
        <v>260</v>
      </c>
      <c r="CR1197" s="5" t="s">
        <v>261</v>
      </c>
      <c r="CU1197" s="8">
        <f>1</f>
        <v>1</v>
      </c>
      <c r="CV1197" s="8">
        <f>0</f>
        <v>0</v>
      </c>
      <c r="CX1197" s="8">
        <f>0</f>
        <v>0</v>
      </c>
      <c r="CY1197" s="8">
        <f>1</f>
        <v>1</v>
      </c>
      <c r="DA1197" s="5" t="s">
        <v>673</v>
      </c>
      <c r="DB1197" s="5" t="s">
        <v>238</v>
      </c>
      <c r="DD1197" s="5" t="s">
        <v>673</v>
      </c>
      <c r="DE1197" s="8">
        <f>1242</f>
        <v>1242</v>
      </c>
      <c r="DG1197" s="5" t="s">
        <v>238</v>
      </c>
      <c r="DH1197" s="5" t="s">
        <v>238</v>
      </c>
      <c r="DI1197" s="5" t="s">
        <v>238</v>
      </c>
      <c r="DJ1197" s="5" t="s">
        <v>238</v>
      </c>
      <c r="DN1197" s="5" t="s">
        <v>238</v>
      </c>
      <c r="DO1197" s="5" t="s">
        <v>238</v>
      </c>
      <c r="DP1197" s="5" t="s">
        <v>238</v>
      </c>
      <c r="DQ1197" s="5" t="s">
        <v>238</v>
      </c>
      <c r="DT1197" s="5" t="s">
        <v>2039</v>
      </c>
      <c r="DU1197" s="5" t="s">
        <v>2879</v>
      </c>
      <c r="HM1197" s="5" t="s">
        <v>264</v>
      </c>
    </row>
    <row r="1198" spans="1:221" x14ac:dyDescent="0.4">
      <c r="A1198" s="5">
        <v>2873</v>
      </c>
      <c r="B1198" s="5">
        <v>1</v>
      </c>
      <c r="C1198" s="5">
        <v>1</v>
      </c>
      <c r="D1198" s="5" t="s">
        <v>2037</v>
      </c>
      <c r="E1198" s="5" t="s">
        <v>271</v>
      </c>
      <c r="F1198" s="5" t="s">
        <v>248</v>
      </c>
      <c r="G1198" s="5" t="s">
        <v>1969</v>
      </c>
      <c r="H1198" s="6" t="s">
        <v>2876</v>
      </c>
      <c r="I1198" s="7">
        <f>4771</f>
        <v>4771</v>
      </c>
      <c r="J1198" s="5" t="s">
        <v>262</v>
      </c>
      <c r="K1198" s="8">
        <f>1</f>
        <v>1</v>
      </c>
      <c r="L1198" s="6" t="s">
        <v>242</v>
      </c>
      <c r="M1198" s="5" t="s">
        <v>267</v>
      </c>
      <c r="N1198" s="5" t="s">
        <v>265</v>
      </c>
      <c r="O1198" s="5" t="s">
        <v>238</v>
      </c>
      <c r="P1198" s="5" t="s">
        <v>238</v>
      </c>
      <c r="Q1198" s="5" t="s">
        <v>268</v>
      </c>
      <c r="R1198" s="5" t="s">
        <v>270</v>
      </c>
      <c r="S1198" s="5" t="s">
        <v>238</v>
      </c>
      <c r="V1198" s="5" t="s">
        <v>238</v>
      </c>
      <c r="X1198" s="6" t="s">
        <v>238</v>
      </c>
      <c r="AA1198" s="6" t="s">
        <v>243</v>
      </c>
      <c r="AB1198" s="5" t="s">
        <v>238</v>
      </c>
      <c r="AC1198" s="5" t="s">
        <v>244</v>
      </c>
      <c r="AD1198" s="5" t="s">
        <v>245</v>
      </c>
      <c r="AT1198" s="5" t="s">
        <v>246</v>
      </c>
      <c r="AU1198" s="5" t="s">
        <v>238</v>
      </c>
      <c r="AV1198" s="5" t="s">
        <v>247</v>
      </c>
      <c r="AW1198" s="5" t="s">
        <v>238</v>
      </c>
      <c r="AX1198" s="5" t="s">
        <v>249</v>
      </c>
      <c r="AY1198" s="5" t="s">
        <v>238</v>
      </c>
      <c r="BA1198" s="5" t="s">
        <v>238</v>
      </c>
      <c r="BC1198" s="5" t="s">
        <v>250</v>
      </c>
      <c r="BD1198" s="6" t="s">
        <v>243</v>
      </c>
      <c r="BE1198" s="5" t="s">
        <v>251</v>
      </c>
      <c r="BF1198" s="5" t="s">
        <v>252</v>
      </c>
      <c r="BG1198" s="5" t="s">
        <v>238</v>
      </c>
      <c r="BH1198" s="7">
        <f>0</f>
        <v>0</v>
      </c>
      <c r="BI1198" s="8">
        <f>0</f>
        <v>0</v>
      </c>
      <c r="BJ1198" s="5" t="s">
        <v>253</v>
      </c>
      <c r="BK1198" s="5" t="s">
        <v>254</v>
      </c>
      <c r="BY1198" s="5" t="s">
        <v>238</v>
      </c>
      <c r="BZ1198" s="5" t="s">
        <v>238</v>
      </c>
      <c r="CD1198" s="5" t="s">
        <v>273</v>
      </c>
      <c r="CE1198" s="5" t="s">
        <v>256</v>
      </c>
      <c r="CF1198" s="5" t="s">
        <v>238</v>
      </c>
      <c r="CI1198" s="6" t="s">
        <v>257</v>
      </c>
      <c r="CJ1198" s="5" t="s">
        <v>238</v>
      </c>
      <c r="CK1198" s="5" t="s">
        <v>258</v>
      </c>
      <c r="CL1198" s="5" t="s">
        <v>238</v>
      </c>
      <c r="CM1198" s="5" t="s">
        <v>238</v>
      </c>
      <c r="CN1198" s="5">
        <v>0</v>
      </c>
      <c r="CO1198" s="5" t="s">
        <v>259</v>
      </c>
      <c r="CP1198" s="5" t="s">
        <v>260</v>
      </c>
      <c r="CQ1198" s="5" t="s">
        <v>260</v>
      </c>
      <c r="CR1198" s="5" t="s">
        <v>261</v>
      </c>
      <c r="CU1198" s="8">
        <f>1</f>
        <v>1</v>
      </c>
      <c r="CV1198" s="8">
        <f>0</f>
        <v>0</v>
      </c>
      <c r="CX1198" s="8">
        <f>0</f>
        <v>0</v>
      </c>
      <c r="CY1198" s="8">
        <f>1</f>
        <v>1</v>
      </c>
      <c r="DA1198" s="5" t="s">
        <v>673</v>
      </c>
      <c r="DB1198" s="5" t="s">
        <v>238</v>
      </c>
      <c r="DD1198" s="5" t="s">
        <v>673</v>
      </c>
      <c r="DE1198" s="8">
        <f>4771</f>
        <v>4771</v>
      </c>
      <c r="DG1198" s="5" t="s">
        <v>238</v>
      </c>
      <c r="DH1198" s="5" t="s">
        <v>238</v>
      </c>
      <c r="DI1198" s="5" t="s">
        <v>238</v>
      </c>
      <c r="DJ1198" s="5" t="s">
        <v>238</v>
      </c>
      <c r="DN1198" s="5" t="s">
        <v>238</v>
      </c>
      <c r="DO1198" s="5" t="s">
        <v>238</v>
      </c>
      <c r="DP1198" s="5" t="s">
        <v>238</v>
      </c>
      <c r="DQ1198" s="5" t="s">
        <v>238</v>
      </c>
      <c r="DT1198" s="5" t="s">
        <v>2039</v>
      </c>
      <c r="DU1198" s="5" t="s">
        <v>2877</v>
      </c>
      <c r="HM1198" s="5" t="s">
        <v>264</v>
      </c>
    </row>
    <row r="1199" spans="1:221" x14ac:dyDescent="0.4">
      <c r="A1199" s="5">
        <v>2874</v>
      </c>
      <c r="B1199" s="5">
        <v>1</v>
      </c>
      <c r="C1199" s="5">
        <v>1</v>
      </c>
      <c r="D1199" s="5" t="s">
        <v>2037</v>
      </c>
      <c r="E1199" s="5" t="s">
        <v>271</v>
      </c>
      <c r="F1199" s="5" t="s">
        <v>248</v>
      </c>
      <c r="G1199" s="5" t="s">
        <v>1969</v>
      </c>
      <c r="H1199" s="6" t="s">
        <v>2875</v>
      </c>
      <c r="I1199" s="7">
        <f>1702</f>
        <v>1702</v>
      </c>
      <c r="J1199" s="5" t="s">
        <v>262</v>
      </c>
      <c r="K1199" s="8">
        <f>1</f>
        <v>1</v>
      </c>
      <c r="L1199" s="6" t="s">
        <v>242</v>
      </c>
      <c r="M1199" s="5" t="s">
        <v>267</v>
      </c>
      <c r="N1199" s="5" t="s">
        <v>265</v>
      </c>
      <c r="O1199" s="5" t="s">
        <v>238</v>
      </c>
      <c r="P1199" s="5" t="s">
        <v>238</v>
      </c>
      <c r="Q1199" s="5" t="s">
        <v>268</v>
      </c>
      <c r="R1199" s="5" t="s">
        <v>270</v>
      </c>
      <c r="S1199" s="5" t="s">
        <v>238</v>
      </c>
      <c r="V1199" s="5" t="s">
        <v>238</v>
      </c>
      <c r="X1199" s="6" t="s">
        <v>238</v>
      </c>
      <c r="AA1199" s="6" t="s">
        <v>243</v>
      </c>
      <c r="AB1199" s="5" t="s">
        <v>238</v>
      </c>
      <c r="AC1199" s="5" t="s">
        <v>244</v>
      </c>
      <c r="AD1199" s="5" t="s">
        <v>245</v>
      </c>
      <c r="AT1199" s="5" t="s">
        <v>246</v>
      </c>
      <c r="AU1199" s="5" t="s">
        <v>238</v>
      </c>
      <c r="AV1199" s="5" t="s">
        <v>247</v>
      </c>
      <c r="AW1199" s="5" t="s">
        <v>238</v>
      </c>
      <c r="AX1199" s="5" t="s">
        <v>249</v>
      </c>
      <c r="AY1199" s="5" t="s">
        <v>238</v>
      </c>
      <c r="BA1199" s="5" t="s">
        <v>238</v>
      </c>
      <c r="BC1199" s="5" t="s">
        <v>250</v>
      </c>
      <c r="BD1199" s="6" t="s">
        <v>243</v>
      </c>
      <c r="BE1199" s="5" t="s">
        <v>251</v>
      </c>
      <c r="BF1199" s="5" t="s">
        <v>252</v>
      </c>
      <c r="BG1199" s="5" t="s">
        <v>238</v>
      </c>
      <c r="BH1199" s="7">
        <f>0</f>
        <v>0</v>
      </c>
      <c r="BI1199" s="8">
        <f>0</f>
        <v>0</v>
      </c>
      <c r="BJ1199" s="5" t="s">
        <v>253</v>
      </c>
      <c r="BK1199" s="5" t="s">
        <v>254</v>
      </c>
      <c r="BY1199" s="5" t="s">
        <v>238</v>
      </c>
      <c r="BZ1199" s="5" t="s">
        <v>238</v>
      </c>
      <c r="CD1199" s="5" t="s">
        <v>273</v>
      </c>
      <c r="CE1199" s="5" t="s">
        <v>256</v>
      </c>
      <c r="CF1199" s="5" t="s">
        <v>238</v>
      </c>
      <c r="CI1199" s="6" t="s">
        <v>257</v>
      </c>
      <c r="CJ1199" s="5" t="s">
        <v>238</v>
      </c>
      <c r="CK1199" s="5" t="s">
        <v>258</v>
      </c>
      <c r="CL1199" s="5" t="s">
        <v>238</v>
      </c>
      <c r="CM1199" s="5" t="s">
        <v>238</v>
      </c>
      <c r="CN1199" s="5">
        <v>0</v>
      </c>
      <c r="CO1199" s="5" t="s">
        <v>259</v>
      </c>
      <c r="CP1199" s="5" t="s">
        <v>260</v>
      </c>
      <c r="CQ1199" s="5" t="s">
        <v>260</v>
      </c>
      <c r="CR1199" s="5" t="s">
        <v>261</v>
      </c>
      <c r="CU1199" s="8">
        <f>1</f>
        <v>1</v>
      </c>
      <c r="CV1199" s="8">
        <f>0</f>
        <v>0</v>
      </c>
      <c r="CX1199" s="8">
        <f>0</f>
        <v>0</v>
      </c>
      <c r="CY1199" s="8">
        <f>1</f>
        <v>1</v>
      </c>
      <c r="DA1199" s="5" t="s">
        <v>673</v>
      </c>
      <c r="DB1199" s="5" t="s">
        <v>238</v>
      </c>
      <c r="DD1199" s="5" t="s">
        <v>673</v>
      </c>
      <c r="DE1199" s="8">
        <f>1702</f>
        <v>1702</v>
      </c>
      <c r="DG1199" s="5" t="s">
        <v>238</v>
      </c>
      <c r="DH1199" s="5" t="s">
        <v>238</v>
      </c>
      <c r="DI1199" s="5" t="s">
        <v>238</v>
      </c>
      <c r="DJ1199" s="5" t="s">
        <v>238</v>
      </c>
      <c r="DN1199" s="5" t="s">
        <v>238</v>
      </c>
      <c r="DO1199" s="5" t="s">
        <v>238</v>
      </c>
      <c r="DP1199" s="5" t="s">
        <v>238</v>
      </c>
      <c r="DQ1199" s="5" t="s">
        <v>238</v>
      </c>
      <c r="DT1199" s="5" t="s">
        <v>2039</v>
      </c>
      <c r="DU1199" s="5" t="s">
        <v>642</v>
      </c>
      <c r="HM1199" s="5" t="s">
        <v>264</v>
      </c>
    </row>
    <row r="1200" spans="1:221" x14ac:dyDescent="0.4">
      <c r="A1200" s="5">
        <v>2875</v>
      </c>
      <c r="B1200" s="5">
        <v>1</v>
      </c>
      <c r="C1200" s="5">
        <v>1</v>
      </c>
      <c r="D1200" s="5" t="s">
        <v>2037</v>
      </c>
      <c r="E1200" s="5" t="s">
        <v>271</v>
      </c>
      <c r="F1200" s="5" t="s">
        <v>248</v>
      </c>
      <c r="G1200" s="5" t="s">
        <v>1969</v>
      </c>
      <c r="H1200" s="6" t="s">
        <v>2874</v>
      </c>
      <c r="I1200" s="7">
        <f>1702</f>
        <v>1702</v>
      </c>
      <c r="J1200" s="5" t="s">
        <v>262</v>
      </c>
      <c r="K1200" s="8">
        <f>1</f>
        <v>1</v>
      </c>
      <c r="L1200" s="6" t="s">
        <v>242</v>
      </c>
      <c r="M1200" s="5" t="s">
        <v>267</v>
      </c>
      <c r="N1200" s="5" t="s">
        <v>265</v>
      </c>
      <c r="O1200" s="5" t="s">
        <v>238</v>
      </c>
      <c r="P1200" s="5" t="s">
        <v>238</v>
      </c>
      <c r="Q1200" s="5" t="s">
        <v>268</v>
      </c>
      <c r="R1200" s="5" t="s">
        <v>270</v>
      </c>
      <c r="S1200" s="5" t="s">
        <v>238</v>
      </c>
      <c r="V1200" s="5" t="s">
        <v>238</v>
      </c>
      <c r="X1200" s="6" t="s">
        <v>238</v>
      </c>
      <c r="AA1200" s="6" t="s">
        <v>243</v>
      </c>
      <c r="AB1200" s="5" t="s">
        <v>238</v>
      </c>
      <c r="AC1200" s="5" t="s">
        <v>244</v>
      </c>
      <c r="AD1200" s="5" t="s">
        <v>245</v>
      </c>
      <c r="AT1200" s="5" t="s">
        <v>246</v>
      </c>
      <c r="AU1200" s="5" t="s">
        <v>238</v>
      </c>
      <c r="AV1200" s="5" t="s">
        <v>247</v>
      </c>
      <c r="AW1200" s="5" t="s">
        <v>238</v>
      </c>
      <c r="AX1200" s="5" t="s">
        <v>249</v>
      </c>
      <c r="AY1200" s="5" t="s">
        <v>238</v>
      </c>
      <c r="BA1200" s="5" t="s">
        <v>238</v>
      </c>
      <c r="BC1200" s="5" t="s">
        <v>250</v>
      </c>
      <c r="BD1200" s="6" t="s">
        <v>243</v>
      </c>
      <c r="BE1200" s="5" t="s">
        <v>251</v>
      </c>
      <c r="BF1200" s="5" t="s">
        <v>252</v>
      </c>
      <c r="BG1200" s="5" t="s">
        <v>238</v>
      </c>
      <c r="BH1200" s="7">
        <f>0</f>
        <v>0</v>
      </c>
      <c r="BI1200" s="8">
        <f>0</f>
        <v>0</v>
      </c>
      <c r="BJ1200" s="5" t="s">
        <v>253</v>
      </c>
      <c r="BK1200" s="5" t="s">
        <v>254</v>
      </c>
      <c r="BY1200" s="5" t="s">
        <v>238</v>
      </c>
      <c r="BZ1200" s="5" t="s">
        <v>238</v>
      </c>
      <c r="CD1200" s="5" t="s">
        <v>273</v>
      </c>
      <c r="CE1200" s="5" t="s">
        <v>256</v>
      </c>
      <c r="CF1200" s="5" t="s">
        <v>238</v>
      </c>
      <c r="CI1200" s="6" t="s">
        <v>257</v>
      </c>
      <c r="CJ1200" s="5" t="s">
        <v>238</v>
      </c>
      <c r="CK1200" s="5" t="s">
        <v>258</v>
      </c>
      <c r="CL1200" s="5" t="s">
        <v>238</v>
      </c>
      <c r="CM1200" s="5" t="s">
        <v>238</v>
      </c>
      <c r="CN1200" s="5">
        <v>0</v>
      </c>
      <c r="CO1200" s="5" t="s">
        <v>259</v>
      </c>
      <c r="CP1200" s="5" t="s">
        <v>260</v>
      </c>
      <c r="CQ1200" s="5" t="s">
        <v>260</v>
      </c>
      <c r="CR1200" s="5" t="s">
        <v>261</v>
      </c>
      <c r="CU1200" s="8">
        <f>1</f>
        <v>1</v>
      </c>
      <c r="CV1200" s="8">
        <f>0</f>
        <v>0</v>
      </c>
      <c r="CX1200" s="8">
        <f>0</f>
        <v>0</v>
      </c>
      <c r="CY1200" s="8">
        <f>1</f>
        <v>1</v>
      </c>
      <c r="DA1200" s="5" t="s">
        <v>673</v>
      </c>
      <c r="DB1200" s="5" t="s">
        <v>238</v>
      </c>
      <c r="DD1200" s="5" t="s">
        <v>673</v>
      </c>
      <c r="DE1200" s="8">
        <f>1702</f>
        <v>1702</v>
      </c>
      <c r="DG1200" s="5" t="s">
        <v>238</v>
      </c>
      <c r="DH1200" s="5" t="s">
        <v>238</v>
      </c>
      <c r="DI1200" s="5" t="s">
        <v>238</v>
      </c>
      <c r="DJ1200" s="5" t="s">
        <v>238</v>
      </c>
      <c r="DN1200" s="5" t="s">
        <v>238</v>
      </c>
      <c r="DO1200" s="5" t="s">
        <v>238</v>
      </c>
      <c r="DP1200" s="5" t="s">
        <v>238</v>
      </c>
      <c r="DQ1200" s="5" t="s">
        <v>238</v>
      </c>
      <c r="DT1200" s="5" t="s">
        <v>2039</v>
      </c>
      <c r="DU1200" s="5" t="s">
        <v>626</v>
      </c>
      <c r="HM1200" s="5" t="s">
        <v>264</v>
      </c>
    </row>
    <row r="1201" spans="1:221" x14ac:dyDescent="0.4">
      <c r="A1201" s="5">
        <v>2876</v>
      </c>
      <c r="B1201" s="5">
        <v>1</v>
      </c>
      <c r="C1201" s="5">
        <v>1</v>
      </c>
      <c r="D1201" s="5" t="s">
        <v>2037</v>
      </c>
      <c r="E1201" s="5" t="s">
        <v>271</v>
      </c>
      <c r="F1201" s="5" t="s">
        <v>248</v>
      </c>
      <c r="G1201" s="5" t="s">
        <v>1969</v>
      </c>
      <c r="H1201" s="6" t="s">
        <v>2873</v>
      </c>
      <c r="I1201" s="7">
        <f>1728</f>
        <v>1728</v>
      </c>
      <c r="J1201" s="5" t="s">
        <v>262</v>
      </c>
      <c r="K1201" s="8">
        <f>1</f>
        <v>1</v>
      </c>
      <c r="L1201" s="6" t="s">
        <v>242</v>
      </c>
      <c r="M1201" s="5" t="s">
        <v>267</v>
      </c>
      <c r="N1201" s="5" t="s">
        <v>265</v>
      </c>
      <c r="O1201" s="5" t="s">
        <v>238</v>
      </c>
      <c r="P1201" s="5" t="s">
        <v>238</v>
      </c>
      <c r="Q1201" s="5" t="s">
        <v>268</v>
      </c>
      <c r="R1201" s="5" t="s">
        <v>270</v>
      </c>
      <c r="S1201" s="5" t="s">
        <v>238</v>
      </c>
      <c r="V1201" s="5" t="s">
        <v>238</v>
      </c>
      <c r="X1201" s="6" t="s">
        <v>238</v>
      </c>
      <c r="AA1201" s="6" t="s">
        <v>243</v>
      </c>
      <c r="AB1201" s="5" t="s">
        <v>238</v>
      </c>
      <c r="AC1201" s="5" t="s">
        <v>244</v>
      </c>
      <c r="AD1201" s="5" t="s">
        <v>245</v>
      </c>
      <c r="AT1201" s="5" t="s">
        <v>246</v>
      </c>
      <c r="AU1201" s="5" t="s">
        <v>238</v>
      </c>
      <c r="AV1201" s="5" t="s">
        <v>247</v>
      </c>
      <c r="AW1201" s="5" t="s">
        <v>238</v>
      </c>
      <c r="AX1201" s="5" t="s">
        <v>249</v>
      </c>
      <c r="AY1201" s="5" t="s">
        <v>238</v>
      </c>
      <c r="BA1201" s="5" t="s">
        <v>238</v>
      </c>
      <c r="BC1201" s="5" t="s">
        <v>250</v>
      </c>
      <c r="BD1201" s="6" t="s">
        <v>243</v>
      </c>
      <c r="BE1201" s="5" t="s">
        <v>251</v>
      </c>
      <c r="BF1201" s="5" t="s">
        <v>252</v>
      </c>
      <c r="BG1201" s="5" t="s">
        <v>238</v>
      </c>
      <c r="BH1201" s="7">
        <f>0</f>
        <v>0</v>
      </c>
      <c r="BI1201" s="8">
        <f>0</f>
        <v>0</v>
      </c>
      <c r="BJ1201" s="5" t="s">
        <v>253</v>
      </c>
      <c r="BK1201" s="5" t="s">
        <v>254</v>
      </c>
      <c r="BY1201" s="5" t="s">
        <v>238</v>
      </c>
      <c r="BZ1201" s="5" t="s">
        <v>238</v>
      </c>
      <c r="CD1201" s="5" t="s">
        <v>273</v>
      </c>
      <c r="CE1201" s="5" t="s">
        <v>256</v>
      </c>
      <c r="CF1201" s="5" t="s">
        <v>238</v>
      </c>
      <c r="CI1201" s="6" t="s">
        <v>257</v>
      </c>
      <c r="CJ1201" s="5" t="s">
        <v>238</v>
      </c>
      <c r="CK1201" s="5" t="s">
        <v>258</v>
      </c>
      <c r="CL1201" s="5" t="s">
        <v>238</v>
      </c>
      <c r="CM1201" s="5" t="s">
        <v>238</v>
      </c>
      <c r="CN1201" s="5">
        <v>0</v>
      </c>
      <c r="CO1201" s="5" t="s">
        <v>259</v>
      </c>
      <c r="CP1201" s="5" t="s">
        <v>260</v>
      </c>
      <c r="CQ1201" s="5" t="s">
        <v>260</v>
      </c>
      <c r="CR1201" s="5" t="s">
        <v>261</v>
      </c>
      <c r="CU1201" s="8">
        <f>1</f>
        <v>1</v>
      </c>
      <c r="CV1201" s="8">
        <f>0</f>
        <v>0</v>
      </c>
      <c r="CX1201" s="8">
        <f>0</f>
        <v>0</v>
      </c>
      <c r="CY1201" s="8">
        <f>1</f>
        <v>1</v>
      </c>
      <c r="DA1201" s="5" t="s">
        <v>673</v>
      </c>
      <c r="DB1201" s="5" t="s">
        <v>238</v>
      </c>
      <c r="DD1201" s="5" t="s">
        <v>673</v>
      </c>
      <c r="DE1201" s="8">
        <f>1728</f>
        <v>1728</v>
      </c>
      <c r="DG1201" s="5" t="s">
        <v>238</v>
      </c>
      <c r="DH1201" s="5" t="s">
        <v>238</v>
      </c>
      <c r="DI1201" s="5" t="s">
        <v>238</v>
      </c>
      <c r="DJ1201" s="5" t="s">
        <v>238</v>
      </c>
      <c r="DN1201" s="5" t="s">
        <v>238</v>
      </c>
      <c r="DO1201" s="5" t="s">
        <v>238</v>
      </c>
      <c r="DP1201" s="5" t="s">
        <v>238</v>
      </c>
      <c r="DQ1201" s="5" t="s">
        <v>238</v>
      </c>
      <c r="DT1201" s="5" t="s">
        <v>2039</v>
      </c>
      <c r="DU1201" s="5" t="s">
        <v>582</v>
      </c>
      <c r="HM1201" s="5" t="s">
        <v>264</v>
      </c>
    </row>
    <row r="1202" spans="1:221" x14ac:dyDescent="0.4">
      <c r="A1202" s="5">
        <v>2877</v>
      </c>
      <c r="B1202" s="5">
        <v>1</v>
      </c>
      <c r="C1202" s="5">
        <v>1</v>
      </c>
      <c r="D1202" s="5" t="s">
        <v>2037</v>
      </c>
      <c r="E1202" s="5" t="s">
        <v>271</v>
      </c>
      <c r="F1202" s="5" t="s">
        <v>248</v>
      </c>
      <c r="G1202" s="5" t="s">
        <v>1969</v>
      </c>
      <c r="H1202" s="6" t="s">
        <v>2872</v>
      </c>
      <c r="I1202" s="7">
        <f>4620</f>
        <v>4620</v>
      </c>
      <c r="J1202" s="5" t="s">
        <v>262</v>
      </c>
      <c r="K1202" s="8">
        <f>1</f>
        <v>1</v>
      </c>
      <c r="L1202" s="6" t="s">
        <v>242</v>
      </c>
      <c r="M1202" s="5" t="s">
        <v>267</v>
      </c>
      <c r="N1202" s="5" t="s">
        <v>265</v>
      </c>
      <c r="O1202" s="5" t="s">
        <v>238</v>
      </c>
      <c r="P1202" s="5" t="s">
        <v>238</v>
      </c>
      <c r="Q1202" s="5" t="s">
        <v>268</v>
      </c>
      <c r="R1202" s="5" t="s">
        <v>270</v>
      </c>
      <c r="S1202" s="5" t="s">
        <v>238</v>
      </c>
      <c r="V1202" s="5" t="s">
        <v>238</v>
      </c>
      <c r="X1202" s="6" t="s">
        <v>238</v>
      </c>
      <c r="AA1202" s="6" t="s">
        <v>243</v>
      </c>
      <c r="AB1202" s="5" t="s">
        <v>238</v>
      </c>
      <c r="AC1202" s="5" t="s">
        <v>244</v>
      </c>
      <c r="AD1202" s="5" t="s">
        <v>245</v>
      </c>
      <c r="AT1202" s="5" t="s">
        <v>246</v>
      </c>
      <c r="AU1202" s="5" t="s">
        <v>238</v>
      </c>
      <c r="AV1202" s="5" t="s">
        <v>247</v>
      </c>
      <c r="AW1202" s="5" t="s">
        <v>238</v>
      </c>
      <c r="AX1202" s="5" t="s">
        <v>249</v>
      </c>
      <c r="AY1202" s="5" t="s">
        <v>238</v>
      </c>
      <c r="BA1202" s="5" t="s">
        <v>238</v>
      </c>
      <c r="BC1202" s="5" t="s">
        <v>250</v>
      </c>
      <c r="BD1202" s="6" t="s">
        <v>243</v>
      </c>
      <c r="BE1202" s="5" t="s">
        <v>251</v>
      </c>
      <c r="BF1202" s="5" t="s">
        <v>252</v>
      </c>
      <c r="BG1202" s="5" t="s">
        <v>238</v>
      </c>
      <c r="BH1202" s="7">
        <f>0</f>
        <v>0</v>
      </c>
      <c r="BI1202" s="8">
        <f>0</f>
        <v>0</v>
      </c>
      <c r="BJ1202" s="5" t="s">
        <v>253</v>
      </c>
      <c r="BK1202" s="5" t="s">
        <v>254</v>
      </c>
      <c r="BY1202" s="5" t="s">
        <v>238</v>
      </c>
      <c r="BZ1202" s="5" t="s">
        <v>238</v>
      </c>
      <c r="CD1202" s="5" t="s">
        <v>273</v>
      </c>
      <c r="CE1202" s="5" t="s">
        <v>256</v>
      </c>
      <c r="CF1202" s="5" t="s">
        <v>238</v>
      </c>
      <c r="CI1202" s="6" t="s">
        <v>257</v>
      </c>
      <c r="CJ1202" s="5" t="s">
        <v>238</v>
      </c>
      <c r="CK1202" s="5" t="s">
        <v>258</v>
      </c>
      <c r="CL1202" s="5" t="s">
        <v>238</v>
      </c>
      <c r="CM1202" s="5" t="s">
        <v>238</v>
      </c>
      <c r="CN1202" s="5">
        <v>0</v>
      </c>
      <c r="CO1202" s="5" t="s">
        <v>259</v>
      </c>
      <c r="CP1202" s="5" t="s">
        <v>260</v>
      </c>
      <c r="CQ1202" s="5" t="s">
        <v>260</v>
      </c>
      <c r="CR1202" s="5" t="s">
        <v>261</v>
      </c>
      <c r="CU1202" s="8">
        <f>1</f>
        <v>1</v>
      </c>
      <c r="CV1202" s="8">
        <f>0</f>
        <v>0</v>
      </c>
      <c r="CX1202" s="8">
        <f>0</f>
        <v>0</v>
      </c>
      <c r="CY1202" s="8">
        <f>1</f>
        <v>1</v>
      </c>
      <c r="DA1202" s="5" t="s">
        <v>673</v>
      </c>
      <c r="DB1202" s="5" t="s">
        <v>238</v>
      </c>
      <c r="DD1202" s="5" t="s">
        <v>673</v>
      </c>
      <c r="DE1202" s="8">
        <f>4620</f>
        <v>4620</v>
      </c>
      <c r="DG1202" s="5" t="s">
        <v>238</v>
      </c>
      <c r="DH1202" s="5" t="s">
        <v>238</v>
      </c>
      <c r="DI1202" s="5" t="s">
        <v>238</v>
      </c>
      <c r="DJ1202" s="5" t="s">
        <v>238</v>
      </c>
      <c r="DN1202" s="5" t="s">
        <v>238</v>
      </c>
      <c r="DO1202" s="5" t="s">
        <v>238</v>
      </c>
      <c r="DP1202" s="5" t="s">
        <v>238</v>
      </c>
      <c r="DQ1202" s="5" t="s">
        <v>238</v>
      </c>
      <c r="DT1202" s="5" t="s">
        <v>2039</v>
      </c>
      <c r="DU1202" s="5" t="s">
        <v>552</v>
      </c>
      <c r="HM1202" s="5" t="s">
        <v>264</v>
      </c>
    </row>
    <row r="1203" spans="1:221" x14ac:dyDescent="0.4">
      <c r="A1203" s="5">
        <v>2878</v>
      </c>
      <c r="B1203" s="5">
        <v>1</v>
      </c>
      <c r="C1203" s="5">
        <v>1</v>
      </c>
      <c r="D1203" s="5" t="s">
        <v>2037</v>
      </c>
      <c r="E1203" s="5" t="s">
        <v>271</v>
      </c>
      <c r="F1203" s="5" t="s">
        <v>248</v>
      </c>
      <c r="G1203" s="5" t="s">
        <v>1969</v>
      </c>
      <c r="H1203" s="6" t="s">
        <v>2871</v>
      </c>
      <c r="I1203" s="7">
        <f>1669</f>
        <v>1669</v>
      </c>
      <c r="J1203" s="5" t="s">
        <v>262</v>
      </c>
      <c r="K1203" s="8">
        <f>1</f>
        <v>1</v>
      </c>
      <c r="L1203" s="6" t="s">
        <v>242</v>
      </c>
      <c r="M1203" s="5" t="s">
        <v>267</v>
      </c>
      <c r="N1203" s="5" t="s">
        <v>265</v>
      </c>
      <c r="O1203" s="5" t="s">
        <v>238</v>
      </c>
      <c r="P1203" s="5" t="s">
        <v>238</v>
      </c>
      <c r="Q1203" s="5" t="s">
        <v>268</v>
      </c>
      <c r="R1203" s="5" t="s">
        <v>270</v>
      </c>
      <c r="S1203" s="5" t="s">
        <v>238</v>
      </c>
      <c r="V1203" s="5" t="s">
        <v>238</v>
      </c>
      <c r="X1203" s="6" t="s">
        <v>238</v>
      </c>
      <c r="AA1203" s="6" t="s">
        <v>243</v>
      </c>
      <c r="AB1203" s="5" t="s">
        <v>238</v>
      </c>
      <c r="AC1203" s="5" t="s">
        <v>244</v>
      </c>
      <c r="AD1203" s="5" t="s">
        <v>245</v>
      </c>
      <c r="AT1203" s="5" t="s">
        <v>246</v>
      </c>
      <c r="AU1203" s="5" t="s">
        <v>238</v>
      </c>
      <c r="AV1203" s="5" t="s">
        <v>247</v>
      </c>
      <c r="AW1203" s="5" t="s">
        <v>238</v>
      </c>
      <c r="AX1203" s="5" t="s">
        <v>249</v>
      </c>
      <c r="AY1203" s="5" t="s">
        <v>238</v>
      </c>
      <c r="BA1203" s="5" t="s">
        <v>238</v>
      </c>
      <c r="BC1203" s="5" t="s">
        <v>250</v>
      </c>
      <c r="BD1203" s="6" t="s">
        <v>243</v>
      </c>
      <c r="BE1203" s="5" t="s">
        <v>251</v>
      </c>
      <c r="BF1203" s="5" t="s">
        <v>252</v>
      </c>
      <c r="BG1203" s="5" t="s">
        <v>238</v>
      </c>
      <c r="BH1203" s="7">
        <f>0</f>
        <v>0</v>
      </c>
      <c r="BI1203" s="8">
        <f>0</f>
        <v>0</v>
      </c>
      <c r="BJ1203" s="5" t="s">
        <v>253</v>
      </c>
      <c r="BK1203" s="5" t="s">
        <v>254</v>
      </c>
      <c r="BY1203" s="5" t="s">
        <v>238</v>
      </c>
      <c r="BZ1203" s="5" t="s">
        <v>238</v>
      </c>
      <c r="CD1203" s="5" t="s">
        <v>273</v>
      </c>
      <c r="CE1203" s="5" t="s">
        <v>256</v>
      </c>
      <c r="CF1203" s="5" t="s">
        <v>238</v>
      </c>
      <c r="CI1203" s="6" t="s">
        <v>257</v>
      </c>
      <c r="CJ1203" s="5" t="s">
        <v>238</v>
      </c>
      <c r="CK1203" s="5" t="s">
        <v>258</v>
      </c>
      <c r="CL1203" s="5" t="s">
        <v>238</v>
      </c>
      <c r="CM1203" s="5" t="s">
        <v>238</v>
      </c>
      <c r="CN1203" s="5">
        <v>0</v>
      </c>
      <c r="CO1203" s="5" t="s">
        <v>259</v>
      </c>
      <c r="CP1203" s="5" t="s">
        <v>260</v>
      </c>
      <c r="CQ1203" s="5" t="s">
        <v>260</v>
      </c>
      <c r="CR1203" s="5" t="s">
        <v>261</v>
      </c>
      <c r="CU1203" s="8">
        <f>1</f>
        <v>1</v>
      </c>
      <c r="CV1203" s="8">
        <f>0</f>
        <v>0</v>
      </c>
      <c r="CX1203" s="8">
        <f>0</f>
        <v>0</v>
      </c>
      <c r="CY1203" s="8">
        <f>1</f>
        <v>1</v>
      </c>
      <c r="DA1203" s="5" t="s">
        <v>673</v>
      </c>
      <c r="DB1203" s="5" t="s">
        <v>238</v>
      </c>
      <c r="DD1203" s="5" t="s">
        <v>673</v>
      </c>
      <c r="DE1203" s="8">
        <f>1669</f>
        <v>1669</v>
      </c>
      <c r="DG1203" s="5" t="s">
        <v>238</v>
      </c>
      <c r="DH1203" s="5" t="s">
        <v>238</v>
      </c>
      <c r="DI1203" s="5" t="s">
        <v>238</v>
      </c>
      <c r="DJ1203" s="5" t="s">
        <v>238</v>
      </c>
      <c r="DN1203" s="5" t="s">
        <v>238</v>
      </c>
      <c r="DO1203" s="5" t="s">
        <v>238</v>
      </c>
      <c r="DP1203" s="5" t="s">
        <v>238</v>
      </c>
      <c r="DQ1203" s="5" t="s">
        <v>238</v>
      </c>
      <c r="DT1203" s="5" t="s">
        <v>2039</v>
      </c>
      <c r="DU1203" s="5" t="s">
        <v>374</v>
      </c>
      <c r="HM1203" s="5" t="s">
        <v>264</v>
      </c>
    </row>
    <row r="1204" spans="1:221" x14ac:dyDescent="0.4">
      <c r="A1204" s="5">
        <v>2879</v>
      </c>
      <c r="B1204" s="5">
        <v>1</v>
      </c>
      <c r="C1204" s="5">
        <v>1</v>
      </c>
      <c r="D1204" s="5" t="s">
        <v>2037</v>
      </c>
      <c r="E1204" s="5" t="s">
        <v>271</v>
      </c>
      <c r="F1204" s="5" t="s">
        <v>248</v>
      </c>
      <c r="G1204" s="5" t="s">
        <v>1969</v>
      </c>
      <c r="H1204" s="6" t="s">
        <v>2870</v>
      </c>
      <c r="I1204" s="7">
        <f>1728</f>
        <v>1728</v>
      </c>
      <c r="J1204" s="5" t="s">
        <v>262</v>
      </c>
      <c r="K1204" s="8">
        <f>1</f>
        <v>1</v>
      </c>
      <c r="L1204" s="6" t="s">
        <v>242</v>
      </c>
      <c r="M1204" s="5" t="s">
        <v>267</v>
      </c>
      <c r="N1204" s="5" t="s">
        <v>265</v>
      </c>
      <c r="O1204" s="5" t="s">
        <v>238</v>
      </c>
      <c r="P1204" s="5" t="s">
        <v>238</v>
      </c>
      <c r="Q1204" s="5" t="s">
        <v>268</v>
      </c>
      <c r="R1204" s="5" t="s">
        <v>270</v>
      </c>
      <c r="S1204" s="5" t="s">
        <v>238</v>
      </c>
      <c r="V1204" s="5" t="s">
        <v>238</v>
      </c>
      <c r="X1204" s="6" t="s">
        <v>238</v>
      </c>
      <c r="AA1204" s="6" t="s">
        <v>243</v>
      </c>
      <c r="AB1204" s="5" t="s">
        <v>238</v>
      </c>
      <c r="AC1204" s="5" t="s">
        <v>244</v>
      </c>
      <c r="AD1204" s="5" t="s">
        <v>245</v>
      </c>
      <c r="AT1204" s="5" t="s">
        <v>246</v>
      </c>
      <c r="AU1204" s="5" t="s">
        <v>238</v>
      </c>
      <c r="AV1204" s="5" t="s">
        <v>247</v>
      </c>
      <c r="AW1204" s="5" t="s">
        <v>238</v>
      </c>
      <c r="AX1204" s="5" t="s">
        <v>249</v>
      </c>
      <c r="AY1204" s="5" t="s">
        <v>238</v>
      </c>
      <c r="BA1204" s="5" t="s">
        <v>238</v>
      </c>
      <c r="BC1204" s="5" t="s">
        <v>250</v>
      </c>
      <c r="BD1204" s="6" t="s">
        <v>243</v>
      </c>
      <c r="BE1204" s="5" t="s">
        <v>251</v>
      </c>
      <c r="BF1204" s="5" t="s">
        <v>252</v>
      </c>
      <c r="BG1204" s="5" t="s">
        <v>238</v>
      </c>
      <c r="BH1204" s="7">
        <f>0</f>
        <v>0</v>
      </c>
      <c r="BI1204" s="8">
        <f>0</f>
        <v>0</v>
      </c>
      <c r="BJ1204" s="5" t="s">
        <v>253</v>
      </c>
      <c r="BK1204" s="5" t="s">
        <v>254</v>
      </c>
      <c r="BY1204" s="5" t="s">
        <v>238</v>
      </c>
      <c r="BZ1204" s="5" t="s">
        <v>238</v>
      </c>
      <c r="CD1204" s="5" t="s">
        <v>273</v>
      </c>
      <c r="CE1204" s="5" t="s">
        <v>256</v>
      </c>
      <c r="CF1204" s="5" t="s">
        <v>238</v>
      </c>
      <c r="CI1204" s="6" t="s">
        <v>257</v>
      </c>
      <c r="CJ1204" s="5" t="s">
        <v>238</v>
      </c>
      <c r="CK1204" s="5" t="s">
        <v>258</v>
      </c>
      <c r="CL1204" s="5" t="s">
        <v>238</v>
      </c>
      <c r="CM1204" s="5" t="s">
        <v>238</v>
      </c>
      <c r="CN1204" s="5">
        <v>0</v>
      </c>
      <c r="CO1204" s="5" t="s">
        <v>259</v>
      </c>
      <c r="CP1204" s="5" t="s">
        <v>260</v>
      </c>
      <c r="CQ1204" s="5" t="s">
        <v>260</v>
      </c>
      <c r="CR1204" s="5" t="s">
        <v>261</v>
      </c>
      <c r="CU1204" s="8">
        <f>1</f>
        <v>1</v>
      </c>
      <c r="CV1204" s="8">
        <f>0</f>
        <v>0</v>
      </c>
      <c r="CX1204" s="8">
        <f>0</f>
        <v>0</v>
      </c>
      <c r="CY1204" s="8">
        <f>1</f>
        <v>1</v>
      </c>
      <c r="DA1204" s="5" t="s">
        <v>673</v>
      </c>
      <c r="DB1204" s="5" t="s">
        <v>238</v>
      </c>
      <c r="DD1204" s="5" t="s">
        <v>673</v>
      </c>
      <c r="DE1204" s="8">
        <f>1728</f>
        <v>1728</v>
      </c>
      <c r="DG1204" s="5" t="s">
        <v>238</v>
      </c>
      <c r="DH1204" s="5" t="s">
        <v>238</v>
      </c>
      <c r="DI1204" s="5" t="s">
        <v>238</v>
      </c>
      <c r="DJ1204" s="5" t="s">
        <v>238</v>
      </c>
      <c r="DN1204" s="5" t="s">
        <v>238</v>
      </c>
      <c r="DO1204" s="5" t="s">
        <v>238</v>
      </c>
      <c r="DP1204" s="5" t="s">
        <v>238</v>
      </c>
      <c r="DQ1204" s="5" t="s">
        <v>238</v>
      </c>
      <c r="DT1204" s="5" t="s">
        <v>2039</v>
      </c>
      <c r="DU1204" s="5" t="s">
        <v>348</v>
      </c>
      <c r="HM1204" s="5" t="s">
        <v>264</v>
      </c>
    </row>
    <row r="1205" spans="1:221" x14ac:dyDescent="0.4">
      <c r="A1205" s="5">
        <v>2880</v>
      </c>
      <c r="B1205" s="5">
        <v>1</v>
      </c>
      <c r="C1205" s="5">
        <v>1</v>
      </c>
      <c r="D1205" s="5" t="s">
        <v>2037</v>
      </c>
      <c r="E1205" s="5" t="s">
        <v>271</v>
      </c>
      <c r="F1205" s="5" t="s">
        <v>248</v>
      </c>
      <c r="G1205" s="5" t="s">
        <v>1969</v>
      </c>
      <c r="H1205" s="6" t="s">
        <v>2868</v>
      </c>
      <c r="I1205" s="7">
        <f>1701</f>
        <v>1701</v>
      </c>
      <c r="J1205" s="5" t="s">
        <v>262</v>
      </c>
      <c r="K1205" s="8">
        <f>1</f>
        <v>1</v>
      </c>
      <c r="L1205" s="6" t="s">
        <v>242</v>
      </c>
      <c r="M1205" s="5" t="s">
        <v>267</v>
      </c>
      <c r="N1205" s="5" t="s">
        <v>265</v>
      </c>
      <c r="O1205" s="5" t="s">
        <v>238</v>
      </c>
      <c r="P1205" s="5" t="s">
        <v>238</v>
      </c>
      <c r="Q1205" s="5" t="s">
        <v>268</v>
      </c>
      <c r="R1205" s="5" t="s">
        <v>270</v>
      </c>
      <c r="S1205" s="5" t="s">
        <v>238</v>
      </c>
      <c r="V1205" s="5" t="s">
        <v>238</v>
      </c>
      <c r="X1205" s="6" t="s">
        <v>238</v>
      </c>
      <c r="AA1205" s="6" t="s">
        <v>243</v>
      </c>
      <c r="AB1205" s="5" t="s">
        <v>238</v>
      </c>
      <c r="AC1205" s="5" t="s">
        <v>244</v>
      </c>
      <c r="AD1205" s="5" t="s">
        <v>245</v>
      </c>
      <c r="AT1205" s="5" t="s">
        <v>246</v>
      </c>
      <c r="AU1205" s="5" t="s">
        <v>238</v>
      </c>
      <c r="AV1205" s="5" t="s">
        <v>247</v>
      </c>
      <c r="AW1205" s="5" t="s">
        <v>238</v>
      </c>
      <c r="AX1205" s="5" t="s">
        <v>249</v>
      </c>
      <c r="AY1205" s="5" t="s">
        <v>238</v>
      </c>
      <c r="BA1205" s="5" t="s">
        <v>238</v>
      </c>
      <c r="BC1205" s="5" t="s">
        <v>250</v>
      </c>
      <c r="BD1205" s="6" t="s">
        <v>243</v>
      </c>
      <c r="BE1205" s="5" t="s">
        <v>251</v>
      </c>
      <c r="BF1205" s="5" t="s">
        <v>252</v>
      </c>
      <c r="BG1205" s="5" t="s">
        <v>238</v>
      </c>
      <c r="BH1205" s="7">
        <f>0</f>
        <v>0</v>
      </c>
      <c r="BI1205" s="8">
        <f>0</f>
        <v>0</v>
      </c>
      <c r="BJ1205" s="5" t="s">
        <v>253</v>
      </c>
      <c r="BK1205" s="5" t="s">
        <v>254</v>
      </c>
      <c r="BY1205" s="5" t="s">
        <v>238</v>
      </c>
      <c r="BZ1205" s="5" t="s">
        <v>238</v>
      </c>
      <c r="CD1205" s="5" t="s">
        <v>273</v>
      </c>
      <c r="CE1205" s="5" t="s">
        <v>256</v>
      </c>
      <c r="CF1205" s="5" t="s">
        <v>238</v>
      </c>
      <c r="CI1205" s="6" t="s">
        <v>257</v>
      </c>
      <c r="CJ1205" s="5" t="s">
        <v>238</v>
      </c>
      <c r="CK1205" s="5" t="s">
        <v>258</v>
      </c>
      <c r="CL1205" s="5" t="s">
        <v>238</v>
      </c>
      <c r="CM1205" s="5" t="s">
        <v>238</v>
      </c>
      <c r="CN1205" s="5">
        <v>0</v>
      </c>
      <c r="CO1205" s="5" t="s">
        <v>259</v>
      </c>
      <c r="CP1205" s="5" t="s">
        <v>260</v>
      </c>
      <c r="CQ1205" s="5" t="s">
        <v>260</v>
      </c>
      <c r="CR1205" s="5" t="s">
        <v>261</v>
      </c>
      <c r="CU1205" s="8">
        <f>1</f>
        <v>1</v>
      </c>
      <c r="CV1205" s="8">
        <f>0</f>
        <v>0</v>
      </c>
      <c r="CX1205" s="8">
        <f>0</f>
        <v>0</v>
      </c>
      <c r="CY1205" s="8">
        <f>1</f>
        <v>1</v>
      </c>
      <c r="DA1205" s="5" t="s">
        <v>673</v>
      </c>
      <c r="DB1205" s="5" t="s">
        <v>238</v>
      </c>
      <c r="DD1205" s="5" t="s">
        <v>673</v>
      </c>
      <c r="DE1205" s="8">
        <f>1701</f>
        <v>1701</v>
      </c>
      <c r="DG1205" s="5" t="s">
        <v>238</v>
      </c>
      <c r="DH1205" s="5" t="s">
        <v>238</v>
      </c>
      <c r="DI1205" s="5" t="s">
        <v>238</v>
      </c>
      <c r="DJ1205" s="5" t="s">
        <v>238</v>
      </c>
      <c r="DN1205" s="5" t="s">
        <v>238</v>
      </c>
      <c r="DO1205" s="5" t="s">
        <v>238</v>
      </c>
      <c r="DP1205" s="5" t="s">
        <v>238</v>
      </c>
      <c r="DQ1205" s="5" t="s">
        <v>238</v>
      </c>
      <c r="DT1205" s="5" t="s">
        <v>2039</v>
      </c>
      <c r="DU1205" s="5" t="s">
        <v>2869</v>
      </c>
      <c r="HM1205" s="5" t="s">
        <v>264</v>
      </c>
    </row>
    <row r="1206" spans="1:221" x14ac:dyDescent="0.4">
      <c r="A1206" s="5">
        <v>2881</v>
      </c>
      <c r="B1206" s="5">
        <v>1</v>
      </c>
      <c r="C1206" s="5">
        <v>1</v>
      </c>
      <c r="D1206" s="5" t="s">
        <v>2037</v>
      </c>
      <c r="E1206" s="5" t="s">
        <v>271</v>
      </c>
      <c r="F1206" s="5" t="s">
        <v>248</v>
      </c>
      <c r="G1206" s="5" t="s">
        <v>1969</v>
      </c>
      <c r="H1206" s="6" t="s">
        <v>2867</v>
      </c>
      <c r="I1206" s="7">
        <f>4250</f>
        <v>4250</v>
      </c>
      <c r="J1206" s="5" t="s">
        <v>262</v>
      </c>
      <c r="K1206" s="8">
        <f>1</f>
        <v>1</v>
      </c>
      <c r="L1206" s="6" t="s">
        <v>242</v>
      </c>
      <c r="M1206" s="5" t="s">
        <v>267</v>
      </c>
      <c r="N1206" s="5" t="s">
        <v>265</v>
      </c>
      <c r="O1206" s="5" t="s">
        <v>238</v>
      </c>
      <c r="P1206" s="5" t="s">
        <v>238</v>
      </c>
      <c r="Q1206" s="5" t="s">
        <v>268</v>
      </c>
      <c r="R1206" s="5" t="s">
        <v>270</v>
      </c>
      <c r="S1206" s="5" t="s">
        <v>238</v>
      </c>
      <c r="V1206" s="5" t="s">
        <v>238</v>
      </c>
      <c r="X1206" s="6" t="s">
        <v>238</v>
      </c>
      <c r="AA1206" s="6" t="s">
        <v>243</v>
      </c>
      <c r="AB1206" s="5" t="s">
        <v>238</v>
      </c>
      <c r="AC1206" s="5" t="s">
        <v>244</v>
      </c>
      <c r="AD1206" s="5" t="s">
        <v>245</v>
      </c>
      <c r="AT1206" s="5" t="s">
        <v>246</v>
      </c>
      <c r="AU1206" s="5" t="s">
        <v>238</v>
      </c>
      <c r="AV1206" s="5" t="s">
        <v>247</v>
      </c>
      <c r="AW1206" s="5" t="s">
        <v>238</v>
      </c>
      <c r="AX1206" s="5" t="s">
        <v>249</v>
      </c>
      <c r="AY1206" s="5" t="s">
        <v>238</v>
      </c>
      <c r="BA1206" s="5" t="s">
        <v>238</v>
      </c>
      <c r="BC1206" s="5" t="s">
        <v>250</v>
      </c>
      <c r="BD1206" s="6" t="s">
        <v>243</v>
      </c>
      <c r="BE1206" s="5" t="s">
        <v>251</v>
      </c>
      <c r="BF1206" s="5" t="s">
        <v>252</v>
      </c>
      <c r="BG1206" s="5" t="s">
        <v>238</v>
      </c>
      <c r="BH1206" s="7">
        <f>0</f>
        <v>0</v>
      </c>
      <c r="BI1206" s="8">
        <f>0</f>
        <v>0</v>
      </c>
      <c r="BJ1206" s="5" t="s">
        <v>253</v>
      </c>
      <c r="BK1206" s="5" t="s">
        <v>254</v>
      </c>
      <c r="BY1206" s="5" t="s">
        <v>238</v>
      </c>
      <c r="BZ1206" s="5" t="s">
        <v>238</v>
      </c>
      <c r="CD1206" s="5" t="s">
        <v>273</v>
      </c>
      <c r="CE1206" s="5" t="s">
        <v>256</v>
      </c>
      <c r="CF1206" s="5" t="s">
        <v>238</v>
      </c>
      <c r="CI1206" s="6" t="s">
        <v>257</v>
      </c>
      <c r="CJ1206" s="5" t="s">
        <v>238</v>
      </c>
      <c r="CK1206" s="5" t="s">
        <v>258</v>
      </c>
      <c r="CL1206" s="5" t="s">
        <v>238</v>
      </c>
      <c r="CM1206" s="5" t="s">
        <v>238</v>
      </c>
      <c r="CN1206" s="5">
        <v>0</v>
      </c>
      <c r="CO1206" s="5" t="s">
        <v>259</v>
      </c>
      <c r="CP1206" s="5" t="s">
        <v>260</v>
      </c>
      <c r="CQ1206" s="5" t="s">
        <v>260</v>
      </c>
      <c r="CR1206" s="5" t="s">
        <v>261</v>
      </c>
      <c r="CU1206" s="8">
        <f>1</f>
        <v>1</v>
      </c>
      <c r="CV1206" s="8">
        <f>0</f>
        <v>0</v>
      </c>
      <c r="CX1206" s="8">
        <f>0</f>
        <v>0</v>
      </c>
      <c r="CY1206" s="8">
        <f>1</f>
        <v>1</v>
      </c>
      <c r="DA1206" s="5" t="s">
        <v>673</v>
      </c>
      <c r="DB1206" s="5" t="s">
        <v>238</v>
      </c>
      <c r="DD1206" s="5" t="s">
        <v>673</v>
      </c>
      <c r="DE1206" s="8">
        <f>4250</f>
        <v>4250</v>
      </c>
      <c r="DG1206" s="5" t="s">
        <v>238</v>
      </c>
      <c r="DH1206" s="5" t="s">
        <v>238</v>
      </c>
      <c r="DI1206" s="5" t="s">
        <v>238</v>
      </c>
      <c r="DJ1206" s="5" t="s">
        <v>238</v>
      </c>
      <c r="DN1206" s="5" t="s">
        <v>238</v>
      </c>
      <c r="DO1206" s="5" t="s">
        <v>238</v>
      </c>
      <c r="DP1206" s="5" t="s">
        <v>238</v>
      </c>
      <c r="DQ1206" s="5" t="s">
        <v>238</v>
      </c>
      <c r="DT1206" s="5" t="s">
        <v>2039</v>
      </c>
      <c r="DU1206" s="5" t="s">
        <v>286</v>
      </c>
      <c r="HM1206" s="5" t="s">
        <v>264</v>
      </c>
    </row>
    <row r="1207" spans="1:221" x14ac:dyDescent="0.4">
      <c r="A1207" s="5">
        <v>2882</v>
      </c>
      <c r="B1207" s="5">
        <v>1</v>
      </c>
      <c r="C1207" s="5">
        <v>1</v>
      </c>
      <c r="D1207" s="5" t="s">
        <v>2037</v>
      </c>
      <c r="E1207" s="5" t="s">
        <v>271</v>
      </c>
      <c r="F1207" s="5" t="s">
        <v>248</v>
      </c>
      <c r="G1207" s="5" t="s">
        <v>1969</v>
      </c>
      <c r="H1207" s="6" t="s">
        <v>2866</v>
      </c>
      <c r="I1207" s="7">
        <f>2795</f>
        <v>2795</v>
      </c>
      <c r="J1207" s="5" t="s">
        <v>262</v>
      </c>
      <c r="K1207" s="8">
        <f>1</f>
        <v>1</v>
      </c>
      <c r="L1207" s="6" t="s">
        <v>242</v>
      </c>
      <c r="M1207" s="5" t="s">
        <v>267</v>
      </c>
      <c r="N1207" s="5" t="s">
        <v>265</v>
      </c>
      <c r="O1207" s="5" t="s">
        <v>238</v>
      </c>
      <c r="P1207" s="5" t="s">
        <v>238</v>
      </c>
      <c r="Q1207" s="5" t="s">
        <v>268</v>
      </c>
      <c r="R1207" s="5" t="s">
        <v>270</v>
      </c>
      <c r="S1207" s="5" t="s">
        <v>238</v>
      </c>
      <c r="V1207" s="5" t="s">
        <v>238</v>
      </c>
      <c r="X1207" s="6" t="s">
        <v>238</v>
      </c>
      <c r="AA1207" s="6" t="s">
        <v>243</v>
      </c>
      <c r="AB1207" s="5" t="s">
        <v>238</v>
      </c>
      <c r="AC1207" s="5" t="s">
        <v>244</v>
      </c>
      <c r="AD1207" s="5" t="s">
        <v>245</v>
      </c>
      <c r="AT1207" s="5" t="s">
        <v>246</v>
      </c>
      <c r="AU1207" s="5" t="s">
        <v>238</v>
      </c>
      <c r="AV1207" s="5" t="s">
        <v>247</v>
      </c>
      <c r="AW1207" s="5" t="s">
        <v>238</v>
      </c>
      <c r="AX1207" s="5" t="s">
        <v>249</v>
      </c>
      <c r="AY1207" s="5" t="s">
        <v>238</v>
      </c>
      <c r="BA1207" s="5" t="s">
        <v>238</v>
      </c>
      <c r="BC1207" s="5" t="s">
        <v>250</v>
      </c>
      <c r="BD1207" s="6" t="s">
        <v>243</v>
      </c>
      <c r="BE1207" s="5" t="s">
        <v>251</v>
      </c>
      <c r="BF1207" s="5" t="s">
        <v>252</v>
      </c>
      <c r="BG1207" s="5" t="s">
        <v>238</v>
      </c>
      <c r="BH1207" s="7">
        <f>0</f>
        <v>0</v>
      </c>
      <c r="BI1207" s="8">
        <f>0</f>
        <v>0</v>
      </c>
      <c r="BJ1207" s="5" t="s">
        <v>253</v>
      </c>
      <c r="BK1207" s="5" t="s">
        <v>254</v>
      </c>
      <c r="BY1207" s="5" t="s">
        <v>238</v>
      </c>
      <c r="BZ1207" s="5" t="s">
        <v>238</v>
      </c>
      <c r="CD1207" s="5" t="s">
        <v>273</v>
      </c>
      <c r="CE1207" s="5" t="s">
        <v>256</v>
      </c>
      <c r="CF1207" s="5" t="s">
        <v>238</v>
      </c>
      <c r="CI1207" s="6" t="s">
        <v>257</v>
      </c>
      <c r="CJ1207" s="5" t="s">
        <v>238</v>
      </c>
      <c r="CK1207" s="5" t="s">
        <v>258</v>
      </c>
      <c r="CL1207" s="5" t="s">
        <v>238</v>
      </c>
      <c r="CM1207" s="5" t="s">
        <v>238</v>
      </c>
      <c r="CN1207" s="5">
        <v>0</v>
      </c>
      <c r="CO1207" s="5" t="s">
        <v>259</v>
      </c>
      <c r="CP1207" s="5" t="s">
        <v>260</v>
      </c>
      <c r="CQ1207" s="5" t="s">
        <v>260</v>
      </c>
      <c r="CR1207" s="5" t="s">
        <v>261</v>
      </c>
      <c r="CU1207" s="8">
        <f>1</f>
        <v>1</v>
      </c>
      <c r="CV1207" s="8">
        <f>0</f>
        <v>0</v>
      </c>
      <c r="CX1207" s="8">
        <f>0</f>
        <v>0</v>
      </c>
      <c r="CY1207" s="8">
        <f>1</f>
        <v>1</v>
      </c>
      <c r="DA1207" s="5" t="s">
        <v>673</v>
      </c>
      <c r="DB1207" s="5" t="s">
        <v>238</v>
      </c>
      <c r="DD1207" s="5" t="s">
        <v>673</v>
      </c>
      <c r="DE1207" s="8">
        <f>2795</f>
        <v>2795</v>
      </c>
      <c r="DG1207" s="5" t="s">
        <v>238</v>
      </c>
      <c r="DH1207" s="5" t="s">
        <v>238</v>
      </c>
      <c r="DI1207" s="5" t="s">
        <v>238</v>
      </c>
      <c r="DJ1207" s="5" t="s">
        <v>238</v>
      </c>
      <c r="DN1207" s="5" t="s">
        <v>238</v>
      </c>
      <c r="DO1207" s="5" t="s">
        <v>238</v>
      </c>
      <c r="DP1207" s="5" t="s">
        <v>238</v>
      </c>
      <c r="DQ1207" s="5" t="s">
        <v>238</v>
      </c>
      <c r="DT1207" s="5" t="s">
        <v>2039</v>
      </c>
      <c r="DU1207" s="5" t="s">
        <v>1051</v>
      </c>
      <c r="HM1207" s="5" t="s">
        <v>264</v>
      </c>
    </row>
    <row r="1208" spans="1:221" x14ac:dyDescent="0.4">
      <c r="A1208" s="5">
        <v>2883</v>
      </c>
      <c r="B1208" s="5">
        <v>1</v>
      </c>
      <c r="C1208" s="5">
        <v>1</v>
      </c>
      <c r="D1208" s="5" t="s">
        <v>2037</v>
      </c>
      <c r="E1208" s="5" t="s">
        <v>271</v>
      </c>
      <c r="F1208" s="5" t="s">
        <v>248</v>
      </c>
      <c r="G1208" s="5" t="s">
        <v>1969</v>
      </c>
      <c r="H1208" s="6" t="s">
        <v>2865</v>
      </c>
      <c r="I1208" s="7">
        <f>1301</f>
        <v>1301</v>
      </c>
      <c r="J1208" s="5" t="s">
        <v>262</v>
      </c>
      <c r="K1208" s="8">
        <f>1</f>
        <v>1</v>
      </c>
      <c r="L1208" s="6" t="s">
        <v>242</v>
      </c>
      <c r="M1208" s="5" t="s">
        <v>267</v>
      </c>
      <c r="N1208" s="5" t="s">
        <v>265</v>
      </c>
      <c r="O1208" s="5" t="s">
        <v>238</v>
      </c>
      <c r="P1208" s="5" t="s">
        <v>238</v>
      </c>
      <c r="Q1208" s="5" t="s">
        <v>268</v>
      </c>
      <c r="R1208" s="5" t="s">
        <v>270</v>
      </c>
      <c r="S1208" s="5" t="s">
        <v>238</v>
      </c>
      <c r="V1208" s="5" t="s">
        <v>238</v>
      </c>
      <c r="X1208" s="6" t="s">
        <v>238</v>
      </c>
      <c r="AA1208" s="6" t="s">
        <v>243</v>
      </c>
      <c r="AB1208" s="5" t="s">
        <v>238</v>
      </c>
      <c r="AC1208" s="5" t="s">
        <v>244</v>
      </c>
      <c r="AD1208" s="5" t="s">
        <v>245</v>
      </c>
      <c r="AT1208" s="5" t="s">
        <v>246</v>
      </c>
      <c r="AU1208" s="5" t="s">
        <v>238</v>
      </c>
      <c r="AV1208" s="5" t="s">
        <v>247</v>
      </c>
      <c r="AW1208" s="5" t="s">
        <v>238</v>
      </c>
      <c r="AX1208" s="5" t="s">
        <v>249</v>
      </c>
      <c r="AY1208" s="5" t="s">
        <v>238</v>
      </c>
      <c r="BA1208" s="5" t="s">
        <v>238</v>
      </c>
      <c r="BC1208" s="5" t="s">
        <v>250</v>
      </c>
      <c r="BD1208" s="6" t="s">
        <v>243</v>
      </c>
      <c r="BE1208" s="5" t="s">
        <v>251</v>
      </c>
      <c r="BF1208" s="5" t="s">
        <v>252</v>
      </c>
      <c r="BG1208" s="5" t="s">
        <v>238</v>
      </c>
      <c r="BH1208" s="7">
        <f>0</f>
        <v>0</v>
      </c>
      <c r="BI1208" s="8">
        <f>0</f>
        <v>0</v>
      </c>
      <c r="BJ1208" s="5" t="s">
        <v>253</v>
      </c>
      <c r="BK1208" s="5" t="s">
        <v>254</v>
      </c>
      <c r="BY1208" s="5" t="s">
        <v>238</v>
      </c>
      <c r="BZ1208" s="5" t="s">
        <v>238</v>
      </c>
      <c r="CD1208" s="5" t="s">
        <v>273</v>
      </c>
      <c r="CE1208" s="5" t="s">
        <v>256</v>
      </c>
      <c r="CF1208" s="5" t="s">
        <v>238</v>
      </c>
      <c r="CI1208" s="6" t="s">
        <v>257</v>
      </c>
      <c r="CJ1208" s="5" t="s">
        <v>238</v>
      </c>
      <c r="CK1208" s="5" t="s">
        <v>258</v>
      </c>
      <c r="CL1208" s="5" t="s">
        <v>238</v>
      </c>
      <c r="CM1208" s="5" t="s">
        <v>238</v>
      </c>
      <c r="CN1208" s="5">
        <v>0</v>
      </c>
      <c r="CO1208" s="5" t="s">
        <v>259</v>
      </c>
      <c r="CP1208" s="5" t="s">
        <v>260</v>
      </c>
      <c r="CQ1208" s="5" t="s">
        <v>260</v>
      </c>
      <c r="CR1208" s="5" t="s">
        <v>261</v>
      </c>
      <c r="CU1208" s="8">
        <f>1</f>
        <v>1</v>
      </c>
      <c r="CV1208" s="8">
        <f>0</f>
        <v>0</v>
      </c>
      <c r="CX1208" s="8">
        <f>0</f>
        <v>0</v>
      </c>
      <c r="CY1208" s="8">
        <f>1</f>
        <v>1</v>
      </c>
      <c r="DA1208" s="5" t="s">
        <v>673</v>
      </c>
      <c r="DB1208" s="5" t="s">
        <v>238</v>
      </c>
      <c r="DD1208" s="5" t="s">
        <v>673</v>
      </c>
      <c r="DE1208" s="8">
        <f>1301</f>
        <v>1301</v>
      </c>
      <c r="DG1208" s="5" t="s">
        <v>238</v>
      </c>
      <c r="DH1208" s="5" t="s">
        <v>238</v>
      </c>
      <c r="DI1208" s="5" t="s">
        <v>238</v>
      </c>
      <c r="DJ1208" s="5" t="s">
        <v>238</v>
      </c>
      <c r="DN1208" s="5" t="s">
        <v>238</v>
      </c>
      <c r="DO1208" s="5" t="s">
        <v>238</v>
      </c>
      <c r="DP1208" s="5" t="s">
        <v>238</v>
      </c>
      <c r="DQ1208" s="5" t="s">
        <v>238</v>
      </c>
      <c r="DT1208" s="5" t="s">
        <v>2039</v>
      </c>
      <c r="DU1208" s="5" t="s">
        <v>1058</v>
      </c>
      <c r="HM1208" s="5" t="s">
        <v>264</v>
      </c>
    </row>
    <row r="1209" spans="1:221" x14ac:dyDescent="0.4">
      <c r="A1209" s="5">
        <v>2884</v>
      </c>
      <c r="B1209" s="5">
        <v>1</v>
      </c>
      <c r="C1209" s="5">
        <v>1</v>
      </c>
      <c r="D1209" s="5" t="s">
        <v>2037</v>
      </c>
      <c r="E1209" s="5" t="s">
        <v>271</v>
      </c>
      <c r="F1209" s="5" t="s">
        <v>248</v>
      </c>
      <c r="G1209" s="5" t="s">
        <v>1969</v>
      </c>
      <c r="H1209" s="6" t="s">
        <v>2864</v>
      </c>
      <c r="I1209" s="7">
        <f>1640</f>
        <v>1640</v>
      </c>
      <c r="J1209" s="5" t="s">
        <v>262</v>
      </c>
      <c r="K1209" s="8">
        <f>1</f>
        <v>1</v>
      </c>
      <c r="L1209" s="6" t="s">
        <v>242</v>
      </c>
      <c r="M1209" s="5" t="s">
        <v>267</v>
      </c>
      <c r="N1209" s="5" t="s">
        <v>265</v>
      </c>
      <c r="O1209" s="5" t="s">
        <v>238</v>
      </c>
      <c r="P1209" s="5" t="s">
        <v>238</v>
      </c>
      <c r="Q1209" s="5" t="s">
        <v>268</v>
      </c>
      <c r="R1209" s="5" t="s">
        <v>270</v>
      </c>
      <c r="S1209" s="5" t="s">
        <v>238</v>
      </c>
      <c r="V1209" s="5" t="s">
        <v>238</v>
      </c>
      <c r="X1209" s="6" t="s">
        <v>238</v>
      </c>
      <c r="AA1209" s="6" t="s">
        <v>243</v>
      </c>
      <c r="AB1209" s="5" t="s">
        <v>238</v>
      </c>
      <c r="AC1209" s="5" t="s">
        <v>244</v>
      </c>
      <c r="AD1209" s="5" t="s">
        <v>245</v>
      </c>
      <c r="AT1209" s="5" t="s">
        <v>246</v>
      </c>
      <c r="AU1209" s="5" t="s">
        <v>238</v>
      </c>
      <c r="AV1209" s="5" t="s">
        <v>247</v>
      </c>
      <c r="AW1209" s="5" t="s">
        <v>238</v>
      </c>
      <c r="AX1209" s="5" t="s">
        <v>249</v>
      </c>
      <c r="AY1209" s="5" t="s">
        <v>238</v>
      </c>
      <c r="BA1209" s="5" t="s">
        <v>238</v>
      </c>
      <c r="BC1209" s="5" t="s">
        <v>250</v>
      </c>
      <c r="BD1209" s="6" t="s">
        <v>243</v>
      </c>
      <c r="BE1209" s="5" t="s">
        <v>251</v>
      </c>
      <c r="BF1209" s="5" t="s">
        <v>252</v>
      </c>
      <c r="BG1209" s="5" t="s">
        <v>238</v>
      </c>
      <c r="BH1209" s="7">
        <f>0</f>
        <v>0</v>
      </c>
      <c r="BI1209" s="8">
        <f>0</f>
        <v>0</v>
      </c>
      <c r="BJ1209" s="5" t="s">
        <v>253</v>
      </c>
      <c r="BK1209" s="5" t="s">
        <v>254</v>
      </c>
      <c r="BY1209" s="5" t="s">
        <v>238</v>
      </c>
      <c r="BZ1209" s="5" t="s">
        <v>238</v>
      </c>
      <c r="CD1209" s="5" t="s">
        <v>273</v>
      </c>
      <c r="CE1209" s="5" t="s">
        <v>256</v>
      </c>
      <c r="CF1209" s="5" t="s">
        <v>238</v>
      </c>
      <c r="CI1209" s="6" t="s">
        <v>257</v>
      </c>
      <c r="CJ1209" s="5" t="s">
        <v>238</v>
      </c>
      <c r="CK1209" s="5" t="s">
        <v>258</v>
      </c>
      <c r="CL1209" s="5" t="s">
        <v>238</v>
      </c>
      <c r="CM1209" s="5" t="s">
        <v>238</v>
      </c>
      <c r="CN1209" s="5">
        <v>0</v>
      </c>
      <c r="CO1209" s="5" t="s">
        <v>259</v>
      </c>
      <c r="CP1209" s="5" t="s">
        <v>260</v>
      </c>
      <c r="CQ1209" s="5" t="s">
        <v>260</v>
      </c>
      <c r="CR1209" s="5" t="s">
        <v>261</v>
      </c>
      <c r="CU1209" s="8">
        <f>1</f>
        <v>1</v>
      </c>
      <c r="CV1209" s="8">
        <f>0</f>
        <v>0</v>
      </c>
      <c r="CX1209" s="8">
        <f>0</f>
        <v>0</v>
      </c>
      <c r="CY1209" s="8">
        <f>1</f>
        <v>1</v>
      </c>
      <c r="DA1209" s="5" t="s">
        <v>673</v>
      </c>
      <c r="DB1209" s="5" t="s">
        <v>238</v>
      </c>
      <c r="DD1209" s="5" t="s">
        <v>673</v>
      </c>
      <c r="DE1209" s="8">
        <f>1640</f>
        <v>1640</v>
      </c>
      <c r="DG1209" s="5" t="s">
        <v>238</v>
      </c>
      <c r="DH1209" s="5" t="s">
        <v>238</v>
      </c>
      <c r="DI1209" s="5" t="s">
        <v>238</v>
      </c>
      <c r="DJ1209" s="5" t="s">
        <v>238</v>
      </c>
      <c r="DN1209" s="5" t="s">
        <v>238</v>
      </c>
      <c r="DO1209" s="5" t="s">
        <v>238</v>
      </c>
      <c r="DP1209" s="5" t="s">
        <v>238</v>
      </c>
      <c r="DQ1209" s="5" t="s">
        <v>238</v>
      </c>
      <c r="DT1209" s="5" t="s">
        <v>2039</v>
      </c>
      <c r="DU1209" s="5" t="s">
        <v>1086</v>
      </c>
      <c r="HM1209" s="5" t="s">
        <v>264</v>
      </c>
    </row>
    <row r="1210" spans="1:221" x14ac:dyDescent="0.4">
      <c r="A1210" s="5">
        <v>2885</v>
      </c>
      <c r="B1210" s="5">
        <v>1</v>
      </c>
      <c r="C1210" s="5">
        <v>1</v>
      </c>
      <c r="D1210" s="5" t="s">
        <v>2037</v>
      </c>
      <c r="E1210" s="5" t="s">
        <v>271</v>
      </c>
      <c r="F1210" s="5" t="s">
        <v>248</v>
      </c>
      <c r="G1210" s="5" t="s">
        <v>1969</v>
      </c>
      <c r="H1210" s="6" t="s">
        <v>2861</v>
      </c>
      <c r="I1210" s="7">
        <f>810</f>
        <v>810</v>
      </c>
      <c r="J1210" s="5" t="s">
        <v>262</v>
      </c>
      <c r="K1210" s="8">
        <f>1</f>
        <v>1</v>
      </c>
      <c r="L1210" s="6" t="s">
        <v>242</v>
      </c>
      <c r="M1210" s="5" t="s">
        <v>267</v>
      </c>
      <c r="N1210" s="5" t="s">
        <v>265</v>
      </c>
      <c r="O1210" s="5" t="s">
        <v>238</v>
      </c>
      <c r="P1210" s="5" t="s">
        <v>238</v>
      </c>
      <c r="Q1210" s="5" t="s">
        <v>268</v>
      </c>
      <c r="R1210" s="5" t="s">
        <v>270</v>
      </c>
      <c r="S1210" s="5" t="s">
        <v>238</v>
      </c>
      <c r="V1210" s="5" t="s">
        <v>238</v>
      </c>
      <c r="X1210" s="6" t="s">
        <v>238</v>
      </c>
      <c r="AA1210" s="6" t="s">
        <v>243</v>
      </c>
      <c r="AB1210" s="5" t="s">
        <v>238</v>
      </c>
      <c r="AC1210" s="5" t="s">
        <v>244</v>
      </c>
      <c r="AD1210" s="5" t="s">
        <v>245</v>
      </c>
      <c r="AT1210" s="5" t="s">
        <v>246</v>
      </c>
      <c r="AU1210" s="5" t="s">
        <v>238</v>
      </c>
      <c r="AV1210" s="5" t="s">
        <v>247</v>
      </c>
      <c r="AW1210" s="5" t="s">
        <v>238</v>
      </c>
      <c r="AX1210" s="5" t="s">
        <v>249</v>
      </c>
      <c r="AY1210" s="5" t="s">
        <v>238</v>
      </c>
      <c r="BA1210" s="5" t="s">
        <v>238</v>
      </c>
      <c r="BC1210" s="5" t="s">
        <v>250</v>
      </c>
      <c r="BD1210" s="6" t="s">
        <v>243</v>
      </c>
      <c r="BE1210" s="5" t="s">
        <v>251</v>
      </c>
      <c r="BF1210" s="5" t="s">
        <v>252</v>
      </c>
      <c r="BG1210" s="5" t="s">
        <v>238</v>
      </c>
      <c r="BH1210" s="7">
        <f>0</f>
        <v>0</v>
      </c>
      <c r="BI1210" s="8">
        <f>0</f>
        <v>0</v>
      </c>
      <c r="BJ1210" s="5" t="s">
        <v>253</v>
      </c>
      <c r="BK1210" s="5" t="s">
        <v>254</v>
      </c>
      <c r="BY1210" s="5" t="s">
        <v>238</v>
      </c>
      <c r="BZ1210" s="5" t="s">
        <v>238</v>
      </c>
      <c r="CD1210" s="5" t="s">
        <v>273</v>
      </c>
      <c r="CE1210" s="5" t="s">
        <v>256</v>
      </c>
      <c r="CF1210" s="5" t="s">
        <v>238</v>
      </c>
      <c r="CI1210" s="6" t="s">
        <v>257</v>
      </c>
      <c r="CJ1210" s="5" t="s">
        <v>238</v>
      </c>
      <c r="CK1210" s="5" t="s">
        <v>258</v>
      </c>
      <c r="CL1210" s="5" t="s">
        <v>238</v>
      </c>
      <c r="CM1210" s="5" t="s">
        <v>238</v>
      </c>
      <c r="CN1210" s="5">
        <v>0</v>
      </c>
      <c r="CO1210" s="5" t="s">
        <v>259</v>
      </c>
      <c r="CP1210" s="5" t="s">
        <v>260</v>
      </c>
      <c r="CQ1210" s="5" t="s">
        <v>260</v>
      </c>
      <c r="CR1210" s="5" t="s">
        <v>261</v>
      </c>
      <c r="CU1210" s="8">
        <f>1</f>
        <v>1</v>
      </c>
      <c r="CV1210" s="8">
        <f>0</f>
        <v>0</v>
      </c>
      <c r="CX1210" s="8">
        <f>0</f>
        <v>0</v>
      </c>
      <c r="CY1210" s="8">
        <f>1</f>
        <v>1</v>
      </c>
      <c r="DA1210" s="5" t="s">
        <v>673</v>
      </c>
      <c r="DB1210" s="5" t="s">
        <v>238</v>
      </c>
      <c r="DD1210" s="5" t="s">
        <v>673</v>
      </c>
      <c r="DE1210" s="8">
        <f>810</f>
        <v>810</v>
      </c>
      <c r="DG1210" s="5" t="s">
        <v>238</v>
      </c>
      <c r="DH1210" s="5" t="s">
        <v>238</v>
      </c>
      <c r="DI1210" s="5" t="s">
        <v>238</v>
      </c>
      <c r="DJ1210" s="5" t="s">
        <v>238</v>
      </c>
      <c r="DN1210" s="5" t="s">
        <v>238</v>
      </c>
      <c r="DO1210" s="5" t="s">
        <v>238</v>
      </c>
      <c r="DP1210" s="5" t="s">
        <v>238</v>
      </c>
      <c r="DQ1210" s="5" t="s">
        <v>238</v>
      </c>
      <c r="DT1210" s="5" t="s">
        <v>2039</v>
      </c>
      <c r="DU1210" s="5" t="s">
        <v>1114</v>
      </c>
      <c r="HM1210" s="5" t="s">
        <v>264</v>
      </c>
    </row>
    <row r="1211" spans="1:221" x14ac:dyDescent="0.4">
      <c r="A1211" s="5">
        <v>2886</v>
      </c>
      <c r="B1211" s="5">
        <v>1</v>
      </c>
      <c r="C1211" s="5">
        <v>1</v>
      </c>
      <c r="D1211" s="5" t="s">
        <v>2037</v>
      </c>
      <c r="E1211" s="5" t="s">
        <v>271</v>
      </c>
      <c r="F1211" s="5" t="s">
        <v>248</v>
      </c>
      <c r="G1211" s="5" t="s">
        <v>1969</v>
      </c>
      <c r="H1211" s="6" t="s">
        <v>2860</v>
      </c>
      <c r="I1211" s="7">
        <f>5918</f>
        <v>5918</v>
      </c>
      <c r="J1211" s="5" t="s">
        <v>262</v>
      </c>
      <c r="K1211" s="8">
        <f>1</f>
        <v>1</v>
      </c>
      <c r="L1211" s="6" t="s">
        <v>242</v>
      </c>
      <c r="M1211" s="5" t="s">
        <v>267</v>
      </c>
      <c r="N1211" s="5" t="s">
        <v>265</v>
      </c>
      <c r="O1211" s="5" t="s">
        <v>238</v>
      </c>
      <c r="P1211" s="5" t="s">
        <v>238</v>
      </c>
      <c r="Q1211" s="5" t="s">
        <v>268</v>
      </c>
      <c r="R1211" s="5" t="s">
        <v>270</v>
      </c>
      <c r="S1211" s="5" t="s">
        <v>238</v>
      </c>
      <c r="V1211" s="5" t="s">
        <v>238</v>
      </c>
      <c r="X1211" s="6" t="s">
        <v>238</v>
      </c>
      <c r="AA1211" s="6" t="s">
        <v>243</v>
      </c>
      <c r="AB1211" s="5" t="s">
        <v>238</v>
      </c>
      <c r="AC1211" s="5" t="s">
        <v>244</v>
      </c>
      <c r="AD1211" s="5" t="s">
        <v>245</v>
      </c>
      <c r="AT1211" s="5" t="s">
        <v>246</v>
      </c>
      <c r="AU1211" s="5" t="s">
        <v>238</v>
      </c>
      <c r="AV1211" s="5" t="s">
        <v>247</v>
      </c>
      <c r="AW1211" s="5" t="s">
        <v>238</v>
      </c>
      <c r="AX1211" s="5" t="s">
        <v>249</v>
      </c>
      <c r="AY1211" s="5" t="s">
        <v>238</v>
      </c>
      <c r="BA1211" s="5" t="s">
        <v>238</v>
      </c>
      <c r="BC1211" s="5" t="s">
        <v>250</v>
      </c>
      <c r="BD1211" s="6" t="s">
        <v>243</v>
      </c>
      <c r="BE1211" s="5" t="s">
        <v>251</v>
      </c>
      <c r="BF1211" s="5" t="s">
        <v>252</v>
      </c>
      <c r="BG1211" s="5" t="s">
        <v>238</v>
      </c>
      <c r="BH1211" s="7">
        <f>0</f>
        <v>0</v>
      </c>
      <c r="BI1211" s="8">
        <f>0</f>
        <v>0</v>
      </c>
      <c r="BJ1211" s="5" t="s">
        <v>253</v>
      </c>
      <c r="BK1211" s="5" t="s">
        <v>254</v>
      </c>
      <c r="BY1211" s="5" t="s">
        <v>238</v>
      </c>
      <c r="BZ1211" s="5" t="s">
        <v>238</v>
      </c>
      <c r="CD1211" s="5" t="s">
        <v>273</v>
      </c>
      <c r="CE1211" s="5" t="s">
        <v>256</v>
      </c>
      <c r="CF1211" s="5" t="s">
        <v>238</v>
      </c>
      <c r="CI1211" s="6" t="s">
        <v>257</v>
      </c>
      <c r="CJ1211" s="5" t="s">
        <v>238</v>
      </c>
      <c r="CK1211" s="5" t="s">
        <v>258</v>
      </c>
      <c r="CL1211" s="5" t="s">
        <v>238</v>
      </c>
      <c r="CM1211" s="5" t="s">
        <v>238</v>
      </c>
      <c r="CN1211" s="5">
        <v>0</v>
      </c>
      <c r="CO1211" s="5" t="s">
        <v>259</v>
      </c>
      <c r="CP1211" s="5" t="s">
        <v>260</v>
      </c>
      <c r="CQ1211" s="5" t="s">
        <v>260</v>
      </c>
      <c r="CR1211" s="5" t="s">
        <v>261</v>
      </c>
      <c r="CU1211" s="8">
        <f>1</f>
        <v>1</v>
      </c>
      <c r="CV1211" s="8">
        <f>0</f>
        <v>0</v>
      </c>
      <c r="CX1211" s="8">
        <f>0</f>
        <v>0</v>
      </c>
      <c r="CY1211" s="8">
        <f>1</f>
        <v>1</v>
      </c>
      <c r="DA1211" s="5" t="s">
        <v>673</v>
      </c>
      <c r="DB1211" s="5" t="s">
        <v>238</v>
      </c>
      <c r="DD1211" s="5" t="s">
        <v>673</v>
      </c>
      <c r="DE1211" s="8">
        <f>5918</f>
        <v>5918</v>
      </c>
      <c r="DG1211" s="5" t="s">
        <v>238</v>
      </c>
      <c r="DH1211" s="5" t="s">
        <v>238</v>
      </c>
      <c r="DI1211" s="5" t="s">
        <v>238</v>
      </c>
      <c r="DJ1211" s="5" t="s">
        <v>238</v>
      </c>
      <c r="DN1211" s="5" t="s">
        <v>238</v>
      </c>
      <c r="DO1211" s="5" t="s">
        <v>238</v>
      </c>
      <c r="DP1211" s="5" t="s">
        <v>238</v>
      </c>
      <c r="DQ1211" s="5" t="s">
        <v>238</v>
      </c>
      <c r="DT1211" s="5" t="s">
        <v>2039</v>
      </c>
      <c r="DU1211" s="5" t="s">
        <v>1182</v>
      </c>
      <c r="HM1211" s="5" t="s">
        <v>264</v>
      </c>
    </row>
    <row r="1212" spans="1:221" x14ac:dyDescent="0.4">
      <c r="A1212" s="5">
        <v>2887</v>
      </c>
      <c r="B1212" s="5">
        <v>1</v>
      </c>
      <c r="C1212" s="5">
        <v>1</v>
      </c>
      <c r="D1212" s="5" t="s">
        <v>2037</v>
      </c>
      <c r="E1212" s="5" t="s">
        <v>271</v>
      </c>
      <c r="F1212" s="5" t="s">
        <v>248</v>
      </c>
      <c r="G1212" s="5" t="s">
        <v>1969</v>
      </c>
      <c r="H1212" s="6" t="s">
        <v>2859</v>
      </c>
      <c r="I1212" s="7">
        <f>70</f>
        <v>70</v>
      </c>
      <c r="J1212" s="5" t="s">
        <v>262</v>
      </c>
      <c r="K1212" s="8">
        <f>1</f>
        <v>1</v>
      </c>
      <c r="L1212" s="6" t="s">
        <v>242</v>
      </c>
      <c r="M1212" s="5" t="s">
        <v>267</v>
      </c>
      <c r="N1212" s="5" t="s">
        <v>265</v>
      </c>
      <c r="O1212" s="5" t="s">
        <v>238</v>
      </c>
      <c r="P1212" s="5" t="s">
        <v>238</v>
      </c>
      <c r="Q1212" s="5" t="s">
        <v>268</v>
      </c>
      <c r="R1212" s="5" t="s">
        <v>270</v>
      </c>
      <c r="S1212" s="5" t="s">
        <v>238</v>
      </c>
      <c r="V1212" s="5" t="s">
        <v>238</v>
      </c>
      <c r="X1212" s="6" t="s">
        <v>238</v>
      </c>
      <c r="AA1212" s="6" t="s">
        <v>243</v>
      </c>
      <c r="AB1212" s="5" t="s">
        <v>238</v>
      </c>
      <c r="AC1212" s="5" t="s">
        <v>244</v>
      </c>
      <c r="AD1212" s="5" t="s">
        <v>245</v>
      </c>
      <c r="AT1212" s="5" t="s">
        <v>246</v>
      </c>
      <c r="AU1212" s="5" t="s">
        <v>238</v>
      </c>
      <c r="AV1212" s="5" t="s">
        <v>247</v>
      </c>
      <c r="AW1212" s="5" t="s">
        <v>238</v>
      </c>
      <c r="AX1212" s="5" t="s">
        <v>249</v>
      </c>
      <c r="AY1212" s="5" t="s">
        <v>238</v>
      </c>
      <c r="BA1212" s="5" t="s">
        <v>238</v>
      </c>
      <c r="BC1212" s="5" t="s">
        <v>250</v>
      </c>
      <c r="BD1212" s="6" t="s">
        <v>243</v>
      </c>
      <c r="BE1212" s="5" t="s">
        <v>251</v>
      </c>
      <c r="BF1212" s="5" t="s">
        <v>252</v>
      </c>
      <c r="BG1212" s="5" t="s">
        <v>238</v>
      </c>
      <c r="BH1212" s="7">
        <f>0</f>
        <v>0</v>
      </c>
      <c r="BI1212" s="8">
        <f>0</f>
        <v>0</v>
      </c>
      <c r="BJ1212" s="5" t="s">
        <v>253</v>
      </c>
      <c r="BK1212" s="5" t="s">
        <v>254</v>
      </c>
      <c r="BY1212" s="5" t="s">
        <v>238</v>
      </c>
      <c r="BZ1212" s="5" t="s">
        <v>238</v>
      </c>
      <c r="CD1212" s="5" t="s">
        <v>273</v>
      </c>
      <c r="CE1212" s="5" t="s">
        <v>256</v>
      </c>
      <c r="CF1212" s="5" t="s">
        <v>238</v>
      </c>
      <c r="CI1212" s="6" t="s">
        <v>257</v>
      </c>
      <c r="CJ1212" s="5" t="s">
        <v>238</v>
      </c>
      <c r="CK1212" s="5" t="s">
        <v>258</v>
      </c>
      <c r="CL1212" s="5" t="s">
        <v>238</v>
      </c>
      <c r="CM1212" s="5" t="s">
        <v>238</v>
      </c>
      <c r="CN1212" s="5">
        <v>0</v>
      </c>
      <c r="CO1212" s="5" t="s">
        <v>259</v>
      </c>
      <c r="CP1212" s="5" t="s">
        <v>260</v>
      </c>
      <c r="CQ1212" s="5" t="s">
        <v>260</v>
      </c>
      <c r="CR1212" s="5" t="s">
        <v>261</v>
      </c>
      <c r="CU1212" s="8">
        <f>1</f>
        <v>1</v>
      </c>
      <c r="CV1212" s="8">
        <f>0</f>
        <v>0</v>
      </c>
      <c r="CX1212" s="8">
        <f>0</f>
        <v>0</v>
      </c>
      <c r="CY1212" s="8">
        <f>1</f>
        <v>1</v>
      </c>
      <c r="DA1212" s="5" t="s">
        <v>673</v>
      </c>
      <c r="DB1212" s="5" t="s">
        <v>238</v>
      </c>
      <c r="DD1212" s="5" t="s">
        <v>673</v>
      </c>
      <c r="DE1212" s="8">
        <f>70</f>
        <v>70</v>
      </c>
      <c r="DG1212" s="5" t="s">
        <v>238</v>
      </c>
      <c r="DH1212" s="5" t="s">
        <v>238</v>
      </c>
      <c r="DI1212" s="5" t="s">
        <v>238</v>
      </c>
      <c r="DJ1212" s="5" t="s">
        <v>238</v>
      </c>
      <c r="DN1212" s="5" t="s">
        <v>238</v>
      </c>
      <c r="DO1212" s="5" t="s">
        <v>238</v>
      </c>
      <c r="DP1212" s="5" t="s">
        <v>238</v>
      </c>
      <c r="DQ1212" s="5" t="s">
        <v>238</v>
      </c>
      <c r="DT1212" s="5" t="s">
        <v>2039</v>
      </c>
      <c r="DU1212" s="5" t="s">
        <v>1196</v>
      </c>
      <c r="HM1212" s="5" t="s">
        <v>264</v>
      </c>
    </row>
    <row r="1213" spans="1:221" x14ac:dyDescent="0.4">
      <c r="A1213" s="5">
        <v>2888</v>
      </c>
      <c r="B1213" s="5">
        <v>1</v>
      </c>
      <c r="C1213" s="5">
        <v>1</v>
      </c>
      <c r="D1213" s="5" t="s">
        <v>2037</v>
      </c>
      <c r="E1213" s="5" t="s">
        <v>271</v>
      </c>
      <c r="F1213" s="5" t="s">
        <v>248</v>
      </c>
      <c r="G1213" s="5" t="s">
        <v>1969</v>
      </c>
      <c r="H1213" s="6" t="s">
        <v>2858</v>
      </c>
      <c r="I1213" s="7">
        <f>2192</f>
        <v>2192</v>
      </c>
      <c r="J1213" s="5" t="s">
        <v>262</v>
      </c>
      <c r="K1213" s="8">
        <f>1</f>
        <v>1</v>
      </c>
      <c r="L1213" s="6" t="s">
        <v>242</v>
      </c>
      <c r="M1213" s="5" t="s">
        <v>267</v>
      </c>
      <c r="N1213" s="5" t="s">
        <v>265</v>
      </c>
      <c r="O1213" s="5" t="s">
        <v>238</v>
      </c>
      <c r="P1213" s="5" t="s">
        <v>238</v>
      </c>
      <c r="Q1213" s="5" t="s">
        <v>268</v>
      </c>
      <c r="R1213" s="5" t="s">
        <v>270</v>
      </c>
      <c r="S1213" s="5" t="s">
        <v>238</v>
      </c>
      <c r="V1213" s="5" t="s">
        <v>238</v>
      </c>
      <c r="X1213" s="6" t="s">
        <v>238</v>
      </c>
      <c r="AA1213" s="6" t="s">
        <v>243</v>
      </c>
      <c r="AB1213" s="5" t="s">
        <v>238</v>
      </c>
      <c r="AC1213" s="5" t="s">
        <v>244</v>
      </c>
      <c r="AD1213" s="5" t="s">
        <v>245</v>
      </c>
      <c r="AT1213" s="5" t="s">
        <v>246</v>
      </c>
      <c r="AU1213" s="5" t="s">
        <v>238</v>
      </c>
      <c r="AV1213" s="5" t="s">
        <v>247</v>
      </c>
      <c r="AW1213" s="5" t="s">
        <v>238</v>
      </c>
      <c r="AX1213" s="5" t="s">
        <v>249</v>
      </c>
      <c r="AY1213" s="5" t="s">
        <v>238</v>
      </c>
      <c r="BA1213" s="5" t="s">
        <v>238</v>
      </c>
      <c r="BC1213" s="5" t="s">
        <v>250</v>
      </c>
      <c r="BD1213" s="6" t="s">
        <v>243</v>
      </c>
      <c r="BE1213" s="5" t="s">
        <v>251</v>
      </c>
      <c r="BF1213" s="5" t="s">
        <v>252</v>
      </c>
      <c r="BG1213" s="5" t="s">
        <v>238</v>
      </c>
      <c r="BH1213" s="7">
        <f>0</f>
        <v>0</v>
      </c>
      <c r="BI1213" s="8">
        <f>0</f>
        <v>0</v>
      </c>
      <c r="BJ1213" s="5" t="s">
        <v>253</v>
      </c>
      <c r="BK1213" s="5" t="s">
        <v>254</v>
      </c>
      <c r="BY1213" s="5" t="s">
        <v>238</v>
      </c>
      <c r="BZ1213" s="5" t="s">
        <v>238</v>
      </c>
      <c r="CD1213" s="5" t="s">
        <v>273</v>
      </c>
      <c r="CE1213" s="5" t="s">
        <v>256</v>
      </c>
      <c r="CF1213" s="5" t="s">
        <v>238</v>
      </c>
      <c r="CI1213" s="6" t="s">
        <v>257</v>
      </c>
      <c r="CJ1213" s="5" t="s">
        <v>238</v>
      </c>
      <c r="CK1213" s="5" t="s">
        <v>258</v>
      </c>
      <c r="CL1213" s="5" t="s">
        <v>238</v>
      </c>
      <c r="CM1213" s="5" t="s">
        <v>238</v>
      </c>
      <c r="CN1213" s="5">
        <v>0</v>
      </c>
      <c r="CO1213" s="5" t="s">
        <v>259</v>
      </c>
      <c r="CP1213" s="5" t="s">
        <v>260</v>
      </c>
      <c r="CQ1213" s="5" t="s">
        <v>260</v>
      </c>
      <c r="CR1213" s="5" t="s">
        <v>261</v>
      </c>
      <c r="CU1213" s="8">
        <f>1</f>
        <v>1</v>
      </c>
      <c r="CV1213" s="8">
        <f>0</f>
        <v>0</v>
      </c>
      <c r="CX1213" s="8">
        <f>0</f>
        <v>0</v>
      </c>
      <c r="CY1213" s="8">
        <f>1</f>
        <v>1</v>
      </c>
      <c r="DA1213" s="5" t="s">
        <v>673</v>
      </c>
      <c r="DB1213" s="5" t="s">
        <v>238</v>
      </c>
      <c r="DD1213" s="5" t="s">
        <v>673</v>
      </c>
      <c r="DE1213" s="8">
        <f>2192</f>
        <v>2192</v>
      </c>
      <c r="DG1213" s="5" t="s">
        <v>238</v>
      </c>
      <c r="DH1213" s="5" t="s">
        <v>238</v>
      </c>
      <c r="DI1213" s="5" t="s">
        <v>238</v>
      </c>
      <c r="DJ1213" s="5" t="s">
        <v>238</v>
      </c>
      <c r="DN1213" s="5" t="s">
        <v>238</v>
      </c>
      <c r="DO1213" s="5" t="s">
        <v>238</v>
      </c>
      <c r="DP1213" s="5" t="s">
        <v>238</v>
      </c>
      <c r="DQ1213" s="5" t="s">
        <v>238</v>
      </c>
      <c r="DT1213" s="5" t="s">
        <v>2039</v>
      </c>
      <c r="DU1213" s="5" t="s">
        <v>1237</v>
      </c>
      <c r="HM1213" s="5" t="s">
        <v>264</v>
      </c>
    </row>
    <row r="1214" spans="1:221" x14ac:dyDescent="0.4">
      <c r="A1214" s="5">
        <v>2889</v>
      </c>
      <c r="B1214" s="5">
        <v>1</v>
      </c>
      <c r="C1214" s="5">
        <v>1</v>
      </c>
      <c r="D1214" s="5" t="s">
        <v>2037</v>
      </c>
      <c r="E1214" s="5" t="s">
        <v>271</v>
      </c>
      <c r="F1214" s="5" t="s">
        <v>248</v>
      </c>
      <c r="G1214" s="5" t="s">
        <v>1969</v>
      </c>
      <c r="H1214" s="6" t="s">
        <v>2857</v>
      </c>
      <c r="I1214" s="7">
        <f>72</f>
        <v>72</v>
      </c>
      <c r="J1214" s="5" t="s">
        <v>262</v>
      </c>
      <c r="K1214" s="8">
        <f>1</f>
        <v>1</v>
      </c>
      <c r="L1214" s="6" t="s">
        <v>242</v>
      </c>
      <c r="M1214" s="5" t="s">
        <v>267</v>
      </c>
      <c r="N1214" s="5" t="s">
        <v>265</v>
      </c>
      <c r="O1214" s="5" t="s">
        <v>238</v>
      </c>
      <c r="P1214" s="5" t="s">
        <v>238</v>
      </c>
      <c r="Q1214" s="5" t="s">
        <v>268</v>
      </c>
      <c r="R1214" s="5" t="s">
        <v>270</v>
      </c>
      <c r="S1214" s="5" t="s">
        <v>238</v>
      </c>
      <c r="V1214" s="5" t="s">
        <v>238</v>
      </c>
      <c r="X1214" s="6" t="s">
        <v>238</v>
      </c>
      <c r="AA1214" s="6" t="s">
        <v>243</v>
      </c>
      <c r="AB1214" s="5" t="s">
        <v>238</v>
      </c>
      <c r="AC1214" s="5" t="s">
        <v>244</v>
      </c>
      <c r="AD1214" s="5" t="s">
        <v>245</v>
      </c>
      <c r="AT1214" s="5" t="s">
        <v>246</v>
      </c>
      <c r="AU1214" s="5" t="s">
        <v>238</v>
      </c>
      <c r="AV1214" s="5" t="s">
        <v>247</v>
      </c>
      <c r="AW1214" s="5" t="s">
        <v>238</v>
      </c>
      <c r="AX1214" s="5" t="s">
        <v>249</v>
      </c>
      <c r="AY1214" s="5" t="s">
        <v>238</v>
      </c>
      <c r="BA1214" s="5" t="s">
        <v>238</v>
      </c>
      <c r="BC1214" s="5" t="s">
        <v>250</v>
      </c>
      <c r="BD1214" s="6" t="s">
        <v>243</v>
      </c>
      <c r="BE1214" s="5" t="s">
        <v>251</v>
      </c>
      <c r="BF1214" s="5" t="s">
        <v>252</v>
      </c>
      <c r="BG1214" s="5" t="s">
        <v>238</v>
      </c>
      <c r="BH1214" s="7">
        <f>0</f>
        <v>0</v>
      </c>
      <c r="BI1214" s="8">
        <f>0</f>
        <v>0</v>
      </c>
      <c r="BJ1214" s="5" t="s">
        <v>253</v>
      </c>
      <c r="BK1214" s="5" t="s">
        <v>254</v>
      </c>
      <c r="BY1214" s="5" t="s">
        <v>238</v>
      </c>
      <c r="BZ1214" s="5" t="s">
        <v>238</v>
      </c>
      <c r="CD1214" s="5" t="s">
        <v>273</v>
      </c>
      <c r="CE1214" s="5" t="s">
        <v>256</v>
      </c>
      <c r="CF1214" s="5" t="s">
        <v>238</v>
      </c>
      <c r="CI1214" s="6" t="s">
        <v>257</v>
      </c>
      <c r="CJ1214" s="5" t="s">
        <v>238</v>
      </c>
      <c r="CK1214" s="5" t="s">
        <v>258</v>
      </c>
      <c r="CL1214" s="5" t="s">
        <v>238</v>
      </c>
      <c r="CM1214" s="5" t="s">
        <v>238</v>
      </c>
      <c r="CN1214" s="5">
        <v>0</v>
      </c>
      <c r="CO1214" s="5" t="s">
        <v>259</v>
      </c>
      <c r="CP1214" s="5" t="s">
        <v>260</v>
      </c>
      <c r="CQ1214" s="5" t="s">
        <v>260</v>
      </c>
      <c r="CR1214" s="5" t="s">
        <v>261</v>
      </c>
      <c r="CU1214" s="8">
        <f>1</f>
        <v>1</v>
      </c>
      <c r="CV1214" s="8">
        <f>0</f>
        <v>0</v>
      </c>
      <c r="CX1214" s="8">
        <f>0</f>
        <v>0</v>
      </c>
      <c r="CY1214" s="8">
        <f>1</f>
        <v>1</v>
      </c>
      <c r="DA1214" s="5" t="s">
        <v>673</v>
      </c>
      <c r="DB1214" s="5" t="s">
        <v>238</v>
      </c>
      <c r="DD1214" s="5" t="s">
        <v>673</v>
      </c>
      <c r="DE1214" s="8">
        <f>72</f>
        <v>72</v>
      </c>
      <c r="DG1214" s="5" t="s">
        <v>238</v>
      </c>
      <c r="DH1214" s="5" t="s">
        <v>238</v>
      </c>
      <c r="DI1214" s="5" t="s">
        <v>238</v>
      </c>
      <c r="DJ1214" s="5" t="s">
        <v>238</v>
      </c>
      <c r="DN1214" s="5" t="s">
        <v>238</v>
      </c>
      <c r="DO1214" s="5" t="s">
        <v>238</v>
      </c>
      <c r="DP1214" s="5" t="s">
        <v>238</v>
      </c>
      <c r="DQ1214" s="5" t="s">
        <v>238</v>
      </c>
      <c r="DT1214" s="5" t="s">
        <v>2039</v>
      </c>
      <c r="DU1214" s="5" t="s">
        <v>1254</v>
      </c>
      <c r="HM1214" s="5" t="s">
        <v>264</v>
      </c>
    </row>
    <row r="1215" spans="1:221" x14ac:dyDescent="0.4">
      <c r="A1215" s="5">
        <v>2890</v>
      </c>
      <c r="B1215" s="5">
        <v>1</v>
      </c>
      <c r="C1215" s="5">
        <v>1</v>
      </c>
      <c r="D1215" s="5" t="s">
        <v>2037</v>
      </c>
      <c r="E1215" s="5" t="s">
        <v>271</v>
      </c>
      <c r="F1215" s="5" t="s">
        <v>248</v>
      </c>
      <c r="G1215" s="5" t="s">
        <v>1969</v>
      </c>
      <c r="H1215" s="6" t="s">
        <v>3258</v>
      </c>
      <c r="I1215" s="7">
        <f>98</f>
        <v>98</v>
      </c>
      <c r="J1215" s="5" t="s">
        <v>262</v>
      </c>
      <c r="K1215" s="8">
        <f>1</f>
        <v>1</v>
      </c>
      <c r="L1215" s="6" t="s">
        <v>242</v>
      </c>
      <c r="M1215" s="5" t="s">
        <v>267</v>
      </c>
      <c r="N1215" s="5" t="s">
        <v>265</v>
      </c>
      <c r="O1215" s="5" t="s">
        <v>238</v>
      </c>
      <c r="P1215" s="5" t="s">
        <v>238</v>
      </c>
      <c r="Q1215" s="5" t="s">
        <v>268</v>
      </c>
      <c r="R1215" s="5" t="s">
        <v>270</v>
      </c>
      <c r="S1215" s="5" t="s">
        <v>238</v>
      </c>
      <c r="V1215" s="5" t="s">
        <v>238</v>
      </c>
      <c r="X1215" s="6" t="s">
        <v>238</v>
      </c>
      <c r="AA1215" s="6" t="s">
        <v>243</v>
      </c>
      <c r="AB1215" s="5" t="s">
        <v>238</v>
      </c>
      <c r="AC1215" s="5" t="s">
        <v>244</v>
      </c>
      <c r="AD1215" s="5" t="s">
        <v>245</v>
      </c>
      <c r="AT1215" s="5" t="s">
        <v>246</v>
      </c>
      <c r="AU1215" s="5" t="s">
        <v>238</v>
      </c>
      <c r="AV1215" s="5" t="s">
        <v>247</v>
      </c>
      <c r="AW1215" s="5" t="s">
        <v>238</v>
      </c>
      <c r="AX1215" s="5" t="s">
        <v>249</v>
      </c>
      <c r="AY1215" s="5" t="s">
        <v>238</v>
      </c>
      <c r="BA1215" s="5" t="s">
        <v>238</v>
      </c>
      <c r="BC1215" s="5" t="s">
        <v>250</v>
      </c>
      <c r="BD1215" s="6" t="s">
        <v>243</v>
      </c>
      <c r="BE1215" s="5" t="s">
        <v>251</v>
      </c>
      <c r="BF1215" s="5" t="s">
        <v>252</v>
      </c>
      <c r="BG1215" s="5" t="s">
        <v>238</v>
      </c>
      <c r="BH1215" s="7">
        <f>0</f>
        <v>0</v>
      </c>
      <c r="BI1215" s="8">
        <f>0</f>
        <v>0</v>
      </c>
      <c r="BJ1215" s="5" t="s">
        <v>253</v>
      </c>
      <c r="BK1215" s="5" t="s">
        <v>254</v>
      </c>
      <c r="BY1215" s="5" t="s">
        <v>238</v>
      </c>
      <c r="BZ1215" s="5" t="s">
        <v>238</v>
      </c>
      <c r="CD1215" s="5" t="s">
        <v>273</v>
      </c>
      <c r="CE1215" s="5" t="s">
        <v>256</v>
      </c>
      <c r="CF1215" s="5" t="s">
        <v>238</v>
      </c>
      <c r="CI1215" s="6" t="s">
        <v>257</v>
      </c>
      <c r="CJ1215" s="5" t="s">
        <v>238</v>
      </c>
      <c r="CK1215" s="5" t="s">
        <v>258</v>
      </c>
      <c r="CL1215" s="5" t="s">
        <v>238</v>
      </c>
      <c r="CM1215" s="5" t="s">
        <v>238</v>
      </c>
      <c r="CN1215" s="5">
        <v>0</v>
      </c>
      <c r="CO1215" s="5" t="s">
        <v>259</v>
      </c>
      <c r="CP1215" s="5" t="s">
        <v>260</v>
      </c>
      <c r="CQ1215" s="5" t="s">
        <v>260</v>
      </c>
      <c r="CR1215" s="5" t="s">
        <v>261</v>
      </c>
      <c r="CU1215" s="8">
        <f>1</f>
        <v>1</v>
      </c>
      <c r="CV1215" s="8">
        <f>0</f>
        <v>0</v>
      </c>
      <c r="CX1215" s="8">
        <f>0</f>
        <v>0</v>
      </c>
      <c r="CY1215" s="8">
        <f>1</f>
        <v>1</v>
      </c>
      <c r="DA1215" s="5" t="s">
        <v>673</v>
      </c>
      <c r="DB1215" s="5" t="s">
        <v>238</v>
      </c>
      <c r="DD1215" s="5" t="s">
        <v>673</v>
      </c>
      <c r="DE1215" s="8">
        <f>98</f>
        <v>98</v>
      </c>
      <c r="DG1215" s="5" t="s">
        <v>238</v>
      </c>
      <c r="DH1215" s="5" t="s">
        <v>238</v>
      </c>
      <c r="DI1215" s="5" t="s">
        <v>238</v>
      </c>
      <c r="DJ1215" s="5" t="s">
        <v>238</v>
      </c>
      <c r="DN1215" s="5" t="s">
        <v>238</v>
      </c>
      <c r="DO1215" s="5" t="s">
        <v>238</v>
      </c>
      <c r="DP1215" s="5" t="s">
        <v>238</v>
      </c>
      <c r="DQ1215" s="5" t="s">
        <v>238</v>
      </c>
      <c r="DT1215" s="5" t="s">
        <v>2039</v>
      </c>
      <c r="DU1215" s="5" t="s">
        <v>1293</v>
      </c>
      <c r="HM1215" s="5" t="s">
        <v>264</v>
      </c>
    </row>
    <row r="1216" spans="1:221" x14ac:dyDescent="0.4">
      <c r="A1216" s="5">
        <v>2891</v>
      </c>
      <c r="B1216" s="5">
        <v>1</v>
      </c>
      <c r="C1216" s="5">
        <v>1</v>
      </c>
      <c r="D1216" s="5" t="s">
        <v>2037</v>
      </c>
      <c r="E1216" s="5" t="s">
        <v>271</v>
      </c>
      <c r="F1216" s="5" t="s">
        <v>248</v>
      </c>
      <c r="G1216" s="5" t="s">
        <v>1969</v>
      </c>
      <c r="H1216" s="6" t="s">
        <v>2856</v>
      </c>
      <c r="I1216" s="7">
        <f>1188</f>
        <v>1188</v>
      </c>
      <c r="J1216" s="5" t="s">
        <v>262</v>
      </c>
      <c r="K1216" s="8">
        <f>1</f>
        <v>1</v>
      </c>
      <c r="L1216" s="6" t="s">
        <v>242</v>
      </c>
      <c r="M1216" s="5" t="s">
        <v>267</v>
      </c>
      <c r="N1216" s="5" t="s">
        <v>265</v>
      </c>
      <c r="O1216" s="5" t="s">
        <v>238</v>
      </c>
      <c r="P1216" s="5" t="s">
        <v>238</v>
      </c>
      <c r="Q1216" s="5" t="s">
        <v>268</v>
      </c>
      <c r="R1216" s="5" t="s">
        <v>270</v>
      </c>
      <c r="S1216" s="5" t="s">
        <v>238</v>
      </c>
      <c r="V1216" s="5" t="s">
        <v>238</v>
      </c>
      <c r="X1216" s="6" t="s">
        <v>238</v>
      </c>
      <c r="AA1216" s="6" t="s">
        <v>243</v>
      </c>
      <c r="AB1216" s="5" t="s">
        <v>238</v>
      </c>
      <c r="AC1216" s="5" t="s">
        <v>244</v>
      </c>
      <c r="AD1216" s="5" t="s">
        <v>245</v>
      </c>
      <c r="AT1216" s="5" t="s">
        <v>246</v>
      </c>
      <c r="AU1216" s="5" t="s">
        <v>238</v>
      </c>
      <c r="AV1216" s="5" t="s">
        <v>247</v>
      </c>
      <c r="AW1216" s="5" t="s">
        <v>238</v>
      </c>
      <c r="AX1216" s="5" t="s">
        <v>249</v>
      </c>
      <c r="AY1216" s="5" t="s">
        <v>238</v>
      </c>
      <c r="BA1216" s="5" t="s">
        <v>238</v>
      </c>
      <c r="BC1216" s="5" t="s">
        <v>250</v>
      </c>
      <c r="BD1216" s="6" t="s">
        <v>243</v>
      </c>
      <c r="BE1216" s="5" t="s">
        <v>251</v>
      </c>
      <c r="BF1216" s="5" t="s">
        <v>252</v>
      </c>
      <c r="BG1216" s="5" t="s">
        <v>238</v>
      </c>
      <c r="BH1216" s="7">
        <f>0</f>
        <v>0</v>
      </c>
      <c r="BI1216" s="8">
        <f>0</f>
        <v>0</v>
      </c>
      <c r="BJ1216" s="5" t="s">
        <v>253</v>
      </c>
      <c r="BK1216" s="5" t="s">
        <v>254</v>
      </c>
      <c r="BY1216" s="5" t="s">
        <v>238</v>
      </c>
      <c r="BZ1216" s="5" t="s">
        <v>238</v>
      </c>
      <c r="CD1216" s="5" t="s">
        <v>273</v>
      </c>
      <c r="CE1216" s="5" t="s">
        <v>256</v>
      </c>
      <c r="CF1216" s="5" t="s">
        <v>238</v>
      </c>
      <c r="CI1216" s="6" t="s">
        <v>257</v>
      </c>
      <c r="CJ1216" s="5" t="s">
        <v>238</v>
      </c>
      <c r="CK1216" s="5" t="s">
        <v>258</v>
      </c>
      <c r="CL1216" s="5" t="s">
        <v>238</v>
      </c>
      <c r="CM1216" s="5" t="s">
        <v>238</v>
      </c>
      <c r="CN1216" s="5">
        <v>0</v>
      </c>
      <c r="CO1216" s="5" t="s">
        <v>259</v>
      </c>
      <c r="CP1216" s="5" t="s">
        <v>260</v>
      </c>
      <c r="CQ1216" s="5" t="s">
        <v>260</v>
      </c>
      <c r="CR1216" s="5" t="s">
        <v>261</v>
      </c>
      <c r="CU1216" s="8">
        <f>1</f>
        <v>1</v>
      </c>
      <c r="CV1216" s="8">
        <f>0</f>
        <v>0</v>
      </c>
      <c r="CX1216" s="8">
        <f>0</f>
        <v>0</v>
      </c>
      <c r="CY1216" s="8">
        <f>1</f>
        <v>1</v>
      </c>
      <c r="DA1216" s="5" t="s">
        <v>673</v>
      </c>
      <c r="DB1216" s="5" t="s">
        <v>238</v>
      </c>
      <c r="DD1216" s="5" t="s">
        <v>673</v>
      </c>
      <c r="DE1216" s="8">
        <f>1188</f>
        <v>1188</v>
      </c>
      <c r="DG1216" s="5" t="s">
        <v>238</v>
      </c>
      <c r="DH1216" s="5" t="s">
        <v>238</v>
      </c>
      <c r="DI1216" s="5" t="s">
        <v>238</v>
      </c>
      <c r="DJ1216" s="5" t="s">
        <v>238</v>
      </c>
      <c r="DN1216" s="5" t="s">
        <v>238</v>
      </c>
      <c r="DO1216" s="5" t="s">
        <v>238</v>
      </c>
      <c r="DP1216" s="5" t="s">
        <v>238</v>
      </c>
      <c r="DQ1216" s="5" t="s">
        <v>238</v>
      </c>
      <c r="DT1216" s="5" t="s">
        <v>2039</v>
      </c>
      <c r="DU1216" s="5" t="s">
        <v>1340</v>
      </c>
      <c r="HM1216" s="5" t="s">
        <v>264</v>
      </c>
    </row>
    <row r="1217" spans="1:221" x14ac:dyDescent="0.4">
      <c r="A1217" s="5">
        <v>2892</v>
      </c>
      <c r="B1217" s="5">
        <v>1</v>
      </c>
      <c r="C1217" s="5">
        <v>1</v>
      </c>
      <c r="D1217" s="5" t="s">
        <v>2037</v>
      </c>
      <c r="E1217" s="5" t="s">
        <v>271</v>
      </c>
      <c r="F1217" s="5" t="s">
        <v>248</v>
      </c>
      <c r="G1217" s="5" t="s">
        <v>1969</v>
      </c>
      <c r="H1217" s="6" t="s">
        <v>2855</v>
      </c>
      <c r="I1217" s="7">
        <f>5044</f>
        <v>5044</v>
      </c>
      <c r="J1217" s="5" t="s">
        <v>262</v>
      </c>
      <c r="K1217" s="8">
        <f>1</f>
        <v>1</v>
      </c>
      <c r="L1217" s="6" t="s">
        <v>242</v>
      </c>
      <c r="M1217" s="5" t="s">
        <v>267</v>
      </c>
      <c r="N1217" s="5" t="s">
        <v>265</v>
      </c>
      <c r="O1217" s="5" t="s">
        <v>238</v>
      </c>
      <c r="P1217" s="5" t="s">
        <v>238</v>
      </c>
      <c r="Q1217" s="5" t="s">
        <v>268</v>
      </c>
      <c r="R1217" s="5" t="s">
        <v>270</v>
      </c>
      <c r="S1217" s="5" t="s">
        <v>238</v>
      </c>
      <c r="V1217" s="5" t="s">
        <v>238</v>
      </c>
      <c r="X1217" s="6" t="s">
        <v>238</v>
      </c>
      <c r="AA1217" s="6" t="s">
        <v>243</v>
      </c>
      <c r="AB1217" s="5" t="s">
        <v>238</v>
      </c>
      <c r="AC1217" s="5" t="s">
        <v>244</v>
      </c>
      <c r="AD1217" s="5" t="s">
        <v>245</v>
      </c>
      <c r="AT1217" s="5" t="s">
        <v>246</v>
      </c>
      <c r="AU1217" s="5" t="s">
        <v>238</v>
      </c>
      <c r="AV1217" s="5" t="s">
        <v>247</v>
      </c>
      <c r="AW1217" s="5" t="s">
        <v>238</v>
      </c>
      <c r="AX1217" s="5" t="s">
        <v>249</v>
      </c>
      <c r="AY1217" s="5" t="s">
        <v>238</v>
      </c>
      <c r="BA1217" s="5" t="s">
        <v>238</v>
      </c>
      <c r="BC1217" s="5" t="s">
        <v>250</v>
      </c>
      <c r="BD1217" s="6" t="s">
        <v>243</v>
      </c>
      <c r="BE1217" s="5" t="s">
        <v>251</v>
      </c>
      <c r="BF1217" s="5" t="s">
        <v>252</v>
      </c>
      <c r="BG1217" s="5" t="s">
        <v>238</v>
      </c>
      <c r="BH1217" s="7">
        <f>0</f>
        <v>0</v>
      </c>
      <c r="BI1217" s="8">
        <f>0</f>
        <v>0</v>
      </c>
      <c r="BJ1217" s="5" t="s">
        <v>253</v>
      </c>
      <c r="BK1217" s="5" t="s">
        <v>254</v>
      </c>
      <c r="BY1217" s="5" t="s">
        <v>238</v>
      </c>
      <c r="BZ1217" s="5" t="s">
        <v>238</v>
      </c>
      <c r="CD1217" s="5" t="s">
        <v>273</v>
      </c>
      <c r="CE1217" s="5" t="s">
        <v>256</v>
      </c>
      <c r="CF1217" s="5" t="s">
        <v>238</v>
      </c>
      <c r="CI1217" s="6" t="s">
        <v>257</v>
      </c>
      <c r="CJ1217" s="5" t="s">
        <v>238</v>
      </c>
      <c r="CK1217" s="5" t="s">
        <v>258</v>
      </c>
      <c r="CL1217" s="5" t="s">
        <v>238</v>
      </c>
      <c r="CM1217" s="5" t="s">
        <v>238</v>
      </c>
      <c r="CN1217" s="5">
        <v>0</v>
      </c>
      <c r="CO1217" s="5" t="s">
        <v>259</v>
      </c>
      <c r="CP1217" s="5" t="s">
        <v>260</v>
      </c>
      <c r="CQ1217" s="5" t="s">
        <v>260</v>
      </c>
      <c r="CR1217" s="5" t="s">
        <v>261</v>
      </c>
      <c r="CU1217" s="8">
        <f>1</f>
        <v>1</v>
      </c>
      <c r="CV1217" s="8">
        <f>0</f>
        <v>0</v>
      </c>
      <c r="CX1217" s="8">
        <f>0</f>
        <v>0</v>
      </c>
      <c r="CY1217" s="8">
        <f>1</f>
        <v>1</v>
      </c>
      <c r="DA1217" s="5" t="s">
        <v>673</v>
      </c>
      <c r="DB1217" s="5" t="s">
        <v>238</v>
      </c>
      <c r="DD1217" s="5" t="s">
        <v>673</v>
      </c>
      <c r="DE1217" s="8">
        <f>5044</f>
        <v>5044</v>
      </c>
      <c r="DG1217" s="5" t="s">
        <v>238</v>
      </c>
      <c r="DH1217" s="5" t="s">
        <v>238</v>
      </c>
      <c r="DI1217" s="5" t="s">
        <v>238</v>
      </c>
      <c r="DJ1217" s="5" t="s">
        <v>238</v>
      </c>
      <c r="DN1217" s="5" t="s">
        <v>238</v>
      </c>
      <c r="DO1217" s="5" t="s">
        <v>238</v>
      </c>
      <c r="DP1217" s="5" t="s">
        <v>238</v>
      </c>
      <c r="DQ1217" s="5" t="s">
        <v>238</v>
      </c>
      <c r="DT1217" s="5" t="s">
        <v>2039</v>
      </c>
      <c r="DU1217" s="5" t="s">
        <v>1368</v>
      </c>
      <c r="HM1217" s="5" t="s">
        <v>264</v>
      </c>
    </row>
    <row r="1218" spans="1:221" x14ac:dyDescent="0.4">
      <c r="A1218" s="5">
        <v>2893</v>
      </c>
      <c r="B1218" s="5">
        <v>1</v>
      </c>
      <c r="C1218" s="5">
        <v>1</v>
      </c>
      <c r="D1218" s="5" t="s">
        <v>2037</v>
      </c>
      <c r="E1218" s="5" t="s">
        <v>271</v>
      </c>
      <c r="F1218" s="5" t="s">
        <v>248</v>
      </c>
      <c r="G1218" s="5" t="s">
        <v>1969</v>
      </c>
      <c r="H1218" s="6" t="s">
        <v>2854</v>
      </c>
      <c r="I1218" s="7">
        <f>1682</f>
        <v>1682</v>
      </c>
      <c r="J1218" s="5" t="s">
        <v>262</v>
      </c>
      <c r="K1218" s="8">
        <f>1</f>
        <v>1</v>
      </c>
      <c r="L1218" s="6" t="s">
        <v>242</v>
      </c>
      <c r="M1218" s="5" t="s">
        <v>267</v>
      </c>
      <c r="N1218" s="5" t="s">
        <v>265</v>
      </c>
      <c r="O1218" s="5" t="s">
        <v>238</v>
      </c>
      <c r="P1218" s="5" t="s">
        <v>238</v>
      </c>
      <c r="Q1218" s="5" t="s">
        <v>268</v>
      </c>
      <c r="R1218" s="5" t="s">
        <v>270</v>
      </c>
      <c r="S1218" s="5" t="s">
        <v>238</v>
      </c>
      <c r="V1218" s="5" t="s">
        <v>238</v>
      </c>
      <c r="X1218" s="6" t="s">
        <v>238</v>
      </c>
      <c r="AA1218" s="6" t="s">
        <v>243</v>
      </c>
      <c r="AB1218" s="5" t="s">
        <v>238</v>
      </c>
      <c r="AC1218" s="5" t="s">
        <v>244</v>
      </c>
      <c r="AD1218" s="5" t="s">
        <v>245</v>
      </c>
      <c r="AT1218" s="5" t="s">
        <v>246</v>
      </c>
      <c r="AU1218" s="5" t="s">
        <v>238</v>
      </c>
      <c r="AV1218" s="5" t="s">
        <v>247</v>
      </c>
      <c r="AW1218" s="5" t="s">
        <v>238</v>
      </c>
      <c r="AX1218" s="5" t="s">
        <v>249</v>
      </c>
      <c r="AY1218" s="5" t="s">
        <v>238</v>
      </c>
      <c r="BA1218" s="5" t="s">
        <v>238</v>
      </c>
      <c r="BC1218" s="5" t="s">
        <v>250</v>
      </c>
      <c r="BD1218" s="6" t="s">
        <v>243</v>
      </c>
      <c r="BE1218" s="5" t="s">
        <v>251</v>
      </c>
      <c r="BF1218" s="5" t="s">
        <v>252</v>
      </c>
      <c r="BG1218" s="5" t="s">
        <v>238</v>
      </c>
      <c r="BH1218" s="7">
        <f>0</f>
        <v>0</v>
      </c>
      <c r="BI1218" s="8">
        <f>0</f>
        <v>0</v>
      </c>
      <c r="BJ1218" s="5" t="s">
        <v>253</v>
      </c>
      <c r="BK1218" s="5" t="s">
        <v>254</v>
      </c>
      <c r="BY1218" s="5" t="s">
        <v>238</v>
      </c>
      <c r="BZ1218" s="5" t="s">
        <v>238</v>
      </c>
      <c r="CD1218" s="5" t="s">
        <v>273</v>
      </c>
      <c r="CE1218" s="5" t="s">
        <v>256</v>
      </c>
      <c r="CF1218" s="5" t="s">
        <v>238</v>
      </c>
      <c r="CI1218" s="6" t="s">
        <v>257</v>
      </c>
      <c r="CJ1218" s="5" t="s">
        <v>238</v>
      </c>
      <c r="CK1218" s="5" t="s">
        <v>258</v>
      </c>
      <c r="CL1218" s="5" t="s">
        <v>238</v>
      </c>
      <c r="CM1218" s="5" t="s">
        <v>238</v>
      </c>
      <c r="CN1218" s="5">
        <v>0</v>
      </c>
      <c r="CO1218" s="5" t="s">
        <v>259</v>
      </c>
      <c r="CP1218" s="5" t="s">
        <v>260</v>
      </c>
      <c r="CQ1218" s="5" t="s">
        <v>260</v>
      </c>
      <c r="CR1218" s="5" t="s">
        <v>261</v>
      </c>
      <c r="CU1218" s="8">
        <f>1</f>
        <v>1</v>
      </c>
      <c r="CV1218" s="8">
        <f>0</f>
        <v>0</v>
      </c>
      <c r="CX1218" s="8">
        <f>0</f>
        <v>0</v>
      </c>
      <c r="CY1218" s="8">
        <f>1</f>
        <v>1</v>
      </c>
      <c r="DA1218" s="5" t="s">
        <v>673</v>
      </c>
      <c r="DB1218" s="5" t="s">
        <v>238</v>
      </c>
      <c r="DD1218" s="5" t="s">
        <v>673</v>
      </c>
      <c r="DE1218" s="8">
        <f>1682</f>
        <v>1682</v>
      </c>
      <c r="DG1218" s="5" t="s">
        <v>238</v>
      </c>
      <c r="DH1218" s="5" t="s">
        <v>238</v>
      </c>
      <c r="DI1218" s="5" t="s">
        <v>238</v>
      </c>
      <c r="DJ1218" s="5" t="s">
        <v>238</v>
      </c>
      <c r="DN1218" s="5" t="s">
        <v>238</v>
      </c>
      <c r="DO1218" s="5" t="s">
        <v>238</v>
      </c>
      <c r="DP1218" s="5" t="s">
        <v>238</v>
      </c>
      <c r="DQ1218" s="5" t="s">
        <v>238</v>
      </c>
      <c r="DT1218" s="5" t="s">
        <v>2039</v>
      </c>
      <c r="DU1218" s="5" t="s">
        <v>1380</v>
      </c>
      <c r="HM1218" s="5" t="s">
        <v>264</v>
      </c>
    </row>
    <row r="1219" spans="1:221" x14ac:dyDescent="0.4">
      <c r="A1219" s="5">
        <v>2894</v>
      </c>
      <c r="B1219" s="5">
        <v>1</v>
      </c>
      <c r="C1219" s="5">
        <v>1</v>
      </c>
      <c r="D1219" s="5" t="s">
        <v>2037</v>
      </c>
      <c r="E1219" s="5" t="s">
        <v>271</v>
      </c>
      <c r="F1219" s="5" t="s">
        <v>248</v>
      </c>
      <c r="G1219" s="5" t="s">
        <v>1969</v>
      </c>
      <c r="H1219" s="6" t="s">
        <v>2850</v>
      </c>
      <c r="I1219" s="7">
        <f>1622</f>
        <v>1622</v>
      </c>
      <c r="J1219" s="5" t="s">
        <v>262</v>
      </c>
      <c r="K1219" s="8">
        <f>1</f>
        <v>1</v>
      </c>
      <c r="L1219" s="6" t="s">
        <v>242</v>
      </c>
      <c r="M1219" s="5" t="s">
        <v>267</v>
      </c>
      <c r="N1219" s="5" t="s">
        <v>265</v>
      </c>
      <c r="O1219" s="5" t="s">
        <v>238</v>
      </c>
      <c r="P1219" s="5" t="s">
        <v>238</v>
      </c>
      <c r="Q1219" s="5" t="s">
        <v>268</v>
      </c>
      <c r="R1219" s="5" t="s">
        <v>270</v>
      </c>
      <c r="S1219" s="5" t="s">
        <v>238</v>
      </c>
      <c r="V1219" s="5" t="s">
        <v>238</v>
      </c>
      <c r="X1219" s="6" t="s">
        <v>238</v>
      </c>
      <c r="AA1219" s="6" t="s">
        <v>243</v>
      </c>
      <c r="AB1219" s="5" t="s">
        <v>238</v>
      </c>
      <c r="AC1219" s="5" t="s">
        <v>244</v>
      </c>
      <c r="AD1219" s="5" t="s">
        <v>245</v>
      </c>
      <c r="AT1219" s="5" t="s">
        <v>246</v>
      </c>
      <c r="AU1219" s="5" t="s">
        <v>238</v>
      </c>
      <c r="AV1219" s="5" t="s">
        <v>247</v>
      </c>
      <c r="AW1219" s="5" t="s">
        <v>238</v>
      </c>
      <c r="AX1219" s="5" t="s">
        <v>249</v>
      </c>
      <c r="AY1219" s="5" t="s">
        <v>238</v>
      </c>
      <c r="BA1219" s="5" t="s">
        <v>238</v>
      </c>
      <c r="BC1219" s="5" t="s">
        <v>250</v>
      </c>
      <c r="BD1219" s="6" t="s">
        <v>243</v>
      </c>
      <c r="BE1219" s="5" t="s">
        <v>251</v>
      </c>
      <c r="BF1219" s="5" t="s">
        <v>252</v>
      </c>
      <c r="BG1219" s="5" t="s">
        <v>238</v>
      </c>
      <c r="BH1219" s="7">
        <f>0</f>
        <v>0</v>
      </c>
      <c r="BI1219" s="8">
        <f>0</f>
        <v>0</v>
      </c>
      <c r="BJ1219" s="5" t="s">
        <v>253</v>
      </c>
      <c r="BK1219" s="5" t="s">
        <v>254</v>
      </c>
      <c r="BY1219" s="5" t="s">
        <v>238</v>
      </c>
      <c r="BZ1219" s="5" t="s">
        <v>238</v>
      </c>
      <c r="CD1219" s="5" t="s">
        <v>273</v>
      </c>
      <c r="CE1219" s="5" t="s">
        <v>256</v>
      </c>
      <c r="CF1219" s="5" t="s">
        <v>238</v>
      </c>
      <c r="CI1219" s="6" t="s">
        <v>257</v>
      </c>
      <c r="CJ1219" s="5" t="s">
        <v>238</v>
      </c>
      <c r="CK1219" s="5" t="s">
        <v>258</v>
      </c>
      <c r="CL1219" s="5" t="s">
        <v>238</v>
      </c>
      <c r="CM1219" s="5" t="s">
        <v>238</v>
      </c>
      <c r="CN1219" s="5">
        <v>0</v>
      </c>
      <c r="CO1219" s="5" t="s">
        <v>259</v>
      </c>
      <c r="CP1219" s="5" t="s">
        <v>260</v>
      </c>
      <c r="CQ1219" s="5" t="s">
        <v>260</v>
      </c>
      <c r="CR1219" s="5" t="s">
        <v>261</v>
      </c>
      <c r="CU1219" s="8">
        <f>1</f>
        <v>1</v>
      </c>
      <c r="CV1219" s="8">
        <f>0</f>
        <v>0</v>
      </c>
      <c r="CX1219" s="8">
        <f>0</f>
        <v>0</v>
      </c>
      <c r="CY1219" s="8">
        <f>1</f>
        <v>1</v>
      </c>
      <c r="DA1219" s="5" t="s">
        <v>673</v>
      </c>
      <c r="DB1219" s="5" t="s">
        <v>238</v>
      </c>
      <c r="DD1219" s="5" t="s">
        <v>673</v>
      </c>
      <c r="DE1219" s="8">
        <f>1622</f>
        <v>1622</v>
      </c>
      <c r="DG1219" s="5" t="s">
        <v>238</v>
      </c>
      <c r="DH1219" s="5" t="s">
        <v>238</v>
      </c>
      <c r="DI1219" s="5" t="s">
        <v>238</v>
      </c>
      <c r="DJ1219" s="5" t="s">
        <v>238</v>
      </c>
      <c r="DN1219" s="5" t="s">
        <v>238</v>
      </c>
      <c r="DO1219" s="5" t="s">
        <v>238</v>
      </c>
      <c r="DP1219" s="5" t="s">
        <v>238</v>
      </c>
      <c r="DQ1219" s="5" t="s">
        <v>238</v>
      </c>
      <c r="DT1219" s="5" t="s">
        <v>2039</v>
      </c>
      <c r="DU1219" s="5" t="s">
        <v>1480</v>
      </c>
      <c r="HM1219" s="5" t="s">
        <v>264</v>
      </c>
    </row>
    <row r="1220" spans="1:221" x14ac:dyDescent="0.4">
      <c r="A1220" s="5">
        <v>2895</v>
      </c>
      <c r="B1220" s="5">
        <v>1</v>
      </c>
      <c r="C1220" s="5">
        <v>1</v>
      </c>
      <c r="D1220" s="5" t="s">
        <v>2037</v>
      </c>
      <c r="E1220" s="5" t="s">
        <v>271</v>
      </c>
      <c r="F1220" s="5" t="s">
        <v>248</v>
      </c>
      <c r="G1220" s="5" t="s">
        <v>1969</v>
      </c>
      <c r="H1220" s="6" t="s">
        <v>2849</v>
      </c>
      <c r="I1220" s="7">
        <f>3500</f>
        <v>3500</v>
      </c>
      <c r="J1220" s="5" t="s">
        <v>262</v>
      </c>
      <c r="K1220" s="8">
        <f>1</f>
        <v>1</v>
      </c>
      <c r="L1220" s="6" t="s">
        <v>242</v>
      </c>
      <c r="M1220" s="5" t="s">
        <v>267</v>
      </c>
      <c r="N1220" s="5" t="s">
        <v>265</v>
      </c>
      <c r="O1220" s="5" t="s">
        <v>238</v>
      </c>
      <c r="P1220" s="5" t="s">
        <v>238</v>
      </c>
      <c r="Q1220" s="5" t="s">
        <v>268</v>
      </c>
      <c r="R1220" s="5" t="s">
        <v>270</v>
      </c>
      <c r="S1220" s="5" t="s">
        <v>238</v>
      </c>
      <c r="V1220" s="5" t="s">
        <v>238</v>
      </c>
      <c r="X1220" s="6" t="s">
        <v>238</v>
      </c>
      <c r="AA1220" s="6" t="s">
        <v>243</v>
      </c>
      <c r="AB1220" s="5" t="s">
        <v>238</v>
      </c>
      <c r="AC1220" s="5" t="s">
        <v>244</v>
      </c>
      <c r="AD1220" s="5" t="s">
        <v>245</v>
      </c>
      <c r="AT1220" s="5" t="s">
        <v>246</v>
      </c>
      <c r="AU1220" s="5" t="s">
        <v>238</v>
      </c>
      <c r="AV1220" s="5" t="s">
        <v>247</v>
      </c>
      <c r="AW1220" s="5" t="s">
        <v>238</v>
      </c>
      <c r="AX1220" s="5" t="s">
        <v>249</v>
      </c>
      <c r="AY1220" s="5" t="s">
        <v>238</v>
      </c>
      <c r="BA1220" s="5" t="s">
        <v>238</v>
      </c>
      <c r="BC1220" s="5" t="s">
        <v>250</v>
      </c>
      <c r="BD1220" s="6" t="s">
        <v>243</v>
      </c>
      <c r="BE1220" s="5" t="s">
        <v>251</v>
      </c>
      <c r="BF1220" s="5" t="s">
        <v>252</v>
      </c>
      <c r="BG1220" s="5" t="s">
        <v>238</v>
      </c>
      <c r="BH1220" s="7">
        <f>0</f>
        <v>0</v>
      </c>
      <c r="BI1220" s="8">
        <f>0</f>
        <v>0</v>
      </c>
      <c r="BJ1220" s="5" t="s">
        <v>253</v>
      </c>
      <c r="BK1220" s="5" t="s">
        <v>254</v>
      </c>
      <c r="BY1220" s="5" t="s">
        <v>238</v>
      </c>
      <c r="BZ1220" s="5" t="s">
        <v>238</v>
      </c>
      <c r="CD1220" s="5" t="s">
        <v>273</v>
      </c>
      <c r="CE1220" s="5" t="s">
        <v>256</v>
      </c>
      <c r="CF1220" s="5" t="s">
        <v>238</v>
      </c>
      <c r="CI1220" s="6" t="s">
        <v>257</v>
      </c>
      <c r="CJ1220" s="5" t="s">
        <v>238</v>
      </c>
      <c r="CK1220" s="5" t="s">
        <v>258</v>
      </c>
      <c r="CL1220" s="5" t="s">
        <v>238</v>
      </c>
      <c r="CM1220" s="5" t="s">
        <v>238</v>
      </c>
      <c r="CN1220" s="5">
        <v>0</v>
      </c>
      <c r="CO1220" s="5" t="s">
        <v>259</v>
      </c>
      <c r="CP1220" s="5" t="s">
        <v>260</v>
      </c>
      <c r="CQ1220" s="5" t="s">
        <v>260</v>
      </c>
      <c r="CR1220" s="5" t="s">
        <v>261</v>
      </c>
      <c r="CU1220" s="8">
        <f>1</f>
        <v>1</v>
      </c>
      <c r="CV1220" s="8">
        <f>0</f>
        <v>0</v>
      </c>
      <c r="CX1220" s="8">
        <f>0</f>
        <v>0</v>
      </c>
      <c r="CY1220" s="8">
        <f>1</f>
        <v>1</v>
      </c>
      <c r="DA1220" s="5" t="s">
        <v>673</v>
      </c>
      <c r="DB1220" s="5" t="s">
        <v>238</v>
      </c>
      <c r="DD1220" s="5" t="s">
        <v>673</v>
      </c>
      <c r="DE1220" s="8">
        <f>3500</f>
        <v>3500</v>
      </c>
      <c r="DG1220" s="5" t="s">
        <v>238</v>
      </c>
      <c r="DH1220" s="5" t="s">
        <v>238</v>
      </c>
      <c r="DI1220" s="5" t="s">
        <v>238</v>
      </c>
      <c r="DJ1220" s="5" t="s">
        <v>238</v>
      </c>
      <c r="DN1220" s="5" t="s">
        <v>238</v>
      </c>
      <c r="DO1220" s="5" t="s">
        <v>238</v>
      </c>
      <c r="DP1220" s="5" t="s">
        <v>238</v>
      </c>
      <c r="DQ1220" s="5" t="s">
        <v>238</v>
      </c>
      <c r="DT1220" s="5" t="s">
        <v>2039</v>
      </c>
      <c r="DU1220" s="5" t="s">
        <v>1489</v>
      </c>
      <c r="HM1220" s="5" t="s">
        <v>264</v>
      </c>
    </row>
    <row r="1221" spans="1:221" x14ac:dyDescent="0.4">
      <c r="A1221" s="5">
        <v>2896</v>
      </c>
      <c r="B1221" s="5">
        <v>1</v>
      </c>
      <c r="C1221" s="5">
        <v>1</v>
      </c>
      <c r="D1221" s="5" t="s">
        <v>2037</v>
      </c>
      <c r="E1221" s="5" t="s">
        <v>271</v>
      </c>
      <c r="F1221" s="5" t="s">
        <v>248</v>
      </c>
      <c r="G1221" s="5" t="s">
        <v>1969</v>
      </c>
      <c r="H1221" s="6" t="s">
        <v>2848</v>
      </c>
      <c r="I1221" s="7">
        <f>1729</f>
        <v>1729</v>
      </c>
      <c r="J1221" s="5" t="s">
        <v>262</v>
      </c>
      <c r="K1221" s="8">
        <f>1</f>
        <v>1</v>
      </c>
      <c r="L1221" s="6" t="s">
        <v>242</v>
      </c>
      <c r="M1221" s="5" t="s">
        <v>267</v>
      </c>
      <c r="N1221" s="5" t="s">
        <v>265</v>
      </c>
      <c r="O1221" s="5" t="s">
        <v>238</v>
      </c>
      <c r="P1221" s="5" t="s">
        <v>238</v>
      </c>
      <c r="Q1221" s="5" t="s">
        <v>268</v>
      </c>
      <c r="R1221" s="5" t="s">
        <v>270</v>
      </c>
      <c r="S1221" s="5" t="s">
        <v>238</v>
      </c>
      <c r="V1221" s="5" t="s">
        <v>238</v>
      </c>
      <c r="X1221" s="6" t="s">
        <v>238</v>
      </c>
      <c r="AA1221" s="6" t="s">
        <v>243</v>
      </c>
      <c r="AB1221" s="5" t="s">
        <v>238</v>
      </c>
      <c r="AC1221" s="5" t="s">
        <v>244</v>
      </c>
      <c r="AD1221" s="5" t="s">
        <v>245</v>
      </c>
      <c r="AT1221" s="5" t="s">
        <v>246</v>
      </c>
      <c r="AU1221" s="5" t="s">
        <v>238</v>
      </c>
      <c r="AV1221" s="5" t="s">
        <v>247</v>
      </c>
      <c r="AW1221" s="5" t="s">
        <v>238</v>
      </c>
      <c r="AX1221" s="5" t="s">
        <v>249</v>
      </c>
      <c r="AY1221" s="5" t="s">
        <v>238</v>
      </c>
      <c r="BA1221" s="5" t="s">
        <v>238</v>
      </c>
      <c r="BC1221" s="5" t="s">
        <v>250</v>
      </c>
      <c r="BD1221" s="6" t="s">
        <v>243</v>
      </c>
      <c r="BE1221" s="5" t="s">
        <v>251</v>
      </c>
      <c r="BF1221" s="5" t="s">
        <v>252</v>
      </c>
      <c r="BG1221" s="5" t="s">
        <v>238</v>
      </c>
      <c r="BH1221" s="7">
        <f>0</f>
        <v>0</v>
      </c>
      <c r="BI1221" s="8">
        <f>0</f>
        <v>0</v>
      </c>
      <c r="BJ1221" s="5" t="s">
        <v>253</v>
      </c>
      <c r="BK1221" s="5" t="s">
        <v>254</v>
      </c>
      <c r="BY1221" s="5" t="s">
        <v>238</v>
      </c>
      <c r="BZ1221" s="5" t="s">
        <v>238</v>
      </c>
      <c r="CD1221" s="5" t="s">
        <v>273</v>
      </c>
      <c r="CE1221" s="5" t="s">
        <v>256</v>
      </c>
      <c r="CF1221" s="5" t="s">
        <v>238</v>
      </c>
      <c r="CI1221" s="6" t="s">
        <v>257</v>
      </c>
      <c r="CJ1221" s="5" t="s">
        <v>238</v>
      </c>
      <c r="CK1221" s="5" t="s">
        <v>258</v>
      </c>
      <c r="CL1221" s="5" t="s">
        <v>238</v>
      </c>
      <c r="CM1221" s="5" t="s">
        <v>238</v>
      </c>
      <c r="CN1221" s="5">
        <v>0</v>
      </c>
      <c r="CO1221" s="5" t="s">
        <v>259</v>
      </c>
      <c r="CP1221" s="5" t="s">
        <v>260</v>
      </c>
      <c r="CQ1221" s="5" t="s">
        <v>260</v>
      </c>
      <c r="CR1221" s="5" t="s">
        <v>261</v>
      </c>
      <c r="CU1221" s="8">
        <f>1</f>
        <v>1</v>
      </c>
      <c r="CV1221" s="8">
        <f>0</f>
        <v>0</v>
      </c>
      <c r="CX1221" s="8">
        <f>0</f>
        <v>0</v>
      </c>
      <c r="CY1221" s="8">
        <f>1</f>
        <v>1</v>
      </c>
      <c r="DA1221" s="5" t="s">
        <v>673</v>
      </c>
      <c r="DB1221" s="5" t="s">
        <v>238</v>
      </c>
      <c r="DD1221" s="5" t="s">
        <v>673</v>
      </c>
      <c r="DE1221" s="8">
        <f>1729</f>
        <v>1729</v>
      </c>
      <c r="DG1221" s="5" t="s">
        <v>238</v>
      </c>
      <c r="DH1221" s="5" t="s">
        <v>238</v>
      </c>
      <c r="DI1221" s="5" t="s">
        <v>238</v>
      </c>
      <c r="DJ1221" s="5" t="s">
        <v>238</v>
      </c>
      <c r="DN1221" s="5" t="s">
        <v>238</v>
      </c>
      <c r="DO1221" s="5" t="s">
        <v>238</v>
      </c>
      <c r="DP1221" s="5" t="s">
        <v>238</v>
      </c>
      <c r="DQ1221" s="5" t="s">
        <v>238</v>
      </c>
      <c r="DT1221" s="5" t="s">
        <v>2039</v>
      </c>
      <c r="DU1221" s="5" t="s">
        <v>1513</v>
      </c>
      <c r="HM1221" s="5" t="s">
        <v>264</v>
      </c>
    </row>
    <row r="1222" spans="1:221" x14ac:dyDescent="0.4">
      <c r="A1222" s="5">
        <v>2897</v>
      </c>
      <c r="B1222" s="5">
        <v>1</v>
      </c>
      <c r="C1222" s="5">
        <v>1</v>
      </c>
      <c r="D1222" s="5" t="s">
        <v>2037</v>
      </c>
      <c r="E1222" s="5" t="s">
        <v>271</v>
      </c>
      <c r="F1222" s="5" t="s">
        <v>248</v>
      </c>
      <c r="G1222" s="5" t="s">
        <v>1969</v>
      </c>
      <c r="H1222" s="6" t="s">
        <v>2847</v>
      </c>
      <c r="I1222" s="7">
        <f>697</f>
        <v>697</v>
      </c>
      <c r="J1222" s="5" t="s">
        <v>262</v>
      </c>
      <c r="K1222" s="8">
        <f>1</f>
        <v>1</v>
      </c>
      <c r="L1222" s="6" t="s">
        <v>242</v>
      </c>
      <c r="M1222" s="5" t="s">
        <v>267</v>
      </c>
      <c r="N1222" s="5" t="s">
        <v>265</v>
      </c>
      <c r="O1222" s="5" t="s">
        <v>238</v>
      </c>
      <c r="P1222" s="5" t="s">
        <v>238</v>
      </c>
      <c r="Q1222" s="5" t="s">
        <v>268</v>
      </c>
      <c r="R1222" s="5" t="s">
        <v>270</v>
      </c>
      <c r="S1222" s="5" t="s">
        <v>238</v>
      </c>
      <c r="V1222" s="5" t="s">
        <v>238</v>
      </c>
      <c r="X1222" s="6" t="s">
        <v>238</v>
      </c>
      <c r="AA1222" s="6" t="s">
        <v>243</v>
      </c>
      <c r="AB1222" s="5" t="s">
        <v>238</v>
      </c>
      <c r="AC1222" s="5" t="s">
        <v>244</v>
      </c>
      <c r="AD1222" s="5" t="s">
        <v>245</v>
      </c>
      <c r="AT1222" s="5" t="s">
        <v>246</v>
      </c>
      <c r="AU1222" s="5" t="s">
        <v>238</v>
      </c>
      <c r="AV1222" s="5" t="s">
        <v>247</v>
      </c>
      <c r="AW1222" s="5" t="s">
        <v>238</v>
      </c>
      <c r="AX1222" s="5" t="s">
        <v>249</v>
      </c>
      <c r="AY1222" s="5" t="s">
        <v>238</v>
      </c>
      <c r="BA1222" s="5" t="s">
        <v>238</v>
      </c>
      <c r="BC1222" s="5" t="s">
        <v>250</v>
      </c>
      <c r="BD1222" s="6" t="s">
        <v>243</v>
      </c>
      <c r="BE1222" s="5" t="s">
        <v>251</v>
      </c>
      <c r="BF1222" s="5" t="s">
        <v>252</v>
      </c>
      <c r="BG1222" s="5" t="s">
        <v>238</v>
      </c>
      <c r="BH1222" s="7">
        <f>0</f>
        <v>0</v>
      </c>
      <c r="BI1222" s="8">
        <f>0</f>
        <v>0</v>
      </c>
      <c r="BJ1222" s="5" t="s">
        <v>253</v>
      </c>
      <c r="BK1222" s="5" t="s">
        <v>254</v>
      </c>
      <c r="BY1222" s="5" t="s">
        <v>238</v>
      </c>
      <c r="BZ1222" s="5" t="s">
        <v>238</v>
      </c>
      <c r="CD1222" s="5" t="s">
        <v>273</v>
      </c>
      <c r="CE1222" s="5" t="s">
        <v>256</v>
      </c>
      <c r="CF1222" s="5" t="s">
        <v>238</v>
      </c>
      <c r="CI1222" s="6" t="s">
        <v>257</v>
      </c>
      <c r="CJ1222" s="5" t="s">
        <v>238</v>
      </c>
      <c r="CK1222" s="5" t="s">
        <v>258</v>
      </c>
      <c r="CL1222" s="5" t="s">
        <v>238</v>
      </c>
      <c r="CM1222" s="5" t="s">
        <v>238</v>
      </c>
      <c r="CN1222" s="5">
        <v>0</v>
      </c>
      <c r="CO1222" s="5" t="s">
        <v>259</v>
      </c>
      <c r="CP1222" s="5" t="s">
        <v>260</v>
      </c>
      <c r="CQ1222" s="5" t="s">
        <v>260</v>
      </c>
      <c r="CR1222" s="5" t="s">
        <v>261</v>
      </c>
      <c r="CU1222" s="8">
        <f>1</f>
        <v>1</v>
      </c>
      <c r="CV1222" s="8">
        <f>0</f>
        <v>0</v>
      </c>
      <c r="CX1222" s="8">
        <f>0</f>
        <v>0</v>
      </c>
      <c r="CY1222" s="8">
        <f>1</f>
        <v>1</v>
      </c>
      <c r="DA1222" s="5" t="s">
        <v>673</v>
      </c>
      <c r="DB1222" s="5" t="s">
        <v>238</v>
      </c>
      <c r="DD1222" s="5" t="s">
        <v>673</v>
      </c>
      <c r="DE1222" s="8">
        <f>697</f>
        <v>697</v>
      </c>
      <c r="DG1222" s="5" t="s">
        <v>238</v>
      </c>
      <c r="DH1222" s="5" t="s">
        <v>238</v>
      </c>
      <c r="DI1222" s="5" t="s">
        <v>238</v>
      </c>
      <c r="DJ1222" s="5" t="s">
        <v>238</v>
      </c>
      <c r="DN1222" s="5" t="s">
        <v>238</v>
      </c>
      <c r="DO1222" s="5" t="s">
        <v>238</v>
      </c>
      <c r="DP1222" s="5" t="s">
        <v>238</v>
      </c>
      <c r="DQ1222" s="5" t="s">
        <v>238</v>
      </c>
      <c r="DT1222" s="5" t="s">
        <v>2039</v>
      </c>
      <c r="DU1222" s="5" t="s">
        <v>1537</v>
      </c>
      <c r="HM1222" s="5" t="s">
        <v>264</v>
      </c>
    </row>
    <row r="1223" spans="1:221" x14ac:dyDescent="0.4">
      <c r="A1223" s="5">
        <v>2898</v>
      </c>
      <c r="B1223" s="5">
        <v>1</v>
      </c>
      <c r="C1223" s="5">
        <v>1</v>
      </c>
      <c r="D1223" s="5" t="s">
        <v>2037</v>
      </c>
      <c r="E1223" s="5" t="s">
        <v>271</v>
      </c>
      <c r="F1223" s="5" t="s">
        <v>248</v>
      </c>
      <c r="G1223" s="5" t="s">
        <v>1969</v>
      </c>
      <c r="H1223" s="6" t="s">
        <v>2844</v>
      </c>
      <c r="I1223" s="7">
        <f>882</f>
        <v>882</v>
      </c>
      <c r="J1223" s="5" t="s">
        <v>262</v>
      </c>
      <c r="K1223" s="8">
        <f>1</f>
        <v>1</v>
      </c>
      <c r="L1223" s="6" t="s">
        <v>242</v>
      </c>
      <c r="M1223" s="5" t="s">
        <v>267</v>
      </c>
      <c r="N1223" s="5" t="s">
        <v>265</v>
      </c>
      <c r="O1223" s="5" t="s">
        <v>238</v>
      </c>
      <c r="P1223" s="5" t="s">
        <v>238</v>
      </c>
      <c r="Q1223" s="5" t="s">
        <v>268</v>
      </c>
      <c r="R1223" s="5" t="s">
        <v>270</v>
      </c>
      <c r="S1223" s="5" t="s">
        <v>238</v>
      </c>
      <c r="V1223" s="5" t="s">
        <v>238</v>
      </c>
      <c r="X1223" s="6" t="s">
        <v>238</v>
      </c>
      <c r="AA1223" s="6" t="s">
        <v>243</v>
      </c>
      <c r="AB1223" s="5" t="s">
        <v>238</v>
      </c>
      <c r="AC1223" s="5" t="s">
        <v>244</v>
      </c>
      <c r="AD1223" s="5" t="s">
        <v>245</v>
      </c>
      <c r="AT1223" s="5" t="s">
        <v>246</v>
      </c>
      <c r="AU1223" s="5" t="s">
        <v>238</v>
      </c>
      <c r="AV1223" s="5" t="s">
        <v>247</v>
      </c>
      <c r="AW1223" s="5" t="s">
        <v>238</v>
      </c>
      <c r="AX1223" s="5" t="s">
        <v>249</v>
      </c>
      <c r="AY1223" s="5" t="s">
        <v>238</v>
      </c>
      <c r="BA1223" s="5" t="s">
        <v>238</v>
      </c>
      <c r="BC1223" s="5" t="s">
        <v>250</v>
      </c>
      <c r="BD1223" s="6" t="s">
        <v>243</v>
      </c>
      <c r="BE1223" s="5" t="s">
        <v>251</v>
      </c>
      <c r="BF1223" s="5" t="s">
        <v>252</v>
      </c>
      <c r="BG1223" s="5" t="s">
        <v>238</v>
      </c>
      <c r="BH1223" s="7">
        <f>0</f>
        <v>0</v>
      </c>
      <c r="BI1223" s="8">
        <f>0</f>
        <v>0</v>
      </c>
      <c r="BJ1223" s="5" t="s">
        <v>253</v>
      </c>
      <c r="BK1223" s="5" t="s">
        <v>254</v>
      </c>
      <c r="BY1223" s="5" t="s">
        <v>238</v>
      </c>
      <c r="BZ1223" s="5" t="s">
        <v>238</v>
      </c>
      <c r="CD1223" s="5" t="s">
        <v>273</v>
      </c>
      <c r="CE1223" s="5" t="s">
        <v>256</v>
      </c>
      <c r="CF1223" s="5" t="s">
        <v>238</v>
      </c>
      <c r="CI1223" s="6" t="s">
        <v>257</v>
      </c>
      <c r="CJ1223" s="5" t="s">
        <v>238</v>
      </c>
      <c r="CK1223" s="5" t="s">
        <v>258</v>
      </c>
      <c r="CL1223" s="5" t="s">
        <v>238</v>
      </c>
      <c r="CM1223" s="5" t="s">
        <v>238</v>
      </c>
      <c r="CN1223" s="5">
        <v>0</v>
      </c>
      <c r="CO1223" s="5" t="s">
        <v>259</v>
      </c>
      <c r="CP1223" s="5" t="s">
        <v>260</v>
      </c>
      <c r="CQ1223" s="5" t="s">
        <v>260</v>
      </c>
      <c r="CR1223" s="5" t="s">
        <v>261</v>
      </c>
      <c r="CU1223" s="8">
        <f>1</f>
        <v>1</v>
      </c>
      <c r="CV1223" s="8">
        <f>0</f>
        <v>0</v>
      </c>
      <c r="CX1223" s="8">
        <f>0</f>
        <v>0</v>
      </c>
      <c r="CY1223" s="8">
        <f>1</f>
        <v>1</v>
      </c>
      <c r="DA1223" s="5" t="s">
        <v>673</v>
      </c>
      <c r="DB1223" s="5" t="s">
        <v>238</v>
      </c>
      <c r="DD1223" s="5" t="s">
        <v>673</v>
      </c>
      <c r="DE1223" s="8">
        <f>882</f>
        <v>882</v>
      </c>
      <c r="DG1223" s="5" t="s">
        <v>238</v>
      </c>
      <c r="DH1223" s="5" t="s">
        <v>238</v>
      </c>
      <c r="DI1223" s="5" t="s">
        <v>238</v>
      </c>
      <c r="DJ1223" s="5" t="s">
        <v>238</v>
      </c>
      <c r="DN1223" s="5" t="s">
        <v>238</v>
      </c>
      <c r="DO1223" s="5" t="s">
        <v>238</v>
      </c>
      <c r="DP1223" s="5" t="s">
        <v>238</v>
      </c>
      <c r="DQ1223" s="5" t="s">
        <v>238</v>
      </c>
      <c r="DT1223" s="5" t="s">
        <v>2039</v>
      </c>
      <c r="DU1223" s="5" t="s">
        <v>1576</v>
      </c>
      <c r="HM1223" s="5" t="s">
        <v>264</v>
      </c>
    </row>
    <row r="1224" spans="1:221" x14ac:dyDescent="0.4">
      <c r="A1224" s="5">
        <v>2899</v>
      </c>
      <c r="B1224" s="5">
        <v>1</v>
      </c>
      <c r="C1224" s="5">
        <v>1</v>
      </c>
      <c r="D1224" s="5" t="s">
        <v>2037</v>
      </c>
      <c r="E1224" s="5" t="s">
        <v>271</v>
      </c>
      <c r="F1224" s="5" t="s">
        <v>248</v>
      </c>
      <c r="G1224" s="5" t="s">
        <v>1969</v>
      </c>
      <c r="H1224" s="6" t="s">
        <v>2843</v>
      </c>
      <c r="I1224" s="7">
        <f>8229</f>
        <v>8229</v>
      </c>
      <c r="J1224" s="5" t="s">
        <v>262</v>
      </c>
      <c r="K1224" s="8">
        <f>1</f>
        <v>1</v>
      </c>
      <c r="L1224" s="6" t="s">
        <v>242</v>
      </c>
      <c r="M1224" s="5" t="s">
        <v>267</v>
      </c>
      <c r="N1224" s="5" t="s">
        <v>265</v>
      </c>
      <c r="O1224" s="5" t="s">
        <v>238</v>
      </c>
      <c r="P1224" s="5" t="s">
        <v>238</v>
      </c>
      <c r="Q1224" s="5" t="s">
        <v>268</v>
      </c>
      <c r="R1224" s="5" t="s">
        <v>270</v>
      </c>
      <c r="S1224" s="5" t="s">
        <v>238</v>
      </c>
      <c r="V1224" s="5" t="s">
        <v>238</v>
      </c>
      <c r="X1224" s="6" t="s">
        <v>238</v>
      </c>
      <c r="AA1224" s="6" t="s">
        <v>243</v>
      </c>
      <c r="AB1224" s="5" t="s">
        <v>238</v>
      </c>
      <c r="AC1224" s="5" t="s">
        <v>244</v>
      </c>
      <c r="AD1224" s="5" t="s">
        <v>245</v>
      </c>
      <c r="AT1224" s="5" t="s">
        <v>246</v>
      </c>
      <c r="AU1224" s="5" t="s">
        <v>238</v>
      </c>
      <c r="AV1224" s="5" t="s">
        <v>247</v>
      </c>
      <c r="AW1224" s="5" t="s">
        <v>238</v>
      </c>
      <c r="AX1224" s="5" t="s">
        <v>249</v>
      </c>
      <c r="AY1224" s="5" t="s">
        <v>238</v>
      </c>
      <c r="BA1224" s="5" t="s">
        <v>238</v>
      </c>
      <c r="BC1224" s="5" t="s">
        <v>250</v>
      </c>
      <c r="BD1224" s="6" t="s">
        <v>243</v>
      </c>
      <c r="BE1224" s="5" t="s">
        <v>251</v>
      </c>
      <c r="BF1224" s="5" t="s">
        <v>252</v>
      </c>
      <c r="BG1224" s="5" t="s">
        <v>238</v>
      </c>
      <c r="BH1224" s="7">
        <f>0</f>
        <v>0</v>
      </c>
      <c r="BI1224" s="8">
        <f>0</f>
        <v>0</v>
      </c>
      <c r="BJ1224" s="5" t="s">
        <v>253</v>
      </c>
      <c r="BK1224" s="5" t="s">
        <v>254</v>
      </c>
      <c r="BY1224" s="5" t="s">
        <v>238</v>
      </c>
      <c r="BZ1224" s="5" t="s">
        <v>238</v>
      </c>
      <c r="CD1224" s="5" t="s">
        <v>273</v>
      </c>
      <c r="CE1224" s="5" t="s">
        <v>256</v>
      </c>
      <c r="CF1224" s="5" t="s">
        <v>238</v>
      </c>
      <c r="CI1224" s="6" t="s">
        <v>257</v>
      </c>
      <c r="CJ1224" s="5" t="s">
        <v>238</v>
      </c>
      <c r="CK1224" s="5" t="s">
        <v>258</v>
      </c>
      <c r="CL1224" s="5" t="s">
        <v>238</v>
      </c>
      <c r="CM1224" s="5" t="s">
        <v>238</v>
      </c>
      <c r="CN1224" s="5">
        <v>0</v>
      </c>
      <c r="CO1224" s="5" t="s">
        <v>259</v>
      </c>
      <c r="CP1224" s="5" t="s">
        <v>260</v>
      </c>
      <c r="CQ1224" s="5" t="s">
        <v>260</v>
      </c>
      <c r="CR1224" s="5" t="s">
        <v>261</v>
      </c>
      <c r="CU1224" s="8">
        <f>1</f>
        <v>1</v>
      </c>
      <c r="CV1224" s="8">
        <f>0</f>
        <v>0</v>
      </c>
      <c r="CX1224" s="8">
        <f>0</f>
        <v>0</v>
      </c>
      <c r="CY1224" s="8">
        <f>1</f>
        <v>1</v>
      </c>
      <c r="DA1224" s="5" t="s">
        <v>673</v>
      </c>
      <c r="DB1224" s="5" t="s">
        <v>238</v>
      </c>
      <c r="DD1224" s="5" t="s">
        <v>673</v>
      </c>
      <c r="DE1224" s="8">
        <f>8229</f>
        <v>8229</v>
      </c>
      <c r="DG1224" s="5" t="s">
        <v>238</v>
      </c>
      <c r="DH1224" s="5" t="s">
        <v>238</v>
      </c>
      <c r="DI1224" s="5" t="s">
        <v>238</v>
      </c>
      <c r="DJ1224" s="5" t="s">
        <v>238</v>
      </c>
      <c r="DN1224" s="5" t="s">
        <v>238</v>
      </c>
      <c r="DO1224" s="5" t="s">
        <v>238</v>
      </c>
      <c r="DP1224" s="5" t="s">
        <v>238</v>
      </c>
      <c r="DQ1224" s="5" t="s">
        <v>238</v>
      </c>
      <c r="DT1224" s="5" t="s">
        <v>2039</v>
      </c>
      <c r="DU1224" s="5" t="s">
        <v>1600</v>
      </c>
      <c r="HM1224" s="5" t="s">
        <v>264</v>
      </c>
    </row>
    <row r="1225" spans="1:221" x14ac:dyDescent="0.4">
      <c r="A1225" s="5">
        <v>2900</v>
      </c>
      <c r="B1225" s="5">
        <v>1</v>
      </c>
      <c r="C1225" s="5">
        <v>1</v>
      </c>
      <c r="D1225" s="5" t="s">
        <v>2037</v>
      </c>
      <c r="E1225" s="5" t="s">
        <v>271</v>
      </c>
      <c r="F1225" s="5" t="s">
        <v>248</v>
      </c>
      <c r="G1225" s="5" t="s">
        <v>1969</v>
      </c>
      <c r="H1225" s="6" t="s">
        <v>2841</v>
      </c>
      <c r="I1225" s="7">
        <f>2865</f>
        <v>2865</v>
      </c>
      <c r="J1225" s="5" t="s">
        <v>262</v>
      </c>
      <c r="K1225" s="8">
        <f>1</f>
        <v>1</v>
      </c>
      <c r="L1225" s="6" t="s">
        <v>242</v>
      </c>
      <c r="M1225" s="5" t="s">
        <v>267</v>
      </c>
      <c r="N1225" s="5" t="s">
        <v>265</v>
      </c>
      <c r="O1225" s="5" t="s">
        <v>238</v>
      </c>
      <c r="P1225" s="5" t="s">
        <v>238</v>
      </c>
      <c r="Q1225" s="5" t="s">
        <v>268</v>
      </c>
      <c r="R1225" s="5" t="s">
        <v>270</v>
      </c>
      <c r="S1225" s="5" t="s">
        <v>238</v>
      </c>
      <c r="V1225" s="5" t="s">
        <v>238</v>
      </c>
      <c r="X1225" s="6" t="s">
        <v>238</v>
      </c>
      <c r="AA1225" s="6" t="s">
        <v>243</v>
      </c>
      <c r="AB1225" s="5" t="s">
        <v>238</v>
      </c>
      <c r="AC1225" s="5" t="s">
        <v>244</v>
      </c>
      <c r="AD1225" s="5" t="s">
        <v>245</v>
      </c>
      <c r="AT1225" s="5" t="s">
        <v>246</v>
      </c>
      <c r="AU1225" s="5" t="s">
        <v>238</v>
      </c>
      <c r="AV1225" s="5" t="s">
        <v>247</v>
      </c>
      <c r="AW1225" s="5" t="s">
        <v>238</v>
      </c>
      <c r="AX1225" s="5" t="s">
        <v>249</v>
      </c>
      <c r="AY1225" s="5" t="s">
        <v>238</v>
      </c>
      <c r="BA1225" s="5" t="s">
        <v>238</v>
      </c>
      <c r="BC1225" s="5" t="s">
        <v>250</v>
      </c>
      <c r="BD1225" s="6" t="s">
        <v>243</v>
      </c>
      <c r="BE1225" s="5" t="s">
        <v>251</v>
      </c>
      <c r="BF1225" s="5" t="s">
        <v>252</v>
      </c>
      <c r="BG1225" s="5" t="s">
        <v>238</v>
      </c>
      <c r="BH1225" s="7">
        <f>0</f>
        <v>0</v>
      </c>
      <c r="BI1225" s="8">
        <f>0</f>
        <v>0</v>
      </c>
      <c r="BJ1225" s="5" t="s">
        <v>253</v>
      </c>
      <c r="BK1225" s="5" t="s">
        <v>254</v>
      </c>
      <c r="BY1225" s="5" t="s">
        <v>238</v>
      </c>
      <c r="BZ1225" s="5" t="s">
        <v>238</v>
      </c>
      <c r="CD1225" s="5" t="s">
        <v>273</v>
      </c>
      <c r="CE1225" s="5" t="s">
        <v>256</v>
      </c>
      <c r="CF1225" s="5" t="s">
        <v>238</v>
      </c>
      <c r="CI1225" s="6" t="s">
        <v>257</v>
      </c>
      <c r="CJ1225" s="5" t="s">
        <v>238</v>
      </c>
      <c r="CK1225" s="5" t="s">
        <v>258</v>
      </c>
      <c r="CL1225" s="5" t="s">
        <v>238</v>
      </c>
      <c r="CM1225" s="5" t="s">
        <v>238</v>
      </c>
      <c r="CN1225" s="5">
        <v>0</v>
      </c>
      <c r="CO1225" s="5" t="s">
        <v>259</v>
      </c>
      <c r="CP1225" s="5" t="s">
        <v>260</v>
      </c>
      <c r="CQ1225" s="5" t="s">
        <v>260</v>
      </c>
      <c r="CR1225" s="5" t="s">
        <v>261</v>
      </c>
      <c r="CU1225" s="8">
        <f>1</f>
        <v>1</v>
      </c>
      <c r="CV1225" s="8">
        <f>0</f>
        <v>0</v>
      </c>
      <c r="CX1225" s="8">
        <f>0</f>
        <v>0</v>
      </c>
      <c r="CY1225" s="8">
        <f>1</f>
        <v>1</v>
      </c>
      <c r="DA1225" s="5" t="s">
        <v>673</v>
      </c>
      <c r="DB1225" s="5" t="s">
        <v>238</v>
      </c>
      <c r="DD1225" s="5" t="s">
        <v>673</v>
      </c>
      <c r="DE1225" s="8">
        <f>2865</f>
        <v>2865</v>
      </c>
      <c r="DG1225" s="5" t="s">
        <v>238</v>
      </c>
      <c r="DH1225" s="5" t="s">
        <v>238</v>
      </c>
      <c r="DI1225" s="5" t="s">
        <v>238</v>
      </c>
      <c r="DJ1225" s="5" t="s">
        <v>238</v>
      </c>
      <c r="DN1225" s="5" t="s">
        <v>238</v>
      </c>
      <c r="DO1225" s="5" t="s">
        <v>238</v>
      </c>
      <c r="DP1225" s="5" t="s">
        <v>238</v>
      </c>
      <c r="DQ1225" s="5" t="s">
        <v>238</v>
      </c>
      <c r="DT1225" s="5" t="s">
        <v>2039</v>
      </c>
      <c r="DU1225" s="5" t="s">
        <v>1628</v>
      </c>
      <c r="HM1225" s="5" t="s">
        <v>264</v>
      </c>
    </row>
    <row r="1226" spans="1:221" x14ac:dyDescent="0.4">
      <c r="A1226" s="5">
        <v>2901</v>
      </c>
      <c r="B1226" s="5">
        <v>1</v>
      </c>
      <c r="C1226" s="5">
        <v>1</v>
      </c>
      <c r="D1226" s="5" t="s">
        <v>2037</v>
      </c>
      <c r="E1226" s="5" t="s">
        <v>271</v>
      </c>
      <c r="F1226" s="5" t="s">
        <v>248</v>
      </c>
      <c r="G1226" s="5" t="s">
        <v>1969</v>
      </c>
      <c r="H1226" s="6" t="s">
        <v>2839</v>
      </c>
      <c r="I1226" s="7">
        <f>1538</f>
        <v>1538</v>
      </c>
      <c r="J1226" s="5" t="s">
        <v>262</v>
      </c>
      <c r="K1226" s="8">
        <f>1</f>
        <v>1</v>
      </c>
      <c r="L1226" s="6" t="s">
        <v>242</v>
      </c>
      <c r="M1226" s="5" t="s">
        <v>267</v>
      </c>
      <c r="N1226" s="5" t="s">
        <v>265</v>
      </c>
      <c r="O1226" s="5" t="s">
        <v>238</v>
      </c>
      <c r="P1226" s="5" t="s">
        <v>238</v>
      </c>
      <c r="Q1226" s="5" t="s">
        <v>268</v>
      </c>
      <c r="R1226" s="5" t="s">
        <v>270</v>
      </c>
      <c r="S1226" s="5" t="s">
        <v>238</v>
      </c>
      <c r="V1226" s="5" t="s">
        <v>238</v>
      </c>
      <c r="X1226" s="6" t="s">
        <v>238</v>
      </c>
      <c r="AA1226" s="6" t="s">
        <v>243</v>
      </c>
      <c r="AB1226" s="5" t="s">
        <v>238</v>
      </c>
      <c r="AC1226" s="5" t="s">
        <v>244</v>
      </c>
      <c r="AD1226" s="5" t="s">
        <v>245</v>
      </c>
      <c r="AT1226" s="5" t="s">
        <v>246</v>
      </c>
      <c r="AU1226" s="5" t="s">
        <v>238</v>
      </c>
      <c r="AV1226" s="5" t="s">
        <v>247</v>
      </c>
      <c r="AW1226" s="5" t="s">
        <v>238</v>
      </c>
      <c r="AX1226" s="5" t="s">
        <v>249</v>
      </c>
      <c r="AY1226" s="5" t="s">
        <v>238</v>
      </c>
      <c r="BA1226" s="5" t="s">
        <v>238</v>
      </c>
      <c r="BC1226" s="5" t="s">
        <v>250</v>
      </c>
      <c r="BD1226" s="6" t="s">
        <v>243</v>
      </c>
      <c r="BE1226" s="5" t="s">
        <v>251</v>
      </c>
      <c r="BF1226" s="5" t="s">
        <v>252</v>
      </c>
      <c r="BG1226" s="5" t="s">
        <v>238</v>
      </c>
      <c r="BH1226" s="7">
        <f>0</f>
        <v>0</v>
      </c>
      <c r="BI1226" s="8">
        <f>0</f>
        <v>0</v>
      </c>
      <c r="BJ1226" s="5" t="s">
        <v>253</v>
      </c>
      <c r="BK1226" s="5" t="s">
        <v>254</v>
      </c>
      <c r="BY1226" s="5" t="s">
        <v>238</v>
      </c>
      <c r="BZ1226" s="5" t="s">
        <v>238</v>
      </c>
      <c r="CD1226" s="5" t="s">
        <v>273</v>
      </c>
      <c r="CE1226" s="5" t="s">
        <v>256</v>
      </c>
      <c r="CF1226" s="5" t="s">
        <v>238</v>
      </c>
      <c r="CI1226" s="6" t="s">
        <v>257</v>
      </c>
      <c r="CJ1226" s="5" t="s">
        <v>238</v>
      </c>
      <c r="CK1226" s="5" t="s">
        <v>258</v>
      </c>
      <c r="CL1226" s="5" t="s">
        <v>238</v>
      </c>
      <c r="CM1226" s="5" t="s">
        <v>238</v>
      </c>
      <c r="CN1226" s="5">
        <v>0</v>
      </c>
      <c r="CO1226" s="5" t="s">
        <v>259</v>
      </c>
      <c r="CP1226" s="5" t="s">
        <v>260</v>
      </c>
      <c r="CQ1226" s="5" t="s">
        <v>260</v>
      </c>
      <c r="CR1226" s="5" t="s">
        <v>261</v>
      </c>
      <c r="CU1226" s="8">
        <f>1</f>
        <v>1</v>
      </c>
      <c r="CV1226" s="8">
        <f>0</f>
        <v>0</v>
      </c>
      <c r="CX1226" s="8">
        <f>0</f>
        <v>0</v>
      </c>
      <c r="CY1226" s="8">
        <f>1</f>
        <v>1</v>
      </c>
      <c r="DA1226" s="5" t="s">
        <v>673</v>
      </c>
      <c r="DB1226" s="5" t="s">
        <v>238</v>
      </c>
      <c r="DD1226" s="5" t="s">
        <v>673</v>
      </c>
      <c r="DE1226" s="8">
        <f>1538</f>
        <v>1538</v>
      </c>
      <c r="DG1226" s="5" t="s">
        <v>238</v>
      </c>
      <c r="DH1226" s="5" t="s">
        <v>238</v>
      </c>
      <c r="DI1226" s="5" t="s">
        <v>238</v>
      </c>
      <c r="DJ1226" s="5" t="s">
        <v>238</v>
      </c>
      <c r="DN1226" s="5" t="s">
        <v>238</v>
      </c>
      <c r="DO1226" s="5" t="s">
        <v>238</v>
      </c>
      <c r="DP1226" s="5" t="s">
        <v>238</v>
      </c>
      <c r="DQ1226" s="5" t="s">
        <v>238</v>
      </c>
      <c r="DT1226" s="5" t="s">
        <v>2039</v>
      </c>
      <c r="DU1226" s="5" t="s">
        <v>1640</v>
      </c>
      <c r="HM1226" s="5" t="s">
        <v>264</v>
      </c>
    </row>
    <row r="1227" spans="1:221" x14ac:dyDescent="0.4">
      <c r="A1227" s="5">
        <v>2902</v>
      </c>
      <c r="B1227" s="5">
        <v>1</v>
      </c>
      <c r="C1227" s="5">
        <v>1</v>
      </c>
      <c r="D1227" s="5" t="s">
        <v>2037</v>
      </c>
      <c r="E1227" s="5" t="s">
        <v>271</v>
      </c>
      <c r="F1227" s="5" t="s">
        <v>248</v>
      </c>
      <c r="G1227" s="5" t="s">
        <v>1969</v>
      </c>
      <c r="H1227" s="6" t="s">
        <v>2835</v>
      </c>
      <c r="I1227" s="7">
        <f>2606</f>
        <v>2606</v>
      </c>
      <c r="J1227" s="5" t="s">
        <v>262</v>
      </c>
      <c r="K1227" s="8">
        <f>1</f>
        <v>1</v>
      </c>
      <c r="L1227" s="6" t="s">
        <v>242</v>
      </c>
      <c r="M1227" s="5" t="s">
        <v>267</v>
      </c>
      <c r="N1227" s="5" t="s">
        <v>265</v>
      </c>
      <c r="O1227" s="5" t="s">
        <v>238</v>
      </c>
      <c r="P1227" s="5" t="s">
        <v>238</v>
      </c>
      <c r="Q1227" s="5" t="s">
        <v>268</v>
      </c>
      <c r="R1227" s="5" t="s">
        <v>270</v>
      </c>
      <c r="S1227" s="5" t="s">
        <v>238</v>
      </c>
      <c r="V1227" s="5" t="s">
        <v>238</v>
      </c>
      <c r="X1227" s="6" t="s">
        <v>238</v>
      </c>
      <c r="AA1227" s="6" t="s">
        <v>243</v>
      </c>
      <c r="AB1227" s="5" t="s">
        <v>238</v>
      </c>
      <c r="AC1227" s="5" t="s">
        <v>244</v>
      </c>
      <c r="AD1227" s="5" t="s">
        <v>245</v>
      </c>
      <c r="AT1227" s="5" t="s">
        <v>246</v>
      </c>
      <c r="AU1227" s="5" t="s">
        <v>238</v>
      </c>
      <c r="AV1227" s="5" t="s">
        <v>247</v>
      </c>
      <c r="AW1227" s="5" t="s">
        <v>238</v>
      </c>
      <c r="AX1227" s="5" t="s">
        <v>249</v>
      </c>
      <c r="AY1227" s="5" t="s">
        <v>238</v>
      </c>
      <c r="BA1227" s="5" t="s">
        <v>238</v>
      </c>
      <c r="BC1227" s="5" t="s">
        <v>250</v>
      </c>
      <c r="BD1227" s="6" t="s">
        <v>243</v>
      </c>
      <c r="BE1227" s="5" t="s">
        <v>251</v>
      </c>
      <c r="BF1227" s="5" t="s">
        <v>252</v>
      </c>
      <c r="BG1227" s="5" t="s">
        <v>238</v>
      </c>
      <c r="BH1227" s="7">
        <f>0</f>
        <v>0</v>
      </c>
      <c r="BI1227" s="8">
        <f>0</f>
        <v>0</v>
      </c>
      <c r="BJ1227" s="5" t="s">
        <v>253</v>
      </c>
      <c r="BK1227" s="5" t="s">
        <v>254</v>
      </c>
      <c r="BY1227" s="5" t="s">
        <v>238</v>
      </c>
      <c r="BZ1227" s="5" t="s">
        <v>238</v>
      </c>
      <c r="CD1227" s="5" t="s">
        <v>273</v>
      </c>
      <c r="CE1227" s="5" t="s">
        <v>256</v>
      </c>
      <c r="CF1227" s="5" t="s">
        <v>238</v>
      </c>
      <c r="CI1227" s="6" t="s">
        <v>257</v>
      </c>
      <c r="CJ1227" s="5" t="s">
        <v>238</v>
      </c>
      <c r="CK1227" s="5" t="s">
        <v>258</v>
      </c>
      <c r="CL1227" s="5" t="s">
        <v>238</v>
      </c>
      <c r="CM1227" s="5" t="s">
        <v>238</v>
      </c>
      <c r="CN1227" s="5">
        <v>0</v>
      </c>
      <c r="CO1227" s="5" t="s">
        <v>259</v>
      </c>
      <c r="CP1227" s="5" t="s">
        <v>260</v>
      </c>
      <c r="CQ1227" s="5" t="s">
        <v>260</v>
      </c>
      <c r="CR1227" s="5" t="s">
        <v>261</v>
      </c>
      <c r="CU1227" s="8">
        <f>1</f>
        <v>1</v>
      </c>
      <c r="CV1227" s="8">
        <f>0</f>
        <v>0</v>
      </c>
      <c r="CX1227" s="8">
        <f>0</f>
        <v>0</v>
      </c>
      <c r="CY1227" s="8">
        <f>1</f>
        <v>1</v>
      </c>
      <c r="DA1227" s="5" t="s">
        <v>673</v>
      </c>
      <c r="DB1227" s="5" t="s">
        <v>238</v>
      </c>
      <c r="DD1227" s="5" t="s">
        <v>673</v>
      </c>
      <c r="DE1227" s="8">
        <f>2606</f>
        <v>2606</v>
      </c>
      <c r="DG1227" s="5" t="s">
        <v>238</v>
      </c>
      <c r="DH1227" s="5" t="s">
        <v>238</v>
      </c>
      <c r="DI1227" s="5" t="s">
        <v>238</v>
      </c>
      <c r="DJ1227" s="5" t="s">
        <v>238</v>
      </c>
      <c r="DN1227" s="5" t="s">
        <v>238</v>
      </c>
      <c r="DO1227" s="5" t="s">
        <v>238</v>
      </c>
      <c r="DP1227" s="5" t="s">
        <v>238</v>
      </c>
      <c r="DQ1227" s="5" t="s">
        <v>238</v>
      </c>
      <c r="DT1227" s="5" t="s">
        <v>2039</v>
      </c>
      <c r="DU1227" s="5" t="s">
        <v>1722</v>
      </c>
      <c r="HM1227" s="5" t="s">
        <v>264</v>
      </c>
    </row>
    <row r="1228" spans="1:221" x14ac:dyDescent="0.4">
      <c r="A1228" s="5">
        <v>2903</v>
      </c>
      <c r="B1228" s="5">
        <v>1</v>
      </c>
      <c r="C1228" s="5">
        <v>1</v>
      </c>
      <c r="D1228" s="5" t="s">
        <v>2037</v>
      </c>
      <c r="E1228" s="5" t="s">
        <v>271</v>
      </c>
      <c r="F1228" s="5" t="s">
        <v>248</v>
      </c>
      <c r="G1228" s="5" t="s">
        <v>1969</v>
      </c>
      <c r="H1228" s="6" t="s">
        <v>2834</v>
      </c>
      <c r="I1228" s="7">
        <f>452</f>
        <v>452</v>
      </c>
      <c r="J1228" s="5" t="s">
        <v>262</v>
      </c>
      <c r="K1228" s="8">
        <f>1</f>
        <v>1</v>
      </c>
      <c r="L1228" s="6" t="s">
        <v>242</v>
      </c>
      <c r="M1228" s="5" t="s">
        <v>267</v>
      </c>
      <c r="N1228" s="5" t="s">
        <v>265</v>
      </c>
      <c r="O1228" s="5" t="s">
        <v>238</v>
      </c>
      <c r="P1228" s="5" t="s">
        <v>238</v>
      </c>
      <c r="Q1228" s="5" t="s">
        <v>268</v>
      </c>
      <c r="R1228" s="5" t="s">
        <v>270</v>
      </c>
      <c r="S1228" s="5" t="s">
        <v>238</v>
      </c>
      <c r="V1228" s="5" t="s">
        <v>238</v>
      </c>
      <c r="X1228" s="6" t="s">
        <v>238</v>
      </c>
      <c r="AA1228" s="6" t="s">
        <v>243</v>
      </c>
      <c r="AB1228" s="5" t="s">
        <v>238</v>
      </c>
      <c r="AC1228" s="5" t="s">
        <v>244</v>
      </c>
      <c r="AD1228" s="5" t="s">
        <v>245</v>
      </c>
      <c r="AT1228" s="5" t="s">
        <v>246</v>
      </c>
      <c r="AU1228" s="5" t="s">
        <v>238</v>
      </c>
      <c r="AV1228" s="5" t="s">
        <v>247</v>
      </c>
      <c r="AW1228" s="5" t="s">
        <v>238</v>
      </c>
      <c r="AX1228" s="5" t="s">
        <v>249</v>
      </c>
      <c r="AY1228" s="5" t="s">
        <v>238</v>
      </c>
      <c r="BA1228" s="5" t="s">
        <v>238</v>
      </c>
      <c r="BC1228" s="5" t="s">
        <v>250</v>
      </c>
      <c r="BD1228" s="6" t="s">
        <v>243</v>
      </c>
      <c r="BE1228" s="5" t="s">
        <v>251</v>
      </c>
      <c r="BF1228" s="5" t="s">
        <v>252</v>
      </c>
      <c r="BG1228" s="5" t="s">
        <v>238</v>
      </c>
      <c r="BH1228" s="7">
        <f>0</f>
        <v>0</v>
      </c>
      <c r="BI1228" s="8">
        <f>0</f>
        <v>0</v>
      </c>
      <c r="BJ1228" s="5" t="s">
        <v>253</v>
      </c>
      <c r="BK1228" s="5" t="s">
        <v>254</v>
      </c>
      <c r="BY1228" s="5" t="s">
        <v>238</v>
      </c>
      <c r="BZ1228" s="5" t="s">
        <v>238</v>
      </c>
      <c r="CD1228" s="5" t="s">
        <v>273</v>
      </c>
      <c r="CE1228" s="5" t="s">
        <v>256</v>
      </c>
      <c r="CF1228" s="5" t="s">
        <v>238</v>
      </c>
      <c r="CI1228" s="6" t="s">
        <v>257</v>
      </c>
      <c r="CJ1228" s="5" t="s">
        <v>238</v>
      </c>
      <c r="CK1228" s="5" t="s">
        <v>258</v>
      </c>
      <c r="CL1228" s="5" t="s">
        <v>238</v>
      </c>
      <c r="CM1228" s="5" t="s">
        <v>238</v>
      </c>
      <c r="CN1228" s="5">
        <v>0</v>
      </c>
      <c r="CO1228" s="5" t="s">
        <v>259</v>
      </c>
      <c r="CP1228" s="5" t="s">
        <v>260</v>
      </c>
      <c r="CQ1228" s="5" t="s">
        <v>260</v>
      </c>
      <c r="CR1228" s="5" t="s">
        <v>261</v>
      </c>
      <c r="CU1228" s="8">
        <f>1</f>
        <v>1</v>
      </c>
      <c r="CV1228" s="8">
        <f>0</f>
        <v>0</v>
      </c>
      <c r="CX1228" s="8">
        <f>0</f>
        <v>0</v>
      </c>
      <c r="CY1228" s="8">
        <f>1</f>
        <v>1</v>
      </c>
      <c r="DA1228" s="5" t="s">
        <v>673</v>
      </c>
      <c r="DB1228" s="5" t="s">
        <v>238</v>
      </c>
      <c r="DD1228" s="5" t="s">
        <v>673</v>
      </c>
      <c r="DE1228" s="8">
        <f>452</f>
        <v>452</v>
      </c>
      <c r="DG1228" s="5" t="s">
        <v>238</v>
      </c>
      <c r="DH1228" s="5" t="s">
        <v>238</v>
      </c>
      <c r="DI1228" s="5" t="s">
        <v>238</v>
      </c>
      <c r="DJ1228" s="5" t="s">
        <v>238</v>
      </c>
      <c r="DN1228" s="5" t="s">
        <v>238</v>
      </c>
      <c r="DO1228" s="5" t="s">
        <v>238</v>
      </c>
      <c r="DP1228" s="5" t="s">
        <v>238</v>
      </c>
      <c r="DQ1228" s="5" t="s">
        <v>238</v>
      </c>
      <c r="DT1228" s="5" t="s">
        <v>2039</v>
      </c>
      <c r="DU1228" s="5" t="s">
        <v>1754</v>
      </c>
      <c r="HM1228" s="5" t="s">
        <v>264</v>
      </c>
    </row>
    <row r="1229" spans="1:221" x14ac:dyDescent="0.4">
      <c r="A1229" s="5">
        <v>2904</v>
      </c>
      <c r="B1229" s="5">
        <v>1</v>
      </c>
      <c r="C1229" s="5">
        <v>1</v>
      </c>
      <c r="D1229" s="5" t="s">
        <v>2037</v>
      </c>
      <c r="E1229" s="5" t="s">
        <v>271</v>
      </c>
      <c r="F1229" s="5" t="s">
        <v>248</v>
      </c>
      <c r="G1229" s="5" t="s">
        <v>1969</v>
      </c>
      <c r="H1229" s="6" t="s">
        <v>2833</v>
      </c>
      <c r="I1229" s="7">
        <f>1507</f>
        <v>1507</v>
      </c>
      <c r="J1229" s="5" t="s">
        <v>262</v>
      </c>
      <c r="K1229" s="8">
        <f>1</f>
        <v>1</v>
      </c>
      <c r="L1229" s="6" t="s">
        <v>242</v>
      </c>
      <c r="M1229" s="5" t="s">
        <v>267</v>
      </c>
      <c r="N1229" s="5" t="s">
        <v>265</v>
      </c>
      <c r="O1229" s="5" t="s">
        <v>238</v>
      </c>
      <c r="P1229" s="5" t="s">
        <v>238</v>
      </c>
      <c r="Q1229" s="5" t="s">
        <v>268</v>
      </c>
      <c r="R1229" s="5" t="s">
        <v>270</v>
      </c>
      <c r="S1229" s="5" t="s">
        <v>238</v>
      </c>
      <c r="V1229" s="5" t="s">
        <v>238</v>
      </c>
      <c r="X1229" s="6" t="s">
        <v>238</v>
      </c>
      <c r="AA1229" s="6" t="s">
        <v>243</v>
      </c>
      <c r="AB1229" s="5" t="s">
        <v>238</v>
      </c>
      <c r="AC1229" s="5" t="s">
        <v>244</v>
      </c>
      <c r="AD1229" s="5" t="s">
        <v>245</v>
      </c>
      <c r="AT1229" s="5" t="s">
        <v>246</v>
      </c>
      <c r="AU1229" s="5" t="s">
        <v>238</v>
      </c>
      <c r="AV1229" s="5" t="s">
        <v>247</v>
      </c>
      <c r="AW1229" s="5" t="s">
        <v>238</v>
      </c>
      <c r="AX1229" s="5" t="s">
        <v>249</v>
      </c>
      <c r="AY1229" s="5" t="s">
        <v>238</v>
      </c>
      <c r="BA1229" s="5" t="s">
        <v>238</v>
      </c>
      <c r="BC1229" s="5" t="s">
        <v>250</v>
      </c>
      <c r="BD1229" s="6" t="s">
        <v>243</v>
      </c>
      <c r="BE1229" s="5" t="s">
        <v>251</v>
      </c>
      <c r="BF1229" s="5" t="s">
        <v>252</v>
      </c>
      <c r="BG1229" s="5" t="s">
        <v>238</v>
      </c>
      <c r="BH1229" s="7">
        <f>0</f>
        <v>0</v>
      </c>
      <c r="BI1229" s="8">
        <f>0</f>
        <v>0</v>
      </c>
      <c r="BJ1229" s="5" t="s">
        <v>253</v>
      </c>
      <c r="BK1229" s="5" t="s">
        <v>254</v>
      </c>
      <c r="BY1229" s="5" t="s">
        <v>238</v>
      </c>
      <c r="BZ1229" s="5" t="s">
        <v>238</v>
      </c>
      <c r="CD1229" s="5" t="s">
        <v>273</v>
      </c>
      <c r="CE1229" s="5" t="s">
        <v>256</v>
      </c>
      <c r="CF1229" s="5" t="s">
        <v>238</v>
      </c>
      <c r="CI1229" s="6" t="s">
        <v>257</v>
      </c>
      <c r="CJ1229" s="5" t="s">
        <v>238</v>
      </c>
      <c r="CK1229" s="5" t="s">
        <v>258</v>
      </c>
      <c r="CL1229" s="5" t="s">
        <v>238</v>
      </c>
      <c r="CM1229" s="5" t="s">
        <v>238</v>
      </c>
      <c r="CN1229" s="5">
        <v>0</v>
      </c>
      <c r="CO1229" s="5" t="s">
        <v>259</v>
      </c>
      <c r="CP1229" s="5" t="s">
        <v>260</v>
      </c>
      <c r="CQ1229" s="5" t="s">
        <v>260</v>
      </c>
      <c r="CR1229" s="5" t="s">
        <v>261</v>
      </c>
      <c r="CU1229" s="8">
        <f>1</f>
        <v>1</v>
      </c>
      <c r="CV1229" s="8">
        <f>0</f>
        <v>0</v>
      </c>
      <c r="CX1229" s="8">
        <f>0</f>
        <v>0</v>
      </c>
      <c r="CY1229" s="8">
        <f>1</f>
        <v>1</v>
      </c>
      <c r="DA1229" s="5" t="s">
        <v>673</v>
      </c>
      <c r="DB1229" s="5" t="s">
        <v>238</v>
      </c>
      <c r="DD1229" s="5" t="s">
        <v>673</v>
      </c>
      <c r="DE1229" s="8">
        <f>1507</f>
        <v>1507</v>
      </c>
      <c r="DG1229" s="5" t="s">
        <v>238</v>
      </c>
      <c r="DH1229" s="5" t="s">
        <v>238</v>
      </c>
      <c r="DI1229" s="5" t="s">
        <v>238</v>
      </c>
      <c r="DJ1229" s="5" t="s">
        <v>238</v>
      </c>
      <c r="DN1229" s="5" t="s">
        <v>238</v>
      </c>
      <c r="DO1229" s="5" t="s">
        <v>238</v>
      </c>
      <c r="DP1229" s="5" t="s">
        <v>238</v>
      </c>
      <c r="DQ1229" s="5" t="s">
        <v>238</v>
      </c>
      <c r="DT1229" s="5" t="s">
        <v>2039</v>
      </c>
      <c r="DU1229" s="5" t="s">
        <v>1782</v>
      </c>
      <c r="HM1229" s="5" t="s">
        <v>264</v>
      </c>
    </row>
    <row r="1230" spans="1:221" x14ac:dyDescent="0.4">
      <c r="A1230" s="5">
        <v>2905</v>
      </c>
      <c r="B1230" s="5">
        <v>1</v>
      </c>
      <c r="C1230" s="5">
        <v>1</v>
      </c>
      <c r="D1230" s="5" t="s">
        <v>2037</v>
      </c>
      <c r="E1230" s="5" t="s">
        <v>271</v>
      </c>
      <c r="F1230" s="5" t="s">
        <v>248</v>
      </c>
      <c r="G1230" s="5" t="s">
        <v>1969</v>
      </c>
      <c r="H1230" s="6" t="s">
        <v>2832</v>
      </c>
      <c r="I1230" s="7">
        <f>3128</f>
        <v>3128</v>
      </c>
      <c r="J1230" s="5" t="s">
        <v>262</v>
      </c>
      <c r="K1230" s="8">
        <f>1</f>
        <v>1</v>
      </c>
      <c r="L1230" s="6" t="s">
        <v>242</v>
      </c>
      <c r="M1230" s="5" t="s">
        <v>267</v>
      </c>
      <c r="N1230" s="5" t="s">
        <v>265</v>
      </c>
      <c r="O1230" s="5" t="s">
        <v>238</v>
      </c>
      <c r="P1230" s="5" t="s">
        <v>238</v>
      </c>
      <c r="Q1230" s="5" t="s">
        <v>268</v>
      </c>
      <c r="R1230" s="5" t="s">
        <v>270</v>
      </c>
      <c r="S1230" s="5" t="s">
        <v>238</v>
      </c>
      <c r="V1230" s="5" t="s">
        <v>238</v>
      </c>
      <c r="X1230" s="6" t="s">
        <v>238</v>
      </c>
      <c r="AA1230" s="6" t="s">
        <v>243</v>
      </c>
      <c r="AB1230" s="5" t="s">
        <v>238</v>
      </c>
      <c r="AC1230" s="5" t="s">
        <v>244</v>
      </c>
      <c r="AD1230" s="5" t="s">
        <v>245</v>
      </c>
      <c r="AT1230" s="5" t="s">
        <v>246</v>
      </c>
      <c r="AU1230" s="5" t="s">
        <v>238</v>
      </c>
      <c r="AV1230" s="5" t="s">
        <v>247</v>
      </c>
      <c r="AW1230" s="5" t="s">
        <v>238</v>
      </c>
      <c r="AX1230" s="5" t="s">
        <v>249</v>
      </c>
      <c r="AY1230" s="5" t="s">
        <v>238</v>
      </c>
      <c r="BA1230" s="5" t="s">
        <v>238</v>
      </c>
      <c r="BC1230" s="5" t="s">
        <v>250</v>
      </c>
      <c r="BD1230" s="6" t="s">
        <v>243</v>
      </c>
      <c r="BE1230" s="5" t="s">
        <v>251</v>
      </c>
      <c r="BF1230" s="5" t="s">
        <v>252</v>
      </c>
      <c r="BG1230" s="5" t="s">
        <v>238</v>
      </c>
      <c r="BH1230" s="7">
        <f>0</f>
        <v>0</v>
      </c>
      <c r="BI1230" s="8">
        <f>0</f>
        <v>0</v>
      </c>
      <c r="BJ1230" s="5" t="s">
        <v>253</v>
      </c>
      <c r="BK1230" s="5" t="s">
        <v>254</v>
      </c>
      <c r="BY1230" s="5" t="s">
        <v>238</v>
      </c>
      <c r="BZ1230" s="5" t="s">
        <v>238</v>
      </c>
      <c r="CD1230" s="5" t="s">
        <v>273</v>
      </c>
      <c r="CE1230" s="5" t="s">
        <v>256</v>
      </c>
      <c r="CF1230" s="5" t="s">
        <v>238</v>
      </c>
      <c r="CI1230" s="6" t="s">
        <v>257</v>
      </c>
      <c r="CJ1230" s="5" t="s">
        <v>238</v>
      </c>
      <c r="CK1230" s="5" t="s">
        <v>258</v>
      </c>
      <c r="CL1230" s="5" t="s">
        <v>238</v>
      </c>
      <c r="CM1230" s="5" t="s">
        <v>238</v>
      </c>
      <c r="CN1230" s="5">
        <v>0</v>
      </c>
      <c r="CO1230" s="5" t="s">
        <v>259</v>
      </c>
      <c r="CP1230" s="5" t="s">
        <v>260</v>
      </c>
      <c r="CQ1230" s="5" t="s">
        <v>260</v>
      </c>
      <c r="CR1230" s="5" t="s">
        <v>261</v>
      </c>
      <c r="CU1230" s="8">
        <f>1</f>
        <v>1</v>
      </c>
      <c r="CV1230" s="8">
        <f>0</f>
        <v>0</v>
      </c>
      <c r="CX1230" s="8">
        <f>0</f>
        <v>0</v>
      </c>
      <c r="CY1230" s="8">
        <f>1</f>
        <v>1</v>
      </c>
      <c r="DA1230" s="5" t="s">
        <v>673</v>
      </c>
      <c r="DB1230" s="5" t="s">
        <v>238</v>
      </c>
      <c r="DD1230" s="5" t="s">
        <v>673</v>
      </c>
      <c r="DE1230" s="8">
        <f>3128</f>
        <v>3128</v>
      </c>
      <c r="DG1230" s="5" t="s">
        <v>238</v>
      </c>
      <c r="DH1230" s="5" t="s">
        <v>238</v>
      </c>
      <c r="DI1230" s="5" t="s">
        <v>238</v>
      </c>
      <c r="DJ1230" s="5" t="s">
        <v>238</v>
      </c>
      <c r="DN1230" s="5" t="s">
        <v>238</v>
      </c>
      <c r="DO1230" s="5" t="s">
        <v>238</v>
      </c>
      <c r="DP1230" s="5" t="s">
        <v>238</v>
      </c>
      <c r="DQ1230" s="5" t="s">
        <v>238</v>
      </c>
      <c r="DT1230" s="5" t="s">
        <v>2039</v>
      </c>
      <c r="DU1230" s="5" t="s">
        <v>1798</v>
      </c>
      <c r="HM1230" s="5" t="s">
        <v>264</v>
      </c>
    </row>
    <row r="1231" spans="1:221" x14ac:dyDescent="0.4">
      <c r="A1231" s="5">
        <v>2906</v>
      </c>
      <c r="B1231" s="5">
        <v>1</v>
      </c>
      <c r="C1231" s="5">
        <v>1</v>
      </c>
      <c r="D1231" s="5" t="s">
        <v>2037</v>
      </c>
      <c r="E1231" s="5" t="s">
        <v>271</v>
      </c>
      <c r="F1231" s="5" t="s">
        <v>248</v>
      </c>
      <c r="G1231" s="5" t="s">
        <v>1969</v>
      </c>
      <c r="H1231" s="6" t="s">
        <v>2831</v>
      </c>
      <c r="I1231" s="7">
        <f>777</f>
        <v>777</v>
      </c>
      <c r="J1231" s="5" t="s">
        <v>262</v>
      </c>
      <c r="K1231" s="8">
        <f>1</f>
        <v>1</v>
      </c>
      <c r="L1231" s="6" t="s">
        <v>242</v>
      </c>
      <c r="M1231" s="5" t="s">
        <v>267</v>
      </c>
      <c r="N1231" s="5" t="s">
        <v>265</v>
      </c>
      <c r="O1231" s="5" t="s">
        <v>238</v>
      </c>
      <c r="P1231" s="5" t="s">
        <v>238</v>
      </c>
      <c r="Q1231" s="5" t="s">
        <v>268</v>
      </c>
      <c r="R1231" s="5" t="s">
        <v>270</v>
      </c>
      <c r="S1231" s="5" t="s">
        <v>238</v>
      </c>
      <c r="V1231" s="5" t="s">
        <v>238</v>
      </c>
      <c r="X1231" s="6" t="s">
        <v>238</v>
      </c>
      <c r="AA1231" s="6" t="s">
        <v>243</v>
      </c>
      <c r="AB1231" s="5" t="s">
        <v>238</v>
      </c>
      <c r="AC1231" s="5" t="s">
        <v>244</v>
      </c>
      <c r="AD1231" s="5" t="s">
        <v>245</v>
      </c>
      <c r="AT1231" s="5" t="s">
        <v>246</v>
      </c>
      <c r="AU1231" s="5" t="s">
        <v>238</v>
      </c>
      <c r="AV1231" s="5" t="s">
        <v>247</v>
      </c>
      <c r="AW1231" s="5" t="s">
        <v>238</v>
      </c>
      <c r="AX1231" s="5" t="s">
        <v>249</v>
      </c>
      <c r="AY1231" s="5" t="s">
        <v>238</v>
      </c>
      <c r="BA1231" s="5" t="s">
        <v>238</v>
      </c>
      <c r="BC1231" s="5" t="s">
        <v>250</v>
      </c>
      <c r="BD1231" s="6" t="s">
        <v>243</v>
      </c>
      <c r="BE1231" s="5" t="s">
        <v>251</v>
      </c>
      <c r="BF1231" s="5" t="s">
        <v>252</v>
      </c>
      <c r="BG1231" s="5" t="s">
        <v>238</v>
      </c>
      <c r="BH1231" s="7">
        <f>0</f>
        <v>0</v>
      </c>
      <c r="BI1231" s="8">
        <f>0</f>
        <v>0</v>
      </c>
      <c r="BJ1231" s="5" t="s">
        <v>253</v>
      </c>
      <c r="BK1231" s="5" t="s">
        <v>254</v>
      </c>
      <c r="BY1231" s="5" t="s">
        <v>238</v>
      </c>
      <c r="BZ1231" s="5" t="s">
        <v>238</v>
      </c>
      <c r="CD1231" s="5" t="s">
        <v>273</v>
      </c>
      <c r="CE1231" s="5" t="s">
        <v>256</v>
      </c>
      <c r="CF1231" s="5" t="s">
        <v>238</v>
      </c>
      <c r="CI1231" s="6" t="s">
        <v>257</v>
      </c>
      <c r="CJ1231" s="5" t="s">
        <v>238</v>
      </c>
      <c r="CK1231" s="5" t="s">
        <v>258</v>
      </c>
      <c r="CL1231" s="5" t="s">
        <v>238</v>
      </c>
      <c r="CM1231" s="5" t="s">
        <v>238</v>
      </c>
      <c r="CN1231" s="5">
        <v>0</v>
      </c>
      <c r="CO1231" s="5" t="s">
        <v>259</v>
      </c>
      <c r="CP1231" s="5" t="s">
        <v>260</v>
      </c>
      <c r="CQ1231" s="5" t="s">
        <v>260</v>
      </c>
      <c r="CR1231" s="5" t="s">
        <v>261</v>
      </c>
      <c r="CU1231" s="8">
        <f>1</f>
        <v>1</v>
      </c>
      <c r="CV1231" s="8">
        <f>0</f>
        <v>0</v>
      </c>
      <c r="CX1231" s="8">
        <f>0</f>
        <v>0</v>
      </c>
      <c r="CY1231" s="8">
        <f>1</f>
        <v>1</v>
      </c>
      <c r="DA1231" s="5" t="s">
        <v>673</v>
      </c>
      <c r="DB1231" s="5" t="s">
        <v>238</v>
      </c>
      <c r="DD1231" s="5" t="s">
        <v>673</v>
      </c>
      <c r="DE1231" s="8">
        <f>777</f>
        <v>777</v>
      </c>
      <c r="DG1231" s="5" t="s">
        <v>238</v>
      </c>
      <c r="DH1231" s="5" t="s">
        <v>238</v>
      </c>
      <c r="DI1231" s="5" t="s">
        <v>238</v>
      </c>
      <c r="DJ1231" s="5" t="s">
        <v>238</v>
      </c>
      <c r="DN1231" s="5" t="s">
        <v>238</v>
      </c>
      <c r="DO1231" s="5" t="s">
        <v>238</v>
      </c>
      <c r="DP1231" s="5" t="s">
        <v>238</v>
      </c>
      <c r="DQ1231" s="5" t="s">
        <v>238</v>
      </c>
      <c r="DT1231" s="5" t="s">
        <v>2039</v>
      </c>
      <c r="DU1231" s="5" t="s">
        <v>1844</v>
      </c>
      <c r="HM1231" s="5" t="s">
        <v>264</v>
      </c>
    </row>
    <row r="1232" spans="1:221" x14ac:dyDescent="0.4">
      <c r="A1232" s="5">
        <v>2907</v>
      </c>
      <c r="B1232" s="5">
        <v>1</v>
      </c>
      <c r="C1232" s="5">
        <v>1</v>
      </c>
      <c r="D1232" s="5" t="s">
        <v>2037</v>
      </c>
      <c r="E1232" s="5" t="s">
        <v>271</v>
      </c>
      <c r="F1232" s="5" t="s">
        <v>248</v>
      </c>
      <c r="G1232" s="5" t="s">
        <v>1969</v>
      </c>
      <c r="H1232" s="6" t="s">
        <v>2830</v>
      </c>
      <c r="I1232" s="7">
        <f>2734</f>
        <v>2734</v>
      </c>
      <c r="J1232" s="5" t="s">
        <v>262</v>
      </c>
      <c r="K1232" s="8">
        <f>1</f>
        <v>1</v>
      </c>
      <c r="L1232" s="6" t="s">
        <v>242</v>
      </c>
      <c r="M1232" s="5" t="s">
        <v>267</v>
      </c>
      <c r="N1232" s="5" t="s">
        <v>265</v>
      </c>
      <c r="O1232" s="5" t="s">
        <v>238</v>
      </c>
      <c r="P1232" s="5" t="s">
        <v>238</v>
      </c>
      <c r="Q1232" s="5" t="s">
        <v>268</v>
      </c>
      <c r="R1232" s="5" t="s">
        <v>270</v>
      </c>
      <c r="S1232" s="5" t="s">
        <v>238</v>
      </c>
      <c r="V1232" s="5" t="s">
        <v>238</v>
      </c>
      <c r="X1232" s="6" t="s">
        <v>238</v>
      </c>
      <c r="AA1232" s="6" t="s">
        <v>243</v>
      </c>
      <c r="AB1232" s="5" t="s">
        <v>238</v>
      </c>
      <c r="AC1232" s="5" t="s">
        <v>244</v>
      </c>
      <c r="AD1232" s="5" t="s">
        <v>245</v>
      </c>
      <c r="AT1232" s="5" t="s">
        <v>246</v>
      </c>
      <c r="AU1232" s="5" t="s">
        <v>238</v>
      </c>
      <c r="AV1232" s="5" t="s">
        <v>247</v>
      </c>
      <c r="AW1232" s="5" t="s">
        <v>238</v>
      </c>
      <c r="AX1232" s="5" t="s">
        <v>249</v>
      </c>
      <c r="AY1232" s="5" t="s">
        <v>238</v>
      </c>
      <c r="BA1232" s="5" t="s">
        <v>238</v>
      </c>
      <c r="BC1232" s="5" t="s">
        <v>250</v>
      </c>
      <c r="BD1232" s="6" t="s">
        <v>243</v>
      </c>
      <c r="BE1232" s="5" t="s">
        <v>251</v>
      </c>
      <c r="BF1232" s="5" t="s">
        <v>252</v>
      </c>
      <c r="BG1232" s="5" t="s">
        <v>238</v>
      </c>
      <c r="BH1232" s="7">
        <f>0</f>
        <v>0</v>
      </c>
      <c r="BI1232" s="8">
        <f>0</f>
        <v>0</v>
      </c>
      <c r="BJ1232" s="5" t="s">
        <v>253</v>
      </c>
      <c r="BK1232" s="5" t="s">
        <v>254</v>
      </c>
      <c r="BY1232" s="5" t="s">
        <v>238</v>
      </c>
      <c r="BZ1232" s="5" t="s">
        <v>238</v>
      </c>
      <c r="CD1232" s="5" t="s">
        <v>273</v>
      </c>
      <c r="CE1232" s="5" t="s">
        <v>256</v>
      </c>
      <c r="CF1232" s="5" t="s">
        <v>238</v>
      </c>
      <c r="CI1232" s="6" t="s">
        <v>257</v>
      </c>
      <c r="CJ1232" s="5" t="s">
        <v>238</v>
      </c>
      <c r="CK1232" s="5" t="s">
        <v>258</v>
      </c>
      <c r="CL1232" s="5" t="s">
        <v>238</v>
      </c>
      <c r="CM1232" s="5" t="s">
        <v>238</v>
      </c>
      <c r="CN1232" s="5">
        <v>0</v>
      </c>
      <c r="CO1232" s="5" t="s">
        <v>259</v>
      </c>
      <c r="CP1232" s="5" t="s">
        <v>260</v>
      </c>
      <c r="CQ1232" s="5" t="s">
        <v>260</v>
      </c>
      <c r="CR1232" s="5" t="s">
        <v>261</v>
      </c>
      <c r="CU1232" s="8">
        <f>1</f>
        <v>1</v>
      </c>
      <c r="CV1232" s="8">
        <f>0</f>
        <v>0</v>
      </c>
      <c r="CX1232" s="8">
        <f>0</f>
        <v>0</v>
      </c>
      <c r="CY1232" s="8">
        <f>1</f>
        <v>1</v>
      </c>
      <c r="DA1232" s="5" t="s">
        <v>673</v>
      </c>
      <c r="DB1232" s="5" t="s">
        <v>238</v>
      </c>
      <c r="DD1232" s="5" t="s">
        <v>673</v>
      </c>
      <c r="DE1232" s="8">
        <f>2734</f>
        <v>2734</v>
      </c>
      <c r="DG1232" s="5" t="s">
        <v>238</v>
      </c>
      <c r="DH1232" s="5" t="s">
        <v>238</v>
      </c>
      <c r="DI1232" s="5" t="s">
        <v>238</v>
      </c>
      <c r="DJ1232" s="5" t="s">
        <v>238</v>
      </c>
      <c r="DN1232" s="5" t="s">
        <v>238</v>
      </c>
      <c r="DO1232" s="5" t="s">
        <v>238</v>
      </c>
      <c r="DP1232" s="5" t="s">
        <v>238</v>
      </c>
      <c r="DQ1232" s="5" t="s">
        <v>238</v>
      </c>
      <c r="DT1232" s="5" t="s">
        <v>2039</v>
      </c>
      <c r="DU1232" s="5" t="s">
        <v>1860</v>
      </c>
      <c r="HM1232" s="5" t="s">
        <v>264</v>
      </c>
    </row>
    <row r="1233" spans="1:221" x14ac:dyDescent="0.4">
      <c r="A1233" s="5">
        <v>2908</v>
      </c>
      <c r="B1233" s="5">
        <v>1</v>
      </c>
      <c r="C1233" s="5">
        <v>1</v>
      </c>
      <c r="D1233" s="5" t="s">
        <v>2037</v>
      </c>
      <c r="E1233" s="5" t="s">
        <v>271</v>
      </c>
      <c r="F1233" s="5" t="s">
        <v>248</v>
      </c>
      <c r="G1233" s="5" t="s">
        <v>1969</v>
      </c>
      <c r="H1233" s="6" t="s">
        <v>2829</v>
      </c>
      <c r="I1233" s="7">
        <f>1732</f>
        <v>1732</v>
      </c>
      <c r="J1233" s="5" t="s">
        <v>262</v>
      </c>
      <c r="K1233" s="8">
        <f>1</f>
        <v>1</v>
      </c>
      <c r="L1233" s="6" t="s">
        <v>242</v>
      </c>
      <c r="M1233" s="5" t="s">
        <v>267</v>
      </c>
      <c r="N1233" s="5" t="s">
        <v>265</v>
      </c>
      <c r="O1233" s="5" t="s">
        <v>238</v>
      </c>
      <c r="P1233" s="5" t="s">
        <v>238</v>
      </c>
      <c r="Q1233" s="5" t="s">
        <v>268</v>
      </c>
      <c r="R1233" s="5" t="s">
        <v>270</v>
      </c>
      <c r="S1233" s="5" t="s">
        <v>238</v>
      </c>
      <c r="V1233" s="5" t="s">
        <v>238</v>
      </c>
      <c r="X1233" s="6" t="s">
        <v>238</v>
      </c>
      <c r="AA1233" s="6" t="s">
        <v>243</v>
      </c>
      <c r="AB1233" s="5" t="s">
        <v>238</v>
      </c>
      <c r="AC1233" s="5" t="s">
        <v>244</v>
      </c>
      <c r="AD1233" s="5" t="s">
        <v>245</v>
      </c>
      <c r="AT1233" s="5" t="s">
        <v>246</v>
      </c>
      <c r="AU1233" s="5" t="s">
        <v>238</v>
      </c>
      <c r="AV1233" s="5" t="s">
        <v>247</v>
      </c>
      <c r="AW1233" s="5" t="s">
        <v>238</v>
      </c>
      <c r="AX1233" s="5" t="s">
        <v>249</v>
      </c>
      <c r="AY1233" s="5" t="s">
        <v>238</v>
      </c>
      <c r="BA1233" s="5" t="s">
        <v>238</v>
      </c>
      <c r="BC1233" s="5" t="s">
        <v>250</v>
      </c>
      <c r="BD1233" s="6" t="s">
        <v>243</v>
      </c>
      <c r="BE1233" s="5" t="s">
        <v>251</v>
      </c>
      <c r="BF1233" s="5" t="s">
        <v>252</v>
      </c>
      <c r="BG1233" s="5" t="s">
        <v>238</v>
      </c>
      <c r="BH1233" s="7">
        <f>0</f>
        <v>0</v>
      </c>
      <c r="BI1233" s="8">
        <f>0</f>
        <v>0</v>
      </c>
      <c r="BJ1233" s="5" t="s">
        <v>253</v>
      </c>
      <c r="BK1233" s="5" t="s">
        <v>254</v>
      </c>
      <c r="BY1233" s="5" t="s">
        <v>238</v>
      </c>
      <c r="BZ1233" s="5" t="s">
        <v>238</v>
      </c>
      <c r="CD1233" s="5" t="s">
        <v>273</v>
      </c>
      <c r="CE1233" s="5" t="s">
        <v>256</v>
      </c>
      <c r="CF1233" s="5" t="s">
        <v>238</v>
      </c>
      <c r="CI1233" s="6" t="s">
        <v>257</v>
      </c>
      <c r="CJ1233" s="5" t="s">
        <v>238</v>
      </c>
      <c r="CK1233" s="5" t="s">
        <v>258</v>
      </c>
      <c r="CL1233" s="5" t="s">
        <v>238</v>
      </c>
      <c r="CM1233" s="5" t="s">
        <v>238</v>
      </c>
      <c r="CN1233" s="5">
        <v>0</v>
      </c>
      <c r="CO1233" s="5" t="s">
        <v>259</v>
      </c>
      <c r="CP1233" s="5" t="s">
        <v>260</v>
      </c>
      <c r="CQ1233" s="5" t="s">
        <v>260</v>
      </c>
      <c r="CR1233" s="5" t="s">
        <v>261</v>
      </c>
      <c r="CU1233" s="8">
        <f>1</f>
        <v>1</v>
      </c>
      <c r="CV1233" s="8">
        <f>0</f>
        <v>0</v>
      </c>
      <c r="CX1233" s="8">
        <f>0</f>
        <v>0</v>
      </c>
      <c r="CY1233" s="8">
        <f>1</f>
        <v>1</v>
      </c>
      <c r="DA1233" s="5" t="s">
        <v>673</v>
      </c>
      <c r="DB1233" s="5" t="s">
        <v>238</v>
      </c>
      <c r="DD1233" s="5" t="s">
        <v>673</v>
      </c>
      <c r="DE1233" s="8">
        <f>1732</f>
        <v>1732</v>
      </c>
      <c r="DG1233" s="5" t="s">
        <v>238</v>
      </c>
      <c r="DH1233" s="5" t="s">
        <v>238</v>
      </c>
      <c r="DI1233" s="5" t="s">
        <v>238</v>
      </c>
      <c r="DJ1233" s="5" t="s">
        <v>238</v>
      </c>
      <c r="DN1233" s="5" t="s">
        <v>238</v>
      </c>
      <c r="DO1233" s="5" t="s">
        <v>238</v>
      </c>
      <c r="DP1233" s="5" t="s">
        <v>238</v>
      </c>
      <c r="DQ1233" s="5" t="s">
        <v>238</v>
      </c>
      <c r="DT1233" s="5" t="s">
        <v>2039</v>
      </c>
      <c r="DU1233" s="5" t="s">
        <v>1906</v>
      </c>
      <c r="HM1233" s="5" t="s">
        <v>264</v>
      </c>
    </row>
    <row r="1234" spans="1:221" x14ac:dyDescent="0.4">
      <c r="A1234" s="5">
        <v>2909</v>
      </c>
      <c r="B1234" s="5">
        <v>1</v>
      </c>
      <c r="C1234" s="5">
        <v>1</v>
      </c>
      <c r="D1234" s="5" t="s">
        <v>2037</v>
      </c>
      <c r="E1234" s="5" t="s">
        <v>271</v>
      </c>
      <c r="F1234" s="5" t="s">
        <v>248</v>
      </c>
      <c r="G1234" s="5" t="s">
        <v>1969</v>
      </c>
      <c r="H1234" s="6" t="s">
        <v>2828</v>
      </c>
      <c r="I1234" s="7">
        <f>1997</f>
        <v>1997</v>
      </c>
      <c r="J1234" s="5" t="s">
        <v>262</v>
      </c>
      <c r="K1234" s="8">
        <f>1</f>
        <v>1</v>
      </c>
      <c r="L1234" s="6" t="s">
        <v>242</v>
      </c>
      <c r="M1234" s="5" t="s">
        <v>267</v>
      </c>
      <c r="N1234" s="5" t="s">
        <v>265</v>
      </c>
      <c r="O1234" s="5" t="s">
        <v>238</v>
      </c>
      <c r="P1234" s="5" t="s">
        <v>238</v>
      </c>
      <c r="Q1234" s="5" t="s">
        <v>268</v>
      </c>
      <c r="R1234" s="5" t="s">
        <v>270</v>
      </c>
      <c r="S1234" s="5" t="s">
        <v>238</v>
      </c>
      <c r="V1234" s="5" t="s">
        <v>238</v>
      </c>
      <c r="X1234" s="6" t="s">
        <v>238</v>
      </c>
      <c r="AA1234" s="6" t="s">
        <v>243</v>
      </c>
      <c r="AB1234" s="5" t="s">
        <v>238</v>
      </c>
      <c r="AC1234" s="5" t="s">
        <v>244</v>
      </c>
      <c r="AD1234" s="5" t="s">
        <v>245</v>
      </c>
      <c r="AT1234" s="5" t="s">
        <v>246</v>
      </c>
      <c r="AU1234" s="5" t="s">
        <v>238</v>
      </c>
      <c r="AV1234" s="5" t="s">
        <v>247</v>
      </c>
      <c r="AW1234" s="5" t="s">
        <v>238</v>
      </c>
      <c r="AX1234" s="5" t="s">
        <v>249</v>
      </c>
      <c r="AY1234" s="5" t="s">
        <v>238</v>
      </c>
      <c r="BA1234" s="5" t="s">
        <v>238</v>
      </c>
      <c r="BC1234" s="5" t="s">
        <v>250</v>
      </c>
      <c r="BD1234" s="6" t="s">
        <v>243</v>
      </c>
      <c r="BE1234" s="5" t="s">
        <v>251</v>
      </c>
      <c r="BF1234" s="5" t="s">
        <v>252</v>
      </c>
      <c r="BG1234" s="5" t="s">
        <v>238</v>
      </c>
      <c r="BH1234" s="7">
        <f>0</f>
        <v>0</v>
      </c>
      <c r="BI1234" s="8">
        <f>0</f>
        <v>0</v>
      </c>
      <c r="BJ1234" s="5" t="s">
        <v>253</v>
      </c>
      <c r="BK1234" s="5" t="s">
        <v>254</v>
      </c>
      <c r="BY1234" s="5" t="s">
        <v>238</v>
      </c>
      <c r="BZ1234" s="5" t="s">
        <v>238</v>
      </c>
      <c r="CD1234" s="5" t="s">
        <v>273</v>
      </c>
      <c r="CE1234" s="5" t="s">
        <v>256</v>
      </c>
      <c r="CF1234" s="5" t="s">
        <v>238</v>
      </c>
      <c r="CI1234" s="6" t="s">
        <v>257</v>
      </c>
      <c r="CJ1234" s="5" t="s">
        <v>238</v>
      </c>
      <c r="CK1234" s="5" t="s">
        <v>258</v>
      </c>
      <c r="CL1234" s="5" t="s">
        <v>238</v>
      </c>
      <c r="CM1234" s="5" t="s">
        <v>238</v>
      </c>
      <c r="CN1234" s="5">
        <v>0</v>
      </c>
      <c r="CO1234" s="5" t="s">
        <v>259</v>
      </c>
      <c r="CP1234" s="5" t="s">
        <v>260</v>
      </c>
      <c r="CQ1234" s="5" t="s">
        <v>260</v>
      </c>
      <c r="CR1234" s="5" t="s">
        <v>261</v>
      </c>
      <c r="CU1234" s="8">
        <f>1</f>
        <v>1</v>
      </c>
      <c r="CV1234" s="8">
        <f>0</f>
        <v>0</v>
      </c>
      <c r="CX1234" s="8">
        <f>0</f>
        <v>0</v>
      </c>
      <c r="CY1234" s="8">
        <f>1</f>
        <v>1</v>
      </c>
      <c r="DA1234" s="5" t="s">
        <v>673</v>
      </c>
      <c r="DB1234" s="5" t="s">
        <v>238</v>
      </c>
      <c r="DD1234" s="5" t="s">
        <v>673</v>
      </c>
      <c r="DE1234" s="8">
        <f>1997</f>
        <v>1997</v>
      </c>
      <c r="DG1234" s="5" t="s">
        <v>238</v>
      </c>
      <c r="DH1234" s="5" t="s">
        <v>238</v>
      </c>
      <c r="DI1234" s="5" t="s">
        <v>238</v>
      </c>
      <c r="DJ1234" s="5" t="s">
        <v>238</v>
      </c>
      <c r="DN1234" s="5" t="s">
        <v>238</v>
      </c>
      <c r="DO1234" s="5" t="s">
        <v>238</v>
      </c>
      <c r="DP1234" s="5" t="s">
        <v>238</v>
      </c>
      <c r="DQ1234" s="5" t="s">
        <v>238</v>
      </c>
      <c r="DT1234" s="5" t="s">
        <v>2039</v>
      </c>
      <c r="DU1234" s="5" t="s">
        <v>1912</v>
      </c>
      <c r="HM1234" s="5" t="s">
        <v>264</v>
      </c>
    </row>
    <row r="1235" spans="1:221" x14ac:dyDescent="0.4">
      <c r="A1235" s="5">
        <v>2910</v>
      </c>
      <c r="B1235" s="5">
        <v>1</v>
      </c>
      <c r="C1235" s="5">
        <v>1</v>
      </c>
      <c r="D1235" s="5" t="s">
        <v>2037</v>
      </c>
      <c r="E1235" s="5" t="s">
        <v>271</v>
      </c>
      <c r="F1235" s="5" t="s">
        <v>248</v>
      </c>
      <c r="G1235" s="5" t="s">
        <v>1969</v>
      </c>
      <c r="H1235" s="6" t="s">
        <v>2827</v>
      </c>
      <c r="I1235" s="7">
        <f>5057</f>
        <v>5057</v>
      </c>
      <c r="J1235" s="5" t="s">
        <v>262</v>
      </c>
      <c r="K1235" s="8">
        <f>1</f>
        <v>1</v>
      </c>
      <c r="L1235" s="6" t="s">
        <v>242</v>
      </c>
      <c r="M1235" s="5" t="s">
        <v>267</v>
      </c>
      <c r="N1235" s="5" t="s">
        <v>265</v>
      </c>
      <c r="O1235" s="5" t="s">
        <v>238</v>
      </c>
      <c r="P1235" s="5" t="s">
        <v>238</v>
      </c>
      <c r="Q1235" s="5" t="s">
        <v>268</v>
      </c>
      <c r="R1235" s="5" t="s">
        <v>270</v>
      </c>
      <c r="S1235" s="5" t="s">
        <v>238</v>
      </c>
      <c r="V1235" s="5" t="s">
        <v>238</v>
      </c>
      <c r="X1235" s="6" t="s">
        <v>238</v>
      </c>
      <c r="AA1235" s="6" t="s">
        <v>243</v>
      </c>
      <c r="AB1235" s="5" t="s">
        <v>238</v>
      </c>
      <c r="AC1235" s="5" t="s">
        <v>244</v>
      </c>
      <c r="AD1235" s="5" t="s">
        <v>245</v>
      </c>
      <c r="AT1235" s="5" t="s">
        <v>246</v>
      </c>
      <c r="AU1235" s="5" t="s">
        <v>238</v>
      </c>
      <c r="AV1235" s="5" t="s">
        <v>247</v>
      </c>
      <c r="AW1235" s="5" t="s">
        <v>238</v>
      </c>
      <c r="AX1235" s="5" t="s">
        <v>249</v>
      </c>
      <c r="AY1235" s="5" t="s">
        <v>238</v>
      </c>
      <c r="BA1235" s="5" t="s">
        <v>238</v>
      </c>
      <c r="BC1235" s="5" t="s">
        <v>250</v>
      </c>
      <c r="BD1235" s="6" t="s">
        <v>243</v>
      </c>
      <c r="BE1235" s="5" t="s">
        <v>251</v>
      </c>
      <c r="BF1235" s="5" t="s">
        <v>252</v>
      </c>
      <c r="BG1235" s="5" t="s">
        <v>238</v>
      </c>
      <c r="BH1235" s="7">
        <f>0</f>
        <v>0</v>
      </c>
      <c r="BI1235" s="8">
        <f>0</f>
        <v>0</v>
      </c>
      <c r="BJ1235" s="5" t="s">
        <v>253</v>
      </c>
      <c r="BK1235" s="5" t="s">
        <v>254</v>
      </c>
      <c r="BY1235" s="5" t="s">
        <v>238</v>
      </c>
      <c r="BZ1235" s="5" t="s">
        <v>238</v>
      </c>
      <c r="CD1235" s="5" t="s">
        <v>273</v>
      </c>
      <c r="CE1235" s="5" t="s">
        <v>256</v>
      </c>
      <c r="CF1235" s="5" t="s">
        <v>238</v>
      </c>
      <c r="CI1235" s="6" t="s">
        <v>257</v>
      </c>
      <c r="CJ1235" s="5" t="s">
        <v>238</v>
      </c>
      <c r="CK1235" s="5" t="s">
        <v>258</v>
      </c>
      <c r="CL1235" s="5" t="s">
        <v>238</v>
      </c>
      <c r="CM1235" s="5" t="s">
        <v>238</v>
      </c>
      <c r="CN1235" s="5">
        <v>0</v>
      </c>
      <c r="CO1235" s="5" t="s">
        <v>259</v>
      </c>
      <c r="CP1235" s="5" t="s">
        <v>260</v>
      </c>
      <c r="CQ1235" s="5" t="s">
        <v>260</v>
      </c>
      <c r="CR1235" s="5" t="s">
        <v>261</v>
      </c>
      <c r="CU1235" s="8">
        <f>1</f>
        <v>1</v>
      </c>
      <c r="CV1235" s="8">
        <f>0</f>
        <v>0</v>
      </c>
      <c r="CX1235" s="8">
        <f>0</f>
        <v>0</v>
      </c>
      <c r="CY1235" s="8">
        <f>1</f>
        <v>1</v>
      </c>
      <c r="DA1235" s="5" t="s">
        <v>673</v>
      </c>
      <c r="DB1235" s="5" t="s">
        <v>238</v>
      </c>
      <c r="DD1235" s="5" t="s">
        <v>673</v>
      </c>
      <c r="DE1235" s="8">
        <f>5057</f>
        <v>5057</v>
      </c>
      <c r="DG1235" s="5" t="s">
        <v>238</v>
      </c>
      <c r="DH1235" s="5" t="s">
        <v>238</v>
      </c>
      <c r="DI1235" s="5" t="s">
        <v>238</v>
      </c>
      <c r="DJ1235" s="5" t="s">
        <v>238</v>
      </c>
      <c r="DN1235" s="5" t="s">
        <v>238</v>
      </c>
      <c r="DO1235" s="5" t="s">
        <v>238</v>
      </c>
      <c r="DP1235" s="5" t="s">
        <v>238</v>
      </c>
      <c r="DQ1235" s="5" t="s">
        <v>238</v>
      </c>
      <c r="DT1235" s="5" t="s">
        <v>2039</v>
      </c>
      <c r="DU1235" s="5" t="s">
        <v>1940</v>
      </c>
      <c r="HM1235" s="5" t="s">
        <v>264</v>
      </c>
    </row>
    <row r="1236" spans="1:221" x14ac:dyDescent="0.4">
      <c r="A1236" s="5">
        <v>2911</v>
      </c>
      <c r="B1236" s="5">
        <v>1</v>
      </c>
      <c r="C1236" s="5">
        <v>1</v>
      </c>
      <c r="D1236" s="5" t="s">
        <v>2037</v>
      </c>
      <c r="E1236" s="5" t="s">
        <v>271</v>
      </c>
      <c r="F1236" s="5" t="s">
        <v>248</v>
      </c>
      <c r="G1236" s="5" t="s">
        <v>1969</v>
      </c>
      <c r="H1236" s="6" t="s">
        <v>2826</v>
      </c>
      <c r="I1236" s="7">
        <f>1352</f>
        <v>1352</v>
      </c>
      <c r="J1236" s="5" t="s">
        <v>262</v>
      </c>
      <c r="K1236" s="8">
        <f>1</f>
        <v>1</v>
      </c>
      <c r="L1236" s="6" t="s">
        <v>242</v>
      </c>
      <c r="M1236" s="5" t="s">
        <v>267</v>
      </c>
      <c r="N1236" s="5" t="s">
        <v>265</v>
      </c>
      <c r="O1236" s="5" t="s">
        <v>238</v>
      </c>
      <c r="P1236" s="5" t="s">
        <v>238</v>
      </c>
      <c r="Q1236" s="5" t="s">
        <v>268</v>
      </c>
      <c r="R1236" s="5" t="s">
        <v>270</v>
      </c>
      <c r="S1236" s="5" t="s">
        <v>238</v>
      </c>
      <c r="V1236" s="5" t="s">
        <v>238</v>
      </c>
      <c r="X1236" s="6" t="s">
        <v>238</v>
      </c>
      <c r="AA1236" s="6" t="s">
        <v>243</v>
      </c>
      <c r="AB1236" s="5" t="s">
        <v>238</v>
      </c>
      <c r="AC1236" s="5" t="s">
        <v>244</v>
      </c>
      <c r="AD1236" s="5" t="s">
        <v>245</v>
      </c>
      <c r="AT1236" s="5" t="s">
        <v>246</v>
      </c>
      <c r="AU1236" s="5" t="s">
        <v>238</v>
      </c>
      <c r="AV1236" s="5" t="s">
        <v>247</v>
      </c>
      <c r="AW1236" s="5" t="s">
        <v>238</v>
      </c>
      <c r="AX1236" s="5" t="s">
        <v>249</v>
      </c>
      <c r="AY1236" s="5" t="s">
        <v>238</v>
      </c>
      <c r="BA1236" s="5" t="s">
        <v>238</v>
      </c>
      <c r="BC1236" s="5" t="s">
        <v>250</v>
      </c>
      <c r="BD1236" s="6" t="s">
        <v>243</v>
      </c>
      <c r="BE1236" s="5" t="s">
        <v>251</v>
      </c>
      <c r="BF1236" s="5" t="s">
        <v>252</v>
      </c>
      <c r="BG1236" s="5" t="s">
        <v>238</v>
      </c>
      <c r="BH1236" s="7">
        <f>0</f>
        <v>0</v>
      </c>
      <c r="BI1236" s="8">
        <f>0</f>
        <v>0</v>
      </c>
      <c r="BJ1236" s="5" t="s">
        <v>253</v>
      </c>
      <c r="BK1236" s="5" t="s">
        <v>254</v>
      </c>
      <c r="BY1236" s="5" t="s">
        <v>238</v>
      </c>
      <c r="BZ1236" s="5" t="s">
        <v>238</v>
      </c>
      <c r="CD1236" s="5" t="s">
        <v>273</v>
      </c>
      <c r="CE1236" s="5" t="s">
        <v>256</v>
      </c>
      <c r="CF1236" s="5" t="s">
        <v>238</v>
      </c>
      <c r="CI1236" s="6" t="s">
        <v>257</v>
      </c>
      <c r="CJ1236" s="5" t="s">
        <v>238</v>
      </c>
      <c r="CK1236" s="5" t="s">
        <v>258</v>
      </c>
      <c r="CL1236" s="5" t="s">
        <v>238</v>
      </c>
      <c r="CM1236" s="5" t="s">
        <v>238</v>
      </c>
      <c r="CN1236" s="5">
        <v>0</v>
      </c>
      <c r="CO1236" s="5" t="s">
        <v>259</v>
      </c>
      <c r="CP1236" s="5" t="s">
        <v>260</v>
      </c>
      <c r="CQ1236" s="5" t="s">
        <v>260</v>
      </c>
      <c r="CR1236" s="5" t="s">
        <v>261</v>
      </c>
      <c r="CU1236" s="8">
        <f>1</f>
        <v>1</v>
      </c>
      <c r="CV1236" s="8">
        <f>0</f>
        <v>0</v>
      </c>
      <c r="CX1236" s="8">
        <f>0</f>
        <v>0</v>
      </c>
      <c r="CY1236" s="8">
        <f>1</f>
        <v>1</v>
      </c>
      <c r="DA1236" s="5" t="s">
        <v>673</v>
      </c>
      <c r="DB1236" s="5" t="s">
        <v>238</v>
      </c>
      <c r="DD1236" s="5" t="s">
        <v>673</v>
      </c>
      <c r="DE1236" s="8">
        <f>1352</f>
        <v>1352</v>
      </c>
      <c r="DG1236" s="5" t="s">
        <v>238</v>
      </c>
      <c r="DH1236" s="5" t="s">
        <v>238</v>
      </c>
      <c r="DI1236" s="5" t="s">
        <v>238</v>
      </c>
      <c r="DJ1236" s="5" t="s">
        <v>238</v>
      </c>
      <c r="DN1236" s="5" t="s">
        <v>238</v>
      </c>
      <c r="DO1236" s="5" t="s">
        <v>238</v>
      </c>
      <c r="DP1236" s="5" t="s">
        <v>238</v>
      </c>
      <c r="DQ1236" s="5" t="s">
        <v>238</v>
      </c>
      <c r="DT1236" s="5" t="s">
        <v>2039</v>
      </c>
      <c r="DU1236" s="5" t="s">
        <v>1954</v>
      </c>
      <c r="HM1236" s="5" t="s">
        <v>264</v>
      </c>
    </row>
    <row r="1237" spans="1:221" x14ac:dyDescent="0.4">
      <c r="A1237" s="5">
        <v>2912</v>
      </c>
      <c r="B1237" s="5">
        <v>1</v>
      </c>
      <c r="C1237" s="5">
        <v>1</v>
      </c>
      <c r="D1237" s="5" t="s">
        <v>2037</v>
      </c>
      <c r="E1237" s="5" t="s">
        <v>271</v>
      </c>
      <c r="F1237" s="5" t="s">
        <v>248</v>
      </c>
      <c r="G1237" s="5" t="s">
        <v>1969</v>
      </c>
      <c r="H1237" s="6" t="s">
        <v>2825</v>
      </c>
      <c r="I1237" s="7">
        <f>634</f>
        <v>634</v>
      </c>
      <c r="J1237" s="5" t="s">
        <v>262</v>
      </c>
      <c r="K1237" s="8">
        <f>1</f>
        <v>1</v>
      </c>
      <c r="L1237" s="6" t="s">
        <v>242</v>
      </c>
      <c r="M1237" s="5" t="s">
        <v>267</v>
      </c>
      <c r="N1237" s="5" t="s">
        <v>265</v>
      </c>
      <c r="O1237" s="5" t="s">
        <v>238</v>
      </c>
      <c r="P1237" s="5" t="s">
        <v>238</v>
      </c>
      <c r="Q1237" s="5" t="s">
        <v>268</v>
      </c>
      <c r="R1237" s="5" t="s">
        <v>270</v>
      </c>
      <c r="S1237" s="5" t="s">
        <v>238</v>
      </c>
      <c r="V1237" s="5" t="s">
        <v>238</v>
      </c>
      <c r="X1237" s="6" t="s">
        <v>238</v>
      </c>
      <c r="AA1237" s="6" t="s">
        <v>243</v>
      </c>
      <c r="AB1237" s="5" t="s">
        <v>238</v>
      </c>
      <c r="AC1237" s="5" t="s">
        <v>244</v>
      </c>
      <c r="AD1237" s="5" t="s">
        <v>245</v>
      </c>
      <c r="AT1237" s="5" t="s">
        <v>246</v>
      </c>
      <c r="AU1237" s="5" t="s">
        <v>238</v>
      </c>
      <c r="AV1237" s="5" t="s">
        <v>247</v>
      </c>
      <c r="AW1237" s="5" t="s">
        <v>238</v>
      </c>
      <c r="AX1237" s="5" t="s">
        <v>249</v>
      </c>
      <c r="AY1237" s="5" t="s">
        <v>238</v>
      </c>
      <c r="BA1237" s="5" t="s">
        <v>238</v>
      </c>
      <c r="BC1237" s="5" t="s">
        <v>250</v>
      </c>
      <c r="BD1237" s="6" t="s">
        <v>243</v>
      </c>
      <c r="BE1237" s="5" t="s">
        <v>251</v>
      </c>
      <c r="BF1237" s="5" t="s">
        <v>252</v>
      </c>
      <c r="BG1237" s="5" t="s">
        <v>238</v>
      </c>
      <c r="BH1237" s="7">
        <f>0</f>
        <v>0</v>
      </c>
      <c r="BI1237" s="8">
        <f>0</f>
        <v>0</v>
      </c>
      <c r="BJ1237" s="5" t="s">
        <v>253</v>
      </c>
      <c r="BK1237" s="5" t="s">
        <v>254</v>
      </c>
      <c r="BY1237" s="5" t="s">
        <v>238</v>
      </c>
      <c r="BZ1237" s="5" t="s">
        <v>238</v>
      </c>
      <c r="CD1237" s="5" t="s">
        <v>273</v>
      </c>
      <c r="CE1237" s="5" t="s">
        <v>256</v>
      </c>
      <c r="CF1237" s="5" t="s">
        <v>238</v>
      </c>
      <c r="CI1237" s="6" t="s">
        <v>257</v>
      </c>
      <c r="CJ1237" s="5" t="s">
        <v>238</v>
      </c>
      <c r="CK1237" s="5" t="s">
        <v>258</v>
      </c>
      <c r="CL1237" s="5" t="s">
        <v>238</v>
      </c>
      <c r="CM1237" s="5" t="s">
        <v>238</v>
      </c>
      <c r="CN1237" s="5">
        <v>0</v>
      </c>
      <c r="CO1237" s="5" t="s">
        <v>259</v>
      </c>
      <c r="CP1237" s="5" t="s">
        <v>260</v>
      </c>
      <c r="CQ1237" s="5" t="s">
        <v>260</v>
      </c>
      <c r="CR1237" s="5" t="s">
        <v>261</v>
      </c>
      <c r="CU1237" s="8">
        <f>1</f>
        <v>1</v>
      </c>
      <c r="CV1237" s="8">
        <f>0</f>
        <v>0</v>
      </c>
      <c r="CX1237" s="8">
        <f>0</f>
        <v>0</v>
      </c>
      <c r="CY1237" s="8">
        <f>1</f>
        <v>1</v>
      </c>
      <c r="DA1237" s="5" t="s">
        <v>673</v>
      </c>
      <c r="DB1237" s="5" t="s">
        <v>238</v>
      </c>
      <c r="DD1237" s="5" t="s">
        <v>673</v>
      </c>
      <c r="DE1237" s="8">
        <f>634</f>
        <v>634</v>
      </c>
      <c r="DG1237" s="5" t="s">
        <v>238</v>
      </c>
      <c r="DH1237" s="5" t="s">
        <v>238</v>
      </c>
      <c r="DI1237" s="5" t="s">
        <v>238</v>
      </c>
      <c r="DJ1237" s="5" t="s">
        <v>238</v>
      </c>
      <c r="DN1237" s="5" t="s">
        <v>238</v>
      </c>
      <c r="DO1237" s="5" t="s">
        <v>238</v>
      </c>
      <c r="DP1237" s="5" t="s">
        <v>238</v>
      </c>
      <c r="DQ1237" s="5" t="s">
        <v>238</v>
      </c>
      <c r="DT1237" s="5" t="s">
        <v>2039</v>
      </c>
      <c r="DU1237" s="5" t="s">
        <v>1964</v>
      </c>
      <c r="HM1237" s="5" t="s">
        <v>264</v>
      </c>
    </row>
    <row r="1238" spans="1:221" x14ac:dyDescent="0.4">
      <c r="A1238" s="5">
        <v>2913</v>
      </c>
      <c r="B1238" s="5">
        <v>1</v>
      </c>
      <c r="C1238" s="5">
        <v>1</v>
      </c>
      <c r="D1238" s="5" t="s">
        <v>2037</v>
      </c>
      <c r="E1238" s="5" t="s">
        <v>271</v>
      </c>
      <c r="F1238" s="5" t="s">
        <v>248</v>
      </c>
      <c r="G1238" s="5" t="s">
        <v>1969</v>
      </c>
      <c r="H1238" s="6" t="s">
        <v>2824</v>
      </c>
      <c r="I1238" s="7">
        <f>36</f>
        <v>36</v>
      </c>
      <c r="J1238" s="5" t="s">
        <v>262</v>
      </c>
      <c r="K1238" s="8">
        <f>1</f>
        <v>1</v>
      </c>
      <c r="L1238" s="6" t="s">
        <v>242</v>
      </c>
      <c r="M1238" s="5" t="s">
        <v>267</v>
      </c>
      <c r="N1238" s="5" t="s">
        <v>265</v>
      </c>
      <c r="O1238" s="5" t="s">
        <v>238</v>
      </c>
      <c r="P1238" s="5" t="s">
        <v>238</v>
      </c>
      <c r="Q1238" s="5" t="s">
        <v>268</v>
      </c>
      <c r="R1238" s="5" t="s">
        <v>270</v>
      </c>
      <c r="S1238" s="5" t="s">
        <v>238</v>
      </c>
      <c r="V1238" s="5" t="s">
        <v>238</v>
      </c>
      <c r="X1238" s="6" t="s">
        <v>238</v>
      </c>
      <c r="AA1238" s="6" t="s">
        <v>243</v>
      </c>
      <c r="AB1238" s="5" t="s">
        <v>238</v>
      </c>
      <c r="AC1238" s="5" t="s">
        <v>244</v>
      </c>
      <c r="AD1238" s="5" t="s">
        <v>245</v>
      </c>
      <c r="AT1238" s="5" t="s">
        <v>246</v>
      </c>
      <c r="AU1238" s="5" t="s">
        <v>238</v>
      </c>
      <c r="AV1238" s="5" t="s">
        <v>247</v>
      </c>
      <c r="AW1238" s="5" t="s">
        <v>238</v>
      </c>
      <c r="AX1238" s="5" t="s">
        <v>249</v>
      </c>
      <c r="AY1238" s="5" t="s">
        <v>238</v>
      </c>
      <c r="BA1238" s="5" t="s">
        <v>238</v>
      </c>
      <c r="BC1238" s="5" t="s">
        <v>250</v>
      </c>
      <c r="BD1238" s="6" t="s">
        <v>243</v>
      </c>
      <c r="BE1238" s="5" t="s">
        <v>251</v>
      </c>
      <c r="BF1238" s="5" t="s">
        <v>252</v>
      </c>
      <c r="BG1238" s="5" t="s">
        <v>238</v>
      </c>
      <c r="BH1238" s="7">
        <f>0</f>
        <v>0</v>
      </c>
      <c r="BI1238" s="8">
        <f>0</f>
        <v>0</v>
      </c>
      <c r="BJ1238" s="5" t="s">
        <v>253</v>
      </c>
      <c r="BK1238" s="5" t="s">
        <v>254</v>
      </c>
      <c r="BY1238" s="5" t="s">
        <v>238</v>
      </c>
      <c r="BZ1238" s="5" t="s">
        <v>238</v>
      </c>
      <c r="CD1238" s="5" t="s">
        <v>273</v>
      </c>
      <c r="CE1238" s="5" t="s">
        <v>256</v>
      </c>
      <c r="CF1238" s="5" t="s">
        <v>238</v>
      </c>
      <c r="CI1238" s="6" t="s">
        <v>257</v>
      </c>
      <c r="CJ1238" s="5" t="s">
        <v>238</v>
      </c>
      <c r="CK1238" s="5" t="s">
        <v>258</v>
      </c>
      <c r="CL1238" s="5" t="s">
        <v>238</v>
      </c>
      <c r="CM1238" s="5" t="s">
        <v>238</v>
      </c>
      <c r="CN1238" s="5">
        <v>0</v>
      </c>
      <c r="CO1238" s="5" t="s">
        <v>259</v>
      </c>
      <c r="CP1238" s="5" t="s">
        <v>260</v>
      </c>
      <c r="CQ1238" s="5" t="s">
        <v>260</v>
      </c>
      <c r="CR1238" s="5" t="s">
        <v>261</v>
      </c>
      <c r="CU1238" s="8">
        <f>1</f>
        <v>1</v>
      </c>
      <c r="CV1238" s="8">
        <f>0</f>
        <v>0</v>
      </c>
      <c r="CX1238" s="8">
        <f>0</f>
        <v>0</v>
      </c>
      <c r="CY1238" s="8">
        <f>1</f>
        <v>1</v>
      </c>
      <c r="DA1238" s="5" t="s">
        <v>673</v>
      </c>
      <c r="DB1238" s="5" t="s">
        <v>238</v>
      </c>
      <c r="DD1238" s="5" t="s">
        <v>673</v>
      </c>
      <c r="DE1238" s="8">
        <f>36</f>
        <v>36</v>
      </c>
      <c r="DG1238" s="5" t="s">
        <v>238</v>
      </c>
      <c r="DH1238" s="5" t="s">
        <v>238</v>
      </c>
      <c r="DI1238" s="5" t="s">
        <v>238</v>
      </c>
      <c r="DJ1238" s="5" t="s">
        <v>238</v>
      </c>
      <c r="DN1238" s="5" t="s">
        <v>238</v>
      </c>
      <c r="DO1238" s="5" t="s">
        <v>238</v>
      </c>
      <c r="DP1238" s="5" t="s">
        <v>238</v>
      </c>
      <c r="DQ1238" s="5" t="s">
        <v>238</v>
      </c>
      <c r="DT1238" s="5" t="s">
        <v>2039</v>
      </c>
      <c r="DU1238" s="5" t="s">
        <v>1968</v>
      </c>
      <c r="HM1238" s="5" t="s">
        <v>264</v>
      </c>
    </row>
    <row r="1239" spans="1:221" x14ac:dyDescent="0.4">
      <c r="A1239" s="5">
        <v>2914</v>
      </c>
      <c r="B1239" s="5">
        <v>1</v>
      </c>
      <c r="C1239" s="5">
        <v>1</v>
      </c>
      <c r="D1239" s="5" t="s">
        <v>2037</v>
      </c>
      <c r="E1239" s="5" t="s">
        <v>271</v>
      </c>
      <c r="F1239" s="5" t="s">
        <v>248</v>
      </c>
      <c r="G1239" s="5" t="s">
        <v>1969</v>
      </c>
      <c r="H1239" s="6" t="s">
        <v>2823</v>
      </c>
      <c r="I1239" s="7">
        <f>433</f>
        <v>433</v>
      </c>
      <c r="J1239" s="5" t="s">
        <v>262</v>
      </c>
      <c r="K1239" s="8">
        <f>1</f>
        <v>1</v>
      </c>
      <c r="L1239" s="6" t="s">
        <v>242</v>
      </c>
      <c r="M1239" s="5" t="s">
        <v>267</v>
      </c>
      <c r="N1239" s="5" t="s">
        <v>265</v>
      </c>
      <c r="O1239" s="5" t="s">
        <v>238</v>
      </c>
      <c r="P1239" s="5" t="s">
        <v>238</v>
      </c>
      <c r="Q1239" s="5" t="s">
        <v>268</v>
      </c>
      <c r="R1239" s="5" t="s">
        <v>270</v>
      </c>
      <c r="S1239" s="5" t="s">
        <v>238</v>
      </c>
      <c r="V1239" s="5" t="s">
        <v>238</v>
      </c>
      <c r="X1239" s="6" t="s">
        <v>238</v>
      </c>
      <c r="AA1239" s="6" t="s">
        <v>243</v>
      </c>
      <c r="AB1239" s="5" t="s">
        <v>238</v>
      </c>
      <c r="AC1239" s="5" t="s">
        <v>244</v>
      </c>
      <c r="AD1239" s="5" t="s">
        <v>245</v>
      </c>
      <c r="AT1239" s="5" t="s">
        <v>246</v>
      </c>
      <c r="AU1239" s="5" t="s">
        <v>238</v>
      </c>
      <c r="AV1239" s="5" t="s">
        <v>247</v>
      </c>
      <c r="AW1239" s="5" t="s">
        <v>238</v>
      </c>
      <c r="AX1239" s="5" t="s">
        <v>249</v>
      </c>
      <c r="AY1239" s="5" t="s">
        <v>238</v>
      </c>
      <c r="BA1239" s="5" t="s">
        <v>238</v>
      </c>
      <c r="BC1239" s="5" t="s">
        <v>250</v>
      </c>
      <c r="BD1239" s="6" t="s">
        <v>243</v>
      </c>
      <c r="BE1239" s="5" t="s">
        <v>251</v>
      </c>
      <c r="BF1239" s="5" t="s">
        <v>252</v>
      </c>
      <c r="BG1239" s="5" t="s">
        <v>238</v>
      </c>
      <c r="BH1239" s="7">
        <f>0</f>
        <v>0</v>
      </c>
      <c r="BI1239" s="8">
        <f>0</f>
        <v>0</v>
      </c>
      <c r="BJ1239" s="5" t="s">
        <v>253</v>
      </c>
      <c r="BK1239" s="5" t="s">
        <v>254</v>
      </c>
      <c r="BY1239" s="5" t="s">
        <v>238</v>
      </c>
      <c r="BZ1239" s="5" t="s">
        <v>238</v>
      </c>
      <c r="CD1239" s="5" t="s">
        <v>273</v>
      </c>
      <c r="CE1239" s="5" t="s">
        <v>256</v>
      </c>
      <c r="CF1239" s="5" t="s">
        <v>238</v>
      </c>
      <c r="CI1239" s="6" t="s">
        <v>257</v>
      </c>
      <c r="CJ1239" s="5" t="s">
        <v>238</v>
      </c>
      <c r="CK1239" s="5" t="s">
        <v>258</v>
      </c>
      <c r="CL1239" s="5" t="s">
        <v>238</v>
      </c>
      <c r="CM1239" s="5" t="s">
        <v>238</v>
      </c>
      <c r="CN1239" s="5">
        <v>0</v>
      </c>
      <c r="CO1239" s="5" t="s">
        <v>259</v>
      </c>
      <c r="CP1239" s="5" t="s">
        <v>260</v>
      </c>
      <c r="CQ1239" s="5" t="s">
        <v>260</v>
      </c>
      <c r="CR1239" s="5" t="s">
        <v>261</v>
      </c>
      <c r="CU1239" s="8">
        <f>1</f>
        <v>1</v>
      </c>
      <c r="CV1239" s="8">
        <f>0</f>
        <v>0</v>
      </c>
      <c r="CX1239" s="8">
        <f>0</f>
        <v>0</v>
      </c>
      <c r="CY1239" s="8">
        <f>1</f>
        <v>1</v>
      </c>
      <c r="DA1239" s="5" t="s">
        <v>673</v>
      </c>
      <c r="DB1239" s="5" t="s">
        <v>238</v>
      </c>
      <c r="DD1239" s="5" t="s">
        <v>673</v>
      </c>
      <c r="DE1239" s="8">
        <f>433</f>
        <v>433</v>
      </c>
      <c r="DG1239" s="5" t="s">
        <v>238</v>
      </c>
      <c r="DH1239" s="5" t="s">
        <v>238</v>
      </c>
      <c r="DI1239" s="5" t="s">
        <v>238</v>
      </c>
      <c r="DJ1239" s="5" t="s">
        <v>238</v>
      </c>
      <c r="DN1239" s="5" t="s">
        <v>238</v>
      </c>
      <c r="DO1239" s="5" t="s">
        <v>238</v>
      </c>
      <c r="DP1239" s="5" t="s">
        <v>238</v>
      </c>
      <c r="DQ1239" s="5" t="s">
        <v>238</v>
      </c>
      <c r="DT1239" s="5" t="s">
        <v>2039</v>
      </c>
      <c r="DU1239" s="5" t="s">
        <v>1981</v>
      </c>
      <c r="HM1239" s="5" t="s">
        <v>264</v>
      </c>
    </row>
    <row r="1240" spans="1:221" x14ac:dyDescent="0.4">
      <c r="A1240" s="5">
        <v>2915</v>
      </c>
      <c r="B1240" s="5">
        <v>1</v>
      </c>
      <c r="C1240" s="5">
        <v>1</v>
      </c>
      <c r="D1240" s="5" t="s">
        <v>2037</v>
      </c>
      <c r="E1240" s="5" t="s">
        <v>271</v>
      </c>
      <c r="F1240" s="5" t="s">
        <v>248</v>
      </c>
      <c r="G1240" s="5" t="s">
        <v>1969</v>
      </c>
      <c r="H1240" s="6" t="s">
        <v>2822</v>
      </c>
      <c r="I1240" s="7">
        <f>1861</f>
        <v>1861</v>
      </c>
      <c r="J1240" s="5" t="s">
        <v>262</v>
      </c>
      <c r="K1240" s="8">
        <f>1</f>
        <v>1</v>
      </c>
      <c r="L1240" s="6" t="s">
        <v>242</v>
      </c>
      <c r="M1240" s="5" t="s">
        <v>267</v>
      </c>
      <c r="N1240" s="5" t="s">
        <v>265</v>
      </c>
      <c r="O1240" s="5" t="s">
        <v>238</v>
      </c>
      <c r="P1240" s="5" t="s">
        <v>238</v>
      </c>
      <c r="Q1240" s="5" t="s">
        <v>268</v>
      </c>
      <c r="R1240" s="5" t="s">
        <v>270</v>
      </c>
      <c r="S1240" s="5" t="s">
        <v>238</v>
      </c>
      <c r="V1240" s="5" t="s">
        <v>238</v>
      </c>
      <c r="X1240" s="6" t="s">
        <v>238</v>
      </c>
      <c r="AA1240" s="6" t="s">
        <v>243</v>
      </c>
      <c r="AB1240" s="5" t="s">
        <v>238</v>
      </c>
      <c r="AC1240" s="5" t="s">
        <v>244</v>
      </c>
      <c r="AD1240" s="5" t="s">
        <v>245</v>
      </c>
      <c r="AT1240" s="5" t="s">
        <v>246</v>
      </c>
      <c r="AU1240" s="5" t="s">
        <v>238</v>
      </c>
      <c r="AV1240" s="5" t="s">
        <v>247</v>
      </c>
      <c r="AW1240" s="5" t="s">
        <v>238</v>
      </c>
      <c r="AX1240" s="5" t="s">
        <v>249</v>
      </c>
      <c r="AY1240" s="5" t="s">
        <v>238</v>
      </c>
      <c r="BA1240" s="5" t="s">
        <v>238</v>
      </c>
      <c r="BC1240" s="5" t="s">
        <v>250</v>
      </c>
      <c r="BD1240" s="6" t="s">
        <v>243</v>
      </c>
      <c r="BE1240" s="5" t="s">
        <v>251</v>
      </c>
      <c r="BF1240" s="5" t="s">
        <v>252</v>
      </c>
      <c r="BG1240" s="5" t="s">
        <v>238</v>
      </c>
      <c r="BH1240" s="7">
        <f>0</f>
        <v>0</v>
      </c>
      <c r="BI1240" s="8">
        <f>0</f>
        <v>0</v>
      </c>
      <c r="BJ1240" s="5" t="s">
        <v>253</v>
      </c>
      <c r="BK1240" s="5" t="s">
        <v>254</v>
      </c>
      <c r="BY1240" s="5" t="s">
        <v>238</v>
      </c>
      <c r="BZ1240" s="5" t="s">
        <v>238</v>
      </c>
      <c r="CD1240" s="5" t="s">
        <v>273</v>
      </c>
      <c r="CE1240" s="5" t="s">
        <v>256</v>
      </c>
      <c r="CF1240" s="5" t="s">
        <v>238</v>
      </c>
      <c r="CI1240" s="6" t="s">
        <v>257</v>
      </c>
      <c r="CJ1240" s="5" t="s">
        <v>238</v>
      </c>
      <c r="CK1240" s="5" t="s">
        <v>258</v>
      </c>
      <c r="CL1240" s="5" t="s">
        <v>238</v>
      </c>
      <c r="CM1240" s="5" t="s">
        <v>238</v>
      </c>
      <c r="CN1240" s="5">
        <v>0</v>
      </c>
      <c r="CO1240" s="5" t="s">
        <v>259</v>
      </c>
      <c r="CP1240" s="5" t="s">
        <v>260</v>
      </c>
      <c r="CQ1240" s="5" t="s">
        <v>260</v>
      </c>
      <c r="CR1240" s="5" t="s">
        <v>261</v>
      </c>
      <c r="CU1240" s="8">
        <f>1</f>
        <v>1</v>
      </c>
      <c r="CV1240" s="8">
        <f>0</f>
        <v>0</v>
      </c>
      <c r="CX1240" s="8">
        <f>0</f>
        <v>0</v>
      </c>
      <c r="CY1240" s="8">
        <f>1</f>
        <v>1</v>
      </c>
      <c r="DA1240" s="5" t="s">
        <v>673</v>
      </c>
      <c r="DB1240" s="5" t="s">
        <v>238</v>
      </c>
      <c r="DD1240" s="5" t="s">
        <v>673</v>
      </c>
      <c r="DE1240" s="8">
        <f>1861</f>
        <v>1861</v>
      </c>
      <c r="DG1240" s="5" t="s">
        <v>238</v>
      </c>
      <c r="DH1240" s="5" t="s">
        <v>238</v>
      </c>
      <c r="DI1240" s="5" t="s">
        <v>238</v>
      </c>
      <c r="DJ1240" s="5" t="s">
        <v>238</v>
      </c>
      <c r="DN1240" s="5" t="s">
        <v>238</v>
      </c>
      <c r="DO1240" s="5" t="s">
        <v>238</v>
      </c>
      <c r="DP1240" s="5" t="s">
        <v>238</v>
      </c>
      <c r="DQ1240" s="5" t="s">
        <v>238</v>
      </c>
      <c r="DT1240" s="5" t="s">
        <v>2039</v>
      </c>
      <c r="DU1240" s="5" t="s">
        <v>1985</v>
      </c>
      <c r="HM1240" s="5" t="s">
        <v>264</v>
      </c>
    </row>
    <row r="1241" spans="1:221" x14ac:dyDescent="0.4">
      <c r="A1241" s="5">
        <v>2916</v>
      </c>
      <c r="B1241" s="5">
        <v>1</v>
      </c>
      <c r="C1241" s="5">
        <v>1</v>
      </c>
      <c r="D1241" s="5" t="s">
        <v>2037</v>
      </c>
      <c r="E1241" s="5" t="s">
        <v>271</v>
      </c>
      <c r="F1241" s="5" t="s">
        <v>248</v>
      </c>
      <c r="G1241" s="5" t="s">
        <v>1969</v>
      </c>
      <c r="H1241" s="6" t="s">
        <v>2821</v>
      </c>
      <c r="I1241" s="7">
        <f>741</f>
        <v>741</v>
      </c>
      <c r="J1241" s="5" t="s">
        <v>262</v>
      </c>
      <c r="K1241" s="8">
        <f>1</f>
        <v>1</v>
      </c>
      <c r="L1241" s="6" t="s">
        <v>242</v>
      </c>
      <c r="M1241" s="5" t="s">
        <v>267</v>
      </c>
      <c r="N1241" s="5" t="s">
        <v>265</v>
      </c>
      <c r="O1241" s="5" t="s">
        <v>238</v>
      </c>
      <c r="P1241" s="5" t="s">
        <v>238</v>
      </c>
      <c r="Q1241" s="5" t="s">
        <v>268</v>
      </c>
      <c r="R1241" s="5" t="s">
        <v>270</v>
      </c>
      <c r="S1241" s="5" t="s">
        <v>238</v>
      </c>
      <c r="V1241" s="5" t="s">
        <v>238</v>
      </c>
      <c r="X1241" s="6" t="s">
        <v>238</v>
      </c>
      <c r="AA1241" s="6" t="s">
        <v>243</v>
      </c>
      <c r="AB1241" s="5" t="s">
        <v>238</v>
      </c>
      <c r="AC1241" s="5" t="s">
        <v>244</v>
      </c>
      <c r="AD1241" s="5" t="s">
        <v>245</v>
      </c>
      <c r="AT1241" s="5" t="s">
        <v>246</v>
      </c>
      <c r="AU1241" s="5" t="s">
        <v>238</v>
      </c>
      <c r="AV1241" s="5" t="s">
        <v>247</v>
      </c>
      <c r="AW1241" s="5" t="s">
        <v>238</v>
      </c>
      <c r="AX1241" s="5" t="s">
        <v>249</v>
      </c>
      <c r="AY1241" s="5" t="s">
        <v>238</v>
      </c>
      <c r="BA1241" s="5" t="s">
        <v>238</v>
      </c>
      <c r="BC1241" s="5" t="s">
        <v>250</v>
      </c>
      <c r="BD1241" s="6" t="s">
        <v>243</v>
      </c>
      <c r="BE1241" s="5" t="s">
        <v>251</v>
      </c>
      <c r="BF1241" s="5" t="s">
        <v>252</v>
      </c>
      <c r="BG1241" s="5" t="s">
        <v>238</v>
      </c>
      <c r="BH1241" s="7">
        <f>0</f>
        <v>0</v>
      </c>
      <c r="BI1241" s="8">
        <f>0</f>
        <v>0</v>
      </c>
      <c r="BJ1241" s="5" t="s">
        <v>253</v>
      </c>
      <c r="BK1241" s="5" t="s">
        <v>254</v>
      </c>
      <c r="BY1241" s="5" t="s">
        <v>238</v>
      </c>
      <c r="BZ1241" s="5" t="s">
        <v>238</v>
      </c>
      <c r="CD1241" s="5" t="s">
        <v>273</v>
      </c>
      <c r="CE1241" s="5" t="s">
        <v>256</v>
      </c>
      <c r="CF1241" s="5" t="s">
        <v>238</v>
      </c>
      <c r="CI1241" s="6" t="s">
        <v>257</v>
      </c>
      <c r="CJ1241" s="5" t="s">
        <v>238</v>
      </c>
      <c r="CK1241" s="5" t="s">
        <v>258</v>
      </c>
      <c r="CL1241" s="5" t="s">
        <v>238</v>
      </c>
      <c r="CM1241" s="5" t="s">
        <v>238</v>
      </c>
      <c r="CN1241" s="5">
        <v>0</v>
      </c>
      <c r="CO1241" s="5" t="s">
        <v>259</v>
      </c>
      <c r="CP1241" s="5" t="s">
        <v>260</v>
      </c>
      <c r="CQ1241" s="5" t="s">
        <v>260</v>
      </c>
      <c r="CR1241" s="5" t="s">
        <v>261</v>
      </c>
      <c r="CU1241" s="8">
        <f>1</f>
        <v>1</v>
      </c>
      <c r="CV1241" s="8">
        <f>0</f>
        <v>0</v>
      </c>
      <c r="CX1241" s="8">
        <f>0</f>
        <v>0</v>
      </c>
      <c r="CY1241" s="8">
        <f>1</f>
        <v>1</v>
      </c>
      <c r="DA1241" s="5" t="s">
        <v>673</v>
      </c>
      <c r="DB1241" s="5" t="s">
        <v>238</v>
      </c>
      <c r="DD1241" s="5" t="s">
        <v>673</v>
      </c>
      <c r="DE1241" s="8">
        <f>741</f>
        <v>741</v>
      </c>
      <c r="DG1241" s="5" t="s">
        <v>238</v>
      </c>
      <c r="DH1241" s="5" t="s">
        <v>238</v>
      </c>
      <c r="DI1241" s="5" t="s">
        <v>238</v>
      </c>
      <c r="DJ1241" s="5" t="s">
        <v>238</v>
      </c>
      <c r="DN1241" s="5" t="s">
        <v>238</v>
      </c>
      <c r="DO1241" s="5" t="s">
        <v>238</v>
      </c>
      <c r="DP1241" s="5" t="s">
        <v>238</v>
      </c>
      <c r="DQ1241" s="5" t="s">
        <v>238</v>
      </c>
      <c r="DT1241" s="5" t="s">
        <v>2039</v>
      </c>
      <c r="DU1241" s="5" t="s">
        <v>1995</v>
      </c>
      <c r="HM1241" s="5" t="s">
        <v>264</v>
      </c>
    </row>
    <row r="1242" spans="1:221" x14ac:dyDescent="0.4">
      <c r="A1242" s="5">
        <v>2917</v>
      </c>
      <c r="B1242" s="5">
        <v>1</v>
      </c>
      <c r="C1242" s="5">
        <v>1</v>
      </c>
      <c r="D1242" s="5" t="s">
        <v>2037</v>
      </c>
      <c r="E1242" s="5" t="s">
        <v>271</v>
      </c>
      <c r="F1242" s="5" t="s">
        <v>248</v>
      </c>
      <c r="G1242" s="5" t="s">
        <v>1969</v>
      </c>
      <c r="H1242" s="6" t="s">
        <v>2820</v>
      </c>
      <c r="I1242" s="7">
        <f>1065</f>
        <v>1065</v>
      </c>
      <c r="J1242" s="5" t="s">
        <v>262</v>
      </c>
      <c r="K1242" s="8">
        <f>1</f>
        <v>1</v>
      </c>
      <c r="L1242" s="6" t="s">
        <v>242</v>
      </c>
      <c r="M1242" s="5" t="s">
        <v>267</v>
      </c>
      <c r="N1242" s="5" t="s">
        <v>265</v>
      </c>
      <c r="O1242" s="5" t="s">
        <v>238</v>
      </c>
      <c r="P1242" s="5" t="s">
        <v>238</v>
      </c>
      <c r="Q1242" s="5" t="s">
        <v>268</v>
      </c>
      <c r="R1242" s="5" t="s">
        <v>270</v>
      </c>
      <c r="S1242" s="5" t="s">
        <v>238</v>
      </c>
      <c r="V1242" s="5" t="s">
        <v>238</v>
      </c>
      <c r="X1242" s="6" t="s">
        <v>238</v>
      </c>
      <c r="AA1242" s="6" t="s">
        <v>243</v>
      </c>
      <c r="AB1242" s="5" t="s">
        <v>238</v>
      </c>
      <c r="AC1242" s="5" t="s">
        <v>244</v>
      </c>
      <c r="AD1242" s="5" t="s">
        <v>245</v>
      </c>
      <c r="AT1242" s="5" t="s">
        <v>246</v>
      </c>
      <c r="AU1242" s="5" t="s">
        <v>238</v>
      </c>
      <c r="AV1242" s="5" t="s">
        <v>247</v>
      </c>
      <c r="AW1242" s="5" t="s">
        <v>238</v>
      </c>
      <c r="AX1242" s="5" t="s">
        <v>249</v>
      </c>
      <c r="AY1242" s="5" t="s">
        <v>238</v>
      </c>
      <c r="BA1242" s="5" t="s">
        <v>238</v>
      </c>
      <c r="BC1242" s="5" t="s">
        <v>250</v>
      </c>
      <c r="BD1242" s="6" t="s">
        <v>243</v>
      </c>
      <c r="BE1242" s="5" t="s">
        <v>251</v>
      </c>
      <c r="BF1242" s="5" t="s">
        <v>252</v>
      </c>
      <c r="BG1242" s="5" t="s">
        <v>238</v>
      </c>
      <c r="BH1242" s="7">
        <f>0</f>
        <v>0</v>
      </c>
      <c r="BI1242" s="8">
        <f>0</f>
        <v>0</v>
      </c>
      <c r="BJ1242" s="5" t="s">
        <v>253</v>
      </c>
      <c r="BK1242" s="5" t="s">
        <v>254</v>
      </c>
      <c r="BY1242" s="5" t="s">
        <v>238</v>
      </c>
      <c r="BZ1242" s="5" t="s">
        <v>238</v>
      </c>
      <c r="CD1242" s="5" t="s">
        <v>273</v>
      </c>
      <c r="CE1242" s="5" t="s">
        <v>256</v>
      </c>
      <c r="CF1242" s="5" t="s">
        <v>238</v>
      </c>
      <c r="CI1242" s="6" t="s">
        <v>257</v>
      </c>
      <c r="CJ1242" s="5" t="s">
        <v>238</v>
      </c>
      <c r="CK1242" s="5" t="s">
        <v>258</v>
      </c>
      <c r="CL1242" s="5" t="s">
        <v>238</v>
      </c>
      <c r="CM1242" s="5" t="s">
        <v>238</v>
      </c>
      <c r="CN1242" s="5">
        <v>0</v>
      </c>
      <c r="CO1242" s="5" t="s">
        <v>259</v>
      </c>
      <c r="CP1242" s="5" t="s">
        <v>260</v>
      </c>
      <c r="CQ1242" s="5" t="s">
        <v>260</v>
      </c>
      <c r="CR1242" s="5" t="s">
        <v>261</v>
      </c>
      <c r="CU1242" s="8">
        <f>1</f>
        <v>1</v>
      </c>
      <c r="CV1242" s="8">
        <f>0</f>
        <v>0</v>
      </c>
      <c r="CX1242" s="8">
        <f>0</f>
        <v>0</v>
      </c>
      <c r="CY1242" s="8">
        <f>1</f>
        <v>1</v>
      </c>
      <c r="DA1242" s="5" t="s">
        <v>673</v>
      </c>
      <c r="DB1242" s="5" t="s">
        <v>238</v>
      </c>
      <c r="DD1242" s="5" t="s">
        <v>673</v>
      </c>
      <c r="DE1242" s="8">
        <f>1065</f>
        <v>1065</v>
      </c>
      <c r="DG1242" s="5" t="s">
        <v>238</v>
      </c>
      <c r="DH1242" s="5" t="s">
        <v>238</v>
      </c>
      <c r="DI1242" s="5" t="s">
        <v>238</v>
      </c>
      <c r="DJ1242" s="5" t="s">
        <v>238</v>
      </c>
      <c r="DN1242" s="5" t="s">
        <v>238</v>
      </c>
      <c r="DO1242" s="5" t="s">
        <v>238</v>
      </c>
      <c r="DP1242" s="5" t="s">
        <v>238</v>
      </c>
      <c r="DQ1242" s="5" t="s">
        <v>238</v>
      </c>
      <c r="DT1242" s="5" t="s">
        <v>2039</v>
      </c>
      <c r="DU1242" s="5" t="s">
        <v>1999</v>
      </c>
      <c r="HM1242" s="5" t="s">
        <v>264</v>
      </c>
    </row>
    <row r="1243" spans="1:221" x14ac:dyDescent="0.4">
      <c r="A1243" s="5">
        <v>2918</v>
      </c>
      <c r="B1243" s="5">
        <v>1</v>
      </c>
      <c r="C1243" s="5">
        <v>1</v>
      </c>
      <c r="D1243" s="5" t="s">
        <v>2037</v>
      </c>
      <c r="E1243" s="5" t="s">
        <v>271</v>
      </c>
      <c r="F1243" s="5" t="s">
        <v>248</v>
      </c>
      <c r="G1243" s="5" t="s">
        <v>1969</v>
      </c>
      <c r="H1243" s="6" t="s">
        <v>2818</v>
      </c>
      <c r="I1243" s="7">
        <f>1569</f>
        <v>1569</v>
      </c>
      <c r="J1243" s="5" t="s">
        <v>262</v>
      </c>
      <c r="K1243" s="8">
        <f>1</f>
        <v>1</v>
      </c>
      <c r="L1243" s="6" t="s">
        <v>242</v>
      </c>
      <c r="M1243" s="5" t="s">
        <v>267</v>
      </c>
      <c r="N1243" s="5" t="s">
        <v>265</v>
      </c>
      <c r="O1243" s="5" t="s">
        <v>238</v>
      </c>
      <c r="P1243" s="5" t="s">
        <v>238</v>
      </c>
      <c r="Q1243" s="5" t="s">
        <v>268</v>
      </c>
      <c r="R1243" s="5" t="s">
        <v>270</v>
      </c>
      <c r="S1243" s="5" t="s">
        <v>238</v>
      </c>
      <c r="V1243" s="5" t="s">
        <v>238</v>
      </c>
      <c r="X1243" s="6" t="s">
        <v>238</v>
      </c>
      <c r="AA1243" s="6" t="s">
        <v>243</v>
      </c>
      <c r="AB1243" s="5" t="s">
        <v>238</v>
      </c>
      <c r="AC1243" s="5" t="s">
        <v>244</v>
      </c>
      <c r="AD1243" s="5" t="s">
        <v>245</v>
      </c>
      <c r="AT1243" s="5" t="s">
        <v>246</v>
      </c>
      <c r="AU1243" s="5" t="s">
        <v>238</v>
      </c>
      <c r="AV1243" s="5" t="s">
        <v>247</v>
      </c>
      <c r="AW1243" s="5" t="s">
        <v>238</v>
      </c>
      <c r="AX1243" s="5" t="s">
        <v>249</v>
      </c>
      <c r="AY1243" s="5" t="s">
        <v>238</v>
      </c>
      <c r="BA1243" s="5" t="s">
        <v>238</v>
      </c>
      <c r="BC1243" s="5" t="s">
        <v>250</v>
      </c>
      <c r="BD1243" s="6" t="s">
        <v>243</v>
      </c>
      <c r="BE1243" s="5" t="s">
        <v>251</v>
      </c>
      <c r="BF1243" s="5" t="s">
        <v>252</v>
      </c>
      <c r="BG1243" s="5" t="s">
        <v>238</v>
      </c>
      <c r="BH1243" s="7">
        <f>0</f>
        <v>0</v>
      </c>
      <c r="BI1243" s="8">
        <f>0</f>
        <v>0</v>
      </c>
      <c r="BJ1243" s="5" t="s">
        <v>253</v>
      </c>
      <c r="BK1243" s="5" t="s">
        <v>254</v>
      </c>
      <c r="BY1243" s="5" t="s">
        <v>238</v>
      </c>
      <c r="BZ1243" s="5" t="s">
        <v>238</v>
      </c>
      <c r="CD1243" s="5" t="s">
        <v>273</v>
      </c>
      <c r="CE1243" s="5" t="s">
        <v>256</v>
      </c>
      <c r="CF1243" s="5" t="s">
        <v>238</v>
      </c>
      <c r="CI1243" s="6" t="s">
        <v>257</v>
      </c>
      <c r="CJ1243" s="5" t="s">
        <v>238</v>
      </c>
      <c r="CK1243" s="5" t="s">
        <v>258</v>
      </c>
      <c r="CL1243" s="5" t="s">
        <v>238</v>
      </c>
      <c r="CM1243" s="5" t="s">
        <v>238</v>
      </c>
      <c r="CN1243" s="5">
        <v>0</v>
      </c>
      <c r="CO1243" s="5" t="s">
        <v>259</v>
      </c>
      <c r="CP1243" s="5" t="s">
        <v>260</v>
      </c>
      <c r="CQ1243" s="5" t="s">
        <v>260</v>
      </c>
      <c r="CR1243" s="5" t="s">
        <v>261</v>
      </c>
      <c r="CU1243" s="8">
        <f>1</f>
        <v>1</v>
      </c>
      <c r="CV1243" s="8">
        <f>0</f>
        <v>0</v>
      </c>
      <c r="CX1243" s="8">
        <f>0</f>
        <v>0</v>
      </c>
      <c r="CY1243" s="8">
        <f>1</f>
        <v>1</v>
      </c>
      <c r="DA1243" s="5" t="s">
        <v>673</v>
      </c>
      <c r="DB1243" s="5" t="s">
        <v>238</v>
      </c>
      <c r="DD1243" s="5" t="s">
        <v>673</v>
      </c>
      <c r="DE1243" s="8">
        <f>1569</f>
        <v>1569</v>
      </c>
      <c r="DG1243" s="5" t="s">
        <v>238</v>
      </c>
      <c r="DH1243" s="5" t="s">
        <v>238</v>
      </c>
      <c r="DI1243" s="5" t="s">
        <v>238</v>
      </c>
      <c r="DJ1243" s="5" t="s">
        <v>238</v>
      </c>
      <c r="DN1243" s="5" t="s">
        <v>238</v>
      </c>
      <c r="DO1243" s="5" t="s">
        <v>238</v>
      </c>
      <c r="DP1243" s="5" t="s">
        <v>238</v>
      </c>
      <c r="DQ1243" s="5" t="s">
        <v>238</v>
      </c>
      <c r="DT1243" s="5" t="s">
        <v>2039</v>
      </c>
      <c r="DU1243" s="5" t="s">
        <v>2013</v>
      </c>
      <c r="HM1243" s="5" t="s">
        <v>264</v>
      </c>
    </row>
    <row r="1244" spans="1:221" x14ac:dyDescent="0.4">
      <c r="A1244" s="5">
        <v>2919</v>
      </c>
      <c r="B1244" s="5">
        <v>1</v>
      </c>
      <c r="C1244" s="5">
        <v>1</v>
      </c>
      <c r="D1244" s="5" t="s">
        <v>2037</v>
      </c>
      <c r="E1244" s="5" t="s">
        <v>271</v>
      </c>
      <c r="F1244" s="5" t="s">
        <v>248</v>
      </c>
      <c r="G1244" s="5" t="s">
        <v>1969</v>
      </c>
      <c r="H1244" s="6" t="s">
        <v>2817</v>
      </c>
      <c r="I1244" s="7">
        <f>787</f>
        <v>787</v>
      </c>
      <c r="J1244" s="5" t="s">
        <v>262</v>
      </c>
      <c r="K1244" s="8">
        <f>1</f>
        <v>1</v>
      </c>
      <c r="L1244" s="6" t="s">
        <v>242</v>
      </c>
      <c r="M1244" s="5" t="s">
        <v>267</v>
      </c>
      <c r="N1244" s="5" t="s">
        <v>265</v>
      </c>
      <c r="O1244" s="5" t="s">
        <v>238</v>
      </c>
      <c r="P1244" s="5" t="s">
        <v>238</v>
      </c>
      <c r="Q1244" s="5" t="s">
        <v>268</v>
      </c>
      <c r="R1244" s="5" t="s">
        <v>270</v>
      </c>
      <c r="S1244" s="5" t="s">
        <v>238</v>
      </c>
      <c r="V1244" s="5" t="s">
        <v>238</v>
      </c>
      <c r="X1244" s="6" t="s">
        <v>238</v>
      </c>
      <c r="AA1244" s="6" t="s">
        <v>243</v>
      </c>
      <c r="AB1244" s="5" t="s">
        <v>238</v>
      </c>
      <c r="AC1244" s="5" t="s">
        <v>244</v>
      </c>
      <c r="AD1244" s="5" t="s">
        <v>245</v>
      </c>
      <c r="AT1244" s="5" t="s">
        <v>246</v>
      </c>
      <c r="AU1244" s="5" t="s">
        <v>238</v>
      </c>
      <c r="AV1244" s="5" t="s">
        <v>247</v>
      </c>
      <c r="AW1244" s="5" t="s">
        <v>238</v>
      </c>
      <c r="AX1244" s="5" t="s">
        <v>249</v>
      </c>
      <c r="AY1244" s="5" t="s">
        <v>238</v>
      </c>
      <c r="BA1244" s="5" t="s">
        <v>238</v>
      </c>
      <c r="BC1244" s="5" t="s">
        <v>250</v>
      </c>
      <c r="BD1244" s="6" t="s">
        <v>243</v>
      </c>
      <c r="BE1244" s="5" t="s">
        <v>251</v>
      </c>
      <c r="BF1244" s="5" t="s">
        <v>252</v>
      </c>
      <c r="BG1244" s="5" t="s">
        <v>238</v>
      </c>
      <c r="BH1244" s="7">
        <f>0</f>
        <v>0</v>
      </c>
      <c r="BI1244" s="8">
        <f>0</f>
        <v>0</v>
      </c>
      <c r="BJ1244" s="5" t="s">
        <v>253</v>
      </c>
      <c r="BK1244" s="5" t="s">
        <v>254</v>
      </c>
      <c r="BY1244" s="5" t="s">
        <v>238</v>
      </c>
      <c r="BZ1244" s="5" t="s">
        <v>238</v>
      </c>
      <c r="CD1244" s="5" t="s">
        <v>273</v>
      </c>
      <c r="CE1244" s="5" t="s">
        <v>256</v>
      </c>
      <c r="CF1244" s="5" t="s">
        <v>238</v>
      </c>
      <c r="CI1244" s="6" t="s">
        <v>257</v>
      </c>
      <c r="CJ1244" s="5" t="s">
        <v>238</v>
      </c>
      <c r="CK1244" s="5" t="s">
        <v>258</v>
      </c>
      <c r="CL1244" s="5" t="s">
        <v>238</v>
      </c>
      <c r="CM1244" s="5" t="s">
        <v>238</v>
      </c>
      <c r="CN1244" s="5">
        <v>0</v>
      </c>
      <c r="CO1244" s="5" t="s">
        <v>259</v>
      </c>
      <c r="CP1244" s="5" t="s">
        <v>260</v>
      </c>
      <c r="CQ1244" s="5" t="s">
        <v>260</v>
      </c>
      <c r="CR1244" s="5" t="s">
        <v>261</v>
      </c>
      <c r="CU1244" s="8">
        <f>1</f>
        <v>1</v>
      </c>
      <c r="CV1244" s="8">
        <f>0</f>
        <v>0</v>
      </c>
      <c r="CX1244" s="8">
        <f>0</f>
        <v>0</v>
      </c>
      <c r="CY1244" s="8">
        <f>1</f>
        <v>1</v>
      </c>
      <c r="DA1244" s="5" t="s">
        <v>673</v>
      </c>
      <c r="DB1244" s="5" t="s">
        <v>238</v>
      </c>
      <c r="DD1244" s="5" t="s">
        <v>673</v>
      </c>
      <c r="DE1244" s="8">
        <f>787</f>
        <v>787</v>
      </c>
      <c r="DG1244" s="5" t="s">
        <v>238</v>
      </c>
      <c r="DH1244" s="5" t="s">
        <v>238</v>
      </c>
      <c r="DI1244" s="5" t="s">
        <v>238</v>
      </c>
      <c r="DJ1244" s="5" t="s">
        <v>238</v>
      </c>
      <c r="DN1244" s="5" t="s">
        <v>238</v>
      </c>
      <c r="DO1244" s="5" t="s">
        <v>238</v>
      </c>
      <c r="DP1244" s="5" t="s">
        <v>238</v>
      </c>
      <c r="DQ1244" s="5" t="s">
        <v>238</v>
      </c>
      <c r="DT1244" s="5" t="s">
        <v>2039</v>
      </c>
      <c r="DU1244" s="5" t="s">
        <v>2015</v>
      </c>
      <c r="HM1244" s="5" t="s">
        <v>264</v>
      </c>
    </row>
    <row r="1245" spans="1:221" x14ac:dyDescent="0.4">
      <c r="A1245" s="5">
        <v>2920</v>
      </c>
      <c r="B1245" s="5">
        <v>1</v>
      </c>
      <c r="C1245" s="5">
        <v>1</v>
      </c>
      <c r="D1245" s="5" t="s">
        <v>2037</v>
      </c>
      <c r="E1245" s="5" t="s">
        <v>271</v>
      </c>
      <c r="F1245" s="5" t="s">
        <v>248</v>
      </c>
      <c r="G1245" s="5" t="s">
        <v>1969</v>
      </c>
      <c r="H1245" s="6" t="s">
        <v>2816</v>
      </c>
      <c r="I1245" s="7">
        <f>1056</f>
        <v>1056</v>
      </c>
      <c r="J1245" s="5" t="s">
        <v>262</v>
      </c>
      <c r="K1245" s="8">
        <f>1</f>
        <v>1</v>
      </c>
      <c r="L1245" s="6" t="s">
        <v>242</v>
      </c>
      <c r="M1245" s="5" t="s">
        <v>267</v>
      </c>
      <c r="N1245" s="5" t="s">
        <v>265</v>
      </c>
      <c r="O1245" s="5" t="s">
        <v>238</v>
      </c>
      <c r="P1245" s="5" t="s">
        <v>238</v>
      </c>
      <c r="Q1245" s="5" t="s">
        <v>268</v>
      </c>
      <c r="R1245" s="5" t="s">
        <v>270</v>
      </c>
      <c r="S1245" s="5" t="s">
        <v>238</v>
      </c>
      <c r="V1245" s="5" t="s">
        <v>238</v>
      </c>
      <c r="X1245" s="6" t="s">
        <v>238</v>
      </c>
      <c r="AA1245" s="6" t="s">
        <v>243</v>
      </c>
      <c r="AB1245" s="5" t="s">
        <v>238</v>
      </c>
      <c r="AC1245" s="5" t="s">
        <v>244</v>
      </c>
      <c r="AD1245" s="5" t="s">
        <v>245</v>
      </c>
      <c r="AT1245" s="5" t="s">
        <v>246</v>
      </c>
      <c r="AU1245" s="5" t="s">
        <v>238</v>
      </c>
      <c r="AV1245" s="5" t="s">
        <v>247</v>
      </c>
      <c r="AW1245" s="5" t="s">
        <v>238</v>
      </c>
      <c r="AX1245" s="5" t="s">
        <v>249</v>
      </c>
      <c r="AY1245" s="5" t="s">
        <v>238</v>
      </c>
      <c r="BA1245" s="5" t="s">
        <v>238</v>
      </c>
      <c r="BC1245" s="5" t="s">
        <v>250</v>
      </c>
      <c r="BD1245" s="6" t="s">
        <v>243</v>
      </c>
      <c r="BE1245" s="5" t="s">
        <v>251</v>
      </c>
      <c r="BF1245" s="5" t="s">
        <v>252</v>
      </c>
      <c r="BG1245" s="5" t="s">
        <v>238</v>
      </c>
      <c r="BH1245" s="7">
        <f>0</f>
        <v>0</v>
      </c>
      <c r="BI1245" s="8">
        <f>0</f>
        <v>0</v>
      </c>
      <c r="BJ1245" s="5" t="s">
        <v>253</v>
      </c>
      <c r="BK1245" s="5" t="s">
        <v>254</v>
      </c>
      <c r="BY1245" s="5" t="s">
        <v>238</v>
      </c>
      <c r="BZ1245" s="5" t="s">
        <v>238</v>
      </c>
      <c r="CD1245" s="5" t="s">
        <v>273</v>
      </c>
      <c r="CE1245" s="5" t="s">
        <v>256</v>
      </c>
      <c r="CF1245" s="5" t="s">
        <v>238</v>
      </c>
      <c r="CI1245" s="6" t="s">
        <v>257</v>
      </c>
      <c r="CJ1245" s="5" t="s">
        <v>238</v>
      </c>
      <c r="CK1245" s="5" t="s">
        <v>258</v>
      </c>
      <c r="CL1245" s="5" t="s">
        <v>238</v>
      </c>
      <c r="CM1245" s="5" t="s">
        <v>238</v>
      </c>
      <c r="CN1245" s="5">
        <v>0</v>
      </c>
      <c r="CO1245" s="5" t="s">
        <v>259</v>
      </c>
      <c r="CP1245" s="5" t="s">
        <v>260</v>
      </c>
      <c r="CQ1245" s="5" t="s">
        <v>260</v>
      </c>
      <c r="CR1245" s="5" t="s">
        <v>261</v>
      </c>
      <c r="CU1245" s="8">
        <f>1</f>
        <v>1</v>
      </c>
      <c r="CV1245" s="8">
        <f>0</f>
        <v>0</v>
      </c>
      <c r="CX1245" s="8">
        <f>0</f>
        <v>0</v>
      </c>
      <c r="CY1245" s="8">
        <f>1</f>
        <v>1</v>
      </c>
      <c r="DA1245" s="5" t="s">
        <v>673</v>
      </c>
      <c r="DB1245" s="5" t="s">
        <v>238</v>
      </c>
      <c r="DD1245" s="5" t="s">
        <v>673</v>
      </c>
      <c r="DE1245" s="8">
        <f>1056</f>
        <v>1056</v>
      </c>
      <c r="DG1245" s="5" t="s">
        <v>238</v>
      </c>
      <c r="DH1245" s="5" t="s">
        <v>238</v>
      </c>
      <c r="DI1245" s="5" t="s">
        <v>238</v>
      </c>
      <c r="DJ1245" s="5" t="s">
        <v>238</v>
      </c>
      <c r="DN1245" s="5" t="s">
        <v>238</v>
      </c>
      <c r="DO1245" s="5" t="s">
        <v>238</v>
      </c>
      <c r="DP1245" s="5" t="s">
        <v>238</v>
      </c>
      <c r="DQ1245" s="5" t="s">
        <v>238</v>
      </c>
      <c r="DT1245" s="5" t="s">
        <v>2039</v>
      </c>
      <c r="DU1245" s="5" t="s">
        <v>2025</v>
      </c>
      <c r="HM1245" s="5" t="s">
        <v>264</v>
      </c>
    </row>
    <row r="1246" spans="1:221" x14ac:dyDescent="0.4">
      <c r="A1246" s="5">
        <v>2921</v>
      </c>
      <c r="B1246" s="5">
        <v>1</v>
      </c>
      <c r="C1246" s="5">
        <v>1</v>
      </c>
      <c r="D1246" s="5" t="s">
        <v>2037</v>
      </c>
      <c r="E1246" s="5" t="s">
        <v>271</v>
      </c>
      <c r="F1246" s="5" t="s">
        <v>248</v>
      </c>
      <c r="G1246" s="5" t="s">
        <v>1969</v>
      </c>
      <c r="H1246" s="6" t="s">
        <v>2815</v>
      </c>
      <c r="I1246" s="7">
        <f>501</f>
        <v>501</v>
      </c>
      <c r="J1246" s="5" t="s">
        <v>262</v>
      </c>
      <c r="K1246" s="8">
        <f>1</f>
        <v>1</v>
      </c>
      <c r="L1246" s="6" t="s">
        <v>242</v>
      </c>
      <c r="M1246" s="5" t="s">
        <v>267</v>
      </c>
      <c r="N1246" s="5" t="s">
        <v>265</v>
      </c>
      <c r="O1246" s="5" t="s">
        <v>238</v>
      </c>
      <c r="P1246" s="5" t="s">
        <v>238</v>
      </c>
      <c r="Q1246" s="5" t="s">
        <v>268</v>
      </c>
      <c r="R1246" s="5" t="s">
        <v>270</v>
      </c>
      <c r="S1246" s="5" t="s">
        <v>238</v>
      </c>
      <c r="V1246" s="5" t="s">
        <v>238</v>
      </c>
      <c r="X1246" s="6" t="s">
        <v>238</v>
      </c>
      <c r="AA1246" s="6" t="s">
        <v>243</v>
      </c>
      <c r="AB1246" s="5" t="s">
        <v>238</v>
      </c>
      <c r="AC1246" s="5" t="s">
        <v>244</v>
      </c>
      <c r="AD1246" s="5" t="s">
        <v>245</v>
      </c>
      <c r="AT1246" s="5" t="s">
        <v>246</v>
      </c>
      <c r="AU1246" s="5" t="s">
        <v>238</v>
      </c>
      <c r="AV1246" s="5" t="s">
        <v>247</v>
      </c>
      <c r="AW1246" s="5" t="s">
        <v>238</v>
      </c>
      <c r="AX1246" s="5" t="s">
        <v>249</v>
      </c>
      <c r="AY1246" s="5" t="s">
        <v>238</v>
      </c>
      <c r="BA1246" s="5" t="s">
        <v>238</v>
      </c>
      <c r="BC1246" s="5" t="s">
        <v>250</v>
      </c>
      <c r="BD1246" s="6" t="s">
        <v>243</v>
      </c>
      <c r="BE1246" s="5" t="s">
        <v>251</v>
      </c>
      <c r="BF1246" s="5" t="s">
        <v>252</v>
      </c>
      <c r="BG1246" s="5" t="s">
        <v>238</v>
      </c>
      <c r="BH1246" s="7">
        <f>0</f>
        <v>0</v>
      </c>
      <c r="BI1246" s="8">
        <f>0</f>
        <v>0</v>
      </c>
      <c r="BJ1246" s="5" t="s">
        <v>253</v>
      </c>
      <c r="BK1246" s="5" t="s">
        <v>254</v>
      </c>
      <c r="BY1246" s="5" t="s">
        <v>238</v>
      </c>
      <c r="BZ1246" s="5" t="s">
        <v>238</v>
      </c>
      <c r="CD1246" s="5" t="s">
        <v>273</v>
      </c>
      <c r="CE1246" s="5" t="s">
        <v>256</v>
      </c>
      <c r="CF1246" s="5" t="s">
        <v>238</v>
      </c>
      <c r="CI1246" s="6" t="s">
        <v>257</v>
      </c>
      <c r="CJ1246" s="5" t="s">
        <v>238</v>
      </c>
      <c r="CK1246" s="5" t="s">
        <v>258</v>
      </c>
      <c r="CL1246" s="5" t="s">
        <v>238</v>
      </c>
      <c r="CM1246" s="5" t="s">
        <v>238</v>
      </c>
      <c r="CN1246" s="5">
        <v>0</v>
      </c>
      <c r="CO1246" s="5" t="s">
        <v>259</v>
      </c>
      <c r="CP1246" s="5" t="s">
        <v>260</v>
      </c>
      <c r="CQ1246" s="5" t="s">
        <v>260</v>
      </c>
      <c r="CR1246" s="5" t="s">
        <v>261</v>
      </c>
      <c r="CU1246" s="8">
        <f>1</f>
        <v>1</v>
      </c>
      <c r="CV1246" s="8">
        <f>0</f>
        <v>0</v>
      </c>
      <c r="CX1246" s="8">
        <f>0</f>
        <v>0</v>
      </c>
      <c r="CY1246" s="8">
        <f>1</f>
        <v>1</v>
      </c>
      <c r="DA1246" s="5" t="s">
        <v>673</v>
      </c>
      <c r="DB1246" s="5" t="s">
        <v>238</v>
      </c>
      <c r="DD1246" s="5" t="s">
        <v>673</v>
      </c>
      <c r="DE1246" s="8">
        <f>501</f>
        <v>501</v>
      </c>
      <c r="DG1246" s="5" t="s">
        <v>238</v>
      </c>
      <c r="DH1246" s="5" t="s">
        <v>238</v>
      </c>
      <c r="DI1246" s="5" t="s">
        <v>238</v>
      </c>
      <c r="DJ1246" s="5" t="s">
        <v>238</v>
      </c>
      <c r="DN1246" s="5" t="s">
        <v>238</v>
      </c>
      <c r="DO1246" s="5" t="s">
        <v>238</v>
      </c>
      <c r="DP1246" s="5" t="s">
        <v>238</v>
      </c>
      <c r="DQ1246" s="5" t="s">
        <v>238</v>
      </c>
      <c r="DT1246" s="5" t="s">
        <v>2039</v>
      </c>
      <c r="DU1246" s="5" t="s">
        <v>2029</v>
      </c>
      <c r="HM1246" s="5" t="s">
        <v>264</v>
      </c>
    </row>
    <row r="1247" spans="1:221" x14ac:dyDescent="0.4">
      <c r="A1247" s="5">
        <v>2922</v>
      </c>
      <c r="B1247" s="5">
        <v>1</v>
      </c>
      <c r="C1247" s="5">
        <v>1</v>
      </c>
      <c r="D1247" s="5" t="s">
        <v>2037</v>
      </c>
      <c r="E1247" s="5" t="s">
        <v>271</v>
      </c>
      <c r="F1247" s="5" t="s">
        <v>248</v>
      </c>
      <c r="G1247" s="5" t="s">
        <v>1969</v>
      </c>
      <c r="H1247" s="6" t="s">
        <v>2813</v>
      </c>
      <c r="I1247" s="7">
        <f>2149</f>
        <v>2149</v>
      </c>
      <c r="J1247" s="5" t="s">
        <v>262</v>
      </c>
      <c r="K1247" s="8">
        <f>1</f>
        <v>1</v>
      </c>
      <c r="L1247" s="6" t="s">
        <v>242</v>
      </c>
      <c r="M1247" s="5" t="s">
        <v>267</v>
      </c>
      <c r="N1247" s="5" t="s">
        <v>265</v>
      </c>
      <c r="O1247" s="5" t="s">
        <v>238</v>
      </c>
      <c r="P1247" s="5" t="s">
        <v>238</v>
      </c>
      <c r="Q1247" s="5" t="s">
        <v>268</v>
      </c>
      <c r="R1247" s="5" t="s">
        <v>270</v>
      </c>
      <c r="S1247" s="5" t="s">
        <v>238</v>
      </c>
      <c r="V1247" s="5" t="s">
        <v>238</v>
      </c>
      <c r="X1247" s="6" t="s">
        <v>238</v>
      </c>
      <c r="AA1247" s="6" t="s">
        <v>243</v>
      </c>
      <c r="AB1247" s="5" t="s">
        <v>238</v>
      </c>
      <c r="AC1247" s="5" t="s">
        <v>244</v>
      </c>
      <c r="AD1247" s="5" t="s">
        <v>245</v>
      </c>
      <c r="AT1247" s="5" t="s">
        <v>246</v>
      </c>
      <c r="AU1247" s="5" t="s">
        <v>238</v>
      </c>
      <c r="AV1247" s="5" t="s">
        <v>247</v>
      </c>
      <c r="AW1247" s="5" t="s">
        <v>238</v>
      </c>
      <c r="AX1247" s="5" t="s">
        <v>249</v>
      </c>
      <c r="AY1247" s="5" t="s">
        <v>238</v>
      </c>
      <c r="BA1247" s="5" t="s">
        <v>238</v>
      </c>
      <c r="BC1247" s="5" t="s">
        <v>250</v>
      </c>
      <c r="BD1247" s="6" t="s">
        <v>243</v>
      </c>
      <c r="BE1247" s="5" t="s">
        <v>251</v>
      </c>
      <c r="BF1247" s="5" t="s">
        <v>252</v>
      </c>
      <c r="BG1247" s="5" t="s">
        <v>238</v>
      </c>
      <c r="BH1247" s="7">
        <f>0</f>
        <v>0</v>
      </c>
      <c r="BI1247" s="8">
        <f>0</f>
        <v>0</v>
      </c>
      <c r="BJ1247" s="5" t="s">
        <v>253</v>
      </c>
      <c r="BK1247" s="5" t="s">
        <v>254</v>
      </c>
      <c r="BY1247" s="5" t="s">
        <v>238</v>
      </c>
      <c r="BZ1247" s="5" t="s">
        <v>238</v>
      </c>
      <c r="CD1247" s="5" t="s">
        <v>273</v>
      </c>
      <c r="CE1247" s="5" t="s">
        <v>256</v>
      </c>
      <c r="CF1247" s="5" t="s">
        <v>238</v>
      </c>
      <c r="CI1247" s="6" t="s">
        <v>257</v>
      </c>
      <c r="CJ1247" s="5" t="s">
        <v>238</v>
      </c>
      <c r="CK1247" s="5" t="s">
        <v>258</v>
      </c>
      <c r="CL1247" s="5" t="s">
        <v>238</v>
      </c>
      <c r="CM1247" s="5" t="s">
        <v>238</v>
      </c>
      <c r="CN1247" s="5">
        <v>0</v>
      </c>
      <c r="CO1247" s="5" t="s">
        <v>259</v>
      </c>
      <c r="CP1247" s="5" t="s">
        <v>260</v>
      </c>
      <c r="CQ1247" s="5" t="s">
        <v>260</v>
      </c>
      <c r="CR1247" s="5" t="s">
        <v>261</v>
      </c>
      <c r="CU1247" s="8">
        <f>1</f>
        <v>1</v>
      </c>
      <c r="CV1247" s="8">
        <f>0</f>
        <v>0</v>
      </c>
      <c r="CX1247" s="8">
        <f>0</f>
        <v>0</v>
      </c>
      <c r="CY1247" s="8">
        <f>1</f>
        <v>1</v>
      </c>
      <c r="DA1247" s="5" t="s">
        <v>673</v>
      </c>
      <c r="DB1247" s="5" t="s">
        <v>238</v>
      </c>
      <c r="DD1247" s="5" t="s">
        <v>673</v>
      </c>
      <c r="DE1247" s="8">
        <f>2149</f>
        <v>2149</v>
      </c>
      <c r="DG1247" s="5" t="s">
        <v>238</v>
      </c>
      <c r="DH1247" s="5" t="s">
        <v>238</v>
      </c>
      <c r="DI1247" s="5" t="s">
        <v>238</v>
      </c>
      <c r="DJ1247" s="5" t="s">
        <v>238</v>
      </c>
      <c r="DN1247" s="5" t="s">
        <v>238</v>
      </c>
      <c r="DO1247" s="5" t="s">
        <v>238</v>
      </c>
      <c r="DP1247" s="5" t="s">
        <v>238</v>
      </c>
      <c r="DQ1247" s="5" t="s">
        <v>238</v>
      </c>
      <c r="DT1247" s="5" t="s">
        <v>2039</v>
      </c>
      <c r="DU1247" s="5" t="s">
        <v>2814</v>
      </c>
      <c r="HM1247" s="5" t="s">
        <v>264</v>
      </c>
    </row>
    <row r="1248" spans="1:221" x14ac:dyDescent="0.4">
      <c r="A1248" s="5">
        <v>2923</v>
      </c>
      <c r="B1248" s="5">
        <v>1</v>
      </c>
      <c r="C1248" s="5">
        <v>1</v>
      </c>
      <c r="D1248" s="5" t="s">
        <v>2037</v>
      </c>
      <c r="E1248" s="5" t="s">
        <v>271</v>
      </c>
      <c r="F1248" s="5" t="s">
        <v>248</v>
      </c>
      <c r="G1248" s="5" t="s">
        <v>1969</v>
      </c>
      <c r="H1248" s="6" t="s">
        <v>2811</v>
      </c>
      <c r="I1248" s="7">
        <f>1092</f>
        <v>1092</v>
      </c>
      <c r="J1248" s="5" t="s">
        <v>262</v>
      </c>
      <c r="K1248" s="8">
        <f>1</f>
        <v>1</v>
      </c>
      <c r="L1248" s="6" t="s">
        <v>242</v>
      </c>
      <c r="M1248" s="5" t="s">
        <v>267</v>
      </c>
      <c r="N1248" s="5" t="s">
        <v>265</v>
      </c>
      <c r="O1248" s="5" t="s">
        <v>238</v>
      </c>
      <c r="P1248" s="5" t="s">
        <v>238</v>
      </c>
      <c r="Q1248" s="5" t="s">
        <v>268</v>
      </c>
      <c r="R1248" s="5" t="s">
        <v>270</v>
      </c>
      <c r="S1248" s="5" t="s">
        <v>238</v>
      </c>
      <c r="V1248" s="5" t="s">
        <v>238</v>
      </c>
      <c r="X1248" s="6" t="s">
        <v>238</v>
      </c>
      <c r="AA1248" s="6" t="s">
        <v>243</v>
      </c>
      <c r="AB1248" s="5" t="s">
        <v>238</v>
      </c>
      <c r="AC1248" s="5" t="s">
        <v>244</v>
      </c>
      <c r="AD1248" s="5" t="s">
        <v>245</v>
      </c>
      <c r="AT1248" s="5" t="s">
        <v>246</v>
      </c>
      <c r="AU1248" s="5" t="s">
        <v>238</v>
      </c>
      <c r="AV1248" s="5" t="s">
        <v>247</v>
      </c>
      <c r="AW1248" s="5" t="s">
        <v>238</v>
      </c>
      <c r="AX1248" s="5" t="s">
        <v>249</v>
      </c>
      <c r="AY1248" s="5" t="s">
        <v>238</v>
      </c>
      <c r="BA1248" s="5" t="s">
        <v>238</v>
      </c>
      <c r="BC1248" s="5" t="s">
        <v>250</v>
      </c>
      <c r="BD1248" s="6" t="s">
        <v>243</v>
      </c>
      <c r="BE1248" s="5" t="s">
        <v>251</v>
      </c>
      <c r="BF1248" s="5" t="s">
        <v>252</v>
      </c>
      <c r="BG1248" s="5" t="s">
        <v>238</v>
      </c>
      <c r="BH1248" s="7">
        <f>0</f>
        <v>0</v>
      </c>
      <c r="BI1248" s="8">
        <f>0</f>
        <v>0</v>
      </c>
      <c r="BJ1248" s="5" t="s">
        <v>253</v>
      </c>
      <c r="BK1248" s="5" t="s">
        <v>254</v>
      </c>
      <c r="BY1248" s="5" t="s">
        <v>238</v>
      </c>
      <c r="BZ1248" s="5" t="s">
        <v>238</v>
      </c>
      <c r="CD1248" s="5" t="s">
        <v>273</v>
      </c>
      <c r="CE1248" s="5" t="s">
        <v>256</v>
      </c>
      <c r="CF1248" s="5" t="s">
        <v>238</v>
      </c>
      <c r="CI1248" s="6" t="s">
        <v>257</v>
      </c>
      <c r="CJ1248" s="5" t="s">
        <v>238</v>
      </c>
      <c r="CK1248" s="5" t="s">
        <v>258</v>
      </c>
      <c r="CL1248" s="5" t="s">
        <v>238</v>
      </c>
      <c r="CM1248" s="5" t="s">
        <v>238</v>
      </c>
      <c r="CN1248" s="5">
        <v>0</v>
      </c>
      <c r="CO1248" s="5" t="s">
        <v>259</v>
      </c>
      <c r="CP1248" s="5" t="s">
        <v>260</v>
      </c>
      <c r="CQ1248" s="5" t="s">
        <v>260</v>
      </c>
      <c r="CR1248" s="5" t="s">
        <v>261</v>
      </c>
      <c r="CU1248" s="8">
        <f>1</f>
        <v>1</v>
      </c>
      <c r="CV1248" s="8">
        <f>0</f>
        <v>0</v>
      </c>
      <c r="CX1248" s="8">
        <f>0</f>
        <v>0</v>
      </c>
      <c r="CY1248" s="8">
        <f>1</f>
        <v>1</v>
      </c>
      <c r="DA1248" s="5" t="s">
        <v>673</v>
      </c>
      <c r="DB1248" s="5" t="s">
        <v>238</v>
      </c>
      <c r="DD1248" s="5" t="s">
        <v>673</v>
      </c>
      <c r="DE1248" s="8">
        <f>1092</f>
        <v>1092</v>
      </c>
      <c r="DG1248" s="5" t="s">
        <v>238</v>
      </c>
      <c r="DH1248" s="5" t="s">
        <v>238</v>
      </c>
      <c r="DI1248" s="5" t="s">
        <v>238</v>
      </c>
      <c r="DJ1248" s="5" t="s">
        <v>238</v>
      </c>
      <c r="DN1248" s="5" t="s">
        <v>238</v>
      </c>
      <c r="DO1248" s="5" t="s">
        <v>238</v>
      </c>
      <c r="DP1248" s="5" t="s">
        <v>238</v>
      </c>
      <c r="DQ1248" s="5" t="s">
        <v>238</v>
      </c>
      <c r="DT1248" s="5" t="s">
        <v>2039</v>
      </c>
      <c r="DU1248" s="5" t="s">
        <v>2812</v>
      </c>
      <c r="HM1248" s="5" t="s">
        <v>264</v>
      </c>
    </row>
    <row r="1249" spans="1:221" x14ac:dyDescent="0.4">
      <c r="A1249" s="5">
        <v>2924</v>
      </c>
      <c r="B1249" s="5">
        <v>1</v>
      </c>
      <c r="C1249" s="5">
        <v>1</v>
      </c>
      <c r="D1249" s="5" t="s">
        <v>2037</v>
      </c>
      <c r="E1249" s="5" t="s">
        <v>271</v>
      </c>
      <c r="F1249" s="5" t="s">
        <v>248</v>
      </c>
      <c r="G1249" s="5" t="s">
        <v>1969</v>
      </c>
      <c r="H1249" s="6" t="s">
        <v>2810</v>
      </c>
      <c r="I1249" s="7">
        <f>6011</f>
        <v>6011</v>
      </c>
      <c r="J1249" s="5" t="s">
        <v>262</v>
      </c>
      <c r="K1249" s="8">
        <f>1</f>
        <v>1</v>
      </c>
      <c r="L1249" s="6" t="s">
        <v>242</v>
      </c>
      <c r="M1249" s="5" t="s">
        <v>267</v>
      </c>
      <c r="N1249" s="5" t="s">
        <v>265</v>
      </c>
      <c r="O1249" s="5" t="s">
        <v>238</v>
      </c>
      <c r="P1249" s="5" t="s">
        <v>238</v>
      </c>
      <c r="Q1249" s="5" t="s">
        <v>268</v>
      </c>
      <c r="R1249" s="5" t="s">
        <v>270</v>
      </c>
      <c r="S1249" s="5" t="s">
        <v>238</v>
      </c>
      <c r="V1249" s="5" t="s">
        <v>238</v>
      </c>
      <c r="X1249" s="6" t="s">
        <v>238</v>
      </c>
      <c r="AA1249" s="6" t="s">
        <v>243</v>
      </c>
      <c r="AB1249" s="5" t="s">
        <v>238</v>
      </c>
      <c r="AC1249" s="5" t="s">
        <v>244</v>
      </c>
      <c r="AD1249" s="5" t="s">
        <v>245</v>
      </c>
      <c r="AT1249" s="5" t="s">
        <v>246</v>
      </c>
      <c r="AU1249" s="5" t="s">
        <v>238</v>
      </c>
      <c r="AV1249" s="5" t="s">
        <v>247</v>
      </c>
      <c r="AW1249" s="5" t="s">
        <v>238</v>
      </c>
      <c r="AX1249" s="5" t="s">
        <v>249</v>
      </c>
      <c r="AY1249" s="5" t="s">
        <v>238</v>
      </c>
      <c r="BA1249" s="5" t="s">
        <v>238</v>
      </c>
      <c r="BC1249" s="5" t="s">
        <v>250</v>
      </c>
      <c r="BD1249" s="6" t="s">
        <v>243</v>
      </c>
      <c r="BE1249" s="5" t="s">
        <v>251</v>
      </c>
      <c r="BF1249" s="5" t="s">
        <v>252</v>
      </c>
      <c r="BG1249" s="5" t="s">
        <v>238</v>
      </c>
      <c r="BH1249" s="7">
        <f>0</f>
        <v>0</v>
      </c>
      <c r="BI1249" s="8">
        <f>0</f>
        <v>0</v>
      </c>
      <c r="BJ1249" s="5" t="s">
        <v>253</v>
      </c>
      <c r="BK1249" s="5" t="s">
        <v>254</v>
      </c>
      <c r="BY1249" s="5" t="s">
        <v>238</v>
      </c>
      <c r="BZ1249" s="5" t="s">
        <v>238</v>
      </c>
      <c r="CD1249" s="5" t="s">
        <v>273</v>
      </c>
      <c r="CE1249" s="5" t="s">
        <v>256</v>
      </c>
      <c r="CF1249" s="5" t="s">
        <v>238</v>
      </c>
      <c r="CI1249" s="6" t="s">
        <v>257</v>
      </c>
      <c r="CJ1249" s="5" t="s">
        <v>238</v>
      </c>
      <c r="CK1249" s="5" t="s">
        <v>258</v>
      </c>
      <c r="CL1249" s="5" t="s">
        <v>238</v>
      </c>
      <c r="CM1249" s="5" t="s">
        <v>238</v>
      </c>
      <c r="CN1249" s="5">
        <v>0</v>
      </c>
      <c r="CO1249" s="5" t="s">
        <v>259</v>
      </c>
      <c r="CP1249" s="5" t="s">
        <v>260</v>
      </c>
      <c r="CQ1249" s="5" t="s">
        <v>260</v>
      </c>
      <c r="CR1249" s="5" t="s">
        <v>261</v>
      </c>
      <c r="CU1249" s="8">
        <f>1</f>
        <v>1</v>
      </c>
      <c r="CV1249" s="8">
        <f>0</f>
        <v>0</v>
      </c>
      <c r="CX1249" s="8">
        <f>0</f>
        <v>0</v>
      </c>
      <c r="CY1249" s="8">
        <f>1</f>
        <v>1</v>
      </c>
      <c r="DA1249" s="5" t="s">
        <v>673</v>
      </c>
      <c r="DB1249" s="5" t="s">
        <v>238</v>
      </c>
      <c r="DD1249" s="5" t="s">
        <v>673</v>
      </c>
      <c r="DE1249" s="8">
        <f>6011</f>
        <v>6011</v>
      </c>
      <c r="DG1249" s="5" t="s">
        <v>238</v>
      </c>
      <c r="DH1249" s="5" t="s">
        <v>238</v>
      </c>
      <c r="DI1249" s="5" t="s">
        <v>238</v>
      </c>
      <c r="DJ1249" s="5" t="s">
        <v>238</v>
      </c>
      <c r="DN1249" s="5" t="s">
        <v>238</v>
      </c>
      <c r="DO1249" s="5" t="s">
        <v>238</v>
      </c>
      <c r="DP1249" s="5" t="s">
        <v>238</v>
      </c>
      <c r="DQ1249" s="5" t="s">
        <v>238</v>
      </c>
      <c r="DT1249" s="5" t="s">
        <v>2039</v>
      </c>
      <c r="DU1249" s="5" t="s">
        <v>1896</v>
      </c>
      <c r="HM1249" s="5" t="s">
        <v>264</v>
      </c>
    </row>
    <row r="1250" spans="1:221" x14ac:dyDescent="0.4">
      <c r="A1250" s="5">
        <v>2925</v>
      </c>
      <c r="B1250" s="5">
        <v>1</v>
      </c>
      <c r="C1250" s="5">
        <v>1</v>
      </c>
      <c r="D1250" s="5" t="s">
        <v>2037</v>
      </c>
      <c r="E1250" s="5" t="s">
        <v>271</v>
      </c>
      <c r="F1250" s="5" t="s">
        <v>248</v>
      </c>
      <c r="G1250" s="5" t="s">
        <v>1969</v>
      </c>
      <c r="H1250" s="6" t="s">
        <v>2808</v>
      </c>
      <c r="I1250" s="7">
        <f>933</f>
        <v>933</v>
      </c>
      <c r="J1250" s="5" t="s">
        <v>262</v>
      </c>
      <c r="K1250" s="8">
        <f>1</f>
        <v>1</v>
      </c>
      <c r="L1250" s="6" t="s">
        <v>242</v>
      </c>
      <c r="M1250" s="5" t="s">
        <v>267</v>
      </c>
      <c r="N1250" s="5" t="s">
        <v>265</v>
      </c>
      <c r="O1250" s="5" t="s">
        <v>238</v>
      </c>
      <c r="P1250" s="5" t="s">
        <v>238</v>
      </c>
      <c r="Q1250" s="5" t="s">
        <v>268</v>
      </c>
      <c r="R1250" s="5" t="s">
        <v>270</v>
      </c>
      <c r="S1250" s="5" t="s">
        <v>238</v>
      </c>
      <c r="V1250" s="5" t="s">
        <v>238</v>
      </c>
      <c r="X1250" s="6" t="s">
        <v>238</v>
      </c>
      <c r="AA1250" s="6" t="s">
        <v>243</v>
      </c>
      <c r="AB1250" s="5" t="s">
        <v>238</v>
      </c>
      <c r="AC1250" s="5" t="s">
        <v>244</v>
      </c>
      <c r="AD1250" s="5" t="s">
        <v>245</v>
      </c>
      <c r="AT1250" s="5" t="s">
        <v>246</v>
      </c>
      <c r="AU1250" s="5" t="s">
        <v>238</v>
      </c>
      <c r="AV1250" s="5" t="s">
        <v>247</v>
      </c>
      <c r="AW1250" s="5" t="s">
        <v>238</v>
      </c>
      <c r="AX1250" s="5" t="s">
        <v>249</v>
      </c>
      <c r="AY1250" s="5" t="s">
        <v>238</v>
      </c>
      <c r="BA1250" s="5" t="s">
        <v>238</v>
      </c>
      <c r="BC1250" s="5" t="s">
        <v>250</v>
      </c>
      <c r="BD1250" s="6" t="s">
        <v>243</v>
      </c>
      <c r="BE1250" s="5" t="s">
        <v>251</v>
      </c>
      <c r="BF1250" s="5" t="s">
        <v>252</v>
      </c>
      <c r="BG1250" s="5" t="s">
        <v>238</v>
      </c>
      <c r="BH1250" s="7">
        <f>0</f>
        <v>0</v>
      </c>
      <c r="BI1250" s="8">
        <f>0</f>
        <v>0</v>
      </c>
      <c r="BJ1250" s="5" t="s">
        <v>253</v>
      </c>
      <c r="BK1250" s="5" t="s">
        <v>254</v>
      </c>
      <c r="BY1250" s="5" t="s">
        <v>238</v>
      </c>
      <c r="BZ1250" s="5" t="s">
        <v>238</v>
      </c>
      <c r="CD1250" s="5" t="s">
        <v>273</v>
      </c>
      <c r="CE1250" s="5" t="s">
        <v>256</v>
      </c>
      <c r="CF1250" s="5" t="s">
        <v>238</v>
      </c>
      <c r="CI1250" s="6" t="s">
        <v>257</v>
      </c>
      <c r="CJ1250" s="5" t="s">
        <v>238</v>
      </c>
      <c r="CK1250" s="5" t="s">
        <v>258</v>
      </c>
      <c r="CL1250" s="5" t="s">
        <v>238</v>
      </c>
      <c r="CM1250" s="5" t="s">
        <v>238</v>
      </c>
      <c r="CN1250" s="5">
        <v>0</v>
      </c>
      <c r="CO1250" s="5" t="s">
        <v>259</v>
      </c>
      <c r="CP1250" s="5" t="s">
        <v>260</v>
      </c>
      <c r="CQ1250" s="5" t="s">
        <v>260</v>
      </c>
      <c r="CR1250" s="5" t="s">
        <v>261</v>
      </c>
      <c r="CU1250" s="8">
        <f>1</f>
        <v>1</v>
      </c>
      <c r="CV1250" s="8">
        <f>0</f>
        <v>0</v>
      </c>
      <c r="CX1250" s="8">
        <f>0</f>
        <v>0</v>
      </c>
      <c r="CY1250" s="8">
        <f>1</f>
        <v>1</v>
      </c>
      <c r="DA1250" s="5" t="s">
        <v>673</v>
      </c>
      <c r="DB1250" s="5" t="s">
        <v>238</v>
      </c>
      <c r="DD1250" s="5" t="s">
        <v>673</v>
      </c>
      <c r="DE1250" s="8">
        <f>933</f>
        <v>933</v>
      </c>
      <c r="DG1250" s="5" t="s">
        <v>238</v>
      </c>
      <c r="DH1250" s="5" t="s">
        <v>238</v>
      </c>
      <c r="DI1250" s="5" t="s">
        <v>238</v>
      </c>
      <c r="DJ1250" s="5" t="s">
        <v>238</v>
      </c>
      <c r="DN1250" s="5" t="s">
        <v>238</v>
      </c>
      <c r="DO1250" s="5" t="s">
        <v>238</v>
      </c>
      <c r="DP1250" s="5" t="s">
        <v>238</v>
      </c>
      <c r="DQ1250" s="5" t="s">
        <v>238</v>
      </c>
      <c r="DT1250" s="5" t="s">
        <v>2039</v>
      </c>
      <c r="DU1250" s="5" t="s">
        <v>2809</v>
      </c>
      <c r="HM1250" s="5" t="s">
        <v>264</v>
      </c>
    </row>
    <row r="1251" spans="1:221" x14ac:dyDescent="0.4">
      <c r="A1251" s="5">
        <v>2926</v>
      </c>
      <c r="B1251" s="5">
        <v>1</v>
      </c>
      <c r="C1251" s="5">
        <v>1</v>
      </c>
      <c r="D1251" s="5" t="s">
        <v>2037</v>
      </c>
      <c r="E1251" s="5" t="s">
        <v>271</v>
      </c>
      <c r="F1251" s="5" t="s">
        <v>248</v>
      </c>
      <c r="G1251" s="5" t="s">
        <v>1969</v>
      </c>
      <c r="H1251" s="6" t="s">
        <v>2807</v>
      </c>
      <c r="I1251" s="7">
        <f>1942</f>
        <v>1942</v>
      </c>
      <c r="J1251" s="5" t="s">
        <v>262</v>
      </c>
      <c r="K1251" s="8">
        <f>1</f>
        <v>1</v>
      </c>
      <c r="L1251" s="6" t="s">
        <v>242</v>
      </c>
      <c r="M1251" s="5" t="s">
        <v>267</v>
      </c>
      <c r="N1251" s="5" t="s">
        <v>265</v>
      </c>
      <c r="O1251" s="5" t="s">
        <v>238</v>
      </c>
      <c r="P1251" s="5" t="s">
        <v>238</v>
      </c>
      <c r="Q1251" s="5" t="s">
        <v>268</v>
      </c>
      <c r="R1251" s="5" t="s">
        <v>270</v>
      </c>
      <c r="S1251" s="5" t="s">
        <v>238</v>
      </c>
      <c r="V1251" s="5" t="s">
        <v>238</v>
      </c>
      <c r="X1251" s="6" t="s">
        <v>238</v>
      </c>
      <c r="AA1251" s="6" t="s">
        <v>243</v>
      </c>
      <c r="AB1251" s="5" t="s">
        <v>238</v>
      </c>
      <c r="AC1251" s="5" t="s">
        <v>244</v>
      </c>
      <c r="AD1251" s="5" t="s">
        <v>245</v>
      </c>
      <c r="AT1251" s="5" t="s">
        <v>246</v>
      </c>
      <c r="AU1251" s="5" t="s">
        <v>238</v>
      </c>
      <c r="AV1251" s="5" t="s">
        <v>247</v>
      </c>
      <c r="AW1251" s="5" t="s">
        <v>238</v>
      </c>
      <c r="AX1251" s="5" t="s">
        <v>249</v>
      </c>
      <c r="AY1251" s="5" t="s">
        <v>238</v>
      </c>
      <c r="BA1251" s="5" t="s">
        <v>238</v>
      </c>
      <c r="BC1251" s="5" t="s">
        <v>250</v>
      </c>
      <c r="BD1251" s="6" t="s">
        <v>243</v>
      </c>
      <c r="BE1251" s="5" t="s">
        <v>251</v>
      </c>
      <c r="BF1251" s="5" t="s">
        <v>252</v>
      </c>
      <c r="BG1251" s="5" t="s">
        <v>238</v>
      </c>
      <c r="BH1251" s="7">
        <f>0</f>
        <v>0</v>
      </c>
      <c r="BI1251" s="8">
        <f>0</f>
        <v>0</v>
      </c>
      <c r="BJ1251" s="5" t="s">
        <v>253</v>
      </c>
      <c r="BK1251" s="5" t="s">
        <v>254</v>
      </c>
      <c r="BY1251" s="5" t="s">
        <v>238</v>
      </c>
      <c r="BZ1251" s="5" t="s">
        <v>238</v>
      </c>
      <c r="CD1251" s="5" t="s">
        <v>273</v>
      </c>
      <c r="CE1251" s="5" t="s">
        <v>256</v>
      </c>
      <c r="CF1251" s="5" t="s">
        <v>238</v>
      </c>
      <c r="CI1251" s="6" t="s">
        <v>257</v>
      </c>
      <c r="CJ1251" s="5" t="s">
        <v>238</v>
      </c>
      <c r="CK1251" s="5" t="s">
        <v>258</v>
      </c>
      <c r="CL1251" s="5" t="s">
        <v>238</v>
      </c>
      <c r="CM1251" s="5" t="s">
        <v>238</v>
      </c>
      <c r="CN1251" s="5">
        <v>0</v>
      </c>
      <c r="CO1251" s="5" t="s">
        <v>259</v>
      </c>
      <c r="CP1251" s="5" t="s">
        <v>260</v>
      </c>
      <c r="CQ1251" s="5" t="s">
        <v>260</v>
      </c>
      <c r="CR1251" s="5" t="s">
        <v>261</v>
      </c>
      <c r="CU1251" s="8">
        <f>1</f>
        <v>1</v>
      </c>
      <c r="CV1251" s="8">
        <f>0</f>
        <v>0</v>
      </c>
      <c r="CX1251" s="8">
        <f>0</f>
        <v>0</v>
      </c>
      <c r="CY1251" s="8">
        <f>1</f>
        <v>1</v>
      </c>
      <c r="DA1251" s="5" t="s">
        <v>673</v>
      </c>
      <c r="DB1251" s="5" t="s">
        <v>238</v>
      </c>
      <c r="DD1251" s="5" t="s">
        <v>673</v>
      </c>
      <c r="DE1251" s="8">
        <f>1942</f>
        <v>1942</v>
      </c>
      <c r="DG1251" s="5" t="s">
        <v>238</v>
      </c>
      <c r="DH1251" s="5" t="s">
        <v>238</v>
      </c>
      <c r="DI1251" s="5" t="s">
        <v>238</v>
      </c>
      <c r="DJ1251" s="5" t="s">
        <v>238</v>
      </c>
      <c r="DN1251" s="5" t="s">
        <v>238</v>
      </c>
      <c r="DO1251" s="5" t="s">
        <v>238</v>
      </c>
      <c r="DP1251" s="5" t="s">
        <v>238</v>
      </c>
      <c r="DQ1251" s="5" t="s">
        <v>238</v>
      </c>
      <c r="DT1251" s="5" t="s">
        <v>2039</v>
      </c>
      <c r="DU1251" s="5" t="s">
        <v>1866</v>
      </c>
      <c r="HM1251" s="5" t="s">
        <v>264</v>
      </c>
    </row>
    <row r="1252" spans="1:221" x14ac:dyDescent="0.4">
      <c r="A1252" s="5">
        <v>2927</v>
      </c>
      <c r="B1252" s="5">
        <v>1</v>
      </c>
      <c r="C1252" s="5">
        <v>1</v>
      </c>
      <c r="D1252" s="5" t="s">
        <v>2037</v>
      </c>
      <c r="E1252" s="5" t="s">
        <v>271</v>
      </c>
      <c r="F1252" s="5" t="s">
        <v>248</v>
      </c>
      <c r="G1252" s="5" t="s">
        <v>1969</v>
      </c>
      <c r="H1252" s="6" t="s">
        <v>2806</v>
      </c>
      <c r="I1252" s="7">
        <f>2220</f>
        <v>2220</v>
      </c>
      <c r="J1252" s="5" t="s">
        <v>262</v>
      </c>
      <c r="K1252" s="8">
        <f>1</f>
        <v>1</v>
      </c>
      <c r="L1252" s="6" t="s">
        <v>242</v>
      </c>
      <c r="M1252" s="5" t="s">
        <v>267</v>
      </c>
      <c r="N1252" s="5" t="s">
        <v>265</v>
      </c>
      <c r="O1252" s="5" t="s">
        <v>238</v>
      </c>
      <c r="P1252" s="5" t="s">
        <v>238</v>
      </c>
      <c r="Q1252" s="5" t="s">
        <v>268</v>
      </c>
      <c r="R1252" s="5" t="s">
        <v>270</v>
      </c>
      <c r="S1252" s="5" t="s">
        <v>238</v>
      </c>
      <c r="V1252" s="5" t="s">
        <v>238</v>
      </c>
      <c r="X1252" s="6" t="s">
        <v>238</v>
      </c>
      <c r="AA1252" s="6" t="s">
        <v>243</v>
      </c>
      <c r="AB1252" s="5" t="s">
        <v>238</v>
      </c>
      <c r="AC1252" s="5" t="s">
        <v>244</v>
      </c>
      <c r="AD1252" s="5" t="s">
        <v>245</v>
      </c>
      <c r="AT1252" s="5" t="s">
        <v>246</v>
      </c>
      <c r="AU1252" s="5" t="s">
        <v>238</v>
      </c>
      <c r="AV1252" s="5" t="s">
        <v>247</v>
      </c>
      <c r="AW1252" s="5" t="s">
        <v>238</v>
      </c>
      <c r="AX1252" s="5" t="s">
        <v>249</v>
      </c>
      <c r="AY1252" s="5" t="s">
        <v>238</v>
      </c>
      <c r="BA1252" s="5" t="s">
        <v>238</v>
      </c>
      <c r="BC1252" s="5" t="s">
        <v>250</v>
      </c>
      <c r="BD1252" s="6" t="s">
        <v>243</v>
      </c>
      <c r="BE1252" s="5" t="s">
        <v>251</v>
      </c>
      <c r="BF1252" s="5" t="s">
        <v>252</v>
      </c>
      <c r="BG1252" s="5" t="s">
        <v>238</v>
      </c>
      <c r="BH1252" s="7">
        <f>0</f>
        <v>0</v>
      </c>
      <c r="BI1252" s="8">
        <f>0</f>
        <v>0</v>
      </c>
      <c r="BJ1252" s="5" t="s">
        <v>253</v>
      </c>
      <c r="BK1252" s="5" t="s">
        <v>254</v>
      </c>
      <c r="BY1252" s="5" t="s">
        <v>238</v>
      </c>
      <c r="BZ1252" s="5" t="s">
        <v>238</v>
      </c>
      <c r="CD1252" s="5" t="s">
        <v>273</v>
      </c>
      <c r="CE1252" s="5" t="s">
        <v>256</v>
      </c>
      <c r="CF1252" s="5" t="s">
        <v>238</v>
      </c>
      <c r="CI1252" s="6" t="s">
        <v>257</v>
      </c>
      <c r="CJ1252" s="5" t="s">
        <v>238</v>
      </c>
      <c r="CK1252" s="5" t="s">
        <v>258</v>
      </c>
      <c r="CL1252" s="5" t="s">
        <v>238</v>
      </c>
      <c r="CM1252" s="5" t="s">
        <v>238</v>
      </c>
      <c r="CN1252" s="5">
        <v>0</v>
      </c>
      <c r="CO1252" s="5" t="s">
        <v>259</v>
      </c>
      <c r="CP1252" s="5" t="s">
        <v>260</v>
      </c>
      <c r="CQ1252" s="5" t="s">
        <v>260</v>
      </c>
      <c r="CR1252" s="5" t="s">
        <v>261</v>
      </c>
      <c r="CU1252" s="8">
        <f>1</f>
        <v>1</v>
      </c>
      <c r="CV1252" s="8">
        <f>0</f>
        <v>0</v>
      </c>
      <c r="CX1252" s="8">
        <f>0</f>
        <v>0</v>
      </c>
      <c r="CY1252" s="8">
        <f>1</f>
        <v>1</v>
      </c>
      <c r="DA1252" s="5" t="s">
        <v>673</v>
      </c>
      <c r="DB1252" s="5" t="s">
        <v>238</v>
      </c>
      <c r="DD1252" s="5" t="s">
        <v>673</v>
      </c>
      <c r="DE1252" s="8">
        <f>2220</f>
        <v>2220</v>
      </c>
      <c r="DG1252" s="5" t="s">
        <v>238</v>
      </c>
      <c r="DH1252" s="5" t="s">
        <v>238</v>
      </c>
      <c r="DI1252" s="5" t="s">
        <v>238</v>
      </c>
      <c r="DJ1252" s="5" t="s">
        <v>238</v>
      </c>
      <c r="DN1252" s="5" t="s">
        <v>238</v>
      </c>
      <c r="DO1252" s="5" t="s">
        <v>238</v>
      </c>
      <c r="DP1252" s="5" t="s">
        <v>238</v>
      </c>
      <c r="DQ1252" s="5" t="s">
        <v>238</v>
      </c>
      <c r="DT1252" s="5" t="s">
        <v>2039</v>
      </c>
      <c r="DU1252" s="5" t="s">
        <v>1862</v>
      </c>
      <c r="HM1252" s="5" t="s">
        <v>264</v>
      </c>
    </row>
    <row r="1253" spans="1:221" x14ac:dyDescent="0.4">
      <c r="A1253" s="5">
        <v>2928</v>
      </c>
      <c r="B1253" s="5">
        <v>1</v>
      </c>
      <c r="C1253" s="5">
        <v>1</v>
      </c>
      <c r="D1253" s="5" t="s">
        <v>2037</v>
      </c>
      <c r="E1253" s="5" t="s">
        <v>271</v>
      </c>
      <c r="F1253" s="5" t="s">
        <v>248</v>
      </c>
      <c r="G1253" s="5" t="s">
        <v>1969</v>
      </c>
      <c r="H1253" s="6" t="s">
        <v>2805</v>
      </c>
      <c r="I1253" s="7">
        <f>2763</f>
        <v>2763</v>
      </c>
      <c r="J1253" s="5" t="s">
        <v>262</v>
      </c>
      <c r="K1253" s="8">
        <f>1</f>
        <v>1</v>
      </c>
      <c r="L1253" s="6" t="s">
        <v>242</v>
      </c>
      <c r="M1253" s="5" t="s">
        <v>267</v>
      </c>
      <c r="N1253" s="5" t="s">
        <v>265</v>
      </c>
      <c r="O1253" s="5" t="s">
        <v>238</v>
      </c>
      <c r="P1253" s="5" t="s">
        <v>238</v>
      </c>
      <c r="Q1253" s="5" t="s">
        <v>268</v>
      </c>
      <c r="R1253" s="5" t="s">
        <v>270</v>
      </c>
      <c r="S1253" s="5" t="s">
        <v>238</v>
      </c>
      <c r="V1253" s="5" t="s">
        <v>238</v>
      </c>
      <c r="X1253" s="6" t="s">
        <v>238</v>
      </c>
      <c r="AA1253" s="6" t="s">
        <v>243</v>
      </c>
      <c r="AB1253" s="5" t="s">
        <v>238</v>
      </c>
      <c r="AC1253" s="5" t="s">
        <v>244</v>
      </c>
      <c r="AD1253" s="5" t="s">
        <v>245</v>
      </c>
      <c r="AT1253" s="5" t="s">
        <v>246</v>
      </c>
      <c r="AU1253" s="5" t="s">
        <v>238</v>
      </c>
      <c r="AV1253" s="5" t="s">
        <v>247</v>
      </c>
      <c r="AW1253" s="5" t="s">
        <v>238</v>
      </c>
      <c r="AX1253" s="5" t="s">
        <v>249</v>
      </c>
      <c r="AY1253" s="5" t="s">
        <v>238</v>
      </c>
      <c r="BA1253" s="5" t="s">
        <v>238</v>
      </c>
      <c r="BC1253" s="5" t="s">
        <v>250</v>
      </c>
      <c r="BD1253" s="6" t="s">
        <v>243</v>
      </c>
      <c r="BE1253" s="5" t="s">
        <v>251</v>
      </c>
      <c r="BF1253" s="5" t="s">
        <v>252</v>
      </c>
      <c r="BG1253" s="5" t="s">
        <v>238</v>
      </c>
      <c r="BH1253" s="7">
        <f>0</f>
        <v>0</v>
      </c>
      <c r="BI1253" s="8">
        <f>0</f>
        <v>0</v>
      </c>
      <c r="BJ1253" s="5" t="s">
        <v>253</v>
      </c>
      <c r="BK1253" s="5" t="s">
        <v>254</v>
      </c>
      <c r="BY1253" s="5" t="s">
        <v>238</v>
      </c>
      <c r="BZ1253" s="5" t="s">
        <v>238</v>
      </c>
      <c r="CD1253" s="5" t="s">
        <v>273</v>
      </c>
      <c r="CE1253" s="5" t="s">
        <v>256</v>
      </c>
      <c r="CF1253" s="5" t="s">
        <v>238</v>
      </c>
      <c r="CI1253" s="6" t="s">
        <v>257</v>
      </c>
      <c r="CJ1253" s="5" t="s">
        <v>238</v>
      </c>
      <c r="CK1253" s="5" t="s">
        <v>258</v>
      </c>
      <c r="CL1253" s="5" t="s">
        <v>238</v>
      </c>
      <c r="CM1253" s="5" t="s">
        <v>238</v>
      </c>
      <c r="CN1253" s="5">
        <v>0</v>
      </c>
      <c r="CO1253" s="5" t="s">
        <v>259</v>
      </c>
      <c r="CP1253" s="5" t="s">
        <v>260</v>
      </c>
      <c r="CQ1253" s="5" t="s">
        <v>260</v>
      </c>
      <c r="CR1253" s="5" t="s">
        <v>261</v>
      </c>
      <c r="CU1253" s="8">
        <f>1</f>
        <v>1</v>
      </c>
      <c r="CV1253" s="8">
        <f>0</f>
        <v>0</v>
      </c>
      <c r="CX1253" s="8">
        <f>0</f>
        <v>0</v>
      </c>
      <c r="CY1253" s="8">
        <f>1</f>
        <v>1</v>
      </c>
      <c r="DA1253" s="5" t="s">
        <v>673</v>
      </c>
      <c r="DB1253" s="5" t="s">
        <v>238</v>
      </c>
      <c r="DD1253" s="5" t="s">
        <v>673</v>
      </c>
      <c r="DE1253" s="8">
        <f>2763</f>
        <v>2763</v>
      </c>
      <c r="DG1253" s="5" t="s">
        <v>238</v>
      </c>
      <c r="DH1253" s="5" t="s">
        <v>238</v>
      </c>
      <c r="DI1253" s="5" t="s">
        <v>238</v>
      </c>
      <c r="DJ1253" s="5" t="s">
        <v>238</v>
      </c>
      <c r="DN1253" s="5" t="s">
        <v>238</v>
      </c>
      <c r="DO1253" s="5" t="s">
        <v>238</v>
      </c>
      <c r="DP1253" s="5" t="s">
        <v>238</v>
      </c>
      <c r="DQ1253" s="5" t="s">
        <v>238</v>
      </c>
      <c r="DT1253" s="5" t="s">
        <v>2039</v>
      </c>
      <c r="DU1253" s="5" t="s">
        <v>1854</v>
      </c>
      <c r="HM1253" s="5" t="s">
        <v>264</v>
      </c>
    </row>
    <row r="1254" spans="1:221" x14ac:dyDescent="0.4">
      <c r="A1254" s="5">
        <v>2929</v>
      </c>
      <c r="B1254" s="5">
        <v>1</v>
      </c>
      <c r="C1254" s="5">
        <v>1</v>
      </c>
      <c r="D1254" s="5" t="s">
        <v>2037</v>
      </c>
      <c r="E1254" s="5" t="s">
        <v>271</v>
      </c>
      <c r="F1254" s="5" t="s">
        <v>248</v>
      </c>
      <c r="G1254" s="5" t="s">
        <v>1969</v>
      </c>
      <c r="H1254" s="6" t="s">
        <v>2804</v>
      </c>
      <c r="I1254" s="7">
        <f>1198</f>
        <v>1198</v>
      </c>
      <c r="J1254" s="5" t="s">
        <v>262</v>
      </c>
      <c r="K1254" s="8">
        <f>1</f>
        <v>1</v>
      </c>
      <c r="L1254" s="6" t="s">
        <v>242</v>
      </c>
      <c r="M1254" s="5" t="s">
        <v>267</v>
      </c>
      <c r="N1254" s="5" t="s">
        <v>265</v>
      </c>
      <c r="O1254" s="5" t="s">
        <v>238</v>
      </c>
      <c r="P1254" s="5" t="s">
        <v>238</v>
      </c>
      <c r="Q1254" s="5" t="s">
        <v>268</v>
      </c>
      <c r="R1254" s="5" t="s">
        <v>270</v>
      </c>
      <c r="S1254" s="5" t="s">
        <v>238</v>
      </c>
      <c r="V1254" s="5" t="s">
        <v>238</v>
      </c>
      <c r="X1254" s="6" t="s">
        <v>238</v>
      </c>
      <c r="AA1254" s="6" t="s">
        <v>243</v>
      </c>
      <c r="AB1254" s="5" t="s">
        <v>238</v>
      </c>
      <c r="AC1254" s="5" t="s">
        <v>244</v>
      </c>
      <c r="AD1254" s="5" t="s">
        <v>245</v>
      </c>
      <c r="AT1254" s="5" t="s">
        <v>246</v>
      </c>
      <c r="AU1254" s="5" t="s">
        <v>238</v>
      </c>
      <c r="AV1254" s="5" t="s">
        <v>247</v>
      </c>
      <c r="AW1254" s="5" t="s">
        <v>238</v>
      </c>
      <c r="AX1254" s="5" t="s">
        <v>249</v>
      </c>
      <c r="AY1254" s="5" t="s">
        <v>238</v>
      </c>
      <c r="BA1254" s="5" t="s">
        <v>238</v>
      </c>
      <c r="BC1254" s="5" t="s">
        <v>250</v>
      </c>
      <c r="BD1254" s="6" t="s">
        <v>243</v>
      </c>
      <c r="BE1254" s="5" t="s">
        <v>251</v>
      </c>
      <c r="BF1254" s="5" t="s">
        <v>252</v>
      </c>
      <c r="BG1254" s="5" t="s">
        <v>238</v>
      </c>
      <c r="BH1254" s="7">
        <f>0</f>
        <v>0</v>
      </c>
      <c r="BI1254" s="8">
        <f>0</f>
        <v>0</v>
      </c>
      <c r="BJ1254" s="5" t="s">
        <v>253</v>
      </c>
      <c r="BK1254" s="5" t="s">
        <v>254</v>
      </c>
      <c r="BY1254" s="5" t="s">
        <v>238</v>
      </c>
      <c r="BZ1254" s="5" t="s">
        <v>238</v>
      </c>
      <c r="CD1254" s="5" t="s">
        <v>273</v>
      </c>
      <c r="CE1254" s="5" t="s">
        <v>256</v>
      </c>
      <c r="CF1254" s="5" t="s">
        <v>238</v>
      </c>
      <c r="CI1254" s="6" t="s">
        <v>257</v>
      </c>
      <c r="CJ1254" s="5" t="s">
        <v>238</v>
      </c>
      <c r="CK1254" s="5" t="s">
        <v>258</v>
      </c>
      <c r="CL1254" s="5" t="s">
        <v>238</v>
      </c>
      <c r="CM1254" s="5" t="s">
        <v>238</v>
      </c>
      <c r="CN1254" s="5">
        <v>0</v>
      </c>
      <c r="CO1254" s="5" t="s">
        <v>259</v>
      </c>
      <c r="CP1254" s="5" t="s">
        <v>260</v>
      </c>
      <c r="CQ1254" s="5" t="s">
        <v>260</v>
      </c>
      <c r="CR1254" s="5" t="s">
        <v>261</v>
      </c>
      <c r="CU1254" s="8">
        <f>1</f>
        <v>1</v>
      </c>
      <c r="CV1254" s="8">
        <f>0</f>
        <v>0</v>
      </c>
      <c r="CX1254" s="8">
        <f>0</f>
        <v>0</v>
      </c>
      <c r="CY1254" s="8">
        <f>1</f>
        <v>1</v>
      </c>
      <c r="DA1254" s="5" t="s">
        <v>673</v>
      </c>
      <c r="DB1254" s="5" t="s">
        <v>238</v>
      </c>
      <c r="DD1254" s="5" t="s">
        <v>673</v>
      </c>
      <c r="DE1254" s="8">
        <f>1198</f>
        <v>1198</v>
      </c>
      <c r="DG1254" s="5" t="s">
        <v>238</v>
      </c>
      <c r="DH1254" s="5" t="s">
        <v>238</v>
      </c>
      <c r="DI1254" s="5" t="s">
        <v>238</v>
      </c>
      <c r="DJ1254" s="5" t="s">
        <v>238</v>
      </c>
      <c r="DN1254" s="5" t="s">
        <v>238</v>
      </c>
      <c r="DO1254" s="5" t="s">
        <v>238</v>
      </c>
      <c r="DP1254" s="5" t="s">
        <v>238</v>
      </c>
      <c r="DQ1254" s="5" t="s">
        <v>238</v>
      </c>
      <c r="DT1254" s="5" t="s">
        <v>2039</v>
      </c>
      <c r="DU1254" s="5" t="s">
        <v>1850</v>
      </c>
      <c r="HM1254" s="5" t="s">
        <v>264</v>
      </c>
    </row>
    <row r="1255" spans="1:221" x14ac:dyDescent="0.4">
      <c r="A1255" s="5">
        <v>2930</v>
      </c>
      <c r="B1255" s="5">
        <v>1</v>
      </c>
      <c r="C1255" s="5">
        <v>1</v>
      </c>
      <c r="D1255" s="5" t="s">
        <v>2037</v>
      </c>
      <c r="E1255" s="5" t="s">
        <v>271</v>
      </c>
      <c r="F1255" s="5" t="s">
        <v>248</v>
      </c>
      <c r="G1255" s="5" t="s">
        <v>1969</v>
      </c>
      <c r="H1255" s="6" t="s">
        <v>2801</v>
      </c>
      <c r="I1255" s="7">
        <f>92</f>
        <v>92</v>
      </c>
      <c r="J1255" s="5" t="s">
        <v>262</v>
      </c>
      <c r="K1255" s="8">
        <f>1</f>
        <v>1</v>
      </c>
      <c r="L1255" s="6" t="s">
        <v>242</v>
      </c>
      <c r="M1255" s="5" t="s">
        <v>267</v>
      </c>
      <c r="N1255" s="5" t="s">
        <v>265</v>
      </c>
      <c r="O1255" s="5" t="s">
        <v>238</v>
      </c>
      <c r="P1255" s="5" t="s">
        <v>238</v>
      </c>
      <c r="Q1255" s="5" t="s">
        <v>268</v>
      </c>
      <c r="R1255" s="5" t="s">
        <v>270</v>
      </c>
      <c r="S1255" s="5" t="s">
        <v>238</v>
      </c>
      <c r="V1255" s="5" t="s">
        <v>238</v>
      </c>
      <c r="X1255" s="6" t="s">
        <v>238</v>
      </c>
      <c r="AA1255" s="6" t="s">
        <v>243</v>
      </c>
      <c r="AB1255" s="5" t="s">
        <v>238</v>
      </c>
      <c r="AC1255" s="5" t="s">
        <v>244</v>
      </c>
      <c r="AD1255" s="5" t="s">
        <v>245</v>
      </c>
      <c r="AT1255" s="5" t="s">
        <v>246</v>
      </c>
      <c r="AU1255" s="5" t="s">
        <v>238</v>
      </c>
      <c r="AV1255" s="5" t="s">
        <v>247</v>
      </c>
      <c r="AW1255" s="5" t="s">
        <v>238</v>
      </c>
      <c r="AX1255" s="5" t="s">
        <v>249</v>
      </c>
      <c r="AY1255" s="5" t="s">
        <v>238</v>
      </c>
      <c r="BA1255" s="5" t="s">
        <v>238</v>
      </c>
      <c r="BC1255" s="5" t="s">
        <v>250</v>
      </c>
      <c r="BD1255" s="6" t="s">
        <v>243</v>
      </c>
      <c r="BE1255" s="5" t="s">
        <v>251</v>
      </c>
      <c r="BF1255" s="5" t="s">
        <v>252</v>
      </c>
      <c r="BG1255" s="5" t="s">
        <v>238</v>
      </c>
      <c r="BH1255" s="7">
        <f>0</f>
        <v>0</v>
      </c>
      <c r="BI1255" s="8">
        <f>0</f>
        <v>0</v>
      </c>
      <c r="BJ1255" s="5" t="s">
        <v>253</v>
      </c>
      <c r="BK1255" s="5" t="s">
        <v>254</v>
      </c>
      <c r="BY1255" s="5" t="s">
        <v>238</v>
      </c>
      <c r="BZ1255" s="5" t="s">
        <v>238</v>
      </c>
      <c r="CD1255" s="5" t="s">
        <v>273</v>
      </c>
      <c r="CE1255" s="5" t="s">
        <v>256</v>
      </c>
      <c r="CF1255" s="5" t="s">
        <v>238</v>
      </c>
      <c r="CI1255" s="6" t="s">
        <v>257</v>
      </c>
      <c r="CJ1255" s="5" t="s">
        <v>238</v>
      </c>
      <c r="CK1255" s="5" t="s">
        <v>258</v>
      </c>
      <c r="CL1255" s="5" t="s">
        <v>238</v>
      </c>
      <c r="CM1255" s="5" t="s">
        <v>238</v>
      </c>
      <c r="CN1255" s="5">
        <v>0</v>
      </c>
      <c r="CO1255" s="5" t="s">
        <v>259</v>
      </c>
      <c r="CP1255" s="5" t="s">
        <v>260</v>
      </c>
      <c r="CQ1255" s="5" t="s">
        <v>260</v>
      </c>
      <c r="CR1255" s="5" t="s">
        <v>261</v>
      </c>
      <c r="CU1255" s="8">
        <f>1</f>
        <v>1</v>
      </c>
      <c r="CV1255" s="8">
        <f>0</f>
        <v>0</v>
      </c>
      <c r="CX1255" s="8">
        <f>0</f>
        <v>0</v>
      </c>
      <c r="CY1255" s="8">
        <f>1</f>
        <v>1</v>
      </c>
      <c r="DA1255" s="5" t="s">
        <v>673</v>
      </c>
      <c r="DB1255" s="5" t="s">
        <v>238</v>
      </c>
      <c r="DD1255" s="5" t="s">
        <v>673</v>
      </c>
      <c r="DE1255" s="8">
        <f>92</f>
        <v>92</v>
      </c>
      <c r="DG1255" s="5" t="s">
        <v>238</v>
      </c>
      <c r="DH1255" s="5" t="s">
        <v>238</v>
      </c>
      <c r="DI1255" s="5" t="s">
        <v>238</v>
      </c>
      <c r="DJ1255" s="5" t="s">
        <v>238</v>
      </c>
      <c r="DN1255" s="5" t="s">
        <v>238</v>
      </c>
      <c r="DO1255" s="5" t="s">
        <v>238</v>
      </c>
      <c r="DP1255" s="5" t="s">
        <v>238</v>
      </c>
      <c r="DQ1255" s="5" t="s">
        <v>238</v>
      </c>
      <c r="DT1255" s="5" t="s">
        <v>2039</v>
      </c>
      <c r="DU1255" s="5" t="s">
        <v>1838</v>
      </c>
      <c r="HM1255" s="5" t="s">
        <v>264</v>
      </c>
    </row>
    <row r="1256" spans="1:221" x14ac:dyDescent="0.4">
      <c r="A1256" s="5">
        <v>2931</v>
      </c>
      <c r="B1256" s="5">
        <v>1</v>
      </c>
      <c r="C1256" s="5">
        <v>1</v>
      </c>
      <c r="D1256" s="5" t="s">
        <v>2037</v>
      </c>
      <c r="E1256" s="5" t="s">
        <v>271</v>
      </c>
      <c r="F1256" s="5" t="s">
        <v>248</v>
      </c>
      <c r="G1256" s="5" t="s">
        <v>1969</v>
      </c>
      <c r="H1256" s="6" t="s">
        <v>2800</v>
      </c>
      <c r="I1256" s="7">
        <f>343</f>
        <v>343</v>
      </c>
      <c r="J1256" s="5" t="s">
        <v>262</v>
      </c>
      <c r="K1256" s="8">
        <f>1</f>
        <v>1</v>
      </c>
      <c r="L1256" s="6" t="s">
        <v>242</v>
      </c>
      <c r="M1256" s="5" t="s">
        <v>267</v>
      </c>
      <c r="N1256" s="5" t="s">
        <v>265</v>
      </c>
      <c r="O1256" s="5" t="s">
        <v>238</v>
      </c>
      <c r="P1256" s="5" t="s">
        <v>238</v>
      </c>
      <c r="Q1256" s="5" t="s">
        <v>268</v>
      </c>
      <c r="R1256" s="5" t="s">
        <v>270</v>
      </c>
      <c r="S1256" s="5" t="s">
        <v>238</v>
      </c>
      <c r="V1256" s="5" t="s">
        <v>238</v>
      </c>
      <c r="X1256" s="6" t="s">
        <v>238</v>
      </c>
      <c r="AA1256" s="6" t="s">
        <v>243</v>
      </c>
      <c r="AB1256" s="5" t="s">
        <v>238</v>
      </c>
      <c r="AC1256" s="5" t="s">
        <v>244</v>
      </c>
      <c r="AD1256" s="5" t="s">
        <v>245</v>
      </c>
      <c r="AT1256" s="5" t="s">
        <v>246</v>
      </c>
      <c r="AU1256" s="5" t="s">
        <v>238</v>
      </c>
      <c r="AV1256" s="5" t="s">
        <v>247</v>
      </c>
      <c r="AW1256" s="5" t="s">
        <v>238</v>
      </c>
      <c r="AX1256" s="5" t="s">
        <v>249</v>
      </c>
      <c r="AY1256" s="5" t="s">
        <v>238</v>
      </c>
      <c r="BA1256" s="5" t="s">
        <v>238</v>
      </c>
      <c r="BC1256" s="5" t="s">
        <v>250</v>
      </c>
      <c r="BD1256" s="6" t="s">
        <v>243</v>
      </c>
      <c r="BE1256" s="5" t="s">
        <v>251</v>
      </c>
      <c r="BF1256" s="5" t="s">
        <v>252</v>
      </c>
      <c r="BG1256" s="5" t="s">
        <v>238</v>
      </c>
      <c r="BH1256" s="7">
        <f>0</f>
        <v>0</v>
      </c>
      <c r="BI1256" s="8">
        <f>0</f>
        <v>0</v>
      </c>
      <c r="BJ1256" s="5" t="s">
        <v>253</v>
      </c>
      <c r="BK1256" s="5" t="s">
        <v>254</v>
      </c>
      <c r="BY1256" s="5" t="s">
        <v>238</v>
      </c>
      <c r="BZ1256" s="5" t="s">
        <v>238</v>
      </c>
      <c r="CD1256" s="5" t="s">
        <v>273</v>
      </c>
      <c r="CE1256" s="5" t="s">
        <v>256</v>
      </c>
      <c r="CF1256" s="5" t="s">
        <v>238</v>
      </c>
      <c r="CI1256" s="6" t="s">
        <v>257</v>
      </c>
      <c r="CJ1256" s="5" t="s">
        <v>238</v>
      </c>
      <c r="CK1256" s="5" t="s">
        <v>258</v>
      </c>
      <c r="CL1256" s="5" t="s">
        <v>238</v>
      </c>
      <c r="CM1256" s="5" t="s">
        <v>238</v>
      </c>
      <c r="CN1256" s="5">
        <v>0</v>
      </c>
      <c r="CO1256" s="5" t="s">
        <v>259</v>
      </c>
      <c r="CP1256" s="5" t="s">
        <v>260</v>
      </c>
      <c r="CQ1256" s="5" t="s">
        <v>260</v>
      </c>
      <c r="CR1256" s="5" t="s">
        <v>261</v>
      </c>
      <c r="CU1256" s="8">
        <f>1</f>
        <v>1</v>
      </c>
      <c r="CV1256" s="8">
        <f>0</f>
        <v>0</v>
      </c>
      <c r="CX1256" s="8">
        <f>0</f>
        <v>0</v>
      </c>
      <c r="CY1256" s="8">
        <f>1</f>
        <v>1</v>
      </c>
      <c r="DA1256" s="5" t="s">
        <v>673</v>
      </c>
      <c r="DB1256" s="5" t="s">
        <v>238</v>
      </c>
      <c r="DD1256" s="5" t="s">
        <v>673</v>
      </c>
      <c r="DE1256" s="8">
        <f>343</f>
        <v>343</v>
      </c>
      <c r="DG1256" s="5" t="s">
        <v>238</v>
      </c>
      <c r="DH1256" s="5" t="s">
        <v>238</v>
      </c>
      <c r="DI1256" s="5" t="s">
        <v>238</v>
      </c>
      <c r="DJ1256" s="5" t="s">
        <v>238</v>
      </c>
      <c r="DN1256" s="5" t="s">
        <v>238</v>
      </c>
      <c r="DO1256" s="5" t="s">
        <v>238</v>
      </c>
      <c r="DP1256" s="5" t="s">
        <v>238</v>
      </c>
      <c r="DQ1256" s="5" t="s">
        <v>238</v>
      </c>
      <c r="DT1256" s="5" t="s">
        <v>2039</v>
      </c>
      <c r="DU1256" s="5" t="s">
        <v>1834</v>
      </c>
      <c r="HM1256" s="5" t="s">
        <v>264</v>
      </c>
    </row>
    <row r="1257" spans="1:221" x14ac:dyDescent="0.4">
      <c r="A1257" s="5">
        <v>2932</v>
      </c>
      <c r="B1257" s="5">
        <v>1</v>
      </c>
      <c r="C1257" s="5">
        <v>1</v>
      </c>
      <c r="D1257" s="5" t="s">
        <v>2037</v>
      </c>
      <c r="E1257" s="5" t="s">
        <v>271</v>
      </c>
      <c r="F1257" s="5" t="s">
        <v>248</v>
      </c>
      <c r="G1257" s="5" t="s">
        <v>1969</v>
      </c>
      <c r="H1257" s="6" t="s">
        <v>2798</v>
      </c>
      <c r="I1257" s="7">
        <f>3891</f>
        <v>3891</v>
      </c>
      <c r="J1257" s="5" t="s">
        <v>262</v>
      </c>
      <c r="K1257" s="8">
        <f>1</f>
        <v>1</v>
      </c>
      <c r="L1257" s="6" t="s">
        <v>242</v>
      </c>
      <c r="M1257" s="5" t="s">
        <v>267</v>
      </c>
      <c r="N1257" s="5" t="s">
        <v>265</v>
      </c>
      <c r="O1257" s="5" t="s">
        <v>238</v>
      </c>
      <c r="P1257" s="5" t="s">
        <v>238</v>
      </c>
      <c r="Q1257" s="5" t="s">
        <v>268</v>
      </c>
      <c r="R1257" s="5" t="s">
        <v>270</v>
      </c>
      <c r="S1257" s="5" t="s">
        <v>238</v>
      </c>
      <c r="V1257" s="5" t="s">
        <v>238</v>
      </c>
      <c r="X1257" s="6" t="s">
        <v>238</v>
      </c>
      <c r="AA1257" s="6" t="s">
        <v>243</v>
      </c>
      <c r="AB1257" s="5" t="s">
        <v>238</v>
      </c>
      <c r="AC1257" s="5" t="s">
        <v>244</v>
      </c>
      <c r="AD1257" s="5" t="s">
        <v>245</v>
      </c>
      <c r="AT1257" s="5" t="s">
        <v>246</v>
      </c>
      <c r="AU1257" s="5" t="s">
        <v>238</v>
      </c>
      <c r="AV1257" s="5" t="s">
        <v>247</v>
      </c>
      <c r="AW1257" s="5" t="s">
        <v>238</v>
      </c>
      <c r="AX1257" s="5" t="s">
        <v>249</v>
      </c>
      <c r="AY1257" s="5" t="s">
        <v>238</v>
      </c>
      <c r="BA1257" s="5" t="s">
        <v>238</v>
      </c>
      <c r="BC1257" s="5" t="s">
        <v>250</v>
      </c>
      <c r="BD1257" s="6" t="s">
        <v>243</v>
      </c>
      <c r="BE1257" s="5" t="s">
        <v>251</v>
      </c>
      <c r="BF1257" s="5" t="s">
        <v>252</v>
      </c>
      <c r="BG1257" s="5" t="s">
        <v>238</v>
      </c>
      <c r="BH1257" s="7">
        <f>0</f>
        <v>0</v>
      </c>
      <c r="BI1257" s="8">
        <f>0</f>
        <v>0</v>
      </c>
      <c r="BJ1257" s="5" t="s">
        <v>253</v>
      </c>
      <c r="BK1257" s="5" t="s">
        <v>254</v>
      </c>
      <c r="BY1257" s="5" t="s">
        <v>238</v>
      </c>
      <c r="BZ1257" s="5" t="s">
        <v>238</v>
      </c>
      <c r="CD1257" s="5" t="s">
        <v>273</v>
      </c>
      <c r="CE1257" s="5" t="s">
        <v>256</v>
      </c>
      <c r="CF1257" s="5" t="s">
        <v>238</v>
      </c>
      <c r="CI1257" s="6" t="s">
        <v>257</v>
      </c>
      <c r="CJ1257" s="5" t="s">
        <v>238</v>
      </c>
      <c r="CK1257" s="5" t="s">
        <v>258</v>
      </c>
      <c r="CL1257" s="5" t="s">
        <v>238</v>
      </c>
      <c r="CM1257" s="5" t="s">
        <v>238</v>
      </c>
      <c r="CN1257" s="5">
        <v>0</v>
      </c>
      <c r="CO1257" s="5" t="s">
        <v>259</v>
      </c>
      <c r="CP1257" s="5" t="s">
        <v>260</v>
      </c>
      <c r="CQ1257" s="5" t="s">
        <v>260</v>
      </c>
      <c r="CR1257" s="5" t="s">
        <v>261</v>
      </c>
      <c r="CU1257" s="8">
        <f>1</f>
        <v>1</v>
      </c>
      <c r="CV1257" s="8">
        <f>0</f>
        <v>0</v>
      </c>
      <c r="CX1257" s="8">
        <f>0</f>
        <v>0</v>
      </c>
      <c r="CY1257" s="8">
        <f>1</f>
        <v>1</v>
      </c>
      <c r="DA1257" s="5" t="s">
        <v>673</v>
      </c>
      <c r="DB1257" s="5" t="s">
        <v>238</v>
      </c>
      <c r="DD1257" s="5" t="s">
        <v>673</v>
      </c>
      <c r="DE1257" s="8">
        <f>3891</f>
        <v>3891</v>
      </c>
      <c r="DG1257" s="5" t="s">
        <v>238</v>
      </c>
      <c r="DH1257" s="5" t="s">
        <v>238</v>
      </c>
      <c r="DI1257" s="5" t="s">
        <v>238</v>
      </c>
      <c r="DJ1257" s="5" t="s">
        <v>238</v>
      </c>
      <c r="DN1257" s="5" t="s">
        <v>238</v>
      </c>
      <c r="DO1257" s="5" t="s">
        <v>238</v>
      </c>
      <c r="DP1257" s="5" t="s">
        <v>238</v>
      </c>
      <c r="DQ1257" s="5" t="s">
        <v>238</v>
      </c>
      <c r="DT1257" s="5" t="s">
        <v>2039</v>
      </c>
      <c r="DU1257" s="5" t="s">
        <v>2799</v>
      </c>
      <c r="HM1257" s="5" t="s">
        <v>264</v>
      </c>
    </row>
    <row r="1258" spans="1:221" x14ac:dyDescent="0.4">
      <c r="A1258" s="5">
        <v>2933</v>
      </c>
      <c r="B1258" s="5">
        <v>1</v>
      </c>
      <c r="C1258" s="5">
        <v>1</v>
      </c>
      <c r="D1258" s="5" t="s">
        <v>2037</v>
      </c>
      <c r="E1258" s="5" t="s">
        <v>271</v>
      </c>
      <c r="F1258" s="5" t="s">
        <v>248</v>
      </c>
      <c r="G1258" s="5" t="s">
        <v>1969</v>
      </c>
      <c r="H1258" s="6" t="s">
        <v>2796</v>
      </c>
      <c r="I1258" s="7">
        <f>1675</f>
        <v>1675</v>
      </c>
      <c r="J1258" s="5" t="s">
        <v>262</v>
      </c>
      <c r="K1258" s="8">
        <f>1</f>
        <v>1</v>
      </c>
      <c r="L1258" s="6" t="s">
        <v>242</v>
      </c>
      <c r="M1258" s="5" t="s">
        <v>267</v>
      </c>
      <c r="N1258" s="5" t="s">
        <v>265</v>
      </c>
      <c r="O1258" s="5" t="s">
        <v>238</v>
      </c>
      <c r="P1258" s="5" t="s">
        <v>238</v>
      </c>
      <c r="Q1258" s="5" t="s">
        <v>268</v>
      </c>
      <c r="R1258" s="5" t="s">
        <v>270</v>
      </c>
      <c r="S1258" s="5" t="s">
        <v>238</v>
      </c>
      <c r="V1258" s="5" t="s">
        <v>238</v>
      </c>
      <c r="X1258" s="6" t="s">
        <v>238</v>
      </c>
      <c r="AA1258" s="6" t="s">
        <v>243</v>
      </c>
      <c r="AB1258" s="5" t="s">
        <v>238</v>
      </c>
      <c r="AC1258" s="5" t="s">
        <v>244</v>
      </c>
      <c r="AD1258" s="5" t="s">
        <v>245</v>
      </c>
      <c r="AT1258" s="5" t="s">
        <v>246</v>
      </c>
      <c r="AU1258" s="5" t="s">
        <v>238</v>
      </c>
      <c r="AV1258" s="5" t="s">
        <v>247</v>
      </c>
      <c r="AW1258" s="5" t="s">
        <v>238</v>
      </c>
      <c r="AX1258" s="5" t="s">
        <v>249</v>
      </c>
      <c r="AY1258" s="5" t="s">
        <v>238</v>
      </c>
      <c r="BA1258" s="5" t="s">
        <v>238</v>
      </c>
      <c r="BC1258" s="5" t="s">
        <v>250</v>
      </c>
      <c r="BD1258" s="6" t="s">
        <v>243</v>
      </c>
      <c r="BE1258" s="5" t="s">
        <v>251</v>
      </c>
      <c r="BF1258" s="5" t="s">
        <v>252</v>
      </c>
      <c r="BG1258" s="5" t="s">
        <v>238</v>
      </c>
      <c r="BH1258" s="7">
        <f>0</f>
        <v>0</v>
      </c>
      <c r="BI1258" s="8">
        <f>0</f>
        <v>0</v>
      </c>
      <c r="BJ1258" s="5" t="s">
        <v>253</v>
      </c>
      <c r="BK1258" s="5" t="s">
        <v>254</v>
      </c>
      <c r="BY1258" s="5" t="s">
        <v>238</v>
      </c>
      <c r="BZ1258" s="5" t="s">
        <v>238</v>
      </c>
      <c r="CD1258" s="5" t="s">
        <v>273</v>
      </c>
      <c r="CE1258" s="5" t="s">
        <v>256</v>
      </c>
      <c r="CF1258" s="5" t="s">
        <v>238</v>
      </c>
      <c r="CI1258" s="6" t="s">
        <v>257</v>
      </c>
      <c r="CJ1258" s="5" t="s">
        <v>238</v>
      </c>
      <c r="CK1258" s="5" t="s">
        <v>258</v>
      </c>
      <c r="CL1258" s="5" t="s">
        <v>238</v>
      </c>
      <c r="CM1258" s="5" t="s">
        <v>238</v>
      </c>
      <c r="CN1258" s="5">
        <v>0</v>
      </c>
      <c r="CO1258" s="5" t="s">
        <v>259</v>
      </c>
      <c r="CP1258" s="5" t="s">
        <v>260</v>
      </c>
      <c r="CQ1258" s="5" t="s">
        <v>260</v>
      </c>
      <c r="CR1258" s="5" t="s">
        <v>261</v>
      </c>
      <c r="CU1258" s="8">
        <f>1</f>
        <v>1</v>
      </c>
      <c r="CV1258" s="8">
        <f>0</f>
        <v>0</v>
      </c>
      <c r="CX1258" s="8">
        <f>0</f>
        <v>0</v>
      </c>
      <c r="CY1258" s="8">
        <f>1</f>
        <v>1</v>
      </c>
      <c r="DA1258" s="5" t="s">
        <v>673</v>
      </c>
      <c r="DB1258" s="5" t="s">
        <v>238</v>
      </c>
      <c r="DD1258" s="5" t="s">
        <v>673</v>
      </c>
      <c r="DE1258" s="8">
        <f>1675</f>
        <v>1675</v>
      </c>
      <c r="DG1258" s="5" t="s">
        <v>238</v>
      </c>
      <c r="DH1258" s="5" t="s">
        <v>238</v>
      </c>
      <c r="DI1258" s="5" t="s">
        <v>238</v>
      </c>
      <c r="DJ1258" s="5" t="s">
        <v>238</v>
      </c>
      <c r="DN1258" s="5" t="s">
        <v>238</v>
      </c>
      <c r="DO1258" s="5" t="s">
        <v>238</v>
      </c>
      <c r="DP1258" s="5" t="s">
        <v>238</v>
      </c>
      <c r="DQ1258" s="5" t="s">
        <v>238</v>
      </c>
      <c r="DT1258" s="5" t="s">
        <v>2039</v>
      </c>
      <c r="DU1258" s="5" t="s">
        <v>2797</v>
      </c>
      <c r="HM1258" s="5" t="s">
        <v>264</v>
      </c>
    </row>
    <row r="1259" spans="1:221" x14ac:dyDescent="0.4">
      <c r="A1259" s="5">
        <v>2934</v>
      </c>
      <c r="B1259" s="5">
        <v>1</v>
      </c>
      <c r="C1259" s="5">
        <v>1</v>
      </c>
      <c r="D1259" s="5" t="s">
        <v>2037</v>
      </c>
      <c r="E1259" s="5" t="s">
        <v>271</v>
      </c>
      <c r="F1259" s="5" t="s">
        <v>248</v>
      </c>
      <c r="G1259" s="5" t="s">
        <v>1969</v>
      </c>
      <c r="H1259" s="6" t="s">
        <v>2795</v>
      </c>
      <c r="I1259" s="7">
        <f>2427</f>
        <v>2427</v>
      </c>
      <c r="J1259" s="5" t="s">
        <v>262</v>
      </c>
      <c r="K1259" s="8">
        <f>1</f>
        <v>1</v>
      </c>
      <c r="L1259" s="6" t="s">
        <v>242</v>
      </c>
      <c r="M1259" s="5" t="s">
        <v>267</v>
      </c>
      <c r="N1259" s="5" t="s">
        <v>265</v>
      </c>
      <c r="O1259" s="5" t="s">
        <v>238</v>
      </c>
      <c r="P1259" s="5" t="s">
        <v>238</v>
      </c>
      <c r="Q1259" s="5" t="s">
        <v>268</v>
      </c>
      <c r="R1259" s="5" t="s">
        <v>270</v>
      </c>
      <c r="S1259" s="5" t="s">
        <v>238</v>
      </c>
      <c r="V1259" s="5" t="s">
        <v>238</v>
      </c>
      <c r="X1259" s="6" t="s">
        <v>238</v>
      </c>
      <c r="AA1259" s="6" t="s">
        <v>243</v>
      </c>
      <c r="AB1259" s="5" t="s">
        <v>238</v>
      </c>
      <c r="AC1259" s="5" t="s">
        <v>244</v>
      </c>
      <c r="AD1259" s="5" t="s">
        <v>245</v>
      </c>
      <c r="AT1259" s="5" t="s">
        <v>246</v>
      </c>
      <c r="AU1259" s="5" t="s">
        <v>238</v>
      </c>
      <c r="AV1259" s="5" t="s">
        <v>247</v>
      </c>
      <c r="AW1259" s="5" t="s">
        <v>238</v>
      </c>
      <c r="AX1259" s="5" t="s">
        <v>249</v>
      </c>
      <c r="AY1259" s="5" t="s">
        <v>238</v>
      </c>
      <c r="BA1259" s="5" t="s">
        <v>238</v>
      </c>
      <c r="BC1259" s="5" t="s">
        <v>250</v>
      </c>
      <c r="BD1259" s="6" t="s">
        <v>243</v>
      </c>
      <c r="BE1259" s="5" t="s">
        <v>251</v>
      </c>
      <c r="BF1259" s="5" t="s">
        <v>252</v>
      </c>
      <c r="BG1259" s="5" t="s">
        <v>238</v>
      </c>
      <c r="BH1259" s="7">
        <f>0</f>
        <v>0</v>
      </c>
      <c r="BI1259" s="8">
        <f>0</f>
        <v>0</v>
      </c>
      <c r="BJ1259" s="5" t="s">
        <v>253</v>
      </c>
      <c r="BK1259" s="5" t="s">
        <v>254</v>
      </c>
      <c r="BY1259" s="5" t="s">
        <v>238</v>
      </c>
      <c r="BZ1259" s="5" t="s">
        <v>238</v>
      </c>
      <c r="CD1259" s="5" t="s">
        <v>273</v>
      </c>
      <c r="CE1259" s="5" t="s">
        <v>256</v>
      </c>
      <c r="CF1259" s="5" t="s">
        <v>238</v>
      </c>
      <c r="CI1259" s="6" t="s">
        <v>257</v>
      </c>
      <c r="CJ1259" s="5" t="s">
        <v>238</v>
      </c>
      <c r="CK1259" s="5" t="s">
        <v>258</v>
      </c>
      <c r="CL1259" s="5" t="s">
        <v>238</v>
      </c>
      <c r="CM1259" s="5" t="s">
        <v>238</v>
      </c>
      <c r="CN1259" s="5">
        <v>0</v>
      </c>
      <c r="CO1259" s="5" t="s">
        <v>259</v>
      </c>
      <c r="CP1259" s="5" t="s">
        <v>260</v>
      </c>
      <c r="CQ1259" s="5" t="s">
        <v>260</v>
      </c>
      <c r="CR1259" s="5" t="s">
        <v>261</v>
      </c>
      <c r="CU1259" s="8">
        <f>1</f>
        <v>1</v>
      </c>
      <c r="CV1259" s="8">
        <f>0</f>
        <v>0</v>
      </c>
      <c r="CX1259" s="8">
        <f>0</f>
        <v>0</v>
      </c>
      <c r="CY1259" s="8">
        <f>1</f>
        <v>1</v>
      </c>
      <c r="DA1259" s="5" t="s">
        <v>673</v>
      </c>
      <c r="DB1259" s="5" t="s">
        <v>238</v>
      </c>
      <c r="DD1259" s="5" t="s">
        <v>673</v>
      </c>
      <c r="DE1259" s="8">
        <f>2427</f>
        <v>2427</v>
      </c>
      <c r="DG1259" s="5" t="s">
        <v>238</v>
      </c>
      <c r="DH1259" s="5" t="s">
        <v>238</v>
      </c>
      <c r="DI1259" s="5" t="s">
        <v>238</v>
      </c>
      <c r="DJ1259" s="5" t="s">
        <v>238</v>
      </c>
      <c r="DN1259" s="5" t="s">
        <v>238</v>
      </c>
      <c r="DO1259" s="5" t="s">
        <v>238</v>
      </c>
      <c r="DP1259" s="5" t="s">
        <v>238</v>
      </c>
      <c r="DQ1259" s="5" t="s">
        <v>238</v>
      </c>
      <c r="DT1259" s="5" t="s">
        <v>2039</v>
      </c>
      <c r="DU1259" s="5" t="s">
        <v>1810</v>
      </c>
      <c r="HM1259" s="5" t="s">
        <v>264</v>
      </c>
    </row>
    <row r="1260" spans="1:221" x14ac:dyDescent="0.4">
      <c r="A1260" s="5">
        <v>2935</v>
      </c>
      <c r="B1260" s="5">
        <v>1</v>
      </c>
      <c r="C1260" s="5">
        <v>1</v>
      </c>
      <c r="D1260" s="5" t="s">
        <v>2037</v>
      </c>
      <c r="E1260" s="5" t="s">
        <v>271</v>
      </c>
      <c r="F1260" s="5" t="s">
        <v>248</v>
      </c>
      <c r="G1260" s="5" t="s">
        <v>1969</v>
      </c>
      <c r="H1260" s="6" t="s">
        <v>2793</v>
      </c>
      <c r="I1260" s="7">
        <f>1043</f>
        <v>1043</v>
      </c>
      <c r="J1260" s="5" t="s">
        <v>262</v>
      </c>
      <c r="K1260" s="8">
        <f>1</f>
        <v>1</v>
      </c>
      <c r="L1260" s="6" t="s">
        <v>242</v>
      </c>
      <c r="M1260" s="5" t="s">
        <v>267</v>
      </c>
      <c r="N1260" s="5" t="s">
        <v>265</v>
      </c>
      <c r="O1260" s="5" t="s">
        <v>238</v>
      </c>
      <c r="P1260" s="5" t="s">
        <v>238</v>
      </c>
      <c r="Q1260" s="5" t="s">
        <v>268</v>
      </c>
      <c r="R1260" s="5" t="s">
        <v>270</v>
      </c>
      <c r="S1260" s="5" t="s">
        <v>238</v>
      </c>
      <c r="V1260" s="5" t="s">
        <v>238</v>
      </c>
      <c r="X1260" s="6" t="s">
        <v>238</v>
      </c>
      <c r="AA1260" s="6" t="s">
        <v>243</v>
      </c>
      <c r="AB1260" s="5" t="s">
        <v>238</v>
      </c>
      <c r="AC1260" s="5" t="s">
        <v>244</v>
      </c>
      <c r="AD1260" s="5" t="s">
        <v>245</v>
      </c>
      <c r="AT1260" s="5" t="s">
        <v>246</v>
      </c>
      <c r="AU1260" s="5" t="s">
        <v>238</v>
      </c>
      <c r="AV1260" s="5" t="s">
        <v>247</v>
      </c>
      <c r="AW1260" s="5" t="s">
        <v>238</v>
      </c>
      <c r="AX1260" s="5" t="s">
        <v>249</v>
      </c>
      <c r="AY1260" s="5" t="s">
        <v>238</v>
      </c>
      <c r="BA1260" s="5" t="s">
        <v>238</v>
      </c>
      <c r="BC1260" s="5" t="s">
        <v>250</v>
      </c>
      <c r="BD1260" s="6" t="s">
        <v>243</v>
      </c>
      <c r="BE1260" s="5" t="s">
        <v>251</v>
      </c>
      <c r="BF1260" s="5" t="s">
        <v>252</v>
      </c>
      <c r="BG1260" s="5" t="s">
        <v>238</v>
      </c>
      <c r="BH1260" s="7">
        <f>0</f>
        <v>0</v>
      </c>
      <c r="BI1260" s="8">
        <f>0</f>
        <v>0</v>
      </c>
      <c r="BJ1260" s="5" t="s">
        <v>253</v>
      </c>
      <c r="BK1260" s="5" t="s">
        <v>254</v>
      </c>
      <c r="BY1260" s="5" t="s">
        <v>238</v>
      </c>
      <c r="BZ1260" s="5" t="s">
        <v>238</v>
      </c>
      <c r="CD1260" s="5" t="s">
        <v>273</v>
      </c>
      <c r="CE1260" s="5" t="s">
        <v>256</v>
      </c>
      <c r="CF1260" s="5" t="s">
        <v>238</v>
      </c>
      <c r="CI1260" s="6" t="s">
        <v>257</v>
      </c>
      <c r="CJ1260" s="5" t="s">
        <v>238</v>
      </c>
      <c r="CK1260" s="5" t="s">
        <v>258</v>
      </c>
      <c r="CL1260" s="5" t="s">
        <v>238</v>
      </c>
      <c r="CM1260" s="5" t="s">
        <v>238</v>
      </c>
      <c r="CN1260" s="5">
        <v>0</v>
      </c>
      <c r="CO1260" s="5" t="s">
        <v>259</v>
      </c>
      <c r="CP1260" s="5" t="s">
        <v>260</v>
      </c>
      <c r="CQ1260" s="5" t="s">
        <v>260</v>
      </c>
      <c r="CR1260" s="5" t="s">
        <v>261</v>
      </c>
      <c r="CU1260" s="8">
        <f>1</f>
        <v>1</v>
      </c>
      <c r="CV1260" s="8">
        <f>0</f>
        <v>0</v>
      </c>
      <c r="CX1260" s="8">
        <f>0</f>
        <v>0</v>
      </c>
      <c r="CY1260" s="8">
        <f>1</f>
        <v>1</v>
      </c>
      <c r="DA1260" s="5" t="s">
        <v>673</v>
      </c>
      <c r="DB1260" s="5" t="s">
        <v>238</v>
      </c>
      <c r="DD1260" s="5" t="s">
        <v>673</v>
      </c>
      <c r="DE1260" s="8">
        <f>1043</f>
        <v>1043</v>
      </c>
      <c r="DG1260" s="5" t="s">
        <v>238</v>
      </c>
      <c r="DH1260" s="5" t="s">
        <v>238</v>
      </c>
      <c r="DI1260" s="5" t="s">
        <v>238</v>
      </c>
      <c r="DJ1260" s="5" t="s">
        <v>238</v>
      </c>
      <c r="DN1260" s="5" t="s">
        <v>238</v>
      </c>
      <c r="DO1260" s="5" t="s">
        <v>238</v>
      </c>
      <c r="DP1260" s="5" t="s">
        <v>238</v>
      </c>
      <c r="DQ1260" s="5" t="s">
        <v>238</v>
      </c>
      <c r="DT1260" s="5" t="s">
        <v>2039</v>
      </c>
      <c r="DU1260" s="5" t="s">
        <v>2794</v>
      </c>
      <c r="HM1260" s="5" t="s">
        <v>264</v>
      </c>
    </row>
    <row r="1261" spans="1:221" x14ac:dyDescent="0.4">
      <c r="A1261" s="5">
        <v>2936</v>
      </c>
      <c r="B1261" s="5">
        <v>1</v>
      </c>
      <c r="C1261" s="5">
        <v>1</v>
      </c>
      <c r="D1261" s="5" t="s">
        <v>2037</v>
      </c>
      <c r="E1261" s="5" t="s">
        <v>271</v>
      </c>
      <c r="F1261" s="5" t="s">
        <v>248</v>
      </c>
      <c r="G1261" s="5" t="s">
        <v>1969</v>
      </c>
      <c r="H1261" s="6" t="s">
        <v>2791</v>
      </c>
      <c r="I1261" s="7">
        <f>177</f>
        <v>177</v>
      </c>
      <c r="J1261" s="5" t="s">
        <v>262</v>
      </c>
      <c r="K1261" s="8">
        <f>1</f>
        <v>1</v>
      </c>
      <c r="L1261" s="6" t="s">
        <v>242</v>
      </c>
      <c r="M1261" s="5" t="s">
        <v>267</v>
      </c>
      <c r="N1261" s="5" t="s">
        <v>265</v>
      </c>
      <c r="O1261" s="5" t="s">
        <v>238</v>
      </c>
      <c r="P1261" s="5" t="s">
        <v>238</v>
      </c>
      <c r="Q1261" s="5" t="s">
        <v>268</v>
      </c>
      <c r="R1261" s="5" t="s">
        <v>270</v>
      </c>
      <c r="S1261" s="5" t="s">
        <v>238</v>
      </c>
      <c r="V1261" s="5" t="s">
        <v>238</v>
      </c>
      <c r="X1261" s="6" t="s">
        <v>238</v>
      </c>
      <c r="AA1261" s="6" t="s">
        <v>243</v>
      </c>
      <c r="AB1261" s="5" t="s">
        <v>238</v>
      </c>
      <c r="AC1261" s="5" t="s">
        <v>244</v>
      </c>
      <c r="AD1261" s="5" t="s">
        <v>245</v>
      </c>
      <c r="AT1261" s="5" t="s">
        <v>246</v>
      </c>
      <c r="AU1261" s="5" t="s">
        <v>238</v>
      </c>
      <c r="AV1261" s="5" t="s">
        <v>247</v>
      </c>
      <c r="AW1261" s="5" t="s">
        <v>238</v>
      </c>
      <c r="AX1261" s="5" t="s">
        <v>249</v>
      </c>
      <c r="AY1261" s="5" t="s">
        <v>238</v>
      </c>
      <c r="BA1261" s="5" t="s">
        <v>238</v>
      </c>
      <c r="BC1261" s="5" t="s">
        <v>250</v>
      </c>
      <c r="BD1261" s="6" t="s">
        <v>243</v>
      </c>
      <c r="BE1261" s="5" t="s">
        <v>251</v>
      </c>
      <c r="BF1261" s="5" t="s">
        <v>252</v>
      </c>
      <c r="BG1261" s="5" t="s">
        <v>238</v>
      </c>
      <c r="BH1261" s="7">
        <f>0</f>
        <v>0</v>
      </c>
      <c r="BI1261" s="8">
        <f>0</f>
        <v>0</v>
      </c>
      <c r="BJ1261" s="5" t="s">
        <v>253</v>
      </c>
      <c r="BK1261" s="5" t="s">
        <v>254</v>
      </c>
      <c r="BY1261" s="5" t="s">
        <v>238</v>
      </c>
      <c r="BZ1261" s="5" t="s">
        <v>238</v>
      </c>
      <c r="CD1261" s="5" t="s">
        <v>273</v>
      </c>
      <c r="CE1261" s="5" t="s">
        <v>256</v>
      </c>
      <c r="CF1261" s="5" t="s">
        <v>238</v>
      </c>
      <c r="CI1261" s="6" t="s">
        <v>257</v>
      </c>
      <c r="CJ1261" s="5" t="s">
        <v>238</v>
      </c>
      <c r="CK1261" s="5" t="s">
        <v>258</v>
      </c>
      <c r="CL1261" s="5" t="s">
        <v>238</v>
      </c>
      <c r="CM1261" s="5" t="s">
        <v>238</v>
      </c>
      <c r="CN1261" s="5">
        <v>0</v>
      </c>
      <c r="CO1261" s="5" t="s">
        <v>259</v>
      </c>
      <c r="CP1261" s="5" t="s">
        <v>260</v>
      </c>
      <c r="CQ1261" s="5" t="s">
        <v>260</v>
      </c>
      <c r="CR1261" s="5" t="s">
        <v>261</v>
      </c>
      <c r="CU1261" s="8">
        <f>1</f>
        <v>1</v>
      </c>
      <c r="CV1261" s="8">
        <f>0</f>
        <v>0</v>
      </c>
      <c r="CX1261" s="8">
        <f>0</f>
        <v>0</v>
      </c>
      <c r="CY1261" s="8">
        <f>1</f>
        <v>1</v>
      </c>
      <c r="DA1261" s="5" t="s">
        <v>673</v>
      </c>
      <c r="DB1261" s="5" t="s">
        <v>238</v>
      </c>
      <c r="DD1261" s="5" t="s">
        <v>673</v>
      </c>
      <c r="DE1261" s="8">
        <f>177</f>
        <v>177</v>
      </c>
      <c r="DG1261" s="5" t="s">
        <v>238</v>
      </c>
      <c r="DH1261" s="5" t="s">
        <v>238</v>
      </c>
      <c r="DI1261" s="5" t="s">
        <v>238</v>
      </c>
      <c r="DJ1261" s="5" t="s">
        <v>238</v>
      </c>
      <c r="DN1261" s="5" t="s">
        <v>238</v>
      </c>
      <c r="DO1261" s="5" t="s">
        <v>238</v>
      </c>
      <c r="DP1261" s="5" t="s">
        <v>238</v>
      </c>
      <c r="DQ1261" s="5" t="s">
        <v>238</v>
      </c>
      <c r="DT1261" s="5" t="s">
        <v>2039</v>
      </c>
      <c r="DU1261" s="5" t="s">
        <v>2792</v>
      </c>
      <c r="HM1261" s="5" t="s">
        <v>264</v>
      </c>
    </row>
    <row r="1262" spans="1:221" x14ac:dyDescent="0.4">
      <c r="A1262" s="5">
        <v>2937</v>
      </c>
      <c r="B1262" s="5">
        <v>1</v>
      </c>
      <c r="C1262" s="5">
        <v>1</v>
      </c>
      <c r="D1262" s="5" t="s">
        <v>2037</v>
      </c>
      <c r="E1262" s="5" t="s">
        <v>271</v>
      </c>
      <c r="F1262" s="5" t="s">
        <v>248</v>
      </c>
      <c r="G1262" s="5" t="s">
        <v>1969</v>
      </c>
      <c r="H1262" s="6" t="s">
        <v>2790</v>
      </c>
      <c r="I1262" s="7">
        <f>182</f>
        <v>182</v>
      </c>
      <c r="J1262" s="5" t="s">
        <v>262</v>
      </c>
      <c r="K1262" s="8">
        <f>1</f>
        <v>1</v>
      </c>
      <c r="L1262" s="6" t="s">
        <v>242</v>
      </c>
      <c r="M1262" s="5" t="s">
        <v>267</v>
      </c>
      <c r="N1262" s="5" t="s">
        <v>265</v>
      </c>
      <c r="O1262" s="5" t="s">
        <v>238</v>
      </c>
      <c r="P1262" s="5" t="s">
        <v>238</v>
      </c>
      <c r="Q1262" s="5" t="s">
        <v>268</v>
      </c>
      <c r="R1262" s="5" t="s">
        <v>270</v>
      </c>
      <c r="S1262" s="5" t="s">
        <v>238</v>
      </c>
      <c r="V1262" s="5" t="s">
        <v>238</v>
      </c>
      <c r="X1262" s="6" t="s">
        <v>238</v>
      </c>
      <c r="AA1262" s="6" t="s">
        <v>243</v>
      </c>
      <c r="AB1262" s="5" t="s">
        <v>238</v>
      </c>
      <c r="AC1262" s="5" t="s">
        <v>244</v>
      </c>
      <c r="AD1262" s="5" t="s">
        <v>245</v>
      </c>
      <c r="AT1262" s="5" t="s">
        <v>246</v>
      </c>
      <c r="AU1262" s="5" t="s">
        <v>238</v>
      </c>
      <c r="AV1262" s="5" t="s">
        <v>247</v>
      </c>
      <c r="AW1262" s="5" t="s">
        <v>238</v>
      </c>
      <c r="AX1262" s="5" t="s">
        <v>249</v>
      </c>
      <c r="AY1262" s="5" t="s">
        <v>238</v>
      </c>
      <c r="BA1262" s="5" t="s">
        <v>238</v>
      </c>
      <c r="BC1262" s="5" t="s">
        <v>250</v>
      </c>
      <c r="BD1262" s="6" t="s">
        <v>243</v>
      </c>
      <c r="BE1262" s="5" t="s">
        <v>251</v>
      </c>
      <c r="BF1262" s="5" t="s">
        <v>252</v>
      </c>
      <c r="BG1262" s="5" t="s">
        <v>238</v>
      </c>
      <c r="BH1262" s="7">
        <f>0</f>
        <v>0</v>
      </c>
      <c r="BI1262" s="8">
        <f>0</f>
        <v>0</v>
      </c>
      <c r="BJ1262" s="5" t="s">
        <v>253</v>
      </c>
      <c r="BK1262" s="5" t="s">
        <v>254</v>
      </c>
      <c r="BY1262" s="5" t="s">
        <v>238</v>
      </c>
      <c r="BZ1262" s="5" t="s">
        <v>238</v>
      </c>
      <c r="CD1262" s="5" t="s">
        <v>273</v>
      </c>
      <c r="CE1262" s="5" t="s">
        <v>256</v>
      </c>
      <c r="CF1262" s="5" t="s">
        <v>238</v>
      </c>
      <c r="CI1262" s="6" t="s">
        <v>257</v>
      </c>
      <c r="CJ1262" s="5" t="s">
        <v>238</v>
      </c>
      <c r="CK1262" s="5" t="s">
        <v>258</v>
      </c>
      <c r="CL1262" s="5" t="s">
        <v>238</v>
      </c>
      <c r="CM1262" s="5" t="s">
        <v>238</v>
      </c>
      <c r="CN1262" s="5">
        <v>0</v>
      </c>
      <c r="CO1262" s="5" t="s">
        <v>259</v>
      </c>
      <c r="CP1262" s="5" t="s">
        <v>260</v>
      </c>
      <c r="CQ1262" s="5" t="s">
        <v>260</v>
      </c>
      <c r="CR1262" s="5" t="s">
        <v>261</v>
      </c>
      <c r="CU1262" s="8">
        <f>1</f>
        <v>1</v>
      </c>
      <c r="CV1262" s="8">
        <f>0</f>
        <v>0</v>
      </c>
      <c r="CX1262" s="8">
        <f>0</f>
        <v>0</v>
      </c>
      <c r="CY1262" s="8">
        <f>1</f>
        <v>1</v>
      </c>
      <c r="DA1262" s="5" t="s">
        <v>673</v>
      </c>
      <c r="DB1262" s="5" t="s">
        <v>238</v>
      </c>
      <c r="DD1262" s="5" t="s">
        <v>673</v>
      </c>
      <c r="DE1262" s="8">
        <f>182</f>
        <v>182</v>
      </c>
      <c r="DG1262" s="5" t="s">
        <v>238</v>
      </c>
      <c r="DH1262" s="5" t="s">
        <v>238</v>
      </c>
      <c r="DI1262" s="5" t="s">
        <v>238</v>
      </c>
      <c r="DJ1262" s="5" t="s">
        <v>238</v>
      </c>
      <c r="DN1262" s="5" t="s">
        <v>238</v>
      </c>
      <c r="DO1262" s="5" t="s">
        <v>238</v>
      </c>
      <c r="DP1262" s="5" t="s">
        <v>238</v>
      </c>
      <c r="DQ1262" s="5" t="s">
        <v>238</v>
      </c>
      <c r="DT1262" s="5" t="s">
        <v>2039</v>
      </c>
      <c r="DU1262" s="5" t="s">
        <v>1794</v>
      </c>
      <c r="HM1262" s="5" t="s">
        <v>264</v>
      </c>
    </row>
    <row r="1263" spans="1:221" x14ac:dyDescent="0.4">
      <c r="A1263" s="5">
        <v>2938</v>
      </c>
      <c r="B1263" s="5">
        <v>1</v>
      </c>
      <c r="C1263" s="5">
        <v>1</v>
      </c>
      <c r="D1263" s="5" t="s">
        <v>2037</v>
      </c>
      <c r="E1263" s="5" t="s">
        <v>271</v>
      </c>
      <c r="F1263" s="5" t="s">
        <v>248</v>
      </c>
      <c r="G1263" s="5" t="s">
        <v>1969</v>
      </c>
      <c r="H1263" s="6" t="s">
        <v>2788</v>
      </c>
      <c r="I1263" s="7">
        <f>2417</f>
        <v>2417</v>
      </c>
      <c r="J1263" s="5" t="s">
        <v>262</v>
      </c>
      <c r="K1263" s="8">
        <f>1</f>
        <v>1</v>
      </c>
      <c r="L1263" s="6" t="s">
        <v>242</v>
      </c>
      <c r="M1263" s="5" t="s">
        <v>267</v>
      </c>
      <c r="N1263" s="5" t="s">
        <v>265</v>
      </c>
      <c r="O1263" s="5" t="s">
        <v>238</v>
      </c>
      <c r="P1263" s="5" t="s">
        <v>238</v>
      </c>
      <c r="Q1263" s="5" t="s">
        <v>268</v>
      </c>
      <c r="R1263" s="5" t="s">
        <v>270</v>
      </c>
      <c r="S1263" s="5" t="s">
        <v>238</v>
      </c>
      <c r="V1263" s="5" t="s">
        <v>238</v>
      </c>
      <c r="X1263" s="6" t="s">
        <v>238</v>
      </c>
      <c r="AA1263" s="6" t="s">
        <v>243</v>
      </c>
      <c r="AB1263" s="5" t="s">
        <v>238</v>
      </c>
      <c r="AC1263" s="5" t="s">
        <v>244</v>
      </c>
      <c r="AD1263" s="5" t="s">
        <v>245</v>
      </c>
      <c r="AT1263" s="5" t="s">
        <v>246</v>
      </c>
      <c r="AU1263" s="5" t="s">
        <v>238</v>
      </c>
      <c r="AV1263" s="5" t="s">
        <v>247</v>
      </c>
      <c r="AW1263" s="5" t="s">
        <v>238</v>
      </c>
      <c r="AX1263" s="5" t="s">
        <v>249</v>
      </c>
      <c r="AY1263" s="5" t="s">
        <v>238</v>
      </c>
      <c r="BA1263" s="5" t="s">
        <v>238</v>
      </c>
      <c r="BC1263" s="5" t="s">
        <v>250</v>
      </c>
      <c r="BD1263" s="6" t="s">
        <v>243</v>
      </c>
      <c r="BE1263" s="5" t="s">
        <v>251</v>
      </c>
      <c r="BF1263" s="5" t="s">
        <v>252</v>
      </c>
      <c r="BG1263" s="5" t="s">
        <v>238</v>
      </c>
      <c r="BH1263" s="7">
        <f>0</f>
        <v>0</v>
      </c>
      <c r="BI1263" s="8">
        <f>0</f>
        <v>0</v>
      </c>
      <c r="BJ1263" s="5" t="s">
        <v>253</v>
      </c>
      <c r="BK1263" s="5" t="s">
        <v>254</v>
      </c>
      <c r="BY1263" s="5" t="s">
        <v>238</v>
      </c>
      <c r="BZ1263" s="5" t="s">
        <v>238</v>
      </c>
      <c r="CD1263" s="5" t="s">
        <v>273</v>
      </c>
      <c r="CE1263" s="5" t="s">
        <v>256</v>
      </c>
      <c r="CF1263" s="5" t="s">
        <v>238</v>
      </c>
      <c r="CI1263" s="6" t="s">
        <v>257</v>
      </c>
      <c r="CJ1263" s="5" t="s">
        <v>238</v>
      </c>
      <c r="CK1263" s="5" t="s">
        <v>258</v>
      </c>
      <c r="CL1263" s="5" t="s">
        <v>238</v>
      </c>
      <c r="CM1263" s="5" t="s">
        <v>238</v>
      </c>
      <c r="CN1263" s="5">
        <v>0</v>
      </c>
      <c r="CO1263" s="5" t="s">
        <v>259</v>
      </c>
      <c r="CP1263" s="5" t="s">
        <v>260</v>
      </c>
      <c r="CQ1263" s="5" t="s">
        <v>260</v>
      </c>
      <c r="CR1263" s="5" t="s">
        <v>261</v>
      </c>
      <c r="CU1263" s="8">
        <f>1</f>
        <v>1</v>
      </c>
      <c r="CV1263" s="8">
        <f>0</f>
        <v>0</v>
      </c>
      <c r="CX1263" s="8">
        <f>0</f>
        <v>0</v>
      </c>
      <c r="CY1263" s="8">
        <f>1</f>
        <v>1</v>
      </c>
      <c r="DA1263" s="5" t="s">
        <v>673</v>
      </c>
      <c r="DB1263" s="5" t="s">
        <v>238</v>
      </c>
      <c r="DD1263" s="5" t="s">
        <v>673</v>
      </c>
      <c r="DE1263" s="8">
        <f>2417</f>
        <v>2417</v>
      </c>
      <c r="DG1263" s="5" t="s">
        <v>238</v>
      </c>
      <c r="DH1263" s="5" t="s">
        <v>238</v>
      </c>
      <c r="DI1263" s="5" t="s">
        <v>238</v>
      </c>
      <c r="DJ1263" s="5" t="s">
        <v>238</v>
      </c>
      <c r="DN1263" s="5" t="s">
        <v>238</v>
      </c>
      <c r="DO1263" s="5" t="s">
        <v>238</v>
      </c>
      <c r="DP1263" s="5" t="s">
        <v>238</v>
      </c>
      <c r="DQ1263" s="5" t="s">
        <v>238</v>
      </c>
      <c r="DT1263" s="5" t="s">
        <v>2039</v>
      </c>
      <c r="DU1263" s="5" t="s">
        <v>2789</v>
      </c>
      <c r="HM1263" s="5" t="s">
        <v>264</v>
      </c>
    </row>
    <row r="1264" spans="1:221" x14ac:dyDescent="0.4">
      <c r="A1264" s="5">
        <v>2939</v>
      </c>
      <c r="B1264" s="5">
        <v>1</v>
      </c>
      <c r="C1264" s="5">
        <v>1</v>
      </c>
      <c r="D1264" s="5" t="s">
        <v>2037</v>
      </c>
      <c r="E1264" s="5" t="s">
        <v>271</v>
      </c>
      <c r="F1264" s="5" t="s">
        <v>248</v>
      </c>
      <c r="G1264" s="5" t="s">
        <v>1969</v>
      </c>
      <c r="H1264" s="6" t="s">
        <v>2787</v>
      </c>
      <c r="I1264" s="7">
        <f>1686</f>
        <v>1686</v>
      </c>
      <c r="J1264" s="5" t="s">
        <v>262</v>
      </c>
      <c r="K1264" s="8">
        <f>1</f>
        <v>1</v>
      </c>
      <c r="L1264" s="6" t="s">
        <v>242</v>
      </c>
      <c r="M1264" s="5" t="s">
        <v>267</v>
      </c>
      <c r="N1264" s="5" t="s">
        <v>265</v>
      </c>
      <c r="O1264" s="5" t="s">
        <v>238</v>
      </c>
      <c r="P1264" s="5" t="s">
        <v>238</v>
      </c>
      <c r="Q1264" s="5" t="s">
        <v>268</v>
      </c>
      <c r="R1264" s="5" t="s">
        <v>270</v>
      </c>
      <c r="S1264" s="5" t="s">
        <v>238</v>
      </c>
      <c r="V1264" s="5" t="s">
        <v>238</v>
      </c>
      <c r="X1264" s="6" t="s">
        <v>238</v>
      </c>
      <c r="AA1264" s="6" t="s">
        <v>243</v>
      </c>
      <c r="AB1264" s="5" t="s">
        <v>238</v>
      </c>
      <c r="AC1264" s="5" t="s">
        <v>244</v>
      </c>
      <c r="AD1264" s="5" t="s">
        <v>245</v>
      </c>
      <c r="AT1264" s="5" t="s">
        <v>246</v>
      </c>
      <c r="AU1264" s="5" t="s">
        <v>238</v>
      </c>
      <c r="AV1264" s="5" t="s">
        <v>247</v>
      </c>
      <c r="AW1264" s="5" t="s">
        <v>238</v>
      </c>
      <c r="AX1264" s="5" t="s">
        <v>249</v>
      </c>
      <c r="AY1264" s="5" t="s">
        <v>238</v>
      </c>
      <c r="BA1264" s="5" t="s">
        <v>238</v>
      </c>
      <c r="BC1264" s="5" t="s">
        <v>250</v>
      </c>
      <c r="BD1264" s="6" t="s">
        <v>243</v>
      </c>
      <c r="BE1264" s="5" t="s">
        <v>251</v>
      </c>
      <c r="BF1264" s="5" t="s">
        <v>252</v>
      </c>
      <c r="BG1264" s="5" t="s">
        <v>238</v>
      </c>
      <c r="BH1264" s="7">
        <f>0</f>
        <v>0</v>
      </c>
      <c r="BI1264" s="8">
        <f>0</f>
        <v>0</v>
      </c>
      <c r="BJ1264" s="5" t="s">
        <v>253</v>
      </c>
      <c r="BK1264" s="5" t="s">
        <v>254</v>
      </c>
      <c r="BY1264" s="5" t="s">
        <v>238</v>
      </c>
      <c r="BZ1264" s="5" t="s">
        <v>238</v>
      </c>
      <c r="CD1264" s="5" t="s">
        <v>273</v>
      </c>
      <c r="CE1264" s="5" t="s">
        <v>256</v>
      </c>
      <c r="CF1264" s="5" t="s">
        <v>238</v>
      </c>
      <c r="CI1264" s="6" t="s">
        <v>257</v>
      </c>
      <c r="CJ1264" s="5" t="s">
        <v>238</v>
      </c>
      <c r="CK1264" s="5" t="s">
        <v>258</v>
      </c>
      <c r="CL1264" s="5" t="s">
        <v>238</v>
      </c>
      <c r="CM1264" s="5" t="s">
        <v>238</v>
      </c>
      <c r="CN1264" s="5">
        <v>0</v>
      </c>
      <c r="CO1264" s="5" t="s">
        <v>259</v>
      </c>
      <c r="CP1264" s="5" t="s">
        <v>260</v>
      </c>
      <c r="CQ1264" s="5" t="s">
        <v>260</v>
      </c>
      <c r="CR1264" s="5" t="s">
        <v>261</v>
      </c>
      <c r="CU1264" s="8">
        <f>1</f>
        <v>1</v>
      </c>
      <c r="CV1264" s="8">
        <f>0</f>
        <v>0</v>
      </c>
      <c r="CX1264" s="8">
        <f>0</f>
        <v>0</v>
      </c>
      <c r="CY1264" s="8">
        <f>1</f>
        <v>1</v>
      </c>
      <c r="DA1264" s="5" t="s">
        <v>673</v>
      </c>
      <c r="DB1264" s="5" t="s">
        <v>238</v>
      </c>
      <c r="DD1264" s="5" t="s">
        <v>673</v>
      </c>
      <c r="DE1264" s="8">
        <f>1686</f>
        <v>1686</v>
      </c>
      <c r="DG1264" s="5" t="s">
        <v>238</v>
      </c>
      <c r="DH1264" s="5" t="s">
        <v>238</v>
      </c>
      <c r="DI1264" s="5" t="s">
        <v>238</v>
      </c>
      <c r="DJ1264" s="5" t="s">
        <v>238</v>
      </c>
      <c r="DN1264" s="5" t="s">
        <v>238</v>
      </c>
      <c r="DO1264" s="5" t="s">
        <v>238</v>
      </c>
      <c r="DP1264" s="5" t="s">
        <v>238</v>
      </c>
      <c r="DQ1264" s="5" t="s">
        <v>238</v>
      </c>
      <c r="DT1264" s="5" t="s">
        <v>2039</v>
      </c>
      <c r="DU1264" s="5" t="s">
        <v>1778</v>
      </c>
      <c r="HM1264" s="5" t="s">
        <v>264</v>
      </c>
    </row>
    <row r="1265" spans="1:221" x14ac:dyDescent="0.4">
      <c r="A1265" s="5">
        <v>2940</v>
      </c>
      <c r="B1265" s="5">
        <v>1</v>
      </c>
      <c r="C1265" s="5">
        <v>1</v>
      </c>
      <c r="D1265" s="5" t="s">
        <v>2037</v>
      </c>
      <c r="E1265" s="5" t="s">
        <v>271</v>
      </c>
      <c r="F1265" s="5" t="s">
        <v>248</v>
      </c>
      <c r="G1265" s="5" t="s">
        <v>1969</v>
      </c>
      <c r="H1265" s="6" t="s">
        <v>2784</v>
      </c>
      <c r="I1265" s="7">
        <f>138</f>
        <v>138</v>
      </c>
      <c r="J1265" s="5" t="s">
        <v>262</v>
      </c>
      <c r="K1265" s="8">
        <f>1</f>
        <v>1</v>
      </c>
      <c r="L1265" s="6" t="s">
        <v>242</v>
      </c>
      <c r="M1265" s="5" t="s">
        <v>267</v>
      </c>
      <c r="N1265" s="5" t="s">
        <v>265</v>
      </c>
      <c r="O1265" s="5" t="s">
        <v>238</v>
      </c>
      <c r="P1265" s="5" t="s">
        <v>238</v>
      </c>
      <c r="Q1265" s="5" t="s">
        <v>268</v>
      </c>
      <c r="R1265" s="5" t="s">
        <v>270</v>
      </c>
      <c r="S1265" s="5" t="s">
        <v>238</v>
      </c>
      <c r="V1265" s="5" t="s">
        <v>238</v>
      </c>
      <c r="X1265" s="6" t="s">
        <v>238</v>
      </c>
      <c r="AA1265" s="6" t="s">
        <v>243</v>
      </c>
      <c r="AB1265" s="5" t="s">
        <v>238</v>
      </c>
      <c r="AC1265" s="5" t="s">
        <v>244</v>
      </c>
      <c r="AD1265" s="5" t="s">
        <v>245</v>
      </c>
      <c r="AT1265" s="5" t="s">
        <v>246</v>
      </c>
      <c r="AU1265" s="5" t="s">
        <v>238</v>
      </c>
      <c r="AV1265" s="5" t="s">
        <v>247</v>
      </c>
      <c r="AW1265" s="5" t="s">
        <v>238</v>
      </c>
      <c r="AX1265" s="5" t="s">
        <v>249</v>
      </c>
      <c r="AY1265" s="5" t="s">
        <v>238</v>
      </c>
      <c r="BA1265" s="5" t="s">
        <v>238</v>
      </c>
      <c r="BC1265" s="5" t="s">
        <v>250</v>
      </c>
      <c r="BD1265" s="6" t="s">
        <v>243</v>
      </c>
      <c r="BE1265" s="5" t="s">
        <v>251</v>
      </c>
      <c r="BF1265" s="5" t="s">
        <v>252</v>
      </c>
      <c r="BG1265" s="5" t="s">
        <v>238</v>
      </c>
      <c r="BH1265" s="7">
        <f>0</f>
        <v>0</v>
      </c>
      <c r="BI1265" s="8">
        <f>0</f>
        <v>0</v>
      </c>
      <c r="BJ1265" s="5" t="s">
        <v>253</v>
      </c>
      <c r="BK1265" s="5" t="s">
        <v>254</v>
      </c>
      <c r="BY1265" s="5" t="s">
        <v>238</v>
      </c>
      <c r="BZ1265" s="5" t="s">
        <v>238</v>
      </c>
      <c r="CD1265" s="5" t="s">
        <v>273</v>
      </c>
      <c r="CE1265" s="5" t="s">
        <v>256</v>
      </c>
      <c r="CF1265" s="5" t="s">
        <v>238</v>
      </c>
      <c r="CI1265" s="6" t="s">
        <v>257</v>
      </c>
      <c r="CJ1265" s="5" t="s">
        <v>238</v>
      </c>
      <c r="CK1265" s="5" t="s">
        <v>258</v>
      </c>
      <c r="CL1265" s="5" t="s">
        <v>238</v>
      </c>
      <c r="CM1265" s="5" t="s">
        <v>238</v>
      </c>
      <c r="CN1265" s="5">
        <v>0</v>
      </c>
      <c r="CO1265" s="5" t="s">
        <v>259</v>
      </c>
      <c r="CP1265" s="5" t="s">
        <v>260</v>
      </c>
      <c r="CQ1265" s="5" t="s">
        <v>260</v>
      </c>
      <c r="CR1265" s="5" t="s">
        <v>261</v>
      </c>
      <c r="CU1265" s="8">
        <f>1</f>
        <v>1</v>
      </c>
      <c r="CV1265" s="8">
        <f>0</f>
        <v>0</v>
      </c>
      <c r="CX1265" s="8">
        <f>0</f>
        <v>0</v>
      </c>
      <c r="CY1265" s="8">
        <f>1</f>
        <v>1</v>
      </c>
      <c r="DA1265" s="5" t="s">
        <v>673</v>
      </c>
      <c r="DB1265" s="5" t="s">
        <v>238</v>
      </c>
      <c r="DD1265" s="5" t="s">
        <v>673</v>
      </c>
      <c r="DE1265" s="8">
        <f>138</f>
        <v>138</v>
      </c>
      <c r="DG1265" s="5" t="s">
        <v>238</v>
      </c>
      <c r="DH1265" s="5" t="s">
        <v>238</v>
      </c>
      <c r="DI1265" s="5" t="s">
        <v>238</v>
      </c>
      <c r="DJ1265" s="5" t="s">
        <v>238</v>
      </c>
      <c r="DN1265" s="5" t="s">
        <v>238</v>
      </c>
      <c r="DO1265" s="5" t="s">
        <v>238</v>
      </c>
      <c r="DP1265" s="5" t="s">
        <v>238</v>
      </c>
      <c r="DQ1265" s="5" t="s">
        <v>238</v>
      </c>
      <c r="DT1265" s="5" t="s">
        <v>2039</v>
      </c>
      <c r="DU1265" s="5" t="s">
        <v>1772</v>
      </c>
      <c r="HM1265" s="5" t="s">
        <v>264</v>
      </c>
    </row>
    <row r="1266" spans="1:221" x14ac:dyDescent="0.4">
      <c r="A1266" s="5">
        <v>2941</v>
      </c>
      <c r="B1266" s="5">
        <v>1</v>
      </c>
      <c r="C1266" s="5">
        <v>1</v>
      </c>
      <c r="D1266" s="5" t="s">
        <v>2037</v>
      </c>
      <c r="E1266" s="5" t="s">
        <v>271</v>
      </c>
      <c r="F1266" s="5" t="s">
        <v>248</v>
      </c>
      <c r="G1266" s="5" t="s">
        <v>1969</v>
      </c>
      <c r="H1266" s="6" t="s">
        <v>2782</v>
      </c>
      <c r="I1266" s="7">
        <f>71</f>
        <v>71</v>
      </c>
      <c r="J1266" s="5" t="s">
        <v>262</v>
      </c>
      <c r="K1266" s="8">
        <f>1</f>
        <v>1</v>
      </c>
      <c r="L1266" s="6" t="s">
        <v>242</v>
      </c>
      <c r="M1266" s="5" t="s">
        <v>267</v>
      </c>
      <c r="N1266" s="5" t="s">
        <v>265</v>
      </c>
      <c r="O1266" s="5" t="s">
        <v>238</v>
      </c>
      <c r="P1266" s="5" t="s">
        <v>238</v>
      </c>
      <c r="Q1266" s="5" t="s">
        <v>268</v>
      </c>
      <c r="R1266" s="5" t="s">
        <v>270</v>
      </c>
      <c r="S1266" s="5" t="s">
        <v>238</v>
      </c>
      <c r="V1266" s="5" t="s">
        <v>238</v>
      </c>
      <c r="X1266" s="6" t="s">
        <v>238</v>
      </c>
      <c r="AA1266" s="6" t="s">
        <v>243</v>
      </c>
      <c r="AB1266" s="5" t="s">
        <v>238</v>
      </c>
      <c r="AC1266" s="5" t="s">
        <v>244</v>
      </c>
      <c r="AD1266" s="5" t="s">
        <v>245</v>
      </c>
      <c r="AT1266" s="5" t="s">
        <v>246</v>
      </c>
      <c r="AU1266" s="5" t="s">
        <v>238</v>
      </c>
      <c r="AV1266" s="5" t="s">
        <v>247</v>
      </c>
      <c r="AW1266" s="5" t="s">
        <v>238</v>
      </c>
      <c r="AX1266" s="5" t="s">
        <v>249</v>
      </c>
      <c r="AY1266" s="5" t="s">
        <v>238</v>
      </c>
      <c r="BA1266" s="5" t="s">
        <v>238</v>
      </c>
      <c r="BC1266" s="5" t="s">
        <v>250</v>
      </c>
      <c r="BD1266" s="6" t="s">
        <v>243</v>
      </c>
      <c r="BE1266" s="5" t="s">
        <v>251</v>
      </c>
      <c r="BF1266" s="5" t="s">
        <v>252</v>
      </c>
      <c r="BG1266" s="5" t="s">
        <v>238</v>
      </c>
      <c r="BH1266" s="7">
        <f>0</f>
        <v>0</v>
      </c>
      <c r="BI1266" s="8">
        <f>0</f>
        <v>0</v>
      </c>
      <c r="BJ1266" s="5" t="s">
        <v>253</v>
      </c>
      <c r="BK1266" s="5" t="s">
        <v>254</v>
      </c>
      <c r="BY1266" s="5" t="s">
        <v>238</v>
      </c>
      <c r="BZ1266" s="5" t="s">
        <v>238</v>
      </c>
      <c r="CD1266" s="5" t="s">
        <v>273</v>
      </c>
      <c r="CE1266" s="5" t="s">
        <v>256</v>
      </c>
      <c r="CF1266" s="5" t="s">
        <v>238</v>
      </c>
      <c r="CI1266" s="6" t="s">
        <v>257</v>
      </c>
      <c r="CJ1266" s="5" t="s">
        <v>238</v>
      </c>
      <c r="CK1266" s="5" t="s">
        <v>258</v>
      </c>
      <c r="CL1266" s="5" t="s">
        <v>238</v>
      </c>
      <c r="CM1266" s="5" t="s">
        <v>238</v>
      </c>
      <c r="CN1266" s="5">
        <v>0</v>
      </c>
      <c r="CO1266" s="5" t="s">
        <v>259</v>
      </c>
      <c r="CP1266" s="5" t="s">
        <v>260</v>
      </c>
      <c r="CQ1266" s="5" t="s">
        <v>260</v>
      </c>
      <c r="CR1266" s="5" t="s">
        <v>261</v>
      </c>
      <c r="CU1266" s="8">
        <f>1</f>
        <v>1</v>
      </c>
      <c r="CV1266" s="8">
        <f>0</f>
        <v>0</v>
      </c>
      <c r="CX1266" s="8">
        <f>0</f>
        <v>0</v>
      </c>
      <c r="CY1266" s="8">
        <f>1</f>
        <v>1</v>
      </c>
      <c r="DA1266" s="5" t="s">
        <v>673</v>
      </c>
      <c r="DB1266" s="5" t="s">
        <v>238</v>
      </c>
      <c r="DD1266" s="5" t="s">
        <v>673</v>
      </c>
      <c r="DE1266" s="8">
        <f>71</f>
        <v>71</v>
      </c>
      <c r="DG1266" s="5" t="s">
        <v>238</v>
      </c>
      <c r="DH1266" s="5" t="s">
        <v>238</v>
      </c>
      <c r="DI1266" s="5" t="s">
        <v>238</v>
      </c>
      <c r="DJ1266" s="5" t="s">
        <v>238</v>
      </c>
      <c r="DN1266" s="5" t="s">
        <v>238</v>
      </c>
      <c r="DO1266" s="5" t="s">
        <v>238</v>
      </c>
      <c r="DP1266" s="5" t="s">
        <v>238</v>
      </c>
      <c r="DQ1266" s="5" t="s">
        <v>238</v>
      </c>
      <c r="DT1266" s="5" t="s">
        <v>2039</v>
      </c>
      <c r="DU1266" s="5" t="s">
        <v>2783</v>
      </c>
      <c r="HM1266" s="5" t="s">
        <v>264</v>
      </c>
    </row>
    <row r="1267" spans="1:221" x14ac:dyDescent="0.4">
      <c r="A1267" s="5">
        <v>2942</v>
      </c>
      <c r="B1267" s="5">
        <v>1</v>
      </c>
      <c r="C1267" s="5">
        <v>1</v>
      </c>
      <c r="D1267" s="5" t="s">
        <v>2037</v>
      </c>
      <c r="E1267" s="5" t="s">
        <v>271</v>
      </c>
      <c r="F1267" s="5" t="s">
        <v>248</v>
      </c>
      <c r="G1267" s="5" t="s">
        <v>1969</v>
      </c>
      <c r="H1267" s="6" t="s">
        <v>2781</v>
      </c>
      <c r="I1267" s="7">
        <f>514</f>
        <v>514</v>
      </c>
      <c r="J1267" s="5" t="s">
        <v>262</v>
      </c>
      <c r="K1267" s="8">
        <f>1</f>
        <v>1</v>
      </c>
      <c r="L1267" s="6" t="s">
        <v>242</v>
      </c>
      <c r="M1267" s="5" t="s">
        <v>267</v>
      </c>
      <c r="N1267" s="5" t="s">
        <v>265</v>
      </c>
      <c r="O1267" s="5" t="s">
        <v>238</v>
      </c>
      <c r="P1267" s="5" t="s">
        <v>238</v>
      </c>
      <c r="Q1267" s="5" t="s">
        <v>268</v>
      </c>
      <c r="R1267" s="5" t="s">
        <v>270</v>
      </c>
      <c r="S1267" s="5" t="s">
        <v>238</v>
      </c>
      <c r="V1267" s="5" t="s">
        <v>238</v>
      </c>
      <c r="X1267" s="6" t="s">
        <v>238</v>
      </c>
      <c r="AA1267" s="6" t="s">
        <v>243</v>
      </c>
      <c r="AB1267" s="5" t="s">
        <v>238</v>
      </c>
      <c r="AC1267" s="5" t="s">
        <v>244</v>
      </c>
      <c r="AD1267" s="5" t="s">
        <v>245</v>
      </c>
      <c r="AT1267" s="5" t="s">
        <v>246</v>
      </c>
      <c r="AU1267" s="5" t="s">
        <v>238</v>
      </c>
      <c r="AV1267" s="5" t="s">
        <v>247</v>
      </c>
      <c r="AW1267" s="5" t="s">
        <v>238</v>
      </c>
      <c r="AX1267" s="5" t="s">
        <v>249</v>
      </c>
      <c r="AY1267" s="5" t="s">
        <v>238</v>
      </c>
      <c r="BA1267" s="5" t="s">
        <v>238</v>
      </c>
      <c r="BC1267" s="5" t="s">
        <v>250</v>
      </c>
      <c r="BD1267" s="6" t="s">
        <v>243</v>
      </c>
      <c r="BE1267" s="5" t="s">
        <v>251</v>
      </c>
      <c r="BF1267" s="5" t="s">
        <v>252</v>
      </c>
      <c r="BG1267" s="5" t="s">
        <v>238</v>
      </c>
      <c r="BH1267" s="7">
        <f>0</f>
        <v>0</v>
      </c>
      <c r="BI1267" s="8">
        <f>0</f>
        <v>0</v>
      </c>
      <c r="BJ1267" s="5" t="s">
        <v>253</v>
      </c>
      <c r="BK1267" s="5" t="s">
        <v>254</v>
      </c>
      <c r="BY1267" s="5" t="s">
        <v>238</v>
      </c>
      <c r="BZ1267" s="5" t="s">
        <v>238</v>
      </c>
      <c r="CD1267" s="5" t="s">
        <v>273</v>
      </c>
      <c r="CE1267" s="5" t="s">
        <v>256</v>
      </c>
      <c r="CF1267" s="5" t="s">
        <v>238</v>
      </c>
      <c r="CI1267" s="6" t="s">
        <v>257</v>
      </c>
      <c r="CJ1267" s="5" t="s">
        <v>238</v>
      </c>
      <c r="CK1267" s="5" t="s">
        <v>258</v>
      </c>
      <c r="CL1267" s="5" t="s">
        <v>238</v>
      </c>
      <c r="CM1267" s="5" t="s">
        <v>238</v>
      </c>
      <c r="CN1267" s="5">
        <v>0</v>
      </c>
      <c r="CO1267" s="5" t="s">
        <v>259</v>
      </c>
      <c r="CP1267" s="5" t="s">
        <v>260</v>
      </c>
      <c r="CQ1267" s="5" t="s">
        <v>260</v>
      </c>
      <c r="CR1267" s="5" t="s">
        <v>261</v>
      </c>
      <c r="CU1267" s="8">
        <f>1</f>
        <v>1</v>
      </c>
      <c r="CV1267" s="8">
        <f>0</f>
        <v>0</v>
      </c>
      <c r="CX1267" s="8">
        <f>0</f>
        <v>0</v>
      </c>
      <c r="CY1267" s="8">
        <f>1</f>
        <v>1</v>
      </c>
      <c r="DA1267" s="5" t="s">
        <v>673</v>
      </c>
      <c r="DB1267" s="5" t="s">
        <v>238</v>
      </c>
      <c r="DD1267" s="5" t="s">
        <v>673</v>
      </c>
      <c r="DE1267" s="8">
        <f>514</f>
        <v>514</v>
      </c>
      <c r="DG1267" s="5" t="s">
        <v>238</v>
      </c>
      <c r="DH1267" s="5" t="s">
        <v>238</v>
      </c>
      <c r="DI1267" s="5" t="s">
        <v>238</v>
      </c>
      <c r="DJ1267" s="5" t="s">
        <v>238</v>
      </c>
      <c r="DN1267" s="5" t="s">
        <v>238</v>
      </c>
      <c r="DO1267" s="5" t="s">
        <v>238</v>
      </c>
      <c r="DP1267" s="5" t="s">
        <v>238</v>
      </c>
      <c r="DQ1267" s="5" t="s">
        <v>238</v>
      </c>
      <c r="DT1267" s="5" t="s">
        <v>2039</v>
      </c>
      <c r="DU1267" s="5" t="s">
        <v>1752</v>
      </c>
      <c r="HM1267" s="5" t="s">
        <v>264</v>
      </c>
    </row>
    <row r="1268" spans="1:221" x14ac:dyDescent="0.4">
      <c r="A1268" s="5">
        <v>2943</v>
      </c>
      <c r="B1268" s="5">
        <v>1</v>
      </c>
      <c r="C1268" s="5">
        <v>1</v>
      </c>
      <c r="D1268" s="5" t="s">
        <v>2037</v>
      </c>
      <c r="E1268" s="5" t="s">
        <v>271</v>
      </c>
      <c r="F1268" s="5" t="s">
        <v>248</v>
      </c>
      <c r="G1268" s="5" t="s">
        <v>1969</v>
      </c>
      <c r="H1268" s="6" t="s">
        <v>2780</v>
      </c>
      <c r="I1268" s="7">
        <f>1328</f>
        <v>1328</v>
      </c>
      <c r="J1268" s="5" t="s">
        <v>262</v>
      </c>
      <c r="K1268" s="8">
        <f>1</f>
        <v>1</v>
      </c>
      <c r="L1268" s="6" t="s">
        <v>242</v>
      </c>
      <c r="M1268" s="5" t="s">
        <v>267</v>
      </c>
      <c r="N1268" s="5" t="s">
        <v>265</v>
      </c>
      <c r="O1268" s="5" t="s">
        <v>238</v>
      </c>
      <c r="P1268" s="5" t="s">
        <v>238</v>
      </c>
      <c r="Q1268" s="5" t="s">
        <v>268</v>
      </c>
      <c r="R1268" s="5" t="s">
        <v>270</v>
      </c>
      <c r="S1268" s="5" t="s">
        <v>238</v>
      </c>
      <c r="V1268" s="5" t="s">
        <v>238</v>
      </c>
      <c r="X1268" s="6" t="s">
        <v>238</v>
      </c>
      <c r="AA1268" s="6" t="s">
        <v>243</v>
      </c>
      <c r="AB1268" s="5" t="s">
        <v>238</v>
      </c>
      <c r="AC1268" s="5" t="s">
        <v>244</v>
      </c>
      <c r="AD1268" s="5" t="s">
        <v>245</v>
      </c>
      <c r="AT1268" s="5" t="s">
        <v>246</v>
      </c>
      <c r="AU1268" s="5" t="s">
        <v>238</v>
      </c>
      <c r="AV1268" s="5" t="s">
        <v>247</v>
      </c>
      <c r="AW1268" s="5" t="s">
        <v>238</v>
      </c>
      <c r="AX1268" s="5" t="s">
        <v>249</v>
      </c>
      <c r="AY1268" s="5" t="s">
        <v>238</v>
      </c>
      <c r="BA1268" s="5" t="s">
        <v>238</v>
      </c>
      <c r="BC1268" s="5" t="s">
        <v>250</v>
      </c>
      <c r="BD1268" s="6" t="s">
        <v>243</v>
      </c>
      <c r="BE1268" s="5" t="s">
        <v>251</v>
      </c>
      <c r="BF1268" s="5" t="s">
        <v>252</v>
      </c>
      <c r="BG1268" s="5" t="s">
        <v>238</v>
      </c>
      <c r="BH1268" s="7">
        <f>0</f>
        <v>0</v>
      </c>
      <c r="BI1268" s="8">
        <f>0</f>
        <v>0</v>
      </c>
      <c r="BJ1268" s="5" t="s">
        <v>253</v>
      </c>
      <c r="BK1268" s="5" t="s">
        <v>254</v>
      </c>
      <c r="BY1268" s="5" t="s">
        <v>238</v>
      </c>
      <c r="BZ1268" s="5" t="s">
        <v>238</v>
      </c>
      <c r="CD1268" s="5" t="s">
        <v>273</v>
      </c>
      <c r="CE1268" s="5" t="s">
        <v>256</v>
      </c>
      <c r="CF1268" s="5" t="s">
        <v>238</v>
      </c>
      <c r="CI1268" s="6" t="s">
        <v>257</v>
      </c>
      <c r="CJ1268" s="5" t="s">
        <v>238</v>
      </c>
      <c r="CK1268" s="5" t="s">
        <v>258</v>
      </c>
      <c r="CL1268" s="5" t="s">
        <v>238</v>
      </c>
      <c r="CM1268" s="5" t="s">
        <v>238</v>
      </c>
      <c r="CN1268" s="5">
        <v>0</v>
      </c>
      <c r="CO1268" s="5" t="s">
        <v>259</v>
      </c>
      <c r="CP1268" s="5" t="s">
        <v>260</v>
      </c>
      <c r="CQ1268" s="5" t="s">
        <v>260</v>
      </c>
      <c r="CR1268" s="5" t="s">
        <v>261</v>
      </c>
      <c r="CU1268" s="8">
        <f>1</f>
        <v>1</v>
      </c>
      <c r="CV1268" s="8">
        <f>0</f>
        <v>0</v>
      </c>
      <c r="CX1268" s="8">
        <f>0</f>
        <v>0</v>
      </c>
      <c r="CY1268" s="8">
        <f>1</f>
        <v>1</v>
      </c>
      <c r="DA1268" s="5" t="s">
        <v>673</v>
      </c>
      <c r="DB1268" s="5" t="s">
        <v>238</v>
      </c>
      <c r="DD1268" s="5" t="s">
        <v>673</v>
      </c>
      <c r="DE1268" s="8">
        <f>1328</f>
        <v>1328</v>
      </c>
      <c r="DG1268" s="5" t="s">
        <v>238</v>
      </c>
      <c r="DH1268" s="5" t="s">
        <v>238</v>
      </c>
      <c r="DI1268" s="5" t="s">
        <v>238</v>
      </c>
      <c r="DJ1268" s="5" t="s">
        <v>238</v>
      </c>
      <c r="DN1268" s="5" t="s">
        <v>238</v>
      </c>
      <c r="DO1268" s="5" t="s">
        <v>238</v>
      </c>
      <c r="DP1268" s="5" t="s">
        <v>238</v>
      </c>
      <c r="DQ1268" s="5" t="s">
        <v>238</v>
      </c>
      <c r="DT1268" s="5" t="s">
        <v>2039</v>
      </c>
      <c r="DU1268" s="5" t="s">
        <v>1748</v>
      </c>
      <c r="HM1268" s="5" t="s">
        <v>264</v>
      </c>
    </row>
    <row r="1269" spans="1:221" x14ac:dyDescent="0.4">
      <c r="A1269" s="5">
        <v>2944</v>
      </c>
      <c r="B1269" s="5">
        <v>1</v>
      </c>
      <c r="C1269" s="5">
        <v>1</v>
      </c>
      <c r="D1269" s="5" t="s">
        <v>2037</v>
      </c>
      <c r="E1269" s="5" t="s">
        <v>271</v>
      </c>
      <c r="F1269" s="5" t="s">
        <v>248</v>
      </c>
      <c r="G1269" s="5" t="s">
        <v>1969</v>
      </c>
      <c r="H1269" s="6" t="s">
        <v>2779</v>
      </c>
      <c r="I1269" s="7">
        <f>214</f>
        <v>214</v>
      </c>
      <c r="J1269" s="5" t="s">
        <v>262</v>
      </c>
      <c r="K1269" s="8">
        <f>1</f>
        <v>1</v>
      </c>
      <c r="L1269" s="6" t="s">
        <v>242</v>
      </c>
      <c r="M1269" s="5" t="s">
        <v>267</v>
      </c>
      <c r="N1269" s="5" t="s">
        <v>265</v>
      </c>
      <c r="O1269" s="5" t="s">
        <v>238</v>
      </c>
      <c r="P1269" s="5" t="s">
        <v>238</v>
      </c>
      <c r="Q1269" s="5" t="s">
        <v>268</v>
      </c>
      <c r="R1269" s="5" t="s">
        <v>270</v>
      </c>
      <c r="S1269" s="5" t="s">
        <v>238</v>
      </c>
      <c r="V1269" s="5" t="s">
        <v>238</v>
      </c>
      <c r="X1269" s="6" t="s">
        <v>238</v>
      </c>
      <c r="AA1269" s="6" t="s">
        <v>243</v>
      </c>
      <c r="AB1269" s="5" t="s">
        <v>238</v>
      </c>
      <c r="AC1269" s="5" t="s">
        <v>244</v>
      </c>
      <c r="AD1269" s="5" t="s">
        <v>245</v>
      </c>
      <c r="AT1269" s="5" t="s">
        <v>246</v>
      </c>
      <c r="AU1269" s="5" t="s">
        <v>238</v>
      </c>
      <c r="AV1269" s="5" t="s">
        <v>247</v>
      </c>
      <c r="AW1269" s="5" t="s">
        <v>238</v>
      </c>
      <c r="AX1269" s="5" t="s">
        <v>249</v>
      </c>
      <c r="AY1269" s="5" t="s">
        <v>238</v>
      </c>
      <c r="BA1269" s="5" t="s">
        <v>238</v>
      </c>
      <c r="BC1269" s="5" t="s">
        <v>250</v>
      </c>
      <c r="BD1269" s="6" t="s">
        <v>243</v>
      </c>
      <c r="BE1269" s="5" t="s">
        <v>251</v>
      </c>
      <c r="BF1269" s="5" t="s">
        <v>252</v>
      </c>
      <c r="BG1269" s="5" t="s">
        <v>238</v>
      </c>
      <c r="BH1269" s="7">
        <f>0</f>
        <v>0</v>
      </c>
      <c r="BI1269" s="8">
        <f>0</f>
        <v>0</v>
      </c>
      <c r="BJ1269" s="5" t="s">
        <v>253</v>
      </c>
      <c r="BK1269" s="5" t="s">
        <v>254</v>
      </c>
      <c r="BY1269" s="5" t="s">
        <v>238</v>
      </c>
      <c r="BZ1269" s="5" t="s">
        <v>238</v>
      </c>
      <c r="CD1269" s="5" t="s">
        <v>273</v>
      </c>
      <c r="CE1269" s="5" t="s">
        <v>256</v>
      </c>
      <c r="CF1269" s="5" t="s">
        <v>238</v>
      </c>
      <c r="CI1269" s="6" t="s">
        <v>257</v>
      </c>
      <c r="CJ1269" s="5" t="s">
        <v>238</v>
      </c>
      <c r="CK1269" s="5" t="s">
        <v>258</v>
      </c>
      <c r="CL1269" s="5" t="s">
        <v>238</v>
      </c>
      <c r="CM1269" s="5" t="s">
        <v>238</v>
      </c>
      <c r="CN1269" s="5">
        <v>0</v>
      </c>
      <c r="CO1269" s="5" t="s">
        <v>259</v>
      </c>
      <c r="CP1269" s="5" t="s">
        <v>260</v>
      </c>
      <c r="CQ1269" s="5" t="s">
        <v>260</v>
      </c>
      <c r="CR1269" s="5" t="s">
        <v>261</v>
      </c>
      <c r="CU1269" s="8">
        <f>1</f>
        <v>1</v>
      </c>
      <c r="CV1269" s="8">
        <f>0</f>
        <v>0</v>
      </c>
      <c r="CX1269" s="8">
        <f>0</f>
        <v>0</v>
      </c>
      <c r="CY1269" s="8">
        <f>1</f>
        <v>1</v>
      </c>
      <c r="DA1269" s="5" t="s">
        <v>673</v>
      </c>
      <c r="DB1269" s="5" t="s">
        <v>238</v>
      </c>
      <c r="DD1269" s="5" t="s">
        <v>673</v>
      </c>
      <c r="DE1269" s="8">
        <f>214</f>
        <v>214</v>
      </c>
      <c r="DG1269" s="5" t="s">
        <v>238</v>
      </c>
      <c r="DH1269" s="5" t="s">
        <v>238</v>
      </c>
      <c r="DI1269" s="5" t="s">
        <v>238</v>
      </c>
      <c r="DJ1269" s="5" t="s">
        <v>238</v>
      </c>
      <c r="DN1269" s="5" t="s">
        <v>238</v>
      </c>
      <c r="DO1269" s="5" t="s">
        <v>238</v>
      </c>
      <c r="DP1269" s="5" t="s">
        <v>238</v>
      </c>
      <c r="DQ1269" s="5" t="s">
        <v>238</v>
      </c>
      <c r="DT1269" s="5" t="s">
        <v>2039</v>
      </c>
      <c r="DU1269" s="5" t="s">
        <v>1740</v>
      </c>
      <c r="HM1269" s="5" t="s">
        <v>264</v>
      </c>
    </row>
    <row r="1270" spans="1:221" x14ac:dyDescent="0.4">
      <c r="A1270" s="5">
        <v>2945</v>
      </c>
      <c r="B1270" s="5">
        <v>1</v>
      </c>
      <c r="C1270" s="5">
        <v>1</v>
      </c>
      <c r="D1270" s="5" t="s">
        <v>2037</v>
      </c>
      <c r="E1270" s="5" t="s">
        <v>271</v>
      </c>
      <c r="F1270" s="5" t="s">
        <v>248</v>
      </c>
      <c r="G1270" s="5" t="s">
        <v>1969</v>
      </c>
      <c r="H1270" s="6" t="s">
        <v>2778</v>
      </c>
      <c r="I1270" s="7">
        <f>19</f>
        <v>19</v>
      </c>
      <c r="J1270" s="5" t="s">
        <v>262</v>
      </c>
      <c r="K1270" s="8">
        <f>1</f>
        <v>1</v>
      </c>
      <c r="L1270" s="6" t="s">
        <v>242</v>
      </c>
      <c r="M1270" s="5" t="s">
        <v>267</v>
      </c>
      <c r="N1270" s="5" t="s">
        <v>265</v>
      </c>
      <c r="O1270" s="5" t="s">
        <v>238</v>
      </c>
      <c r="P1270" s="5" t="s">
        <v>238</v>
      </c>
      <c r="Q1270" s="5" t="s">
        <v>268</v>
      </c>
      <c r="R1270" s="5" t="s">
        <v>270</v>
      </c>
      <c r="S1270" s="5" t="s">
        <v>238</v>
      </c>
      <c r="V1270" s="5" t="s">
        <v>238</v>
      </c>
      <c r="X1270" s="6" t="s">
        <v>238</v>
      </c>
      <c r="AA1270" s="6" t="s">
        <v>243</v>
      </c>
      <c r="AB1270" s="5" t="s">
        <v>238</v>
      </c>
      <c r="AC1270" s="5" t="s">
        <v>244</v>
      </c>
      <c r="AD1270" s="5" t="s">
        <v>245</v>
      </c>
      <c r="AT1270" s="5" t="s">
        <v>246</v>
      </c>
      <c r="AU1270" s="5" t="s">
        <v>238</v>
      </c>
      <c r="AV1270" s="5" t="s">
        <v>247</v>
      </c>
      <c r="AW1270" s="5" t="s">
        <v>238</v>
      </c>
      <c r="AX1270" s="5" t="s">
        <v>249</v>
      </c>
      <c r="AY1270" s="5" t="s">
        <v>238</v>
      </c>
      <c r="BA1270" s="5" t="s">
        <v>238</v>
      </c>
      <c r="BC1270" s="5" t="s">
        <v>250</v>
      </c>
      <c r="BD1270" s="6" t="s">
        <v>243</v>
      </c>
      <c r="BE1270" s="5" t="s">
        <v>251</v>
      </c>
      <c r="BF1270" s="5" t="s">
        <v>252</v>
      </c>
      <c r="BG1270" s="5" t="s">
        <v>238</v>
      </c>
      <c r="BH1270" s="7">
        <f>0</f>
        <v>0</v>
      </c>
      <c r="BI1270" s="8">
        <f>0</f>
        <v>0</v>
      </c>
      <c r="BJ1270" s="5" t="s">
        <v>253</v>
      </c>
      <c r="BK1270" s="5" t="s">
        <v>254</v>
      </c>
      <c r="BY1270" s="5" t="s">
        <v>238</v>
      </c>
      <c r="BZ1270" s="5" t="s">
        <v>238</v>
      </c>
      <c r="CD1270" s="5" t="s">
        <v>273</v>
      </c>
      <c r="CE1270" s="5" t="s">
        <v>256</v>
      </c>
      <c r="CF1270" s="5" t="s">
        <v>238</v>
      </c>
      <c r="CI1270" s="6" t="s">
        <v>257</v>
      </c>
      <c r="CJ1270" s="5" t="s">
        <v>238</v>
      </c>
      <c r="CK1270" s="5" t="s">
        <v>258</v>
      </c>
      <c r="CL1270" s="5" t="s">
        <v>238</v>
      </c>
      <c r="CM1270" s="5" t="s">
        <v>238</v>
      </c>
      <c r="CN1270" s="5">
        <v>0</v>
      </c>
      <c r="CO1270" s="5" t="s">
        <v>259</v>
      </c>
      <c r="CP1270" s="5" t="s">
        <v>260</v>
      </c>
      <c r="CQ1270" s="5" t="s">
        <v>260</v>
      </c>
      <c r="CR1270" s="5" t="s">
        <v>261</v>
      </c>
      <c r="CU1270" s="8">
        <f>1</f>
        <v>1</v>
      </c>
      <c r="CV1270" s="8">
        <f>0</f>
        <v>0</v>
      </c>
      <c r="CX1270" s="8">
        <f>0</f>
        <v>0</v>
      </c>
      <c r="CY1270" s="8">
        <f>1</f>
        <v>1</v>
      </c>
      <c r="DA1270" s="5" t="s">
        <v>673</v>
      </c>
      <c r="DB1270" s="5" t="s">
        <v>238</v>
      </c>
      <c r="DD1270" s="5" t="s">
        <v>673</v>
      </c>
      <c r="DE1270" s="8">
        <f>19</f>
        <v>19</v>
      </c>
      <c r="DG1270" s="5" t="s">
        <v>238</v>
      </c>
      <c r="DH1270" s="5" t="s">
        <v>238</v>
      </c>
      <c r="DI1270" s="5" t="s">
        <v>238</v>
      </c>
      <c r="DJ1270" s="5" t="s">
        <v>238</v>
      </c>
      <c r="DN1270" s="5" t="s">
        <v>238</v>
      </c>
      <c r="DO1270" s="5" t="s">
        <v>238</v>
      </c>
      <c r="DP1270" s="5" t="s">
        <v>238</v>
      </c>
      <c r="DQ1270" s="5" t="s">
        <v>238</v>
      </c>
      <c r="DT1270" s="5" t="s">
        <v>2039</v>
      </c>
      <c r="DU1270" s="5" t="s">
        <v>1736</v>
      </c>
      <c r="HM1270" s="5" t="s">
        <v>264</v>
      </c>
    </row>
    <row r="1271" spans="1:221" x14ac:dyDescent="0.4">
      <c r="A1271" s="5">
        <v>2946</v>
      </c>
      <c r="B1271" s="5">
        <v>1</v>
      </c>
      <c r="C1271" s="5">
        <v>1</v>
      </c>
      <c r="D1271" s="5" t="s">
        <v>2037</v>
      </c>
      <c r="E1271" s="5" t="s">
        <v>271</v>
      </c>
      <c r="F1271" s="5" t="s">
        <v>248</v>
      </c>
      <c r="G1271" s="5" t="s">
        <v>1969</v>
      </c>
      <c r="H1271" s="6" t="s">
        <v>2777</v>
      </c>
      <c r="I1271" s="7">
        <f>911</f>
        <v>911</v>
      </c>
      <c r="J1271" s="5" t="s">
        <v>262</v>
      </c>
      <c r="K1271" s="8">
        <f>1</f>
        <v>1</v>
      </c>
      <c r="L1271" s="6" t="s">
        <v>242</v>
      </c>
      <c r="M1271" s="5" t="s">
        <v>267</v>
      </c>
      <c r="N1271" s="5" t="s">
        <v>265</v>
      </c>
      <c r="O1271" s="5" t="s">
        <v>238</v>
      </c>
      <c r="P1271" s="5" t="s">
        <v>238</v>
      </c>
      <c r="Q1271" s="5" t="s">
        <v>268</v>
      </c>
      <c r="R1271" s="5" t="s">
        <v>270</v>
      </c>
      <c r="S1271" s="5" t="s">
        <v>238</v>
      </c>
      <c r="V1271" s="5" t="s">
        <v>238</v>
      </c>
      <c r="X1271" s="6" t="s">
        <v>238</v>
      </c>
      <c r="AA1271" s="6" t="s">
        <v>243</v>
      </c>
      <c r="AB1271" s="5" t="s">
        <v>238</v>
      </c>
      <c r="AC1271" s="5" t="s">
        <v>244</v>
      </c>
      <c r="AD1271" s="5" t="s">
        <v>245</v>
      </c>
      <c r="AT1271" s="5" t="s">
        <v>246</v>
      </c>
      <c r="AU1271" s="5" t="s">
        <v>238</v>
      </c>
      <c r="AV1271" s="5" t="s">
        <v>247</v>
      </c>
      <c r="AW1271" s="5" t="s">
        <v>238</v>
      </c>
      <c r="AX1271" s="5" t="s">
        <v>249</v>
      </c>
      <c r="AY1271" s="5" t="s">
        <v>238</v>
      </c>
      <c r="BA1271" s="5" t="s">
        <v>238</v>
      </c>
      <c r="BC1271" s="5" t="s">
        <v>250</v>
      </c>
      <c r="BD1271" s="6" t="s">
        <v>243</v>
      </c>
      <c r="BE1271" s="5" t="s">
        <v>251</v>
      </c>
      <c r="BF1271" s="5" t="s">
        <v>252</v>
      </c>
      <c r="BG1271" s="5" t="s">
        <v>238</v>
      </c>
      <c r="BH1271" s="7">
        <f>0</f>
        <v>0</v>
      </c>
      <c r="BI1271" s="8">
        <f>0</f>
        <v>0</v>
      </c>
      <c r="BJ1271" s="5" t="s">
        <v>253</v>
      </c>
      <c r="BK1271" s="5" t="s">
        <v>254</v>
      </c>
      <c r="BY1271" s="5" t="s">
        <v>238</v>
      </c>
      <c r="BZ1271" s="5" t="s">
        <v>238</v>
      </c>
      <c r="CD1271" s="5" t="s">
        <v>273</v>
      </c>
      <c r="CE1271" s="5" t="s">
        <v>256</v>
      </c>
      <c r="CF1271" s="5" t="s">
        <v>238</v>
      </c>
      <c r="CI1271" s="6" t="s">
        <v>257</v>
      </c>
      <c r="CJ1271" s="5" t="s">
        <v>238</v>
      </c>
      <c r="CK1271" s="5" t="s">
        <v>258</v>
      </c>
      <c r="CL1271" s="5" t="s">
        <v>238</v>
      </c>
      <c r="CM1271" s="5" t="s">
        <v>238</v>
      </c>
      <c r="CN1271" s="5">
        <v>0</v>
      </c>
      <c r="CO1271" s="5" t="s">
        <v>259</v>
      </c>
      <c r="CP1271" s="5" t="s">
        <v>260</v>
      </c>
      <c r="CQ1271" s="5" t="s">
        <v>260</v>
      </c>
      <c r="CR1271" s="5" t="s">
        <v>261</v>
      </c>
      <c r="CU1271" s="8">
        <f>1</f>
        <v>1</v>
      </c>
      <c r="CV1271" s="8">
        <f>0</f>
        <v>0</v>
      </c>
      <c r="CX1271" s="8">
        <f>0</f>
        <v>0</v>
      </c>
      <c r="CY1271" s="8">
        <f>1</f>
        <v>1</v>
      </c>
      <c r="DA1271" s="5" t="s">
        <v>673</v>
      </c>
      <c r="DB1271" s="5" t="s">
        <v>238</v>
      </c>
      <c r="DD1271" s="5" t="s">
        <v>673</v>
      </c>
      <c r="DE1271" s="8">
        <f>911</f>
        <v>911</v>
      </c>
      <c r="DG1271" s="5" t="s">
        <v>238</v>
      </c>
      <c r="DH1271" s="5" t="s">
        <v>238</v>
      </c>
      <c r="DI1271" s="5" t="s">
        <v>238</v>
      </c>
      <c r="DJ1271" s="5" t="s">
        <v>238</v>
      </c>
      <c r="DN1271" s="5" t="s">
        <v>238</v>
      </c>
      <c r="DO1271" s="5" t="s">
        <v>238</v>
      </c>
      <c r="DP1271" s="5" t="s">
        <v>238</v>
      </c>
      <c r="DQ1271" s="5" t="s">
        <v>238</v>
      </c>
      <c r="DT1271" s="5" t="s">
        <v>2039</v>
      </c>
      <c r="DU1271" s="5" t="s">
        <v>1724</v>
      </c>
      <c r="HM1271" s="5" t="s">
        <v>264</v>
      </c>
    </row>
    <row r="1272" spans="1:221" x14ac:dyDescent="0.4">
      <c r="A1272" s="5">
        <v>2947</v>
      </c>
      <c r="B1272" s="5">
        <v>1</v>
      </c>
      <c r="C1272" s="5">
        <v>1</v>
      </c>
      <c r="D1272" s="5" t="s">
        <v>2037</v>
      </c>
      <c r="E1272" s="5" t="s">
        <v>271</v>
      </c>
      <c r="F1272" s="5" t="s">
        <v>248</v>
      </c>
      <c r="G1272" s="5" t="s">
        <v>1969</v>
      </c>
      <c r="H1272" s="6" t="s">
        <v>2776</v>
      </c>
      <c r="I1272" s="7">
        <f>3224</f>
        <v>3224</v>
      </c>
      <c r="J1272" s="5" t="s">
        <v>262</v>
      </c>
      <c r="K1272" s="8">
        <f>1</f>
        <v>1</v>
      </c>
      <c r="L1272" s="6" t="s">
        <v>242</v>
      </c>
      <c r="M1272" s="5" t="s">
        <v>267</v>
      </c>
      <c r="N1272" s="5" t="s">
        <v>265</v>
      </c>
      <c r="O1272" s="5" t="s">
        <v>238</v>
      </c>
      <c r="P1272" s="5" t="s">
        <v>238</v>
      </c>
      <c r="Q1272" s="5" t="s">
        <v>268</v>
      </c>
      <c r="R1272" s="5" t="s">
        <v>270</v>
      </c>
      <c r="S1272" s="5" t="s">
        <v>238</v>
      </c>
      <c r="V1272" s="5" t="s">
        <v>238</v>
      </c>
      <c r="X1272" s="6" t="s">
        <v>238</v>
      </c>
      <c r="AA1272" s="6" t="s">
        <v>243</v>
      </c>
      <c r="AB1272" s="5" t="s">
        <v>238</v>
      </c>
      <c r="AC1272" s="5" t="s">
        <v>244</v>
      </c>
      <c r="AD1272" s="5" t="s">
        <v>245</v>
      </c>
      <c r="AT1272" s="5" t="s">
        <v>246</v>
      </c>
      <c r="AU1272" s="5" t="s">
        <v>238</v>
      </c>
      <c r="AV1272" s="5" t="s">
        <v>247</v>
      </c>
      <c r="AW1272" s="5" t="s">
        <v>238</v>
      </c>
      <c r="AX1272" s="5" t="s">
        <v>249</v>
      </c>
      <c r="AY1272" s="5" t="s">
        <v>238</v>
      </c>
      <c r="BA1272" s="5" t="s">
        <v>238</v>
      </c>
      <c r="BC1272" s="5" t="s">
        <v>250</v>
      </c>
      <c r="BD1272" s="6" t="s">
        <v>243</v>
      </c>
      <c r="BE1272" s="5" t="s">
        <v>251</v>
      </c>
      <c r="BF1272" s="5" t="s">
        <v>252</v>
      </c>
      <c r="BG1272" s="5" t="s">
        <v>238</v>
      </c>
      <c r="BH1272" s="7">
        <f>0</f>
        <v>0</v>
      </c>
      <c r="BI1272" s="8">
        <f>0</f>
        <v>0</v>
      </c>
      <c r="BJ1272" s="5" t="s">
        <v>253</v>
      </c>
      <c r="BK1272" s="5" t="s">
        <v>254</v>
      </c>
      <c r="BY1272" s="5" t="s">
        <v>238</v>
      </c>
      <c r="BZ1272" s="5" t="s">
        <v>238</v>
      </c>
      <c r="CD1272" s="5" t="s">
        <v>273</v>
      </c>
      <c r="CE1272" s="5" t="s">
        <v>256</v>
      </c>
      <c r="CF1272" s="5" t="s">
        <v>238</v>
      </c>
      <c r="CI1272" s="6" t="s">
        <v>257</v>
      </c>
      <c r="CJ1272" s="5" t="s">
        <v>238</v>
      </c>
      <c r="CK1272" s="5" t="s">
        <v>258</v>
      </c>
      <c r="CL1272" s="5" t="s">
        <v>238</v>
      </c>
      <c r="CM1272" s="5" t="s">
        <v>238</v>
      </c>
      <c r="CN1272" s="5">
        <v>0</v>
      </c>
      <c r="CO1272" s="5" t="s">
        <v>259</v>
      </c>
      <c r="CP1272" s="5" t="s">
        <v>260</v>
      </c>
      <c r="CQ1272" s="5" t="s">
        <v>260</v>
      </c>
      <c r="CR1272" s="5" t="s">
        <v>261</v>
      </c>
      <c r="CU1272" s="8">
        <f>1</f>
        <v>1</v>
      </c>
      <c r="CV1272" s="8">
        <f>0</f>
        <v>0</v>
      </c>
      <c r="CX1272" s="8">
        <f>0</f>
        <v>0</v>
      </c>
      <c r="CY1272" s="8">
        <f>1</f>
        <v>1</v>
      </c>
      <c r="DA1272" s="5" t="s">
        <v>673</v>
      </c>
      <c r="DB1272" s="5" t="s">
        <v>238</v>
      </c>
      <c r="DD1272" s="5" t="s">
        <v>673</v>
      </c>
      <c r="DE1272" s="8">
        <f>3224</f>
        <v>3224</v>
      </c>
      <c r="DG1272" s="5" t="s">
        <v>238</v>
      </c>
      <c r="DH1272" s="5" t="s">
        <v>238</v>
      </c>
      <c r="DI1272" s="5" t="s">
        <v>238</v>
      </c>
      <c r="DJ1272" s="5" t="s">
        <v>238</v>
      </c>
      <c r="DN1272" s="5" t="s">
        <v>238</v>
      </c>
      <c r="DO1272" s="5" t="s">
        <v>238</v>
      </c>
      <c r="DP1272" s="5" t="s">
        <v>238</v>
      </c>
      <c r="DQ1272" s="5" t="s">
        <v>238</v>
      </c>
      <c r="DT1272" s="5" t="s">
        <v>2039</v>
      </c>
      <c r="DU1272" s="5" t="s">
        <v>1720</v>
      </c>
      <c r="HM1272" s="5" t="s">
        <v>264</v>
      </c>
    </row>
    <row r="1273" spans="1:221" x14ac:dyDescent="0.4">
      <c r="A1273" s="5">
        <v>2948</v>
      </c>
      <c r="B1273" s="5">
        <v>1</v>
      </c>
      <c r="C1273" s="5">
        <v>1</v>
      </c>
      <c r="D1273" s="5" t="s">
        <v>2037</v>
      </c>
      <c r="E1273" s="5" t="s">
        <v>271</v>
      </c>
      <c r="F1273" s="5" t="s">
        <v>248</v>
      </c>
      <c r="G1273" s="5" t="s">
        <v>1969</v>
      </c>
      <c r="H1273" s="6" t="s">
        <v>2775</v>
      </c>
      <c r="I1273" s="7">
        <f>369</f>
        <v>369</v>
      </c>
      <c r="J1273" s="5" t="s">
        <v>262</v>
      </c>
      <c r="K1273" s="8">
        <f>1</f>
        <v>1</v>
      </c>
      <c r="L1273" s="6" t="s">
        <v>242</v>
      </c>
      <c r="M1273" s="5" t="s">
        <v>267</v>
      </c>
      <c r="N1273" s="5" t="s">
        <v>265</v>
      </c>
      <c r="O1273" s="5" t="s">
        <v>238</v>
      </c>
      <c r="P1273" s="5" t="s">
        <v>238</v>
      </c>
      <c r="Q1273" s="5" t="s">
        <v>268</v>
      </c>
      <c r="R1273" s="5" t="s">
        <v>270</v>
      </c>
      <c r="S1273" s="5" t="s">
        <v>238</v>
      </c>
      <c r="V1273" s="5" t="s">
        <v>238</v>
      </c>
      <c r="X1273" s="6" t="s">
        <v>238</v>
      </c>
      <c r="AA1273" s="6" t="s">
        <v>243</v>
      </c>
      <c r="AB1273" s="5" t="s">
        <v>238</v>
      </c>
      <c r="AC1273" s="5" t="s">
        <v>244</v>
      </c>
      <c r="AD1273" s="5" t="s">
        <v>245</v>
      </c>
      <c r="AT1273" s="5" t="s">
        <v>246</v>
      </c>
      <c r="AU1273" s="5" t="s">
        <v>238</v>
      </c>
      <c r="AV1273" s="5" t="s">
        <v>247</v>
      </c>
      <c r="AW1273" s="5" t="s">
        <v>238</v>
      </c>
      <c r="AX1273" s="5" t="s">
        <v>249</v>
      </c>
      <c r="AY1273" s="5" t="s">
        <v>238</v>
      </c>
      <c r="BA1273" s="5" t="s">
        <v>238</v>
      </c>
      <c r="BC1273" s="5" t="s">
        <v>250</v>
      </c>
      <c r="BD1273" s="6" t="s">
        <v>243</v>
      </c>
      <c r="BE1273" s="5" t="s">
        <v>251</v>
      </c>
      <c r="BF1273" s="5" t="s">
        <v>252</v>
      </c>
      <c r="BG1273" s="5" t="s">
        <v>238</v>
      </c>
      <c r="BH1273" s="7">
        <f>0</f>
        <v>0</v>
      </c>
      <c r="BI1273" s="8">
        <f>0</f>
        <v>0</v>
      </c>
      <c r="BJ1273" s="5" t="s">
        <v>253</v>
      </c>
      <c r="BK1273" s="5" t="s">
        <v>254</v>
      </c>
      <c r="BY1273" s="5" t="s">
        <v>238</v>
      </c>
      <c r="BZ1273" s="5" t="s">
        <v>238</v>
      </c>
      <c r="CD1273" s="5" t="s">
        <v>273</v>
      </c>
      <c r="CE1273" s="5" t="s">
        <v>256</v>
      </c>
      <c r="CF1273" s="5" t="s">
        <v>238</v>
      </c>
      <c r="CI1273" s="6" t="s">
        <v>257</v>
      </c>
      <c r="CJ1273" s="5" t="s">
        <v>238</v>
      </c>
      <c r="CK1273" s="5" t="s">
        <v>258</v>
      </c>
      <c r="CL1273" s="5" t="s">
        <v>238</v>
      </c>
      <c r="CM1273" s="5" t="s">
        <v>238</v>
      </c>
      <c r="CN1273" s="5">
        <v>0</v>
      </c>
      <c r="CO1273" s="5" t="s">
        <v>259</v>
      </c>
      <c r="CP1273" s="5" t="s">
        <v>260</v>
      </c>
      <c r="CQ1273" s="5" t="s">
        <v>260</v>
      </c>
      <c r="CR1273" s="5" t="s">
        <v>261</v>
      </c>
      <c r="CU1273" s="8">
        <f>1</f>
        <v>1</v>
      </c>
      <c r="CV1273" s="8">
        <f>0</f>
        <v>0</v>
      </c>
      <c r="CX1273" s="8">
        <f>0</f>
        <v>0</v>
      </c>
      <c r="CY1273" s="8">
        <f>1</f>
        <v>1</v>
      </c>
      <c r="DA1273" s="5" t="s">
        <v>673</v>
      </c>
      <c r="DB1273" s="5" t="s">
        <v>238</v>
      </c>
      <c r="DD1273" s="5" t="s">
        <v>673</v>
      </c>
      <c r="DE1273" s="8">
        <f>369</f>
        <v>369</v>
      </c>
      <c r="DG1273" s="5" t="s">
        <v>238</v>
      </c>
      <c r="DH1273" s="5" t="s">
        <v>238</v>
      </c>
      <c r="DI1273" s="5" t="s">
        <v>238</v>
      </c>
      <c r="DJ1273" s="5" t="s">
        <v>238</v>
      </c>
      <c r="DN1273" s="5" t="s">
        <v>238</v>
      </c>
      <c r="DO1273" s="5" t="s">
        <v>238</v>
      </c>
      <c r="DP1273" s="5" t="s">
        <v>238</v>
      </c>
      <c r="DQ1273" s="5" t="s">
        <v>238</v>
      </c>
      <c r="DT1273" s="5" t="s">
        <v>2039</v>
      </c>
      <c r="DU1273" s="5" t="s">
        <v>1712</v>
      </c>
      <c r="HM1273" s="5" t="s">
        <v>264</v>
      </c>
    </row>
    <row r="1274" spans="1:221" x14ac:dyDescent="0.4">
      <c r="A1274" s="5">
        <v>2949</v>
      </c>
      <c r="B1274" s="5">
        <v>1</v>
      </c>
      <c r="C1274" s="5">
        <v>1</v>
      </c>
      <c r="D1274" s="5" t="s">
        <v>2037</v>
      </c>
      <c r="E1274" s="5" t="s">
        <v>271</v>
      </c>
      <c r="F1274" s="5" t="s">
        <v>248</v>
      </c>
      <c r="G1274" s="5" t="s">
        <v>1969</v>
      </c>
      <c r="H1274" s="6" t="s">
        <v>2774</v>
      </c>
      <c r="I1274" s="7">
        <f>226</f>
        <v>226</v>
      </c>
      <c r="J1274" s="5" t="s">
        <v>262</v>
      </c>
      <c r="K1274" s="8">
        <f>1</f>
        <v>1</v>
      </c>
      <c r="L1274" s="6" t="s">
        <v>242</v>
      </c>
      <c r="M1274" s="5" t="s">
        <v>267</v>
      </c>
      <c r="N1274" s="5" t="s">
        <v>265</v>
      </c>
      <c r="O1274" s="5" t="s">
        <v>238</v>
      </c>
      <c r="P1274" s="5" t="s">
        <v>238</v>
      </c>
      <c r="Q1274" s="5" t="s">
        <v>268</v>
      </c>
      <c r="R1274" s="5" t="s">
        <v>270</v>
      </c>
      <c r="S1274" s="5" t="s">
        <v>238</v>
      </c>
      <c r="V1274" s="5" t="s">
        <v>238</v>
      </c>
      <c r="X1274" s="6" t="s">
        <v>238</v>
      </c>
      <c r="AA1274" s="6" t="s">
        <v>243</v>
      </c>
      <c r="AB1274" s="5" t="s">
        <v>238</v>
      </c>
      <c r="AC1274" s="5" t="s">
        <v>244</v>
      </c>
      <c r="AD1274" s="5" t="s">
        <v>245</v>
      </c>
      <c r="AT1274" s="5" t="s">
        <v>246</v>
      </c>
      <c r="AU1274" s="5" t="s">
        <v>238</v>
      </c>
      <c r="AV1274" s="5" t="s">
        <v>247</v>
      </c>
      <c r="AW1274" s="5" t="s">
        <v>238</v>
      </c>
      <c r="AX1274" s="5" t="s">
        <v>249</v>
      </c>
      <c r="AY1274" s="5" t="s">
        <v>238</v>
      </c>
      <c r="BA1274" s="5" t="s">
        <v>238</v>
      </c>
      <c r="BC1274" s="5" t="s">
        <v>250</v>
      </c>
      <c r="BD1274" s="6" t="s">
        <v>243</v>
      </c>
      <c r="BE1274" s="5" t="s">
        <v>251</v>
      </c>
      <c r="BF1274" s="5" t="s">
        <v>252</v>
      </c>
      <c r="BG1274" s="5" t="s">
        <v>238</v>
      </c>
      <c r="BH1274" s="7">
        <f>0</f>
        <v>0</v>
      </c>
      <c r="BI1274" s="8">
        <f>0</f>
        <v>0</v>
      </c>
      <c r="BJ1274" s="5" t="s">
        <v>253</v>
      </c>
      <c r="BK1274" s="5" t="s">
        <v>254</v>
      </c>
      <c r="BY1274" s="5" t="s">
        <v>238</v>
      </c>
      <c r="BZ1274" s="5" t="s">
        <v>238</v>
      </c>
      <c r="CD1274" s="5" t="s">
        <v>273</v>
      </c>
      <c r="CE1274" s="5" t="s">
        <v>256</v>
      </c>
      <c r="CF1274" s="5" t="s">
        <v>238</v>
      </c>
      <c r="CI1274" s="6" t="s">
        <v>257</v>
      </c>
      <c r="CJ1274" s="5" t="s">
        <v>238</v>
      </c>
      <c r="CK1274" s="5" t="s">
        <v>258</v>
      </c>
      <c r="CL1274" s="5" t="s">
        <v>238</v>
      </c>
      <c r="CM1274" s="5" t="s">
        <v>238</v>
      </c>
      <c r="CN1274" s="5">
        <v>0</v>
      </c>
      <c r="CO1274" s="5" t="s">
        <v>259</v>
      </c>
      <c r="CP1274" s="5" t="s">
        <v>260</v>
      </c>
      <c r="CQ1274" s="5" t="s">
        <v>260</v>
      </c>
      <c r="CR1274" s="5" t="s">
        <v>261</v>
      </c>
      <c r="CU1274" s="8">
        <f>1</f>
        <v>1</v>
      </c>
      <c r="CV1274" s="8">
        <f>0</f>
        <v>0</v>
      </c>
      <c r="CX1274" s="8">
        <f>0</f>
        <v>0</v>
      </c>
      <c r="CY1274" s="8">
        <f>1</f>
        <v>1</v>
      </c>
      <c r="DA1274" s="5" t="s">
        <v>673</v>
      </c>
      <c r="DB1274" s="5" t="s">
        <v>238</v>
      </c>
      <c r="DD1274" s="5" t="s">
        <v>673</v>
      </c>
      <c r="DE1274" s="8">
        <f>226</f>
        <v>226</v>
      </c>
      <c r="DG1274" s="5" t="s">
        <v>238</v>
      </c>
      <c r="DH1274" s="5" t="s">
        <v>238</v>
      </c>
      <c r="DI1274" s="5" t="s">
        <v>238</v>
      </c>
      <c r="DJ1274" s="5" t="s">
        <v>238</v>
      </c>
      <c r="DN1274" s="5" t="s">
        <v>238</v>
      </c>
      <c r="DO1274" s="5" t="s">
        <v>238</v>
      </c>
      <c r="DP1274" s="5" t="s">
        <v>238</v>
      </c>
      <c r="DQ1274" s="5" t="s">
        <v>238</v>
      </c>
      <c r="DT1274" s="5" t="s">
        <v>2039</v>
      </c>
      <c r="DU1274" s="5" t="s">
        <v>1708</v>
      </c>
      <c r="HM1274" s="5" t="s">
        <v>264</v>
      </c>
    </row>
    <row r="1275" spans="1:221" x14ac:dyDescent="0.4">
      <c r="A1275" s="5">
        <v>2950</v>
      </c>
      <c r="B1275" s="5">
        <v>1</v>
      </c>
      <c r="C1275" s="5">
        <v>1</v>
      </c>
      <c r="D1275" s="5" t="s">
        <v>2037</v>
      </c>
      <c r="E1275" s="5" t="s">
        <v>271</v>
      </c>
      <c r="F1275" s="5" t="s">
        <v>248</v>
      </c>
      <c r="G1275" s="5" t="s">
        <v>1969</v>
      </c>
      <c r="H1275" s="6" t="s">
        <v>2771</v>
      </c>
      <c r="I1275" s="7">
        <f>1085</f>
        <v>1085</v>
      </c>
      <c r="J1275" s="5" t="s">
        <v>262</v>
      </c>
      <c r="K1275" s="8">
        <f>1</f>
        <v>1</v>
      </c>
      <c r="L1275" s="6" t="s">
        <v>242</v>
      </c>
      <c r="M1275" s="5" t="s">
        <v>267</v>
      </c>
      <c r="N1275" s="5" t="s">
        <v>265</v>
      </c>
      <c r="O1275" s="5" t="s">
        <v>238</v>
      </c>
      <c r="P1275" s="5" t="s">
        <v>238</v>
      </c>
      <c r="Q1275" s="5" t="s">
        <v>268</v>
      </c>
      <c r="R1275" s="5" t="s">
        <v>270</v>
      </c>
      <c r="S1275" s="5" t="s">
        <v>238</v>
      </c>
      <c r="V1275" s="5" t="s">
        <v>238</v>
      </c>
      <c r="X1275" s="6" t="s">
        <v>238</v>
      </c>
      <c r="AA1275" s="6" t="s">
        <v>243</v>
      </c>
      <c r="AB1275" s="5" t="s">
        <v>238</v>
      </c>
      <c r="AC1275" s="5" t="s">
        <v>244</v>
      </c>
      <c r="AD1275" s="5" t="s">
        <v>245</v>
      </c>
      <c r="AT1275" s="5" t="s">
        <v>246</v>
      </c>
      <c r="AU1275" s="5" t="s">
        <v>238</v>
      </c>
      <c r="AV1275" s="5" t="s">
        <v>247</v>
      </c>
      <c r="AW1275" s="5" t="s">
        <v>238</v>
      </c>
      <c r="AX1275" s="5" t="s">
        <v>249</v>
      </c>
      <c r="AY1275" s="5" t="s">
        <v>238</v>
      </c>
      <c r="BA1275" s="5" t="s">
        <v>238</v>
      </c>
      <c r="BC1275" s="5" t="s">
        <v>250</v>
      </c>
      <c r="BD1275" s="6" t="s">
        <v>243</v>
      </c>
      <c r="BE1275" s="5" t="s">
        <v>251</v>
      </c>
      <c r="BF1275" s="5" t="s">
        <v>252</v>
      </c>
      <c r="BG1275" s="5" t="s">
        <v>238</v>
      </c>
      <c r="BH1275" s="7">
        <f>0</f>
        <v>0</v>
      </c>
      <c r="BI1275" s="8">
        <f>0</f>
        <v>0</v>
      </c>
      <c r="BJ1275" s="5" t="s">
        <v>253</v>
      </c>
      <c r="BK1275" s="5" t="s">
        <v>254</v>
      </c>
      <c r="BY1275" s="5" t="s">
        <v>238</v>
      </c>
      <c r="BZ1275" s="5" t="s">
        <v>238</v>
      </c>
      <c r="CD1275" s="5" t="s">
        <v>273</v>
      </c>
      <c r="CE1275" s="5" t="s">
        <v>256</v>
      </c>
      <c r="CF1275" s="5" t="s">
        <v>238</v>
      </c>
      <c r="CI1275" s="6" t="s">
        <v>257</v>
      </c>
      <c r="CJ1275" s="5" t="s">
        <v>238</v>
      </c>
      <c r="CK1275" s="5" t="s">
        <v>258</v>
      </c>
      <c r="CL1275" s="5" t="s">
        <v>238</v>
      </c>
      <c r="CM1275" s="5" t="s">
        <v>238</v>
      </c>
      <c r="CN1275" s="5">
        <v>0</v>
      </c>
      <c r="CO1275" s="5" t="s">
        <v>259</v>
      </c>
      <c r="CP1275" s="5" t="s">
        <v>260</v>
      </c>
      <c r="CQ1275" s="5" t="s">
        <v>260</v>
      </c>
      <c r="CR1275" s="5" t="s">
        <v>261</v>
      </c>
      <c r="CU1275" s="8">
        <f>1</f>
        <v>1</v>
      </c>
      <c r="CV1275" s="8">
        <f>0</f>
        <v>0</v>
      </c>
      <c r="CX1275" s="8">
        <f>0</f>
        <v>0</v>
      </c>
      <c r="CY1275" s="8">
        <f>1</f>
        <v>1</v>
      </c>
      <c r="DA1275" s="5" t="s">
        <v>673</v>
      </c>
      <c r="DB1275" s="5" t="s">
        <v>238</v>
      </c>
      <c r="DD1275" s="5" t="s">
        <v>673</v>
      </c>
      <c r="DE1275" s="8">
        <f>1085</f>
        <v>1085</v>
      </c>
      <c r="DG1275" s="5" t="s">
        <v>238</v>
      </c>
      <c r="DH1275" s="5" t="s">
        <v>238</v>
      </c>
      <c r="DI1275" s="5" t="s">
        <v>238</v>
      </c>
      <c r="DJ1275" s="5" t="s">
        <v>238</v>
      </c>
      <c r="DN1275" s="5" t="s">
        <v>238</v>
      </c>
      <c r="DO1275" s="5" t="s">
        <v>238</v>
      </c>
      <c r="DP1275" s="5" t="s">
        <v>238</v>
      </c>
      <c r="DQ1275" s="5" t="s">
        <v>238</v>
      </c>
      <c r="DT1275" s="5" t="s">
        <v>2039</v>
      </c>
      <c r="DU1275" s="5" t="s">
        <v>1696</v>
      </c>
      <c r="HM1275" s="5" t="s">
        <v>264</v>
      </c>
    </row>
    <row r="1276" spans="1:221" x14ac:dyDescent="0.4">
      <c r="A1276" s="5">
        <v>2951</v>
      </c>
      <c r="B1276" s="5">
        <v>1</v>
      </c>
      <c r="C1276" s="5">
        <v>1</v>
      </c>
      <c r="D1276" s="5" t="s">
        <v>2037</v>
      </c>
      <c r="E1276" s="5" t="s">
        <v>271</v>
      </c>
      <c r="F1276" s="5" t="s">
        <v>248</v>
      </c>
      <c r="G1276" s="5" t="s">
        <v>1969</v>
      </c>
      <c r="H1276" s="6" t="s">
        <v>2769</v>
      </c>
      <c r="I1276" s="7">
        <f>1817</f>
        <v>1817</v>
      </c>
      <c r="J1276" s="5" t="s">
        <v>262</v>
      </c>
      <c r="K1276" s="8">
        <f>1</f>
        <v>1</v>
      </c>
      <c r="L1276" s="6" t="s">
        <v>242</v>
      </c>
      <c r="M1276" s="5" t="s">
        <v>267</v>
      </c>
      <c r="N1276" s="5" t="s">
        <v>265</v>
      </c>
      <c r="O1276" s="5" t="s">
        <v>238</v>
      </c>
      <c r="P1276" s="5" t="s">
        <v>238</v>
      </c>
      <c r="Q1276" s="5" t="s">
        <v>268</v>
      </c>
      <c r="R1276" s="5" t="s">
        <v>270</v>
      </c>
      <c r="S1276" s="5" t="s">
        <v>238</v>
      </c>
      <c r="V1276" s="5" t="s">
        <v>238</v>
      </c>
      <c r="X1276" s="6" t="s">
        <v>238</v>
      </c>
      <c r="AA1276" s="6" t="s">
        <v>243</v>
      </c>
      <c r="AB1276" s="5" t="s">
        <v>238</v>
      </c>
      <c r="AC1276" s="5" t="s">
        <v>244</v>
      </c>
      <c r="AD1276" s="5" t="s">
        <v>245</v>
      </c>
      <c r="AT1276" s="5" t="s">
        <v>246</v>
      </c>
      <c r="AU1276" s="5" t="s">
        <v>238</v>
      </c>
      <c r="AV1276" s="5" t="s">
        <v>247</v>
      </c>
      <c r="AW1276" s="5" t="s">
        <v>238</v>
      </c>
      <c r="AX1276" s="5" t="s">
        <v>249</v>
      </c>
      <c r="AY1276" s="5" t="s">
        <v>238</v>
      </c>
      <c r="BA1276" s="5" t="s">
        <v>238</v>
      </c>
      <c r="BC1276" s="5" t="s">
        <v>250</v>
      </c>
      <c r="BD1276" s="6" t="s">
        <v>243</v>
      </c>
      <c r="BE1276" s="5" t="s">
        <v>251</v>
      </c>
      <c r="BF1276" s="5" t="s">
        <v>252</v>
      </c>
      <c r="BG1276" s="5" t="s">
        <v>238</v>
      </c>
      <c r="BH1276" s="7">
        <f>0</f>
        <v>0</v>
      </c>
      <c r="BI1276" s="8">
        <f>0</f>
        <v>0</v>
      </c>
      <c r="BJ1276" s="5" t="s">
        <v>253</v>
      </c>
      <c r="BK1276" s="5" t="s">
        <v>254</v>
      </c>
      <c r="BY1276" s="5" t="s">
        <v>238</v>
      </c>
      <c r="BZ1276" s="5" t="s">
        <v>238</v>
      </c>
      <c r="CD1276" s="5" t="s">
        <v>273</v>
      </c>
      <c r="CE1276" s="5" t="s">
        <v>256</v>
      </c>
      <c r="CF1276" s="5" t="s">
        <v>238</v>
      </c>
      <c r="CI1276" s="6" t="s">
        <v>257</v>
      </c>
      <c r="CJ1276" s="5" t="s">
        <v>238</v>
      </c>
      <c r="CK1276" s="5" t="s">
        <v>258</v>
      </c>
      <c r="CL1276" s="5" t="s">
        <v>238</v>
      </c>
      <c r="CM1276" s="5" t="s">
        <v>238</v>
      </c>
      <c r="CN1276" s="5">
        <v>0</v>
      </c>
      <c r="CO1276" s="5" t="s">
        <v>259</v>
      </c>
      <c r="CP1276" s="5" t="s">
        <v>260</v>
      </c>
      <c r="CQ1276" s="5" t="s">
        <v>260</v>
      </c>
      <c r="CR1276" s="5" t="s">
        <v>261</v>
      </c>
      <c r="CU1276" s="8">
        <f>1</f>
        <v>1</v>
      </c>
      <c r="CV1276" s="8">
        <f>0</f>
        <v>0</v>
      </c>
      <c r="CX1276" s="8">
        <f>0</f>
        <v>0</v>
      </c>
      <c r="CY1276" s="8">
        <f>1</f>
        <v>1</v>
      </c>
      <c r="DA1276" s="5" t="s">
        <v>673</v>
      </c>
      <c r="DB1276" s="5" t="s">
        <v>238</v>
      </c>
      <c r="DD1276" s="5" t="s">
        <v>673</v>
      </c>
      <c r="DE1276" s="8">
        <f>1817</f>
        <v>1817</v>
      </c>
      <c r="DG1276" s="5" t="s">
        <v>238</v>
      </c>
      <c r="DH1276" s="5" t="s">
        <v>238</v>
      </c>
      <c r="DI1276" s="5" t="s">
        <v>238</v>
      </c>
      <c r="DJ1276" s="5" t="s">
        <v>238</v>
      </c>
      <c r="DN1276" s="5" t="s">
        <v>238</v>
      </c>
      <c r="DO1276" s="5" t="s">
        <v>238</v>
      </c>
      <c r="DP1276" s="5" t="s">
        <v>238</v>
      </c>
      <c r="DQ1276" s="5" t="s">
        <v>238</v>
      </c>
      <c r="DT1276" s="5" t="s">
        <v>2039</v>
      </c>
      <c r="DU1276" s="5" t="s">
        <v>2770</v>
      </c>
      <c r="HM1276" s="5" t="s">
        <v>264</v>
      </c>
    </row>
    <row r="1277" spans="1:221" x14ac:dyDescent="0.4">
      <c r="A1277" s="5">
        <v>2952</v>
      </c>
      <c r="B1277" s="5">
        <v>1</v>
      </c>
      <c r="C1277" s="5">
        <v>1</v>
      </c>
      <c r="D1277" s="5" t="s">
        <v>2037</v>
      </c>
      <c r="E1277" s="5" t="s">
        <v>271</v>
      </c>
      <c r="F1277" s="5" t="s">
        <v>248</v>
      </c>
      <c r="G1277" s="5" t="s">
        <v>1969</v>
      </c>
      <c r="H1277" s="6" t="s">
        <v>2767</v>
      </c>
      <c r="I1277" s="7">
        <f>901</f>
        <v>901</v>
      </c>
      <c r="J1277" s="5" t="s">
        <v>262</v>
      </c>
      <c r="K1277" s="8">
        <f>1</f>
        <v>1</v>
      </c>
      <c r="L1277" s="6" t="s">
        <v>242</v>
      </c>
      <c r="M1277" s="5" t="s">
        <v>267</v>
      </c>
      <c r="N1277" s="5" t="s">
        <v>265</v>
      </c>
      <c r="O1277" s="5" t="s">
        <v>238</v>
      </c>
      <c r="P1277" s="5" t="s">
        <v>238</v>
      </c>
      <c r="Q1277" s="5" t="s">
        <v>268</v>
      </c>
      <c r="R1277" s="5" t="s">
        <v>270</v>
      </c>
      <c r="S1277" s="5" t="s">
        <v>238</v>
      </c>
      <c r="V1277" s="5" t="s">
        <v>238</v>
      </c>
      <c r="X1277" s="6" t="s">
        <v>238</v>
      </c>
      <c r="AA1277" s="6" t="s">
        <v>243</v>
      </c>
      <c r="AB1277" s="5" t="s">
        <v>238</v>
      </c>
      <c r="AC1277" s="5" t="s">
        <v>244</v>
      </c>
      <c r="AD1277" s="5" t="s">
        <v>245</v>
      </c>
      <c r="AT1277" s="5" t="s">
        <v>246</v>
      </c>
      <c r="AU1277" s="5" t="s">
        <v>238</v>
      </c>
      <c r="AV1277" s="5" t="s">
        <v>247</v>
      </c>
      <c r="AW1277" s="5" t="s">
        <v>238</v>
      </c>
      <c r="AX1277" s="5" t="s">
        <v>249</v>
      </c>
      <c r="AY1277" s="5" t="s">
        <v>238</v>
      </c>
      <c r="BA1277" s="5" t="s">
        <v>238</v>
      </c>
      <c r="BC1277" s="5" t="s">
        <v>250</v>
      </c>
      <c r="BD1277" s="6" t="s">
        <v>243</v>
      </c>
      <c r="BE1277" s="5" t="s">
        <v>251</v>
      </c>
      <c r="BF1277" s="5" t="s">
        <v>252</v>
      </c>
      <c r="BG1277" s="5" t="s">
        <v>238</v>
      </c>
      <c r="BH1277" s="7">
        <f>0</f>
        <v>0</v>
      </c>
      <c r="BI1277" s="8">
        <f>0</f>
        <v>0</v>
      </c>
      <c r="BJ1277" s="5" t="s">
        <v>253</v>
      </c>
      <c r="BK1277" s="5" t="s">
        <v>254</v>
      </c>
      <c r="BY1277" s="5" t="s">
        <v>238</v>
      </c>
      <c r="BZ1277" s="5" t="s">
        <v>238</v>
      </c>
      <c r="CD1277" s="5" t="s">
        <v>273</v>
      </c>
      <c r="CE1277" s="5" t="s">
        <v>256</v>
      </c>
      <c r="CF1277" s="5" t="s">
        <v>238</v>
      </c>
      <c r="CI1277" s="6" t="s">
        <v>257</v>
      </c>
      <c r="CJ1277" s="5" t="s">
        <v>238</v>
      </c>
      <c r="CK1277" s="5" t="s">
        <v>258</v>
      </c>
      <c r="CL1277" s="5" t="s">
        <v>238</v>
      </c>
      <c r="CM1277" s="5" t="s">
        <v>238</v>
      </c>
      <c r="CN1277" s="5">
        <v>0</v>
      </c>
      <c r="CO1277" s="5" t="s">
        <v>259</v>
      </c>
      <c r="CP1277" s="5" t="s">
        <v>260</v>
      </c>
      <c r="CQ1277" s="5" t="s">
        <v>260</v>
      </c>
      <c r="CR1277" s="5" t="s">
        <v>261</v>
      </c>
      <c r="CU1277" s="8">
        <f>1</f>
        <v>1</v>
      </c>
      <c r="CV1277" s="8">
        <f>0</f>
        <v>0</v>
      </c>
      <c r="CX1277" s="8">
        <f>0</f>
        <v>0</v>
      </c>
      <c r="CY1277" s="8">
        <f>1</f>
        <v>1</v>
      </c>
      <c r="DA1277" s="5" t="s">
        <v>673</v>
      </c>
      <c r="DB1277" s="5" t="s">
        <v>238</v>
      </c>
      <c r="DD1277" s="5" t="s">
        <v>673</v>
      </c>
      <c r="DE1277" s="8">
        <f>901</f>
        <v>901</v>
      </c>
      <c r="DG1277" s="5" t="s">
        <v>238</v>
      </c>
      <c r="DH1277" s="5" t="s">
        <v>238</v>
      </c>
      <c r="DI1277" s="5" t="s">
        <v>238</v>
      </c>
      <c r="DJ1277" s="5" t="s">
        <v>238</v>
      </c>
      <c r="DN1277" s="5" t="s">
        <v>238</v>
      </c>
      <c r="DO1277" s="5" t="s">
        <v>238</v>
      </c>
      <c r="DP1277" s="5" t="s">
        <v>238</v>
      </c>
      <c r="DQ1277" s="5" t="s">
        <v>238</v>
      </c>
      <c r="DT1277" s="5" t="s">
        <v>2039</v>
      </c>
      <c r="DU1277" s="5" t="s">
        <v>2768</v>
      </c>
      <c r="HM1277" s="5" t="s">
        <v>264</v>
      </c>
    </row>
    <row r="1278" spans="1:221" x14ac:dyDescent="0.4">
      <c r="A1278" s="5">
        <v>2953</v>
      </c>
      <c r="B1278" s="5">
        <v>1</v>
      </c>
      <c r="C1278" s="5">
        <v>1</v>
      </c>
      <c r="D1278" s="5" t="s">
        <v>2037</v>
      </c>
      <c r="E1278" s="5" t="s">
        <v>271</v>
      </c>
      <c r="F1278" s="5" t="s">
        <v>248</v>
      </c>
      <c r="G1278" s="5" t="s">
        <v>1969</v>
      </c>
      <c r="H1278" s="6" t="s">
        <v>2766</v>
      </c>
      <c r="I1278" s="7">
        <f>2753</f>
        <v>2753</v>
      </c>
      <c r="J1278" s="5" t="s">
        <v>262</v>
      </c>
      <c r="K1278" s="8">
        <f>1</f>
        <v>1</v>
      </c>
      <c r="L1278" s="6" t="s">
        <v>242</v>
      </c>
      <c r="M1278" s="5" t="s">
        <v>267</v>
      </c>
      <c r="N1278" s="5" t="s">
        <v>265</v>
      </c>
      <c r="O1278" s="5" t="s">
        <v>238</v>
      </c>
      <c r="P1278" s="5" t="s">
        <v>238</v>
      </c>
      <c r="Q1278" s="5" t="s">
        <v>268</v>
      </c>
      <c r="R1278" s="5" t="s">
        <v>270</v>
      </c>
      <c r="S1278" s="5" t="s">
        <v>238</v>
      </c>
      <c r="V1278" s="5" t="s">
        <v>238</v>
      </c>
      <c r="X1278" s="6" t="s">
        <v>238</v>
      </c>
      <c r="AA1278" s="6" t="s">
        <v>243</v>
      </c>
      <c r="AB1278" s="5" t="s">
        <v>238</v>
      </c>
      <c r="AC1278" s="5" t="s">
        <v>244</v>
      </c>
      <c r="AD1278" s="5" t="s">
        <v>245</v>
      </c>
      <c r="AT1278" s="5" t="s">
        <v>246</v>
      </c>
      <c r="AU1278" s="5" t="s">
        <v>238</v>
      </c>
      <c r="AV1278" s="5" t="s">
        <v>247</v>
      </c>
      <c r="AW1278" s="5" t="s">
        <v>238</v>
      </c>
      <c r="AX1278" s="5" t="s">
        <v>249</v>
      </c>
      <c r="AY1278" s="5" t="s">
        <v>238</v>
      </c>
      <c r="BA1278" s="5" t="s">
        <v>238</v>
      </c>
      <c r="BC1278" s="5" t="s">
        <v>250</v>
      </c>
      <c r="BD1278" s="6" t="s">
        <v>243</v>
      </c>
      <c r="BE1278" s="5" t="s">
        <v>251</v>
      </c>
      <c r="BF1278" s="5" t="s">
        <v>252</v>
      </c>
      <c r="BG1278" s="5" t="s">
        <v>238</v>
      </c>
      <c r="BH1278" s="7">
        <f>0</f>
        <v>0</v>
      </c>
      <c r="BI1278" s="8">
        <f>0</f>
        <v>0</v>
      </c>
      <c r="BJ1278" s="5" t="s">
        <v>253</v>
      </c>
      <c r="BK1278" s="5" t="s">
        <v>254</v>
      </c>
      <c r="BY1278" s="5" t="s">
        <v>238</v>
      </c>
      <c r="BZ1278" s="5" t="s">
        <v>238</v>
      </c>
      <c r="CD1278" s="5" t="s">
        <v>273</v>
      </c>
      <c r="CE1278" s="5" t="s">
        <v>256</v>
      </c>
      <c r="CF1278" s="5" t="s">
        <v>238</v>
      </c>
      <c r="CI1278" s="6" t="s">
        <v>257</v>
      </c>
      <c r="CJ1278" s="5" t="s">
        <v>238</v>
      </c>
      <c r="CK1278" s="5" t="s">
        <v>258</v>
      </c>
      <c r="CL1278" s="5" t="s">
        <v>238</v>
      </c>
      <c r="CM1278" s="5" t="s">
        <v>238</v>
      </c>
      <c r="CN1278" s="5">
        <v>0</v>
      </c>
      <c r="CO1278" s="5" t="s">
        <v>259</v>
      </c>
      <c r="CP1278" s="5" t="s">
        <v>260</v>
      </c>
      <c r="CQ1278" s="5" t="s">
        <v>260</v>
      </c>
      <c r="CR1278" s="5" t="s">
        <v>261</v>
      </c>
      <c r="CU1278" s="8">
        <f>1</f>
        <v>1</v>
      </c>
      <c r="CV1278" s="8">
        <f>0</f>
        <v>0</v>
      </c>
      <c r="CX1278" s="8">
        <f>0</f>
        <v>0</v>
      </c>
      <c r="CY1278" s="8">
        <f>1</f>
        <v>1</v>
      </c>
      <c r="DA1278" s="5" t="s">
        <v>673</v>
      </c>
      <c r="DB1278" s="5" t="s">
        <v>238</v>
      </c>
      <c r="DD1278" s="5" t="s">
        <v>673</v>
      </c>
      <c r="DE1278" s="8">
        <f>2753</f>
        <v>2753</v>
      </c>
      <c r="DG1278" s="5" t="s">
        <v>238</v>
      </c>
      <c r="DH1278" s="5" t="s">
        <v>238</v>
      </c>
      <c r="DI1278" s="5" t="s">
        <v>238</v>
      </c>
      <c r="DJ1278" s="5" t="s">
        <v>238</v>
      </c>
      <c r="DN1278" s="5" t="s">
        <v>238</v>
      </c>
      <c r="DO1278" s="5" t="s">
        <v>238</v>
      </c>
      <c r="DP1278" s="5" t="s">
        <v>238</v>
      </c>
      <c r="DQ1278" s="5" t="s">
        <v>238</v>
      </c>
      <c r="DT1278" s="5" t="s">
        <v>2039</v>
      </c>
      <c r="DU1278" s="5" t="s">
        <v>1669</v>
      </c>
      <c r="HM1278" s="5" t="s">
        <v>264</v>
      </c>
    </row>
    <row r="1279" spans="1:221" x14ac:dyDescent="0.4">
      <c r="A1279" s="5">
        <v>2954</v>
      </c>
      <c r="B1279" s="5">
        <v>1</v>
      </c>
      <c r="C1279" s="5">
        <v>1</v>
      </c>
      <c r="D1279" s="5" t="s">
        <v>2037</v>
      </c>
      <c r="E1279" s="5" t="s">
        <v>271</v>
      </c>
      <c r="F1279" s="5" t="s">
        <v>248</v>
      </c>
      <c r="G1279" s="5" t="s">
        <v>1969</v>
      </c>
      <c r="H1279" s="6" t="s">
        <v>2764</v>
      </c>
      <c r="I1279" s="7">
        <f>1428</f>
        <v>1428</v>
      </c>
      <c r="J1279" s="5" t="s">
        <v>262</v>
      </c>
      <c r="K1279" s="8">
        <f>1</f>
        <v>1</v>
      </c>
      <c r="L1279" s="6" t="s">
        <v>242</v>
      </c>
      <c r="M1279" s="5" t="s">
        <v>267</v>
      </c>
      <c r="N1279" s="5" t="s">
        <v>265</v>
      </c>
      <c r="O1279" s="5" t="s">
        <v>238</v>
      </c>
      <c r="P1279" s="5" t="s">
        <v>238</v>
      </c>
      <c r="Q1279" s="5" t="s">
        <v>268</v>
      </c>
      <c r="R1279" s="5" t="s">
        <v>270</v>
      </c>
      <c r="S1279" s="5" t="s">
        <v>238</v>
      </c>
      <c r="V1279" s="5" t="s">
        <v>238</v>
      </c>
      <c r="X1279" s="6" t="s">
        <v>238</v>
      </c>
      <c r="AA1279" s="6" t="s">
        <v>243</v>
      </c>
      <c r="AB1279" s="5" t="s">
        <v>238</v>
      </c>
      <c r="AC1279" s="5" t="s">
        <v>244</v>
      </c>
      <c r="AD1279" s="5" t="s">
        <v>245</v>
      </c>
      <c r="AT1279" s="5" t="s">
        <v>246</v>
      </c>
      <c r="AU1279" s="5" t="s">
        <v>238</v>
      </c>
      <c r="AV1279" s="5" t="s">
        <v>247</v>
      </c>
      <c r="AW1279" s="5" t="s">
        <v>238</v>
      </c>
      <c r="AX1279" s="5" t="s">
        <v>249</v>
      </c>
      <c r="AY1279" s="5" t="s">
        <v>238</v>
      </c>
      <c r="BA1279" s="5" t="s">
        <v>238</v>
      </c>
      <c r="BC1279" s="5" t="s">
        <v>250</v>
      </c>
      <c r="BD1279" s="6" t="s">
        <v>243</v>
      </c>
      <c r="BE1279" s="5" t="s">
        <v>251</v>
      </c>
      <c r="BF1279" s="5" t="s">
        <v>252</v>
      </c>
      <c r="BG1279" s="5" t="s">
        <v>238</v>
      </c>
      <c r="BH1279" s="7">
        <f>0</f>
        <v>0</v>
      </c>
      <c r="BI1279" s="8">
        <f>0</f>
        <v>0</v>
      </c>
      <c r="BJ1279" s="5" t="s">
        <v>253</v>
      </c>
      <c r="BK1279" s="5" t="s">
        <v>254</v>
      </c>
      <c r="BY1279" s="5" t="s">
        <v>238</v>
      </c>
      <c r="BZ1279" s="5" t="s">
        <v>238</v>
      </c>
      <c r="CD1279" s="5" t="s">
        <v>273</v>
      </c>
      <c r="CE1279" s="5" t="s">
        <v>256</v>
      </c>
      <c r="CF1279" s="5" t="s">
        <v>238</v>
      </c>
      <c r="CI1279" s="6" t="s">
        <v>257</v>
      </c>
      <c r="CJ1279" s="5" t="s">
        <v>238</v>
      </c>
      <c r="CK1279" s="5" t="s">
        <v>258</v>
      </c>
      <c r="CL1279" s="5" t="s">
        <v>238</v>
      </c>
      <c r="CM1279" s="5" t="s">
        <v>238</v>
      </c>
      <c r="CN1279" s="5">
        <v>0</v>
      </c>
      <c r="CO1279" s="5" t="s">
        <v>259</v>
      </c>
      <c r="CP1279" s="5" t="s">
        <v>260</v>
      </c>
      <c r="CQ1279" s="5" t="s">
        <v>260</v>
      </c>
      <c r="CR1279" s="5" t="s">
        <v>261</v>
      </c>
      <c r="CU1279" s="8">
        <f>1</f>
        <v>1</v>
      </c>
      <c r="CV1279" s="8">
        <f>0</f>
        <v>0</v>
      </c>
      <c r="CX1279" s="8">
        <f>0</f>
        <v>0</v>
      </c>
      <c r="CY1279" s="8">
        <f>1</f>
        <v>1</v>
      </c>
      <c r="DA1279" s="5" t="s">
        <v>673</v>
      </c>
      <c r="DB1279" s="5" t="s">
        <v>238</v>
      </c>
      <c r="DD1279" s="5" t="s">
        <v>673</v>
      </c>
      <c r="DE1279" s="8">
        <f>1428</f>
        <v>1428</v>
      </c>
      <c r="DG1279" s="5" t="s">
        <v>238</v>
      </c>
      <c r="DH1279" s="5" t="s">
        <v>238</v>
      </c>
      <c r="DI1279" s="5" t="s">
        <v>238</v>
      </c>
      <c r="DJ1279" s="5" t="s">
        <v>238</v>
      </c>
      <c r="DN1279" s="5" t="s">
        <v>238</v>
      </c>
      <c r="DO1279" s="5" t="s">
        <v>238</v>
      </c>
      <c r="DP1279" s="5" t="s">
        <v>238</v>
      </c>
      <c r="DQ1279" s="5" t="s">
        <v>238</v>
      </c>
      <c r="DT1279" s="5" t="s">
        <v>2039</v>
      </c>
      <c r="DU1279" s="5" t="s">
        <v>2765</v>
      </c>
      <c r="HM1279" s="5" t="s">
        <v>264</v>
      </c>
    </row>
    <row r="1280" spans="1:221" x14ac:dyDescent="0.4">
      <c r="A1280" s="5">
        <v>2955</v>
      </c>
      <c r="B1280" s="5">
        <v>1</v>
      </c>
      <c r="C1280" s="5">
        <v>1</v>
      </c>
      <c r="D1280" s="5" t="s">
        <v>2037</v>
      </c>
      <c r="E1280" s="5" t="s">
        <v>271</v>
      </c>
      <c r="F1280" s="5" t="s">
        <v>248</v>
      </c>
      <c r="G1280" s="5" t="s">
        <v>1969</v>
      </c>
      <c r="H1280" s="6" t="s">
        <v>2763</v>
      </c>
      <c r="I1280" s="7">
        <f>169</f>
        <v>169</v>
      </c>
      <c r="J1280" s="5" t="s">
        <v>262</v>
      </c>
      <c r="K1280" s="8">
        <f>1</f>
        <v>1</v>
      </c>
      <c r="L1280" s="6" t="s">
        <v>242</v>
      </c>
      <c r="M1280" s="5" t="s">
        <v>267</v>
      </c>
      <c r="N1280" s="5" t="s">
        <v>265</v>
      </c>
      <c r="O1280" s="5" t="s">
        <v>238</v>
      </c>
      <c r="P1280" s="5" t="s">
        <v>238</v>
      </c>
      <c r="Q1280" s="5" t="s">
        <v>268</v>
      </c>
      <c r="R1280" s="5" t="s">
        <v>270</v>
      </c>
      <c r="S1280" s="5" t="s">
        <v>238</v>
      </c>
      <c r="V1280" s="5" t="s">
        <v>238</v>
      </c>
      <c r="X1280" s="6" t="s">
        <v>238</v>
      </c>
      <c r="AA1280" s="6" t="s">
        <v>243</v>
      </c>
      <c r="AB1280" s="5" t="s">
        <v>238</v>
      </c>
      <c r="AC1280" s="5" t="s">
        <v>244</v>
      </c>
      <c r="AD1280" s="5" t="s">
        <v>245</v>
      </c>
      <c r="AT1280" s="5" t="s">
        <v>246</v>
      </c>
      <c r="AU1280" s="5" t="s">
        <v>238</v>
      </c>
      <c r="AV1280" s="5" t="s">
        <v>247</v>
      </c>
      <c r="AW1280" s="5" t="s">
        <v>238</v>
      </c>
      <c r="AX1280" s="5" t="s">
        <v>249</v>
      </c>
      <c r="AY1280" s="5" t="s">
        <v>238</v>
      </c>
      <c r="BA1280" s="5" t="s">
        <v>238</v>
      </c>
      <c r="BC1280" s="5" t="s">
        <v>250</v>
      </c>
      <c r="BD1280" s="6" t="s">
        <v>243</v>
      </c>
      <c r="BE1280" s="5" t="s">
        <v>251</v>
      </c>
      <c r="BF1280" s="5" t="s">
        <v>252</v>
      </c>
      <c r="BG1280" s="5" t="s">
        <v>238</v>
      </c>
      <c r="BH1280" s="7">
        <f>0</f>
        <v>0</v>
      </c>
      <c r="BI1280" s="8">
        <f>0</f>
        <v>0</v>
      </c>
      <c r="BJ1280" s="5" t="s">
        <v>253</v>
      </c>
      <c r="BK1280" s="5" t="s">
        <v>254</v>
      </c>
      <c r="BY1280" s="5" t="s">
        <v>238</v>
      </c>
      <c r="BZ1280" s="5" t="s">
        <v>238</v>
      </c>
      <c r="CD1280" s="5" t="s">
        <v>273</v>
      </c>
      <c r="CE1280" s="5" t="s">
        <v>256</v>
      </c>
      <c r="CF1280" s="5" t="s">
        <v>238</v>
      </c>
      <c r="CI1280" s="6" t="s">
        <v>257</v>
      </c>
      <c r="CJ1280" s="5" t="s">
        <v>238</v>
      </c>
      <c r="CK1280" s="5" t="s">
        <v>258</v>
      </c>
      <c r="CL1280" s="5" t="s">
        <v>238</v>
      </c>
      <c r="CM1280" s="5" t="s">
        <v>238</v>
      </c>
      <c r="CN1280" s="5">
        <v>0</v>
      </c>
      <c r="CO1280" s="5" t="s">
        <v>259</v>
      </c>
      <c r="CP1280" s="5" t="s">
        <v>260</v>
      </c>
      <c r="CQ1280" s="5" t="s">
        <v>260</v>
      </c>
      <c r="CR1280" s="5" t="s">
        <v>261</v>
      </c>
      <c r="CU1280" s="8">
        <f>1</f>
        <v>1</v>
      </c>
      <c r="CV1280" s="8">
        <f>0</f>
        <v>0</v>
      </c>
      <c r="CX1280" s="8">
        <f>0</f>
        <v>0</v>
      </c>
      <c r="CY1280" s="8">
        <f>1</f>
        <v>1</v>
      </c>
      <c r="DA1280" s="5" t="s">
        <v>673</v>
      </c>
      <c r="DB1280" s="5" t="s">
        <v>238</v>
      </c>
      <c r="DD1280" s="5" t="s">
        <v>673</v>
      </c>
      <c r="DE1280" s="8">
        <f>169</f>
        <v>169</v>
      </c>
      <c r="DG1280" s="5" t="s">
        <v>238</v>
      </c>
      <c r="DH1280" s="5" t="s">
        <v>238</v>
      </c>
      <c r="DI1280" s="5" t="s">
        <v>238</v>
      </c>
      <c r="DJ1280" s="5" t="s">
        <v>238</v>
      </c>
      <c r="DN1280" s="5" t="s">
        <v>238</v>
      </c>
      <c r="DO1280" s="5" t="s">
        <v>238</v>
      </c>
      <c r="DP1280" s="5" t="s">
        <v>238</v>
      </c>
      <c r="DQ1280" s="5" t="s">
        <v>238</v>
      </c>
      <c r="DT1280" s="5" t="s">
        <v>2039</v>
      </c>
      <c r="DU1280" s="5" t="s">
        <v>1652</v>
      </c>
      <c r="HM1280" s="5" t="s">
        <v>264</v>
      </c>
    </row>
    <row r="1281" spans="1:221" x14ac:dyDescent="0.4">
      <c r="A1281" s="5">
        <v>2956</v>
      </c>
      <c r="B1281" s="5">
        <v>1</v>
      </c>
      <c r="C1281" s="5">
        <v>1</v>
      </c>
      <c r="D1281" s="5" t="s">
        <v>2037</v>
      </c>
      <c r="E1281" s="5" t="s">
        <v>271</v>
      </c>
      <c r="F1281" s="5" t="s">
        <v>248</v>
      </c>
      <c r="G1281" s="5" t="s">
        <v>1969</v>
      </c>
      <c r="H1281" s="6" t="s">
        <v>2762</v>
      </c>
      <c r="I1281" s="7">
        <f>773</f>
        <v>773</v>
      </c>
      <c r="J1281" s="5" t="s">
        <v>262</v>
      </c>
      <c r="K1281" s="8">
        <f>1</f>
        <v>1</v>
      </c>
      <c r="L1281" s="6" t="s">
        <v>242</v>
      </c>
      <c r="M1281" s="5" t="s">
        <v>267</v>
      </c>
      <c r="N1281" s="5" t="s">
        <v>265</v>
      </c>
      <c r="O1281" s="5" t="s">
        <v>238</v>
      </c>
      <c r="P1281" s="5" t="s">
        <v>238</v>
      </c>
      <c r="Q1281" s="5" t="s">
        <v>268</v>
      </c>
      <c r="R1281" s="5" t="s">
        <v>270</v>
      </c>
      <c r="S1281" s="5" t="s">
        <v>238</v>
      </c>
      <c r="V1281" s="5" t="s">
        <v>238</v>
      </c>
      <c r="X1281" s="6" t="s">
        <v>238</v>
      </c>
      <c r="AA1281" s="6" t="s">
        <v>243</v>
      </c>
      <c r="AB1281" s="5" t="s">
        <v>238</v>
      </c>
      <c r="AC1281" s="5" t="s">
        <v>244</v>
      </c>
      <c r="AD1281" s="5" t="s">
        <v>245</v>
      </c>
      <c r="AT1281" s="5" t="s">
        <v>246</v>
      </c>
      <c r="AU1281" s="5" t="s">
        <v>238</v>
      </c>
      <c r="AV1281" s="5" t="s">
        <v>247</v>
      </c>
      <c r="AW1281" s="5" t="s">
        <v>238</v>
      </c>
      <c r="AX1281" s="5" t="s">
        <v>249</v>
      </c>
      <c r="AY1281" s="5" t="s">
        <v>238</v>
      </c>
      <c r="BA1281" s="5" t="s">
        <v>238</v>
      </c>
      <c r="BC1281" s="5" t="s">
        <v>250</v>
      </c>
      <c r="BD1281" s="6" t="s">
        <v>243</v>
      </c>
      <c r="BE1281" s="5" t="s">
        <v>251</v>
      </c>
      <c r="BF1281" s="5" t="s">
        <v>252</v>
      </c>
      <c r="BG1281" s="5" t="s">
        <v>238</v>
      </c>
      <c r="BH1281" s="7">
        <f>0</f>
        <v>0</v>
      </c>
      <c r="BI1281" s="8">
        <f>0</f>
        <v>0</v>
      </c>
      <c r="BJ1281" s="5" t="s">
        <v>253</v>
      </c>
      <c r="BK1281" s="5" t="s">
        <v>254</v>
      </c>
      <c r="BY1281" s="5" t="s">
        <v>238</v>
      </c>
      <c r="BZ1281" s="5" t="s">
        <v>238</v>
      </c>
      <c r="CD1281" s="5" t="s">
        <v>273</v>
      </c>
      <c r="CE1281" s="5" t="s">
        <v>256</v>
      </c>
      <c r="CF1281" s="5" t="s">
        <v>238</v>
      </c>
      <c r="CI1281" s="6" t="s">
        <v>257</v>
      </c>
      <c r="CJ1281" s="5" t="s">
        <v>238</v>
      </c>
      <c r="CK1281" s="5" t="s">
        <v>258</v>
      </c>
      <c r="CL1281" s="5" t="s">
        <v>238</v>
      </c>
      <c r="CM1281" s="5" t="s">
        <v>238</v>
      </c>
      <c r="CN1281" s="5">
        <v>0</v>
      </c>
      <c r="CO1281" s="5" t="s">
        <v>259</v>
      </c>
      <c r="CP1281" s="5" t="s">
        <v>260</v>
      </c>
      <c r="CQ1281" s="5" t="s">
        <v>260</v>
      </c>
      <c r="CR1281" s="5" t="s">
        <v>261</v>
      </c>
      <c r="CU1281" s="8">
        <f>1</f>
        <v>1</v>
      </c>
      <c r="CV1281" s="8">
        <f>0</f>
        <v>0</v>
      </c>
      <c r="CX1281" s="8">
        <f>0</f>
        <v>0</v>
      </c>
      <c r="CY1281" s="8">
        <f>1</f>
        <v>1</v>
      </c>
      <c r="DA1281" s="5" t="s">
        <v>673</v>
      </c>
      <c r="DB1281" s="5" t="s">
        <v>238</v>
      </c>
      <c r="DD1281" s="5" t="s">
        <v>673</v>
      </c>
      <c r="DE1281" s="8">
        <f>773</f>
        <v>773</v>
      </c>
      <c r="DG1281" s="5" t="s">
        <v>238</v>
      </c>
      <c r="DH1281" s="5" t="s">
        <v>238</v>
      </c>
      <c r="DI1281" s="5" t="s">
        <v>238</v>
      </c>
      <c r="DJ1281" s="5" t="s">
        <v>238</v>
      </c>
      <c r="DN1281" s="5" t="s">
        <v>238</v>
      </c>
      <c r="DO1281" s="5" t="s">
        <v>238</v>
      </c>
      <c r="DP1281" s="5" t="s">
        <v>238</v>
      </c>
      <c r="DQ1281" s="5" t="s">
        <v>238</v>
      </c>
      <c r="DT1281" s="5" t="s">
        <v>2039</v>
      </c>
      <c r="DU1281" s="5" t="s">
        <v>1644</v>
      </c>
      <c r="HM1281" s="5" t="s">
        <v>264</v>
      </c>
    </row>
    <row r="1282" spans="1:221" x14ac:dyDescent="0.4">
      <c r="A1282" s="5">
        <v>2957</v>
      </c>
      <c r="B1282" s="5">
        <v>1</v>
      </c>
      <c r="C1282" s="5">
        <v>1</v>
      </c>
      <c r="D1282" s="5" t="s">
        <v>2037</v>
      </c>
      <c r="E1282" s="5" t="s">
        <v>271</v>
      </c>
      <c r="F1282" s="5" t="s">
        <v>248</v>
      </c>
      <c r="G1282" s="5" t="s">
        <v>1969</v>
      </c>
      <c r="H1282" s="6" t="s">
        <v>2760</v>
      </c>
      <c r="I1282" s="7">
        <f>2262</f>
        <v>2262</v>
      </c>
      <c r="J1282" s="5" t="s">
        <v>262</v>
      </c>
      <c r="K1282" s="8">
        <f>1</f>
        <v>1</v>
      </c>
      <c r="L1282" s="6" t="s">
        <v>242</v>
      </c>
      <c r="M1282" s="5" t="s">
        <v>267</v>
      </c>
      <c r="N1282" s="5" t="s">
        <v>265</v>
      </c>
      <c r="O1282" s="5" t="s">
        <v>238</v>
      </c>
      <c r="P1282" s="5" t="s">
        <v>238</v>
      </c>
      <c r="Q1282" s="5" t="s">
        <v>268</v>
      </c>
      <c r="R1282" s="5" t="s">
        <v>270</v>
      </c>
      <c r="S1282" s="5" t="s">
        <v>238</v>
      </c>
      <c r="V1282" s="5" t="s">
        <v>238</v>
      </c>
      <c r="X1282" s="6" t="s">
        <v>238</v>
      </c>
      <c r="AA1282" s="6" t="s">
        <v>243</v>
      </c>
      <c r="AB1282" s="5" t="s">
        <v>238</v>
      </c>
      <c r="AC1282" s="5" t="s">
        <v>244</v>
      </c>
      <c r="AD1282" s="5" t="s">
        <v>245</v>
      </c>
      <c r="AT1282" s="5" t="s">
        <v>246</v>
      </c>
      <c r="AU1282" s="5" t="s">
        <v>238</v>
      </c>
      <c r="AV1282" s="5" t="s">
        <v>247</v>
      </c>
      <c r="AW1282" s="5" t="s">
        <v>238</v>
      </c>
      <c r="AX1282" s="5" t="s">
        <v>249</v>
      </c>
      <c r="AY1282" s="5" t="s">
        <v>238</v>
      </c>
      <c r="BA1282" s="5" t="s">
        <v>238</v>
      </c>
      <c r="BC1282" s="5" t="s">
        <v>250</v>
      </c>
      <c r="BD1282" s="6" t="s">
        <v>243</v>
      </c>
      <c r="BE1282" s="5" t="s">
        <v>251</v>
      </c>
      <c r="BF1282" s="5" t="s">
        <v>252</v>
      </c>
      <c r="BG1282" s="5" t="s">
        <v>238</v>
      </c>
      <c r="BH1282" s="7">
        <f>0</f>
        <v>0</v>
      </c>
      <c r="BI1282" s="8">
        <f>0</f>
        <v>0</v>
      </c>
      <c r="BJ1282" s="5" t="s">
        <v>253</v>
      </c>
      <c r="BK1282" s="5" t="s">
        <v>254</v>
      </c>
      <c r="BY1282" s="5" t="s">
        <v>238</v>
      </c>
      <c r="BZ1282" s="5" t="s">
        <v>238</v>
      </c>
      <c r="CD1282" s="5" t="s">
        <v>273</v>
      </c>
      <c r="CE1282" s="5" t="s">
        <v>256</v>
      </c>
      <c r="CF1282" s="5" t="s">
        <v>238</v>
      </c>
      <c r="CI1282" s="6" t="s">
        <v>257</v>
      </c>
      <c r="CJ1282" s="5" t="s">
        <v>238</v>
      </c>
      <c r="CK1282" s="5" t="s">
        <v>258</v>
      </c>
      <c r="CL1282" s="5" t="s">
        <v>238</v>
      </c>
      <c r="CM1282" s="5" t="s">
        <v>238</v>
      </c>
      <c r="CN1282" s="5">
        <v>0</v>
      </c>
      <c r="CO1282" s="5" t="s">
        <v>259</v>
      </c>
      <c r="CP1282" s="5" t="s">
        <v>260</v>
      </c>
      <c r="CQ1282" s="5" t="s">
        <v>260</v>
      </c>
      <c r="CR1282" s="5" t="s">
        <v>261</v>
      </c>
      <c r="CU1282" s="8">
        <f>1</f>
        <v>1</v>
      </c>
      <c r="CV1282" s="8">
        <f>0</f>
        <v>0</v>
      </c>
      <c r="CX1282" s="8">
        <f>0</f>
        <v>0</v>
      </c>
      <c r="CY1282" s="8">
        <f>1</f>
        <v>1</v>
      </c>
      <c r="DA1282" s="5" t="s">
        <v>673</v>
      </c>
      <c r="DB1282" s="5" t="s">
        <v>238</v>
      </c>
      <c r="DD1282" s="5" t="s">
        <v>673</v>
      </c>
      <c r="DE1282" s="8">
        <f>2262</f>
        <v>2262</v>
      </c>
      <c r="DG1282" s="5" t="s">
        <v>238</v>
      </c>
      <c r="DH1282" s="5" t="s">
        <v>238</v>
      </c>
      <c r="DI1282" s="5" t="s">
        <v>238</v>
      </c>
      <c r="DJ1282" s="5" t="s">
        <v>238</v>
      </c>
      <c r="DN1282" s="5" t="s">
        <v>238</v>
      </c>
      <c r="DO1282" s="5" t="s">
        <v>238</v>
      </c>
      <c r="DP1282" s="5" t="s">
        <v>238</v>
      </c>
      <c r="DQ1282" s="5" t="s">
        <v>238</v>
      </c>
      <c r="DT1282" s="5" t="s">
        <v>2039</v>
      </c>
      <c r="DU1282" s="5" t="s">
        <v>2761</v>
      </c>
      <c r="HM1282" s="5" t="s">
        <v>264</v>
      </c>
    </row>
    <row r="1283" spans="1:221" x14ac:dyDescent="0.4">
      <c r="A1283" s="5">
        <v>2958</v>
      </c>
      <c r="B1283" s="5">
        <v>1</v>
      </c>
      <c r="C1283" s="5">
        <v>1</v>
      </c>
      <c r="D1283" s="5" t="s">
        <v>2037</v>
      </c>
      <c r="E1283" s="5" t="s">
        <v>271</v>
      </c>
      <c r="F1283" s="5" t="s">
        <v>248</v>
      </c>
      <c r="G1283" s="5" t="s">
        <v>1969</v>
      </c>
      <c r="H1283" s="6" t="s">
        <v>2758</v>
      </c>
      <c r="I1283" s="7">
        <f>1956</f>
        <v>1956</v>
      </c>
      <c r="J1283" s="5" t="s">
        <v>262</v>
      </c>
      <c r="K1283" s="8">
        <f>1</f>
        <v>1</v>
      </c>
      <c r="L1283" s="6" t="s">
        <v>242</v>
      </c>
      <c r="M1283" s="5" t="s">
        <v>267</v>
      </c>
      <c r="N1283" s="5" t="s">
        <v>265</v>
      </c>
      <c r="O1283" s="5" t="s">
        <v>238</v>
      </c>
      <c r="P1283" s="5" t="s">
        <v>238</v>
      </c>
      <c r="Q1283" s="5" t="s">
        <v>268</v>
      </c>
      <c r="R1283" s="5" t="s">
        <v>270</v>
      </c>
      <c r="S1283" s="5" t="s">
        <v>238</v>
      </c>
      <c r="V1283" s="5" t="s">
        <v>238</v>
      </c>
      <c r="X1283" s="6" t="s">
        <v>238</v>
      </c>
      <c r="AA1283" s="6" t="s">
        <v>243</v>
      </c>
      <c r="AB1283" s="5" t="s">
        <v>238</v>
      </c>
      <c r="AC1283" s="5" t="s">
        <v>244</v>
      </c>
      <c r="AD1283" s="5" t="s">
        <v>245</v>
      </c>
      <c r="AT1283" s="5" t="s">
        <v>246</v>
      </c>
      <c r="AU1283" s="5" t="s">
        <v>238</v>
      </c>
      <c r="AV1283" s="5" t="s">
        <v>247</v>
      </c>
      <c r="AW1283" s="5" t="s">
        <v>238</v>
      </c>
      <c r="AX1283" s="5" t="s">
        <v>249</v>
      </c>
      <c r="AY1283" s="5" t="s">
        <v>238</v>
      </c>
      <c r="BA1283" s="5" t="s">
        <v>238</v>
      </c>
      <c r="BC1283" s="5" t="s">
        <v>250</v>
      </c>
      <c r="BD1283" s="6" t="s">
        <v>243</v>
      </c>
      <c r="BE1283" s="5" t="s">
        <v>251</v>
      </c>
      <c r="BF1283" s="5" t="s">
        <v>252</v>
      </c>
      <c r="BG1283" s="5" t="s">
        <v>238</v>
      </c>
      <c r="BH1283" s="7">
        <f>0</f>
        <v>0</v>
      </c>
      <c r="BI1283" s="8">
        <f>0</f>
        <v>0</v>
      </c>
      <c r="BJ1283" s="5" t="s">
        <v>253</v>
      </c>
      <c r="BK1283" s="5" t="s">
        <v>254</v>
      </c>
      <c r="BY1283" s="5" t="s">
        <v>238</v>
      </c>
      <c r="BZ1283" s="5" t="s">
        <v>238</v>
      </c>
      <c r="CD1283" s="5" t="s">
        <v>273</v>
      </c>
      <c r="CE1283" s="5" t="s">
        <v>256</v>
      </c>
      <c r="CF1283" s="5" t="s">
        <v>238</v>
      </c>
      <c r="CI1283" s="6" t="s">
        <v>257</v>
      </c>
      <c r="CJ1283" s="5" t="s">
        <v>238</v>
      </c>
      <c r="CK1283" s="5" t="s">
        <v>258</v>
      </c>
      <c r="CL1283" s="5" t="s">
        <v>238</v>
      </c>
      <c r="CM1283" s="5" t="s">
        <v>238</v>
      </c>
      <c r="CN1283" s="5">
        <v>0</v>
      </c>
      <c r="CO1283" s="5" t="s">
        <v>259</v>
      </c>
      <c r="CP1283" s="5" t="s">
        <v>260</v>
      </c>
      <c r="CQ1283" s="5" t="s">
        <v>260</v>
      </c>
      <c r="CR1283" s="5" t="s">
        <v>261</v>
      </c>
      <c r="CU1283" s="8">
        <f>1</f>
        <v>1</v>
      </c>
      <c r="CV1283" s="8">
        <f>0</f>
        <v>0</v>
      </c>
      <c r="CX1283" s="8">
        <f>0</f>
        <v>0</v>
      </c>
      <c r="CY1283" s="8">
        <f>1</f>
        <v>1</v>
      </c>
      <c r="DA1283" s="5" t="s">
        <v>673</v>
      </c>
      <c r="DB1283" s="5" t="s">
        <v>238</v>
      </c>
      <c r="DD1283" s="5" t="s">
        <v>673</v>
      </c>
      <c r="DE1283" s="8">
        <f>1956</f>
        <v>1956</v>
      </c>
      <c r="DG1283" s="5" t="s">
        <v>238</v>
      </c>
      <c r="DH1283" s="5" t="s">
        <v>238</v>
      </c>
      <c r="DI1283" s="5" t="s">
        <v>238</v>
      </c>
      <c r="DJ1283" s="5" t="s">
        <v>238</v>
      </c>
      <c r="DN1283" s="5" t="s">
        <v>238</v>
      </c>
      <c r="DO1283" s="5" t="s">
        <v>238</v>
      </c>
      <c r="DP1283" s="5" t="s">
        <v>238</v>
      </c>
      <c r="DQ1283" s="5" t="s">
        <v>238</v>
      </c>
      <c r="DT1283" s="5" t="s">
        <v>2039</v>
      </c>
      <c r="DU1283" s="5" t="s">
        <v>1618</v>
      </c>
      <c r="HM1283" s="5" t="s">
        <v>264</v>
      </c>
    </row>
    <row r="1284" spans="1:221" x14ac:dyDescent="0.4">
      <c r="A1284" s="5">
        <v>2959</v>
      </c>
      <c r="B1284" s="5">
        <v>1</v>
      </c>
      <c r="C1284" s="5">
        <v>1</v>
      </c>
      <c r="D1284" s="5" t="s">
        <v>2037</v>
      </c>
      <c r="E1284" s="5" t="s">
        <v>271</v>
      </c>
      <c r="F1284" s="5" t="s">
        <v>248</v>
      </c>
      <c r="G1284" s="5" t="s">
        <v>1969</v>
      </c>
      <c r="H1284" s="6" t="s">
        <v>2756</v>
      </c>
      <c r="I1284" s="7">
        <f>335</f>
        <v>335</v>
      </c>
      <c r="J1284" s="5" t="s">
        <v>262</v>
      </c>
      <c r="K1284" s="8">
        <f>1</f>
        <v>1</v>
      </c>
      <c r="L1284" s="6" t="s">
        <v>242</v>
      </c>
      <c r="M1284" s="5" t="s">
        <v>267</v>
      </c>
      <c r="N1284" s="5" t="s">
        <v>265</v>
      </c>
      <c r="O1284" s="5" t="s">
        <v>238</v>
      </c>
      <c r="P1284" s="5" t="s">
        <v>238</v>
      </c>
      <c r="Q1284" s="5" t="s">
        <v>268</v>
      </c>
      <c r="R1284" s="5" t="s">
        <v>270</v>
      </c>
      <c r="S1284" s="5" t="s">
        <v>238</v>
      </c>
      <c r="V1284" s="5" t="s">
        <v>238</v>
      </c>
      <c r="X1284" s="6" t="s">
        <v>238</v>
      </c>
      <c r="AA1284" s="6" t="s">
        <v>243</v>
      </c>
      <c r="AB1284" s="5" t="s">
        <v>238</v>
      </c>
      <c r="AC1284" s="5" t="s">
        <v>244</v>
      </c>
      <c r="AD1284" s="5" t="s">
        <v>245</v>
      </c>
      <c r="AT1284" s="5" t="s">
        <v>246</v>
      </c>
      <c r="AU1284" s="5" t="s">
        <v>238</v>
      </c>
      <c r="AV1284" s="5" t="s">
        <v>247</v>
      </c>
      <c r="AW1284" s="5" t="s">
        <v>238</v>
      </c>
      <c r="AX1284" s="5" t="s">
        <v>249</v>
      </c>
      <c r="AY1284" s="5" t="s">
        <v>238</v>
      </c>
      <c r="BA1284" s="5" t="s">
        <v>238</v>
      </c>
      <c r="BC1284" s="5" t="s">
        <v>250</v>
      </c>
      <c r="BD1284" s="6" t="s">
        <v>243</v>
      </c>
      <c r="BE1284" s="5" t="s">
        <v>251</v>
      </c>
      <c r="BF1284" s="5" t="s">
        <v>252</v>
      </c>
      <c r="BG1284" s="5" t="s">
        <v>238</v>
      </c>
      <c r="BH1284" s="7">
        <f>0</f>
        <v>0</v>
      </c>
      <c r="BI1284" s="8">
        <f>0</f>
        <v>0</v>
      </c>
      <c r="BJ1284" s="5" t="s">
        <v>253</v>
      </c>
      <c r="BK1284" s="5" t="s">
        <v>254</v>
      </c>
      <c r="BY1284" s="5" t="s">
        <v>238</v>
      </c>
      <c r="BZ1284" s="5" t="s">
        <v>238</v>
      </c>
      <c r="CD1284" s="5" t="s">
        <v>273</v>
      </c>
      <c r="CE1284" s="5" t="s">
        <v>256</v>
      </c>
      <c r="CF1284" s="5" t="s">
        <v>238</v>
      </c>
      <c r="CI1284" s="6" t="s">
        <v>257</v>
      </c>
      <c r="CJ1284" s="5" t="s">
        <v>238</v>
      </c>
      <c r="CK1284" s="5" t="s">
        <v>258</v>
      </c>
      <c r="CL1284" s="5" t="s">
        <v>238</v>
      </c>
      <c r="CM1284" s="5" t="s">
        <v>238</v>
      </c>
      <c r="CN1284" s="5">
        <v>0</v>
      </c>
      <c r="CO1284" s="5" t="s">
        <v>259</v>
      </c>
      <c r="CP1284" s="5" t="s">
        <v>260</v>
      </c>
      <c r="CQ1284" s="5" t="s">
        <v>260</v>
      </c>
      <c r="CR1284" s="5" t="s">
        <v>261</v>
      </c>
      <c r="CU1284" s="8">
        <f>1</f>
        <v>1</v>
      </c>
      <c r="CV1284" s="8">
        <f>0</f>
        <v>0</v>
      </c>
      <c r="CX1284" s="8">
        <f>0</f>
        <v>0</v>
      </c>
      <c r="CY1284" s="8">
        <f>1</f>
        <v>1</v>
      </c>
      <c r="DA1284" s="5" t="s">
        <v>673</v>
      </c>
      <c r="DB1284" s="5" t="s">
        <v>238</v>
      </c>
      <c r="DD1284" s="5" t="s">
        <v>673</v>
      </c>
      <c r="DE1284" s="8">
        <f>335</f>
        <v>335</v>
      </c>
      <c r="DG1284" s="5" t="s">
        <v>238</v>
      </c>
      <c r="DH1284" s="5" t="s">
        <v>238</v>
      </c>
      <c r="DI1284" s="5" t="s">
        <v>238</v>
      </c>
      <c r="DJ1284" s="5" t="s">
        <v>238</v>
      </c>
      <c r="DN1284" s="5" t="s">
        <v>238</v>
      </c>
      <c r="DO1284" s="5" t="s">
        <v>238</v>
      </c>
      <c r="DP1284" s="5" t="s">
        <v>238</v>
      </c>
      <c r="DQ1284" s="5" t="s">
        <v>238</v>
      </c>
      <c r="DT1284" s="5" t="s">
        <v>2039</v>
      </c>
      <c r="DU1284" s="5" t="s">
        <v>2757</v>
      </c>
      <c r="HM1284" s="5" t="s">
        <v>264</v>
      </c>
    </row>
    <row r="1285" spans="1:221" x14ac:dyDescent="0.4">
      <c r="A1285" s="5">
        <v>2960</v>
      </c>
      <c r="B1285" s="5">
        <v>1</v>
      </c>
      <c r="C1285" s="5">
        <v>1</v>
      </c>
      <c r="D1285" s="5" t="s">
        <v>2037</v>
      </c>
      <c r="E1285" s="5" t="s">
        <v>271</v>
      </c>
      <c r="F1285" s="5" t="s">
        <v>248</v>
      </c>
      <c r="G1285" s="5" t="s">
        <v>1969</v>
      </c>
      <c r="H1285" s="6" t="s">
        <v>2753</v>
      </c>
      <c r="I1285" s="7">
        <f>2499</f>
        <v>2499</v>
      </c>
      <c r="J1285" s="5" t="s">
        <v>262</v>
      </c>
      <c r="K1285" s="8">
        <f>1</f>
        <v>1</v>
      </c>
      <c r="L1285" s="6" t="s">
        <v>242</v>
      </c>
      <c r="M1285" s="5" t="s">
        <v>267</v>
      </c>
      <c r="N1285" s="5" t="s">
        <v>265</v>
      </c>
      <c r="O1285" s="5" t="s">
        <v>238</v>
      </c>
      <c r="P1285" s="5" t="s">
        <v>238</v>
      </c>
      <c r="Q1285" s="5" t="s">
        <v>268</v>
      </c>
      <c r="R1285" s="5" t="s">
        <v>270</v>
      </c>
      <c r="S1285" s="5" t="s">
        <v>238</v>
      </c>
      <c r="V1285" s="5" t="s">
        <v>238</v>
      </c>
      <c r="X1285" s="6" t="s">
        <v>238</v>
      </c>
      <c r="AA1285" s="6" t="s">
        <v>243</v>
      </c>
      <c r="AB1285" s="5" t="s">
        <v>238</v>
      </c>
      <c r="AC1285" s="5" t="s">
        <v>244</v>
      </c>
      <c r="AD1285" s="5" t="s">
        <v>245</v>
      </c>
      <c r="AT1285" s="5" t="s">
        <v>246</v>
      </c>
      <c r="AU1285" s="5" t="s">
        <v>238</v>
      </c>
      <c r="AV1285" s="5" t="s">
        <v>247</v>
      </c>
      <c r="AW1285" s="5" t="s">
        <v>238</v>
      </c>
      <c r="AX1285" s="5" t="s">
        <v>249</v>
      </c>
      <c r="AY1285" s="5" t="s">
        <v>238</v>
      </c>
      <c r="BA1285" s="5" t="s">
        <v>238</v>
      </c>
      <c r="BC1285" s="5" t="s">
        <v>250</v>
      </c>
      <c r="BD1285" s="6" t="s">
        <v>243</v>
      </c>
      <c r="BE1285" s="5" t="s">
        <v>251</v>
      </c>
      <c r="BF1285" s="5" t="s">
        <v>252</v>
      </c>
      <c r="BG1285" s="5" t="s">
        <v>238</v>
      </c>
      <c r="BH1285" s="7">
        <f>0</f>
        <v>0</v>
      </c>
      <c r="BI1285" s="8">
        <f>0</f>
        <v>0</v>
      </c>
      <c r="BJ1285" s="5" t="s">
        <v>253</v>
      </c>
      <c r="BK1285" s="5" t="s">
        <v>254</v>
      </c>
      <c r="BY1285" s="5" t="s">
        <v>238</v>
      </c>
      <c r="BZ1285" s="5" t="s">
        <v>238</v>
      </c>
      <c r="CD1285" s="5" t="s">
        <v>273</v>
      </c>
      <c r="CE1285" s="5" t="s">
        <v>256</v>
      </c>
      <c r="CF1285" s="5" t="s">
        <v>238</v>
      </c>
      <c r="CI1285" s="6" t="s">
        <v>257</v>
      </c>
      <c r="CJ1285" s="5" t="s">
        <v>238</v>
      </c>
      <c r="CK1285" s="5" t="s">
        <v>258</v>
      </c>
      <c r="CL1285" s="5" t="s">
        <v>238</v>
      </c>
      <c r="CM1285" s="5" t="s">
        <v>238</v>
      </c>
      <c r="CN1285" s="5">
        <v>0</v>
      </c>
      <c r="CO1285" s="5" t="s">
        <v>259</v>
      </c>
      <c r="CP1285" s="5" t="s">
        <v>260</v>
      </c>
      <c r="CQ1285" s="5" t="s">
        <v>260</v>
      </c>
      <c r="CR1285" s="5" t="s">
        <v>261</v>
      </c>
      <c r="CU1285" s="8">
        <f>1</f>
        <v>1</v>
      </c>
      <c r="CV1285" s="8">
        <f>0</f>
        <v>0</v>
      </c>
      <c r="CX1285" s="8">
        <f>0</f>
        <v>0</v>
      </c>
      <c r="CY1285" s="8">
        <f>1</f>
        <v>1</v>
      </c>
      <c r="DA1285" s="5" t="s">
        <v>673</v>
      </c>
      <c r="DB1285" s="5" t="s">
        <v>238</v>
      </c>
      <c r="DD1285" s="5" t="s">
        <v>673</v>
      </c>
      <c r="DE1285" s="8">
        <f>2499</f>
        <v>2499</v>
      </c>
      <c r="DG1285" s="5" t="s">
        <v>238</v>
      </c>
      <c r="DH1285" s="5" t="s">
        <v>238</v>
      </c>
      <c r="DI1285" s="5" t="s">
        <v>238</v>
      </c>
      <c r="DJ1285" s="5" t="s">
        <v>238</v>
      </c>
      <c r="DN1285" s="5" t="s">
        <v>238</v>
      </c>
      <c r="DO1285" s="5" t="s">
        <v>238</v>
      </c>
      <c r="DP1285" s="5" t="s">
        <v>238</v>
      </c>
      <c r="DQ1285" s="5" t="s">
        <v>238</v>
      </c>
      <c r="DT1285" s="5" t="s">
        <v>2039</v>
      </c>
      <c r="DU1285" s="5" t="s">
        <v>2754</v>
      </c>
      <c r="HM1285" s="5" t="s">
        <v>264</v>
      </c>
    </row>
    <row r="1286" spans="1:221" x14ac:dyDescent="0.4">
      <c r="A1286" s="5">
        <v>2961</v>
      </c>
      <c r="B1286" s="5">
        <v>1</v>
      </c>
      <c r="C1286" s="5">
        <v>1</v>
      </c>
      <c r="D1286" s="5" t="s">
        <v>2037</v>
      </c>
      <c r="E1286" s="5" t="s">
        <v>271</v>
      </c>
      <c r="F1286" s="5" t="s">
        <v>248</v>
      </c>
      <c r="G1286" s="5" t="s">
        <v>1969</v>
      </c>
      <c r="H1286" s="6" t="s">
        <v>2751</v>
      </c>
      <c r="I1286" s="7">
        <f>1261</f>
        <v>1261</v>
      </c>
      <c r="J1286" s="5" t="s">
        <v>262</v>
      </c>
      <c r="K1286" s="8">
        <f>1</f>
        <v>1</v>
      </c>
      <c r="L1286" s="6" t="s">
        <v>242</v>
      </c>
      <c r="M1286" s="5" t="s">
        <v>267</v>
      </c>
      <c r="N1286" s="5" t="s">
        <v>265</v>
      </c>
      <c r="O1286" s="5" t="s">
        <v>238</v>
      </c>
      <c r="P1286" s="5" t="s">
        <v>238</v>
      </c>
      <c r="Q1286" s="5" t="s">
        <v>268</v>
      </c>
      <c r="R1286" s="5" t="s">
        <v>270</v>
      </c>
      <c r="S1286" s="5" t="s">
        <v>238</v>
      </c>
      <c r="V1286" s="5" t="s">
        <v>238</v>
      </c>
      <c r="X1286" s="6" t="s">
        <v>238</v>
      </c>
      <c r="AA1286" s="6" t="s">
        <v>243</v>
      </c>
      <c r="AB1286" s="5" t="s">
        <v>238</v>
      </c>
      <c r="AC1286" s="5" t="s">
        <v>244</v>
      </c>
      <c r="AD1286" s="5" t="s">
        <v>245</v>
      </c>
      <c r="AT1286" s="5" t="s">
        <v>246</v>
      </c>
      <c r="AU1286" s="5" t="s">
        <v>238</v>
      </c>
      <c r="AV1286" s="5" t="s">
        <v>247</v>
      </c>
      <c r="AW1286" s="5" t="s">
        <v>238</v>
      </c>
      <c r="AX1286" s="5" t="s">
        <v>249</v>
      </c>
      <c r="AY1286" s="5" t="s">
        <v>238</v>
      </c>
      <c r="BA1286" s="5" t="s">
        <v>238</v>
      </c>
      <c r="BC1286" s="5" t="s">
        <v>250</v>
      </c>
      <c r="BD1286" s="6" t="s">
        <v>243</v>
      </c>
      <c r="BE1286" s="5" t="s">
        <v>251</v>
      </c>
      <c r="BF1286" s="5" t="s">
        <v>252</v>
      </c>
      <c r="BG1286" s="5" t="s">
        <v>238</v>
      </c>
      <c r="BH1286" s="7">
        <f>0</f>
        <v>0</v>
      </c>
      <c r="BI1286" s="8">
        <f>0</f>
        <v>0</v>
      </c>
      <c r="BJ1286" s="5" t="s">
        <v>253</v>
      </c>
      <c r="BK1286" s="5" t="s">
        <v>254</v>
      </c>
      <c r="BY1286" s="5" t="s">
        <v>238</v>
      </c>
      <c r="BZ1286" s="5" t="s">
        <v>238</v>
      </c>
      <c r="CD1286" s="5" t="s">
        <v>273</v>
      </c>
      <c r="CE1286" s="5" t="s">
        <v>256</v>
      </c>
      <c r="CF1286" s="5" t="s">
        <v>238</v>
      </c>
      <c r="CI1286" s="6" t="s">
        <v>257</v>
      </c>
      <c r="CJ1286" s="5" t="s">
        <v>238</v>
      </c>
      <c r="CK1286" s="5" t="s">
        <v>258</v>
      </c>
      <c r="CL1286" s="5" t="s">
        <v>238</v>
      </c>
      <c r="CM1286" s="5" t="s">
        <v>238</v>
      </c>
      <c r="CN1286" s="5">
        <v>0</v>
      </c>
      <c r="CO1286" s="5" t="s">
        <v>259</v>
      </c>
      <c r="CP1286" s="5" t="s">
        <v>260</v>
      </c>
      <c r="CQ1286" s="5" t="s">
        <v>260</v>
      </c>
      <c r="CR1286" s="5" t="s">
        <v>261</v>
      </c>
      <c r="CU1286" s="8">
        <f>1</f>
        <v>1</v>
      </c>
      <c r="CV1286" s="8">
        <f>0</f>
        <v>0</v>
      </c>
      <c r="CX1286" s="8">
        <f>0</f>
        <v>0</v>
      </c>
      <c r="CY1286" s="8">
        <f>1</f>
        <v>1</v>
      </c>
      <c r="DA1286" s="5" t="s">
        <v>673</v>
      </c>
      <c r="DB1286" s="5" t="s">
        <v>238</v>
      </c>
      <c r="DD1286" s="5" t="s">
        <v>673</v>
      </c>
      <c r="DE1286" s="8">
        <f>1261</f>
        <v>1261</v>
      </c>
      <c r="DG1286" s="5" t="s">
        <v>238</v>
      </c>
      <c r="DH1286" s="5" t="s">
        <v>238</v>
      </c>
      <c r="DI1286" s="5" t="s">
        <v>238</v>
      </c>
      <c r="DJ1286" s="5" t="s">
        <v>238</v>
      </c>
      <c r="DN1286" s="5" t="s">
        <v>238</v>
      </c>
      <c r="DO1286" s="5" t="s">
        <v>238</v>
      </c>
      <c r="DP1286" s="5" t="s">
        <v>238</v>
      </c>
      <c r="DQ1286" s="5" t="s">
        <v>238</v>
      </c>
      <c r="DT1286" s="5" t="s">
        <v>2039</v>
      </c>
      <c r="DU1286" s="5" t="s">
        <v>2752</v>
      </c>
      <c r="HM1286" s="5" t="s">
        <v>264</v>
      </c>
    </row>
    <row r="1287" spans="1:221" x14ac:dyDescent="0.4">
      <c r="A1287" s="5">
        <v>2962</v>
      </c>
      <c r="B1287" s="5">
        <v>1</v>
      </c>
      <c r="C1287" s="5">
        <v>1</v>
      </c>
      <c r="D1287" s="5" t="s">
        <v>2037</v>
      </c>
      <c r="E1287" s="5" t="s">
        <v>271</v>
      </c>
      <c r="F1287" s="5" t="s">
        <v>248</v>
      </c>
      <c r="G1287" s="5" t="s">
        <v>1969</v>
      </c>
      <c r="H1287" s="6" t="s">
        <v>2749</v>
      </c>
      <c r="I1287" s="7">
        <f>244</f>
        <v>244</v>
      </c>
      <c r="J1287" s="5" t="s">
        <v>262</v>
      </c>
      <c r="K1287" s="8">
        <f>1</f>
        <v>1</v>
      </c>
      <c r="L1287" s="6" t="s">
        <v>242</v>
      </c>
      <c r="M1287" s="5" t="s">
        <v>267</v>
      </c>
      <c r="N1287" s="5" t="s">
        <v>265</v>
      </c>
      <c r="O1287" s="5" t="s">
        <v>238</v>
      </c>
      <c r="P1287" s="5" t="s">
        <v>238</v>
      </c>
      <c r="Q1287" s="5" t="s">
        <v>268</v>
      </c>
      <c r="R1287" s="5" t="s">
        <v>270</v>
      </c>
      <c r="S1287" s="5" t="s">
        <v>238</v>
      </c>
      <c r="V1287" s="5" t="s">
        <v>238</v>
      </c>
      <c r="X1287" s="6" t="s">
        <v>238</v>
      </c>
      <c r="AA1287" s="6" t="s">
        <v>243</v>
      </c>
      <c r="AB1287" s="5" t="s">
        <v>238</v>
      </c>
      <c r="AC1287" s="5" t="s">
        <v>244</v>
      </c>
      <c r="AD1287" s="5" t="s">
        <v>245</v>
      </c>
      <c r="AT1287" s="5" t="s">
        <v>246</v>
      </c>
      <c r="AU1287" s="5" t="s">
        <v>238</v>
      </c>
      <c r="AV1287" s="5" t="s">
        <v>247</v>
      </c>
      <c r="AW1287" s="5" t="s">
        <v>238</v>
      </c>
      <c r="AX1287" s="5" t="s">
        <v>249</v>
      </c>
      <c r="AY1287" s="5" t="s">
        <v>238</v>
      </c>
      <c r="BA1287" s="5" t="s">
        <v>238</v>
      </c>
      <c r="BC1287" s="5" t="s">
        <v>250</v>
      </c>
      <c r="BD1287" s="6" t="s">
        <v>243</v>
      </c>
      <c r="BE1287" s="5" t="s">
        <v>251</v>
      </c>
      <c r="BF1287" s="5" t="s">
        <v>252</v>
      </c>
      <c r="BG1287" s="5" t="s">
        <v>238</v>
      </c>
      <c r="BH1287" s="7">
        <f>0</f>
        <v>0</v>
      </c>
      <c r="BI1287" s="8">
        <f>0</f>
        <v>0</v>
      </c>
      <c r="BJ1287" s="5" t="s">
        <v>253</v>
      </c>
      <c r="BK1287" s="5" t="s">
        <v>254</v>
      </c>
      <c r="BY1287" s="5" t="s">
        <v>238</v>
      </c>
      <c r="BZ1287" s="5" t="s">
        <v>238</v>
      </c>
      <c r="CD1287" s="5" t="s">
        <v>273</v>
      </c>
      <c r="CE1287" s="5" t="s">
        <v>256</v>
      </c>
      <c r="CF1287" s="5" t="s">
        <v>238</v>
      </c>
      <c r="CI1287" s="6" t="s">
        <v>257</v>
      </c>
      <c r="CJ1287" s="5" t="s">
        <v>238</v>
      </c>
      <c r="CK1287" s="5" t="s">
        <v>258</v>
      </c>
      <c r="CL1287" s="5" t="s">
        <v>238</v>
      </c>
      <c r="CM1287" s="5" t="s">
        <v>238</v>
      </c>
      <c r="CN1287" s="5">
        <v>0</v>
      </c>
      <c r="CO1287" s="5" t="s">
        <v>259</v>
      </c>
      <c r="CP1287" s="5" t="s">
        <v>260</v>
      </c>
      <c r="CQ1287" s="5" t="s">
        <v>260</v>
      </c>
      <c r="CR1287" s="5" t="s">
        <v>261</v>
      </c>
      <c r="CU1287" s="8">
        <f>1</f>
        <v>1</v>
      </c>
      <c r="CV1287" s="8">
        <f>0</f>
        <v>0</v>
      </c>
      <c r="CX1287" s="8">
        <f>0</f>
        <v>0</v>
      </c>
      <c r="CY1287" s="8">
        <f>1</f>
        <v>1</v>
      </c>
      <c r="DA1287" s="5" t="s">
        <v>673</v>
      </c>
      <c r="DB1287" s="5" t="s">
        <v>238</v>
      </c>
      <c r="DD1287" s="5" t="s">
        <v>673</v>
      </c>
      <c r="DE1287" s="8">
        <f>244</f>
        <v>244</v>
      </c>
      <c r="DG1287" s="5" t="s">
        <v>238</v>
      </c>
      <c r="DH1287" s="5" t="s">
        <v>238</v>
      </c>
      <c r="DI1287" s="5" t="s">
        <v>238</v>
      </c>
      <c r="DJ1287" s="5" t="s">
        <v>238</v>
      </c>
      <c r="DN1287" s="5" t="s">
        <v>238</v>
      </c>
      <c r="DO1287" s="5" t="s">
        <v>238</v>
      </c>
      <c r="DP1287" s="5" t="s">
        <v>238</v>
      </c>
      <c r="DQ1287" s="5" t="s">
        <v>238</v>
      </c>
      <c r="DT1287" s="5" t="s">
        <v>2039</v>
      </c>
      <c r="DU1287" s="5" t="s">
        <v>2750</v>
      </c>
      <c r="HM1287" s="5" t="s">
        <v>264</v>
      </c>
    </row>
    <row r="1288" spans="1:221" x14ac:dyDescent="0.4">
      <c r="A1288" s="5">
        <v>2963</v>
      </c>
      <c r="B1288" s="5">
        <v>1</v>
      </c>
      <c r="C1288" s="5">
        <v>1</v>
      </c>
      <c r="D1288" s="5" t="s">
        <v>2037</v>
      </c>
      <c r="E1288" s="5" t="s">
        <v>271</v>
      </c>
      <c r="F1288" s="5" t="s">
        <v>248</v>
      </c>
      <c r="G1288" s="5" t="s">
        <v>1969</v>
      </c>
      <c r="H1288" s="6" t="s">
        <v>2747</v>
      </c>
      <c r="I1288" s="7">
        <f>5141</f>
        <v>5141</v>
      </c>
      <c r="J1288" s="5" t="s">
        <v>262</v>
      </c>
      <c r="K1288" s="8">
        <f>1</f>
        <v>1</v>
      </c>
      <c r="L1288" s="6" t="s">
        <v>242</v>
      </c>
      <c r="M1288" s="5" t="s">
        <v>267</v>
      </c>
      <c r="N1288" s="5" t="s">
        <v>265</v>
      </c>
      <c r="O1288" s="5" t="s">
        <v>238</v>
      </c>
      <c r="P1288" s="5" t="s">
        <v>238</v>
      </c>
      <c r="Q1288" s="5" t="s">
        <v>268</v>
      </c>
      <c r="R1288" s="5" t="s">
        <v>270</v>
      </c>
      <c r="S1288" s="5" t="s">
        <v>238</v>
      </c>
      <c r="V1288" s="5" t="s">
        <v>238</v>
      </c>
      <c r="X1288" s="6" t="s">
        <v>238</v>
      </c>
      <c r="AA1288" s="6" t="s">
        <v>243</v>
      </c>
      <c r="AB1288" s="5" t="s">
        <v>238</v>
      </c>
      <c r="AC1288" s="5" t="s">
        <v>244</v>
      </c>
      <c r="AD1288" s="5" t="s">
        <v>245</v>
      </c>
      <c r="AT1288" s="5" t="s">
        <v>246</v>
      </c>
      <c r="AU1288" s="5" t="s">
        <v>238</v>
      </c>
      <c r="AV1288" s="5" t="s">
        <v>247</v>
      </c>
      <c r="AW1288" s="5" t="s">
        <v>238</v>
      </c>
      <c r="AX1288" s="5" t="s">
        <v>249</v>
      </c>
      <c r="AY1288" s="5" t="s">
        <v>238</v>
      </c>
      <c r="BA1288" s="5" t="s">
        <v>238</v>
      </c>
      <c r="BC1288" s="5" t="s">
        <v>250</v>
      </c>
      <c r="BD1288" s="6" t="s">
        <v>243</v>
      </c>
      <c r="BE1288" s="5" t="s">
        <v>251</v>
      </c>
      <c r="BF1288" s="5" t="s">
        <v>252</v>
      </c>
      <c r="BG1288" s="5" t="s">
        <v>238</v>
      </c>
      <c r="BH1288" s="7">
        <f>0</f>
        <v>0</v>
      </c>
      <c r="BI1288" s="8">
        <f>0</f>
        <v>0</v>
      </c>
      <c r="BJ1288" s="5" t="s">
        <v>253</v>
      </c>
      <c r="BK1288" s="5" t="s">
        <v>254</v>
      </c>
      <c r="BY1288" s="5" t="s">
        <v>238</v>
      </c>
      <c r="BZ1288" s="5" t="s">
        <v>238</v>
      </c>
      <c r="CD1288" s="5" t="s">
        <v>273</v>
      </c>
      <c r="CE1288" s="5" t="s">
        <v>256</v>
      </c>
      <c r="CF1288" s="5" t="s">
        <v>238</v>
      </c>
      <c r="CI1288" s="6" t="s">
        <v>257</v>
      </c>
      <c r="CJ1288" s="5" t="s">
        <v>238</v>
      </c>
      <c r="CK1288" s="5" t="s">
        <v>258</v>
      </c>
      <c r="CL1288" s="5" t="s">
        <v>238</v>
      </c>
      <c r="CM1288" s="5" t="s">
        <v>238</v>
      </c>
      <c r="CN1288" s="5">
        <v>0</v>
      </c>
      <c r="CO1288" s="5" t="s">
        <v>259</v>
      </c>
      <c r="CP1288" s="5" t="s">
        <v>260</v>
      </c>
      <c r="CQ1288" s="5" t="s">
        <v>260</v>
      </c>
      <c r="CR1288" s="5" t="s">
        <v>261</v>
      </c>
      <c r="CU1288" s="8">
        <f>1</f>
        <v>1</v>
      </c>
      <c r="CV1288" s="8">
        <f>0</f>
        <v>0</v>
      </c>
      <c r="CX1288" s="8">
        <f>0</f>
        <v>0</v>
      </c>
      <c r="CY1288" s="8">
        <f>1</f>
        <v>1</v>
      </c>
      <c r="DA1288" s="5" t="s">
        <v>673</v>
      </c>
      <c r="DB1288" s="5" t="s">
        <v>238</v>
      </c>
      <c r="DD1288" s="5" t="s">
        <v>673</v>
      </c>
      <c r="DE1288" s="8">
        <f>5141</f>
        <v>5141</v>
      </c>
      <c r="DG1288" s="5" t="s">
        <v>238</v>
      </c>
      <c r="DH1288" s="5" t="s">
        <v>238</v>
      </c>
      <c r="DI1288" s="5" t="s">
        <v>238</v>
      </c>
      <c r="DJ1288" s="5" t="s">
        <v>238</v>
      </c>
      <c r="DN1288" s="5" t="s">
        <v>238</v>
      </c>
      <c r="DO1288" s="5" t="s">
        <v>238</v>
      </c>
      <c r="DP1288" s="5" t="s">
        <v>238</v>
      </c>
      <c r="DQ1288" s="5" t="s">
        <v>238</v>
      </c>
      <c r="DT1288" s="5" t="s">
        <v>2039</v>
      </c>
      <c r="DU1288" s="5" t="s">
        <v>2748</v>
      </c>
      <c r="HM1288" s="5" t="s">
        <v>264</v>
      </c>
    </row>
    <row r="1289" spans="1:221" x14ac:dyDescent="0.4">
      <c r="A1289" s="5">
        <v>2964</v>
      </c>
      <c r="B1289" s="5">
        <v>1</v>
      </c>
      <c r="C1289" s="5">
        <v>1</v>
      </c>
      <c r="D1289" s="5" t="s">
        <v>2037</v>
      </c>
      <c r="E1289" s="5" t="s">
        <v>271</v>
      </c>
      <c r="F1289" s="5" t="s">
        <v>248</v>
      </c>
      <c r="G1289" s="5" t="s">
        <v>1969</v>
      </c>
      <c r="H1289" s="6" t="s">
        <v>2745</v>
      </c>
      <c r="I1289" s="7">
        <f>1209</f>
        <v>1209</v>
      </c>
      <c r="J1289" s="5" t="s">
        <v>262</v>
      </c>
      <c r="K1289" s="8">
        <f>1</f>
        <v>1</v>
      </c>
      <c r="L1289" s="6" t="s">
        <v>242</v>
      </c>
      <c r="M1289" s="5" t="s">
        <v>267</v>
      </c>
      <c r="N1289" s="5" t="s">
        <v>265</v>
      </c>
      <c r="O1289" s="5" t="s">
        <v>238</v>
      </c>
      <c r="P1289" s="5" t="s">
        <v>238</v>
      </c>
      <c r="Q1289" s="5" t="s">
        <v>268</v>
      </c>
      <c r="R1289" s="5" t="s">
        <v>270</v>
      </c>
      <c r="S1289" s="5" t="s">
        <v>238</v>
      </c>
      <c r="V1289" s="5" t="s">
        <v>238</v>
      </c>
      <c r="X1289" s="6" t="s">
        <v>238</v>
      </c>
      <c r="AA1289" s="6" t="s">
        <v>243</v>
      </c>
      <c r="AB1289" s="5" t="s">
        <v>238</v>
      </c>
      <c r="AC1289" s="5" t="s">
        <v>244</v>
      </c>
      <c r="AD1289" s="5" t="s">
        <v>245</v>
      </c>
      <c r="AT1289" s="5" t="s">
        <v>246</v>
      </c>
      <c r="AU1289" s="5" t="s">
        <v>238</v>
      </c>
      <c r="AV1289" s="5" t="s">
        <v>247</v>
      </c>
      <c r="AW1289" s="5" t="s">
        <v>238</v>
      </c>
      <c r="AX1289" s="5" t="s">
        <v>249</v>
      </c>
      <c r="AY1289" s="5" t="s">
        <v>238</v>
      </c>
      <c r="BA1289" s="5" t="s">
        <v>238</v>
      </c>
      <c r="BC1289" s="5" t="s">
        <v>250</v>
      </c>
      <c r="BD1289" s="6" t="s">
        <v>243</v>
      </c>
      <c r="BE1289" s="5" t="s">
        <v>251</v>
      </c>
      <c r="BF1289" s="5" t="s">
        <v>252</v>
      </c>
      <c r="BG1289" s="5" t="s">
        <v>238</v>
      </c>
      <c r="BH1289" s="7">
        <f>0</f>
        <v>0</v>
      </c>
      <c r="BI1289" s="8">
        <f>0</f>
        <v>0</v>
      </c>
      <c r="BJ1289" s="5" t="s">
        <v>253</v>
      </c>
      <c r="BK1289" s="5" t="s">
        <v>254</v>
      </c>
      <c r="BY1289" s="5" t="s">
        <v>238</v>
      </c>
      <c r="BZ1289" s="5" t="s">
        <v>238</v>
      </c>
      <c r="CD1289" s="5" t="s">
        <v>273</v>
      </c>
      <c r="CE1289" s="5" t="s">
        <v>256</v>
      </c>
      <c r="CF1289" s="5" t="s">
        <v>238</v>
      </c>
      <c r="CI1289" s="6" t="s">
        <v>257</v>
      </c>
      <c r="CJ1289" s="5" t="s">
        <v>238</v>
      </c>
      <c r="CK1289" s="5" t="s">
        <v>258</v>
      </c>
      <c r="CL1289" s="5" t="s">
        <v>238</v>
      </c>
      <c r="CM1289" s="5" t="s">
        <v>238</v>
      </c>
      <c r="CN1289" s="5">
        <v>0</v>
      </c>
      <c r="CO1289" s="5" t="s">
        <v>259</v>
      </c>
      <c r="CP1289" s="5" t="s">
        <v>260</v>
      </c>
      <c r="CQ1289" s="5" t="s">
        <v>260</v>
      </c>
      <c r="CR1289" s="5" t="s">
        <v>261</v>
      </c>
      <c r="CU1289" s="8">
        <f>1</f>
        <v>1</v>
      </c>
      <c r="CV1289" s="8">
        <f>0</f>
        <v>0</v>
      </c>
      <c r="CX1289" s="8">
        <f>0</f>
        <v>0</v>
      </c>
      <c r="CY1289" s="8">
        <f>1</f>
        <v>1</v>
      </c>
      <c r="DA1289" s="5" t="s">
        <v>673</v>
      </c>
      <c r="DB1289" s="5" t="s">
        <v>238</v>
      </c>
      <c r="DD1289" s="5" t="s">
        <v>673</v>
      </c>
      <c r="DE1289" s="8">
        <f>1209</f>
        <v>1209</v>
      </c>
      <c r="DG1289" s="5" t="s">
        <v>238</v>
      </c>
      <c r="DH1289" s="5" t="s">
        <v>238</v>
      </c>
      <c r="DI1289" s="5" t="s">
        <v>238</v>
      </c>
      <c r="DJ1289" s="5" t="s">
        <v>238</v>
      </c>
      <c r="DN1289" s="5" t="s">
        <v>238</v>
      </c>
      <c r="DO1289" s="5" t="s">
        <v>238</v>
      </c>
      <c r="DP1289" s="5" t="s">
        <v>238</v>
      </c>
      <c r="DQ1289" s="5" t="s">
        <v>238</v>
      </c>
      <c r="DT1289" s="5" t="s">
        <v>2039</v>
      </c>
      <c r="DU1289" s="5" t="s">
        <v>2746</v>
      </c>
      <c r="HM1289" s="5" t="s">
        <v>264</v>
      </c>
    </row>
    <row r="1290" spans="1:221" x14ac:dyDescent="0.4">
      <c r="A1290" s="5">
        <v>2965</v>
      </c>
      <c r="B1290" s="5">
        <v>1</v>
      </c>
      <c r="C1290" s="5">
        <v>1</v>
      </c>
      <c r="D1290" s="5" t="s">
        <v>2037</v>
      </c>
      <c r="E1290" s="5" t="s">
        <v>271</v>
      </c>
      <c r="F1290" s="5" t="s">
        <v>248</v>
      </c>
      <c r="G1290" s="5" t="s">
        <v>1969</v>
      </c>
      <c r="H1290" s="6" t="s">
        <v>2739</v>
      </c>
      <c r="I1290" s="7">
        <f>5894</f>
        <v>5894</v>
      </c>
      <c r="J1290" s="5" t="s">
        <v>262</v>
      </c>
      <c r="K1290" s="8">
        <f>1</f>
        <v>1</v>
      </c>
      <c r="L1290" s="6" t="s">
        <v>242</v>
      </c>
      <c r="M1290" s="5" t="s">
        <v>267</v>
      </c>
      <c r="N1290" s="5" t="s">
        <v>265</v>
      </c>
      <c r="O1290" s="5" t="s">
        <v>238</v>
      </c>
      <c r="P1290" s="5" t="s">
        <v>238</v>
      </c>
      <c r="Q1290" s="5" t="s">
        <v>268</v>
      </c>
      <c r="R1290" s="5" t="s">
        <v>270</v>
      </c>
      <c r="S1290" s="5" t="s">
        <v>238</v>
      </c>
      <c r="V1290" s="5" t="s">
        <v>238</v>
      </c>
      <c r="X1290" s="6" t="s">
        <v>238</v>
      </c>
      <c r="AA1290" s="6" t="s">
        <v>243</v>
      </c>
      <c r="AB1290" s="5" t="s">
        <v>238</v>
      </c>
      <c r="AC1290" s="5" t="s">
        <v>244</v>
      </c>
      <c r="AD1290" s="5" t="s">
        <v>245</v>
      </c>
      <c r="AT1290" s="5" t="s">
        <v>246</v>
      </c>
      <c r="AU1290" s="5" t="s">
        <v>238</v>
      </c>
      <c r="AV1290" s="5" t="s">
        <v>247</v>
      </c>
      <c r="AW1290" s="5" t="s">
        <v>238</v>
      </c>
      <c r="AX1290" s="5" t="s">
        <v>249</v>
      </c>
      <c r="AY1290" s="5" t="s">
        <v>238</v>
      </c>
      <c r="BA1290" s="5" t="s">
        <v>238</v>
      </c>
      <c r="BC1290" s="5" t="s">
        <v>250</v>
      </c>
      <c r="BD1290" s="6" t="s">
        <v>243</v>
      </c>
      <c r="BE1290" s="5" t="s">
        <v>251</v>
      </c>
      <c r="BF1290" s="5" t="s">
        <v>252</v>
      </c>
      <c r="BG1290" s="5" t="s">
        <v>238</v>
      </c>
      <c r="BH1290" s="7">
        <f>0</f>
        <v>0</v>
      </c>
      <c r="BI1290" s="8">
        <f>0</f>
        <v>0</v>
      </c>
      <c r="BJ1290" s="5" t="s">
        <v>253</v>
      </c>
      <c r="BK1290" s="5" t="s">
        <v>254</v>
      </c>
      <c r="BY1290" s="5" t="s">
        <v>238</v>
      </c>
      <c r="BZ1290" s="5" t="s">
        <v>238</v>
      </c>
      <c r="CD1290" s="5" t="s">
        <v>273</v>
      </c>
      <c r="CE1290" s="5" t="s">
        <v>256</v>
      </c>
      <c r="CF1290" s="5" t="s">
        <v>238</v>
      </c>
      <c r="CI1290" s="6" t="s">
        <v>257</v>
      </c>
      <c r="CJ1290" s="5" t="s">
        <v>238</v>
      </c>
      <c r="CK1290" s="5" t="s">
        <v>258</v>
      </c>
      <c r="CL1290" s="5" t="s">
        <v>238</v>
      </c>
      <c r="CM1290" s="5" t="s">
        <v>238</v>
      </c>
      <c r="CN1290" s="5">
        <v>0</v>
      </c>
      <c r="CO1290" s="5" t="s">
        <v>259</v>
      </c>
      <c r="CP1290" s="5" t="s">
        <v>260</v>
      </c>
      <c r="CQ1290" s="5" t="s">
        <v>260</v>
      </c>
      <c r="CR1290" s="5" t="s">
        <v>261</v>
      </c>
      <c r="CU1290" s="8">
        <f>1</f>
        <v>1</v>
      </c>
      <c r="CV1290" s="8">
        <f>0</f>
        <v>0</v>
      </c>
      <c r="CX1290" s="8">
        <f>0</f>
        <v>0</v>
      </c>
      <c r="CY1290" s="8">
        <f>1</f>
        <v>1</v>
      </c>
      <c r="DA1290" s="5" t="s">
        <v>673</v>
      </c>
      <c r="DB1290" s="5" t="s">
        <v>238</v>
      </c>
      <c r="DD1290" s="5" t="s">
        <v>673</v>
      </c>
      <c r="DE1290" s="8">
        <f>5894</f>
        <v>5894</v>
      </c>
      <c r="DG1290" s="5" t="s">
        <v>238</v>
      </c>
      <c r="DH1290" s="5" t="s">
        <v>238</v>
      </c>
      <c r="DI1290" s="5" t="s">
        <v>238</v>
      </c>
      <c r="DJ1290" s="5" t="s">
        <v>238</v>
      </c>
      <c r="DN1290" s="5" t="s">
        <v>238</v>
      </c>
      <c r="DO1290" s="5" t="s">
        <v>238</v>
      </c>
      <c r="DP1290" s="5" t="s">
        <v>238</v>
      </c>
      <c r="DQ1290" s="5" t="s">
        <v>238</v>
      </c>
      <c r="DT1290" s="5" t="s">
        <v>2039</v>
      </c>
      <c r="DU1290" s="5" t="s">
        <v>2740</v>
      </c>
      <c r="HM1290" s="5" t="s">
        <v>264</v>
      </c>
    </row>
    <row r="1291" spans="1:221" x14ac:dyDescent="0.4">
      <c r="A1291" s="5">
        <v>2966</v>
      </c>
      <c r="B1291" s="5">
        <v>1</v>
      </c>
      <c r="C1291" s="5">
        <v>1</v>
      </c>
      <c r="D1291" s="5" t="s">
        <v>2037</v>
      </c>
      <c r="E1291" s="5" t="s">
        <v>271</v>
      </c>
      <c r="F1291" s="5" t="s">
        <v>248</v>
      </c>
      <c r="G1291" s="5" t="s">
        <v>1969</v>
      </c>
      <c r="H1291" s="6" t="s">
        <v>2737</v>
      </c>
      <c r="I1291" s="7">
        <f>841</f>
        <v>841</v>
      </c>
      <c r="J1291" s="5" t="s">
        <v>262</v>
      </c>
      <c r="K1291" s="8">
        <f>1</f>
        <v>1</v>
      </c>
      <c r="L1291" s="6" t="s">
        <v>242</v>
      </c>
      <c r="M1291" s="5" t="s">
        <v>267</v>
      </c>
      <c r="N1291" s="5" t="s">
        <v>265</v>
      </c>
      <c r="O1291" s="5" t="s">
        <v>238</v>
      </c>
      <c r="P1291" s="5" t="s">
        <v>238</v>
      </c>
      <c r="Q1291" s="5" t="s">
        <v>268</v>
      </c>
      <c r="R1291" s="5" t="s">
        <v>270</v>
      </c>
      <c r="S1291" s="5" t="s">
        <v>238</v>
      </c>
      <c r="V1291" s="5" t="s">
        <v>238</v>
      </c>
      <c r="X1291" s="6" t="s">
        <v>238</v>
      </c>
      <c r="AA1291" s="6" t="s">
        <v>243</v>
      </c>
      <c r="AB1291" s="5" t="s">
        <v>238</v>
      </c>
      <c r="AC1291" s="5" t="s">
        <v>244</v>
      </c>
      <c r="AD1291" s="5" t="s">
        <v>245</v>
      </c>
      <c r="AT1291" s="5" t="s">
        <v>246</v>
      </c>
      <c r="AU1291" s="5" t="s">
        <v>238</v>
      </c>
      <c r="AV1291" s="5" t="s">
        <v>247</v>
      </c>
      <c r="AW1291" s="5" t="s">
        <v>238</v>
      </c>
      <c r="AX1291" s="5" t="s">
        <v>249</v>
      </c>
      <c r="AY1291" s="5" t="s">
        <v>238</v>
      </c>
      <c r="BA1291" s="5" t="s">
        <v>238</v>
      </c>
      <c r="BC1291" s="5" t="s">
        <v>250</v>
      </c>
      <c r="BD1291" s="6" t="s">
        <v>243</v>
      </c>
      <c r="BE1291" s="5" t="s">
        <v>251</v>
      </c>
      <c r="BF1291" s="5" t="s">
        <v>252</v>
      </c>
      <c r="BG1291" s="5" t="s">
        <v>238</v>
      </c>
      <c r="BH1291" s="7">
        <f>0</f>
        <v>0</v>
      </c>
      <c r="BI1291" s="8">
        <f>0</f>
        <v>0</v>
      </c>
      <c r="BJ1291" s="5" t="s">
        <v>253</v>
      </c>
      <c r="BK1291" s="5" t="s">
        <v>254</v>
      </c>
      <c r="BY1291" s="5" t="s">
        <v>238</v>
      </c>
      <c r="BZ1291" s="5" t="s">
        <v>238</v>
      </c>
      <c r="CD1291" s="5" t="s">
        <v>273</v>
      </c>
      <c r="CE1291" s="5" t="s">
        <v>256</v>
      </c>
      <c r="CF1291" s="5" t="s">
        <v>238</v>
      </c>
      <c r="CI1291" s="6" t="s">
        <v>257</v>
      </c>
      <c r="CJ1291" s="5" t="s">
        <v>238</v>
      </c>
      <c r="CK1291" s="5" t="s">
        <v>258</v>
      </c>
      <c r="CL1291" s="5" t="s">
        <v>238</v>
      </c>
      <c r="CM1291" s="5" t="s">
        <v>238</v>
      </c>
      <c r="CN1291" s="5">
        <v>0</v>
      </c>
      <c r="CO1291" s="5" t="s">
        <v>259</v>
      </c>
      <c r="CP1291" s="5" t="s">
        <v>260</v>
      </c>
      <c r="CQ1291" s="5" t="s">
        <v>260</v>
      </c>
      <c r="CR1291" s="5" t="s">
        <v>261</v>
      </c>
      <c r="CU1291" s="8">
        <f>1</f>
        <v>1</v>
      </c>
      <c r="CV1291" s="8">
        <f>0</f>
        <v>0</v>
      </c>
      <c r="CX1291" s="8">
        <f>0</f>
        <v>0</v>
      </c>
      <c r="CY1291" s="8">
        <f>1</f>
        <v>1</v>
      </c>
      <c r="DA1291" s="5" t="s">
        <v>673</v>
      </c>
      <c r="DB1291" s="5" t="s">
        <v>238</v>
      </c>
      <c r="DD1291" s="5" t="s">
        <v>673</v>
      </c>
      <c r="DE1291" s="8">
        <f>841</f>
        <v>841</v>
      </c>
      <c r="DG1291" s="5" t="s">
        <v>238</v>
      </c>
      <c r="DH1291" s="5" t="s">
        <v>238</v>
      </c>
      <c r="DI1291" s="5" t="s">
        <v>238</v>
      </c>
      <c r="DJ1291" s="5" t="s">
        <v>238</v>
      </c>
      <c r="DN1291" s="5" t="s">
        <v>238</v>
      </c>
      <c r="DO1291" s="5" t="s">
        <v>238</v>
      </c>
      <c r="DP1291" s="5" t="s">
        <v>238</v>
      </c>
      <c r="DQ1291" s="5" t="s">
        <v>238</v>
      </c>
      <c r="DT1291" s="5" t="s">
        <v>2039</v>
      </c>
      <c r="DU1291" s="5" t="s">
        <v>2738</v>
      </c>
      <c r="HM1291" s="5" t="s">
        <v>264</v>
      </c>
    </row>
    <row r="1292" spans="1:221" x14ac:dyDescent="0.4">
      <c r="A1292" s="5">
        <v>2967</v>
      </c>
      <c r="B1292" s="5">
        <v>1</v>
      </c>
      <c r="C1292" s="5">
        <v>1</v>
      </c>
      <c r="D1292" s="5" t="s">
        <v>2037</v>
      </c>
      <c r="E1292" s="5" t="s">
        <v>271</v>
      </c>
      <c r="F1292" s="5" t="s">
        <v>248</v>
      </c>
      <c r="G1292" s="5" t="s">
        <v>1969</v>
      </c>
      <c r="H1292" s="6" t="s">
        <v>2735</v>
      </c>
      <c r="I1292" s="7">
        <f>760</f>
        <v>760</v>
      </c>
      <c r="J1292" s="5" t="s">
        <v>262</v>
      </c>
      <c r="K1292" s="8">
        <f>1</f>
        <v>1</v>
      </c>
      <c r="L1292" s="6" t="s">
        <v>242</v>
      </c>
      <c r="M1292" s="5" t="s">
        <v>267</v>
      </c>
      <c r="N1292" s="5" t="s">
        <v>265</v>
      </c>
      <c r="O1292" s="5" t="s">
        <v>238</v>
      </c>
      <c r="P1292" s="5" t="s">
        <v>238</v>
      </c>
      <c r="Q1292" s="5" t="s">
        <v>268</v>
      </c>
      <c r="R1292" s="5" t="s">
        <v>270</v>
      </c>
      <c r="S1292" s="5" t="s">
        <v>238</v>
      </c>
      <c r="V1292" s="5" t="s">
        <v>238</v>
      </c>
      <c r="X1292" s="6" t="s">
        <v>238</v>
      </c>
      <c r="AA1292" s="6" t="s">
        <v>243</v>
      </c>
      <c r="AB1292" s="5" t="s">
        <v>238</v>
      </c>
      <c r="AC1292" s="5" t="s">
        <v>244</v>
      </c>
      <c r="AD1292" s="5" t="s">
        <v>245</v>
      </c>
      <c r="AT1292" s="5" t="s">
        <v>246</v>
      </c>
      <c r="AU1292" s="5" t="s">
        <v>238</v>
      </c>
      <c r="AV1292" s="5" t="s">
        <v>247</v>
      </c>
      <c r="AW1292" s="5" t="s">
        <v>238</v>
      </c>
      <c r="AX1292" s="5" t="s">
        <v>249</v>
      </c>
      <c r="AY1292" s="5" t="s">
        <v>238</v>
      </c>
      <c r="BA1292" s="5" t="s">
        <v>238</v>
      </c>
      <c r="BC1292" s="5" t="s">
        <v>250</v>
      </c>
      <c r="BD1292" s="6" t="s">
        <v>243</v>
      </c>
      <c r="BE1292" s="5" t="s">
        <v>251</v>
      </c>
      <c r="BF1292" s="5" t="s">
        <v>252</v>
      </c>
      <c r="BG1292" s="5" t="s">
        <v>238</v>
      </c>
      <c r="BH1292" s="7">
        <f>0</f>
        <v>0</v>
      </c>
      <c r="BI1292" s="8">
        <f>0</f>
        <v>0</v>
      </c>
      <c r="BJ1292" s="5" t="s">
        <v>253</v>
      </c>
      <c r="BK1292" s="5" t="s">
        <v>254</v>
      </c>
      <c r="BY1292" s="5" t="s">
        <v>238</v>
      </c>
      <c r="BZ1292" s="5" t="s">
        <v>238</v>
      </c>
      <c r="CD1292" s="5" t="s">
        <v>273</v>
      </c>
      <c r="CE1292" s="5" t="s">
        <v>256</v>
      </c>
      <c r="CF1292" s="5" t="s">
        <v>238</v>
      </c>
      <c r="CI1292" s="6" t="s">
        <v>257</v>
      </c>
      <c r="CJ1292" s="5" t="s">
        <v>238</v>
      </c>
      <c r="CK1292" s="5" t="s">
        <v>258</v>
      </c>
      <c r="CL1292" s="5" t="s">
        <v>238</v>
      </c>
      <c r="CM1292" s="5" t="s">
        <v>238</v>
      </c>
      <c r="CN1292" s="5">
        <v>0</v>
      </c>
      <c r="CO1292" s="5" t="s">
        <v>259</v>
      </c>
      <c r="CP1292" s="5" t="s">
        <v>260</v>
      </c>
      <c r="CQ1292" s="5" t="s">
        <v>260</v>
      </c>
      <c r="CR1292" s="5" t="s">
        <v>261</v>
      </c>
      <c r="CU1292" s="8">
        <f>1</f>
        <v>1</v>
      </c>
      <c r="CV1292" s="8">
        <f>0</f>
        <v>0</v>
      </c>
      <c r="CX1292" s="8">
        <f>0</f>
        <v>0</v>
      </c>
      <c r="CY1292" s="8">
        <f>1</f>
        <v>1</v>
      </c>
      <c r="DA1292" s="5" t="s">
        <v>673</v>
      </c>
      <c r="DB1292" s="5" t="s">
        <v>238</v>
      </c>
      <c r="DD1292" s="5" t="s">
        <v>673</v>
      </c>
      <c r="DE1292" s="8">
        <f>760</f>
        <v>760</v>
      </c>
      <c r="DG1292" s="5" t="s">
        <v>238</v>
      </c>
      <c r="DH1292" s="5" t="s">
        <v>238</v>
      </c>
      <c r="DI1292" s="5" t="s">
        <v>238</v>
      </c>
      <c r="DJ1292" s="5" t="s">
        <v>238</v>
      </c>
      <c r="DN1292" s="5" t="s">
        <v>238</v>
      </c>
      <c r="DO1292" s="5" t="s">
        <v>238</v>
      </c>
      <c r="DP1292" s="5" t="s">
        <v>238</v>
      </c>
      <c r="DQ1292" s="5" t="s">
        <v>238</v>
      </c>
      <c r="DT1292" s="5" t="s">
        <v>2039</v>
      </c>
      <c r="DU1292" s="5" t="s">
        <v>2736</v>
      </c>
      <c r="HM1292" s="5" t="s">
        <v>264</v>
      </c>
    </row>
    <row r="1293" spans="1:221" x14ac:dyDescent="0.4">
      <c r="A1293" s="5">
        <v>2968</v>
      </c>
      <c r="B1293" s="5">
        <v>1</v>
      </c>
      <c r="C1293" s="5">
        <v>1</v>
      </c>
      <c r="D1293" s="5" t="s">
        <v>2037</v>
      </c>
      <c r="E1293" s="5" t="s">
        <v>271</v>
      </c>
      <c r="F1293" s="5" t="s">
        <v>248</v>
      </c>
      <c r="G1293" s="5" t="s">
        <v>1969</v>
      </c>
      <c r="H1293" s="6" t="s">
        <v>2733</v>
      </c>
      <c r="I1293" s="7">
        <f>1023</f>
        <v>1023</v>
      </c>
      <c r="J1293" s="5" t="s">
        <v>262</v>
      </c>
      <c r="K1293" s="8">
        <f>1</f>
        <v>1</v>
      </c>
      <c r="L1293" s="6" t="s">
        <v>242</v>
      </c>
      <c r="M1293" s="5" t="s">
        <v>267</v>
      </c>
      <c r="N1293" s="5" t="s">
        <v>265</v>
      </c>
      <c r="O1293" s="5" t="s">
        <v>238</v>
      </c>
      <c r="P1293" s="5" t="s">
        <v>238</v>
      </c>
      <c r="Q1293" s="5" t="s">
        <v>268</v>
      </c>
      <c r="R1293" s="5" t="s">
        <v>270</v>
      </c>
      <c r="S1293" s="5" t="s">
        <v>238</v>
      </c>
      <c r="V1293" s="5" t="s">
        <v>238</v>
      </c>
      <c r="X1293" s="6" t="s">
        <v>238</v>
      </c>
      <c r="AA1293" s="6" t="s">
        <v>243</v>
      </c>
      <c r="AB1293" s="5" t="s">
        <v>238</v>
      </c>
      <c r="AC1293" s="5" t="s">
        <v>244</v>
      </c>
      <c r="AD1293" s="5" t="s">
        <v>245</v>
      </c>
      <c r="AT1293" s="5" t="s">
        <v>246</v>
      </c>
      <c r="AU1293" s="5" t="s">
        <v>238</v>
      </c>
      <c r="AV1293" s="5" t="s">
        <v>247</v>
      </c>
      <c r="AW1293" s="5" t="s">
        <v>238</v>
      </c>
      <c r="AX1293" s="5" t="s">
        <v>249</v>
      </c>
      <c r="AY1293" s="5" t="s">
        <v>238</v>
      </c>
      <c r="BA1293" s="5" t="s">
        <v>238</v>
      </c>
      <c r="BC1293" s="5" t="s">
        <v>250</v>
      </c>
      <c r="BD1293" s="6" t="s">
        <v>243</v>
      </c>
      <c r="BE1293" s="5" t="s">
        <v>251</v>
      </c>
      <c r="BF1293" s="5" t="s">
        <v>252</v>
      </c>
      <c r="BG1293" s="5" t="s">
        <v>238</v>
      </c>
      <c r="BH1293" s="7">
        <f>0</f>
        <v>0</v>
      </c>
      <c r="BI1293" s="8">
        <f>0</f>
        <v>0</v>
      </c>
      <c r="BJ1293" s="5" t="s">
        <v>253</v>
      </c>
      <c r="BK1293" s="5" t="s">
        <v>254</v>
      </c>
      <c r="BY1293" s="5" t="s">
        <v>238</v>
      </c>
      <c r="BZ1293" s="5" t="s">
        <v>238</v>
      </c>
      <c r="CD1293" s="5" t="s">
        <v>273</v>
      </c>
      <c r="CE1293" s="5" t="s">
        <v>256</v>
      </c>
      <c r="CF1293" s="5" t="s">
        <v>238</v>
      </c>
      <c r="CI1293" s="6" t="s">
        <v>257</v>
      </c>
      <c r="CJ1293" s="5" t="s">
        <v>238</v>
      </c>
      <c r="CK1293" s="5" t="s">
        <v>258</v>
      </c>
      <c r="CL1293" s="5" t="s">
        <v>238</v>
      </c>
      <c r="CM1293" s="5" t="s">
        <v>238</v>
      </c>
      <c r="CN1293" s="5">
        <v>0</v>
      </c>
      <c r="CO1293" s="5" t="s">
        <v>259</v>
      </c>
      <c r="CP1293" s="5" t="s">
        <v>260</v>
      </c>
      <c r="CQ1293" s="5" t="s">
        <v>260</v>
      </c>
      <c r="CR1293" s="5" t="s">
        <v>261</v>
      </c>
      <c r="CU1293" s="8">
        <f>1</f>
        <v>1</v>
      </c>
      <c r="CV1293" s="8">
        <f>0</f>
        <v>0</v>
      </c>
      <c r="CX1293" s="8">
        <f>0</f>
        <v>0</v>
      </c>
      <c r="CY1293" s="8">
        <f>1</f>
        <v>1</v>
      </c>
      <c r="DA1293" s="5" t="s">
        <v>673</v>
      </c>
      <c r="DB1293" s="5" t="s">
        <v>238</v>
      </c>
      <c r="DD1293" s="5" t="s">
        <v>673</v>
      </c>
      <c r="DE1293" s="8">
        <f>1023</f>
        <v>1023</v>
      </c>
      <c r="DG1293" s="5" t="s">
        <v>238</v>
      </c>
      <c r="DH1293" s="5" t="s">
        <v>238</v>
      </c>
      <c r="DI1293" s="5" t="s">
        <v>238</v>
      </c>
      <c r="DJ1293" s="5" t="s">
        <v>238</v>
      </c>
      <c r="DN1293" s="5" t="s">
        <v>238</v>
      </c>
      <c r="DO1293" s="5" t="s">
        <v>238</v>
      </c>
      <c r="DP1293" s="5" t="s">
        <v>238</v>
      </c>
      <c r="DQ1293" s="5" t="s">
        <v>238</v>
      </c>
      <c r="DT1293" s="5" t="s">
        <v>2039</v>
      </c>
      <c r="DU1293" s="5" t="s">
        <v>2734</v>
      </c>
      <c r="HM1293" s="5" t="s">
        <v>264</v>
      </c>
    </row>
    <row r="1294" spans="1:221" x14ac:dyDescent="0.4">
      <c r="A1294" s="5">
        <v>2969</v>
      </c>
      <c r="B1294" s="5">
        <v>1</v>
      </c>
      <c r="C1294" s="5">
        <v>1</v>
      </c>
      <c r="D1294" s="5" t="s">
        <v>2037</v>
      </c>
      <c r="E1294" s="5" t="s">
        <v>271</v>
      </c>
      <c r="F1294" s="5" t="s">
        <v>248</v>
      </c>
      <c r="G1294" s="5" t="s">
        <v>1969</v>
      </c>
      <c r="H1294" s="6" t="s">
        <v>2731</v>
      </c>
      <c r="I1294" s="7">
        <f>1059</f>
        <v>1059</v>
      </c>
      <c r="J1294" s="5" t="s">
        <v>262</v>
      </c>
      <c r="K1294" s="8">
        <f>1</f>
        <v>1</v>
      </c>
      <c r="L1294" s="6" t="s">
        <v>242</v>
      </c>
      <c r="M1294" s="5" t="s">
        <v>267</v>
      </c>
      <c r="N1294" s="5" t="s">
        <v>265</v>
      </c>
      <c r="O1294" s="5" t="s">
        <v>238</v>
      </c>
      <c r="P1294" s="5" t="s">
        <v>238</v>
      </c>
      <c r="Q1294" s="5" t="s">
        <v>268</v>
      </c>
      <c r="R1294" s="5" t="s">
        <v>270</v>
      </c>
      <c r="S1294" s="5" t="s">
        <v>238</v>
      </c>
      <c r="V1294" s="5" t="s">
        <v>238</v>
      </c>
      <c r="X1294" s="6" t="s">
        <v>238</v>
      </c>
      <c r="AA1294" s="6" t="s">
        <v>243</v>
      </c>
      <c r="AB1294" s="5" t="s">
        <v>238</v>
      </c>
      <c r="AC1294" s="5" t="s">
        <v>244</v>
      </c>
      <c r="AD1294" s="5" t="s">
        <v>245</v>
      </c>
      <c r="AT1294" s="5" t="s">
        <v>246</v>
      </c>
      <c r="AU1294" s="5" t="s">
        <v>238</v>
      </c>
      <c r="AV1294" s="5" t="s">
        <v>247</v>
      </c>
      <c r="AW1294" s="5" t="s">
        <v>238</v>
      </c>
      <c r="AX1294" s="5" t="s">
        <v>249</v>
      </c>
      <c r="AY1294" s="5" t="s">
        <v>238</v>
      </c>
      <c r="BA1294" s="5" t="s">
        <v>238</v>
      </c>
      <c r="BC1294" s="5" t="s">
        <v>250</v>
      </c>
      <c r="BD1294" s="6" t="s">
        <v>243</v>
      </c>
      <c r="BE1294" s="5" t="s">
        <v>251</v>
      </c>
      <c r="BF1294" s="5" t="s">
        <v>252</v>
      </c>
      <c r="BG1294" s="5" t="s">
        <v>238</v>
      </c>
      <c r="BH1294" s="7">
        <f>0</f>
        <v>0</v>
      </c>
      <c r="BI1294" s="8">
        <f>0</f>
        <v>0</v>
      </c>
      <c r="BJ1294" s="5" t="s">
        <v>253</v>
      </c>
      <c r="BK1294" s="5" t="s">
        <v>254</v>
      </c>
      <c r="BY1294" s="5" t="s">
        <v>238</v>
      </c>
      <c r="BZ1294" s="5" t="s">
        <v>238</v>
      </c>
      <c r="CD1294" s="5" t="s">
        <v>273</v>
      </c>
      <c r="CE1294" s="5" t="s">
        <v>256</v>
      </c>
      <c r="CF1294" s="5" t="s">
        <v>238</v>
      </c>
      <c r="CI1294" s="6" t="s">
        <v>257</v>
      </c>
      <c r="CJ1294" s="5" t="s">
        <v>238</v>
      </c>
      <c r="CK1294" s="5" t="s">
        <v>258</v>
      </c>
      <c r="CL1294" s="5" t="s">
        <v>238</v>
      </c>
      <c r="CM1294" s="5" t="s">
        <v>238</v>
      </c>
      <c r="CN1294" s="5">
        <v>0</v>
      </c>
      <c r="CO1294" s="5" t="s">
        <v>259</v>
      </c>
      <c r="CP1294" s="5" t="s">
        <v>260</v>
      </c>
      <c r="CQ1294" s="5" t="s">
        <v>260</v>
      </c>
      <c r="CR1294" s="5" t="s">
        <v>261</v>
      </c>
      <c r="CU1294" s="8">
        <f>1</f>
        <v>1</v>
      </c>
      <c r="CV1294" s="8">
        <f>0</f>
        <v>0</v>
      </c>
      <c r="CX1294" s="8">
        <f>0</f>
        <v>0</v>
      </c>
      <c r="CY1294" s="8">
        <f>1</f>
        <v>1</v>
      </c>
      <c r="DA1294" s="5" t="s">
        <v>673</v>
      </c>
      <c r="DB1294" s="5" t="s">
        <v>238</v>
      </c>
      <c r="DD1294" s="5" t="s">
        <v>673</v>
      </c>
      <c r="DE1294" s="8">
        <f>1059</f>
        <v>1059</v>
      </c>
      <c r="DG1294" s="5" t="s">
        <v>238</v>
      </c>
      <c r="DH1294" s="5" t="s">
        <v>238</v>
      </c>
      <c r="DI1294" s="5" t="s">
        <v>238</v>
      </c>
      <c r="DJ1294" s="5" t="s">
        <v>238</v>
      </c>
      <c r="DN1294" s="5" t="s">
        <v>238</v>
      </c>
      <c r="DO1294" s="5" t="s">
        <v>238</v>
      </c>
      <c r="DP1294" s="5" t="s">
        <v>238</v>
      </c>
      <c r="DQ1294" s="5" t="s">
        <v>238</v>
      </c>
      <c r="DT1294" s="5" t="s">
        <v>2039</v>
      </c>
      <c r="DU1294" s="5" t="s">
        <v>2732</v>
      </c>
      <c r="HM1294" s="5" t="s">
        <v>264</v>
      </c>
    </row>
    <row r="1295" spans="1:221" x14ac:dyDescent="0.4">
      <c r="A1295" s="5">
        <v>2970</v>
      </c>
      <c r="B1295" s="5">
        <v>1</v>
      </c>
      <c r="C1295" s="5">
        <v>1</v>
      </c>
      <c r="D1295" s="5" t="s">
        <v>2037</v>
      </c>
      <c r="E1295" s="5" t="s">
        <v>271</v>
      </c>
      <c r="F1295" s="5" t="s">
        <v>248</v>
      </c>
      <c r="G1295" s="5" t="s">
        <v>1969</v>
      </c>
      <c r="H1295" s="6" t="s">
        <v>2729</v>
      </c>
      <c r="I1295" s="7">
        <f>633</f>
        <v>633</v>
      </c>
      <c r="J1295" s="5" t="s">
        <v>262</v>
      </c>
      <c r="K1295" s="8">
        <f>1</f>
        <v>1</v>
      </c>
      <c r="L1295" s="6" t="s">
        <v>242</v>
      </c>
      <c r="M1295" s="5" t="s">
        <v>267</v>
      </c>
      <c r="N1295" s="5" t="s">
        <v>265</v>
      </c>
      <c r="O1295" s="5" t="s">
        <v>238</v>
      </c>
      <c r="P1295" s="5" t="s">
        <v>238</v>
      </c>
      <c r="Q1295" s="5" t="s">
        <v>268</v>
      </c>
      <c r="R1295" s="5" t="s">
        <v>270</v>
      </c>
      <c r="S1295" s="5" t="s">
        <v>238</v>
      </c>
      <c r="V1295" s="5" t="s">
        <v>238</v>
      </c>
      <c r="X1295" s="6" t="s">
        <v>238</v>
      </c>
      <c r="AA1295" s="6" t="s">
        <v>243</v>
      </c>
      <c r="AB1295" s="5" t="s">
        <v>238</v>
      </c>
      <c r="AC1295" s="5" t="s">
        <v>244</v>
      </c>
      <c r="AD1295" s="5" t="s">
        <v>245</v>
      </c>
      <c r="AT1295" s="5" t="s">
        <v>246</v>
      </c>
      <c r="AU1295" s="5" t="s">
        <v>238</v>
      </c>
      <c r="AV1295" s="5" t="s">
        <v>247</v>
      </c>
      <c r="AW1295" s="5" t="s">
        <v>238</v>
      </c>
      <c r="AX1295" s="5" t="s">
        <v>249</v>
      </c>
      <c r="AY1295" s="5" t="s">
        <v>238</v>
      </c>
      <c r="BA1295" s="5" t="s">
        <v>238</v>
      </c>
      <c r="BC1295" s="5" t="s">
        <v>250</v>
      </c>
      <c r="BD1295" s="6" t="s">
        <v>243</v>
      </c>
      <c r="BE1295" s="5" t="s">
        <v>251</v>
      </c>
      <c r="BF1295" s="5" t="s">
        <v>252</v>
      </c>
      <c r="BG1295" s="5" t="s">
        <v>238</v>
      </c>
      <c r="BH1295" s="7">
        <f>0</f>
        <v>0</v>
      </c>
      <c r="BI1295" s="8">
        <f>0</f>
        <v>0</v>
      </c>
      <c r="BJ1295" s="5" t="s">
        <v>253</v>
      </c>
      <c r="BK1295" s="5" t="s">
        <v>254</v>
      </c>
      <c r="BY1295" s="5" t="s">
        <v>238</v>
      </c>
      <c r="BZ1295" s="5" t="s">
        <v>238</v>
      </c>
      <c r="CD1295" s="5" t="s">
        <v>273</v>
      </c>
      <c r="CE1295" s="5" t="s">
        <v>256</v>
      </c>
      <c r="CF1295" s="5" t="s">
        <v>238</v>
      </c>
      <c r="CI1295" s="6" t="s">
        <v>257</v>
      </c>
      <c r="CJ1295" s="5" t="s">
        <v>238</v>
      </c>
      <c r="CK1295" s="5" t="s">
        <v>258</v>
      </c>
      <c r="CL1295" s="5" t="s">
        <v>238</v>
      </c>
      <c r="CM1295" s="5" t="s">
        <v>238</v>
      </c>
      <c r="CN1295" s="5">
        <v>0</v>
      </c>
      <c r="CO1295" s="5" t="s">
        <v>259</v>
      </c>
      <c r="CP1295" s="5" t="s">
        <v>260</v>
      </c>
      <c r="CQ1295" s="5" t="s">
        <v>260</v>
      </c>
      <c r="CR1295" s="5" t="s">
        <v>261</v>
      </c>
      <c r="CU1295" s="8">
        <f>1</f>
        <v>1</v>
      </c>
      <c r="CV1295" s="8">
        <f>0</f>
        <v>0</v>
      </c>
      <c r="CX1295" s="8">
        <f>0</f>
        <v>0</v>
      </c>
      <c r="CY1295" s="8">
        <f>1</f>
        <v>1</v>
      </c>
      <c r="DA1295" s="5" t="s">
        <v>673</v>
      </c>
      <c r="DB1295" s="5" t="s">
        <v>238</v>
      </c>
      <c r="DD1295" s="5" t="s">
        <v>673</v>
      </c>
      <c r="DE1295" s="8">
        <f>633</f>
        <v>633</v>
      </c>
      <c r="DG1295" s="5" t="s">
        <v>238</v>
      </c>
      <c r="DH1295" s="5" t="s">
        <v>238</v>
      </c>
      <c r="DI1295" s="5" t="s">
        <v>238</v>
      </c>
      <c r="DJ1295" s="5" t="s">
        <v>238</v>
      </c>
      <c r="DN1295" s="5" t="s">
        <v>238</v>
      </c>
      <c r="DO1295" s="5" t="s">
        <v>238</v>
      </c>
      <c r="DP1295" s="5" t="s">
        <v>238</v>
      </c>
      <c r="DQ1295" s="5" t="s">
        <v>238</v>
      </c>
      <c r="DT1295" s="5" t="s">
        <v>2039</v>
      </c>
      <c r="DU1295" s="5" t="s">
        <v>2730</v>
      </c>
      <c r="HM1295" s="5" t="s">
        <v>264</v>
      </c>
    </row>
    <row r="1296" spans="1:221" x14ac:dyDescent="0.4">
      <c r="A1296" s="5">
        <v>2971</v>
      </c>
      <c r="B1296" s="5">
        <v>1</v>
      </c>
      <c r="C1296" s="5">
        <v>1</v>
      </c>
      <c r="D1296" s="5" t="s">
        <v>2037</v>
      </c>
      <c r="E1296" s="5" t="s">
        <v>271</v>
      </c>
      <c r="F1296" s="5" t="s">
        <v>248</v>
      </c>
      <c r="G1296" s="5" t="s">
        <v>1969</v>
      </c>
      <c r="H1296" s="6" t="s">
        <v>2727</v>
      </c>
      <c r="I1296" s="7">
        <f>337</f>
        <v>337</v>
      </c>
      <c r="J1296" s="5" t="s">
        <v>262</v>
      </c>
      <c r="K1296" s="8">
        <f>1</f>
        <v>1</v>
      </c>
      <c r="L1296" s="6" t="s">
        <v>242</v>
      </c>
      <c r="M1296" s="5" t="s">
        <v>267</v>
      </c>
      <c r="N1296" s="5" t="s">
        <v>265</v>
      </c>
      <c r="O1296" s="5" t="s">
        <v>238</v>
      </c>
      <c r="P1296" s="5" t="s">
        <v>238</v>
      </c>
      <c r="Q1296" s="5" t="s">
        <v>268</v>
      </c>
      <c r="R1296" s="5" t="s">
        <v>270</v>
      </c>
      <c r="S1296" s="5" t="s">
        <v>238</v>
      </c>
      <c r="V1296" s="5" t="s">
        <v>238</v>
      </c>
      <c r="X1296" s="6" t="s">
        <v>238</v>
      </c>
      <c r="AA1296" s="6" t="s">
        <v>243</v>
      </c>
      <c r="AB1296" s="5" t="s">
        <v>238</v>
      </c>
      <c r="AC1296" s="5" t="s">
        <v>244</v>
      </c>
      <c r="AD1296" s="5" t="s">
        <v>245</v>
      </c>
      <c r="AT1296" s="5" t="s">
        <v>246</v>
      </c>
      <c r="AU1296" s="5" t="s">
        <v>238</v>
      </c>
      <c r="AV1296" s="5" t="s">
        <v>247</v>
      </c>
      <c r="AW1296" s="5" t="s">
        <v>238</v>
      </c>
      <c r="AX1296" s="5" t="s">
        <v>249</v>
      </c>
      <c r="AY1296" s="5" t="s">
        <v>238</v>
      </c>
      <c r="BA1296" s="5" t="s">
        <v>238</v>
      </c>
      <c r="BC1296" s="5" t="s">
        <v>250</v>
      </c>
      <c r="BD1296" s="6" t="s">
        <v>243</v>
      </c>
      <c r="BE1296" s="5" t="s">
        <v>251</v>
      </c>
      <c r="BF1296" s="5" t="s">
        <v>252</v>
      </c>
      <c r="BG1296" s="5" t="s">
        <v>238</v>
      </c>
      <c r="BH1296" s="7">
        <f>0</f>
        <v>0</v>
      </c>
      <c r="BI1296" s="8">
        <f>0</f>
        <v>0</v>
      </c>
      <c r="BJ1296" s="5" t="s">
        <v>253</v>
      </c>
      <c r="BK1296" s="5" t="s">
        <v>254</v>
      </c>
      <c r="BY1296" s="5" t="s">
        <v>238</v>
      </c>
      <c r="BZ1296" s="5" t="s">
        <v>238</v>
      </c>
      <c r="CD1296" s="5" t="s">
        <v>273</v>
      </c>
      <c r="CE1296" s="5" t="s">
        <v>256</v>
      </c>
      <c r="CF1296" s="5" t="s">
        <v>238</v>
      </c>
      <c r="CI1296" s="6" t="s">
        <v>257</v>
      </c>
      <c r="CJ1296" s="5" t="s">
        <v>238</v>
      </c>
      <c r="CK1296" s="5" t="s">
        <v>258</v>
      </c>
      <c r="CL1296" s="5" t="s">
        <v>238</v>
      </c>
      <c r="CM1296" s="5" t="s">
        <v>238</v>
      </c>
      <c r="CN1296" s="5">
        <v>0</v>
      </c>
      <c r="CO1296" s="5" t="s">
        <v>259</v>
      </c>
      <c r="CP1296" s="5" t="s">
        <v>260</v>
      </c>
      <c r="CQ1296" s="5" t="s">
        <v>260</v>
      </c>
      <c r="CR1296" s="5" t="s">
        <v>261</v>
      </c>
      <c r="CU1296" s="8">
        <f>1</f>
        <v>1</v>
      </c>
      <c r="CV1296" s="8">
        <f>0</f>
        <v>0</v>
      </c>
      <c r="CX1296" s="8">
        <f>0</f>
        <v>0</v>
      </c>
      <c r="CY1296" s="8">
        <f>1</f>
        <v>1</v>
      </c>
      <c r="DA1296" s="5" t="s">
        <v>673</v>
      </c>
      <c r="DB1296" s="5" t="s">
        <v>238</v>
      </c>
      <c r="DD1296" s="5" t="s">
        <v>673</v>
      </c>
      <c r="DE1296" s="8">
        <f>337</f>
        <v>337</v>
      </c>
      <c r="DG1296" s="5" t="s">
        <v>238</v>
      </c>
      <c r="DH1296" s="5" t="s">
        <v>238</v>
      </c>
      <c r="DI1296" s="5" t="s">
        <v>238</v>
      </c>
      <c r="DJ1296" s="5" t="s">
        <v>238</v>
      </c>
      <c r="DN1296" s="5" t="s">
        <v>238</v>
      </c>
      <c r="DO1296" s="5" t="s">
        <v>238</v>
      </c>
      <c r="DP1296" s="5" t="s">
        <v>238</v>
      </c>
      <c r="DQ1296" s="5" t="s">
        <v>238</v>
      </c>
      <c r="DT1296" s="5" t="s">
        <v>2039</v>
      </c>
      <c r="DU1296" s="5" t="s">
        <v>2728</v>
      </c>
      <c r="HM1296" s="5" t="s">
        <v>264</v>
      </c>
    </row>
    <row r="1297" spans="1:221" x14ac:dyDescent="0.4">
      <c r="A1297" s="5">
        <v>2972</v>
      </c>
      <c r="B1297" s="5">
        <v>1</v>
      </c>
      <c r="C1297" s="5">
        <v>1</v>
      </c>
      <c r="D1297" s="5" t="s">
        <v>2037</v>
      </c>
      <c r="E1297" s="5" t="s">
        <v>271</v>
      </c>
      <c r="F1297" s="5" t="s">
        <v>248</v>
      </c>
      <c r="G1297" s="5" t="s">
        <v>1969</v>
      </c>
      <c r="H1297" s="6" t="s">
        <v>2725</v>
      </c>
      <c r="I1297" s="7">
        <f>9994</f>
        <v>9994</v>
      </c>
      <c r="J1297" s="5" t="s">
        <v>262</v>
      </c>
      <c r="K1297" s="8">
        <f>1</f>
        <v>1</v>
      </c>
      <c r="L1297" s="6" t="s">
        <v>242</v>
      </c>
      <c r="M1297" s="5" t="s">
        <v>267</v>
      </c>
      <c r="N1297" s="5" t="s">
        <v>265</v>
      </c>
      <c r="O1297" s="5" t="s">
        <v>238</v>
      </c>
      <c r="P1297" s="5" t="s">
        <v>238</v>
      </c>
      <c r="Q1297" s="5" t="s">
        <v>268</v>
      </c>
      <c r="R1297" s="5" t="s">
        <v>270</v>
      </c>
      <c r="S1297" s="5" t="s">
        <v>238</v>
      </c>
      <c r="V1297" s="5" t="s">
        <v>238</v>
      </c>
      <c r="X1297" s="6" t="s">
        <v>238</v>
      </c>
      <c r="AA1297" s="6" t="s">
        <v>243</v>
      </c>
      <c r="AB1297" s="5" t="s">
        <v>238</v>
      </c>
      <c r="AC1297" s="5" t="s">
        <v>244</v>
      </c>
      <c r="AD1297" s="5" t="s">
        <v>245</v>
      </c>
      <c r="AT1297" s="5" t="s">
        <v>246</v>
      </c>
      <c r="AU1297" s="5" t="s">
        <v>238</v>
      </c>
      <c r="AV1297" s="5" t="s">
        <v>247</v>
      </c>
      <c r="AW1297" s="5" t="s">
        <v>238</v>
      </c>
      <c r="AX1297" s="5" t="s">
        <v>249</v>
      </c>
      <c r="AY1297" s="5" t="s">
        <v>238</v>
      </c>
      <c r="BA1297" s="5" t="s">
        <v>238</v>
      </c>
      <c r="BC1297" s="5" t="s">
        <v>250</v>
      </c>
      <c r="BD1297" s="6" t="s">
        <v>243</v>
      </c>
      <c r="BE1297" s="5" t="s">
        <v>251</v>
      </c>
      <c r="BF1297" s="5" t="s">
        <v>252</v>
      </c>
      <c r="BG1297" s="5" t="s">
        <v>238</v>
      </c>
      <c r="BH1297" s="7">
        <f>0</f>
        <v>0</v>
      </c>
      <c r="BI1297" s="8">
        <f>0</f>
        <v>0</v>
      </c>
      <c r="BJ1297" s="5" t="s">
        <v>253</v>
      </c>
      <c r="BK1297" s="5" t="s">
        <v>254</v>
      </c>
      <c r="BY1297" s="5" t="s">
        <v>238</v>
      </c>
      <c r="BZ1297" s="5" t="s">
        <v>238</v>
      </c>
      <c r="CD1297" s="5" t="s">
        <v>273</v>
      </c>
      <c r="CE1297" s="5" t="s">
        <v>256</v>
      </c>
      <c r="CF1297" s="5" t="s">
        <v>238</v>
      </c>
      <c r="CI1297" s="6" t="s">
        <v>257</v>
      </c>
      <c r="CJ1297" s="5" t="s">
        <v>238</v>
      </c>
      <c r="CK1297" s="5" t="s">
        <v>258</v>
      </c>
      <c r="CL1297" s="5" t="s">
        <v>238</v>
      </c>
      <c r="CM1297" s="5" t="s">
        <v>238</v>
      </c>
      <c r="CN1297" s="5">
        <v>0</v>
      </c>
      <c r="CO1297" s="5" t="s">
        <v>259</v>
      </c>
      <c r="CP1297" s="5" t="s">
        <v>260</v>
      </c>
      <c r="CQ1297" s="5" t="s">
        <v>260</v>
      </c>
      <c r="CR1297" s="5" t="s">
        <v>261</v>
      </c>
      <c r="CU1297" s="8">
        <f>1</f>
        <v>1</v>
      </c>
      <c r="CV1297" s="8">
        <f>0</f>
        <v>0</v>
      </c>
      <c r="CX1297" s="8">
        <f>0</f>
        <v>0</v>
      </c>
      <c r="CY1297" s="8">
        <f>1</f>
        <v>1</v>
      </c>
      <c r="DA1297" s="5" t="s">
        <v>673</v>
      </c>
      <c r="DB1297" s="5" t="s">
        <v>238</v>
      </c>
      <c r="DD1297" s="5" t="s">
        <v>673</v>
      </c>
      <c r="DE1297" s="8">
        <f>9994</f>
        <v>9994</v>
      </c>
      <c r="DG1297" s="5" t="s">
        <v>238</v>
      </c>
      <c r="DH1297" s="5" t="s">
        <v>238</v>
      </c>
      <c r="DI1297" s="5" t="s">
        <v>238</v>
      </c>
      <c r="DJ1297" s="5" t="s">
        <v>238</v>
      </c>
      <c r="DN1297" s="5" t="s">
        <v>238</v>
      </c>
      <c r="DO1297" s="5" t="s">
        <v>238</v>
      </c>
      <c r="DP1297" s="5" t="s">
        <v>238</v>
      </c>
      <c r="DQ1297" s="5" t="s">
        <v>238</v>
      </c>
      <c r="DT1297" s="5" t="s">
        <v>2039</v>
      </c>
      <c r="DU1297" s="5" t="s">
        <v>2726</v>
      </c>
      <c r="HM1297" s="5" t="s">
        <v>264</v>
      </c>
    </row>
    <row r="1298" spans="1:221" x14ac:dyDescent="0.4">
      <c r="A1298" s="5">
        <v>2973</v>
      </c>
      <c r="B1298" s="5">
        <v>1</v>
      </c>
      <c r="C1298" s="5">
        <v>1</v>
      </c>
      <c r="D1298" s="5" t="s">
        <v>2037</v>
      </c>
      <c r="E1298" s="5" t="s">
        <v>271</v>
      </c>
      <c r="F1298" s="5" t="s">
        <v>248</v>
      </c>
      <c r="G1298" s="5" t="s">
        <v>1969</v>
      </c>
      <c r="H1298" s="6" t="s">
        <v>2723</v>
      </c>
      <c r="I1298" s="7">
        <f>1975</f>
        <v>1975</v>
      </c>
      <c r="J1298" s="5" t="s">
        <v>262</v>
      </c>
      <c r="K1298" s="8">
        <f>1</f>
        <v>1</v>
      </c>
      <c r="L1298" s="6" t="s">
        <v>242</v>
      </c>
      <c r="M1298" s="5" t="s">
        <v>267</v>
      </c>
      <c r="N1298" s="5" t="s">
        <v>265</v>
      </c>
      <c r="O1298" s="5" t="s">
        <v>238</v>
      </c>
      <c r="P1298" s="5" t="s">
        <v>238</v>
      </c>
      <c r="Q1298" s="5" t="s">
        <v>268</v>
      </c>
      <c r="R1298" s="5" t="s">
        <v>270</v>
      </c>
      <c r="S1298" s="5" t="s">
        <v>238</v>
      </c>
      <c r="V1298" s="5" t="s">
        <v>238</v>
      </c>
      <c r="X1298" s="6" t="s">
        <v>238</v>
      </c>
      <c r="AA1298" s="6" t="s">
        <v>243</v>
      </c>
      <c r="AB1298" s="5" t="s">
        <v>238</v>
      </c>
      <c r="AC1298" s="5" t="s">
        <v>244</v>
      </c>
      <c r="AD1298" s="5" t="s">
        <v>245</v>
      </c>
      <c r="AT1298" s="5" t="s">
        <v>246</v>
      </c>
      <c r="AU1298" s="5" t="s">
        <v>238</v>
      </c>
      <c r="AV1298" s="5" t="s">
        <v>247</v>
      </c>
      <c r="AW1298" s="5" t="s">
        <v>238</v>
      </c>
      <c r="AX1298" s="5" t="s">
        <v>249</v>
      </c>
      <c r="AY1298" s="5" t="s">
        <v>238</v>
      </c>
      <c r="BA1298" s="5" t="s">
        <v>238</v>
      </c>
      <c r="BC1298" s="5" t="s">
        <v>250</v>
      </c>
      <c r="BD1298" s="6" t="s">
        <v>243</v>
      </c>
      <c r="BE1298" s="5" t="s">
        <v>251</v>
      </c>
      <c r="BF1298" s="5" t="s">
        <v>252</v>
      </c>
      <c r="BG1298" s="5" t="s">
        <v>238</v>
      </c>
      <c r="BH1298" s="7">
        <f>0</f>
        <v>0</v>
      </c>
      <c r="BI1298" s="8">
        <f>0</f>
        <v>0</v>
      </c>
      <c r="BJ1298" s="5" t="s">
        <v>253</v>
      </c>
      <c r="BK1298" s="5" t="s">
        <v>254</v>
      </c>
      <c r="BY1298" s="5" t="s">
        <v>238</v>
      </c>
      <c r="BZ1298" s="5" t="s">
        <v>238</v>
      </c>
      <c r="CD1298" s="5" t="s">
        <v>273</v>
      </c>
      <c r="CE1298" s="5" t="s">
        <v>256</v>
      </c>
      <c r="CF1298" s="5" t="s">
        <v>238</v>
      </c>
      <c r="CI1298" s="6" t="s">
        <v>257</v>
      </c>
      <c r="CJ1298" s="5" t="s">
        <v>238</v>
      </c>
      <c r="CK1298" s="5" t="s">
        <v>258</v>
      </c>
      <c r="CL1298" s="5" t="s">
        <v>238</v>
      </c>
      <c r="CM1298" s="5" t="s">
        <v>238</v>
      </c>
      <c r="CN1298" s="5">
        <v>0</v>
      </c>
      <c r="CO1298" s="5" t="s">
        <v>259</v>
      </c>
      <c r="CP1298" s="5" t="s">
        <v>260</v>
      </c>
      <c r="CQ1298" s="5" t="s">
        <v>260</v>
      </c>
      <c r="CR1298" s="5" t="s">
        <v>261</v>
      </c>
      <c r="CU1298" s="8">
        <f>1</f>
        <v>1</v>
      </c>
      <c r="CV1298" s="8">
        <f>0</f>
        <v>0</v>
      </c>
      <c r="CX1298" s="8">
        <f>0</f>
        <v>0</v>
      </c>
      <c r="CY1298" s="8">
        <f>1</f>
        <v>1</v>
      </c>
      <c r="DA1298" s="5" t="s">
        <v>673</v>
      </c>
      <c r="DB1298" s="5" t="s">
        <v>238</v>
      </c>
      <c r="DD1298" s="5" t="s">
        <v>673</v>
      </c>
      <c r="DE1298" s="8">
        <f>1975</f>
        <v>1975</v>
      </c>
      <c r="DG1298" s="5" t="s">
        <v>238</v>
      </c>
      <c r="DH1298" s="5" t="s">
        <v>238</v>
      </c>
      <c r="DI1298" s="5" t="s">
        <v>238</v>
      </c>
      <c r="DJ1298" s="5" t="s">
        <v>238</v>
      </c>
      <c r="DN1298" s="5" t="s">
        <v>238</v>
      </c>
      <c r="DO1298" s="5" t="s">
        <v>238</v>
      </c>
      <c r="DP1298" s="5" t="s">
        <v>238</v>
      </c>
      <c r="DQ1298" s="5" t="s">
        <v>238</v>
      </c>
      <c r="DT1298" s="5" t="s">
        <v>2039</v>
      </c>
      <c r="DU1298" s="5" t="s">
        <v>2724</v>
      </c>
      <c r="HM1298" s="5" t="s">
        <v>264</v>
      </c>
    </row>
    <row r="1299" spans="1:221" x14ac:dyDescent="0.4">
      <c r="A1299" s="5">
        <v>2974</v>
      </c>
      <c r="B1299" s="5">
        <v>1</v>
      </c>
      <c r="C1299" s="5">
        <v>1</v>
      </c>
      <c r="D1299" s="5" t="s">
        <v>2037</v>
      </c>
      <c r="E1299" s="5" t="s">
        <v>271</v>
      </c>
      <c r="F1299" s="5" t="s">
        <v>248</v>
      </c>
      <c r="G1299" s="5" t="s">
        <v>1969</v>
      </c>
      <c r="H1299" s="6" t="s">
        <v>2721</v>
      </c>
      <c r="I1299" s="7">
        <f>2590</f>
        <v>2590</v>
      </c>
      <c r="J1299" s="5" t="s">
        <v>262</v>
      </c>
      <c r="K1299" s="8">
        <f>1</f>
        <v>1</v>
      </c>
      <c r="L1299" s="6" t="s">
        <v>242</v>
      </c>
      <c r="M1299" s="5" t="s">
        <v>267</v>
      </c>
      <c r="N1299" s="5" t="s">
        <v>265</v>
      </c>
      <c r="O1299" s="5" t="s">
        <v>238</v>
      </c>
      <c r="P1299" s="5" t="s">
        <v>238</v>
      </c>
      <c r="Q1299" s="5" t="s">
        <v>268</v>
      </c>
      <c r="R1299" s="5" t="s">
        <v>270</v>
      </c>
      <c r="S1299" s="5" t="s">
        <v>238</v>
      </c>
      <c r="V1299" s="5" t="s">
        <v>238</v>
      </c>
      <c r="X1299" s="6" t="s">
        <v>238</v>
      </c>
      <c r="AA1299" s="6" t="s">
        <v>243</v>
      </c>
      <c r="AB1299" s="5" t="s">
        <v>238</v>
      </c>
      <c r="AC1299" s="5" t="s">
        <v>244</v>
      </c>
      <c r="AD1299" s="5" t="s">
        <v>245</v>
      </c>
      <c r="AT1299" s="5" t="s">
        <v>246</v>
      </c>
      <c r="AU1299" s="5" t="s">
        <v>238</v>
      </c>
      <c r="AV1299" s="5" t="s">
        <v>247</v>
      </c>
      <c r="AW1299" s="5" t="s">
        <v>238</v>
      </c>
      <c r="AX1299" s="5" t="s">
        <v>249</v>
      </c>
      <c r="AY1299" s="5" t="s">
        <v>238</v>
      </c>
      <c r="BA1299" s="5" t="s">
        <v>238</v>
      </c>
      <c r="BC1299" s="5" t="s">
        <v>250</v>
      </c>
      <c r="BD1299" s="6" t="s">
        <v>243</v>
      </c>
      <c r="BE1299" s="5" t="s">
        <v>251</v>
      </c>
      <c r="BF1299" s="5" t="s">
        <v>252</v>
      </c>
      <c r="BG1299" s="5" t="s">
        <v>238</v>
      </c>
      <c r="BH1299" s="7">
        <f>0</f>
        <v>0</v>
      </c>
      <c r="BI1299" s="8">
        <f>0</f>
        <v>0</v>
      </c>
      <c r="BJ1299" s="5" t="s">
        <v>253</v>
      </c>
      <c r="BK1299" s="5" t="s">
        <v>254</v>
      </c>
      <c r="BY1299" s="5" t="s">
        <v>238</v>
      </c>
      <c r="BZ1299" s="5" t="s">
        <v>238</v>
      </c>
      <c r="CD1299" s="5" t="s">
        <v>273</v>
      </c>
      <c r="CE1299" s="5" t="s">
        <v>256</v>
      </c>
      <c r="CF1299" s="5" t="s">
        <v>238</v>
      </c>
      <c r="CI1299" s="6" t="s">
        <v>257</v>
      </c>
      <c r="CJ1299" s="5" t="s">
        <v>238</v>
      </c>
      <c r="CK1299" s="5" t="s">
        <v>258</v>
      </c>
      <c r="CL1299" s="5" t="s">
        <v>238</v>
      </c>
      <c r="CM1299" s="5" t="s">
        <v>238</v>
      </c>
      <c r="CN1299" s="5">
        <v>0</v>
      </c>
      <c r="CO1299" s="5" t="s">
        <v>259</v>
      </c>
      <c r="CP1299" s="5" t="s">
        <v>260</v>
      </c>
      <c r="CQ1299" s="5" t="s">
        <v>260</v>
      </c>
      <c r="CR1299" s="5" t="s">
        <v>261</v>
      </c>
      <c r="CU1299" s="8">
        <f>1</f>
        <v>1</v>
      </c>
      <c r="CV1299" s="8">
        <f>0</f>
        <v>0</v>
      </c>
      <c r="CX1299" s="8">
        <f>0</f>
        <v>0</v>
      </c>
      <c r="CY1299" s="8">
        <f>1</f>
        <v>1</v>
      </c>
      <c r="DA1299" s="5" t="s">
        <v>673</v>
      </c>
      <c r="DB1299" s="5" t="s">
        <v>238</v>
      </c>
      <c r="DD1299" s="5" t="s">
        <v>673</v>
      </c>
      <c r="DE1299" s="8">
        <f>2590</f>
        <v>2590</v>
      </c>
      <c r="DG1299" s="5" t="s">
        <v>238</v>
      </c>
      <c r="DH1299" s="5" t="s">
        <v>238</v>
      </c>
      <c r="DI1299" s="5" t="s">
        <v>238</v>
      </c>
      <c r="DJ1299" s="5" t="s">
        <v>238</v>
      </c>
      <c r="DN1299" s="5" t="s">
        <v>238</v>
      </c>
      <c r="DO1299" s="5" t="s">
        <v>238</v>
      </c>
      <c r="DP1299" s="5" t="s">
        <v>238</v>
      </c>
      <c r="DQ1299" s="5" t="s">
        <v>238</v>
      </c>
      <c r="DT1299" s="5" t="s">
        <v>2039</v>
      </c>
      <c r="DU1299" s="5" t="s">
        <v>2722</v>
      </c>
      <c r="HM1299" s="5" t="s">
        <v>264</v>
      </c>
    </row>
    <row r="1300" spans="1:221" x14ac:dyDescent="0.4">
      <c r="A1300" s="5">
        <v>2975</v>
      </c>
      <c r="B1300" s="5">
        <v>1</v>
      </c>
      <c r="C1300" s="5">
        <v>1</v>
      </c>
      <c r="D1300" s="5" t="s">
        <v>2037</v>
      </c>
      <c r="E1300" s="5" t="s">
        <v>271</v>
      </c>
      <c r="F1300" s="5" t="s">
        <v>248</v>
      </c>
      <c r="G1300" s="5" t="s">
        <v>1969</v>
      </c>
      <c r="H1300" s="6" t="s">
        <v>2719</v>
      </c>
      <c r="I1300" s="7">
        <f>2746</f>
        <v>2746</v>
      </c>
      <c r="J1300" s="5" t="s">
        <v>262</v>
      </c>
      <c r="K1300" s="8">
        <f>1</f>
        <v>1</v>
      </c>
      <c r="L1300" s="6" t="s">
        <v>242</v>
      </c>
      <c r="M1300" s="5" t="s">
        <v>267</v>
      </c>
      <c r="N1300" s="5" t="s">
        <v>265</v>
      </c>
      <c r="O1300" s="5" t="s">
        <v>238</v>
      </c>
      <c r="P1300" s="5" t="s">
        <v>238</v>
      </c>
      <c r="Q1300" s="5" t="s">
        <v>268</v>
      </c>
      <c r="R1300" s="5" t="s">
        <v>270</v>
      </c>
      <c r="S1300" s="5" t="s">
        <v>238</v>
      </c>
      <c r="V1300" s="5" t="s">
        <v>238</v>
      </c>
      <c r="X1300" s="6" t="s">
        <v>238</v>
      </c>
      <c r="AA1300" s="6" t="s">
        <v>243</v>
      </c>
      <c r="AB1300" s="5" t="s">
        <v>238</v>
      </c>
      <c r="AC1300" s="5" t="s">
        <v>244</v>
      </c>
      <c r="AD1300" s="5" t="s">
        <v>245</v>
      </c>
      <c r="AT1300" s="5" t="s">
        <v>246</v>
      </c>
      <c r="AU1300" s="5" t="s">
        <v>238</v>
      </c>
      <c r="AV1300" s="5" t="s">
        <v>247</v>
      </c>
      <c r="AW1300" s="5" t="s">
        <v>238</v>
      </c>
      <c r="AX1300" s="5" t="s">
        <v>249</v>
      </c>
      <c r="AY1300" s="5" t="s">
        <v>238</v>
      </c>
      <c r="BA1300" s="5" t="s">
        <v>238</v>
      </c>
      <c r="BC1300" s="5" t="s">
        <v>250</v>
      </c>
      <c r="BD1300" s="6" t="s">
        <v>243</v>
      </c>
      <c r="BE1300" s="5" t="s">
        <v>251</v>
      </c>
      <c r="BF1300" s="5" t="s">
        <v>252</v>
      </c>
      <c r="BG1300" s="5" t="s">
        <v>238</v>
      </c>
      <c r="BH1300" s="7">
        <f>0</f>
        <v>0</v>
      </c>
      <c r="BI1300" s="8">
        <f>0</f>
        <v>0</v>
      </c>
      <c r="BJ1300" s="5" t="s">
        <v>253</v>
      </c>
      <c r="BK1300" s="5" t="s">
        <v>254</v>
      </c>
      <c r="BY1300" s="5" t="s">
        <v>238</v>
      </c>
      <c r="BZ1300" s="5" t="s">
        <v>238</v>
      </c>
      <c r="CD1300" s="5" t="s">
        <v>273</v>
      </c>
      <c r="CE1300" s="5" t="s">
        <v>256</v>
      </c>
      <c r="CF1300" s="5" t="s">
        <v>238</v>
      </c>
      <c r="CI1300" s="6" t="s">
        <v>257</v>
      </c>
      <c r="CJ1300" s="5" t="s">
        <v>238</v>
      </c>
      <c r="CK1300" s="5" t="s">
        <v>258</v>
      </c>
      <c r="CL1300" s="5" t="s">
        <v>238</v>
      </c>
      <c r="CM1300" s="5" t="s">
        <v>238</v>
      </c>
      <c r="CN1300" s="5">
        <v>0</v>
      </c>
      <c r="CO1300" s="5" t="s">
        <v>259</v>
      </c>
      <c r="CP1300" s="5" t="s">
        <v>260</v>
      </c>
      <c r="CQ1300" s="5" t="s">
        <v>260</v>
      </c>
      <c r="CR1300" s="5" t="s">
        <v>261</v>
      </c>
      <c r="CU1300" s="8">
        <f>1</f>
        <v>1</v>
      </c>
      <c r="CV1300" s="8">
        <f>0</f>
        <v>0</v>
      </c>
      <c r="CX1300" s="8">
        <f>0</f>
        <v>0</v>
      </c>
      <c r="CY1300" s="8">
        <f>1</f>
        <v>1</v>
      </c>
      <c r="DA1300" s="5" t="s">
        <v>673</v>
      </c>
      <c r="DB1300" s="5" t="s">
        <v>238</v>
      </c>
      <c r="DD1300" s="5" t="s">
        <v>673</v>
      </c>
      <c r="DE1300" s="8">
        <f>2746</f>
        <v>2746</v>
      </c>
      <c r="DG1300" s="5" t="s">
        <v>238</v>
      </c>
      <c r="DH1300" s="5" t="s">
        <v>238</v>
      </c>
      <c r="DI1300" s="5" t="s">
        <v>238</v>
      </c>
      <c r="DJ1300" s="5" t="s">
        <v>238</v>
      </c>
      <c r="DN1300" s="5" t="s">
        <v>238</v>
      </c>
      <c r="DO1300" s="5" t="s">
        <v>238</v>
      </c>
      <c r="DP1300" s="5" t="s">
        <v>238</v>
      </c>
      <c r="DQ1300" s="5" t="s">
        <v>238</v>
      </c>
      <c r="DT1300" s="5" t="s">
        <v>2039</v>
      </c>
      <c r="DU1300" s="5" t="s">
        <v>2720</v>
      </c>
      <c r="HM1300" s="5" t="s">
        <v>264</v>
      </c>
    </row>
    <row r="1301" spans="1:221" x14ac:dyDescent="0.4">
      <c r="A1301" s="5">
        <v>2976</v>
      </c>
      <c r="B1301" s="5">
        <v>1</v>
      </c>
      <c r="C1301" s="5">
        <v>1</v>
      </c>
      <c r="D1301" s="5" t="s">
        <v>2037</v>
      </c>
      <c r="E1301" s="5" t="s">
        <v>271</v>
      </c>
      <c r="F1301" s="5" t="s">
        <v>248</v>
      </c>
      <c r="G1301" s="5" t="s">
        <v>1969</v>
      </c>
      <c r="H1301" s="6" t="s">
        <v>2717</v>
      </c>
      <c r="I1301" s="7">
        <f>322</f>
        <v>322</v>
      </c>
      <c r="J1301" s="5" t="s">
        <v>262</v>
      </c>
      <c r="K1301" s="8">
        <f>1</f>
        <v>1</v>
      </c>
      <c r="L1301" s="6" t="s">
        <v>242</v>
      </c>
      <c r="M1301" s="5" t="s">
        <v>267</v>
      </c>
      <c r="N1301" s="5" t="s">
        <v>265</v>
      </c>
      <c r="O1301" s="5" t="s">
        <v>238</v>
      </c>
      <c r="P1301" s="5" t="s">
        <v>238</v>
      </c>
      <c r="Q1301" s="5" t="s">
        <v>268</v>
      </c>
      <c r="R1301" s="5" t="s">
        <v>270</v>
      </c>
      <c r="S1301" s="5" t="s">
        <v>238</v>
      </c>
      <c r="V1301" s="5" t="s">
        <v>238</v>
      </c>
      <c r="X1301" s="6" t="s">
        <v>238</v>
      </c>
      <c r="AA1301" s="6" t="s">
        <v>243</v>
      </c>
      <c r="AB1301" s="5" t="s">
        <v>238</v>
      </c>
      <c r="AC1301" s="5" t="s">
        <v>244</v>
      </c>
      <c r="AD1301" s="5" t="s">
        <v>245</v>
      </c>
      <c r="AT1301" s="5" t="s">
        <v>246</v>
      </c>
      <c r="AU1301" s="5" t="s">
        <v>238</v>
      </c>
      <c r="AV1301" s="5" t="s">
        <v>247</v>
      </c>
      <c r="AW1301" s="5" t="s">
        <v>238</v>
      </c>
      <c r="AX1301" s="5" t="s">
        <v>249</v>
      </c>
      <c r="AY1301" s="5" t="s">
        <v>238</v>
      </c>
      <c r="BA1301" s="5" t="s">
        <v>238</v>
      </c>
      <c r="BC1301" s="5" t="s">
        <v>250</v>
      </c>
      <c r="BD1301" s="6" t="s">
        <v>243</v>
      </c>
      <c r="BE1301" s="5" t="s">
        <v>251</v>
      </c>
      <c r="BF1301" s="5" t="s">
        <v>252</v>
      </c>
      <c r="BG1301" s="5" t="s">
        <v>238</v>
      </c>
      <c r="BH1301" s="7">
        <f>0</f>
        <v>0</v>
      </c>
      <c r="BI1301" s="8">
        <f>0</f>
        <v>0</v>
      </c>
      <c r="BJ1301" s="5" t="s">
        <v>253</v>
      </c>
      <c r="BK1301" s="5" t="s">
        <v>254</v>
      </c>
      <c r="BY1301" s="5" t="s">
        <v>238</v>
      </c>
      <c r="BZ1301" s="5" t="s">
        <v>238</v>
      </c>
      <c r="CD1301" s="5" t="s">
        <v>273</v>
      </c>
      <c r="CE1301" s="5" t="s">
        <v>256</v>
      </c>
      <c r="CF1301" s="5" t="s">
        <v>238</v>
      </c>
      <c r="CI1301" s="6" t="s">
        <v>257</v>
      </c>
      <c r="CJ1301" s="5" t="s">
        <v>238</v>
      </c>
      <c r="CK1301" s="5" t="s">
        <v>258</v>
      </c>
      <c r="CL1301" s="5" t="s">
        <v>238</v>
      </c>
      <c r="CM1301" s="5" t="s">
        <v>238</v>
      </c>
      <c r="CN1301" s="5">
        <v>0</v>
      </c>
      <c r="CO1301" s="5" t="s">
        <v>259</v>
      </c>
      <c r="CP1301" s="5" t="s">
        <v>260</v>
      </c>
      <c r="CQ1301" s="5" t="s">
        <v>260</v>
      </c>
      <c r="CR1301" s="5" t="s">
        <v>261</v>
      </c>
      <c r="CU1301" s="8">
        <f>1</f>
        <v>1</v>
      </c>
      <c r="CV1301" s="8">
        <f>0</f>
        <v>0</v>
      </c>
      <c r="CX1301" s="8">
        <f>0</f>
        <v>0</v>
      </c>
      <c r="CY1301" s="8">
        <f>1</f>
        <v>1</v>
      </c>
      <c r="DA1301" s="5" t="s">
        <v>673</v>
      </c>
      <c r="DB1301" s="5" t="s">
        <v>238</v>
      </c>
      <c r="DD1301" s="5" t="s">
        <v>673</v>
      </c>
      <c r="DE1301" s="8">
        <f>322</f>
        <v>322</v>
      </c>
      <c r="DG1301" s="5" t="s">
        <v>238</v>
      </c>
      <c r="DH1301" s="5" t="s">
        <v>238</v>
      </c>
      <c r="DI1301" s="5" t="s">
        <v>238</v>
      </c>
      <c r="DJ1301" s="5" t="s">
        <v>238</v>
      </c>
      <c r="DN1301" s="5" t="s">
        <v>238</v>
      </c>
      <c r="DO1301" s="5" t="s">
        <v>238</v>
      </c>
      <c r="DP1301" s="5" t="s">
        <v>238</v>
      </c>
      <c r="DQ1301" s="5" t="s">
        <v>238</v>
      </c>
      <c r="DT1301" s="5" t="s">
        <v>2039</v>
      </c>
      <c r="DU1301" s="5" t="s">
        <v>2718</v>
      </c>
      <c r="HM1301" s="5" t="s">
        <v>264</v>
      </c>
    </row>
    <row r="1302" spans="1:221" x14ac:dyDescent="0.4">
      <c r="A1302" s="5">
        <v>2977</v>
      </c>
      <c r="B1302" s="5">
        <v>1</v>
      </c>
      <c r="C1302" s="5">
        <v>1</v>
      </c>
      <c r="D1302" s="5" t="s">
        <v>2037</v>
      </c>
      <c r="E1302" s="5" t="s">
        <v>271</v>
      </c>
      <c r="F1302" s="5" t="s">
        <v>248</v>
      </c>
      <c r="G1302" s="5" t="s">
        <v>1969</v>
      </c>
      <c r="H1302" s="6" t="s">
        <v>2715</v>
      </c>
      <c r="I1302" s="7">
        <f>1884</f>
        <v>1884</v>
      </c>
      <c r="J1302" s="5" t="s">
        <v>262</v>
      </c>
      <c r="K1302" s="8">
        <f>1</f>
        <v>1</v>
      </c>
      <c r="L1302" s="6" t="s">
        <v>242</v>
      </c>
      <c r="M1302" s="5" t="s">
        <v>267</v>
      </c>
      <c r="N1302" s="5" t="s">
        <v>265</v>
      </c>
      <c r="O1302" s="5" t="s">
        <v>238</v>
      </c>
      <c r="P1302" s="5" t="s">
        <v>238</v>
      </c>
      <c r="Q1302" s="5" t="s">
        <v>268</v>
      </c>
      <c r="R1302" s="5" t="s">
        <v>270</v>
      </c>
      <c r="S1302" s="5" t="s">
        <v>238</v>
      </c>
      <c r="V1302" s="5" t="s">
        <v>238</v>
      </c>
      <c r="X1302" s="6" t="s">
        <v>238</v>
      </c>
      <c r="AA1302" s="6" t="s">
        <v>243</v>
      </c>
      <c r="AB1302" s="5" t="s">
        <v>238</v>
      </c>
      <c r="AC1302" s="5" t="s">
        <v>244</v>
      </c>
      <c r="AD1302" s="5" t="s">
        <v>245</v>
      </c>
      <c r="AT1302" s="5" t="s">
        <v>246</v>
      </c>
      <c r="AU1302" s="5" t="s">
        <v>238</v>
      </c>
      <c r="AV1302" s="5" t="s">
        <v>247</v>
      </c>
      <c r="AW1302" s="5" t="s">
        <v>238</v>
      </c>
      <c r="AX1302" s="5" t="s">
        <v>249</v>
      </c>
      <c r="AY1302" s="5" t="s">
        <v>238</v>
      </c>
      <c r="BA1302" s="5" t="s">
        <v>238</v>
      </c>
      <c r="BC1302" s="5" t="s">
        <v>250</v>
      </c>
      <c r="BD1302" s="6" t="s">
        <v>243</v>
      </c>
      <c r="BE1302" s="5" t="s">
        <v>251</v>
      </c>
      <c r="BF1302" s="5" t="s">
        <v>252</v>
      </c>
      <c r="BG1302" s="5" t="s">
        <v>238</v>
      </c>
      <c r="BH1302" s="7">
        <f>0</f>
        <v>0</v>
      </c>
      <c r="BI1302" s="8">
        <f>0</f>
        <v>0</v>
      </c>
      <c r="BJ1302" s="5" t="s">
        <v>253</v>
      </c>
      <c r="BK1302" s="5" t="s">
        <v>254</v>
      </c>
      <c r="BY1302" s="5" t="s">
        <v>238</v>
      </c>
      <c r="BZ1302" s="5" t="s">
        <v>238</v>
      </c>
      <c r="CD1302" s="5" t="s">
        <v>273</v>
      </c>
      <c r="CE1302" s="5" t="s">
        <v>256</v>
      </c>
      <c r="CF1302" s="5" t="s">
        <v>238</v>
      </c>
      <c r="CI1302" s="6" t="s">
        <v>257</v>
      </c>
      <c r="CJ1302" s="5" t="s">
        <v>238</v>
      </c>
      <c r="CK1302" s="5" t="s">
        <v>258</v>
      </c>
      <c r="CL1302" s="5" t="s">
        <v>238</v>
      </c>
      <c r="CM1302" s="5" t="s">
        <v>238</v>
      </c>
      <c r="CN1302" s="5">
        <v>0</v>
      </c>
      <c r="CO1302" s="5" t="s">
        <v>259</v>
      </c>
      <c r="CP1302" s="5" t="s">
        <v>260</v>
      </c>
      <c r="CQ1302" s="5" t="s">
        <v>260</v>
      </c>
      <c r="CR1302" s="5" t="s">
        <v>261</v>
      </c>
      <c r="CU1302" s="8">
        <f>1</f>
        <v>1</v>
      </c>
      <c r="CV1302" s="8">
        <f>0</f>
        <v>0</v>
      </c>
      <c r="CX1302" s="8">
        <f>0</f>
        <v>0</v>
      </c>
      <c r="CY1302" s="8">
        <f>1</f>
        <v>1</v>
      </c>
      <c r="DA1302" s="5" t="s">
        <v>673</v>
      </c>
      <c r="DB1302" s="5" t="s">
        <v>238</v>
      </c>
      <c r="DD1302" s="5" t="s">
        <v>673</v>
      </c>
      <c r="DE1302" s="8">
        <f>1884</f>
        <v>1884</v>
      </c>
      <c r="DG1302" s="5" t="s">
        <v>238</v>
      </c>
      <c r="DH1302" s="5" t="s">
        <v>238</v>
      </c>
      <c r="DI1302" s="5" t="s">
        <v>238</v>
      </c>
      <c r="DJ1302" s="5" t="s">
        <v>238</v>
      </c>
      <c r="DN1302" s="5" t="s">
        <v>238</v>
      </c>
      <c r="DO1302" s="5" t="s">
        <v>238</v>
      </c>
      <c r="DP1302" s="5" t="s">
        <v>238</v>
      </c>
      <c r="DQ1302" s="5" t="s">
        <v>238</v>
      </c>
      <c r="DT1302" s="5" t="s">
        <v>2039</v>
      </c>
      <c r="DU1302" s="5" t="s">
        <v>2716</v>
      </c>
      <c r="HM1302" s="5" t="s">
        <v>264</v>
      </c>
    </row>
    <row r="1303" spans="1:221" x14ac:dyDescent="0.4">
      <c r="A1303" s="5">
        <v>2978</v>
      </c>
      <c r="B1303" s="5">
        <v>1</v>
      </c>
      <c r="C1303" s="5">
        <v>1</v>
      </c>
      <c r="D1303" s="5" t="s">
        <v>2037</v>
      </c>
      <c r="E1303" s="5" t="s">
        <v>271</v>
      </c>
      <c r="F1303" s="5" t="s">
        <v>248</v>
      </c>
      <c r="G1303" s="5" t="s">
        <v>1969</v>
      </c>
      <c r="H1303" s="6" t="s">
        <v>2713</v>
      </c>
      <c r="I1303" s="7">
        <f>1921</f>
        <v>1921</v>
      </c>
      <c r="J1303" s="5" t="s">
        <v>262</v>
      </c>
      <c r="K1303" s="8">
        <f>1</f>
        <v>1</v>
      </c>
      <c r="L1303" s="6" t="s">
        <v>242</v>
      </c>
      <c r="M1303" s="5" t="s">
        <v>267</v>
      </c>
      <c r="N1303" s="5" t="s">
        <v>265</v>
      </c>
      <c r="O1303" s="5" t="s">
        <v>238</v>
      </c>
      <c r="P1303" s="5" t="s">
        <v>238</v>
      </c>
      <c r="Q1303" s="5" t="s">
        <v>268</v>
      </c>
      <c r="R1303" s="5" t="s">
        <v>270</v>
      </c>
      <c r="S1303" s="5" t="s">
        <v>238</v>
      </c>
      <c r="V1303" s="5" t="s">
        <v>238</v>
      </c>
      <c r="X1303" s="6" t="s">
        <v>238</v>
      </c>
      <c r="AA1303" s="6" t="s">
        <v>243</v>
      </c>
      <c r="AB1303" s="5" t="s">
        <v>238</v>
      </c>
      <c r="AC1303" s="5" t="s">
        <v>244</v>
      </c>
      <c r="AD1303" s="5" t="s">
        <v>245</v>
      </c>
      <c r="AT1303" s="5" t="s">
        <v>246</v>
      </c>
      <c r="AU1303" s="5" t="s">
        <v>238</v>
      </c>
      <c r="AV1303" s="5" t="s">
        <v>247</v>
      </c>
      <c r="AW1303" s="5" t="s">
        <v>238</v>
      </c>
      <c r="AX1303" s="5" t="s">
        <v>249</v>
      </c>
      <c r="AY1303" s="5" t="s">
        <v>238</v>
      </c>
      <c r="BA1303" s="5" t="s">
        <v>238</v>
      </c>
      <c r="BC1303" s="5" t="s">
        <v>250</v>
      </c>
      <c r="BD1303" s="6" t="s">
        <v>243</v>
      </c>
      <c r="BE1303" s="5" t="s">
        <v>251</v>
      </c>
      <c r="BF1303" s="5" t="s">
        <v>252</v>
      </c>
      <c r="BG1303" s="5" t="s">
        <v>238</v>
      </c>
      <c r="BH1303" s="7">
        <f>0</f>
        <v>0</v>
      </c>
      <c r="BI1303" s="8">
        <f>0</f>
        <v>0</v>
      </c>
      <c r="BJ1303" s="5" t="s">
        <v>253</v>
      </c>
      <c r="BK1303" s="5" t="s">
        <v>254</v>
      </c>
      <c r="BY1303" s="5" t="s">
        <v>238</v>
      </c>
      <c r="BZ1303" s="5" t="s">
        <v>238</v>
      </c>
      <c r="CD1303" s="5" t="s">
        <v>273</v>
      </c>
      <c r="CE1303" s="5" t="s">
        <v>256</v>
      </c>
      <c r="CF1303" s="5" t="s">
        <v>238</v>
      </c>
      <c r="CI1303" s="6" t="s">
        <v>257</v>
      </c>
      <c r="CJ1303" s="5" t="s">
        <v>238</v>
      </c>
      <c r="CK1303" s="5" t="s">
        <v>258</v>
      </c>
      <c r="CL1303" s="5" t="s">
        <v>238</v>
      </c>
      <c r="CM1303" s="5" t="s">
        <v>238</v>
      </c>
      <c r="CN1303" s="5">
        <v>0</v>
      </c>
      <c r="CO1303" s="5" t="s">
        <v>259</v>
      </c>
      <c r="CP1303" s="5" t="s">
        <v>260</v>
      </c>
      <c r="CQ1303" s="5" t="s">
        <v>260</v>
      </c>
      <c r="CR1303" s="5" t="s">
        <v>261</v>
      </c>
      <c r="CU1303" s="8">
        <f>1</f>
        <v>1</v>
      </c>
      <c r="CV1303" s="8">
        <f>0</f>
        <v>0</v>
      </c>
      <c r="CX1303" s="8">
        <f>0</f>
        <v>0</v>
      </c>
      <c r="CY1303" s="8">
        <f>1</f>
        <v>1</v>
      </c>
      <c r="DA1303" s="5" t="s">
        <v>673</v>
      </c>
      <c r="DB1303" s="5" t="s">
        <v>238</v>
      </c>
      <c r="DD1303" s="5" t="s">
        <v>673</v>
      </c>
      <c r="DE1303" s="8">
        <f>1921</f>
        <v>1921</v>
      </c>
      <c r="DG1303" s="5" t="s">
        <v>238</v>
      </c>
      <c r="DH1303" s="5" t="s">
        <v>238</v>
      </c>
      <c r="DI1303" s="5" t="s">
        <v>238</v>
      </c>
      <c r="DJ1303" s="5" t="s">
        <v>238</v>
      </c>
      <c r="DN1303" s="5" t="s">
        <v>238</v>
      </c>
      <c r="DO1303" s="5" t="s">
        <v>238</v>
      </c>
      <c r="DP1303" s="5" t="s">
        <v>238</v>
      </c>
      <c r="DQ1303" s="5" t="s">
        <v>238</v>
      </c>
      <c r="DT1303" s="5" t="s">
        <v>2039</v>
      </c>
      <c r="DU1303" s="5" t="s">
        <v>2714</v>
      </c>
      <c r="HM1303" s="5" t="s">
        <v>264</v>
      </c>
    </row>
    <row r="1304" spans="1:221" x14ac:dyDescent="0.4">
      <c r="A1304" s="5">
        <v>2979</v>
      </c>
      <c r="B1304" s="5">
        <v>1</v>
      </c>
      <c r="C1304" s="5">
        <v>1</v>
      </c>
      <c r="D1304" s="5" t="s">
        <v>2037</v>
      </c>
      <c r="E1304" s="5" t="s">
        <v>271</v>
      </c>
      <c r="F1304" s="5" t="s">
        <v>248</v>
      </c>
      <c r="G1304" s="5" t="s">
        <v>1969</v>
      </c>
      <c r="H1304" s="6" t="s">
        <v>2711</v>
      </c>
      <c r="I1304" s="7">
        <f>4303</f>
        <v>4303</v>
      </c>
      <c r="J1304" s="5" t="s">
        <v>262</v>
      </c>
      <c r="K1304" s="8">
        <f>1</f>
        <v>1</v>
      </c>
      <c r="L1304" s="6" t="s">
        <v>242</v>
      </c>
      <c r="M1304" s="5" t="s">
        <v>267</v>
      </c>
      <c r="N1304" s="5" t="s">
        <v>265</v>
      </c>
      <c r="O1304" s="5" t="s">
        <v>238</v>
      </c>
      <c r="P1304" s="5" t="s">
        <v>238</v>
      </c>
      <c r="Q1304" s="5" t="s">
        <v>268</v>
      </c>
      <c r="R1304" s="5" t="s">
        <v>270</v>
      </c>
      <c r="S1304" s="5" t="s">
        <v>238</v>
      </c>
      <c r="V1304" s="5" t="s">
        <v>238</v>
      </c>
      <c r="X1304" s="6" t="s">
        <v>238</v>
      </c>
      <c r="AA1304" s="6" t="s">
        <v>243</v>
      </c>
      <c r="AB1304" s="5" t="s">
        <v>238</v>
      </c>
      <c r="AC1304" s="5" t="s">
        <v>244</v>
      </c>
      <c r="AD1304" s="5" t="s">
        <v>245</v>
      </c>
      <c r="AT1304" s="5" t="s">
        <v>246</v>
      </c>
      <c r="AU1304" s="5" t="s">
        <v>238</v>
      </c>
      <c r="AV1304" s="5" t="s">
        <v>247</v>
      </c>
      <c r="AW1304" s="5" t="s">
        <v>238</v>
      </c>
      <c r="AX1304" s="5" t="s">
        <v>249</v>
      </c>
      <c r="AY1304" s="5" t="s">
        <v>238</v>
      </c>
      <c r="BA1304" s="5" t="s">
        <v>238</v>
      </c>
      <c r="BC1304" s="5" t="s">
        <v>250</v>
      </c>
      <c r="BD1304" s="6" t="s">
        <v>243</v>
      </c>
      <c r="BE1304" s="5" t="s">
        <v>251</v>
      </c>
      <c r="BF1304" s="5" t="s">
        <v>252</v>
      </c>
      <c r="BG1304" s="5" t="s">
        <v>238</v>
      </c>
      <c r="BH1304" s="7">
        <f>0</f>
        <v>0</v>
      </c>
      <c r="BI1304" s="8">
        <f>0</f>
        <v>0</v>
      </c>
      <c r="BJ1304" s="5" t="s">
        <v>253</v>
      </c>
      <c r="BK1304" s="5" t="s">
        <v>254</v>
      </c>
      <c r="BY1304" s="5" t="s">
        <v>238</v>
      </c>
      <c r="BZ1304" s="5" t="s">
        <v>238</v>
      </c>
      <c r="CD1304" s="5" t="s">
        <v>273</v>
      </c>
      <c r="CE1304" s="5" t="s">
        <v>256</v>
      </c>
      <c r="CF1304" s="5" t="s">
        <v>238</v>
      </c>
      <c r="CI1304" s="6" t="s">
        <v>257</v>
      </c>
      <c r="CJ1304" s="5" t="s">
        <v>238</v>
      </c>
      <c r="CK1304" s="5" t="s">
        <v>258</v>
      </c>
      <c r="CL1304" s="5" t="s">
        <v>238</v>
      </c>
      <c r="CM1304" s="5" t="s">
        <v>238</v>
      </c>
      <c r="CN1304" s="5">
        <v>0</v>
      </c>
      <c r="CO1304" s="5" t="s">
        <v>259</v>
      </c>
      <c r="CP1304" s="5" t="s">
        <v>260</v>
      </c>
      <c r="CQ1304" s="5" t="s">
        <v>260</v>
      </c>
      <c r="CR1304" s="5" t="s">
        <v>261</v>
      </c>
      <c r="CU1304" s="8">
        <f>1</f>
        <v>1</v>
      </c>
      <c r="CV1304" s="8">
        <f>0</f>
        <v>0</v>
      </c>
      <c r="CX1304" s="8">
        <f>0</f>
        <v>0</v>
      </c>
      <c r="CY1304" s="8">
        <f>1</f>
        <v>1</v>
      </c>
      <c r="DA1304" s="5" t="s">
        <v>673</v>
      </c>
      <c r="DB1304" s="5" t="s">
        <v>238</v>
      </c>
      <c r="DD1304" s="5" t="s">
        <v>673</v>
      </c>
      <c r="DE1304" s="8">
        <f>4303</f>
        <v>4303</v>
      </c>
      <c r="DG1304" s="5" t="s">
        <v>238</v>
      </c>
      <c r="DH1304" s="5" t="s">
        <v>238</v>
      </c>
      <c r="DI1304" s="5" t="s">
        <v>238</v>
      </c>
      <c r="DJ1304" s="5" t="s">
        <v>238</v>
      </c>
      <c r="DN1304" s="5" t="s">
        <v>238</v>
      </c>
      <c r="DO1304" s="5" t="s">
        <v>238</v>
      </c>
      <c r="DP1304" s="5" t="s">
        <v>238</v>
      </c>
      <c r="DQ1304" s="5" t="s">
        <v>238</v>
      </c>
      <c r="DT1304" s="5" t="s">
        <v>2039</v>
      </c>
      <c r="DU1304" s="5" t="s">
        <v>2712</v>
      </c>
      <c r="HM1304" s="5" t="s">
        <v>264</v>
      </c>
    </row>
    <row r="1305" spans="1:221" x14ac:dyDescent="0.4">
      <c r="A1305" s="5">
        <v>2980</v>
      </c>
      <c r="B1305" s="5">
        <v>1</v>
      </c>
      <c r="C1305" s="5">
        <v>1</v>
      </c>
      <c r="D1305" s="5" t="s">
        <v>2037</v>
      </c>
      <c r="E1305" s="5" t="s">
        <v>271</v>
      </c>
      <c r="F1305" s="5" t="s">
        <v>248</v>
      </c>
      <c r="G1305" s="5" t="s">
        <v>1969</v>
      </c>
      <c r="H1305" s="6" t="s">
        <v>2709</v>
      </c>
      <c r="I1305" s="7">
        <f>5119</f>
        <v>5119</v>
      </c>
      <c r="J1305" s="5" t="s">
        <v>262</v>
      </c>
      <c r="K1305" s="8">
        <f>1</f>
        <v>1</v>
      </c>
      <c r="L1305" s="6" t="s">
        <v>242</v>
      </c>
      <c r="M1305" s="5" t="s">
        <v>267</v>
      </c>
      <c r="N1305" s="5" t="s">
        <v>265</v>
      </c>
      <c r="O1305" s="5" t="s">
        <v>238</v>
      </c>
      <c r="P1305" s="5" t="s">
        <v>238</v>
      </c>
      <c r="Q1305" s="5" t="s">
        <v>268</v>
      </c>
      <c r="R1305" s="5" t="s">
        <v>270</v>
      </c>
      <c r="S1305" s="5" t="s">
        <v>238</v>
      </c>
      <c r="V1305" s="5" t="s">
        <v>238</v>
      </c>
      <c r="X1305" s="6" t="s">
        <v>238</v>
      </c>
      <c r="AA1305" s="6" t="s">
        <v>243</v>
      </c>
      <c r="AB1305" s="5" t="s">
        <v>238</v>
      </c>
      <c r="AC1305" s="5" t="s">
        <v>244</v>
      </c>
      <c r="AD1305" s="5" t="s">
        <v>245</v>
      </c>
      <c r="AT1305" s="5" t="s">
        <v>246</v>
      </c>
      <c r="AU1305" s="5" t="s">
        <v>238</v>
      </c>
      <c r="AV1305" s="5" t="s">
        <v>247</v>
      </c>
      <c r="AW1305" s="5" t="s">
        <v>238</v>
      </c>
      <c r="AX1305" s="5" t="s">
        <v>249</v>
      </c>
      <c r="AY1305" s="5" t="s">
        <v>238</v>
      </c>
      <c r="BA1305" s="5" t="s">
        <v>238</v>
      </c>
      <c r="BC1305" s="5" t="s">
        <v>250</v>
      </c>
      <c r="BD1305" s="6" t="s">
        <v>243</v>
      </c>
      <c r="BE1305" s="5" t="s">
        <v>251</v>
      </c>
      <c r="BF1305" s="5" t="s">
        <v>252</v>
      </c>
      <c r="BG1305" s="5" t="s">
        <v>238</v>
      </c>
      <c r="BH1305" s="7">
        <f>0</f>
        <v>0</v>
      </c>
      <c r="BI1305" s="8">
        <f>0</f>
        <v>0</v>
      </c>
      <c r="BJ1305" s="5" t="s">
        <v>253</v>
      </c>
      <c r="BK1305" s="5" t="s">
        <v>254</v>
      </c>
      <c r="BY1305" s="5" t="s">
        <v>238</v>
      </c>
      <c r="BZ1305" s="5" t="s">
        <v>238</v>
      </c>
      <c r="CD1305" s="5" t="s">
        <v>273</v>
      </c>
      <c r="CE1305" s="5" t="s">
        <v>256</v>
      </c>
      <c r="CF1305" s="5" t="s">
        <v>238</v>
      </c>
      <c r="CI1305" s="6" t="s">
        <v>257</v>
      </c>
      <c r="CJ1305" s="5" t="s">
        <v>238</v>
      </c>
      <c r="CK1305" s="5" t="s">
        <v>258</v>
      </c>
      <c r="CL1305" s="5" t="s">
        <v>238</v>
      </c>
      <c r="CM1305" s="5" t="s">
        <v>238</v>
      </c>
      <c r="CN1305" s="5">
        <v>0</v>
      </c>
      <c r="CO1305" s="5" t="s">
        <v>259</v>
      </c>
      <c r="CP1305" s="5" t="s">
        <v>260</v>
      </c>
      <c r="CQ1305" s="5" t="s">
        <v>260</v>
      </c>
      <c r="CR1305" s="5" t="s">
        <v>261</v>
      </c>
      <c r="CU1305" s="8">
        <f>1</f>
        <v>1</v>
      </c>
      <c r="CV1305" s="8">
        <f>0</f>
        <v>0</v>
      </c>
      <c r="CX1305" s="8">
        <f>0</f>
        <v>0</v>
      </c>
      <c r="CY1305" s="8">
        <f>1</f>
        <v>1</v>
      </c>
      <c r="DA1305" s="5" t="s">
        <v>673</v>
      </c>
      <c r="DB1305" s="5" t="s">
        <v>238</v>
      </c>
      <c r="DD1305" s="5" t="s">
        <v>673</v>
      </c>
      <c r="DE1305" s="8">
        <f>5119</f>
        <v>5119</v>
      </c>
      <c r="DG1305" s="5" t="s">
        <v>238</v>
      </c>
      <c r="DH1305" s="5" t="s">
        <v>238</v>
      </c>
      <c r="DI1305" s="5" t="s">
        <v>238</v>
      </c>
      <c r="DJ1305" s="5" t="s">
        <v>238</v>
      </c>
      <c r="DN1305" s="5" t="s">
        <v>238</v>
      </c>
      <c r="DO1305" s="5" t="s">
        <v>238</v>
      </c>
      <c r="DP1305" s="5" t="s">
        <v>238</v>
      </c>
      <c r="DQ1305" s="5" t="s">
        <v>238</v>
      </c>
      <c r="DT1305" s="5" t="s">
        <v>2039</v>
      </c>
      <c r="DU1305" s="5" t="s">
        <v>2710</v>
      </c>
      <c r="HM1305" s="5" t="s">
        <v>264</v>
      </c>
    </row>
    <row r="1306" spans="1:221" x14ac:dyDescent="0.4">
      <c r="A1306" s="5">
        <v>2981</v>
      </c>
      <c r="B1306" s="5">
        <v>1</v>
      </c>
      <c r="C1306" s="5">
        <v>1</v>
      </c>
      <c r="D1306" s="5" t="s">
        <v>2037</v>
      </c>
      <c r="E1306" s="5" t="s">
        <v>271</v>
      </c>
      <c r="F1306" s="5" t="s">
        <v>248</v>
      </c>
      <c r="G1306" s="5" t="s">
        <v>1969</v>
      </c>
      <c r="H1306" s="6" t="s">
        <v>2707</v>
      </c>
      <c r="I1306" s="7">
        <f>3520</f>
        <v>3520</v>
      </c>
      <c r="J1306" s="5" t="s">
        <v>262</v>
      </c>
      <c r="K1306" s="8">
        <f>1</f>
        <v>1</v>
      </c>
      <c r="L1306" s="6" t="s">
        <v>242</v>
      </c>
      <c r="M1306" s="5" t="s">
        <v>267</v>
      </c>
      <c r="N1306" s="5" t="s">
        <v>265</v>
      </c>
      <c r="O1306" s="5" t="s">
        <v>238</v>
      </c>
      <c r="P1306" s="5" t="s">
        <v>238</v>
      </c>
      <c r="Q1306" s="5" t="s">
        <v>268</v>
      </c>
      <c r="R1306" s="5" t="s">
        <v>270</v>
      </c>
      <c r="S1306" s="5" t="s">
        <v>238</v>
      </c>
      <c r="V1306" s="5" t="s">
        <v>238</v>
      </c>
      <c r="X1306" s="6" t="s">
        <v>238</v>
      </c>
      <c r="AA1306" s="6" t="s">
        <v>243</v>
      </c>
      <c r="AB1306" s="5" t="s">
        <v>238</v>
      </c>
      <c r="AC1306" s="5" t="s">
        <v>244</v>
      </c>
      <c r="AD1306" s="5" t="s">
        <v>245</v>
      </c>
      <c r="AT1306" s="5" t="s">
        <v>246</v>
      </c>
      <c r="AU1306" s="5" t="s">
        <v>238</v>
      </c>
      <c r="AV1306" s="5" t="s">
        <v>247</v>
      </c>
      <c r="AW1306" s="5" t="s">
        <v>238</v>
      </c>
      <c r="AX1306" s="5" t="s">
        <v>249</v>
      </c>
      <c r="AY1306" s="5" t="s">
        <v>238</v>
      </c>
      <c r="BA1306" s="5" t="s">
        <v>238</v>
      </c>
      <c r="BC1306" s="5" t="s">
        <v>250</v>
      </c>
      <c r="BD1306" s="6" t="s">
        <v>243</v>
      </c>
      <c r="BE1306" s="5" t="s">
        <v>251</v>
      </c>
      <c r="BF1306" s="5" t="s">
        <v>252</v>
      </c>
      <c r="BG1306" s="5" t="s">
        <v>238</v>
      </c>
      <c r="BH1306" s="7">
        <f>0</f>
        <v>0</v>
      </c>
      <c r="BI1306" s="8">
        <f>0</f>
        <v>0</v>
      </c>
      <c r="BJ1306" s="5" t="s">
        <v>253</v>
      </c>
      <c r="BK1306" s="5" t="s">
        <v>254</v>
      </c>
      <c r="BY1306" s="5" t="s">
        <v>238</v>
      </c>
      <c r="BZ1306" s="5" t="s">
        <v>238</v>
      </c>
      <c r="CD1306" s="5" t="s">
        <v>273</v>
      </c>
      <c r="CE1306" s="5" t="s">
        <v>256</v>
      </c>
      <c r="CF1306" s="5" t="s">
        <v>238</v>
      </c>
      <c r="CI1306" s="6" t="s">
        <v>257</v>
      </c>
      <c r="CJ1306" s="5" t="s">
        <v>238</v>
      </c>
      <c r="CK1306" s="5" t="s">
        <v>258</v>
      </c>
      <c r="CL1306" s="5" t="s">
        <v>238</v>
      </c>
      <c r="CM1306" s="5" t="s">
        <v>238</v>
      </c>
      <c r="CN1306" s="5">
        <v>0</v>
      </c>
      <c r="CO1306" s="5" t="s">
        <v>259</v>
      </c>
      <c r="CP1306" s="5" t="s">
        <v>260</v>
      </c>
      <c r="CQ1306" s="5" t="s">
        <v>260</v>
      </c>
      <c r="CR1306" s="5" t="s">
        <v>261</v>
      </c>
      <c r="CU1306" s="8">
        <f>1</f>
        <v>1</v>
      </c>
      <c r="CV1306" s="8">
        <f>0</f>
        <v>0</v>
      </c>
      <c r="CX1306" s="8">
        <f>0</f>
        <v>0</v>
      </c>
      <c r="CY1306" s="8">
        <f>1</f>
        <v>1</v>
      </c>
      <c r="DA1306" s="5" t="s">
        <v>673</v>
      </c>
      <c r="DB1306" s="5" t="s">
        <v>238</v>
      </c>
      <c r="DD1306" s="5" t="s">
        <v>673</v>
      </c>
      <c r="DE1306" s="8">
        <f>3520</f>
        <v>3520</v>
      </c>
      <c r="DG1306" s="5" t="s">
        <v>238</v>
      </c>
      <c r="DH1306" s="5" t="s">
        <v>238</v>
      </c>
      <c r="DI1306" s="5" t="s">
        <v>238</v>
      </c>
      <c r="DJ1306" s="5" t="s">
        <v>238</v>
      </c>
      <c r="DN1306" s="5" t="s">
        <v>238</v>
      </c>
      <c r="DO1306" s="5" t="s">
        <v>238</v>
      </c>
      <c r="DP1306" s="5" t="s">
        <v>238</v>
      </c>
      <c r="DQ1306" s="5" t="s">
        <v>238</v>
      </c>
      <c r="DT1306" s="5" t="s">
        <v>2039</v>
      </c>
      <c r="DU1306" s="5" t="s">
        <v>2708</v>
      </c>
      <c r="HM1306" s="5" t="s">
        <v>264</v>
      </c>
    </row>
    <row r="1307" spans="1:221" x14ac:dyDescent="0.4">
      <c r="A1307" s="5">
        <v>2982</v>
      </c>
      <c r="B1307" s="5">
        <v>1</v>
      </c>
      <c r="C1307" s="5">
        <v>1</v>
      </c>
      <c r="D1307" s="5" t="s">
        <v>2037</v>
      </c>
      <c r="E1307" s="5" t="s">
        <v>271</v>
      </c>
      <c r="F1307" s="5" t="s">
        <v>248</v>
      </c>
      <c r="G1307" s="5" t="s">
        <v>1969</v>
      </c>
      <c r="H1307" s="6" t="s">
        <v>2703</v>
      </c>
      <c r="I1307" s="7">
        <f>415</f>
        <v>415</v>
      </c>
      <c r="J1307" s="5" t="s">
        <v>262</v>
      </c>
      <c r="K1307" s="8">
        <f>1</f>
        <v>1</v>
      </c>
      <c r="L1307" s="6" t="s">
        <v>242</v>
      </c>
      <c r="M1307" s="5" t="s">
        <v>267</v>
      </c>
      <c r="N1307" s="5" t="s">
        <v>265</v>
      </c>
      <c r="O1307" s="5" t="s">
        <v>238</v>
      </c>
      <c r="P1307" s="5" t="s">
        <v>238</v>
      </c>
      <c r="Q1307" s="5" t="s">
        <v>268</v>
      </c>
      <c r="R1307" s="5" t="s">
        <v>270</v>
      </c>
      <c r="S1307" s="5" t="s">
        <v>238</v>
      </c>
      <c r="V1307" s="5" t="s">
        <v>238</v>
      </c>
      <c r="X1307" s="6" t="s">
        <v>238</v>
      </c>
      <c r="AA1307" s="6" t="s">
        <v>243</v>
      </c>
      <c r="AB1307" s="5" t="s">
        <v>238</v>
      </c>
      <c r="AC1307" s="5" t="s">
        <v>244</v>
      </c>
      <c r="AD1307" s="5" t="s">
        <v>245</v>
      </c>
      <c r="AT1307" s="5" t="s">
        <v>246</v>
      </c>
      <c r="AU1307" s="5" t="s">
        <v>238</v>
      </c>
      <c r="AV1307" s="5" t="s">
        <v>247</v>
      </c>
      <c r="AW1307" s="5" t="s">
        <v>238</v>
      </c>
      <c r="AX1307" s="5" t="s">
        <v>249</v>
      </c>
      <c r="AY1307" s="5" t="s">
        <v>238</v>
      </c>
      <c r="BA1307" s="5" t="s">
        <v>238</v>
      </c>
      <c r="BC1307" s="5" t="s">
        <v>250</v>
      </c>
      <c r="BD1307" s="6" t="s">
        <v>243</v>
      </c>
      <c r="BE1307" s="5" t="s">
        <v>251</v>
      </c>
      <c r="BF1307" s="5" t="s">
        <v>252</v>
      </c>
      <c r="BG1307" s="5" t="s">
        <v>238</v>
      </c>
      <c r="BH1307" s="7">
        <f>0</f>
        <v>0</v>
      </c>
      <c r="BI1307" s="8">
        <f>0</f>
        <v>0</v>
      </c>
      <c r="BJ1307" s="5" t="s">
        <v>253</v>
      </c>
      <c r="BK1307" s="5" t="s">
        <v>254</v>
      </c>
      <c r="BY1307" s="5" t="s">
        <v>238</v>
      </c>
      <c r="BZ1307" s="5" t="s">
        <v>238</v>
      </c>
      <c r="CD1307" s="5" t="s">
        <v>273</v>
      </c>
      <c r="CE1307" s="5" t="s">
        <v>256</v>
      </c>
      <c r="CF1307" s="5" t="s">
        <v>238</v>
      </c>
      <c r="CI1307" s="6" t="s">
        <v>257</v>
      </c>
      <c r="CJ1307" s="5" t="s">
        <v>238</v>
      </c>
      <c r="CK1307" s="5" t="s">
        <v>258</v>
      </c>
      <c r="CL1307" s="5" t="s">
        <v>238</v>
      </c>
      <c r="CM1307" s="5" t="s">
        <v>238</v>
      </c>
      <c r="CN1307" s="5">
        <v>0</v>
      </c>
      <c r="CO1307" s="5" t="s">
        <v>259</v>
      </c>
      <c r="CP1307" s="5" t="s">
        <v>260</v>
      </c>
      <c r="CQ1307" s="5" t="s">
        <v>260</v>
      </c>
      <c r="CR1307" s="5" t="s">
        <v>261</v>
      </c>
      <c r="CU1307" s="8">
        <f>1</f>
        <v>1</v>
      </c>
      <c r="CV1307" s="8">
        <f>0</f>
        <v>0</v>
      </c>
      <c r="CX1307" s="8">
        <f>0</f>
        <v>0</v>
      </c>
      <c r="CY1307" s="8">
        <f>1</f>
        <v>1</v>
      </c>
      <c r="DA1307" s="5" t="s">
        <v>673</v>
      </c>
      <c r="DB1307" s="5" t="s">
        <v>238</v>
      </c>
      <c r="DD1307" s="5" t="s">
        <v>673</v>
      </c>
      <c r="DE1307" s="8">
        <f>415</f>
        <v>415</v>
      </c>
      <c r="DG1307" s="5" t="s">
        <v>238</v>
      </c>
      <c r="DH1307" s="5" t="s">
        <v>238</v>
      </c>
      <c r="DI1307" s="5" t="s">
        <v>238</v>
      </c>
      <c r="DJ1307" s="5" t="s">
        <v>238</v>
      </c>
      <c r="DN1307" s="5" t="s">
        <v>238</v>
      </c>
      <c r="DO1307" s="5" t="s">
        <v>238</v>
      </c>
      <c r="DP1307" s="5" t="s">
        <v>238</v>
      </c>
      <c r="DQ1307" s="5" t="s">
        <v>238</v>
      </c>
      <c r="DT1307" s="5" t="s">
        <v>2039</v>
      </c>
      <c r="DU1307" s="5" t="s">
        <v>2704</v>
      </c>
      <c r="HM1307" s="5" t="s">
        <v>264</v>
      </c>
    </row>
    <row r="1308" spans="1:221" x14ac:dyDescent="0.4">
      <c r="A1308" s="5">
        <v>2983</v>
      </c>
      <c r="B1308" s="5">
        <v>1</v>
      </c>
      <c r="C1308" s="5">
        <v>1</v>
      </c>
      <c r="D1308" s="5" t="s">
        <v>2037</v>
      </c>
      <c r="E1308" s="5" t="s">
        <v>271</v>
      </c>
      <c r="F1308" s="5" t="s">
        <v>248</v>
      </c>
      <c r="G1308" s="5" t="s">
        <v>1969</v>
      </c>
      <c r="H1308" s="6" t="s">
        <v>2701</v>
      </c>
      <c r="I1308" s="7">
        <f>197</f>
        <v>197</v>
      </c>
      <c r="J1308" s="5" t="s">
        <v>262</v>
      </c>
      <c r="K1308" s="8">
        <f>1</f>
        <v>1</v>
      </c>
      <c r="L1308" s="6" t="s">
        <v>242</v>
      </c>
      <c r="M1308" s="5" t="s">
        <v>267</v>
      </c>
      <c r="N1308" s="5" t="s">
        <v>265</v>
      </c>
      <c r="O1308" s="5" t="s">
        <v>238</v>
      </c>
      <c r="P1308" s="5" t="s">
        <v>238</v>
      </c>
      <c r="Q1308" s="5" t="s">
        <v>268</v>
      </c>
      <c r="R1308" s="5" t="s">
        <v>270</v>
      </c>
      <c r="S1308" s="5" t="s">
        <v>238</v>
      </c>
      <c r="V1308" s="5" t="s">
        <v>238</v>
      </c>
      <c r="X1308" s="6" t="s">
        <v>238</v>
      </c>
      <c r="AA1308" s="6" t="s">
        <v>243</v>
      </c>
      <c r="AB1308" s="5" t="s">
        <v>238</v>
      </c>
      <c r="AC1308" s="5" t="s">
        <v>244</v>
      </c>
      <c r="AD1308" s="5" t="s">
        <v>245</v>
      </c>
      <c r="AT1308" s="5" t="s">
        <v>246</v>
      </c>
      <c r="AU1308" s="5" t="s">
        <v>238</v>
      </c>
      <c r="AV1308" s="5" t="s">
        <v>247</v>
      </c>
      <c r="AW1308" s="5" t="s">
        <v>238</v>
      </c>
      <c r="AX1308" s="5" t="s">
        <v>249</v>
      </c>
      <c r="AY1308" s="5" t="s">
        <v>238</v>
      </c>
      <c r="BA1308" s="5" t="s">
        <v>238</v>
      </c>
      <c r="BC1308" s="5" t="s">
        <v>250</v>
      </c>
      <c r="BD1308" s="6" t="s">
        <v>243</v>
      </c>
      <c r="BE1308" s="5" t="s">
        <v>251</v>
      </c>
      <c r="BF1308" s="5" t="s">
        <v>252</v>
      </c>
      <c r="BG1308" s="5" t="s">
        <v>238</v>
      </c>
      <c r="BH1308" s="7">
        <f>0</f>
        <v>0</v>
      </c>
      <c r="BI1308" s="8">
        <f>0</f>
        <v>0</v>
      </c>
      <c r="BJ1308" s="5" t="s">
        <v>253</v>
      </c>
      <c r="BK1308" s="5" t="s">
        <v>254</v>
      </c>
      <c r="BY1308" s="5" t="s">
        <v>238</v>
      </c>
      <c r="BZ1308" s="5" t="s">
        <v>238</v>
      </c>
      <c r="CD1308" s="5" t="s">
        <v>273</v>
      </c>
      <c r="CE1308" s="5" t="s">
        <v>256</v>
      </c>
      <c r="CF1308" s="5" t="s">
        <v>238</v>
      </c>
      <c r="CI1308" s="6" t="s">
        <v>257</v>
      </c>
      <c r="CJ1308" s="5" t="s">
        <v>238</v>
      </c>
      <c r="CK1308" s="5" t="s">
        <v>258</v>
      </c>
      <c r="CL1308" s="5" t="s">
        <v>238</v>
      </c>
      <c r="CM1308" s="5" t="s">
        <v>238</v>
      </c>
      <c r="CN1308" s="5">
        <v>0</v>
      </c>
      <c r="CO1308" s="5" t="s">
        <v>259</v>
      </c>
      <c r="CP1308" s="5" t="s">
        <v>260</v>
      </c>
      <c r="CQ1308" s="5" t="s">
        <v>260</v>
      </c>
      <c r="CR1308" s="5" t="s">
        <v>261</v>
      </c>
      <c r="CU1308" s="8">
        <f>1</f>
        <v>1</v>
      </c>
      <c r="CV1308" s="8">
        <f>0</f>
        <v>0</v>
      </c>
      <c r="CX1308" s="8">
        <f>0</f>
        <v>0</v>
      </c>
      <c r="CY1308" s="8">
        <f>1</f>
        <v>1</v>
      </c>
      <c r="DA1308" s="5" t="s">
        <v>673</v>
      </c>
      <c r="DB1308" s="5" t="s">
        <v>238</v>
      </c>
      <c r="DD1308" s="5" t="s">
        <v>673</v>
      </c>
      <c r="DE1308" s="8">
        <f>197</f>
        <v>197</v>
      </c>
      <c r="DG1308" s="5" t="s">
        <v>238</v>
      </c>
      <c r="DH1308" s="5" t="s">
        <v>238</v>
      </c>
      <c r="DI1308" s="5" t="s">
        <v>238</v>
      </c>
      <c r="DJ1308" s="5" t="s">
        <v>238</v>
      </c>
      <c r="DN1308" s="5" t="s">
        <v>238</v>
      </c>
      <c r="DO1308" s="5" t="s">
        <v>238</v>
      </c>
      <c r="DP1308" s="5" t="s">
        <v>238</v>
      </c>
      <c r="DQ1308" s="5" t="s">
        <v>238</v>
      </c>
      <c r="DT1308" s="5" t="s">
        <v>2039</v>
      </c>
      <c r="DU1308" s="5" t="s">
        <v>2702</v>
      </c>
      <c r="HM1308" s="5" t="s">
        <v>264</v>
      </c>
    </row>
    <row r="1309" spans="1:221" x14ac:dyDescent="0.4">
      <c r="A1309" s="5">
        <v>2984</v>
      </c>
      <c r="B1309" s="5">
        <v>1</v>
      </c>
      <c r="C1309" s="5">
        <v>1</v>
      </c>
      <c r="D1309" s="5" t="s">
        <v>2037</v>
      </c>
      <c r="E1309" s="5" t="s">
        <v>271</v>
      </c>
      <c r="F1309" s="5" t="s">
        <v>248</v>
      </c>
      <c r="G1309" s="5" t="s">
        <v>1969</v>
      </c>
      <c r="H1309" s="6" t="s">
        <v>2699</v>
      </c>
      <c r="I1309" s="7">
        <f>701</f>
        <v>701</v>
      </c>
      <c r="J1309" s="5" t="s">
        <v>262</v>
      </c>
      <c r="K1309" s="8">
        <f>1</f>
        <v>1</v>
      </c>
      <c r="L1309" s="6" t="s">
        <v>242</v>
      </c>
      <c r="M1309" s="5" t="s">
        <v>267</v>
      </c>
      <c r="N1309" s="5" t="s">
        <v>265</v>
      </c>
      <c r="O1309" s="5" t="s">
        <v>238</v>
      </c>
      <c r="P1309" s="5" t="s">
        <v>238</v>
      </c>
      <c r="Q1309" s="5" t="s">
        <v>268</v>
      </c>
      <c r="R1309" s="5" t="s">
        <v>270</v>
      </c>
      <c r="S1309" s="5" t="s">
        <v>238</v>
      </c>
      <c r="V1309" s="5" t="s">
        <v>238</v>
      </c>
      <c r="X1309" s="6" t="s">
        <v>238</v>
      </c>
      <c r="AA1309" s="6" t="s">
        <v>243</v>
      </c>
      <c r="AB1309" s="5" t="s">
        <v>238</v>
      </c>
      <c r="AC1309" s="5" t="s">
        <v>244</v>
      </c>
      <c r="AD1309" s="5" t="s">
        <v>245</v>
      </c>
      <c r="AT1309" s="5" t="s">
        <v>246</v>
      </c>
      <c r="AU1309" s="5" t="s">
        <v>238</v>
      </c>
      <c r="AV1309" s="5" t="s">
        <v>247</v>
      </c>
      <c r="AW1309" s="5" t="s">
        <v>238</v>
      </c>
      <c r="AX1309" s="5" t="s">
        <v>249</v>
      </c>
      <c r="AY1309" s="5" t="s">
        <v>238</v>
      </c>
      <c r="BA1309" s="5" t="s">
        <v>238</v>
      </c>
      <c r="BC1309" s="5" t="s">
        <v>250</v>
      </c>
      <c r="BD1309" s="6" t="s">
        <v>243</v>
      </c>
      <c r="BE1309" s="5" t="s">
        <v>251</v>
      </c>
      <c r="BF1309" s="5" t="s">
        <v>252</v>
      </c>
      <c r="BG1309" s="5" t="s">
        <v>238</v>
      </c>
      <c r="BH1309" s="7">
        <f>0</f>
        <v>0</v>
      </c>
      <c r="BI1309" s="8">
        <f>0</f>
        <v>0</v>
      </c>
      <c r="BJ1309" s="5" t="s">
        <v>253</v>
      </c>
      <c r="BK1309" s="5" t="s">
        <v>254</v>
      </c>
      <c r="BY1309" s="5" t="s">
        <v>238</v>
      </c>
      <c r="BZ1309" s="5" t="s">
        <v>238</v>
      </c>
      <c r="CD1309" s="5" t="s">
        <v>273</v>
      </c>
      <c r="CE1309" s="5" t="s">
        <v>256</v>
      </c>
      <c r="CF1309" s="5" t="s">
        <v>238</v>
      </c>
      <c r="CI1309" s="6" t="s">
        <v>257</v>
      </c>
      <c r="CJ1309" s="5" t="s">
        <v>238</v>
      </c>
      <c r="CK1309" s="5" t="s">
        <v>258</v>
      </c>
      <c r="CL1309" s="5" t="s">
        <v>238</v>
      </c>
      <c r="CM1309" s="5" t="s">
        <v>238</v>
      </c>
      <c r="CN1309" s="5">
        <v>0</v>
      </c>
      <c r="CO1309" s="5" t="s">
        <v>259</v>
      </c>
      <c r="CP1309" s="5" t="s">
        <v>260</v>
      </c>
      <c r="CQ1309" s="5" t="s">
        <v>260</v>
      </c>
      <c r="CR1309" s="5" t="s">
        <v>261</v>
      </c>
      <c r="CU1309" s="8">
        <f>1</f>
        <v>1</v>
      </c>
      <c r="CV1309" s="8">
        <f>0</f>
        <v>0</v>
      </c>
      <c r="CX1309" s="8">
        <f>0</f>
        <v>0</v>
      </c>
      <c r="CY1309" s="8">
        <f>1</f>
        <v>1</v>
      </c>
      <c r="DA1309" s="5" t="s">
        <v>673</v>
      </c>
      <c r="DB1309" s="5" t="s">
        <v>238</v>
      </c>
      <c r="DD1309" s="5" t="s">
        <v>673</v>
      </c>
      <c r="DE1309" s="8">
        <f>701</f>
        <v>701</v>
      </c>
      <c r="DG1309" s="5" t="s">
        <v>238</v>
      </c>
      <c r="DH1309" s="5" t="s">
        <v>238</v>
      </c>
      <c r="DI1309" s="5" t="s">
        <v>238</v>
      </c>
      <c r="DJ1309" s="5" t="s">
        <v>238</v>
      </c>
      <c r="DN1309" s="5" t="s">
        <v>238</v>
      </c>
      <c r="DO1309" s="5" t="s">
        <v>238</v>
      </c>
      <c r="DP1309" s="5" t="s">
        <v>238</v>
      </c>
      <c r="DQ1309" s="5" t="s">
        <v>238</v>
      </c>
      <c r="DT1309" s="5" t="s">
        <v>2039</v>
      </c>
      <c r="DU1309" s="5" t="s">
        <v>2700</v>
      </c>
      <c r="HM1309" s="5" t="s">
        <v>264</v>
      </c>
    </row>
    <row r="1310" spans="1:221" x14ac:dyDescent="0.4">
      <c r="A1310" s="5">
        <v>2985</v>
      </c>
      <c r="B1310" s="5">
        <v>1</v>
      </c>
      <c r="C1310" s="5">
        <v>1</v>
      </c>
      <c r="D1310" s="5" t="s">
        <v>2037</v>
      </c>
      <c r="E1310" s="5" t="s">
        <v>271</v>
      </c>
      <c r="F1310" s="5" t="s">
        <v>248</v>
      </c>
      <c r="G1310" s="5" t="s">
        <v>1969</v>
      </c>
      <c r="H1310" s="6" t="s">
        <v>2697</v>
      </c>
      <c r="I1310" s="7">
        <f>4109</f>
        <v>4109</v>
      </c>
      <c r="J1310" s="5" t="s">
        <v>262</v>
      </c>
      <c r="K1310" s="8">
        <f>1</f>
        <v>1</v>
      </c>
      <c r="L1310" s="6" t="s">
        <v>242</v>
      </c>
      <c r="M1310" s="5" t="s">
        <v>267</v>
      </c>
      <c r="N1310" s="5" t="s">
        <v>265</v>
      </c>
      <c r="O1310" s="5" t="s">
        <v>238</v>
      </c>
      <c r="P1310" s="5" t="s">
        <v>238</v>
      </c>
      <c r="Q1310" s="5" t="s">
        <v>268</v>
      </c>
      <c r="R1310" s="5" t="s">
        <v>270</v>
      </c>
      <c r="S1310" s="5" t="s">
        <v>238</v>
      </c>
      <c r="V1310" s="5" t="s">
        <v>238</v>
      </c>
      <c r="X1310" s="6" t="s">
        <v>238</v>
      </c>
      <c r="AA1310" s="6" t="s">
        <v>243</v>
      </c>
      <c r="AB1310" s="5" t="s">
        <v>238</v>
      </c>
      <c r="AC1310" s="5" t="s">
        <v>244</v>
      </c>
      <c r="AD1310" s="5" t="s">
        <v>245</v>
      </c>
      <c r="AT1310" s="5" t="s">
        <v>246</v>
      </c>
      <c r="AU1310" s="5" t="s">
        <v>238</v>
      </c>
      <c r="AV1310" s="5" t="s">
        <v>247</v>
      </c>
      <c r="AW1310" s="5" t="s">
        <v>238</v>
      </c>
      <c r="AX1310" s="5" t="s">
        <v>249</v>
      </c>
      <c r="AY1310" s="5" t="s">
        <v>238</v>
      </c>
      <c r="BA1310" s="5" t="s">
        <v>238</v>
      </c>
      <c r="BC1310" s="5" t="s">
        <v>250</v>
      </c>
      <c r="BD1310" s="6" t="s">
        <v>243</v>
      </c>
      <c r="BE1310" s="5" t="s">
        <v>251</v>
      </c>
      <c r="BF1310" s="5" t="s">
        <v>252</v>
      </c>
      <c r="BG1310" s="5" t="s">
        <v>238</v>
      </c>
      <c r="BH1310" s="7">
        <f>0</f>
        <v>0</v>
      </c>
      <c r="BI1310" s="8">
        <f>0</f>
        <v>0</v>
      </c>
      <c r="BJ1310" s="5" t="s">
        <v>253</v>
      </c>
      <c r="BK1310" s="5" t="s">
        <v>254</v>
      </c>
      <c r="BY1310" s="5" t="s">
        <v>238</v>
      </c>
      <c r="BZ1310" s="5" t="s">
        <v>238</v>
      </c>
      <c r="CD1310" s="5" t="s">
        <v>273</v>
      </c>
      <c r="CE1310" s="5" t="s">
        <v>256</v>
      </c>
      <c r="CF1310" s="5" t="s">
        <v>238</v>
      </c>
      <c r="CI1310" s="6" t="s">
        <v>257</v>
      </c>
      <c r="CJ1310" s="5" t="s">
        <v>238</v>
      </c>
      <c r="CK1310" s="5" t="s">
        <v>258</v>
      </c>
      <c r="CL1310" s="5" t="s">
        <v>238</v>
      </c>
      <c r="CM1310" s="5" t="s">
        <v>238</v>
      </c>
      <c r="CN1310" s="5">
        <v>0</v>
      </c>
      <c r="CO1310" s="5" t="s">
        <v>259</v>
      </c>
      <c r="CP1310" s="5" t="s">
        <v>260</v>
      </c>
      <c r="CQ1310" s="5" t="s">
        <v>260</v>
      </c>
      <c r="CR1310" s="5" t="s">
        <v>261</v>
      </c>
      <c r="CU1310" s="8">
        <f>1</f>
        <v>1</v>
      </c>
      <c r="CV1310" s="8">
        <f>0</f>
        <v>0</v>
      </c>
      <c r="CX1310" s="8">
        <f>0</f>
        <v>0</v>
      </c>
      <c r="CY1310" s="8">
        <f>1</f>
        <v>1</v>
      </c>
      <c r="DA1310" s="5" t="s">
        <v>673</v>
      </c>
      <c r="DB1310" s="5" t="s">
        <v>238</v>
      </c>
      <c r="DD1310" s="5" t="s">
        <v>673</v>
      </c>
      <c r="DE1310" s="8">
        <f>4109</f>
        <v>4109</v>
      </c>
      <c r="DG1310" s="5" t="s">
        <v>238</v>
      </c>
      <c r="DH1310" s="5" t="s">
        <v>238</v>
      </c>
      <c r="DI1310" s="5" t="s">
        <v>238</v>
      </c>
      <c r="DJ1310" s="5" t="s">
        <v>238</v>
      </c>
      <c r="DN1310" s="5" t="s">
        <v>238</v>
      </c>
      <c r="DO1310" s="5" t="s">
        <v>238</v>
      </c>
      <c r="DP1310" s="5" t="s">
        <v>238</v>
      </c>
      <c r="DQ1310" s="5" t="s">
        <v>238</v>
      </c>
      <c r="DT1310" s="5" t="s">
        <v>2039</v>
      </c>
      <c r="DU1310" s="5" t="s">
        <v>2698</v>
      </c>
      <c r="HM1310" s="5" t="s">
        <v>264</v>
      </c>
    </row>
    <row r="1311" spans="1:221" x14ac:dyDescent="0.4">
      <c r="A1311" s="5">
        <v>2986</v>
      </c>
      <c r="B1311" s="5">
        <v>1</v>
      </c>
      <c r="C1311" s="5">
        <v>1</v>
      </c>
      <c r="D1311" s="5" t="s">
        <v>2037</v>
      </c>
      <c r="E1311" s="5" t="s">
        <v>271</v>
      </c>
      <c r="F1311" s="5" t="s">
        <v>248</v>
      </c>
      <c r="G1311" s="5" t="s">
        <v>1969</v>
      </c>
      <c r="H1311" s="6" t="s">
        <v>2695</v>
      </c>
      <c r="I1311" s="7">
        <f>505</f>
        <v>505</v>
      </c>
      <c r="J1311" s="5" t="s">
        <v>262</v>
      </c>
      <c r="K1311" s="8">
        <f>1</f>
        <v>1</v>
      </c>
      <c r="L1311" s="6" t="s">
        <v>242</v>
      </c>
      <c r="M1311" s="5" t="s">
        <v>267</v>
      </c>
      <c r="N1311" s="5" t="s">
        <v>265</v>
      </c>
      <c r="O1311" s="5" t="s">
        <v>238</v>
      </c>
      <c r="P1311" s="5" t="s">
        <v>238</v>
      </c>
      <c r="Q1311" s="5" t="s">
        <v>268</v>
      </c>
      <c r="R1311" s="5" t="s">
        <v>270</v>
      </c>
      <c r="S1311" s="5" t="s">
        <v>238</v>
      </c>
      <c r="V1311" s="5" t="s">
        <v>238</v>
      </c>
      <c r="X1311" s="6" t="s">
        <v>238</v>
      </c>
      <c r="AA1311" s="6" t="s">
        <v>243</v>
      </c>
      <c r="AB1311" s="5" t="s">
        <v>238</v>
      </c>
      <c r="AC1311" s="5" t="s">
        <v>244</v>
      </c>
      <c r="AD1311" s="5" t="s">
        <v>245</v>
      </c>
      <c r="AT1311" s="5" t="s">
        <v>246</v>
      </c>
      <c r="AU1311" s="5" t="s">
        <v>238</v>
      </c>
      <c r="AV1311" s="5" t="s">
        <v>247</v>
      </c>
      <c r="AW1311" s="5" t="s">
        <v>238</v>
      </c>
      <c r="AX1311" s="5" t="s">
        <v>249</v>
      </c>
      <c r="AY1311" s="5" t="s">
        <v>238</v>
      </c>
      <c r="BA1311" s="5" t="s">
        <v>238</v>
      </c>
      <c r="BC1311" s="5" t="s">
        <v>250</v>
      </c>
      <c r="BD1311" s="6" t="s">
        <v>243</v>
      </c>
      <c r="BE1311" s="5" t="s">
        <v>251</v>
      </c>
      <c r="BF1311" s="5" t="s">
        <v>252</v>
      </c>
      <c r="BG1311" s="5" t="s">
        <v>238</v>
      </c>
      <c r="BH1311" s="7">
        <f>0</f>
        <v>0</v>
      </c>
      <c r="BI1311" s="8">
        <f>0</f>
        <v>0</v>
      </c>
      <c r="BJ1311" s="5" t="s">
        <v>253</v>
      </c>
      <c r="BK1311" s="5" t="s">
        <v>254</v>
      </c>
      <c r="BY1311" s="5" t="s">
        <v>238</v>
      </c>
      <c r="BZ1311" s="5" t="s">
        <v>238</v>
      </c>
      <c r="CD1311" s="5" t="s">
        <v>273</v>
      </c>
      <c r="CE1311" s="5" t="s">
        <v>256</v>
      </c>
      <c r="CF1311" s="5" t="s">
        <v>238</v>
      </c>
      <c r="CI1311" s="6" t="s">
        <v>257</v>
      </c>
      <c r="CJ1311" s="5" t="s">
        <v>238</v>
      </c>
      <c r="CK1311" s="5" t="s">
        <v>258</v>
      </c>
      <c r="CL1311" s="5" t="s">
        <v>238</v>
      </c>
      <c r="CM1311" s="5" t="s">
        <v>238</v>
      </c>
      <c r="CN1311" s="5">
        <v>0</v>
      </c>
      <c r="CO1311" s="5" t="s">
        <v>259</v>
      </c>
      <c r="CP1311" s="5" t="s">
        <v>260</v>
      </c>
      <c r="CQ1311" s="5" t="s">
        <v>260</v>
      </c>
      <c r="CR1311" s="5" t="s">
        <v>261</v>
      </c>
      <c r="CU1311" s="8">
        <f>1</f>
        <v>1</v>
      </c>
      <c r="CV1311" s="8">
        <f>0</f>
        <v>0</v>
      </c>
      <c r="CX1311" s="8">
        <f>0</f>
        <v>0</v>
      </c>
      <c r="CY1311" s="8">
        <f>1</f>
        <v>1</v>
      </c>
      <c r="DA1311" s="5" t="s">
        <v>673</v>
      </c>
      <c r="DB1311" s="5" t="s">
        <v>238</v>
      </c>
      <c r="DD1311" s="5" t="s">
        <v>673</v>
      </c>
      <c r="DE1311" s="8">
        <f>505</f>
        <v>505</v>
      </c>
      <c r="DG1311" s="5" t="s">
        <v>238</v>
      </c>
      <c r="DH1311" s="5" t="s">
        <v>238</v>
      </c>
      <c r="DI1311" s="5" t="s">
        <v>238</v>
      </c>
      <c r="DJ1311" s="5" t="s">
        <v>238</v>
      </c>
      <c r="DN1311" s="5" t="s">
        <v>238</v>
      </c>
      <c r="DO1311" s="5" t="s">
        <v>238</v>
      </c>
      <c r="DP1311" s="5" t="s">
        <v>238</v>
      </c>
      <c r="DQ1311" s="5" t="s">
        <v>238</v>
      </c>
      <c r="DT1311" s="5" t="s">
        <v>2039</v>
      </c>
      <c r="DU1311" s="5" t="s">
        <v>2696</v>
      </c>
      <c r="HM1311" s="5" t="s">
        <v>264</v>
      </c>
    </row>
    <row r="1312" spans="1:221" x14ac:dyDescent="0.4">
      <c r="A1312" s="5">
        <v>2987</v>
      </c>
      <c r="B1312" s="5">
        <v>1</v>
      </c>
      <c r="C1312" s="5">
        <v>1</v>
      </c>
      <c r="D1312" s="5" t="s">
        <v>2037</v>
      </c>
      <c r="E1312" s="5" t="s">
        <v>271</v>
      </c>
      <c r="F1312" s="5" t="s">
        <v>248</v>
      </c>
      <c r="G1312" s="5" t="s">
        <v>1969</v>
      </c>
      <c r="H1312" s="6" t="s">
        <v>2693</v>
      </c>
      <c r="I1312" s="7">
        <f>2388</f>
        <v>2388</v>
      </c>
      <c r="J1312" s="5" t="s">
        <v>262</v>
      </c>
      <c r="K1312" s="8">
        <f>1</f>
        <v>1</v>
      </c>
      <c r="L1312" s="6" t="s">
        <v>242</v>
      </c>
      <c r="M1312" s="5" t="s">
        <v>267</v>
      </c>
      <c r="N1312" s="5" t="s">
        <v>265</v>
      </c>
      <c r="O1312" s="5" t="s">
        <v>238</v>
      </c>
      <c r="P1312" s="5" t="s">
        <v>238</v>
      </c>
      <c r="Q1312" s="5" t="s">
        <v>268</v>
      </c>
      <c r="R1312" s="5" t="s">
        <v>270</v>
      </c>
      <c r="S1312" s="5" t="s">
        <v>238</v>
      </c>
      <c r="V1312" s="5" t="s">
        <v>238</v>
      </c>
      <c r="X1312" s="6" t="s">
        <v>238</v>
      </c>
      <c r="AA1312" s="6" t="s">
        <v>243</v>
      </c>
      <c r="AB1312" s="5" t="s">
        <v>238</v>
      </c>
      <c r="AC1312" s="5" t="s">
        <v>244</v>
      </c>
      <c r="AD1312" s="5" t="s">
        <v>245</v>
      </c>
      <c r="AT1312" s="5" t="s">
        <v>246</v>
      </c>
      <c r="AU1312" s="5" t="s">
        <v>238</v>
      </c>
      <c r="AV1312" s="5" t="s">
        <v>247</v>
      </c>
      <c r="AW1312" s="5" t="s">
        <v>238</v>
      </c>
      <c r="AX1312" s="5" t="s">
        <v>249</v>
      </c>
      <c r="AY1312" s="5" t="s">
        <v>238</v>
      </c>
      <c r="BA1312" s="5" t="s">
        <v>238</v>
      </c>
      <c r="BC1312" s="5" t="s">
        <v>250</v>
      </c>
      <c r="BD1312" s="6" t="s">
        <v>243</v>
      </c>
      <c r="BE1312" s="5" t="s">
        <v>251</v>
      </c>
      <c r="BF1312" s="5" t="s">
        <v>252</v>
      </c>
      <c r="BG1312" s="5" t="s">
        <v>238</v>
      </c>
      <c r="BH1312" s="7">
        <f>0</f>
        <v>0</v>
      </c>
      <c r="BI1312" s="8">
        <f>0</f>
        <v>0</v>
      </c>
      <c r="BJ1312" s="5" t="s">
        <v>253</v>
      </c>
      <c r="BK1312" s="5" t="s">
        <v>254</v>
      </c>
      <c r="BY1312" s="5" t="s">
        <v>238</v>
      </c>
      <c r="BZ1312" s="5" t="s">
        <v>238</v>
      </c>
      <c r="CD1312" s="5" t="s">
        <v>273</v>
      </c>
      <c r="CE1312" s="5" t="s">
        <v>256</v>
      </c>
      <c r="CF1312" s="5" t="s">
        <v>238</v>
      </c>
      <c r="CI1312" s="6" t="s">
        <v>257</v>
      </c>
      <c r="CJ1312" s="5" t="s">
        <v>238</v>
      </c>
      <c r="CK1312" s="5" t="s">
        <v>258</v>
      </c>
      <c r="CL1312" s="5" t="s">
        <v>238</v>
      </c>
      <c r="CM1312" s="5" t="s">
        <v>238</v>
      </c>
      <c r="CN1312" s="5">
        <v>0</v>
      </c>
      <c r="CO1312" s="5" t="s">
        <v>259</v>
      </c>
      <c r="CP1312" s="5" t="s">
        <v>260</v>
      </c>
      <c r="CQ1312" s="5" t="s">
        <v>260</v>
      </c>
      <c r="CR1312" s="5" t="s">
        <v>261</v>
      </c>
      <c r="CU1312" s="8">
        <f>1</f>
        <v>1</v>
      </c>
      <c r="CV1312" s="8">
        <f>0</f>
        <v>0</v>
      </c>
      <c r="CX1312" s="8">
        <f>0</f>
        <v>0</v>
      </c>
      <c r="CY1312" s="8">
        <f>1</f>
        <v>1</v>
      </c>
      <c r="DA1312" s="5" t="s">
        <v>673</v>
      </c>
      <c r="DB1312" s="5" t="s">
        <v>238</v>
      </c>
      <c r="DD1312" s="5" t="s">
        <v>673</v>
      </c>
      <c r="DE1312" s="8">
        <f>2388</f>
        <v>2388</v>
      </c>
      <c r="DG1312" s="5" t="s">
        <v>238</v>
      </c>
      <c r="DH1312" s="5" t="s">
        <v>238</v>
      </c>
      <c r="DI1312" s="5" t="s">
        <v>238</v>
      </c>
      <c r="DJ1312" s="5" t="s">
        <v>238</v>
      </c>
      <c r="DN1312" s="5" t="s">
        <v>238</v>
      </c>
      <c r="DO1312" s="5" t="s">
        <v>238</v>
      </c>
      <c r="DP1312" s="5" t="s">
        <v>238</v>
      </c>
      <c r="DQ1312" s="5" t="s">
        <v>238</v>
      </c>
      <c r="DT1312" s="5" t="s">
        <v>2039</v>
      </c>
      <c r="DU1312" s="5" t="s">
        <v>2694</v>
      </c>
      <c r="HM1312" s="5" t="s">
        <v>264</v>
      </c>
    </row>
    <row r="1313" spans="1:221" x14ac:dyDescent="0.4">
      <c r="A1313" s="5">
        <v>2988</v>
      </c>
      <c r="B1313" s="5">
        <v>1</v>
      </c>
      <c r="C1313" s="5">
        <v>1</v>
      </c>
      <c r="D1313" s="5" t="s">
        <v>2037</v>
      </c>
      <c r="E1313" s="5" t="s">
        <v>271</v>
      </c>
      <c r="F1313" s="5" t="s">
        <v>248</v>
      </c>
      <c r="G1313" s="5" t="s">
        <v>1969</v>
      </c>
      <c r="H1313" s="6" t="s">
        <v>2691</v>
      </c>
      <c r="I1313" s="7">
        <f>1478</f>
        <v>1478</v>
      </c>
      <c r="J1313" s="5" t="s">
        <v>262</v>
      </c>
      <c r="K1313" s="8">
        <f>1</f>
        <v>1</v>
      </c>
      <c r="L1313" s="6" t="s">
        <v>242</v>
      </c>
      <c r="M1313" s="5" t="s">
        <v>267</v>
      </c>
      <c r="N1313" s="5" t="s">
        <v>265</v>
      </c>
      <c r="O1313" s="5" t="s">
        <v>238</v>
      </c>
      <c r="P1313" s="5" t="s">
        <v>238</v>
      </c>
      <c r="Q1313" s="5" t="s">
        <v>268</v>
      </c>
      <c r="R1313" s="5" t="s">
        <v>270</v>
      </c>
      <c r="S1313" s="5" t="s">
        <v>238</v>
      </c>
      <c r="V1313" s="5" t="s">
        <v>238</v>
      </c>
      <c r="X1313" s="6" t="s">
        <v>238</v>
      </c>
      <c r="AA1313" s="6" t="s">
        <v>243</v>
      </c>
      <c r="AB1313" s="5" t="s">
        <v>238</v>
      </c>
      <c r="AC1313" s="5" t="s">
        <v>244</v>
      </c>
      <c r="AD1313" s="5" t="s">
        <v>245</v>
      </c>
      <c r="AT1313" s="5" t="s">
        <v>246</v>
      </c>
      <c r="AU1313" s="5" t="s">
        <v>238</v>
      </c>
      <c r="AV1313" s="5" t="s">
        <v>247</v>
      </c>
      <c r="AW1313" s="5" t="s">
        <v>238</v>
      </c>
      <c r="AX1313" s="5" t="s">
        <v>249</v>
      </c>
      <c r="AY1313" s="5" t="s">
        <v>238</v>
      </c>
      <c r="BA1313" s="5" t="s">
        <v>238</v>
      </c>
      <c r="BC1313" s="5" t="s">
        <v>250</v>
      </c>
      <c r="BD1313" s="6" t="s">
        <v>243</v>
      </c>
      <c r="BE1313" s="5" t="s">
        <v>251</v>
      </c>
      <c r="BF1313" s="5" t="s">
        <v>252</v>
      </c>
      <c r="BG1313" s="5" t="s">
        <v>238</v>
      </c>
      <c r="BH1313" s="7">
        <f>0</f>
        <v>0</v>
      </c>
      <c r="BI1313" s="8">
        <f>0</f>
        <v>0</v>
      </c>
      <c r="BJ1313" s="5" t="s">
        <v>253</v>
      </c>
      <c r="BK1313" s="5" t="s">
        <v>254</v>
      </c>
      <c r="BY1313" s="5" t="s">
        <v>238</v>
      </c>
      <c r="BZ1313" s="5" t="s">
        <v>238</v>
      </c>
      <c r="CD1313" s="5" t="s">
        <v>273</v>
      </c>
      <c r="CE1313" s="5" t="s">
        <v>256</v>
      </c>
      <c r="CF1313" s="5" t="s">
        <v>238</v>
      </c>
      <c r="CI1313" s="6" t="s">
        <v>257</v>
      </c>
      <c r="CJ1313" s="5" t="s">
        <v>238</v>
      </c>
      <c r="CK1313" s="5" t="s">
        <v>258</v>
      </c>
      <c r="CL1313" s="5" t="s">
        <v>238</v>
      </c>
      <c r="CM1313" s="5" t="s">
        <v>238</v>
      </c>
      <c r="CN1313" s="5">
        <v>0</v>
      </c>
      <c r="CO1313" s="5" t="s">
        <v>259</v>
      </c>
      <c r="CP1313" s="5" t="s">
        <v>260</v>
      </c>
      <c r="CQ1313" s="5" t="s">
        <v>260</v>
      </c>
      <c r="CR1313" s="5" t="s">
        <v>261</v>
      </c>
      <c r="CU1313" s="8">
        <f>1</f>
        <v>1</v>
      </c>
      <c r="CV1313" s="8">
        <f>0</f>
        <v>0</v>
      </c>
      <c r="CX1313" s="8">
        <f>0</f>
        <v>0</v>
      </c>
      <c r="CY1313" s="8">
        <f>1</f>
        <v>1</v>
      </c>
      <c r="DA1313" s="5" t="s">
        <v>673</v>
      </c>
      <c r="DB1313" s="5" t="s">
        <v>238</v>
      </c>
      <c r="DD1313" s="5" t="s">
        <v>673</v>
      </c>
      <c r="DE1313" s="8">
        <f>1478</f>
        <v>1478</v>
      </c>
      <c r="DG1313" s="5" t="s">
        <v>238</v>
      </c>
      <c r="DH1313" s="5" t="s">
        <v>238</v>
      </c>
      <c r="DI1313" s="5" t="s">
        <v>238</v>
      </c>
      <c r="DJ1313" s="5" t="s">
        <v>238</v>
      </c>
      <c r="DN1313" s="5" t="s">
        <v>238</v>
      </c>
      <c r="DO1313" s="5" t="s">
        <v>238</v>
      </c>
      <c r="DP1313" s="5" t="s">
        <v>238</v>
      </c>
      <c r="DQ1313" s="5" t="s">
        <v>238</v>
      </c>
      <c r="DT1313" s="5" t="s">
        <v>2039</v>
      </c>
      <c r="DU1313" s="5" t="s">
        <v>2692</v>
      </c>
      <c r="HM1313" s="5" t="s">
        <v>264</v>
      </c>
    </row>
    <row r="1314" spans="1:221" x14ac:dyDescent="0.4">
      <c r="A1314" s="5">
        <v>2989</v>
      </c>
      <c r="B1314" s="5">
        <v>1</v>
      </c>
      <c r="C1314" s="5">
        <v>1</v>
      </c>
      <c r="D1314" s="5" t="s">
        <v>2037</v>
      </c>
      <c r="E1314" s="5" t="s">
        <v>271</v>
      </c>
      <c r="F1314" s="5" t="s">
        <v>248</v>
      </c>
      <c r="G1314" s="5" t="s">
        <v>1969</v>
      </c>
      <c r="H1314" s="6" t="s">
        <v>2689</v>
      </c>
      <c r="I1314" s="7">
        <f>5594</f>
        <v>5594</v>
      </c>
      <c r="J1314" s="5" t="s">
        <v>262</v>
      </c>
      <c r="K1314" s="8">
        <f>1</f>
        <v>1</v>
      </c>
      <c r="L1314" s="6" t="s">
        <v>242</v>
      </c>
      <c r="M1314" s="5" t="s">
        <v>267</v>
      </c>
      <c r="N1314" s="5" t="s">
        <v>265</v>
      </c>
      <c r="O1314" s="5" t="s">
        <v>238</v>
      </c>
      <c r="P1314" s="5" t="s">
        <v>238</v>
      </c>
      <c r="Q1314" s="5" t="s">
        <v>268</v>
      </c>
      <c r="R1314" s="5" t="s">
        <v>270</v>
      </c>
      <c r="S1314" s="5" t="s">
        <v>238</v>
      </c>
      <c r="V1314" s="5" t="s">
        <v>238</v>
      </c>
      <c r="X1314" s="6" t="s">
        <v>238</v>
      </c>
      <c r="AA1314" s="6" t="s">
        <v>243</v>
      </c>
      <c r="AB1314" s="5" t="s">
        <v>238</v>
      </c>
      <c r="AC1314" s="5" t="s">
        <v>244</v>
      </c>
      <c r="AD1314" s="5" t="s">
        <v>245</v>
      </c>
      <c r="AT1314" s="5" t="s">
        <v>246</v>
      </c>
      <c r="AU1314" s="5" t="s">
        <v>238</v>
      </c>
      <c r="AV1314" s="5" t="s">
        <v>247</v>
      </c>
      <c r="AW1314" s="5" t="s">
        <v>238</v>
      </c>
      <c r="AX1314" s="5" t="s">
        <v>249</v>
      </c>
      <c r="AY1314" s="5" t="s">
        <v>238</v>
      </c>
      <c r="BA1314" s="5" t="s">
        <v>238</v>
      </c>
      <c r="BC1314" s="5" t="s">
        <v>250</v>
      </c>
      <c r="BD1314" s="6" t="s">
        <v>243</v>
      </c>
      <c r="BE1314" s="5" t="s">
        <v>251</v>
      </c>
      <c r="BF1314" s="5" t="s">
        <v>252</v>
      </c>
      <c r="BG1314" s="5" t="s">
        <v>238</v>
      </c>
      <c r="BH1314" s="7">
        <f>0</f>
        <v>0</v>
      </c>
      <c r="BI1314" s="8">
        <f>0</f>
        <v>0</v>
      </c>
      <c r="BJ1314" s="5" t="s">
        <v>253</v>
      </c>
      <c r="BK1314" s="5" t="s">
        <v>254</v>
      </c>
      <c r="BY1314" s="5" t="s">
        <v>238</v>
      </c>
      <c r="BZ1314" s="5" t="s">
        <v>238</v>
      </c>
      <c r="CD1314" s="5" t="s">
        <v>273</v>
      </c>
      <c r="CE1314" s="5" t="s">
        <v>256</v>
      </c>
      <c r="CF1314" s="5" t="s">
        <v>238</v>
      </c>
      <c r="CI1314" s="6" t="s">
        <v>257</v>
      </c>
      <c r="CJ1314" s="5" t="s">
        <v>238</v>
      </c>
      <c r="CK1314" s="5" t="s">
        <v>258</v>
      </c>
      <c r="CL1314" s="5" t="s">
        <v>238</v>
      </c>
      <c r="CM1314" s="5" t="s">
        <v>238</v>
      </c>
      <c r="CN1314" s="5">
        <v>0</v>
      </c>
      <c r="CO1314" s="5" t="s">
        <v>259</v>
      </c>
      <c r="CP1314" s="5" t="s">
        <v>260</v>
      </c>
      <c r="CQ1314" s="5" t="s">
        <v>260</v>
      </c>
      <c r="CR1314" s="5" t="s">
        <v>261</v>
      </c>
      <c r="CU1314" s="8">
        <f>1</f>
        <v>1</v>
      </c>
      <c r="CV1314" s="8">
        <f>0</f>
        <v>0</v>
      </c>
      <c r="CX1314" s="8">
        <f>0</f>
        <v>0</v>
      </c>
      <c r="CY1314" s="8">
        <f>1</f>
        <v>1</v>
      </c>
      <c r="DA1314" s="5" t="s">
        <v>673</v>
      </c>
      <c r="DB1314" s="5" t="s">
        <v>238</v>
      </c>
      <c r="DD1314" s="5" t="s">
        <v>673</v>
      </c>
      <c r="DE1314" s="8">
        <f>5594</f>
        <v>5594</v>
      </c>
      <c r="DG1314" s="5" t="s">
        <v>238</v>
      </c>
      <c r="DH1314" s="5" t="s">
        <v>238</v>
      </c>
      <c r="DI1314" s="5" t="s">
        <v>238</v>
      </c>
      <c r="DJ1314" s="5" t="s">
        <v>238</v>
      </c>
      <c r="DN1314" s="5" t="s">
        <v>238</v>
      </c>
      <c r="DO1314" s="5" t="s">
        <v>238</v>
      </c>
      <c r="DP1314" s="5" t="s">
        <v>238</v>
      </c>
      <c r="DQ1314" s="5" t="s">
        <v>238</v>
      </c>
      <c r="DT1314" s="5" t="s">
        <v>2039</v>
      </c>
      <c r="DU1314" s="5" t="s">
        <v>2690</v>
      </c>
      <c r="HM1314" s="5" t="s">
        <v>264</v>
      </c>
    </row>
    <row r="1315" spans="1:221" x14ac:dyDescent="0.4">
      <c r="A1315" s="5">
        <v>2990</v>
      </c>
      <c r="B1315" s="5">
        <v>1</v>
      </c>
      <c r="C1315" s="5">
        <v>1</v>
      </c>
      <c r="D1315" s="5" t="s">
        <v>2037</v>
      </c>
      <c r="E1315" s="5" t="s">
        <v>271</v>
      </c>
      <c r="F1315" s="5" t="s">
        <v>248</v>
      </c>
      <c r="G1315" s="5" t="s">
        <v>1969</v>
      </c>
      <c r="H1315" s="6" t="s">
        <v>2687</v>
      </c>
      <c r="I1315" s="7">
        <f>106</f>
        <v>106</v>
      </c>
      <c r="J1315" s="5" t="s">
        <v>262</v>
      </c>
      <c r="K1315" s="8">
        <f>1</f>
        <v>1</v>
      </c>
      <c r="L1315" s="6" t="s">
        <v>242</v>
      </c>
      <c r="M1315" s="5" t="s">
        <v>267</v>
      </c>
      <c r="N1315" s="5" t="s">
        <v>265</v>
      </c>
      <c r="O1315" s="5" t="s">
        <v>238</v>
      </c>
      <c r="P1315" s="5" t="s">
        <v>238</v>
      </c>
      <c r="Q1315" s="5" t="s">
        <v>268</v>
      </c>
      <c r="R1315" s="5" t="s">
        <v>270</v>
      </c>
      <c r="S1315" s="5" t="s">
        <v>238</v>
      </c>
      <c r="V1315" s="5" t="s">
        <v>238</v>
      </c>
      <c r="X1315" s="6" t="s">
        <v>238</v>
      </c>
      <c r="AA1315" s="6" t="s">
        <v>243</v>
      </c>
      <c r="AB1315" s="5" t="s">
        <v>238</v>
      </c>
      <c r="AC1315" s="5" t="s">
        <v>244</v>
      </c>
      <c r="AD1315" s="5" t="s">
        <v>245</v>
      </c>
      <c r="AT1315" s="5" t="s">
        <v>246</v>
      </c>
      <c r="AU1315" s="5" t="s">
        <v>238</v>
      </c>
      <c r="AV1315" s="5" t="s">
        <v>247</v>
      </c>
      <c r="AW1315" s="5" t="s">
        <v>238</v>
      </c>
      <c r="AX1315" s="5" t="s">
        <v>249</v>
      </c>
      <c r="AY1315" s="5" t="s">
        <v>238</v>
      </c>
      <c r="BA1315" s="5" t="s">
        <v>238</v>
      </c>
      <c r="BC1315" s="5" t="s">
        <v>250</v>
      </c>
      <c r="BD1315" s="6" t="s">
        <v>243</v>
      </c>
      <c r="BE1315" s="5" t="s">
        <v>251</v>
      </c>
      <c r="BF1315" s="5" t="s">
        <v>252</v>
      </c>
      <c r="BG1315" s="5" t="s">
        <v>238</v>
      </c>
      <c r="BH1315" s="7">
        <f>0</f>
        <v>0</v>
      </c>
      <c r="BI1315" s="8">
        <f>0</f>
        <v>0</v>
      </c>
      <c r="BJ1315" s="5" t="s">
        <v>253</v>
      </c>
      <c r="BK1315" s="5" t="s">
        <v>254</v>
      </c>
      <c r="BY1315" s="5" t="s">
        <v>238</v>
      </c>
      <c r="BZ1315" s="5" t="s">
        <v>238</v>
      </c>
      <c r="CD1315" s="5" t="s">
        <v>273</v>
      </c>
      <c r="CE1315" s="5" t="s">
        <v>256</v>
      </c>
      <c r="CF1315" s="5" t="s">
        <v>238</v>
      </c>
      <c r="CI1315" s="6" t="s">
        <v>257</v>
      </c>
      <c r="CJ1315" s="5" t="s">
        <v>238</v>
      </c>
      <c r="CK1315" s="5" t="s">
        <v>258</v>
      </c>
      <c r="CL1315" s="5" t="s">
        <v>238</v>
      </c>
      <c r="CM1315" s="5" t="s">
        <v>238</v>
      </c>
      <c r="CN1315" s="5">
        <v>0</v>
      </c>
      <c r="CO1315" s="5" t="s">
        <v>259</v>
      </c>
      <c r="CP1315" s="5" t="s">
        <v>260</v>
      </c>
      <c r="CQ1315" s="5" t="s">
        <v>260</v>
      </c>
      <c r="CR1315" s="5" t="s">
        <v>261</v>
      </c>
      <c r="CU1315" s="8">
        <f>1</f>
        <v>1</v>
      </c>
      <c r="CV1315" s="8">
        <f>0</f>
        <v>0</v>
      </c>
      <c r="CX1315" s="8">
        <f>0</f>
        <v>0</v>
      </c>
      <c r="CY1315" s="8">
        <f>1</f>
        <v>1</v>
      </c>
      <c r="DA1315" s="5" t="s">
        <v>673</v>
      </c>
      <c r="DB1315" s="5" t="s">
        <v>238</v>
      </c>
      <c r="DD1315" s="5" t="s">
        <v>673</v>
      </c>
      <c r="DE1315" s="8">
        <f>106</f>
        <v>106</v>
      </c>
      <c r="DG1315" s="5" t="s">
        <v>238</v>
      </c>
      <c r="DH1315" s="5" t="s">
        <v>238</v>
      </c>
      <c r="DI1315" s="5" t="s">
        <v>238</v>
      </c>
      <c r="DJ1315" s="5" t="s">
        <v>238</v>
      </c>
      <c r="DN1315" s="5" t="s">
        <v>238</v>
      </c>
      <c r="DO1315" s="5" t="s">
        <v>238</v>
      </c>
      <c r="DP1315" s="5" t="s">
        <v>238</v>
      </c>
      <c r="DQ1315" s="5" t="s">
        <v>238</v>
      </c>
      <c r="DT1315" s="5" t="s">
        <v>2039</v>
      </c>
      <c r="DU1315" s="5" t="s">
        <v>2688</v>
      </c>
      <c r="HM1315" s="5" t="s">
        <v>264</v>
      </c>
    </row>
    <row r="1316" spans="1:221" x14ac:dyDescent="0.4">
      <c r="A1316" s="5">
        <v>2991</v>
      </c>
      <c r="B1316" s="5">
        <v>1</v>
      </c>
      <c r="C1316" s="5">
        <v>1</v>
      </c>
      <c r="D1316" s="5" t="s">
        <v>2037</v>
      </c>
      <c r="E1316" s="5" t="s">
        <v>271</v>
      </c>
      <c r="F1316" s="5" t="s">
        <v>248</v>
      </c>
      <c r="G1316" s="5" t="s">
        <v>1969</v>
      </c>
      <c r="H1316" s="6" t="s">
        <v>2685</v>
      </c>
      <c r="I1316" s="7">
        <f>681</f>
        <v>681</v>
      </c>
      <c r="J1316" s="5" t="s">
        <v>262</v>
      </c>
      <c r="K1316" s="8">
        <f>1</f>
        <v>1</v>
      </c>
      <c r="L1316" s="6" t="s">
        <v>242</v>
      </c>
      <c r="M1316" s="5" t="s">
        <v>267</v>
      </c>
      <c r="N1316" s="5" t="s">
        <v>265</v>
      </c>
      <c r="O1316" s="5" t="s">
        <v>238</v>
      </c>
      <c r="P1316" s="5" t="s">
        <v>238</v>
      </c>
      <c r="Q1316" s="5" t="s">
        <v>268</v>
      </c>
      <c r="R1316" s="5" t="s">
        <v>270</v>
      </c>
      <c r="S1316" s="5" t="s">
        <v>238</v>
      </c>
      <c r="V1316" s="5" t="s">
        <v>238</v>
      </c>
      <c r="X1316" s="6" t="s">
        <v>238</v>
      </c>
      <c r="AA1316" s="6" t="s">
        <v>243</v>
      </c>
      <c r="AB1316" s="5" t="s">
        <v>238</v>
      </c>
      <c r="AC1316" s="5" t="s">
        <v>244</v>
      </c>
      <c r="AD1316" s="5" t="s">
        <v>245</v>
      </c>
      <c r="AT1316" s="5" t="s">
        <v>246</v>
      </c>
      <c r="AU1316" s="5" t="s">
        <v>238</v>
      </c>
      <c r="AV1316" s="5" t="s">
        <v>247</v>
      </c>
      <c r="AW1316" s="5" t="s">
        <v>238</v>
      </c>
      <c r="AX1316" s="5" t="s">
        <v>249</v>
      </c>
      <c r="AY1316" s="5" t="s">
        <v>238</v>
      </c>
      <c r="BA1316" s="5" t="s">
        <v>238</v>
      </c>
      <c r="BC1316" s="5" t="s">
        <v>250</v>
      </c>
      <c r="BD1316" s="6" t="s">
        <v>243</v>
      </c>
      <c r="BE1316" s="5" t="s">
        <v>251</v>
      </c>
      <c r="BF1316" s="5" t="s">
        <v>252</v>
      </c>
      <c r="BG1316" s="5" t="s">
        <v>238</v>
      </c>
      <c r="BH1316" s="7">
        <f>0</f>
        <v>0</v>
      </c>
      <c r="BI1316" s="8">
        <f>0</f>
        <v>0</v>
      </c>
      <c r="BJ1316" s="5" t="s">
        <v>253</v>
      </c>
      <c r="BK1316" s="5" t="s">
        <v>254</v>
      </c>
      <c r="BY1316" s="5" t="s">
        <v>238</v>
      </c>
      <c r="BZ1316" s="5" t="s">
        <v>238</v>
      </c>
      <c r="CD1316" s="5" t="s">
        <v>273</v>
      </c>
      <c r="CE1316" s="5" t="s">
        <v>256</v>
      </c>
      <c r="CF1316" s="5" t="s">
        <v>238</v>
      </c>
      <c r="CI1316" s="6" t="s">
        <v>257</v>
      </c>
      <c r="CJ1316" s="5" t="s">
        <v>238</v>
      </c>
      <c r="CK1316" s="5" t="s">
        <v>258</v>
      </c>
      <c r="CL1316" s="5" t="s">
        <v>238</v>
      </c>
      <c r="CM1316" s="5" t="s">
        <v>238</v>
      </c>
      <c r="CN1316" s="5">
        <v>0</v>
      </c>
      <c r="CO1316" s="5" t="s">
        <v>259</v>
      </c>
      <c r="CP1316" s="5" t="s">
        <v>260</v>
      </c>
      <c r="CQ1316" s="5" t="s">
        <v>260</v>
      </c>
      <c r="CR1316" s="5" t="s">
        <v>261</v>
      </c>
      <c r="CU1316" s="8">
        <f>1</f>
        <v>1</v>
      </c>
      <c r="CV1316" s="8">
        <f>0</f>
        <v>0</v>
      </c>
      <c r="CX1316" s="8">
        <f>0</f>
        <v>0</v>
      </c>
      <c r="CY1316" s="8">
        <f>1</f>
        <v>1</v>
      </c>
      <c r="DA1316" s="5" t="s">
        <v>673</v>
      </c>
      <c r="DB1316" s="5" t="s">
        <v>238</v>
      </c>
      <c r="DD1316" s="5" t="s">
        <v>673</v>
      </c>
      <c r="DE1316" s="8">
        <f>681</f>
        <v>681</v>
      </c>
      <c r="DG1316" s="5" t="s">
        <v>238</v>
      </c>
      <c r="DH1316" s="5" t="s">
        <v>238</v>
      </c>
      <c r="DI1316" s="5" t="s">
        <v>238</v>
      </c>
      <c r="DJ1316" s="5" t="s">
        <v>238</v>
      </c>
      <c r="DN1316" s="5" t="s">
        <v>238</v>
      </c>
      <c r="DO1316" s="5" t="s">
        <v>238</v>
      </c>
      <c r="DP1316" s="5" t="s">
        <v>238</v>
      </c>
      <c r="DQ1316" s="5" t="s">
        <v>238</v>
      </c>
      <c r="DT1316" s="5" t="s">
        <v>2039</v>
      </c>
      <c r="DU1316" s="5" t="s">
        <v>2686</v>
      </c>
      <c r="HM1316" s="5" t="s">
        <v>264</v>
      </c>
    </row>
    <row r="1317" spans="1:221" x14ac:dyDescent="0.4">
      <c r="A1317" s="5">
        <v>2992</v>
      </c>
      <c r="B1317" s="5">
        <v>1</v>
      </c>
      <c r="C1317" s="5">
        <v>1</v>
      </c>
      <c r="D1317" s="5" t="s">
        <v>2037</v>
      </c>
      <c r="E1317" s="5" t="s">
        <v>271</v>
      </c>
      <c r="F1317" s="5" t="s">
        <v>248</v>
      </c>
      <c r="G1317" s="5" t="s">
        <v>1969</v>
      </c>
      <c r="H1317" s="6" t="s">
        <v>2683</v>
      </c>
      <c r="I1317" s="7">
        <f>1301</f>
        <v>1301</v>
      </c>
      <c r="J1317" s="5" t="s">
        <v>262</v>
      </c>
      <c r="K1317" s="8">
        <f>1</f>
        <v>1</v>
      </c>
      <c r="L1317" s="6" t="s">
        <v>242</v>
      </c>
      <c r="M1317" s="5" t="s">
        <v>267</v>
      </c>
      <c r="N1317" s="5" t="s">
        <v>265</v>
      </c>
      <c r="O1317" s="5" t="s">
        <v>238</v>
      </c>
      <c r="P1317" s="5" t="s">
        <v>238</v>
      </c>
      <c r="Q1317" s="5" t="s">
        <v>268</v>
      </c>
      <c r="R1317" s="5" t="s">
        <v>270</v>
      </c>
      <c r="S1317" s="5" t="s">
        <v>238</v>
      </c>
      <c r="V1317" s="5" t="s">
        <v>238</v>
      </c>
      <c r="X1317" s="6" t="s">
        <v>238</v>
      </c>
      <c r="AA1317" s="6" t="s">
        <v>243</v>
      </c>
      <c r="AB1317" s="5" t="s">
        <v>238</v>
      </c>
      <c r="AC1317" s="5" t="s">
        <v>244</v>
      </c>
      <c r="AD1317" s="5" t="s">
        <v>245</v>
      </c>
      <c r="AT1317" s="5" t="s">
        <v>246</v>
      </c>
      <c r="AU1317" s="5" t="s">
        <v>238</v>
      </c>
      <c r="AV1317" s="5" t="s">
        <v>247</v>
      </c>
      <c r="AW1317" s="5" t="s">
        <v>238</v>
      </c>
      <c r="AX1317" s="5" t="s">
        <v>249</v>
      </c>
      <c r="AY1317" s="5" t="s">
        <v>238</v>
      </c>
      <c r="BA1317" s="5" t="s">
        <v>238</v>
      </c>
      <c r="BC1317" s="5" t="s">
        <v>250</v>
      </c>
      <c r="BD1317" s="6" t="s">
        <v>243</v>
      </c>
      <c r="BE1317" s="5" t="s">
        <v>251</v>
      </c>
      <c r="BF1317" s="5" t="s">
        <v>252</v>
      </c>
      <c r="BG1317" s="5" t="s">
        <v>238</v>
      </c>
      <c r="BH1317" s="7">
        <f>0</f>
        <v>0</v>
      </c>
      <c r="BI1317" s="8">
        <f>0</f>
        <v>0</v>
      </c>
      <c r="BJ1317" s="5" t="s">
        <v>253</v>
      </c>
      <c r="BK1317" s="5" t="s">
        <v>254</v>
      </c>
      <c r="BY1317" s="5" t="s">
        <v>238</v>
      </c>
      <c r="BZ1317" s="5" t="s">
        <v>238</v>
      </c>
      <c r="CD1317" s="5" t="s">
        <v>273</v>
      </c>
      <c r="CE1317" s="5" t="s">
        <v>256</v>
      </c>
      <c r="CF1317" s="5" t="s">
        <v>238</v>
      </c>
      <c r="CI1317" s="6" t="s">
        <v>257</v>
      </c>
      <c r="CJ1317" s="5" t="s">
        <v>238</v>
      </c>
      <c r="CK1317" s="5" t="s">
        <v>258</v>
      </c>
      <c r="CL1317" s="5" t="s">
        <v>238</v>
      </c>
      <c r="CM1317" s="5" t="s">
        <v>238</v>
      </c>
      <c r="CN1317" s="5">
        <v>0</v>
      </c>
      <c r="CO1317" s="5" t="s">
        <v>259</v>
      </c>
      <c r="CP1317" s="5" t="s">
        <v>260</v>
      </c>
      <c r="CQ1317" s="5" t="s">
        <v>260</v>
      </c>
      <c r="CR1317" s="5" t="s">
        <v>261</v>
      </c>
      <c r="CU1317" s="8">
        <f>1</f>
        <v>1</v>
      </c>
      <c r="CV1317" s="8">
        <f>0</f>
        <v>0</v>
      </c>
      <c r="CX1317" s="8">
        <f>0</f>
        <v>0</v>
      </c>
      <c r="CY1317" s="8">
        <f>1</f>
        <v>1</v>
      </c>
      <c r="DA1317" s="5" t="s">
        <v>673</v>
      </c>
      <c r="DB1317" s="5" t="s">
        <v>238</v>
      </c>
      <c r="DD1317" s="5" t="s">
        <v>673</v>
      </c>
      <c r="DE1317" s="8">
        <f>1301</f>
        <v>1301</v>
      </c>
      <c r="DG1317" s="5" t="s">
        <v>238</v>
      </c>
      <c r="DH1317" s="5" t="s">
        <v>238</v>
      </c>
      <c r="DI1317" s="5" t="s">
        <v>238</v>
      </c>
      <c r="DJ1317" s="5" t="s">
        <v>238</v>
      </c>
      <c r="DN1317" s="5" t="s">
        <v>238</v>
      </c>
      <c r="DO1317" s="5" t="s">
        <v>238</v>
      </c>
      <c r="DP1317" s="5" t="s">
        <v>238</v>
      </c>
      <c r="DQ1317" s="5" t="s">
        <v>238</v>
      </c>
      <c r="DT1317" s="5" t="s">
        <v>2039</v>
      </c>
      <c r="DU1317" s="5" t="s">
        <v>2684</v>
      </c>
      <c r="HM1317" s="5" t="s">
        <v>264</v>
      </c>
    </row>
    <row r="1318" spans="1:221" x14ac:dyDescent="0.4">
      <c r="A1318" s="5">
        <v>2993</v>
      </c>
      <c r="B1318" s="5">
        <v>1</v>
      </c>
      <c r="C1318" s="5">
        <v>1</v>
      </c>
      <c r="D1318" s="5" t="s">
        <v>2037</v>
      </c>
      <c r="E1318" s="5" t="s">
        <v>271</v>
      </c>
      <c r="F1318" s="5" t="s">
        <v>248</v>
      </c>
      <c r="G1318" s="5" t="s">
        <v>1969</v>
      </c>
      <c r="H1318" s="6" t="s">
        <v>2677</v>
      </c>
      <c r="I1318" s="7">
        <f>150</f>
        <v>150</v>
      </c>
      <c r="J1318" s="5" t="s">
        <v>262</v>
      </c>
      <c r="K1318" s="8">
        <f>1</f>
        <v>1</v>
      </c>
      <c r="L1318" s="6" t="s">
        <v>242</v>
      </c>
      <c r="M1318" s="5" t="s">
        <v>267</v>
      </c>
      <c r="N1318" s="5" t="s">
        <v>265</v>
      </c>
      <c r="O1318" s="5" t="s">
        <v>238</v>
      </c>
      <c r="P1318" s="5" t="s">
        <v>238</v>
      </c>
      <c r="Q1318" s="5" t="s">
        <v>268</v>
      </c>
      <c r="R1318" s="5" t="s">
        <v>270</v>
      </c>
      <c r="S1318" s="5" t="s">
        <v>238</v>
      </c>
      <c r="V1318" s="5" t="s">
        <v>238</v>
      </c>
      <c r="X1318" s="6" t="s">
        <v>238</v>
      </c>
      <c r="AA1318" s="6" t="s">
        <v>243</v>
      </c>
      <c r="AB1318" s="5" t="s">
        <v>238</v>
      </c>
      <c r="AC1318" s="5" t="s">
        <v>244</v>
      </c>
      <c r="AD1318" s="5" t="s">
        <v>245</v>
      </c>
      <c r="AT1318" s="5" t="s">
        <v>246</v>
      </c>
      <c r="AU1318" s="5" t="s">
        <v>238</v>
      </c>
      <c r="AV1318" s="5" t="s">
        <v>247</v>
      </c>
      <c r="AW1318" s="5" t="s">
        <v>238</v>
      </c>
      <c r="AX1318" s="5" t="s">
        <v>249</v>
      </c>
      <c r="AY1318" s="5" t="s">
        <v>238</v>
      </c>
      <c r="BA1318" s="5" t="s">
        <v>238</v>
      </c>
      <c r="BC1318" s="5" t="s">
        <v>250</v>
      </c>
      <c r="BD1318" s="6" t="s">
        <v>243</v>
      </c>
      <c r="BE1318" s="5" t="s">
        <v>251</v>
      </c>
      <c r="BF1318" s="5" t="s">
        <v>252</v>
      </c>
      <c r="BG1318" s="5" t="s">
        <v>238</v>
      </c>
      <c r="BH1318" s="7">
        <f>0</f>
        <v>0</v>
      </c>
      <c r="BI1318" s="8">
        <f>0</f>
        <v>0</v>
      </c>
      <c r="BJ1318" s="5" t="s">
        <v>253</v>
      </c>
      <c r="BK1318" s="5" t="s">
        <v>254</v>
      </c>
      <c r="BY1318" s="5" t="s">
        <v>238</v>
      </c>
      <c r="BZ1318" s="5" t="s">
        <v>238</v>
      </c>
      <c r="CD1318" s="5" t="s">
        <v>273</v>
      </c>
      <c r="CE1318" s="5" t="s">
        <v>256</v>
      </c>
      <c r="CF1318" s="5" t="s">
        <v>238</v>
      </c>
      <c r="CI1318" s="6" t="s">
        <v>257</v>
      </c>
      <c r="CJ1318" s="5" t="s">
        <v>238</v>
      </c>
      <c r="CK1318" s="5" t="s">
        <v>258</v>
      </c>
      <c r="CL1318" s="5" t="s">
        <v>238</v>
      </c>
      <c r="CM1318" s="5" t="s">
        <v>238</v>
      </c>
      <c r="CN1318" s="5">
        <v>0</v>
      </c>
      <c r="CO1318" s="5" t="s">
        <v>259</v>
      </c>
      <c r="CP1318" s="5" t="s">
        <v>260</v>
      </c>
      <c r="CQ1318" s="5" t="s">
        <v>260</v>
      </c>
      <c r="CR1318" s="5" t="s">
        <v>261</v>
      </c>
      <c r="CU1318" s="8">
        <f>1</f>
        <v>1</v>
      </c>
      <c r="CV1318" s="8">
        <f>0</f>
        <v>0</v>
      </c>
      <c r="CX1318" s="8">
        <f>0</f>
        <v>0</v>
      </c>
      <c r="CY1318" s="8">
        <f>1</f>
        <v>1</v>
      </c>
      <c r="DA1318" s="5" t="s">
        <v>673</v>
      </c>
      <c r="DB1318" s="5" t="s">
        <v>238</v>
      </c>
      <c r="DD1318" s="5" t="s">
        <v>673</v>
      </c>
      <c r="DE1318" s="8">
        <f>150</f>
        <v>150</v>
      </c>
      <c r="DG1318" s="5" t="s">
        <v>238</v>
      </c>
      <c r="DH1318" s="5" t="s">
        <v>238</v>
      </c>
      <c r="DI1318" s="5" t="s">
        <v>238</v>
      </c>
      <c r="DJ1318" s="5" t="s">
        <v>238</v>
      </c>
      <c r="DN1318" s="5" t="s">
        <v>238</v>
      </c>
      <c r="DO1318" s="5" t="s">
        <v>238</v>
      </c>
      <c r="DP1318" s="5" t="s">
        <v>238</v>
      </c>
      <c r="DQ1318" s="5" t="s">
        <v>238</v>
      </c>
      <c r="DT1318" s="5" t="s">
        <v>2039</v>
      </c>
      <c r="DU1318" s="5" t="s">
        <v>2678</v>
      </c>
      <c r="HM1318" s="5" t="s">
        <v>264</v>
      </c>
    </row>
    <row r="1319" spans="1:221" x14ac:dyDescent="0.4">
      <c r="A1319" s="5">
        <v>2994</v>
      </c>
      <c r="B1319" s="5">
        <v>1</v>
      </c>
      <c r="C1319" s="5">
        <v>1</v>
      </c>
      <c r="D1319" s="5" t="s">
        <v>2037</v>
      </c>
      <c r="E1319" s="5" t="s">
        <v>271</v>
      </c>
      <c r="F1319" s="5" t="s">
        <v>248</v>
      </c>
      <c r="G1319" s="5" t="s">
        <v>1969</v>
      </c>
      <c r="H1319" s="6" t="s">
        <v>2675</v>
      </c>
      <c r="I1319" s="7">
        <f>81</f>
        <v>81</v>
      </c>
      <c r="J1319" s="5" t="s">
        <v>262</v>
      </c>
      <c r="K1319" s="8">
        <f>1</f>
        <v>1</v>
      </c>
      <c r="L1319" s="6" t="s">
        <v>242</v>
      </c>
      <c r="M1319" s="5" t="s">
        <v>267</v>
      </c>
      <c r="N1319" s="5" t="s">
        <v>265</v>
      </c>
      <c r="O1319" s="5" t="s">
        <v>238</v>
      </c>
      <c r="P1319" s="5" t="s">
        <v>238</v>
      </c>
      <c r="Q1319" s="5" t="s">
        <v>268</v>
      </c>
      <c r="R1319" s="5" t="s">
        <v>270</v>
      </c>
      <c r="S1319" s="5" t="s">
        <v>238</v>
      </c>
      <c r="V1319" s="5" t="s">
        <v>238</v>
      </c>
      <c r="X1319" s="6" t="s">
        <v>238</v>
      </c>
      <c r="AA1319" s="6" t="s">
        <v>243</v>
      </c>
      <c r="AB1319" s="5" t="s">
        <v>238</v>
      </c>
      <c r="AC1319" s="5" t="s">
        <v>244</v>
      </c>
      <c r="AD1319" s="5" t="s">
        <v>245</v>
      </c>
      <c r="AT1319" s="5" t="s">
        <v>246</v>
      </c>
      <c r="AU1319" s="5" t="s">
        <v>238</v>
      </c>
      <c r="AV1319" s="5" t="s">
        <v>247</v>
      </c>
      <c r="AW1319" s="5" t="s">
        <v>238</v>
      </c>
      <c r="AX1319" s="5" t="s">
        <v>249</v>
      </c>
      <c r="AY1319" s="5" t="s">
        <v>238</v>
      </c>
      <c r="BA1319" s="5" t="s">
        <v>238</v>
      </c>
      <c r="BC1319" s="5" t="s">
        <v>250</v>
      </c>
      <c r="BD1319" s="6" t="s">
        <v>243</v>
      </c>
      <c r="BE1319" s="5" t="s">
        <v>251</v>
      </c>
      <c r="BF1319" s="5" t="s">
        <v>252</v>
      </c>
      <c r="BG1319" s="5" t="s">
        <v>238</v>
      </c>
      <c r="BH1319" s="7">
        <f>0</f>
        <v>0</v>
      </c>
      <c r="BI1319" s="8">
        <f>0</f>
        <v>0</v>
      </c>
      <c r="BJ1319" s="5" t="s">
        <v>253</v>
      </c>
      <c r="BK1319" s="5" t="s">
        <v>254</v>
      </c>
      <c r="BY1319" s="5" t="s">
        <v>238</v>
      </c>
      <c r="BZ1319" s="5" t="s">
        <v>238</v>
      </c>
      <c r="CD1319" s="5" t="s">
        <v>273</v>
      </c>
      <c r="CE1319" s="5" t="s">
        <v>256</v>
      </c>
      <c r="CF1319" s="5" t="s">
        <v>238</v>
      </c>
      <c r="CI1319" s="6" t="s">
        <v>257</v>
      </c>
      <c r="CJ1319" s="5" t="s">
        <v>238</v>
      </c>
      <c r="CK1319" s="5" t="s">
        <v>258</v>
      </c>
      <c r="CL1319" s="5" t="s">
        <v>238</v>
      </c>
      <c r="CM1319" s="5" t="s">
        <v>238</v>
      </c>
      <c r="CN1319" s="5">
        <v>0</v>
      </c>
      <c r="CO1319" s="5" t="s">
        <v>259</v>
      </c>
      <c r="CP1319" s="5" t="s">
        <v>260</v>
      </c>
      <c r="CQ1319" s="5" t="s">
        <v>260</v>
      </c>
      <c r="CR1319" s="5" t="s">
        <v>261</v>
      </c>
      <c r="CU1319" s="8">
        <f>1</f>
        <v>1</v>
      </c>
      <c r="CV1319" s="8">
        <f>0</f>
        <v>0</v>
      </c>
      <c r="CX1319" s="8">
        <f>0</f>
        <v>0</v>
      </c>
      <c r="CY1319" s="8">
        <f>1</f>
        <v>1</v>
      </c>
      <c r="DA1319" s="5" t="s">
        <v>673</v>
      </c>
      <c r="DB1319" s="5" t="s">
        <v>238</v>
      </c>
      <c r="DD1319" s="5" t="s">
        <v>673</v>
      </c>
      <c r="DE1319" s="8">
        <f>81</f>
        <v>81</v>
      </c>
      <c r="DG1319" s="5" t="s">
        <v>238</v>
      </c>
      <c r="DH1319" s="5" t="s">
        <v>238</v>
      </c>
      <c r="DI1319" s="5" t="s">
        <v>238</v>
      </c>
      <c r="DJ1319" s="5" t="s">
        <v>238</v>
      </c>
      <c r="DN1319" s="5" t="s">
        <v>238</v>
      </c>
      <c r="DO1319" s="5" t="s">
        <v>238</v>
      </c>
      <c r="DP1319" s="5" t="s">
        <v>238</v>
      </c>
      <c r="DQ1319" s="5" t="s">
        <v>238</v>
      </c>
      <c r="DT1319" s="5" t="s">
        <v>2039</v>
      </c>
      <c r="DU1319" s="5" t="s">
        <v>2676</v>
      </c>
      <c r="HM1319" s="5" t="s">
        <v>264</v>
      </c>
    </row>
    <row r="1320" spans="1:221" x14ac:dyDescent="0.4">
      <c r="A1320" s="5">
        <v>2995</v>
      </c>
      <c r="B1320" s="5">
        <v>1</v>
      </c>
      <c r="C1320" s="5">
        <v>1</v>
      </c>
      <c r="D1320" s="5" t="s">
        <v>2037</v>
      </c>
      <c r="E1320" s="5" t="s">
        <v>271</v>
      </c>
      <c r="F1320" s="5" t="s">
        <v>248</v>
      </c>
      <c r="G1320" s="5" t="s">
        <v>1969</v>
      </c>
      <c r="H1320" s="6" t="s">
        <v>2673</v>
      </c>
      <c r="I1320" s="7">
        <f>787</f>
        <v>787</v>
      </c>
      <c r="J1320" s="5" t="s">
        <v>262</v>
      </c>
      <c r="K1320" s="8">
        <f>1</f>
        <v>1</v>
      </c>
      <c r="L1320" s="6" t="s">
        <v>242</v>
      </c>
      <c r="M1320" s="5" t="s">
        <v>267</v>
      </c>
      <c r="N1320" s="5" t="s">
        <v>265</v>
      </c>
      <c r="O1320" s="5" t="s">
        <v>238</v>
      </c>
      <c r="P1320" s="5" t="s">
        <v>238</v>
      </c>
      <c r="Q1320" s="5" t="s">
        <v>268</v>
      </c>
      <c r="R1320" s="5" t="s">
        <v>270</v>
      </c>
      <c r="S1320" s="5" t="s">
        <v>238</v>
      </c>
      <c r="V1320" s="5" t="s">
        <v>238</v>
      </c>
      <c r="X1320" s="6" t="s">
        <v>238</v>
      </c>
      <c r="AA1320" s="6" t="s">
        <v>243</v>
      </c>
      <c r="AB1320" s="5" t="s">
        <v>238</v>
      </c>
      <c r="AC1320" s="5" t="s">
        <v>244</v>
      </c>
      <c r="AD1320" s="5" t="s">
        <v>245</v>
      </c>
      <c r="AT1320" s="5" t="s">
        <v>246</v>
      </c>
      <c r="AU1320" s="5" t="s">
        <v>238</v>
      </c>
      <c r="AV1320" s="5" t="s">
        <v>247</v>
      </c>
      <c r="AW1320" s="5" t="s">
        <v>238</v>
      </c>
      <c r="AX1320" s="5" t="s">
        <v>249</v>
      </c>
      <c r="AY1320" s="5" t="s">
        <v>238</v>
      </c>
      <c r="BA1320" s="5" t="s">
        <v>238</v>
      </c>
      <c r="BC1320" s="5" t="s">
        <v>250</v>
      </c>
      <c r="BD1320" s="6" t="s">
        <v>243</v>
      </c>
      <c r="BE1320" s="5" t="s">
        <v>251</v>
      </c>
      <c r="BF1320" s="5" t="s">
        <v>252</v>
      </c>
      <c r="BG1320" s="5" t="s">
        <v>238</v>
      </c>
      <c r="BH1320" s="7">
        <f>0</f>
        <v>0</v>
      </c>
      <c r="BI1320" s="8">
        <f>0</f>
        <v>0</v>
      </c>
      <c r="BJ1320" s="5" t="s">
        <v>253</v>
      </c>
      <c r="BK1320" s="5" t="s">
        <v>254</v>
      </c>
      <c r="BY1320" s="5" t="s">
        <v>238</v>
      </c>
      <c r="BZ1320" s="5" t="s">
        <v>238</v>
      </c>
      <c r="CD1320" s="5" t="s">
        <v>273</v>
      </c>
      <c r="CE1320" s="5" t="s">
        <v>256</v>
      </c>
      <c r="CF1320" s="5" t="s">
        <v>238</v>
      </c>
      <c r="CI1320" s="6" t="s">
        <v>257</v>
      </c>
      <c r="CJ1320" s="5" t="s">
        <v>238</v>
      </c>
      <c r="CK1320" s="5" t="s">
        <v>258</v>
      </c>
      <c r="CL1320" s="5" t="s">
        <v>238</v>
      </c>
      <c r="CM1320" s="5" t="s">
        <v>238</v>
      </c>
      <c r="CN1320" s="5">
        <v>0</v>
      </c>
      <c r="CO1320" s="5" t="s">
        <v>259</v>
      </c>
      <c r="CP1320" s="5" t="s">
        <v>260</v>
      </c>
      <c r="CQ1320" s="5" t="s">
        <v>260</v>
      </c>
      <c r="CR1320" s="5" t="s">
        <v>261</v>
      </c>
      <c r="CU1320" s="8">
        <f>1</f>
        <v>1</v>
      </c>
      <c r="CV1320" s="8">
        <f>0</f>
        <v>0</v>
      </c>
      <c r="CX1320" s="8">
        <f>0</f>
        <v>0</v>
      </c>
      <c r="CY1320" s="8">
        <f>1</f>
        <v>1</v>
      </c>
      <c r="DA1320" s="5" t="s">
        <v>673</v>
      </c>
      <c r="DB1320" s="5" t="s">
        <v>238</v>
      </c>
      <c r="DD1320" s="5" t="s">
        <v>673</v>
      </c>
      <c r="DE1320" s="8">
        <f>787</f>
        <v>787</v>
      </c>
      <c r="DG1320" s="5" t="s">
        <v>238</v>
      </c>
      <c r="DH1320" s="5" t="s">
        <v>238</v>
      </c>
      <c r="DI1320" s="5" t="s">
        <v>238</v>
      </c>
      <c r="DJ1320" s="5" t="s">
        <v>238</v>
      </c>
      <c r="DN1320" s="5" t="s">
        <v>238</v>
      </c>
      <c r="DO1320" s="5" t="s">
        <v>238</v>
      </c>
      <c r="DP1320" s="5" t="s">
        <v>238</v>
      </c>
      <c r="DQ1320" s="5" t="s">
        <v>238</v>
      </c>
      <c r="DT1320" s="5" t="s">
        <v>2039</v>
      </c>
      <c r="DU1320" s="5" t="s">
        <v>2674</v>
      </c>
      <c r="HM1320" s="5" t="s">
        <v>264</v>
      </c>
    </row>
    <row r="1321" spans="1:221" x14ac:dyDescent="0.4">
      <c r="A1321" s="5">
        <v>2996</v>
      </c>
      <c r="B1321" s="5">
        <v>1</v>
      </c>
      <c r="C1321" s="5">
        <v>1</v>
      </c>
      <c r="D1321" s="5" t="s">
        <v>2037</v>
      </c>
      <c r="E1321" s="5" t="s">
        <v>271</v>
      </c>
      <c r="F1321" s="5" t="s">
        <v>248</v>
      </c>
      <c r="G1321" s="5" t="s">
        <v>1969</v>
      </c>
      <c r="H1321" s="6" t="s">
        <v>2671</v>
      </c>
      <c r="I1321" s="7">
        <f>2490</f>
        <v>2490</v>
      </c>
      <c r="J1321" s="5" t="s">
        <v>262</v>
      </c>
      <c r="K1321" s="8">
        <f>1</f>
        <v>1</v>
      </c>
      <c r="L1321" s="6" t="s">
        <v>242</v>
      </c>
      <c r="M1321" s="5" t="s">
        <v>267</v>
      </c>
      <c r="N1321" s="5" t="s">
        <v>265</v>
      </c>
      <c r="O1321" s="5" t="s">
        <v>238</v>
      </c>
      <c r="P1321" s="5" t="s">
        <v>238</v>
      </c>
      <c r="Q1321" s="5" t="s">
        <v>268</v>
      </c>
      <c r="R1321" s="5" t="s">
        <v>270</v>
      </c>
      <c r="S1321" s="5" t="s">
        <v>238</v>
      </c>
      <c r="V1321" s="5" t="s">
        <v>238</v>
      </c>
      <c r="X1321" s="6" t="s">
        <v>238</v>
      </c>
      <c r="AA1321" s="6" t="s">
        <v>243</v>
      </c>
      <c r="AB1321" s="5" t="s">
        <v>238</v>
      </c>
      <c r="AC1321" s="5" t="s">
        <v>244</v>
      </c>
      <c r="AD1321" s="5" t="s">
        <v>245</v>
      </c>
      <c r="AT1321" s="5" t="s">
        <v>246</v>
      </c>
      <c r="AU1321" s="5" t="s">
        <v>238</v>
      </c>
      <c r="AV1321" s="5" t="s">
        <v>247</v>
      </c>
      <c r="AW1321" s="5" t="s">
        <v>238</v>
      </c>
      <c r="AX1321" s="5" t="s">
        <v>249</v>
      </c>
      <c r="AY1321" s="5" t="s">
        <v>238</v>
      </c>
      <c r="BA1321" s="5" t="s">
        <v>238</v>
      </c>
      <c r="BC1321" s="5" t="s">
        <v>250</v>
      </c>
      <c r="BD1321" s="6" t="s">
        <v>243</v>
      </c>
      <c r="BE1321" s="5" t="s">
        <v>251</v>
      </c>
      <c r="BF1321" s="5" t="s">
        <v>252</v>
      </c>
      <c r="BG1321" s="5" t="s">
        <v>238</v>
      </c>
      <c r="BH1321" s="7">
        <f>0</f>
        <v>0</v>
      </c>
      <c r="BI1321" s="8">
        <f>0</f>
        <v>0</v>
      </c>
      <c r="BJ1321" s="5" t="s">
        <v>253</v>
      </c>
      <c r="BK1321" s="5" t="s">
        <v>254</v>
      </c>
      <c r="BY1321" s="5" t="s">
        <v>238</v>
      </c>
      <c r="BZ1321" s="5" t="s">
        <v>238</v>
      </c>
      <c r="CD1321" s="5" t="s">
        <v>273</v>
      </c>
      <c r="CE1321" s="5" t="s">
        <v>256</v>
      </c>
      <c r="CF1321" s="5" t="s">
        <v>238</v>
      </c>
      <c r="CI1321" s="6" t="s">
        <v>257</v>
      </c>
      <c r="CJ1321" s="5" t="s">
        <v>238</v>
      </c>
      <c r="CK1321" s="5" t="s">
        <v>258</v>
      </c>
      <c r="CL1321" s="5" t="s">
        <v>238</v>
      </c>
      <c r="CM1321" s="5" t="s">
        <v>238</v>
      </c>
      <c r="CN1321" s="5">
        <v>0</v>
      </c>
      <c r="CO1321" s="5" t="s">
        <v>259</v>
      </c>
      <c r="CP1321" s="5" t="s">
        <v>260</v>
      </c>
      <c r="CQ1321" s="5" t="s">
        <v>260</v>
      </c>
      <c r="CR1321" s="5" t="s">
        <v>261</v>
      </c>
      <c r="CU1321" s="8">
        <f>1</f>
        <v>1</v>
      </c>
      <c r="CV1321" s="8">
        <f>0</f>
        <v>0</v>
      </c>
      <c r="CX1321" s="8">
        <f>0</f>
        <v>0</v>
      </c>
      <c r="CY1321" s="8">
        <f>1</f>
        <v>1</v>
      </c>
      <c r="DA1321" s="5" t="s">
        <v>673</v>
      </c>
      <c r="DB1321" s="5" t="s">
        <v>238</v>
      </c>
      <c r="DD1321" s="5" t="s">
        <v>673</v>
      </c>
      <c r="DE1321" s="8">
        <f>2490</f>
        <v>2490</v>
      </c>
      <c r="DG1321" s="5" t="s">
        <v>238</v>
      </c>
      <c r="DH1321" s="5" t="s">
        <v>238</v>
      </c>
      <c r="DI1321" s="5" t="s">
        <v>238</v>
      </c>
      <c r="DJ1321" s="5" t="s">
        <v>238</v>
      </c>
      <c r="DN1321" s="5" t="s">
        <v>238</v>
      </c>
      <c r="DO1321" s="5" t="s">
        <v>238</v>
      </c>
      <c r="DP1321" s="5" t="s">
        <v>238</v>
      </c>
      <c r="DQ1321" s="5" t="s">
        <v>238</v>
      </c>
      <c r="DT1321" s="5" t="s">
        <v>2039</v>
      </c>
      <c r="DU1321" s="5" t="s">
        <v>2672</v>
      </c>
      <c r="HM1321" s="5" t="s">
        <v>264</v>
      </c>
    </row>
    <row r="1322" spans="1:221" x14ac:dyDescent="0.4">
      <c r="A1322" s="5">
        <v>2997</v>
      </c>
      <c r="B1322" s="5">
        <v>1</v>
      </c>
      <c r="C1322" s="5">
        <v>1</v>
      </c>
      <c r="D1322" s="5" t="s">
        <v>2037</v>
      </c>
      <c r="E1322" s="5" t="s">
        <v>271</v>
      </c>
      <c r="F1322" s="5" t="s">
        <v>248</v>
      </c>
      <c r="G1322" s="5" t="s">
        <v>1969</v>
      </c>
      <c r="H1322" s="6" t="s">
        <v>2669</v>
      </c>
      <c r="I1322" s="7">
        <f>284</f>
        <v>284</v>
      </c>
      <c r="J1322" s="5" t="s">
        <v>262</v>
      </c>
      <c r="K1322" s="8">
        <f>1</f>
        <v>1</v>
      </c>
      <c r="L1322" s="6" t="s">
        <v>242</v>
      </c>
      <c r="M1322" s="5" t="s">
        <v>267</v>
      </c>
      <c r="N1322" s="5" t="s">
        <v>265</v>
      </c>
      <c r="O1322" s="5" t="s">
        <v>238</v>
      </c>
      <c r="P1322" s="5" t="s">
        <v>238</v>
      </c>
      <c r="Q1322" s="5" t="s">
        <v>268</v>
      </c>
      <c r="R1322" s="5" t="s">
        <v>270</v>
      </c>
      <c r="S1322" s="5" t="s">
        <v>238</v>
      </c>
      <c r="V1322" s="5" t="s">
        <v>238</v>
      </c>
      <c r="X1322" s="6" t="s">
        <v>238</v>
      </c>
      <c r="AA1322" s="6" t="s">
        <v>243</v>
      </c>
      <c r="AB1322" s="5" t="s">
        <v>238</v>
      </c>
      <c r="AC1322" s="5" t="s">
        <v>244</v>
      </c>
      <c r="AD1322" s="5" t="s">
        <v>245</v>
      </c>
      <c r="AT1322" s="5" t="s">
        <v>246</v>
      </c>
      <c r="AU1322" s="5" t="s">
        <v>238</v>
      </c>
      <c r="AV1322" s="5" t="s">
        <v>247</v>
      </c>
      <c r="AW1322" s="5" t="s">
        <v>238</v>
      </c>
      <c r="AX1322" s="5" t="s">
        <v>249</v>
      </c>
      <c r="AY1322" s="5" t="s">
        <v>238</v>
      </c>
      <c r="BA1322" s="5" t="s">
        <v>238</v>
      </c>
      <c r="BC1322" s="5" t="s">
        <v>250</v>
      </c>
      <c r="BD1322" s="6" t="s">
        <v>243</v>
      </c>
      <c r="BE1322" s="5" t="s">
        <v>251</v>
      </c>
      <c r="BF1322" s="5" t="s">
        <v>252</v>
      </c>
      <c r="BG1322" s="5" t="s">
        <v>238</v>
      </c>
      <c r="BH1322" s="7">
        <f>0</f>
        <v>0</v>
      </c>
      <c r="BI1322" s="8">
        <f>0</f>
        <v>0</v>
      </c>
      <c r="BJ1322" s="5" t="s">
        <v>253</v>
      </c>
      <c r="BK1322" s="5" t="s">
        <v>254</v>
      </c>
      <c r="BY1322" s="5" t="s">
        <v>238</v>
      </c>
      <c r="BZ1322" s="5" t="s">
        <v>238</v>
      </c>
      <c r="CD1322" s="5" t="s">
        <v>273</v>
      </c>
      <c r="CE1322" s="5" t="s">
        <v>256</v>
      </c>
      <c r="CF1322" s="5" t="s">
        <v>238</v>
      </c>
      <c r="CI1322" s="6" t="s">
        <v>257</v>
      </c>
      <c r="CJ1322" s="5" t="s">
        <v>238</v>
      </c>
      <c r="CK1322" s="5" t="s">
        <v>258</v>
      </c>
      <c r="CL1322" s="5" t="s">
        <v>238</v>
      </c>
      <c r="CM1322" s="5" t="s">
        <v>238</v>
      </c>
      <c r="CN1322" s="5">
        <v>0</v>
      </c>
      <c r="CO1322" s="5" t="s">
        <v>259</v>
      </c>
      <c r="CP1322" s="5" t="s">
        <v>260</v>
      </c>
      <c r="CQ1322" s="5" t="s">
        <v>260</v>
      </c>
      <c r="CR1322" s="5" t="s">
        <v>261</v>
      </c>
      <c r="CU1322" s="8">
        <f>1</f>
        <v>1</v>
      </c>
      <c r="CV1322" s="8">
        <f>0</f>
        <v>0</v>
      </c>
      <c r="CX1322" s="8">
        <f>0</f>
        <v>0</v>
      </c>
      <c r="CY1322" s="8">
        <f>1</f>
        <v>1</v>
      </c>
      <c r="DA1322" s="5" t="s">
        <v>673</v>
      </c>
      <c r="DB1322" s="5" t="s">
        <v>238</v>
      </c>
      <c r="DD1322" s="5" t="s">
        <v>673</v>
      </c>
      <c r="DE1322" s="8">
        <f>284</f>
        <v>284</v>
      </c>
      <c r="DG1322" s="5" t="s">
        <v>238</v>
      </c>
      <c r="DH1322" s="5" t="s">
        <v>238</v>
      </c>
      <c r="DI1322" s="5" t="s">
        <v>238</v>
      </c>
      <c r="DJ1322" s="5" t="s">
        <v>238</v>
      </c>
      <c r="DN1322" s="5" t="s">
        <v>238</v>
      </c>
      <c r="DO1322" s="5" t="s">
        <v>238</v>
      </c>
      <c r="DP1322" s="5" t="s">
        <v>238</v>
      </c>
      <c r="DQ1322" s="5" t="s">
        <v>238</v>
      </c>
      <c r="DT1322" s="5" t="s">
        <v>2039</v>
      </c>
      <c r="DU1322" s="5" t="s">
        <v>2670</v>
      </c>
      <c r="HM1322" s="5" t="s">
        <v>264</v>
      </c>
    </row>
    <row r="1323" spans="1:221" x14ac:dyDescent="0.4">
      <c r="A1323" s="5">
        <v>2998</v>
      </c>
      <c r="B1323" s="5">
        <v>1</v>
      </c>
      <c r="C1323" s="5">
        <v>1</v>
      </c>
      <c r="D1323" s="5" t="s">
        <v>2037</v>
      </c>
      <c r="E1323" s="5" t="s">
        <v>271</v>
      </c>
      <c r="F1323" s="5" t="s">
        <v>248</v>
      </c>
      <c r="G1323" s="5" t="s">
        <v>1969</v>
      </c>
      <c r="H1323" s="6" t="s">
        <v>2667</v>
      </c>
      <c r="I1323" s="7">
        <f>958</f>
        <v>958</v>
      </c>
      <c r="J1323" s="5" t="s">
        <v>262</v>
      </c>
      <c r="K1323" s="8">
        <f>1</f>
        <v>1</v>
      </c>
      <c r="L1323" s="6" t="s">
        <v>242</v>
      </c>
      <c r="M1323" s="5" t="s">
        <v>267</v>
      </c>
      <c r="N1323" s="5" t="s">
        <v>265</v>
      </c>
      <c r="O1323" s="5" t="s">
        <v>238</v>
      </c>
      <c r="P1323" s="5" t="s">
        <v>238</v>
      </c>
      <c r="Q1323" s="5" t="s">
        <v>268</v>
      </c>
      <c r="R1323" s="5" t="s">
        <v>270</v>
      </c>
      <c r="S1323" s="5" t="s">
        <v>238</v>
      </c>
      <c r="V1323" s="5" t="s">
        <v>238</v>
      </c>
      <c r="X1323" s="6" t="s">
        <v>238</v>
      </c>
      <c r="AA1323" s="6" t="s">
        <v>243</v>
      </c>
      <c r="AB1323" s="5" t="s">
        <v>238</v>
      </c>
      <c r="AC1323" s="5" t="s">
        <v>244</v>
      </c>
      <c r="AD1323" s="5" t="s">
        <v>245</v>
      </c>
      <c r="AT1323" s="5" t="s">
        <v>246</v>
      </c>
      <c r="AU1323" s="5" t="s">
        <v>238</v>
      </c>
      <c r="AV1323" s="5" t="s">
        <v>247</v>
      </c>
      <c r="AW1323" s="5" t="s">
        <v>238</v>
      </c>
      <c r="AX1323" s="5" t="s">
        <v>249</v>
      </c>
      <c r="AY1323" s="5" t="s">
        <v>238</v>
      </c>
      <c r="BA1323" s="5" t="s">
        <v>238</v>
      </c>
      <c r="BC1323" s="5" t="s">
        <v>250</v>
      </c>
      <c r="BD1323" s="6" t="s">
        <v>243</v>
      </c>
      <c r="BE1323" s="5" t="s">
        <v>251</v>
      </c>
      <c r="BF1323" s="5" t="s">
        <v>252</v>
      </c>
      <c r="BG1323" s="5" t="s">
        <v>238</v>
      </c>
      <c r="BH1323" s="7">
        <f>0</f>
        <v>0</v>
      </c>
      <c r="BI1323" s="8">
        <f>0</f>
        <v>0</v>
      </c>
      <c r="BJ1323" s="5" t="s">
        <v>253</v>
      </c>
      <c r="BK1323" s="5" t="s">
        <v>254</v>
      </c>
      <c r="BY1323" s="5" t="s">
        <v>238</v>
      </c>
      <c r="BZ1323" s="5" t="s">
        <v>238</v>
      </c>
      <c r="CD1323" s="5" t="s">
        <v>273</v>
      </c>
      <c r="CE1323" s="5" t="s">
        <v>256</v>
      </c>
      <c r="CF1323" s="5" t="s">
        <v>238</v>
      </c>
      <c r="CI1323" s="6" t="s">
        <v>257</v>
      </c>
      <c r="CJ1323" s="5" t="s">
        <v>238</v>
      </c>
      <c r="CK1323" s="5" t="s">
        <v>258</v>
      </c>
      <c r="CL1323" s="5" t="s">
        <v>238</v>
      </c>
      <c r="CM1323" s="5" t="s">
        <v>238</v>
      </c>
      <c r="CN1323" s="5">
        <v>0</v>
      </c>
      <c r="CO1323" s="5" t="s">
        <v>259</v>
      </c>
      <c r="CP1323" s="5" t="s">
        <v>260</v>
      </c>
      <c r="CQ1323" s="5" t="s">
        <v>260</v>
      </c>
      <c r="CR1323" s="5" t="s">
        <v>261</v>
      </c>
      <c r="CU1323" s="8">
        <f>1</f>
        <v>1</v>
      </c>
      <c r="CV1323" s="8">
        <f>0</f>
        <v>0</v>
      </c>
      <c r="CX1323" s="8">
        <f>0</f>
        <v>0</v>
      </c>
      <c r="CY1323" s="8">
        <f>1</f>
        <v>1</v>
      </c>
      <c r="DA1323" s="5" t="s">
        <v>673</v>
      </c>
      <c r="DB1323" s="5" t="s">
        <v>238</v>
      </c>
      <c r="DD1323" s="5" t="s">
        <v>673</v>
      </c>
      <c r="DE1323" s="8">
        <f>958</f>
        <v>958</v>
      </c>
      <c r="DG1323" s="5" t="s">
        <v>238</v>
      </c>
      <c r="DH1323" s="5" t="s">
        <v>238</v>
      </c>
      <c r="DI1323" s="5" t="s">
        <v>238</v>
      </c>
      <c r="DJ1323" s="5" t="s">
        <v>238</v>
      </c>
      <c r="DN1323" s="5" t="s">
        <v>238</v>
      </c>
      <c r="DO1323" s="5" t="s">
        <v>238</v>
      </c>
      <c r="DP1323" s="5" t="s">
        <v>238</v>
      </c>
      <c r="DQ1323" s="5" t="s">
        <v>238</v>
      </c>
      <c r="DT1323" s="5" t="s">
        <v>2039</v>
      </c>
      <c r="DU1323" s="5" t="s">
        <v>2668</v>
      </c>
      <c r="HM1323" s="5" t="s">
        <v>264</v>
      </c>
    </row>
    <row r="1324" spans="1:221" x14ac:dyDescent="0.4">
      <c r="A1324" s="5">
        <v>2999</v>
      </c>
      <c r="B1324" s="5">
        <v>1</v>
      </c>
      <c r="C1324" s="5">
        <v>1</v>
      </c>
      <c r="D1324" s="5" t="s">
        <v>2037</v>
      </c>
      <c r="E1324" s="5" t="s">
        <v>271</v>
      </c>
      <c r="F1324" s="5" t="s">
        <v>248</v>
      </c>
      <c r="G1324" s="5" t="s">
        <v>1969</v>
      </c>
      <c r="H1324" s="6" t="s">
        <v>2665</v>
      </c>
      <c r="I1324" s="7">
        <f>1565</f>
        <v>1565</v>
      </c>
      <c r="J1324" s="5" t="s">
        <v>262</v>
      </c>
      <c r="K1324" s="8">
        <f>1</f>
        <v>1</v>
      </c>
      <c r="L1324" s="6" t="s">
        <v>242</v>
      </c>
      <c r="M1324" s="5" t="s">
        <v>267</v>
      </c>
      <c r="N1324" s="5" t="s">
        <v>265</v>
      </c>
      <c r="O1324" s="5" t="s">
        <v>238</v>
      </c>
      <c r="P1324" s="5" t="s">
        <v>238</v>
      </c>
      <c r="Q1324" s="5" t="s">
        <v>268</v>
      </c>
      <c r="R1324" s="5" t="s">
        <v>270</v>
      </c>
      <c r="S1324" s="5" t="s">
        <v>238</v>
      </c>
      <c r="V1324" s="5" t="s">
        <v>238</v>
      </c>
      <c r="X1324" s="6" t="s">
        <v>238</v>
      </c>
      <c r="AA1324" s="6" t="s">
        <v>243</v>
      </c>
      <c r="AB1324" s="5" t="s">
        <v>238</v>
      </c>
      <c r="AC1324" s="5" t="s">
        <v>244</v>
      </c>
      <c r="AD1324" s="5" t="s">
        <v>245</v>
      </c>
      <c r="AT1324" s="5" t="s">
        <v>246</v>
      </c>
      <c r="AU1324" s="5" t="s">
        <v>238</v>
      </c>
      <c r="AV1324" s="5" t="s">
        <v>247</v>
      </c>
      <c r="AW1324" s="5" t="s">
        <v>238</v>
      </c>
      <c r="AX1324" s="5" t="s">
        <v>249</v>
      </c>
      <c r="AY1324" s="5" t="s">
        <v>238</v>
      </c>
      <c r="BA1324" s="5" t="s">
        <v>238</v>
      </c>
      <c r="BC1324" s="5" t="s">
        <v>250</v>
      </c>
      <c r="BD1324" s="6" t="s">
        <v>243</v>
      </c>
      <c r="BE1324" s="5" t="s">
        <v>251</v>
      </c>
      <c r="BF1324" s="5" t="s">
        <v>252</v>
      </c>
      <c r="BG1324" s="5" t="s">
        <v>238</v>
      </c>
      <c r="BH1324" s="7">
        <f>0</f>
        <v>0</v>
      </c>
      <c r="BI1324" s="8">
        <f>0</f>
        <v>0</v>
      </c>
      <c r="BJ1324" s="5" t="s">
        <v>253</v>
      </c>
      <c r="BK1324" s="5" t="s">
        <v>254</v>
      </c>
      <c r="BY1324" s="5" t="s">
        <v>238</v>
      </c>
      <c r="BZ1324" s="5" t="s">
        <v>238</v>
      </c>
      <c r="CD1324" s="5" t="s">
        <v>273</v>
      </c>
      <c r="CE1324" s="5" t="s">
        <v>256</v>
      </c>
      <c r="CF1324" s="5" t="s">
        <v>238</v>
      </c>
      <c r="CI1324" s="6" t="s">
        <v>257</v>
      </c>
      <c r="CJ1324" s="5" t="s">
        <v>238</v>
      </c>
      <c r="CK1324" s="5" t="s">
        <v>258</v>
      </c>
      <c r="CL1324" s="5" t="s">
        <v>238</v>
      </c>
      <c r="CM1324" s="5" t="s">
        <v>238</v>
      </c>
      <c r="CN1324" s="5">
        <v>0</v>
      </c>
      <c r="CO1324" s="5" t="s">
        <v>259</v>
      </c>
      <c r="CP1324" s="5" t="s">
        <v>260</v>
      </c>
      <c r="CQ1324" s="5" t="s">
        <v>260</v>
      </c>
      <c r="CR1324" s="5" t="s">
        <v>261</v>
      </c>
      <c r="CU1324" s="8">
        <f>1</f>
        <v>1</v>
      </c>
      <c r="CV1324" s="8">
        <f>0</f>
        <v>0</v>
      </c>
      <c r="CX1324" s="8">
        <f>0</f>
        <v>0</v>
      </c>
      <c r="CY1324" s="8">
        <f>1</f>
        <v>1</v>
      </c>
      <c r="DA1324" s="5" t="s">
        <v>673</v>
      </c>
      <c r="DB1324" s="5" t="s">
        <v>238</v>
      </c>
      <c r="DD1324" s="5" t="s">
        <v>673</v>
      </c>
      <c r="DE1324" s="8">
        <f>1565</f>
        <v>1565</v>
      </c>
      <c r="DG1324" s="5" t="s">
        <v>238</v>
      </c>
      <c r="DH1324" s="5" t="s">
        <v>238</v>
      </c>
      <c r="DI1324" s="5" t="s">
        <v>238</v>
      </c>
      <c r="DJ1324" s="5" t="s">
        <v>238</v>
      </c>
      <c r="DN1324" s="5" t="s">
        <v>238</v>
      </c>
      <c r="DO1324" s="5" t="s">
        <v>238</v>
      </c>
      <c r="DP1324" s="5" t="s">
        <v>238</v>
      </c>
      <c r="DQ1324" s="5" t="s">
        <v>238</v>
      </c>
      <c r="DT1324" s="5" t="s">
        <v>2039</v>
      </c>
      <c r="DU1324" s="5" t="s">
        <v>2666</v>
      </c>
      <c r="HM1324" s="5" t="s">
        <v>264</v>
      </c>
    </row>
    <row r="1325" spans="1:221" x14ac:dyDescent="0.4">
      <c r="A1325" s="5">
        <v>3000</v>
      </c>
      <c r="B1325" s="5">
        <v>1</v>
      </c>
      <c r="C1325" s="5">
        <v>1</v>
      </c>
      <c r="D1325" s="5" t="s">
        <v>2037</v>
      </c>
      <c r="E1325" s="5" t="s">
        <v>271</v>
      </c>
      <c r="F1325" s="5" t="s">
        <v>248</v>
      </c>
      <c r="G1325" s="5" t="s">
        <v>1969</v>
      </c>
      <c r="H1325" s="6" t="s">
        <v>2661</v>
      </c>
      <c r="I1325" s="7">
        <f>169</f>
        <v>169</v>
      </c>
      <c r="J1325" s="5" t="s">
        <v>262</v>
      </c>
      <c r="K1325" s="8">
        <f>1</f>
        <v>1</v>
      </c>
      <c r="L1325" s="6" t="s">
        <v>242</v>
      </c>
      <c r="M1325" s="5" t="s">
        <v>267</v>
      </c>
      <c r="N1325" s="5" t="s">
        <v>265</v>
      </c>
      <c r="O1325" s="5" t="s">
        <v>238</v>
      </c>
      <c r="P1325" s="5" t="s">
        <v>238</v>
      </c>
      <c r="Q1325" s="5" t="s">
        <v>268</v>
      </c>
      <c r="R1325" s="5" t="s">
        <v>270</v>
      </c>
      <c r="S1325" s="5" t="s">
        <v>238</v>
      </c>
      <c r="V1325" s="5" t="s">
        <v>238</v>
      </c>
      <c r="X1325" s="6" t="s">
        <v>238</v>
      </c>
      <c r="AA1325" s="6" t="s">
        <v>243</v>
      </c>
      <c r="AB1325" s="5" t="s">
        <v>238</v>
      </c>
      <c r="AC1325" s="5" t="s">
        <v>244</v>
      </c>
      <c r="AD1325" s="5" t="s">
        <v>245</v>
      </c>
      <c r="AT1325" s="5" t="s">
        <v>246</v>
      </c>
      <c r="AU1325" s="5" t="s">
        <v>238</v>
      </c>
      <c r="AV1325" s="5" t="s">
        <v>247</v>
      </c>
      <c r="AW1325" s="5" t="s">
        <v>238</v>
      </c>
      <c r="AX1325" s="5" t="s">
        <v>249</v>
      </c>
      <c r="AY1325" s="5" t="s">
        <v>238</v>
      </c>
      <c r="BA1325" s="5" t="s">
        <v>238</v>
      </c>
      <c r="BC1325" s="5" t="s">
        <v>250</v>
      </c>
      <c r="BD1325" s="6" t="s">
        <v>243</v>
      </c>
      <c r="BE1325" s="5" t="s">
        <v>251</v>
      </c>
      <c r="BF1325" s="5" t="s">
        <v>252</v>
      </c>
      <c r="BG1325" s="5" t="s">
        <v>238</v>
      </c>
      <c r="BH1325" s="7">
        <f>0</f>
        <v>0</v>
      </c>
      <c r="BI1325" s="8">
        <f>0</f>
        <v>0</v>
      </c>
      <c r="BJ1325" s="5" t="s">
        <v>253</v>
      </c>
      <c r="BK1325" s="5" t="s">
        <v>254</v>
      </c>
      <c r="BY1325" s="5" t="s">
        <v>238</v>
      </c>
      <c r="BZ1325" s="5" t="s">
        <v>238</v>
      </c>
      <c r="CD1325" s="5" t="s">
        <v>273</v>
      </c>
      <c r="CE1325" s="5" t="s">
        <v>256</v>
      </c>
      <c r="CF1325" s="5" t="s">
        <v>238</v>
      </c>
      <c r="CI1325" s="6" t="s">
        <v>257</v>
      </c>
      <c r="CJ1325" s="5" t="s">
        <v>238</v>
      </c>
      <c r="CK1325" s="5" t="s">
        <v>258</v>
      </c>
      <c r="CL1325" s="5" t="s">
        <v>238</v>
      </c>
      <c r="CM1325" s="5" t="s">
        <v>238</v>
      </c>
      <c r="CN1325" s="5">
        <v>0</v>
      </c>
      <c r="CO1325" s="5" t="s">
        <v>259</v>
      </c>
      <c r="CP1325" s="5" t="s">
        <v>260</v>
      </c>
      <c r="CQ1325" s="5" t="s">
        <v>260</v>
      </c>
      <c r="CR1325" s="5" t="s">
        <v>261</v>
      </c>
      <c r="CU1325" s="8">
        <f>1</f>
        <v>1</v>
      </c>
      <c r="CV1325" s="8">
        <f>0</f>
        <v>0</v>
      </c>
      <c r="CX1325" s="8">
        <f>0</f>
        <v>0</v>
      </c>
      <c r="CY1325" s="8">
        <f>1</f>
        <v>1</v>
      </c>
      <c r="DA1325" s="5" t="s">
        <v>673</v>
      </c>
      <c r="DB1325" s="5" t="s">
        <v>238</v>
      </c>
      <c r="DD1325" s="5" t="s">
        <v>673</v>
      </c>
      <c r="DE1325" s="8">
        <f>169</f>
        <v>169</v>
      </c>
      <c r="DG1325" s="5" t="s">
        <v>238</v>
      </c>
      <c r="DH1325" s="5" t="s">
        <v>238</v>
      </c>
      <c r="DI1325" s="5" t="s">
        <v>238</v>
      </c>
      <c r="DJ1325" s="5" t="s">
        <v>238</v>
      </c>
      <c r="DN1325" s="5" t="s">
        <v>238</v>
      </c>
      <c r="DO1325" s="5" t="s">
        <v>238</v>
      </c>
      <c r="DP1325" s="5" t="s">
        <v>238</v>
      </c>
      <c r="DQ1325" s="5" t="s">
        <v>238</v>
      </c>
      <c r="DT1325" s="5" t="s">
        <v>2039</v>
      </c>
      <c r="DU1325" s="5" t="s">
        <v>2662</v>
      </c>
      <c r="HM1325" s="5" t="s">
        <v>264</v>
      </c>
    </row>
    <row r="1326" spans="1:221" x14ac:dyDescent="0.4">
      <c r="A1326" s="5">
        <v>3001</v>
      </c>
      <c r="B1326" s="5">
        <v>1</v>
      </c>
      <c r="C1326" s="5">
        <v>1</v>
      </c>
      <c r="D1326" s="5" t="s">
        <v>2037</v>
      </c>
      <c r="E1326" s="5" t="s">
        <v>271</v>
      </c>
      <c r="F1326" s="5" t="s">
        <v>248</v>
      </c>
      <c r="G1326" s="5" t="s">
        <v>1969</v>
      </c>
      <c r="H1326" s="6" t="s">
        <v>2659</v>
      </c>
      <c r="I1326" s="7">
        <f>95</f>
        <v>95</v>
      </c>
      <c r="J1326" s="5" t="s">
        <v>262</v>
      </c>
      <c r="K1326" s="8">
        <f>1</f>
        <v>1</v>
      </c>
      <c r="L1326" s="6" t="s">
        <v>242</v>
      </c>
      <c r="M1326" s="5" t="s">
        <v>267</v>
      </c>
      <c r="N1326" s="5" t="s">
        <v>265</v>
      </c>
      <c r="O1326" s="5" t="s">
        <v>238</v>
      </c>
      <c r="P1326" s="5" t="s">
        <v>238</v>
      </c>
      <c r="Q1326" s="5" t="s">
        <v>268</v>
      </c>
      <c r="R1326" s="5" t="s">
        <v>270</v>
      </c>
      <c r="S1326" s="5" t="s">
        <v>238</v>
      </c>
      <c r="V1326" s="5" t="s">
        <v>238</v>
      </c>
      <c r="X1326" s="6" t="s">
        <v>238</v>
      </c>
      <c r="AA1326" s="6" t="s">
        <v>243</v>
      </c>
      <c r="AB1326" s="5" t="s">
        <v>238</v>
      </c>
      <c r="AC1326" s="5" t="s">
        <v>244</v>
      </c>
      <c r="AD1326" s="5" t="s">
        <v>245</v>
      </c>
      <c r="AT1326" s="5" t="s">
        <v>246</v>
      </c>
      <c r="AU1326" s="5" t="s">
        <v>238</v>
      </c>
      <c r="AV1326" s="5" t="s">
        <v>247</v>
      </c>
      <c r="AW1326" s="5" t="s">
        <v>238</v>
      </c>
      <c r="AX1326" s="5" t="s">
        <v>249</v>
      </c>
      <c r="AY1326" s="5" t="s">
        <v>238</v>
      </c>
      <c r="BA1326" s="5" t="s">
        <v>238</v>
      </c>
      <c r="BC1326" s="5" t="s">
        <v>250</v>
      </c>
      <c r="BD1326" s="6" t="s">
        <v>243</v>
      </c>
      <c r="BE1326" s="5" t="s">
        <v>251</v>
      </c>
      <c r="BF1326" s="5" t="s">
        <v>252</v>
      </c>
      <c r="BG1326" s="5" t="s">
        <v>238</v>
      </c>
      <c r="BH1326" s="7">
        <f>0</f>
        <v>0</v>
      </c>
      <c r="BI1326" s="8">
        <f>0</f>
        <v>0</v>
      </c>
      <c r="BJ1326" s="5" t="s">
        <v>253</v>
      </c>
      <c r="BK1326" s="5" t="s">
        <v>254</v>
      </c>
      <c r="BY1326" s="5" t="s">
        <v>238</v>
      </c>
      <c r="BZ1326" s="5" t="s">
        <v>238</v>
      </c>
      <c r="CD1326" s="5" t="s">
        <v>273</v>
      </c>
      <c r="CE1326" s="5" t="s">
        <v>256</v>
      </c>
      <c r="CF1326" s="5" t="s">
        <v>238</v>
      </c>
      <c r="CI1326" s="6" t="s">
        <v>257</v>
      </c>
      <c r="CJ1326" s="5" t="s">
        <v>238</v>
      </c>
      <c r="CK1326" s="5" t="s">
        <v>258</v>
      </c>
      <c r="CL1326" s="5" t="s">
        <v>238</v>
      </c>
      <c r="CM1326" s="5" t="s">
        <v>238</v>
      </c>
      <c r="CN1326" s="5">
        <v>0</v>
      </c>
      <c r="CO1326" s="5" t="s">
        <v>259</v>
      </c>
      <c r="CP1326" s="5" t="s">
        <v>260</v>
      </c>
      <c r="CQ1326" s="5" t="s">
        <v>260</v>
      </c>
      <c r="CR1326" s="5" t="s">
        <v>261</v>
      </c>
      <c r="CU1326" s="8">
        <f>1</f>
        <v>1</v>
      </c>
      <c r="CV1326" s="8">
        <f>0</f>
        <v>0</v>
      </c>
      <c r="CX1326" s="8">
        <f>0</f>
        <v>0</v>
      </c>
      <c r="CY1326" s="8">
        <f>1</f>
        <v>1</v>
      </c>
      <c r="DA1326" s="5" t="s">
        <v>673</v>
      </c>
      <c r="DB1326" s="5" t="s">
        <v>238</v>
      </c>
      <c r="DD1326" s="5" t="s">
        <v>673</v>
      </c>
      <c r="DE1326" s="8">
        <f>95</f>
        <v>95</v>
      </c>
      <c r="DG1326" s="5" t="s">
        <v>238</v>
      </c>
      <c r="DH1326" s="5" t="s">
        <v>238</v>
      </c>
      <c r="DI1326" s="5" t="s">
        <v>238</v>
      </c>
      <c r="DJ1326" s="5" t="s">
        <v>238</v>
      </c>
      <c r="DN1326" s="5" t="s">
        <v>238</v>
      </c>
      <c r="DO1326" s="5" t="s">
        <v>238</v>
      </c>
      <c r="DP1326" s="5" t="s">
        <v>238</v>
      </c>
      <c r="DQ1326" s="5" t="s">
        <v>238</v>
      </c>
      <c r="DT1326" s="5" t="s">
        <v>2039</v>
      </c>
      <c r="DU1326" s="5" t="s">
        <v>2660</v>
      </c>
      <c r="HM1326" s="5" t="s">
        <v>264</v>
      </c>
    </row>
    <row r="1327" spans="1:221" x14ac:dyDescent="0.4">
      <c r="A1327" s="5">
        <v>3002</v>
      </c>
      <c r="B1327" s="5">
        <v>1</v>
      </c>
      <c r="C1327" s="5">
        <v>1</v>
      </c>
      <c r="D1327" s="5" t="s">
        <v>2037</v>
      </c>
      <c r="E1327" s="5" t="s">
        <v>271</v>
      </c>
      <c r="F1327" s="5" t="s">
        <v>248</v>
      </c>
      <c r="G1327" s="5" t="s">
        <v>1969</v>
      </c>
      <c r="H1327" s="6" t="s">
        <v>2657</v>
      </c>
      <c r="I1327" s="7">
        <f>1206</f>
        <v>1206</v>
      </c>
      <c r="J1327" s="5" t="s">
        <v>262</v>
      </c>
      <c r="K1327" s="8">
        <f>1</f>
        <v>1</v>
      </c>
      <c r="L1327" s="6" t="s">
        <v>242</v>
      </c>
      <c r="M1327" s="5" t="s">
        <v>267</v>
      </c>
      <c r="N1327" s="5" t="s">
        <v>265</v>
      </c>
      <c r="O1327" s="5" t="s">
        <v>238</v>
      </c>
      <c r="P1327" s="5" t="s">
        <v>238</v>
      </c>
      <c r="Q1327" s="5" t="s">
        <v>268</v>
      </c>
      <c r="R1327" s="5" t="s">
        <v>270</v>
      </c>
      <c r="S1327" s="5" t="s">
        <v>238</v>
      </c>
      <c r="V1327" s="5" t="s">
        <v>238</v>
      </c>
      <c r="X1327" s="6" t="s">
        <v>238</v>
      </c>
      <c r="AA1327" s="6" t="s">
        <v>243</v>
      </c>
      <c r="AB1327" s="5" t="s">
        <v>238</v>
      </c>
      <c r="AC1327" s="5" t="s">
        <v>244</v>
      </c>
      <c r="AD1327" s="5" t="s">
        <v>245</v>
      </c>
      <c r="AT1327" s="5" t="s">
        <v>246</v>
      </c>
      <c r="AU1327" s="5" t="s">
        <v>238</v>
      </c>
      <c r="AV1327" s="5" t="s">
        <v>247</v>
      </c>
      <c r="AW1327" s="5" t="s">
        <v>238</v>
      </c>
      <c r="AX1327" s="5" t="s">
        <v>249</v>
      </c>
      <c r="AY1327" s="5" t="s">
        <v>238</v>
      </c>
      <c r="BA1327" s="5" t="s">
        <v>238</v>
      </c>
      <c r="BC1327" s="5" t="s">
        <v>250</v>
      </c>
      <c r="BD1327" s="6" t="s">
        <v>243</v>
      </c>
      <c r="BE1327" s="5" t="s">
        <v>251</v>
      </c>
      <c r="BF1327" s="5" t="s">
        <v>252</v>
      </c>
      <c r="BG1327" s="5" t="s">
        <v>238</v>
      </c>
      <c r="BH1327" s="7">
        <f>0</f>
        <v>0</v>
      </c>
      <c r="BI1327" s="8">
        <f>0</f>
        <v>0</v>
      </c>
      <c r="BJ1327" s="5" t="s">
        <v>253</v>
      </c>
      <c r="BK1327" s="5" t="s">
        <v>254</v>
      </c>
      <c r="BY1327" s="5" t="s">
        <v>238</v>
      </c>
      <c r="BZ1327" s="5" t="s">
        <v>238</v>
      </c>
      <c r="CD1327" s="5" t="s">
        <v>273</v>
      </c>
      <c r="CE1327" s="5" t="s">
        <v>256</v>
      </c>
      <c r="CF1327" s="5" t="s">
        <v>238</v>
      </c>
      <c r="CI1327" s="6" t="s">
        <v>257</v>
      </c>
      <c r="CJ1327" s="5" t="s">
        <v>238</v>
      </c>
      <c r="CK1327" s="5" t="s">
        <v>258</v>
      </c>
      <c r="CL1327" s="5" t="s">
        <v>238</v>
      </c>
      <c r="CM1327" s="5" t="s">
        <v>238</v>
      </c>
      <c r="CN1327" s="5">
        <v>0</v>
      </c>
      <c r="CO1327" s="5" t="s">
        <v>259</v>
      </c>
      <c r="CP1327" s="5" t="s">
        <v>260</v>
      </c>
      <c r="CQ1327" s="5" t="s">
        <v>260</v>
      </c>
      <c r="CR1327" s="5" t="s">
        <v>261</v>
      </c>
      <c r="CU1327" s="8">
        <f>1</f>
        <v>1</v>
      </c>
      <c r="CV1327" s="8">
        <f>0</f>
        <v>0</v>
      </c>
      <c r="CX1327" s="8">
        <f>0</f>
        <v>0</v>
      </c>
      <c r="CY1327" s="8">
        <f>1</f>
        <v>1</v>
      </c>
      <c r="DA1327" s="5" t="s">
        <v>673</v>
      </c>
      <c r="DB1327" s="5" t="s">
        <v>238</v>
      </c>
      <c r="DD1327" s="5" t="s">
        <v>673</v>
      </c>
      <c r="DE1327" s="8">
        <f>1206</f>
        <v>1206</v>
      </c>
      <c r="DG1327" s="5" t="s">
        <v>238</v>
      </c>
      <c r="DH1327" s="5" t="s">
        <v>238</v>
      </c>
      <c r="DI1327" s="5" t="s">
        <v>238</v>
      </c>
      <c r="DJ1327" s="5" t="s">
        <v>238</v>
      </c>
      <c r="DN1327" s="5" t="s">
        <v>238</v>
      </c>
      <c r="DO1327" s="5" t="s">
        <v>238</v>
      </c>
      <c r="DP1327" s="5" t="s">
        <v>238</v>
      </c>
      <c r="DQ1327" s="5" t="s">
        <v>238</v>
      </c>
      <c r="DT1327" s="5" t="s">
        <v>2039</v>
      </c>
      <c r="DU1327" s="5" t="s">
        <v>2658</v>
      </c>
      <c r="HM1327" s="5" t="s">
        <v>264</v>
      </c>
    </row>
    <row r="1328" spans="1:221" x14ac:dyDescent="0.4">
      <c r="A1328" s="5">
        <v>3003</v>
      </c>
      <c r="B1328" s="5">
        <v>1</v>
      </c>
      <c r="C1328" s="5">
        <v>1</v>
      </c>
      <c r="D1328" s="5" t="s">
        <v>2037</v>
      </c>
      <c r="E1328" s="5" t="s">
        <v>271</v>
      </c>
      <c r="F1328" s="5" t="s">
        <v>248</v>
      </c>
      <c r="G1328" s="5" t="s">
        <v>1969</v>
      </c>
      <c r="H1328" s="6" t="s">
        <v>2655</v>
      </c>
      <c r="I1328" s="7">
        <f>2286</f>
        <v>2286</v>
      </c>
      <c r="J1328" s="5" t="s">
        <v>262</v>
      </c>
      <c r="K1328" s="8">
        <f>1</f>
        <v>1</v>
      </c>
      <c r="L1328" s="6" t="s">
        <v>242</v>
      </c>
      <c r="M1328" s="5" t="s">
        <v>267</v>
      </c>
      <c r="N1328" s="5" t="s">
        <v>265</v>
      </c>
      <c r="O1328" s="5" t="s">
        <v>238</v>
      </c>
      <c r="P1328" s="5" t="s">
        <v>238</v>
      </c>
      <c r="Q1328" s="5" t="s">
        <v>268</v>
      </c>
      <c r="R1328" s="5" t="s">
        <v>270</v>
      </c>
      <c r="S1328" s="5" t="s">
        <v>238</v>
      </c>
      <c r="V1328" s="5" t="s">
        <v>238</v>
      </c>
      <c r="X1328" s="6" t="s">
        <v>238</v>
      </c>
      <c r="AA1328" s="6" t="s">
        <v>243</v>
      </c>
      <c r="AB1328" s="5" t="s">
        <v>238</v>
      </c>
      <c r="AC1328" s="5" t="s">
        <v>244</v>
      </c>
      <c r="AD1328" s="5" t="s">
        <v>245</v>
      </c>
      <c r="AT1328" s="5" t="s">
        <v>246</v>
      </c>
      <c r="AU1328" s="5" t="s">
        <v>238</v>
      </c>
      <c r="AV1328" s="5" t="s">
        <v>247</v>
      </c>
      <c r="AW1328" s="5" t="s">
        <v>238</v>
      </c>
      <c r="AX1328" s="5" t="s">
        <v>249</v>
      </c>
      <c r="AY1328" s="5" t="s">
        <v>238</v>
      </c>
      <c r="BA1328" s="5" t="s">
        <v>238</v>
      </c>
      <c r="BC1328" s="5" t="s">
        <v>250</v>
      </c>
      <c r="BD1328" s="6" t="s">
        <v>243</v>
      </c>
      <c r="BE1328" s="5" t="s">
        <v>251</v>
      </c>
      <c r="BF1328" s="5" t="s">
        <v>252</v>
      </c>
      <c r="BG1328" s="5" t="s">
        <v>238</v>
      </c>
      <c r="BH1328" s="7">
        <f>0</f>
        <v>0</v>
      </c>
      <c r="BI1328" s="8">
        <f>0</f>
        <v>0</v>
      </c>
      <c r="BJ1328" s="5" t="s">
        <v>253</v>
      </c>
      <c r="BK1328" s="5" t="s">
        <v>254</v>
      </c>
      <c r="BY1328" s="5" t="s">
        <v>238</v>
      </c>
      <c r="BZ1328" s="5" t="s">
        <v>238</v>
      </c>
      <c r="CD1328" s="5" t="s">
        <v>273</v>
      </c>
      <c r="CE1328" s="5" t="s">
        <v>256</v>
      </c>
      <c r="CF1328" s="5" t="s">
        <v>238</v>
      </c>
      <c r="CI1328" s="6" t="s">
        <v>257</v>
      </c>
      <c r="CJ1328" s="5" t="s">
        <v>238</v>
      </c>
      <c r="CK1328" s="5" t="s">
        <v>258</v>
      </c>
      <c r="CL1328" s="5" t="s">
        <v>238</v>
      </c>
      <c r="CM1328" s="5" t="s">
        <v>238</v>
      </c>
      <c r="CN1328" s="5">
        <v>0</v>
      </c>
      <c r="CO1328" s="5" t="s">
        <v>259</v>
      </c>
      <c r="CP1328" s="5" t="s">
        <v>260</v>
      </c>
      <c r="CQ1328" s="5" t="s">
        <v>260</v>
      </c>
      <c r="CR1328" s="5" t="s">
        <v>261</v>
      </c>
      <c r="CU1328" s="8">
        <f>1</f>
        <v>1</v>
      </c>
      <c r="CV1328" s="8">
        <f>0</f>
        <v>0</v>
      </c>
      <c r="CX1328" s="8">
        <f>0</f>
        <v>0</v>
      </c>
      <c r="CY1328" s="8">
        <f>1</f>
        <v>1</v>
      </c>
      <c r="DA1328" s="5" t="s">
        <v>673</v>
      </c>
      <c r="DB1328" s="5" t="s">
        <v>238</v>
      </c>
      <c r="DD1328" s="5" t="s">
        <v>673</v>
      </c>
      <c r="DE1328" s="8">
        <f>2286</f>
        <v>2286</v>
      </c>
      <c r="DG1328" s="5" t="s">
        <v>238</v>
      </c>
      <c r="DH1328" s="5" t="s">
        <v>238</v>
      </c>
      <c r="DI1328" s="5" t="s">
        <v>238</v>
      </c>
      <c r="DJ1328" s="5" t="s">
        <v>238</v>
      </c>
      <c r="DN1328" s="5" t="s">
        <v>238</v>
      </c>
      <c r="DO1328" s="5" t="s">
        <v>238</v>
      </c>
      <c r="DP1328" s="5" t="s">
        <v>238</v>
      </c>
      <c r="DQ1328" s="5" t="s">
        <v>238</v>
      </c>
      <c r="DT1328" s="5" t="s">
        <v>2039</v>
      </c>
      <c r="DU1328" s="5" t="s">
        <v>2656</v>
      </c>
      <c r="HM1328" s="5" t="s">
        <v>264</v>
      </c>
    </row>
    <row r="1329" spans="1:221" x14ac:dyDescent="0.4">
      <c r="A1329" s="5">
        <v>3004</v>
      </c>
      <c r="B1329" s="5">
        <v>1</v>
      </c>
      <c r="C1329" s="5">
        <v>1</v>
      </c>
      <c r="D1329" s="5" t="s">
        <v>2037</v>
      </c>
      <c r="E1329" s="5" t="s">
        <v>271</v>
      </c>
      <c r="F1329" s="5" t="s">
        <v>248</v>
      </c>
      <c r="G1329" s="5" t="s">
        <v>1969</v>
      </c>
      <c r="H1329" s="6" t="s">
        <v>2653</v>
      </c>
      <c r="I1329" s="7">
        <f>976</f>
        <v>976</v>
      </c>
      <c r="J1329" s="5" t="s">
        <v>262</v>
      </c>
      <c r="K1329" s="8">
        <f>1</f>
        <v>1</v>
      </c>
      <c r="L1329" s="6" t="s">
        <v>242</v>
      </c>
      <c r="M1329" s="5" t="s">
        <v>267</v>
      </c>
      <c r="N1329" s="5" t="s">
        <v>265</v>
      </c>
      <c r="O1329" s="5" t="s">
        <v>238</v>
      </c>
      <c r="P1329" s="5" t="s">
        <v>238</v>
      </c>
      <c r="Q1329" s="5" t="s">
        <v>268</v>
      </c>
      <c r="R1329" s="5" t="s">
        <v>270</v>
      </c>
      <c r="S1329" s="5" t="s">
        <v>238</v>
      </c>
      <c r="V1329" s="5" t="s">
        <v>238</v>
      </c>
      <c r="X1329" s="6" t="s">
        <v>238</v>
      </c>
      <c r="AA1329" s="6" t="s">
        <v>243</v>
      </c>
      <c r="AB1329" s="5" t="s">
        <v>238</v>
      </c>
      <c r="AC1329" s="5" t="s">
        <v>244</v>
      </c>
      <c r="AD1329" s="5" t="s">
        <v>245</v>
      </c>
      <c r="AT1329" s="5" t="s">
        <v>246</v>
      </c>
      <c r="AU1329" s="5" t="s">
        <v>238</v>
      </c>
      <c r="AV1329" s="5" t="s">
        <v>247</v>
      </c>
      <c r="AW1329" s="5" t="s">
        <v>238</v>
      </c>
      <c r="AX1329" s="5" t="s">
        <v>249</v>
      </c>
      <c r="AY1329" s="5" t="s">
        <v>238</v>
      </c>
      <c r="BA1329" s="5" t="s">
        <v>238</v>
      </c>
      <c r="BC1329" s="5" t="s">
        <v>250</v>
      </c>
      <c r="BD1329" s="6" t="s">
        <v>243</v>
      </c>
      <c r="BE1329" s="5" t="s">
        <v>251</v>
      </c>
      <c r="BF1329" s="5" t="s">
        <v>252</v>
      </c>
      <c r="BG1329" s="5" t="s">
        <v>238</v>
      </c>
      <c r="BH1329" s="7">
        <f>0</f>
        <v>0</v>
      </c>
      <c r="BI1329" s="8">
        <f>0</f>
        <v>0</v>
      </c>
      <c r="BJ1329" s="5" t="s">
        <v>253</v>
      </c>
      <c r="BK1329" s="5" t="s">
        <v>254</v>
      </c>
      <c r="BY1329" s="5" t="s">
        <v>238</v>
      </c>
      <c r="BZ1329" s="5" t="s">
        <v>238</v>
      </c>
      <c r="CD1329" s="5" t="s">
        <v>273</v>
      </c>
      <c r="CE1329" s="5" t="s">
        <v>256</v>
      </c>
      <c r="CF1329" s="5" t="s">
        <v>238</v>
      </c>
      <c r="CI1329" s="6" t="s">
        <v>257</v>
      </c>
      <c r="CJ1329" s="5" t="s">
        <v>238</v>
      </c>
      <c r="CK1329" s="5" t="s">
        <v>258</v>
      </c>
      <c r="CL1329" s="5" t="s">
        <v>238</v>
      </c>
      <c r="CM1329" s="5" t="s">
        <v>238</v>
      </c>
      <c r="CN1329" s="5">
        <v>0</v>
      </c>
      <c r="CO1329" s="5" t="s">
        <v>259</v>
      </c>
      <c r="CP1329" s="5" t="s">
        <v>260</v>
      </c>
      <c r="CQ1329" s="5" t="s">
        <v>260</v>
      </c>
      <c r="CR1329" s="5" t="s">
        <v>261</v>
      </c>
      <c r="CU1329" s="8">
        <f>1</f>
        <v>1</v>
      </c>
      <c r="CV1329" s="8">
        <f>0</f>
        <v>0</v>
      </c>
      <c r="CX1329" s="8">
        <f>0</f>
        <v>0</v>
      </c>
      <c r="CY1329" s="8">
        <f>1</f>
        <v>1</v>
      </c>
      <c r="DA1329" s="5" t="s">
        <v>673</v>
      </c>
      <c r="DB1329" s="5" t="s">
        <v>238</v>
      </c>
      <c r="DD1329" s="5" t="s">
        <v>673</v>
      </c>
      <c r="DE1329" s="8">
        <f>976</f>
        <v>976</v>
      </c>
      <c r="DG1329" s="5" t="s">
        <v>238</v>
      </c>
      <c r="DH1329" s="5" t="s">
        <v>238</v>
      </c>
      <c r="DI1329" s="5" t="s">
        <v>238</v>
      </c>
      <c r="DJ1329" s="5" t="s">
        <v>238</v>
      </c>
      <c r="DN1329" s="5" t="s">
        <v>238</v>
      </c>
      <c r="DO1329" s="5" t="s">
        <v>238</v>
      </c>
      <c r="DP1329" s="5" t="s">
        <v>238</v>
      </c>
      <c r="DQ1329" s="5" t="s">
        <v>238</v>
      </c>
      <c r="DT1329" s="5" t="s">
        <v>2039</v>
      </c>
      <c r="DU1329" s="5" t="s">
        <v>2654</v>
      </c>
      <c r="HM1329" s="5" t="s">
        <v>264</v>
      </c>
    </row>
    <row r="1330" spans="1:221" x14ac:dyDescent="0.4">
      <c r="A1330" s="5">
        <v>3005</v>
      </c>
      <c r="B1330" s="5">
        <v>1</v>
      </c>
      <c r="C1330" s="5">
        <v>1</v>
      </c>
      <c r="D1330" s="5" t="s">
        <v>2037</v>
      </c>
      <c r="E1330" s="5" t="s">
        <v>271</v>
      </c>
      <c r="F1330" s="5" t="s">
        <v>248</v>
      </c>
      <c r="G1330" s="5" t="s">
        <v>1969</v>
      </c>
      <c r="H1330" s="6" t="s">
        <v>2651</v>
      </c>
      <c r="I1330" s="7">
        <f>2701</f>
        <v>2701</v>
      </c>
      <c r="J1330" s="5" t="s">
        <v>262</v>
      </c>
      <c r="K1330" s="8">
        <f>1</f>
        <v>1</v>
      </c>
      <c r="L1330" s="6" t="s">
        <v>242</v>
      </c>
      <c r="M1330" s="5" t="s">
        <v>267</v>
      </c>
      <c r="N1330" s="5" t="s">
        <v>265</v>
      </c>
      <c r="O1330" s="5" t="s">
        <v>238</v>
      </c>
      <c r="P1330" s="5" t="s">
        <v>238</v>
      </c>
      <c r="Q1330" s="5" t="s">
        <v>268</v>
      </c>
      <c r="R1330" s="5" t="s">
        <v>270</v>
      </c>
      <c r="S1330" s="5" t="s">
        <v>238</v>
      </c>
      <c r="V1330" s="5" t="s">
        <v>238</v>
      </c>
      <c r="X1330" s="6" t="s">
        <v>238</v>
      </c>
      <c r="AA1330" s="6" t="s">
        <v>243</v>
      </c>
      <c r="AB1330" s="5" t="s">
        <v>238</v>
      </c>
      <c r="AC1330" s="5" t="s">
        <v>244</v>
      </c>
      <c r="AD1330" s="5" t="s">
        <v>245</v>
      </c>
      <c r="AT1330" s="5" t="s">
        <v>246</v>
      </c>
      <c r="AU1330" s="5" t="s">
        <v>238</v>
      </c>
      <c r="AV1330" s="5" t="s">
        <v>247</v>
      </c>
      <c r="AW1330" s="5" t="s">
        <v>238</v>
      </c>
      <c r="AX1330" s="5" t="s">
        <v>249</v>
      </c>
      <c r="AY1330" s="5" t="s">
        <v>238</v>
      </c>
      <c r="BA1330" s="5" t="s">
        <v>238</v>
      </c>
      <c r="BC1330" s="5" t="s">
        <v>250</v>
      </c>
      <c r="BD1330" s="6" t="s">
        <v>243</v>
      </c>
      <c r="BE1330" s="5" t="s">
        <v>251</v>
      </c>
      <c r="BF1330" s="5" t="s">
        <v>252</v>
      </c>
      <c r="BG1330" s="5" t="s">
        <v>238</v>
      </c>
      <c r="BH1330" s="7">
        <f>0</f>
        <v>0</v>
      </c>
      <c r="BI1330" s="8">
        <f>0</f>
        <v>0</v>
      </c>
      <c r="BJ1330" s="5" t="s">
        <v>253</v>
      </c>
      <c r="BK1330" s="5" t="s">
        <v>254</v>
      </c>
      <c r="BY1330" s="5" t="s">
        <v>238</v>
      </c>
      <c r="BZ1330" s="5" t="s">
        <v>238</v>
      </c>
      <c r="CD1330" s="5" t="s">
        <v>273</v>
      </c>
      <c r="CE1330" s="5" t="s">
        <v>256</v>
      </c>
      <c r="CF1330" s="5" t="s">
        <v>238</v>
      </c>
      <c r="CI1330" s="6" t="s">
        <v>257</v>
      </c>
      <c r="CJ1330" s="5" t="s">
        <v>238</v>
      </c>
      <c r="CK1330" s="5" t="s">
        <v>258</v>
      </c>
      <c r="CL1330" s="5" t="s">
        <v>238</v>
      </c>
      <c r="CM1330" s="5" t="s">
        <v>238</v>
      </c>
      <c r="CN1330" s="5">
        <v>0</v>
      </c>
      <c r="CO1330" s="5" t="s">
        <v>259</v>
      </c>
      <c r="CP1330" s="5" t="s">
        <v>260</v>
      </c>
      <c r="CQ1330" s="5" t="s">
        <v>260</v>
      </c>
      <c r="CR1330" s="5" t="s">
        <v>261</v>
      </c>
      <c r="CU1330" s="8">
        <f>1</f>
        <v>1</v>
      </c>
      <c r="CV1330" s="8">
        <f>0</f>
        <v>0</v>
      </c>
      <c r="CX1330" s="8">
        <f>0</f>
        <v>0</v>
      </c>
      <c r="CY1330" s="8">
        <f>1</f>
        <v>1</v>
      </c>
      <c r="DA1330" s="5" t="s">
        <v>673</v>
      </c>
      <c r="DB1330" s="5" t="s">
        <v>238</v>
      </c>
      <c r="DD1330" s="5" t="s">
        <v>673</v>
      </c>
      <c r="DE1330" s="8">
        <f>2701</f>
        <v>2701</v>
      </c>
      <c r="DG1330" s="5" t="s">
        <v>238</v>
      </c>
      <c r="DH1330" s="5" t="s">
        <v>238</v>
      </c>
      <c r="DI1330" s="5" t="s">
        <v>238</v>
      </c>
      <c r="DJ1330" s="5" t="s">
        <v>238</v>
      </c>
      <c r="DN1330" s="5" t="s">
        <v>238</v>
      </c>
      <c r="DO1330" s="5" t="s">
        <v>238</v>
      </c>
      <c r="DP1330" s="5" t="s">
        <v>238</v>
      </c>
      <c r="DQ1330" s="5" t="s">
        <v>238</v>
      </c>
      <c r="DT1330" s="5" t="s">
        <v>2039</v>
      </c>
      <c r="DU1330" s="5" t="s">
        <v>2652</v>
      </c>
      <c r="HM1330" s="5" t="s">
        <v>264</v>
      </c>
    </row>
    <row r="1331" spans="1:221" x14ac:dyDescent="0.4">
      <c r="A1331" s="5">
        <v>3006</v>
      </c>
      <c r="B1331" s="5">
        <v>1</v>
      </c>
      <c r="C1331" s="5">
        <v>1</v>
      </c>
      <c r="D1331" s="5" t="s">
        <v>2037</v>
      </c>
      <c r="E1331" s="5" t="s">
        <v>271</v>
      </c>
      <c r="F1331" s="5" t="s">
        <v>248</v>
      </c>
      <c r="G1331" s="5" t="s">
        <v>1969</v>
      </c>
      <c r="H1331" s="6" t="s">
        <v>2649</v>
      </c>
      <c r="I1331" s="7">
        <f>1448</f>
        <v>1448</v>
      </c>
      <c r="J1331" s="5" t="s">
        <v>262</v>
      </c>
      <c r="K1331" s="8">
        <f>1</f>
        <v>1</v>
      </c>
      <c r="L1331" s="6" t="s">
        <v>242</v>
      </c>
      <c r="M1331" s="5" t="s">
        <v>267</v>
      </c>
      <c r="N1331" s="5" t="s">
        <v>265</v>
      </c>
      <c r="O1331" s="5" t="s">
        <v>238</v>
      </c>
      <c r="P1331" s="5" t="s">
        <v>238</v>
      </c>
      <c r="Q1331" s="5" t="s">
        <v>268</v>
      </c>
      <c r="R1331" s="5" t="s">
        <v>270</v>
      </c>
      <c r="S1331" s="5" t="s">
        <v>238</v>
      </c>
      <c r="V1331" s="5" t="s">
        <v>238</v>
      </c>
      <c r="X1331" s="6" t="s">
        <v>238</v>
      </c>
      <c r="AA1331" s="6" t="s">
        <v>243</v>
      </c>
      <c r="AB1331" s="5" t="s">
        <v>238</v>
      </c>
      <c r="AC1331" s="5" t="s">
        <v>244</v>
      </c>
      <c r="AD1331" s="5" t="s">
        <v>245</v>
      </c>
      <c r="AT1331" s="5" t="s">
        <v>246</v>
      </c>
      <c r="AU1331" s="5" t="s">
        <v>238</v>
      </c>
      <c r="AV1331" s="5" t="s">
        <v>247</v>
      </c>
      <c r="AW1331" s="5" t="s">
        <v>238</v>
      </c>
      <c r="AX1331" s="5" t="s">
        <v>249</v>
      </c>
      <c r="AY1331" s="5" t="s">
        <v>238</v>
      </c>
      <c r="BA1331" s="5" t="s">
        <v>238</v>
      </c>
      <c r="BC1331" s="5" t="s">
        <v>250</v>
      </c>
      <c r="BD1331" s="6" t="s">
        <v>243</v>
      </c>
      <c r="BE1331" s="5" t="s">
        <v>251</v>
      </c>
      <c r="BF1331" s="5" t="s">
        <v>252</v>
      </c>
      <c r="BG1331" s="5" t="s">
        <v>238</v>
      </c>
      <c r="BH1331" s="7">
        <f>0</f>
        <v>0</v>
      </c>
      <c r="BI1331" s="8">
        <f>0</f>
        <v>0</v>
      </c>
      <c r="BJ1331" s="5" t="s">
        <v>253</v>
      </c>
      <c r="BK1331" s="5" t="s">
        <v>254</v>
      </c>
      <c r="BY1331" s="5" t="s">
        <v>238</v>
      </c>
      <c r="BZ1331" s="5" t="s">
        <v>238</v>
      </c>
      <c r="CD1331" s="5" t="s">
        <v>273</v>
      </c>
      <c r="CE1331" s="5" t="s">
        <v>256</v>
      </c>
      <c r="CF1331" s="5" t="s">
        <v>238</v>
      </c>
      <c r="CI1331" s="6" t="s">
        <v>257</v>
      </c>
      <c r="CJ1331" s="5" t="s">
        <v>238</v>
      </c>
      <c r="CK1331" s="5" t="s">
        <v>258</v>
      </c>
      <c r="CL1331" s="5" t="s">
        <v>238</v>
      </c>
      <c r="CM1331" s="5" t="s">
        <v>238</v>
      </c>
      <c r="CN1331" s="5">
        <v>0</v>
      </c>
      <c r="CO1331" s="5" t="s">
        <v>259</v>
      </c>
      <c r="CP1331" s="5" t="s">
        <v>260</v>
      </c>
      <c r="CQ1331" s="5" t="s">
        <v>260</v>
      </c>
      <c r="CR1331" s="5" t="s">
        <v>261</v>
      </c>
      <c r="CU1331" s="8">
        <f>1</f>
        <v>1</v>
      </c>
      <c r="CV1331" s="8">
        <f>0</f>
        <v>0</v>
      </c>
      <c r="CX1331" s="8">
        <f>0</f>
        <v>0</v>
      </c>
      <c r="CY1331" s="8">
        <f>1</f>
        <v>1</v>
      </c>
      <c r="DA1331" s="5" t="s">
        <v>673</v>
      </c>
      <c r="DB1331" s="5" t="s">
        <v>238</v>
      </c>
      <c r="DD1331" s="5" t="s">
        <v>673</v>
      </c>
      <c r="DE1331" s="8">
        <f>1448</f>
        <v>1448</v>
      </c>
      <c r="DG1331" s="5" t="s">
        <v>238</v>
      </c>
      <c r="DH1331" s="5" t="s">
        <v>238</v>
      </c>
      <c r="DI1331" s="5" t="s">
        <v>238</v>
      </c>
      <c r="DJ1331" s="5" t="s">
        <v>238</v>
      </c>
      <c r="DN1331" s="5" t="s">
        <v>238</v>
      </c>
      <c r="DO1331" s="5" t="s">
        <v>238</v>
      </c>
      <c r="DP1331" s="5" t="s">
        <v>238</v>
      </c>
      <c r="DQ1331" s="5" t="s">
        <v>238</v>
      </c>
      <c r="DT1331" s="5" t="s">
        <v>2039</v>
      </c>
      <c r="DU1331" s="5" t="s">
        <v>2650</v>
      </c>
      <c r="HM1331" s="5" t="s">
        <v>264</v>
      </c>
    </row>
    <row r="1332" spans="1:221" x14ac:dyDescent="0.4">
      <c r="A1332" s="5">
        <v>3007</v>
      </c>
      <c r="B1332" s="5">
        <v>1</v>
      </c>
      <c r="C1332" s="5">
        <v>1</v>
      </c>
      <c r="D1332" s="5" t="s">
        <v>2037</v>
      </c>
      <c r="E1332" s="5" t="s">
        <v>271</v>
      </c>
      <c r="F1332" s="5" t="s">
        <v>248</v>
      </c>
      <c r="G1332" s="5" t="s">
        <v>1969</v>
      </c>
      <c r="H1332" s="6" t="s">
        <v>2647</v>
      </c>
      <c r="I1332" s="7">
        <f>1463</f>
        <v>1463</v>
      </c>
      <c r="J1332" s="5" t="s">
        <v>262</v>
      </c>
      <c r="K1332" s="8">
        <f>1</f>
        <v>1</v>
      </c>
      <c r="L1332" s="6" t="s">
        <v>242</v>
      </c>
      <c r="M1332" s="5" t="s">
        <v>267</v>
      </c>
      <c r="N1332" s="5" t="s">
        <v>265</v>
      </c>
      <c r="O1332" s="5" t="s">
        <v>238</v>
      </c>
      <c r="P1332" s="5" t="s">
        <v>238</v>
      </c>
      <c r="Q1332" s="5" t="s">
        <v>268</v>
      </c>
      <c r="R1332" s="5" t="s">
        <v>270</v>
      </c>
      <c r="S1332" s="5" t="s">
        <v>238</v>
      </c>
      <c r="V1332" s="5" t="s">
        <v>238</v>
      </c>
      <c r="X1332" s="6" t="s">
        <v>238</v>
      </c>
      <c r="AA1332" s="6" t="s">
        <v>243</v>
      </c>
      <c r="AB1332" s="5" t="s">
        <v>238</v>
      </c>
      <c r="AC1332" s="5" t="s">
        <v>244</v>
      </c>
      <c r="AD1332" s="5" t="s">
        <v>245</v>
      </c>
      <c r="AT1332" s="5" t="s">
        <v>246</v>
      </c>
      <c r="AU1332" s="5" t="s">
        <v>238</v>
      </c>
      <c r="AV1332" s="5" t="s">
        <v>247</v>
      </c>
      <c r="AW1332" s="5" t="s">
        <v>238</v>
      </c>
      <c r="AX1332" s="5" t="s">
        <v>249</v>
      </c>
      <c r="AY1332" s="5" t="s">
        <v>238</v>
      </c>
      <c r="BA1332" s="5" t="s">
        <v>238</v>
      </c>
      <c r="BC1332" s="5" t="s">
        <v>250</v>
      </c>
      <c r="BD1332" s="6" t="s">
        <v>243</v>
      </c>
      <c r="BE1332" s="5" t="s">
        <v>251</v>
      </c>
      <c r="BF1332" s="5" t="s">
        <v>252</v>
      </c>
      <c r="BG1332" s="5" t="s">
        <v>238</v>
      </c>
      <c r="BH1332" s="7">
        <f>0</f>
        <v>0</v>
      </c>
      <c r="BI1332" s="8">
        <f>0</f>
        <v>0</v>
      </c>
      <c r="BJ1332" s="5" t="s">
        <v>253</v>
      </c>
      <c r="BK1332" s="5" t="s">
        <v>254</v>
      </c>
      <c r="BY1332" s="5" t="s">
        <v>238</v>
      </c>
      <c r="BZ1332" s="5" t="s">
        <v>238</v>
      </c>
      <c r="CD1332" s="5" t="s">
        <v>273</v>
      </c>
      <c r="CE1332" s="5" t="s">
        <v>256</v>
      </c>
      <c r="CF1332" s="5" t="s">
        <v>238</v>
      </c>
      <c r="CI1332" s="6" t="s">
        <v>257</v>
      </c>
      <c r="CJ1332" s="5" t="s">
        <v>238</v>
      </c>
      <c r="CK1332" s="5" t="s">
        <v>258</v>
      </c>
      <c r="CL1332" s="5" t="s">
        <v>238</v>
      </c>
      <c r="CM1332" s="5" t="s">
        <v>238</v>
      </c>
      <c r="CN1332" s="5">
        <v>0</v>
      </c>
      <c r="CO1332" s="5" t="s">
        <v>259</v>
      </c>
      <c r="CP1332" s="5" t="s">
        <v>260</v>
      </c>
      <c r="CQ1332" s="5" t="s">
        <v>260</v>
      </c>
      <c r="CR1332" s="5" t="s">
        <v>261</v>
      </c>
      <c r="CU1332" s="8">
        <f>1</f>
        <v>1</v>
      </c>
      <c r="CV1332" s="8">
        <f>0</f>
        <v>0</v>
      </c>
      <c r="CX1332" s="8">
        <f>0</f>
        <v>0</v>
      </c>
      <c r="CY1332" s="8">
        <f>1</f>
        <v>1</v>
      </c>
      <c r="DA1332" s="5" t="s">
        <v>673</v>
      </c>
      <c r="DB1332" s="5" t="s">
        <v>238</v>
      </c>
      <c r="DD1332" s="5" t="s">
        <v>673</v>
      </c>
      <c r="DE1332" s="8">
        <f>1463</f>
        <v>1463</v>
      </c>
      <c r="DG1332" s="5" t="s">
        <v>238</v>
      </c>
      <c r="DH1332" s="5" t="s">
        <v>238</v>
      </c>
      <c r="DI1332" s="5" t="s">
        <v>238</v>
      </c>
      <c r="DJ1332" s="5" t="s">
        <v>238</v>
      </c>
      <c r="DN1332" s="5" t="s">
        <v>238</v>
      </c>
      <c r="DO1332" s="5" t="s">
        <v>238</v>
      </c>
      <c r="DP1332" s="5" t="s">
        <v>238</v>
      </c>
      <c r="DQ1332" s="5" t="s">
        <v>238</v>
      </c>
      <c r="DT1332" s="5" t="s">
        <v>2039</v>
      </c>
      <c r="DU1332" s="5" t="s">
        <v>2648</v>
      </c>
      <c r="HM1332" s="5" t="s">
        <v>264</v>
      </c>
    </row>
    <row r="1333" spans="1:221" x14ac:dyDescent="0.4">
      <c r="A1333" s="5">
        <v>3008</v>
      </c>
      <c r="B1333" s="5">
        <v>1</v>
      </c>
      <c r="C1333" s="5">
        <v>1</v>
      </c>
      <c r="D1333" s="5" t="s">
        <v>2037</v>
      </c>
      <c r="E1333" s="5" t="s">
        <v>271</v>
      </c>
      <c r="F1333" s="5" t="s">
        <v>248</v>
      </c>
      <c r="G1333" s="5" t="s">
        <v>1969</v>
      </c>
      <c r="H1333" s="6" t="s">
        <v>2645</v>
      </c>
      <c r="I1333" s="7">
        <f>519</f>
        <v>519</v>
      </c>
      <c r="J1333" s="5" t="s">
        <v>262</v>
      </c>
      <c r="K1333" s="8">
        <f>1</f>
        <v>1</v>
      </c>
      <c r="L1333" s="6" t="s">
        <v>242</v>
      </c>
      <c r="M1333" s="5" t="s">
        <v>267</v>
      </c>
      <c r="N1333" s="5" t="s">
        <v>265</v>
      </c>
      <c r="O1333" s="5" t="s">
        <v>238</v>
      </c>
      <c r="P1333" s="5" t="s">
        <v>238</v>
      </c>
      <c r="Q1333" s="5" t="s">
        <v>268</v>
      </c>
      <c r="R1333" s="5" t="s">
        <v>270</v>
      </c>
      <c r="S1333" s="5" t="s">
        <v>238</v>
      </c>
      <c r="V1333" s="5" t="s">
        <v>238</v>
      </c>
      <c r="X1333" s="6" t="s">
        <v>238</v>
      </c>
      <c r="AA1333" s="6" t="s">
        <v>243</v>
      </c>
      <c r="AB1333" s="5" t="s">
        <v>238</v>
      </c>
      <c r="AC1333" s="5" t="s">
        <v>244</v>
      </c>
      <c r="AD1333" s="5" t="s">
        <v>245</v>
      </c>
      <c r="AT1333" s="5" t="s">
        <v>246</v>
      </c>
      <c r="AU1333" s="5" t="s">
        <v>238</v>
      </c>
      <c r="AV1333" s="5" t="s">
        <v>247</v>
      </c>
      <c r="AW1333" s="5" t="s">
        <v>238</v>
      </c>
      <c r="AX1333" s="5" t="s">
        <v>249</v>
      </c>
      <c r="AY1333" s="5" t="s">
        <v>238</v>
      </c>
      <c r="BA1333" s="5" t="s">
        <v>238</v>
      </c>
      <c r="BC1333" s="5" t="s">
        <v>250</v>
      </c>
      <c r="BD1333" s="6" t="s">
        <v>243</v>
      </c>
      <c r="BE1333" s="5" t="s">
        <v>251</v>
      </c>
      <c r="BF1333" s="5" t="s">
        <v>252</v>
      </c>
      <c r="BG1333" s="5" t="s">
        <v>238</v>
      </c>
      <c r="BH1333" s="7">
        <f>0</f>
        <v>0</v>
      </c>
      <c r="BI1333" s="8">
        <f>0</f>
        <v>0</v>
      </c>
      <c r="BJ1333" s="5" t="s">
        <v>253</v>
      </c>
      <c r="BK1333" s="5" t="s">
        <v>254</v>
      </c>
      <c r="BY1333" s="5" t="s">
        <v>238</v>
      </c>
      <c r="BZ1333" s="5" t="s">
        <v>238</v>
      </c>
      <c r="CD1333" s="5" t="s">
        <v>273</v>
      </c>
      <c r="CE1333" s="5" t="s">
        <v>256</v>
      </c>
      <c r="CF1333" s="5" t="s">
        <v>238</v>
      </c>
      <c r="CI1333" s="6" t="s">
        <v>257</v>
      </c>
      <c r="CJ1333" s="5" t="s">
        <v>238</v>
      </c>
      <c r="CK1333" s="5" t="s">
        <v>258</v>
      </c>
      <c r="CL1333" s="5" t="s">
        <v>238</v>
      </c>
      <c r="CM1333" s="5" t="s">
        <v>238</v>
      </c>
      <c r="CN1333" s="5">
        <v>0</v>
      </c>
      <c r="CO1333" s="5" t="s">
        <v>259</v>
      </c>
      <c r="CP1333" s="5" t="s">
        <v>260</v>
      </c>
      <c r="CQ1333" s="5" t="s">
        <v>260</v>
      </c>
      <c r="CR1333" s="5" t="s">
        <v>261</v>
      </c>
      <c r="CU1333" s="8">
        <f>1</f>
        <v>1</v>
      </c>
      <c r="CV1333" s="8">
        <f>0</f>
        <v>0</v>
      </c>
      <c r="CX1333" s="8">
        <f>0</f>
        <v>0</v>
      </c>
      <c r="CY1333" s="8">
        <f>1</f>
        <v>1</v>
      </c>
      <c r="DA1333" s="5" t="s">
        <v>673</v>
      </c>
      <c r="DB1333" s="5" t="s">
        <v>238</v>
      </c>
      <c r="DD1333" s="5" t="s">
        <v>673</v>
      </c>
      <c r="DE1333" s="8">
        <f>519</f>
        <v>519</v>
      </c>
      <c r="DG1333" s="5" t="s">
        <v>238</v>
      </c>
      <c r="DH1333" s="5" t="s">
        <v>238</v>
      </c>
      <c r="DI1333" s="5" t="s">
        <v>238</v>
      </c>
      <c r="DJ1333" s="5" t="s">
        <v>238</v>
      </c>
      <c r="DN1333" s="5" t="s">
        <v>238</v>
      </c>
      <c r="DO1333" s="5" t="s">
        <v>238</v>
      </c>
      <c r="DP1333" s="5" t="s">
        <v>238</v>
      </c>
      <c r="DQ1333" s="5" t="s">
        <v>238</v>
      </c>
      <c r="DT1333" s="5" t="s">
        <v>2039</v>
      </c>
      <c r="DU1333" s="5" t="s">
        <v>2646</v>
      </c>
      <c r="HM1333" s="5" t="s">
        <v>264</v>
      </c>
    </row>
    <row r="1334" spans="1:221" x14ac:dyDescent="0.4">
      <c r="A1334" s="5">
        <v>3009</v>
      </c>
      <c r="B1334" s="5">
        <v>1</v>
      </c>
      <c r="C1334" s="5">
        <v>1</v>
      </c>
      <c r="D1334" s="5" t="s">
        <v>2037</v>
      </c>
      <c r="E1334" s="5" t="s">
        <v>271</v>
      </c>
      <c r="F1334" s="5" t="s">
        <v>248</v>
      </c>
      <c r="G1334" s="5" t="s">
        <v>1969</v>
      </c>
      <c r="H1334" s="6" t="s">
        <v>2643</v>
      </c>
      <c r="I1334" s="7">
        <f>412</f>
        <v>412</v>
      </c>
      <c r="J1334" s="5" t="s">
        <v>262</v>
      </c>
      <c r="K1334" s="8">
        <f>1</f>
        <v>1</v>
      </c>
      <c r="L1334" s="6" t="s">
        <v>242</v>
      </c>
      <c r="M1334" s="5" t="s">
        <v>267</v>
      </c>
      <c r="N1334" s="5" t="s">
        <v>265</v>
      </c>
      <c r="O1334" s="5" t="s">
        <v>238</v>
      </c>
      <c r="P1334" s="5" t="s">
        <v>238</v>
      </c>
      <c r="Q1334" s="5" t="s">
        <v>268</v>
      </c>
      <c r="R1334" s="5" t="s">
        <v>270</v>
      </c>
      <c r="S1334" s="5" t="s">
        <v>238</v>
      </c>
      <c r="V1334" s="5" t="s">
        <v>238</v>
      </c>
      <c r="X1334" s="6" t="s">
        <v>238</v>
      </c>
      <c r="AA1334" s="6" t="s">
        <v>243</v>
      </c>
      <c r="AB1334" s="5" t="s">
        <v>238</v>
      </c>
      <c r="AC1334" s="5" t="s">
        <v>244</v>
      </c>
      <c r="AD1334" s="5" t="s">
        <v>245</v>
      </c>
      <c r="AT1334" s="5" t="s">
        <v>246</v>
      </c>
      <c r="AU1334" s="5" t="s">
        <v>238</v>
      </c>
      <c r="AV1334" s="5" t="s">
        <v>247</v>
      </c>
      <c r="AW1334" s="5" t="s">
        <v>238</v>
      </c>
      <c r="AX1334" s="5" t="s">
        <v>249</v>
      </c>
      <c r="AY1334" s="5" t="s">
        <v>238</v>
      </c>
      <c r="BA1334" s="5" t="s">
        <v>238</v>
      </c>
      <c r="BC1334" s="5" t="s">
        <v>250</v>
      </c>
      <c r="BD1334" s="6" t="s">
        <v>243</v>
      </c>
      <c r="BE1334" s="5" t="s">
        <v>251</v>
      </c>
      <c r="BF1334" s="5" t="s">
        <v>252</v>
      </c>
      <c r="BG1334" s="5" t="s">
        <v>238</v>
      </c>
      <c r="BH1334" s="7">
        <f>0</f>
        <v>0</v>
      </c>
      <c r="BI1334" s="8">
        <f>0</f>
        <v>0</v>
      </c>
      <c r="BJ1334" s="5" t="s">
        <v>253</v>
      </c>
      <c r="BK1334" s="5" t="s">
        <v>254</v>
      </c>
      <c r="BY1334" s="5" t="s">
        <v>238</v>
      </c>
      <c r="BZ1334" s="5" t="s">
        <v>238</v>
      </c>
      <c r="CD1334" s="5" t="s">
        <v>273</v>
      </c>
      <c r="CE1334" s="5" t="s">
        <v>256</v>
      </c>
      <c r="CF1334" s="5" t="s">
        <v>238</v>
      </c>
      <c r="CI1334" s="6" t="s">
        <v>257</v>
      </c>
      <c r="CJ1334" s="5" t="s">
        <v>238</v>
      </c>
      <c r="CK1334" s="5" t="s">
        <v>258</v>
      </c>
      <c r="CL1334" s="5" t="s">
        <v>238</v>
      </c>
      <c r="CM1334" s="5" t="s">
        <v>238</v>
      </c>
      <c r="CN1334" s="5">
        <v>0</v>
      </c>
      <c r="CO1334" s="5" t="s">
        <v>259</v>
      </c>
      <c r="CP1334" s="5" t="s">
        <v>260</v>
      </c>
      <c r="CQ1334" s="5" t="s">
        <v>260</v>
      </c>
      <c r="CR1334" s="5" t="s">
        <v>261</v>
      </c>
      <c r="CU1334" s="8">
        <f>1</f>
        <v>1</v>
      </c>
      <c r="CV1334" s="8">
        <f>0</f>
        <v>0</v>
      </c>
      <c r="CX1334" s="8">
        <f>0</f>
        <v>0</v>
      </c>
      <c r="CY1334" s="8">
        <f>1</f>
        <v>1</v>
      </c>
      <c r="DA1334" s="5" t="s">
        <v>673</v>
      </c>
      <c r="DB1334" s="5" t="s">
        <v>238</v>
      </c>
      <c r="DD1334" s="5" t="s">
        <v>673</v>
      </c>
      <c r="DE1334" s="8">
        <f>412</f>
        <v>412</v>
      </c>
      <c r="DG1334" s="5" t="s">
        <v>238</v>
      </c>
      <c r="DH1334" s="5" t="s">
        <v>238</v>
      </c>
      <c r="DI1334" s="5" t="s">
        <v>238</v>
      </c>
      <c r="DJ1334" s="5" t="s">
        <v>238</v>
      </c>
      <c r="DN1334" s="5" t="s">
        <v>238</v>
      </c>
      <c r="DO1334" s="5" t="s">
        <v>238</v>
      </c>
      <c r="DP1334" s="5" t="s">
        <v>238</v>
      </c>
      <c r="DQ1334" s="5" t="s">
        <v>238</v>
      </c>
      <c r="DT1334" s="5" t="s">
        <v>2039</v>
      </c>
      <c r="DU1334" s="5" t="s">
        <v>2644</v>
      </c>
      <c r="HM1334" s="5" t="s">
        <v>264</v>
      </c>
    </row>
    <row r="1335" spans="1:221" x14ac:dyDescent="0.4">
      <c r="A1335" s="5">
        <v>3010</v>
      </c>
      <c r="B1335" s="5">
        <v>1</v>
      </c>
      <c r="C1335" s="5">
        <v>1</v>
      </c>
      <c r="D1335" s="5" t="s">
        <v>2037</v>
      </c>
      <c r="E1335" s="5" t="s">
        <v>271</v>
      </c>
      <c r="F1335" s="5" t="s">
        <v>248</v>
      </c>
      <c r="G1335" s="5" t="s">
        <v>1969</v>
      </c>
      <c r="H1335" s="6" t="s">
        <v>2640</v>
      </c>
      <c r="I1335" s="7">
        <f>388</f>
        <v>388</v>
      </c>
      <c r="J1335" s="5" t="s">
        <v>262</v>
      </c>
      <c r="K1335" s="8">
        <f>1</f>
        <v>1</v>
      </c>
      <c r="L1335" s="6" t="s">
        <v>242</v>
      </c>
      <c r="M1335" s="5" t="s">
        <v>267</v>
      </c>
      <c r="N1335" s="5" t="s">
        <v>265</v>
      </c>
      <c r="O1335" s="5" t="s">
        <v>238</v>
      </c>
      <c r="P1335" s="5" t="s">
        <v>238</v>
      </c>
      <c r="Q1335" s="5" t="s">
        <v>268</v>
      </c>
      <c r="R1335" s="5" t="s">
        <v>270</v>
      </c>
      <c r="S1335" s="5" t="s">
        <v>238</v>
      </c>
      <c r="V1335" s="5" t="s">
        <v>238</v>
      </c>
      <c r="X1335" s="6" t="s">
        <v>238</v>
      </c>
      <c r="AA1335" s="6" t="s">
        <v>243</v>
      </c>
      <c r="AB1335" s="5" t="s">
        <v>238</v>
      </c>
      <c r="AC1335" s="5" t="s">
        <v>244</v>
      </c>
      <c r="AD1335" s="5" t="s">
        <v>245</v>
      </c>
      <c r="AT1335" s="5" t="s">
        <v>246</v>
      </c>
      <c r="AU1335" s="5" t="s">
        <v>238</v>
      </c>
      <c r="AV1335" s="5" t="s">
        <v>247</v>
      </c>
      <c r="AW1335" s="5" t="s">
        <v>238</v>
      </c>
      <c r="AX1335" s="5" t="s">
        <v>249</v>
      </c>
      <c r="AY1335" s="5" t="s">
        <v>238</v>
      </c>
      <c r="BA1335" s="5" t="s">
        <v>238</v>
      </c>
      <c r="BC1335" s="5" t="s">
        <v>250</v>
      </c>
      <c r="BD1335" s="6" t="s">
        <v>243</v>
      </c>
      <c r="BE1335" s="5" t="s">
        <v>251</v>
      </c>
      <c r="BF1335" s="5" t="s">
        <v>252</v>
      </c>
      <c r="BG1335" s="5" t="s">
        <v>238</v>
      </c>
      <c r="BH1335" s="7">
        <f>0</f>
        <v>0</v>
      </c>
      <c r="BI1335" s="8">
        <f>0</f>
        <v>0</v>
      </c>
      <c r="BJ1335" s="5" t="s">
        <v>253</v>
      </c>
      <c r="BK1335" s="5" t="s">
        <v>254</v>
      </c>
      <c r="BY1335" s="5" t="s">
        <v>238</v>
      </c>
      <c r="BZ1335" s="5" t="s">
        <v>238</v>
      </c>
      <c r="CD1335" s="5" t="s">
        <v>273</v>
      </c>
      <c r="CE1335" s="5" t="s">
        <v>256</v>
      </c>
      <c r="CF1335" s="5" t="s">
        <v>238</v>
      </c>
      <c r="CI1335" s="6" t="s">
        <v>257</v>
      </c>
      <c r="CJ1335" s="5" t="s">
        <v>238</v>
      </c>
      <c r="CK1335" s="5" t="s">
        <v>258</v>
      </c>
      <c r="CL1335" s="5" t="s">
        <v>238</v>
      </c>
      <c r="CM1335" s="5" t="s">
        <v>238</v>
      </c>
      <c r="CN1335" s="5">
        <v>0</v>
      </c>
      <c r="CO1335" s="5" t="s">
        <v>259</v>
      </c>
      <c r="CP1335" s="5" t="s">
        <v>260</v>
      </c>
      <c r="CQ1335" s="5" t="s">
        <v>260</v>
      </c>
      <c r="CR1335" s="5" t="s">
        <v>261</v>
      </c>
      <c r="CU1335" s="8">
        <f>1</f>
        <v>1</v>
      </c>
      <c r="CV1335" s="8">
        <f>0</f>
        <v>0</v>
      </c>
      <c r="CX1335" s="8">
        <f>0</f>
        <v>0</v>
      </c>
      <c r="CY1335" s="8">
        <f>1</f>
        <v>1</v>
      </c>
      <c r="DA1335" s="5" t="s">
        <v>673</v>
      </c>
      <c r="DB1335" s="5" t="s">
        <v>238</v>
      </c>
      <c r="DD1335" s="5" t="s">
        <v>673</v>
      </c>
      <c r="DE1335" s="8">
        <f>388</f>
        <v>388</v>
      </c>
      <c r="DG1335" s="5" t="s">
        <v>238</v>
      </c>
      <c r="DH1335" s="5" t="s">
        <v>238</v>
      </c>
      <c r="DI1335" s="5" t="s">
        <v>238</v>
      </c>
      <c r="DJ1335" s="5" t="s">
        <v>238</v>
      </c>
      <c r="DN1335" s="5" t="s">
        <v>238</v>
      </c>
      <c r="DO1335" s="5" t="s">
        <v>238</v>
      </c>
      <c r="DP1335" s="5" t="s">
        <v>238</v>
      </c>
      <c r="DQ1335" s="5" t="s">
        <v>238</v>
      </c>
      <c r="DT1335" s="5" t="s">
        <v>2039</v>
      </c>
      <c r="DU1335" s="5" t="s">
        <v>2641</v>
      </c>
      <c r="HM1335" s="5" t="s">
        <v>264</v>
      </c>
    </row>
    <row r="1336" spans="1:221" x14ac:dyDescent="0.4">
      <c r="A1336" s="5">
        <v>3011</v>
      </c>
      <c r="B1336" s="5">
        <v>1</v>
      </c>
      <c r="C1336" s="5">
        <v>1</v>
      </c>
      <c r="D1336" s="5" t="s">
        <v>2037</v>
      </c>
      <c r="E1336" s="5" t="s">
        <v>271</v>
      </c>
      <c r="F1336" s="5" t="s">
        <v>248</v>
      </c>
      <c r="G1336" s="5" t="s">
        <v>1969</v>
      </c>
      <c r="H1336" s="6" t="s">
        <v>2638</v>
      </c>
      <c r="I1336" s="7">
        <f>5345</f>
        <v>5345</v>
      </c>
      <c r="J1336" s="5" t="s">
        <v>262</v>
      </c>
      <c r="K1336" s="8">
        <f>1</f>
        <v>1</v>
      </c>
      <c r="L1336" s="6" t="s">
        <v>242</v>
      </c>
      <c r="M1336" s="5" t="s">
        <v>267</v>
      </c>
      <c r="N1336" s="5" t="s">
        <v>265</v>
      </c>
      <c r="O1336" s="5" t="s">
        <v>238</v>
      </c>
      <c r="P1336" s="5" t="s">
        <v>238</v>
      </c>
      <c r="Q1336" s="5" t="s">
        <v>268</v>
      </c>
      <c r="R1336" s="5" t="s">
        <v>270</v>
      </c>
      <c r="S1336" s="5" t="s">
        <v>238</v>
      </c>
      <c r="V1336" s="5" t="s">
        <v>238</v>
      </c>
      <c r="X1336" s="6" t="s">
        <v>238</v>
      </c>
      <c r="AA1336" s="6" t="s">
        <v>243</v>
      </c>
      <c r="AB1336" s="5" t="s">
        <v>238</v>
      </c>
      <c r="AC1336" s="5" t="s">
        <v>244</v>
      </c>
      <c r="AD1336" s="5" t="s">
        <v>245</v>
      </c>
      <c r="AT1336" s="5" t="s">
        <v>246</v>
      </c>
      <c r="AU1336" s="5" t="s">
        <v>238</v>
      </c>
      <c r="AV1336" s="5" t="s">
        <v>247</v>
      </c>
      <c r="AW1336" s="5" t="s">
        <v>238</v>
      </c>
      <c r="AX1336" s="5" t="s">
        <v>249</v>
      </c>
      <c r="AY1336" s="5" t="s">
        <v>238</v>
      </c>
      <c r="BA1336" s="5" t="s">
        <v>238</v>
      </c>
      <c r="BC1336" s="5" t="s">
        <v>250</v>
      </c>
      <c r="BD1336" s="6" t="s">
        <v>243</v>
      </c>
      <c r="BE1336" s="5" t="s">
        <v>251</v>
      </c>
      <c r="BF1336" s="5" t="s">
        <v>252</v>
      </c>
      <c r="BG1336" s="5" t="s">
        <v>238</v>
      </c>
      <c r="BH1336" s="7">
        <f>0</f>
        <v>0</v>
      </c>
      <c r="BI1336" s="8">
        <f>0</f>
        <v>0</v>
      </c>
      <c r="BJ1336" s="5" t="s">
        <v>253</v>
      </c>
      <c r="BK1336" s="5" t="s">
        <v>254</v>
      </c>
      <c r="BY1336" s="5" t="s">
        <v>238</v>
      </c>
      <c r="BZ1336" s="5" t="s">
        <v>238</v>
      </c>
      <c r="CD1336" s="5" t="s">
        <v>273</v>
      </c>
      <c r="CE1336" s="5" t="s">
        <v>256</v>
      </c>
      <c r="CF1336" s="5" t="s">
        <v>238</v>
      </c>
      <c r="CI1336" s="6" t="s">
        <v>257</v>
      </c>
      <c r="CJ1336" s="5" t="s">
        <v>238</v>
      </c>
      <c r="CK1336" s="5" t="s">
        <v>258</v>
      </c>
      <c r="CL1336" s="5" t="s">
        <v>238</v>
      </c>
      <c r="CM1336" s="5" t="s">
        <v>238</v>
      </c>
      <c r="CN1336" s="5">
        <v>0</v>
      </c>
      <c r="CO1336" s="5" t="s">
        <v>259</v>
      </c>
      <c r="CP1336" s="5" t="s">
        <v>260</v>
      </c>
      <c r="CQ1336" s="5" t="s">
        <v>260</v>
      </c>
      <c r="CR1336" s="5" t="s">
        <v>261</v>
      </c>
      <c r="CU1336" s="8">
        <f>1</f>
        <v>1</v>
      </c>
      <c r="CV1336" s="8">
        <f>0</f>
        <v>0</v>
      </c>
      <c r="CX1336" s="8">
        <f>0</f>
        <v>0</v>
      </c>
      <c r="CY1336" s="8">
        <f>1</f>
        <v>1</v>
      </c>
      <c r="DA1336" s="5" t="s">
        <v>673</v>
      </c>
      <c r="DB1336" s="5" t="s">
        <v>238</v>
      </c>
      <c r="DD1336" s="5" t="s">
        <v>673</v>
      </c>
      <c r="DE1336" s="8">
        <f>5345</f>
        <v>5345</v>
      </c>
      <c r="DG1336" s="5" t="s">
        <v>238</v>
      </c>
      <c r="DH1336" s="5" t="s">
        <v>238</v>
      </c>
      <c r="DI1336" s="5" t="s">
        <v>238</v>
      </c>
      <c r="DJ1336" s="5" t="s">
        <v>238</v>
      </c>
      <c r="DN1336" s="5" t="s">
        <v>238</v>
      </c>
      <c r="DO1336" s="5" t="s">
        <v>238</v>
      </c>
      <c r="DP1336" s="5" t="s">
        <v>238</v>
      </c>
      <c r="DQ1336" s="5" t="s">
        <v>238</v>
      </c>
      <c r="DT1336" s="5" t="s">
        <v>2039</v>
      </c>
      <c r="DU1336" s="5" t="s">
        <v>2639</v>
      </c>
      <c r="HM1336" s="5" t="s">
        <v>264</v>
      </c>
    </row>
    <row r="1337" spans="1:221" x14ac:dyDescent="0.4">
      <c r="A1337" s="5">
        <v>3012</v>
      </c>
      <c r="B1337" s="5">
        <v>1</v>
      </c>
      <c r="C1337" s="5">
        <v>1</v>
      </c>
      <c r="D1337" s="5" t="s">
        <v>2037</v>
      </c>
      <c r="E1337" s="5" t="s">
        <v>271</v>
      </c>
      <c r="F1337" s="5" t="s">
        <v>248</v>
      </c>
      <c r="G1337" s="5" t="s">
        <v>1969</v>
      </c>
      <c r="H1337" s="6" t="s">
        <v>2636</v>
      </c>
      <c r="I1337" s="7">
        <f>1979</f>
        <v>1979</v>
      </c>
      <c r="J1337" s="5" t="s">
        <v>262</v>
      </c>
      <c r="K1337" s="8">
        <f>1</f>
        <v>1</v>
      </c>
      <c r="L1337" s="6" t="s">
        <v>242</v>
      </c>
      <c r="M1337" s="5" t="s">
        <v>267</v>
      </c>
      <c r="N1337" s="5" t="s">
        <v>265</v>
      </c>
      <c r="O1337" s="5" t="s">
        <v>238</v>
      </c>
      <c r="P1337" s="5" t="s">
        <v>238</v>
      </c>
      <c r="Q1337" s="5" t="s">
        <v>268</v>
      </c>
      <c r="R1337" s="5" t="s">
        <v>270</v>
      </c>
      <c r="S1337" s="5" t="s">
        <v>238</v>
      </c>
      <c r="V1337" s="5" t="s">
        <v>238</v>
      </c>
      <c r="X1337" s="6" t="s">
        <v>238</v>
      </c>
      <c r="AA1337" s="6" t="s">
        <v>243</v>
      </c>
      <c r="AB1337" s="5" t="s">
        <v>238</v>
      </c>
      <c r="AC1337" s="5" t="s">
        <v>244</v>
      </c>
      <c r="AD1337" s="5" t="s">
        <v>245</v>
      </c>
      <c r="AT1337" s="5" t="s">
        <v>246</v>
      </c>
      <c r="AU1337" s="5" t="s">
        <v>238</v>
      </c>
      <c r="AV1337" s="5" t="s">
        <v>247</v>
      </c>
      <c r="AW1337" s="5" t="s">
        <v>238</v>
      </c>
      <c r="AX1337" s="5" t="s">
        <v>249</v>
      </c>
      <c r="AY1337" s="5" t="s">
        <v>238</v>
      </c>
      <c r="BA1337" s="5" t="s">
        <v>238</v>
      </c>
      <c r="BC1337" s="5" t="s">
        <v>250</v>
      </c>
      <c r="BD1337" s="6" t="s">
        <v>243</v>
      </c>
      <c r="BE1337" s="5" t="s">
        <v>251</v>
      </c>
      <c r="BF1337" s="5" t="s">
        <v>252</v>
      </c>
      <c r="BG1337" s="5" t="s">
        <v>238</v>
      </c>
      <c r="BH1337" s="7">
        <f>0</f>
        <v>0</v>
      </c>
      <c r="BI1337" s="8">
        <f>0</f>
        <v>0</v>
      </c>
      <c r="BJ1337" s="5" t="s">
        <v>253</v>
      </c>
      <c r="BK1337" s="5" t="s">
        <v>254</v>
      </c>
      <c r="BY1337" s="5" t="s">
        <v>238</v>
      </c>
      <c r="BZ1337" s="5" t="s">
        <v>238</v>
      </c>
      <c r="CD1337" s="5" t="s">
        <v>273</v>
      </c>
      <c r="CE1337" s="5" t="s">
        <v>256</v>
      </c>
      <c r="CF1337" s="5" t="s">
        <v>238</v>
      </c>
      <c r="CI1337" s="6" t="s">
        <v>257</v>
      </c>
      <c r="CJ1337" s="5" t="s">
        <v>238</v>
      </c>
      <c r="CK1337" s="5" t="s">
        <v>258</v>
      </c>
      <c r="CL1337" s="5" t="s">
        <v>238</v>
      </c>
      <c r="CM1337" s="5" t="s">
        <v>238</v>
      </c>
      <c r="CN1337" s="5">
        <v>0</v>
      </c>
      <c r="CO1337" s="5" t="s">
        <v>259</v>
      </c>
      <c r="CP1337" s="5" t="s">
        <v>260</v>
      </c>
      <c r="CQ1337" s="5" t="s">
        <v>260</v>
      </c>
      <c r="CR1337" s="5" t="s">
        <v>261</v>
      </c>
      <c r="CU1337" s="8">
        <f>1</f>
        <v>1</v>
      </c>
      <c r="CV1337" s="8">
        <f>0</f>
        <v>0</v>
      </c>
      <c r="CX1337" s="8">
        <f>0</f>
        <v>0</v>
      </c>
      <c r="CY1337" s="8">
        <f>1</f>
        <v>1</v>
      </c>
      <c r="DA1337" s="5" t="s">
        <v>673</v>
      </c>
      <c r="DB1337" s="5" t="s">
        <v>238</v>
      </c>
      <c r="DD1337" s="5" t="s">
        <v>673</v>
      </c>
      <c r="DE1337" s="8">
        <f>1979</f>
        <v>1979</v>
      </c>
      <c r="DG1337" s="5" t="s">
        <v>238</v>
      </c>
      <c r="DH1337" s="5" t="s">
        <v>238</v>
      </c>
      <c r="DI1337" s="5" t="s">
        <v>238</v>
      </c>
      <c r="DJ1337" s="5" t="s">
        <v>238</v>
      </c>
      <c r="DN1337" s="5" t="s">
        <v>238</v>
      </c>
      <c r="DO1337" s="5" t="s">
        <v>238</v>
      </c>
      <c r="DP1337" s="5" t="s">
        <v>238</v>
      </c>
      <c r="DQ1337" s="5" t="s">
        <v>238</v>
      </c>
      <c r="DT1337" s="5" t="s">
        <v>2039</v>
      </c>
      <c r="DU1337" s="5" t="s">
        <v>2637</v>
      </c>
      <c r="HM1337" s="5" t="s">
        <v>264</v>
      </c>
    </row>
    <row r="1338" spans="1:221" x14ac:dyDescent="0.4">
      <c r="A1338" s="5">
        <v>3013</v>
      </c>
      <c r="B1338" s="5">
        <v>1</v>
      </c>
      <c r="C1338" s="5">
        <v>1</v>
      </c>
      <c r="D1338" s="5" t="s">
        <v>2037</v>
      </c>
      <c r="E1338" s="5" t="s">
        <v>271</v>
      </c>
      <c r="F1338" s="5" t="s">
        <v>248</v>
      </c>
      <c r="G1338" s="5" t="s">
        <v>1969</v>
      </c>
      <c r="H1338" s="6" t="s">
        <v>2634</v>
      </c>
      <c r="I1338" s="7">
        <f>5161</f>
        <v>5161</v>
      </c>
      <c r="J1338" s="5" t="s">
        <v>262</v>
      </c>
      <c r="K1338" s="8">
        <f>1</f>
        <v>1</v>
      </c>
      <c r="L1338" s="6" t="s">
        <v>242</v>
      </c>
      <c r="M1338" s="5" t="s">
        <v>267</v>
      </c>
      <c r="N1338" s="5" t="s">
        <v>265</v>
      </c>
      <c r="O1338" s="5" t="s">
        <v>238</v>
      </c>
      <c r="P1338" s="5" t="s">
        <v>238</v>
      </c>
      <c r="Q1338" s="5" t="s">
        <v>268</v>
      </c>
      <c r="R1338" s="5" t="s">
        <v>270</v>
      </c>
      <c r="S1338" s="5" t="s">
        <v>238</v>
      </c>
      <c r="V1338" s="5" t="s">
        <v>238</v>
      </c>
      <c r="X1338" s="6" t="s">
        <v>238</v>
      </c>
      <c r="AA1338" s="6" t="s">
        <v>243</v>
      </c>
      <c r="AB1338" s="5" t="s">
        <v>238</v>
      </c>
      <c r="AC1338" s="5" t="s">
        <v>244</v>
      </c>
      <c r="AD1338" s="5" t="s">
        <v>245</v>
      </c>
      <c r="AT1338" s="5" t="s">
        <v>246</v>
      </c>
      <c r="AU1338" s="5" t="s">
        <v>238</v>
      </c>
      <c r="AV1338" s="5" t="s">
        <v>247</v>
      </c>
      <c r="AW1338" s="5" t="s">
        <v>238</v>
      </c>
      <c r="AX1338" s="5" t="s">
        <v>249</v>
      </c>
      <c r="AY1338" s="5" t="s">
        <v>238</v>
      </c>
      <c r="BA1338" s="5" t="s">
        <v>238</v>
      </c>
      <c r="BC1338" s="5" t="s">
        <v>250</v>
      </c>
      <c r="BD1338" s="6" t="s">
        <v>243</v>
      </c>
      <c r="BE1338" s="5" t="s">
        <v>251</v>
      </c>
      <c r="BF1338" s="5" t="s">
        <v>252</v>
      </c>
      <c r="BG1338" s="5" t="s">
        <v>238</v>
      </c>
      <c r="BH1338" s="7">
        <f>0</f>
        <v>0</v>
      </c>
      <c r="BI1338" s="8">
        <f>0</f>
        <v>0</v>
      </c>
      <c r="BJ1338" s="5" t="s">
        <v>253</v>
      </c>
      <c r="BK1338" s="5" t="s">
        <v>254</v>
      </c>
      <c r="BY1338" s="5" t="s">
        <v>238</v>
      </c>
      <c r="BZ1338" s="5" t="s">
        <v>238</v>
      </c>
      <c r="CD1338" s="5" t="s">
        <v>273</v>
      </c>
      <c r="CE1338" s="5" t="s">
        <v>256</v>
      </c>
      <c r="CF1338" s="5" t="s">
        <v>238</v>
      </c>
      <c r="CI1338" s="6" t="s">
        <v>257</v>
      </c>
      <c r="CJ1338" s="5" t="s">
        <v>238</v>
      </c>
      <c r="CK1338" s="5" t="s">
        <v>258</v>
      </c>
      <c r="CL1338" s="5" t="s">
        <v>238</v>
      </c>
      <c r="CM1338" s="5" t="s">
        <v>238</v>
      </c>
      <c r="CN1338" s="5">
        <v>0</v>
      </c>
      <c r="CO1338" s="5" t="s">
        <v>259</v>
      </c>
      <c r="CP1338" s="5" t="s">
        <v>260</v>
      </c>
      <c r="CQ1338" s="5" t="s">
        <v>260</v>
      </c>
      <c r="CR1338" s="5" t="s">
        <v>261</v>
      </c>
      <c r="CU1338" s="8">
        <f>1</f>
        <v>1</v>
      </c>
      <c r="CV1338" s="8">
        <f>0</f>
        <v>0</v>
      </c>
      <c r="CX1338" s="8">
        <f>0</f>
        <v>0</v>
      </c>
      <c r="CY1338" s="8">
        <f>1</f>
        <v>1</v>
      </c>
      <c r="DA1338" s="5" t="s">
        <v>673</v>
      </c>
      <c r="DB1338" s="5" t="s">
        <v>238</v>
      </c>
      <c r="DD1338" s="5" t="s">
        <v>673</v>
      </c>
      <c r="DE1338" s="8">
        <f>5161</f>
        <v>5161</v>
      </c>
      <c r="DG1338" s="5" t="s">
        <v>238</v>
      </c>
      <c r="DH1338" s="5" t="s">
        <v>238</v>
      </c>
      <c r="DI1338" s="5" t="s">
        <v>238</v>
      </c>
      <c r="DJ1338" s="5" t="s">
        <v>238</v>
      </c>
      <c r="DN1338" s="5" t="s">
        <v>238</v>
      </c>
      <c r="DO1338" s="5" t="s">
        <v>238</v>
      </c>
      <c r="DP1338" s="5" t="s">
        <v>238</v>
      </c>
      <c r="DQ1338" s="5" t="s">
        <v>238</v>
      </c>
      <c r="DT1338" s="5" t="s">
        <v>2039</v>
      </c>
      <c r="DU1338" s="5" t="s">
        <v>2635</v>
      </c>
      <c r="HM1338" s="5" t="s">
        <v>264</v>
      </c>
    </row>
    <row r="1339" spans="1:221" x14ac:dyDescent="0.4">
      <c r="A1339" s="5">
        <v>3014</v>
      </c>
      <c r="B1339" s="5">
        <v>1</v>
      </c>
      <c r="C1339" s="5">
        <v>1</v>
      </c>
      <c r="D1339" s="5" t="s">
        <v>2037</v>
      </c>
      <c r="E1339" s="5" t="s">
        <v>271</v>
      </c>
      <c r="F1339" s="5" t="s">
        <v>248</v>
      </c>
      <c r="G1339" s="5" t="s">
        <v>1969</v>
      </c>
      <c r="H1339" s="6" t="s">
        <v>2631</v>
      </c>
      <c r="I1339" s="7">
        <f>1355</f>
        <v>1355</v>
      </c>
      <c r="J1339" s="5" t="s">
        <v>262</v>
      </c>
      <c r="K1339" s="8">
        <f>1</f>
        <v>1</v>
      </c>
      <c r="L1339" s="6" t="s">
        <v>242</v>
      </c>
      <c r="M1339" s="5" t="s">
        <v>267</v>
      </c>
      <c r="N1339" s="5" t="s">
        <v>265</v>
      </c>
      <c r="O1339" s="5" t="s">
        <v>238</v>
      </c>
      <c r="P1339" s="5" t="s">
        <v>238</v>
      </c>
      <c r="Q1339" s="5" t="s">
        <v>268</v>
      </c>
      <c r="R1339" s="5" t="s">
        <v>270</v>
      </c>
      <c r="S1339" s="5" t="s">
        <v>238</v>
      </c>
      <c r="V1339" s="5" t="s">
        <v>238</v>
      </c>
      <c r="X1339" s="6" t="s">
        <v>238</v>
      </c>
      <c r="AA1339" s="6" t="s">
        <v>243</v>
      </c>
      <c r="AB1339" s="5" t="s">
        <v>238</v>
      </c>
      <c r="AC1339" s="5" t="s">
        <v>244</v>
      </c>
      <c r="AD1339" s="5" t="s">
        <v>245</v>
      </c>
      <c r="AT1339" s="5" t="s">
        <v>246</v>
      </c>
      <c r="AU1339" s="5" t="s">
        <v>238</v>
      </c>
      <c r="AV1339" s="5" t="s">
        <v>247</v>
      </c>
      <c r="AW1339" s="5" t="s">
        <v>238</v>
      </c>
      <c r="AX1339" s="5" t="s">
        <v>249</v>
      </c>
      <c r="AY1339" s="5" t="s">
        <v>238</v>
      </c>
      <c r="BA1339" s="5" t="s">
        <v>238</v>
      </c>
      <c r="BC1339" s="5" t="s">
        <v>250</v>
      </c>
      <c r="BD1339" s="6" t="s">
        <v>243</v>
      </c>
      <c r="BE1339" s="5" t="s">
        <v>251</v>
      </c>
      <c r="BF1339" s="5" t="s">
        <v>252</v>
      </c>
      <c r="BG1339" s="5" t="s">
        <v>238</v>
      </c>
      <c r="BH1339" s="7">
        <f>0</f>
        <v>0</v>
      </c>
      <c r="BI1339" s="8">
        <f>0</f>
        <v>0</v>
      </c>
      <c r="BJ1339" s="5" t="s">
        <v>253</v>
      </c>
      <c r="BK1339" s="5" t="s">
        <v>254</v>
      </c>
      <c r="BY1339" s="5" t="s">
        <v>238</v>
      </c>
      <c r="BZ1339" s="5" t="s">
        <v>238</v>
      </c>
      <c r="CD1339" s="5" t="s">
        <v>273</v>
      </c>
      <c r="CE1339" s="5" t="s">
        <v>256</v>
      </c>
      <c r="CF1339" s="5" t="s">
        <v>238</v>
      </c>
      <c r="CI1339" s="6" t="s">
        <v>257</v>
      </c>
      <c r="CJ1339" s="5" t="s">
        <v>238</v>
      </c>
      <c r="CK1339" s="5" t="s">
        <v>258</v>
      </c>
      <c r="CL1339" s="5" t="s">
        <v>238</v>
      </c>
      <c r="CM1339" s="5" t="s">
        <v>238</v>
      </c>
      <c r="CN1339" s="5">
        <v>0</v>
      </c>
      <c r="CO1339" s="5" t="s">
        <v>259</v>
      </c>
      <c r="CP1339" s="5" t="s">
        <v>260</v>
      </c>
      <c r="CQ1339" s="5" t="s">
        <v>260</v>
      </c>
      <c r="CR1339" s="5" t="s">
        <v>261</v>
      </c>
      <c r="CU1339" s="8">
        <f>1</f>
        <v>1</v>
      </c>
      <c r="CV1339" s="8">
        <f>0</f>
        <v>0</v>
      </c>
      <c r="CX1339" s="8">
        <f>0</f>
        <v>0</v>
      </c>
      <c r="CY1339" s="8">
        <f>1</f>
        <v>1</v>
      </c>
      <c r="DA1339" s="5" t="s">
        <v>673</v>
      </c>
      <c r="DB1339" s="5" t="s">
        <v>238</v>
      </c>
      <c r="DD1339" s="5" t="s">
        <v>673</v>
      </c>
      <c r="DE1339" s="8">
        <f>1355</f>
        <v>1355</v>
      </c>
      <c r="DG1339" s="5" t="s">
        <v>238</v>
      </c>
      <c r="DH1339" s="5" t="s">
        <v>238</v>
      </c>
      <c r="DI1339" s="5" t="s">
        <v>238</v>
      </c>
      <c r="DJ1339" s="5" t="s">
        <v>238</v>
      </c>
      <c r="DN1339" s="5" t="s">
        <v>238</v>
      </c>
      <c r="DO1339" s="5" t="s">
        <v>238</v>
      </c>
      <c r="DP1339" s="5" t="s">
        <v>238</v>
      </c>
      <c r="DQ1339" s="5" t="s">
        <v>238</v>
      </c>
      <c r="DT1339" s="5" t="s">
        <v>2039</v>
      </c>
      <c r="DU1339" s="5" t="s">
        <v>2632</v>
      </c>
      <c r="HM1339" s="5" t="s">
        <v>264</v>
      </c>
    </row>
    <row r="1340" spans="1:221" x14ac:dyDescent="0.4">
      <c r="A1340" s="5">
        <v>3015</v>
      </c>
      <c r="B1340" s="5">
        <v>1</v>
      </c>
      <c r="C1340" s="5">
        <v>1</v>
      </c>
      <c r="D1340" s="5" t="s">
        <v>2037</v>
      </c>
      <c r="E1340" s="5" t="s">
        <v>271</v>
      </c>
      <c r="F1340" s="5" t="s">
        <v>248</v>
      </c>
      <c r="G1340" s="5" t="s">
        <v>1969</v>
      </c>
      <c r="H1340" s="6" t="s">
        <v>2629</v>
      </c>
      <c r="I1340" s="7">
        <f>3543</f>
        <v>3543</v>
      </c>
      <c r="J1340" s="5" t="s">
        <v>262</v>
      </c>
      <c r="K1340" s="8">
        <f>1</f>
        <v>1</v>
      </c>
      <c r="L1340" s="6" t="s">
        <v>242</v>
      </c>
      <c r="M1340" s="5" t="s">
        <v>267</v>
      </c>
      <c r="N1340" s="5" t="s">
        <v>265</v>
      </c>
      <c r="O1340" s="5" t="s">
        <v>238</v>
      </c>
      <c r="P1340" s="5" t="s">
        <v>238</v>
      </c>
      <c r="Q1340" s="5" t="s">
        <v>268</v>
      </c>
      <c r="R1340" s="5" t="s">
        <v>270</v>
      </c>
      <c r="S1340" s="5" t="s">
        <v>238</v>
      </c>
      <c r="V1340" s="5" t="s">
        <v>238</v>
      </c>
      <c r="X1340" s="6" t="s">
        <v>238</v>
      </c>
      <c r="AA1340" s="6" t="s">
        <v>243</v>
      </c>
      <c r="AB1340" s="5" t="s">
        <v>238</v>
      </c>
      <c r="AC1340" s="5" t="s">
        <v>244</v>
      </c>
      <c r="AD1340" s="5" t="s">
        <v>245</v>
      </c>
      <c r="AT1340" s="5" t="s">
        <v>246</v>
      </c>
      <c r="AU1340" s="5" t="s">
        <v>238</v>
      </c>
      <c r="AV1340" s="5" t="s">
        <v>247</v>
      </c>
      <c r="AW1340" s="5" t="s">
        <v>238</v>
      </c>
      <c r="AX1340" s="5" t="s">
        <v>249</v>
      </c>
      <c r="AY1340" s="5" t="s">
        <v>238</v>
      </c>
      <c r="BA1340" s="5" t="s">
        <v>238</v>
      </c>
      <c r="BC1340" s="5" t="s">
        <v>250</v>
      </c>
      <c r="BD1340" s="6" t="s">
        <v>243</v>
      </c>
      <c r="BE1340" s="5" t="s">
        <v>251</v>
      </c>
      <c r="BF1340" s="5" t="s">
        <v>252</v>
      </c>
      <c r="BG1340" s="5" t="s">
        <v>238</v>
      </c>
      <c r="BH1340" s="7">
        <f>0</f>
        <v>0</v>
      </c>
      <c r="BI1340" s="8">
        <f>0</f>
        <v>0</v>
      </c>
      <c r="BJ1340" s="5" t="s">
        <v>253</v>
      </c>
      <c r="BK1340" s="5" t="s">
        <v>254</v>
      </c>
      <c r="BY1340" s="5" t="s">
        <v>238</v>
      </c>
      <c r="BZ1340" s="5" t="s">
        <v>238</v>
      </c>
      <c r="CD1340" s="5" t="s">
        <v>273</v>
      </c>
      <c r="CE1340" s="5" t="s">
        <v>256</v>
      </c>
      <c r="CF1340" s="5" t="s">
        <v>238</v>
      </c>
      <c r="CI1340" s="6" t="s">
        <v>257</v>
      </c>
      <c r="CJ1340" s="5" t="s">
        <v>238</v>
      </c>
      <c r="CK1340" s="5" t="s">
        <v>258</v>
      </c>
      <c r="CL1340" s="5" t="s">
        <v>238</v>
      </c>
      <c r="CM1340" s="5" t="s">
        <v>238</v>
      </c>
      <c r="CN1340" s="5">
        <v>0</v>
      </c>
      <c r="CO1340" s="5" t="s">
        <v>259</v>
      </c>
      <c r="CP1340" s="5" t="s">
        <v>260</v>
      </c>
      <c r="CQ1340" s="5" t="s">
        <v>260</v>
      </c>
      <c r="CR1340" s="5" t="s">
        <v>261</v>
      </c>
      <c r="CU1340" s="8">
        <f>1</f>
        <v>1</v>
      </c>
      <c r="CV1340" s="8">
        <f>0</f>
        <v>0</v>
      </c>
      <c r="CX1340" s="8">
        <f>0</f>
        <v>0</v>
      </c>
      <c r="CY1340" s="8">
        <f>1</f>
        <v>1</v>
      </c>
      <c r="DA1340" s="5" t="s">
        <v>673</v>
      </c>
      <c r="DB1340" s="5" t="s">
        <v>238</v>
      </c>
      <c r="DD1340" s="5" t="s">
        <v>673</v>
      </c>
      <c r="DE1340" s="8">
        <f>3543</f>
        <v>3543</v>
      </c>
      <c r="DG1340" s="5" t="s">
        <v>238</v>
      </c>
      <c r="DH1340" s="5" t="s">
        <v>238</v>
      </c>
      <c r="DI1340" s="5" t="s">
        <v>238</v>
      </c>
      <c r="DJ1340" s="5" t="s">
        <v>238</v>
      </c>
      <c r="DN1340" s="5" t="s">
        <v>238</v>
      </c>
      <c r="DO1340" s="5" t="s">
        <v>238</v>
      </c>
      <c r="DP1340" s="5" t="s">
        <v>238</v>
      </c>
      <c r="DQ1340" s="5" t="s">
        <v>238</v>
      </c>
      <c r="DT1340" s="5" t="s">
        <v>2039</v>
      </c>
      <c r="DU1340" s="5" t="s">
        <v>2630</v>
      </c>
      <c r="HM1340" s="5" t="s">
        <v>264</v>
      </c>
    </row>
    <row r="1341" spans="1:221" x14ac:dyDescent="0.4">
      <c r="A1341" s="5">
        <v>3016</v>
      </c>
      <c r="B1341" s="5">
        <v>1</v>
      </c>
      <c r="C1341" s="5">
        <v>1</v>
      </c>
      <c r="D1341" s="5" t="s">
        <v>2037</v>
      </c>
      <c r="E1341" s="5" t="s">
        <v>271</v>
      </c>
      <c r="F1341" s="5" t="s">
        <v>248</v>
      </c>
      <c r="G1341" s="5" t="s">
        <v>1969</v>
      </c>
      <c r="H1341" s="6" t="s">
        <v>2625</v>
      </c>
      <c r="I1341" s="7">
        <f>724</f>
        <v>724</v>
      </c>
      <c r="J1341" s="5" t="s">
        <v>262</v>
      </c>
      <c r="K1341" s="8">
        <f>1</f>
        <v>1</v>
      </c>
      <c r="L1341" s="6" t="s">
        <v>242</v>
      </c>
      <c r="M1341" s="5" t="s">
        <v>267</v>
      </c>
      <c r="N1341" s="5" t="s">
        <v>265</v>
      </c>
      <c r="O1341" s="5" t="s">
        <v>238</v>
      </c>
      <c r="P1341" s="5" t="s">
        <v>238</v>
      </c>
      <c r="Q1341" s="5" t="s">
        <v>268</v>
      </c>
      <c r="R1341" s="5" t="s">
        <v>270</v>
      </c>
      <c r="S1341" s="5" t="s">
        <v>238</v>
      </c>
      <c r="V1341" s="5" t="s">
        <v>238</v>
      </c>
      <c r="X1341" s="6" t="s">
        <v>238</v>
      </c>
      <c r="AA1341" s="6" t="s">
        <v>243</v>
      </c>
      <c r="AB1341" s="5" t="s">
        <v>238</v>
      </c>
      <c r="AC1341" s="5" t="s">
        <v>244</v>
      </c>
      <c r="AD1341" s="5" t="s">
        <v>245</v>
      </c>
      <c r="AT1341" s="5" t="s">
        <v>246</v>
      </c>
      <c r="AU1341" s="5" t="s">
        <v>238</v>
      </c>
      <c r="AV1341" s="5" t="s">
        <v>247</v>
      </c>
      <c r="AW1341" s="5" t="s">
        <v>238</v>
      </c>
      <c r="AX1341" s="5" t="s">
        <v>249</v>
      </c>
      <c r="AY1341" s="5" t="s">
        <v>238</v>
      </c>
      <c r="BA1341" s="5" t="s">
        <v>238</v>
      </c>
      <c r="BC1341" s="5" t="s">
        <v>250</v>
      </c>
      <c r="BD1341" s="6" t="s">
        <v>243</v>
      </c>
      <c r="BE1341" s="5" t="s">
        <v>251</v>
      </c>
      <c r="BF1341" s="5" t="s">
        <v>252</v>
      </c>
      <c r="BG1341" s="5" t="s">
        <v>238</v>
      </c>
      <c r="BH1341" s="7">
        <f>0</f>
        <v>0</v>
      </c>
      <c r="BI1341" s="8">
        <f>0</f>
        <v>0</v>
      </c>
      <c r="BJ1341" s="5" t="s">
        <v>253</v>
      </c>
      <c r="BK1341" s="5" t="s">
        <v>254</v>
      </c>
      <c r="BY1341" s="5" t="s">
        <v>238</v>
      </c>
      <c r="BZ1341" s="5" t="s">
        <v>238</v>
      </c>
      <c r="CD1341" s="5" t="s">
        <v>273</v>
      </c>
      <c r="CE1341" s="5" t="s">
        <v>256</v>
      </c>
      <c r="CF1341" s="5" t="s">
        <v>238</v>
      </c>
      <c r="CI1341" s="6" t="s">
        <v>257</v>
      </c>
      <c r="CJ1341" s="5" t="s">
        <v>238</v>
      </c>
      <c r="CK1341" s="5" t="s">
        <v>258</v>
      </c>
      <c r="CL1341" s="5" t="s">
        <v>238</v>
      </c>
      <c r="CM1341" s="5" t="s">
        <v>238</v>
      </c>
      <c r="CN1341" s="5">
        <v>0</v>
      </c>
      <c r="CO1341" s="5" t="s">
        <v>259</v>
      </c>
      <c r="CP1341" s="5" t="s">
        <v>260</v>
      </c>
      <c r="CQ1341" s="5" t="s">
        <v>260</v>
      </c>
      <c r="CR1341" s="5" t="s">
        <v>261</v>
      </c>
      <c r="CU1341" s="8">
        <f>1</f>
        <v>1</v>
      </c>
      <c r="CV1341" s="8">
        <f>0</f>
        <v>0</v>
      </c>
      <c r="CX1341" s="8">
        <f>0</f>
        <v>0</v>
      </c>
      <c r="CY1341" s="8">
        <f>1</f>
        <v>1</v>
      </c>
      <c r="DA1341" s="5" t="s">
        <v>673</v>
      </c>
      <c r="DB1341" s="5" t="s">
        <v>238</v>
      </c>
      <c r="DD1341" s="5" t="s">
        <v>673</v>
      </c>
      <c r="DE1341" s="8">
        <f>724</f>
        <v>724</v>
      </c>
      <c r="DG1341" s="5" t="s">
        <v>238</v>
      </c>
      <c r="DH1341" s="5" t="s">
        <v>238</v>
      </c>
      <c r="DI1341" s="5" t="s">
        <v>238</v>
      </c>
      <c r="DJ1341" s="5" t="s">
        <v>238</v>
      </c>
      <c r="DN1341" s="5" t="s">
        <v>238</v>
      </c>
      <c r="DO1341" s="5" t="s">
        <v>238</v>
      </c>
      <c r="DP1341" s="5" t="s">
        <v>238</v>
      </c>
      <c r="DQ1341" s="5" t="s">
        <v>238</v>
      </c>
      <c r="DT1341" s="5" t="s">
        <v>2039</v>
      </c>
      <c r="DU1341" s="5" t="s">
        <v>2626</v>
      </c>
      <c r="HM1341" s="5" t="s">
        <v>264</v>
      </c>
    </row>
    <row r="1342" spans="1:221" x14ac:dyDescent="0.4">
      <c r="A1342" s="5">
        <v>3017</v>
      </c>
      <c r="B1342" s="5">
        <v>1</v>
      </c>
      <c r="C1342" s="5">
        <v>1</v>
      </c>
      <c r="D1342" s="5" t="s">
        <v>2037</v>
      </c>
      <c r="E1342" s="5" t="s">
        <v>271</v>
      </c>
      <c r="F1342" s="5" t="s">
        <v>248</v>
      </c>
      <c r="G1342" s="5" t="s">
        <v>1969</v>
      </c>
      <c r="H1342" s="6" t="s">
        <v>2618</v>
      </c>
      <c r="I1342" s="7">
        <f>662</f>
        <v>662</v>
      </c>
      <c r="J1342" s="5" t="s">
        <v>262</v>
      </c>
      <c r="K1342" s="8">
        <f>1</f>
        <v>1</v>
      </c>
      <c r="L1342" s="6" t="s">
        <v>242</v>
      </c>
      <c r="M1342" s="5" t="s">
        <v>267</v>
      </c>
      <c r="N1342" s="5" t="s">
        <v>265</v>
      </c>
      <c r="O1342" s="5" t="s">
        <v>238</v>
      </c>
      <c r="P1342" s="5" t="s">
        <v>238</v>
      </c>
      <c r="Q1342" s="5" t="s">
        <v>268</v>
      </c>
      <c r="R1342" s="5" t="s">
        <v>270</v>
      </c>
      <c r="S1342" s="5" t="s">
        <v>238</v>
      </c>
      <c r="V1342" s="5" t="s">
        <v>238</v>
      </c>
      <c r="X1342" s="6" t="s">
        <v>238</v>
      </c>
      <c r="AA1342" s="6" t="s">
        <v>243</v>
      </c>
      <c r="AB1342" s="5" t="s">
        <v>238</v>
      </c>
      <c r="AC1342" s="5" t="s">
        <v>244</v>
      </c>
      <c r="AD1342" s="5" t="s">
        <v>245</v>
      </c>
      <c r="AT1342" s="5" t="s">
        <v>246</v>
      </c>
      <c r="AU1342" s="5" t="s">
        <v>238</v>
      </c>
      <c r="AV1342" s="5" t="s">
        <v>247</v>
      </c>
      <c r="AW1342" s="5" t="s">
        <v>238</v>
      </c>
      <c r="AX1342" s="5" t="s">
        <v>249</v>
      </c>
      <c r="AY1342" s="5" t="s">
        <v>238</v>
      </c>
      <c r="BA1342" s="5" t="s">
        <v>238</v>
      </c>
      <c r="BC1342" s="5" t="s">
        <v>250</v>
      </c>
      <c r="BD1342" s="6" t="s">
        <v>243</v>
      </c>
      <c r="BE1342" s="5" t="s">
        <v>251</v>
      </c>
      <c r="BF1342" s="5" t="s">
        <v>252</v>
      </c>
      <c r="BG1342" s="5" t="s">
        <v>238</v>
      </c>
      <c r="BH1342" s="7">
        <f>0</f>
        <v>0</v>
      </c>
      <c r="BI1342" s="8">
        <f>0</f>
        <v>0</v>
      </c>
      <c r="BJ1342" s="5" t="s">
        <v>253</v>
      </c>
      <c r="BK1342" s="5" t="s">
        <v>254</v>
      </c>
      <c r="BY1342" s="5" t="s">
        <v>238</v>
      </c>
      <c r="BZ1342" s="5" t="s">
        <v>238</v>
      </c>
      <c r="CD1342" s="5" t="s">
        <v>273</v>
      </c>
      <c r="CE1342" s="5" t="s">
        <v>256</v>
      </c>
      <c r="CF1342" s="5" t="s">
        <v>238</v>
      </c>
      <c r="CI1342" s="6" t="s">
        <v>257</v>
      </c>
      <c r="CJ1342" s="5" t="s">
        <v>238</v>
      </c>
      <c r="CK1342" s="5" t="s">
        <v>258</v>
      </c>
      <c r="CL1342" s="5" t="s">
        <v>238</v>
      </c>
      <c r="CM1342" s="5" t="s">
        <v>238</v>
      </c>
      <c r="CN1342" s="5">
        <v>0</v>
      </c>
      <c r="CO1342" s="5" t="s">
        <v>259</v>
      </c>
      <c r="CP1342" s="5" t="s">
        <v>260</v>
      </c>
      <c r="CQ1342" s="5" t="s">
        <v>260</v>
      </c>
      <c r="CR1342" s="5" t="s">
        <v>261</v>
      </c>
      <c r="CU1342" s="8">
        <f>1</f>
        <v>1</v>
      </c>
      <c r="CV1342" s="8">
        <f>0</f>
        <v>0</v>
      </c>
      <c r="CX1342" s="8">
        <f>0</f>
        <v>0</v>
      </c>
      <c r="CY1342" s="8">
        <f>1</f>
        <v>1</v>
      </c>
      <c r="DA1342" s="5" t="s">
        <v>673</v>
      </c>
      <c r="DB1342" s="5" t="s">
        <v>238</v>
      </c>
      <c r="DD1342" s="5" t="s">
        <v>673</v>
      </c>
      <c r="DE1342" s="8">
        <f>662</f>
        <v>662</v>
      </c>
      <c r="DG1342" s="5" t="s">
        <v>238</v>
      </c>
      <c r="DH1342" s="5" t="s">
        <v>238</v>
      </c>
      <c r="DI1342" s="5" t="s">
        <v>238</v>
      </c>
      <c r="DJ1342" s="5" t="s">
        <v>238</v>
      </c>
      <c r="DN1342" s="5" t="s">
        <v>238</v>
      </c>
      <c r="DO1342" s="5" t="s">
        <v>238</v>
      </c>
      <c r="DP1342" s="5" t="s">
        <v>238</v>
      </c>
      <c r="DQ1342" s="5" t="s">
        <v>238</v>
      </c>
      <c r="DT1342" s="5" t="s">
        <v>2039</v>
      </c>
      <c r="DU1342" s="5" t="s">
        <v>2619</v>
      </c>
      <c r="HM1342" s="5" t="s">
        <v>264</v>
      </c>
    </row>
    <row r="1343" spans="1:221" x14ac:dyDescent="0.4">
      <c r="A1343" s="5">
        <v>3018</v>
      </c>
      <c r="B1343" s="5">
        <v>1</v>
      </c>
      <c r="C1343" s="5">
        <v>1</v>
      </c>
      <c r="D1343" s="5" t="s">
        <v>2037</v>
      </c>
      <c r="E1343" s="5" t="s">
        <v>271</v>
      </c>
      <c r="F1343" s="5" t="s">
        <v>248</v>
      </c>
      <c r="G1343" s="5" t="s">
        <v>1969</v>
      </c>
      <c r="H1343" s="6" t="s">
        <v>2616</v>
      </c>
      <c r="I1343" s="7">
        <f>2265</f>
        <v>2265</v>
      </c>
      <c r="J1343" s="5" t="s">
        <v>262</v>
      </c>
      <c r="K1343" s="8">
        <f>1</f>
        <v>1</v>
      </c>
      <c r="L1343" s="6" t="s">
        <v>242</v>
      </c>
      <c r="M1343" s="5" t="s">
        <v>267</v>
      </c>
      <c r="N1343" s="5" t="s">
        <v>265</v>
      </c>
      <c r="O1343" s="5" t="s">
        <v>238</v>
      </c>
      <c r="P1343" s="5" t="s">
        <v>238</v>
      </c>
      <c r="Q1343" s="5" t="s">
        <v>268</v>
      </c>
      <c r="R1343" s="5" t="s">
        <v>270</v>
      </c>
      <c r="S1343" s="5" t="s">
        <v>238</v>
      </c>
      <c r="V1343" s="5" t="s">
        <v>238</v>
      </c>
      <c r="X1343" s="6" t="s">
        <v>238</v>
      </c>
      <c r="AA1343" s="6" t="s">
        <v>243</v>
      </c>
      <c r="AB1343" s="5" t="s">
        <v>238</v>
      </c>
      <c r="AC1343" s="5" t="s">
        <v>244</v>
      </c>
      <c r="AD1343" s="5" t="s">
        <v>245</v>
      </c>
      <c r="AT1343" s="5" t="s">
        <v>246</v>
      </c>
      <c r="AU1343" s="5" t="s">
        <v>238</v>
      </c>
      <c r="AV1343" s="5" t="s">
        <v>247</v>
      </c>
      <c r="AW1343" s="5" t="s">
        <v>238</v>
      </c>
      <c r="AX1343" s="5" t="s">
        <v>249</v>
      </c>
      <c r="AY1343" s="5" t="s">
        <v>238</v>
      </c>
      <c r="BA1343" s="5" t="s">
        <v>238</v>
      </c>
      <c r="BC1343" s="5" t="s">
        <v>250</v>
      </c>
      <c r="BD1343" s="6" t="s">
        <v>243</v>
      </c>
      <c r="BE1343" s="5" t="s">
        <v>251</v>
      </c>
      <c r="BF1343" s="5" t="s">
        <v>252</v>
      </c>
      <c r="BG1343" s="5" t="s">
        <v>238</v>
      </c>
      <c r="BH1343" s="7">
        <f>0</f>
        <v>0</v>
      </c>
      <c r="BI1343" s="8">
        <f>0</f>
        <v>0</v>
      </c>
      <c r="BJ1343" s="5" t="s">
        <v>253</v>
      </c>
      <c r="BK1343" s="5" t="s">
        <v>254</v>
      </c>
      <c r="BY1343" s="5" t="s">
        <v>238</v>
      </c>
      <c r="BZ1343" s="5" t="s">
        <v>238</v>
      </c>
      <c r="CD1343" s="5" t="s">
        <v>273</v>
      </c>
      <c r="CE1343" s="5" t="s">
        <v>256</v>
      </c>
      <c r="CF1343" s="5" t="s">
        <v>238</v>
      </c>
      <c r="CI1343" s="6" t="s">
        <v>257</v>
      </c>
      <c r="CJ1343" s="5" t="s">
        <v>238</v>
      </c>
      <c r="CK1343" s="5" t="s">
        <v>258</v>
      </c>
      <c r="CL1343" s="5" t="s">
        <v>238</v>
      </c>
      <c r="CM1343" s="5" t="s">
        <v>238</v>
      </c>
      <c r="CN1343" s="5">
        <v>0</v>
      </c>
      <c r="CO1343" s="5" t="s">
        <v>259</v>
      </c>
      <c r="CP1343" s="5" t="s">
        <v>260</v>
      </c>
      <c r="CQ1343" s="5" t="s">
        <v>260</v>
      </c>
      <c r="CR1343" s="5" t="s">
        <v>261</v>
      </c>
      <c r="CU1343" s="8">
        <f>1</f>
        <v>1</v>
      </c>
      <c r="CV1343" s="8">
        <f>0</f>
        <v>0</v>
      </c>
      <c r="CX1343" s="8">
        <f>0</f>
        <v>0</v>
      </c>
      <c r="CY1343" s="8">
        <f>1</f>
        <v>1</v>
      </c>
      <c r="DA1343" s="5" t="s">
        <v>673</v>
      </c>
      <c r="DB1343" s="5" t="s">
        <v>238</v>
      </c>
      <c r="DD1343" s="5" t="s">
        <v>673</v>
      </c>
      <c r="DE1343" s="8">
        <f>2265</f>
        <v>2265</v>
      </c>
      <c r="DG1343" s="5" t="s">
        <v>238</v>
      </c>
      <c r="DH1343" s="5" t="s">
        <v>238</v>
      </c>
      <c r="DI1343" s="5" t="s">
        <v>238</v>
      </c>
      <c r="DJ1343" s="5" t="s">
        <v>238</v>
      </c>
      <c r="DN1343" s="5" t="s">
        <v>238</v>
      </c>
      <c r="DO1343" s="5" t="s">
        <v>238</v>
      </c>
      <c r="DP1343" s="5" t="s">
        <v>238</v>
      </c>
      <c r="DQ1343" s="5" t="s">
        <v>238</v>
      </c>
      <c r="DT1343" s="5" t="s">
        <v>2039</v>
      </c>
      <c r="DU1343" s="5" t="s">
        <v>2617</v>
      </c>
      <c r="HM1343" s="5" t="s">
        <v>264</v>
      </c>
    </row>
    <row r="1344" spans="1:221" x14ac:dyDescent="0.4">
      <c r="A1344" s="5">
        <v>3019</v>
      </c>
      <c r="B1344" s="5">
        <v>1</v>
      </c>
      <c r="C1344" s="5">
        <v>1</v>
      </c>
      <c r="D1344" s="5" t="s">
        <v>2037</v>
      </c>
      <c r="E1344" s="5" t="s">
        <v>271</v>
      </c>
      <c r="F1344" s="5" t="s">
        <v>248</v>
      </c>
      <c r="G1344" s="5" t="s">
        <v>1969</v>
      </c>
      <c r="H1344" s="6" t="s">
        <v>2614</v>
      </c>
      <c r="I1344" s="7">
        <f>218</f>
        <v>218</v>
      </c>
      <c r="J1344" s="5" t="s">
        <v>262</v>
      </c>
      <c r="K1344" s="8">
        <f>1</f>
        <v>1</v>
      </c>
      <c r="L1344" s="6" t="s">
        <v>242</v>
      </c>
      <c r="M1344" s="5" t="s">
        <v>267</v>
      </c>
      <c r="N1344" s="5" t="s">
        <v>265</v>
      </c>
      <c r="O1344" s="5" t="s">
        <v>238</v>
      </c>
      <c r="P1344" s="5" t="s">
        <v>238</v>
      </c>
      <c r="Q1344" s="5" t="s">
        <v>268</v>
      </c>
      <c r="R1344" s="5" t="s">
        <v>270</v>
      </c>
      <c r="S1344" s="5" t="s">
        <v>238</v>
      </c>
      <c r="V1344" s="5" t="s">
        <v>238</v>
      </c>
      <c r="X1344" s="6" t="s">
        <v>238</v>
      </c>
      <c r="AA1344" s="6" t="s">
        <v>243</v>
      </c>
      <c r="AB1344" s="5" t="s">
        <v>238</v>
      </c>
      <c r="AC1344" s="5" t="s">
        <v>244</v>
      </c>
      <c r="AD1344" s="5" t="s">
        <v>245</v>
      </c>
      <c r="AT1344" s="5" t="s">
        <v>246</v>
      </c>
      <c r="AU1344" s="5" t="s">
        <v>238</v>
      </c>
      <c r="AV1344" s="5" t="s">
        <v>247</v>
      </c>
      <c r="AW1344" s="5" t="s">
        <v>238</v>
      </c>
      <c r="AX1344" s="5" t="s">
        <v>249</v>
      </c>
      <c r="AY1344" s="5" t="s">
        <v>238</v>
      </c>
      <c r="BA1344" s="5" t="s">
        <v>238</v>
      </c>
      <c r="BC1344" s="5" t="s">
        <v>250</v>
      </c>
      <c r="BD1344" s="6" t="s">
        <v>243</v>
      </c>
      <c r="BE1344" s="5" t="s">
        <v>251</v>
      </c>
      <c r="BF1344" s="5" t="s">
        <v>252</v>
      </c>
      <c r="BG1344" s="5" t="s">
        <v>238</v>
      </c>
      <c r="BH1344" s="7">
        <f>0</f>
        <v>0</v>
      </c>
      <c r="BI1344" s="8">
        <f>0</f>
        <v>0</v>
      </c>
      <c r="BJ1344" s="5" t="s">
        <v>253</v>
      </c>
      <c r="BK1344" s="5" t="s">
        <v>254</v>
      </c>
      <c r="BY1344" s="5" t="s">
        <v>238</v>
      </c>
      <c r="BZ1344" s="5" t="s">
        <v>238</v>
      </c>
      <c r="CD1344" s="5" t="s">
        <v>273</v>
      </c>
      <c r="CE1344" s="5" t="s">
        <v>256</v>
      </c>
      <c r="CF1344" s="5" t="s">
        <v>238</v>
      </c>
      <c r="CI1344" s="6" t="s">
        <v>257</v>
      </c>
      <c r="CJ1344" s="5" t="s">
        <v>238</v>
      </c>
      <c r="CK1344" s="5" t="s">
        <v>258</v>
      </c>
      <c r="CL1344" s="5" t="s">
        <v>238</v>
      </c>
      <c r="CM1344" s="5" t="s">
        <v>238</v>
      </c>
      <c r="CN1344" s="5">
        <v>0</v>
      </c>
      <c r="CO1344" s="5" t="s">
        <v>259</v>
      </c>
      <c r="CP1344" s="5" t="s">
        <v>260</v>
      </c>
      <c r="CQ1344" s="5" t="s">
        <v>260</v>
      </c>
      <c r="CR1344" s="5" t="s">
        <v>261</v>
      </c>
      <c r="CU1344" s="8">
        <f>1</f>
        <v>1</v>
      </c>
      <c r="CV1344" s="8">
        <f>0</f>
        <v>0</v>
      </c>
      <c r="CX1344" s="8">
        <f>0</f>
        <v>0</v>
      </c>
      <c r="CY1344" s="8">
        <f>1</f>
        <v>1</v>
      </c>
      <c r="DA1344" s="5" t="s">
        <v>673</v>
      </c>
      <c r="DB1344" s="5" t="s">
        <v>238</v>
      </c>
      <c r="DD1344" s="5" t="s">
        <v>673</v>
      </c>
      <c r="DE1344" s="8">
        <f>218</f>
        <v>218</v>
      </c>
      <c r="DG1344" s="5" t="s">
        <v>238</v>
      </c>
      <c r="DH1344" s="5" t="s">
        <v>238</v>
      </c>
      <c r="DI1344" s="5" t="s">
        <v>238</v>
      </c>
      <c r="DJ1344" s="5" t="s">
        <v>238</v>
      </c>
      <c r="DN1344" s="5" t="s">
        <v>238</v>
      </c>
      <c r="DO1344" s="5" t="s">
        <v>238</v>
      </c>
      <c r="DP1344" s="5" t="s">
        <v>238</v>
      </c>
      <c r="DQ1344" s="5" t="s">
        <v>238</v>
      </c>
      <c r="DT1344" s="5" t="s">
        <v>2039</v>
      </c>
      <c r="DU1344" s="5" t="s">
        <v>2615</v>
      </c>
      <c r="HM1344" s="5" t="s">
        <v>264</v>
      </c>
    </row>
    <row r="1345" spans="1:221" x14ac:dyDescent="0.4">
      <c r="A1345" s="5">
        <v>3020</v>
      </c>
      <c r="B1345" s="5">
        <v>1</v>
      </c>
      <c r="C1345" s="5">
        <v>1</v>
      </c>
      <c r="D1345" s="5" t="s">
        <v>2037</v>
      </c>
      <c r="E1345" s="5" t="s">
        <v>271</v>
      </c>
      <c r="F1345" s="5" t="s">
        <v>248</v>
      </c>
      <c r="G1345" s="5" t="s">
        <v>1969</v>
      </c>
      <c r="H1345" s="6" t="s">
        <v>2612</v>
      </c>
      <c r="I1345" s="7">
        <f>232</f>
        <v>232</v>
      </c>
      <c r="J1345" s="5" t="s">
        <v>262</v>
      </c>
      <c r="K1345" s="8">
        <f>1</f>
        <v>1</v>
      </c>
      <c r="L1345" s="6" t="s">
        <v>242</v>
      </c>
      <c r="M1345" s="5" t="s">
        <v>267</v>
      </c>
      <c r="N1345" s="5" t="s">
        <v>265</v>
      </c>
      <c r="O1345" s="5" t="s">
        <v>238</v>
      </c>
      <c r="P1345" s="5" t="s">
        <v>238</v>
      </c>
      <c r="Q1345" s="5" t="s">
        <v>268</v>
      </c>
      <c r="R1345" s="5" t="s">
        <v>270</v>
      </c>
      <c r="S1345" s="5" t="s">
        <v>238</v>
      </c>
      <c r="V1345" s="5" t="s">
        <v>238</v>
      </c>
      <c r="X1345" s="6" t="s">
        <v>238</v>
      </c>
      <c r="AA1345" s="6" t="s">
        <v>243</v>
      </c>
      <c r="AB1345" s="5" t="s">
        <v>238</v>
      </c>
      <c r="AC1345" s="5" t="s">
        <v>244</v>
      </c>
      <c r="AD1345" s="5" t="s">
        <v>245</v>
      </c>
      <c r="AT1345" s="5" t="s">
        <v>246</v>
      </c>
      <c r="AU1345" s="5" t="s">
        <v>238</v>
      </c>
      <c r="AV1345" s="5" t="s">
        <v>247</v>
      </c>
      <c r="AW1345" s="5" t="s">
        <v>238</v>
      </c>
      <c r="AX1345" s="5" t="s">
        <v>249</v>
      </c>
      <c r="AY1345" s="5" t="s">
        <v>238</v>
      </c>
      <c r="BA1345" s="5" t="s">
        <v>238</v>
      </c>
      <c r="BC1345" s="5" t="s">
        <v>250</v>
      </c>
      <c r="BD1345" s="6" t="s">
        <v>243</v>
      </c>
      <c r="BE1345" s="5" t="s">
        <v>251</v>
      </c>
      <c r="BF1345" s="5" t="s">
        <v>252</v>
      </c>
      <c r="BG1345" s="5" t="s">
        <v>238</v>
      </c>
      <c r="BH1345" s="7">
        <f>0</f>
        <v>0</v>
      </c>
      <c r="BI1345" s="8">
        <f>0</f>
        <v>0</v>
      </c>
      <c r="BJ1345" s="5" t="s">
        <v>253</v>
      </c>
      <c r="BK1345" s="5" t="s">
        <v>254</v>
      </c>
      <c r="BY1345" s="5" t="s">
        <v>238</v>
      </c>
      <c r="BZ1345" s="5" t="s">
        <v>238</v>
      </c>
      <c r="CD1345" s="5" t="s">
        <v>273</v>
      </c>
      <c r="CE1345" s="5" t="s">
        <v>256</v>
      </c>
      <c r="CF1345" s="5" t="s">
        <v>238</v>
      </c>
      <c r="CI1345" s="6" t="s">
        <v>257</v>
      </c>
      <c r="CJ1345" s="5" t="s">
        <v>238</v>
      </c>
      <c r="CK1345" s="5" t="s">
        <v>258</v>
      </c>
      <c r="CL1345" s="5" t="s">
        <v>238</v>
      </c>
      <c r="CM1345" s="5" t="s">
        <v>238</v>
      </c>
      <c r="CN1345" s="5">
        <v>0</v>
      </c>
      <c r="CO1345" s="5" t="s">
        <v>259</v>
      </c>
      <c r="CP1345" s="5" t="s">
        <v>260</v>
      </c>
      <c r="CQ1345" s="5" t="s">
        <v>260</v>
      </c>
      <c r="CR1345" s="5" t="s">
        <v>261</v>
      </c>
      <c r="CU1345" s="8">
        <f>1</f>
        <v>1</v>
      </c>
      <c r="CV1345" s="8">
        <f>0</f>
        <v>0</v>
      </c>
      <c r="CX1345" s="8">
        <f>0</f>
        <v>0</v>
      </c>
      <c r="CY1345" s="8">
        <f>1</f>
        <v>1</v>
      </c>
      <c r="DA1345" s="5" t="s">
        <v>673</v>
      </c>
      <c r="DB1345" s="5" t="s">
        <v>238</v>
      </c>
      <c r="DD1345" s="5" t="s">
        <v>673</v>
      </c>
      <c r="DE1345" s="8">
        <f>232</f>
        <v>232</v>
      </c>
      <c r="DG1345" s="5" t="s">
        <v>238</v>
      </c>
      <c r="DH1345" s="5" t="s">
        <v>238</v>
      </c>
      <c r="DI1345" s="5" t="s">
        <v>238</v>
      </c>
      <c r="DJ1345" s="5" t="s">
        <v>238</v>
      </c>
      <c r="DN1345" s="5" t="s">
        <v>238</v>
      </c>
      <c r="DO1345" s="5" t="s">
        <v>238</v>
      </c>
      <c r="DP1345" s="5" t="s">
        <v>238</v>
      </c>
      <c r="DQ1345" s="5" t="s">
        <v>238</v>
      </c>
      <c r="DT1345" s="5" t="s">
        <v>2039</v>
      </c>
      <c r="DU1345" s="5" t="s">
        <v>2613</v>
      </c>
      <c r="HM1345" s="5" t="s">
        <v>264</v>
      </c>
    </row>
    <row r="1346" spans="1:221" x14ac:dyDescent="0.4">
      <c r="A1346" s="5">
        <v>3021</v>
      </c>
      <c r="B1346" s="5">
        <v>1</v>
      </c>
      <c r="C1346" s="5">
        <v>1</v>
      </c>
      <c r="D1346" s="5" t="s">
        <v>2037</v>
      </c>
      <c r="E1346" s="5" t="s">
        <v>271</v>
      </c>
      <c r="F1346" s="5" t="s">
        <v>248</v>
      </c>
      <c r="G1346" s="5" t="s">
        <v>1969</v>
      </c>
      <c r="H1346" s="6" t="s">
        <v>2610</v>
      </c>
      <c r="I1346" s="7">
        <f>881</f>
        <v>881</v>
      </c>
      <c r="J1346" s="5" t="s">
        <v>262</v>
      </c>
      <c r="K1346" s="8">
        <f>1</f>
        <v>1</v>
      </c>
      <c r="L1346" s="6" t="s">
        <v>242</v>
      </c>
      <c r="M1346" s="5" t="s">
        <v>267</v>
      </c>
      <c r="N1346" s="5" t="s">
        <v>265</v>
      </c>
      <c r="O1346" s="5" t="s">
        <v>238</v>
      </c>
      <c r="P1346" s="5" t="s">
        <v>238</v>
      </c>
      <c r="Q1346" s="5" t="s">
        <v>268</v>
      </c>
      <c r="R1346" s="5" t="s">
        <v>270</v>
      </c>
      <c r="S1346" s="5" t="s">
        <v>238</v>
      </c>
      <c r="V1346" s="5" t="s">
        <v>238</v>
      </c>
      <c r="X1346" s="6" t="s">
        <v>238</v>
      </c>
      <c r="AA1346" s="6" t="s">
        <v>243</v>
      </c>
      <c r="AB1346" s="5" t="s">
        <v>238</v>
      </c>
      <c r="AC1346" s="5" t="s">
        <v>244</v>
      </c>
      <c r="AD1346" s="5" t="s">
        <v>245</v>
      </c>
      <c r="AT1346" s="5" t="s">
        <v>246</v>
      </c>
      <c r="AU1346" s="5" t="s">
        <v>238</v>
      </c>
      <c r="AV1346" s="5" t="s">
        <v>247</v>
      </c>
      <c r="AW1346" s="5" t="s">
        <v>238</v>
      </c>
      <c r="AX1346" s="5" t="s">
        <v>249</v>
      </c>
      <c r="AY1346" s="5" t="s">
        <v>238</v>
      </c>
      <c r="BA1346" s="5" t="s">
        <v>238</v>
      </c>
      <c r="BC1346" s="5" t="s">
        <v>250</v>
      </c>
      <c r="BD1346" s="6" t="s">
        <v>243</v>
      </c>
      <c r="BE1346" s="5" t="s">
        <v>251</v>
      </c>
      <c r="BF1346" s="5" t="s">
        <v>252</v>
      </c>
      <c r="BG1346" s="5" t="s">
        <v>238</v>
      </c>
      <c r="BH1346" s="7">
        <f>0</f>
        <v>0</v>
      </c>
      <c r="BI1346" s="8">
        <f>0</f>
        <v>0</v>
      </c>
      <c r="BJ1346" s="5" t="s">
        <v>253</v>
      </c>
      <c r="BK1346" s="5" t="s">
        <v>254</v>
      </c>
      <c r="BY1346" s="5" t="s">
        <v>238</v>
      </c>
      <c r="BZ1346" s="5" t="s">
        <v>238</v>
      </c>
      <c r="CD1346" s="5" t="s">
        <v>273</v>
      </c>
      <c r="CE1346" s="5" t="s">
        <v>256</v>
      </c>
      <c r="CF1346" s="5" t="s">
        <v>238</v>
      </c>
      <c r="CI1346" s="6" t="s">
        <v>257</v>
      </c>
      <c r="CJ1346" s="5" t="s">
        <v>238</v>
      </c>
      <c r="CK1346" s="5" t="s">
        <v>258</v>
      </c>
      <c r="CL1346" s="5" t="s">
        <v>238</v>
      </c>
      <c r="CM1346" s="5" t="s">
        <v>238</v>
      </c>
      <c r="CN1346" s="5">
        <v>0</v>
      </c>
      <c r="CO1346" s="5" t="s">
        <v>259</v>
      </c>
      <c r="CP1346" s="5" t="s">
        <v>260</v>
      </c>
      <c r="CQ1346" s="5" t="s">
        <v>260</v>
      </c>
      <c r="CR1346" s="5" t="s">
        <v>261</v>
      </c>
      <c r="CU1346" s="8">
        <f>1</f>
        <v>1</v>
      </c>
      <c r="CV1346" s="8">
        <f>0</f>
        <v>0</v>
      </c>
      <c r="CX1346" s="8">
        <f>0</f>
        <v>0</v>
      </c>
      <c r="CY1346" s="8">
        <f>1</f>
        <v>1</v>
      </c>
      <c r="DA1346" s="5" t="s">
        <v>673</v>
      </c>
      <c r="DB1346" s="5" t="s">
        <v>238</v>
      </c>
      <c r="DD1346" s="5" t="s">
        <v>673</v>
      </c>
      <c r="DE1346" s="8">
        <f>881</f>
        <v>881</v>
      </c>
      <c r="DG1346" s="5" t="s">
        <v>238</v>
      </c>
      <c r="DH1346" s="5" t="s">
        <v>238</v>
      </c>
      <c r="DI1346" s="5" t="s">
        <v>238</v>
      </c>
      <c r="DJ1346" s="5" t="s">
        <v>238</v>
      </c>
      <c r="DN1346" s="5" t="s">
        <v>238</v>
      </c>
      <c r="DO1346" s="5" t="s">
        <v>238</v>
      </c>
      <c r="DP1346" s="5" t="s">
        <v>238</v>
      </c>
      <c r="DQ1346" s="5" t="s">
        <v>238</v>
      </c>
      <c r="DT1346" s="5" t="s">
        <v>2039</v>
      </c>
      <c r="DU1346" s="5" t="s">
        <v>2611</v>
      </c>
      <c r="HM1346" s="5" t="s">
        <v>264</v>
      </c>
    </row>
    <row r="1347" spans="1:221" x14ac:dyDescent="0.4">
      <c r="A1347" s="5">
        <v>3022</v>
      </c>
      <c r="B1347" s="5">
        <v>1</v>
      </c>
      <c r="C1347" s="5">
        <v>1</v>
      </c>
      <c r="D1347" s="5" t="s">
        <v>2037</v>
      </c>
      <c r="E1347" s="5" t="s">
        <v>271</v>
      </c>
      <c r="F1347" s="5" t="s">
        <v>248</v>
      </c>
      <c r="G1347" s="5" t="s">
        <v>1969</v>
      </c>
      <c r="H1347" s="6" t="s">
        <v>2608</v>
      </c>
      <c r="I1347" s="7">
        <f>3064</f>
        <v>3064</v>
      </c>
      <c r="J1347" s="5" t="s">
        <v>262</v>
      </c>
      <c r="K1347" s="8">
        <f>1</f>
        <v>1</v>
      </c>
      <c r="L1347" s="6" t="s">
        <v>242</v>
      </c>
      <c r="M1347" s="5" t="s">
        <v>267</v>
      </c>
      <c r="N1347" s="5" t="s">
        <v>265</v>
      </c>
      <c r="O1347" s="5" t="s">
        <v>238</v>
      </c>
      <c r="P1347" s="5" t="s">
        <v>238</v>
      </c>
      <c r="Q1347" s="5" t="s">
        <v>268</v>
      </c>
      <c r="R1347" s="5" t="s">
        <v>270</v>
      </c>
      <c r="S1347" s="5" t="s">
        <v>238</v>
      </c>
      <c r="V1347" s="5" t="s">
        <v>238</v>
      </c>
      <c r="X1347" s="6" t="s">
        <v>238</v>
      </c>
      <c r="AA1347" s="6" t="s">
        <v>243</v>
      </c>
      <c r="AB1347" s="5" t="s">
        <v>238</v>
      </c>
      <c r="AC1347" s="5" t="s">
        <v>244</v>
      </c>
      <c r="AD1347" s="5" t="s">
        <v>245</v>
      </c>
      <c r="AT1347" s="5" t="s">
        <v>246</v>
      </c>
      <c r="AU1347" s="5" t="s">
        <v>238</v>
      </c>
      <c r="AV1347" s="5" t="s">
        <v>247</v>
      </c>
      <c r="AW1347" s="5" t="s">
        <v>238</v>
      </c>
      <c r="AX1347" s="5" t="s">
        <v>249</v>
      </c>
      <c r="AY1347" s="5" t="s">
        <v>238</v>
      </c>
      <c r="BA1347" s="5" t="s">
        <v>238</v>
      </c>
      <c r="BC1347" s="5" t="s">
        <v>250</v>
      </c>
      <c r="BD1347" s="6" t="s">
        <v>243</v>
      </c>
      <c r="BE1347" s="5" t="s">
        <v>251</v>
      </c>
      <c r="BF1347" s="5" t="s">
        <v>252</v>
      </c>
      <c r="BG1347" s="5" t="s">
        <v>238</v>
      </c>
      <c r="BH1347" s="7">
        <f>0</f>
        <v>0</v>
      </c>
      <c r="BI1347" s="8">
        <f>0</f>
        <v>0</v>
      </c>
      <c r="BJ1347" s="5" t="s">
        <v>253</v>
      </c>
      <c r="BK1347" s="5" t="s">
        <v>254</v>
      </c>
      <c r="BY1347" s="5" t="s">
        <v>238</v>
      </c>
      <c r="BZ1347" s="5" t="s">
        <v>238</v>
      </c>
      <c r="CD1347" s="5" t="s">
        <v>273</v>
      </c>
      <c r="CE1347" s="5" t="s">
        <v>256</v>
      </c>
      <c r="CF1347" s="5" t="s">
        <v>238</v>
      </c>
      <c r="CI1347" s="6" t="s">
        <v>257</v>
      </c>
      <c r="CJ1347" s="5" t="s">
        <v>238</v>
      </c>
      <c r="CK1347" s="5" t="s">
        <v>258</v>
      </c>
      <c r="CL1347" s="5" t="s">
        <v>238</v>
      </c>
      <c r="CM1347" s="5" t="s">
        <v>238</v>
      </c>
      <c r="CN1347" s="5">
        <v>0</v>
      </c>
      <c r="CO1347" s="5" t="s">
        <v>259</v>
      </c>
      <c r="CP1347" s="5" t="s">
        <v>260</v>
      </c>
      <c r="CQ1347" s="5" t="s">
        <v>260</v>
      </c>
      <c r="CR1347" s="5" t="s">
        <v>261</v>
      </c>
      <c r="CU1347" s="8">
        <f>1</f>
        <v>1</v>
      </c>
      <c r="CV1347" s="8">
        <f>0</f>
        <v>0</v>
      </c>
      <c r="CX1347" s="8">
        <f>0</f>
        <v>0</v>
      </c>
      <c r="CY1347" s="8">
        <f>1</f>
        <v>1</v>
      </c>
      <c r="DA1347" s="5" t="s">
        <v>673</v>
      </c>
      <c r="DB1347" s="5" t="s">
        <v>238</v>
      </c>
      <c r="DD1347" s="5" t="s">
        <v>673</v>
      </c>
      <c r="DE1347" s="8">
        <f>3064</f>
        <v>3064</v>
      </c>
      <c r="DG1347" s="5" t="s">
        <v>238</v>
      </c>
      <c r="DH1347" s="5" t="s">
        <v>238</v>
      </c>
      <c r="DI1347" s="5" t="s">
        <v>238</v>
      </c>
      <c r="DJ1347" s="5" t="s">
        <v>238</v>
      </c>
      <c r="DN1347" s="5" t="s">
        <v>238</v>
      </c>
      <c r="DO1347" s="5" t="s">
        <v>238</v>
      </c>
      <c r="DP1347" s="5" t="s">
        <v>238</v>
      </c>
      <c r="DQ1347" s="5" t="s">
        <v>238</v>
      </c>
      <c r="DT1347" s="5" t="s">
        <v>2039</v>
      </c>
      <c r="DU1347" s="5" t="s">
        <v>2609</v>
      </c>
      <c r="HM1347" s="5" t="s">
        <v>264</v>
      </c>
    </row>
    <row r="1348" spans="1:221" x14ac:dyDescent="0.4">
      <c r="A1348" s="5">
        <v>3023</v>
      </c>
      <c r="B1348" s="5">
        <v>1</v>
      </c>
      <c r="C1348" s="5">
        <v>1</v>
      </c>
      <c r="D1348" s="5" t="s">
        <v>2037</v>
      </c>
      <c r="E1348" s="5" t="s">
        <v>271</v>
      </c>
      <c r="F1348" s="5" t="s">
        <v>248</v>
      </c>
      <c r="G1348" s="5" t="s">
        <v>1969</v>
      </c>
      <c r="H1348" s="6" t="s">
        <v>2606</v>
      </c>
      <c r="I1348" s="7">
        <f>2418</f>
        <v>2418</v>
      </c>
      <c r="J1348" s="5" t="s">
        <v>262</v>
      </c>
      <c r="K1348" s="8">
        <f>1</f>
        <v>1</v>
      </c>
      <c r="L1348" s="6" t="s">
        <v>242</v>
      </c>
      <c r="M1348" s="5" t="s">
        <v>267</v>
      </c>
      <c r="N1348" s="5" t="s">
        <v>265</v>
      </c>
      <c r="O1348" s="5" t="s">
        <v>238</v>
      </c>
      <c r="P1348" s="5" t="s">
        <v>238</v>
      </c>
      <c r="Q1348" s="5" t="s">
        <v>268</v>
      </c>
      <c r="R1348" s="5" t="s">
        <v>270</v>
      </c>
      <c r="S1348" s="5" t="s">
        <v>238</v>
      </c>
      <c r="V1348" s="5" t="s">
        <v>238</v>
      </c>
      <c r="X1348" s="6" t="s">
        <v>238</v>
      </c>
      <c r="AA1348" s="6" t="s">
        <v>243</v>
      </c>
      <c r="AB1348" s="5" t="s">
        <v>238</v>
      </c>
      <c r="AC1348" s="5" t="s">
        <v>244</v>
      </c>
      <c r="AD1348" s="5" t="s">
        <v>245</v>
      </c>
      <c r="AT1348" s="5" t="s">
        <v>246</v>
      </c>
      <c r="AU1348" s="5" t="s">
        <v>238</v>
      </c>
      <c r="AV1348" s="5" t="s">
        <v>247</v>
      </c>
      <c r="AW1348" s="5" t="s">
        <v>238</v>
      </c>
      <c r="AX1348" s="5" t="s">
        <v>249</v>
      </c>
      <c r="AY1348" s="5" t="s">
        <v>238</v>
      </c>
      <c r="BA1348" s="5" t="s">
        <v>238</v>
      </c>
      <c r="BC1348" s="5" t="s">
        <v>250</v>
      </c>
      <c r="BD1348" s="6" t="s">
        <v>243</v>
      </c>
      <c r="BE1348" s="5" t="s">
        <v>251</v>
      </c>
      <c r="BF1348" s="5" t="s">
        <v>252</v>
      </c>
      <c r="BG1348" s="5" t="s">
        <v>238</v>
      </c>
      <c r="BH1348" s="7">
        <f>0</f>
        <v>0</v>
      </c>
      <c r="BI1348" s="8">
        <f>0</f>
        <v>0</v>
      </c>
      <c r="BJ1348" s="5" t="s">
        <v>253</v>
      </c>
      <c r="BK1348" s="5" t="s">
        <v>254</v>
      </c>
      <c r="BY1348" s="5" t="s">
        <v>238</v>
      </c>
      <c r="BZ1348" s="5" t="s">
        <v>238</v>
      </c>
      <c r="CD1348" s="5" t="s">
        <v>273</v>
      </c>
      <c r="CE1348" s="5" t="s">
        <v>256</v>
      </c>
      <c r="CF1348" s="5" t="s">
        <v>238</v>
      </c>
      <c r="CI1348" s="6" t="s">
        <v>257</v>
      </c>
      <c r="CJ1348" s="5" t="s">
        <v>238</v>
      </c>
      <c r="CK1348" s="5" t="s">
        <v>258</v>
      </c>
      <c r="CL1348" s="5" t="s">
        <v>238</v>
      </c>
      <c r="CM1348" s="5" t="s">
        <v>238</v>
      </c>
      <c r="CN1348" s="5">
        <v>0</v>
      </c>
      <c r="CO1348" s="5" t="s">
        <v>259</v>
      </c>
      <c r="CP1348" s="5" t="s">
        <v>260</v>
      </c>
      <c r="CQ1348" s="5" t="s">
        <v>260</v>
      </c>
      <c r="CR1348" s="5" t="s">
        <v>261</v>
      </c>
      <c r="CU1348" s="8">
        <f>1</f>
        <v>1</v>
      </c>
      <c r="CV1348" s="8">
        <f>0</f>
        <v>0</v>
      </c>
      <c r="CX1348" s="8">
        <f>0</f>
        <v>0</v>
      </c>
      <c r="CY1348" s="8">
        <f>1</f>
        <v>1</v>
      </c>
      <c r="DA1348" s="5" t="s">
        <v>673</v>
      </c>
      <c r="DB1348" s="5" t="s">
        <v>238</v>
      </c>
      <c r="DD1348" s="5" t="s">
        <v>673</v>
      </c>
      <c r="DE1348" s="8">
        <f>2418</f>
        <v>2418</v>
      </c>
      <c r="DG1348" s="5" t="s">
        <v>238</v>
      </c>
      <c r="DH1348" s="5" t="s">
        <v>238</v>
      </c>
      <c r="DI1348" s="5" t="s">
        <v>238</v>
      </c>
      <c r="DJ1348" s="5" t="s">
        <v>238</v>
      </c>
      <c r="DN1348" s="5" t="s">
        <v>238</v>
      </c>
      <c r="DO1348" s="5" t="s">
        <v>238</v>
      </c>
      <c r="DP1348" s="5" t="s">
        <v>238</v>
      </c>
      <c r="DQ1348" s="5" t="s">
        <v>238</v>
      </c>
      <c r="DT1348" s="5" t="s">
        <v>2039</v>
      </c>
      <c r="DU1348" s="5" t="s">
        <v>2607</v>
      </c>
      <c r="HM1348" s="5" t="s">
        <v>264</v>
      </c>
    </row>
    <row r="1349" spans="1:221" x14ac:dyDescent="0.4">
      <c r="A1349" s="5">
        <v>3024</v>
      </c>
      <c r="B1349" s="5">
        <v>1</v>
      </c>
      <c r="C1349" s="5">
        <v>1</v>
      </c>
      <c r="D1349" s="5" t="s">
        <v>2037</v>
      </c>
      <c r="E1349" s="5" t="s">
        <v>271</v>
      </c>
      <c r="F1349" s="5" t="s">
        <v>248</v>
      </c>
      <c r="G1349" s="5" t="s">
        <v>1969</v>
      </c>
      <c r="H1349" s="6" t="s">
        <v>2604</v>
      </c>
      <c r="I1349" s="7">
        <f>3871</f>
        <v>3871</v>
      </c>
      <c r="J1349" s="5" t="s">
        <v>262</v>
      </c>
      <c r="K1349" s="8">
        <f>1</f>
        <v>1</v>
      </c>
      <c r="L1349" s="6" t="s">
        <v>242</v>
      </c>
      <c r="M1349" s="5" t="s">
        <v>267</v>
      </c>
      <c r="N1349" s="5" t="s">
        <v>265</v>
      </c>
      <c r="O1349" s="5" t="s">
        <v>238</v>
      </c>
      <c r="P1349" s="5" t="s">
        <v>238</v>
      </c>
      <c r="Q1349" s="5" t="s">
        <v>268</v>
      </c>
      <c r="R1349" s="5" t="s">
        <v>270</v>
      </c>
      <c r="S1349" s="5" t="s">
        <v>238</v>
      </c>
      <c r="V1349" s="5" t="s">
        <v>238</v>
      </c>
      <c r="X1349" s="6" t="s">
        <v>238</v>
      </c>
      <c r="AA1349" s="6" t="s">
        <v>243</v>
      </c>
      <c r="AB1349" s="5" t="s">
        <v>238</v>
      </c>
      <c r="AC1349" s="5" t="s">
        <v>244</v>
      </c>
      <c r="AD1349" s="5" t="s">
        <v>245</v>
      </c>
      <c r="AT1349" s="5" t="s">
        <v>246</v>
      </c>
      <c r="AU1349" s="5" t="s">
        <v>238</v>
      </c>
      <c r="AV1349" s="5" t="s">
        <v>247</v>
      </c>
      <c r="AW1349" s="5" t="s">
        <v>238</v>
      </c>
      <c r="AX1349" s="5" t="s">
        <v>249</v>
      </c>
      <c r="AY1349" s="5" t="s">
        <v>238</v>
      </c>
      <c r="BA1349" s="5" t="s">
        <v>238</v>
      </c>
      <c r="BC1349" s="5" t="s">
        <v>250</v>
      </c>
      <c r="BD1349" s="6" t="s">
        <v>243</v>
      </c>
      <c r="BE1349" s="5" t="s">
        <v>251</v>
      </c>
      <c r="BF1349" s="5" t="s">
        <v>252</v>
      </c>
      <c r="BG1349" s="5" t="s">
        <v>238</v>
      </c>
      <c r="BH1349" s="7">
        <f>0</f>
        <v>0</v>
      </c>
      <c r="BI1349" s="8">
        <f>0</f>
        <v>0</v>
      </c>
      <c r="BJ1349" s="5" t="s">
        <v>253</v>
      </c>
      <c r="BK1349" s="5" t="s">
        <v>254</v>
      </c>
      <c r="BY1349" s="5" t="s">
        <v>238</v>
      </c>
      <c r="BZ1349" s="5" t="s">
        <v>238</v>
      </c>
      <c r="CD1349" s="5" t="s">
        <v>273</v>
      </c>
      <c r="CE1349" s="5" t="s">
        <v>256</v>
      </c>
      <c r="CF1349" s="5" t="s">
        <v>238</v>
      </c>
      <c r="CI1349" s="6" t="s">
        <v>257</v>
      </c>
      <c r="CJ1349" s="5" t="s">
        <v>238</v>
      </c>
      <c r="CK1349" s="5" t="s">
        <v>258</v>
      </c>
      <c r="CL1349" s="5" t="s">
        <v>238</v>
      </c>
      <c r="CM1349" s="5" t="s">
        <v>238</v>
      </c>
      <c r="CN1349" s="5">
        <v>0</v>
      </c>
      <c r="CO1349" s="5" t="s">
        <v>259</v>
      </c>
      <c r="CP1349" s="5" t="s">
        <v>260</v>
      </c>
      <c r="CQ1349" s="5" t="s">
        <v>260</v>
      </c>
      <c r="CR1349" s="5" t="s">
        <v>261</v>
      </c>
      <c r="CU1349" s="8">
        <f>1</f>
        <v>1</v>
      </c>
      <c r="CV1349" s="8">
        <f>0</f>
        <v>0</v>
      </c>
      <c r="CX1349" s="8">
        <f>0</f>
        <v>0</v>
      </c>
      <c r="CY1349" s="8">
        <f>1</f>
        <v>1</v>
      </c>
      <c r="DA1349" s="5" t="s">
        <v>673</v>
      </c>
      <c r="DB1349" s="5" t="s">
        <v>238</v>
      </c>
      <c r="DD1349" s="5" t="s">
        <v>673</v>
      </c>
      <c r="DE1349" s="8">
        <f>3871</f>
        <v>3871</v>
      </c>
      <c r="DG1349" s="5" t="s">
        <v>238</v>
      </c>
      <c r="DH1349" s="5" t="s">
        <v>238</v>
      </c>
      <c r="DI1349" s="5" t="s">
        <v>238</v>
      </c>
      <c r="DJ1349" s="5" t="s">
        <v>238</v>
      </c>
      <c r="DN1349" s="5" t="s">
        <v>238</v>
      </c>
      <c r="DO1349" s="5" t="s">
        <v>238</v>
      </c>
      <c r="DP1349" s="5" t="s">
        <v>238</v>
      </c>
      <c r="DQ1349" s="5" t="s">
        <v>238</v>
      </c>
      <c r="DT1349" s="5" t="s">
        <v>2039</v>
      </c>
      <c r="DU1349" s="5" t="s">
        <v>2605</v>
      </c>
      <c r="HM1349" s="5" t="s">
        <v>264</v>
      </c>
    </row>
    <row r="1350" spans="1:221" x14ac:dyDescent="0.4">
      <c r="A1350" s="5">
        <v>3025</v>
      </c>
      <c r="B1350" s="5">
        <v>1</v>
      </c>
      <c r="C1350" s="5">
        <v>1</v>
      </c>
      <c r="D1350" s="5" t="s">
        <v>2037</v>
      </c>
      <c r="E1350" s="5" t="s">
        <v>271</v>
      </c>
      <c r="F1350" s="5" t="s">
        <v>248</v>
      </c>
      <c r="G1350" s="5" t="s">
        <v>1969</v>
      </c>
      <c r="H1350" s="6" t="s">
        <v>2602</v>
      </c>
      <c r="I1350" s="7">
        <f>4265</f>
        <v>4265</v>
      </c>
      <c r="J1350" s="5" t="s">
        <v>262</v>
      </c>
      <c r="K1350" s="8">
        <f>1</f>
        <v>1</v>
      </c>
      <c r="L1350" s="6" t="s">
        <v>242</v>
      </c>
      <c r="M1350" s="5" t="s">
        <v>267</v>
      </c>
      <c r="N1350" s="5" t="s">
        <v>265</v>
      </c>
      <c r="O1350" s="5" t="s">
        <v>238</v>
      </c>
      <c r="P1350" s="5" t="s">
        <v>238</v>
      </c>
      <c r="Q1350" s="5" t="s">
        <v>268</v>
      </c>
      <c r="R1350" s="5" t="s">
        <v>270</v>
      </c>
      <c r="S1350" s="5" t="s">
        <v>238</v>
      </c>
      <c r="V1350" s="5" t="s">
        <v>238</v>
      </c>
      <c r="X1350" s="6" t="s">
        <v>238</v>
      </c>
      <c r="AA1350" s="6" t="s">
        <v>243</v>
      </c>
      <c r="AB1350" s="5" t="s">
        <v>238</v>
      </c>
      <c r="AC1350" s="5" t="s">
        <v>244</v>
      </c>
      <c r="AD1350" s="5" t="s">
        <v>245</v>
      </c>
      <c r="AT1350" s="5" t="s">
        <v>246</v>
      </c>
      <c r="AU1350" s="5" t="s">
        <v>238</v>
      </c>
      <c r="AV1350" s="5" t="s">
        <v>247</v>
      </c>
      <c r="AW1350" s="5" t="s">
        <v>238</v>
      </c>
      <c r="AX1350" s="5" t="s">
        <v>249</v>
      </c>
      <c r="AY1350" s="5" t="s">
        <v>238</v>
      </c>
      <c r="BA1350" s="5" t="s">
        <v>238</v>
      </c>
      <c r="BC1350" s="5" t="s">
        <v>250</v>
      </c>
      <c r="BD1350" s="6" t="s">
        <v>243</v>
      </c>
      <c r="BE1350" s="5" t="s">
        <v>251</v>
      </c>
      <c r="BF1350" s="5" t="s">
        <v>252</v>
      </c>
      <c r="BG1350" s="5" t="s">
        <v>238</v>
      </c>
      <c r="BH1350" s="7">
        <f>0</f>
        <v>0</v>
      </c>
      <c r="BI1350" s="8">
        <f>0</f>
        <v>0</v>
      </c>
      <c r="BJ1350" s="5" t="s">
        <v>253</v>
      </c>
      <c r="BK1350" s="5" t="s">
        <v>254</v>
      </c>
      <c r="BY1350" s="5" t="s">
        <v>238</v>
      </c>
      <c r="BZ1350" s="5" t="s">
        <v>238</v>
      </c>
      <c r="CD1350" s="5" t="s">
        <v>273</v>
      </c>
      <c r="CE1350" s="5" t="s">
        <v>256</v>
      </c>
      <c r="CF1350" s="5" t="s">
        <v>238</v>
      </c>
      <c r="CI1350" s="6" t="s">
        <v>257</v>
      </c>
      <c r="CJ1350" s="5" t="s">
        <v>238</v>
      </c>
      <c r="CK1350" s="5" t="s">
        <v>258</v>
      </c>
      <c r="CL1350" s="5" t="s">
        <v>238</v>
      </c>
      <c r="CM1350" s="5" t="s">
        <v>238</v>
      </c>
      <c r="CN1350" s="5">
        <v>0</v>
      </c>
      <c r="CO1350" s="5" t="s">
        <v>259</v>
      </c>
      <c r="CP1350" s="5" t="s">
        <v>260</v>
      </c>
      <c r="CQ1350" s="5" t="s">
        <v>260</v>
      </c>
      <c r="CR1350" s="5" t="s">
        <v>261</v>
      </c>
      <c r="CU1350" s="8">
        <f>1</f>
        <v>1</v>
      </c>
      <c r="CV1350" s="8">
        <f>0</f>
        <v>0</v>
      </c>
      <c r="CX1350" s="8">
        <f>0</f>
        <v>0</v>
      </c>
      <c r="CY1350" s="8">
        <f>1</f>
        <v>1</v>
      </c>
      <c r="DA1350" s="5" t="s">
        <v>673</v>
      </c>
      <c r="DB1350" s="5" t="s">
        <v>238</v>
      </c>
      <c r="DD1350" s="5" t="s">
        <v>673</v>
      </c>
      <c r="DE1350" s="8">
        <f>4265</f>
        <v>4265</v>
      </c>
      <c r="DG1350" s="5" t="s">
        <v>238</v>
      </c>
      <c r="DH1350" s="5" t="s">
        <v>238</v>
      </c>
      <c r="DI1350" s="5" t="s">
        <v>238</v>
      </c>
      <c r="DJ1350" s="5" t="s">
        <v>238</v>
      </c>
      <c r="DN1350" s="5" t="s">
        <v>238</v>
      </c>
      <c r="DO1350" s="5" t="s">
        <v>238</v>
      </c>
      <c r="DP1350" s="5" t="s">
        <v>238</v>
      </c>
      <c r="DQ1350" s="5" t="s">
        <v>238</v>
      </c>
      <c r="DT1350" s="5" t="s">
        <v>2039</v>
      </c>
      <c r="DU1350" s="5" t="s">
        <v>2603</v>
      </c>
      <c r="HM1350" s="5" t="s">
        <v>264</v>
      </c>
    </row>
    <row r="1351" spans="1:221" x14ac:dyDescent="0.4">
      <c r="A1351" s="5">
        <v>3026</v>
      </c>
      <c r="B1351" s="5">
        <v>1</v>
      </c>
      <c r="C1351" s="5">
        <v>1</v>
      </c>
      <c r="D1351" s="5" t="s">
        <v>2037</v>
      </c>
      <c r="E1351" s="5" t="s">
        <v>271</v>
      </c>
      <c r="F1351" s="5" t="s">
        <v>248</v>
      </c>
      <c r="G1351" s="5" t="s">
        <v>1969</v>
      </c>
      <c r="H1351" s="6" t="s">
        <v>2600</v>
      </c>
      <c r="I1351" s="7">
        <f>6420</f>
        <v>6420</v>
      </c>
      <c r="J1351" s="5" t="s">
        <v>262</v>
      </c>
      <c r="K1351" s="8">
        <f>1</f>
        <v>1</v>
      </c>
      <c r="L1351" s="6" t="s">
        <v>242</v>
      </c>
      <c r="M1351" s="5" t="s">
        <v>267</v>
      </c>
      <c r="N1351" s="5" t="s">
        <v>265</v>
      </c>
      <c r="O1351" s="5" t="s">
        <v>238</v>
      </c>
      <c r="P1351" s="5" t="s">
        <v>238</v>
      </c>
      <c r="Q1351" s="5" t="s">
        <v>268</v>
      </c>
      <c r="R1351" s="5" t="s">
        <v>270</v>
      </c>
      <c r="S1351" s="5" t="s">
        <v>238</v>
      </c>
      <c r="V1351" s="5" t="s">
        <v>238</v>
      </c>
      <c r="X1351" s="6" t="s">
        <v>238</v>
      </c>
      <c r="AA1351" s="6" t="s">
        <v>243</v>
      </c>
      <c r="AB1351" s="5" t="s">
        <v>238</v>
      </c>
      <c r="AC1351" s="5" t="s">
        <v>244</v>
      </c>
      <c r="AD1351" s="5" t="s">
        <v>245</v>
      </c>
      <c r="AT1351" s="5" t="s">
        <v>246</v>
      </c>
      <c r="AU1351" s="5" t="s">
        <v>238</v>
      </c>
      <c r="AV1351" s="5" t="s">
        <v>247</v>
      </c>
      <c r="AW1351" s="5" t="s">
        <v>238</v>
      </c>
      <c r="AX1351" s="5" t="s">
        <v>249</v>
      </c>
      <c r="AY1351" s="5" t="s">
        <v>238</v>
      </c>
      <c r="BA1351" s="5" t="s">
        <v>238</v>
      </c>
      <c r="BC1351" s="5" t="s">
        <v>250</v>
      </c>
      <c r="BD1351" s="6" t="s">
        <v>243</v>
      </c>
      <c r="BE1351" s="5" t="s">
        <v>251</v>
      </c>
      <c r="BF1351" s="5" t="s">
        <v>252</v>
      </c>
      <c r="BG1351" s="5" t="s">
        <v>238</v>
      </c>
      <c r="BH1351" s="7">
        <f>0</f>
        <v>0</v>
      </c>
      <c r="BI1351" s="8">
        <f>0</f>
        <v>0</v>
      </c>
      <c r="BJ1351" s="5" t="s">
        <v>253</v>
      </c>
      <c r="BK1351" s="5" t="s">
        <v>254</v>
      </c>
      <c r="BY1351" s="5" t="s">
        <v>238</v>
      </c>
      <c r="BZ1351" s="5" t="s">
        <v>238</v>
      </c>
      <c r="CD1351" s="5" t="s">
        <v>273</v>
      </c>
      <c r="CE1351" s="5" t="s">
        <v>256</v>
      </c>
      <c r="CF1351" s="5" t="s">
        <v>238</v>
      </c>
      <c r="CI1351" s="6" t="s">
        <v>257</v>
      </c>
      <c r="CJ1351" s="5" t="s">
        <v>238</v>
      </c>
      <c r="CK1351" s="5" t="s">
        <v>258</v>
      </c>
      <c r="CL1351" s="5" t="s">
        <v>238</v>
      </c>
      <c r="CM1351" s="5" t="s">
        <v>238</v>
      </c>
      <c r="CN1351" s="5">
        <v>0</v>
      </c>
      <c r="CO1351" s="5" t="s">
        <v>259</v>
      </c>
      <c r="CP1351" s="5" t="s">
        <v>260</v>
      </c>
      <c r="CQ1351" s="5" t="s">
        <v>260</v>
      </c>
      <c r="CR1351" s="5" t="s">
        <v>261</v>
      </c>
      <c r="CU1351" s="8">
        <f>1</f>
        <v>1</v>
      </c>
      <c r="CV1351" s="8">
        <f>0</f>
        <v>0</v>
      </c>
      <c r="CX1351" s="8">
        <f>0</f>
        <v>0</v>
      </c>
      <c r="CY1351" s="8">
        <f>1</f>
        <v>1</v>
      </c>
      <c r="DA1351" s="5" t="s">
        <v>673</v>
      </c>
      <c r="DB1351" s="5" t="s">
        <v>238</v>
      </c>
      <c r="DD1351" s="5" t="s">
        <v>673</v>
      </c>
      <c r="DE1351" s="8">
        <f>6420</f>
        <v>6420</v>
      </c>
      <c r="DG1351" s="5" t="s">
        <v>238</v>
      </c>
      <c r="DH1351" s="5" t="s">
        <v>238</v>
      </c>
      <c r="DI1351" s="5" t="s">
        <v>238</v>
      </c>
      <c r="DJ1351" s="5" t="s">
        <v>238</v>
      </c>
      <c r="DN1351" s="5" t="s">
        <v>238</v>
      </c>
      <c r="DO1351" s="5" t="s">
        <v>238</v>
      </c>
      <c r="DP1351" s="5" t="s">
        <v>238</v>
      </c>
      <c r="DQ1351" s="5" t="s">
        <v>238</v>
      </c>
      <c r="DT1351" s="5" t="s">
        <v>2039</v>
      </c>
      <c r="DU1351" s="5" t="s">
        <v>2601</v>
      </c>
      <c r="HM1351" s="5" t="s">
        <v>264</v>
      </c>
    </row>
    <row r="1352" spans="1:221" x14ac:dyDescent="0.4">
      <c r="A1352" s="5">
        <v>3027</v>
      </c>
      <c r="B1352" s="5">
        <v>1</v>
      </c>
      <c r="C1352" s="5">
        <v>1</v>
      </c>
      <c r="D1352" s="5" t="s">
        <v>2037</v>
      </c>
      <c r="E1352" s="5" t="s">
        <v>271</v>
      </c>
      <c r="F1352" s="5" t="s">
        <v>248</v>
      </c>
      <c r="G1352" s="5" t="s">
        <v>1969</v>
      </c>
      <c r="H1352" s="6" t="s">
        <v>2598</v>
      </c>
      <c r="I1352" s="7">
        <f>1432</f>
        <v>1432</v>
      </c>
      <c r="J1352" s="5" t="s">
        <v>262</v>
      </c>
      <c r="K1352" s="8">
        <f>1</f>
        <v>1</v>
      </c>
      <c r="L1352" s="6" t="s">
        <v>242</v>
      </c>
      <c r="M1352" s="5" t="s">
        <v>267</v>
      </c>
      <c r="N1352" s="5" t="s">
        <v>265</v>
      </c>
      <c r="O1352" s="5" t="s">
        <v>238</v>
      </c>
      <c r="P1352" s="5" t="s">
        <v>238</v>
      </c>
      <c r="Q1352" s="5" t="s">
        <v>268</v>
      </c>
      <c r="R1352" s="5" t="s">
        <v>270</v>
      </c>
      <c r="S1352" s="5" t="s">
        <v>238</v>
      </c>
      <c r="V1352" s="5" t="s">
        <v>238</v>
      </c>
      <c r="X1352" s="6" t="s">
        <v>238</v>
      </c>
      <c r="AA1352" s="6" t="s">
        <v>243</v>
      </c>
      <c r="AB1352" s="5" t="s">
        <v>238</v>
      </c>
      <c r="AC1352" s="5" t="s">
        <v>244</v>
      </c>
      <c r="AD1352" s="5" t="s">
        <v>245</v>
      </c>
      <c r="AT1352" s="5" t="s">
        <v>246</v>
      </c>
      <c r="AU1352" s="5" t="s">
        <v>238</v>
      </c>
      <c r="AV1352" s="5" t="s">
        <v>247</v>
      </c>
      <c r="AW1352" s="5" t="s">
        <v>238</v>
      </c>
      <c r="AX1352" s="5" t="s">
        <v>249</v>
      </c>
      <c r="AY1352" s="5" t="s">
        <v>238</v>
      </c>
      <c r="BA1352" s="5" t="s">
        <v>238</v>
      </c>
      <c r="BC1352" s="5" t="s">
        <v>250</v>
      </c>
      <c r="BD1352" s="6" t="s">
        <v>243</v>
      </c>
      <c r="BE1352" s="5" t="s">
        <v>251</v>
      </c>
      <c r="BF1352" s="5" t="s">
        <v>252</v>
      </c>
      <c r="BG1352" s="5" t="s">
        <v>238</v>
      </c>
      <c r="BH1352" s="7">
        <f>0</f>
        <v>0</v>
      </c>
      <c r="BI1352" s="8">
        <f>0</f>
        <v>0</v>
      </c>
      <c r="BJ1352" s="5" t="s">
        <v>253</v>
      </c>
      <c r="BK1352" s="5" t="s">
        <v>254</v>
      </c>
      <c r="BY1352" s="5" t="s">
        <v>238</v>
      </c>
      <c r="BZ1352" s="5" t="s">
        <v>238</v>
      </c>
      <c r="CD1352" s="5" t="s">
        <v>273</v>
      </c>
      <c r="CE1352" s="5" t="s">
        <v>256</v>
      </c>
      <c r="CF1352" s="5" t="s">
        <v>238</v>
      </c>
      <c r="CI1352" s="6" t="s">
        <v>257</v>
      </c>
      <c r="CJ1352" s="5" t="s">
        <v>238</v>
      </c>
      <c r="CK1352" s="5" t="s">
        <v>258</v>
      </c>
      <c r="CL1352" s="5" t="s">
        <v>238</v>
      </c>
      <c r="CM1352" s="5" t="s">
        <v>238</v>
      </c>
      <c r="CN1352" s="5">
        <v>0</v>
      </c>
      <c r="CO1352" s="5" t="s">
        <v>259</v>
      </c>
      <c r="CP1352" s="5" t="s">
        <v>260</v>
      </c>
      <c r="CQ1352" s="5" t="s">
        <v>260</v>
      </c>
      <c r="CR1352" s="5" t="s">
        <v>261</v>
      </c>
      <c r="CU1352" s="8">
        <f>1</f>
        <v>1</v>
      </c>
      <c r="CV1352" s="8">
        <f>0</f>
        <v>0</v>
      </c>
      <c r="CX1352" s="8">
        <f>0</f>
        <v>0</v>
      </c>
      <c r="CY1352" s="8">
        <f>1</f>
        <v>1</v>
      </c>
      <c r="DA1352" s="5" t="s">
        <v>673</v>
      </c>
      <c r="DB1352" s="5" t="s">
        <v>238</v>
      </c>
      <c r="DD1352" s="5" t="s">
        <v>673</v>
      </c>
      <c r="DE1352" s="8">
        <f>1432</f>
        <v>1432</v>
      </c>
      <c r="DG1352" s="5" t="s">
        <v>238</v>
      </c>
      <c r="DH1352" s="5" t="s">
        <v>238</v>
      </c>
      <c r="DI1352" s="5" t="s">
        <v>238</v>
      </c>
      <c r="DJ1352" s="5" t="s">
        <v>238</v>
      </c>
      <c r="DN1352" s="5" t="s">
        <v>238</v>
      </c>
      <c r="DO1352" s="5" t="s">
        <v>238</v>
      </c>
      <c r="DP1352" s="5" t="s">
        <v>238</v>
      </c>
      <c r="DQ1352" s="5" t="s">
        <v>238</v>
      </c>
      <c r="DT1352" s="5" t="s">
        <v>2039</v>
      </c>
      <c r="DU1352" s="5" t="s">
        <v>2599</v>
      </c>
      <c r="HM1352" s="5" t="s">
        <v>264</v>
      </c>
    </row>
    <row r="1353" spans="1:221" x14ac:dyDescent="0.4">
      <c r="A1353" s="5">
        <v>3028</v>
      </c>
      <c r="B1353" s="5">
        <v>1</v>
      </c>
      <c r="C1353" s="5">
        <v>1</v>
      </c>
      <c r="D1353" s="5" t="s">
        <v>2037</v>
      </c>
      <c r="E1353" s="5" t="s">
        <v>271</v>
      </c>
      <c r="F1353" s="5" t="s">
        <v>248</v>
      </c>
      <c r="G1353" s="5" t="s">
        <v>1969</v>
      </c>
      <c r="H1353" s="6" t="s">
        <v>2596</v>
      </c>
      <c r="I1353" s="7">
        <f>2056</f>
        <v>2056</v>
      </c>
      <c r="J1353" s="5" t="s">
        <v>262</v>
      </c>
      <c r="K1353" s="8">
        <f>1</f>
        <v>1</v>
      </c>
      <c r="L1353" s="6" t="s">
        <v>242</v>
      </c>
      <c r="M1353" s="5" t="s">
        <v>267</v>
      </c>
      <c r="N1353" s="5" t="s">
        <v>265</v>
      </c>
      <c r="O1353" s="5" t="s">
        <v>238</v>
      </c>
      <c r="P1353" s="5" t="s">
        <v>238</v>
      </c>
      <c r="Q1353" s="5" t="s">
        <v>268</v>
      </c>
      <c r="R1353" s="5" t="s">
        <v>270</v>
      </c>
      <c r="S1353" s="5" t="s">
        <v>238</v>
      </c>
      <c r="V1353" s="5" t="s">
        <v>238</v>
      </c>
      <c r="X1353" s="6" t="s">
        <v>238</v>
      </c>
      <c r="AA1353" s="6" t="s">
        <v>243</v>
      </c>
      <c r="AB1353" s="5" t="s">
        <v>238</v>
      </c>
      <c r="AC1353" s="5" t="s">
        <v>244</v>
      </c>
      <c r="AD1353" s="5" t="s">
        <v>245</v>
      </c>
      <c r="AT1353" s="5" t="s">
        <v>246</v>
      </c>
      <c r="AU1353" s="5" t="s">
        <v>238</v>
      </c>
      <c r="AV1353" s="5" t="s">
        <v>247</v>
      </c>
      <c r="AW1353" s="5" t="s">
        <v>238</v>
      </c>
      <c r="AX1353" s="5" t="s">
        <v>249</v>
      </c>
      <c r="AY1353" s="5" t="s">
        <v>238</v>
      </c>
      <c r="BA1353" s="5" t="s">
        <v>238</v>
      </c>
      <c r="BC1353" s="5" t="s">
        <v>250</v>
      </c>
      <c r="BD1353" s="6" t="s">
        <v>243</v>
      </c>
      <c r="BE1353" s="5" t="s">
        <v>251</v>
      </c>
      <c r="BF1353" s="5" t="s">
        <v>252</v>
      </c>
      <c r="BG1353" s="5" t="s">
        <v>238</v>
      </c>
      <c r="BH1353" s="7">
        <f>0</f>
        <v>0</v>
      </c>
      <c r="BI1353" s="8">
        <f>0</f>
        <v>0</v>
      </c>
      <c r="BJ1353" s="5" t="s">
        <v>253</v>
      </c>
      <c r="BK1353" s="5" t="s">
        <v>254</v>
      </c>
      <c r="BY1353" s="5" t="s">
        <v>238</v>
      </c>
      <c r="BZ1353" s="5" t="s">
        <v>238</v>
      </c>
      <c r="CD1353" s="5" t="s">
        <v>273</v>
      </c>
      <c r="CE1353" s="5" t="s">
        <v>256</v>
      </c>
      <c r="CF1353" s="5" t="s">
        <v>238</v>
      </c>
      <c r="CI1353" s="6" t="s">
        <v>257</v>
      </c>
      <c r="CJ1353" s="5" t="s">
        <v>238</v>
      </c>
      <c r="CK1353" s="5" t="s">
        <v>258</v>
      </c>
      <c r="CL1353" s="5" t="s">
        <v>238</v>
      </c>
      <c r="CM1353" s="5" t="s">
        <v>238</v>
      </c>
      <c r="CN1353" s="5">
        <v>0</v>
      </c>
      <c r="CO1353" s="5" t="s">
        <v>259</v>
      </c>
      <c r="CP1353" s="5" t="s">
        <v>260</v>
      </c>
      <c r="CQ1353" s="5" t="s">
        <v>260</v>
      </c>
      <c r="CR1353" s="5" t="s">
        <v>261</v>
      </c>
      <c r="CU1353" s="8">
        <f>1</f>
        <v>1</v>
      </c>
      <c r="CV1353" s="8">
        <f>0</f>
        <v>0</v>
      </c>
      <c r="CX1353" s="8">
        <f>0</f>
        <v>0</v>
      </c>
      <c r="CY1353" s="8">
        <f>1</f>
        <v>1</v>
      </c>
      <c r="DA1353" s="5" t="s">
        <v>673</v>
      </c>
      <c r="DB1353" s="5" t="s">
        <v>238</v>
      </c>
      <c r="DD1353" s="5" t="s">
        <v>673</v>
      </c>
      <c r="DE1353" s="8">
        <f>2056</f>
        <v>2056</v>
      </c>
      <c r="DG1353" s="5" t="s">
        <v>238</v>
      </c>
      <c r="DH1353" s="5" t="s">
        <v>238</v>
      </c>
      <c r="DI1353" s="5" t="s">
        <v>238</v>
      </c>
      <c r="DJ1353" s="5" t="s">
        <v>238</v>
      </c>
      <c r="DN1353" s="5" t="s">
        <v>238</v>
      </c>
      <c r="DO1353" s="5" t="s">
        <v>238</v>
      </c>
      <c r="DP1353" s="5" t="s">
        <v>238</v>
      </c>
      <c r="DQ1353" s="5" t="s">
        <v>238</v>
      </c>
      <c r="DT1353" s="5" t="s">
        <v>2039</v>
      </c>
      <c r="DU1353" s="5" t="s">
        <v>2597</v>
      </c>
      <c r="HM1353" s="5" t="s">
        <v>264</v>
      </c>
    </row>
    <row r="1354" spans="1:221" x14ac:dyDescent="0.4">
      <c r="A1354" s="5">
        <v>3029</v>
      </c>
      <c r="B1354" s="5">
        <v>1</v>
      </c>
      <c r="C1354" s="5">
        <v>1</v>
      </c>
      <c r="D1354" s="5" t="s">
        <v>2037</v>
      </c>
      <c r="E1354" s="5" t="s">
        <v>271</v>
      </c>
      <c r="F1354" s="5" t="s">
        <v>248</v>
      </c>
      <c r="G1354" s="5" t="s">
        <v>1969</v>
      </c>
      <c r="H1354" s="6" t="s">
        <v>2594</v>
      </c>
      <c r="I1354" s="7">
        <f>2113</f>
        <v>2113</v>
      </c>
      <c r="J1354" s="5" t="s">
        <v>262</v>
      </c>
      <c r="K1354" s="8">
        <f>1</f>
        <v>1</v>
      </c>
      <c r="L1354" s="6" t="s">
        <v>242</v>
      </c>
      <c r="M1354" s="5" t="s">
        <v>267</v>
      </c>
      <c r="N1354" s="5" t="s">
        <v>265</v>
      </c>
      <c r="O1354" s="5" t="s">
        <v>238</v>
      </c>
      <c r="P1354" s="5" t="s">
        <v>238</v>
      </c>
      <c r="Q1354" s="5" t="s">
        <v>268</v>
      </c>
      <c r="R1354" s="5" t="s">
        <v>270</v>
      </c>
      <c r="S1354" s="5" t="s">
        <v>238</v>
      </c>
      <c r="V1354" s="5" t="s">
        <v>238</v>
      </c>
      <c r="X1354" s="6" t="s">
        <v>238</v>
      </c>
      <c r="AA1354" s="6" t="s">
        <v>243</v>
      </c>
      <c r="AB1354" s="5" t="s">
        <v>238</v>
      </c>
      <c r="AC1354" s="5" t="s">
        <v>244</v>
      </c>
      <c r="AD1354" s="5" t="s">
        <v>245</v>
      </c>
      <c r="AT1354" s="5" t="s">
        <v>246</v>
      </c>
      <c r="AU1354" s="5" t="s">
        <v>238</v>
      </c>
      <c r="AV1354" s="5" t="s">
        <v>247</v>
      </c>
      <c r="AW1354" s="5" t="s">
        <v>238</v>
      </c>
      <c r="AX1354" s="5" t="s">
        <v>249</v>
      </c>
      <c r="AY1354" s="5" t="s">
        <v>238</v>
      </c>
      <c r="BA1354" s="5" t="s">
        <v>238</v>
      </c>
      <c r="BC1354" s="5" t="s">
        <v>250</v>
      </c>
      <c r="BD1354" s="6" t="s">
        <v>243</v>
      </c>
      <c r="BE1354" s="5" t="s">
        <v>251</v>
      </c>
      <c r="BF1354" s="5" t="s">
        <v>252</v>
      </c>
      <c r="BG1354" s="5" t="s">
        <v>238</v>
      </c>
      <c r="BH1354" s="7">
        <f>0</f>
        <v>0</v>
      </c>
      <c r="BI1354" s="8">
        <f>0</f>
        <v>0</v>
      </c>
      <c r="BJ1354" s="5" t="s">
        <v>253</v>
      </c>
      <c r="BK1354" s="5" t="s">
        <v>254</v>
      </c>
      <c r="BY1354" s="5" t="s">
        <v>238</v>
      </c>
      <c r="BZ1354" s="5" t="s">
        <v>238</v>
      </c>
      <c r="CD1354" s="5" t="s">
        <v>273</v>
      </c>
      <c r="CE1354" s="5" t="s">
        <v>256</v>
      </c>
      <c r="CF1354" s="5" t="s">
        <v>238</v>
      </c>
      <c r="CI1354" s="6" t="s">
        <v>257</v>
      </c>
      <c r="CJ1354" s="5" t="s">
        <v>238</v>
      </c>
      <c r="CK1354" s="5" t="s">
        <v>258</v>
      </c>
      <c r="CL1354" s="5" t="s">
        <v>238</v>
      </c>
      <c r="CM1354" s="5" t="s">
        <v>238</v>
      </c>
      <c r="CN1354" s="5">
        <v>0</v>
      </c>
      <c r="CO1354" s="5" t="s">
        <v>259</v>
      </c>
      <c r="CP1354" s="5" t="s">
        <v>260</v>
      </c>
      <c r="CQ1354" s="5" t="s">
        <v>260</v>
      </c>
      <c r="CR1354" s="5" t="s">
        <v>261</v>
      </c>
      <c r="CU1354" s="8">
        <f>1</f>
        <v>1</v>
      </c>
      <c r="CV1354" s="8">
        <f>0</f>
        <v>0</v>
      </c>
      <c r="CX1354" s="8">
        <f>0</f>
        <v>0</v>
      </c>
      <c r="CY1354" s="8">
        <f>1</f>
        <v>1</v>
      </c>
      <c r="DA1354" s="5" t="s">
        <v>673</v>
      </c>
      <c r="DB1354" s="5" t="s">
        <v>238</v>
      </c>
      <c r="DD1354" s="5" t="s">
        <v>673</v>
      </c>
      <c r="DE1354" s="8">
        <f>2113</f>
        <v>2113</v>
      </c>
      <c r="DG1354" s="5" t="s">
        <v>238</v>
      </c>
      <c r="DH1354" s="5" t="s">
        <v>238</v>
      </c>
      <c r="DI1354" s="5" t="s">
        <v>238</v>
      </c>
      <c r="DJ1354" s="5" t="s">
        <v>238</v>
      </c>
      <c r="DN1354" s="5" t="s">
        <v>238</v>
      </c>
      <c r="DO1354" s="5" t="s">
        <v>238</v>
      </c>
      <c r="DP1354" s="5" t="s">
        <v>238</v>
      </c>
      <c r="DQ1354" s="5" t="s">
        <v>238</v>
      </c>
      <c r="DT1354" s="5" t="s">
        <v>2039</v>
      </c>
      <c r="DU1354" s="5" t="s">
        <v>2595</v>
      </c>
      <c r="HM1354" s="5" t="s">
        <v>264</v>
      </c>
    </row>
    <row r="1355" spans="1:221" x14ac:dyDescent="0.4">
      <c r="A1355" s="5">
        <v>3030</v>
      </c>
      <c r="B1355" s="5">
        <v>1</v>
      </c>
      <c r="C1355" s="5">
        <v>1</v>
      </c>
      <c r="D1355" s="5" t="s">
        <v>2037</v>
      </c>
      <c r="E1355" s="5" t="s">
        <v>271</v>
      </c>
      <c r="F1355" s="5" t="s">
        <v>248</v>
      </c>
      <c r="G1355" s="5" t="s">
        <v>1969</v>
      </c>
      <c r="H1355" s="6" t="s">
        <v>2592</v>
      </c>
      <c r="I1355" s="7">
        <f>1891</f>
        <v>1891</v>
      </c>
      <c r="J1355" s="5" t="s">
        <v>262</v>
      </c>
      <c r="K1355" s="8">
        <f>1</f>
        <v>1</v>
      </c>
      <c r="L1355" s="6" t="s">
        <v>242</v>
      </c>
      <c r="M1355" s="5" t="s">
        <v>267</v>
      </c>
      <c r="N1355" s="5" t="s">
        <v>265</v>
      </c>
      <c r="O1355" s="5" t="s">
        <v>238</v>
      </c>
      <c r="P1355" s="5" t="s">
        <v>238</v>
      </c>
      <c r="Q1355" s="5" t="s">
        <v>268</v>
      </c>
      <c r="R1355" s="5" t="s">
        <v>270</v>
      </c>
      <c r="S1355" s="5" t="s">
        <v>238</v>
      </c>
      <c r="V1355" s="5" t="s">
        <v>238</v>
      </c>
      <c r="X1355" s="6" t="s">
        <v>238</v>
      </c>
      <c r="AA1355" s="6" t="s">
        <v>243</v>
      </c>
      <c r="AB1355" s="5" t="s">
        <v>238</v>
      </c>
      <c r="AC1355" s="5" t="s">
        <v>244</v>
      </c>
      <c r="AD1355" s="5" t="s">
        <v>245</v>
      </c>
      <c r="AT1355" s="5" t="s">
        <v>246</v>
      </c>
      <c r="AU1355" s="5" t="s">
        <v>238</v>
      </c>
      <c r="AV1355" s="5" t="s">
        <v>247</v>
      </c>
      <c r="AW1355" s="5" t="s">
        <v>238</v>
      </c>
      <c r="AX1355" s="5" t="s">
        <v>249</v>
      </c>
      <c r="AY1355" s="5" t="s">
        <v>238</v>
      </c>
      <c r="BA1355" s="5" t="s">
        <v>238</v>
      </c>
      <c r="BC1355" s="5" t="s">
        <v>250</v>
      </c>
      <c r="BD1355" s="6" t="s">
        <v>243</v>
      </c>
      <c r="BE1355" s="5" t="s">
        <v>251</v>
      </c>
      <c r="BF1355" s="5" t="s">
        <v>252</v>
      </c>
      <c r="BG1355" s="5" t="s">
        <v>238</v>
      </c>
      <c r="BH1355" s="7">
        <f>0</f>
        <v>0</v>
      </c>
      <c r="BI1355" s="8">
        <f>0</f>
        <v>0</v>
      </c>
      <c r="BJ1355" s="5" t="s">
        <v>253</v>
      </c>
      <c r="BK1355" s="5" t="s">
        <v>254</v>
      </c>
      <c r="BY1355" s="5" t="s">
        <v>238</v>
      </c>
      <c r="BZ1355" s="5" t="s">
        <v>238</v>
      </c>
      <c r="CD1355" s="5" t="s">
        <v>273</v>
      </c>
      <c r="CE1355" s="5" t="s">
        <v>256</v>
      </c>
      <c r="CF1355" s="5" t="s">
        <v>238</v>
      </c>
      <c r="CI1355" s="6" t="s">
        <v>257</v>
      </c>
      <c r="CJ1355" s="5" t="s">
        <v>238</v>
      </c>
      <c r="CK1355" s="5" t="s">
        <v>258</v>
      </c>
      <c r="CL1355" s="5" t="s">
        <v>238</v>
      </c>
      <c r="CM1355" s="5" t="s">
        <v>238</v>
      </c>
      <c r="CN1355" s="5">
        <v>0</v>
      </c>
      <c r="CO1355" s="5" t="s">
        <v>259</v>
      </c>
      <c r="CP1355" s="5" t="s">
        <v>260</v>
      </c>
      <c r="CQ1355" s="5" t="s">
        <v>260</v>
      </c>
      <c r="CR1355" s="5" t="s">
        <v>261</v>
      </c>
      <c r="CU1355" s="8">
        <f>1</f>
        <v>1</v>
      </c>
      <c r="CV1355" s="8">
        <f>0</f>
        <v>0</v>
      </c>
      <c r="CX1355" s="8">
        <f>0</f>
        <v>0</v>
      </c>
      <c r="CY1355" s="8">
        <f>1</f>
        <v>1</v>
      </c>
      <c r="DA1355" s="5" t="s">
        <v>673</v>
      </c>
      <c r="DB1355" s="5" t="s">
        <v>238</v>
      </c>
      <c r="DD1355" s="5" t="s">
        <v>673</v>
      </c>
      <c r="DE1355" s="8">
        <f>1891</f>
        <v>1891</v>
      </c>
      <c r="DG1355" s="5" t="s">
        <v>238</v>
      </c>
      <c r="DH1355" s="5" t="s">
        <v>238</v>
      </c>
      <c r="DI1355" s="5" t="s">
        <v>238</v>
      </c>
      <c r="DJ1355" s="5" t="s">
        <v>238</v>
      </c>
      <c r="DN1355" s="5" t="s">
        <v>238</v>
      </c>
      <c r="DO1355" s="5" t="s">
        <v>238</v>
      </c>
      <c r="DP1355" s="5" t="s">
        <v>238</v>
      </c>
      <c r="DQ1355" s="5" t="s">
        <v>238</v>
      </c>
      <c r="DT1355" s="5" t="s">
        <v>2039</v>
      </c>
      <c r="DU1355" s="5" t="s">
        <v>2593</v>
      </c>
      <c r="HM1355" s="5" t="s">
        <v>264</v>
      </c>
    </row>
    <row r="1356" spans="1:221" x14ac:dyDescent="0.4">
      <c r="A1356" s="5">
        <v>3031</v>
      </c>
      <c r="B1356" s="5">
        <v>1</v>
      </c>
      <c r="C1356" s="5">
        <v>1</v>
      </c>
      <c r="D1356" s="5" t="s">
        <v>2037</v>
      </c>
      <c r="E1356" s="5" t="s">
        <v>271</v>
      </c>
      <c r="F1356" s="5" t="s">
        <v>248</v>
      </c>
      <c r="G1356" s="5" t="s">
        <v>1969</v>
      </c>
      <c r="H1356" s="6" t="s">
        <v>2585</v>
      </c>
      <c r="I1356" s="7">
        <f>2642</f>
        <v>2642</v>
      </c>
      <c r="J1356" s="5" t="s">
        <v>262</v>
      </c>
      <c r="K1356" s="8">
        <f>1</f>
        <v>1</v>
      </c>
      <c r="L1356" s="6" t="s">
        <v>242</v>
      </c>
      <c r="M1356" s="5" t="s">
        <v>267</v>
      </c>
      <c r="N1356" s="5" t="s">
        <v>265</v>
      </c>
      <c r="O1356" s="5" t="s">
        <v>238</v>
      </c>
      <c r="P1356" s="5" t="s">
        <v>238</v>
      </c>
      <c r="Q1356" s="5" t="s">
        <v>268</v>
      </c>
      <c r="R1356" s="5" t="s">
        <v>270</v>
      </c>
      <c r="S1356" s="5" t="s">
        <v>238</v>
      </c>
      <c r="V1356" s="5" t="s">
        <v>238</v>
      </c>
      <c r="X1356" s="6" t="s">
        <v>238</v>
      </c>
      <c r="AA1356" s="6" t="s">
        <v>243</v>
      </c>
      <c r="AB1356" s="5" t="s">
        <v>238</v>
      </c>
      <c r="AC1356" s="5" t="s">
        <v>244</v>
      </c>
      <c r="AD1356" s="5" t="s">
        <v>245</v>
      </c>
      <c r="AT1356" s="5" t="s">
        <v>246</v>
      </c>
      <c r="AU1356" s="5" t="s">
        <v>238</v>
      </c>
      <c r="AV1356" s="5" t="s">
        <v>247</v>
      </c>
      <c r="AW1356" s="5" t="s">
        <v>238</v>
      </c>
      <c r="AX1356" s="5" t="s">
        <v>249</v>
      </c>
      <c r="AY1356" s="5" t="s">
        <v>238</v>
      </c>
      <c r="BA1356" s="5" t="s">
        <v>238</v>
      </c>
      <c r="BC1356" s="5" t="s">
        <v>250</v>
      </c>
      <c r="BD1356" s="6" t="s">
        <v>243</v>
      </c>
      <c r="BE1356" s="5" t="s">
        <v>251</v>
      </c>
      <c r="BF1356" s="5" t="s">
        <v>252</v>
      </c>
      <c r="BG1356" s="5" t="s">
        <v>238</v>
      </c>
      <c r="BH1356" s="7">
        <f>0</f>
        <v>0</v>
      </c>
      <c r="BI1356" s="8">
        <f>0</f>
        <v>0</v>
      </c>
      <c r="BJ1356" s="5" t="s">
        <v>253</v>
      </c>
      <c r="BK1356" s="5" t="s">
        <v>254</v>
      </c>
      <c r="BY1356" s="5" t="s">
        <v>238</v>
      </c>
      <c r="BZ1356" s="5" t="s">
        <v>238</v>
      </c>
      <c r="CD1356" s="5" t="s">
        <v>273</v>
      </c>
      <c r="CE1356" s="5" t="s">
        <v>256</v>
      </c>
      <c r="CF1356" s="5" t="s">
        <v>238</v>
      </c>
      <c r="CI1356" s="6" t="s">
        <v>257</v>
      </c>
      <c r="CJ1356" s="5" t="s">
        <v>238</v>
      </c>
      <c r="CK1356" s="5" t="s">
        <v>258</v>
      </c>
      <c r="CL1356" s="5" t="s">
        <v>238</v>
      </c>
      <c r="CM1356" s="5" t="s">
        <v>238</v>
      </c>
      <c r="CN1356" s="5">
        <v>0</v>
      </c>
      <c r="CO1356" s="5" t="s">
        <v>259</v>
      </c>
      <c r="CP1356" s="5" t="s">
        <v>260</v>
      </c>
      <c r="CQ1356" s="5" t="s">
        <v>260</v>
      </c>
      <c r="CR1356" s="5" t="s">
        <v>261</v>
      </c>
      <c r="CU1356" s="8">
        <f>1</f>
        <v>1</v>
      </c>
      <c r="CV1356" s="8">
        <f>0</f>
        <v>0</v>
      </c>
      <c r="CX1356" s="8">
        <f>0</f>
        <v>0</v>
      </c>
      <c r="CY1356" s="8">
        <f>1</f>
        <v>1</v>
      </c>
      <c r="DA1356" s="5" t="s">
        <v>673</v>
      </c>
      <c r="DB1356" s="5" t="s">
        <v>238</v>
      </c>
      <c r="DD1356" s="5" t="s">
        <v>673</v>
      </c>
      <c r="DE1356" s="8">
        <f>2642</f>
        <v>2642</v>
      </c>
      <c r="DG1356" s="5" t="s">
        <v>238</v>
      </c>
      <c r="DH1356" s="5" t="s">
        <v>238</v>
      </c>
      <c r="DI1356" s="5" t="s">
        <v>238</v>
      </c>
      <c r="DJ1356" s="5" t="s">
        <v>238</v>
      </c>
      <c r="DN1356" s="5" t="s">
        <v>238</v>
      </c>
      <c r="DO1356" s="5" t="s">
        <v>238</v>
      </c>
      <c r="DP1356" s="5" t="s">
        <v>238</v>
      </c>
      <c r="DQ1356" s="5" t="s">
        <v>238</v>
      </c>
      <c r="DT1356" s="5" t="s">
        <v>2039</v>
      </c>
      <c r="DU1356" s="5" t="s">
        <v>2586</v>
      </c>
      <c r="HM1356" s="5" t="s">
        <v>264</v>
      </c>
    </row>
    <row r="1357" spans="1:221" x14ac:dyDescent="0.4">
      <c r="A1357" s="5">
        <v>3032</v>
      </c>
      <c r="B1357" s="5">
        <v>1</v>
      </c>
      <c r="C1357" s="5">
        <v>1</v>
      </c>
      <c r="D1357" s="5" t="s">
        <v>2037</v>
      </c>
      <c r="E1357" s="5" t="s">
        <v>271</v>
      </c>
      <c r="F1357" s="5" t="s">
        <v>248</v>
      </c>
      <c r="G1357" s="5" t="s">
        <v>1969</v>
      </c>
      <c r="H1357" s="6" t="s">
        <v>2582</v>
      </c>
      <c r="I1357" s="7">
        <f>598</f>
        <v>598</v>
      </c>
      <c r="J1357" s="5" t="s">
        <v>262</v>
      </c>
      <c r="K1357" s="8">
        <f>1</f>
        <v>1</v>
      </c>
      <c r="L1357" s="6" t="s">
        <v>242</v>
      </c>
      <c r="M1357" s="5" t="s">
        <v>267</v>
      </c>
      <c r="N1357" s="5" t="s">
        <v>265</v>
      </c>
      <c r="O1357" s="5" t="s">
        <v>238</v>
      </c>
      <c r="P1357" s="5" t="s">
        <v>238</v>
      </c>
      <c r="Q1357" s="5" t="s">
        <v>268</v>
      </c>
      <c r="R1357" s="5" t="s">
        <v>270</v>
      </c>
      <c r="S1357" s="5" t="s">
        <v>238</v>
      </c>
      <c r="V1357" s="5" t="s">
        <v>238</v>
      </c>
      <c r="X1357" s="6" t="s">
        <v>238</v>
      </c>
      <c r="AA1357" s="6" t="s">
        <v>243</v>
      </c>
      <c r="AB1357" s="5" t="s">
        <v>238</v>
      </c>
      <c r="AC1357" s="5" t="s">
        <v>244</v>
      </c>
      <c r="AD1357" s="5" t="s">
        <v>245</v>
      </c>
      <c r="AT1357" s="5" t="s">
        <v>246</v>
      </c>
      <c r="AU1357" s="5" t="s">
        <v>238</v>
      </c>
      <c r="AV1357" s="5" t="s">
        <v>247</v>
      </c>
      <c r="AW1357" s="5" t="s">
        <v>238</v>
      </c>
      <c r="AX1357" s="5" t="s">
        <v>249</v>
      </c>
      <c r="AY1357" s="5" t="s">
        <v>238</v>
      </c>
      <c r="BA1357" s="5" t="s">
        <v>238</v>
      </c>
      <c r="BC1357" s="5" t="s">
        <v>250</v>
      </c>
      <c r="BD1357" s="6" t="s">
        <v>243</v>
      </c>
      <c r="BE1357" s="5" t="s">
        <v>251</v>
      </c>
      <c r="BF1357" s="5" t="s">
        <v>252</v>
      </c>
      <c r="BG1357" s="5" t="s">
        <v>238</v>
      </c>
      <c r="BH1357" s="7">
        <f>0</f>
        <v>0</v>
      </c>
      <c r="BI1357" s="8">
        <f>0</f>
        <v>0</v>
      </c>
      <c r="BJ1357" s="5" t="s">
        <v>253</v>
      </c>
      <c r="BK1357" s="5" t="s">
        <v>254</v>
      </c>
      <c r="BY1357" s="5" t="s">
        <v>238</v>
      </c>
      <c r="BZ1357" s="5" t="s">
        <v>238</v>
      </c>
      <c r="CD1357" s="5" t="s">
        <v>273</v>
      </c>
      <c r="CE1357" s="5" t="s">
        <v>256</v>
      </c>
      <c r="CF1357" s="5" t="s">
        <v>238</v>
      </c>
      <c r="CI1357" s="6" t="s">
        <v>257</v>
      </c>
      <c r="CJ1357" s="5" t="s">
        <v>238</v>
      </c>
      <c r="CK1357" s="5" t="s">
        <v>258</v>
      </c>
      <c r="CL1357" s="5" t="s">
        <v>238</v>
      </c>
      <c r="CM1357" s="5" t="s">
        <v>238</v>
      </c>
      <c r="CN1357" s="5">
        <v>0</v>
      </c>
      <c r="CO1357" s="5" t="s">
        <v>259</v>
      </c>
      <c r="CP1357" s="5" t="s">
        <v>260</v>
      </c>
      <c r="CQ1357" s="5" t="s">
        <v>260</v>
      </c>
      <c r="CR1357" s="5" t="s">
        <v>261</v>
      </c>
      <c r="CU1357" s="8">
        <f>1</f>
        <v>1</v>
      </c>
      <c r="CV1357" s="8">
        <f>0</f>
        <v>0</v>
      </c>
      <c r="CX1357" s="8">
        <f>0</f>
        <v>0</v>
      </c>
      <c r="CY1357" s="8">
        <f>1</f>
        <v>1</v>
      </c>
      <c r="DA1357" s="5" t="s">
        <v>673</v>
      </c>
      <c r="DB1357" s="5" t="s">
        <v>238</v>
      </c>
      <c r="DD1357" s="5" t="s">
        <v>673</v>
      </c>
      <c r="DE1357" s="8">
        <f>598</f>
        <v>598</v>
      </c>
      <c r="DG1357" s="5" t="s">
        <v>238</v>
      </c>
      <c r="DH1357" s="5" t="s">
        <v>238</v>
      </c>
      <c r="DI1357" s="5" t="s">
        <v>238</v>
      </c>
      <c r="DJ1357" s="5" t="s">
        <v>238</v>
      </c>
      <c r="DN1357" s="5" t="s">
        <v>238</v>
      </c>
      <c r="DO1357" s="5" t="s">
        <v>238</v>
      </c>
      <c r="DP1357" s="5" t="s">
        <v>238</v>
      </c>
      <c r="DQ1357" s="5" t="s">
        <v>238</v>
      </c>
      <c r="DT1357" s="5" t="s">
        <v>2039</v>
      </c>
      <c r="DU1357" s="5" t="s">
        <v>2583</v>
      </c>
      <c r="HM1357" s="5" t="s">
        <v>264</v>
      </c>
    </row>
    <row r="1358" spans="1:221" x14ac:dyDescent="0.4">
      <c r="A1358" s="5">
        <v>3033</v>
      </c>
      <c r="B1358" s="5">
        <v>1</v>
      </c>
      <c r="C1358" s="5">
        <v>1</v>
      </c>
      <c r="D1358" s="5" t="s">
        <v>2037</v>
      </c>
      <c r="E1358" s="5" t="s">
        <v>271</v>
      </c>
      <c r="F1358" s="5" t="s">
        <v>248</v>
      </c>
      <c r="G1358" s="5" t="s">
        <v>1969</v>
      </c>
      <c r="H1358" s="6" t="s">
        <v>2580</v>
      </c>
      <c r="I1358" s="7">
        <f>1142</f>
        <v>1142</v>
      </c>
      <c r="J1358" s="5" t="s">
        <v>262</v>
      </c>
      <c r="K1358" s="8">
        <f>1</f>
        <v>1</v>
      </c>
      <c r="L1358" s="6" t="s">
        <v>242</v>
      </c>
      <c r="M1358" s="5" t="s">
        <v>267</v>
      </c>
      <c r="N1358" s="5" t="s">
        <v>265</v>
      </c>
      <c r="O1358" s="5" t="s">
        <v>238</v>
      </c>
      <c r="P1358" s="5" t="s">
        <v>238</v>
      </c>
      <c r="Q1358" s="5" t="s">
        <v>268</v>
      </c>
      <c r="R1358" s="5" t="s">
        <v>270</v>
      </c>
      <c r="S1358" s="5" t="s">
        <v>238</v>
      </c>
      <c r="V1358" s="5" t="s">
        <v>238</v>
      </c>
      <c r="X1358" s="6" t="s">
        <v>238</v>
      </c>
      <c r="AA1358" s="6" t="s">
        <v>243</v>
      </c>
      <c r="AB1358" s="5" t="s">
        <v>238</v>
      </c>
      <c r="AC1358" s="5" t="s">
        <v>244</v>
      </c>
      <c r="AD1358" s="5" t="s">
        <v>245</v>
      </c>
      <c r="AT1358" s="5" t="s">
        <v>246</v>
      </c>
      <c r="AU1358" s="5" t="s">
        <v>238</v>
      </c>
      <c r="AV1358" s="5" t="s">
        <v>247</v>
      </c>
      <c r="AW1358" s="5" t="s">
        <v>238</v>
      </c>
      <c r="AX1358" s="5" t="s">
        <v>249</v>
      </c>
      <c r="AY1358" s="5" t="s">
        <v>238</v>
      </c>
      <c r="BA1358" s="5" t="s">
        <v>238</v>
      </c>
      <c r="BC1358" s="5" t="s">
        <v>250</v>
      </c>
      <c r="BD1358" s="6" t="s">
        <v>243</v>
      </c>
      <c r="BE1358" s="5" t="s">
        <v>251</v>
      </c>
      <c r="BF1358" s="5" t="s">
        <v>252</v>
      </c>
      <c r="BG1358" s="5" t="s">
        <v>238</v>
      </c>
      <c r="BH1358" s="7">
        <f>0</f>
        <v>0</v>
      </c>
      <c r="BI1358" s="8">
        <f>0</f>
        <v>0</v>
      </c>
      <c r="BJ1358" s="5" t="s">
        <v>253</v>
      </c>
      <c r="BK1358" s="5" t="s">
        <v>254</v>
      </c>
      <c r="BY1358" s="5" t="s">
        <v>238</v>
      </c>
      <c r="BZ1358" s="5" t="s">
        <v>238</v>
      </c>
      <c r="CD1358" s="5" t="s">
        <v>273</v>
      </c>
      <c r="CE1358" s="5" t="s">
        <v>256</v>
      </c>
      <c r="CF1358" s="5" t="s">
        <v>238</v>
      </c>
      <c r="CI1358" s="6" t="s">
        <v>257</v>
      </c>
      <c r="CJ1358" s="5" t="s">
        <v>238</v>
      </c>
      <c r="CK1358" s="5" t="s">
        <v>258</v>
      </c>
      <c r="CL1358" s="5" t="s">
        <v>238</v>
      </c>
      <c r="CM1358" s="5" t="s">
        <v>238</v>
      </c>
      <c r="CN1358" s="5">
        <v>0</v>
      </c>
      <c r="CO1358" s="5" t="s">
        <v>259</v>
      </c>
      <c r="CP1358" s="5" t="s">
        <v>260</v>
      </c>
      <c r="CQ1358" s="5" t="s">
        <v>260</v>
      </c>
      <c r="CR1358" s="5" t="s">
        <v>261</v>
      </c>
      <c r="CU1358" s="8">
        <f>1</f>
        <v>1</v>
      </c>
      <c r="CV1358" s="8">
        <f>0</f>
        <v>0</v>
      </c>
      <c r="CX1358" s="8">
        <f>0</f>
        <v>0</v>
      </c>
      <c r="CY1358" s="8">
        <f>1</f>
        <v>1</v>
      </c>
      <c r="DA1358" s="5" t="s">
        <v>673</v>
      </c>
      <c r="DB1358" s="5" t="s">
        <v>238</v>
      </c>
      <c r="DD1358" s="5" t="s">
        <v>673</v>
      </c>
      <c r="DE1358" s="8">
        <f>1142</f>
        <v>1142</v>
      </c>
      <c r="DG1358" s="5" t="s">
        <v>238</v>
      </c>
      <c r="DH1358" s="5" t="s">
        <v>238</v>
      </c>
      <c r="DI1358" s="5" t="s">
        <v>238</v>
      </c>
      <c r="DJ1358" s="5" t="s">
        <v>238</v>
      </c>
      <c r="DN1358" s="5" t="s">
        <v>238</v>
      </c>
      <c r="DO1358" s="5" t="s">
        <v>238</v>
      </c>
      <c r="DP1358" s="5" t="s">
        <v>238</v>
      </c>
      <c r="DQ1358" s="5" t="s">
        <v>238</v>
      </c>
      <c r="DT1358" s="5" t="s">
        <v>2039</v>
      </c>
      <c r="DU1358" s="5" t="s">
        <v>2581</v>
      </c>
      <c r="HM1358" s="5" t="s">
        <v>264</v>
      </c>
    </row>
    <row r="1359" spans="1:221" x14ac:dyDescent="0.4">
      <c r="A1359" s="5">
        <v>3034</v>
      </c>
      <c r="B1359" s="5">
        <v>1</v>
      </c>
      <c r="C1359" s="5">
        <v>1</v>
      </c>
      <c r="D1359" s="5" t="s">
        <v>2037</v>
      </c>
      <c r="E1359" s="5" t="s">
        <v>271</v>
      </c>
      <c r="F1359" s="5" t="s">
        <v>248</v>
      </c>
      <c r="G1359" s="5" t="s">
        <v>1969</v>
      </c>
      <c r="H1359" s="6" t="s">
        <v>2578</v>
      </c>
      <c r="I1359" s="7">
        <f>2476</f>
        <v>2476</v>
      </c>
      <c r="J1359" s="5" t="s">
        <v>262</v>
      </c>
      <c r="K1359" s="8">
        <f>1</f>
        <v>1</v>
      </c>
      <c r="L1359" s="6" t="s">
        <v>242</v>
      </c>
      <c r="M1359" s="5" t="s">
        <v>267</v>
      </c>
      <c r="N1359" s="5" t="s">
        <v>265</v>
      </c>
      <c r="O1359" s="5" t="s">
        <v>238</v>
      </c>
      <c r="P1359" s="5" t="s">
        <v>238</v>
      </c>
      <c r="Q1359" s="5" t="s">
        <v>268</v>
      </c>
      <c r="R1359" s="5" t="s">
        <v>270</v>
      </c>
      <c r="S1359" s="5" t="s">
        <v>238</v>
      </c>
      <c r="V1359" s="5" t="s">
        <v>238</v>
      </c>
      <c r="X1359" s="6" t="s">
        <v>238</v>
      </c>
      <c r="AA1359" s="6" t="s">
        <v>243</v>
      </c>
      <c r="AB1359" s="5" t="s">
        <v>238</v>
      </c>
      <c r="AC1359" s="5" t="s">
        <v>244</v>
      </c>
      <c r="AD1359" s="5" t="s">
        <v>245</v>
      </c>
      <c r="AT1359" s="5" t="s">
        <v>246</v>
      </c>
      <c r="AU1359" s="5" t="s">
        <v>238</v>
      </c>
      <c r="AV1359" s="5" t="s">
        <v>247</v>
      </c>
      <c r="AW1359" s="5" t="s">
        <v>238</v>
      </c>
      <c r="AX1359" s="5" t="s">
        <v>249</v>
      </c>
      <c r="AY1359" s="5" t="s">
        <v>238</v>
      </c>
      <c r="BA1359" s="5" t="s">
        <v>238</v>
      </c>
      <c r="BC1359" s="5" t="s">
        <v>250</v>
      </c>
      <c r="BD1359" s="6" t="s">
        <v>243</v>
      </c>
      <c r="BE1359" s="5" t="s">
        <v>251</v>
      </c>
      <c r="BF1359" s="5" t="s">
        <v>252</v>
      </c>
      <c r="BG1359" s="5" t="s">
        <v>238</v>
      </c>
      <c r="BH1359" s="7">
        <f>0</f>
        <v>0</v>
      </c>
      <c r="BI1359" s="8">
        <f>0</f>
        <v>0</v>
      </c>
      <c r="BJ1359" s="5" t="s">
        <v>253</v>
      </c>
      <c r="BK1359" s="5" t="s">
        <v>254</v>
      </c>
      <c r="BY1359" s="5" t="s">
        <v>238</v>
      </c>
      <c r="BZ1359" s="5" t="s">
        <v>238</v>
      </c>
      <c r="CD1359" s="5" t="s">
        <v>273</v>
      </c>
      <c r="CE1359" s="5" t="s">
        <v>256</v>
      </c>
      <c r="CF1359" s="5" t="s">
        <v>238</v>
      </c>
      <c r="CI1359" s="6" t="s">
        <v>257</v>
      </c>
      <c r="CJ1359" s="5" t="s">
        <v>238</v>
      </c>
      <c r="CK1359" s="5" t="s">
        <v>258</v>
      </c>
      <c r="CL1359" s="5" t="s">
        <v>238</v>
      </c>
      <c r="CM1359" s="5" t="s">
        <v>238</v>
      </c>
      <c r="CN1359" s="5">
        <v>0</v>
      </c>
      <c r="CO1359" s="5" t="s">
        <v>259</v>
      </c>
      <c r="CP1359" s="5" t="s">
        <v>260</v>
      </c>
      <c r="CQ1359" s="5" t="s">
        <v>260</v>
      </c>
      <c r="CR1359" s="5" t="s">
        <v>261</v>
      </c>
      <c r="CU1359" s="8">
        <f>1</f>
        <v>1</v>
      </c>
      <c r="CV1359" s="8">
        <f>0</f>
        <v>0</v>
      </c>
      <c r="CX1359" s="8">
        <f>0</f>
        <v>0</v>
      </c>
      <c r="CY1359" s="8">
        <f>1</f>
        <v>1</v>
      </c>
      <c r="DA1359" s="5" t="s">
        <v>673</v>
      </c>
      <c r="DB1359" s="5" t="s">
        <v>238</v>
      </c>
      <c r="DD1359" s="5" t="s">
        <v>673</v>
      </c>
      <c r="DE1359" s="8">
        <f>2476</f>
        <v>2476</v>
      </c>
      <c r="DG1359" s="5" t="s">
        <v>238</v>
      </c>
      <c r="DH1359" s="5" t="s">
        <v>238</v>
      </c>
      <c r="DI1359" s="5" t="s">
        <v>238</v>
      </c>
      <c r="DJ1359" s="5" t="s">
        <v>238</v>
      </c>
      <c r="DN1359" s="5" t="s">
        <v>238</v>
      </c>
      <c r="DO1359" s="5" t="s">
        <v>238</v>
      </c>
      <c r="DP1359" s="5" t="s">
        <v>238</v>
      </c>
      <c r="DQ1359" s="5" t="s">
        <v>238</v>
      </c>
      <c r="DT1359" s="5" t="s">
        <v>2039</v>
      </c>
      <c r="DU1359" s="5" t="s">
        <v>2579</v>
      </c>
      <c r="HM1359" s="5" t="s">
        <v>264</v>
      </c>
    </row>
    <row r="1360" spans="1:221" x14ac:dyDescent="0.4">
      <c r="A1360" s="5">
        <v>3035</v>
      </c>
      <c r="B1360" s="5">
        <v>1</v>
      </c>
      <c r="C1360" s="5">
        <v>1</v>
      </c>
      <c r="D1360" s="5" t="s">
        <v>2037</v>
      </c>
      <c r="E1360" s="5" t="s">
        <v>271</v>
      </c>
      <c r="F1360" s="5" t="s">
        <v>248</v>
      </c>
      <c r="G1360" s="5" t="s">
        <v>1969</v>
      </c>
      <c r="H1360" s="6" t="s">
        <v>2576</v>
      </c>
      <c r="I1360" s="7">
        <f>2822</f>
        <v>2822</v>
      </c>
      <c r="J1360" s="5" t="s">
        <v>262</v>
      </c>
      <c r="K1360" s="8">
        <f>1</f>
        <v>1</v>
      </c>
      <c r="L1360" s="6" t="s">
        <v>242</v>
      </c>
      <c r="M1360" s="5" t="s">
        <v>267</v>
      </c>
      <c r="N1360" s="5" t="s">
        <v>265</v>
      </c>
      <c r="O1360" s="5" t="s">
        <v>238</v>
      </c>
      <c r="P1360" s="5" t="s">
        <v>238</v>
      </c>
      <c r="Q1360" s="5" t="s">
        <v>268</v>
      </c>
      <c r="R1360" s="5" t="s">
        <v>270</v>
      </c>
      <c r="S1360" s="5" t="s">
        <v>238</v>
      </c>
      <c r="V1360" s="5" t="s">
        <v>238</v>
      </c>
      <c r="X1360" s="6" t="s">
        <v>238</v>
      </c>
      <c r="AA1360" s="6" t="s">
        <v>243</v>
      </c>
      <c r="AB1360" s="5" t="s">
        <v>238</v>
      </c>
      <c r="AC1360" s="5" t="s">
        <v>244</v>
      </c>
      <c r="AD1360" s="5" t="s">
        <v>245</v>
      </c>
      <c r="AT1360" s="5" t="s">
        <v>246</v>
      </c>
      <c r="AU1360" s="5" t="s">
        <v>238</v>
      </c>
      <c r="AV1360" s="5" t="s">
        <v>247</v>
      </c>
      <c r="AW1360" s="5" t="s">
        <v>238</v>
      </c>
      <c r="AX1360" s="5" t="s">
        <v>249</v>
      </c>
      <c r="AY1360" s="5" t="s">
        <v>238</v>
      </c>
      <c r="BA1360" s="5" t="s">
        <v>238</v>
      </c>
      <c r="BC1360" s="5" t="s">
        <v>250</v>
      </c>
      <c r="BD1360" s="6" t="s">
        <v>243</v>
      </c>
      <c r="BE1360" s="5" t="s">
        <v>251</v>
      </c>
      <c r="BF1360" s="5" t="s">
        <v>252</v>
      </c>
      <c r="BG1360" s="5" t="s">
        <v>238</v>
      </c>
      <c r="BH1360" s="7">
        <f>0</f>
        <v>0</v>
      </c>
      <c r="BI1360" s="8">
        <f>0</f>
        <v>0</v>
      </c>
      <c r="BJ1360" s="5" t="s">
        <v>253</v>
      </c>
      <c r="BK1360" s="5" t="s">
        <v>254</v>
      </c>
      <c r="BY1360" s="5" t="s">
        <v>238</v>
      </c>
      <c r="BZ1360" s="5" t="s">
        <v>238</v>
      </c>
      <c r="CD1360" s="5" t="s">
        <v>273</v>
      </c>
      <c r="CE1360" s="5" t="s">
        <v>256</v>
      </c>
      <c r="CF1360" s="5" t="s">
        <v>238</v>
      </c>
      <c r="CI1360" s="6" t="s">
        <v>257</v>
      </c>
      <c r="CJ1360" s="5" t="s">
        <v>238</v>
      </c>
      <c r="CK1360" s="5" t="s">
        <v>258</v>
      </c>
      <c r="CL1360" s="5" t="s">
        <v>238</v>
      </c>
      <c r="CM1360" s="5" t="s">
        <v>238</v>
      </c>
      <c r="CN1360" s="5">
        <v>0</v>
      </c>
      <c r="CO1360" s="5" t="s">
        <v>259</v>
      </c>
      <c r="CP1360" s="5" t="s">
        <v>260</v>
      </c>
      <c r="CQ1360" s="5" t="s">
        <v>260</v>
      </c>
      <c r="CR1360" s="5" t="s">
        <v>261</v>
      </c>
      <c r="CU1360" s="8">
        <f>1</f>
        <v>1</v>
      </c>
      <c r="CV1360" s="8">
        <f>0</f>
        <v>0</v>
      </c>
      <c r="CX1360" s="8">
        <f>0</f>
        <v>0</v>
      </c>
      <c r="CY1360" s="8">
        <f>1</f>
        <v>1</v>
      </c>
      <c r="DA1360" s="5" t="s">
        <v>673</v>
      </c>
      <c r="DB1360" s="5" t="s">
        <v>238</v>
      </c>
      <c r="DD1360" s="5" t="s">
        <v>673</v>
      </c>
      <c r="DE1360" s="8">
        <f>2822</f>
        <v>2822</v>
      </c>
      <c r="DG1360" s="5" t="s">
        <v>238</v>
      </c>
      <c r="DH1360" s="5" t="s">
        <v>238</v>
      </c>
      <c r="DI1360" s="5" t="s">
        <v>238</v>
      </c>
      <c r="DJ1360" s="5" t="s">
        <v>238</v>
      </c>
      <c r="DN1360" s="5" t="s">
        <v>238</v>
      </c>
      <c r="DO1360" s="5" t="s">
        <v>238</v>
      </c>
      <c r="DP1360" s="5" t="s">
        <v>238</v>
      </c>
      <c r="DQ1360" s="5" t="s">
        <v>238</v>
      </c>
      <c r="DT1360" s="5" t="s">
        <v>2039</v>
      </c>
      <c r="DU1360" s="5" t="s">
        <v>2577</v>
      </c>
      <c r="HM1360" s="5" t="s">
        <v>264</v>
      </c>
    </row>
    <row r="1361" spans="1:221" x14ac:dyDescent="0.4">
      <c r="A1361" s="5">
        <v>3036</v>
      </c>
      <c r="B1361" s="5">
        <v>1</v>
      </c>
      <c r="C1361" s="5">
        <v>1</v>
      </c>
      <c r="D1361" s="5" t="s">
        <v>2037</v>
      </c>
      <c r="E1361" s="5" t="s">
        <v>271</v>
      </c>
      <c r="F1361" s="5" t="s">
        <v>248</v>
      </c>
      <c r="G1361" s="5" t="s">
        <v>1969</v>
      </c>
      <c r="H1361" s="6" t="s">
        <v>2574</v>
      </c>
      <c r="I1361" s="7">
        <f>2504</f>
        <v>2504</v>
      </c>
      <c r="J1361" s="5" t="s">
        <v>262</v>
      </c>
      <c r="K1361" s="8">
        <f>1</f>
        <v>1</v>
      </c>
      <c r="L1361" s="6" t="s">
        <v>242</v>
      </c>
      <c r="M1361" s="5" t="s">
        <v>267</v>
      </c>
      <c r="N1361" s="5" t="s">
        <v>265</v>
      </c>
      <c r="O1361" s="5" t="s">
        <v>238</v>
      </c>
      <c r="P1361" s="5" t="s">
        <v>238</v>
      </c>
      <c r="Q1361" s="5" t="s">
        <v>268</v>
      </c>
      <c r="R1361" s="5" t="s">
        <v>270</v>
      </c>
      <c r="S1361" s="5" t="s">
        <v>238</v>
      </c>
      <c r="V1361" s="5" t="s">
        <v>238</v>
      </c>
      <c r="X1361" s="6" t="s">
        <v>238</v>
      </c>
      <c r="AA1361" s="6" t="s">
        <v>243</v>
      </c>
      <c r="AB1361" s="5" t="s">
        <v>238</v>
      </c>
      <c r="AC1361" s="5" t="s">
        <v>244</v>
      </c>
      <c r="AD1361" s="5" t="s">
        <v>245</v>
      </c>
      <c r="AT1361" s="5" t="s">
        <v>246</v>
      </c>
      <c r="AU1361" s="5" t="s">
        <v>238</v>
      </c>
      <c r="AV1361" s="5" t="s">
        <v>247</v>
      </c>
      <c r="AW1361" s="5" t="s">
        <v>238</v>
      </c>
      <c r="AX1361" s="5" t="s">
        <v>249</v>
      </c>
      <c r="AY1361" s="5" t="s">
        <v>238</v>
      </c>
      <c r="BA1361" s="5" t="s">
        <v>238</v>
      </c>
      <c r="BC1361" s="5" t="s">
        <v>250</v>
      </c>
      <c r="BD1361" s="6" t="s">
        <v>243</v>
      </c>
      <c r="BE1361" s="5" t="s">
        <v>251</v>
      </c>
      <c r="BF1361" s="5" t="s">
        <v>252</v>
      </c>
      <c r="BG1361" s="5" t="s">
        <v>238</v>
      </c>
      <c r="BH1361" s="7">
        <f>0</f>
        <v>0</v>
      </c>
      <c r="BI1361" s="8">
        <f>0</f>
        <v>0</v>
      </c>
      <c r="BJ1361" s="5" t="s">
        <v>253</v>
      </c>
      <c r="BK1361" s="5" t="s">
        <v>254</v>
      </c>
      <c r="BY1361" s="5" t="s">
        <v>238</v>
      </c>
      <c r="BZ1361" s="5" t="s">
        <v>238</v>
      </c>
      <c r="CD1361" s="5" t="s">
        <v>273</v>
      </c>
      <c r="CE1361" s="5" t="s">
        <v>256</v>
      </c>
      <c r="CF1361" s="5" t="s">
        <v>238</v>
      </c>
      <c r="CI1361" s="6" t="s">
        <v>257</v>
      </c>
      <c r="CJ1361" s="5" t="s">
        <v>238</v>
      </c>
      <c r="CK1361" s="5" t="s">
        <v>258</v>
      </c>
      <c r="CL1361" s="5" t="s">
        <v>238</v>
      </c>
      <c r="CM1361" s="5" t="s">
        <v>238</v>
      </c>
      <c r="CN1361" s="5">
        <v>0</v>
      </c>
      <c r="CO1361" s="5" t="s">
        <v>259</v>
      </c>
      <c r="CP1361" s="5" t="s">
        <v>260</v>
      </c>
      <c r="CQ1361" s="5" t="s">
        <v>260</v>
      </c>
      <c r="CR1361" s="5" t="s">
        <v>261</v>
      </c>
      <c r="CU1361" s="8">
        <f>1</f>
        <v>1</v>
      </c>
      <c r="CV1361" s="8">
        <f>0</f>
        <v>0</v>
      </c>
      <c r="CX1361" s="8">
        <f>0</f>
        <v>0</v>
      </c>
      <c r="CY1361" s="8">
        <f>1</f>
        <v>1</v>
      </c>
      <c r="DA1361" s="5" t="s">
        <v>673</v>
      </c>
      <c r="DB1361" s="5" t="s">
        <v>238</v>
      </c>
      <c r="DD1361" s="5" t="s">
        <v>673</v>
      </c>
      <c r="DE1361" s="8">
        <f>2504</f>
        <v>2504</v>
      </c>
      <c r="DG1361" s="5" t="s">
        <v>238</v>
      </c>
      <c r="DH1361" s="5" t="s">
        <v>238</v>
      </c>
      <c r="DI1361" s="5" t="s">
        <v>238</v>
      </c>
      <c r="DJ1361" s="5" t="s">
        <v>238</v>
      </c>
      <c r="DN1361" s="5" t="s">
        <v>238</v>
      </c>
      <c r="DO1361" s="5" t="s">
        <v>238</v>
      </c>
      <c r="DP1361" s="5" t="s">
        <v>238</v>
      </c>
      <c r="DQ1361" s="5" t="s">
        <v>238</v>
      </c>
      <c r="DT1361" s="5" t="s">
        <v>2039</v>
      </c>
      <c r="DU1361" s="5" t="s">
        <v>2575</v>
      </c>
      <c r="HM1361" s="5" t="s">
        <v>264</v>
      </c>
    </row>
    <row r="1362" spans="1:221" x14ac:dyDescent="0.4">
      <c r="A1362" s="5">
        <v>3037</v>
      </c>
      <c r="B1362" s="5">
        <v>1</v>
      </c>
      <c r="C1362" s="5">
        <v>1</v>
      </c>
      <c r="D1362" s="5" t="s">
        <v>2037</v>
      </c>
      <c r="E1362" s="5" t="s">
        <v>271</v>
      </c>
      <c r="F1362" s="5" t="s">
        <v>248</v>
      </c>
      <c r="G1362" s="5" t="s">
        <v>1969</v>
      </c>
      <c r="H1362" s="6" t="s">
        <v>2572</v>
      </c>
      <c r="I1362" s="7">
        <f>742</f>
        <v>742</v>
      </c>
      <c r="J1362" s="5" t="s">
        <v>262</v>
      </c>
      <c r="K1362" s="8">
        <f>1</f>
        <v>1</v>
      </c>
      <c r="L1362" s="6" t="s">
        <v>242</v>
      </c>
      <c r="M1362" s="5" t="s">
        <v>267</v>
      </c>
      <c r="N1362" s="5" t="s">
        <v>265</v>
      </c>
      <c r="O1362" s="5" t="s">
        <v>238</v>
      </c>
      <c r="P1362" s="5" t="s">
        <v>238</v>
      </c>
      <c r="Q1362" s="5" t="s">
        <v>268</v>
      </c>
      <c r="R1362" s="5" t="s">
        <v>270</v>
      </c>
      <c r="S1362" s="5" t="s">
        <v>238</v>
      </c>
      <c r="V1362" s="5" t="s">
        <v>238</v>
      </c>
      <c r="X1362" s="6" t="s">
        <v>238</v>
      </c>
      <c r="AA1362" s="6" t="s">
        <v>243</v>
      </c>
      <c r="AB1362" s="5" t="s">
        <v>238</v>
      </c>
      <c r="AC1362" s="5" t="s">
        <v>244</v>
      </c>
      <c r="AD1362" s="5" t="s">
        <v>245</v>
      </c>
      <c r="AT1362" s="5" t="s">
        <v>246</v>
      </c>
      <c r="AU1362" s="5" t="s">
        <v>238</v>
      </c>
      <c r="AV1362" s="5" t="s">
        <v>247</v>
      </c>
      <c r="AW1362" s="5" t="s">
        <v>238</v>
      </c>
      <c r="AX1362" s="5" t="s">
        <v>249</v>
      </c>
      <c r="AY1362" s="5" t="s">
        <v>238</v>
      </c>
      <c r="BA1362" s="5" t="s">
        <v>238</v>
      </c>
      <c r="BC1362" s="5" t="s">
        <v>250</v>
      </c>
      <c r="BD1362" s="6" t="s">
        <v>243</v>
      </c>
      <c r="BE1362" s="5" t="s">
        <v>251</v>
      </c>
      <c r="BF1362" s="5" t="s">
        <v>252</v>
      </c>
      <c r="BG1362" s="5" t="s">
        <v>238</v>
      </c>
      <c r="BH1362" s="7">
        <f>0</f>
        <v>0</v>
      </c>
      <c r="BI1362" s="8">
        <f>0</f>
        <v>0</v>
      </c>
      <c r="BJ1362" s="5" t="s">
        <v>253</v>
      </c>
      <c r="BK1362" s="5" t="s">
        <v>254</v>
      </c>
      <c r="BY1362" s="5" t="s">
        <v>238</v>
      </c>
      <c r="BZ1362" s="5" t="s">
        <v>238</v>
      </c>
      <c r="CD1362" s="5" t="s">
        <v>273</v>
      </c>
      <c r="CE1362" s="5" t="s">
        <v>256</v>
      </c>
      <c r="CF1362" s="5" t="s">
        <v>238</v>
      </c>
      <c r="CI1362" s="6" t="s">
        <v>257</v>
      </c>
      <c r="CJ1362" s="5" t="s">
        <v>238</v>
      </c>
      <c r="CK1362" s="5" t="s">
        <v>258</v>
      </c>
      <c r="CL1362" s="5" t="s">
        <v>238</v>
      </c>
      <c r="CM1362" s="5" t="s">
        <v>238</v>
      </c>
      <c r="CN1362" s="5">
        <v>0</v>
      </c>
      <c r="CO1362" s="5" t="s">
        <v>259</v>
      </c>
      <c r="CP1362" s="5" t="s">
        <v>260</v>
      </c>
      <c r="CQ1362" s="5" t="s">
        <v>260</v>
      </c>
      <c r="CR1362" s="5" t="s">
        <v>261</v>
      </c>
      <c r="CU1362" s="8">
        <f>1</f>
        <v>1</v>
      </c>
      <c r="CV1362" s="8">
        <f>0</f>
        <v>0</v>
      </c>
      <c r="CX1362" s="8">
        <f>0</f>
        <v>0</v>
      </c>
      <c r="CY1362" s="8">
        <f>1</f>
        <v>1</v>
      </c>
      <c r="DA1362" s="5" t="s">
        <v>673</v>
      </c>
      <c r="DB1362" s="5" t="s">
        <v>238</v>
      </c>
      <c r="DD1362" s="5" t="s">
        <v>673</v>
      </c>
      <c r="DE1362" s="8">
        <f>742</f>
        <v>742</v>
      </c>
      <c r="DG1362" s="5" t="s">
        <v>238</v>
      </c>
      <c r="DH1362" s="5" t="s">
        <v>238</v>
      </c>
      <c r="DI1362" s="5" t="s">
        <v>238</v>
      </c>
      <c r="DJ1362" s="5" t="s">
        <v>238</v>
      </c>
      <c r="DN1362" s="5" t="s">
        <v>238</v>
      </c>
      <c r="DO1362" s="5" t="s">
        <v>238</v>
      </c>
      <c r="DP1362" s="5" t="s">
        <v>238</v>
      </c>
      <c r="DQ1362" s="5" t="s">
        <v>238</v>
      </c>
      <c r="DT1362" s="5" t="s">
        <v>2039</v>
      </c>
      <c r="DU1362" s="5" t="s">
        <v>2573</v>
      </c>
      <c r="HM1362" s="5" t="s">
        <v>264</v>
      </c>
    </row>
    <row r="1363" spans="1:221" x14ac:dyDescent="0.4">
      <c r="A1363" s="5">
        <v>3038</v>
      </c>
      <c r="B1363" s="5">
        <v>1</v>
      </c>
      <c r="C1363" s="5">
        <v>1</v>
      </c>
      <c r="D1363" s="5" t="s">
        <v>2037</v>
      </c>
      <c r="E1363" s="5" t="s">
        <v>271</v>
      </c>
      <c r="F1363" s="5" t="s">
        <v>248</v>
      </c>
      <c r="G1363" s="5" t="s">
        <v>1969</v>
      </c>
      <c r="H1363" s="6" t="s">
        <v>2570</v>
      </c>
      <c r="I1363" s="7">
        <f>8361</f>
        <v>8361</v>
      </c>
      <c r="J1363" s="5" t="s">
        <v>262</v>
      </c>
      <c r="K1363" s="8">
        <f>1</f>
        <v>1</v>
      </c>
      <c r="L1363" s="6" t="s">
        <v>242</v>
      </c>
      <c r="M1363" s="5" t="s">
        <v>267</v>
      </c>
      <c r="N1363" s="5" t="s">
        <v>265</v>
      </c>
      <c r="O1363" s="5" t="s">
        <v>238</v>
      </c>
      <c r="P1363" s="5" t="s">
        <v>238</v>
      </c>
      <c r="Q1363" s="5" t="s">
        <v>268</v>
      </c>
      <c r="R1363" s="5" t="s">
        <v>270</v>
      </c>
      <c r="S1363" s="5" t="s">
        <v>238</v>
      </c>
      <c r="V1363" s="5" t="s">
        <v>238</v>
      </c>
      <c r="X1363" s="6" t="s">
        <v>238</v>
      </c>
      <c r="AA1363" s="6" t="s">
        <v>243</v>
      </c>
      <c r="AB1363" s="5" t="s">
        <v>238</v>
      </c>
      <c r="AC1363" s="5" t="s">
        <v>244</v>
      </c>
      <c r="AD1363" s="5" t="s">
        <v>245</v>
      </c>
      <c r="AT1363" s="5" t="s">
        <v>246</v>
      </c>
      <c r="AU1363" s="5" t="s">
        <v>238</v>
      </c>
      <c r="AV1363" s="5" t="s">
        <v>247</v>
      </c>
      <c r="AW1363" s="5" t="s">
        <v>238</v>
      </c>
      <c r="AX1363" s="5" t="s">
        <v>249</v>
      </c>
      <c r="AY1363" s="5" t="s">
        <v>238</v>
      </c>
      <c r="BA1363" s="5" t="s">
        <v>238</v>
      </c>
      <c r="BC1363" s="5" t="s">
        <v>250</v>
      </c>
      <c r="BD1363" s="6" t="s">
        <v>243</v>
      </c>
      <c r="BE1363" s="5" t="s">
        <v>251</v>
      </c>
      <c r="BF1363" s="5" t="s">
        <v>252</v>
      </c>
      <c r="BG1363" s="5" t="s">
        <v>238</v>
      </c>
      <c r="BH1363" s="7">
        <f>0</f>
        <v>0</v>
      </c>
      <c r="BI1363" s="8">
        <f>0</f>
        <v>0</v>
      </c>
      <c r="BJ1363" s="5" t="s">
        <v>253</v>
      </c>
      <c r="BK1363" s="5" t="s">
        <v>254</v>
      </c>
      <c r="BY1363" s="5" t="s">
        <v>238</v>
      </c>
      <c r="BZ1363" s="5" t="s">
        <v>238</v>
      </c>
      <c r="CD1363" s="5" t="s">
        <v>273</v>
      </c>
      <c r="CE1363" s="5" t="s">
        <v>256</v>
      </c>
      <c r="CF1363" s="5" t="s">
        <v>238</v>
      </c>
      <c r="CI1363" s="6" t="s">
        <v>257</v>
      </c>
      <c r="CJ1363" s="5" t="s">
        <v>238</v>
      </c>
      <c r="CK1363" s="5" t="s">
        <v>258</v>
      </c>
      <c r="CL1363" s="5" t="s">
        <v>238</v>
      </c>
      <c r="CM1363" s="5" t="s">
        <v>238</v>
      </c>
      <c r="CN1363" s="5">
        <v>0</v>
      </c>
      <c r="CO1363" s="5" t="s">
        <v>259</v>
      </c>
      <c r="CP1363" s="5" t="s">
        <v>260</v>
      </c>
      <c r="CQ1363" s="5" t="s">
        <v>260</v>
      </c>
      <c r="CR1363" s="5" t="s">
        <v>261</v>
      </c>
      <c r="CU1363" s="8">
        <f>1</f>
        <v>1</v>
      </c>
      <c r="CV1363" s="8">
        <f>0</f>
        <v>0</v>
      </c>
      <c r="CX1363" s="8">
        <f>0</f>
        <v>0</v>
      </c>
      <c r="CY1363" s="8">
        <f>1</f>
        <v>1</v>
      </c>
      <c r="DA1363" s="5" t="s">
        <v>673</v>
      </c>
      <c r="DB1363" s="5" t="s">
        <v>238</v>
      </c>
      <c r="DD1363" s="5" t="s">
        <v>673</v>
      </c>
      <c r="DE1363" s="8">
        <f>8361</f>
        <v>8361</v>
      </c>
      <c r="DG1363" s="5" t="s">
        <v>238</v>
      </c>
      <c r="DH1363" s="5" t="s">
        <v>238</v>
      </c>
      <c r="DI1363" s="5" t="s">
        <v>238</v>
      </c>
      <c r="DJ1363" s="5" t="s">
        <v>238</v>
      </c>
      <c r="DN1363" s="5" t="s">
        <v>238</v>
      </c>
      <c r="DO1363" s="5" t="s">
        <v>238</v>
      </c>
      <c r="DP1363" s="5" t="s">
        <v>238</v>
      </c>
      <c r="DQ1363" s="5" t="s">
        <v>238</v>
      </c>
      <c r="DT1363" s="5" t="s">
        <v>2039</v>
      </c>
      <c r="DU1363" s="5" t="s">
        <v>2571</v>
      </c>
      <c r="HM1363" s="5" t="s">
        <v>264</v>
      </c>
    </row>
    <row r="1364" spans="1:221" x14ac:dyDescent="0.4">
      <c r="A1364" s="5">
        <v>3039</v>
      </c>
      <c r="B1364" s="5">
        <v>1</v>
      </c>
      <c r="C1364" s="5">
        <v>1</v>
      </c>
      <c r="D1364" s="5" t="s">
        <v>2037</v>
      </c>
      <c r="E1364" s="5" t="s">
        <v>271</v>
      </c>
      <c r="F1364" s="5" t="s">
        <v>248</v>
      </c>
      <c r="G1364" s="5" t="s">
        <v>1969</v>
      </c>
      <c r="H1364" s="6" t="s">
        <v>2568</v>
      </c>
      <c r="I1364" s="7">
        <f>1886</f>
        <v>1886</v>
      </c>
      <c r="J1364" s="5" t="s">
        <v>262</v>
      </c>
      <c r="K1364" s="8">
        <f>1</f>
        <v>1</v>
      </c>
      <c r="L1364" s="6" t="s">
        <v>242</v>
      </c>
      <c r="M1364" s="5" t="s">
        <v>267</v>
      </c>
      <c r="N1364" s="5" t="s">
        <v>265</v>
      </c>
      <c r="O1364" s="5" t="s">
        <v>238</v>
      </c>
      <c r="P1364" s="5" t="s">
        <v>238</v>
      </c>
      <c r="Q1364" s="5" t="s">
        <v>268</v>
      </c>
      <c r="R1364" s="5" t="s">
        <v>270</v>
      </c>
      <c r="S1364" s="5" t="s">
        <v>238</v>
      </c>
      <c r="V1364" s="5" t="s">
        <v>238</v>
      </c>
      <c r="X1364" s="6" t="s">
        <v>238</v>
      </c>
      <c r="AA1364" s="6" t="s">
        <v>243</v>
      </c>
      <c r="AB1364" s="5" t="s">
        <v>238</v>
      </c>
      <c r="AC1364" s="5" t="s">
        <v>244</v>
      </c>
      <c r="AD1364" s="5" t="s">
        <v>245</v>
      </c>
      <c r="AT1364" s="5" t="s">
        <v>246</v>
      </c>
      <c r="AU1364" s="5" t="s">
        <v>238</v>
      </c>
      <c r="AV1364" s="5" t="s">
        <v>247</v>
      </c>
      <c r="AW1364" s="5" t="s">
        <v>238</v>
      </c>
      <c r="AX1364" s="5" t="s">
        <v>249</v>
      </c>
      <c r="AY1364" s="5" t="s">
        <v>238</v>
      </c>
      <c r="BA1364" s="5" t="s">
        <v>238</v>
      </c>
      <c r="BC1364" s="5" t="s">
        <v>250</v>
      </c>
      <c r="BD1364" s="6" t="s">
        <v>243</v>
      </c>
      <c r="BE1364" s="5" t="s">
        <v>251</v>
      </c>
      <c r="BF1364" s="5" t="s">
        <v>252</v>
      </c>
      <c r="BG1364" s="5" t="s">
        <v>238</v>
      </c>
      <c r="BH1364" s="7">
        <f>0</f>
        <v>0</v>
      </c>
      <c r="BI1364" s="8">
        <f>0</f>
        <v>0</v>
      </c>
      <c r="BJ1364" s="5" t="s">
        <v>253</v>
      </c>
      <c r="BK1364" s="5" t="s">
        <v>254</v>
      </c>
      <c r="BY1364" s="5" t="s">
        <v>238</v>
      </c>
      <c r="BZ1364" s="5" t="s">
        <v>238</v>
      </c>
      <c r="CD1364" s="5" t="s">
        <v>273</v>
      </c>
      <c r="CE1364" s="5" t="s">
        <v>256</v>
      </c>
      <c r="CF1364" s="5" t="s">
        <v>238</v>
      </c>
      <c r="CI1364" s="6" t="s">
        <v>257</v>
      </c>
      <c r="CJ1364" s="5" t="s">
        <v>238</v>
      </c>
      <c r="CK1364" s="5" t="s">
        <v>258</v>
      </c>
      <c r="CL1364" s="5" t="s">
        <v>238</v>
      </c>
      <c r="CM1364" s="5" t="s">
        <v>238</v>
      </c>
      <c r="CN1364" s="5">
        <v>0</v>
      </c>
      <c r="CO1364" s="5" t="s">
        <v>259</v>
      </c>
      <c r="CP1364" s="5" t="s">
        <v>260</v>
      </c>
      <c r="CQ1364" s="5" t="s">
        <v>260</v>
      </c>
      <c r="CR1364" s="5" t="s">
        <v>261</v>
      </c>
      <c r="CU1364" s="8">
        <f>1</f>
        <v>1</v>
      </c>
      <c r="CV1364" s="8">
        <f>0</f>
        <v>0</v>
      </c>
      <c r="CX1364" s="8">
        <f>0</f>
        <v>0</v>
      </c>
      <c r="CY1364" s="8">
        <f>1</f>
        <v>1</v>
      </c>
      <c r="DA1364" s="5" t="s">
        <v>673</v>
      </c>
      <c r="DB1364" s="5" t="s">
        <v>238</v>
      </c>
      <c r="DD1364" s="5" t="s">
        <v>673</v>
      </c>
      <c r="DE1364" s="8">
        <f>1886</f>
        <v>1886</v>
      </c>
      <c r="DG1364" s="5" t="s">
        <v>238</v>
      </c>
      <c r="DH1364" s="5" t="s">
        <v>238</v>
      </c>
      <c r="DI1364" s="5" t="s">
        <v>238</v>
      </c>
      <c r="DJ1364" s="5" t="s">
        <v>238</v>
      </c>
      <c r="DN1364" s="5" t="s">
        <v>238</v>
      </c>
      <c r="DO1364" s="5" t="s">
        <v>238</v>
      </c>
      <c r="DP1364" s="5" t="s">
        <v>238</v>
      </c>
      <c r="DQ1364" s="5" t="s">
        <v>238</v>
      </c>
      <c r="DT1364" s="5" t="s">
        <v>2039</v>
      </c>
      <c r="DU1364" s="5" t="s">
        <v>2569</v>
      </c>
      <c r="HM1364" s="5" t="s">
        <v>264</v>
      </c>
    </row>
    <row r="1365" spans="1:221" x14ac:dyDescent="0.4">
      <c r="A1365" s="5">
        <v>3040</v>
      </c>
      <c r="B1365" s="5">
        <v>1</v>
      </c>
      <c r="C1365" s="5">
        <v>1</v>
      </c>
      <c r="D1365" s="5" t="s">
        <v>2037</v>
      </c>
      <c r="E1365" s="5" t="s">
        <v>271</v>
      </c>
      <c r="F1365" s="5" t="s">
        <v>248</v>
      </c>
      <c r="G1365" s="5" t="s">
        <v>1969</v>
      </c>
      <c r="H1365" s="6" t="s">
        <v>2566</v>
      </c>
      <c r="I1365" s="7">
        <f>2832</f>
        <v>2832</v>
      </c>
      <c r="J1365" s="5" t="s">
        <v>262</v>
      </c>
      <c r="K1365" s="8">
        <f>1</f>
        <v>1</v>
      </c>
      <c r="L1365" s="6" t="s">
        <v>242</v>
      </c>
      <c r="M1365" s="5" t="s">
        <v>267</v>
      </c>
      <c r="N1365" s="5" t="s">
        <v>265</v>
      </c>
      <c r="O1365" s="5" t="s">
        <v>238</v>
      </c>
      <c r="P1365" s="5" t="s">
        <v>238</v>
      </c>
      <c r="Q1365" s="5" t="s">
        <v>268</v>
      </c>
      <c r="R1365" s="5" t="s">
        <v>270</v>
      </c>
      <c r="S1365" s="5" t="s">
        <v>238</v>
      </c>
      <c r="V1365" s="5" t="s">
        <v>238</v>
      </c>
      <c r="X1365" s="6" t="s">
        <v>238</v>
      </c>
      <c r="AA1365" s="6" t="s">
        <v>243</v>
      </c>
      <c r="AB1365" s="5" t="s">
        <v>238</v>
      </c>
      <c r="AC1365" s="5" t="s">
        <v>244</v>
      </c>
      <c r="AD1365" s="5" t="s">
        <v>245</v>
      </c>
      <c r="AT1365" s="5" t="s">
        <v>246</v>
      </c>
      <c r="AU1365" s="5" t="s">
        <v>238</v>
      </c>
      <c r="AV1365" s="5" t="s">
        <v>247</v>
      </c>
      <c r="AW1365" s="5" t="s">
        <v>238</v>
      </c>
      <c r="AX1365" s="5" t="s">
        <v>249</v>
      </c>
      <c r="AY1365" s="5" t="s">
        <v>238</v>
      </c>
      <c r="BA1365" s="5" t="s">
        <v>238</v>
      </c>
      <c r="BC1365" s="5" t="s">
        <v>250</v>
      </c>
      <c r="BD1365" s="6" t="s">
        <v>243</v>
      </c>
      <c r="BE1365" s="5" t="s">
        <v>251</v>
      </c>
      <c r="BF1365" s="5" t="s">
        <v>252</v>
      </c>
      <c r="BG1365" s="5" t="s">
        <v>238</v>
      </c>
      <c r="BH1365" s="7">
        <f>0</f>
        <v>0</v>
      </c>
      <c r="BI1365" s="8">
        <f>0</f>
        <v>0</v>
      </c>
      <c r="BJ1365" s="5" t="s">
        <v>253</v>
      </c>
      <c r="BK1365" s="5" t="s">
        <v>254</v>
      </c>
      <c r="BY1365" s="5" t="s">
        <v>238</v>
      </c>
      <c r="BZ1365" s="5" t="s">
        <v>238</v>
      </c>
      <c r="CD1365" s="5" t="s">
        <v>273</v>
      </c>
      <c r="CE1365" s="5" t="s">
        <v>256</v>
      </c>
      <c r="CF1365" s="5" t="s">
        <v>238</v>
      </c>
      <c r="CI1365" s="6" t="s">
        <v>257</v>
      </c>
      <c r="CJ1365" s="5" t="s">
        <v>238</v>
      </c>
      <c r="CK1365" s="5" t="s">
        <v>258</v>
      </c>
      <c r="CL1365" s="5" t="s">
        <v>238</v>
      </c>
      <c r="CM1365" s="5" t="s">
        <v>238</v>
      </c>
      <c r="CN1365" s="5">
        <v>0</v>
      </c>
      <c r="CO1365" s="5" t="s">
        <v>259</v>
      </c>
      <c r="CP1365" s="5" t="s">
        <v>260</v>
      </c>
      <c r="CQ1365" s="5" t="s">
        <v>260</v>
      </c>
      <c r="CR1365" s="5" t="s">
        <v>261</v>
      </c>
      <c r="CU1365" s="8">
        <f>1</f>
        <v>1</v>
      </c>
      <c r="CV1365" s="8">
        <f>0</f>
        <v>0</v>
      </c>
      <c r="CX1365" s="8">
        <f>0</f>
        <v>0</v>
      </c>
      <c r="CY1365" s="8">
        <f>1</f>
        <v>1</v>
      </c>
      <c r="DA1365" s="5" t="s">
        <v>673</v>
      </c>
      <c r="DB1365" s="5" t="s">
        <v>238</v>
      </c>
      <c r="DD1365" s="5" t="s">
        <v>673</v>
      </c>
      <c r="DE1365" s="8">
        <f>2832</f>
        <v>2832</v>
      </c>
      <c r="DG1365" s="5" t="s">
        <v>238</v>
      </c>
      <c r="DH1365" s="5" t="s">
        <v>238</v>
      </c>
      <c r="DI1365" s="5" t="s">
        <v>238</v>
      </c>
      <c r="DJ1365" s="5" t="s">
        <v>238</v>
      </c>
      <c r="DN1365" s="5" t="s">
        <v>238</v>
      </c>
      <c r="DO1365" s="5" t="s">
        <v>238</v>
      </c>
      <c r="DP1365" s="5" t="s">
        <v>238</v>
      </c>
      <c r="DQ1365" s="5" t="s">
        <v>238</v>
      </c>
      <c r="DT1365" s="5" t="s">
        <v>2039</v>
      </c>
      <c r="DU1365" s="5" t="s">
        <v>2567</v>
      </c>
      <c r="HM1365" s="5" t="s">
        <v>264</v>
      </c>
    </row>
    <row r="1366" spans="1:221" x14ac:dyDescent="0.4">
      <c r="A1366" s="5">
        <v>3041</v>
      </c>
      <c r="B1366" s="5">
        <v>1</v>
      </c>
      <c r="C1366" s="5">
        <v>1</v>
      </c>
      <c r="D1366" s="5" t="s">
        <v>2037</v>
      </c>
      <c r="E1366" s="5" t="s">
        <v>271</v>
      </c>
      <c r="F1366" s="5" t="s">
        <v>248</v>
      </c>
      <c r="G1366" s="5" t="s">
        <v>1969</v>
      </c>
      <c r="H1366" s="6" t="s">
        <v>2564</v>
      </c>
      <c r="I1366" s="7">
        <f>2345</f>
        <v>2345</v>
      </c>
      <c r="J1366" s="5" t="s">
        <v>262</v>
      </c>
      <c r="K1366" s="8">
        <f>1</f>
        <v>1</v>
      </c>
      <c r="L1366" s="6" t="s">
        <v>242</v>
      </c>
      <c r="M1366" s="5" t="s">
        <v>267</v>
      </c>
      <c r="N1366" s="5" t="s">
        <v>265</v>
      </c>
      <c r="O1366" s="5" t="s">
        <v>238</v>
      </c>
      <c r="P1366" s="5" t="s">
        <v>238</v>
      </c>
      <c r="Q1366" s="5" t="s">
        <v>268</v>
      </c>
      <c r="R1366" s="5" t="s">
        <v>270</v>
      </c>
      <c r="S1366" s="5" t="s">
        <v>238</v>
      </c>
      <c r="V1366" s="5" t="s">
        <v>238</v>
      </c>
      <c r="X1366" s="6" t="s">
        <v>238</v>
      </c>
      <c r="AA1366" s="6" t="s">
        <v>243</v>
      </c>
      <c r="AB1366" s="5" t="s">
        <v>238</v>
      </c>
      <c r="AC1366" s="5" t="s">
        <v>244</v>
      </c>
      <c r="AD1366" s="5" t="s">
        <v>245</v>
      </c>
      <c r="AT1366" s="5" t="s">
        <v>246</v>
      </c>
      <c r="AU1366" s="5" t="s">
        <v>238</v>
      </c>
      <c r="AV1366" s="5" t="s">
        <v>247</v>
      </c>
      <c r="AW1366" s="5" t="s">
        <v>238</v>
      </c>
      <c r="AX1366" s="5" t="s">
        <v>249</v>
      </c>
      <c r="AY1366" s="5" t="s">
        <v>238</v>
      </c>
      <c r="BA1366" s="5" t="s">
        <v>238</v>
      </c>
      <c r="BC1366" s="5" t="s">
        <v>250</v>
      </c>
      <c r="BD1366" s="6" t="s">
        <v>243</v>
      </c>
      <c r="BE1366" s="5" t="s">
        <v>251</v>
      </c>
      <c r="BF1366" s="5" t="s">
        <v>252</v>
      </c>
      <c r="BG1366" s="5" t="s">
        <v>238</v>
      </c>
      <c r="BH1366" s="7">
        <f>0</f>
        <v>0</v>
      </c>
      <c r="BI1366" s="8">
        <f>0</f>
        <v>0</v>
      </c>
      <c r="BJ1366" s="5" t="s">
        <v>253</v>
      </c>
      <c r="BK1366" s="5" t="s">
        <v>254</v>
      </c>
      <c r="BY1366" s="5" t="s">
        <v>238</v>
      </c>
      <c r="BZ1366" s="5" t="s">
        <v>238</v>
      </c>
      <c r="CD1366" s="5" t="s">
        <v>273</v>
      </c>
      <c r="CE1366" s="5" t="s">
        <v>256</v>
      </c>
      <c r="CF1366" s="5" t="s">
        <v>238</v>
      </c>
      <c r="CI1366" s="6" t="s">
        <v>257</v>
      </c>
      <c r="CJ1366" s="5" t="s">
        <v>238</v>
      </c>
      <c r="CK1366" s="5" t="s">
        <v>258</v>
      </c>
      <c r="CL1366" s="5" t="s">
        <v>238</v>
      </c>
      <c r="CM1366" s="5" t="s">
        <v>238</v>
      </c>
      <c r="CN1366" s="5">
        <v>0</v>
      </c>
      <c r="CO1366" s="5" t="s">
        <v>259</v>
      </c>
      <c r="CP1366" s="5" t="s">
        <v>260</v>
      </c>
      <c r="CQ1366" s="5" t="s">
        <v>260</v>
      </c>
      <c r="CR1366" s="5" t="s">
        <v>261</v>
      </c>
      <c r="CU1366" s="8">
        <f>1</f>
        <v>1</v>
      </c>
      <c r="CV1366" s="8">
        <f>0</f>
        <v>0</v>
      </c>
      <c r="CX1366" s="8">
        <f>0</f>
        <v>0</v>
      </c>
      <c r="CY1366" s="8">
        <f>1</f>
        <v>1</v>
      </c>
      <c r="DA1366" s="5" t="s">
        <v>673</v>
      </c>
      <c r="DB1366" s="5" t="s">
        <v>238</v>
      </c>
      <c r="DD1366" s="5" t="s">
        <v>673</v>
      </c>
      <c r="DE1366" s="8">
        <f>2345</f>
        <v>2345</v>
      </c>
      <c r="DG1366" s="5" t="s">
        <v>238</v>
      </c>
      <c r="DH1366" s="5" t="s">
        <v>238</v>
      </c>
      <c r="DI1366" s="5" t="s">
        <v>238</v>
      </c>
      <c r="DJ1366" s="5" t="s">
        <v>238</v>
      </c>
      <c r="DN1366" s="5" t="s">
        <v>238</v>
      </c>
      <c r="DO1366" s="5" t="s">
        <v>238</v>
      </c>
      <c r="DP1366" s="5" t="s">
        <v>238</v>
      </c>
      <c r="DQ1366" s="5" t="s">
        <v>238</v>
      </c>
      <c r="DT1366" s="5" t="s">
        <v>2039</v>
      </c>
      <c r="DU1366" s="5" t="s">
        <v>2565</v>
      </c>
      <c r="HM1366" s="5" t="s">
        <v>264</v>
      </c>
    </row>
    <row r="1367" spans="1:221" x14ac:dyDescent="0.4">
      <c r="A1367" s="5">
        <v>3042</v>
      </c>
      <c r="B1367" s="5">
        <v>1</v>
      </c>
      <c r="C1367" s="5">
        <v>1</v>
      </c>
      <c r="D1367" s="5" t="s">
        <v>2037</v>
      </c>
      <c r="E1367" s="5" t="s">
        <v>271</v>
      </c>
      <c r="F1367" s="5" t="s">
        <v>248</v>
      </c>
      <c r="G1367" s="5" t="s">
        <v>1969</v>
      </c>
      <c r="H1367" s="6" t="s">
        <v>2562</v>
      </c>
      <c r="I1367" s="7">
        <f>1989</f>
        <v>1989</v>
      </c>
      <c r="J1367" s="5" t="s">
        <v>262</v>
      </c>
      <c r="K1367" s="8">
        <f>1</f>
        <v>1</v>
      </c>
      <c r="L1367" s="6" t="s">
        <v>242</v>
      </c>
      <c r="M1367" s="5" t="s">
        <v>267</v>
      </c>
      <c r="N1367" s="5" t="s">
        <v>265</v>
      </c>
      <c r="O1367" s="5" t="s">
        <v>238</v>
      </c>
      <c r="P1367" s="5" t="s">
        <v>238</v>
      </c>
      <c r="Q1367" s="5" t="s">
        <v>268</v>
      </c>
      <c r="R1367" s="5" t="s">
        <v>270</v>
      </c>
      <c r="S1367" s="5" t="s">
        <v>238</v>
      </c>
      <c r="V1367" s="5" t="s">
        <v>238</v>
      </c>
      <c r="X1367" s="6" t="s">
        <v>238</v>
      </c>
      <c r="AA1367" s="6" t="s">
        <v>243</v>
      </c>
      <c r="AB1367" s="5" t="s">
        <v>238</v>
      </c>
      <c r="AC1367" s="5" t="s">
        <v>244</v>
      </c>
      <c r="AD1367" s="5" t="s">
        <v>245</v>
      </c>
      <c r="AT1367" s="5" t="s">
        <v>246</v>
      </c>
      <c r="AU1367" s="5" t="s">
        <v>238</v>
      </c>
      <c r="AV1367" s="5" t="s">
        <v>247</v>
      </c>
      <c r="AW1367" s="5" t="s">
        <v>238</v>
      </c>
      <c r="AX1367" s="5" t="s">
        <v>249</v>
      </c>
      <c r="AY1367" s="5" t="s">
        <v>238</v>
      </c>
      <c r="BA1367" s="5" t="s">
        <v>238</v>
      </c>
      <c r="BC1367" s="5" t="s">
        <v>250</v>
      </c>
      <c r="BD1367" s="6" t="s">
        <v>243</v>
      </c>
      <c r="BE1367" s="5" t="s">
        <v>251</v>
      </c>
      <c r="BF1367" s="5" t="s">
        <v>252</v>
      </c>
      <c r="BG1367" s="5" t="s">
        <v>238</v>
      </c>
      <c r="BH1367" s="7">
        <f>0</f>
        <v>0</v>
      </c>
      <c r="BI1367" s="8">
        <f>0</f>
        <v>0</v>
      </c>
      <c r="BJ1367" s="5" t="s">
        <v>253</v>
      </c>
      <c r="BK1367" s="5" t="s">
        <v>254</v>
      </c>
      <c r="BY1367" s="5" t="s">
        <v>238</v>
      </c>
      <c r="BZ1367" s="5" t="s">
        <v>238</v>
      </c>
      <c r="CD1367" s="5" t="s">
        <v>273</v>
      </c>
      <c r="CE1367" s="5" t="s">
        <v>256</v>
      </c>
      <c r="CF1367" s="5" t="s">
        <v>238</v>
      </c>
      <c r="CI1367" s="6" t="s">
        <v>257</v>
      </c>
      <c r="CJ1367" s="5" t="s">
        <v>238</v>
      </c>
      <c r="CK1367" s="5" t="s">
        <v>258</v>
      </c>
      <c r="CL1367" s="5" t="s">
        <v>238</v>
      </c>
      <c r="CM1367" s="5" t="s">
        <v>238</v>
      </c>
      <c r="CN1367" s="5">
        <v>0</v>
      </c>
      <c r="CO1367" s="5" t="s">
        <v>259</v>
      </c>
      <c r="CP1367" s="5" t="s">
        <v>260</v>
      </c>
      <c r="CQ1367" s="5" t="s">
        <v>260</v>
      </c>
      <c r="CR1367" s="5" t="s">
        <v>261</v>
      </c>
      <c r="CU1367" s="8">
        <f>1</f>
        <v>1</v>
      </c>
      <c r="CV1367" s="8">
        <f>0</f>
        <v>0</v>
      </c>
      <c r="CX1367" s="8">
        <f>0</f>
        <v>0</v>
      </c>
      <c r="CY1367" s="8">
        <f>1</f>
        <v>1</v>
      </c>
      <c r="DA1367" s="5" t="s">
        <v>673</v>
      </c>
      <c r="DB1367" s="5" t="s">
        <v>238</v>
      </c>
      <c r="DD1367" s="5" t="s">
        <v>673</v>
      </c>
      <c r="DE1367" s="8">
        <f>1989</f>
        <v>1989</v>
      </c>
      <c r="DG1367" s="5" t="s">
        <v>238</v>
      </c>
      <c r="DH1367" s="5" t="s">
        <v>238</v>
      </c>
      <c r="DI1367" s="5" t="s">
        <v>238</v>
      </c>
      <c r="DJ1367" s="5" t="s">
        <v>238</v>
      </c>
      <c r="DN1367" s="5" t="s">
        <v>238</v>
      </c>
      <c r="DO1367" s="5" t="s">
        <v>238</v>
      </c>
      <c r="DP1367" s="5" t="s">
        <v>238</v>
      </c>
      <c r="DQ1367" s="5" t="s">
        <v>238</v>
      </c>
      <c r="DT1367" s="5" t="s">
        <v>2039</v>
      </c>
      <c r="DU1367" s="5" t="s">
        <v>2563</v>
      </c>
      <c r="HM1367" s="5" t="s">
        <v>264</v>
      </c>
    </row>
    <row r="1368" spans="1:221" x14ac:dyDescent="0.4">
      <c r="A1368" s="5">
        <v>3043</v>
      </c>
      <c r="B1368" s="5">
        <v>1</v>
      </c>
      <c r="C1368" s="5">
        <v>1</v>
      </c>
      <c r="D1368" s="5" t="s">
        <v>2037</v>
      </c>
      <c r="E1368" s="5" t="s">
        <v>271</v>
      </c>
      <c r="F1368" s="5" t="s">
        <v>248</v>
      </c>
      <c r="G1368" s="5" t="s">
        <v>1969</v>
      </c>
      <c r="H1368" s="6" t="s">
        <v>2560</v>
      </c>
      <c r="I1368" s="7">
        <f>219</f>
        <v>219</v>
      </c>
      <c r="J1368" s="5" t="s">
        <v>262</v>
      </c>
      <c r="K1368" s="8">
        <f>1</f>
        <v>1</v>
      </c>
      <c r="L1368" s="6" t="s">
        <v>242</v>
      </c>
      <c r="M1368" s="5" t="s">
        <v>267</v>
      </c>
      <c r="N1368" s="5" t="s">
        <v>265</v>
      </c>
      <c r="O1368" s="5" t="s">
        <v>238</v>
      </c>
      <c r="P1368" s="5" t="s">
        <v>238</v>
      </c>
      <c r="Q1368" s="5" t="s">
        <v>268</v>
      </c>
      <c r="R1368" s="5" t="s">
        <v>270</v>
      </c>
      <c r="S1368" s="5" t="s">
        <v>238</v>
      </c>
      <c r="V1368" s="5" t="s">
        <v>238</v>
      </c>
      <c r="X1368" s="6" t="s">
        <v>238</v>
      </c>
      <c r="AA1368" s="6" t="s">
        <v>243</v>
      </c>
      <c r="AB1368" s="5" t="s">
        <v>238</v>
      </c>
      <c r="AC1368" s="5" t="s">
        <v>244</v>
      </c>
      <c r="AD1368" s="5" t="s">
        <v>245</v>
      </c>
      <c r="AT1368" s="5" t="s">
        <v>246</v>
      </c>
      <c r="AU1368" s="5" t="s">
        <v>238</v>
      </c>
      <c r="AV1368" s="5" t="s">
        <v>247</v>
      </c>
      <c r="AW1368" s="5" t="s">
        <v>238</v>
      </c>
      <c r="AX1368" s="5" t="s">
        <v>249</v>
      </c>
      <c r="AY1368" s="5" t="s">
        <v>238</v>
      </c>
      <c r="BA1368" s="5" t="s">
        <v>238</v>
      </c>
      <c r="BC1368" s="5" t="s">
        <v>250</v>
      </c>
      <c r="BD1368" s="6" t="s">
        <v>243</v>
      </c>
      <c r="BE1368" s="5" t="s">
        <v>251</v>
      </c>
      <c r="BF1368" s="5" t="s">
        <v>252</v>
      </c>
      <c r="BG1368" s="5" t="s">
        <v>238</v>
      </c>
      <c r="BH1368" s="7">
        <f>0</f>
        <v>0</v>
      </c>
      <c r="BI1368" s="8">
        <f>0</f>
        <v>0</v>
      </c>
      <c r="BJ1368" s="5" t="s">
        <v>253</v>
      </c>
      <c r="BK1368" s="5" t="s">
        <v>254</v>
      </c>
      <c r="BY1368" s="5" t="s">
        <v>238</v>
      </c>
      <c r="BZ1368" s="5" t="s">
        <v>238</v>
      </c>
      <c r="CD1368" s="5" t="s">
        <v>273</v>
      </c>
      <c r="CE1368" s="5" t="s">
        <v>256</v>
      </c>
      <c r="CF1368" s="5" t="s">
        <v>238</v>
      </c>
      <c r="CI1368" s="6" t="s">
        <v>257</v>
      </c>
      <c r="CJ1368" s="5" t="s">
        <v>238</v>
      </c>
      <c r="CK1368" s="5" t="s">
        <v>258</v>
      </c>
      <c r="CL1368" s="5" t="s">
        <v>238</v>
      </c>
      <c r="CM1368" s="5" t="s">
        <v>238</v>
      </c>
      <c r="CN1368" s="5">
        <v>0</v>
      </c>
      <c r="CO1368" s="5" t="s">
        <v>259</v>
      </c>
      <c r="CP1368" s="5" t="s">
        <v>260</v>
      </c>
      <c r="CQ1368" s="5" t="s">
        <v>260</v>
      </c>
      <c r="CR1368" s="5" t="s">
        <v>261</v>
      </c>
      <c r="CU1368" s="8">
        <f>1</f>
        <v>1</v>
      </c>
      <c r="CV1368" s="8">
        <f>0</f>
        <v>0</v>
      </c>
      <c r="CX1368" s="8">
        <f>0</f>
        <v>0</v>
      </c>
      <c r="CY1368" s="8">
        <f>1</f>
        <v>1</v>
      </c>
      <c r="DA1368" s="5" t="s">
        <v>673</v>
      </c>
      <c r="DB1368" s="5" t="s">
        <v>238</v>
      </c>
      <c r="DD1368" s="5" t="s">
        <v>673</v>
      </c>
      <c r="DE1368" s="8">
        <f>219</f>
        <v>219</v>
      </c>
      <c r="DG1368" s="5" t="s">
        <v>238</v>
      </c>
      <c r="DH1368" s="5" t="s">
        <v>238</v>
      </c>
      <c r="DI1368" s="5" t="s">
        <v>238</v>
      </c>
      <c r="DJ1368" s="5" t="s">
        <v>238</v>
      </c>
      <c r="DN1368" s="5" t="s">
        <v>238</v>
      </c>
      <c r="DO1368" s="5" t="s">
        <v>238</v>
      </c>
      <c r="DP1368" s="5" t="s">
        <v>238</v>
      </c>
      <c r="DQ1368" s="5" t="s">
        <v>238</v>
      </c>
      <c r="DT1368" s="5" t="s">
        <v>2039</v>
      </c>
      <c r="DU1368" s="5" t="s">
        <v>2561</v>
      </c>
      <c r="HM1368" s="5" t="s">
        <v>264</v>
      </c>
    </row>
    <row r="1369" spans="1:221" x14ac:dyDescent="0.4">
      <c r="A1369" s="5">
        <v>3044</v>
      </c>
      <c r="B1369" s="5">
        <v>1</v>
      </c>
      <c r="C1369" s="5">
        <v>1</v>
      </c>
      <c r="D1369" s="5" t="s">
        <v>2037</v>
      </c>
      <c r="E1369" s="5" t="s">
        <v>271</v>
      </c>
      <c r="F1369" s="5" t="s">
        <v>248</v>
      </c>
      <c r="G1369" s="5" t="s">
        <v>1969</v>
      </c>
      <c r="H1369" s="6" t="s">
        <v>2558</v>
      </c>
      <c r="I1369" s="7">
        <f>7676</f>
        <v>7676</v>
      </c>
      <c r="J1369" s="5" t="s">
        <v>262</v>
      </c>
      <c r="K1369" s="8">
        <f>1</f>
        <v>1</v>
      </c>
      <c r="L1369" s="6" t="s">
        <v>242</v>
      </c>
      <c r="M1369" s="5" t="s">
        <v>267</v>
      </c>
      <c r="N1369" s="5" t="s">
        <v>265</v>
      </c>
      <c r="O1369" s="5" t="s">
        <v>238</v>
      </c>
      <c r="P1369" s="5" t="s">
        <v>238</v>
      </c>
      <c r="Q1369" s="5" t="s">
        <v>268</v>
      </c>
      <c r="R1369" s="5" t="s">
        <v>270</v>
      </c>
      <c r="S1369" s="5" t="s">
        <v>238</v>
      </c>
      <c r="V1369" s="5" t="s">
        <v>238</v>
      </c>
      <c r="X1369" s="6" t="s">
        <v>238</v>
      </c>
      <c r="AA1369" s="6" t="s">
        <v>243</v>
      </c>
      <c r="AB1369" s="5" t="s">
        <v>238</v>
      </c>
      <c r="AC1369" s="5" t="s">
        <v>244</v>
      </c>
      <c r="AD1369" s="5" t="s">
        <v>245</v>
      </c>
      <c r="AT1369" s="5" t="s">
        <v>246</v>
      </c>
      <c r="AU1369" s="5" t="s">
        <v>238</v>
      </c>
      <c r="AV1369" s="5" t="s">
        <v>247</v>
      </c>
      <c r="AW1369" s="5" t="s">
        <v>238</v>
      </c>
      <c r="AX1369" s="5" t="s">
        <v>249</v>
      </c>
      <c r="AY1369" s="5" t="s">
        <v>238</v>
      </c>
      <c r="BA1369" s="5" t="s">
        <v>238</v>
      </c>
      <c r="BC1369" s="5" t="s">
        <v>250</v>
      </c>
      <c r="BD1369" s="6" t="s">
        <v>243</v>
      </c>
      <c r="BE1369" s="5" t="s">
        <v>251</v>
      </c>
      <c r="BF1369" s="5" t="s">
        <v>252</v>
      </c>
      <c r="BG1369" s="5" t="s">
        <v>238</v>
      </c>
      <c r="BH1369" s="7">
        <f>0</f>
        <v>0</v>
      </c>
      <c r="BI1369" s="8">
        <f>0</f>
        <v>0</v>
      </c>
      <c r="BJ1369" s="5" t="s">
        <v>253</v>
      </c>
      <c r="BK1369" s="5" t="s">
        <v>254</v>
      </c>
      <c r="BY1369" s="5" t="s">
        <v>238</v>
      </c>
      <c r="BZ1369" s="5" t="s">
        <v>238</v>
      </c>
      <c r="CD1369" s="5" t="s">
        <v>273</v>
      </c>
      <c r="CE1369" s="5" t="s">
        <v>256</v>
      </c>
      <c r="CF1369" s="5" t="s">
        <v>238</v>
      </c>
      <c r="CI1369" s="6" t="s">
        <v>257</v>
      </c>
      <c r="CJ1369" s="5" t="s">
        <v>238</v>
      </c>
      <c r="CK1369" s="5" t="s">
        <v>258</v>
      </c>
      <c r="CL1369" s="5" t="s">
        <v>238</v>
      </c>
      <c r="CM1369" s="5" t="s">
        <v>238</v>
      </c>
      <c r="CN1369" s="5">
        <v>0</v>
      </c>
      <c r="CO1369" s="5" t="s">
        <v>259</v>
      </c>
      <c r="CP1369" s="5" t="s">
        <v>260</v>
      </c>
      <c r="CQ1369" s="5" t="s">
        <v>260</v>
      </c>
      <c r="CR1369" s="5" t="s">
        <v>261</v>
      </c>
      <c r="CU1369" s="8">
        <f>1</f>
        <v>1</v>
      </c>
      <c r="CV1369" s="8">
        <f>0</f>
        <v>0</v>
      </c>
      <c r="CX1369" s="8">
        <f>0</f>
        <v>0</v>
      </c>
      <c r="CY1369" s="8">
        <f>1</f>
        <v>1</v>
      </c>
      <c r="DA1369" s="5" t="s">
        <v>673</v>
      </c>
      <c r="DB1369" s="5" t="s">
        <v>238</v>
      </c>
      <c r="DD1369" s="5" t="s">
        <v>673</v>
      </c>
      <c r="DE1369" s="8">
        <f>7676</f>
        <v>7676</v>
      </c>
      <c r="DG1369" s="5" t="s">
        <v>238</v>
      </c>
      <c r="DH1369" s="5" t="s">
        <v>238</v>
      </c>
      <c r="DI1369" s="5" t="s">
        <v>238</v>
      </c>
      <c r="DJ1369" s="5" t="s">
        <v>238</v>
      </c>
      <c r="DN1369" s="5" t="s">
        <v>238</v>
      </c>
      <c r="DO1369" s="5" t="s">
        <v>238</v>
      </c>
      <c r="DP1369" s="5" t="s">
        <v>238</v>
      </c>
      <c r="DQ1369" s="5" t="s">
        <v>238</v>
      </c>
      <c r="DT1369" s="5" t="s">
        <v>2039</v>
      </c>
      <c r="DU1369" s="5" t="s">
        <v>2559</v>
      </c>
      <c r="HM1369" s="5" t="s">
        <v>264</v>
      </c>
    </row>
    <row r="1370" spans="1:221" x14ac:dyDescent="0.4">
      <c r="A1370" s="5">
        <v>3045</v>
      </c>
      <c r="B1370" s="5">
        <v>1</v>
      </c>
      <c r="C1370" s="5">
        <v>1</v>
      </c>
      <c r="D1370" s="5" t="s">
        <v>2037</v>
      </c>
      <c r="E1370" s="5" t="s">
        <v>271</v>
      </c>
      <c r="F1370" s="5" t="s">
        <v>248</v>
      </c>
      <c r="G1370" s="5" t="s">
        <v>1969</v>
      </c>
      <c r="H1370" s="6" t="s">
        <v>2552</v>
      </c>
      <c r="I1370" s="7">
        <f>526</f>
        <v>526</v>
      </c>
      <c r="J1370" s="5" t="s">
        <v>262</v>
      </c>
      <c r="K1370" s="8">
        <f>1</f>
        <v>1</v>
      </c>
      <c r="L1370" s="6" t="s">
        <v>242</v>
      </c>
      <c r="M1370" s="5" t="s">
        <v>267</v>
      </c>
      <c r="N1370" s="5" t="s">
        <v>265</v>
      </c>
      <c r="O1370" s="5" t="s">
        <v>238</v>
      </c>
      <c r="P1370" s="5" t="s">
        <v>238</v>
      </c>
      <c r="Q1370" s="5" t="s">
        <v>268</v>
      </c>
      <c r="R1370" s="5" t="s">
        <v>270</v>
      </c>
      <c r="S1370" s="5" t="s">
        <v>238</v>
      </c>
      <c r="V1370" s="5" t="s">
        <v>238</v>
      </c>
      <c r="X1370" s="6" t="s">
        <v>238</v>
      </c>
      <c r="AA1370" s="6" t="s">
        <v>243</v>
      </c>
      <c r="AB1370" s="5" t="s">
        <v>238</v>
      </c>
      <c r="AC1370" s="5" t="s">
        <v>244</v>
      </c>
      <c r="AD1370" s="5" t="s">
        <v>245</v>
      </c>
      <c r="AT1370" s="5" t="s">
        <v>246</v>
      </c>
      <c r="AU1370" s="5" t="s">
        <v>238</v>
      </c>
      <c r="AV1370" s="5" t="s">
        <v>247</v>
      </c>
      <c r="AW1370" s="5" t="s">
        <v>238</v>
      </c>
      <c r="AX1370" s="5" t="s">
        <v>249</v>
      </c>
      <c r="AY1370" s="5" t="s">
        <v>238</v>
      </c>
      <c r="BA1370" s="5" t="s">
        <v>238</v>
      </c>
      <c r="BC1370" s="5" t="s">
        <v>250</v>
      </c>
      <c r="BD1370" s="6" t="s">
        <v>243</v>
      </c>
      <c r="BE1370" s="5" t="s">
        <v>251</v>
      </c>
      <c r="BF1370" s="5" t="s">
        <v>252</v>
      </c>
      <c r="BG1370" s="5" t="s">
        <v>238</v>
      </c>
      <c r="BH1370" s="7">
        <f>0</f>
        <v>0</v>
      </c>
      <c r="BI1370" s="8">
        <f>0</f>
        <v>0</v>
      </c>
      <c r="BJ1370" s="5" t="s">
        <v>253</v>
      </c>
      <c r="BK1370" s="5" t="s">
        <v>254</v>
      </c>
      <c r="BY1370" s="5" t="s">
        <v>238</v>
      </c>
      <c r="BZ1370" s="5" t="s">
        <v>238</v>
      </c>
      <c r="CD1370" s="5" t="s">
        <v>273</v>
      </c>
      <c r="CE1370" s="5" t="s">
        <v>256</v>
      </c>
      <c r="CF1370" s="5" t="s">
        <v>238</v>
      </c>
      <c r="CI1370" s="6" t="s">
        <v>257</v>
      </c>
      <c r="CJ1370" s="5" t="s">
        <v>238</v>
      </c>
      <c r="CK1370" s="5" t="s">
        <v>258</v>
      </c>
      <c r="CL1370" s="5" t="s">
        <v>238</v>
      </c>
      <c r="CM1370" s="5" t="s">
        <v>238</v>
      </c>
      <c r="CN1370" s="5">
        <v>0</v>
      </c>
      <c r="CO1370" s="5" t="s">
        <v>259</v>
      </c>
      <c r="CP1370" s="5" t="s">
        <v>260</v>
      </c>
      <c r="CQ1370" s="5" t="s">
        <v>260</v>
      </c>
      <c r="CR1370" s="5" t="s">
        <v>261</v>
      </c>
      <c r="CU1370" s="8">
        <f>1</f>
        <v>1</v>
      </c>
      <c r="CV1370" s="8">
        <f>0</f>
        <v>0</v>
      </c>
      <c r="CX1370" s="8">
        <f>0</f>
        <v>0</v>
      </c>
      <c r="CY1370" s="8">
        <f>1</f>
        <v>1</v>
      </c>
      <c r="DA1370" s="5" t="s">
        <v>673</v>
      </c>
      <c r="DB1370" s="5" t="s">
        <v>238</v>
      </c>
      <c r="DD1370" s="5" t="s">
        <v>673</v>
      </c>
      <c r="DE1370" s="8">
        <f>526</f>
        <v>526</v>
      </c>
      <c r="DG1370" s="5" t="s">
        <v>238</v>
      </c>
      <c r="DH1370" s="5" t="s">
        <v>238</v>
      </c>
      <c r="DI1370" s="5" t="s">
        <v>238</v>
      </c>
      <c r="DJ1370" s="5" t="s">
        <v>238</v>
      </c>
      <c r="DN1370" s="5" t="s">
        <v>238</v>
      </c>
      <c r="DO1370" s="5" t="s">
        <v>238</v>
      </c>
      <c r="DP1370" s="5" t="s">
        <v>238</v>
      </c>
      <c r="DQ1370" s="5" t="s">
        <v>238</v>
      </c>
      <c r="DT1370" s="5" t="s">
        <v>2039</v>
      </c>
      <c r="DU1370" s="5" t="s">
        <v>2553</v>
      </c>
      <c r="HM1370" s="5" t="s">
        <v>264</v>
      </c>
    </row>
    <row r="1371" spans="1:221" x14ac:dyDescent="0.4">
      <c r="A1371" s="5">
        <v>3046</v>
      </c>
      <c r="B1371" s="5">
        <v>1</v>
      </c>
      <c r="C1371" s="5">
        <v>1</v>
      </c>
      <c r="D1371" s="5" t="s">
        <v>2037</v>
      </c>
      <c r="E1371" s="5" t="s">
        <v>271</v>
      </c>
      <c r="F1371" s="5" t="s">
        <v>248</v>
      </c>
      <c r="G1371" s="5" t="s">
        <v>1969</v>
      </c>
      <c r="H1371" s="6" t="s">
        <v>2550</v>
      </c>
      <c r="I1371" s="7">
        <f>177</f>
        <v>177</v>
      </c>
      <c r="J1371" s="5" t="s">
        <v>262</v>
      </c>
      <c r="K1371" s="8">
        <f>1</f>
        <v>1</v>
      </c>
      <c r="L1371" s="6" t="s">
        <v>242</v>
      </c>
      <c r="M1371" s="5" t="s">
        <v>267</v>
      </c>
      <c r="N1371" s="5" t="s">
        <v>265</v>
      </c>
      <c r="O1371" s="5" t="s">
        <v>238</v>
      </c>
      <c r="P1371" s="5" t="s">
        <v>238</v>
      </c>
      <c r="Q1371" s="5" t="s">
        <v>268</v>
      </c>
      <c r="R1371" s="5" t="s">
        <v>270</v>
      </c>
      <c r="S1371" s="5" t="s">
        <v>238</v>
      </c>
      <c r="V1371" s="5" t="s">
        <v>238</v>
      </c>
      <c r="X1371" s="6" t="s">
        <v>238</v>
      </c>
      <c r="AA1371" s="6" t="s">
        <v>243</v>
      </c>
      <c r="AB1371" s="5" t="s">
        <v>238</v>
      </c>
      <c r="AC1371" s="5" t="s">
        <v>244</v>
      </c>
      <c r="AD1371" s="5" t="s">
        <v>245</v>
      </c>
      <c r="AT1371" s="5" t="s">
        <v>246</v>
      </c>
      <c r="AU1371" s="5" t="s">
        <v>238</v>
      </c>
      <c r="AV1371" s="5" t="s">
        <v>247</v>
      </c>
      <c r="AW1371" s="5" t="s">
        <v>238</v>
      </c>
      <c r="AX1371" s="5" t="s">
        <v>249</v>
      </c>
      <c r="AY1371" s="5" t="s">
        <v>238</v>
      </c>
      <c r="BA1371" s="5" t="s">
        <v>238</v>
      </c>
      <c r="BC1371" s="5" t="s">
        <v>250</v>
      </c>
      <c r="BD1371" s="6" t="s">
        <v>243</v>
      </c>
      <c r="BE1371" s="5" t="s">
        <v>251</v>
      </c>
      <c r="BF1371" s="5" t="s">
        <v>252</v>
      </c>
      <c r="BG1371" s="5" t="s">
        <v>238</v>
      </c>
      <c r="BH1371" s="7">
        <f>0</f>
        <v>0</v>
      </c>
      <c r="BI1371" s="8">
        <f>0</f>
        <v>0</v>
      </c>
      <c r="BJ1371" s="5" t="s">
        <v>253</v>
      </c>
      <c r="BK1371" s="5" t="s">
        <v>254</v>
      </c>
      <c r="BY1371" s="5" t="s">
        <v>238</v>
      </c>
      <c r="BZ1371" s="5" t="s">
        <v>238</v>
      </c>
      <c r="CD1371" s="5" t="s">
        <v>273</v>
      </c>
      <c r="CE1371" s="5" t="s">
        <v>256</v>
      </c>
      <c r="CF1371" s="5" t="s">
        <v>238</v>
      </c>
      <c r="CI1371" s="6" t="s">
        <v>257</v>
      </c>
      <c r="CJ1371" s="5" t="s">
        <v>238</v>
      </c>
      <c r="CK1371" s="5" t="s">
        <v>258</v>
      </c>
      <c r="CL1371" s="5" t="s">
        <v>238</v>
      </c>
      <c r="CM1371" s="5" t="s">
        <v>238</v>
      </c>
      <c r="CN1371" s="5">
        <v>0</v>
      </c>
      <c r="CO1371" s="5" t="s">
        <v>259</v>
      </c>
      <c r="CP1371" s="5" t="s">
        <v>260</v>
      </c>
      <c r="CQ1371" s="5" t="s">
        <v>260</v>
      </c>
      <c r="CR1371" s="5" t="s">
        <v>261</v>
      </c>
      <c r="CU1371" s="8">
        <f>1</f>
        <v>1</v>
      </c>
      <c r="CV1371" s="8">
        <f>0</f>
        <v>0</v>
      </c>
      <c r="CX1371" s="8">
        <f>0</f>
        <v>0</v>
      </c>
      <c r="CY1371" s="8">
        <f>1</f>
        <v>1</v>
      </c>
      <c r="DA1371" s="5" t="s">
        <v>673</v>
      </c>
      <c r="DB1371" s="5" t="s">
        <v>238</v>
      </c>
      <c r="DD1371" s="5" t="s">
        <v>673</v>
      </c>
      <c r="DE1371" s="8">
        <f>177</f>
        <v>177</v>
      </c>
      <c r="DG1371" s="5" t="s">
        <v>238</v>
      </c>
      <c r="DH1371" s="5" t="s">
        <v>238</v>
      </c>
      <c r="DI1371" s="5" t="s">
        <v>238</v>
      </c>
      <c r="DJ1371" s="5" t="s">
        <v>238</v>
      </c>
      <c r="DN1371" s="5" t="s">
        <v>238</v>
      </c>
      <c r="DO1371" s="5" t="s">
        <v>238</v>
      </c>
      <c r="DP1371" s="5" t="s">
        <v>238</v>
      </c>
      <c r="DQ1371" s="5" t="s">
        <v>238</v>
      </c>
      <c r="DT1371" s="5" t="s">
        <v>2039</v>
      </c>
      <c r="DU1371" s="5" t="s">
        <v>2551</v>
      </c>
      <c r="HM1371" s="5" t="s">
        <v>264</v>
      </c>
    </row>
    <row r="1372" spans="1:221" x14ac:dyDescent="0.4">
      <c r="A1372" s="5">
        <v>3047</v>
      </c>
      <c r="B1372" s="5">
        <v>1</v>
      </c>
      <c r="C1372" s="5">
        <v>1</v>
      </c>
      <c r="D1372" s="5" t="s">
        <v>2037</v>
      </c>
      <c r="E1372" s="5" t="s">
        <v>271</v>
      </c>
      <c r="F1372" s="5" t="s">
        <v>248</v>
      </c>
      <c r="G1372" s="5" t="s">
        <v>1969</v>
      </c>
      <c r="H1372" s="6" t="s">
        <v>2548</v>
      </c>
      <c r="I1372" s="7">
        <f>244</f>
        <v>244</v>
      </c>
      <c r="J1372" s="5" t="s">
        <v>262</v>
      </c>
      <c r="K1372" s="8">
        <f>1</f>
        <v>1</v>
      </c>
      <c r="L1372" s="6" t="s">
        <v>242</v>
      </c>
      <c r="M1372" s="5" t="s">
        <v>267</v>
      </c>
      <c r="N1372" s="5" t="s">
        <v>265</v>
      </c>
      <c r="O1372" s="5" t="s">
        <v>238</v>
      </c>
      <c r="P1372" s="5" t="s">
        <v>238</v>
      </c>
      <c r="Q1372" s="5" t="s">
        <v>268</v>
      </c>
      <c r="R1372" s="5" t="s">
        <v>270</v>
      </c>
      <c r="S1372" s="5" t="s">
        <v>238</v>
      </c>
      <c r="V1372" s="5" t="s">
        <v>238</v>
      </c>
      <c r="X1372" s="6" t="s">
        <v>238</v>
      </c>
      <c r="AA1372" s="6" t="s">
        <v>243</v>
      </c>
      <c r="AB1372" s="5" t="s">
        <v>238</v>
      </c>
      <c r="AC1372" s="5" t="s">
        <v>244</v>
      </c>
      <c r="AD1372" s="5" t="s">
        <v>245</v>
      </c>
      <c r="AT1372" s="5" t="s">
        <v>246</v>
      </c>
      <c r="AU1372" s="5" t="s">
        <v>238</v>
      </c>
      <c r="AV1372" s="5" t="s">
        <v>247</v>
      </c>
      <c r="AW1372" s="5" t="s">
        <v>238</v>
      </c>
      <c r="AX1372" s="5" t="s">
        <v>249</v>
      </c>
      <c r="AY1372" s="5" t="s">
        <v>238</v>
      </c>
      <c r="BA1372" s="5" t="s">
        <v>238</v>
      </c>
      <c r="BC1372" s="5" t="s">
        <v>250</v>
      </c>
      <c r="BD1372" s="6" t="s">
        <v>243</v>
      </c>
      <c r="BE1372" s="5" t="s">
        <v>251</v>
      </c>
      <c r="BF1372" s="5" t="s">
        <v>252</v>
      </c>
      <c r="BG1372" s="5" t="s">
        <v>238</v>
      </c>
      <c r="BH1372" s="7">
        <f>0</f>
        <v>0</v>
      </c>
      <c r="BI1372" s="8">
        <f>0</f>
        <v>0</v>
      </c>
      <c r="BJ1372" s="5" t="s">
        <v>253</v>
      </c>
      <c r="BK1372" s="5" t="s">
        <v>254</v>
      </c>
      <c r="BY1372" s="5" t="s">
        <v>238</v>
      </c>
      <c r="BZ1372" s="5" t="s">
        <v>238</v>
      </c>
      <c r="CD1372" s="5" t="s">
        <v>273</v>
      </c>
      <c r="CE1372" s="5" t="s">
        <v>256</v>
      </c>
      <c r="CF1372" s="5" t="s">
        <v>238</v>
      </c>
      <c r="CI1372" s="6" t="s">
        <v>257</v>
      </c>
      <c r="CJ1372" s="5" t="s">
        <v>238</v>
      </c>
      <c r="CK1372" s="5" t="s">
        <v>258</v>
      </c>
      <c r="CL1372" s="5" t="s">
        <v>238</v>
      </c>
      <c r="CM1372" s="5" t="s">
        <v>238</v>
      </c>
      <c r="CN1372" s="5">
        <v>0</v>
      </c>
      <c r="CO1372" s="5" t="s">
        <v>259</v>
      </c>
      <c r="CP1372" s="5" t="s">
        <v>260</v>
      </c>
      <c r="CQ1372" s="5" t="s">
        <v>260</v>
      </c>
      <c r="CR1372" s="5" t="s">
        <v>261</v>
      </c>
      <c r="CU1372" s="8">
        <f>1</f>
        <v>1</v>
      </c>
      <c r="CV1372" s="8">
        <f>0</f>
        <v>0</v>
      </c>
      <c r="CX1372" s="8">
        <f>0</f>
        <v>0</v>
      </c>
      <c r="CY1372" s="8">
        <f>1</f>
        <v>1</v>
      </c>
      <c r="DA1372" s="5" t="s">
        <v>673</v>
      </c>
      <c r="DB1372" s="5" t="s">
        <v>238</v>
      </c>
      <c r="DD1372" s="5" t="s">
        <v>673</v>
      </c>
      <c r="DE1372" s="8">
        <f>244</f>
        <v>244</v>
      </c>
      <c r="DG1372" s="5" t="s">
        <v>238</v>
      </c>
      <c r="DH1372" s="5" t="s">
        <v>238</v>
      </c>
      <c r="DI1372" s="5" t="s">
        <v>238</v>
      </c>
      <c r="DJ1372" s="5" t="s">
        <v>238</v>
      </c>
      <c r="DN1372" s="5" t="s">
        <v>238</v>
      </c>
      <c r="DO1372" s="5" t="s">
        <v>238</v>
      </c>
      <c r="DP1372" s="5" t="s">
        <v>238</v>
      </c>
      <c r="DQ1372" s="5" t="s">
        <v>238</v>
      </c>
      <c r="DT1372" s="5" t="s">
        <v>2039</v>
      </c>
      <c r="DU1372" s="5" t="s">
        <v>2549</v>
      </c>
      <c r="HM1372" s="5" t="s">
        <v>264</v>
      </c>
    </row>
    <row r="1373" spans="1:221" x14ac:dyDescent="0.4">
      <c r="A1373" s="5">
        <v>3048</v>
      </c>
      <c r="B1373" s="5">
        <v>1</v>
      </c>
      <c r="C1373" s="5">
        <v>1</v>
      </c>
      <c r="D1373" s="5" t="s">
        <v>2037</v>
      </c>
      <c r="E1373" s="5" t="s">
        <v>271</v>
      </c>
      <c r="F1373" s="5" t="s">
        <v>248</v>
      </c>
      <c r="G1373" s="5" t="s">
        <v>1969</v>
      </c>
      <c r="H1373" s="6" t="s">
        <v>2546</v>
      </c>
      <c r="I1373" s="7">
        <f>2978</f>
        <v>2978</v>
      </c>
      <c r="J1373" s="5" t="s">
        <v>262</v>
      </c>
      <c r="K1373" s="8">
        <f>1</f>
        <v>1</v>
      </c>
      <c r="L1373" s="6" t="s">
        <v>242</v>
      </c>
      <c r="M1373" s="5" t="s">
        <v>267</v>
      </c>
      <c r="N1373" s="5" t="s">
        <v>265</v>
      </c>
      <c r="O1373" s="5" t="s">
        <v>238</v>
      </c>
      <c r="P1373" s="5" t="s">
        <v>238</v>
      </c>
      <c r="Q1373" s="5" t="s">
        <v>268</v>
      </c>
      <c r="R1373" s="5" t="s">
        <v>270</v>
      </c>
      <c r="S1373" s="5" t="s">
        <v>238</v>
      </c>
      <c r="V1373" s="5" t="s">
        <v>238</v>
      </c>
      <c r="X1373" s="6" t="s">
        <v>238</v>
      </c>
      <c r="AA1373" s="6" t="s">
        <v>243</v>
      </c>
      <c r="AB1373" s="5" t="s">
        <v>238</v>
      </c>
      <c r="AC1373" s="5" t="s">
        <v>244</v>
      </c>
      <c r="AD1373" s="5" t="s">
        <v>245</v>
      </c>
      <c r="AT1373" s="5" t="s">
        <v>246</v>
      </c>
      <c r="AU1373" s="5" t="s">
        <v>238</v>
      </c>
      <c r="AV1373" s="5" t="s">
        <v>247</v>
      </c>
      <c r="AW1373" s="5" t="s">
        <v>238</v>
      </c>
      <c r="AX1373" s="5" t="s">
        <v>249</v>
      </c>
      <c r="AY1373" s="5" t="s">
        <v>238</v>
      </c>
      <c r="BA1373" s="5" t="s">
        <v>238</v>
      </c>
      <c r="BC1373" s="5" t="s">
        <v>250</v>
      </c>
      <c r="BD1373" s="6" t="s">
        <v>243</v>
      </c>
      <c r="BE1373" s="5" t="s">
        <v>251</v>
      </c>
      <c r="BF1373" s="5" t="s">
        <v>252</v>
      </c>
      <c r="BG1373" s="5" t="s">
        <v>238</v>
      </c>
      <c r="BH1373" s="7">
        <f>0</f>
        <v>0</v>
      </c>
      <c r="BI1373" s="8">
        <f>0</f>
        <v>0</v>
      </c>
      <c r="BJ1373" s="5" t="s">
        <v>253</v>
      </c>
      <c r="BK1373" s="5" t="s">
        <v>254</v>
      </c>
      <c r="BY1373" s="5" t="s">
        <v>238</v>
      </c>
      <c r="BZ1373" s="5" t="s">
        <v>238</v>
      </c>
      <c r="CD1373" s="5" t="s">
        <v>273</v>
      </c>
      <c r="CE1373" s="5" t="s">
        <v>256</v>
      </c>
      <c r="CF1373" s="5" t="s">
        <v>238</v>
      </c>
      <c r="CI1373" s="6" t="s">
        <v>257</v>
      </c>
      <c r="CJ1373" s="5" t="s">
        <v>238</v>
      </c>
      <c r="CK1373" s="5" t="s">
        <v>258</v>
      </c>
      <c r="CL1373" s="5" t="s">
        <v>238</v>
      </c>
      <c r="CM1373" s="5" t="s">
        <v>238</v>
      </c>
      <c r="CN1373" s="5">
        <v>0</v>
      </c>
      <c r="CO1373" s="5" t="s">
        <v>259</v>
      </c>
      <c r="CP1373" s="5" t="s">
        <v>260</v>
      </c>
      <c r="CQ1373" s="5" t="s">
        <v>260</v>
      </c>
      <c r="CR1373" s="5" t="s">
        <v>261</v>
      </c>
      <c r="CU1373" s="8">
        <f>1</f>
        <v>1</v>
      </c>
      <c r="CV1373" s="8">
        <f>0</f>
        <v>0</v>
      </c>
      <c r="CX1373" s="8">
        <f>0</f>
        <v>0</v>
      </c>
      <c r="CY1373" s="8">
        <f>1</f>
        <v>1</v>
      </c>
      <c r="DA1373" s="5" t="s">
        <v>673</v>
      </c>
      <c r="DB1373" s="5" t="s">
        <v>238</v>
      </c>
      <c r="DD1373" s="5" t="s">
        <v>673</v>
      </c>
      <c r="DE1373" s="8">
        <f>2978</f>
        <v>2978</v>
      </c>
      <c r="DG1373" s="5" t="s">
        <v>238</v>
      </c>
      <c r="DH1373" s="5" t="s">
        <v>238</v>
      </c>
      <c r="DI1373" s="5" t="s">
        <v>238</v>
      </c>
      <c r="DJ1373" s="5" t="s">
        <v>238</v>
      </c>
      <c r="DN1373" s="5" t="s">
        <v>238</v>
      </c>
      <c r="DO1373" s="5" t="s">
        <v>238</v>
      </c>
      <c r="DP1373" s="5" t="s">
        <v>238</v>
      </c>
      <c r="DQ1373" s="5" t="s">
        <v>238</v>
      </c>
      <c r="DT1373" s="5" t="s">
        <v>2039</v>
      </c>
      <c r="DU1373" s="5" t="s">
        <v>2547</v>
      </c>
      <c r="HM1373" s="5" t="s">
        <v>264</v>
      </c>
    </row>
    <row r="1374" spans="1:221" x14ac:dyDescent="0.4">
      <c r="A1374" s="5">
        <v>3049</v>
      </c>
      <c r="B1374" s="5">
        <v>1</v>
      </c>
      <c r="C1374" s="5">
        <v>1</v>
      </c>
      <c r="D1374" s="5" t="s">
        <v>2037</v>
      </c>
      <c r="E1374" s="5" t="s">
        <v>271</v>
      </c>
      <c r="F1374" s="5" t="s">
        <v>248</v>
      </c>
      <c r="G1374" s="5" t="s">
        <v>1969</v>
      </c>
      <c r="H1374" s="6" t="s">
        <v>2544</v>
      </c>
      <c r="I1374" s="7">
        <f>662</f>
        <v>662</v>
      </c>
      <c r="J1374" s="5" t="s">
        <v>262</v>
      </c>
      <c r="K1374" s="8">
        <f>1</f>
        <v>1</v>
      </c>
      <c r="L1374" s="6" t="s">
        <v>242</v>
      </c>
      <c r="M1374" s="5" t="s">
        <v>267</v>
      </c>
      <c r="N1374" s="5" t="s">
        <v>265</v>
      </c>
      <c r="O1374" s="5" t="s">
        <v>238</v>
      </c>
      <c r="P1374" s="5" t="s">
        <v>238</v>
      </c>
      <c r="Q1374" s="5" t="s">
        <v>268</v>
      </c>
      <c r="R1374" s="5" t="s">
        <v>270</v>
      </c>
      <c r="S1374" s="5" t="s">
        <v>238</v>
      </c>
      <c r="V1374" s="5" t="s">
        <v>238</v>
      </c>
      <c r="X1374" s="6" t="s">
        <v>238</v>
      </c>
      <c r="AA1374" s="6" t="s">
        <v>243</v>
      </c>
      <c r="AB1374" s="5" t="s">
        <v>238</v>
      </c>
      <c r="AC1374" s="5" t="s">
        <v>244</v>
      </c>
      <c r="AD1374" s="5" t="s">
        <v>245</v>
      </c>
      <c r="AT1374" s="5" t="s">
        <v>246</v>
      </c>
      <c r="AU1374" s="5" t="s">
        <v>238</v>
      </c>
      <c r="AV1374" s="5" t="s">
        <v>247</v>
      </c>
      <c r="AW1374" s="5" t="s">
        <v>238</v>
      </c>
      <c r="AX1374" s="5" t="s">
        <v>249</v>
      </c>
      <c r="AY1374" s="5" t="s">
        <v>238</v>
      </c>
      <c r="BA1374" s="5" t="s">
        <v>238</v>
      </c>
      <c r="BC1374" s="5" t="s">
        <v>250</v>
      </c>
      <c r="BD1374" s="6" t="s">
        <v>243</v>
      </c>
      <c r="BE1374" s="5" t="s">
        <v>251</v>
      </c>
      <c r="BF1374" s="5" t="s">
        <v>252</v>
      </c>
      <c r="BG1374" s="5" t="s">
        <v>238</v>
      </c>
      <c r="BH1374" s="7">
        <f>0</f>
        <v>0</v>
      </c>
      <c r="BI1374" s="8">
        <f>0</f>
        <v>0</v>
      </c>
      <c r="BJ1374" s="5" t="s">
        <v>253</v>
      </c>
      <c r="BK1374" s="5" t="s">
        <v>254</v>
      </c>
      <c r="BY1374" s="5" t="s">
        <v>238</v>
      </c>
      <c r="BZ1374" s="5" t="s">
        <v>238</v>
      </c>
      <c r="CD1374" s="5" t="s">
        <v>273</v>
      </c>
      <c r="CE1374" s="5" t="s">
        <v>256</v>
      </c>
      <c r="CF1374" s="5" t="s">
        <v>238</v>
      </c>
      <c r="CI1374" s="6" t="s">
        <v>257</v>
      </c>
      <c r="CJ1374" s="5" t="s">
        <v>238</v>
      </c>
      <c r="CK1374" s="5" t="s">
        <v>258</v>
      </c>
      <c r="CL1374" s="5" t="s">
        <v>238</v>
      </c>
      <c r="CM1374" s="5" t="s">
        <v>238</v>
      </c>
      <c r="CN1374" s="5">
        <v>0</v>
      </c>
      <c r="CO1374" s="5" t="s">
        <v>259</v>
      </c>
      <c r="CP1374" s="5" t="s">
        <v>260</v>
      </c>
      <c r="CQ1374" s="5" t="s">
        <v>260</v>
      </c>
      <c r="CR1374" s="5" t="s">
        <v>261</v>
      </c>
      <c r="CU1374" s="8">
        <f>1</f>
        <v>1</v>
      </c>
      <c r="CV1374" s="8">
        <f>0</f>
        <v>0</v>
      </c>
      <c r="CX1374" s="8">
        <f>0</f>
        <v>0</v>
      </c>
      <c r="CY1374" s="8">
        <f>1</f>
        <v>1</v>
      </c>
      <c r="DA1374" s="5" t="s">
        <v>673</v>
      </c>
      <c r="DB1374" s="5" t="s">
        <v>238</v>
      </c>
      <c r="DD1374" s="5" t="s">
        <v>673</v>
      </c>
      <c r="DE1374" s="8">
        <f>662</f>
        <v>662</v>
      </c>
      <c r="DG1374" s="5" t="s">
        <v>238</v>
      </c>
      <c r="DH1374" s="5" t="s">
        <v>238</v>
      </c>
      <c r="DI1374" s="5" t="s">
        <v>238</v>
      </c>
      <c r="DJ1374" s="5" t="s">
        <v>238</v>
      </c>
      <c r="DN1374" s="5" t="s">
        <v>238</v>
      </c>
      <c r="DO1374" s="5" t="s">
        <v>238</v>
      </c>
      <c r="DP1374" s="5" t="s">
        <v>238</v>
      </c>
      <c r="DQ1374" s="5" t="s">
        <v>238</v>
      </c>
      <c r="DT1374" s="5" t="s">
        <v>2039</v>
      </c>
      <c r="DU1374" s="5" t="s">
        <v>2545</v>
      </c>
      <c r="HM1374" s="5" t="s">
        <v>264</v>
      </c>
    </row>
    <row r="1375" spans="1:221" x14ac:dyDescent="0.4">
      <c r="A1375" s="5">
        <v>3050</v>
      </c>
      <c r="B1375" s="5">
        <v>1</v>
      </c>
      <c r="C1375" s="5">
        <v>1</v>
      </c>
      <c r="D1375" s="5" t="s">
        <v>2037</v>
      </c>
      <c r="E1375" s="5" t="s">
        <v>271</v>
      </c>
      <c r="F1375" s="5" t="s">
        <v>248</v>
      </c>
      <c r="G1375" s="5" t="s">
        <v>1969</v>
      </c>
      <c r="H1375" s="6" t="s">
        <v>2541</v>
      </c>
      <c r="I1375" s="7">
        <f>2253</f>
        <v>2253</v>
      </c>
      <c r="J1375" s="5" t="s">
        <v>262</v>
      </c>
      <c r="K1375" s="8">
        <f>1</f>
        <v>1</v>
      </c>
      <c r="L1375" s="6" t="s">
        <v>242</v>
      </c>
      <c r="M1375" s="5" t="s">
        <v>267</v>
      </c>
      <c r="N1375" s="5" t="s">
        <v>265</v>
      </c>
      <c r="O1375" s="5" t="s">
        <v>238</v>
      </c>
      <c r="P1375" s="5" t="s">
        <v>238</v>
      </c>
      <c r="Q1375" s="5" t="s">
        <v>268</v>
      </c>
      <c r="R1375" s="5" t="s">
        <v>270</v>
      </c>
      <c r="S1375" s="5" t="s">
        <v>238</v>
      </c>
      <c r="V1375" s="5" t="s">
        <v>238</v>
      </c>
      <c r="X1375" s="6" t="s">
        <v>238</v>
      </c>
      <c r="AA1375" s="6" t="s">
        <v>243</v>
      </c>
      <c r="AB1375" s="5" t="s">
        <v>238</v>
      </c>
      <c r="AC1375" s="5" t="s">
        <v>244</v>
      </c>
      <c r="AD1375" s="5" t="s">
        <v>245</v>
      </c>
      <c r="AT1375" s="5" t="s">
        <v>246</v>
      </c>
      <c r="AU1375" s="5" t="s">
        <v>238</v>
      </c>
      <c r="AV1375" s="5" t="s">
        <v>247</v>
      </c>
      <c r="AW1375" s="5" t="s">
        <v>238</v>
      </c>
      <c r="AX1375" s="5" t="s">
        <v>249</v>
      </c>
      <c r="AY1375" s="5" t="s">
        <v>238</v>
      </c>
      <c r="BA1375" s="5" t="s">
        <v>238</v>
      </c>
      <c r="BC1375" s="5" t="s">
        <v>250</v>
      </c>
      <c r="BD1375" s="6" t="s">
        <v>243</v>
      </c>
      <c r="BE1375" s="5" t="s">
        <v>251</v>
      </c>
      <c r="BF1375" s="5" t="s">
        <v>252</v>
      </c>
      <c r="BG1375" s="5" t="s">
        <v>238</v>
      </c>
      <c r="BH1375" s="7">
        <f>0</f>
        <v>0</v>
      </c>
      <c r="BI1375" s="8">
        <f>0</f>
        <v>0</v>
      </c>
      <c r="BJ1375" s="5" t="s">
        <v>253</v>
      </c>
      <c r="BK1375" s="5" t="s">
        <v>254</v>
      </c>
      <c r="BY1375" s="5" t="s">
        <v>238</v>
      </c>
      <c r="BZ1375" s="5" t="s">
        <v>238</v>
      </c>
      <c r="CD1375" s="5" t="s">
        <v>273</v>
      </c>
      <c r="CE1375" s="5" t="s">
        <v>256</v>
      </c>
      <c r="CF1375" s="5" t="s">
        <v>238</v>
      </c>
      <c r="CI1375" s="6" t="s">
        <v>257</v>
      </c>
      <c r="CJ1375" s="5" t="s">
        <v>238</v>
      </c>
      <c r="CK1375" s="5" t="s">
        <v>258</v>
      </c>
      <c r="CL1375" s="5" t="s">
        <v>238</v>
      </c>
      <c r="CM1375" s="5" t="s">
        <v>238</v>
      </c>
      <c r="CN1375" s="5">
        <v>0</v>
      </c>
      <c r="CO1375" s="5" t="s">
        <v>259</v>
      </c>
      <c r="CP1375" s="5" t="s">
        <v>260</v>
      </c>
      <c r="CQ1375" s="5" t="s">
        <v>260</v>
      </c>
      <c r="CR1375" s="5" t="s">
        <v>261</v>
      </c>
      <c r="CU1375" s="8">
        <f>1</f>
        <v>1</v>
      </c>
      <c r="CV1375" s="8">
        <f>0</f>
        <v>0</v>
      </c>
      <c r="CX1375" s="8">
        <f>0</f>
        <v>0</v>
      </c>
      <c r="CY1375" s="8">
        <f>1</f>
        <v>1</v>
      </c>
      <c r="DA1375" s="5" t="s">
        <v>673</v>
      </c>
      <c r="DB1375" s="5" t="s">
        <v>238</v>
      </c>
      <c r="DD1375" s="5" t="s">
        <v>673</v>
      </c>
      <c r="DE1375" s="8">
        <f>2253</f>
        <v>2253</v>
      </c>
      <c r="DG1375" s="5" t="s">
        <v>238</v>
      </c>
      <c r="DH1375" s="5" t="s">
        <v>238</v>
      </c>
      <c r="DI1375" s="5" t="s">
        <v>238</v>
      </c>
      <c r="DJ1375" s="5" t="s">
        <v>238</v>
      </c>
      <c r="DN1375" s="5" t="s">
        <v>238</v>
      </c>
      <c r="DO1375" s="5" t="s">
        <v>238</v>
      </c>
      <c r="DP1375" s="5" t="s">
        <v>238</v>
      </c>
      <c r="DQ1375" s="5" t="s">
        <v>238</v>
      </c>
      <c r="DT1375" s="5" t="s">
        <v>2039</v>
      </c>
      <c r="DU1375" s="5" t="s">
        <v>2542</v>
      </c>
      <c r="HM1375" s="5" t="s">
        <v>264</v>
      </c>
    </row>
    <row r="1376" spans="1:221" x14ac:dyDescent="0.4">
      <c r="A1376" s="5">
        <v>3051</v>
      </c>
      <c r="B1376" s="5">
        <v>1</v>
      </c>
      <c r="C1376" s="5">
        <v>1</v>
      </c>
      <c r="D1376" s="5" t="s">
        <v>2037</v>
      </c>
      <c r="E1376" s="5" t="s">
        <v>271</v>
      </c>
      <c r="F1376" s="5" t="s">
        <v>248</v>
      </c>
      <c r="G1376" s="5" t="s">
        <v>1969</v>
      </c>
      <c r="H1376" s="6" t="s">
        <v>2539</v>
      </c>
      <c r="I1376" s="7">
        <f>1617</f>
        <v>1617</v>
      </c>
      <c r="J1376" s="5" t="s">
        <v>262</v>
      </c>
      <c r="K1376" s="8">
        <f>1</f>
        <v>1</v>
      </c>
      <c r="L1376" s="6" t="s">
        <v>242</v>
      </c>
      <c r="M1376" s="5" t="s">
        <v>267</v>
      </c>
      <c r="N1376" s="5" t="s">
        <v>265</v>
      </c>
      <c r="O1376" s="5" t="s">
        <v>238</v>
      </c>
      <c r="P1376" s="5" t="s">
        <v>238</v>
      </c>
      <c r="Q1376" s="5" t="s">
        <v>268</v>
      </c>
      <c r="R1376" s="5" t="s">
        <v>270</v>
      </c>
      <c r="S1376" s="5" t="s">
        <v>238</v>
      </c>
      <c r="V1376" s="5" t="s">
        <v>238</v>
      </c>
      <c r="X1376" s="6" t="s">
        <v>238</v>
      </c>
      <c r="AA1376" s="6" t="s">
        <v>243</v>
      </c>
      <c r="AB1376" s="5" t="s">
        <v>238</v>
      </c>
      <c r="AC1376" s="5" t="s">
        <v>244</v>
      </c>
      <c r="AD1376" s="5" t="s">
        <v>245</v>
      </c>
      <c r="AT1376" s="5" t="s">
        <v>246</v>
      </c>
      <c r="AU1376" s="5" t="s">
        <v>238</v>
      </c>
      <c r="AV1376" s="5" t="s">
        <v>247</v>
      </c>
      <c r="AW1376" s="5" t="s">
        <v>238</v>
      </c>
      <c r="AX1376" s="5" t="s">
        <v>249</v>
      </c>
      <c r="AY1376" s="5" t="s">
        <v>238</v>
      </c>
      <c r="BA1376" s="5" t="s">
        <v>238</v>
      </c>
      <c r="BC1376" s="5" t="s">
        <v>250</v>
      </c>
      <c r="BD1376" s="6" t="s">
        <v>243</v>
      </c>
      <c r="BE1376" s="5" t="s">
        <v>251</v>
      </c>
      <c r="BF1376" s="5" t="s">
        <v>252</v>
      </c>
      <c r="BG1376" s="5" t="s">
        <v>238</v>
      </c>
      <c r="BH1376" s="7">
        <f>0</f>
        <v>0</v>
      </c>
      <c r="BI1376" s="8">
        <f>0</f>
        <v>0</v>
      </c>
      <c r="BJ1376" s="5" t="s">
        <v>253</v>
      </c>
      <c r="BK1376" s="5" t="s">
        <v>254</v>
      </c>
      <c r="BY1376" s="5" t="s">
        <v>238</v>
      </c>
      <c r="BZ1376" s="5" t="s">
        <v>238</v>
      </c>
      <c r="CD1376" s="5" t="s">
        <v>273</v>
      </c>
      <c r="CE1376" s="5" t="s">
        <v>256</v>
      </c>
      <c r="CF1376" s="5" t="s">
        <v>238</v>
      </c>
      <c r="CI1376" s="6" t="s">
        <v>257</v>
      </c>
      <c r="CJ1376" s="5" t="s">
        <v>238</v>
      </c>
      <c r="CK1376" s="5" t="s">
        <v>258</v>
      </c>
      <c r="CL1376" s="5" t="s">
        <v>238</v>
      </c>
      <c r="CM1376" s="5" t="s">
        <v>238</v>
      </c>
      <c r="CN1376" s="5">
        <v>0</v>
      </c>
      <c r="CO1376" s="5" t="s">
        <v>259</v>
      </c>
      <c r="CP1376" s="5" t="s">
        <v>260</v>
      </c>
      <c r="CQ1376" s="5" t="s">
        <v>260</v>
      </c>
      <c r="CR1376" s="5" t="s">
        <v>261</v>
      </c>
      <c r="CU1376" s="8">
        <f>1</f>
        <v>1</v>
      </c>
      <c r="CV1376" s="8">
        <f>0</f>
        <v>0</v>
      </c>
      <c r="CX1376" s="8">
        <f>0</f>
        <v>0</v>
      </c>
      <c r="CY1376" s="8">
        <f>1</f>
        <v>1</v>
      </c>
      <c r="DA1376" s="5" t="s">
        <v>673</v>
      </c>
      <c r="DB1376" s="5" t="s">
        <v>238</v>
      </c>
      <c r="DD1376" s="5" t="s">
        <v>673</v>
      </c>
      <c r="DE1376" s="8">
        <f>1617</f>
        <v>1617</v>
      </c>
      <c r="DG1376" s="5" t="s">
        <v>238</v>
      </c>
      <c r="DH1376" s="5" t="s">
        <v>238</v>
      </c>
      <c r="DI1376" s="5" t="s">
        <v>238</v>
      </c>
      <c r="DJ1376" s="5" t="s">
        <v>238</v>
      </c>
      <c r="DN1376" s="5" t="s">
        <v>238</v>
      </c>
      <c r="DO1376" s="5" t="s">
        <v>238</v>
      </c>
      <c r="DP1376" s="5" t="s">
        <v>238</v>
      </c>
      <c r="DQ1376" s="5" t="s">
        <v>238</v>
      </c>
      <c r="DT1376" s="5" t="s">
        <v>2039</v>
      </c>
      <c r="DU1376" s="5" t="s">
        <v>2540</v>
      </c>
      <c r="HM1376" s="5" t="s">
        <v>264</v>
      </c>
    </row>
    <row r="1377" spans="1:221" x14ac:dyDescent="0.4">
      <c r="A1377" s="5">
        <v>3052</v>
      </c>
      <c r="B1377" s="5">
        <v>1</v>
      </c>
      <c r="C1377" s="5">
        <v>1</v>
      </c>
      <c r="D1377" s="5" t="s">
        <v>2037</v>
      </c>
      <c r="E1377" s="5" t="s">
        <v>271</v>
      </c>
      <c r="F1377" s="5" t="s">
        <v>248</v>
      </c>
      <c r="G1377" s="5" t="s">
        <v>1969</v>
      </c>
      <c r="H1377" s="6" t="s">
        <v>2537</v>
      </c>
      <c r="I1377" s="7">
        <f>159</f>
        <v>159</v>
      </c>
      <c r="J1377" s="5" t="s">
        <v>262</v>
      </c>
      <c r="K1377" s="8">
        <f>1</f>
        <v>1</v>
      </c>
      <c r="L1377" s="6" t="s">
        <v>242</v>
      </c>
      <c r="M1377" s="5" t="s">
        <v>267</v>
      </c>
      <c r="N1377" s="5" t="s">
        <v>265</v>
      </c>
      <c r="O1377" s="5" t="s">
        <v>238</v>
      </c>
      <c r="P1377" s="5" t="s">
        <v>238</v>
      </c>
      <c r="Q1377" s="5" t="s">
        <v>268</v>
      </c>
      <c r="R1377" s="5" t="s">
        <v>270</v>
      </c>
      <c r="S1377" s="5" t="s">
        <v>238</v>
      </c>
      <c r="V1377" s="5" t="s">
        <v>238</v>
      </c>
      <c r="X1377" s="6" t="s">
        <v>238</v>
      </c>
      <c r="AA1377" s="6" t="s">
        <v>243</v>
      </c>
      <c r="AB1377" s="5" t="s">
        <v>238</v>
      </c>
      <c r="AC1377" s="5" t="s">
        <v>244</v>
      </c>
      <c r="AD1377" s="5" t="s">
        <v>245</v>
      </c>
      <c r="AT1377" s="5" t="s">
        <v>246</v>
      </c>
      <c r="AU1377" s="5" t="s">
        <v>238</v>
      </c>
      <c r="AV1377" s="5" t="s">
        <v>247</v>
      </c>
      <c r="AW1377" s="5" t="s">
        <v>238</v>
      </c>
      <c r="AX1377" s="5" t="s">
        <v>249</v>
      </c>
      <c r="AY1377" s="5" t="s">
        <v>238</v>
      </c>
      <c r="BA1377" s="5" t="s">
        <v>238</v>
      </c>
      <c r="BC1377" s="5" t="s">
        <v>250</v>
      </c>
      <c r="BD1377" s="6" t="s">
        <v>243</v>
      </c>
      <c r="BE1377" s="5" t="s">
        <v>251</v>
      </c>
      <c r="BF1377" s="5" t="s">
        <v>252</v>
      </c>
      <c r="BG1377" s="5" t="s">
        <v>238</v>
      </c>
      <c r="BH1377" s="7">
        <f>0</f>
        <v>0</v>
      </c>
      <c r="BI1377" s="8">
        <f>0</f>
        <v>0</v>
      </c>
      <c r="BJ1377" s="5" t="s">
        <v>253</v>
      </c>
      <c r="BK1377" s="5" t="s">
        <v>254</v>
      </c>
      <c r="BY1377" s="5" t="s">
        <v>238</v>
      </c>
      <c r="BZ1377" s="5" t="s">
        <v>238</v>
      </c>
      <c r="CD1377" s="5" t="s">
        <v>273</v>
      </c>
      <c r="CE1377" s="5" t="s">
        <v>256</v>
      </c>
      <c r="CF1377" s="5" t="s">
        <v>238</v>
      </c>
      <c r="CI1377" s="6" t="s">
        <v>257</v>
      </c>
      <c r="CJ1377" s="5" t="s">
        <v>238</v>
      </c>
      <c r="CK1377" s="5" t="s">
        <v>258</v>
      </c>
      <c r="CL1377" s="5" t="s">
        <v>238</v>
      </c>
      <c r="CM1377" s="5" t="s">
        <v>238</v>
      </c>
      <c r="CN1377" s="5">
        <v>0</v>
      </c>
      <c r="CO1377" s="5" t="s">
        <v>259</v>
      </c>
      <c r="CP1377" s="5" t="s">
        <v>260</v>
      </c>
      <c r="CQ1377" s="5" t="s">
        <v>260</v>
      </c>
      <c r="CR1377" s="5" t="s">
        <v>261</v>
      </c>
      <c r="CU1377" s="8">
        <f>1</f>
        <v>1</v>
      </c>
      <c r="CV1377" s="8">
        <f>0</f>
        <v>0</v>
      </c>
      <c r="CX1377" s="8">
        <f>0</f>
        <v>0</v>
      </c>
      <c r="CY1377" s="8">
        <f>1</f>
        <v>1</v>
      </c>
      <c r="DA1377" s="5" t="s">
        <v>673</v>
      </c>
      <c r="DB1377" s="5" t="s">
        <v>238</v>
      </c>
      <c r="DD1377" s="5" t="s">
        <v>673</v>
      </c>
      <c r="DE1377" s="8">
        <f>159</f>
        <v>159</v>
      </c>
      <c r="DG1377" s="5" t="s">
        <v>238</v>
      </c>
      <c r="DH1377" s="5" t="s">
        <v>238</v>
      </c>
      <c r="DI1377" s="5" t="s">
        <v>238</v>
      </c>
      <c r="DJ1377" s="5" t="s">
        <v>238</v>
      </c>
      <c r="DN1377" s="5" t="s">
        <v>238</v>
      </c>
      <c r="DO1377" s="5" t="s">
        <v>238</v>
      </c>
      <c r="DP1377" s="5" t="s">
        <v>238</v>
      </c>
      <c r="DQ1377" s="5" t="s">
        <v>238</v>
      </c>
      <c r="DT1377" s="5" t="s">
        <v>2039</v>
      </c>
      <c r="DU1377" s="5" t="s">
        <v>2538</v>
      </c>
      <c r="HM1377" s="5" t="s">
        <v>264</v>
      </c>
    </row>
    <row r="1378" spans="1:221" x14ac:dyDescent="0.4">
      <c r="A1378" s="5">
        <v>3053</v>
      </c>
      <c r="B1378" s="5">
        <v>1</v>
      </c>
      <c r="C1378" s="5">
        <v>1</v>
      </c>
      <c r="D1378" s="5" t="s">
        <v>2037</v>
      </c>
      <c r="E1378" s="5" t="s">
        <v>271</v>
      </c>
      <c r="F1378" s="5" t="s">
        <v>248</v>
      </c>
      <c r="G1378" s="5" t="s">
        <v>1969</v>
      </c>
      <c r="H1378" s="6" t="s">
        <v>2535</v>
      </c>
      <c r="I1378" s="7">
        <f>1559</f>
        <v>1559</v>
      </c>
      <c r="J1378" s="5" t="s">
        <v>262</v>
      </c>
      <c r="K1378" s="8">
        <f>1</f>
        <v>1</v>
      </c>
      <c r="L1378" s="6" t="s">
        <v>242</v>
      </c>
      <c r="M1378" s="5" t="s">
        <v>267</v>
      </c>
      <c r="N1378" s="5" t="s">
        <v>265</v>
      </c>
      <c r="O1378" s="5" t="s">
        <v>238</v>
      </c>
      <c r="P1378" s="5" t="s">
        <v>238</v>
      </c>
      <c r="Q1378" s="5" t="s">
        <v>268</v>
      </c>
      <c r="R1378" s="5" t="s">
        <v>270</v>
      </c>
      <c r="S1378" s="5" t="s">
        <v>238</v>
      </c>
      <c r="V1378" s="5" t="s">
        <v>238</v>
      </c>
      <c r="X1378" s="6" t="s">
        <v>238</v>
      </c>
      <c r="AA1378" s="6" t="s">
        <v>243</v>
      </c>
      <c r="AB1378" s="5" t="s">
        <v>238</v>
      </c>
      <c r="AC1378" s="5" t="s">
        <v>244</v>
      </c>
      <c r="AD1378" s="5" t="s">
        <v>245</v>
      </c>
      <c r="AT1378" s="5" t="s">
        <v>246</v>
      </c>
      <c r="AU1378" s="5" t="s">
        <v>238</v>
      </c>
      <c r="AV1378" s="5" t="s">
        <v>247</v>
      </c>
      <c r="AW1378" s="5" t="s">
        <v>238</v>
      </c>
      <c r="AX1378" s="5" t="s">
        <v>249</v>
      </c>
      <c r="AY1378" s="5" t="s">
        <v>238</v>
      </c>
      <c r="BA1378" s="5" t="s">
        <v>238</v>
      </c>
      <c r="BC1378" s="5" t="s">
        <v>250</v>
      </c>
      <c r="BD1378" s="6" t="s">
        <v>243</v>
      </c>
      <c r="BE1378" s="5" t="s">
        <v>251</v>
      </c>
      <c r="BF1378" s="5" t="s">
        <v>252</v>
      </c>
      <c r="BG1378" s="5" t="s">
        <v>238</v>
      </c>
      <c r="BH1378" s="7">
        <f>0</f>
        <v>0</v>
      </c>
      <c r="BI1378" s="8">
        <f>0</f>
        <v>0</v>
      </c>
      <c r="BJ1378" s="5" t="s">
        <v>253</v>
      </c>
      <c r="BK1378" s="5" t="s">
        <v>254</v>
      </c>
      <c r="BY1378" s="5" t="s">
        <v>238</v>
      </c>
      <c r="BZ1378" s="5" t="s">
        <v>238</v>
      </c>
      <c r="CD1378" s="5" t="s">
        <v>273</v>
      </c>
      <c r="CE1378" s="5" t="s">
        <v>256</v>
      </c>
      <c r="CF1378" s="5" t="s">
        <v>238</v>
      </c>
      <c r="CI1378" s="6" t="s">
        <v>257</v>
      </c>
      <c r="CJ1378" s="5" t="s">
        <v>238</v>
      </c>
      <c r="CK1378" s="5" t="s">
        <v>258</v>
      </c>
      <c r="CL1378" s="5" t="s">
        <v>238</v>
      </c>
      <c r="CM1378" s="5" t="s">
        <v>238</v>
      </c>
      <c r="CN1378" s="5">
        <v>0</v>
      </c>
      <c r="CO1378" s="5" t="s">
        <v>259</v>
      </c>
      <c r="CP1378" s="5" t="s">
        <v>260</v>
      </c>
      <c r="CQ1378" s="5" t="s">
        <v>260</v>
      </c>
      <c r="CR1378" s="5" t="s">
        <v>261</v>
      </c>
      <c r="CU1378" s="8">
        <f>1</f>
        <v>1</v>
      </c>
      <c r="CV1378" s="8">
        <f>0</f>
        <v>0</v>
      </c>
      <c r="CX1378" s="8">
        <f>0</f>
        <v>0</v>
      </c>
      <c r="CY1378" s="8">
        <f>1</f>
        <v>1</v>
      </c>
      <c r="DA1378" s="5" t="s">
        <v>673</v>
      </c>
      <c r="DB1378" s="5" t="s">
        <v>238</v>
      </c>
      <c r="DD1378" s="5" t="s">
        <v>673</v>
      </c>
      <c r="DE1378" s="8">
        <f>1559</f>
        <v>1559</v>
      </c>
      <c r="DG1378" s="5" t="s">
        <v>238</v>
      </c>
      <c r="DH1378" s="5" t="s">
        <v>238</v>
      </c>
      <c r="DI1378" s="5" t="s">
        <v>238</v>
      </c>
      <c r="DJ1378" s="5" t="s">
        <v>238</v>
      </c>
      <c r="DN1378" s="5" t="s">
        <v>238</v>
      </c>
      <c r="DO1378" s="5" t="s">
        <v>238</v>
      </c>
      <c r="DP1378" s="5" t="s">
        <v>238</v>
      </c>
      <c r="DQ1378" s="5" t="s">
        <v>238</v>
      </c>
      <c r="DT1378" s="5" t="s">
        <v>2039</v>
      </c>
      <c r="DU1378" s="5" t="s">
        <v>2536</v>
      </c>
      <c r="HM1378" s="5" t="s">
        <v>264</v>
      </c>
    </row>
    <row r="1379" spans="1:221" x14ac:dyDescent="0.4">
      <c r="A1379" s="5">
        <v>3054</v>
      </c>
      <c r="B1379" s="5">
        <v>1</v>
      </c>
      <c r="C1379" s="5">
        <v>1</v>
      </c>
      <c r="D1379" s="5" t="s">
        <v>2037</v>
      </c>
      <c r="E1379" s="5" t="s">
        <v>271</v>
      </c>
      <c r="F1379" s="5" t="s">
        <v>248</v>
      </c>
      <c r="G1379" s="5" t="s">
        <v>1969</v>
      </c>
      <c r="H1379" s="6" t="s">
        <v>2533</v>
      </c>
      <c r="I1379" s="7">
        <f>275</f>
        <v>275</v>
      </c>
      <c r="J1379" s="5" t="s">
        <v>262</v>
      </c>
      <c r="K1379" s="8">
        <f>1</f>
        <v>1</v>
      </c>
      <c r="L1379" s="6" t="s">
        <v>242</v>
      </c>
      <c r="M1379" s="5" t="s">
        <v>267</v>
      </c>
      <c r="N1379" s="5" t="s">
        <v>265</v>
      </c>
      <c r="O1379" s="5" t="s">
        <v>238</v>
      </c>
      <c r="P1379" s="5" t="s">
        <v>238</v>
      </c>
      <c r="Q1379" s="5" t="s">
        <v>268</v>
      </c>
      <c r="R1379" s="5" t="s">
        <v>270</v>
      </c>
      <c r="S1379" s="5" t="s">
        <v>238</v>
      </c>
      <c r="V1379" s="5" t="s">
        <v>238</v>
      </c>
      <c r="X1379" s="6" t="s">
        <v>238</v>
      </c>
      <c r="AA1379" s="6" t="s">
        <v>243</v>
      </c>
      <c r="AB1379" s="5" t="s">
        <v>238</v>
      </c>
      <c r="AC1379" s="5" t="s">
        <v>244</v>
      </c>
      <c r="AD1379" s="5" t="s">
        <v>245</v>
      </c>
      <c r="AT1379" s="5" t="s">
        <v>246</v>
      </c>
      <c r="AU1379" s="5" t="s">
        <v>238</v>
      </c>
      <c r="AV1379" s="5" t="s">
        <v>247</v>
      </c>
      <c r="AW1379" s="5" t="s">
        <v>238</v>
      </c>
      <c r="AX1379" s="5" t="s">
        <v>249</v>
      </c>
      <c r="AY1379" s="5" t="s">
        <v>238</v>
      </c>
      <c r="BA1379" s="5" t="s">
        <v>238</v>
      </c>
      <c r="BC1379" s="5" t="s">
        <v>250</v>
      </c>
      <c r="BD1379" s="6" t="s">
        <v>243</v>
      </c>
      <c r="BE1379" s="5" t="s">
        <v>251</v>
      </c>
      <c r="BF1379" s="5" t="s">
        <v>252</v>
      </c>
      <c r="BG1379" s="5" t="s">
        <v>238</v>
      </c>
      <c r="BH1379" s="7">
        <f>0</f>
        <v>0</v>
      </c>
      <c r="BI1379" s="8">
        <f>0</f>
        <v>0</v>
      </c>
      <c r="BJ1379" s="5" t="s">
        <v>253</v>
      </c>
      <c r="BK1379" s="5" t="s">
        <v>254</v>
      </c>
      <c r="BY1379" s="5" t="s">
        <v>238</v>
      </c>
      <c r="BZ1379" s="5" t="s">
        <v>238</v>
      </c>
      <c r="CD1379" s="5" t="s">
        <v>273</v>
      </c>
      <c r="CE1379" s="5" t="s">
        <v>256</v>
      </c>
      <c r="CF1379" s="5" t="s">
        <v>238</v>
      </c>
      <c r="CI1379" s="6" t="s">
        <v>257</v>
      </c>
      <c r="CJ1379" s="5" t="s">
        <v>238</v>
      </c>
      <c r="CK1379" s="5" t="s">
        <v>258</v>
      </c>
      <c r="CL1379" s="5" t="s">
        <v>238</v>
      </c>
      <c r="CM1379" s="5" t="s">
        <v>238</v>
      </c>
      <c r="CN1379" s="5">
        <v>0</v>
      </c>
      <c r="CO1379" s="5" t="s">
        <v>259</v>
      </c>
      <c r="CP1379" s="5" t="s">
        <v>260</v>
      </c>
      <c r="CQ1379" s="5" t="s">
        <v>260</v>
      </c>
      <c r="CR1379" s="5" t="s">
        <v>261</v>
      </c>
      <c r="CU1379" s="8">
        <f>1</f>
        <v>1</v>
      </c>
      <c r="CV1379" s="8">
        <f>0</f>
        <v>0</v>
      </c>
      <c r="CX1379" s="8">
        <f>0</f>
        <v>0</v>
      </c>
      <c r="CY1379" s="8">
        <f>1</f>
        <v>1</v>
      </c>
      <c r="DA1379" s="5" t="s">
        <v>673</v>
      </c>
      <c r="DB1379" s="5" t="s">
        <v>238</v>
      </c>
      <c r="DD1379" s="5" t="s">
        <v>673</v>
      </c>
      <c r="DE1379" s="8">
        <f>275</f>
        <v>275</v>
      </c>
      <c r="DG1379" s="5" t="s">
        <v>238</v>
      </c>
      <c r="DH1379" s="5" t="s">
        <v>238</v>
      </c>
      <c r="DI1379" s="5" t="s">
        <v>238</v>
      </c>
      <c r="DJ1379" s="5" t="s">
        <v>238</v>
      </c>
      <c r="DN1379" s="5" t="s">
        <v>238</v>
      </c>
      <c r="DO1379" s="5" t="s">
        <v>238</v>
      </c>
      <c r="DP1379" s="5" t="s">
        <v>238</v>
      </c>
      <c r="DQ1379" s="5" t="s">
        <v>238</v>
      </c>
      <c r="DT1379" s="5" t="s">
        <v>2039</v>
      </c>
      <c r="DU1379" s="5" t="s">
        <v>2534</v>
      </c>
      <c r="HM1379" s="5" t="s">
        <v>264</v>
      </c>
    </row>
    <row r="1380" spans="1:221" x14ac:dyDescent="0.4">
      <c r="A1380" s="5">
        <v>3055</v>
      </c>
      <c r="B1380" s="5">
        <v>1</v>
      </c>
      <c r="C1380" s="5">
        <v>1</v>
      </c>
      <c r="D1380" s="5" t="s">
        <v>2037</v>
      </c>
      <c r="E1380" s="5" t="s">
        <v>271</v>
      </c>
      <c r="F1380" s="5" t="s">
        <v>248</v>
      </c>
      <c r="G1380" s="5" t="s">
        <v>1969</v>
      </c>
      <c r="H1380" s="6" t="s">
        <v>2531</v>
      </c>
      <c r="I1380" s="7">
        <f>1382</f>
        <v>1382</v>
      </c>
      <c r="J1380" s="5" t="s">
        <v>262</v>
      </c>
      <c r="K1380" s="8">
        <f>1</f>
        <v>1</v>
      </c>
      <c r="L1380" s="6" t="s">
        <v>242</v>
      </c>
      <c r="M1380" s="5" t="s">
        <v>267</v>
      </c>
      <c r="N1380" s="5" t="s">
        <v>265</v>
      </c>
      <c r="O1380" s="5" t="s">
        <v>238</v>
      </c>
      <c r="P1380" s="5" t="s">
        <v>238</v>
      </c>
      <c r="Q1380" s="5" t="s">
        <v>268</v>
      </c>
      <c r="R1380" s="5" t="s">
        <v>270</v>
      </c>
      <c r="S1380" s="5" t="s">
        <v>238</v>
      </c>
      <c r="V1380" s="5" t="s">
        <v>238</v>
      </c>
      <c r="X1380" s="6" t="s">
        <v>238</v>
      </c>
      <c r="AA1380" s="6" t="s">
        <v>243</v>
      </c>
      <c r="AB1380" s="5" t="s">
        <v>238</v>
      </c>
      <c r="AC1380" s="5" t="s">
        <v>244</v>
      </c>
      <c r="AD1380" s="5" t="s">
        <v>245</v>
      </c>
      <c r="AT1380" s="5" t="s">
        <v>246</v>
      </c>
      <c r="AU1380" s="5" t="s">
        <v>238</v>
      </c>
      <c r="AV1380" s="5" t="s">
        <v>247</v>
      </c>
      <c r="AW1380" s="5" t="s">
        <v>238</v>
      </c>
      <c r="AX1380" s="5" t="s">
        <v>249</v>
      </c>
      <c r="AY1380" s="5" t="s">
        <v>238</v>
      </c>
      <c r="BA1380" s="5" t="s">
        <v>238</v>
      </c>
      <c r="BC1380" s="5" t="s">
        <v>250</v>
      </c>
      <c r="BD1380" s="6" t="s">
        <v>243</v>
      </c>
      <c r="BE1380" s="5" t="s">
        <v>251</v>
      </c>
      <c r="BF1380" s="5" t="s">
        <v>252</v>
      </c>
      <c r="BG1380" s="5" t="s">
        <v>238</v>
      </c>
      <c r="BH1380" s="7">
        <f>0</f>
        <v>0</v>
      </c>
      <c r="BI1380" s="8">
        <f>0</f>
        <v>0</v>
      </c>
      <c r="BJ1380" s="5" t="s">
        <v>253</v>
      </c>
      <c r="BK1380" s="5" t="s">
        <v>254</v>
      </c>
      <c r="BY1380" s="5" t="s">
        <v>238</v>
      </c>
      <c r="BZ1380" s="5" t="s">
        <v>238</v>
      </c>
      <c r="CD1380" s="5" t="s">
        <v>273</v>
      </c>
      <c r="CE1380" s="5" t="s">
        <v>256</v>
      </c>
      <c r="CF1380" s="5" t="s">
        <v>238</v>
      </c>
      <c r="CI1380" s="6" t="s">
        <v>257</v>
      </c>
      <c r="CJ1380" s="5" t="s">
        <v>238</v>
      </c>
      <c r="CK1380" s="5" t="s">
        <v>258</v>
      </c>
      <c r="CL1380" s="5" t="s">
        <v>238</v>
      </c>
      <c r="CM1380" s="5" t="s">
        <v>238</v>
      </c>
      <c r="CN1380" s="5">
        <v>0</v>
      </c>
      <c r="CO1380" s="5" t="s">
        <v>259</v>
      </c>
      <c r="CP1380" s="5" t="s">
        <v>260</v>
      </c>
      <c r="CQ1380" s="5" t="s">
        <v>260</v>
      </c>
      <c r="CR1380" s="5" t="s">
        <v>261</v>
      </c>
      <c r="CU1380" s="8">
        <f>1</f>
        <v>1</v>
      </c>
      <c r="CV1380" s="8">
        <f>0</f>
        <v>0</v>
      </c>
      <c r="CX1380" s="8">
        <f>0</f>
        <v>0</v>
      </c>
      <c r="CY1380" s="8">
        <f>1</f>
        <v>1</v>
      </c>
      <c r="DA1380" s="5" t="s">
        <v>673</v>
      </c>
      <c r="DB1380" s="5" t="s">
        <v>238</v>
      </c>
      <c r="DD1380" s="5" t="s">
        <v>673</v>
      </c>
      <c r="DE1380" s="8">
        <f>1382</f>
        <v>1382</v>
      </c>
      <c r="DG1380" s="5" t="s">
        <v>238</v>
      </c>
      <c r="DH1380" s="5" t="s">
        <v>238</v>
      </c>
      <c r="DI1380" s="5" t="s">
        <v>238</v>
      </c>
      <c r="DJ1380" s="5" t="s">
        <v>238</v>
      </c>
      <c r="DN1380" s="5" t="s">
        <v>238</v>
      </c>
      <c r="DO1380" s="5" t="s">
        <v>238</v>
      </c>
      <c r="DP1380" s="5" t="s">
        <v>238</v>
      </c>
      <c r="DQ1380" s="5" t="s">
        <v>238</v>
      </c>
      <c r="DT1380" s="5" t="s">
        <v>2039</v>
      </c>
      <c r="DU1380" s="5" t="s">
        <v>2532</v>
      </c>
      <c r="HM1380" s="5" t="s">
        <v>264</v>
      </c>
    </row>
    <row r="1381" spans="1:221" x14ac:dyDescent="0.4">
      <c r="A1381" s="5">
        <v>3056</v>
      </c>
      <c r="B1381" s="5">
        <v>1</v>
      </c>
      <c r="C1381" s="5">
        <v>1</v>
      </c>
      <c r="D1381" s="5" t="s">
        <v>2037</v>
      </c>
      <c r="E1381" s="5" t="s">
        <v>271</v>
      </c>
      <c r="F1381" s="5" t="s">
        <v>248</v>
      </c>
      <c r="G1381" s="5" t="s">
        <v>1969</v>
      </c>
      <c r="H1381" s="6" t="s">
        <v>2529</v>
      </c>
      <c r="I1381" s="7">
        <f>848</f>
        <v>848</v>
      </c>
      <c r="J1381" s="5" t="s">
        <v>262</v>
      </c>
      <c r="K1381" s="8">
        <f>1</f>
        <v>1</v>
      </c>
      <c r="L1381" s="6" t="s">
        <v>242</v>
      </c>
      <c r="M1381" s="5" t="s">
        <v>267</v>
      </c>
      <c r="N1381" s="5" t="s">
        <v>265</v>
      </c>
      <c r="O1381" s="5" t="s">
        <v>238</v>
      </c>
      <c r="P1381" s="5" t="s">
        <v>238</v>
      </c>
      <c r="Q1381" s="5" t="s">
        <v>268</v>
      </c>
      <c r="R1381" s="5" t="s">
        <v>270</v>
      </c>
      <c r="S1381" s="5" t="s">
        <v>238</v>
      </c>
      <c r="V1381" s="5" t="s">
        <v>238</v>
      </c>
      <c r="X1381" s="6" t="s">
        <v>238</v>
      </c>
      <c r="AA1381" s="6" t="s">
        <v>243</v>
      </c>
      <c r="AB1381" s="5" t="s">
        <v>238</v>
      </c>
      <c r="AC1381" s="5" t="s">
        <v>244</v>
      </c>
      <c r="AD1381" s="5" t="s">
        <v>245</v>
      </c>
      <c r="AT1381" s="5" t="s">
        <v>246</v>
      </c>
      <c r="AU1381" s="5" t="s">
        <v>238</v>
      </c>
      <c r="AV1381" s="5" t="s">
        <v>247</v>
      </c>
      <c r="AW1381" s="5" t="s">
        <v>238</v>
      </c>
      <c r="AX1381" s="5" t="s">
        <v>249</v>
      </c>
      <c r="AY1381" s="5" t="s">
        <v>238</v>
      </c>
      <c r="BA1381" s="5" t="s">
        <v>238</v>
      </c>
      <c r="BC1381" s="5" t="s">
        <v>250</v>
      </c>
      <c r="BD1381" s="6" t="s">
        <v>243</v>
      </c>
      <c r="BE1381" s="5" t="s">
        <v>251</v>
      </c>
      <c r="BF1381" s="5" t="s">
        <v>252</v>
      </c>
      <c r="BG1381" s="5" t="s">
        <v>238</v>
      </c>
      <c r="BH1381" s="7">
        <f>0</f>
        <v>0</v>
      </c>
      <c r="BI1381" s="8">
        <f>0</f>
        <v>0</v>
      </c>
      <c r="BJ1381" s="5" t="s">
        <v>253</v>
      </c>
      <c r="BK1381" s="5" t="s">
        <v>254</v>
      </c>
      <c r="BY1381" s="5" t="s">
        <v>238</v>
      </c>
      <c r="BZ1381" s="5" t="s">
        <v>238</v>
      </c>
      <c r="CD1381" s="5" t="s">
        <v>273</v>
      </c>
      <c r="CE1381" s="5" t="s">
        <v>256</v>
      </c>
      <c r="CF1381" s="5" t="s">
        <v>238</v>
      </c>
      <c r="CI1381" s="6" t="s">
        <v>257</v>
      </c>
      <c r="CJ1381" s="5" t="s">
        <v>238</v>
      </c>
      <c r="CK1381" s="5" t="s">
        <v>258</v>
      </c>
      <c r="CL1381" s="5" t="s">
        <v>238</v>
      </c>
      <c r="CM1381" s="5" t="s">
        <v>238</v>
      </c>
      <c r="CN1381" s="5">
        <v>0</v>
      </c>
      <c r="CO1381" s="5" t="s">
        <v>259</v>
      </c>
      <c r="CP1381" s="5" t="s">
        <v>260</v>
      </c>
      <c r="CQ1381" s="5" t="s">
        <v>260</v>
      </c>
      <c r="CR1381" s="5" t="s">
        <v>261</v>
      </c>
      <c r="CU1381" s="8">
        <f>1</f>
        <v>1</v>
      </c>
      <c r="CV1381" s="8">
        <f>0</f>
        <v>0</v>
      </c>
      <c r="CX1381" s="8">
        <f>0</f>
        <v>0</v>
      </c>
      <c r="CY1381" s="8">
        <f>1</f>
        <v>1</v>
      </c>
      <c r="DA1381" s="5" t="s">
        <v>673</v>
      </c>
      <c r="DB1381" s="5" t="s">
        <v>238</v>
      </c>
      <c r="DD1381" s="5" t="s">
        <v>673</v>
      </c>
      <c r="DE1381" s="8">
        <f>848</f>
        <v>848</v>
      </c>
      <c r="DG1381" s="5" t="s">
        <v>238</v>
      </c>
      <c r="DH1381" s="5" t="s">
        <v>238</v>
      </c>
      <c r="DI1381" s="5" t="s">
        <v>238</v>
      </c>
      <c r="DJ1381" s="5" t="s">
        <v>238</v>
      </c>
      <c r="DN1381" s="5" t="s">
        <v>238</v>
      </c>
      <c r="DO1381" s="5" t="s">
        <v>238</v>
      </c>
      <c r="DP1381" s="5" t="s">
        <v>238</v>
      </c>
      <c r="DQ1381" s="5" t="s">
        <v>238</v>
      </c>
      <c r="DT1381" s="5" t="s">
        <v>2039</v>
      </c>
      <c r="DU1381" s="5" t="s">
        <v>2530</v>
      </c>
      <c r="HM1381" s="5" t="s">
        <v>264</v>
      </c>
    </row>
    <row r="1382" spans="1:221" x14ac:dyDescent="0.4">
      <c r="A1382" s="5">
        <v>3057</v>
      </c>
      <c r="B1382" s="5">
        <v>1</v>
      </c>
      <c r="C1382" s="5">
        <v>1</v>
      </c>
      <c r="D1382" s="5" t="s">
        <v>2037</v>
      </c>
      <c r="E1382" s="5" t="s">
        <v>271</v>
      </c>
      <c r="F1382" s="5" t="s">
        <v>248</v>
      </c>
      <c r="G1382" s="5" t="s">
        <v>1969</v>
      </c>
      <c r="H1382" s="6" t="s">
        <v>2527</v>
      </c>
      <c r="I1382" s="7">
        <f>2586</f>
        <v>2586</v>
      </c>
      <c r="J1382" s="5" t="s">
        <v>262</v>
      </c>
      <c r="K1382" s="8">
        <f>1</f>
        <v>1</v>
      </c>
      <c r="L1382" s="6" t="s">
        <v>242</v>
      </c>
      <c r="M1382" s="5" t="s">
        <v>267</v>
      </c>
      <c r="N1382" s="5" t="s">
        <v>265</v>
      </c>
      <c r="O1382" s="5" t="s">
        <v>238</v>
      </c>
      <c r="P1382" s="5" t="s">
        <v>238</v>
      </c>
      <c r="Q1382" s="5" t="s">
        <v>268</v>
      </c>
      <c r="R1382" s="5" t="s">
        <v>270</v>
      </c>
      <c r="S1382" s="5" t="s">
        <v>238</v>
      </c>
      <c r="V1382" s="5" t="s">
        <v>238</v>
      </c>
      <c r="X1382" s="6" t="s">
        <v>238</v>
      </c>
      <c r="AA1382" s="6" t="s">
        <v>243</v>
      </c>
      <c r="AB1382" s="5" t="s">
        <v>238</v>
      </c>
      <c r="AC1382" s="5" t="s">
        <v>244</v>
      </c>
      <c r="AD1382" s="5" t="s">
        <v>245</v>
      </c>
      <c r="AT1382" s="5" t="s">
        <v>246</v>
      </c>
      <c r="AU1382" s="5" t="s">
        <v>238</v>
      </c>
      <c r="AV1382" s="5" t="s">
        <v>247</v>
      </c>
      <c r="AW1382" s="5" t="s">
        <v>238</v>
      </c>
      <c r="AX1382" s="5" t="s">
        <v>249</v>
      </c>
      <c r="AY1382" s="5" t="s">
        <v>238</v>
      </c>
      <c r="BA1382" s="5" t="s">
        <v>238</v>
      </c>
      <c r="BC1382" s="5" t="s">
        <v>250</v>
      </c>
      <c r="BD1382" s="6" t="s">
        <v>243</v>
      </c>
      <c r="BE1382" s="5" t="s">
        <v>251</v>
      </c>
      <c r="BF1382" s="5" t="s">
        <v>252</v>
      </c>
      <c r="BG1382" s="5" t="s">
        <v>238</v>
      </c>
      <c r="BH1382" s="7">
        <f>0</f>
        <v>0</v>
      </c>
      <c r="BI1382" s="8">
        <f>0</f>
        <v>0</v>
      </c>
      <c r="BJ1382" s="5" t="s">
        <v>253</v>
      </c>
      <c r="BK1382" s="5" t="s">
        <v>254</v>
      </c>
      <c r="BY1382" s="5" t="s">
        <v>238</v>
      </c>
      <c r="BZ1382" s="5" t="s">
        <v>238</v>
      </c>
      <c r="CD1382" s="5" t="s">
        <v>273</v>
      </c>
      <c r="CE1382" s="5" t="s">
        <v>256</v>
      </c>
      <c r="CF1382" s="5" t="s">
        <v>238</v>
      </c>
      <c r="CI1382" s="6" t="s">
        <v>257</v>
      </c>
      <c r="CJ1382" s="5" t="s">
        <v>238</v>
      </c>
      <c r="CK1382" s="5" t="s">
        <v>258</v>
      </c>
      <c r="CL1382" s="5" t="s">
        <v>238</v>
      </c>
      <c r="CM1382" s="5" t="s">
        <v>238</v>
      </c>
      <c r="CN1382" s="5">
        <v>0</v>
      </c>
      <c r="CO1382" s="5" t="s">
        <v>259</v>
      </c>
      <c r="CP1382" s="5" t="s">
        <v>260</v>
      </c>
      <c r="CQ1382" s="5" t="s">
        <v>260</v>
      </c>
      <c r="CR1382" s="5" t="s">
        <v>261</v>
      </c>
      <c r="CU1382" s="8">
        <f>1</f>
        <v>1</v>
      </c>
      <c r="CV1382" s="8">
        <f>0</f>
        <v>0</v>
      </c>
      <c r="CX1382" s="8">
        <f>0</f>
        <v>0</v>
      </c>
      <c r="CY1382" s="8">
        <f>1</f>
        <v>1</v>
      </c>
      <c r="DA1382" s="5" t="s">
        <v>673</v>
      </c>
      <c r="DB1382" s="5" t="s">
        <v>238</v>
      </c>
      <c r="DD1382" s="5" t="s">
        <v>673</v>
      </c>
      <c r="DE1382" s="8">
        <f>2586</f>
        <v>2586</v>
      </c>
      <c r="DG1382" s="5" t="s">
        <v>238</v>
      </c>
      <c r="DH1382" s="5" t="s">
        <v>238</v>
      </c>
      <c r="DI1382" s="5" t="s">
        <v>238</v>
      </c>
      <c r="DJ1382" s="5" t="s">
        <v>238</v>
      </c>
      <c r="DN1382" s="5" t="s">
        <v>238</v>
      </c>
      <c r="DO1382" s="5" t="s">
        <v>238</v>
      </c>
      <c r="DP1382" s="5" t="s">
        <v>238</v>
      </c>
      <c r="DQ1382" s="5" t="s">
        <v>238</v>
      </c>
      <c r="DT1382" s="5" t="s">
        <v>2039</v>
      </c>
      <c r="DU1382" s="5" t="s">
        <v>2528</v>
      </c>
      <c r="HM1382" s="5" t="s">
        <v>264</v>
      </c>
    </row>
    <row r="1383" spans="1:221" x14ac:dyDescent="0.4">
      <c r="A1383" s="5">
        <v>3058</v>
      </c>
      <c r="B1383" s="5">
        <v>1</v>
      </c>
      <c r="C1383" s="5">
        <v>1</v>
      </c>
      <c r="D1383" s="5" t="s">
        <v>2037</v>
      </c>
      <c r="E1383" s="5" t="s">
        <v>271</v>
      </c>
      <c r="F1383" s="5" t="s">
        <v>248</v>
      </c>
      <c r="G1383" s="5" t="s">
        <v>1969</v>
      </c>
      <c r="H1383" s="6" t="s">
        <v>2525</v>
      </c>
      <c r="I1383" s="7">
        <f>643</f>
        <v>643</v>
      </c>
      <c r="J1383" s="5" t="s">
        <v>262</v>
      </c>
      <c r="K1383" s="8">
        <f>1</f>
        <v>1</v>
      </c>
      <c r="L1383" s="6" t="s">
        <v>242</v>
      </c>
      <c r="M1383" s="5" t="s">
        <v>267</v>
      </c>
      <c r="N1383" s="5" t="s">
        <v>265</v>
      </c>
      <c r="O1383" s="5" t="s">
        <v>238</v>
      </c>
      <c r="P1383" s="5" t="s">
        <v>238</v>
      </c>
      <c r="Q1383" s="5" t="s">
        <v>268</v>
      </c>
      <c r="R1383" s="5" t="s">
        <v>270</v>
      </c>
      <c r="S1383" s="5" t="s">
        <v>238</v>
      </c>
      <c r="V1383" s="5" t="s">
        <v>238</v>
      </c>
      <c r="X1383" s="6" t="s">
        <v>238</v>
      </c>
      <c r="AA1383" s="6" t="s">
        <v>243</v>
      </c>
      <c r="AB1383" s="5" t="s">
        <v>238</v>
      </c>
      <c r="AC1383" s="5" t="s">
        <v>244</v>
      </c>
      <c r="AD1383" s="5" t="s">
        <v>245</v>
      </c>
      <c r="AT1383" s="5" t="s">
        <v>246</v>
      </c>
      <c r="AU1383" s="5" t="s">
        <v>238</v>
      </c>
      <c r="AV1383" s="5" t="s">
        <v>247</v>
      </c>
      <c r="AW1383" s="5" t="s">
        <v>238</v>
      </c>
      <c r="AX1383" s="5" t="s">
        <v>249</v>
      </c>
      <c r="AY1383" s="5" t="s">
        <v>238</v>
      </c>
      <c r="BA1383" s="5" t="s">
        <v>238</v>
      </c>
      <c r="BC1383" s="5" t="s">
        <v>250</v>
      </c>
      <c r="BD1383" s="6" t="s">
        <v>243</v>
      </c>
      <c r="BE1383" s="5" t="s">
        <v>251</v>
      </c>
      <c r="BF1383" s="5" t="s">
        <v>252</v>
      </c>
      <c r="BG1383" s="5" t="s">
        <v>238</v>
      </c>
      <c r="BH1383" s="7">
        <f>0</f>
        <v>0</v>
      </c>
      <c r="BI1383" s="8">
        <f>0</f>
        <v>0</v>
      </c>
      <c r="BJ1383" s="5" t="s">
        <v>253</v>
      </c>
      <c r="BK1383" s="5" t="s">
        <v>254</v>
      </c>
      <c r="BY1383" s="5" t="s">
        <v>238</v>
      </c>
      <c r="BZ1383" s="5" t="s">
        <v>238</v>
      </c>
      <c r="CD1383" s="5" t="s">
        <v>273</v>
      </c>
      <c r="CE1383" s="5" t="s">
        <v>256</v>
      </c>
      <c r="CF1383" s="5" t="s">
        <v>238</v>
      </c>
      <c r="CI1383" s="6" t="s">
        <v>257</v>
      </c>
      <c r="CJ1383" s="5" t="s">
        <v>238</v>
      </c>
      <c r="CK1383" s="5" t="s">
        <v>258</v>
      </c>
      <c r="CL1383" s="5" t="s">
        <v>238</v>
      </c>
      <c r="CM1383" s="5" t="s">
        <v>238</v>
      </c>
      <c r="CN1383" s="5">
        <v>0</v>
      </c>
      <c r="CO1383" s="5" t="s">
        <v>259</v>
      </c>
      <c r="CP1383" s="5" t="s">
        <v>260</v>
      </c>
      <c r="CQ1383" s="5" t="s">
        <v>260</v>
      </c>
      <c r="CR1383" s="5" t="s">
        <v>261</v>
      </c>
      <c r="CU1383" s="8">
        <f>1</f>
        <v>1</v>
      </c>
      <c r="CV1383" s="8">
        <f>0</f>
        <v>0</v>
      </c>
      <c r="CX1383" s="8">
        <f>0</f>
        <v>0</v>
      </c>
      <c r="CY1383" s="8">
        <f>1</f>
        <v>1</v>
      </c>
      <c r="DA1383" s="5" t="s">
        <v>673</v>
      </c>
      <c r="DB1383" s="5" t="s">
        <v>238</v>
      </c>
      <c r="DD1383" s="5" t="s">
        <v>673</v>
      </c>
      <c r="DE1383" s="8">
        <f>643</f>
        <v>643</v>
      </c>
      <c r="DG1383" s="5" t="s">
        <v>238</v>
      </c>
      <c r="DH1383" s="5" t="s">
        <v>238</v>
      </c>
      <c r="DI1383" s="5" t="s">
        <v>238</v>
      </c>
      <c r="DJ1383" s="5" t="s">
        <v>238</v>
      </c>
      <c r="DN1383" s="5" t="s">
        <v>238</v>
      </c>
      <c r="DO1383" s="5" t="s">
        <v>238</v>
      </c>
      <c r="DP1383" s="5" t="s">
        <v>238</v>
      </c>
      <c r="DQ1383" s="5" t="s">
        <v>238</v>
      </c>
      <c r="DT1383" s="5" t="s">
        <v>2039</v>
      </c>
      <c r="DU1383" s="5" t="s">
        <v>2526</v>
      </c>
      <c r="HM1383" s="5" t="s">
        <v>264</v>
      </c>
    </row>
    <row r="1384" spans="1:221" x14ac:dyDescent="0.4">
      <c r="A1384" s="5">
        <v>3059</v>
      </c>
      <c r="B1384" s="5">
        <v>1</v>
      </c>
      <c r="C1384" s="5">
        <v>1</v>
      </c>
      <c r="D1384" s="5" t="s">
        <v>2037</v>
      </c>
      <c r="E1384" s="5" t="s">
        <v>271</v>
      </c>
      <c r="F1384" s="5" t="s">
        <v>248</v>
      </c>
      <c r="G1384" s="5" t="s">
        <v>1969</v>
      </c>
      <c r="H1384" s="6" t="s">
        <v>2523</v>
      </c>
      <c r="I1384" s="7">
        <f>1394</f>
        <v>1394</v>
      </c>
      <c r="J1384" s="5" t="s">
        <v>262</v>
      </c>
      <c r="K1384" s="8">
        <f>1</f>
        <v>1</v>
      </c>
      <c r="L1384" s="6" t="s">
        <v>242</v>
      </c>
      <c r="M1384" s="5" t="s">
        <v>267</v>
      </c>
      <c r="N1384" s="5" t="s">
        <v>265</v>
      </c>
      <c r="O1384" s="5" t="s">
        <v>238</v>
      </c>
      <c r="P1384" s="5" t="s">
        <v>238</v>
      </c>
      <c r="Q1384" s="5" t="s">
        <v>268</v>
      </c>
      <c r="R1384" s="5" t="s">
        <v>270</v>
      </c>
      <c r="S1384" s="5" t="s">
        <v>238</v>
      </c>
      <c r="V1384" s="5" t="s">
        <v>238</v>
      </c>
      <c r="X1384" s="6" t="s">
        <v>238</v>
      </c>
      <c r="AA1384" s="6" t="s">
        <v>243</v>
      </c>
      <c r="AB1384" s="5" t="s">
        <v>238</v>
      </c>
      <c r="AC1384" s="5" t="s">
        <v>244</v>
      </c>
      <c r="AD1384" s="5" t="s">
        <v>245</v>
      </c>
      <c r="AT1384" s="5" t="s">
        <v>246</v>
      </c>
      <c r="AU1384" s="5" t="s">
        <v>238</v>
      </c>
      <c r="AV1384" s="5" t="s">
        <v>247</v>
      </c>
      <c r="AW1384" s="5" t="s">
        <v>238</v>
      </c>
      <c r="AX1384" s="5" t="s">
        <v>249</v>
      </c>
      <c r="AY1384" s="5" t="s">
        <v>238</v>
      </c>
      <c r="BA1384" s="5" t="s">
        <v>238</v>
      </c>
      <c r="BC1384" s="5" t="s">
        <v>250</v>
      </c>
      <c r="BD1384" s="6" t="s">
        <v>243</v>
      </c>
      <c r="BE1384" s="5" t="s">
        <v>251</v>
      </c>
      <c r="BF1384" s="5" t="s">
        <v>252</v>
      </c>
      <c r="BG1384" s="5" t="s">
        <v>238</v>
      </c>
      <c r="BH1384" s="7">
        <f>0</f>
        <v>0</v>
      </c>
      <c r="BI1384" s="8">
        <f>0</f>
        <v>0</v>
      </c>
      <c r="BJ1384" s="5" t="s">
        <v>253</v>
      </c>
      <c r="BK1384" s="5" t="s">
        <v>254</v>
      </c>
      <c r="BY1384" s="5" t="s">
        <v>238</v>
      </c>
      <c r="BZ1384" s="5" t="s">
        <v>238</v>
      </c>
      <c r="CD1384" s="5" t="s">
        <v>273</v>
      </c>
      <c r="CE1384" s="5" t="s">
        <v>256</v>
      </c>
      <c r="CF1384" s="5" t="s">
        <v>238</v>
      </c>
      <c r="CI1384" s="6" t="s">
        <v>257</v>
      </c>
      <c r="CJ1384" s="5" t="s">
        <v>238</v>
      </c>
      <c r="CK1384" s="5" t="s">
        <v>258</v>
      </c>
      <c r="CL1384" s="5" t="s">
        <v>238</v>
      </c>
      <c r="CM1384" s="5" t="s">
        <v>238</v>
      </c>
      <c r="CN1384" s="5">
        <v>0</v>
      </c>
      <c r="CO1384" s="5" t="s">
        <v>259</v>
      </c>
      <c r="CP1384" s="5" t="s">
        <v>260</v>
      </c>
      <c r="CQ1384" s="5" t="s">
        <v>260</v>
      </c>
      <c r="CR1384" s="5" t="s">
        <v>261</v>
      </c>
      <c r="CU1384" s="8">
        <f>1</f>
        <v>1</v>
      </c>
      <c r="CV1384" s="8">
        <f>0</f>
        <v>0</v>
      </c>
      <c r="CX1384" s="8">
        <f>0</f>
        <v>0</v>
      </c>
      <c r="CY1384" s="8">
        <f>1</f>
        <v>1</v>
      </c>
      <c r="DA1384" s="5" t="s">
        <v>673</v>
      </c>
      <c r="DB1384" s="5" t="s">
        <v>238</v>
      </c>
      <c r="DD1384" s="5" t="s">
        <v>673</v>
      </c>
      <c r="DE1384" s="8">
        <f>1394</f>
        <v>1394</v>
      </c>
      <c r="DG1384" s="5" t="s">
        <v>238</v>
      </c>
      <c r="DH1384" s="5" t="s">
        <v>238</v>
      </c>
      <c r="DI1384" s="5" t="s">
        <v>238</v>
      </c>
      <c r="DJ1384" s="5" t="s">
        <v>238</v>
      </c>
      <c r="DN1384" s="5" t="s">
        <v>238</v>
      </c>
      <c r="DO1384" s="5" t="s">
        <v>238</v>
      </c>
      <c r="DP1384" s="5" t="s">
        <v>238</v>
      </c>
      <c r="DQ1384" s="5" t="s">
        <v>238</v>
      </c>
      <c r="DT1384" s="5" t="s">
        <v>2039</v>
      </c>
      <c r="DU1384" s="5" t="s">
        <v>2524</v>
      </c>
      <c r="HM1384" s="5" t="s">
        <v>264</v>
      </c>
    </row>
    <row r="1385" spans="1:221" x14ac:dyDescent="0.4">
      <c r="A1385" s="5">
        <v>3060</v>
      </c>
      <c r="B1385" s="5">
        <v>1</v>
      </c>
      <c r="C1385" s="5">
        <v>1</v>
      </c>
      <c r="D1385" s="5" t="s">
        <v>2037</v>
      </c>
      <c r="E1385" s="5" t="s">
        <v>271</v>
      </c>
      <c r="F1385" s="5" t="s">
        <v>248</v>
      </c>
      <c r="G1385" s="5" t="s">
        <v>1969</v>
      </c>
      <c r="H1385" s="6" t="s">
        <v>2521</v>
      </c>
      <c r="I1385" s="7">
        <f>558</f>
        <v>558</v>
      </c>
      <c r="J1385" s="5" t="s">
        <v>262</v>
      </c>
      <c r="K1385" s="8">
        <f>1</f>
        <v>1</v>
      </c>
      <c r="L1385" s="6" t="s">
        <v>242</v>
      </c>
      <c r="M1385" s="5" t="s">
        <v>267</v>
      </c>
      <c r="N1385" s="5" t="s">
        <v>265</v>
      </c>
      <c r="O1385" s="5" t="s">
        <v>238</v>
      </c>
      <c r="P1385" s="5" t="s">
        <v>238</v>
      </c>
      <c r="Q1385" s="5" t="s">
        <v>268</v>
      </c>
      <c r="R1385" s="5" t="s">
        <v>270</v>
      </c>
      <c r="S1385" s="5" t="s">
        <v>238</v>
      </c>
      <c r="V1385" s="5" t="s">
        <v>238</v>
      </c>
      <c r="X1385" s="6" t="s">
        <v>238</v>
      </c>
      <c r="AA1385" s="6" t="s">
        <v>243</v>
      </c>
      <c r="AB1385" s="5" t="s">
        <v>238</v>
      </c>
      <c r="AC1385" s="5" t="s">
        <v>244</v>
      </c>
      <c r="AD1385" s="5" t="s">
        <v>245</v>
      </c>
      <c r="AT1385" s="5" t="s">
        <v>246</v>
      </c>
      <c r="AU1385" s="5" t="s">
        <v>238</v>
      </c>
      <c r="AV1385" s="5" t="s">
        <v>247</v>
      </c>
      <c r="AW1385" s="5" t="s">
        <v>238</v>
      </c>
      <c r="AX1385" s="5" t="s">
        <v>249</v>
      </c>
      <c r="AY1385" s="5" t="s">
        <v>238</v>
      </c>
      <c r="BA1385" s="5" t="s">
        <v>238</v>
      </c>
      <c r="BC1385" s="5" t="s">
        <v>250</v>
      </c>
      <c r="BD1385" s="6" t="s">
        <v>243</v>
      </c>
      <c r="BE1385" s="5" t="s">
        <v>251</v>
      </c>
      <c r="BF1385" s="5" t="s">
        <v>252</v>
      </c>
      <c r="BG1385" s="5" t="s">
        <v>238</v>
      </c>
      <c r="BH1385" s="7">
        <f>0</f>
        <v>0</v>
      </c>
      <c r="BI1385" s="8">
        <f>0</f>
        <v>0</v>
      </c>
      <c r="BJ1385" s="5" t="s">
        <v>253</v>
      </c>
      <c r="BK1385" s="5" t="s">
        <v>254</v>
      </c>
      <c r="BY1385" s="5" t="s">
        <v>238</v>
      </c>
      <c r="BZ1385" s="5" t="s">
        <v>238</v>
      </c>
      <c r="CD1385" s="5" t="s">
        <v>273</v>
      </c>
      <c r="CE1385" s="5" t="s">
        <v>256</v>
      </c>
      <c r="CF1385" s="5" t="s">
        <v>238</v>
      </c>
      <c r="CI1385" s="6" t="s">
        <v>257</v>
      </c>
      <c r="CJ1385" s="5" t="s">
        <v>238</v>
      </c>
      <c r="CK1385" s="5" t="s">
        <v>258</v>
      </c>
      <c r="CL1385" s="5" t="s">
        <v>238</v>
      </c>
      <c r="CM1385" s="5" t="s">
        <v>238</v>
      </c>
      <c r="CN1385" s="5">
        <v>0</v>
      </c>
      <c r="CO1385" s="5" t="s">
        <v>259</v>
      </c>
      <c r="CP1385" s="5" t="s">
        <v>260</v>
      </c>
      <c r="CQ1385" s="5" t="s">
        <v>260</v>
      </c>
      <c r="CR1385" s="5" t="s">
        <v>261</v>
      </c>
      <c r="CU1385" s="8">
        <f>1</f>
        <v>1</v>
      </c>
      <c r="CV1385" s="8">
        <f>0</f>
        <v>0</v>
      </c>
      <c r="CX1385" s="8">
        <f>0</f>
        <v>0</v>
      </c>
      <c r="CY1385" s="8">
        <f>1</f>
        <v>1</v>
      </c>
      <c r="DA1385" s="5" t="s">
        <v>673</v>
      </c>
      <c r="DB1385" s="5" t="s">
        <v>238</v>
      </c>
      <c r="DD1385" s="5" t="s">
        <v>673</v>
      </c>
      <c r="DE1385" s="8">
        <f>558</f>
        <v>558</v>
      </c>
      <c r="DG1385" s="5" t="s">
        <v>238</v>
      </c>
      <c r="DH1385" s="5" t="s">
        <v>238</v>
      </c>
      <c r="DI1385" s="5" t="s">
        <v>238</v>
      </c>
      <c r="DJ1385" s="5" t="s">
        <v>238</v>
      </c>
      <c r="DN1385" s="5" t="s">
        <v>238</v>
      </c>
      <c r="DO1385" s="5" t="s">
        <v>238</v>
      </c>
      <c r="DP1385" s="5" t="s">
        <v>238</v>
      </c>
      <c r="DQ1385" s="5" t="s">
        <v>238</v>
      </c>
      <c r="DT1385" s="5" t="s">
        <v>2039</v>
      </c>
      <c r="DU1385" s="5" t="s">
        <v>2522</v>
      </c>
      <c r="HM1385" s="5" t="s">
        <v>264</v>
      </c>
    </row>
    <row r="1386" spans="1:221" x14ac:dyDescent="0.4">
      <c r="A1386" s="5">
        <v>3061</v>
      </c>
      <c r="B1386" s="5">
        <v>1</v>
      </c>
      <c r="C1386" s="5">
        <v>1</v>
      </c>
      <c r="D1386" s="5" t="s">
        <v>2037</v>
      </c>
      <c r="E1386" s="5" t="s">
        <v>271</v>
      </c>
      <c r="F1386" s="5" t="s">
        <v>248</v>
      </c>
      <c r="G1386" s="5" t="s">
        <v>1969</v>
      </c>
      <c r="H1386" s="6" t="s">
        <v>2519</v>
      </c>
      <c r="I1386" s="7">
        <f>1456</f>
        <v>1456</v>
      </c>
      <c r="J1386" s="5" t="s">
        <v>262</v>
      </c>
      <c r="K1386" s="8">
        <f>1</f>
        <v>1</v>
      </c>
      <c r="L1386" s="6" t="s">
        <v>242</v>
      </c>
      <c r="M1386" s="5" t="s">
        <v>267</v>
      </c>
      <c r="N1386" s="5" t="s">
        <v>265</v>
      </c>
      <c r="O1386" s="5" t="s">
        <v>238</v>
      </c>
      <c r="P1386" s="5" t="s">
        <v>238</v>
      </c>
      <c r="Q1386" s="5" t="s">
        <v>268</v>
      </c>
      <c r="R1386" s="5" t="s">
        <v>270</v>
      </c>
      <c r="S1386" s="5" t="s">
        <v>238</v>
      </c>
      <c r="V1386" s="5" t="s">
        <v>238</v>
      </c>
      <c r="X1386" s="6" t="s">
        <v>238</v>
      </c>
      <c r="AA1386" s="6" t="s">
        <v>243</v>
      </c>
      <c r="AB1386" s="5" t="s">
        <v>238</v>
      </c>
      <c r="AC1386" s="5" t="s">
        <v>244</v>
      </c>
      <c r="AD1386" s="5" t="s">
        <v>245</v>
      </c>
      <c r="AT1386" s="5" t="s">
        <v>246</v>
      </c>
      <c r="AU1386" s="5" t="s">
        <v>238</v>
      </c>
      <c r="AV1386" s="5" t="s">
        <v>247</v>
      </c>
      <c r="AW1386" s="5" t="s">
        <v>238</v>
      </c>
      <c r="AX1386" s="5" t="s">
        <v>249</v>
      </c>
      <c r="AY1386" s="5" t="s">
        <v>238</v>
      </c>
      <c r="BA1386" s="5" t="s">
        <v>238</v>
      </c>
      <c r="BC1386" s="5" t="s">
        <v>250</v>
      </c>
      <c r="BD1386" s="6" t="s">
        <v>243</v>
      </c>
      <c r="BE1386" s="5" t="s">
        <v>251</v>
      </c>
      <c r="BF1386" s="5" t="s">
        <v>252</v>
      </c>
      <c r="BG1386" s="5" t="s">
        <v>238</v>
      </c>
      <c r="BH1386" s="7">
        <f>0</f>
        <v>0</v>
      </c>
      <c r="BI1386" s="8">
        <f>0</f>
        <v>0</v>
      </c>
      <c r="BJ1386" s="5" t="s">
        <v>253</v>
      </c>
      <c r="BK1386" s="5" t="s">
        <v>254</v>
      </c>
      <c r="BY1386" s="5" t="s">
        <v>238</v>
      </c>
      <c r="BZ1386" s="5" t="s">
        <v>238</v>
      </c>
      <c r="CD1386" s="5" t="s">
        <v>273</v>
      </c>
      <c r="CE1386" s="5" t="s">
        <v>256</v>
      </c>
      <c r="CF1386" s="5" t="s">
        <v>238</v>
      </c>
      <c r="CI1386" s="6" t="s">
        <v>257</v>
      </c>
      <c r="CJ1386" s="5" t="s">
        <v>238</v>
      </c>
      <c r="CK1386" s="5" t="s">
        <v>258</v>
      </c>
      <c r="CL1386" s="5" t="s">
        <v>238</v>
      </c>
      <c r="CM1386" s="5" t="s">
        <v>238</v>
      </c>
      <c r="CN1386" s="5">
        <v>0</v>
      </c>
      <c r="CO1386" s="5" t="s">
        <v>259</v>
      </c>
      <c r="CP1386" s="5" t="s">
        <v>260</v>
      </c>
      <c r="CQ1386" s="5" t="s">
        <v>260</v>
      </c>
      <c r="CR1386" s="5" t="s">
        <v>261</v>
      </c>
      <c r="CU1386" s="8">
        <f>1</f>
        <v>1</v>
      </c>
      <c r="CV1386" s="8">
        <f>0</f>
        <v>0</v>
      </c>
      <c r="CX1386" s="8">
        <f>0</f>
        <v>0</v>
      </c>
      <c r="CY1386" s="8">
        <f>1</f>
        <v>1</v>
      </c>
      <c r="DA1386" s="5" t="s">
        <v>673</v>
      </c>
      <c r="DB1386" s="5" t="s">
        <v>238</v>
      </c>
      <c r="DD1386" s="5" t="s">
        <v>673</v>
      </c>
      <c r="DE1386" s="8">
        <f>1456</f>
        <v>1456</v>
      </c>
      <c r="DG1386" s="5" t="s">
        <v>238</v>
      </c>
      <c r="DH1386" s="5" t="s">
        <v>238</v>
      </c>
      <c r="DI1386" s="5" t="s">
        <v>238</v>
      </c>
      <c r="DJ1386" s="5" t="s">
        <v>238</v>
      </c>
      <c r="DN1386" s="5" t="s">
        <v>238</v>
      </c>
      <c r="DO1386" s="5" t="s">
        <v>238</v>
      </c>
      <c r="DP1386" s="5" t="s">
        <v>238</v>
      </c>
      <c r="DQ1386" s="5" t="s">
        <v>238</v>
      </c>
      <c r="DT1386" s="5" t="s">
        <v>2039</v>
      </c>
      <c r="DU1386" s="5" t="s">
        <v>2520</v>
      </c>
      <c r="HM1386" s="5" t="s">
        <v>264</v>
      </c>
    </row>
    <row r="1387" spans="1:221" x14ac:dyDescent="0.4">
      <c r="A1387" s="5">
        <v>3062</v>
      </c>
      <c r="B1387" s="5">
        <v>1</v>
      </c>
      <c r="C1387" s="5">
        <v>1</v>
      </c>
      <c r="D1387" s="5" t="s">
        <v>2037</v>
      </c>
      <c r="E1387" s="5" t="s">
        <v>271</v>
      </c>
      <c r="F1387" s="5" t="s">
        <v>248</v>
      </c>
      <c r="G1387" s="5" t="s">
        <v>1969</v>
      </c>
      <c r="H1387" s="6" t="s">
        <v>2517</v>
      </c>
      <c r="I1387" s="7">
        <f>592</f>
        <v>592</v>
      </c>
      <c r="J1387" s="5" t="s">
        <v>262</v>
      </c>
      <c r="K1387" s="8">
        <f>1</f>
        <v>1</v>
      </c>
      <c r="L1387" s="6" t="s">
        <v>242</v>
      </c>
      <c r="M1387" s="5" t="s">
        <v>267</v>
      </c>
      <c r="N1387" s="5" t="s">
        <v>265</v>
      </c>
      <c r="O1387" s="5" t="s">
        <v>238</v>
      </c>
      <c r="P1387" s="5" t="s">
        <v>238</v>
      </c>
      <c r="Q1387" s="5" t="s">
        <v>268</v>
      </c>
      <c r="R1387" s="5" t="s">
        <v>270</v>
      </c>
      <c r="S1387" s="5" t="s">
        <v>238</v>
      </c>
      <c r="V1387" s="5" t="s">
        <v>238</v>
      </c>
      <c r="X1387" s="6" t="s">
        <v>238</v>
      </c>
      <c r="AA1387" s="6" t="s">
        <v>243</v>
      </c>
      <c r="AB1387" s="5" t="s">
        <v>238</v>
      </c>
      <c r="AC1387" s="5" t="s">
        <v>244</v>
      </c>
      <c r="AD1387" s="5" t="s">
        <v>245</v>
      </c>
      <c r="AT1387" s="5" t="s">
        <v>246</v>
      </c>
      <c r="AU1387" s="5" t="s">
        <v>238</v>
      </c>
      <c r="AV1387" s="5" t="s">
        <v>247</v>
      </c>
      <c r="AW1387" s="5" t="s">
        <v>238</v>
      </c>
      <c r="AX1387" s="5" t="s">
        <v>249</v>
      </c>
      <c r="AY1387" s="5" t="s">
        <v>238</v>
      </c>
      <c r="BA1387" s="5" t="s">
        <v>238</v>
      </c>
      <c r="BC1387" s="5" t="s">
        <v>250</v>
      </c>
      <c r="BD1387" s="6" t="s">
        <v>243</v>
      </c>
      <c r="BE1387" s="5" t="s">
        <v>251</v>
      </c>
      <c r="BF1387" s="5" t="s">
        <v>252</v>
      </c>
      <c r="BG1387" s="5" t="s">
        <v>238</v>
      </c>
      <c r="BH1387" s="7">
        <f>0</f>
        <v>0</v>
      </c>
      <c r="BI1387" s="8">
        <f>0</f>
        <v>0</v>
      </c>
      <c r="BJ1387" s="5" t="s">
        <v>253</v>
      </c>
      <c r="BK1387" s="5" t="s">
        <v>254</v>
      </c>
      <c r="BY1387" s="5" t="s">
        <v>238</v>
      </c>
      <c r="BZ1387" s="5" t="s">
        <v>238</v>
      </c>
      <c r="CD1387" s="5" t="s">
        <v>273</v>
      </c>
      <c r="CE1387" s="5" t="s">
        <v>256</v>
      </c>
      <c r="CF1387" s="5" t="s">
        <v>238</v>
      </c>
      <c r="CI1387" s="6" t="s">
        <v>257</v>
      </c>
      <c r="CJ1387" s="5" t="s">
        <v>238</v>
      </c>
      <c r="CK1387" s="5" t="s">
        <v>258</v>
      </c>
      <c r="CL1387" s="5" t="s">
        <v>238</v>
      </c>
      <c r="CM1387" s="5" t="s">
        <v>238</v>
      </c>
      <c r="CN1387" s="5">
        <v>0</v>
      </c>
      <c r="CO1387" s="5" t="s">
        <v>259</v>
      </c>
      <c r="CP1387" s="5" t="s">
        <v>260</v>
      </c>
      <c r="CQ1387" s="5" t="s">
        <v>260</v>
      </c>
      <c r="CR1387" s="5" t="s">
        <v>261</v>
      </c>
      <c r="CU1387" s="8">
        <f>1</f>
        <v>1</v>
      </c>
      <c r="CV1387" s="8">
        <f>0</f>
        <v>0</v>
      </c>
      <c r="CX1387" s="8">
        <f>0</f>
        <v>0</v>
      </c>
      <c r="CY1387" s="8">
        <f>1</f>
        <v>1</v>
      </c>
      <c r="DA1387" s="5" t="s">
        <v>673</v>
      </c>
      <c r="DB1387" s="5" t="s">
        <v>238</v>
      </c>
      <c r="DD1387" s="5" t="s">
        <v>673</v>
      </c>
      <c r="DE1387" s="8">
        <f>592</f>
        <v>592</v>
      </c>
      <c r="DG1387" s="5" t="s">
        <v>238</v>
      </c>
      <c r="DH1387" s="5" t="s">
        <v>238</v>
      </c>
      <c r="DI1387" s="5" t="s">
        <v>238</v>
      </c>
      <c r="DJ1387" s="5" t="s">
        <v>238</v>
      </c>
      <c r="DN1387" s="5" t="s">
        <v>238</v>
      </c>
      <c r="DO1387" s="5" t="s">
        <v>238</v>
      </c>
      <c r="DP1387" s="5" t="s">
        <v>238</v>
      </c>
      <c r="DQ1387" s="5" t="s">
        <v>238</v>
      </c>
      <c r="DT1387" s="5" t="s">
        <v>2039</v>
      </c>
      <c r="DU1387" s="5" t="s">
        <v>2518</v>
      </c>
      <c r="HM1387" s="5" t="s">
        <v>264</v>
      </c>
    </row>
    <row r="1388" spans="1:221" x14ac:dyDescent="0.4">
      <c r="A1388" s="5">
        <v>3063</v>
      </c>
      <c r="B1388" s="5">
        <v>1</v>
      </c>
      <c r="C1388" s="5">
        <v>1</v>
      </c>
      <c r="D1388" s="5" t="s">
        <v>2037</v>
      </c>
      <c r="E1388" s="5" t="s">
        <v>271</v>
      </c>
      <c r="F1388" s="5" t="s">
        <v>248</v>
      </c>
      <c r="G1388" s="5" t="s">
        <v>1969</v>
      </c>
      <c r="H1388" s="6" t="s">
        <v>2515</v>
      </c>
      <c r="I1388" s="7">
        <f>259</f>
        <v>259</v>
      </c>
      <c r="J1388" s="5" t="s">
        <v>262</v>
      </c>
      <c r="K1388" s="8">
        <f>1</f>
        <v>1</v>
      </c>
      <c r="L1388" s="6" t="s">
        <v>242</v>
      </c>
      <c r="M1388" s="5" t="s">
        <v>267</v>
      </c>
      <c r="N1388" s="5" t="s">
        <v>265</v>
      </c>
      <c r="O1388" s="5" t="s">
        <v>238</v>
      </c>
      <c r="P1388" s="5" t="s">
        <v>238</v>
      </c>
      <c r="Q1388" s="5" t="s">
        <v>268</v>
      </c>
      <c r="R1388" s="5" t="s">
        <v>270</v>
      </c>
      <c r="S1388" s="5" t="s">
        <v>238</v>
      </c>
      <c r="V1388" s="5" t="s">
        <v>238</v>
      </c>
      <c r="X1388" s="6" t="s">
        <v>238</v>
      </c>
      <c r="AA1388" s="6" t="s">
        <v>243</v>
      </c>
      <c r="AB1388" s="5" t="s">
        <v>238</v>
      </c>
      <c r="AC1388" s="5" t="s">
        <v>244</v>
      </c>
      <c r="AD1388" s="5" t="s">
        <v>245</v>
      </c>
      <c r="AT1388" s="5" t="s">
        <v>246</v>
      </c>
      <c r="AU1388" s="5" t="s">
        <v>238</v>
      </c>
      <c r="AV1388" s="5" t="s">
        <v>247</v>
      </c>
      <c r="AW1388" s="5" t="s">
        <v>238</v>
      </c>
      <c r="AX1388" s="5" t="s">
        <v>249</v>
      </c>
      <c r="AY1388" s="5" t="s">
        <v>238</v>
      </c>
      <c r="BA1388" s="5" t="s">
        <v>238</v>
      </c>
      <c r="BC1388" s="5" t="s">
        <v>250</v>
      </c>
      <c r="BD1388" s="6" t="s">
        <v>243</v>
      </c>
      <c r="BE1388" s="5" t="s">
        <v>251</v>
      </c>
      <c r="BF1388" s="5" t="s">
        <v>252</v>
      </c>
      <c r="BG1388" s="5" t="s">
        <v>238</v>
      </c>
      <c r="BH1388" s="7">
        <f>0</f>
        <v>0</v>
      </c>
      <c r="BI1388" s="8">
        <f>0</f>
        <v>0</v>
      </c>
      <c r="BJ1388" s="5" t="s">
        <v>253</v>
      </c>
      <c r="BK1388" s="5" t="s">
        <v>254</v>
      </c>
      <c r="BY1388" s="5" t="s">
        <v>238</v>
      </c>
      <c r="BZ1388" s="5" t="s">
        <v>238</v>
      </c>
      <c r="CD1388" s="5" t="s">
        <v>273</v>
      </c>
      <c r="CE1388" s="5" t="s">
        <v>256</v>
      </c>
      <c r="CF1388" s="5" t="s">
        <v>238</v>
      </c>
      <c r="CI1388" s="6" t="s">
        <v>257</v>
      </c>
      <c r="CJ1388" s="5" t="s">
        <v>238</v>
      </c>
      <c r="CK1388" s="5" t="s">
        <v>258</v>
      </c>
      <c r="CL1388" s="5" t="s">
        <v>238</v>
      </c>
      <c r="CM1388" s="5" t="s">
        <v>238</v>
      </c>
      <c r="CN1388" s="5">
        <v>0</v>
      </c>
      <c r="CO1388" s="5" t="s">
        <v>259</v>
      </c>
      <c r="CP1388" s="5" t="s">
        <v>260</v>
      </c>
      <c r="CQ1388" s="5" t="s">
        <v>260</v>
      </c>
      <c r="CR1388" s="5" t="s">
        <v>261</v>
      </c>
      <c r="CU1388" s="8">
        <f>1</f>
        <v>1</v>
      </c>
      <c r="CV1388" s="8">
        <f>0</f>
        <v>0</v>
      </c>
      <c r="CX1388" s="8">
        <f>0</f>
        <v>0</v>
      </c>
      <c r="CY1388" s="8">
        <f>1</f>
        <v>1</v>
      </c>
      <c r="DA1388" s="5" t="s">
        <v>673</v>
      </c>
      <c r="DB1388" s="5" t="s">
        <v>238</v>
      </c>
      <c r="DD1388" s="5" t="s">
        <v>673</v>
      </c>
      <c r="DE1388" s="8">
        <f>259</f>
        <v>259</v>
      </c>
      <c r="DG1388" s="5" t="s">
        <v>238</v>
      </c>
      <c r="DH1388" s="5" t="s">
        <v>238</v>
      </c>
      <c r="DI1388" s="5" t="s">
        <v>238</v>
      </c>
      <c r="DJ1388" s="5" t="s">
        <v>238</v>
      </c>
      <c r="DN1388" s="5" t="s">
        <v>238</v>
      </c>
      <c r="DO1388" s="5" t="s">
        <v>238</v>
      </c>
      <c r="DP1388" s="5" t="s">
        <v>238</v>
      </c>
      <c r="DQ1388" s="5" t="s">
        <v>238</v>
      </c>
      <c r="DT1388" s="5" t="s">
        <v>2039</v>
      </c>
      <c r="DU1388" s="5" t="s">
        <v>2516</v>
      </c>
      <c r="HM1388" s="5" t="s">
        <v>264</v>
      </c>
    </row>
    <row r="1389" spans="1:221" x14ac:dyDescent="0.4">
      <c r="A1389" s="5">
        <v>3064</v>
      </c>
      <c r="B1389" s="5">
        <v>1</v>
      </c>
      <c r="C1389" s="5">
        <v>1</v>
      </c>
      <c r="D1389" s="5" t="s">
        <v>2037</v>
      </c>
      <c r="E1389" s="5" t="s">
        <v>271</v>
      </c>
      <c r="F1389" s="5" t="s">
        <v>248</v>
      </c>
      <c r="G1389" s="5" t="s">
        <v>1969</v>
      </c>
      <c r="H1389" s="6" t="s">
        <v>2513</v>
      </c>
      <c r="I1389" s="7">
        <f>2081</f>
        <v>2081</v>
      </c>
      <c r="J1389" s="5" t="s">
        <v>262</v>
      </c>
      <c r="K1389" s="8">
        <f>1</f>
        <v>1</v>
      </c>
      <c r="L1389" s="6" t="s">
        <v>242</v>
      </c>
      <c r="M1389" s="5" t="s">
        <v>267</v>
      </c>
      <c r="N1389" s="5" t="s">
        <v>265</v>
      </c>
      <c r="O1389" s="5" t="s">
        <v>238</v>
      </c>
      <c r="P1389" s="5" t="s">
        <v>238</v>
      </c>
      <c r="Q1389" s="5" t="s">
        <v>268</v>
      </c>
      <c r="R1389" s="5" t="s">
        <v>270</v>
      </c>
      <c r="S1389" s="5" t="s">
        <v>238</v>
      </c>
      <c r="V1389" s="5" t="s">
        <v>238</v>
      </c>
      <c r="X1389" s="6" t="s">
        <v>238</v>
      </c>
      <c r="AA1389" s="6" t="s">
        <v>243</v>
      </c>
      <c r="AB1389" s="5" t="s">
        <v>238</v>
      </c>
      <c r="AC1389" s="5" t="s">
        <v>244</v>
      </c>
      <c r="AD1389" s="5" t="s">
        <v>245</v>
      </c>
      <c r="AT1389" s="5" t="s">
        <v>246</v>
      </c>
      <c r="AU1389" s="5" t="s">
        <v>238</v>
      </c>
      <c r="AV1389" s="5" t="s">
        <v>247</v>
      </c>
      <c r="AW1389" s="5" t="s">
        <v>238</v>
      </c>
      <c r="AX1389" s="5" t="s">
        <v>249</v>
      </c>
      <c r="AY1389" s="5" t="s">
        <v>238</v>
      </c>
      <c r="BA1389" s="5" t="s">
        <v>238</v>
      </c>
      <c r="BC1389" s="5" t="s">
        <v>250</v>
      </c>
      <c r="BD1389" s="6" t="s">
        <v>243</v>
      </c>
      <c r="BE1389" s="5" t="s">
        <v>251</v>
      </c>
      <c r="BF1389" s="5" t="s">
        <v>252</v>
      </c>
      <c r="BG1389" s="5" t="s">
        <v>238</v>
      </c>
      <c r="BH1389" s="7">
        <f>0</f>
        <v>0</v>
      </c>
      <c r="BI1389" s="8">
        <f>0</f>
        <v>0</v>
      </c>
      <c r="BJ1389" s="5" t="s">
        <v>253</v>
      </c>
      <c r="BK1389" s="5" t="s">
        <v>254</v>
      </c>
      <c r="BY1389" s="5" t="s">
        <v>238</v>
      </c>
      <c r="BZ1389" s="5" t="s">
        <v>238</v>
      </c>
      <c r="CD1389" s="5" t="s">
        <v>273</v>
      </c>
      <c r="CE1389" s="5" t="s">
        <v>256</v>
      </c>
      <c r="CF1389" s="5" t="s">
        <v>238</v>
      </c>
      <c r="CI1389" s="6" t="s">
        <v>257</v>
      </c>
      <c r="CJ1389" s="5" t="s">
        <v>238</v>
      </c>
      <c r="CK1389" s="5" t="s">
        <v>258</v>
      </c>
      <c r="CL1389" s="5" t="s">
        <v>238</v>
      </c>
      <c r="CM1389" s="5" t="s">
        <v>238</v>
      </c>
      <c r="CN1389" s="5">
        <v>0</v>
      </c>
      <c r="CO1389" s="5" t="s">
        <v>259</v>
      </c>
      <c r="CP1389" s="5" t="s">
        <v>260</v>
      </c>
      <c r="CQ1389" s="5" t="s">
        <v>260</v>
      </c>
      <c r="CR1389" s="5" t="s">
        <v>261</v>
      </c>
      <c r="CU1389" s="8">
        <f>1</f>
        <v>1</v>
      </c>
      <c r="CV1389" s="8">
        <f>0</f>
        <v>0</v>
      </c>
      <c r="CX1389" s="8">
        <f>0</f>
        <v>0</v>
      </c>
      <c r="CY1389" s="8">
        <f>1</f>
        <v>1</v>
      </c>
      <c r="DA1389" s="5" t="s">
        <v>673</v>
      </c>
      <c r="DB1389" s="5" t="s">
        <v>238</v>
      </c>
      <c r="DD1389" s="5" t="s">
        <v>673</v>
      </c>
      <c r="DE1389" s="8">
        <f>2081</f>
        <v>2081</v>
      </c>
      <c r="DG1389" s="5" t="s">
        <v>238</v>
      </c>
      <c r="DH1389" s="5" t="s">
        <v>238</v>
      </c>
      <c r="DI1389" s="5" t="s">
        <v>238</v>
      </c>
      <c r="DJ1389" s="5" t="s">
        <v>238</v>
      </c>
      <c r="DN1389" s="5" t="s">
        <v>238</v>
      </c>
      <c r="DO1389" s="5" t="s">
        <v>238</v>
      </c>
      <c r="DP1389" s="5" t="s">
        <v>238</v>
      </c>
      <c r="DQ1389" s="5" t="s">
        <v>238</v>
      </c>
      <c r="DT1389" s="5" t="s">
        <v>2039</v>
      </c>
      <c r="DU1389" s="5" t="s">
        <v>2514</v>
      </c>
      <c r="HM1389" s="5" t="s">
        <v>264</v>
      </c>
    </row>
    <row r="1390" spans="1:221" x14ac:dyDescent="0.4">
      <c r="A1390" s="5">
        <v>3065</v>
      </c>
      <c r="B1390" s="5">
        <v>1</v>
      </c>
      <c r="C1390" s="5">
        <v>1</v>
      </c>
      <c r="D1390" s="5" t="s">
        <v>2037</v>
      </c>
      <c r="E1390" s="5" t="s">
        <v>271</v>
      </c>
      <c r="F1390" s="5" t="s">
        <v>248</v>
      </c>
      <c r="G1390" s="5" t="s">
        <v>1969</v>
      </c>
      <c r="H1390" s="6" t="s">
        <v>2511</v>
      </c>
      <c r="I1390" s="7">
        <f>1174</f>
        <v>1174</v>
      </c>
      <c r="J1390" s="5" t="s">
        <v>262</v>
      </c>
      <c r="K1390" s="8">
        <f>1</f>
        <v>1</v>
      </c>
      <c r="L1390" s="6" t="s">
        <v>242</v>
      </c>
      <c r="M1390" s="5" t="s">
        <v>267</v>
      </c>
      <c r="N1390" s="5" t="s">
        <v>265</v>
      </c>
      <c r="O1390" s="5" t="s">
        <v>238</v>
      </c>
      <c r="P1390" s="5" t="s">
        <v>238</v>
      </c>
      <c r="Q1390" s="5" t="s">
        <v>268</v>
      </c>
      <c r="R1390" s="5" t="s">
        <v>270</v>
      </c>
      <c r="S1390" s="5" t="s">
        <v>238</v>
      </c>
      <c r="V1390" s="5" t="s">
        <v>238</v>
      </c>
      <c r="X1390" s="6" t="s">
        <v>238</v>
      </c>
      <c r="AA1390" s="6" t="s">
        <v>243</v>
      </c>
      <c r="AB1390" s="5" t="s">
        <v>238</v>
      </c>
      <c r="AC1390" s="5" t="s">
        <v>244</v>
      </c>
      <c r="AD1390" s="5" t="s">
        <v>245</v>
      </c>
      <c r="AT1390" s="5" t="s">
        <v>246</v>
      </c>
      <c r="AU1390" s="5" t="s">
        <v>238</v>
      </c>
      <c r="AV1390" s="5" t="s">
        <v>247</v>
      </c>
      <c r="AW1390" s="5" t="s">
        <v>238</v>
      </c>
      <c r="AX1390" s="5" t="s">
        <v>249</v>
      </c>
      <c r="AY1390" s="5" t="s">
        <v>238</v>
      </c>
      <c r="BA1390" s="5" t="s">
        <v>238</v>
      </c>
      <c r="BC1390" s="5" t="s">
        <v>250</v>
      </c>
      <c r="BD1390" s="6" t="s">
        <v>243</v>
      </c>
      <c r="BE1390" s="5" t="s">
        <v>251</v>
      </c>
      <c r="BF1390" s="5" t="s">
        <v>252</v>
      </c>
      <c r="BG1390" s="5" t="s">
        <v>238</v>
      </c>
      <c r="BH1390" s="7">
        <f>0</f>
        <v>0</v>
      </c>
      <c r="BI1390" s="8">
        <f>0</f>
        <v>0</v>
      </c>
      <c r="BJ1390" s="5" t="s">
        <v>253</v>
      </c>
      <c r="BK1390" s="5" t="s">
        <v>254</v>
      </c>
      <c r="BY1390" s="5" t="s">
        <v>238</v>
      </c>
      <c r="BZ1390" s="5" t="s">
        <v>238</v>
      </c>
      <c r="CD1390" s="5" t="s">
        <v>273</v>
      </c>
      <c r="CE1390" s="5" t="s">
        <v>256</v>
      </c>
      <c r="CF1390" s="5" t="s">
        <v>238</v>
      </c>
      <c r="CI1390" s="6" t="s">
        <v>257</v>
      </c>
      <c r="CJ1390" s="5" t="s">
        <v>238</v>
      </c>
      <c r="CK1390" s="5" t="s">
        <v>258</v>
      </c>
      <c r="CL1390" s="5" t="s">
        <v>238</v>
      </c>
      <c r="CM1390" s="5" t="s">
        <v>238</v>
      </c>
      <c r="CN1390" s="5">
        <v>0</v>
      </c>
      <c r="CO1390" s="5" t="s">
        <v>259</v>
      </c>
      <c r="CP1390" s="5" t="s">
        <v>260</v>
      </c>
      <c r="CQ1390" s="5" t="s">
        <v>260</v>
      </c>
      <c r="CR1390" s="5" t="s">
        <v>261</v>
      </c>
      <c r="CU1390" s="8">
        <f>1</f>
        <v>1</v>
      </c>
      <c r="CV1390" s="8">
        <f>0</f>
        <v>0</v>
      </c>
      <c r="CX1390" s="8">
        <f>0</f>
        <v>0</v>
      </c>
      <c r="CY1390" s="8">
        <f>1</f>
        <v>1</v>
      </c>
      <c r="DA1390" s="5" t="s">
        <v>673</v>
      </c>
      <c r="DB1390" s="5" t="s">
        <v>238</v>
      </c>
      <c r="DD1390" s="5" t="s">
        <v>673</v>
      </c>
      <c r="DE1390" s="8">
        <f>1174</f>
        <v>1174</v>
      </c>
      <c r="DG1390" s="5" t="s">
        <v>238</v>
      </c>
      <c r="DH1390" s="5" t="s">
        <v>238</v>
      </c>
      <c r="DI1390" s="5" t="s">
        <v>238</v>
      </c>
      <c r="DJ1390" s="5" t="s">
        <v>238</v>
      </c>
      <c r="DN1390" s="5" t="s">
        <v>238</v>
      </c>
      <c r="DO1390" s="5" t="s">
        <v>238</v>
      </c>
      <c r="DP1390" s="5" t="s">
        <v>238</v>
      </c>
      <c r="DQ1390" s="5" t="s">
        <v>238</v>
      </c>
      <c r="DT1390" s="5" t="s">
        <v>2039</v>
      </c>
      <c r="DU1390" s="5" t="s">
        <v>2512</v>
      </c>
      <c r="HM1390" s="5" t="s">
        <v>264</v>
      </c>
    </row>
    <row r="1391" spans="1:221" x14ac:dyDescent="0.4">
      <c r="A1391" s="5">
        <v>3066</v>
      </c>
      <c r="B1391" s="5">
        <v>1</v>
      </c>
      <c r="C1391" s="5">
        <v>1</v>
      </c>
      <c r="D1391" s="5" t="s">
        <v>2037</v>
      </c>
      <c r="E1391" s="5" t="s">
        <v>271</v>
      </c>
      <c r="F1391" s="5" t="s">
        <v>248</v>
      </c>
      <c r="G1391" s="5" t="s">
        <v>1969</v>
      </c>
      <c r="H1391" s="6" t="s">
        <v>2509</v>
      </c>
      <c r="I1391" s="7">
        <f>1175</f>
        <v>1175</v>
      </c>
      <c r="J1391" s="5" t="s">
        <v>262</v>
      </c>
      <c r="K1391" s="8">
        <f>1</f>
        <v>1</v>
      </c>
      <c r="L1391" s="6" t="s">
        <v>242</v>
      </c>
      <c r="M1391" s="5" t="s">
        <v>267</v>
      </c>
      <c r="N1391" s="5" t="s">
        <v>265</v>
      </c>
      <c r="O1391" s="5" t="s">
        <v>238</v>
      </c>
      <c r="P1391" s="5" t="s">
        <v>238</v>
      </c>
      <c r="Q1391" s="5" t="s">
        <v>268</v>
      </c>
      <c r="R1391" s="5" t="s">
        <v>270</v>
      </c>
      <c r="S1391" s="5" t="s">
        <v>238</v>
      </c>
      <c r="V1391" s="5" t="s">
        <v>238</v>
      </c>
      <c r="X1391" s="6" t="s">
        <v>238</v>
      </c>
      <c r="AA1391" s="6" t="s">
        <v>243</v>
      </c>
      <c r="AB1391" s="5" t="s">
        <v>238</v>
      </c>
      <c r="AC1391" s="5" t="s">
        <v>244</v>
      </c>
      <c r="AD1391" s="5" t="s">
        <v>245</v>
      </c>
      <c r="AT1391" s="5" t="s">
        <v>246</v>
      </c>
      <c r="AU1391" s="5" t="s">
        <v>238</v>
      </c>
      <c r="AV1391" s="5" t="s">
        <v>247</v>
      </c>
      <c r="AW1391" s="5" t="s">
        <v>238</v>
      </c>
      <c r="AX1391" s="5" t="s">
        <v>249</v>
      </c>
      <c r="AY1391" s="5" t="s">
        <v>238</v>
      </c>
      <c r="BA1391" s="5" t="s">
        <v>238</v>
      </c>
      <c r="BC1391" s="5" t="s">
        <v>250</v>
      </c>
      <c r="BD1391" s="6" t="s">
        <v>243</v>
      </c>
      <c r="BE1391" s="5" t="s">
        <v>251</v>
      </c>
      <c r="BF1391" s="5" t="s">
        <v>252</v>
      </c>
      <c r="BG1391" s="5" t="s">
        <v>238</v>
      </c>
      <c r="BH1391" s="7">
        <f>0</f>
        <v>0</v>
      </c>
      <c r="BI1391" s="8">
        <f>0</f>
        <v>0</v>
      </c>
      <c r="BJ1391" s="5" t="s">
        <v>253</v>
      </c>
      <c r="BK1391" s="5" t="s">
        <v>254</v>
      </c>
      <c r="BY1391" s="5" t="s">
        <v>238</v>
      </c>
      <c r="BZ1391" s="5" t="s">
        <v>238</v>
      </c>
      <c r="CD1391" s="5" t="s">
        <v>273</v>
      </c>
      <c r="CE1391" s="5" t="s">
        <v>256</v>
      </c>
      <c r="CF1391" s="5" t="s">
        <v>238</v>
      </c>
      <c r="CI1391" s="6" t="s">
        <v>257</v>
      </c>
      <c r="CJ1391" s="5" t="s">
        <v>238</v>
      </c>
      <c r="CK1391" s="5" t="s">
        <v>258</v>
      </c>
      <c r="CL1391" s="5" t="s">
        <v>238</v>
      </c>
      <c r="CM1391" s="5" t="s">
        <v>238</v>
      </c>
      <c r="CN1391" s="5">
        <v>0</v>
      </c>
      <c r="CO1391" s="5" t="s">
        <v>259</v>
      </c>
      <c r="CP1391" s="5" t="s">
        <v>260</v>
      </c>
      <c r="CQ1391" s="5" t="s">
        <v>260</v>
      </c>
      <c r="CR1391" s="5" t="s">
        <v>261</v>
      </c>
      <c r="CU1391" s="8">
        <f>1</f>
        <v>1</v>
      </c>
      <c r="CV1391" s="8">
        <f>0</f>
        <v>0</v>
      </c>
      <c r="CX1391" s="8">
        <f>0</f>
        <v>0</v>
      </c>
      <c r="CY1391" s="8">
        <f>1</f>
        <v>1</v>
      </c>
      <c r="DA1391" s="5" t="s">
        <v>673</v>
      </c>
      <c r="DB1391" s="5" t="s">
        <v>238</v>
      </c>
      <c r="DD1391" s="5" t="s">
        <v>673</v>
      </c>
      <c r="DE1391" s="8">
        <f>1175</f>
        <v>1175</v>
      </c>
      <c r="DG1391" s="5" t="s">
        <v>238</v>
      </c>
      <c r="DH1391" s="5" t="s">
        <v>238</v>
      </c>
      <c r="DI1391" s="5" t="s">
        <v>238</v>
      </c>
      <c r="DJ1391" s="5" t="s">
        <v>238</v>
      </c>
      <c r="DN1391" s="5" t="s">
        <v>238</v>
      </c>
      <c r="DO1391" s="5" t="s">
        <v>238</v>
      </c>
      <c r="DP1391" s="5" t="s">
        <v>238</v>
      </c>
      <c r="DQ1391" s="5" t="s">
        <v>238</v>
      </c>
      <c r="DT1391" s="5" t="s">
        <v>2039</v>
      </c>
      <c r="DU1391" s="5" t="s">
        <v>2510</v>
      </c>
      <c r="HM1391" s="5" t="s">
        <v>264</v>
      </c>
    </row>
    <row r="1392" spans="1:221" x14ac:dyDescent="0.4">
      <c r="A1392" s="5">
        <v>3067</v>
      </c>
      <c r="B1392" s="5">
        <v>1</v>
      </c>
      <c r="C1392" s="5">
        <v>1</v>
      </c>
      <c r="D1392" s="5" t="s">
        <v>2037</v>
      </c>
      <c r="E1392" s="5" t="s">
        <v>271</v>
      </c>
      <c r="F1392" s="5" t="s">
        <v>248</v>
      </c>
      <c r="G1392" s="5" t="s">
        <v>1969</v>
      </c>
      <c r="H1392" s="6" t="s">
        <v>2507</v>
      </c>
      <c r="I1392" s="7">
        <f>444</f>
        <v>444</v>
      </c>
      <c r="J1392" s="5" t="s">
        <v>262</v>
      </c>
      <c r="K1392" s="8">
        <f>1</f>
        <v>1</v>
      </c>
      <c r="L1392" s="6" t="s">
        <v>242</v>
      </c>
      <c r="M1392" s="5" t="s">
        <v>267</v>
      </c>
      <c r="N1392" s="5" t="s">
        <v>265</v>
      </c>
      <c r="O1392" s="5" t="s">
        <v>238</v>
      </c>
      <c r="P1392" s="5" t="s">
        <v>238</v>
      </c>
      <c r="Q1392" s="5" t="s">
        <v>268</v>
      </c>
      <c r="R1392" s="5" t="s">
        <v>270</v>
      </c>
      <c r="S1392" s="5" t="s">
        <v>238</v>
      </c>
      <c r="V1392" s="5" t="s">
        <v>238</v>
      </c>
      <c r="X1392" s="6" t="s">
        <v>238</v>
      </c>
      <c r="AA1392" s="6" t="s">
        <v>243</v>
      </c>
      <c r="AB1392" s="5" t="s">
        <v>238</v>
      </c>
      <c r="AC1392" s="5" t="s">
        <v>244</v>
      </c>
      <c r="AD1392" s="5" t="s">
        <v>245</v>
      </c>
      <c r="AT1392" s="5" t="s">
        <v>246</v>
      </c>
      <c r="AU1392" s="5" t="s">
        <v>238</v>
      </c>
      <c r="AV1392" s="5" t="s">
        <v>247</v>
      </c>
      <c r="AW1392" s="5" t="s">
        <v>238</v>
      </c>
      <c r="AX1392" s="5" t="s">
        <v>249</v>
      </c>
      <c r="AY1392" s="5" t="s">
        <v>238</v>
      </c>
      <c r="BA1392" s="5" t="s">
        <v>238</v>
      </c>
      <c r="BC1392" s="5" t="s">
        <v>250</v>
      </c>
      <c r="BD1392" s="6" t="s">
        <v>243</v>
      </c>
      <c r="BE1392" s="5" t="s">
        <v>251</v>
      </c>
      <c r="BF1392" s="5" t="s">
        <v>252</v>
      </c>
      <c r="BG1392" s="5" t="s">
        <v>238</v>
      </c>
      <c r="BH1392" s="7">
        <f>0</f>
        <v>0</v>
      </c>
      <c r="BI1392" s="8">
        <f>0</f>
        <v>0</v>
      </c>
      <c r="BJ1392" s="5" t="s">
        <v>253</v>
      </c>
      <c r="BK1392" s="5" t="s">
        <v>254</v>
      </c>
      <c r="BY1392" s="5" t="s">
        <v>238</v>
      </c>
      <c r="BZ1392" s="5" t="s">
        <v>238</v>
      </c>
      <c r="CD1392" s="5" t="s">
        <v>273</v>
      </c>
      <c r="CE1392" s="5" t="s">
        <v>256</v>
      </c>
      <c r="CF1392" s="5" t="s">
        <v>238</v>
      </c>
      <c r="CI1392" s="6" t="s">
        <v>257</v>
      </c>
      <c r="CJ1392" s="5" t="s">
        <v>238</v>
      </c>
      <c r="CK1392" s="5" t="s">
        <v>258</v>
      </c>
      <c r="CL1392" s="5" t="s">
        <v>238</v>
      </c>
      <c r="CM1392" s="5" t="s">
        <v>238</v>
      </c>
      <c r="CN1392" s="5">
        <v>0</v>
      </c>
      <c r="CO1392" s="5" t="s">
        <v>259</v>
      </c>
      <c r="CP1392" s="5" t="s">
        <v>260</v>
      </c>
      <c r="CQ1392" s="5" t="s">
        <v>260</v>
      </c>
      <c r="CR1392" s="5" t="s">
        <v>261</v>
      </c>
      <c r="CU1392" s="8">
        <f>1</f>
        <v>1</v>
      </c>
      <c r="CV1392" s="8">
        <f>0</f>
        <v>0</v>
      </c>
      <c r="CX1392" s="8">
        <f>0</f>
        <v>0</v>
      </c>
      <c r="CY1392" s="8">
        <f>1</f>
        <v>1</v>
      </c>
      <c r="DA1392" s="5" t="s">
        <v>673</v>
      </c>
      <c r="DB1392" s="5" t="s">
        <v>238</v>
      </c>
      <c r="DD1392" s="5" t="s">
        <v>673</v>
      </c>
      <c r="DE1392" s="8">
        <f>444</f>
        <v>444</v>
      </c>
      <c r="DG1392" s="5" t="s">
        <v>238</v>
      </c>
      <c r="DH1392" s="5" t="s">
        <v>238</v>
      </c>
      <c r="DI1392" s="5" t="s">
        <v>238</v>
      </c>
      <c r="DJ1392" s="5" t="s">
        <v>238</v>
      </c>
      <c r="DN1392" s="5" t="s">
        <v>238</v>
      </c>
      <c r="DO1392" s="5" t="s">
        <v>238</v>
      </c>
      <c r="DP1392" s="5" t="s">
        <v>238</v>
      </c>
      <c r="DQ1392" s="5" t="s">
        <v>238</v>
      </c>
      <c r="DT1392" s="5" t="s">
        <v>2039</v>
      </c>
      <c r="DU1392" s="5" t="s">
        <v>2508</v>
      </c>
      <c r="HM1392" s="5" t="s">
        <v>264</v>
      </c>
    </row>
    <row r="1393" spans="1:221" x14ac:dyDescent="0.4">
      <c r="A1393" s="5">
        <v>3068</v>
      </c>
      <c r="B1393" s="5">
        <v>1</v>
      </c>
      <c r="C1393" s="5">
        <v>1</v>
      </c>
      <c r="D1393" s="5" t="s">
        <v>2037</v>
      </c>
      <c r="E1393" s="5" t="s">
        <v>271</v>
      </c>
      <c r="F1393" s="5" t="s">
        <v>248</v>
      </c>
      <c r="G1393" s="5" t="s">
        <v>1969</v>
      </c>
      <c r="H1393" s="6" t="s">
        <v>2505</v>
      </c>
      <c r="I1393" s="7">
        <f>2230</f>
        <v>2230</v>
      </c>
      <c r="J1393" s="5" t="s">
        <v>262</v>
      </c>
      <c r="K1393" s="8">
        <f>1</f>
        <v>1</v>
      </c>
      <c r="L1393" s="6" t="s">
        <v>242</v>
      </c>
      <c r="M1393" s="5" t="s">
        <v>267</v>
      </c>
      <c r="N1393" s="5" t="s">
        <v>265</v>
      </c>
      <c r="O1393" s="5" t="s">
        <v>238</v>
      </c>
      <c r="P1393" s="5" t="s">
        <v>238</v>
      </c>
      <c r="Q1393" s="5" t="s">
        <v>268</v>
      </c>
      <c r="R1393" s="5" t="s">
        <v>270</v>
      </c>
      <c r="S1393" s="5" t="s">
        <v>238</v>
      </c>
      <c r="V1393" s="5" t="s">
        <v>238</v>
      </c>
      <c r="X1393" s="6" t="s">
        <v>238</v>
      </c>
      <c r="AA1393" s="6" t="s">
        <v>243</v>
      </c>
      <c r="AB1393" s="5" t="s">
        <v>238</v>
      </c>
      <c r="AC1393" s="5" t="s">
        <v>244</v>
      </c>
      <c r="AD1393" s="5" t="s">
        <v>245</v>
      </c>
      <c r="AT1393" s="5" t="s">
        <v>246</v>
      </c>
      <c r="AU1393" s="5" t="s">
        <v>238</v>
      </c>
      <c r="AV1393" s="5" t="s">
        <v>247</v>
      </c>
      <c r="AW1393" s="5" t="s">
        <v>238</v>
      </c>
      <c r="AX1393" s="5" t="s">
        <v>249</v>
      </c>
      <c r="AY1393" s="5" t="s">
        <v>238</v>
      </c>
      <c r="BA1393" s="5" t="s">
        <v>238</v>
      </c>
      <c r="BC1393" s="5" t="s">
        <v>250</v>
      </c>
      <c r="BD1393" s="6" t="s">
        <v>243</v>
      </c>
      <c r="BE1393" s="5" t="s">
        <v>251</v>
      </c>
      <c r="BF1393" s="5" t="s">
        <v>252</v>
      </c>
      <c r="BG1393" s="5" t="s">
        <v>238</v>
      </c>
      <c r="BH1393" s="7">
        <f>0</f>
        <v>0</v>
      </c>
      <c r="BI1393" s="8">
        <f>0</f>
        <v>0</v>
      </c>
      <c r="BJ1393" s="5" t="s">
        <v>253</v>
      </c>
      <c r="BK1393" s="5" t="s">
        <v>254</v>
      </c>
      <c r="BY1393" s="5" t="s">
        <v>238</v>
      </c>
      <c r="BZ1393" s="5" t="s">
        <v>238</v>
      </c>
      <c r="CD1393" s="5" t="s">
        <v>273</v>
      </c>
      <c r="CE1393" s="5" t="s">
        <v>256</v>
      </c>
      <c r="CF1393" s="5" t="s">
        <v>238</v>
      </c>
      <c r="CI1393" s="6" t="s">
        <v>257</v>
      </c>
      <c r="CJ1393" s="5" t="s">
        <v>238</v>
      </c>
      <c r="CK1393" s="5" t="s">
        <v>258</v>
      </c>
      <c r="CL1393" s="5" t="s">
        <v>238</v>
      </c>
      <c r="CM1393" s="5" t="s">
        <v>238</v>
      </c>
      <c r="CN1393" s="5">
        <v>0</v>
      </c>
      <c r="CO1393" s="5" t="s">
        <v>259</v>
      </c>
      <c r="CP1393" s="5" t="s">
        <v>260</v>
      </c>
      <c r="CQ1393" s="5" t="s">
        <v>260</v>
      </c>
      <c r="CR1393" s="5" t="s">
        <v>261</v>
      </c>
      <c r="CU1393" s="8">
        <f>1</f>
        <v>1</v>
      </c>
      <c r="CV1393" s="8">
        <f>0</f>
        <v>0</v>
      </c>
      <c r="CX1393" s="8">
        <f>0</f>
        <v>0</v>
      </c>
      <c r="CY1393" s="8">
        <f>1</f>
        <v>1</v>
      </c>
      <c r="DA1393" s="5" t="s">
        <v>673</v>
      </c>
      <c r="DB1393" s="5" t="s">
        <v>238</v>
      </c>
      <c r="DD1393" s="5" t="s">
        <v>673</v>
      </c>
      <c r="DE1393" s="8">
        <f>2230</f>
        <v>2230</v>
      </c>
      <c r="DG1393" s="5" t="s">
        <v>238</v>
      </c>
      <c r="DH1393" s="5" t="s">
        <v>238</v>
      </c>
      <c r="DI1393" s="5" t="s">
        <v>238</v>
      </c>
      <c r="DJ1393" s="5" t="s">
        <v>238</v>
      </c>
      <c r="DN1393" s="5" t="s">
        <v>238</v>
      </c>
      <c r="DO1393" s="5" t="s">
        <v>238</v>
      </c>
      <c r="DP1393" s="5" t="s">
        <v>238</v>
      </c>
      <c r="DQ1393" s="5" t="s">
        <v>238</v>
      </c>
      <c r="DT1393" s="5" t="s">
        <v>2039</v>
      </c>
      <c r="DU1393" s="5" t="s">
        <v>2506</v>
      </c>
      <c r="HM1393" s="5" t="s">
        <v>264</v>
      </c>
    </row>
    <row r="1394" spans="1:221" x14ac:dyDescent="0.4">
      <c r="A1394" s="5">
        <v>3069</v>
      </c>
      <c r="B1394" s="5">
        <v>1</v>
      </c>
      <c r="C1394" s="5">
        <v>1</v>
      </c>
      <c r="D1394" s="5" t="s">
        <v>2037</v>
      </c>
      <c r="E1394" s="5" t="s">
        <v>271</v>
      </c>
      <c r="F1394" s="5" t="s">
        <v>248</v>
      </c>
      <c r="G1394" s="5" t="s">
        <v>1969</v>
      </c>
      <c r="H1394" s="6" t="s">
        <v>2504</v>
      </c>
      <c r="I1394" s="7">
        <f>238</f>
        <v>238</v>
      </c>
      <c r="J1394" s="5" t="s">
        <v>262</v>
      </c>
      <c r="K1394" s="8">
        <f>1</f>
        <v>1</v>
      </c>
      <c r="L1394" s="6" t="s">
        <v>242</v>
      </c>
      <c r="M1394" s="5" t="s">
        <v>267</v>
      </c>
      <c r="N1394" s="5" t="s">
        <v>265</v>
      </c>
      <c r="O1394" s="5" t="s">
        <v>238</v>
      </c>
      <c r="P1394" s="5" t="s">
        <v>238</v>
      </c>
      <c r="Q1394" s="5" t="s">
        <v>268</v>
      </c>
      <c r="R1394" s="5" t="s">
        <v>270</v>
      </c>
      <c r="S1394" s="5" t="s">
        <v>238</v>
      </c>
      <c r="V1394" s="5" t="s">
        <v>238</v>
      </c>
      <c r="X1394" s="6" t="s">
        <v>238</v>
      </c>
      <c r="AA1394" s="6" t="s">
        <v>243</v>
      </c>
      <c r="AB1394" s="5" t="s">
        <v>238</v>
      </c>
      <c r="AC1394" s="5" t="s">
        <v>244</v>
      </c>
      <c r="AD1394" s="5" t="s">
        <v>245</v>
      </c>
      <c r="AT1394" s="5" t="s">
        <v>246</v>
      </c>
      <c r="AU1394" s="5" t="s">
        <v>238</v>
      </c>
      <c r="AV1394" s="5" t="s">
        <v>247</v>
      </c>
      <c r="AW1394" s="5" t="s">
        <v>238</v>
      </c>
      <c r="AX1394" s="5" t="s">
        <v>249</v>
      </c>
      <c r="AY1394" s="5" t="s">
        <v>238</v>
      </c>
      <c r="BA1394" s="5" t="s">
        <v>238</v>
      </c>
      <c r="BC1394" s="5" t="s">
        <v>250</v>
      </c>
      <c r="BD1394" s="6" t="s">
        <v>243</v>
      </c>
      <c r="BE1394" s="5" t="s">
        <v>251</v>
      </c>
      <c r="BF1394" s="5" t="s">
        <v>252</v>
      </c>
      <c r="BG1394" s="5" t="s">
        <v>238</v>
      </c>
      <c r="BH1394" s="7">
        <f>0</f>
        <v>0</v>
      </c>
      <c r="BI1394" s="8">
        <f>0</f>
        <v>0</v>
      </c>
      <c r="BJ1394" s="5" t="s">
        <v>253</v>
      </c>
      <c r="BK1394" s="5" t="s">
        <v>254</v>
      </c>
      <c r="BY1394" s="5" t="s">
        <v>238</v>
      </c>
      <c r="BZ1394" s="5" t="s">
        <v>238</v>
      </c>
      <c r="CD1394" s="5" t="s">
        <v>273</v>
      </c>
      <c r="CE1394" s="5" t="s">
        <v>256</v>
      </c>
      <c r="CF1394" s="5" t="s">
        <v>238</v>
      </c>
      <c r="CI1394" s="6" t="s">
        <v>257</v>
      </c>
      <c r="CJ1394" s="5" t="s">
        <v>238</v>
      </c>
      <c r="CK1394" s="5" t="s">
        <v>258</v>
      </c>
      <c r="CL1394" s="5" t="s">
        <v>238</v>
      </c>
      <c r="CM1394" s="5" t="s">
        <v>238</v>
      </c>
      <c r="CN1394" s="5">
        <v>0</v>
      </c>
      <c r="CO1394" s="5" t="s">
        <v>259</v>
      </c>
      <c r="CP1394" s="5" t="s">
        <v>260</v>
      </c>
      <c r="CQ1394" s="5" t="s">
        <v>260</v>
      </c>
      <c r="CR1394" s="5" t="s">
        <v>261</v>
      </c>
      <c r="CU1394" s="8">
        <f>1</f>
        <v>1</v>
      </c>
      <c r="CV1394" s="8">
        <f>0</f>
        <v>0</v>
      </c>
      <c r="CX1394" s="8">
        <f>0</f>
        <v>0</v>
      </c>
      <c r="CY1394" s="8">
        <f>1</f>
        <v>1</v>
      </c>
      <c r="DA1394" s="5" t="s">
        <v>673</v>
      </c>
      <c r="DB1394" s="5" t="s">
        <v>238</v>
      </c>
      <c r="DD1394" s="5" t="s">
        <v>673</v>
      </c>
      <c r="DE1394" s="8">
        <f>238</f>
        <v>238</v>
      </c>
      <c r="DG1394" s="5" t="s">
        <v>238</v>
      </c>
      <c r="DH1394" s="5" t="s">
        <v>238</v>
      </c>
      <c r="DI1394" s="5" t="s">
        <v>238</v>
      </c>
      <c r="DJ1394" s="5" t="s">
        <v>238</v>
      </c>
      <c r="DN1394" s="5" t="s">
        <v>238</v>
      </c>
      <c r="DO1394" s="5" t="s">
        <v>238</v>
      </c>
      <c r="DP1394" s="5" t="s">
        <v>238</v>
      </c>
      <c r="DQ1394" s="5" t="s">
        <v>238</v>
      </c>
      <c r="DT1394" s="5" t="s">
        <v>2039</v>
      </c>
      <c r="DU1394" s="5" t="s">
        <v>2031</v>
      </c>
      <c r="HM1394" s="5" t="s">
        <v>264</v>
      </c>
    </row>
    <row r="1395" spans="1:221" x14ac:dyDescent="0.4">
      <c r="A1395" s="5">
        <v>3070</v>
      </c>
      <c r="B1395" s="5">
        <v>1</v>
      </c>
      <c r="C1395" s="5">
        <v>1</v>
      </c>
      <c r="D1395" s="5" t="s">
        <v>2037</v>
      </c>
      <c r="E1395" s="5" t="s">
        <v>271</v>
      </c>
      <c r="F1395" s="5" t="s">
        <v>248</v>
      </c>
      <c r="G1395" s="5" t="s">
        <v>1969</v>
      </c>
      <c r="H1395" s="6" t="s">
        <v>2503</v>
      </c>
      <c r="I1395" s="7">
        <f>2678</f>
        <v>2678</v>
      </c>
      <c r="J1395" s="5" t="s">
        <v>262</v>
      </c>
      <c r="K1395" s="8">
        <f>1</f>
        <v>1</v>
      </c>
      <c r="L1395" s="6" t="s">
        <v>242</v>
      </c>
      <c r="M1395" s="5" t="s">
        <v>267</v>
      </c>
      <c r="N1395" s="5" t="s">
        <v>265</v>
      </c>
      <c r="O1395" s="5" t="s">
        <v>238</v>
      </c>
      <c r="P1395" s="5" t="s">
        <v>238</v>
      </c>
      <c r="Q1395" s="5" t="s">
        <v>268</v>
      </c>
      <c r="R1395" s="5" t="s">
        <v>270</v>
      </c>
      <c r="S1395" s="5" t="s">
        <v>238</v>
      </c>
      <c r="V1395" s="5" t="s">
        <v>238</v>
      </c>
      <c r="X1395" s="6" t="s">
        <v>238</v>
      </c>
      <c r="AA1395" s="6" t="s">
        <v>243</v>
      </c>
      <c r="AB1395" s="5" t="s">
        <v>238</v>
      </c>
      <c r="AC1395" s="5" t="s">
        <v>244</v>
      </c>
      <c r="AD1395" s="5" t="s">
        <v>245</v>
      </c>
      <c r="AT1395" s="5" t="s">
        <v>246</v>
      </c>
      <c r="AU1395" s="5" t="s">
        <v>238</v>
      </c>
      <c r="AV1395" s="5" t="s">
        <v>247</v>
      </c>
      <c r="AW1395" s="5" t="s">
        <v>238</v>
      </c>
      <c r="AX1395" s="5" t="s">
        <v>249</v>
      </c>
      <c r="AY1395" s="5" t="s">
        <v>238</v>
      </c>
      <c r="BA1395" s="5" t="s">
        <v>238</v>
      </c>
      <c r="BC1395" s="5" t="s">
        <v>250</v>
      </c>
      <c r="BD1395" s="6" t="s">
        <v>243</v>
      </c>
      <c r="BE1395" s="5" t="s">
        <v>251</v>
      </c>
      <c r="BF1395" s="5" t="s">
        <v>252</v>
      </c>
      <c r="BG1395" s="5" t="s">
        <v>238</v>
      </c>
      <c r="BH1395" s="7">
        <f>0</f>
        <v>0</v>
      </c>
      <c r="BI1395" s="8">
        <f>0</f>
        <v>0</v>
      </c>
      <c r="BJ1395" s="5" t="s">
        <v>253</v>
      </c>
      <c r="BK1395" s="5" t="s">
        <v>254</v>
      </c>
      <c r="BY1395" s="5" t="s">
        <v>238</v>
      </c>
      <c r="BZ1395" s="5" t="s">
        <v>238</v>
      </c>
      <c r="CD1395" s="5" t="s">
        <v>273</v>
      </c>
      <c r="CE1395" s="5" t="s">
        <v>256</v>
      </c>
      <c r="CF1395" s="5" t="s">
        <v>238</v>
      </c>
      <c r="CI1395" s="6" t="s">
        <v>257</v>
      </c>
      <c r="CJ1395" s="5" t="s">
        <v>238</v>
      </c>
      <c r="CK1395" s="5" t="s">
        <v>258</v>
      </c>
      <c r="CL1395" s="5" t="s">
        <v>238</v>
      </c>
      <c r="CM1395" s="5" t="s">
        <v>238</v>
      </c>
      <c r="CN1395" s="5">
        <v>0</v>
      </c>
      <c r="CO1395" s="5" t="s">
        <v>259</v>
      </c>
      <c r="CP1395" s="5" t="s">
        <v>260</v>
      </c>
      <c r="CQ1395" s="5" t="s">
        <v>260</v>
      </c>
      <c r="CR1395" s="5" t="s">
        <v>261</v>
      </c>
      <c r="CU1395" s="8">
        <f>1</f>
        <v>1</v>
      </c>
      <c r="CV1395" s="8">
        <f>0</f>
        <v>0</v>
      </c>
      <c r="CX1395" s="8">
        <f>0</f>
        <v>0</v>
      </c>
      <c r="CY1395" s="8">
        <f>1</f>
        <v>1</v>
      </c>
      <c r="DA1395" s="5" t="s">
        <v>673</v>
      </c>
      <c r="DB1395" s="5" t="s">
        <v>238</v>
      </c>
      <c r="DD1395" s="5" t="s">
        <v>673</v>
      </c>
      <c r="DE1395" s="8">
        <f>2678</f>
        <v>2678</v>
      </c>
      <c r="DG1395" s="5" t="s">
        <v>238</v>
      </c>
      <c r="DH1395" s="5" t="s">
        <v>238</v>
      </c>
      <c r="DI1395" s="5" t="s">
        <v>238</v>
      </c>
      <c r="DJ1395" s="5" t="s">
        <v>238</v>
      </c>
      <c r="DN1395" s="5" t="s">
        <v>238</v>
      </c>
      <c r="DO1395" s="5" t="s">
        <v>238</v>
      </c>
      <c r="DP1395" s="5" t="s">
        <v>238</v>
      </c>
      <c r="DQ1395" s="5" t="s">
        <v>238</v>
      </c>
      <c r="DT1395" s="5" t="s">
        <v>2039</v>
      </c>
      <c r="DU1395" s="5" t="s">
        <v>2027</v>
      </c>
      <c r="HM1395" s="5" t="s">
        <v>264</v>
      </c>
    </row>
    <row r="1396" spans="1:221" x14ac:dyDescent="0.4">
      <c r="A1396" s="5">
        <v>3071</v>
      </c>
      <c r="B1396" s="5">
        <v>1</v>
      </c>
      <c r="C1396" s="5">
        <v>1</v>
      </c>
      <c r="D1396" s="5" t="s">
        <v>2037</v>
      </c>
      <c r="E1396" s="5" t="s">
        <v>271</v>
      </c>
      <c r="F1396" s="5" t="s">
        <v>248</v>
      </c>
      <c r="G1396" s="5" t="s">
        <v>1969</v>
      </c>
      <c r="H1396" s="6" t="s">
        <v>2502</v>
      </c>
      <c r="I1396" s="7">
        <f>2848</f>
        <v>2848</v>
      </c>
      <c r="J1396" s="5" t="s">
        <v>262</v>
      </c>
      <c r="K1396" s="8">
        <f>1</f>
        <v>1</v>
      </c>
      <c r="L1396" s="6" t="s">
        <v>242</v>
      </c>
      <c r="M1396" s="5" t="s">
        <v>267</v>
      </c>
      <c r="N1396" s="5" t="s">
        <v>265</v>
      </c>
      <c r="O1396" s="5" t="s">
        <v>238</v>
      </c>
      <c r="P1396" s="5" t="s">
        <v>238</v>
      </c>
      <c r="Q1396" s="5" t="s">
        <v>268</v>
      </c>
      <c r="R1396" s="5" t="s">
        <v>270</v>
      </c>
      <c r="S1396" s="5" t="s">
        <v>238</v>
      </c>
      <c r="V1396" s="5" t="s">
        <v>238</v>
      </c>
      <c r="X1396" s="6" t="s">
        <v>238</v>
      </c>
      <c r="AA1396" s="6" t="s">
        <v>243</v>
      </c>
      <c r="AB1396" s="5" t="s">
        <v>238</v>
      </c>
      <c r="AC1396" s="5" t="s">
        <v>244</v>
      </c>
      <c r="AD1396" s="5" t="s">
        <v>245</v>
      </c>
      <c r="AT1396" s="5" t="s">
        <v>246</v>
      </c>
      <c r="AU1396" s="5" t="s">
        <v>238</v>
      </c>
      <c r="AV1396" s="5" t="s">
        <v>247</v>
      </c>
      <c r="AW1396" s="5" t="s">
        <v>238</v>
      </c>
      <c r="AX1396" s="5" t="s">
        <v>249</v>
      </c>
      <c r="AY1396" s="5" t="s">
        <v>238</v>
      </c>
      <c r="BA1396" s="5" t="s">
        <v>238</v>
      </c>
      <c r="BC1396" s="5" t="s">
        <v>250</v>
      </c>
      <c r="BD1396" s="6" t="s">
        <v>243</v>
      </c>
      <c r="BE1396" s="5" t="s">
        <v>251</v>
      </c>
      <c r="BF1396" s="5" t="s">
        <v>252</v>
      </c>
      <c r="BG1396" s="5" t="s">
        <v>238</v>
      </c>
      <c r="BH1396" s="7">
        <f>0</f>
        <v>0</v>
      </c>
      <c r="BI1396" s="8">
        <f>0</f>
        <v>0</v>
      </c>
      <c r="BJ1396" s="5" t="s">
        <v>253</v>
      </c>
      <c r="BK1396" s="5" t="s">
        <v>254</v>
      </c>
      <c r="BY1396" s="5" t="s">
        <v>238</v>
      </c>
      <c r="BZ1396" s="5" t="s">
        <v>238</v>
      </c>
      <c r="CD1396" s="5" t="s">
        <v>273</v>
      </c>
      <c r="CE1396" s="5" t="s">
        <v>256</v>
      </c>
      <c r="CF1396" s="5" t="s">
        <v>238</v>
      </c>
      <c r="CI1396" s="6" t="s">
        <v>257</v>
      </c>
      <c r="CJ1396" s="5" t="s">
        <v>238</v>
      </c>
      <c r="CK1396" s="5" t="s">
        <v>258</v>
      </c>
      <c r="CL1396" s="5" t="s">
        <v>238</v>
      </c>
      <c r="CM1396" s="5" t="s">
        <v>238</v>
      </c>
      <c r="CN1396" s="5">
        <v>0</v>
      </c>
      <c r="CO1396" s="5" t="s">
        <v>259</v>
      </c>
      <c r="CP1396" s="5" t="s">
        <v>260</v>
      </c>
      <c r="CQ1396" s="5" t="s">
        <v>260</v>
      </c>
      <c r="CR1396" s="5" t="s">
        <v>261</v>
      </c>
      <c r="CU1396" s="8">
        <f>1</f>
        <v>1</v>
      </c>
      <c r="CV1396" s="8">
        <f>0</f>
        <v>0</v>
      </c>
      <c r="CX1396" s="8">
        <f>0</f>
        <v>0</v>
      </c>
      <c r="CY1396" s="8">
        <f>1</f>
        <v>1</v>
      </c>
      <c r="DA1396" s="5" t="s">
        <v>673</v>
      </c>
      <c r="DB1396" s="5" t="s">
        <v>238</v>
      </c>
      <c r="DD1396" s="5" t="s">
        <v>673</v>
      </c>
      <c r="DE1396" s="8">
        <f>2848</f>
        <v>2848</v>
      </c>
      <c r="DG1396" s="5" t="s">
        <v>238</v>
      </c>
      <c r="DH1396" s="5" t="s">
        <v>238</v>
      </c>
      <c r="DI1396" s="5" t="s">
        <v>238</v>
      </c>
      <c r="DJ1396" s="5" t="s">
        <v>238</v>
      </c>
      <c r="DN1396" s="5" t="s">
        <v>238</v>
      </c>
      <c r="DO1396" s="5" t="s">
        <v>238</v>
      </c>
      <c r="DP1396" s="5" t="s">
        <v>238</v>
      </c>
      <c r="DQ1396" s="5" t="s">
        <v>238</v>
      </c>
      <c r="DT1396" s="5" t="s">
        <v>2039</v>
      </c>
      <c r="DU1396" s="5" t="s">
        <v>2021</v>
      </c>
      <c r="HM1396" s="5" t="s">
        <v>264</v>
      </c>
    </row>
    <row r="1397" spans="1:221" x14ac:dyDescent="0.4">
      <c r="A1397" s="5">
        <v>3072</v>
      </c>
      <c r="B1397" s="5">
        <v>1</v>
      </c>
      <c r="C1397" s="5">
        <v>1</v>
      </c>
      <c r="D1397" s="5" t="s">
        <v>2037</v>
      </c>
      <c r="E1397" s="5" t="s">
        <v>271</v>
      </c>
      <c r="F1397" s="5" t="s">
        <v>248</v>
      </c>
      <c r="G1397" s="5" t="s">
        <v>1969</v>
      </c>
      <c r="H1397" s="6" t="s">
        <v>2501</v>
      </c>
      <c r="I1397" s="7">
        <f>1039</f>
        <v>1039</v>
      </c>
      <c r="J1397" s="5" t="s">
        <v>262</v>
      </c>
      <c r="K1397" s="8">
        <f>1</f>
        <v>1</v>
      </c>
      <c r="L1397" s="6" t="s">
        <v>242</v>
      </c>
      <c r="M1397" s="5" t="s">
        <v>267</v>
      </c>
      <c r="N1397" s="5" t="s">
        <v>265</v>
      </c>
      <c r="O1397" s="5" t="s">
        <v>238</v>
      </c>
      <c r="P1397" s="5" t="s">
        <v>238</v>
      </c>
      <c r="Q1397" s="5" t="s">
        <v>268</v>
      </c>
      <c r="R1397" s="5" t="s">
        <v>270</v>
      </c>
      <c r="S1397" s="5" t="s">
        <v>238</v>
      </c>
      <c r="V1397" s="5" t="s">
        <v>238</v>
      </c>
      <c r="X1397" s="6" t="s">
        <v>238</v>
      </c>
      <c r="AA1397" s="6" t="s">
        <v>243</v>
      </c>
      <c r="AB1397" s="5" t="s">
        <v>238</v>
      </c>
      <c r="AC1397" s="5" t="s">
        <v>244</v>
      </c>
      <c r="AD1397" s="5" t="s">
        <v>245</v>
      </c>
      <c r="AT1397" s="5" t="s">
        <v>246</v>
      </c>
      <c r="AU1397" s="5" t="s">
        <v>238</v>
      </c>
      <c r="AV1397" s="5" t="s">
        <v>247</v>
      </c>
      <c r="AW1397" s="5" t="s">
        <v>238</v>
      </c>
      <c r="AX1397" s="5" t="s">
        <v>249</v>
      </c>
      <c r="AY1397" s="5" t="s">
        <v>238</v>
      </c>
      <c r="BA1397" s="5" t="s">
        <v>238</v>
      </c>
      <c r="BC1397" s="5" t="s">
        <v>250</v>
      </c>
      <c r="BD1397" s="6" t="s">
        <v>243</v>
      </c>
      <c r="BE1397" s="5" t="s">
        <v>251</v>
      </c>
      <c r="BF1397" s="5" t="s">
        <v>252</v>
      </c>
      <c r="BG1397" s="5" t="s">
        <v>238</v>
      </c>
      <c r="BH1397" s="7">
        <f>0</f>
        <v>0</v>
      </c>
      <c r="BI1397" s="8">
        <f>0</f>
        <v>0</v>
      </c>
      <c r="BJ1397" s="5" t="s">
        <v>253</v>
      </c>
      <c r="BK1397" s="5" t="s">
        <v>254</v>
      </c>
      <c r="BY1397" s="5" t="s">
        <v>238</v>
      </c>
      <c r="BZ1397" s="5" t="s">
        <v>238</v>
      </c>
      <c r="CD1397" s="5" t="s">
        <v>273</v>
      </c>
      <c r="CE1397" s="5" t="s">
        <v>256</v>
      </c>
      <c r="CF1397" s="5" t="s">
        <v>238</v>
      </c>
      <c r="CI1397" s="6" t="s">
        <v>257</v>
      </c>
      <c r="CJ1397" s="5" t="s">
        <v>238</v>
      </c>
      <c r="CK1397" s="5" t="s">
        <v>258</v>
      </c>
      <c r="CL1397" s="5" t="s">
        <v>238</v>
      </c>
      <c r="CM1397" s="5" t="s">
        <v>238</v>
      </c>
      <c r="CN1397" s="5">
        <v>0</v>
      </c>
      <c r="CO1397" s="5" t="s">
        <v>259</v>
      </c>
      <c r="CP1397" s="5" t="s">
        <v>260</v>
      </c>
      <c r="CQ1397" s="5" t="s">
        <v>260</v>
      </c>
      <c r="CR1397" s="5" t="s">
        <v>261</v>
      </c>
      <c r="CU1397" s="8">
        <f>1</f>
        <v>1</v>
      </c>
      <c r="CV1397" s="8">
        <f>0</f>
        <v>0</v>
      </c>
      <c r="CX1397" s="8">
        <f>0</f>
        <v>0</v>
      </c>
      <c r="CY1397" s="8">
        <f>1</f>
        <v>1</v>
      </c>
      <c r="DA1397" s="5" t="s">
        <v>673</v>
      </c>
      <c r="DB1397" s="5" t="s">
        <v>238</v>
      </c>
      <c r="DD1397" s="5" t="s">
        <v>673</v>
      </c>
      <c r="DE1397" s="8">
        <f>1039</f>
        <v>1039</v>
      </c>
      <c r="DG1397" s="5" t="s">
        <v>238</v>
      </c>
      <c r="DH1397" s="5" t="s">
        <v>238</v>
      </c>
      <c r="DI1397" s="5" t="s">
        <v>238</v>
      </c>
      <c r="DJ1397" s="5" t="s">
        <v>238</v>
      </c>
      <c r="DN1397" s="5" t="s">
        <v>238</v>
      </c>
      <c r="DO1397" s="5" t="s">
        <v>238</v>
      </c>
      <c r="DP1397" s="5" t="s">
        <v>238</v>
      </c>
      <c r="DQ1397" s="5" t="s">
        <v>238</v>
      </c>
      <c r="DT1397" s="5" t="s">
        <v>2039</v>
      </c>
      <c r="DU1397" s="5" t="s">
        <v>2019</v>
      </c>
      <c r="HM1397" s="5" t="s">
        <v>264</v>
      </c>
    </row>
    <row r="1398" spans="1:221" x14ac:dyDescent="0.4">
      <c r="A1398" s="5">
        <v>3073</v>
      </c>
      <c r="B1398" s="5">
        <v>1</v>
      </c>
      <c r="C1398" s="5">
        <v>1</v>
      </c>
      <c r="D1398" s="5" t="s">
        <v>2037</v>
      </c>
      <c r="E1398" s="5" t="s">
        <v>271</v>
      </c>
      <c r="F1398" s="5" t="s">
        <v>248</v>
      </c>
      <c r="G1398" s="5" t="s">
        <v>266</v>
      </c>
      <c r="H1398" s="6" t="s">
        <v>2500</v>
      </c>
      <c r="I1398" s="7">
        <f>1754</f>
        <v>1754</v>
      </c>
      <c r="J1398" s="5" t="s">
        <v>262</v>
      </c>
      <c r="K1398" s="8">
        <f>1</f>
        <v>1</v>
      </c>
      <c r="L1398" s="6" t="s">
        <v>242</v>
      </c>
      <c r="M1398" s="5" t="s">
        <v>267</v>
      </c>
      <c r="N1398" s="5" t="s">
        <v>265</v>
      </c>
      <c r="O1398" s="5" t="s">
        <v>238</v>
      </c>
      <c r="P1398" s="5" t="s">
        <v>238</v>
      </c>
      <c r="Q1398" s="5" t="s">
        <v>268</v>
      </c>
      <c r="R1398" s="5" t="s">
        <v>270</v>
      </c>
      <c r="S1398" s="5" t="s">
        <v>238</v>
      </c>
      <c r="V1398" s="5" t="s">
        <v>238</v>
      </c>
      <c r="X1398" s="6" t="s">
        <v>238</v>
      </c>
      <c r="AA1398" s="6" t="s">
        <v>243</v>
      </c>
      <c r="AB1398" s="5" t="s">
        <v>238</v>
      </c>
      <c r="AC1398" s="5" t="s">
        <v>244</v>
      </c>
      <c r="AD1398" s="5" t="s">
        <v>245</v>
      </c>
      <c r="AT1398" s="5" t="s">
        <v>246</v>
      </c>
      <c r="AU1398" s="5" t="s">
        <v>238</v>
      </c>
      <c r="AV1398" s="5" t="s">
        <v>247</v>
      </c>
      <c r="AW1398" s="5" t="s">
        <v>238</v>
      </c>
      <c r="AX1398" s="5" t="s">
        <v>249</v>
      </c>
      <c r="AY1398" s="5" t="s">
        <v>238</v>
      </c>
      <c r="BA1398" s="5" t="s">
        <v>238</v>
      </c>
      <c r="BC1398" s="5" t="s">
        <v>250</v>
      </c>
      <c r="BD1398" s="6" t="s">
        <v>243</v>
      </c>
      <c r="BE1398" s="5" t="s">
        <v>251</v>
      </c>
      <c r="BF1398" s="5" t="s">
        <v>252</v>
      </c>
      <c r="BG1398" s="5" t="s">
        <v>238</v>
      </c>
      <c r="BH1398" s="7">
        <f>0</f>
        <v>0</v>
      </c>
      <c r="BI1398" s="8">
        <f>0</f>
        <v>0</v>
      </c>
      <c r="BJ1398" s="5" t="s">
        <v>253</v>
      </c>
      <c r="BK1398" s="5" t="s">
        <v>254</v>
      </c>
      <c r="BY1398" s="5" t="s">
        <v>238</v>
      </c>
      <c r="BZ1398" s="5" t="s">
        <v>238</v>
      </c>
      <c r="CD1398" s="5" t="s">
        <v>273</v>
      </c>
      <c r="CE1398" s="5" t="s">
        <v>256</v>
      </c>
      <c r="CF1398" s="5" t="s">
        <v>238</v>
      </c>
      <c r="CI1398" s="6" t="s">
        <v>257</v>
      </c>
      <c r="CJ1398" s="5" t="s">
        <v>238</v>
      </c>
      <c r="CK1398" s="5" t="s">
        <v>258</v>
      </c>
      <c r="CL1398" s="5" t="s">
        <v>238</v>
      </c>
      <c r="CM1398" s="5" t="s">
        <v>238</v>
      </c>
      <c r="CN1398" s="5">
        <v>0</v>
      </c>
      <c r="CO1398" s="5" t="s">
        <v>259</v>
      </c>
      <c r="CP1398" s="5" t="s">
        <v>260</v>
      </c>
      <c r="CQ1398" s="5" t="s">
        <v>260</v>
      </c>
      <c r="CR1398" s="5" t="s">
        <v>261</v>
      </c>
      <c r="CU1398" s="8">
        <f>1</f>
        <v>1</v>
      </c>
      <c r="CV1398" s="8">
        <f>0</f>
        <v>0</v>
      </c>
      <c r="CX1398" s="8">
        <f>0</f>
        <v>0</v>
      </c>
      <c r="CY1398" s="8">
        <f>1</f>
        <v>1</v>
      </c>
      <c r="DA1398" s="5" t="s">
        <v>673</v>
      </c>
      <c r="DB1398" s="5" t="s">
        <v>238</v>
      </c>
      <c r="DD1398" s="5" t="s">
        <v>673</v>
      </c>
      <c r="DE1398" s="8">
        <f>1754</f>
        <v>1754</v>
      </c>
      <c r="DG1398" s="5" t="s">
        <v>238</v>
      </c>
      <c r="DH1398" s="5" t="s">
        <v>238</v>
      </c>
      <c r="DI1398" s="5" t="s">
        <v>238</v>
      </c>
      <c r="DJ1398" s="5" t="s">
        <v>238</v>
      </c>
      <c r="DN1398" s="5" t="s">
        <v>238</v>
      </c>
      <c r="DO1398" s="5" t="s">
        <v>238</v>
      </c>
      <c r="DP1398" s="5" t="s">
        <v>238</v>
      </c>
      <c r="DQ1398" s="5" t="s">
        <v>238</v>
      </c>
      <c r="DT1398" s="5" t="s">
        <v>2039</v>
      </c>
      <c r="DU1398" s="5" t="s">
        <v>2011</v>
      </c>
      <c r="HM1398" s="5" t="s">
        <v>264</v>
      </c>
    </row>
    <row r="1399" spans="1:221" x14ac:dyDescent="0.4">
      <c r="A1399" s="5">
        <v>3074</v>
      </c>
      <c r="B1399" s="5">
        <v>1</v>
      </c>
      <c r="C1399" s="5">
        <v>1</v>
      </c>
      <c r="D1399" s="5" t="s">
        <v>2037</v>
      </c>
      <c r="E1399" s="5" t="s">
        <v>271</v>
      </c>
      <c r="F1399" s="5" t="s">
        <v>248</v>
      </c>
      <c r="G1399" s="5" t="s">
        <v>1969</v>
      </c>
      <c r="H1399" s="6" t="s">
        <v>2499</v>
      </c>
      <c r="I1399" s="7">
        <f>5775</f>
        <v>5775</v>
      </c>
      <c r="J1399" s="5" t="s">
        <v>262</v>
      </c>
      <c r="K1399" s="8">
        <f>1</f>
        <v>1</v>
      </c>
      <c r="L1399" s="6" t="s">
        <v>242</v>
      </c>
      <c r="M1399" s="5" t="s">
        <v>267</v>
      </c>
      <c r="N1399" s="5" t="s">
        <v>265</v>
      </c>
      <c r="O1399" s="5" t="s">
        <v>238</v>
      </c>
      <c r="P1399" s="5" t="s">
        <v>238</v>
      </c>
      <c r="Q1399" s="5" t="s">
        <v>268</v>
      </c>
      <c r="R1399" s="5" t="s">
        <v>270</v>
      </c>
      <c r="S1399" s="5" t="s">
        <v>238</v>
      </c>
      <c r="V1399" s="5" t="s">
        <v>238</v>
      </c>
      <c r="X1399" s="6" t="s">
        <v>238</v>
      </c>
      <c r="AA1399" s="6" t="s">
        <v>243</v>
      </c>
      <c r="AB1399" s="5" t="s">
        <v>238</v>
      </c>
      <c r="AC1399" s="5" t="s">
        <v>244</v>
      </c>
      <c r="AD1399" s="5" t="s">
        <v>245</v>
      </c>
      <c r="AT1399" s="5" t="s">
        <v>246</v>
      </c>
      <c r="AU1399" s="5" t="s">
        <v>238</v>
      </c>
      <c r="AV1399" s="5" t="s">
        <v>247</v>
      </c>
      <c r="AW1399" s="5" t="s">
        <v>238</v>
      </c>
      <c r="AX1399" s="5" t="s">
        <v>249</v>
      </c>
      <c r="AY1399" s="5" t="s">
        <v>238</v>
      </c>
      <c r="BA1399" s="5" t="s">
        <v>238</v>
      </c>
      <c r="BC1399" s="5" t="s">
        <v>250</v>
      </c>
      <c r="BD1399" s="6" t="s">
        <v>243</v>
      </c>
      <c r="BE1399" s="5" t="s">
        <v>251</v>
      </c>
      <c r="BF1399" s="5" t="s">
        <v>252</v>
      </c>
      <c r="BG1399" s="5" t="s">
        <v>238</v>
      </c>
      <c r="BH1399" s="7">
        <f>0</f>
        <v>0</v>
      </c>
      <c r="BI1399" s="8">
        <f>0</f>
        <v>0</v>
      </c>
      <c r="BJ1399" s="5" t="s">
        <v>253</v>
      </c>
      <c r="BK1399" s="5" t="s">
        <v>254</v>
      </c>
      <c r="BY1399" s="5" t="s">
        <v>238</v>
      </c>
      <c r="BZ1399" s="5" t="s">
        <v>238</v>
      </c>
      <c r="CD1399" s="5" t="s">
        <v>273</v>
      </c>
      <c r="CE1399" s="5" t="s">
        <v>256</v>
      </c>
      <c r="CF1399" s="5" t="s">
        <v>238</v>
      </c>
      <c r="CI1399" s="6" t="s">
        <v>257</v>
      </c>
      <c r="CJ1399" s="5" t="s">
        <v>238</v>
      </c>
      <c r="CK1399" s="5" t="s">
        <v>258</v>
      </c>
      <c r="CL1399" s="5" t="s">
        <v>238</v>
      </c>
      <c r="CM1399" s="5" t="s">
        <v>238</v>
      </c>
      <c r="CN1399" s="5">
        <v>0</v>
      </c>
      <c r="CO1399" s="5" t="s">
        <v>259</v>
      </c>
      <c r="CP1399" s="5" t="s">
        <v>260</v>
      </c>
      <c r="CQ1399" s="5" t="s">
        <v>260</v>
      </c>
      <c r="CR1399" s="5" t="s">
        <v>261</v>
      </c>
      <c r="CU1399" s="8">
        <f>1</f>
        <v>1</v>
      </c>
      <c r="CV1399" s="8">
        <f>0</f>
        <v>0</v>
      </c>
      <c r="CX1399" s="8">
        <f>0</f>
        <v>0</v>
      </c>
      <c r="CY1399" s="8">
        <f>1</f>
        <v>1</v>
      </c>
      <c r="DA1399" s="5" t="s">
        <v>673</v>
      </c>
      <c r="DB1399" s="5" t="s">
        <v>238</v>
      </c>
      <c r="DD1399" s="5" t="s">
        <v>673</v>
      </c>
      <c r="DE1399" s="8">
        <f>5775</f>
        <v>5775</v>
      </c>
      <c r="DG1399" s="5" t="s">
        <v>238</v>
      </c>
      <c r="DH1399" s="5" t="s">
        <v>238</v>
      </c>
      <c r="DI1399" s="5" t="s">
        <v>238</v>
      </c>
      <c r="DJ1399" s="5" t="s">
        <v>238</v>
      </c>
      <c r="DN1399" s="5" t="s">
        <v>238</v>
      </c>
      <c r="DO1399" s="5" t="s">
        <v>238</v>
      </c>
      <c r="DP1399" s="5" t="s">
        <v>238</v>
      </c>
      <c r="DQ1399" s="5" t="s">
        <v>238</v>
      </c>
      <c r="DT1399" s="5" t="s">
        <v>2039</v>
      </c>
      <c r="DU1399" s="5" t="s">
        <v>2009</v>
      </c>
      <c r="HM1399" s="5" t="s">
        <v>264</v>
      </c>
    </row>
    <row r="1400" spans="1:221" x14ac:dyDescent="0.4">
      <c r="A1400" s="5">
        <v>3075</v>
      </c>
      <c r="B1400" s="5">
        <v>1</v>
      </c>
      <c r="C1400" s="5">
        <v>1</v>
      </c>
      <c r="D1400" s="5" t="s">
        <v>2037</v>
      </c>
      <c r="E1400" s="5" t="s">
        <v>271</v>
      </c>
      <c r="F1400" s="5" t="s">
        <v>248</v>
      </c>
      <c r="G1400" s="5" t="s">
        <v>1969</v>
      </c>
      <c r="H1400" s="6" t="s">
        <v>2498</v>
      </c>
      <c r="I1400" s="7">
        <f>1511</f>
        <v>1511</v>
      </c>
      <c r="J1400" s="5" t="s">
        <v>262</v>
      </c>
      <c r="K1400" s="8">
        <f>1</f>
        <v>1</v>
      </c>
      <c r="L1400" s="6" t="s">
        <v>242</v>
      </c>
      <c r="M1400" s="5" t="s">
        <v>267</v>
      </c>
      <c r="N1400" s="5" t="s">
        <v>265</v>
      </c>
      <c r="O1400" s="5" t="s">
        <v>238</v>
      </c>
      <c r="P1400" s="5" t="s">
        <v>238</v>
      </c>
      <c r="Q1400" s="5" t="s">
        <v>268</v>
      </c>
      <c r="R1400" s="5" t="s">
        <v>270</v>
      </c>
      <c r="S1400" s="5" t="s">
        <v>238</v>
      </c>
      <c r="V1400" s="5" t="s">
        <v>238</v>
      </c>
      <c r="X1400" s="6" t="s">
        <v>238</v>
      </c>
      <c r="AA1400" s="6" t="s">
        <v>243</v>
      </c>
      <c r="AB1400" s="5" t="s">
        <v>238</v>
      </c>
      <c r="AC1400" s="5" t="s">
        <v>244</v>
      </c>
      <c r="AD1400" s="5" t="s">
        <v>245</v>
      </c>
      <c r="AT1400" s="5" t="s">
        <v>246</v>
      </c>
      <c r="AU1400" s="5" t="s">
        <v>238</v>
      </c>
      <c r="AV1400" s="5" t="s">
        <v>247</v>
      </c>
      <c r="AW1400" s="5" t="s">
        <v>238</v>
      </c>
      <c r="AX1400" s="5" t="s">
        <v>249</v>
      </c>
      <c r="AY1400" s="5" t="s">
        <v>238</v>
      </c>
      <c r="BA1400" s="5" t="s">
        <v>238</v>
      </c>
      <c r="BC1400" s="5" t="s">
        <v>250</v>
      </c>
      <c r="BD1400" s="6" t="s">
        <v>243</v>
      </c>
      <c r="BE1400" s="5" t="s">
        <v>251</v>
      </c>
      <c r="BF1400" s="5" t="s">
        <v>252</v>
      </c>
      <c r="BG1400" s="5" t="s">
        <v>238</v>
      </c>
      <c r="BH1400" s="7">
        <f>0</f>
        <v>0</v>
      </c>
      <c r="BI1400" s="8">
        <f>0</f>
        <v>0</v>
      </c>
      <c r="BJ1400" s="5" t="s">
        <v>253</v>
      </c>
      <c r="BK1400" s="5" t="s">
        <v>254</v>
      </c>
      <c r="BY1400" s="5" t="s">
        <v>238</v>
      </c>
      <c r="BZ1400" s="5" t="s">
        <v>238</v>
      </c>
      <c r="CD1400" s="5" t="s">
        <v>273</v>
      </c>
      <c r="CE1400" s="5" t="s">
        <v>256</v>
      </c>
      <c r="CF1400" s="5" t="s">
        <v>238</v>
      </c>
      <c r="CI1400" s="6" t="s">
        <v>257</v>
      </c>
      <c r="CJ1400" s="5" t="s">
        <v>238</v>
      </c>
      <c r="CK1400" s="5" t="s">
        <v>258</v>
      </c>
      <c r="CL1400" s="5" t="s">
        <v>238</v>
      </c>
      <c r="CM1400" s="5" t="s">
        <v>238</v>
      </c>
      <c r="CN1400" s="5">
        <v>0</v>
      </c>
      <c r="CO1400" s="5" t="s">
        <v>259</v>
      </c>
      <c r="CP1400" s="5" t="s">
        <v>260</v>
      </c>
      <c r="CQ1400" s="5" t="s">
        <v>260</v>
      </c>
      <c r="CR1400" s="5" t="s">
        <v>261</v>
      </c>
      <c r="CU1400" s="8">
        <f>1</f>
        <v>1</v>
      </c>
      <c r="CV1400" s="8">
        <f>0</f>
        <v>0</v>
      </c>
      <c r="CX1400" s="8">
        <f>0</f>
        <v>0</v>
      </c>
      <c r="CY1400" s="8">
        <f>1</f>
        <v>1</v>
      </c>
      <c r="DA1400" s="5" t="s">
        <v>673</v>
      </c>
      <c r="DB1400" s="5" t="s">
        <v>238</v>
      </c>
      <c r="DD1400" s="5" t="s">
        <v>673</v>
      </c>
      <c r="DE1400" s="8">
        <f>1511</f>
        <v>1511</v>
      </c>
      <c r="DG1400" s="5" t="s">
        <v>238</v>
      </c>
      <c r="DH1400" s="5" t="s">
        <v>238</v>
      </c>
      <c r="DI1400" s="5" t="s">
        <v>238</v>
      </c>
      <c r="DJ1400" s="5" t="s">
        <v>238</v>
      </c>
      <c r="DN1400" s="5" t="s">
        <v>238</v>
      </c>
      <c r="DO1400" s="5" t="s">
        <v>238</v>
      </c>
      <c r="DP1400" s="5" t="s">
        <v>238</v>
      </c>
      <c r="DQ1400" s="5" t="s">
        <v>238</v>
      </c>
      <c r="DT1400" s="5" t="s">
        <v>2039</v>
      </c>
      <c r="DU1400" s="5" t="s">
        <v>2005</v>
      </c>
      <c r="HM1400" s="5" t="s">
        <v>264</v>
      </c>
    </row>
    <row r="1401" spans="1:221" x14ac:dyDescent="0.4">
      <c r="A1401" s="5">
        <v>3076</v>
      </c>
      <c r="B1401" s="5">
        <v>1</v>
      </c>
      <c r="C1401" s="5">
        <v>1</v>
      </c>
      <c r="D1401" s="5" t="s">
        <v>2037</v>
      </c>
      <c r="E1401" s="5" t="s">
        <v>271</v>
      </c>
      <c r="F1401" s="5" t="s">
        <v>248</v>
      </c>
      <c r="G1401" s="5" t="s">
        <v>1969</v>
      </c>
      <c r="H1401" s="6" t="s">
        <v>2496</v>
      </c>
      <c r="I1401" s="7">
        <f>255</f>
        <v>255</v>
      </c>
      <c r="J1401" s="5" t="s">
        <v>262</v>
      </c>
      <c r="K1401" s="8">
        <f>1</f>
        <v>1</v>
      </c>
      <c r="L1401" s="6" t="s">
        <v>242</v>
      </c>
      <c r="M1401" s="5" t="s">
        <v>267</v>
      </c>
      <c r="N1401" s="5" t="s">
        <v>265</v>
      </c>
      <c r="O1401" s="5" t="s">
        <v>238</v>
      </c>
      <c r="P1401" s="5" t="s">
        <v>238</v>
      </c>
      <c r="Q1401" s="5" t="s">
        <v>268</v>
      </c>
      <c r="R1401" s="5" t="s">
        <v>270</v>
      </c>
      <c r="S1401" s="5" t="s">
        <v>238</v>
      </c>
      <c r="V1401" s="5" t="s">
        <v>238</v>
      </c>
      <c r="X1401" s="6" t="s">
        <v>238</v>
      </c>
      <c r="AA1401" s="6" t="s">
        <v>243</v>
      </c>
      <c r="AB1401" s="5" t="s">
        <v>238</v>
      </c>
      <c r="AC1401" s="5" t="s">
        <v>244</v>
      </c>
      <c r="AD1401" s="5" t="s">
        <v>245</v>
      </c>
      <c r="AT1401" s="5" t="s">
        <v>246</v>
      </c>
      <c r="AU1401" s="5" t="s">
        <v>238</v>
      </c>
      <c r="AV1401" s="5" t="s">
        <v>247</v>
      </c>
      <c r="AW1401" s="5" t="s">
        <v>238</v>
      </c>
      <c r="AX1401" s="5" t="s">
        <v>249</v>
      </c>
      <c r="AY1401" s="5" t="s">
        <v>238</v>
      </c>
      <c r="BA1401" s="5" t="s">
        <v>238</v>
      </c>
      <c r="BC1401" s="5" t="s">
        <v>250</v>
      </c>
      <c r="BD1401" s="6" t="s">
        <v>243</v>
      </c>
      <c r="BE1401" s="5" t="s">
        <v>251</v>
      </c>
      <c r="BF1401" s="5" t="s">
        <v>252</v>
      </c>
      <c r="BG1401" s="5" t="s">
        <v>238</v>
      </c>
      <c r="BH1401" s="7">
        <f>0</f>
        <v>0</v>
      </c>
      <c r="BI1401" s="8">
        <f>0</f>
        <v>0</v>
      </c>
      <c r="BJ1401" s="5" t="s">
        <v>253</v>
      </c>
      <c r="BK1401" s="5" t="s">
        <v>254</v>
      </c>
      <c r="BY1401" s="5" t="s">
        <v>238</v>
      </c>
      <c r="BZ1401" s="5" t="s">
        <v>238</v>
      </c>
      <c r="CD1401" s="5" t="s">
        <v>273</v>
      </c>
      <c r="CE1401" s="5" t="s">
        <v>256</v>
      </c>
      <c r="CF1401" s="5" t="s">
        <v>238</v>
      </c>
      <c r="CI1401" s="6" t="s">
        <v>257</v>
      </c>
      <c r="CJ1401" s="5" t="s">
        <v>238</v>
      </c>
      <c r="CK1401" s="5" t="s">
        <v>258</v>
      </c>
      <c r="CL1401" s="5" t="s">
        <v>238</v>
      </c>
      <c r="CM1401" s="5" t="s">
        <v>238</v>
      </c>
      <c r="CN1401" s="5">
        <v>0</v>
      </c>
      <c r="CO1401" s="5" t="s">
        <v>259</v>
      </c>
      <c r="CP1401" s="5" t="s">
        <v>260</v>
      </c>
      <c r="CQ1401" s="5" t="s">
        <v>260</v>
      </c>
      <c r="CR1401" s="5" t="s">
        <v>261</v>
      </c>
      <c r="CU1401" s="8">
        <f>1</f>
        <v>1</v>
      </c>
      <c r="CV1401" s="8">
        <f>0</f>
        <v>0</v>
      </c>
      <c r="CX1401" s="8">
        <f>0</f>
        <v>0</v>
      </c>
      <c r="CY1401" s="8">
        <f>1</f>
        <v>1</v>
      </c>
      <c r="DA1401" s="5" t="s">
        <v>673</v>
      </c>
      <c r="DB1401" s="5" t="s">
        <v>238</v>
      </c>
      <c r="DD1401" s="5" t="s">
        <v>673</v>
      </c>
      <c r="DE1401" s="8">
        <f>255</f>
        <v>255</v>
      </c>
      <c r="DG1401" s="5" t="s">
        <v>238</v>
      </c>
      <c r="DH1401" s="5" t="s">
        <v>238</v>
      </c>
      <c r="DI1401" s="5" t="s">
        <v>238</v>
      </c>
      <c r="DJ1401" s="5" t="s">
        <v>238</v>
      </c>
      <c r="DN1401" s="5" t="s">
        <v>238</v>
      </c>
      <c r="DO1401" s="5" t="s">
        <v>238</v>
      </c>
      <c r="DP1401" s="5" t="s">
        <v>238</v>
      </c>
      <c r="DQ1401" s="5" t="s">
        <v>238</v>
      </c>
      <c r="DT1401" s="5" t="s">
        <v>2039</v>
      </c>
      <c r="DU1401" s="5" t="s">
        <v>2003</v>
      </c>
      <c r="HM1401" s="5" t="s">
        <v>264</v>
      </c>
    </row>
    <row r="1402" spans="1:221" x14ac:dyDescent="0.4">
      <c r="A1402" s="5">
        <v>3077</v>
      </c>
      <c r="B1402" s="5">
        <v>1</v>
      </c>
      <c r="C1402" s="5">
        <v>1</v>
      </c>
      <c r="D1402" s="5" t="s">
        <v>2037</v>
      </c>
      <c r="E1402" s="5" t="s">
        <v>271</v>
      </c>
      <c r="F1402" s="5" t="s">
        <v>248</v>
      </c>
      <c r="G1402" s="5" t="s">
        <v>1969</v>
      </c>
      <c r="H1402" s="6" t="s">
        <v>2495</v>
      </c>
      <c r="I1402" s="7">
        <f>677</f>
        <v>677</v>
      </c>
      <c r="J1402" s="5" t="s">
        <v>262</v>
      </c>
      <c r="K1402" s="8">
        <f>1</f>
        <v>1</v>
      </c>
      <c r="L1402" s="6" t="s">
        <v>242</v>
      </c>
      <c r="M1402" s="5" t="s">
        <v>267</v>
      </c>
      <c r="N1402" s="5" t="s">
        <v>265</v>
      </c>
      <c r="O1402" s="5" t="s">
        <v>238</v>
      </c>
      <c r="P1402" s="5" t="s">
        <v>238</v>
      </c>
      <c r="Q1402" s="5" t="s">
        <v>268</v>
      </c>
      <c r="R1402" s="5" t="s">
        <v>270</v>
      </c>
      <c r="S1402" s="5" t="s">
        <v>238</v>
      </c>
      <c r="V1402" s="5" t="s">
        <v>238</v>
      </c>
      <c r="X1402" s="6" t="s">
        <v>238</v>
      </c>
      <c r="AA1402" s="6" t="s">
        <v>243</v>
      </c>
      <c r="AB1402" s="5" t="s">
        <v>238</v>
      </c>
      <c r="AC1402" s="5" t="s">
        <v>244</v>
      </c>
      <c r="AD1402" s="5" t="s">
        <v>245</v>
      </c>
      <c r="AT1402" s="5" t="s">
        <v>246</v>
      </c>
      <c r="AU1402" s="5" t="s">
        <v>238</v>
      </c>
      <c r="AV1402" s="5" t="s">
        <v>247</v>
      </c>
      <c r="AW1402" s="5" t="s">
        <v>238</v>
      </c>
      <c r="AX1402" s="5" t="s">
        <v>249</v>
      </c>
      <c r="AY1402" s="5" t="s">
        <v>238</v>
      </c>
      <c r="BA1402" s="5" t="s">
        <v>238</v>
      </c>
      <c r="BC1402" s="5" t="s">
        <v>250</v>
      </c>
      <c r="BD1402" s="6" t="s">
        <v>243</v>
      </c>
      <c r="BE1402" s="5" t="s">
        <v>251</v>
      </c>
      <c r="BF1402" s="5" t="s">
        <v>252</v>
      </c>
      <c r="BG1402" s="5" t="s">
        <v>238</v>
      </c>
      <c r="BH1402" s="7">
        <f>0</f>
        <v>0</v>
      </c>
      <c r="BI1402" s="8">
        <f>0</f>
        <v>0</v>
      </c>
      <c r="BJ1402" s="5" t="s">
        <v>253</v>
      </c>
      <c r="BK1402" s="5" t="s">
        <v>254</v>
      </c>
      <c r="BY1402" s="5" t="s">
        <v>238</v>
      </c>
      <c r="BZ1402" s="5" t="s">
        <v>238</v>
      </c>
      <c r="CD1402" s="5" t="s">
        <v>273</v>
      </c>
      <c r="CE1402" s="5" t="s">
        <v>256</v>
      </c>
      <c r="CF1402" s="5" t="s">
        <v>238</v>
      </c>
      <c r="CI1402" s="6" t="s">
        <v>257</v>
      </c>
      <c r="CJ1402" s="5" t="s">
        <v>238</v>
      </c>
      <c r="CK1402" s="5" t="s">
        <v>258</v>
      </c>
      <c r="CL1402" s="5" t="s">
        <v>238</v>
      </c>
      <c r="CM1402" s="5" t="s">
        <v>238</v>
      </c>
      <c r="CN1402" s="5">
        <v>0</v>
      </c>
      <c r="CO1402" s="5" t="s">
        <v>259</v>
      </c>
      <c r="CP1402" s="5" t="s">
        <v>260</v>
      </c>
      <c r="CQ1402" s="5" t="s">
        <v>260</v>
      </c>
      <c r="CR1402" s="5" t="s">
        <v>261</v>
      </c>
      <c r="CU1402" s="8">
        <f>1</f>
        <v>1</v>
      </c>
      <c r="CV1402" s="8">
        <f>0</f>
        <v>0</v>
      </c>
      <c r="CX1402" s="8">
        <f>0</f>
        <v>0</v>
      </c>
      <c r="CY1402" s="8">
        <f>1</f>
        <v>1</v>
      </c>
      <c r="DA1402" s="5" t="s">
        <v>673</v>
      </c>
      <c r="DB1402" s="5" t="s">
        <v>238</v>
      </c>
      <c r="DD1402" s="5" t="s">
        <v>673</v>
      </c>
      <c r="DE1402" s="8">
        <f>677</f>
        <v>677</v>
      </c>
      <c r="DG1402" s="5" t="s">
        <v>238</v>
      </c>
      <c r="DH1402" s="5" t="s">
        <v>238</v>
      </c>
      <c r="DI1402" s="5" t="s">
        <v>238</v>
      </c>
      <c r="DJ1402" s="5" t="s">
        <v>238</v>
      </c>
      <c r="DN1402" s="5" t="s">
        <v>238</v>
      </c>
      <c r="DO1402" s="5" t="s">
        <v>238</v>
      </c>
      <c r="DP1402" s="5" t="s">
        <v>238</v>
      </c>
      <c r="DQ1402" s="5" t="s">
        <v>238</v>
      </c>
      <c r="DT1402" s="5" t="s">
        <v>2039</v>
      </c>
      <c r="DU1402" s="5" t="s">
        <v>1997</v>
      </c>
      <c r="HM1402" s="5" t="s">
        <v>264</v>
      </c>
    </row>
    <row r="1403" spans="1:221" x14ac:dyDescent="0.4">
      <c r="A1403" s="5">
        <v>3078</v>
      </c>
      <c r="B1403" s="5">
        <v>1</v>
      </c>
      <c r="C1403" s="5">
        <v>1</v>
      </c>
      <c r="D1403" s="5" t="s">
        <v>2037</v>
      </c>
      <c r="E1403" s="5" t="s">
        <v>271</v>
      </c>
      <c r="F1403" s="5" t="s">
        <v>248</v>
      </c>
      <c r="G1403" s="5" t="s">
        <v>1969</v>
      </c>
      <c r="H1403" s="6" t="s">
        <v>2493</v>
      </c>
      <c r="I1403" s="7">
        <f>1549</f>
        <v>1549</v>
      </c>
      <c r="J1403" s="5" t="s">
        <v>262</v>
      </c>
      <c r="K1403" s="8">
        <f>1</f>
        <v>1</v>
      </c>
      <c r="L1403" s="6" t="s">
        <v>242</v>
      </c>
      <c r="M1403" s="5" t="s">
        <v>267</v>
      </c>
      <c r="N1403" s="5" t="s">
        <v>265</v>
      </c>
      <c r="O1403" s="5" t="s">
        <v>238</v>
      </c>
      <c r="P1403" s="5" t="s">
        <v>238</v>
      </c>
      <c r="Q1403" s="5" t="s">
        <v>268</v>
      </c>
      <c r="R1403" s="5" t="s">
        <v>270</v>
      </c>
      <c r="S1403" s="5" t="s">
        <v>238</v>
      </c>
      <c r="V1403" s="5" t="s">
        <v>238</v>
      </c>
      <c r="X1403" s="6" t="s">
        <v>238</v>
      </c>
      <c r="AA1403" s="6" t="s">
        <v>243</v>
      </c>
      <c r="AB1403" s="5" t="s">
        <v>238</v>
      </c>
      <c r="AC1403" s="5" t="s">
        <v>244</v>
      </c>
      <c r="AD1403" s="5" t="s">
        <v>245</v>
      </c>
      <c r="AT1403" s="5" t="s">
        <v>246</v>
      </c>
      <c r="AU1403" s="5" t="s">
        <v>238</v>
      </c>
      <c r="AV1403" s="5" t="s">
        <v>247</v>
      </c>
      <c r="AW1403" s="5" t="s">
        <v>238</v>
      </c>
      <c r="AX1403" s="5" t="s">
        <v>249</v>
      </c>
      <c r="AY1403" s="5" t="s">
        <v>238</v>
      </c>
      <c r="BA1403" s="5" t="s">
        <v>238</v>
      </c>
      <c r="BC1403" s="5" t="s">
        <v>250</v>
      </c>
      <c r="BD1403" s="6" t="s">
        <v>243</v>
      </c>
      <c r="BE1403" s="5" t="s">
        <v>251</v>
      </c>
      <c r="BF1403" s="5" t="s">
        <v>252</v>
      </c>
      <c r="BG1403" s="5" t="s">
        <v>238</v>
      </c>
      <c r="BH1403" s="7">
        <f>0</f>
        <v>0</v>
      </c>
      <c r="BI1403" s="8">
        <f>0</f>
        <v>0</v>
      </c>
      <c r="BJ1403" s="5" t="s">
        <v>253</v>
      </c>
      <c r="BK1403" s="5" t="s">
        <v>254</v>
      </c>
      <c r="BY1403" s="5" t="s">
        <v>238</v>
      </c>
      <c r="BZ1403" s="5" t="s">
        <v>238</v>
      </c>
      <c r="CD1403" s="5" t="s">
        <v>273</v>
      </c>
      <c r="CE1403" s="5" t="s">
        <v>256</v>
      </c>
      <c r="CF1403" s="5" t="s">
        <v>238</v>
      </c>
      <c r="CI1403" s="6" t="s">
        <v>257</v>
      </c>
      <c r="CJ1403" s="5" t="s">
        <v>238</v>
      </c>
      <c r="CK1403" s="5" t="s">
        <v>258</v>
      </c>
      <c r="CL1403" s="5" t="s">
        <v>238</v>
      </c>
      <c r="CM1403" s="5" t="s">
        <v>238</v>
      </c>
      <c r="CN1403" s="5">
        <v>0</v>
      </c>
      <c r="CO1403" s="5" t="s">
        <v>259</v>
      </c>
      <c r="CP1403" s="5" t="s">
        <v>260</v>
      </c>
      <c r="CQ1403" s="5" t="s">
        <v>260</v>
      </c>
      <c r="CR1403" s="5" t="s">
        <v>261</v>
      </c>
      <c r="CU1403" s="8">
        <f>1</f>
        <v>1</v>
      </c>
      <c r="CV1403" s="8">
        <f>0</f>
        <v>0</v>
      </c>
      <c r="CX1403" s="8">
        <f>0</f>
        <v>0</v>
      </c>
      <c r="CY1403" s="8">
        <f>1</f>
        <v>1</v>
      </c>
      <c r="DA1403" s="5" t="s">
        <v>673</v>
      </c>
      <c r="DB1403" s="5" t="s">
        <v>238</v>
      </c>
      <c r="DD1403" s="5" t="s">
        <v>673</v>
      </c>
      <c r="DE1403" s="8">
        <f>1549</f>
        <v>1549</v>
      </c>
      <c r="DG1403" s="5" t="s">
        <v>238</v>
      </c>
      <c r="DH1403" s="5" t="s">
        <v>238</v>
      </c>
      <c r="DI1403" s="5" t="s">
        <v>238</v>
      </c>
      <c r="DJ1403" s="5" t="s">
        <v>238</v>
      </c>
      <c r="DN1403" s="5" t="s">
        <v>238</v>
      </c>
      <c r="DO1403" s="5" t="s">
        <v>238</v>
      </c>
      <c r="DP1403" s="5" t="s">
        <v>238</v>
      </c>
      <c r="DQ1403" s="5" t="s">
        <v>238</v>
      </c>
      <c r="DT1403" s="5" t="s">
        <v>2039</v>
      </c>
      <c r="DU1403" s="5" t="s">
        <v>1993</v>
      </c>
      <c r="HM1403" s="5" t="s">
        <v>264</v>
      </c>
    </row>
    <row r="1404" spans="1:221" x14ac:dyDescent="0.4">
      <c r="A1404" s="5">
        <v>3079</v>
      </c>
      <c r="B1404" s="5">
        <v>1</v>
      </c>
      <c r="C1404" s="5">
        <v>1</v>
      </c>
      <c r="D1404" s="5" t="s">
        <v>2037</v>
      </c>
      <c r="E1404" s="5" t="s">
        <v>271</v>
      </c>
      <c r="F1404" s="5" t="s">
        <v>248</v>
      </c>
      <c r="G1404" s="5" t="s">
        <v>1969</v>
      </c>
      <c r="H1404" s="6" t="s">
        <v>2492</v>
      </c>
      <c r="I1404" s="7">
        <f>410</f>
        <v>410</v>
      </c>
      <c r="J1404" s="5" t="s">
        <v>262</v>
      </c>
      <c r="K1404" s="8">
        <f>1</f>
        <v>1</v>
      </c>
      <c r="L1404" s="6" t="s">
        <v>242</v>
      </c>
      <c r="M1404" s="5" t="s">
        <v>267</v>
      </c>
      <c r="N1404" s="5" t="s">
        <v>265</v>
      </c>
      <c r="O1404" s="5" t="s">
        <v>238</v>
      </c>
      <c r="P1404" s="5" t="s">
        <v>238</v>
      </c>
      <c r="Q1404" s="5" t="s">
        <v>268</v>
      </c>
      <c r="R1404" s="5" t="s">
        <v>270</v>
      </c>
      <c r="S1404" s="5" t="s">
        <v>238</v>
      </c>
      <c r="V1404" s="5" t="s">
        <v>238</v>
      </c>
      <c r="X1404" s="6" t="s">
        <v>238</v>
      </c>
      <c r="AA1404" s="6" t="s">
        <v>243</v>
      </c>
      <c r="AB1404" s="5" t="s">
        <v>238</v>
      </c>
      <c r="AC1404" s="5" t="s">
        <v>244</v>
      </c>
      <c r="AD1404" s="5" t="s">
        <v>245</v>
      </c>
      <c r="AT1404" s="5" t="s">
        <v>246</v>
      </c>
      <c r="AU1404" s="5" t="s">
        <v>238</v>
      </c>
      <c r="AV1404" s="5" t="s">
        <v>247</v>
      </c>
      <c r="AW1404" s="5" t="s">
        <v>238</v>
      </c>
      <c r="AX1404" s="5" t="s">
        <v>249</v>
      </c>
      <c r="AY1404" s="5" t="s">
        <v>238</v>
      </c>
      <c r="BA1404" s="5" t="s">
        <v>238</v>
      </c>
      <c r="BC1404" s="5" t="s">
        <v>250</v>
      </c>
      <c r="BD1404" s="6" t="s">
        <v>243</v>
      </c>
      <c r="BE1404" s="5" t="s">
        <v>251</v>
      </c>
      <c r="BF1404" s="5" t="s">
        <v>252</v>
      </c>
      <c r="BG1404" s="5" t="s">
        <v>238</v>
      </c>
      <c r="BH1404" s="7">
        <f>0</f>
        <v>0</v>
      </c>
      <c r="BI1404" s="8">
        <f>0</f>
        <v>0</v>
      </c>
      <c r="BJ1404" s="5" t="s">
        <v>253</v>
      </c>
      <c r="BK1404" s="5" t="s">
        <v>254</v>
      </c>
      <c r="BY1404" s="5" t="s">
        <v>238</v>
      </c>
      <c r="BZ1404" s="5" t="s">
        <v>238</v>
      </c>
      <c r="CD1404" s="5" t="s">
        <v>273</v>
      </c>
      <c r="CE1404" s="5" t="s">
        <v>256</v>
      </c>
      <c r="CF1404" s="5" t="s">
        <v>238</v>
      </c>
      <c r="CI1404" s="6" t="s">
        <v>257</v>
      </c>
      <c r="CJ1404" s="5" t="s">
        <v>238</v>
      </c>
      <c r="CK1404" s="5" t="s">
        <v>258</v>
      </c>
      <c r="CL1404" s="5" t="s">
        <v>238</v>
      </c>
      <c r="CM1404" s="5" t="s">
        <v>238</v>
      </c>
      <c r="CN1404" s="5">
        <v>0</v>
      </c>
      <c r="CO1404" s="5" t="s">
        <v>259</v>
      </c>
      <c r="CP1404" s="5" t="s">
        <v>260</v>
      </c>
      <c r="CQ1404" s="5" t="s">
        <v>260</v>
      </c>
      <c r="CR1404" s="5" t="s">
        <v>261</v>
      </c>
      <c r="CU1404" s="8">
        <f>1</f>
        <v>1</v>
      </c>
      <c r="CV1404" s="8">
        <f>0</f>
        <v>0</v>
      </c>
      <c r="CX1404" s="8">
        <f>0</f>
        <v>0</v>
      </c>
      <c r="CY1404" s="8">
        <f>1</f>
        <v>1</v>
      </c>
      <c r="DA1404" s="5" t="s">
        <v>673</v>
      </c>
      <c r="DB1404" s="5" t="s">
        <v>238</v>
      </c>
      <c r="DD1404" s="5" t="s">
        <v>673</v>
      </c>
      <c r="DE1404" s="8">
        <f>410</f>
        <v>410</v>
      </c>
      <c r="DG1404" s="5" t="s">
        <v>238</v>
      </c>
      <c r="DH1404" s="5" t="s">
        <v>238</v>
      </c>
      <c r="DI1404" s="5" t="s">
        <v>238</v>
      </c>
      <c r="DJ1404" s="5" t="s">
        <v>238</v>
      </c>
      <c r="DN1404" s="5" t="s">
        <v>238</v>
      </c>
      <c r="DO1404" s="5" t="s">
        <v>238</v>
      </c>
      <c r="DP1404" s="5" t="s">
        <v>238</v>
      </c>
      <c r="DQ1404" s="5" t="s">
        <v>238</v>
      </c>
      <c r="DT1404" s="5" t="s">
        <v>2039</v>
      </c>
      <c r="DU1404" s="5" t="s">
        <v>1989</v>
      </c>
      <c r="HM1404" s="5" t="s">
        <v>264</v>
      </c>
    </row>
    <row r="1405" spans="1:221" x14ac:dyDescent="0.4">
      <c r="A1405" s="5">
        <v>3080</v>
      </c>
      <c r="B1405" s="5">
        <v>1</v>
      </c>
      <c r="C1405" s="5">
        <v>1</v>
      </c>
      <c r="D1405" s="5" t="s">
        <v>2037</v>
      </c>
      <c r="E1405" s="5" t="s">
        <v>271</v>
      </c>
      <c r="F1405" s="5" t="s">
        <v>248</v>
      </c>
      <c r="G1405" s="5" t="s">
        <v>1969</v>
      </c>
      <c r="H1405" s="6" t="s">
        <v>2491</v>
      </c>
      <c r="I1405" s="7">
        <f>973</f>
        <v>973</v>
      </c>
      <c r="J1405" s="5" t="s">
        <v>262</v>
      </c>
      <c r="K1405" s="8">
        <f>1</f>
        <v>1</v>
      </c>
      <c r="L1405" s="6" t="s">
        <v>242</v>
      </c>
      <c r="M1405" s="5" t="s">
        <v>267</v>
      </c>
      <c r="N1405" s="5" t="s">
        <v>265</v>
      </c>
      <c r="O1405" s="5" t="s">
        <v>238</v>
      </c>
      <c r="P1405" s="5" t="s">
        <v>238</v>
      </c>
      <c r="Q1405" s="5" t="s">
        <v>268</v>
      </c>
      <c r="R1405" s="5" t="s">
        <v>270</v>
      </c>
      <c r="S1405" s="5" t="s">
        <v>238</v>
      </c>
      <c r="V1405" s="5" t="s">
        <v>238</v>
      </c>
      <c r="X1405" s="6" t="s">
        <v>238</v>
      </c>
      <c r="AA1405" s="6" t="s">
        <v>243</v>
      </c>
      <c r="AB1405" s="5" t="s">
        <v>238</v>
      </c>
      <c r="AC1405" s="5" t="s">
        <v>244</v>
      </c>
      <c r="AD1405" s="5" t="s">
        <v>245</v>
      </c>
      <c r="AT1405" s="5" t="s">
        <v>246</v>
      </c>
      <c r="AU1405" s="5" t="s">
        <v>238</v>
      </c>
      <c r="AV1405" s="5" t="s">
        <v>247</v>
      </c>
      <c r="AW1405" s="5" t="s">
        <v>238</v>
      </c>
      <c r="AX1405" s="5" t="s">
        <v>249</v>
      </c>
      <c r="AY1405" s="5" t="s">
        <v>238</v>
      </c>
      <c r="BA1405" s="5" t="s">
        <v>238</v>
      </c>
      <c r="BC1405" s="5" t="s">
        <v>250</v>
      </c>
      <c r="BD1405" s="6" t="s">
        <v>243</v>
      </c>
      <c r="BE1405" s="5" t="s">
        <v>251</v>
      </c>
      <c r="BF1405" s="5" t="s">
        <v>252</v>
      </c>
      <c r="BG1405" s="5" t="s">
        <v>238</v>
      </c>
      <c r="BH1405" s="7">
        <f>0</f>
        <v>0</v>
      </c>
      <c r="BI1405" s="8">
        <f>0</f>
        <v>0</v>
      </c>
      <c r="BJ1405" s="5" t="s">
        <v>253</v>
      </c>
      <c r="BK1405" s="5" t="s">
        <v>254</v>
      </c>
      <c r="BY1405" s="5" t="s">
        <v>238</v>
      </c>
      <c r="BZ1405" s="5" t="s">
        <v>238</v>
      </c>
      <c r="CD1405" s="5" t="s">
        <v>273</v>
      </c>
      <c r="CE1405" s="5" t="s">
        <v>256</v>
      </c>
      <c r="CF1405" s="5" t="s">
        <v>238</v>
      </c>
      <c r="CI1405" s="6" t="s">
        <v>257</v>
      </c>
      <c r="CJ1405" s="5" t="s">
        <v>238</v>
      </c>
      <c r="CK1405" s="5" t="s">
        <v>258</v>
      </c>
      <c r="CL1405" s="5" t="s">
        <v>238</v>
      </c>
      <c r="CM1405" s="5" t="s">
        <v>238</v>
      </c>
      <c r="CN1405" s="5">
        <v>0</v>
      </c>
      <c r="CO1405" s="5" t="s">
        <v>259</v>
      </c>
      <c r="CP1405" s="5" t="s">
        <v>260</v>
      </c>
      <c r="CQ1405" s="5" t="s">
        <v>260</v>
      </c>
      <c r="CR1405" s="5" t="s">
        <v>261</v>
      </c>
      <c r="CU1405" s="8">
        <f>1</f>
        <v>1</v>
      </c>
      <c r="CV1405" s="8">
        <f>0</f>
        <v>0</v>
      </c>
      <c r="CX1405" s="8">
        <f>0</f>
        <v>0</v>
      </c>
      <c r="CY1405" s="8">
        <f>1</f>
        <v>1</v>
      </c>
      <c r="DA1405" s="5" t="s">
        <v>673</v>
      </c>
      <c r="DB1405" s="5" t="s">
        <v>238</v>
      </c>
      <c r="DD1405" s="5" t="s">
        <v>673</v>
      </c>
      <c r="DE1405" s="8">
        <f>973</f>
        <v>973</v>
      </c>
      <c r="DG1405" s="5" t="s">
        <v>238</v>
      </c>
      <c r="DH1405" s="5" t="s">
        <v>238</v>
      </c>
      <c r="DI1405" s="5" t="s">
        <v>238</v>
      </c>
      <c r="DJ1405" s="5" t="s">
        <v>238</v>
      </c>
      <c r="DN1405" s="5" t="s">
        <v>238</v>
      </c>
      <c r="DO1405" s="5" t="s">
        <v>238</v>
      </c>
      <c r="DP1405" s="5" t="s">
        <v>238</v>
      </c>
      <c r="DQ1405" s="5" t="s">
        <v>238</v>
      </c>
      <c r="DT1405" s="5" t="s">
        <v>2039</v>
      </c>
      <c r="DU1405" s="5" t="s">
        <v>1987</v>
      </c>
      <c r="HM1405" s="5" t="s">
        <v>264</v>
      </c>
    </row>
    <row r="1406" spans="1:221" x14ac:dyDescent="0.4">
      <c r="A1406" s="5">
        <v>3081</v>
      </c>
      <c r="B1406" s="5">
        <v>1</v>
      </c>
      <c r="C1406" s="5">
        <v>1</v>
      </c>
      <c r="D1406" s="5" t="s">
        <v>2037</v>
      </c>
      <c r="E1406" s="5" t="s">
        <v>271</v>
      </c>
      <c r="F1406" s="5" t="s">
        <v>248</v>
      </c>
      <c r="G1406" s="5" t="s">
        <v>1969</v>
      </c>
      <c r="H1406" s="6" t="s">
        <v>2490</v>
      </c>
      <c r="I1406" s="7">
        <f>1016</f>
        <v>1016</v>
      </c>
      <c r="J1406" s="5" t="s">
        <v>262</v>
      </c>
      <c r="K1406" s="8">
        <f>1</f>
        <v>1</v>
      </c>
      <c r="L1406" s="6" t="s">
        <v>242</v>
      </c>
      <c r="M1406" s="5" t="s">
        <v>267</v>
      </c>
      <c r="N1406" s="5" t="s">
        <v>265</v>
      </c>
      <c r="O1406" s="5" t="s">
        <v>238</v>
      </c>
      <c r="P1406" s="5" t="s">
        <v>238</v>
      </c>
      <c r="Q1406" s="5" t="s">
        <v>268</v>
      </c>
      <c r="R1406" s="5" t="s">
        <v>270</v>
      </c>
      <c r="S1406" s="5" t="s">
        <v>238</v>
      </c>
      <c r="V1406" s="5" t="s">
        <v>238</v>
      </c>
      <c r="X1406" s="6" t="s">
        <v>238</v>
      </c>
      <c r="AA1406" s="6" t="s">
        <v>243</v>
      </c>
      <c r="AB1406" s="5" t="s">
        <v>238</v>
      </c>
      <c r="AC1406" s="5" t="s">
        <v>244</v>
      </c>
      <c r="AD1406" s="5" t="s">
        <v>245</v>
      </c>
      <c r="AT1406" s="5" t="s">
        <v>246</v>
      </c>
      <c r="AU1406" s="5" t="s">
        <v>238</v>
      </c>
      <c r="AV1406" s="5" t="s">
        <v>247</v>
      </c>
      <c r="AW1406" s="5" t="s">
        <v>238</v>
      </c>
      <c r="AX1406" s="5" t="s">
        <v>249</v>
      </c>
      <c r="AY1406" s="5" t="s">
        <v>238</v>
      </c>
      <c r="BA1406" s="5" t="s">
        <v>238</v>
      </c>
      <c r="BC1406" s="5" t="s">
        <v>250</v>
      </c>
      <c r="BD1406" s="6" t="s">
        <v>243</v>
      </c>
      <c r="BE1406" s="5" t="s">
        <v>251</v>
      </c>
      <c r="BF1406" s="5" t="s">
        <v>252</v>
      </c>
      <c r="BG1406" s="5" t="s">
        <v>238</v>
      </c>
      <c r="BH1406" s="7">
        <f>0</f>
        <v>0</v>
      </c>
      <c r="BI1406" s="8">
        <f>0</f>
        <v>0</v>
      </c>
      <c r="BJ1406" s="5" t="s">
        <v>253</v>
      </c>
      <c r="BK1406" s="5" t="s">
        <v>254</v>
      </c>
      <c r="BY1406" s="5" t="s">
        <v>238</v>
      </c>
      <c r="BZ1406" s="5" t="s">
        <v>238</v>
      </c>
      <c r="CD1406" s="5" t="s">
        <v>273</v>
      </c>
      <c r="CE1406" s="5" t="s">
        <v>256</v>
      </c>
      <c r="CF1406" s="5" t="s">
        <v>238</v>
      </c>
      <c r="CI1406" s="6" t="s">
        <v>257</v>
      </c>
      <c r="CJ1406" s="5" t="s">
        <v>238</v>
      </c>
      <c r="CK1406" s="5" t="s">
        <v>258</v>
      </c>
      <c r="CL1406" s="5" t="s">
        <v>238</v>
      </c>
      <c r="CM1406" s="5" t="s">
        <v>238</v>
      </c>
      <c r="CN1406" s="5">
        <v>0</v>
      </c>
      <c r="CO1406" s="5" t="s">
        <v>259</v>
      </c>
      <c r="CP1406" s="5" t="s">
        <v>260</v>
      </c>
      <c r="CQ1406" s="5" t="s">
        <v>260</v>
      </c>
      <c r="CR1406" s="5" t="s">
        <v>261</v>
      </c>
      <c r="CU1406" s="8">
        <f>1</f>
        <v>1</v>
      </c>
      <c r="CV1406" s="8">
        <f>0</f>
        <v>0</v>
      </c>
      <c r="CX1406" s="8">
        <f>0</f>
        <v>0</v>
      </c>
      <c r="CY1406" s="8">
        <f>1</f>
        <v>1</v>
      </c>
      <c r="DA1406" s="5" t="s">
        <v>673</v>
      </c>
      <c r="DB1406" s="5" t="s">
        <v>238</v>
      </c>
      <c r="DD1406" s="5" t="s">
        <v>673</v>
      </c>
      <c r="DE1406" s="8">
        <f>1016</f>
        <v>1016</v>
      </c>
      <c r="DG1406" s="5" t="s">
        <v>238</v>
      </c>
      <c r="DH1406" s="5" t="s">
        <v>238</v>
      </c>
      <c r="DI1406" s="5" t="s">
        <v>238</v>
      </c>
      <c r="DJ1406" s="5" t="s">
        <v>238</v>
      </c>
      <c r="DN1406" s="5" t="s">
        <v>238</v>
      </c>
      <c r="DO1406" s="5" t="s">
        <v>238</v>
      </c>
      <c r="DP1406" s="5" t="s">
        <v>238</v>
      </c>
      <c r="DQ1406" s="5" t="s">
        <v>238</v>
      </c>
      <c r="DT1406" s="5" t="s">
        <v>2039</v>
      </c>
      <c r="DU1406" s="5" t="s">
        <v>1979</v>
      </c>
      <c r="HM1406" s="5" t="s">
        <v>264</v>
      </c>
    </row>
    <row r="1407" spans="1:221" x14ac:dyDescent="0.4">
      <c r="A1407" s="5">
        <v>3082</v>
      </c>
      <c r="B1407" s="5">
        <v>1</v>
      </c>
      <c r="C1407" s="5">
        <v>1</v>
      </c>
      <c r="D1407" s="5" t="s">
        <v>2037</v>
      </c>
      <c r="E1407" s="5" t="s">
        <v>271</v>
      </c>
      <c r="F1407" s="5" t="s">
        <v>248</v>
      </c>
      <c r="G1407" s="5" t="s">
        <v>1969</v>
      </c>
      <c r="H1407" s="6" t="s">
        <v>2489</v>
      </c>
      <c r="I1407" s="7">
        <f>1769</f>
        <v>1769</v>
      </c>
      <c r="J1407" s="5" t="s">
        <v>262</v>
      </c>
      <c r="K1407" s="8">
        <f>1</f>
        <v>1</v>
      </c>
      <c r="L1407" s="6" t="s">
        <v>242</v>
      </c>
      <c r="M1407" s="5" t="s">
        <v>267</v>
      </c>
      <c r="N1407" s="5" t="s">
        <v>265</v>
      </c>
      <c r="O1407" s="5" t="s">
        <v>238</v>
      </c>
      <c r="P1407" s="5" t="s">
        <v>238</v>
      </c>
      <c r="Q1407" s="5" t="s">
        <v>268</v>
      </c>
      <c r="R1407" s="5" t="s">
        <v>270</v>
      </c>
      <c r="S1407" s="5" t="s">
        <v>238</v>
      </c>
      <c r="V1407" s="5" t="s">
        <v>238</v>
      </c>
      <c r="X1407" s="6" t="s">
        <v>238</v>
      </c>
      <c r="AA1407" s="6" t="s">
        <v>243</v>
      </c>
      <c r="AB1407" s="5" t="s">
        <v>238</v>
      </c>
      <c r="AC1407" s="5" t="s">
        <v>244</v>
      </c>
      <c r="AD1407" s="5" t="s">
        <v>245</v>
      </c>
      <c r="AT1407" s="5" t="s">
        <v>246</v>
      </c>
      <c r="AU1407" s="5" t="s">
        <v>238</v>
      </c>
      <c r="AV1407" s="5" t="s">
        <v>247</v>
      </c>
      <c r="AW1407" s="5" t="s">
        <v>238</v>
      </c>
      <c r="AX1407" s="5" t="s">
        <v>249</v>
      </c>
      <c r="AY1407" s="5" t="s">
        <v>238</v>
      </c>
      <c r="BA1407" s="5" t="s">
        <v>238</v>
      </c>
      <c r="BC1407" s="5" t="s">
        <v>250</v>
      </c>
      <c r="BD1407" s="6" t="s">
        <v>243</v>
      </c>
      <c r="BE1407" s="5" t="s">
        <v>251</v>
      </c>
      <c r="BF1407" s="5" t="s">
        <v>252</v>
      </c>
      <c r="BG1407" s="5" t="s">
        <v>238</v>
      </c>
      <c r="BH1407" s="7">
        <f>0</f>
        <v>0</v>
      </c>
      <c r="BI1407" s="8">
        <f>0</f>
        <v>0</v>
      </c>
      <c r="BJ1407" s="5" t="s">
        <v>253</v>
      </c>
      <c r="BK1407" s="5" t="s">
        <v>254</v>
      </c>
      <c r="BY1407" s="5" t="s">
        <v>238</v>
      </c>
      <c r="BZ1407" s="5" t="s">
        <v>238</v>
      </c>
      <c r="CD1407" s="5" t="s">
        <v>273</v>
      </c>
      <c r="CE1407" s="5" t="s">
        <v>256</v>
      </c>
      <c r="CF1407" s="5" t="s">
        <v>238</v>
      </c>
      <c r="CI1407" s="6" t="s">
        <v>257</v>
      </c>
      <c r="CJ1407" s="5" t="s">
        <v>238</v>
      </c>
      <c r="CK1407" s="5" t="s">
        <v>258</v>
      </c>
      <c r="CL1407" s="5" t="s">
        <v>238</v>
      </c>
      <c r="CM1407" s="5" t="s">
        <v>238</v>
      </c>
      <c r="CN1407" s="5">
        <v>0</v>
      </c>
      <c r="CO1407" s="5" t="s">
        <v>259</v>
      </c>
      <c r="CP1407" s="5" t="s">
        <v>260</v>
      </c>
      <c r="CQ1407" s="5" t="s">
        <v>260</v>
      </c>
      <c r="CR1407" s="5" t="s">
        <v>261</v>
      </c>
      <c r="CU1407" s="8">
        <f>1</f>
        <v>1</v>
      </c>
      <c r="CV1407" s="8">
        <f>0</f>
        <v>0</v>
      </c>
      <c r="CX1407" s="8">
        <f>0</f>
        <v>0</v>
      </c>
      <c r="CY1407" s="8">
        <f>1</f>
        <v>1</v>
      </c>
      <c r="DA1407" s="5" t="s">
        <v>673</v>
      </c>
      <c r="DB1407" s="5" t="s">
        <v>238</v>
      </c>
      <c r="DD1407" s="5" t="s">
        <v>673</v>
      </c>
      <c r="DE1407" s="8">
        <f>1769</f>
        <v>1769</v>
      </c>
      <c r="DG1407" s="5" t="s">
        <v>238</v>
      </c>
      <c r="DH1407" s="5" t="s">
        <v>238</v>
      </c>
      <c r="DI1407" s="5" t="s">
        <v>238</v>
      </c>
      <c r="DJ1407" s="5" t="s">
        <v>238</v>
      </c>
      <c r="DN1407" s="5" t="s">
        <v>238</v>
      </c>
      <c r="DO1407" s="5" t="s">
        <v>238</v>
      </c>
      <c r="DP1407" s="5" t="s">
        <v>238</v>
      </c>
      <c r="DQ1407" s="5" t="s">
        <v>238</v>
      </c>
      <c r="DT1407" s="5" t="s">
        <v>2039</v>
      </c>
      <c r="DU1407" s="5" t="s">
        <v>1977</v>
      </c>
      <c r="HM1407" s="5" t="s">
        <v>264</v>
      </c>
    </row>
    <row r="1408" spans="1:221" x14ac:dyDescent="0.4">
      <c r="A1408" s="5">
        <v>3083</v>
      </c>
      <c r="B1408" s="5">
        <v>1</v>
      </c>
      <c r="C1408" s="5">
        <v>1</v>
      </c>
      <c r="D1408" s="5" t="s">
        <v>2037</v>
      </c>
      <c r="E1408" s="5" t="s">
        <v>271</v>
      </c>
      <c r="F1408" s="5" t="s">
        <v>248</v>
      </c>
      <c r="G1408" s="5" t="s">
        <v>1969</v>
      </c>
      <c r="H1408" s="6" t="s">
        <v>2488</v>
      </c>
      <c r="I1408" s="7">
        <f>772</f>
        <v>772</v>
      </c>
      <c r="J1408" s="5" t="s">
        <v>262</v>
      </c>
      <c r="K1408" s="8">
        <f>1</f>
        <v>1</v>
      </c>
      <c r="L1408" s="6" t="s">
        <v>242</v>
      </c>
      <c r="M1408" s="5" t="s">
        <v>267</v>
      </c>
      <c r="N1408" s="5" t="s">
        <v>265</v>
      </c>
      <c r="O1408" s="5" t="s">
        <v>238</v>
      </c>
      <c r="P1408" s="5" t="s">
        <v>238</v>
      </c>
      <c r="Q1408" s="5" t="s">
        <v>268</v>
      </c>
      <c r="R1408" s="5" t="s">
        <v>270</v>
      </c>
      <c r="S1408" s="5" t="s">
        <v>238</v>
      </c>
      <c r="V1408" s="5" t="s">
        <v>238</v>
      </c>
      <c r="X1408" s="6" t="s">
        <v>238</v>
      </c>
      <c r="AA1408" s="6" t="s">
        <v>243</v>
      </c>
      <c r="AB1408" s="5" t="s">
        <v>238</v>
      </c>
      <c r="AC1408" s="5" t="s">
        <v>244</v>
      </c>
      <c r="AD1408" s="5" t="s">
        <v>245</v>
      </c>
      <c r="AT1408" s="5" t="s">
        <v>246</v>
      </c>
      <c r="AU1408" s="5" t="s">
        <v>238</v>
      </c>
      <c r="AV1408" s="5" t="s">
        <v>247</v>
      </c>
      <c r="AW1408" s="5" t="s">
        <v>238</v>
      </c>
      <c r="AX1408" s="5" t="s">
        <v>249</v>
      </c>
      <c r="AY1408" s="5" t="s">
        <v>238</v>
      </c>
      <c r="BA1408" s="5" t="s">
        <v>238</v>
      </c>
      <c r="BC1408" s="5" t="s">
        <v>250</v>
      </c>
      <c r="BD1408" s="6" t="s">
        <v>243</v>
      </c>
      <c r="BE1408" s="5" t="s">
        <v>251</v>
      </c>
      <c r="BF1408" s="5" t="s">
        <v>252</v>
      </c>
      <c r="BG1408" s="5" t="s">
        <v>238</v>
      </c>
      <c r="BH1408" s="7">
        <f>0</f>
        <v>0</v>
      </c>
      <c r="BI1408" s="8">
        <f>0</f>
        <v>0</v>
      </c>
      <c r="BJ1408" s="5" t="s">
        <v>253</v>
      </c>
      <c r="BK1408" s="5" t="s">
        <v>254</v>
      </c>
      <c r="BY1408" s="5" t="s">
        <v>238</v>
      </c>
      <c r="BZ1408" s="5" t="s">
        <v>238</v>
      </c>
      <c r="CD1408" s="5" t="s">
        <v>273</v>
      </c>
      <c r="CE1408" s="5" t="s">
        <v>256</v>
      </c>
      <c r="CF1408" s="5" t="s">
        <v>238</v>
      </c>
      <c r="CI1408" s="6" t="s">
        <v>257</v>
      </c>
      <c r="CJ1408" s="5" t="s">
        <v>238</v>
      </c>
      <c r="CK1408" s="5" t="s">
        <v>258</v>
      </c>
      <c r="CL1408" s="5" t="s">
        <v>238</v>
      </c>
      <c r="CM1408" s="5" t="s">
        <v>238</v>
      </c>
      <c r="CN1408" s="5">
        <v>0</v>
      </c>
      <c r="CO1408" s="5" t="s">
        <v>259</v>
      </c>
      <c r="CP1408" s="5" t="s">
        <v>260</v>
      </c>
      <c r="CQ1408" s="5" t="s">
        <v>260</v>
      </c>
      <c r="CR1408" s="5" t="s">
        <v>261</v>
      </c>
      <c r="CU1408" s="8">
        <f>1</f>
        <v>1</v>
      </c>
      <c r="CV1408" s="8">
        <f>0</f>
        <v>0</v>
      </c>
      <c r="CX1408" s="8">
        <f>0</f>
        <v>0</v>
      </c>
      <c r="CY1408" s="8">
        <f>1</f>
        <v>1</v>
      </c>
      <c r="DA1408" s="5" t="s">
        <v>673</v>
      </c>
      <c r="DB1408" s="5" t="s">
        <v>238</v>
      </c>
      <c r="DD1408" s="5" t="s">
        <v>673</v>
      </c>
      <c r="DE1408" s="8">
        <f>772</f>
        <v>772</v>
      </c>
      <c r="DG1408" s="5" t="s">
        <v>238</v>
      </c>
      <c r="DH1408" s="5" t="s">
        <v>238</v>
      </c>
      <c r="DI1408" s="5" t="s">
        <v>238</v>
      </c>
      <c r="DJ1408" s="5" t="s">
        <v>238</v>
      </c>
      <c r="DN1408" s="5" t="s">
        <v>238</v>
      </c>
      <c r="DO1408" s="5" t="s">
        <v>238</v>
      </c>
      <c r="DP1408" s="5" t="s">
        <v>238</v>
      </c>
      <c r="DQ1408" s="5" t="s">
        <v>238</v>
      </c>
      <c r="DT1408" s="5" t="s">
        <v>2039</v>
      </c>
      <c r="DU1408" s="5" t="s">
        <v>1973</v>
      </c>
      <c r="HM1408" s="5" t="s">
        <v>264</v>
      </c>
    </row>
    <row r="1409" spans="1:221" x14ac:dyDescent="0.4">
      <c r="A1409" s="5">
        <v>3084</v>
      </c>
      <c r="B1409" s="5">
        <v>1</v>
      </c>
      <c r="C1409" s="5">
        <v>1</v>
      </c>
      <c r="D1409" s="5" t="s">
        <v>2037</v>
      </c>
      <c r="E1409" s="5" t="s">
        <v>271</v>
      </c>
      <c r="F1409" s="5" t="s">
        <v>248</v>
      </c>
      <c r="G1409" s="5" t="s">
        <v>1969</v>
      </c>
      <c r="H1409" s="6" t="s">
        <v>2483</v>
      </c>
      <c r="I1409" s="7">
        <f>2084</f>
        <v>2084</v>
      </c>
      <c r="J1409" s="5" t="s">
        <v>262</v>
      </c>
      <c r="K1409" s="8">
        <f>1</f>
        <v>1</v>
      </c>
      <c r="L1409" s="6" t="s">
        <v>242</v>
      </c>
      <c r="M1409" s="5" t="s">
        <v>267</v>
      </c>
      <c r="N1409" s="5" t="s">
        <v>265</v>
      </c>
      <c r="O1409" s="5" t="s">
        <v>238</v>
      </c>
      <c r="P1409" s="5" t="s">
        <v>238</v>
      </c>
      <c r="Q1409" s="5" t="s">
        <v>268</v>
      </c>
      <c r="R1409" s="5" t="s">
        <v>270</v>
      </c>
      <c r="S1409" s="5" t="s">
        <v>238</v>
      </c>
      <c r="V1409" s="5" t="s">
        <v>238</v>
      </c>
      <c r="X1409" s="6" t="s">
        <v>238</v>
      </c>
      <c r="AA1409" s="6" t="s">
        <v>243</v>
      </c>
      <c r="AB1409" s="5" t="s">
        <v>238</v>
      </c>
      <c r="AC1409" s="5" t="s">
        <v>244</v>
      </c>
      <c r="AD1409" s="5" t="s">
        <v>245</v>
      </c>
      <c r="AT1409" s="5" t="s">
        <v>246</v>
      </c>
      <c r="AU1409" s="5" t="s">
        <v>238</v>
      </c>
      <c r="AV1409" s="5" t="s">
        <v>247</v>
      </c>
      <c r="AW1409" s="5" t="s">
        <v>238</v>
      </c>
      <c r="AX1409" s="5" t="s">
        <v>249</v>
      </c>
      <c r="AY1409" s="5" t="s">
        <v>238</v>
      </c>
      <c r="BA1409" s="5" t="s">
        <v>238</v>
      </c>
      <c r="BC1409" s="5" t="s">
        <v>250</v>
      </c>
      <c r="BD1409" s="6" t="s">
        <v>243</v>
      </c>
      <c r="BE1409" s="5" t="s">
        <v>251</v>
      </c>
      <c r="BF1409" s="5" t="s">
        <v>252</v>
      </c>
      <c r="BG1409" s="5" t="s">
        <v>238</v>
      </c>
      <c r="BH1409" s="7">
        <f>0</f>
        <v>0</v>
      </c>
      <c r="BI1409" s="8">
        <f>0</f>
        <v>0</v>
      </c>
      <c r="BJ1409" s="5" t="s">
        <v>253</v>
      </c>
      <c r="BK1409" s="5" t="s">
        <v>254</v>
      </c>
      <c r="BY1409" s="5" t="s">
        <v>238</v>
      </c>
      <c r="BZ1409" s="5" t="s">
        <v>238</v>
      </c>
      <c r="CD1409" s="5" t="s">
        <v>273</v>
      </c>
      <c r="CE1409" s="5" t="s">
        <v>256</v>
      </c>
      <c r="CF1409" s="5" t="s">
        <v>238</v>
      </c>
      <c r="CI1409" s="6" t="s">
        <v>257</v>
      </c>
      <c r="CJ1409" s="5" t="s">
        <v>238</v>
      </c>
      <c r="CK1409" s="5" t="s">
        <v>258</v>
      </c>
      <c r="CL1409" s="5" t="s">
        <v>238</v>
      </c>
      <c r="CM1409" s="5" t="s">
        <v>238</v>
      </c>
      <c r="CN1409" s="5">
        <v>0</v>
      </c>
      <c r="CO1409" s="5" t="s">
        <v>259</v>
      </c>
      <c r="CP1409" s="5" t="s">
        <v>260</v>
      </c>
      <c r="CQ1409" s="5" t="s">
        <v>260</v>
      </c>
      <c r="CR1409" s="5" t="s">
        <v>261</v>
      </c>
      <c r="CU1409" s="8">
        <f>1</f>
        <v>1</v>
      </c>
      <c r="CV1409" s="8">
        <f>0</f>
        <v>0</v>
      </c>
      <c r="CX1409" s="8">
        <f>0</f>
        <v>0</v>
      </c>
      <c r="CY1409" s="8">
        <f>1</f>
        <v>1</v>
      </c>
      <c r="DA1409" s="5" t="s">
        <v>673</v>
      </c>
      <c r="DB1409" s="5" t="s">
        <v>238</v>
      </c>
      <c r="DD1409" s="5" t="s">
        <v>673</v>
      </c>
      <c r="DE1409" s="8">
        <f>2084</f>
        <v>2084</v>
      </c>
      <c r="DG1409" s="5" t="s">
        <v>238</v>
      </c>
      <c r="DH1409" s="5" t="s">
        <v>238</v>
      </c>
      <c r="DI1409" s="5" t="s">
        <v>238</v>
      </c>
      <c r="DJ1409" s="5" t="s">
        <v>238</v>
      </c>
      <c r="DN1409" s="5" t="s">
        <v>238</v>
      </c>
      <c r="DO1409" s="5" t="s">
        <v>238</v>
      </c>
      <c r="DP1409" s="5" t="s">
        <v>238</v>
      </c>
      <c r="DQ1409" s="5" t="s">
        <v>238</v>
      </c>
      <c r="DT1409" s="5" t="s">
        <v>2039</v>
      </c>
      <c r="DU1409" s="5" t="s">
        <v>1971</v>
      </c>
      <c r="HM1409" s="5" t="s">
        <v>264</v>
      </c>
    </row>
    <row r="1410" spans="1:221" x14ac:dyDescent="0.4">
      <c r="A1410" s="5">
        <v>3085</v>
      </c>
      <c r="B1410" s="5">
        <v>1</v>
      </c>
      <c r="C1410" s="5">
        <v>1</v>
      </c>
      <c r="D1410" s="5" t="s">
        <v>2037</v>
      </c>
      <c r="E1410" s="5" t="s">
        <v>271</v>
      </c>
      <c r="F1410" s="5" t="s">
        <v>248</v>
      </c>
      <c r="G1410" s="5" t="s">
        <v>1969</v>
      </c>
      <c r="H1410" s="6" t="s">
        <v>2482</v>
      </c>
      <c r="I1410" s="7">
        <f>556</f>
        <v>556</v>
      </c>
      <c r="J1410" s="5" t="s">
        <v>262</v>
      </c>
      <c r="K1410" s="8">
        <f>1</f>
        <v>1</v>
      </c>
      <c r="L1410" s="6" t="s">
        <v>242</v>
      </c>
      <c r="M1410" s="5" t="s">
        <v>267</v>
      </c>
      <c r="N1410" s="5" t="s">
        <v>265</v>
      </c>
      <c r="O1410" s="5" t="s">
        <v>238</v>
      </c>
      <c r="P1410" s="5" t="s">
        <v>238</v>
      </c>
      <c r="Q1410" s="5" t="s">
        <v>268</v>
      </c>
      <c r="R1410" s="5" t="s">
        <v>270</v>
      </c>
      <c r="S1410" s="5" t="s">
        <v>238</v>
      </c>
      <c r="V1410" s="5" t="s">
        <v>238</v>
      </c>
      <c r="X1410" s="6" t="s">
        <v>238</v>
      </c>
      <c r="AA1410" s="6" t="s">
        <v>243</v>
      </c>
      <c r="AB1410" s="5" t="s">
        <v>238</v>
      </c>
      <c r="AC1410" s="5" t="s">
        <v>244</v>
      </c>
      <c r="AD1410" s="5" t="s">
        <v>245</v>
      </c>
      <c r="AT1410" s="5" t="s">
        <v>246</v>
      </c>
      <c r="AU1410" s="5" t="s">
        <v>238</v>
      </c>
      <c r="AV1410" s="5" t="s">
        <v>247</v>
      </c>
      <c r="AW1410" s="5" t="s">
        <v>238</v>
      </c>
      <c r="AX1410" s="5" t="s">
        <v>249</v>
      </c>
      <c r="AY1410" s="5" t="s">
        <v>238</v>
      </c>
      <c r="BA1410" s="5" t="s">
        <v>238</v>
      </c>
      <c r="BC1410" s="5" t="s">
        <v>250</v>
      </c>
      <c r="BD1410" s="6" t="s">
        <v>243</v>
      </c>
      <c r="BE1410" s="5" t="s">
        <v>251</v>
      </c>
      <c r="BF1410" s="5" t="s">
        <v>252</v>
      </c>
      <c r="BG1410" s="5" t="s">
        <v>238</v>
      </c>
      <c r="BH1410" s="7">
        <f>0</f>
        <v>0</v>
      </c>
      <c r="BI1410" s="8">
        <f>0</f>
        <v>0</v>
      </c>
      <c r="BJ1410" s="5" t="s">
        <v>253</v>
      </c>
      <c r="BK1410" s="5" t="s">
        <v>254</v>
      </c>
      <c r="BY1410" s="5" t="s">
        <v>238</v>
      </c>
      <c r="BZ1410" s="5" t="s">
        <v>238</v>
      </c>
      <c r="CD1410" s="5" t="s">
        <v>273</v>
      </c>
      <c r="CE1410" s="5" t="s">
        <v>256</v>
      </c>
      <c r="CF1410" s="5" t="s">
        <v>238</v>
      </c>
      <c r="CI1410" s="6" t="s">
        <v>257</v>
      </c>
      <c r="CJ1410" s="5" t="s">
        <v>238</v>
      </c>
      <c r="CK1410" s="5" t="s">
        <v>258</v>
      </c>
      <c r="CL1410" s="5" t="s">
        <v>238</v>
      </c>
      <c r="CM1410" s="5" t="s">
        <v>238</v>
      </c>
      <c r="CN1410" s="5">
        <v>0</v>
      </c>
      <c r="CO1410" s="5" t="s">
        <v>259</v>
      </c>
      <c r="CP1410" s="5" t="s">
        <v>260</v>
      </c>
      <c r="CQ1410" s="5" t="s">
        <v>260</v>
      </c>
      <c r="CR1410" s="5" t="s">
        <v>261</v>
      </c>
      <c r="CU1410" s="8">
        <f>1</f>
        <v>1</v>
      </c>
      <c r="CV1410" s="8">
        <f>0</f>
        <v>0</v>
      </c>
      <c r="CX1410" s="8">
        <f>0</f>
        <v>0</v>
      </c>
      <c r="CY1410" s="8">
        <f>1</f>
        <v>1</v>
      </c>
      <c r="DA1410" s="5" t="s">
        <v>673</v>
      </c>
      <c r="DB1410" s="5" t="s">
        <v>238</v>
      </c>
      <c r="DD1410" s="5" t="s">
        <v>673</v>
      </c>
      <c r="DE1410" s="8">
        <f>556</f>
        <v>556</v>
      </c>
      <c r="DG1410" s="5" t="s">
        <v>238</v>
      </c>
      <c r="DH1410" s="5" t="s">
        <v>238</v>
      </c>
      <c r="DI1410" s="5" t="s">
        <v>238</v>
      </c>
      <c r="DJ1410" s="5" t="s">
        <v>238</v>
      </c>
      <c r="DN1410" s="5" t="s">
        <v>238</v>
      </c>
      <c r="DO1410" s="5" t="s">
        <v>238</v>
      </c>
      <c r="DP1410" s="5" t="s">
        <v>238</v>
      </c>
      <c r="DQ1410" s="5" t="s">
        <v>238</v>
      </c>
      <c r="DT1410" s="5" t="s">
        <v>2039</v>
      </c>
      <c r="DU1410" s="5" t="s">
        <v>1960</v>
      </c>
      <c r="HM1410" s="5" t="s">
        <v>264</v>
      </c>
    </row>
    <row r="1411" spans="1:221" x14ac:dyDescent="0.4">
      <c r="A1411" s="5">
        <v>3086</v>
      </c>
      <c r="B1411" s="5">
        <v>1</v>
      </c>
      <c r="C1411" s="5">
        <v>1</v>
      </c>
      <c r="D1411" s="5" t="s">
        <v>2037</v>
      </c>
      <c r="E1411" s="5" t="s">
        <v>271</v>
      </c>
      <c r="F1411" s="5" t="s">
        <v>248</v>
      </c>
      <c r="G1411" s="5" t="s">
        <v>1969</v>
      </c>
      <c r="H1411" s="6" t="s">
        <v>2481</v>
      </c>
      <c r="I1411" s="7">
        <f>1301</f>
        <v>1301</v>
      </c>
      <c r="J1411" s="5" t="s">
        <v>262</v>
      </c>
      <c r="K1411" s="8">
        <f>1</f>
        <v>1</v>
      </c>
      <c r="L1411" s="6" t="s">
        <v>242</v>
      </c>
      <c r="M1411" s="5" t="s">
        <v>267</v>
      </c>
      <c r="N1411" s="5" t="s">
        <v>265</v>
      </c>
      <c r="O1411" s="5" t="s">
        <v>238</v>
      </c>
      <c r="P1411" s="5" t="s">
        <v>238</v>
      </c>
      <c r="Q1411" s="5" t="s">
        <v>268</v>
      </c>
      <c r="R1411" s="5" t="s">
        <v>270</v>
      </c>
      <c r="S1411" s="5" t="s">
        <v>238</v>
      </c>
      <c r="V1411" s="5" t="s">
        <v>238</v>
      </c>
      <c r="X1411" s="6" t="s">
        <v>238</v>
      </c>
      <c r="AA1411" s="6" t="s">
        <v>243</v>
      </c>
      <c r="AB1411" s="5" t="s">
        <v>238</v>
      </c>
      <c r="AC1411" s="5" t="s">
        <v>244</v>
      </c>
      <c r="AD1411" s="5" t="s">
        <v>245</v>
      </c>
      <c r="AT1411" s="5" t="s">
        <v>246</v>
      </c>
      <c r="AU1411" s="5" t="s">
        <v>238</v>
      </c>
      <c r="AV1411" s="5" t="s">
        <v>247</v>
      </c>
      <c r="AW1411" s="5" t="s">
        <v>238</v>
      </c>
      <c r="AX1411" s="5" t="s">
        <v>249</v>
      </c>
      <c r="AY1411" s="5" t="s">
        <v>238</v>
      </c>
      <c r="BA1411" s="5" t="s">
        <v>238</v>
      </c>
      <c r="BC1411" s="5" t="s">
        <v>250</v>
      </c>
      <c r="BD1411" s="6" t="s">
        <v>243</v>
      </c>
      <c r="BE1411" s="5" t="s">
        <v>251</v>
      </c>
      <c r="BF1411" s="5" t="s">
        <v>252</v>
      </c>
      <c r="BG1411" s="5" t="s">
        <v>238</v>
      </c>
      <c r="BH1411" s="7">
        <f>0</f>
        <v>0</v>
      </c>
      <c r="BI1411" s="8">
        <f>0</f>
        <v>0</v>
      </c>
      <c r="BJ1411" s="5" t="s">
        <v>253</v>
      </c>
      <c r="BK1411" s="5" t="s">
        <v>254</v>
      </c>
      <c r="BY1411" s="5" t="s">
        <v>238</v>
      </c>
      <c r="BZ1411" s="5" t="s">
        <v>238</v>
      </c>
      <c r="CD1411" s="5" t="s">
        <v>273</v>
      </c>
      <c r="CE1411" s="5" t="s">
        <v>256</v>
      </c>
      <c r="CF1411" s="5" t="s">
        <v>238</v>
      </c>
      <c r="CI1411" s="6" t="s">
        <v>257</v>
      </c>
      <c r="CJ1411" s="5" t="s">
        <v>238</v>
      </c>
      <c r="CK1411" s="5" t="s">
        <v>258</v>
      </c>
      <c r="CL1411" s="5" t="s">
        <v>238</v>
      </c>
      <c r="CM1411" s="5" t="s">
        <v>238</v>
      </c>
      <c r="CN1411" s="5">
        <v>0</v>
      </c>
      <c r="CO1411" s="5" t="s">
        <v>259</v>
      </c>
      <c r="CP1411" s="5" t="s">
        <v>260</v>
      </c>
      <c r="CQ1411" s="5" t="s">
        <v>260</v>
      </c>
      <c r="CR1411" s="5" t="s">
        <v>261</v>
      </c>
      <c r="CU1411" s="8">
        <f>1</f>
        <v>1</v>
      </c>
      <c r="CV1411" s="8">
        <f>0</f>
        <v>0</v>
      </c>
      <c r="CX1411" s="8">
        <f>0</f>
        <v>0</v>
      </c>
      <c r="CY1411" s="8">
        <f>1</f>
        <v>1</v>
      </c>
      <c r="DA1411" s="5" t="s">
        <v>673</v>
      </c>
      <c r="DB1411" s="5" t="s">
        <v>238</v>
      </c>
      <c r="DD1411" s="5" t="s">
        <v>673</v>
      </c>
      <c r="DE1411" s="8">
        <f>1301</f>
        <v>1301</v>
      </c>
      <c r="DG1411" s="5" t="s">
        <v>238</v>
      </c>
      <c r="DH1411" s="5" t="s">
        <v>238</v>
      </c>
      <c r="DI1411" s="5" t="s">
        <v>238</v>
      </c>
      <c r="DJ1411" s="5" t="s">
        <v>238</v>
      </c>
      <c r="DN1411" s="5" t="s">
        <v>238</v>
      </c>
      <c r="DO1411" s="5" t="s">
        <v>238</v>
      </c>
      <c r="DP1411" s="5" t="s">
        <v>238</v>
      </c>
      <c r="DQ1411" s="5" t="s">
        <v>238</v>
      </c>
      <c r="DT1411" s="5" t="s">
        <v>2039</v>
      </c>
      <c r="DU1411" s="5" t="s">
        <v>1958</v>
      </c>
      <c r="HM1411" s="5" t="s">
        <v>264</v>
      </c>
    </row>
    <row r="1412" spans="1:221" x14ac:dyDescent="0.4">
      <c r="A1412" s="5">
        <v>3087</v>
      </c>
      <c r="B1412" s="5">
        <v>1</v>
      </c>
      <c r="C1412" s="5">
        <v>1</v>
      </c>
      <c r="D1412" s="5" t="s">
        <v>2037</v>
      </c>
      <c r="E1412" s="5" t="s">
        <v>271</v>
      </c>
      <c r="F1412" s="5" t="s">
        <v>248</v>
      </c>
      <c r="G1412" s="5" t="s">
        <v>1969</v>
      </c>
      <c r="H1412" s="6" t="s">
        <v>2480</v>
      </c>
      <c r="I1412" s="7">
        <f>222</f>
        <v>222</v>
      </c>
      <c r="J1412" s="5" t="s">
        <v>262</v>
      </c>
      <c r="K1412" s="8">
        <f>1</f>
        <v>1</v>
      </c>
      <c r="L1412" s="6" t="s">
        <v>242</v>
      </c>
      <c r="M1412" s="5" t="s">
        <v>267</v>
      </c>
      <c r="N1412" s="5" t="s">
        <v>265</v>
      </c>
      <c r="O1412" s="5" t="s">
        <v>238</v>
      </c>
      <c r="P1412" s="5" t="s">
        <v>238</v>
      </c>
      <c r="Q1412" s="5" t="s">
        <v>268</v>
      </c>
      <c r="R1412" s="5" t="s">
        <v>270</v>
      </c>
      <c r="S1412" s="5" t="s">
        <v>238</v>
      </c>
      <c r="V1412" s="5" t="s">
        <v>238</v>
      </c>
      <c r="X1412" s="6" t="s">
        <v>238</v>
      </c>
      <c r="AA1412" s="6" t="s">
        <v>243</v>
      </c>
      <c r="AB1412" s="5" t="s">
        <v>238</v>
      </c>
      <c r="AC1412" s="5" t="s">
        <v>244</v>
      </c>
      <c r="AD1412" s="5" t="s">
        <v>245</v>
      </c>
      <c r="AT1412" s="5" t="s">
        <v>246</v>
      </c>
      <c r="AU1412" s="5" t="s">
        <v>238</v>
      </c>
      <c r="AV1412" s="5" t="s">
        <v>247</v>
      </c>
      <c r="AW1412" s="5" t="s">
        <v>238</v>
      </c>
      <c r="AX1412" s="5" t="s">
        <v>249</v>
      </c>
      <c r="AY1412" s="5" t="s">
        <v>238</v>
      </c>
      <c r="BA1412" s="5" t="s">
        <v>238</v>
      </c>
      <c r="BC1412" s="5" t="s">
        <v>250</v>
      </c>
      <c r="BD1412" s="6" t="s">
        <v>243</v>
      </c>
      <c r="BE1412" s="5" t="s">
        <v>251</v>
      </c>
      <c r="BF1412" s="5" t="s">
        <v>252</v>
      </c>
      <c r="BG1412" s="5" t="s">
        <v>238</v>
      </c>
      <c r="BH1412" s="7">
        <f>0</f>
        <v>0</v>
      </c>
      <c r="BI1412" s="8">
        <f>0</f>
        <v>0</v>
      </c>
      <c r="BJ1412" s="5" t="s">
        <v>253</v>
      </c>
      <c r="BK1412" s="5" t="s">
        <v>254</v>
      </c>
      <c r="BY1412" s="5" t="s">
        <v>238</v>
      </c>
      <c r="BZ1412" s="5" t="s">
        <v>238</v>
      </c>
      <c r="CD1412" s="5" t="s">
        <v>273</v>
      </c>
      <c r="CE1412" s="5" t="s">
        <v>256</v>
      </c>
      <c r="CF1412" s="5" t="s">
        <v>238</v>
      </c>
      <c r="CI1412" s="6" t="s">
        <v>257</v>
      </c>
      <c r="CJ1412" s="5" t="s">
        <v>238</v>
      </c>
      <c r="CK1412" s="5" t="s">
        <v>258</v>
      </c>
      <c r="CL1412" s="5" t="s">
        <v>238</v>
      </c>
      <c r="CM1412" s="5" t="s">
        <v>238</v>
      </c>
      <c r="CN1412" s="5">
        <v>0</v>
      </c>
      <c r="CO1412" s="5" t="s">
        <v>259</v>
      </c>
      <c r="CP1412" s="5" t="s">
        <v>260</v>
      </c>
      <c r="CQ1412" s="5" t="s">
        <v>260</v>
      </c>
      <c r="CR1412" s="5" t="s">
        <v>261</v>
      </c>
      <c r="CU1412" s="8">
        <f>1</f>
        <v>1</v>
      </c>
      <c r="CV1412" s="8">
        <f>0</f>
        <v>0</v>
      </c>
      <c r="CX1412" s="8">
        <f>0</f>
        <v>0</v>
      </c>
      <c r="CY1412" s="8">
        <f>1</f>
        <v>1</v>
      </c>
      <c r="DA1412" s="5" t="s">
        <v>673</v>
      </c>
      <c r="DB1412" s="5" t="s">
        <v>238</v>
      </c>
      <c r="DD1412" s="5" t="s">
        <v>673</v>
      </c>
      <c r="DE1412" s="8">
        <f>222</f>
        <v>222</v>
      </c>
      <c r="DG1412" s="5" t="s">
        <v>238</v>
      </c>
      <c r="DH1412" s="5" t="s">
        <v>238</v>
      </c>
      <c r="DI1412" s="5" t="s">
        <v>238</v>
      </c>
      <c r="DJ1412" s="5" t="s">
        <v>238</v>
      </c>
      <c r="DN1412" s="5" t="s">
        <v>238</v>
      </c>
      <c r="DO1412" s="5" t="s">
        <v>238</v>
      </c>
      <c r="DP1412" s="5" t="s">
        <v>238</v>
      </c>
      <c r="DQ1412" s="5" t="s">
        <v>238</v>
      </c>
      <c r="DT1412" s="5" t="s">
        <v>2039</v>
      </c>
      <c r="DU1412" s="5" t="s">
        <v>1952</v>
      </c>
      <c r="HM1412" s="5" t="s">
        <v>264</v>
      </c>
    </row>
    <row r="1413" spans="1:221" x14ac:dyDescent="0.4">
      <c r="A1413" s="5">
        <v>3088</v>
      </c>
      <c r="B1413" s="5">
        <v>1</v>
      </c>
      <c r="C1413" s="5">
        <v>1</v>
      </c>
      <c r="D1413" s="5" t="s">
        <v>2037</v>
      </c>
      <c r="E1413" s="5" t="s">
        <v>271</v>
      </c>
      <c r="F1413" s="5" t="s">
        <v>248</v>
      </c>
      <c r="G1413" s="5" t="s">
        <v>1969</v>
      </c>
      <c r="H1413" s="6" t="s">
        <v>2479</v>
      </c>
      <c r="I1413" s="7">
        <f>3026</f>
        <v>3026</v>
      </c>
      <c r="J1413" s="5" t="s">
        <v>262</v>
      </c>
      <c r="K1413" s="8">
        <f>1</f>
        <v>1</v>
      </c>
      <c r="L1413" s="6" t="s">
        <v>242</v>
      </c>
      <c r="M1413" s="5" t="s">
        <v>267</v>
      </c>
      <c r="N1413" s="5" t="s">
        <v>265</v>
      </c>
      <c r="O1413" s="5" t="s">
        <v>238</v>
      </c>
      <c r="P1413" s="5" t="s">
        <v>238</v>
      </c>
      <c r="Q1413" s="5" t="s">
        <v>268</v>
      </c>
      <c r="R1413" s="5" t="s">
        <v>270</v>
      </c>
      <c r="S1413" s="5" t="s">
        <v>238</v>
      </c>
      <c r="V1413" s="5" t="s">
        <v>238</v>
      </c>
      <c r="X1413" s="6" t="s">
        <v>238</v>
      </c>
      <c r="AA1413" s="6" t="s">
        <v>243</v>
      </c>
      <c r="AB1413" s="5" t="s">
        <v>238</v>
      </c>
      <c r="AC1413" s="5" t="s">
        <v>244</v>
      </c>
      <c r="AD1413" s="5" t="s">
        <v>245</v>
      </c>
      <c r="AT1413" s="5" t="s">
        <v>246</v>
      </c>
      <c r="AU1413" s="5" t="s">
        <v>238</v>
      </c>
      <c r="AV1413" s="5" t="s">
        <v>247</v>
      </c>
      <c r="AW1413" s="5" t="s">
        <v>238</v>
      </c>
      <c r="AX1413" s="5" t="s">
        <v>249</v>
      </c>
      <c r="AY1413" s="5" t="s">
        <v>238</v>
      </c>
      <c r="BA1413" s="5" t="s">
        <v>238</v>
      </c>
      <c r="BC1413" s="5" t="s">
        <v>250</v>
      </c>
      <c r="BD1413" s="6" t="s">
        <v>243</v>
      </c>
      <c r="BE1413" s="5" t="s">
        <v>251</v>
      </c>
      <c r="BF1413" s="5" t="s">
        <v>252</v>
      </c>
      <c r="BG1413" s="5" t="s">
        <v>238</v>
      </c>
      <c r="BH1413" s="7">
        <f>0</f>
        <v>0</v>
      </c>
      <c r="BI1413" s="8">
        <f>0</f>
        <v>0</v>
      </c>
      <c r="BJ1413" s="5" t="s">
        <v>253</v>
      </c>
      <c r="BK1413" s="5" t="s">
        <v>254</v>
      </c>
      <c r="BY1413" s="5" t="s">
        <v>238</v>
      </c>
      <c r="BZ1413" s="5" t="s">
        <v>238</v>
      </c>
      <c r="CD1413" s="5" t="s">
        <v>273</v>
      </c>
      <c r="CE1413" s="5" t="s">
        <v>256</v>
      </c>
      <c r="CF1413" s="5" t="s">
        <v>238</v>
      </c>
      <c r="CI1413" s="6" t="s">
        <v>257</v>
      </c>
      <c r="CJ1413" s="5" t="s">
        <v>238</v>
      </c>
      <c r="CK1413" s="5" t="s">
        <v>258</v>
      </c>
      <c r="CL1413" s="5" t="s">
        <v>238</v>
      </c>
      <c r="CM1413" s="5" t="s">
        <v>238</v>
      </c>
      <c r="CN1413" s="5">
        <v>0</v>
      </c>
      <c r="CO1413" s="5" t="s">
        <v>259</v>
      </c>
      <c r="CP1413" s="5" t="s">
        <v>260</v>
      </c>
      <c r="CQ1413" s="5" t="s">
        <v>260</v>
      </c>
      <c r="CR1413" s="5" t="s">
        <v>261</v>
      </c>
      <c r="CU1413" s="8">
        <f>1</f>
        <v>1</v>
      </c>
      <c r="CV1413" s="8">
        <f>0</f>
        <v>0</v>
      </c>
      <c r="CX1413" s="8">
        <f>0</f>
        <v>0</v>
      </c>
      <c r="CY1413" s="8">
        <f>1</f>
        <v>1</v>
      </c>
      <c r="DA1413" s="5" t="s">
        <v>673</v>
      </c>
      <c r="DB1413" s="5" t="s">
        <v>238</v>
      </c>
      <c r="DD1413" s="5" t="s">
        <v>673</v>
      </c>
      <c r="DE1413" s="8">
        <f>3026</f>
        <v>3026</v>
      </c>
      <c r="DG1413" s="5" t="s">
        <v>238</v>
      </c>
      <c r="DH1413" s="5" t="s">
        <v>238</v>
      </c>
      <c r="DI1413" s="5" t="s">
        <v>238</v>
      </c>
      <c r="DJ1413" s="5" t="s">
        <v>238</v>
      </c>
      <c r="DN1413" s="5" t="s">
        <v>238</v>
      </c>
      <c r="DO1413" s="5" t="s">
        <v>238</v>
      </c>
      <c r="DP1413" s="5" t="s">
        <v>238</v>
      </c>
      <c r="DQ1413" s="5" t="s">
        <v>238</v>
      </c>
      <c r="DT1413" s="5" t="s">
        <v>2039</v>
      </c>
      <c r="DU1413" s="5" t="s">
        <v>1950</v>
      </c>
      <c r="HM1413" s="5" t="s">
        <v>264</v>
      </c>
    </row>
    <row r="1414" spans="1:221" x14ac:dyDescent="0.4">
      <c r="A1414" s="5">
        <v>3089</v>
      </c>
      <c r="B1414" s="5">
        <v>1</v>
      </c>
      <c r="C1414" s="5">
        <v>1</v>
      </c>
      <c r="D1414" s="5" t="s">
        <v>2037</v>
      </c>
      <c r="E1414" s="5" t="s">
        <v>271</v>
      </c>
      <c r="F1414" s="5" t="s">
        <v>248</v>
      </c>
      <c r="G1414" s="5" t="s">
        <v>1969</v>
      </c>
      <c r="H1414" s="6" t="s">
        <v>2478</v>
      </c>
      <c r="I1414" s="7">
        <f>1766</f>
        <v>1766</v>
      </c>
      <c r="J1414" s="5" t="s">
        <v>262</v>
      </c>
      <c r="K1414" s="8">
        <f>1</f>
        <v>1</v>
      </c>
      <c r="L1414" s="6" t="s">
        <v>242</v>
      </c>
      <c r="M1414" s="5" t="s">
        <v>267</v>
      </c>
      <c r="N1414" s="5" t="s">
        <v>265</v>
      </c>
      <c r="O1414" s="5" t="s">
        <v>238</v>
      </c>
      <c r="P1414" s="5" t="s">
        <v>238</v>
      </c>
      <c r="Q1414" s="5" t="s">
        <v>268</v>
      </c>
      <c r="R1414" s="5" t="s">
        <v>270</v>
      </c>
      <c r="S1414" s="5" t="s">
        <v>238</v>
      </c>
      <c r="V1414" s="5" t="s">
        <v>238</v>
      </c>
      <c r="X1414" s="6" t="s">
        <v>238</v>
      </c>
      <c r="AA1414" s="6" t="s">
        <v>243</v>
      </c>
      <c r="AB1414" s="5" t="s">
        <v>238</v>
      </c>
      <c r="AC1414" s="5" t="s">
        <v>244</v>
      </c>
      <c r="AD1414" s="5" t="s">
        <v>245</v>
      </c>
      <c r="AT1414" s="5" t="s">
        <v>246</v>
      </c>
      <c r="AU1414" s="5" t="s">
        <v>238</v>
      </c>
      <c r="AV1414" s="5" t="s">
        <v>247</v>
      </c>
      <c r="AW1414" s="5" t="s">
        <v>238</v>
      </c>
      <c r="AX1414" s="5" t="s">
        <v>249</v>
      </c>
      <c r="AY1414" s="5" t="s">
        <v>238</v>
      </c>
      <c r="BA1414" s="5" t="s">
        <v>238</v>
      </c>
      <c r="BC1414" s="5" t="s">
        <v>250</v>
      </c>
      <c r="BD1414" s="6" t="s">
        <v>243</v>
      </c>
      <c r="BE1414" s="5" t="s">
        <v>251</v>
      </c>
      <c r="BF1414" s="5" t="s">
        <v>252</v>
      </c>
      <c r="BG1414" s="5" t="s">
        <v>238</v>
      </c>
      <c r="BH1414" s="7">
        <f>0</f>
        <v>0</v>
      </c>
      <c r="BI1414" s="8">
        <f>0</f>
        <v>0</v>
      </c>
      <c r="BJ1414" s="5" t="s">
        <v>253</v>
      </c>
      <c r="BK1414" s="5" t="s">
        <v>254</v>
      </c>
      <c r="BY1414" s="5" t="s">
        <v>238</v>
      </c>
      <c r="BZ1414" s="5" t="s">
        <v>238</v>
      </c>
      <c r="CD1414" s="5" t="s">
        <v>273</v>
      </c>
      <c r="CE1414" s="5" t="s">
        <v>256</v>
      </c>
      <c r="CF1414" s="5" t="s">
        <v>238</v>
      </c>
      <c r="CI1414" s="6" t="s">
        <v>257</v>
      </c>
      <c r="CJ1414" s="5" t="s">
        <v>238</v>
      </c>
      <c r="CK1414" s="5" t="s">
        <v>258</v>
      </c>
      <c r="CL1414" s="5" t="s">
        <v>238</v>
      </c>
      <c r="CM1414" s="5" t="s">
        <v>238</v>
      </c>
      <c r="CN1414" s="5">
        <v>0</v>
      </c>
      <c r="CO1414" s="5" t="s">
        <v>259</v>
      </c>
      <c r="CP1414" s="5" t="s">
        <v>260</v>
      </c>
      <c r="CQ1414" s="5" t="s">
        <v>260</v>
      </c>
      <c r="CR1414" s="5" t="s">
        <v>261</v>
      </c>
      <c r="CU1414" s="8">
        <f>1</f>
        <v>1</v>
      </c>
      <c r="CV1414" s="8">
        <f>0</f>
        <v>0</v>
      </c>
      <c r="CX1414" s="8">
        <f>0</f>
        <v>0</v>
      </c>
      <c r="CY1414" s="8">
        <f>1</f>
        <v>1</v>
      </c>
      <c r="DA1414" s="5" t="s">
        <v>673</v>
      </c>
      <c r="DB1414" s="5" t="s">
        <v>238</v>
      </c>
      <c r="DD1414" s="5" t="s">
        <v>673</v>
      </c>
      <c r="DE1414" s="8">
        <f>1766</f>
        <v>1766</v>
      </c>
      <c r="DG1414" s="5" t="s">
        <v>238</v>
      </c>
      <c r="DH1414" s="5" t="s">
        <v>238</v>
      </c>
      <c r="DI1414" s="5" t="s">
        <v>238</v>
      </c>
      <c r="DJ1414" s="5" t="s">
        <v>238</v>
      </c>
      <c r="DN1414" s="5" t="s">
        <v>238</v>
      </c>
      <c r="DO1414" s="5" t="s">
        <v>238</v>
      </c>
      <c r="DP1414" s="5" t="s">
        <v>238</v>
      </c>
      <c r="DQ1414" s="5" t="s">
        <v>238</v>
      </c>
      <c r="DT1414" s="5" t="s">
        <v>2039</v>
      </c>
      <c r="DU1414" s="5" t="s">
        <v>1946</v>
      </c>
      <c r="HM1414" s="5" t="s">
        <v>264</v>
      </c>
    </row>
    <row r="1415" spans="1:221" x14ac:dyDescent="0.4">
      <c r="A1415" s="5">
        <v>3090</v>
      </c>
      <c r="B1415" s="5">
        <v>1</v>
      </c>
      <c r="C1415" s="5">
        <v>1</v>
      </c>
      <c r="D1415" s="5" t="s">
        <v>2037</v>
      </c>
      <c r="E1415" s="5" t="s">
        <v>271</v>
      </c>
      <c r="F1415" s="5" t="s">
        <v>248</v>
      </c>
      <c r="G1415" s="5" t="s">
        <v>1969</v>
      </c>
      <c r="H1415" s="6" t="s">
        <v>2477</v>
      </c>
      <c r="I1415" s="7">
        <f>1074</f>
        <v>1074</v>
      </c>
      <c r="J1415" s="5" t="s">
        <v>262</v>
      </c>
      <c r="K1415" s="8">
        <f>1</f>
        <v>1</v>
      </c>
      <c r="L1415" s="6" t="s">
        <v>242</v>
      </c>
      <c r="M1415" s="5" t="s">
        <v>267</v>
      </c>
      <c r="N1415" s="5" t="s">
        <v>265</v>
      </c>
      <c r="O1415" s="5" t="s">
        <v>238</v>
      </c>
      <c r="P1415" s="5" t="s">
        <v>238</v>
      </c>
      <c r="Q1415" s="5" t="s">
        <v>268</v>
      </c>
      <c r="R1415" s="5" t="s">
        <v>270</v>
      </c>
      <c r="S1415" s="5" t="s">
        <v>238</v>
      </c>
      <c r="V1415" s="5" t="s">
        <v>238</v>
      </c>
      <c r="X1415" s="6" t="s">
        <v>238</v>
      </c>
      <c r="AA1415" s="6" t="s">
        <v>243</v>
      </c>
      <c r="AB1415" s="5" t="s">
        <v>238</v>
      </c>
      <c r="AC1415" s="5" t="s">
        <v>244</v>
      </c>
      <c r="AD1415" s="5" t="s">
        <v>245</v>
      </c>
      <c r="AT1415" s="5" t="s">
        <v>246</v>
      </c>
      <c r="AU1415" s="5" t="s">
        <v>238</v>
      </c>
      <c r="AV1415" s="5" t="s">
        <v>247</v>
      </c>
      <c r="AW1415" s="5" t="s">
        <v>238</v>
      </c>
      <c r="AX1415" s="5" t="s">
        <v>249</v>
      </c>
      <c r="AY1415" s="5" t="s">
        <v>238</v>
      </c>
      <c r="BA1415" s="5" t="s">
        <v>238</v>
      </c>
      <c r="BC1415" s="5" t="s">
        <v>250</v>
      </c>
      <c r="BD1415" s="6" t="s">
        <v>243</v>
      </c>
      <c r="BE1415" s="5" t="s">
        <v>251</v>
      </c>
      <c r="BF1415" s="5" t="s">
        <v>252</v>
      </c>
      <c r="BG1415" s="5" t="s">
        <v>238</v>
      </c>
      <c r="BH1415" s="7">
        <f>0</f>
        <v>0</v>
      </c>
      <c r="BI1415" s="8">
        <f>0</f>
        <v>0</v>
      </c>
      <c r="BJ1415" s="5" t="s">
        <v>253</v>
      </c>
      <c r="BK1415" s="5" t="s">
        <v>254</v>
      </c>
      <c r="BY1415" s="5" t="s">
        <v>238</v>
      </c>
      <c r="BZ1415" s="5" t="s">
        <v>238</v>
      </c>
      <c r="CD1415" s="5" t="s">
        <v>273</v>
      </c>
      <c r="CE1415" s="5" t="s">
        <v>256</v>
      </c>
      <c r="CF1415" s="5" t="s">
        <v>238</v>
      </c>
      <c r="CI1415" s="6" t="s">
        <v>257</v>
      </c>
      <c r="CJ1415" s="5" t="s">
        <v>238</v>
      </c>
      <c r="CK1415" s="5" t="s">
        <v>258</v>
      </c>
      <c r="CL1415" s="5" t="s">
        <v>238</v>
      </c>
      <c r="CM1415" s="5" t="s">
        <v>238</v>
      </c>
      <c r="CN1415" s="5">
        <v>0</v>
      </c>
      <c r="CO1415" s="5" t="s">
        <v>259</v>
      </c>
      <c r="CP1415" s="5" t="s">
        <v>260</v>
      </c>
      <c r="CQ1415" s="5" t="s">
        <v>260</v>
      </c>
      <c r="CR1415" s="5" t="s">
        <v>261</v>
      </c>
      <c r="CU1415" s="8">
        <f>1</f>
        <v>1</v>
      </c>
      <c r="CV1415" s="8">
        <f>0</f>
        <v>0</v>
      </c>
      <c r="CX1415" s="8">
        <f>0</f>
        <v>0</v>
      </c>
      <c r="CY1415" s="8">
        <f>1</f>
        <v>1</v>
      </c>
      <c r="DA1415" s="5" t="s">
        <v>673</v>
      </c>
      <c r="DB1415" s="5" t="s">
        <v>238</v>
      </c>
      <c r="DD1415" s="5" t="s">
        <v>673</v>
      </c>
      <c r="DE1415" s="8">
        <f>1074</f>
        <v>1074</v>
      </c>
      <c r="DG1415" s="5" t="s">
        <v>238</v>
      </c>
      <c r="DH1415" s="5" t="s">
        <v>238</v>
      </c>
      <c r="DI1415" s="5" t="s">
        <v>238</v>
      </c>
      <c r="DJ1415" s="5" t="s">
        <v>238</v>
      </c>
      <c r="DN1415" s="5" t="s">
        <v>238</v>
      </c>
      <c r="DO1415" s="5" t="s">
        <v>238</v>
      </c>
      <c r="DP1415" s="5" t="s">
        <v>238</v>
      </c>
      <c r="DQ1415" s="5" t="s">
        <v>238</v>
      </c>
      <c r="DT1415" s="5" t="s">
        <v>2039</v>
      </c>
      <c r="DU1415" s="5" t="s">
        <v>1944</v>
      </c>
      <c r="HM1415" s="5" t="s">
        <v>264</v>
      </c>
    </row>
    <row r="1416" spans="1:221" x14ac:dyDescent="0.4">
      <c r="A1416" s="5">
        <v>3091</v>
      </c>
      <c r="B1416" s="5">
        <v>1</v>
      </c>
      <c r="C1416" s="5">
        <v>1</v>
      </c>
      <c r="D1416" s="5" t="s">
        <v>2037</v>
      </c>
      <c r="E1416" s="5" t="s">
        <v>271</v>
      </c>
      <c r="F1416" s="5" t="s">
        <v>248</v>
      </c>
      <c r="G1416" s="5" t="s">
        <v>1969</v>
      </c>
      <c r="H1416" s="6" t="s">
        <v>2472</v>
      </c>
      <c r="I1416" s="7">
        <f>935</f>
        <v>935</v>
      </c>
      <c r="J1416" s="5" t="s">
        <v>262</v>
      </c>
      <c r="K1416" s="8">
        <f>1</f>
        <v>1</v>
      </c>
      <c r="L1416" s="6" t="s">
        <v>242</v>
      </c>
      <c r="M1416" s="5" t="s">
        <v>267</v>
      </c>
      <c r="N1416" s="5" t="s">
        <v>265</v>
      </c>
      <c r="O1416" s="5" t="s">
        <v>238</v>
      </c>
      <c r="P1416" s="5" t="s">
        <v>238</v>
      </c>
      <c r="Q1416" s="5" t="s">
        <v>268</v>
      </c>
      <c r="R1416" s="5" t="s">
        <v>270</v>
      </c>
      <c r="S1416" s="5" t="s">
        <v>238</v>
      </c>
      <c r="V1416" s="5" t="s">
        <v>238</v>
      </c>
      <c r="X1416" s="6" t="s">
        <v>238</v>
      </c>
      <c r="AA1416" s="6" t="s">
        <v>243</v>
      </c>
      <c r="AB1416" s="5" t="s">
        <v>238</v>
      </c>
      <c r="AC1416" s="5" t="s">
        <v>244</v>
      </c>
      <c r="AD1416" s="5" t="s">
        <v>245</v>
      </c>
      <c r="AT1416" s="5" t="s">
        <v>246</v>
      </c>
      <c r="AU1416" s="5" t="s">
        <v>238</v>
      </c>
      <c r="AV1416" s="5" t="s">
        <v>247</v>
      </c>
      <c r="AW1416" s="5" t="s">
        <v>238</v>
      </c>
      <c r="AX1416" s="5" t="s">
        <v>249</v>
      </c>
      <c r="AY1416" s="5" t="s">
        <v>238</v>
      </c>
      <c r="BA1416" s="5" t="s">
        <v>238</v>
      </c>
      <c r="BC1416" s="5" t="s">
        <v>250</v>
      </c>
      <c r="BD1416" s="6" t="s">
        <v>243</v>
      </c>
      <c r="BE1416" s="5" t="s">
        <v>251</v>
      </c>
      <c r="BF1416" s="5" t="s">
        <v>252</v>
      </c>
      <c r="BG1416" s="5" t="s">
        <v>238</v>
      </c>
      <c r="BH1416" s="7">
        <f>0</f>
        <v>0</v>
      </c>
      <c r="BI1416" s="8">
        <f>0</f>
        <v>0</v>
      </c>
      <c r="BJ1416" s="5" t="s">
        <v>253</v>
      </c>
      <c r="BK1416" s="5" t="s">
        <v>254</v>
      </c>
      <c r="BY1416" s="5" t="s">
        <v>238</v>
      </c>
      <c r="BZ1416" s="5" t="s">
        <v>238</v>
      </c>
      <c r="CD1416" s="5" t="s">
        <v>273</v>
      </c>
      <c r="CE1416" s="5" t="s">
        <v>256</v>
      </c>
      <c r="CF1416" s="5" t="s">
        <v>238</v>
      </c>
      <c r="CI1416" s="6" t="s">
        <v>257</v>
      </c>
      <c r="CJ1416" s="5" t="s">
        <v>238</v>
      </c>
      <c r="CK1416" s="5" t="s">
        <v>258</v>
      </c>
      <c r="CL1416" s="5" t="s">
        <v>238</v>
      </c>
      <c r="CM1416" s="5" t="s">
        <v>238</v>
      </c>
      <c r="CN1416" s="5">
        <v>0</v>
      </c>
      <c r="CO1416" s="5" t="s">
        <v>259</v>
      </c>
      <c r="CP1416" s="5" t="s">
        <v>260</v>
      </c>
      <c r="CQ1416" s="5" t="s">
        <v>260</v>
      </c>
      <c r="CR1416" s="5" t="s">
        <v>261</v>
      </c>
      <c r="CU1416" s="8">
        <f>1</f>
        <v>1</v>
      </c>
      <c r="CV1416" s="8">
        <f>0</f>
        <v>0</v>
      </c>
      <c r="CX1416" s="8">
        <f>0</f>
        <v>0</v>
      </c>
      <c r="CY1416" s="8">
        <f>1</f>
        <v>1</v>
      </c>
      <c r="DA1416" s="5" t="s">
        <v>673</v>
      </c>
      <c r="DB1416" s="5" t="s">
        <v>238</v>
      </c>
      <c r="DD1416" s="5" t="s">
        <v>673</v>
      </c>
      <c r="DE1416" s="8">
        <f>935</f>
        <v>935</v>
      </c>
      <c r="DG1416" s="5" t="s">
        <v>238</v>
      </c>
      <c r="DH1416" s="5" t="s">
        <v>238</v>
      </c>
      <c r="DI1416" s="5" t="s">
        <v>238</v>
      </c>
      <c r="DJ1416" s="5" t="s">
        <v>238</v>
      </c>
      <c r="DN1416" s="5" t="s">
        <v>238</v>
      </c>
      <c r="DO1416" s="5" t="s">
        <v>238</v>
      </c>
      <c r="DP1416" s="5" t="s">
        <v>238</v>
      </c>
      <c r="DQ1416" s="5" t="s">
        <v>238</v>
      </c>
      <c r="DT1416" s="5" t="s">
        <v>2039</v>
      </c>
      <c r="DU1416" s="5" t="s">
        <v>1938</v>
      </c>
      <c r="HM1416" s="5" t="s">
        <v>264</v>
      </c>
    </row>
    <row r="1417" spans="1:221" x14ac:dyDescent="0.4">
      <c r="A1417" s="5">
        <v>3092</v>
      </c>
      <c r="B1417" s="5">
        <v>1</v>
      </c>
      <c r="C1417" s="5">
        <v>1</v>
      </c>
      <c r="D1417" s="5" t="s">
        <v>2037</v>
      </c>
      <c r="E1417" s="5" t="s">
        <v>271</v>
      </c>
      <c r="F1417" s="5" t="s">
        <v>248</v>
      </c>
      <c r="G1417" s="5" t="s">
        <v>1969</v>
      </c>
      <c r="H1417" s="6" t="s">
        <v>2469</v>
      </c>
      <c r="I1417" s="7">
        <f>3157</f>
        <v>3157</v>
      </c>
      <c r="J1417" s="5" t="s">
        <v>262</v>
      </c>
      <c r="K1417" s="8">
        <f>1</f>
        <v>1</v>
      </c>
      <c r="L1417" s="6" t="s">
        <v>242</v>
      </c>
      <c r="M1417" s="5" t="s">
        <v>267</v>
      </c>
      <c r="N1417" s="5" t="s">
        <v>265</v>
      </c>
      <c r="O1417" s="5" t="s">
        <v>238</v>
      </c>
      <c r="P1417" s="5" t="s">
        <v>238</v>
      </c>
      <c r="Q1417" s="5" t="s">
        <v>268</v>
      </c>
      <c r="R1417" s="5" t="s">
        <v>270</v>
      </c>
      <c r="S1417" s="5" t="s">
        <v>238</v>
      </c>
      <c r="V1417" s="5" t="s">
        <v>238</v>
      </c>
      <c r="X1417" s="6" t="s">
        <v>238</v>
      </c>
      <c r="AA1417" s="6" t="s">
        <v>243</v>
      </c>
      <c r="AB1417" s="5" t="s">
        <v>238</v>
      </c>
      <c r="AC1417" s="5" t="s">
        <v>244</v>
      </c>
      <c r="AD1417" s="5" t="s">
        <v>245</v>
      </c>
      <c r="AT1417" s="5" t="s">
        <v>246</v>
      </c>
      <c r="AU1417" s="5" t="s">
        <v>238</v>
      </c>
      <c r="AV1417" s="5" t="s">
        <v>247</v>
      </c>
      <c r="AW1417" s="5" t="s">
        <v>238</v>
      </c>
      <c r="AX1417" s="5" t="s">
        <v>249</v>
      </c>
      <c r="AY1417" s="5" t="s">
        <v>238</v>
      </c>
      <c r="BA1417" s="5" t="s">
        <v>238</v>
      </c>
      <c r="BC1417" s="5" t="s">
        <v>250</v>
      </c>
      <c r="BD1417" s="6" t="s">
        <v>243</v>
      </c>
      <c r="BE1417" s="5" t="s">
        <v>251</v>
      </c>
      <c r="BF1417" s="5" t="s">
        <v>252</v>
      </c>
      <c r="BG1417" s="5" t="s">
        <v>238</v>
      </c>
      <c r="BH1417" s="7">
        <f>0</f>
        <v>0</v>
      </c>
      <c r="BI1417" s="8">
        <f>0</f>
        <v>0</v>
      </c>
      <c r="BJ1417" s="5" t="s">
        <v>253</v>
      </c>
      <c r="BK1417" s="5" t="s">
        <v>254</v>
      </c>
      <c r="BY1417" s="5" t="s">
        <v>238</v>
      </c>
      <c r="BZ1417" s="5" t="s">
        <v>238</v>
      </c>
      <c r="CD1417" s="5" t="s">
        <v>273</v>
      </c>
      <c r="CE1417" s="5" t="s">
        <v>256</v>
      </c>
      <c r="CF1417" s="5" t="s">
        <v>238</v>
      </c>
      <c r="CI1417" s="6" t="s">
        <v>257</v>
      </c>
      <c r="CJ1417" s="5" t="s">
        <v>238</v>
      </c>
      <c r="CK1417" s="5" t="s">
        <v>258</v>
      </c>
      <c r="CL1417" s="5" t="s">
        <v>238</v>
      </c>
      <c r="CM1417" s="5" t="s">
        <v>238</v>
      </c>
      <c r="CN1417" s="5">
        <v>0</v>
      </c>
      <c r="CO1417" s="5" t="s">
        <v>259</v>
      </c>
      <c r="CP1417" s="5" t="s">
        <v>260</v>
      </c>
      <c r="CQ1417" s="5" t="s">
        <v>260</v>
      </c>
      <c r="CR1417" s="5" t="s">
        <v>261</v>
      </c>
      <c r="CU1417" s="8">
        <f>1</f>
        <v>1</v>
      </c>
      <c r="CV1417" s="8">
        <f>0</f>
        <v>0</v>
      </c>
      <c r="CX1417" s="8">
        <f>0</f>
        <v>0</v>
      </c>
      <c r="CY1417" s="8">
        <f>1</f>
        <v>1</v>
      </c>
      <c r="DA1417" s="5" t="s">
        <v>673</v>
      </c>
      <c r="DB1417" s="5" t="s">
        <v>238</v>
      </c>
      <c r="DD1417" s="5" t="s">
        <v>673</v>
      </c>
      <c r="DE1417" s="8">
        <f>3157</f>
        <v>3157</v>
      </c>
      <c r="DG1417" s="5" t="s">
        <v>238</v>
      </c>
      <c r="DH1417" s="5" t="s">
        <v>238</v>
      </c>
      <c r="DI1417" s="5" t="s">
        <v>238</v>
      </c>
      <c r="DJ1417" s="5" t="s">
        <v>238</v>
      </c>
      <c r="DN1417" s="5" t="s">
        <v>238</v>
      </c>
      <c r="DO1417" s="5" t="s">
        <v>238</v>
      </c>
      <c r="DP1417" s="5" t="s">
        <v>238</v>
      </c>
      <c r="DQ1417" s="5" t="s">
        <v>238</v>
      </c>
      <c r="DT1417" s="5" t="s">
        <v>2039</v>
      </c>
      <c r="DU1417" s="5" t="s">
        <v>1936</v>
      </c>
      <c r="HM1417" s="5" t="s">
        <v>264</v>
      </c>
    </row>
    <row r="1418" spans="1:221" x14ac:dyDescent="0.4">
      <c r="A1418" s="5">
        <v>3093</v>
      </c>
      <c r="B1418" s="5">
        <v>1</v>
      </c>
      <c r="C1418" s="5">
        <v>1</v>
      </c>
      <c r="D1418" s="5" t="s">
        <v>2037</v>
      </c>
      <c r="E1418" s="5" t="s">
        <v>271</v>
      </c>
      <c r="F1418" s="5" t="s">
        <v>248</v>
      </c>
      <c r="G1418" s="5" t="s">
        <v>1969</v>
      </c>
      <c r="H1418" s="6" t="s">
        <v>2468</v>
      </c>
      <c r="I1418" s="7">
        <f>472</f>
        <v>472</v>
      </c>
      <c r="J1418" s="5" t="s">
        <v>262</v>
      </c>
      <c r="K1418" s="8">
        <f>1</f>
        <v>1</v>
      </c>
      <c r="L1418" s="6" t="s">
        <v>242</v>
      </c>
      <c r="M1418" s="5" t="s">
        <v>267</v>
      </c>
      <c r="N1418" s="5" t="s">
        <v>265</v>
      </c>
      <c r="O1418" s="5" t="s">
        <v>238</v>
      </c>
      <c r="P1418" s="5" t="s">
        <v>238</v>
      </c>
      <c r="Q1418" s="5" t="s">
        <v>268</v>
      </c>
      <c r="R1418" s="5" t="s">
        <v>270</v>
      </c>
      <c r="S1418" s="5" t="s">
        <v>238</v>
      </c>
      <c r="V1418" s="5" t="s">
        <v>238</v>
      </c>
      <c r="X1418" s="6" t="s">
        <v>238</v>
      </c>
      <c r="AA1418" s="6" t="s">
        <v>243</v>
      </c>
      <c r="AB1418" s="5" t="s">
        <v>238</v>
      </c>
      <c r="AC1418" s="5" t="s">
        <v>244</v>
      </c>
      <c r="AD1418" s="5" t="s">
        <v>245</v>
      </c>
      <c r="AT1418" s="5" t="s">
        <v>246</v>
      </c>
      <c r="AU1418" s="5" t="s">
        <v>238</v>
      </c>
      <c r="AV1418" s="5" t="s">
        <v>247</v>
      </c>
      <c r="AW1418" s="5" t="s">
        <v>238</v>
      </c>
      <c r="AX1418" s="5" t="s">
        <v>249</v>
      </c>
      <c r="AY1418" s="5" t="s">
        <v>238</v>
      </c>
      <c r="BA1418" s="5" t="s">
        <v>238</v>
      </c>
      <c r="BC1418" s="5" t="s">
        <v>250</v>
      </c>
      <c r="BD1418" s="6" t="s">
        <v>243</v>
      </c>
      <c r="BE1418" s="5" t="s">
        <v>251</v>
      </c>
      <c r="BF1418" s="5" t="s">
        <v>252</v>
      </c>
      <c r="BG1418" s="5" t="s">
        <v>238</v>
      </c>
      <c r="BH1418" s="7">
        <f>0</f>
        <v>0</v>
      </c>
      <c r="BI1418" s="8">
        <f>0</f>
        <v>0</v>
      </c>
      <c r="BJ1418" s="5" t="s">
        <v>253</v>
      </c>
      <c r="BK1418" s="5" t="s">
        <v>254</v>
      </c>
      <c r="BY1418" s="5" t="s">
        <v>238</v>
      </c>
      <c r="BZ1418" s="5" t="s">
        <v>238</v>
      </c>
      <c r="CD1418" s="5" t="s">
        <v>273</v>
      </c>
      <c r="CE1418" s="5" t="s">
        <v>256</v>
      </c>
      <c r="CF1418" s="5" t="s">
        <v>238</v>
      </c>
      <c r="CI1418" s="6" t="s">
        <v>257</v>
      </c>
      <c r="CJ1418" s="5" t="s">
        <v>238</v>
      </c>
      <c r="CK1418" s="5" t="s">
        <v>258</v>
      </c>
      <c r="CL1418" s="5" t="s">
        <v>238</v>
      </c>
      <c r="CM1418" s="5" t="s">
        <v>238</v>
      </c>
      <c r="CN1418" s="5">
        <v>0</v>
      </c>
      <c r="CO1418" s="5" t="s">
        <v>259</v>
      </c>
      <c r="CP1418" s="5" t="s">
        <v>260</v>
      </c>
      <c r="CQ1418" s="5" t="s">
        <v>260</v>
      </c>
      <c r="CR1418" s="5" t="s">
        <v>261</v>
      </c>
      <c r="CU1418" s="8">
        <f>1</f>
        <v>1</v>
      </c>
      <c r="CV1418" s="8">
        <f>0</f>
        <v>0</v>
      </c>
      <c r="CX1418" s="8">
        <f>0</f>
        <v>0</v>
      </c>
      <c r="CY1418" s="8">
        <f>1</f>
        <v>1</v>
      </c>
      <c r="DA1418" s="5" t="s">
        <v>673</v>
      </c>
      <c r="DB1418" s="5" t="s">
        <v>238</v>
      </c>
      <c r="DD1418" s="5" t="s">
        <v>673</v>
      </c>
      <c r="DE1418" s="8">
        <f>472</f>
        <v>472</v>
      </c>
      <c r="DG1418" s="5" t="s">
        <v>238</v>
      </c>
      <c r="DH1418" s="5" t="s">
        <v>238</v>
      </c>
      <c r="DI1418" s="5" t="s">
        <v>238</v>
      </c>
      <c r="DJ1418" s="5" t="s">
        <v>238</v>
      </c>
      <c r="DN1418" s="5" t="s">
        <v>238</v>
      </c>
      <c r="DO1418" s="5" t="s">
        <v>238</v>
      </c>
      <c r="DP1418" s="5" t="s">
        <v>238</v>
      </c>
      <c r="DQ1418" s="5" t="s">
        <v>238</v>
      </c>
      <c r="DT1418" s="5" t="s">
        <v>2039</v>
      </c>
      <c r="DU1418" s="5" t="s">
        <v>1930</v>
      </c>
      <c r="HM1418" s="5" t="s">
        <v>264</v>
      </c>
    </row>
    <row r="1419" spans="1:221" x14ac:dyDescent="0.4">
      <c r="A1419" s="5">
        <v>3094</v>
      </c>
      <c r="B1419" s="5">
        <v>1</v>
      </c>
      <c r="C1419" s="5">
        <v>1</v>
      </c>
      <c r="D1419" s="5" t="s">
        <v>2037</v>
      </c>
      <c r="E1419" s="5" t="s">
        <v>271</v>
      </c>
      <c r="F1419" s="5" t="s">
        <v>248</v>
      </c>
      <c r="G1419" s="5" t="s">
        <v>1969</v>
      </c>
      <c r="H1419" s="6" t="s">
        <v>2467</v>
      </c>
      <c r="I1419" s="7">
        <f>3123</f>
        <v>3123</v>
      </c>
      <c r="J1419" s="5" t="s">
        <v>262</v>
      </c>
      <c r="K1419" s="8">
        <f>1</f>
        <v>1</v>
      </c>
      <c r="L1419" s="6" t="s">
        <v>242</v>
      </c>
      <c r="M1419" s="5" t="s">
        <v>267</v>
      </c>
      <c r="N1419" s="5" t="s">
        <v>265</v>
      </c>
      <c r="O1419" s="5" t="s">
        <v>238</v>
      </c>
      <c r="P1419" s="5" t="s">
        <v>238</v>
      </c>
      <c r="Q1419" s="5" t="s">
        <v>268</v>
      </c>
      <c r="R1419" s="5" t="s">
        <v>270</v>
      </c>
      <c r="S1419" s="5" t="s">
        <v>238</v>
      </c>
      <c r="V1419" s="5" t="s">
        <v>238</v>
      </c>
      <c r="X1419" s="6" t="s">
        <v>238</v>
      </c>
      <c r="AA1419" s="6" t="s">
        <v>243</v>
      </c>
      <c r="AB1419" s="5" t="s">
        <v>238</v>
      </c>
      <c r="AC1419" s="5" t="s">
        <v>244</v>
      </c>
      <c r="AD1419" s="5" t="s">
        <v>245</v>
      </c>
      <c r="AT1419" s="5" t="s">
        <v>246</v>
      </c>
      <c r="AU1419" s="5" t="s">
        <v>238</v>
      </c>
      <c r="AV1419" s="5" t="s">
        <v>247</v>
      </c>
      <c r="AW1419" s="5" t="s">
        <v>238</v>
      </c>
      <c r="AX1419" s="5" t="s">
        <v>249</v>
      </c>
      <c r="AY1419" s="5" t="s">
        <v>238</v>
      </c>
      <c r="BA1419" s="5" t="s">
        <v>238</v>
      </c>
      <c r="BC1419" s="5" t="s">
        <v>250</v>
      </c>
      <c r="BD1419" s="6" t="s">
        <v>243</v>
      </c>
      <c r="BE1419" s="5" t="s">
        <v>251</v>
      </c>
      <c r="BF1419" s="5" t="s">
        <v>252</v>
      </c>
      <c r="BG1419" s="5" t="s">
        <v>238</v>
      </c>
      <c r="BH1419" s="7">
        <f>0</f>
        <v>0</v>
      </c>
      <c r="BI1419" s="8">
        <f>0</f>
        <v>0</v>
      </c>
      <c r="BJ1419" s="5" t="s">
        <v>253</v>
      </c>
      <c r="BK1419" s="5" t="s">
        <v>254</v>
      </c>
      <c r="BY1419" s="5" t="s">
        <v>238</v>
      </c>
      <c r="BZ1419" s="5" t="s">
        <v>238</v>
      </c>
      <c r="CD1419" s="5" t="s">
        <v>273</v>
      </c>
      <c r="CE1419" s="5" t="s">
        <v>256</v>
      </c>
      <c r="CF1419" s="5" t="s">
        <v>238</v>
      </c>
      <c r="CI1419" s="6" t="s">
        <v>257</v>
      </c>
      <c r="CJ1419" s="5" t="s">
        <v>238</v>
      </c>
      <c r="CK1419" s="5" t="s">
        <v>258</v>
      </c>
      <c r="CL1419" s="5" t="s">
        <v>238</v>
      </c>
      <c r="CM1419" s="5" t="s">
        <v>238</v>
      </c>
      <c r="CN1419" s="5">
        <v>0</v>
      </c>
      <c r="CO1419" s="5" t="s">
        <v>259</v>
      </c>
      <c r="CP1419" s="5" t="s">
        <v>260</v>
      </c>
      <c r="CQ1419" s="5" t="s">
        <v>260</v>
      </c>
      <c r="CR1419" s="5" t="s">
        <v>261</v>
      </c>
      <c r="CU1419" s="8">
        <f>1</f>
        <v>1</v>
      </c>
      <c r="CV1419" s="8">
        <f>0</f>
        <v>0</v>
      </c>
      <c r="CX1419" s="8">
        <f>0</f>
        <v>0</v>
      </c>
      <c r="CY1419" s="8">
        <f>1</f>
        <v>1</v>
      </c>
      <c r="DA1419" s="5" t="s">
        <v>673</v>
      </c>
      <c r="DB1419" s="5" t="s">
        <v>238</v>
      </c>
      <c r="DD1419" s="5" t="s">
        <v>673</v>
      </c>
      <c r="DE1419" s="8">
        <f>3123</f>
        <v>3123</v>
      </c>
      <c r="DG1419" s="5" t="s">
        <v>238</v>
      </c>
      <c r="DH1419" s="5" t="s">
        <v>238</v>
      </c>
      <c r="DI1419" s="5" t="s">
        <v>238</v>
      </c>
      <c r="DJ1419" s="5" t="s">
        <v>238</v>
      </c>
      <c r="DN1419" s="5" t="s">
        <v>238</v>
      </c>
      <c r="DO1419" s="5" t="s">
        <v>238</v>
      </c>
      <c r="DP1419" s="5" t="s">
        <v>238</v>
      </c>
      <c r="DQ1419" s="5" t="s">
        <v>238</v>
      </c>
      <c r="DT1419" s="5" t="s">
        <v>2039</v>
      </c>
      <c r="DU1419" s="5" t="s">
        <v>1928</v>
      </c>
      <c r="HM1419" s="5" t="s">
        <v>264</v>
      </c>
    </row>
    <row r="1420" spans="1:221" x14ac:dyDescent="0.4">
      <c r="A1420" s="5">
        <v>3095</v>
      </c>
      <c r="B1420" s="5">
        <v>1</v>
      </c>
      <c r="C1420" s="5">
        <v>1</v>
      </c>
      <c r="D1420" s="5" t="s">
        <v>2037</v>
      </c>
      <c r="E1420" s="5" t="s">
        <v>271</v>
      </c>
      <c r="F1420" s="5" t="s">
        <v>248</v>
      </c>
      <c r="G1420" s="5" t="s">
        <v>1969</v>
      </c>
      <c r="H1420" s="6" t="s">
        <v>2466</v>
      </c>
      <c r="I1420" s="7">
        <f>1444</f>
        <v>1444</v>
      </c>
      <c r="J1420" s="5" t="s">
        <v>262</v>
      </c>
      <c r="K1420" s="8">
        <f>1</f>
        <v>1</v>
      </c>
      <c r="L1420" s="6" t="s">
        <v>242</v>
      </c>
      <c r="M1420" s="5" t="s">
        <v>267</v>
      </c>
      <c r="N1420" s="5" t="s">
        <v>265</v>
      </c>
      <c r="O1420" s="5" t="s">
        <v>238</v>
      </c>
      <c r="P1420" s="5" t="s">
        <v>238</v>
      </c>
      <c r="Q1420" s="5" t="s">
        <v>268</v>
      </c>
      <c r="R1420" s="5" t="s">
        <v>270</v>
      </c>
      <c r="S1420" s="5" t="s">
        <v>238</v>
      </c>
      <c r="V1420" s="5" t="s">
        <v>238</v>
      </c>
      <c r="X1420" s="6" t="s">
        <v>238</v>
      </c>
      <c r="AA1420" s="6" t="s">
        <v>243</v>
      </c>
      <c r="AB1420" s="5" t="s">
        <v>238</v>
      </c>
      <c r="AC1420" s="5" t="s">
        <v>244</v>
      </c>
      <c r="AD1420" s="5" t="s">
        <v>245</v>
      </c>
      <c r="AT1420" s="5" t="s">
        <v>246</v>
      </c>
      <c r="AU1420" s="5" t="s">
        <v>238</v>
      </c>
      <c r="AV1420" s="5" t="s">
        <v>247</v>
      </c>
      <c r="AW1420" s="5" t="s">
        <v>238</v>
      </c>
      <c r="AX1420" s="5" t="s">
        <v>249</v>
      </c>
      <c r="AY1420" s="5" t="s">
        <v>238</v>
      </c>
      <c r="BA1420" s="5" t="s">
        <v>238</v>
      </c>
      <c r="BC1420" s="5" t="s">
        <v>250</v>
      </c>
      <c r="BD1420" s="6" t="s">
        <v>243</v>
      </c>
      <c r="BE1420" s="5" t="s">
        <v>251</v>
      </c>
      <c r="BF1420" s="5" t="s">
        <v>252</v>
      </c>
      <c r="BG1420" s="5" t="s">
        <v>238</v>
      </c>
      <c r="BH1420" s="7">
        <f>0</f>
        <v>0</v>
      </c>
      <c r="BI1420" s="8">
        <f>0</f>
        <v>0</v>
      </c>
      <c r="BJ1420" s="5" t="s">
        <v>253</v>
      </c>
      <c r="BK1420" s="5" t="s">
        <v>254</v>
      </c>
      <c r="BY1420" s="5" t="s">
        <v>238</v>
      </c>
      <c r="BZ1420" s="5" t="s">
        <v>238</v>
      </c>
      <c r="CD1420" s="5" t="s">
        <v>273</v>
      </c>
      <c r="CE1420" s="5" t="s">
        <v>256</v>
      </c>
      <c r="CF1420" s="5" t="s">
        <v>238</v>
      </c>
      <c r="CI1420" s="6" t="s">
        <v>257</v>
      </c>
      <c r="CJ1420" s="5" t="s">
        <v>238</v>
      </c>
      <c r="CK1420" s="5" t="s">
        <v>258</v>
      </c>
      <c r="CL1420" s="5" t="s">
        <v>238</v>
      </c>
      <c r="CM1420" s="5" t="s">
        <v>238</v>
      </c>
      <c r="CN1420" s="5">
        <v>0</v>
      </c>
      <c r="CO1420" s="5" t="s">
        <v>259</v>
      </c>
      <c r="CP1420" s="5" t="s">
        <v>260</v>
      </c>
      <c r="CQ1420" s="5" t="s">
        <v>260</v>
      </c>
      <c r="CR1420" s="5" t="s">
        <v>261</v>
      </c>
      <c r="CU1420" s="8">
        <f>1</f>
        <v>1</v>
      </c>
      <c r="CV1420" s="8">
        <f>0</f>
        <v>0</v>
      </c>
      <c r="CX1420" s="8">
        <f>0</f>
        <v>0</v>
      </c>
      <c r="CY1420" s="8">
        <f>1</f>
        <v>1</v>
      </c>
      <c r="DA1420" s="5" t="s">
        <v>673</v>
      </c>
      <c r="DB1420" s="5" t="s">
        <v>238</v>
      </c>
      <c r="DD1420" s="5" t="s">
        <v>673</v>
      </c>
      <c r="DE1420" s="8">
        <f>1444</f>
        <v>1444</v>
      </c>
      <c r="DG1420" s="5" t="s">
        <v>238</v>
      </c>
      <c r="DH1420" s="5" t="s">
        <v>238</v>
      </c>
      <c r="DI1420" s="5" t="s">
        <v>238</v>
      </c>
      <c r="DJ1420" s="5" t="s">
        <v>238</v>
      </c>
      <c r="DN1420" s="5" t="s">
        <v>238</v>
      </c>
      <c r="DO1420" s="5" t="s">
        <v>238</v>
      </c>
      <c r="DP1420" s="5" t="s">
        <v>238</v>
      </c>
      <c r="DQ1420" s="5" t="s">
        <v>238</v>
      </c>
      <c r="DT1420" s="5" t="s">
        <v>2039</v>
      </c>
      <c r="DU1420" s="5" t="s">
        <v>1924</v>
      </c>
      <c r="HM1420" s="5" t="s">
        <v>264</v>
      </c>
    </row>
    <row r="1421" spans="1:221" x14ac:dyDescent="0.4">
      <c r="A1421" s="5">
        <v>3096</v>
      </c>
      <c r="B1421" s="5">
        <v>1</v>
      </c>
      <c r="C1421" s="5">
        <v>1</v>
      </c>
      <c r="D1421" s="5" t="s">
        <v>2037</v>
      </c>
      <c r="E1421" s="5" t="s">
        <v>271</v>
      </c>
      <c r="F1421" s="5" t="s">
        <v>248</v>
      </c>
      <c r="G1421" s="5" t="s">
        <v>1969</v>
      </c>
      <c r="H1421" s="6" t="s">
        <v>2461</v>
      </c>
      <c r="I1421" s="7">
        <f>3153</f>
        <v>3153</v>
      </c>
      <c r="J1421" s="5" t="s">
        <v>262</v>
      </c>
      <c r="K1421" s="8">
        <f>1</f>
        <v>1</v>
      </c>
      <c r="L1421" s="6" t="s">
        <v>242</v>
      </c>
      <c r="M1421" s="5" t="s">
        <v>267</v>
      </c>
      <c r="N1421" s="5" t="s">
        <v>265</v>
      </c>
      <c r="O1421" s="5" t="s">
        <v>238</v>
      </c>
      <c r="P1421" s="5" t="s">
        <v>238</v>
      </c>
      <c r="Q1421" s="5" t="s">
        <v>268</v>
      </c>
      <c r="R1421" s="5" t="s">
        <v>270</v>
      </c>
      <c r="S1421" s="5" t="s">
        <v>238</v>
      </c>
      <c r="V1421" s="5" t="s">
        <v>238</v>
      </c>
      <c r="X1421" s="6" t="s">
        <v>238</v>
      </c>
      <c r="AA1421" s="6" t="s">
        <v>243</v>
      </c>
      <c r="AB1421" s="5" t="s">
        <v>238</v>
      </c>
      <c r="AC1421" s="5" t="s">
        <v>244</v>
      </c>
      <c r="AD1421" s="5" t="s">
        <v>245</v>
      </c>
      <c r="AT1421" s="5" t="s">
        <v>246</v>
      </c>
      <c r="AU1421" s="5" t="s">
        <v>238</v>
      </c>
      <c r="AV1421" s="5" t="s">
        <v>247</v>
      </c>
      <c r="AW1421" s="5" t="s">
        <v>238</v>
      </c>
      <c r="AX1421" s="5" t="s">
        <v>249</v>
      </c>
      <c r="AY1421" s="5" t="s">
        <v>238</v>
      </c>
      <c r="BA1421" s="5" t="s">
        <v>238</v>
      </c>
      <c r="BC1421" s="5" t="s">
        <v>250</v>
      </c>
      <c r="BD1421" s="6" t="s">
        <v>243</v>
      </c>
      <c r="BE1421" s="5" t="s">
        <v>251</v>
      </c>
      <c r="BF1421" s="5" t="s">
        <v>252</v>
      </c>
      <c r="BG1421" s="5" t="s">
        <v>238</v>
      </c>
      <c r="BH1421" s="7">
        <f>0</f>
        <v>0</v>
      </c>
      <c r="BI1421" s="8">
        <f>0</f>
        <v>0</v>
      </c>
      <c r="BJ1421" s="5" t="s">
        <v>253</v>
      </c>
      <c r="BK1421" s="5" t="s">
        <v>254</v>
      </c>
      <c r="BY1421" s="5" t="s">
        <v>238</v>
      </c>
      <c r="BZ1421" s="5" t="s">
        <v>238</v>
      </c>
      <c r="CD1421" s="5" t="s">
        <v>273</v>
      </c>
      <c r="CE1421" s="5" t="s">
        <v>256</v>
      </c>
      <c r="CF1421" s="5" t="s">
        <v>238</v>
      </c>
      <c r="CI1421" s="6" t="s">
        <v>257</v>
      </c>
      <c r="CJ1421" s="5" t="s">
        <v>238</v>
      </c>
      <c r="CK1421" s="5" t="s">
        <v>258</v>
      </c>
      <c r="CL1421" s="5" t="s">
        <v>238</v>
      </c>
      <c r="CM1421" s="5" t="s">
        <v>238</v>
      </c>
      <c r="CN1421" s="5">
        <v>0</v>
      </c>
      <c r="CO1421" s="5" t="s">
        <v>259</v>
      </c>
      <c r="CP1421" s="5" t="s">
        <v>260</v>
      </c>
      <c r="CQ1421" s="5" t="s">
        <v>260</v>
      </c>
      <c r="CR1421" s="5" t="s">
        <v>261</v>
      </c>
      <c r="CU1421" s="8">
        <f>1</f>
        <v>1</v>
      </c>
      <c r="CV1421" s="8">
        <f>0</f>
        <v>0</v>
      </c>
      <c r="CX1421" s="8">
        <f>0</f>
        <v>0</v>
      </c>
      <c r="CY1421" s="8">
        <f>1</f>
        <v>1</v>
      </c>
      <c r="DA1421" s="5" t="s">
        <v>673</v>
      </c>
      <c r="DB1421" s="5" t="s">
        <v>238</v>
      </c>
      <c r="DD1421" s="5" t="s">
        <v>673</v>
      </c>
      <c r="DE1421" s="8">
        <f>3153</f>
        <v>3153</v>
      </c>
      <c r="DG1421" s="5" t="s">
        <v>238</v>
      </c>
      <c r="DH1421" s="5" t="s">
        <v>238</v>
      </c>
      <c r="DI1421" s="5" t="s">
        <v>238</v>
      </c>
      <c r="DJ1421" s="5" t="s">
        <v>238</v>
      </c>
      <c r="DN1421" s="5" t="s">
        <v>238</v>
      </c>
      <c r="DO1421" s="5" t="s">
        <v>238</v>
      </c>
      <c r="DP1421" s="5" t="s">
        <v>238</v>
      </c>
      <c r="DQ1421" s="5" t="s">
        <v>238</v>
      </c>
      <c r="DT1421" s="5" t="s">
        <v>2039</v>
      </c>
      <c r="DU1421" s="5" t="s">
        <v>1922</v>
      </c>
      <c r="HM1421" s="5" t="s">
        <v>264</v>
      </c>
    </row>
    <row r="1422" spans="1:221" x14ac:dyDescent="0.4">
      <c r="A1422" s="5">
        <v>3097</v>
      </c>
      <c r="B1422" s="5">
        <v>1</v>
      </c>
      <c r="C1422" s="5">
        <v>1</v>
      </c>
      <c r="D1422" s="5" t="s">
        <v>2037</v>
      </c>
      <c r="E1422" s="5" t="s">
        <v>271</v>
      </c>
      <c r="F1422" s="5" t="s">
        <v>248</v>
      </c>
      <c r="G1422" s="5" t="s">
        <v>1969</v>
      </c>
      <c r="H1422" s="6" t="s">
        <v>2460</v>
      </c>
      <c r="I1422" s="7">
        <f>2086</f>
        <v>2086</v>
      </c>
      <c r="J1422" s="5" t="s">
        <v>262</v>
      </c>
      <c r="K1422" s="8">
        <f>1</f>
        <v>1</v>
      </c>
      <c r="L1422" s="6" t="s">
        <v>242</v>
      </c>
      <c r="M1422" s="5" t="s">
        <v>267</v>
      </c>
      <c r="N1422" s="5" t="s">
        <v>265</v>
      </c>
      <c r="O1422" s="5" t="s">
        <v>238</v>
      </c>
      <c r="P1422" s="5" t="s">
        <v>238</v>
      </c>
      <c r="Q1422" s="5" t="s">
        <v>268</v>
      </c>
      <c r="R1422" s="5" t="s">
        <v>270</v>
      </c>
      <c r="S1422" s="5" t="s">
        <v>238</v>
      </c>
      <c r="V1422" s="5" t="s">
        <v>238</v>
      </c>
      <c r="X1422" s="6" t="s">
        <v>238</v>
      </c>
      <c r="AA1422" s="6" t="s">
        <v>243</v>
      </c>
      <c r="AB1422" s="5" t="s">
        <v>238</v>
      </c>
      <c r="AC1422" s="5" t="s">
        <v>244</v>
      </c>
      <c r="AD1422" s="5" t="s">
        <v>245</v>
      </c>
      <c r="AT1422" s="5" t="s">
        <v>246</v>
      </c>
      <c r="AU1422" s="5" t="s">
        <v>238</v>
      </c>
      <c r="AV1422" s="5" t="s">
        <v>247</v>
      </c>
      <c r="AW1422" s="5" t="s">
        <v>238</v>
      </c>
      <c r="AX1422" s="5" t="s">
        <v>249</v>
      </c>
      <c r="AY1422" s="5" t="s">
        <v>238</v>
      </c>
      <c r="BA1422" s="5" t="s">
        <v>238</v>
      </c>
      <c r="BC1422" s="5" t="s">
        <v>250</v>
      </c>
      <c r="BD1422" s="6" t="s">
        <v>243</v>
      </c>
      <c r="BE1422" s="5" t="s">
        <v>251</v>
      </c>
      <c r="BF1422" s="5" t="s">
        <v>252</v>
      </c>
      <c r="BG1422" s="5" t="s">
        <v>238</v>
      </c>
      <c r="BH1422" s="7">
        <f>0</f>
        <v>0</v>
      </c>
      <c r="BI1422" s="8">
        <f>0</f>
        <v>0</v>
      </c>
      <c r="BJ1422" s="5" t="s">
        <v>253</v>
      </c>
      <c r="BK1422" s="5" t="s">
        <v>254</v>
      </c>
      <c r="BY1422" s="5" t="s">
        <v>238</v>
      </c>
      <c r="BZ1422" s="5" t="s">
        <v>238</v>
      </c>
      <c r="CD1422" s="5" t="s">
        <v>273</v>
      </c>
      <c r="CE1422" s="5" t="s">
        <v>256</v>
      </c>
      <c r="CF1422" s="5" t="s">
        <v>238</v>
      </c>
      <c r="CI1422" s="6" t="s">
        <v>257</v>
      </c>
      <c r="CJ1422" s="5" t="s">
        <v>238</v>
      </c>
      <c r="CK1422" s="5" t="s">
        <v>258</v>
      </c>
      <c r="CL1422" s="5" t="s">
        <v>238</v>
      </c>
      <c r="CM1422" s="5" t="s">
        <v>238</v>
      </c>
      <c r="CN1422" s="5">
        <v>0</v>
      </c>
      <c r="CO1422" s="5" t="s">
        <v>259</v>
      </c>
      <c r="CP1422" s="5" t="s">
        <v>260</v>
      </c>
      <c r="CQ1422" s="5" t="s">
        <v>260</v>
      </c>
      <c r="CR1422" s="5" t="s">
        <v>261</v>
      </c>
      <c r="CU1422" s="8">
        <f>1</f>
        <v>1</v>
      </c>
      <c r="CV1422" s="8">
        <f>0</f>
        <v>0</v>
      </c>
      <c r="CX1422" s="8">
        <f>0</f>
        <v>0</v>
      </c>
      <c r="CY1422" s="8">
        <f>1</f>
        <v>1</v>
      </c>
      <c r="DA1422" s="5" t="s">
        <v>673</v>
      </c>
      <c r="DB1422" s="5" t="s">
        <v>238</v>
      </c>
      <c r="DD1422" s="5" t="s">
        <v>673</v>
      </c>
      <c r="DE1422" s="8">
        <f>2086</f>
        <v>2086</v>
      </c>
      <c r="DG1422" s="5" t="s">
        <v>238</v>
      </c>
      <c r="DH1422" s="5" t="s">
        <v>238</v>
      </c>
      <c r="DI1422" s="5" t="s">
        <v>238</v>
      </c>
      <c r="DJ1422" s="5" t="s">
        <v>238</v>
      </c>
      <c r="DN1422" s="5" t="s">
        <v>238</v>
      </c>
      <c r="DO1422" s="5" t="s">
        <v>238</v>
      </c>
      <c r="DP1422" s="5" t="s">
        <v>238</v>
      </c>
      <c r="DQ1422" s="5" t="s">
        <v>238</v>
      </c>
      <c r="DT1422" s="5" t="s">
        <v>2039</v>
      </c>
      <c r="DU1422" s="5" t="s">
        <v>1918</v>
      </c>
      <c r="HM1422" s="5" t="s">
        <v>264</v>
      </c>
    </row>
    <row r="1423" spans="1:221" x14ac:dyDescent="0.4">
      <c r="A1423" s="5">
        <v>3098</v>
      </c>
      <c r="B1423" s="5">
        <v>1</v>
      </c>
      <c r="C1423" s="5">
        <v>1</v>
      </c>
      <c r="D1423" s="5" t="s">
        <v>2037</v>
      </c>
      <c r="E1423" s="5" t="s">
        <v>271</v>
      </c>
      <c r="F1423" s="5" t="s">
        <v>248</v>
      </c>
      <c r="G1423" s="5" t="s">
        <v>1969</v>
      </c>
      <c r="H1423" s="6" t="s">
        <v>2459</v>
      </c>
      <c r="I1423" s="7">
        <f>1599</f>
        <v>1599</v>
      </c>
      <c r="J1423" s="5" t="s">
        <v>262</v>
      </c>
      <c r="K1423" s="8">
        <f>1</f>
        <v>1</v>
      </c>
      <c r="L1423" s="6" t="s">
        <v>242</v>
      </c>
      <c r="M1423" s="5" t="s">
        <v>267</v>
      </c>
      <c r="N1423" s="5" t="s">
        <v>265</v>
      </c>
      <c r="O1423" s="5" t="s">
        <v>238</v>
      </c>
      <c r="P1423" s="5" t="s">
        <v>238</v>
      </c>
      <c r="Q1423" s="5" t="s">
        <v>268</v>
      </c>
      <c r="R1423" s="5" t="s">
        <v>270</v>
      </c>
      <c r="S1423" s="5" t="s">
        <v>238</v>
      </c>
      <c r="V1423" s="5" t="s">
        <v>238</v>
      </c>
      <c r="X1423" s="6" t="s">
        <v>238</v>
      </c>
      <c r="AA1423" s="6" t="s">
        <v>243</v>
      </c>
      <c r="AB1423" s="5" t="s">
        <v>238</v>
      </c>
      <c r="AC1423" s="5" t="s">
        <v>244</v>
      </c>
      <c r="AD1423" s="5" t="s">
        <v>245</v>
      </c>
      <c r="AT1423" s="5" t="s">
        <v>246</v>
      </c>
      <c r="AU1423" s="5" t="s">
        <v>238</v>
      </c>
      <c r="AV1423" s="5" t="s">
        <v>247</v>
      </c>
      <c r="AW1423" s="5" t="s">
        <v>238</v>
      </c>
      <c r="AX1423" s="5" t="s">
        <v>249</v>
      </c>
      <c r="AY1423" s="5" t="s">
        <v>238</v>
      </c>
      <c r="BA1423" s="5" t="s">
        <v>238</v>
      </c>
      <c r="BC1423" s="5" t="s">
        <v>250</v>
      </c>
      <c r="BD1423" s="6" t="s">
        <v>243</v>
      </c>
      <c r="BE1423" s="5" t="s">
        <v>251</v>
      </c>
      <c r="BF1423" s="5" t="s">
        <v>252</v>
      </c>
      <c r="BG1423" s="5" t="s">
        <v>238</v>
      </c>
      <c r="BH1423" s="7">
        <f>0</f>
        <v>0</v>
      </c>
      <c r="BI1423" s="8">
        <f>0</f>
        <v>0</v>
      </c>
      <c r="BJ1423" s="5" t="s">
        <v>253</v>
      </c>
      <c r="BK1423" s="5" t="s">
        <v>254</v>
      </c>
      <c r="BY1423" s="5" t="s">
        <v>238</v>
      </c>
      <c r="BZ1423" s="5" t="s">
        <v>238</v>
      </c>
      <c r="CD1423" s="5" t="s">
        <v>273</v>
      </c>
      <c r="CE1423" s="5" t="s">
        <v>256</v>
      </c>
      <c r="CF1423" s="5" t="s">
        <v>238</v>
      </c>
      <c r="CI1423" s="6" t="s">
        <v>257</v>
      </c>
      <c r="CJ1423" s="5" t="s">
        <v>238</v>
      </c>
      <c r="CK1423" s="5" t="s">
        <v>258</v>
      </c>
      <c r="CL1423" s="5" t="s">
        <v>238</v>
      </c>
      <c r="CM1423" s="5" t="s">
        <v>238</v>
      </c>
      <c r="CN1423" s="5">
        <v>0</v>
      </c>
      <c r="CO1423" s="5" t="s">
        <v>259</v>
      </c>
      <c r="CP1423" s="5" t="s">
        <v>260</v>
      </c>
      <c r="CQ1423" s="5" t="s">
        <v>260</v>
      </c>
      <c r="CR1423" s="5" t="s">
        <v>261</v>
      </c>
      <c r="CU1423" s="8">
        <f>1</f>
        <v>1</v>
      </c>
      <c r="CV1423" s="8">
        <f>0</f>
        <v>0</v>
      </c>
      <c r="CX1423" s="8">
        <f>0</f>
        <v>0</v>
      </c>
      <c r="CY1423" s="8">
        <f>1</f>
        <v>1</v>
      </c>
      <c r="DA1423" s="5" t="s">
        <v>673</v>
      </c>
      <c r="DB1423" s="5" t="s">
        <v>238</v>
      </c>
      <c r="DD1423" s="5" t="s">
        <v>673</v>
      </c>
      <c r="DE1423" s="8">
        <f>1599</f>
        <v>1599</v>
      </c>
      <c r="DG1423" s="5" t="s">
        <v>238</v>
      </c>
      <c r="DH1423" s="5" t="s">
        <v>238</v>
      </c>
      <c r="DI1423" s="5" t="s">
        <v>238</v>
      </c>
      <c r="DJ1423" s="5" t="s">
        <v>238</v>
      </c>
      <c r="DN1423" s="5" t="s">
        <v>238</v>
      </c>
      <c r="DO1423" s="5" t="s">
        <v>238</v>
      </c>
      <c r="DP1423" s="5" t="s">
        <v>238</v>
      </c>
      <c r="DQ1423" s="5" t="s">
        <v>238</v>
      </c>
      <c r="DT1423" s="5" t="s">
        <v>2039</v>
      </c>
      <c r="DU1423" s="5" t="s">
        <v>1916</v>
      </c>
      <c r="HM1423" s="5" t="s">
        <v>264</v>
      </c>
    </row>
    <row r="1424" spans="1:221" x14ac:dyDescent="0.4">
      <c r="A1424" s="5">
        <v>3099</v>
      </c>
      <c r="B1424" s="5">
        <v>1</v>
      </c>
      <c r="C1424" s="5">
        <v>1</v>
      </c>
      <c r="D1424" s="5" t="s">
        <v>2037</v>
      </c>
      <c r="E1424" s="5" t="s">
        <v>271</v>
      </c>
      <c r="F1424" s="5" t="s">
        <v>248</v>
      </c>
      <c r="G1424" s="5" t="s">
        <v>1969</v>
      </c>
      <c r="H1424" s="6" t="s">
        <v>2458</v>
      </c>
      <c r="I1424" s="7">
        <f>1041</f>
        <v>1041</v>
      </c>
      <c r="J1424" s="5" t="s">
        <v>262</v>
      </c>
      <c r="K1424" s="8">
        <f>1</f>
        <v>1</v>
      </c>
      <c r="L1424" s="6" t="s">
        <v>242</v>
      </c>
      <c r="M1424" s="5" t="s">
        <v>267</v>
      </c>
      <c r="N1424" s="5" t="s">
        <v>265</v>
      </c>
      <c r="O1424" s="5" t="s">
        <v>238</v>
      </c>
      <c r="P1424" s="5" t="s">
        <v>238</v>
      </c>
      <c r="Q1424" s="5" t="s">
        <v>268</v>
      </c>
      <c r="R1424" s="5" t="s">
        <v>270</v>
      </c>
      <c r="S1424" s="5" t="s">
        <v>238</v>
      </c>
      <c r="V1424" s="5" t="s">
        <v>238</v>
      </c>
      <c r="X1424" s="6" t="s">
        <v>238</v>
      </c>
      <c r="AA1424" s="6" t="s">
        <v>243</v>
      </c>
      <c r="AB1424" s="5" t="s">
        <v>238</v>
      </c>
      <c r="AC1424" s="5" t="s">
        <v>244</v>
      </c>
      <c r="AD1424" s="5" t="s">
        <v>245</v>
      </c>
      <c r="AT1424" s="5" t="s">
        <v>246</v>
      </c>
      <c r="AU1424" s="5" t="s">
        <v>238</v>
      </c>
      <c r="AV1424" s="5" t="s">
        <v>247</v>
      </c>
      <c r="AW1424" s="5" t="s">
        <v>238</v>
      </c>
      <c r="AX1424" s="5" t="s">
        <v>249</v>
      </c>
      <c r="AY1424" s="5" t="s">
        <v>238</v>
      </c>
      <c r="BA1424" s="5" t="s">
        <v>238</v>
      </c>
      <c r="BC1424" s="5" t="s">
        <v>250</v>
      </c>
      <c r="BD1424" s="6" t="s">
        <v>243</v>
      </c>
      <c r="BE1424" s="5" t="s">
        <v>251</v>
      </c>
      <c r="BF1424" s="5" t="s">
        <v>252</v>
      </c>
      <c r="BG1424" s="5" t="s">
        <v>238</v>
      </c>
      <c r="BH1424" s="7">
        <f>0</f>
        <v>0</v>
      </c>
      <c r="BI1424" s="8">
        <f>0</f>
        <v>0</v>
      </c>
      <c r="BJ1424" s="5" t="s">
        <v>253</v>
      </c>
      <c r="BK1424" s="5" t="s">
        <v>254</v>
      </c>
      <c r="BY1424" s="5" t="s">
        <v>238</v>
      </c>
      <c r="BZ1424" s="5" t="s">
        <v>238</v>
      </c>
      <c r="CD1424" s="5" t="s">
        <v>273</v>
      </c>
      <c r="CE1424" s="5" t="s">
        <v>256</v>
      </c>
      <c r="CF1424" s="5" t="s">
        <v>238</v>
      </c>
      <c r="CI1424" s="6" t="s">
        <v>257</v>
      </c>
      <c r="CJ1424" s="5" t="s">
        <v>238</v>
      </c>
      <c r="CK1424" s="5" t="s">
        <v>258</v>
      </c>
      <c r="CL1424" s="5" t="s">
        <v>238</v>
      </c>
      <c r="CM1424" s="5" t="s">
        <v>238</v>
      </c>
      <c r="CN1424" s="5">
        <v>0</v>
      </c>
      <c r="CO1424" s="5" t="s">
        <v>259</v>
      </c>
      <c r="CP1424" s="5" t="s">
        <v>260</v>
      </c>
      <c r="CQ1424" s="5" t="s">
        <v>260</v>
      </c>
      <c r="CR1424" s="5" t="s">
        <v>261</v>
      </c>
      <c r="CU1424" s="8">
        <f>1</f>
        <v>1</v>
      </c>
      <c r="CV1424" s="8">
        <f>0</f>
        <v>0</v>
      </c>
      <c r="CX1424" s="8">
        <f>0</f>
        <v>0</v>
      </c>
      <c r="CY1424" s="8">
        <f>1</f>
        <v>1</v>
      </c>
      <c r="DA1424" s="5" t="s">
        <v>673</v>
      </c>
      <c r="DB1424" s="5" t="s">
        <v>238</v>
      </c>
      <c r="DD1424" s="5" t="s">
        <v>673</v>
      </c>
      <c r="DE1424" s="8">
        <f>1041</f>
        <v>1041</v>
      </c>
      <c r="DG1424" s="5" t="s">
        <v>238</v>
      </c>
      <c r="DH1424" s="5" t="s">
        <v>238</v>
      </c>
      <c r="DI1424" s="5" t="s">
        <v>238</v>
      </c>
      <c r="DJ1424" s="5" t="s">
        <v>238</v>
      </c>
      <c r="DN1424" s="5" t="s">
        <v>238</v>
      </c>
      <c r="DO1424" s="5" t="s">
        <v>238</v>
      </c>
      <c r="DP1424" s="5" t="s">
        <v>238</v>
      </c>
      <c r="DQ1424" s="5" t="s">
        <v>238</v>
      </c>
      <c r="DT1424" s="5" t="s">
        <v>2039</v>
      </c>
      <c r="DU1424" s="5" t="s">
        <v>1910</v>
      </c>
      <c r="HM1424" s="5" t="s">
        <v>264</v>
      </c>
    </row>
    <row r="1425" spans="1:221" x14ac:dyDescent="0.4">
      <c r="A1425" s="5">
        <v>3100</v>
      </c>
      <c r="B1425" s="5">
        <v>1</v>
      </c>
      <c r="C1425" s="5">
        <v>1</v>
      </c>
      <c r="D1425" s="5" t="s">
        <v>2037</v>
      </c>
      <c r="E1425" s="5" t="s">
        <v>271</v>
      </c>
      <c r="F1425" s="5" t="s">
        <v>248</v>
      </c>
      <c r="G1425" s="5" t="s">
        <v>1969</v>
      </c>
      <c r="H1425" s="6" t="s">
        <v>2457</v>
      </c>
      <c r="I1425" s="7">
        <f>212</f>
        <v>212</v>
      </c>
      <c r="J1425" s="5" t="s">
        <v>262</v>
      </c>
      <c r="K1425" s="8">
        <f>1</f>
        <v>1</v>
      </c>
      <c r="L1425" s="6" t="s">
        <v>242</v>
      </c>
      <c r="M1425" s="5" t="s">
        <v>267</v>
      </c>
      <c r="N1425" s="5" t="s">
        <v>265</v>
      </c>
      <c r="O1425" s="5" t="s">
        <v>238</v>
      </c>
      <c r="P1425" s="5" t="s">
        <v>238</v>
      </c>
      <c r="Q1425" s="5" t="s">
        <v>268</v>
      </c>
      <c r="R1425" s="5" t="s">
        <v>270</v>
      </c>
      <c r="S1425" s="5" t="s">
        <v>238</v>
      </c>
      <c r="V1425" s="5" t="s">
        <v>238</v>
      </c>
      <c r="X1425" s="6" t="s">
        <v>238</v>
      </c>
      <c r="AA1425" s="6" t="s">
        <v>243</v>
      </c>
      <c r="AB1425" s="5" t="s">
        <v>238</v>
      </c>
      <c r="AC1425" s="5" t="s">
        <v>244</v>
      </c>
      <c r="AD1425" s="5" t="s">
        <v>245</v>
      </c>
      <c r="AT1425" s="5" t="s">
        <v>246</v>
      </c>
      <c r="AU1425" s="5" t="s">
        <v>238</v>
      </c>
      <c r="AV1425" s="5" t="s">
        <v>247</v>
      </c>
      <c r="AW1425" s="5" t="s">
        <v>238</v>
      </c>
      <c r="AX1425" s="5" t="s">
        <v>249</v>
      </c>
      <c r="AY1425" s="5" t="s">
        <v>238</v>
      </c>
      <c r="BA1425" s="5" t="s">
        <v>238</v>
      </c>
      <c r="BC1425" s="5" t="s">
        <v>250</v>
      </c>
      <c r="BD1425" s="6" t="s">
        <v>243</v>
      </c>
      <c r="BE1425" s="5" t="s">
        <v>251</v>
      </c>
      <c r="BF1425" s="5" t="s">
        <v>252</v>
      </c>
      <c r="BG1425" s="5" t="s">
        <v>238</v>
      </c>
      <c r="BH1425" s="7">
        <f>0</f>
        <v>0</v>
      </c>
      <c r="BI1425" s="8">
        <f>0</f>
        <v>0</v>
      </c>
      <c r="BJ1425" s="5" t="s">
        <v>253</v>
      </c>
      <c r="BK1425" s="5" t="s">
        <v>254</v>
      </c>
      <c r="BY1425" s="5" t="s">
        <v>238</v>
      </c>
      <c r="BZ1425" s="5" t="s">
        <v>238</v>
      </c>
      <c r="CD1425" s="5" t="s">
        <v>273</v>
      </c>
      <c r="CE1425" s="5" t="s">
        <v>256</v>
      </c>
      <c r="CF1425" s="5" t="s">
        <v>238</v>
      </c>
      <c r="CI1425" s="6" t="s">
        <v>257</v>
      </c>
      <c r="CJ1425" s="5" t="s">
        <v>238</v>
      </c>
      <c r="CK1425" s="5" t="s">
        <v>258</v>
      </c>
      <c r="CL1425" s="5" t="s">
        <v>238</v>
      </c>
      <c r="CM1425" s="5" t="s">
        <v>238</v>
      </c>
      <c r="CN1425" s="5">
        <v>0</v>
      </c>
      <c r="CO1425" s="5" t="s">
        <v>259</v>
      </c>
      <c r="CP1425" s="5" t="s">
        <v>260</v>
      </c>
      <c r="CQ1425" s="5" t="s">
        <v>260</v>
      </c>
      <c r="CR1425" s="5" t="s">
        <v>261</v>
      </c>
      <c r="CU1425" s="8">
        <f>1</f>
        <v>1</v>
      </c>
      <c r="CV1425" s="8">
        <f>0</f>
        <v>0</v>
      </c>
      <c r="CX1425" s="8">
        <f>0</f>
        <v>0</v>
      </c>
      <c r="CY1425" s="8">
        <f>1</f>
        <v>1</v>
      </c>
      <c r="DA1425" s="5" t="s">
        <v>673</v>
      </c>
      <c r="DB1425" s="5" t="s">
        <v>238</v>
      </c>
      <c r="DD1425" s="5" t="s">
        <v>673</v>
      </c>
      <c r="DE1425" s="8">
        <f>212</f>
        <v>212</v>
      </c>
      <c r="DG1425" s="5" t="s">
        <v>238</v>
      </c>
      <c r="DH1425" s="5" t="s">
        <v>238</v>
      </c>
      <c r="DI1425" s="5" t="s">
        <v>238</v>
      </c>
      <c r="DJ1425" s="5" t="s">
        <v>238</v>
      </c>
      <c r="DN1425" s="5" t="s">
        <v>238</v>
      </c>
      <c r="DO1425" s="5" t="s">
        <v>238</v>
      </c>
      <c r="DP1425" s="5" t="s">
        <v>238</v>
      </c>
      <c r="DQ1425" s="5" t="s">
        <v>238</v>
      </c>
      <c r="DT1425" s="5" t="s">
        <v>2039</v>
      </c>
      <c r="DU1425" s="5" t="s">
        <v>1908</v>
      </c>
      <c r="HM1425" s="5" t="s">
        <v>264</v>
      </c>
    </row>
    <row r="1426" spans="1:221" x14ac:dyDescent="0.4">
      <c r="A1426" s="5">
        <v>3101</v>
      </c>
      <c r="B1426" s="5">
        <v>1</v>
      </c>
      <c r="C1426" s="5">
        <v>1</v>
      </c>
      <c r="D1426" s="5" t="s">
        <v>2037</v>
      </c>
      <c r="E1426" s="5" t="s">
        <v>271</v>
      </c>
      <c r="F1426" s="5" t="s">
        <v>248</v>
      </c>
      <c r="G1426" s="5" t="s">
        <v>1969</v>
      </c>
      <c r="H1426" s="6" t="s">
        <v>2452</v>
      </c>
      <c r="I1426" s="7">
        <f>1596</f>
        <v>1596</v>
      </c>
      <c r="J1426" s="5" t="s">
        <v>262</v>
      </c>
      <c r="K1426" s="8">
        <f>1</f>
        <v>1</v>
      </c>
      <c r="L1426" s="6" t="s">
        <v>242</v>
      </c>
      <c r="M1426" s="5" t="s">
        <v>267</v>
      </c>
      <c r="N1426" s="5" t="s">
        <v>265</v>
      </c>
      <c r="O1426" s="5" t="s">
        <v>238</v>
      </c>
      <c r="P1426" s="5" t="s">
        <v>238</v>
      </c>
      <c r="Q1426" s="5" t="s">
        <v>268</v>
      </c>
      <c r="R1426" s="5" t="s">
        <v>270</v>
      </c>
      <c r="S1426" s="5" t="s">
        <v>238</v>
      </c>
      <c r="V1426" s="5" t="s">
        <v>238</v>
      </c>
      <c r="X1426" s="6" t="s">
        <v>238</v>
      </c>
      <c r="AA1426" s="6" t="s">
        <v>243</v>
      </c>
      <c r="AB1426" s="5" t="s">
        <v>238</v>
      </c>
      <c r="AC1426" s="5" t="s">
        <v>244</v>
      </c>
      <c r="AD1426" s="5" t="s">
        <v>245</v>
      </c>
      <c r="AT1426" s="5" t="s">
        <v>246</v>
      </c>
      <c r="AU1426" s="5" t="s">
        <v>238</v>
      </c>
      <c r="AV1426" s="5" t="s">
        <v>247</v>
      </c>
      <c r="AW1426" s="5" t="s">
        <v>238</v>
      </c>
      <c r="AX1426" s="5" t="s">
        <v>249</v>
      </c>
      <c r="AY1426" s="5" t="s">
        <v>238</v>
      </c>
      <c r="BA1426" s="5" t="s">
        <v>238</v>
      </c>
      <c r="BC1426" s="5" t="s">
        <v>250</v>
      </c>
      <c r="BD1426" s="6" t="s">
        <v>243</v>
      </c>
      <c r="BE1426" s="5" t="s">
        <v>251</v>
      </c>
      <c r="BF1426" s="5" t="s">
        <v>252</v>
      </c>
      <c r="BG1426" s="5" t="s">
        <v>238</v>
      </c>
      <c r="BH1426" s="7">
        <f>0</f>
        <v>0</v>
      </c>
      <c r="BI1426" s="8">
        <f>0</f>
        <v>0</v>
      </c>
      <c r="BJ1426" s="5" t="s">
        <v>253</v>
      </c>
      <c r="BK1426" s="5" t="s">
        <v>254</v>
      </c>
      <c r="BY1426" s="5" t="s">
        <v>238</v>
      </c>
      <c r="BZ1426" s="5" t="s">
        <v>238</v>
      </c>
      <c r="CD1426" s="5" t="s">
        <v>273</v>
      </c>
      <c r="CE1426" s="5" t="s">
        <v>256</v>
      </c>
      <c r="CF1426" s="5" t="s">
        <v>238</v>
      </c>
      <c r="CI1426" s="6" t="s">
        <v>257</v>
      </c>
      <c r="CJ1426" s="5" t="s">
        <v>238</v>
      </c>
      <c r="CK1426" s="5" t="s">
        <v>258</v>
      </c>
      <c r="CL1426" s="5" t="s">
        <v>238</v>
      </c>
      <c r="CM1426" s="5" t="s">
        <v>238</v>
      </c>
      <c r="CN1426" s="5">
        <v>0</v>
      </c>
      <c r="CO1426" s="5" t="s">
        <v>259</v>
      </c>
      <c r="CP1426" s="5" t="s">
        <v>260</v>
      </c>
      <c r="CQ1426" s="5" t="s">
        <v>260</v>
      </c>
      <c r="CR1426" s="5" t="s">
        <v>261</v>
      </c>
      <c r="CU1426" s="8">
        <f>1</f>
        <v>1</v>
      </c>
      <c r="CV1426" s="8">
        <f>0</f>
        <v>0</v>
      </c>
      <c r="CX1426" s="8">
        <f>0</f>
        <v>0</v>
      </c>
      <c r="CY1426" s="8">
        <f>1</f>
        <v>1</v>
      </c>
      <c r="DA1426" s="5" t="s">
        <v>673</v>
      </c>
      <c r="DB1426" s="5" t="s">
        <v>238</v>
      </c>
      <c r="DD1426" s="5" t="s">
        <v>673</v>
      </c>
      <c r="DE1426" s="8">
        <f>1596</f>
        <v>1596</v>
      </c>
      <c r="DG1426" s="5" t="s">
        <v>238</v>
      </c>
      <c r="DH1426" s="5" t="s">
        <v>238</v>
      </c>
      <c r="DI1426" s="5" t="s">
        <v>238</v>
      </c>
      <c r="DJ1426" s="5" t="s">
        <v>238</v>
      </c>
      <c r="DN1426" s="5" t="s">
        <v>238</v>
      </c>
      <c r="DO1426" s="5" t="s">
        <v>238</v>
      </c>
      <c r="DP1426" s="5" t="s">
        <v>238</v>
      </c>
      <c r="DQ1426" s="5" t="s">
        <v>238</v>
      </c>
      <c r="DT1426" s="5" t="s">
        <v>2039</v>
      </c>
      <c r="DU1426" s="5" t="s">
        <v>1900</v>
      </c>
      <c r="HM1426" s="5" t="s">
        <v>264</v>
      </c>
    </row>
    <row r="1427" spans="1:221" x14ac:dyDescent="0.4">
      <c r="A1427" s="5">
        <v>3102</v>
      </c>
      <c r="B1427" s="5">
        <v>1</v>
      </c>
      <c r="C1427" s="5">
        <v>1</v>
      </c>
      <c r="D1427" s="5" t="s">
        <v>2037</v>
      </c>
      <c r="E1427" s="5" t="s">
        <v>271</v>
      </c>
      <c r="F1427" s="5" t="s">
        <v>248</v>
      </c>
      <c r="G1427" s="5" t="s">
        <v>1969</v>
      </c>
      <c r="H1427" s="6" t="s">
        <v>2451</v>
      </c>
      <c r="I1427" s="7">
        <f>73</f>
        <v>73</v>
      </c>
      <c r="J1427" s="5" t="s">
        <v>262</v>
      </c>
      <c r="K1427" s="8">
        <f>1</f>
        <v>1</v>
      </c>
      <c r="L1427" s="6" t="s">
        <v>242</v>
      </c>
      <c r="M1427" s="5" t="s">
        <v>267</v>
      </c>
      <c r="N1427" s="5" t="s">
        <v>265</v>
      </c>
      <c r="O1427" s="5" t="s">
        <v>238</v>
      </c>
      <c r="P1427" s="5" t="s">
        <v>238</v>
      </c>
      <c r="Q1427" s="5" t="s">
        <v>268</v>
      </c>
      <c r="R1427" s="5" t="s">
        <v>270</v>
      </c>
      <c r="S1427" s="5" t="s">
        <v>238</v>
      </c>
      <c r="V1427" s="5" t="s">
        <v>238</v>
      </c>
      <c r="X1427" s="6" t="s">
        <v>238</v>
      </c>
      <c r="AA1427" s="6" t="s">
        <v>243</v>
      </c>
      <c r="AB1427" s="5" t="s">
        <v>238</v>
      </c>
      <c r="AC1427" s="5" t="s">
        <v>244</v>
      </c>
      <c r="AD1427" s="5" t="s">
        <v>245</v>
      </c>
      <c r="AT1427" s="5" t="s">
        <v>246</v>
      </c>
      <c r="AU1427" s="5" t="s">
        <v>238</v>
      </c>
      <c r="AV1427" s="5" t="s">
        <v>247</v>
      </c>
      <c r="AW1427" s="5" t="s">
        <v>238</v>
      </c>
      <c r="AX1427" s="5" t="s">
        <v>249</v>
      </c>
      <c r="AY1427" s="5" t="s">
        <v>238</v>
      </c>
      <c r="BA1427" s="5" t="s">
        <v>238</v>
      </c>
      <c r="BC1427" s="5" t="s">
        <v>250</v>
      </c>
      <c r="BD1427" s="6" t="s">
        <v>243</v>
      </c>
      <c r="BE1427" s="5" t="s">
        <v>251</v>
      </c>
      <c r="BF1427" s="5" t="s">
        <v>252</v>
      </c>
      <c r="BG1427" s="5" t="s">
        <v>238</v>
      </c>
      <c r="BH1427" s="7">
        <f>0</f>
        <v>0</v>
      </c>
      <c r="BI1427" s="8">
        <f>0</f>
        <v>0</v>
      </c>
      <c r="BJ1427" s="5" t="s">
        <v>253</v>
      </c>
      <c r="BK1427" s="5" t="s">
        <v>254</v>
      </c>
      <c r="BY1427" s="5" t="s">
        <v>238</v>
      </c>
      <c r="BZ1427" s="5" t="s">
        <v>238</v>
      </c>
      <c r="CD1427" s="5" t="s">
        <v>273</v>
      </c>
      <c r="CE1427" s="5" t="s">
        <v>256</v>
      </c>
      <c r="CF1427" s="5" t="s">
        <v>238</v>
      </c>
      <c r="CI1427" s="6" t="s">
        <v>257</v>
      </c>
      <c r="CJ1427" s="5" t="s">
        <v>238</v>
      </c>
      <c r="CK1427" s="5" t="s">
        <v>258</v>
      </c>
      <c r="CL1427" s="5" t="s">
        <v>238</v>
      </c>
      <c r="CM1427" s="5" t="s">
        <v>238</v>
      </c>
      <c r="CN1427" s="5">
        <v>0</v>
      </c>
      <c r="CO1427" s="5" t="s">
        <v>259</v>
      </c>
      <c r="CP1427" s="5" t="s">
        <v>260</v>
      </c>
      <c r="CQ1427" s="5" t="s">
        <v>260</v>
      </c>
      <c r="CR1427" s="5" t="s">
        <v>261</v>
      </c>
      <c r="CU1427" s="8">
        <f>1</f>
        <v>1</v>
      </c>
      <c r="CV1427" s="8">
        <f>0</f>
        <v>0</v>
      </c>
      <c r="CX1427" s="8">
        <f>0</f>
        <v>0</v>
      </c>
      <c r="CY1427" s="8">
        <f>1</f>
        <v>1</v>
      </c>
      <c r="DA1427" s="5" t="s">
        <v>673</v>
      </c>
      <c r="DB1427" s="5" t="s">
        <v>238</v>
      </c>
      <c r="DD1427" s="5" t="s">
        <v>673</v>
      </c>
      <c r="DE1427" s="8">
        <f>73</f>
        <v>73</v>
      </c>
      <c r="DG1427" s="5" t="s">
        <v>238</v>
      </c>
      <c r="DH1427" s="5" t="s">
        <v>238</v>
      </c>
      <c r="DI1427" s="5" t="s">
        <v>238</v>
      </c>
      <c r="DJ1427" s="5" t="s">
        <v>238</v>
      </c>
      <c r="DN1427" s="5" t="s">
        <v>238</v>
      </c>
      <c r="DO1427" s="5" t="s">
        <v>238</v>
      </c>
      <c r="DP1427" s="5" t="s">
        <v>238</v>
      </c>
      <c r="DQ1427" s="5" t="s">
        <v>238</v>
      </c>
      <c r="DT1427" s="5" t="s">
        <v>2039</v>
      </c>
      <c r="DU1427" s="5" t="s">
        <v>1898</v>
      </c>
      <c r="HM1427" s="5" t="s">
        <v>264</v>
      </c>
    </row>
    <row r="1428" spans="1:221" x14ac:dyDescent="0.4">
      <c r="A1428" s="5">
        <v>3103</v>
      </c>
      <c r="B1428" s="5">
        <v>1</v>
      </c>
      <c r="C1428" s="5">
        <v>1</v>
      </c>
      <c r="D1428" s="5" t="s">
        <v>2037</v>
      </c>
      <c r="E1428" s="5" t="s">
        <v>271</v>
      </c>
      <c r="F1428" s="5" t="s">
        <v>248</v>
      </c>
      <c r="G1428" s="5" t="s">
        <v>1969</v>
      </c>
      <c r="H1428" s="6" t="s">
        <v>2450</v>
      </c>
      <c r="I1428" s="7">
        <f>3656</f>
        <v>3656</v>
      </c>
      <c r="J1428" s="5" t="s">
        <v>262</v>
      </c>
      <c r="K1428" s="8">
        <f>1</f>
        <v>1</v>
      </c>
      <c r="L1428" s="6" t="s">
        <v>242</v>
      </c>
      <c r="M1428" s="5" t="s">
        <v>267</v>
      </c>
      <c r="N1428" s="5" t="s">
        <v>265</v>
      </c>
      <c r="O1428" s="5" t="s">
        <v>238</v>
      </c>
      <c r="P1428" s="5" t="s">
        <v>238</v>
      </c>
      <c r="Q1428" s="5" t="s">
        <v>268</v>
      </c>
      <c r="R1428" s="5" t="s">
        <v>270</v>
      </c>
      <c r="S1428" s="5" t="s">
        <v>238</v>
      </c>
      <c r="V1428" s="5" t="s">
        <v>238</v>
      </c>
      <c r="X1428" s="6" t="s">
        <v>238</v>
      </c>
      <c r="AA1428" s="6" t="s">
        <v>243</v>
      </c>
      <c r="AB1428" s="5" t="s">
        <v>238</v>
      </c>
      <c r="AC1428" s="5" t="s">
        <v>244</v>
      </c>
      <c r="AD1428" s="5" t="s">
        <v>245</v>
      </c>
      <c r="AT1428" s="5" t="s">
        <v>246</v>
      </c>
      <c r="AU1428" s="5" t="s">
        <v>238</v>
      </c>
      <c r="AV1428" s="5" t="s">
        <v>247</v>
      </c>
      <c r="AW1428" s="5" t="s">
        <v>238</v>
      </c>
      <c r="AX1428" s="5" t="s">
        <v>249</v>
      </c>
      <c r="AY1428" s="5" t="s">
        <v>238</v>
      </c>
      <c r="BA1428" s="5" t="s">
        <v>238</v>
      </c>
      <c r="BC1428" s="5" t="s">
        <v>250</v>
      </c>
      <c r="BD1428" s="6" t="s">
        <v>243</v>
      </c>
      <c r="BE1428" s="5" t="s">
        <v>251</v>
      </c>
      <c r="BF1428" s="5" t="s">
        <v>252</v>
      </c>
      <c r="BG1428" s="5" t="s">
        <v>238</v>
      </c>
      <c r="BH1428" s="7">
        <f>0</f>
        <v>0</v>
      </c>
      <c r="BI1428" s="8">
        <f>0</f>
        <v>0</v>
      </c>
      <c r="BJ1428" s="5" t="s">
        <v>253</v>
      </c>
      <c r="BK1428" s="5" t="s">
        <v>254</v>
      </c>
      <c r="BY1428" s="5" t="s">
        <v>238</v>
      </c>
      <c r="BZ1428" s="5" t="s">
        <v>238</v>
      </c>
      <c r="CD1428" s="5" t="s">
        <v>273</v>
      </c>
      <c r="CE1428" s="5" t="s">
        <v>256</v>
      </c>
      <c r="CF1428" s="5" t="s">
        <v>238</v>
      </c>
      <c r="CI1428" s="6" t="s">
        <v>257</v>
      </c>
      <c r="CJ1428" s="5" t="s">
        <v>238</v>
      </c>
      <c r="CK1428" s="5" t="s">
        <v>258</v>
      </c>
      <c r="CL1428" s="5" t="s">
        <v>238</v>
      </c>
      <c r="CM1428" s="5" t="s">
        <v>238</v>
      </c>
      <c r="CN1428" s="5">
        <v>0</v>
      </c>
      <c r="CO1428" s="5" t="s">
        <v>259</v>
      </c>
      <c r="CP1428" s="5" t="s">
        <v>260</v>
      </c>
      <c r="CQ1428" s="5" t="s">
        <v>260</v>
      </c>
      <c r="CR1428" s="5" t="s">
        <v>261</v>
      </c>
      <c r="CU1428" s="8">
        <f>1</f>
        <v>1</v>
      </c>
      <c r="CV1428" s="8">
        <f>0</f>
        <v>0</v>
      </c>
      <c r="CX1428" s="8">
        <f>0</f>
        <v>0</v>
      </c>
      <c r="CY1428" s="8">
        <f>1</f>
        <v>1</v>
      </c>
      <c r="DA1428" s="5" t="s">
        <v>673</v>
      </c>
      <c r="DB1428" s="5" t="s">
        <v>238</v>
      </c>
      <c r="DD1428" s="5" t="s">
        <v>673</v>
      </c>
      <c r="DE1428" s="8">
        <f>3656</f>
        <v>3656</v>
      </c>
      <c r="DG1428" s="5" t="s">
        <v>238</v>
      </c>
      <c r="DH1428" s="5" t="s">
        <v>238</v>
      </c>
      <c r="DI1428" s="5" t="s">
        <v>238</v>
      </c>
      <c r="DJ1428" s="5" t="s">
        <v>238</v>
      </c>
      <c r="DN1428" s="5" t="s">
        <v>238</v>
      </c>
      <c r="DO1428" s="5" t="s">
        <v>238</v>
      </c>
      <c r="DP1428" s="5" t="s">
        <v>238</v>
      </c>
      <c r="DQ1428" s="5" t="s">
        <v>238</v>
      </c>
      <c r="DT1428" s="5" t="s">
        <v>2039</v>
      </c>
      <c r="DU1428" s="5" t="s">
        <v>1892</v>
      </c>
      <c r="HM1428" s="5" t="s">
        <v>264</v>
      </c>
    </row>
    <row r="1429" spans="1:221" x14ac:dyDescent="0.4">
      <c r="A1429" s="5">
        <v>3104</v>
      </c>
      <c r="B1429" s="5">
        <v>1</v>
      </c>
      <c r="C1429" s="5">
        <v>1</v>
      </c>
      <c r="D1429" s="5" t="s">
        <v>2037</v>
      </c>
      <c r="E1429" s="5" t="s">
        <v>271</v>
      </c>
      <c r="F1429" s="5" t="s">
        <v>248</v>
      </c>
      <c r="G1429" s="5" t="s">
        <v>1969</v>
      </c>
      <c r="H1429" s="6" t="s">
        <v>2448</v>
      </c>
      <c r="I1429" s="7">
        <f>37</f>
        <v>37</v>
      </c>
      <c r="J1429" s="5" t="s">
        <v>262</v>
      </c>
      <c r="K1429" s="8">
        <f>1</f>
        <v>1</v>
      </c>
      <c r="L1429" s="6" t="s">
        <v>242</v>
      </c>
      <c r="M1429" s="5" t="s">
        <v>267</v>
      </c>
      <c r="N1429" s="5" t="s">
        <v>265</v>
      </c>
      <c r="O1429" s="5" t="s">
        <v>238</v>
      </c>
      <c r="P1429" s="5" t="s">
        <v>238</v>
      </c>
      <c r="Q1429" s="5" t="s">
        <v>268</v>
      </c>
      <c r="R1429" s="5" t="s">
        <v>270</v>
      </c>
      <c r="S1429" s="5" t="s">
        <v>238</v>
      </c>
      <c r="V1429" s="5" t="s">
        <v>238</v>
      </c>
      <c r="X1429" s="6" t="s">
        <v>238</v>
      </c>
      <c r="AA1429" s="6" t="s">
        <v>243</v>
      </c>
      <c r="AB1429" s="5" t="s">
        <v>238</v>
      </c>
      <c r="AC1429" s="5" t="s">
        <v>244</v>
      </c>
      <c r="AD1429" s="5" t="s">
        <v>245</v>
      </c>
      <c r="AT1429" s="5" t="s">
        <v>246</v>
      </c>
      <c r="AU1429" s="5" t="s">
        <v>238</v>
      </c>
      <c r="AV1429" s="5" t="s">
        <v>247</v>
      </c>
      <c r="AW1429" s="5" t="s">
        <v>238</v>
      </c>
      <c r="AX1429" s="5" t="s">
        <v>249</v>
      </c>
      <c r="AY1429" s="5" t="s">
        <v>238</v>
      </c>
      <c r="BA1429" s="5" t="s">
        <v>238</v>
      </c>
      <c r="BC1429" s="5" t="s">
        <v>250</v>
      </c>
      <c r="BD1429" s="6" t="s">
        <v>243</v>
      </c>
      <c r="BE1429" s="5" t="s">
        <v>251</v>
      </c>
      <c r="BF1429" s="5" t="s">
        <v>252</v>
      </c>
      <c r="BG1429" s="5" t="s">
        <v>238</v>
      </c>
      <c r="BH1429" s="7">
        <f>0</f>
        <v>0</v>
      </c>
      <c r="BI1429" s="8">
        <f>0</f>
        <v>0</v>
      </c>
      <c r="BJ1429" s="5" t="s">
        <v>253</v>
      </c>
      <c r="BK1429" s="5" t="s">
        <v>254</v>
      </c>
      <c r="BY1429" s="5" t="s">
        <v>238</v>
      </c>
      <c r="BZ1429" s="5" t="s">
        <v>238</v>
      </c>
      <c r="CD1429" s="5" t="s">
        <v>273</v>
      </c>
      <c r="CE1429" s="5" t="s">
        <v>256</v>
      </c>
      <c r="CF1429" s="5" t="s">
        <v>238</v>
      </c>
      <c r="CI1429" s="6" t="s">
        <v>257</v>
      </c>
      <c r="CJ1429" s="5" t="s">
        <v>238</v>
      </c>
      <c r="CK1429" s="5" t="s">
        <v>258</v>
      </c>
      <c r="CL1429" s="5" t="s">
        <v>238</v>
      </c>
      <c r="CM1429" s="5" t="s">
        <v>238</v>
      </c>
      <c r="CN1429" s="5">
        <v>0</v>
      </c>
      <c r="CO1429" s="5" t="s">
        <v>259</v>
      </c>
      <c r="CP1429" s="5" t="s">
        <v>260</v>
      </c>
      <c r="CQ1429" s="5" t="s">
        <v>260</v>
      </c>
      <c r="CR1429" s="5" t="s">
        <v>261</v>
      </c>
      <c r="CU1429" s="8">
        <f>1</f>
        <v>1</v>
      </c>
      <c r="CV1429" s="8">
        <f>0</f>
        <v>0</v>
      </c>
      <c r="CX1429" s="8">
        <f>0</f>
        <v>0</v>
      </c>
      <c r="CY1429" s="8">
        <f>1</f>
        <v>1</v>
      </c>
      <c r="DA1429" s="5" t="s">
        <v>673</v>
      </c>
      <c r="DB1429" s="5" t="s">
        <v>238</v>
      </c>
      <c r="DD1429" s="5" t="s">
        <v>673</v>
      </c>
      <c r="DE1429" s="8">
        <f>37</f>
        <v>37</v>
      </c>
      <c r="DG1429" s="5" t="s">
        <v>238</v>
      </c>
      <c r="DH1429" s="5" t="s">
        <v>238</v>
      </c>
      <c r="DI1429" s="5" t="s">
        <v>238</v>
      </c>
      <c r="DJ1429" s="5" t="s">
        <v>238</v>
      </c>
      <c r="DN1429" s="5" t="s">
        <v>238</v>
      </c>
      <c r="DO1429" s="5" t="s">
        <v>238</v>
      </c>
      <c r="DP1429" s="5" t="s">
        <v>238</v>
      </c>
      <c r="DQ1429" s="5" t="s">
        <v>238</v>
      </c>
      <c r="DT1429" s="5" t="s">
        <v>2039</v>
      </c>
      <c r="DU1429" s="5" t="s">
        <v>1890</v>
      </c>
      <c r="HM1429" s="5" t="s">
        <v>264</v>
      </c>
    </row>
    <row r="1430" spans="1:221" x14ac:dyDescent="0.4">
      <c r="A1430" s="5">
        <v>3105</v>
      </c>
      <c r="B1430" s="5">
        <v>1</v>
      </c>
      <c r="C1430" s="5">
        <v>1</v>
      </c>
      <c r="D1430" s="5" t="s">
        <v>2037</v>
      </c>
      <c r="E1430" s="5" t="s">
        <v>271</v>
      </c>
      <c r="F1430" s="5" t="s">
        <v>248</v>
      </c>
      <c r="G1430" s="5" t="s">
        <v>1969</v>
      </c>
      <c r="H1430" s="6" t="s">
        <v>2447</v>
      </c>
      <c r="I1430" s="7">
        <f>104</f>
        <v>104</v>
      </c>
      <c r="J1430" s="5" t="s">
        <v>262</v>
      </c>
      <c r="K1430" s="8">
        <f>1</f>
        <v>1</v>
      </c>
      <c r="L1430" s="6" t="s">
        <v>242</v>
      </c>
      <c r="M1430" s="5" t="s">
        <v>267</v>
      </c>
      <c r="N1430" s="5" t="s">
        <v>265</v>
      </c>
      <c r="O1430" s="5" t="s">
        <v>238</v>
      </c>
      <c r="P1430" s="5" t="s">
        <v>238</v>
      </c>
      <c r="Q1430" s="5" t="s">
        <v>268</v>
      </c>
      <c r="R1430" s="5" t="s">
        <v>270</v>
      </c>
      <c r="S1430" s="5" t="s">
        <v>238</v>
      </c>
      <c r="V1430" s="5" t="s">
        <v>238</v>
      </c>
      <c r="X1430" s="6" t="s">
        <v>238</v>
      </c>
      <c r="AA1430" s="6" t="s">
        <v>243</v>
      </c>
      <c r="AB1430" s="5" t="s">
        <v>238</v>
      </c>
      <c r="AC1430" s="5" t="s">
        <v>244</v>
      </c>
      <c r="AD1430" s="5" t="s">
        <v>245</v>
      </c>
      <c r="AT1430" s="5" t="s">
        <v>246</v>
      </c>
      <c r="AU1430" s="5" t="s">
        <v>238</v>
      </c>
      <c r="AV1430" s="5" t="s">
        <v>247</v>
      </c>
      <c r="AW1430" s="5" t="s">
        <v>238</v>
      </c>
      <c r="AX1430" s="5" t="s">
        <v>249</v>
      </c>
      <c r="AY1430" s="5" t="s">
        <v>238</v>
      </c>
      <c r="BA1430" s="5" t="s">
        <v>238</v>
      </c>
      <c r="BC1430" s="5" t="s">
        <v>250</v>
      </c>
      <c r="BD1430" s="6" t="s">
        <v>243</v>
      </c>
      <c r="BE1430" s="5" t="s">
        <v>251</v>
      </c>
      <c r="BF1430" s="5" t="s">
        <v>252</v>
      </c>
      <c r="BG1430" s="5" t="s">
        <v>238</v>
      </c>
      <c r="BH1430" s="7">
        <f>0</f>
        <v>0</v>
      </c>
      <c r="BI1430" s="8">
        <f>0</f>
        <v>0</v>
      </c>
      <c r="BJ1430" s="5" t="s">
        <v>253</v>
      </c>
      <c r="BK1430" s="5" t="s">
        <v>254</v>
      </c>
      <c r="BY1430" s="5" t="s">
        <v>238</v>
      </c>
      <c r="BZ1430" s="5" t="s">
        <v>238</v>
      </c>
      <c r="CD1430" s="5" t="s">
        <v>273</v>
      </c>
      <c r="CE1430" s="5" t="s">
        <v>256</v>
      </c>
      <c r="CF1430" s="5" t="s">
        <v>238</v>
      </c>
      <c r="CI1430" s="6" t="s">
        <v>257</v>
      </c>
      <c r="CJ1430" s="5" t="s">
        <v>238</v>
      </c>
      <c r="CK1430" s="5" t="s">
        <v>258</v>
      </c>
      <c r="CL1430" s="5" t="s">
        <v>238</v>
      </c>
      <c r="CM1430" s="5" t="s">
        <v>238</v>
      </c>
      <c r="CN1430" s="5">
        <v>0</v>
      </c>
      <c r="CO1430" s="5" t="s">
        <v>259</v>
      </c>
      <c r="CP1430" s="5" t="s">
        <v>260</v>
      </c>
      <c r="CQ1430" s="5" t="s">
        <v>260</v>
      </c>
      <c r="CR1430" s="5" t="s">
        <v>261</v>
      </c>
      <c r="CU1430" s="8">
        <f>1</f>
        <v>1</v>
      </c>
      <c r="CV1430" s="8">
        <f>0</f>
        <v>0</v>
      </c>
      <c r="CX1430" s="8">
        <f>0</f>
        <v>0</v>
      </c>
      <c r="CY1430" s="8">
        <f>1</f>
        <v>1</v>
      </c>
      <c r="DA1430" s="5" t="s">
        <v>673</v>
      </c>
      <c r="DB1430" s="5" t="s">
        <v>238</v>
      </c>
      <c r="DD1430" s="5" t="s">
        <v>673</v>
      </c>
      <c r="DE1430" s="8">
        <f>104</f>
        <v>104</v>
      </c>
      <c r="DG1430" s="5" t="s">
        <v>238</v>
      </c>
      <c r="DH1430" s="5" t="s">
        <v>238</v>
      </c>
      <c r="DI1430" s="5" t="s">
        <v>238</v>
      </c>
      <c r="DJ1430" s="5" t="s">
        <v>238</v>
      </c>
      <c r="DN1430" s="5" t="s">
        <v>238</v>
      </c>
      <c r="DO1430" s="5" t="s">
        <v>238</v>
      </c>
      <c r="DP1430" s="5" t="s">
        <v>238</v>
      </c>
      <c r="DQ1430" s="5" t="s">
        <v>238</v>
      </c>
      <c r="DT1430" s="5" t="s">
        <v>2039</v>
      </c>
      <c r="DU1430" s="5" t="s">
        <v>1884</v>
      </c>
      <c r="HM1430" s="5" t="s">
        <v>264</v>
      </c>
    </row>
    <row r="1431" spans="1:221" x14ac:dyDescent="0.4">
      <c r="A1431" s="5">
        <v>3106</v>
      </c>
      <c r="B1431" s="5">
        <v>1</v>
      </c>
      <c r="C1431" s="5">
        <v>1</v>
      </c>
      <c r="D1431" s="5" t="s">
        <v>2037</v>
      </c>
      <c r="E1431" s="5" t="s">
        <v>271</v>
      </c>
      <c r="F1431" s="5" t="s">
        <v>248</v>
      </c>
      <c r="G1431" s="5" t="s">
        <v>1969</v>
      </c>
      <c r="H1431" s="6" t="s">
        <v>2446</v>
      </c>
      <c r="I1431" s="7">
        <f>925</f>
        <v>925</v>
      </c>
      <c r="J1431" s="5" t="s">
        <v>262</v>
      </c>
      <c r="K1431" s="8">
        <f>1</f>
        <v>1</v>
      </c>
      <c r="L1431" s="6" t="s">
        <v>242</v>
      </c>
      <c r="M1431" s="5" t="s">
        <v>267</v>
      </c>
      <c r="N1431" s="5" t="s">
        <v>265</v>
      </c>
      <c r="O1431" s="5" t="s">
        <v>238</v>
      </c>
      <c r="P1431" s="5" t="s">
        <v>238</v>
      </c>
      <c r="Q1431" s="5" t="s">
        <v>268</v>
      </c>
      <c r="R1431" s="5" t="s">
        <v>270</v>
      </c>
      <c r="S1431" s="5" t="s">
        <v>238</v>
      </c>
      <c r="V1431" s="5" t="s">
        <v>238</v>
      </c>
      <c r="X1431" s="6" t="s">
        <v>238</v>
      </c>
      <c r="AA1431" s="6" t="s">
        <v>243</v>
      </c>
      <c r="AB1431" s="5" t="s">
        <v>238</v>
      </c>
      <c r="AC1431" s="5" t="s">
        <v>244</v>
      </c>
      <c r="AD1431" s="5" t="s">
        <v>245</v>
      </c>
      <c r="AT1431" s="5" t="s">
        <v>246</v>
      </c>
      <c r="AU1431" s="5" t="s">
        <v>238</v>
      </c>
      <c r="AV1431" s="5" t="s">
        <v>247</v>
      </c>
      <c r="AW1431" s="5" t="s">
        <v>238</v>
      </c>
      <c r="AX1431" s="5" t="s">
        <v>249</v>
      </c>
      <c r="AY1431" s="5" t="s">
        <v>238</v>
      </c>
      <c r="BA1431" s="5" t="s">
        <v>238</v>
      </c>
      <c r="BC1431" s="5" t="s">
        <v>250</v>
      </c>
      <c r="BD1431" s="6" t="s">
        <v>243</v>
      </c>
      <c r="BE1431" s="5" t="s">
        <v>251</v>
      </c>
      <c r="BF1431" s="5" t="s">
        <v>252</v>
      </c>
      <c r="BG1431" s="5" t="s">
        <v>238</v>
      </c>
      <c r="BH1431" s="7">
        <f>0</f>
        <v>0</v>
      </c>
      <c r="BI1431" s="8">
        <f>0</f>
        <v>0</v>
      </c>
      <c r="BJ1431" s="5" t="s">
        <v>253</v>
      </c>
      <c r="BK1431" s="5" t="s">
        <v>254</v>
      </c>
      <c r="BY1431" s="5" t="s">
        <v>238</v>
      </c>
      <c r="BZ1431" s="5" t="s">
        <v>238</v>
      </c>
      <c r="CD1431" s="5" t="s">
        <v>273</v>
      </c>
      <c r="CE1431" s="5" t="s">
        <v>256</v>
      </c>
      <c r="CF1431" s="5" t="s">
        <v>238</v>
      </c>
      <c r="CI1431" s="6" t="s">
        <v>257</v>
      </c>
      <c r="CJ1431" s="5" t="s">
        <v>238</v>
      </c>
      <c r="CK1431" s="5" t="s">
        <v>258</v>
      </c>
      <c r="CL1431" s="5" t="s">
        <v>238</v>
      </c>
      <c r="CM1431" s="5" t="s">
        <v>238</v>
      </c>
      <c r="CN1431" s="5">
        <v>0</v>
      </c>
      <c r="CO1431" s="5" t="s">
        <v>259</v>
      </c>
      <c r="CP1431" s="5" t="s">
        <v>260</v>
      </c>
      <c r="CQ1431" s="5" t="s">
        <v>260</v>
      </c>
      <c r="CR1431" s="5" t="s">
        <v>261</v>
      </c>
      <c r="CU1431" s="8">
        <f>1</f>
        <v>1</v>
      </c>
      <c r="CV1431" s="8">
        <f>0</f>
        <v>0</v>
      </c>
      <c r="CX1431" s="8">
        <f>0</f>
        <v>0</v>
      </c>
      <c r="CY1431" s="8">
        <f>1</f>
        <v>1</v>
      </c>
      <c r="DA1431" s="5" t="s">
        <v>673</v>
      </c>
      <c r="DB1431" s="5" t="s">
        <v>238</v>
      </c>
      <c r="DD1431" s="5" t="s">
        <v>673</v>
      </c>
      <c r="DE1431" s="8">
        <f>925</f>
        <v>925</v>
      </c>
      <c r="DG1431" s="5" t="s">
        <v>238</v>
      </c>
      <c r="DH1431" s="5" t="s">
        <v>238</v>
      </c>
      <c r="DI1431" s="5" t="s">
        <v>238</v>
      </c>
      <c r="DJ1431" s="5" t="s">
        <v>238</v>
      </c>
      <c r="DN1431" s="5" t="s">
        <v>238</v>
      </c>
      <c r="DO1431" s="5" t="s">
        <v>238</v>
      </c>
      <c r="DP1431" s="5" t="s">
        <v>238</v>
      </c>
      <c r="DQ1431" s="5" t="s">
        <v>238</v>
      </c>
      <c r="DT1431" s="5" t="s">
        <v>2039</v>
      </c>
      <c r="DU1431" s="5" t="s">
        <v>1882</v>
      </c>
      <c r="HM1431" s="5" t="s">
        <v>264</v>
      </c>
    </row>
    <row r="1432" spans="1:221" x14ac:dyDescent="0.4">
      <c r="A1432" s="5">
        <v>3107</v>
      </c>
      <c r="B1432" s="5">
        <v>1</v>
      </c>
      <c r="C1432" s="5">
        <v>1</v>
      </c>
      <c r="D1432" s="5" t="s">
        <v>2037</v>
      </c>
      <c r="E1432" s="5" t="s">
        <v>271</v>
      </c>
      <c r="F1432" s="5" t="s">
        <v>248</v>
      </c>
      <c r="G1432" s="5" t="s">
        <v>1969</v>
      </c>
      <c r="H1432" s="6" t="s">
        <v>2445</v>
      </c>
      <c r="I1432" s="7">
        <f>1511</f>
        <v>1511</v>
      </c>
      <c r="J1432" s="5" t="s">
        <v>262</v>
      </c>
      <c r="K1432" s="8">
        <f>1</f>
        <v>1</v>
      </c>
      <c r="L1432" s="6" t="s">
        <v>242</v>
      </c>
      <c r="M1432" s="5" t="s">
        <v>267</v>
      </c>
      <c r="N1432" s="5" t="s">
        <v>265</v>
      </c>
      <c r="O1432" s="5" t="s">
        <v>238</v>
      </c>
      <c r="P1432" s="5" t="s">
        <v>238</v>
      </c>
      <c r="Q1432" s="5" t="s">
        <v>268</v>
      </c>
      <c r="R1432" s="5" t="s">
        <v>270</v>
      </c>
      <c r="S1432" s="5" t="s">
        <v>238</v>
      </c>
      <c r="V1432" s="5" t="s">
        <v>238</v>
      </c>
      <c r="X1432" s="6" t="s">
        <v>238</v>
      </c>
      <c r="AA1432" s="6" t="s">
        <v>243</v>
      </c>
      <c r="AB1432" s="5" t="s">
        <v>238</v>
      </c>
      <c r="AC1432" s="5" t="s">
        <v>244</v>
      </c>
      <c r="AD1432" s="5" t="s">
        <v>245</v>
      </c>
      <c r="AT1432" s="5" t="s">
        <v>246</v>
      </c>
      <c r="AU1432" s="5" t="s">
        <v>238</v>
      </c>
      <c r="AV1432" s="5" t="s">
        <v>247</v>
      </c>
      <c r="AW1432" s="5" t="s">
        <v>238</v>
      </c>
      <c r="AX1432" s="5" t="s">
        <v>249</v>
      </c>
      <c r="AY1432" s="5" t="s">
        <v>238</v>
      </c>
      <c r="BA1432" s="5" t="s">
        <v>238</v>
      </c>
      <c r="BC1432" s="5" t="s">
        <v>250</v>
      </c>
      <c r="BD1432" s="6" t="s">
        <v>243</v>
      </c>
      <c r="BE1432" s="5" t="s">
        <v>251</v>
      </c>
      <c r="BF1432" s="5" t="s">
        <v>252</v>
      </c>
      <c r="BG1432" s="5" t="s">
        <v>238</v>
      </c>
      <c r="BH1432" s="7">
        <f>0</f>
        <v>0</v>
      </c>
      <c r="BI1432" s="8">
        <f>0</f>
        <v>0</v>
      </c>
      <c r="BJ1432" s="5" t="s">
        <v>253</v>
      </c>
      <c r="BK1432" s="5" t="s">
        <v>254</v>
      </c>
      <c r="BY1432" s="5" t="s">
        <v>238</v>
      </c>
      <c r="BZ1432" s="5" t="s">
        <v>238</v>
      </c>
      <c r="CD1432" s="5" t="s">
        <v>273</v>
      </c>
      <c r="CE1432" s="5" t="s">
        <v>256</v>
      </c>
      <c r="CF1432" s="5" t="s">
        <v>238</v>
      </c>
      <c r="CI1432" s="6" t="s">
        <v>257</v>
      </c>
      <c r="CJ1432" s="5" t="s">
        <v>238</v>
      </c>
      <c r="CK1432" s="5" t="s">
        <v>258</v>
      </c>
      <c r="CL1432" s="5" t="s">
        <v>238</v>
      </c>
      <c r="CM1432" s="5" t="s">
        <v>238</v>
      </c>
      <c r="CN1432" s="5">
        <v>0</v>
      </c>
      <c r="CO1432" s="5" t="s">
        <v>259</v>
      </c>
      <c r="CP1432" s="5" t="s">
        <v>260</v>
      </c>
      <c r="CQ1432" s="5" t="s">
        <v>260</v>
      </c>
      <c r="CR1432" s="5" t="s">
        <v>261</v>
      </c>
      <c r="CU1432" s="8">
        <f>1</f>
        <v>1</v>
      </c>
      <c r="CV1432" s="8">
        <f>0</f>
        <v>0</v>
      </c>
      <c r="CX1432" s="8">
        <f>0</f>
        <v>0</v>
      </c>
      <c r="CY1432" s="8">
        <f>1</f>
        <v>1</v>
      </c>
      <c r="DA1432" s="5" t="s">
        <v>673</v>
      </c>
      <c r="DB1432" s="5" t="s">
        <v>238</v>
      </c>
      <c r="DD1432" s="5" t="s">
        <v>673</v>
      </c>
      <c r="DE1432" s="8">
        <f>1511</f>
        <v>1511</v>
      </c>
      <c r="DG1432" s="5" t="s">
        <v>238</v>
      </c>
      <c r="DH1432" s="5" t="s">
        <v>238</v>
      </c>
      <c r="DI1432" s="5" t="s">
        <v>238</v>
      </c>
      <c r="DJ1432" s="5" t="s">
        <v>238</v>
      </c>
      <c r="DN1432" s="5" t="s">
        <v>238</v>
      </c>
      <c r="DO1432" s="5" t="s">
        <v>238</v>
      </c>
      <c r="DP1432" s="5" t="s">
        <v>238</v>
      </c>
      <c r="DQ1432" s="5" t="s">
        <v>238</v>
      </c>
      <c r="DT1432" s="5" t="s">
        <v>2039</v>
      </c>
      <c r="DU1432" s="5" t="s">
        <v>1441</v>
      </c>
      <c r="HM1432" s="5" t="s">
        <v>264</v>
      </c>
    </row>
    <row r="1433" spans="1:221" x14ac:dyDescent="0.4">
      <c r="A1433" s="5">
        <v>3108</v>
      </c>
      <c r="B1433" s="5">
        <v>1</v>
      </c>
      <c r="C1433" s="5">
        <v>1</v>
      </c>
      <c r="D1433" s="5" t="s">
        <v>2037</v>
      </c>
      <c r="E1433" s="5" t="s">
        <v>271</v>
      </c>
      <c r="F1433" s="5" t="s">
        <v>248</v>
      </c>
      <c r="G1433" s="5" t="s">
        <v>1969</v>
      </c>
      <c r="H1433" s="6" t="s">
        <v>2443</v>
      </c>
      <c r="I1433" s="7">
        <f>1364</f>
        <v>1364</v>
      </c>
      <c r="J1433" s="5" t="s">
        <v>262</v>
      </c>
      <c r="K1433" s="8">
        <f>1</f>
        <v>1</v>
      </c>
      <c r="L1433" s="6" t="s">
        <v>242</v>
      </c>
      <c r="M1433" s="5" t="s">
        <v>267</v>
      </c>
      <c r="N1433" s="5" t="s">
        <v>265</v>
      </c>
      <c r="O1433" s="5" t="s">
        <v>238</v>
      </c>
      <c r="P1433" s="5" t="s">
        <v>238</v>
      </c>
      <c r="Q1433" s="5" t="s">
        <v>268</v>
      </c>
      <c r="R1433" s="5" t="s">
        <v>270</v>
      </c>
      <c r="S1433" s="5" t="s">
        <v>238</v>
      </c>
      <c r="V1433" s="5" t="s">
        <v>238</v>
      </c>
      <c r="X1433" s="6" t="s">
        <v>238</v>
      </c>
      <c r="AA1433" s="6" t="s">
        <v>243</v>
      </c>
      <c r="AB1433" s="5" t="s">
        <v>238</v>
      </c>
      <c r="AC1433" s="5" t="s">
        <v>244</v>
      </c>
      <c r="AD1433" s="5" t="s">
        <v>245</v>
      </c>
      <c r="AT1433" s="5" t="s">
        <v>246</v>
      </c>
      <c r="AU1433" s="5" t="s">
        <v>238</v>
      </c>
      <c r="AV1433" s="5" t="s">
        <v>247</v>
      </c>
      <c r="AW1433" s="5" t="s">
        <v>238</v>
      </c>
      <c r="AX1433" s="5" t="s">
        <v>249</v>
      </c>
      <c r="AY1433" s="5" t="s">
        <v>238</v>
      </c>
      <c r="BA1433" s="5" t="s">
        <v>238</v>
      </c>
      <c r="BC1433" s="5" t="s">
        <v>250</v>
      </c>
      <c r="BD1433" s="6" t="s">
        <v>243</v>
      </c>
      <c r="BE1433" s="5" t="s">
        <v>251</v>
      </c>
      <c r="BF1433" s="5" t="s">
        <v>252</v>
      </c>
      <c r="BG1433" s="5" t="s">
        <v>238</v>
      </c>
      <c r="BH1433" s="7">
        <f>0</f>
        <v>0</v>
      </c>
      <c r="BI1433" s="8">
        <f>0</f>
        <v>0</v>
      </c>
      <c r="BJ1433" s="5" t="s">
        <v>253</v>
      </c>
      <c r="BK1433" s="5" t="s">
        <v>254</v>
      </c>
      <c r="BY1433" s="5" t="s">
        <v>238</v>
      </c>
      <c r="BZ1433" s="5" t="s">
        <v>238</v>
      </c>
      <c r="CD1433" s="5" t="s">
        <v>273</v>
      </c>
      <c r="CE1433" s="5" t="s">
        <v>256</v>
      </c>
      <c r="CF1433" s="5" t="s">
        <v>238</v>
      </c>
      <c r="CI1433" s="6" t="s">
        <v>257</v>
      </c>
      <c r="CJ1433" s="5" t="s">
        <v>238</v>
      </c>
      <c r="CK1433" s="5" t="s">
        <v>258</v>
      </c>
      <c r="CL1433" s="5" t="s">
        <v>238</v>
      </c>
      <c r="CM1433" s="5" t="s">
        <v>238</v>
      </c>
      <c r="CN1433" s="5">
        <v>0</v>
      </c>
      <c r="CO1433" s="5" t="s">
        <v>259</v>
      </c>
      <c r="CP1433" s="5" t="s">
        <v>260</v>
      </c>
      <c r="CQ1433" s="5" t="s">
        <v>260</v>
      </c>
      <c r="CR1433" s="5" t="s">
        <v>261</v>
      </c>
      <c r="CU1433" s="8">
        <f>1</f>
        <v>1</v>
      </c>
      <c r="CV1433" s="8">
        <f>0</f>
        <v>0</v>
      </c>
      <c r="CX1433" s="8">
        <f>0</f>
        <v>0</v>
      </c>
      <c r="CY1433" s="8">
        <f>1</f>
        <v>1</v>
      </c>
      <c r="DA1433" s="5" t="s">
        <v>673</v>
      </c>
      <c r="DB1433" s="5" t="s">
        <v>238</v>
      </c>
      <c r="DD1433" s="5" t="s">
        <v>673</v>
      </c>
      <c r="DE1433" s="8">
        <f>1364</f>
        <v>1364</v>
      </c>
      <c r="DG1433" s="5" t="s">
        <v>238</v>
      </c>
      <c r="DH1433" s="5" t="s">
        <v>238</v>
      </c>
      <c r="DI1433" s="5" t="s">
        <v>238</v>
      </c>
      <c r="DJ1433" s="5" t="s">
        <v>238</v>
      </c>
      <c r="DN1433" s="5" t="s">
        <v>238</v>
      </c>
      <c r="DO1433" s="5" t="s">
        <v>238</v>
      </c>
      <c r="DP1433" s="5" t="s">
        <v>238</v>
      </c>
      <c r="DQ1433" s="5" t="s">
        <v>238</v>
      </c>
      <c r="DT1433" s="5" t="s">
        <v>2039</v>
      </c>
      <c r="DU1433" s="5" t="s">
        <v>1878</v>
      </c>
      <c r="HM1433" s="5" t="s">
        <v>264</v>
      </c>
    </row>
    <row r="1434" spans="1:221" x14ac:dyDescent="0.4">
      <c r="A1434" s="5">
        <v>3109</v>
      </c>
      <c r="B1434" s="5">
        <v>1</v>
      </c>
      <c r="C1434" s="5">
        <v>1</v>
      </c>
      <c r="D1434" s="5" t="s">
        <v>2037</v>
      </c>
      <c r="E1434" s="5" t="s">
        <v>271</v>
      </c>
      <c r="F1434" s="5" t="s">
        <v>248</v>
      </c>
      <c r="G1434" s="5" t="s">
        <v>1969</v>
      </c>
      <c r="H1434" s="6" t="s">
        <v>2442</v>
      </c>
      <c r="I1434" s="7">
        <f>358</f>
        <v>358</v>
      </c>
      <c r="J1434" s="5" t="s">
        <v>262</v>
      </c>
      <c r="K1434" s="8">
        <f>1</f>
        <v>1</v>
      </c>
      <c r="L1434" s="6" t="s">
        <v>242</v>
      </c>
      <c r="M1434" s="5" t="s">
        <v>267</v>
      </c>
      <c r="N1434" s="5" t="s">
        <v>265</v>
      </c>
      <c r="O1434" s="5" t="s">
        <v>238</v>
      </c>
      <c r="P1434" s="5" t="s">
        <v>238</v>
      </c>
      <c r="Q1434" s="5" t="s">
        <v>268</v>
      </c>
      <c r="R1434" s="5" t="s">
        <v>270</v>
      </c>
      <c r="S1434" s="5" t="s">
        <v>238</v>
      </c>
      <c r="V1434" s="5" t="s">
        <v>238</v>
      </c>
      <c r="X1434" s="6" t="s">
        <v>238</v>
      </c>
      <c r="AA1434" s="6" t="s">
        <v>243</v>
      </c>
      <c r="AB1434" s="5" t="s">
        <v>238</v>
      </c>
      <c r="AC1434" s="5" t="s">
        <v>244</v>
      </c>
      <c r="AD1434" s="5" t="s">
        <v>245</v>
      </c>
      <c r="AT1434" s="5" t="s">
        <v>246</v>
      </c>
      <c r="AU1434" s="5" t="s">
        <v>238</v>
      </c>
      <c r="AV1434" s="5" t="s">
        <v>247</v>
      </c>
      <c r="AW1434" s="5" t="s">
        <v>238</v>
      </c>
      <c r="AX1434" s="5" t="s">
        <v>249</v>
      </c>
      <c r="AY1434" s="5" t="s">
        <v>238</v>
      </c>
      <c r="BA1434" s="5" t="s">
        <v>238</v>
      </c>
      <c r="BC1434" s="5" t="s">
        <v>250</v>
      </c>
      <c r="BD1434" s="6" t="s">
        <v>243</v>
      </c>
      <c r="BE1434" s="5" t="s">
        <v>251</v>
      </c>
      <c r="BF1434" s="5" t="s">
        <v>252</v>
      </c>
      <c r="BG1434" s="5" t="s">
        <v>238</v>
      </c>
      <c r="BH1434" s="7">
        <f>0</f>
        <v>0</v>
      </c>
      <c r="BI1434" s="8">
        <f>0</f>
        <v>0</v>
      </c>
      <c r="BJ1434" s="5" t="s">
        <v>253</v>
      </c>
      <c r="BK1434" s="5" t="s">
        <v>254</v>
      </c>
      <c r="BY1434" s="5" t="s">
        <v>238</v>
      </c>
      <c r="BZ1434" s="5" t="s">
        <v>238</v>
      </c>
      <c r="CD1434" s="5" t="s">
        <v>273</v>
      </c>
      <c r="CE1434" s="5" t="s">
        <v>256</v>
      </c>
      <c r="CF1434" s="5" t="s">
        <v>238</v>
      </c>
      <c r="CI1434" s="6" t="s">
        <v>257</v>
      </c>
      <c r="CJ1434" s="5" t="s">
        <v>238</v>
      </c>
      <c r="CK1434" s="5" t="s">
        <v>258</v>
      </c>
      <c r="CL1434" s="5" t="s">
        <v>238</v>
      </c>
      <c r="CM1434" s="5" t="s">
        <v>238</v>
      </c>
      <c r="CN1434" s="5">
        <v>0</v>
      </c>
      <c r="CO1434" s="5" t="s">
        <v>259</v>
      </c>
      <c r="CP1434" s="5" t="s">
        <v>260</v>
      </c>
      <c r="CQ1434" s="5" t="s">
        <v>260</v>
      </c>
      <c r="CR1434" s="5" t="s">
        <v>261</v>
      </c>
      <c r="CU1434" s="8">
        <f>1</f>
        <v>1</v>
      </c>
      <c r="CV1434" s="8">
        <f>0</f>
        <v>0</v>
      </c>
      <c r="CX1434" s="8">
        <f>0</f>
        <v>0</v>
      </c>
      <c r="CY1434" s="8">
        <f>1</f>
        <v>1</v>
      </c>
      <c r="DA1434" s="5" t="s">
        <v>673</v>
      </c>
      <c r="DB1434" s="5" t="s">
        <v>238</v>
      </c>
      <c r="DD1434" s="5" t="s">
        <v>673</v>
      </c>
      <c r="DE1434" s="8">
        <f>358</f>
        <v>358</v>
      </c>
      <c r="DG1434" s="5" t="s">
        <v>238</v>
      </c>
      <c r="DH1434" s="5" t="s">
        <v>238</v>
      </c>
      <c r="DI1434" s="5" t="s">
        <v>238</v>
      </c>
      <c r="DJ1434" s="5" t="s">
        <v>238</v>
      </c>
      <c r="DN1434" s="5" t="s">
        <v>238</v>
      </c>
      <c r="DO1434" s="5" t="s">
        <v>238</v>
      </c>
      <c r="DP1434" s="5" t="s">
        <v>238</v>
      </c>
      <c r="DQ1434" s="5" t="s">
        <v>238</v>
      </c>
      <c r="DT1434" s="5" t="s">
        <v>2039</v>
      </c>
      <c r="DU1434" s="5" t="s">
        <v>1463</v>
      </c>
      <c r="HM1434" s="5" t="s">
        <v>264</v>
      </c>
    </row>
    <row r="1435" spans="1:221" x14ac:dyDescent="0.4">
      <c r="A1435" s="5">
        <v>3110</v>
      </c>
      <c r="B1435" s="5">
        <v>1</v>
      </c>
      <c r="C1435" s="5">
        <v>1</v>
      </c>
      <c r="D1435" s="5" t="s">
        <v>2037</v>
      </c>
      <c r="E1435" s="5" t="s">
        <v>271</v>
      </c>
      <c r="F1435" s="5" t="s">
        <v>248</v>
      </c>
      <c r="G1435" s="5" t="s">
        <v>1969</v>
      </c>
      <c r="H1435" s="6" t="s">
        <v>2441</v>
      </c>
      <c r="I1435" s="7">
        <f>1704</f>
        <v>1704</v>
      </c>
      <c r="J1435" s="5" t="s">
        <v>262</v>
      </c>
      <c r="K1435" s="8">
        <f>1</f>
        <v>1</v>
      </c>
      <c r="L1435" s="6" t="s">
        <v>242</v>
      </c>
      <c r="M1435" s="5" t="s">
        <v>267</v>
      </c>
      <c r="N1435" s="5" t="s">
        <v>265</v>
      </c>
      <c r="O1435" s="5" t="s">
        <v>238</v>
      </c>
      <c r="P1435" s="5" t="s">
        <v>238</v>
      </c>
      <c r="Q1435" s="5" t="s">
        <v>268</v>
      </c>
      <c r="R1435" s="5" t="s">
        <v>270</v>
      </c>
      <c r="S1435" s="5" t="s">
        <v>238</v>
      </c>
      <c r="V1435" s="5" t="s">
        <v>238</v>
      </c>
      <c r="X1435" s="6" t="s">
        <v>238</v>
      </c>
      <c r="AA1435" s="6" t="s">
        <v>243</v>
      </c>
      <c r="AB1435" s="5" t="s">
        <v>238</v>
      </c>
      <c r="AC1435" s="5" t="s">
        <v>244</v>
      </c>
      <c r="AD1435" s="5" t="s">
        <v>245</v>
      </c>
      <c r="AT1435" s="5" t="s">
        <v>246</v>
      </c>
      <c r="AU1435" s="5" t="s">
        <v>238</v>
      </c>
      <c r="AV1435" s="5" t="s">
        <v>247</v>
      </c>
      <c r="AW1435" s="5" t="s">
        <v>238</v>
      </c>
      <c r="AX1435" s="5" t="s">
        <v>249</v>
      </c>
      <c r="AY1435" s="5" t="s">
        <v>238</v>
      </c>
      <c r="BA1435" s="5" t="s">
        <v>238</v>
      </c>
      <c r="BC1435" s="5" t="s">
        <v>250</v>
      </c>
      <c r="BD1435" s="6" t="s">
        <v>243</v>
      </c>
      <c r="BE1435" s="5" t="s">
        <v>251</v>
      </c>
      <c r="BF1435" s="5" t="s">
        <v>252</v>
      </c>
      <c r="BG1435" s="5" t="s">
        <v>238</v>
      </c>
      <c r="BH1435" s="7">
        <f>0</f>
        <v>0</v>
      </c>
      <c r="BI1435" s="8">
        <f>0</f>
        <v>0</v>
      </c>
      <c r="BJ1435" s="5" t="s">
        <v>253</v>
      </c>
      <c r="BK1435" s="5" t="s">
        <v>254</v>
      </c>
      <c r="BY1435" s="5" t="s">
        <v>238</v>
      </c>
      <c r="BZ1435" s="5" t="s">
        <v>238</v>
      </c>
      <c r="CD1435" s="5" t="s">
        <v>273</v>
      </c>
      <c r="CE1435" s="5" t="s">
        <v>256</v>
      </c>
      <c r="CF1435" s="5" t="s">
        <v>238</v>
      </c>
      <c r="CI1435" s="6" t="s">
        <v>257</v>
      </c>
      <c r="CJ1435" s="5" t="s">
        <v>238</v>
      </c>
      <c r="CK1435" s="5" t="s">
        <v>258</v>
      </c>
      <c r="CL1435" s="5" t="s">
        <v>238</v>
      </c>
      <c r="CM1435" s="5" t="s">
        <v>238</v>
      </c>
      <c r="CN1435" s="5">
        <v>0</v>
      </c>
      <c r="CO1435" s="5" t="s">
        <v>259</v>
      </c>
      <c r="CP1435" s="5" t="s">
        <v>260</v>
      </c>
      <c r="CQ1435" s="5" t="s">
        <v>260</v>
      </c>
      <c r="CR1435" s="5" t="s">
        <v>261</v>
      </c>
      <c r="CU1435" s="8">
        <f>1</f>
        <v>1</v>
      </c>
      <c r="CV1435" s="8">
        <f>0</f>
        <v>0</v>
      </c>
      <c r="CX1435" s="8">
        <f>0</f>
        <v>0</v>
      </c>
      <c r="CY1435" s="8">
        <f>1</f>
        <v>1</v>
      </c>
      <c r="DA1435" s="5" t="s">
        <v>673</v>
      </c>
      <c r="DB1435" s="5" t="s">
        <v>238</v>
      </c>
      <c r="DD1435" s="5" t="s">
        <v>673</v>
      </c>
      <c r="DE1435" s="8">
        <f>1704</f>
        <v>1704</v>
      </c>
      <c r="DG1435" s="5" t="s">
        <v>238</v>
      </c>
      <c r="DH1435" s="5" t="s">
        <v>238</v>
      </c>
      <c r="DI1435" s="5" t="s">
        <v>238</v>
      </c>
      <c r="DJ1435" s="5" t="s">
        <v>238</v>
      </c>
      <c r="DN1435" s="5" t="s">
        <v>238</v>
      </c>
      <c r="DO1435" s="5" t="s">
        <v>238</v>
      </c>
      <c r="DP1435" s="5" t="s">
        <v>238</v>
      </c>
      <c r="DQ1435" s="5" t="s">
        <v>238</v>
      </c>
      <c r="DT1435" s="5" t="s">
        <v>2039</v>
      </c>
      <c r="DU1435" s="5" t="s">
        <v>1744</v>
      </c>
      <c r="HM1435" s="5" t="s">
        <v>264</v>
      </c>
    </row>
    <row r="1436" spans="1:221" x14ac:dyDescent="0.4">
      <c r="A1436" s="5">
        <v>3111</v>
      </c>
      <c r="B1436" s="5">
        <v>1</v>
      </c>
      <c r="C1436" s="5">
        <v>1</v>
      </c>
      <c r="D1436" s="5" t="s">
        <v>2037</v>
      </c>
      <c r="E1436" s="5" t="s">
        <v>271</v>
      </c>
      <c r="F1436" s="5" t="s">
        <v>248</v>
      </c>
      <c r="G1436" s="5" t="s">
        <v>1969</v>
      </c>
      <c r="H1436" s="6" t="s">
        <v>2440</v>
      </c>
      <c r="I1436" s="7">
        <f>58</f>
        <v>58</v>
      </c>
      <c r="J1436" s="5" t="s">
        <v>262</v>
      </c>
      <c r="K1436" s="8">
        <f>1</f>
        <v>1</v>
      </c>
      <c r="L1436" s="6" t="s">
        <v>242</v>
      </c>
      <c r="M1436" s="5" t="s">
        <v>267</v>
      </c>
      <c r="N1436" s="5" t="s">
        <v>265</v>
      </c>
      <c r="O1436" s="5" t="s">
        <v>238</v>
      </c>
      <c r="P1436" s="5" t="s">
        <v>238</v>
      </c>
      <c r="Q1436" s="5" t="s">
        <v>268</v>
      </c>
      <c r="R1436" s="5" t="s">
        <v>270</v>
      </c>
      <c r="S1436" s="5" t="s">
        <v>238</v>
      </c>
      <c r="V1436" s="5" t="s">
        <v>238</v>
      </c>
      <c r="X1436" s="6" t="s">
        <v>238</v>
      </c>
      <c r="AA1436" s="6" t="s">
        <v>243</v>
      </c>
      <c r="AB1436" s="5" t="s">
        <v>238</v>
      </c>
      <c r="AC1436" s="5" t="s">
        <v>244</v>
      </c>
      <c r="AD1436" s="5" t="s">
        <v>245</v>
      </c>
      <c r="AT1436" s="5" t="s">
        <v>246</v>
      </c>
      <c r="AU1436" s="5" t="s">
        <v>238</v>
      </c>
      <c r="AV1436" s="5" t="s">
        <v>247</v>
      </c>
      <c r="AW1436" s="5" t="s">
        <v>238</v>
      </c>
      <c r="AX1436" s="5" t="s">
        <v>249</v>
      </c>
      <c r="AY1436" s="5" t="s">
        <v>238</v>
      </c>
      <c r="BA1436" s="5" t="s">
        <v>238</v>
      </c>
      <c r="BC1436" s="5" t="s">
        <v>250</v>
      </c>
      <c r="BD1436" s="6" t="s">
        <v>243</v>
      </c>
      <c r="BE1436" s="5" t="s">
        <v>251</v>
      </c>
      <c r="BF1436" s="5" t="s">
        <v>252</v>
      </c>
      <c r="BG1436" s="5" t="s">
        <v>238</v>
      </c>
      <c r="BH1436" s="7">
        <f>0</f>
        <v>0</v>
      </c>
      <c r="BI1436" s="8">
        <f>0</f>
        <v>0</v>
      </c>
      <c r="BJ1436" s="5" t="s">
        <v>253</v>
      </c>
      <c r="BK1436" s="5" t="s">
        <v>254</v>
      </c>
      <c r="BY1436" s="5" t="s">
        <v>238</v>
      </c>
      <c r="BZ1436" s="5" t="s">
        <v>238</v>
      </c>
      <c r="CD1436" s="5" t="s">
        <v>273</v>
      </c>
      <c r="CE1436" s="5" t="s">
        <v>256</v>
      </c>
      <c r="CF1436" s="5" t="s">
        <v>238</v>
      </c>
      <c r="CI1436" s="6" t="s">
        <v>257</v>
      </c>
      <c r="CJ1436" s="5" t="s">
        <v>238</v>
      </c>
      <c r="CK1436" s="5" t="s">
        <v>258</v>
      </c>
      <c r="CL1436" s="5" t="s">
        <v>238</v>
      </c>
      <c r="CM1436" s="5" t="s">
        <v>238</v>
      </c>
      <c r="CN1436" s="5">
        <v>0</v>
      </c>
      <c r="CO1436" s="5" t="s">
        <v>259</v>
      </c>
      <c r="CP1436" s="5" t="s">
        <v>260</v>
      </c>
      <c r="CQ1436" s="5" t="s">
        <v>260</v>
      </c>
      <c r="CR1436" s="5" t="s">
        <v>261</v>
      </c>
      <c r="CU1436" s="8">
        <f>1</f>
        <v>1</v>
      </c>
      <c r="CV1436" s="8">
        <f>0</f>
        <v>0</v>
      </c>
      <c r="CX1436" s="8">
        <f>0</f>
        <v>0</v>
      </c>
      <c r="CY1436" s="8">
        <f>1</f>
        <v>1</v>
      </c>
      <c r="DA1436" s="5" t="s">
        <v>673</v>
      </c>
      <c r="DB1436" s="5" t="s">
        <v>238</v>
      </c>
      <c r="DD1436" s="5" t="s">
        <v>673</v>
      </c>
      <c r="DE1436" s="8">
        <f>58</f>
        <v>58</v>
      </c>
      <c r="DG1436" s="5" t="s">
        <v>238</v>
      </c>
      <c r="DH1436" s="5" t="s">
        <v>238</v>
      </c>
      <c r="DI1436" s="5" t="s">
        <v>238</v>
      </c>
      <c r="DJ1436" s="5" t="s">
        <v>238</v>
      </c>
      <c r="DN1436" s="5" t="s">
        <v>238</v>
      </c>
      <c r="DO1436" s="5" t="s">
        <v>238</v>
      </c>
      <c r="DP1436" s="5" t="s">
        <v>238</v>
      </c>
      <c r="DQ1436" s="5" t="s">
        <v>238</v>
      </c>
      <c r="DT1436" s="5" t="s">
        <v>2039</v>
      </c>
      <c r="DU1436" s="5" t="s">
        <v>1842</v>
      </c>
      <c r="HM1436" s="5" t="s">
        <v>264</v>
      </c>
    </row>
    <row r="1437" spans="1:221" x14ac:dyDescent="0.4">
      <c r="A1437" s="5">
        <v>3112</v>
      </c>
      <c r="B1437" s="5">
        <v>1</v>
      </c>
      <c r="C1437" s="5">
        <v>1</v>
      </c>
      <c r="D1437" s="5" t="s">
        <v>2037</v>
      </c>
      <c r="E1437" s="5" t="s">
        <v>271</v>
      </c>
      <c r="F1437" s="5" t="s">
        <v>248</v>
      </c>
      <c r="G1437" s="5" t="s">
        <v>1969</v>
      </c>
      <c r="H1437" s="6" t="s">
        <v>2434</v>
      </c>
      <c r="I1437" s="7">
        <f>1437</f>
        <v>1437</v>
      </c>
      <c r="J1437" s="5" t="s">
        <v>262</v>
      </c>
      <c r="K1437" s="8">
        <f>1</f>
        <v>1</v>
      </c>
      <c r="L1437" s="6" t="s">
        <v>242</v>
      </c>
      <c r="M1437" s="5" t="s">
        <v>267</v>
      </c>
      <c r="N1437" s="5" t="s">
        <v>265</v>
      </c>
      <c r="O1437" s="5" t="s">
        <v>238</v>
      </c>
      <c r="P1437" s="5" t="s">
        <v>238</v>
      </c>
      <c r="Q1437" s="5" t="s">
        <v>268</v>
      </c>
      <c r="R1437" s="5" t="s">
        <v>270</v>
      </c>
      <c r="S1437" s="5" t="s">
        <v>238</v>
      </c>
      <c r="V1437" s="5" t="s">
        <v>238</v>
      </c>
      <c r="X1437" s="6" t="s">
        <v>238</v>
      </c>
      <c r="AA1437" s="6" t="s">
        <v>243</v>
      </c>
      <c r="AB1437" s="5" t="s">
        <v>238</v>
      </c>
      <c r="AC1437" s="5" t="s">
        <v>244</v>
      </c>
      <c r="AD1437" s="5" t="s">
        <v>245</v>
      </c>
      <c r="AT1437" s="5" t="s">
        <v>246</v>
      </c>
      <c r="AU1437" s="5" t="s">
        <v>238</v>
      </c>
      <c r="AV1437" s="5" t="s">
        <v>247</v>
      </c>
      <c r="AW1437" s="5" t="s">
        <v>238</v>
      </c>
      <c r="AX1437" s="5" t="s">
        <v>249</v>
      </c>
      <c r="AY1437" s="5" t="s">
        <v>238</v>
      </c>
      <c r="BA1437" s="5" t="s">
        <v>238</v>
      </c>
      <c r="BC1437" s="5" t="s">
        <v>250</v>
      </c>
      <c r="BD1437" s="6" t="s">
        <v>243</v>
      </c>
      <c r="BE1437" s="5" t="s">
        <v>251</v>
      </c>
      <c r="BF1437" s="5" t="s">
        <v>252</v>
      </c>
      <c r="BG1437" s="5" t="s">
        <v>238</v>
      </c>
      <c r="BH1437" s="7">
        <f>0</f>
        <v>0</v>
      </c>
      <c r="BI1437" s="8">
        <f>0</f>
        <v>0</v>
      </c>
      <c r="BJ1437" s="5" t="s">
        <v>253</v>
      </c>
      <c r="BK1437" s="5" t="s">
        <v>254</v>
      </c>
      <c r="BY1437" s="5" t="s">
        <v>238</v>
      </c>
      <c r="BZ1437" s="5" t="s">
        <v>238</v>
      </c>
      <c r="CD1437" s="5" t="s">
        <v>273</v>
      </c>
      <c r="CE1437" s="5" t="s">
        <v>256</v>
      </c>
      <c r="CF1437" s="5" t="s">
        <v>238</v>
      </c>
      <c r="CI1437" s="6" t="s">
        <v>257</v>
      </c>
      <c r="CJ1437" s="5" t="s">
        <v>238</v>
      </c>
      <c r="CK1437" s="5" t="s">
        <v>258</v>
      </c>
      <c r="CL1437" s="5" t="s">
        <v>238</v>
      </c>
      <c r="CM1437" s="5" t="s">
        <v>238</v>
      </c>
      <c r="CN1437" s="5">
        <v>0</v>
      </c>
      <c r="CO1437" s="5" t="s">
        <v>259</v>
      </c>
      <c r="CP1437" s="5" t="s">
        <v>260</v>
      </c>
      <c r="CQ1437" s="5" t="s">
        <v>260</v>
      </c>
      <c r="CR1437" s="5" t="s">
        <v>261</v>
      </c>
      <c r="CU1437" s="8">
        <f>1</f>
        <v>1</v>
      </c>
      <c r="CV1437" s="8">
        <f>0</f>
        <v>0</v>
      </c>
      <c r="CX1437" s="8">
        <f>0</f>
        <v>0</v>
      </c>
      <c r="CY1437" s="8">
        <f>1</f>
        <v>1</v>
      </c>
      <c r="DA1437" s="5" t="s">
        <v>673</v>
      </c>
      <c r="DB1437" s="5" t="s">
        <v>238</v>
      </c>
      <c r="DD1437" s="5" t="s">
        <v>673</v>
      </c>
      <c r="DE1437" s="8">
        <f>1437</f>
        <v>1437</v>
      </c>
      <c r="DG1437" s="5" t="s">
        <v>238</v>
      </c>
      <c r="DH1437" s="5" t="s">
        <v>238</v>
      </c>
      <c r="DI1437" s="5" t="s">
        <v>238</v>
      </c>
      <c r="DJ1437" s="5" t="s">
        <v>238</v>
      </c>
      <c r="DN1437" s="5" t="s">
        <v>238</v>
      </c>
      <c r="DO1437" s="5" t="s">
        <v>238</v>
      </c>
      <c r="DP1437" s="5" t="s">
        <v>238</v>
      </c>
      <c r="DQ1437" s="5" t="s">
        <v>238</v>
      </c>
      <c r="DT1437" s="5" t="s">
        <v>2039</v>
      </c>
      <c r="DU1437" s="5" t="s">
        <v>1836</v>
      </c>
      <c r="HM1437" s="5" t="s">
        <v>264</v>
      </c>
    </row>
    <row r="1438" spans="1:221" x14ac:dyDescent="0.4">
      <c r="A1438" s="5">
        <v>3113</v>
      </c>
      <c r="B1438" s="5">
        <v>1</v>
      </c>
      <c r="C1438" s="5">
        <v>1</v>
      </c>
      <c r="D1438" s="5" t="s">
        <v>2037</v>
      </c>
      <c r="E1438" s="5" t="s">
        <v>271</v>
      </c>
      <c r="F1438" s="5" t="s">
        <v>248</v>
      </c>
      <c r="G1438" s="5" t="s">
        <v>1969</v>
      </c>
      <c r="H1438" s="6" t="s">
        <v>2433</v>
      </c>
      <c r="I1438" s="7">
        <f>1690</f>
        <v>1690</v>
      </c>
      <c r="J1438" s="5" t="s">
        <v>262</v>
      </c>
      <c r="K1438" s="8">
        <f>1</f>
        <v>1</v>
      </c>
      <c r="L1438" s="6" t="s">
        <v>242</v>
      </c>
      <c r="M1438" s="5" t="s">
        <v>267</v>
      </c>
      <c r="N1438" s="5" t="s">
        <v>265</v>
      </c>
      <c r="O1438" s="5" t="s">
        <v>238</v>
      </c>
      <c r="P1438" s="5" t="s">
        <v>238</v>
      </c>
      <c r="Q1438" s="5" t="s">
        <v>268</v>
      </c>
      <c r="R1438" s="5" t="s">
        <v>270</v>
      </c>
      <c r="S1438" s="5" t="s">
        <v>238</v>
      </c>
      <c r="V1438" s="5" t="s">
        <v>238</v>
      </c>
      <c r="X1438" s="6" t="s">
        <v>238</v>
      </c>
      <c r="AA1438" s="6" t="s">
        <v>243</v>
      </c>
      <c r="AB1438" s="5" t="s">
        <v>238</v>
      </c>
      <c r="AC1438" s="5" t="s">
        <v>244</v>
      </c>
      <c r="AD1438" s="5" t="s">
        <v>245</v>
      </c>
      <c r="AT1438" s="5" t="s">
        <v>246</v>
      </c>
      <c r="AU1438" s="5" t="s">
        <v>238</v>
      </c>
      <c r="AV1438" s="5" t="s">
        <v>247</v>
      </c>
      <c r="AW1438" s="5" t="s">
        <v>238</v>
      </c>
      <c r="AX1438" s="5" t="s">
        <v>249</v>
      </c>
      <c r="AY1438" s="5" t="s">
        <v>238</v>
      </c>
      <c r="BA1438" s="5" t="s">
        <v>238</v>
      </c>
      <c r="BC1438" s="5" t="s">
        <v>250</v>
      </c>
      <c r="BD1438" s="6" t="s">
        <v>243</v>
      </c>
      <c r="BE1438" s="5" t="s">
        <v>251</v>
      </c>
      <c r="BF1438" s="5" t="s">
        <v>252</v>
      </c>
      <c r="BG1438" s="5" t="s">
        <v>238</v>
      </c>
      <c r="BH1438" s="7">
        <f>0</f>
        <v>0</v>
      </c>
      <c r="BI1438" s="8">
        <f>0</f>
        <v>0</v>
      </c>
      <c r="BJ1438" s="5" t="s">
        <v>253</v>
      </c>
      <c r="BK1438" s="5" t="s">
        <v>254</v>
      </c>
      <c r="BY1438" s="5" t="s">
        <v>238</v>
      </c>
      <c r="BZ1438" s="5" t="s">
        <v>238</v>
      </c>
      <c r="CD1438" s="5" t="s">
        <v>273</v>
      </c>
      <c r="CE1438" s="5" t="s">
        <v>256</v>
      </c>
      <c r="CF1438" s="5" t="s">
        <v>238</v>
      </c>
      <c r="CI1438" s="6" t="s">
        <v>257</v>
      </c>
      <c r="CJ1438" s="5" t="s">
        <v>238</v>
      </c>
      <c r="CK1438" s="5" t="s">
        <v>258</v>
      </c>
      <c r="CL1438" s="5" t="s">
        <v>238</v>
      </c>
      <c r="CM1438" s="5" t="s">
        <v>238</v>
      </c>
      <c r="CN1438" s="5">
        <v>0</v>
      </c>
      <c r="CO1438" s="5" t="s">
        <v>259</v>
      </c>
      <c r="CP1438" s="5" t="s">
        <v>260</v>
      </c>
      <c r="CQ1438" s="5" t="s">
        <v>260</v>
      </c>
      <c r="CR1438" s="5" t="s">
        <v>261</v>
      </c>
      <c r="CU1438" s="8">
        <f>1</f>
        <v>1</v>
      </c>
      <c r="CV1438" s="8">
        <f>0</f>
        <v>0</v>
      </c>
      <c r="CX1438" s="8">
        <f>0</f>
        <v>0</v>
      </c>
      <c r="CY1438" s="8">
        <f>1</f>
        <v>1</v>
      </c>
      <c r="DA1438" s="5" t="s">
        <v>673</v>
      </c>
      <c r="DB1438" s="5" t="s">
        <v>238</v>
      </c>
      <c r="DD1438" s="5" t="s">
        <v>673</v>
      </c>
      <c r="DE1438" s="8">
        <f>1690</f>
        <v>1690</v>
      </c>
      <c r="DG1438" s="5" t="s">
        <v>238</v>
      </c>
      <c r="DH1438" s="5" t="s">
        <v>238</v>
      </c>
      <c r="DI1438" s="5" t="s">
        <v>238</v>
      </c>
      <c r="DJ1438" s="5" t="s">
        <v>238</v>
      </c>
      <c r="DN1438" s="5" t="s">
        <v>238</v>
      </c>
      <c r="DO1438" s="5" t="s">
        <v>238</v>
      </c>
      <c r="DP1438" s="5" t="s">
        <v>238</v>
      </c>
      <c r="DQ1438" s="5" t="s">
        <v>238</v>
      </c>
      <c r="DT1438" s="5" t="s">
        <v>2039</v>
      </c>
      <c r="DU1438" s="5" t="s">
        <v>1412</v>
      </c>
      <c r="HM1438" s="5" t="s">
        <v>264</v>
      </c>
    </row>
    <row r="1439" spans="1:221" x14ac:dyDescent="0.4">
      <c r="A1439" s="5">
        <v>3114</v>
      </c>
      <c r="B1439" s="5">
        <v>1</v>
      </c>
      <c r="C1439" s="5">
        <v>1</v>
      </c>
      <c r="D1439" s="5" t="s">
        <v>2037</v>
      </c>
      <c r="E1439" s="5" t="s">
        <v>271</v>
      </c>
      <c r="F1439" s="5" t="s">
        <v>248</v>
      </c>
      <c r="G1439" s="5" t="s">
        <v>1969</v>
      </c>
      <c r="H1439" s="6" t="s">
        <v>2431</v>
      </c>
      <c r="I1439" s="7">
        <f>363</f>
        <v>363</v>
      </c>
      <c r="J1439" s="5" t="s">
        <v>262</v>
      </c>
      <c r="K1439" s="8">
        <f>1</f>
        <v>1</v>
      </c>
      <c r="L1439" s="6" t="s">
        <v>242</v>
      </c>
      <c r="M1439" s="5" t="s">
        <v>267</v>
      </c>
      <c r="N1439" s="5" t="s">
        <v>265</v>
      </c>
      <c r="O1439" s="5" t="s">
        <v>238</v>
      </c>
      <c r="P1439" s="5" t="s">
        <v>238</v>
      </c>
      <c r="Q1439" s="5" t="s">
        <v>268</v>
      </c>
      <c r="R1439" s="5" t="s">
        <v>270</v>
      </c>
      <c r="S1439" s="5" t="s">
        <v>238</v>
      </c>
      <c r="V1439" s="5" t="s">
        <v>238</v>
      </c>
      <c r="X1439" s="6" t="s">
        <v>238</v>
      </c>
      <c r="AA1439" s="6" t="s">
        <v>243</v>
      </c>
      <c r="AB1439" s="5" t="s">
        <v>238</v>
      </c>
      <c r="AC1439" s="5" t="s">
        <v>244</v>
      </c>
      <c r="AD1439" s="5" t="s">
        <v>245</v>
      </c>
      <c r="AT1439" s="5" t="s">
        <v>246</v>
      </c>
      <c r="AU1439" s="5" t="s">
        <v>238</v>
      </c>
      <c r="AV1439" s="5" t="s">
        <v>247</v>
      </c>
      <c r="AW1439" s="5" t="s">
        <v>238</v>
      </c>
      <c r="AX1439" s="5" t="s">
        <v>249</v>
      </c>
      <c r="AY1439" s="5" t="s">
        <v>238</v>
      </c>
      <c r="BA1439" s="5" t="s">
        <v>238</v>
      </c>
      <c r="BC1439" s="5" t="s">
        <v>250</v>
      </c>
      <c r="BD1439" s="6" t="s">
        <v>243</v>
      </c>
      <c r="BE1439" s="5" t="s">
        <v>251</v>
      </c>
      <c r="BF1439" s="5" t="s">
        <v>252</v>
      </c>
      <c r="BG1439" s="5" t="s">
        <v>238</v>
      </c>
      <c r="BH1439" s="7">
        <f>0</f>
        <v>0</v>
      </c>
      <c r="BI1439" s="8">
        <f>0</f>
        <v>0</v>
      </c>
      <c r="BJ1439" s="5" t="s">
        <v>253</v>
      </c>
      <c r="BK1439" s="5" t="s">
        <v>254</v>
      </c>
      <c r="BY1439" s="5" t="s">
        <v>238</v>
      </c>
      <c r="BZ1439" s="5" t="s">
        <v>238</v>
      </c>
      <c r="CD1439" s="5" t="s">
        <v>273</v>
      </c>
      <c r="CE1439" s="5" t="s">
        <v>256</v>
      </c>
      <c r="CF1439" s="5" t="s">
        <v>238</v>
      </c>
      <c r="CI1439" s="6" t="s">
        <v>257</v>
      </c>
      <c r="CJ1439" s="5" t="s">
        <v>238</v>
      </c>
      <c r="CK1439" s="5" t="s">
        <v>258</v>
      </c>
      <c r="CL1439" s="5" t="s">
        <v>238</v>
      </c>
      <c r="CM1439" s="5" t="s">
        <v>238</v>
      </c>
      <c r="CN1439" s="5">
        <v>0</v>
      </c>
      <c r="CO1439" s="5" t="s">
        <v>259</v>
      </c>
      <c r="CP1439" s="5" t="s">
        <v>260</v>
      </c>
      <c r="CQ1439" s="5" t="s">
        <v>260</v>
      </c>
      <c r="CR1439" s="5" t="s">
        <v>261</v>
      </c>
      <c r="CU1439" s="8">
        <f>1</f>
        <v>1</v>
      </c>
      <c r="CV1439" s="8">
        <f>0</f>
        <v>0</v>
      </c>
      <c r="CX1439" s="8">
        <f>0</f>
        <v>0</v>
      </c>
      <c r="CY1439" s="8">
        <f>1</f>
        <v>1</v>
      </c>
      <c r="DA1439" s="5" t="s">
        <v>673</v>
      </c>
      <c r="DB1439" s="5" t="s">
        <v>238</v>
      </c>
      <c r="DD1439" s="5" t="s">
        <v>673</v>
      </c>
      <c r="DE1439" s="8">
        <f>363</f>
        <v>363</v>
      </c>
      <c r="DG1439" s="5" t="s">
        <v>238</v>
      </c>
      <c r="DH1439" s="5" t="s">
        <v>238</v>
      </c>
      <c r="DI1439" s="5" t="s">
        <v>238</v>
      </c>
      <c r="DJ1439" s="5" t="s">
        <v>238</v>
      </c>
      <c r="DN1439" s="5" t="s">
        <v>238</v>
      </c>
      <c r="DO1439" s="5" t="s">
        <v>238</v>
      </c>
      <c r="DP1439" s="5" t="s">
        <v>238</v>
      </c>
      <c r="DQ1439" s="5" t="s">
        <v>238</v>
      </c>
      <c r="DT1439" s="5" t="s">
        <v>2039</v>
      </c>
      <c r="DU1439" s="5" t="s">
        <v>973</v>
      </c>
      <c r="HM1439" s="5" t="s">
        <v>264</v>
      </c>
    </row>
    <row r="1440" spans="1:221" x14ac:dyDescent="0.4">
      <c r="A1440" s="5">
        <v>3115</v>
      </c>
      <c r="B1440" s="5">
        <v>1</v>
      </c>
      <c r="C1440" s="5">
        <v>1</v>
      </c>
      <c r="D1440" s="5" t="s">
        <v>2037</v>
      </c>
      <c r="E1440" s="5" t="s">
        <v>271</v>
      </c>
      <c r="F1440" s="5" t="s">
        <v>248</v>
      </c>
      <c r="G1440" s="5" t="s">
        <v>1969</v>
      </c>
      <c r="H1440" s="6" t="s">
        <v>2430</v>
      </c>
      <c r="I1440" s="7">
        <f>182</f>
        <v>182</v>
      </c>
      <c r="J1440" s="5" t="s">
        <v>262</v>
      </c>
      <c r="K1440" s="8">
        <f>1</f>
        <v>1</v>
      </c>
      <c r="L1440" s="6" t="s">
        <v>242</v>
      </c>
      <c r="M1440" s="5" t="s">
        <v>267</v>
      </c>
      <c r="N1440" s="5" t="s">
        <v>265</v>
      </c>
      <c r="O1440" s="5" t="s">
        <v>238</v>
      </c>
      <c r="P1440" s="5" t="s">
        <v>238</v>
      </c>
      <c r="Q1440" s="5" t="s">
        <v>268</v>
      </c>
      <c r="R1440" s="5" t="s">
        <v>270</v>
      </c>
      <c r="S1440" s="5" t="s">
        <v>238</v>
      </c>
      <c r="V1440" s="5" t="s">
        <v>238</v>
      </c>
      <c r="X1440" s="6" t="s">
        <v>238</v>
      </c>
      <c r="AA1440" s="6" t="s">
        <v>243</v>
      </c>
      <c r="AB1440" s="5" t="s">
        <v>238</v>
      </c>
      <c r="AC1440" s="5" t="s">
        <v>244</v>
      </c>
      <c r="AD1440" s="5" t="s">
        <v>245</v>
      </c>
      <c r="AT1440" s="5" t="s">
        <v>246</v>
      </c>
      <c r="AU1440" s="5" t="s">
        <v>238</v>
      </c>
      <c r="AV1440" s="5" t="s">
        <v>247</v>
      </c>
      <c r="AW1440" s="5" t="s">
        <v>238</v>
      </c>
      <c r="AX1440" s="5" t="s">
        <v>249</v>
      </c>
      <c r="AY1440" s="5" t="s">
        <v>238</v>
      </c>
      <c r="BA1440" s="5" t="s">
        <v>238</v>
      </c>
      <c r="BC1440" s="5" t="s">
        <v>250</v>
      </c>
      <c r="BD1440" s="6" t="s">
        <v>243</v>
      </c>
      <c r="BE1440" s="5" t="s">
        <v>251</v>
      </c>
      <c r="BF1440" s="5" t="s">
        <v>252</v>
      </c>
      <c r="BG1440" s="5" t="s">
        <v>238</v>
      </c>
      <c r="BH1440" s="7">
        <f>0</f>
        <v>0</v>
      </c>
      <c r="BI1440" s="8">
        <f>0</f>
        <v>0</v>
      </c>
      <c r="BJ1440" s="5" t="s">
        <v>253</v>
      </c>
      <c r="BK1440" s="5" t="s">
        <v>254</v>
      </c>
      <c r="BY1440" s="5" t="s">
        <v>238</v>
      </c>
      <c r="BZ1440" s="5" t="s">
        <v>238</v>
      </c>
      <c r="CD1440" s="5" t="s">
        <v>273</v>
      </c>
      <c r="CE1440" s="5" t="s">
        <v>256</v>
      </c>
      <c r="CF1440" s="5" t="s">
        <v>238</v>
      </c>
      <c r="CI1440" s="6" t="s">
        <v>257</v>
      </c>
      <c r="CJ1440" s="5" t="s">
        <v>238</v>
      </c>
      <c r="CK1440" s="5" t="s">
        <v>258</v>
      </c>
      <c r="CL1440" s="5" t="s">
        <v>238</v>
      </c>
      <c r="CM1440" s="5" t="s">
        <v>238</v>
      </c>
      <c r="CN1440" s="5">
        <v>0</v>
      </c>
      <c r="CO1440" s="5" t="s">
        <v>259</v>
      </c>
      <c r="CP1440" s="5" t="s">
        <v>260</v>
      </c>
      <c r="CQ1440" s="5" t="s">
        <v>260</v>
      </c>
      <c r="CR1440" s="5" t="s">
        <v>261</v>
      </c>
      <c r="CU1440" s="8">
        <f>1</f>
        <v>1</v>
      </c>
      <c r="CV1440" s="8">
        <f>0</f>
        <v>0</v>
      </c>
      <c r="CX1440" s="8">
        <f>0</f>
        <v>0</v>
      </c>
      <c r="CY1440" s="8">
        <f>1</f>
        <v>1</v>
      </c>
      <c r="DA1440" s="5" t="s">
        <v>673</v>
      </c>
      <c r="DB1440" s="5" t="s">
        <v>238</v>
      </c>
      <c r="DD1440" s="5" t="s">
        <v>673</v>
      </c>
      <c r="DE1440" s="8">
        <f>182</f>
        <v>182</v>
      </c>
      <c r="DG1440" s="5" t="s">
        <v>238</v>
      </c>
      <c r="DH1440" s="5" t="s">
        <v>238</v>
      </c>
      <c r="DI1440" s="5" t="s">
        <v>238</v>
      </c>
      <c r="DJ1440" s="5" t="s">
        <v>238</v>
      </c>
      <c r="DN1440" s="5" t="s">
        <v>238</v>
      </c>
      <c r="DO1440" s="5" t="s">
        <v>238</v>
      </c>
      <c r="DP1440" s="5" t="s">
        <v>238</v>
      </c>
      <c r="DQ1440" s="5" t="s">
        <v>238</v>
      </c>
      <c r="DT1440" s="5" t="s">
        <v>2039</v>
      </c>
      <c r="DU1440" s="5" t="s">
        <v>1758</v>
      </c>
      <c r="HM1440" s="5" t="s">
        <v>264</v>
      </c>
    </row>
    <row r="1441" spans="1:221" x14ac:dyDescent="0.4">
      <c r="A1441" s="5">
        <v>3116</v>
      </c>
      <c r="B1441" s="5">
        <v>1</v>
      </c>
      <c r="C1441" s="5">
        <v>1</v>
      </c>
      <c r="D1441" s="5" t="s">
        <v>2037</v>
      </c>
      <c r="E1441" s="5" t="s">
        <v>271</v>
      </c>
      <c r="F1441" s="5" t="s">
        <v>248</v>
      </c>
      <c r="G1441" s="5" t="s">
        <v>1969</v>
      </c>
      <c r="H1441" s="6" t="s">
        <v>2428</v>
      </c>
      <c r="I1441" s="7">
        <f>1214</f>
        <v>1214</v>
      </c>
      <c r="J1441" s="5" t="s">
        <v>262</v>
      </c>
      <c r="K1441" s="8">
        <f>1</f>
        <v>1</v>
      </c>
      <c r="L1441" s="6" t="s">
        <v>242</v>
      </c>
      <c r="M1441" s="5" t="s">
        <v>267</v>
      </c>
      <c r="N1441" s="5" t="s">
        <v>265</v>
      </c>
      <c r="O1441" s="5" t="s">
        <v>238</v>
      </c>
      <c r="P1441" s="5" t="s">
        <v>238</v>
      </c>
      <c r="Q1441" s="5" t="s">
        <v>268</v>
      </c>
      <c r="R1441" s="5" t="s">
        <v>270</v>
      </c>
      <c r="S1441" s="5" t="s">
        <v>238</v>
      </c>
      <c r="V1441" s="5" t="s">
        <v>238</v>
      </c>
      <c r="X1441" s="6" t="s">
        <v>238</v>
      </c>
      <c r="AA1441" s="6" t="s">
        <v>243</v>
      </c>
      <c r="AB1441" s="5" t="s">
        <v>238</v>
      </c>
      <c r="AC1441" s="5" t="s">
        <v>244</v>
      </c>
      <c r="AD1441" s="5" t="s">
        <v>245</v>
      </c>
      <c r="AT1441" s="5" t="s">
        <v>246</v>
      </c>
      <c r="AU1441" s="5" t="s">
        <v>238</v>
      </c>
      <c r="AV1441" s="5" t="s">
        <v>247</v>
      </c>
      <c r="AW1441" s="5" t="s">
        <v>238</v>
      </c>
      <c r="AX1441" s="5" t="s">
        <v>249</v>
      </c>
      <c r="AY1441" s="5" t="s">
        <v>238</v>
      </c>
      <c r="BA1441" s="5" t="s">
        <v>238</v>
      </c>
      <c r="BC1441" s="5" t="s">
        <v>250</v>
      </c>
      <c r="BD1441" s="6" t="s">
        <v>243</v>
      </c>
      <c r="BE1441" s="5" t="s">
        <v>251</v>
      </c>
      <c r="BF1441" s="5" t="s">
        <v>252</v>
      </c>
      <c r="BG1441" s="5" t="s">
        <v>238</v>
      </c>
      <c r="BH1441" s="7">
        <f>0</f>
        <v>0</v>
      </c>
      <c r="BI1441" s="8">
        <f>0</f>
        <v>0</v>
      </c>
      <c r="BJ1441" s="5" t="s">
        <v>253</v>
      </c>
      <c r="BK1441" s="5" t="s">
        <v>254</v>
      </c>
      <c r="BY1441" s="5" t="s">
        <v>238</v>
      </c>
      <c r="BZ1441" s="5" t="s">
        <v>238</v>
      </c>
      <c r="CD1441" s="5" t="s">
        <v>273</v>
      </c>
      <c r="CE1441" s="5" t="s">
        <v>256</v>
      </c>
      <c r="CF1441" s="5" t="s">
        <v>238</v>
      </c>
      <c r="CI1441" s="6" t="s">
        <v>257</v>
      </c>
      <c r="CJ1441" s="5" t="s">
        <v>238</v>
      </c>
      <c r="CK1441" s="5" t="s">
        <v>258</v>
      </c>
      <c r="CL1441" s="5" t="s">
        <v>238</v>
      </c>
      <c r="CM1441" s="5" t="s">
        <v>238</v>
      </c>
      <c r="CN1441" s="5">
        <v>0</v>
      </c>
      <c r="CO1441" s="5" t="s">
        <v>259</v>
      </c>
      <c r="CP1441" s="5" t="s">
        <v>260</v>
      </c>
      <c r="CQ1441" s="5" t="s">
        <v>260</v>
      </c>
      <c r="CR1441" s="5" t="s">
        <v>261</v>
      </c>
      <c r="CU1441" s="8">
        <f>1</f>
        <v>1</v>
      </c>
      <c r="CV1441" s="8">
        <f>0</f>
        <v>0</v>
      </c>
      <c r="CX1441" s="8">
        <f>0</f>
        <v>0</v>
      </c>
      <c r="CY1441" s="8">
        <f>1</f>
        <v>1</v>
      </c>
      <c r="DA1441" s="5" t="s">
        <v>673</v>
      </c>
      <c r="DB1441" s="5" t="s">
        <v>238</v>
      </c>
      <c r="DD1441" s="5" t="s">
        <v>673</v>
      </c>
      <c r="DE1441" s="8">
        <f>1214</f>
        <v>1214</v>
      </c>
      <c r="DG1441" s="5" t="s">
        <v>238</v>
      </c>
      <c r="DH1441" s="5" t="s">
        <v>238</v>
      </c>
      <c r="DI1441" s="5" t="s">
        <v>238</v>
      </c>
      <c r="DJ1441" s="5" t="s">
        <v>238</v>
      </c>
      <c r="DN1441" s="5" t="s">
        <v>238</v>
      </c>
      <c r="DO1441" s="5" t="s">
        <v>238</v>
      </c>
      <c r="DP1441" s="5" t="s">
        <v>238</v>
      </c>
      <c r="DQ1441" s="5" t="s">
        <v>238</v>
      </c>
      <c r="DT1441" s="5" t="s">
        <v>2039</v>
      </c>
      <c r="DU1441" s="5" t="s">
        <v>1868</v>
      </c>
      <c r="HM1441" s="5" t="s">
        <v>264</v>
      </c>
    </row>
    <row r="1442" spans="1:221" x14ac:dyDescent="0.4">
      <c r="A1442" s="5">
        <v>3117</v>
      </c>
      <c r="B1442" s="5">
        <v>1</v>
      </c>
      <c r="C1442" s="5">
        <v>1</v>
      </c>
      <c r="D1442" s="5" t="s">
        <v>2037</v>
      </c>
      <c r="E1442" s="5" t="s">
        <v>271</v>
      </c>
      <c r="F1442" s="5" t="s">
        <v>248</v>
      </c>
      <c r="G1442" s="5" t="s">
        <v>1969</v>
      </c>
      <c r="H1442" s="6" t="s">
        <v>2426</v>
      </c>
      <c r="I1442" s="7">
        <f>158</f>
        <v>158</v>
      </c>
      <c r="J1442" s="5" t="s">
        <v>262</v>
      </c>
      <c r="K1442" s="8">
        <f>1</f>
        <v>1</v>
      </c>
      <c r="L1442" s="6" t="s">
        <v>242</v>
      </c>
      <c r="M1442" s="5" t="s">
        <v>267</v>
      </c>
      <c r="N1442" s="5" t="s">
        <v>265</v>
      </c>
      <c r="O1442" s="5" t="s">
        <v>238</v>
      </c>
      <c r="P1442" s="5" t="s">
        <v>238</v>
      </c>
      <c r="Q1442" s="5" t="s">
        <v>268</v>
      </c>
      <c r="R1442" s="5" t="s">
        <v>270</v>
      </c>
      <c r="S1442" s="5" t="s">
        <v>238</v>
      </c>
      <c r="V1442" s="5" t="s">
        <v>238</v>
      </c>
      <c r="X1442" s="6" t="s">
        <v>238</v>
      </c>
      <c r="AA1442" s="6" t="s">
        <v>243</v>
      </c>
      <c r="AB1442" s="5" t="s">
        <v>238</v>
      </c>
      <c r="AC1442" s="5" t="s">
        <v>244</v>
      </c>
      <c r="AD1442" s="5" t="s">
        <v>245</v>
      </c>
      <c r="AT1442" s="5" t="s">
        <v>246</v>
      </c>
      <c r="AU1442" s="5" t="s">
        <v>238</v>
      </c>
      <c r="AV1442" s="5" t="s">
        <v>247</v>
      </c>
      <c r="AW1442" s="5" t="s">
        <v>238</v>
      </c>
      <c r="AX1442" s="5" t="s">
        <v>249</v>
      </c>
      <c r="AY1442" s="5" t="s">
        <v>238</v>
      </c>
      <c r="BA1442" s="5" t="s">
        <v>238</v>
      </c>
      <c r="BC1442" s="5" t="s">
        <v>250</v>
      </c>
      <c r="BD1442" s="6" t="s">
        <v>243</v>
      </c>
      <c r="BE1442" s="5" t="s">
        <v>251</v>
      </c>
      <c r="BF1442" s="5" t="s">
        <v>252</v>
      </c>
      <c r="BG1442" s="5" t="s">
        <v>238</v>
      </c>
      <c r="BH1442" s="7">
        <f>0</f>
        <v>0</v>
      </c>
      <c r="BI1442" s="8">
        <f>0</f>
        <v>0</v>
      </c>
      <c r="BJ1442" s="5" t="s">
        <v>253</v>
      </c>
      <c r="BK1442" s="5" t="s">
        <v>254</v>
      </c>
      <c r="BY1442" s="5" t="s">
        <v>238</v>
      </c>
      <c r="BZ1442" s="5" t="s">
        <v>238</v>
      </c>
      <c r="CD1442" s="5" t="s">
        <v>273</v>
      </c>
      <c r="CE1442" s="5" t="s">
        <v>256</v>
      </c>
      <c r="CF1442" s="5" t="s">
        <v>238</v>
      </c>
      <c r="CI1442" s="6" t="s">
        <v>257</v>
      </c>
      <c r="CJ1442" s="5" t="s">
        <v>238</v>
      </c>
      <c r="CK1442" s="5" t="s">
        <v>258</v>
      </c>
      <c r="CL1442" s="5" t="s">
        <v>238</v>
      </c>
      <c r="CM1442" s="5" t="s">
        <v>238</v>
      </c>
      <c r="CN1442" s="5">
        <v>0</v>
      </c>
      <c r="CO1442" s="5" t="s">
        <v>259</v>
      </c>
      <c r="CP1442" s="5" t="s">
        <v>260</v>
      </c>
      <c r="CQ1442" s="5" t="s">
        <v>260</v>
      </c>
      <c r="CR1442" s="5" t="s">
        <v>261</v>
      </c>
      <c r="CU1442" s="8">
        <f>1</f>
        <v>1</v>
      </c>
      <c r="CV1442" s="8">
        <f>0</f>
        <v>0</v>
      </c>
      <c r="CX1442" s="8">
        <f>0</f>
        <v>0</v>
      </c>
      <c r="CY1442" s="8">
        <f>1</f>
        <v>1</v>
      </c>
      <c r="DA1442" s="5" t="s">
        <v>673</v>
      </c>
      <c r="DB1442" s="5" t="s">
        <v>238</v>
      </c>
      <c r="DD1442" s="5" t="s">
        <v>673</v>
      </c>
      <c r="DE1442" s="8">
        <f>158</f>
        <v>158</v>
      </c>
      <c r="DG1442" s="5" t="s">
        <v>238</v>
      </c>
      <c r="DH1442" s="5" t="s">
        <v>238</v>
      </c>
      <c r="DI1442" s="5" t="s">
        <v>238</v>
      </c>
      <c r="DJ1442" s="5" t="s">
        <v>238</v>
      </c>
      <c r="DN1442" s="5" t="s">
        <v>238</v>
      </c>
      <c r="DO1442" s="5" t="s">
        <v>238</v>
      </c>
      <c r="DP1442" s="5" t="s">
        <v>238</v>
      </c>
      <c r="DQ1442" s="5" t="s">
        <v>238</v>
      </c>
      <c r="DT1442" s="5" t="s">
        <v>2039</v>
      </c>
      <c r="DU1442" s="5" t="s">
        <v>1706</v>
      </c>
      <c r="HM1442" s="5" t="s">
        <v>264</v>
      </c>
    </row>
    <row r="1443" spans="1:221" x14ac:dyDescent="0.4">
      <c r="A1443" s="5">
        <v>3118</v>
      </c>
      <c r="B1443" s="5">
        <v>1</v>
      </c>
      <c r="C1443" s="5">
        <v>1</v>
      </c>
      <c r="D1443" s="5" t="s">
        <v>2037</v>
      </c>
      <c r="E1443" s="5" t="s">
        <v>271</v>
      </c>
      <c r="F1443" s="5" t="s">
        <v>248</v>
      </c>
      <c r="G1443" s="5" t="s">
        <v>1969</v>
      </c>
      <c r="H1443" s="6" t="s">
        <v>2425</v>
      </c>
      <c r="I1443" s="7">
        <f>384</f>
        <v>384</v>
      </c>
      <c r="J1443" s="5" t="s">
        <v>262</v>
      </c>
      <c r="K1443" s="8">
        <f>1</f>
        <v>1</v>
      </c>
      <c r="L1443" s="6" t="s">
        <v>242</v>
      </c>
      <c r="M1443" s="5" t="s">
        <v>267</v>
      </c>
      <c r="N1443" s="5" t="s">
        <v>265</v>
      </c>
      <c r="O1443" s="5" t="s">
        <v>238</v>
      </c>
      <c r="P1443" s="5" t="s">
        <v>238</v>
      </c>
      <c r="Q1443" s="5" t="s">
        <v>268</v>
      </c>
      <c r="R1443" s="5" t="s">
        <v>270</v>
      </c>
      <c r="S1443" s="5" t="s">
        <v>238</v>
      </c>
      <c r="V1443" s="5" t="s">
        <v>238</v>
      </c>
      <c r="X1443" s="6" t="s">
        <v>238</v>
      </c>
      <c r="AA1443" s="6" t="s">
        <v>243</v>
      </c>
      <c r="AB1443" s="5" t="s">
        <v>238</v>
      </c>
      <c r="AC1443" s="5" t="s">
        <v>244</v>
      </c>
      <c r="AD1443" s="5" t="s">
        <v>245</v>
      </c>
      <c r="AT1443" s="5" t="s">
        <v>246</v>
      </c>
      <c r="AU1443" s="5" t="s">
        <v>238</v>
      </c>
      <c r="AV1443" s="5" t="s">
        <v>247</v>
      </c>
      <c r="AW1443" s="5" t="s">
        <v>238</v>
      </c>
      <c r="AX1443" s="5" t="s">
        <v>249</v>
      </c>
      <c r="AY1443" s="5" t="s">
        <v>238</v>
      </c>
      <c r="BA1443" s="5" t="s">
        <v>238</v>
      </c>
      <c r="BC1443" s="5" t="s">
        <v>250</v>
      </c>
      <c r="BD1443" s="6" t="s">
        <v>243</v>
      </c>
      <c r="BE1443" s="5" t="s">
        <v>251</v>
      </c>
      <c r="BF1443" s="5" t="s">
        <v>252</v>
      </c>
      <c r="BG1443" s="5" t="s">
        <v>238</v>
      </c>
      <c r="BH1443" s="7">
        <f>0</f>
        <v>0</v>
      </c>
      <c r="BI1443" s="8">
        <f>0</f>
        <v>0</v>
      </c>
      <c r="BJ1443" s="5" t="s">
        <v>253</v>
      </c>
      <c r="BK1443" s="5" t="s">
        <v>254</v>
      </c>
      <c r="BY1443" s="5" t="s">
        <v>238</v>
      </c>
      <c r="BZ1443" s="5" t="s">
        <v>238</v>
      </c>
      <c r="CD1443" s="5" t="s">
        <v>273</v>
      </c>
      <c r="CE1443" s="5" t="s">
        <v>256</v>
      </c>
      <c r="CF1443" s="5" t="s">
        <v>238</v>
      </c>
      <c r="CI1443" s="6" t="s">
        <v>257</v>
      </c>
      <c r="CJ1443" s="5" t="s">
        <v>238</v>
      </c>
      <c r="CK1443" s="5" t="s">
        <v>258</v>
      </c>
      <c r="CL1443" s="5" t="s">
        <v>238</v>
      </c>
      <c r="CM1443" s="5" t="s">
        <v>238</v>
      </c>
      <c r="CN1443" s="5">
        <v>0</v>
      </c>
      <c r="CO1443" s="5" t="s">
        <v>259</v>
      </c>
      <c r="CP1443" s="5" t="s">
        <v>260</v>
      </c>
      <c r="CQ1443" s="5" t="s">
        <v>260</v>
      </c>
      <c r="CR1443" s="5" t="s">
        <v>261</v>
      </c>
      <c r="CU1443" s="8">
        <f>1</f>
        <v>1</v>
      </c>
      <c r="CV1443" s="8">
        <f>0</f>
        <v>0</v>
      </c>
      <c r="CX1443" s="8">
        <f>0</f>
        <v>0</v>
      </c>
      <c r="CY1443" s="8">
        <f>1</f>
        <v>1</v>
      </c>
      <c r="DA1443" s="5" t="s">
        <v>673</v>
      </c>
      <c r="DB1443" s="5" t="s">
        <v>238</v>
      </c>
      <c r="DD1443" s="5" t="s">
        <v>673</v>
      </c>
      <c r="DE1443" s="8">
        <f>384</f>
        <v>384</v>
      </c>
      <c r="DG1443" s="5" t="s">
        <v>238</v>
      </c>
      <c r="DH1443" s="5" t="s">
        <v>238</v>
      </c>
      <c r="DI1443" s="5" t="s">
        <v>238</v>
      </c>
      <c r="DJ1443" s="5" t="s">
        <v>238</v>
      </c>
      <c r="DN1443" s="5" t="s">
        <v>238</v>
      </c>
      <c r="DO1443" s="5" t="s">
        <v>238</v>
      </c>
      <c r="DP1443" s="5" t="s">
        <v>238</v>
      </c>
      <c r="DQ1443" s="5" t="s">
        <v>238</v>
      </c>
      <c r="DT1443" s="5" t="s">
        <v>2039</v>
      </c>
      <c r="DU1443" s="5" t="s">
        <v>1650</v>
      </c>
      <c r="HM1443" s="5" t="s">
        <v>264</v>
      </c>
    </row>
    <row r="1444" spans="1:221" x14ac:dyDescent="0.4">
      <c r="A1444" s="5">
        <v>3119</v>
      </c>
      <c r="B1444" s="5">
        <v>1</v>
      </c>
      <c r="C1444" s="5">
        <v>1</v>
      </c>
      <c r="D1444" s="5" t="s">
        <v>2037</v>
      </c>
      <c r="E1444" s="5" t="s">
        <v>271</v>
      </c>
      <c r="F1444" s="5" t="s">
        <v>248</v>
      </c>
      <c r="G1444" s="5" t="s">
        <v>1969</v>
      </c>
      <c r="H1444" s="6" t="s">
        <v>2424</v>
      </c>
      <c r="I1444" s="7">
        <f>1310</f>
        <v>1310</v>
      </c>
      <c r="J1444" s="5" t="s">
        <v>262</v>
      </c>
      <c r="K1444" s="8">
        <f>1</f>
        <v>1</v>
      </c>
      <c r="L1444" s="6" t="s">
        <v>242</v>
      </c>
      <c r="M1444" s="5" t="s">
        <v>267</v>
      </c>
      <c r="N1444" s="5" t="s">
        <v>265</v>
      </c>
      <c r="O1444" s="5" t="s">
        <v>238</v>
      </c>
      <c r="P1444" s="5" t="s">
        <v>238</v>
      </c>
      <c r="Q1444" s="5" t="s">
        <v>268</v>
      </c>
      <c r="R1444" s="5" t="s">
        <v>270</v>
      </c>
      <c r="S1444" s="5" t="s">
        <v>238</v>
      </c>
      <c r="V1444" s="5" t="s">
        <v>238</v>
      </c>
      <c r="X1444" s="6" t="s">
        <v>238</v>
      </c>
      <c r="AA1444" s="6" t="s">
        <v>243</v>
      </c>
      <c r="AB1444" s="5" t="s">
        <v>238</v>
      </c>
      <c r="AC1444" s="5" t="s">
        <v>244</v>
      </c>
      <c r="AD1444" s="5" t="s">
        <v>245</v>
      </c>
      <c r="AT1444" s="5" t="s">
        <v>246</v>
      </c>
      <c r="AU1444" s="5" t="s">
        <v>238</v>
      </c>
      <c r="AV1444" s="5" t="s">
        <v>247</v>
      </c>
      <c r="AW1444" s="5" t="s">
        <v>238</v>
      </c>
      <c r="AX1444" s="5" t="s">
        <v>249</v>
      </c>
      <c r="AY1444" s="5" t="s">
        <v>238</v>
      </c>
      <c r="BA1444" s="5" t="s">
        <v>238</v>
      </c>
      <c r="BC1444" s="5" t="s">
        <v>250</v>
      </c>
      <c r="BD1444" s="6" t="s">
        <v>243</v>
      </c>
      <c r="BE1444" s="5" t="s">
        <v>251</v>
      </c>
      <c r="BF1444" s="5" t="s">
        <v>252</v>
      </c>
      <c r="BG1444" s="5" t="s">
        <v>238</v>
      </c>
      <c r="BH1444" s="7">
        <f>0</f>
        <v>0</v>
      </c>
      <c r="BI1444" s="8">
        <f>0</f>
        <v>0</v>
      </c>
      <c r="BJ1444" s="5" t="s">
        <v>253</v>
      </c>
      <c r="BK1444" s="5" t="s">
        <v>254</v>
      </c>
      <c r="BY1444" s="5" t="s">
        <v>238</v>
      </c>
      <c r="BZ1444" s="5" t="s">
        <v>238</v>
      </c>
      <c r="CD1444" s="5" t="s">
        <v>273</v>
      </c>
      <c r="CE1444" s="5" t="s">
        <v>256</v>
      </c>
      <c r="CF1444" s="5" t="s">
        <v>238</v>
      </c>
      <c r="CI1444" s="6" t="s">
        <v>257</v>
      </c>
      <c r="CJ1444" s="5" t="s">
        <v>238</v>
      </c>
      <c r="CK1444" s="5" t="s">
        <v>258</v>
      </c>
      <c r="CL1444" s="5" t="s">
        <v>238</v>
      </c>
      <c r="CM1444" s="5" t="s">
        <v>238</v>
      </c>
      <c r="CN1444" s="5">
        <v>0</v>
      </c>
      <c r="CO1444" s="5" t="s">
        <v>259</v>
      </c>
      <c r="CP1444" s="5" t="s">
        <v>260</v>
      </c>
      <c r="CQ1444" s="5" t="s">
        <v>260</v>
      </c>
      <c r="CR1444" s="5" t="s">
        <v>261</v>
      </c>
      <c r="CU1444" s="8">
        <f>1</f>
        <v>1</v>
      </c>
      <c r="CV1444" s="8">
        <f>0</f>
        <v>0</v>
      </c>
      <c r="CX1444" s="8">
        <f>0</f>
        <v>0</v>
      </c>
      <c r="CY1444" s="8">
        <f>1</f>
        <v>1</v>
      </c>
      <c r="DA1444" s="5" t="s">
        <v>673</v>
      </c>
      <c r="DB1444" s="5" t="s">
        <v>238</v>
      </c>
      <c r="DD1444" s="5" t="s">
        <v>673</v>
      </c>
      <c r="DE1444" s="8">
        <f>1310</f>
        <v>1310</v>
      </c>
      <c r="DG1444" s="5" t="s">
        <v>238</v>
      </c>
      <c r="DH1444" s="5" t="s">
        <v>238</v>
      </c>
      <c r="DI1444" s="5" t="s">
        <v>238</v>
      </c>
      <c r="DJ1444" s="5" t="s">
        <v>238</v>
      </c>
      <c r="DN1444" s="5" t="s">
        <v>238</v>
      </c>
      <c r="DO1444" s="5" t="s">
        <v>238</v>
      </c>
      <c r="DP1444" s="5" t="s">
        <v>238</v>
      </c>
      <c r="DQ1444" s="5" t="s">
        <v>238</v>
      </c>
      <c r="DT1444" s="5" t="s">
        <v>2039</v>
      </c>
      <c r="DU1444" s="5" t="s">
        <v>1636</v>
      </c>
      <c r="HM1444" s="5" t="s">
        <v>264</v>
      </c>
    </row>
    <row r="1445" spans="1:221" x14ac:dyDescent="0.4">
      <c r="A1445" s="5">
        <v>3120</v>
      </c>
      <c r="B1445" s="5">
        <v>1</v>
      </c>
      <c r="C1445" s="5">
        <v>1</v>
      </c>
      <c r="D1445" s="5" t="s">
        <v>2037</v>
      </c>
      <c r="E1445" s="5" t="s">
        <v>271</v>
      </c>
      <c r="F1445" s="5" t="s">
        <v>248</v>
      </c>
      <c r="G1445" s="5" t="s">
        <v>1969</v>
      </c>
      <c r="H1445" s="6" t="s">
        <v>2422</v>
      </c>
      <c r="I1445" s="7">
        <f>260</f>
        <v>260</v>
      </c>
      <c r="J1445" s="5" t="s">
        <v>262</v>
      </c>
      <c r="K1445" s="8">
        <f>1</f>
        <v>1</v>
      </c>
      <c r="L1445" s="6" t="s">
        <v>242</v>
      </c>
      <c r="M1445" s="5" t="s">
        <v>267</v>
      </c>
      <c r="N1445" s="5" t="s">
        <v>265</v>
      </c>
      <c r="O1445" s="5" t="s">
        <v>238</v>
      </c>
      <c r="P1445" s="5" t="s">
        <v>238</v>
      </c>
      <c r="Q1445" s="5" t="s">
        <v>268</v>
      </c>
      <c r="R1445" s="5" t="s">
        <v>270</v>
      </c>
      <c r="S1445" s="5" t="s">
        <v>238</v>
      </c>
      <c r="V1445" s="5" t="s">
        <v>238</v>
      </c>
      <c r="X1445" s="6" t="s">
        <v>238</v>
      </c>
      <c r="AA1445" s="6" t="s">
        <v>243</v>
      </c>
      <c r="AB1445" s="5" t="s">
        <v>238</v>
      </c>
      <c r="AC1445" s="5" t="s">
        <v>244</v>
      </c>
      <c r="AD1445" s="5" t="s">
        <v>245</v>
      </c>
      <c r="AT1445" s="5" t="s">
        <v>246</v>
      </c>
      <c r="AU1445" s="5" t="s">
        <v>238</v>
      </c>
      <c r="AV1445" s="5" t="s">
        <v>247</v>
      </c>
      <c r="AW1445" s="5" t="s">
        <v>238</v>
      </c>
      <c r="AX1445" s="5" t="s">
        <v>249</v>
      </c>
      <c r="AY1445" s="5" t="s">
        <v>238</v>
      </c>
      <c r="BA1445" s="5" t="s">
        <v>238</v>
      </c>
      <c r="BC1445" s="5" t="s">
        <v>250</v>
      </c>
      <c r="BD1445" s="6" t="s">
        <v>243</v>
      </c>
      <c r="BE1445" s="5" t="s">
        <v>251</v>
      </c>
      <c r="BF1445" s="5" t="s">
        <v>252</v>
      </c>
      <c r="BG1445" s="5" t="s">
        <v>238</v>
      </c>
      <c r="BH1445" s="7">
        <f>0</f>
        <v>0</v>
      </c>
      <c r="BI1445" s="8">
        <f>0</f>
        <v>0</v>
      </c>
      <c r="BJ1445" s="5" t="s">
        <v>253</v>
      </c>
      <c r="BK1445" s="5" t="s">
        <v>254</v>
      </c>
      <c r="BY1445" s="5" t="s">
        <v>238</v>
      </c>
      <c r="BZ1445" s="5" t="s">
        <v>238</v>
      </c>
      <c r="CD1445" s="5" t="s">
        <v>273</v>
      </c>
      <c r="CE1445" s="5" t="s">
        <v>256</v>
      </c>
      <c r="CF1445" s="5" t="s">
        <v>238</v>
      </c>
      <c r="CI1445" s="6" t="s">
        <v>257</v>
      </c>
      <c r="CJ1445" s="5" t="s">
        <v>238</v>
      </c>
      <c r="CK1445" s="5" t="s">
        <v>258</v>
      </c>
      <c r="CL1445" s="5" t="s">
        <v>238</v>
      </c>
      <c r="CM1445" s="5" t="s">
        <v>238</v>
      </c>
      <c r="CN1445" s="5">
        <v>0</v>
      </c>
      <c r="CO1445" s="5" t="s">
        <v>259</v>
      </c>
      <c r="CP1445" s="5" t="s">
        <v>260</v>
      </c>
      <c r="CQ1445" s="5" t="s">
        <v>260</v>
      </c>
      <c r="CR1445" s="5" t="s">
        <v>261</v>
      </c>
      <c r="CU1445" s="8">
        <f>1</f>
        <v>1</v>
      </c>
      <c r="CV1445" s="8">
        <f>0</f>
        <v>0</v>
      </c>
      <c r="CX1445" s="8">
        <f>0</f>
        <v>0</v>
      </c>
      <c r="CY1445" s="8">
        <f>1</f>
        <v>1</v>
      </c>
      <c r="DA1445" s="5" t="s">
        <v>673</v>
      </c>
      <c r="DB1445" s="5" t="s">
        <v>238</v>
      </c>
      <c r="DD1445" s="5" t="s">
        <v>673</v>
      </c>
      <c r="DE1445" s="8">
        <f>260</f>
        <v>260</v>
      </c>
      <c r="DG1445" s="5" t="s">
        <v>238</v>
      </c>
      <c r="DH1445" s="5" t="s">
        <v>238</v>
      </c>
      <c r="DI1445" s="5" t="s">
        <v>238</v>
      </c>
      <c r="DJ1445" s="5" t="s">
        <v>238</v>
      </c>
      <c r="DN1445" s="5" t="s">
        <v>238</v>
      </c>
      <c r="DO1445" s="5" t="s">
        <v>238</v>
      </c>
      <c r="DP1445" s="5" t="s">
        <v>238</v>
      </c>
      <c r="DQ1445" s="5" t="s">
        <v>238</v>
      </c>
      <c r="DT1445" s="5" t="s">
        <v>2039</v>
      </c>
      <c r="DU1445" s="5" t="s">
        <v>1856</v>
      </c>
      <c r="HM1445" s="5" t="s">
        <v>264</v>
      </c>
    </row>
    <row r="1446" spans="1:221" x14ac:dyDescent="0.4">
      <c r="A1446" s="5">
        <v>3121</v>
      </c>
      <c r="B1446" s="5">
        <v>1</v>
      </c>
      <c r="C1446" s="5">
        <v>1</v>
      </c>
      <c r="D1446" s="5" t="s">
        <v>2037</v>
      </c>
      <c r="E1446" s="5" t="s">
        <v>271</v>
      </c>
      <c r="F1446" s="5" t="s">
        <v>248</v>
      </c>
      <c r="G1446" s="5" t="s">
        <v>1969</v>
      </c>
      <c r="H1446" s="6" t="s">
        <v>2420</v>
      </c>
      <c r="I1446" s="7">
        <f>889</f>
        <v>889</v>
      </c>
      <c r="J1446" s="5" t="s">
        <v>262</v>
      </c>
      <c r="K1446" s="8">
        <f>1</f>
        <v>1</v>
      </c>
      <c r="L1446" s="6" t="s">
        <v>242</v>
      </c>
      <c r="M1446" s="5" t="s">
        <v>267</v>
      </c>
      <c r="N1446" s="5" t="s">
        <v>265</v>
      </c>
      <c r="O1446" s="5" t="s">
        <v>238</v>
      </c>
      <c r="P1446" s="5" t="s">
        <v>238</v>
      </c>
      <c r="Q1446" s="5" t="s">
        <v>268</v>
      </c>
      <c r="R1446" s="5" t="s">
        <v>270</v>
      </c>
      <c r="S1446" s="5" t="s">
        <v>238</v>
      </c>
      <c r="V1446" s="5" t="s">
        <v>238</v>
      </c>
      <c r="X1446" s="6" t="s">
        <v>238</v>
      </c>
      <c r="AA1446" s="6" t="s">
        <v>243</v>
      </c>
      <c r="AB1446" s="5" t="s">
        <v>238</v>
      </c>
      <c r="AC1446" s="5" t="s">
        <v>244</v>
      </c>
      <c r="AD1446" s="5" t="s">
        <v>245</v>
      </c>
      <c r="AT1446" s="5" t="s">
        <v>246</v>
      </c>
      <c r="AU1446" s="5" t="s">
        <v>238</v>
      </c>
      <c r="AV1446" s="5" t="s">
        <v>247</v>
      </c>
      <c r="AW1446" s="5" t="s">
        <v>238</v>
      </c>
      <c r="AX1446" s="5" t="s">
        <v>249</v>
      </c>
      <c r="AY1446" s="5" t="s">
        <v>238</v>
      </c>
      <c r="BA1446" s="5" t="s">
        <v>238</v>
      </c>
      <c r="BC1446" s="5" t="s">
        <v>250</v>
      </c>
      <c r="BD1446" s="6" t="s">
        <v>243</v>
      </c>
      <c r="BE1446" s="5" t="s">
        <v>251</v>
      </c>
      <c r="BF1446" s="5" t="s">
        <v>252</v>
      </c>
      <c r="BG1446" s="5" t="s">
        <v>238</v>
      </c>
      <c r="BH1446" s="7">
        <f>0</f>
        <v>0</v>
      </c>
      <c r="BI1446" s="8">
        <f>0</f>
        <v>0</v>
      </c>
      <c r="BJ1446" s="5" t="s">
        <v>253</v>
      </c>
      <c r="BK1446" s="5" t="s">
        <v>254</v>
      </c>
      <c r="BY1446" s="5" t="s">
        <v>238</v>
      </c>
      <c r="BZ1446" s="5" t="s">
        <v>238</v>
      </c>
      <c r="CD1446" s="5" t="s">
        <v>273</v>
      </c>
      <c r="CE1446" s="5" t="s">
        <v>256</v>
      </c>
      <c r="CF1446" s="5" t="s">
        <v>238</v>
      </c>
      <c r="CI1446" s="6" t="s">
        <v>257</v>
      </c>
      <c r="CJ1446" s="5" t="s">
        <v>238</v>
      </c>
      <c r="CK1446" s="5" t="s">
        <v>258</v>
      </c>
      <c r="CL1446" s="5" t="s">
        <v>238</v>
      </c>
      <c r="CM1446" s="5" t="s">
        <v>238</v>
      </c>
      <c r="CN1446" s="5">
        <v>0</v>
      </c>
      <c r="CO1446" s="5" t="s">
        <v>259</v>
      </c>
      <c r="CP1446" s="5" t="s">
        <v>260</v>
      </c>
      <c r="CQ1446" s="5" t="s">
        <v>260</v>
      </c>
      <c r="CR1446" s="5" t="s">
        <v>261</v>
      </c>
      <c r="CU1446" s="8">
        <f>1</f>
        <v>1</v>
      </c>
      <c r="CV1446" s="8">
        <f>0</f>
        <v>0</v>
      </c>
      <c r="CX1446" s="8">
        <f>0</f>
        <v>0</v>
      </c>
      <c r="CY1446" s="8">
        <f>1</f>
        <v>1</v>
      </c>
      <c r="DA1446" s="5" t="s">
        <v>673</v>
      </c>
      <c r="DB1446" s="5" t="s">
        <v>238</v>
      </c>
      <c r="DD1446" s="5" t="s">
        <v>673</v>
      </c>
      <c r="DE1446" s="8">
        <f>889</f>
        <v>889</v>
      </c>
      <c r="DG1446" s="5" t="s">
        <v>238</v>
      </c>
      <c r="DH1446" s="5" t="s">
        <v>238</v>
      </c>
      <c r="DI1446" s="5" t="s">
        <v>238</v>
      </c>
      <c r="DJ1446" s="5" t="s">
        <v>238</v>
      </c>
      <c r="DN1446" s="5" t="s">
        <v>238</v>
      </c>
      <c r="DO1446" s="5" t="s">
        <v>238</v>
      </c>
      <c r="DP1446" s="5" t="s">
        <v>238</v>
      </c>
      <c r="DQ1446" s="5" t="s">
        <v>238</v>
      </c>
      <c r="DT1446" s="5" t="s">
        <v>2039</v>
      </c>
      <c r="DU1446" s="5" t="s">
        <v>2421</v>
      </c>
      <c r="HM1446" s="5" t="s">
        <v>264</v>
      </c>
    </row>
    <row r="1447" spans="1:221" x14ac:dyDescent="0.4">
      <c r="A1447" s="5">
        <v>3122</v>
      </c>
      <c r="B1447" s="5">
        <v>1</v>
      </c>
      <c r="C1447" s="5">
        <v>1</v>
      </c>
      <c r="D1447" s="5" t="s">
        <v>2037</v>
      </c>
      <c r="E1447" s="5" t="s">
        <v>271</v>
      </c>
      <c r="F1447" s="5" t="s">
        <v>248</v>
      </c>
      <c r="G1447" s="5" t="s">
        <v>1969</v>
      </c>
      <c r="H1447" s="6" t="s">
        <v>2415</v>
      </c>
      <c r="I1447" s="7">
        <f>2172</f>
        <v>2172</v>
      </c>
      <c r="J1447" s="5" t="s">
        <v>262</v>
      </c>
      <c r="K1447" s="8">
        <f>1</f>
        <v>1</v>
      </c>
      <c r="L1447" s="6" t="s">
        <v>242</v>
      </c>
      <c r="M1447" s="5" t="s">
        <v>267</v>
      </c>
      <c r="N1447" s="5" t="s">
        <v>265</v>
      </c>
      <c r="O1447" s="5" t="s">
        <v>238</v>
      </c>
      <c r="P1447" s="5" t="s">
        <v>238</v>
      </c>
      <c r="Q1447" s="5" t="s">
        <v>268</v>
      </c>
      <c r="R1447" s="5" t="s">
        <v>270</v>
      </c>
      <c r="S1447" s="5" t="s">
        <v>238</v>
      </c>
      <c r="V1447" s="5" t="s">
        <v>238</v>
      </c>
      <c r="X1447" s="6" t="s">
        <v>238</v>
      </c>
      <c r="AA1447" s="6" t="s">
        <v>243</v>
      </c>
      <c r="AB1447" s="5" t="s">
        <v>238</v>
      </c>
      <c r="AC1447" s="5" t="s">
        <v>244</v>
      </c>
      <c r="AD1447" s="5" t="s">
        <v>245</v>
      </c>
      <c r="AT1447" s="5" t="s">
        <v>246</v>
      </c>
      <c r="AU1447" s="5" t="s">
        <v>238</v>
      </c>
      <c r="AV1447" s="5" t="s">
        <v>247</v>
      </c>
      <c r="AW1447" s="5" t="s">
        <v>238</v>
      </c>
      <c r="AX1447" s="5" t="s">
        <v>249</v>
      </c>
      <c r="AY1447" s="5" t="s">
        <v>238</v>
      </c>
      <c r="BA1447" s="5" t="s">
        <v>238</v>
      </c>
      <c r="BC1447" s="5" t="s">
        <v>250</v>
      </c>
      <c r="BD1447" s="6" t="s">
        <v>243</v>
      </c>
      <c r="BE1447" s="5" t="s">
        <v>251</v>
      </c>
      <c r="BF1447" s="5" t="s">
        <v>252</v>
      </c>
      <c r="BG1447" s="5" t="s">
        <v>238</v>
      </c>
      <c r="BH1447" s="7">
        <f>0</f>
        <v>0</v>
      </c>
      <c r="BI1447" s="8">
        <f>0</f>
        <v>0</v>
      </c>
      <c r="BJ1447" s="5" t="s">
        <v>253</v>
      </c>
      <c r="BK1447" s="5" t="s">
        <v>254</v>
      </c>
      <c r="BY1447" s="5" t="s">
        <v>238</v>
      </c>
      <c r="BZ1447" s="5" t="s">
        <v>238</v>
      </c>
      <c r="CD1447" s="5" t="s">
        <v>273</v>
      </c>
      <c r="CE1447" s="5" t="s">
        <v>256</v>
      </c>
      <c r="CF1447" s="5" t="s">
        <v>238</v>
      </c>
      <c r="CI1447" s="6" t="s">
        <v>257</v>
      </c>
      <c r="CJ1447" s="5" t="s">
        <v>238</v>
      </c>
      <c r="CK1447" s="5" t="s">
        <v>258</v>
      </c>
      <c r="CL1447" s="5" t="s">
        <v>238</v>
      </c>
      <c r="CM1447" s="5" t="s">
        <v>238</v>
      </c>
      <c r="CN1447" s="5">
        <v>0</v>
      </c>
      <c r="CO1447" s="5" t="s">
        <v>259</v>
      </c>
      <c r="CP1447" s="5" t="s">
        <v>260</v>
      </c>
      <c r="CQ1447" s="5" t="s">
        <v>260</v>
      </c>
      <c r="CR1447" s="5" t="s">
        <v>261</v>
      </c>
      <c r="CU1447" s="8">
        <f>1</f>
        <v>1</v>
      </c>
      <c r="CV1447" s="8">
        <f>0</f>
        <v>0</v>
      </c>
      <c r="CX1447" s="8">
        <f>0</f>
        <v>0</v>
      </c>
      <c r="CY1447" s="8">
        <f>1</f>
        <v>1</v>
      </c>
      <c r="DA1447" s="5" t="s">
        <v>673</v>
      </c>
      <c r="DB1447" s="5" t="s">
        <v>238</v>
      </c>
      <c r="DD1447" s="5" t="s">
        <v>673</v>
      </c>
      <c r="DE1447" s="8">
        <f>2172</f>
        <v>2172</v>
      </c>
      <c r="DG1447" s="5" t="s">
        <v>238</v>
      </c>
      <c r="DH1447" s="5" t="s">
        <v>238</v>
      </c>
      <c r="DI1447" s="5" t="s">
        <v>238</v>
      </c>
      <c r="DJ1447" s="5" t="s">
        <v>238</v>
      </c>
      <c r="DN1447" s="5" t="s">
        <v>238</v>
      </c>
      <c r="DO1447" s="5" t="s">
        <v>238</v>
      </c>
      <c r="DP1447" s="5" t="s">
        <v>238</v>
      </c>
      <c r="DQ1447" s="5" t="s">
        <v>238</v>
      </c>
      <c r="DT1447" s="5" t="s">
        <v>2039</v>
      </c>
      <c r="DU1447" s="5" t="s">
        <v>1846</v>
      </c>
      <c r="HM1447" s="5" t="s">
        <v>264</v>
      </c>
    </row>
    <row r="1448" spans="1:221" x14ac:dyDescent="0.4">
      <c r="A1448" s="5">
        <v>3123</v>
      </c>
      <c r="B1448" s="5">
        <v>1</v>
      </c>
      <c r="C1448" s="5">
        <v>1</v>
      </c>
      <c r="D1448" s="5" t="s">
        <v>2037</v>
      </c>
      <c r="E1448" s="5" t="s">
        <v>271</v>
      </c>
      <c r="F1448" s="5" t="s">
        <v>248</v>
      </c>
      <c r="G1448" s="5" t="s">
        <v>1969</v>
      </c>
      <c r="H1448" s="6" t="s">
        <v>2414</v>
      </c>
      <c r="I1448" s="7">
        <f>357</f>
        <v>357</v>
      </c>
      <c r="J1448" s="5" t="s">
        <v>262</v>
      </c>
      <c r="K1448" s="8">
        <f>1</f>
        <v>1</v>
      </c>
      <c r="L1448" s="6" t="s">
        <v>242</v>
      </c>
      <c r="M1448" s="5" t="s">
        <v>267</v>
      </c>
      <c r="N1448" s="5" t="s">
        <v>265</v>
      </c>
      <c r="O1448" s="5" t="s">
        <v>238</v>
      </c>
      <c r="P1448" s="5" t="s">
        <v>238</v>
      </c>
      <c r="Q1448" s="5" t="s">
        <v>268</v>
      </c>
      <c r="R1448" s="5" t="s">
        <v>270</v>
      </c>
      <c r="S1448" s="5" t="s">
        <v>238</v>
      </c>
      <c r="V1448" s="5" t="s">
        <v>238</v>
      </c>
      <c r="X1448" s="6" t="s">
        <v>238</v>
      </c>
      <c r="AA1448" s="6" t="s">
        <v>243</v>
      </c>
      <c r="AB1448" s="5" t="s">
        <v>238</v>
      </c>
      <c r="AC1448" s="5" t="s">
        <v>244</v>
      </c>
      <c r="AD1448" s="5" t="s">
        <v>245</v>
      </c>
      <c r="AT1448" s="5" t="s">
        <v>246</v>
      </c>
      <c r="AU1448" s="5" t="s">
        <v>238</v>
      </c>
      <c r="AV1448" s="5" t="s">
        <v>247</v>
      </c>
      <c r="AW1448" s="5" t="s">
        <v>238</v>
      </c>
      <c r="AX1448" s="5" t="s">
        <v>249</v>
      </c>
      <c r="AY1448" s="5" t="s">
        <v>238</v>
      </c>
      <c r="BA1448" s="5" t="s">
        <v>238</v>
      </c>
      <c r="BC1448" s="5" t="s">
        <v>250</v>
      </c>
      <c r="BD1448" s="6" t="s">
        <v>243</v>
      </c>
      <c r="BE1448" s="5" t="s">
        <v>251</v>
      </c>
      <c r="BF1448" s="5" t="s">
        <v>252</v>
      </c>
      <c r="BG1448" s="5" t="s">
        <v>238</v>
      </c>
      <c r="BH1448" s="7">
        <f>0</f>
        <v>0</v>
      </c>
      <c r="BI1448" s="8">
        <f>0</f>
        <v>0</v>
      </c>
      <c r="BJ1448" s="5" t="s">
        <v>253</v>
      </c>
      <c r="BK1448" s="5" t="s">
        <v>254</v>
      </c>
      <c r="BY1448" s="5" t="s">
        <v>238</v>
      </c>
      <c r="BZ1448" s="5" t="s">
        <v>238</v>
      </c>
      <c r="CD1448" s="5" t="s">
        <v>273</v>
      </c>
      <c r="CE1448" s="5" t="s">
        <v>256</v>
      </c>
      <c r="CF1448" s="5" t="s">
        <v>238</v>
      </c>
      <c r="CI1448" s="6" t="s">
        <v>257</v>
      </c>
      <c r="CJ1448" s="5" t="s">
        <v>238</v>
      </c>
      <c r="CK1448" s="5" t="s">
        <v>258</v>
      </c>
      <c r="CL1448" s="5" t="s">
        <v>238</v>
      </c>
      <c r="CM1448" s="5" t="s">
        <v>238</v>
      </c>
      <c r="CN1448" s="5">
        <v>0</v>
      </c>
      <c r="CO1448" s="5" t="s">
        <v>259</v>
      </c>
      <c r="CP1448" s="5" t="s">
        <v>260</v>
      </c>
      <c r="CQ1448" s="5" t="s">
        <v>260</v>
      </c>
      <c r="CR1448" s="5" t="s">
        <v>261</v>
      </c>
      <c r="CU1448" s="8">
        <f>1</f>
        <v>1</v>
      </c>
      <c r="CV1448" s="8">
        <f>0</f>
        <v>0</v>
      </c>
      <c r="CX1448" s="8">
        <f>0</f>
        <v>0</v>
      </c>
      <c r="CY1448" s="8">
        <f>1</f>
        <v>1</v>
      </c>
      <c r="DA1448" s="5" t="s">
        <v>673</v>
      </c>
      <c r="DB1448" s="5" t="s">
        <v>238</v>
      </c>
      <c r="DD1448" s="5" t="s">
        <v>673</v>
      </c>
      <c r="DE1448" s="8">
        <f>357</f>
        <v>357</v>
      </c>
      <c r="DG1448" s="5" t="s">
        <v>238</v>
      </c>
      <c r="DH1448" s="5" t="s">
        <v>238</v>
      </c>
      <c r="DI1448" s="5" t="s">
        <v>238</v>
      </c>
      <c r="DJ1448" s="5" t="s">
        <v>238</v>
      </c>
      <c r="DN1448" s="5" t="s">
        <v>238</v>
      </c>
      <c r="DO1448" s="5" t="s">
        <v>238</v>
      </c>
      <c r="DP1448" s="5" t="s">
        <v>238</v>
      </c>
      <c r="DQ1448" s="5" t="s">
        <v>238</v>
      </c>
      <c r="DT1448" s="5" t="s">
        <v>2039</v>
      </c>
      <c r="DU1448" s="5" t="s">
        <v>1840</v>
      </c>
      <c r="HM1448" s="5" t="s">
        <v>264</v>
      </c>
    </row>
    <row r="1449" spans="1:221" x14ac:dyDescent="0.4">
      <c r="A1449" s="5">
        <v>3124</v>
      </c>
      <c r="B1449" s="5">
        <v>1</v>
      </c>
      <c r="C1449" s="5">
        <v>1</v>
      </c>
      <c r="D1449" s="5" t="s">
        <v>2037</v>
      </c>
      <c r="E1449" s="5" t="s">
        <v>271</v>
      </c>
      <c r="F1449" s="5" t="s">
        <v>248</v>
      </c>
      <c r="G1449" s="5" t="s">
        <v>1969</v>
      </c>
      <c r="H1449" s="6" t="s">
        <v>2413</v>
      </c>
      <c r="I1449" s="7">
        <f>1250</f>
        <v>1250</v>
      </c>
      <c r="J1449" s="5" t="s">
        <v>262</v>
      </c>
      <c r="K1449" s="8">
        <f>1</f>
        <v>1</v>
      </c>
      <c r="L1449" s="6" t="s">
        <v>242</v>
      </c>
      <c r="M1449" s="5" t="s">
        <v>267</v>
      </c>
      <c r="N1449" s="5" t="s">
        <v>265</v>
      </c>
      <c r="O1449" s="5" t="s">
        <v>238</v>
      </c>
      <c r="P1449" s="5" t="s">
        <v>238</v>
      </c>
      <c r="Q1449" s="5" t="s">
        <v>268</v>
      </c>
      <c r="R1449" s="5" t="s">
        <v>270</v>
      </c>
      <c r="S1449" s="5" t="s">
        <v>238</v>
      </c>
      <c r="V1449" s="5" t="s">
        <v>238</v>
      </c>
      <c r="X1449" s="6" t="s">
        <v>238</v>
      </c>
      <c r="AA1449" s="6" t="s">
        <v>243</v>
      </c>
      <c r="AB1449" s="5" t="s">
        <v>238</v>
      </c>
      <c r="AC1449" s="5" t="s">
        <v>244</v>
      </c>
      <c r="AD1449" s="5" t="s">
        <v>245</v>
      </c>
      <c r="AT1449" s="5" t="s">
        <v>246</v>
      </c>
      <c r="AU1449" s="5" t="s">
        <v>238</v>
      </c>
      <c r="AV1449" s="5" t="s">
        <v>247</v>
      </c>
      <c r="AW1449" s="5" t="s">
        <v>238</v>
      </c>
      <c r="AX1449" s="5" t="s">
        <v>249</v>
      </c>
      <c r="AY1449" s="5" t="s">
        <v>238</v>
      </c>
      <c r="BA1449" s="5" t="s">
        <v>238</v>
      </c>
      <c r="BC1449" s="5" t="s">
        <v>250</v>
      </c>
      <c r="BD1449" s="6" t="s">
        <v>243</v>
      </c>
      <c r="BE1449" s="5" t="s">
        <v>251</v>
      </c>
      <c r="BF1449" s="5" t="s">
        <v>252</v>
      </c>
      <c r="BG1449" s="5" t="s">
        <v>238</v>
      </c>
      <c r="BH1449" s="7">
        <f>0</f>
        <v>0</v>
      </c>
      <c r="BI1449" s="8">
        <f>0</f>
        <v>0</v>
      </c>
      <c r="BJ1449" s="5" t="s">
        <v>253</v>
      </c>
      <c r="BK1449" s="5" t="s">
        <v>254</v>
      </c>
      <c r="BY1449" s="5" t="s">
        <v>238</v>
      </c>
      <c r="BZ1449" s="5" t="s">
        <v>238</v>
      </c>
      <c r="CD1449" s="5" t="s">
        <v>273</v>
      </c>
      <c r="CE1449" s="5" t="s">
        <v>256</v>
      </c>
      <c r="CF1449" s="5" t="s">
        <v>238</v>
      </c>
      <c r="CI1449" s="6" t="s">
        <v>257</v>
      </c>
      <c r="CJ1449" s="5" t="s">
        <v>238</v>
      </c>
      <c r="CK1449" s="5" t="s">
        <v>258</v>
      </c>
      <c r="CL1449" s="5" t="s">
        <v>238</v>
      </c>
      <c r="CM1449" s="5" t="s">
        <v>238</v>
      </c>
      <c r="CN1449" s="5">
        <v>0</v>
      </c>
      <c r="CO1449" s="5" t="s">
        <v>259</v>
      </c>
      <c r="CP1449" s="5" t="s">
        <v>260</v>
      </c>
      <c r="CQ1449" s="5" t="s">
        <v>260</v>
      </c>
      <c r="CR1449" s="5" t="s">
        <v>261</v>
      </c>
      <c r="CU1449" s="8">
        <f>1</f>
        <v>1</v>
      </c>
      <c r="CV1449" s="8">
        <f>0</f>
        <v>0</v>
      </c>
      <c r="CX1449" s="8">
        <f>0</f>
        <v>0</v>
      </c>
      <c r="CY1449" s="8">
        <f>1</f>
        <v>1</v>
      </c>
      <c r="DA1449" s="5" t="s">
        <v>673</v>
      </c>
      <c r="DB1449" s="5" t="s">
        <v>238</v>
      </c>
      <c r="DD1449" s="5" t="s">
        <v>673</v>
      </c>
      <c r="DE1449" s="8">
        <f>1250</f>
        <v>1250</v>
      </c>
      <c r="DG1449" s="5" t="s">
        <v>238</v>
      </c>
      <c r="DH1449" s="5" t="s">
        <v>238</v>
      </c>
      <c r="DI1449" s="5" t="s">
        <v>238</v>
      </c>
      <c r="DJ1449" s="5" t="s">
        <v>238</v>
      </c>
      <c r="DN1449" s="5" t="s">
        <v>238</v>
      </c>
      <c r="DO1449" s="5" t="s">
        <v>238</v>
      </c>
      <c r="DP1449" s="5" t="s">
        <v>238</v>
      </c>
      <c r="DQ1449" s="5" t="s">
        <v>238</v>
      </c>
      <c r="DT1449" s="5" t="s">
        <v>2039</v>
      </c>
      <c r="DU1449" s="5" t="s">
        <v>1832</v>
      </c>
      <c r="HM1449" s="5" t="s">
        <v>264</v>
      </c>
    </row>
    <row r="1450" spans="1:221" x14ac:dyDescent="0.4">
      <c r="A1450" s="5">
        <v>3125</v>
      </c>
      <c r="B1450" s="5">
        <v>1</v>
      </c>
      <c r="C1450" s="5">
        <v>1</v>
      </c>
      <c r="D1450" s="5" t="s">
        <v>2037</v>
      </c>
      <c r="E1450" s="5" t="s">
        <v>271</v>
      </c>
      <c r="F1450" s="5" t="s">
        <v>248</v>
      </c>
      <c r="G1450" s="5" t="s">
        <v>1969</v>
      </c>
      <c r="H1450" s="6" t="s">
        <v>2412</v>
      </c>
      <c r="I1450" s="7">
        <f>4257</f>
        <v>4257</v>
      </c>
      <c r="J1450" s="5" t="s">
        <v>262</v>
      </c>
      <c r="K1450" s="8">
        <f>1</f>
        <v>1</v>
      </c>
      <c r="L1450" s="6" t="s">
        <v>242</v>
      </c>
      <c r="M1450" s="5" t="s">
        <v>267</v>
      </c>
      <c r="N1450" s="5" t="s">
        <v>265</v>
      </c>
      <c r="O1450" s="5" t="s">
        <v>238</v>
      </c>
      <c r="P1450" s="5" t="s">
        <v>238</v>
      </c>
      <c r="Q1450" s="5" t="s">
        <v>268</v>
      </c>
      <c r="R1450" s="5" t="s">
        <v>270</v>
      </c>
      <c r="S1450" s="5" t="s">
        <v>238</v>
      </c>
      <c r="V1450" s="5" t="s">
        <v>238</v>
      </c>
      <c r="X1450" s="6" t="s">
        <v>238</v>
      </c>
      <c r="AA1450" s="6" t="s">
        <v>243</v>
      </c>
      <c r="AB1450" s="5" t="s">
        <v>238</v>
      </c>
      <c r="AC1450" s="5" t="s">
        <v>244</v>
      </c>
      <c r="AD1450" s="5" t="s">
        <v>245</v>
      </c>
      <c r="AT1450" s="5" t="s">
        <v>246</v>
      </c>
      <c r="AU1450" s="5" t="s">
        <v>238</v>
      </c>
      <c r="AV1450" s="5" t="s">
        <v>247</v>
      </c>
      <c r="AW1450" s="5" t="s">
        <v>238</v>
      </c>
      <c r="AX1450" s="5" t="s">
        <v>249</v>
      </c>
      <c r="AY1450" s="5" t="s">
        <v>238</v>
      </c>
      <c r="BA1450" s="5" t="s">
        <v>238</v>
      </c>
      <c r="BC1450" s="5" t="s">
        <v>250</v>
      </c>
      <c r="BD1450" s="6" t="s">
        <v>243</v>
      </c>
      <c r="BE1450" s="5" t="s">
        <v>251</v>
      </c>
      <c r="BF1450" s="5" t="s">
        <v>252</v>
      </c>
      <c r="BG1450" s="5" t="s">
        <v>238</v>
      </c>
      <c r="BH1450" s="7">
        <f>0</f>
        <v>0</v>
      </c>
      <c r="BI1450" s="8">
        <f>0</f>
        <v>0</v>
      </c>
      <c r="BJ1450" s="5" t="s">
        <v>253</v>
      </c>
      <c r="BK1450" s="5" t="s">
        <v>254</v>
      </c>
      <c r="BY1450" s="5" t="s">
        <v>238</v>
      </c>
      <c r="BZ1450" s="5" t="s">
        <v>238</v>
      </c>
      <c r="CD1450" s="5" t="s">
        <v>273</v>
      </c>
      <c r="CE1450" s="5" t="s">
        <v>256</v>
      </c>
      <c r="CF1450" s="5" t="s">
        <v>238</v>
      </c>
      <c r="CI1450" s="6" t="s">
        <v>257</v>
      </c>
      <c r="CJ1450" s="5" t="s">
        <v>238</v>
      </c>
      <c r="CK1450" s="5" t="s">
        <v>258</v>
      </c>
      <c r="CL1450" s="5" t="s">
        <v>238</v>
      </c>
      <c r="CM1450" s="5" t="s">
        <v>238</v>
      </c>
      <c r="CN1450" s="5">
        <v>0</v>
      </c>
      <c r="CO1450" s="5" t="s">
        <v>259</v>
      </c>
      <c r="CP1450" s="5" t="s">
        <v>260</v>
      </c>
      <c r="CQ1450" s="5" t="s">
        <v>260</v>
      </c>
      <c r="CR1450" s="5" t="s">
        <v>261</v>
      </c>
      <c r="CU1450" s="8">
        <f>1</f>
        <v>1</v>
      </c>
      <c r="CV1450" s="8">
        <f>0</f>
        <v>0</v>
      </c>
      <c r="CX1450" s="8">
        <f>0</f>
        <v>0</v>
      </c>
      <c r="CY1450" s="8">
        <f>1</f>
        <v>1</v>
      </c>
      <c r="DA1450" s="5" t="s">
        <v>673</v>
      </c>
      <c r="DB1450" s="5" t="s">
        <v>238</v>
      </c>
      <c r="DD1450" s="5" t="s">
        <v>673</v>
      </c>
      <c r="DE1450" s="8">
        <f>4257</f>
        <v>4257</v>
      </c>
      <c r="DG1450" s="5" t="s">
        <v>238</v>
      </c>
      <c r="DH1450" s="5" t="s">
        <v>238</v>
      </c>
      <c r="DI1450" s="5" t="s">
        <v>238</v>
      </c>
      <c r="DJ1450" s="5" t="s">
        <v>238</v>
      </c>
      <c r="DN1450" s="5" t="s">
        <v>238</v>
      </c>
      <c r="DO1450" s="5" t="s">
        <v>238</v>
      </c>
      <c r="DP1450" s="5" t="s">
        <v>238</v>
      </c>
      <c r="DQ1450" s="5" t="s">
        <v>238</v>
      </c>
      <c r="DT1450" s="5" t="s">
        <v>2039</v>
      </c>
      <c r="DU1450" s="5" t="s">
        <v>1568</v>
      </c>
      <c r="HM1450" s="5" t="s">
        <v>264</v>
      </c>
    </row>
    <row r="1451" spans="1:221" x14ac:dyDescent="0.4">
      <c r="A1451" s="5">
        <v>3126</v>
      </c>
      <c r="B1451" s="5">
        <v>1</v>
      </c>
      <c r="C1451" s="5">
        <v>1</v>
      </c>
      <c r="D1451" s="5" t="s">
        <v>2037</v>
      </c>
      <c r="E1451" s="5" t="s">
        <v>271</v>
      </c>
      <c r="F1451" s="5" t="s">
        <v>248</v>
      </c>
      <c r="G1451" s="5" t="s">
        <v>1969</v>
      </c>
      <c r="H1451" s="6" t="s">
        <v>2410</v>
      </c>
      <c r="I1451" s="7">
        <f>3590</f>
        <v>3590</v>
      </c>
      <c r="J1451" s="5" t="s">
        <v>262</v>
      </c>
      <c r="K1451" s="8">
        <f>1</f>
        <v>1</v>
      </c>
      <c r="L1451" s="6" t="s">
        <v>242</v>
      </c>
      <c r="M1451" s="5" t="s">
        <v>267</v>
      </c>
      <c r="N1451" s="5" t="s">
        <v>265</v>
      </c>
      <c r="O1451" s="5" t="s">
        <v>238</v>
      </c>
      <c r="P1451" s="5" t="s">
        <v>238</v>
      </c>
      <c r="Q1451" s="5" t="s">
        <v>268</v>
      </c>
      <c r="R1451" s="5" t="s">
        <v>270</v>
      </c>
      <c r="S1451" s="5" t="s">
        <v>238</v>
      </c>
      <c r="V1451" s="5" t="s">
        <v>238</v>
      </c>
      <c r="X1451" s="6" t="s">
        <v>238</v>
      </c>
      <c r="AA1451" s="6" t="s">
        <v>243</v>
      </c>
      <c r="AB1451" s="5" t="s">
        <v>238</v>
      </c>
      <c r="AC1451" s="5" t="s">
        <v>244</v>
      </c>
      <c r="AD1451" s="5" t="s">
        <v>245</v>
      </c>
      <c r="AT1451" s="5" t="s">
        <v>246</v>
      </c>
      <c r="AU1451" s="5" t="s">
        <v>238</v>
      </c>
      <c r="AV1451" s="5" t="s">
        <v>247</v>
      </c>
      <c r="AW1451" s="5" t="s">
        <v>238</v>
      </c>
      <c r="AX1451" s="5" t="s">
        <v>249</v>
      </c>
      <c r="AY1451" s="5" t="s">
        <v>238</v>
      </c>
      <c r="BA1451" s="5" t="s">
        <v>238</v>
      </c>
      <c r="BC1451" s="5" t="s">
        <v>250</v>
      </c>
      <c r="BD1451" s="6" t="s">
        <v>243</v>
      </c>
      <c r="BE1451" s="5" t="s">
        <v>251</v>
      </c>
      <c r="BF1451" s="5" t="s">
        <v>252</v>
      </c>
      <c r="BG1451" s="5" t="s">
        <v>238</v>
      </c>
      <c r="BH1451" s="7">
        <f>0</f>
        <v>0</v>
      </c>
      <c r="BI1451" s="8">
        <f>0</f>
        <v>0</v>
      </c>
      <c r="BJ1451" s="5" t="s">
        <v>253</v>
      </c>
      <c r="BK1451" s="5" t="s">
        <v>254</v>
      </c>
      <c r="BY1451" s="5" t="s">
        <v>238</v>
      </c>
      <c r="BZ1451" s="5" t="s">
        <v>238</v>
      </c>
      <c r="CD1451" s="5" t="s">
        <v>273</v>
      </c>
      <c r="CE1451" s="5" t="s">
        <v>256</v>
      </c>
      <c r="CF1451" s="5" t="s">
        <v>238</v>
      </c>
      <c r="CI1451" s="6" t="s">
        <v>257</v>
      </c>
      <c r="CJ1451" s="5" t="s">
        <v>238</v>
      </c>
      <c r="CK1451" s="5" t="s">
        <v>258</v>
      </c>
      <c r="CL1451" s="5" t="s">
        <v>238</v>
      </c>
      <c r="CM1451" s="5" t="s">
        <v>238</v>
      </c>
      <c r="CN1451" s="5">
        <v>0</v>
      </c>
      <c r="CO1451" s="5" t="s">
        <v>259</v>
      </c>
      <c r="CP1451" s="5" t="s">
        <v>260</v>
      </c>
      <c r="CQ1451" s="5" t="s">
        <v>260</v>
      </c>
      <c r="CR1451" s="5" t="s">
        <v>261</v>
      </c>
      <c r="CU1451" s="8">
        <f>1</f>
        <v>1</v>
      </c>
      <c r="CV1451" s="8">
        <f>0</f>
        <v>0</v>
      </c>
      <c r="CX1451" s="8">
        <f>0</f>
        <v>0</v>
      </c>
      <c r="CY1451" s="8">
        <f>1</f>
        <v>1</v>
      </c>
      <c r="DA1451" s="5" t="s">
        <v>673</v>
      </c>
      <c r="DB1451" s="5" t="s">
        <v>238</v>
      </c>
      <c r="DD1451" s="5" t="s">
        <v>673</v>
      </c>
      <c r="DE1451" s="8">
        <f>3590</f>
        <v>3590</v>
      </c>
      <c r="DG1451" s="5" t="s">
        <v>238</v>
      </c>
      <c r="DH1451" s="5" t="s">
        <v>238</v>
      </c>
      <c r="DI1451" s="5" t="s">
        <v>238</v>
      </c>
      <c r="DJ1451" s="5" t="s">
        <v>238</v>
      </c>
      <c r="DN1451" s="5" t="s">
        <v>238</v>
      </c>
      <c r="DO1451" s="5" t="s">
        <v>238</v>
      </c>
      <c r="DP1451" s="5" t="s">
        <v>238</v>
      </c>
      <c r="DQ1451" s="5" t="s">
        <v>238</v>
      </c>
      <c r="DT1451" s="5" t="s">
        <v>2039</v>
      </c>
      <c r="DU1451" s="5" t="s">
        <v>2411</v>
      </c>
      <c r="HM1451" s="5" t="s">
        <v>264</v>
      </c>
    </row>
    <row r="1452" spans="1:221" x14ac:dyDescent="0.4">
      <c r="A1452" s="5">
        <v>3127</v>
      </c>
      <c r="B1452" s="5">
        <v>1</v>
      </c>
      <c r="C1452" s="5">
        <v>1</v>
      </c>
      <c r="D1452" s="5" t="s">
        <v>2037</v>
      </c>
      <c r="E1452" s="5" t="s">
        <v>271</v>
      </c>
      <c r="F1452" s="5" t="s">
        <v>248</v>
      </c>
      <c r="G1452" s="5" t="s">
        <v>1969</v>
      </c>
      <c r="H1452" s="6" t="s">
        <v>2409</v>
      </c>
      <c r="I1452" s="7">
        <f>325</f>
        <v>325</v>
      </c>
      <c r="J1452" s="5" t="s">
        <v>262</v>
      </c>
      <c r="K1452" s="8">
        <f>1</f>
        <v>1</v>
      </c>
      <c r="L1452" s="6" t="s">
        <v>242</v>
      </c>
      <c r="M1452" s="5" t="s">
        <v>267</v>
      </c>
      <c r="N1452" s="5" t="s">
        <v>265</v>
      </c>
      <c r="O1452" s="5" t="s">
        <v>238</v>
      </c>
      <c r="P1452" s="5" t="s">
        <v>238</v>
      </c>
      <c r="Q1452" s="5" t="s">
        <v>268</v>
      </c>
      <c r="R1452" s="5" t="s">
        <v>270</v>
      </c>
      <c r="S1452" s="5" t="s">
        <v>238</v>
      </c>
      <c r="V1452" s="5" t="s">
        <v>238</v>
      </c>
      <c r="X1452" s="6" t="s">
        <v>238</v>
      </c>
      <c r="AA1452" s="6" t="s">
        <v>243</v>
      </c>
      <c r="AB1452" s="5" t="s">
        <v>238</v>
      </c>
      <c r="AC1452" s="5" t="s">
        <v>244</v>
      </c>
      <c r="AD1452" s="5" t="s">
        <v>245</v>
      </c>
      <c r="AT1452" s="5" t="s">
        <v>246</v>
      </c>
      <c r="AU1452" s="5" t="s">
        <v>238</v>
      </c>
      <c r="AV1452" s="5" t="s">
        <v>247</v>
      </c>
      <c r="AW1452" s="5" t="s">
        <v>238</v>
      </c>
      <c r="AX1452" s="5" t="s">
        <v>249</v>
      </c>
      <c r="AY1452" s="5" t="s">
        <v>238</v>
      </c>
      <c r="BA1452" s="5" t="s">
        <v>238</v>
      </c>
      <c r="BC1452" s="5" t="s">
        <v>250</v>
      </c>
      <c r="BD1452" s="6" t="s">
        <v>243</v>
      </c>
      <c r="BE1452" s="5" t="s">
        <v>251</v>
      </c>
      <c r="BF1452" s="5" t="s">
        <v>252</v>
      </c>
      <c r="BG1452" s="5" t="s">
        <v>238</v>
      </c>
      <c r="BH1452" s="7">
        <f>0</f>
        <v>0</v>
      </c>
      <c r="BI1452" s="8">
        <f>0</f>
        <v>0</v>
      </c>
      <c r="BJ1452" s="5" t="s">
        <v>253</v>
      </c>
      <c r="BK1452" s="5" t="s">
        <v>254</v>
      </c>
      <c r="BY1452" s="5" t="s">
        <v>238</v>
      </c>
      <c r="BZ1452" s="5" t="s">
        <v>238</v>
      </c>
      <c r="CD1452" s="5" t="s">
        <v>273</v>
      </c>
      <c r="CE1452" s="5" t="s">
        <v>256</v>
      </c>
      <c r="CF1452" s="5" t="s">
        <v>238</v>
      </c>
      <c r="CI1452" s="6" t="s">
        <v>257</v>
      </c>
      <c r="CJ1452" s="5" t="s">
        <v>238</v>
      </c>
      <c r="CK1452" s="5" t="s">
        <v>258</v>
      </c>
      <c r="CL1452" s="5" t="s">
        <v>238</v>
      </c>
      <c r="CM1452" s="5" t="s">
        <v>238</v>
      </c>
      <c r="CN1452" s="5">
        <v>0</v>
      </c>
      <c r="CO1452" s="5" t="s">
        <v>259</v>
      </c>
      <c r="CP1452" s="5" t="s">
        <v>260</v>
      </c>
      <c r="CQ1452" s="5" t="s">
        <v>260</v>
      </c>
      <c r="CR1452" s="5" t="s">
        <v>261</v>
      </c>
      <c r="CU1452" s="8">
        <f>1</f>
        <v>1</v>
      </c>
      <c r="CV1452" s="8">
        <f>0</f>
        <v>0</v>
      </c>
      <c r="CX1452" s="8">
        <f>0</f>
        <v>0</v>
      </c>
      <c r="CY1452" s="8">
        <f>1</f>
        <v>1</v>
      </c>
      <c r="DA1452" s="5" t="s">
        <v>673</v>
      </c>
      <c r="DB1452" s="5" t="s">
        <v>238</v>
      </c>
      <c r="DD1452" s="5" t="s">
        <v>673</v>
      </c>
      <c r="DE1452" s="8">
        <f>325</f>
        <v>325</v>
      </c>
      <c r="DG1452" s="5" t="s">
        <v>238</v>
      </c>
      <c r="DH1452" s="5" t="s">
        <v>238</v>
      </c>
      <c r="DI1452" s="5" t="s">
        <v>238</v>
      </c>
      <c r="DJ1452" s="5" t="s">
        <v>238</v>
      </c>
      <c r="DN1452" s="5" t="s">
        <v>238</v>
      </c>
      <c r="DO1452" s="5" t="s">
        <v>238</v>
      </c>
      <c r="DP1452" s="5" t="s">
        <v>238</v>
      </c>
      <c r="DQ1452" s="5" t="s">
        <v>238</v>
      </c>
      <c r="DT1452" s="5" t="s">
        <v>2039</v>
      </c>
      <c r="DU1452" s="5" t="s">
        <v>1580</v>
      </c>
      <c r="HM1452" s="5" t="s">
        <v>264</v>
      </c>
    </row>
    <row r="1453" spans="1:221" x14ac:dyDescent="0.4">
      <c r="A1453" s="5">
        <v>3128</v>
      </c>
      <c r="B1453" s="5">
        <v>1</v>
      </c>
      <c r="C1453" s="5">
        <v>1</v>
      </c>
      <c r="D1453" s="5" t="s">
        <v>2037</v>
      </c>
      <c r="E1453" s="5" t="s">
        <v>271</v>
      </c>
      <c r="F1453" s="5" t="s">
        <v>248</v>
      </c>
      <c r="G1453" s="5" t="s">
        <v>1969</v>
      </c>
      <c r="H1453" s="6" t="s">
        <v>2407</v>
      </c>
      <c r="I1453" s="7">
        <f>458</f>
        <v>458</v>
      </c>
      <c r="J1453" s="5" t="s">
        <v>262</v>
      </c>
      <c r="K1453" s="8">
        <f>1</f>
        <v>1</v>
      </c>
      <c r="L1453" s="6" t="s">
        <v>242</v>
      </c>
      <c r="M1453" s="5" t="s">
        <v>267</v>
      </c>
      <c r="N1453" s="5" t="s">
        <v>265</v>
      </c>
      <c r="O1453" s="5" t="s">
        <v>238</v>
      </c>
      <c r="P1453" s="5" t="s">
        <v>238</v>
      </c>
      <c r="Q1453" s="5" t="s">
        <v>268</v>
      </c>
      <c r="R1453" s="5" t="s">
        <v>270</v>
      </c>
      <c r="S1453" s="5" t="s">
        <v>238</v>
      </c>
      <c r="V1453" s="5" t="s">
        <v>238</v>
      </c>
      <c r="X1453" s="6" t="s">
        <v>238</v>
      </c>
      <c r="AA1453" s="6" t="s">
        <v>243</v>
      </c>
      <c r="AB1453" s="5" t="s">
        <v>238</v>
      </c>
      <c r="AC1453" s="5" t="s">
        <v>244</v>
      </c>
      <c r="AD1453" s="5" t="s">
        <v>245</v>
      </c>
      <c r="AT1453" s="5" t="s">
        <v>246</v>
      </c>
      <c r="AU1453" s="5" t="s">
        <v>238</v>
      </c>
      <c r="AV1453" s="5" t="s">
        <v>247</v>
      </c>
      <c r="AW1453" s="5" t="s">
        <v>238</v>
      </c>
      <c r="AX1453" s="5" t="s">
        <v>249</v>
      </c>
      <c r="AY1453" s="5" t="s">
        <v>238</v>
      </c>
      <c r="BA1453" s="5" t="s">
        <v>238</v>
      </c>
      <c r="BC1453" s="5" t="s">
        <v>250</v>
      </c>
      <c r="BD1453" s="6" t="s">
        <v>243</v>
      </c>
      <c r="BE1453" s="5" t="s">
        <v>251</v>
      </c>
      <c r="BF1453" s="5" t="s">
        <v>252</v>
      </c>
      <c r="BG1453" s="5" t="s">
        <v>238</v>
      </c>
      <c r="BH1453" s="7">
        <f>0</f>
        <v>0</v>
      </c>
      <c r="BI1453" s="8">
        <f>0</f>
        <v>0</v>
      </c>
      <c r="BJ1453" s="5" t="s">
        <v>253</v>
      </c>
      <c r="BK1453" s="5" t="s">
        <v>254</v>
      </c>
      <c r="BY1453" s="5" t="s">
        <v>238</v>
      </c>
      <c r="BZ1453" s="5" t="s">
        <v>238</v>
      </c>
      <c r="CD1453" s="5" t="s">
        <v>273</v>
      </c>
      <c r="CE1453" s="5" t="s">
        <v>256</v>
      </c>
      <c r="CF1453" s="5" t="s">
        <v>238</v>
      </c>
      <c r="CI1453" s="6" t="s">
        <v>257</v>
      </c>
      <c r="CJ1453" s="5" t="s">
        <v>238</v>
      </c>
      <c r="CK1453" s="5" t="s">
        <v>258</v>
      </c>
      <c r="CL1453" s="5" t="s">
        <v>238</v>
      </c>
      <c r="CM1453" s="5" t="s">
        <v>238</v>
      </c>
      <c r="CN1453" s="5">
        <v>0</v>
      </c>
      <c r="CO1453" s="5" t="s">
        <v>259</v>
      </c>
      <c r="CP1453" s="5" t="s">
        <v>260</v>
      </c>
      <c r="CQ1453" s="5" t="s">
        <v>260</v>
      </c>
      <c r="CR1453" s="5" t="s">
        <v>261</v>
      </c>
      <c r="CU1453" s="8">
        <f>1</f>
        <v>1</v>
      </c>
      <c r="CV1453" s="8">
        <f>0</f>
        <v>0</v>
      </c>
      <c r="CX1453" s="8">
        <f>0</f>
        <v>0</v>
      </c>
      <c r="CY1453" s="8">
        <f>1</f>
        <v>1</v>
      </c>
      <c r="DA1453" s="5" t="s">
        <v>673</v>
      </c>
      <c r="DB1453" s="5" t="s">
        <v>238</v>
      </c>
      <c r="DD1453" s="5" t="s">
        <v>673</v>
      </c>
      <c r="DE1453" s="8">
        <f>458</f>
        <v>458</v>
      </c>
      <c r="DG1453" s="5" t="s">
        <v>238</v>
      </c>
      <c r="DH1453" s="5" t="s">
        <v>238</v>
      </c>
      <c r="DI1453" s="5" t="s">
        <v>238</v>
      </c>
      <c r="DJ1453" s="5" t="s">
        <v>238</v>
      </c>
      <c r="DN1453" s="5" t="s">
        <v>238</v>
      </c>
      <c r="DO1453" s="5" t="s">
        <v>238</v>
      </c>
      <c r="DP1453" s="5" t="s">
        <v>238</v>
      </c>
      <c r="DQ1453" s="5" t="s">
        <v>238</v>
      </c>
      <c r="DT1453" s="5" t="s">
        <v>2039</v>
      </c>
      <c r="DU1453" s="5" t="s">
        <v>1539</v>
      </c>
      <c r="HM1453" s="5" t="s">
        <v>264</v>
      </c>
    </row>
    <row r="1454" spans="1:221" x14ac:dyDescent="0.4">
      <c r="A1454" s="5">
        <v>3129</v>
      </c>
      <c r="B1454" s="5">
        <v>1</v>
      </c>
      <c r="C1454" s="5">
        <v>1</v>
      </c>
      <c r="D1454" s="5" t="s">
        <v>2037</v>
      </c>
      <c r="E1454" s="5" t="s">
        <v>271</v>
      </c>
      <c r="F1454" s="5" t="s">
        <v>248</v>
      </c>
      <c r="G1454" s="5" t="s">
        <v>1969</v>
      </c>
      <c r="H1454" s="6" t="s">
        <v>2406</v>
      </c>
      <c r="I1454" s="7">
        <f>2497</f>
        <v>2497</v>
      </c>
      <c r="J1454" s="5" t="s">
        <v>262</v>
      </c>
      <c r="K1454" s="8">
        <f>1</f>
        <v>1</v>
      </c>
      <c r="L1454" s="6" t="s">
        <v>242</v>
      </c>
      <c r="M1454" s="5" t="s">
        <v>267</v>
      </c>
      <c r="N1454" s="5" t="s">
        <v>265</v>
      </c>
      <c r="O1454" s="5" t="s">
        <v>238</v>
      </c>
      <c r="P1454" s="5" t="s">
        <v>238</v>
      </c>
      <c r="Q1454" s="5" t="s">
        <v>268</v>
      </c>
      <c r="R1454" s="5" t="s">
        <v>270</v>
      </c>
      <c r="S1454" s="5" t="s">
        <v>238</v>
      </c>
      <c r="V1454" s="5" t="s">
        <v>238</v>
      </c>
      <c r="X1454" s="6" t="s">
        <v>238</v>
      </c>
      <c r="AA1454" s="6" t="s">
        <v>243</v>
      </c>
      <c r="AB1454" s="5" t="s">
        <v>238</v>
      </c>
      <c r="AC1454" s="5" t="s">
        <v>244</v>
      </c>
      <c r="AD1454" s="5" t="s">
        <v>245</v>
      </c>
      <c r="AT1454" s="5" t="s">
        <v>246</v>
      </c>
      <c r="AU1454" s="5" t="s">
        <v>238</v>
      </c>
      <c r="AV1454" s="5" t="s">
        <v>247</v>
      </c>
      <c r="AW1454" s="5" t="s">
        <v>238</v>
      </c>
      <c r="AX1454" s="5" t="s">
        <v>249</v>
      </c>
      <c r="AY1454" s="5" t="s">
        <v>238</v>
      </c>
      <c r="BA1454" s="5" t="s">
        <v>238</v>
      </c>
      <c r="BC1454" s="5" t="s">
        <v>250</v>
      </c>
      <c r="BD1454" s="6" t="s">
        <v>243</v>
      </c>
      <c r="BE1454" s="5" t="s">
        <v>251</v>
      </c>
      <c r="BF1454" s="5" t="s">
        <v>252</v>
      </c>
      <c r="BG1454" s="5" t="s">
        <v>238</v>
      </c>
      <c r="BH1454" s="7">
        <f>0</f>
        <v>0</v>
      </c>
      <c r="BI1454" s="8">
        <f>0</f>
        <v>0</v>
      </c>
      <c r="BJ1454" s="5" t="s">
        <v>253</v>
      </c>
      <c r="BK1454" s="5" t="s">
        <v>254</v>
      </c>
      <c r="BY1454" s="5" t="s">
        <v>238</v>
      </c>
      <c r="BZ1454" s="5" t="s">
        <v>238</v>
      </c>
      <c r="CD1454" s="5" t="s">
        <v>273</v>
      </c>
      <c r="CE1454" s="5" t="s">
        <v>256</v>
      </c>
      <c r="CF1454" s="5" t="s">
        <v>238</v>
      </c>
      <c r="CI1454" s="6" t="s">
        <v>257</v>
      </c>
      <c r="CJ1454" s="5" t="s">
        <v>238</v>
      </c>
      <c r="CK1454" s="5" t="s">
        <v>258</v>
      </c>
      <c r="CL1454" s="5" t="s">
        <v>238</v>
      </c>
      <c r="CM1454" s="5" t="s">
        <v>238</v>
      </c>
      <c r="CN1454" s="5">
        <v>0</v>
      </c>
      <c r="CO1454" s="5" t="s">
        <v>259</v>
      </c>
      <c r="CP1454" s="5" t="s">
        <v>260</v>
      </c>
      <c r="CQ1454" s="5" t="s">
        <v>260</v>
      </c>
      <c r="CR1454" s="5" t="s">
        <v>261</v>
      </c>
      <c r="CU1454" s="8">
        <f>1</f>
        <v>1</v>
      </c>
      <c r="CV1454" s="8">
        <f>0</f>
        <v>0</v>
      </c>
      <c r="CX1454" s="8">
        <f>0</f>
        <v>0</v>
      </c>
      <c r="CY1454" s="8">
        <f>1</f>
        <v>1</v>
      </c>
      <c r="DA1454" s="5" t="s">
        <v>673</v>
      </c>
      <c r="DB1454" s="5" t="s">
        <v>238</v>
      </c>
      <c r="DD1454" s="5" t="s">
        <v>673</v>
      </c>
      <c r="DE1454" s="8">
        <f>2497</f>
        <v>2497</v>
      </c>
      <c r="DG1454" s="5" t="s">
        <v>238</v>
      </c>
      <c r="DH1454" s="5" t="s">
        <v>238</v>
      </c>
      <c r="DI1454" s="5" t="s">
        <v>238</v>
      </c>
      <c r="DJ1454" s="5" t="s">
        <v>238</v>
      </c>
      <c r="DN1454" s="5" t="s">
        <v>238</v>
      </c>
      <c r="DO1454" s="5" t="s">
        <v>238</v>
      </c>
      <c r="DP1454" s="5" t="s">
        <v>238</v>
      </c>
      <c r="DQ1454" s="5" t="s">
        <v>238</v>
      </c>
      <c r="DT1454" s="5" t="s">
        <v>2039</v>
      </c>
      <c r="DU1454" s="5" t="s">
        <v>1525</v>
      </c>
      <c r="HM1454" s="5" t="s">
        <v>264</v>
      </c>
    </row>
    <row r="1455" spans="1:221" x14ac:dyDescent="0.4">
      <c r="A1455" s="5">
        <v>3130</v>
      </c>
      <c r="B1455" s="5">
        <v>1</v>
      </c>
      <c r="C1455" s="5">
        <v>1</v>
      </c>
      <c r="D1455" s="5" t="s">
        <v>2037</v>
      </c>
      <c r="E1455" s="5" t="s">
        <v>271</v>
      </c>
      <c r="F1455" s="5" t="s">
        <v>248</v>
      </c>
      <c r="G1455" s="5" t="s">
        <v>1969</v>
      </c>
      <c r="H1455" s="6" t="s">
        <v>2405</v>
      </c>
      <c r="I1455" s="7">
        <f>4426</f>
        <v>4426</v>
      </c>
      <c r="J1455" s="5" t="s">
        <v>262</v>
      </c>
      <c r="K1455" s="8">
        <f>1</f>
        <v>1</v>
      </c>
      <c r="L1455" s="6" t="s">
        <v>242</v>
      </c>
      <c r="M1455" s="5" t="s">
        <v>267</v>
      </c>
      <c r="N1455" s="5" t="s">
        <v>265</v>
      </c>
      <c r="O1455" s="5" t="s">
        <v>238</v>
      </c>
      <c r="P1455" s="5" t="s">
        <v>238</v>
      </c>
      <c r="Q1455" s="5" t="s">
        <v>268</v>
      </c>
      <c r="R1455" s="5" t="s">
        <v>270</v>
      </c>
      <c r="S1455" s="5" t="s">
        <v>238</v>
      </c>
      <c r="V1455" s="5" t="s">
        <v>238</v>
      </c>
      <c r="X1455" s="6" t="s">
        <v>238</v>
      </c>
      <c r="AA1455" s="6" t="s">
        <v>243</v>
      </c>
      <c r="AB1455" s="5" t="s">
        <v>238</v>
      </c>
      <c r="AC1455" s="5" t="s">
        <v>244</v>
      </c>
      <c r="AD1455" s="5" t="s">
        <v>245</v>
      </c>
      <c r="AT1455" s="5" t="s">
        <v>246</v>
      </c>
      <c r="AU1455" s="5" t="s">
        <v>238</v>
      </c>
      <c r="AV1455" s="5" t="s">
        <v>247</v>
      </c>
      <c r="AW1455" s="5" t="s">
        <v>238</v>
      </c>
      <c r="AX1455" s="5" t="s">
        <v>249</v>
      </c>
      <c r="AY1455" s="5" t="s">
        <v>238</v>
      </c>
      <c r="BA1455" s="5" t="s">
        <v>238</v>
      </c>
      <c r="BC1455" s="5" t="s">
        <v>250</v>
      </c>
      <c r="BD1455" s="6" t="s">
        <v>243</v>
      </c>
      <c r="BE1455" s="5" t="s">
        <v>251</v>
      </c>
      <c r="BF1455" s="5" t="s">
        <v>252</v>
      </c>
      <c r="BG1455" s="5" t="s">
        <v>238</v>
      </c>
      <c r="BH1455" s="7">
        <f>0</f>
        <v>0</v>
      </c>
      <c r="BI1455" s="8">
        <f>0</f>
        <v>0</v>
      </c>
      <c r="BJ1455" s="5" t="s">
        <v>253</v>
      </c>
      <c r="BK1455" s="5" t="s">
        <v>254</v>
      </c>
      <c r="BY1455" s="5" t="s">
        <v>238</v>
      </c>
      <c r="BZ1455" s="5" t="s">
        <v>238</v>
      </c>
      <c r="CD1455" s="5" t="s">
        <v>273</v>
      </c>
      <c r="CE1455" s="5" t="s">
        <v>256</v>
      </c>
      <c r="CF1455" s="5" t="s">
        <v>238</v>
      </c>
      <c r="CI1455" s="6" t="s">
        <v>257</v>
      </c>
      <c r="CJ1455" s="5" t="s">
        <v>238</v>
      </c>
      <c r="CK1455" s="5" t="s">
        <v>258</v>
      </c>
      <c r="CL1455" s="5" t="s">
        <v>238</v>
      </c>
      <c r="CM1455" s="5" t="s">
        <v>238</v>
      </c>
      <c r="CN1455" s="5">
        <v>0</v>
      </c>
      <c r="CO1455" s="5" t="s">
        <v>259</v>
      </c>
      <c r="CP1455" s="5" t="s">
        <v>260</v>
      </c>
      <c r="CQ1455" s="5" t="s">
        <v>260</v>
      </c>
      <c r="CR1455" s="5" t="s">
        <v>261</v>
      </c>
      <c r="CU1455" s="8">
        <f>1</f>
        <v>1</v>
      </c>
      <c r="CV1455" s="8">
        <f>0</f>
        <v>0</v>
      </c>
      <c r="CX1455" s="8">
        <f>0</f>
        <v>0</v>
      </c>
      <c r="CY1455" s="8">
        <f>1</f>
        <v>1</v>
      </c>
      <c r="DA1455" s="5" t="s">
        <v>673</v>
      </c>
      <c r="DB1455" s="5" t="s">
        <v>238</v>
      </c>
      <c r="DD1455" s="5" t="s">
        <v>673</v>
      </c>
      <c r="DE1455" s="8">
        <f>4426</f>
        <v>4426</v>
      </c>
      <c r="DG1455" s="5" t="s">
        <v>238</v>
      </c>
      <c r="DH1455" s="5" t="s">
        <v>238</v>
      </c>
      <c r="DI1455" s="5" t="s">
        <v>238</v>
      </c>
      <c r="DJ1455" s="5" t="s">
        <v>238</v>
      </c>
      <c r="DN1455" s="5" t="s">
        <v>238</v>
      </c>
      <c r="DO1455" s="5" t="s">
        <v>238</v>
      </c>
      <c r="DP1455" s="5" t="s">
        <v>238</v>
      </c>
      <c r="DQ1455" s="5" t="s">
        <v>238</v>
      </c>
      <c r="DT1455" s="5" t="s">
        <v>2039</v>
      </c>
      <c r="DU1455" s="5" t="s">
        <v>1507</v>
      </c>
      <c r="HM1455" s="5" t="s">
        <v>264</v>
      </c>
    </row>
    <row r="1456" spans="1:221" x14ac:dyDescent="0.4">
      <c r="A1456" s="5">
        <v>3131</v>
      </c>
      <c r="B1456" s="5">
        <v>1</v>
      </c>
      <c r="C1456" s="5">
        <v>1</v>
      </c>
      <c r="D1456" s="5" t="s">
        <v>2037</v>
      </c>
      <c r="E1456" s="5" t="s">
        <v>271</v>
      </c>
      <c r="F1456" s="5" t="s">
        <v>248</v>
      </c>
      <c r="G1456" s="5" t="s">
        <v>1969</v>
      </c>
      <c r="H1456" s="6" t="s">
        <v>2404</v>
      </c>
      <c r="I1456" s="7">
        <f>4257</f>
        <v>4257</v>
      </c>
      <c r="J1456" s="5" t="s">
        <v>262</v>
      </c>
      <c r="K1456" s="8">
        <f>1</f>
        <v>1</v>
      </c>
      <c r="L1456" s="6" t="s">
        <v>242</v>
      </c>
      <c r="M1456" s="5" t="s">
        <v>267</v>
      </c>
      <c r="N1456" s="5" t="s">
        <v>265</v>
      </c>
      <c r="O1456" s="5" t="s">
        <v>238</v>
      </c>
      <c r="P1456" s="5" t="s">
        <v>238</v>
      </c>
      <c r="Q1456" s="5" t="s">
        <v>268</v>
      </c>
      <c r="R1456" s="5" t="s">
        <v>270</v>
      </c>
      <c r="S1456" s="5" t="s">
        <v>238</v>
      </c>
      <c r="V1456" s="5" t="s">
        <v>238</v>
      </c>
      <c r="X1456" s="6" t="s">
        <v>238</v>
      </c>
      <c r="AA1456" s="6" t="s">
        <v>243</v>
      </c>
      <c r="AB1456" s="5" t="s">
        <v>238</v>
      </c>
      <c r="AC1456" s="5" t="s">
        <v>244</v>
      </c>
      <c r="AD1456" s="5" t="s">
        <v>245</v>
      </c>
      <c r="AT1456" s="5" t="s">
        <v>246</v>
      </c>
      <c r="AU1456" s="5" t="s">
        <v>238</v>
      </c>
      <c r="AV1456" s="5" t="s">
        <v>247</v>
      </c>
      <c r="AW1456" s="5" t="s">
        <v>238</v>
      </c>
      <c r="AX1456" s="5" t="s">
        <v>249</v>
      </c>
      <c r="AY1456" s="5" t="s">
        <v>238</v>
      </c>
      <c r="BA1456" s="5" t="s">
        <v>238</v>
      </c>
      <c r="BC1456" s="5" t="s">
        <v>250</v>
      </c>
      <c r="BD1456" s="6" t="s">
        <v>243</v>
      </c>
      <c r="BE1456" s="5" t="s">
        <v>251</v>
      </c>
      <c r="BF1456" s="5" t="s">
        <v>252</v>
      </c>
      <c r="BG1456" s="5" t="s">
        <v>238</v>
      </c>
      <c r="BH1456" s="7">
        <f>0</f>
        <v>0</v>
      </c>
      <c r="BI1456" s="8">
        <f>0</f>
        <v>0</v>
      </c>
      <c r="BJ1456" s="5" t="s">
        <v>253</v>
      </c>
      <c r="BK1456" s="5" t="s">
        <v>254</v>
      </c>
      <c r="BY1456" s="5" t="s">
        <v>238</v>
      </c>
      <c r="BZ1456" s="5" t="s">
        <v>238</v>
      </c>
      <c r="CD1456" s="5" t="s">
        <v>273</v>
      </c>
      <c r="CE1456" s="5" t="s">
        <v>256</v>
      </c>
      <c r="CF1456" s="5" t="s">
        <v>238</v>
      </c>
      <c r="CI1456" s="6" t="s">
        <v>257</v>
      </c>
      <c r="CJ1456" s="5" t="s">
        <v>238</v>
      </c>
      <c r="CK1456" s="5" t="s">
        <v>258</v>
      </c>
      <c r="CL1456" s="5" t="s">
        <v>238</v>
      </c>
      <c r="CM1456" s="5" t="s">
        <v>238</v>
      </c>
      <c r="CN1456" s="5">
        <v>0</v>
      </c>
      <c r="CO1456" s="5" t="s">
        <v>259</v>
      </c>
      <c r="CP1456" s="5" t="s">
        <v>260</v>
      </c>
      <c r="CQ1456" s="5" t="s">
        <v>260</v>
      </c>
      <c r="CR1456" s="5" t="s">
        <v>261</v>
      </c>
      <c r="CU1456" s="8">
        <f>1</f>
        <v>1</v>
      </c>
      <c r="CV1456" s="8">
        <f>0</f>
        <v>0</v>
      </c>
      <c r="CX1456" s="8">
        <f>0</f>
        <v>0</v>
      </c>
      <c r="CY1456" s="8">
        <f>1</f>
        <v>1</v>
      </c>
      <c r="DA1456" s="5" t="s">
        <v>673</v>
      </c>
      <c r="DB1456" s="5" t="s">
        <v>238</v>
      </c>
      <c r="DD1456" s="5" t="s">
        <v>673</v>
      </c>
      <c r="DE1456" s="8">
        <f>4257</f>
        <v>4257</v>
      </c>
      <c r="DG1456" s="5" t="s">
        <v>238</v>
      </c>
      <c r="DH1456" s="5" t="s">
        <v>238</v>
      </c>
      <c r="DI1456" s="5" t="s">
        <v>238</v>
      </c>
      <c r="DJ1456" s="5" t="s">
        <v>238</v>
      </c>
      <c r="DN1456" s="5" t="s">
        <v>238</v>
      </c>
      <c r="DO1456" s="5" t="s">
        <v>238</v>
      </c>
      <c r="DP1456" s="5" t="s">
        <v>238</v>
      </c>
      <c r="DQ1456" s="5" t="s">
        <v>238</v>
      </c>
      <c r="DT1456" s="5" t="s">
        <v>2039</v>
      </c>
      <c r="DU1456" s="5" t="s">
        <v>1503</v>
      </c>
      <c r="HM1456" s="5" t="s">
        <v>264</v>
      </c>
    </row>
    <row r="1457" spans="1:221" x14ac:dyDescent="0.4">
      <c r="A1457" s="5">
        <v>3132</v>
      </c>
      <c r="B1457" s="5">
        <v>1</v>
      </c>
      <c r="C1457" s="5">
        <v>1</v>
      </c>
      <c r="D1457" s="5" t="s">
        <v>2037</v>
      </c>
      <c r="E1457" s="5" t="s">
        <v>271</v>
      </c>
      <c r="F1457" s="5" t="s">
        <v>248</v>
      </c>
      <c r="G1457" s="5" t="s">
        <v>1969</v>
      </c>
      <c r="H1457" s="6" t="s">
        <v>2395</v>
      </c>
      <c r="I1457" s="7">
        <f>195</f>
        <v>195</v>
      </c>
      <c r="J1457" s="5" t="s">
        <v>262</v>
      </c>
      <c r="K1457" s="8">
        <f>1</f>
        <v>1</v>
      </c>
      <c r="L1457" s="6" t="s">
        <v>242</v>
      </c>
      <c r="M1457" s="5" t="s">
        <v>267</v>
      </c>
      <c r="N1457" s="5" t="s">
        <v>265</v>
      </c>
      <c r="O1457" s="5" t="s">
        <v>238</v>
      </c>
      <c r="P1457" s="5" t="s">
        <v>238</v>
      </c>
      <c r="Q1457" s="5" t="s">
        <v>268</v>
      </c>
      <c r="R1457" s="5" t="s">
        <v>270</v>
      </c>
      <c r="S1457" s="5" t="s">
        <v>238</v>
      </c>
      <c r="V1457" s="5" t="s">
        <v>238</v>
      </c>
      <c r="X1457" s="6" t="s">
        <v>238</v>
      </c>
      <c r="AA1457" s="6" t="s">
        <v>243</v>
      </c>
      <c r="AB1457" s="5" t="s">
        <v>238</v>
      </c>
      <c r="AC1457" s="5" t="s">
        <v>244</v>
      </c>
      <c r="AD1457" s="5" t="s">
        <v>245</v>
      </c>
      <c r="AT1457" s="5" t="s">
        <v>246</v>
      </c>
      <c r="AU1457" s="5" t="s">
        <v>238</v>
      </c>
      <c r="AV1457" s="5" t="s">
        <v>247</v>
      </c>
      <c r="AW1457" s="5" t="s">
        <v>238</v>
      </c>
      <c r="AX1457" s="5" t="s">
        <v>249</v>
      </c>
      <c r="AY1457" s="5" t="s">
        <v>238</v>
      </c>
      <c r="BA1457" s="5" t="s">
        <v>238</v>
      </c>
      <c r="BC1457" s="5" t="s">
        <v>250</v>
      </c>
      <c r="BD1457" s="6" t="s">
        <v>243</v>
      </c>
      <c r="BE1457" s="5" t="s">
        <v>251</v>
      </c>
      <c r="BF1457" s="5" t="s">
        <v>252</v>
      </c>
      <c r="BG1457" s="5" t="s">
        <v>238</v>
      </c>
      <c r="BH1457" s="7">
        <f>0</f>
        <v>0</v>
      </c>
      <c r="BI1457" s="8">
        <f>0</f>
        <v>0</v>
      </c>
      <c r="BJ1457" s="5" t="s">
        <v>253</v>
      </c>
      <c r="BK1457" s="5" t="s">
        <v>254</v>
      </c>
      <c r="BY1457" s="5" t="s">
        <v>238</v>
      </c>
      <c r="BZ1457" s="5" t="s">
        <v>238</v>
      </c>
      <c r="CD1457" s="5" t="s">
        <v>273</v>
      </c>
      <c r="CE1457" s="5" t="s">
        <v>256</v>
      </c>
      <c r="CF1457" s="5" t="s">
        <v>238</v>
      </c>
      <c r="CI1457" s="6" t="s">
        <v>257</v>
      </c>
      <c r="CJ1457" s="5" t="s">
        <v>238</v>
      </c>
      <c r="CK1457" s="5" t="s">
        <v>258</v>
      </c>
      <c r="CL1457" s="5" t="s">
        <v>238</v>
      </c>
      <c r="CM1457" s="5" t="s">
        <v>238</v>
      </c>
      <c r="CN1457" s="5">
        <v>0</v>
      </c>
      <c r="CO1457" s="5" t="s">
        <v>259</v>
      </c>
      <c r="CP1457" s="5" t="s">
        <v>260</v>
      </c>
      <c r="CQ1457" s="5" t="s">
        <v>260</v>
      </c>
      <c r="CR1457" s="5" t="s">
        <v>261</v>
      </c>
      <c r="CU1457" s="8">
        <f>1</f>
        <v>1</v>
      </c>
      <c r="CV1457" s="8">
        <f>0</f>
        <v>0</v>
      </c>
      <c r="CX1457" s="8">
        <f>0</f>
        <v>0</v>
      </c>
      <c r="CY1457" s="8">
        <f>1</f>
        <v>1</v>
      </c>
      <c r="DA1457" s="5" t="s">
        <v>673</v>
      </c>
      <c r="DB1457" s="5" t="s">
        <v>238</v>
      </c>
      <c r="DD1457" s="5" t="s">
        <v>673</v>
      </c>
      <c r="DE1457" s="8">
        <f>195</f>
        <v>195</v>
      </c>
      <c r="DG1457" s="5" t="s">
        <v>238</v>
      </c>
      <c r="DH1457" s="5" t="s">
        <v>238</v>
      </c>
      <c r="DI1457" s="5" t="s">
        <v>238</v>
      </c>
      <c r="DJ1457" s="5" t="s">
        <v>238</v>
      </c>
      <c r="DN1457" s="5" t="s">
        <v>238</v>
      </c>
      <c r="DO1457" s="5" t="s">
        <v>238</v>
      </c>
      <c r="DP1457" s="5" t="s">
        <v>238</v>
      </c>
      <c r="DQ1457" s="5" t="s">
        <v>238</v>
      </c>
      <c r="DT1457" s="5" t="s">
        <v>2039</v>
      </c>
      <c r="DU1457" s="5" t="s">
        <v>1824</v>
      </c>
      <c r="HM1457" s="5" t="s">
        <v>264</v>
      </c>
    </row>
    <row r="1458" spans="1:221" x14ac:dyDescent="0.4">
      <c r="A1458" s="5">
        <v>3133</v>
      </c>
      <c r="B1458" s="5">
        <v>1</v>
      </c>
      <c r="C1458" s="5">
        <v>1</v>
      </c>
      <c r="D1458" s="5" t="s">
        <v>2037</v>
      </c>
      <c r="E1458" s="5" t="s">
        <v>271</v>
      </c>
      <c r="F1458" s="5" t="s">
        <v>248</v>
      </c>
      <c r="G1458" s="5" t="s">
        <v>1969</v>
      </c>
      <c r="H1458" s="6" t="s">
        <v>2394</v>
      </c>
      <c r="I1458" s="7">
        <f>849</f>
        <v>849</v>
      </c>
      <c r="J1458" s="5" t="s">
        <v>262</v>
      </c>
      <c r="K1458" s="8">
        <f>1</f>
        <v>1</v>
      </c>
      <c r="L1458" s="6" t="s">
        <v>242</v>
      </c>
      <c r="M1458" s="5" t="s">
        <v>267</v>
      </c>
      <c r="N1458" s="5" t="s">
        <v>265</v>
      </c>
      <c r="O1458" s="5" t="s">
        <v>238</v>
      </c>
      <c r="P1458" s="5" t="s">
        <v>238</v>
      </c>
      <c r="Q1458" s="5" t="s">
        <v>268</v>
      </c>
      <c r="R1458" s="5" t="s">
        <v>270</v>
      </c>
      <c r="S1458" s="5" t="s">
        <v>238</v>
      </c>
      <c r="V1458" s="5" t="s">
        <v>238</v>
      </c>
      <c r="X1458" s="6" t="s">
        <v>238</v>
      </c>
      <c r="AA1458" s="6" t="s">
        <v>243</v>
      </c>
      <c r="AB1458" s="5" t="s">
        <v>238</v>
      </c>
      <c r="AC1458" s="5" t="s">
        <v>244</v>
      </c>
      <c r="AD1458" s="5" t="s">
        <v>245</v>
      </c>
      <c r="AT1458" s="5" t="s">
        <v>246</v>
      </c>
      <c r="AU1458" s="5" t="s">
        <v>238</v>
      </c>
      <c r="AV1458" s="5" t="s">
        <v>247</v>
      </c>
      <c r="AW1458" s="5" t="s">
        <v>238</v>
      </c>
      <c r="AX1458" s="5" t="s">
        <v>249</v>
      </c>
      <c r="AY1458" s="5" t="s">
        <v>238</v>
      </c>
      <c r="BA1458" s="5" t="s">
        <v>238</v>
      </c>
      <c r="BC1458" s="5" t="s">
        <v>250</v>
      </c>
      <c r="BD1458" s="6" t="s">
        <v>243</v>
      </c>
      <c r="BE1458" s="5" t="s">
        <v>251</v>
      </c>
      <c r="BF1458" s="5" t="s">
        <v>252</v>
      </c>
      <c r="BG1458" s="5" t="s">
        <v>238</v>
      </c>
      <c r="BH1458" s="7">
        <f>0</f>
        <v>0</v>
      </c>
      <c r="BI1458" s="8">
        <f>0</f>
        <v>0</v>
      </c>
      <c r="BJ1458" s="5" t="s">
        <v>253</v>
      </c>
      <c r="BK1458" s="5" t="s">
        <v>254</v>
      </c>
      <c r="BY1458" s="5" t="s">
        <v>238</v>
      </c>
      <c r="BZ1458" s="5" t="s">
        <v>238</v>
      </c>
      <c r="CD1458" s="5" t="s">
        <v>273</v>
      </c>
      <c r="CE1458" s="5" t="s">
        <v>256</v>
      </c>
      <c r="CF1458" s="5" t="s">
        <v>238</v>
      </c>
      <c r="CI1458" s="6" t="s">
        <v>257</v>
      </c>
      <c r="CJ1458" s="5" t="s">
        <v>238</v>
      </c>
      <c r="CK1458" s="5" t="s">
        <v>258</v>
      </c>
      <c r="CL1458" s="5" t="s">
        <v>238</v>
      </c>
      <c r="CM1458" s="5" t="s">
        <v>238</v>
      </c>
      <c r="CN1458" s="5">
        <v>0</v>
      </c>
      <c r="CO1458" s="5" t="s">
        <v>259</v>
      </c>
      <c r="CP1458" s="5" t="s">
        <v>260</v>
      </c>
      <c r="CQ1458" s="5" t="s">
        <v>260</v>
      </c>
      <c r="CR1458" s="5" t="s">
        <v>261</v>
      </c>
      <c r="CU1458" s="8">
        <f>1</f>
        <v>1</v>
      </c>
      <c r="CV1458" s="8">
        <f>0</f>
        <v>0</v>
      </c>
      <c r="CX1458" s="8">
        <f>0</f>
        <v>0</v>
      </c>
      <c r="CY1458" s="8">
        <f>1</f>
        <v>1</v>
      </c>
      <c r="DA1458" s="5" t="s">
        <v>673</v>
      </c>
      <c r="DB1458" s="5" t="s">
        <v>238</v>
      </c>
      <c r="DD1458" s="5" t="s">
        <v>673</v>
      </c>
      <c r="DE1458" s="8">
        <f>849</f>
        <v>849</v>
      </c>
      <c r="DG1458" s="5" t="s">
        <v>238</v>
      </c>
      <c r="DH1458" s="5" t="s">
        <v>238</v>
      </c>
      <c r="DI1458" s="5" t="s">
        <v>238</v>
      </c>
      <c r="DJ1458" s="5" t="s">
        <v>238</v>
      </c>
      <c r="DN1458" s="5" t="s">
        <v>238</v>
      </c>
      <c r="DO1458" s="5" t="s">
        <v>238</v>
      </c>
      <c r="DP1458" s="5" t="s">
        <v>238</v>
      </c>
      <c r="DQ1458" s="5" t="s">
        <v>238</v>
      </c>
      <c r="DT1458" s="5" t="s">
        <v>2039</v>
      </c>
      <c r="DU1458" s="5" t="s">
        <v>1476</v>
      </c>
      <c r="HM1458" s="5" t="s">
        <v>264</v>
      </c>
    </row>
    <row r="1459" spans="1:221" x14ac:dyDescent="0.4">
      <c r="A1459" s="5">
        <v>3134</v>
      </c>
      <c r="B1459" s="5">
        <v>1</v>
      </c>
      <c r="C1459" s="5">
        <v>1</v>
      </c>
      <c r="D1459" s="5" t="s">
        <v>2037</v>
      </c>
      <c r="E1459" s="5" t="s">
        <v>271</v>
      </c>
      <c r="F1459" s="5" t="s">
        <v>248</v>
      </c>
      <c r="G1459" s="5" t="s">
        <v>1969</v>
      </c>
      <c r="H1459" s="6" t="s">
        <v>2393</v>
      </c>
      <c r="I1459" s="7">
        <f>7176</f>
        <v>7176</v>
      </c>
      <c r="J1459" s="5" t="s">
        <v>262</v>
      </c>
      <c r="K1459" s="8">
        <f>1</f>
        <v>1</v>
      </c>
      <c r="L1459" s="6" t="s">
        <v>242</v>
      </c>
      <c r="M1459" s="5" t="s">
        <v>267</v>
      </c>
      <c r="N1459" s="5" t="s">
        <v>265</v>
      </c>
      <c r="O1459" s="5" t="s">
        <v>238</v>
      </c>
      <c r="P1459" s="5" t="s">
        <v>238</v>
      </c>
      <c r="Q1459" s="5" t="s">
        <v>268</v>
      </c>
      <c r="R1459" s="5" t="s">
        <v>270</v>
      </c>
      <c r="S1459" s="5" t="s">
        <v>238</v>
      </c>
      <c r="V1459" s="5" t="s">
        <v>238</v>
      </c>
      <c r="X1459" s="6" t="s">
        <v>238</v>
      </c>
      <c r="AA1459" s="6" t="s">
        <v>243</v>
      </c>
      <c r="AB1459" s="5" t="s">
        <v>238</v>
      </c>
      <c r="AC1459" s="5" t="s">
        <v>244</v>
      </c>
      <c r="AD1459" s="5" t="s">
        <v>245</v>
      </c>
      <c r="AT1459" s="5" t="s">
        <v>246</v>
      </c>
      <c r="AU1459" s="5" t="s">
        <v>238</v>
      </c>
      <c r="AV1459" s="5" t="s">
        <v>247</v>
      </c>
      <c r="AW1459" s="5" t="s">
        <v>238</v>
      </c>
      <c r="AX1459" s="5" t="s">
        <v>249</v>
      </c>
      <c r="AY1459" s="5" t="s">
        <v>238</v>
      </c>
      <c r="BA1459" s="5" t="s">
        <v>238</v>
      </c>
      <c r="BC1459" s="5" t="s">
        <v>250</v>
      </c>
      <c r="BD1459" s="6" t="s">
        <v>243</v>
      </c>
      <c r="BE1459" s="5" t="s">
        <v>251</v>
      </c>
      <c r="BF1459" s="5" t="s">
        <v>252</v>
      </c>
      <c r="BG1459" s="5" t="s">
        <v>238</v>
      </c>
      <c r="BH1459" s="7">
        <f>0</f>
        <v>0</v>
      </c>
      <c r="BI1459" s="8">
        <f>0</f>
        <v>0</v>
      </c>
      <c r="BJ1459" s="5" t="s">
        <v>253</v>
      </c>
      <c r="BK1459" s="5" t="s">
        <v>254</v>
      </c>
      <c r="BY1459" s="5" t="s">
        <v>238</v>
      </c>
      <c r="BZ1459" s="5" t="s">
        <v>238</v>
      </c>
      <c r="CD1459" s="5" t="s">
        <v>273</v>
      </c>
      <c r="CE1459" s="5" t="s">
        <v>256</v>
      </c>
      <c r="CF1459" s="5" t="s">
        <v>238</v>
      </c>
      <c r="CI1459" s="6" t="s">
        <v>257</v>
      </c>
      <c r="CJ1459" s="5" t="s">
        <v>238</v>
      </c>
      <c r="CK1459" s="5" t="s">
        <v>258</v>
      </c>
      <c r="CL1459" s="5" t="s">
        <v>238</v>
      </c>
      <c r="CM1459" s="5" t="s">
        <v>238</v>
      </c>
      <c r="CN1459" s="5">
        <v>0</v>
      </c>
      <c r="CO1459" s="5" t="s">
        <v>259</v>
      </c>
      <c r="CP1459" s="5" t="s">
        <v>260</v>
      </c>
      <c r="CQ1459" s="5" t="s">
        <v>260</v>
      </c>
      <c r="CR1459" s="5" t="s">
        <v>261</v>
      </c>
      <c r="CU1459" s="8">
        <f>1</f>
        <v>1</v>
      </c>
      <c r="CV1459" s="8">
        <f>0</f>
        <v>0</v>
      </c>
      <c r="CX1459" s="8">
        <f>0</f>
        <v>0</v>
      </c>
      <c r="CY1459" s="8">
        <f>1</f>
        <v>1</v>
      </c>
      <c r="DA1459" s="5" t="s">
        <v>673</v>
      </c>
      <c r="DB1459" s="5" t="s">
        <v>238</v>
      </c>
      <c r="DD1459" s="5" t="s">
        <v>673</v>
      </c>
      <c r="DE1459" s="8">
        <f>7176</f>
        <v>7176</v>
      </c>
      <c r="DG1459" s="5" t="s">
        <v>238</v>
      </c>
      <c r="DH1459" s="5" t="s">
        <v>238</v>
      </c>
      <c r="DI1459" s="5" t="s">
        <v>238</v>
      </c>
      <c r="DJ1459" s="5" t="s">
        <v>238</v>
      </c>
      <c r="DN1459" s="5" t="s">
        <v>238</v>
      </c>
      <c r="DO1459" s="5" t="s">
        <v>238</v>
      </c>
      <c r="DP1459" s="5" t="s">
        <v>238</v>
      </c>
      <c r="DQ1459" s="5" t="s">
        <v>238</v>
      </c>
      <c r="DT1459" s="5" t="s">
        <v>2039</v>
      </c>
      <c r="DU1459" s="5" t="s">
        <v>1403</v>
      </c>
      <c r="HM1459" s="5" t="s">
        <v>264</v>
      </c>
    </row>
    <row r="1460" spans="1:221" x14ac:dyDescent="0.4">
      <c r="A1460" s="5">
        <v>3135</v>
      </c>
      <c r="B1460" s="5">
        <v>1</v>
      </c>
      <c r="C1460" s="5">
        <v>1</v>
      </c>
      <c r="D1460" s="5" t="s">
        <v>2037</v>
      </c>
      <c r="E1460" s="5" t="s">
        <v>271</v>
      </c>
      <c r="F1460" s="5" t="s">
        <v>248</v>
      </c>
      <c r="G1460" s="5" t="s">
        <v>1969</v>
      </c>
      <c r="H1460" s="6" t="s">
        <v>2391</v>
      </c>
      <c r="I1460" s="7">
        <f>4279</f>
        <v>4279</v>
      </c>
      <c r="J1460" s="5" t="s">
        <v>262</v>
      </c>
      <c r="K1460" s="8">
        <f>1</f>
        <v>1</v>
      </c>
      <c r="L1460" s="6" t="s">
        <v>242</v>
      </c>
      <c r="M1460" s="5" t="s">
        <v>267</v>
      </c>
      <c r="N1460" s="5" t="s">
        <v>265</v>
      </c>
      <c r="O1460" s="5" t="s">
        <v>238</v>
      </c>
      <c r="P1460" s="5" t="s">
        <v>238</v>
      </c>
      <c r="Q1460" s="5" t="s">
        <v>268</v>
      </c>
      <c r="R1460" s="5" t="s">
        <v>270</v>
      </c>
      <c r="S1460" s="5" t="s">
        <v>238</v>
      </c>
      <c r="V1460" s="5" t="s">
        <v>238</v>
      </c>
      <c r="X1460" s="6" t="s">
        <v>238</v>
      </c>
      <c r="AA1460" s="6" t="s">
        <v>243</v>
      </c>
      <c r="AB1460" s="5" t="s">
        <v>238</v>
      </c>
      <c r="AC1460" s="5" t="s">
        <v>244</v>
      </c>
      <c r="AD1460" s="5" t="s">
        <v>245</v>
      </c>
      <c r="AT1460" s="5" t="s">
        <v>246</v>
      </c>
      <c r="AU1460" s="5" t="s">
        <v>238</v>
      </c>
      <c r="AV1460" s="5" t="s">
        <v>247</v>
      </c>
      <c r="AW1460" s="5" t="s">
        <v>238</v>
      </c>
      <c r="AX1460" s="5" t="s">
        <v>249</v>
      </c>
      <c r="AY1460" s="5" t="s">
        <v>238</v>
      </c>
      <c r="BA1460" s="5" t="s">
        <v>238</v>
      </c>
      <c r="BC1460" s="5" t="s">
        <v>250</v>
      </c>
      <c r="BD1460" s="6" t="s">
        <v>243</v>
      </c>
      <c r="BE1460" s="5" t="s">
        <v>251</v>
      </c>
      <c r="BF1460" s="5" t="s">
        <v>252</v>
      </c>
      <c r="BG1460" s="5" t="s">
        <v>238</v>
      </c>
      <c r="BH1460" s="7">
        <f>0</f>
        <v>0</v>
      </c>
      <c r="BI1460" s="8">
        <f>0</f>
        <v>0</v>
      </c>
      <c r="BJ1460" s="5" t="s">
        <v>253</v>
      </c>
      <c r="BK1460" s="5" t="s">
        <v>254</v>
      </c>
      <c r="BY1460" s="5" t="s">
        <v>238</v>
      </c>
      <c r="BZ1460" s="5" t="s">
        <v>238</v>
      </c>
      <c r="CD1460" s="5" t="s">
        <v>273</v>
      </c>
      <c r="CE1460" s="5" t="s">
        <v>256</v>
      </c>
      <c r="CF1460" s="5" t="s">
        <v>238</v>
      </c>
      <c r="CI1460" s="6" t="s">
        <v>257</v>
      </c>
      <c r="CJ1460" s="5" t="s">
        <v>238</v>
      </c>
      <c r="CK1460" s="5" t="s">
        <v>258</v>
      </c>
      <c r="CL1460" s="5" t="s">
        <v>238</v>
      </c>
      <c r="CM1460" s="5" t="s">
        <v>238</v>
      </c>
      <c r="CN1460" s="5">
        <v>0</v>
      </c>
      <c r="CO1460" s="5" t="s">
        <v>259</v>
      </c>
      <c r="CP1460" s="5" t="s">
        <v>260</v>
      </c>
      <c r="CQ1460" s="5" t="s">
        <v>260</v>
      </c>
      <c r="CR1460" s="5" t="s">
        <v>261</v>
      </c>
      <c r="CU1460" s="8">
        <f>1</f>
        <v>1</v>
      </c>
      <c r="CV1460" s="8">
        <f>0</f>
        <v>0</v>
      </c>
      <c r="CX1460" s="8">
        <f>0</f>
        <v>0</v>
      </c>
      <c r="CY1460" s="8">
        <f>1</f>
        <v>1</v>
      </c>
      <c r="DA1460" s="5" t="s">
        <v>673</v>
      </c>
      <c r="DB1460" s="5" t="s">
        <v>238</v>
      </c>
      <c r="DD1460" s="5" t="s">
        <v>673</v>
      </c>
      <c r="DE1460" s="8">
        <f>4279</f>
        <v>4279</v>
      </c>
      <c r="DG1460" s="5" t="s">
        <v>238</v>
      </c>
      <c r="DH1460" s="5" t="s">
        <v>238</v>
      </c>
      <c r="DI1460" s="5" t="s">
        <v>238</v>
      </c>
      <c r="DJ1460" s="5" t="s">
        <v>238</v>
      </c>
      <c r="DN1460" s="5" t="s">
        <v>238</v>
      </c>
      <c r="DO1460" s="5" t="s">
        <v>238</v>
      </c>
      <c r="DP1460" s="5" t="s">
        <v>238</v>
      </c>
      <c r="DQ1460" s="5" t="s">
        <v>238</v>
      </c>
      <c r="DT1460" s="5" t="s">
        <v>2039</v>
      </c>
      <c r="DU1460" s="5" t="s">
        <v>2392</v>
      </c>
      <c r="HM1460" s="5" t="s">
        <v>264</v>
      </c>
    </row>
    <row r="1461" spans="1:221" x14ac:dyDescent="0.4">
      <c r="A1461" s="5">
        <v>3136</v>
      </c>
      <c r="B1461" s="5">
        <v>1</v>
      </c>
      <c r="C1461" s="5">
        <v>1</v>
      </c>
      <c r="D1461" s="5" t="s">
        <v>2037</v>
      </c>
      <c r="E1461" s="5" t="s">
        <v>271</v>
      </c>
      <c r="F1461" s="5" t="s">
        <v>248</v>
      </c>
      <c r="G1461" s="5" t="s">
        <v>1969</v>
      </c>
      <c r="H1461" s="6" t="s">
        <v>2388</v>
      </c>
      <c r="I1461" s="7">
        <f>2172</f>
        <v>2172</v>
      </c>
      <c r="J1461" s="5" t="s">
        <v>262</v>
      </c>
      <c r="K1461" s="8">
        <f>1</f>
        <v>1</v>
      </c>
      <c r="L1461" s="6" t="s">
        <v>242</v>
      </c>
      <c r="M1461" s="5" t="s">
        <v>267</v>
      </c>
      <c r="N1461" s="5" t="s">
        <v>265</v>
      </c>
      <c r="O1461" s="5" t="s">
        <v>238</v>
      </c>
      <c r="P1461" s="5" t="s">
        <v>238</v>
      </c>
      <c r="Q1461" s="5" t="s">
        <v>268</v>
      </c>
      <c r="R1461" s="5" t="s">
        <v>270</v>
      </c>
      <c r="S1461" s="5" t="s">
        <v>238</v>
      </c>
      <c r="V1461" s="5" t="s">
        <v>238</v>
      </c>
      <c r="X1461" s="6" t="s">
        <v>238</v>
      </c>
      <c r="AA1461" s="6" t="s">
        <v>243</v>
      </c>
      <c r="AB1461" s="5" t="s">
        <v>238</v>
      </c>
      <c r="AC1461" s="5" t="s">
        <v>244</v>
      </c>
      <c r="AD1461" s="5" t="s">
        <v>245</v>
      </c>
      <c r="AT1461" s="5" t="s">
        <v>246</v>
      </c>
      <c r="AU1461" s="5" t="s">
        <v>238</v>
      </c>
      <c r="AV1461" s="5" t="s">
        <v>247</v>
      </c>
      <c r="AW1461" s="5" t="s">
        <v>238</v>
      </c>
      <c r="AX1461" s="5" t="s">
        <v>249</v>
      </c>
      <c r="AY1461" s="5" t="s">
        <v>238</v>
      </c>
      <c r="BA1461" s="5" t="s">
        <v>238</v>
      </c>
      <c r="BC1461" s="5" t="s">
        <v>250</v>
      </c>
      <c r="BD1461" s="6" t="s">
        <v>243</v>
      </c>
      <c r="BE1461" s="5" t="s">
        <v>251</v>
      </c>
      <c r="BF1461" s="5" t="s">
        <v>252</v>
      </c>
      <c r="BG1461" s="5" t="s">
        <v>238</v>
      </c>
      <c r="BH1461" s="7">
        <f>0</f>
        <v>0</v>
      </c>
      <c r="BI1461" s="8">
        <f>0</f>
        <v>0</v>
      </c>
      <c r="BJ1461" s="5" t="s">
        <v>253</v>
      </c>
      <c r="BK1461" s="5" t="s">
        <v>254</v>
      </c>
      <c r="BY1461" s="5" t="s">
        <v>238</v>
      </c>
      <c r="BZ1461" s="5" t="s">
        <v>238</v>
      </c>
      <c r="CD1461" s="5" t="s">
        <v>273</v>
      </c>
      <c r="CE1461" s="5" t="s">
        <v>256</v>
      </c>
      <c r="CF1461" s="5" t="s">
        <v>238</v>
      </c>
      <c r="CI1461" s="6" t="s">
        <v>257</v>
      </c>
      <c r="CJ1461" s="5" t="s">
        <v>238</v>
      </c>
      <c r="CK1461" s="5" t="s">
        <v>258</v>
      </c>
      <c r="CL1461" s="5" t="s">
        <v>238</v>
      </c>
      <c r="CM1461" s="5" t="s">
        <v>238</v>
      </c>
      <c r="CN1461" s="5">
        <v>0</v>
      </c>
      <c r="CO1461" s="5" t="s">
        <v>259</v>
      </c>
      <c r="CP1461" s="5" t="s">
        <v>260</v>
      </c>
      <c r="CQ1461" s="5" t="s">
        <v>260</v>
      </c>
      <c r="CR1461" s="5" t="s">
        <v>261</v>
      </c>
      <c r="CU1461" s="8">
        <f>1</f>
        <v>1</v>
      </c>
      <c r="CV1461" s="8">
        <f>0</f>
        <v>0</v>
      </c>
      <c r="CX1461" s="8">
        <f>0</f>
        <v>0</v>
      </c>
      <c r="CY1461" s="8">
        <f>1</f>
        <v>1</v>
      </c>
      <c r="DA1461" s="5" t="s">
        <v>673</v>
      </c>
      <c r="DB1461" s="5" t="s">
        <v>238</v>
      </c>
      <c r="DD1461" s="5" t="s">
        <v>673</v>
      </c>
      <c r="DE1461" s="8">
        <f>2172</f>
        <v>2172</v>
      </c>
      <c r="DG1461" s="5" t="s">
        <v>238</v>
      </c>
      <c r="DH1461" s="5" t="s">
        <v>238</v>
      </c>
      <c r="DI1461" s="5" t="s">
        <v>238</v>
      </c>
      <c r="DJ1461" s="5" t="s">
        <v>238</v>
      </c>
      <c r="DN1461" s="5" t="s">
        <v>238</v>
      </c>
      <c r="DO1461" s="5" t="s">
        <v>238</v>
      </c>
      <c r="DP1461" s="5" t="s">
        <v>238</v>
      </c>
      <c r="DQ1461" s="5" t="s">
        <v>238</v>
      </c>
      <c r="DT1461" s="5" t="s">
        <v>2039</v>
      </c>
      <c r="DU1461" s="5" t="s">
        <v>1818</v>
      </c>
      <c r="HM1461" s="5" t="s">
        <v>264</v>
      </c>
    </row>
    <row r="1462" spans="1:221" x14ac:dyDescent="0.4">
      <c r="A1462" s="5">
        <v>3137</v>
      </c>
      <c r="B1462" s="5">
        <v>1</v>
      </c>
      <c r="C1462" s="5">
        <v>1</v>
      </c>
      <c r="D1462" s="5" t="s">
        <v>2037</v>
      </c>
      <c r="E1462" s="5" t="s">
        <v>271</v>
      </c>
      <c r="F1462" s="5" t="s">
        <v>248</v>
      </c>
      <c r="G1462" s="5" t="s">
        <v>1969</v>
      </c>
      <c r="H1462" s="6" t="s">
        <v>2387</v>
      </c>
      <c r="I1462" s="7">
        <f>1005</f>
        <v>1005</v>
      </c>
      <c r="J1462" s="5" t="s">
        <v>262</v>
      </c>
      <c r="K1462" s="8">
        <f>1</f>
        <v>1</v>
      </c>
      <c r="L1462" s="6" t="s">
        <v>242</v>
      </c>
      <c r="M1462" s="5" t="s">
        <v>267</v>
      </c>
      <c r="N1462" s="5" t="s">
        <v>265</v>
      </c>
      <c r="O1462" s="5" t="s">
        <v>238</v>
      </c>
      <c r="P1462" s="5" t="s">
        <v>238</v>
      </c>
      <c r="Q1462" s="5" t="s">
        <v>268</v>
      </c>
      <c r="R1462" s="5" t="s">
        <v>270</v>
      </c>
      <c r="S1462" s="5" t="s">
        <v>238</v>
      </c>
      <c r="V1462" s="5" t="s">
        <v>238</v>
      </c>
      <c r="X1462" s="6" t="s">
        <v>238</v>
      </c>
      <c r="AA1462" s="6" t="s">
        <v>243</v>
      </c>
      <c r="AB1462" s="5" t="s">
        <v>238</v>
      </c>
      <c r="AC1462" s="5" t="s">
        <v>244</v>
      </c>
      <c r="AD1462" s="5" t="s">
        <v>245</v>
      </c>
      <c r="AT1462" s="5" t="s">
        <v>246</v>
      </c>
      <c r="AU1462" s="5" t="s">
        <v>238</v>
      </c>
      <c r="AV1462" s="5" t="s">
        <v>247</v>
      </c>
      <c r="AW1462" s="5" t="s">
        <v>238</v>
      </c>
      <c r="AX1462" s="5" t="s">
        <v>249</v>
      </c>
      <c r="AY1462" s="5" t="s">
        <v>238</v>
      </c>
      <c r="BA1462" s="5" t="s">
        <v>238</v>
      </c>
      <c r="BC1462" s="5" t="s">
        <v>250</v>
      </c>
      <c r="BD1462" s="6" t="s">
        <v>243</v>
      </c>
      <c r="BE1462" s="5" t="s">
        <v>251</v>
      </c>
      <c r="BF1462" s="5" t="s">
        <v>252</v>
      </c>
      <c r="BG1462" s="5" t="s">
        <v>238</v>
      </c>
      <c r="BH1462" s="7">
        <f>0</f>
        <v>0</v>
      </c>
      <c r="BI1462" s="8">
        <f>0</f>
        <v>0</v>
      </c>
      <c r="BJ1462" s="5" t="s">
        <v>253</v>
      </c>
      <c r="BK1462" s="5" t="s">
        <v>254</v>
      </c>
      <c r="BY1462" s="5" t="s">
        <v>238</v>
      </c>
      <c r="BZ1462" s="5" t="s">
        <v>238</v>
      </c>
      <c r="CD1462" s="5" t="s">
        <v>273</v>
      </c>
      <c r="CE1462" s="5" t="s">
        <v>256</v>
      </c>
      <c r="CF1462" s="5" t="s">
        <v>238</v>
      </c>
      <c r="CI1462" s="6" t="s">
        <v>257</v>
      </c>
      <c r="CJ1462" s="5" t="s">
        <v>238</v>
      </c>
      <c r="CK1462" s="5" t="s">
        <v>258</v>
      </c>
      <c r="CL1462" s="5" t="s">
        <v>238</v>
      </c>
      <c r="CM1462" s="5" t="s">
        <v>238</v>
      </c>
      <c r="CN1462" s="5">
        <v>0</v>
      </c>
      <c r="CO1462" s="5" t="s">
        <v>259</v>
      </c>
      <c r="CP1462" s="5" t="s">
        <v>260</v>
      </c>
      <c r="CQ1462" s="5" t="s">
        <v>260</v>
      </c>
      <c r="CR1462" s="5" t="s">
        <v>261</v>
      </c>
      <c r="CU1462" s="8">
        <f>1</f>
        <v>1</v>
      </c>
      <c r="CV1462" s="8">
        <f>0</f>
        <v>0</v>
      </c>
      <c r="CX1462" s="8">
        <f>0</f>
        <v>0</v>
      </c>
      <c r="CY1462" s="8">
        <f>1</f>
        <v>1</v>
      </c>
      <c r="DA1462" s="5" t="s">
        <v>673</v>
      </c>
      <c r="DB1462" s="5" t="s">
        <v>238</v>
      </c>
      <c r="DD1462" s="5" t="s">
        <v>673</v>
      </c>
      <c r="DE1462" s="8">
        <f>1005</f>
        <v>1005</v>
      </c>
      <c r="DG1462" s="5" t="s">
        <v>238</v>
      </c>
      <c r="DH1462" s="5" t="s">
        <v>238</v>
      </c>
      <c r="DI1462" s="5" t="s">
        <v>238</v>
      </c>
      <c r="DJ1462" s="5" t="s">
        <v>238</v>
      </c>
      <c r="DN1462" s="5" t="s">
        <v>238</v>
      </c>
      <c r="DO1462" s="5" t="s">
        <v>238</v>
      </c>
      <c r="DP1462" s="5" t="s">
        <v>238</v>
      </c>
      <c r="DQ1462" s="5" t="s">
        <v>238</v>
      </c>
      <c r="DT1462" s="5" t="s">
        <v>2039</v>
      </c>
      <c r="DU1462" s="5" t="s">
        <v>898</v>
      </c>
      <c r="HM1462" s="5" t="s">
        <v>264</v>
      </c>
    </row>
    <row r="1463" spans="1:221" x14ac:dyDescent="0.4">
      <c r="A1463" s="5">
        <v>3138</v>
      </c>
      <c r="B1463" s="5">
        <v>1</v>
      </c>
      <c r="C1463" s="5">
        <v>1</v>
      </c>
      <c r="D1463" s="5" t="s">
        <v>2037</v>
      </c>
      <c r="E1463" s="5" t="s">
        <v>271</v>
      </c>
      <c r="F1463" s="5" t="s">
        <v>248</v>
      </c>
      <c r="G1463" s="5" t="s">
        <v>1969</v>
      </c>
      <c r="H1463" s="6" t="s">
        <v>2384</v>
      </c>
      <c r="I1463" s="7">
        <f>1953</f>
        <v>1953</v>
      </c>
      <c r="J1463" s="5" t="s">
        <v>262</v>
      </c>
      <c r="K1463" s="8">
        <f>1</f>
        <v>1</v>
      </c>
      <c r="L1463" s="6" t="s">
        <v>242</v>
      </c>
      <c r="M1463" s="5" t="s">
        <v>267</v>
      </c>
      <c r="N1463" s="5" t="s">
        <v>265</v>
      </c>
      <c r="O1463" s="5" t="s">
        <v>238</v>
      </c>
      <c r="P1463" s="5" t="s">
        <v>238</v>
      </c>
      <c r="Q1463" s="5" t="s">
        <v>268</v>
      </c>
      <c r="R1463" s="5" t="s">
        <v>270</v>
      </c>
      <c r="S1463" s="5" t="s">
        <v>238</v>
      </c>
      <c r="V1463" s="5" t="s">
        <v>238</v>
      </c>
      <c r="X1463" s="6" t="s">
        <v>238</v>
      </c>
      <c r="AA1463" s="6" t="s">
        <v>243</v>
      </c>
      <c r="AB1463" s="5" t="s">
        <v>238</v>
      </c>
      <c r="AC1463" s="5" t="s">
        <v>244</v>
      </c>
      <c r="AD1463" s="5" t="s">
        <v>245</v>
      </c>
      <c r="AT1463" s="5" t="s">
        <v>246</v>
      </c>
      <c r="AU1463" s="5" t="s">
        <v>238</v>
      </c>
      <c r="AV1463" s="5" t="s">
        <v>247</v>
      </c>
      <c r="AW1463" s="5" t="s">
        <v>238</v>
      </c>
      <c r="AX1463" s="5" t="s">
        <v>249</v>
      </c>
      <c r="AY1463" s="5" t="s">
        <v>238</v>
      </c>
      <c r="BA1463" s="5" t="s">
        <v>238</v>
      </c>
      <c r="BC1463" s="5" t="s">
        <v>250</v>
      </c>
      <c r="BD1463" s="6" t="s">
        <v>243</v>
      </c>
      <c r="BE1463" s="5" t="s">
        <v>251</v>
      </c>
      <c r="BF1463" s="5" t="s">
        <v>252</v>
      </c>
      <c r="BG1463" s="5" t="s">
        <v>238</v>
      </c>
      <c r="BH1463" s="7">
        <f>0</f>
        <v>0</v>
      </c>
      <c r="BI1463" s="8">
        <f>0</f>
        <v>0</v>
      </c>
      <c r="BJ1463" s="5" t="s">
        <v>253</v>
      </c>
      <c r="BK1463" s="5" t="s">
        <v>254</v>
      </c>
      <c r="BY1463" s="5" t="s">
        <v>238</v>
      </c>
      <c r="BZ1463" s="5" t="s">
        <v>238</v>
      </c>
      <c r="CD1463" s="5" t="s">
        <v>273</v>
      </c>
      <c r="CE1463" s="5" t="s">
        <v>256</v>
      </c>
      <c r="CF1463" s="5" t="s">
        <v>238</v>
      </c>
      <c r="CI1463" s="6" t="s">
        <v>257</v>
      </c>
      <c r="CJ1463" s="5" t="s">
        <v>238</v>
      </c>
      <c r="CK1463" s="5" t="s">
        <v>258</v>
      </c>
      <c r="CL1463" s="5" t="s">
        <v>238</v>
      </c>
      <c r="CM1463" s="5" t="s">
        <v>238</v>
      </c>
      <c r="CN1463" s="5">
        <v>0</v>
      </c>
      <c r="CO1463" s="5" t="s">
        <v>259</v>
      </c>
      <c r="CP1463" s="5" t="s">
        <v>260</v>
      </c>
      <c r="CQ1463" s="5" t="s">
        <v>260</v>
      </c>
      <c r="CR1463" s="5" t="s">
        <v>261</v>
      </c>
      <c r="CU1463" s="8">
        <f>1</f>
        <v>1</v>
      </c>
      <c r="CV1463" s="8">
        <f>0</f>
        <v>0</v>
      </c>
      <c r="CX1463" s="8">
        <f>0</f>
        <v>0</v>
      </c>
      <c r="CY1463" s="8">
        <f>1</f>
        <v>1</v>
      </c>
      <c r="DA1463" s="5" t="s">
        <v>673</v>
      </c>
      <c r="DB1463" s="5" t="s">
        <v>238</v>
      </c>
      <c r="DD1463" s="5" t="s">
        <v>673</v>
      </c>
      <c r="DE1463" s="8">
        <f>1953</f>
        <v>1953</v>
      </c>
      <c r="DG1463" s="5" t="s">
        <v>238</v>
      </c>
      <c r="DH1463" s="5" t="s">
        <v>238</v>
      </c>
      <c r="DI1463" s="5" t="s">
        <v>238</v>
      </c>
      <c r="DJ1463" s="5" t="s">
        <v>238</v>
      </c>
      <c r="DN1463" s="5" t="s">
        <v>238</v>
      </c>
      <c r="DO1463" s="5" t="s">
        <v>238</v>
      </c>
      <c r="DP1463" s="5" t="s">
        <v>238</v>
      </c>
      <c r="DQ1463" s="5" t="s">
        <v>238</v>
      </c>
      <c r="DT1463" s="5" t="s">
        <v>2039</v>
      </c>
      <c r="DU1463" s="5" t="s">
        <v>2385</v>
      </c>
      <c r="HM1463" s="5" t="s">
        <v>264</v>
      </c>
    </row>
    <row r="1464" spans="1:221" x14ac:dyDescent="0.4">
      <c r="A1464" s="5">
        <v>3139</v>
      </c>
      <c r="B1464" s="5">
        <v>1</v>
      </c>
      <c r="C1464" s="5">
        <v>1</v>
      </c>
      <c r="D1464" s="5" t="s">
        <v>2037</v>
      </c>
      <c r="E1464" s="5" t="s">
        <v>271</v>
      </c>
      <c r="F1464" s="5" t="s">
        <v>248</v>
      </c>
      <c r="G1464" s="5" t="s">
        <v>1969</v>
      </c>
      <c r="H1464" s="6" t="s">
        <v>2382</v>
      </c>
      <c r="I1464" s="7">
        <f>4512</f>
        <v>4512</v>
      </c>
      <c r="J1464" s="5" t="s">
        <v>262</v>
      </c>
      <c r="K1464" s="8">
        <f>1</f>
        <v>1</v>
      </c>
      <c r="L1464" s="6" t="s">
        <v>242</v>
      </c>
      <c r="M1464" s="5" t="s">
        <v>267</v>
      </c>
      <c r="N1464" s="5" t="s">
        <v>265</v>
      </c>
      <c r="O1464" s="5" t="s">
        <v>238</v>
      </c>
      <c r="P1464" s="5" t="s">
        <v>238</v>
      </c>
      <c r="Q1464" s="5" t="s">
        <v>268</v>
      </c>
      <c r="R1464" s="5" t="s">
        <v>270</v>
      </c>
      <c r="S1464" s="5" t="s">
        <v>238</v>
      </c>
      <c r="V1464" s="5" t="s">
        <v>238</v>
      </c>
      <c r="X1464" s="6" t="s">
        <v>238</v>
      </c>
      <c r="AA1464" s="6" t="s">
        <v>243</v>
      </c>
      <c r="AB1464" s="5" t="s">
        <v>238</v>
      </c>
      <c r="AC1464" s="5" t="s">
        <v>244</v>
      </c>
      <c r="AD1464" s="5" t="s">
        <v>245</v>
      </c>
      <c r="AT1464" s="5" t="s">
        <v>246</v>
      </c>
      <c r="AU1464" s="5" t="s">
        <v>238</v>
      </c>
      <c r="AV1464" s="5" t="s">
        <v>247</v>
      </c>
      <c r="AW1464" s="5" t="s">
        <v>238</v>
      </c>
      <c r="AX1464" s="5" t="s">
        <v>249</v>
      </c>
      <c r="AY1464" s="5" t="s">
        <v>238</v>
      </c>
      <c r="BA1464" s="5" t="s">
        <v>238</v>
      </c>
      <c r="BC1464" s="5" t="s">
        <v>250</v>
      </c>
      <c r="BD1464" s="6" t="s">
        <v>243</v>
      </c>
      <c r="BE1464" s="5" t="s">
        <v>251</v>
      </c>
      <c r="BF1464" s="5" t="s">
        <v>252</v>
      </c>
      <c r="BG1464" s="5" t="s">
        <v>238</v>
      </c>
      <c r="BH1464" s="7">
        <f>0</f>
        <v>0</v>
      </c>
      <c r="BI1464" s="8">
        <f>0</f>
        <v>0</v>
      </c>
      <c r="BJ1464" s="5" t="s">
        <v>253</v>
      </c>
      <c r="BK1464" s="5" t="s">
        <v>254</v>
      </c>
      <c r="BY1464" s="5" t="s">
        <v>238</v>
      </c>
      <c r="BZ1464" s="5" t="s">
        <v>238</v>
      </c>
      <c r="CD1464" s="5" t="s">
        <v>273</v>
      </c>
      <c r="CE1464" s="5" t="s">
        <v>256</v>
      </c>
      <c r="CF1464" s="5" t="s">
        <v>238</v>
      </c>
      <c r="CI1464" s="6" t="s">
        <v>257</v>
      </c>
      <c r="CJ1464" s="5" t="s">
        <v>238</v>
      </c>
      <c r="CK1464" s="5" t="s">
        <v>258</v>
      </c>
      <c r="CL1464" s="5" t="s">
        <v>238</v>
      </c>
      <c r="CM1464" s="5" t="s">
        <v>238</v>
      </c>
      <c r="CN1464" s="5">
        <v>0</v>
      </c>
      <c r="CO1464" s="5" t="s">
        <v>259</v>
      </c>
      <c r="CP1464" s="5" t="s">
        <v>260</v>
      </c>
      <c r="CQ1464" s="5" t="s">
        <v>260</v>
      </c>
      <c r="CR1464" s="5" t="s">
        <v>261</v>
      </c>
      <c r="CU1464" s="8">
        <f>1</f>
        <v>1</v>
      </c>
      <c r="CV1464" s="8">
        <f>0</f>
        <v>0</v>
      </c>
      <c r="CX1464" s="8">
        <f>0</f>
        <v>0</v>
      </c>
      <c r="CY1464" s="8">
        <f>1</f>
        <v>1</v>
      </c>
      <c r="DA1464" s="5" t="s">
        <v>673</v>
      </c>
      <c r="DB1464" s="5" t="s">
        <v>238</v>
      </c>
      <c r="DD1464" s="5" t="s">
        <v>673</v>
      </c>
      <c r="DE1464" s="8">
        <f>4512</f>
        <v>4512</v>
      </c>
      <c r="DG1464" s="5" t="s">
        <v>238</v>
      </c>
      <c r="DH1464" s="5" t="s">
        <v>238</v>
      </c>
      <c r="DI1464" s="5" t="s">
        <v>238</v>
      </c>
      <c r="DJ1464" s="5" t="s">
        <v>238</v>
      </c>
      <c r="DN1464" s="5" t="s">
        <v>238</v>
      </c>
      <c r="DO1464" s="5" t="s">
        <v>238</v>
      </c>
      <c r="DP1464" s="5" t="s">
        <v>238</v>
      </c>
      <c r="DQ1464" s="5" t="s">
        <v>238</v>
      </c>
      <c r="DT1464" s="5" t="s">
        <v>2039</v>
      </c>
      <c r="DU1464" s="5" t="s">
        <v>2383</v>
      </c>
      <c r="HM1464" s="5" t="s">
        <v>264</v>
      </c>
    </row>
    <row r="1465" spans="1:221" x14ac:dyDescent="0.4">
      <c r="A1465" s="5">
        <v>3140</v>
      </c>
      <c r="B1465" s="5">
        <v>1</v>
      </c>
      <c r="C1465" s="5">
        <v>1</v>
      </c>
      <c r="D1465" s="5" t="s">
        <v>2037</v>
      </c>
      <c r="E1465" s="5" t="s">
        <v>271</v>
      </c>
      <c r="F1465" s="5" t="s">
        <v>248</v>
      </c>
      <c r="G1465" s="5" t="s">
        <v>1969</v>
      </c>
      <c r="H1465" s="6" t="s">
        <v>2381</v>
      </c>
      <c r="I1465" s="7">
        <f>5093</f>
        <v>5093</v>
      </c>
      <c r="J1465" s="5" t="s">
        <v>262</v>
      </c>
      <c r="K1465" s="8">
        <f>1</f>
        <v>1</v>
      </c>
      <c r="L1465" s="6" t="s">
        <v>242</v>
      </c>
      <c r="M1465" s="5" t="s">
        <v>267</v>
      </c>
      <c r="N1465" s="5" t="s">
        <v>265</v>
      </c>
      <c r="O1465" s="5" t="s">
        <v>238</v>
      </c>
      <c r="P1465" s="5" t="s">
        <v>238</v>
      </c>
      <c r="Q1465" s="5" t="s">
        <v>268</v>
      </c>
      <c r="R1465" s="5" t="s">
        <v>270</v>
      </c>
      <c r="S1465" s="5" t="s">
        <v>238</v>
      </c>
      <c r="V1465" s="5" t="s">
        <v>238</v>
      </c>
      <c r="X1465" s="6" t="s">
        <v>238</v>
      </c>
      <c r="AA1465" s="6" t="s">
        <v>243</v>
      </c>
      <c r="AB1465" s="5" t="s">
        <v>238</v>
      </c>
      <c r="AC1465" s="5" t="s">
        <v>244</v>
      </c>
      <c r="AD1465" s="5" t="s">
        <v>245</v>
      </c>
      <c r="AT1465" s="5" t="s">
        <v>246</v>
      </c>
      <c r="AU1465" s="5" t="s">
        <v>238</v>
      </c>
      <c r="AV1465" s="5" t="s">
        <v>247</v>
      </c>
      <c r="AW1465" s="5" t="s">
        <v>238</v>
      </c>
      <c r="AX1465" s="5" t="s">
        <v>249</v>
      </c>
      <c r="AY1465" s="5" t="s">
        <v>238</v>
      </c>
      <c r="BA1465" s="5" t="s">
        <v>238</v>
      </c>
      <c r="BC1465" s="5" t="s">
        <v>250</v>
      </c>
      <c r="BD1465" s="6" t="s">
        <v>243</v>
      </c>
      <c r="BE1465" s="5" t="s">
        <v>251</v>
      </c>
      <c r="BF1465" s="5" t="s">
        <v>252</v>
      </c>
      <c r="BG1465" s="5" t="s">
        <v>238</v>
      </c>
      <c r="BH1465" s="7">
        <f>0</f>
        <v>0</v>
      </c>
      <c r="BI1465" s="8">
        <f>0</f>
        <v>0</v>
      </c>
      <c r="BJ1465" s="5" t="s">
        <v>253</v>
      </c>
      <c r="BK1465" s="5" t="s">
        <v>254</v>
      </c>
      <c r="BY1465" s="5" t="s">
        <v>238</v>
      </c>
      <c r="BZ1465" s="5" t="s">
        <v>238</v>
      </c>
      <c r="CD1465" s="5" t="s">
        <v>273</v>
      </c>
      <c r="CE1465" s="5" t="s">
        <v>256</v>
      </c>
      <c r="CF1465" s="5" t="s">
        <v>238</v>
      </c>
      <c r="CI1465" s="6" t="s">
        <v>257</v>
      </c>
      <c r="CJ1465" s="5" t="s">
        <v>238</v>
      </c>
      <c r="CK1465" s="5" t="s">
        <v>258</v>
      </c>
      <c r="CL1465" s="5" t="s">
        <v>238</v>
      </c>
      <c r="CM1465" s="5" t="s">
        <v>238</v>
      </c>
      <c r="CN1465" s="5">
        <v>0</v>
      </c>
      <c r="CO1465" s="5" t="s">
        <v>259</v>
      </c>
      <c r="CP1465" s="5" t="s">
        <v>260</v>
      </c>
      <c r="CQ1465" s="5" t="s">
        <v>260</v>
      </c>
      <c r="CR1465" s="5" t="s">
        <v>261</v>
      </c>
      <c r="CU1465" s="8">
        <f>1</f>
        <v>1</v>
      </c>
      <c r="CV1465" s="8">
        <f>0</f>
        <v>0</v>
      </c>
      <c r="CX1465" s="8">
        <f>0</f>
        <v>0</v>
      </c>
      <c r="CY1465" s="8">
        <f>1</f>
        <v>1</v>
      </c>
      <c r="DA1465" s="5" t="s">
        <v>673</v>
      </c>
      <c r="DB1465" s="5" t="s">
        <v>238</v>
      </c>
      <c r="DD1465" s="5" t="s">
        <v>673</v>
      </c>
      <c r="DE1465" s="8">
        <f>5093</f>
        <v>5093</v>
      </c>
      <c r="DG1465" s="5" t="s">
        <v>238</v>
      </c>
      <c r="DH1465" s="5" t="s">
        <v>238</v>
      </c>
      <c r="DI1465" s="5" t="s">
        <v>238</v>
      </c>
      <c r="DJ1465" s="5" t="s">
        <v>238</v>
      </c>
      <c r="DN1465" s="5" t="s">
        <v>238</v>
      </c>
      <c r="DO1465" s="5" t="s">
        <v>238</v>
      </c>
      <c r="DP1465" s="5" t="s">
        <v>238</v>
      </c>
      <c r="DQ1465" s="5" t="s">
        <v>238</v>
      </c>
      <c r="DT1465" s="5" t="s">
        <v>2039</v>
      </c>
      <c r="DU1465" s="5" t="s">
        <v>1812</v>
      </c>
      <c r="HM1465" s="5" t="s">
        <v>264</v>
      </c>
    </row>
    <row r="1466" spans="1:221" x14ac:dyDescent="0.4">
      <c r="A1466" s="5">
        <v>3141</v>
      </c>
      <c r="B1466" s="5">
        <v>1</v>
      </c>
      <c r="C1466" s="5">
        <v>1</v>
      </c>
      <c r="D1466" s="5" t="s">
        <v>2037</v>
      </c>
      <c r="E1466" s="5" t="s">
        <v>271</v>
      </c>
      <c r="F1466" s="5" t="s">
        <v>248</v>
      </c>
      <c r="G1466" s="5" t="s">
        <v>1969</v>
      </c>
      <c r="H1466" s="6" t="s">
        <v>2376</v>
      </c>
      <c r="I1466" s="7">
        <f>2150</f>
        <v>2150</v>
      </c>
      <c r="J1466" s="5" t="s">
        <v>262</v>
      </c>
      <c r="K1466" s="8">
        <f>1</f>
        <v>1</v>
      </c>
      <c r="L1466" s="6" t="s">
        <v>242</v>
      </c>
      <c r="M1466" s="5" t="s">
        <v>267</v>
      </c>
      <c r="N1466" s="5" t="s">
        <v>265</v>
      </c>
      <c r="O1466" s="5" t="s">
        <v>238</v>
      </c>
      <c r="P1466" s="5" t="s">
        <v>238</v>
      </c>
      <c r="Q1466" s="5" t="s">
        <v>268</v>
      </c>
      <c r="R1466" s="5" t="s">
        <v>270</v>
      </c>
      <c r="S1466" s="5" t="s">
        <v>238</v>
      </c>
      <c r="V1466" s="5" t="s">
        <v>238</v>
      </c>
      <c r="X1466" s="6" t="s">
        <v>238</v>
      </c>
      <c r="AA1466" s="6" t="s">
        <v>243</v>
      </c>
      <c r="AB1466" s="5" t="s">
        <v>238</v>
      </c>
      <c r="AC1466" s="5" t="s">
        <v>244</v>
      </c>
      <c r="AD1466" s="5" t="s">
        <v>245</v>
      </c>
      <c r="AT1466" s="5" t="s">
        <v>246</v>
      </c>
      <c r="AU1466" s="5" t="s">
        <v>238</v>
      </c>
      <c r="AV1466" s="5" t="s">
        <v>247</v>
      </c>
      <c r="AW1466" s="5" t="s">
        <v>238</v>
      </c>
      <c r="AX1466" s="5" t="s">
        <v>249</v>
      </c>
      <c r="AY1466" s="5" t="s">
        <v>238</v>
      </c>
      <c r="BA1466" s="5" t="s">
        <v>238</v>
      </c>
      <c r="BC1466" s="5" t="s">
        <v>250</v>
      </c>
      <c r="BD1466" s="6" t="s">
        <v>243</v>
      </c>
      <c r="BE1466" s="5" t="s">
        <v>251</v>
      </c>
      <c r="BF1466" s="5" t="s">
        <v>252</v>
      </c>
      <c r="BG1466" s="5" t="s">
        <v>238</v>
      </c>
      <c r="BH1466" s="7">
        <f>0</f>
        <v>0</v>
      </c>
      <c r="BI1466" s="8">
        <f>0</f>
        <v>0</v>
      </c>
      <c r="BJ1466" s="5" t="s">
        <v>253</v>
      </c>
      <c r="BK1466" s="5" t="s">
        <v>254</v>
      </c>
      <c r="BY1466" s="5" t="s">
        <v>238</v>
      </c>
      <c r="BZ1466" s="5" t="s">
        <v>238</v>
      </c>
      <c r="CD1466" s="5" t="s">
        <v>273</v>
      </c>
      <c r="CE1466" s="5" t="s">
        <v>256</v>
      </c>
      <c r="CF1466" s="5" t="s">
        <v>238</v>
      </c>
      <c r="CI1466" s="6" t="s">
        <v>257</v>
      </c>
      <c r="CJ1466" s="5" t="s">
        <v>238</v>
      </c>
      <c r="CK1466" s="5" t="s">
        <v>258</v>
      </c>
      <c r="CL1466" s="5" t="s">
        <v>238</v>
      </c>
      <c r="CM1466" s="5" t="s">
        <v>238</v>
      </c>
      <c r="CN1466" s="5">
        <v>0</v>
      </c>
      <c r="CO1466" s="5" t="s">
        <v>259</v>
      </c>
      <c r="CP1466" s="5" t="s">
        <v>260</v>
      </c>
      <c r="CQ1466" s="5" t="s">
        <v>260</v>
      </c>
      <c r="CR1466" s="5" t="s">
        <v>261</v>
      </c>
      <c r="CU1466" s="8">
        <f>1</f>
        <v>1</v>
      </c>
      <c r="CV1466" s="8">
        <f>0</f>
        <v>0</v>
      </c>
      <c r="CX1466" s="8">
        <f>0</f>
        <v>0</v>
      </c>
      <c r="CY1466" s="8">
        <f>1</f>
        <v>1</v>
      </c>
      <c r="DA1466" s="5" t="s">
        <v>673</v>
      </c>
      <c r="DB1466" s="5" t="s">
        <v>238</v>
      </c>
      <c r="DD1466" s="5" t="s">
        <v>673</v>
      </c>
      <c r="DE1466" s="8">
        <f>2150</f>
        <v>2150</v>
      </c>
      <c r="DG1466" s="5" t="s">
        <v>238</v>
      </c>
      <c r="DH1466" s="5" t="s">
        <v>238</v>
      </c>
      <c r="DI1466" s="5" t="s">
        <v>238</v>
      </c>
      <c r="DJ1466" s="5" t="s">
        <v>238</v>
      </c>
      <c r="DN1466" s="5" t="s">
        <v>238</v>
      </c>
      <c r="DO1466" s="5" t="s">
        <v>238</v>
      </c>
      <c r="DP1466" s="5" t="s">
        <v>238</v>
      </c>
      <c r="DQ1466" s="5" t="s">
        <v>238</v>
      </c>
      <c r="DT1466" s="5" t="s">
        <v>2039</v>
      </c>
      <c r="DU1466" s="5" t="s">
        <v>2377</v>
      </c>
      <c r="HM1466" s="5" t="s">
        <v>264</v>
      </c>
    </row>
    <row r="1467" spans="1:221" x14ac:dyDescent="0.4">
      <c r="A1467" s="5">
        <v>3142</v>
      </c>
      <c r="B1467" s="5">
        <v>1</v>
      </c>
      <c r="C1467" s="5">
        <v>1</v>
      </c>
      <c r="D1467" s="5" t="s">
        <v>2037</v>
      </c>
      <c r="E1467" s="5" t="s">
        <v>271</v>
      </c>
      <c r="F1467" s="5" t="s">
        <v>248</v>
      </c>
      <c r="G1467" s="5" t="s">
        <v>1969</v>
      </c>
      <c r="H1467" s="6" t="s">
        <v>2374</v>
      </c>
      <c r="I1467" s="7">
        <f>1670</f>
        <v>1670</v>
      </c>
      <c r="J1467" s="5" t="s">
        <v>262</v>
      </c>
      <c r="K1467" s="8">
        <f>1</f>
        <v>1</v>
      </c>
      <c r="L1467" s="6" t="s">
        <v>242</v>
      </c>
      <c r="M1467" s="5" t="s">
        <v>267</v>
      </c>
      <c r="N1467" s="5" t="s">
        <v>265</v>
      </c>
      <c r="O1467" s="5" t="s">
        <v>238</v>
      </c>
      <c r="P1467" s="5" t="s">
        <v>238</v>
      </c>
      <c r="Q1467" s="5" t="s">
        <v>268</v>
      </c>
      <c r="R1467" s="5" t="s">
        <v>270</v>
      </c>
      <c r="S1467" s="5" t="s">
        <v>238</v>
      </c>
      <c r="V1467" s="5" t="s">
        <v>238</v>
      </c>
      <c r="X1467" s="6" t="s">
        <v>238</v>
      </c>
      <c r="AA1467" s="6" t="s">
        <v>243</v>
      </c>
      <c r="AB1467" s="5" t="s">
        <v>238</v>
      </c>
      <c r="AC1467" s="5" t="s">
        <v>244</v>
      </c>
      <c r="AD1467" s="5" t="s">
        <v>245</v>
      </c>
      <c r="AT1467" s="5" t="s">
        <v>246</v>
      </c>
      <c r="AU1467" s="5" t="s">
        <v>238</v>
      </c>
      <c r="AV1467" s="5" t="s">
        <v>247</v>
      </c>
      <c r="AW1467" s="5" t="s">
        <v>238</v>
      </c>
      <c r="AX1467" s="5" t="s">
        <v>249</v>
      </c>
      <c r="AY1467" s="5" t="s">
        <v>238</v>
      </c>
      <c r="BA1467" s="5" t="s">
        <v>238</v>
      </c>
      <c r="BC1467" s="5" t="s">
        <v>250</v>
      </c>
      <c r="BD1467" s="6" t="s">
        <v>243</v>
      </c>
      <c r="BE1467" s="5" t="s">
        <v>251</v>
      </c>
      <c r="BF1467" s="5" t="s">
        <v>252</v>
      </c>
      <c r="BG1467" s="5" t="s">
        <v>238</v>
      </c>
      <c r="BH1467" s="7">
        <f>0</f>
        <v>0</v>
      </c>
      <c r="BI1467" s="8">
        <f>0</f>
        <v>0</v>
      </c>
      <c r="BJ1467" s="5" t="s">
        <v>253</v>
      </c>
      <c r="BK1467" s="5" t="s">
        <v>254</v>
      </c>
      <c r="BY1467" s="5" t="s">
        <v>238</v>
      </c>
      <c r="BZ1467" s="5" t="s">
        <v>238</v>
      </c>
      <c r="CD1467" s="5" t="s">
        <v>273</v>
      </c>
      <c r="CE1467" s="5" t="s">
        <v>256</v>
      </c>
      <c r="CF1467" s="5" t="s">
        <v>238</v>
      </c>
      <c r="CI1467" s="6" t="s">
        <v>257</v>
      </c>
      <c r="CJ1467" s="5" t="s">
        <v>238</v>
      </c>
      <c r="CK1467" s="5" t="s">
        <v>258</v>
      </c>
      <c r="CL1467" s="5" t="s">
        <v>238</v>
      </c>
      <c r="CM1467" s="5" t="s">
        <v>238</v>
      </c>
      <c r="CN1467" s="5">
        <v>0</v>
      </c>
      <c r="CO1467" s="5" t="s">
        <v>259</v>
      </c>
      <c r="CP1467" s="5" t="s">
        <v>260</v>
      </c>
      <c r="CQ1467" s="5" t="s">
        <v>260</v>
      </c>
      <c r="CR1467" s="5" t="s">
        <v>261</v>
      </c>
      <c r="CU1467" s="8">
        <f>1</f>
        <v>1</v>
      </c>
      <c r="CV1467" s="8">
        <f>0</f>
        <v>0</v>
      </c>
      <c r="CX1467" s="8">
        <f>0</f>
        <v>0</v>
      </c>
      <c r="CY1467" s="8">
        <f>1</f>
        <v>1</v>
      </c>
      <c r="DA1467" s="5" t="s">
        <v>673</v>
      </c>
      <c r="DB1467" s="5" t="s">
        <v>238</v>
      </c>
      <c r="DD1467" s="5" t="s">
        <v>673</v>
      </c>
      <c r="DE1467" s="8">
        <f>1670</f>
        <v>1670</v>
      </c>
      <c r="DG1467" s="5" t="s">
        <v>238</v>
      </c>
      <c r="DH1467" s="5" t="s">
        <v>238</v>
      </c>
      <c r="DI1467" s="5" t="s">
        <v>238</v>
      </c>
      <c r="DJ1467" s="5" t="s">
        <v>238</v>
      </c>
      <c r="DN1467" s="5" t="s">
        <v>238</v>
      </c>
      <c r="DO1467" s="5" t="s">
        <v>238</v>
      </c>
      <c r="DP1467" s="5" t="s">
        <v>238</v>
      </c>
      <c r="DQ1467" s="5" t="s">
        <v>238</v>
      </c>
      <c r="DT1467" s="5" t="s">
        <v>2039</v>
      </c>
      <c r="DU1467" s="5" t="s">
        <v>2375</v>
      </c>
      <c r="HM1467" s="5" t="s">
        <v>264</v>
      </c>
    </row>
    <row r="1468" spans="1:221" x14ac:dyDescent="0.4">
      <c r="A1468" s="5">
        <v>3143</v>
      </c>
      <c r="B1468" s="5">
        <v>1</v>
      </c>
      <c r="C1468" s="5">
        <v>1</v>
      </c>
      <c r="D1468" s="5" t="s">
        <v>2037</v>
      </c>
      <c r="E1468" s="5" t="s">
        <v>271</v>
      </c>
      <c r="F1468" s="5" t="s">
        <v>248</v>
      </c>
      <c r="G1468" s="5" t="s">
        <v>1969</v>
      </c>
      <c r="H1468" s="6" t="s">
        <v>2372</v>
      </c>
      <c r="I1468" s="7">
        <f>1630</f>
        <v>1630</v>
      </c>
      <c r="J1468" s="5" t="s">
        <v>262</v>
      </c>
      <c r="K1468" s="8">
        <f>1</f>
        <v>1</v>
      </c>
      <c r="L1468" s="6" t="s">
        <v>242</v>
      </c>
      <c r="M1468" s="5" t="s">
        <v>267</v>
      </c>
      <c r="N1468" s="5" t="s">
        <v>265</v>
      </c>
      <c r="O1468" s="5" t="s">
        <v>238</v>
      </c>
      <c r="P1468" s="5" t="s">
        <v>238</v>
      </c>
      <c r="Q1468" s="5" t="s">
        <v>268</v>
      </c>
      <c r="R1468" s="5" t="s">
        <v>270</v>
      </c>
      <c r="S1468" s="5" t="s">
        <v>238</v>
      </c>
      <c r="V1468" s="5" t="s">
        <v>238</v>
      </c>
      <c r="X1468" s="6" t="s">
        <v>238</v>
      </c>
      <c r="AA1468" s="6" t="s">
        <v>243</v>
      </c>
      <c r="AB1468" s="5" t="s">
        <v>238</v>
      </c>
      <c r="AC1468" s="5" t="s">
        <v>244</v>
      </c>
      <c r="AD1468" s="5" t="s">
        <v>245</v>
      </c>
      <c r="AT1468" s="5" t="s">
        <v>246</v>
      </c>
      <c r="AU1468" s="5" t="s">
        <v>238</v>
      </c>
      <c r="AV1468" s="5" t="s">
        <v>247</v>
      </c>
      <c r="AW1468" s="5" t="s">
        <v>238</v>
      </c>
      <c r="AX1468" s="5" t="s">
        <v>249</v>
      </c>
      <c r="AY1468" s="5" t="s">
        <v>238</v>
      </c>
      <c r="BA1468" s="5" t="s">
        <v>238</v>
      </c>
      <c r="BC1468" s="5" t="s">
        <v>250</v>
      </c>
      <c r="BD1468" s="6" t="s">
        <v>243</v>
      </c>
      <c r="BE1468" s="5" t="s">
        <v>251</v>
      </c>
      <c r="BF1468" s="5" t="s">
        <v>252</v>
      </c>
      <c r="BG1468" s="5" t="s">
        <v>238</v>
      </c>
      <c r="BH1468" s="7">
        <f>0</f>
        <v>0</v>
      </c>
      <c r="BI1468" s="8">
        <f>0</f>
        <v>0</v>
      </c>
      <c r="BJ1468" s="5" t="s">
        <v>253</v>
      </c>
      <c r="BK1468" s="5" t="s">
        <v>254</v>
      </c>
      <c r="BY1468" s="5" t="s">
        <v>238</v>
      </c>
      <c r="BZ1468" s="5" t="s">
        <v>238</v>
      </c>
      <c r="CD1468" s="5" t="s">
        <v>273</v>
      </c>
      <c r="CE1468" s="5" t="s">
        <v>256</v>
      </c>
      <c r="CF1468" s="5" t="s">
        <v>238</v>
      </c>
      <c r="CI1468" s="6" t="s">
        <v>257</v>
      </c>
      <c r="CJ1468" s="5" t="s">
        <v>238</v>
      </c>
      <c r="CK1468" s="5" t="s">
        <v>258</v>
      </c>
      <c r="CL1468" s="5" t="s">
        <v>238</v>
      </c>
      <c r="CM1468" s="5" t="s">
        <v>238</v>
      </c>
      <c r="CN1468" s="5">
        <v>0</v>
      </c>
      <c r="CO1468" s="5" t="s">
        <v>259</v>
      </c>
      <c r="CP1468" s="5" t="s">
        <v>260</v>
      </c>
      <c r="CQ1468" s="5" t="s">
        <v>260</v>
      </c>
      <c r="CR1468" s="5" t="s">
        <v>261</v>
      </c>
      <c r="CU1468" s="8">
        <f>1</f>
        <v>1</v>
      </c>
      <c r="CV1468" s="8">
        <f>0</f>
        <v>0</v>
      </c>
      <c r="CX1468" s="8">
        <f>0</f>
        <v>0</v>
      </c>
      <c r="CY1468" s="8">
        <f>1</f>
        <v>1</v>
      </c>
      <c r="DA1468" s="5" t="s">
        <v>673</v>
      </c>
      <c r="DB1468" s="5" t="s">
        <v>238</v>
      </c>
      <c r="DD1468" s="5" t="s">
        <v>673</v>
      </c>
      <c r="DE1468" s="8">
        <f>1630</f>
        <v>1630</v>
      </c>
      <c r="DG1468" s="5" t="s">
        <v>238</v>
      </c>
      <c r="DH1468" s="5" t="s">
        <v>238</v>
      </c>
      <c r="DI1468" s="5" t="s">
        <v>238</v>
      </c>
      <c r="DJ1468" s="5" t="s">
        <v>238</v>
      </c>
      <c r="DN1468" s="5" t="s">
        <v>238</v>
      </c>
      <c r="DO1468" s="5" t="s">
        <v>238</v>
      </c>
      <c r="DP1468" s="5" t="s">
        <v>238</v>
      </c>
      <c r="DQ1468" s="5" t="s">
        <v>238</v>
      </c>
      <c r="DT1468" s="5" t="s">
        <v>2039</v>
      </c>
      <c r="DU1468" s="5" t="s">
        <v>2373</v>
      </c>
      <c r="HM1468" s="5" t="s">
        <v>264</v>
      </c>
    </row>
    <row r="1469" spans="1:221" x14ac:dyDescent="0.4">
      <c r="A1469" s="5">
        <v>3144</v>
      </c>
      <c r="B1469" s="5">
        <v>1</v>
      </c>
      <c r="C1469" s="5">
        <v>1</v>
      </c>
      <c r="D1469" s="5" t="s">
        <v>2037</v>
      </c>
      <c r="E1469" s="5" t="s">
        <v>271</v>
      </c>
      <c r="F1469" s="5" t="s">
        <v>248</v>
      </c>
      <c r="G1469" s="5" t="s">
        <v>1969</v>
      </c>
      <c r="H1469" s="6" t="s">
        <v>2368</v>
      </c>
      <c r="I1469" s="7">
        <f>4240</f>
        <v>4240</v>
      </c>
      <c r="J1469" s="5" t="s">
        <v>262</v>
      </c>
      <c r="K1469" s="8">
        <f>1</f>
        <v>1</v>
      </c>
      <c r="L1469" s="6" t="s">
        <v>242</v>
      </c>
      <c r="M1469" s="5" t="s">
        <v>267</v>
      </c>
      <c r="N1469" s="5" t="s">
        <v>265</v>
      </c>
      <c r="O1469" s="5" t="s">
        <v>238</v>
      </c>
      <c r="P1469" s="5" t="s">
        <v>238</v>
      </c>
      <c r="Q1469" s="5" t="s">
        <v>268</v>
      </c>
      <c r="R1469" s="5" t="s">
        <v>270</v>
      </c>
      <c r="S1469" s="5" t="s">
        <v>238</v>
      </c>
      <c r="V1469" s="5" t="s">
        <v>238</v>
      </c>
      <c r="X1469" s="6" t="s">
        <v>238</v>
      </c>
      <c r="AA1469" s="6" t="s">
        <v>243</v>
      </c>
      <c r="AB1469" s="5" t="s">
        <v>238</v>
      </c>
      <c r="AC1469" s="5" t="s">
        <v>244</v>
      </c>
      <c r="AD1469" s="5" t="s">
        <v>245</v>
      </c>
      <c r="AT1469" s="5" t="s">
        <v>246</v>
      </c>
      <c r="AU1469" s="5" t="s">
        <v>238</v>
      </c>
      <c r="AV1469" s="5" t="s">
        <v>247</v>
      </c>
      <c r="AW1469" s="5" t="s">
        <v>238</v>
      </c>
      <c r="AX1469" s="5" t="s">
        <v>249</v>
      </c>
      <c r="AY1469" s="5" t="s">
        <v>238</v>
      </c>
      <c r="BA1469" s="5" t="s">
        <v>238</v>
      </c>
      <c r="BC1469" s="5" t="s">
        <v>250</v>
      </c>
      <c r="BD1469" s="6" t="s">
        <v>243</v>
      </c>
      <c r="BE1469" s="5" t="s">
        <v>251</v>
      </c>
      <c r="BF1469" s="5" t="s">
        <v>252</v>
      </c>
      <c r="BG1469" s="5" t="s">
        <v>238</v>
      </c>
      <c r="BH1469" s="7">
        <f>0</f>
        <v>0</v>
      </c>
      <c r="BI1469" s="8">
        <f>0</f>
        <v>0</v>
      </c>
      <c r="BJ1469" s="5" t="s">
        <v>253</v>
      </c>
      <c r="BK1469" s="5" t="s">
        <v>254</v>
      </c>
      <c r="BY1469" s="5" t="s">
        <v>238</v>
      </c>
      <c r="BZ1469" s="5" t="s">
        <v>238</v>
      </c>
      <c r="CD1469" s="5" t="s">
        <v>273</v>
      </c>
      <c r="CE1469" s="5" t="s">
        <v>256</v>
      </c>
      <c r="CF1469" s="5" t="s">
        <v>238</v>
      </c>
      <c r="CI1469" s="6" t="s">
        <v>257</v>
      </c>
      <c r="CJ1469" s="5" t="s">
        <v>238</v>
      </c>
      <c r="CK1469" s="5" t="s">
        <v>258</v>
      </c>
      <c r="CL1469" s="5" t="s">
        <v>238</v>
      </c>
      <c r="CM1469" s="5" t="s">
        <v>238</v>
      </c>
      <c r="CN1469" s="5">
        <v>0</v>
      </c>
      <c r="CO1469" s="5" t="s">
        <v>259</v>
      </c>
      <c r="CP1469" s="5" t="s">
        <v>260</v>
      </c>
      <c r="CQ1469" s="5" t="s">
        <v>260</v>
      </c>
      <c r="CR1469" s="5" t="s">
        <v>261</v>
      </c>
      <c r="CU1469" s="8">
        <f>1</f>
        <v>1</v>
      </c>
      <c r="CV1469" s="8">
        <f>0</f>
        <v>0</v>
      </c>
      <c r="CX1469" s="8">
        <f>0</f>
        <v>0</v>
      </c>
      <c r="CY1469" s="8">
        <f>1</f>
        <v>1</v>
      </c>
      <c r="DA1469" s="5" t="s">
        <v>673</v>
      </c>
      <c r="DB1469" s="5" t="s">
        <v>238</v>
      </c>
      <c r="DD1469" s="5" t="s">
        <v>673</v>
      </c>
      <c r="DE1469" s="8">
        <f>4240</f>
        <v>4240</v>
      </c>
      <c r="DG1469" s="5" t="s">
        <v>238</v>
      </c>
      <c r="DH1469" s="5" t="s">
        <v>238</v>
      </c>
      <c r="DI1469" s="5" t="s">
        <v>238</v>
      </c>
      <c r="DJ1469" s="5" t="s">
        <v>238</v>
      </c>
      <c r="DN1469" s="5" t="s">
        <v>238</v>
      </c>
      <c r="DO1469" s="5" t="s">
        <v>238</v>
      </c>
      <c r="DP1469" s="5" t="s">
        <v>238</v>
      </c>
      <c r="DQ1469" s="5" t="s">
        <v>238</v>
      </c>
      <c r="DT1469" s="5" t="s">
        <v>2039</v>
      </c>
      <c r="DU1469" s="5" t="s">
        <v>670</v>
      </c>
      <c r="HM1469" s="5" t="s">
        <v>264</v>
      </c>
    </row>
    <row r="1470" spans="1:221" x14ac:dyDescent="0.4">
      <c r="A1470" s="5">
        <v>3145</v>
      </c>
      <c r="B1470" s="5">
        <v>1</v>
      </c>
      <c r="C1470" s="5">
        <v>1</v>
      </c>
      <c r="D1470" s="5" t="s">
        <v>2037</v>
      </c>
      <c r="E1470" s="5" t="s">
        <v>271</v>
      </c>
      <c r="F1470" s="5" t="s">
        <v>248</v>
      </c>
      <c r="G1470" s="5" t="s">
        <v>1969</v>
      </c>
      <c r="H1470" s="6" t="s">
        <v>2362</v>
      </c>
      <c r="I1470" s="7">
        <f>2228</f>
        <v>2228</v>
      </c>
      <c r="J1470" s="5" t="s">
        <v>262</v>
      </c>
      <c r="K1470" s="8">
        <f>1</f>
        <v>1</v>
      </c>
      <c r="L1470" s="6" t="s">
        <v>242</v>
      </c>
      <c r="M1470" s="5" t="s">
        <v>267</v>
      </c>
      <c r="N1470" s="5" t="s">
        <v>265</v>
      </c>
      <c r="O1470" s="5" t="s">
        <v>238</v>
      </c>
      <c r="P1470" s="5" t="s">
        <v>238</v>
      </c>
      <c r="Q1470" s="5" t="s">
        <v>268</v>
      </c>
      <c r="R1470" s="5" t="s">
        <v>270</v>
      </c>
      <c r="S1470" s="5" t="s">
        <v>238</v>
      </c>
      <c r="V1470" s="5" t="s">
        <v>238</v>
      </c>
      <c r="X1470" s="6" t="s">
        <v>238</v>
      </c>
      <c r="AA1470" s="6" t="s">
        <v>243</v>
      </c>
      <c r="AB1470" s="5" t="s">
        <v>238</v>
      </c>
      <c r="AC1470" s="5" t="s">
        <v>244</v>
      </c>
      <c r="AD1470" s="5" t="s">
        <v>245</v>
      </c>
      <c r="AT1470" s="5" t="s">
        <v>246</v>
      </c>
      <c r="AU1470" s="5" t="s">
        <v>238</v>
      </c>
      <c r="AV1470" s="5" t="s">
        <v>247</v>
      </c>
      <c r="AW1470" s="5" t="s">
        <v>238</v>
      </c>
      <c r="AX1470" s="5" t="s">
        <v>249</v>
      </c>
      <c r="AY1470" s="5" t="s">
        <v>238</v>
      </c>
      <c r="BA1470" s="5" t="s">
        <v>238</v>
      </c>
      <c r="BC1470" s="5" t="s">
        <v>250</v>
      </c>
      <c r="BD1470" s="6" t="s">
        <v>243</v>
      </c>
      <c r="BE1470" s="5" t="s">
        <v>251</v>
      </c>
      <c r="BF1470" s="5" t="s">
        <v>252</v>
      </c>
      <c r="BG1470" s="5" t="s">
        <v>238</v>
      </c>
      <c r="BH1470" s="7">
        <f>0</f>
        <v>0</v>
      </c>
      <c r="BI1470" s="8">
        <f>0</f>
        <v>0</v>
      </c>
      <c r="BJ1470" s="5" t="s">
        <v>253</v>
      </c>
      <c r="BK1470" s="5" t="s">
        <v>254</v>
      </c>
      <c r="BY1470" s="5" t="s">
        <v>238</v>
      </c>
      <c r="BZ1470" s="5" t="s">
        <v>238</v>
      </c>
      <c r="CD1470" s="5" t="s">
        <v>273</v>
      </c>
      <c r="CE1470" s="5" t="s">
        <v>256</v>
      </c>
      <c r="CF1470" s="5" t="s">
        <v>238</v>
      </c>
      <c r="CI1470" s="6" t="s">
        <v>257</v>
      </c>
      <c r="CJ1470" s="5" t="s">
        <v>238</v>
      </c>
      <c r="CK1470" s="5" t="s">
        <v>258</v>
      </c>
      <c r="CL1470" s="5" t="s">
        <v>238</v>
      </c>
      <c r="CM1470" s="5" t="s">
        <v>238</v>
      </c>
      <c r="CN1470" s="5">
        <v>0</v>
      </c>
      <c r="CO1470" s="5" t="s">
        <v>259</v>
      </c>
      <c r="CP1470" s="5" t="s">
        <v>260</v>
      </c>
      <c r="CQ1470" s="5" t="s">
        <v>260</v>
      </c>
      <c r="CR1470" s="5" t="s">
        <v>261</v>
      </c>
      <c r="CU1470" s="8">
        <f>1</f>
        <v>1</v>
      </c>
      <c r="CV1470" s="8">
        <f>0</f>
        <v>0</v>
      </c>
      <c r="CX1470" s="8">
        <f>0</f>
        <v>0</v>
      </c>
      <c r="CY1470" s="8">
        <f>1</f>
        <v>1</v>
      </c>
      <c r="DA1470" s="5" t="s">
        <v>673</v>
      </c>
      <c r="DB1470" s="5" t="s">
        <v>238</v>
      </c>
      <c r="DD1470" s="5" t="s">
        <v>673</v>
      </c>
      <c r="DE1470" s="8">
        <f>2228</f>
        <v>2228</v>
      </c>
      <c r="DG1470" s="5" t="s">
        <v>238</v>
      </c>
      <c r="DH1470" s="5" t="s">
        <v>238</v>
      </c>
      <c r="DI1470" s="5" t="s">
        <v>238</v>
      </c>
      <c r="DJ1470" s="5" t="s">
        <v>238</v>
      </c>
      <c r="DN1470" s="5" t="s">
        <v>238</v>
      </c>
      <c r="DO1470" s="5" t="s">
        <v>238</v>
      </c>
      <c r="DP1470" s="5" t="s">
        <v>238</v>
      </c>
      <c r="DQ1470" s="5" t="s">
        <v>238</v>
      </c>
      <c r="DT1470" s="5" t="s">
        <v>2039</v>
      </c>
      <c r="DU1470" s="5" t="s">
        <v>646</v>
      </c>
      <c r="HM1470" s="5" t="s">
        <v>264</v>
      </c>
    </row>
    <row r="1471" spans="1:221" x14ac:dyDescent="0.4">
      <c r="A1471" s="5">
        <v>3146</v>
      </c>
      <c r="B1471" s="5">
        <v>1</v>
      </c>
      <c r="C1471" s="5">
        <v>1</v>
      </c>
      <c r="D1471" s="5" t="s">
        <v>2037</v>
      </c>
      <c r="E1471" s="5" t="s">
        <v>271</v>
      </c>
      <c r="F1471" s="5" t="s">
        <v>248</v>
      </c>
      <c r="G1471" s="5" t="s">
        <v>1969</v>
      </c>
      <c r="H1471" s="6" t="s">
        <v>2361</v>
      </c>
      <c r="I1471" s="7">
        <f>5531</f>
        <v>5531</v>
      </c>
      <c r="J1471" s="5" t="s">
        <v>262</v>
      </c>
      <c r="K1471" s="8">
        <f>1</f>
        <v>1</v>
      </c>
      <c r="L1471" s="6" t="s">
        <v>242</v>
      </c>
      <c r="M1471" s="5" t="s">
        <v>267</v>
      </c>
      <c r="N1471" s="5" t="s">
        <v>265</v>
      </c>
      <c r="O1471" s="5" t="s">
        <v>238</v>
      </c>
      <c r="P1471" s="5" t="s">
        <v>238</v>
      </c>
      <c r="Q1471" s="5" t="s">
        <v>268</v>
      </c>
      <c r="R1471" s="5" t="s">
        <v>270</v>
      </c>
      <c r="S1471" s="5" t="s">
        <v>238</v>
      </c>
      <c r="V1471" s="5" t="s">
        <v>238</v>
      </c>
      <c r="X1471" s="6" t="s">
        <v>238</v>
      </c>
      <c r="AA1471" s="6" t="s">
        <v>243</v>
      </c>
      <c r="AB1471" s="5" t="s">
        <v>238</v>
      </c>
      <c r="AC1471" s="5" t="s">
        <v>244</v>
      </c>
      <c r="AD1471" s="5" t="s">
        <v>245</v>
      </c>
      <c r="AT1471" s="5" t="s">
        <v>246</v>
      </c>
      <c r="AU1471" s="5" t="s">
        <v>238</v>
      </c>
      <c r="AV1471" s="5" t="s">
        <v>247</v>
      </c>
      <c r="AW1471" s="5" t="s">
        <v>238</v>
      </c>
      <c r="AX1471" s="5" t="s">
        <v>249</v>
      </c>
      <c r="AY1471" s="5" t="s">
        <v>238</v>
      </c>
      <c r="BA1471" s="5" t="s">
        <v>238</v>
      </c>
      <c r="BC1471" s="5" t="s">
        <v>250</v>
      </c>
      <c r="BD1471" s="6" t="s">
        <v>243</v>
      </c>
      <c r="BE1471" s="5" t="s">
        <v>251</v>
      </c>
      <c r="BF1471" s="5" t="s">
        <v>252</v>
      </c>
      <c r="BG1471" s="5" t="s">
        <v>238</v>
      </c>
      <c r="BH1471" s="7">
        <f>0</f>
        <v>0</v>
      </c>
      <c r="BI1471" s="8">
        <f>0</f>
        <v>0</v>
      </c>
      <c r="BJ1471" s="5" t="s">
        <v>253</v>
      </c>
      <c r="BK1471" s="5" t="s">
        <v>254</v>
      </c>
      <c r="BY1471" s="5" t="s">
        <v>238</v>
      </c>
      <c r="BZ1471" s="5" t="s">
        <v>238</v>
      </c>
      <c r="CD1471" s="5" t="s">
        <v>273</v>
      </c>
      <c r="CE1471" s="5" t="s">
        <v>256</v>
      </c>
      <c r="CF1471" s="5" t="s">
        <v>238</v>
      </c>
      <c r="CI1471" s="6" t="s">
        <v>257</v>
      </c>
      <c r="CJ1471" s="5" t="s">
        <v>238</v>
      </c>
      <c r="CK1471" s="5" t="s">
        <v>258</v>
      </c>
      <c r="CL1471" s="5" t="s">
        <v>238</v>
      </c>
      <c r="CM1471" s="5" t="s">
        <v>238</v>
      </c>
      <c r="CN1471" s="5">
        <v>0</v>
      </c>
      <c r="CO1471" s="5" t="s">
        <v>259</v>
      </c>
      <c r="CP1471" s="5" t="s">
        <v>260</v>
      </c>
      <c r="CQ1471" s="5" t="s">
        <v>260</v>
      </c>
      <c r="CR1471" s="5" t="s">
        <v>261</v>
      </c>
      <c r="CU1471" s="8">
        <f>1</f>
        <v>1</v>
      </c>
      <c r="CV1471" s="8">
        <f>0</f>
        <v>0</v>
      </c>
      <c r="CX1471" s="8">
        <f>0</f>
        <v>0</v>
      </c>
      <c r="CY1471" s="8">
        <f>1</f>
        <v>1</v>
      </c>
      <c r="DA1471" s="5" t="s">
        <v>673</v>
      </c>
      <c r="DB1471" s="5" t="s">
        <v>238</v>
      </c>
      <c r="DD1471" s="5" t="s">
        <v>673</v>
      </c>
      <c r="DE1471" s="8">
        <f>5531</f>
        <v>5531</v>
      </c>
      <c r="DG1471" s="5" t="s">
        <v>238</v>
      </c>
      <c r="DH1471" s="5" t="s">
        <v>238</v>
      </c>
      <c r="DI1471" s="5" t="s">
        <v>238</v>
      </c>
      <c r="DJ1471" s="5" t="s">
        <v>238</v>
      </c>
      <c r="DN1471" s="5" t="s">
        <v>238</v>
      </c>
      <c r="DO1471" s="5" t="s">
        <v>238</v>
      </c>
      <c r="DP1471" s="5" t="s">
        <v>238</v>
      </c>
      <c r="DQ1471" s="5" t="s">
        <v>238</v>
      </c>
      <c r="DT1471" s="5" t="s">
        <v>2039</v>
      </c>
      <c r="DU1471" s="5" t="s">
        <v>544</v>
      </c>
      <c r="HM1471" s="5" t="s">
        <v>264</v>
      </c>
    </row>
    <row r="1472" spans="1:221" x14ac:dyDescent="0.4">
      <c r="A1472" s="5">
        <v>3147</v>
      </c>
      <c r="B1472" s="5">
        <v>1</v>
      </c>
      <c r="C1472" s="5">
        <v>1</v>
      </c>
      <c r="D1472" s="5" t="s">
        <v>2037</v>
      </c>
      <c r="E1472" s="5" t="s">
        <v>271</v>
      </c>
      <c r="F1472" s="5" t="s">
        <v>248</v>
      </c>
      <c r="G1472" s="5" t="s">
        <v>1969</v>
      </c>
      <c r="H1472" s="6" t="s">
        <v>2358</v>
      </c>
      <c r="I1472" s="7">
        <f>554</f>
        <v>554</v>
      </c>
      <c r="J1472" s="5" t="s">
        <v>262</v>
      </c>
      <c r="K1472" s="8">
        <f>1</f>
        <v>1</v>
      </c>
      <c r="L1472" s="6" t="s">
        <v>242</v>
      </c>
      <c r="M1472" s="5" t="s">
        <v>267</v>
      </c>
      <c r="N1472" s="5" t="s">
        <v>265</v>
      </c>
      <c r="O1472" s="5" t="s">
        <v>238</v>
      </c>
      <c r="P1472" s="5" t="s">
        <v>238</v>
      </c>
      <c r="Q1472" s="5" t="s">
        <v>268</v>
      </c>
      <c r="R1472" s="5" t="s">
        <v>270</v>
      </c>
      <c r="S1472" s="5" t="s">
        <v>238</v>
      </c>
      <c r="V1472" s="5" t="s">
        <v>238</v>
      </c>
      <c r="X1472" s="6" t="s">
        <v>238</v>
      </c>
      <c r="AA1472" s="6" t="s">
        <v>243</v>
      </c>
      <c r="AB1472" s="5" t="s">
        <v>238</v>
      </c>
      <c r="AC1472" s="5" t="s">
        <v>244</v>
      </c>
      <c r="AD1472" s="5" t="s">
        <v>245</v>
      </c>
      <c r="AT1472" s="5" t="s">
        <v>246</v>
      </c>
      <c r="AU1472" s="5" t="s">
        <v>238</v>
      </c>
      <c r="AV1472" s="5" t="s">
        <v>247</v>
      </c>
      <c r="AW1472" s="5" t="s">
        <v>238</v>
      </c>
      <c r="AX1472" s="5" t="s">
        <v>249</v>
      </c>
      <c r="AY1472" s="5" t="s">
        <v>238</v>
      </c>
      <c r="BA1472" s="5" t="s">
        <v>238</v>
      </c>
      <c r="BC1472" s="5" t="s">
        <v>250</v>
      </c>
      <c r="BD1472" s="6" t="s">
        <v>243</v>
      </c>
      <c r="BE1472" s="5" t="s">
        <v>251</v>
      </c>
      <c r="BF1472" s="5" t="s">
        <v>252</v>
      </c>
      <c r="BG1472" s="5" t="s">
        <v>238</v>
      </c>
      <c r="BH1472" s="7">
        <f>0</f>
        <v>0</v>
      </c>
      <c r="BI1472" s="8">
        <f>0</f>
        <v>0</v>
      </c>
      <c r="BJ1472" s="5" t="s">
        <v>253</v>
      </c>
      <c r="BK1472" s="5" t="s">
        <v>254</v>
      </c>
      <c r="BY1472" s="5" t="s">
        <v>238</v>
      </c>
      <c r="BZ1472" s="5" t="s">
        <v>238</v>
      </c>
      <c r="CD1472" s="5" t="s">
        <v>273</v>
      </c>
      <c r="CE1472" s="5" t="s">
        <v>256</v>
      </c>
      <c r="CF1472" s="5" t="s">
        <v>238</v>
      </c>
      <c r="CI1472" s="6" t="s">
        <v>257</v>
      </c>
      <c r="CJ1472" s="5" t="s">
        <v>238</v>
      </c>
      <c r="CK1472" s="5" t="s">
        <v>258</v>
      </c>
      <c r="CL1472" s="5" t="s">
        <v>238</v>
      </c>
      <c r="CM1472" s="5" t="s">
        <v>238</v>
      </c>
      <c r="CN1472" s="5">
        <v>0</v>
      </c>
      <c r="CO1472" s="5" t="s">
        <v>259</v>
      </c>
      <c r="CP1472" s="5" t="s">
        <v>260</v>
      </c>
      <c r="CQ1472" s="5" t="s">
        <v>260</v>
      </c>
      <c r="CR1472" s="5" t="s">
        <v>261</v>
      </c>
      <c r="CU1472" s="8">
        <f>1</f>
        <v>1</v>
      </c>
      <c r="CV1472" s="8">
        <f>0</f>
        <v>0</v>
      </c>
      <c r="CX1472" s="8">
        <f>0</f>
        <v>0</v>
      </c>
      <c r="CY1472" s="8">
        <f>1</f>
        <v>1</v>
      </c>
      <c r="DA1472" s="5" t="s">
        <v>673</v>
      </c>
      <c r="DB1472" s="5" t="s">
        <v>238</v>
      </c>
      <c r="DD1472" s="5" t="s">
        <v>673</v>
      </c>
      <c r="DE1472" s="8">
        <f>554</f>
        <v>554</v>
      </c>
      <c r="DG1472" s="5" t="s">
        <v>238</v>
      </c>
      <c r="DH1472" s="5" t="s">
        <v>238</v>
      </c>
      <c r="DI1472" s="5" t="s">
        <v>238</v>
      </c>
      <c r="DJ1472" s="5" t="s">
        <v>238</v>
      </c>
      <c r="DN1472" s="5" t="s">
        <v>238</v>
      </c>
      <c r="DO1472" s="5" t="s">
        <v>238</v>
      </c>
      <c r="DP1472" s="5" t="s">
        <v>238</v>
      </c>
      <c r="DQ1472" s="5" t="s">
        <v>238</v>
      </c>
      <c r="DT1472" s="5" t="s">
        <v>2039</v>
      </c>
      <c r="DU1472" s="5" t="s">
        <v>360</v>
      </c>
      <c r="HM1472" s="5" t="s">
        <v>264</v>
      </c>
    </row>
    <row r="1473" spans="1:221" x14ac:dyDescent="0.4">
      <c r="A1473" s="5">
        <v>3148</v>
      </c>
      <c r="B1473" s="5">
        <v>1</v>
      </c>
      <c r="C1473" s="5">
        <v>1</v>
      </c>
      <c r="D1473" s="5" t="s">
        <v>2037</v>
      </c>
      <c r="E1473" s="5" t="s">
        <v>271</v>
      </c>
      <c r="F1473" s="5" t="s">
        <v>248</v>
      </c>
      <c r="G1473" s="5" t="s">
        <v>1969</v>
      </c>
      <c r="H1473" s="6" t="s">
        <v>2357</v>
      </c>
      <c r="I1473" s="7">
        <f>2180</f>
        <v>2180</v>
      </c>
      <c r="J1473" s="5" t="s">
        <v>262</v>
      </c>
      <c r="K1473" s="8">
        <f>1</f>
        <v>1</v>
      </c>
      <c r="L1473" s="6" t="s">
        <v>242</v>
      </c>
      <c r="M1473" s="5" t="s">
        <v>267</v>
      </c>
      <c r="N1473" s="5" t="s">
        <v>265</v>
      </c>
      <c r="O1473" s="5" t="s">
        <v>238</v>
      </c>
      <c r="P1473" s="5" t="s">
        <v>238</v>
      </c>
      <c r="Q1473" s="5" t="s">
        <v>268</v>
      </c>
      <c r="R1473" s="5" t="s">
        <v>270</v>
      </c>
      <c r="S1473" s="5" t="s">
        <v>238</v>
      </c>
      <c r="V1473" s="5" t="s">
        <v>238</v>
      </c>
      <c r="X1473" s="6" t="s">
        <v>238</v>
      </c>
      <c r="AA1473" s="6" t="s">
        <v>243</v>
      </c>
      <c r="AB1473" s="5" t="s">
        <v>238</v>
      </c>
      <c r="AC1473" s="5" t="s">
        <v>244</v>
      </c>
      <c r="AD1473" s="5" t="s">
        <v>245</v>
      </c>
      <c r="AT1473" s="5" t="s">
        <v>246</v>
      </c>
      <c r="AU1473" s="5" t="s">
        <v>238</v>
      </c>
      <c r="AV1473" s="5" t="s">
        <v>247</v>
      </c>
      <c r="AW1473" s="5" t="s">
        <v>238</v>
      </c>
      <c r="AX1473" s="5" t="s">
        <v>249</v>
      </c>
      <c r="AY1473" s="5" t="s">
        <v>238</v>
      </c>
      <c r="BA1473" s="5" t="s">
        <v>238</v>
      </c>
      <c r="BC1473" s="5" t="s">
        <v>250</v>
      </c>
      <c r="BD1473" s="6" t="s">
        <v>243</v>
      </c>
      <c r="BE1473" s="5" t="s">
        <v>251</v>
      </c>
      <c r="BF1473" s="5" t="s">
        <v>252</v>
      </c>
      <c r="BG1473" s="5" t="s">
        <v>238</v>
      </c>
      <c r="BH1473" s="7">
        <f>0</f>
        <v>0</v>
      </c>
      <c r="BI1473" s="8">
        <f>0</f>
        <v>0</v>
      </c>
      <c r="BJ1473" s="5" t="s">
        <v>253</v>
      </c>
      <c r="BK1473" s="5" t="s">
        <v>254</v>
      </c>
      <c r="BY1473" s="5" t="s">
        <v>238</v>
      </c>
      <c r="BZ1473" s="5" t="s">
        <v>238</v>
      </c>
      <c r="CD1473" s="5" t="s">
        <v>273</v>
      </c>
      <c r="CE1473" s="5" t="s">
        <v>256</v>
      </c>
      <c r="CF1473" s="5" t="s">
        <v>238</v>
      </c>
      <c r="CI1473" s="6" t="s">
        <v>257</v>
      </c>
      <c r="CJ1473" s="5" t="s">
        <v>238</v>
      </c>
      <c r="CK1473" s="5" t="s">
        <v>258</v>
      </c>
      <c r="CL1473" s="5" t="s">
        <v>238</v>
      </c>
      <c r="CM1473" s="5" t="s">
        <v>238</v>
      </c>
      <c r="CN1473" s="5">
        <v>0</v>
      </c>
      <c r="CO1473" s="5" t="s">
        <v>259</v>
      </c>
      <c r="CP1473" s="5" t="s">
        <v>260</v>
      </c>
      <c r="CQ1473" s="5" t="s">
        <v>260</v>
      </c>
      <c r="CR1473" s="5" t="s">
        <v>261</v>
      </c>
      <c r="CU1473" s="8">
        <f>1</f>
        <v>1</v>
      </c>
      <c r="CV1473" s="8">
        <f>0</f>
        <v>0</v>
      </c>
      <c r="CX1473" s="8">
        <f>0</f>
        <v>0</v>
      </c>
      <c r="CY1473" s="8">
        <f>1</f>
        <v>1</v>
      </c>
      <c r="DA1473" s="5" t="s">
        <v>673</v>
      </c>
      <c r="DB1473" s="5" t="s">
        <v>238</v>
      </c>
      <c r="DD1473" s="5" t="s">
        <v>673</v>
      </c>
      <c r="DE1473" s="8">
        <f>2180</f>
        <v>2180</v>
      </c>
      <c r="DG1473" s="5" t="s">
        <v>238</v>
      </c>
      <c r="DH1473" s="5" t="s">
        <v>238</v>
      </c>
      <c r="DI1473" s="5" t="s">
        <v>238</v>
      </c>
      <c r="DJ1473" s="5" t="s">
        <v>238</v>
      </c>
      <c r="DN1473" s="5" t="s">
        <v>238</v>
      </c>
      <c r="DO1473" s="5" t="s">
        <v>238</v>
      </c>
      <c r="DP1473" s="5" t="s">
        <v>238</v>
      </c>
      <c r="DQ1473" s="5" t="s">
        <v>238</v>
      </c>
      <c r="DT1473" s="5" t="s">
        <v>2039</v>
      </c>
      <c r="DU1473" s="5" t="s">
        <v>988</v>
      </c>
      <c r="HM1473" s="5" t="s">
        <v>264</v>
      </c>
    </row>
    <row r="1474" spans="1:221" x14ac:dyDescent="0.4">
      <c r="A1474" s="5">
        <v>3149</v>
      </c>
      <c r="B1474" s="5">
        <v>1</v>
      </c>
      <c r="C1474" s="5">
        <v>1</v>
      </c>
      <c r="D1474" s="5" t="s">
        <v>2037</v>
      </c>
      <c r="E1474" s="5" t="s">
        <v>271</v>
      </c>
      <c r="F1474" s="5" t="s">
        <v>248</v>
      </c>
      <c r="G1474" s="5" t="s">
        <v>1969</v>
      </c>
      <c r="H1474" s="6" t="s">
        <v>2339</v>
      </c>
      <c r="I1474" s="7">
        <f>6989</f>
        <v>6989</v>
      </c>
      <c r="J1474" s="5" t="s">
        <v>262</v>
      </c>
      <c r="K1474" s="8">
        <f>1</f>
        <v>1</v>
      </c>
      <c r="L1474" s="6" t="s">
        <v>242</v>
      </c>
      <c r="M1474" s="5" t="s">
        <v>267</v>
      </c>
      <c r="N1474" s="5" t="s">
        <v>265</v>
      </c>
      <c r="O1474" s="5" t="s">
        <v>238</v>
      </c>
      <c r="P1474" s="5" t="s">
        <v>238</v>
      </c>
      <c r="Q1474" s="5" t="s">
        <v>268</v>
      </c>
      <c r="R1474" s="5" t="s">
        <v>270</v>
      </c>
      <c r="S1474" s="5" t="s">
        <v>238</v>
      </c>
      <c r="V1474" s="5" t="s">
        <v>238</v>
      </c>
      <c r="X1474" s="6" t="s">
        <v>238</v>
      </c>
      <c r="AA1474" s="6" t="s">
        <v>243</v>
      </c>
      <c r="AB1474" s="5" t="s">
        <v>238</v>
      </c>
      <c r="AC1474" s="5" t="s">
        <v>244</v>
      </c>
      <c r="AD1474" s="5" t="s">
        <v>245</v>
      </c>
      <c r="AT1474" s="5" t="s">
        <v>246</v>
      </c>
      <c r="AU1474" s="5" t="s">
        <v>238</v>
      </c>
      <c r="AV1474" s="5" t="s">
        <v>247</v>
      </c>
      <c r="AW1474" s="5" t="s">
        <v>238</v>
      </c>
      <c r="AX1474" s="5" t="s">
        <v>249</v>
      </c>
      <c r="AY1474" s="5" t="s">
        <v>238</v>
      </c>
      <c r="BA1474" s="5" t="s">
        <v>238</v>
      </c>
      <c r="BC1474" s="5" t="s">
        <v>250</v>
      </c>
      <c r="BD1474" s="6" t="s">
        <v>243</v>
      </c>
      <c r="BE1474" s="5" t="s">
        <v>251</v>
      </c>
      <c r="BF1474" s="5" t="s">
        <v>252</v>
      </c>
      <c r="BG1474" s="5" t="s">
        <v>238</v>
      </c>
      <c r="BH1474" s="7">
        <f>0</f>
        <v>0</v>
      </c>
      <c r="BI1474" s="8">
        <f>0</f>
        <v>0</v>
      </c>
      <c r="BJ1474" s="5" t="s">
        <v>253</v>
      </c>
      <c r="BK1474" s="5" t="s">
        <v>254</v>
      </c>
      <c r="BY1474" s="5" t="s">
        <v>238</v>
      </c>
      <c r="BZ1474" s="5" t="s">
        <v>238</v>
      </c>
      <c r="CD1474" s="5" t="s">
        <v>273</v>
      </c>
      <c r="CE1474" s="5" t="s">
        <v>256</v>
      </c>
      <c r="CF1474" s="5" t="s">
        <v>238</v>
      </c>
      <c r="CI1474" s="6" t="s">
        <v>257</v>
      </c>
      <c r="CJ1474" s="5" t="s">
        <v>238</v>
      </c>
      <c r="CK1474" s="5" t="s">
        <v>258</v>
      </c>
      <c r="CL1474" s="5" t="s">
        <v>238</v>
      </c>
      <c r="CM1474" s="5" t="s">
        <v>238</v>
      </c>
      <c r="CN1474" s="5">
        <v>0</v>
      </c>
      <c r="CO1474" s="5" t="s">
        <v>259</v>
      </c>
      <c r="CP1474" s="5" t="s">
        <v>260</v>
      </c>
      <c r="CQ1474" s="5" t="s">
        <v>260</v>
      </c>
      <c r="CR1474" s="5" t="s">
        <v>261</v>
      </c>
      <c r="CU1474" s="8">
        <f>1</f>
        <v>1</v>
      </c>
      <c r="CV1474" s="8">
        <f>0</f>
        <v>0</v>
      </c>
      <c r="CX1474" s="8">
        <f>0</f>
        <v>0</v>
      </c>
      <c r="CY1474" s="8">
        <f>1</f>
        <v>1</v>
      </c>
      <c r="DA1474" s="5" t="s">
        <v>673</v>
      </c>
      <c r="DB1474" s="5" t="s">
        <v>238</v>
      </c>
      <c r="DD1474" s="5" t="s">
        <v>673</v>
      </c>
      <c r="DE1474" s="8">
        <f>6989</f>
        <v>6989</v>
      </c>
      <c r="DG1474" s="5" t="s">
        <v>238</v>
      </c>
      <c r="DH1474" s="5" t="s">
        <v>238</v>
      </c>
      <c r="DI1474" s="5" t="s">
        <v>238</v>
      </c>
      <c r="DJ1474" s="5" t="s">
        <v>238</v>
      </c>
      <c r="DN1474" s="5" t="s">
        <v>238</v>
      </c>
      <c r="DO1474" s="5" t="s">
        <v>238</v>
      </c>
      <c r="DP1474" s="5" t="s">
        <v>238</v>
      </c>
      <c r="DQ1474" s="5" t="s">
        <v>238</v>
      </c>
      <c r="DT1474" s="5" t="s">
        <v>2039</v>
      </c>
      <c r="DU1474" s="5" t="s">
        <v>1072</v>
      </c>
      <c r="HM1474" s="5" t="s">
        <v>264</v>
      </c>
    </row>
    <row r="1475" spans="1:221" x14ac:dyDescent="0.4">
      <c r="A1475" s="5">
        <v>3150</v>
      </c>
      <c r="B1475" s="5">
        <v>1</v>
      </c>
      <c r="C1475" s="5">
        <v>1</v>
      </c>
      <c r="D1475" s="5" t="s">
        <v>2037</v>
      </c>
      <c r="E1475" s="5" t="s">
        <v>271</v>
      </c>
      <c r="F1475" s="5" t="s">
        <v>248</v>
      </c>
      <c r="G1475" s="5" t="s">
        <v>1969</v>
      </c>
      <c r="H1475" s="6" t="s">
        <v>2338</v>
      </c>
      <c r="I1475" s="7">
        <f>2079</f>
        <v>2079</v>
      </c>
      <c r="J1475" s="5" t="s">
        <v>262</v>
      </c>
      <c r="K1475" s="8">
        <f>1</f>
        <v>1</v>
      </c>
      <c r="L1475" s="6" t="s">
        <v>242</v>
      </c>
      <c r="M1475" s="5" t="s">
        <v>267</v>
      </c>
      <c r="N1475" s="5" t="s">
        <v>265</v>
      </c>
      <c r="O1475" s="5" t="s">
        <v>238</v>
      </c>
      <c r="P1475" s="5" t="s">
        <v>238</v>
      </c>
      <c r="Q1475" s="5" t="s">
        <v>268</v>
      </c>
      <c r="R1475" s="5" t="s">
        <v>270</v>
      </c>
      <c r="S1475" s="5" t="s">
        <v>238</v>
      </c>
      <c r="V1475" s="5" t="s">
        <v>238</v>
      </c>
      <c r="X1475" s="6" t="s">
        <v>238</v>
      </c>
      <c r="AA1475" s="6" t="s">
        <v>243</v>
      </c>
      <c r="AB1475" s="5" t="s">
        <v>238</v>
      </c>
      <c r="AC1475" s="5" t="s">
        <v>244</v>
      </c>
      <c r="AD1475" s="5" t="s">
        <v>245</v>
      </c>
      <c r="AT1475" s="5" t="s">
        <v>246</v>
      </c>
      <c r="AU1475" s="5" t="s">
        <v>238</v>
      </c>
      <c r="AV1475" s="5" t="s">
        <v>247</v>
      </c>
      <c r="AW1475" s="5" t="s">
        <v>238</v>
      </c>
      <c r="AX1475" s="5" t="s">
        <v>249</v>
      </c>
      <c r="AY1475" s="5" t="s">
        <v>238</v>
      </c>
      <c r="BA1475" s="5" t="s">
        <v>238</v>
      </c>
      <c r="BC1475" s="5" t="s">
        <v>250</v>
      </c>
      <c r="BD1475" s="6" t="s">
        <v>243</v>
      </c>
      <c r="BE1475" s="5" t="s">
        <v>251</v>
      </c>
      <c r="BF1475" s="5" t="s">
        <v>252</v>
      </c>
      <c r="BG1475" s="5" t="s">
        <v>238</v>
      </c>
      <c r="BH1475" s="7">
        <f>0</f>
        <v>0</v>
      </c>
      <c r="BI1475" s="8">
        <f>0</f>
        <v>0</v>
      </c>
      <c r="BJ1475" s="5" t="s">
        <v>253</v>
      </c>
      <c r="BK1475" s="5" t="s">
        <v>254</v>
      </c>
      <c r="BY1475" s="5" t="s">
        <v>238</v>
      </c>
      <c r="BZ1475" s="5" t="s">
        <v>238</v>
      </c>
      <c r="CD1475" s="5" t="s">
        <v>273</v>
      </c>
      <c r="CE1475" s="5" t="s">
        <v>256</v>
      </c>
      <c r="CF1475" s="5" t="s">
        <v>238</v>
      </c>
      <c r="CI1475" s="6" t="s">
        <v>257</v>
      </c>
      <c r="CJ1475" s="5" t="s">
        <v>238</v>
      </c>
      <c r="CK1475" s="5" t="s">
        <v>258</v>
      </c>
      <c r="CL1475" s="5" t="s">
        <v>238</v>
      </c>
      <c r="CM1475" s="5" t="s">
        <v>238</v>
      </c>
      <c r="CN1475" s="5">
        <v>0</v>
      </c>
      <c r="CO1475" s="5" t="s">
        <v>259</v>
      </c>
      <c r="CP1475" s="5" t="s">
        <v>260</v>
      </c>
      <c r="CQ1475" s="5" t="s">
        <v>260</v>
      </c>
      <c r="CR1475" s="5" t="s">
        <v>261</v>
      </c>
      <c r="CU1475" s="8">
        <f>1</f>
        <v>1</v>
      </c>
      <c r="CV1475" s="8">
        <f>0</f>
        <v>0</v>
      </c>
      <c r="CX1475" s="8">
        <f>0</f>
        <v>0</v>
      </c>
      <c r="CY1475" s="8">
        <f>1</f>
        <v>1</v>
      </c>
      <c r="DA1475" s="5" t="s">
        <v>673</v>
      </c>
      <c r="DB1475" s="5" t="s">
        <v>238</v>
      </c>
      <c r="DD1475" s="5" t="s">
        <v>673</v>
      </c>
      <c r="DE1475" s="8">
        <f>2079</f>
        <v>2079</v>
      </c>
      <c r="DG1475" s="5" t="s">
        <v>238</v>
      </c>
      <c r="DH1475" s="5" t="s">
        <v>238</v>
      </c>
      <c r="DI1475" s="5" t="s">
        <v>238</v>
      </c>
      <c r="DJ1475" s="5" t="s">
        <v>238</v>
      </c>
      <c r="DN1475" s="5" t="s">
        <v>238</v>
      </c>
      <c r="DO1475" s="5" t="s">
        <v>238</v>
      </c>
      <c r="DP1475" s="5" t="s">
        <v>238</v>
      </c>
      <c r="DQ1475" s="5" t="s">
        <v>238</v>
      </c>
      <c r="DT1475" s="5" t="s">
        <v>2039</v>
      </c>
      <c r="DU1475" s="5" t="s">
        <v>1100</v>
      </c>
      <c r="HM1475" s="5" t="s">
        <v>264</v>
      </c>
    </row>
    <row r="1476" spans="1:221" x14ac:dyDescent="0.4">
      <c r="A1476" s="5">
        <v>3151</v>
      </c>
      <c r="B1476" s="5">
        <v>1</v>
      </c>
      <c r="C1476" s="5">
        <v>1</v>
      </c>
      <c r="D1476" s="5" t="s">
        <v>2037</v>
      </c>
      <c r="E1476" s="5" t="s">
        <v>271</v>
      </c>
      <c r="F1476" s="5" t="s">
        <v>248</v>
      </c>
      <c r="G1476" s="5" t="s">
        <v>1969</v>
      </c>
      <c r="H1476" s="6" t="s">
        <v>2337</v>
      </c>
      <c r="I1476" s="7">
        <f>2203</f>
        <v>2203</v>
      </c>
      <c r="J1476" s="5" t="s">
        <v>262</v>
      </c>
      <c r="K1476" s="8">
        <f>1</f>
        <v>1</v>
      </c>
      <c r="L1476" s="6" t="s">
        <v>242</v>
      </c>
      <c r="M1476" s="5" t="s">
        <v>267</v>
      </c>
      <c r="N1476" s="5" t="s">
        <v>265</v>
      </c>
      <c r="O1476" s="5" t="s">
        <v>238</v>
      </c>
      <c r="P1476" s="5" t="s">
        <v>238</v>
      </c>
      <c r="Q1476" s="5" t="s">
        <v>268</v>
      </c>
      <c r="R1476" s="5" t="s">
        <v>270</v>
      </c>
      <c r="S1476" s="5" t="s">
        <v>238</v>
      </c>
      <c r="V1476" s="5" t="s">
        <v>238</v>
      </c>
      <c r="X1476" s="6" t="s">
        <v>238</v>
      </c>
      <c r="AA1476" s="6" t="s">
        <v>243</v>
      </c>
      <c r="AB1476" s="5" t="s">
        <v>238</v>
      </c>
      <c r="AC1476" s="5" t="s">
        <v>244</v>
      </c>
      <c r="AD1476" s="5" t="s">
        <v>245</v>
      </c>
      <c r="AT1476" s="5" t="s">
        <v>246</v>
      </c>
      <c r="AU1476" s="5" t="s">
        <v>238</v>
      </c>
      <c r="AV1476" s="5" t="s">
        <v>247</v>
      </c>
      <c r="AW1476" s="5" t="s">
        <v>238</v>
      </c>
      <c r="AX1476" s="5" t="s">
        <v>249</v>
      </c>
      <c r="AY1476" s="5" t="s">
        <v>238</v>
      </c>
      <c r="BA1476" s="5" t="s">
        <v>238</v>
      </c>
      <c r="BC1476" s="5" t="s">
        <v>250</v>
      </c>
      <c r="BD1476" s="6" t="s">
        <v>243</v>
      </c>
      <c r="BE1476" s="5" t="s">
        <v>251</v>
      </c>
      <c r="BF1476" s="5" t="s">
        <v>252</v>
      </c>
      <c r="BG1476" s="5" t="s">
        <v>238</v>
      </c>
      <c r="BH1476" s="7">
        <f>0</f>
        <v>0</v>
      </c>
      <c r="BI1476" s="8">
        <f>0</f>
        <v>0</v>
      </c>
      <c r="BJ1476" s="5" t="s">
        <v>253</v>
      </c>
      <c r="BK1476" s="5" t="s">
        <v>254</v>
      </c>
      <c r="BY1476" s="5" t="s">
        <v>238</v>
      </c>
      <c r="BZ1476" s="5" t="s">
        <v>238</v>
      </c>
      <c r="CD1476" s="5" t="s">
        <v>273</v>
      </c>
      <c r="CE1476" s="5" t="s">
        <v>256</v>
      </c>
      <c r="CF1476" s="5" t="s">
        <v>238</v>
      </c>
      <c r="CI1476" s="6" t="s">
        <v>257</v>
      </c>
      <c r="CJ1476" s="5" t="s">
        <v>238</v>
      </c>
      <c r="CK1476" s="5" t="s">
        <v>258</v>
      </c>
      <c r="CL1476" s="5" t="s">
        <v>238</v>
      </c>
      <c r="CM1476" s="5" t="s">
        <v>238</v>
      </c>
      <c r="CN1476" s="5">
        <v>0</v>
      </c>
      <c r="CO1476" s="5" t="s">
        <v>259</v>
      </c>
      <c r="CP1476" s="5" t="s">
        <v>260</v>
      </c>
      <c r="CQ1476" s="5" t="s">
        <v>260</v>
      </c>
      <c r="CR1476" s="5" t="s">
        <v>261</v>
      </c>
      <c r="CU1476" s="8">
        <f>1</f>
        <v>1</v>
      </c>
      <c r="CV1476" s="8">
        <f>0</f>
        <v>0</v>
      </c>
      <c r="CX1476" s="8">
        <f>0</f>
        <v>0</v>
      </c>
      <c r="CY1476" s="8">
        <f>1</f>
        <v>1</v>
      </c>
      <c r="DA1476" s="5" t="s">
        <v>673</v>
      </c>
      <c r="DB1476" s="5" t="s">
        <v>238</v>
      </c>
      <c r="DD1476" s="5" t="s">
        <v>673</v>
      </c>
      <c r="DE1476" s="8">
        <f>2203</f>
        <v>2203</v>
      </c>
      <c r="DG1476" s="5" t="s">
        <v>238</v>
      </c>
      <c r="DH1476" s="5" t="s">
        <v>238</v>
      </c>
      <c r="DI1476" s="5" t="s">
        <v>238</v>
      </c>
      <c r="DJ1476" s="5" t="s">
        <v>238</v>
      </c>
      <c r="DN1476" s="5" t="s">
        <v>238</v>
      </c>
      <c r="DO1476" s="5" t="s">
        <v>238</v>
      </c>
      <c r="DP1476" s="5" t="s">
        <v>238</v>
      </c>
      <c r="DQ1476" s="5" t="s">
        <v>238</v>
      </c>
      <c r="DT1476" s="5" t="s">
        <v>2039</v>
      </c>
      <c r="DU1476" s="5" t="s">
        <v>1213</v>
      </c>
      <c r="HM1476" s="5" t="s">
        <v>264</v>
      </c>
    </row>
    <row r="1477" spans="1:221" x14ac:dyDescent="0.4">
      <c r="A1477" s="5">
        <v>3152</v>
      </c>
      <c r="B1477" s="5">
        <v>1</v>
      </c>
      <c r="C1477" s="5">
        <v>1</v>
      </c>
      <c r="D1477" s="5" t="s">
        <v>2037</v>
      </c>
      <c r="E1477" s="5" t="s">
        <v>271</v>
      </c>
      <c r="F1477" s="5" t="s">
        <v>248</v>
      </c>
      <c r="G1477" s="5" t="s">
        <v>1969</v>
      </c>
      <c r="H1477" s="6" t="s">
        <v>2336</v>
      </c>
      <c r="I1477" s="7">
        <f>1362</f>
        <v>1362</v>
      </c>
      <c r="J1477" s="5" t="s">
        <v>262</v>
      </c>
      <c r="K1477" s="8">
        <f>1</f>
        <v>1</v>
      </c>
      <c r="L1477" s="6" t="s">
        <v>242</v>
      </c>
      <c r="M1477" s="5" t="s">
        <v>267</v>
      </c>
      <c r="N1477" s="5" t="s">
        <v>265</v>
      </c>
      <c r="O1477" s="5" t="s">
        <v>238</v>
      </c>
      <c r="P1477" s="5" t="s">
        <v>238</v>
      </c>
      <c r="Q1477" s="5" t="s">
        <v>268</v>
      </c>
      <c r="R1477" s="5" t="s">
        <v>270</v>
      </c>
      <c r="S1477" s="5" t="s">
        <v>238</v>
      </c>
      <c r="V1477" s="5" t="s">
        <v>238</v>
      </c>
      <c r="X1477" s="6" t="s">
        <v>238</v>
      </c>
      <c r="AA1477" s="6" t="s">
        <v>243</v>
      </c>
      <c r="AB1477" s="5" t="s">
        <v>238</v>
      </c>
      <c r="AC1477" s="5" t="s">
        <v>244</v>
      </c>
      <c r="AD1477" s="5" t="s">
        <v>245</v>
      </c>
      <c r="AT1477" s="5" t="s">
        <v>246</v>
      </c>
      <c r="AU1477" s="5" t="s">
        <v>238</v>
      </c>
      <c r="AV1477" s="5" t="s">
        <v>247</v>
      </c>
      <c r="AW1477" s="5" t="s">
        <v>238</v>
      </c>
      <c r="AX1477" s="5" t="s">
        <v>249</v>
      </c>
      <c r="AY1477" s="5" t="s">
        <v>238</v>
      </c>
      <c r="BA1477" s="5" t="s">
        <v>238</v>
      </c>
      <c r="BC1477" s="5" t="s">
        <v>250</v>
      </c>
      <c r="BD1477" s="6" t="s">
        <v>243</v>
      </c>
      <c r="BE1477" s="5" t="s">
        <v>251</v>
      </c>
      <c r="BF1477" s="5" t="s">
        <v>252</v>
      </c>
      <c r="BG1477" s="5" t="s">
        <v>238</v>
      </c>
      <c r="BH1477" s="7">
        <f>0</f>
        <v>0</v>
      </c>
      <c r="BI1477" s="8">
        <f>0</f>
        <v>0</v>
      </c>
      <c r="BJ1477" s="5" t="s">
        <v>253</v>
      </c>
      <c r="BK1477" s="5" t="s">
        <v>254</v>
      </c>
      <c r="BY1477" s="5" t="s">
        <v>238</v>
      </c>
      <c r="BZ1477" s="5" t="s">
        <v>238</v>
      </c>
      <c r="CD1477" s="5" t="s">
        <v>273</v>
      </c>
      <c r="CE1477" s="5" t="s">
        <v>256</v>
      </c>
      <c r="CF1477" s="5" t="s">
        <v>238</v>
      </c>
      <c r="CI1477" s="6" t="s">
        <v>257</v>
      </c>
      <c r="CJ1477" s="5" t="s">
        <v>238</v>
      </c>
      <c r="CK1477" s="5" t="s">
        <v>258</v>
      </c>
      <c r="CL1477" s="5" t="s">
        <v>238</v>
      </c>
      <c r="CM1477" s="5" t="s">
        <v>238</v>
      </c>
      <c r="CN1477" s="5">
        <v>0</v>
      </c>
      <c r="CO1477" s="5" t="s">
        <v>259</v>
      </c>
      <c r="CP1477" s="5" t="s">
        <v>260</v>
      </c>
      <c r="CQ1477" s="5" t="s">
        <v>260</v>
      </c>
      <c r="CR1477" s="5" t="s">
        <v>261</v>
      </c>
      <c r="CU1477" s="8">
        <f>1</f>
        <v>1</v>
      </c>
      <c r="CV1477" s="8">
        <f>0</f>
        <v>0</v>
      </c>
      <c r="CX1477" s="8">
        <f>0</f>
        <v>0</v>
      </c>
      <c r="CY1477" s="8">
        <f>1</f>
        <v>1</v>
      </c>
      <c r="DA1477" s="5" t="s">
        <v>673</v>
      </c>
      <c r="DB1477" s="5" t="s">
        <v>238</v>
      </c>
      <c r="DD1477" s="5" t="s">
        <v>673</v>
      </c>
      <c r="DE1477" s="8">
        <f>1362</f>
        <v>1362</v>
      </c>
      <c r="DG1477" s="5" t="s">
        <v>238</v>
      </c>
      <c r="DH1477" s="5" t="s">
        <v>238</v>
      </c>
      <c r="DI1477" s="5" t="s">
        <v>238</v>
      </c>
      <c r="DJ1477" s="5" t="s">
        <v>238</v>
      </c>
      <c r="DN1477" s="5" t="s">
        <v>238</v>
      </c>
      <c r="DO1477" s="5" t="s">
        <v>238</v>
      </c>
      <c r="DP1477" s="5" t="s">
        <v>238</v>
      </c>
      <c r="DQ1477" s="5" t="s">
        <v>238</v>
      </c>
      <c r="DT1477" s="5" t="s">
        <v>2039</v>
      </c>
      <c r="DU1477" s="5" t="s">
        <v>1260</v>
      </c>
      <c r="HM1477" s="5" t="s">
        <v>264</v>
      </c>
    </row>
    <row r="1478" spans="1:221" x14ac:dyDescent="0.4">
      <c r="A1478" s="5">
        <v>3153</v>
      </c>
      <c r="B1478" s="5">
        <v>1</v>
      </c>
      <c r="C1478" s="5">
        <v>1</v>
      </c>
      <c r="D1478" s="5" t="s">
        <v>2037</v>
      </c>
      <c r="E1478" s="5" t="s">
        <v>271</v>
      </c>
      <c r="F1478" s="5" t="s">
        <v>248</v>
      </c>
      <c r="G1478" s="5" t="s">
        <v>1969</v>
      </c>
      <c r="H1478" s="6" t="s">
        <v>2335</v>
      </c>
      <c r="I1478" s="7">
        <f>1804</f>
        <v>1804</v>
      </c>
      <c r="J1478" s="5" t="s">
        <v>262</v>
      </c>
      <c r="K1478" s="8">
        <f>1</f>
        <v>1</v>
      </c>
      <c r="L1478" s="6" t="s">
        <v>242</v>
      </c>
      <c r="M1478" s="5" t="s">
        <v>267</v>
      </c>
      <c r="N1478" s="5" t="s">
        <v>265</v>
      </c>
      <c r="O1478" s="5" t="s">
        <v>238</v>
      </c>
      <c r="P1478" s="5" t="s">
        <v>238</v>
      </c>
      <c r="Q1478" s="5" t="s">
        <v>268</v>
      </c>
      <c r="R1478" s="5" t="s">
        <v>270</v>
      </c>
      <c r="S1478" s="5" t="s">
        <v>238</v>
      </c>
      <c r="V1478" s="5" t="s">
        <v>238</v>
      </c>
      <c r="X1478" s="6" t="s">
        <v>238</v>
      </c>
      <c r="AA1478" s="6" t="s">
        <v>243</v>
      </c>
      <c r="AB1478" s="5" t="s">
        <v>238</v>
      </c>
      <c r="AC1478" s="5" t="s">
        <v>244</v>
      </c>
      <c r="AD1478" s="5" t="s">
        <v>245</v>
      </c>
      <c r="AT1478" s="5" t="s">
        <v>246</v>
      </c>
      <c r="AU1478" s="5" t="s">
        <v>238</v>
      </c>
      <c r="AV1478" s="5" t="s">
        <v>247</v>
      </c>
      <c r="AW1478" s="5" t="s">
        <v>238</v>
      </c>
      <c r="AX1478" s="5" t="s">
        <v>249</v>
      </c>
      <c r="AY1478" s="5" t="s">
        <v>238</v>
      </c>
      <c r="BA1478" s="5" t="s">
        <v>238</v>
      </c>
      <c r="BC1478" s="5" t="s">
        <v>250</v>
      </c>
      <c r="BD1478" s="6" t="s">
        <v>243</v>
      </c>
      <c r="BE1478" s="5" t="s">
        <v>251</v>
      </c>
      <c r="BF1478" s="5" t="s">
        <v>252</v>
      </c>
      <c r="BG1478" s="5" t="s">
        <v>238</v>
      </c>
      <c r="BH1478" s="7">
        <f>0</f>
        <v>0</v>
      </c>
      <c r="BI1478" s="8">
        <f>0</f>
        <v>0</v>
      </c>
      <c r="BJ1478" s="5" t="s">
        <v>253</v>
      </c>
      <c r="BK1478" s="5" t="s">
        <v>254</v>
      </c>
      <c r="BY1478" s="5" t="s">
        <v>238</v>
      </c>
      <c r="BZ1478" s="5" t="s">
        <v>238</v>
      </c>
      <c r="CD1478" s="5" t="s">
        <v>273</v>
      </c>
      <c r="CE1478" s="5" t="s">
        <v>256</v>
      </c>
      <c r="CF1478" s="5" t="s">
        <v>238</v>
      </c>
      <c r="CI1478" s="6" t="s">
        <v>257</v>
      </c>
      <c r="CJ1478" s="5" t="s">
        <v>238</v>
      </c>
      <c r="CK1478" s="5" t="s">
        <v>258</v>
      </c>
      <c r="CL1478" s="5" t="s">
        <v>238</v>
      </c>
      <c r="CM1478" s="5" t="s">
        <v>238</v>
      </c>
      <c r="CN1478" s="5">
        <v>0</v>
      </c>
      <c r="CO1478" s="5" t="s">
        <v>259</v>
      </c>
      <c r="CP1478" s="5" t="s">
        <v>260</v>
      </c>
      <c r="CQ1478" s="5" t="s">
        <v>260</v>
      </c>
      <c r="CR1478" s="5" t="s">
        <v>261</v>
      </c>
      <c r="CU1478" s="8">
        <f>1</f>
        <v>1</v>
      </c>
      <c r="CV1478" s="8">
        <f>0</f>
        <v>0</v>
      </c>
      <c r="CX1478" s="8">
        <f>0</f>
        <v>0</v>
      </c>
      <c r="CY1478" s="8">
        <f>1</f>
        <v>1</v>
      </c>
      <c r="DA1478" s="5" t="s">
        <v>673</v>
      </c>
      <c r="DB1478" s="5" t="s">
        <v>238</v>
      </c>
      <c r="DD1478" s="5" t="s">
        <v>673</v>
      </c>
      <c r="DE1478" s="8">
        <f>1804</f>
        <v>1804</v>
      </c>
      <c r="DG1478" s="5" t="s">
        <v>238</v>
      </c>
      <c r="DH1478" s="5" t="s">
        <v>238</v>
      </c>
      <c r="DI1478" s="5" t="s">
        <v>238</v>
      </c>
      <c r="DJ1478" s="5" t="s">
        <v>238</v>
      </c>
      <c r="DN1478" s="5" t="s">
        <v>238</v>
      </c>
      <c r="DO1478" s="5" t="s">
        <v>238</v>
      </c>
      <c r="DP1478" s="5" t="s">
        <v>238</v>
      </c>
      <c r="DQ1478" s="5" t="s">
        <v>238</v>
      </c>
      <c r="DT1478" s="5" t="s">
        <v>2039</v>
      </c>
      <c r="DU1478" s="5" t="s">
        <v>1088</v>
      </c>
      <c r="HM1478" s="5" t="s">
        <v>264</v>
      </c>
    </row>
    <row r="1479" spans="1:221" x14ac:dyDescent="0.4">
      <c r="A1479" s="5">
        <v>3154</v>
      </c>
      <c r="B1479" s="5">
        <v>1</v>
      </c>
      <c r="C1479" s="5">
        <v>1</v>
      </c>
      <c r="D1479" s="5" t="s">
        <v>2037</v>
      </c>
      <c r="E1479" s="5" t="s">
        <v>271</v>
      </c>
      <c r="F1479" s="5" t="s">
        <v>248</v>
      </c>
      <c r="G1479" s="5" t="s">
        <v>1969</v>
      </c>
      <c r="H1479" s="6" t="s">
        <v>2334</v>
      </c>
      <c r="I1479" s="7">
        <f>271</f>
        <v>271</v>
      </c>
      <c r="J1479" s="5" t="s">
        <v>262</v>
      </c>
      <c r="K1479" s="8">
        <f>1</f>
        <v>1</v>
      </c>
      <c r="L1479" s="6" t="s">
        <v>242</v>
      </c>
      <c r="M1479" s="5" t="s">
        <v>267</v>
      </c>
      <c r="N1479" s="5" t="s">
        <v>265</v>
      </c>
      <c r="O1479" s="5" t="s">
        <v>238</v>
      </c>
      <c r="P1479" s="5" t="s">
        <v>238</v>
      </c>
      <c r="Q1479" s="5" t="s">
        <v>268</v>
      </c>
      <c r="R1479" s="5" t="s">
        <v>270</v>
      </c>
      <c r="S1479" s="5" t="s">
        <v>238</v>
      </c>
      <c r="V1479" s="5" t="s">
        <v>238</v>
      </c>
      <c r="X1479" s="6" t="s">
        <v>238</v>
      </c>
      <c r="AA1479" s="6" t="s">
        <v>243</v>
      </c>
      <c r="AB1479" s="5" t="s">
        <v>238</v>
      </c>
      <c r="AC1479" s="5" t="s">
        <v>244</v>
      </c>
      <c r="AD1479" s="5" t="s">
        <v>245</v>
      </c>
      <c r="AT1479" s="5" t="s">
        <v>246</v>
      </c>
      <c r="AU1479" s="5" t="s">
        <v>238</v>
      </c>
      <c r="AV1479" s="5" t="s">
        <v>247</v>
      </c>
      <c r="AW1479" s="5" t="s">
        <v>238</v>
      </c>
      <c r="AX1479" s="5" t="s">
        <v>249</v>
      </c>
      <c r="AY1479" s="5" t="s">
        <v>238</v>
      </c>
      <c r="BA1479" s="5" t="s">
        <v>238</v>
      </c>
      <c r="BC1479" s="5" t="s">
        <v>250</v>
      </c>
      <c r="BD1479" s="6" t="s">
        <v>243</v>
      </c>
      <c r="BE1479" s="5" t="s">
        <v>251</v>
      </c>
      <c r="BF1479" s="5" t="s">
        <v>252</v>
      </c>
      <c r="BG1479" s="5" t="s">
        <v>238</v>
      </c>
      <c r="BH1479" s="7">
        <f>0</f>
        <v>0</v>
      </c>
      <c r="BI1479" s="8">
        <f>0</f>
        <v>0</v>
      </c>
      <c r="BJ1479" s="5" t="s">
        <v>253</v>
      </c>
      <c r="BK1479" s="5" t="s">
        <v>254</v>
      </c>
      <c r="BY1479" s="5" t="s">
        <v>238</v>
      </c>
      <c r="BZ1479" s="5" t="s">
        <v>238</v>
      </c>
      <c r="CD1479" s="5" t="s">
        <v>273</v>
      </c>
      <c r="CE1479" s="5" t="s">
        <v>256</v>
      </c>
      <c r="CF1479" s="5" t="s">
        <v>238</v>
      </c>
      <c r="CI1479" s="6" t="s">
        <v>257</v>
      </c>
      <c r="CJ1479" s="5" t="s">
        <v>238</v>
      </c>
      <c r="CK1479" s="5" t="s">
        <v>258</v>
      </c>
      <c r="CL1479" s="5" t="s">
        <v>238</v>
      </c>
      <c r="CM1479" s="5" t="s">
        <v>238</v>
      </c>
      <c r="CN1479" s="5">
        <v>0</v>
      </c>
      <c r="CO1479" s="5" t="s">
        <v>259</v>
      </c>
      <c r="CP1479" s="5" t="s">
        <v>260</v>
      </c>
      <c r="CQ1479" s="5" t="s">
        <v>260</v>
      </c>
      <c r="CR1479" s="5" t="s">
        <v>261</v>
      </c>
      <c r="CU1479" s="8">
        <f>1</f>
        <v>1</v>
      </c>
      <c r="CV1479" s="8">
        <f>0</f>
        <v>0</v>
      </c>
      <c r="CX1479" s="8">
        <f>0</f>
        <v>0</v>
      </c>
      <c r="CY1479" s="8">
        <f>1</f>
        <v>1</v>
      </c>
      <c r="DA1479" s="5" t="s">
        <v>673</v>
      </c>
      <c r="DB1479" s="5" t="s">
        <v>238</v>
      </c>
      <c r="DD1479" s="5" t="s">
        <v>673</v>
      </c>
      <c r="DE1479" s="8">
        <f>271</f>
        <v>271</v>
      </c>
      <c r="DG1479" s="5" t="s">
        <v>238</v>
      </c>
      <c r="DH1479" s="5" t="s">
        <v>238</v>
      </c>
      <c r="DI1479" s="5" t="s">
        <v>238</v>
      </c>
      <c r="DJ1479" s="5" t="s">
        <v>238</v>
      </c>
      <c r="DN1479" s="5" t="s">
        <v>238</v>
      </c>
      <c r="DO1479" s="5" t="s">
        <v>238</v>
      </c>
      <c r="DP1479" s="5" t="s">
        <v>238</v>
      </c>
      <c r="DQ1479" s="5" t="s">
        <v>238</v>
      </c>
      <c r="DT1479" s="5" t="s">
        <v>2039</v>
      </c>
      <c r="DU1479" s="5" t="s">
        <v>1386</v>
      </c>
      <c r="HM1479" s="5" t="s">
        <v>264</v>
      </c>
    </row>
    <row r="1480" spans="1:221" x14ac:dyDescent="0.4">
      <c r="A1480" s="5">
        <v>3155</v>
      </c>
      <c r="B1480" s="5">
        <v>1</v>
      </c>
      <c r="C1480" s="5">
        <v>1</v>
      </c>
      <c r="D1480" s="5" t="s">
        <v>2037</v>
      </c>
      <c r="E1480" s="5" t="s">
        <v>271</v>
      </c>
      <c r="F1480" s="5" t="s">
        <v>248</v>
      </c>
      <c r="G1480" s="5" t="s">
        <v>1969</v>
      </c>
      <c r="H1480" s="6" t="s">
        <v>2333</v>
      </c>
      <c r="I1480" s="7">
        <f>1495</f>
        <v>1495</v>
      </c>
      <c r="J1480" s="5" t="s">
        <v>262</v>
      </c>
      <c r="K1480" s="8">
        <f>1</f>
        <v>1</v>
      </c>
      <c r="L1480" s="6" t="s">
        <v>242</v>
      </c>
      <c r="M1480" s="5" t="s">
        <v>267</v>
      </c>
      <c r="N1480" s="5" t="s">
        <v>265</v>
      </c>
      <c r="O1480" s="5" t="s">
        <v>238</v>
      </c>
      <c r="P1480" s="5" t="s">
        <v>238</v>
      </c>
      <c r="Q1480" s="5" t="s">
        <v>268</v>
      </c>
      <c r="R1480" s="5" t="s">
        <v>270</v>
      </c>
      <c r="S1480" s="5" t="s">
        <v>238</v>
      </c>
      <c r="V1480" s="5" t="s">
        <v>238</v>
      </c>
      <c r="X1480" s="6" t="s">
        <v>238</v>
      </c>
      <c r="AA1480" s="6" t="s">
        <v>243</v>
      </c>
      <c r="AB1480" s="5" t="s">
        <v>238</v>
      </c>
      <c r="AC1480" s="5" t="s">
        <v>244</v>
      </c>
      <c r="AD1480" s="5" t="s">
        <v>245</v>
      </c>
      <c r="AT1480" s="5" t="s">
        <v>246</v>
      </c>
      <c r="AU1480" s="5" t="s">
        <v>238</v>
      </c>
      <c r="AV1480" s="5" t="s">
        <v>247</v>
      </c>
      <c r="AW1480" s="5" t="s">
        <v>238</v>
      </c>
      <c r="AX1480" s="5" t="s">
        <v>249</v>
      </c>
      <c r="AY1480" s="5" t="s">
        <v>238</v>
      </c>
      <c r="BA1480" s="5" t="s">
        <v>238</v>
      </c>
      <c r="BC1480" s="5" t="s">
        <v>250</v>
      </c>
      <c r="BD1480" s="6" t="s">
        <v>243</v>
      </c>
      <c r="BE1480" s="5" t="s">
        <v>251</v>
      </c>
      <c r="BF1480" s="5" t="s">
        <v>252</v>
      </c>
      <c r="BG1480" s="5" t="s">
        <v>238</v>
      </c>
      <c r="BH1480" s="7">
        <f>0</f>
        <v>0</v>
      </c>
      <c r="BI1480" s="8">
        <f>0</f>
        <v>0</v>
      </c>
      <c r="BJ1480" s="5" t="s">
        <v>253</v>
      </c>
      <c r="BK1480" s="5" t="s">
        <v>254</v>
      </c>
      <c r="BY1480" s="5" t="s">
        <v>238</v>
      </c>
      <c r="BZ1480" s="5" t="s">
        <v>238</v>
      </c>
      <c r="CD1480" s="5" t="s">
        <v>273</v>
      </c>
      <c r="CE1480" s="5" t="s">
        <v>256</v>
      </c>
      <c r="CF1480" s="5" t="s">
        <v>238</v>
      </c>
      <c r="CI1480" s="6" t="s">
        <v>257</v>
      </c>
      <c r="CJ1480" s="5" t="s">
        <v>238</v>
      </c>
      <c r="CK1480" s="5" t="s">
        <v>258</v>
      </c>
      <c r="CL1480" s="5" t="s">
        <v>238</v>
      </c>
      <c r="CM1480" s="5" t="s">
        <v>238</v>
      </c>
      <c r="CN1480" s="5">
        <v>0</v>
      </c>
      <c r="CO1480" s="5" t="s">
        <v>259</v>
      </c>
      <c r="CP1480" s="5" t="s">
        <v>260</v>
      </c>
      <c r="CQ1480" s="5" t="s">
        <v>260</v>
      </c>
      <c r="CR1480" s="5" t="s">
        <v>261</v>
      </c>
      <c r="CU1480" s="8">
        <f>1</f>
        <v>1</v>
      </c>
      <c r="CV1480" s="8">
        <f>0</f>
        <v>0</v>
      </c>
      <c r="CX1480" s="8">
        <f>0</f>
        <v>0</v>
      </c>
      <c r="CY1480" s="8">
        <f>1</f>
        <v>1</v>
      </c>
      <c r="DA1480" s="5" t="s">
        <v>673</v>
      </c>
      <c r="DB1480" s="5" t="s">
        <v>238</v>
      </c>
      <c r="DD1480" s="5" t="s">
        <v>673</v>
      </c>
      <c r="DE1480" s="8">
        <f>1495</f>
        <v>1495</v>
      </c>
      <c r="DG1480" s="5" t="s">
        <v>238</v>
      </c>
      <c r="DH1480" s="5" t="s">
        <v>238</v>
      </c>
      <c r="DI1480" s="5" t="s">
        <v>238</v>
      </c>
      <c r="DJ1480" s="5" t="s">
        <v>238</v>
      </c>
      <c r="DN1480" s="5" t="s">
        <v>238</v>
      </c>
      <c r="DO1480" s="5" t="s">
        <v>238</v>
      </c>
      <c r="DP1480" s="5" t="s">
        <v>238</v>
      </c>
      <c r="DQ1480" s="5" t="s">
        <v>238</v>
      </c>
      <c r="DT1480" s="5" t="s">
        <v>2039</v>
      </c>
      <c r="DU1480" s="5" t="s">
        <v>1535</v>
      </c>
      <c r="HM1480" s="5" t="s">
        <v>264</v>
      </c>
    </row>
    <row r="1481" spans="1:221" x14ac:dyDescent="0.4">
      <c r="A1481" s="5">
        <v>3156</v>
      </c>
      <c r="B1481" s="5">
        <v>1</v>
      </c>
      <c r="C1481" s="5">
        <v>1</v>
      </c>
      <c r="D1481" s="5" t="s">
        <v>2037</v>
      </c>
      <c r="E1481" s="5" t="s">
        <v>271</v>
      </c>
      <c r="F1481" s="5" t="s">
        <v>248</v>
      </c>
      <c r="G1481" s="5" t="s">
        <v>1969</v>
      </c>
      <c r="H1481" s="6" t="s">
        <v>2332</v>
      </c>
      <c r="I1481" s="7">
        <f>964</f>
        <v>964</v>
      </c>
      <c r="J1481" s="5" t="s">
        <v>262</v>
      </c>
      <c r="K1481" s="8">
        <f>1</f>
        <v>1</v>
      </c>
      <c r="L1481" s="6" t="s">
        <v>242</v>
      </c>
      <c r="M1481" s="5" t="s">
        <v>267</v>
      </c>
      <c r="N1481" s="5" t="s">
        <v>265</v>
      </c>
      <c r="O1481" s="5" t="s">
        <v>238</v>
      </c>
      <c r="P1481" s="5" t="s">
        <v>238</v>
      </c>
      <c r="Q1481" s="5" t="s">
        <v>268</v>
      </c>
      <c r="R1481" s="5" t="s">
        <v>270</v>
      </c>
      <c r="S1481" s="5" t="s">
        <v>238</v>
      </c>
      <c r="V1481" s="5" t="s">
        <v>238</v>
      </c>
      <c r="X1481" s="6" t="s">
        <v>238</v>
      </c>
      <c r="AA1481" s="6" t="s">
        <v>243</v>
      </c>
      <c r="AB1481" s="5" t="s">
        <v>238</v>
      </c>
      <c r="AC1481" s="5" t="s">
        <v>244</v>
      </c>
      <c r="AD1481" s="5" t="s">
        <v>245</v>
      </c>
      <c r="AT1481" s="5" t="s">
        <v>246</v>
      </c>
      <c r="AU1481" s="5" t="s">
        <v>238</v>
      </c>
      <c r="AV1481" s="5" t="s">
        <v>247</v>
      </c>
      <c r="AW1481" s="5" t="s">
        <v>238</v>
      </c>
      <c r="AX1481" s="5" t="s">
        <v>249</v>
      </c>
      <c r="AY1481" s="5" t="s">
        <v>238</v>
      </c>
      <c r="BA1481" s="5" t="s">
        <v>238</v>
      </c>
      <c r="BC1481" s="5" t="s">
        <v>250</v>
      </c>
      <c r="BD1481" s="6" t="s">
        <v>243</v>
      </c>
      <c r="BE1481" s="5" t="s">
        <v>251</v>
      </c>
      <c r="BF1481" s="5" t="s">
        <v>252</v>
      </c>
      <c r="BG1481" s="5" t="s">
        <v>238</v>
      </c>
      <c r="BH1481" s="7">
        <f>0</f>
        <v>0</v>
      </c>
      <c r="BI1481" s="8">
        <f>0</f>
        <v>0</v>
      </c>
      <c r="BJ1481" s="5" t="s">
        <v>253</v>
      </c>
      <c r="BK1481" s="5" t="s">
        <v>254</v>
      </c>
      <c r="BY1481" s="5" t="s">
        <v>238</v>
      </c>
      <c r="BZ1481" s="5" t="s">
        <v>238</v>
      </c>
      <c r="CD1481" s="5" t="s">
        <v>273</v>
      </c>
      <c r="CE1481" s="5" t="s">
        <v>256</v>
      </c>
      <c r="CF1481" s="5" t="s">
        <v>238</v>
      </c>
      <c r="CI1481" s="6" t="s">
        <v>257</v>
      </c>
      <c r="CJ1481" s="5" t="s">
        <v>238</v>
      </c>
      <c r="CK1481" s="5" t="s">
        <v>258</v>
      </c>
      <c r="CL1481" s="5" t="s">
        <v>238</v>
      </c>
      <c r="CM1481" s="5" t="s">
        <v>238</v>
      </c>
      <c r="CN1481" s="5">
        <v>0</v>
      </c>
      <c r="CO1481" s="5" t="s">
        <v>259</v>
      </c>
      <c r="CP1481" s="5" t="s">
        <v>260</v>
      </c>
      <c r="CQ1481" s="5" t="s">
        <v>260</v>
      </c>
      <c r="CR1481" s="5" t="s">
        <v>261</v>
      </c>
      <c r="CU1481" s="8">
        <f>1</f>
        <v>1</v>
      </c>
      <c r="CV1481" s="8">
        <f>0</f>
        <v>0</v>
      </c>
      <c r="CX1481" s="8">
        <f>0</f>
        <v>0</v>
      </c>
      <c r="CY1481" s="8">
        <f>1</f>
        <v>1</v>
      </c>
      <c r="DA1481" s="5" t="s">
        <v>673</v>
      </c>
      <c r="DB1481" s="5" t="s">
        <v>238</v>
      </c>
      <c r="DD1481" s="5" t="s">
        <v>673</v>
      </c>
      <c r="DE1481" s="8">
        <f>964</f>
        <v>964</v>
      </c>
      <c r="DG1481" s="5" t="s">
        <v>238</v>
      </c>
      <c r="DH1481" s="5" t="s">
        <v>238</v>
      </c>
      <c r="DI1481" s="5" t="s">
        <v>238</v>
      </c>
      <c r="DJ1481" s="5" t="s">
        <v>238</v>
      </c>
      <c r="DN1481" s="5" t="s">
        <v>238</v>
      </c>
      <c r="DO1481" s="5" t="s">
        <v>238</v>
      </c>
      <c r="DP1481" s="5" t="s">
        <v>238</v>
      </c>
      <c r="DQ1481" s="5" t="s">
        <v>238</v>
      </c>
      <c r="DT1481" s="5" t="s">
        <v>2039</v>
      </c>
      <c r="DU1481" s="5" t="s">
        <v>1788</v>
      </c>
      <c r="HM1481" s="5" t="s">
        <v>264</v>
      </c>
    </row>
    <row r="1482" spans="1:221" x14ac:dyDescent="0.4">
      <c r="A1482" s="5">
        <v>3157</v>
      </c>
      <c r="B1482" s="5">
        <v>1</v>
      </c>
      <c r="C1482" s="5">
        <v>1</v>
      </c>
      <c r="D1482" s="5" t="s">
        <v>2037</v>
      </c>
      <c r="E1482" s="5" t="s">
        <v>271</v>
      </c>
      <c r="F1482" s="5" t="s">
        <v>248</v>
      </c>
      <c r="G1482" s="5" t="s">
        <v>1969</v>
      </c>
      <c r="H1482" s="6" t="s">
        <v>2331</v>
      </c>
      <c r="I1482" s="7">
        <f>6575</f>
        <v>6575</v>
      </c>
      <c r="J1482" s="5" t="s">
        <v>262</v>
      </c>
      <c r="K1482" s="8">
        <f>1</f>
        <v>1</v>
      </c>
      <c r="L1482" s="6" t="s">
        <v>242</v>
      </c>
      <c r="M1482" s="5" t="s">
        <v>267</v>
      </c>
      <c r="N1482" s="5" t="s">
        <v>265</v>
      </c>
      <c r="O1482" s="5" t="s">
        <v>238</v>
      </c>
      <c r="P1482" s="5" t="s">
        <v>238</v>
      </c>
      <c r="Q1482" s="5" t="s">
        <v>268</v>
      </c>
      <c r="R1482" s="5" t="s">
        <v>270</v>
      </c>
      <c r="S1482" s="5" t="s">
        <v>238</v>
      </c>
      <c r="V1482" s="5" t="s">
        <v>238</v>
      </c>
      <c r="X1482" s="6" t="s">
        <v>238</v>
      </c>
      <c r="AA1482" s="6" t="s">
        <v>243</v>
      </c>
      <c r="AB1482" s="5" t="s">
        <v>238</v>
      </c>
      <c r="AC1482" s="5" t="s">
        <v>244</v>
      </c>
      <c r="AD1482" s="5" t="s">
        <v>245</v>
      </c>
      <c r="AT1482" s="5" t="s">
        <v>246</v>
      </c>
      <c r="AU1482" s="5" t="s">
        <v>238</v>
      </c>
      <c r="AV1482" s="5" t="s">
        <v>247</v>
      </c>
      <c r="AW1482" s="5" t="s">
        <v>238</v>
      </c>
      <c r="AX1482" s="5" t="s">
        <v>249</v>
      </c>
      <c r="AY1482" s="5" t="s">
        <v>238</v>
      </c>
      <c r="BA1482" s="5" t="s">
        <v>238</v>
      </c>
      <c r="BC1482" s="5" t="s">
        <v>250</v>
      </c>
      <c r="BD1482" s="6" t="s">
        <v>243</v>
      </c>
      <c r="BE1482" s="5" t="s">
        <v>251</v>
      </c>
      <c r="BF1482" s="5" t="s">
        <v>252</v>
      </c>
      <c r="BG1482" s="5" t="s">
        <v>238</v>
      </c>
      <c r="BH1482" s="7">
        <f>0</f>
        <v>0</v>
      </c>
      <c r="BI1482" s="8">
        <f>0</f>
        <v>0</v>
      </c>
      <c r="BJ1482" s="5" t="s">
        <v>253</v>
      </c>
      <c r="BK1482" s="5" t="s">
        <v>254</v>
      </c>
      <c r="BY1482" s="5" t="s">
        <v>238</v>
      </c>
      <c r="BZ1482" s="5" t="s">
        <v>238</v>
      </c>
      <c r="CD1482" s="5" t="s">
        <v>273</v>
      </c>
      <c r="CE1482" s="5" t="s">
        <v>256</v>
      </c>
      <c r="CF1482" s="5" t="s">
        <v>238</v>
      </c>
      <c r="CI1482" s="6" t="s">
        <v>257</v>
      </c>
      <c r="CJ1482" s="5" t="s">
        <v>238</v>
      </c>
      <c r="CK1482" s="5" t="s">
        <v>258</v>
      </c>
      <c r="CL1482" s="5" t="s">
        <v>238</v>
      </c>
      <c r="CM1482" s="5" t="s">
        <v>238</v>
      </c>
      <c r="CN1482" s="5">
        <v>0</v>
      </c>
      <c r="CO1482" s="5" t="s">
        <v>259</v>
      </c>
      <c r="CP1482" s="5" t="s">
        <v>260</v>
      </c>
      <c r="CQ1482" s="5" t="s">
        <v>260</v>
      </c>
      <c r="CR1482" s="5" t="s">
        <v>261</v>
      </c>
      <c r="CU1482" s="8">
        <f>1</f>
        <v>1</v>
      </c>
      <c r="CV1482" s="8">
        <f>0</f>
        <v>0</v>
      </c>
      <c r="CX1482" s="8">
        <f>0</f>
        <v>0</v>
      </c>
      <c r="CY1482" s="8">
        <f>1</f>
        <v>1</v>
      </c>
      <c r="DA1482" s="5" t="s">
        <v>673</v>
      </c>
      <c r="DB1482" s="5" t="s">
        <v>238</v>
      </c>
      <c r="DD1482" s="5" t="s">
        <v>673</v>
      </c>
      <c r="DE1482" s="8">
        <f>6575</f>
        <v>6575</v>
      </c>
      <c r="DG1482" s="5" t="s">
        <v>238</v>
      </c>
      <c r="DH1482" s="5" t="s">
        <v>238</v>
      </c>
      <c r="DI1482" s="5" t="s">
        <v>238</v>
      </c>
      <c r="DJ1482" s="5" t="s">
        <v>238</v>
      </c>
      <c r="DN1482" s="5" t="s">
        <v>238</v>
      </c>
      <c r="DO1482" s="5" t="s">
        <v>238</v>
      </c>
      <c r="DP1482" s="5" t="s">
        <v>238</v>
      </c>
      <c r="DQ1482" s="5" t="s">
        <v>238</v>
      </c>
      <c r="DT1482" s="5" t="s">
        <v>2039</v>
      </c>
      <c r="DU1482" s="5" t="s">
        <v>1551</v>
      </c>
      <c r="HM1482" s="5" t="s">
        <v>264</v>
      </c>
    </row>
    <row r="1483" spans="1:221" x14ac:dyDescent="0.4">
      <c r="A1483" s="5">
        <v>3158</v>
      </c>
      <c r="B1483" s="5">
        <v>1</v>
      </c>
      <c r="C1483" s="5">
        <v>1</v>
      </c>
      <c r="D1483" s="5" t="s">
        <v>2037</v>
      </c>
      <c r="E1483" s="5" t="s">
        <v>271</v>
      </c>
      <c r="F1483" s="5" t="s">
        <v>248</v>
      </c>
      <c r="G1483" s="5" t="s">
        <v>1969</v>
      </c>
      <c r="H1483" s="6" t="s">
        <v>2329</v>
      </c>
      <c r="I1483" s="7">
        <f>4555</f>
        <v>4555</v>
      </c>
      <c r="J1483" s="5" t="s">
        <v>262</v>
      </c>
      <c r="K1483" s="8">
        <f>1</f>
        <v>1</v>
      </c>
      <c r="L1483" s="6" t="s">
        <v>242</v>
      </c>
      <c r="M1483" s="5" t="s">
        <v>267</v>
      </c>
      <c r="N1483" s="5" t="s">
        <v>265</v>
      </c>
      <c r="O1483" s="5" t="s">
        <v>238</v>
      </c>
      <c r="P1483" s="5" t="s">
        <v>238</v>
      </c>
      <c r="Q1483" s="5" t="s">
        <v>268</v>
      </c>
      <c r="R1483" s="5" t="s">
        <v>270</v>
      </c>
      <c r="S1483" s="5" t="s">
        <v>238</v>
      </c>
      <c r="V1483" s="5" t="s">
        <v>238</v>
      </c>
      <c r="X1483" s="6" t="s">
        <v>238</v>
      </c>
      <c r="AA1483" s="6" t="s">
        <v>243</v>
      </c>
      <c r="AB1483" s="5" t="s">
        <v>238</v>
      </c>
      <c r="AC1483" s="5" t="s">
        <v>244</v>
      </c>
      <c r="AD1483" s="5" t="s">
        <v>245</v>
      </c>
      <c r="AT1483" s="5" t="s">
        <v>246</v>
      </c>
      <c r="AU1483" s="5" t="s">
        <v>238</v>
      </c>
      <c r="AV1483" s="5" t="s">
        <v>247</v>
      </c>
      <c r="AW1483" s="5" t="s">
        <v>238</v>
      </c>
      <c r="AX1483" s="5" t="s">
        <v>249</v>
      </c>
      <c r="AY1483" s="5" t="s">
        <v>238</v>
      </c>
      <c r="BA1483" s="5" t="s">
        <v>238</v>
      </c>
      <c r="BC1483" s="5" t="s">
        <v>250</v>
      </c>
      <c r="BD1483" s="6" t="s">
        <v>243</v>
      </c>
      <c r="BE1483" s="5" t="s">
        <v>251</v>
      </c>
      <c r="BF1483" s="5" t="s">
        <v>252</v>
      </c>
      <c r="BG1483" s="5" t="s">
        <v>238</v>
      </c>
      <c r="BH1483" s="7">
        <f>0</f>
        <v>0</v>
      </c>
      <c r="BI1483" s="8">
        <f>0</f>
        <v>0</v>
      </c>
      <c r="BJ1483" s="5" t="s">
        <v>253</v>
      </c>
      <c r="BK1483" s="5" t="s">
        <v>254</v>
      </c>
      <c r="BY1483" s="5" t="s">
        <v>238</v>
      </c>
      <c r="BZ1483" s="5" t="s">
        <v>238</v>
      </c>
      <c r="CD1483" s="5" t="s">
        <v>273</v>
      </c>
      <c r="CE1483" s="5" t="s">
        <v>256</v>
      </c>
      <c r="CF1483" s="5" t="s">
        <v>238</v>
      </c>
      <c r="CI1483" s="6" t="s">
        <v>257</v>
      </c>
      <c r="CJ1483" s="5" t="s">
        <v>238</v>
      </c>
      <c r="CK1483" s="5" t="s">
        <v>258</v>
      </c>
      <c r="CL1483" s="5" t="s">
        <v>238</v>
      </c>
      <c r="CM1483" s="5" t="s">
        <v>238</v>
      </c>
      <c r="CN1483" s="5">
        <v>0</v>
      </c>
      <c r="CO1483" s="5" t="s">
        <v>259</v>
      </c>
      <c r="CP1483" s="5" t="s">
        <v>260</v>
      </c>
      <c r="CQ1483" s="5" t="s">
        <v>260</v>
      </c>
      <c r="CR1483" s="5" t="s">
        <v>261</v>
      </c>
      <c r="CU1483" s="8">
        <f>1</f>
        <v>1</v>
      </c>
      <c r="CV1483" s="8">
        <f>0</f>
        <v>0</v>
      </c>
      <c r="CX1483" s="8">
        <f>0</f>
        <v>0</v>
      </c>
      <c r="CY1483" s="8">
        <f>1</f>
        <v>1</v>
      </c>
      <c r="DA1483" s="5" t="s">
        <v>673</v>
      </c>
      <c r="DB1483" s="5" t="s">
        <v>238</v>
      </c>
      <c r="DD1483" s="5" t="s">
        <v>673</v>
      </c>
      <c r="DE1483" s="8">
        <f>4555</f>
        <v>4555</v>
      </c>
      <c r="DG1483" s="5" t="s">
        <v>238</v>
      </c>
      <c r="DH1483" s="5" t="s">
        <v>238</v>
      </c>
      <c r="DI1483" s="5" t="s">
        <v>238</v>
      </c>
      <c r="DJ1483" s="5" t="s">
        <v>238</v>
      </c>
      <c r="DN1483" s="5" t="s">
        <v>238</v>
      </c>
      <c r="DO1483" s="5" t="s">
        <v>238</v>
      </c>
      <c r="DP1483" s="5" t="s">
        <v>238</v>
      </c>
      <c r="DQ1483" s="5" t="s">
        <v>238</v>
      </c>
      <c r="DT1483" s="5" t="s">
        <v>2039</v>
      </c>
      <c r="DU1483" s="5" t="s">
        <v>1620</v>
      </c>
      <c r="HM1483" s="5" t="s">
        <v>264</v>
      </c>
    </row>
    <row r="1484" spans="1:221" x14ac:dyDescent="0.4">
      <c r="A1484" s="5">
        <v>3159</v>
      </c>
      <c r="B1484" s="5">
        <v>1</v>
      </c>
      <c r="C1484" s="5">
        <v>1</v>
      </c>
      <c r="D1484" s="5" t="s">
        <v>2037</v>
      </c>
      <c r="E1484" s="5" t="s">
        <v>271</v>
      </c>
      <c r="F1484" s="5" t="s">
        <v>248</v>
      </c>
      <c r="G1484" s="5" t="s">
        <v>1969</v>
      </c>
      <c r="H1484" s="6" t="s">
        <v>2328</v>
      </c>
      <c r="I1484" s="7">
        <f>3017</f>
        <v>3017</v>
      </c>
      <c r="J1484" s="5" t="s">
        <v>262</v>
      </c>
      <c r="K1484" s="8">
        <f>1</f>
        <v>1</v>
      </c>
      <c r="L1484" s="6" t="s">
        <v>242</v>
      </c>
      <c r="M1484" s="5" t="s">
        <v>267</v>
      </c>
      <c r="N1484" s="5" t="s">
        <v>265</v>
      </c>
      <c r="O1484" s="5" t="s">
        <v>238</v>
      </c>
      <c r="P1484" s="5" t="s">
        <v>238</v>
      </c>
      <c r="Q1484" s="5" t="s">
        <v>268</v>
      </c>
      <c r="R1484" s="5" t="s">
        <v>270</v>
      </c>
      <c r="S1484" s="5" t="s">
        <v>238</v>
      </c>
      <c r="V1484" s="5" t="s">
        <v>238</v>
      </c>
      <c r="X1484" s="6" t="s">
        <v>238</v>
      </c>
      <c r="AA1484" s="6" t="s">
        <v>243</v>
      </c>
      <c r="AB1484" s="5" t="s">
        <v>238</v>
      </c>
      <c r="AC1484" s="5" t="s">
        <v>244</v>
      </c>
      <c r="AD1484" s="5" t="s">
        <v>245</v>
      </c>
      <c r="AT1484" s="5" t="s">
        <v>246</v>
      </c>
      <c r="AU1484" s="5" t="s">
        <v>238</v>
      </c>
      <c r="AV1484" s="5" t="s">
        <v>247</v>
      </c>
      <c r="AW1484" s="5" t="s">
        <v>238</v>
      </c>
      <c r="AX1484" s="5" t="s">
        <v>249</v>
      </c>
      <c r="AY1484" s="5" t="s">
        <v>238</v>
      </c>
      <c r="BA1484" s="5" t="s">
        <v>238</v>
      </c>
      <c r="BC1484" s="5" t="s">
        <v>250</v>
      </c>
      <c r="BD1484" s="6" t="s">
        <v>243</v>
      </c>
      <c r="BE1484" s="5" t="s">
        <v>251</v>
      </c>
      <c r="BF1484" s="5" t="s">
        <v>252</v>
      </c>
      <c r="BG1484" s="5" t="s">
        <v>238</v>
      </c>
      <c r="BH1484" s="7">
        <f>0</f>
        <v>0</v>
      </c>
      <c r="BI1484" s="8">
        <f>0</f>
        <v>0</v>
      </c>
      <c r="BJ1484" s="5" t="s">
        <v>253</v>
      </c>
      <c r="BK1484" s="5" t="s">
        <v>254</v>
      </c>
      <c r="BY1484" s="5" t="s">
        <v>238</v>
      </c>
      <c r="BZ1484" s="5" t="s">
        <v>238</v>
      </c>
      <c r="CD1484" s="5" t="s">
        <v>273</v>
      </c>
      <c r="CE1484" s="5" t="s">
        <v>256</v>
      </c>
      <c r="CF1484" s="5" t="s">
        <v>238</v>
      </c>
      <c r="CI1484" s="6" t="s">
        <v>257</v>
      </c>
      <c r="CJ1484" s="5" t="s">
        <v>238</v>
      </c>
      <c r="CK1484" s="5" t="s">
        <v>258</v>
      </c>
      <c r="CL1484" s="5" t="s">
        <v>238</v>
      </c>
      <c r="CM1484" s="5" t="s">
        <v>238</v>
      </c>
      <c r="CN1484" s="5">
        <v>0</v>
      </c>
      <c r="CO1484" s="5" t="s">
        <v>259</v>
      </c>
      <c r="CP1484" s="5" t="s">
        <v>260</v>
      </c>
      <c r="CQ1484" s="5" t="s">
        <v>260</v>
      </c>
      <c r="CR1484" s="5" t="s">
        <v>261</v>
      </c>
      <c r="CU1484" s="8">
        <f>1</f>
        <v>1</v>
      </c>
      <c r="CV1484" s="8">
        <f>0</f>
        <v>0</v>
      </c>
      <c r="CX1484" s="8">
        <f>0</f>
        <v>0</v>
      </c>
      <c r="CY1484" s="8">
        <f>1</f>
        <v>1</v>
      </c>
      <c r="DA1484" s="5" t="s">
        <v>673</v>
      </c>
      <c r="DB1484" s="5" t="s">
        <v>238</v>
      </c>
      <c r="DD1484" s="5" t="s">
        <v>673</v>
      </c>
      <c r="DE1484" s="8">
        <f>3017</f>
        <v>3017</v>
      </c>
      <c r="DG1484" s="5" t="s">
        <v>238</v>
      </c>
      <c r="DH1484" s="5" t="s">
        <v>238</v>
      </c>
      <c r="DI1484" s="5" t="s">
        <v>238</v>
      </c>
      <c r="DJ1484" s="5" t="s">
        <v>238</v>
      </c>
      <c r="DN1484" s="5" t="s">
        <v>238</v>
      </c>
      <c r="DO1484" s="5" t="s">
        <v>238</v>
      </c>
      <c r="DP1484" s="5" t="s">
        <v>238</v>
      </c>
      <c r="DQ1484" s="5" t="s">
        <v>238</v>
      </c>
      <c r="DT1484" s="5" t="s">
        <v>2039</v>
      </c>
      <c r="DU1484" s="5" t="s">
        <v>1738</v>
      </c>
      <c r="HM1484" s="5" t="s">
        <v>264</v>
      </c>
    </row>
    <row r="1485" spans="1:221" x14ac:dyDescent="0.4">
      <c r="A1485" s="5">
        <v>3160</v>
      </c>
      <c r="B1485" s="5">
        <v>1</v>
      </c>
      <c r="C1485" s="5">
        <v>1</v>
      </c>
      <c r="D1485" s="5" t="s">
        <v>2037</v>
      </c>
      <c r="E1485" s="5" t="s">
        <v>271</v>
      </c>
      <c r="F1485" s="5" t="s">
        <v>248</v>
      </c>
      <c r="G1485" s="5" t="s">
        <v>1969</v>
      </c>
      <c r="H1485" s="6" t="s">
        <v>2327</v>
      </c>
      <c r="I1485" s="7">
        <f>2994</f>
        <v>2994</v>
      </c>
      <c r="J1485" s="5" t="s">
        <v>262</v>
      </c>
      <c r="K1485" s="8">
        <f>1</f>
        <v>1</v>
      </c>
      <c r="L1485" s="6" t="s">
        <v>242</v>
      </c>
      <c r="M1485" s="5" t="s">
        <v>267</v>
      </c>
      <c r="N1485" s="5" t="s">
        <v>265</v>
      </c>
      <c r="O1485" s="5" t="s">
        <v>238</v>
      </c>
      <c r="P1485" s="5" t="s">
        <v>238</v>
      </c>
      <c r="Q1485" s="5" t="s">
        <v>268</v>
      </c>
      <c r="R1485" s="5" t="s">
        <v>270</v>
      </c>
      <c r="S1485" s="5" t="s">
        <v>238</v>
      </c>
      <c r="V1485" s="5" t="s">
        <v>238</v>
      </c>
      <c r="X1485" s="6" t="s">
        <v>238</v>
      </c>
      <c r="AA1485" s="6" t="s">
        <v>243</v>
      </c>
      <c r="AB1485" s="5" t="s">
        <v>238</v>
      </c>
      <c r="AC1485" s="5" t="s">
        <v>244</v>
      </c>
      <c r="AD1485" s="5" t="s">
        <v>245</v>
      </c>
      <c r="AT1485" s="5" t="s">
        <v>246</v>
      </c>
      <c r="AU1485" s="5" t="s">
        <v>238</v>
      </c>
      <c r="AV1485" s="5" t="s">
        <v>247</v>
      </c>
      <c r="AW1485" s="5" t="s">
        <v>238</v>
      </c>
      <c r="AX1485" s="5" t="s">
        <v>249</v>
      </c>
      <c r="AY1485" s="5" t="s">
        <v>238</v>
      </c>
      <c r="BA1485" s="5" t="s">
        <v>238</v>
      </c>
      <c r="BC1485" s="5" t="s">
        <v>250</v>
      </c>
      <c r="BD1485" s="6" t="s">
        <v>243</v>
      </c>
      <c r="BE1485" s="5" t="s">
        <v>251</v>
      </c>
      <c r="BF1485" s="5" t="s">
        <v>252</v>
      </c>
      <c r="BG1485" s="5" t="s">
        <v>238</v>
      </c>
      <c r="BH1485" s="7">
        <f>0</f>
        <v>0</v>
      </c>
      <c r="BI1485" s="8">
        <f>0</f>
        <v>0</v>
      </c>
      <c r="BJ1485" s="5" t="s">
        <v>253</v>
      </c>
      <c r="BK1485" s="5" t="s">
        <v>254</v>
      </c>
      <c r="BY1485" s="5" t="s">
        <v>238</v>
      </c>
      <c r="BZ1485" s="5" t="s">
        <v>238</v>
      </c>
      <c r="CD1485" s="5" t="s">
        <v>273</v>
      </c>
      <c r="CE1485" s="5" t="s">
        <v>256</v>
      </c>
      <c r="CF1485" s="5" t="s">
        <v>238</v>
      </c>
      <c r="CI1485" s="6" t="s">
        <v>257</v>
      </c>
      <c r="CJ1485" s="5" t="s">
        <v>238</v>
      </c>
      <c r="CK1485" s="5" t="s">
        <v>258</v>
      </c>
      <c r="CL1485" s="5" t="s">
        <v>238</v>
      </c>
      <c r="CM1485" s="5" t="s">
        <v>238</v>
      </c>
      <c r="CN1485" s="5">
        <v>0</v>
      </c>
      <c r="CO1485" s="5" t="s">
        <v>259</v>
      </c>
      <c r="CP1485" s="5" t="s">
        <v>260</v>
      </c>
      <c r="CQ1485" s="5" t="s">
        <v>260</v>
      </c>
      <c r="CR1485" s="5" t="s">
        <v>261</v>
      </c>
      <c r="CU1485" s="8">
        <f>1</f>
        <v>1</v>
      </c>
      <c r="CV1485" s="8">
        <f>0</f>
        <v>0</v>
      </c>
      <c r="CX1485" s="8">
        <f>0</f>
        <v>0</v>
      </c>
      <c r="CY1485" s="8">
        <f>1</f>
        <v>1</v>
      </c>
      <c r="DA1485" s="5" t="s">
        <v>673</v>
      </c>
      <c r="DB1485" s="5" t="s">
        <v>238</v>
      </c>
      <c r="DD1485" s="5" t="s">
        <v>673</v>
      </c>
      <c r="DE1485" s="8">
        <f>2994</f>
        <v>2994</v>
      </c>
      <c r="DG1485" s="5" t="s">
        <v>238</v>
      </c>
      <c r="DH1485" s="5" t="s">
        <v>238</v>
      </c>
      <c r="DI1485" s="5" t="s">
        <v>238</v>
      </c>
      <c r="DJ1485" s="5" t="s">
        <v>238</v>
      </c>
      <c r="DN1485" s="5" t="s">
        <v>238</v>
      </c>
      <c r="DO1485" s="5" t="s">
        <v>238</v>
      </c>
      <c r="DP1485" s="5" t="s">
        <v>238</v>
      </c>
      <c r="DQ1485" s="5" t="s">
        <v>238</v>
      </c>
      <c r="DT1485" s="5" t="s">
        <v>2039</v>
      </c>
      <c r="DU1485" s="5" t="s">
        <v>1784</v>
      </c>
      <c r="HM1485" s="5" t="s">
        <v>264</v>
      </c>
    </row>
    <row r="1486" spans="1:221" x14ac:dyDescent="0.4">
      <c r="A1486" s="5">
        <v>3161</v>
      </c>
      <c r="B1486" s="5">
        <v>1</v>
      </c>
      <c r="C1486" s="5">
        <v>1</v>
      </c>
      <c r="D1486" s="5" t="s">
        <v>2037</v>
      </c>
      <c r="E1486" s="5" t="s">
        <v>271</v>
      </c>
      <c r="F1486" s="5" t="s">
        <v>248</v>
      </c>
      <c r="G1486" s="5" t="s">
        <v>1969</v>
      </c>
      <c r="H1486" s="6" t="s">
        <v>2326</v>
      </c>
      <c r="I1486" s="7">
        <f>4496</f>
        <v>4496</v>
      </c>
      <c r="J1486" s="5" t="s">
        <v>262</v>
      </c>
      <c r="K1486" s="8">
        <f>1</f>
        <v>1</v>
      </c>
      <c r="L1486" s="6" t="s">
        <v>242</v>
      </c>
      <c r="M1486" s="5" t="s">
        <v>267</v>
      </c>
      <c r="N1486" s="5" t="s">
        <v>265</v>
      </c>
      <c r="O1486" s="5" t="s">
        <v>238</v>
      </c>
      <c r="P1486" s="5" t="s">
        <v>238</v>
      </c>
      <c r="Q1486" s="5" t="s">
        <v>268</v>
      </c>
      <c r="R1486" s="5" t="s">
        <v>270</v>
      </c>
      <c r="S1486" s="5" t="s">
        <v>238</v>
      </c>
      <c r="V1486" s="5" t="s">
        <v>238</v>
      </c>
      <c r="X1486" s="6" t="s">
        <v>238</v>
      </c>
      <c r="AA1486" s="6" t="s">
        <v>243</v>
      </c>
      <c r="AB1486" s="5" t="s">
        <v>238</v>
      </c>
      <c r="AC1486" s="5" t="s">
        <v>244</v>
      </c>
      <c r="AD1486" s="5" t="s">
        <v>245</v>
      </c>
      <c r="AT1486" s="5" t="s">
        <v>246</v>
      </c>
      <c r="AU1486" s="5" t="s">
        <v>238</v>
      </c>
      <c r="AV1486" s="5" t="s">
        <v>247</v>
      </c>
      <c r="AW1486" s="5" t="s">
        <v>238</v>
      </c>
      <c r="AX1486" s="5" t="s">
        <v>249</v>
      </c>
      <c r="AY1486" s="5" t="s">
        <v>238</v>
      </c>
      <c r="BA1486" s="5" t="s">
        <v>238</v>
      </c>
      <c r="BC1486" s="5" t="s">
        <v>250</v>
      </c>
      <c r="BD1486" s="6" t="s">
        <v>243</v>
      </c>
      <c r="BE1486" s="5" t="s">
        <v>251</v>
      </c>
      <c r="BF1486" s="5" t="s">
        <v>252</v>
      </c>
      <c r="BG1486" s="5" t="s">
        <v>238</v>
      </c>
      <c r="BH1486" s="7">
        <f>0</f>
        <v>0</v>
      </c>
      <c r="BI1486" s="8">
        <f>0</f>
        <v>0</v>
      </c>
      <c r="BJ1486" s="5" t="s">
        <v>253</v>
      </c>
      <c r="BK1486" s="5" t="s">
        <v>254</v>
      </c>
      <c r="BY1486" s="5" t="s">
        <v>238</v>
      </c>
      <c r="BZ1486" s="5" t="s">
        <v>238</v>
      </c>
      <c r="CD1486" s="5" t="s">
        <v>273</v>
      </c>
      <c r="CE1486" s="5" t="s">
        <v>256</v>
      </c>
      <c r="CF1486" s="5" t="s">
        <v>238</v>
      </c>
      <c r="CI1486" s="6" t="s">
        <v>257</v>
      </c>
      <c r="CJ1486" s="5" t="s">
        <v>238</v>
      </c>
      <c r="CK1486" s="5" t="s">
        <v>258</v>
      </c>
      <c r="CL1486" s="5" t="s">
        <v>238</v>
      </c>
      <c r="CM1486" s="5" t="s">
        <v>238</v>
      </c>
      <c r="CN1486" s="5">
        <v>0</v>
      </c>
      <c r="CO1486" s="5" t="s">
        <v>259</v>
      </c>
      <c r="CP1486" s="5" t="s">
        <v>260</v>
      </c>
      <c r="CQ1486" s="5" t="s">
        <v>260</v>
      </c>
      <c r="CR1486" s="5" t="s">
        <v>261</v>
      </c>
      <c r="CU1486" s="8">
        <f>1</f>
        <v>1</v>
      </c>
      <c r="CV1486" s="8">
        <f>0</f>
        <v>0</v>
      </c>
      <c r="CX1486" s="8">
        <f>0</f>
        <v>0</v>
      </c>
      <c r="CY1486" s="8">
        <f>1</f>
        <v>1</v>
      </c>
      <c r="DA1486" s="5" t="s">
        <v>673</v>
      </c>
      <c r="DB1486" s="5" t="s">
        <v>238</v>
      </c>
      <c r="DD1486" s="5" t="s">
        <v>673</v>
      </c>
      <c r="DE1486" s="8">
        <f>4496</f>
        <v>4496</v>
      </c>
      <c r="DG1486" s="5" t="s">
        <v>238</v>
      </c>
      <c r="DH1486" s="5" t="s">
        <v>238</v>
      </c>
      <c r="DI1486" s="5" t="s">
        <v>238</v>
      </c>
      <c r="DJ1486" s="5" t="s">
        <v>238</v>
      </c>
      <c r="DN1486" s="5" t="s">
        <v>238</v>
      </c>
      <c r="DO1486" s="5" t="s">
        <v>238</v>
      </c>
      <c r="DP1486" s="5" t="s">
        <v>238</v>
      </c>
      <c r="DQ1486" s="5" t="s">
        <v>238</v>
      </c>
      <c r="DT1486" s="5" t="s">
        <v>2039</v>
      </c>
      <c r="DU1486" s="5" t="s">
        <v>1792</v>
      </c>
      <c r="HM1486" s="5" t="s">
        <v>264</v>
      </c>
    </row>
    <row r="1487" spans="1:221" x14ac:dyDescent="0.4">
      <c r="A1487" s="5">
        <v>3162</v>
      </c>
      <c r="B1487" s="5">
        <v>1</v>
      </c>
      <c r="C1487" s="5">
        <v>1</v>
      </c>
      <c r="D1487" s="5" t="s">
        <v>2037</v>
      </c>
      <c r="E1487" s="5" t="s">
        <v>271</v>
      </c>
      <c r="F1487" s="5" t="s">
        <v>248</v>
      </c>
      <c r="G1487" s="5" t="s">
        <v>1969</v>
      </c>
      <c r="H1487" s="6" t="s">
        <v>2324</v>
      </c>
      <c r="I1487" s="7">
        <f>3991</f>
        <v>3991</v>
      </c>
      <c r="J1487" s="5" t="s">
        <v>262</v>
      </c>
      <c r="K1487" s="8">
        <f>1</f>
        <v>1</v>
      </c>
      <c r="L1487" s="6" t="s">
        <v>242</v>
      </c>
      <c r="M1487" s="5" t="s">
        <v>267</v>
      </c>
      <c r="N1487" s="5" t="s">
        <v>265</v>
      </c>
      <c r="O1487" s="5" t="s">
        <v>238</v>
      </c>
      <c r="P1487" s="5" t="s">
        <v>238</v>
      </c>
      <c r="Q1487" s="5" t="s">
        <v>268</v>
      </c>
      <c r="R1487" s="5" t="s">
        <v>270</v>
      </c>
      <c r="S1487" s="5" t="s">
        <v>238</v>
      </c>
      <c r="V1487" s="5" t="s">
        <v>238</v>
      </c>
      <c r="X1487" s="6" t="s">
        <v>238</v>
      </c>
      <c r="AA1487" s="6" t="s">
        <v>243</v>
      </c>
      <c r="AB1487" s="5" t="s">
        <v>238</v>
      </c>
      <c r="AC1487" s="5" t="s">
        <v>244</v>
      </c>
      <c r="AD1487" s="5" t="s">
        <v>245</v>
      </c>
      <c r="AT1487" s="5" t="s">
        <v>246</v>
      </c>
      <c r="AU1487" s="5" t="s">
        <v>238</v>
      </c>
      <c r="AV1487" s="5" t="s">
        <v>247</v>
      </c>
      <c r="AW1487" s="5" t="s">
        <v>238</v>
      </c>
      <c r="AX1487" s="5" t="s">
        <v>249</v>
      </c>
      <c r="AY1487" s="5" t="s">
        <v>238</v>
      </c>
      <c r="BA1487" s="5" t="s">
        <v>238</v>
      </c>
      <c r="BC1487" s="5" t="s">
        <v>250</v>
      </c>
      <c r="BD1487" s="6" t="s">
        <v>243</v>
      </c>
      <c r="BE1487" s="5" t="s">
        <v>251</v>
      </c>
      <c r="BF1487" s="5" t="s">
        <v>252</v>
      </c>
      <c r="BG1487" s="5" t="s">
        <v>238</v>
      </c>
      <c r="BH1487" s="7">
        <f>0</f>
        <v>0</v>
      </c>
      <c r="BI1487" s="8">
        <f>0</f>
        <v>0</v>
      </c>
      <c r="BJ1487" s="5" t="s">
        <v>253</v>
      </c>
      <c r="BK1487" s="5" t="s">
        <v>254</v>
      </c>
      <c r="BY1487" s="5" t="s">
        <v>238</v>
      </c>
      <c r="BZ1487" s="5" t="s">
        <v>238</v>
      </c>
      <c r="CD1487" s="5" t="s">
        <v>273</v>
      </c>
      <c r="CE1487" s="5" t="s">
        <v>256</v>
      </c>
      <c r="CF1487" s="5" t="s">
        <v>238</v>
      </c>
      <c r="CI1487" s="6" t="s">
        <v>257</v>
      </c>
      <c r="CJ1487" s="5" t="s">
        <v>238</v>
      </c>
      <c r="CK1487" s="5" t="s">
        <v>258</v>
      </c>
      <c r="CL1487" s="5" t="s">
        <v>238</v>
      </c>
      <c r="CM1487" s="5" t="s">
        <v>238</v>
      </c>
      <c r="CN1487" s="5">
        <v>0</v>
      </c>
      <c r="CO1487" s="5" t="s">
        <v>259</v>
      </c>
      <c r="CP1487" s="5" t="s">
        <v>260</v>
      </c>
      <c r="CQ1487" s="5" t="s">
        <v>260</v>
      </c>
      <c r="CR1487" s="5" t="s">
        <v>261</v>
      </c>
      <c r="CU1487" s="8">
        <f>1</f>
        <v>1</v>
      </c>
      <c r="CV1487" s="8">
        <f>0</f>
        <v>0</v>
      </c>
      <c r="CX1487" s="8">
        <f>0</f>
        <v>0</v>
      </c>
      <c r="CY1487" s="8">
        <f>1</f>
        <v>1</v>
      </c>
      <c r="DA1487" s="5" t="s">
        <v>673</v>
      </c>
      <c r="DB1487" s="5" t="s">
        <v>238</v>
      </c>
      <c r="DD1487" s="5" t="s">
        <v>673</v>
      </c>
      <c r="DE1487" s="8">
        <f>3991</f>
        <v>3991</v>
      </c>
      <c r="DG1487" s="5" t="s">
        <v>238</v>
      </c>
      <c r="DH1487" s="5" t="s">
        <v>238</v>
      </c>
      <c r="DI1487" s="5" t="s">
        <v>238</v>
      </c>
      <c r="DJ1487" s="5" t="s">
        <v>238</v>
      </c>
      <c r="DN1487" s="5" t="s">
        <v>238</v>
      </c>
      <c r="DO1487" s="5" t="s">
        <v>238</v>
      </c>
      <c r="DP1487" s="5" t="s">
        <v>238</v>
      </c>
      <c r="DQ1487" s="5" t="s">
        <v>238</v>
      </c>
      <c r="DT1487" s="5" t="s">
        <v>2039</v>
      </c>
      <c r="DU1487" s="5" t="s">
        <v>1822</v>
      </c>
      <c r="HM1487" s="5" t="s">
        <v>264</v>
      </c>
    </row>
    <row r="1488" spans="1:221" x14ac:dyDescent="0.4">
      <c r="A1488" s="5">
        <v>3163</v>
      </c>
      <c r="B1488" s="5">
        <v>1</v>
      </c>
      <c r="C1488" s="5">
        <v>1</v>
      </c>
      <c r="D1488" s="5" t="s">
        <v>2037</v>
      </c>
      <c r="E1488" s="5" t="s">
        <v>271</v>
      </c>
      <c r="F1488" s="5" t="s">
        <v>248</v>
      </c>
      <c r="G1488" s="5" t="s">
        <v>1969</v>
      </c>
      <c r="H1488" s="6" t="s">
        <v>2318</v>
      </c>
      <c r="I1488" s="7">
        <f>5697</f>
        <v>5697</v>
      </c>
      <c r="J1488" s="5" t="s">
        <v>262</v>
      </c>
      <c r="K1488" s="8">
        <f>1</f>
        <v>1</v>
      </c>
      <c r="L1488" s="6" t="s">
        <v>242</v>
      </c>
      <c r="M1488" s="5" t="s">
        <v>267</v>
      </c>
      <c r="N1488" s="5" t="s">
        <v>265</v>
      </c>
      <c r="O1488" s="5" t="s">
        <v>238</v>
      </c>
      <c r="P1488" s="5" t="s">
        <v>238</v>
      </c>
      <c r="Q1488" s="5" t="s">
        <v>268</v>
      </c>
      <c r="R1488" s="5" t="s">
        <v>270</v>
      </c>
      <c r="S1488" s="5" t="s">
        <v>238</v>
      </c>
      <c r="V1488" s="5" t="s">
        <v>238</v>
      </c>
      <c r="X1488" s="6" t="s">
        <v>238</v>
      </c>
      <c r="AA1488" s="6" t="s">
        <v>243</v>
      </c>
      <c r="AB1488" s="5" t="s">
        <v>238</v>
      </c>
      <c r="AC1488" s="5" t="s">
        <v>244</v>
      </c>
      <c r="AD1488" s="5" t="s">
        <v>245</v>
      </c>
      <c r="AT1488" s="5" t="s">
        <v>246</v>
      </c>
      <c r="AU1488" s="5" t="s">
        <v>238</v>
      </c>
      <c r="AV1488" s="5" t="s">
        <v>247</v>
      </c>
      <c r="AW1488" s="5" t="s">
        <v>238</v>
      </c>
      <c r="AX1488" s="5" t="s">
        <v>249</v>
      </c>
      <c r="AY1488" s="5" t="s">
        <v>238</v>
      </c>
      <c r="BA1488" s="5" t="s">
        <v>238</v>
      </c>
      <c r="BC1488" s="5" t="s">
        <v>250</v>
      </c>
      <c r="BD1488" s="6" t="s">
        <v>243</v>
      </c>
      <c r="BE1488" s="5" t="s">
        <v>251</v>
      </c>
      <c r="BF1488" s="5" t="s">
        <v>252</v>
      </c>
      <c r="BG1488" s="5" t="s">
        <v>238</v>
      </c>
      <c r="BH1488" s="7">
        <f>0</f>
        <v>0</v>
      </c>
      <c r="BI1488" s="8">
        <f>0</f>
        <v>0</v>
      </c>
      <c r="BJ1488" s="5" t="s">
        <v>253</v>
      </c>
      <c r="BK1488" s="5" t="s">
        <v>254</v>
      </c>
      <c r="BY1488" s="5" t="s">
        <v>238</v>
      </c>
      <c r="BZ1488" s="5" t="s">
        <v>238</v>
      </c>
      <c r="CD1488" s="5" t="s">
        <v>273</v>
      </c>
      <c r="CE1488" s="5" t="s">
        <v>256</v>
      </c>
      <c r="CF1488" s="5" t="s">
        <v>238</v>
      </c>
      <c r="CI1488" s="6" t="s">
        <v>257</v>
      </c>
      <c r="CJ1488" s="5" t="s">
        <v>238</v>
      </c>
      <c r="CK1488" s="5" t="s">
        <v>258</v>
      </c>
      <c r="CL1488" s="5" t="s">
        <v>238</v>
      </c>
      <c r="CM1488" s="5" t="s">
        <v>238</v>
      </c>
      <c r="CN1488" s="5">
        <v>0</v>
      </c>
      <c r="CO1488" s="5" t="s">
        <v>259</v>
      </c>
      <c r="CP1488" s="5" t="s">
        <v>260</v>
      </c>
      <c r="CQ1488" s="5" t="s">
        <v>260</v>
      </c>
      <c r="CR1488" s="5" t="s">
        <v>261</v>
      </c>
      <c r="CU1488" s="8">
        <f>1</f>
        <v>1</v>
      </c>
      <c r="CV1488" s="8">
        <f>0</f>
        <v>0</v>
      </c>
      <c r="CX1488" s="8">
        <f>0</f>
        <v>0</v>
      </c>
      <c r="CY1488" s="8">
        <f>1</f>
        <v>1</v>
      </c>
      <c r="DA1488" s="5" t="s">
        <v>673</v>
      </c>
      <c r="DB1488" s="5" t="s">
        <v>238</v>
      </c>
      <c r="DD1488" s="5" t="s">
        <v>673</v>
      </c>
      <c r="DE1488" s="8">
        <f>5697</f>
        <v>5697</v>
      </c>
      <c r="DG1488" s="5" t="s">
        <v>238</v>
      </c>
      <c r="DH1488" s="5" t="s">
        <v>238</v>
      </c>
      <c r="DI1488" s="5" t="s">
        <v>238</v>
      </c>
      <c r="DJ1488" s="5" t="s">
        <v>238</v>
      </c>
      <c r="DN1488" s="5" t="s">
        <v>238</v>
      </c>
      <c r="DO1488" s="5" t="s">
        <v>238</v>
      </c>
      <c r="DP1488" s="5" t="s">
        <v>238</v>
      </c>
      <c r="DQ1488" s="5" t="s">
        <v>238</v>
      </c>
      <c r="DT1488" s="5" t="s">
        <v>2039</v>
      </c>
      <c r="DU1488" s="5" t="s">
        <v>1858</v>
      </c>
      <c r="HM1488" s="5" t="s">
        <v>264</v>
      </c>
    </row>
    <row r="1489" spans="1:221" x14ac:dyDescent="0.4">
      <c r="A1489" s="5">
        <v>3164</v>
      </c>
      <c r="B1489" s="5">
        <v>1</v>
      </c>
      <c r="C1489" s="5">
        <v>1</v>
      </c>
      <c r="D1489" s="5" t="s">
        <v>2037</v>
      </c>
      <c r="E1489" s="5" t="s">
        <v>271</v>
      </c>
      <c r="F1489" s="5" t="s">
        <v>248</v>
      </c>
      <c r="G1489" s="5" t="s">
        <v>1969</v>
      </c>
      <c r="H1489" s="6" t="s">
        <v>2317</v>
      </c>
      <c r="I1489" s="7">
        <f>900</f>
        <v>900</v>
      </c>
      <c r="J1489" s="5" t="s">
        <v>262</v>
      </c>
      <c r="K1489" s="8">
        <f>1</f>
        <v>1</v>
      </c>
      <c r="L1489" s="6" t="s">
        <v>242</v>
      </c>
      <c r="M1489" s="5" t="s">
        <v>267</v>
      </c>
      <c r="N1489" s="5" t="s">
        <v>265</v>
      </c>
      <c r="O1489" s="5" t="s">
        <v>238</v>
      </c>
      <c r="P1489" s="5" t="s">
        <v>238</v>
      </c>
      <c r="Q1489" s="5" t="s">
        <v>268</v>
      </c>
      <c r="R1489" s="5" t="s">
        <v>270</v>
      </c>
      <c r="S1489" s="5" t="s">
        <v>238</v>
      </c>
      <c r="V1489" s="5" t="s">
        <v>238</v>
      </c>
      <c r="X1489" s="6" t="s">
        <v>238</v>
      </c>
      <c r="AA1489" s="6" t="s">
        <v>243</v>
      </c>
      <c r="AB1489" s="5" t="s">
        <v>238</v>
      </c>
      <c r="AC1489" s="5" t="s">
        <v>244</v>
      </c>
      <c r="AD1489" s="5" t="s">
        <v>245</v>
      </c>
      <c r="AT1489" s="5" t="s">
        <v>246</v>
      </c>
      <c r="AU1489" s="5" t="s">
        <v>238</v>
      </c>
      <c r="AV1489" s="5" t="s">
        <v>247</v>
      </c>
      <c r="AW1489" s="5" t="s">
        <v>238</v>
      </c>
      <c r="AX1489" s="5" t="s">
        <v>249</v>
      </c>
      <c r="AY1489" s="5" t="s">
        <v>238</v>
      </c>
      <c r="BA1489" s="5" t="s">
        <v>238</v>
      </c>
      <c r="BC1489" s="5" t="s">
        <v>250</v>
      </c>
      <c r="BD1489" s="6" t="s">
        <v>243</v>
      </c>
      <c r="BE1489" s="5" t="s">
        <v>251</v>
      </c>
      <c r="BF1489" s="5" t="s">
        <v>252</v>
      </c>
      <c r="BG1489" s="5" t="s">
        <v>238</v>
      </c>
      <c r="BH1489" s="7">
        <f>0</f>
        <v>0</v>
      </c>
      <c r="BI1489" s="8">
        <f>0</f>
        <v>0</v>
      </c>
      <c r="BJ1489" s="5" t="s">
        <v>253</v>
      </c>
      <c r="BK1489" s="5" t="s">
        <v>254</v>
      </c>
      <c r="BY1489" s="5" t="s">
        <v>238</v>
      </c>
      <c r="BZ1489" s="5" t="s">
        <v>238</v>
      </c>
      <c r="CD1489" s="5" t="s">
        <v>273</v>
      </c>
      <c r="CE1489" s="5" t="s">
        <v>256</v>
      </c>
      <c r="CF1489" s="5" t="s">
        <v>238</v>
      </c>
      <c r="CI1489" s="6" t="s">
        <v>257</v>
      </c>
      <c r="CJ1489" s="5" t="s">
        <v>238</v>
      </c>
      <c r="CK1489" s="5" t="s">
        <v>258</v>
      </c>
      <c r="CL1489" s="5" t="s">
        <v>238</v>
      </c>
      <c r="CM1489" s="5" t="s">
        <v>238</v>
      </c>
      <c r="CN1489" s="5">
        <v>0</v>
      </c>
      <c r="CO1489" s="5" t="s">
        <v>259</v>
      </c>
      <c r="CP1489" s="5" t="s">
        <v>260</v>
      </c>
      <c r="CQ1489" s="5" t="s">
        <v>260</v>
      </c>
      <c r="CR1489" s="5" t="s">
        <v>261</v>
      </c>
      <c r="CU1489" s="8">
        <f>1</f>
        <v>1</v>
      </c>
      <c r="CV1489" s="8">
        <f>0</f>
        <v>0</v>
      </c>
      <c r="CX1489" s="8">
        <f>0</f>
        <v>0</v>
      </c>
      <c r="CY1489" s="8">
        <f>1</f>
        <v>1</v>
      </c>
      <c r="DA1489" s="5" t="s">
        <v>673</v>
      </c>
      <c r="DB1489" s="5" t="s">
        <v>238</v>
      </c>
      <c r="DD1489" s="5" t="s">
        <v>673</v>
      </c>
      <c r="DE1489" s="8">
        <f>900</f>
        <v>900</v>
      </c>
      <c r="DG1489" s="5" t="s">
        <v>238</v>
      </c>
      <c r="DH1489" s="5" t="s">
        <v>238</v>
      </c>
      <c r="DI1489" s="5" t="s">
        <v>238</v>
      </c>
      <c r="DJ1489" s="5" t="s">
        <v>238</v>
      </c>
      <c r="DN1489" s="5" t="s">
        <v>238</v>
      </c>
      <c r="DO1489" s="5" t="s">
        <v>238</v>
      </c>
      <c r="DP1489" s="5" t="s">
        <v>238</v>
      </c>
      <c r="DQ1489" s="5" t="s">
        <v>238</v>
      </c>
      <c r="DT1489" s="5" t="s">
        <v>2039</v>
      </c>
      <c r="DU1489" s="5" t="s">
        <v>1776</v>
      </c>
      <c r="HM1489" s="5" t="s">
        <v>264</v>
      </c>
    </row>
    <row r="1490" spans="1:221" x14ac:dyDescent="0.4">
      <c r="A1490" s="5">
        <v>3165</v>
      </c>
      <c r="B1490" s="5">
        <v>1</v>
      </c>
      <c r="C1490" s="5">
        <v>1</v>
      </c>
      <c r="D1490" s="5" t="s">
        <v>2037</v>
      </c>
      <c r="E1490" s="5" t="s">
        <v>271</v>
      </c>
      <c r="F1490" s="5" t="s">
        <v>248</v>
      </c>
      <c r="G1490" s="5" t="s">
        <v>1969</v>
      </c>
      <c r="H1490" s="6" t="s">
        <v>2316</v>
      </c>
      <c r="I1490" s="7">
        <f>566</f>
        <v>566</v>
      </c>
      <c r="J1490" s="5" t="s">
        <v>262</v>
      </c>
      <c r="K1490" s="8">
        <f>1</f>
        <v>1</v>
      </c>
      <c r="L1490" s="6" t="s">
        <v>242</v>
      </c>
      <c r="M1490" s="5" t="s">
        <v>267</v>
      </c>
      <c r="N1490" s="5" t="s">
        <v>265</v>
      </c>
      <c r="O1490" s="5" t="s">
        <v>238</v>
      </c>
      <c r="P1490" s="5" t="s">
        <v>238</v>
      </c>
      <c r="Q1490" s="5" t="s">
        <v>268</v>
      </c>
      <c r="R1490" s="5" t="s">
        <v>270</v>
      </c>
      <c r="S1490" s="5" t="s">
        <v>238</v>
      </c>
      <c r="V1490" s="5" t="s">
        <v>238</v>
      </c>
      <c r="X1490" s="6" t="s">
        <v>238</v>
      </c>
      <c r="AA1490" s="6" t="s">
        <v>243</v>
      </c>
      <c r="AB1490" s="5" t="s">
        <v>238</v>
      </c>
      <c r="AC1490" s="5" t="s">
        <v>244</v>
      </c>
      <c r="AD1490" s="5" t="s">
        <v>245</v>
      </c>
      <c r="AT1490" s="5" t="s">
        <v>246</v>
      </c>
      <c r="AU1490" s="5" t="s">
        <v>238</v>
      </c>
      <c r="AV1490" s="5" t="s">
        <v>247</v>
      </c>
      <c r="AW1490" s="5" t="s">
        <v>238</v>
      </c>
      <c r="AX1490" s="5" t="s">
        <v>249</v>
      </c>
      <c r="AY1490" s="5" t="s">
        <v>238</v>
      </c>
      <c r="BA1490" s="5" t="s">
        <v>238</v>
      </c>
      <c r="BC1490" s="5" t="s">
        <v>250</v>
      </c>
      <c r="BD1490" s="6" t="s">
        <v>243</v>
      </c>
      <c r="BE1490" s="5" t="s">
        <v>251</v>
      </c>
      <c r="BF1490" s="5" t="s">
        <v>252</v>
      </c>
      <c r="BG1490" s="5" t="s">
        <v>238</v>
      </c>
      <c r="BH1490" s="7">
        <f>0</f>
        <v>0</v>
      </c>
      <c r="BI1490" s="8">
        <f>0</f>
        <v>0</v>
      </c>
      <c r="BJ1490" s="5" t="s">
        <v>253</v>
      </c>
      <c r="BK1490" s="5" t="s">
        <v>254</v>
      </c>
      <c r="BY1490" s="5" t="s">
        <v>238</v>
      </c>
      <c r="BZ1490" s="5" t="s">
        <v>238</v>
      </c>
      <c r="CD1490" s="5" t="s">
        <v>273</v>
      </c>
      <c r="CE1490" s="5" t="s">
        <v>256</v>
      </c>
      <c r="CF1490" s="5" t="s">
        <v>238</v>
      </c>
      <c r="CI1490" s="6" t="s">
        <v>257</v>
      </c>
      <c r="CJ1490" s="5" t="s">
        <v>238</v>
      </c>
      <c r="CK1490" s="5" t="s">
        <v>258</v>
      </c>
      <c r="CL1490" s="5" t="s">
        <v>238</v>
      </c>
      <c r="CM1490" s="5" t="s">
        <v>238</v>
      </c>
      <c r="CN1490" s="5">
        <v>0</v>
      </c>
      <c r="CO1490" s="5" t="s">
        <v>259</v>
      </c>
      <c r="CP1490" s="5" t="s">
        <v>260</v>
      </c>
      <c r="CQ1490" s="5" t="s">
        <v>260</v>
      </c>
      <c r="CR1490" s="5" t="s">
        <v>261</v>
      </c>
      <c r="CU1490" s="8">
        <f>1</f>
        <v>1</v>
      </c>
      <c r="CV1490" s="8">
        <f>0</f>
        <v>0</v>
      </c>
      <c r="CX1490" s="8">
        <f>0</f>
        <v>0</v>
      </c>
      <c r="CY1490" s="8">
        <f>1</f>
        <v>1</v>
      </c>
      <c r="DA1490" s="5" t="s">
        <v>673</v>
      </c>
      <c r="DB1490" s="5" t="s">
        <v>238</v>
      </c>
      <c r="DD1490" s="5" t="s">
        <v>673</v>
      </c>
      <c r="DE1490" s="8">
        <f>566</f>
        <v>566</v>
      </c>
      <c r="DG1490" s="5" t="s">
        <v>238</v>
      </c>
      <c r="DH1490" s="5" t="s">
        <v>238</v>
      </c>
      <c r="DI1490" s="5" t="s">
        <v>238</v>
      </c>
      <c r="DJ1490" s="5" t="s">
        <v>238</v>
      </c>
      <c r="DN1490" s="5" t="s">
        <v>238</v>
      </c>
      <c r="DO1490" s="5" t="s">
        <v>238</v>
      </c>
      <c r="DP1490" s="5" t="s">
        <v>238</v>
      </c>
      <c r="DQ1490" s="5" t="s">
        <v>238</v>
      </c>
      <c r="DT1490" s="5" t="s">
        <v>2039</v>
      </c>
      <c r="DU1490" s="5" t="s">
        <v>1932</v>
      </c>
      <c r="HM1490" s="5" t="s">
        <v>264</v>
      </c>
    </row>
    <row r="1491" spans="1:221" x14ac:dyDescent="0.4">
      <c r="A1491" s="5">
        <v>3166</v>
      </c>
      <c r="B1491" s="5">
        <v>1</v>
      </c>
      <c r="C1491" s="5">
        <v>1</v>
      </c>
      <c r="D1491" s="5" t="s">
        <v>2037</v>
      </c>
      <c r="E1491" s="5" t="s">
        <v>271</v>
      </c>
      <c r="F1491" s="5" t="s">
        <v>248</v>
      </c>
      <c r="G1491" s="5" t="s">
        <v>1969</v>
      </c>
      <c r="H1491" s="6" t="s">
        <v>2315</v>
      </c>
      <c r="I1491" s="7">
        <f>4053</f>
        <v>4053</v>
      </c>
      <c r="J1491" s="5" t="s">
        <v>262</v>
      </c>
      <c r="K1491" s="8">
        <f>1</f>
        <v>1</v>
      </c>
      <c r="L1491" s="6" t="s">
        <v>242</v>
      </c>
      <c r="M1491" s="5" t="s">
        <v>267</v>
      </c>
      <c r="N1491" s="5" t="s">
        <v>265</v>
      </c>
      <c r="O1491" s="5" t="s">
        <v>238</v>
      </c>
      <c r="P1491" s="5" t="s">
        <v>238</v>
      </c>
      <c r="Q1491" s="5" t="s">
        <v>268</v>
      </c>
      <c r="R1491" s="5" t="s">
        <v>270</v>
      </c>
      <c r="S1491" s="5" t="s">
        <v>238</v>
      </c>
      <c r="V1491" s="5" t="s">
        <v>238</v>
      </c>
      <c r="X1491" s="6" t="s">
        <v>238</v>
      </c>
      <c r="AA1491" s="6" t="s">
        <v>243</v>
      </c>
      <c r="AB1491" s="5" t="s">
        <v>238</v>
      </c>
      <c r="AC1491" s="5" t="s">
        <v>244</v>
      </c>
      <c r="AD1491" s="5" t="s">
        <v>245</v>
      </c>
      <c r="AT1491" s="5" t="s">
        <v>246</v>
      </c>
      <c r="AU1491" s="5" t="s">
        <v>238</v>
      </c>
      <c r="AV1491" s="5" t="s">
        <v>247</v>
      </c>
      <c r="AW1491" s="5" t="s">
        <v>238</v>
      </c>
      <c r="AX1491" s="5" t="s">
        <v>249</v>
      </c>
      <c r="AY1491" s="5" t="s">
        <v>238</v>
      </c>
      <c r="BA1491" s="5" t="s">
        <v>238</v>
      </c>
      <c r="BC1491" s="5" t="s">
        <v>250</v>
      </c>
      <c r="BD1491" s="6" t="s">
        <v>243</v>
      </c>
      <c r="BE1491" s="5" t="s">
        <v>251</v>
      </c>
      <c r="BF1491" s="5" t="s">
        <v>252</v>
      </c>
      <c r="BG1491" s="5" t="s">
        <v>238</v>
      </c>
      <c r="BH1491" s="7">
        <f>0</f>
        <v>0</v>
      </c>
      <c r="BI1491" s="8">
        <f>0</f>
        <v>0</v>
      </c>
      <c r="BJ1491" s="5" t="s">
        <v>253</v>
      </c>
      <c r="BK1491" s="5" t="s">
        <v>254</v>
      </c>
      <c r="BY1491" s="5" t="s">
        <v>238</v>
      </c>
      <c r="BZ1491" s="5" t="s">
        <v>238</v>
      </c>
      <c r="CD1491" s="5" t="s">
        <v>273</v>
      </c>
      <c r="CE1491" s="5" t="s">
        <v>256</v>
      </c>
      <c r="CF1491" s="5" t="s">
        <v>238</v>
      </c>
      <c r="CI1491" s="6" t="s">
        <v>257</v>
      </c>
      <c r="CJ1491" s="5" t="s">
        <v>238</v>
      </c>
      <c r="CK1491" s="5" t="s">
        <v>258</v>
      </c>
      <c r="CL1491" s="5" t="s">
        <v>238</v>
      </c>
      <c r="CM1491" s="5" t="s">
        <v>238</v>
      </c>
      <c r="CN1491" s="5">
        <v>0</v>
      </c>
      <c r="CO1491" s="5" t="s">
        <v>259</v>
      </c>
      <c r="CP1491" s="5" t="s">
        <v>260</v>
      </c>
      <c r="CQ1491" s="5" t="s">
        <v>260</v>
      </c>
      <c r="CR1491" s="5" t="s">
        <v>261</v>
      </c>
      <c r="CU1491" s="8">
        <f>1</f>
        <v>1</v>
      </c>
      <c r="CV1491" s="8">
        <f>0</f>
        <v>0</v>
      </c>
      <c r="CX1491" s="8">
        <f>0</f>
        <v>0</v>
      </c>
      <c r="CY1491" s="8">
        <f>1</f>
        <v>1</v>
      </c>
      <c r="DA1491" s="5" t="s">
        <v>673</v>
      </c>
      <c r="DB1491" s="5" t="s">
        <v>238</v>
      </c>
      <c r="DD1491" s="5" t="s">
        <v>673</v>
      </c>
      <c r="DE1491" s="8">
        <f>4053</f>
        <v>4053</v>
      </c>
      <c r="DG1491" s="5" t="s">
        <v>238</v>
      </c>
      <c r="DH1491" s="5" t="s">
        <v>238</v>
      </c>
      <c r="DI1491" s="5" t="s">
        <v>238</v>
      </c>
      <c r="DJ1491" s="5" t="s">
        <v>238</v>
      </c>
      <c r="DN1491" s="5" t="s">
        <v>238</v>
      </c>
      <c r="DO1491" s="5" t="s">
        <v>238</v>
      </c>
      <c r="DP1491" s="5" t="s">
        <v>238</v>
      </c>
      <c r="DQ1491" s="5" t="s">
        <v>238</v>
      </c>
      <c r="DT1491" s="5" t="s">
        <v>2039</v>
      </c>
      <c r="DU1491" s="5" t="s">
        <v>1902</v>
      </c>
      <c r="HM1491" s="5" t="s">
        <v>264</v>
      </c>
    </row>
    <row r="1492" spans="1:221" x14ac:dyDescent="0.4">
      <c r="A1492" s="5">
        <v>3167</v>
      </c>
      <c r="B1492" s="5">
        <v>1</v>
      </c>
      <c r="C1492" s="5">
        <v>1</v>
      </c>
      <c r="D1492" s="5" t="s">
        <v>2037</v>
      </c>
      <c r="E1492" s="5" t="s">
        <v>271</v>
      </c>
      <c r="F1492" s="5" t="s">
        <v>248</v>
      </c>
      <c r="G1492" s="5" t="s">
        <v>1969</v>
      </c>
      <c r="H1492" s="6" t="s">
        <v>2313</v>
      </c>
      <c r="I1492" s="7">
        <f>2923</f>
        <v>2923</v>
      </c>
      <c r="J1492" s="5" t="s">
        <v>262</v>
      </c>
      <c r="K1492" s="8">
        <f>1</f>
        <v>1</v>
      </c>
      <c r="L1492" s="6" t="s">
        <v>242</v>
      </c>
      <c r="M1492" s="5" t="s">
        <v>267</v>
      </c>
      <c r="N1492" s="5" t="s">
        <v>265</v>
      </c>
      <c r="O1492" s="5" t="s">
        <v>238</v>
      </c>
      <c r="P1492" s="5" t="s">
        <v>238</v>
      </c>
      <c r="Q1492" s="5" t="s">
        <v>268</v>
      </c>
      <c r="R1492" s="5" t="s">
        <v>270</v>
      </c>
      <c r="S1492" s="5" t="s">
        <v>238</v>
      </c>
      <c r="V1492" s="5" t="s">
        <v>238</v>
      </c>
      <c r="X1492" s="6" t="s">
        <v>238</v>
      </c>
      <c r="AA1492" s="6" t="s">
        <v>243</v>
      </c>
      <c r="AB1492" s="5" t="s">
        <v>238</v>
      </c>
      <c r="AC1492" s="5" t="s">
        <v>244</v>
      </c>
      <c r="AD1492" s="5" t="s">
        <v>245</v>
      </c>
      <c r="AT1492" s="5" t="s">
        <v>246</v>
      </c>
      <c r="AU1492" s="5" t="s">
        <v>238</v>
      </c>
      <c r="AV1492" s="5" t="s">
        <v>247</v>
      </c>
      <c r="AW1492" s="5" t="s">
        <v>238</v>
      </c>
      <c r="AX1492" s="5" t="s">
        <v>249</v>
      </c>
      <c r="AY1492" s="5" t="s">
        <v>238</v>
      </c>
      <c r="BA1492" s="5" t="s">
        <v>238</v>
      </c>
      <c r="BC1492" s="5" t="s">
        <v>250</v>
      </c>
      <c r="BD1492" s="6" t="s">
        <v>243</v>
      </c>
      <c r="BE1492" s="5" t="s">
        <v>251</v>
      </c>
      <c r="BF1492" s="5" t="s">
        <v>252</v>
      </c>
      <c r="BG1492" s="5" t="s">
        <v>238</v>
      </c>
      <c r="BH1492" s="7">
        <f>0</f>
        <v>0</v>
      </c>
      <c r="BI1492" s="8">
        <f>0</f>
        <v>0</v>
      </c>
      <c r="BJ1492" s="5" t="s">
        <v>253</v>
      </c>
      <c r="BK1492" s="5" t="s">
        <v>254</v>
      </c>
      <c r="BY1492" s="5" t="s">
        <v>238</v>
      </c>
      <c r="BZ1492" s="5" t="s">
        <v>238</v>
      </c>
      <c r="CD1492" s="5" t="s">
        <v>273</v>
      </c>
      <c r="CE1492" s="5" t="s">
        <v>256</v>
      </c>
      <c r="CF1492" s="5" t="s">
        <v>238</v>
      </c>
      <c r="CI1492" s="6" t="s">
        <v>257</v>
      </c>
      <c r="CJ1492" s="5" t="s">
        <v>238</v>
      </c>
      <c r="CK1492" s="5" t="s">
        <v>258</v>
      </c>
      <c r="CL1492" s="5" t="s">
        <v>238</v>
      </c>
      <c r="CM1492" s="5" t="s">
        <v>238</v>
      </c>
      <c r="CN1492" s="5">
        <v>0</v>
      </c>
      <c r="CO1492" s="5" t="s">
        <v>259</v>
      </c>
      <c r="CP1492" s="5" t="s">
        <v>260</v>
      </c>
      <c r="CQ1492" s="5" t="s">
        <v>260</v>
      </c>
      <c r="CR1492" s="5" t="s">
        <v>261</v>
      </c>
      <c r="CU1492" s="8">
        <f>1</f>
        <v>1</v>
      </c>
      <c r="CV1492" s="8">
        <f>0</f>
        <v>0</v>
      </c>
      <c r="CX1492" s="8">
        <f>0</f>
        <v>0</v>
      </c>
      <c r="CY1492" s="8">
        <f>1</f>
        <v>1</v>
      </c>
      <c r="DA1492" s="5" t="s">
        <v>673</v>
      </c>
      <c r="DB1492" s="5" t="s">
        <v>238</v>
      </c>
      <c r="DD1492" s="5" t="s">
        <v>673</v>
      </c>
      <c r="DE1492" s="8">
        <f>2923</f>
        <v>2923</v>
      </c>
      <c r="DG1492" s="5" t="s">
        <v>238</v>
      </c>
      <c r="DH1492" s="5" t="s">
        <v>238</v>
      </c>
      <c r="DI1492" s="5" t="s">
        <v>238</v>
      </c>
      <c r="DJ1492" s="5" t="s">
        <v>238</v>
      </c>
      <c r="DN1492" s="5" t="s">
        <v>238</v>
      </c>
      <c r="DO1492" s="5" t="s">
        <v>238</v>
      </c>
      <c r="DP1492" s="5" t="s">
        <v>238</v>
      </c>
      <c r="DQ1492" s="5" t="s">
        <v>238</v>
      </c>
      <c r="DT1492" s="5" t="s">
        <v>2039</v>
      </c>
      <c r="DU1492" s="5" t="s">
        <v>2314</v>
      </c>
      <c r="HM1492" s="5" t="s">
        <v>264</v>
      </c>
    </row>
    <row r="1493" spans="1:221" x14ac:dyDescent="0.4">
      <c r="A1493" s="5">
        <v>3168</v>
      </c>
      <c r="B1493" s="5">
        <v>1</v>
      </c>
      <c r="C1493" s="5">
        <v>1</v>
      </c>
      <c r="D1493" s="5" t="s">
        <v>2037</v>
      </c>
      <c r="E1493" s="5" t="s">
        <v>271</v>
      </c>
      <c r="F1493" s="5" t="s">
        <v>248</v>
      </c>
      <c r="G1493" s="5" t="s">
        <v>1969</v>
      </c>
      <c r="H1493" s="6" t="s">
        <v>2311</v>
      </c>
      <c r="I1493" s="7">
        <f>5685</f>
        <v>5685</v>
      </c>
      <c r="J1493" s="5" t="s">
        <v>262</v>
      </c>
      <c r="K1493" s="8">
        <f>1</f>
        <v>1</v>
      </c>
      <c r="L1493" s="6" t="s">
        <v>242</v>
      </c>
      <c r="M1493" s="5" t="s">
        <v>267</v>
      </c>
      <c r="N1493" s="5" t="s">
        <v>265</v>
      </c>
      <c r="O1493" s="5" t="s">
        <v>238</v>
      </c>
      <c r="P1493" s="5" t="s">
        <v>238</v>
      </c>
      <c r="Q1493" s="5" t="s">
        <v>268</v>
      </c>
      <c r="R1493" s="5" t="s">
        <v>270</v>
      </c>
      <c r="S1493" s="5" t="s">
        <v>238</v>
      </c>
      <c r="V1493" s="5" t="s">
        <v>238</v>
      </c>
      <c r="X1493" s="6" t="s">
        <v>238</v>
      </c>
      <c r="AA1493" s="6" t="s">
        <v>243</v>
      </c>
      <c r="AB1493" s="5" t="s">
        <v>238</v>
      </c>
      <c r="AC1493" s="5" t="s">
        <v>244</v>
      </c>
      <c r="AD1493" s="5" t="s">
        <v>245</v>
      </c>
      <c r="AT1493" s="5" t="s">
        <v>246</v>
      </c>
      <c r="AU1493" s="5" t="s">
        <v>238</v>
      </c>
      <c r="AV1493" s="5" t="s">
        <v>247</v>
      </c>
      <c r="AW1493" s="5" t="s">
        <v>238</v>
      </c>
      <c r="AX1493" s="5" t="s">
        <v>249</v>
      </c>
      <c r="AY1493" s="5" t="s">
        <v>238</v>
      </c>
      <c r="BA1493" s="5" t="s">
        <v>238</v>
      </c>
      <c r="BC1493" s="5" t="s">
        <v>250</v>
      </c>
      <c r="BD1493" s="6" t="s">
        <v>243</v>
      </c>
      <c r="BE1493" s="5" t="s">
        <v>251</v>
      </c>
      <c r="BF1493" s="5" t="s">
        <v>252</v>
      </c>
      <c r="BG1493" s="5" t="s">
        <v>238</v>
      </c>
      <c r="BH1493" s="7">
        <f>0</f>
        <v>0</v>
      </c>
      <c r="BI1493" s="8">
        <f>0</f>
        <v>0</v>
      </c>
      <c r="BJ1493" s="5" t="s">
        <v>253</v>
      </c>
      <c r="BK1493" s="5" t="s">
        <v>254</v>
      </c>
      <c r="BY1493" s="5" t="s">
        <v>238</v>
      </c>
      <c r="BZ1493" s="5" t="s">
        <v>238</v>
      </c>
      <c r="CD1493" s="5" t="s">
        <v>273</v>
      </c>
      <c r="CE1493" s="5" t="s">
        <v>256</v>
      </c>
      <c r="CF1493" s="5" t="s">
        <v>238</v>
      </c>
      <c r="CI1493" s="6" t="s">
        <v>257</v>
      </c>
      <c r="CJ1493" s="5" t="s">
        <v>238</v>
      </c>
      <c r="CK1493" s="5" t="s">
        <v>258</v>
      </c>
      <c r="CL1493" s="5" t="s">
        <v>238</v>
      </c>
      <c r="CM1493" s="5" t="s">
        <v>238</v>
      </c>
      <c r="CN1493" s="5">
        <v>0</v>
      </c>
      <c r="CO1493" s="5" t="s">
        <v>259</v>
      </c>
      <c r="CP1493" s="5" t="s">
        <v>260</v>
      </c>
      <c r="CQ1493" s="5" t="s">
        <v>260</v>
      </c>
      <c r="CR1493" s="5" t="s">
        <v>261</v>
      </c>
      <c r="CU1493" s="8">
        <f>1</f>
        <v>1</v>
      </c>
      <c r="CV1493" s="8">
        <f>0</f>
        <v>0</v>
      </c>
      <c r="CX1493" s="8">
        <f>0</f>
        <v>0</v>
      </c>
      <c r="CY1493" s="8">
        <f>1</f>
        <v>1</v>
      </c>
      <c r="DA1493" s="5" t="s">
        <v>673</v>
      </c>
      <c r="DB1493" s="5" t="s">
        <v>238</v>
      </c>
      <c r="DD1493" s="5" t="s">
        <v>673</v>
      </c>
      <c r="DE1493" s="8">
        <f>5685</f>
        <v>5685</v>
      </c>
      <c r="DG1493" s="5" t="s">
        <v>238</v>
      </c>
      <c r="DH1493" s="5" t="s">
        <v>238</v>
      </c>
      <c r="DI1493" s="5" t="s">
        <v>238</v>
      </c>
      <c r="DJ1493" s="5" t="s">
        <v>238</v>
      </c>
      <c r="DN1493" s="5" t="s">
        <v>238</v>
      </c>
      <c r="DO1493" s="5" t="s">
        <v>238</v>
      </c>
      <c r="DP1493" s="5" t="s">
        <v>238</v>
      </c>
      <c r="DQ1493" s="5" t="s">
        <v>238</v>
      </c>
      <c r="DT1493" s="5" t="s">
        <v>2039</v>
      </c>
      <c r="DU1493" s="5" t="s">
        <v>2312</v>
      </c>
      <c r="HM1493" s="5" t="s">
        <v>264</v>
      </c>
    </row>
    <row r="1494" spans="1:221" x14ac:dyDescent="0.4">
      <c r="A1494" s="5">
        <v>3169</v>
      </c>
      <c r="B1494" s="5">
        <v>1</v>
      </c>
      <c r="C1494" s="5">
        <v>1</v>
      </c>
      <c r="D1494" s="5" t="s">
        <v>2037</v>
      </c>
      <c r="E1494" s="5" t="s">
        <v>271</v>
      </c>
      <c r="F1494" s="5" t="s">
        <v>248</v>
      </c>
      <c r="G1494" s="5" t="s">
        <v>1969</v>
      </c>
      <c r="H1494" s="6" t="s">
        <v>2308</v>
      </c>
      <c r="I1494" s="7">
        <f>6030</f>
        <v>6030</v>
      </c>
      <c r="J1494" s="5" t="s">
        <v>262</v>
      </c>
      <c r="K1494" s="8">
        <f>1</f>
        <v>1</v>
      </c>
      <c r="L1494" s="6" t="s">
        <v>242</v>
      </c>
      <c r="M1494" s="5" t="s">
        <v>267</v>
      </c>
      <c r="N1494" s="5" t="s">
        <v>265</v>
      </c>
      <c r="O1494" s="5" t="s">
        <v>238</v>
      </c>
      <c r="P1494" s="5" t="s">
        <v>238</v>
      </c>
      <c r="Q1494" s="5" t="s">
        <v>268</v>
      </c>
      <c r="R1494" s="5" t="s">
        <v>270</v>
      </c>
      <c r="S1494" s="5" t="s">
        <v>238</v>
      </c>
      <c r="V1494" s="5" t="s">
        <v>238</v>
      </c>
      <c r="X1494" s="6" t="s">
        <v>238</v>
      </c>
      <c r="AA1494" s="6" t="s">
        <v>243</v>
      </c>
      <c r="AB1494" s="5" t="s">
        <v>238</v>
      </c>
      <c r="AC1494" s="5" t="s">
        <v>244</v>
      </c>
      <c r="AD1494" s="5" t="s">
        <v>245</v>
      </c>
      <c r="AT1494" s="5" t="s">
        <v>246</v>
      </c>
      <c r="AU1494" s="5" t="s">
        <v>238</v>
      </c>
      <c r="AV1494" s="5" t="s">
        <v>247</v>
      </c>
      <c r="AW1494" s="5" t="s">
        <v>238</v>
      </c>
      <c r="AX1494" s="5" t="s">
        <v>249</v>
      </c>
      <c r="AY1494" s="5" t="s">
        <v>238</v>
      </c>
      <c r="BA1494" s="5" t="s">
        <v>238</v>
      </c>
      <c r="BC1494" s="5" t="s">
        <v>250</v>
      </c>
      <c r="BD1494" s="6" t="s">
        <v>243</v>
      </c>
      <c r="BE1494" s="5" t="s">
        <v>251</v>
      </c>
      <c r="BF1494" s="5" t="s">
        <v>252</v>
      </c>
      <c r="BG1494" s="5" t="s">
        <v>238</v>
      </c>
      <c r="BH1494" s="7">
        <f>0</f>
        <v>0</v>
      </c>
      <c r="BI1494" s="8">
        <f>0</f>
        <v>0</v>
      </c>
      <c r="BJ1494" s="5" t="s">
        <v>253</v>
      </c>
      <c r="BK1494" s="5" t="s">
        <v>254</v>
      </c>
      <c r="BY1494" s="5" t="s">
        <v>238</v>
      </c>
      <c r="BZ1494" s="5" t="s">
        <v>238</v>
      </c>
      <c r="CD1494" s="5" t="s">
        <v>273</v>
      </c>
      <c r="CE1494" s="5" t="s">
        <v>256</v>
      </c>
      <c r="CF1494" s="5" t="s">
        <v>238</v>
      </c>
      <c r="CI1494" s="6" t="s">
        <v>257</v>
      </c>
      <c r="CJ1494" s="5" t="s">
        <v>238</v>
      </c>
      <c r="CK1494" s="5" t="s">
        <v>258</v>
      </c>
      <c r="CL1494" s="5" t="s">
        <v>238</v>
      </c>
      <c r="CM1494" s="5" t="s">
        <v>238</v>
      </c>
      <c r="CN1494" s="5">
        <v>0</v>
      </c>
      <c r="CO1494" s="5" t="s">
        <v>259</v>
      </c>
      <c r="CP1494" s="5" t="s">
        <v>260</v>
      </c>
      <c r="CQ1494" s="5" t="s">
        <v>260</v>
      </c>
      <c r="CR1494" s="5" t="s">
        <v>261</v>
      </c>
      <c r="CU1494" s="8">
        <f>1</f>
        <v>1</v>
      </c>
      <c r="CV1494" s="8">
        <f>0</f>
        <v>0</v>
      </c>
      <c r="CX1494" s="8">
        <f>0</f>
        <v>0</v>
      </c>
      <c r="CY1494" s="8">
        <f>1</f>
        <v>1</v>
      </c>
      <c r="DA1494" s="5" t="s">
        <v>673</v>
      </c>
      <c r="DB1494" s="5" t="s">
        <v>238</v>
      </c>
      <c r="DD1494" s="5" t="s">
        <v>673</v>
      </c>
      <c r="DE1494" s="8">
        <f>6030</f>
        <v>6030</v>
      </c>
      <c r="DG1494" s="5" t="s">
        <v>238</v>
      </c>
      <c r="DH1494" s="5" t="s">
        <v>238</v>
      </c>
      <c r="DI1494" s="5" t="s">
        <v>238</v>
      </c>
      <c r="DJ1494" s="5" t="s">
        <v>238</v>
      </c>
      <c r="DN1494" s="5" t="s">
        <v>238</v>
      </c>
      <c r="DO1494" s="5" t="s">
        <v>238</v>
      </c>
      <c r="DP1494" s="5" t="s">
        <v>238</v>
      </c>
      <c r="DQ1494" s="5" t="s">
        <v>238</v>
      </c>
      <c r="DT1494" s="5" t="s">
        <v>2039</v>
      </c>
      <c r="DU1494" s="5" t="s">
        <v>2309</v>
      </c>
      <c r="HM1494" s="5" t="s">
        <v>264</v>
      </c>
    </row>
    <row r="1495" spans="1:221" x14ac:dyDescent="0.4">
      <c r="A1495" s="5">
        <v>3170</v>
      </c>
      <c r="B1495" s="5">
        <v>1</v>
      </c>
      <c r="C1495" s="5">
        <v>1</v>
      </c>
      <c r="D1495" s="5" t="s">
        <v>2037</v>
      </c>
      <c r="E1495" s="5" t="s">
        <v>271</v>
      </c>
      <c r="F1495" s="5" t="s">
        <v>248</v>
      </c>
      <c r="G1495" s="5" t="s">
        <v>1969</v>
      </c>
      <c r="H1495" s="6" t="s">
        <v>2306</v>
      </c>
      <c r="I1495" s="7">
        <f>2890</f>
        <v>2890</v>
      </c>
      <c r="J1495" s="5" t="s">
        <v>262</v>
      </c>
      <c r="K1495" s="8">
        <f>1</f>
        <v>1</v>
      </c>
      <c r="L1495" s="6" t="s">
        <v>242</v>
      </c>
      <c r="M1495" s="5" t="s">
        <v>267</v>
      </c>
      <c r="N1495" s="5" t="s">
        <v>265</v>
      </c>
      <c r="O1495" s="5" t="s">
        <v>238</v>
      </c>
      <c r="P1495" s="5" t="s">
        <v>238</v>
      </c>
      <c r="Q1495" s="5" t="s">
        <v>268</v>
      </c>
      <c r="R1495" s="5" t="s">
        <v>270</v>
      </c>
      <c r="S1495" s="5" t="s">
        <v>238</v>
      </c>
      <c r="V1495" s="5" t="s">
        <v>238</v>
      </c>
      <c r="X1495" s="6" t="s">
        <v>238</v>
      </c>
      <c r="AA1495" s="6" t="s">
        <v>243</v>
      </c>
      <c r="AB1495" s="5" t="s">
        <v>238</v>
      </c>
      <c r="AC1495" s="5" t="s">
        <v>244</v>
      </c>
      <c r="AD1495" s="5" t="s">
        <v>245</v>
      </c>
      <c r="AT1495" s="5" t="s">
        <v>246</v>
      </c>
      <c r="AU1495" s="5" t="s">
        <v>238</v>
      </c>
      <c r="AV1495" s="5" t="s">
        <v>247</v>
      </c>
      <c r="AW1495" s="5" t="s">
        <v>238</v>
      </c>
      <c r="AX1495" s="5" t="s">
        <v>249</v>
      </c>
      <c r="AY1495" s="5" t="s">
        <v>238</v>
      </c>
      <c r="BA1495" s="5" t="s">
        <v>238</v>
      </c>
      <c r="BC1495" s="5" t="s">
        <v>250</v>
      </c>
      <c r="BD1495" s="6" t="s">
        <v>243</v>
      </c>
      <c r="BE1495" s="5" t="s">
        <v>251</v>
      </c>
      <c r="BF1495" s="5" t="s">
        <v>252</v>
      </c>
      <c r="BG1495" s="5" t="s">
        <v>238</v>
      </c>
      <c r="BH1495" s="7">
        <f>0</f>
        <v>0</v>
      </c>
      <c r="BI1495" s="8">
        <f>0</f>
        <v>0</v>
      </c>
      <c r="BJ1495" s="5" t="s">
        <v>253</v>
      </c>
      <c r="BK1495" s="5" t="s">
        <v>254</v>
      </c>
      <c r="BY1495" s="5" t="s">
        <v>238</v>
      </c>
      <c r="BZ1495" s="5" t="s">
        <v>238</v>
      </c>
      <c r="CD1495" s="5" t="s">
        <v>273</v>
      </c>
      <c r="CE1495" s="5" t="s">
        <v>256</v>
      </c>
      <c r="CF1495" s="5" t="s">
        <v>238</v>
      </c>
      <c r="CI1495" s="6" t="s">
        <v>257</v>
      </c>
      <c r="CJ1495" s="5" t="s">
        <v>238</v>
      </c>
      <c r="CK1495" s="5" t="s">
        <v>258</v>
      </c>
      <c r="CL1495" s="5" t="s">
        <v>238</v>
      </c>
      <c r="CM1495" s="5" t="s">
        <v>238</v>
      </c>
      <c r="CN1495" s="5">
        <v>0</v>
      </c>
      <c r="CO1495" s="5" t="s">
        <v>259</v>
      </c>
      <c r="CP1495" s="5" t="s">
        <v>260</v>
      </c>
      <c r="CQ1495" s="5" t="s">
        <v>260</v>
      </c>
      <c r="CR1495" s="5" t="s">
        <v>261</v>
      </c>
      <c r="CU1495" s="8">
        <f>1</f>
        <v>1</v>
      </c>
      <c r="CV1495" s="8">
        <f>0</f>
        <v>0</v>
      </c>
      <c r="CX1495" s="8">
        <f>0</f>
        <v>0</v>
      </c>
      <c r="CY1495" s="8">
        <f>1</f>
        <v>1</v>
      </c>
      <c r="DA1495" s="5" t="s">
        <v>673</v>
      </c>
      <c r="DB1495" s="5" t="s">
        <v>238</v>
      </c>
      <c r="DD1495" s="5" t="s">
        <v>673</v>
      </c>
      <c r="DE1495" s="8">
        <f>2890</f>
        <v>2890</v>
      </c>
      <c r="DG1495" s="5" t="s">
        <v>238</v>
      </c>
      <c r="DH1495" s="5" t="s">
        <v>238</v>
      </c>
      <c r="DI1495" s="5" t="s">
        <v>238</v>
      </c>
      <c r="DJ1495" s="5" t="s">
        <v>238</v>
      </c>
      <c r="DN1495" s="5" t="s">
        <v>238</v>
      </c>
      <c r="DO1495" s="5" t="s">
        <v>238</v>
      </c>
      <c r="DP1495" s="5" t="s">
        <v>238</v>
      </c>
      <c r="DQ1495" s="5" t="s">
        <v>238</v>
      </c>
      <c r="DT1495" s="5" t="s">
        <v>2039</v>
      </c>
      <c r="DU1495" s="5" t="s">
        <v>2307</v>
      </c>
      <c r="HM1495" s="5" t="s">
        <v>264</v>
      </c>
    </row>
    <row r="1496" spans="1:221" x14ac:dyDescent="0.4">
      <c r="A1496" s="5">
        <v>3171</v>
      </c>
      <c r="B1496" s="5">
        <v>1</v>
      </c>
      <c r="C1496" s="5">
        <v>1</v>
      </c>
      <c r="D1496" s="5" t="s">
        <v>2037</v>
      </c>
      <c r="E1496" s="5" t="s">
        <v>271</v>
      </c>
      <c r="F1496" s="5" t="s">
        <v>248</v>
      </c>
      <c r="G1496" s="5" t="s">
        <v>1969</v>
      </c>
      <c r="H1496" s="6" t="s">
        <v>2304</v>
      </c>
      <c r="I1496" s="7">
        <f>4097</f>
        <v>4097</v>
      </c>
      <c r="J1496" s="5" t="s">
        <v>262</v>
      </c>
      <c r="K1496" s="8">
        <f>1</f>
        <v>1</v>
      </c>
      <c r="L1496" s="6" t="s">
        <v>242</v>
      </c>
      <c r="M1496" s="5" t="s">
        <v>267</v>
      </c>
      <c r="N1496" s="5" t="s">
        <v>265</v>
      </c>
      <c r="O1496" s="5" t="s">
        <v>238</v>
      </c>
      <c r="P1496" s="5" t="s">
        <v>238</v>
      </c>
      <c r="Q1496" s="5" t="s">
        <v>268</v>
      </c>
      <c r="R1496" s="5" t="s">
        <v>270</v>
      </c>
      <c r="S1496" s="5" t="s">
        <v>238</v>
      </c>
      <c r="V1496" s="5" t="s">
        <v>238</v>
      </c>
      <c r="X1496" s="6" t="s">
        <v>238</v>
      </c>
      <c r="AA1496" s="6" t="s">
        <v>243</v>
      </c>
      <c r="AB1496" s="5" t="s">
        <v>238</v>
      </c>
      <c r="AC1496" s="5" t="s">
        <v>244</v>
      </c>
      <c r="AD1496" s="5" t="s">
        <v>245</v>
      </c>
      <c r="AT1496" s="5" t="s">
        <v>246</v>
      </c>
      <c r="AU1496" s="5" t="s">
        <v>238</v>
      </c>
      <c r="AV1496" s="5" t="s">
        <v>247</v>
      </c>
      <c r="AW1496" s="5" t="s">
        <v>238</v>
      </c>
      <c r="AX1496" s="5" t="s">
        <v>249</v>
      </c>
      <c r="AY1496" s="5" t="s">
        <v>238</v>
      </c>
      <c r="BA1496" s="5" t="s">
        <v>238</v>
      </c>
      <c r="BC1496" s="5" t="s">
        <v>250</v>
      </c>
      <c r="BD1496" s="6" t="s">
        <v>243</v>
      </c>
      <c r="BE1496" s="5" t="s">
        <v>251</v>
      </c>
      <c r="BF1496" s="5" t="s">
        <v>252</v>
      </c>
      <c r="BG1496" s="5" t="s">
        <v>238</v>
      </c>
      <c r="BH1496" s="7">
        <f>0</f>
        <v>0</v>
      </c>
      <c r="BI1496" s="8">
        <f>0</f>
        <v>0</v>
      </c>
      <c r="BJ1496" s="5" t="s">
        <v>253</v>
      </c>
      <c r="BK1496" s="5" t="s">
        <v>254</v>
      </c>
      <c r="BY1496" s="5" t="s">
        <v>238</v>
      </c>
      <c r="BZ1496" s="5" t="s">
        <v>238</v>
      </c>
      <c r="CD1496" s="5" t="s">
        <v>273</v>
      </c>
      <c r="CE1496" s="5" t="s">
        <v>256</v>
      </c>
      <c r="CF1496" s="5" t="s">
        <v>238</v>
      </c>
      <c r="CI1496" s="6" t="s">
        <v>257</v>
      </c>
      <c r="CJ1496" s="5" t="s">
        <v>238</v>
      </c>
      <c r="CK1496" s="5" t="s">
        <v>258</v>
      </c>
      <c r="CL1496" s="5" t="s">
        <v>238</v>
      </c>
      <c r="CM1496" s="5" t="s">
        <v>238</v>
      </c>
      <c r="CN1496" s="5">
        <v>0</v>
      </c>
      <c r="CO1496" s="5" t="s">
        <v>259</v>
      </c>
      <c r="CP1496" s="5" t="s">
        <v>260</v>
      </c>
      <c r="CQ1496" s="5" t="s">
        <v>260</v>
      </c>
      <c r="CR1496" s="5" t="s">
        <v>261</v>
      </c>
      <c r="CU1496" s="8">
        <f>1</f>
        <v>1</v>
      </c>
      <c r="CV1496" s="8">
        <f>0</f>
        <v>0</v>
      </c>
      <c r="CX1496" s="8">
        <f>0</f>
        <v>0</v>
      </c>
      <c r="CY1496" s="8">
        <f>1</f>
        <v>1</v>
      </c>
      <c r="DA1496" s="5" t="s">
        <v>673</v>
      </c>
      <c r="DB1496" s="5" t="s">
        <v>238</v>
      </c>
      <c r="DD1496" s="5" t="s">
        <v>673</v>
      </c>
      <c r="DE1496" s="8">
        <f>4097</f>
        <v>4097</v>
      </c>
      <c r="DG1496" s="5" t="s">
        <v>238</v>
      </c>
      <c r="DH1496" s="5" t="s">
        <v>238</v>
      </c>
      <c r="DI1496" s="5" t="s">
        <v>238</v>
      </c>
      <c r="DJ1496" s="5" t="s">
        <v>238</v>
      </c>
      <c r="DN1496" s="5" t="s">
        <v>238</v>
      </c>
      <c r="DO1496" s="5" t="s">
        <v>238</v>
      </c>
      <c r="DP1496" s="5" t="s">
        <v>238</v>
      </c>
      <c r="DQ1496" s="5" t="s">
        <v>238</v>
      </c>
      <c r="DT1496" s="5" t="s">
        <v>2039</v>
      </c>
      <c r="DU1496" s="5" t="s">
        <v>2305</v>
      </c>
      <c r="HM1496" s="5" t="s">
        <v>264</v>
      </c>
    </row>
    <row r="1497" spans="1:221" x14ac:dyDescent="0.4">
      <c r="A1497" s="5">
        <v>3172</v>
      </c>
      <c r="B1497" s="5">
        <v>1</v>
      </c>
      <c r="C1497" s="5">
        <v>1</v>
      </c>
      <c r="D1497" s="5" t="s">
        <v>2037</v>
      </c>
      <c r="E1497" s="5" t="s">
        <v>271</v>
      </c>
      <c r="F1497" s="5" t="s">
        <v>248</v>
      </c>
      <c r="G1497" s="5" t="s">
        <v>1969</v>
      </c>
      <c r="H1497" s="6" t="s">
        <v>2303</v>
      </c>
      <c r="I1497" s="7">
        <f>2501</f>
        <v>2501</v>
      </c>
      <c r="J1497" s="5" t="s">
        <v>262</v>
      </c>
      <c r="K1497" s="8">
        <f>1</f>
        <v>1</v>
      </c>
      <c r="L1497" s="6" t="s">
        <v>242</v>
      </c>
      <c r="M1497" s="5" t="s">
        <v>267</v>
      </c>
      <c r="N1497" s="5" t="s">
        <v>265</v>
      </c>
      <c r="O1497" s="5" t="s">
        <v>238</v>
      </c>
      <c r="P1497" s="5" t="s">
        <v>238</v>
      </c>
      <c r="Q1497" s="5" t="s">
        <v>268</v>
      </c>
      <c r="R1497" s="5" t="s">
        <v>270</v>
      </c>
      <c r="S1497" s="5" t="s">
        <v>238</v>
      </c>
      <c r="V1497" s="5" t="s">
        <v>238</v>
      </c>
      <c r="X1497" s="6" t="s">
        <v>238</v>
      </c>
      <c r="AA1497" s="6" t="s">
        <v>243</v>
      </c>
      <c r="AB1497" s="5" t="s">
        <v>238</v>
      </c>
      <c r="AC1497" s="5" t="s">
        <v>244</v>
      </c>
      <c r="AD1497" s="5" t="s">
        <v>245</v>
      </c>
      <c r="AT1497" s="5" t="s">
        <v>246</v>
      </c>
      <c r="AU1497" s="5" t="s">
        <v>238</v>
      </c>
      <c r="AV1497" s="5" t="s">
        <v>247</v>
      </c>
      <c r="AW1497" s="5" t="s">
        <v>238</v>
      </c>
      <c r="AX1497" s="5" t="s">
        <v>249</v>
      </c>
      <c r="AY1497" s="5" t="s">
        <v>238</v>
      </c>
      <c r="BA1497" s="5" t="s">
        <v>238</v>
      </c>
      <c r="BC1497" s="5" t="s">
        <v>250</v>
      </c>
      <c r="BD1497" s="6" t="s">
        <v>243</v>
      </c>
      <c r="BE1497" s="5" t="s">
        <v>251</v>
      </c>
      <c r="BF1497" s="5" t="s">
        <v>252</v>
      </c>
      <c r="BG1497" s="5" t="s">
        <v>238</v>
      </c>
      <c r="BH1497" s="7">
        <f>0</f>
        <v>0</v>
      </c>
      <c r="BI1497" s="8">
        <f>0</f>
        <v>0</v>
      </c>
      <c r="BJ1497" s="5" t="s">
        <v>253</v>
      </c>
      <c r="BK1497" s="5" t="s">
        <v>254</v>
      </c>
      <c r="BY1497" s="5" t="s">
        <v>238</v>
      </c>
      <c r="BZ1497" s="5" t="s">
        <v>238</v>
      </c>
      <c r="CD1497" s="5" t="s">
        <v>273</v>
      </c>
      <c r="CE1497" s="5" t="s">
        <v>256</v>
      </c>
      <c r="CF1497" s="5" t="s">
        <v>238</v>
      </c>
      <c r="CI1497" s="6" t="s">
        <v>257</v>
      </c>
      <c r="CJ1497" s="5" t="s">
        <v>238</v>
      </c>
      <c r="CK1497" s="5" t="s">
        <v>258</v>
      </c>
      <c r="CL1497" s="5" t="s">
        <v>238</v>
      </c>
      <c r="CM1497" s="5" t="s">
        <v>238</v>
      </c>
      <c r="CN1497" s="5">
        <v>0</v>
      </c>
      <c r="CO1497" s="5" t="s">
        <v>259</v>
      </c>
      <c r="CP1497" s="5" t="s">
        <v>260</v>
      </c>
      <c r="CQ1497" s="5" t="s">
        <v>260</v>
      </c>
      <c r="CR1497" s="5" t="s">
        <v>261</v>
      </c>
      <c r="CU1497" s="8">
        <f>1</f>
        <v>1</v>
      </c>
      <c r="CV1497" s="8">
        <f>0</f>
        <v>0</v>
      </c>
      <c r="CX1497" s="8">
        <f>0</f>
        <v>0</v>
      </c>
      <c r="CY1497" s="8">
        <f>1</f>
        <v>1</v>
      </c>
      <c r="DA1497" s="5" t="s">
        <v>673</v>
      </c>
      <c r="DB1497" s="5" t="s">
        <v>238</v>
      </c>
      <c r="DD1497" s="5" t="s">
        <v>673</v>
      </c>
      <c r="DE1497" s="8">
        <f>2501</f>
        <v>2501</v>
      </c>
      <c r="DG1497" s="5" t="s">
        <v>238</v>
      </c>
      <c r="DH1497" s="5" t="s">
        <v>238</v>
      </c>
      <c r="DI1497" s="5" t="s">
        <v>238</v>
      </c>
      <c r="DJ1497" s="5" t="s">
        <v>238</v>
      </c>
      <c r="DN1497" s="5" t="s">
        <v>238</v>
      </c>
      <c r="DO1497" s="5" t="s">
        <v>238</v>
      </c>
      <c r="DP1497" s="5" t="s">
        <v>238</v>
      </c>
      <c r="DQ1497" s="5" t="s">
        <v>238</v>
      </c>
      <c r="DT1497" s="5" t="s">
        <v>2039</v>
      </c>
      <c r="DU1497" s="5" t="s">
        <v>1764</v>
      </c>
      <c r="HM1497" s="5" t="s">
        <v>264</v>
      </c>
    </row>
    <row r="1498" spans="1:221" x14ac:dyDescent="0.4">
      <c r="A1498" s="5">
        <v>3173</v>
      </c>
      <c r="B1498" s="5">
        <v>1</v>
      </c>
      <c r="C1498" s="5">
        <v>1</v>
      </c>
      <c r="D1498" s="5" t="s">
        <v>2037</v>
      </c>
      <c r="E1498" s="5" t="s">
        <v>271</v>
      </c>
      <c r="F1498" s="5" t="s">
        <v>248</v>
      </c>
      <c r="G1498" s="5" t="s">
        <v>1969</v>
      </c>
      <c r="H1498" s="6" t="s">
        <v>2301</v>
      </c>
      <c r="I1498" s="7">
        <f>5214</f>
        <v>5214</v>
      </c>
      <c r="J1498" s="5" t="s">
        <v>262</v>
      </c>
      <c r="K1498" s="8">
        <f>1</f>
        <v>1</v>
      </c>
      <c r="L1498" s="6" t="s">
        <v>242</v>
      </c>
      <c r="M1498" s="5" t="s">
        <v>267</v>
      </c>
      <c r="N1498" s="5" t="s">
        <v>265</v>
      </c>
      <c r="O1498" s="5" t="s">
        <v>238</v>
      </c>
      <c r="P1498" s="5" t="s">
        <v>238</v>
      </c>
      <c r="Q1498" s="5" t="s">
        <v>268</v>
      </c>
      <c r="R1498" s="5" t="s">
        <v>270</v>
      </c>
      <c r="S1498" s="5" t="s">
        <v>238</v>
      </c>
      <c r="V1498" s="5" t="s">
        <v>238</v>
      </c>
      <c r="X1498" s="6" t="s">
        <v>238</v>
      </c>
      <c r="AA1498" s="6" t="s">
        <v>243</v>
      </c>
      <c r="AB1498" s="5" t="s">
        <v>238</v>
      </c>
      <c r="AC1498" s="5" t="s">
        <v>244</v>
      </c>
      <c r="AD1498" s="5" t="s">
        <v>245</v>
      </c>
      <c r="AT1498" s="5" t="s">
        <v>246</v>
      </c>
      <c r="AU1498" s="5" t="s">
        <v>238</v>
      </c>
      <c r="AV1498" s="5" t="s">
        <v>247</v>
      </c>
      <c r="AW1498" s="5" t="s">
        <v>238</v>
      </c>
      <c r="AX1498" s="5" t="s">
        <v>249</v>
      </c>
      <c r="AY1498" s="5" t="s">
        <v>238</v>
      </c>
      <c r="BA1498" s="5" t="s">
        <v>238</v>
      </c>
      <c r="BC1498" s="5" t="s">
        <v>250</v>
      </c>
      <c r="BD1498" s="6" t="s">
        <v>243</v>
      </c>
      <c r="BE1498" s="5" t="s">
        <v>251</v>
      </c>
      <c r="BF1498" s="5" t="s">
        <v>252</v>
      </c>
      <c r="BG1498" s="5" t="s">
        <v>238</v>
      </c>
      <c r="BH1498" s="7">
        <f>0</f>
        <v>0</v>
      </c>
      <c r="BI1498" s="8">
        <f>0</f>
        <v>0</v>
      </c>
      <c r="BJ1498" s="5" t="s">
        <v>253</v>
      </c>
      <c r="BK1498" s="5" t="s">
        <v>254</v>
      </c>
      <c r="BY1498" s="5" t="s">
        <v>238</v>
      </c>
      <c r="BZ1498" s="5" t="s">
        <v>238</v>
      </c>
      <c r="CD1498" s="5" t="s">
        <v>273</v>
      </c>
      <c r="CE1498" s="5" t="s">
        <v>256</v>
      </c>
      <c r="CF1498" s="5" t="s">
        <v>238</v>
      </c>
      <c r="CI1498" s="6" t="s">
        <v>257</v>
      </c>
      <c r="CJ1498" s="5" t="s">
        <v>238</v>
      </c>
      <c r="CK1498" s="5" t="s">
        <v>258</v>
      </c>
      <c r="CL1498" s="5" t="s">
        <v>238</v>
      </c>
      <c r="CM1498" s="5" t="s">
        <v>238</v>
      </c>
      <c r="CN1498" s="5">
        <v>0</v>
      </c>
      <c r="CO1498" s="5" t="s">
        <v>259</v>
      </c>
      <c r="CP1498" s="5" t="s">
        <v>260</v>
      </c>
      <c r="CQ1498" s="5" t="s">
        <v>260</v>
      </c>
      <c r="CR1498" s="5" t="s">
        <v>261</v>
      </c>
      <c r="CU1498" s="8">
        <f>1</f>
        <v>1</v>
      </c>
      <c r="CV1498" s="8">
        <f>0</f>
        <v>0</v>
      </c>
      <c r="CX1498" s="8">
        <f>0</f>
        <v>0</v>
      </c>
      <c r="CY1498" s="8">
        <f>1</f>
        <v>1</v>
      </c>
      <c r="DA1498" s="5" t="s">
        <v>673</v>
      </c>
      <c r="DB1498" s="5" t="s">
        <v>238</v>
      </c>
      <c r="DD1498" s="5" t="s">
        <v>673</v>
      </c>
      <c r="DE1498" s="8">
        <f>5214</f>
        <v>5214</v>
      </c>
      <c r="DG1498" s="5" t="s">
        <v>238</v>
      </c>
      <c r="DH1498" s="5" t="s">
        <v>238</v>
      </c>
      <c r="DI1498" s="5" t="s">
        <v>238</v>
      </c>
      <c r="DJ1498" s="5" t="s">
        <v>238</v>
      </c>
      <c r="DN1498" s="5" t="s">
        <v>238</v>
      </c>
      <c r="DO1498" s="5" t="s">
        <v>238</v>
      </c>
      <c r="DP1498" s="5" t="s">
        <v>238</v>
      </c>
      <c r="DQ1498" s="5" t="s">
        <v>238</v>
      </c>
      <c r="DT1498" s="5" t="s">
        <v>2039</v>
      </c>
      <c r="DU1498" s="5" t="s">
        <v>2302</v>
      </c>
      <c r="HM1498" s="5" t="s">
        <v>264</v>
      </c>
    </row>
    <row r="1499" spans="1:221" x14ac:dyDescent="0.4">
      <c r="A1499" s="5">
        <v>3174</v>
      </c>
      <c r="B1499" s="5">
        <v>1</v>
      </c>
      <c r="C1499" s="5">
        <v>1</v>
      </c>
      <c r="D1499" s="5" t="s">
        <v>2037</v>
      </c>
      <c r="E1499" s="5" t="s">
        <v>271</v>
      </c>
      <c r="F1499" s="5" t="s">
        <v>248</v>
      </c>
      <c r="G1499" s="5" t="s">
        <v>1969</v>
      </c>
      <c r="H1499" s="6" t="s">
        <v>2299</v>
      </c>
      <c r="I1499" s="7">
        <f>2608</f>
        <v>2608</v>
      </c>
      <c r="J1499" s="5" t="s">
        <v>262</v>
      </c>
      <c r="K1499" s="8">
        <f>1</f>
        <v>1</v>
      </c>
      <c r="L1499" s="6" t="s">
        <v>242</v>
      </c>
      <c r="M1499" s="5" t="s">
        <v>267</v>
      </c>
      <c r="N1499" s="5" t="s">
        <v>265</v>
      </c>
      <c r="O1499" s="5" t="s">
        <v>238</v>
      </c>
      <c r="P1499" s="5" t="s">
        <v>238</v>
      </c>
      <c r="Q1499" s="5" t="s">
        <v>268</v>
      </c>
      <c r="R1499" s="5" t="s">
        <v>270</v>
      </c>
      <c r="S1499" s="5" t="s">
        <v>238</v>
      </c>
      <c r="V1499" s="5" t="s">
        <v>238</v>
      </c>
      <c r="X1499" s="6" t="s">
        <v>238</v>
      </c>
      <c r="AA1499" s="6" t="s">
        <v>243</v>
      </c>
      <c r="AB1499" s="5" t="s">
        <v>238</v>
      </c>
      <c r="AC1499" s="5" t="s">
        <v>244</v>
      </c>
      <c r="AD1499" s="5" t="s">
        <v>245</v>
      </c>
      <c r="AT1499" s="5" t="s">
        <v>246</v>
      </c>
      <c r="AU1499" s="5" t="s">
        <v>238</v>
      </c>
      <c r="AV1499" s="5" t="s">
        <v>247</v>
      </c>
      <c r="AW1499" s="5" t="s">
        <v>238</v>
      </c>
      <c r="AX1499" s="5" t="s">
        <v>249</v>
      </c>
      <c r="AY1499" s="5" t="s">
        <v>238</v>
      </c>
      <c r="BA1499" s="5" t="s">
        <v>238</v>
      </c>
      <c r="BC1499" s="5" t="s">
        <v>250</v>
      </c>
      <c r="BD1499" s="6" t="s">
        <v>243</v>
      </c>
      <c r="BE1499" s="5" t="s">
        <v>251</v>
      </c>
      <c r="BF1499" s="5" t="s">
        <v>252</v>
      </c>
      <c r="BG1499" s="5" t="s">
        <v>238</v>
      </c>
      <c r="BH1499" s="7">
        <f>0</f>
        <v>0</v>
      </c>
      <c r="BI1499" s="8">
        <f>0</f>
        <v>0</v>
      </c>
      <c r="BJ1499" s="5" t="s">
        <v>253</v>
      </c>
      <c r="BK1499" s="5" t="s">
        <v>254</v>
      </c>
      <c r="BY1499" s="5" t="s">
        <v>238</v>
      </c>
      <c r="BZ1499" s="5" t="s">
        <v>238</v>
      </c>
      <c r="CD1499" s="5" t="s">
        <v>273</v>
      </c>
      <c r="CE1499" s="5" t="s">
        <v>256</v>
      </c>
      <c r="CF1499" s="5" t="s">
        <v>238</v>
      </c>
      <c r="CI1499" s="6" t="s">
        <v>257</v>
      </c>
      <c r="CJ1499" s="5" t="s">
        <v>238</v>
      </c>
      <c r="CK1499" s="5" t="s">
        <v>258</v>
      </c>
      <c r="CL1499" s="5" t="s">
        <v>238</v>
      </c>
      <c r="CM1499" s="5" t="s">
        <v>238</v>
      </c>
      <c r="CN1499" s="5">
        <v>0</v>
      </c>
      <c r="CO1499" s="5" t="s">
        <v>259</v>
      </c>
      <c r="CP1499" s="5" t="s">
        <v>260</v>
      </c>
      <c r="CQ1499" s="5" t="s">
        <v>260</v>
      </c>
      <c r="CR1499" s="5" t="s">
        <v>261</v>
      </c>
      <c r="CU1499" s="8">
        <f>1</f>
        <v>1</v>
      </c>
      <c r="CV1499" s="8">
        <f>0</f>
        <v>0</v>
      </c>
      <c r="CX1499" s="8">
        <f>0</f>
        <v>0</v>
      </c>
      <c r="CY1499" s="8">
        <f>1</f>
        <v>1</v>
      </c>
      <c r="DA1499" s="5" t="s">
        <v>673</v>
      </c>
      <c r="DB1499" s="5" t="s">
        <v>238</v>
      </c>
      <c r="DD1499" s="5" t="s">
        <v>673</v>
      </c>
      <c r="DE1499" s="8">
        <f>2608</f>
        <v>2608</v>
      </c>
      <c r="DG1499" s="5" t="s">
        <v>238</v>
      </c>
      <c r="DH1499" s="5" t="s">
        <v>238</v>
      </c>
      <c r="DI1499" s="5" t="s">
        <v>238</v>
      </c>
      <c r="DJ1499" s="5" t="s">
        <v>238</v>
      </c>
      <c r="DN1499" s="5" t="s">
        <v>238</v>
      </c>
      <c r="DO1499" s="5" t="s">
        <v>238</v>
      </c>
      <c r="DP1499" s="5" t="s">
        <v>238</v>
      </c>
      <c r="DQ1499" s="5" t="s">
        <v>238</v>
      </c>
      <c r="DT1499" s="5" t="s">
        <v>2039</v>
      </c>
      <c r="DU1499" s="5" t="s">
        <v>2300</v>
      </c>
      <c r="HM1499" s="5" t="s">
        <v>264</v>
      </c>
    </row>
    <row r="1500" spans="1:221" x14ac:dyDescent="0.4">
      <c r="A1500" s="5">
        <v>3175</v>
      </c>
      <c r="B1500" s="5">
        <v>1</v>
      </c>
      <c r="C1500" s="5">
        <v>1</v>
      </c>
      <c r="D1500" s="5" t="s">
        <v>2037</v>
      </c>
      <c r="E1500" s="5" t="s">
        <v>271</v>
      </c>
      <c r="F1500" s="5" t="s">
        <v>248</v>
      </c>
      <c r="G1500" s="5" t="s">
        <v>1969</v>
      </c>
      <c r="H1500" s="6" t="s">
        <v>2293</v>
      </c>
      <c r="I1500" s="7">
        <f>2791</f>
        <v>2791</v>
      </c>
      <c r="J1500" s="5" t="s">
        <v>262</v>
      </c>
      <c r="K1500" s="8">
        <f>1</f>
        <v>1</v>
      </c>
      <c r="L1500" s="6" t="s">
        <v>242</v>
      </c>
      <c r="M1500" s="5" t="s">
        <v>267</v>
      </c>
      <c r="N1500" s="5" t="s">
        <v>265</v>
      </c>
      <c r="O1500" s="5" t="s">
        <v>238</v>
      </c>
      <c r="P1500" s="5" t="s">
        <v>238</v>
      </c>
      <c r="Q1500" s="5" t="s">
        <v>268</v>
      </c>
      <c r="R1500" s="5" t="s">
        <v>270</v>
      </c>
      <c r="S1500" s="5" t="s">
        <v>238</v>
      </c>
      <c r="V1500" s="5" t="s">
        <v>238</v>
      </c>
      <c r="X1500" s="6" t="s">
        <v>238</v>
      </c>
      <c r="AA1500" s="6" t="s">
        <v>243</v>
      </c>
      <c r="AB1500" s="5" t="s">
        <v>238</v>
      </c>
      <c r="AC1500" s="5" t="s">
        <v>244</v>
      </c>
      <c r="AD1500" s="5" t="s">
        <v>245</v>
      </c>
      <c r="AT1500" s="5" t="s">
        <v>246</v>
      </c>
      <c r="AU1500" s="5" t="s">
        <v>238</v>
      </c>
      <c r="AV1500" s="5" t="s">
        <v>247</v>
      </c>
      <c r="AW1500" s="5" t="s">
        <v>238</v>
      </c>
      <c r="AX1500" s="5" t="s">
        <v>249</v>
      </c>
      <c r="AY1500" s="5" t="s">
        <v>238</v>
      </c>
      <c r="BA1500" s="5" t="s">
        <v>238</v>
      </c>
      <c r="BC1500" s="5" t="s">
        <v>250</v>
      </c>
      <c r="BD1500" s="6" t="s">
        <v>243</v>
      </c>
      <c r="BE1500" s="5" t="s">
        <v>251</v>
      </c>
      <c r="BF1500" s="5" t="s">
        <v>252</v>
      </c>
      <c r="BG1500" s="5" t="s">
        <v>238</v>
      </c>
      <c r="BH1500" s="7">
        <f>0</f>
        <v>0</v>
      </c>
      <c r="BI1500" s="8">
        <f>0</f>
        <v>0</v>
      </c>
      <c r="BJ1500" s="5" t="s">
        <v>253</v>
      </c>
      <c r="BK1500" s="5" t="s">
        <v>254</v>
      </c>
      <c r="BY1500" s="5" t="s">
        <v>238</v>
      </c>
      <c r="BZ1500" s="5" t="s">
        <v>238</v>
      </c>
      <c r="CD1500" s="5" t="s">
        <v>273</v>
      </c>
      <c r="CE1500" s="5" t="s">
        <v>256</v>
      </c>
      <c r="CF1500" s="5" t="s">
        <v>238</v>
      </c>
      <c r="CI1500" s="6" t="s">
        <v>257</v>
      </c>
      <c r="CJ1500" s="5" t="s">
        <v>238</v>
      </c>
      <c r="CK1500" s="5" t="s">
        <v>258</v>
      </c>
      <c r="CL1500" s="5" t="s">
        <v>238</v>
      </c>
      <c r="CM1500" s="5" t="s">
        <v>238</v>
      </c>
      <c r="CN1500" s="5">
        <v>0</v>
      </c>
      <c r="CO1500" s="5" t="s">
        <v>259</v>
      </c>
      <c r="CP1500" s="5" t="s">
        <v>260</v>
      </c>
      <c r="CQ1500" s="5" t="s">
        <v>260</v>
      </c>
      <c r="CR1500" s="5" t="s">
        <v>261</v>
      </c>
      <c r="CU1500" s="8">
        <f>1</f>
        <v>1</v>
      </c>
      <c r="CV1500" s="8">
        <f>0</f>
        <v>0</v>
      </c>
      <c r="CX1500" s="8">
        <f>0</f>
        <v>0</v>
      </c>
      <c r="CY1500" s="8">
        <f>1</f>
        <v>1</v>
      </c>
      <c r="DA1500" s="5" t="s">
        <v>673</v>
      </c>
      <c r="DB1500" s="5" t="s">
        <v>238</v>
      </c>
      <c r="DD1500" s="5" t="s">
        <v>673</v>
      </c>
      <c r="DE1500" s="8">
        <f>2791</f>
        <v>2791</v>
      </c>
      <c r="DG1500" s="5" t="s">
        <v>238</v>
      </c>
      <c r="DH1500" s="5" t="s">
        <v>238</v>
      </c>
      <c r="DI1500" s="5" t="s">
        <v>238</v>
      </c>
      <c r="DJ1500" s="5" t="s">
        <v>238</v>
      </c>
      <c r="DN1500" s="5" t="s">
        <v>238</v>
      </c>
      <c r="DO1500" s="5" t="s">
        <v>238</v>
      </c>
      <c r="DP1500" s="5" t="s">
        <v>238</v>
      </c>
      <c r="DQ1500" s="5" t="s">
        <v>238</v>
      </c>
      <c r="DT1500" s="5" t="s">
        <v>2039</v>
      </c>
      <c r="DU1500" s="5" t="s">
        <v>2294</v>
      </c>
      <c r="HM1500" s="5" t="s">
        <v>264</v>
      </c>
    </row>
    <row r="1501" spans="1:221" x14ac:dyDescent="0.4">
      <c r="A1501" s="5">
        <v>3176</v>
      </c>
      <c r="B1501" s="5">
        <v>1</v>
      </c>
      <c r="C1501" s="5">
        <v>1</v>
      </c>
      <c r="D1501" s="5" t="s">
        <v>2037</v>
      </c>
      <c r="E1501" s="5" t="s">
        <v>271</v>
      </c>
      <c r="F1501" s="5" t="s">
        <v>248</v>
      </c>
      <c r="G1501" s="5" t="s">
        <v>1969</v>
      </c>
      <c r="H1501" s="6" t="s">
        <v>2291</v>
      </c>
      <c r="I1501" s="7">
        <f>6872</f>
        <v>6872</v>
      </c>
      <c r="J1501" s="5" t="s">
        <v>262</v>
      </c>
      <c r="K1501" s="8">
        <f>1</f>
        <v>1</v>
      </c>
      <c r="L1501" s="6" t="s">
        <v>242</v>
      </c>
      <c r="M1501" s="5" t="s">
        <v>267</v>
      </c>
      <c r="N1501" s="5" t="s">
        <v>265</v>
      </c>
      <c r="O1501" s="5" t="s">
        <v>238</v>
      </c>
      <c r="P1501" s="5" t="s">
        <v>238</v>
      </c>
      <c r="Q1501" s="5" t="s">
        <v>268</v>
      </c>
      <c r="R1501" s="5" t="s">
        <v>270</v>
      </c>
      <c r="S1501" s="5" t="s">
        <v>238</v>
      </c>
      <c r="V1501" s="5" t="s">
        <v>238</v>
      </c>
      <c r="X1501" s="6" t="s">
        <v>238</v>
      </c>
      <c r="AA1501" s="6" t="s">
        <v>243</v>
      </c>
      <c r="AB1501" s="5" t="s">
        <v>238</v>
      </c>
      <c r="AC1501" s="5" t="s">
        <v>244</v>
      </c>
      <c r="AD1501" s="5" t="s">
        <v>245</v>
      </c>
      <c r="AT1501" s="5" t="s">
        <v>246</v>
      </c>
      <c r="AU1501" s="5" t="s">
        <v>238</v>
      </c>
      <c r="AV1501" s="5" t="s">
        <v>247</v>
      </c>
      <c r="AW1501" s="5" t="s">
        <v>238</v>
      </c>
      <c r="AX1501" s="5" t="s">
        <v>249</v>
      </c>
      <c r="AY1501" s="5" t="s">
        <v>238</v>
      </c>
      <c r="BA1501" s="5" t="s">
        <v>238</v>
      </c>
      <c r="BC1501" s="5" t="s">
        <v>250</v>
      </c>
      <c r="BD1501" s="6" t="s">
        <v>243</v>
      </c>
      <c r="BE1501" s="5" t="s">
        <v>251</v>
      </c>
      <c r="BF1501" s="5" t="s">
        <v>252</v>
      </c>
      <c r="BG1501" s="5" t="s">
        <v>238</v>
      </c>
      <c r="BH1501" s="7">
        <f>0</f>
        <v>0</v>
      </c>
      <c r="BI1501" s="8">
        <f>0</f>
        <v>0</v>
      </c>
      <c r="BJ1501" s="5" t="s">
        <v>253</v>
      </c>
      <c r="BK1501" s="5" t="s">
        <v>254</v>
      </c>
      <c r="BY1501" s="5" t="s">
        <v>238</v>
      </c>
      <c r="BZ1501" s="5" t="s">
        <v>238</v>
      </c>
      <c r="CD1501" s="5" t="s">
        <v>273</v>
      </c>
      <c r="CE1501" s="5" t="s">
        <v>256</v>
      </c>
      <c r="CF1501" s="5" t="s">
        <v>238</v>
      </c>
      <c r="CI1501" s="6" t="s">
        <v>257</v>
      </c>
      <c r="CJ1501" s="5" t="s">
        <v>238</v>
      </c>
      <c r="CK1501" s="5" t="s">
        <v>258</v>
      </c>
      <c r="CL1501" s="5" t="s">
        <v>238</v>
      </c>
      <c r="CM1501" s="5" t="s">
        <v>238</v>
      </c>
      <c r="CN1501" s="5">
        <v>0</v>
      </c>
      <c r="CO1501" s="5" t="s">
        <v>259</v>
      </c>
      <c r="CP1501" s="5" t="s">
        <v>260</v>
      </c>
      <c r="CQ1501" s="5" t="s">
        <v>260</v>
      </c>
      <c r="CR1501" s="5" t="s">
        <v>261</v>
      </c>
      <c r="CU1501" s="8">
        <f>1</f>
        <v>1</v>
      </c>
      <c r="CV1501" s="8">
        <f>0</f>
        <v>0</v>
      </c>
      <c r="CX1501" s="8">
        <f>0</f>
        <v>0</v>
      </c>
      <c r="CY1501" s="8">
        <f>1</f>
        <v>1</v>
      </c>
      <c r="DA1501" s="5" t="s">
        <v>673</v>
      </c>
      <c r="DB1501" s="5" t="s">
        <v>238</v>
      </c>
      <c r="DD1501" s="5" t="s">
        <v>673</v>
      </c>
      <c r="DE1501" s="8">
        <f>6872</f>
        <v>6872</v>
      </c>
      <c r="DG1501" s="5" t="s">
        <v>238</v>
      </c>
      <c r="DH1501" s="5" t="s">
        <v>238</v>
      </c>
      <c r="DI1501" s="5" t="s">
        <v>238</v>
      </c>
      <c r="DJ1501" s="5" t="s">
        <v>238</v>
      </c>
      <c r="DN1501" s="5" t="s">
        <v>238</v>
      </c>
      <c r="DO1501" s="5" t="s">
        <v>238</v>
      </c>
      <c r="DP1501" s="5" t="s">
        <v>238</v>
      </c>
      <c r="DQ1501" s="5" t="s">
        <v>238</v>
      </c>
      <c r="DT1501" s="5" t="s">
        <v>2039</v>
      </c>
      <c r="DU1501" s="5" t="s">
        <v>2292</v>
      </c>
      <c r="HM1501" s="5" t="s">
        <v>264</v>
      </c>
    </row>
    <row r="1502" spans="1:221" x14ac:dyDescent="0.4">
      <c r="A1502" s="5">
        <v>3177</v>
      </c>
      <c r="B1502" s="5">
        <v>1</v>
      </c>
      <c r="C1502" s="5">
        <v>1</v>
      </c>
      <c r="D1502" s="5" t="s">
        <v>2037</v>
      </c>
      <c r="E1502" s="5" t="s">
        <v>271</v>
      </c>
      <c r="F1502" s="5" t="s">
        <v>248</v>
      </c>
      <c r="G1502" s="5" t="s">
        <v>1969</v>
      </c>
      <c r="H1502" s="6" t="s">
        <v>2289</v>
      </c>
      <c r="I1502" s="7">
        <f>373</f>
        <v>373</v>
      </c>
      <c r="J1502" s="5" t="s">
        <v>262</v>
      </c>
      <c r="K1502" s="8">
        <f>1</f>
        <v>1</v>
      </c>
      <c r="L1502" s="6" t="s">
        <v>242</v>
      </c>
      <c r="M1502" s="5" t="s">
        <v>267</v>
      </c>
      <c r="N1502" s="5" t="s">
        <v>265</v>
      </c>
      <c r="O1502" s="5" t="s">
        <v>238</v>
      </c>
      <c r="P1502" s="5" t="s">
        <v>238</v>
      </c>
      <c r="Q1502" s="5" t="s">
        <v>268</v>
      </c>
      <c r="R1502" s="5" t="s">
        <v>270</v>
      </c>
      <c r="S1502" s="5" t="s">
        <v>238</v>
      </c>
      <c r="V1502" s="5" t="s">
        <v>238</v>
      </c>
      <c r="X1502" s="6" t="s">
        <v>238</v>
      </c>
      <c r="AA1502" s="6" t="s">
        <v>243</v>
      </c>
      <c r="AB1502" s="5" t="s">
        <v>238</v>
      </c>
      <c r="AC1502" s="5" t="s">
        <v>244</v>
      </c>
      <c r="AD1502" s="5" t="s">
        <v>245</v>
      </c>
      <c r="AT1502" s="5" t="s">
        <v>246</v>
      </c>
      <c r="AU1502" s="5" t="s">
        <v>238</v>
      </c>
      <c r="AV1502" s="5" t="s">
        <v>247</v>
      </c>
      <c r="AW1502" s="5" t="s">
        <v>238</v>
      </c>
      <c r="AX1502" s="5" t="s">
        <v>249</v>
      </c>
      <c r="AY1502" s="5" t="s">
        <v>238</v>
      </c>
      <c r="BA1502" s="5" t="s">
        <v>238</v>
      </c>
      <c r="BC1502" s="5" t="s">
        <v>250</v>
      </c>
      <c r="BD1502" s="6" t="s">
        <v>243</v>
      </c>
      <c r="BE1502" s="5" t="s">
        <v>251</v>
      </c>
      <c r="BF1502" s="5" t="s">
        <v>252</v>
      </c>
      <c r="BG1502" s="5" t="s">
        <v>238</v>
      </c>
      <c r="BH1502" s="7">
        <f>0</f>
        <v>0</v>
      </c>
      <c r="BI1502" s="8">
        <f>0</f>
        <v>0</v>
      </c>
      <c r="BJ1502" s="5" t="s">
        <v>253</v>
      </c>
      <c r="BK1502" s="5" t="s">
        <v>254</v>
      </c>
      <c r="BY1502" s="5" t="s">
        <v>238</v>
      </c>
      <c r="BZ1502" s="5" t="s">
        <v>238</v>
      </c>
      <c r="CD1502" s="5" t="s">
        <v>273</v>
      </c>
      <c r="CE1502" s="5" t="s">
        <v>256</v>
      </c>
      <c r="CF1502" s="5" t="s">
        <v>238</v>
      </c>
      <c r="CI1502" s="6" t="s">
        <v>257</v>
      </c>
      <c r="CJ1502" s="5" t="s">
        <v>238</v>
      </c>
      <c r="CK1502" s="5" t="s">
        <v>258</v>
      </c>
      <c r="CL1502" s="5" t="s">
        <v>238</v>
      </c>
      <c r="CM1502" s="5" t="s">
        <v>238</v>
      </c>
      <c r="CN1502" s="5">
        <v>0</v>
      </c>
      <c r="CO1502" s="5" t="s">
        <v>259</v>
      </c>
      <c r="CP1502" s="5" t="s">
        <v>260</v>
      </c>
      <c r="CQ1502" s="5" t="s">
        <v>260</v>
      </c>
      <c r="CR1502" s="5" t="s">
        <v>261</v>
      </c>
      <c r="CU1502" s="8">
        <f>1</f>
        <v>1</v>
      </c>
      <c r="CV1502" s="8">
        <f>0</f>
        <v>0</v>
      </c>
      <c r="CX1502" s="8">
        <f>0</f>
        <v>0</v>
      </c>
      <c r="CY1502" s="8">
        <f>1</f>
        <v>1</v>
      </c>
      <c r="DA1502" s="5" t="s">
        <v>673</v>
      </c>
      <c r="DB1502" s="5" t="s">
        <v>238</v>
      </c>
      <c r="DD1502" s="5" t="s">
        <v>673</v>
      </c>
      <c r="DE1502" s="8">
        <f>373</f>
        <v>373</v>
      </c>
      <c r="DG1502" s="5" t="s">
        <v>238</v>
      </c>
      <c r="DH1502" s="5" t="s">
        <v>238</v>
      </c>
      <c r="DI1502" s="5" t="s">
        <v>238</v>
      </c>
      <c r="DJ1502" s="5" t="s">
        <v>238</v>
      </c>
      <c r="DN1502" s="5" t="s">
        <v>238</v>
      </c>
      <c r="DO1502" s="5" t="s">
        <v>238</v>
      </c>
      <c r="DP1502" s="5" t="s">
        <v>238</v>
      </c>
      <c r="DQ1502" s="5" t="s">
        <v>238</v>
      </c>
      <c r="DT1502" s="5" t="s">
        <v>2039</v>
      </c>
      <c r="DU1502" s="5" t="s">
        <v>2290</v>
      </c>
      <c r="HM1502" s="5" t="s">
        <v>264</v>
      </c>
    </row>
    <row r="1503" spans="1:221" x14ac:dyDescent="0.4">
      <c r="A1503" s="5">
        <v>3178</v>
      </c>
      <c r="B1503" s="5">
        <v>1</v>
      </c>
      <c r="C1503" s="5">
        <v>1</v>
      </c>
      <c r="D1503" s="5" t="s">
        <v>2037</v>
      </c>
      <c r="E1503" s="5" t="s">
        <v>271</v>
      </c>
      <c r="F1503" s="5" t="s">
        <v>248</v>
      </c>
      <c r="G1503" s="5" t="s">
        <v>1969</v>
      </c>
      <c r="H1503" s="6" t="s">
        <v>2282</v>
      </c>
      <c r="I1503" s="7">
        <f>5833</f>
        <v>5833</v>
      </c>
      <c r="J1503" s="5" t="s">
        <v>262</v>
      </c>
      <c r="K1503" s="8">
        <f>1</f>
        <v>1</v>
      </c>
      <c r="L1503" s="6" t="s">
        <v>242</v>
      </c>
      <c r="M1503" s="5" t="s">
        <v>267</v>
      </c>
      <c r="N1503" s="5" t="s">
        <v>265</v>
      </c>
      <c r="O1503" s="5" t="s">
        <v>238</v>
      </c>
      <c r="P1503" s="5" t="s">
        <v>238</v>
      </c>
      <c r="Q1503" s="5" t="s">
        <v>268</v>
      </c>
      <c r="R1503" s="5" t="s">
        <v>270</v>
      </c>
      <c r="S1503" s="5" t="s">
        <v>238</v>
      </c>
      <c r="V1503" s="5" t="s">
        <v>238</v>
      </c>
      <c r="X1503" s="6" t="s">
        <v>238</v>
      </c>
      <c r="AA1503" s="6" t="s">
        <v>243</v>
      </c>
      <c r="AB1503" s="5" t="s">
        <v>238</v>
      </c>
      <c r="AC1503" s="5" t="s">
        <v>244</v>
      </c>
      <c r="AD1503" s="5" t="s">
        <v>245</v>
      </c>
      <c r="AT1503" s="5" t="s">
        <v>246</v>
      </c>
      <c r="AU1503" s="5" t="s">
        <v>238</v>
      </c>
      <c r="AV1503" s="5" t="s">
        <v>247</v>
      </c>
      <c r="AW1503" s="5" t="s">
        <v>238</v>
      </c>
      <c r="AX1503" s="5" t="s">
        <v>249</v>
      </c>
      <c r="AY1503" s="5" t="s">
        <v>238</v>
      </c>
      <c r="BA1503" s="5" t="s">
        <v>238</v>
      </c>
      <c r="BC1503" s="5" t="s">
        <v>250</v>
      </c>
      <c r="BD1503" s="6" t="s">
        <v>243</v>
      </c>
      <c r="BE1503" s="5" t="s">
        <v>251</v>
      </c>
      <c r="BF1503" s="5" t="s">
        <v>252</v>
      </c>
      <c r="BG1503" s="5" t="s">
        <v>238</v>
      </c>
      <c r="BH1503" s="7">
        <f>0</f>
        <v>0</v>
      </c>
      <c r="BI1503" s="8">
        <f>0</f>
        <v>0</v>
      </c>
      <c r="BJ1503" s="5" t="s">
        <v>253</v>
      </c>
      <c r="BK1503" s="5" t="s">
        <v>254</v>
      </c>
      <c r="BY1503" s="5" t="s">
        <v>238</v>
      </c>
      <c r="BZ1503" s="5" t="s">
        <v>238</v>
      </c>
      <c r="CD1503" s="5" t="s">
        <v>273</v>
      </c>
      <c r="CE1503" s="5" t="s">
        <v>256</v>
      </c>
      <c r="CF1503" s="5" t="s">
        <v>238</v>
      </c>
      <c r="CI1503" s="6" t="s">
        <v>257</v>
      </c>
      <c r="CJ1503" s="5" t="s">
        <v>238</v>
      </c>
      <c r="CK1503" s="5" t="s">
        <v>258</v>
      </c>
      <c r="CL1503" s="5" t="s">
        <v>238</v>
      </c>
      <c r="CM1503" s="5" t="s">
        <v>238</v>
      </c>
      <c r="CN1503" s="5">
        <v>0</v>
      </c>
      <c r="CO1503" s="5" t="s">
        <v>259</v>
      </c>
      <c r="CP1503" s="5" t="s">
        <v>260</v>
      </c>
      <c r="CQ1503" s="5" t="s">
        <v>260</v>
      </c>
      <c r="CR1503" s="5" t="s">
        <v>261</v>
      </c>
      <c r="CU1503" s="8">
        <f>1</f>
        <v>1</v>
      </c>
      <c r="CV1503" s="8">
        <f>0</f>
        <v>0</v>
      </c>
      <c r="CX1503" s="8">
        <f>0</f>
        <v>0</v>
      </c>
      <c r="CY1503" s="8">
        <f>1</f>
        <v>1</v>
      </c>
      <c r="DA1503" s="5" t="s">
        <v>673</v>
      </c>
      <c r="DB1503" s="5" t="s">
        <v>238</v>
      </c>
      <c r="DD1503" s="5" t="s">
        <v>673</v>
      </c>
      <c r="DE1503" s="8">
        <f>5833</f>
        <v>5833</v>
      </c>
      <c r="DG1503" s="5" t="s">
        <v>238</v>
      </c>
      <c r="DH1503" s="5" t="s">
        <v>238</v>
      </c>
      <c r="DI1503" s="5" t="s">
        <v>238</v>
      </c>
      <c r="DJ1503" s="5" t="s">
        <v>238</v>
      </c>
      <c r="DN1503" s="5" t="s">
        <v>238</v>
      </c>
      <c r="DO1503" s="5" t="s">
        <v>238</v>
      </c>
      <c r="DP1503" s="5" t="s">
        <v>238</v>
      </c>
      <c r="DQ1503" s="5" t="s">
        <v>238</v>
      </c>
      <c r="DT1503" s="5" t="s">
        <v>2039</v>
      </c>
      <c r="DU1503" s="5" t="s">
        <v>982</v>
      </c>
      <c r="HM1503" s="5" t="s">
        <v>264</v>
      </c>
    </row>
    <row r="1504" spans="1:221" x14ac:dyDescent="0.4">
      <c r="A1504" s="5">
        <v>3179</v>
      </c>
      <c r="B1504" s="5">
        <v>1</v>
      </c>
      <c r="C1504" s="5">
        <v>1</v>
      </c>
      <c r="D1504" s="5" t="s">
        <v>2037</v>
      </c>
      <c r="E1504" s="5" t="s">
        <v>271</v>
      </c>
      <c r="F1504" s="5" t="s">
        <v>248</v>
      </c>
      <c r="G1504" s="5" t="s">
        <v>1969</v>
      </c>
      <c r="H1504" s="6" t="s">
        <v>2281</v>
      </c>
      <c r="I1504" s="7">
        <f>5366</f>
        <v>5366</v>
      </c>
      <c r="J1504" s="5" t="s">
        <v>262</v>
      </c>
      <c r="K1504" s="8">
        <f>1</f>
        <v>1</v>
      </c>
      <c r="L1504" s="6" t="s">
        <v>242</v>
      </c>
      <c r="M1504" s="5" t="s">
        <v>267</v>
      </c>
      <c r="N1504" s="5" t="s">
        <v>265</v>
      </c>
      <c r="O1504" s="5" t="s">
        <v>238</v>
      </c>
      <c r="P1504" s="5" t="s">
        <v>238</v>
      </c>
      <c r="Q1504" s="5" t="s">
        <v>268</v>
      </c>
      <c r="R1504" s="5" t="s">
        <v>270</v>
      </c>
      <c r="S1504" s="5" t="s">
        <v>238</v>
      </c>
      <c r="V1504" s="5" t="s">
        <v>238</v>
      </c>
      <c r="X1504" s="6" t="s">
        <v>238</v>
      </c>
      <c r="AA1504" s="6" t="s">
        <v>243</v>
      </c>
      <c r="AB1504" s="5" t="s">
        <v>238</v>
      </c>
      <c r="AC1504" s="5" t="s">
        <v>244</v>
      </c>
      <c r="AD1504" s="5" t="s">
        <v>245</v>
      </c>
      <c r="AT1504" s="5" t="s">
        <v>246</v>
      </c>
      <c r="AU1504" s="5" t="s">
        <v>238</v>
      </c>
      <c r="AV1504" s="5" t="s">
        <v>247</v>
      </c>
      <c r="AW1504" s="5" t="s">
        <v>238</v>
      </c>
      <c r="AX1504" s="5" t="s">
        <v>249</v>
      </c>
      <c r="AY1504" s="5" t="s">
        <v>238</v>
      </c>
      <c r="BA1504" s="5" t="s">
        <v>238</v>
      </c>
      <c r="BC1504" s="5" t="s">
        <v>250</v>
      </c>
      <c r="BD1504" s="6" t="s">
        <v>243</v>
      </c>
      <c r="BE1504" s="5" t="s">
        <v>251</v>
      </c>
      <c r="BF1504" s="5" t="s">
        <v>252</v>
      </c>
      <c r="BG1504" s="5" t="s">
        <v>238</v>
      </c>
      <c r="BH1504" s="7">
        <f>0</f>
        <v>0</v>
      </c>
      <c r="BI1504" s="8">
        <f>0</f>
        <v>0</v>
      </c>
      <c r="BJ1504" s="5" t="s">
        <v>253</v>
      </c>
      <c r="BK1504" s="5" t="s">
        <v>254</v>
      </c>
      <c r="BY1504" s="5" t="s">
        <v>238</v>
      </c>
      <c r="BZ1504" s="5" t="s">
        <v>238</v>
      </c>
      <c r="CD1504" s="5" t="s">
        <v>273</v>
      </c>
      <c r="CE1504" s="5" t="s">
        <v>256</v>
      </c>
      <c r="CF1504" s="5" t="s">
        <v>238</v>
      </c>
      <c r="CI1504" s="6" t="s">
        <v>257</v>
      </c>
      <c r="CJ1504" s="5" t="s">
        <v>238</v>
      </c>
      <c r="CK1504" s="5" t="s">
        <v>258</v>
      </c>
      <c r="CL1504" s="5" t="s">
        <v>238</v>
      </c>
      <c r="CM1504" s="5" t="s">
        <v>238</v>
      </c>
      <c r="CN1504" s="5">
        <v>0</v>
      </c>
      <c r="CO1504" s="5" t="s">
        <v>259</v>
      </c>
      <c r="CP1504" s="5" t="s">
        <v>260</v>
      </c>
      <c r="CQ1504" s="5" t="s">
        <v>260</v>
      </c>
      <c r="CR1504" s="5" t="s">
        <v>261</v>
      </c>
      <c r="CU1504" s="8">
        <f>1</f>
        <v>1</v>
      </c>
      <c r="CV1504" s="8">
        <f>0</f>
        <v>0</v>
      </c>
      <c r="CX1504" s="8">
        <f>0</f>
        <v>0</v>
      </c>
      <c r="CY1504" s="8">
        <f>1</f>
        <v>1</v>
      </c>
      <c r="DA1504" s="5" t="s">
        <v>673</v>
      </c>
      <c r="DB1504" s="5" t="s">
        <v>238</v>
      </c>
      <c r="DD1504" s="5" t="s">
        <v>673</v>
      </c>
      <c r="DE1504" s="8">
        <f>5366</f>
        <v>5366</v>
      </c>
      <c r="DG1504" s="5" t="s">
        <v>238</v>
      </c>
      <c r="DH1504" s="5" t="s">
        <v>238</v>
      </c>
      <c r="DI1504" s="5" t="s">
        <v>238</v>
      </c>
      <c r="DJ1504" s="5" t="s">
        <v>238</v>
      </c>
      <c r="DN1504" s="5" t="s">
        <v>238</v>
      </c>
      <c r="DO1504" s="5" t="s">
        <v>238</v>
      </c>
      <c r="DP1504" s="5" t="s">
        <v>238</v>
      </c>
      <c r="DQ1504" s="5" t="s">
        <v>238</v>
      </c>
      <c r="DT1504" s="5" t="s">
        <v>2039</v>
      </c>
      <c r="DU1504" s="5" t="s">
        <v>944</v>
      </c>
      <c r="HM1504" s="5" t="s">
        <v>264</v>
      </c>
    </row>
    <row r="1505" spans="1:221" x14ac:dyDescent="0.4">
      <c r="A1505" s="5">
        <v>3180</v>
      </c>
      <c r="B1505" s="5">
        <v>1</v>
      </c>
      <c r="C1505" s="5">
        <v>1</v>
      </c>
      <c r="D1505" s="5" t="s">
        <v>2037</v>
      </c>
      <c r="E1505" s="5" t="s">
        <v>271</v>
      </c>
      <c r="F1505" s="5" t="s">
        <v>248</v>
      </c>
      <c r="G1505" s="5" t="s">
        <v>1969</v>
      </c>
      <c r="H1505" s="6" t="s">
        <v>2279</v>
      </c>
      <c r="I1505" s="7">
        <f>1485</f>
        <v>1485</v>
      </c>
      <c r="J1505" s="5" t="s">
        <v>262</v>
      </c>
      <c r="K1505" s="8">
        <f>1</f>
        <v>1</v>
      </c>
      <c r="L1505" s="6" t="s">
        <v>242</v>
      </c>
      <c r="M1505" s="5" t="s">
        <v>267</v>
      </c>
      <c r="N1505" s="5" t="s">
        <v>265</v>
      </c>
      <c r="O1505" s="5" t="s">
        <v>238</v>
      </c>
      <c r="P1505" s="5" t="s">
        <v>238</v>
      </c>
      <c r="Q1505" s="5" t="s">
        <v>268</v>
      </c>
      <c r="R1505" s="5" t="s">
        <v>270</v>
      </c>
      <c r="S1505" s="5" t="s">
        <v>238</v>
      </c>
      <c r="V1505" s="5" t="s">
        <v>238</v>
      </c>
      <c r="X1505" s="6" t="s">
        <v>238</v>
      </c>
      <c r="AA1505" s="6" t="s">
        <v>243</v>
      </c>
      <c r="AB1505" s="5" t="s">
        <v>238</v>
      </c>
      <c r="AC1505" s="5" t="s">
        <v>244</v>
      </c>
      <c r="AD1505" s="5" t="s">
        <v>245</v>
      </c>
      <c r="AT1505" s="5" t="s">
        <v>246</v>
      </c>
      <c r="AU1505" s="5" t="s">
        <v>238</v>
      </c>
      <c r="AV1505" s="5" t="s">
        <v>247</v>
      </c>
      <c r="AW1505" s="5" t="s">
        <v>238</v>
      </c>
      <c r="AX1505" s="5" t="s">
        <v>249</v>
      </c>
      <c r="AY1505" s="5" t="s">
        <v>238</v>
      </c>
      <c r="BA1505" s="5" t="s">
        <v>238</v>
      </c>
      <c r="BC1505" s="5" t="s">
        <v>250</v>
      </c>
      <c r="BD1505" s="6" t="s">
        <v>243</v>
      </c>
      <c r="BE1505" s="5" t="s">
        <v>251</v>
      </c>
      <c r="BF1505" s="5" t="s">
        <v>252</v>
      </c>
      <c r="BG1505" s="5" t="s">
        <v>238</v>
      </c>
      <c r="BH1505" s="7">
        <f>0</f>
        <v>0</v>
      </c>
      <c r="BI1505" s="8">
        <f>0</f>
        <v>0</v>
      </c>
      <c r="BJ1505" s="5" t="s">
        <v>253</v>
      </c>
      <c r="BK1505" s="5" t="s">
        <v>254</v>
      </c>
      <c r="BY1505" s="5" t="s">
        <v>238</v>
      </c>
      <c r="BZ1505" s="5" t="s">
        <v>238</v>
      </c>
      <c r="CD1505" s="5" t="s">
        <v>273</v>
      </c>
      <c r="CE1505" s="5" t="s">
        <v>256</v>
      </c>
      <c r="CF1505" s="5" t="s">
        <v>238</v>
      </c>
      <c r="CI1505" s="6" t="s">
        <v>257</v>
      </c>
      <c r="CJ1505" s="5" t="s">
        <v>238</v>
      </c>
      <c r="CK1505" s="5" t="s">
        <v>258</v>
      </c>
      <c r="CL1505" s="5" t="s">
        <v>238</v>
      </c>
      <c r="CM1505" s="5" t="s">
        <v>238</v>
      </c>
      <c r="CN1505" s="5">
        <v>0</v>
      </c>
      <c r="CO1505" s="5" t="s">
        <v>259</v>
      </c>
      <c r="CP1505" s="5" t="s">
        <v>260</v>
      </c>
      <c r="CQ1505" s="5" t="s">
        <v>260</v>
      </c>
      <c r="CR1505" s="5" t="s">
        <v>261</v>
      </c>
      <c r="CU1505" s="8">
        <f>1</f>
        <v>1</v>
      </c>
      <c r="CV1505" s="8">
        <f>0</f>
        <v>0</v>
      </c>
      <c r="CX1505" s="8">
        <f>0</f>
        <v>0</v>
      </c>
      <c r="CY1505" s="8">
        <f>1</f>
        <v>1</v>
      </c>
      <c r="DA1505" s="5" t="s">
        <v>673</v>
      </c>
      <c r="DB1505" s="5" t="s">
        <v>238</v>
      </c>
      <c r="DD1505" s="5" t="s">
        <v>673</v>
      </c>
      <c r="DE1505" s="8">
        <f>1485</f>
        <v>1485</v>
      </c>
      <c r="DG1505" s="5" t="s">
        <v>238</v>
      </c>
      <c r="DH1505" s="5" t="s">
        <v>238</v>
      </c>
      <c r="DI1505" s="5" t="s">
        <v>238</v>
      </c>
      <c r="DJ1505" s="5" t="s">
        <v>238</v>
      </c>
      <c r="DN1505" s="5" t="s">
        <v>238</v>
      </c>
      <c r="DO1505" s="5" t="s">
        <v>238</v>
      </c>
      <c r="DP1505" s="5" t="s">
        <v>238</v>
      </c>
      <c r="DQ1505" s="5" t="s">
        <v>238</v>
      </c>
      <c r="DT1505" s="5" t="s">
        <v>2039</v>
      </c>
      <c r="DU1505" s="5" t="s">
        <v>1760</v>
      </c>
      <c r="HM1505" s="5" t="s">
        <v>264</v>
      </c>
    </row>
    <row r="1506" spans="1:221" x14ac:dyDescent="0.4">
      <c r="A1506" s="5">
        <v>3181</v>
      </c>
      <c r="B1506" s="5">
        <v>1</v>
      </c>
      <c r="C1506" s="5">
        <v>1</v>
      </c>
      <c r="D1506" s="5" t="s">
        <v>2037</v>
      </c>
      <c r="E1506" s="5" t="s">
        <v>271</v>
      </c>
      <c r="F1506" s="5" t="s">
        <v>248</v>
      </c>
      <c r="G1506" s="5" t="s">
        <v>1969</v>
      </c>
      <c r="H1506" s="6" t="s">
        <v>2278</v>
      </c>
      <c r="I1506" s="7">
        <f>3606</f>
        <v>3606</v>
      </c>
      <c r="J1506" s="5" t="s">
        <v>262</v>
      </c>
      <c r="K1506" s="8">
        <f>1</f>
        <v>1</v>
      </c>
      <c r="L1506" s="6" t="s">
        <v>242</v>
      </c>
      <c r="M1506" s="5" t="s">
        <v>267</v>
      </c>
      <c r="N1506" s="5" t="s">
        <v>265</v>
      </c>
      <c r="O1506" s="5" t="s">
        <v>238</v>
      </c>
      <c r="P1506" s="5" t="s">
        <v>238</v>
      </c>
      <c r="Q1506" s="5" t="s">
        <v>268</v>
      </c>
      <c r="R1506" s="5" t="s">
        <v>270</v>
      </c>
      <c r="S1506" s="5" t="s">
        <v>238</v>
      </c>
      <c r="V1506" s="5" t="s">
        <v>238</v>
      </c>
      <c r="X1506" s="6" t="s">
        <v>238</v>
      </c>
      <c r="AA1506" s="6" t="s">
        <v>243</v>
      </c>
      <c r="AB1506" s="5" t="s">
        <v>238</v>
      </c>
      <c r="AC1506" s="5" t="s">
        <v>244</v>
      </c>
      <c r="AD1506" s="5" t="s">
        <v>245</v>
      </c>
      <c r="AT1506" s="5" t="s">
        <v>246</v>
      </c>
      <c r="AU1506" s="5" t="s">
        <v>238</v>
      </c>
      <c r="AV1506" s="5" t="s">
        <v>247</v>
      </c>
      <c r="AW1506" s="5" t="s">
        <v>238</v>
      </c>
      <c r="AX1506" s="5" t="s">
        <v>249</v>
      </c>
      <c r="AY1506" s="5" t="s">
        <v>238</v>
      </c>
      <c r="BA1506" s="5" t="s">
        <v>238</v>
      </c>
      <c r="BC1506" s="5" t="s">
        <v>250</v>
      </c>
      <c r="BD1506" s="6" t="s">
        <v>243</v>
      </c>
      <c r="BE1506" s="5" t="s">
        <v>251</v>
      </c>
      <c r="BF1506" s="5" t="s">
        <v>252</v>
      </c>
      <c r="BG1506" s="5" t="s">
        <v>238</v>
      </c>
      <c r="BH1506" s="7">
        <f>0</f>
        <v>0</v>
      </c>
      <c r="BI1506" s="8">
        <f>0</f>
        <v>0</v>
      </c>
      <c r="BJ1506" s="5" t="s">
        <v>253</v>
      </c>
      <c r="BK1506" s="5" t="s">
        <v>254</v>
      </c>
      <c r="BY1506" s="5" t="s">
        <v>238</v>
      </c>
      <c r="BZ1506" s="5" t="s">
        <v>238</v>
      </c>
      <c r="CD1506" s="5" t="s">
        <v>273</v>
      </c>
      <c r="CE1506" s="5" t="s">
        <v>256</v>
      </c>
      <c r="CF1506" s="5" t="s">
        <v>238</v>
      </c>
      <c r="CI1506" s="6" t="s">
        <v>257</v>
      </c>
      <c r="CJ1506" s="5" t="s">
        <v>238</v>
      </c>
      <c r="CK1506" s="5" t="s">
        <v>258</v>
      </c>
      <c r="CL1506" s="5" t="s">
        <v>238</v>
      </c>
      <c r="CM1506" s="5" t="s">
        <v>238</v>
      </c>
      <c r="CN1506" s="5">
        <v>0</v>
      </c>
      <c r="CO1506" s="5" t="s">
        <v>259</v>
      </c>
      <c r="CP1506" s="5" t="s">
        <v>260</v>
      </c>
      <c r="CQ1506" s="5" t="s">
        <v>260</v>
      </c>
      <c r="CR1506" s="5" t="s">
        <v>261</v>
      </c>
      <c r="CU1506" s="8">
        <f>1</f>
        <v>1</v>
      </c>
      <c r="CV1506" s="8">
        <f>0</f>
        <v>0</v>
      </c>
      <c r="CX1506" s="8">
        <f>0</f>
        <v>0</v>
      </c>
      <c r="CY1506" s="8">
        <f>1</f>
        <v>1</v>
      </c>
      <c r="DA1506" s="5" t="s">
        <v>673</v>
      </c>
      <c r="DB1506" s="5" t="s">
        <v>238</v>
      </c>
      <c r="DD1506" s="5" t="s">
        <v>673</v>
      </c>
      <c r="DE1506" s="8">
        <f>3606</f>
        <v>3606</v>
      </c>
      <c r="DG1506" s="5" t="s">
        <v>238</v>
      </c>
      <c r="DH1506" s="5" t="s">
        <v>238</v>
      </c>
      <c r="DI1506" s="5" t="s">
        <v>238</v>
      </c>
      <c r="DJ1506" s="5" t="s">
        <v>238</v>
      </c>
      <c r="DN1506" s="5" t="s">
        <v>238</v>
      </c>
      <c r="DO1506" s="5" t="s">
        <v>238</v>
      </c>
      <c r="DP1506" s="5" t="s">
        <v>238</v>
      </c>
      <c r="DQ1506" s="5" t="s">
        <v>238</v>
      </c>
      <c r="DT1506" s="5" t="s">
        <v>2039</v>
      </c>
      <c r="DU1506" s="5" t="s">
        <v>1130</v>
      </c>
      <c r="HM1506" s="5" t="s">
        <v>264</v>
      </c>
    </row>
    <row r="1507" spans="1:221" x14ac:dyDescent="0.4">
      <c r="A1507" s="5">
        <v>3182</v>
      </c>
      <c r="B1507" s="5">
        <v>1</v>
      </c>
      <c r="C1507" s="5">
        <v>1</v>
      </c>
      <c r="D1507" s="5" t="s">
        <v>2037</v>
      </c>
      <c r="E1507" s="5" t="s">
        <v>271</v>
      </c>
      <c r="F1507" s="5" t="s">
        <v>248</v>
      </c>
      <c r="G1507" s="5" t="s">
        <v>1969</v>
      </c>
      <c r="H1507" s="6" t="s">
        <v>2277</v>
      </c>
      <c r="I1507" s="7">
        <f>2919</f>
        <v>2919</v>
      </c>
      <c r="J1507" s="5" t="s">
        <v>262</v>
      </c>
      <c r="K1507" s="8">
        <f>1</f>
        <v>1</v>
      </c>
      <c r="L1507" s="6" t="s">
        <v>242</v>
      </c>
      <c r="M1507" s="5" t="s">
        <v>267</v>
      </c>
      <c r="N1507" s="5" t="s">
        <v>265</v>
      </c>
      <c r="O1507" s="5" t="s">
        <v>238</v>
      </c>
      <c r="P1507" s="5" t="s">
        <v>238</v>
      </c>
      <c r="Q1507" s="5" t="s">
        <v>268</v>
      </c>
      <c r="R1507" s="5" t="s">
        <v>270</v>
      </c>
      <c r="S1507" s="5" t="s">
        <v>238</v>
      </c>
      <c r="V1507" s="5" t="s">
        <v>238</v>
      </c>
      <c r="X1507" s="6" t="s">
        <v>238</v>
      </c>
      <c r="AA1507" s="6" t="s">
        <v>243</v>
      </c>
      <c r="AB1507" s="5" t="s">
        <v>238</v>
      </c>
      <c r="AC1507" s="5" t="s">
        <v>244</v>
      </c>
      <c r="AD1507" s="5" t="s">
        <v>245</v>
      </c>
      <c r="AT1507" s="5" t="s">
        <v>246</v>
      </c>
      <c r="AU1507" s="5" t="s">
        <v>238</v>
      </c>
      <c r="AV1507" s="5" t="s">
        <v>247</v>
      </c>
      <c r="AW1507" s="5" t="s">
        <v>238</v>
      </c>
      <c r="AX1507" s="5" t="s">
        <v>249</v>
      </c>
      <c r="AY1507" s="5" t="s">
        <v>238</v>
      </c>
      <c r="BA1507" s="5" t="s">
        <v>238</v>
      </c>
      <c r="BC1507" s="5" t="s">
        <v>250</v>
      </c>
      <c r="BD1507" s="6" t="s">
        <v>243</v>
      </c>
      <c r="BE1507" s="5" t="s">
        <v>251</v>
      </c>
      <c r="BF1507" s="5" t="s">
        <v>252</v>
      </c>
      <c r="BG1507" s="5" t="s">
        <v>238</v>
      </c>
      <c r="BH1507" s="7">
        <f>0</f>
        <v>0</v>
      </c>
      <c r="BI1507" s="8">
        <f>0</f>
        <v>0</v>
      </c>
      <c r="BJ1507" s="5" t="s">
        <v>253</v>
      </c>
      <c r="BK1507" s="5" t="s">
        <v>254</v>
      </c>
      <c r="BY1507" s="5" t="s">
        <v>238</v>
      </c>
      <c r="BZ1507" s="5" t="s">
        <v>238</v>
      </c>
      <c r="CD1507" s="5" t="s">
        <v>273</v>
      </c>
      <c r="CE1507" s="5" t="s">
        <v>256</v>
      </c>
      <c r="CF1507" s="5" t="s">
        <v>238</v>
      </c>
      <c r="CI1507" s="6" t="s">
        <v>257</v>
      </c>
      <c r="CJ1507" s="5" t="s">
        <v>238</v>
      </c>
      <c r="CK1507" s="5" t="s">
        <v>258</v>
      </c>
      <c r="CL1507" s="5" t="s">
        <v>238</v>
      </c>
      <c r="CM1507" s="5" t="s">
        <v>238</v>
      </c>
      <c r="CN1507" s="5">
        <v>0</v>
      </c>
      <c r="CO1507" s="5" t="s">
        <v>259</v>
      </c>
      <c r="CP1507" s="5" t="s">
        <v>260</v>
      </c>
      <c r="CQ1507" s="5" t="s">
        <v>260</v>
      </c>
      <c r="CR1507" s="5" t="s">
        <v>261</v>
      </c>
      <c r="CU1507" s="8">
        <f>1</f>
        <v>1</v>
      </c>
      <c r="CV1507" s="8">
        <f>0</f>
        <v>0</v>
      </c>
      <c r="CX1507" s="8">
        <f>0</f>
        <v>0</v>
      </c>
      <c r="CY1507" s="8">
        <f>1</f>
        <v>1</v>
      </c>
      <c r="DA1507" s="5" t="s">
        <v>673</v>
      </c>
      <c r="DB1507" s="5" t="s">
        <v>238</v>
      </c>
      <c r="DD1507" s="5" t="s">
        <v>673</v>
      </c>
      <c r="DE1507" s="8">
        <f>2919</f>
        <v>2919</v>
      </c>
      <c r="DG1507" s="5" t="s">
        <v>238</v>
      </c>
      <c r="DH1507" s="5" t="s">
        <v>238</v>
      </c>
      <c r="DI1507" s="5" t="s">
        <v>238</v>
      </c>
      <c r="DJ1507" s="5" t="s">
        <v>238</v>
      </c>
      <c r="DN1507" s="5" t="s">
        <v>238</v>
      </c>
      <c r="DO1507" s="5" t="s">
        <v>238</v>
      </c>
      <c r="DP1507" s="5" t="s">
        <v>238</v>
      </c>
      <c r="DQ1507" s="5" t="s">
        <v>238</v>
      </c>
      <c r="DT1507" s="5" t="s">
        <v>2039</v>
      </c>
      <c r="DU1507" s="5" t="s">
        <v>1750</v>
      </c>
      <c r="HM1507" s="5" t="s">
        <v>264</v>
      </c>
    </row>
    <row r="1508" spans="1:221" x14ac:dyDescent="0.4">
      <c r="A1508" s="5">
        <v>3183</v>
      </c>
      <c r="B1508" s="5">
        <v>1</v>
      </c>
      <c r="C1508" s="5">
        <v>1</v>
      </c>
      <c r="D1508" s="5" t="s">
        <v>2037</v>
      </c>
      <c r="E1508" s="5" t="s">
        <v>271</v>
      </c>
      <c r="F1508" s="5" t="s">
        <v>248</v>
      </c>
      <c r="G1508" s="5" t="s">
        <v>1969</v>
      </c>
      <c r="H1508" s="6" t="s">
        <v>2276</v>
      </c>
      <c r="I1508" s="7">
        <f>3253</f>
        <v>3253</v>
      </c>
      <c r="J1508" s="5" t="s">
        <v>262</v>
      </c>
      <c r="K1508" s="8">
        <f>1</f>
        <v>1</v>
      </c>
      <c r="L1508" s="6" t="s">
        <v>242</v>
      </c>
      <c r="M1508" s="5" t="s">
        <v>267</v>
      </c>
      <c r="N1508" s="5" t="s">
        <v>265</v>
      </c>
      <c r="O1508" s="5" t="s">
        <v>238</v>
      </c>
      <c r="P1508" s="5" t="s">
        <v>238</v>
      </c>
      <c r="Q1508" s="5" t="s">
        <v>268</v>
      </c>
      <c r="R1508" s="5" t="s">
        <v>270</v>
      </c>
      <c r="S1508" s="5" t="s">
        <v>238</v>
      </c>
      <c r="V1508" s="5" t="s">
        <v>238</v>
      </c>
      <c r="X1508" s="6" t="s">
        <v>238</v>
      </c>
      <c r="AA1508" s="6" t="s">
        <v>243</v>
      </c>
      <c r="AB1508" s="5" t="s">
        <v>238</v>
      </c>
      <c r="AC1508" s="5" t="s">
        <v>244</v>
      </c>
      <c r="AD1508" s="5" t="s">
        <v>245</v>
      </c>
      <c r="AT1508" s="5" t="s">
        <v>246</v>
      </c>
      <c r="AU1508" s="5" t="s">
        <v>238</v>
      </c>
      <c r="AV1508" s="5" t="s">
        <v>247</v>
      </c>
      <c r="AW1508" s="5" t="s">
        <v>238</v>
      </c>
      <c r="AX1508" s="5" t="s">
        <v>249</v>
      </c>
      <c r="AY1508" s="5" t="s">
        <v>238</v>
      </c>
      <c r="BA1508" s="5" t="s">
        <v>238</v>
      </c>
      <c r="BC1508" s="5" t="s">
        <v>250</v>
      </c>
      <c r="BD1508" s="6" t="s">
        <v>243</v>
      </c>
      <c r="BE1508" s="5" t="s">
        <v>251</v>
      </c>
      <c r="BF1508" s="5" t="s">
        <v>252</v>
      </c>
      <c r="BG1508" s="5" t="s">
        <v>238</v>
      </c>
      <c r="BH1508" s="7">
        <f>0</f>
        <v>0</v>
      </c>
      <c r="BI1508" s="8">
        <f>0</f>
        <v>0</v>
      </c>
      <c r="BJ1508" s="5" t="s">
        <v>253</v>
      </c>
      <c r="BK1508" s="5" t="s">
        <v>254</v>
      </c>
      <c r="BY1508" s="5" t="s">
        <v>238</v>
      </c>
      <c r="BZ1508" s="5" t="s">
        <v>238</v>
      </c>
      <c r="CD1508" s="5" t="s">
        <v>273</v>
      </c>
      <c r="CE1508" s="5" t="s">
        <v>256</v>
      </c>
      <c r="CF1508" s="5" t="s">
        <v>238</v>
      </c>
      <c r="CI1508" s="6" t="s">
        <v>257</v>
      </c>
      <c r="CJ1508" s="5" t="s">
        <v>238</v>
      </c>
      <c r="CK1508" s="5" t="s">
        <v>258</v>
      </c>
      <c r="CL1508" s="5" t="s">
        <v>238</v>
      </c>
      <c r="CM1508" s="5" t="s">
        <v>238</v>
      </c>
      <c r="CN1508" s="5">
        <v>0</v>
      </c>
      <c r="CO1508" s="5" t="s">
        <v>259</v>
      </c>
      <c r="CP1508" s="5" t="s">
        <v>260</v>
      </c>
      <c r="CQ1508" s="5" t="s">
        <v>260</v>
      </c>
      <c r="CR1508" s="5" t="s">
        <v>261</v>
      </c>
      <c r="CU1508" s="8">
        <f>1</f>
        <v>1</v>
      </c>
      <c r="CV1508" s="8">
        <f>0</f>
        <v>0</v>
      </c>
      <c r="CX1508" s="8">
        <f>0</f>
        <v>0</v>
      </c>
      <c r="CY1508" s="8">
        <f>1</f>
        <v>1</v>
      </c>
      <c r="DA1508" s="5" t="s">
        <v>673</v>
      </c>
      <c r="DB1508" s="5" t="s">
        <v>238</v>
      </c>
      <c r="DD1508" s="5" t="s">
        <v>673</v>
      </c>
      <c r="DE1508" s="8">
        <f>3253</f>
        <v>3253</v>
      </c>
      <c r="DG1508" s="5" t="s">
        <v>238</v>
      </c>
      <c r="DH1508" s="5" t="s">
        <v>238</v>
      </c>
      <c r="DI1508" s="5" t="s">
        <v>238</v>
      </c>
      <c r="DJ1508" s="5" t="s">
        <v>238</v>
      </c>
      <c r="DN1508" s="5" t="s">
        <v>238</v>
      </c>
      <c r="DO1508" s="5" t="s">
        <v>238</v>
      </c>
      <c r="DP1508" s="5" t="s">
        <v>238</v>
      </c>
      <c r="DQ1508" s="5" t="s">
        <v>238</v>
      </c>
      <c r="DT1508" s="5" t="s">
        <v>2039</v>
      </c>
      <c r="DU1508" s="5" t="s">
        <v>1742</v>
      </c>
      <c r="HM1508" s="5" t="s">
        <v>264</v>
      </c>
    </row>
    <row r="1509" spans="1:221" x14ac:dyDescent="0.4">
      <c r="A1509" s="5">
        <v>3184</v>
      </c>
      <c r="B1509" s="5">
        <v>1</v>
      </c>
      <c r="C1509" s="5">
        <v>1</v>
      </c>
      <c r="D1509" s="5" t="s">
        <v>2037</v>
      </c>
      <c r="E1509" s="5" t="s">
        <v>271</v>
      </c>
      <c r="F1509" s="5" t="s">
        <v>248</v>
      </c>
      <c r="G1509" s="5" t="s">
        <v>1969</v>
      </c>
      <c r="H1509" s="6" t="s">
        <v>2270</v>
      </c>
      <c r="I1509" s="7">
        <f>3108</f>
        <v>3108</v>
      </c>
      <c r="J1509" s="5" t="s">
        <v>262</v>
      </c>
      <c r="K1509" s="8">
        <f>1</f>
        <v>1</v>
      </c>
      <c r="L1509" s="6" t="s">
        <v>242</v>
      </c>
      <c r="M1509" s="5" t="s">
        <v>267</v>
      </c>
      <c r="N1509" s="5" t="s">
        <v>265</v>
      </c>
      <c r="O1509" s="5" t="s">
        <v>238</v>
      </c>
      <c r="P1509" s="5" t="s">
        <v>238</v>
      </c>
      <c r="Q1509" s="5" t="s">
        <v>268</v>
      </c>
      <c r="R1509" s="5" t="s">
        <v>270</v>
      </c>
      <c r="S1509" s="5" t="s">
        <v>238</v>
      </c>
      <c r="V1509" s="5" t="s">
        <v>238</v>
      </c>
      <c r="X1509" s="6" t="s">
        <v>238</v>
      </c>
      <c r="AA1509" s="6" t="s">
        <v>243</v>
      </c>
      <c r="AB1509" s="5" t="s">
        <v>238</v>
      </c>
      <c r="AC1509" s="5" t="s">
        <v>244</v>
      </c>
      <c r="AD1509" s="5" t="s">
        <v>245</v>
      </c>
      <c r="AT1509" s="5" t="s">
        <v>246</v>
      </c>
      <c r="AU1509" s="5" t="s">
        <v>238</v>
      </c>
      <c r="AV1509" s="5" t="s">
        <v>247</v>
      </c>
      <c r="AW1509" s="5" t="s">
        <v>238</v>
      </c>
      <c r="AX1509" s="5" t="s">
        <v>249</v>
      </c>
      <c r="AY1509" s="5" t="s">
        <v>238</v>
      </c>
      <c r="BA1509" s="5" t="s">
        <v>238</v>
      </c>
      <c r="BC1509" s="5" t="s">
        <v>250</v>
      </c>
      <c r="BD1509" s="6" t="s">
        <v>243</v>
      </c>
      <c r="BE1509" s="5" t="s">
        <v>251</v>
      </c>
      <c r="BF1509" s="5" t="s">
        <v>252</v>
      </c>
      <c r="BG1509" s="5" t="s">
        <v>238</v>
      </c>
      <c r="BH1509" s="7">
        <f>0</f>
        <v>0</v>
      </c>
      <c r="BI1509" s="8">
        <f>0</f>
        <v>0</v>
      </c>
      <c r="BJ1509" s="5" t="s">
        <v>253</v>
      </c>
      <c r="BK1509" s="5" t="s">
        <v>254</v>
      </c>
      <c r="BY1509" s="5" t="s">
        <v>238</v>
      </c>
      <c r="BZ1509" s="5" t="s">
        <v>238</v>
      </c>
      <c r="CD1509" s="5" t="s">
        <v>273</v>
      </c>
      <c r="CE1509" s="5" t="s">
        <v>256</v>
      </c>
      <c r="CF1509" s="5" t="s">
        <v>238</v>
      </c>
      <c r="CI1509" s="6" t="s">
        <v>257</v>
      </c>
      <c r="CJ1509" s="5" t="s">
        <v>238</v>
      </c>
      <c r="CK1509" s="5" t="s">
        <v>258</v>
      </c>
      <c r="CL1509" s="5" t="s">
        <v>238</v>
      </c>
      <c r="CM1509" s="5" t="s">
        <v>238</v>
      </c>
      <c r="CN1509" s="5">
        <v>0</v>
      </c>
      <c r="CO1509" s="5" t="s">
        <v>259</v>
      </c>
      <c r="CP1509" s="5" t="s">
        <v>260</v>
      </c>
      <c r="CQ1509" s="5" t="s">
        <v>260</v>
      </c>
      <c r="CR1509" s="5" t="s">
        <v>261</v>
      </c>
      <c r="CU1509" s="8">
        <f>1</f>
        <v>1</v>
      </c>
      <c r="CV1509" s="8">
        <f>0</f>
        <v>0</v>
      </c>
      <c r="CX1509" s="8">
        <f>0</f>
        <v>0</v>
      </c>
      <c r="CY1509" s="8">
        <f>1</f>
        <v>1</v>
      </c>
      <c r="DA1509" s="5" t="s">
        <v>673</v>
      </c>
      <c r="DB1509" s="5" t="s">
        <v>238</v>
      </c>
      <c r="DD1509" s="5" t="s">
        <v>673</v>
      </c>
      <c r="DE1509" s="8">
        <f>3108</f>
        <v>3108</v>
      </c>
      <c r="DG1509" s="5" t="s">
        <v>238</v>
      </c>
      <c r="DH1509" s="5" t="s">
        <v>238</v>
      </c>
      <c r="DI1509" s="5" t="s">
        <v>238</v>
      </c>
      <c r="DJ1509" s="5" t="s">
        <v>238</v>
      </c>
      <c r="DN1509" s="5" t="s">
        <v>238</v>
      </c>
      <c r="DO1509" s="5" t="s">
        <v>238</v>
      </c>
      <c r="DP1509" s="5" t="s">
        <v>238</v>
      </c>
      <c r="DQ1509" s="5" t="s">
        <v>238</v>
      </c>
      <c r="DT1509" s="5" t="s">
        <v>2039</v>
      </c>
      <c r="DU1509" s="5" t="s">
        <v>1732</v>
      </c>
      <c r="HM1509" s="5" t="s">
        <v>264</v>
      </c>
    </row>
    <row r="1510" spans="1:221" x14ac:dyDescent="0.4">
      <c r="A1510" s="5">
        <v>3185</v>
      </c>
      <c r="B1510" s="5">
        <v>1</v>
      </c>
      <c r="C1510" s="5">
        <v>1</v>
      </c>
      <c r="D1510" s="5" t="s">
        <v>2037</v>
      </c>
      <c r="E1510" s="5" t="s">
        <v>271</v>
      </c>
      <c r="F1510" s="5" t="s">
        <v>248</v>
      </c>
      <c r="G1510" s="5" t="s">
        <v>1969</v>
      </c>
      <c r="H1510" s="6" t="s">
        <v>2269</v>
      </c>
      <c r="I1510" s="7">
        <f>6187</f>
        <v>6187</v>
      </c>
      <c r="J1510" s="5" t="s">
        <v>262</v>
      </c>
      <c r="K1510" s="8">
        <f>1</f>
        <v>1</v>
      </c>
      <c r="L1510" s="6" t="s">
        <v>242</v>
      </c>
      <c r="M1510" s="5" t="s">
        <v>267</v>
      </c>
      <c r="N1510" s="5" t="s">
        <v>265</v>
      </c>
      <c r="O1510" s="5" t="s">
        <v>238</v>
      </c>
      <c r="P1510" s="5" t="s">
        <v>238</v>
      </c>
      <c r="Q1510" s="5" t="s">
        <v>268</v>
      </c>
      <c r="R1510" s="5" t="s">
        <v>270</v>
      </c>
      <c r="S1510" s="5" t="s">
        <v>238</v>
      </c>
      <c r="V1510" s="5" t="s">
        <v>238</v>
      </c>
      <c r="X1510" s="6" t="s">
        <v>238</v>
      </c>
      <c r="AA1510" s="6" t="s">
        <v>243</v>
      </c>
      <c r="AB1510" s="5" t="s">
        <v>238</v>
      </c>
      <c r="AC1510" s="5" t="s">
        <v>244</v>
      </c>
      <c r="AD1510" s="5" t="s">
        <v>245</v>
      </c>
      <c r="AT1510" s="5" t="s">
        <v>246</v>
      </c>
      <c r="AU1510" s="5" t="s">
        <v>238</v>
      </c>
      <c r="AV1510" s="5" t="s">
        <v>247</v>
      </c>
      <c r="AW1510" s="5" t="s">
        <v>238</v>
      </c>
      <c r="AX1510" s="5" t="s">
        <v>249</v>
      </c>
      <c r="AY1510" s="5" t="s">
        <v>238</v>
      </c>
      <c r="BA1510" s="5" t="s">
        <v>238</v>
      </c>
      <c r="BC1510" s="5" t="s">
        <v>250</v>
      </c>
      <c r="BD1510" s="6" t="s">
        <v>243</v>
      </c>
      <c r="BE1510" s="5" t="s">
        <v>251</v>
      </c>
      <c r="BF1510" s="5" t="s">
        <v>252</v>
      </c>
      <c r="BG1510" s="5" t="s">
        <v>238</v>
      </c>
      <c r="BH1510" s="7">
        <f>0</f>
        <v>0</v>
      </c>
      <c r="BI1510" s="8">
        <f>0</f>
        <v>0</v>
      </c>
      <c r="BJ1510" s="5" t="s">
        <v>253</v>
      </c>
      <c r="BK1510" s="5" t="s">
        <v>254</v>
      </c>
      <c r="BY1510" s="5" t="s">
        <v>238</v>
      </c>
      <c r="BZ1510" s="5" t="s">
        <v>238</v>
      </c>
      <c r="CD1510" s="5" t="s">
        <v>273</v>
      </c>
      <c r="CE1510" s="5" t="s">
        <v>256</v>
      </c>
      <c r="CF1510" s="5" t="s">
        <v>238</v>
      </c>
      <c r="CI1510" s="6" t="s">
        <v>257</v>
      </c>
      <c r="CJ1510" s="5" t="s">
        <v>238</v>
      </c>
      <c r="CK1510" s="5" t="s">
        <v>258</v>
      </c>
      <c r="CL1510" s="5" t="s">
        <v>238</v>
      </c>
      <c r="CM1510" s="5" t="s">
        <v>238</v>
      </c>
      <c r="CN1510" s="5">
        <v>0</v>
      </c>
      <c r="CO1510" s="5" t="s">
        <v>259</v>
      </c>
      <c r="CP1510" s="5" t="s">
        <v>260</v>
      </c>
      <c r="CQ1510" s="5" t="s">
        <v>260</v>
      </c>
      <c r="CR1510" s="5" t="s">
        <v>261</v>
      </c>
      <c r="CU1510" s="8">
        <f>1</f>
        <v>1</v>
      </c>
      <c r="CV1510" s="8">
        <f>0</f>
        <v>0</v>
      </c>
      <c r="CX1510" s="8">
        <f>0</f>
        <v>0</v>
      </c>
      <c r="CY1510" s="8">
        <f>1</f>
        <v>1</v>
      </c>
      <c r="DA1510" s="5" t="s">
        <v>673</v>
      </c>
      <c r="DB1510" s="5" t="s">
        <v>238</v>
      </c>
      <c r="DD1510" s="5" t="s">
        <v>673</v>
      </c>
      <c r="DE1510" s="8">
        <f>6187</f>
        <v>6187</v>
      </c>
      <c r="DG1510" s="5" t="s">
        <v>238</v>
      </c>
      <c r="DH1510" s="5" t="s">
        <v>238</v>
      </c>
      <c r="DI1510" s="5" t="s">
        <v>238</v>
      </c>
      <c r="DJ1510" s="5" t="s">
        <v>238</v>
      </c>
      <c r="DN1510" s="5" t="s">
        <v>238</v>
      </c>
      <c r="DO1510" s="5" t="s">
        <v>238</v>
      </c>
      <c r="DP1510" s="5" t="s">
        <v>238</v>
      </c>
      <c r="DQ1510" s="5" t="s">
        <v>238</v>
      </c>
      <c r="DT1510" s="5" t="s">
        <v>2039</v>
      </c>
      <c r="DU1510" s="5" t="s">
        <v>1728</v>
      </c>
      <c r="HM1510" s="5" t="s">
        <v>264</v>
      </c>
    </row>
    <row r="1511" spans="1:221" x14ac:dyDescent="0.4">
      <c r="A1511" s="5">
        <v>3186</v>
      </c>
      <c r="B1511" s="5">
        <v>1</v>
      </c>
      <c r="C1511" s="5">
        <v>1</v>
      </c>
      <c r="D1511" s="5" t="s">
        <v>2037</v>
      </c>
      <c r="E1511" s="5" t="s">
        <v>271</v>
      </c>
      <c r="F1511" s="5" t="s">
        <v>248</v>
      </c>
      <c r="G1511" s="5" t="s">
        <v>1969</v>
      </c>
      <c r="H1511" s="6" t="s">
        <v>2268</v>
      </c>
      <c r="I1511" s="7">
        <f>3137</f>
        <v>3137</v>
      </c>
      <c r="J1511" s="5" t="s">
        <v>262</v>
      </c>
      <c r="K1511" s="8">
        <f>1</f>
        <v>1</v>
      </c>
      <c r="L1511" s="6" t="s">
        <v>242</v>
      </c>
      <c r="M1511" s="5" t="s">
        <v>267</v>
      </c>
      <c r="N1511" s="5" t="s">
        <v>265</v>
      </c>
      <c r="O1511" s="5" t="s">
        <v>238</v>
      </c>
      <c r="P1511" s="5" t="s">
        <v>238</v>
      </c>
      <c r="Q1511" s="5" t="s">
        <v>268</v>
      </c>
      <c r="R1511" s="5" t="s">
        <v>270</v>
      </c>
      <c r="S1511" s="5" t="s">
        <v>238</v>
      </c>
      <c r="V1511" s="5" t="s">
        <v>238</v>
      </c>
      <c r="X1511" s="6" t="s">
        <v>238</v>
      </c>
      <c r="AA1511" s="6" t="s">
        <v>243</v>
      </c>
      <c r="AB1511" s="5" t="s">
        <v>238</v>
      </c>
      <c r="AC1511" s="5" t="s">
        <v>244</v>
      </c>
      <c r="AD1511" s="5" t="s">
        <v>245</v>
      </c>
      <c r="AT1511" s="5" t="s">
        <v>246</v>
      </c>
      <c r="AU1511" s="5" t="s">
        <v>238</v>
      </c>
      <c r="AV1511" s="5" t="s">
        <v>247</v>
      </c>
      <c r="AW1511" s="5" t="s">
        <v>238</v>
      </c>
      <c r="AX1511" s="5" t="s">
        <v>249</v>
      </c>
      <c r="AY1511" s="5" t="s">
        <v>238</v>
      </c>
      <c r="BA1511" s="5" t="s">
        <v>238</v>
      </c>
      <c r="BC1511" s="5" t="s">
        <v>250</v>
      </c>
      <c r="BD1511" s="6" t="s">
        <v>243</v>
      </c>
      <c r="BE1511" s="5" t="s">
        <v>251</v>
      </c>
      <c r="BF1511" s="5" t="s">
        <v>252</v>
      </c>
      <c r="BG1511" s="5" t="s">
        <v>238</v>
      </c>
      <c r="BH1511" s="7">
        <f>0</f>
        <v>0</v>
      </c>
      <c r="BI1511" s="8">
        <f>0</f>
        <v>0</v>
      </c>
      <c r="BJ1511" s="5" t="s">
        <v>253</v>
      </c>
      <c r="BK1511" s="5" t="s">
        <v>254</v>
      </c>
      <c r="BY1511" s="5" t="s">
        <v>238</v>
      </c>
      <c r="BZ1511" s="5" t="s">
        <v>238</v>
      </c>
      <c r="CD1511" s="5" t="s">
        <v>273</v>
      </c>
      <c r="CE1511" s="5" t="s">
        <v>256</v>
      </c>
      <c r="CF1511" s="5" t="s">
        <v>238</v>
      </c>
      <c r="CI1511" s="6" t="s">
        <v>257</v>
      </c>
      <c r="CJ1511" s="5" t="s">
        <v>238</v>
      </c>
      <c r="CK1511" s="5" t="s">
        <v>258</v>
      </c>
      <c r="CL1511" s="5" t="s">
        <v>238</v>
      </c>
      <c r="CM1511" s="5" t="s">
        <v>238</v>
      </c>
      <c r="CN1511" s="5">
        <v>0</v>
      </c>
      <c r="CO1511" s="5" t="s">
        <v>259</v>
      </c>
      <c r="CP1511" s="5" t="s">
        <v>260</v>
      </c>
      <c r="CQ1511" s="5" t="s">
        <v>260</v>
      </c>
      <c r="CR1511" s="5" t="s">
        <v>261</v>
      </c>
      <c r="CU1511" s="8">
        <f>1</f>
        <v>1</v>
      </c>
      <c r="CV1511" s="8">
        <f>0</f>
        <v>0</v>
      </c>
      <c r="CX1511" s="8">
        <f>0</f>
        <v>0</v>
      </c>
      <c r="CY1511" s="8">
        <f>1</f>
        <v>1</v>
      </c>
      <c r="DA1511" s="5" t="s">
        <v>673</v>
      </c>
      <c r="DB1511" s="5" t="s">
        <v>238</v>
      </c>
      <c r="DD1511" s="5" t="s">
        <v>673</v>
      </c>
      <c r="DE1511" s="8">
        <f>3137</f>
        <v>3137</v>
      </c>
      <c r="DG1511" s="5" t="s">
        <v>238</v>
      </c>
      <c r="DH1511" s="5" t="s">
        <v>238</v>
      </c>
      <c r="DI1511" s="5" t="s">
        <v>238</v>
      </c>
      <c r="DJ1511" s="5" t="s">
        <v>238</v>
      </c>
      <c r="DN1511" s="5" t="s">
        <v>238</v>
      </c>
      <c r="DO1511" s="5" t="s">
        <v>238</v>
      </c>
      <c r="DP1511" s="5" t="s">
        <v>238</v>
      </c>
      <c r="DQ1511" s="5" t="s">
        <v>238</v>
      </c>
      <c r="DT1511" s="5" t="s">
        <v>2039</v>
      </c>
      <c r="DU1511" s="5" t="s">
        <v>1718</v>
      </c>
      <c r="HM1511" s="5" t="s">
        <v>264</v>
      </c>
    </row>
    <row r="1512" spans="1:221" x14ac:dyDescent="0.4">
      <c r="A1512" s="5">
        <v>3187</v>
      </c>
      <c r="B1512" s="5">
        <v>1</v>
      </c>
      <c r="C1512" s="5">
        <v>1</v>
      </c>
      <c r="D1512" s="5" t="s">
        <v>2037</v>
      </c>
      <c r="E1512" s="5" t="s">
        <v>271</v>
      </c>
      <c r="F1512" s="5" t="s">
        <v>248</v>
      </c>
      <c r="G1512" s="5" t="s">
        <v>1969</v>
      </c>
      <c r="H1512" s="6" t="s">
        <v>2267</v>
      </c>
      <c r="I1512" s="7">
        <f>3145</f>
        <v>3145</v>
      </c>
      <c r="J1512" s="5" t="s">
        <v>262</v>
      </c>
      <c r="K1512" s="8">
        <f>1</f>
        <v>1</v>
      </c>
      <c r="L1512" s="6" t="s">
        <v>242</v>
      </c>
      <c r="M1512" s="5" t="s">
        <v>267</v>
      </c>
      <c r="N1512" s="5" t="s">
        <v>265</v>
      </c>
      <c r="O1512" s="5" t="s">
        <v>238</v>
      </c>
      <c r="P1512" s="5" t="s">
        <v>238</v>
      </c>
      <c r="Q1512" s="5" t="s">
        <v>268</v>
      </c>
      <c r="R1512" s="5" t="s">
        <v>270</v>
      </c>
      <c r="S1512" s="5" t="s">
        <v>238</v>
      </c>
      <c r="V1512" s="5" t="s">
        <v>238</v>
      </c>
      <c r="X1512" s="6" t="s">
        <v>238</v>
      </c>
      <c r="AA1512" s="6" t="s">
        <v>243</v>
      </c>
      <c r="AB1512" s="5" t="s">
        <v>238</v>
      </c>
      <c r="AC1512" s="5" t="s">
        <v>244</v>
      </c>
      <c r="AD1512" s="5" t="s">
        <v>245</v>
      </c>
      <c r="AT1512" s="5" t="s">
        <v>246</v>
      </c>
      <c r="AU1512" s="5" t="s">
        <v>238</v>
      </c>
      <c r="AV1512" s="5" t="s">
        <v>247</v>
      </c>
      <c r="AW1512" s="5" t="s">
        <v>238</v>
      </c>
      <c r="AX1512" s="5" t="s">
        <v>249</v>
      </c>
      <c r="AY1512" s="5" t="s">
        <v>238</v>
      </c>
      <c r="BA1512" s="5" t="s">
        <v>238</v>
      </c>
      <c r="BC1512" s="5" t="s">
        <v>250</v>
      </c>
      <c r="BD1512" s="6" t="s">
        <v>243</v>
      </c>
      <c r="BE1512" s="5" t="s">
        <v>251</v>
      </c>
      <c r="BF1512" s="5" t="s">
        <v>252</v>
      </c>
      <c r="BG1512" s="5" t="s">
        <v>238</v>
      </c>
      <c r="BH1512" s="7">
        <f>0</f>
        <v>0</v>
      </c>
      <c r="BI1512" s="8">
        <f>0</f>
        <v>0</v>
      </c>
      <c r="BJ1512" s="5" t="s">
        <v>253</v>
      </c>
      <c r="BK1512" s="5" t="s">
        <v>254</v>
      </c>
      <c r="BY1512" s="5" t="s">
        <v>238</v>
      </c>
      <c r="BZ1512" s="5" t="s">
        <v>238</v>
      </c>
      <c r="CD1512" s="5" t="s">
        <v>273</v>
      </c>
      <c r="CE1512" s="5" t="s">
        <v>256</v>
      </c>
      <c r="CF1512" s="5" t="s">
        <v>238</v>
      </c>
      <c r="CI1512" s="6" t="s">
        <v>257</v>
      </c>
      <c r="CJ1512" s="5" t="s">
        <v>238</v>
      </c>
      <c r="CK1512" s="5" t="s">
        <v>258</v>
      </c>
      <c r="CL1512" s="5" t="s">
        <v>238</v>
      </c>
      <c r="CM1512" s="5" t="s">
        <v>238</v>
      </c>
      <c r="CN1512" s="5">
        <v>0</v>
      </c>
      <c r="CO1512" s="5" t="s">
        <v>259</v>
      </c>
      <c r="CP1512" s="5" t="s">
        <v>260</v>
      </c>
      <c r="CQ1512" s="5" t="s">
        <v>260</v>
      </c>
      <c r="CR1512" s="5" t="s">
        <v>261</v>
      </c>
      <c r="CU1512" s="8">
        <f>1</f>
        <v>1</v>
      </c>
      <c r="CV1512" s="8">
        <f>0</f>
        <v>0</v>
      </c>
      <c r="CX1512" s="8">
        <f>0</f>
        <v>0</v>
      </c>
      <c r="CY1512" s="8">
        <f>1</f>
        <v>1</v>
      </c>
      <c r="DA1512" s="5" t="s">
        <v>673</v>
      </c>
      <c r="DB1512" s="5" t="s">
        <v>238</v>
      </c>
      <c r="DD1512" s="5" t="s">
        <v>673</v>
      </c>
      <c r="DE1512" s="8">
        <f>3145</f>
        <v>3145</v>
      </c>
      <c r="DG1512" s="5" t="s">
        <v>238</v>
      </c>
      <c r="DH1512" s="5" t="s">
        <v>238</v>
      </c>
      <c r="DI1512" s="5" t="s">
        <v>238</v>
      </c>
      <c r="DJ1512" s="5" t="s">
        <v>238</v>
      </c>
      <c r="DN1512" s="5" t="s">
        <v>238</v>
      </c>
      <c r="DO1512" s="5" t="s">
        <v>238</v>
      </c>
      <c r="DP1512" s="5" t="s">
        <v>238</v>
      </c>
      <c r="DQ1512" s="5" t="s">
        <v>238</v>
      </c>
      <c r="DT1512" s="5" t="s">
        <v>2039</v>
      </c>
      <c r="DU1512" s="5" t="s">
        <v>1716</v>
      </c>
      <c r="HM1512" s="5" t="s">
        <v>264</v>
      </c>
    </row>
    <row r="1513" spans="1:221" x14ac:dyDescent="0.4">
      <c r="A1513" s="5">
        <v>3188</v>
      </c>
      <c r="B1513" s="5">
        <v>1</v>
      </c>
      <c r="C1513" s="5">
        <v>1</v>
      </c>
      <c r="D1513" s="5" t="s">
        <v>2037</v>
      </c>
      <c r="E1513" s="5" t="s">
        <v>271</v>
      </c>
      <c r="F1513" s="5" t="s">
        <v>248</v>
      </c>
      <c r="G1513" s="5" t="s">
        <v>1969</v>
      </c>
      <c r="H1513" s="6" t="s">
        <v>2264</v>
      </c>
      <c r="I1513" s="7">
        <f>3121</f>
        <v>3121</v>
      </c>
      <c r="J1513" s="5" t="s">
        <v>262</v>
      </c>
      <c r="K1513" s="8">
        <f>1</f>
        <v>1</v>
      </c>
      <c r="L1513" s="6" t="s">
        <v>242</v>
      </c>
      <c r="M1513" s="5" t="s">
        <v>267</v>
      </c>
      <c r="N1513" s="5" t="s">
        <v>265</v>
      </c>
      <c r="O1513" s="5" t="s">
        <v>238</v>
      </c>
      <c r="P1513" s="5" t="s">
        <v>238</v>
      </c>
      <c r="Q1513" s="5" t="s">
        <v>268</v>
      </c>
      <c r="R1513" s="5" t="s">
        <v>270</v>
      </c>
      <c r="S1513" s="5" t="s">
        <v>238</v>
      </c>
      <c r="V1513" s="5" t="s">
        <v>238</v>
      </c>
      <c r="X1513" s="6" t="s">
        <v>238</v>
      </c>
      <c r="AA1513" s="6" t="s">
        <v>243</v>
      </c>
      <c r="AB1513" s="5" t="s">
        <v>238</v>
      </c>
      <c r="AC1513" s="5" t="s">
        <v>244</v>
      </c>
      <c r="AD1513" s="5" t="s">
        <v>245</v>
      </c>
      <c r="AT1513" s="5" t="s">
        <v>246</v>
      </c>
      <c r="AU1513" s="5" t="s">
        <v>238</v>
      </c>
      <c r="AV1513" s="5" t="s">
        <v>247</v>
      </c>
      <c r="AW1513" s="5" t="s">
        <v>238</v>
      </c>
      <c r="AX1513" s="5" t="s">
        <v>249</v>
      </c>
      <c r="AY1513" s="5" t="s">
        <v>238</v>
      </c>
      <c r="BA1513" s="5" t="s">
        <v>238</v>
      </c>
      <c r="BC1513" s="5" t="s">
        <v>250</v>
      </c>
      <c r="BD1513" s="6" t="s">
        <v>243</v>
      </c>
      <c r="BE1513" s="5" t="s">
        <v>251</v>
      </c>
      <c r="BF1513" s="5" t="s">
        <v>252</v>
      </c>
      <c r="BG1513" s="5" t="s">
        <v>238</v>
      </c>
      <c r="BH1513" s="7">
        <f>0</f>
        <v>0</v>
      </c>
      <c r="BI1513" s="8">
        <f>0</f>
        <v>0</v>
      </c>
      <c r="BJ1513" s="5" t="s">
        <v>253</v>
      </c>
      <c r="BK1513" s="5" t="s">
        <v>254</v>
      </c>
      <c r="BY1513" s="5" t="s">
        <v>238</v>
      </c>
      <c r="BZ1513" s="5" t="s">
        <v>238</v>
      </c>
      <c r="CD1513" s="5" t="s">
        <v>273</v>
      </c>
      <c r="CE1513" s="5" t="s">
        <v>256</v>
      </c>
      <c r="CF1513" s="5" t="s">
        <v>238</v>
      </c>
      <c r="CI1513" s="6" t="s">
        <v>257</v>
      </c>
      <c r="CJ1513" s="5" t="s">
        <v>238</v>
      </c>
      <c r="CK1513" s="5" t="s">
        <v>258</v>
      </c>
      <c r="CL1513" s="5" t="s">
        <v>238</v>
      </c>
      <c r="CM1513" s="5" t="s">
        <v>238</v>
      </c>
      <c r="CN1513" s="5">
        <v>0</v>
      </c>
      <c r="CO1513" s="5" t="s">
        <v>259</v>
      </c>
      <c r="CP1513" s="5" t="s">
        <v>260</v>
      </c>
      <c r="CQ1513" s="5" t="s">
        <v>260</v>
      </c>
      <c r="CR1513" s="5" t="s">
        <v>261</v>
      </c>
      <c r="CU1513" s="8">
        <f>1</f>
        <v>1</v>
      </c>
      <c r="CV1513" s="8">
        <f>0</f>
        <v>0</v>
      </c>
      <c r="CX1513" s="8">
        <f>0</f>
        <v>0</v>
      </c>
      <c r="CY1513" s="8">
        <f>1</f>
        <v>1</v>
      </c>
      <c r="DA1513" s="5" t="s">
        <v>673</v>
      </c>
      <c r="DB1513" s="5" t="s">
        <v>238</v>
      </c>
      <c r="DD1513" s="5" t="s">
        <v>673</v>
      </c>
      <c r="DE1513" s="8">
        <f>3121</f>
        <v>3121</v>
      </c>
      <c r="DG1513" s="5" t="s">
        <v>238</v>
      </c>
      <c r="DH1513" s="5" t="s">
        <v>238</v>
      </c>
      <c r="DI1513" s="5" t="s">
        <v>238</v>
      </c>
      <c r="DJ1513" s="5" t="s">
        <v>238</v>
      </c>
      <c r="DN1513" s="5" t="s">
        <v>238</v>
      </c>
      <c r="DO1513" s="5" t="s">
        <v>238</v>
      </c>
      <c r="DP1513" s="5" t="s">
        <v>238</v>
      </c>
      <c r="DQ1513" s="5" t="s">
        <v>238</v>
      </c>
      <c r="DT1513" s="5" t="s">
        <v>2039</v>
      </c>
      <c r="DU1513" s="5" t="s">
        <v>1714</v>
      </c>
      <c r="HM1513" s="5" t="s">
        <v>264</v>
      </c>
    </row>
    <row r="1514" spans="1:221" x14ac:dyDescent="0.4">
      <c r="A1514" s="5">
        <v>3189</v>
      </c>
      <c r="B1514" s="5">
        <v>1</v>
      </c>
      <c r="C1514" s="5">
        <v>1</v>
      </c>
      <c r="D1514" s="5" t="s">
        <v>2037</v>
      </c>
      <c r="E1514" s="5" t="s">
        <v>271</v>
      </c>
      <c r="F1514" s="5" t="s">
        <v>248</v>
      </c>
      <c r="G1514" s="5" t="s">
        <v>1969</v>
      </c>
      <c r="H1514" s="6" t="s">
        <v>2263</v>
      </c>
      <c r="I1514" s="7">
        <f>295</f>
        <v>295</v>
      </c>
      <c r="J1514" s="5" t="s">
        <v>262</v>
      </c>
      <c r="K1514" s="8">
        <f>1</f>
        <v>1</v>
      </c>
      <c r="L1514" s="6" t="s">
        <v>242</v>
      </c>
      <c r="M1514" s="5" t="s">
        <v>267</v>
      </c>
      <c r="N1514" s="5" t="s">
        <v>265</v>
      </c>
      <c r="O1514" s="5" t="s">
        <v>238</v>
      </c>
      <c r="P1514" s="5" t="s">
        <v>238</v>
      </c>
      <c r="Q1514" s="5" t="s">
        <v>268</v>
      </c>
      <c r="R1514" s="5" t="s">
        <v>270</v>
      </c>
      <c r="S1514" s="5" t="s">
        <v>238</v>
      </c>
      <c r="V1514" s="5" t="s">
        <v>238</v>
      </c>
      <c r="X1514" s="6" t="s">
        <v>238</v>
      </c>
      <c r="AA1514" s="6" t="s">
        <v>243</v>
      </c>
      <c r="AB1514" s="5" t="s">
        <v>238</v>
      </c>
      <c r="AC1514" s="5" t="s">
        <v>244</v>
      </c>
      <c r="AD1514" s="5" t="s">
        <v>245</v>
      </c>
      <c r="AT1514" s="5" t="s">
        <v>246</v>
      </c>
      <c r="AU1514" s="5" t="s">
        <v>238</v>
      </c>
      <c r="AV1514" s="5" t="s">
        <v>247</v>
      </c>
      <c r="AW1514" s="5" t="s">
        <v>238</v>
      </c>
      <c r="AX1514" s="5" t="s">
        <v>249</v>
      </c>
      <c r="AY1514" s="5" t="s">
        <v>238</v>
      </c>
      <c r="BA1514" s="5" t="s">
        <v>238</v>
      </c>
      <c r="BC1514" s="5" t="s">
        <v>250</v>
      </c>
      <c r="BD1514" s="6" t="s">
        <v>243</v>
      </c>
      <c r="BE1514" s="5" t="s">
        <v>251</v>
      </c>
      <c r="BF1514" s="5" t="s">
        <v>252</v>
      </c>
      <c r="BG1514" s="5" t="s">
        <v>238</v>
      </c>
      <c r="BH1514" s="7">
        <f>0</f>
        <v>0</v>
      </c>
      <c r="BI1514" s="8">
        <f>0</f>
        <v>0</v>
      </c>
      <c r="BJ1514" s="5" t="s">
        <v>253</v>
      </c>
      <c r="BK1514" s="5" t="s">
        <v>254</v>
      </c>
      <c r="BY1514" s="5" t="s">
        <v>238</v>
      </c>
      <c r="BZ1514" s="5" t="s">
        <v>238</v>
      </c>
      <c r="CD1514" s="5" t="s">
        <v>273</v>
      </c>
      <c r="CE1514" s="5" t="s">
        <v>256</v>
      </c>
      <c r="CF1514" s="5" t="s">
        <v>238</v>
      </c>
      <c r="CI1514" s="6" t="s">
        <v>257</v>
      </c>
      <c r="CJ1514" s="5" t="s">
        <v>238</v>
      </c>
      <c r="CK1514" s="5" t="s">
        <v>258</v>
      </c>
      <c r="CL1514" s="5" t="s">
        <v>238</v>
      </c>
      <c r="CM1514" s="5" t="s">
        <v>238</v>
      </c>
      <c r="CN1514" s="5">
        <v>0</v>
      </c>
      <c r="CO1514" s="5" t="s">
        <v>259</v>
      </c>
      <c r="CP1514" s="5" t="s">
        <v>260</v>
      </c>
      <c r="CQ1514" s="5" t="s">
        <v>260</v>
      </c>
      <c r="CR1514" s="5" t="s">
        <v>261</v>
      </c>
      <c r="CU1514" s="8">
        <f>1</f>
        <v>1</v>
      </c>
      <c r="CV1514" s="8">
        <f>0</f>
        <v>0</v>
      </c>
      <c r="CX1514" s="8">
        <f>0</f>
        <v>0</v>
      </c>
      <c r="CY1514" s="8">
        <f>1</f>
        <v>1</v>
      </c>
      <c r="DA1514" s="5" t="s">
        <v>673</v>
      </c>
      <c r="DB1514" s="5" t="s">
        <v>238</v>
      </c>
      <c r="DD1514" s="5" t="s">
        <v>673</v>
      </c>
      <c r="DE1514" s="8">
        <f>295</f>
        <v>295</v>
      </c>
      <c r="DG1514" s="5" t="s">
        <v>238</v>
      </c>
      <c r="DH1514" s="5" t="s">
        <v>238</v>
      </c>
      <c r="DI1514" s="5" t="s">
        <v>238</v>
      </c>
      <c r="DJ1514" s="5" t="s">
        <v>238</v>
      </c>
      <c r="DN1514" s="5" t="s">
        <v>238</v>
      </c>
      <c r="DO1514" s="5" t="s">
        <v>238</v>
      </c>
      <c r="DP1514" s="5" t="s">
        <v>238</v>
      </c>
      <c r="DQ1514" s="5" t="s">
        <v>238</v>
      </c>
      <c r="DT1514" s="5" t="s">
        <v>2039</v>
      </c>
      <c r="DU1514" s="5" t="s">
        <v>1704</v>
      </c>
      <c r="HM1514" s="5" t="s">
        <v>264</v>
      </c>
    </row>
    <row r="1515" spans="1:221" x14ac:dyDescent="0.4">
      <c r="A1515" s="5">
        <v>3190</v>
      </c>
      <c r="B1515" s="5">
        <v>1</v>
      </c>
      <c r="C1515" s="5">
        <v>1</v>
      </c>
      <c r="D1515" s="5" t="s">
        <v>2037</v>
      </c>
      <c r="E1515" s="5" t="s">
        <v>271</v>
      </c>
      <c r="F1515" s="5" t="s">
        <v>248</v>
      </c>
      <c r="G1515" s="5" t="s">
        <v>1969</v>
      </c>
      <c r="H1515" s="6" t="s">
        <v>2257</v>
      </c>
      <c r="I1515" s="7">
        <f>2986</f>
        <v>2986</v>
      </c>
      <c r="J1515" s="5" t="s">
        <v>262</v>
      </c>
      <c r="K1515" s="8">
        <f>1</f>
        <v>1</v>
      </c>
      <c r="L1515" s="6" t="s">
        <v>242</v>
      </c>
      <c r="M1515" s="5" t="s">
        <v>267</v>
      </c>
      <c r="N1515" s="5" t="s">
        <v>265</v>
      </c>
      <c r="O1515" s="5" t="s">
        <v>238</v>
      </c>
      <c r="P1515" s="5" t="s">
        <v>238</v>
      </c>
      <c r="Q1515" s="5" t="s">
        <v>268</v>
      </c>
      <c r="R1515" s="5" t="s">
        <v>270</v>
      </c>
      <c r="S1515" s="5" t="s">
        <v>238</v>
      </c>
      <c r="V1515" s="5" t="s">
        <v>238</v>
      </c>
      <c r="X1515" s="6" t="s">
        <v>238</v>
      </c>
      <c r="AA1515" s="6" t="s">
        <v>243</v>
      </c>
      <c r="AB1515" s="5" t="s">
        <v>238</v>
      </c>
      <c r="AC1515" s="5" t="s">
        <v>244</v>
      </c>
      <c r="AD1515" s="5" t="s">
        <v>245</v>
      </c>
      <c r="AT1515" s="5" t="s">
        <v>246</v>
      </c>
      <c r="AU1515" s="5" t="s">
        <v>238</v>
      </c>
      <c r="AV1515" s="5" t="s">
        <v>247</v>
      </c>
      <c r="AW1515" s="5" t="s">
        <v>238</v>
      </c>
      <c r="AX1515" s="5" t="s">
        <v>249</v>
      </c>
      <c r="AY1515" s="5" t="s">
        <v>238</v>
      </c>
      <c r="BA1515" s="5" t="s">
        <v>238</v>
      </c>
      <c r="BC1515" s="5" t="s">
        <v>250</v>
      </c>
      <c r="BD1515" s="6" t="s">
        <v>243</v>
      </c>
      <c r="BE1515" s="5" t="s">
        <v>251</v>
      </c>
      <c r="BF1515" s="5" t="s">
        <v>252</v>
      </c>
      <c r="BG1515" s="5" t="s">
        <v>238</v>
      </c>
      <c r="BH1515" s="7">
        <f>0</f>
        <v>0</v>
      </c>
      <c r="BI1515" s="8">
        <f>0</f>
        <v>0</v>
      </c>
      <c r="BJ1515" s="5" t="s">
        <v>253</v>
      </c>
      <c r="BK1515" s="5" t="s">
        <v>254</v>
      </c>
      <c r="BY1515" s="5" t="s">
        <v>238</v>
      </c>
      <c r="BZ1515" s="5" t="s">
        <v>238</v>
      </c>
      <c r="CD1515" s="5" t="s">
        <v>273</v>
      </c>
      <c r="CE1515" s="5" t="s">
        <v>256</v>
      </c>
      <c r="CF1515" s="5" t="s">
        <v>238</v>
      </c>
      <c r="CI1515" s="6" t="s">
        <v>257</v>
      </c>
      <c r="CJ1515" s="5" t="s">
        <v>238</v>
      </c>
      <c r="CK1515" s="5" t="s">
        <v>258</v>
      </c>
      <c r="CL1515" s="5" t="s">
        <v>238</v>
      </c>
      <c r="CM1515" s="5" t="s">
        <v>238</v>
      </c>
      <c r="CN1515" s="5">
        <v>0</v>
      </c>
      <c r="CO1515" s="5" t="s">
        <v>259</v>
      </c>
      <c r="CP1515" s="5" t="s">
        <v>260</v>
      </c>
      <c r="CQ1515" s="5" t="s">
        <v>260</v>
      </c>
      <c r="CR1515" s="5" t="s">
        <v>261</v>
      </c>
      <c r="CU1515" s="8">
        <f>1</f>
        <v>1</v>
      </c>
      <c r="CV1515" s="8">
        <f>0</f>
        <v>0</v>
      </c>
      <c r="CX1515" s="8">
        <f>0</f>
        <v>0</v>
      </c>
      <c r="CY1515" s="8">
        <f>1</f>
        <v>1</v>
      </c>
      <c r="DA1515" s="5" t="s">
        <v>673</v>
      </c>
      <c r="DB1515" s="5" t="s">
        <v>238</v>
      </c>
      <c r="DD1515" s="5" t="s">
        <v>673</v>
      </c>
      <c r="DE1515" s="8">
        <f>2986</f>
        <v>2986</v>
      </c>
      <c r="DG1515" s="5" t="s">
        <v>238</v>
      </c>
      <c r="DH1515" s="5" t="s">
        <v>238</v>
      </c>
      <c r="DI1515" s="5" t="s">
        <v>238</v>
      </c>
      <c r="DJ1515" s="5" t="s">
        <v>238</v>
      </c>
      <c r="DN1515" s="5" t="s">
        <v>238</v>
      </c>
      <c r="DO1515" s="5" t="s">
        <v>238</v>
      </c>
      <c r="DP1515" s="5" t="s">
        <v>238</v>
      </c>
      <c r="DQ1515" s="5" t="s">
        <v>238</v>
      </c>
      <c r="DT1515" s="5" t="s">
        <v>2039</v>
      </c>
      <c r="DU1515" s="5" t="s">
        <v>1700</v>
      </c>
      <c r="HM1515" s="5" t="s">
        <v>264</v>
      </c>
    </row>
    <row r="1516" spans="1:221" x14ac:dyDescent="0.4">
      <c r="A1516" s="5">
        <v>3191</v>
      </c>
      <c r="B1516" s="5">
        <v>1</v>
      </c>
      <c r="C1516" s="5">
        <v>1</v>
      </c>
      <c r="D1516" s="5" t="s">
        <v>2037</v>
      </c>
      <c r="E1516" s="5" t="s">
        <v>271</v>
      </c>
      <c r="F1516" s="5" t="s">
        <v>248</v>
      </c>
      <c r="G1516" s="5" t="s">
        <v>1969</v>
      </c>
      <c r="H1516" s="6" t="s">
        <v>2256</v>
      </c>
      <c r="I1516" s="7">
        <f>2931</f>
        <v>2931</v>
      </c>
      <c r="J1516" s="5" t="s">
        <v>262</v>
      </c>
      <c r="K1516" s="8">
        <f>1</f>
        <v>1</v>
      </c>
      <c r="L1516" s="6" t="s">
        <v>242</v>
      </c>
      <c r="M1516" s="5" t="s">
        <v>267</v>
      </c>
      <c r="N1516" s="5" t="s">
        <v>265</v>
      </c>
      <c r="O1516" s="5" t="s">
        <v>238</v>
      </c>
      <c r="P1516" s="5" t="s">
        <v>238</v>
      </c>
      <c r="Q1516" s="5" t="s">
        <v>268</v>
      </c>
      <c r="R1516" s="5" t="s">
        <v>270</v>
      </c>
      <c r="S1516" s="5" t="s">
        <v>238</v>
      </c>
      <c r="V1516" s="5" t="s">
        <v>238</v>
      </c>
      <c r="X1516" s="6" t="s">
        <v>238</v>
      </c>
      <c r="AA1516" s="6" t="s">
        <v>243</v>
      </c>
      <c r="AB1516" s="5" t="s">
        <v>238</v>
      </c>
      <c r="AC1516" s="5" t="s">
        <v>244</v>
      </c>
      <c r="AD1516" s="5" t="s">
        <v>245</v>
      </c>
      <c r="AT1516" s="5" t="s">
        <v>246</v>
      </c>
      <c r="AU1516" s="5" t="s">
        <v>238</v>
      </c>
      <c r="AV1516" s="5" t="s">
        <v>247</v>
      </c>
      <c r="AW1516" s="5" t="s">
        <v>238</v>
      </c>
      <c r="AX1516" s="5" t="s">
        <v>249</v>
      </c>
      <c r="AY1516" s="5" t="s">
        <v>238</v>
      </c>
      <c r="BA1516" s="5" t="s">
        <v>238</v>
      </c>
      <c r="BC1516" s="5" t="s">
        <v>250</v>
      </c>
      <c r="BD1516" s="6" t="s">
        <v>243</v>
      </c>
      <c r="BE1516" s="5" t="s">
        <v>251</v>
      </c>
      <c r="BF1516" s="5" t="s">
        <v>252</v>
      </c>
      <c r="BG1516" s="5" t="s">
        <v>238</v>
      </c>
      <c r="BH1516" s="7">
        <f>0</f>
        <v>0</v>
      </c>
      <c r="BI1516" s="8">
        <f>0</f>
        <v>0</v>
      </c>
      <c r="BJ1516" s="5" t="s">
        <v>253</v>
      </c>
      <c r="BK1516" s="5" t="s">
        <v>254</v>
      </c>
      <c r="BY1516" s="5" t="s">
        <v>238</v>
      </c>
      <c r="BZ1516" s="5" t="s">
        <v>238</v>
      </c>
      <c r="CD1516" s="5" t="s">
        <v>273</v>
      </c>
      <c r="CE1516" s="5" t="s">
        <v>256</v>
      </c>
      <c r="CF1516" s="5" t="s">
        <v>238</v>
      </c>
      <c r="CI1516" s="6" t="s">
        <v>257</v>
      </c>
      <c r="CJ1516" s="5" t="s">
        <v>238</v>
      </c>
      <c r="CK1516" s="5" t="s">
        <v>258</v>
      </c>
      <c r="CL1516" s="5" t="s">
        <v>238</v>
      </c>
      <c r="CM1516" s="5" t="s">
        <v>238</v>
      </c>
      <c r="CN1516" s="5">
        <v>0</v>
      </c>
      <c r="CO1516" s="5" t="s">
        <v>259</v>
      </c>
      <c r="CP1516" s="5" t="s">
        <v>260</v>
      </c>
      <c r="CQ1516" s="5" t="s">
        <v>260</v>
      </c>
      <c r="CR1516" s="5" t="s">
        <v>261</v>
      </c>
      <c r="CU1516" s="8">
        <f>1</f>
        <v>1</v>
      </c>
      <c r="CV1516" s="8">
        <f>0</f>
        <v>0</v>
      </c>
      <c r="CX1516" s="8">
        <f>0</f>
        <v>0</v>
      </c>
      <c r="CY1516" s="8">
        <f>1</f>
        <v>1</v>
      </c>
      <c r="DA1516" s="5" t="s">
        <v>673</v>
      </c>
      <c r="DB1516" s="5" t="s">
        <v>238</v>
      </c>
      <c r="DD1516" s="5" t="s">
        <v>673</v>
      </c>
      <c r="DE1516" s="8">
        <f>2931</f>
        <v>2931</v>
      </c>
      <c r="DG1516" s="5" t="s">
        <v>238</v>
      </c>
      <c r="DH1516" s="5" t="s">
        <v>238</v>
      </c>
      <c r="DI1516" s="5" t="s">
        <v>238</v>
      </c>
      <c r="DJ1516" s="5" t="s">
        <v>238</v>
      </c>
      <c r="DN1516" s="5" t="s">
        <v>238</v>
      </c>
      <c r="DO1516" s="5" t="s">
        <v>238</v>
      </c>
      <c r="DP1516" s="5" t="s">
        <v>238</v>
      </c>
      <c r="DQ1516" s="5" t="s">
        <v>238</v>
      </c>
      <c r="DT1516" s="5" t="s">
        <v>2039</v>
      </c>
      <c r="DU1516" s="5" t="s">
        <v>1698</v>
      </c>
      <c r="HM1516" s="5" t="s">
        <v>264</v>
      </c>
    </row>
    <row r="1517" spans="1:221" x14ac:dyDescent="0.4">
      <c r="A1517" s="5">
        <v>3192</v>
      </c>
      <c r="B1517" s="5">
        <v>1</v>
      </c>
      <c r="C1517" s="5">
        <v>1</v>
      </c>
      <c r="D1517" s="5" t="s">
        <v>2037</v>
      </c>
      <c r="E1517" s="5" t="s">
        <v>271</v>
      </c>
      <c r="F1517" s="5" t="s">
        <v>248</v>
      </c>
      <c r="G1517" s="5" t="s">
        <v>1969</v>
      </c>
      <c r="H1517" s="6" t="s">
        <v>2254</v>
      </c>
      <c r="I1517" s="7">
        <f>2993</f>
        <v>2993</v>
      </c>
      <c r="J1517" s="5" t="s">
        <v>262</v>
      </c>
      <c r="K1517" s="8">
        <f>1</f>
        <v>1</v>
      </c>
      <c r="L1517" s="6" t="s">
        <v>242</v>
      </c>
      <c r="M1517" s="5" t="s">
        <v>267</v>
      </c>
      <c r="N1517" s="5" t="s">
        <v>265</v>
      </c>
      <c r="O1517" s="5" t="s">
        <v>238</v>
      </c>
      <c r="P1517" s="5" t="s">
        <v>238</v>
      </c>
      <c r="Q1517" s="5" t="s">
        <v>268</v>
      </c>
      <c r="R1517" s="5" t="s">
        <v>270</v>
      </c>
      <c r="S1517" s="5" t="s">
        <v>238</v>
      </c>
      <c r="V1517" s="5" t="s">
        <v>238</v>
      </c>
      <c r="X1517" s="6" t="s">
        <v>238</v>
      </c>
      <c r="AA1517" s="6" t="s">
        <v>243</v>
      </c>
      <c r="AB1517" s="5" t="s">
        <v>238</v>
      </c>
      <c r="AC1517" s="5" t="s">
        <v>244</v>
      </c>
      <c r="AD1517" s="5" t="s">
        <v>245</v>
      </c>
      <c r="AT1517" s="5" t="s">
        <v>246</v>
      </c>
      <c r="AU1517" s="5" t="s">
        <v>238</v>
      </c>
      <c r="AV1517" s="5" t="s">
        <v>247</v>
      </c>
      <c r="AW1517" s="5" t="s">
        <v>238</v>
      </c>
      <c r="AX1517" s="5" t="s">
        <v>249</v>
      </c>
      <c r="AY1517" s="5" t="s">
        <v>238</v>
      </c>
      <c r="BA1517" s="5" t="s">
        <v>238</v>
      </c>
      <c r="BC1517" s="5" t="s">
        <v>250</v>
      </c>
      <c r="BD1517" s="6" t="s">
        <v>243</v>
      </c>
      <c r="BE1517" s="5" t="s">
        <v>251</v>
      </c>
      <c r="BF1517" s="5" t="s">
        <v>252</v>
      </c>
      <c r="BG1517" s="5" t="s">
        <v>238</v>
      </c>
      <c r="BH1517" s="7">
        <f>0</f>
        <v>0</v>
      </c>
      <c r="BI1517" s="8">
        <f>0</f>
        <v>0</v>
      </c>
      <c r="BJ1517" s="5" t="s">
        <v>253</v>
      </c>
      <c r="BK1517" s="5" t="s">
        <v>254</v>
      </c>
      <c r="BY1517" s="5" t="s">
        <v>238</v>
      </c>
      <c r="BZ1517" s="5" t="s">
        <v>238</v>
      </c>
      <c r="CD1517" s="5" t="s">
        <v>273</v>
      </c>
      <c r="CE1517" s="5" t="s">
        <v>256</v>
      </c>
      <c r="CF1517" s="5" t="s">
        <v>238</v>
      </c>
      <c r="CI1517" s="6" t="s">
        <v>257</v>
      </c>
      <c r="CJ1517" s="5" t="s">
        <v>238</v>
      </c>
      <c r="CK1517" s="5" t="s">
        <v>258</v>
      </c>
      <c r="CL1517" s="5" t="s">
        <v>238</v>
      </c>
      <c r="CM1517" s="5" t="s">
        <v>238</v>
      </c>
      <c r="CN1517" s="5">
        <v>0</v>
      </c>
      <c r="CO1517" s="5" t="s">
        <v>259</v>
      </c>
      <c r="CP1517" s="5" t="s">
        <v>260</v>
      </c>
      <c r="CQ1517" s="5" t="s">
        <v>260</v>
      </c>
      <c r="CR1517" s="5" t="s">
        <v>261</v>
      </c>
      <c r="CU1517" s="8">
        <f>1</f>
        <v>1</v>
      </c>
      <c r="CV1517" s="8">
        <f>0</f>
        <v>0</v>
      </c>
      <c r="CX1517" s="8">
        <f>0</f>
        <v>0</v>
      </c>
      <c r="CY1517" s="8">
        <f>1</f>
        <v>1</v>
      </c>
      <c r="DA1517" s="5" t="s">
        <v>673</v>
      </c>
      <c r="DB1517" s="5" t="s">
        <v>238</v>
      </c>
      <c r="DD1517" s="5" t="s">
        <v>673</v>
      </c>
      <c r="DE1517" s="8">
        <f>2993</f>
        <v>2993</v>
      </c>
      <c r="DG1517" s="5" t="s">
        <v>238</v>
      </c>
      <c r="DH1517" s="5" t="s">
        <v>238</v>
      </c>
      <c r="DI1517" s="5" t="s">
        <v>238</v>
      </c>
      <c r="DJ1517" s="5" t="s">
        <v>238</v>
      </c>
      <c r="DN1517" s="5" t="s">
        <v>238</v>
      </c>
      <c r="DO1517" s="5" t="s">
        <v>238</v>
      </c>
      <c r="DP1517" s="5" t="s">
        <v>238</v>
      </c>
      <c r="DQ1517" s="5" t="s">
        <v>238</v>
      </c>
      <c r="DT1517" s="5" t="s">
        <v>2039</v>
      </c>
      <c r="DU1517" s="5" t="s">
        <v>1694</v>
      </c>
      <c r="HM1517" s="5" t="s">
        <v>264</v>
      </c>
    </row>
    <row r="1518" spans="1:221" x14ac:dyDescent="0.4">
      <c r="A1518" s="5">
        <v>3193</v>
      </c>
      <c r="B1518" s="5">
        <v>1</v>
      </c>
      <c r="C1518" s="5">
        <v>1</v>
      </c>
      <c r="D1518" s="5" t="s">
        <v>2037</v>
      </c>
      <c r="E1518" s="5" t="s">
        <v>271</v>
      </c>
      <c r="F1518" s="5" t="s">
        <v>248</v>
      </c>
      <c r="G1518" s="5" t="s">
        <v>1969</v>
      </c>
      <c r="H1518" s="6" t="s">
        <v>2244</v>
      </c>
      <c r="I1518" s="7">
        <f>4549</f>
        <v>4549</v>
      </c>
      <c r="J1518" s="5" t="s">
        <v>262</v>
      </c>
      <c r="K1518" s="8">
        <f>1</f>
        <v>1</v>
      </c>
      <c r="L1518" s="6" t="s">
        <v>242</v>
      </c>
      <c r="M1518" s="5" t="s">
        <v>267</v>
      </c>
      <c r="N1518" s="5" t="s">
        <v>265</v>
      </c>
      <c r="O1518" s="5" t="s">
        <v>238</v>
      </c>
      <c r="P1518" s="5" t="s">
        <v>238</v>
      </c>
      <c r="Q1518" s="5" t="s">
        <v>268</v>
      </c>
      <c r="R1518" s="5" t="s">
        <v>270</v>
      </c>
      <c r="S1518" s="5" t="s">
        <v>238</v>
      </c>
      <c r="V1518" s="5" t="s">
        <v>238</v>
      </c>
      <c r="X1518" s="6" t="s">
        <v>238</v>
      </c>
      <c r="AA1518" s="6" t="s">
        <v>243</v>
      </c>
      <c r="AB1518" s="5" t="s">
        <v>238</v>
      </c>
      <c r="AC1518" s="5" t="s">
        <v>244</v>
      </c>
      <c r="AD1518" s="5" t="s">
        <v>245</v>
      </c>
      <c r="AT1518" s="5" t="s">
        <v>246</v>
      </c>
      <c r="AU1518" s="5" t="s">
        <v>238</v>
      </c>
      <c r="AV1518" s="5" t="s">
        <v>247</v>
      </c>
      <c r="AW1518" s="5" t="s">
        <v>238</v>
      </c>
      <c r="AX1518" s="5" t="s">
        <v>249</v>
      </c>
      <c r="AY1518" s="5" t="s">
        <v>238</v>
      </c>
      <c r="BA1518" s="5" t="s">
        <v>238</v>
      </c>
      <c r="BC1518" s="5" t="s">
        <v>250</v>
      </c>
      <c r="BD1518" s="6" t="s">
        <v>243</v>
      </c>
      <c r="BE1518" s="5" t="s">
        <v>251</v>
      </c>
      <c r="BF1518" s="5" t="s">
        <v>252</v>
      </c>
      <c r="BG1518" s="5" t="s">
        <v>238</v>
      </c>
      <c r="BH1518" s="7">
        <f>0</f>
        <v>0</v>
      </c>
      <c r="BI1518" s="8">
        <f>0</f>
        <v>0</v>
      </c>
      <c r="BJ1518" s="5" t="s">
        <v>253</v>
      </c>
      <c r="BK1518" s="5" t="s">
        <v>254</v>
      </c>
      <c r="BY1518" s="5" t="s">
        <v>238</v>
      </c>
      <c r="BZ1518" s="5" t="s">
        <v>238</v>
      </c>
      <c r="CD1518" s="5" t="s">
        <v>273</v>
      </c>
      <c r="CE1518" s="5" t="s">
        <v>256</v>
      </c>
      <c r="CF1518" s="5" t="s">
        <v>238</v>
      </c>
      <c r="CI1518" s="6" t="s">
        <v>257</v>
      </c>
      <c r="CJ1518" s="5" t="s">
        <v>238</v>
      </c>
      <c r="CK1518" s="5" t="s">
        <v>258</v>
      </c>
      <c r="CL1518" s="5" t="s">
        <v>238</v>
      </c>
      <c r="CM1518" s="5" t="s">
        <v>238</v>
      </c>
      <c r="CN1518" s="5">
        <v>0</v>
      </c>
      <c r="CO1518" s="5" t="s">
        <v>259</v>
      </c>
      <c r="CP1518" s="5" t="s">
        <v>260</v>
      </c>
      <c r="CQ1518" s="5" t="s">
        <v>260</v>
      </c>
      <c r="CR1518" s="5" t="s">
        <v>261</v>
      </c>
      <c r="CU1518" s="8">
        <f>1</f>
        <v>1</v>
      </c>
      <c r="CV1518" s="8">
        <f>0</f>
        <v>0</v>
      </c>
      <c r="CX1518" s="8">
        <f>0</f>
        <v>0</v>
      </c>
      <c r="CY1518" s="8">
        <f>1</f>
        <v>1</v>
      </c>
      <c r="DA1518" s="5" t="s">
        <v>673</v>
      </c>
      <c r="DB1518" s="5" t="s">
        <v>238</v>
      </c>
      <c r="DD1518" s="5" t="s">
        <v>673</v>
      </c>
      <c r="DE1518" s="8">
        <f>4549</f>
        <v>4549</v>
      </c>
      <c r="DG1518" s="5" t="s">
        <v>238</v>
      </c>
      <c r="DH1518" s="5" t="s">
        <v>238</v>
      </c>
      <c r="DI1518" s="5" t="s">
        <v>238</v>
      </c>
      <c r="DJ1518" s="5" t="s">
        <v>238</v>
      </c>
      <c r="DN1518" s="5" t="s">
        <v>238</v>
      </c>
      <c r="DO1518" s="5" t="s">
        <v>238</v>
      </c>
      <c r="DP1518" s="5" t="s">
        <v>238</v>
      </c>
      <c r="DQ1518" s="5" t="s">
        <v>238</v>
      </c>
      <c r="DT1518" s="5" t="s">
        <v>2039</v>
      </c>
      <c r="DU1518" s="5" t="s">
        <v>1683</v>
      </c>
      <c r="HM1518" s="5" t="s">
        <v>264</v>
      </c>
    </row>
    <row r="1519" spans="1:221" x14ac:dyDescent="0.4">
      <c r="A1519" s="5">
        <v>3194</v>
      </c>
      <c r="B1519" s="5">
        <v>1</v>
      </c>
      <c r="C1519" s="5">
        <v>1</v>
      </c>
      <c r="D1519" s="5" t="s">
        <v>2037</v>
      </c>
      <c r="E1519" s="5" t="s">
        <v>271</v>
      </c>
      <c r="F1519" s="5" t="s">
        <v>248</v>
      </c>
      <c r="G1519" s="5" t="s">
        <v>1969</v>
      </c>
      <c r="H1519" s="6" t="s">
        <v>2243</v>
      </c>
      <c r="I1519" s="7">
        <f>1440</f>
        <v>1440</v>
      </c>
      <c r="J1519" s="5" t="s">
        <v>262</v>
      </c>
      <c r="K1519" s="8">
        <f>1</f>
        <v>1</v>
      </c>
      <c r="L1519" s="6" t="s">
        <v>242</v>
      </c>
      <c r="M1519" s="5" t="s">
        <v>267</v>
      </c>
      <c r="N1519" s="5" t="s">
        <v>265</v>
      </c>
      <c r="O1519" s="5" t="s">
        <v>238</v>
      </c>
      <c r="P1519" s="5" t="s">
        <v>238</v>
      </c>
      <c r="Q1519" s="5" t="s">
        <v>268</v>
      </c>
      <c r="R1519" s="5" t="s">
        <v>270</v>
      </c>
      <c r="S1519" s="5" t="s">
        <v>238</v>
      </c>
      <c r="V1519" s="5" t="s">
        <v>238</v>
      </c>
      <c r="X1519" s="6" t="s">
        <v>238</v>
      </c>
      <c r="AA1519" s="6" t="s">
        <v>243</v>
      </c>
      <c r="AB1519" s="5" t="s">
        <v>238</v>
      </c>
      <c r="AC1519" s="5" t="s">
        <v>244</v>
      </c>
      <c r="AD1519" s="5" t="s">
        <v>245</v>
      </c>
      <c r="AT1519" s="5" t="s">
        <v>246</v>
      </c>
      <c r="AU1519" s="5" t="s">
        <v>238</v>
      </c>
      <c r="AV1519" s="5" t="s">
        <v>247</v>
      </c>
      <c r="AW1519" s="5" t="s">
        <v>238</v>
      </c>
      <c r="AX1519" s="5" t="s">
        <v>249</v>
      </c>
      <c r="AY1519" s="5" t="s">
        <v>238</v>
      </c>
      <c r="BA1519" s="5" t="s">
        <v>238</v>
      </c>
      <c r="BC1519" s="5" t="s">
        <v>250</v>
      </c>
      <c r="BD1519" s="6" t="s">
        <v>243</v>
      </c>
      <c r="BE1519" s="5" t="s">
        <v>251</v>
      </c>
      <c r="BF1519" s="5" t="s">
        <v>252</v>
      </c>
      <c r="BG1519" s="5" t="s">
        <v>238</v>
      </c>
      <c r="BH1519" s="7">
        <f>0</f>
        <v>0</v>
      </c>
      <c r="BI1519" s="8">
        <f>0</f>
        <v>0</v>
      </c>
      <c r="BJ1519" s="5" t="s">
        <v>253</v>
      </c>
      <c r="BK1519" s="5" t="s">
        <v>254</v>
      </c>
      <c r="BY1519" s="5" t="s">
        <v>238</v>
      </c>
      <c r="BZ1519" s="5" t="s">
        <v>238</v>
      </c>
      <c r="CD1519" s="5" t="s">
        <v>273</v>
      </c>
      <c r="CE1519" s="5" t="s">
        <v>256</v>
      </c>
      <c r="CF1519" s="5" t="s">
        <v>238</v>
      </c>
      <c r="CI1519" s="6" t="s">
        <v>257</v>
      </c>
      <c r="CJ1519" s="5" t="s">
        <v>238</v>
      </c>
      <c r="CK1519" s="5" t="s">
        <v>258</v>
      </c>
      <c r="CL1519" s="5" t="s">
        <v>238</v>
      </c>
      <c r="CM1519" s="5" t="s">
        <v>238</v>
      </c>
      <c r="CN1519" s="5">
        <v>0</v>
      </c>
      <c r="CO1519" s="5" t="s">
        <v>259</v>
      </c>
      <c r="CP1519" s="5" t="s">
        <v>260</v>
      </c>
      <c r="CQ1519" s="5" t="s">
        <v>260</v>
      </c>
      <c r="CR1519" s="5" t="s">
        <v>261</v>
      </c>
      <c r="CU1519" s="8">
        <f>1</f>
        <v>1</v>
      </c>
      <c r="CV1519" s="8">
        <f>0</f>
        <v>0</v>
      </c>
      <c r="CX1519" s="8">
        <f>0</f>
        <v>0</v>
      </c>
      <c r="CY1519" s="8">
        <f>1</f>
        <v>1</v>
      </c>
      <c r="DA1519" s="5" t="s">
        <v>673</v>
      </c>
      <c r="DB1519" s="5" t="s">
        <v>238</v>
      </c>
      <c r="DD1519" s="5" t="s">
        <v>673</v>
      </c>
      <c r="DE1519" s="8">
        <f>1440</f>
        <v>1440</v>
      </c>
      <c r="DG1519" s="5" t="s">
        <v>238</v>
      </c>
      <c r="DH1519" s="5" t="s">
        <v>238</v>
      </c>
      <c r="DI1519" s="5" t="s">
        <v>238</v>
      </c>
      <c r="DJ1519" s="5" t="s">
        <v>238</v>
      </c>
      <c r="DN1519" s="5" t="s">
        <v>238</v>
      </c>
      <c r="DO1519" s="5" t="s">
        <v>238</v>
      </c>
      <c r="DP1519" s="5" t="s">
        <v>238</v>
      </c>
      <c r="DQ1519" s="5" t="s">
        <v>238</v>
      </c>
      <c r="DT1519" s="5" t="s">
        <v>2039</v>
      </c>
      <c r="DU1519" s="5" t="s">
        <v>1681</v>
      </c>
      <c r="HM1519" s="5" t="s">
        <v>264</v>
      </c>
    </row>
    <row r="1520" spans="1:221" x14ac:dyDescent="0.4">
      <c r="A1520" s="5">
        <v>3195</v>
      </c>
      <c r="B1520" s="5">
        <v>1</v>
      </c>
      <c r="C1520" s="5">
        <v>1</v>
      </c>
      <c r="D1520" s="5" t="s">
        <v>2037</v>
      </c>
      <c r="E1520" s="5" t="s">
        <v>271</v>
      </c>
      <c r="F1520" s="5" t="s">
        <v>248</v>
      </c>
      <c r="G1520" s="5" t="s">
        <v>1969</v>
      </c>
      <c r="H1520" s="6" t="s">
        <v>2239</v>
      </c>
      <c r="I1520" s="7">
        <f>308</f>
        <v>308</v>
      </c>
      <c r="J1520" s="5" t="s">
        <v>262</v>
      </c>
      <c r="K1520" s="8">
        <f>1</f>
        <v>1</v>
      </c>
      <c r="L1520" s="6" t="s">
        <v>242</v>
      </c>
      <c r="M1520" s="5" t="s">
        <v>267</v>
      </c>
      <c r="N1520" s="5" t="s">
        <v>265</v>
      </c>
      <c r="O1520" s="5" t="s">
        <v>238</v>
      </c>
      <c r="P1520" s="5" t="s">
        <v>238</v>
      </c>
      <c r="Q1520" s="5" t="s">
        <v>268</v>
      </c>
      <c r="R1520" s="5" t="s">
        <v>270</v>
      </c>
      <c r="S1520" s="5" t="s">
        <v>238</v>
      </c>
      <c r="V1520" s="5" t="s">
        <v>238</v>
      </c>
      <c r="X1520" s="6" t="s">
        <v>238</v>
      </c>
      <c r="AA1520" s="6" t="s">
        <v>243</v>
      </c>
      <c r="AB1520" s="5" t="s">
        <v>238</v>
      </c>
      <c r="AC1520" s="5" t="s">
        <v>244</v>
      </c>
      <c r="AD1520" s="5" t="s">
        <v>245</v>
      </c>
      <c r="AT1520" s="5" t="s">
        <v>246</v>
      </c>
      <c r="AU1520" s="5" t="s">
        <v>238</v>
      </c>
      <c r="AV1520" s="5" t="s">
        <v>247</v>
      </c>
      <c r="AW1520" s="5" t="s">
        <v>238</v>
      </c>
      <c r="AX1520" s="5" t="s">
        <v>249</v>
      </c>
      <c r="AY1520" s="5" t="s">
        <v>238</v>
      </c>
      <c r="BA1520" s="5" t="s">
        <v>238</v>
      </c>
      <c r="BC1520" s="5" t="s">
        <v>250</v>
      </c>
      <c r="BD1520" s="6" t="s">
        <v>243</v>
      </c>
      <c r="BE1520" s="5" t="s">
        <v>251</v>
      </c>
      <c r="BF1520" s="5" t="s">
        <v>252</v>
      </c>
      <c r="BG1520" s="5" t="s">
        <v>238</v>
      </c>
      <c r="BH1520" s="7">
        <f>0</f>
        <v>0</v>
      </c>
      <c r="BI1520" s="8">
        <f>0</f>
        <v>0</v>
      </c>
      <c r="BJ1520" s="5" t="s">
        <v>253</v>
      </c>
      <c r="BK1520" s="5" t="s">
        <v>254</v>
      </c>
      <c r="BY1520" s="5" t="s">
        <v>238</v>
      </c>
      <c r="BZ1520" s="5" t="s">
        <v>238</v>
      </c>
      <c r="CD1520" s="5" t="s">
        <v>273</v>
      </c>
      <c r="CE1520" s="5" t="s">
        <v>256</v>
      </c>
      <c r="CF1520" s="5" t="s">
        <v>238</v>
      </c>
      <c r="CI1520" s="6" t="s">
        <v>257</v>
      </c>
      <c r="CJ1520" s="5" t="s">
        <v>238</v>
      </c>
      <c r="CK1520" s="5" t="s">
        <v>258</v>
      </c>
      <c r="CL1520" s="5" t="s">
        <v>238</v>
      </c>
      <c r="CM1520" s="5" t="s">
        <v>238</v>
      </c>
      <c r="CN1520" s="5">
        <v>0</v>
      </c>
      <c r="CO1520" s="5" t="s">
        <v>259</v>
      </c>
      <c r="CP1520" s="5" t="s">
        <v>260</v>
      </c>
      <c r="CQ1520" s="5" t="s">
        <v>260</v>
      </c>
      <c r="CR1520" s="5" t="s">
        <v>261</v>
      </c>
      <c r="CU1520" s="8">
        <f>1</f>
        <v>1</v>
      </c>
      <c r="CV1520" s="8">
        <f>0</f>
        <v>0</v>
      </c>
      <c r="CX1520" s="8">
        <f>0</f>
        <v>0</v>
      </c>
      <c r="CY1520" s="8">
        <f>1</f>
        <v>1</v>
      </c>
      <c r="DA1520" s="5" t="s">
        <v>673</v>
      </c>
      <c r="DB1520" s="5" t="s">
        <v>238</v>
      </c>
      <c r="DD1520" s="5" t="s">
        <v>673</v>
      </c>
      <c r="DE1520" s="8">
        <f>308</f>
        <v>308</v>
      </c>
      <c r="DG1520" s="5" t="s">
        <v>238</v>
      </c>
      <c r="DH1520" s="5" t="s">
        <v>238</v>
      </c>
      <c r="DI1520" s="5" t="s">
        <v>238</v>
      </c>
      <c r="DJ1520" s="5" t="s">
        <v>238</v>
      </c>
      <c r="DN1520" s="5" t="s">
        <v>238</v>
      </c>
      <c r="DO1520" s="5" t="s">
        <v>238</v>
      </c>
      <c r="DP1520" s="5" t="s">
        <v>238</v>
      </c>
      <c r="DQ1520" s="5" t="s">
        <v>238</v>
      </c>
      <c r="DT1520" s="5" t="s">
        <v>2039</v>
      </c>
      <c r="DU1520" s="5" t="s">
        <v>388</v>
      </c>
      <c r="HM1520" s="5" t="s">
        <v>264</v>
      </c>
    </row>
    <row r="1521" spans="1:221" x14ac:dyDescent="0.4">
      <c r="A1521" s="5">
        <v>3196</v>
      </c>
      <c r="B1521" s="5">
        <v>1</v>
      </c>
      <c r="C1521" s="5">
        <v>1</v>
      </c>
      <c r="D1521" s="5" t="s">
        <v>2037</v>
      </c>
      <c r="E1521" s="5" t="s">
        <v>271</v>
      </c>
      <c r="F1521" s="5" t="s">
        <v>248</v>
      </c>
      <c r="G1521" s="5" t="s">
        <v>1969</v>
      </c>
      <c r="H1521" s="6" t="s">
        <v>2234</v>
      </c>
      <c r="I1521" s="7">
        <f>724</f>
        <v>724</v>
      </c>
      <c r="J1521" s="5" t="s">
        <v>262</v>
      </c>
      <c r="K1521" s="8">
        <f>1</f>
        <v>1</v>
      </c>
      <c r="L1521" s="6" t="s">
        <v>242</v>
      </c>
      <c r="M1521" s="5" t="s">
        <v>267</v>
      </c>
      <c r="N1521" s="5" t="s">
        <v>265</v>
      </c>
      <c r="O1521" s="5" t="s">
        <v>238</v>
      </c>
      <c r="P1521" s="5" t="s">
        <v>238</v>
      </c>
      <c r="Q1521" s="5" t="s">
        <v>268</v>
      </c>
      <c r="R1521" s="5" t="s">
        <v>270</v>
      </c>
      <c r="S1521" s="5" t="s">
        <v>238</v>
      </c>
      <c r="V1521" s="5" t="s">
        <v>238</v>
      </c>
      <c r="X1521" s="6" t="s">
        <v>238</v>
      </c>
      <c r="AA1521" s="6" t="s">
        <v>243</v>
      </c>
      <c r="AB1521" s="5" t="s">
        <v>238</v>
      </c>
      <c r="AC1521" s="5" t="s">
        <v>244</v>
      </c>
      <c r="AD1521" s="5" t="s">
        <v>245</v>
      </c>
      <c r="AT1521" s="5" t="s">
        <v>246</v>
      </c>
      <c r="AU1521" s="5" t="s">
        <v>238</v>
      </c>
      <c r="AV1521" s="5" t="s">
        <v>247</v>
      </c>
      <c r="AW1521" s="5" t="s">
        <v>238</v>
      </c>
      <c r="AX1521" s="5" t="s">
        <v>249</v>
      </c>
      <c r="AY1521" s="5" t="s">
        <v>238</v>
      </c>
      <c r="BA1521" s="5" t="s">
        <v>238</v>
      </c>
      <c r="BC1521" s="5" t="s">
        <v>250</v>
      </c>
      <c r="BD1521" s="6" t="s">
        <v>243</v>
      </c>
      <c r="BE1521" s="5" t="s">
        <v>251</v>
      </c>
      <c r="BF1521" s="5" t="s">
        <v>252</v>
      </c>
      <c r="BG1521" s="5" t="s">
        <v>238</v>
      </c>
      <c r="BH1521" s="7">
        <f>0</f>
        <v>0</v>
      </c>
      <c r="BI1521" s="8">
        <f>0</f>
        <v>0</v>
      </c>
      <c r="BJ1521" s="5" t="s">
        <v>253</v>
      </c>
      <c r="BK1521" s="5" t="s">
        <v>254</v>
      </c>
      <c r="BY1521" s="5" t="s">
        <v>238</v>
      </c>
      <c r="BZ1521" s="5" t="s">
        <v>238</v>
      </c>
      <c r="CD1521" s="5" t="s">
        <v>273</v>
      </c>
      <c r="CE1521" s="5" t="s">
        <v>256</v>
      </c>
      <c r="CF1521" s="5" t="s">
        <v>238</v>
      </c>
      <c r="CI1521" s="6" t="s">
        <v>257</v>
      </c>
      <c r="CJ1521" s="5" t="s">
        <v>238</v>
      </c>
      <c r="CK1521" s="5" t="s">
        <v>258</v>
      </c>
      <c r="CL1521" s="5" t="s">
        <v>238</v>
      </c>
      <c r="CM1521" s="5" t="s">
        <v>238</v>
      </c>
      <c r="CN1521" s="5">
        <v>0</v>
      </c>
      <c r="CO1521" s="5" t="s">
        <v>259</v>
      </c>
      <c r="CP1521" s="5" t="s">
        <v>260</v>
      </c>
      <c r="CQ1521" s="5" t="s">
        <v>260</v>
      </c>
      <c r="CR1521" s="5" t="s">
        <v>261</v>
      </c>
      <c r="CU1521" s="8">
        <f>1</f>
        <v>1</v>
      </c>
      <c r="CV1521" s="8">
        <f>0</f>
        <v>0</v>
      </c>
      <c r="CX1521" s="8">
        <f>0</f>
        <v>0</v>
      </c>
      <c r="CY1521" s="8">
        <f>1</f>
        <v>1</v>
      </c>
      <c r="DA1521" s="5" t="s">
        <v>673</v>
      </c>
      <c r="DB1521" s="5" t="s">
        <v>238</v>
      </c>
      <c r="DD1521" s="5" t="s">
        <v>673</v>
      </c>
      <c r="DE1521" s="8">
        <f>724</f>
        <v>724</v>
      </c>
      <c r="DG1521" s="5" t="s">
        <v>238</v>
      </c>
      <c r="DH1521" s="5" t="s">
        <v>238</v>
      </c>
      <c r="DI1521" s="5" t="s">
        <v>238</v>
      </c>
      <c r="DJ1521" s="5" t="s">
        <v>238</v>
      </c>
      <c r="DN1521" s="5" t="s">
        <v>238</v>
      </c>
      <c r="DO1521" s="5" t="s">
        <v>238</v>
      </c>
      <c r="DP1521" s="5" t="s">
        <v>238</v>
      </c>
      <c r="DQ1521" s="5" t="s">
        <v>238</v>
      </c>
      <c r="DT1521" s="5" t="s">
        <v>2039</v>
      </c>
      <c r="DU1521" s="5" t="s">
        <v>1675</v>
      </c>
      <c r="HM1521" s="5" t="s">
        <v>264</v>
      </c>
    </row>
    <row r="1522" spans="1:221" x14ac:dyDescent="0.4">
      <c r="A1522" s="5">
        <v>3197</v>
      </c>
      <c r="B1522" s="5">
        <v>1</v>
      </c>
      <c r="C1522" s="5">
        <v>1</v>
      </c>
      <c r="D1522" s="5" t="s">
        <v>2037</v>
      </c>
      <c r="E1522" s="5" t="s">
        <v>271</v>
      </c>
      <c r="F1522" s="5" t="s">
        <v>248</v>
      </c>
      <c r="G1522" s="5" t="s">
        <v>1969</v>
      </c>
      <c r="H1522" s="6" t="s">
        <v>2230</v>
      </c>
      <c r="I1522" s="7">
        <f>1460</f>
        <v>1460</v>
      </c>
      <c r="J1522" s="5" t="s">
        <v>262</v>
      </c>
      <c r="K1522" s="8">
        <f>1</f>
        <v>1</v>
      </c>
      <c r="L1522" s="6" t="s">
        <v>242</v>
      </c>
      <c r="M1522" s="5" t="s">
        <v>267</v>
      </c>
      <c r="N1522" s="5" t="s">
        <v>265</v>
      </c>
      <c r="O1522" s="5" t="s">
        <v>238</v>
      </c>
      <c r="P1522" s="5" t="s">
        <v>238</v>
      </c>
      <c r="Q1522" s="5" t="s">
        <v>268</v>
      </c>
      <c r="R1522" s="5" t="s">
        <v>270</v>
      </c>
      <c r="S1522" s="5" t="s">
        <v>238</v>
      </c>
      <c r="V1522" s="5" t="s">
        <v>238</v>
      </c>
      <c r="X1522" s="6" t="s">
        <v>238</v>
      </c>
      <c r="AA1522" s="6" t="s">
        <v>243</v>
      </c>
      <c r="AB1522" s="5" t="s">
        <v>238</v>
      </c>
      <c r="AC1522" s="5" t="s">
        <v>244</v>
      </c>
      <c r="AD1522" s="5" t="s">
        <v>245</v>
      </c>
      <c r="AT1522" s="5" t="s">
        <v>246</v>
      </c>
      <c r="AU1522" s="5" t="s">
        <v>238</v>
      </c>
      <c r="AV1522" s="5" t="s">
        <v>247</v>
      </c>
      <c r="AW1522" s="5" t="s">
        <v>238</v>
      </c>
      <c r="AX1522" s="5" t="s">
        <v>249</v>
      </c>
      <c r="AY1522" s="5" t="s">
        <v>238</v>
      </c>
      <c r="BA1522" s="5" t="s">
        <v>238</v>
      </c>
      <c r="BC1522" s="5" t="s">
        <v>250</v>
      </c>
      <c r="BD1522" s="6" t="s">
        <v>243</v>
      </c>
      <c r="BE1522" s="5" t="s">
        <v>251</v>
      </c>
      <c r="BF1522" s="5" t="s">
        <v>252</v>
      </c>
      <c r="BG1522" s="5" t="s">
        <v>238</v>
      </c>
      <c r="BH1522" s="7">
        <f>0</f>
        <v>0</v>
      </c>
      <c r="BI1522" s="8">
        <f>0</f>
        <v>0</v>
      </c>
      <c r="BJ1522" s="5" t="s">
        <v>253</v>
      </c>
      <c r="BK1522" s="5" t="s">
        <v>254</v>
      </c>
      <c r="BY1522" s="5" t="s">
        <v>238</v>
      </c>
      <c r="BZ1522" s="5" t="s">
        <v>238</v>
      </c>
      <c r="CD1522" s="5" t="s">
        <v>273</v>
      </c>
      <c r="CE1522" s="5" t="s">
        <v>256</v>
      </c>
      <c r="CF1522" s="5" t="s">
        <v>238</v>
      </c>
      <c r="CI1522" s="6" t="s">
        <v>257</v>
      </c>
      <c r="CJ1522" s="5" t="s">
        <v>238</v>
      </c>
      <c r="CK1522" s="5" t="s">
        <v>258</v>
      </c>
      <c r="CL1522" s="5" t="s">
        <v>238</v>
      </c>
      <c r="CM1522" s="5" t="s">
        <v>238</v>
      </c>
      <c r="CN1522" s="5">
        <v>0</v>
      </c>
      <c r="CO1522" s="5" t="s">
        <v>259</v>
      </c>
      <c r="CP1522" s="5" t="s">
        <v>260</v>
      </c>
      <c r="CQ1522" s="5" t="s">
        <v>260</v>
      </c>
      <c r="CR1522" s="5" t="s">
        <v>261</v>
      </c>
      <c r="CU1522" s="8">
        <f>1</f>
        <v>1</v>
      </c>
      <c r="CV1522" s="8">
        <f>0</f>
        <v>0</v>
      </c>
      <c r="CX1522" s="8">
        <f>0</f>
        <v>0</v>
      </c>
      <c r="CY1522" s="8">
        <f>1</f>
        <v>1</v>
      </c>
      <c r="DA1522" s="5" t="s">
        <v>673</v>
      </c>
      <c r="DB1522" s="5" t="s">
        <v>238</v>
      </c>
      <c r="DD1522" s="5" t="s">
        <v>673</v>
      </c>
      <c r="DE1522" s="8">
        <f>1460</f>
        <v>1460</v>
      </c>
      <c r="DG1522" s="5" t="s">
        <v>238</v>
      </c>
      <c r="DH1522" s="5" t="s">
        <v>238</v>
      </c>
      <c r="DI1522" s="5" t="s">
        <v>238</v>
      </c>
      <c r="DJ1522" s="5" t="s">
        <v>238</v>
      </c>
      <c r="DN1522" s="5" t="s">
        <v>238</v>
      </c>
      <c r="DO1522" s="5" t="s">
        <v>238</v>
      </c>
      <c r="DP1522" s="5" t="s">
        <v>238</v>
      </c>
      <c r="DQ1522" s="5" t="s">
        <v>238</v>
      </c>
      <c r="DT1522" s="5" t="s">
        <v>2039</v>
      </c>
      <c r="DU1522" s="5" t="s">
        <v>1673</v>
      </c>
      <c r="HM1522" s="5" t="s">
        <v>264</v>
      </c>
    </row>
    <row r="1523" spans="1:221" x14ac:dyDescent="0.4">
      <c r="A1523" s="5">
        <v>3198</v>
      </c>
      <c r="B1523" s="5">
        <v>1</v>
      </c>
      <c r="C1523" s="5">
        <v>1</v>
      </c>
      <c r="D1523" s="5" t="s">
        <v>2037</v>
      </c>
      <c r="E1523" s="5" t="s">
        <v>271</v>
      </c>
      <c r="F1523" s="5" t="s">
        <v>248</v>
      </c>
      <c r="G1523" s="5" t="s">
        <v>1969</v>
      </c>
      <c r="H1523" s="6" t="s">
        <v>2229</v>
      </c>
      <c r="I1523" s="7">
        <f>1474</f>
        <v>1474</v>
      </c>
      <c r="J1523" s="5" t="s">
        <v>262</v>
      </c>
      <c r="K1523" s="8">
        <f>1</f>
        <v>1</v>
      </c>
      <c r="L1523" s="6" t="s">
        <v>242</v>
      </c>
      <c r="M1523" s="5" t="s">
        <v>267</v>
      </c>
      <c r="N1523" s="5" t="s">
        <v>265</v>
      </c>
      <c r="O1523" s="5" t="s">
        <v>238</v>
      </c>
      <c r="P1523" s="5" t="s">
        <v>238</v>
      </c>
      <c r="Q1523" s="5" t="s">
        <v>268</v>
      </c>
      <c r="R1523" s="5" t="s">
        <v>270</v>
      </c>
      <c r="S1523" s="5" t="s">
        <v>238</v>
      </c>
      <c r="V1523" s="5" t="s">
        <v>238</v>
      </c>
      <c r="X1523" s="6" t="s">
        <v>238</v>
      </c>
      <c r="AA1523" s="6" t="s">
        <v>243</v>
      </c>
      <c r="AB1523" s="5" t="s">
        <v>238</v>
      </c>
      <c r="AC1523" s="5" t="s">
        <v>244</v>
      </c>
      <c r="AD1523" s="5" t="s">
        <v>245</v>
      </c>
      <c r="AT1523" s="5" t="s">
        <v>246</v>
      </c>
      <c r="AU1523" s="5" t="s">
        <v>238</v>
      </c>
      <c r="AV1523" s="5" t="s">
        <v>247</v>
      </c>
      <c r="AW1523" s="5" t="s">
        <v>238</v>
      </c>
      <c r="AX1523" s="5" t="s">
        <v>249</v>
      </c>
      <c r="AY1523" s="5" t="s">
        <v>238</v>
      </c>
      <c r="BA1523" s="5" t="s">
        <v>238</v>
      </c>
      <c r="BC1523" s="5" t="s">
        <v>250</v>
      </c>
      <c r="BD1523" s="6" t="s">
        <v>243</v>
      </c>
      <c r="BE1523" s="5" t="s">
        <v>251</v>
      </c>
      <c r="BF1523" s="5" t="s">
        <v>252</v>
      </c>
      <c r="BG1523" s="5" t="s">
        <v>238</v>
      </c>
      <c r="BH1523" s="7">
        <f>0</f>
        <v>0</v>
      </c>
      <c r="BI1523" s="8">
        <f>0</f>
        <v>0</v>
      </c>
      <c r="BJ1523" s="5" t="s">
        <v>253</v>
      </c>
      <c r="BK1523" s="5" t="s">
        <v>254</v>
      </c>
      <c r="BY1523" s="5" t="s">
        <v>238</v>
      </c>
      <c r="BZ1523" s="5" t="s">
        <v>238</v>
      </c>
      <c r="CD1523" s="5" t="s">
        <v>273</v>
      </c>
      <c r="CE1523" s="5" t="s">
        <v>256</v>
      </c>
      <c r="CF1523" s="5" t="s">
        <v>238</v>
      </c>
      <c r="CI1523" s="6" t="s">
        <v>257</v>
      </c>
      <c r="CJ1523" s="5" t="s">
        <v>238</v>
      </c>
      <c r="CK1523" s="5" t="s">
        <v>258</v>
      </c>
      <c r="CL1523" s="5" t="s">
        <v>238</v>
      </c>
      <c r="CM1523" s="5" t="s">
        <v>238</v>
      </c>
      <c r="CN1523" s="5">
        <v>0</v>
      </c>
      <c r="CO1523" s="5" t="s">
        <v>259</v>
      </c>
      <c r="CP1523" s="5" t="s">
        <v>260</v>
      </c>
      <c r="CQ1523" s="5" t="s">
        <v>260</v>
      </c>
      <c r="CR1523" s="5" t="s">
        <v>261</v>
      </c>
      <c r="CU1523" s="8">
        <f>1</f>
        <v>1</v>
      </c>
      <c r="CV1523" s="8">
        <f>0</f>
        <v>0</v>
      </c>
      <c r="CX1523" s="8">
        <f>0</f>
        <v>0</v>
      </c>
      <c r="CY1523" s="8">
        <f>1</f>
        <v>1</v>
      </c>
      <c r="DA1523" s="5" t="s">
        <v>673</v>
      </c>
      <c r="DB1523" s="5" t="s">
        <v>238</v>
      </c>
      <c r="DD1523" s="5" t="s">
        <v>673</v>
      </c>
      <c r="DE1523" s="8">
        <f>1474</f>
        <v>1474</v>
      </c>
      <c r="DG1523" s="5" t="s">
        <v>238</v>
      </c>
      <c r="DH1523" s="5" t="s">
        <v>238</v>
      </c>
      <c r="DI1523" s="5" t="s">
        <v>238</v>
      </c>
      <c r="DJ1523" s="5" t="s">
        <v>238</v>
      </c>
      <c r="DN1523" s="5" t="s">
        <v>238</v>
      </c>
      <c r="DO1523" s="5" t="s">
        <v>238</v>
      </c>
      <c r="DP1523" s="5" t="s">
        <v>238</v>
      </c>
      <c r="DQ1523" s="5" t="s">
        <v>238</v>
      </c>
      <c r="DT1523" s="5" t="s">
        <v>2039</v>
      </c>
      <c r="DU1523" s="5" t="s">
        <v>1667</v>
      </c>
      <c r="HM1523" s="5" t="s">
        <v>264</v>
      </c>
    </row>
    <row r="1524" spans="1:221" x14ac:dyDescent="0.4">
      <c r="A1524" s="5">
        <v>3199</v>
      </c>
      <c r="B1524" s="5">
        <v>1</v>
      </c>
      <c r="C1524" s="5">
        <v>1</v>
      </c>
      <c r="D1524" s="5" t="s">
        <v>2037</v>
      </c>
      <c r="E1524" s="5" t="s">
        <v>271</v>
      </c>
      <c r="F1524" s="5" t="s">
        <v>248</v>
      </c>
      <c r="G1524" s="5" t="s">
        <v>1969</v>
      </c>
      <c r="H1524" s="6" t="s">
        <v>2223</v>
      </c>
      <c r="I1524" s="7">
        <f>1314</f>
        <v>1314</v>
      </c>
      <c r="J1524" s="5" t="s">
        <v>262</v>
      </c>
      <c r="K1524" s="8">
        <f>1</f>
        <v>1</v>
      </c>
      <c r="L1524" s="6" t="s">
        <v>242</v>
      </c>
      <c r="M1524" s="5" t="s">
        <v>267</v>
      </c>
      <c r="N1524" s="5" t="s">
        <v>265</v>
      </c>
      <c r="O1524" s="5" t="s">
        <v>238</v>
      </c>
      <c r="P1524" s="5" t="s">
        <v>238</v>
      </c>
      <c r="Q1524" s="5" t="s">
        <v>268</v>
      </c>
      <c r="R1524" s="5" t="s">
        <v>270</v>
      </c>
      <c r="S1524" s="5" t="s">
        <v>238</v>
      </c>
      <c r="V1524" s="5" t="s">
        <v>238</v>
      </c>
      <c r="X1524" s="6" t="s">
        <v>238</v>
      </c>
      <c r="AA1524" s="6" t="s">
        <v>243</v>
      </c>
      <c r="AB1524" s="5" t="s">
        <v>238</v>
      </c>
      <c r="AC1524" s="5" t="s">
        <v>244</v>
      </c>
      <c r="AD1524" s="5" t="s">
        <v>245</v>
      </c>
      <c r="AT1524" s="5" t="s">
        <v>246</v>
      </c>
      <c r="AU1524" s="5" t="s">
        <v>238</v>
      </c>
      <c r="AV1524" s="5" t="s">
        <v>247</v>
      </c>
      <c r="AW1524" s="5" t="s">
        <v>238</v>
      </c>
      <c r="AX1524" s="5" t="s">
        <v>249</v>
      </c>
      <c r="AY1524" s="5" t="s">
        <v>238</v>
      </c>
      <c r="BA1524" s="5" t="s">
        <v>238</v>
      </c>
      <c r="BC1524" s="5" t="s">
        <v>250</v>
      </c>
      <c r="BD1524" s="6" t="s">
        <v>243</v>
      </c>
      <c r="BE1524" s="5" t="s">
        <v>251</v>
      </c>
      <c r="BF1524" s="5" t="s">
        <v>252</v>
      </c>
      <c r="BG1524" s="5" t="s">
        <v>238</v>
      </c>
      <c r="BH1524" s="7">
        <f>0</f>
        <v>0</v>
      </c>
      <c r="BI1524" s="8">
        <f>0</f>
        <v>0</v>
      </c>
      <c r="BJ1524" s="5" t="s">
        <v>253</v>
      </c>
      <c r="BK1524" s="5" t="s">
        <v>254</v>
      </c>
      <c r="BY1524" s="5" t="s">
        <v>238</v>
      </c>
      <c r="BZ1524" s="5" t="s">
        <v>238</v>
      </c>
      <c r="CD1524" s="5" t="s">
        <v>273</v>
      </c>
      <c r="CE1524" s="5" t="s">
        <v>256</v>
      </c>
      <c r="CF1524" s="5" t="s">
        <v>238</v>
      </c>
      <c r="CI1524" s="6" t="s">
        <v>257</v>
      </c>
      <c r="CJ1524" s="5" t="s">
        <v>238</v>
      </c>
      <c r="CK1524" s="5" t="s">
        <v>258</v>
      </c>
      <c r="CL1524" s="5" t="s">
        <v>238</v>
      </c>
      <c r="CM1524" s="5" t="s">
        <v>238</v>
      </c>
      <c r="CN1524" s="5">
        <v>0</v>
      </c>
      <c r="CO1524" s="5" t="s">
        <v>259</v>
      </c>
      <c r="CP1524" s="5" t="s">
        <v>260</v>
      </c>
      <c r="CQ1524" s="5" t="s">
        <v>260</v>
      </c>
      <c r="CR1524" s="5" t="s">
        <v>261</v>
      </c>
      <c r="CU1524" s="8">
        <f>1</f>
        <v>1</v>
      </c>
      <c r="CV1524" s="8">
        <f>0</f>
        <v>0</v>
      </c>
      <c r="CX1524" s="8">
        <f>0</f>
        <v>0</v>
      </c>
      <c r="CY1524" s="8">
        <f>1</f>
        <v>1</v>
      </c>
      <c r="DA1524" s="5" t="s">
        <v>673</v>
      </c>
      <c r="DB1524" s="5" t="s">
        <v>238</v>
      </c>
      <c r="DD1524" s="5" t="s">
        <v>673</v>
      </c>
      <c r="DE1524" s="8">
        <f>1314</f>
        <v>1314</v>
      </c>
      <c r="DG1524" s="5" t="s">
        <v>238</v>
      </c>
      <c r="DH1524" s="5" t="s">
        <v>238</v>
      </c>
      <c r="DI1524" s="5" t="s">
        <v>238</v>
      </c>
      <c r="DJ1524" s="5" t="s">
        <v>238</v>
      </c>
      <c r="DN1524" s="5" t="s">
        <v>238</v>
      </c>
      <c r="DO1524" s="5" t="s">
        <v>238</v>
      </c>
      <c r="DP1524" s="5" t="s">
        <v>238</v>
      </c>
      <c r="DQ1524" s="5" t="s">
        <v>238</v>
      </c>
      <c r="DT1524" s="5" t="s">
        <v>2039</v>
      </c>
      <c r="DU1524" s="5" t="s">
        <v>1665</v>
      </c>
      <c r="HM1524" s="5" t="s">
        <v>264</v>
      </c>
    </row>
    <row r="1525" spans="1:221" x14ac:dyDescent="0.4">
      <c r="A1525" s="5">
        <v>3200</v>
      </c>
      <c r="B1525" s="5">
        <v>1</v>
      </c>
      <c r="C1525" s="5">
        <v>1</v>
      </c>
      <c r="D1525" s="5" t="s">
        <v>2037</v>
      </c>
      <c r="E1525" s="5" t="s">
        <v>271</v>
      </c>
      <c r="F1525" s="5" t="s">
        <v>248</v>
      </c>
      <c r="G1525" s="5" t="s">
        <v>1969</v>
      </c>
      <c r="H1525" s="6" t="s">
        <v>2222</v>
      </c>
      <c r="I1525" s="7">
        <f>852</f>
        <v>852</v>
      </c>
      <c r="J1525" s="5" t="s">
        <v>262</v>
      </c>
      <c r="K1525" s="8">
        <f>1</f>
        <v>1</v>
      </c>
      <c r="L1525" s="6" t="s">
        <v>242</v>
      </c>
      <c r="M1525" s="5" t="s">
        <v>267</v>
      </c>
      <c r="N1525" s="5" t="s">
        <v>265</v>
      </c>
      <c r="O1525" s="5" t="s">
        <v>238</v>
      </c>
      <c r="P1525" s="5" t="s">
        <v>238</v>
      </c>
      <c r="Q1525" s="5" t="s">
        <v>268</v>
      </c>
      <c r="R1525" s="5" t="s">
        <v>270</v>
      </c>
      <c r="S1525" s="5" t="s">
        <v>238</v>
      </c>
      <c r="V1525" s="5" t="s">
        <v>238</v>
      </c>
      <c r="X1525" s="6" t="s">
        <v>238</v>
      </c>
      <c r="AA1525" s="6" t="s">
        <v>243</v>
      </c>
      <c r="AB1525" s="5" t="s">
        <v>238</v>
      </c>
      <c r="AC1525" s="5" t="s">
        <v>244</v>
      </c>
      <c r="AD1525" s="5" t="s">
        <v>245</v>
      </c>
      <c r="AT1525" s="5" t="s">
        <v>246</v>
      </c>
      <c r="AU1525" s="5" t="s">
        <v>238</v>
      </c>
      <c r="AV1525" s="5" t="s">
        <v>247</v>
      </c>
      <c r="AW1525" s="5" t="s">
        <v>238</v>
      </c>
      <c r="AX1525" s="5" t="s">
        <v>249</v>
      </c>
      <c r="AY1525" s="5" t="s">
        <v>238</v>
      </c>
      <c r="BA1525" s="5" t="s">
        <v>238</v>
      </c>
      <c r="BC1525" s="5" t="s">
        <v>250</v>
      </c>
      <c r="BD1525" s="6" t="s">
        <v>243</v>
      </c>
      <c r="BE1525" s="5" t="s">
        <v>251</v>
      </c>
      <c r="BF1525" s="5" t="s">
        <v>252</v>
      </c>
      <c r="BG1525" s="5" t="s">
        <v>238</v>
      </c>
      <c r="BH1525" s="7">
        <f>0</f>
        <v>0</v>
      </c>
      <c r="BI1525" s="8">
        <f>0</f>
        <v>0</v>
      </c>
      <c r="BJ1525" s="5" t="s">
        <v>253</v>
      </c>
      <c r="BK1525" s="5" t="s">
        <v>254</v>
      </c>
      <c r="BY1525" s="5" t="s">
        <v>238</v>
      </c>
      <c r="BZ1525" s="5" t="s">
        <v>238</v>
      </c>
      <c r="CD1525" s="5" t="s">
        <v>273</v>
      </c>
      <c r="CE1525" s="5" t="s">
        <v>256</v>
      </c>
      <c r="CF1525" s="5" t="s">
        <v>238</v>
      </c>
      <c r="CI1525" s="6" t="s">
        <v>257</v>
      </c>
      <c r="CJ1525" s="5" t="s">
        <v>238</v>
      </c>
      <c r="CK1525" s="5" t="s">
        <v>258</v>
      </c>
      <c r="CL1525" s="5" t="s">
        <v>238</v>
      </c>
      <c r="CM1525" s="5" t="s">
        <v>238</v>
      </c>
      <c r="CN1525" s="5">
        <v>0</v>
      </c>
      <c r="CO1525" s="5" t="s">
        <v>259</v>
      </c>
      <c r="CP1525" s="5" t="s">
        <v>260</v>
      </c>
      <c r="CQ1525" s="5" t="s">
        <v>260</v>
      </c>
      <c r="CR1525" s="5" t="s">
        <v>261</v>
      </c>
      <c r="CU1525" s="8">
        <f>1</f>
        <v>1</v>
      </c>
      <c r="CV1525" s="8">
        <f>0</f>
        <v>0</v>
      </c>
      <c r="CX1525" s="8">
        <f>0</f>
        <v>0</v>
      </c>
      <c r="CY1525" s="8">
        <f>1</f>
        <v>1</v>
      </c>
      <c r="DA1525" s="5" t="s">
        <v>673</v>
      </c>
      <c r="DB1525" s="5" t="s">
        <v>238</v>
      </c>
      <c r="DD1525" s="5" t="s">
        <v>673</v>
      </c>
      <c r="DE1525" s="8">
        <f>852</f>
        <v>852</v>
      </c>
      <c r="DG1525" s="5" t="s">
        <v>238</v>
      </c>
      <c r="DH1525" s="5" t="s">
        <v>238</v>
      </c>
      <c r="DI1525" s="5" t="s">
        <v>238</v>
      </c>
      <c r="DJ1525" s="5" t="s">
        <v>238</v>
      </c>
      <c r="DN1525" s="5" t="s">
        <v>238</v>
      </c>
      <c r="DO1525" s="5" t="s">
        <v>238</v>
      </c>
      <c r="DP1525" s="5" t="s">
        <v>238</v>
      </c>
      <c r="DQ1525" s="5" t="s">
        <v>238</v>
      </c>
      <c r="DT1525" s="5" t="s">
        <v>2039</v>
      </c>
      <c r="DU1525" s="5" t="s">
        <v>1663</v>
      </c>
      <c r="HM1525" s="5" t="s">
        <v>264</v>
      </c>
    </row>
    <row r="1526" spans="1:221" x14ac:dyDescent="0.4">
      <c r="A1526" s="5">
        <v>3201</v>
      </c>
      <c r="B1526" s="5">
        <v>1</v>
      </c>
      <c r="C1526" s="5">
        <v>1</v>
      </c>
      <c r="D1526" s="5" t="s">
        <v>2037</v>
      </c>
      <c r="E1526" s="5" t="s">
        <v>271</v>
      </c>
      <c r="F1526" s="5" t="s">
        <v>248</v>
      </c>
      <c r="G1526" s="5" t="s">
        <v>1969</v>
      </c>
      <c r="H1526" s="6" t="s">
        <v>2219</v>
      </c>
      <c r="I1526" s="7">
        <f>648</f>
        <v>648</v>
      </c>
      <c r="J1526" s="5" t="s">
        <v>262</v>
      </c>
      <c r="K1526" s="8">
        <f>1</f>
        <v>1</v>
      </c>
      <c r="L1526" s="6" t="s">
        <v>242</v>
      </c>
      <c r="M1526" s="5" t="s">
        <v>267</v>
      </c>
      <c r="N1526" s="5" t="s">
        <v>265</v>
      </c>
      <c r="O1526" s="5" t="s">
        <v>238</v>
      </c>
      <c r="P1526" s="5" t="s">
        <v>238</v>
      </c>
      <c r="Q1526" s="5" t="s">
        <v>268</v>
      </c>
      <c r="R1526" s="5" t="s">
        <v>270</v>
      </c>
      <c r="S1526" s="5" t="s">
        <v>238</v>
      </c>
      <c r="V1526" s="5" t="s">
        <v>238</v>
      </c>
      <c r="X1526" s="6" t="s">
        <v>238</v>
      </c>
      <c r="AA1526" s="6" t="s">
        <v>243</v>
      </c>
      <c r="AB1526" s="5" t="s">
        <v>238</v>
      </c>
      <c r="AC1526" s="5" t="s">
        <v>244</v>
      </c>
      <c r="AD1526" s="5" t="s">
        <v>245</v>
      </c>
      <c r="AT1526" s="5" t="s">
        <v>246</v>
      </c>
      <c r="AU1526" s="5" t="s">
        <v>238</v>
      </c>
      <c r="AV1526" s="5" t="s">
        <v>247</v>
      </c>
      <c r="AW1526" s="5" t="s">
        <v>238</v>
      </c>
      <c r="AX1526" s="5" t="s">
        <v>249</v>
      </c>
      <c r="AY1526" s="5" t="s">
        <v>238</v>
      </c>
      <c r="BA1526" s="5" t="s">
        <v>238</v>
      </c>
      <c r="BC1526" s="5" t="s">
        <v>250</v>
      </c>
      <c r="BD1526" s="6" t="s">
        <v>243</v>
      </c>
      <c r="BE1526" s="5" t="s">
        <v>251</v>
      </c>
      <c r="BF1526" s="5" t="s">
        <v>252</v>
      </c>
      <c r="BG1526" s="5" t="s">
        <v>238</v>
      </c>
      <c r="BH1526" s="7">
        <f>0</f>
        <v>0</v>
      </c>
      <c r="BI1526" s="8">
        <f>0</f>
        <v>0</v>
      </c>
      <c r="BJ1526" s="5" t="s">
        <v>253</v>
      </c>
      <c r="BK1526" s="5" t="s">
        <v>254</v>
      </c>
      <c r="BY1526" s="5" t="s">
        <v>238</v>
      </c>
      <c r="BZ1526" s="5" t="s">
        <v>238</v>
      </c>
      <c r="CD1526" s="5" t="s">
        <v>273</v>
      </c>
      <c r="CE1526" s="5" t="s">
        <v>256</v>
      </c>
      <c r="CF1526" s="5" t="s">
        <v>238</v>
      </c>
      <c r="CI1526" s="6" t="s">
        <v>257</v>
      </c>
      <c r="CJ1526" s="5" t="s">
        <v>238</v>
      </c>
      <c r="CK1526" s="5" t="s">
        <v>258</v>
      </c>
      <c r="CL1526" s="5" t="s">
        <v>238</v>
      </c>
      <c r="CM1526" s="5" t="s">
        <v>238</v>
      </c>
      <c r="CN1526" s="5">
        <v>0</v>
      </c>
      <c r="CO1526" s="5" t="s">
        <v>259</v>
      </c>
      <c r="CP1526" s="5" t="s">
        <v>260</v>
      </c>
      <c r="CQ1526" s="5" t="s">
        <v>260</v>
      </c>
      <c r="CR1526" s="5" t="s">
        <v>261</v>
      </c>
      <c r="CU1526" s="8">
        <f>1</f>
        <v>1</v>
      </c>
      <c r="CV1526" s="8">
        <f>0</f>
        <v>0</v>
      </c>
      <c r="CX1526" s="8">
        <f>0</f>
        <v>0</v>
      </c>
      <c r="CY1526" s="8">
        <f>1</f>
        <v>1</v>
      </c>
      <c r="DA1526" s="5" t="s">
        <v>673</v>
      </c>
      <c r="DB1526" s="5" t="s">
        <v>238</v>
      </c>
      <c r="DD1526" s="5" t="s">
        <v>673</v>
      </c>
      <c r="DE1526" s="8">
        <f>648</f>
        <v>648</v>
      </c>
      <c r="DG1526" s="5" t="s">
        <v>238</v>
      </c>
      <c r="DH1526" s="5" t="s">
        <v>238</v>
      </c>
      <c r="DI1526" s="5" t="s">
        <v>238</v>
      </c>
      <c r="DJ1526" s="5" t="s">
        <v>238</v>
      </c>
      <c r="DN1526" s="5" t="s">
        <v>238</v>
      </c>
      <c r="DO1526" s="5" t="s">
        <v>238</v>
      </c>
      <c r="DP1526" s="5" t="s">
        <v>238</v>
      </c>
      <c r="DQ1526" s="5" t="s">
        <v>238</v>
      </c>
      <c r="DT1526" s="5" t="s">
        <v>2039</v>
      </c>
      <c r="DU1526" s="5" t="s">
        <v>1658</v>
      </c>
      <c r="HM1526" s="5" t="s">
        <v>264</v>
      </c>
    </row>
    <row r="1527" spans="1:221" x14ac:dyDescent="0.4">
      <c r="A1527" s="5">
        <v>3202</v>
      </c>
      <c r="B1527" s="5">
        <v>1</v>
      </c>
      <c r="C1527" s="5">
        <v>1</v>
      </c>
      <c r="D1527" s="5" t="s">
        <v>2037</v>
      </c>
      <c r="E1527" s="5" t="s">
        <v>271</v>
      </c>
      <c r="F1527" s="5" t="s">
        <v>248</v>
      </c>
      <c r="G1527" s="5" t="s">
        <v>1969</v>
      </c>
      <c r="H1527" s="6" t="s">
        <v>2216</v>
      </c>
      <c r="I1527" s="7">
        <f>2041</f>
        <v>2041</v>
      </c>
      <c r="J1527" s="5" t="s">
        <v>262</v>
      </c>
      <c r="K1527" s="8">
        <f>1</f>
        <v>1</v>
      </c>
      <c r="L1527" s="6" t="s">
        <v>242</v>
      </c>
      <c r="M1527" s="5" t="s">
        <v>267</v>
      </c>
      <c r="N1527" s="5" t="s">
        <v>265</v>
      </c>
      <c r="O1527" s="5" t="s">
        <v>238</v>
      </c>
      <c r="P1527" s="5" t="s">
        <v>238</v>
      </c>
      <c r="Q1527" s="5" t="s">
        <v>268</v>
      </c>
      <c r="R1527" s="5" t="s">
        <v>270</v>
      </c>
      <c r="S1527" s="5" t="s">
        <v>238</v>
      </c>
      <c r="V1527" s="5" t="s">
        <v>238</v>
      </c>
      <c r="X1527" s="6" t="s">
        <v>238</v>
      </c>
      <c r="AA1527" s="6" t="s">
        <v>243</v>
      </c>
      <c r="AB1527" s="5" t="s">
        <v>238</v>
      </c>
      <c r="AC1527" s="5" t="s">
        <v>244</v>
      </c>
      <c r="AD1527" s="5" t="s">
        <v>245</v>
      </c>
      <c r="AT1527" s="5" t="s">
        <v>246</v>
      </c>
      <c r="AU1527" s="5" t="s">
        <v>238</v>
      </c>
      <c r="AV1527" s="5" t="s">
        <v>247</v>
      </c>
      <c r="AW1527" s="5" t="s">
        <v>238</v>
      </c>
      <c r="AX1527" s="5" t="s">
        <v>249</v>
      </c>
      <c r="AY1527" s="5" t="s">
        <v>238</v>
      </c>
      <c r="BA1527" s="5" t="s">
        <v>238</v>
      </c>
      <c r="BC1527" s="5" t="s">
        <v>250</v>
      </c>
      <c r="BD1527" s="6" t="s">
        <v>243</v>
      </c>
      <c r="BE1527" s="5" t="s">
        <v>251</v>
      </c>
      <c r="BF1527" s="5" t="s">
        <v>252</v>
      </c>
      <c r="BG1527" s="5" t="s">
        <v>238</v>
      </c>
      <c r="BH1527" s="7">
        <f>0</f>
        <v>0</v>
      </c>
      <c r="BI1527" s="8">
        <f>0</f>
        <v>0</v>
      </c>
      <c r="BJ1527" s="5" t="s">
        <v>253</v>
      </c>
      <c r="BK1527" s="5" t="s">
        <v>254</v>
      </c>
      <c r="BY1527" s="5" t="s">
        <v>238</v>
      </c>
      <c r="BZ1527" s="5" t="s">
        <v>238</v>
      </c>
      <c r="CD1527" s="5" t="s">
        <v>273</v>
      </c>
      <c r="CE1527" s="5" t="s">
        <v>256</v>
      </c>
      <c r="CF1527" s="5" t="s">
        <v>238</v>
      </c>
      <c r="CI1527" s="6" t="s">
        <v>257</v>
      </c>
      <c r="CJ1527" s="5" t="s">
        <v>238</v>
      </c>
      <c r="CK1527" s="5" t="s">
        <v>258</v>
      </c>
      <c r="CL1527" s="5" t="s">
        <v>238</v>
      </c>
      <c r="CM1527" s="5" t="s">
        <v>238</v>
      </c>
      <c r="CN1527" s="5">
        <v>0</v>
      </c>
      <c r="CO1527" s="5" t="s">
        <v>259</v>
      </c>
      <c r="CP1527" s="5" t="s">
        <v>260</v>
      </c>
      <c r="CQ1527" s="5" t="s">
        <v>260</v>
      </c>
      <c r="CR1527" s="5" t="s">
        <v>261</v>
      </c>
      <c r="CU1527" s="8">
        <f>1</f>
        <v>1</v>
      </c>
      <c r="CV1527" s="8">
        <f>0</f>
        <v>0</v>
      </c>
      <c r="CX1527" s="8">
        <f>0</f>
        <v>0</v>
      </c>
      <c r="CY1527" s="8">
        <f>1</f>
        <v>1</v>
      </c>
      <c r="DA1527" s="5" t="s">
        <v>673</v>
      </c>
      <c r="DB1527" s="5" t="s">
        <v>238</v>
      </c>
      <c r="DD1527" s="5" t="s">
        <v>673</v>
      </c>
      <c r="DE1527" s="8">
        <f>2041</f>
        <v>2041</v>
      </c>
      <c r="DG1527" s="5" t="s">
        <v>238</v>
      </c>
      <c r="DH1527" s="5" t="s">
        <v>238</v>
      </c>
      <c r="DI1527" s="5" t="s">
        <v>238</v>
      </c>
      <c r="DJ1527" s="5" t="s">
        <v>238</v>
      </c>
      <c r="DN1527" s="5" t="s">
        <v>238</v>
      </c>
      <c r="DO1527" s="5" t="s">
        <v>238</v>
      </c>
      <c r="DP1527" s="5" t="s">
        <v>238</v>
      </c>
      <c r="DQ1527" s="5" t="s">
        <v>238</v>
      </c>
      <c r="DT1527" s="5" t="s">
        <v>2039</v>
      </c>
      <c r="DU1527" s="5" t="s">
        <v>1648</v>
      </c>
      <c r="HM1527" s="5" t="s">
        <v>264</v>
      </c>
    </row>
    <row r="1528" spans="1:221" x14ac:dyDescent="0.4">
      <c r="A1528" s="5">
        <v>3203</v>
      </c>
      <c r="B1528" s="5">
        <v>1</v>
      </c>
      <c r="C1528" s="5">
        <v>1</v>
      </c>
      <c r="D1528" s="5" t="s">
        <v>2037</v>
      </c>
      <c r="E1528" s="5" t="s">
        <v>271</v>
      </c>
      <c r="F1528" s="5" t="s">
        <v>248</v>
      </c>
      <c r="G1528" s="5" t="s">
        <v>1969</v>
      </c>
      <c r="H1528" s="6" t="s">
        <v>2212</v>
      </c>
      <c r="I1528" s="7">
        <f>604</f>
        <v>604</v>
      </c>
      <c r="J1528" s="5" t="s">
        <v>262</v>
      </c>
      <c r="K1528" s="8">
        <f>1</f>
        <v>1</v>
      </c>
      <c r="L1528" s="6" t="s">
        <v>242</v>
      </c>
      <c r="M1528" s="5" t="s">
        <v>267</v>
      </c>
      <c r="N1528" s="5" t="s">
        <v>265</v>
      </c>
      <c r="O1528" s="5" t="s">
        <v>238</v>
      </c>
      <c r="P1528" s="5" t="s">
        <v>238</v>
      </c>
      <c r="Q1528" s="5" t="s">
        <v>268</v>
      </c>
      <c r="R1528" s="5" t="s">
        <v>270</v>
      </c>
      <c r="S1528" s="5" t="s">
        <v>238</v>
      </c>
      <c r="V1528" s="5" t="s">
        <v>238</v>
      </c>
      <c r="X1528" s="6" t="s">
        <v>238</v>
      </c>
      <c r="AA1528" s="6" t="s">
        <v>243</v>
      </c>
      <c r="AB1528" s="5" t="s">
        <v>238</v>
      </c>
      <c r="AC1528" s="5" t="s">
        <v>244</v>
      </c>
      <c r="AD1528" s="5" t="s">
        <v>245</v>
      </c>
      <c r="AT1528" s="5" t="s">
        <v>246</v>
      </c>
      <c r="AU1528" s="5" t="s">
        <v>238</v>
      </c>
      <c r="AV1528" s="5" t="s">
        <v>247</v>
      </c>
      <c r="AW1528" s="5" t="s">
        <v>238</v>
      </c>
      <c r="AX1528" s="5" t="s">
        <v>249</v>
      </c>
      <c r="AY1528" s="5" t="s">
        <v>238</v>
      </c>
      <c r="BA1528" s="5" t="s">
        <v>238</v>
      </c>
      <c r="BC1528" s="5" t="s">
        <v>250</v>
      </c>
      <c r="BD1528" s="6" t="s">
        <v>243</v>
      </c>
      <c r="BE1528" s="5" t="s">
        <v>251</v>
      </c>
      <c r="BF1528" s="5" t="s">
        <v>252</v>
      </c>
      <c r="BG1528" s="5" t="s">
        <v>238</v>
      </c>
      <c r="BH1528" s="7">
        <f>0</f>
        <v>0</v>
      </c>
      <c r="BI1528" s="8">
        <f>0</f>
        <v>0</v>
      </c>
      <c r="BJ1528" s="5" t="s">
        <v>253</v>
      </c>
      <c r="BK1528" s="5" t="s">
        <v>254</v>
      </c>
      <c r="BY1528" s="5" t="s">
        <v>238</v>
      </c>
      <c r="BZ1528" s="5" t="s">
        <v>238</v>
      </c>
      <c r="CD1528" s="5" t="s">
        <v>273</v>
      </c>
      <c r="CE1528" s="5" t="s">
        <v>256</v>
      </c>
      <c r="CF1528" s="5" t="s">
        <v>238</v>
      </c>
      <c r="CI1528" s="6" t="s">
        <v>257</v>
      </c>
      <c r="CJ1528" s="5" t="s">
        <v>238</v>
      </c>
      <c r="CK1528" s="5" t="s">
        <v>258</v>
      </c>
      <c r="CL1528" s="5" t="s">
        <v>238</v>
      </c>
      <c r="CM1528" s="5" t="s">
        <v>238</v>
      </c>
      <c r="CN1528" s="5">
        <v>0</v>
      </c>
      <c r="CO1528" s="5" t="s">
        <v>259</v>
      </c>
      <c r="CP1528" s="5" t="s">
        <v>260</v>
      </c>
      <c r="CQ1528" s="5" t="s">
        <v>260</v>
      </c>
      <c r="CR1528" s="5" t="s">
        <v>261</v>
      </c>
      <c r="CU1528" s="8">
        <f>1</f>
        <v>1</v>
      </c>
      <c r="CV1528" s="8">
        <f>0</f>
        <v>0</v>
      </c>
      <c r="CX1528" s="8">
        <f>0</f>
        <v>0</v>
      </c>
      <c r="CY1528" s="8">
        <f>1</f>
        <v>1</v>
      </c>
      <c r="DA1528" s="5" t="s">
        <v>673</v>
      </c>
      <c r="DB1528" s="5" t="s">
        <v>238</v>
      </c>
      <c r="DD1528" s="5" t="s">
        <v>673</v>
      </c>
      <c r="DE1528" s="8">
        <f>604</f>
        <v>604</v>
      </c>
      <c r="DG1528" s="5" t="s">
        <v>238</v>
      </c>
      <c r="DH1528" s="5" t="s">
        <v>238</v>
      </c>
      <c r="DI1528" s="5" t="s">
        <v>238</v>
      </c>
      <c r="DJ1528" s="5" t="s">
        <v>238</v>
      </c>
      <c r="DN1528" s="5" t="s">
        <v>238</v>
      </c>
      <c r="DO1528" s="5" t="s">
        <v>238</v>
      </c>
      <c r="DP1528" s="5" t="s">
        <v>238</v>
      </c>
      <c r="DQ1528" s="5" t="s">
        <v>238</v>
      </c>
      <c r="DT1528" s="5" t="s">
        <v>2039</v>
      </c>
      <c r="DU1528" s="5" t="s">
        <v>1646</v>
      </c>
      <c r="HM1528" s="5" t="s">
        <v>264</v>
      </c>
    </row>
    <row r="1529" spans="1:221" x14ac:dyDescent="0.4">
      <c r="A1529" s="5">
        <v>3204</v>
      </c>
      <c r="B1529" s="5">
        <v>1</v>
      </c>
      <c r="C1529" s="5">
        <v>1</v>
      </c>
      <c r="D1529" s="5" t="s">
        <v>2037</v>
      </c>
      <c r="E1529" s="5" t="s">
        <v>271</v>
      </c>
      <c r="F1529" s="5" t="s">
        <v>248</v>
      </c>
      <c r="G1529" s="5" t="s">
        <v>1969</v>
      </c>
      <c r="H1529" s="6" t="s">
        <v>2209</v>
      </c>
      <c r="I1529" s="7">
        <f>10</f>
        <v>10</v>
      </c>
      <c r="J1529" s="5" t="s">
        <v>262</v>
      </c>
      <c r="K1529" s="8">
        <f>1</f>
        <v>1</v>
      </c>
      <c r="L1529" s="6" t="s">
        <v>242</v>
      </c>
      <c r="M1529" s="5" t="s">
        <v>267</v>
      </c>
      <c r="N1529" s="5" t="s">
        <v>265</v>
      </c>
      <c r="O1529" s="5" t="s">
        <v>238</v>
      </c>
      <c r="P1529" s="5" t="s">
        <v>238</v>
      </c>
      <c r="Q1529" s="5" t="s">
        <v>268</v>
      </c>
      <c r="R1529" s="5" t="s">
        <v>270</v>
      </c>
      <c r="S1529" s="5" t="s">
        <v>238</v>
      </c>
      <c r="V1529" s="5" t="s">
        <v>238</v>
      </c>
      <c r="X1529" s="6" t="s">
        <v>238</v>
      </c>
      <c r="AA1529" s="6" t="s">
        <v>243</v>
      </c>
      <c r="AB1529" s="5" t="s">
        <v>238</v>
      </c>
      <c r="AC1529" s="5" t="s">
        <v>244</v>
      </c>
      <c r="AD1529" s="5" t="s">
        <v>245</v>
      </c>
      <c r="AT1529" s="5" t="s">
        <v>246</v>
      </c>
      <c r="AU1529" s="5" t="s">
        <v>238</v>
      </c>
      <c r="AV1529" s="5" t="s">
        <v>247</v>
      </c>
      <c r="AW1529" s="5" t="s">
        <v>238</v>
      </c>
      <c r="AX1529" s="5" t="s">
        <v>249</v>
      </c>
      <c r="AY1529" s="5" t="s">
        <v>238</v>
      </c>
      <c r="BA1529" s="5" t="s">
        <v>238</v>
      </c>
      <c r="BC1529" s="5" t="s">
        <v>250</v>
      </c>
      <c r="BD1529" s="6" t="s">
        <v>243</v>
      </c>
      <c r="BE1529" s="5" t="s">
        <v>251</v>
      </c>
      <c r="BF1529" s="5" t="s">
        <v>252</v>
      </c>
      <c r="BG1529" s="5" t="s">
        <v>238</v>
      </c>
      <c r="BH1529" s="7">
        <f>0</f>
        <v>0</v>
      </c>
      <c r="BI1529" s="8">
        <f>0</f>
        <v>0</v>
      </c>
      <c r="BJ1529" s="5" t="s">
        <v>253</v>
      </c>
      <c r="BK1529" s="5" t="s">
        <v>254</v>
      </c>
      <c r="BY1529" s="5" t="s">
        <v>238</v>
      </c>
      <c r="BZ1529" s="5" t="s">
        <v>238</v>
      </c>
      <c r="CD1529" s="5" t="s">
        <v>273</v>
      </c>
      <c r="CE1529" s="5" t="s">
        <v>256</v>
      </c>
      <c r="CF1529" s="5" t="s">
        <v>238</v>
      </c>
      <c r="CI1529" s="6" t="s">
        <v>257</v>
      </c>
      <c r="CJ1529" s="5" t="s">
        <v>238</v>
      </c>
      <c r="CK1529" s="5" t="s">
        <v>258</v>
      </c>
      <c r="CL1529" s="5" t="s">
        <v>238</v>
      </c>
      <c r="CM1529" s="5" t="s">
        <v>238</v>
      </c>
      <c r="CN1529" s="5">
        <v>0</v>
      </c>
      <c r="CO1529" s="5" t="s">
        <v>259</v>
      </c>
      <c r="CP1529" s="5" t="s">
        <v>260</v>
      </c>
      <c r="CQ1529" s="5" t="s">
        <v>260</v>
      </c>
      <c r="CR1529" s="5" t="s">
        <v>261</v>
      </c>
      <c r="CU1529" s="8">
        <f>1</f>
        <v>1</v>
      </c>
      <c r="CV1529" s="8">
        <f>0</f>
        <v>0</v>
      </c>
      <c r="CX1529" s="8">
        <f>0</f>
        <v>0</v>
      </c>
      <c r="CY1529" s="8">
        <f>1</f>
        <v>1</v>
      </c>
      <c r="DA1529" s="5" t="s">
        <v>673</v>
      </c>
      <c r="DB1529" s="5" t="s">
        <v>238</v>
      </c>
      <c r="DD1529" s="5" t="s">
        <v>673</v>
      </c>
      <c r="DE1529" s="8">
        <f>10</f>
        <v>10</v>
      </c>
      <c r="DG1529" s="5" t="s">
        <v>238</v>
      </c>
      <c r="DH1529" s="5" t="s">
        <v>238</v>
      </c>
      <c r="DI1529" s="5" t="s">
        <v>238</v>
      </c>
      <c r="DJ1529" s="5" t="s">
        <v>238</v>
      </c>
      <c r="DN1529" s="5" t="s">
        <v>238</v>
      </c>
      <c r="DO1529" s="5" t="s">
        <v>238</v>
      </c>
      <c r="DP1529" s="5" t="s">
        <v>238</v>
      </c>
      <c r="DQ1529" s="5" t="s">
        <v>238</v>
      </c>
      <c r="DT1529" s="5" t="s">
        <v>2039</v>
      </c>
      <c r="DU1529" s="5" t="s">
        <v>1642</v>
      </c>
      <c r="HM1529" s="5" t="s">
        <v>264</v>
      </c>
    </row>
    <row r="1530" spans="1:221" x14ac:dyDescent="0.4">
      <c r="A1530" s="5">
        <v>3205</v>
      </c>
      <c r="B1530" s="5">
        <v>1</v>
      </c>
      <c r="C1530" s="5">
        <v>1</v>
      </c>
      <c r="D1530" s="5" t="s">
        <v>2037</v>
      </c>
      <c r="E1530" s="5" t="s">
        <v>271</v>
      </c>
      <c r="F1530" s="5" t="s">
        <v>248</v>
      </c>
      <c r="G1530" s="5" t="s">
        <v>1969</v>
      </c>
      <c r="H1530" s="6" t="s">
        <v>2194</v>
      </c>
      <c r="I1530" s="7">
        <f>94</f>
        <v>94</v>
      </c>
      <c r="J1530" s="5" t="s">
        <v>262</v>
      </c>
      <c r="K1530" s="8">
        <f>1</f>
        <v>1</v>
      </c>
      <c r="L1530" s="6" t="s">
        <v>242</v>
      </c>
      <c r="M1530" s="5" t="s">
        <v>267</v>
      </c>
      <c r="N1530" s="5" t="s">
        <v>265</v>
      </c>
      <c r="O1530" s="5" t="s">
        <v>238</v>
      </c>
      <c r="P1530" s="5" t="s">
        <v>238</v>
      </c>
      <c r="Q1530" s="5" t="s">
        <v>268</v>
      </c>
      <c r="R1530" s="5" t="s">
        <v>270</v>
      </c>
      <c r="S1530" s="5" t="s">
        <v>238</v>
      </c>
      <c r="V1530" s="5" t="s">
        <v>238</v>
      </c>
      <c r="X1530" s="6" t="s">
        <v>238</v>
      </c>
      <c r="AA1530" s="6" t="s">
        <v>243</v>
      </c>
      <c r="AB1530" s="5" t="s">
        <v>238</v>
      </c>
      <c r="AC1530" s="5" t="s">
        <v>244</v>
      </c>
      <c r="AD1530" s="5" t="s">
        <v>245</v>
      </c>
      <c r="AT1530" s="5" t="s">
        <v>246</v>
      </c>
      <c r="AU1530" s="5" t="s">
        <v>238</v>
      </c>
      <c r="AV1530" s="5" t="s">
        <v>247</v>
      </c>
      <c r="AW1530" s="5" t="s">
        <v>238</v>
      </c>
      <c r="AX1530" s="5" t="s">
        <v>249</v>
      </c>
      <c r="AY1530" s="5" t="s">
        <v>238</v>
      </c>
      <c r="BA1530" s="5" t="s">
        <v>238</v>
      </c>
      <c r="BC1530" s="5" t="s">
        <v>250</v>
      </c>
      <c r="BD1530" s="6" t="s">
        <v>243</v>
      </c>
      <c r="BE1530" s="5" t="s">
        <v>251</v>
      </c>
      <c r="BF1530" s="5" t="s">
        <v>252</v>
      </c>
      <c r="BG1530" s="5" t="s">
        <v>238</v>
      </c>
      <c r="BH1530" s="7">
        <f>0</f>
        <v>0</v>
      </c>
      <c r="BI1530" s="8">
        <f>0</f>
        <v>0</v>
      </c>
      <c r="BJ1530" s="5" t="s">
        <v>253</v>
      </c>
      <c r="BK1530" s="5" t="s">
        <v>254</v>
      </c>
      <c r="BY1530" s="5" t="s">
        <v>238</v>
      </c>
      <c r="BZ1530" s="5" t="s">
        <v>238</v>
      </c>
      <c r="CD1530" s="5" t="s">
        <v>273</v>
      </c>
      <c r="CE1530" s="5" t="s">
        <v>256</v>
      </c>
      <c r="CF1530" s="5" t="s">
        <v>238</v>
      </c>
      <c r="CI1530" s="6" t="s">
        <v>257</v>
      </c>
      <c r="CJ1530" s="5" t="s">
        <v>238</v>
      </c>
      <c r="CK1530" s="5" t="s">
        <v>258</v>
      </c>
      <c r="CL1530" s="5" t="s">
        <v>238</v>
      </c>
      <c r="CM1530" s="5" t="s">
        <v>238</v>
      </c>
      <c r="CN1530" s="5">
        <v>0</v>
      </c>
      <c r="CO1530" s="5" t="s">
        <v>259</v>
      </c>
      <c r="CP1530" s="5" t="s">
        <v>260</v>
      </c>
      <c r="CQ1530" s="5" t="s">
        <v>260</v>
      </c>
      <c r="CR1530" s="5" t="s">
        <v>261</v>
      </c>
      <c r="CU1530" s="8">
        <f>1</f>
        <v>1</v>
      </c>
      <c r="CV1530" s="8">
        <f>0</f>
        <v>0</v>
      </c>
      <c r="CX1530" s="8">
        <f>0</f>
        <v>0</v>
      </c>
      <c r="CY1530" s="8">
        <f>1</f>
        <v>1</v>
      </c>
      <c r="DA1530" s="5" t="s">
        <v>673</v>
      </c>
      <c r="DB1530" s="5" t="s">
        <v>238</v>
      </c>
      <c r="DD1530" s="5" t="s">
        <v>673</v>
      </c>
      <c r="DE1530" s="8">
        <f>94</f>
        <v>94</v>
      </c>
      <c r="DG1530" s="5" t="s">
        <v>238</v>
      </c>
      <c r="DH1530" s="5" t="s">
        <v>238</v>
      </c>
      <c r="DI1530" s="5" t="s">
        <v>238</v>
      </c>
      <c r="DJ1530" s="5" t="s">
        <v>238</v>
      </c>
      <c r="DN1530" s="5" t="s">
        <v>238</v>
      </c>
      <c r="DO1530" s="5" t="s">
        <v>238</v>
      </c>
      <c r="DP1530" s="5" t="s">
        <v>238</v>
      </c>
      <c r="DQ1530" s="5" t="s">
        <v>238</v>
      </c>
      <c r="DT1530" s="5" t="s">
        <v>2039</v>
      </c>
      <c r="DU1530" s="5" t="s">
        <v>1634</v>
      </c>
      <c r="HM1530" s="5" t="s">
        <v>264</v>
      </c>
    </row>
    <row r="1531" spans="1:221" x14ac:dyDescent="0.4">
      <c r="A1531" s="5">
        <v>3206</v>
      </c>
      <c r="B1531" s="5">
        <v>1</v>
      </c>
      <c r="C1531" s="5">
        <v>1</v>
      </c>
      <c r="D1531" s="5" t="s">
        <v>2037</v>
      </c>
      <c r="E1531" s="5" t="s">
        <v>271</v>
      </c>
      <c r="F1531" s="5" t="s">
        <v>248</v>
      </c>
      <c r="G1531" s="5" t="s">
        <v>1969</v>
      </c>
      <c r="H1531" s="6" t="s">
        <v>3167</v>
      </c>
      <c r="I1531" s="7">
        <f>29</f>
        <v>29</v>
      </c>
      <c r="J1531" s="5" t="s">
        <v>262</v>
      </c>
      <c r="K1531" s="8">
        <f>1</f>
        <v>1</v>
      </c>
      <c r="L1531" s="6" t="s">
        <v>242</v>
      </c>
      <c r="M1531" s="5" t="s">
        <v>267</v>
      </c>
      <c r="N1531" s="5" t="s">
        <v>265</v>
      </c>
      <c r="O1531" s="5" t="s">
        <v>238</v>
      </c>
      <c r="P1531" s="5" t="s">
        <v>238</v>
      </c>
      <c r="Q1531" s="5" t="s">
        <v>268</v>
      </c>
      <c r="R1531" s="5" t="s">
        <v>270</v>
      </c>
      <c r="S1531" s="5" t="s">
        <v>238</v>
      </c>
      <c r="V1531" s="5" t="s">
        <v>238</v>
      </c>
      <c r="X1531" s="6" t="s">
        <v>238</v>
      </c>
      <c r="AA1531" s="6" t="s">
        <v>243</v>
      </c>
      <c r="AB1531" s="5" t="s">
        <v>238</v>
      </c>
      <c r="AC1531" s="5" t="s">
        <v>244</v>
      </c>
      <c r="AD1531" s="5" t="s">
        <v>245</v>
      </c>
      <c r="AT1531" s="5" t="s">
        <v>246</v>
      </c>
      <c r="AU1531" s="5" t="s">
        <v>238</v>
      </c>
      <c r="AV1531" s="5" t="s">
        <v>247</v>
      </c>
      <c r="AW1531" s="5" t="s">
        <v>238</v>
      </c>
      <c r="AX1531" s="5" t="s">
        <v>249</v>
      </c>
      <c r="AY1531" s="5" t="s">
        <v>238</v>
      </c>
      <c r="BA1531" s="5" t="s">
        <v>238</v>
      </c>
      <c r="BC1531" s="5" t="s">
        <v>250</v>
      </c>
      <c r="BD1531" s="6" t="s">
        <v>243</v>
      </c>
      <c r="BE1531" s="5" t="s">
        <v>251</v>
      </c>
      <c r="BF1531" s="5" t="s">
        <v>252</v>
      </c>
      <c r="BG1531" s="5" t="s">
        <v>238</v>
      </c>
      <c r="BH1531" s="7">
        <f>0</f>
        <v>0</v>
      </c>
      <c r="BI1531" s="8">
        <f>0</f>
        <v>0</v>
      </c>
      <c r="BJ1531" s="5" t="s">
        <v>253</v>
      </c>
      <c r="BK1531" s="5" t="s">
        <v>254</v>
      </c>
      <c r="BY1531" s="5" t="s">
        <v>238</v>
      </c>
      <c r="BZ1531" s="5" t="s">
        <v>238</v>
      </c>
      <c r="CD1531" s="5" t="s">
        <v>273</v>
      </c>
      <c r="CE1531" s="5" t="s">
        <v>256</v>
      </c>
      <c r="CF1531" s="5" t="s">
        <v>238</v>
      </c>
      <c r="CI1531" s="6" t="s">
        <v>257</v>
      </c>
      <c r="CJ1531" s="5" t="s">
        <v>238</v>
      </c>
      <c r="CK1531" s="5" t="s">
        <v>258</v>
      </c>
      <c r="CL1531" s="5" t="s">
        <v>238</v>
      </c>
      <c r="CM1531" s="5" t="s">
        <v>238</v>
      </c>
      <c r="CN1531" s="5">
        <v>0</v>
      </c>
      <c r="CO1531" s="5" t="s">
        <v>259</v>
      </c>
      <c r="CP1531" s="5" t="s">
        <v>260</v>
      </c>
      <c r="CQ1531" s="5" t="s">
        <v>260</v>
      </c>
      <c r="CR1531" s="5" t="s">
        <v>261</v>
      </c>
      <c r="CU1531" s="8">
        <f>1</f>
        <v>1</v>
      </c>
      <c r="CV1531" s="8">
        <f>0</f>
        <v>0</v>
      </c>
      <c r="CX1531" s="8">
        <f>0</f>
        <v>0</v>
      </c>
      <c r="CY1531" s="8">
        <f>1</f>
        <v>1</v>
      </c>
      <c r="DA1531" s="5" t="s">
        <v>673</v>
      </c>
      <c r="DB1531" s="5" t="s">
        <v>238</v>
      </c>
      <c r="DD1531" s="5" t="s">
        <v>673</v>
      </c>
      <c r="DE1531" s="8">
        <f>29</f>
        <v>29</v>
      </c>
      <c r="DG1531" s="5" t="s">
        <v>238</v>
      </c>
      <c r="DH1531" s="5" t="s">
        <v>238</v>
      </c>
      <c r="DI1531" s="5" t="s">
        <v>238</v>
      </c>
      <c r="DJ1531" s="5" t="s">
        <v>238</v>
      </c>
      <c r="DN1531" s="5" t="s">
        <v>238</v>
      </c>
      <c r="DO1531" s="5" t="s">
        <v>238</v>
      </c>
      <c r="DP1531" s="5" t="s">
        <v>238</v>
      </c>
      <c r="DQ1531" s="5" t="s">
        <v>238</v>
      </c>
      <c r="DT1531" s="5" t="s">
        <v>2039</v>
      </c>
      <c r="DU1531" s="5" t="s">
        <v>1630</v>
      </c>
      <c r="HM1531" s="5" t="s">
        <v>264</v>
      </c>
    </row>
    <row r="1532" spans="1:221" x14ac:dyDescent="0.4">
      <c r="A1532" s="5">
        <v>3207</v>
      </c>
      <c r="B1532" s="5">
        <v>1</v>
      </c>
      <c r="C1532" s="5">
        <v>1</v>
      </c>
      <c r="D1532" s="5" t="s">
        <v>2037</v>
      </c>
      <c r="E1532" s="5" t="s">
        <v>271</v>
      </c>
      <c r="F1532" s="5" t="s">
        <v>248</v>
      </c>
      <c r="G1532" s="5" t="s">
        <v>1969</v>
      </c>
      <c r="H1532" s="6" t="s">
        <v>2192</v>
      </c>
      <c r="I1532" s="7">
        <f>94</f>
        <v>94</v>
      </c>
      <c r="J1532" s="5" t="s">
        <v>262</v>
      </c>
      <c r="K1532" s="8">
        <f>1</f>
        <v>1</v>
      </c>
      <c r="L1532" s="6" t="s">
        <v>242</v>
      </c>
      <c r="M1532" s="5" t="s">
        <v>267</v>
      </c>
      <c r="N1532" s="5" t="s">
        <v>265</v>
      </c>
      <c r="O1532" s="5" t="s">
        <v>238</v>
      </c>
      <c r="P1532" s="5" t="s">
        <v>238</v>
      </c>
      <c r="Q1532" s="5" t="s">
        <v>268</v>
      </c>
      <c r="R1532" s="5" t="s">
        <v>270</v>
      </c>
      <c r="S1532" s="5" t="s">
        <v>238</v>
      </c>
      <c r="V1532" s="5" t="s">
        <v>238</v>
      </c>
      <c r="X1532" s="6" t="s">
        <v>238</v>
      </c>
      <c r="AA1532" s="6" t="s">
        <v>243</v>
      </c>
      <c r="AB1532" s="5" t="s">
        <v>238</v>
      </c>
      <c r="AC1532" s="5" t="s">
        <v>244</v>
      </c>
      <c r="AD1532" s="5" t="s">
        <v>245</v>
      </c>
      <c r="AT1532" s="5" t="s">
        <v>246</v>
      </c>
      <c r="AU1532" s="5" t="s">
        <v>238</v>
      </c>
      <c r="AV1532" s="5" t="s">
        <v>247</v>
      </c>
      <c r="AW1532" s="5" t="s">
        <v>238</v>
      </c>
      <c r="AX1532" s="5" t="s">
        <v>249</v>
      </c>
      <c r="AY1532" s="5" t="s">
        <v>238</v>
      </c>
      <c r="BA1532" s="5" t="s">
        <v>238</v>
      </c>
      <c r="BC1532" s="5" t="s">
        <v>250</v>
      </c>
      <c r="BD1532" s="6" t="s">
        <v>243</v>
      </c>
      <c r="BE1532" s="5" t="s">
        <v>251</v>
      </c>
      <c r="BF1532" s="5" t="s">
        <v>252</v>
      </c>
      <c r="BG1532" s="5" t="s">
        <v>238</v>
      </c>
      <c r="BH1532" s="7">
        <f>0</f>
        <v>0</v>
      </c>
      <c r="BI1532" s="8">
        <f>0</f>
        <v>0</v>
      </c>
      <c r="BJ1532" s="5" t="s">
        <v>253</v>
      </c>
      <c r="BK1532" s="5" t="s">
        <v>254</v>
      </c>
      <c r="BY1532" s="5" t="s">
        <v>238</v>
      </c>
      <c r="BZ1532" s="5" t="s">
        <v>238</v>
      </c>
      <c r="CD1532" s="5" t="s">
        <v>273</v>
      </c>
      <c r="CE1532" s="5" t="s">
        <v>256</v>
      </c>
      <c r="CF1532" s="5" t="s">
        <v>238</v>
      </c>
      <c r="CI1532" s="6" t="s">
        <v>257</v>
      </c>
      <c r="CJ1532" s="5" t="s">
        <v>238</v>
      </c>
      <c r="CK1532" s="5" t="s">
        <v>258</v>
      </c>
      <c r="CL1532" s="5" t="s">
        <v>238</v>
      </c>
      <c r="CM1532" s="5" t="s">
        <v>238</v>
      </c>
      <c r="CN1532" s="5">
        <v>0</v>
      </c>
      <c r="CO1532" s="5" t="s">
        <v>259</v>
      </c>
      <c r="CP1532" s="5" t="s">
        <v>260</v>
      </c>
      <c r="CQ1532" s="5" t="s">
        <v>260</v>
      </c>
      <c r="CR1532" s="5" t="s">
        <v>261</v>
      </c>
      <c r="CU1532" s="8">
        <f>1</f>
        <v>1</v>
      </c>
      <c r="CV1532" s="8">
        <f>0</f>
        <v>0</v>
      </c>
      <c r="CX1532" s="8">
        <f>0</f>
        <v>0</v>
      </c>
      <c r="CY1532" s="8">
        <f>1</f>
        <v>1</v>
      </c>
      <c r="DA1532" s="5" t="s">
        <v>673</v>
      </c>
      <c r="DB1532" s="5" t="s">
        <v>238</v>
      </c>
      <c r="DD1532" s="5" t="s">
        <v>673</v>
      </c>
      <c r="DE1532" s="8">
        <f>94</f>
        <v>94</v>
      </c>
      <c r="DG1532" s="5" t="s">
        <v>238</v>
      </c>
      <c r="DH1532" s="5" t="s">
        <v>238</v>
      </c>
      <c r="DI1532" s="5" t="s">
        <v>238</v>
      </c>
      <c r="DJ1532" s="5" t="s">
        <v>238</v>
      </c>
      <c r="DN1532" s="5" t="s">
        <v>238</v>
      </c>
      <c r="DO1532" s="5" t="s">
        <v>238</v>
      </c>
      <c r="DP1532" s="5" t="s">
        <v>238</v>
      </c>
      <c r="DQ1532" s="5" t="s">
        <v>238</v>
      </c>
      <c r="DT1532" s="5" t="s">
        <v>2039</v>
      </c>
      <c r="DU1532" s="5" t="s">
        <v>1626</v>
      </c>
      <c r="HM1532" s="5" t="s">
        <v>264</v>
      </c>
    </row>
    <row r="1533" spans="1:221" x14ac:dyDescent="0.4">
      <c r="A1533" s="5">
        <v>3208</v>
      </c>
      <c r="B1533" s="5">
        <v>1</v>
      </c>
      <c r="C1533" s="5">
        <v>1</v>
      </c>
      <c r="D1533" s="5" t="s">
        <v>2037</v>
      </c>
      <c r="E1533" s="5" t="s">
        <v>271</v>
      </c>
      <c r="F1533" s="5" t="s">
        <v>248</v>
      </c>
      <c r="G1533" s="5" t="s">
        <v>1969</v>
      </c>
      <c r="H1533" s="6" t="s">
        <v>2191</v>
      </c>
      <c r="I1533" s="7">
        <f>441</f>
        <v>441</v>
      </c>
      <c r="J1533" s="5" t="s">
        <v>262</v>
      </c>
      <c r="K1533" s="8">
        <f>1</f>
        <v>1</v>
      </c>
      <c r="L1533" s="6" t="s">
        <v>242</v>
      </c>
      <c r="M1533" s="5" t="s">
        <v>267</v>
      </c>
      <c r="N1533" s="5" t="s">
        <v>265</v>
      </c>
      <c r="O1533" s="5" t="s">
        <v>238</v>
      </c>
      <c r="P1533" s="5" t="s">
        <v>238</v>
      </c>
      <c r="Q1533" s="5" t="s">
        <v>268</v>
      </c>
      <c r="R1533" s="5" t="s">
        <v>270</v>
      </c>
      <c r="S1533" s="5" t="s">
        <v>238</v>
      </c>
      <c r="V1533" s="5" t="s">
        <v>238</v>
      </c>
      <c r="X1533" s="6" t="s">
        <v>238</v>
      </c>
      <c r="AA1533" s="6" t="s">
        <v>243</v>
      </c>
      <c r="AB1533" s="5" t="s">
        <v>238</v>
      </c>
      <c r="AC1533" s="5" t="s">
        <v>244</v>
      </c>
      <c r="AD1533" s="5" t="s">
        <v>245</v>
      </c>
      <c r="AT1533" s="5" t="s">
        <v>246</v>
      </c>
      <c r="AU1533" s="5" t="s">
        <v>238</v>
      </c>
      <c r="AV1533" s="5" t="s">
        <v>247</v>
      </c>
      <c r="AW1533" s="5" t="s">
        <v>238</v>
      </c>
      <c r="AX1533" s="5" t="s">
        <v>249</v>
      </c>
      <c r="AY1533" s="5" t="s">
        <v>238</v>
      </c>
      <c r="BA1533" s="5" t="s">
        <v>238</v>
      </c>
      <c r="BC1533" s="5" t="s">
        <v>250</v>
      </c>
      <c r="BD1533" s="6" t="s">
        <v>243</v>
      </c>
      <c r="BE1533" s="5" t="s">
        <v>251</v>
      </c>
      <c r="BF1533" s="5" t="s">
        <v>252</v>
      </c>
      <c r="BG1533" s="5" t="s">
        <v>238</v>
      </c>
      <c r="BH1533" s="7">
        <f>0</f>
        <v>0</v>
      </c>
      <c r="BI1533" s="8">
        <f>0</f>
        <v>0</v>
      </c>
      <c r="BJ1533" s="5" t="s">
        <v>253</v>
      </c>
      <c r="BK1533" s="5" t="s">
        <v>254</v>
      </c>
      <c r="BY1533" s="5" t="s">
        <v>238</v>
      </c>
      <c r="BZ1533" s="5" t="s">
        <v>238</v>
      </c>
      <c r="CD1533" s="5" t="s">
        <v>273</v>
      </c>
      <c r="CE1533" s="5" t="s">
        <v>256</v>
      </c>
      <c r="CF1533" s="5" t="s">
        <v>238</v>
      </c>
      <c r="CI1533" s="6" t="s">
        <v>257</v>
      </c>
      <c r="CJ1533" s="5" t="s">
        <v>238</v>
      </c>
      <c r="CK1533" s="5" t="s">
        <v>258</v>
      </c>
      <c r="CL1533" s="5" t="s">
        <v>238</v>
      </c>
      <c r="CM1533" s="5" t="s">
        <v>238</v>
      </c>
      <c r="CN1533" s="5">
        <v>0</v>
      </c>
      <c r="CO1533" s="5" t="s">
        <v>259</v>
      </c>
      <c r="CP1533" s="5" t="s">
        <v>260</v>
      </c>
      <c r="CQ1533" s="5" t="s">
        <v>260</v>
      </c>
      <c r="CR1533" s="5" t="s">
        <v>261</v>
      </c>
      <c r="CU1533" s="8">
        <f>1</f>
        <v>1</v>
      </c>
      <c r="CV1533" s="8">
        <f>0</f>
        <v>0</v>
      </c>
      <c r="CX1533" s="8">
        <f>0</f>
        <v>0</v>
      </c>
      <c r="CY1533" s="8">
        <f>1</f>
        <v>1</v>
      </c>
      <c r="DA1533" s="5" t="s">
        <v>673</v>
      </c>
      <c r="DB1533" s="5" t="s">
        <v>238</v>
      </c>
      <c r="DD1533" s="5" t="s">
        <v>673</v>
      </c>
      <c r="DE1533" s="8">
        <f>441</f>
        <v>441</v>
      </c>
      <c r="DG1533" s="5" t="s">
        <v>238</v>
      </c>
      <c r="DH1533" s="5" t="s">
        <v>238</v>
      </c>
      <c r="DI1533" s="5" t="s">
        <v>238</v>
      </c>
      <c r="DJ1533" s="5" t="s">
        <v>238</v>
      </c>
      <c r="DN1533" s="5" t="s">
        <v>238</v>
      </c>
      <c r="DO1533" s="5" t="s">
        <v>238</v>
      </c>
      <c r="DP1533" s="5" t="s">
        <v>238</v>
      </c>
      <c r="DQ1533" s="5" t="s">
        <v>238</v>
      </c>
      <c r="DT1533" s="5" t="s">
        <v>2039</v>
      </c>
      <c r="DU1533" s="5" t="s">
        <v>1622</v>
      </c>
      <c r="HM1533" s="5" t="s">
        <v>264</v>
      </c>
    </row>
    <row r="1534" spans="1:221" x14ac:dyDescent="0.4">
      <c r="A1534" s="5">
        <v>3209</v>
      </c>
      <c r="B1534" s="5">
        <v>1</v>
      </c>
      <c r="C1534" s="5">
        <v>1</v>
      </c>
      <c r="D1534" s="5" t="s">
        <v>2037</v>
      </c>
      <c r="E1534" s="5" t="s">
        <v>271</v>
      </c>
      <c r="F1534" s="5" t="s">
        <v>248</v>
      </c>
      <c r="G1534" s="5" t="s">
        <v>1969</v>
      </c>
      <c r="H1534" s="6" t="s">
        <v>2186</v>
      </c>
      <c r="I1534" s="7">
        <f>2520</f>
        <v>2520</v>
      </c>
      <c r="J1534" s="5" t="s">
        <v>262</v>
      </c>
      <c r="K1534" s="8">
        <f>1</f>
        <v>1</v>
      </c>
      <c r="L1534" s="6" t="s">
        <v>242</v>
      </c>
      <c r="M1534" s="5" t="s">
        <v>267</v>
      </c>
      <c r="N1534" s="5" t="s">
        <v>265</v>
      </c>
      <c r="O1534" s="5" t="s">
        <v>238</v>
      </c>
      <c r="P1534" s="5" t="s">
        <v>238</v>
      </c>
      <c r="Q1534" s="5" t="s">
        <v>268</v>
      </c>
      <c r="R1534" s="5" t="s">
        <v>270</v>
      </c>
      <c r="S1534" s="5" t="s">
        <v>238</v>
      </c>
      <c r="V1534" s="5" t="s">
        <v>238</v>
      </c>
      <c r="X1534" s="6" t="s">
        <v>238</v>
      </c>
      <c r="AA1534" s="6" t="s">
        <v>243</v>
      </c>
      <c r="AB1534" s="5" t="s">
        <v>238</v>
      </c>
      <c r="AC1534" s="5" t="s">
        <v>244</v>
      </c>
      <c r="AD1534" s="5" t="s">
        <v>245</v>
      </c>
      <c r="AT1534" s="5" t="s">
        <v>246</v>
      </c>
      <c r="AU1534" s="5" t="s">
        <v>238</v>
      </c>
      <c r="AV1534" s="5" t="s">
        <v>247</v>
      </c>
      <c r="AW1534" s="5" t="s">
        <v>238</v>
      </c>
      <c r="AX1534" s="5" t="s">
        <v>249</v>
      </c>
      <c r="AY1534" s="5" t="s">
        <v>238</v>
      </c>
      <c r="BA1534" s="5" t="s">
        <v>238</v>
      </c>
      <c r="BC1534" s="5" t="s">
        <v>250</v>
      </c>
      <c r="BD1534" s="6" t="s">
        <v>243</v>
      </c>
      <c r="BE1534" s="5" t="s">
        <v>251</v>
      </c>
      <c r="BF1534" s="5" t="s">
        <v>252</v>
      </c>
      <c r="BG1534" s="5" t="s">
        <v>238</v>
      </c>
      <c r="BH1534" s="7">
        <f>0</f>
        <v>0</v>
      </c>
      <c r="BI1534" s="8">
        <f>0</f>
        <v>0</v>
      </c>
      <c r="BJ1534" s="5" t="s">
        <v>253</v>
      </c>
      <c r="BK1534" s="5" t="s">
        <v>254</v>
      </c>
      <c r="BY1534" s="5" t="s">
        <v>238</v>
      </c>
      <c r="BZ1534" s="5" t="s">
        <v>238</v>
      </c>
      <c r="CD1534" s="5" t="s">
        <v>273</v>
      </c>
      <c r="CE1534" s="5" t="s">
        <v>256</v>
      </c>
      <c r="CF1534" s="5" t="s">
        <v>238</v>
      </c>
      <c r="CI1534" s="6" t="s">
        <v>257</v>
      </c>
      <c r="CJ1534" s="5" t="s">
        <v>238</v>
      </c>
      <c r="CK1534" s="5" t="s">
        <v>258</v>
      </c>
      <c r="CL1534" s="5" t="s">
        <v>238</v>
      </c>
      <c r="CM1534" s="5" t="s">
        <v>238</v>
      </c>
      <c r="CN1534" s="5">
        <v>0</v>
      </c>
      <c r="CO1534" s="5" t="s">
        <v>259</v>
      </c>
      <c r="CP1534" s="5" t="s">
        <v>260</v>
      </c>
      <c r="CQ1534" s="5" t="s">
        <v>260</v>
      </c>
      <c r="CR1534" s="5" t="s">
        <v>261</v>
      </c>
      <c r="CU1534" s="8">
        <f>1</f>
        <v>1</v>
      </c>
      <c r="CV1534" s="8">
        <f>0</f>
        <v>0</v>
      </c>
      <c r="CX1534" s="8">
        <f>0</f>
        <v>0</v>
      </c>
      <c r="CY1534" s="8">
        <f>1</f>
        <v>1</v>
      </c>
      <c r="DA1534" s="5" t="s">
        <v>673</v>
      </c>
      <c r="DB1534" s="5" t="s">
        <v>238</v>
      </c>
      <c r="DD1534" s="5" t="s">
        <v>673</v>
      </c>
      <c r="DE1534" s="8">
        <f>2520</f>
        <v>2520</v>
      </c>
      <c r="DG1534" s="5" t="s">
        <v>238</v>
      </c>
      <c r="DH1534" s="5" t="s">
        <v>238</v>
      </c>
      <c r="DI1534" s="5" t="s">
        <v>238</v>
      </c>
      <c r="DJ1534" s="5" t="s">
        <v>238</v>
      </c>
      <c r="DN1534" s="5" t="s">
        <v>238</v>
      </c>
      <c r="DO1534" s="5" t="s">
        <v>238</v>
      </c>
      <c r="DP1534" s="5" t="s">
        <v>238</v>
      </c>
      <c r="DQ1534" s="5" t="s">
        <v>238</v>
      </c>
      <c r="DT1534" s="5" t="s">
        <v>2039</v>
      </c>
      <c r="DU1534" s="5" t="s">
        <v>1616</v>
      </c>
      <c r="HM1534" s="5" t="s">
        <v>264</v>
      </c>
    </row>
    <row r="1535" spans="1:221" x14ac:dyDescent="0.4">
      <c r="A1535" s="5">
        <v>3210</v>
      </c>
      <c r="B1535" s="5">
        <v>1</v>
      </c>
      <c r="C1535" s="5">
        <v>1</v>
      </c>
      <c r="D1535" s="5" t="s">
        <v>2037</v>
      </c>
      <c r="E1535" s="5" t="s">
        <v>271</v>
      </c>
      <c r="F1535" s="5" t="s">
        <v>248</v>
      </c>
      <c r="G1535" s="5" t="s">
        <v>1969</v>
      </c>
      <c r="H1535" s="6" t="s">
        <v>2180</v>
      </c>
      <c r="I1535" s="7">
        <f>2101</f>
        <v>2101</v>
      </c>
      <c r="J1535" s="5" t="s">
        <v>262</v>
      </c>
      <c r="K1535" s="8">
        <f>1</f>
        <v>1</v>
      </c>
      <c r="L1535" s="6" t="s">
        <v>242</v>
      </c>
      <c r="M1535" s="5" t="s">
        <v>267</v>
      </c>
      <c r="N1535" s="5" t="s">
        <v>265</v>
      </c>
      <c r="O1535" s="5" t="s">
        <v>238</v>
      </c>
      <c r="P1535" s="5" t="s">
        <v>238</v>
      </c>
      <c r="Q1535" s="5" t="s">
        <v>268</v>
      </c>
      <c r="R1535" s="5" t="s">
        <v>270</v>
      </c>
      <c r="S1535" s="5" t="s">
        <v>238</v>
      </c>
      <c r="V1535" s="5" t="s">
        <v>238</v>
      </c>
      <c r="X1535" s="6" t="s">
        <v>238</v>
      </c>
      <c r="AA1535" s="6" t="s">
        <v>243</v>
      </c>
      <c r="AB1535" s="5" t="s">
        <v>238</v>
      </c>
      <c r="AC1535" s="5" t="s">
        <v>244</v>
      </c>
      <c r="AD1535" s="5" t="s">
        <v>245</v>
      </c>
      <c r="AT1535" s="5" t="s">
        <v>246</v>
      </c>
      <c r="AU1535" s="5" t="s">
        <v>238</v>
      </c>
      <c r="AV1535" s="5" t="s">
        <v>247</v>
      </c>
      <c r="AW1535" s="5" t="s">
        <v>238</v>
      </c>
      <c r="AX1535" s="5" t="s">
        <v>249</v>
      </c>
      <c r="AY1535" s="5" t="s">
        <v>238</v>
      </c>
      <c r="BA1535" s="5" t="s">
        <v>238</v>
      </c>
      <c r="BC1535" s="5" t="s">
        <v>250</v>
      </c>
      <c r="BD1535" s="6" t="s">
        <v>243</v>
      </c>
      <c r="BE1535" s="5" t="s">
        <v>251</v>
      </c>
      <c r="BF1535" s="5" t="s">
        <v>252</v>
      </c>
      <c r="BG1535" s="5" t="s">
        <v>238</v>
      </c>
      <c r="BH1535" s="7">
        <f>0</f>
        <v>0</v>
      </c>
      <c r="BI1535" s="8">
        <f>0</f>
        <v>0</v>
      </c>
      <c r="BJ1535" s="5" t="s">
        <v>253</v>
      </c>
      <c r="BK1535" s="5" t="s">
        <v>254</v>
      </c>
      <c r="BY1535" s="5" t="s">
        <v>238</v>
      </c>
      <c r="BZ1535" s="5" t="s">
        <v>238</v>
      </c>
      <c r="CD1535" s="5" t="s">
        <v>273</v>
      </c>
      <c r="CE1535" s="5" t="s">
        <v>256</v>
      </c>
      <c r="CF1535" s="5" t="s">
        <v>238</v>
      </c>
      <c r="CI1535" s="6" t="s">
        <v>257</v>
      </c>
      <c r="CJ1535" s="5" t="s">
        <v>238</v>
      </c>
      <c r="CK1535" s="5" t="s">
        <v>258</v>
      </c>
      <c r="CL1535" s="5" t="s">
        <v>238</v>
      </c>
      <c r="CM1535" s="5" t="s">
        <v>238</v>
      </c>
      <c r="CN1535" s="5">
        <v>0</v>
      </c>
      <c r="CO1535" s="5" t="s">
        <v>259</v>
      </c>
      <c r="CP1535" s="5" t="s">
        <v>260</v>
      </c>
      <c r="CQ1535" s="5" t="s">
        <v>260</v>
      </c>
      <c r="CR1535" s="5" t="s">
        <v>261</v>
      </c>
      <c r="CU1535" s="8">
        <f>1</f>
        <v>1</v>
      </c>
      <c r="CV1535" s="8">
        <f>0</f>
        <v>0</v>
      </c>
      <c r="CX1535" s="8">
        <f>0</f>
        <v>0</v>
      </c>
      <c r="CY1535" s="8">
        <f>1</f>
        <v>1</v>
      </c>
      <c r="DA1535" s="5" t="s">
        <v>673</v>
      </c>
      <c r="DB1535" s="5" t="s">
        <v>238</v>
      </c>
      <c r="DD1535" s="5" t="s">
        <v>673</v>
      </c>
      <c r="DE1535" s="8">
        <f>2101</f>
        <v>2101</v>
      </c>
      <c r="DG1535" s="5" t="s">
        <v>238</v>
      </c>
      <c r="DH1535" s="5" t="s">
        <v>238</v>
      </c>
      <c r="DI1535" s="5" t="s">
        <v>238</v>
      </c>
      <c r="DJ1535" s="5" t="s">
        <v>238</v>
      </c>
      <c r="DN1535" s="5" t="s">
        <v>238</v>
      </c>
      <c r="DO1535" s="5" t="s">
        <v>238</v>
      </c>
      <c r="DP1535" s="5" t="s">
        <v>238</v>
      </c>
      <c r="DQ1535" s="5" t="s">
        <v>238</v>
      </c>
      <c r="DT1535" s="5" t="s">
        <v>2039</v>
      </c>
      <c r="DU1535" s="5" t="s">
        <v>1610</v>
      </c>
      <c r="HM1535" s="5" t="s">
        <v>264</v>
      </c>
    </row>
    <row r="1536" spans="1:221" x14ac:dyDescent="0.4">
      <c r="A1536" s="5">
        <v>3211</v>
      </c>
      <c r="B1536" s="5">
        <v>1</v>
      </c>
      <c r="C1536" s="5">
        <v>1</v>
      </c>
      <c r="D1536" s="5" t="s">
        <v>2037</v>
      </c>
      <c r="E1536" s="5" t="s">
        <v>271</v>
      </c>
      <c r="F1536" s="5" t="s">
        <v>248</v>
      </c>
      <c r="G1536" s="5" t="s">
        <v>1969</v>
      </c>
      <c r="H1536" s="6" t="s">
        <v>2175</v>
      </c>
      <c r="I1536" s="7">
        <f>1552</f>
        <v>1552</v>
      </c>
      <c r="J1536" s="5" t="s">
        <v>262</v>
      </c>
      <c r="K1536" s="8">
        <f>1</f>
        <v>1</v>
      </c>
      <c r="L1536" s="6" t="s">
        <v>242</v>
      </c>
      <c r="M1536" s="5" t="s">
        <v>267</v>
      </c>
      <c r="N1536" s="5" t="s">
        <v>265</v>
      </c>
      <c r="O1536" s="5" t="s">
        <v>238</v>
      </c>
      <c r="P1536" s="5" t="s">
        <v>238</v>
      </c>
      <c r="Q1536" s="5" t="s">
        <v>268</v>
      </c>
      <c r="R1536" s="5" t="s">
        <v>270</v>
      </c>
      <c r="S1536" s="5" t="s">
        <v>238</v>
      </c>
      <c r="V1536" s="5" t="s">
        <v>238</v>
      </c>
      <c r="X1536" s="6" t="s">
        <v>238</v>
      </c>
      <c r="AA1536" s="6" t="s">
        <v>243</v>
      </c>
      <c r="AB1536" s="5" t="s">
        <v>238</v>
      </c>
      <c r="AC1536" s="5" t="s">
        <v>244</v>
      </c>
      <c r="AD1536" s="5" t="s">
        <v>245</v>
      </c>
      <c r="AT1536" s="5" t="s">
        <v>246</v>
      </c>
      <c r="AU1536" s="5" t="s">
        <v>238</v>
      </c>
      <c r="AV1536" s="5" t="s">
        <v>247</v>
      </c>
      <c r="AW1536" s="5" t="s">
        <v>238</v>
      </c>
      <c r="AX1536" s="5" t="s">
        <v>249</v>
      </c>
      <c r="AY1536" s="5" t="s">
        <v>238</v>
      </c>
      <c r="BA1536" s="5" t="s">
        <v>238</v>
      </c>
      <c r="BC1536" s="5" t="s">
        <v>250</v>
      </c>
      <c r="BD1536" s="6" t="s">
        <v>243</v>
      </c>
      <c r="BE1536" s="5" t="s">
        <v>251</v>
      </c>
      <c r="BF1536" s="5" t="s">
        <v>252</v>
      </c>
      <c r="BG1536" s="5" t="s">
        <v>238</v>
      </c>
      <c r="BH1536" s="7">
        <f>0</f>
        <v>0</v>
      </c>
      <c r="BI1536" s="8">
        <f>0</f>
        <v>0</v>
      </c>
      <c r="BJ1536" s="5" t="s">
        <v>253</v>
      </c>
      <c r="BK1536" s="5" t="s">
        <v>254</v>
      </c>
      <c r="BY1536" s="5" t="s">
        <v>238</v>
      </c>
      <c r="BZ1536" s="5" t="s">
        <v>238</v>
      </c>
      <c r="CD1536" s="5" t="s">
        <v>273</v>
      </c>
      <c r="CE1536" s="5" t="s">
        <v>256</v>
      </c>
      <c r="CF1536" s="5" t="s">
        <v>238</v>
      </c>
      <c r="CI1536" s="6" t="s">
        <v>257</v>
      </c>
      <c r="CJ1536" s="5" t="s">
        <v>238</v>
      </c>
      <c r="CK1536" s="5" t="s">
        <v>258</v>
      </c>
      <c r="CL1536" s="5" t="s">
        <v>238</v>
      </c>
      <c r="CM1536" s="5" t="s">
        <v>238</v>
      </c>
      <c r="CN1536" s="5">
        <v>0</v>
      </c>
      <c r="CO1536" s="5" t="s">
        <v>259</v>
      </c>
      <c r="CP1536" s="5" t="s">
        <v>260</v>
      </c>
      <c r="CQ1536" s="5" t="s">
        <v>260</v>
      </c>
      <c r="CR1536" s="5" t="s">
        <v>261</v>
      </c>
      <c r="CU1536" s="8">
        <f>1</f>
        <v>1</v>
      </c>
      <c r="CV1536" s="8">
        <f>0</f>
        <v>0</v>
      </c>
      <c r="CX1536" s="8">
        <f>0</f>
        <v>0</v>
      </c>
      <c r="CY1536" s="8">
        <f>1</f>
        <v>1</v>
      </c>
      <c r="DA1536" s="5" t="s">
        <v>673</v>
      </c>
      <c r="DB1536" s="5" t="s">
        <v>238</v>
      </c>
      <c r="DD1536" s="5" t="s">
        <v>673</v>
      </c>
      <c r="DE1536" s="8">
        <f>1552</f>
        <v>1552</v>
      </c>
      <c r="DG1536" s="5" t="s">
        <v>238</v>
      </c>
      <c r="DH1536" s="5" t="s">
        <v>238</v>
      </c>
      <c r="DI1536" s="5" t="s">
        <v>238</v>
      </c>
      <c r="DJ1536" s="5" t="s">
        <v>238</v>
      </c>
      <c r="DN1536" s="5" t="s">
        <v>238</v>
      </c>
      <c r="DO1536" s="5" t="s">
        <v>238</v>
      </c>
      <c r="DP1536" s="5" t="s">
        <v>238</v>
      </c>
      <c r="DQ1536" s="5" t="s">
        <v>238</v>
      </c>
      <c r="DT1536" s="5" t="s">
        <v>2039</v>
      </c>
      <c r="DU1536" s="5" t="s">
        <v>1608</v>
      </c>
      <c r="HM1536" s="5" t="s">
        <v>264</v>
      </c>
    </row>
    <row r="1537" spans="1:221" x14ac:dyDescent="0.4">
      <c r="A1537" s="5">
        <v>3212</v>
      </c>
      <c r="B1537" s="5">
        <v>1</v>
      </c>
      <c r="C1537" s="5">
        <v>1</v>
      </c>
      <c r="D1537" s="5" t="s">
        <v>2037</v>
      </c>
      <c r="E1537" s="5" t="s">
        <v>271</v>
      </c>
      <c r="F1537" s="5" t="s">
        <v>248</v>
      </c>
      <c r="G1537" s="5" t="s">
        <v>1969</v>
      </c>
      <c r="H1537" s="6" t="s">
        <v>2169</v>
      </c>
      <c r="I1537" s="7">
        <f>1467</f>
        <v>1467</v>
      </c>
      <c r="J1537" s="5" t="s">
        <v>262</v>
      </c>
      <c r="K1537" s="8">
        <f>1</f>
        <v>1</v>
      </c>
      <c r="L1537" s="6" t="s">
        <v>242</v>
      </c>
      <c r="M1537" s="5" t="s">
        <v>267</v>
      </c>
      <c r="N1537" s="5" t="s">
        <v>265</v>
      </c>
      <c r="O1537" s="5" t="s">
        <v>238</v>
      </c>
      <c r="P1537" s="5" t="s">
        <v>238</v>
      </c>
      <c r="Q1537" s="5" t="s">
        <v>268</v>
      </c>
      <c r="R1537" s="5" t="s">
        <v>270</v>
      </c>
      <c r="S1537" s="5" t="s">
        <v>238</v>
      </c>
      <c r="V1537" s="5" t="s">
        <v>238</v>
      </c>
      <c r="X1537" s="6" t="s">
        <v>238</v>
      </c>
      <c r="AA1537" s="6" t="s">
        <v>243</v>
      </c>
      <c r="AB1537" s="5" t="s">
        <v>238</v>
      </c>
      <c r="AC1537" s="5" t="s">
        <v>244</v>
      </c>
      <c r="AD1537" s="5" t="s">
        <v>245</v>
      </c>
      <c r="AT1537" s="5" t="s">
        <v>246</v>
      </c>
      <c r="AU1537" s="5" t="s">
        <v>238</v>
      </c>
      <c r="AV1537" s="5" t="s">
        <v>247</v>
      </c>
      <c r="AW1537" s="5" t="s">
        <v>238</v>
      </c>
      <c r="AX1537" s="5" t="s">
        <v>249</v>
      </c>
      <c r="AY1537" s="5" t="s">
        <v>238</v>
      </c>
      <c r="BA1537" s="5" t="s">
        <v>238</v>
      </c>
      <c r="BC1537" s="5" t="s">
        <v>250</v>
      </c>
      <c r="BD1537" s="6" t="s">
        <v>243</v>
      </c>
      <c r="BE1537" s="5" t="s">
        <v>251</v>
      </c>
      <c r="BF1537" s="5" t="s">
        <v>252</v>
      </c>
      <c r="BG1537" s="5" t="s">
        <v>238</v>
      </c>
      <c r="BH1537" s="7">
        <f>0</f>
        <v>0</v>
      </c>
      <c r="BI1537" s="8">
        <f>0</f>
        <v>0</v>
      </c>
      <c r="BJ1537" s="5" t="s">
        <v>253</v>
      </c>
      <c r="BK1537" s="5" t="s">
        <v>254</v>
      </c>
      <c r="BY1537" s="5" t="s">
        <v>238</v>
      </c>
      <c r="BZ1537" s="5" t="s">
        <v>238</v>
      </c>
      <c r="CD1537" s="5" t="s">
        <v>273</v>
      </c>
      <c r="CE1537" s="5" t="s">
        <v>256</v>
      </c>
      <c r="CF1537" s="5" t="s">
        <v>238</v>
      </c>
      <c r="CI1537" s="6" t="s">
        <v>257</v>
      </c>
      <c r="CJ1537" s="5" t="s">
        <v>238</v>
      </c>
      <c r="CK1537" s="5" t="s">
        <v>258</v>
      </c>
      <c r="CL1537" s="5" t="s">
        <v>238</v>
      </c>
      <c r="CM1537" s="5" t="s">
        <v>238</v>
      </c>
      <c r="CN1537" s="5">
        <v>0</v>
      </c>
      <c r="CO1537" s="5" t="s">
        <v>259</v>
      </c>
      <c r="CP1537" s="5" t="s">
        <v>260</v>
      </c>
      <c r="CQ1537" s="5" t="s">
        <v>260</v>
      </c>
      <c r="CR1537" s="5" t="s">
        <v>261</v>
      </c>
      <c r="CU1537" s="8">
        <f>1</f>
        <v>1</v>
      </c>
      <c r="CV1537" s="8">
        <f>0</f>
        <v>0</v>
      </c>
      <c r="CX1537" s="8">
        <f>0</f>
        <v>0</v>
      </c>
      <c r="CY1537" s="8">
        <f>1</f>
        <v>1</v>
      </c>
      <c r="DA1537" s="5" t="s">
        <v>673</v>
      </c>
      <c r="DB1537" s="5" t="s">
        <v>238</v>
      </c>
      <c r="DD1537" s="5" t="s">
        <v>673</v>
      </c>
      <c r="DE1537" s="8">
        <f>1467</f>
        <v>1467</v>
      </c>
      <c r="DG1537" s="5" t="s">
        <v>238</v>
      </c>
      <c r="DH1537" s="5" t="s">
        <v>238</v>
      </c>
      <c r="DI1537" s="5" t="s">
        <v>238</v>
      </c>
      <c r="DJ1537" s="5" t="s">
        <v>238</v>
      </c>
      <c r="DN1537" s="5" t="s">
        <v>238</v>
      </c>
      <c r="DO1537" s="5" t="s">
        <v>238</v>
      </c>
      <c r="DP1537" s="5" t="s">
        <v>238</v>
      </c>
      <c r="DQ1537" s="5" t="s">
        <v>238</v>
      </c>
      <c r="DT1537" s="5" t="s">
        <v>2039</v>
      </c>
      <c r="DU1537" s="5" t="s">
        <v>1606</v>
      </c>
      <c r="HM1537" s="5" t="s">
        <v>264</v>
      </c>
    </row>
    <row r="1538" spans="1:221" x14ac:dyDescent="0.4">
      <c r="A1538" s="5">
        <v>3213</v>
      </c>
      <c r="B1538" s="5">
        <v>1</v>
      </c>
      <c r="C1538" s="5">
        <v>1</v>
      </c>
      <c r="D1538" s="5" t="s">
        <v>2037</v>
      </c>
      <c r="E1538" s="5" t="s">
        <v>271</v>
      </c>
      <c r="F1538" s="5" t="s">
        <v>248</v>
      </c>
      <c r="G1538" s="5" t="s">
        <v>1969</v>
      </c>
      <c r="H1538" s="6" t="s">
        <v>2165</v>
      </c>
      <c r="I1538" s="7">
        <f>8131</f>
        <v>8131</v>
      </c>
      <c r="J1538" s="5" t="s">
        <v>262</v>
      </c>
      <c r="K1538" s="8">
        <f>1</f>
        <v>1</v>
      </c>
      <c r="L1538" s="6" t="s">
        <v>242</v>
      </c>
      <c r="M1538" s="5" t="s">
        <v>267</v>
      </c>
      <c r="N1538" s="5" t="s">
        <v>265</v>
      </c>
      <c r="O1538" s="5" t="s">
        <v>238</v>
      </c>
      <c r="P1538" s="5" t="s">
        <v>238</v>
      </c>
      <c r="Q1538" s="5" t="s">
        <v>268</v>
      </c>
      <c r="R1538" s="5" t="s">
        <v>270</v>
      </c>
      <c r="S1538" s="5" t="s">
        <v>238</v>
      </c>
      <c r="V1538" s="5" t="s">
        <v>238</v>
      </c>
      <c r="X1538" s="6" t="s">
        <v>238</v>
      </c>
      <c r="AA1538" s="6" t="s">
        <v>243</v>
      </c>
      <c r="AB1538" s="5" t="s">
        <v>238</v>
      </c>
      <c r="AC1538" s="5" t="s">
        <v>244</v>
      </c>
      <c r="AD1538" s="5" t="s">
        <v>245</v>
      </c>
      <c r="AT1538" s="5" t="s">
        <v>246</v>
      </c>
      <c r="AU1538" s="5" t="s">
        <v>238</v>
      </c>
      <c r="AV1538" s="5" t="s">
        <v>247</v>
      </c>
      <c r="AW1538" s="5" t="s">
        <v>238</v>
      </c>
      <c r="AX1538" s="5" t="s">
        <v>249</v>
      </c>
      <c r="AY1538" s="5" t="s">
        <v>238</v>
      </c>
      <c r="BA1538" s="5" t="s">
        <v>238</v>
      </c>
      <c r="BC1538" s="5" t="s">
        <v>250</v>
      </c>
      <c r="BD1538" s="6" t="s">
        <v>243</v>
      </c>
      <c r="BE1538" s="5" t="s">
        <v>251</v>
      </c>
      <c r="BF1538" s="5" t="s">
        <v>252</v>
      </c>
      <c r="BG1538" s="5" t="s">
        <v>238</v>
      </c>
      <c r="BH1538" s="7">
        <f>0</f>
        <v>0</v>
      </c>
      <c r="BI1538" s="8">
        <f>0</f>
        <v>0</v>
      </c>
      <c r="BJ1538" s="5" t="s">
        <v>253</v>
      </c>
      <c r="BK1538" s="5" t="s">
        <v>254</v>
      </c>
      <c r="BY1538" s="5" t="s">
        <v>238</v>
      </c>
      <c r="BZ1538" s="5" t="s">
        <v>238</v>
      </c>
      <c r="CD1538" s="5" t="s">
        <v>273</v>
      </c>
      <c r="CE1538" s="5" t="s">
        <v>256</v>
      </c>
      <c r="CF1538" s="5" t="s">
        <v>238</v>
      </c>
      <c r="CI1538" s="6" t="s">
        <v>257</v>
      </c>
      <c r="CJ1538" s="5" t="s">
        <v>238</v>
      </c>
      <c r="CK1538" s="5" t="s">
        <v>258</v>
      </c>
      <c r="CL1538" s="5" t="s">
        <v>238</v>
      </c>
      <c r="CM1538" s="5" t="s">
        <v>238</v>
      </c>
      <c r="CN1538" s="5">
        <v>0</v>
      </c>
      <c r="CO1538" s="5" t="s">
        <v>259</v>
      </c>
      <c r="CP1538" s="5" t="s">
        <v>260</v>
      </c>
      <c r="CQ1538" s="5" t="s">
        <v>260</v>
      </c>
      <c r="CR1538" s="5" t="s">
        <v>261</v>
      </c>
      <c r="CU1538" s="8">
        <f>1</f>
        <v>1</v>
      </c>
      <c r="CV1538" s="8">
        <f>0</f>
        <v>0</v>
      </c>
      <c r="CX1538" s="8">
        <f>0</f>
        <v>0</v>
      </c>
      <c r="CY1538" s="8">
        <f>1</f>
        <v>1</v>
      </c>
      <c r="DA1538" s="5" t="s">
        <v>673</v>
      </c>
      <c r="DB1538" s="5" t="s">
        <v>238</v>
      </c>
      <c r="DD1538" s="5" t="s">
        <v>673</v>
      </c>
      <c r="DE1538" s="8">
        <f>8131</f>
        <v>8131</v>
      </c>
      <c r="DG1538" s="5" t="s">
        <v>238</v>
      </c>
      <c r="DH1538" s="5" t="s">
        <v>238</v>
      </c>
      <c r="DI1538" s="5" t="s">
        <v>238</v>
      </c>
      <c r="DJ1538" s="5" t="s">
        <v>238</v>
      </c>
      <c r="DN1538" s="5" t="s">
        <v>238</v>
      </c>
      <c r="DO1538" s="5" t="s">
        <v>238</v>
      </c>
      <c r="DP1538" s="5" t="s">
        <v>238</v>
      </c>
      <c r="DQ1538" s="5" t="s">
        <v>238</v>
      </c>
      <c r="DT1538" s="5" t="s">
        <v>2039</v>
      </c>
      <c r="DU1538" s="5" t="s">
        <v>1602</v>
      </c>
      <c r="HM1538" s="5" t="s">
        <v>264</v>
      </c>
    </row>
    <row r="1539" spans="1:221" x14ac:dyDescent="0.4">
      <c r="A1539" s="5">
        <v>3214</v>
      </c>
      <c r="B1539" s="5">
        <v>1</v>
      </c>
      <c r="C1539" s="5">
        <v>1</v>
      </c>
      <c r="D1539" s="5" t="s">
        <v>2037</v>
      </c>
      <c r="E1539" s="5" t="s">
        <v>271</v>
      </c>
      <c r="F1539" s="5" t="s">
        <v>248</v>
      </c>
      <c r="G1539" s="5" t="s">
        <v>1969</v>
      </c>
      <c r="H1539" s="6" t="s">
        <v>2160</v>
      </c>
      <c r="I1539" s="7">
        <f>8161</f>
        <v>8161</v>
      </c>
      <c r="J1539" s="5" t="s">
        <v>262</v>
      </c>
      <c r="K1539" s="8">
        <f>1</f>
        <v>1</v>
      </c>
      <c r="L1539" s="6" t="s">
        <v>242</v>
      </c>
      <c r="M1539" s="5" t="s">
        <v>267</v>
      </c>
      <c r="N1539" s="5" t="s">
        <v>265</v>
      </c>
      <c r="O1539" s="5" t="s">
        <v>238</v>
      </c>
      <c r="P1539" s="5" t="s">
        <v>238</v>
      </c>
      <c r="Q1539" s="5" t="s">
        <v>268</v>
      </c>
      <c r="R1539" s="5" t="s">
        <v>270</v>
      </c>
      <c r="S1539" s="5" t="s">
        <v>238</v>
      </c>
      <c r="V1539" s="5" t="s">
        <v>238</v>
      </c>
      <c r="X1539" s="6" t="s">
        <v>238</v>
      </c>
      <c r="AA1539" s="6" t="s">
        <v>243</v>
      </c>
      <c r="AB1539" s="5" t="s">
        <v>238</v>
      </c>
      <c r="AC1539" s="5" t="s">
        <v>244</v>
      </c>
      <c r="AD1539" s="5" t="s">
        <v>245</v>
      </c>
      <c r="AT1539" s="5" t="s">
        <v>246</v>
      </c>
      <c r="AU1539" s="5" t="s">
        <v>238</v>
      </c>
      <c r="AV1539" s="5" t="s">
        <v>247</v>
      </c>
      <c r="AW1539" s="5" t="s">
        <v>238</v>
      </c>
      <c r="AX1539" s="5" t="s">
        <v>249</v>
      </c>
      <c r="AY1539" s="5" t="s">
        <v>238</v>
      </c>
      <c r="BA1539" s="5" t="s">
        <v>238</v>
      </c>
      <c r="BC1539" s="5" t="s">
        <v>250</v>
      </c>
      <c r="BD1539" s="6" t="s">
        <v>243</v>
      </c>
      <c r="BE1539" s="5" t="s">
        <v>251</v>
      </c>
      <c r="BF1539" s="5" t="s">
        <v>252</v>
      </c>
      <c r="BG1539" s="5" t="s">
        <v>238</v>
      </c>
      <c r="BH1539" s="7">
        <f>0</f>
        <v>0</v>
      </c>
      <c r="BI1539" s="8">
        <f>0</f>
        <v>0</v>
      </c>
      <c r="BJ1539" s="5" t="s">
        <v>253</v>
      </c>
      <c r="BK1539" s="5" t="s">
        <v>254</v>
      </c>
      <c r="BY1539" s="5" t="s">
        <v>238</v>
      </c>
      <c r="BZ1539" s="5" t="s">
        <v>238</v>
      </c>
      <c r="CD1539" s="5" t="s">
        <v>273</v>
      </c>
      <c r="CE1539" s="5" t="s">
        <v>256</v>
      </c>
      <c r="CF1539" s="5" t="s">
        <v>238</v>
      </c>
      <c r="CI1539" s="6" t="s">
        <v>257</v>
      </c>
      <c r="CJ1539" s="5" t="s">
        <v>238</v>
      </c>
      <c r="CK1539" s="5" t="s">
        <v>258</v>
      </c>
      <c r="CL1539" s="5" t="s">
        <v>238</v>
      </c>
      <c r="CM1539" s="5" t="s">
        <v>238</v>
      </c>
      <c r="CN1539" s="5">
        <v>0</v>
      </c>
      <c r="CO1539" s="5" t="s">
        <v>259</v>
      </c>
      <c r="CP1539" s="5" t="s">
        <v>260</v>
      </c>
      <c r="CQ1539" s="5" t="s">
        <v>260</v>
      </c>
      <c r="CR1539" s="5" t="s">
        <v>261</v>
      </c>
      <c r="CU1539" s="8">
        <f>1</f>
        <v>1</v>
      </c>
      <c r="CV1539" s="8">
        <f>0</f>
        <v>0</v>
      </c>
      <c r="CX1539" s="8">
        <f>0</f>
        <v>0</v>
      </c>
      <c r="CY1539" s="8">
        <f>1</f>
        <v>1</v>
      </c>
      <c r="DA1539" s="5" t="s">
        <v>673</v>
      </c>
      <c r="DB1539" s="5" t="s">
        <v>238</v>
      </c>
      <c r="DD1539" s="5" t="s">
        <v>673</v>
      </c>
      <c r="DE1539" s="8">
        <f>8161</f>
        <v>8161</v>
      </c>
      <c r="DG1539" s="5" t="s">
        <v>238</v>
      </c>
      <c r="DH1539" s="5" t="s">
        <v>238</v>
      </c>
      <c r="DI1539" s="5" t="s">
        <v>238</v>
      </c>
      <c r="DJ1539" s="5" t="s">
        <v>238</v>
      </c>
      <c r="DN1539" s="5" t="s">
        <v>238</v>
      </c>
      <c r="DO1539" s="5" t="s">
        <v>238</v>
      </c>
      <c r="DP1539" s="5" t="s">
        <v>238</v>
      </c>
      <c r="DQ1539" s="5" t="s">
        <v>238</v>
      </c>
      <c r="DT1539" s="5" t="s">
        <v>2039</v>
      </c>
      <c r="DU1539" s="5" t="s">
        <v>1596</v>
      </c>
      <c r="HM1539" s="5" t="s">
        <v>264</v>
      </c>
    </row>
    <row r="1540" spans="1:221" x14ac:dyDescent="0.4">
      <c r="A1540" s="5">
        <v>3215</v>
      </c>
      <c r="B1540" s="5">
        <v>1</v>
      </c>
      <c r="C1540" s="5">
        <v>1</v>
      </c>
      <c r="D1540" s="5" t="s">
        <v>2037</v>
      </c>
      <c r="E1540" s="5" t="s">
        <v>271</v>
      </c>
      <c r="F1540" s="5" t="s">
        <v>248</v>
      </c>
      <c r="G1540" s="5" t="s">
        <v>1969</v>
      </c>
      <c r="H1540" s="6" t="s">
        <v>2156</v>
      </c>
      <c r="I1540" s="7">
        <f>979</f>
        <v>979</v>
      </c>
      <c r="J1540" s="5" t="s">
        <v>262</v>
      </c>
      <c r="K1540" s="8">
        <f>1</f>
        <v>1</v>
      </c>
      <c r="L1540" s="6" t="s">
        <v>242</v>
      </c>
      <c r="M1540" s="5" t="s">
        <v>267</v>
      </c>
      <c r="N1540" s="5" t="s">
        <v>265</v>
      </c>
      <c r="O1540" s="5" t="s">
        <v>238</v>
      </c>
      <c r="P1540" s="5" t="s">
        <v>238</v>
      </c>
      <c r="Q1540" s="5" t="s">
        <v>268</v>
      </c>
      <c r="R1540" s="5" t="s">
        <v>270</v>
      </c>
      <c r="S1540" s="5" t="s">
        <v>238</v>
      </c>
      <c r="V1540" s="5" t="s">
        <v>238</v>
      </c>
      <c r="X1540" s="6" t="s">
        <v>238</v>
      </c>
      <c r="AA1540" s="6" t="s">
        <v>243</v>
      </c>
      <c r="AB1540" s="5" t="s">
        <v>238</v>
      </c>
      <c r="AC1540" s="5" t="s">
        <v>244</v>
      </c>
      <c r="AD1540" s="5" t="s">
        <v>245</v>
      </c>
      <c r="AT1540" s="5" t="s">
        <v>246</v>
      </c>
      <c r="AU1540" s="5" t="s">
        <v>238</v>
      </c>
      <c r="AV1540" s="5" t="s">
        <v>247</v>
      </c>
      <c r="AW1540" s="5" t="s">
        <v>238</v>
      </c>
      <c r="AX1540" s="5" t="s">
        <v>249</v>
      </c>
      <c r="AY1540" s="5" t="s">
        <v>238</v>
      </c>
      <c r="BA1540" s="5" t="s">
        <v>238</v>
      </c>
      <c r="BC1540" s="5" t="s">
        <v>250</v>
      </c>
      <c r="BD1540" s="6" t="s">
        <v>243</v>
      </c>
      <c r="BE1540" s="5" t="s">
        <v>251</v>
      </c>
      <c r="BF1540" s="5" t="s">
        <v>252</v>
      </c>
      <c r="BG1540" s="5" t="s">
        <v>238</v>
      </c>
      <c r="BH1540" s="7">
        <f>0</f>
        <v>0</v>
      </c>
      <c r="BI1540" s="8">
        <f>0</f>
        <v>0</v>
      </c>
      <c r="BJ1540" s="5" t="s">
        <v>253</v>
      </c>
      <c r="BK1540" s="5" t="s">
        <v>254</v>
      </c>
      <c r="BY1540" s="5" t="s">
        <v>238</v>
      </c>
      <c r="BZ1540" s="5" t="s">
        <v>238</v>
      </c>
      <c r="CD1540" s="5" t="s">
        <v>273</v>
      </c>
      <c r="CE1540" s="5" t="s">
        <v>256</v>
      </c>
      <c r="CF1540" s="5" t="s">
        <v>238</v>
      </c>
      <c r="CI1540" s="6" t="s">
        <v>257</v>
      </c>
      <c r="CJ1540" s="5" t="s">
        <v>238</v>
      </c>
      <c r="CK1540" s="5" t="s">
        <v>258</v>
      </c>
      <c r="CL1540" s="5" t="s">
        <v>238</v>
      </c>
      <c r="CM1540" s="5" t="s">
        <v>238</v>
      </c>
      <c r="CN1540" s="5">
        <v>0</v>
      </c>
      <c r="CO1540" s="5" t="s">
        <v>259</v>
      </c>
      <c r="CP1540" s="5" t="s">
        <v>260</v>
      </c>
      <c r="CQ1540" s="5" t="s">
        <v>260</v>
      </c>
      <c r="CR1540" s="5" t="s">
        <v>261</v>
      </c>
      <c r="CU1540" s="8">
        <f>1</f>
        <v>1</v>
      </c>
      <c r="CV1540" s="8">
        <f>0</f>
        <v>0</v>
      </c>
      <c r="CX1540" s="8">
        <f>0</f>
        <v>0</v>
      </c>
      <c r="CY1540" s="8">
        <f>1</f>
        <v>1</v>
      </c>
      <c r="DA1540" s="5" t="s">
        <v>673</v>
      </c>
      <c r="DB1540" s="5" t="s">
        <v>238</v>
      </c>
      <c r="DD1540" s="5" t="s">
        <v>673</v>
      </c>
      <c r="DE1540" s="8">
        <f>979</f>
        <v>979</v>
      </c>
      <c r="DG1540" s="5" t="s">
        <v>238</v>
      </c>
      <c r="DH1540" s="5" t="s">
        <v>238</v>
      </c>
      <c r="DI1540" s="5" t="s">
        <v>238</v>
      </c>
      <c r="DJ1540" s="5" t="s">
        <v>238</v>
      </c>
      <c r="DN1540" s="5" t="s">
        <v>238</v>
      </c>
      <c r="DO1540" s="5" t="s">
        <v>238</v>
      </c>
      <c r="DP1540" s="5" t="s">
        <v>238</v>
      </c>
      <c r="DQ1540" s="5" t="s">
        <v>238</v>
      </c>
      <c r="DT1540" s="5" t="s">
        <v>2039</v>
      </c>
      <c r="DU1540" s="5" t="s">
        <v>1592</v>
      </c>
      <c r="HM1540" s="5" t="s">
        <v>264</v>
      </c>
    </row>
    <row r="1541" spans="1:221" x14ac:dyDescent="0.4">
      <c r="A1541" s="5">
        <v>3216</v>
      </c>
      <c r="B1541" s="5">
        <v>1</v>
      </c>
      <c r="C1541" s="5">
        <v>1</v>
      </c>
      <c r="D1541" s="5" t="s">
        <v>2037</v>
      </c>
      <c r="E1541" s="5" t="s">
        <v>271</v>
      </c>
      <c r="F1541" s="5" t="s">
        <v>248</v>
      </c>
      <c r="G1541" s="5" t="s">
        <v>1969</v>
      </c>
      <c r="H1541" s="6" t="s">
        <v>2155</v>
      </c>
      <c r="I1541" s="7">
        <f>102</f>
        <v>102</v>
      </c>
      <c r="J1541" s="5" t="s">
        <v>262</v>
      </c>
      <c r="K1541" s="8">
        <f>1</f>
        <v>1</v>
      </c>
      <c r="L1541" s="6" t="s">
        <v>242</v>
      </c>
      <c r="M1541" s="5" t="s">
        <v>267</v>
      </c>
      <c r="N1541" s="5" t="s">
        <v>265</v>
      </c>
      <c r="O1541" s="5" t="s">
        <v>238</v>
      </c>
      <c r="P1541" s="5" t="s">
        <v>238</v>
      </c>
      <c r="Q1541" s="5" t="s">
        <v>268</v>
      </c>
      <c r="R1541" s="5" t="s">
        <v>270</v>
      </c>
      <c r="S1541" s="5" t="s">
        <v>238</v>
      </c>
      <c r="V1541" s="5" t="s">
        <v>238</v>
      </c>
      <c r="X1541" s="6" t="s">
        <v>238</v>
      </c>
      <c r="AA1541" s="6" t="s">
        <v>243</v>
      </c>
      <c r="AB1541" s="5" t="s">
        <v>238</v>
      </c>
      <c r="AC1541" s="5" t="s">
        <v>244</v>
      </c>
      <c r="AD1541" s="5" t="s">
        <v>245</v>
      </c>
      <c r="AT1541" s="5" t="s">
        <v>246</v>
      </c>
      <c r="AU1541" s="5" t="s">
        <v>238</v>
      </c>
      <c r="AV1541" s="5" t="s">
        <v>247</v>
      </c>
      <c r="AW1541" s="5" t="s">
        <v>238</v>
      </c>
      <c r="AX1541" s="5" t="s">
        <v>249</v>
      </c>
      <c r="AY1541" s="5" t="s">
        <v>238</v>
      </c>
      <c r="BA1541" s="5" t="s">
        <v>238</v>
      </c>
      <c r="BC1541" s="5" t="s">
        <v>250</v>
      </c>
      <c r="BD1541" s="6" t="s">
        <v>243</v>
      </c>
      <c r="BE1541" s="5" t="s">
        <v>251</v>
      </c>
      <c r="BF1541" s="5" t="s">
        <v>252</v>
      </c>
      <c r="BG1541" s="5" t="s">
        <v>238</v>
      </c>
      <c r="BH1541" s="7">
        <f>0</f>
        <v>0</v>
      </c>
      <c r="BI1541" s="8">
        <f>0</f>
        <v>0</v>
      </c>
      <c r="BJ1541" s="5" t="s">
        <v>253</v>
      </c>
      <c r="BK1541" s="5" t="s">
        <v>254</v>
      </c>
      <c r="BY1541" s="5" t="s">
        <v>238</v>
      </c>
      <c r="BZ1541" s="5" t="s">
        <v>238</v>
      </c>
      <c r="CD1541" s="5" t="s">
        <v>273</v>
      </c>
      <c r="CE1541" s="5" t="s">
        <v>256</v>
      </c>
      <c r="CF1541" s="5" t="s">
        <v>238</v>
      </c>
      <c r="CI1541" s="6" t="s">
        <v>257</v>
      </c>
      <c r="CJ1541" s="5" t="s">
        <v>238</v>
      </c>
      <c r="CK1541" s="5" t="s">
        <v>258</v>
      </c>
      <c r="CL1541" s="5" t="s">
        <v>238</v>
      </c>
      <c r="CM1541" s="5" t="s">
        <v>238</v>
      </c>
      <c r="CN1541" s="5">
        <v>0</v>
      </c>
      <c r="CO1541" s="5" t="s">
        <v>259</v>
      </c>
      <c r="CP1541" s="5" t="s">
        <v>260</v>
      </c>
      <c r="CQ1541" s="5" t="s">
        <v>260</v>
      </c>
      <c r="CR1541" s="5" t="s">
        <v>261</v>
      </c>
      <c r="CU1541" s="8">
        <f>1</f>
        <v>1</v>
      </c>
      <c r="CV1541" s="8">
        <f>0</f>
        <v>0</v>
      </c>
      <c r="CX1541" s="8">
        <f>0</f>
        <v>0</v>
      </c>
      <c r="CY1541" s="8">
        <f>1</f>
        <v>1</v>
      </c>
      <c r="DA1541" s="5" t="s">
        <v>673</v>
      </c>
      <c r="DB1541" s="5" t="s">
        <v>238</v>
      </c>
      <c r="DD1541" s="5" t="s">
        <v>673</v>
      </c>
      <c r="DE1541" s="8">
        <f>102</f>
        <v>102</v>
      </c>
      <c r="DG1541" s="5" t="s">
        <v>238</v>
      </c>
      <c r="DH1541" s="5" t="s">
        <v>238</v>
      </c>
      <c r="DI1541" s="5" t="s">
        <v>238</v>
      </c>
      <c r="DJ1541" s="5" t="s">
        <v>238</v>
      </c>
      <c r="DN1541" s="5" t="s">
        <v>238</v>
      </c>
      <c r="DO1541" s="5" t="s">
        <v>238</v>
      </c>
      <c r="DP1541" s="5" t="s">
        <v>238</v>
      </c>
      <c r="DQ1541" s="5" t="s">
        <v>238</v>
      </c>
      <c r="DT1541" s="5" t="s">
        <v>2039</v>
      </c>
      <c r="DU1541" s="5" t="s">
        <v>1588</v>
      </c>
      <c r="HM1541" s="5" t="s">
        <v>264</v>
      </c>
    </row>
    <row r="1542" spans="1:221" x14ac:dyDescent="0.4">
      <c r="A1542" s="5">
        <v>3217</v>
      </c>
      <c r="B1542" s="5">
        <v>1</v>
      </c>
      <c r="C1542" s="5">
        <v>1</v>
      </c>
      <c r="D1542" s="5" t="s">
        <v>2037</v>
      </c>
      <c r="E1542" s="5" t="s">
        <v>271</v>
      </c>
      <c r="F1542" s="5" t="s">
        <v>248</v>
      </c>
      <c r="G1542" s="5" t="s">
        <v>1969</v>
      </c>
      <c r="H1542" s="6" t="s">
        <v>2150</v>
      </c>
      <c r="I1542" s="7">
        <f>290</f>
        <v>290</v>
      </c>
      <c r="J1542" s="5" t="s">
        <v>262</v>
      </c>
      <c r="K1542" s="8">
        <f>1</f>
        <v>1</v>
      </c>
      <c r="L1542" s="6" t="s">
        <v>242</v>
      </c>
      <c r="M1542" s="5" t="s">
        <v>267</v>
      </c>
      <c r="N1542" s="5" t="s">
        <v>265</v>
      </c>
      <c r="O1542" s="5" t="s">
        <v>238</v>
      </c>
      <c r="P1542" s="5" t="s">
        <v>238</v>
      </c>
      <c r="Q1542" s="5" t="s">
        <v>268</v>
      </c>
      <c r="R1542" s="5" t="s">
        <v>270</v>
      </c>
      <c r="S1542" s="5" t="s">
        <v>238</v>
      </c>
      <c r="V1542" s="5" t="s">
        <v>238</v>
      </c>
      <c r="X1542" s="6" t="s">
        <v>238</v>
      </c>
      <c r="AA1542" s="6" t="s">
        <v>243</v>
      </c>
      <c r="AB1542" s="5" t="s">
        <v>238</v>
      </c>
      <c r="AC1542" s="5" t="s">
        <v>244</v>
      </c>
      <c r="AD1542" s="5" t="s">
        <v>245</v>
      </c>
      <c r="AT1542" s="5" t="s">
        <v>246</v>
      </c>
      <c r="AU1542" s="5" t="s">
        <v>238</v>
      </c>
      <c r="AV1542" s="5" t="s">
        <v>247</v>
      </c>
      <c r="AW1542" s="5" t="s">
        <v>238</v>
      </c>
      <c r="AX1542" s="5" t="s">
        <v>249</v>
      </c>
      <c r="AY1542" s="5" t="s">
        <v>238</v>
      </c>
      <c r="BA1542" s="5" t="s">
        <v>238</v>
      </c>
      <c r="BC1542" s="5" t="s">
        <v>250</v>
      </c>
      <c r="BD1542" s="6" t="s">
        <v>243</v>
      </c>
      <c r="BE1542" s="5" t="s">
        <v>251</v>
      </c>
      <c r="BF1542" s="5" t="s">
        <v>252</v>
      </c>
      <c r="BG1542" s="5" t="s">
        <v>238</v>
      </c>
      <c r="BH1542" s="7">
        <f>0</f>
        <v>0</v>
      </c>
      <c r="BI1542" s="8">
        <f>0</f>
        <v>0</v>
      </c>
      <c r="BJ1542" s="5" t="s">
        <v>253</v>
      </c>
      <c r="BK1542" s="5" t="s">
        <v>254</v>
      </c>
      <c r="BY1542" s="5" t="s">
        <v>238</v>
      </c>
      <c r="BZ1542" s="5" t="s">
        <v>238</v>
      </c>
      <c r="CD1542" s="5" t="s">
        <v>273</v>
      </c>
      <c r="CE1542" s="5" t="s">
        <v>256</v>
      </c>
      <c r="CF1542" s="5" t="s">
        <v>238</v>
      </c>
      <c r="CI1542" s="6" t="s">
        <v>257</v>
      </c>
      <c r="CJ1542" s="5" t="s">
        <v>238</v>
      </c>
      <c r="CK1542" s="5" t="s">
        <v>258</v>
      </c>
      <c r="CL1542" s="5" t="s">
        <v>238</v>
      </c>
      <c r="CM1542" s="5" t="s">
        <v>238</v>
      </c>
      <c r="CN1542" s="5">
        <v>0</v>
      </c>
      <c r="CO1542" s="5" t="s">
        <v>259</v>
      </c>
      <c r="CP1542" s="5" t="s">
        <v>260</v>
      </c>
      <c r="CQ1542" s="5" t="s">
        <v>260</v>
      </c>
      <c r="CR1542" s="5" t="s">
        <v>261</v>
      </c>
      <c r="CU1542" s="8">
        <f>1</f>
        <v>1</v>
      </c>
      <c r="CV1542" s="8">
        <f>0</f>
        <v>0</v>
      </c>
      <c r="CX1542" s="8">
        <f>0</f>
        <v>0</v>
      </c>
      <c r="CY1542" s="8">
        <f>1</f>
        <v>1</v>
      </c>
      <c r="DA1542" s="5" t="s">
        <v>673</v>
      </c>
      <c r="DB1542" s="5" t="s">
        <v>238</v>
      </c>
      <c r="DD1542" s="5" t="s">
        <v>673</v>
      </c>
      <c r="DE1542" s="8">
        <f>290</f>
        <v>290</v>
      </c>
      <c r="DG1542" s="5" t="s">
        <v>238</v>
      </c>
      <c r="DH1542" s="5" t="s">
        <v>238</v>
      </c>
      <c r="DI1542" s="5" t="s">
        <v>238</v>
      </c>
      <c r="DJ1542" s="5" t="s">
        <v>238</v>
      </c>
      <c r="DN1542" s="5" t="s">
        <v>238</v>
      </c>
      <c r="DO1542" s="5" t="s">
        <v>238</v>
      </c>
      <c r="DP1542" s="5" t="s">
        <v>238</v>
      </c>
      <c r="DQ1542" s="5" t="s">
        <v>238</v>
      </c>
      <c r="DT1542" s="5" t="s">
        <v>2039</v>
      </c>
      <c r="DU1542" s="5" t="s">
        <v>1586</v>
      </c>
      <c r="HM1542" s="5" t="s">
        <v>264</v>
      </c>
    </row>
    <row r="1543" spans="1:221" x14ac:dyDescent="0.4">
      <c r="A1543" s="5">
        <v>3218</v>
      </c>
      <c r="B1543" s="5">
        <v>1</v>
      </c>
      <c r="C1543" s="5">
        <v>1</v>
      </c>
      <c r="D1543" s="5" t="s">
        <v>2037</v>
      </c>
      <c r="E1543" s="5" t="s">
        <v>271</v>
      </c>
      <c r="F1543" s="5" t="s">
        <v>248</v>
      </c>
      <c r="G1543" s="5" t="s">
        <v>1969</v>
      </c>
      <c r="H1543" s="6" t="s">
        <v>2147</v>
      </c>
      <c r="I1543" s="7">
        <f>1004</f>
        <v>1004</v>
      </c>
      <c r="J1543" s="5" t="s">
        <v>262</v>
      </c>
      <c r="K1543" s="8">
        <f>1</f>
        <v>1</v>
      </c>
      <c r="L1543" s="6" t="s">
        <v>242</v>
      </c>
      <c r="M1543" s="5" t="s">
        <v>267</v>
      </c>
      <c r="N1543" s="5" t="s">
        <v>265</v>
      </c>
      <c r="O1543" s="5" t="s">
        <v>238</v>
      </c>
      <c r="P1543" s="5" t="s">
        <v>238</v>
      </c>
      <c r="Q1543" s="5" t="s">
        <v>268</v>
      </c>
      <c r="R1543" s="5" t="s">
        <v>270</v>
      </c>
      <c r="S1543" s="5" t="s">
        <v>238</v>
      </c>
      <c r="V1543" s="5" t="s">
        <v>238</v>
      </c>
      <c r="X1543" s="6" t="s">
        <v>238</v>
      </c>
      <c r="AA1543" s="6" t="s">
        <v>243</v>
      </c>
      <c r="AB1543" s="5" t="s">
        <v>238</v>
      </c>
      <c r="AC1543" s="5" t="s">
        <v>244</v>
      </c>
      <c r="AD1543" s="5" t="s">
        <v>245</v>
      </c>
      <c r="AT1543" s="5" t="s">
        <v>246</v>
      </c>
      <c r="AU1543" s="5" t="s">
        <v>238</v>
      </c>
      <c r="AV1543" s="5" t="s">
        <v>247</v>
      </c>
      <c r="AW1543" s="5" t="s">
        <v>238</v>
      </c>
      <c r="AX1543" s="5" t="s">
        <v>249</v>
      </c>
      <c r="AY1543" s="5" t="s">
        <v>238</v>
      </c>
      <c r="BA1543" s="5" t="s">
        <v>238</v>
      </c>
      <c r="BC1543" s="5" t="s">
        <v>250</v>
      </c>
      <c r="BD1543" s="6" t="s">
        <v>243</v>
      </c>
      <c r="BE1543" s="5" t="s">
        <v>251</v>
      </c>
      <c r="BF1543" s="5" t="s">
        <v>252</v>
      </c>
      <c r="BG1543" s="5" t="s">
        <v>238</v>
      </c>
      <c r="BH1543" s="7">
        <f>0</f>
        <v>0</v>
      </c>
      <c r="BI1543" s="8">
        <f>0</f>
        <v>0</v>
      </c>
      <c r="BJ1543" s="5" t="s">
        <v>253</v>
      </c>
      <c r="BK1543" s="5" t="s">
        <v>254</v>
      </c>
      <c r="BY1543" s="5" t="s">
        <v>238</v>
      </c>
      <c r="BZ1543" s="5" t="s">
        <v>238</v>
      </c>
      <c r="CD1543" s="5" t="s">
        <v>273</v>
      </c>
      <c r="CE1543" s="5" t="s">
        <v>256</v>
      </c>
      <c r="CF1543" s="5" t="s">
        <v>238</v>
      </c>
      <c r="CI1543" s="6" t="s">
        <v>257</v>
      </c>
      <c r="CJ1543" s="5" t="s">
        <v>238</v>
      </c>
      <c r="CK1543" s="5" t="s">
        <v>258</v>
      </c>
      <c r="CL1543" s="5" t="s">
        <v>238</v>
      </c>
      <c r="CM1543" s="5" t="s">
        <v>238</v>
      </c>
      <c r="CN1543" s="5">
        <v>0</v>
      </c>
      <c r="CO1543" s="5" t="s">
        <v>259</v>
      </c>
      <c r="CP1543" s="5" t="s">
        <v>260</v>
      </c>
      <c r="CQ1543" s="5" t="s">
        <v>260</v>
      </c>
      <c r="CR1543" s="5" t="s">
        <v>261</v>
      </c>
      <c r="CU1543" s="8">
        <f>1</f>
        <v>1</v>
      </c>
      <c r="CV1543" s="8">
        <f>0</f>
        <v>0</v>
      </c>
      <c r="CX1543" s="8">
        <f>0</f>
        <v>0</v>
      </c>
      <c r="CY1543" s="8">
        <f>1</f>
        <v>1</v>
      </c>
      <c r="DA1543" s="5" t="s">
        <v>673</v>
      </c>
      <c r="DB1543" s="5" t="s">
        <v>238</v>
      </c>
      <c r="DD1543" s="5" t="s">
        <v>673</v>
      </c>
      <c r="DE1543" s="8">
        <f>1004</f>
        <v>1004</v>
      </c>
      <c r="DG1543" s="5" t="s">
        <v>238</v>
      </c>
      <c r="DH1543" s="5" t="s">
        <v>238</v>
      </c>
      <c r="DI1543" s="5" t="s">
        <v>238</v>
      </c>
      <c r="DJ1543" s="5" t="s">
        <v>238</v>
      </c>
      <c r="DN1543" s="5" t="s">
        <v>238</v>
      </c>
      <c r="DO1543" s="5" t="s">
        <v>238</v>
      </c>
      <c r="DP1543" s="5" t="s">
        <v>238</v>
      </c>
      <c r="DQ1543" s="5" t="s">
        <v>238</v>
      </c>
      <c r="DT1543" s="5" t="s">
        <v>2039</v>
      </c>
      <c r="DU1543" s="5" t="s">
        <v>1582</v>
      </c>
      <c r="HM1543" s="5" t="s">
        <v>264</v>
      </c>
    </row>
    <row r="1544" spans="1:221" x14ac:dyDescent="0.4">
      <c r="A1544" s="5">
        <v>3219</v>
      </c>
      <c r="B1544" s="5">
        <v>1</v>
      </c>
      <c r="C1544" s="5">
        <v>1</v>
      </c>
      <c r="D1544" s="5" t="s">
        <v>2037</v>
      </c>
      <c r="E1544" s="5" t="s">
        <v>271</v>
      </c>
      <c r="F1544" s="5" t="s">
        <v>248</v>
      </c>
      <c r="G1544" s="5" t="s">
        <v>1969</v>
      </c>
      <c r="H1544" s="6" t="s">
        <v>2145</v>
      </c>
      <c r="I1544" s="7">
        <f>1933</f>
        <v>1933</v>
      </c>
      <c r="J1544" s="5" t="s">
        <v>262</v>
      </c>
      <c r="K1544" s="8">
        <f>1</f>
        <v>1</v>
      </c>
      <c r="L1544" s="6" t="s">
        <v>242</v>
      </c>
      <c r="M1544" s="5" t="s">
        <v>267</v>
      </c>
      <c r="N1544" s="5" t="s">
        <v>265</v>
      </c>
      <c r="O1544" s="5" t="s">
        <v>238</v>
      </c>
      <c r="P1544" s="5" t="s">
        <v>238</v>
      </c>
      <c r="Q1544" s="5" t="s">
        <v>268</v>
      </c>
      <c r="R1544" s="5" t="s">
        <v>270</v>
      </c>
      <c r="S1544" s="5" t="s">
        <v>238</v>
      </c>
      <c r="V1544" s="5" t="s">
        <v>238</v>
      </c>
      <c r="X1544" s="6" t="s">
        <v>238</v>
      </c>
      <c r="AA1544" s="6" t="s">
        <v>243</v>
      </c>
      <c r="AB1544" s="5" t="s">
        <v>238</v>
      </c>
      <c r="AC1544" s="5" t="s">
        <v>244</v>
      </c>
      <c r="AD1544" s="5" t="s">
        <v>245</v>
      </c>
      <c r="AT1544" s="5" t="s">
        <v>246</v>
      </c>
      <c r="AU1544" s="5" t="s">
        <v>238</v>
      </c>
      <c r="AV1544" s="5" t="s">
        <v>247</v>
      </c>
      <c r="AW1544" s="5" t="s">
        <v>238</v>
      </c>
      <c r="AX1544" s="5" t="s">
        <v>249</v>
      </c>
      <c r="AY1544" s="5" t="s">
        <v>238</v>
      </c>
      <c r="BA1544" s="5" t="s">
        <v>238</v>
      </c>
      <c r="BC1544" s="5" t="s">
        <v>250</v>
      </c>
      <c r="BD1544" s="6" t="s">
        <v>243</v>
      </c>
      <c r="BE1544" s="5" t="s">
        <v>251</v>
      </c>
      <c r="BF1544" s="5" t="s">
        <v>252</v>
      </c>
      <c r="BG1544" s="5" t="s">
        <v>238</v>
      </c>
      <c r="BH1544" s="7">
        <f>0</f>
        <v>0</v>
      </c>
      <c r="BI1544" s="8">
        <f>0</f>
        <v>0</v>
      </c>
      <c r="BJ1544" s="5" t="s">
        <v>253</v>
      </c>
      <c r="BK1544" s="5" t="s">
        <v>254</v>
      </c>
      <c r="BY1544" s="5" t="s">
        <v>238</v>
      </c>
      <c r="BZ1544" s="5" t="s">
        <v>238</v>
      </c>
      <c r="CD1544" s="5" t="s">
        <v>273</v>
      </c>
      <c r="CE1544" s="5" t="s">
        <v>256</v>
      </c>
      <c r="CF1544" s="5" t="s">
        <v>238</v>
      </c>
      <c r="CI1544" s="6" t="s">
        <v>257</v>
      </c>
      <c r="CJ1544" s="5" t="s">
        <v>238</v>
      </c>
      <c r="CK1544" s="5" t="s">
        <v>258</v>
      </c>
      <c r="CL1544" s="5" t="s">
        <v>238</v>
      </c>
      <c r="CM1544" s="5" t="s">
        <v>238</v>
      </c>
      <c r="CN1544" s="5">
        <v>0</v>
      </c>
      <c r="CO1544" s="5" t="s">
        <v>259</v>
      </c>
      <c r="CP1544" s="5" t="s">
        <v>260</v>
      </c>
      <c r="CQ1544" s="5" t="s">
        <v>260</v>
      </c>
      <c r="CR1544" s="5" t="s">
        <v>261</v>
      </c>
      <c r="CU1544" s="8">
        <f>1</f>
        <v>1</v>
      </c>
      <c r="CV1544" s="8">
        <f>0</f>
        <v>0</v>
      </c>
      <c r="CX1544" s="8">
        <f>0</f>
        <v>0</v>
      </c>
      <c r="CY1544" s="8">
        <f>1</f>
        <v>1</v>
      </c>
      <c r="DA1544" s="5" t="s">
        <v>673</v>
      </c>
      <c r="DB1544" s="5" t="s">
        <v>238</v>
      </c>
      <c r="DD1544" s="5" t="s">
        <v>673</v>
      </c>
      <c r="DE1544" s="8">
        <f>1933</f>
        <v>1933</v>
      </c>
      <c r="DG1544" s="5" t="s">
        <v>238</v>
      </c>
      <c r="DH1544" s="5" t="s">
        <v>238</v>
      </c>
      <c r="DI1544" s="5" t="s">
        <v>238</v>
      </c>
      <c r="DJ1544" s="5" t="s">
        <v>238</v>
      </c>
      <c r="DN1544" s="5" t="s">
        <v>238</v>
      </c>
      <c r="DO1544" s="5" t="s">
        <v>238</v>
      </c>
      <c r="DP1544" s="5" t="s">
        <v>238</v>
      </c>
      <c r="DQ1544" s="5" t="s">
        <v>238</v>
      </c>
      <c r="DT1544" s="5" t="s">
        <v>2039</v>
      </c>
      <c r="DU1544" s="5" t="s">
        <v>1574</v>
      </c>
      <c r="HM1544" s="5" t="s">
        <v>264</v>
      </c>
    </row>
    <row r="1545" spans="1:221" x14ac:dyDescent="0.4">
      <c r="A1545" s="5">
        <v>3220</v>
      </c>
      <c r="B1545" s="5">
        <v>1</v>
      </c>
      <c r="C1545" s="5">
        <v>1</v>
      </c>
      <c r="D1545" s="5" t="s">
        <v>2037</v>
      </c>
      <c r="E1545" s="5" t="s">
        <v>271</v>
      </c>
      <c r="F1545" s="5" t="s">
        <v>248</v>
      </c>
      <c r="G1545" s="5" t="s">
        <v>1969</v>
      </c>
      <c r="H1545" s="6" t="s">
        <v>2142</v>
      </c>
      <c r="I1545" s="7">
        <f>561</f>
        <v>561</v>
      </c>
      <c r="J1545" s="5" t="s">
        <v>262</v>
      </c>
      <c r="K1545" s="8">
        <f>1</f>
        <v>1</v>
      </c>
      <c r="L1545" s="6" t="s">
        <v>242</v>
      </c>
      <c r="M1545" s="5" t="s">
        <v>267</v>
      </c>
      <c r="N1545" s="5" t="s">
        <v>265</v>
      </c>
      <c r="O1545" s="5" t="s">
        <v>238</v>
      </c>
      <c r="P1545" s="5" t="s">
        <v>238</v>
      </c>
      <c r="Q1545" s="5" t="s">
        <v>268</v>
      </c>
      <c r="R1545" s="5" t="s">
        <v>270</v>
      </c>
      <c r="S1545" s="5" t="s">
        <v>238</v>
      </c>
      <c r="V1545" s="5" t="s">
        <v>238</v>
      </c>
      <c r="X1545" s="6" t="s">
        <v>238</v>
      </c>
      <c r="AA1545" s="6" t="s">
        <v>243</v>
      </c>
      <c r="AB1545" s="5" t="s">
        <v>238</v>
      </c>
      <c r="AC1545" s="5" t="s">
        <v>244</v>
      </c>
      <c r="AD1545" s="5" t="s">
        <v>245</v>
      </c>
      <c r="AT1545" s="5" t="s">
        <v>246</v>
      </c>
      <c r="AU1545" s="5" t="s">
        <v>238</v>
      </c>
      <c r="AV1545" s="5" t="s">
        <v>247</v>
      </c>
      <c r="AW1545" s="5" t="s">
        <v>238</v>
      </c>
      <c r="AX1545" s="5" t="s">
        <v>249</v>
      </c>
      <c r="AY1545" s="5" t="s">
        <v>238</v>
      </c>
      <c r="BA1545" s="5" t="s">
        <v>238</v>
      </c>
      <c r="BC1545" s="5" t="s">
        <v>250</v>
      </c>
      <c r="BD1545" s="6" t="s">
        <v>243</v>
      </c>
      <c r="BE1545" s="5" t="s">
        <v>251</v>
      </c>
      <c r="BF1545" s="5" t="s">
        <v>252</v>
      </c>
      <c r="BG1545" s="5" t="s">
        <v>238</v>
      </c>
      <c r="BH1545" s="7">
        <f>0</f>
        <v>0</v>
      </c>
      <c r="BI1545" s="8">
        <f>0</f>
        <v>0</v>
      </c>
      <c r="BJ1545" s="5" t="s">
        <v>253</v>
      </c>
      <c r="BK1545" s="5" t="s">
        <v>254</v>
      </c>
      <c r="BY1545" s="5" t="s">
        <v>238</v>
      </c>
      <c r="BZ1545" s="5" t="s">
        <v>238</v>
      </c>
      <c r="CD1545" s="5" t="s">
        <v>273</v>
      </c>
      <c r="CE1545" s="5" t="s">
        <v>256</v>
      </c>
      <c r="CF1545" s="5" t="s">
        <v>238</v>
      </c>
      <c r="CI1545" s="6" t="s">
        <v>257</v>
      </c>
      <c r="CJ1545" s="5" t="s">
        <v>238</v>
      </c>
      <c r="CK1545" s="5" t="s">
        <v>258</v>
      </c>
      <c r="CL1545" s="5" t="s">
        <v>238</v>
      </c>
      <c r="CM1545" s="5" t="s">
        <v>238</v>
      </c>
      <c r="CN1545" s="5">
        <v>0</v>
      </c>
      <c r="CO1545" s="5" t="s">
        <v>259</v>
      </c>
      <c r="CP1545" s="5" t="s">
        <v>260</v>
      </c>
      <c r="CQ1545" s="5" t="s">
        <v>260</v>
      </c>
      <c r="CR1545" s="5" t="s">
        <v>261</v>
      </c>
      <c r="CU1545" s="8">
        <f>1</f>
        <v>1</v>
      </c>
      <c r="CV1545" s="8">
        <f>0</f>
        <v>0</v>
      </c>
      <c r="CX1545" s="8">
        <f>0</f>
        <v>0</v>
      </c>
      <c r="CY1545" s="8">
        <f>1</f>
        <v>1</v>
      </c>
      <c r="DA1545" s="5" t="s">
        <v>673</v>
      </c>
      <c r="DB1545" s="5" t="s">
        <v>238</v>
      </c>
      <c r="DD1545" s="5" t="s">
        <v>673</v>
      </c>
      <c r="DE1545" s="8">
        <f>561</f>
        <v>561</v>
      </c>
      <c r="DG1545" s="5" t="s">
        <v>238</v>
      </c>
      <c r="DH1545" s="5" t="s">
        <v>238</v>
      </c>
      <c r="DI1545" s="5" t="s">
        <v>238</v>
      </c>
      <c r="DJ1545" s="5" t="s">
        <v>238</v>
      </c>
      <c r="DN1545" s="5" t="s">
        <v>238</v>
      </c>
      <c r="DO1545" s="5" t="s">
        <v>238</v>
      </c>
      <c r="DP1545" s="5" t="s">
        <v>238</v>
      </c>
      <c r="DQ1545" s="5" t="s">
        <v>238</v>
      </c>
      <c r="DT1545" s="5" t="s">
        <v>2039</v>
      </c>
      <c r="DU1545" s="5" t="s">
        <v>1570</v>
      </c>
      <c r="HM1545" s="5" t="s">
        <v>264</v>
      </c>
    </row>
    <row r="1546" spans="1:221" x14ac:dyDescent="0.4">
      <c r="A1546" s="5">
        <v>3221</v>
      </c>
      <c r="B1546" s="5">
        <v>1</v>
      </c>
      <c r="C1546" s="5">
        <v>1</v>
      </c>
      <c r="D1546" s="5" t="s">
        <v>2037</v>
      </c>
      <c r="E1546" s="5" t="s">
        <v>271</v>
      </c>
      <c r="F1546" s="5" t="s">
        <v>248</v>
      </c>
      <c r="G1546" s="5" t="s">
        <v>1969</v>
      </c>
      <c r="H1546" s="6" t="s">
        <v>2141</v>
      </c>
      <c r="I1546" s="7">
        <f>259</f>
        <v>259</v>
      </c>
      <c r="J1546" s="5" t="s">
        <v>262</v>
      </c>
      <c r="K1546" s="8">
        <f>1</f>
        <v>1</v>
      </c>
      <c r="L1546" s="6" t="s">
        <v>242</v>
      </c>
      <c r="M1546" s="5" t="s">
        <v>267</v>
      </c>
      <c r="N1546" s="5" t="s">
        <v>265</v>
      </c>
      <c r="O1546" s="5" t="s">
        <v>238</v>
      </c>
      <c r="P1546" s="5" t="s">
        <v>238</v>
      </c>
      <c r="Q1546" s="5" t="s">
        <v>268</v>
      </c>
      <c r="R1546" s="5" t="s">
        <v>270</v>
      </c>
      <c r="S1546" s="5" t="s">
        <v>238</v>
      </c>
      <c r="V1546" s="5" t="s">
        <v>238</v>
      </c>
      <c r="X1546" s="6" t="s">
        <v>238</v>
      </c>
      <c r="AA1546" s="6" t="s">
        <v>243</v>
      </c>
      <c r="AB1546" s="5" t="s">
        <v>238</v>
      </c>
      <c r="AC1546" s="5" t="s">
        <v>244</v>
      </c>
      <c r="AD1546" s="5" t="s">
        <v>245</v>
      </c>
      <c r="AT1546" s="5" t="s">
        <v>246</v>
      </c>
      <c r="AU1546" s="5" t="s">
        <v>238</v>
      </c>
      <c r="AV1546" s="5" t="s">
        <v>247</v>
      </c>
      <c r="AW1546" s="5" t="s">
        <v>238</v>
      </c>
      <c r="AX1546" s="5" t="s">
        <v>249</v>
      </c>
      <c r="AY1546" s="5" t="s">
        <v>238</v>
      </c>
      <c r="BA1546" s="5" t="s">
        <v>238</v>
      </c>
      <c r="BC1546" s="5" t="s">
        <v>250</v>
      </c>
      <c r="BD1546" s="6" t="s">
        <v>243</v>
      </c>
      <c r="BE1546" s="5" t="s">
        <v>251</v>
      </c>
      <c r="BF1546" s="5" t="s">
        <v>252</v>
      </c>
      <c r="BG1546" s="5" t="s">
        <v>238</v>
      </c>
      <c r="BH1546" s="7">
        <f>0</f>
        <v>0</v>
      </c>
      <c r="BI1546" s="8">
        <f>0</f>
        <v>0</v>
      </c>
      <c r="BJ1546" s="5" t="s">
        <v>253</v>
      </c>
      <c r="BK1546" s="5" t="s">
        <v>254</v>
      </c>
      <c r="BY1546" s="5" t="s">
        <v>238</v>
      </c>
      <c r="BZ1546" s="5" t="s">
        <v>238</v>
      </c>
      <c r="CD1546" s="5" t="s">
        <v>273</v>
      </c>
      <c r="CE1546" s="5" t="s">
        <v>256</v>
      </c>
      <c r="CF1546" s="5" t="s">
        <v>238</v>
      </c>
      <c r="CI1546" s="6" t="s">
        <v>257</v>
      </c>
      <c r="CJ1546" s="5" t="s">
        <v>238</v>
      </c>
      <c r="CK1546" s="5" t="s">
        <v>258</v>
      </c>
      <c r="CL1546" s="5" t="s">
        <v>238</v>
      </c>
      <c r="CM1546" s="5" t="s">
        <v>238</v>
      </c>
      <c r="CN1546" s="5">
        <v>0</v>
      </c>
      <c r="CO1546" s="5" t="s">
        <v>259</v>
      </c>
      <c r="CP1546" s="5" t="s">
        <v>260</v>
      </c>
      <c r="CQ1546" s="5" t="s">
        <v>260</v>
      </c>
      <c r="CR1546" s="5" t="s">
        <v>261</v>
      </c>
      <c r="CU1546" s="8">
        <f>1</f>
        <v>1</v>
      </c>
      <c r="CV1546" s="8">
        <f>0</f>
        <v>0</v>
      </c>
      <c r="CX1546" s="8">
        <f>0</f>
        <v>0</v>
      </c>
      <c r="CY1546" s="8">
        <f>1</f>
        <v>1</v>
      </c>
      <c r="DA1546" s="5" t="s">
        <v>673</v>
      </c>
      <c r="DB1546" s="5" t="s">
        <v>238</v>
      </c>
      <c r="DD1546" s="5" t="s">
        <v>673</v>
      </c>
      <c r="DE1546" s="8">
        <f>259</f>
        <v>259</v>
      </c>
      <c r="DG1546" s="5" t="s">
        <v>238</v>
      </c>
      <c r="DH1546" s="5" t="s">
        <v>238</v>
      </c>
      <c r="DI1546" s="5" t="s">
        <v>238</v>
      </c>
      <c r="DJ1546" s="5" t="s">
        <v>238</v>
      </c>
      <c r="DN1546" s="5" t="s">
        <v>238</v>
      </c>
      <c r="DO1546" s="5" t="s">
        <v>238</v>
      </c>
      <c r="DP1546" s="5" t="s">
        <v>238</v>
      </c>
      <c r="DQ1546" s="5" t="s">
        <v>238</v>
      </c>
      <c r="DT1546" s="5" t="s">
        <v>2039</v>
      </c>
      <c r="DU1546" s="5" t="s">
        <v>1566</v>
      </c>
      <c r="HM1546" s="5" t="s">
        <v>264</v>
      </c>
    </row>
    <row r="1547" spans="1:221" x14ac:dyDescent="0.4">
      <c r="A1547" s="5">
        <v>3222</v>
      </c>
      <c r="B1547" s="5">
        <v>1</v>
      </c>
      <c r="C1547" s="5">
        <v>1</v>
      </c>
      <c r="D1547" s="5" t="s">
        <v>2037</v>
      </c>
      <c r="E1547" s="5" t="s">
        <v>271</v>
      </c>
      <c r="F1547" s="5" t="s">
        <v>248</v>
      </c>
      <c r="G1547" s="5" t="s">
        <v>1969</v>
      </c>
      <c r="H1547" s="6" t="s">
        <v>2140</v>
      </c>
      <c r="I1547" s="7">
        <f>1759</f>
        <v>1759</v>
      </c>
      <c r="J1547" s="5" t="s">
        <v>262</v>
      </c>
      <c r="K1547" s="8">
        <f>1</f>
        <v>1</v>
      </c>
      <c r="L1547" s="6" t="s">
        <v>242</v>
      </c>
      <c r="M1547" s="5" t="s">
        <v>267</v>
      </c>
      <c r="N1547" s="5" t="s">
        <v>265</v>
      </c>
      <c r="O1547" s="5" t="s">
        <v>238</v>
      </c>
      <c r="P1547" s="5" t="s">
        <v>238</v>
      </c>
      <c r="Q1547" s="5" t="s">
        <v>268</v>
      </c>
      <c r="R1547" s="5" t="s">
        <v>270</v>
      </c>
      <c r="S1547" s="5" t="s">
        <v>238</v>
      </c>
      <c r="V1547" s="5" t="s">
        <v>238</v>
      </c>
      <c r="X1547" s="6" t="s">
        <v>238</v>
      </c>
      <c r="AA1547" s="6" t="s">
        <v>243</v>
      </c>
      <c r="AB1547" s="5" t="s">
        <v>238</v>
      </c>
      <c r="AC1547" s="5" t="s">
        <v>244</v>
      </c>
      <c r="AD1547" s="5" t="s">
        <v>245</v>
      </c>
      <c r="AT1547" s="5" t="s">
        <v>246</v>
      </c>
      <c r="AU1547" s="5" t="s">
        <v>238</v>
      </c>
      <c r="AV1547" s="5" t="s">
        <v>247</v>
      </c>
      <c r="AW1547" s="5" t="s">
        <v>238</v>
      </c>
      <c r="AX1547" s="5" t="s">
        <v>249</v>
      </c>
      <c r="AY1547" s="5" t="s">
        <v>238</v>
      </c>
      <c r="BA1547" s="5" t="s">
        <v>238</v>
      </c>
      <c r="BC1547" s="5" t="s">
        <v>250</v>
      </c>
      <c r="BD1547" s="6" t="s">
        <v>243</v>
      </c>
      <c r="BE1547" s="5" t="s">
        <v>251</v>
      </c>
      <c r="BF1547" s="5" t="s">
        <v>252</v>
      </c>
      <c r="BG1547" s="5" t="s">
        <v>238</v>
      </c>
      <c r="BH1547" s="7">
        <f>0</f>
        <v>0</v>
      </c>
      <c r="BI1547" s="8">
        <f>0</f>
        <v>0</v>
      </c>
      <c r="BJ1547" s="5" t="s">
        <v>253</v>
      </c>
      <c r="BK1547" s="5" t="s">
        <v>254</v>
      </c>
      <c r="BY1547" s="5" t="s">
        <v>238</v>
      </c>
      <c r="BZ1547" s="5" t="s">
        <v>238</v>
      </c>
      <c r="CD1547" s="5" t="s">
        <v>273</v>
      </c>
      <c r="CE1547" s="5" t="s">
        <v>256</v>
      </c>
      <c r="CF1547" s="5" t="s">
        <v>238</v>
      </c>
      <c r="CI1547" s="6" t="s">
        <v>257</v>
      </c>
      <c r="CJ1547" s="5" t="s">
        <v>238</v>
      </c>
      <c r="CK1547" s="5" t="s">
        <v>258</v>
      </c>
      <c r="CL1547" s="5" t="s">
        <v>238</v>
      </c>
      <c r="CM1547" s="5" t="s">
        <v>238</v>
      </c>
      <c r="CN1547" s="5">
        <v>0</v>
      </c>
      <c r="CO1547" s="5" t="s">
        <v>259</v>
      </c>
      <c r="CP1547" s="5" t="s">
        <v>260</v>
      </c>
      <c r="CQ1547" s="5" t="s">
        <v>260</v>
      </c>
      <c r="CR1547" s="5" t="s">
        <v>261</v>
      </c>
      <c r="CU1547" s="8">
        <f>1</f>
        <v>1</v>
      </c>
      <c r="CV1547" s="8">
        <f>0</f>
        <v>0</v>
      </c>
      <c r="CX1547" s="8">
        <f>0</f>
        <v>0</v>
      </c>
      <c r="CY1547" s="8">
        <f>1</f>
        <v>1</v>
      </c>
      <c r="DA1547" s="5" t="s">
        <v>673</v>
      </c>
      <c r="DB1547" s="5" t="s">
        <v>238</v>
      </c>
      <c r="DD1547" s="5" t="s">
        <v>673</v>
      </c>
      <c r="DE1547" s="8">
        <f>1759</f>
        <v>1759</v>
      </c>
      <c r="DG1547" s="5" t="s">
        <v>238</v>
      </c>
      <c r="DH1547" s="5" t="s">
        <v>238</v>
      </c>
      <c r="DI1547" s="5" t="s">
        <v>238</v>
      </c>
      <c r="DJ1547" s="5" t="s">
        <v>238</v>
      </c>
      <c r="DN1547" s="5" t="s">
        <v>238</v>
      </c>
      <c r="DO1547" s="5" t="s">
        <v>238</v>
      </c>
      <c r="DP1547" s="5" t="s">
        <v>238</v>
      </c>
      <c r="DQ1547" s="5" t="s">
        <v>238</v>
      </c>
      <c r="DT1547" s="5" t="s">
        <v>2039</v>
      </c>
      <c r="DU1547" s="5" t="s">
        <v>1562</v>
      </c>
      <c r="HM1547" s="5" t="s">
        <v>264</v>
      </c>
    </row>
    <row r="1548" spans="1:221" x14ac:dyDescent="0.4">
      <c r="A1548" s="5">
        <v>3223</v>
      </c>
      <c r="B1548" s="5">
        <v>1</v>
      </c>
      <c r="C1548" s="5">
        <v>1</v>
      </c>
      <c r="D1548" s="5" t="s">
        <v>2037</v>
      </c>
      <c r="E1548" s="5" t="s">
        <v>271</v>
      </c>
      <c r="F1548" s="5" t="s">
        <v>248</v>
      </c>
      <c r="G1548" s="5" t="s">
        <v>1969</v>
      </c>
      <c r="H1548" s="6" t="s">
        <v>2138</v>
      </c>
      <c r="I1548" s="7">
        <f>745</f>
        <v>745</v>
      </c>
      <c r="J1548" s="5" t="s">
        <v>262</v>
      </c>
      <c r="K1548" s="8">
        <f>1</f>
        <v>1</v>
      </c>
      <c r="L1548" s="6" t="s">
        <v>242</v>
      </c>
      <c r="M1548" s="5" t="s">
        <v>267</v>
      </c>
      <c r="N1548" s="5" t="s">
        <v>265</v>
      </c>
      <c r="O1548" s="5" t="s">
        <v>238</v>
      </c>
      <c r="P1548" s="5" t="s">
        <v>238</v>
      </c>
      <c r="Q1548" s="5" t="s">
        <v>268</v>
      </c>
      <c r="R1548" s="5" t="s">
        <v>270</v>
      </c>
      <c r="S1548" s="5" t="s">
        <v>238</v>
      </c>
      <c r="V1548" s="5" t="s">
        <v>238</v>
      </c>
      <c r="X1548" s="6" t="s">
        <v>238</v>
      </c>
      <c r="AA1548" s="6" t="s">
        <v>243</v>
      </c>
      <c r="AB1548" s="5" t="s">
        <v>238</v>
      </c>
      <c r="AC1548" s="5" t="s">
        <v>244</v>
      </c>
      <c r="AD1548" s="5" t="s">
        <v>245</v>
      </c>
      <c r="AT1548" s="5" t="s">
        <v>246</v>
      </c>
      <c r="AU1548" s="5" t="s">
        <v>238</v>
      </c>
      <c r="AV1548" s="5" t="s">
        <v>247</v>
      </c>
      <c r="AW1548" s="5" t="s">
        <v>238</v>
      </c>
      <c r="AX1548" s="5" t="s">
        <v>249</v>
      </c>
      <c r="AY1548" s="5" t="s">
        <v>238</v>
      </c>
      <c r="BA1548" s="5" t="s">
        <v>238</v>
      </c>
      <c r="BC1548" s="5" t="s">
        <v>250</v>
      </c>
      <c r="BD1548" s="6" t="s">
        <v>243</v>
      </c>
      <c r="BE1548" s="5" t="s">
        <v>251</v>
      </c>
      <c r="BF1548" s="5" t="s">
        <v>252</v>
      </c>
      <c r="BG1548" s="5" t="s">
        <v>238</v>
      </c>
      <c r="BH1548" s="7">
        <f>0</f>
        <v>0</v>
      </c>
      <c r="BI1548" s="8">
        <f>0</f>
        <v>0</v>
      </c>
      <c r="BJ1548" s="5" t="s">
        <v>253</v>
      </c>
      <c r="BK1548" s="5" t="s">
        <v>254</v>
      </c>
      <c r="BY1548" s="5" t="s">
        <v>238</v>
      </c>
      <c r="BZ1548" s="5" t="s">
        <v>238</v>
      </c>
      <c r="CD1548" s="5" t="s">
        <v>273</v>
      </c>
      <c r="CE1548" s="5" t="s">
        <v>256</v>
      </c>
      <c r="CF1548" s="5" t="s">
        <v>238</v>
      </c>
      <c r="CI1548" s="6" t="s">
        <v>257</v>
      </c>
      <c r="CJ1548" s="5" t="s">
        <v>238</v>
      </c>
      <c r="CK1548" s="5" t="s">
        <v>258</v>
      </c>
      <c r="CL1548" s="5" t="s">
        <v>238</v>
      </c>
      <c r="CM1548" s="5" t="s">
        <v>238</v>
      </c>
      <c r="CN1548" s="5">
        <v>0</v>
      </c>
      <c r="CO1548" s="5" t="s">
        <v>259</v>
      </c>
      <c r="CP1548" s="5" t="s">
        <v>260</v>
      </c>
      <c r="CQ1548" s="5" t="s">
        <v>260</v>
      </c>
      <c r="CR1548" s="5" t="s">
        <v>261</v>
      </c>
      <c r="CU1548" s="8">
        <f>1</f>
        <v>1</v>
      </c>
      <c r="CV1548" s="8">
        <f>0</f>
        <v>0</v>
      </c>
      <c r="CX1548" s="8">
        <f>0</f>
        <v>0</v>
      </c>
      <c r="CY1548" s="8">
        <f>1</f>
        <v>1</v>
      </c>
      <c r="DA1548" s="5" t="s">
        <v>673</v>
      </c>
      <c r="DB1548" s="5" t="s">
        <v>238</v>
      </c>
      <c r="DD1548" s="5" t="s">
        <v>673</v>
      </c>
      <c r="DE1548" s="8">
        <f>745</f>
        <v>745</v>
      </c>
      <c r="DG1548" s="5" t="s">
        <v>238</v>
      </c>
      <c r="DH1548" s="5" t="s">
        <v>238</v>
      </c>
      <c r="DI1548" s="5" t="s">
        <v>238</v>
      </c>
      <c r="DJ1548" s="5" t="s">
        <v>238</v>
      </c>
      <c r="DN1548" s="5" t="s">
        <v>238</v>
      </c>
      <c r="DO1548" s="5" t="s">
        <v>238</v>
      </c>
      <c r="DP1548" s="5" t="s">
        <v>238</v>
      </c>
      <c r="DQ1548" s="5" t="s">
        <v>238</v>
      </c>
      <c r="DT1548" s="5" t="s">
        <v>2039</v>
      </c>
      <c r="DU1548" s="5" t="s">
        <v>1560</v>
      </c>
      <c r="HM1548" s="5" t="s">
        <v>264</v>
      </c>
    </row>
    <row r="1549" spans="1:221" x14ac:dyDescent="0.4">
      <c r="A1549" s="5">
        <v>3224</v>
      </c>
      <c r="B1549" s="5">
        <v>1</v>
      </c>
      <c r="C1549" s="5">
        <v>1</v>
      </c>
      <c r="D1549" s="5" t="s">
        <v>2037</v>
      </c>
      <c r="E1549" s="5" t="s">
        <v>271</v>
      </c>
      <c r="F1549" s="5" t="s">
        <v>248</v>
      </c>
      <c r="G1549" s="5" t="s">
        <v>1969</v>
      </c>
      <c r="H1549" s="6" t="s">
        <v>2132</v>
      </c>
      <c r="I1549" s="7">
        <f>293</f>
        <v>293</v>
      </c>
      <c r="J1549" s="5" t="s">
        <v>262</v>
      </c>
      <c r="K1549" s="8">
        <f>1</f>
        <v>1</v>
      </c>
      <c r="L1549" s="6" t="s">
        <v>242</v>
      </c>
      <c r="M1549" s="5" t="s">
        <v>267</v>
      </c>
      <c r="N1549" s="5" t="s">
        <v>265</v>
      </c>
      <c r="O1549" s="5" t="s">
        <v>238</v>
      </c>
      <c r="P1549" s="5" t="s">
        <v>238</v>
      </c>
      <c r="Q1549" s="5" t="s">
        <v>268</v>
      </c>
      <c r="R1549" s="5" t="s">
        <v>270</v>
      </c>
      <c r="S1549" s="5" t="s">
        <v>238</v>
      </c>
      <c r="V1549" s="5" t="s">
        <v>238</v>
      </c>
      <c r="X1549" s="6" t="s">
        <v>238</v>
      </c>
      <c r="AA1549" s="6" t="s">
        <v>243</v>
      </c>
      <c r="AB1549" s="5" t="s">
        <v>238</v>
      </c>
      <c r="AC1549" s="5" t="s">
        <v>244</v>
      </c>
      <c r="AD1549" s="5" t="s">
        <v>245</v>
      </c>
      <c r="AT1549" s="5" t="s">
        <v>246</v>
      </c>
      <c r="AU1549" s="5" t="s">
        <v>238</v>
      </c>
      <c r="AV1549" s="5" t="s">
        <v>247</v>
      </c>
      <c r="AW1549" s="5" t="s">
        <v>238</v>
      </c>
      <c r="AX1549" s="5" t="s">
        <v>249</v>
      </c>
      <c r="AY1549" s="5" t="s">
        <v>238</v>
      </c>
      <c r="BA1549" s="5" t="s">
        <v>238</v>
      </c>
      <c r="BC1549" s="5" t="s">
        <v>250</v>
      </c>
      <c r="BD1549" s="6" t="s">
        <v>243</v>
      </c>
      <c r="BE1549" s="5" t="s">
        <v>251</v>
      </c>
      <c r="BF1549" s="5" t="s">
        <v>252</v>
      </c>
      <c r="BG1549" s="5" t="s">
        <v>238</v>
      </c>
      <c r="BH1549" s="7">
        <f>0</f>
        <v>0</v>
      </c>
      <c r="BI1549" s="8">
        <f>0</f>
        <v>0</v>
      </c>
      <c r="BJ1549" s="5" t="s">
        <v>253</v>
      </c>
      <c r="BK1549" s="5" t="s">
        <v>254</v>
      </c>
      <c r="BY1549" s="5" t="s">
        <v>238</v>
      </c>
      <c r="BZ1549" s="5" t="s">
        <v>238</v>
      </c>
      <c r="CD1549" s="5" t="s">
        <v>273</v>
      </c>
      <c r="CE1549" s="5" t="s">
        <v>256</v>
      </c>
      <c r="CF1549" s="5" t="s">
        <v>238</v>
      </c>
      <c r="CI1549" s="6" t="s">
        <v>257</v>
      </c>
      <c r="CJ1549" s="5" t="s">
        <v>238</v>
      </c>
      <c r="CK1549" s="5" t="s">
        <v>258</v>
      </c>
      <c r="CL1549" s="5" t="s">
        <v>238</v>
      </c>
      <c r="CM1549" s="5" t="s">
        <v>238</v>
      </c>
      <c r="CN1549" s="5">
        <v>0</v>
      </c>
      <c r="CO1549" s="5" t="s">
        <v>259</v>
      </c>
      <c r="CP1549" s="5" t="s">
        <v>260</v>
      </c>
      <c r="CQ1549" s="5" t="s">
        <v>260</v>
      </c>
      <c r="CR1549" s="5" t="s">
        <v>261</v>
      </c>
      <c r="CU1549" s="8">
        <f>1</f>
        <v>1</v>
      </c>
      <c r="CV1549" s="8">
        <f>0</f>
        <v>0</v>
      </c>
      <c r="CX1549" s="8">
        <f>0</f>
        <v>0</v>
      </c>
      <c r="CY1549" s="8">
        <f>1</f>
        <v>1</v>
      </c>
      <c r="DA1549" s="5" t="s">
        <v>673</v>
      </c>
      <c r="DB1549" s="5" t="s">
        <v>238</v>
      </c>
      <c r="DD1549" s="5" t="s">
        <v>673</v>
      </c>
      <c r="DE1549" s="8">
        <f>293</f>
        <v>293</v>
      </c>
      <c r="DG1549" s="5" t="s">
        <v>238</v>
      </c>
      <c r="DH1549" s="5" t="s">
        <v>238</v>
      </c>
      <c r="DI1549" s="5" t="s">
        <v>238</v>
      </c>
      <c r="DJ1549" s="5" t="s">
        <v>238</v>
      </c>
      <c r="DN1549" s="5" t="s">
        <v>238</v>
      </c>
      <c r="DO1549" s="5" t="s">
        <v>238</v>
      </c>
      <c r="DP1549" s="5" t="s">
        <v>238</v>
      </c>
      <c r="DQ1549" s="5" t="s">
        <v>238</v>
      </c>
      <c r="DT1549" s="5" t="s">
        <v>2039</v>
      </c>
      <c r="DU1549" s="5" t="s">
        <v>1555</v>
      </c>
      <c r="HM1549" s="5" t="s">
        <v>264</v>
      </c>
    </row>
    <row r="1550" spans="1:221" x14ac:dyDescent="0.4">
      <c r="A1550" s="5">
        <v>3225</v>
      </c>
      <c r="B1550" s="5">
        <v>1</v>
      </c>
      <c r="C1550" s="5">
        <v>1</v>
      </c>
      <c r="D1550" s="5" t="s">
        <v>2037</v>
      </c>
      <c r="E1550" s="5" t="s">
        <v>271</v>
      </c>
      <c r="F1550" s="5" t="s">
        <v>248</v>
      </c>
      <c r="G1550" s="5" t="s">
        <v>1969</v>
      </c>
      <c r="H1550" s="6" t="s">
        <v>2128</v>
      </c>
      <c r="I1550" s="7">
        <f>2173</f>
        <v>2173</v>
      </c>
      <c r="J1550" s="5" t="s">
        <v>262</v>
      </c>
      <c r="K1550" s="8">
        <f>1</f>
        <v>1</v>
      </c>
      <c r="L1550" s="6" t="s">
        <v>242</v>
      </c>
      <c r="M1550" s="5" t="s">
        <v>267</v>
      </c>
      <c r="N1550" s="5" t="s">
        <v>265</v>
      </c>
      <c r="O1550" s="5" t="s">
        <v>238</v>
      </c>
      <c r="P1550" s="5" t="s">
        <v>238</v>
      </c>
      <c r="Q1550" s="5" t="s">
        <v>268</v>
      </c>
      <c r="R1550" s="5" t="s">
        <v>270</v>
      </c>
      <c r="S1550" s="5" t="s">
        <v>238</v>
      </c>
      <c r="V1550" s="5" t="s">
        <v>238</v>
      </c>
      <c r="X1550" s="6" t="s">
        <v>238</v>
      </c>
      <c r="AA1550" s="6" t="s">
        <v>243</v>
      </c>
      <c r="AB1550" s="5" t="s">
        <v>238</v>
      </c>
      <c r="AC1550" s="5" t="s">
        <v>244</v>
      </c>
      <c r="AD1550" s="5" t="s">
        <v>245</v>
      </c>
      <c r="AT1550" s="5" t="s">
        <v>246</v>
      </c>
      <c r="AU1550" s="5" t="s">
        <v>238</v>
      </c>
      <c r="AV1550" s="5" t="s">
        <v>247</v>
      </c>
      <c r="AW1550" s="5" t="s">
        <v>238</v>
      </c>
      <c r="AX1550" s="5" t="s">
        <v>249</v>
      </c>
      <c r="AY1550" s="5" t="s">
        <v>238</v>
      </c>
      <c r="BA1550" s="5" t="s">
        <v>238</v>
      </c>
      <c r="BC1550" s="5" t="s">
        <v>250</v>
      </c>
      <c r="BD1550" s="6" t="s">
        <v>243</v>
      </c>
      <c r="BE1550" s="5" t="s">
        <v>251</v>
      </c>
      <c r="BF1550" s="5" t="s">
        <v>252</v>
      </c>
      <c r="BG1550" s="5" t="s">
        <v>238</v>
      </c>
      <c r="BH1550" s="7">
        <f>0</f>
        <v>0</v>
      </c>
      <c r="BI1550" s="8">
        <f>0</f>
        <v>0</v>
      </c>
      <c r="BJ1550" s="5" t="s">
        <v>253</v>
      </c>
      <c r="BK1550" s="5" t="s">
        <v>254</v>
      </c>
      <c r="BY1550" s="5" t="s">
        <v>238</v>
      </c>
      <c r="BZ1550" s="5" t="s">
        <v>238</v>
      </c>
      <c r="CD1550" s="5" t="s">
        <v>273</v>
      </c>
      <c r="CE1550" s="5" t="s">
        <v>256</v>
      </c>
      <c r="CF1550" s="5" t="s">
        <v>238</v>
      </c>
      <c r="CI1550" s="6" t="s">
        <v>257</v>
      </c>
      <c r="CJ1550" s="5" t="s">
        <v>238</v>
      </c>
      <c r="CK1550" s="5" t="s">
        <v>258</v>
      </c>
      <c r="CL1550" s="5" t="s">
        <v>238</v>
      </c>
      <c r="CM1550" s="5" t="s">
        <v>238</v>
      </c>
      <c r="CN1550" s="5">
        <v>0</v>
      </c>
      <c r="CO1550" s="5" t="s">
        <v>259</v>
      </c>
      <c r="CP1550" s="5" t="s">
        <v>260</v>
      </c>
      <c r="CQ1550" s="5" t="s">
        <v>260</v>
      </c>
      <c r="CR1550" s="5" t="s">
        <v>261</v>
      </c>
      <c r="CU1550" s="8">
        <f>1</f>
        <v>1</v>
      </c>
      <c r="CV1550" s="8">
        <f>0</f>
        <v>0</v>
      </c>
      <c r="CX1550" s="8">
        <f>0</f>
        <v>0</v>
      </c>
      <c r="CY1550" s="8">
        <f>1</f>
        <v>1</v>
      </c>
      <c r="DA1550" s="5" t="s">
        <v>673</v>
      </c>
      <c r="DB1550" s="5" t="s">
        <v>238</v>
      </c>
      <c r="DD1550" s="5" t="s">
        <v>673</v>
      </c>
      <c r="DE1550" s="8">
        <f>2173</f>
        <v>2173</v>
      </c>
      <c r="DG1550" s="5" t="s">
        <v>238</v>
      </c>
      <c r="DH1550" s="5" t="s">
        <v>238</v>
      </c>
      <c r="DI1550" s="5" t="s">
        <v>238</v>
      </c>
      <c r="DJ1550" s="5" t="s">
        <v>238</v>
      </c>
      <c r="DN1550" s="5" t="s">
        <v>238</v>
      </c>
      <c r="DO1550" s="5" t="s">
        <v>238</v>
      </c>
      <c r="DP1550" s="5" t="s">
        <v>238</v>
      </c>
      <c r="DQ1550" s="5" t="s">
        <v>238</v>
      </c>
      <c r="DT1550" s="5" t="s">
        <v>2039</v>
      </c>
      <c r="DU1550" s="5" t="s">
        <v>1553</v>
      </c>
      <c r="HM1550" s="5" t="s">
        <v>264</v>
      </c>
    </row>
    <row r="1551" spans="1:221" x14ac:dyDescent="0.4">
      <c r="A1551" s="5">
        <v>3226</v>
      </c>
      <c r="B1551" s="5">
        <v>1</v>
      </c>
      <c r="C1551" s="5">
        <v>1</v>
      </c>
      <c r="D1551" s="5" t="s">
        <v>2037</v>
      </c>
      <c r="E1551" s="5" t="s">
        <v>271</v>
      </c>
      <c r="F1551" s="5" t="s">
        <v>248</v>
      </c>
      <c r="G1551" s="5" t="s">
        <v>1969</v>
      </c>
      <c r="H1551" s="6" t="s">
        <v>2120</v>
      </c>
      <c r="I1551" s="7">
        <f>382</f>
        <v>382</v>
      </c>
      <c r="J1551" s="5" t="s">
        <v>262</v>
      </c>
      <c r="K1551" s="8">
        <f>1</f>
        <v>1</v>
      </c>
      <c r="L1551" s="6" t="s">
        <v>242</v>
      </c>
      <c r="M1551" s="5" t="s">
        <v>267</v>
      </c>
      <c r="N1551" s="5" t="s">
        <v>265</v>
      </c>
      <c r="O1551" s="5" t="s">
        <v>238</v>
      </c>
      <c r="P1551" s="5" t="s">
        <v>238</v>
      </c>
      <c r="Q1551" s="5" t="s">
        <v>268</v>
      </c>
      <c r="R1551" s="5" t="s">
        <v>270</v>
      </c>
      <c r="S1551" s="5" t="s">
        <v>238</v>
      </c>
      <c r="V1551" s="5" t="s">
        <v>238</v>
      </c>
      <c r="X1551" s="6" t="s">
        <v>238</v>
      </c>
      <c r="AA1551" s="6" t="s">
        <v>243</v>
      </c>
      <c r="AB1551" s="5" t="s">
        <v>238</v>
      </c>
      <c r="AC1551" s="5" t="s">
        <v>244</v>
      </c>
      <c r="AD1551" s="5" t="s">
        <v>245</v>
      </c>
      <c r="AT1551" s="5" t="s">
        <v>246</v>
      </c>
      <c r="AU1551" s="5" t="s">
        <v>238</v>
      </c>
      <c r="AV1551" s="5" t="s">
        <v>247</v>
      </c>
      <c r="AW1551" s="5" t="s">
        <v>238</v>
      </c>
      <c r="AX1551" s="5" t="s">
        <v>249</v>
      </c>
      <c r="AY1551" s="5" t="s">
        <v>238</v>
      </c>
      <c r="BA1551" s="5" t="s">
        <v>238</v>
      </c>
      <c r="BC1551" s="5" t="s">
        <v>250</v>
      </c>
      <c r="BD1551" s="6" t="s">
        <v>243</v>
      </c>
      <c r="BE1551" s="5" t="s">
        <v>251</v>
      </c>
      <c r="BF1551" s="5" t="s">
        <v>252</v>
      </c>
      <c r="BG1551" s="5" t="s">
        <v>238</v>
      </c>
      <c r="BH1551" s="7">
        <f>0</f>
        <v>0</v>
      </c>
      <c r="BI1551" s="8">
        <f>0</f>
        <v>0</v>
      </c>
      <c r="BJ1551" s="5" t="s">
        <v>253</v>
      </c>
      <c r="BK1551" s="5" t="s">
        <v>254</v>
      </c>
      <c r="BY1551" s="5" t="s">
        <v>238</v>
      </c>
      <c r="BZ1551" s="5" t="s">
        <v>238</v>
      </c>
      <c r="CD1551" s="5" t="s">
        <v>273</v>
      </c>
      <c r="CE1551" s="5" t="s">
        <v>256</v>
      </c>
      <c r="CF1551" s="5" t="s">
        <v>238</v>
      </c>
      <c r="CI1551" s="6" t="s">
        <v>257</v>
      </c>
      <c r="CJ1551" s="5" t="s">
        <v>238</v>
      </c>
      <c r="CK1551" s="5" t="s">
        <v>258</v>
      </c>
      <c r="CL1551" s="5" t="s">
        <v>238</v>
      </c>
      <c r="CM1551" s="5" t="s">
        <v>238</v>
      </c>
      <c r="CN1551" s="5">
        <v>0</v>
      </c>
      <c r="CO1551" s="5" t="s">
        <v>259</v>
      </c>
      <c r="CP1551" s="5" t="s">
        <v>260</v>
      </c>
      <c r="CQ1551" s="5" t="s">
        <v>260</v>
      </c>
      <c r="CR1551" s="5" t="s">
        <v>261</v>
      </c>
      <c r="CU1551" s="8">
        <f>1</f>
        <v>1</v>
      </c>
      <c r="CV1551" s="8">
        <f>0</f>
        <v>0</v>
      </c>
      <c r="CX1551" s="8">
        <f>0</f>
        <v>0</v>
      </c>
      <c r="CY1551" s="8">
        <f>1</f>
        <v>1</v>
      </c>
      <c r="DA1551" s="5" t="s">
        <v>673</v>
      </c>
      <c r="DB1551" s="5" t="s">
        <v>238</v>
      </c>
      <c r="DD1551" s="5" t="s">
        <v>673</v>
      </c>
      <c r="DE1551" s="8">
        <f>382</f>
        <v>382</v>
      </c>
      <c r="DG1551" s="5" t="s">
        <v>238</v>
      </c>
      <c r="DH1551" s="5" t="s">
        <v>238</v>
      </c>
      <c r="DI1551" s="5" t="s">
        <v>238</v>
      </c>
      <c r="DJ1551" s="5" t="s">
        <v>238</v>
      </c>
      <c r="DN1551" s="5" t="s">
        <v>238</v>
      </c>
      <c r="DO1551" s="5" t="s">
        <v>238</v>
      </c>
      <c r="DP1551" s="5" t="s">
        <v>238</v>
      </c>
      <c r="DQ1551" s="5" t="s">
        <v>238</v>
      </c>
      <c r="DT1551" s="5" t="s">
        <v>2039</v>
      </c>
      <c r="DU1551" s="5" t="s">
        <v>1547</v>
      </c>
      <c r="HM1551" s="5" t="s">
        <v>264</v>
      </c>
    </row>
    <row r="1552" spans="1:221" x14ac:dyDescent="0.4">
      <c r="A1552" s="5">
        <v>3227</v>
      </c>
      <c r="B1552" s="5">
        <v>1</v>
      </c>
      <c r="C1552" s="5">
        <v>1</v>
      </c>
      <c r="D1552" s="5" t="s">
        <v>2037</v>
      </c>
      <c r="E1552" s="5" t="s">
        <v>271</v>
      </c>
      <c r="F1552" s="5" t="s">
        <v>248</v>
      </c>
      <c r="G1552" s="5" t="s">
        <v>1969</v>
      </c>
      <c r="H1552" s="6" t="s">
        <v>2115</v>
      </c>
      <c r="I1552" s="7">
        <f>694</f>
        <v>694</v>
      </c>
      <c r="J1552" s="5" t="s">
        <v>262</v>
      </c>
      <c r="K1552" s="8">
        <f>1</f>
        <v>1</v>
      </c>
      <c r="L1552" s="6" t="s">
        <v>242</v>
      </c>
      <c r="M1552" s="5" t="s">
        <v>267</v>
      </c>
      <c r="N1552" s="5" t="s">
        <v>265</v>
      </c>
      <c r="O1552" s="5" t="s">
        <v>238</v>
      </c>
      <c r="P1552" s="5" t="s">
        <v>238</v>
      </c>
      <c r="Q1552" s="5" t="s">
        <v>268</v>
      </c>
      <c r="R1552" s="5" t="s">
        <v>270</v>
      </c>
      <c r="S1552" s="5" t="s">
        <v>238</v>
      </c>
      <c r="V1552" s="5" t="s">
        <v>238</v>
      </c>
      <c r="X1552" s="6" t="s">
        <v>238</v>
      </c>
      <c r="AA1552" s="6" t="s">
        <v>243</v>
      </c>
      <c r="AB1552" s="5" t="s">
        <v>238</v>
      </c>
      <c r="AC1552" s="5" t="s">
        <v>244</v>
      </c>
      <c r="AD1552" s="5" t="s">
        <v>245</v>
      </c>
      <c r="AT1552" s="5" t="s">
        <v>246</v>
      </c>
      <c r="AU1552" s="5" t="s">
        <v>238</v>
      </c>
      <c r="AV1552" s="5" t="s">
        <v>247</v>
      </c>
      <c r="AW1552" s="5" t="s">
        <v>238</v>
      </c>
      <c r="AX1552" s="5" t="s">
        <v>249</v>
      </c>
      <c r="AY1552" s="5" t="s">
        <v>238</v>
      </c>
      <c r="BA1552" s="5" t="s">
        <v>238</v>
      </c>
      <c r="BC1552" s="5" t="s">
        <v>250</v>
      </c>
      <c r="BD1552" s="6" t="s">
        <v>243</v>
      </c>
      <c r="BE1552" s="5" t="s">
        <v>251</v>
      </c>
      <c r="BF1552" s="5" t="s">
        <v>252</v>
      </c>
      <c r="BG1552" s="5" t="s">
        <v>238</v>
      </c>
      <c r="BH1552" s="7">
        <f>0</f>
        <v>0</v>
      </c>
      <c r="BI1552" s="8">
        <f>0</f>
        <v>0</v>
      </c>
      <c r="BJ1552" s="5" t="s">
        <v>253</v>
      </c>
      <c r="BK1552" s="5" t="s">
        <v>254</v>
      </c>
      <c r="BY1552" s="5" t="s">
        <v>238</v>
      </c>
      <c r="BZ1552" s="5" t="s">
        <v>238</v>
      </c>
      <c r="CD1552" s="5" t="s">
        <v>273</v>
      </c>
      <c r="CE1552" s="5" t="s">
        <v>256</v>
      </c>
      <c r="CF1552" s="5" t="s">
        <v>238</v>
      </c>
      <c r="CI1552" s="6" t="s">
        <v>257</v>
      </c>
      <c r="CJ1552" s="5" t="s">
        <v>238</v>
      </c>
      <c r="CK1552" s="5" t="s">
        <v>258</v>
      </c>
      <c r="CL1552" s="5" t="s">
        <v>238</v>
      </c>
      <c r="CM1552" s="5" t="s">
        <v>238</v>
      </c>
      <c r="CN1552" s="5">
        <v>0</v>
      </c>
      <c r="CO1552" s="5" t="s">
        <v>259</v>
      </c>
      <c r="CP1552" s="5" t="s">
        <v>260</v>
      </c>
      <c r="CQ1552" s="5" t="s">
        <v>260</v>
      </c>
      <c r="CR1552" s="5" t="s">
        <v>261</v>
      </c>
      <c r="CU1552" s="8">
        <f>1</f>
        <v>1</v>
      </c>
      <c r="CV1552" s="8">
        <f>0</f>
        <v>0</v>
      </c>
      <c r="CX1552" s="8">
        <f>0</f>
        <v>0</v>
      </c>
      <c r="CY1552" s="8">
        <f>1</f>
        <v>1</v>
      </c>
      <c r="DA1552" s="5" t="s">
        <v>673</v>
      </c>
      <c r="DB1552" s="5" t="s">
        <v>238</v>
      </c>
      <c r="DD1552" s="5" t="s">
        <v>673</v>
      </c>
      <c r="DE1552" s="8">
        <f>694</f>
        <v>694</v>
      </c>
      <c r="DG1552" s="5" t="s">
        <v>238</v>
      </c>
      <c r="DH1552" s="5" t="s">
        <v>238</v>
      </c>
      <c r="DI1552" s="5" t="s">
        <v>238</v>
      </c>
      <c r="DJ1552" s="5" t="s">
        <v>238</v>
      </c>
      <c r="DN1552" s="5" t="s">
        <v>238</v>
      </c>
      <c r="DO1552" s="5" t="s">
        <v>238</v>
      </c>
      <c r="DP1552" s="5" t="s">
        <v>238</v>
      </c>
      <c r="DQ1552" s="5" t="s">
        <v>238</v>
      </c>
      <c r="DT1552" s="5" t="s">
        <v>2039</v>
      </c>
      <c r="DU1552" s="5" t="s">
        <v>1545</v>
      </c>
      <c r="HM1552" s="5" t="s">
        <v>264</v>
      </c>
    </row>
    <row r="1553" spans="1:221" x14ac:dyDescent="0.4">
      <c r="A1553" s="5">
        <v>3228</v>
      </c>
      <c r="B1553" s="5">
        <v>1</v>
      </c>
      <c r="C1553" s="5">
        <v>1</v>
      </c>
      <c r="D1553" s="5" t="s">
        <v>2037</v>
      </c>
      <c r="E1553" s="5" t="s">
        <v>271</v>
      </c>
      <c r="F1553" s="5" t="s">
        <v>248</v>
      </c>
      <c r="G1553" s="5" t="s">
        <v>1969</v>
      </c>
      <c r="H1553" s="6" t="s">
        <v>2114</v>
      </c>
      <c r="I1553" s="7">
        <f>157</f>
        <v>157</v>
      </c>
      <c r="J1553" s="5" t="s">
        <v>262</v>
      </c>
      <c r="K1553" s="8">
        <f>1</f>
        <v>1</v>
      </c>
      <c r="L1553" s="6" t="s">
        <v>242</v>
      </c>
      <c r="M1553" s="5" t="s">
        <v>267</v>
      </c>
      <c r="N1553" s="5" t="s">
        <v>265</v>
      </c>
      <c r="O1553" s="5" t="s">
        <v>238</v>
      </c>
      <c r="P1553" s="5" t="s">
        <v>238</v>
      </c>
      <c r="Q1553" s="5" t="s">
        <v>268</v>
      </c>
      <c r="R1553" s="5" t="s">
        <v>270</v>
      </c>
      <c r="S1553" s="5" t="s">
        <v>238</v>
      </c>
      <c r="V1553" s="5" t="s">
        <v>238</v>
      </c>
      <c r="X1553" s="6" t="s">
        <v>238</v>
      </c>
      <c r="AA1553" s="6" t="s">
        <v>243</v>
      </c>
      <c r="AB1553" s="5" t="s">
        <v>238</v>
      </c>
      <c r="AC1553" s="5" t="s">
        <v>244</v>
      </c>
      <c r="AD1553" s="5" t="s">
        <v>245</v>
      </c>
      <c r="AT1553" s="5" t="s">
        <v>246</v>
      </c>
      <c r="AU1553" s="5" t="s">
        <v>238</v>
      </c>
      <c r="AV1553" s="5" t="s">
        <v>247</v>
      </c>
      <c r="AW1553" s="5" t="s">
        <v>238</v>
      </c>
      <c r="AX1553" s="5" t="s">
        <v>249</v>
      </c>
      <c r="AY1553" s="5" t="s">
        <v>238</v>
      </c>
      <c r="BA1553" s="5" t="s">
        <v>238</v>
      </c>
      <c r="BC1553" s="5" t="s">
        <v>250</v>
      </c>
      <c r="BD1553" s="6" t="s">
        <v>243</v>
      </c>
      <c r="BE1553" s="5" t="s">
        <v>251</v>
      </c>
      <c r="BF1553" s="5" t="s">
        <v>252</v>
      </c>
      <c r="BG1553" s="5" t="s">
        <v>238</v>
      </c>
      <c r="BH1553" s="7">
        <f>0</f>
        <v>0</v>
      </c>
      <c r="BI1553" s="8">
        <f>0</f>
        <v>0</v>
      </c>
      <c r="BJ1553" s="5" t="s">
        <v>253</v>
      </c>
      <c r="BK1553" s="5" t="s">
        <v>254</v>
      </c>
      <c r="BY1553" s="5" t="s">
        <v>238</v>
      </c>
      <c r="BZ1553" s="5" t="s">
        <v>238</v>
      </c>
      <c r="CD1553" s="5" t="s">
        <v>273</v>
      </c>
      <c r="CE1553" s="5" t="s">
        <v>256</v>
      </c>
      <c r="CF1553" s="5" t="s">
        <v>238</v>
      </c>
      <c r="CI1553" s="6" t="s">
        <v>257</v>
      </c>
      <c r="CJ1553" s="5" t="s">
        <v>238</v>
      </c>
      <c r="CK1553" s="5" t="s">
        <v>258</v>
      </c>
      <c r="CL1553" s="5" t="s">
        <v>238</v>
      </c>
      <c r="CM1553" s="5" t="s">
        <v>238</v>
      </c>
      <c r="CN1553" s="5">
        <v>0</v>
      </c>
      <c r="CO1553" s="5" t="s">
        <v>259</v>
      </c>
      <c r="CP1553" s="5" t="s">
        <v>260</v>
      </c>
      <c r="CQ1553" s="5" t="s">
        <v>260</v>
      </c>
      <c r="CR1553" s="5" t="s">
        <v>261</v>
      </c>
      <c r="CU1553" s="8">
        <f>1</f>
        <v>1</v>
      </c>
      <c r="CV1553" s="8">
        <f>0</f>
        <v>0</v>
      </c>
      <c r="CX1553" s="8">
        <f>0</f>
        <v>0</v>
      </c>
      <c r="CY1553" s="8">
        <f>1</f>
        <v>1</v>
      </c>
      <c r="DA1553" s="5" t="s">
        <v>673</v>
      </c>
      <c r="DB1553" s="5" t="s">
        <v>238</v>
      </c>
      <c r="DD1553" s="5" t="s">
        <v>673</v>
      </c>
      <c r="DE1553" s="8">
        <f>157</f>
        <v>157</v>
      </c>
      <c r="DG1553" s="5" t="s">
        <v>238</v>
      </c>
      <c r="DH1553" s="5" t="s">
        <v>238</v>
      </c>
      <c r="DI1553" s="5" t="s">
        <v>238</v>
      </c>
      <c r="DJ1553" s="5" t="s">
        <v>238</v>
      </c>
      <c r="DN1553" s="5" t="s">
        <v>238</v>
      </c>
      <c r="DO1553" s="5" t="s">
        <v>238</v>
      </c>
      <c r="DP1553" s="5" t="s">
        <v>238</v>
      </c>
      <c r="DQ1553" s="5" t="s">
        <v>238</v>
      </c>
      <c r="DT1553" s="5" t="s">
        <v>2039</v>
      </c>
      <c r="DU1553" s="5" t="s">
        <v>1543</v>
      </c>
      <c r="HM1553" s="5" t="s">
        <v>264</v>
      </c>
    </row>
    <row r="1554" spans="1:221" x14ac:dyDescent="0.4">
      <c r="A1554" s="5">
        <v>3229</v>
      </c>
      <c r="B1554" s="5">
        <v>1</v>
      </c>
      <c r="C1554" s="5">
        <v>1</v>
      </c>
      <c r="D1554" s="5" t="s">
        <v>2037</v>
      </c>
      <c r="E1554" s="5" t="s">
        <v>271</v>
      </c>
      <c r="F1554" s="5" t="s">
        <v>248</v>
      </c>
      <c r="G1554" s="5" t="s">
        <v>1969</v>
      </c>
      <c r="H1554" s="6" t="s">
        <v>2111</v>
      </c>
      <c r="I1554" s="7">
        <f>8.3</f>
        <v>8.3000000000000007</v>
      </c>
      <c r="J1554" s="5" t="s">
        <v>262</v>
      </c>
      <c r="K1554" s="8">
        <f>1</f>
        <v>1</v>
      </c>
      <c r="L1554" s="6" t="s">
        <v>242</v>
      </c>
      <c r="M1554" s="5" t="s">
        <v>267</v>
      </c>
      <c r="N1554" s="5" t="s">
        <v>265</v>
      </c>
      <c r="O1554" s="5" t="s">
        <v>238</v>
      </c>
      <c r="P1554" s="5" t="s">
        <v>238</v>
      </c>
      <c r="Q1554" s="5" t="s">
        <v>268</v>
      </c>
      <c r="R1554" s="5" t="s">
        <v>270</v>
      </c>
      <c r="S1554" s="5" t="s">
        <v>238</v>
      </c>
      <c r="V1554" s="5" t="s">
        <v>238</v>
      </c>
      <c r="X1554" s="6" t="s">
        <v>238</v>
      </c>
      <c r="AA1554" s="6" t="s">
        <v>243</v>
      </c>
      <c r="AB1554" s="5" t="s">
        <v>238</v>
      </c>
      <c r="AC1554" s="5" t="s">
        <v>244</v>
      </c>
      <c r="AD1554" s="5" t="s">
        <v>245</v>
      </c>
      <c r="AT1554" s="5" t="s">
        <v>246</v>
      </c>
      <c r="AU1554" s="5" t="s">
        <v>238</v>
      </c>
      <c r="AV1554" s="5" t="s">
        <v>247</v>
      </c>
      <c r="AW1554" s="5" t="s">
        <v>238</v>
      </c>
      <c r="AX1554" s="5" t="s">
        <v>249</v>
      </c>
      <c r="AY1554" s="5" t="s">
        <v>238</v>
      </c>
      <c r="BA1554" s="5" t="s">
        <v>238</v>
      </c>
      <c r="BC1554" s="5" t="s">
        <v>250</v>
      </c>
      <c r="BD1554" s="6" t="s">
        <v>243</v>
      </c>
      <c r="BE1554" s="5" t="s">
        <v>251</v>
      </c>
      <c r="BF1554" s="5" t="s">
        <v>252</v>
      </c>
      <c r="BG1554" s="5" t="s">
        <v>238</v>
      </c>
      <c r="BH1554" s="7">
        <f>0</f>
        <v>0</v>
      </c>
      <c r="BI1554" s="8">
        <f>0</f>
        <v>0</v>
      </c>
      <c r="BJ1554" s="5" t="s">
        <v>253</v>
      </c>
      <c r="BK1554" s="5" t="s">
        <v>254</v>
      </c>
      <c r="BY1554" s="5" t="s">
        <v>238</v>
      </c>
      <c r="BZ1554" s="5" t="s">
        <v>238</v>
      </c>
      <c r="CD1554" s="5" t="s">
        <v>273</v>
      </c>
      <c r="CE1554" s="5" t="s">
        <v>256</v>
      </c>
      <c r="CF1554" s="5" t="s">
        <v>238</v>
      </c>
      <c r="CI1554" s="6" t="s">
        <v>257</v>
      </c>
      <c r="CJ1554" s="5" t="s">
        <v>238</v>
      </c>
      <c r="CK1554" s="5" t="s">
        <v>258</v>
      </c>
      <c r="CL1554" s="5" t="s">
        <v>238</v>
      </c>
      <c r="CM1554" s="5" t="s">
        <v>238</v>
      </c>
      <c r="CN1554" s="5">
        <v>0</v>
      </c>
      <c r="CO1554" s="5" t="s">
        <v>259</v>
      </c>
      <c r="CP1554" s="5" t="s">
        <v>260</v>
      </c>
      <c r="CQ1554" s="5" t="s">
        <v>260</v>
      </c>
      <c r="CR1554" s="5" t="s">
        <v>261</v>
      </c>
      <c r="CU1554" s="8">
        <f>1</f>
        <v>1</v>
      </c>
      <c r="CV1554" s="8">
        <f>0</f>
        <v>0</v>
      </c>
      <c r="CX1554" s="8">
        <f>0</f>
        <v>0</v>
      </c>
      <c r="CY1554" s="8">
        <f>1</f>
        <v>1</v>
      </c>
      <c r="DA1554" s="5" t="s">
        <v>673</v>
      </c>
      <c r="DB1554" s="5" t="s">
        <v>238</v>
      </c>
      <c r="DD1554" s="5" t="s">
        <v>673</v>
      </c>
      <c r="DE1554" s="8">
        <f>8.3</f>
        <v>8.3000000000000007</v>
      </c>
      <c r="DG1554" s="5" t="s">
        <v>238</v>
      </c>
      <c r="DH1554" s="5" t="s">
        <v>238</v>
      </c>
      <c r="DI1554" s="5" t="s">
        <v>238</v>
      </c>
      <c r="DJ1554" s="5" t="s">
        <v>238</v>
      </c>
      <c r="DN1554" s="5" t="s">
        <v>238</v>
      </c>
      <c r="DO1554" s="5" t="s">
        <v>238</v>
      </c>
      <c r="DP1554" s="5" t="s">
        <v>238</v>
      </c>
      <c r="DQ1554" s="5" t="s">
        <v>238</v>
      </c>
      <c r="DT1554" s="5" t="s">
        <v>2039</v>
      </c>
      <c r="DU1554" s="5" t="s">
        <v>1533</v>
      </c>
      <c r="HM1554" s="5" t="s">
        <v>264</v>
      </c>
    </row>
    <row r="1555" spans="1:221" x14ac:dyDescent="0.4">
      <c r="A1555" s="5">
        <v>3230</v>
      </c>
      <c r="B1555" s="5">
        <v>1</v>
      </c>
      <c r="C1555" s="5">
        <v>1</v>
      </c>
      <c r="D1555" s="5" t="s">
        <v>2037</v>
      </c>
      <c r="E1555" s="5" t="s">
        <v>271</v>
      </c>
      <c r="F1555" s="5" t="s">
        <v>248</v>
      </c>
      <c r="G1555" s="5" t="s">
        <v>1969</v>
      </c>
      <c r="H1555" s="6" t="s">
        <v>2109</v>
      </c>
      <c r="I1555" s="7">
        <f>2759</f>
        <v>2759</v>
      </c>
      <c r="J1555" s="5" t="s">
        <v>262</v>
      </c>
      <c r="K1555" s="8">
        <f>1</f>
        <v>1</v>
      </c>
      <c r="L1555" s="6" t="s">
        <v>242</v>
      </c>
      <c r="M1555" s="5" t="s">
        <v>267</v>
      </c>
      <c r="N1555" s="5" t="s">
        <v>265</v>
      </c>
      <c r="O1555" s="5" t="s">
        <v>238</v>
      </c>
      <c r="P1555" s="5" t="s">
        <v>238</v>
      </c>
      <c r="Q1555" s="5" t="s">
        <v>268</v>
      </c>
      <c r="R1555" s="5" t="s">
        <v>270</v>
      </c>
      <c r="S1555" s="5" t="s">
        <v>238</v>
      </c>
      <c r="V1555" s="5" t="s">
        <v>238</v>
      </c>
      <c r="X1555" s="6" t="s">
        <v>238</v>
      </c>
      <c r="AA1555" s="6" t="s">
        <v>243</v>
      </c>
      <c r="AB1555" s="5" t="s">
        <v>238</v>
      </c>
      <c r="AC1555" s="5" t="s">
        <v>244</v>
      </c>
      <c r="AD1555" s="5" t="s">
        <v>245</v>
      </c>
      <c r="AT1555" s="5" t="s">
        <v>246</v>
      </c>
      <c r="AU1555" s="5" t="s">
        <v>238</v>
      </c>
      <c r="AV1555" s="5" t="s">
        <v>247</v>
      </c>
      <c r="AW1555" s="5" t="s">
        <v>238</v>
      </c>
      <c r="AX1555" s="5" t="s">
        <v>249</v>
      </c>
      <c r="AY1555" s="5" t="s">
        <v>238</v>
      </c>
      <c r="BA1555" s="5" t="s">
        <v>238</v>
      </c>
      <c r="BC1555" s="5" t="s">
        <v>250</v>
      </c>
      <c r="BD1555" s="6" t="s">
        <v>243</v>
      </c>
      <c r="BE1555" s="5" t="s">
        <v>251</v>
      </c>
      <c r="BF1555" s="5" t="s">
        <v>252</v>
      </c>
      <c r="BG1555" s="5" t="s">
        <v>238</v>
      </c>
      <c r="BH1555" s="7">
        <f>0</f>
        <v>0</v>
      </c>
      <c r="BI1555" s="8">
        <f>0</f>
        <v>0</v>
      </c>
      <c r="BJ1555" s="5" t="s">
        <v>253</v>
      </c>
      <c r="BK1555" s="5" t="s">
        <v>254</v>
      </c>
      <c r="BY1555" s="5" t="s">
        <v>238</v>
      </c>
      <c r="BZ1555" s="5" t="s">
        <v>238</v>
      </c>
      <c r="CD1555" s="5" t="s">
        <v>273</v>
      </c>
      <c r="CE1555" s="5" t="s">
        <v>256</v>
      </c>
      <c r="CF1555" s="5" t="s">
        <v>238</v>
      </c>
      <c r="CI1555" s="6" t="s">
        <v>257</v>
      </c>
      <c r="CJ1555" s="5" t="s">
        <v>238</v>
      </c>
      <c r="CK1555" s="5" t="s">
        <v>258</v>
      </c>
      <c r="CL1555" s="5" t="s">
        <v>238</v>
      </c>
      <c r="CM1555" s="5" t="s">
        <v>238</v>
      </c>
      <c r="CN1555" s="5">
        <v>0</v>
      </c>
      <c r="CO1555" s="5" t="s">
        <v>259</v>
      </c>
      <c r="CP1555" s="5" t="s">
        <v>260</v>
      </c>
      <c r="CQ1555" s="5" t="s">
        <v>260</v>
      </c>
      <c r="CR1555" s="5" t="s">
        <v>261</v>
      </c>
      <c r="CU1555" s="8">
        <f>1</f>
        <v>1</v>
      </c>
      <c r="CV1555" s="8">
        <f>0</f>
        <v>0</v>
      </c>
      <c r="CX1555" s="8">
        <f>0</f>
        <v>0</v>
      </c>
      <c r="CY1555" s="8">
        <f>1</f>
        <v>1</v>
      </c>
      <c r="DA1555" s="5" t="s">
        <v>673</v>
      </c>
      <c r="DB1555" s="5" t="s">
        <v>238</v>
      </c>
      <c r="DD1555" s="5" t="s">
        <v>673</v>
      </c>
      <c r="DE1555" s="8">
        <f>2759</f>
        <v>2759</v>
      </c>
      <c r="DG1555" s="5" t="s">
        <v>238</v>
      </c>
      <c r="DH1555" s="5" t="s">
        <v>238</v>
      </c>
      <c r="DI1555" s="5" t="s">
        <v>238</v>
      </c>
      <c r="DJ1555" s="5" t="s">
        <v>238</v>
      </c>
      <c r="DN1555" s="5" t="s">
        <v>238</v>
      </c>
      <c r="DO1555" s="5" t="s">
        <v>238</v>
      </c>
      <c r="DP1555" s="5" t="s">
        <v>238</v>
      </c>
      <c r="DQ1555" s="5" t="s">
        <v>238</v>
      </c>
      <c r="DT1555" s="5" t="s">
        <v>2039</v>
      </c>
      <c r="DU1555" s="5" t="s">
        <v>1527</v>
      </c>
      <c r="HM1555" s="5" t="s">
        <v>264</v>
      </c>
    </row>
    <row r="1556" spans="1:221" x14ac:dyDescent="0.4">
      <c r="A1556" s="5">
        <v>3231</v>
      </c>
      <c r="B1556" s="5">
        <v>1</v>
      </c>
      <c r="C1556" s="5">
        <v>1</v>
      </c>
      <c r="D1556" s="5" t="s">
        <v>2037</v>
      </c>
      <c r="E1556" s="5" t="s">
        <v>271</v>
      </c>
      <c r="F1556" s="5" t="s">
        <v>248</v>
      </c>
      <c r="G1556" s="5" t="s">
        <v>1969</v>
      </c>
      <c r="H1556" s="6" t="s">
        <v>2106</v>
      </c>
      <c r="I1556" s="7">
        <f>520</f>
        <v>520</v>
      </c>
      <c r="J1556" s="5" t="s">
        <v>262</v>
      </c>
      <c r="K1556" s="8">
        <f>1</f>
        <v>1</v>
      </c>
      <c r="L1556" s="6" t="s">
        <v>242</v>
      </c>
      <c r="M1556" s="5" t="s">
        <v>267</v>
      </c>
      <c r="N1556" s="5" t="s">
        <v>265</v>
      </c>
      <c r="O1556" s="5" t="s">
        <v>238</v>
      </c>
      <c r="P1556" s="5" t="s">
        <v>238</v>
      </c>
      <c r="Q1556" s="5" t="s">
        <v>268</v>
      </c>
      <c r="R1556" s="5" t="s">
        <v>270</v>
      </c>
      <c r="S1556" s="5" t="s">
        <v>238</v>
      </c>
      <c r="V1556" s="5" t="s">
        <v>238</v>
      </c>
      <c r="X1556" s="6" t="s">
        <v>238</v>
      </c>
      <c r="AA1556" s="6" t="s">
        <v>243</v>
      </c>
      <c r="AB1556" s="5" t="s">
        <v>238</v>
      </c>
      <c r="AC1556" s="5" t="s">
        <v>244</v>
      </c>
      <c r="AD1556" s="5" t="s">
        <v>245</v>
      </c>
      <c r="AT1556" s="5" t="s">
        <v>246</v>
      </c>
      <c r="AU1556" s="5" t="s">
        <v>238</v>
      </c>
      <c r="AV1556" s="5" t="s">
        <v>247</v>
      </c>
      <c r="AW1556" s="5" t="s">
        <v>238</v>
      </c>
      <c r="AX1556" s="5" t="s">
        <v>249</v>
      </c>
      <c r="AY1556" s="5" t="s">
        <v>238</v>
      </c>
      <c r="BA1556" s="5" t="s">
        <v>238</v>
      </c>
      <c r="BC1556" s="5" t="s">
        <v>250</v>
      </c>
      <c r="BD1556" s="6" t="s">
        <v>243</v>
      </c>
      <c r="BE1556" s="5" t="s">
        <v>251</v>
      </c>
      <c r="BF1556" s="5" t="s">
        <v>252</v>
      </c>
      <c r="BG1556" s="5" t="s">
        <v>238</v>
      </c>
      <c r="BH1556" s="7">
        <f>0</f>
        <v>0</v>
      </c>
      <c r="BI1556" s="8">
        <f>0</f>
        <v>0</v>
      </c>
      <c r="BJ1556" s="5" t="s">
        <v>253</v>
      </c>
      <c r="BK1556" s="5" t="s">
        <v>254</v>
      </c>
      <c r="BY1556" s="5" t="s">
        <v>238</v>
      </c>
      <c r="BZ1556" s="5" t="s">
        <v>238</v>
      </c>
      <c r="CD1556" s="5" t="s">
        <v>273</v>
      </c>
      <c r="CE1556" s="5" t="s">
        <v>256</v>
      </c>
      <c r="CF1556" s="5" t="s">
        <v>238</v>
      </c>
      <c r="CI1556" s="6" t="s">
        <v>257</v>
      </c>
      <c r="CJ1556" s="5" t="s">
        <v>238</v>
      </c>
      <c r="CK1556" s="5" t="s">
        <v>258</v>
      </c>
      <c r="CL1556" s="5" t="s">
        <v>238</v>
      </c>
      <c r="CM1556" s="5" t="s">
        <v>238</v>
      </c>
      <c r="CN1556" s="5">
        <v>0</v>
      </c>
      <c r="CO1556" s="5" t="s">
        <v>259</v>
      </c>
      <c r="CP1556" s="5" t="s">
        <v>260</v>
      </c>
      <c r="CQ1556" s="5" t="s">
        <v>260</v>
      </c>
      <c r="CR1556" s="5" t="s">
        <v>261</v>
      </c>
      <c r="CU1556" s="8">
        <f>1</f>
        <v>1</v>
      </c>
      <c r="CV1556" s="8">
        <f>0</f>
        <v>0</v>
      </c>
      <c r="CX1556" s="8">
        <f>0</f>
        <v>0</v>
      </c>
      <c r="CY1556" s="8">
        <f>1</f>
        <v>1</v>
      </c>
      <c r="DA1556" s="5" t="s">
        <v>673</v>
      </c>
      <c r="DB1556" s="5" t="s">
        <v>238</v>
      </c>
      <c r="DD1556" s="5" t="s">
        <v>673</v>
      </c>
      <c r="DE1556" s="8">
        <f>520</f>
        <v>520</v>
      </c>
      <c r="DG1556" s="5" t="s">
        <v>238</v>
      </c>
      <c r="DH1556" s="5" t="s">
        <v>238</v>
      </c>
      <c r="DI1556" s="5" t="s">
        <v>238</v>
      </c>
      <c r="DJ1556" s="5" t="s">
        <v>238</v>
      </c>
      <c r="DN1556" s="5" t="s">
        <v>238</v>
      </c>
      <c r="DO1556" s="5" t="s">
        <v>238</v>
      </c>
      <c r="DP1556" s="5" t="s">
        <v>238</v>
      </c>
      <c r="DQ1556" s="5" t="s">
        <v>238</v>
      </c>
      <c r="DT1556" s="5" t="s">
        <v>2039</v>
      </c>
      <c r="DU1556" s="5" t="s">
        <v>1521</v>
      </c>
      <c r="HM1556" s="5" t="s">
        <v>264</v>
      </c>
    </row>
    <row r="1557" spans="1:221" x14ac:dyDescent="0.4">
      <c r="A1557" s="5">
        <v>3232</v>
      </c>
      <c r="B1557" s="5">
        <v>1</v>
      </c>
      <c r="C1557" s="5">
        <v>1</v>
      </c>
      <c r="D1557" s="5" t="s">
        <v>2037</v>
      </c>
      <c r="E1557" s="5" t="s">
        <v>271</v>
      </c>
      <c r="F1557" s="5" t="s">
        <v>248</v>
      </c>
      <c r="G1557" s="5" t="s">
        <v>1969</v>
      </c>
      <c r="H1557" s="6" t="s">
        <v>2096</v>
      </c>
      <c r="I1557" s="7">
        <f>1329</f>
        <v>1329</v>
      </c>
      <c r="J1557" s="5" t="s">
        <v>262</v>
      </c>
      <c r="K1557" s="8">
        <f>1</f>
        <v>1</v>
      </c>
      <c r="L1557" s="6" t="s">
        <v>242</v>
      </c>
      <c r="M1557" s="5" t="s">
        <v>267</v>
      </c>
      <c r="N1557" s="5" t="s">
        <v>265</v>
      </c>
      <c r="O1557" s="5" t="s">
        <v>238</v>
      </c>
      <c r="P1557" s="5" t="s">
        <v>238</v>
      </c>
      <c r="Q1557" s="5" t="s">
        <v>268</v>
      </c>
      <c r="R1557" s="5" t="s">
        <v>270</v>
      </c>
      <c r="S1557" s="5" t="s">
        <v>238</v>
      </c>
      <c r="V1557" s="5" t="s">
        <v>238</v>
      </c>
      <c r="X1557" s="6" t="s">
        <v>238</v>
      </c>
      <c r="AA1557" s="6" t="s">
        <v>243</v>
      </c>
      <c r="AB1557" s="5" t="s">
        <v>238</v>
      </c>
      <c r="AC1557" s="5" t="s">
        <v>244</v>
      </c>
      <c r="AD1557" s="5" t="s">
        <v>245</v>
      </c>
      <c r="AT1557" s="5" t="s">
        <v>246</v>
      </c>
      <c r="AU1557" s="5" t="s">
        <v>238</v>
      </c>
      <c r="AV1557" s="5" t="s">
        <v>247</v>
      </c>
      <c r="AW1557" s="5" t="s">
        <v>238</v>
      </c>
      <c r="AX1557" s="5" t="s">
        <v>249</v>
      </c>
      <c r="AY1557" s="5" t="s">
        <v>238</v>
      </c>
      <c r="BA1557" s="5" t="s">
        <v>238</v>
      </c>
      <c r="BC1557" s="5" t="s">
        <v>250</v>
      </c>
      <c r="BD1557" s="6" t="s">
        <v>243</v>
      </c>
      <c r="BE1557" s="5" t="s">
        <v>251</v>
      </c>
      <c r="BF1557" s="5" t="s">
        <v>252</v>
      </c>
      <c r="BG1557" s="5" t="s">
        <v>238</v>
      </c>
      <c r="BH1557" s="7">
        <f>0</f>
        <v>0</v>
      </c>
      <c r="BI1557" s="8">
        <f>0</f>
        <v>0</v>
      </c>
      <c r="BJ1557" s="5" t="s">
        <v>253</v>
      </c>
      <c r="BK1557" s="5" t="s">
        <v>254</v>
      </c>
      <c r="BY1557" s="5" t="s">
        <v>238</v>
      </c>
      <c r="BZ1557" s="5" t="s">
        <v>238</v>
      </c>
      <c r="CD1557" s="5" t="s">
        <v>273</v>
      </c>
      <c r="CE1557" s="5" t="s">
        <v>256</v>
      </c>
      <c r="CF1557" s="5" t="s">
        <v>238</v>
      </c>
      <c r="CI1557" s="6" t="s">
        <v>257</v>
      </c>
      <c r="CJ1557" s="5" t="s">
        <v>238</v>
      </c>
      <c r="CK1557" s="5" t="s">
        <v>258</v>
      </c>
      <c r="CL1557" s="5" t="s">
        <v>238</v>
      </c>
      <c r="CM1557" s="5" t="s">
        <v>238</v>
      </c>
      <c r="CN1557" s="5">
        <v>0</v>
      </c>
      <c r="CO1557" s="5" t="s">
        <v>259</v>
      </c>
      <c r="CP1557" s="5" t="s">
        <v>260</v>
      </c>
      <c r="CQ1557" s="5" t="s">
        <v>260</v>
      </c>
      <c r="CR1557" s="5" t="s">
        <v>261</v>
      </c>
      <c r="CU1557" s="8">
        <f>1</f>
        <v>1</v>
      </c>
      <c r="CV1557" s="8">
        <f>0</f>
        <v>0</v>
      </c>
      <c r="CX1557" s="8">
        <f>0</f>
        <v>0</v>
      </c>
      <c r="CY1557" s="8">
        <f>1</f>
        <v>1</v>
      </c>
      <c r="DA1557" s="5" t="s">
        <v>673</v>
      </c>
      <c r="DB1557" s="5" t="s">
        <v>238</v>
      </c>
      <c r="DD1557" s="5" t="s">
        <v>673</v>
      </c>
      <c r="DE1557" s="8">
        <f>1329</f>
        <v>1329</v>
      </c>
      <c r="DG1557" s="5" t="s">
        <v>238</v>
      </c>
      <c r="DH1557" s="5" t="s">
        <v>238</v>
      </c>
      <c r="DI1557" s="5" t="s">
        <v>238</v>
      </c>
      <c r="DJ1557" s="5" t="s">
        <v>238</v>
      </c>
      <c r="DN1557" s="5" t="s">
        <v>238</v>
      </c>
      <c r="DO1557" s="5" t="s">
        <v>238</v>
      </c>
      <c r="DP1557" s="5" t="s">
        <v>238</v>
      </c>
      <c r="DQ1557" s="5" t="s">
        <v>238</v>
      </c>
      <c r="DT1557" s="5" t="s">
        <v>2039</v>
      </c>
      <c r="DU1557" s="5" t="s">
        <v>1517</v>
      </c>
      <c r="HM1557" s="5" t="s">
        <v>264</v>
      </c>
    </row>
    <row r="1558" spans="1:221" x14ac:dyDescent="0.4">
      <c r="A1558" s="5">
        <v>3233</v>
      </c>
      <c r="B1558" s="5">
        <v>1</v>
      </c>
      <c r="C1558" s="5">
        <v>1</v>
      </c>
      <c r="D1558" s="5" t="s">
        <v>2037</v>
      </c>
      <c r="E1558" s="5" t="s">
        <v>271</v>
      </c>
      <c r="F1558" s="5" t="s">
        <v>248</v>
      </c>
      <c r="G1558" s="5" t="s">
        <v>1969</v>
      </c>
      <c r="H1558" s="6" t="s">
        <v>2091</v>
      </c>
      <c r="I1558" s="7">
        <f>143</f>
        <v>143</v>
      </c>
      <c r="J1558" s="5" t="s">
        <v>262</v>
      </c>
      <c r="K1558" s="8">
        <f>1</f>
        <v>1</v>
      </c>
      <c r="L1558" s="6" t="s">
        <v>242</v>
      </c>
      <c r="M1558" s="5" t="s">
        <v>267</v>
      </c>
      <c r="N1558" s="5" t="s">
        <v>265</v>
      </c>
      <c r="O1558" s="5" t="s">
        <v>238</v>
      </c>
      <c r="P1558" s="5" t="s">
        <v>238</v>
      </c>
      <c r="Q1558" s="5" t="s">
        <v>268</v>
      </c>
      <c r="R1558" s="5" t="s">
        <v>270</v>
      </c>
      <c r="S1558" s="5" t="s">
        <v>238</v>
      </c>
      <c r="V1558" s="5" t="s">
        <v>238</v>
      </c>
      <c r="X1558" s="6" t="s">
        <v>238</v>
      </c>
      <c r="AA1558" s="6" t="s">
        <v>243</v>
      </c>
      <c r="AB1558" s="5" t="s">
        <v>238</v>
      </c>
      <c r="AC1558" s="5" t="s">
        <v>244</v>
      </c>
      <c r="AD1558" s="5" t="s">
        <v>245</v>
      </c>
      <c r="AT1558" s="5" t="s">
        <v>246</v>
      </c>
      <c r="AU1558" s="5" t="s">
        <v>238</v>
      </c>
      <c r="AV1558" s="5" t="s">
        <v>247</v>
      </c>
      <c r="AW1558" s="5" t="s">
        <v>238</v>
      </c>
      <c r="AX1558" s="5" t="s">
        <v>249</v>
      </c>
      <c r="AY1558" s="5" t="s">
        <v>238</v>
      </c>
      <c r="BA1558" s="5" t="s">
        <v>238</v>
      </c>
      <c r="BC1558" s="5" t="s">
        <v>250</v>
      </c>
      <c r="BD1558" s="6" t="s">
        <v>243</v>
      </c>
      <c r="BE1558" s="5" t="s">
        <v>251</v>
      </c>
      <c r="BF1558" s="5" t="s">
        <v>252</v>
      </c>
      <c r="BG1558" s="5" t="s">
        <v>238</v>
      </c>
      <c r="BH1558" s="7">
        <f>0</f>
        <v>0</v>
      </c>
      <c r="BI1558" s="8">
        <f>0</f>
        <v>0</v>
      </c>
      <c r="BJ1558" s="5" t="s">
        <v>253</v>
      </c>
      <c r="BK1558" s="5" t="s">
        <v>254</v>
      </c>
      <c r="BY1558" s="5" t="s">
        <v>238</v>
      </c>
      <c r="BZ1558" s="5" t="s">
        <v>238</v>
      </c>
      <c r="CD1558" s="5" t="s">
        <v>273</v>
      </c>
      <c r="CE1558" s="5" t="s">
        <v>256</v>
      </c>
      <c r="CF1558" s="5" t="s">
        <v>238</v>
      </c>
      <c r="CI1558" s="6" t="s">
        <v>257</v>
      </c>
      <c r="CJ1558" s="5" t="s">
        <v>238</v>
      </c>
      <c r="CK1558" s="5" t="s">
        <v>258</v>
      </c>
      <c r="CL1558" s="5" t="s">
        <v>238</v>
      </c>
      <c r="CM1558" s="5" t="s">
        <v>238</v>
      </c>
      <c r="CN1558" s="5">
        <v>0</v>
      </c>
      <c r="CO1558" s="5" t="s">
        <v>259</v>
      </c>
      <c r="CP1558" s="5" t="s">
        <v>260</v>
      </c>
      <c r="CQ1558" s="5" t="s">
        <v>260</v>
      </c>
      <c r="CR1558" s="5" t="s">
        <v>261</v>
      </c>
      <c r="CU1558" s="8">
        <f>1</f>
        <v>1</v>
      </c>
      <c r="CV1558" s="8">
        <f>0</f>
        <v>0</v>
      </c>
      <c r="CX1558" s="8">
        <f>0</f>
        <v>0</v>
      </c>
      <c r="CY1558" s="8">
        <f>1</f>
        <v>1</v>
      </c>
      <c r="DA1558" s="5" t="s">
        <v>673</v>
      </c>
      <c r="DB1558" s="5" t="s">
        <v>238</v>
      </c>
      <c r="DD1558" s="5" t="s">
        <v>673</v>
      </c>
      <c r="DE1558" s="8">
        <f>143</f>
        <v>143</v>
      </c>
      <c r="DG1558" s="5" t="s">
        <v>238</v>
      </c>
      <c r="DH1558" s="5" t="s">
        <v>238</v>
      </c>
      <c r="DI1558" s="5" t="s">
        <v>238</v>
      </c>
      <c r="DJ1558" s="5" t="s">
        <v>238</v>
      </c>
      <c r="DN1558" s="5" t="s">
        <v>238</v>
      </c>
      <c r="DO1558" s="5" t="s">
        <v>238</v>
      </c>
      <c r="DP1558" s="5" t="s">
        <v>238</v>
      </c>
      <c r="DQ1558" s="5" t="s">
        <v>238</v>
      </c>
      <c r="DT1558" s="5" t="s">
        <v>2039</v>
      </c>
      <c r="DU1558" s="5" t="s">
        <v>1515</v>
      </c>
      <c r="HM1558" s="5" t="s">
        <v>264</v>
      </c>
    </row>
    <row r="1559" spans="1:221" x14ac:dyDescent="0.4">
      <c r="A1559" s="5">
        <v>3234</v>
      </c>
      <c r="B1559" s="5">
        <v>1</v>
      </c>
      <c r="C1559" s="5">
        <v>1</v>
      </c>
      <c r="D1559" s="5" t="s">
        <v>2037</v>
      </c>
      <c r="E1559" s="5" t="s">
        <v>271</v>
      </c>
      <c r="F1559" s="5" t="s">
        <v>248</v>
      </c>
      <c r="G1559" s="5" t="s">
        <v>1969</v>
      </c>
      <c r="H1559" s="6" t="s">
        <v>2089</v>
      </c>
      <c r="I1559" s="7">
        <f>3353</f>
        <v>3353</v>
      </c>
      <c r="J1559" s="5" t="s">
        <v>262</v>
      </c>
      <c r="K1559" s="8">
        <f>1</f>
        <v>1</v>
      </c>
      <c r="L1559" s="6" t="s">
        <v>242</v>
      </c>
      <c r="M1559" s="5" t="s">
        <v>267</v>
      </c>
      <c r="N1559" s="5" t="s">
        <v>265</v>
      </c>
      <c r="O1559" s="5" t="s">
        <v>238</v>
      </c>
      <c r="P1559" s="5" t="s">
        <v>238</v>
      </c>
      <c r="Q1559" s="5" t="s">
        <v>268</v>
      </c>
      <c r="R1559" s="5" t="s">
        <v>270</v>
      </c>
      <c r="S1559" s="5" t="s">
        <v>238</v>
      </c>
      <c r="V1559" s="5" t="s">
        <v>238</v>
      </c>
      <c r="X1559" s="6" t="s">
        <v>238</v>
      </c>
      <c r="AA1559" s="6" t="s">
        <v>243</v>
      </c>
      <c r="AB1559" s="5" t="s">
        <v>238</v>
      </c>
      <c r="AC1559" s="5" t="s">
        <v>244</v>
      </c>
      <c r="AD1559" s="5" t="s">
        <v>245</v>
      </c>
      <c r="AT1559" s="5" t="s">
        <v>246</v>
      </c>
      <c r="AU1559" s="5" t="s">
        <v>238</v>
      </c>
      <c r="AV1559" s="5" t="s">
        <v>247</v>
      </c>
      <c r="AW1559" s="5" t="s">
        <v>238</v>
      </c>
      <c r="AX1559" s="5" t="s">
        <v>249</v>
      </c>
      <c r="AY1559" s="5" t="s">
        <v>238</v>
      </c>
      <c r="BA1559" s="5" t="s">
        <v>238</v>
      </c>
      <c r="BC1559" s="5" t="s">
        <v>250</v>
      </c>
      <c r="BD1559" s="6" t="s">
        <v>243</v>
      </c>
      <c r="BE1559" s="5" t="s">
        <v>251</v>
      </c>
      <c r="BF1559" s="5" t="s">
        <v>252</v>
      </c>
      <c r="BG1559" s="5" t="s">
        <v>238</v>
      </c>
      <c r="BH1559" s="7">
        <f>0</f>
        <v>0</v>
      </c>
      <c r="BI1559" s="8">
        <f>0</f>
        <v>0</v>
      </c>
      <c r="BJ1559" s="5" t="s">
        <v>253</v>
      </c>
      <c r="BK1559" s="5" t="s">
        <v>254</v>
      </c>
      <c r="BY1559" s="5" t="s">
        <v>238</v>
      </c>
      <c r="BZ1559" s="5" t="s">
        <v>238</v>
      </c>
      <c r="CD1559" s="5" t="s">
        <v>273</v>
      </c>
      <c r="CE1559" s="5" t="s">
        <v>256</v>
      </c>
      <c r="CF1559" s="5" t="s">
        <v>238</v>
      </c>
      <c r="CI1559" s="6" t="s">
        <v>257</v>
      </c>
      <c r="CJ1559" s="5" t="s">
        <v>238</v>
      </c>
      <c r="CK1559" s="5" t="s">
        <v>258</v>
      </c>
      <c r="CL1559" s="5" t="s">
        <v>238</v>
      </c>
      <c r="CM1559" s="5" t="s">
        <v>238</v>
      </c>
      <c r="CN1559" s="5">
        <v>0</v>
      </c>
      <c r="CO1559" s="5" t="s">
        <v>259</v>
      </c>
      <c r="CP1559" s="5" t="s">
        <v>260</v>
      </c>
      <c r="CQ1559" s="5" t="s">
        <v>260</v>
      </c>
      <c r="CR1559" s="5" t="s">
        <v>261</v>
      </c>
      <c r="CU1559" s="8">
        <f>1</f>
        <v>1</v>
      </c>
      <c r="CV1559" s="8">
        <f>0</f>
        <v>0</v>
      </c>
      <c r="CX1559" s="8">
        <f>0</f>
        <v>0</v>
      </c>
      <c r="CY1559" s="8">
        <f>1</f>
        <v>1</v>
      </c>
      <c r="DA1559" s="5" t="s">
        <v>673</v>
      </c>
      <c r="DB1559" s="5" t="s">
        <v>238</v>
      </c>
      <c r="DD1559" s="5" t="s">
        <v>673</v>
      </c>
      <c r="DE1559" s="8">
        <f>3353</f>
        <v>3353</v>
      </c>
      <c r="DG1559" s="5" t="s">
        <v>238</v>
      </c>
      <c r="DH1559" s="5" t="s">
        <v>238</v>
      </c>
      <c r="DI1559" s="5" t="s">
        <v>238</v>
      </c>
      <c r="DJ1559" s="5" t="s">
        <v>238</v>
      </c>
      <c r="DN1559" s="5" t="s">
        <v>238</v>
      </c>
      <c r="DO1559" s="5" t="s">
        <v>238</v>
      </c>
      <c r="DP1559" s="5" t="s">
        <v>238</v>
      </c>
      <c r="DQ1559" s="5" t="s">
        <v>238</v>
      </c>
      <c r="DT1559" s="5" t="s">
        <v>2039</v>
      </c>
      <c r="DU1559" s="5" t="s">
        <v>1509</v>
      </c>
      <c r="HM1559" s="5" t="s">
        <v>264</v>
      </c>
    </row>
    <row r="1560" spans="1:221" x14ac:dyDescent="0.4">
      <c r="A1560" s="5">
        <v>3235</v>
      </c>
      <c r="B1560" s="5">
        <v>1</v>
      </c>
      <c r="C1560" s="5">
        <v>1</v>
      </c>
      <c r="D1560" s="5" t="s">
        <v>2037</v>
      </c>
      <c r="E1560" s="5" t="s">
        <v>271</v>
      </c>
      <c r="F1560" s="5" t="s">
        <v>248</v>
      </c>
      <c r="G1560" s="5" t="s">
        <v>1969</v>
      </c>
      <c r="H1560" s="6" t="s">
        <v>2084</v>
      </c>
      <c r="I1560" s="7">
        <f>1096</f>
        <v>1096</v>
      </c>
      <c r="J1560" s="5" t="s">
        <v>262</v>
      </c>
      <c r="K1560" s="8">
        <f>1</f>
        <v>1</v>
      </c>
      <c r="L1560" s="6" t="s">
        <v>242</v>
      </c>
      <c r="M1560" s="5" t="s">
        <v>267</v>
      </c>
      <c r="N1560" s="5" t="s">
        <v>265</v>
      </c>
      <c r="O1560" s="5" t="s">
        <v>238</v>
      </c>
      <c r="P1560" s="5" t="s">
        <v>238</v>
      </c>
      <c r="Q1560" s="5" t="s">
        <v>268</v>
      </c>
      <c r="R1560" s="5" t="s">
        <v>270</v>
      </c>
      <c r="S1560" s="5" t="s">
        <v>238</v>
      </c>
      <c r="V1560" s="5" t="s">
        <v>238</v>
      </c>
      <c r="X1560" s="6" t="s">
        <v>238</v>
      </c>
      <c r="AA1560" s="6" t="s">
        <v>243</v>
      </c>
      <c r="AB1560" s="5" t="s">
        <v>238</v>
      </c>
      <c r="AC1560" s="5" t="s">
        <v>244</v>
      </c>
      <c r="AD1560" s="5" t="s">
        <v>245</v>
      </c>
      <c r="AT1560" s="5" t="s">
        <v>246</v>
      </c>
      <c r="AU1560" s="5" t="s">
        <v>238</v>
      </c>
      <c r="AV1560" s="5" t="s">
        <v>247</v>
      </c>
      <c r="AW1560" s="5" t="s">
        <v>238</v>
      </c>
      <c r="AX1560" s="5" t="s">
        <v>249</v>
      </c>
      <c r="AY1560" s="5" t="s">
        <v>238</v>
      </c>
      <c r="BA1560" s="5" t="s">
        <v>238</v>
      </c>
      <c r="BC1560" s="5" t="s">
        <v>250</v>
      </c>
      <c r="BD1560" s="6" t="s">
        <v>243</v>
      </c>
      <c r="BE1560" s="5" t="s">
        <v>251</v>
      </c>
      <c r="BF1560" s="5" t="s">
        <v>252</v>
      </c>
      <c r="BG1560" s="5" t="s">
        <v>238</v>
      </c>
      <c r="BH1560" s="7">
        <f>0</f>
        <v>0</v>
      </c>
      <c r="BI1560" s="8">
        <f>0</f>
        <v>0</v>
      </c>
      <c r="BJ1560" s="5" t="s">
        <v>253</v>
      </c>
      <c r="BK1560" s="5" t="s">
        <v>254</v>
      </c>
      <c r="BY1560" s="5" t="s">
        <v>238</v>
      </c>
      <c r="BZ1560" s="5" t="s">
        <v>238</v>
      </c>
      <c r="CD1560" s="5" t="s">
        <v>273</v>
      </c>
      <c r="CE1560" s="5" t="s">
        <v>256</v>
      </c>
      <c r="CF1560" s="5" t="s">
        <v>238</v>
      </c>
      <c r="CI1560" s="6" t="s">
        <v>257</v>
      </c>
      <c r="CJ1560" s="5" t="s">
        <v>238</v>
      </c>
      <c r="CK1560" s="5" t="s">
        <v>258</v>
      </c>
      <c r="CL1560" s="5" t="s">
        <v>238</v>
      </c>
      <c r="CM1560" s="5" t="s">
        <v>238</v>
      </c>
      <c r="CN1560" s="5">
        <v>0</v>
      </c>
      <c r="CO1560" s="5" t="s">
        <v>259</v>
      </c>
      <c r="CP1560" s="5" t="s">
        <v>260</v>
      </c>
      <c r="CQ1560" s="5" t="s">
        <v>260</v>
      </c>
      <c r="CR1560" s="5" t="s">
        <v>261</v>
      </c>
      <c r="CU1560" s="8">
        <f>1</f>
        <v>1</v>
      </c>
      <c r="CV1560" s="8">
        <f>0</f>
        <v>0</v>
      </c>
      <c r="CX1560" s="8">
        <f>0</f>
        <v>0</v>
      </c>
      <c r="CY1560" s="8">
        <f>1</f>
        <v>1</v>
      </c>
      <c r="DA1560" s="5" t="s">
        <v>673</v>
      </c>
      <c r="DB1560" s="5" t="s">
        <v>238</v>
      </c>
      <c r="DD1560" s="5" t="s">
        <v>673</v>
      </c>
      <c r="DE1560" s="8">
        <f>1096</f>
        <v>1096</v>
      </c>
      <c r="DG1560" s="5" t="s">
        <v>238</v>
      </c>
      <c r="DH1560" s="5" t="s">
        <v>238</v>
      </c>
      <c r="DI1560" s="5" t="s">
        <v>238</v>
      </c>
      <c r="DJ1560" s="5" t="s">
        <v>238</v>
      </c>
      <c r="DN1560" s="5" t="s">
        <v>238</v>
      </c>
      <c r="DO1560" s="5" t="s">
        <v>238</v>
      </c>
      <c r="DP1560" s="5" t="s">
        <v>238</v>
      </c>
      <c r="DQ1560" s="5" t="s">
        <v>238</v>
      </c>
      <c r="DT1560" s="5" t="s">
        <v>2039</v>
      </c>
      <c r="DU1560" s="5" t="s">
        <v>1505</v>
      </c>
      <c r="HM1560" s="5" t="s">
        <v>264</v>
      </c>
    </row>
    <row r="1561" spans="1:221" x14ac:dyDescent="0.4">
      <c r="A1561" s="5">
        <v>3236</v>
      </c>
      <c r="B1561" s="5">
        <v>1</v>
      </c>
      <c r="C1561" s="5">
        <v>1</v>
      </c>
      <c r="D1561" s="5" t="s">
        <v>2037</v>
      </c>
      <c r="E1561" s="5" t="s">
        <v>271</v>
      </c>
      <c r="F1561" s="5" t="s">
        <v>248</v>
      </c>
      <c r="G1561" s="5" t="s">
        <v>1969</v>
      </c>
      <c r="H1561" s="6" t="s">
        <v>2078</v>
      </c>
      <c r="I1561" s="7">
        <f>177</f>
        <v>177</v>
      </c>
      <c r="J1561" s="5" t="s">
        <v>262</v>
      </c>
      <c r="K1561" s="8">
        <f>1</f>
        <v>1</v>
      </c>
      <c r="L1561" s="6" t="s">
        <v>242</v>
      </c>
      <c r="M1561" s="5" t="s">
        <v>267</v>
      </c>
      <c r="N1561" s="5" t="s">
        <v>265</v>
      </c>
      <c r="O1561" s="5" t="s">
        <v>238</v>
      </c>
      <c r="P1561" s="5" t="s">
        <v>238</v>
      </c>
      <c r="Q1561" s="5" t="s">
        <v>268</v>
      </c>
      <c r="R1561" s="5" t="s">
        <v>270</v>
      </c>
      <c r="S1561" s="5" t="s">
        <v>238</v>
      </c>
      <c r="V1561" s="5" t="s">
        <v>238</v>
      </c>
      <c r="X1561" s="6" t="s">
        <v>238</v>
      </c>
      <c r="AA1561" s="6" t="s">
        <v>243</v>
      </c>
      <c r="AB1561" s="5" t="s">
        <v>238</v>
      </c>
      <c r="AC1561" s="5" t="s">
        <v>244</v>
      </c>
      <c r="AD1561" s="5" t="s">
        <v>245</v>
      </c>
      <c r="AT1561" s="5" t="s">
        <v>246</v>
      </c>
      <c r="AU1561" s="5" t="s">
        <v>238</v>
      </c>
      <c r="AV1561" s="5" t="s">
        <v>247</v>
      </c>
      <c r="AW1561" s="5" t="s">
        <v>238</v>
      </c>
      <c r="AX1561" s="5" t="s">
        <v>249</v>
      </c>
      <c r="AY1561" s="5" t="s">
        <v>238</v>
      </c>
      <c r="BA1561" s="5" t="s">
        <v>238</v>
      </c>
      <c r="BC1561" s="5" t="s">
        <v>250</v>
      </c>
      <c r="BD1561" s="6" t="s">
        <v>243</v>
      </c>
      <c r="BE1561" s="5" t="s">
        <v>251</v>
      </c>
      <c r="BF1561" s="5" t="s">
        <v>252</v>
      </c>
      <c r="BG1561" s="5" t="s">
        <v>238</v>
      </c>
      <c r="BH1561" s="7">
        <f>0</f>
        <v>0</v>
      </c>
      <c r="BI1561" s="8">
        <f>0</f>
        <v>0</v>
      </c>
      <c r="BJ1561" s="5" t="s">
        <v>253</v>
      </c>
      <c r="BK1561" s="5" t="s">
        <v>254</v>
      </c>
      <c r="BY1561" s="5" t="s">
        <v>238</v>
      </c>
      <c r="BZ1561" s="5" t="s">
        <v>238</v>
      </c>
      <c r="CD1561" s="5" t="s">
        <v>273</v>
      </c>
      <c r="CE1561" s="5" t="s">
        <v>256</v>
      </c>
      <c r="CF1561" s="5" t="s">
        <v>238</v>
      </c>
      <c r="CI1561" s="6" t="s">
        <v>257</v>
      </c>
      <c r="CJ1561" s="5" t="s">
        <v>238</v>
      </c>
      <c r="CK1561" s="5" t="s">
        <v>258</v>
      </c>
      <c r="CL1561" s="5" t="s">
        <v>238</v>
      </c>
      <c r="CM1561" s="5" t="s">
        <v>238</v>
      </c>
      <c r="CN1561" s="5">
        <v>0</v>
      </c>
      <c r="CO1561" s="5" t="s">
        <v>259</v>
      </c>
      <c r="CP1561" s="5" t="s">
        <v>260</v>
      </c>
      <c r="CQ1561" s="5" t="s">
        <v>260</v>
      </c>
      <c r="CR1561" s="5" t="s">
        <v>261</v>
      </c>
      <c r="CU1561" s="8">
        <f>1</f>
        <v>1</v>
      </c>
      <c r="CV1561" s="8">
        <f>0</f>
        <v>0</v>
      </c>
      <c r="CX1561" s="8">
        <f>0</f>
        <v>0</v>
      </c>
      <c r="CY1561" s="8">
        <f>1</f>
        <v>1</v>
      </c>
      <c r="DA1561" s="5" t="s">
        <v>673</v>
      </c>
      <c r="DB1561" s="5" t="s">
        <v>238</v>
      </c>
      <c r="DD1561" s="5" t="s">
        <v>673</v>
      </c>
      <c r="DE1561" s="8">
        <f>177</f>
        <v>177</v>
      </c>
      <c r="DG1561" s="5" t="s">
        <v>238</v>
      </c>
      <c r="DH1561" s="5" t="s">
        <v>238</v>
      </c>
      <c r="DI1561" s="5" t="s">
        <v>238</v>
      </c>
      <c r="DJ1561" s="5" t="s">
        <v>238</v>
      </c>
      <c r="DN1561" s="5" t="s">
        <v>238</v>
      </c>
      <c r="DO1561" s="5" t="s">
        <v>238</v>
      </c>
      <c r="DP1561" s="5" t="s">
        <v>238</v>
      </c>
      <c r="DQ1561" s="5" t="s">
        <v>238</v>
      </c>
      <c r="DT1561" s="5" t="s">
        <v>2039</v>
      </c>
      <c r="DU1561" s="5" t="s">
        <v>1497</v>
      </c>
      <c r="HM1561" s="5" t="s">
        <v>264</v>
      </c>
    </row>
    <row r="1562" spans="1:221" x14ac:dyDescent="0.4">
      <c r="A1562" s="5">
        <v>3237</v>
      </c>
      <c r="B1562" s="5">
        <v>1</v>
      </c>
      <c r="C1562" s="5">
        <v>1</v>
      </c>
      <c r="D1562" s="5" t="s">
        <v>2037</v>
      </c>
      <c r="E1562" s="5" t="s">
        <v>271</v>
      </c>
      <c r="F1562" s="5" t="s">
        <v>248</v>
      </c>
      <c r="G1562" s="5" t="s">
        <v>1969</v>
      </c>
      <c r="H1562" s="6" t="s">
        <v>2073</v>
      </c>
      <c r="I1562" s="7">
        <f>556</f>
        <v>556</v>
      </c>
      <c r="J1562" s="5" t="s">
        <v>262</v>
      </c>
      <c r="K1562" s="8">
        <f>1</f>
        <v>1</v>
      </c>
      <c r="L1562" s="6" t="s">
        <v>242</v>
      </c>
      <c r="M1562" s="5" t="s">
        <v>267</v>
      </c>
      <c r="N1562" s="5" t="s">
        <v>265</v>
      </c>
      <c r="O1562" s="5" t="s">
        <v>238</v>
      </c>
      <c r="P1562" s="5" t="s">
        <v>238</v>
      </c>
      <c r="Q1562" s="5" t="s">
        <v>268</v>
      </c>
      <c r="R1562" s="5" t="s">
        <v>270</v>
      </c>
      <c r="S1562" s="5" t="s">
        <v>238</v>
      </c>
      <c r="V1562" s="5" t="s">
        <v>238</v>
      </c>
      <c r="X1562" s="6" t="s">
        <v>238</v>
      </c>
      <c r="AA1562" s="6" t="s">
        <v>243</v>
      </c>
      <c r="AB1562" s="5" t="s">
        <v>238</v>
      </c>
      <c r="AC1562" s="5" t="s">
        <v>244</v>
      </c>
      <c r="AD1562" s="5" t="s">
        <v>245</v>
      </c>
      <c r="AT1562" s="5" t="s">
        <v>246</v>
      </c>
      <c r="AU1562" s="5" t="s">
        <v>238</v>
      </c>
      <c r="AV1562" s="5" t="s">
        <v>247</v>
      </c>
      <c r="AW1562" s="5" t="s">
        <v>238</v>
      </c>
      <c r="AX1562" s="5" t="s">
        <v>249</v>
      </c>
      <c r="AY1562" s="5" t="s">
        <v>238</v>
      </c>
      <c r="BA1562" s="5" t="s">
        <v>238</v>
      </c>
      <c r="BC1562" s="5" t="s">
        <v>250</v>
      </c>
      <c r="BD1562" s="6" t="s">
        <v>243</v>
      </c>
      <c r="BE1562" s="5" t="s">
        <v>251</v>
      </c>
      <c r="BF1562" s="5" t="s">
        <v>252</v>
      </c>
      <c r="BG1562" s="5" t="s">
        <v>238</v>
      </c>
      <c r="BH1562" s="7">
        <f>0</f>
        <v>0</v>
      </c>
      <c r="BI1562" s="8">
        <f>0</f>
        <v>0</v>
      </c>
      <c r="BJ1562" s="5" t="s">
        <v>253</v>
      </c>
      <c r="BK1562" s="5" t="s">
        <v>254</v>
      </c>
      <c r="BY1562" s="5" t="s">
        <v>238</v>
      </c>
      <c r="BZ1562" s="5" t="s">
        <v>238</v>
      </c>
      <c r="CD1562" s="5" t="s">
        <v>273</v>
      </c>
      <c r="CE1562" s="5" t="s">
        <v>256</v>
      </c>
      <c r="CF1562" s="5" t="s">
        <v>238</v>
      </c>
      <c r="CI1562" s="6" t="s">
        <v>257</v>
      </c>
      <c r="CJ1562" s="5" t="s">
        <v>238</v>
      </c>
      <c r="CK1562" s="5" t="s">
        <v>258</v>
      </c>
      <c r="CL1562" s="5" t="s">
        <v>238</v>
      </c>
      <c r="CM1562" s="5" t="s">
        <v>238</v>
      </c>
      <c r="CN1562" s="5">
        <v>0</v>
      </c>
      <c r="CO1562" s="5" t="s">
        <v>259</v>
      </c>
      <c r="CP1562" s="5" t="s">
        <v>260</v>
      </c>
      <c r="CQ1562" s="5" t="s">
        <v>260</v>
      </c>
      <c r="CR1562" s="5" t="s">
        <v>261</v>
      </c>
      <c r="CU1562" s="8">
        <f>1</f>
        <v>1</v>
      </c>
      <c r="CV1562" s="8">
        <f>0</f>
        <v>0</v>
      </c>
      <c r="CX1562" s="8">
        <f>0</f>
        <v>0</v>
      </c>
      <c r="CY1562" s="8">
        <f>1</f>
        <v>1</v>
      </c>
      <c r="DA1562" s="5" t="s">
        <v>673</v>
      </c>
      <c r="DB1562" s="5" t="s">
        <v>238</v>
      </c>
      <c r="DD1562" s="5" t="s">
        <v>673</v>
      </c>
      <c r="DE1562" s="8">
        <f>556</f>
        <v>556</v>
      </c>
      <c r="DG1562" s="5" t="s">
        <v>238</v>
      </c>
      <c r="DH1562" s="5" t="s">
        <v>238</v>
      </c>
      <c r="DI1562" s="5" t="s">
        <v>238</v>
      </c>
      <c r="DJ1562" s="5" t="s">
        <v>238</v>
      </c>
      <c r="DN1562" s="5" t="s">
        <v>238</v>
      </c>
      <c r="DO1562" s="5" t="s">
        <v>238</v>
      </c>
      <c r="DP1562" s="5" t="s">
        <v>238</v>
      </c>
      <c r="DQ1562" s="5" t="s">
        <v>238</v>
      </c>
      <c r="DT1562" s="5" t="s">
        <v>2039</v>
      </c>
      <c r="DU1562" s="5" t="s">
        <v>1495</v>
      </c>
      <c r="HM1562" s="5" t="s">
        <v>264</v>
      </c>
    </row>
    <row r="1563" spans="1:221" x14ac:dyDescent="0.4">
      <c r="A1563" s="5">
        <v>3238</v>
      </c>
      <c r="B1563" s="5">
        <v>1</v>
      </c>
      <c r="C1563" s="5">
        <v>1</v>
      </c>
      <c r="D1563" s="5" t="s">
        <v>2037</v>
      </c>
      <c r="E1563" s="5" t="s">
        <v>271</v>
      </c>
      <c r="F1563" s="5" t="s">
        <v>248</v>
      </c>
      <c r="G1563" s="5" t="s">
        <v>1969</v>
      </c>
      <c r="H1563" s="6" t="s">
        <v>2068</v>
      </c>
      <c r="I1563" s="7">
        <f>607</f>
        <v>607</v>
      </c>
      <c r="J1563" s="5" t="s">
        <v>262</v>
      </c>
      <c r="K1563" s="8">
        <f>1</f>
        <v>1</v>
      </c>
      <c r="L1563" s="6" t="s">
        <v>242</v>
      </c>
      <c r="M1563" s="5" t="s">
        <v>267</v>
      </c>
      <c r="N1563" s="5" t="s">
        <v>265</v>
      </c>
      <c r="O1563" s="5" t="s">
        <v>238</v>
      </c>
      <c r="P1563" s="5" t="s">
        <v>238</v>
      </c>
      <c r="Q1563" s="5" t="s">
        <v>268</v>
      </c>
      <c r="R1563" s="5" t="s">
        <v>270</v>
      </c>
      <c r="S1563" s="5" t="s">
        <v>238</v>
      </c>
      <c r="V1563" s="5" t="s">
        <v>238</v>
      </c>
      <c r="X1563" s="6" t="s">
        <v>238</v>
      </c>
      <c r="AA1563" s="6" t="s">
        <v>243</v>
      </c>
      <c r="AB1563" s="5" t="s">
        <v>238</v>
      </c>
      <c r="AC1563" s="5" t="s">
        <v>244</v>
      </c>
      <c r="AD1563" s="5" t="s">
        <v>245</v>
      </c>
      <c r="AT1563" s="5" t="s">
        <v>246</v>
      </c>
      <c r="AU1563" s="5" t="s">
        <v>238</v>
      </c>
      <c r="AV1563" s="5" t="s">
        <v>247</v>
      </c>
      <c r="AW1563" s="5" t="s">
        <v>238</v>
      </c>
      <c r="AX1563" s="5" t="s">
        <v>249</v>
      </c>
      <c r="AY1563" s="5" t="s">
        <v>238</v>
      </c>
      <c r="BA1563" s="5" t="s">
        <v>238</v>
      </c>
      <c r="BC1563" s="5" t="s">
        <v>250</v>
      </c>
      <c r="BD1563" s="6" t="s">
        <v>243</v>
      </c>
      <c r="BE1563" s="5" t="s">
        <v>251</v>
      </c>
      <c r="BF1563" s="5" t="s">
        <v>252</v>
      </c>
      <c r="BG1563" s="5" t="s">
        <v>238</v>
      </c>
      <c r="BH1563" s="7">
        <f>0</f>
        <v>0</v>
      </c>
      <c r="BI1563" s="8">
        <f>0</f>
        <v>0</v>
      </c>
      <c r="BJ1563" s="5" t="s">
        <v>253</v>
      </c>
      <c r="BK1563" s="5" t="s">
        <v>254</v>
      </c>
      <c r="BY1563" s="5" t="s">
        <v>238</v>
      </c>
      <c r="BZ1563" s="5" t="s">
        <v>238</v>
      </c>
      <c r="CD1563" s="5" t="s">
        <v>273</v>
      </c>
      <c r="CE1563" s="5" t="s">
        <v>256</v>
      </c>
      <c r="CF1563" s="5" t="s">
        <v>238</v>
      </c>
      <c r="CI1563" s="6" t="s">
        <v>257</v>
      </c>
      <c r="CJ1563" s="5" t="s">
        <v>238</v>
      </c>
      <c r="CK1563" s="5" t="s">
        <v>258</v>
      </c>
      <c r="CL1563" s="5" t="s">
        <v>238</v>
      </c>
      <c r="CM1563" s="5" t="s">
        <v>238</v>
      </c>
      <c r="CN1563" s="5">
        <v>0</v>
      </c>
      <c r="CO1563" s="5" t="s">
        <v>259</v>
      </c>
      <c r="CP1563" s="5" t="s">
        <v>260</v>
      </c>
      <c r="CQ1563" s="5" t="s">
        <v>260</v>
      </c>
      <c r="CR1563" s="5" t="s">
        <v>261</v>
      </c>
      <c r="CU1563" s="8">
        <f>1</f>
        <v>1</v>
      </c>
      <c r="CV1563" s="8">
        <f>0</f>
        <v>0</v>
      </c>
      <c r="CX1563" s="8">
        <f>0</f>
        <v>0</v>
      </c>
      <c r="CY1563" s="8">
        <f>1</f>
        <v>1</v>
      </c>
      <c r="DA1563" s="5" t="s">
        <v>673</v>
      </c>
      <c r="DB1563" s="5" t="s">
        <v>238</v>
      </c>
      <c r="DD1563" s="5" t="s">
        <v>673</v>
      </c>
      <c r="DE1563" s="8">
        <f>607</f>
        <v>607</v>
      </c>
      <c r="DG1563" s="5" t="s">
        <v>238</v>
      </c>
      <c r="DH1563" s="5" t="s">
        <v>238</v>
      </c>
      <c r="DI1563" s="5" t="s">
        <v>238</v>
      </c>
      <c r="DJ1563" s="5" t="s">
        <v>238</v>
      </c>
      <c r="DN1563" s="5" t="s">
        <v>238</v>
      </c>
      <c r="DO1563" s="5" t="s">
        <v>238</v>
      </c>
      <c r="DP1563" s="5" t="s">
        <v>238</v>
      </c>
      <c r="DQ1563" s="5" t="s">
        <v>238</v>
      </c>
      <c r="DT1563" s="5" t="s">
        <v>2039</v>
      </c>
      <c r="DU1563" s="5" t="s">
        <v>1491</v>
      </c>
      <c r="HM1563" s="5" t="s">
        <v>264</v>
      </c>
    </row>
    <row r="1564" spans="1:221" x14ac:dyDescent="0.4">
      <c r="A1564" s="5">
        <v>3239</v>
      </c>
      <c r="B1564" s="5">
        <v>1</v>
      </c>
      <c r="C1564" s="5">
        <v>1</v>
      </c>
      <c r="D1564" s="5" t="s">
        <v>2037</v>
      </c>
      <c r="E1564" s="5" t="s">
        <v>271</v>
      </c>
      <c r="F1564" s="5" t="s">
        <v>248</v>
      </c>
      <c r="G1564" s="5" t="s">
        <v>1969</v>
      </c>
      <c r="H1564" s="6" t="s">
        <v>2066</v>
      </c>
      <c r="I1564" s="7">
        <f>119</f>
        <v>119</v>
      </c>
      <c r="J1564" s="5" t="s">
        <v>262</v>
      </c>
      <c r="K1564" s="8">
        <f>1</f>
        <v>1</v>
      </c>
      <c r="L1564" s="6" t="s">
        <v>242</v>
      </c>
      <c r="M1564" s="5" t="s">
        <v>267</v>
      </c>
      <c r="N1564" s="5" t="s">
        <v>265</v>
      </c>
      <c r="O1564" s="5" t="s">
        <v>238</v>
      </c>
      <c r="P1564" s="5" t="s">
        <v>238</v>
      </c>
      <c r="Q1564" s="5" t="s">
        <v>268</v>
      </c>
      <c r="R1564" s="5" t="s">
        <v>270</v>
      </c>
      <c r="S1564" s="5" t="s">
        <v>238</v>
      </c>
      <c r="V1564" s="5" t="s">
        <v>238</v>
      </c>
      <c r="X1564" s="6" t="s">
        <v>238</v>
      </c>
      <c r="AA1564" s="6" t="s">
        <v>243</v>
      </c>
      <c r="AB1564" s="5" t="s">
        <v>238</v>
      </c>
      <c r="AC1564" s="5" t="s">
        <v>244</v>
      </c>
      <c r="AD1564" s="5" t="s">
        <v>245</v>
      </c>
      <c r="AT1564" s="5" t="s">
        <v>246</v>
      </c>
      <c r="AU1564" s="5" t="s">
        <v>238</v>
      </c>
      <c r="AV1564" s="5" t="s">
        <v>247</v>
      </c>
      <c r="AW1564" s="5" t="s">
        <v>238</v>
      </c>
      <c r="AX1564" s="5" t="s">
        <v>249</v>
      </c>
      <c r="AY1564" s="5" t="s">
        <v>238</v>
      </c>
      <c r="BA1564" s="5" t="s">
        <v>238</v>
      </c>
      <c r="BC1564" s="5" t="s">
        <v>250</v>
      </c>
      <c r="BD1564" s="6" t="s">
        <v>243</v>
      </c>
      <c r="BE1564" s="5" t="s">
        <v>251</v>
      </c>
      <c r="BF1564" s="5" t="s">
        <v>252</v>
      </c>
      <c r="BG1564" s="5" t="s">
        <v>238</v>
      </c>
      <c r="BH1564" s="7">
        <f>0</f>
        <v>0</v>
      </c>
      <c r="BI1564" s="8">
        <f>0</f>
        <v>0</v>
      </c>
      <c r="BJ1564" s="5" t="s">
        <v>253</v>
      </c>
      <c r="BK1564" s="5" t="s">
        <v>254</v>
      </c>
      <c r="BY1564" s="5" t="s">
        <v>238</v>
      </c>
      <c r="BZ1564" s="5" t="s">
        <v>238</v>
      </c>
      <c r="CD1564" s="5" t="s">
        <v>273</v>
      </c>
      <c r="CE1564" s="5" t="s">
        <v>256</v>
      </c>
      <c r="CF1564" s="5" t="s">
        <v>238</v>
      </c>
      <c r="CI1564" s="6" t="s">
        <v>257</v>
      </c>
      <c r="CJ1564" s="5" t="s">
        <v>238</v>
      </c>
      <c r="CK1564" s="5" t="s">
        <v>258</v>
      </c>
      <c r="CL1564" s="5" t="s">
        <v>238</v>
      </c>
      <c r="CM1564" s="5" t="s">
        <v>238</v>
      </c>
      <c r="CN1564" s="5">
        <v>0</v>
      </c>
      <c r="CO1564" s="5" t="s">
        <v>259</v>
      </c>
      <c r="CP1564" s="5" t="s">
        <v>260</v>
      </c>
      <c r="CQ1564" s="5" t="s">
        <v>260</v>
      </c>
      <c r="CR1564" s="5" t="s">
        <v>261</v>
      </c>
      <c r="CU1564" s="8">
        <f>1</f>
        <v>1</v>
      </c>
      <c r="CV1564" s="8">
        <f>0</f>
        <v>0</v>
      </c>
      <c r="CX1564" s="8">
        <f>0</f>
        <v>0</v>
      </c>
      <c r="CY1564" s="8">
        <f>1</f>
        <v>1</v>
      </c>
      <c r="DA1564" s="5" t="s">
        <v>673</v>
      </c>
      <c r="DB1564" s="5" t="s">
        <v>238</v>
      </c>
      <c r="DD1564" s="5" t="s">
        <v>673</v>
      </c>
      <c r="DE1564" s="8">
        <f>119</f>
        <v>119</v>
      </c>
      <c r="DG1564" s="5" t="s">
        <v>238</v>
      </c>
      <c r="DH1564" s="5" t="s">
        <v>238</v>
      </c>
      <c r="DI1564" s="5" t="s">
        <v>238</v>
      </c>
      <c r="DJ1564" s="5" t="s">
        <v>238</v>
      </c>
      <c r="DN1564" s="5" t="s">
        <v>238</v>
      </c>
      <c r="DO1564" s="5" t="s">
        <v>238</v>
      </c>
      <c r="DP1564" s="5" t="s">
        <v>238</v>
      </c>
      <c r="DQ1564" s="5" t="s">
        <v>238</v>
      </c>
      <c r="DT1564" s="5" t="s">
        <v>2039</v>
      </c>
      <c r="DU1564" s="5" t="s">
        <v>1485</v>
      </c>
      <c r="HM1564" s="5" t="s">
        <v>264</v>
      </c>
    </row>
    <row r="1565" spans="1:221" x14ac:dyDescent="0.4">
      <c r="A1565" s="5">
        <v>3240</v>
      </c>
      <c r="B1565" s="5">
        <v>1</v>
      </c>
      <c r="C1565" s="5">
        <v>1</v>
      </c>
      <c r="D1565" s="5" t="s">
        <v>2037</v>
      </c>
      <c r="E1565" s="5" t="s">
        <v>271</v>
      </c>
      <c r="F1565" s="5" t="s">
        <v>248</v>
      </c>
      <c r="G1565" s="5" t="s">
        <v>1969</v>
      </c>
      <c r="H1565" s="6" t="s">
        <v>2061</v>
      </c>
      <c r="I1565" s="7">
        <f>136</f>
        <v>136</v>
      </c>
      <c r="J1565" s="5" t="s">
        <v>262</v>
      </c>
      <c r="K1565" s="8">
        <f>1</f>
        <v>1</v>
      </c>
      <c r="L1565" s="6" t="s">
        <v>242</v>
      </c>
      <c r="M1565" s="5" t="s">
        <v>267</v>
      </c>
      <c r="N1565" s="5" t="s">
        <v>265</v>
      </c>
      <c r="O1565" s="5" t="s">
        <v>238</v>
      </c>
      <c r="P1565" s="5" t="s">
        <v>238</v>
      </c>
      <c r="Q1565" s="5" t="s">
        <v>268</v>
      </c>
      <c r="R1565" s="5" t="s">
        <v>270</v>
      </c>
      <c r="S1565" s="5" t="s">
        <v>238</v>
      </c>
      <c r="V1565" s="5" t="s">
        <v>238</v>
      </c>
      <c r="X1565" s="6" t="s">
        <v>238</v>
      </c>
      <c r="AA1565" s="6" t="s">
        <v>243</v>
      </c>
      <c r="AB1565" s="5" t="s">
        <v>238</v>
      </c>
      <c r="AC1565" s="5" t="s">
        <v>244</v>
      </c>
      <c r="AD1565" s="5" t="s">
        <v>245</v>
      </c>
      <c r="AT1565" s="5" t="s">
        <v>246</v>
      </c>
      <c r="AU1565" s="5" t="s">
        <v>238</v>
      </c>
      <c r="AV1565" s="5" t="s">
        <v>247</v>
      </c>
      <c r="AW1565" s="5" t="s">
        <v>238</v>
      </c>
      <c r="AX1565" s="5" t="s">
        <v>249</v>
      </c>
      <c r="AY1565" s="5" t="s">
        <v>238</v>
      </c>
      <c r="BA1565" s="5" t="s">
        <v>238</v>
      </c>
      <c r="BC1565" s="5" t="s">
        <v>250</v>
      </c>
      <c r="BD1565" s="6" t="s">
        <v>243</v>
      </c>
      <c r="BE1565" s="5" t="s">
        <v>251</v>
      </c>
      <c r="BF1565" s="5" t="s">
        <v>252</v>
      </c>
      <c r="BG1565" s="5" t="s">
        <v>238</v>
      </c>
      <c r="BH1565" s="7">
        <f>0</f>
        <v>0</v>
      </c>
      <c r="BI1565" s="8">
        <f>0</f>
        <v>0</v>
      </c>
      <c r="BJ1565" s="5" t="s">
        <v>253</v>
      </c>
      <c r="BK1565" s="5" t="s">
        <v>254</v>
      </c>
      <c r="BY1565" s="5" t="s">
        <v>238</v>
      </c>
      <c r="BZ1565" s="5" t="s">
        <v>238</v>
      </c>
      <c r="CD1565" s="5" t="s">
        <v>273</v>
      </c>
      <c r="CE1565" s="5" t="s">
        <v>256</v>
      </c>
      <c r="CF1565" s="5" t="s">
        <v>238</v>
      </c>
      <c r="CI1565" s="6" t="s">
        <v>257</v>
      </c>
      <c r="CJ1565" s="5" t="s">
        <v>238</v>
      </c>
      <c r="CK1565" s="5" t="s">
        <v>258</v>
      </c>
      <c r="CL1565" s="5" t="s">
        <v>238</v>
      </c>
      <c r="CM1565" s="5" t="s">
        <v>238</v>
      </c>
      <c r="CN1565" s="5">
        <v>0</v>
      </c>
      <c r="CO1565" s="5" t="s">
        <v>259</v>
      </c>
      <c r="CP1565" s="5" t="s">
        <v>260</v>
      </c>
      <c r="CQ1565" s="5" t="s">
        <v>260</v>
      </c>
      <c r="CR1565" s="5" t="s">
        <v>261</v>
      </c>
      <c r="CU1565" s="8">
        <f>1</f>
        <v>1</v>
      </c>
      <c r="CV1565" s="8">
        <f>0</f>
        <v>0</v>
      </c>
      <c r="CX1565" s="8">
        <f>0</f>
        <v>0</v>
      </c>
      <c r="CY1565" s="8">
        <f>1</f>
        <v>1</v>
      </c>
      <c r="DA1565" s="5" t="s">
        <v>673</v>
      </c>
      <c r="DB1565" s="5" t="s">
        <v>238</v>
      </c>
      <c r="DD1565" s="5" t="s">
        <v>673</v>
      </c>
      <c r="DE1565" s="8">
        <f>136</f>
        <v>136</v>
      </c>
      <c r="DG1565" s="5" t="s">
        <v>238</v>
      </c>
      <c r="DH1565" s="5" t="s">
        <v>238</v>
      </c>
      <c r="DI1565" s="5" t="s">
        <v>238</v>
      </c>
      <c r="DJ1565" s="5" t="s">
        <v>238</v>
      </c>
      <c r="DN1565" s="5" t="s">
        <v>238</v>
      </c>
      <c r="DO1565" s="5" t="s">
        <v>238</v>
      </c>
      <c r="DP1565" s="5" t="s">
        <v>238</v>
      </c>
      <c r="DQ1565" s="5" t="s">
        <v>238</v>
      </c>
      <c r="DT1565" s="5" t="s">
        <v>2039</v>
      </c>
      <c r="DU1565" s="5" t="s">
        <v>1478</v>
      </c>
      <c r="HM1565" s="5" t="s">
        <v>264</v>
      </c>
    </row>
    <row r="1566" spans="1:221" x14ac:dyDescent="0.4">
      <c r="A1566" s="5">
        <v>3241</v>
      </c>
      <c r="B1566" s="5">
        <v>1</v>
      </c>
      <c r="C1566" s="5">
        <v>1</v>
      </c>
      <c r="D1566" s="5" t="s">
        <v>2037</v>
      </c>
      <c r="E1566" s="5" t="s">
        <v>271</v>
      </c>
      <c r="F1566" s="5" t="s">
        <v>248</v>
      </c>
      <c r="G1566" s="5" t="s">
        <v>1969</v>
      </c>
      <c r="H1566" s="6" t="s">
        <v>2056</v>
      </c>
      <c r="I1566" s="7">
        <f>508</f>
        <v>508</v>
      </c>
      <c r="J1566" s="5" t="s">
        <v>262</v>
      </c>
      <c r="K1566" s="8">
        <f>1</f>
        <v>1</v>
      </c>
      <c r="L1566" s="6" t="s">
        <v>242</v>
      </c>
      <c r="M1566" s="5" t="s">
        <v>267</v>
      </c>
      <c r="N1566" s="5" t="s">
        <v>265</v>
      </c>
      <c r="O1566" s="5" t="s">
        <v>238</v>
      </c>
      <c r="P1566" s="5" t="s">
        <v>238</v>
      </c>
      <c r="Q1566" s="5" t="s">
        <v>268</v>
      </c>
      <c r="R1566" s="5" t="s">
        <v>270</v>
      </c>
      <c r="S1566" s="5" t="s">
        <v>238</v>
      </c>
      <c r="V1566" s="5" t="s">
        <v>238</v>
      </c>
      <c r="X1566" s="6" t="s">
        <v>238</v>
      </c>
      <c r="AA1566" s="6" t="s">
        <v>243</v>
      </c>
      <c r="AB1566" s="5" t="s">
        <v>238</v>
      </c>
      <c r="AC1566" s="5" t="s">
        <v>244</v>
      </c>
      <c r="AD1566" s="5" t="s">
        <v>245</v>
      </c>
      <c r="AT1566" s="5" t="s">
        <v>246</v>
      </c>
      <c r="AU1566" s="5" t="s">
        <v>238</v>
      </c>
      <c r="AV1566" s="5" t="s">
        <v>247</v>
      </c>
      <c r="AW1566" s="5" t="s">
        <v>238</v>
      </c>
      <c r="AX1566" s="5" t="s">
        <v>249</v>
      </c>
      <c r="AY1566" s="5" t="s">
        <v>238</v>
      </c>
      <c r="BA1566" s="5" t="s">
        <v>238</v>
      </c>
      <c r="BC1566" s="5" t="s">
        <v>250</v>
      </c>
      <c r="BD1566" s="6" t="s">
        <v>243</v>
      </c>
      <c r="BE1566" s="5" t="s">
        <v>251</v>
      </c>
      <c r="BF1566" s="5" t="s">
        <v>252</v>
      </c>
      <c r="BG1566" s="5" t="s">
        <v>238</v>
      </c>
      <c r="BH1566" s="7">
        <f>0</f>
        <v>0</v>
      </c>
      <c r="BI1566" s="8">
        <f>0</f>
        <v>0</v>
      </c>
      <c r="BJ1566" s="5" t="s">
        <v>253</v>
      </c>
      <c r="BK1566" s="5" t="s">
        <v>254</v>
      </c>
      <c r="BY1566" s="5" t="s">
        <v>238</v>
      </c>
      <c r="BZ1566" s="5" t="s">
        <v>238</v>
      </c>
      <c r="CD1566" s="5" t="s">
        <v>273</v>
      </c>
      <c r="CE1566" s="5" t="s">
        <v>256</v>
      </c>
      <c r="CF1566" s="5" t="s">
        <v>238</v>
      </c>
      <c r="CI1566" s="6" t="s">
        <v>257</v>
      </c>
      <c r="CJ1566" s="5" t="s">
        <v>238</v>
      </c>
      <c r="CK1566" s="5" t="s">
        <v>258</v>
      </c>
      <c r="CL1566" s="5" t="s">
        <v>238</v>
      </c>
      <c r="CM1566" s="5" t="s">
        <v>238</v>
      </c>
      <c r="CN1566" s="5">
        <v>0</v>
      </c>
      <c r="CO1566" s="5" t="s">
        <v>259</v>
      </c>
      <c r="CP1566" s="5" t="s">
        <v>260</v>
      </c>
      <c r="CQ1566" s="5" t="s">
        <v>260</v>
      </c>
      <c r="CR1566" s="5" t="s">
        <v>261</v>
      </c>
      <c r="CU1566" s="8">
        <f>1</f>
        <v>1</v>
      </c>
      <c r="CV1566" s="8">
        <f>0</f>
        <v>0</v>
      </c>
      <c r="CX1566" s="8">
        <f>0</f>
        <v>0</v>
      </c>
      <c r="CY1566" s="8">
        <f>1</f>
        <v>1</v>
      </c>
      <c r="DA1566" s="5" t="s">
        <v>673</v>
      </c>
      <c r="DB1566" s="5" t="s">
        <v>238</v>
      </c>
      <c r="DD1566" s="5" t="s">
        <v>673</v>
      </c>
      <c r="DE1566" s="8">
        <f>508</f>
        <v>508</v>
      </c>
      <c r="DG1566" s="5" t="s">
        <v>238</v>
      </c>
      <c r="DH1566" s="5" t="s">
        <v>238</v>
      </c>
      <c r="DI1566" s="5" t="s">
        <v>238</v>
      </c>
      <c r="DJ1566" s="5" t="s">
        <v>238</v>
      </c>
      <c r="DN1566" s="5" t="s">
        <v>238</v>
      </c>
      <c r="DO1566" s="5" t="s">
        <v>238</v>
      </c>
      <c r="DP1566" s="5" t="s">
        <v>238</v>
      </c>
      <c r="DQ1566" s="5" t="s">
        <v>238</v>
      </c>
      <c r="DT1566" s="5" t="s">
        <v>2039</v>
      </c>
      <c r="DU1566" s="5" t="s">
        <v>1474</v>
      </c>
      <c r="HM1566" s="5" t="s">
        <v>264</v>
      </c>
    </row>
    <row r="1567" spans="1:221" x14ac:dyDescent="0.4">
      <c r="A1567" s="5">
        <v>3242</v>
      </c>
      <c r="B1567" s="5">
        <v>1</v>
      </c>
      <c r="C1567" s="5">
        <v>1</v>
      </c>
      <c r="D1567" s="5" t="s">
        <v>2037</v>
      </c>
      <c r="E1567" s="5" t="s">
        <v>271</v>
      </c>
      <c r="F1567" s="5" t="s">
        <v>248</v>
      </c>
      <c r="G1567" s="5" t="s">
        <v>1969</v>
      </c>
      <c r="H1567" s="6" t="s">
        <v>2046</v>
      </c>
      <c r="I1567" s="7">
        <f>105</f>
        <v>105</v>
      </c>
      <c r="J1567" s="5" t="s">
        <v>262</v>
      </c>
      <c r="K1567" s="8">
        <f>1</f>
        <v>1</v>
      </c>
      <c r="L1567" s="6" t="s">
        <v>242</v>
      </c>
      <c r="M1567" s="5" t="s">
        <v>267</v>
      </c>
      <c r="N1567" s="5" t="s">
        <v>265</v>
      </c>
      <c r="O1567" s="5" t="s">
        <v>238</v>
      </c>
      <c r="P1567" s="5" t="s">
        <v>238</v>
      </c>
      <c r="Q1567" s="5" t="s">
        <v>268</v>
      </c>
      <c r="R1567" s="5" t="s">
        <v>270</v>
      </c>
      <c r="S1567" s="5" t="s">
        <v>238</v>
      </c>
      <c r="V1567" s="5" t="s">
        <v>238</v>
      </c>
      <c r="X1567" s="6" t="s">
        <v>238</v>
      </c>
      <c r="AA1567" s="6" t="s">
        <v>243</v>
      </c>
      <c r="AB1567" s="5" t="s">
        <v>238</v>
      </c>
      <c r="AC1567" s="5" t="s">
        <v>244</v>
      </c>
      <c r="AD1567" s="5" t="s">
        <v>245</v>
      </c>
      <c r="AT1567" s="5" t="s">
        <v>246</v>
      </c>
      <c r="AU1567" s="5" t="s">
        <v>238</v>
      </c>
      <c r="AV1567" s="5" t="s">
        <v>247</v>
      </c>
      <c r="AW1567" s="5" t="s">
        <v>238</v>
      </c>
      <c r="AX1567" s="5" t="s">
        <v>249</v>
      </c>
      <c r="AY1567" s="5" t="s">
        <v>238</v>
      </c>
      <c r="BA1567" s="5" t="s">
        <v>238</v>
      </c>
      <c r="BC1567" s="5" t="s">
        <v>250</v>
      </c>
      <c r="BD1567" s="6" t="s">
        <v>243</v>
      </c>
      <c r="BE1567" s="5" t="s">
        <v>251</v>
      </c>
      <c r="BF1567" s="5" t="s">
        <v>252</v>
      </c>
      <c r="BG1567" s="5" t="s">
        <v>238</v>
      </c>
      <c r="BH1567" s="7">
        <f>0</f>
        <v>0</v>
      </c>
      <c r="BI1567" s="8">
        <f>0</f>
        <v>0</v>
      </c>
      <c r="BJ1567" s="5" t="s">
        <v>253</v>
      </c>
      <c r="BK1567" s="5" t="s">
        <v>254</v>
      </c>
      <c r="BY1567" s="5" t="s">
        <v>238</v>
      </c>
      <c r="BZ1567" s="5" t="s">
        <v>238</v>
      </c>
      <c r="CD1567" s="5" t="s">
        <v>273</v>
      </c>
      <c r="CE1567" s="5" t="s">
        <v>256</v>
      </c>
      <c r="CF1567" s="5" t="s">
        <v>238</v>
      </c>
      <c r="CI1567" s="6" t="s">
        <v>257</v>
      </c>
      <c r="CJ1567" s="5" t="s">
        <v>238</v>
      </c>
      <c r="CK1567" s="5" t="s">
        <v>258</v>
      </c>
      <c r="CL1567" s="5" t="s">
        <v>238</v>
      </c>
      <c r="CM1567" s="5" t="s">
        <v>238</v>
      </c>
      <c r="CN1567" s="5">
        <v>0</v>
      </c>
      <c r="CO1567" s="5" t="s">
        <v>259</v>
      </c>
      <c r="CP1567" s="5" t="s">
        <v>260</v>
      </c>
      <c r="CQ1567" s="5" t="s">
        <v>260</v>
      </c>
      <c r="CR1567" s="5" t="s">
        <v>261</v>
      </c>
      <c r="CU1567" s="8">
        <f>1</f>
        <v>1</v>
      </c>
      <c r="CV1567" s="8">
        <f>0</f>
        <v>0</v>
      </c>
      <c r="CX1567" s="8">
        <f>0</f>
        <v>0</v>
      </c>
      <c r="CY1567" s="8">
        <f>1</f>
        <v>1</v>
      </c>
      <c r="DA1567" s="5" t="s">
        <v>673</v>
      </c>
      <c r="DB1567" s="5" t="s">
        <v>238</v>
      </c>
      <c r="DD1567" s="5" t="s">
        <v>673</v>
      </c>
      <c r="DE1567" s="8">
        <f>105</f>
        <v>105</v>
      </c>
      <c r="DG1567" s="5" t="s">
        <v>238</v>
      </c>
      <c r="DH1567" s="5" t="s">
        <v>238</v>
      </c>
      <c r="DI1567" s="5" t="s">
        <v>238</v>
      </c>
      <c r="DJ1567" s="5" t="s">
        <v>238</v>
      </c>
      <c r="DN1567" s="5" t="s">
        <v>238</v>
      </c>
      <c r="DO1567" s="5" t="s">
        <v>238</v>
      </c>
      <c r="DP1567" s="5" t="s">
        <v>238</v>
      </c>
      <c r="DQ1567" s="5" t="s">
        <v>238</v>
      </c>
      <c r="DT1567" s="5" t="s">
        <v>2039</v>
      </c>
      <c r="DU1567" s="5" t="s">
        <v>1465</v>
      </c>
      <c r="HM1567" s="5" t="s">
        <v>264</v>
      </c>
    </row>
    <row r="1568" spans="1:221" x14ac:dyDescent="0.4">
      <c r="A1568" s="5">
        <v>3243</v>
      </c>
      <c r="B1568" s="5">
        <v>1</v>
      </c>
      <c r="C1568" s="5">
        <v>1</v>
      </c>
      <c r="D1568" s="5" t="s">
        <v>2037</v>
      </c>
      <c r="E1568" s="5" t="s">
        <v>271</v>
      </c>
      <c r="F1568" s="5" t="s">
        <v>248</v>
      </c>
      <c r="G1568" s="5" t="s">
        <v>1969</v>
      </c>
      <c r="H1568" s="6" t="s">
        <v>2045</v>
      </c>
      <c r="I1568" s="7">
        <f>995</f>
        <v>995</v>
      </c>
      <c r="J1568" s="5" t="s">
        <v>262</v>
      </c>
      <c r="K1568" s="8">
        <f>1</f>
        <v>1</v>
      </c>
      <c r="L1568" s="6" t="s">
        <v>242</v>
      </c>
      <c r="M1568" s="5" t="s">
        <v>267</v>
      </c>
      <c r="N1568" s="5" t="s">
        <v>265</v>
      </c>
      <c r="O1568" s="5" t="s">
        <v>238</v>
      </c>
      <c r="P1568" s="5" t="s">
        <v>238</v>
      </c>
      <c r="Q1568" s="5" t="s">
        <v>268</v>
      </c>
      <c r="R1568" s="5" t="s">
        <v>270</v>
      </c>
      <c r="S1568" s="5" t="s">
        <v>238</v>
      </c>
      <c r="V1568" s="5" t="s">
        <v>238</v>
      </c>
      <c r="X1568" s="6" t="s">
        <v>238</v>
      </c>
      <c r="AA1568" s="6" t="s">
        <v>243</v>
      </c>
      <c r="AB1568" s="5" t="s">
        <v>238</v>
      </c>
      <c r="AC1568" s="5" t="s">
        <v>244</v>
      </c>
      <c r="AD1568" s="5" t="s">
        <v>245</v>
      </c>
      <c r="AT1568" s="5" t="s">
        <v>246</v>
      </c>
      <c r="AU1568" s="5" t="s">
        <v>238</v>
      </c>
      <c r="AV1568" s="5" t="s">
        <v>247</v>
      </c>
      <c r="AW1568" s="5" t="s">
        <v>238</v>
      </c>
      <c r="AX1568" s="5" t="s">
        <v>249</v>
      </c>
      <c r="AY1568" s="5" t="s">
        <v>238</v>
      </c>
      <c r="BA1568" s="5" t="s">
        <v>238</v>
      </c>
      <c r="BC1568" s="5" t="s">
        <v>250</v>
      </c>
      <c r="BD1568" s="6" t="s">
        <v>243</v>
      </c>
      <c r="BE1568" s="5" t="s">
        <v>251</v>
      </c>
      <c r="BF1568" s="5" t="s">
        <v>252</v>
      </c>
      <c r="BG1568" s="5" t="s">
        <v>238</v>
      </c>
      <c r="BH1568" s="7">
        <f>0</f>
        <v>0</v>
      </c>
      <c r="BI1568" s="8">
        <f>0</f>
        <v>0</v>
      </c>
      <c r="BJ1568" s="5" t="s">
        <v>253</v>
      </c>
      <c r="BK1568" s="5" t="s">
        <v>254</v>
      </c>
      <c r="BY1568" s="5" t="s">
        <v>238</v>
      </c>
      <c r="BZ1568" s="5" t="s">
        <v>238</v>
      </c>
      <c r="CD1568" s="5" t="s">
        <v>273</v>
      </c>
      <c r="CE1568" s="5" t="s">
        <v>256</v>
      </c>
      <c r="CF1568" s="5" t="s">
        <v>238</v>
      </c>
      <c r="CI1568" s="6" t="s">
        <v>257</v>
      </c>
      <c r="CJ1568" s="5" t="s">
        <v>238</v>
      </c>
      <c r="CK1568" s="5" t="s">
        <v>258</v>
      </c>
      <c r="CL1568" s="5" t="s">
        <v>238</v>
      </c>
      <c r="CM1568" s="5" t="s">
        <v>238</v>
      </c>
      <c r="CN1568" s="5">
        <v>0</v>
      </c>
      <c r="CO1568" s="5" t="s">
        <v>259</v>
      </c>
      <c r="CP1568" s="5" t="s">
        <v>260</v>
      </c>
      <c r="CQ1568" s="5" t="s">
        <v>260</v>
      </c>
      <c r="CR1568" s="5" t="s">
        <v>261</v>
      </c>
      <c r="CU1568" s="8">
        <f>1</f>
        <v>1</v>
      </c>
      <c r="CV1568" s="8">
        <f>0</f>
        <v>0</v>
      </c>
      <c r="CX1568" s="8">
        <f>0</f>
        <v>0</v>
      </c>
      <c r="CY1568" s="8">
        <f>1</f>
        <v>1</v>
      </c>
      <c r="DA1568" s="5" t="s">
        <v>673</v>
      </c>
      <c r="DB1568" s="5" t="s">
        <v>238</v>
      </c>
      <c r="DD1568" s="5" t="s">
        <v>673</v>
      </c>
      <c r="DE1568" s="8">
        <f>995</f>
        <v>995</v>
      </c>
      <c r="DG1568" s="5" t="s">
        <v>238</v>
      </c>
      <c r="DH1568" s="5" t="s">
        <v>238</v>
      </c>
      <c r="DI1568" s="5" t="s">
        <v>238</v>
      </c>
      <c r="DJ1568" s="5" t="s">
        <v>238</v>
      </c>
      <c r="DN1568" s="5" t="s">
        <v>238</v>
      </c>
      <c r="DO1568" s="5" t="s">
        <v>238</v>
      </c>
      <c r="DP1568" s="5" t="s">
        <v>238</v>
      </c>
      <c r="DQ1568" s="5" t="s">
        <v>238</v>
      </c>
      <c r="DT1568" s="5" t="s">
        <v>2039</v>
      </c>
      <c r="DU1568" s="5" t="s">
        <v>1459</v>
      </c>
      <c r="HM1568" s="5" t="s">
        <v>264</v>
      </c>
    </row>
    <row r="1569" spans="1:221" x14ac:dyDescent="0.4">
      <c r="A1569" s="5">
        <v>3244</v>
      </c>
      <c r="B1569" s="5">
        <v>1</v>
      </c>
      <c r="C1569" s="5">
        <v>1</v>
      </c>
      <c r="D1569" s="5" t="s">
        <v>2037</v>
      </c>
      <c r="E1569" s="5" t="s">
        <v>271</v>
      </c>
      <c r="F1569" s="5" t="s">
        <v>248</v>
      </c>
      <c r="G1569" s="5" t="s">
        <v>1969</v>
      </c>
      <c r="H1569" s="6" t="s">
        <v>3864</v>
      </c>
      <c r="I1569" s="7">
        <f>1610</f>
        <v>1610</v>
      </c>
      <c r="J1569" s="5" t="s">
        <v>262</v>
      </c>
      <c r="K1569" s="8">
        <f>1</f>
        <v>1</v>
      </c>
      <c r="L1569" s="6" t="s">
        <v>242</v>
      </c>
      <c r="M1569" s="5" t="s">
        <v>267</v>
      </c>
      <c r="N1569" s="5" t="s">
        <v>265</v>
      </c>
      <c r="O1569" s="5" t="s">
        <v>238</v>
      </c>
      <c r="P1569" s="5" t="s">
        <v>238</v>
      </c>
      <c r="Q1569" s="5" t="s">
        <v>268</v>
      </c>
      <c r="R1569" s="5" t="s">
        <v>270</v>
      </c>
      <c r="S1569" s="5" t="s">
        <v>238</v>
      </c>
      <c r="V1569" s="5" t="s">
        <v>238</v>
      </c>
      <c r="X1569" s="6" t="s">
        <v>238</v>
      </c>
      <c r="AA1569" s="6" t="s">
        <v>243</v>
      </c>
      <c r="AB1569" s="5" t="s">
        <v>238</v>
      </c>
      <c r="AC1569" s="5" t="s">
        <v>244</v>
      </c>
      <c r="AD1569" s="5" t="s">
        <v>245</v>
      </c>
      <c r="AT1569" s="5" t="s">
        <v>246</v>
      </c>
      <c r="AU1569" s="5" t="s">
        <v>238</v>
      </c>
      <c r="AV1569" s="5" t="s">
        <v>247</v>
      </c>
      <c r="AW1569" s="5" t="s">
        <v>238</v>
      </c>
      <c r="AX1569" s="5" t="s">
        <v>249</v>
      </c>
      <c r="AY1569" s="5" t="s">
        <v>238</v>
      </c>
      <c r="BA1569" s="5" t="s">
        <v>238</v>
      </c>
      <c r="BC1569" s="5" t="s">
        <v>250</v>
      </c>
      <c r="BD1569" s="6" t="s">
        <v>243</v>
      </c>
      <c r="BE1569" s="5" t="s">
        <v>251</v>
      </c>
      <c r="BF1569" s="5" t="s">
        <v>252</v>
      </c>
      <c r="BG1569" s="5" t="s">
        <v>238</v>
      </c>
      <c r="BH1569" s="7">
        <f>0</f>
        <v>0</v>
      </c>
      <c r="BI1569" s="8">
        <f>0</f>
        <v>0</v>
      </c>
      <c r="BJ1569" s="5" t="s">
        <v>253</v>
      </c>
      <c r="BK1569" s="5" t="s">
        <v>254</v>
      </c>
      <c r="BY1569" s="5" t="s">
        <v>238</v>
      </c>
      <c r="BZ1569" s="5" t="s">
        <v>238</v>
      </c>
      <c r="CD1569" s="5" t="s">
        <v>273</v>
      </c>
      <c r="CE1569" s="5" t="s">
        <v>256</v>
      </c>
      <c r="CF1569" s="5" t="s">
        <v>238</v>
      </c>
      <c r="CI1569" s="6" t="s">
        <v>257</v>
      </c>
      <c r="CJ1569" s="5" t="s">
        <v>238</v>
      </c>
      <c r="CK1569" s="5" t="s">
        <v>258</v>
      </c>
      <c r="CL1569" s="5" t="s">
        <v>238</v>
      </c>
      <c r="CM1569" s="5" t="s">
        <v>238</v>
      </c>
      <c r="CN1569" s="5">
        <v>0</v>
      </c>
      <c r="CO1569" s="5" t="s">
        <v>259</v>
      </c>
      <c r="CP1569" s="5" t="s">
        <v>260</v>
      </c>
      <c r="CQ1569" s="5" t="s">
        <v>260</v>
      </c>
      <c r="CR1569" s="5" t="s">
        <v>261</v>
      </c>
      <c r="CU1569" s="8">
        <f>1</f>
        <v>1</v>
      </c>
      <c r="CV1569" s="8">
        <f>0</f>
        <v>0</v>
      </c>
      <c r="CX1569" s="8">
        <f>0</f>
        <v>0</v>
      </c>
      <c r="CY1569" s="8">
        <f>1</f>
        <v>1</v>
      </c>
      <c r="DA1569" s="5" t="s">
        <v>673</v>
      </c>
      <c r="DB1569" s="5" t="s">
        <v>238</v>
      </c>
      <c r="DD1569" s="5" t="s">
        <v>673</v>
      </c>
      <c r="DE1569" s="8">
        <f>1610</f>
        <v>1610</v>
      </c>
      <c r="DG1569" s="5" t="s">
        <v>238</v>
      </c>
      <c r="DH1569" s="5" t="s">
        <v>238</v>
      </c>
      <c r="DI1569" s="5" t="s">
        <v>238</v>
      </c>
      <c r="DJ1569" s="5" t="s">
        <v>238</v>
      </c>
      <c r="DN1569" s="5" t="s">
        <v>238</v>
      </c>
      <c r="DO1569" s="5" t="s">
        <v>238</v>
      </c>
      <c r="DP1569" s="5" t="s">
        <v>238</v>
      </c>
      <c r="DQ1569" s="5" t="s">
        <v>238</v>
      </c>
      <c r="DT1569" s="5" t="s">
        <v>2039</v>
      </c>
      <c r="DU1569" s="5" t="s">
        <v>1457</v>
      </c>
      <c r="HM1569" s="5" t="s">
        <v>264</v>
      </c>
    </row>
    <row r="1570" spans="1:221" x14ac:dyDescent="0.4">
      <c r="A1570" s="5">
        <v>3245</v>
      </c>
      <c r="B1570" s="5">
        <v>1</v>
      </c>
      <c r="C1570" s="5">
        <v>1</v>
      </c>
      <c r="D1570" s="5" t="s">
        <v>2037</v>
      </c>
      <c r="E1570" s="5" t="s">
        <v>271</v>
      </c>
      <c r="F1570" s="5" t="s">
        <v>248</v>
      </c>
      <c r="G1570" s="5" t="s">
        <v>1969</v>
      </c>
      <c r="H1570" s="6" t="s">
        <v>3863</v>
      </c>
      <c r="I1570" s="7">
        <f>472</f>
        <v>472</v>
      </c>
      <c r="J1570" s="5" t="s">
        <v>262</v>
      </c>
      <c r="K1570" s="8">
        <f>1</f>
        <v>1</v>
      </c>
      <c r="L1570" s="6" t="s">
        <v>242</v>
      </c>
      <c r="M1570" s="5" t="s">
        <v>267</v>
      </c>
      <c r="N1570" s="5" t="s">
        <v>265</v>
      </c>
      <c r="O1570" s="5" t="s">
        <v>238</v>
      </c>
      <c r="P1570" s="5" t="s">
        <v>238</v>
      </c>
      <c r="Q1570" s="5" t="s">
        <v>268</v>
      </c>
      <c r="R1570" s="5" t="s">
        <v>270</v>
      </c>
      <c r="S1570" s="5" t="s">
        <v>238</v>
      </c>
      <c r="V1570" s="5" t="s">
        <v>238</v>
      </c>
      <c r="X1570" s="6" t="s">
        <v>238</v>
      </c>
      <c r="AA1570" s="6" t="s">
        <v>243</v>
      </c>
      <c r="AB1570" s="5" t="s">
        <v>238</v>
      </c>
      <c r="AC1570" s="5" t="s">
        <v>244</v>
      </c>
      <c r="AD1570" s="5" t="s">
        <v>245</v>
      </c>
      <c r="AT1570" s="5" t="s">
        <v>246</v>
      </c>
      <c r="AU1570" s="5" t="s">
        <v>238</v>
      </c>
      <c r="AV1570" s="5" t="s">
        <v>247</v>
      </c>
      <c r="AW1570" s="5" t="s">
        <v>238</v>
      </c>
      <c r="AX1570" s="5" t="s">
        <v>249</v>
      </c>
      <c r="AY1570" s="5" t="s">
        <v>238</v>
      </c>
      <c r="BA1570" s="5" t="s">
        <v>238</v>
      </c>
      <c r="BC1570" s="5" t="s">
        <v>250</v>
      </c>
      <c r="BD1570" s="6" t="s">
        <v>243</v>
      </c>
      <c r="BE1570" s="5" t="s">
        <v>251</v>
      </c>
      <c r="BF1570" s="5" t="s">
        <v>252</v>
      </c>
      <c r="BG1570" s="5" t="s">
        <v>238</v>
      </c>
      <c r="BH1570" s="7">
        <f>0</f>
        <v>0</v>
      </c>
      <c r="BI1570" s="8">
        <f>0</f>
        <v>0</v>
      </c>
      <c r="BJ1570" s="5" t="s">
        <v>253</v>
      </c>
      <c r="BK1570" s="5" t="s">
        <v>254</v>
      </c>
      <c r="BY1570" s="5" t="s">
        <v>238</v>
      </c>
      <c r="BZ1570" s="5" t="s">
        <v>238</v>
      </c>
      <c r="CD1570" s="5" t="s">
        <v>273</v>
      </c>
      <c r="CE1570" s="5" t="s">
        <v>256</v>
      </c>
      <c r="CF1570" s="5" t="s">
        <v>238</v>
      </c>
      <c r="CI1570" s="6" t="s">
        <v>257</v>
      </c>
      <c r="CJ1570" s="5" t="s">
        <v>238</v>
      </c>
      <c r="CK1570" s="5" t="s">
        <v>258</v>
      </c>
      <c r="CL1570" s="5" t="s">
        <v>238</v>
      </c>
      <c r="CM1570" s="5" t="s">
        <v>238</v>
      </c>
      <c r="CN1570" s="5">
        <v>0</v>
      </c>
      <c r="CO1570" s="5" t="s">
        <v>259</v>
      </c>
      <c r="CP1570" s="5" t="s">
        <v>260</v>
      </c>
      <c r="CQ1570" s="5" t="s">
        <v>260</v>
      </c>
      <c r="CR1570" s="5" t="s">
        <v>261</v>
      </c>
      <c r="CU1570" s="8">
        <f>1</f>
        <v>1</v>
      </c>
      <c r="CV1570" s="8">
        <f>0</f>
        <v>0</v>
      </c>
      <c r="CX1570" s="8">
        <f>0</f>
        <v>0</v>
      </c>
      <c r="CY1570" s="8">
        <f>1</f>
        <v>1</v>
      </c>
      <c r="DA1570" s="5" t="s">
        <v>673</v>
      </c>
      <c r="DB1570" s="5" t="s">
        <v>238</v>
      </c>
      <c r="DD1570" s="5" t="s">
        <v>673</v>
      </c>
      <c r="DE1570" s="8">
        <f>472</f>
        <v>472</v>
      </c>
      <c r="DG1570" s="5" t="s">
        <v>238</v>
      </c>
      <c r="DH1570" s="5" t="s">
        <v>238</v>
      </c>
      <c r="DI1570" s="5" t="s">
        <v>238</v>
      </c>
      <c r="DJ1570" s="5" t="s">
        <v>238</v>
      </c>
      <c r="DN1570" s="5" t="s">
        <v>238</v>
      </c>
      <c r="DO1570" s="5" t="s">
        <v>238</v>
      </c>
      <c r="DP1570" s="5" t="s">
        <v>238</v>
      </c>
      <c r="DQ1570" s="5" t="s">
        <v>238</v>
      </c>
      <c r="DT1570" s="5" t="s">
        <v>2039</v>
      </c>
      <c r="DU1570" s="5" t="s">
        <v>1452</v>
      </c>
      <c r="HM1570" s="5" t="s">
        <v>264</v>
      </c>
    </row>
    <row r="1571" spans="1:221" x14ac:dyDescent="0.4">
      <c r="A1571" s="5">
        <v>3246</v>
      </c>
      <c r="B1571" s="5">
        <v>1</v>
      </c>
      <c r="C1571" s="5">
        <v>1</v>
      </c>
      <c r="D1571" s="5" t="s">
        <v>2037</v>
      </c>
      <c r="E1571" s="5" t="s">
        <v>271</v>
      </c>
      <c r="F1571" s="5" t="s">
        <v>248</v>
      </c>
      <c r="G1571" s="5" t="s">
        <v>1969</v>
      </c>
      <c r="H1571" s="6" t="s">
        <v>3861</v>
      </c>
      <c r="I1571" s="7">
        <f>52</f>
        <v>52</v>
      </c>
      <c r="J1571" s="5" t="s">
        <v>262</v>
      </c>
      <c r="K1571" s="8">
        <f>1</f>
        <v>1</v>
      </c>
      <c r="L1571" s="6" t="s">
        <v>242</v>
      </c>
      <c r="M1571" s="5" t="s">
        <v>267</v>
      </c>
      <c r="N1571" s="5" t="s">
        <v>265</v>
      </c>
      <c r="O1571" s="5" t="s">
        <v>238</v>
      </c>
      <c r="P1571" s="5" t="s">
        <v>238</v>
      </c>
      <c r="Q1571" s="5" t="s">
        <v>268</v>
      </c>
      <c r="R1571" s="5" t="s">
        <v>270</v>
      </c>
      <c r="S1571" s="5" t="s">
        <v>238</v>
      </c>
      <c r="V1571" s="5" t="s">
        <v>238</v>
      </c>
      <c r="X1571" s="6" t="s">
        <v>238</v>
      </c>
      <c r="AA1571" s="6" t="s">
        <v>243</v>
      </c>
      <c r="AB1571" s="5" t="s">
        <v>238</v>
      </c>
      <c r="AC1571" s="5" t="s">
        <v>244</v>
      </c>
      <c r="AD1571" s="5" t="s">
        <v>245</v>
      </c>
      <c r="AT1571" s="5" t="s">
        <v>246</v>
      </c>
      <c r="AU1571" s="5" t="s">
        <v>238</v>
      </c>
      <c r="AV1571" s="5" t="s">
        <v>247</v>
      </c>
      <c r="AW1571" s="5" t="s">
        <v>238</v>
      </c>
      <c r="AX1571" s="5" t="s">
        <v>249</v>
      </c>
      <c r="AY1571" s="5" t="s">
        <v>238</v>
      </c>
      <c r="BA1571" s="5" t="s">
        <v>238</v>
      </c>
      <c r="BC1571" s="5" t="s">
        <v>250</v>
      </c>
      <c r="BD1571" s="6" t="s">
        <v>243</v>
      </c>
      <c r="BE1571" s="5" t="s">
        <v>251</v>
      </c>
      <c r="BF1571" s="5" t="s">
        <v>252</v>
      </c>
      <c r="BG1571" s="5" t="s">
        <v>238</v>
      </c>
      <c r="BH1571" s="7">
        <f>0</f>
        <v>0</v>
      </c>
      <c r="BI1571" s="8">
        <f>0</f>
        <v>0</v>
      </c>
      <c r="BJ1571" s="5" t="s">
        <v>253</v>
      </c>
      <c r="BK1571" s="5" t="s">
        <v>254</v>
      </c>
      <c r="BY1571" s="5" t="s">
        <v>238</v>
      </c>
      <c r="BZ1571" s="5" t="s">
        <v>238</v>
      </c>
      <c r="CD1571" s="5" t="s">
        <v>273</v>
      </c>
      <c r="CE1571" s="5" t="s">
        <v>256</v>
      </c>
      <c r="CF1571" s="5" t="s">
        <v>238</v>
      </c>
      <c r="CI1571" s="6" t="s">
        <v>257</v>
      </c>
      <c r="CJ1571" s="5" t="s">
        <v>238</v>
      </c>
      <c r="CK1571" s="5" t="s">
        <v>258</v>
      </c>
      <c r="CL1571" s="5" t="s">
        <v>238</v>
      </c>
      <c r="CM1571" s="5" t="s">
        <v>238</v>
      </c>
      <c r="CN1571" s="5">
        <v>0</v>
      </c>
      <c r="CO1571" s="5" t="s">
        <v>259</v>
      </c>
      <c r="CP1571" s="5" t="s">
        <v>260</v>
      </c>
      <c r="CQ1571" s="5" t="s">
        <v>260</v>
      </c>
      <c r="CR1571" s="5" t="s">
        <v>261</v>
      </c>
      <c r="CU1571" s="8">
        <f>1</f>
        <v>1</v>
      </c>
      <c r="CV1571" s="8">
        <f>0</f>
        <v>0</v>
      </c>
      <c r="CX1571" s="8">
        <f>0</f>
        <v>0</v>
      </c>
      <c r="CY1571" s="8">
        <f>1</f>
        <v>1</v>
      </c>
      <c r="DA1571" s="5" t="s">
        <v>673</v>
      </c>
      <c r="DB1571" s="5" t="s">
        <v>238</v>
      </c>
      <c r="DD1571" s="5" t="s">
        <v>673</v>
      </c>
      <c r="DE1571" s="8">
        <f>52</f>
        <v>52</v>
      </c>
      <c r="DG1571" s="5" t="s">
        <v>238</v>
      </c>
      <c r="DH1571" s="5" t="s">
        <v>238</v>
      </c>
      <c r="DI1571" s="5" t="s">
        <v>238</v>
      </c>
      <c r="DJ1571" s="5" t="s">
        <v>238</v>
      </c>
      <c r="DN1571" s="5" t="s">
        <v>238</v>
      </c>
      <c r="DO1571" s="5" t="s">
        <v>238</v>
      </c>
      <c r="DP1571" s="5" t="s">
        <v>238</v>
      </c>
      <c r="DQ1571" s="5" t="s">
        <v>238</v>
      </c>
      <c r="DT1571" s="5" t="s">
        <v>2039</v>
      </c>
      <c r="DU1571" s="5" t="s">
        <v>1447</v>
      </c>
      <c r="HM1571" s="5" t="s">
        <v>264</v>
      </c>
    </row>
    <row r="1572" spans="1:221" x14ac:dyDescent="0.4">
      <c r="A1572" s="5">
        <v>3247</v>
      </c>
      <c r="B1572" s="5">
        <v>1</v>
      </c>
      <c r="C1572" s="5">
        <v>1</v>
      </c>
      <c r="D1572" s="5" t="s">
        <v>2037</v>
      </c>
      <c r="E1572" s="5" t="s">
        <v>271</v>
      </c>
      <c r="F1572" s="5" t="s">
        <v>248</v>
      </c>
      <c r="G1572" s="5" t="s">
        <v>1969</v>
      </c>
      <c r="H1572" s="6" t="s">
        <v>3860</v>
      </c>
      <c r="I1572" s="7">
        <f>450</f>
        <v>450</v>
      </c>
      <c r="J1572" s="5" t="s">
        <v>262</v>
      </c>
      <c r="K1572" s="8">
        <f>1</f>
        <v>1</v>
      </c>
      <c r="L1572" s="6" t="s">
        <v>242</v>
      </c>
      <c r="M1572" s="5" t="s">
        <v>267</v>
      </c>
      <c r="N1572" s="5" t="s">
        <v>265</v>
      </c>
      <c r="O1572" s="5" t="s">
        <v>238</v>
      </c>
      <c r="P1572" s="5" t="s">
        <v>238</v>
      </c>
      <c r="Q1572" s="5" t="s">
        <v>268</v>
      </c>
      <c r="R1572" s="5" t="s">
        <v>270</v>
      </c>
      <c r="S1572" s="5" t="s">
        <v>238</v>
      </c>
      <c r="V1572" s="5" t="s">
        <v>238</v>
      </c>
      <c r="X1572" s="6" t="s">
        <v>238</v>
      </c>
      <c r="AA1572" s="6" t="s">
        <v>243</v>
      </c>
      <c r="AB1572" s="5" t="s">
        <v>238</v>
      </c>
      <c r="AC1572" s="5" t="s">
        <v>244</v>
      </c>
      <c r="AD1572" s="5" t="s">
        <v>245</v>
      </c>
      <c r="AT1572" s="5" t="s">
        <v>246</v>
      </c>
      <c r="AU1572" s="5" t="s">
        <v>238</v>
      </c>
      <c r="AV1572" s="5" t="s">
        <v>247</v>
      </c>
      <c r="AW1572" s="5" t="s">
        <v>238</v>
      </c>
      <c r="AX1572" s="5" t="s">
        <v>249</v>
      </c>
      <c r="AY1572" s="5" t="s">
        <v>238</v>
      </c>
      <c r="BA1572" s="5" t="s">
        <v>238</v>
      </c>
      <c r="BC1572" s="5" t="s">
        <v>250</v>
      </c>
      <c r="BD1572" s="6" t="s">
        <v>243</v>
      </c>
      <c r="BE1572" s="5" t="s">
        <v>251</v>
      </c>
      <c r="BF1572" s="5" t="s">
        <v>252</v>
      </c>
      <c r="BG1572" s="5" t="s">
        <v>238</v>
      </c>
      <c r="BH1572" s="7">
        <f>0</f>
        <v>0</v>
      </c>
      <c r="BI1572" s="8">
        <f>0</f>
        <v>0</v>
      </c>
      <c r="BJ1572" s="5" t="s">
        <v>253</v>
      </c>
      <c r="BK1572" s="5" t="s">
        <v>254</v>
      </c>
      <c r="BY1572" s="5" t="s">
        <v>238</v>
      </c>
      <c r="BZ1572" s="5" t="s">
        <v>238</v>
      </c>
      <c r="CD1572" s="5" t="s">
        <v>273</v>
      </c>
      <c r="CE1572" s="5" t="s">
        <v>256</v>
      </c>
      <c r="CF1572" s="5" t="s">
        <v>238</v>
      </c>
      <c r="CI1572" s="6" t="s">
        <v>257</v>
      </c>
      <c r="CJ1572" s="5" t="s">
        <v>238</v>
      </c>
      <c r="CK1572" s="5" t="s">
        <v>258</v>
      </c>
      <c r="CL1572" s="5" t="s">
        <v>238</v>
      </c>
      <c r="CM1572" s="5" t="s">
        <v>238</v>
      </c>
      <c r="CN1572" s="5">
        <v>0</v>
      </c>
      <c r="CO1572" s="5" t="s">
        <v>259</v>
      </c>
      <c r="CP1572" s="5" t="s">
        <v>260</v>
      </c>
      <c r="CQ1572" s="5" t="s">
        <v>260</v>
      </c>
      <c r="CR1572" s="5" t="s">
        <v>261</v>
      </c>
      <c r="CU1572" s="8">
        <f>1</f>
        <v>1</v>
      </c>
      <c r="CV1572" s="8">
        <f>0</f>
        <v>0</v>
      </c>
      <c r="CX1572" s="8">
        <f>0</f>
        <v>0</v>
      </c>
      <c r="CY1572" s="8">
        <f>1</f>
        <v>1</v>
      </c>
      <c r="DA1572" s="5" t="s">
        <v>673</v>
      </c>
      <c r="DB1572" s="5" t="s">
        <v>238</v>
      </c>
      <c r="DD1572" s="5" t="s">
        <v>673</v>
      </c>
      <c r="DE1572" s="8">
        <f>450</f>
        <v>450</v>
      </c>
      <c r="DG1572" s="5" t="s">
        <v>238</v>
      </c>
      <c r="DH1572" s="5" t="s">
        <v>238</v>
      </c>
      <c r="DI1572" s="5" t="s">
        <v>238</v>
      </c>
      <c r="DJ1572" s="5" t="s">
        <v>238</v>
      </c>
      <c r="DN1572" s="5" t="s">
        <v>238</v>
      </c>
      <c r="DO1572" s="5" t="s">
        <v>238</v>
      </c>
      <c r="DP1572" s="5" t="s">
        <v>238</v>
      </c>
      <c r="DQ1572" s="5" t="s">
        <v>238</v>
      </c>
      <c r="DT1572" s="5" t="s">
        <v>2039</v>
      </c>
      <c r="DU1572" s="5" t="s">
        <v>1439</v>
      </c>
      <c r="HM1572" s="5" t="s">
        <v>264</v>
      </c>
    </row>
    <row r="1573" spans="1:221" x14ac:dyDescent="0.4">
      <c r="A1573" s="5">
        <v>3248</v>
      </c>
      <c r="B1573" s="5">
        <v>1</v>
      </c>
      <c r="C1573" s="5">
        <v>1</v>
      </c>
      <c r="D1573" s="5" t="s">
        <v>2037</v>
      </c>
      <c r="E1573" s="5" t="s">
        <v>271</v>
      </c>
      <c r="F1573" s="5" t="s">
        <v>248</v>
      </c>
      <c r="G1573" s="5" t="s">
        <v>1969</v>
      </c>
      <c r="H1573" s="6" t="s">
        <v>3859</v>
      </c>
      <c r="I1573" s="7">
        <f>2056</f>
        <v>2056</v>
      </c>
      <c r="J1573" s="5" t="s">
        <v>262</v>
      </c>
      <c r="K1573" s="8">
        <f>1</f>
        <v>1</v>
      </c>
      <c r="L1573" s="6" t="s">
        <v>242</v>
      </c>
      <c r="M1573" s="5" t="s">
        <v>267</v>
      </c>
      <c r="N1573" s="5" t="s">
        <v>265</v>
      </c>
      <c r="O1573" s="5" t="s">
        <v>238</v>
      </c>
      <c r="P1573" s="5" t="s">
        <v>238</v>
      </c>
      <c r="Q1573" s="5" t="s">
        <v>268</v>
      </c>
      <c r="R1573" s="5" t="s">
        <v>270</v>
      </c>
      <c r="S1573" s="5" t="s">
        <v>238</v>
      </c>
      <c r="V1573" s="5" t="s">
        <v>238</v>
      </c>
      <c r="X1573" s="6" t="s">
        <v>238</v>
      </c>
      <c r="AA1573" s="6" t="s">
        <v>243</v>
      </c>
      <c r="AB1573" s="5" t="s">
        <v>238</v>
      </c>
      <c r="AC1573" s="5" t="s">
        <v>244</v>
      </c>
      <c r="AD1573" s="5" t="s">
        <v>245</v>
      </c>
      <c r="AT1573" s="5" t="s">
        <v>246</v>
      </c>
      <c r="AU1573" s="5" t="s">
        <v>238</v>
      </c>
      <c r="AV1573" s="5" t="s">
        <v>247</v>
      </c>
      <c r="AW1573" s="5" t="s">
        <v>238</v>
      </c>
      <c r="AX1573" s="5" t="s">
        <v>249</v>
      </c>
      <c r="AY1573" s="5" t="s">
        <v>238</v>
      </c>
      <c r="BA1573" s="5" t="s">
        <v>238</v>
      </c>
      <c r="BC1573" s="5" t="s">
        <v>250</v>
      </c>
      <c r="BD1573" s="6" t="s">
        <v>243</v>
      </c>
      <c r="BE1573" s="5" t="s">
        <v>251</v>
      </c>
      <c r="BF1573" s="5" t="s">
        <v>252</v>
      </c>
      <c r="BG1573" s="5" t="s">
        <v>238</v>
      </c>
      <c r="BH1573" s="7">
        <f>0</f>
        <v>0</v>
      </c>
      <c r="BI1573" s="8">
        <f>0</f>
        <v>0</v>
      </c>
      <c r="BJ1573" s="5" t="s">
        <v>253</v>
      </c>
      <c r="BK1573" s="5" t="s">
        <v>254</v>
      </c>
      <c r="BY1573" s="5" t="s">
        <v>238</v>
      </c>
      <c r="BZ1573" s="5" t="s">
        <v>238</v>
      </c>
      <c r="CD1573" s="5" t="s">
        <v>273</v>
      </c>
      <c r="CE1573" s="5" t="s">
        <v>256</v>
      </c>
      <c r="CF1573" s="5" t="s">
        <v>238</v>
      </c>
      <c r="CI1573" s="6" t="s">
        <v>257</v>
      </c>
      <c r="CJ1573" s="5" t="s">
        <v>238</v>
      </c>
      <c r="CK1573" s="5" t="s">
        <v>258</v>
      </c>
      <c r="CL1573" s="5" t="s">
        <v>238</v>
      </c>
      <c r="CM1573" s="5" t="s">
        <v>238</v>
      </c>
      <c r="CN1573" s="5">
        <v>0</v>
      </c>
      <c r="CO1573" s="5" t="s">
        <v>259</v>
      </c>
      <c r="CP1573" s="5" t="s">
        <v>260</v>
      </c>
      <c r="CQ1573" s="5" t="s">
        <v>260</v>
      </c>
      <c r="CR1573" s="5" t="s">
        <v>261</v>
      </c>
      <c r="CU1573" s="8">
        <f>1</f>
        <v>1</v>
      </c>
      <c r="CV1573" s="8">
        <f>0</f>
        <v>0</v>
      </c>
      <c r="CX1573" s="8">
        <f>0</f>
        <v>0</v>
      </c>
      <c r="CY1573" s="8">
        <f>1</f>
        <v>1</v>
      </c>
      <c r="DA1573" s="5" t="s">
        <v>673</v>
      </c>
      <c r="DB1573" s="5" t="s">
        <v>238</v>
      </c>
      <c r="DD1573" s="5" t="s">
        <v>673</v>
      </c>
      <c r="DE1573" s="8">
        <f>2056</f>
        <v>2056</v>
      </c>
      <c r="DG1573" s="5" t="s">
        <v>238</v>
      </c>
      <c r="DH1573" s="5" t="s">
        <v>238</v>
      </c>
      <c r="DI1573" s="5" t="s">
        <v>238</v>
      </c>
      <c r="DJ1573" s="5" t="s">
        <v>238</v>
      </c>
      <c r="DN1573" s="5" t="s">
        <v>238</v>
      </c>
      <c r="DO1573" s="5" t="s">
        <v>238</v>
      </c>
      <c r="DP1573" s="5" t="s">
        <v>238</v>
      </c>
      <c r="DQ1573" s="5" t="s">
        <v>238</v>
      </c>
      <c r="DT1573" s="5" t="s">
        <v>2039</v>
      </c>
      <c r="DU1573" s="5" t="s">
        <v>1430</v>
      </c>
      <c r="HM1573" s="5" t="s">
        <v>264</v>
      </c>
    </row>
    <row r="1574" spans="1:221" x14ac:dyDescent="0.4">
      <c r="A1574" s="5">
        <v>3249</v>
      </c>
      <c r="B1574" s="5">
        <v>1</v>
      </c>
      <c r="C1574" s="5">
        <v>1</v>
      </c>
      <c r="D1574" s="5" t="s">
        <v>2037</v>
      </c>
      <c r="E1574" s="5" t="s">
        <v>271</v>
      </c>
      <c r="F1574" s="5" t="s">
        <v>248</v>
      </c>
      <c r="G1574" s="5" t="s">
        <v>1969</v>
      </c>
      <c r="H1574" s="6" t="s">
        <v>3858</v>
      </c>
      <c r="I1574" s="7">
        <f>1180</f>
        <v>1180</v>
      </c>
      <c r="J1574" s="5" t="s">
        <v>262</v>
      </c>
      <c r="K1574" s="8">
        <f>1</f>
        <v>1</v>
      </c>
      <c r="L1574" s="6" t="s">
        <v>242</v>
      </c>
      <c r="M1574" s="5" t="s">
        <v>267</v>
      </c>
      <c r="N1574" s="5" t="s">
        <v>265</v>
      </c>
      <c r="O1574" s="5" t="s">
        <v>238</v>
      </c>
      <c r="P1574" s="5" t="s">
        <v>238</v>
      </c>
      <c r="Q1574" s="5" t="s">
        <v>268</v>
      </c>
      <c r="R1574" s="5" t="s">
        <v>270</v>
      </c>
      <c r="S1574" s="5" t="s">
        <v>238</v>
      </c>
      <c r="V1574" s="5" t="s">
        <v>238</v>
      </c>
      <c r="X1574" s="6" t="s">
        <v>238</v>
      </c>
      <c r="AA1574" s="6" t="s">
        <v>243</v>
      </c>
      <c r="AB1574" s="5" t="s">
        <v>238</v>
      </c>
      <c r="AC1574" s="5" t="s">
        <v>244</v>
      </c>
      <c r="AD1574" s="5" t="s">
        <v>245</v>
      </c>
      <c r="AT1574" s="5" t="s">
        <v>246</v>
      </c>
      <c r="AU1574" s="5" t="s">
        <v>238</v>
      </c>
      <c r="AV1574" s="5" t="s">
        <v>247</v>
      </c>
      <c r="AW1574" s="5" t="s">
        <v>238</v>
      </c>
      <c r="AX1574" s="5" t="s">
        <v>249</v>
      </c>
      <c r="AY1574" s="5" t="s">
        <v>238</v>
      </c>
      <c r="BA1574" s="5" t="s">
        <v>238</v>
      </c>
      <c r="BC1574" s="5" t="s">
        <v>250</v>
      </c>
      <c r="BD1574" s="6" t="s">
        <v>243</v>
      </c>
      <c r="BE1574" s="5" t="s">
        <v>251</v>
      </c>
      <c r="BF1574" s="5" t="s">
        <v>252</v>
      </c>
      <c r="BG1574" s="5" t="s">
        <v>238</v>
      </c>
      <c r="BH1574" s="7">
        <f>0</f>
        <v>0</v>
      </c>
      <c r="BI1574" s="8">
        <f>0</f>
        <v>0</v>
      </c>
      <c r="BJ1574" s="5" t="s">
        <v>253</v>
      </c>
      <c r="BK1574" s="5" t="s">
        <v>254</v>
      </c>
      <c r="BY1574" s="5" t="s">
        <v>238</v>
      </c>
      <c r="BZ1574" s="5" t="s">
        <v>238</v>
      </c>
      <c r="CD1574" s="5" t="s">
        <v>273</v>
      </c>
      <c r="CE1574" s="5" t="s">
        <v>256</v>
      </c>
      <c r="CF1574" s="5" t="s">
        <v>238</v>
      </c>
      <c r="CI1574" s="6" t="s">
        <v>257</v>
      </c>
      <c r="CJ1574" s="5" t="s">
        <v>238</v>
      </c>
      <c r="CK1574" s="5" t="s">
        <v>258</v>
      </c>
      <c r="CL1574" s="5" t="s">
        <v>238</v>
      </c>
      <c r="CM1574" s="5" t="s">
        <v>238</v>
      </c>
      <c r="CN1574" s="5">
        <v>0</v>
      </c>
      <c r="CO1574" s="5" t="s">
        <v>259</v>
      </c>
      <c r="CP1574" s="5" t="s">
        <v>260</v>
      </c>
      <c r="CQ1574" s="5" t="s">
        <v>260</v>
      </c>
      <c r="CR1574" s="5" t="s">
        <v>261</v>
      </c>
      <c r="CU1574" s="8">
        <f>1</f>
        <v>1</v>
      </c>
      <c r="CV1574" s="8">
        <f>0</f>
        <v>0</v>
      </c>
      <c r="CX1574" s="8">
        <f>0</f>
        <v>0</v>
      </c>
      <c r="CY1574" s="8">
        <f>1</f>
        <v>1</v>
      </c>
      <c r="DA1574" s="5" t="s">
        <v>673</v>
      </c>
      <c r="DB1574" s="5" t="s">
        <v>238</v>
      </c>
      <c r="DD1574" s="5" t="s">
        <v>673</v>
      </c>
      <c r="DE1574" s="8">
        <f>1180</f>
        <v>1180</v>
      </c>
      <c r="DG1574" s="5" t="s">
        <v>238</v>
      </c>
      <c r="DH1574" s="5" t="s">
        <v>238</v>
      </c>
      <c r="DI1574" s="5" t="s">
        <v>238</v>
      </c>
      <c r="DJ1574" s="5" t="s">
        <v>238</v>
      </c>
      <c r="DN1574" s="5" t="s">
        <v>238</v>
      </c>
      <c r="DO1574" s="5" t="s">
        <v>238</v>
      </c>
      <c r="DP1574" s="5" t="s">
        <v>238</v>
      </c>
      <c r="DQ1574" s="5" t="s">
        <v>238</v>
      </c>
      <c r="DT1574" s="5" t="s">
        <v>2039</v>
      </c>
      <c r="DU1574" s="5" t="s">
        <v>1426</v>
      </c>
      <c r="HM1574" s="5" t="s">
        <v>264</v>
      </c>
    </row>
    <row r="1575" spans="1:221" x14ac:dyDescent="0.4">
      <c r="A1575" s="5">
        <v>3250</v>
      </c>
      <c r="B1575" s="5">
        <v>1</v>
      </c>
      <c r="C1575" s="5">
        <v>1</v>
      </c>
      <c r="D1575" s="5" t="s">
        <v>2037</v>
      </c>
      <c r="E1575" s="5" t="s">
        <v>271</v>
      </c>
      <c r="F1575" s="5" t="s">
        <v>248</v>
      </c>
      <c r="G1575" s="5" t="s">
        <v>1969</v>
      </c>
      <c r="H1575" s="6" t="s">
        <v>3857</v>
      </c>
      <c r="I1575" s="7">
        <f>138</f>
        <v>138</v>
      </c>
      <c r="J1575" s="5" t="s">
        <v>262</v>
      </c>
      <c r="K1575" s="8">
        <f>1</f>
        <v>1</v>
      </c>
      <c r="L1575" s="6" t="s">
        <v>242</v>
      </c>
      <c r="M1575" s="5" t="s">
        <v>267</v>
      </c>
      <c r="N1575" s="5" t="s">
        <v>265</v>
      </c>
      <c r="O1575" s="5" t="s">
        <v>238</v>
      </c>
      <c r="P1575" s="5" t="s">
        <v>238</v>
      </c>
      <c r="Q1575" s="5" t="s">
        <v>268</v>
      </c>
      <c r="R1575" s="5" t="s">
        <v>270</v>
      </c>
      <c r="S1575" s="5" t="s">
        <v>238</v>
      </c>
      <c r="V1575" s="5" t="s">
        <v>238</v>
      </c>
      <c r="X1575" s="6" t="s">
        <v>238</v>
      </c>
      <c r="AA1575" s="6" t="s">
        <v>243</v>
      </c>
      <c r="AB1575" s="5" t="s">
        <v>238</v>
      </c>
      <c r="AC1575" s="5" t="s">
        <v>244</v>
      </c>
      <c r="AD1575" s="5" t="s">
        <v>245</v>
      </c>
      <c r="AT1575" s="5" t="s">
        <v>246</v>
      </c>
      <c r="AU1575" s="5" t="s">
        <v>238</v>
      </c>
      <c r="AV1575" s="5" t="s">
        <v>247</v>
      </c>
      <c r="AW1575" s="5" t="s">
        <v>238</v>
      </c>
      <c r="AX1575" s="5" t="s">
        <v>249</v>
      </c>
      <c r="AY1575" s="5" t="s">
        <v>238</v>
      </c>
      <c r="BA1575" s="5" t="s">
        <v>238</v>
      </c>
      <c r="BC1575" s="5" t="s">
        <v>250</v>
      </c>
      <c r="BD1575" s="6" t="s">
        <v>243</v>
      </c>
      <c r="BE1575" s="5" t="s">
        <v>251</v>
      </c>
      <c r="BF1575" s="5" t="s">
        <v>252</v>
      </c>
      <c r="BG1575" s="5" t="s">
        <v>238</v>
      </c>
      <c r="BH1575" s="7">
        <f>0</f>
        <v>0</v>
      </c>
      <c r="BI1575" s="8">
        <f>0</f>
        <v>0</v>
      </c>
      <c r="BJ1575" s="5" t="s">
        <v>253</v>
      </c>
      <c r="BK1575" s="5" t="s">
        <v>254</v>
      </c>
      <c r="BY1575" s="5" t="s">
        <v>238</v>
      </c>
      <c r="BZ1575" s="5" t="s">
        <v>238</v>
      </c>
      <c r="CD1575" s="5" t="s">
        <v>273</v>
      </c>
      <c r="CE1575" s="5" t="s">
        <v>256</v>
      </c>
      <c r="CF1575" s="5" t="s">
        <v>238</v>
      </c>
      <c r="CI1575" s="6" t="s">
        <v>257</v>
      </c>
      <c r="CJ1575" s="5" t="s">
        <v>238</v>
      </c>
      <c r="CK1575" s="5" t="s">
        <v>258</v>
      </c>
      <c r="CL1575" s="5" t="s">
        <v>238</v>
      </c>
      <c r="CM1575" s="5" t="s">
        <v>238</v>
      </c>
      <c r="CN1575" s="5">
        <v>0</v>
      </c>
      <c r="CO1575" s="5" t="s">
        <v>259</v>
      </c>
      <c r="CP1575" s="5" t="s">
        <v>260</v>
      </c>
      <c r="CQ1575" s="5" t="s">
        <v>260</v>
      </c>
      <c r="CR1575" s="5" t="s">
        <v>261</v>
      </c>
      <c r="CU1575" s="8">
        <f>1</f>
        <v>1</v>
      </c>
      <c r="CV1575" s="8">
        <f>0</f>
        <v>0</v>
      </c>
      <c r="CX1575" s="8">
        <f>0</f>
        <v>0</v>
      </c>
      <c r="CY1575" s="8">
        <f>1</f>
        <v>1</v>
      </c>
      <c r="DA1575" s="5" t="s">
        <v>673</v>
      </c>
      <c r="DB1575" s="5" t="s">
        <v>238</v>
      </c>
      <c r="DD1575" s="5" t="s">
        <v>673</v>
      </c>
      <c r="DE1575" s="8">
        <f>138</f>
        <v>138</v>
      </c>
      <c r="DG1575" s="5" t="s">
        <v>238</v>
      </c>
      <c r="DH1575" s="5" t="s">
        <v>238</v>
      </c>
      <c r="DI1575" s="5" t="s">
        <v>238</v>
      </c>
      <c r="DJ1575" s="5" t="s">
        <v>238</v>
      </c>
      <c r="DN1575" s="5" t="s">
        <v>238</v>
      </c>
      <c r="DO1575" s="5" t="s">
        <v>238</v>
      </c>
      <c r="DP1575" s="5" t="s">
        <v>238</v>
      </c>
      <c r="DQ1575" s="5" t="s">
        <v>238</v>
      </c>
      <c r="DT1575" s="5" t="s">
        <v>2039</v>
      </c>
      <c r="DU1575" s="5" t="s">
        <v>1420</v>
      </c>
      <c r="HM1575" s="5" t="s">
        <v>264</v>
      </c>
    </row>
    <row r="1576" spans="1:221" x14ac:dyDescent="0.4">
      <c r="A1576" s="5">
        <v>3251</v>
      </c>
      <c r="B1576" s="5">
        <v>1</v>
      </c>
      <c r="C1576" s="5">
        <v>1</v>
      </c>
      <c r="D1576" s="5" t="s">
        <v>2037</v>
      </c>
      <c r="E1576" s="5" t="s">
        <v>271</v>
      </c>
      <c r="F1576" s="5" t="s">
        <v>248</v>
      </c>
      <c r="G1576" s="5" t="s">
        <v>1969</v>
      </c>
      <c r="H1576" s="6" t="s">
        <v>3856</v>
      </c>
      <c r="I1576" s="7">
        <f>3217</f>
        <v>3217</v>
      </c>
      <c r="J1576" s="5" t="s">
        <v>262</v>
      </c>
      <c r="K1576" s="8">
        <f>1</f>
        <v>1</v>
      </c>
      <c r="L1576" s="6" t="s">
        <v>242</v>
      </c>
      <c r="M1576" s="5" t="s">
        <v>267</v>
      </c>
      <c r="N1576" s="5" t="s">
        <v>265</v>
      </c>
      <c r="O1576" s="5" t="s">
        <v>238</v>
      </c>
      <c r="P1576" s="5" t="s">
        <v>238</v>
      </c>
      <c r="Q1576" s="5" t="s">
        <v>268</v>
      </c>
      <c r="R1576" s="5" t="s">
        <v>270</v>
      </c>
      <c r="S1576" s="5" t="s">
        <v>238</v>
      </c>
      <c r="V1576" s="5" t="s">
        <v>238</v>
      </c>
      <c r="X1576" s="6" t="s">
        <v>238</v>
      </c>
      <c r="AA1576" s="6" t="s">
        <v>243</v>
      </c>
      <c r="AB1576" s="5" t="s">
        <v>238</v>
      </c>
      <c r="AC1576" s="5" t="s">
        <v>244</v>
      </c>
      <c r="AD1576" s="5" t="s">
        <v>245</v>
      </c>
      <c r="AT1576" s="5" t="s">
        <v>246</v>
      </c>
      <c r="AU1576" s="5" t="s">
        <v>238</v>
      </c>
      <c r="AV1576" s="5" t="s">
        <v>247</v>
      </c>
      <c r="AW1576" s="5" t="s">
        <v>238</v>
      </c>
      <c r="AX1576" s="5" t="s">
        <v>249</v>
      </c>
      <c r="AY1576" s="5" t="s">
        <v>238</v>
      </c>
      <c r="BA1576" s="5" t="s">
        <v>238</v>
      </c>
      <c r="BC1576" s="5" t="s">
        <v>250</v>
      </c>
      <c r="BD1576" s="6" t="s">
        <v>243</v>
      </c>
      <c r="BE1576" s="5" t="s">
        <v>251</v>
      </c>
      <c r="BF1576" s="5" t="s">
        <v>252</v>
      </c>
      <c r="BG1576" s="5" t="s">
        <v>238</v>
      </c>
      <c r="BH1576" s="7">
        <f>0</f>
        <v>0</v>
      </c>
      <c r="BI1576" s="8">
        <f>0</f>
        <v>0</v>
      </c>
      <c r="BJ1576" s="5" t="s">
        <v>253</v>
      </c>
      <c r="BK1576" s="5" t="s">
        <v>254</v>
      </c>
      <c r="BY1576" s="5" t="s">
        <v>238</v>
      </c>
      <c r="BZ1576" s="5" t="s">
        <v>238</v>
      </c>
      <c r="CD1576" s="5" t="s">
        <v>273</v>
      </c>
      <c r="CE1576" s="5" t="s">
        <v>256</v>
      </c>
      <c r="CF1576" s="5" t="s">
        <v>238</v>
      </c>
      <c r="CI1576" s="6" t="s">
        <v>257</v>
      </c>
      <c r="CJ1576" s="5" t="s">
        <v>238</v>
      </c>
      <c r="CK1576" s="5" t="s">
        <v>258</v>
      </c>
      <c r="CL1576" s="5" t="s">
        <v>238</v>
      </c>
      <c r="CM1576" s="5" t="s">
        <v>238</v>
      </c>
      <c r="CN1576" s="5">
        <v>0</v>
      </c>
      <c r="CO1576" s="5" t="s">
        <v>259</v>
      </c>
      <c r="CP1576" s="5" t="s">
        <v>260</v>
      </c>
      <c r="CQ1576" s="5" t="s">
        <v>260</v>
      </c>
      <c r="CR1576" s="5" t="s">
        <v>261</v>
      </c>
      <c r="CU1576" s="8">
        <f>1</f>
        <v>1</v>
      </c>
      <c r="CV1576" s="8">
        <f>0</f>
        <v>0</v>
      </c>
      <c r="CX1576" s="8">
        <f>0</f>
        <v>0</v>
      </c>
      <c r="CY1576" s="8">
        <f>1</f>
        <v>1</v>
      </c>
      <c r="DA1576" s="5" t="s">
        <v>673</v>
      </c>
      <c r="DB1576" s="5" t="s">
        <v>238</v>
      </c>
      <c r="DD1576" s="5" t="s">
        <v>673</v>
      </c>
      <c r="DE1576" s="8">
        <f>3217</f>
        <v>3217</v>
      </c>
      <c r="DG1576" s="5" t="s">
        <v>238</v>
      </c>
      <c r="DH1576" s="5" t="s">
        <v>238</v>
      </c>
      <c r="DI1576" s="5" t="s">
        <v>238</v>
      </c>
      <c r="DJ1576" s="5" t="s">
        <v>238</v>
      </c>
      <c r="DN1576" s="5" t="s">
        <v>238</v>
      </c>
      <c r="DO1576" s="5" t="s">
        <v>238</v>
      </c>
      <c r="DP1576" s="5" t="s">
        <v>238</v>
      </c>
      <c r="DQ1576" s="5" t="s">
        <v>238</v>
      </c>
      <c r="DT1576" s="5" t="s">
        <v>2039</v>
      </c>
      <c r="DU1576" s="5" t="s">
        <v>1418</v>
      </c>
      <c r="HM1576" s="5" t="s">
        <v>264</v>
      </c>
    </row>
    <row r="1577" spans="1:221" x14ac:dyDescent="0.4">
      <c r="A1577" s="5">
        <v>3252</v>
      </c>
      <c r="B1577" s="5">
        <v>1</v>
      </c>
      <c r="C1577" s="5">
        <v>1</v>
      </c>
      <c r="D1577" s="5" t="s">
        <v>2037</v>
      </c>
      <c r="E1577" s="5" t="s">
        <v>271</v>
      </c>
      <c r="F1577" s="5" t="s">
        <v>248</v>
      </c>
      <c r="G1577" s="5" t="s">
        <v>1969</v>
      </c>
      <c r="H1577" s="6" t="s">
        <v>3851</v>
      </c>
      <c r="I1577" s="7">
        <f>1785</f>
        <v>1785</v>
      </c>
      <c r="J1577" s="5" t="s">
        <v>262</v>
      </c>
      <c r="K1577" s="8">
        <f>1</f>
        <v>1</v>
      </c>
      <c r="L1577" s="6" t="s">
        <v>242</v>
      </c>
      <c r="M1577" s="5" t="s">
        <v>267</v>
      </c>
      <c r="N1577" s="5" t="s">
        <v>265</v>
      </c>
      <c r="O1577" s="5" t="s">
        <v>238</v>
      </c>
      <c r="P1577" s="5" t="s">
        <v>238</v>
      </c>
      <c r="Q1577" s="5" t="s">
        <v>268</v>
      </c>
      <c r="R1577" s="5" t="s">
        <v>270</v>
      </c>
      <c r="S1577" s="5" t="s">
        <v>238</v>
      </c>
      <c r="V1577" s="5" t="s">
        <v>238</v>
      </c>
      <c r="X1577" s="6" t="s">
        <v>238</v>
      </c>
      <c r="AA1577" s="6" t="s">
        <v>243</v>
      </c>
      <c r="AB1577" s="5" t="s">
        <v>238</v>
      </c>
      <c r="AC1577" s="5" t="s">
        <v>244</v>
      </c>
      <c r="AD1577" s="5" t="s">
        <v>245</v>
      </c>
      <c r="AT1577" s="5" t="s">
        <v>246</v>
      </c>
      <c r="AU1577" s="5" t="s">
        <v>238</v>
      </c>
      <c r="AV1577" s="5" t="s">
        <v>247</v>
      </c>
      <c r="AW1577" s="5" t="s">
        <v>238</v>
      </c>
      <c r="AX1577" s="5" t="s">
        <v>249</v>
      </c>
      <c r="AY1577" s="5" t="s">
        <v>238</v>
      </c>
      <c r="BA1577" s="5" t="s">
        <v>238</v>
      </c>
      <c r="BC1577" s="5" t="s">
        <v>250</v>
      </c>
      <c r="BD1577" s="6" t="s">
        <v>243</v>
      </c>
      <c r="BE1577" s="5" t="s">
        <v>251</v>
      </c>
      <c r="BF1577" s="5" t="s">
        <v>252</v>
      </c>
      <c r="BG1577" s="5" t="s">
        <v>238</v>
      </c>
      <c r="BH1577" s="7">
        <f>0</f>
        <v>0</v>
      </c>
      <c r="BI1577" s="8">
        <f>0</f>
        <v>0</v>
      </c>
      <c r="BJ1577" s="5" t="s">
        <v>253</v>
      </c>
      <c r="BK1577" s="5" t="s">
        <v>254</v>
      </c>
      <c r="BY1577" s="5" t="s">
        <v>238</v>
      </c>
      <c r="BZ1577" s="5" t="s">
        <v>238</v>
      </c>
      <c r="CD1577" s="5" t="s">
        <v>273</v>
      </c>
      <c r="CE1577" s="5" t="s">
        <v>256</v>
      </c>
      <c r="CF1577" s="5" t="s">
        <v>238</v>
      </c>
      <c r="CI1577" s="6" t="s">
        <v>257</v>
      </c>
      <c r="CJ1577" s="5" t="s">
        <v>238</v>
      </c>
      <c r="CK1577" s="5" t="s">
        <v>258</v>
      </c>
      <c r="CL1577" s="5" t="s">
        <v>238</v>
      </c>
      <c r="CM1577" s="5" t="s">
        <v>238</v>
      </c>
      <c r="CN1577" s="5">
        <v>0</v>
      </c>
      <c r="CO1577" s="5" t="s">
        <v>259</v>
      </c>
      <c r="CP1577" s="5" t="s">
        <v>260</v>
      </c>
      <c r="CQ1577" s="5" t="s">
        <v>260</v>
      </c>
      <c r="CR1577" s="5" t="s">
        <v>261</v>
      </c>
      <c r="CU1577" s="8">
        <f>1</f>
        <v>1</v>
      </c>
      <c r="CV1577" s="8">
        <f>0</f>
        <v>0</v>
      </c>
      <c r="CX1577" s="8">
        <f>0</f>
        <v>0</v>
      </c>
      <c r="CY1577" s="8">
        <f>1</f>
        <v>1</v>
      </c>
      <c r="DA1577" s="5" t="s">
        <v>673</v>
      </c>
      <c r="DB1577" s="5" t="s">
        <v>238</v>
      </c>
      <c r="DD1577" s="5" t="s">
        <v>673</v>
      </c>
      <c r="DE1577" s="8">
        <f>1785</f>
        <v>1785</v>
      </c>
      <c r="DG1577" s="5" t="s">
        <v>238</v>
      </c>
      <c r="DH1577" s="5" t="s">
        <v>238</v>
      </c>
      <c r="DI1577" s="5" t="s">
        <v>238</v>
      </c>
      <c r="DJ1577" s="5" t="s">
        <v>238</v>
      </c>
      <c r="DN1577" s="5" t="s">
        <v>238</v>
      </c>
      <c r="DO1577" s="5" t="s">
        <v>238</v>
      </c>
      <c r="DP1577" s="5" t="s">
        <v>238</v>
      </c>
      <c r="DQ1577" s="5" t="s">
        <v>238</v>
      </c>
      <c r="DT1577" s="5" t="s">
        <v>2039</v>
      </c>
      <c r="DU1577" s="5" t="s">
        <v>1416</v>
      </c>
      <c r="HM1577" s="5" t="s">
        <v>264</v>
      </c>
    </row>
    <row r="1578" spans="1:221" x14ac:dyDescent="0.4">
      <c r="A1578" s="5">
        <v>3253</v>
      </c>
      <c r="B1578" s="5">
        <v>1</v>
      </c>
      <c r="C1578" s="5">
        <v>1</v>
      </c>
      <c r="D1578" s="5" t="s">
        <v>2037</v>
      </c>
      <c r="E1578" s="5" t="s">
        <v>271</v>
      </c>
      <c r="F1578" s="5" t="s">
        <v>248</v>
      </c>
      <c r="G1578" s="5" t="s">
        <v>1969</v>
      </c>
      <c r="H1578" s="6" t="s">
        <v>3850</v>
      </c>
      <c r="I1578" s="7">
        <f>2303</f>
        <v>2303</v>
      </c>
      <c r="J1578" s="5" t="s">
        <v>262</v>
      </c>
      <c r="K1578" s="8">
        <f>1</f>
        <v>1</v>
      </c>
      <c r="L1578" s="6" t="s">
        <v>242</v>
      </c>
      <c r="M1578" s="5" t="s">
        <v>267</v>
      </c>
      <c r="N1578" s="5" t="s">
        <v>265</v>
      </c>
      <c r="O1578" s="5" t="s">
        <v>238</v>
      </c>
      <c r="P1578" s="5" t="s">
        <v>238</v>
      </c>
      <c r="Q1578" s="5" t="s">
        <v>268</v>
      </c>
      <c r="R1578" s="5" t="s">
        <v>270</v>
      </c>
      <c r="S1578" s="5" t="s">
        <v>238</v>
      </c>
      <c r="V1578" s="5" t="s">
        <v>238</v>
      </c>
      <c r="X1578" s="6" t="s">
        <v>238</v>
      </c>
      <c r="AA1578" s="6" t="s">
        <v>243</v>
      </c>
      <c r="AB1578" s="5" t="s">
        <v>238</v>
      </c>
      <c r="AC1578" s="5" t="s">
        <v>244</v>
      </c>
      <c r="AD1578" s="5" t="s">
        <v>245</v>
      </c>
      <c r="AT1578" s="5" t="s">
        <v>246</v>
      </c>
      <c r="AU1578" s="5" t="s">
        <v>238</v>
      </c>
      <c r="AV1578" s="5" t="s">
        <v>247</v>
      </c>
      <c r="AW1578" s="5" t="s">
        <v>238</v>
      </c>
      <c r="AX1578" s="5" t="s">
        <v>249</v>
      </c>
      <c r="AY1578" s="5" t="s">
        <v>238</v>
      </c>
      <c r="BA1578" s="5" t="s">
        <v>238</v>
      </c>
      <c r="BC1578" s="5" t="s">
        <v>250</v>
      </c>
      <c r="BD1578" s="6" t="s">
        <v>243</v>
      </c>
      <c r="BE1578" s="5" t="s">
        <v>251</v>
      </c>
      <c r="BF1578" s="5" t="s">
        <v>252</v>
      </c>
      <c r="BG1578" s="5" t="s">
        <v>238</v>
      </c>
      <c r="BH1578" s="7">
        <f>0</f>
        <v>0</v>
      </c>
      <c r="BI1578" s="8">
        <f>0</f>
        <v>0</v>
      </c>
      <c r="BJ1578" s="5" t="s">
        <v>253</v>
      </c>
      <c r="BK1578" s="5" t="s">
        <v>254</v>
      </c>
      <c r="BY1578" s="5" t="s">
        <v>238</v>
      </c>
      <c r="BZ1578" s="5" t="s">
        <v>238</v>
      </c>
      <c r="CD1578" s="5" t="s">
        <v>273</v>
      </c>
      <c r="CE1578" s="5" t="s">
        <v>256</v>
      </c>
      <c r="CF1578" s="5" t="s">
        <v>238</v>
      </c>
      <c r="CI1578" s="6" t="s">
        <v>257</v>
      </c>
      <c r="CJ1578" s="5" t="s">
        <v>238</v>
      </c>
      <c r="CK1578" s="5" t="s">
        <v>258</v>
      </c>
      <c r="CL1578" s="5" t="s">
        <v>238</v>
      </c>
      <c r="CM1578" s="5" t="s">
        <v>238</v>
      </c>
      <c r="CN1578" s="5">
        <v>0</v>
      </c>
      <c r="CO1578" s="5" t="s">
        <v>259</v>
      </c>
      <c r="CP1578" s="5" t="s">
        <v>260</v>
      </c>
      <c r="CQ1578" s="5" t="s">
        <v>260</v>
      </c>
      <c r="CR1578" s="5" t="s">
        <v>261</v>
      </c>
      <c r="CU1578" s="8">
        <f>1</f>
        <v>1</v>
      </c>
      <c r="CV1578" s="8">
        <f>0</f>
        <v>0</v>
      </c>
      <c r="CX1578" s="8">
        <f>0</f>
        <v>0</v>
      </c>
      <c r="CY1578" s="8">
        <f>1</f>
        <v>1</v>
      </c>
      <c r="DA1578" s="5" t="s">
        <v>673</v>
      </c>
      <c r="DB1578" s="5" t="s">
        <v>238</v>
      </c>
      <c r="DD1578" s="5" t="s">
        <v>673</v>
      </c>
      <c r="DE1578" s="8">
        <f>2303</f>
        <v>2303</v>
      </c>
      <c r="DG1578" s="5" t="s">
        <v>238</v>
      </c>
      <c r="DH1578" s="5" t="s">
        <v>238</v>
      </c>
      <c r="DI1578" s="5" t="s">
        <v>238</v>
      </c>
      <c r="DJ1578" s="5" t="s">
        <v>238</v>
      </c>
      <c r="DN1578" s="5" t="s">
        <v>238</v>
      </c>
      <c r="DO1578" s="5" t="s">
        <v>238</v>
      </c>
      <c r="DP1578" s="5" t="s">
        <v>238</v>
      </c>
      <c r="DQ1578" s="5" t="s">
        <v>238</v>
      </c>
      <c r="DT1578" s="5" t="s">
        <v>2039</v>
      </c>
      <c r="DU1578" s="5" t="s">
        <v>1410</v>
      </c>
      <c r="HM1578" s="5" t="s">
        <v>264</v>
      </c>
    </row>
    <row r="1579" spans="1:221" x14ac:dyDescent="0.4">
      <c r="A1579" s="5">
        <v>3254</v>
      </c>
      <c r="B1579" s="5">
        <v>1</v>
      </c>
      <c r="C1579" s="5">
        <v>1</v>
      </c>
      <c r="D1579" s="5" t="s">
        <v>2037</v>
      </c>
      <c r="E1579" s="5" t="s">
        <v>271</v>
      </c>
      <c r="F1579" s="5" t="s">
        <v>248</v>
      </c>
      <c r="G1579" s="5" t="s">
        <v>1969</v>
      </c>
      <c r="H1579" s="6" t="s">
        <v>3849</v>
      </c>
      <c r="I1579" s="7">
        <f>2725</f>
        <v>2725</v>
      </c>
      <c r="J1579" s="5" t="s">
        <v>262</v>
      </c>
      <c r="K1579" s="8">
        <f>1</f>
        <v>1</v>
      </c>
      <c r="L1579" s="6" t="s">
        <v>242</v>
      </c>
      <c r="M1579" s="5" t="s">
        <v>267</v>
      </c>
      <c r="N1579" s="5" t="s">
        <v>265</v>
      </c>
      <c r="O1579" s="5" t="s">
        <v>238</v>
      </c>
      <c r="P1579" s="5" t="s">
        <v>238</v>
      </c>
      <c r="Q1579" s="5" t="s">
        <v>268</v>
      </c>
      <c r="R1579" s="5" t="s">
        <v>270</v>
      </c>
      <c r="S1579" s="5" t="s">
        <v>238</v>
      </c>
      <c r="V1579" s="5" t="s">
        <v>238</v>
      </c>
      <c r="X1579" s="6" t="s">
        <v>238</v>
      </c>
      <c r="AA1579" s="6" t="s">
        <v>243</v>
      </c>
      <c r="AB1579" s="5" t="s">
        <v>238</v>
      </c>
      <c r="AC1579" s="5" t="s">
        <v>244</v>
      </c>
      <c r="AD1579" s="5" t="s">
        <v>245</v>
      </c>
      <c r="AT1579" s="5" t="s">
        <v>246</v>
      </c>
      <c r="AU1579" s="5" t="s">
        <v>238</v>
      </c>
      <c r="AV1579" s="5" t="s">
        <v>247</v>
      </c>
      <c r="AW1579" s="5" t="s">
        <v>238</v>
      </c>
      <c r="AX1579" s="5" t="s">
        <v>249</v>
      </c>
      <c r="AY1579" s="5" t="s">
        <v>238</v>
      </c>
      <c r="BA1579" s="5" t="s">
        <v>238</v>
      </c>
      <c r="BC1579" s="5" t="s">
        <v>250</v>
      </c>
      <c r="BD1579" s="6" t="s">
        <v>243</v>
      </c>
      <c r="BE1579" s="5" t="s">
        <v>251</v>
      </c>
      <c r="BF1579" s="5" t="s">
        <v>252</v>
      </c>
      <c r="BG1579" s="5" t="s">
        <v>238</v>
      </c>
      <c r="BH1579" s="7">
        <f>0</f>
        <v>0</v>
      </c>
      <c r="BI1579" s="8">
        <f>0</f>
        <v>0</v>
      </c>
      <c r="BJ1579" s="5" t="s">
        <v>253</v>
      </c>
      <c r="BK1579" s="5" t="s">
        <v>254</v>
      </c>
      <c r="BY1579" s="5" t="s">
        <v>238</v>
      </c>
      <c r="BZ1579" s="5" t="s">
        <v>238</v>
      </c>
      <c r="CD1579" s="5" t="s">
        <v>273</v>
      </c>
      <c r="CE1579" s="5" t="s">
        <v>256</v>
      </c>
      <c r="CF1579" s="5" t="s">
        <v>238</v>
      </c>
      <c r="CI1579" s="6" t="s">
        <v>257</v>
      </c>
      <c r="CJ1579" s="5" t="s">
        <v>238</v>
      </c>
      <c r="CK1579" s="5" t="s">
        <v>258</v>
      </c>
      <c r="CL1579" s="5" t="s">
        <v>238</v>
      </c>
      <c r="CM1579" s="5" t="s">
        <v>238</v>
      </c>
      <c r="CN1579" s="5">
        <v>0</v>
      </c>
      <c r="CO1579" s="5" t="s">
        <v>259</v>
      </c>
      <c r="CP1579" s="5" t="s">
        <v>260</v>
      </c>
      <c r="CQ1579" s="5" t="s">
        <v>260</v>
      </c>
      <c r="CR1579" s="5" t="s">
        <v>261</v>
      </c>
      <c r="CU1579" s="8">
        <f>1</f>
        <v>1</v>
      </c>
      <c r="CV1579" s="8">
        <f>0</f>
        <v>0</v>
      </c>
      <c r="CX1579" s="8">
        <f>0</f>
        <v>0</v>
      </c>
      <c r="CY1579" s="8">
        <f>1</f>
        <v>1</v>
      </c>
      <c r="DA1579" s="5" t="s">
        <v>673</v>
      </c>
      <c r="DB1579" s="5" t="s">
        <v>238</v>
      </c>
      <c r="DD1579" s="5" t="s">
        <v>673</v>
      </c>
      <c r="DE1579" s="8">
        <f>2725</f>
        <v>2725</v>
      </c>
      <c r="DG1579" s="5" t="s">
        <v>238</v>
      </c>
      <c r="DH1579" s="5" t="s">
        <v>238</v>
      </c>
      <c r="DI1579" s="5" t="s">
        <v>238</v>
      </c>
      <c r="DJ1579" s="5" t="s">
        <v>238</v>
      </c>
      <c r="DN1579" s="5" t="s">
        <v>238</v>
      </c>
      <c r="DO1579" s="5" t="s">
        <v>238</v>
      </c>
      <c r="DP1579" s="5" t="s">
        <v>238</v>
      </c>
      <c r="DQ1579" s="5" t="s">
        <v>238</v>
      </c>
      <c r="DT1579" s="5" t="s">
        <v>2039</v>
      </c>
      <c r="DU1579" s="5" t="s">
        <v>1405</v>
      </c>
      <c r="HM1579" s="5" t="s">
        <v>264</v>
      </c>
    </row>
    <row r="1580" spans="1:221" x14ac:dyDescent="0.4">
      <c r="A1580" s="5">
        <v>3255</v>
      </c>
      <c r="B1580" s="5">
        <v>1</v>
      </c>
      <c r="C1580" s="5">
        <v>1</v>
      </c>
      <c r="D1580" s="5" t="s">
        <v>2037</v>
      </c>
      <c r="E1580" s="5" t="s">
        <v>271</v>
      </c>
      <c r="F1580" s="5" t="s">
        <v>248</v>
      </c>
      <c r="G1580" s="5" t="s">
        <v>1969</v>
      </c>
      <c r="H1580" s="6" t="s">
        <v>3848</v>
      </c>
      <c r="I1580" s="7">
        <f>2673</f>
        <v>2673</v>
      </c>
      <c r="J1580" s="5" t="s">
        <v>262</v>
      </c>
      <c r="K1580" s="8">
        <f>1</f>
        <v>1</v>
      </c>
      <c r="L1580" s="6" t="s">
        <v>242</v>
      </c>
      <c r="M1580" s="5" t="s">
        <v>267</v>
      </c>
      <c r="N1580" s="5" t="s">
        <v>265</v>
      </c>
      <c r="O1580" s="5" t="s">
        <v>238</v>
      </c>
      <c r="P1580" s="5" t="s">
        <v>238</v>
      </c>
      <c r="Q1580" s="5" t="s">
        <v>268</v>
      </c>
      <c r="R1580" s="5" t="s">
        <v>270</v>
      </c>
      <c r="S1580" s="5" t="s">
        <v>238</v>
      </c>
      <c r="V1580" s="5" t="s">
        <v>238</v>
      </c>
      <c r="X1580" s="6" t="s">
        <v>238</v>
      </c>
      <c r="AA1580" s="6" t="s">
        <v>243</v>
      </c>
      <c r="AB1580" s="5" t="s">
        <v>238</v>
      </c>
      <c r="AC1580" s="5" t="s">
        <v>244</v>
      </c>
      <c r="AD1580" s="5" t="s">
        <v>245</v>
      </c>
      <c r="AT1580" s="5" t="s">
        <v>246</v>
      </c>
      <c r="AU1580" s="5" t="s">
        <v>238</v>
      </c>
      <c r="AV1580" s="5" t="s">
        <v>247</v>
      </c>
      <c r="AW1580" s="5" t="s">
        <v>238</v>
      </c>
      <c r="AX1580" s="5" t="s">
        <v>249</v>
      </c>
      <c r="AY1580" s="5" t="s">
        <v>238</v>
      </c>
      <c r="BA1580" s="5" t="s">
        <v>238</v>
      </c>
      <c r="BC1580" s="5" t="s">
        <v>250</v>
      </c>
      <c r="BD1580" s="6" t="s">
        <v>243</v>
      </c>
      <c r="BE1580" s="5" t="s">
        <v>251</v>
      </c>
      <c r="BF1580" s="5" t="s">
        <v>252</v>
      </c>
      <c r="BG1580" s="5" t="s">
        <v>238</v>
      </c>
      <c r="BH1580" s="7">
        <f>0</f>
        <v>0</v>
      </c>
      <c r="BI1580" s="8">
        <f>0</f>
        <v>0</v>
      </c>
      <c r="BJ1580" s="5" t="s">
        <v>253</v>
      </c>
      <c r="BK1580" s="5" t="s">
        <v>254</v>
      </c>
      <c r="BY1580" s="5" t="s">
        <v>238</v>
      </c>
      <c r="BZ1580" s="5" t="s">
        <v>238</v>
      </c>
      <c r="CD1580" s="5" t="s">
        <v>273</v>
      </c>
      <c r="CE1580" s="5" t="s">
        <v>256</v>
      </c>
      <c r="CF1580" s="5" t="s">
        <v>238</v>
      </c>
      <c r="CI1580" s="6" t="s">
        <v>257</v>
      </c>
      <c r="CJ1580" s="5" t="s">
        <v>238</v>
      </c>
      <c r="CK1580" s="5" t="s">
        <v>258</v>
      </c>
      <c r="CL1580" s="5" t="s">
        <v>238</v>
      </c>
      <c r="CM1580" s="5" t="s">
        <v>238</v>
      </c>
      <c r="CN1580" s="5">
        <v>0</v>
      </c>
      <c r="CO1580" s="5" t="s">
        <v>259</v>
      </c>
      <c r="CP1580" s="5" t="s">
        <v>260</v>
      </c>
      <c r="CQ1580" s="5" t="s">
        <v>260</v>
      </c>
      <c r="CR1580" s="5" t="s">
        <v>261</v>
      </c>
      <c r="CU1580" s="8">
        <f>1</f>
        <v>1</v>
      </c>
      <c r="CV1580" s="8">
        <f>0</f>
        <v>0</v>
      </c>
      <c r="CX1580" s="8">
        <f>0</f>
        <v>0</v>
      </c>
      <c r="CY1580" s="8">
        <f>1</f>
        <v>1</v>
      </c>
      <c r="DA1580" s="5" t="s">
        <v>673</v>
      </c>
      <c r="DB1580" s="5" t="s">
        <v>238</v>
      </c>
      <c r="DD1580" s="5" t="s">
        <v>673</v>
      </c>
      <c r="DE1580" s="8">
        <f>2673</f>
        <v>2673</v>
      </c>
      <c r="DG1580" s="5" t="s">
        <v>238</v>
      </c>
      <c r="DH1580" s="5" t="s">
        <v>238</v>
      </c>
      <c r="DI1580" s="5" t="s">
        <v>238</v>
      </c>
      <c r="DJ1580" s="5" t="s">
        <v>238</v>
      </c>
      <c r="DN1580" s="5" t="s">
        <v>238</v>
      </c>
      <c r="DO1580" s="5" t="s">
        <v>238</v>
      </c>
      <c r="DP1580" s="5" t="s">
        <v>238</v>
      </c>
      <c r="DQ1580" s="5" t="s">
        <v>238</v>
      </c>
      <c r="DT1580" s="5" t="s">
        <v>2039</v>
      </c>
      <c r="DU1580" s="5" t="s">
        <v>1401</v>
      </c>
      <c r="HM1580" s="5" t="s">
        <v>264</v>
      </c>
    </row>
    <row r="1581" spans="1:221" x14ac:dyDescent="0.4">
      <c r="A1581" s="5">
        <v>3256</v>
      </c>
      <c r="B1581" s="5">
        <v>1</v>
      </c>
      <c r="C1581" s="5">
        <v>1</v>
      </c>
      <c r="D1581" s="5" t="s">
        <v>2037</v>
      </c>
      <c r="E1581" s="5" t="s">
        <v>271</v>
      </c>
      <c r="F1581" s="5" t="s">
        <v>248</v>
      </c>
      <c r="G1581" s="5" t="s">
        <v>1969</v>
      </c>
      <c r="H1581" s="6" t="s">
        <v>3847</v>
      </c>
      <c r="I1581" s="7">
        <f>505</f>
        <v>505</v>
      </c>
      <c r="J1581" s="5" t="s">
        <v>262</v>
      </c>
      <c r="K1581" s="8">
        <f>1</f>
        <v>1</v>
      </c>
      <c r="L1581" s="6" t="s">
        <v>242</v>
      </c>
      <c r="M1581" s="5" t="s">
        <v>267</v>
      </c>
      <c r="N1581" s="5" t="s">
        <v>265</v>
      </c>
      <c r="O1581" s="5" t="s">
        <v>238</v>
      </c>
      <c r="P1581" s="5" t="s">
        <v>238</v>
      </c>
      <c r="Q1581" s="5" t="s">
        <v>268</v>
      </c>
      <c r="R1581" s="5" t="s">
        <v>270</v>
      </c>
      <c r="S1581" s="5" t="s">
        <v>238</v>
      </c>
      <c r="V1581" s="5" t="s">
        <v>238</v>
      </c>
      <c r="X1581" s="6" t="s">
        <v>238</v>
      </c>
      <c r="AA1581" s="6" t="s">
        <v>243</v>
      </c>
      <c r="AB1581" s="5" t="s">
        <v>238</v>
      </c>
      <c r="AC1581" s="5" t="s">
        <v>244</v>
      </c>
      <c r="AD1581" s="5" t="s">
        <v>245</v>
      </c>
      <c r="AT1581" s="5" t="s">
        <v>246</v>
      </c>
      <c r="AU1581" s="5" t="s">
        <v>238</v>
      </c>
      <c r="AV1581" s="5" t="s">
        <v>247</v>
      </c>
      <c r="AW1581" s="5" t="s">
        <v>238</v>
      </c>
      <c r="AX1581" s="5" t="s">
        <v>249</v>
      </c>
      <c r="AY1581" s="5" t="s">
        <v>238</v>
      </c>
      <c r="BA1581" s="5" t="s">
        <v>238</v>
      </c>
      <c r="BC1581" s="5" t="s">
        <v>250</v>
      </c>
      <c r="BD1581" s="6" t="s">
        <v>243</v>
      </c>
      <c r="BE1581" s="5" t="s">
        <v>251</v>
      </c>
      <c r="BF1581" s="5" t="s">
        <v>252</v>
      </c>
      <c r="BG1581" s="5" t="s">
        <v>238</v>
      </c>
      <c r="BH1581" s="7">
        <f>0</f>
        <v>0</v>
      </c>
      <c r="BI1581" s="8">
        <f>0</f>
        <v>0</v>
      </c>
      <c r="BJ1581" s="5" t="s">
        <v>253</v>
      </c>
      <c r="BK1581" s="5" t="s">
        <v>254</v>
      </c>
      <c r="BY1581" s="5" t="s">
        <v>238</v>
      </c>
      <c r="BZ1581" s="5" t="s">
        <v>238</v>
      </c>
      <c r="CD1581" s="5" t="s">
        <v>273</v>
      </c>
      <c r="CE1581" s="5" t="s">
        <v>256</v>
      </c>
      <c r="CF1581" s="5" t="s">
        <v>238</v>
      </c>
      <c r="CI1581" s="6" t="s">
        <v>257</v>
      </c>
      <c r="CJ1581" s="5" t="s">
        <v>238</v>
      </c>
      <c r="CK1581" s="5" t="s">
        <v>258</v>
      </c>
      <c r="CL1581" s="5" t="s">
        <v>238</v>
      </c>
      <c r="CM1581" s="5" t="s">
        <v>238</v>
      </c>
      <c r="CN1581" s="5">
        <v>0</v>
      </c>
      <c r="CO1581" s="5" t="s">
        <v>259</v>
      </c>
      <c r="CP1581" s="5" t="s">
        <v>260</v>
      </c>
      <c r="CQ1581" s="5" t="s">
        <v>260</v>
      </c>
      <c r="CR1581" s="5" t="s">
        <v>261</v>
      </c>
      <c r="CU1581" s="8">
        <f>1</f>
        <v>1</v>
      </c>
      <c r="CV1581" s="8">
        <f>0</f>
        <v>0</v>
      </c>
      <c r="CX1581" s="8">
        <f>0</f>
        <v>0</v>
      </c>
      <c r="CY1581" s="8">
        <f>1</f>
        <v>1</v>
      </c>
      <c r="DA1581" s="5" t="s">
        <v>673</v>
      </c>
      <c r="DB1581" s="5" t="s">
        <v>238</v>
      </c>
      <c r="DD1581" s="5" t="s">
        <v>673</v>
      </c>
      <c r="DE1581" s="8">
        <f>505</f>
        <v>505</v>
      </c>
      <c r="DG1581" s="5" t="s">
        <v>238</v>
      </c>
      <c r="DH1581" s="5" t="s">
        <v>238</v>
      </c>
      <c r="DI1581" s="5" t="s">
        <v>238</v>
      </c>
      <c r="DJ1581" s="5" t="s">
        <v>238</v>
      </c>
      <c r="DN1581" s="5" t="s">
        <v>238</v>
      </c>
      <c r="DO1581" s="5" t="s">
        <v>238</v>
      </c>
      <c r="DP1581" s="5" t="s">
        <v>238</v>
      </c>
      <c r="DQ1581" s="5" t="s">
        <v>238</v>
      </c>
      <c r="DT1581" s="5" t="s">
        <v>2039</v>
      </c>
      <c r="DU1581" s="5" t="s">
        <v>1399</v>
      </c>
      <c r="HM1581" s="5" t="s">
        <v>264</v>
      </c>
    </row>
    <row r="1582" spans="1:221" x14ac:dyDescent="0.4">
      <c r="A1582" s="5">
        <v>3257</v>
      </c>
      <c r="B1582" s="5">
        <v>1</v>
      </c>
      <c r="C1582" s="5">
        <v>1</v>
      </c>
      <c r="D1582" s="5" t="s">
        <v>2037</v>
      </c>
      <c r="E1582" s="5" t="s">
        <v>271</v>
      </c>
      <c r="F1582" s="5" t="s">
        <v>248</v>
      </c>
      <c r="G1582" s="5" t="s">
        <v>1969</v>
      </c>
      <c r="H1582" s="6" t="s">
        <v>3845</v>
      </c>
      <c r="I1582" s="7">
        <f>1519</f>
        <v>1519</v>
      </c>
      <c r="J1582" s="5" t="s">
        <v>262</v>
      </c>
      <c r="K1582" s="8">
        <f>1</f>
        <v>1</v>
      </c>
      <c r="L1582" s="6" t="s">
        <v>242</v>
      </c>
      <c r="M1582" s="5" t="s">
        <v>267</v>
      </c>
      <c r="N1582" s="5" t="s">
        <v>265</v>
      </c>
      <c r="O1582" s="5" t="s">
        <v>238</v>
      </c>
      <c r="P1582" s="5" t="s">
        <v>238</v>
      </c>
      <c r="Q1582" s="5" t="s">
        <v>268</v>
      </c>
      <c r="R1582" s="5" t="s">
        <v>270</v>
      </c>
      <c r="S1582" s="5" t="s">
        <v>238</v>
      </c>
      <c r="V1582" s="5" t="s">
        <v>238</v>
      </c>
      <c r="X1582" s="6" t="s">
        <v>238</v>
      </c>
      <c r="AA1582" s="6" t="s">
        <v>243</v>
      </c>
      <c r="AB1582" s="5" t="s">
        <v>238</v>
      </c>
      <c r="AC1582" s="5" t="s">
        <v>244</v>
      </c>
      <c r="AD1582" s="5" t="s">
        <v>245</v>
      </c>
      <c r="AT1582" s="5" t="s">
        <v>246</v>
      </c>
      <c r="AU1582" s="5" t="s">
        <v>238</v>
      </c>
      <c r="AV1582" s="5" t="s">
        <v>247</v>
      </c>
      <c r="AW1582" s="5" t="s">
        <v>238</v>
      </c>
      <c r="AX1582" s="5" t="s">
        <v>249</v>
      </c>
      <c r="AY1582" s="5" t="s">
        <v>238</v>
      </c>
      <c r="BA1582" s="5" t="s">
        <v>238</v>
      </c>
      <c r="BC1582" s="5" t="s">
        <v>250</v>
      </c>
      <c r="BD1582" s="6" t="s">
        <v>243</v>
      </c>
      <c r="BE1582" s="5" t="s">
        <v>251</v>
      </c>
      <c r="BF1582" s="5" t="s">
        <v>252</v>
      </c>
      <c r="BG1582" s="5" t="s">
        <v>238</v>
      </c>
      <c r="BH1582" s="7">
        <f>0</f>
        <v>0</v>
      </c>
      <c r="BI1582" s="8">
        <f>0</f>
        <v>0</v>
      </c>
      <c r="BJ1582" s="5" t="s">
        <v>253</v>
      </c>
      <c r="BK1582" s="5" t="s">
        <v>254</v>
      </c>
      <c r="BY1582" s="5" t="s">
        <v>238</v>
      </c>
      <c r="BZ1582" s="5" t="s">
        <v>238</v>
      </c>
      <c r="CD1582" s="5" t="s">
        <v>273</v>
      </c>
      <c r="CE1582" s="5" t="s">
        <v>256</v>
      </c>
      <c r="CF1582" s="5" t="s">
        <v>238</v>
      </c>
      <c r="CI1582" s="6" t="s">
        <v>257</v>
      </c>
      <c r="CJ1582" s="5" t="s">
        <v>238</v>
      </c>
      <c r="CK1582" s="5" t="s">
        <v>258</v>
      </c>
      <c r="CL1582" s="5" t="s">
        <v>238</v>
      </c>
      <c r="CM1582" s="5" t="s">
        <v>238</v>
      </c>
      <c r="CN1582" s="5">
        <v>0</v>
      </c>
      <c r="CO1582" s="5" t="s">
        <v>259</v>
      </c>
      <c r="CP1582" s="5" t="s">
        <v>260</v>
      </c>
      <c r="CQ1582" s="5" t="s">
        <v>260</v>
      </c>
      <c r="CR1582" s="5" t="s">
        <v>261</v>
      </c>
      <c r="CU1582" s="8">
        <f>1</f>
        <v>1</v>
      </c>
      <c r="CV1582" s="8">
        <f>0</f>
        <v>0</v>
      </c>
      <c r="CX1582" s="8">
        <f>0</f>
        <v>0</v>
      </c>
      <c r="CY1582" s="8">
        <f>1</f>
        <v>1</v>
      </c>
      <c r="DA1582" s="5" t="s">
        <v>673</v>
      </c>
      <c r="DB1582" s="5" t="s">
        <v>238</v>
      </c>
      <c r="DD1582" s="5" t="s">
        <v>673</v>
      </c>
      <c r="DE1582" s="8">
        <f>1519</f>
        <v>1519</v>
      </c>
      <c r="DG1582" s="5" t="s">
        <v>238</v>
      </c>
      <c r="DH1582" s="5" t="s">
        <v>238</v>
      </c>
      <c r="DI1582" s="5" t="s">
        <v>238</v>
      </c>
      <c r="DJ1582" s="5" t="s">
        <v>238</v>
      </c>
      <c r="DN1582" s="5" t="s">
        <v>238</v>
      </c>
      <c r="DO1582" s="5" t="s">
        <v>238</v>
      </c>
      <c r="DP1582" s="5" t="s">
        <v>238</v>
      </c>
      <c r="DQ1582" s="5" t="s">
        <v>238</v>
      </c>
      <c r="DT1582" s="5" t="s">
        <v>2039</v>
      </c>
      <c r="DU1582" s="5" t="s">
        <v>1393</v>
      </c>
      <c r="HM1582" s="5" t="s">
        <v>264</v>
      </c>
    </row>
    <row r="1583" spans="1:221" x14ac:dyDescent="0.4">
      <c r="A1583" s="5">
        <v>3258</v>
      </c>
      <c r="B1583" s="5">
        <v>1</v>
      </c>
      <c r="C1583" s="5">
        <v>1</v>
      </c>
      <c r="D1583" s="5" t="s">
        <v>2037</v>
      </c>
      <c r="E1583" s="5" t="s">
        <v>271</v>
      </c>
      <c r="F1583" s="5" t="s">
        <v>248</v>
      </c>
      <c r="G1583" s="5" t="s">
        <v>1969</v>
      </c>
      <c r="H1583" s="6" t="s">
        <v>3844</v>
      </c>
      <c r="I1583" s="7">
        <f>6345</f>
        <v>6345</v>
      </c>
      <c r="J1583" s="5" t="s">
        <v>262</v>
      </c>
      <c r="K1583" s="8">
        <f>1</f>
        <v>1</v>
      </c>
      <c r="L1583" s="6" t="s">
        <v>242</v>
      </c>
      <c r="M1583" s="5" t="s">
        <v>267</v>
      </c>
      <c r="N1583" s="5" t="s">
        <v>265</v>
      </c>
      <c r="O1583" s="5" t="s">
        <v>238</v>
      </c>
      <c r="P1583" s="5" t="s">
        <v>238</v>
      </c>
      <c r="Q1583" s="5" t="s">
        <v>268</v>
      </c>
      <c r="R1583" s="5" t="s">
        <v>270</v>
      </c>
      <c r="S1583" s="5" t="s">
        <v>238</v>
      </c>
      <c r="V1583" s="5" t="s">
        <v>238</v>
      </c>
      <c r="X1583" s="6" t="s">
        <v>238</v>
      </c>
      <c r="AA1583" s="6" t="s">
        <v>243</v>
      </c>
      <c r="AB1583" s="5" t="s">
        <v>238</v>
      </c>
      <c r="AC1583" s="5" t="s">
        <v>244</v>
      </c>
      <c r="AD1583" s="5" t="s">
        <v>245</v>
      </c>
      <c r="AT1583" s="5" t="s">
        <v>246</v>
      </c>
      <c r="AU1583" s="5" t="s">
        <v>238</v>
      </c>
      <c r="AV1583" s="5" t="s">
        <v>247</v>
      </c>
      <c r="AW1583" s="5" t="s">
        <v>238</v>
      </c>
      <c r="AX1583" s="5" t="s">
        <v>249</v>
      </c>
      <c r="AY1583" s="5" t="s">
        <v>238</v>
      </c>
      <c r="BA1583" s="5" t="s">
        <v>238</v>
      </c>
      <c r="BC1583" s="5" t="s">
        <v>250</v>
      </c>
      <c r="BD1583" s="6" t="s">
        <v>243</v>
      </c>
      <c r="BE1583" s="5" t="s">
        <v>251</v>
      </c>
      <c r="BF1583" s="5" t="s">
        <v>252</v>
      </c>
      <c r="BG1583" s="5" t="s">
        <v>238</v>
      </c>
      <c r="BH1583" s="7">
        <f>0</f>
        <v>0</v>
      </c>
      <c r="BI1583" s="8">
        <f>0</f>
        <v>0</v>
      </c>
      <c r="BJ1583" s="5" t="s">
        <v>253</v>
      </c>
      <c r="BK1583" s="5" t="s">
        <v>254</v>
      </c>
      <c r="BY1583" s="5" t="s">
        <v>238</v>
      </c>
      <c r="BZ1583" s="5" t="s">
        <v>238</v>
      </c>
      <c r="CD1583" s="5" t="s">
        <v>273</v>
      </c>
      <c r="CE1583" s="5" t="s">
        <v>256</v>
      </c>
      <c r="CF1583" s="5" t="s">
        <v>238</v>
      </c>
      <c r="CI1583" s="6" t="s">
        <v>257</v>
      </c>
      <c r="CJ1583" s="5" t="s">
        <v>238</v>
      </c>
      <c r="CK1583" s="5" t="s">
        <v>258</v>
      </c>
      <c r="CL1583" s="5" t="s">
        <v>238</v>
      </c>
      <c r="CM1583" s="5" t="s">
        <v>238</v>
      </c>
      <c r="CN1583" s="5">
        <v>0</v>
      </c>
      <c r="CO1583" s="5" t="s">
        <v>259</v>
      </c>
      <c r="CP1583" s="5" t="s">
        <v>260</v>
      </c>
      <c r="CQ1583" s="5" t="s">
        <v>260</v>
      </c>
      <c r="CR1583" s="5" t="s">
        <v>261</v>
      </c>
      <c r="CU1583" s="8">
        <f>1</f>
        <v>1</v>
      </c>
      <c r="CV1583" s="8">
        <f>0</f>
        <v>0</v>
      </c>
      <c r="CX1583" s="8">
        <f>0</f>
        <v>0</v>
      </c>
      <c r="CY1583" s="8">
        <f>1</f>
        <v>1</v>
      </c>
      <c r="DA1583" s="5" t="s">
        <v>673</v>
      </c>
      <c r="DB1583" s="5" t="s">
        <v>238</v>
      </c>
      <c r="DD1583" s="5" t="s">
        <v>673</v>
      </c>
      <c r="DE1583" s="8">
        <f>6345</f>
        <v>6345</v>
      </c>
      <c r="DG1583" s="5" t="s">
        <v>238</v>
      </c>
      <c r="DH1583" s="5" t="s">
        <v>238</v>
      </c>
      <c r="DI1583" s="5" t="s">
        <v>238</v>
      </c>
      <c r="DJ1583" s="5" t="s">
        <v>238</v>
      </c>
      <c r="DN1583" s="5" t="s">
        <v>238</v>
      </c>
      <c r="DO1583" s="5" t="s">
        <v>238</v>
      </c>
      <c r="DP1583" s="5" t="s">
        <v>238</v>
      </c>
      <c r="DQ1583" s="5" t="s">
        <v>238</v>
      </c>
      <c r="DT1583" s="5" t="s">
        <v>2039</v>
      </c>
      <c r="DU1583" s="5" t="s">
        <v>1383</v>
      </c>
      <c r="HM1583" s="5" t="s">
        <v>264</v>
      </c>
    </row>
    <row r="1584" spans="1:221" x14ac:dyDescent="0.4">
      <c r="A1584" s="5">
        <v>3259</v>
      </c>
      <c r="B1584" s="5">
        <v>1</v>
      </c>
      <c r="C1584" s="5">
        <v>1</v>
      </c>
      <c r="D1584" s="5" t="s">
        <v>2037</v>
      </c>
      <c r="E1584" s="5" t="s">
        <v>271</v>
      </c>
      <c r="F1584" s="5" t="s">
        <v>248</v>
      </c>
      <c r="G1584" s="5" t="s">
        <v>1969</v>
      </c>
      <c r="H1584" s="6" t="s">
        <v>3843</v>
      </c>
      <c r="I1584" s="7">
        <f>331</f>
        <v>331</v>
      </c>
      <c r="J1584" s="5" t="s">
        <v>262</v>
      </c>
      <c r="K1584" s="8">
        <f>1</f>
        <v>1</v>
      </c>
      <c r="L1584" s="6" t="s">
        <v>242</v>
      </c>
      <c r="M1584" s="5" t="s">
        <v>267</v>
      </c>
      <c r="N1584" s="5" t="s">
        <v>265</v>
      </c>
      <c r="O1584" s="5" t="s">
        <v>238</v>
      </c>
      <c r="P1584" s="5" t="s">
        <v>238</v>
      </c>
      <c r="Q1584" s="5" t="s">
        <v>268</v>
      </c>
      <c r="R1584" s="5" t="s">
        <v>270</v>
      </c>
      <c r="S1584" s="5" t="s">
        <v>238</v>
      </c>
      <c r="V1584" s="5" t="s">
        <v>238</v>
      </c>
      <c r="X1584" s="6" t="s">
        <v>238</v>
      </c>
      <c r="AA1584" s="6" t="s">
        <v>243</v>
      </c>
      <c r="AB1584" s="5" t="s">
        <v>238</v>
      </c>
      <c r="AC1584" s="5" t="s">
        <v>244</v>
      </c>
      <c r="AD1584" s="5" t="s">
        <v>245</v>
      </c>
      <c r="AT1584" s="5" t="s">
        <v>246</v>
      </c>
      <c r="AU1584" s="5" t="s">
        <v>238</v>
      </c>
      <c r="AV1584" s="5" t="s">
        <v>247</v>
      </c>
      <c r="AW1584" s="5" t="s">
        <v>238</v>
      </c>
      <c r="AX1584" s="5" t="s">
        <v>249</v>
      </c>
      <c r="AY1584" s="5" t="s">
        <v>238</v>
      </c>
      <c r="BA1584" s="5" t="s">
        <v>238</v>
      </c>
      <c r="BC1584" s="5" t="s">
        <v>250</v>
      </c>
      <c r="BD1584" s="6" t="s">
        <v>243</v>
      </c>
      <c r="BE1584" s="5" t="s">
        <v>251</v>
      </c>
      <c r="BF1584" s="5" t="s">
        <v>252</v>
      </c>
      <c r="BG1584" s="5" t="s">
        <v>238</v>
      </c>
      <c r="BH1584" s="7">
        <f>0</f>
        <v>0</v>
      </c>
      <c r="BI1584" s="8">
        <f>0</f>
        <v>0</v>
      </c>
      <c r="BJ1584" s="5" t="s">
        <v>253</v>
      </c>
      <c r="BK1584" s="5" t="s">
        <v>254</v>
      </c>
      <c r="BY1584" s="5" t="s">
        <v>238</v>
      </c>
      <c r="BZ1584" s="5" t="s">
        <v>238</v>
      </c>
      <c r="CD1584" s="5" t="s">
        <v>273</v>
      </c>
      <c r="CE1584" s="5" t="s">
        <v>256</v>
      </c>
      <c r="CF1584" s="5" t="s">
        <v>238</v>
      </c>
      <c r="CI1584" s="6" t="s">
        <v>257</v>
      </c>
      <c r="CJ1584" s="5" t="s">
        <v>238</v>
      </c>
      <c r="CK1584" s="5" t="s">
        <v>258</v>
      </c>
      <c r="CL1584" s="5" t="s">
        <v>238</v>
      </c>
      <c r="CM1584" s="5" t="s">
        <v>238</v>
      </c>
      <c r="CN1584" s="5">
        <v>0</v>
      </c>
      <c r="CO1584" s="5" t="s">
        <v>259</v>
      </c>
      <c r="CP1584" s="5" t="s">
        <v>260</v>
      </c>
      <c r="CQ1584" s="5" t="s">
        <v>260</v>
      </c>
      <c r="CR1584" s="5" t="s">
        <v>261</v>
      </c>
      <c r="CU1584" s="8">
        <f>1</f>
        <v>1</v>
      </c>
      <c r="CV1584" s="8">
        <f>0</f>
        <v>0</v>
      </c>
      <c r="CX1584" s="8">
        <f>0</f>
        <v>0</v>
      </c>
      <c r="CY1584" s="8">
        <f>1</f>
        <v>1</v>
      </c>
      <c r="DA1584" s="5" t="s">
        <v>673</v>
      </c>
      <c r="DB1584" s="5" t="s">
        <v>238</v>
      </c>
      <c r="DD1584" s="5" t="s">
        <v>673</v>
      </c>
      <c r="DE1584" s="8">
        <f>331</f>
        <v>331</v>
      </c>
      <c r="DG1584" s="5" t="s">
        <v>238</v>
      </c>
      <c r="DH1584" s="5" t="s">
        <v>238</v>
      </c>
      <c r="DI1584" s="5" t="s">
        <v>238</v>
      </c>
      <c r="DJ1584" s="5" t="s">
        <v>238</v>
      </c>
      <c r="DN1584" s="5" t="s">
        <v>238</v>
      </c>
      <c r="DO1584" s="5" t="s">
        <v>238</v>
      </c>
      <c r="DP1584" s="5" t="s">
        <v>238</v>
      </c>
      <c r="DQ1584" s="5" t="s">
        <v>238</v>
      </c>
      <c r="DT1584" s="5" t="s">
        <v>2039</v>
      </c>
      <c r="DU1584" s="5" t="s">
        <v>1378</v>
      </c>
      <c r="HM1584" s="5" t="s">
        <v>264</v>
      </c>
    </row>
    <row r="1585" spans="1:221" x14ac:dyDescent="0.4">
      <c r="A1585" s="5">
        <v>3260</v>
      </c>
      <c r="B1585" s="5">
        <v>1</v>
      </c>
      <c r="C1585" s="5">
        <v>1</v>
      </c>
      <c r="D1585" s="5" t="s">
        <v>2037</v>
      </c>
      <c r="E1585" s="5" t="s">
        <v>271</v>
      </c>
      <c r="F1585" s="5" t="s">
        <v>248</v>
      </c>
      <c r="G1585" s="5" t="s">
        <v>1969</v>
      </c>
      <c r="H1585" s="6" t="s">
        <v>3842</v>
      </c>
      <c r="I1585" s="7">
        <f>1512</f>
        <v>1512</v>
      </c>
      <c r="J1585" s="5" t="s">
        <v>262</v>
      </c>
      <c r="K1585" s="8">
        <f>1</f>
        <v>1</v>
      </c>
      <c r="L1585" s="6" t="s">
        <v>242</v>
      </c>
      <c r="M1585" s="5" t="s">
        <v>267</v>
      </c>
      <c r="N1585" s="5" t="s">
        <v>265</v>
      </c>
      <c r="O1585" s="5" t="s">
        <v>238</v>
      </c>
      <c r="P1585" s="5" t="s">
        <v>238</v>
      </c>
      <c r="Q1585" s="5" t="s">
        <v>268</v>
      </c>
      <c r="R1585" s="5" t="s">
        <v>270</v>
      </c>
      <c r="S1585" s="5" t="s">
        <v>238</v>
      </c>
      <c r="V1585" s="5" t="s">
        <v>238</v>
      </c>
      <c r="X1585" s="6" t="s">
        <v>238</v>
      </c>
      <c r="AA1585" s="6" t="s">
        <v>243</v>
      </c>
      <c r="AB1585" s="5" t="s">
        <v>238</v>
      </c>
      <c r="AC1585" s="5" t="s">
        <v>244</v>
      </c>
      <c r="AD1585" s="5" t="s">
        <v>245</v>
      </c>
      <c r="AT1585" s="5" t="s">
        <v>246</v>
      </c>
      <c r="AU1585" s="5" t="s">
        <v>238</v>
      </c>
      <c r="AV1585" s="5" t="s">
        <v>247</v>
      </c>
      <c r="AW1585" s="5" t="s">
        <v>238</v>
      </c>
      <c r="AX1585" s="5" t="s">
        <v>249</v>
      </c>
      <c r="AY1585" s="5" t="s">
        <v>238</v>
      </c>
      <c r="BA1585" s="5" t="s">
        <v>238</v>
      </c>
      <c r="BC1585" s="5" t="s">
        <v>250</v>
      </c>
      <c r="BD1585" s="6" t="s">
        <v>243</v>
      </c>
      <c r="BE1585" s="5" t="s">
        <v>251</v>
      </c>
      <c r="BF1585" s="5" t="s">
        <v>252</v>
      </c>
      <c r="BG1585" s="5" t="s">
        <v>238</v>
      </c>
      <c r="BH1585" s="7">
        <f>0</f>
        <v>0</v>
      </c>
      <c r="BI1585" s="8">
        <f>0</f>
        <v>0</v>
      </c>
      <c r="BJ1585" s="5" t="s">
        <v>253</v>
      </c>
      <c r="BK1585" s="5" t="s">
        <v>254</v>
      </c>
      <c r="BY1585" s="5" t="s">
        <v>238</v>
      </c>
      <c r="BZ1585" s="5" t="s">
        <v>238</v>
      </c>
      <c r="CD1585" s="5" t="s">
        <v>273</v>
      </c>
      <c r="CE1585" s="5" t="s">
        <v>256</v>
      </c>
      <c r="CF1585" s="5" t="s">
        <v>238</v>
      </c>
      <c r="CI1585" s="6" t="s">
        <v>257</v>
      </c>
      <c r="CJ1585" s="5" t="s">
        <v>238</v>
      </c>
      <c r="CK1585" s="5" t="s">
        <v>258</v>
      </c>
      <c r="CL1585" s="5" t="s">
        <v>238</v>
      </c>
      <c r="CM1585" s="5" t="s">
        <v>238</v>
      </c>
      <c r="CN1585" s="5">
        <v>0</v>
      </c>
      <c r="CO1585" s="5" t="s">
        <v>259</v>
      </c>
      <c r="CP1585" s="5" t="s">
        <v>260</v>
      </c>
      <c r="CQ1585" s="5" t="s">
        <v>260</v>
      </c>
      <c r="CR1585" s="5" t="s">
        <v>261</v>
      </c>
      <c r="CU1585" s="8">
        <f>1</f>
        <v>1</v>
      </c>
      <c r="CV1585" s="8">
        <f>0</f>
        <v>0</v>
      </c>
      <c r="CX1585" s="8">
        <f>0</f>
        <v>0</v>
      </c>
      <c r="CY1585" s="8">
        <f>1</f>
        <v>1</v>
      </c>
      <c r="DA1585" s="5" t="s">
        <v>673</v>
      </c>
      <c r="DB1585" s="5" t="s">
        <v>238</v>
      </c>
      <c r="DD1585" s="5" t="s">
        <v>673</v>
      </c>
      <c r="DE1585" s="8">
        <f>1512</f>
        <v>1512</v>
      </c>
      <c r="DG1585" s="5" t="s">
        <v>238</v>
      </c>
      <c r="DH1585" s="5" t="s">
        <v>238</v>
      </c>
      <c r="DI1585" s="5" t="s">
        <v>238</v>
      </c>
      <c r="DJ1585" s="5" t="s">
        <v>238</v>
      </c>
      <c r="DN1585" s="5" t="s">
        <v>238</v>
      </c>
      <c r="DO1585" s="5" t="s">
        <v>238</v>
      </c>
      <c r="DP1585" s="5" t="s">
        <v>238</v>
      </c>
      <c r="DQ1585" s="5" t="s">
        <v>238</v>
      </c>
      <c r="DT1585" s="5" t="s">
        <v>2039</v>
      </c>
      <c r="DU1585" s="5" t="s">
        <v>1366</v>
      </c>
      <c r="HM1585" s="5" t="s">
        <v>264</v>
      </c>
    </row>
    <row r="1586" spans="1:221" x14ac:dyDescent="0.4">
      <c r="A1586" s="5">
        <v>3261</v>
      </c>
      <c r="B1586" s="5">
        <v>1</v>
      </c>
      <c r="C1586" s="5">
        <v>1</v>
      </c>
      <c r="D1586" s="5" t="s">
        <v>2037</v>
      </c>
      <c r="E1586" s="5" t="s">
        <v>271</v>
      </c>
      <c r="F1586" s="5" t="s">
        <v>248</v>
      </c>
      <c r="G1586" s="5" t="s">
        <v>1969</v>
      </c>
      <c r="H1586" s="6" t="s">
        <v>3841</v>
      </c>
      <c r="I1586" s="7">
        <f>1730</f>
        <v>1730</v>
      </c>
      <c r="J1586" s="5" t="s">
        <v>262</v>
      </c>
      <c r="K1586" s="8">
        <f>1</f>
        <v>1</v>
      </c>
      <c r="L1586" s="6" t="s">
        <v>242</v>
      </c>
      <c r="M1586" s="5" t="s">
        <v>267</v>
      </c>
      <c r="N1586" s="5" t="s">
        <v>265</v>
      </c>
      <c r="O1586" s="5" t="s">
        <v>238</v>
      </c>
      <c r="P1586" s="5" t="s">
        <v>238</v>
      </c>
      <c r="Q1586" s="5" t="s">
        <v>268</v>
      </c>
      <c r="R1586" s="5" t="s">
        <v>270</v>
      </c>
      <c r="S1586" s="5" t="s">
        <v>238</v>
      </c>
      <c r="V1586" s="5" t="s">
        <v>238</v>
      </c>
      <c r="X1586" s="6" t="s">
        <v>238</v>
      </c>
      <c r="AA1586" s="6" t="s">
        <v>243</v>
      </c>
      <c r="AB1586" s="5" t="s">
        <v>238</v>
      </c>
      <c r="AC1586" s="5" t="s">
        <v>244</v>
      </c>
      <c r="AD1586" s="5" t="s">
        <v>245</v>
      </c>
      <c r="AT1586" s="5" t="s">
        <v>246</v>
      </c>
      <c r="AU1586" s="5" t="s">
        <v>238</v>
      </c>
      <c r="AV1586" s="5" t="s">
        <v>247</v>
      </c>
      <c r="AW1586" s="5" t="s">
        <v>238</v>
      </c>
      <c r="AX1586" s="5" t="s">
        <v>249</v>
      </c>
      <c r="AY1586" s="5" t="s">
        <v>238</v>
      </c>
      <c r="BA1586" s="5" t="s">
        <v>238</v>
      </c>
      <c r="BC1586" s="5" t="s">
        <v>250</v>
      </c>
      <c r="BD1586" s="6" t="s">
        <v>243</v>
      </c>
      <c r="BE1586" s="5" t="s">
        <v>251</v>
      </c>
      <c r="BF1586" s="5" t="s">
        <v>252</v>
      </c>
      <c r="BG1586" s="5" t="s">
        <v>238</v>
      </c>
      <c r="BH1586" s="7">
        <f>0</f>
        <v>0</v>
      </c>
      <c r="BI1586" s="8">
        <f>0</f>
        <v>0</v>
      </c>
      <c r="BJ1586" s="5" t="s">
        <v>253</v>
      </c>
      <c r="BK1586" s="5" t="s">
        <v>254</v>
      </c>
      <c r="BY1586" s="5" t="s">
        <v>238</v>
      </c>
      <c r="BZ1586" s="5" t="s">
        <v>238</v>
      </c>
      <c r="CD1586" s="5" t="s">
        <v>273</v>
      </c>
      <c r="CE1586" s="5" t="s">
        <v>256</v>
      </c>
      <c r="CF1586" s="5" t="s">
        <v>238</v>
      </c>
      <c r="CI1586" s="6" t="s">
        <v>257</v>
      </c>
      <c r="CJ1586" s="5" t="s">
        <v>238</v>
      </c>
      <c r="CK1586" s="5" t="s">
        <v>258</v>
      </c>
      <c r="CL1586" s="5" t="s">
        <v>238</v>
      </c>
      <c r="CM1586" s="5" t="s">
        <v>238</v>
      </c>
      <c r="CN1586" s="5">
        <v>0</v>
      </c>
      <c r="CO1586" s="5" t="s">
        <v>259</v>
      </c>
      <c r="CP1586" s="5" t="s">
        <v>260</v>
      </c>
      <c r="CQ1586" s="5" t="s">
        <v>260</v>
      </c>
      <c r="CR1586" s="5" t="s">
        <v>261</v>
      </c>
      <c r="CU1586" s="8">
        <f>1</f>
        <v>1</v>
      </c>
      <c r="CV1586" s="8">
        <f>0</f>
        <v>0</v>
      </c>
      <c r="CX1586" s="8">
        <f>0</f>
        <v>0</v>
      </c>
      <c r="CY1586" s="8">
        <f>1</f>
        <v>1</v>
      </c>
      <c r="DA1586" s="5" t="s">
        <v>673</v>
      </c>
      <c r="DB1586" s="5" t="s">
        <v>238</v>
      </c>
      <c r="DD1586" s="5" t="s">
        <v>673</v>
      </c>
      <c r="DE1586" s="8">
        <f>1730</f>
        <v>1730</v>
      </c>
      <c r="DG1586" s="5" t="s">
        <v>238</v>
      </c>
      <c r="DH1586" s="5" t="s">
        <v>238</v>
      </c>
      <c r="DI1586" s="5" t="s">
        <v>238</v>
      </c>
      <c r="DJ1586" s="5" t="s">
        <v>238</v>
      </c>
      <c r="DN1586" s="5" t="s">
        <v>238</v>
      </c>
      <c r="DO1586" s="5" t="s">
        <v>238</v>
      </c>
      <c r="DP1586" s="5" t="s">
        <v>238</v>
      </c>
      <c r="DQ1586" s="5" t="s">
        <v>238</v>
      </c>
      <c r="DT1586" s="5" t="s">
        <v>2039</v>
      </c>
      <c r="DU1586" s="5" t="s">
        <v>1362</v>
      </c>
      <c r="HM1586" s="5" t="s">
        <v>264</v>
      </c>
    </row>
    <row r="1587" spans="1:221" x14ac:dyDescent="0.4">
      <c r="A1587" s="5">
        <v>3262</v>
      </c>
      <c r="B1587" s="5">
        <v>1</v>
      </c>
      <c r="C1587" s="5">
        <v>1</v>
      </c>
      <c r="D1587" s="5" t="s">
        <v>2037</v>
      </c>
      <c r="E1587" s="5" t="s">
        <v>271</v>
      </c>
      <c r="F1587" s="5" t="s">
        <v>248</v>
      </c>
      <c r="G1587" s="5" t="s">
        <v>1969</v>
      </c>
      <c r="H1587" s="6" t="s">
        <v>3840</v>
      </c>
      <c r="I1587" s="7">
        <f>1694</f>
        <v>1694</v>
      </c>
      <c r="J1587" s="5" t="s">
        <v>262</v>
      </c>
      <c r="K1587" s="8">
        <f>1</f>
        <v>1</v>
      </c>
      <c r="L1587" s="6" t="s">
        <v>242</v>
      </c>
      <c r="M1587" s="5" t="s">
        <v>267</v>
      </c>
      <c r="N1587" s="5" t="s">
        <v>265</v>
      </c>
      <c r="O1587" s="5" t="s">
        <v>238</v>
      </c>
      <c r="P1587" s="5" t="s">
        <v>238</v>
      </c>
      <c r="Q1587" s="5" t="s">
        <v>268</v>
      </c>
      <c r="R1587" s="5" t="s">
        <v>270</v>
      </c>
      <c r="S1587" s="5" t="s">
        <v>238</v>
      </c>
      <c r="V1587" s="5" t="s">
        <v>238</v>
      </c>
      <c r="X1587" s="6" t="s">
        <v>238</v>
      </c>
      <c r="AA1587" s="6" t="s">
        <v>243</v>
      </c>
      <c r="AB1587" s="5" t="s">
        <v>238</v>
      </c>
      <c r="AC1587" s="5" t="s">
        <v>244</v>
      </c>
      <c r="AD1587" s="5" t="s">
        <v>245</v>
      </c>
      <c r="AT1587" s="5" t="s">
        <v>246</v>
      </c>
      <c r="AU1587" s="5" t="s">
        <v>238</v>
      </c>
      <c r="AV1587" s="5" t="s">
        <v>247</v>
      </c>
      <c r="AW1587" s="5" t="s">
        <v>238</v>
      </c>
      <c r="AX1587" s="5" t="s">
        <v>249</v>
      </c>
      <c r="AY1587" s="5" t="s">
        <v>238</v>
      </c>
      <c r="BA1587" s="5" t="s">
        <v>238</v>
      </c>
      <c r="BC1587" s="5" t="s">
        <v>250</v>
      </c>
      <c r="BD1587" s="6" t="s">
        <v>243</v>
      </c>
      <c r="BE1587" s="5" t="s">
        <v>251</v>
      </c>
      <c r="BF1587" s="5" t="s">
        <v>252</v>
      </c>
      <c r="BG1587" s="5" t="s">
        <v>238</v>
      </c>
      <c r="BH1587" s="7">
        <f>0</f>
        <v>0</v>
      </c>
      <c r="BI1587" s="8">
        <f>0</f>
        <v>0</v>
      </c>
      <c r="BJ1587" s="5" t="s">
        <v>253</v>
      </c>
      <c r="BK1587" s="5" t="s">
        <v>254</v>
      </c>
      <c r="BY1587" s="5" t="s">
        <v>238</v>
      </c>
      <c r="BZ1587" s="5" t="s">
        <v>238</v>
      </c>
      <c r="CD1587" s="5" t="s">
        <v>273</v>
      </c>
      <c r="CE1587" s="5" t="s">
        <v>256</v>
      </c>
      <c r="CF1587" s="5" t="s">
        <v>238</v>
      </c>
      <c r="CI1587" s="6" t="s">
        <v>257</v>
      </c>
      <c r="CJ1587" s="5" t="s">
        <v>238</v>
      </c>
      <c r="CK1587" s="5" t="s">
        <v>258</v>
      </c>
      <c r="CL1587" s="5" t="s">
        <v>238</v>
      </c>
      <c r="CM1587" s="5" t="s">
        <v>238</v>
      </c>
      <c r="CN1587" s="5">
        <v>0</v>
      </c>
      <c r="CO1587" s="5" t="s">
        <v>259</v>
      </c>
      <c r="CP1587" s="5" t="s">
        <v>260</v>
      </c>
      <c r="CQ1587" s="5" t="s">
        <v>260</v>
      </c>
      <c r="CR1587" s="5" t="s">
        <v>261</v>
      </c>
      <c r="CU1587" s="8">
        <f>1</f>
        <v>1</v>
      </c>
      <c r="CV1587" s="8">
        <f>0</f>
        <v>0</v>
      </c>
      <c r="CX1587" s="8">
        <f>0</f>
        <v>0</v>
      </c>
      <c r="CY1587" s="8">
        <f>1</f>
        <v>1</v>
      </c>
      <c r="DA1587" s="5" t="s">
        <v>673</v>
      </c>
      <c r="DB1587" s="5" t="s">
        <v>238</v>
      </c>
      <c r="DD1587" s="5" t="s">
        <v>673</v>
      </c>
      <c r="DE1587" s="8">
        <f>1694</f>
        <v>1694</v>
      </c>
      <c r="DG1587" s="5" t="s">
        <v>238</v>
      </c>
      <c r="DH1587" s="5" t="s">
        <v>238</v>
      </c>
      <c r="DI1587" s="5" t="s">
        <v>238</v>
      </c>
      <c r="DJ1587" s="5" t="s">
        <v>238</v>
      </c>
      <c r="DN1587" s="5" t="s">
        <v>238</v>
      </c>
      <c r="DO1587" s="5" t="s">
        <v>238</v>
      </c>
      <c r="DP1587" s="5" t="s">
        <v>238</v>
      </c>
      <c r="DQ1587" s="5" t="s">
        <v>238</v>
      </c>
      <c r="DT1587" s="5" t="s">
        <v>2039</v>
      </c>
      <c r="DU1587" s="5" t="s">
        <v>1356</v>
      </c>
      <c r="HM1587" s="5" t="s">
        <v>264</v>
      </c>
    </row>
    <row r="1588" spans="1:221" x14ac:dyDescent="0.4">
      <c r="A1588" s="5">
        <v>3263</v>
      </c>
      <c r="B1588" s="5">
        <v>1</v>
      </c>
      <c r="C1588" s="5">
        <v>1</v>
      </c>
      <c r="D1588" s="5" t="s">
        <v>2037</v>
      </c>
      <c r="E1588" s="5" t="s">
        <v>271</v>
      </c>
      <c r="F1588" s="5" t="s">
        <v>248</v>
      </c>
      <c r="G1588" s="5" t="s">
        <v>1969</v>
      </c>
      <c r="H1588" s="6" t="s">
        <v>3839</v>
      </c>
      <c r="I1588" s="7">
        <f>1296</f>
        <v>1296</v>
      </c>
      <c r="J1588" s="5" t="s">
        <v>262</v>
      </c>
      <c r="K1588" s="8">
        <f>1</f>
        <v>1</v>
      </c>
      <c r="L1588" s="6" t="s">
        <v>242</v>
      </c>
      <c r="M1588" s="5" t="s">
        <v>267</v>
      </c>
      <c r="N1588" s="5" t="s">
        <v>265</v>
      </c>
      <c r="O1588" s="5" t="s">
        <v>238</v>
      </c>
      <c r="P1588" s="5" t="s">
        <v>238</v>
      </c>
      <c r="Q1588" s="5" t="s">
        <v>268</v>
      </c>
      <c r="R1588" s="5" t="s">
        <v>270</v>
      </c>
      <c r="S1588" s="5" t="s">
        <v>238</v>
      </c>
      <c r="V1588" s="5" t="s">
        <v>238</v>
      </c>
      <c r="X1588" s="6" t="s">
        <v>238</v>
      </c>
      <c r="AA1588" s="6" t="s">
        <v>243</v>
      </c>
      <c r="AB1588" s="5" t="s">
        <v>238</v>
      </c>
      <c r="AC1588" s="5" t="s">
        <v>244</v>
      </c>
      <c r="AD1588" s="5" t="s">
        <v>245</v>
      </c>
      <c r="AT1588" s="5" t="s">
        <v>246</v>
      </c>
      <c r="AU1588" s="5" t="s">
        <v>238</v>
      </c>
      <c r="AV1588" s="5" t="s">
        <v>247</v>
      </c>
      <c r="AW1588" s="5" t="s">
        <v>238</v>
      </c>
      <c r="AX1588" s="5" t="s">
        <v>249</v>
      </c>
      <c r="AY1588" s="5" t="s">
        <v>238</v>
      </c>
      <c r="BA1588" s="5" t="s">
        <v>238</v>
      </c>
      <c r="BC1588" s="5" t="s">
        <v>250</v>
      </c>
      <c r="BD1588" s="6" t="s">
        <v>243</v>
      </c>
      <c r="BE1588" s="5" t="s">
        <v>251</v>
      </c>
      <c r="BF1588" s="5" t="s">
        <v>252</v>
      </c>
      <c r="BG1588" s="5" t="s">
        <v>238</v>
      </c>
      <c r="BH1588" s="7">
        <f>0</f>
        <v>0</v>
      </c>
      <c r="BI1588" s="8">
        <f>0</f>
        <v>0</v>
      </c>
      <c r="BJ1588" s="5" t="s">
        <v>253</v>
      </c>
      <c r="BK1588" s="5" t="s">
        <v>254</v>
      </c>
      <c r="BY1588" s="5" t="s">
        <v>238</v>
      </c>
      <c r="BZ1588" s="5" t="s">
        <v>238</v>
      </c>
      <c r="CD1588" s="5" t="s">
        <v>273</v>
      </c>
      <c r="CE1588" s="5" t="s">
        <v>256</v>
      </c>
      <c r="CF1588" s="5" t="s">
        <v>238</v>
      </c>
      <c r="CI1588" s="6" t="s">
        <v>257</v>
      </c>
      <c r="CJ1588" s="5" t="s">
        <v>238</v>
      </c>
      <c r="CK1588" s="5" t="s">
        <v>258</v>
      </c>
      <c r="CL1588" s="5" t="s">
        <v>238</v>
      </c>
      <c r="CM1588" s="5" t="s">
        <v>238</v>
      </c>
      <c r="CN1588" s="5">
        <v>0</v>
      </c>
      <c r="CO1588" s="5" t="s">
        <v>259</v>
      </c>
      <c r="CP1588" s="5" t="s">
        <v>260</v>
      </c>
      <c r="CQ1588" s="5" t="s">
        <v>260</v>
      </c>
      <c r="CR1588" s="5" t="s">
        <v>261</v>
      </c>
      <c r="CU1588" s="8">
        <f>1</f>
        <v>1</v>
      </c>
      <c r="CV1588" s="8">
        <f>0</f>
        <v>0</v>
      </c>
      <c r="CX1588" s="8">
        <f>0</f>
        <v>0</v>
      </c>
      <c r="CY1588" s="8">
        <f>1</f>
        <v>1</v>
      </c>
      <c r="DA1588" s="5" t="s">
        <v>673</v>
      </c>
      <c r="DB1588" s="5" t="s">
        <v>238</v>
      </c>
      <c r="DD1588" s="5" t="s">
        <v>673</v>
      </c>
      <c r="DE1588" s="8">
        <f>1296</f>
        <v>1296</v>
      </c>
      <c r="DG1588" s="5" t="s">
        <v>238</v>
      </c>
      <c r="DH1588" s="5" t="s">
        <v>238</v>
      </c>
      <c r="DI1588" s="5" t="s">
        <v>238</v>
      </c>
      <c r="DJ1588" s="5" t="s">
        <v>238</v>
      </c>
      <c r="DN1588" s="5" t="s">
        <v>238</v>
      </c>
      <c r="DO1588" s="5" t="s">
        <v>238</v>
      </c>
      <c r="DP1588" s="5" t="s">
        <v>238</v>
      </c>
      <c r="DQ1588" s="5" t="s">
        <v>238</v>
      </c>
      <c r="DT1588" s="5" t="s">
        <v>2039</v>
      </c>
      <c r="DU1588" s="5" t="s">
        <v>1348</v>
      </c>
      <c r="HM1588" s="5" t="s">
        <v>264</v>
      </c>
    </row>
    <row r="1589" spans="1:221" x14ac:dyDescent="0.4">
      <c r="A1589" s="5">
        <v>3264</v>
      </c>
      <c r="B1589" s="5">
        <v>1</v>
      </c>
      <c r="C1589" s="5">
        <v>1</v>
      </c>
      <c r="D1589" s="5" t="s">
        <v>2037</v>
      </c>
      <c r="E1589" s="5" t="s">
        <v>271</v>
      </c>
      <c r="F1589" s="5" t="s">
        <v>248</v>
      </c>
      <c r="G1589" s="5" t="s">
        <v>1969</v>
      </c>
      <c r="H1589" s="6" t="s">
        <v>3836</v>
      </c>
      <c r="I1589" s="7">
        <f>816</f>
        <v>816</v>
      </c>
      <c r="J1589" s="5" t="s">
        <v>262</v>
      </c>
      <c r="K1589" s="8">
        <f>1</f>
        <v>1</v>
      </c>
      <c r="L1589" s="6" t="s">
        <v>242</v>
      </c>
      <c r="M1589" s="5" t="s">
        <v>267</v>
      </c>
      <c r="N1589" s="5" t="s">
        <v>265</v>
      </c>
      <c r="O1589" s="5" t="s">
        <v>238</v>
      </c>
      <c r="P1589" s="5" t="s">
        <v>238</v>
      </c>
      <c r="Q1589" s="5" t="s">
        <v>268</v>
      </c>
      <c r="R1589" s="5" t="s">
        <v>270</v>
      </c>
      <c r="S1589" s="5" t="s">
        <v>238</v>
      </c>
      <c r="V1589" s="5" t="s">
        <v>238</v>
      </c>
      <c r="X1589" s="6" t="s">
        <v>238</v>
      </c>
      <c r="AA1589" s="6" t="s">
        <v>243</v>
      </c>
      <c r="AB1589" s="5" t="s">
        <v>238</v>
      </c>
      <c r="AC1589" s="5" t="s">
        <v>244</v>
      </c>
      <c r="AD1589" s="5" t="s">
        <v>245</v>
      </c>
      <c r="AT1589" s="5" t="s">
        <v>246</v>
      </c>
      <c r="AU1589" s="5" t="s">
        <v>238</v>
      </c>
      <c r="AV1589" s="5" t="s">
        <v>247</v>
      </c>
      <c r="AW1589" s="5" t="s">
        <v>238</v>
      </c>
      <c r="AX1589" s="5" t="s">
        <v>249</v>
      </c>
      <c r="AY1589" s="5" t="s">
        <v>238</v>
      </c>
      <c r="BA1589" s="5" t="s">
        <v>238</v>
      </c>
      <c r="BC1589" s="5" t="s">
        <v>250</v>
      </c>
      <c r="BD1589" s="6" t="s">
        <v>243</v>
      </c>
      <c r="BE1589" s="5" t="s">
        <v>251</v>
      </c>
      <c r="BF1589" s="5" t="s">
        <v>252</v>
      </c>
      <c r="BG1589" s="5" t="s">
        <v>238</v>
      </c>
      <c r="BH1589" s="7">
        <f>0</f>
        <v>0</v>
      </c>
      <c r="BI1589" s="8">
        <f>0</f>
        <v>0</v>
      </c>
      <c r="BJ1589" s="5" t="s">
        <v>253</v>
      </c>
      <c r="BK1589" s="5" t="s">
        <v>254</v>
      </c>
      <c r="BY1589" s="5" t="s">
        <v>238</v>
      </c>
      <c r="BZ1589" s="5" t="s">
        <v>238</v>
      </c>
      <c r="CD1589" s="5" t="s">
        <v>273</v>
      </c>
      <c r="CE1589" s="5" t="s">
        <v>256</v>
      </c>
      <c r="CF1589" s="5" t="s">
        <v>238</v>
      </c>
      <c r="CI1589" s="6" t="s">
        <v>257</v>
      </c>
      <c r="CJ1589" s="5" t="s">
        <v>238</v>
      </c>
      <c r="CK1589" s="5" t="s">
        <v>258</v>
      </c>
      <c r="CL1589" s="5" t="s">
        <v>238</v>
      </c>
      <c r="CM1589" s="5" t="s">
        <v>238</v>
      </c>
      <c r="CN1589" s="5">
        <v>0</v>
      </c>
      <c r="CO1589" s="5" t="s">
        <v>259</v>
      </c>
      <c r="CP1589" s="5" t="s">
        <v>260</v>
      </c>
      <c r="CQ1589" s="5" t="s">
        <v>260</v>
      </c>
      <c r="CR1589" s="5" t="s">
        <v>261</v>
      </c>
      <c r="CU1589" s="8">
        <f>1</f>
        <v>1</v>
      </c>
      <c r="CV1589" s="8">
        <f>0</f>
        <v>0</v>
      </c>
      <c r="CX1589" s="8">
        <f>0</f>
        <v>0</v>
      </c>
      <c r="CY1589" s="8">
        <f>1</f>
        <v>1</v>
      </c>
      <c r="DA1589" s="5" t="s">
        <v>673</v>
      </c>
      <c r="DB1589" s="5" t="s">
        <v>238</v>
      </c>
      <c r="DD1589" s="5" t="s">
        <v>673</v>
      </c>
      <c r="DE1589" s="8">
        <f>816</f>
        <v>816</v>
      </c>
      <c r="DG1589" s="5" t="s">
        <v>238</v>
      </c>
      <c r="DH1589" s="5" t="s">
        <v>238</v>
      </c>
      <c r="DI1589" s="5" t="s">
        <v>238</v>
      </c>
      <c r="DJ1589" s="5" t="s">
        <v>238</v>
      </c>
      <c r="DN1589" s="5" t="s">
        <v>238</v>
      </c>
      <c r="DO1589" s="5" t="s">
        <v>238</v>
      </c>
      <c r="DP1589" s="5" t="s">
        <v>238</v>
      </c>
      <c r="DQ1589" s="5" t="s">
        <v>238</v>
      </c>
      <c r="DT1589" s="5" t="s">
        <v>2039</v>
      </c>
      <c r="DU1589" s="5" t="s">
        <v>1336</v>
      </c>
      <c r="HM1589" s="5" t="s">
        <v>264</v>
      </c>
    </row>
    <row r="1590" spans="1:221" x14ac:dyDescent="0.4">
      <c r="A1590" s="5">
        <v>3265</v>
      </c>
      <c r="B1590" s="5">
        <v>1</v>
      </c>
      <c r="C1590" s="5">
        <v>1</v>
      </c>
      <c r="D1590" s="5" t="s">
        <v>2037</v>
      </c>
      <c r="E1590" s="5" t="s">
        <v>271</v>
      </c>
      <c r="F1590" s="5" t="s">
        <v>248</v>
      </c>
      <c r="G1590" s="5" t="s">
        <v>1969</v>
      </c>
      <c r="H1590" s="6" t="s">
        <v>3835</v>
      </c>
      <c r="I1590" s="7">
        <f>4603</f>
        <v>4603</v>
      </c>
      <c r="J1590" s="5" t="s">
        <v>262</v>
      </c>
      <c r="K1590" s="8">
        <f>1</f>
        <v>1</v>
      </c>
      <c r="L1590" s="6" t="s">
        <v>242</v>
      </c>
      <c r="M1590" s="5" t="s">
        <v>267</v>
      </c>
      <c r="N1590" s="5" t="s">
        <v>265</v>
      </c>
      <c r="O1590" s="5" t="s">
        <v>238</v>
      </c>
      <c r="P1590" s="5" t="s">
        <v>238</v>
      </c>
      <c r="Q1590" s="5" t="s">
        <v>268</v>
      </c>
      <c r="R1590" s="5" t="s">
        <v>270</v>
      </c>
      <c r="S1590" s="5" t="s">
        <v>238</v>
      </c>
      <c r="V1590" s="5" t="s">
        <v>238</v>
      </c>
      <c r="X1590" s="6" t="s">
        <v>238</v>
      </c>
      <c r="AA1590" s="6" t="s">
        <v>243</v>
      </c>
      <c r="AB1590" s="5" t="s">
        <v>238</v>
      </c>
      <c r="AC1590" s="5" t="s">
        <v>244</v>
      </c>
      <c r="AD1590" s="5" t="s">
        <v>245</v>
      </c>
      <c r="AT1590" s="5" t="s">
        <v>246</v>
      </c>
      <c r="AU1590" s="5" t="s">
        <v>238</v>
      </c>
      <c r="AV1590" s="5" t="s">
        <v>247</v>
      </c>
      <c r="AW1590" s="5" t="s">
        <v>238</v>
      </c>
      <c r="AX1590" s="5" t="s">
        <v>249</v>
      </c>
      <c r="AY1590" s="5" t="s">
        <v>238</v>
      </c>
      <c r="BA1590" s="5" t="s">
        <v>238</v>
      </c>
      <c r="BC1590" s="5" t="s">
        <v>250</v>
      </c>
      <c r="BD1590" s="6" t="s">
        <v>243</v>
      </c>
      <c r="BE1590" s="5" t="s">
        <v>251</v>
      </c>
      <c r="BF1590" s="5" t="s">
        <v>252</v>
      </c>
      <c r="BG1590" s="5" t="s">
        <v>238</v>
      </c>
      <c r="BH1590" s="7">
        <f>0</f>
        <v>0</v>
      </c>
      <c r="BI1590" s="8">
        <f>0</f>
        <v>0</v>
      </c>
      <c r="BJ1590" s="5" t="s">
        <v>253</v>
      </c>
      <c r="BK1590" s="5" t="s">
        <v>254</v>
      </c>
      <c r="BY1590" s="5" t="s">
        <v>238</v>
      </c>
      <c r="BZ1590" s="5" t="s">
        <v>238</v>
      </c>
      <c r="CD1590" s="5" t="s">
        <v>273</v>
      </c>
      <c r="CE1590" s="5" t="s">
        <v>256</v>
      </c>
      <c r="CF1590" s="5" t="s">
        <v>238</v>
      </c>
      <c r="CI1590" s="6" t="s">
        <v>257</v>
      </c>
      <c r="CJ1590" s="5" t="s">
        <v>238</v>
      </c>
      <c r="CK1590" s="5" t="s">
        <v>258</v>
      </c>
      <c r="CL1590" s="5" t="s">
        <v>238</v>
      </c>
      <c r="CM1590" s="5" t="s">
        <v>238</v>
      </c>
      <c r="CN1590" s="5">
        <v>0</v>
      </c>
      <c r="CO1590" s="5" t="s">
        <v>259</v>
      </c>
      <c r="CP1590" s="5" t="s">
        <v>260</v>
      </c>
      <c r="CQ1590" s="5" t="s">
        <v>260</v>
      </c>
      <c r="CR1590" s="5" t="s">
        <v>261</v>
      </c>
      <c r="CU1590" s="8">
        <f>1</f>
        <v>1</v>
      </c>
      <c r="CV1590" s="8">
        <f>0</f>
        <v>0</v>
      </c>
      <c r="CX1590" s="8">
        <f>0</f>
        <v>0</v>
      </c>
      <c r="CY1590" s="8">
        <f>1</f>
        <v>1</v>
      </c>
      <c r="DA1590" s="5" t="s">
        <v>673</v>
      </c>
      <c r="DB1590" s="5" t="s">
        <v>238</v>
      </c>
      <c r="DD1590" s="5" t="s">
        <v>673</v>
      </c>
      <c r="DE1590" s="8">
        <f>4603</f>
        <v>4603</v>
      </c>
      <c r="DG1590" s="5" t="s">
        <v>238</v>
      </c>
      <c r="DH1590" s="5" t="s">
        <v>238</v>
      </c>
      <c r="DI1590" s="5" t="s">
        <v>238</v>
      </c>
      <c r="DJ1590" s="5" t="s">
        <v>238</v>
      </c>
      <c r="DN1590" s="5" t="s">
        <v>238</v>
      </c>
      <c r="DO1590" s="5" t="s">
        <v>238</v>
      </c>
      <c r="DP1590" s="5" t="s">
        <v>238</v>
      </c>
      <c r="DQ1590" s="5" t="s">
        <v>238</v>
      </c>
      <c r="DT1590" s="5" t="s">
        <v>2039</v>
      </c>
      <c r="DU1590" s="5" t="s">
        <v>1331</v>
      </c>
      <c r="HM1590" s="5" t="s">
        <v>264</v>
      </c>
    </row>
    <row r="1591" spans="1:221" x14ac:dyDescent="0.4">
      <c r="A1591" s="5">
        <v>3266</v>
      </c>
      <c r="B1591" s="5">
        <v>1</v>
      </c>
      <c r="C1591" s="5">
        <v>1</v>
      </c>
      <c r="D1591" s="5" t="s">
        <v>2037</v>
      </c>
      <c r="E1591" s="5" t="s">
        <v>271</v>
      </c>
      <c r="F1591" s="5" t="s">
        <v>248</v>
      </c>
      <c r="G1591" s="5" t="s">
        <v>1969</v>
      </c>
      <c r="H1591" s="6" t="s">
        <v>3834</v>
      </c>
      <c r="I1591" s="7">
        <f>378</f>
        <v>378</v>
      </c>
      <c r="J1591" s="5" t="s">
        <v>262</v>
      </c>
      <c r="K1591" s="8">
        <f>1</f>
        <v>1</v>
      </c>
      <c r="L1591" s="6" t="s">
        <v>242</v>
      </c>
      <c r="M1591" s="5" t="s">
        <v>267</v>
      </c>
      <c r="N1591" s="5" t="s">
        <v>265</v>
      </c>
      <c r="O1591" s="5" t="s">
        <v>238</v>
      </c>
      <c r="P1591" s="5" t="s">
        <v>238</v>
      </c>
      <c r="Q1591" s="5" t="s">
        <v>268</v>
      </c>
      <c r="R1591" s="5" t="s">
        <v>270</v>
      </c>
      <c r="S1591" s="5" t="s">
        <v>238</v>
      </c>
      <c r="V1591" s="5" t="s">
        <v>238</v>
      </c>
      <c r="X1591" s="6" t="s">
        <v>238</v>
      </c>
      <c r="AA1591" s="6" t="s">
        <v>243</v>
      </c>
      <c r="AB1591" s="5" t="s">
        <v>238</v>
      </c>
      <c r="AC1591" s="5" t="s">
        <v>244</v>
      </c>
      <c r="AD1591" s="5" t="s">
        <v>245</v>
      </c>
      <c r="AT1591" s="5" t="s">
        <v>246</v>
      </c>
      <c r="AU1591" s="5" t="s">
        <v>238</v>
      </c>
      <c r="AV1591" s="5" t="s">
        <v>247</v>
      </c>
      <c r="AW1591" s="5" t="s">
        <v>238</v>
      </c>
      <c r="AX1591" s="5" t="s">
        <v>249</v>
      </c>
      <c r="AY1591" s="5" t="s">
        <v>238</v>
      </c>
      <c r="BA1591" s="5" t="s">
        <v>238</v>
      </c>
      <c r="BC1591" s="5" t="s">
        <v>250</v>
      </c>
      <c r="BD1591" s="6" t="s">
        <v>243</v>
      </c>
      <c r="BE1591" s="5" t="s">
        <v>251</v>
      </c>
      <c r="BF1591" s="5" t="s">
        <v>252</v>
      </c>
      <c r="BG1591" s="5" t="s">
        <v>238</v>
      </c>
      <c r="BH1591" s="7">
        <f>0</f>
        <v>0</v>
      </c>
      <c r="BI1591" s="8">
        <f>0</f>
        <v>0</v>
      </c>
      <c r="BJ1591" s="5" t="s">
        <v>253</v>
      </c>
      <c r="BK1591" s="5" t="s">
        <v>254</v>
      </c>
      <c r="BY1591" s="5" t="s">
        <v>238</v>
      </c>
      <c r="BZ1591" s="5" t="s">
        <v>238</v>
      </c>
      <c r="CD1591" s="5" t="s">
        <v>273</v>
      </c>
      <c r="CE1591" s="5" t="s">
        <v>256</v>
      </c>
      <c r="CF1591" s="5" t="s">
        <v>238</v>
      </c>
      <c r="CI1591" s="6" t="s">
        <v>257</v>
      </c>
      <c r="CJ1591" s="5" t="s">
        <v>238</v>
      </c>
      <c r="CK1591" s="5" t="s">
        <v>258</v>
      </c>
      <c r="CL1591" s="5" t="s">
        <v>238</v>
      </c>
      <c r="CM1591" s="5" t="s">
        <v>238</v>
      </c>
      <c r="CN1591" s="5">
        <v>0</v>
      </c>
      <c r="CO1591" s="5" t="s">
        <v>259</v>
      </c>
      <c r="CP1591" s="5" t="s">
        <v>260</v>
      </c>
      <c r="CQ1591" s="5" t="s">
        <v>260</v>
      </c>
      <c r="CR1591" s="5" t="s">
        <v>261</v>
      </c>
      <c r="CU1591" s="8">
        <f>1</f>
        <v>1</v>
      </c>
      <c r="CV1591" s="8">
        <f>0</f>
        <v>0</v>
      </c>
      <c r="CX1591" s="8">
        <f>0</f>
        <v>0</v>
      </c>
      <c r="CY1591" s="8">
        <f>1</f>
        <v>1</v>
      </c>
      <c r="DA1591" s="5" t="s">
        <v>673</v>
      </c>
      <c r="DB1591" s="5" t="s">
        <v>238</v>
      </c>
      <c r="DD1591" s="5" t="s">
        <v>673</v>
      </c>
      <c r="DE1591" s="8">
        <f>378</f>
        <v>378</v>
      </c>
      <c r="DG1591" s="5" t="s">
        <v>238</v>
      </c>
      <c r="DH1591" s="5" t="s">
        <v>238</v>
      </c>
      <c r="DI1591" s="5" t="s">
        <v>238</v>
      </c>
      <c r="DJ1591" s="5" t="s">
        <v>238</v>
      </c>
      <c r="DN1591" s="5" t="s">
        <v>238</v>
      </c>
      <c r="DO1591" s="5" t="s">
        <v>238</v>
      </c>
      <c r="DP1591" s="5" t="s">
        <v>238</v>
      </c>
      <c r="DQ1591" s="5" t="s">
        <v>238</v>
      </c>
      <c r="DT1591" s="5" t="s">
        <v>2039</v>
      </c>
      <c r="DU1591" s="5" t="s">
        <v>1325</v>
      </c>
      <c r="HM1591" s="5" t="s">
        <v>264</v>
      </c>
    </row>
    <row r="1592" spans="1:221" x14ac:dyDescent="0.4">
      <c r="A1592" s="5">
        <v>3267</v>
      </c>
      <c r="B1592" s="5">
        <v>1</v>
      </c>
      <c r="C1592" s="5">
        <v>1</v>
      </c>
      <c r="D1592" s="5" t="s">
        <v>2037</v>
      </c>
      <c r="E1592" s="5" t="s">
        <v>271</v>
      </c>
      <c r="F1592" s="5" t="s">
        <v>248</v>
      </c>
      <c r="G1592" s="5" t="s">
        <v>1969</v>
      </c>
      <c r="H1592" s="6" t="s">
        <v>3833</v>
      </c>
      <c r="I1592" s="7">
        <f>1586</f>
        <v>1586</v>
      </c>
      <c r="J1592" s="5" t="s">
        <v>262</v>
      </c>
      <c r="K1592" s="8">
        <f>1</f>
        <v>1</v>
      </c>
      <c r="L1592" s="6" t="s">
        <v>242</v>
      </c>
      <c r="M1592" s="5" t="s">
        <v>267</v>
      </c>
      <c r="N1592" s="5" t="s">
        <v>265</v>
      </c>
      <c r="O1592" s="5" t="s">
        <v>238</v>
      </c>
      <c r="P1592" s="5" t="s">
        <v>238</v>
      </c>
      <c r="Q1592" s="5" t="s">
        <v>268</v>
      </c>
      <c r="R1592" s="5" t="s">
        <v>270</v>
      </c>
      <c r="S1592" s="5" t="s">
        <v>238</v>
      </c>
      <c r="V1592" s="5" t="s">
        <v>238</v>
      </c>
      <c r="X1592" s="6" t="s">
        <v>238</v>
      </c>
      <c r="AA1592" s="6" t="s">
        <v>243</v>
      </c>
      <c r="AB1592" s="5" t="s">
        <v>238</v>
      </c>
      <c r="AC1592" s="5" t="s">
        <v>244</v>
      </c>
      <c r="AD1592" s="5" t="s">
        <v>245</v>
      </c>
      <c r="AT1592" s="5" t="s">
        <v>246</v>
      </c>
      <c r="AU1592" s="5" t="s">
        <v>238</v>
      </c>
      <c r="AV1592" s="5" t="s">
        <v>247</v>
      </c>
      <c r="AW1592" s="5" t="s">
        <v>238</v>
      </c>
      <c r="AX1592" s="5" t="s">
        <v>249</v>
      </c>
      <c r="AY1592" s="5" t="s">
        <v>238</v>
      </c>
      <c r="BA1592" s="5" t="s">
        <v>238</v>
      </c>
      <c r="BC1592" s="5" t="s">
        <v>250</v>
      </c>
      <c r="BD1592" s="6" t="s">
        <v>243</v>
      </c>
      <c r="BE1592" s="5" t="s">
        <v>251</v>
      </c>
      <c r="BF1592" s="5" t="s">
        <v>252</v>
      </c>
      <c r="BG1592" s="5" t="s">
        <v>238</v>
      </c>
      <c r="BH1592" s="7">
        <f>0</f>
        <v>0</v>
      </c>
      <c r="BI1592" s="8">
        <f>0</f>
        <v>0</v>
      </c>
      <c r="BJ1592" s="5" t="s">
        <v>253</v>
      </c>
      <c r="BK1592" s="5" t="s">
        <v>254</v>
      </c>
      <c r="BY1592" s="5" t="s">
        <v>238</v>
      </c>
      <c r="BZ1592" s="5" t="s">
        <v>238</v>
      </c>
      <c r="CD1592" s="5" t="s">
        <v>273</v>
      </c>
      <c r="CE1592" s="5" t="s">
        <v>256</v>
      </c>
      <c r="CF1592" s="5" t="s">
        <v>238</v>
      </c>
      <c r="CI1592" s="6" t="s">
        <v>257</v>
      </c>
      <c r="CJ1592" s="5" t="s">
        <v>238</v>
      </c>
      <c r="CK1592" s="5" t="s">
        <v>258</v>
      </c>
      <c r="CL1592" s="5" t="s">
        <v>238</v>
      </c>
      <c r="CM1592" s="5" t="s">
        <v>238</v>
      </c>
      <c r="CN1592" s="5">
        <v>0</v>
      </c>
      <c r="CO1592" s="5" t="s">
        <v>259</v>
      </c>
      <c r="CP1592" s="5" t="s">
        <v>260</v>
      </c>
      <c r="CQ1592" s="5" t="s">
        <v>260</v>
      </c>
      <c r="CR1592" s="5" t="s">
        <v>261</v>
      </c>
      <c r="CU1592" s="8">
        <f>1</f>
        <v>1</v>
      </c>
      <c r="CV1592" s="8">
        <f>0</f>
        <v>0</v>
      </c>
      <c r="CX1592" s="8">
        <f>0</f>
        <v>0</v>
      </c>
      <c r="CY1592" s="8">
        <f>1</f>
        <v>1</v>
      </c>
      <c r="DA1592" s="5" t="s">
        <v>673</v>
      </c>
      <c r="DB1592" s="5" t="s">
        <v>238</v>
      </c>
      <c r="DD1592" s="5" t="s">
        <v>673</v>
      </c>
      <c r="DE1592" s="8">
        <f>1586</f>
        <v>1586</v>
      </c>
      <c r="DG1592" s="5" t="s">
        <v>238</v>
      </c>
      <c r="DH1592" s="5" t="s">
        <v>238</v>
      </c>
      <c r="DI1592" s="5" t="s">
        <v>238</v>
      </c>
      <c r="DJ1592" s="5" t="s">
        <v>238</v>
      </c>
      <c r="DN1592" s="5" t="s">
        <v>238</v>
      </c>
      <c r="DO1592" s="5" t="s">
        <v>238</v>
      </c>
      <c r="DP1592" s="5" t="s">
        <v>238</v>
      </c>
      <c r="DQ1592" s="5" t="s">
        <v>238</v>
      </c>
      <c r="DT1592" s="5" t="s">
        <v>2039</v>
      </c>
      <c r="DU1592" s="5" t="s">
        <v>1316</v>
      </c>
      <c r="HM1592" s="5" t="s">
        <v>264</v>
      </c>
    </row>
    <row r="1593" spans="1:221" x14ac:dyDescent="0.4">
      <c r="A1593" s="5">
        <v>3268</v>
      </c>
      <c r="B1593" s="5">
        <v>1</v>
      </c>
      <c r="C1593" s="5">
        <v>1</v>
      </c>
      <c r="D1593" s="5" t="s">
        <v>2037</v>
      </c>
      <c r="E1593" s="5" t="s">
        <v>271</v>
      </c>
      <c r="F1593" s="5" t="s">
        <v>248</v>
      </c>
      <c r="G1593" s="5" t="s">
        <v>1969</v>
      </c>
      <c r="H1593" s="6" t="s">
        <v>3830</v>
      </c>
      <c r="I1593" s="7">
        <f>40</f>
        <v>40</v>
      </c>
      <c r="J1593" s="5" t="s">
        <v>262</v>
      </c>
      <c r="K1593" s="8">
        <f>1</f>
        <v>1</v>
      </c>
      <c r="L1593" s="6" t="s">
        <v>242</v>
      </c>
      <c r="M1593" s="5" t="s">
        <v>267</v>
      </c>
      <c r="N1593" s="5" t="s">
        <v>265</v>
      </c>
      <c r="O1593" s="5" t="s">
        <v>238</v>
      </c>
      <c r="P1593" s="5" t="s">
        <v>238</v>
      </c>
      <c r="Q1593" s="5" t="s">
        <v>268</v>
      </c>
      <c r="R1593" s="5" t="s">
        <v>270</v>
      </c>
      <c r="S1593" s="5" t="s">
        <v>238</v>
      </c>
      <c r="V1593" s="5" t="s">
        <v>238</v>
      </c>
      <c r="X1593" s="6" t="s">
        <v>238</v>
      </c>
      <c r="AA1593" s="6" t="s">
        <v>243</v>
      </c>
      <c r="AB1593" s="5" t="s">
        <v>238</v>
      </c>
      <c r="AC1593" s="5" t="s">
        <v>244</v>
      </c>
      <c r="AD1593" s="5" t="s">
        <v>245</v>
      </c>
      <c r="AT1593" s="5" t="s">
        <v>246</v>
      </c>
      <c r="AU1593" s="5" t="s">
        <v>238</v>
      </c>
      <c r="AV1593" s="5" t="s">
        <v>247</v>
      </c>
      <c r="AW1593" s="5" t="s">
        <v>238</v>
      </c>
      <c r="AX1593" s="5" t="s">
        <v>249</v>
      </c>
      <c r="AY1593" s="5" t="s">
        <v>238</v>
      </c>
      <c r="BA1593" s="5" t="s">
        <v>238</v>
      </c>
      <c r="BC1593" s="5" t="s">
        <v>250</v>
      </c>
      <c r="BD1593" s="6" t="s">
        <v>243</v>
      </c>
      <c r="BE1593" s="5" t="s">
        <v>251</v>
      </c>
      <c r="BF1593" s="5" t="s">
        <v>252</v>
      </c>
      <c r="BG1593" s="5" t="s">
        <v>238</v>
      </c>
      <c r="BH1593" s="7">
        <f>0</f>
        <v>0</v>
      </c>
      <c r="BI1593" s="8">
        <f>0</f>
        <v>0</v>
      </c>
      <c r="BJ1593" s="5" t="s">
        <v>253</v>
      </c>
      <c r="BK1593" s="5" t="s">
        <v>254</v>
      </c>
      <c r="BY1593" s="5" t="s">
        <v>238</v>
      </c>
      <c r="BZ1593" s="5" t="s">
        <v>238</v>
      </c>
      <c r="CD1593" s="5" t="s">
        <v>273</v>
      </c>
      <c r="CE1593" s="5" t="s">
        <v>256</v>
      </c>
      <c r="CF1593" s="5" t="s">
        <v>238</v>
      </c>
      <c r="CI1593" s="6" t="s">
        <v>257</v>
      </c>
      <c r="CJ1593" s="5" t="s">
        <v>238</v>
      </c>
      <c r="CK1593" s="5" t="s">
        <v>258</v>
      </c>
      <c r="CL1593" s="5" t="s">
        <v>238</v>
      </c>
      <c r="CM1593" s="5" t="s">
        <v>238</v>
      </c>
      <c r="CN1593" s="5">
        <v>0</v>
      </c>
      <c r="CO1593" s="5" t="s">
        <v>259</v>
      </c>
      <c r="CP1593" s="5" t="s">
        <v>260</v>
      </c>
      <c r="CQ1593" s="5" t="s">
        <v>260</v>
      </c>
      <c r="CR1593" s="5" t="s">
        <v>261</v>
      </c>
      <c r="CU1593" s="8">
        <f>1</f>
        <v>1</v>
      </c>
      <c r="CV1593" s="8">
        <f>0</f>
        <v>0</v>
      </c>
      <c r="CX1593" s="8">
        <f>0</f>
        <v>0</v>
      </c>
      <c r="CY1593" s="8">
        <f>1</f>
        <v>1</v>
      </c>
      <c r="DA1593" s="5" t="s">
        <v>673</v>
      </c>
      <c r="DB1593" s="5" t="s">
        <v>238</v>
      </c>
      <c r="DD1593" s="5" t="s">
        <v>673</v>
      </c>
      <c r="DE1593" s="8">
        <f>40</f>
        <v>40</v>
      </c>
      <c r="DG1593" s="5" t="s">
        <v>238</v>
      </c>
      <c r="DH1593" s="5" t="s">
        <v>238</v>
      </c>
      <c r="DI1593" s="5" t="s">
        <v>238</v>
      </c>
      <c r="DJ1593" s="5" t="s">
        <v>238</v>
      </c>
      <c r="DN1593" s="5" t="s">
        <v>238</v>
      </c>
      <c r="DO1593" s="5" t="s">
        <v>238</v>
      </c>
      <c r="DP1593" s="5" t="s">
        <v>238</v>
      </c>
      <c r="DQ1593" s="5" t="s">
        <v>238</v>
      </c>
      <c r="DT1593" s="5" t="s">
        <v>2039</v>
      </c>
      <c r="DU1593" s="5" t="s">
        <v>1311</v>
      </c>
      <c r="HM1593" s="5" t="s">
        <v>264</v>
      </c>
    </row>
    <row r="1594" spans="1:221" x14ac:dyDescent="0.4">
      <c r="A1594" s="5">
        <v>3269</v>
      </c>
      <c r="B1594" s="5">
        <v>1</v>
      </c>
      <c r="C1594" s="5">
        <v>1</v>
      </c>
      <c r="D1594" s="5" t="s">
        <v>2037</v>
      </c>
      <c r="E1594" s="5" t="s">
        <v>271</v>
      </c>
      <c r="F1594" s="5" t="s">
        <v>248</v>
      </c>
      <c r="G1594" s="5" t="s">
        <v>1969</v>
      </c>
      <c r="H1594" s="6" t="s">
        <v>3829</v>
      </c>
      <c r="I1594" s="7">
        <f>685</f>
        <v>685</v>
      </c>
      <c r="J1594" s="5" t="s">
        <v>262</v>
      </c>
      <c r="K1594" s="8">
        <f>1</f>
        <v>1</v>
      </c>
      <c r="L1594" s="6" t="s">
        <v>242</v>
      </c>
      <c r="M1594" s="5" t="s">
        <v>267</v>
      </c>
      <c r="N1594" s="5" t="s">
        <v>265</v>
      </c>
      <c r="O1594" s="5" t="s">
        <v>238</v>
      </c>
      <c r="P1594" s="5" t="s">
        <v>238</v>
      </c>
      <c r="Q1594" s="5" t="s">
        <v>268</v>
      </c>
      <c r="R1594" s="5" t="s">
        <v>270</v>
      </c>
      <c r="S1594" s="5" t="s">
        <v>238</v>
      </c>
      <c r="V1594" s="5" t="s">
        <v>238</v>
      </c>
      <c r="X1594" s="6" t="s">
        <v>238</v>
      </c>
      <c r="AA1594" s="6" t="s">
        <v>243</v>
      </c>
      <c r="AB1594" s="5" t="s">
        <v>238</v>
      </c>
      <c r="AC1594" s="5" t="s">
        <v>244</v>
      </c>
      <c r="AD1594" s="5" t="s">
        <v>245</v>
      </c>
      <c r="AT1594" s="5" t="s">
        <v>246</v>
      </c>
      <c r="AU1594" s="5" t="s">
        <v>238</v>
      </c>
      <c r="AV1594" s="5" t="s">
        <v>247</v>
      </c>
      <c r="AW1594" s="5" t="s">
        <v>238</v>
      </c>
      <c r="AX1594" s="5" t="s">
        <v>249</v>
      </c>
      <c r="AY1594" s="5" t="s">
        <v>238</v>
      </c>
      <c r="BA1594" s="5" t="s">
        <v>238</v>
      </c>
      <c r="BC1594" s="5" t="s">
        <v>250</v>
      </c>
      <c r="BD1594" s="6" t="s">
        <v>243</v>
      </c>
      <c r="BE1594" s="5" t="s">
        <v>251</v>
      </c>
      <c r="BF1594" s="5" t="s">
        <v>252</v>
      </c>
      <c r="BG1594" s="5" t="s">
        <v>238</v>
      </c>
      <c r="BH1594" s="7">
        <f>0</f>
        <v>0</v>
      </c>
      <c r="BI1594" s="8">
        <f>0</f>
        <v>0</v>
      </c>
      <c r="BJ1594" s="5" t="s">
        <v>253</v>
      </c>
      <c r="BK1594" s="5" t="s">
        <v>254</v>
      </c>
      <c r="BY1594" s="5" t="s">
        <v>238</v>
      </c>
      <c r="BZ1594" s="5" t="s">
        <v>238</v>
      </c>
      <c r="CD1594" s="5" t="s">
        <v>273</v>
      </c>
      <c r="CE1594" s="5" t="s">
        <v>256</v>
      </c>
      <c r="CF1594" s="5" t="s">
        <v>238</v>
      </c>
      <c r="CI1594" s="6" t="s">
        <v>257</v>
      </c>
      <c r="CJ1594" s="5" t="s">
        <v>238</v>
      </c>
      <c r="CK1594" s="5" t="s">
        <v>258</v>
      </c>
      <c r="CL1594" s="5" t="s">
        <v>238</v>
      </c>
      <c r="CM1594" s="5" t="s">
        <v>238</v>
      </c>
      <c r="CN1594" s="5">
        <v>0</v>
      </c>
      <c r="CO1594" s="5" t="s">
        <v>259</v>
      </c>
      <c r="CP1594" s="5" t="s">
        <v>260</v>
      </c>
      <c r="CQ1594" s="5" t="s">
        <v>260</v>
      </c>
      <c r="CR1594" s="5" t="s">
        <v>261</v>
      </c>
      <c r="CU1594" s="8">
        <f>1</f>
        <v>1</v>
      </c>
      <c r="CV1594" s="8">
        <f>0</f>
        <v>0</v>
      </c>
      <c r="CX1594" s="8">
        <f>0</f>
        <v>0</v>
      </c>
      <c r="CY1594" s="8">
        <f>1</f>
        <v>1</v>
      </c>
      <c r="DA1594" s="5" t="s">
        <v>673</v>
      </c>
      <c r="DB1594" s="5" t="s">
        <v>238</v>
      </c>
      <c r="DD1594" s="5" t="s">
        <v>673</v>
      </c>
      <c r="DE1594" s="8">
        <f>685</f>
        <v>685</v>
      </c>
      <c r="DG1594" s="5" t="s">
        <v>238</v>
      </c>
      <c r="DH1594" s="5" t="s">
        <v>238</v>
      </c>
      <c r="DI1594" s="5" t="s">
        <v>238</v>
      </c>
      <c r="DJ1594" s="5" t="s">
        <v>238</v>
      </c>
      <c r="DN1594" s="5" t="s">
        <v>238</v>
      </c>
      <c r="DO1594" s="5" t="s">
        <v>238</v>
      </c>
      <c r="DP1594" s="5" t="s">
        <v>238</v>
      </c>
      <c r="DQ1594" s="5" t="s">
        <v>238</v>
      </c>
      <c r="DT1594" s="5" t="s">
        <v>2039</v>
      </c>
      <c r="DU1594" s="5" t="s">
        <v>1303</v>
      </c>
      <c r="HM1594" s="5" t="s">
        <v>264</v>
      </c>
    </row>
    <row r="1595" spans="1:221" x14ac:dyDescent="0.4">
      <c r="A1595" s="5">
        <v>3270</v>
      </c>
      <c r="B1595" s="5">
        <v>1</v>
      </c>
      <c r="C1595" s="5">
        <v>1</v>
      </c>
      <c r="D1595" s="5" t="s">
        <v>2037</v>
      </c>
      <c r="E1595" s="5" t="s">
        <v>271</v>
      </c>
      <c r="F1595" s="5" t="s">
        <v>248</v>
      </c>
      <c r="G1595" s="5" t="s">
        <v>1969</v>
      </c>
      <c r="H1595" s="6" t="s">
        <v>3828</v>
      </c>
      <c r="I1595" s="7">
        <f>271</f>
        <v>271</v>
      </c>
      <c r="J1595" s="5" t="s">
        <v>262</v>
      </c>
      <c r="K1595" s="8">
        <f>1</f>
        <v>1</v>
      </c>
      <c r="L1595" s="6" t="s">
        <v>242</v>
      </c>
      <c r="M1595" s="5" t="s">
        <v>267</v>
      </c>
      <c r="N1595" s="5" t="s">
        <v>265</v>
      </c>
      <c r="O1595" s="5" t="s">
        <v>238</v>
      </c>
      <c r="P1595" s="5" t="s">
        <v>238</v>
      </c>
      <c r="Q1595" s="5" t="s">
        <v>268</v>
      </c>
      <c r="R1595" s="5" t="s">
        <v>270</v>
      </c>
      <c r="S1595" s="5" t="s">
        <v>238</v>
      </c>
      <c r="V1595" s="5" t="s">
        <v>238</v>
      </c>
      <c r="X1595" s="6" t="s">
        <v>238</v>
      </c>
      <c r="AA1595" s="6" t="s">
        <v>243</v>
      </c>
      <c r="AB1595" s="5" t="s">
        <v>238</v>
      </c>
      <c r="AC1595" s="5" t="s">
        <v>244</v>
      </c>
      <c r="AD1595" s="5" t="s">
        <v>245</v>
      </c>
      <c r="AT1595" s="5" t="s">
        <v>246</v>
      </c>
      <c r="AU1595" s="5" t="s">
        <v>238</v>
      </c>
      <c r="AV1595" s="5" t="s">
        <v>247</v>
      </c>
      <c r="AW1595" s="5" t="s">
        <v>238</v>
      </c>
      <c r="AX1595" s="5" t="s">
        <v>249</v>
      </c>
      <c r="AY1595" s="5" t="s">
        <v>238</v>
      </c>
      <c r="BA1595" s="5" t="s">
        <v>238</v>
      </c>
      <c r="BC1595" s="5" t="s">
        <v>250</v>
      </c>
      <c r="BD1595" s="6" t="s">
        <v>243</v>
      </c>
      <c r="BE1595" s="5" t="s">
        <v>251</v>
      </c>
      <c r="BF1595" s="5" t="s">
        <v>252</v>
      </c>
      <c r="BG1595" s="5" t="s">
        <v>238</v>
      </c>
      <c r="BH1595" s="7">
        <f>0</f>
        <v>0</v>
      </c>
      <c r="BI1595" s="8">
        <f>0</f>
        <v>0</v>
      </c>
      <c r="BJ1595" s="5" t="s">
        <v>253</v>
      </c>
      <c r="BK1595" s="5" t="s">
        <v>254</v>
      </c>
      <c r="BY1595" s="5" t="s">
        <v>238</v>
      </c>
      <c r="BZ1595" s="5" t="s">
        <v>238</v>
      </c>
      <c r="CD1595" s="5" t="s">
        <v>273</v>
      </c>
      <c r="CE1595" s="5" t="s">
        <v>256</v>
      </c>
      <c r="CF1595" s="5" t="s">
        <v>238</v>
      </c>
      <c r="CI1595" s="6" t="s">
        <v>257</v>
      </c>
      <c r="CJ1595" s="5" t="s">
        <v>238</v>
      </c>
      <c r="CK1595" s="5" t="s">
        <v>258</v>
      </c>
      <c r="CL1595" s="5" t="s">
        <v>238</v>
      </c>
      <c r="CM1595" s="5" t="s">
        <v>238</v>
      </c>
      <c r="CN1595" s="5">
        <v>0</v>
      </c>
      <c r="CO1595" s="5" t="s">
        <v>259</v>
      </c>
      <c r="CP1595" s="5" t="s">
        <v>260</v>
      </c>
      <c r="CQ1595" s="5" t="s">
        <v>260</v>
      </c>
      <c r="CR1595" s="5" t="s">
        <v>261</v>
      </c>
      <c r="CU1595" s="8">
        <f>1</f>
        <v>1</v>
      </c>
      <c r="CV1595" s="8">
        <f>0</f>
        <v>0</v>
      </c>
      <c r="CX1595" s="8">
        <f>0</f>
        <v>0</v>
      </c>
      <c r="CY1595" s="8">
        <f>1</f>
        <v>1</v>
      </c>
      <c r="DA1595" s="5" t="s">
        <v>673</v>
      </c>
      <c r="DB1595" s="5" t="s">
        <v>238</v>
      </c>
      <c r="DD1595" s="5" t="s">
        <v>673</v>
      </c>
      <c r="DE1595" s="8">
        <f>271</f>
        <v>271</v>
      </c>
      <c r="DG1595" s="5" t="s">
        <v>238</v>
      </c>
      <c r="DH1595" s="5" t="s">
        <v>238</v>
      </c>
      <c r="DI1595" s="5" t="s">
        <v>238</v>
      </c>
      <c r="DJ1595" s="5" t="s">
        <v>238</v>
      </c>
      <c r="DN1595" s="5" t="s">
        <v>238</v>
      </c>
      <c r="DO1595" s="5" t="s">
        <v>238</v>
      </c>
      <c r="DP1595" s="5" t="s">
        <v>238</v>
      </c>
      <c r="DQ1595" s="5" t="s">
        <v>238</v>
      </c>
      <c r="DT1595" s="5" t="s">
        <v>2039</v>
      </c>
      <c r="DU1595" s="5" t="s">
        <v>1297</v>
      </c>
      <c r="HM1595" s="5" t="s">
        <v>264</v>
      </c>
    </row>
    <row r="1596" spans="1:221" x14ac:dyDescent="0.4">
      <c r="A1596" s="5">
        <v>3271</v>
      </c>
      <c r="B1596" s="5">
        <v>1</v>
      </c>
      <c r="C1596" s="5">
        <v>1</v>
      </c>
      <c r="D1596" s="5" t="s">
        <v>2037</v>
      </c>
      <c r="E1596" s="5" t="s">
        <v>271</v>
      </c>
      <c r="F1596" s="5" t="s">
        <v>248</v>
      </c>
      <c r="G1596" s="5" t="s">
        <v>1969</v>
      </c>
      <c r="H1596" s="6" t="s">
        <v>3825</v>
      </c>
      <c r="I1596" s="7">
        <f>100</f>
        <v>100</v>
      </c>
      <c r="J1596" s="5" t="s">
        <v>262</v>
      </c>
      <c r="K1596" s="8">
        <f>1</f>
        <v>1</v>
      </c>
      <c r="L1596" s="6" t="s">
        <v>242</v>
      </c>
      <c r="M1596" s="5" t="s">
        <v>267</v>
      </c>
      <c r="N1596" s="5" t="s">
        <v>265</v>
      </c>
      <c r="O1596" s="5" t="s">
        <v>238</v>
      </c>
      <c r="P1596" s="5" t="s">
        <v>238</v>
      </c>
      <c r="Q1596" s="5" t="s">
        <v>268</v>
      </c>
      <c r="R1596" s="5" t="s">
        <v>270</v>
      </c>
      <c r="S1596" s="5" t="s">
        <v>238</v>
      </c>
      <c r="V1596" s="5" t="s">
        <v>238</v>
      </c>
      <c r="X1596" s="6" t="s">
        <v>238</v>
      </c>
      <c r="AA1596" s="6" t="s">
        <v>243</v>
      </c>
      <c r="AB1596" s="5" t="s">
        <v>238</v>
      </c>
      <c r="AC1596" s="5" t="s">
        <v>244</v>
      </c>
      <c r="AD1596" s="5" t="s">
        <v>245</v>
      </c>
      <c r="AT1596" s="5" t="s">
        <v>246</v>
      </c>
      <c r="AU1596" s="5" t="s">
        <v>238</v>
      </c>
      <c r="AV1596" s="5" t="s">
        <v>247</v>
      </c>
      <c r="AW1596" s="5" t="s">
        <v>238</v>
      </c>
      <c r="AX1596" s="5" t="s">
        <v>249</v>
      </c>
      <c r="AY1596" s="5" t="s">
        <v>238</v>
      </c>
      <c r="BA1596" s="5" t="s">
        <v>238</v>
      </c>
      <c r="BC1596" s="5" t="s">
        <v>250</v>
      </c>
      <c r="BD1596" s="6" t="s">
        <v>243</v>
      </c>
      <c r="BE1596" s="5" t="s">
        <v>251</v>
      </c>
      <c r="BF1596" s="5" t="s">
        <v>252</v>
      </c>
      <c r="BG1596" s="5" t="s">
        <v>238</v>
      </c>
      <c r="BH1596" s="7">
        <f>0</f>
        <v>0</v>
      </c>
      <c r="BI1596" s="8">
        <f>0</f>
        <v>0</v>
      </c>
      <c r="BJ1596" s="5" t="s">
        <v>253</v>
      </c>
      <c r="BK1596" s="5" t="s">
        <v>254</v>
      </c>
      <c r="BY1596" s="5" t="s">
        <v>238</v>
      </c>
      <c r="BZ1596" s="5" t="s">
        <v>238</v>
      </c>
      <c r="CD1596" s="5" t="s">
        <v>273</v>
      </c>
      <c r="CE1596" s="5" t="s">
        <v>256</v>
      </c>
      <c r="CF1596" s="5" t="s">
        <v>238</v>
      </c>
      <c r="CI1596" s="6" t="s">
        <v>257</v>
      </c>
      <c r="CJ1596" s="5" t="s">
        <v>238</v>
      </c>
      <c r="CK1596" s="5" t="s">
        <v>258</v>
      </c>
      <c r="CL1596" s="5" t="s">
        <v>238</v>
      </c>
      <c r="CM1596" s="5" t="s">
        <v>238</v>
      </c>
      <c r="CN1596" s="5">
        <v>0</v>
      </c>
      <c r="CO1596" s="5" t="s">
        <v>259</v>
      </c>
      <c r="CP1596" s="5" t="s">
        <v>260</v>
      </c>
      <c r="CQ1596" s="5" t="s">
        <v>260</v>
      </c>
      <c r="CR1596" s="5" t="s">
        <v>261</v>
      </c>
      <c r="CU1596" s="8">
        <f>1</f>
        <v>1</v>
      </c>
      <c r="CV1596" s="8">
        <f>0</f>
        <v>0</v>
      </c>
      <c r="CX1596" s="8">
        <f>0</f>
        <v>0</v>
      </c>
      <c r="CY1596" s="8">
        <f>1</f>
        <v>1</v>
      </c>
      <c r="DA1596" s="5" t="s">
        <v>673</v>
      </c>
      <c r="DB1596" s="5" t="s">
        <v>238</v>
      </c>
      <c r="DD1596" s="5" t="s">
        <v>673</v>
      </c>
      <c r="DE1596" s="8">
        <f>100</f>
        <v>100</v>
      </c>
      <c r="DG1596" s="5" t="s">
        <v>238</v>
      </c>
      <c r="DH1596" s="5" t="s">
        <v>238</v>
      </c>
      <c r="DI1596" s="5" t="s">
        <v>238</v>
      </c>
      <c r="DJ1596" s="5" t="s">
        <v>238</v>
      </c>
      <c r="DN1596" s="5" t="s">
        <v>238</v>
      </c>
      <c r="DO1596" s="5" t="s">
        <v>238</v>
      </c>
      <c r="DP1596" s="5" t="s">
        <v>238</v>
      </c>
      <c r="DQ1596" s="5" t="s">
        <v>238</v>
      </c>
      <c r="DT1596" s="5" t="s">
        <v>2039</v>
      </c>
      <c r="DU1596" s="5" t="s">
        <v>1287</v>
      </c>
      <c r="HM1596" s="5" t="s">
        <v>264</v>
      </c>
    </row>
    <row r="1597" spans="1:221" x14ac:dyDescent="0.4">
      <c r="A1597" s="5">
        <v>3272</v>
      </c>
      <c r="B1597" s="5">
        <v>1</v>
      </c>
      <c r="C1597" s="5">
        <v>1</v>
      </c>
      <c r="D1597" s="5" t="s">
        <v>2037</v>
      </c>
      <c r="E1597" s="5" t="s">
        <v>271</v>
      </c>
      <c r="F1597" s="5" t="s">
        <v>248</v>
      </c>
      <c r="G1597" s="5" t="s">
        <v>1969</v>
      </c>
      <c r="H1597" s="6" t="s">
        <v>3824</v>
      </c>
      <c r="I1597" s="7">
        <f>110</f>
        <v>110</v>
      </c>
      <c r="J1597" s="5" t="s">
        <v>262</v>
      </c>
      <c r="K1597" s="8">
        <f>1</f>
        <v>1</v>
      </c>
      <c r="L1597" s="6" t="s">
        <v>242</v>
      </c>
      <c r="M1597" s="5" t="s">
        <v>267</v>
      </c>
      <c r="N1597" s="5" t="s">
        <v>265</v>
      </c>
      <c r="O1597" s="5" t="s">
        <v>238</v>
      </c>
      <c r="P1597" s="5" t="s">
        <v>238</v>
      </c>
      <c r="Q1597" s="5" t="s">
        <v>268</v>
      </c>
      <c r="R1597" s="5" t="s">
        <v>270</v>
      </c>
      <c r="S1597" s="5" t="s">
        <v>238</v>
      </c>
      <c r="V1597" s="5" t="s">
        <v>238</v>
      </c>
      <c r="X1597" s="6" t="s">
        <v>238</v>
      </c>
      <c r="AA1597" s="6" t="s">
        <v>243</v>
      </c>
      <c r="AB1597" s="5" t="s">
        <v>238</v>
      </c>
      <c r="AC1597" s="5" t="s">
        <v>244</v>
      </c>
      <c r="AD1597" s="5" t="s">
        <v>245</v>
      </c>
      <c r="AT1597" s="5" t="s">
        <v>246</v>
      </c>
      <c r="AU1597" s="5" t="s">
        <v>238</v>
      </c>
      <c r="AV1597" s="5" t="s">
        <v>247</v>
      </c>
      <c r="AW1597" s="5" t="s">
        <v>238</v>
      </c>
      <c r="AX1597" s="5" t="s">
        <v>249</v>
      </c>
      <c r="AY1597" s="5" t="s">
        <v>238</v>
      </c>
      <c r="BA1597" s="5" t="s">
        <v>238</v>
      </c>
      <c r="BC1597" s="5" t="s">
        <v>250</v>
      </c>
      <c r="BD1597" s="6" t="s">
        <v>243</v>
      </c>
      <c r="BE1597" s="5" t="s">
        <v>251</v>
      </c>
      <c r="BF1597" s="5" t="s">
        <v>252</v>
      </c>
      <c r="BG1597" s="5" t="s">
        <v>238</v>
      </c>
      <c r="BH1597" s="7">
        <f>0</f>
        <v>0</v>
      </c>
      <c r="BI1597" s="8">
        <f>0</f>
        <v>0</v>
      </c>
      <c r="BJ1597" s="5" t="s">
        <v>253</v>
      </c>
      <c r="BK1597" s="5" t="s">
        <v>254</v>
      </c>
      <c r="BY1597" s="5" t="s">
        <v>238</v>
      </c>
      <c r="BZ1597" s="5" t="s">
        <v>238</v>
      </c>
      <c r="CD1597" s="5" t="s">
        <v>273</v>
      </c>
      <c r="CE1597" s="5" t="s">
        <v>256</v>
      </c>
      <c r="CF1597" s="5" t="s">
        <v>238</v>
      </c>
      <c r="CI1597" s="6" t="s">
        <v>257</v>
      </c>
      <c r="CJ1597" s="5" t="s">
        <v>238</v>
      </c>
      <c r="CK1597" s="5" t="s">
        <v>258</v>
      </c>
      <c r="CL1597" s="5" t="s">
        <v>238</v>
      </c>
      <c r="CM1597" s="5" t="s">
        <v>238</v>
      </c>
      <c r="CN1597" s="5">
        <v>0</v>
      </c>
      <c r="CO1597" s="5" t="s">
        <v>259</v>
      </c>
      <c r="CP1597" s="5" t="s">
        <v>260</v>
      </c>
      <c r="CQ1597" s="5" t="s">
        <v>260</v>
      </c>
      <c r="CR1597" s="5" t="s">
        <v>261</v>
      </c>
      <c r="CU1597" s="8">
        <f>1</f>
        <v>1</v>
      </c>
      <c r="CV1597" s="8">
        <f>0</f>
        <v>0</v>
      </c>
      <c r="CX1597" s="8">
        <f>0</f>
        <v>0</v>
      </c>
      <c r="CY1597" s="8">
        <f>1</f>
        <v>1</v>
      </c>
      <c r="DA1597" s="5" t="s">
        <v>673</v>
      </c>
      <c r="DB1597" s="5" t="s">
        <v>238</v>
      </c>
      <c r="DD1597" s="5" t="s">
        <v>673</v>
      </c>
      <c r="DE1597" s="8">
        <f>110</f>
        <v>110</v>
      </c>
      <c r="DG1597" s="5" t="s">
        <v>238</v>
      </c>
      <c r="DH1597" s="5" t="s">
        <v>238</v>
      </c>
      <c r="DI1597" s="5" t="s">
        <v>238</v>
      </c>
      <c r="DJ1597" s="5" t="s">
        <v>238</v>
      </c>
      <c r="DN1597" s="5" t="s">
        <v>238</v>
      </c>
      <c r="DO1597" s="5" t="s">
        <v>238</v>
      </c>
      <c r="DP1597" s="5" t="s">
        <v>238</v>
      </c>
      <c r="DQ1597" s="5" t="s">
        <v>238</v>
      </c>
      <c r="DT1597" s="5" t="s">
        <v>2039</v>
      </c>
      <c r="DU1597" s="5" t="s">
        <v>1282</v>
      </c>
      <c r="HM1597" s="5" t="s">
        <v>264</v>
      </c>
    </row>
    <row r="1598" spans="1:221" x14ac:dyDescent="0.4">
      <c r="A1598" s="5">
        <v>3273</v>
      </c>
      <c r="B1598" s="5">
        <v>1</v>
      </c>
      <c r="C1598" s="5">
        <v>1</v>
      </c>
      <c r="D1598" s="5" t="s">
        <v>2037</v>
      </c>
      <c r="E1598" s="5" t="s">
        <v>271</v>
      </c>
      <c r="F1598" s="5" t="s">
        <v>248</v>
      </c>
      <c r="G1598" s="5" t="s">
        <v>1969</v>
      </c>
      <c r="H1598" s="6" t="s">
        <v>3823</v>
      </c>
      <c r="I1598" s="7">
        <f>1730</f>
        <v>1730</v>
      </c>
      <c r="J1598" s="5" t="s">
        <v>262</v>
      </c>
      <c r="K1598" s="8">
        <f>1</f>
        <v>1</v>
      </c>
      <c r="L1598" s="6" t="s">
        <v>242</v>
      </c>
      <c r="M1598" s="5" t="s">
        <v>267</v>
      </c>
      <c r="N1598" s="5" t="s">
        <v>265</v>
      </c>
      <c r="O1598" s="5" t="s">
        <v>238</v>
      </c>
      <c r="P1598" s="5" t="s">
        <v>238</v>
      </c>
      <c r="Q1598" s="5" t="s">
        <v>268</v>
      </c>
      <c r="R1598" s="5" t="s">
        <v>270</v>
      </c>
      <c r="S1598" s="5" t="s">
        <v>238</v>
      </c>
      <c r="V1598" s="5" t="s">
        <v>238</v>
      </c>
      <c r="X1598" s="6" t="s">
        <v>238</v>
      </c>
      <c r="AA1598" s="6" t="s">
        <v>243</v>
      </c>
      <c r="AB1598" s="5" t="s">
        <v>238</v>
      </c>
      <c r="AC1598" s="5" t="s">
        <v>244</v>
      </c>
      <c r="AD1598" s="5" t="s">
        <v>245</v>
      </c>
      <c r="AT1598" s="5" t="s">
        <v>246</v>
      </c>
      <c r="AU1598" s="5" t="s">
        <v>238</v>
      </c>
      <c r="AV1598" s="5" t="s">
        <v>247</v>
      </c>
      <c r="AW1598" s="5" t="s">
        <v>238</v>
      </c>
      <c r="AX1598" s="5" t="s">
        <v>249</v>
      </c>
      <c r="AY1598" s="5" t="s">
        <v>238</v>
      </c>
      <c r="BA1598" s="5" t="s">
        <v>238</v>
      </c>
      <c r="BC1598" s="5" t="s">
        <v>250</v>
      </c>
      <c r="BD1598" s="6" t="s">
        <v>243</v>
      </c>
      <c r="BE1598" s="5" t="s">
        <v>251</v>
      </c>
      <c r="BF1598" s="5" t="s">
        <v>252</v>
      </c>
      <c r="BG1598" s="5" t="s">
        <v>238</v>
      </c>
      <c r="BH1598" s="7">
        <f>0</f>
        <v>0</v>
      </c>
      <c r="BI1598" s="8">
        <f>0</f>
        <v>0</v>
      </c>
      <c r="BJ1598" s="5" t="s">
        <v>253</v>
      </c>
      <c r="BK1598" s="5" t="s">
        <v>254</v>
      </c>
      <c r="BY1598" s="5" t="s">
        <v>238</v>
      </c>
      <c r="BZ1598" s="5" t="s">
        <v>238</v>
      </c>
      <c r="CD1598" s="5" t="s">
        <v>273</v>
      </c>
      <c r="CE1598" s="5" t="s">
        <v>256</v>
      </c>
      <c r="CF1598" s="5" t="s">
        <v>238</v>
      </c>
      <c r="CI1598" s="6" t="s">
        <v>257</v>
      </c>
      <c r="CJ1598" s="5" t="s">
        <v>238</v>
      </c>
      <c r="CK1598" s="5" t="s">
        <v>258</v>
      </c>
      <c r="CL1598" s="5" t="s">
        <v>238</v>
      </c>
      <c r="CM1598" s="5" t="s">
        <v>238</v>
      </c>
      <c r="CN1598" s="5">
        <v>0</v>
      </c>
      <c r="CO1598" s="5" t="s">
        <v>259</v>
      </c>
      <c r="CP1598" s="5" t="s">
        <v>260</v>
      </c>
      <c r="CQ1598" s="5" t="s">
        <v>260</v>
      </c>
      <c r="CR1598" s="5" t="s">
        <v>261</v>
      </c>
      <c r="CU1598" s="8">
        <f>1</f>
        <v>1</v>
      </c>
      <c r="CV1598" s="8">
        <f>0</f>
        <v>0</v>
      </c>
      <c r="CX1598" s="8">
        <f>0</f>
        <v>0</v>
      </c>
      <c r="CY1598" s="8">
        <f>1</f>
        <v>1</v>
      </c>
      <c r="DA1598" s="5" t="s">
        <v>673</v>
      </c>
      <c r="DB1598" s="5" t="s">
        <v>238</v>
      </c>
      <c r="DD1598" s="5" t="s">
        <v>673</v>
      </c>
      <c r="DE1598" s="8">
        <f>1730</f>
        <v>1730</v>
      </c>
      <c r="DG1598" s="5" t="s">
        <v>238</v>
      </c>
      <c r="DH1598" s="5" t="s">
        <v>238</v>
      </c>
      <c r="DI1598" s="5" t="s">
        <v>238</v>
      </c>
      <c r="DJ1598" s="5" t="s">
        <v>238</v>
      </c>
      <c r="DN1598" s="5" t="s">
        <v>238</v>
      </c>
      <c r="DO1598" s="5" t="s">
        <v>238</v>
      </c>
      <c r="DP1598" s="5" t="s">
        <v>238</v>
      </c>
      <c r="DQ1598" s="5" t="s">
        <v>238</v>
      </c>
      <c r="DT1598" s="5" t="s">
        <v>2039</v>
      </c>
      <c r="DU1598" s="5" t="s">
        <v>1278</v>
      </c>
      <c r="HM1598" s="5" t="s">
        <v>264</v>
      </c>
    </row>
    <row r="1599" spans="1:221" x14ac:dyDescent="0.4">
      <c r="A1599" s="5">
        <v>3274</v>
      </c>
      <c r="B1599" s="5">
        <v>1</v>
      </c>
      <c r="C1599" s="5">
        <v>1</v>
      </c>
      <c r="D1599" s="5" t="s">
        <v>2037</v>
      </c>
      <c r="E1599" s="5" t="s">
        <v>271</v>
      </c>
      <c r="F1599" s="5" t="s">
        <v>248</v>
      </c>
      <c r="G1599" s="5" t="s">
        <v>1969</v>
      </c>
      <c r="H1599" s="6" t="s">
        <v>3822</v>
      </c>
      <c r="I1599" s="7">
        <f>222</f>
        <v>222</v>
      </c>
      <c r="J1599" s="5" t="s">
        <v>262</v>
      </c>
      <c r="K1599" s="8">
        <f>1</f>
        <v>1</v>
      </c>
      <c r="L1599" s="6" t="s">
        <v>242</v>
      </c>
      <c r="M1599" s="5" t="s">
        <v>267</v>
      </c>
      <c r="N1599" s="5" t="s">
        <v>265</v>
      </c>
      <c r="O1599" s="5" t="s">
        <v>238</v>
      </c>
      <c r="P1599" s="5" t="s">
        <v>238</v>
      </c>
      <c r="Q1599" s="5" t="s">
        <v>268</v>
      </c>
      <c r="R1599" s="5" t="s">
        <v>270</v>
      </c>
      <c r="S1599" s="5" t="s">
        <v>238</v>
      </c>
      <c r="V1599" s="5" t="s">
        <v>238</v>
      </c>
      <c r="X1599" s="6" t="s">
        <v>238</v>
      </c>
      <c r="AA1599" s="6" t="s">
        <v>243</v>
      </c>
      <c r="AB1599" s="5" t="s">
        <v>238</v>
      </c>
      <c r="AC1599" s="5" t="s">
        <v>244</v>
      </c>
      <c r="AD1599" s="5" t="s">
        <v>245</v>
      </c>
      <c r="AT1599" s="5" t="s">
        <v>246</v>
      </c>
      <c r="AU1599" s="5" t="s">
        <v>238</v>
      </c>
      <c r="AV1599" s="5" t="s">
        <v>247</v>
      </c>
      <c r="AW1599" s="5" t="s">
        <v>238</v>
      </c>
      <c r="AX1599" s="5" t="s">
        <v>249</v>
      </c>
      <c r="AY1599" s="5" t="s">
        <v>238</v>
      </c>
      <c r="BA1599" s="5" t="s">
        <v>238</v>
      </c>
      <c r="BC1599" s="5" t="s">
        <v>250</v>
      </c>
      <c r="BD1599" s="6" t="s">
        <v>243</v>
      </c>
      <c r="BE1599" s="5" t="s">
        <v>251</v>
      </c>
      <c r="BF1599" s="5" t="s">
        <v>252</v>
      </c>
      <c r="BG1599" s="5" t="s">
        <v>238</v>
      </c>
      <c r="BH1599" s="7">
        <f>0</f>
        <v>0</v>
      </c>
      <c r="BI1599" s="8">
        <f>0</f>
        <v>0</v>
      </c>
      <c r="BJ1599" s="5" t="s">
        <v>253</v>
      </c>
      <c r="BK1599" s="5" t="s">
        <v>254</v>
      </c>
      <c r="BY1599" s="5" t="s">
        <v>238</v>
      </c>
      <c r="BZ1599" s="5" t="s">
        <v>238</v>
      </c>
      <c r="CD1599" s="5" t="s">
        <v>273</v>
      </c>
      <c r="CE1599" s="5" t="s">
        <v>256</v>
      </c>
      <c r="CF1599" s="5" t="s">
        <v>238</v>
      </c>
      <c r="CI1599" s="6" t="s">
        <v>257</v>
      </c>
      <c r="CJ1599" s="5" t="s">
        <v>238</v>
      </c>
      <c r="CK1599" s="5" t="s">
        <v>258</v>
      </c>
      <c r="CL1599" s="5" t="s">
        <v>238</v>
      </c>
      <c r="CM1599" s="5" t="s">
        <v>238</v>
      </c>
      <c r="CN1599" s="5">
        <v>0</v>
      </c>
      <c r="CO1599" s="5" t="s">
        <v>259</v>
      </c>
      <c r="CP1599" s="5" t="s">
        <v>260</v>
      </c>
      <c r="CQ1599" s="5" t="s">
        <v>260</v>
      </c>
      <c r="CR1599" s="5" t="s">
        <v>261</v>
      </c>
      <c r="CU1599" s="8">
        <f>1</f>
        <v>1</v>
      </c>
      <c r="CV1599" s="8">
        <f>0</f>
        <v>0</v>
      </c>
      <c r="CX1599" s="8">
        <f>0</f>
        <v>0</v>
      </c>
      <c r="CY1599" s="8">
        <f>1</f>
        <v>1</v>
      </c>
      <c r="DA1599" s="5" t="s">
        <v>673</v>
      </c>
      <c r="DB1599" s="5" t="s">
        <v>238</v>
      </c>
      <c r="DD1599" s="5" t="s">
        <v>673</v>
      </c>
      <c r="DE1599" s="8">
        <f>222</f>
        <v>222</v>
      </c>
      <c r="DG1599" s="5" t="s">
        <v>238</v>
      </c>
      <c r="DH1599" s="5" t="s">
        <v>238</v>
      </c>
      <c r="DI1599" s="5" t="s">
        <v>238</v>
      </c>
      <c r="DJ1599" s="5" t="s">
        <v>238</v>
      </c>
      <c r="DN1599" s="5" t="s">
        <v>238</v>
      </c>
      <c r="DO1599" s="5" t="s">
        <v>238</v>
      </c>
      <c r="DP1599" s="5" t="s">
        <v>238</v>
      </c>
      <c r="DQ1599" s="5" t="s">
        <v>238</v>
      </c>
      <c r="DT1599" s="5" t="s">
        <v>2039</v>
      </c>
      <c r="DU1599" s="5" t="s">
        <v>1266</v>
      </c>
      <c r="HM1599" s="5" t="s">
        <v>264</v>
      </c>
    </row>
    <row r="1600" spans="1:221" x14ac:dyDescent="0.4">
      <c r="A1600" s="5">
        <v>3275</v>
      </c>
      <c r="B1600" s="5">
        <v>1</v>
      </c>
      <c r="C1600" s="5">
        <v>1</v>
      </c>
      <c r="D1600" s="5" t="s">
        <v>2037</v>
      </c>
      <c r="E1600" s="5" t="s">
        <v>271</v>
      </c>
      <c r="F1600" s="5" t="s">
        <v>248</v>
      </c>
      <c r="G1600" s="5" t="s">
        <v>1969</v>
      </c>
      <c r="H1600" s="6" t="s">
        <v>3821</v>
      </c>
      <c r="I1600" s="7">
        <f>2015</f>
        <v>2015</v>
      </c>
      <c r="J1600" s="5" t="s">
        <v>262</v>
      </c>
      <c r="K1600" s="8">
        <f>1</f>
        <v>1</v>
      </c>
      <c r="L1600" s="6" t="s">
        <v>242</v>
      </c>
      <c r="M1600" s="5" t="s">
        <v>267</v>
      </c>
      <c r="N1600" s="5" t="s">
        <v>265</v>
      </c>
      <c r="O1600" s="5" t="s">
        <v>238</v>
      </c>
      <c r="P1600" s="5" t="s">
        <v>238</v>
      </c>
      <c r="Q1600" s="5" t="s">
        <v>268</v>
      </c>
      <c r="R1600" s="5" t="s">
        <v>270</v>
      </c>
      <c r="S1600" s="5" t="s">
        <v>238</v>
      </c>
      <c r="V1600" s="5" t="s">
        <v>238</v>
      </c>
      <c r="X1600" s="6" t="s">
        <v>238</v>
      </c>
      <c r="AA1600" s="6" t="s">
        <v>243</v>
      </c>
      <c r="AB1600" s="5" t="s">
        <v>238</v>
      </c>
      <c r="AC1600" s="5" t="s">
        <v>244</v>
      </c>
      <c r="AD1600" s="5" t="s">
        <v>245</v>
      </c>
      <c r="AT1600" s="5" t="s">
        <v>246</v>
      </c>
      <c r="AU1600" s="5" t="s">
        <v>238</v>
      </c>
      <c r="AV1600" s="5" t="s">
        <v>247</v>
      </c>
      <c r="AW1600" s="5" t="s">
        <v>238</v>
      </c>
      <c r="AX1600" s="5" t="s">
        <v>249</v>
      </c>
      <c r="AY1600" s="5" t="s">
        <v>238</v>
      </c>
      <c r="BA1600" s="5" t="s">
        <v>238</v>
      </c>
      <c r="BC1600" s="5" t="s">
        <v>250</v>
      </c>
      <c r="BD1600" s="6" t="s">
        <v>243</v>
      </c>
      <c r="BE1600" s="5" t="s">
        <v>251</v>
      </c>
      <c r="BF1600" s="5" t="s">
        <v>252</v>
      </c>
      <c r="BG1600" s="5" t="s">
        <v>238</v>
      </c>
      <c r="BH1600" s="7">
        <f>0</f>
        <v>0</v>
      </c>
      <c r="BI1600" s="8">
        <f>0</f>
        <v>0</v>
      </c>
      <c r="BJ1600" s="5" t="s">
        <v>253</v>
      </c>
      <c r="BK1600" s="5" t="s">
        <v>254</v>
      </c>
      <c r="BY1600" s="5" t="s">
        <v>238</v>
      </c>
      <c r="BZ1600" s="5" t="s">
        <v>238</v>
      </c>
      <c r="CD1600" s="5" t="s">
        <v>273</v>
      </c>
      <c r="CE1600" s="5" t="s">
        <v>256</v>
      </c>
      <c r="CF1600" s="5" t="s">
        <v>238</v>
      </c>
      <c r="CI1600" s="6" t="s">
        <v>257</v>
      </c>
      <c r="CJ1600" s="5" t="s">
        <v>238</v>
      </c>
      <c r="CK1600" s="5" t="s">
        <v>258</v>
      </c>
      <c r="CL1600" s="5" t="s">
        <v>238</v>
      </c>
      <c r="CM1600" s="5" t="s">
        <v>238</v>
      </c>
      <c r="CN1600" s="5">
        <v>0</v>
      </c>
      <c r="CO1600" s="5" t="s">
        <v>259</v>
      </c>
      <c r="CP1600" s="5" t="s">
        <v>260</v>
      </c>
      <c r="CQ1600" s="5" t="s">
        <v>260</v>
      </c>
      <c r="CR1600" s="5" t="s">
        <v>261</v>
      </c>
      <c r="CU1600" s="8">
        <f>1</f>
        <v>1</v>
      </c>
      <c r="CV1600" s="8">
        <f>0</f>
        <v>0</v>
      </c>
      <c r="CX1600" s="8">
        <f>0</f>
        <v>0</v>
      </c>
      <c r="CY1600" s="8">
        <f>1</f>
        <v>1</v>
      </c>
      <c r="DA1600" s="5" t="s">
        <v>673</v>
      </c>
      <c r="DB1600" s="5" t="s">
        <v>238</v>
      </c>
      <c r="DD1600" s="5" t="s">
        <v>673</v>
      </c>
      <c r="DE1600" s="8">
        <f>2015</f>
        <v>2015</v>
      </c>
      <c r="DG1600" s="5" t="s">
        <v>238</v>
      </c>
      <c r="DH1600" s="5" t="s">
        <v>238</v>
      </c>
      <c r="DI1600" s="5" t="s">
        <v>238</v>
      </c>
      <c r="DJ1600" s="5" t="s">
        <v>238</v>
      </c>
      <c r="DN1600" s="5" t="s">
        <v>238</v>
      </c>
      <c r="DO1600" s="5" t="s">
        <v>238</v>
      </c>
      <c r="DP1600" s="5" t="s">
        <v>238</v>
      </c>
      <c r="DQ1600" s="5" t="s">
        <v>238</v>
      </c>
      <c r="DT1600" s="5" t="s">
        <v>2039</v>
      </c>
      <c r="DU1600" s="5" t="s">
        <v>1264</v>
      </c>
      <c r="HM1600" s="5" t="s">
        <v>264</v>
      </c>
    </row>
    <row r="1601" spans="1:221" x14ac:dyDescent="0.4">
      <c r="A1601" s="5">
        <v>3276</v>
      </c>
      <c r="B1601" s="5">
        <v>1</v>
      </c>
      <c r="C1601" s="5">
        <v>1</v>
      </c>
      <c r="D1601" s="5" t="s">
        <v>2037</v>
      </c>
      <c r="E1601" s="5" t="s">
        <v>271</v>
      </c>
      <c r="F1601" s="5" t="s">
        <v>248</v>
      </c>
      <c r="G1601" s="5" t="s">
        <v>1969</v>
      </c>
      <c r="H1601" s="6" t="s">
        <v>3818</v>
      </c>
      <c r="I1601" s="7">
        <f>1768</f>
        <v>1768</v>
      </c>
      <c r="J1601" s="5" t="s">
        <v>262</v>
      </c>
      <c r="K1601" s="8">
        <f>1</f>
        <v>1</v>
      </c>
      <c r="L1601" s="6" t="s">
        <v>242</v>
      </c>
      <c r="M1601" s="5" t="s">
        <v>267</v>
      </c>
      <c r="N1601" s="5" t="s">
        <v>265</v>
      </c>
      <c r="O1601" s="5" t="s">
        <v>238</v>
      </c>
      <c r="P1601" s="5" t="s">
        <v>238</v>
      </c>
      <c r="Q1601" s="5" t="s">
        <v>268</v>
      </c>
      <c r="R1601" s="5" t="s">
        <v>270</v>
      </c>
      <c r="S1601" s="5" t="s">
        <v>238</v>
      </c>
      <c r="V1601" s="5" t="s">
        <v>238</v>
      </c>
      <c r="X1601" s="6" t="s">
        <v>238</v>
      </c>
      <c r="AA1601" s="6" t="s">
        <v>243</v>
      </c>
      <c r="AB1601" s="5" t="s">
        <v>238</v>
      </c>
      <c r="AC1601" s="5" t="s">
        <v>244</v>
      </c>
      <c r="AD1601" s="5" t="s">
        <v>245</v>
      </c>
      <c r="AT1601" s="5" t="s">
        <v>246</v>
      </c>
      <c r="AU1601" s="5" t="s">
        <v>238</v>
      </c>
      <c r="AV1601" s="5" t="s">
        <v>247</v>
      </c>
      <c r="AW1601" s="5" t="s">
        <v>238</v>
      </c>
      <c r="AX1601" s="5" t="s">
        <v>249</v>
      </c>
      <c r="AY1601" s="5" t="s">
        <v>238</v>
      </c>
      <c r="BA1601" s="5" t="s">
        <v>238</v>
      </c>
      <c r="BC1601" s="5" t="s">
        <v>250</v>
      </c>
      <c r="BD1601" s="6" t="s">
        <v>243</v>
      </c>
      <c r="BE1601" s="5" t="s">
        <v>251</v>
      </c>
      <c r="BF1601" s="5" t="s">
        <v>252</v>
      </c>
      <c r="BG1601" s="5" t="s">
        <v>238</v>
      </c>
      <c r="BH1601" s="7">
        <f>0</f>
        <v>0</v>
      </c>
      <c r="BI1601" s="8">
        <f>0</f>
        <v>0</v>
      </c>
      <c r="BJ1601" s="5" t="s">
        <v>253</v>
      </c>
      <c r="BK1601" s="5" t="s">
        <v>254</v>
      </c>
      <c r="BY1601" s="5" t="s">
        <v>238</v>
      </c>
      <c r="BZ1601" s="5" t="s">
        <v>238</v>
      </c>
      <c r="CD1601" s="5" t="s">
        <v>273</v>
      </c>
      <c r="CE1601" s="5" t="s">
        <v>256</v>
      </c>
      <c r="CF1601" s="5" t="s">
        <v>238</v>
      </c>
      <c r="CI1601" s="6" t="s">
        <v>257</v>
      </c>
      <c r="CJ1601" s="5" t="s">
        <v>238</v>
      </c>
      <c r="CK1601" s="5" t="s">
        <v>258</v>
      </c>
      <c r="CL1601" s="5" t="s">
        <v>238</v>
      </c>
      <c r="CM1601" s="5" t="s">
        <v>238</v>
      </c>
      <c r="CN1601" s="5">
        <v>0</v>
      </c>
      <c r="CO1601" s="5" t="s">
        <v>259</v>
      </c>
      <c r="CP1601" s="5" t="s">
        <v>260</v>
      </c>
      <c r="CQ1601" s="5" t="s">
        <v>260</v>
      </c>
      <c r="CR1601" s="5" t="s">
        <v>261</v>
      </c>
      <c r="CU1601" s="8">
        <f>1</f>
        <v>1</v>
      </c>
      <c r="CV1601" s="8">
        <f>0</f>
        <v>0</v>
      </c>
      <c r="CX1601" s="8">
        <f>0</f>
        <v>0</v>
      </c>
      <c r="CY1601" s="8">
        <f>1</f>
        <v>1</v>
      </c>
      <c r="DA1601" s="5" t="s">
        <v>673</v>
      </c>
      <c r="DB1601" s="5" t="s">
        <v>238</v>
      </c>
      <c r="DD1601" s="5" t="s">
        <v>673</v>
      </c>
      <c r="DE1601" s="8">
        <f>1768</f>
        <v>1768</v>
      </c>
      <c r="DG1601" s="5" t="s">
        <v>238</v>
      </c>
      <c r="DH1601" s="5" t="s">
        <v>238</v>
      </c>
      <c r="DI1601" s="5" t="s">
        <v>238</v>
      </c>
      <c r="DJ1601" s="5" t="s">
        <v>238</v>
      </c>
      <c r="DN1601" s="5" t="s">
        <v>238</v>
      </c>
      <c r="DO1601" s="5" t="s">
        <v>238</v>
      </c>
      <c r="DP1601" s="5" t="s">
        <v>238</v>
      </c>
      <c r="DQ1601" s="5" t="s">
        <v>238</v>
      </c>
      <c r="DT1601" s="5" t="s">
        <v>2039</v>
      </c>
      <c r="DU1601" s="5" t="s">
        <v>1250</v>
      </c>
      <c r="HM1601" s="5" t="s">
        <v>264</v>
      </c>
    </row>
    <row r="1602" spans="1:221" x14ac:dyDescent="0.4">
      <c r="A1602" s="5">
        <v>3277</v>
      </c>
      <c r="B1602" s="5">
        <v>1</v>
      </c>
      <c r="C1602" s="5">
        <v>1</v>
      </c>
      <c r="D1602" s="5" t="s">
        <v>2037</v>
      </c>
      <c r="E1602" s="5" t="s">
        <v>271</v>
      </c>
      <c r="F1602" s="5" t="s">
        <v>248</v>
      </c>
      <c r="G1602" s="5" t="s">
        <v>1969</v>
      </c>
      <c r="H1602" s="6" t="s">
        <v>3815</v>
      </c>
      <c r="I1602" s="7">
        <f>121</f>
        <v>121</v>
      </c>
      <c r="J1602" s="5" t="s">
        <v>262</v>
      </c>
      <c r="K1602" s="8">
        <f>1</f>
        <v>1</v>
      </c>
      <c r="L1602" s="6" t="s">
        <v>242</v>
      </c>
      <c r="M1602" s="5" t="s">
        <v>267</v>
      </c>
      <c r="N1602" s="5" t="s">
        <v>265</v>
      </c>
      <c r="O1602" s="5" t="s">
        <v>238</v>
      </c>
      <c r="P1602" s="5" t="s">
        <v>238</v>
      </c>
      <c r="Q1602" s="5" t="s">
        <v>268</v>
      </c>
      <c r="R1602" s="5" t="s">
        <v>270</v>
      </c>
      <c r="S1602" s="5" t="s">
        <v>238</v>
      </c>
      <c r="V1602" s="5" t="s">
        <v>238</v>
      </c>
      <c r="X1602" s="6" t="s">
        <v>238</v>
      </c>
      <c r="AA1602" s="6" t="s">
        <v>243</v>
      </c>
      <c r="AB1602" s="5" t="s">
        <v>238</v>
      </c>
      <c r="AC1602" s="5" t="s">
        <v>244</v>
      </c>
      <c r="AD1602" s="5" t="s">
        <v>245</v>
      </c>
      <c r="AT1602" s="5" t="s">
        <v>246</v>
      </c>
      <c r="AU1602" s="5" t="s">
        <v>238</v>
      </c>
      <c r="AV1602" s="5" t="s">
        <v>247</v>
      </c>
      <c r="AW1602" s="5" t="s">
        <v>238</v>
      </c>
      <c r="AX1602" s="5" t="s">
        <v>249</v>
      </c>
      <c r="AY1602" s="5" t="s">
        <v>238</v>
      </c>
      <c r="BA1602" s="5" t="s">
        <v>238</v>
      </c>
      <c r="BC1602" s="5" t="s">
        <v>250</v>
      </c>
      <c r="BD1602" s="6" t="s">
        <v>243</v>
      </c>
      <c r="BE1602" s="5" t="s">
        <v>251</v>
      </c>
      <c r="BF1602" s="5" t="s">
        <v>252</v>
      </c>
      <c r="BG1602" s="5" t="s">
        <v>238</v>
      </c>
      <c r="BH1602" s="7">
        <f>0</f>
        <v>0</v>
      </c>
      <c r="BI1602" s="8">
        <f>0</f>
        <v>0</v>
      </c>
      <c r="BJ1602" s="5" t="s">
        <v>253</v>
      </c>
      <c r="BK1602" s="5" t="s">
        <v>254</v>
      </c>
      <c r="BY1602" s="5" t="s">
        <v>238</v>
      </c>
      <c r="BZ1602" s="5" t="s">
        <v>238</v>
      </c>
      <c r="CD1602" s="5" t="s">
        <v>273</v>
      </c>
      <c r="CE1602" s="5" t="s">
        <v>256</v>
      </c>
      <c r="CF1602" s="5" t="s">
        <v>238</v>
      </c>
      <c r="CI1602" s="6" t="s">
        <v>257</v>
      </c>
      <c r="CJ1602" s="5" t="s">
        <v>238</v>
      </c>
      <c r="CK1602" s="5" t="s">
        <v>258</v>
      </c>
      <c r="CL1602" s="5" t="s">
        <v>238</v>
      </c>
      <c r="CM1602" s="5" t="s">
        <v>238</v>
      </c>
      <c r="CN1602" s="5">
        <v>0</v>
      </c>
      <c r="CO1602" s="5" t="s">
        <v>259</v>
      </c>
      <c r="CP1602" s="5" t="s">
        <v>260</v>
      </c>
      <c r="CQ1602" s="5" t="s">
        <v>260</v>
      </c>
      <c r="CR1602" s="5" t="s">
        <v>261</v>
      </c>
      <c r="CU1602" s="8">
        <f>1</f>
        <v>1</v>
      </c>
      <c r="CV1602" s="8">
        <f>0</f>
        <v>0</v>
      </c>
      <c r="CX1602" s="8">
        <f>0</f>
        <v>0</v>
      </c>
      <c r="CY1602" s="8">
        <f>1</f>
        <v>1</v>
      </c>
      <c r="DA1602" s="5" t="s">
        <v>673</v>
      </c>
      <c r="DB1602" s="5" t="s">
        <v>238</v>
      </c>
      <c r="DD1602" s="5" t="s">
        <v>673</v>
      </c>
      <c r="DE1602" s="8">
        <f>121</f>
        <v>121</v>
      </c>
      <c r="DG1602" s="5" t="s">
        <v>238</v>
      </c>
      <c r="DH1602" s="5" t="s">
        <v>238</v>
      </c>
      <c r="DI1602" s="5" t="s">
        <v>238</v>
      </c>
      <c r="DJ1602" s="5" t="s">
        <v>238</v>
      </c>
      <c r="DN1602" s="5" t="s">
        <v>238</v>
      </c>
      <c r="DO1602" s="5" t="s">
        <v>238</v>
      </c>
      <c r="DP1602" s="5" t="s">
        <v>238</v>
      </c>
      <c r="DQ1602" s="5" t="s">
        <v>238</v>
      </c>
      <c r="DT1602" s="5" t="s">
        <v>2039</v>
      </c>
      <c r="DU1602" s="5" t="s">
        <v>1243</v>
      </c>
      <c r="HM1602" s="5" t="s">
        <v>264</v>
      </c>
    </row>
    <row r="1603" spans="1:221" x14ac:dyDescent="0.4">
      <c r="A1603" s="5">
        <v>3278</v>
      </c>
      <c r="B1603" s="5">
        <v>1</v>
      </c>
      <c r="C1603" s="5">
        <v>1</v>
      </c>
      <c r="D1603" s="5" t="s">
        <v>2037</v>
      </c>
      <c r="E1603" s="5" t="s">
        <v>271</v>
      </c>
      <c r="F1603" s="5" t="s">
        <v>248</v>
      </c>
      <c r="G1603" s="5" t="s">
        <v>1969</v>
      </c>
      <c r="H1603" s="6" t="s">
        <v>3814</v>
      </c>
      <c r="I1603" s="7">
        <f>1924</f>
        <v>1924</v>
      </c>
      <c r="J1603" s="5" t="s">
        <v>262</v>
      </c>
      <c r="K1603" s="8">
        <f>1</f>
        <v>1</v>
      </c>
      <c r="L1603" s="6" t="s">
        <v>242</v>
      </c>
      <c r="M1603" s="5" t="s">
        <v>267</v>
      </c>
      <c r="N1603" s="5" t="s">
        <v>265</v>
      </c>
      <c r="O1603" s="5" t="s">
        <v>238</v>
      </c>
      <c r="P1603" s="5" t="s">
        <v>238</v>
      </c>
      <c r="Q1603" s="5" t="s">
        <v>268</v>
      </c>
      <c r="R1603" s="5" t="s">
        <v>270</v>
      </c>
      <c r="S1603" s="5" t="s">
        <v>238</v>
      </c>
      <c r="V1603" s="5" t="s">
        <v>238</v>
      </c>
      <c r="X1603" s="6" t="s">
        <v>238</v>
      </c>
      <c r="AA1603" s="6" t="s">
        <v>243</v>
      </c>
      <c r="AB1603" s="5" t="s">
        <v>238</v>
      </c>
      <c r="AC1603" s="5" t="s">
        <v>244</v>
      </c>
      <c r="AD1603" s="5" t="s">
        <v>245</v>
      </c>
      <c r="AT1603" s="5" t="s">
        <v>246</v>
      </c>
      <c r="AU1603" s="5" t="s">
        <v>238</v>
      </c>
      <c r="AV1603" s="5" t="s">
        <v>247</v>
      </c>
      <c r="AW1603" s="5" t="s">
        <v>238</v>
      </c>
      <c r="AX1603" s="5" t="s">
        <v>249</v>
      </c>
      <c r="AY1603" s="5" t="s">
        <v>238</v>
      </c>
      <c r="BA1603" s="5" t="s">
        <v>238</v>
      </c>
      <c r="BC1603" s="5" t="s">
        <v>250</v>
      </c>
      <c r="BD1603" s="6" t="s">
        <v>243</v>
      </c>
      <c r="BE1603" s="5" t="s">
        <v>251</v>
      </c>
      <c r="BF1603" s="5" t="s">
        <v>252</v>
      </c>
      <c r="BG1603" s="5" t="s">
        <v>238</v>
      </c>
      <c r="BH1603" s="7">
        <f>0</f>
        <v>0</v>
      </c>
      <c r="BI1603" s="8">
        <f>0</f>
        <v>0</v>
      </c>
      <c r="BJ1603" s="5" t="s">
        <v>253</v>
      </c>
      <c r="BK1603" s="5" t="s">
        <v>254</v>
      </c>
      <c r="BY1603" s="5" t="s">
        <v>238</v>
      </c>
      <c r="BZ1603" s="5" t="s">
        <v>238</v>
      </c>
      <c r="CD1603" s="5" t="s">
        <v>273</v>
      </c>
      <c r="CE1603" s="5" t="s">
        <v>256</v>
      </c>
      <c r="CF1603" s="5" t="s">
        <v>238</v>
      </c>
      <c r="CI1603" s="6" t="s">
        <v>257</v>
      </c>
      <c r="CJ1603" s="5" t="s">
        <v>238</v>
      </c>
      <c r="CK1603" s="5" t="s">
        <v>258</v>
      </c>
      <c r="CL1603" s="5" t="s">
        <v>238</v>
      </c>
      <c r="CM1603" s="5" t="s">
        <v>238</v>
      </c>
      <c r="CN1603" s="5">
        <v>0</v>
      </c>
      <c r="CO1603" s="5" t="s">
        <v>259</v>
      </c>
      <c r="CP1603" s="5" t="s">
        <v>260</v>
      </c>
      <c r="CQ1603" s="5" t="s">
        <v>260</v>
      </c>
      <c r="CR1603" s="5" t="s">
        <v>261</v>
      </c>
      <c r="CU1603" s="8">
        <f>1</f>
        <v>1</v>
      </c>
      <c r="CV1603" s="8">
        <f>0</f>
        <v>0</v>
      </c>
      <c r="CX1603" s="8">
        <f>0</f>
        <v>0</v>
      </c>
      <c r="CY1603" s="8">
        <f>1</f>
        <v>1</v>
      </c>
      <c r="DA1603" s="5" t="s">
        <v>673</v>
      </c>
      <c r="DB1603" s="5" t="s">
        <v>238</v>
      </c>
      <c r="DD1603" s="5" t="s">
        <v>673</v>
      </c>
      <c r="DE1603" s="8">
        <f>1924</f>
        <v>1924</v>
      </c>
      <c r="DG1603" s="5" t="s">
        <v>238</v>
      </c>
      <c r="DH1603" s="5" t="s">
        <v>238</v>
      </c>
      <c r="DI1603" s="5" t="s">
        <v>238</v>
      </c>
      <c r="DJ1603" s="5" t="s">
        <v>238</v>
      </c>
      <c r="DN1603" s="5" t="s">
        <v>238</v>
      </c>
      <c r="DO1603" s="5" t="s">
        <v>238</v>
      </c>
      <c r="DP1603" s="5" t="s">
        <v>238</v>
      </c>
      <c r="DQ1603" s="5" t="s">
        <v>238</v>
      </c>
      <c r="DT1603" s="5" t="s">
        <v>2039</v>
      </c>
      <c r="DU1603" s="5" t="s">
        <v>1230</v>
      </c>
      <c r="HM1603" s="5" t="s">
        <v>264</v>
      </c>
    </row>
    <row r="1604" spans="1:221" x14ac:dyDescent="0.4">
      <c r="A1604" s="5">
        <v>3279</v>
      </c>
      <c r="B1604" s="5">
        <v>1</v>
      </c>
      <c r="C1604" s="5">
        <v>1</v>
      </c>
      <c r="D1604" s="5" t="s">
        <v>2037</v>
      </c>
      <c r="E1604" s="5" t="s">
        <v>271</v>
      </c>
      <c r="F1604" s="5" t="s">
        <v>248</v>
      </c>
      <c r="G1604" s="5" t="s">
        <v>1969</v>
      </c>
      <c r="H1604" s="6" t="s">
        <v>3813</v>
      </c>
      <c r="I1604" s="7">
        <f>2898</f>
        <v>2898</v>
      </c>
      <c r="J1604" s="5" t="s">
        <v>262</v>
      </c>
      <c r="K1604" s="8">
        <f>1</f>
        <v>1</v>
      </c>
      <c r="L1604" s="6" t="s">
        <v>242</v>
      </c>
      <c r="M1604" s="5" t="s">
        <v>267</v>
      </c>
      <c r="N1604" s="5" t="s">
        <v>265</v>
      </c>
      <c r="O1604" s="5" t="s">
        <v>238</v>
      </c>
      <c r="P1604" s="5" t="s">
        <v>238</v>
      </c>
      <c r="Q1604" s="5" t="s">
        <v>268</v>
      </c>
      <c r="R1604" s="5" t="s">
        <v>270</v>
      </c>
      <c r="S1604" s="5" t="s">
        <v>238</v>
      </c>
      <c r="V1604" s="5" t="s">
        <v>238</v>
      </c>
      <c r="X1604" s="6" t="s">
        <v>238</v>
      </c>
      <c r="AA1604" s="6" t="s">
        <v>243</v>
      </c>
      <c r="AB1604" s="5" t="s">
        <v>238</v>
      </c>
      <c r="AC1604" s="5" t="s">
        <v>244</v>
      </c>
      <c r="AD1604" s="5" t="s">
        <v>245</v>
      </c>
      <c r="AT1604" s="5" t="s">
        <v>246</v>
      </c>
      <c r="AU1604" s="5" t="s">
        <v>238</v>
      </c>
      <c r="AV1604" s="5" t="s">
        <v>247</v>
      </c>
      <c r="AW1604" s="5" t="s">
        <v>238</v>
      </c>
      <c r="AX1604" s="5" t="s">
        <v>249</v>
      </c>
      <c r="AY1604" s="5" t="s">
        <v>238</v>
      </c>
      <c r="BA1604" s="5" t="s">
        <v>238</v>
      </c>
      <c r="BC1604" s="5" t="s">
        <v>250</v>
      </c>
      <c r="BD1604" s="6" t="s">
        <v>243</v>
      </c>
      <c r="BE1604" s="5" t="s">
        <v>251</v>
      </c>
      <c r="BF1604" s="5" t="s">
        <v>252</v>
      </c>
      <c r="BG1604" s="5" t="s">
        <v>238</v>
      </c>
      <c r="BH1604" s="7">
        <f>0</f>
        <v>0</v>
      </c>
      <c r="BI1604" s="8">
        <f>0</f>
        <v>0</v>
      </c>
      <c r="BJ1604" s="5" t="s">
        <v>253</v>
      </c>
      <c r="BK1604" s="5" t="s">
        <v>254</v>
      </c>
      <c r="BY1604" s="5" t="s">
        <v>238</v>
      </c>
      <c r="BZ1604" s="5" t="s">
        <v>238</v>
      </c>
      <c r="CD1604" s="5" t="s">
        <v>273</v>
      </c>
      <c r="CE1604" s="5" t="s">
        <v>256</v>
      </c>
      <c r="CF1604" s="5" t="s">
        <v>238</v>
      </c>
      <c r="CI1604" s="6" t="s">
        <v>257</v>
      </c>
      <c r="CJ1604" s="5" t="s">
        <v>238</v>
      </c>
      <c r="CK1604" s="5" t="s">
        <v>258</v>
      </c>
      <c r="CL1604" s="5" t="s">
        <v>238</v>
      </c>
      <c r="CM1604" s="5" t="s">
        <v>238</v>
      </c>
      <c r="CN1604" s="5">
        <v>0</v>
      </c>
      <c r="CO1604" s="5" t="s">
        <v>259</v>
      </c>
      <c r="CP1604" s="5" t="s">
        <v>260</v>
      </c>
      <c r="CQ1604" s="5" t="s">
        <v>260</v>
      </c>
      <c r="CR1604" s="5" t="s">
        <v>261</v>
      </c>
      <c r="CU1604" s="8">
        <f>1</f>
        <v>1</v>
      </c>
      <c r="CV1604" s="8">
        <f>0</f>
        <v>0</v>
      </c>
      <c r="CX1604" s="8">
        <f>0</f>
        <v>0</v>
      </c>
      <c r="CY1604" s="8">
        <f>1</f>
        <v>1</v>
      </c>
      <c r="DA1604" s="5" t="s">
        <v>673</v>
      </c>
      <c r="DB1604" s="5" t="s">
        <v>238</v>
      </c>
      <c r="DD1604" s="5" t="s">
        <v>673</v>
      </c>
      <c r="DE1604" s="8">
        <f>2898</f>
        <v>2898</v>
      </c>
      <c r="DG1604" s="5" t="s">
        <v>238</v>
      </c>
      <c r="DH1604" s="5" t="s">
        <v>238</v>
      </c>
      <c r="DI1604" s="5" t="s">
        <v>238</v>
      </c>
      <c r="DJ1604" s="5" t="s">
        <v>238</v>
      </c>
      <c r="DN1604" s="5" t="s">
        <v>238</v>
      </c>
      <c r="DO1604" s="5" t="s">
        <v>238</v>
      </c>
      <c r="DP1604" s="5" t="s">
        <v>238</v>
      </c>
      <c r="DQ1604" s="5" t="s">
        <v>238</v>
      </c>
      <c r="DT1604" s="5" t="s">
        <v>2039</v>
      </c>
      <c r="DU1604" s="5" t="s">
        <v>1224</v>
      </c>
      <c r="HM1604" s="5" t="s">
        <v>264</v>
      </c>
    </row>
    <row r="1605" spans="1:221" x14ac:dyDescent="0.4">
      <c r="A1605" s="5">
        <v>3280</v>
      </c>
      <c r="B1605" s="5">
        <v>1</v>
      </c>
      <c r="C1605" s="5">
        <v>1</v>
      </c>
      <c r="D1605" s="5" t="s">
        <v>2037</v>
      </c>
      <c r="E1605" s="5" t="s">
        <v>271</v>
      </c>
      <c r="F1605" s="5" t="s">
        <v>248</v>
      </c>
      <c r="G1605" s="5" t="s">
        <v>1969</v>
      </c>
      <c r="H1605" s="6" t="s">
        <v>3812</v>
      </c>
      <c r="I1605" s="7">
        <f>206</f>
        <v>206</v>
      </c>
      <c r="J1605" s="5" t="s">
        <v>262</v>
      </c>
      <c r="K1605" s="8">
        <f>1</f>
        <v>1</v>
      </c>
      <c r="L1605" s="6" t="s">
        <v>242</v>
      </c>
      <c r="M1605" s="5" t="s">
        <v>267</v>
      </c>
      <c r="N1605" s="5" t="s">
        <v>265</v>
      </c>
      <c r="O1605" s="5" t="s">
        <v>238</v>
      </c>
      <c r="P1605" s="5" t="s">
        <v>238</v>
      </c>
      <c r="Q1605" s="5" t="s">
        <v>268</v>
      </c>
      <c r="R1605" s="5" t="s">
        <v>270</v>
      </c>
      <c r="S1605" s="5" t="s">
        <v>238</v>
      </c>
      <c r="V1605" s="5" t="s">
        <v>238</v>
      </c>
      <c r="X1605" s="6" t="s">
        <v>238</v>
      </c>
      <c r="AA1605" s="6" t="s">
        <v>243</v>
      </c>
      <c r="AB1605" s="5" t="s">
        <v>238</v>
      </c>
      <c r="AC1605" s="5" t="s">
        <v>244</v>
      </c>
      <c r="AD1605" s="5" t="s">
        <v>245</v>
      </c>
      <c r="AT1605" s="5" t="s">
        <v>246</v>
      </c>
      <c r="AU1605" s="5" t="s">
        <v>238</v>
      </c>
      <c r="AV1605" s="5" t="s">
        <v>247</v>
      </c>
      <c r="AW1605" s="5" t="s">
        <v>238</v>
      </c>
      <c r="AX1605" s="5" t="s">
        <v>249</v>
      </c>
      <c r="AY1605" s="5" t="s">
        <v>238</v>
      </c>
      <c r="BA1605" s="5" t="s">
        <v>238</v>
      </c>
      <c r="BC1605" s="5" t="s">
        <v>250</v>
      </c>
      <c r="BD1605" s="6" t="s">
        <v>243</v>
      </c>
      <c r="BE1605" s="5" t="s">
        <v>251</v>
      </c>
      <c r="BF1605" s="5" t="s">
        <v>252</v>
      </c>
      <c r="BG1605" s="5" t="s">
        <v>238</v>
      </c>
      <c r="BH1605" s="7">
        <f>0</f>
        <v>0</v>
      </c>
      <c r="BI1605" s="8">
        <f>0</f>
        <v>0</v>
      </c>
      <c r="BJ1605" s="5" t="s">
        <v>253</v>
      </c>
      <c r="BK1605" s="5" t="s">
        <v>254</v>
      </c>
      <c r="BY1605" s="5" t="s">
        <v>238</v>
      </c>
      <c r="BZ1605" s="5" t="s">
        <v>238</v>
      </c>
      <c r="CD1605" s="5" t="s">
        <v>273</v>
      </c>
      <c r="CE1605" s="5" t="s">
        <v>256</v>
      </c>
      <c r="CF1605" s="5" t="s">
        <v>238</v>
      </c>
      <c r="CI1605" s="6" t="s">
        <v>257</v>
      </c>
      <c r="CJ1605" s="5" t="s">
        <v>238</v>
      </c>
      <c r="CK1605" s="5" t="s">
        <v>258</v>
      </c>
      <c r="CL1605" s="5" t="s">
        <v>238</v>
      </c>
      <c r="CM1605" s="5" t="s">
        <v>238</v>
      </c>
      <c r="CN1605" s="5">
        <v>0</v>
      </c>
      <c r="CO1605" s="5" t="s">
        <v>259</v>
      </c>
      <c r="CP1605" s="5" t="s">
        <v>260</v>
      </c>
      <c r="CQ1605" s="5" t="s">
        <v>260</v>
      </c>
      <c r="CR1605" s="5" t="s">
        <v>261</v>
      </c>
      <c r="CU1605" s="8">
        <f>1</f>
        <v>1</v>
      </c>
      <c r="CV1605" s="8">
        <f>0</f>
        <v>0</v>
      </c>
      <c r="CX1605" s="8">
        <f>0</f>
        <v>0</v>
      </c>
      <c r="CY1605" s="8">
        <f>1</f>
        <v>1</v>
      </c>
      <c r="DA1605" s="5" t="s">
        <v>673</v>
      </c>
      <c r="DB1605" s="5" t="s">
        <v>238</v>
      </c>
      <c r="DD1605" s="5" t="s">
        <v>673</v>
      </c>
      <c r="DE1605" s="8">
        <f>206</f>
        <v>206</v>
      </c>
      <c r="DG1605" s="5" t="s">
        <v>238</v>
      </c>
      <c r="DH1605" s="5" t="s">
        <v>238</v>
      </c>
      <c r="DI1605" s="5" t="s">
        <v>238</v>
      </c>
      <c r="DJ1605" s="5" t="s">
        <v>238</v>
      </c>
      <c r="DN1605" s="5" t="s">
        <v>238</v>
      </c>
      <c r="DO1605" s="5" t="s">
        <v>238</v>
      </c>
      <c r="DP1605" s="5" t="s">
        <v>238</v>
      </c>
      <c r="DQ1605" s="5" t="s">
        <v>238</v>
      </c>
      <c r="DT1605" s="5" t="s">
        <v>2039</v>
      </c>
      <c r="DU1605" s="5" t="s">
        <v>1215</v>
      </c>
      <c r="HM1605" s="5" t="s">
        <v>264</v>
      </c>
    </row>
    <row r="1606" spans="1:221" x14ac:dyDescent="0.4">
      <c r="A1606" s="5">
        <v>3281</v>
      </c>
      <c r="B1606" s="5">
        <v>1</v>
      </c>
      <c r="C1606" s="5">
        <v>1</v>
      </c>
      <c r="D1606" s="5" t="s">
        <v>2037</v>
      </c>
      <c r="E1606" s="5" t="s">
        <v>271</v>
      </c>
      <c r="F1606" s="5" t="s">
        <v>248</v>
      </c>
      <c r="G1606" s="5" t="s">
        <v>1969</v>
      </c>
      <c r="H1606" s="6" t="s">
        <v>3811</v>
      </c>
      <c r="I1606" s="7">
        <f>1066</f>
        <v>1066</v>
      </c>
      <c r="J1606" s="5" t="s">
        <v>262</v>
      </c>
      <c r="K1606" s="8">
        <f>1</f>
        <v>1</v>
      </c>
      <c r="L1606" s="6" t="s">
        <v>242</v>
      </c>
      <c r="M1606" s="5" t="s">
        <v>267</v>
      </c>
      <c r="N1606" s="5" t="s">
        <v>265</v>
      </c>
      <c r="O1606" s="5" t="s">
        <v>238</v>
      </c>
      <c r="P1606" s="5" t="s">
        <v>238</v>
      </c>
      <c r="Q1606" s="5" t="s">
        <v>268</v>
      </c>
      <c r="R1606" s="5" t="s">
        <v>270</v>
      </c>
      <c r="S1606" s="5" t="s">
        <v>238</v>
      </c>
      <c r="V1606" s="5" t="s">
        <v>238</v>
      </c>
      <c r="X1606" s="6" t="s">
        <v>238</v>
      </c>
      <c r="AA1606" s="6" t="s">
        <v>243</v>
      </c>
      <c r="AB1606" s="5" t="s">
        <v>238</v>
      </c>
      <c r="AC1606" s="5" t="s">
        <v>244</v>
      </c>
      <c r="AD1606" s="5" t="s">
        <v>245</v>
      </c>
      <c r="AT1606" s="5" t="s">
        <v>246</v>
      </c>
      <c r="AU1606" s="5" t="s">
        <v>238</v>
      </c>
      <c r="AV1606" s="5" t="s">
        <v>247</v>
      </c>
      <c r="AW1606" s="5" t="s">
        <v>238</v>
      </c>
      <c r="AX1606" s="5" t="s">
        <v>249</v>
      </c>
      <c r="AY1606" s="5" t="s">
        <v>238</v>
      </c>
      <c r="BA1606" s="5" t="s">
        <v>238</v>
      </c>
      <c r="BC1606" s="5" t="s">
        <v>250</v>
      </c>
      <c r="BD1606" s="6" t="s">
        <v>243</v>
      </c>
      <c r="BE1606" s="5" t="s">
        <v>251</v>
      </c>
      <c r="BF1606" s="5" t="s">
        <v>252</v>
      </c>
      <c r="BG1606" s="5" t="s">
        <v>238</v>
      </c>
      <c r="BH1606" s="7">
        <f>0</f>
        <v>0</v>
      </c>
      <c r="BI1606" s="8">
        <f>0</f>
        <v>0</v>
      </c>
      <c r="BJ1606" s="5" t="s">
        <v>253</v>
      </c>
      <c r="BK1606" s="5" t="s">
        <v>254</v>
      </c>
      <c r="BY1606" s="5" t="s">
        <v>238</v>
      </c>
      <c r="BZ1606" s="5" t="s">
        <v>238</v>
      </c>
      <c r="CD1606" s="5" t="s">
        <v>273</v>
      </c>
      <c r="CE1606" s="5" t="s">
        <v>256</v>
      </c>
      <c r="CF1606" s="5" t="s">
        <v>238</v>
      </c>
      <c r="CI1606" s="6" t="s">
        <v>257</v>
      </c>
      <c r="CJ1606" s="5" t="s">
        <v>238</v>
      </c>
      <c r="CK1606" s="5" t="s">
        <v>258</v>
      </c>
      <c r="CL1606" s="5" t="s">
        <v>238</v>
      </c>
      <c r="CM1606" s="5" t="s">
        <v>238</v>
      </c>
      <c r="CN1606" s="5">
        <v>0</v>
      </c>
      <c r="CO1606" s="5" t="s">
        <v>259</v>
      </c>
      <c r="CP1606" s="5" t="s">
        <v>260</v>
      </c>
      <c r="CQ1606" s="5" t="s">
        <v>260</v>
      </c>
      <c r="CR1606" s="5" t="s">
        <v>261</v>
      </c>
      <c r="CU1606" s="8">
        <f>1</f>
        <v>1</v>
      </c>
      <c r="CV1606" s="8">
        <f>0</f>
        <v>0</v>
      </c>
      <c r="CX1606" s="8">
        <f>0</f>
        <v>0</v>
      </c>
      <c r="CY1606" s="8">
        <f>1</f>
        <v>1</v>
      </c>
      <c r="DA1606" s="5" t="s">
        <v>673</v>
      </c>
      <c r="DB1606" s="5" t="s">
        <v>238</v>
      </c>
      <c r="DD1606" s="5" t="s">
        <v>673</v>
      </c>
      <c r="DE1606" s="8">
        <f>1066</f>
        <v>1066</v>
      </c>
      <c r="DG1606" s="5" t="s">
        <v>238</v>
      </c>
      <c r="DH1606" s="5" t="s">
        <v>238</v>
      </c>
      <c r="DI1606" s="5" t="s">
        <v>238</v>
      </c>
      <c r="DJ1606" s="5" t="s">
        <v>238</v>
      </c>
      <c r="DN1606" s="5" t="s">
        <v>238</v>
      </c>
      <c r="DO1606" s="5" t="s">
        <v>238</v>
      </c>
      <c r="DP1606" s="5" t="s">
        <v>238</v>
      </c>
      <c r="DQ1606" s="5" t="s">
        <v>238</v>
      </c>
      <c r="DT1606" s="5" t="s">
        <v>2039</v>
      </c>
      <c r="DU1606" s="5" t="s">
        <v>1207</v>
      </c>
      <c r="HM1606" s="5" t="s">
        <v>264</v>
      </c>
    </row>
    <row r="1607" spans="1:221" x14ac:dyDescent="0.4">
      <c r="A1607" s="5">
        <v>3282</v>
      </c>
      <c r="B1607" s="5">
        <v>1</v>
      </c>
      <c r="C1607" s="5">
        <v>1</v>
      </c>
      <c r="D1607" s="5" t="s">
        <v>2037</v>
      </c>
      <c r="E1607" s="5" t="s">
        <v>271</v>
      </c>
      <c r="F1607" s="5" t="s">
        <v>248</v>
      </c>
      <c r="G1607" s="5" t="s">
        <v>1969</v>
      </c>
      <c r="H1607" s="6" t="s">
        <v>3810</v>
      </c>
      <c r="I1607" s="7">
        <f>5431</f>
        <v>5431</v>
      </c>
      <c r="J1607" s="5" t="s">
        <v>262</v>
      </c>
      <c r="K1607" s="8">
        <f>1</f>
        <v>1</v>
      </c>
      <c r="L1607" s="6" t="s">
        <v>242</v>
      </c>
      <c r="M1607" s="5" t="s">
        <v>267</v>
      </c>
      <c r="N1607" s="5" t="s">
        <v>265</v>
      </c>
      <c r="O1607" s="5" t="s">
        <v>238</v>
      </c>
      <c r="P1607" s="5" t="s">
        <v>238</v>
      </c>
      <c r="Q1607" s="5" t="s">
        <v>268</v>
      </c>
      <c r="R1607" s="5" t="s">
        <v>270</v>
      </c>
      <c r="S1607" s="5" t="s">
        <v>238</v>
      </c>
      <c r="V1607" s="5" t="s">
        <v>238</v>
      </c>
      <c r="X1607" s="6" t="s">
        <v>238</v>
      </c>
      <c r="AA1607" s="6" t="s">
        <v>243</v>
      </c>
      <c r="AB1607" s="5" t="s">
        <v>238</v>
      </c>
      <c r="AC1607" s="5" t="s">
        <v>244</v>
      </c>
      <c r="AD1607" s="5" t="s">
        <v>245</v>
      </c>
      <c r="AT1607" s="5" t="s">
        <v>246</v>
      </c>
      <c r="AU1607" s="5" t="s">
        <v>238</v>
      </c>
      <c r="AV1607" s="5" t="s">
        <v>247</v>
      </c>
      <c r="AW1607" s="5" t="s">
        <v>238</v>
      </c>
      <c r="AX1607" s="5" t="s">
        <v>249</v>
      </c>
      <c r="AY1607" s="5" t="s">
        <v>238</v>
      </c>
      <c r="BA1607" s="5" t="s">
        <v>238</v>
      </c>
      <c r="BC1607" s="5" t="s">
        <v>250</v>
      </c>
      <c r="BD1607" s="6" t="s">
        <v>243</v>
      </c>
      <c r="BE1607" s="5" t="s">
        <v>251</v>
      </c>
      <c r="BF1607" s="5" t="s">
        <v>252</v>
      </c>
      <c r="BG1607" s="5" t="s">
        <v>238</v>
      </c>
      <c r="BH1607" s="7">
        <f>0</f>
        <v>0</v>
      </c>
      <c r="BI1607" s="8">
        <f>0</f>
        <v>0</v>
      </c>
      <c r="BJ1607" s="5" t="s">
        <v>253</v>
      </c>
      <c r="BK1607" s="5" t="s">
        <v>254</v>
      </c>
      <c r="BY1607" s="5" t="s">
        <v>238</v>
      </c>
      <c r="BZ1607" s="5" t="s">
        <v>238</v>
      </c>
      <c r="CD1607" s="5" t="s">
        <v>273</v>
      </c>
      <c r="CE1607" s="5" t="s">
        <v>256</v>
      </c>
      <c r="CF1607" s="5" t="s">
        <v>238</v>
      </c>
      <c r="CI1607" s="6" t="s">
        <v>257</v>
      </c>
      <c r="CJ1607" s="5" t="s">
        <v>238</v>
      </c>
      <c r="CK1607" s="5" t="s">
        <v>258</v>
      </c>
      <c r="CL1607" s="5" t="s">
        <v>238</v>
      </c>
      <c r="CM1607" s="5" t="s">
        <v>238</v>
      </c>
      <c r="CN1607" s="5">
        <v>0</v>
      </c>
      <c r="CO1607" s="5" t="s">
        <v>259</v>
      </c>
      <c r="CP1607" s="5" t="s">
        <v>260</v>
      </c>
      <c r="CQ1607" s="5" t="s">
        <v>260</v>
      </c>
      <c r="CR1607" s="5" t="s">
        <v>261</v>
      </c>
      <c r="CU1607" s="8">
        <f>1</f>
        <v>1</v>
      </c>
      <c r="CV1607" s="8">
        <f>0</f>
        <v>0</v>
      </c>
      <c r="CX1607" s="8">
        <f>0</f>
        <v>0</v>
      </c>
      <c r="CY1607" s="8">
        <f>1</f>
        <v>1</v>
      </c>
      <c r="DA1607" s="5" t="s">
        <v>673</v>
      </c>
      <c r="DB1607" s="5" t="s">
        <v>238</v>
      </c>
      <c r="DD1607" s="5" t="s">
        <v>673</v>
      </c>
      <c r="DE1607" s="8">
        <f>5431</f>
        <v>5431</v>
      </c>
      <c r="DG1607" s="5" t="s">
        <v>238</v>
      </c>
      <c r="DH1607" s="5" t="s">
        <v>238</v>
      </c>
      <c r="DI1607" s="5" t="s">
        <v>238</v>
      </c>
      <c r="DJ1607" s="5" t="s">
        <v>238</v>
      </c>
      <c r="DN1607" s="5" t="s">
        <v>238</v>
      </c>
      <c r="DO1607" s="5" t="s">
        <v>238</v>
      </c>
      <c r="DP1607" s="5" t="s">
        <v>238</v>
      </c>
      <c r="DQ1607" s="5" t="s">
        <v>238</v>
      </c>
      <c r="DT1607" s="5" t="s">
        <v>2039</v>
      </c>
      <c r="DU1607" s="5" t="s">
        <v>1199</v>
      </c>
      <c r="HM1607" s="5" t="s">
        <v>264</v>
      </c>
    </row>
    <row r="1608" spans="1:221" x14ac:dyDescent="0.4">
      <c r="A1608" s="5">
        <v>3283</v>
      </c>
      <c r="B1608" s="5">
        <v>1</v>
      </c>
      <c r="C1608" s="5">
        <v>1</v>
      </c>
      <c r="D1608" s="5" t="s">
        <v>2037</v>
      </c>
      <c r="E1608" s="5" t="s">
        <v>271</v>
      </c>
      <c r="F1608" s="5" t="s">
        <v>248</v>
      </c>
      <c r="G1608" s="5" t="s">
        <v>1969</v>
      </c>
      <c r="H1608" s="6" t="s">
        <v>3809</v>
      </c>
      <c r="I1608" s="7">
        <f>1389</f>
        <v>1389</v>
      </c>
      <c r="J1608" s="5" t="s">
        <v>262</v>
      </c>
      <c r="K1608" s="8">
        <f>1</f>
        <v>1</v>
      </c>
      <c r="L1608" s="6" t="s">
        <v>242</v>
      </c>
      <c r="M1608" s="5" t="s">
        <v>267</v>
      </c>
      <c r="N1608" s="5" t="s">
        <v>265</v>
      </c>
      <c r="O1608" s="5" t="s">
        <v>238</v>
      </c>
      <c r="P1608" s="5" t="s">
        <v>238</v>
      </c>
      <c r="Q1608" s="5" t="s">
        <v>268</v>
      </c>
      <c r="R1608" s="5" t="s">
        <v>270</v>
      </c>
      <c r="S1608" s="5" t="s">
        <v>238</v>
      </c>
      <c r="V1608" s="5" t="s">
        <v>238</v>
      </c>
      <c r="X1608" s="6" t="s">
        <v>238</v>
      </c>
      <c r="AA1608" s="6" t="s">
        <v>243</v>
      </c>
      <c r="AB1608" s="5" t="s">
        <v>238</v>
      </c>
      <c r="AC1608" s="5" t="s">
        <v>244</v>
      </c>
      <c r="AD1608" s="5" t="s">
        <v>245</v>
      </c>
      <c r="AT1608" s="5" t="s">
        <v>246</v>
      </c>
      <c r="AU1608" s="5" t="s">
        <v>238</v>
      </c>
      <c r="AV1608" s="5" t="s">
        <v>247</v>
      </c>
      <c r="AW1608" s="5" t="s">
        <v>238</v>
      </c>
      <c r="AX1608" s="5" t="s">
        <v>249</v>
      </c>
      <c r="AY1608" s="5" t="s">
        <v>238</v>
      </c>
      <c r="BA1608" s="5" t="s">
        <v>238</v>
      </c>
      <c r="BC1608" s="5" t="s">
        <v>250</v>
      </c>
      <c r="BD1608" s="6" t="s">
        <v>243</v>
      </c>
      <c r="BE1608" s="5" t="s">
        <v>251</v>
      </c>
      <c r="BF1608" s="5" t="s">
        <v>252</v>
      </c>
      <c r="BG1608" s="5" t="s">
        <v>238</v>
      </c>
      <c r="BH1608" s="7">
        <f>0</f>
        <v>0</v>
      </c>
      <c r="BI1608" s="8">
        <f>0</f>
        <v>0</v>
      </c>
      <c r="BJ1608" s="5" t="s">
        <v>253</v>
      </c>
      <c r="BK1608" s="5" t="s">
        <v>254</v>
      </c>
      <c r="BY1608" s="5" t="s">
        <v>238</v>
      </c>
      <c r="BZ1608" s="5" t="s">
        <v>238</v>
      </c>
      <c r="CD1608" s="5" t="s">
        <v>273</v>
      </c>
      <c r="CE1608" s="5" t="s">
        <v>256</v>
      </c>
      <c r="CF1608" s="5" t="s">
        <v>238</v>
      </c>
      <c r="CI1608" s="6" t="s">
        <v>257</v>
      </c>
      <c r="CJ1608" s="5" t="s">
        <v>238</v>
      </c>
      <c r="CK1608" s="5" t="s">
        <v>258</v>
      </c>
      <c r="CL1608" s="5" t="s">
        <v>238</v>
      </c>
      <c r="CM1608" s="5" t="s">
        <v>238</v>
      </c>
      <c r="CN1608" s="5">
        <v>0</v>
      </c>
      <c r="CO1608" s="5" t="s">
        <v>259</v>
      </c>
      <c r="CP1608" s="5" t="s">
        <v>260</v>
      </c>
      <c r="CQ1608" s="5" t="s">
        <v>260</v>
      </c>
      <c r="CR1608" s="5" t="s">
        <v>261</v>
      </c>
      <c r="CU1608" s="8">
        <f>1</f>
        <v>1</v>
      </c>
      <c r="CV1608" s="8">
        <f>0</f>
        <v>0</v>
      </c>
      <c r="CX1608" s="8">
        <f>0</f>
        <v>0</v>
      </c>
      <c r="CY1608" s="8">
        <f>1</f>
        <v>1</v>
      </c>
      <c r="DA1608" s="5" t="s">
        <v>673</v>
      </c>
      <c r="DB1608" s="5" t="s">
        <v>238</v>
      </c>
      <c r="DD1608" s="5" t="s">
        <v>673</v>
      </c>
      <c r="DE1608" s="8">
        <f>1389</f>
        <v>1389</v>
      </c>
      <c r="DG1608" s="5" t="s">
        <v>238</v>
      </c>
      <c r="DH1608" s="5" t="s">
        <v>238</v>
      </c>
      <c r="DI1608" s="5" t="s">
        <v>238</v>
      </c>
      <c r="DJ1608" s="5" t="s">
        <v>238</v>
      </c>
      <c r="DN1608" s="5" t="s">
        <v>238</v>
      </c>
      <c r="DO1608" s="5" t="s">
        <v>238</v>
      </c>
      <c r="DP1608" s="5" t="s">
        <v>238</v>
      </c>
      <c r="DQ1608" s="5" t="s">
        <v>238</v>
      </c>
      <c r="DT1608" s="5" t="s">
        <v>2039</v>
      </c>
      <c r="DU1608" s="5" t="s">
        <v>1194</v>
      </c>
      <c r="HM1608" s="5" t="s">
        <v>264</v>
      </c>
    </row>
    <row r="1609" spans="1:221" x14ac:dyDescent="0.4">
      <c r="A1609" s="5">
        <v>3284</v>
      </c>
      <c r="B1609" s="5">
        <v>1</v>
      </c>
      <c r="C1609" s="5">
        <v>1</v>
      </c>
      <c r="D1609" s="5" t="s">
        <v>2037</v>
      </c>
      <c r="E1609" s="5" t="s">
        <v>271</v>
      </c>
      <c r="F1609" s="5" t="s">
        <v>248</v>
      </c>
      <c r="G1609" s="5" t="s">
        <v>1969</v>
      </c>
      <c r="H1609" s="6" t="s">
        <v>3806</v>
      </c>
      <c r="I1609" s="7">
        <f>1194</f>
        <v>1194</v>
      </c>
      <c r="J1609" s="5" t="s">
        <v>262</v>
      </c>
      <c r="K1609" s="8">
        <f>1</f>
        <v>1</v>
      </c>
      <c r="L1609" s="6" t="s">
        <v>242</v>
      </c>
      <c r="M1609" s="5" t="s">
        <v>267</v>
      </c>
      <c r="N1609" s="5" t="s">
        <v>265</v>
      </c>
      <c r="O1609" s="5" t="s">
        <v>238</v>
      </c>
      <c r="P1609" s="5" t="s">
        <v>238</v>
      </c>
      <c r="Q1609" s="5" t="s">
        <v>268</v>
      </c>
      <c r="R1609" s="5" t="s">
        <v>270</v>
      </c>
      <c r="S1609" s="5" t="s">
        <v>238</v>
      </c>
      <c r="V1609" s="5" t="s">
        <v>238</v>
      </c>
      <c r="X1609" s="6" t="s">
        <v>238</v>
      </c>
      <c r="AA1609" s="6" t="s">
        <v>243</v>
      </c>
      <c r="AB1609" s="5" t="s">
        <v>238</v>
      </c>
      <c r="AC1609" s="5" t="s">
        <v>244</v>
      </c>
      <c r="AD1609" s="5" t="s">
        <v>245</v>
      </c>
      <c r="AT1609" s="5" t="s">
        <v>246</v>
      </c>
      <c r="AU1609" s="5" t="s">
        <v>238</v>
      </c>
      <c r="AV1609" s="5" t="s">
        <v>247</v>
      </c>
      <c r="AW1609" s="5" t="s">
        <v>238</v>
      </c>
      <c r="AX1609" s="5" t="s">
        <v>249</v>
      </c>
      <c r="AY1609" s="5" t="s">
        <v>238</v>
      </c>
      <c r="BA1609" s="5" t="s">
        <v>238</v>
      </c>
      <c r="BC1609" s="5" t="s">
        <v>250</v>
      </c>
      <c r="BD1609" s="6" t="s">
        <v>243</v>
      </c>
      <c r="BE1609" s="5" t="s">
        <v>251</v>
      </c>
      <c r="BF1609" s="5" t="s">
        <v>252</v>
      </c>
      <c r="BG1609" s="5" t="s">
        <v>238</v>
      </c>
      <c r="BH1609" s="7">
        <f>0</f>
        <v>0</v>
      </c>
      <c r="BI1609" s="8">
        <f>0</f>
        <v>0</v>
      </c>
      <c r="BJ1609" s="5" t="s">
        <v>253</v>
      </c>
      <c r="BK1609" s="5" t="s">
        <v>254</v>
      </c>
      <c r="BY1609" s="5" t="s">
        <v>238</v>
      </c>
      <c r="BZ1609" s="5" t="s">
        <v>238</v>
      </c>
      <c r="CD1609" s="5" t="s">
        <v>273</v>
      </c>
      <c r="CE1609" s="5" t="s">
        <v>256</v>
      </c>
      <c r="CF1609" s="5" t="s">
        <v>238</v>
      </c>
      <c r="CI1609" s="6" t="s">
        <v>257</v>
      </c>
      <c r="CJ1609" s="5" t="s">
        <v>238</v>
      </c>
      <c r="CK1609" s="5" t="s">
        <v>258</v>
      </c>
      <c r="CL1609" s="5" t="s">
        <v>238</v>
      </c>
      <c r="CM1609" s="5" t="s">
        <v>238</v>
      </c>
      <c r="CN1609" s="5">
        <v>0</v>
      </c>
      <c r="CO1609" s="5" t="s">
        <v>259</v>
      </c>
      <c r="CP1609" s="5" t="s">
        <v>260</v>
      </c>
      <c r="CQ1609" s="5" t="s">
        <v>260</v>
      </c>
      <c r="CR1609" s="5" t="s">
        <v>261</v>
      </c>
      <c r="CU1609" s="8">
        <f>1</f>
        <v>1</v>
      </c>
      <c r="CV1609" s="8">
        <f>0</f>
        <v>0</v>
      </c>
      <c r="CX1609" s="8">
        <f>0</f>
        <v>0</v>
      </c>
      <c r="CY1609" s="8">
        <f>1</f>
        <v>1</v>
      </c>
      <c r="DA1609" s="5" t="s">
        <v>673</v>
      </c>
      <c r="DB1609" s="5" t="s">
        <v>238</v>
      </c>
      <c r="DD1609" s="5" t="s">
        <v>673</v>
      </c>
      <c r="DE1609" s="8">
        <f>1194</f>
        <v>1194</v>
      </c>
      <c r="DG1609" s="5" t="s">
        <v>238</v>
      </c>
      <c r="DH1609" s="5" t="s">
        <v>238</v>
      </c>
      <c r="DI1609" s="5" t="s">
        <v>238</v>
      </c>
      <c r="DJ1609" s="5" t="s">
        <v>238</v>
      </c>
      <c r="DN1609" s="5" t="s">
        <v>238</v>
      </c>
      <c r="DO1609" s="5" t="s">
        <v>238</v>
      </c>
      <c r="DP1609" s="5" t="s">
        <v>238</v>
      </c>
      <c r="DQ1609" s="5" t="s">
        <v>238</v>
      </c>
      <c r="DT1609" s="5" t="s">
        <v>2039</v>
      </c>
      <c r="DU1609" s="5" t="s">
        <v>1185</v>
      </c>
      <c r="HM1609" s="5" t="s">
        <v>264</v>
      </c>
    </row>
    <row r="1610" spans="1:221" x14ac:dyDescent="0.4">
      <c r="A1610" s="5">
        <v>3285</v>
      </c>
      <c r="B1610" s="5">
        <v>1</v>
      </c>
      <c r="C1610" s="5">
        <v>1</v>
      </c>
      <c r="D1610" s="5" t="s">
        <v>2037</v>
      </c>
      <c r="E1610" s="5" t="s">
        <v>271</v>
      </c>
      <c r="F1610" s="5" t="s">
        <v>248</v>
      </c>
      <c r="G1610" s="5" t="s">
        <v>1969</v>
      </c>
      <c r="H1610" s="6" t="s">
        <v>3805</v>
      </c>
      <c r="I1610" s="7">
        <f>346</f>
        <v>346</v>
      </c>
      <c r="J1610" s="5" t="s">
        <v>262</v>
      </c>
      <c r="K1610" s="8">
        <f>1</f>
        <v>1</v>
      </c>
      <c r="L1610" s="6" t="s">
        <v>242</v>
      </c>
      <c r="M1610" s="5" t="s">
        <v>267</v>
      </c>
      <c r="N1610" s="5" t="s">
        <v>265</v>
      </c>
      <c r="O1610" s="5" t="s">
        <v>238</v>
      </c>
      <c r="P1610" s="5" t="s">
        <v>238</v>
      </c>
      <c r="Q1610" s="5" t="s">
        <v>268</v>
      </c>
      <c r="R1610" s="5" t="s">
        <v>270</v>
      </c>
      <c r="S1610" s="5" t="s">
        <v>238</v>
      </c>
      <c r="V1610" s="5" t="s">
        <v>238</v>
      </c>
      <c r="X1610" s="6" t="s">
        <v>238</v>
      </c>
      <c r="AA1610" s="6" t="s">
        <v>243</v>
      </c>
      <c r="AB1610" s="5" t="s">
        <v>238</v>
      </c>
      <c r="AC1610" s="5" t="s">
        <v>244</v>
      </c>
      <c r="AD1610" s="5" t="s">
        <v>245</v>
      </c>
      <c r="AT1610" s="5" t="s">
        <v>246</v>
      </c>
      <c r="AU1610" s="5" t="s">
        <v>238</v>
      </c>
      <c r="AV1610" s="5" t="s">
        <v>247</v>
      </c>
      <c r="AW1610" s="5" t="s">
        <v>238</v>
      </c>
      <c r="AX1610" s="5" t="s">
        <v>249</v>
      </c>
      <c r="AY1610" s="5" t="s">
        <v>238</v>
      </c>
      <c r="BA1610" s="5" t="s">
        <v>238</v>
      </c>
      <c r="BC1610" s="5" t="s">
        <v>250</v>
      </c>
      <c r="BD1610" s="6" t="s">
        <v>243</v>
      </c>
      <c r="BE1610" s="5" t="s">
        <v>251</v>
      </c>
      <c r="BF1610" s="5" t="s">
        <v>252</v>
      </c>
      <c r="BG1610" s="5" t="s">
        <v>238</v>
      </c>
      <c r="BH1610" s="7">
        <f>0</f>
        <v>0</v>
      </c>
      <c r="BI1610" s="8">
        <f>0</f>
        <v>0</v>
      </c>
      <c r="BJ1610" s="5" t="s">
        <v>253</v>
      </c>
      <c r="BK1610" s="5" t="s">
        <v>254</v>
      </c>
      <c r="BY1610" s="5" t="s">
        <v>238</v>
      </c>
      <c r="BZ1610" s="5" t="s">
        <v>238</v>
      </c>
      <c r="CD1610" s="5" t="s">
        <v>273</v>
      </c>
      <c r="CE1610" s="5" t="s">
        <v>256</v>
      </c>
      <c r="CF1610" s="5" t="s">
        <v>238</v>
      </c>
      <c r="CI1610" s="6" t="s">
        <v>257</v>
      </c>
      <c r="CJ1610" s="5" t="s">
        <v>238</v>
      </c>
      <c r="CK1610" s="5" t="s">
        <v>258</v>
      </c>
      <c r="CL1610" s="5" t="s">
        <v>238</v>
      </c>
      <c r="CM1610" s="5" t="s">
        <v>238</v>
      </c>
      <c r="CN1610" s="5">
        <v>0</v>
      </c>
      <c r="CO1610" s="5" t="s">
        <v>259</v>
      </c>
      <c r="CP1610" s="5" t="s">
        <v>260</v>
      </c>
      <c r="CQ1610" s="5" t="s">
        <v>260</v>
      </c>
      <c r="CR1610" s="5" t="s">
        <v>261</v>
      </c>
      <c r="CU1610" s="8">
        <f>1</f>
        <v>1</v>
      </c>
      <c r="CV1610" s="8">
        <f>0</f>
        <v>0</v>
      </c>
      <c r="CX1610" s="8">
        <f>0</f>
        <v>0</v>
      </c>
      <c r="CY1610" s="8">
        <f>1</f>
        <v>1</v>
      </c>
      <c r="DA1610" s="5" t="s">
        <v>673</v>
      </c>
      <c r="DB1610" s="5" t="s">
        <v>238</v>
      </c>
      <c r="DD1610" s="5" t="s">
        <v>673</v>
      </c>
      <c r="DE1610" s="8">
        <f>346</f>
        <v>346</v>
      </c>
      <c r="DG1610" s="5" t="s">
        <v>238</v>
      </c>
      <c r="DH1610" s="5" t="s">
        <v>238</v>
      </c>
      <c r="DI1610" s="5" t="s">
        <v>238</v>
      </c>
      <c r="DJ1610" s="5" t="s">
        <v>238</v>
      </c>
      <c r="DN1610" s="5" t="s">
        <v>238</v>
      </c>
      <c r="DO1610" s="5" t="s">
        <v>238</v>
      </c>
      <c r="DP1610" s="5" t="s">
        <v>238</v>
      </c>
      <c r="DQ1610" s="5" t="s">
        <v>238</v>
      </c>
      <c r="DT1610" s="5" t="s">
        <v>2039</v>
      </c>
      <c r="DU1610" s="5" t="s">
        <v>1180</v>
      </c>
      <c r="HM1610" s="5" t="s">
        <v>264</v>
      </c>
    </row>
    <row r="1611" spans="1:221" x14ac:dyDescent="0.4">
      <c r="A1611" s="5">
        <v>3286</v>
      </c>
      <c r="B1611" s="5">
        <v>1</v>
      </c>
      <c r="C1611" s="5">
        <v>1</v>
      </c>
      <c r="D1611" s="5" t="s">
        <v>2037</v>
      </c>
      <c r="E1611" s="5" t="s">
        <v>271</v>
      </c>
      <c r="F1611" s="5" t="s">
        <v>248</v>
      </c>
      <c r="G1611" s="5" t="s">
        <v>1969</v>
      </c>
      <c r="H1611" s="6" t="s">
        <v>3804</v>
      </c>
      <c r="I1611" s="7">
        <f>854</f>
        <v>854</v>
      </c>
      <c r="J1611" s="5" t="s">
        <v>262</v>
      </c>
      <c r="K1611" s="8">
        <f>1</f>
        <v>1</v>
      </c>
      <c r="L1611" s="6" t="s">
        <v>242</v>
      </c>
      <c r="M1611" s="5" t="s">
        <v>267</v>
      </c>
      <c r="N1611" s="5" t="s">
        <v>265</v>
      </c>
      <c r="O1611" s="5" t="s">
        <v>238</v>
      </c>
      <c r="P1611" s="5" t="s">
        <v>238</v>
      </c>
      <c r="Q1611" s="5" t="s">
        <v>268</v>
      </c>
      <c r="R1611" s="5" t="s">
        <v>270</v>
      </c>
      <c r="S1611" s="5" t="s">
        <v>238</v>
      </c>
      <c r="V1611" s="5" t="s">
        <v>238</v>
      </c>
      <c r="X1611" s="6" t="s">
        <v>238</v>
      </c>
      <c r="AA1611" s="6" t="s">
        <v>243</v>
      </c>
      <c r="AB1611" s="5" t="s">
        <v>238</v>
      </c>
      <c r="AC1611" s="5" t="s">
        <v>244</v>
      </c>
      <c r="AD1611" s="5" t="s">
        <v>245</v>
      </c>
      <c r="AT1611" s="5" t="s">
        <v>246</v>
      </c>
      <c r="AU1611" s="5" t="s">
        <v>238</v>
      </c>
      <c r="AV1611" s="5" t="s">
        <v>247</v>
      </c>
      <c r="AW1611" s="5" t="s">
        <v>238</v>
      </c>
      <c r="AX1611" s="5" t="s">
        <v>249</v>
      </c>
      <c r="AY1611" s="5" t="s">
        <v>238</v>
      </c>
      <c r="BA1611" s="5" t="s">
        <v>238</v>
      </c>
      <c r="BC1611" s="5" t="s">
        <v>250</v>
      </c>
      <c r="BD1611" s="6" t="s">
        <v>243</v>
      </c>
      <c r="BE1611" s="5" t="s">
        <v>251</v>
      </c>
      <c r="BF1611" s="5" t="s">
        <v>252</v>
      </c>
      <c r="BG1611" s="5" t="s">
        <v>238</v>
      </c>
      <c r="BH1611" s="7">
        <f>0</f>
        <v>0</v>
      </c>
      <c r="BI1611" s="8">
        <f>0</f>
        <v>0</v>
      </c>
      <c r="BJ1611" s="5" t="s">
        <v>253</v>
      </c>
      <c r="BK1611" s="5" t="s">
        <v>254</v>
      </c>
      <c r="BY1611" s="5" t="s">
        <v>238</v>
      </c>
      <c r="BZ1611" s="5" t="s">
        <v>238</v>
      </c>
      <c r="CD1611" s="5" t="s">
        <v>273</v>
      </c>
      <c r="CE1611" s="5" t="s">
        <v>256</v>
      </c>
      <c r="CF1611" s="5" t="s">
        <v>238</v>
      </c>
      <c r="CI1611" s="6" t="s">
        <v>257</v>
      </c>
      <c r="CJ1611" s="5" t="s">
        <v>238</v>
      </c>
      <c r="CK1611" s="5" t="s">
        <v>258</v>
      </c>
      <c r="CL1611" s="5" t="s">
        <v>238</v>
      </c>
      <c r="CM1611" s="5" t="s">
        <v>238</v>
      </c>
      <c r="CN1611" s="5">
        <v>0</v>
      </c>
      <c r="CO1611" s="5" t="s">
        <v>259</v>
      </c>
      <c r="CP1611" s="5" t="s">
        <v>260</v>
      </c>
      <c r="CQ1611" s="5" t="s">
        <v>260</v>
      </c>
      <c r="CR1611" s="5" t="s">
        <v>261</v>
      </c>
      <c r="CU1611" s="8">
        <f>1</f>
        <v>1</v>
      </c>
      <c r="CV1611" s="8">
        <f>0</f>
        <v>0</v>
      </c>
      <c r="CX1611" s="8">
        <f>0</f>
        <v>0</v>
      </c>
      <c r="CY1611" s="8">
        <f>1</f>
        <v>1</v>
      </c>
      <c r="DA1611" s="5" t="s">
        <v>673</v>
      </c>
      <c r="DB1611" s="5" t="s">
        <v>238</v>
      </c>
      <c r="DD1611" s="5" t="s">
        <v>673</v>
      </c>
      <c r="DE1611" s="8">
        <f>854</f>
        <v>854</v>
      </c>
      <c r="DG1611" s="5" t="s">
        <v>238</v>
      </c>
      <c r="DH1611" s="5" t="s">
        <v>238</v>
      </c>
      <c r="DI1611" s="5" t="s">
        <v>238</v>
      </c>
      <c r="DJ1611" s="5" t="s">
        <v>238</v>
      </c>
      <c r="DN1611" s="5" t="s">
        <v>238</v>
      </c>
      <c r="DO1611" s="5" t="s">
        <v>238</v>
      </c>
      <c r="DP1611" s="5" t="s">
        <v>238</v>
      </c>
      <c r="DQ1611" s="5" t="s">
        <v>238</v>
      </c>
      <c r="DT1611" s="5" t="s">
        <v>2039</v>
      </c>
      <c r="DU1611" s="5" t="s">
        <v>1171</v>
      </c>
      <c r="HM1611" s="5" t="s">
        <v>264</v>
      </c>
    </row>
    <row r="1612" spans="1:221" x14ac:dyDescent="0.4">
      <c r="A1612" s="5">
        <v>3287</v>
      </c>
      <c r="B1612" s="5">
        <v>1</v>
      </c>
      <c r="C1612" s="5">
        <v>1</v>
      </c>
      <c r="D1612" s="5" t="s">
        <v>2037</v>
      </c>
      <c r="E1612" s="5" t="s">
        <v>271</v>
      </c>
      <c r="F1612" s="5" t="s">
        <v>248</v>
      </c>
      <c r="G1612" s="5" t="s">
        <v>1969</v>
      </c>
      <c r="H1612" s="6" t="s">
        <v>3803</v>
      </c>
      <c r="I1612" s="7">
        <f>2141</f>
        <v>2141</v>
      </c>
      <c r="J1612" s="5" t="s">
        <v>262</v>
      </c>
      <c r="K1612" s="8">
        <f>1</f>
        <v>1</v>
      </c>
      <c r="L1612" s="6" t="s">
        <v>242</v>
      </c>
      <c r="M1612" s="5" t="s">
        <v>267</v>
      </c>
      <c r="N1612" s="5" t="s">
        <v>265</v>
      </c>
      <c r="O1612" s="5" t="s">
        <v>238</v>
      </c>
      <c r="P1612" s="5" t="s">
        <v>238</v>
      </c>
      <c r="Q1612" s="5" t="s">
        <v>268</v>
      </c>
      <c r="R1612" s="5" t="s">
        <v>270</v>
      </c>
      <c r="S1612" s="5" t="s">
        <v>238</v>
      </c>
      <c r="V1612" s="5" t="s">
        <v>238</v>
      </c>
      <c r="X1612" s="6" t="s">
        <v>238</v>
      </c>
      <c r="AA1612" s="6" t="s">
        <v>243</v>
      </c>
      <c r="AB1612" s="5" t="s">
        <v>238</v>
      </c>
      <c r="AC1612" s="5" t="s">
        <v>244</v>
      </c>
      <c r="AD1612" s="5" t="s">
        <v>245</v>
      </c>
      <c r="AT1612" s="5" t="s">
        <v>246</v>
      </c>
      <c r="AU1612" s="5" t="s">
        <v>238</v>
      </c>
      <c r="AV1612" s="5" t="s">
        <v>247</v>
      </c>
      <c r="AW1612" s="5" t="s">
        <v>238</v>
      </c>
      <c r="AX1612" s="5" t="s">
        <v>249</v>
      </c>
      <c r="AY1612" s="5" t="s">
        <v>238</v>
      </c>
      <c r="BA1612" s="5" t="s">
        <v>238</v>
      </c>
      <c r="BC1612" s="5" t="s">
        <v>250</v>
      </c>
      <c r="BD1612" s="6" t="s">
        <v>243</v>
      </c>
      <c r="BE1612" s="5" t="s">
        <v>251</v>
      </c>
      <c r="BF1612" s="5" t="s">
        <v>252</v>
      </c>
      <c r="BG1612" s="5" t="s">
        <v>238</v>
      </c>
      <c r="BH1612" s="7">
        <f>0</f>
        <v>0</v>
      </c>
      <c r="BI1612" s="8">
        <f>0</f>
        <v>0</v>
      </c>
      <c r="BJ1612" s="5" t="s">
        <v>253</v>
      </c>
      <c r="BK1612" s="5" t="s">
        <v>254</v>
      </c>
      <c r="BY1612" s="5" t="s">
        <v>238</v>
      </c>
      <c r="BZ1612" s="5" t="s">
        <v>238</v>
      </c>
      <c r="CD1612" s="5" t="s">
        <v>273</v>
      </c>
      <c r="CE1612" s="5" t="s">
        <v>256</v>
      </c>
      <c r="CF1612" s="5" t="s">
        <v>238</v>
      </c>
      <c r="CI1612" s="6" t="s">
        <v>257</v>
      </c>
      <c r="CJ1612" s="5" t="s">
        <v>238</v>
      </c>
      <c r="CK1612" s="5" t="s">
        <v>258</v>
      </c>
      <c r="CL1612" s="5" t="s">
        <v>238</v>
      </c>
      <c r="CM1612" s="5" t="s">
        <v>238</v>
      </c>
      <c r="CN1612" s="5">
        <v>0</v>
      </c>
      <c r="CO1612" s="5" t="s">
        <v>259</v>
      </c>
      <c r="CP1612" s="5" t="s">
        <v>260</v>
      </c>
      <c r="CQ1612" s="5" t="s">
        <v>260</v>
      </c>
      <c r="CR1612" s="5" t="s">
        <v>261</v>
      </c>
      <c r="CU1612" s="8">
        <f>1</f>
        <v>1</v>
      </c>
      <c r="CV1612" s="8">
        <f>0</f>
        <v>0</v>
      </c>
      <c r="CX1612" s="8">
        <f>0</f>
        <v>0</v>
      </c>
      <c r="CY1612" s="8">
        <f>1</f>
        <v>1</v>
      </c>
      <c r="DA1612" s="5" t="s">
        <v>673</v>
      </c>
      <c r="DB1612" s="5" t="s">
        <v>238</v>
      </c>
      <c r="DD1612" s="5" t="s">
        <v>673</v>
      </c>
      <c r="DE1612" s="8">
        <f>2141</f>
        <v>2141</v>
      </c>
      <c r="DG1612" s="5" t="s">
        <v>238</v>
      </c>
      <c r="DH1612" s="5" t="s">
        <v>238</v>
      </c>
      <c r="DI1612" s="5" t="s">
        <v>238</v>
      </c>
      <c r="DJ1612" s="5" t="s">
        <v>238</v>
      </c>
      <c r="DN1612" s="5" t="s">
        <v>238</v>
      </c>
      <c r="DO1612" s="5" t="s">
        <v>238</v>
      </c>
      <c r="DP1612" s="5" t="s">
        <v>238</v>
      </c>
      <c r="DQ1612" s="5" t="s">
        <v>238</v>
      </c>
      <c r="DT1612" s="5" t="s">
        <v>2039</v>
      </c>
      <c r="DU1612" s="5" t="s">
        <v>1168</v>
      </c>
      <c r="HM1612" s="5" t="s">
        <v>264</v>
      </c>
    </row>
    <row r="1613" spans="1:221" x14ac:dyDescent="0.4">
      <c r="A1613" s="5">
        <v>3288</v>
      </c>
      <c r="B1613" s="5">
        <v>1</v>
      </c>
      <c r="C1613" s="5">
        <v>1</v>
      </c>
      <c r="D1613" s="5" t="s">
        <v>2037</v>
      </c>
      <c r="E1613" s="5" t="s">
        <v>271</v>
      </c>
      <c r="F1613" s="5" t="s">
        <v>248</v>
      </c>
      <c r="G1613" s="5" t="s">
        <v>1969</v>
      </c>
      <c r="H1613" s="6" t="s">
        <v>3802</v>
      </c>
      <c r="I1613" s="7">
        <f>172</f>
        <v>172</v>
      </c>
      <c r="J1613" s="5" t="s">
        <v>262</v>
      </c>
      <c r="K1613" s="8">
        <f>1</f>
        <v>1</v>
      </c>
      <c r="L1613" s="6" t="s">
        <v>242</v>
      </c>
      <c r="M1613" s="5" t="s">
        <v>267</v>
      </c>
      <c r="N1613" s="5" t="s">
        <v>265</v>
      </c>
      <c r="O1613" s="5" t="s">
        <v>238</v>
      </c>
      <c r="P1613" s="5" t="s">
        <v>238</v>
      </c>
      <c r="Q1613" s="5" t="s">
        <v>268</v>
      </c>
      <c r="R1613" s="5" t="s">
        <v>270</v>
      </c>
      <c r="S1613" s="5" t="s">
        <v>238</v>
      </c>
      <c r="V1613" s="5" t="s">
        <v>238</v>
      </c>
      <c r="X1613" s="6" t="s">
        <v>238</v>
      </c>
      <c r="AA1613" s="6" t="s">
        <v>243</v>
      </c>
      <c r="AB1613" s="5" t="s">
        <v>238</v>
      </c>
      <c r="AC1613" s="5" t="s">
        <v>244</v>
      </c>
      <c r="AD1613" s="5" t="s">
        <v>245</v>
      </c>
      <c r="AT1613" s="5" t="s">
        <v>246</v>
      </c>
      <c r="AU1613" s="5" t="s">
        <v>238</v>
      </c>
      <c r="AV1613" s="5" t="s">
        <v>247</v>
      </c>
      <c r="AW1613" s="5" t="s">
        <v>238</v>
      </c>
      <c r="AX1613" s="5" t="s">
        <v>249</v>
      </c>
      <c r="AY1613" s="5" t="s">
        <v>238</v>
      </c>
      <c r="BA1613" s="5" t="s">
        <v>238</v>
      </c>
      <c r="BC1613" s="5" t="s">
        <v>250</v>
      </c>
      <c r="BD1613" s="6" t="s">
        <v>243</v>
      </c>
      <c r="BE1613" s="5" t="s">
        <v>251</v>
      </c>
      <c r="BF1613" s="5" t="s">
        <v>252</v>
      </c>
      <c r="BG1613" s="5" t="s">
        <v>238</v>
      </c>
      <c r="BH1613" s="7">
        <f>0</f>
        <v>0</v>
      </c>
      <c r="BI1613" s="8">
        <f>0</f>
        <v>0</v>
      </c>
      <c r="BJ1613" s="5" t="s">
        <v>253</v>
      </c>
      <c r="BK1613" s="5" t="s">
        <v>254</v>
      </c>
      <c r="BY1613" s="5" t="s">
        <v>238</v>
      </c>
      <c r="BZ1613" s="5" t="s">
        <v>238</v>
      </c>
      <c r="CD1613" s="5" t="s">
        <v>273</v>
      </c>
      <c r="CE1613" s="5" t="s">
        <v>256</v>
      </c>
      <c r="CF1613" s="5" t="s">
        <v>238</v>
      </c>
      <c r="CI1613" s="6" t="s">
        <v>257</v>
      </c>
      <c r="CJ1613" s="5" t="s">
        <v>238</v>
      </c>
      <c r="CK1613" s="5" t="s">
        <v>258</v>
      </c>
      <c r="CL1613" s="5" t="s">
        <v>238</v>
      </c>
      <c r="CM1613" s="5" t="s">
        <v>238</v>
      </c>
      <c r="CN1613" s="5">
        <v>0</v>
      </c>
      <c r="CO1613" s="5" t="s">
        <v>259</v>
      </c>
      <c r="CP1613" s="5" t="s">
        <v>260</v>
      </c>
      <c r="CQ1613" s="5" t="s">
        <v>260</v>
      </c>
      <c r="CR1613" s="5" t="s">
        <v>261</v>
      </c>
      <c r="CU1613" s="8">
        <f>1</f>
        <v>1</v>
      </c>
      <c r="CV1613" s="8">
        <f>0</f>
        <v>0</v>
      </c>
      <c r="CX1613" s="8">
        <f>0</f>
        <v>0</v>
      </c>
      <c r="CY1613" s="8">
        <f>1</f>
        <v>1</v>
      </c>
      <c r="DA1613" s="5" t="s">
        <v>673</v>
      </c>
      <c r="DB1613" s="5" t="s">
        <v>238</v>
      </c>
      <c r="DD1613" s="5" t="s">
        <v>673</v>
      </c>
      <c r="DE1613" s="8">
        <f>172</f>
        <v>172</v>
      </c>
      <c r="DG1613" s="5" t="s">
        <v>238</v>
      </c>
      <c r="DH1613" s="5" t="s">
        <v>238</v>
      </c>
      <c r="DI1613" s="5" t="s">
        <v>238</v>
      </c>
      <c r="DJ1613" s="5" t="s">
        <v>238</v>
      </c>
      <c r="DN1613" s="5" t="s">
        <v>238</v>
      </c>
      <c r="DO1613" s="5" t="s">
        <v>238</v>
      </c>
      <c r="DP1613" s="5" t="s">
        <v>238</v>
      </c>
      <c r="DQ1613" s="5" t="s">
        <v>238</v>
      </c>
      <c r="DT1613" s="5" t="s">
        <v>2039</v>
      </c>
      <c r="DU1613" s="5" t="s">
        <v>1160</v>
      </c>
      <c r="HM1613" s="5" t="s">
        <v>264</v>
      </c>
    </row>
    <row r="1614" spans="1:221" x14ac:dyDescent="0.4">
      <c r="A1614" s="5">
        <v>3289</v>
      </c>
      <c r="B1614" s="5">
        <v>1</v>
      </c>
      <c r="C1614" s="5">
        <v>1</v>
      </c>
      <c r="D1614" s="5" t="s">
        <v>2037</v>
      </c>
      <c r="E1614" s="5" t="s">
        <v>271</v>
      </c>
      <c r="F1614" s="5" t="s">
        <v>248</v>
      </c>
      <c r="G1614" s="5" t="s">
        <v>1969</v>
      </c>
      <c r="H1614" s="6" t="s">
        <v>3801</v>
      </c>
      <c r="I1614" s="7">
        <f>134</f>
        <v>134</v>
      </c>
      <c r="J1614" s="5" t="s">
        <v>262</v>
      </c>
      <c r="K1614" s="8">
        <f>1</f>
        <v>1</v>
      </c>
      <c r="L1614" s="6" t="s">
        <v>242</v>
      </c>
      <c r="M1614" s="5" t="s">
        <v>267</v>
      </c>
      <c r="N1614" s="5" t="s">
        <v>265</v>
      </c>
      <c r="O1614" s="5" t="s">
        <v>238</v>
      </c>
      <c r="P1614" s="5" t="s">
        <v>238</v>
      </c>
      <c r="Q1614" s="5" t="s">
        <v>268</v>
      </c>
      <c r="R1614" s="5" t="s">
        <v>270</v>
      </c>
      <c r="S1614" s="5" t="s">
        <v>238</v>
      </c>
      <c r="V1614" s="5" t="s">
        <v>238</v>
      </c>
      <c r="X1614" s="6" t="s">
        <v>238</v>
      </c>
      <c r="AA1614" s="6" t="s">
        <v>243</v>
      </c>
      <c r="AB1614" s="5" t="s">
        <v>238</v>
      </c>
      <c r="AC1614" s="5" t="s">
        <v>244</v>
      </c>
      <c r="AD1614" s="5" t="s">
        <v>245</v>
      </c>
      <c r="AT1614" s="5" t="s">
        <v>246</v>
      </c>
      <c r="AU1614" s="5" t="s">
        <v>238</v>
      </c>
      <c r="AV1614" s="5" t="s">
        <v>247</v>
      </c>
      <c r="AW1614" s="5" t="s">
        <v>238</v>
      </c>
      <c r="AX1614" s="5" t="s">
        <v>249</v>
      </c>
      <c r="AY1614" s="5" t="s">
        <v>238</v>
      </c>
      <c r="BA1614" s="5" t="s">
        <v>238</v>
      </c>
      <c r="BC1614" s="5" t="s">
        <v>250</v>
      </c>
      <c r="BD1614" s="6" t="s">
        <v>243</v>
      </c>
      <c r="BE1614" s="5" t="s">
        <v>251</v>
      </c>
      <c r="BF1614" s="5" t="s">
        <v>252</v>
      </c>
      <c r="BG1614" s="5" t="s">
        <v>238</v>
      </c>
      <c r="BH1614" s="7">
        <f>0</f>
        <v>0</v>
      </c>
      <c r="BI1614" s="8">
        <f>0</f>
        <v>0</v>
      </c>
      <c r="BJ1614" s="5" t="s">
        <v>253</v>
      </c>
      <c r="BK1614" s="5" t="s">
        <v>254</v>
      </c>
      <c r="BY1614" s="5" t="s">
        <v>238</v>
      </c>
      <c r="BZ1614" s="5" t="s">
        <v>238</v>
      </c>
      <c r="CD1614" s="5" t="s">
        <v>273</v>
      </c>
      <c r="CE1614" s="5" t="s">
        <v>256</v>
      </c>
      <c r="CF1614" s="5" t="s">
        <v>238</v>
      </c>
      <c r="CI1614" s="6" t="s">
        <v>257</v>
      </c>
      <c r="CJ1614" s="5" t="s">
        <v>238</v>
      </c>
      <c r="CK1614" s="5" t="s">
        <v>258</v>
      </c>
      <c r="CL1614" s="5" t="s">
        <v>238</v>
      </c>
      <c r="CM1614" s="5" t="s">
        <v>238</v>
      </c>
      <c r="CN1614" s="5">
        <v>0</v>
      </c>
      <c r="CO1614" s="5" t="s">
        <v>259</v>
      </c>
      <c r="CP1614" s="5" t="s">
        <v>260</v>
      </c>
      <c r="CQ1614" s="5" t="s">
        <v>260</v>
      </c>
      <c r="CR1614" s="5" t="s">
        <v>261</v>
      </c>
      <c r="CU1614" s="8">
        <f>1</f>
        <v>1</v>
      </c>
      <c r="CV1614" s="8">
        <f>0</f>
        <v>0</v>
      </c>
      <c r="CX1614" s="8">
        <f>0</f>
        <v>0</v>
      </c>
      <c r="CY1614" s="8">
        <f>1</f>
        <v>1</v>
      </c>
      <c r="DA1614" s="5" t="s">
        <v>673</v>
      </c>
      <c r="DB1614" s="5" t="s">
        <v>238</v>
      </c>
      <c r="DD1614" s="5" t="s">
        <v>673</v>
      </c>
      <c r="DE1614" s="8">
        <f>134</f>
        <v>134</v>
      </c>
      <c r="DG1614" s="5" t="s">
        <v>238</v>
      </c>
      <c r="DH1614" s="5" t="s">
        <v>238</v>
      </c>
      <c r="DI1614" s="5" t="s">
        <v>238</v>
      </c>
      <c r="DJ1614" s="5" t="s">
        <v>238</v>
      </c>
      <c r="DN1614" s="5" t="s">
        <v>238</v>
      </c>
      <c r="DO1614" s="5" t="s">
        <v>238</v>
      </c>
      <c r="DP1614" s="5" t="s">
        <v>238</v>
      </c>
      <c r="DQ1614" s="5" t="s">
        <v>238</v>
      </c>
      <c r="DT1614" s="5" t="s">
        <v>2039</v>
      </c>
      <c r="DU1614" s="5" t="s">
        <v>1154</v>
      </c>
      <c r="HM1614" s="5" t="s">
        <v>264</v>
      </c>
    </row>
    <row r="1615" spans="1:221" x14ac:dyDescent="0.4">
      <c r="A1615" s="5">
        <v>3290</v>
      </c>
      <c r="B1615" s="5">
        <v>1</v>
      </c>
      <c r="C1615" s="5">
        <v>1</v>
      </c>
      <c r="D1615" s="5" t="s">
        <v>2037</v>
      </c>
      <c r="E1615" s="5" t="s">
        <v>271</v>
      </c>
      <c r="F1615" s="5" t="s">
        <v>248</v>
      </c>
      <c r="G1615" s="5" t="s">
        <v>1969</v>
      </c>
      <c r="H1615" s="6" t="s">
        <v>3795</v>
      </c>
      <c r="I1615" s="7">
        <f>367</f>
        <v>367</v>
      </c>
      <c r="J1615" s="5" t="s">
        <v>262</v>
      </c>
      <c r="K1615" s="8">
        <f>1</f>
        <v>1</v>
      </c>
      <c r="L1615" s="6" t="s">
        <v>242</v>
      </c>
      <c r="M1615" s="5" t="s">
        <v>267</v>
      </c>
      <c r="N1615" s="5" t="s">
        <v>265</v>
      </c>
      <c r="O1615" s="5" t="s">
        <v>238</v>
      </c>
      <c r="P1615" s="5" t="s">
        <v>238</v>
      </c>
      <c r="Q1615" s="5" t="s">
        <v>268</v>
      </c>
      <c r="R1615" s="5" t="s">
        <v>270</v>
      </c>
      <c r="S1615" s="5" t="s">
        <v>238</v>
      </c>
      <c r="V1615" s="5" t="s">
        <v>238</v>
      </c>
      <c r="X1615" s="6" t="s">
        <v>238</v>
      </c>
      <c r="AA1615" s="6" t="s">
        <v>243</v>
      </c>
      <c r="AB1615" s="5" t="s">
        <v>238</v>
      </c>
      <c r="AC1615" s="5" t="s">
        <v>244</v>
      </c>
      <c r="AD1615" s="5" t="s">
        <v>245</v>
      </c>
      <c r="AT1615" s="5" t="s">
        <v>246</v>
      </c>
      <c r="AU1615" s="5" t="s">
        <v>238</v>
      </c>
      <c r="AV1615" s="5" t="s">
        <v>247</v>
      </c>
      <c r="AW1615" s="5" t="s">
        <v>238</v>
      </c>
      <c r="AX1615" s="5" t="s">
        <v>249</v>
      </c>
      <c r="AY1615" s="5" t="s">
        <v>238</v>
      </c>
      <c r="BA1615" s="5" t="s">
        <v>238</v>
      </c>
      <c r="BC1615" s="5" t="s">
        <v>250</v>
      </c>
      <c r="BD1615" s="6" t="s">
        <v>243</v>
      </c>
      <c r="BE1615" s="5" t="s">
        <v>251</v>
      </c>
      <c r="BF1615" s="5" t="s">
        <v>252</v>
      </c>
      <c r="BG1615" s="5" t="s">
        <v>238</v>
      </c>
      <c r="BH1615" s="7">
        <f>0</f>
        <v>0</v>
      </c>
      <c r="BI1615" s="8">
        <f>0</f>
        <v>0</v>
      </c>
      <c r="BJ1615" s="5" t="s">
        <v>253</v>
      </c>
      <c r="BK1615" s="5" t="s">
        <v>254</v>
      </c>
      <c r="BY1615" s="5" t="s">
        <v>238</v>
      </c>
      <c r="BZ1615" s="5" t="s">
        <v>238</v>
      </c>
      <c r="CD1615" s="5" t="s">
        <v>273</v>
      </c>
      <c r="CE1615" s="5" t="s">
        <v>256</v>
      </c>
      <c r="CF1615" s="5" t="s">
        <v>238</v>
      </c>
      <c r="CI1615" s="6" t="s">
        <v>257</v>
      </c>
      <c r="CJ1615" s="5" t="s">
        <v>238</v>
      </c>
      <c r="CK1615" s="5" t="s">
        <v>258</v>
      </c>
      <c r="CL1615" s="5" t="s">
        <v>238</v>
      </c>
      <c r="CM1615" s="5" t="s">
        <v>238</v>
      </c>
      <c r="CN1615" s="5">
        <v>0</v>
      </c>
      <c r="CO1615" s="5" t="s">
        <v>259</v>
      </c>
      <c r="CP1615" s="5" t="s">
        <v>260</v>
      </c>
      <c r="CQ1615" s="5" t="s">
        <v>260</v>
      </c>
      <c r="CR1615" s="5" t="s">
        <v>261</v>
      </c>
      <c r="CU1615" s="8">
        <f>1</f>
        <v>1</v>
      </c>
      <c r="CV1615" s="8">
        <f>0</f>
        <v>0</v>
      </c>
      <c r="CX1615" s="8">
        <f>0</f>
        <v>0</v>
      </c>
      <c r="CY1615" s="8">
        <f>1</f>
        <v>1</v>
      </c>
      <c r="DA1615" s="5" t="s">
        <v>673</v>
      </c>
      <c r="DB1615" s="5" t="s">
        <v>238</v>
      </c>
      <c r="DD1615" s="5" t="s">
        <v>673</v>
      </c>
      <c r="DE1615" s="8">
        <f>367</f>
        <v>367</v>
      </c>
      <c r="DG1615" s="5" t="s">
        <v>238</v>
      </c>
      <c r="DH1615" s="5" t="s">
        <v>238</v>
      </c>
      <c r="DI1615" s="5" t="s">
        <v>238</v>
      </c>
      <c r="DJ1615" s="5" t="s">
        <v>238</v>
      </c>
      <c r="DN1615" s="5" t="s">
        <v>238</v>
      </c>
      <c r="DO1615" s="5" t="s">
        <v>238</v>
      </c>
      <c r="DP1615" s="5" t="s">
        <v>238</v>
      </c>
      <c r="DQ1615" s="5" t="s">
        <v>238</v>
      </c>
      <c r="DT1615" s="5" t="s">
        <v>2039</v>
      </c>
      <c r="DU1615" s="5" t="s">
        <v>1150</v>
      </c>
      <c r="HM1615" s="5" t="s">
        <v>264</v>
      </c>
    </row>
    <row r="1616" spans="1:221" x14ac:dyDescent="0.4">
      <c r="A1616" s="5">
        <v>3291</v>
      </c>
      <c r="B1616" s="5">
        <v>1</v>
      </c>
      <c r="C1616" s="5">
        <v>1</v>
      </c>
      <c r="D1616" s="5" t="s">
        <v>2037</v>
      </c>
      <c r="E1616" s="5" t="s">
        <v>271</v>
      </c>
      <c r="F1616" s="5" t="s">
        <v>248</v>
      </c>
      <c r="G1616" s="5" t="s">
        <v>1969</v>
      </c>
      <c r="H1616" s="6" t="s">
        <v>3794</v>
      </c>
      <c r="I1616" s="7">
        <f>2369</f>
        <v>2369</v>
      </c>
      <c r="J1616" s="5" t="s">
        <v>262</v>
      </c>
      <c r="K1616" s="8">
        <f>1</f>
        <v>1</v>
      </c>
      <c r="L1616" s="6" t="s">
        <v>242</v>
      </c>
      <c r="M1616" s="5" t="s">
        <v>267</v>
      </c>
      <c r="N1616" s="5" t="s">
        <v>265</v>
      </c>
      <c r="O1616" s="5" t="s">
        <v>238</v>
      </c>
      <c r="P1616" s="5" t="s">
        <v>238</v>
      </c>
      <c r="Q1616" s="5" t="s">
        <v>268</v>
      </c>
      <c r="R1616" s="5" t="s">
        <v>270</v>
      </c>
      <c r="S1616" s="5" t="s">
        <v>238</v>
      </c>
      <c r="V1616" s="5" t="s">
        <v>238</v>
      </c>
      <c r="X1616" s="6" t="s">
        <v>238</v>
      </c>
      <c r="AA1616" s="6" t="s">
        <v>243</v>
      </c>
      <c r="AB1616" s="5" t="s">
        <v>238</v>
      </c>
      <c r="AC1616" s="5" t="s">
        <v>244</v>
      </c>
      <c r="AD1616" s="5" t="s">
        <v>245</v>
      </c>
      <c r="AT1616" s="5" t="s">
        <v>246</v>
      </c>
      <c r="AU1616" s="5" t="s">
        <v>238</v>
      </c>
      <c r="AV1616" s="5" t="s">
        <v>247</v>
      </c>
      <c r="AW1616" s="5" t="s">
        <v>238</v>
      </c>
      <c r="AX1616" s="5" t="s">
        <v>249</v>
      </c>
      <c r="AY1616" s="5" t="s">
        <v>238</v>
      </c>
      <c r="BA1616" s="5" t="s">
        <v>238</v>
      </c>
      <c r="BC1616" s="5" t="s">
        <v>250</v>
      </c>
      <c r="BD1616" s="6" t="s">
        <v>243</v>
      </c>
      <c r="BE1616" s="5" t="s">
        <v>251</v>
      </c>
      <c r="BF1616" s="5" t="s">
        <v>252</v>
      </c>
      <c r="BG1616" s="5" t="s">
        <v>238</v>
      </c>
      <c r="BH1616" s="7">
        <f>0</f>
        <v>0</v>
      </c>
      <c r="BI1616" s="8">
        <f>0</f>
        <v>0</v>
      </c>
      <c r="BJ1616" s="5" t="s">
        <v>253</v>
      </c>
      <c r="BK1616" s="5" t="s">
        <v>254</v>
      </c>
      <c r="BY1616" s="5" t="s">
        <v>238</v>
      </c>
      <c r="BZ1616" s="5" t="s">
        <v>238</v>
      </c>
      <c r="CD1616" s="5" t="s">
        <v>273</v>
      </c>
      <c r="CE1616" s="5" t="s">
        <v>256</v>
      </c>
      <c r="CF1616" s="5" t="s">
        <v>238</v>
      </c>
      <c r="CI1616" s="6" t="s">
        <v>257</v>
      </c>
      <c r="CJ1616" s="5" t="s">
        <v>238</v>
      </c>
      <c r="CK1616" s="5" t="s">
        <v>258</v>
      </c>
      <c r="CL1616" s="5" t="s">
        <v>238</v>
      </c>
      <c r="CM1616" s="5" t="s">
        <v>238</v>
      </c>
      <c r="CN1616" s="5">
        <v>0</v>
      </c>
      <c r="CO1616" s="5" t="s">
        <v>259</v>
      </c>
      <c r="CP1616" s="5" t="s">
        <v>260</v>
      </c>
      <c r="CQ1616" s="5" t="s">
        <v>260</v>
      </c>
      <c r="CR1616" s="5" t="s">
        <v>261</v>
      </c>
      <c r="CU1616" s="8">
        <f>1</f>
        <v>1</v>
      </c>
      <c r="CV1616" s="8">
        <f>0</f>
        <v>0</v>
      </c>
      <c r="CX1616" s="8">
        <f>0</f>
        <v>0</v>
      </c>
      <c r="CY1616" s="8">
        <f>1</f>
        <v>1</v>
      </c>
      <c r="DA1616" s="5" t="s">
        <v>673</v>
      </c>
      <c r="DB1616" s="5" t="s">
        <v>238</v>
      </c>
      <c r="DD1616" s="5" t="s">
        <v>673</v>
      </c>
      <c r="DE1616" s="8">
        <f>2369</f>
        <v>2369</v>
      </c>
      <c r="DG1616" s="5" t="s">
        <v>238</v>
      </c>
      <c r="DH1616" s="5" t="s">
        <v>238</v>
      </c>
      <c r="DI1616" s="5" t="s">
        <v>238</v>
      </c>
      <c r="DJ1616" s="5" t="s">
        <v>238</v>
      </c>
      <c r="DN1616" s="5" t="s">
        <v>238</v>
      </c>
      <c r="DO1616" s="5" t="s">
        <v>238</v>
      </c>
      <c r="DP1616" s="5" t="s">
        <v>238</v>
      </c>
      <c r="DQ1616" s="5" t="s">
        <v>238</v>
      </c>
      <c r="DT1616" s="5" t="s">
        <v>2039</v>
      </c>
      <c r="DU1616" s="5" t="s">
        <v>1144</v>
      </c>
      <c r="HM1616" s="5" t="s">
        <v>264</v>
      </c>
    </row>
    <row r="1617" spans="1:221" x14ac:dyDescent="0.4">
      <c r="A1617" s="5">
        <v>3292</v>
      </c>
      <c r="B1617" s="5">
        <v>1</v>
      </c>
      <c r="C1617" s="5">
        <v>1</v>
      </c>
      <c r="D1617" s="5" t="s">
        <v>2037</v>
      </c>
      <c r="E1617" s="5" t="s">
        <v>271</v>
      </c>
      <c r="F1617" s="5" t="s">
        <v>248</v>
      </c>
      <c r="G1617" s="5" t="s">
        <v>1969</v>
      </c>
      <c r="H1617" s="6" t="s">
        <v>3793</v>
      </c>
      <c r="I1617" s="7">
        <f>1730</f>
        <v>1730</v>
      </c>
      <c r="J1617" s="5" t="s">
        <v>262</v>
      </c>
      <c r="K1617" s="8">
        <f>1</f>
        <v>1</v>
      </c>
      <c r="L1617" s="6" t="s">
        <v>242</v>
      </c>
      <c r="M1617" s="5" t="s">
        <v>267</v>
      </c>
      <c r="N1617" s="5" t="s">
        <v>265</v>
      </c>
      <c r="O1617" s="5" t="s">
        <v>238</v>
      </c>
      <c r="P1617" s="5" t="s">
        <v>238</v>
      </c>
      <c r="Q1617" s="5" t="s">
        <v>268</v>
      </c>
      <c r="R1617" s="5" t="s">
        <v>270</v>
      </c>
      <c r="S1617" s="5" t="s">
        <v>238</v>
      </c>
      <c r="V1617" s="5" t="s">
        <v>238</v>
      </c>
      <c r="X1617" s="6" t="s">
        <v>238</v>
      </c>
      <c r="AA1617" s="6" t="s">
        <v>243</v>
      </c>
      <c r="AB1617" s="5" t="s">
        <v>238</v>
      </c>
      <c r="AC1617" s="5" t="s">
        <v>244</v>
      </c>
      <c r="AD1617" s="5" t="s">
        <v>245</v>
      </c>
      <c r="AT1617" s="5" t="s">
        <v>246</v>
      </c>
      <c r="AU1617" s="5" t="s">
        <v>238</v>
      </c>
      <c r="AV1617" s="5" t="s">
        <v>247</v>
      </c>
      <c r="AW1617" s="5" t="s">
        <v>238</v>
      </c>
      <c r="AX1617" s="5" t="s">
        <v>249</v>
      </c>
      <c r="AY1617" s="5" t="s">
        <v>238</v>
      </c>
      <c r="BA1617" s="5" t="s">
        <v>238</v>
      </c>
      <c r="BC1617" s="5" t="s">
        <v>250</v>
      </c>
      <c r="BD1617" s="6" t="s">
        <v>243</v>
      </c>
      <c r="BE1617" s="5" t="s">
        <v>251</v>
      </c>
      <c r="BF1617" s="5" t="s">
        <v>252</v>
      </c>
      <c r="BG1617" s="5" t="s">
        <v>238</v>
      </c>
      <c r="BH1617" s="7">
        <f>0</f>
        <v>0</v>
      </c>
      <c r="BI1617" s="8">
        <f>0</f>
        <v>0</v>
      </c>
      <c r="BJ1617" s="5" t="s">
        <v>253</v>
      </c>
      <c r="BK1617" s="5" t="s">
        <v>254</v>
      </c>
      <c r="BY1617" s="5" t="s">
        <v>238</v>
      </c>
      <c r="BZ1617" s="5" t="s">
        <v>238</v>
      </c>
      <c r="CD1617" s="5" t="s">
        <v>273</v>
      </c>
      <c r="CE1617" s="5" t="s">
        <v>256</v>
      </c>
      <c r="CF1617" s="5" t="s">
        <v>238</v>
      </c>
      <c r="CI1617" s="6" t="s">
        <v>257</v>
      </c>
      <c r="CJ1617" s="5" t="s">
        <v>238</v>
      </c>
      <c r="CK1617" s="5" t="s">
        <v>258</v>
      </c>
      <c r="CL1617" s="5" t="s">
        <v>238</v>
      </c>
      <c r="CM1617" s="5" t="s">
        <v>238</v>
      </c>
      <c r="CN1617" s="5">
        <v>0</v>
      </c>
      <c r="CO1617" s="5" t="s">
        <v>259</v>
      </c>
      <c r="CP1617" s="5" t="s">
        <v>260</v>
      </c>
      <c r="CQ1617" s="5" t="s">
        <v>260</v>
      </c>
      <c r="CR1617" s="5" t="s">
        <v>261</v>
      </c>
      <c r="CU1617" s="8">
        <f>1</f>
        <v>1</v>
      </c>
      <c r="CV1617" s="8">
        <f>0</f>
        <v>0</v>
      </c>
      <c r="CX1617" s="8">
        <f>0</f>
        <v>0</v>
      </c>
      <c r="CY1617" s="8">
        <f>1</f>
        <v>1</v>
      </c>
      <c r="DA1617" s="5" t="s">
        <v>673</v>
      </c>
      <c r="DB1617" s="5" t="s">
        <v>238</v>
      </c>
      <c r="DD1617" s="5" t="s">
        <v>673</v>
      </c>
      <c r="DE1617" s="8">
        <f>1730</f>
        <v>1730</v>
      </c>
      <c r="DG1617" s="5" t="s">
        <v>238</v>
      </c>
      <c r="DH1617" s="5" t="s">
        <v>238</v>
      </c>
      <c r="DI1617" s="5" t="s">
        <v>238</v>
      </c>
      <c r="DJ1617" s="5" t="s">
        <v>238</v>
      </c>
      <c r="DN1617" s="5" t="s">
        <v>238</v>
      </c>
      <c r="DO1617" s="5" t="s">
        <v>238</v>
      </c>
      <c r="DP1617" s="5" t="s">
        <v>238</v>
      </c>
      <c r="DQ1617" s="5" t="s">
        <v>238</v>
      </c>
      <c r="DT1617" s="5" t="s">
        <v>2039</v>
      </c>
      <c r="DU1617" s="5" t="s">
        <v>1140</v>
      </c>
      <c r="HM1617" s="5" t="s">
        <v>264</v>
      </c>
    </row>
    <row r="1618" spans="1:221" x14ac:dyDescent="0.4">
      <c r="A1618" s="5">
        <v>3293</v>
      </c>
      <c r="B1618" s="5">
        <v>1</v>
      </c>
      <c r="C1618" s="5">
        <v>1</v>
      </c>
      <c r="D1618" s="5" t="s">
        <v>2037</v>
      </c>
      <c r="E1618" s="5" t="s">
        <v>271</v>
      </c>
      <c r="F1618" s="5" t="s">
        <v>248</v>
      </c>
      <c r="G1618" s="5" t="s">
        <v>1969</v>
      </c>
      <c r="H1618" s="6" t="s">
        <v>3792</v>
      </c>
      <c r="I1618" s="7">
        <f>747</f>
        <v>747</v>
      </c>
      <c r="J1618" s="5" t="s">
        <v>262</v>
      </c>
      <c r="K1618" s="8">
        <f>1</f>
        <v>1</v>
      </c>
      <c r="L1618" s="6" t="s">
        <v>242</v>
      </c>
      <c r="M1618" s="5" t="s">
        <v>267</v>
      </c>
      <c r="N1618" s="5" t="s">
        <v>265</v>
      </c>
      <c r="O1618" s="5" t="s">
        <v>238</v>
      </c>
      <c r="P1618" s="5" t="s">
        <v>238</v>
      </c>
      <c r="Q1618" s="5" t="s">
        <v>268</v>
      </c>
      <c r="R1618" s="5" t="s">
        <v>270</v>
      </c>
      <c r="S1618" s="5" t="s">
        <v>238</v>
      </c>
      <c r="V1618" s="5" t="s">
        <v>238</v>
      </c>
      <c r="X1618" s="6" t="s">
        <v>238</v>
      </c>
      <c r="AA1618" s="6" t="s">
        <v>243</v>
      </c>
      <c r="AB1618" s="5" t="s">
        <v>238</v>
      </c>
      <c r="AC1618" s="5" t="s">
        <v>244</v>
      </c>
      <c r="AD1618" s="5" t="s">
        <v>245</v>
      </c>
      <c r="AT1618" s="5" t="s">
        <v>246</v>
      </c>
      <c r="AU1618" s="5" t="s">
        <v>238</v>
      </c>
      <c r="AV1618" s="5" t="s">
        <v>247</v>
      </c>
      <c r="AW1618" s="5" t="s">
        <v>238</v>
      </c>
      <c r="AX1618" s="5" t="s">
        <v>249</v>
      </c>
      <c r="AY1618" s="5" t="s">
        <v>238</v>
      </c>
      <c r="BA1618" s="5" t="s">
        <v>238</v>
      </c>
      <c r="BC1618" s="5" t="s">
        <v>250</v>
      </c>
      <c r="BD1618" s="6" t="s">
        <v>243</v>
      </c>
      <c r="BE1618" s="5" t="s">
        <v>251</v>
      </c>
      <c r="BF1618" s="5" t="s">
        <v>252</v>
      </c>
      <c r="BG1618" s="5" t="s">
        <v>238</v>
      </c>
      <c r="BH1618" s="7">
        <f>0</f>
        <v>0</v>
      </c>
      <c r="BI1618" s="8">
        <f>0</f>
        <v>0</v>
      </c>
      <c r="BJ1618" s="5" t="s">
        <v>253</v>
      </c>
      <c r="BK1618" s="5" t="s">
        <v>254</v>
      </c>
      <c r="BY1618" s="5" t="s">
        <v>238</v>
      </c>
      <c r="BZ1618" s="5" t="s">
        <v>238</v>
      </c>
      <c r="CD1618" s="5" t="s">
        <v>273</v>
      </c>
      <c r="CE1618" s="5" t="s">
        <v>256</v>
      </c>
      <c r="CF1618" s="5" t="s">
        <v>238</v>
      </c>
      <c r="CI1618" s="6" t="s">
        <v>257</v>
      </c>
      <c r="CJ1618" s="5" t="s">
        <v>238</v>
      </c>
      <c r="CK1618" s="5" t="s">
        <v>258</v>
      </c>
      <c r="CL1618" s="5" t="s">
        <v>238</v>
      </c>
      <c r="CM1618" s="5" t="s">
        <v>238</v>
      </c>
      <c r="CN1618" s="5">
        <v>0</v>
      </c>
      <c r="CO1618" s="5" t="s">
        <v>259</v>
      </c>
      <c r="CP1618" s="5" t="s">
        <v>260</v>
      </c>
      <c r="CQ1618" s="5" t="s">
        <v>260</v>
      </c>
      <c r="CR1618" s="5" t="s">
        <v>261</v>
      </c>
      <c r="CU1618" s="8">
        <f>1</f>
        <v>1</v>
      </c>
      <c r="CV1618" s="8">
        <f>0</f>
        <v>0</v>
      </c>
      <c r="CX1618" s="8">
        <f>0</f>
        <v>0</v>
      </c>
      <c r="CY1618" s="8">
        <f>1</f>
        <v>1</v>
      </c>
      <c r="DA1618" s="5" t="s">
        <v>673</v>
      </c>
      <c r="DB1618" s="5" t="s">
        <v>238</v>
      </c>
      <c r="DD1618" s="5" t="s">
        <v>673</v>
      </c>
      <c r="DE1618" s="8">
        <f>747</f>
        <v>747</v>
      </c>
      <c r="DG1618" s="5" t="s">
        <v>238</v>
      </c>
      <c r="DH1618" s="5" t="s">
        <v>238</v>
      </c>
      <c r="DI1618" s="5" t="s">
        <v>238</v>
      </c>
      <c r="DJ1618" s="5" t="s">
        <v>238</v>
      </c>
      <c r="DN1618" s="5" t="s">
        <v>238</v>
      </c>
      <c r="DO1618" s="5" t="s">
        <v>238</v>
      </c>
      <c r="DP1618" s="5" t="s">
        <v>238</v>
      </c>
      <c r="DQ1618" s="5" t="s">
        <v>238</v>
      </c>
      <c r="DT1618" s="5" t="s">
        <v>2039</v>
      </c>
      <c r="DU1618" s="5" t="s">
        <v>1133</v>
      </c>
      <c r="HM1618" s="5" t="s">
        <v>264</v>
      </c>
    </row>
    <row r="1619" spans="1:221" x14ac:dyDescent="0.4">
      <c r="A1619" s="5">
        <v>3294</v>
      </c>
      <c r="B1619" s="5">
        <v>1</v>
      </c>
      <c r="C1619" s="5">
        <v>1</v>
      </c>
      <c r="D1619" s="5" t="s">
        <v>2037</v>
      </c>
      <c r="E1619" s="5" t="s">
        <v>271</v>
      </c>
      <c r="F1619" s="5" t="s">
        <v>248</v>
      </c>
      <c r="G1619" s="5" t="s">
        <v>1969</v>
      </c>
      <c r="H1619" s="6" t="s">
        <v>3791</v>
      </c>
      <c r="I1619" s="7">
        <f>2983</f>
        <v>2983</v>
      </c>
      <c r="J1619" s="5" t="s">
        <v>262</v>
      </c>
      <c r="K1619" s="8">
        <f>1</f>
        <v>1</v>
      </c>
      <c r="L1619" s="6" t="s">
        <v>242</v>
      </c>
      <c r="M1619" s="5" t="s">
        <v>267</v>
      </c>
      <c r="N1619" s="5" t="s">
        <v>265</v>
      </c>
      <c r="O1619" s="5" t="s">
        <v>238</v>
      </c>
      <c r="P1619" s="5" t="s">
        <v>238</v>
      </c>
      <c r="Q1619" s="5" t="s">
        <v>268</v>
      </c>
      <c r="R1619" s="5" t="s">
        <v>270</v>
      </c>
      <c r="S1619" s="5" t="s">
        <v>238</v>
      </c>
      <c r="V1619" s="5" t="s">
        <v>238</v>
      </c>
      <c r="X1619" s="6" t="s">
        <v>238</v>
      </c>
      <c r="AA1619" s="6" t="s">
        <v>243</v>
      </c>
      <c r="AB1619" s="5" t="s">
        <v>238</v>
      </c>
      <c r="AC1619" s="5" t="s">
        <v>244</v>
      </c>
      <c r="AD1619" s="5" t="s">
        <v>245</v>
      </c>
      <c r="AT1619" s="5" t="s">
        <v>246</v>
      </c>
      <c r="AU1619" s="5" t="s">
        <v>238</v>
      </c>
      <c r="AV1619" s="5" t="s">
        <v>247</v>
      </c>
      <c r="AW1619" s="5" t="s">
        <v>238</v>
      </c>
      <c r="AX1619" s="5" t="s">
        <v>249</v>
      </c>
      <c r="AY1619" s="5" t="s">
        <v>238</v>
      </c>
      <c r="BA1619" s="5" t="s">
        <v>238</v>
      </c>
      <c r="BC1619" s="5" t="s">
        <v>250</v>
      </c>
      <c r="BD1619" s="6" t="s">
        <v>243</v>
      </c>
      <c r="BE1619" s="5" t="s">
        <v>251</v>
      </c>
      <c r="BF1619" s="5" t="s">
        <v>252</v>
      </c>
      <c r="BG1619" s="5" t="s">
        <v>238</v>
      </c>
      <c r="BH1619" s="7">
        <f>0</f>
        <v>0</v>
      </c>
      <c r="BI1619" s="8">
        <f>0</f>
        <v>0</v>
      </c>
      <c r="BJ1619" s="5" t="s">
        <v>253</v>
      </c>
      <c r="BK1619" s="5" t="s">
        <v>254</v>
      </c>
      <c r="BY1619" s="5" t="s">
        <v>238</v>
      </c>
      <c r="BZ1619" s="5" t="s">
        <v>238</v>
      </c>
      <c r="CD1619" s="5" t="s">
        <v>273</v>
      </c>
      <c r="CE1619" s="5" t="s">
        <v>256</v>
      </c>
      <c r="CF1619" s="5" t="s">
        <v>238</v>
      </c>
      <c r="CI1619" s="6" t="s">
        <v>257</v>
      </c>
      <c r="CJ1619" s="5" t="s">
        <v>238</v>
      </c>
      <c r="CK1619" s="5" t="s">
        <v>258</v>
      </c>
      <c r="CL1619" s="5" t="s">
        <v>238</v>
      </c>
      <c r="CM1619" s="5" t="s">
        <v>238</v>
      </c>
      <c r="CN1619" s="5">
        <v>0</v>
      </c>
      <c r="CO1619" s="5" t="s">
        <v>259</v>
      </c>
      <c r="CP1619" s="5" t="s">
        <v>260</v>
      </c>
      <c r="CQ1619" s="5" t="s">
        <v>260</v>
      </c>
      <c r="CR1619" s="5" t="s">
        <v>261</v>
      </c>
      <c r="CU1619" s="8">
        <f>1</f>
        <v>1</v>
      </c>
      <c r="CV1619" s="8">
        <f>0</f>
        <v>0</v>
      </c>
      <c r="CX1619" s="8">
        <f>0</f>
        <v>0</v>
      </c>
      <c r="CY1619" s="8">
        <f>1</f>
        <v>1</v>
      </c>
      <c r="DA1619" s="5" t="s">
        <v>673</v>
      </c>
      <c r="DB1619" s="5" t="s">
        <v>238</v>
      </c>
      <c r="DD1619" s="5" t="s">
        <v>673</v>
      </c>
      <c r="DE1619" s="8">
        <f>2983</f>
        <v>2983</v>
      </c>
      <c r="DG1619" s="5" t="s">
        <v>238</v>
      </c>
      <c r="DH1619" s="5" t="s">
        <v>238</v>
      </c>
      <c r="DI1619" s="5" t="s">
        <v>238</v>
      </c>
      <c r="DJ1619" s="5" t="s">
        <v>238</v>
      </c>
      <c r="DN1619" s="5" t="s">
        <v>238</v>
      </c>
      <c r="DO1619" s="5" t="s">
        <v>238</v>
      </c>
      <c r="DP1619" s="5" t="s">
        <v>238</v>
      </c>
      <c r="DQ1619" s="5" t="s">
        <v>238</v>
      </c>
      <c r="DT1619" s="5" t="s">
        <v>2039</v>
      </c>
      <c r="DU1619" s="5" t="s">
        <v>1124</v>
      </c>
      <c r="HM1619" s="5" t="s">
        <v>264</v>
      </c>
    </row>
    <row r="1620" spans="1:221" x14ac:dyDescent="0.4">
      <c r="A1620" s="5">
        <v>3295</v>
      </c>
      <c r="B1620" s="5">
        <v>1</v>
      </c>
      <c r="C1620" s="5">
        <v>1</v>
      </c>
      <c r="D1620" s="5" t="s">
        <v>2037</v>
      </c>
      <c r="E1620" s="5" t="s">
        <v>271</v>
      </c>
      <c r="F1620" s="5" t="s">
        <v>248</v>
      </c>
      <c r="G1620" s="5" t="s">
        <v>1969</v>
      </c>
      <c r="H1620" s="6" t="s">
        <v>3790</v>
      </c>
      <c r="I1620" s="7">
        <f>1661</f>
        <v>1661</v>
      </c>
      <c r="J1620" s="5" t="s">
        <v>262</v>
      </c>
      <c r="K1620" s="8">
        <f>1</f>
        <v>1</v>
      </c>
      <c r="L1620" s="6" t="s">
        <v>242</v>
      </c>
      <c r="M1620" s="5" t="s">
        <v>267</v>
      </c>
      <c r="N1620" s="5" t="s">
        <v>265</v>
      </c>
      <c r="O1620" s="5" t="s">
        <v>238</v>
      </c>
      <c r="P1620" s="5" t="s">
        <v>238</v>
      </c>
      <c r="Q1620" s="5" t="s">
        <v>268</v>
      </c>
      <c r="R1620" s="5" t="s">
        <v>270</v>
      </c>
      <c r="S1620" s="5" t="s">
        <v>238</v>
      </c>
      <c r="V1620" s="5" t="s">
        <v>238</v>
      </c>
      <c r="X1620" s="6" t="s">
        <v>238</v>
      </c>
      <c r="AA1620" s="6" t="s">
        <v>243</v>
      </c>
      <c r="AB1620" s="5" t="s">
        <v>238</v>
      </c>
      <c r="AC1620" s="5" t="s">
        <v>244</v>
      </c>
      <c r="AD1620" s="5" t="s">
        <v>245</v>
      </c>
      <c r="AT1620" s="5" t="s">
        <v>246</v>
      </c>
      <c r="AU1620" s="5" t="s">
        <v>238</v>
      </c>
      <c r="AV1620" s="5" t="s">
        <v>247</v>
      </c>
      <c r="AW1620" s="5" t="s">
        <v>238</v>
      </c>
      <c r="AX1620" s="5" t="s">
        <v>249</v>
      </c>
      <c r="AY1620" s="5" t="s">
        <v>238</v>
      </c>
      <c r="BA1620" s="5" t="s">
        <v>238</v>
      </c>
      <c r="BC1620" s="5" t="s">
        <v>250</v>
      </c>
      <c r="BD1620" s="6" t="s">
        <v>243</v>
      </c>
      <c r="BE1620" s="5" t="s">
        <v>251</v>
      </c>
      <c r="BF1620" s="5" t="s">
        <v>252</v>
      </c>
      <c r="BG1620" s="5" t="s">
        <v>238</v>
      </c>
      <c r="BH1620" s="7">
        <f>0</f>
        <v>0</v>
      </c>
      <c r="BI1620" s="8">
        <f>0</f>
        <v>0</v>
      </c>
      <c r="BJ1620" s="5" t="s">
        <v>253</v>
      </c>
      <c r="BK1620" s="5" t="s">
        <v>254</v>
      </c>
      <c r="BY1620" s="5" t="s">
        <v>238</v>
      </c>
      <c r="BZ1620" s="5" t="s">
        <v>238</v>
      </c>
      <c r="CD1620" s="5" t="s">
        <v>273</v>
      </c>
      <c r="CE1620" s="5" t="s">
        <v>256</v>
      </c>
      <c r="CF1620" s="5" t="s">
        <v>238</v>
      </c>
      <c r="CI1620" s="6" t="s">
        <v>257</v>
      </c>
      <c r="CJ1620" s="5" t="s">
        <v>238</v>
      </c>
      <c r="CK1620" s="5" t="s">
        <v>258</v>
      </c>
      <c r="CL1620" s="5" t="s">
        <v>238</v>
      </c>
      <c r="CM1620" s="5" t="s">
        <v>238</v>
      </c>
      <c r="CN1620" s="5">
        <v>0</v>
      </c>
      <c r="CO1620" s="5" t="s">
        <v>259</v>
      </c>
      <c r="CP1620" s="5" t="s">
        <v>260</v>
      </c>
      <c r="CQ1620" s="5" t="s">
        <v>260</v>
      </c>
      <c r="CR1620" s="5" t="s">
        <v>261</v>
      </c>
      <c r="CU1620" s="8">
        <f>1</f>
        <v>1</v>
      </c>
      <c r="CV1620" s="8">
        <f>0</f>
        <v>0</v>
      </c>
      <c r="CX1620" s="8">
        <f>0</f>
        <v>0</v>
      </c>
      <c r="CY1620" s="8">
        <f>1</f>
        <v>1</v>
      </c>
      <c r="DA1620" s="5" t="s">
        <v>673</v>
      </c>
      <c r="DB1620" s="5" t="s">
        <v>238</v>
      </c>
      <c r="DD1620" s="5" t="s">
        <v>673</v>
      </c>
      <c r="DE1620" s="8">
        <f>1661</f>
        <v>1661</v>
      </c>
      <c r="DG1620" s="5" t="s">
        <v>238</v>
      </c>
      <c r="DH1620" s="5" t="s">
        <v>238</v>
      </c>
      <c r="DI1620" s="5" t="s">
        <v>238</v>
      </c>
      <c r="DJ1620" s="5" t="s">
        <v>238</v>
      </c>
      <c r="DN1620" s="5" t="s">
        <v>238</v>
      </c>
      <c r="DO1620" s="5" t="s">
        <v>238</v>
      </c>
      <c r="DP1620" s="5" t="s">
        <v>238</v>
      </c>
      <c r="DQ1620" s="5" t="s">
        <v>238</v>
      </c>
      <c r="DT1620" s="5" t="s">
        <v>2039</v>
      </c>
      <c r="DU1620" s="5" t="s">
        <v>1118</v>
      </c>
      <c r="HM1620" s="5" t="s">
        <v>264</v>
      </c>
    </row>
    <row r="1621" spans="1:221" x14ac:dyDescent="0.4">
      <c r="A1621" s="5">
        <v>3296</v>
      </c>
      <c r="B1621" s="5">
        <v>1</v>
      </c>
      <c r="C1621" s="5">
        <v>1</v>
      </c>
      <c r="D1621" s="5" t="s">
        <v>2037</v>
      </c>
      <c r="E1621" s="5" t="s">
        <v>271</v>
      </c>
      <c r="F1621" s="5" t="s">
        <v>248</v>
      </c>
      <c r="G1621" s="5" t="s">
        <v>1969</v>
      </c>
      <c r="H1621" s="6" t="s">
        <v>3786</v>
      </c>
      <c r="I1621" s="7">
        <f>1109</f>
        <v>1109</v>
      </c>
      <c r="J1621" s="5" t="s">
        <v>262</v>
      </c>
      <c r="K1621" s="8">
        <f>1</f>
        <v>1</v>
      </c>
      <c r="L1621" s="6" t="s">
        <v>242</v>
      </c>
      <c r="M1621" s="5" t="s">
        <v>267</v>
      </c>
      <c r="N1621" s="5" t="s">
        <v>265</v>
      </c>
      <c r="O1621" s="5" t="s">
        <v>238</v>
      </c>
      <c r="P1621" s="5" t="s">
        <v>238</v>
      </c>
      <c r="Q1621" s="5" t="s">
        <v>268</v>
      </c>
      <c r="R1621" s="5" t="s">
        <v>270</v>
      </c>
      <c r="S1621" s="5" t="s">
        <v>238</v>
      </c>
      <c r="V1621" s="5" t="s">
        <v>238</v>
      </c>
      <c r="X1621" s="6" t="s">
        <v>238</v>
      </c>
      <c r="AA1621" s="6" t="s">
        <v>243</v>
      </c>
      <c r="AB1621" s="5" t="s">
        <v>238</v>
      </c>
      <c r="AC1621" s="5" t="s">
        <v>244</v>
      </c>
      <c r="AD1621" s="5" t="s">
        <v>245</v>
      </c>
      <c r="AT1621" s="5" t="s">
        <v>246</v>
      </c>
      <c r="AU1621" s="5" t="s">
        <v>238</v>
      </c>
      <c r="AV1621" s="5" t="s">
        <v>247</v>
      </c>
      <c r="AW1621" s="5" t="s">
        <v>238</v>
      </c>
      <c r="AX1621" s="5" t="s">
        <v>249</v>
      </c>
      <c r="AY1621" s="5" t="s">
        <v>238</v>
      </c>
      <c r="BA1621" s="5" t="s">
        <v>238</v>
      </c>
      <c r="BC1621" s="5" t="s">
        <v>250</v>
      </c>
      <c r="BD1621" s="6" t="s">
        <v>243</v>
      </c>
      <c r="BE1621" s="5" t="s">
        <v>251</v>
      </c>
      <c r="BF1621" s="5" t="s">
        <v>252</v>
      </c>
      <c r="BG1621" s="5" t="s">
        <v>238</v>
      </c>
      <c r="BH1621" s="7">
        <f>0</f>
        <v>0</v>
      </c>
      <c r="BI1621" s="8">
        <f>0</f>
        <v>0</v>
      </c>
      <c r="BJ1621" s="5" t="s">
        <v>253</v>
      </c>
      <c r="BK1621" s="5" t="s">
        <v>254</v>
      </c>
      <c r="BY1621" s="5" t="s">
        <v>238</v>
      </c>
      <c r="BZ1621" s="5" t="s">
        <v>238</v>
      </c>
      <c r="CD1621" s="5" t="s">
        <v>273</v>
      </c>
      <c r="CE1621" s="5" t="s">
        <v>256</v>
      </c>
      <c r="CF1621" s="5" t="s">
        <v>238</v>
      </c>
      <c r="CI1621" s="6" t="s">
        <v>257</v>
      </c>
      <c r="CJ1621" s="5" t="s">
        <v>238</v>
      </c>
      <c r="CK1621" s="5" t="s">
        <v>258</v>
      </c>
      <c r="CL1621" s="5" t="s">
        <v>238</v>
      </c>
      <c r="CM1621" s="5" t="s">
        <v>238</v>
      </c>
      <c r="CN1621" s="5">
        <v>0</v>
      </c>
      <c r="CO1621" s="5" t="s">
        <v>259</v>
      </c>
      <c r="CP1621" s="5" t="s">
        <v>260</v>
      </c>
      <c r="CQ1621" s="5" t="s">
        <v>260</v>
      </c>
      <c r="CR1621" s="5" t="s">
        <v>261</v>
      </c>
      <c r="CU1621" s="8">
        <f>1</f>
        <v>1</v>
      </c>
      <c r="CV1621" s="8">
        <f>0</f>
        <v>0</v>
      </c>
      <c r="CX1621" s="8">
        <f>0</f>
        <v>0</v>
      </c>
      <c r="CY1621" s="8">
        <f>1</f>
        <v>1</v>
      </c>
      <c r="DA1621" s="5" t="s">
        <v>673</v>
      </c>
      <c r="DB1621" s="5" t="s">
        <v>238</v>
      </c>
      <c r="DD1621" s="5" t="s">
        <v>673</v>
      </c>
      <c r="DE1621" s="8">
        <f>1109</f>
        <v>1109</v>
      </c>
      <c r="DG1621" s="5" t="s">
        <v>238</v>
      </c>
      <c r="DH1621" s="5" t="s">
        <v>238</v>
      </c>
      <c r="DI1621" s="5" t="s">
        <v>238</v>
      </c>
      <c r="DJ1621" s="5" t="s">
        <v>238</v>
      </c>
      <c r="DN1621" s="5" t="s">
        <v>238</v>
      </c>
      <c r="DO1621" s="5" t="s">
        <v>238</v>
      </c>
      <c r="DP1621" s="5" t="s">
        <v>238</v>
      </c>
      <c r="DQ1621" s="5" t="s">
        <v>238</v>
      </c>
      <c r="DT1621" s="5" t="s">
        <v>2039</v>
      </c>
      <c r="DU1621" s="5" t="s">
        <v>1110</v>
      </c>
      <c r="HM1621" s="5" t="s">
        <v>264</v>
      </c>
    </row>
    <row r="1622" spans="1:221" x14ac:dyDescent="0.4">
      <c r="A1622" s="5">
        <v>3297</v>
      </c>
      <c r="B1622" s="5">
        <v>1</v>
      </c>
      <c r="C1622" s="5">
        <v>1</v>
      </c>
      <c r="D1622" s="5" t="s">
        <v>2037</v>
      </c>
      <c r="E1622" s="5" t="s">
        <v>271</v>
      </c>
      <c r="F1622" s="5" t="s">
        <v>248</v>
      </c>
      <c r="G1622" s="5" t="s">
        <v>1969</v>
      </c>
      <c r="H1622" s="6" t="s">
        <v>3785</v>
      </c>
      <c r="I1622" s="7">
        <f>416</f>
        <v>416</v>
      </c>
      <c r="J1622" s="5" t="s">
        <v>262</v>
      </c>
      <c r="K1622" s="8">
        <f>1</f>
        <v>1</v>
      </c>
      <c r="L1622" s="6" t="s">
        <v>242</v>
      </c>
      <c r="M1622" s="5" t="s">
        <v>267</v>
      </c>
      <c r="N1622" s="5" t="s">
        <v>265</v>
      </c>
      <c r="O1622" s="5" t="s">
        <v>238</v>
      </c>
      <c r="P1622" s="5" t="s">
        <v>238</v>
      </c>
      <c r="Q1622" s="5" t="s">
        <v>268</v>
      </c>
      <c r="R1622" s="5" t="s">
        <v>270</v>
      </c>
      <c r="S1622" s="5" t="s">
        <v>238</v>
      </c>
      <c r="V1622" s="5" t="s">
        <v>238</v>
      </c>
      <c r="X1622" s="6" t="s">
        <v>238</v>
      </c>
      <c r="AA1622" s="6" t="s">
        <v>243</v>
      </c>
      <c r="AB1622" s="5" t="s">
        <v>238</v>
      </c>
      <c r="AC1622" s="5" t="s">
        <v>244</v>
      </c>
      <c r="AD1622" s="5" t="s">
        <v>245</v>
      </c>
      <c r="AT1622" s="5" t="s">
        <v>246</v>
      </c>
      <c r="AU1622" s="5" t="s">
        <v>238</v>
      </c>
      <c r="AV1622" s="5" t="s">
        <v>247</v>
      </c>
      <c r="AW1622" s="5" t="s">
        <v>238</v>
      </c>
      <c r="AX1622" s="5" t="s">
        <v>249</v>
      </c>
      <c r="AY1622" s="5" t="s">
        <v>238</v>
      </c>
      <c r="BA1622" s="5" t="s">
        <v>238</v>
      </c>
      <c r="BC1622" s="5" t="s">
        <v>250</v>
      </c>
      <c r="BD1622" s="6" t="s">
        <v>243</v>
      </c>
      <c r="BE1622" s="5" t="s">
        <v>251</v>
      </c>
      <c r="BF1622" s="5" t="s">
        <v>252</v>
      </c>
      <c r="BG1622" s="5" t="s">
        <v>238</v>
      </c>
      <c r="BH1622" s="7">
        <f>0</f>
        <v>0</v>
      </c>
      <c r="BI1622" s="8">
        <f>0</f>
        <v>0</v>
      </c>
      <c r="BJ1622" s="5" t="s">
        <v>253</v>
      </c>
      <c r="BK1622" s="5" t="s">
        <v>254</v>
      </c>
      <c r="BY1622" s="5" t="s">
        <v>238</v>
      </c>
      <c r="BZ1622" s="5" t="s">
        <v>238</v>
      </c>
      <c r="CD1622" s="5" t="s">
        <v>273</v>
      </c>
      <c r="CE1622" s="5" t="s">
        <v>256</v>
      </c>
      <c r="CF1622" s="5" t="s">
        <v>238</v>
      </c>
      <c r="CI1622" s="6" t="s">
        <v>257</v>
      </c>
      <c r="CJ1622" s="5" t="s">
        <v>238</v>
      </c>
      <c r="CK1622" s="5" t="s">
        <v>258</v>
      </c>
      <c r="CL1622" s="5" t="s">
        <v>238</v>
      </c>
      <c r="CM1622" s="5" t="s">
        <v>238</v>
      </c>
      <c r="CN1622" s="5">
        <v>0</v>
      </c>
      <c r="CO1622" s="5" t="s">
        <v>259</v>
      </c>
      <c r="CP1622" s="5" t="s">
        <v>260</v>
      </c>
      <c r="CQ1622" s="5" t="s">
        <v>260</v>
      </c>
      <c r="CR1622" s="5" t="s">
        <v>261</v>
      </c>
      <c r="CU1622" s="8">
        <f>1</f>
        <v>1</v>
      </c>
      <c r="CV1622" s="8">
        <f>0</f>
        <v>0</v>
      </c>
      <c r="CX1622" s="8">
        <f>0</f>
        <v>0</v>
      </c>
      <c r="CY1622" s="8">
        <f>1</f>
        <v>1</v>
      </c>
      <c r="DA1622" s="5" t="s">
        <v>673</v>
      </c>
      <c r="DB1622" s="5" t="s">
        <v>238</v>
      </c>
      <c r="DD1622" s="5" t="s">
        <v>673</v>
      </c>
      <c r="DE1622" s="8">
        <f>416</f>
        <v>416</v>
      </c>
      <c r="DG1622" s="5" t="s">
        <v>238</v>
      </c>
      <c r="DH1622" s="5" t="s">
        <v>238</v>
      </c>
      <c r="DI1622" s="5" t="s">
        <v>238</v>
      </c>
      <c r="DJ1622" s="5" t="s">
        <v>238</v>
      </c>
      <c r="DN1622" s="5" t="s">
        <v>238</v>
      </c>
      <c r="DO1622" s="5" t="s">
        <v>238</v>
      </c>
      <c r="DP1622" s="5" t="s">
        <v>238</v>
      </c>
      <c r="DQ1622" s="5" t="s">
        <v>238</v>
      </c>
      <c r="DT1622" s="5" t="s">
        <v>2039</v>
      </c>
      <c r="DU1622" s="5" t="s">
        <v>1106</v>
      </c>
      <c r="HM1622" s="5" t="s">
        <v>264</v>
      </c>
    </row>
    <row r="1623" spans="1:221" x14ac:dyDescent="0.4">
      <c r="A1623" s="5">
        <v>3298</v>
      </c>
      <c r="B1623" s="5">
        <v>1</v>
      </c>
      <c r="C1623" s="5">
        <v>1</v>
      </c>
      <c r="D1623" s="5" t="s">
        <v>2037</v>
      </c>
      <c r="E1623" s="5" t="s">
        <v>271</v>
      </c>
      <c r="F1623" s="5" t="s">
        <v>248</v>
      </c>
      <c r="G1623" s="5" t="s">
        <v>1969</v>
      </c>
      <c r="H1623" s="6" t="s">
        <v>3784</v>
      </c>
      <c r="I1623" s="7">
        <f>2567</f>
        <v>2567</v>
      </c>
      <c r="J1623" s="5" t="s">
        <v>262</v>
      </c>
      <c r="K1623" s="8">
        <f>1</f>
        <v>1</v>
      </c>
      <c r="L1623" s="6" t="s">
        <v>242</v>
      </c>
      <c r="M1623" s="5" t="s">
        <v>267</v>
      </c>
      <c r="N1623" s="5" t="s">
        <v>265</v>
      </c>
      <c r="O1623" s="5" t="s">
        <v>238</v>
      </c>
      <c r="P1623" s="5" t="s">
        <v>238</v>
      </c>
      <c r="Q1623" s="5" t="s">
        <v>268</v>
      </c>
      <c r="R1623" s="5" t="s">
        <v>270</v>
      </c>
      <c r="S1623" s="5" t="s">
        <v>238</v>
      </c>
      <c r="V1623" s="5" t="s">
        <v>238</v>
      </c>
      <c r="X1623" s="6" t="s">
        <v>238</v>
      </c>
      <c r="AA1623" s="6" t="s">
        <v>243</v>
      </c>
      <c r="AB1623" s="5" t="s">
        <v>238</v>
      </c>
      <c r="AC1623" s="5" t="s">
        <v>244</v>
      </c>
      <c r="AD1623" s="5" t="s">
        <v>245</v>
      </c>
      <c r="AT1623" s="5" t="s">
        <v>246</v>
      </c>
      <c r="AU1623" s="5" t="s">
        <v>238</v>
      </c>
      <c r="AV1623" s="5" t="s">
        <v>247</v>
      </c>
      <c r="AW1623" s="5" t="s">
        <v>238</v>
      </c>
      <c r="AX1623" s="5" t="s">
        <v>249</v>
      </c>
      <c r="AY1623" s="5" t="s">
        <v>238</v>
      </c>
      <c r="BA1623" s="5" t="s">
        <v>238</v>
      </c>
      <c r="BC1623" s="5" t="s">
        <v>250</v>
      </c>
      <c r="BD1623" s="6" t="s">
        <v>243</v>
      </c>
      <c r="BE1623" s="5" t="s">
        <v>251</v>
      </c>
      <c r="BF1623" s="5" t="s">
        <v>252</v>
      </c>
      <c r="BG1623" s="5" t="s">
        <v>238</v>
      </c>
      <c r="BH1623" s="7">
        <f>0</f>
        <v>0</v>
      </c>
      <c r="BI1623" s="8">
        <f>0</f>
        <v>0</v>
      </c>
      <c r="BJ1623" s="5" t="s">
        <v>253</v>
      </c>
      <c r="BK1623" s="5" t="s">
        <v>254</v>
      </c>
      <c r="BY1623" s="5" t="s">
        <v>238</v>
      </c>
      <c r="BZ1623" s="5" t="s">
        <v>238</v>
      </c>
      <c r="CD1623" s="5" t="s">
        <v>273</v>
      </c>
      <c r="CE1623" s="5" t="s">
        <v>256</v>
      </c>
      <c r="CF1623" s="5" t="s">
        <v>238</v>
      </c>
      <c r="CI1623" s="6" t="s">
        <v>257</v>
      </c>
      <c r="CJ1623" s="5" t="s">
        <v>238</v>
      </c>
      <c r="CK1623" s="5" t="s">
        <v>258</v>
      </c>
      <c r="CL1623" s="5" t="s">
        <v>238</v>
      </c>
      <c r="CM1623" s="5" t="s">
        <v>238</v>
      </c>
      <c r="CN1623" s="5">
        <v>0</v>
      </c>
      <c r="CO1623" s="5" t="s">
        <v>259</v>
      </c>
      <c r="CP1623" s="5" t="s">
        <v>260</v>
      </c>
      <c r="CQ1623" s="5" t="s">
        <v>260</v>
      </c>
      <c r="CR1623" s="5" t="s">
        <v>261</v>
      </c>
      <c r="CU1623" s="8">
        <f>1</f>
        <v>1</v>
      </c>
      <c r="CV1623" s="8">
        <f>0</f>
        <v>0</v>
      </c>
      <c r="CX1623" s="8">
        <f>0</f>
        <v>0</v>
      </c>
      <c r="CY1623" s="8">
        <f>1</f>
        <v>1</v>
      </c>
      <c r="DA1623" s="5" t="s">
        <v>673</v>
      </c>
      <c r="DB1623" s="5" t="s">
        <v>238</v>
      </c>
      <c r="DD1623" s="5" t="s">
        <v>673</v>
      </c>
      <c r="DE1623" s="8">
        <f>2567</f>
        <v>2567</v>
      </c>
      <c r="DG1623" s="5" t="s">
        <v>238</v>
      </c>
      <c r="DH1623" s="5" t="s">
        <v>238</v>
      </c>
      <c r="DI1623" s="5" t="s">
        <v>238</v>
      </c>
      <c r="DJ1623" s="5" t="s">
        <v>238</v>
      </c>
      <c r="DN1623" s="5" t="s">
        <v>238</v>
      </c>
      <c r="DO1623" s="5" t="s">
        <v>238</v>
      </c>
      <c r="DP1623" s="5" t="s">
        <v>238</v>
      </c>
      <c r="DQ1623" s="5" t="s">
        <v>238</v>
      </c>
      <c r="DT1623" s="5" t="s">
        <v>2039</v>
      </c>
      <c r="DU1623" s="5" t="s">
        <v>1096</v>
      </c>
      <c r="HM1623" s="5" t="s">
        <v>264</v>
      </c>
    </row>
    <row r="1624" spans="1:221" x14ac:dyDescent="0.4">
      <c r="A1624" s="5">
        <v>3299</v>
      </c>
      <c r="B1624" s="5">
        <v>1</v>
      </c>
      <c r="C1624" s="5">
        <v>1</v>
      </c>
      <c r="D1624" s="5" t="s">
        <v>2037</v>
      </c>
      <c r="E1624" s="5" t="s">
        <v>271</v>
      </c>
      <c r="F1624" s="5" t="s">
        <v>248</v>
      </c>
      <c r="G1624" s="5" t="s">
        <v>1969</v>
      </c>
      <c r="H1624" s="6" t="s">
        <v>3783</v>
      </c>
      <c r="I1624" s="7">
        <f>789</f>
        <v>789</v>
      </c>
      <c r="J1624" s="5" t="s">
        <v>262</v>
      </c>
      <c r="K1624" s="8">
        <f>1</f>
        <v>1</v>
      </c>
      <c r="L1624" s="6" t="s">
        <v>242</v>
      </c>
      <c r="M1624" s="5" t="s">
        <v>267</v>
      </c>
      <c r="N1624" s="5" t="s">
        <v>265</v>
      </c>
      <c r="O1624" s="5" t="s">
        <v>238</v>
      </c>
      <c r="P1624" s="5" t="s">
        <v>238</v>
      </c>
      <c r="Q1624" s="5" t="s">
        <v>268</v>
      </c>
      <c r="R1624" s="5" t="s">
        <v>270</v>
      </c>
      <c r="S1624" s="5" t="s">
        <v>238</v>
      </c>
      <c r="V1624" s="5" t="s">
        <v>238</v>
      </c>
      <c r="X1624" s="6" t="s">
        <v>238</v>
      </c>
      <c r="AA1624" s="6" t="s">
        <v>243</v>
      </c>
      <c r="AB1624" s="5" t="s">
        <v>238</v>
      </c>
      <c r="AC1624" s="5" t="s">
        <v>244</v>
      </c>
      <c r="AD1624" s="5" t="s">
        <v>245</v>
      </c>
      <c r="AT1624" s="5" t="s">
        <v>246</v>
      </c>
      <c r="AU1624" s="5" t="s">
        <v>238</v>
      </c>
      <c r="AV1624" s="5" t="s">
        <v>247</v>
      </c>
      <c r="AW1624" s="5" t="s">
        <v>238</v>
      </c>
      <c r="AX1624" s="5" t="s">
        <v>249</v>
      </c>
      <c r="AY1624" s="5" t="s">
        <v>238</v>
      </c>
      <c r="BA1624" s="5" t="s">
        <v>238</v>
      </c>
      <c r="BC1624" s="5" t="s">
        <v>250</v>
      </c>
      <c r="BD1624" s="6" t="s">
        <v>243</v>
      </c>
      <c r="BE1624" s="5" t="s">
        <v>251</v>
      </c>
      <c r="BF1624" s="5" t="s">
        <v>252</v>
      </c>
      <c r="BG1624" s="5" t="s">
        <v>238</v>
      </c>
      <c r="BH1624" s="7">
        <f>0</f>
        <v>0</v>
      </c>
      <c r="BI1624" s="8">
        <f>0</f>
        <v>0</v>
      </c>
      <c r="BJ1624" s="5" t="s">
        <v>253</v>
      </c>
      <c r="BK1624" s="5" t="s">
        <v>254</v>
      </c>
      <c r="BY1624" s="5" t="s">
        <v>238</v>
      </c>
      <c r="BZ1624" s="5" t="s">
        <v>238</v>
      </c>
      <c r="CD1624" s="5" t="s">
        <v>273</v>
      </c>
      <c r="CE1624" s="5" t="s">
        <v>256</v>
      </c>
      <c r="CF1624" s="5" t="s">
        <v>238</v>
      </c>
      <c r="CI1624" s="6" t="s">
        <v>257</v>
      </c>
      <c r="CJ1624" s="5" t="s">
        <v>238</v>
      </c>
      <c r="CK1624" s="5" t="s">
        <v>258</v>
      </c>
      <c r="CL1624" s="5" t="s">
        <v>238</v>
      </c>
      <c r="CM1624" s="5" t="s">
        <v>238</v>
      </c>
      <c r="CN1624" s="5">
        <v>0</v>
      </c>
      <c r="CO1624" s="5" t="s">
        <v>259</v>
      </c>
      <c r="CP1624" s="5" t="s">
        <v>260</v>
      </c>
      <c r="CQ1624" s="5" t="s">
        <v>260</v>
      </c>
      <c r="CR1624" s="5" t="s">
        <v>261</v>
      </c>
      <c r="CU1624" s="8">
        <f>1</f>
        <v>1</v>
      </c>
      <c r="CV1624" s="8">
        <f>0</f>
        <v>0</v>
      </c>
      <c r="CX1624" s="8">
        <f>0</f>
        <v>0</v>
      </c>
      <c r="CY1624" s="8">
        <f>1</f>
        <v>1</v>
      </c>
      <c r="DA1624" s="5" t="s">
        <v>673</v>
      </c>
      <c r="DB1624" s="5" t="s">
        <v>238</v>
      </c>
      <c r="DD1624" s="5" t="s">
        <v>673</v>
      </c>
      <c r="DE1624" s="8">
        <f>789</f>
        <v>789</v>
      </c>
      <c r="DG1624" s="5" t="s">
        <v>238</v>
      </c>
      <c r="DH1624" s="5" t="s">
        <v>238</v>
      </c>
      <c r="DI1624" s="5" t="s">
        <v>238</v>
      </c>
      <c r="DJ1624" s="5" t="s">
        <v>238</v>
      </c>
      <c r="DN1624" s="5" t="s">
        <v>238</v>
      </c>
      <c r="DO1624" s="5" t="s">
        <v>238</v>
      </c>
      <c r="DP1624" s="5" t="s">
        <v>238</v>
      </c>
      <c r="DQ1624" s="5" t="s">
        <v>238</v>
      </c>
      <c r="DT1624" s="5" t="s">
        <v>2039</v>
      </c>
      <c r="DU1624" s="5" t="s">
        <v>1092</v>
      </c>
      <c r="HM1624" s="5" t="s">
        <v>264</v>
      </c>
    </row>
    <row r="1625" spans="1:221" x14ac:dyDescent="0.4">
      <c r="A1625" s="5">
        <v>3300</v>
      </c>
      <c r="B1625" s="5">
        <v>1</v>
      </c>
      <c r="C1625" s="5">
        <v>1</v>
      </c>
      <c r="D1625" s="5" t="s">
        <v>2037</v>
      </c>
      <c r="E1625" s="5" t="s">
        <v>271</v>
      </c>
      <c r="F1625" s="5" t="s">
        <v>248</v>
      </c>
      <c r="G1625" s="5" t="s">
        <v>1969</v>
      </c>
      <c r="H1625" s="6" t="s">
        <v>3781</v>
      </c>
      <c r="I1625" s="7">
        <f>948</f>
        <v>948</v>
      </c>
      <c r="J1625" s="5" t="s">
        <v>262</v>
      </c>
      <c r="K1625" s="8">
        <f>1</f>
        <v>1</v>
      </c>
      <c r="L1625" s="6" t="s">
        <v>242</v>
      </c>
      <c r="M1625" s="5" t="s">
        <v>267</v>
      </c>
      <c r="N1625" s="5" t="s">
        <v>265</v>
      </c>
      <c r="O1625" s="5" t="s">
        <v>238</v>
      </c>
      <c r="P1625" s="5" t="s">
        <v>238</v>
      </c>
      <c r="Q1625" s="5" t="s">
        <v>268</v>
      </c>
      <c r="R1625" s="5" t="s">
        <v>270</v>
      </c>
      <c r="S1625" s="5" t="s">
        <v>238</v>
      </c>
      <c r="V1625" s="5" t="s">
        <v>238</v>
      </c>
      <c r="X1625" s="6" t="s">
        <v>238</v>
      </c>
      <c r="AA1625" s="6" t="s">
        <v>243</v>
      </c>
      <c r="AB1625" s="5" t="s">
        <v>238</v>
      </c>
      <c r="AC1625" s="5" t="s">
        <v>244</v>
      </c>
      <c r="AD1625" s="5" t="s">
        <v>245</v>
      </c>
      <c r="AT1625" s="5" t="s">
        <v>246</v>
      </c>
      <c r="AU1625" s="5" t="s">
        <v>238</v>
      </c>
      <c r="AV1625" s="5" t="s">
        <v>247</v>
      </c>
      <c r="AW1625" s="5" t="s">
        <v>238</v>
      </c>
      <c r="AX1625" s="5" t="s">
        <v>249</v>
      </c>
      <c r="AY1625" s="5" t="s">
        <v>238</v>
      </c>
      <c r="BA1625" s="5" t="s">
        <v>238</v>
      </c>
      <c r="BC1625" s="5" t="s">
        <v>250</v>
      </c>
      <c r="BD1625" s="6" t="s">
        <v>243</v>
      </c>
      <c r="BE1625" s="5" t="s">
        <v>251</v>
      </c>
      <c r="BF1625" s="5" t="s">
        <v>252</v>
      </c>
      <c r="BG1625" s="5" t="s">
        <v>238</v>
      </c>
      <c r="BH1625" s="7">
        <f>0</f>
        <v>0</v>
      </c>
      <c r="BI1625" s="8">
        <f>0</f>
        <v>0</v>
      </c>
      <c r="BJ1625" s="5" t="s">
        <v>253</v>
      </c>
      <c r="BK1625" s="5" t="s">
        <v>254</v>
      </c>
      <c r="BY1625" s="5" t="s">
        <v>238</v>
      </c>
      <c r="BZ1625" s="5" t="s">
        <v>238</v>
      </c>
      <c r="CD1625" s="5" t="s">
        <v>273</v>
      </c>
      <c r="CE1625" s="5" t="s">
        <v>256</v>
      </c>
      <c r="CF1625" s="5" t="s">
        <v>238</v>
      </c>
      <c r="CI1625" s="6" t="s">
        <v>257</v>
      </c>
      <c r="CJ1625" s="5" t="s">
        <v>238</v>
      </c>
      <c r="CK1625" s="5" t="s">
        <v>258</v>
      </c>
      <c r="CL1625" s="5" t="s">
        <v>238</v>
      </c>
      <c r="CM1625" s="5" t="s">
        <v>238</v>
      </c>
      <c r="CN1625" s="5">
        <v>0</v>
      </c>
      <c r="CO1625" s="5" t="s">
        <v>259</v>
      </c>
      <c r="CP1625" s="5" t="s">
        <v>260</v>
      </c>
      <c r="CQ1625" s="5" t="s">
        <v>260</v>
      </c>
      <c r="CR1625" s="5" t="s">
        <v>261</v>
      </c>
      <c r="CU1625" s="8">
        <f>1</f>
        <v>1</v>
      </c>
      <c r="CV1625" s="8">
        <f>0</f>
        <v>0</v>
      </c>
      <c r="CX1625" s="8">
        <f>0</f>
        <v>0</v>
      </c>
      <c r="CY1625" s="8">
        <f>1</f>
        <v>1</v>
      </c>
      <c r="DA1625" s="5" t="s">
        <v>673</v>
      </c>
      <c r="DB1625" s="5" t="s">
        <v>238</v>
      </c>
      <c r="DD1625" s="5" t="s">
        <v>673</v>
      </c>
      <c r="DE1625" s="8">
        <f>948</f>
        <v>948</v>
      </c>
      <c r="DG1625" s="5" t="s">
        <v>238</v>
      </c>
      <c r="DH1625" s="5" t="s">
        <v>238</v>
      </c>
      <c r="DI1625" s="5" t="s">
        <v>238</v>
      </c>
      <c r="DJ1625" s="5" t="s">
        <v>238</v>
      </c>
      <c r="DN1625" s="5" t="s">
        <v>238</v>
      </c>
      <c r="DO1625" s="5" t="s">
        <v>238</v>
      </c>
      <c r="DP1625" s="5" t="s">
        <v>238</v>
      </c>
      <c r="DQ1625" s="5" t="s">
        <v>238</v>
      </c>
      <c r="DT1625" s="5" t="s">
        <v>2039</v>
      </c>
      <c r="DU1625" s="5" t="s">
        <v>1080</v>
      </c>
      <c r="HM1625" s="5" t="s">
        <v>264</v>
      </c>
    </row>
    <row r="1626" spans="1:221" x14ac:dyDescent="0.4">
      <c r="A1626" s="5">
        <v>3301</v>
      </c>
      <c r="B1626" s="5">
        <v>1</v>
      </c>
      <c r="C1626" s="5">
        <v>1</v>
      </c>
      <c r="D1626" s="5" t="s">
        <v>2037</v>
      </c>
      <c r="E1626" s="5" t="s">
        <v>271</v>
      </c>
      <c r="F1626" s="5" t="s">
        <v>248</v>
      </c>
      <c r="G1626" s="5" t="s">
        <v>1969</v>
      </c>
      <c r="H1626" s="6" t="s">
        <v>3780</v>
      </c>
      <c r="I1626" s="7">
        <f>123</f>
        <v>123</v>
      </c>
      <c r="J1626" s="5" t="s">
        <v>262</v>
      </c>
      <c r="K1626" s="8">
        <f>1</f>
        <v>1</v>
      </c>
      <c r="L1626" s="6" t="s">
        <v>242</v>
      </c>
      <c r="M1626" s="5" t="s">
        <v>267</v>
      </c>
      <c r="N1626" s="5" t="s">
        <v>265</v>
      </c>
      <c r="O1626" s="5" t="s">
        <v>238</v>
      </c>
      <c r="P1626" s="5" t="s">
        <v>238</v>
      </c>
      <c r="Q1626" s="5" t="s">
        <v>268</v>
      </c>
      <c r="R1626" s="5" t="s">
        <v>270</v>
      </c>
      <c r="S1626" s="5" t="s">
        <v>238</v>
      </c>
      <c r="V1626" s="5" t="s">
        <v>238</v>
      </c>
      <c r="X1626" s="6" t="s">
        <v>238</v>
      </c>
      <c r="AA1626" s="6" t="s">
        <v>243</v>
      </c>
      <c r="AB1626" s="5" t="s">
        <v>238</v>
      </c>
      <c r="AC1626" s="5" t="s">
        <v>244</v>
      </c>
      <c r="AD1626" s="5" t="s">
        <v>245</v>
      </c>
      <c r="AT1626" s="5" t="s">
        <v>246</v>
      </c>
      <c r="AU1626" s="5" t="s">
        <v>238</v>
      </c>
      <c r="AV1626" s="5" t="s">
        <v>247</v>
      </c>
      <c r="AW1626" s="5" t="s">
        <v>238</v>
      </c>
      <c r="AX1626" s="5" t="s">
        <v>249</v>
      </c>
      <c r="AY1626" s="5" t="s">
        <v>238</v>
      </c>
      <c r="BA1626" s="5" t="s">
        <v>238</v>
      </c>
      <c r="BC1626" s="5" t="s">
        <v>250</v>
      </c>
      <c r="BD1626" s="6" t="s">
        <v>243</v>
      </c>
      <c r="BE1626" s="5" t="s">
        <v>251</v>
      </c>
      <c r="BF1626" s="5" t="s">
        <v>252</v>
      </c>
      <c r="BG1626" s="5" t="s">
        <v>238</v>
      </c>
      <c r="BH1626" s="7">
        <f>0</f>
        <v>0</v>
      </c>
      <c r="BI1626" s="8">
        <f>0</f>
        <v>0</v>
      </c>
      <c r="BJ1626" s="5" t="s">
        <v>253</v>
      </c>
      <c r="BK1626" s="5" t="s">
        <v>254</v>
      </c>
      <c r="BY1626" s="5" t="s">
        <v>238</v>
      </c>
      <c r="BZ1626" s="5" t="s">
        <v>238</v>
      </c>
      <c r="CD1626" s="5" t="s">
        <v>273</v>
      </c>
      <c r="CE1626" s="5" t="s">
        <v>256</v>
      </c>
      <c r="CF1626" s="5" t="s">
        <v>238</v>
      </c>
      <c r="CI1626" s="6" t="s">
        <v>257</v>
      </c>
      <c r="CJ1626" s="5" t="s">
        <v>238</v>
      </c>
      <c r="CK1626" s="5" t="s">
        <v>258</v>
      </c>
      <c r="CL1626" s="5" t="s">
        <v>238</v>
      </c>
      <c r="CM1626" s="5" t="s">
        <v>238</v>
      </c>
      <c r="CN1626" s="5">
        <v>0</v>
      </c>
      <c r="CO1626" s="5" t="s">
        <v>259</v>
      </c>
      <c r="CP1626" s="5" t="s">
        <v>260</v>
      </c>
      <c r="CQ1626" s="5" t="s">
        <v>260</v>
      </c>
      <c r="CR1626" s="5" t="s">
        <v>261</v>
      </c>
      <c r="CU1626" s="8">
        <f>1</f>
        <v>1</v>
      </c>
      <c r="CV1626" s="8">
        <f>0</f>
        <v>0</v>
      </c>
      <c r="CX1626" s="8">
        <f>0</f>
        <v>0</v>
      </c>
      <c r="CY1626" s="8">
        <f>1</f>
        <v>1</v>
      </c>
      <c r="DA1626" s="5" t="s">
        <v>673</v>
      </c>
      <c r="DB1626" s="5" t="s">
        <v>238</v>
      </c>
      <c r="DD1626" s="5" t="s">
        <v>673</v>
      </c>
      <c r="DE1626" s="8">
        <f>123</f>
        <v>123</v>
      </c>
      <c r="DG1626" s="5" t="s">
        <v>238</v>
      </c>
      <c r="DH1626" s="5" t="s">
        <v>238</v>
      </c>
      <c r="DI1626" s="5" t="s">
        <v>238</v>
      </c>
      <c r="DJ1626" s="5" t="s">
        <v>238</v>
      </c>
      <c r="DN1626" s="5" t="s">
        <v>238</v>
      </c>
      <c r="DO1626" s="5" t="s">
        <v>238</v>
      </c>
      <c r="DP1626" s="5" t="s">
        <v>238</v>
      </c>
      <c r="DQ1626" s="5" t="s">
        <v>238</v>
      </c>
      <c r="DT1626" s="5" t="s">
        <v>2039</v>
      </c>
      <c r="DU1626" s="5" t="s">
        <v>1074</v>
      </c>
      <c r="HM1626" s="5" t="s">
        <v>264</v>
      </c>
    </row>
    <row r="1627" spans="1:221" x14ac:dyDescent="0.4">
      <c r="A1627" s="5">
        <v>3302</v>
      </c>
      <c r="B1627" s="5">
        <v>1</v>
      </c>
      <c r="C1627" s="5">
        <v>1</v>
      </c>
      <c r="D1627" s="5" t="s">
        <v>2037</v>
      </c>
      <c r="E1627" s="5" t="s">
        <v>271</v>
      </c>
      <c r="F1627" s="5" t="s">
        <v>248</v>
      </c>
      <c r="G1627" s="5" t="s">
        <v>1969</v>
      </c>
      <c r="H1627" s="6" t="s">
        <v>3777</v>
      </c>
      <c r="I1627" s="7">
        <f>751</f>
        <v>751</v>
      </c>
      <c r="J1627" s="5" t="s">
        <v>262</v>
      </c>
      <c r="K1627" s="8">
        <f>1</f>
        <v>1</v>
      </c>
      <c r="L1627" s="6" t="s">
        <v>242</v>
      </c>
      <c r="M1627" s="5" t="s">
        <v>267</v>
      </c>
      <c r="N1627" s="5" t="s">
        <v>265</v>
      </c>
      <c r="O1627" s="5" t="s">
        <v>238</v>
      </c>
      <c r="P1627" s="5" t="s">
        <v>238</v>
      </c>
      <c r="Q1627" s="5" t="s">
        <v>268</v>
      </c>
      <c r="R1627" s="5" t="s">
        <v>270</v>
      </c>
      <c r="S1627" s="5" t="s">
        <v>238</v>
      </c>
      <c r="V1627" s="5" t="s">
        <v>238</v>
      </c>
      <c r="X1627" s="6" t="s">
        <v>238</v>
      </c>
      <c r="AA1627" s="6" t="s">
        <v>243</v>
      </c>
      <c r="AB1627" s="5" t="s">
        <v>238</v>
      </c>
      <c r="AC1627" s="5" t="s">
        <v>244</v>
      </c>
      <c r="AD1627" s="5" t="s">
        <v>245</v>
      </c>
      <c r="AT1627" s="5" t="s">
        <v>246</v>
      </c>
      <c r="AU1627" s="5" t="s">
        <v>238</v>
      </c>
      <c r="AV1627" s="5" t="s">
        <v>247</v>
      </c>
      <c r="AW1627" s="5" t="s">
        <v>238</v>
      </c>
      <c r="AX1627" s="5" t="s">
        <v>249</v>
      </c>
      <c r="AY1627" s="5" t="s">
        <v>238</v>
      </c>
      <c r="BA1627" s="5" t="s">
        <v>238</v>
      </c>
      <c r="BC1627" s="5" t="s">
        <v>250</v>
      </c>
      <c r="BD1627" s="6" t="s">
        <v>243</v>
      </c>
      <c r="BE1627" s="5" t="s">
        <v>251</v>
      </c>
      <c r="BF1627" s="5" t="s">
        <v>252</v>
      </c>
      <c r="BG1627" s="5" t="s">
        <v>238</v>
      </c>
      <c r="BH1627" s="7">
        <f>0</f>
        <v>0</v>
      </c>
      <c r="BI1627" s="8">
        <f>0</f>
        <v>0</v>
      </c>
      <c r="BJ1627" s="5" t="s">
        <v>253</v>
      </c>
      <c r="BK1627" s="5" t="s">
        <v>254</v>
      </c>
      <c r="BY1627" s="5" t="s">
        <v>238</v>
      </c>
      <c r="BZ1627" s="5" t="s">
        <v>238</v>
      </c>
      <c r="CD1627" s="5" t="s">
        <v>273</v>
      </c>
      <c r="CE1627" s="5" t="s">
        <v>256</v>
      </c>
      <c r="CF1627" s="5" t="s">
        <v>238</v>
      </c>
      <c r="CI1627" s="6" t="s">
        <v>257</v>
      </c>
      <c r="CJ1627" s="5" t="s">
        <v>238</v>
      </c>
      <c r="CK1627" s="5" t="s">
        <v>258</v>
      </c>
      <c r="CL1627" s="5" t="s">
        <v>238</v>
      </c>
      <c r="CM1627" s="5" t="s">
        <v>238</v>
      </c>
      <c r="CN1627" s="5">
        <v>0</v>
      </c>
      <c r="CO1627" s="5" t="s">
        <v>259</v>
      </c>
      <c r="CP1627" s="5" t="s">
        <v>260</v>
      </c>
      <c r="CQ1627" s="5" t="s">
        <v>260</v>
      </c>
      <c r="CR1627" s="5" t="s">
        <v>261</v>
      </c>
      <c r="CU1627" s="8">
        <f>1</f>
        <v>1</v>
      </c>
      <c r="CV1627" s="8">
        <f>0</f>
        <v>0</v>
      </c>
      <c r="CX1627" s="8">
        <f>0</f>
        <v>0</v>
      </c>
      <c r="CY1627" s="8">
        <f>1</f>
        <v>1</v>
      </c>
      <c r="DA1627" s="5" t="s">
        <v>673</v>
      </c>
      <c r="DB1627" s="5" t="s">
        <v>238</v>
      </c>
      <c r="DD1627" s="5" t="s">
        <v>673</v>
      </c>
      <c r="DE1627" s="8">
        <f>751</f>
        <v>751</v>
      </c>
      <c r="DG1627" s="5" t="s">
        <v>238</v>
      </c>
      <c r="DH1627" s="5" t="s">
        <v>238</v>
      </c>
      <c r="DI1627" s="5" t="s">
        <v>238</v>
      </c>
      <c r="DJ1627" s="5" t="s">
        <v>238</v>
      </c>
      <c r="DN1627" s="5" t="s">
        <v>238</v>
      </c>
      <c r="DO1627" s="5" t="s">
        <v>238</v>
      </c>
      <c r="DP1627" s="5" t="s">
        <v>238</v>
      </c>
      <c r="DQ1627" s="5" t="s">
        <v>238</v>
      </c>
      <c r="DT1627" s="5" t="s">
        <v>2039</v>
      </c>
      <c r="DU1627" s="5" t="s">
        <v>1066</v>
      </c>
      <c r="HM1627" s="5" t="s">
        <v>264</v>
      </c>
    </row>
    <row r="1628" spans="1:221" x14ac:dyDescent="0.4">
      <c r="A1628" s="5">
        <v>3303</v>
      </c>
      <c r="B1628" s="5">
        <v>1</v>
      </c>
      <c r="C1628" s="5">
        <v>1</v>
      </c>
      <c r="D1628" s="5" t="s">
        <v>2037</v>
      </c>
      <c r="E1628" s="5" t="s">
        <v>271</v>
      </c>
      <c r="F1628" s="5" t="s">
        <v>248</v>
      </c>
      <c r="G1628" s="5" t="s">
        <v>1969</v>
      </c>
      <c r="H1628" s="6" t="s">
        <v>3776</v>
      </c>
      <c r="I1628" s="7">
        <f>1341</f>
        <v>1341</v>
      </c>
      <c r="J1628" s="5" t="s">
        <v>262</v>
      </c>
      <c r="K1628" s="8">
        <f>1</f>
        <v>1</v>
      </c>
      <c r="L1628" s="6" t="s">
        <v>242</v>
      </c>
      <c r="M1628" s="5" t="s">
        <v>267</v>
      </c>
      <c r="N1628" s="5" t="s">
        <v>265</v>
      </c>
      <c r="O1628" s="5" t="s">
        <v>238</v>
      </c>
      <c r="P1628" s="5" t="s">
        <v>238</v>
      </c>
      <c r="Q1628" s="5" t="s">
        <v>268</v>
      </c>
      <c r="R1628" s="5" t="s">
        <v>270</v>
      </c>
      <c r="S1628" s="5" t="s">
        <v>238</v>
      </c>
      <c r="V1628" s="5" t="s">
        <v>238</v>
      </c>
      <c r="X1628" s="6" t="s">
        <v>238</v>
      </c>
      <c r="AA1628" s="6" t="s">
        <v>243</v>
      </c>
      <c r="AB1628" s="5" t="s">
        <v>238</v>
      </c>
      <c r="AC1628" s="5" t="s">
        <v>244</v>
      </c>
      <c r="AD1628" s="5" t="s">
        <v>245</v>
      </c>
      <c r="AT1628" s="5" t="s">
        <v>246</v>
      </c>
      <c r="AU1628" s="5" t="s">
        <v>238</v>
      </c>
      <c r="AV1628" s="5" t="s">
        <v>247</v>
      </c>
      <c r="AW1628" s="5" t="s">
        <v>238</v>
      </c>
      <c r="AX1628" s="5" t="s">
        <v>249</v>
      </c>
      <c r="AY1628" s="5" t="s">
        <v>238</v>
      </c>
      <c r="BA1628" s="5" t="s">
        <v>238</v>
      </c>
      <c r="BC1628" s="5" t="s">
        <v>250</v>
      </c>
      <c r="BD1628" s="6" t="s">
        <v>243</v>
      </c>
      <c r="BE1628" s="5" t="s">
        <v>251</v>
      </c>
      <c r="BF1628" s="5" t="s">
        <v>252</v>
      </c>
      <c r="BG1628" s="5" t="s">
        <v>238</v>
      </c>
      <c r="BH1628" s="7">
        <f>0</f>
        <v>0</v>
      </c>
      <c r="BI1628" s="8">
        <f>0</f>
        <v>0</v>
      </c>
      <c r="BJ1628" s="5" t="s">
        <v>253</v>
      </c>
      <c r="BK1628" s="5" t="s">
        <v>254</v>
      </c>
      <c r="BY1628" s="5" t="s">
        <v>238</v>
      </c>
      <c r="BZ1628" s="5" t="s">
        <v>238</v>
      </c>
      <c r="CD1628" s="5" t="s">
        <v>273</v>
      </c>
      <c r="CE1628" s="5" t="s">
        <v>256</v>
      </c>
      <c r="CF1628" s="5" t="s">
        <v>238</v>
      </c>
      <c r="CI1628" s="6" t="s">
        <v>257</v>
      </c>
      <c r="CJ1628" s="5" t="s">
        <v>238</v>
      </c>
      <c r="CK1628" s="5" t="s">
        <v>258</v>
      </c>
      <c r="CL1628" s="5" t="s">
        <v>238</v>
      </c>
      <c r="CM1628" s="5" t="s">
        <v>238</v>
      </c>
      <c r="CN1628" s="5">
        <v>0</v>
      </c>
      <c r="CO1628" s="5" t="s">
        <v>259</v>
      </c>
      <c r="CP1628" s="5" t="s">
        <v>260</v>
      </c>
      <c r="CQ1628" s="5" t="s">
        <v>260</v>
      </c>
      <c r="CR1628" s="5" t="s">
        <v>261</v>
      </c>
      <c r="CU1628" s="8">
        <f>1</f>
        <v>1</v>
      </c>
      <c r="CV1628" s="8">
        <f>0</f>
        <v>0</v>
      </c>
      <c r="CX1628" s="8">
        <f>0</f>
        <v>0</v>
      </c>
      <c r="CY1628" s="8">
        <f>1</f>
        <v>1</v>
      </c>
      <c r="DA1628" s="5" t="s">
        <v>673</v>
      </c>
      <c r="DB1628" s="5" t="s">
        <v>238</v>
      </c>
      <c r="DD1628" s="5" t="s">
        <v>673</v>
      </c>
      <c r="DE1628" s="8">
        <f>1341</f>
        <v>1341</v>
      </c>
      <c r="DG1628" s="5" t="s">
        <v>238</v>
      </c>
      <c r="DH1628" s="5" t="s">
        <v>238</v>
      </c>
      <c r="DI1628" s="5" t="s">
        <v>238</v>
      </c>
      <c r="DJ1628" s="5" t="s">
        <v>238</v>
      </c>
      <c r="DN1628" s="5" t="s">
        <v>238</v>
      </c>
      <c r="DO1628" s="5" t="s">
        <v>238</v>
      </c>
      <c r="DP1628" s="5" t="s">
        <v>238</v>
      </c>
      <c r="DQ1628" s="5" t="s">
        <v>238</v>
      </c>
      <c r="DT1628" s="5" t="s">
        <v>2039</v>
      </c>
      <c r="DU1628" s="5" t="s">
        <v>1062</v>
      </c>
      <c r="HM1628" s="5" t="s">
        <v>264</v>
      </c>
    </row>
    <row r="1629" spans="1:221" x14ac:dyDescent="0.4">
      <c r="A1629" s="5">
        <v>3304</v>
      </c>
      <c r="B1629" s="5">
        <v>1</v>
      </c>
      <c r="C1629" s="5">
        <v>1</v>
      </c>
      <c r="D1629" s="5" t="s">
        <v>2037</v>
      </c>
      <c r="E1629" s="5" t="s">
        <v>271</v>
      </c>
      <c r="F1629" s="5" t="s">
        <v>248</v>
      </c>
      <c r="G1629" s="5" t="s">
        <v>1969</v>
      </c>
      <c r="H1629" s="6" t="s">
        <v>3775</v>
      </c>
      <c r="I1629" s="7">
        <f>2008</f>
        <v>2008</v>
      </c>
      <c r="J1629" s="5" t="s">
        <v>262</v>
      </c>
      <c r="K1629" s="8">
        <f>1</f>
        <v>1</v>
      </c>
      <c r="L1629" s="6" t="s">
        <v>242</v>
      </c>
      <c r="M1629" s="5" t="s">
        <v>267</v>
      </c>
      <c r="N1629" s="5" t="s">
        <v>265</v>
      </c>
      <c r="O1629" s="5" t="s">
        <v>238</v>
      </c>
      <c r="P1629" s="5" t="s">
        <v>238</v>
      </c>
      <c r="Q1629" s="5" t="s">
        <v>268</v>
      </c>
      <c r="R1629" s="5" t="s">
        <v>270</v>
      </c>
      <c r="S1629" s="5" t="s">
        <v>238</v>
      </c>
      <c r="V1629" s="5" t="s">
        <v>238</v>
      </c>
      <c r="X1629" s="6" t="s">
        <v>238</v>
      </c>
      <c r="AA1629" s="6" t="s">
        <v>243</v>
      </c>
      <c r="AB1629" s="5" t="s">
        <v>238</v>
      </c>
      <c r="AC1629" s="5" t="s">
        <v>244</v>
      </c>
      <c r="AD1629" s="5" t="s">
        <v>245</v>
      </c>
      <c r="AT1629" s="5" t="s">
        <v>246</v>
      </c>
      <c r="AU1629" s="5" t="s">
        <v>238</v>
      </c>
      <c r="AV1629" s="5" t="s">
        <v>247</v>
      </c>
      <c r="AW1629" s="5" t="s">
        <v>238</v>
      </c>
      <c r="AX1629" s="5" t="s">
        <v>249</v>
      </c>
      <c r="AY1629" s="5" t="s">
        <v>238</v>
      </c>
      <c r="BA1629" s="5" t="s">
        <v>238</v>
      </c>
      <c r="BC1629" s="5" t="s">
        <v>250</v>
      </c>
      <c r="BD1629" s="6" t="s">
        <v>243</v>
      </c>
      <c r="BE1629" s="5" t="s">
        <v>251</v>
      </c>
      <c r="BF1629" s="5" t="s">
        <v>252</v>
      </c>
      <c r="BG1629" s="5" t="s">
        <v>238</v>
      </c>
      <c r="BH1629" s="7">
        <f>0</f>
        <v>0</v>
      </c>
      <c r="BI1629" s="8">
        <f>0</f>
        <v>0</v>
      </c>
      <c r="BJ1629" s="5" t="s">
        <v>253</v>
      </c>
      <c r="BK1629" s="5" t="s">
        <v>254</v>
      </c>
      <c r="BY1629" s="5" t="s">
        <v>238</v>
      </c>
      <c r="BZ1629" s="5" t="s">
        <v>238</v>
      </c>
      <c r="CD1629" s="5" t="s">
        <v>273</v>
      </c>
      <c r="CE1629" s="5" t="s">
        <v>256</v>
      </c>
      <c r="CF1629" s="5" t="s">
        <v>238</v>
      </c>
      <c r="CI1629" s="6" t="s">
        <v>257</v>
      </c>
      <c r="CJ1629" s="5" t="s">
        <v>238</v>
      </c>
      <c r="CK1629" s="5" t="s">
        <v>258</v>
      </c>
      <c r="CL1629" s="5" t="s">
        <v>238</v>
      </c>
      <c r="CM1629" s="5" t="s">
        <v>238</v>
      </c>
      <c r="CN1629" s="5">
        <v>0</v>
      </c>
      <c r="CO1629" s="5" t="s">
        <v>259</v>
      </c>
      <c r="CP1629" s="5" t="s">
        <v>260</v>
      </c>
      <c r="CQ1629" s="5" t="s">
        <v>260</v>
      </c>
      <c r="CR1629" s="5" t="s">
        <v>261</v>
      </c>
      <c r="CU1629" s="8">
        <f>1</f>
        <v>1</v>
      </c>
      <c r="CV1629" s="8">
        <f>0</f>
        <v>0</v>
      </c>
      <c r="CX1629" s="8">
        <f>0</f>
        <v>0</v>
      </c>
      <c r="CY1629" s="8">
        <f>1</f>
        <v>1</v>
      </c>
      <c r="DA1629" s="5" t="s">
        <v>673</v>
      </c>
      <c r="DB1629" s="5" t="s">
        <v>238</v>
      </c>
      <c r="DD1629" s="5" t="s">
        <v>673</v>
      </c>
      <c r="DE1629" s="8">
        <f>2008</f>
        <v>2008</v>
      </c>
      <c r="DG1629" s="5" t="s">
        <v>238</v>
      </c>
      <c r="DH1629" s="5" t="s">
        <v>238</v>
      </c>
      <c r="DI1629" s="5" t="s">
        <v>238</v>
      </c>
      <c r="DJ1629" s="5" t="s">
        <v>238</v>
      </c>
      <c r="DN1629" s="5" t="s">
        <v>238</v>
      </c>
      <c r="DO1629" s="5" t="s">
        <v>238</v>
      </c>
      <c r="DP1629" s="5" t="s">
        <v>238</v>
      </c>
      <c r="DQ1629" s="5" t="s">
        <v>238</v>
      </c>
      <c r="DT1629" s="5" t="s">
        <v>2039</v>
      </c>
      <c r="DU1629" s="5" t="s">
        <v>1053</v>
      </c>
      <c r="HM1629" s="5" t="s">
        <v>264</v>
      </c>
    </row>
    <row r="1630" spans="1:221" x14ac:dyDescent="0.4">
      <c r="A1630" s="5">
        <v>3305</v>
      </c>
      <c r="B1630" s="5">
        <v>1</v>
      </c>
      <c r="C1630" s="5">
        <v>1</v>
      </c>
      <c r="D1630" s="5" t="s">
        <v>2037</v>
      </c>
      <c r="E1630" s="5" t="s">
        <v>271</v>
      </c>
      <c r="F1630" s="5" t="s">
        <v>248</v>
      </c>
      <c r="G1630" s="5" t="s">
        <v>1969</v>
      </c>
      <c r="H1630" s="6" t="s">
        <v>3774</v>
      </c>
      <c r="I1630" s="7">
        <f>2049</f>
        <v>2049</v>
      </c>
      <c r="J1630" s="5" t="s">
        <v>262</v>
      </c>
      <c r="K1630" s="8">
        <f>1</f>
        <v>1</v>
      </c>
      <c r="L1630" s="6" t="s">
        <v>242</v>
      </c>
      <c r="M1630" s="5" t="s">
        <v>267</v>
      </c>
      <c r="N1630" s="5" t="s">
        <v>265</v>
      </c>
      <c r="O1630" s="5" t="s">
        <v>238</v>
      </c>
      <c r="P1630" s="5" t="s">
        <v>238</v>
      </c>
      <c r="Q1630" s="5" t="s">
        <v>268</v>
      </c>
      <c r="R1630" s="5" t="s">
        <v>270</v>
      </c>
      <c r="S1630" s="5" t="s">
        <v>238</v>
      </c>
      <c r="V1630" s="5" t="s">
        <v>238</v>
      </c>
      <c r="X1630" s="6" t="s">
        <v>238</v>
      </c>
      <c r="AA1630" s="6" t="s">
        <v>243</v>
      </c>
      <c r="AB1630" s="5" t="s">
        <v>238</v>
      </c>
      <c r="AC1630" s="5" t="s">
        <v>244</v>
      </c>
      <c r="AD1630" s="5" t="s">
        <v>245</v>
      </c>
      <c r="AT1630" s="5" t="s">
        <v>246</v>
      </c>
      <c r="AU1630" s="5" t="s">
        <v>238</v>
      </c>
      <c r="AV1630" s="5" t="s">
        <v>247</v>
      </c>
      <c r="AW1630" s="5" t="s">
        <v>238</v>
      </c>
      <c r="AX1630" s="5" t="s">
        <v>249</v>
      </c>
      <c r="AY1630" s="5" t="s">
        <v>238</v>
      </c>
      <c r="BA1630" s="5" t="s">
        <v>238</v>
      </c>
      <c r="BC1630" s="5" t="s">
        <v>250</v>
      </c>
      <c r="BD1630" s="6" t="s">
        <v>243</v>
      </c>
      <c r="BE1630" s="5" t="s">
        <v>251</v>
      </c>
      <c r="BF1630" s="5" t="s">
        <v>252</v>
      </c>
      <c r="BG1630" s="5" t="s">
        <v>238</v>
      </c>
      <c r="BH1630" s="7">
        <f>0</f>
        <v>0</v>
      </c>
      <c r="BI1630" s="8">
        <f>0</f>
        <v>0</v>
      </c>
      <c r="BJ1630" s="5" t="s">
        <v>253</v>
      </c>
      <c r="BK1630" s="5" t="s">
        <v>254</v>
      </c>
      <c r="BY1630" s="5" t="s">
        <v>238</v>
      </c>
      <c r="BZ1630" s="5" t="s">
        <v>238</v>
      </c>
      <c r="CD1630" s="5" t="s">
        <v>273</v>
      </c>
      <c r="CE1630" s="5" t="s">
        <v>256</v>
      </c>
      <c r="CF1630" s="5" t="s">
        <v>238</v>
      </c>
      <c r="CI1630" s="6" t="s">
        <v>257</v>
      </c>
      <c r="CJ1630" s="5" t="s">
        <v>238</v>
      </c>
      <c r="CK1630" s="5" t="s">
        <v>258</v>
      </c>
      <c r="CL1630" s="5" t="s">
        <v>238</v>
      </c>
      <c r="CM1630" s="5" t="s">
        <v>238</v>
      </c>
      <c r="CN1630" s="5">
        <v>0</v>
      </c>
      <c r="CO1630" s="5" t="s">
        <v>259</v>
      </c>
      <c r="CP1630" s="5" t="s">
        <v>260</v>
      </c>
      <c r="CQ1630" s="5" t="s">
        <v>260</v>
      </c>
      <c r="CR1630" s="5" t="s">
        <v>261</v>
      </c>
      <c r="CU1630" s="8">
        <f>1</f>
        <v>1</v>
      </c>
      <c r="CV1630" s="8">
        <f>0</f>
        <v>0</v>
      </c>
      <c r="CX1630" s="8">
        <f>0</f>
        <v>0</v>
      </c>
      <c r="CY1630" s="8">
        <f>1</f>
        <v>1</v>
      </c>
      <c r="DA1630" s="5" t="s">
        <v>673</v>
      </c>
      <c r="DB1630" s="5" t="s">
        <v>238</v>
      </c>
      <c r="DD1630" s="5" t="s">
        <v>673</v>
      </c>
      <c r="DE1630" s="8">
        <f>2049</f>
        <v>2049</v>
      </c>
      <c r="DG1630" s="5" t="s">
        <v>238</v>
      </c>
      <c r="DH1630" s="5" t="s">
        <v>238</v>
      </c>
      <c r="DI1630" s="5" t="s">
        <v>238</v>
      </c>
      <c r="DJ1630" s="5" t="s">
        <v>238</v>
      </c>
      <c r="DN1630" s="5" t="s">
        <v>238</v>
      </c>
      <c r="DO1630" s="5" t="s">
        <v>238</v>
      </c>
      <c r="DP1630" s="5" t="s">
        <v>238</v>
      </c>
      <c r="DQ1630" s="5" t="s">
        <v>238</v>
      </c>
      <c r="DT1630" s="5" t="s">
        <v>2039</v>
      </c>
      <c r="DU1630" s="5" t="s">
        <v>1047</v>
      </c>
      <c r="HM1630" s="5" t="s">
        <v>264</v>
      </c>
    </row>
    <row r="1631" spans="1:221" x14ac:dyDescent="0.4">
      <c r="A1631" s="5">
        <v>3306</v>
      </c>
      <c r="B1631" s="5">
        <v>1</v>
      </c>
      <c r="C1631" s="5">
        <v>1</v>
      </c>
      <c r="D1631" s="5" t="s">
        <v>2037</v>
      </c>
      <c r="E1631" s="5" t="s">
        <v>271</v>
      </c>
      <c r="F1631" s="5" t="s">
        <v>248</v>
      </c>
      <c r="G1631" s="5" t="s">
        <v>1969</v>
      </c>
      <c r="H1631" s="6" t="s">
        <v>3773</v>
      </c>
      <c r="I1631" s="7">
        <f>3490</f>
        <v>3490</v>
      </c>
      <c r="J1631" s="5" t="s">
        <v>262</v>
      </c>
      <c r="K1631" s="8">
        <f>1</f>
        <v>1</v>
      </c>
      <c r="L1631" s="6" t="s">
        <v>242</v>
      </c>
      <c r="M1631" s="5" t="s">
        <v>267</v>
      </c>
      <c r="N1631" s="5" t="s">
        <v>265</v>
      </c>
      <c r="O1631" s="5" t="s">
        <v>238</v>
      </c>
      <c r="P1631" s="5" t="s">
        <v>238</v>
      </c>
      <c r="Q1631" s="5" t="s">
        <v>268</v>
      </c>
      <c r="R1631" s="5" t="s">
        <v>270</v>
      </c>
      <c r="S1631" s="5" t="s">
        <v>238</v>
      </c>
      <c r="V1631" s="5" t="s">
        <v>238</v>
      </c>
      <c r="X1631" s="6" t="s">
        <v>238</v>
      </c>
      <c r="AA1631" s="6" t="s">
        <v>243</v>
      </c>
      <c r="AB1631" s="5" t="s">
        <v>238</v>
      </c>
      <c r="AC1631" s="5" t="s">
        <v>244</v>
      </c>
      <c r="AD1631" s="5" t="s">
        <v>245</v>
      </c>
      <c r="AT1631" s="5" t="s">
        <v>246</v>
      </c>
      <c r="AU1631" s="5" t="s">
        <v>238</v>
      </c>
      <c r="AV1631" s="5" t="s">
        <v>247</v>
      </c>
      <c r="AW1631" s="5" t="s">
        <v>238</v>
      </c>
      <c r="AX1631" s="5" t="s">
        <v>249</v>
      </c>
      <c r="AY1631" s="5" t="s">
        <v>238</v>
      </c>
      <c r="BA1631" s="5" t="s">
        <v>238</v>
      </c>
      <c r="BC1631" s="5" t="s">
        <v>250</v>
      </c>
      <c r="BD1631" s="6" t="s">
        <v>243</v>
      </c>
      <c r="BE1631" s="5" t="s">
        <v>251</v>
      </c>
      <c r="BF1631" s="5" t="s">
        <v>252</v>
      </c>
      <c r="BG1631" s="5" t="s">
        <v>238</v>
      </c>
      <c r="BH1631" s="7">
        <f>0</f>
        <v>0</v>
      </c>
      <c r="BI1631" s="8">
        <f>0</f>
        <v>0</v>
      </c>
      <c r="BJ1631" s="5" t="s">
        <v>253</v>
      </c>
      <c r="BK1631" s="5" t="s">
        <v>254</v>
      </c>
      <c r="BY1631" s="5" t="s">
        <v>238</v>
      </c>
      <c r="BZ1631" s="5" t="s">
        <v>238</v>
      </c>
      <c r="CD1631" s="5" t="s">
        <v>273</v>
      </c>
      <c r="CE1631" s="5" t="s">
        <v>256</v>
      </c>
      <c r="CF1631" s="5" t="s">
        <v>238</v>
      </c>
      <c r="CI1631" s="6" t="s">
        <v>257</v>
      </c>
      <c r="CJ1631" s="5" t="s">
        <v>238</v>
      </c>
      <c r="CK1631" s="5" t="s">
        <v>258</v>
      </c>
      <c r="CL1631" s="5" t="s">
        <v>238</v>
      </c>
      <c r="CM1631" s="5" t="s">
        <v>238</v>
      </c>
      <c r="CN1631" s="5">
        <v>0</v>
      </c>
      <c r="CO1631" s="5" t="s">
        <v>259</v>
      </c>
      <c r="CP1631" s="5" t="s">
        <v>260</v>
      </c>
      <c r="CQ1631" s="5" t="s">
        <v>260</v>
      </c>
      <c r="CR1631" s="5" t="s">
        <v>261</v>
      </c>
      <c r="CU1631" s="8">
        <f>1</f>
        <v>1</v>
      </c>
      <c r="CV1631" s="8">
        <f>0</f>
        <v>0</v>
      </c>
      <c r="CX1631" s="8">
        <f>0</f>
        <v>0</v>
      </c>
      <c r="CY1631" s="8">
        <f>1</f>
        <v>1</v>
      </c>
      <c r="DA1631" s="5" t="s">
        <v>673</v>
      </c>
      <c r="DB1631" s="5" t="s">
        <v>238</v>
      </c>
      <c r="DD1631" s="5" t="s">
        <v>673</v>
      </c>
      <c r="DE1631" s="8">
        <f>3490</f>
        <v>3490</v>
      </c>
      <c r="DG1631" s="5" t="s">
        <v>238</v>
      </c>
      <c r="DH1631" s="5" t="s">
        <v>238</v>
      </c>
      <c r="DI1631" s="5" t="s">
        <v>238</v>
      </c>
      <c r="DJ1631" s="5" t="s">
        <v>238</v>
      </c>
      <c r="DN1631" s="5" t="s">
        <v>238</v>
      </c>
      <c r="DO1631" s="5" t="s">
        <v>238</v>
      </c>
      <c r="DP1631" s="5" t="s">
        <v>238</v>
      </c>
      <c r="DQ1631" s="5" t="s">
        <v>238</v>
      </c>
      <c r="DT1631" s="5" t="s">
        <v>2039</v>
      </c>
      <c r="DU1631" s="5" t="s">
        <v>1039</v>
      </c>
      <c r="HM1631" s="5" t="s">
        <v>264</v>
      </c>
    </row>
    <row r="1632" spans="1:221" x14ac:dyDescent="0.4">
      <c r="A1632" s="5">
        <v>3307</v>
      </c>
      <c r="B1632" s="5">
        <v>1</v>
      </c>
      <c r="C1632" s="5">
        <v>1</v>
      </c>
      <c r="D1632" s="5" t="s">
        <v>2037</v>
      </c>
      <c r="E1632" s="5" t="s">
        <v>271</v>
      </c>
      <c r="F1632" s="5" t="s">
        <v>248</v>
      </c>
      <c r="G1632" s="5" t="s">
        <v>1969</v>
      </c>
      <c r="H1632" s="6" t="s">
        <v>3772</v>
      </c>
      <c r="I1632" s="7">
        <f>1740</f>
        <v>1740</v>
      </c>
      <c r="J1632" s="5" t="s">
        <v>262</v>
      </c>
      <c r="K1632" s="8">
        <f>1</f>
        <v>1</v>
      </c>
      <c r="L1632" s="6" t="s">
        <v>242</v>
      </c>
      <c r="M1632" s="5" t="s">
        <v>267</v>
      </c>
      <c r="N1632" s="5" t="s">
        <v>265</v>
      </c>
      <c r="O1632" s="5" t="s">
        <v>238</v>
      </c>
      <c r="P1632" s="5" t="s">
        <v>238</v>
      </c>
      <c r="Q1632" s="5" t="s">
        <v>268</v>
      </c>
      <c r="R1632" s="5" t="s">
        <v>270</v>
      </c>
      <c r="S1632" s="5" t="s">
        <v>238</v>
      </c>
      <c r="V1632" s="5" t="s">
        <v>238</v>
      </c>
      <c r="X1632" s="6" t="s">
        <v>238</v>
      </c>
      <c r="AA1632" s="6" t="s">
        <v>243</v>
      </c>
      <c r="AB1632" s="5" t="s">
        <v>238</v>
      </c>
      <c r="AC1632" s="5" t="s">
        <v>244</v>
      </c>
      <c r="AD1632" s="5" t="s">
        <v>245</v>
      </c>
      <c r="AT1632" s="5" t="s">
        <v>246</v>
      </c>
      <c r="AU1632" s="5" t="s">
        <v>238</v>
      </c>
      <c r="AV1632" s="5" t="s">
        <v>247</v>
      </c>
      <c r="AW1632" s="5" t="s">
        <v>238</v>
      </c>
      <c r="AX1632" s="5" t="s">
        <v>249</v>
      </c>
      <c r="AY1632" s="5" t="s">
        <v>238</v>
      </c>
      <c r="BA1632" s="5" t="s">
        <v>238</v>
      </c>
      <c r="BC1632" s="5" t="s">
        <v>250</v>
      </c>
      <c r="BD1632" s="6" t="s">
        <v>243</v>
      </c>
      <c r="BE1632" s="5" t="s">
        <v>251</v>
      </c>
      <c r="BF1632" s="5" t="s">
        <v>252</v>
      </c>
      <c r="BG1632" s="5" t="s">
        <v>238</v>
      </c>
      <c r="BH1632" s="7">
        <f>0</f>
        <v>0</v>
      </c>
      <c r="BI1632" s="8">
        <f>0</f>
        <v>0</v>
      </c>
      <c r="BJ1632" s="5" t="s">
        <v>253</v>
      </c>
      <c r="BK1632" s="5" t="s">
        <v>254</v>
      </c>
      <c r="BY1632" s="5" t="s">
        <v>238</v>
      </c>
      <c r="BZ1632" s="5" t="s">
        <v>238</v>
      </c>
      <c r="CD1632" s="5" t="s">
        <v>273</v>
      </c>
      <c r="CE1632" s="5" t="s">
        <v>256</v>
      </c>
      <c r="CF1632" s="5" t="s">
        <v>238</v>
      </c>
      <c r="CI1632" s="6" t="s">
        <v>257</v>
      </c>
      <c r="CJ1632" s="5" t="s">
        <v>238</v>
      </c>
      <c r="CK1632" s="5" t="s">
        <v>258</v>
      </c>
      <c r="CL1632" s="5" t="s">
        <v>238</v>
      </c>
      <c r="CM1632" s="5" t="s">
        <v>238</v>
      </c>
      <c r="CN1632" s="5">
        <v>0</v>
      </c>
      <c r="CO1632" s="5" t="s">
        <v>259</v>
      </c>
      <c r="CP1632" s="5" t="s">
        <v>260</v>
      </c>
      <c r="CQ1632" s="5" t="s">
        <v>260</v>
      </c>
      <c r="CR1632" s="5" t="s">
        <v>261</v>
      </c>
      <c r="CU1632" s="8">
        <f>1</f>
        <v>1</v>
      </c>
      <c r="CV1632" s="8">
        <f>0</f>
        <v>0</v>
      </c>
      <c r="CX1632" s="8">
        <f>0</f>
        <v>0</v>
      </c>
      <c r="CY1632" s="8">
        <f>1</f>
        <v>1</v>
      </c>
      <c r="DA1632" s="5" t="s">
        <v>673</v>
      </c>
      <c r="DB1632" s="5" t="s">
        <v>238</v>
      </c>
      <c r="DD1632" s="5" t="s">
        <v>673</v>
      </c>
      <c r="DE1632" s="8">
        <f>1740</f>
        <v>1740</v>
      </c>
      <c r="DG1632" s="5" t="s">
        <v>238</v>
      </c>
      <c r="DH1632" s="5" t="s">
        <v>238</v>
      </c>
      <c r="DI1632" s="5" t="s">
        <v>238</v>
      </c>
      <c r="DJ1632" s="5" t="s">
        <v>238</v>
      </c>
      <c r="DN1632" s="5" t="s">
        <v>238</v>
      </c>
      <c r="DO1632" s="5" t="s">
        <v>238</v>
      </c>
      <c r="DP1632" s="5" t="s">
        <v>238</v>
      </c>
      <c r="DQ1632" s="5" t="s">
        <v>238</v>
      </c>
      <c r="DT1632" s="5" t="s">
        <v>2039</v>
      </c>
      <c r="DU1632" s="5" t="s">
        <v>1035</v>
      </c>
      <c r="HM1632" s="5" t="s">
        <v>264</v>
      </c>
    </row>
    <row r="1633" spans="1:221" x14ac:dyDescent="0.4">
      <c r="A1633" s="5">
        <v>3308</v>
      </c>
      <c r="B1633" s="5">
        <v>1</v>
      </c>
      <c r="C1633" s="5">
        <v>1</v>
      </c>
      <c r="D1633" s="5" t="s">
        <v>2037</v>
      </c>
      <c r="E1633" s="5" t="s">
        <v>271</v>
      </c>
      <c r="F1633" s="5" t="s">
        <v>248</v>
      </c>
      <c r="G1633" s="5" t="s">
        <v>1969</v>
      </c>
      <c r="H1633" s="6" t="s">
        <v>3771</v>
      </c>
      <c r="I1633" s="7">
        <f>1208</f>
        <v>1208</v>
      </c>
      <c r="J1633" s="5" t="s">
        <v>262</v>
      </c>
      <c r="K1633" s="8">
        <f>1</f>
        <v>1</v>
      </c>
      <c r="L1633" s="6" t="s">
        <v>242</v>
      </c>
      <c r="M1633" s="5" t="s">
        <v>267</v>
      </c>
      <c r="N1633" s="5" t="s">
        <v>265</v>
      </c>
      <c r="O1633" s="5" t="s">
        <v>238</v>
      </c>
      <c r="P1633" s="5" t="s">
        <v>238</v>
      </c>
      <c r="Q1633" s="5" t="s">
        <v>268</v>
      </c>
      <c r="R1633" s="5" t="s">
        <v>270</v>
      </c>
      <c r="S1633" s="5" t="s">
        <v>238</v>
      </c>
      <c r="V1633" s="5" t="s">
        <v>238</v>
      </c>
      <c r="X1633" s="6" t="s">
        <v>238</v>
      </c>
      <c r="AA1633" s="6" t="s">
        <v>243</v>
      </c>
      <c r="AB1633" s="5" t="s">
        <v>238</v>
      </c>
      <c r="AC1633" s="5" t="s">
        <v>244</v>
      </c>
      <c r="AD1633" s="5" t="s">
        <v>245</v>
      </c>
      <c r="AT1633" s="5" t="s">
        <v>246</v>
      </c>
      <c r="AU1633" s="5" t="s">
        <v>238</v>
      </c>
      <c r="AV1633" s="5" t="s">
        <v>247</v>
      </c>
      <c r="AW1633" s="5" t="s">
        <v>238</v>
      </c>
      <c r="AX1633" s="5" t="s">
        <v>249</v>
      </c>
      <c r="AY1633" s="5" t="s">
        <v>238</v>
      </c>
      <c r="BA1633" s="5" t="s">
        <v>238</v>
      </c>
      <c r="BC1633" s="5" t="s">
        <v>250</v>
      </c>
      <c r="BD1633" s="6" t="s">
        <v>243</v>
      </c>
      <c r="BE1633" s="5" t="s">
        <v>251</v>
      </c>
      <c r="BF1633" s="5" t="s">
        <v>252</v>
      </c>
      <c r="BG1633" s="5" t="s">
        <v>238</v>
      </c>
      <c r="BH1633" s="7">
        <f>0</f>
        <v>0</v>
      </c>
      <c r="BI1633" s="8">
        <f>0</f>
        <v>0</v>
      </c>
      <c r="BJ1633" s="5" t="s">
        <v>253</v>
      </c>
      <c r="BK1633" s="5" t="s">
        <v>254</v>
      </c>
      <c r="BY1633" s="5" t="s">
        <v>238</v>
      </c>
      <c r="BZ1633" s="5" t="s">
        <v>238</v>
      </c>
      <c r="CD1633" s="5" t="s">
        <v>273</v>
      </c>
      <c r="CE1633" s="5" t="s">
        <v>256</v>
      </c>
      <c r="CF1633" s="5" t="s">
        <v>238</v>
      </c>
      <c r="CI1633" s="6" t="s">
        <v>257</v>
      </c>
      <c r="CJ1633" s="5" t="s">
        <v>238</v>
      </c>
      <c r="CK1633" s="5" t="s">
        <v>258</v>
      </c>
      <c r="CL1633" s="5" t="s">
        <v>238</v>
      </c>
      <c r="CM1633" s="5" t="s">
        <v>238</v>
      </c>
      <c r="CN1633" s="5">
        <v>0</v>
      </c>
      <c r="CO1633" s="5" t="s">
        <v>259</v>
      </c>
      <c r="CP1633" s="5" t="s">
        <v>260</v>
      </c>
      <c r="CQ1633" s="5" t="s">
        <v>260</v>
      </c>
      <c r="CR1633" s="5" t="s">
        <v>261</v>
      </c>
      <c r="CU1633" s="8">
        <f>1</f>
        <v>1</v>
      </c>
      <c r="CV1633" s="8">
        <f>0</f>
        <v>0</v>
      </c>
      <c r="CX1633" s="8">
        <f>0</f>
        <v>0</v>
      </c>
      <c r="CY1633" s="8">
        <f>1</f>
        <v>1</v>
      </c>
      <c r="DA1633" s="5" t="s">
        <v>673</v>
      </c>
      <c r="DB1633" s="5" t="s">
        <v>238</v>
      </c>
      <c r="DD1633" s="5" t="s">
        <v>673</v>
      </c>
      <c r="DE1633" s="8">
        <f>1208</f>
        <v>1208</v>
      </c>
      <c r="DG1633" s="5" t="s">
        <v>238</v>
      </c>
      <c r="DH1633" s="5" t="s">
        <v>238</v>
      </c>
      <c r="DI1633" s="5" t="s">
        <v>238</v>
      </c>
      <c r="DJ1633" s="5" t="s">
        <v>238</v>
      </c>
      <c r="DN1633" s="5" t="s">
        <v>238</v>
      </c>
      <c r="DO1633" s="5" t="s">
        <v>238</v>
      </c>
      <c r="DP1633" s="5" t="s">
        <v>238</v>
      </c>
      <c r="DQ1633" s="5" t="s">
        <v>238</v>
      </c>
      <c r="DT1633" s="5" t="s">
        <v>2039</v>
      </c>
      <c r="DU1633" s="5" t="s">
        <v>1027</v>
      </c>
      <c r="HM1633" s="5" t="s">
        <v>264</v>
      </c>
    </row>
    <row r="1634" spans="1:221" x14ac:dyDescent="0.4">
      <c r="A1634" s="5">
        <v>3309</v>
      </c>
      <c r="B1634" s="5">
        <v>1</v>
      </c>
      <c r="C1634" s="5">
        <v>1</v>
      </c>
      <c r="D1634" s="5" t="s">
        <v>2037</v>
      </c>
      <c r="E1634" s="5" t="s">
        <v>271</v>
      </c>
      <c r="F1634" s="5" t="s">
        <v>248</v>
      </c>
      <c r="G1634" s="5" t="s">
        <v>1969</v>
      </c>
      <c r="H1634" s="6" t="s">
        <v>3770</v>
      </c>
      <c r="I1634" s="7">
        <f>1760</f>
        <v>1760</v>
      </c>
      <c r="J1634" s="5" t="s">
        <v>262</v>
      </c>
      <c r="K1634" s="8">
        <f>1</f>
        <v>1</v>
      </c>
      <c r="L1634" s="6" t="s">
        <v>242</v>
      </c>
      <c r="M1634" s="5" t="s">
        <v>267</v>
      </c>
      <c r="N1634" s="5" t="s">
        <v>265</v>
      </c>
      <c r="O1634" s="5" t="s">
        <v>238</v>
      </c>
      <c r="P1634" s="5" t="s">
        <v>238</v>
      </c>
      <c r="Q1634" s="5" t="s">
        <v>268</v>
      </c>
      <c r="R1634" s="5" t="s">
        <v>270</v>
      </c>
      <c r="S1634" s="5" t="s">
        <v>238</v>
      </c>
      <c r="V1634" s="5" t="s">
        <v>238</v>
      </c>
      <c r="X1634" s="6" t="s">
        <v>238</v>
      </c>
      <c r="AA1634" s="6" t="s">
        <v>243</v>
      </c>
      <c r="AB1634" s="5" t="s">
        <v>238</v>
      </c>
      <c r="AC1634" s="5" t="s">
        <v>244</v>
      </c>
      <c r="AD1634" s="5" t="s">
        <v>245</v>
      </c>
      <c r="AT1634" s="5" t="s">
        <v>246</v>
      </c>
      <c r="AU1634" s="5" t="s">
        <v>238</v>
      </c>
      <c r="AV1634" s="5" t="s">
        <v>247</v>
      </c>
      <c r="AW1634" s="5" t="s">
        <v>238</v>
      </c>
      <c r="AX1634" s="5" t="s">
        <v>249</v>
      </c>
      <c r="AY1634" s="5" t="s">
        <v>238</v>
      </c>
      <c r="BA1634" s="5" t="s">
        <v>238</v>
      </c>
      <c r="BC1634" s="5" t="s">
        <v>250</v>
      </c>
      <c r="BD1634" s="6" t="s">
        <v>243</v>
      </c>
      <c r="BE1634" s="5" t="s">
        <v>251</v>
      </c>
      <c r="BF1634" s="5" t="s">
        <v>252</v>
      </c>
      <c r="BG1634" s="5" t="s">
        <v>238</v>
      </c>
      <c r="BH1634" s="7">
        <f>0</f>
        <v>0</v>
      </c>
      <c r="BI1634" s="8">
        <f>0</f>
        <v>0</v>
      </c>
      <c r="BJ1634" s="5" t="s">
        <v>253</v>
      </c>
      <c r="BK1634" s="5" t="s">
        <v>254</v>
      </c>
      <c r="BY1634" s="5" t="s">
        <v>238</v>
      </c>
      <c r="BZ1634" s="5" t="s">
        <v>238</v>
      </c>
      <c r="CD1634" s="5" t="s">
        <v>273</v>
      </c>
      <c r="CE1634" s="5" t="s">
        <v>256</v>
      </c>
      <c r="CF1634" s="5" t="s">
        <v>238</v>
      </c>
      <c r="CI1634" s="6" t="s">
        <v>257</v>
      </c>
      <c r="CJ1634" s="5" t="s">
        <v>238</v>
      </c>
      <c r="CK1634" s="5" t="s">
        <v>258</v>
      </c>
      <c r="CL1634" s="5" t="s">
        <v>238</v>
      </c>
      <c r="CM1634" s="5" t="s">
        <v>238</v>
      </c>
      <c r="CN1634" s="5">
        <v>0</v>
      </c>
      <c r="CO1634" s="5" t="s">
        <v>259</v>
      </c>
      <c r="CP1634" s="5" t="s">
        <v>260</v>
      </c>
      <c r="CQ1634" s="5" t="s">
        <v>260</v>
      </c>
      <c r="CR1634" s="5" t="s">
        <v>261</v>
      </c>
      <c r="CU1634" s="8">
        <f>1</f>
        <v>1</v>
      </c>
      <c r="CV1634" s="8">
        <f>0</f>
        <v>0</v>
      </c>
      <c r="CX1634" s="8">
        <f>0</f>
        <v>0</v>
      </c>
      <c r="CY1634" s="8">
        <f>1</f>
        <v>1</v>
      </c>
      <c r="DA1634" s="5" t="s">
        <v>673</v>
      </c>
      <c r="DB1634" s="5" t="s">
        <v>238</v>
      </c>
      <c r="DD1634" s="5" t="s">
        <v>673</v>
      </c>
      <c r="DE1634" s="8">
        <f>1760</f>
        <v>1760</v>
      </c>
      <c r="DG1634" s="5" t="s">
        <v>238</v>
      </c>
      <c r="DH1634" s="5" t="s">
        <v>238</v>
      </c>
      <c r="DI1634" s="5" t="s">
        <v>238</v>
      </c>
      <c r="DJ1634" s="5" t="s">
        <v>238</v>
      </c>
      <c r="DN1634" s="5" t="s">
        <v>238</v>
      </c>
      <c r="DO1634" s="5" t="s">
        <v>238</v>
      </c>
      <c r="DP1634" s="5" t="s">
        <v>238</v>
      </c>
      <c r="DQ1634" s="5" t="s">
        <v>238</v>
      </c>
      <c r="DT1634" s="5" t="s">
        <v>2039</v>
      </c>
      <c r="DU1634" s="5" t="s">
        <v>1023</v>
      </c>
      <c r="HM1634" s="5" t="s">
        <v>264</v>
      </c>
    </row>
    <row r="1635" spans="1:221" x14ac:dyDescent="0.4">
      <c r="A1635" s="5">
        <v>3310</v>
      </c>
      <c r="B1635" s="5">
        <v>1</v>
      </c>
      <c r="C1635" s="5">
        <v>1</v>
      </c>
      <c r="D1635" s="5" t="s">
        <v>2037</v>
      </c>
      <c r="E1635" s="5" t="s">
        <v>271</v>
      </c>
      <c r="F1635" s="5" t="s">
        <v>248</v>
      </c>
      <c r="G1635" s="5" t="s">
        <v>1969</v>
      </c>
      <c r="H1635" s="6" t="s">
        <v>3769</v>
      </c>
      <c r="I1635" s="7">
        <f>447</f>
        <v>447</v>
      </c>
      <c r="J1635" s="5" t="s">
        <v>262</v>
      </c>
      <c r="K1635" s="8">
        <f>1</f>
        <v>1</v>
      </c>
      <c r="L1635" s="6" t="s">
        <v>242</v>
      </c>
      <c r="M1635" s="5" t="s">
        <v>267</v>
      </c>
      <c r="N1635" s="5" t="s">
        <v>265</v>
      </c>
      <c r="O1635" s="5" t="s">
        <v>238</v>
      </c>
      <c r="P1635" s="5" t="s">
        <v>238</v>
      </c>
      <c r="Q1635" s="5" t="s">
        <v>268</v>
      </c>
      <c r="R1635" s="5" t="s">
        <v>270</v>
      </c>
      <c r="S1635" s="5" t="s">
        <v>238</v>
      </c>
      <c r="V1635" s="5" t="s">
        <v>238</v>
      </c>
      <c r="X1635" s="6" t="s">
        <v>238</v>
      </c>
      <c r="AA1635" s="6" t="s">
        <v>243</v>
      </c>
      <c r="AB1635" s="5" t="s">
        <v>238</v>
      </c>
      <c r="AC1635" s="5" t="s">
        <v>244</v>
      </c>
      <c r="AD1635" s="5" t="s">
        <v>245</v>
      </c>
      <c r="AT1635" s="5" t="s">
        <v>246</v>
      </c>
      <c r="AU1635" s="5" t="s">
        <v>238</v>
      </c>
      <c r="AV1635" s="5" t="s">
        <v>247</v>
      </c>
      <c r="AW1635" s="5" t="s">
        <v>238</v>
      </c>
      <c r="AX1635" s="5" t="s">
        <v>249</v>
      </c>
      <c r="AY1635" s="5" t="s">
        <v>238</v>
      </c>
      <c r="BA1635" s="5" t="s">
        <v>238</v>
      </c>
      <c r="BC1635" s="5" t="s">
        <v>250</v>
      </c>
      <c r="BD1635" s="6" t="s">
        <v>243</v>
      </c>
      <c r="BE1635" s="5" t="s">
        <v>251</v>
      </c>
      <c r="BF1635" s="5" t="s">
        <v>252</v>
      </c>
      <c r="BG1635" s="5" t="s">
        <v>238</v>
      </c>
      <c r="BH1635" s="7">
        <f>0</f>
        <v>0</v>
      </c>
      <c r="BI1635" s="8">
        <f>0</f>
        <v>0</v>
      </c>
      <c r="BJ1635" s="5" t="s">
        <v>253</v>
      </c>
      <c r="BK1635" s="5" t="s">
        <v>254</v>
      </c>
      <c r="BY1635" s="5" t="s">
        <v>238</v>
      </c>
      <c r="BZ1635" s="5" t="s">
        <v>238</v>
      </c>
      <c r="CD1635" s="5" t="s">
        <v>273</v>
      </c>
      <c r="CE1635" s="5" t="s">
        <v>256</v>
      </c>
      <c r="CF1635" s="5" t="s">
        <v>238</v>
      </c>
      <c r="CI1635" s="6" t="s">
        <v>257</v>
      </c>
      <c r="CJ1635" s="5" t="s">
        <v>238</v>
      </c>
      <c r="CK1635" s="5" t="s">
        <v>258</v>
      </c>
      <c r="CL1635" s="5" t="s">
        <v>238</v>
      </c>
      <c r="CM1635" s="5" t="s">
        <v>238</v>
      </c>
      <c r="CN1635" s="5">
        <v>0</v>
      </c>
      <c r="CO1635" s="5" t="s">
        <v>259</v>
      </c>
      <c r="CP1635" s="5" t="s">
        <v>260</v>
      </c>
      <c r="CQ1635" s="5" t="s">
        <v>260</v>
      </c>
      <c r="CR1635" s="5" t="s">
        <v>261</v>
      </c>
      <c r="CU1635" s="8">
        <f>1</f>
        <v>1</v>
      </c>
      <c r="CV1635" s="8">
        <f>0</f>
        <v>0</v>
      </c>
      <c r="CX1635" s="8">
        <f>0</f>
        <v>0</v>
      </c>
      <c r="CY1635" s="8">
        <f>1</f>
        <v>1</v>
      </c>
      <c r="DA1635" s="5" t="s">
        <v>673</v>
      </c>
      <c r="DB1635" s="5" t="s">
        <v>238</v>
      </c>
      <c r="DD1635" s="5" t="s">
        <v>673</v>
      </c>
      <c r="DE1635" s="8">
        <f>447</f>
        <v>447</v>
      </c>
      <c r="DG1635" s="5" t="s">
        <v>238</v>
      </c>
      <c r="DH1635" s="5" t="s">
        <v>238</v>
      </c>
      <c r="DI1635" s="5" t="s">
        <v>238</v>
      </c>
      <c r="DJ1635" s="5" t="s">
        <v>238</v>
      </c>
      <c r="DN1635" s="5" t="s">
        <v>238</v>
      </c>
      <c r="DO1635" s="5" t="s">
        <v>238</v>
      </c>
      <c r="DP1635" s="5" t="s">
        <v>238</v>
      </c>
      <c r="DQ1635" s="5" t="s">
        <v>238</v>
      </c>
      <c r="DT1635" s="5" t="s">
        <v>2039</v>
      </c>
      <c r="DU1635" s="5" t="s">
        <v>1015</v>
      </c>
      <c r="HM1635" s="5" t="s">
        <v>264</v>
      </c>
    </row>
    <row r="1636" spans="1:221" x14ac:dyDescent="0.4">
      <c r="A1636" s="5">
        <v>3311</v>
      </c>
      <c r="B1636" s="5">
        <v>1</v>
      </c>
      <c r="C1636" s="5">
        <v>1</v>
      </c>
      <c r="D1636" s="5" t="s">
        <v>2037</v>
      </c>
      <c r="E1636" s="5" t="s">
        <v>271</v>
      </c>
      <c r="F1636" s="5" t="s">
        <v>248</v>
      </c>
      <c r="G1636" s="5" t="s">
        <v>1969</v>
      </c>
      <c r="H1636" s="6" t="s">
        <v>3768</v>
      </c>
      <c r="I1636" s="7">
        <f>144</f>
        <v>144</v>
      </c>
      <c r="J1636" s="5" t="s">
        <v>262</v>
      </c>
      <c r="K1636" s="8">
        <f>1</f>
        <v>1</v>
      </c>
      <c r="L1636" s="6" t="s">
        <v>242</v>
      </c>
      <c r="M1636" s="5" t="s">
        <v>267</v>
      </c>
      <c r="N1636" s="5" t="s">
        <v>265</v>
      </c>
      <c r="O1636" s="5" t="s">
        <v>238</v>
      </c>
      <c r="P1636" s="5" t="s">
        <v>238</v>
      </c>
      <c r="Q1636" s="5" t="s">
        <v>268</v>
      </c>
      <c r="R1636" s="5" t="s">
        <v>270</v>
      </c>
      <c r="S1636" s="5" t="s">
        <v>238</v>
      </c>
      <c r="V1636" s="5" t="s">
        <v>238</v>
      </c>
      <c r="X1636" s="6" t="s">
        <v>238</v>
      </c>
      <c r="AA1636" s="6" t="s">
        <v>243</v>
      </c>
      <c r="AB1636" s="5" t="s">
        <v>238</v>
      </c>
      <c r="AC1636" s="5" t="s">
        <v>244</v>
      </c>
      <c r="AD1636" s="5" t="s">
        <v>245</v>
      </c>
      <c r="AT1636" s="5" t="s">
        <v>246</v>
      </c>
      <c r="AU1636" s="5" t="s">
        <v>238</v>
      </c>
      <c r="AV1636" s="5" t="s">
        <v>247</v>
      </c>
      <c r="AW1636" s="5" t="s">
        <v>238</v>
      </c>
      <c r="AX1636" s="5" t="s">
        <v>249</v>
      </c>
      <c r="AY1636" s="5" t="s">
        <v>238</v>
      </c>
      <c r="BA1636" s="5" t="s">
        <v>238</v>
      </c>
      <c r="BC1636" s="5" t="s">
        <v>250</v>
      </c>
      <c r="BD1636" s="6" t="s">
        <v>243</v>
      </c>
      <c r="BE1636" s="5" t="s">
        <v>251</v>
      </c>
      <c r="BF1636" s="5" t="s">
        <v>252</v>
      </c>
      <c r="BG1636" s="5" t="s">
        <v>238</v>
      </c>
      <c r="BH1636" s="7">
        <f>0</f>
        <v>0</v>
      </c>
      <c r="BI1636" s="8">
        <f>0</f>
        <v>0</v>
      </c>
      <c r="BJ1636" s="5" t="s">
        <v>253</v>
      </c>
      <c r="BK1636" s="5" t="s">
        <v>254</v>
      </c>
      <c r="BY1636" s="5" t="s">
        <v>238</v>
      </c>
      <c r="BZ1636" s="5" t="s">
        <v>238</v>
      </c>
      <c r="CD1636" s="5" t="s">
        <v>273</v>
      </c>
      <c r="CE1636" s="5" t="s">
        <v>256</v>
      </c>
      <c r="CF1636" s="5" t="s">
        <v>238</v>
      </c>
      <c r="CI1636" s="6" t="s">
        <v>257</v>
      </c>
      <c r="CJ1636" s="5" t="s">
        <v>238</v>
      </c>
      <c r="CK1636" s="5" t="s">
        <v>258</v>
      </c>
      <c r="CL1636" s="5" t="s">
        <v>238</v>
      </c>
      <c r="CM1636" s="5" t="s">
        <v>238</v>
      </c>
      <c r="CN1636" s="5">
        <v>0</v>
      </c>
      <c r="CO1636" s="5" t="s">
        <v>259</v>
      </c>
      <c r="CP1636" s="5" t="s">
        <v>260</v>
      </c>
      <c r="CQ1636" s="5" t="s">
        <v>260</v>
      </c>
      <c r="CR1636" s="5" t="s">
        <v>261</v>
      </c>
      <c r="CU1636" s="8">
        <f>1</f>
        <v>1</v>
      </c>
      <c r="CV1636" s="8">
        <f>0</f>
        <v>0</v>
      </c>
      <c r="CX1636" s="8">
        <f>0</f>
        <v>0</v>
      </c>
      <c r="CY1636" s="8">
        <f>1</f>
        <v>1</v>
      </c>
      <c r="DA1636" s="5" t="s">
        <v>673</v>
      </c>
      <c r="DB1636" s="5" t="s">
        <v>238</v>
      </c>
      <c r="DD1636" s="5" t="s">
        <v>673</v>
      </c>
      <c r="DE1636" s="8">
        <f>144</f>
        <v>144</v>
      </c>
      <c r="DG1636" s="5" t="s">
        <v>238</v>
      </c>
      <c r="DH1636" s="5" t="s">
        <v>238</v>
      </c>
      <c r="DI1636" s="5" t="s">
        <v>238</v>
      </c>
      <c r="DJ1636" s="5" t="s">
        <v>238</v>
      </c>
      <c r="DN1636" s="5" t="s">
        <v>238</v>
      </c>
      <c r="DO1636" s="5" t="s">
        <v>238</v>
      </c>
      <c r="DP1636" s="5" t="s">
        <v>238</v>
      </c>
      <c r="DQ1636" s="5" t="s">
        <v>238</v>
      </c>
      <c r="DT1636" s="5" t="s">
        <v>2039</v>
      </c>
      <c r="DU1636" s="5" t="s">
        <v>1011</v>
      </c>
      <c r="HM1636" s="5" t="s">
        <v>264</v>
      </c>
    </row>
    <row r="1637" spans="1:221" x14ac:dyDescent="0.4">
      <c r="A1637" s="5">
        <v>3312</v>
      </c>
      <c r="B1637" s="5">
        <v>1</v>
      </c>
      <c r="C1637" s="5">
        <v>1</v>
      </c>
      <c r="D1637" s="5" t="s">
        <v>2037</v>
      </c>
      <c r="E1637" s="5" t="s">
        <v>271</v>
      </c>
      <c r="F1637" s="5" t="s">
        <v>248</v>
      </c>
      <c r="G1637" s="5" t="s">
        <v>1969</v>
      </c>
      <c r="H1637" s="6" t="s">
        <v>3767</v>
      </c>
      <c r="I1637" s="7">
        <f>1146</f>
        <v>1146</v>
      </c>
      <c r="J1637" s="5" t="s">
        <v>262</v>
      </c>
      <c r="K1637" s="8">
        <f>1</f>
        <v>1</v>
      </c>
      <c r="L1637" s="6" t="s">
        <v>242</v>
      </c>
      <c r="M1637" s="5" t="s">
        <v>267</v>
      </c>
      <c r="N1637" s="5" t="s">
        <v>265</v>
      </c>
      <c r="O1637" s="5" t="s">
        <v>238</v>
      </c>
      <c r="P1637" s="5" t="s">
        <v>238</v>
      </c>
      <c r="Q1637" s="5" t="s">
        <v>268</v>
      </c>
      <c r="R1637" s="5" t="s">
        <v>270</v>
      </c>
      <c r="S1637" s="5" t="s">
        <v>238</v>
      </c>
      <c r="V1637" s="5" t="s">
        <v>238</v>
      </c>
      <c r="X1637" s="6" t="s">
        <v>238</v>
      </c>
      <c r="AA1637" s="6" t="s">
        <v>243</v>
      </c>
      <c r="AB1637" s="5" t="s">
        <v>238</v>
      </c>
      <c r="AC1637" s="5" t="s">
        <v>244</v>
      </c>
      <c r="AD1637" s="5" t="s">
        <v>245</v>
      </c>
      <c r="AT1637" s="5" t="s">
        <v>246</v>
      </c>
      <c r="AU1637" s="5" t="s">
        <v>238</v>
      </c>
      <c r="AV1637" s="5" t="s">
        <v>247</v>
      </c>
      <c r="AW1637" s="5" t="s">
        <v>238</v>
      </c>
      <c r="AX1637" s="5" t="s">
        <v>249</v>
      </c>
      <c r="AY1637" s="5" t="s">
        <v>238</v>
      </c>
      <c r="BA1637" s="5" t="s">
        <v>238</v>
      </c>
      <c r="BC1637" s="5" t="s">
        <v>250</v>
      </c>
      <c r="BD1637" s="6" t="s">
        <v>243</v>
      </c>
      <c r="BE1637" s="5" t="s">
        <v>251</v>
      </c>
      <c r="BF1637" s="5" t="s">
        <v>252</v>
      </c>
      <c r="BG1637" s="5" t="s">
        <v>238</v>
      </c>
      <c r="BH1637" s="7">
        <f>0</f>
        <v>0</v>
      </c>
      <c r="BI1637" s="8">
        <f>0</f>
        <v>0</v>
      </c>
      <c r="BJ1637" s="5" t="s">
        <v>253</v>
      </c>
      <c r="BK1637" s="5" t="s">
        <v>254</v>
      </c>
      <c r="BY1637" s="5" t="s">
        <v>238</v>
      </c>
      <c r="BZ1637" s="5" t="s">
        <v>238</v>
      </c>
      <c r="CD1637" s="5" t="s">
        <v>273</v>
      </c>
      <c r="CE1637" s="5" t="s">
        <v>256</v>
      </c>
      <c r="CF1637" s="5" t="s">
        <v>238</v>
      </c>
      <c r="CI1637" s="6" t="s">
        <v>257</v>
      </c>
      <c r="CJ1637" s="5" t="s">
        <v>238</v>
      </c>
      <c r="CK1637" s="5" t="s">
        <v>258</v>
      </c>
      <c r="CL1637" s="5" t="s">
        <v>238</v>
      </c>
      <c r="CM1637" s="5" t="s">
        <v>238</v>
      </c>
      <c r="CN1637" s="5">
        <v>0</v>
      </c>
      <c r="CO1637" s="5" t="s">
        <v>259</v>
      </c>
      <c r="CP1637" s="5" t="s">
        <v>260</v>
      </c>
      <c r="CQ1637" s="5" t="s">
        <v>260</v>
      </c>
      <c r="CR1637" s="5" t="s">
        <v>261</v>
      </c>
      <c r="CU1637" s="8">
        <f>1</f>
        <v>1</v>
      </c>
      <c r="CV1637" s="8">
        <f>0</f>
        <v>0</v>
      </c>
      <c r="CX1637" s="8">
        <f>0</f>
        <v>0</v>
      </c>
      <c r="CY1637" s="8">
        <f>1</f>
        <v>1</v>
      </c>
      <c r="DA1637" s="5" t="s">
        <v>673</v>
      </c>
      <c r="DB1637" s="5" t="s">
        <v>238</v>
      </c>
      <c r="DD1637" s="5" t="s">
        <v>673</v>
      </c>
      <c r="DE1637" s="8">
        <f>1146</f>
        <v>1146</v>
      </c>
      <c r="DG1637" s="5" t="s">
        <v>238</v>
      </c>
      <c r="DH1637" s="5" t="s">
        <v>238</v>
      </c>
      <c r="DI1637" s="5" t="s">
        <v>238</v>
      </c>
      <c r="DJ1637" s="5" t="s">
        <v>238</v>
      </c>
      <c r="DN1637" s="5" t="s">
        <v>238</v>
      </c>
      <c r="DO1637" s="5" t="s">
        <v>238</v>
      </c>
      <c r="DP1637" s="5" t="s">
        <v>238</v>
      </c>
      <c r="DQ1637" s="5" t="s">
        <v>238</v>
      </c>
      <c r="DT1637" s="5" t="s">
        <v>2039</v>
      </c>
      <c r="DU1637" s="5" t="s">
        <v>1005</v>
      </c>
      <c r="HM1637" s="5" t="s">
        <v>264</v>
      </c>
    </row>
    <row r="1638" spans="1:221" x14ac:dyDescent="0.4">
      <c r="A1638" s="5">
        <v>3313</v>
      </c>
      <c r="B1638" s="5">
        <v>1</v>
      </c>
      <c r="C1638" s="5">
        <v>1</v>
      </c>
      <c r="D1638" s="5" t="s">
        <v>2037</v>
      </c>
      <c r="E1638" s="5" t="s">
        <v>271</v>
      </c>
      <c r="F1638" s="5" t="s">
        <v>248</v>
      </c>
      <c r="G1638" s="5" t="s">
        <v>1969</v>
      </c>
      <c r="H1638" s="6" t="s">
        <v>3766</v>
      </c>
      <c r="I1638" s="7">
        <f>688</f>
        <v>688</v>
      </c>
      <c r="J1638" s="5" t="s">
        <v>262</v>
      </c>
      <c r="K1638" s="8">
        <f>1</f>
        <v>1</v>
      </c>
      <c r="L1638" s="6" t="s">
        <v>242</v>
      </c>
      <c r="M1638" s="5" t="s">
        <v>267</v>
      </c>
      <c r="N1638" s="5" t="s">
        <v>265</v>
      </c>
      <c r="O1638" s="5" t="s">
        <v>238</v>
      </c>
      <c r="P1638" s="5" t="s">
        <v>238</v>
      </c>
      <c r="Q1638" s="5" t="s">
        <v>268</v>
      </c>
      <c r="R1638" s="5" t="s">
        <v>270</v>
      </c>
      <c r="S1638" s="5" t="s">
        <v>238</v>
      </c>
      <c r="V1638" s="5" t="s">
        <v>238</v>
      </c>
      <c r="X1638" s="6" t="s">
        <v>238</v>
      </c>
      <c r="AA1638" s="6" t="s">
        <v>243</v>
      </c>
      <c r="AB1638" s="5" t="s">
        <v>238</v>
      </c>
      <c r="AC1638" s="5" t="s">
        <v>244</v>
      </c>
      <c r="AD1638" s="5" t="s">
        <v>245</v>
      </c>
      <c r="AT1638" s="5" t="s">
        <v>246</v>
      </c>
      <c r="AU1638" s="5" t="s">
        <v>238</v>
      </c>
      <c r="AV1638" s="5" t="s">
        <v>247</v>
      </c>
      <c r="AW1638" s="5" t="s">
        <v>238</v>
      </c>
      <c r="AX1638" s="5" t="s">
        <v>249</v>
      </c>
      <c r="AY1638" s="5" t="s">
        <v>238</v>
      </c>
      <c r="BA1638" s="5" t="s">
        <v>238</v>
      </c>
      <c r="BC1638" s="5" t="s">
        <v>250</v>
      </c>
      <c r="BD1638" s="6" t="s">
        <v>243</v>
      </c>
      <c r="BE1638" s="5" t="s">
        <v>251</v>
      </c>
      <c r="BF1638" s="5" t="s">
        <v>252</v>
      </c>
      <c r="BG1638" s="5" t="s">
        <v>238</v>
      </c>
      <c r="BH1638" s="7">
        <f>0</f>
        <v>0</v>
      </c>
      <c r="BI1638" s="8">
        <f>0</f>
        <v>0</v>
      </c>
      <c r="BJ1638" s="5" t="s">
        <v>253</v>
      </c>
      <c r="BK1638" s="5" t="s">
        <v>254</v>
      </c>
      <c r="BY1638" s="5" t="s">
        <v>238</v>
      </c>
      <c r="BZ1638" s="5" t="s">
        <v>238</v>
      </c>
      <c r="CD1638" s="5" t="s">
        <v>273</v>
      </c>
      <c r="CE1638" s="5" t="s">
        <v>256</v>
      </c>
      <c r="CF1638" s="5" t="s">
        <v>238</v>
      </c>
      <c r="CI1638" s="6" t="s">
        <v>257</v>
      </c>
      <c r="CJ1638" s="5" t="s">
        <v>238</v>
      </c>
      <c r="CK1638" s="5" t="s">
        <v>258</v>
      </c>
      <c r="CL1638" s="5" t="s">
        <v>238</v>
      </c>
      <c r="CM1638" s="5" t="s">
        <v>238</v>
      </c>
      <c r="CN1638" s="5">
        <v>0</v>
      </c>
      <c r="CO1638" s="5" t="s">
        <v>259</v>
      </c>
      <c r="CP1638" s="5" t="s">
        <v>260</v>
      </c>
      <c r="CQ1638" s="5" t="s">
        <v>260</v>
      </c>
      <c r="CR1638" s="5" t="s">
        <v>261</v>
      </c>
      <c r="CU1638" s="8">
        <f>1</f>
        <v>1</v>
      </c>
      <c r="CV1638" s="8">
        <f>0</f>
        <v>0</v>
      </c>
      <c r="CX1638" s="8">
        <f>0</f>
        <v>0</v>
      </c>
      <c r="CY1638" s="8">
        <f>1</f>
        <v>1</v>
      </c>
      <c r="DA1638" s="5" t="s">
        <v>673</v>
      </c>
      <c r="DB1638" s="5" t="s">
        <v>238</v>
      </c>
      <c r="DD1638" s="5" t="s">
        <v>673</v>
      </c>
      <c r="DE1638" s="8">
        <f>688</f>
        <v>688</v>
      </c>
      <c r="DG1638" s="5" t="s">
        <v>238</v>
      </c>
      <c r="DH1638" s="5" t="s">
        <v>238</v>
      </c>
      <c r="DI1638" s="5" t="s">
        <v>238</v>
      </c>
      <c r="DJ1638" s="5" t="s">
        <v>238</v>
      </c>
      <c r="DN1638" s="5" t="s">
        <v>238</v>
      </c>
      <c r="DO1638" s="5" t="s">
        <v>238</v>
      </c>
      <c r="DP1638" s="5" t="s">
        <v>238</v>
      </c>
      <c r="DQ1638" s="5" t="s">
        <v>238</v>
      </c>
      <c r="DT1638" s="5" t="s">
        <v>2039</v>
      </c>
      <c r="DU1638" s="5" t="s">
        <v>998</v>
      </c>
      <c r="HM1638" s="5" t="s">
        <v>264</v>
      </c>
    </row>
    <row r="1639" spans="1:221" x14ac:dyDescent="0.4">
      <c r="A1639" s="5">
        <v>3314</v>
      </c>
      <c r="B1639" s="5">
        <v>1</v>
      </c>
      <c r="C1639" s="5">
        <v>1</v>
      </c>
      <c r="D1639" s="5" t="s">
        <v>2037</v>
      </c>
      <c r="E1639" s="5" t="s">
        <v>271</v>
      </c>
      <c r="F1639" s="5" t="s">
        <v>248</v>
      </c>
      <c r="G1639" s="5" t="s">
        <v>1969</v>
      </c>
      <c r="H1639" s="6" t="s">
        <v>3765</v>
      </c>
      <c r="I1639" s="7">
        <f>52</f>
        <v>52</v>
      </c>
      <c r="J1639" s="5" t="s">
        <v>262</v>
      </c>
      <c r="K1639" s="8">
        <f>1</f>
        <v>1</v>
      </c>
      <c r="L1639" s="6" t="s">
        <v>242</v>
      </c>
      <c r="M1639" s="5" t="s">
        <v>267</v>
      </c>
      <c r="N1639" s="5" t="s">
        <v>265</v>
      </c>
      <c r="O1639" s="5" t="s">
        <v>238</v>
      </c>
      <c r="P1639" s="5" t="s">
        <v>238</v>
      </c>
      <c r="Q1639" s="5" t="s">
        <v>268</v>
      </c>
      <c r="R1639" s="5" t="s">
        <v>270</v>
      </c>
      <c r="S1639" s="5" t="s">
        <v>238</v>
      </c>
      <c r="V1639" s="5" t="s">
        <v>238</v>
      </c>
      <c r="X1639" s="6" t="s">
        <v>238</v>
      </c>
      <c r="AA1639" s="6" t="s">
        <v>243</v>
      </c>
      <c r="AB1639" s="5" t="s">
        <v>238</v>
      </c>
      <c r="AC1639" s="5" t="s">
        <v>244</v>
      </c>
      <c r="AD1639" s="5" t="s">
        <v>245</v>
      </c>
      <c r="AT1639" s="5" t="s">
        <v>246</v>
      </c>
      <c r="AU1639" s="5" t="s">
        <v>238</v>
      </c>
      <c r="AV1639" s="5" t="s">
        <v>247</v>
      </c>
      <c r="AW1639" s="5" t="s">
        <v>238</v>
      </c>
      <c r="AX1639" s="5" t="s">
        <v>249</v>
      </c>
      <c r="AY1639" s="5" t="s">
        <v>238</v>
      </c>
      <c r="BA1639" s="5" t="s">
        <v>238</v>
      </c>
      <c r="BC1639" s="5" t="s">
        <v>250</v>
      </c>
      <c r="BD1639" s="6" t="s">
        <v>243</v>
      </c>
      <c r="BE1639" s="5" t="s">
        <v>251</v>
      </c>
      <c r="BF1639" s="5" t="s">
        <v>252</v>
      </c>
      <c r="BG1639" s="5" t="s">
        <v>238</v>
      </c>
      <c r="BH1639" s="7">
        <f>0</f>
        <v>0</v>
      </c>
      <c r="BI1639" s="8">
        <f>0</f>
        <v>0</v>
      </c>
      <c r="BJ1639" s="5" t="s">
        <v>253</v>
      </c>
      <c r="BK1639" s="5" t="s">
        <v>254</v>
      </c>
      <c r="BY1639" s="5" t="s">
        <v>238</v>
      </c>
      <c r="BZ1639" s="5" t="s">
        <v>238</v>
      </c>
      <c r="CD1639" s="5" t="s">
        <v>273</v>
      </c>
      <c r="CE1639" s="5" t="s">
        <v>256</v>
      </c>
      <c r="CF1639" s="5" t="s">
        <v>238</v>
      </c>
      <c r="CI1639" s="6" t="s">
        <v>257</v>
      </c>
      <c r="CJ1639" s="5" t="s">
        <v>238</v>
      </c>
      <c r="CK1639" s="5" t="s">
        <v>258</v>
      </c>
      <c r="CL1639" s="5" t="s">
        <v>238</v>
      </c>
      <c r="CM1639" s="5" t="s">
        <v>238</v>
      </c>
      <c r="CN1639" s="5">
        <v>0</v>
      </c>
      <c r="CO1639" s="5" t="s">
        <v>259</v>
      </c>
      <c r="CP1639" s="5" t="s">
        <v>260</v>
      </c>
      <c r="CQ1639" s="5" t="s">
        <v>260</v>
      </c>
      <c r="CR1639" s="5" t="s">
        <v>261</v>
      </c>
      <c r="CU1639" s="8">
        <f>1</f>
        <v>1</v>
      </c>
      <c r="CV1639" s="8">
        <f>0</f>
        <v>0</v>
      </c>
      <c r="CX1639" s="8">
        <f>0</f>
        <v>0</v>
      </c>
      <c r="CY1639" s="8">
        <f>1</f>
        <v>1</v>
      </c>
      <c r="DA1639" s="5" t="s">
        <v>673</v>
      </c>
      <c r="DB1639" s="5" t="s">
        <v>238</v>
      </c>
      <c r="DD1639" s="5" t="s">
        <v>673</v>
      </c>
      <c r="DE1639" s="8">
        <f>52</f>
        <v>52</v>
      </c>
      <c r="DG1639" s="5" t="s">
        <v>238</v>
      </c>
      <c r="DH1639" s="5" t="s">
        <v>238</v>
      </c>
      <c r="DI1639" s="5" t="s">
        <v>238</v>
      </c>
      <c r="DJ1639" s="5" t="s">
        <v>238</v>
      </c>
      <c r="DN1639" s="5" t="s">
        <v>238</v>
      </c>
      <c r="DO1639" s="5" t="s">
        <v>238</v>
      </c>
      <c r="DP1639" s="5" t="s">
        <v>238</v>
      </c>
      <c r="DQ1639" s="5" t="s">
        <v>238</v>
      </c>
      <c r="DT1639" s="5" t="s">
        <v>2039</v>
      </c>
      <c r="DU1639" s="5" t="s">
        <v>992</v>
      </c>
      <c r="HM1639" s="5" t="s">
        <v>264</v>
      </c>
    </row>
    <row r="1640" spans="1:221" x14ac:dyDescent="0.4">
      <c r="A1640" s="5">
        <v>3315</v>
      </c>
      <c r="B1640" s="5">
        <v>1</v>
      </c>
      <c r="C1640" s="5">
        <v>1</v>
      </c>
      <c r="D1640" s="5" t="s">
        <v>2037</v>
      </c>
      <c r="E1640" s="5" t="s">
        <v>271</v>
      </c>
      <c r="F1640" s="5" t="s">
        <v>248</v>
      </c>
      <c r="G1640" s="5" t="s">
        <v>1969</v>
      </c>
      <c r="H1640" s="6" t="s">
        <v>3764</v>
      </c>
      <c r="I1640" s="7">
        <f>20</f>
        <v>20</v>
      </c>
      <c r="J1640" s="5" t="s">
        <v>262</v>
      </c>
      <c r="K1640" s="8">
        <f>1</f>
        <v>1</v>
      </c>
      <c r="L1640" s="6" t="s">
        <v>242</v>
      </c>
      <c r="M1640" s="5" t="s">
        <v>267</v>
      </c>
      <c r="N1640" s="5" t="s">
        <v>265</v>
      </c>
      <c r="O1640" s="5" t="s">
        <v>238</v>
      </c>
      <c r="P1640" s="5" t="s">
        <v>238</v>
      </c>
      <c r="Q1640" s="5" t="s">
        <v>268</v>
      </c>
      <c r="R1640" s="5" t="s">
        <v>270</v>
      </c>
      <c r="S1640" s="5" t="s">
        <v>238</v>
      </c>
      <c r="V1640" s="5" t="s">
        <v>238</v>
      </c>
      <c r="X1640" s="6" t="s">
        <v>238</v>
      </c>
      <c r="AA1640" s="6" t="s">
        <v>243</v>
      </c>
      <c r="AB1640" s="5" t="s">
        <v>238</v>
      </c>
      <c r="AC1640" s="5" t="s">
        <v>244</v>
      </c>
      <c r="AD1640" s="5" t="s">
        <v>245</v>
      </c>
      <c r="AT1640" s="5" t="s">
        <v>246</v>
      </c>
      <c r="AU1640" s="5" t="s">
        <v>238</v>
      </c>
      <c r="AV1640" s="5" t="s">
        <v>247</v>
      </c>
      <c r="AW1640" s="5" t="s">
        <v>238</v>
      </c>
      <c r="AX1640" s="5" t="s">
        <v>249</v>
      </c>
      <c r="AY1640" s="5" t="s">
        <v>238</v>
      </c>
      <c r="BA1640" s="5" t="s">
        <v>238</v>
      </c>
      <c r="BC1640" s="5" t="s">
        <v>250</v>
      </c>
      <c r="BD1640" s="6" t="s">
        <v>243</v>
      </c>
      <c r="BE1640" s="5" t="s">
        <v>251</v>
      </c>
      <c r="BF1640" s="5" t="s">
        <v>252</v>
      </c>
      <c r="BG1640" s="5" t="s">
        <v>238</v>
      </c>
      <c r="BH1640" s="7">
        <f>0</f>
        <v>0</v>
      </c>
      <c r="BI1640" s="8">
        <f>0</f>
        <v>0</v>
      </c>
      <c r="BJ1640" s="5" t="s">
        <v>253</v>
      </c>
      <c r="BK1640" s="5" t="s">
        <v>254</v>
      </c>
      <c r="BY1640" s="5" t="s">
        <v>238</v>
      </c>
      <c r="BZ1640" s="5" t="s">
        <v>238</v>
      </c>
      <c r="CD1640" s="5" t="s">
        <v>273</v>
      </c>
      <c r="CE1640" s="5" t="s">
        <v>256</v>
      </c>
      <c r="CF1640" s="5" t="s">
        <v>238</v>
      </c>
      <c r="CI1640" s="6" t="s">
        <v>257</v>
      </c>
      <c r="CJ1640" s="5" t="s">
        <v>238</v>
      </c>
      <c r="CK1640" s="5" t="s">
        <v>258</v>
      </c>
      <c r="CL1640" s="5" t="s">
        <v>238</v>
      </c>
      <c r="CM1640" s="5" t="s">
        <v>238</v>
      </c>
      <c r="CN1640" s="5">
        <v>0</v>
      </c>
      <c r="CO1640" s="5" t="s">
        <v>259</v>
      </c>
      <c r="CP1640" s="5" t="s">
        <v>260</v>
      </c>
      <c r="CQ1640" s="5" t="s">
        <v>260</v>
      </c>
      <c r="CR1640" s="5" t="s">
        <v>261</v>
      </c>
      <c r="CU1640" s="8">
        <f>1</f>
        <v>1</v>
      </c>
      <c r="CV1640" s="8">
        <f>0</f>
        <v>0</v>
      </c>
      <c r="CX1640" s="8">
        <f>0</f>
        <v>0</v>
      </c>
      <c r="CY1640" s="8">
        <f>1</f>
        <v>1</v>
      </c>
      <c r="DA1640" s="5" t="s">
        <v>673</v>
      </c>
      <c r="DB1640" s="5" t="s">
        <v>238</v>
      </c>
      <c r="DD1640" s="5" t="s">
        <v>673</v>
      </c>
      <c r="DE1640" s="8">
        <f>20</f>
        <v>20</v>
      </c>
      <c r="DG1640" s="5" t="s">
        <v>238</v>
      </c>
      <c r="DH1640" s="5" t="s">
        <v>238</v>
      </c>
      <c r="DI1640" s="5" t="s">
        <v>238</v>
      </c>
      <c r="DJ1640" s="5" t="s">
        <v>238</v>
      </c>
      <c r="DN1640" s="5" t="s">
        <v>238</v>
      </c>
      <c r="DO1640" s="5" t="s">
        <v>238</v>
      </c>
      <c r="DP1640" s="5" t="s">
        <v>238</v>
      </c>
      <c r="DQ1640" s="5" t="s">
        <v>238</v>
      </c>
      <c r="DT1640" s="5" t="s">
        <v>2039</v>
      </c>
      <c r="DU1640" s="5" t="s">
        <v>280</v>
      </c>
      <c r="HM1640" s="5" t="s">
        <v>264</v>
      </c>
    </row>
    <row r="1641" spans="1:221" x14ac:dyDescent="0.4">
      <c r="A1641" s="5">
        <v>3316</v>
      </c>
      <c r="B1641" s="5">
        <v>1</v>
      </c>
      <c r="C1641" s="5">
        <v>1</v>
      </c>
      <c r="D1641" s="5" t="s">
        <v>2037</v>
      </c>
      <c r="E1641" s="5" t="s">
        <v>271</v>
      </c>
      <c r="F1641" s="5" t="s">
        <v>248</v>
      </c>
      <c r="G1641" s="5" t="s">
        <v>1969</v>
      </c>
      <c r="H1641" s="6" t="s">
        <v>3759</v>
      </c>
      <c r="I1641" s="7">
        <f>108</f>
        <v>108</v>
      </c>
      <c r="J1641" s="5" t="s">
        <v>262</v>
      </c>
      <c r="K1641" s="8">
        <f>1</f>
        <v>1</v>
      </c>
      <c r="L1641" s="6" t="s">
        <v>242</v>
      </c>
      <c r="M1641" s="5" t="s">
        <v>267</v>
      </c>
      <c r="N1641" s="5" t="s">
        <v>265</v>
      </c>
      <c r="O1641" s="5" t="s">
        <v>238</v>
      </c>
      <c r="P1641" s="5" t="s">
        <v>238</v>
      </c>
      <c r="Q1641" s="5" t="s">
        <v>268</v>
      </c>
      <c r="R1641" s="5" t="s">
        <v>270</v>
      </c>
      <c r="S1641" s="5" t="s">
        <v>238</v>
      </c>
      <c r="V1641" s="5" t="s">
        <v>238</v>
      </c>
      <c r="X1641" s="6" t="s">
        <v>238</v>
      </c>
      <c r="AA1641" s="6" t="s">
        <v>243</v>
      </c>
      <c r="AB1641" s="5" t="s">
        <v>238</v>
      </c>
      <c r="AC1641" s="5" t="s">
        <v>244</v>
      </c>
      <c r="AD1641" s="5" t="s">
        <v>245</v>
      </c>
      <c r="AT1641" s="5" t="s">
        <v>246</v>
      </c>
      <c r="AU1641" s="5" t="s">
        <v>238</v>
      </c>
      <c r="AV1641" s="5" t="s">
        <v>247</v>
      </c>
      <c r="AW1641" s="5" t="s">
        <v>238</v>
      </c>
      <c r="AX1641" s="5" t="s">
        <v>249</v>
      </c>
      <c r="AY1641" s="5" t="s">
        <v>238</v>
      </c>
      <c r="BA1641" s="5" t="s">
        <v>238</v>
      </c>
      <c r="BC1641" s="5" t="s">
        <v>250</v>
      </c>
      <c r="BD1641" s="6" t="s">
        <v>243</v>
      </c>
      <c r="BE1641" s="5" t="s">
        <v>251</v>
      </c>
      <c r="BF1641" s="5" t="s">
        <v>252</v>
      </c>
      <c r="BG1641" s="5" t="s">
        <v>238</v>
      </c>
      <c r="BH1641" s="7">
        <f>0</f>
        <v>0</v>
      </c>
      <c r="BI1641" s="8">
        <f>0</f>
        <v>0</v>
      </c>
      <c r="BJ1641" s="5" t="s">
        <v>253</v>
      </c>
      <c r="BK1641" s="5" t="s">
        <v>254</v>
      </c>
      <c r="BY1641" s="5" t="s">
        <v>238</v>
      </c>
      <c r="BZ1641" s="5" t="s">
        <v>238</v>
      </c>
      <c r="CD1641" s="5" t="s">
        <v>273</v>
      </c>
      <c r="CE1641" s="5" t="s">
        <v>256</v>
      </c>
      <c r="CF1641" s="5" t="s">
        <v>238</v>
      </c>
      <c r="CI1641" s="6" t="s">
        <v>257</v>
      </c>
      <c r="CJ1641" s="5" t="s">
        <v>238</v>
      </c>
      <c r="CK1641" s="5" t="s">
        <v>258</v>
      </c>
      <c r="CL1641" s="5" t="s">
        <v>238</v>
      </c>
      <c r="CM1641" s="5" t="s">
        <v>238</v>
      </c>
      <c r="CN1641" s="5">
        <v>0</v>
      </c>
      <c r="CO1641" s="5" t="s">
        <v>259</v>
      </c>
      <c r="CP1641" s="5" t="s">
        <v>260</v>
      </c>
      <c r="CQ1641" s="5" t="s">
        <v>260</v>
      </c>
      <c r="CR1641" s="5" t="s">
        <v>261</v>
      </c>
      <c r="CU1641" s="8">
        <f>1</f>
        <v>1</v>
      </c>
      <c r="CV1641" s="8">
        <f>0</f>
        <v>0</v>
      </c>
      <c r="CX1641" s="8">
        <f>0</f>
        <v>0</v>
      </c>
      <c r="CY1641" s="8">
        <f>1</f>
        <v>1</v>
      </c>
      <c r="DA1641" s="5" t="s">
        <v>673</v>
      </c>
      <c r="DB1641" s="5" t="s">
        <v>238</v>
      </c>
      <c r="DD1641" s="5" t="s">
        <v>673</v>
      </c>
      <c r="DE1641" s="8">
        <f>108</f>
        <v>108</v>
      </c>
      <c r="DG1641" s="5" t="s">
        <v>238</v>
      </c>
      <c r="DH1641" s="5" t="s">
        <v>238</v>
      </c>
      <c r="DI1641" s="5" t="s">
        <v>238</v>
      </c>
      <c r="DJ1641" s="5" t="s">
        <v>238</v>
      </c>
      <c r="DN1641" s="5" t="s">
        <v>238</v>
      </c>
      <c r="DO1641" s="5" t="s">
        <v>238</v>
      </c>
      <c r="DP1641" s="5" t="s">
        <v>238</v>
      </c>
      <c r="DQ1641" s="5" t="s">
        <v>238</v>
      </c>
      <c r="DT1641" s="5" t="s">
        <v>2039</v>
      </c>
      <c r="DU1641" s="5" t="s">
        <v>3760</v>
      </c>
      <c r="HM1641" s="5" t="s">
        <v>264</v>
      </c>
    </row>
    <row r="1642" spans="1:221" x14ac:dyDescent="0.4">
      <c r="A1642" s="5">
        <v>3317</v>
      </c>
      <c r="B1642" s="5">
        <v>1</v>
      </c>
      <c r="C1642" s="5">
        <v>1</v>
      </c>
      <c r="D1642" s="5" t="s">
        <v>2037</v>
      </c>
      <c r="E1642" s="5" t="s">
        <v>271</v>
      </c>
      <c r="F1642" s="5" t="s">
        <v>248</v>
      </c>
      <c r="G1642" s="5" t="s">
        <v>1969</v>
      </c>
      <c r="H1642" s="6" t="s">
        <v>3758</v>
      </c>
      <c r="I1642" s="7">
        <f>1102</f>
        <v>1102</v>
      </c>
      <c r="J1642" s="5" t="s">
        <v>262</v>
      </c>
      <c r="K1642" s="8">
        <f>1</f>
        <v>1</v>
      </c>
      <c r="L1642" s="6" t="s">
        <v>242</v>
      </c>
      <c r="M1642" s="5" t="s">
        <v>267</v>
      </c>
      <c r="N1642" s="5" t="s">
        <v>265</v>
      </c>
      <c r="O1642" s="5" t="s">
        <v>238</v>
      </c>
      <c r="P1642" s="5" t="s">
        <v>238</v>
      </c>
      <c r="Q1642" s="5" t="s">
        <v>268</v>
      </c>
      <c r="R1642" s="5" t="s">
        <v>270</v>
      </c>
      <c r="S1642" s="5" t="s">
        <v>238</v>
      </c>
      <c r="V1642" s="5" t="s">
        <v>238</v>
      </c>
      <c r="X1642" s="6" t="s">
        <v>238</v>
      </c>
      <c r="AA1642" s="6" t="s">
        <v>243</v>
      </c>
      <c r="AB1642" s="5" t="s">
        <v>238</v>
      </c>
      <c r="AC1642" s="5" t="s">
        <v>244</v>
      </c>
      <c r="AD1642" s="5" t="s">
        <v>245</v>
      </c>
      <c r="AT1642" s="5" t="s">
        <v>246</v>
      </c>
      <c r="AU1642" s="5" t="s">
        <v>238</v>
      </c>
      <c r="AV1642" s="5" t="s">
        <v>247</v>
      </c>
      <c r="AW1642" s="5" t="s">
        <v>238</v>
      </c>
      <c r="AX1642" s="5" t="s">
        <v>249</v>
      </c>
      <c r="AY1642" s="5" t="s">
        <v>238</v>
      </c>
      <c r="BA1642" s="5" t="s">
        <v>238</v>
      </c>
      <c r="BC1642" s="5" t="s">
        <v>250</v>
      </c>
      <c r="BD1642" s="6" t="s">
        <v>243</v>
      </c>
      <c r="BE1642" s="5" t="s">
        <v>251</v>
      </c>
      <c r="BF1642" s="5" t="s">
        <v>252</v>
      </c>
      <c r="BG1642" s="5" t="s">
        <v>238</v>
      </c>
      <c r="BH1642" s="7">
        <f>0</f>
        <v>0</v>
      </c>
      <c r="BI1642" s="8">
        <f>0</f>
        <v>0</v>
      </c>
      <c r="BJ1642" s="5" t="s">
        <v>253</v>
      </c>
      <c r="BK1642" s="5" t="s">
        <v>254</v>
      </c>
      <c r="BY1642" s="5" t="s">
        <v>238</v>
      </c>
      <c r="BZ1642" s="5" t="s">
        <v>238</v>
      </c>
      <c r="CD1642" s="5" t="s">
        <v>273</v>
      </c>
      <c r="CE1642" s="5" t="s">
        <v>256</v>
      </c>
      <c r="CF1642" s="5" t="s">
        <v>238</v>
      </c>
      <c r="CI1642" s="6" t="s">
        <v>257</v>
      </c>
      <c r="CJ1642" s="5" t="s">
        <v>238</v>
      </c>
      <c r="CK1642" s="5" t="s">
        <v>258</v>
      </c>
      <c r="CL1642" s="5" t="s">
        <v>238</v>
      </c>
      <c r="CM1642" s="5" t="s">
        <v>238</v>
      </c>
      <c r="CN1642" s="5">
        <v>0</v>
      </c>
      <c r="CO1642" s="5" t="s">
        <v>259</v>
      </c>
      <c r="CP1642" s="5" t="s">
        <v>260</v>
      </c>
      <c r="CQ1642" s="5" t="s">
        <v>260</v>
      </c>
      <c r="CR1642" s="5" t="s">
        <v>261</v>
      </c>
      <c r="CU1642" s="8">
        <f>1</f>
        <v>1</v>
      </c>
      <c r="CV1642" s="8">
        <f>0</f>
        <v>0</v>
      </c>
      <c r="CX1642" s="8">
        <f>0</f>
        <v>0</v>
      </c>
      <c r="CY1642" s="8">
        <f>1</f>
        <v>1</v>
      </c>
      <c r="DA1642" s="5" t="s">
        <v>673</v>
      </c>
      <c r="DB1642" s="5" t="s">
        <v>238</v>
      </c>
      <c r="DD1642" s="5" t="s">
        <v>673</v>
      </c>
      <c r="DE1642" s="8">
        <f>1102</f>
        <v>1102</v>
      </c>
      <c r="DG1642" s="5" t="s">
        <v>238</v>
      </c>
      <c r="DH1642" s="5" t="s">
        <v>238</v>
      </c>
      <c r="DI1642" s="5" t="s">
        <v>238</v>
      </c>
      <c r="DJ1642" s="5" t="s">
        <v>238</v>
      </c>
      <c r="DN1642" s="5" t="s">
        <v>238</v>
      </c>
      <c r="DO1642" s="5" t="s">
        <v>238</v>
      </c>
      <c r="DP1642" s="5" t="s">
        <v>238</v>
      </c>
      <c r="DQ1642" s="5" t="s">
        <v>238</v>
      </c>
      <c r="DT1642" s="5" t="s">
        <v>2039</v>
      </c>
      <c r="DU1642" s="5" t="s">
        <v>296</v>
      </c>
      <c r="HM1642" s="5" t="s">
        <v>264</v>
      </c>
    </row>
    <row r="1643" spans="1:221" x14ac:dyDescent="0.4">
      <c r="A1643" s="5">
        <v>3318</v>
      </c>
      <c r="B1643" s="5">
        <v>1</v>
      </c>
      <c r="C1643" s="5">
        <v>1</v>
      </c>
      <c r="D1643" s="5" t="s">
        <v>2037</v>
      </c>
      <c r="E1643" s="5" t="s">
        <v>271</v>
      </c>
      <c r="F1643" s="5" t="s">
        <v>248</v>
      </c>
      <c r="G1643" s="5" t="s">
        <v>1969</v>
      </c>
      <c r="H1643" s="6" t="s">
        <v>3757</v>
      </c>
      <c r="I1643" s="7">
        <f>62</f>
        <v>62</v>
      </c>
      <c r="J1643" s="5" t="s">
        <v>262</v>
      </c>
      <c r="K1643" s="8">
        <f>1</f>
        <v>1</v>
      </c>
      <c r="L1643" s="6" t="s">
        <v>242</v>
      </c>
      <c r="M1643" s="5" t="s">
        <v>267</v>
      </c>
      <c r="N1643" s="5" t="s">
        <v>265</v>
      </c>
      <c r="O1643" s="5" t="s">
        <v>238</v>
      </c>
      <c r="P1643" s="5" t="s">
        <v>238</v>
      </c>
      <c r="Q1643" s="5" t="s">
        <v>268</v>
      </c>
      <c r="R1643" s="5" t="s">
        <v>270</v>
      </c>
      <c r="S1643" s="5" t="s">
        <v>238</v>
      </c>
      <c r="V1643" s="5" t="s">
        <v>238</v>
      </c>
      <c r="X1643" s="6" t="s">
        <v>238</v>
      </c>
      <c r="AA1643" s="6" t="s">
        <v>243</v>
      </c>
      <c r="AB1643" s="5" t="s">
        <v>238</v>
      </c>
      <c r="AC1643" s="5" t="s">
        <v>244</v>
      </c>
      <c r="AD1643" s="5" t="s">
        <v>245</v>
      </c>
      <c r="AT1643" s="5" t="s">
        <v>246</v>
      </c>
      <c r="AU1643" s="5" t="s">
        <v>238</v>
      </c>
      <c r="AV1643" s="5" t="s">
        <v>247</v>
      </c>
      <c r="AW1643" s="5" t="s">
        <v>238</v>
      </c>
      <c r="AX1643" s="5" t="s">
        <v>249</v>
      </c>
      <c r="AY1643" s="5" t="s">
        <v>238</v>
      </c>
      <c r="BA1643" s="5" t="s">
        <v>238</v>
      </c>
      <c r="BC1643" s="5" t="s">
        <v>250</v>
      </c>
      <c r="BD1643" s="6" t="s">
        <v>243</v>
      </c>
      <c r="BE1643" s="5" t="s">
        <v>251</v>
      </c>
      <c r="BF1643" s="5" t="s">
        <v>252</v>
      </c>
      <c r="BG1643" s="5" t="s">
        <v>238</v>
      </c>
      <c r="BH1643" s="7">
        <f>0</f>
        <v>0</v>
      </c>
      <c r="BI1643" s="8">
        <f>0</f>
        <v>0</v>
      </c>
      <c r="BJ1643" s="5" t="s">
        <v>253</v>
      </c>
      <c r="BK1643" s="5" t="s">
        <v>254</v>
      </c>
      <c r="BY1643" s="5" t="s">
        <v>238</v>
      </c>
      <c r="BZ1643" s="5" t="s">
        <v>238</v>
      </c>
      <c r="CD1643" s="5" t="s">
        <v>273</v>
      </c>
      <c r="CE1643" s="5" t="s">
        <v>256</v>
      </c>
      <c r="CF1643" s="5" t="s">
        <v>238</v>
      </c>
      <c r="CI1643" s="6" t="s">
        <v>257</v>
      </c>
      <c r="CJ1643" s="5" t="s">
        <v>238</v>
      </c>
      <c r="CK1643" s="5" t="s">
        <v>258</v>
      </c>
      <c r="CL1643" s="5" t="s">
        <v>238</v>
      </c>
      <c r="CM1643" s="5" t="s">
        <v>238</v>
      </c>
      <c r="CN1643" s="5">
        <v>0</v>
      </c>
      <c r="CO1643" s="5" t="s">
        <v>259</v>
      </c>
      <c r="CP1643" s="5" t="s">
        <v>260</v>
      </c>
      <c r="CQ1643" s="5" t="s">
        <v>260</v>
      </c>
      <c r="CR1643" s="5" t="s">
        <v>261</v>
      </c>
      <c r="CU1643" s="8">
        <f>1</f>
        <v>1</v>
      </c>
      <c r="CV1643" s="8">
        <f>0</f>
        <v>0</v>
      </c>
      <c r="CX1643" s="8">
        <f>0</f>
        <v>0</v>
      </c>
      <c r="CY1643" s="8">
        <f>1</f>
        <v>1</v>
      </c>
      <c r="DA1643" s="5" t="s">
        <v>673</v>
      </c>
      <c r="DB1643" s="5" t="s">
        <v>238</v>
      </c>
      <c r="DD1643" s="5" t="s">
        <v>673</v>
      </c>
      <c r="DE1643" s="8">
        <f>62</f>
        <v>62</v>
      </c>
      <c r="DG1643" s="5" t="s">
        <v>238</v>
      </c>
      <c r="DH1643" s="5" t="s">
        <v>238</v>
      </c>
      <c r="DI1643" s="5" t="s">
        <v>238</v>
      </c>
      <c r="DJ1643" s="5" t="s">
        <v>238</v>
      </c>
      <c r="DN1643" s="5" t="s">
        <v>238</v>
      </c>
      <c r="DO1643" s="5" t="s">
        <v>238</v>
      </c>
      <c r="DP1643" s="5" t="s">
        <v>238</v>
      </c>
      <c r="DQ1643" s="5" t="s">
        <v>238</v>
      </c>
      <c r="DT1643" s="5" t="s">
        <v>2039</v>
      </c>
      <c r="DU1643" s="5" t="s">
        <v>306</v>
      </c>
      <c r="HM1643" s="5" t="s">
        <v>264</v>
      </c>
    </row>
    <row r="1644" spans="1:221" x14ac:dyDescent="0.4">
      <c r="A1644" s="5">
        <v>3319</v>
      </c>
      <c r="B1644" s="5">
        <v>1</v>
      </c>
      <c r="C1644" s="5">
        <v>1</v>
      </c>
      <c r="D1644" s="5" t="s">
        <v>2037</v>
      </c>
      <c r="E1644" s="5" t="s">
        <v>271</v>
      </c>
      <c r="F1644" s="5" t="s">
        <v>248</v>
      </c>
      <c r="G1644" s="5" t="s">
        <v>1969</v>
      </c>
      <c r="H1644" s="6" t="s">
        <v>3073</v>
      </c>
      <c r="I1644" s="7">
        <f>1863</f>
        <v>1863</v>
      </c>
      <c r="J1644" s="5" t="s">
        <v>262</v>
      </c>
      <c r="K1644" s="8">
        <f>1</f>
        <v>1</v>
      </c>
      <c r="L1644" s="6" t="s">
        <v>242</v>
      </c>
      <c r="M1644" s="5" t="s">
        <v>267</v>
      </c>
      <c r="N1644" s="5" t="s">
        <v>265</v>
      </c>
      <c r="O1644" s="5" t="s">
        <v>238</v>
      </c>
      <c r="P1644" s="5" t="s">
        <v>238</v>
      </c>
      <c r="Q1644" s="5" t="s">
        <v>268</v>
      </c>
      <c r="R1644" s="5" t="s">
        <v>270</v>
      </c>
      <c r="S1644" s="5" t="s">
        <v>238</v>
      </c>
      <c r="V1644" s="5" t="s">
        <v>238</v>
      </c>
      <c r="X1644" s="6" t="s">
        <v>238</v>
      </c>
      <c r="AA1644" s="6" t="s">
        <v>243</v>
      </c>
      <c r="AB1644" s="5" t="s">
        <v>238</v>
      </c>
      <c r="AC1644" s="5" t="s">
        <v>244</v>
      </c>
      <c r="AD1644" s="5" t="s">
        <v>245</v>
      </c>
      <c r="AT1644" s="5" t="s">
        <v>246</v>
      </c>
      <c r="AU1644" s="5" t="s">
        <v>238</v>
      </c>
      <c r="AV1644" s="5" t="s">
        <v>247</v>
      </c>
      <c r="AW1644" s="5" t="s">
        <v>238</v>
      </c>
      <c r="AX1644" s="5" t="s">
        <v>249</v>
      </c>
      <c r="AY1644" s="5" t="s">
        <v>238</v>
      </c>
      <c r="BA1644" s="5" t="s">
        <v>238</v>
      </c>
      <c r="BC1644" s="5" t="s">
        <v>250</v>
      </c>
      <c r="BD1644" s="6" t="s">
        <v>243</v>
      </c>
      <c r="BE1644" s="5" t="s">
        <v>251</v>
      </c>
      <c r="BF1644" s="5" t="s">
        <v>252</v>
      </c>
      <c r="BG1644" s="5" t="s">
        <v>238</v>
      </c>
      <c r="BH1644" s="7">
        <f>0</f>
        <v>0</v>
      </c>
      <c r="BI1644" s="8">
        <f>0</f>
        <v>0</v>
      </c>
      <c r="BJ1644" s="5" t="s">
        <v>253</v>
      </c>
      <c r="BK1644" s="5" t="s">
        <v>254</v>
      </c>
      <c r="BY1644" s="5" t="s">
        <v>238</v>
      </c>
      <c r="BZ1644" s="5" t="s">
        <v>238</v>
      </c>
      <c r="CD1644" s="5" t="s">
        <v>273</v>
      </c>
      <c r="CE1644" s="5" t="s">
        <v>256</v>
      </c>
      <c r="CF1644" s="5" t="s">
        <v>238</v>
      </c>
      <c r="CI1644" s="6" t="s">
        <v>257</v>
      </c>
      <c r="CJ1644" s="5" t="s">
        <v>238</v>
      </c>
      <c r="CK1644" s="5" t="s">
        <v>258</v>
      </c>
      <c r="CL1644" s="5" t="s">
        <v>238</v>
      </c>
      <c r="CM1644" s="5" t="s">
        <v>238</v>
      </c>
      <c r="CN1644" s="5">
        <v>0</v>
      </c>
      <c r="CO1644" s="5" t="s">
        <v>259</v>
      </c>
      <c r="CP1644" s="5" t="s">
        <v>260</v>
      </c>
      <c r="CQ1644" s="5" t="s">
        <v>260</v>
      </c>
      <c r="CR1644" s="5" t="s">
        <v>261</v>
      </c>
      <c r="CU1644" s="8">
        <f>1</f>
        <v>1</v>
      </c>
      <c r="CV1644" s="8">
        <f>0</f>
        <v>0</v>
      </c>
      <c r="CX1644" s="8">
        <f>0</f>
        <v>0</v>
      </c>
      <c r="CY1644" s="8">
        <f>1</f>
        <v>1</v>
      </c>
      <c r="DA1644" s="5" t="s">
        <v>673</v>
      </c>
      <c r="DB1644" s="5" t="s">
        <v>238</v>
      </c>
      <c r="DD1644" s="5" t="s">
        <v>673</v>
      </c>
      <c r="DE1644" s="8">
        <f>1863</f>
        <v>1863</v>
      </c>
      <c r="DG1644" s="5" t="s">
        <v>238</v>
      </c>
      <c r="DH1644" s="5" t="s">
        <v>238</v>
      </c>
      <c r="DI1644" s="5" t="s">
        <v>238</v>
      </c>
      <c r="DJ1644" s="5" t="s">
        <v>238</v>
      </c>
      <c r="DN1644" s="5" t="s">
        <v>238</v>
      </c>
      <c r="DO1644" s="5" t="s">
        <v>238</v>
      </c>
      <c r="DP1644" s="5" t="s">
        <v>238</v>
      </c>
      <c r="DQ1644" s="5" t="s">
        <v>238</v>
      </c>
      <c r="DT1644" s="5" t="s">
        <v>2039</v>
      </c>
      <c r="DU1644" s="5" t="s">
        <v>310</v>
      </c>
      <c r="HM1644" s="5" t="s">
        <v>264</v>
      </c>
    </row>
    <row r="1645" spans="1:221" x14ac:dyDescent="0.4">
      <c r="A1645" s="5">
        <v>3320</v>
      </c>
      <c r="B1645" s="5">
        <v>1</v>
      </c>
      <c r="C1645" s="5">
        <v>1</v>
      </c>
      <c r="D1645" s="5" t="s">
        <v>2037</v>
      </c>
      <c r="E1645" s="5" t="s">
        <v>271</v>
      </c>
      <c r="F1645" s="5" t="s">
        <v>248</v>
      </c>
      <c r="G1645" s="5" t="s">
        <v>1969</v>
      </c>
      <c r="H1645" s="6" t="s">
        <v>3557</v>
      </c>
      <c r="I1645" s="7">
        <f>810</f>
        <v>810</v>
      </c>
      <c r="J1645" s="5" t="s">
        <v>262</v>
      </c>
      <c r="K1645" s="8">
        <f>1</f>
        <v>1</v>
      </c>
      <c r="L1645" s="6" t="s">
        <v>242</v>
      </c>
      <c r="M1645" s="5" t="s">
        <v>267</v>
      </c>
      <c r="N1645" s="5" t="s">
        <v>265</v>
      </c>
      <c r="O1645" s="5" t="s">
        <v>238</v>
      </c>
      <c r="P1645" s="5" t="s">
        <v>238</v>
      </c>
      <c r="Q1645" s="5" t="s">
        <v>268</v>
      </c>
      <c r="R1645" s="5" t="s">
        <v>270</v>
      </c>
      <c r="S1645" s="5" t="s">
        <v>238</v>
      </c>
      <c r="V1645" s="5" t="s">
        <v>238</v>
      </c>
      <c r="X1645" s="6" t="s">
        <v>238</v>
      </c>
      <c r="AA1645" s="6" t="s">
        <v>243</v>
      </c>
      <c r="AB1645" s="5" t="s">
        <v>238</v>
      </c>
      <c r="AC1645" s="5" t="s">
        <v>244</v>
      </c>
      <c r="AD1645" s="5" t="s">
        <v>245</v>
      </c>
      <c r="AT1645" s="5" t="s">
        <v>246</v>
      </c>
      <c r="AU1645" s="5" t="s">
        <v>238</v>
      </c>
      <c r="AV1645" s="5" t="s">
        <v>247</v>
      </c>
      <c r="AW1645" s="5" t="s">
        <v>238</v>
      </c>
      <c r="AX1645" s="5" t="s">
        <v>249</v>
      </c>
      <c r="AY1645" s="5" t="s">
        <v>238</v>
      </c>
      <c r="BA1645" s="5" t="s">
        <v>238</v>
      </c>
      <c r="BC1645" s="5" t="s">
        <v>250</v>
      </c>
      <c r="BD1645" s="6" t="s">
        <v>243</v>
      </c>
      <c r="BE1645" s="5" t="s">
        <v>251</v>
      </c>
      <c r="BF1645" s="5" t="s">
        <v>252</v>
      </c>
      <c r="BG1645" s="5" t="s">
        <v>238</v>
      </c>
      <c r="BH1645" s="7">
        <f>0</f>
        <v>0</v>
      </c>
      <c r="BI1645" s="8">
        <f>0</f>
        <v>0</v>
      </c>
      <c r="BJ1645" s="5" t="s">
        <v>253</v>
      </c>
      <c r="BK1645" s="5" t="s">
        <v>254</v>
      </c>
      <c r="BY1645" s="5" t="s">
        <v>238</v>
      </c>
      <c r="BZ1645" s="5" t="s">
        <v>238</v>
      </c>
      <c r="CD1645" s="5" t="s">
        <v>273</v>
      </c>
      <c r="CE1645" s="5" t="s">
        <v>256</v>
      </c>
      <c r="CF1645" s="5" t="s">
        <v>238</v>
      </c>
      <c r="CI1645" s="6" t="s">
        <v>257</v>
      </c>
      <c r="CJ1645" s="5" t="s">
        <v>238</v>
      </c>
      <c r="CK1645" s="5" t="s">
        <v>258</v>
      </c>
      <c r="CL1645" s="5" t="s">
        <v>238</v>
      </c>
      <c r="CM1645" s="5" t="s">
        <v>238</v>
      </c>
      <c r="CN1645" s="5">
        <v>0</v>
      </c>
      <c r="CO1645" s="5" t="s">
        <v>259</v>
      </c>
      <c r="CP1645" s="5" t="s">
        <v>260</v>
      </c>
      <c r="CQ1645" s="5" t="s">
        <v>260</v>
      </c>
      <c r="CR1645" s="5" t="s">
        <v>261</v>
      </c>
      <c r="CU1645" s="8">
        <f>1</f>
        <v>1</v>
      </c>
      <c r="CV1645" s="8">
        <f>0</f>
        <v>0</v>
      </c>
      <c r="CX1645" s="8">
        <f>0</f>
        <v>0</v>
      </c>
      <c r="CY1645" s="8">
        <f>1</f>
        <v>1</v>
      </c>
      <c r="DA1645" s="5" t="s">
        <v>673</v>
      </c>
      <c r="DB1645" s="5" t="s">
        <v>238</v>
      </c>
      <c r="DD1645" s="5" t="s">
        <v>673</v>
      </c>
      <c r="DE1645" s="8">
        <f>810</f>
        <v>810</v>
      </c>
      <c r="DG1645" s="5" t="s">
        <v>238</v>
      </c>
      <c r="DH1645" s="5" t="s">
        <v>238</v>
      </c>
      <c r="DI1645" s="5" t="s">
        <v>238</v>
      </c>
      <c r="DJ1645" s="5" t="s">
        <v>238</v>
      </c>
      <c r="DN1645" s="5" t="s">
        <v>238</v>
      </c>
      <c r="DO1645" s="5" t="s">
        <v>238</v>
      </c>
      <c r="DP1645" s="5" t="s">
        <v>238</v>
      </c>
      <c r="DQ1645" s="5" t="s">
        <v>238</v>
      </c>
      <c r="DT1645" s="5" t="s">
        <v>2039</v>
      </c>
      <c r="DU1645" s="5" t="s">
        <v>318</v>
      </c>
      <c r="HM1645" s="5" t="s">
        <v>264</v>
      </c>
    </row>
    <row r="1646" spans="1:221" x14ac:dyDescent="0.4">
      <c r="A1646" s="5">
        <v>3321</v>
      </c>
      <c r="B1646" s="5">
        <v>1</v>
      </c>
      <c r="C1646" s="5">
        <v>1</v>
      </c>
      <c r="D1646" s="5" t="s">
        <v>2037</v>
      </c>
      <c r="E1646" s="5" t="s">
        <v>271</v>
      </c>
      <c r="F1646" s="5" t="s">
        <v>248</v>
      </c>
      <c r="G1646" s="5" t="s">
        <v>1969</v>
      </c>
      <c r="H1646" s="6" t="s">
        <v>3504</v>
      </c>
      <c r="I1646" s="7">
        <f>1168</f>
        <v>1168</v>
      </c>
      <c r="J1646" s="5" t="s">
        <v>262</v>
      </c>
      <c r="K1646" s="8">
        <f>1</f>
        <v>1</v>
      </c>
      <c r="L1646" s="6" t="s">
        <v>242</v>
      </c>
      <c r="M1646" s="5" t="s">
        <v>267</v>
      </c>
      <c r="N1646" s="5" t="s">
        <v>265</v>
      </c>
      <c r="O1646" s="5" t="s">
        <v>238</v>
      </c>
      <c r="P1646" s="5" t="s">
        <v>238</v>
      </c>
      <c r="Q1646" s="5" t="s">
        <v>268</v>
      </c>
      <c r="R1646" s="5" t="s">
        <v>270</v>
      </c>
      <c r="S1646" s="5" t="s">
        <v>238</v>
      </c>
      <c r="V1646" s="5" t="s">
        <v>238</v>
      </c>
      <c r="X1646" s="6" t="s">
        <v>238</v>
      </c>
      <c r="AA1646" s="6" t="s">
        <v>243</v>
      </c>
      <c r="AB1646" s="5" t="s">
        <v>238</v>
      </c>
      <c r="AC1646" s="5" t="s">
        <v>244</v>
      </c>
      <c r="AD1646" s="5" t="s">
        <v>245</v>
      </c>
      <c r="AT1646" s="5" t="s">
        <v>246</v>
      </c>
      <c r="AU1646" s="5" t="s">
        <v>238</v>
      </c>
      <c r="AV1646" s="5" t="s">
        <v>247</v>
      </c>
      <c r="AW1646" s="5" t="s">
        <v>238</v>
      </c>
      <c r="AX1646" s="5" t="s">
        <v>249</v>
      </c>
      <c r="AY1646" s="5" t="s">
        <v>238</v>
      </c>
      <c r="BA1646" s="5" t="s">
        <v>238</v>
      </c>
      <c r="BC1646" s="5" t="s">
        <v>250</v>
      </c>
      <c r="BD1646" s="6" t="s">
        <v>243</v>
      </c>
      <c r="BE1646" s="5" t="s">
        <v>251</v>
      </c>
      <c r="BF1646" s="5" t="s">
        <v>252</v>
      </c>
      <c r="BG1646" s="5" t="s">
        <v>238</v>
      </c>
      <c r="BH1646" s="7">
        <f>0</f>
        <v>0</v>
      </c>
      <c r="BI1646" s="8">
        <f>0</f>
        <v>0</v>
      </c>
      <c r="BJ1646" s="5" t="s">
        <v>253</v>
      </c>
      <c r="BK1646" s="5" t="s">
        <v>254</v>
      </c>
      <c r="BY1646" s="5" t="s">
        <v>238</v>
      </c>
      <c r="BZ1646" s="5" t="s">
        <v>238</v>
      </c>
      <c r="CD1646" s="5" t="s">
        <v>273</v>
      </c>
      <c r="CE1646" s="5" t="s">
        <v>256</v>
      </c>
      <c r="CF1646" s="5" t="s">
        <v>238</v>
      </c>
      <c r="CI1646" s="6" t="s">
        <v>257</v>
      </c>
      <c r="CJ1646" s="5" t="s">
        <v>238</v>
      </c>
      <c r="CK1646" s="5" t="s">
        <v>258</v>
      </c>
      <c r="CL1646" s="5" t="s">
        <v>238</v>
      </c>
      <c r="CM1646" s="5" t="s">
        <v>238</v>
      </c>
      <c r="CN1646" s="5">
        <v>0</v>
      </c>
      <c r="CO1646" s="5" t="s">
        <v>259</v>
      </c>
      <c r="CP1646" s="5" t="s">
        <v>260</v>
      </c>
      <c r="CQ1646" s="5" t="s">
        <v>260</v>
      </c>
      <c r="CR1646" s="5" t="s">
        <v>261</v>
      </c>
      <c r="CU1646" s="8">
        <f>1</f>
        <v>1</v>
      </c>
      <c r="CV1646" s="8">
        <f>0</f>
        <v>0</v>
      </c>
      <c r="CX1646" s="8">
        <f>0</f>
        <v>0</v>
      </c>
      <c r="CY1646" s="8">
        <f>1</f>
        <v>1</v>
      </c>
      <c r="DA1646" s="5" t="s">
        <v>673</v>
      </c>
      <c r="DB1646" s="5" t="s">
        <v>238</v>
      </c>
      <c r="DD1646" s="5" t="s">
        <v>673</v>
      </c>
      <c r="DE1646" s="8">
        <f>1168</f>
        <v>1168</v>
      </c>
      <c r="DG1646" s="5" t="s">
        <v>238</v>
      </c>
      <c r="DH1646" s="5" t="s">
        <v>238</v>
      </c>
      <c r="DI1646" s="5" t="s">
        <v>238</v>
      </c>
      <c r="DJ1646" s="5" t="s">
        <v>238</v>
      </c>
      <c r="DN1646" s="5" t="s">
        <v>238</v>
      </c>
      <c r="DO1646" s="5" t="s">
        <v>238</v>
      </c>
      <c r="DP1646" s="5" t="s">
        <v>238</v>
      </c>
      <c r="DQ1646" s="5" t="s">
        <v>238</v>
      </c>
      <c r="DT1646" s="5" t="s">
        <v>2039</v>
      </c>
      <c r="DU1646" s="5" t="s">
        <v>322</v>
      </c>
      <c r="HM1646" s="5" t="s">
        <v>264</v>
      </c>
    </row>
    <row r="1647" spans="1:221" x14ac:dyDescent="0.4">
      <c r="A1647" s="5">
        <v>3322</v>
      </c>
      <c r="B1647" s="5">
        <v>1</v>
      </c>
      <c r="C1647" s="5">
        <v>1</v>
      </c>
      <c r="D1647" s="5" t="s">
        <v>2037</v>
      </c>
      <c r="E1647" s="5" t="s">
        <v>271</v>
      </c>
      <c r="F1647" s="5" t="s">
        <v>248</v>
      </c>
      <c r="G1647" s="5" t="s">
        <v>1969</v>
      </c>
      <c r="H1647" s="6" t="s">
        <v>2819</v>
      </c>
      <c r="I1647" s="7">
        <f>40</f>
        <v>40</v>
      </c>
      <c r="J1647" s="5" t="s">
        <v>262</v>
      </c>
      <c r="K1647" s="8">
        <f>1</f>
        <v>1</v>
      </c>
      <c r="L1647" s="6" t="s">
        <v>242</v>
      </c>
      <c r="M1647" s="5" t="s">
        <v>267</v>
      </c>
      <c r="N1647" s="5" t="s">
        <v>265</v>
      </c>
      <c r="O1647" s="5" t="s">
        <v>238</v>
      </c>
      <c r="P1647" s="5" t="s">
        <v>238</v>
      </c>
      <c r="Q1647" s="5" t="s">
        <v>268</v>
      </c>
      <c r="R1647" s="5" t="s">
        <v>270</v>
      </c>
      <c r="S1647" s="5" t="s">
        <v>238</v>
      </c>
      <c r="V1647" s="5" t="s">
        <v>238</v>
      </c>
      <c r="X1647" s="6" t="s">
        <v>238</v>
      </c>
      <c r="AA1647" s="6" t="s">
        <v>243</v>
      </c>
      <c r="AB1647" s="5" t="s">
        <v>238</v>
      </c>
      <c r="AC1647" s="5" t="s">
        <v>244</v>
      </c>
      <c r="AD1647" s="5" t="s">
        <v>245</v>
      </c>
      <c r="AT1647" s="5" t="s">
        <v>246</v>
      </c>
      <c r="AU1647" s="5" t="s">
        <v>238</v>
      </c>
      <c r="AV1647" s="5" t="s">
        <v>247</v>
      </c>
      <c r="AW1647" s="5" t="s">
        <v>238</v>
      </c>
      <c r="AX1647" s="5" t="s">
        <v>249</v>
      </c>
      <c r="AY1647" s="5" t="s">
        <v>238</v>
      </c>
      <c r="BA1647" s="5" t="s">
        <v>238</v>
      </c>
      <c r="BC1647" s="5" t="s">
        <v>250</v>
      </c>
      <c r="BD1647" s="6" t="s">
        <v>243</v>
      </c>
      <c r="BE1647" s="5" t="s">
        <v>251</v>
      </c>
      <c r="BF1647" s="5" t="s">
        <v>252</v>
      </c>
      <c r="BG1647" s="5" t="s">
        <v>238</v>
      </c>
      <c r="BH1647" s="7">
        <f>0</f>
        <v>0</v>
      </c>
      <c r="BI1647" s="8">
        <f>0</f>
        <v>0</v>
      </c>
      <c r="BJ1647" s="5" t="s">
        <v>253</v>
      </c>
      <c r="BK1647" s="5" t="s">
        <v>254</v>
      </c>
      <c r="BY1647" s="5" t="s">
        <v>238</v>
      </c>
      <c r="BZ1647" s="5" t="s">
        <v>238</v>
      </c>
      <c r="CD1647" s="5" t="s">
        <v>273</v>
      </c>
      <c r="CE1647" s="5" t="s">
        <v>256</v>
      </c>
      <c r="CF1647" s="5" t="s">
        <v>238</v>
      </c>
      <c r="CI1647" s="6" t="s">
        <v>257</v>
      </c>
      <c r="CJ1647" s="5" t="s">
        <v>238</v>
      </c>
      <c r="CK1647" s="5" t="s">
        <v>258</v>
      </c>
      <c r="CL1647" s="5" t="s">
        <v>238</v>
      </c>
      <c r="CM1647" s="5" t="s">
        <v>238</v>
      </c>
      <c r="CN1647" s="5">
        <v>0</v>
      </c>
      <c r="CO1647" s="5" t="s">
        <v>259</v>
      </c>
      <c r="CP1647" s="5" t="s">
        <v>260</v>
      </c>
      <c r="CQ1647" s="5" t="s">
        <v>260</v>
      </c>
      <c r="CR1647" s="5" t="s">
        <v>261</v>
      </c>
      <c r="CU1647" s="8">
        <f>1</f>
        <v>1</v>
      </c>
      <c r="CV1647" s="8">
        <f>0</f>
        <v>0</v>
      </c>
      <c r="CX1647" s="8">
        <f>0</f>
        <v>0</v>
      </c>
      <c r="CY1647" s="8">
        <f>1</f>
        <v>1</v>
      </c>
      <c r="DA1647" s="5" t="s">
        <v>673</v>
      </c>
      <c r="DB1647" s="5" t="s">
        <v>238</v>
      </c>
      <c r="DD1647" s="5" t="s">
        <v>673</v>
      </c>
      <c r="DE1647" s="8">
        <f>40</f>
        <v>40</v>
      </c>
      <c r="DG1647" s="5" t="s">
        <v>238</v>
      </c>
      <c r="DH1647" s="5" t="s">
        <v>238</v>
      </c>
      <c r="DI1647" s="5" t="s">
        <v>238</v>
      </c>
      <c r="DJ1647" s="5" t="s">
        <v>238</v>
      </c>
      <c r="DN1647" s="5" t="s">
        <v>238</v>
      </c>
      <c r="DO1647" s="5" t="s">
        <v>238</v>
      </c>
      <c r="DP1647" s="5" t="s">
        <v>238</v>
      </c>
      <c r="DQ1647" s="5" t="s">
        <v>238</v>
      </c>
      <c r="DT1647" s="5" t="s">
        <v>2039</v>
      </c>
      <c r="DU1647" s="5" t="s">
        <v>328</v>
      </c>
      <c r="HM1647" s="5" t="s">
        <v>264</v>
      </c>
    </row>
    <row r="1648" spans="1:221" x14ac:dyDescent="0.4">
      <c r="A1648" s="5">
        <v>3323</v>
      </c>
      <c r="B1648" s="5">
        <v>1</v>
      </c>
      <c r="C1648" s="5">
        <v>1</v>
      </c>
      <c r="D1648" s="5" t="s">
        <v>2037</v>
      </c>
      <c r="E1648" s="5" t="s">
        <v>271</v>
      </c>
      <c r="F1648" s="5" t="s">
        <v>248</v>
      </c>
      <c r="G1648" s="5" t="s">
        <v>1969</v>
      </c>
      <c r="H1648" s="6" t="s">
        <v>3474</v>
      </c>
      <c r="I1648" s="7">
        <f>1154</f>
        <v>1154</v>
      </c>
      <c r="J1648" s="5" t="s">
        <v>262</v>
      </c>
      <c r="K1648" s="8">
        <f>1</f>
        <v>1</v>
      </c>
      <c r="L1648" s="6" t="s">
        <v>242</v>
      </c>
      <c r="M1648" s="5" t="s">
        <v>267</v>
      </c>
      <c r="N1648" s="5" t="s">
        <v>265</v>
      </c>
      <c r="O1648" s="5" t="s">
        <v>238</v>
      </c>
      <c r="P1648" s="5" t="s">
        <v>238</v>
      </c>
      <c r="Q1648" s="5" t="s">
        <v>268</v>
      </c>
      <c r="R1648" s="5" t="s">
        <v>270</v>
      </c>
      <c r="S1648" s="5" t="s">
        <v>238</v>
      </c>
      <c r="V1648" s="5" t="s">
        <v>238</v>
      </c>
      <c r="X1648" s="6" t="s">
        <v>238</v>
      </c>
      <c r="AA1648" s="6" t="s">
        <v>243</v>
      </c>
      <c r="AB1648" s="5" t="s">
        <v>238</v>
      </c>
      <c r="AC1648" s="5" t="s">
        <v>244</v>
      </c>
      <c r="AD1648" s="5" t="s">
        <v>245</v>
      </c>
      <c r="AT1648" s="5" t="s">
        <v>246</v>
      </c>
      <c r="AU1648" s="5" t="s">
        <v>238</v>
      </c>
      <c r="AV1648" s="5" t="s">
        <v>247</v>
      </c>
      <c r="AW1648" s="5" t="s">
        <v>238</v>
      </c>
      <c r="AX1648" s="5" t="s">
        <v>249</v>
      </c>
      <c r="AY1648" s="5" t="s">
        <v>238</v>
      </c>
      <c r="BA1648" s="5" t="s">
        <v>238</v>
      </c>
      <c r="BC1648" s="5" t="s">
        <v>250</v>
      </c>
      <c r="BD1648" s="6" t="s">
        <v>243</v>
      </c>
      <c r="BE1648" s="5" t="s">
        <v>251</v>
      </c>
      <c r="BF1648" s="5" t="s">
        <v>252</v>
      </c>
      <c r="BG1648" s="5" t="s">
        <v>238</v>
      </c>
      <c r="BH1648" s="7">
        <f>0</f>
        <v>0</v>
      </c>
      <c r="BI1648" s="8">
        <f>0</f>
        <v>0</v>
      </c>
      <c r="BJ1648" s="5" t="s">
        <v>253</v>
      </c>
      <c r="BK1648" s="5" t="s">
        <v>254</v>
      </c>
      <c r="BY1648" s="5" t="s">
        <v>238</v>
      </c>
      <c r="BZ1648" s="5" t="s">
        <v>238</v>
      </c>
      <c r="CD1648" s="5" t="s">
        <v>273</v>
      </c>
      <c r="CE1648" s="5" t="s">
        <v>256</v>
      </c>
      <c r="CF1648" s="5" t="s">
        <v>238</v>
      </c>
      <c r="CI1648" s="6" t="s">
        <v>257</v>
      </c>
      <c r="CJ1648" s="5" t="s">
        <v>238</v>
      </c>
      <c r="CK1648" s="5" t="s">
        <v>258</v>
      </c>
      <c r="CL1648" s="5" t="s">
        <v>238</v>
      </c>
      <c r="CM1648" s="5" t="s">
        <v>238</v>
      </c>
      <c r="CN1648" s="5">
        <v>0</v>
      </c>
      <c r="CO1648" s="5" t="s">
        <v>259</v>
      </c>
      <c r="CP1648" s="5" t="s">
        <v>260</v>
      </c>
      <c r="CQ1648" s="5" t="s">
        <v>260</v>
      </c>
      <c r="CR1648" s="5" t="s">
        <v>261</v>
      </c>
      <c r="CU1648" s="8">
        <f>1</f>
        <v>1</v>
      </c>
      <c r="CV1648" s="8">
        <f>0</f>
        <v>0</v>
      </c>
      <c r="CX1648" s="8">
        <f>0</f>
        <v>0</v>
      </c>
      <c r="CY1648" s="8">
        <f>1</f>
        <v>1</v>
      </c>
      <c r="DA1648" s="5" t="s">
        <v>673</v>
      </c>
      <c r="DB1648" s="5" t="s">
        <v>238</v>
      </c>
      <c r="DD1648" s="5" t="s">
        <v>673</v>
      </c>
      <c r="DE1648" s="8">
        <f>1154</f>
        <v>1154</v>
      </c>
      <c r="DG1648" s="5" t="s">
        <v>238</v>
      </c>
      <c r="DH1648" s="5" t="s">
        <v>238</v>
      </c>
      <c r="DI1648" s="5" t="s">
        <v>238</v>
      </c>
      <c r="DJ1648" s="5" t="s">
        <v>238</v>
      </c>
      <c r="DN1648" s="5" t="s">
        <v>238</v>
      </c>
      <c r="DO1648" s="5" t="s">
        <v>238</v>
      </c>
      <c r="DP1648" s="5" t="s">
        <v>238</v>
      </c>
      <c r="DQ1648" s="5" t="s">
        <v>238</v>
      </c>
      <c r="DT1648" s="5" t="s">
        <v>2039</v>
      </c>
      <c r="DU1648" s="5" t="s">
        <v>334</v>
      </c>
      <c r="HM1648" s="5" t="s">
        <v>264</v>
      </c>
    </row>
    <row r="1649" spans="1:221" x14ac:dyDescent="0.4">
      <c r="A1649" s="5">
        <v>3324</v>
      </c>
      <c r="B1649" s="5">
        <v>1</v>
      </c>
      <c r="C1649" s="5">
        <v>1</v>
      </c>
      <c r="D1649" s="5" t="s">
        <v>2037</v>
      </c>
      <c r="E1649" s="5" t="s">
        <v>271</v>
      </c>
      <c r="F1649" s="5" t="s">
        <v>248</v>
      </c>
      <c r="G1649" s="5" t="s">
        <v>1969</v>
      </c>
      <c r="H1649" s="6" t="s">
        <v>3572</v>
      </c>
      <c r="I1649" s="7">
        <f>157</f>
        <v>157</v>
      </c>
      <c r="J1649" s="5" t="s">
        <v>262</v>
      </c>
      <c r="K1649" s="8">
        <f>1</f>
        <v>1</v>
      </c>
      <c r="L1649" s="6" t="s">
        <v>242</v>
      </c>
      <c r="M1649" s="5" t="s">
        <v>267</v>
      </c>
      <c r="N1649" s="5" t="s">
        <v>265</v>
      </c>
      <c r="O1649" s="5" t="s">
        <v>238</v>
      </c>
      <c r="P1649" s="5" t="s">
        <v>238</v>
      </c>
      <c r="Q1649" s="5" t="s">
        <v>268</v>
      </c>
      <c r="R1649" s="5" t="s">
        <v>270</v>
      </c>
      <c r="S1649" s="5" t="s">
        <v>238</v>
      </c>
      <c r="V1649" s="5" t="s">
        <v>238</v>
      </c>
      <c r="X1649" s="6" t="s">
        <v>238</v>
      </c>
      <c r="AA1649" s="6" t="s">
        <v>243</v>
      </c>
      <c r="AB1649" s="5" t="s">
        <v>238</v>
      </c>
      <c r="AC1649" s="5" t="s">
        <v>244</v>
      </c>
      <c r="AD1649" s="5" t="s">
        <v>245</v>
      </c>
      <c r="AT1649" s="5" t="s">
        <v>246</v>
      </c>
      <c r="AU1649" s="5" t="s">
        <v>238</v>
      </c>
      <c r="AV1649" s="5" t="s">
        <v>247</v>
      </c>
      <c r="AW1649" s="5" t="s">
        <v>238</v>
      </c>
      <c r="AX1649" s="5" t="s">
        <v>249</v>
      </c>
      <c r="AY1649" s="5" t="s">
        <v>238</v>
      </c>
      <c r="BA1649" s="5" t="s">
        <v>238</v>
      </c>
      <c r="BC1649" s="5" t="s">
        <v>250</v>
      </c>
      <c r="BD1649" s="6" t="s">
        <v>243</v>
      </c>
      <c r="BE1649" s="5" t="s">
        <v>251</v>
      </c>
      <c r="BF1649" s="5" t="s">
        <v>252</v>
      </c>
      <c r="BG1649" s="5" t="s">
        <v>238</v>
      </c>
      <c r="BH1649" s="7">
        <f>0</f>
        <v>0</v>
      </c>
      <c r="BI1649" s="8">
        <f>0</f>
        <v>0</v>
      </c>
      <c r="BJ1649" s="5" t="s">
        <v>253</v>
      </c>
      <c r="BK1649" s="5" t="s">
        <v>254</v>
      </c>
      <c r="BY1649" s="5" t="s">
        <v>238</v>
      </c>
      <c r="BZ1649" s="5" t="s">
        <v>238</v>
      </c>
      <c r="CD1649" s="5" t="s">
        <v>273</v>
      </c>
      <c r="CE1649" s="5" t="s">
        <v>256</v>
      </c>
      <c r="CF1649" s="5" t="s">
        <v>238</v>
      </c>
      <c r="CI1649" s="6" t="s">
        <v>257</v>
      </c>
      <c r="CJ1649" s="5" t="s">
        <v>238</v>
      </c>
      <c r="CK1649" s="5" t="s">
        <v>258</v>
      </c>
      <c r="CL1649" s="5" t="s">
        <v>238</v>
      </c>
      <c r="CM1649" s="5" t="s">
        <v>238</v>
      </c>
      <c r="CN1649" s="5">
        <v>0</v>
      </c>
      <c r="CO1649" s="5" t="s">
        <v>259</v>
      </c>
      <c r="CP1649" s="5" t="s">
        <v>260</v>
      </c>
      <c r="CQ1649" s="5" t="s">
        <v>260</v>
      </c>
      <c r="CR1649" s="5" t="s">
        <v>261</v>
      </c>
      <c r="CU1649" s="8">
        <f>1</f>
        <v>1</v>
      </c>
      <c r="CV1649" s="8">
        <f>0</f>
        <v>0</v>
      </c>
      <c r="CX1649" s="8">
        <f>0</f>
        <v>0</v>
      </c>
      <c r="CY1649" s="8">
        <f>1</f>
        <v>1</v>
      </c>
      <c r="DA1649" s="5" t="s">
        <v>673</v>
      </c>
      <c r="DB1649" s="5" t="s">
        <v>238</v>
      </c>
      <c r="DD1649" s="5" t="s">
        <v>673</v>
      </c>
      <c r="DE1649" s="8">
        <f>157</f>
        <v>157</v>
      </c>
      <c r="DG1649" s="5" t="s">
        <v>238</v>
      </c>
      <c r="DH1649" s="5" t="s">
        <v>238</v>
      </c>
      <c r="DI1649" s="5" t="s">
        <v>238</v>
      </c>
      <c r="DJ1649" s="5" t="s">
        <v>238</v>
      </c>
      <c r="DN1649" s="5" t="s">
        <v>238</v>
      </c>
      <c r="DO1649" s="5" t="s">
        <v>238</v>
      </c>
      <c r="DP1649" s="5" t="s">
        <v>238</v>
      </c>
      <c r="DQ1649" s="5" t="s">
        <v>238</v>
      </c>
      <c r="DT1649" s="5" t="s">
        <v>2039</v>
      </c>
      <c r="DU1649" s="5" t="s">
        <v>338</v>
      </c>
      <c r="HM1649" s="5" t="s">
        <v>264</v>
      </c>
    </row>
    <row r="1650" spans="1:221" x14ac:dyDescent="0.4">
      <c r="A1650" s="5">
        <v>3325</v>
      </c>
      <c r="B1650" s="5">
        <v>1</v>
      </c>
      <c r="C1650" s="5">
        <v>1</v>
      </c>
      <c r="D1650" s="5" t="s">
        <v>2037</v>
      </c>
      <c r="E1650" s="5" t="s">
        <v>271</v>
      </c>
      <c r="F1650" s="5" t="s">
        <v>248</v>
      </c>
      <c r="G1650" s="5" t="s">
        <v>1969</v>
      </c>
      <c r="H1650" s="6" t="s">
        <v>3548</v>
      </c>
      <c r="I1650" s="7">
        <f>1825</f>
        <v>1825</v>
      </c>
      <c r="J1650" s="5" t="s">
        <v>262</v>
      </c>
      <c r="K1650" s="8">
        <f>1</f>
        <v>1</v>
      </c>
      <c r="L1650" s="6" t="s">
        <v>242</v>
      </c>
      <c r="M1650" s="5" t="s">
        <v>267</v>
      </c>
      <c r="N1650" s="5" t="s">
        <v>265</v>
      </c>
      <c r="O1650" s="5" t="s">
        <v>238</v>
      </c>
      <c r="P1650" s="5" t="s">
        <v>238</v>
      </c>
      <c r="Q1650" s="5" t="s">
        <v>268</v>
      </c>
      <c r="R1650" s="5" t="s">
        <v>270</v>
      </c>
      <c r="S1650" s="5" t="s">
        <v>238</v>
      </c>
      <c r="V1650" s="5" t="s">
        <v>238</v>
      </c>
      <c r="X1650" s="6" t="s">
        <v>238</v>
      </c>
      <c r="AA1650" s="6" t="s">
        <v>243</v>
      </c>
      <c r="AB1650" s="5" t="s">
        <v>238</v>
      </c>
      <c r="AC1650" s="5" t="s">
        <v>244</v>
      </c>
      <c r="AD1650" s="5" t="s">
        <v>245</v>
      </c>
      <c r="AT1650" s="5" t="s">
        <v>246</v>
      </c>
      <c r="AU1650" s="5" t="s">
        <v>238</v>
      </c>
      <c r="AV1650" s="5" t="s">
        <v>247</v>
      </c>
      <c r="AW1650" s="5" t="s">
        <v>238</v>
      </c>
      <c r="AX1650" s="5" t="s">
        <v>249</v>
      </c>
      <c r="AY1650" s="5" t="s">
        <v>238</v>
      </c>
      <c r="BA1650" s="5" t="s">
        <v>238</v>
      </c>
      <c r="BC1650" s="5" t="s">
        <v>250</v>
      </c>
      <c r="BD1650" s="6" t="s">
        <v>243</v>
      </c>
      <c r="BE1650" s="5" t="s">
        <v>251</v>
      </c>
      <c r="BF1650" s="5" t="s">
        <v>252</v>
      </c>
      <c r="BG1650" s="5" t="s">
        <v>238</v>
      </c>
      <c r="BH1650" s="7">
        <f>0</f>
        <v>0</v>
      </c>
      <c r="BI1650" s="8">
        <f>0</f>
        <v>0</v>
      </c>
      <c r="BJ1650" s="5" t="s">
        <v>253</v>
      </c>
      <c r="BK1650" s="5" t="s">
        <v>254</v>
      </c>
      <c r="BY1650" s="5" t="s">
        <v>238</v>
      </c>
      <c r="BZ1650" s="5" t="s">
        <v>238</v>
      </c>
      <c r="CD1650" s="5" t="s">
        <v>273</v>
      </c>
      <c r="CE1650" s="5" t="s">
        <v>256</v>
      </c>
      <c r="CF1650" s="5" t="s">
        <v>238</v>
      </c>
      <c r="CI1650" s="6" t="s">
        <v>257</v>
      </c>
      <c r="CJ1650" s="5" t="s">
        <v>238</v>
      </c>
      <c r="CK1650" s="5" t="s">
        <v>258</v>
      </c>
      <c r="CL1650" s="5" t="s">
        <v>238</v>
      </c>
      <c r="CM1650" s="5" t="s">
        <v>238</v>
      </c>
      <c r="CN1650" s="5">
        <v>0</v>
      </c>
      <c r="CO1650" s="5" t="s">
        <v>259</v>
      </c>
      <c r="CP1650" s="5" t="s">
        <v>260</v>
      </c>
      <c r="CQ1650" s="5" t="s">
        <v>260</v>
      </c>
      <c r="CR1650" s="5" t="s">
        <v>261</v>
      </c>
      <c r="CU1650" s="8">
        <f>1</f>
        <v>1</v>
      </c>
      <c r="CV1650" s="8">
        <f>0</f>
        <v>0</v>
      </c>
      <c r="CX1650" s="8">
        <f>0</f>
        <v>0</v>
      </c>
      <c r="CY1650" s="8">
        <f>1</f>
        <v>1</v>
      </c>
      <c r="DA1650" s="5" t="s">
        <v>673</v>
      </c>
      <c r="DB1650" s="5" t="s">
        <v>238</v>
      </c>
      <c r="DD1650" s="5" t="s">
        <v>673</v>
      </c>
      <c r="DE1650" s="8">
        <f>1825</f>
        <v>1825</v>
      </c>
      <c r="DG1650" s="5" t="s">
        <v>238</v>
      </c>
      <c r="DH1650" s="5" t="s">
        <v>238</v>
      </c>
      <c r="DI1650" s="5" t="s">
        <v>238</v>
      </c>
      <c r="DJ1650" s="5" t="s">
        <v>238</v>
      </c>
      <c r="DN1650" s="5" t="s">
        <v>238</v>
      </c>
      <c r="DO1650" s="5" t="s">
        <v>238</v>
      </c>
      <c r="DP1650" s="5" t="s">
        <v>238</v>
      </c>
      <c r="DQ1650" s="5" t="s">
        <v>238</v>
      </c>
      <c r="DT1650" s="5" t="s">
        <v>2039</v>
      </c>
      <c r="DU1650" s="5" t="s">
        <v>344</v>
      </c>
      <c r="HM1650" s="5" t="s">
        <v>264</v>
      </c>
    </row>
    <row r="1651" spans="1:221" x14ac:dyDescent="0.4">
      <c r="A1651" s="5">
        <v>3326</v>
      </c>
      <c r="B1651" s="5">
        <v>1</v>
      </c>
      <c r="C1651" s="5">
        <v>1</v>
      </c>
      <c r="D1651" s="5" t="s">
        <v>2037</v>
      </c>
      <c r="E1651" s="5" t="s">
        <v>271</v>
      </c>
      <c r="F1651" s="5" t="s">
        <v>248</v>
      </c>
      <c r="G1651" s="5" t="s">
        <v>1969</v>
      </c>
      <c r="H1651" s="6" t="s">
        <v>3728</v>
      </c>
      <c r="I1651" s="7">
        <f>2711</f>
        <v>2711</v>
      </c>
      <c r="J1651" s="5" t="s">
        <v>262</v>
      </c>
      <c r="K1651" s="8">
        <f>1</f>
        <v>1</v>
      </c>
      <c r="L1651" s="6" t="s">
        <v>242</v>
      </c>
      <c r="M1651" s="5" t="s">
        <v>267</v>
      </c>
      <c r="N1651" s="5" t="s">
        <v>265</v>
      </c>
      <c r="O1651" s="5" t="s">
        <v>238</v>
      </c>
      <c r="P1651" s="5" t="s">
        <v>238</v>
      </c>
      <c r="Q1651" s="5" t="s">
        <v>268</v>
      </c>
      <c r="R1651" s="5" t="s">
        <v>270</v>
      </c>
      <c r="S1651" s="5" t="s">
        <v>238</v>
      </c>
      <c r="V1651" s="5" t="s">
        <v>238</v>
      </c>
      <c r="X1651" s="6" t="s">
        <v>238</v>
      </c>
      <c r="AA1651" s="6" t="s">
        <v>243</v>
      </c>
      <c r="AB1651" s="5" t="s">
        <v>238</v>
      </c>
      <c r="AC1651" s="5" t="s">
        <v>244</v>
      </c>
      <c r="AD1651" s="5" t="s">
        <v>245</v>
      </c>
      <c r="AT1651" s="5" t="s">
        <v>246</v>
      </c>
      <c r="AU1651" s="5" t="s">
        <v>238</v>
      </c>
      <c r="AV1651" s="5" t="s">
        <v>247</v>
      </c>
      <c r="AW1651" s="5" t="s">
        <v>238</v>
      </c>
      <c r="AX1651" s="5" t="s">
        <v>249</v>
      </c>
      <c r="AY1651" s="5" t="s">
        <v>238</v>
      </c>
      <c r="BA1651" s="5" t="s">
        <v>238</v>
      </c>
      <c r="BC1651" s="5" t="s">
        <v>250</v>
      </c>
      <c r="BD1651" s="6" t="s">
        <v>243</v>
      </c>
      <c r="BE1651" s="5" t="s">
        <v>251</v>
      </c>
      <c r="BF1651" s="5" t="s">
        <v>252</v>
      </c>
      <c r="BG1651" s="5" t="s">
        <v>238</v>
      </c>
      <c r="BH1651" s="7">
        <f>0</f>
        <v>0</v>
      </c>
      <c r="BI1651" s="8">
        <f>0</f>
        <v>0</v>
      </c>
      <c r="BJ1651" s="5" t="s">
        <v>253</v>
      </c>
      <c r="BK1651" s="5" t="s">
        <v>254</v>
      </c>
      <c r="BY1651" s="5" t="s">
        <v>238</v>
      </c>
      <c r="BZ1651" s="5" t="s">
        <v>238</v>
      </c>
      <c r="CD1651" s="5" t="s">
        <v>273</v>
      </c>
      <c r="CE1651" s="5" t="s">
        <v>256</v>
      </c>
      <c r="CF1651" s="5" t="s">
        <v>238</v>
      </c>
      <c r="CI1651" s="6" t="s">
        <v>257</v>
      </c>
      <c r="CJ1651" s="5" t="s">
        <v>238</v>
      </c>
      <c r="CK1651" s="5" t="s">
        <v>258</v>
      </c>
      <c r="CL1651" s="5" t="s">
        <v>238</v>
      </c>
      <c r="CM1651" s="5" t="s">
        <v>238</v>
      </c>
      <c r="CN1651" s="5">
        <v>0</v>
      </c>
      <c r="CO1651" s="5" t="s">
        <v>259</v>
      </c>
      <c r="CP1651" s="5" t="s">
        <v>260</v>
      </c>
      <c r="CQ1651" s="5" t="s">
        <v>260</v>
      </c>
      <c r="CR1651" s="5" t="s">
        <v>261</v>
      </c>
      <c r="CU1651" s="8">
        <f>1</f>
        <v>1</v>
      </c>
      <c r="CV1651" s="8">
        <f>0</f>
        <v>0</v>
      </c>
      <c r="CX1651" s="8">
        <f>0</f>
        <v>0</v>
      </c>
      <c r="CY1651" s="8">
        <f>1</f>
        <v>1</v>
      </c>
      <c r="DA1651" s="5" t="s">
        <v>673</v>
      </c>
      <c r="DB1651" s="5" t="s">
        <v>238</v>
      </c>
      <c r="DD1651" s="5" t="s">
        <v>673</v>
      </c>
      <c r="DE1651" s="8">
        <f>2711</f>
        <v>2711</v>
      </c>
      <c r="DG1651" s="5" t="s">
        <v>238</v>
      </c>
      <c r="DH1651" s="5" t="s">
        <v>238</v>
      </c>
      <c r="DI1651" s="5" t="s">
        <v>238</v>
      </c>
      <c r="DJ1651" s="5" t="s">
        <v>238</v>
      </c>
      <c r="DN1651" s="5" t="s">
        <v>238</v>
      </c>
      <c r="DO1651" s="5" t="s">
        <v>238</v>
      </c>
      <c r="DP1651" s="5" t="s">
        <v>238</v>
      </c>
      <c r="DQ1651" s="5" t="s">
        <v>238</v>
      </c>
      <c r="DT1651" s="5" t="s">
        <v>2039</v>
      </c>
      <c r="DU1651" s="5" t="s">
        <v>354</v>
      </c>
      <c r="HM1651" s="5" t="s">
        <v>264</v>
      </c>
    </row>
    <row r="1652" spans="1:221" x14ac:dyDescent="0.4">
      <c r="A1652" s="5">
        <v>3327</v>
      </c>
      <c r="B1652" s="5">
        <v>1</v>
      </c>
      <c r="C1652" s="5">
        <v>1</v>
      </c>
      <c r="D1652" s="5" t="s">
        <v>2037</v>
      </c>
      <c r="E1652" s="5" t="s">
        <v>271</v>
      </c>
      <c r="F1652" s="5" t="s">
        <v>248</v>
      </c>
      <c r="G1652" s="5" t="s">
        <v>1969</v>
      </c>
      <c r="H1652" s="6" t="s">
        <v>3726</v>
      </c>
      <c r="I1652" s="7">
        <f>928</f>
        <v>928</v>
      </c>
      <c r="J1652" s="5" t="s">
        <v>262</v>
      </c>
      <c r="K1652" s="8">
        <f>1</f>
        <v>1</v>
      </c>
      <c r="L1652" s="6" t="s">
        <v>242</v>
      </c>
      <c r="M1652" s="5" t="s">
        <v>267</v>
      </c>
      <c r="N1652" s="5" t="s">
        <v>265</v>
      </c>
      <c r="O1652" s="5" t="s">
        <v>238</v>
      </c>
      <c r="P1652" s="5" t="s">
        <v>238</v>
      </c>
      <c r="Q1652" s="5" t="s">
        <v>268</v>
      </c>
      <c r="R1652" s="5" t="s">
        <v>270</v>
      </c>
      <c r="S1652" s="5" t="s">
        <v>238</v>
      </c>
      <c r="V1652" s="5" t="s">
        <v>238</v>
      </c>
      <c r="X1652" s="6" t="s">
        <v>238</v>
      </c>
      <c r="AA1652" s="6" t="s">
        <v>243</v>
      </c>
      <c r="AB1652" s="5" t="s">
        <v>238</v>
      </c>
      <c r="AC1652" s="5" t="s">
        <v>244</v>
      </c>
      <c r="AD1652" s="5" t="s">
        <v>245</v>
      </c>
      <c r="AT1652" s="5" t="s">
        <v>246</v>
      </c>
      <c r="AU1652" s="5" t="s">
        <v>238</v>
      </c>
      <c r="AV1652" s="5" t="s">
        <v>247</v>
      </c>
      <c r="AW1652" s="5" t="s">
        <v>238</v>
      </c>
      <c r="AX1652" s="5" t="s">
        <v>249</v>
      </c>
      <c r="AY1652" s="5" t="s">
        <v>238</v>
      </c>
      <c r="BA1652" s="5" t="s">
        <v>238</v>
      </c>
      <c r="BC1652" s="5" t="s">
        <v>250</v>
      </c>
      <c r="BD1652" s="6" t="s">
        <v>243</v>
      </c>
      <c r="BE1652" s="5" t="s">
        <v>251</v>
      </c>
      <c r="BF1652" s="5" t="s">
        <v>252</v>
      </c>
      <c r="BG1652" s="5" t="s">
        <v>238</v>
      </c>
      <c r="BH1652" s="7">
        <f>0</f>
        <v>0</v>
      </c>
      <c r="BI1652" s="8">
        <f>0</f>
        <v>0</v>
      </c>
      <c r="BJ1652" s="5" t="s">
        <v>253</v>
      </c>
      <c r="BK1652" s="5" t="s">
        <v>254</v>
      </c>
      <c r="BY1652" s="5" t="s">
        <v>238</v>
      </c>
      <c r="BZ1652" s="5" t="s">
        <v>238</v>
      </c>
      <c r="CD1652" s="5" t="s">
        <v>273</v>
      </c>
      <c r="CE1652" s="5" t="s">
        <v>256</v>
      </c>
      <c r="CF1652" s="5" t="s">
        <v>238</v>
      </c>
      <c r="CI1652" s="6" t="s">
        <v>257</v>
      </c>
      <c r="CJ1652" s="5" t="s">
        <v>238</v>
      </c>
      <c r="CK1652" s="5" t="s">
        <v>258</v>
      </c>
      <c r="CL1652" s="5" t="s">
        <v>238</v>
      </c>
      <c r="CM1652" s="5" t="s">
        <v>238</v>
      </c>
      <c r="CN1652" s="5">
        <v>0</v>
      </c>
      <c r="CO1652" s="5" t="s">
        <v>259</v>
      </c>
      <c r="CP1652" s="5" t="s">
        <v>260</v>
      </c>
      <c r="CQ1652" s="5" t="s">
        <v>260</v>
      </c>
      <c r="CR1652" s="5" t="s">
        <v>261</v>
      </c>
      <c r="CU1652" s="8">
        <f>1</f>
        <v>1</v>
      </c>
      <c r="CV1652" s="8">
        <f>0</f>
        <v>0</v>
      </c>
      <c r="CX1652" s="8">
        <f>0</f>
        <v>0</v>
      </c>
      <c r="CY1652" s="8">
        <f>1</f>
        <v>1</v>
      </c>
      <c r="DA1652" s="5" t="s">
        <v>673</v>
      </c>
      <c r="DB1652" s="5" t="s">
        <v>238</v>
      </c>
      <c r="DD1652" s="5" t="s">
        <v>673</v>
      </c>
      <c r="DE1652" s="8">
        <f>928</f>
        <v>928</v>
      </c>
      <c r="DG1652" s="5" t="s">
        <v>238</v>
      </c>
      <c r="DH1652" s="5" t="s">
        <v>238</v>
      </c>
      <c r="DI1652" s="5" t="s">
        <v>238</v>
      </c>
      <c r="DJ1652" s="5" t="s">
        <v>238</v>
      </c>
      <c r="DN1652" s="5" t="s">
        <v>238</v>
      </c>
      <c r="DO1652" s="5" t="s">
        <v>238</v>
      </c>
      <c r="DP1652" s="5" t="s">
        <v>238</v>
      </c>
      <c r="DQ1652" s="5" t="s">
        <v>238</v>
      </c>
      <c r="DT1652" s="5" t="s">
        <v>2039</v>
      </c>
      <c r="DU1652" s="5" t="s">
        <v>364</v>
      </c>
      <c r="HM1652" s="5" t="s">
        <v>264</v>
      </c>
    </row>
    <row r="1653" spans="1:221" x14ac:dyDescent="0.4">
      <c r="A1653" s="5">
        <v>3328</v>
      </c>
      <c r="B1653" s="5">
        <v>1</v>
      </c>
      <c r="C1653" s="5">
        <v>1</v>
      </c>
      <c r="D1653" s="5" t="s">
        <v>2037</v>
      </c>
      <c r="E1653" s="5" t="s">
        <v>271</v>
      </c>
      <c r="F1653" s="5" t="s">
        <v>248</v>
      </c>
      <c r="G1653" s="5" t="s">
        <v>1969</v>
      </c>
      <c r="H1653" s="6" t="s">
        <v>3646</v>
      </c>
      <c r="I1653" s="7">
        <f>3610</f>
        <v>3610</v>
      </c>
      <c r="J1653" s="5" t="s">
        <v>262</v>
      </c>
      <c r="K1653" s="8">
        <f>1</f>
        <v>1</v>
      </c>
      <c r="L1653" s="6" t="s">
        <v>242</v>
      </c>
      <c r="M1653" s="5" t="s">
        <v>267</v>
      </c>
      <c r="N1653" s="5" t="s">
        <v>265</v>
      </c>
      <c r="O1653" s="5" t="s">
        <v>238</v>
      </c>
      <c r="P1653" s="5" t="s">
        <v>238</v>
      </c>
      <c r="Q1653" s="5" t="s">
        <v>268</v>
      </c>
      <c r="R1653" s="5" t="s">
        <v>270</v>
      </c>
      <c r="S1653" s="5" t="s">
        <v>238</v>
      </c>
      <c r="V1653" s="5" t="s">
        <v>238</v>
      </c>
      <c r="X1653" s="6" t="s">
        <v>238</v>
      </c>
      <c r="AA1653" s="6" t="s">
        <v>243</v>
      </c>
      <c r="AB1653" s="5" t="s">
        <v>238</v>
      </c>
      <c r="AC1653" s="5" t="s">
        <v>244</v>
      </c>
      <c r="AD1653" s="5" t="s">
        <v>245</v>
      </c>
      <c r="AT1653" s="5" t="s">
        <v>246</v>
      </c>
      <c r="AU1653" s="5" t="s">
        <v>238</v>
      </c>
      <c r="AV1653" s="5" t="s">
        <v>247</v>
      </c>
      <c r="AW1653" s="5" t="s">
        <v>238</v>
      </c>
      <c r="AX1653" s="5" t="s">
        <v>249</v>
      </c>
      <c r="AY1653" s="5" t="s">
        <v>238</v>
      </c>
      <c r="BA1653" s="5" t="s">
        <v>238</v>
      </c>
      <c r="BC1653" s="5" t="s">
        <v>250</v>
      </c>
      <c r="BD1653" s="6" t="s">
        <v>243</v>
      </c>
      <c r="BE1653" s="5" t="s">
        <v>251</v>
      </c>
      <c r="BF1653" s="5" t="s">
        <v>252</v>
      </c>
      <c r="BG1653" s="5" t="s">
        <v>238</v>
      </c>
      <c r="BH1653" s="7">
        <f>0</f>
        <v>0</v>
      </c>
      <c r="BI1653" s="8">
        <f>0</f>
        <v>0</v>
      </c>
      <c r="BJ1653" s="5" t="s">
        <v>253</v>
      </c>
      <c r="BK1653" s="5" t="s">
        <v>254</v>
      </c>
      <c r="BY1653" s="5" t="s">
        <v>238</v>
      </c>
      <c r="BZ1653" s="5" t="s">
        <v>238</v>
      </c>
      <c r="CD1653" s="5" t="s">
        <v>273</v>
      </c>
      <c r="CE1653" s="5" t="s">
        <v>256</v>
      </c>
      <c r="CF1653" s="5" t="s">
        <v>238</v>
      </c>
      <c r="CI1653" s="6" t="s">
        <v>257</v>
      </c>
      <c r="CJ1653" s="5" t="s">
        <v>238</v>
      </c>
      <c r="CK1653" s="5" t="s">
        <v>258</v>
      </c>
      <c r="CL1653" s="5" t="s">
        <v>238</v>
      </c>
      <c r="CM1653" s="5" t="s">
        <v>238</v>
      </c>
      <c r="CN1653" s="5">
        <v>0</v>
      </c>
      <c r="CO1653" s="5" t="s">
        <v>259</v>
      </c>
      <c r="CP1653" s="5" t="s">
        <v>260</v>
      </c>
      <c r="CQ1653" s="5" t="s">
        <v>260</v>
      </c>
      <c r="CR1653" s="5" t="s">
        <v>261</v>
      </c>
      <c r="CU1653" s="8">
        <f>1</f>
        <v>1</v>
      </c>
      <c r="CV1653" s="8">
        <f>0</f>
        <v>0</v>
      </c>
      <c r="CX1653" s="8">
        <f>0</f>
        <v>0</v>
      </c>
      <c r="CY1653" s="8">
        <f>1</f>
        <v>1</v>
      </c>
      <c r="DA1653" s="5" t="s">
        <v>673</v>
      </c>
      <c r="DB1653" s="5" t="s">
        <v>238</v>
      </c>
      <c r="DD1653" s="5" t="s">
        <v>673</v>
      </c>
      <c r="DE1653" s="8">
        <f>3610</f>
        <v>3610</v>
      </c>
      <c r="DG1653" s="5" t="s">
        <v>238</v>
      </c>
      <c r="DH1653" s="5" t="s">
        <v>238</v>
      </c>
      <c r="DI1653" s="5" t="s">
        <v>238</v>
      </c>
      <c r="DJ1653" s="5" t="s">
        <v>238</v>
      </c>
      <c r="DN1653" s="5" t="s">
        <v>238</v>
      </c>
      <c r="DO1653" s="5" t="s">
        <v>238</v>
      </c>
      <c r="DP1653" s="5" t="s">
        <v>238</v>
      </c>
      <c r="DQ1653" s="5" t="s">
        <v>238</v>
      </c>
      <c r="DT1653" s="5" t="s">
        <v>2039</v>
      </c>
      <c r="DU1653" s="5" t="s">
        <v>370</v>
      </c>
      <c r="HM1653" s="5" t="s">
        <v>264</v>
      </c>
    </row>
    <row r="1654" spans="1:221" x14ac:dyDescent="0.4">
      <c r="A1654" s="5">
        <v>3329</v>
      </c>
      <c r="B1654" s="5">
        <v>1</v>
      </c>
      <c r="C1654" s="5">
        <v>1</v>
      </c>
      <c r="D1654" s="5" t="s">
        <v>2037</v>
      </c>
      <c r="E1654" s="5" t="s">
        <v>271</v>
      </c>
      <c r="F1654" s="5" t="s">
        <v>248</v>
      </c>
      <c r="G1654" s="5" t="s">
        <v>1969</v>
      </c>
      <c r="H1654" s="6" t="s">
        <v>3586</v>
      </c>
      <c r="I1654" s="7">
        <f>268</f>
        <v>268</v>
      </c>
      <c r="J1654" s="5" t="s">
        <v>262</v>
      </c>
      <c r="K1654" s="8">
        <f>1</f>
        <v>1</v>
      </c>
      <c r="L1654" s="6" t="s">
        <v>242</v>
      </c>
      <c r="M1654" s="5" t="s">
        <v>267</v>
      </c>
      <c r="N1654" s="5" t="s">
        <v>265</v>
      </c>
      <c r="O1654" s="5" t="s">
        <v>238</v>
      </c>
      <c r="P1654" s="5" t="s">
        <v>238</v>
      </c>
      <c r="Q1654" s="5" t="s">
        <v>268</v>
      </c>
      <c r="R1654" s="5" t="s">
        <v>270</v>
      </c>
      <c r="S1654" s="5" t="s">
        <v>238</v>
      </c>
      <c r="V1654" s="5" t="s">
        <v>238</v>
      </c>
      <c r="X1654" s="6" t="s">
        <v>238</v>
      </c>
      <c r="AA1654" s="6" t="s">
        <v>243</v>
      </c>
      <c r="AB1654" s="5" t="s">
        <v>238</v>
      </c>
      <c r="AC1654" s="5" t="s">
        <v>244</v>
      </c>
      <c r="AD1654" s="5" t="s">
        <v>245</v>
      </c>
      <c r="AT1654" s="5" t="s">
        <v>246</v>
      </c>
      <c r="AU1654" s="5" t="s">
        <v>238</v>
      </c>
      <c r="AV1654" s="5" t="s">
        <v>247</v>
      </c>
      <c r="AW1654" s="5" t="s">
        <v>238</v>
      </c>
      <c r="AX1654" s="5" t="s">
        <v>249</v>
      </c>
      <c r="AY1654" s="5" t="s">
        <v>238</v>
      </c>
      <c r="BA1654" s="5" t="s">
        <v>238</v>
      </c>
      <c r="BC1654" s="5" t="s">
        <v>250</v>
      </c>
      <c r="BD1654" s="6" t="s">
        <v>243</v>
      </c>
      <c r="BE1654" s="5" t="s">
        <v>251</v>
      </c>
      <c r="BF1654" s="5" t="s">
        <v>252</v>
      </c>
      <c r="BG1654" s="5" t="s">
        <v>238</v>
      </c>
      <c r="BH1654" s="7">
        <f>0</f>
        <v>0</v>
      </c>
      <c r="BI1654" s="8">
        <f>0</f>
        <v>0</v>
      </c>
      <c r="BJ1654" s="5" t="s">
        <v>253</v>
      </c>
      <c r="BK1654" s="5" t="s">
        <v>254</v>
      </c>
      <c r="BY1654" s="5" t="s">
        <v>238</v>
      </c>
      <c r="BZ1654" s="5" t="s">
        <v>238</v>
      </c>
      <c r="CD1654" s="5" t="s">
        <v>273</v>
      </c>
      <c r="CE1654" s="5" t="s">
        <v>256</v>
      </c>
      <c r="CF1654" s="5" t="s">
        <v>238</v>
      </c>
      <c r="CI1654" s="6" t="s">
        <v>257</v>
      </c>
      <c r="CJ1654" s="5" t="s">
        <v>238</v>
      </c>
      <c r="CK1654" s="5" t="s">
        <v>258</v>
      </c>
      <c r="CL1654" s="5" t="s">
        <v>238</v>
      </c>
      <c r="CM1654" s="5" t="s">
        <v>238</v>
      </c>
      <c r="CN1654" s="5">
        <v>0</v>
      </c>
      <c r="CO1654" s="5" t="s">
        <v>259</v>
      </c>
      <c r="CP1654" s="5" t="s">
        <v>260</v>
      </c>
      <c r="CQ1654" s="5" t="s">
        <v>260</v>
      </c>
      <c r="CR1654" s="5" t="s">
        <v>261</v>
      </c>
      <c r="CU1654" s="8">
        <f>1</f>
        <v>1</v>
      </c>
      <c r="CV1654" s="8">
        <f>0</f>
        <v>0</v>
      </c>
      <c r="CX1654" s="8">
        <f>0</f>
        <v>0</v>
      </c>
      <c r="CY1654" s="8">
        <f>1</f>
        <v>1</v>
      </c>
      <c r="DA1654" s="5" t="s">
        <v>673</v>
      </c>
      <c r="DB1654" s="5" t="s">
        <v>238</v>
      </c>
      <c r="DD1654" s="5" t="s">
        <v>673</v>
      </c>
      <c r="DE1654" s="8">
        <f>268</f>
        <v>268</v>
      </c>
      <c r="DG1654" s="5" t="s">
        <v>238</v>
      </c>
      <c r="DH1654" s="5" t="s">
        <v>238</v>
      </c>
      <c r="DI1654" s="5" t="s">
        <v>238</v>
      </c>
      <c r="DJ1654" s="5" t="s">
        <v>238</v>
      </c>
      <c r="DN1654" s="5" t="s">
        <v>238</v>
      </c>
      <c r="DO1654" s="5" t="s">
        <v>238</v>
      </c>
      <c r="DP1654" s="5" t="s">
        <v>238</v>
      </c>
      <c r="DQ1654" s="5" t="s">
        <v>238</v>
      </c>
      <c r="DT1654" s="5" t="s">
        <v>2039</v>
      </c>
      <c r="DU1654" s="5" t="s">
        <v>378</v>
      </c>
      <c r="HM1654" s="5" t="s">
        <v>264</v>
      </c>
    </row>
    <row r="1655" spans="1:221" x14ac:dyDescent="0.4">
      <c r="A1655" s="5">
        <v>3330</v>
      </c>
      <c r="B1655" s="5">
        <v>1</v>
      </c>
      <c r="C1655" s="5">
        <v>1</v>
      </c>
      <c r="D1655" s="5" t="s">
        <v>2037</v>
      </c>
      <c r="E1655" s="5" t="s">
        <v>271</v>
      </c>
      <c r="F1655" s="5" t="s">
        <v>248</v>
      </c>
      <c r="G1655" s="5" t="s">
        <v>1969</v>
      </c>
      <c r="H1655" s="6" t="s">
        <v>3751</v>
      </c>
      <c r="I1655" s="7">
        <f>690</f>
        <v>690</v>
      </c>
      <c r="J1655" s="5" t="s">
        <v>262</v>
      </c>
      <c r="K1655" s="8">
        <f>1</f>
        <v>1</v>
      </c>
      <c r="L1655" s="6" t="s">
        <v>242</v>
      </c>
      <c r="M1655" s="5" t="s">
        <v>267</v>
      </c>
      <c r="N1655" s="5" t="s">
        <v>265</v>
      </c>
      <c r="O1655" s="5" t="s">
        <v>238</v>
      </c>
      <c r="P1655" s="5" t="s">
        <v>238</v>
      </c>
      <c r="Q1655" s="5" t="s">
        <v>268</v>
      </c>
      <c r="R1655" s="5" t="s">
        <v>270</v>
      </c>
      <c r="S1655" s="5" t="s">
        <v>238</v>
      </c>
      <c r="V1655" s="5" t="s">
        <v>238</v>
      </c>
      <c r="X1655" s="6" t="s">
        <v>238</v>
      </c>
      <c r="AA1655" s="6" t="s">
        <v>243</v>
      </c>
      <c r="AB1655" s="5" t="s">
        <v>238</v>
      </c>
      <c r="AC1655" s="5" t="s">
        <v>244</v>
      </c>
      <c r="AD1655" s="5" t="s">
        <v>245</v>
      </c>
      <c r="AT1655" s="5" t="s">
        <v>246</v>
      </c>
      <c r="AU1655" s="5" t="s">
        <v>238</v>
      </c>
      <c r="AV1655" s="5" t="s">
        <v>247</v>
      </c>
      <c r="AW1655" s="5" t="s">
        <v>238</v>
      </c>
      <c r="AX1655" s="5" t="s">
        <v>249</v>
      </c>
      <c r="AY1655" s="5" t="s">
        <v>238</v>
      </c>
      <c r="BA1655" s="5" t="s">
        <v>238</v>
      </c>
      <c r="BC1655" s="5" t="s">
        <v>250</v>
      </c>
      <c r="BD1655" s="6" t="s">
        <v>243</v>
      </c>
      <c r="BE1655" s="5" t="s">
        <v>251</v>
      </c>
      <c r="BF1655" s="5" t="s">
        <v>252</v>
      </c>
      <c r="BG1655" s="5" t="s">
        <v>238</v>
      </c>
      <c r="BH1655" s="7">
        <f>0</f>
        <v>0</v>
      </c>
      <c r="BI1655" s="8">
        <f>0</f>
        <v>0</v>
      </c>
      <c r="BJ1655" s="5" t="s">
        <v>253</v>
      </c>
      <c r="BK1655" s="5" t="s">
        <v>254</v>
      </c>
      <c r="BY1655" s="5" t="s">
        <v>238</v>
      </c>
      <c r="BZ1655" s="5" t="s">
        <v>238</v>
      </c>
      <c r="CD1655" s="5" t="s">
        <v>273</v>
      </c>
      <c r="CE1655" s="5" t="s">
        <v>256</v>
      </c>
      <c r="CF1655" s="5" t="s">
        <v>238</v>
      </c>
      <c r="CI1655" s="6" t="s">
        <v>257</v>
      </c>
      <c r="CJ1655" s="5" t="s">
        <v>238</v>
      </c>
      <c r="CK1655" s="5" t="s">
        <v>258</v>
      </c>
      <c r="CL1655" s="5" t="s">
        <v>238</v>
      </c>
      <c r="CM1655" s="5" t="s">
        <v>238</v>
      </c>
      <c r="CN1655" s="5">
        <v>0</v>
      </c>
      <c r="CO1655" s="5" t="s">
        <v>259</v>
      </c>
      <c r="CP1655" s="5" t="s">
        <v>260</v>
      </c>
      <c r="CQ1655" s="5" t="s">
        <v>260</v>
      </c>
      <c r="CR1655" s="5" t="s">
        <v>261</v>
      </c>
      <c r="CU1655" s="8">
        <f>1</f>
        <v>1</v>
      </c>
      <c r="CV1655" s="8">
        <f>0</f>
        <v>0</v>
      </c>
      <c r="CX1655" s="8">
        <f>0</f>
        <v>0</v>
      </c>
      <c r="CY1655" s="8">
        <f>1</f>
        <v>1</v>
      </c>
      <c r="DA1655" s="5" t="s">
        <v>673</v>
      </c>
      <c r="DB1655" s="5" t="s">
        <v>238</v>
      </c>
      <c r="DD1655" s="5" t="s">
        <v>673</v>
      </c>
      <c r="DE1655" s="8">
        <f>690</f>
        <v>690</v>
      </c>
      <c r="DG1655" s="5" t="s">
        <v>238</v>
      </c>
      <c r="DH1655" s="5" t="s">
        <v>238</v>
      </c>
      <c r="DI1655" s="5" t="s">
        <v>238</v>
      </c>
      <c r="DJ1655" s="5" t="s">
        <v>238</v>
      </c>
      <c r="DN1655" s="5" t="s">
        <v>238</v>
      </c>
      <c r="DO1655" s="5" t="s">
        <v>238</v>
      </c>
      <c r="DP1655" s="5" t="s">
        <v>238</v>
      </c>
      <c r="DQ1655" s="5" t="s">
        <v>238</v>
      </c>
      <c r="DT1655" s="5" t="s">
        <v>2039</v>
      </c>
      <c r="DU1655" s="5" t="s">
        <v>384</v>
      </c>
      <c r="HM1655" s="5" t="s">
        <v>264</v>
      </c>
    </row>
    <row r="1656" spans="1:221" x14ac:dyDescent="0.4">
      <c r="A1656" s="5">
        <v>3331</v>
      </c>
      <c r="B1656" s="5">
        <v>1</v>
      </c>
      <c r="C1656" s="5">
        <v>1</v>
      </c>
      <c r="D1656" s="5" t="s">
        <v>2037</v>
      </c>
      <c r="E1656" s="5" t="s">
        <v>271</v>
      </c>
      <c r="F1656" s="5" t="s">
        <v>248</v>
      </c>
      <c r="G1656" s="5" t="s">
        <v>1969</v>
      </c>
      <c r="H1656" s="6" t="s">
        <v>3537</v>
      </c>
      <c r="I1656" s="7">
        <f>3371</f>
        <v>3371</v>
      </c>
      <c r="J1656" s="5" t="s">
        <v>262</v>
      </c>
      <c r="K1656" s="8">
        <f>1</f>
        <v>1</v>
      </c>
      <c r="L1656" s="6" t="s">
        <v>242</v>
      </c>
      <c r="M1656" s="5" t="s">
        <v>267</v>
      </c>
      <c r="N1656" s="5" t="s">
        <v>265</v>
      </c>
      <c r="O1656" s="5" t="s">
        <v>238</v>
      </c>
      <c r="P1656" s="5" t="s">
        <v>238</v>
      </c>
      <c r="Q1656" s="5" t="s">
        <v>268</v>
      </c>
      <c r="R1656" s="5" t="s">
        <v>270</v>
      </c>
      <c r="S1656" s="5" t="s">
        <v>238</v>
      </c>
      <c r="V1656" s="5" t="s">
        <v>238</v>
      </c>
      <c r="X1656" s="6" t="s">
        <v>238</v>
      </c>
      <c r="AA1656" s="6" t="s">
        <v>243</v>
      </c>
      <c r="AB1656" s="5" t="s">
        <v>238</v>
      </c>
      <c r="AC1656" s="5" t="s">
        <v>244</v>
      </c>
      <c r="AD1656" s="5" t="s">
        <v>245</v>
      </c>
      <c r="AT1656" s="5" t="s">
        <v>246</v>
      </c>
      <c r="AU1656" s="5" t="s">
        <v>238</v>
      </c>
      <c r="AV1656" s="5" t="s">
        <v>247</v>
      </c>
      <c r="AW1656" s="5" t="s">
        <v>238</v>
      </c>
      <c r="AX1656" s="5" t="s">
        <v>249</v>
      </c>
      <c r="AY1656" s="5" t="s">
        <v>238</v>
      </c>
      <c r="BA1656" s="5" t="s">
        <v>238</v>
      </c>
      <c r="BC1656" s="5" t="s">
        <v>250</v>
      </c>
      <c r="BD1656" s="6" t="s">
        <v>243</v>
      </c>
      <c r="BE1656" s="5" t="s">
        <v>251</v>
      </c>
      <c r="BF1656" s="5" t="s">
        <v>252</v>
      </c>
      <c r="BG1656" s="5" t="s">
        <v>238</v>
      </c>
      <c r="BH1656" s="7">
        <f>0</f>
        <v>0</v>
      </c>
      <c r="BI1656" s="8">
        <f>0</f>
        <v>0</v>
      </c>
      <c r="BJ1656" s="5" t="s">
        <v>253</v>
      </c>
      <c r="BK1656" s="5" t="s">
        <v>254</v>
      </c>
      <c r="BY1656" s="5" t="s">
        <v>238</v>
      </c>
      <c r="BZ1656" s="5" t="s">
        <v>238</v>
      </c>
      <c r="CD1656" s="5" t="s">
        <v>273</v>
      </c>
      <c r="CE1656" s="5" t="s">
        <v>256</v>
      </c>
      <c r="CF1656" s="5" t="s">
        <v>238</v>
      </c>
      <c r="CI1656" s="6" t="s">
        <v>257</v>
      </c>
      <c r="CJ1656" s="5" t="s">
        <v>238</v>
      </c>
      <c r="CK1656" s="5" t="s">
        <v>258</v>
      </c>
      <c r="CL1656" s="5" t="s">
        <v>238</v>
      </c>
      <c r="CM1656" s="5" t="s">
        <v>238</v>
      </c>
      <c r="CN1656" s="5">
        <v>0</v>
      </c>
      <c r="CO1656" s="5" t="s">
        <v>259</v>
      </c>
      <c r="CP1656" s="5" t="s">
        <v>260</v>
      </c>
      <c r="CQ1656" s="5" t="s">
        <v>260</v>
      </c>
      <c r="CR1656" s="5" t="s">
        <v>261</v>
      </c>
      <c r="CU1656" s="8">
        <f>1</f>
        <v>1</v>
      </c>
      <c r="CV1656" s="8">
        <f>0</f>
        <v>0</v>
      </c>
      <c r="CX1656" s="8">
        <f>0</f>
        <v>0</v>
      </c>
      <c r="CY1656" s="8">
        <f>1</f>
        <v>1</v>
      </c>
      <c r="DA1656" s="5" t="s">
        <v>673</v>
      </c>
      <c r="DB1656" s="5" t="s">
        <v>238</v>
      </c>
      <c r="DD1656" s="5" t="s">
        <v>673</v>
      </c>
      <c r="DE1656" s="8">
        <f>3371</f>
        <v>3371</v>
      </c>
      <c r="DG1656" s="5" t="s">
        <v>238</v>
      </c>
      <c r="DH1656" s="5" t="s">
        <v>238</v>
      </c>
      <c r="DI1656" s="5" t="s">
        <v>238</v>
      </c>
      <c r="DJ1656" s="5" t="s">
        <v>238</v>
      </c>
      <c r="DN1656" s="5" t="s">
        <v>238</v>
      </c>
      <c r="DO1656" s="5" t="s">
        <v>238</v>
      </c>
      <c r="DP1656" s="5" t="s">
        <v>238</v>
      </c>
      <c r="DQ1656" s="5" t="s">
        <v>238</v>
      </c>
      <c r="DT1656" s="5" t="s">
        <v>2039</v>
      </c>
      <c r="DU1656" s="5" t="s">
        <v>396</v>
      </c>
      <c r="HM1656" s="5" t="s">
        <v>264</v>
      </c>
    </row>
    <row r="1657" spans="1:221" x14ac:dyDescent="0.4">
      <c r="A1657" s="5">
        <v>3332</v>
      </c>
      <c r="B1657" s="5">
        <v>1</v>
      </c>
      <c r="C1657" s="5">
        <v>1</v>
      </c>
      <c r="D1657" s="5" t="s">
        <v>2037</v>
      </c>
      <c r="E1657" s="5" t="s">
        <v>271</v>
      </c>
      <c r="F1657" s="5" t="s">
        <v>248</v>
      </c>
      <c r="G1657" s="5" t="s">
        <v>1969</v>
      </c>
      <c r="H1657" s="6" t="s">
        <v>3519</v>
      </c>
      <c r="I1657" s="7">
        <f>258</f>
        <v>258</v>
      </c>
      <c r="J1657" s="5" t="s">
        <v>262</v>
      </c>
      <c r="K1657" s="8">
        <f>1</f>
        <v>1</v>
      </c>
      <c r="L1657" s="6" t="s">
        <v>242</v>
      </c>
      <c r="M1657" s="5" t="s">
        <v>267</v>
      </c>
      <c r="N1657" s="5" t="s">
        <v>265</v>
      </c>
      <c r="O1657" s="5" t="s">
        <v>238</v>
      </c>
      <c r="P1657" s="5" t="s">
        <v>238</v>
      </c>
      <c r="Q1657" s="5" t="s">
        <v>268</v>
      </c>
      <c r="R1657" s="5" t="s">
        <v>270</v>
      </c>
      <c r="S1657" s="5" t="s">
        <v>238</v>
      </c>
      <c r="V1657" s="5" t="s">
        <v>238</v>
      </c>
      <c r="X1657" s="6" t="s">
        <v>238</v>
      </c>
      <c r="AA1657" s="6" t="s">
        <v>243</v>
      </c>
      <c r="AB1657" s="5" t="s">
        <v>238</v>
      </c>
      <c r="AC1657" s="5" t="s">
        <v>244</v>
      </c>
      <c r="AD1657" s="5" t="s">
        <v>245</v>
      </c>
      <c r="AT1657" s="5" t="s">
        <v>246</v>
      </c>
      <c r="AU1657" s="5" t="s">
        <v>238</v>
      </c>
      <c r="AV1657" s="5" t="s">
        <v>247</v>
      </c>
      <c r="AW1657" s="5" t="s">
        <v>238</v>
      </c>
      <c r="AX1657" s="5" t="s">
        <v>249</v>
      </c>
      <c r="AY1657" s="5" t="s">
        <v>238</v>
      </c>
      <c r="BA1657" s="5" t="s">
        <v>238</v>
      </c>
      <c r="BC1657" s="5" t="s">
        <v>250</v>
      </c>
      <c r="BD1657" s="6" t="s">
        <v>243</v>
      </c>
      <c r="BE1657" s="5" t="s">
        <v>251</v>
      </c>
      <c r="BF1657" s="5" t="s">
        <v>252</v>
      </c>
      <c r="BG1657" s="5" t="s">
        <v>238</v>
      </c>
      <c r="BH1657" s="7">
        <f>0</f>
        <v>0</v>
      </c>
      <c r="BI1657" s="8">
        <f>0</f>
        <v>0</v>
      </c>
      <c r="BJ1657" s="5" t="s">
        <v>253</v>
      </c>
      <c r="BK1657" s="5" t="s">
        <v>254</v>
      </c>
      <c r="BY1657" s="5" t="s">
        <v>238</v>
      </c>
      <c r="BZ1657" s="5" t="s">
        <v>238</v>
      </c>
      <c r="CD1657" s="5" t="s">
        <v>273</v>
      </c>
      <c r="CE1657" s="5" t="s">
        <v>256</v>
      </c>
      <c r="CF1657" s="5" t="s">
        <v>238</v>
      </c>
      <c r="CI1657" s="6" t="s">
        <v>257</v>
      </c>
      <c r="CJ1657" s="5" t="s">
        <v>238</v>
      </c>
      <c r="CK1657" s="5" t="s">
        <v>258</v>
      </c>
      <c r="CL1657" s="5" t="s">
        <v>238</v>
      </c>
      <c r="CM1657" s="5" t="s">
        <v>238</v>
      </c>
      <c r="CN1657" s="5">
        <v>0</v>
      </c>
      <c r="CO1657" s="5" t="s">
        <v>259</v>
      </c>
      <c r="CP1657" s="5" t="s">
        <v>260</v>
      </c>
      <c r="CQ1657" s="5" t="s">
        <v>260</v>
      </c>
      <c r="CR1657" s="5" t="s">
        <v>261</v>
      </c>
      <c r="CU1657" s="8">
        <f>1</f>
        <v>1</v>
      </c>
      <c r="CV1657" s="8">
        <f>0</f>
        <v>0</v>
      </c>
      <c r="CX1657" s="8">
        <f>0</f>
        <v>0</v>
      </c>
      <c r="CY1657" s="8">
        <f>1</f>
        <v>1</v>
      </c>
      <c r="DA1657" s="5" t="s">
        <v>673</v>
      </c>
      <c r="DB1657" s="5" t="s">
        <v>238</v>
      </c>
      <c r="DD1657" s="5" t="s">
        <v>673</v>
      </c>
      <c r="DE1657" s="8">
        <f>258</f>
        <v>258</v>
      </c>
      <c r="DG1657" s="5" t="s">
        <v>238</v>
      </c>
      <c r="DH1657" s="5" t="s">
        <v>238</v>
      </c>
      <c r="DI1657" s="5" t="s">
        <v>238</v>
      </c>
      <c r="DJ1657" s="5" t="s">
        <v>238</v>
      </c>
      <c r="DN1657" s="5" t="s">
        <v>238</v>
      </c>
      <c r="DO1657" s="5" t="s">
        <v>238</v>
      </c>
      <c r="DP1657" s="5" t="s">
        <v>238</v>
      </c>
      <c r="DQ1657" s="5" t="s">
        <v>238</v>
      </c>
      <c r="DT1657" s="5" t="s">
        <v>2039</v>
      </c>
      <c r="DU1657" s="5" t="s">
        <v>400</v>
      </c>
      <c r="HM1657" s="5" t="s">
        <v>264</v>
      </c>
    </row>
    <row r="1658" spans="1:221" x14ac:dyDescent="0.4">
      <c r="A1658" s="5">
        <v>3333</v>
      </c>
      <c r="B1658" s="5">
        <v>1</v>
      </c>
      <c r="C1658" s="5">
        <v>1</v>
      </c>
      <c r="D1658" s="5" t="s">
        <v>2037</v>
      </c>
      <c r="E1658" s="5" t="s">
        <v>271</v>
      </c>
      <c r="F1658" s="5" t="s">
        <v>248</v>
      </c>
      <c r="G1658" s="5" t="s">
        <v>1969</v>
      </c>
      <c r="H1658" s="6" t="s">
        <v>3659</v>
      </c>
      <c r="I1658" s="7">
        <f>2009</f>
        <v>2009</v>
      </c>
      <c r="J1658" s="5" t="s">
        <v>262</v>
      </c>
      <c r="K1658" s="8">
        <f>1</f>
        <v>1</v>
      </c>
      <c r="L1658" s="6" t="s">
        <v>242</v>
      </c>
      <c r="M1658" s="5" t="s">
        <v>267</v>
      </c>
      <c r="N1658" s="5" t="s">
        <v>265</v>
      </c>
      <c r="O1658" s="5" t="s">
        <v>238</v>
      </c>
      <c r="P1658" s="5" t="s">
        <v>238</v>
      </c>
      <c r="Q1658" s="5" t="s">
        <v>268</v>
      </c>
      <c r="R1658" s="5" t="s">
        <v>270</v>
      </c>
      <c r="S1658" s="5" t="s">
        <v>238</v>
      </c>
      <c r="V1658" s="5" t="s">
        <v>238</v>
      </c>
      <c r="X1658" s="6" t="s">
        <v>238</v>
      </c>
      <c r="AA1658" s="6" t="s">
        <v>243</v>
      </c>
      <c r="AB1658" s="5" t="s">
        <v>238</v>
      </c>
      <c r="AC1658" s="5" t="s">
        <v>244</v>
      </c>
      <c r="AD1658" s="5" t="s">
        <v>245</v>
      </c>
      <c r="AT1658" s="5" t="s">
        <v>246</v>
      </c>
      <c r="AU1658" s="5" t="s">
        <v>238</v>
      </c>
      <c r="AV1658" s="5" t="s">
        <v>247</v>
      </c>
      <c r="AW1658" s="5" t="s">
        <v>238</v>
      </c>
      <c r="AX1658" s="5" t="s">
        <v>249</v>
      </c>
      <c r="AY1658" s="5" t="s">
        <v>238</v>
      </c>
      <c r="BA1658" s="5" t="s">
        <v>238</v>
      </c>
      <c r="BC1658" s="5" t="s">
        <v>250</v>
      </c>
      <c r="BD1658" s="6" t="s">
        <v>243</v>
      </c>
      <c r="BE1658" s="5" t="s">
        <v>251</v>
      </c>
      <c r="BF1658" s="5" t="s">
        <v>252</v>
      </c>
      <c r="BG1658" s="5" t="s">
        <v>238</v>
      </c>
      <c r="BH1658" s="7">
        <f>0</f>
        <v>0</v>
      </c>
      <c r="BI1658" s="8">
        <f>0</f>
        <v>0</v>
      </c>
      <c r="BJ1658" s="5" t="s">
        <v>253</v>
      </c>
      <c r="BK1658" s="5" t="s">
        <v>254</v>
      </c>
      <c r="BY1658" s="5" t="s">
        <v>238</v>
      </c>
      <c r="BZ1658" s="5" t="s">
        <v>238</v>
      </c>
      <c r="CD1658" s="5" t="s">
        <v>273</v>
      </c>
      <c r="CE1658" s="5" t="s">
        <v>256</v>
      </c>
      <c r="CF1658" s="5" t="s">
        <v>238</v>
      </c>
      <c r="CI1658" s="6" t="s">
        <v>257</v>
      </c>
      <c r="CJ1658" s="5" t="s">
        <v>238</v>
      </c>
      <c r="CK1658" s="5" t="s">
        <v>258</v>
      </c>
      <c r="CL1658" s="5" t="s">
        <v>238</v>
      </c>
      <c r="CM1658" s="5" t="s">
        <v>238</v>
      </c>
      <c r="CN1658" s="5">
        <v>0</v>
      </c>
      <c r="CO1658" s="5" t="s">
        <v>259</v>
      </c>
      <c r="CP1658" s="5" t="s">
        <v>260</v>
      </c>
      <c r="CQ1658" s="5" t="s">
        <v>260</v>
      </c>
      <c r="CR1658" s="5" t="s">
        <v>261</v>
      </c>
      <c r="CU1658" s="8">
        <f>1</f>
        <v>1</v>
      </c>
      <c r="CV1658" s="8">
        <f>0</f>
        <v>0</v>
      </c>
      <c r="CX1658" s="8">
        <f>0</f>
        <v>0</v>
      </c>
      <c r="CY1658" s="8">
        <f>1</f>
        <v>1</v>
      </c>
      <c r="DA1658" s="5" t="s">
        <v>673</v>
      </c>
      <c r="DB1658" s="5" t="s">
        <v>238</v>
      </c>
      <c r="DD1658" s="5" t="s">
        <v>673</v>
      </c>
      <c r="DE1658" s="8">
        <f>2009</f>
        <v>2009</v>
      </c>
      <c r="DG1658" s="5" t="s">
        <v>238</v>
      </c>
      <c r="DH1658" s="5" t="s">
        <v>238</v>
      </c>
      <c r="DI1658" s="5" t="s">
        <v>238</v>
      </c>
      <c r="DJ1658" s="5" t="s">
        <v>238</v>
      </c>
      <c r="DN1658" s="5" t="s">
        <v>238</v>
      </c>
      <c r="DO1658" s="5" t="s">
        <v>238</v>
      </c>
      <c r="DP1658" s="5" t="s">
        <v>238</v>
      </c>
      <c r="DQ1658" s="5" t="s">
        <v>238</v>
      </c>
      <c r="DT1658" s="5" t="s">
        <v>2039</v>
      </c>
      <c r="DU1658" s="5" t="s">
        <v>404</v>
      </c>
      <c r="HM1658" s="5" t="s">
        <v>264</v>
      </c>
    </row>
    <row r="1659" spans="1:221" x14ac:dyDescent="0.4">
      <c r="A1659" s="5">
        <v>3334</v>
      </c>
      <c r="B1659" s="5">
        <v>1</v>
      </c>
      <c r="C1659" s="5">
        <v>1</v>
      </c>
      <c r="D1659" s="5" t="s">
        <v>2037</v>
      </c>
      <c r="E1659" s="5" t="s">
        <v>271</v>
      </c>
      <c r="F1659" s="5" t="s">
        <v>248</v>
      </c>
      <c r="G1659" s="5" t="s">
        <v>1969</v>
      </c>
      <c r="H1659" s="6" t="s">
        <v>3462</v>
      </c>
      <c r="I1659" s="7">
        <f>902</f>
        <v>902</v>
      </c>
      <c r="J1659" s="5" t="s">
        <v>262</v>
      </c>
      <c r="K1659" s="8">
        <f>1</f>
        <v>1</v>
      </c>
      <c r="L1659" s="6" t="s">
        <v>242</v>
      </c>
      <c r="M1659" s="5" t="s">
        <v>267</v>
      </c>
      <c r="N1659" s="5" t="s">
        <v>265</v>
      </c>
      <c r="O1659" s="5" t="s">
        <v>238</v>
      </c>
      <c r="P1659" s="5" t="s">
        <v>238</v>
      </c>
      <c r="Q1659" s="5" t="s">
        <v>268</v>
      </c>
      <c r="R1659" s="5" t="s">
        <v>270</v>
      </c>
      <c r="S1659" s="5" t="s">
        <v>238</v>
      </c>
      <c r="V1659" s="5" t="s">
        <v>238</v>
      </c>
      <c r="X1659" s="6" t="s">
        <v>238</v>
      </c>
      <c r="AA1659" s="6" t="s">
        <v>243</v>
      </c>
      <c r="AB1659" s="5" t="s">
        <v>238</v>
      </c>
      <c r="AC1659" s="5" t="s">
        <v>244</v>
      </c>
      <c r="AD1659" s="5" t="s">
        <v>245</v>
      </c>
      <c r="AT1659" s="5" t="s">
        <v>246</v>
      </c>
      <c r="AU1659" s="5" t="s">
        <v>238</v>
      </c>
      <c r="AV1659" s="5" t="s">
        <v>247</v>
      </c>
      <c r="AW1659" s="5" t="s">
        <v>238</v>
      </c>
      <c r="AX1659" s="5" t="s">
        <v>249</v>
      </c>
      <c r="AY1659" s="5" t="s">
        <v>238</v>
      </c>
      <c r="BA1659" s="5" t="s">
        <v>238</v>
      </c>
      <c r="BC1659" s="5" t="s">
        <v>250</v>
      </c>
      <c r="BD1659" s="6" t="s">
        <v>243</v>
      </c>
      <c r="BE1659" s="5" t="s">
        <v>251</v>
      </c>
      <c r="BF1659" s="5" t="s">
        <v>252</v>
      </c>
      <c r="BG1659" s="5" t="s">
        <v>238</v>
      </c>
      <c r="BH1659" s="7">
        <f>0</f>
        <v>0</v>
      </c>
      <c r="BI1659" s="8">
        <f>0</f>
        <v>0</v>
      </c>
      <c r="BJ1659" s="5" t="s">
        <v>253</v>
      </c>
      <c r="BK1659" s="5" t="s">
        <v>254</v>
      </c>
      <c r="BY1659" s="5" t="s">
        <v>238</v>
      </c>
      <c r="BZ1659" s="5" t="s">
        <v>238</v>
      </c>
      <c r="CD1659" s="5" t="s">
        <v>273</v>
      </c>
      <c r="CE1659" s="5" t="s">
        <v>256</v>
      </c>
      <c r="CF1659" s="5" t="s">
        <v>238</v>
      </c>
      <c r="CI1659" s="6" t="s">
        <v>257</v>
      </c>
      <c r="CJ1659" s="5" t="s">
        <v>238</v>
      </c>
      <c r="CK1659" s="5" t="s">
        <v>258</v>
      </c>
      <c r="CL1659" s="5" t="s">
        <v>238</v>
      </c>
      <c r="CM1659" s="5" t="s">
        <v>238</v>
      </c>
      <c r="CN1659" s="5">
        <v>0</v>
      </c>
      <c r="CO1659" s="5" t="s">
        <v>259</v>
      </c>
      <c r="CP1659" s="5" t="s">
        <v>260</v>
      </c>
      <c r="CQ1659" s="5" t="s">
        <v>260</v>
      </c>
      <c r="CR1659" s="5" t="s">
        <v>261</v>
      </c>
      <c r="CU1659" s="8">
        <f>1</f>
        <v>1</v>
      </c>
      <c r="CV1659" s="8">
        <f>0</f>
        <v>0</v>
      </c>
      <c r="CX1659" s="8">
        <f>0</f>
        <v>0</v>
      </c>
      <c r="CY1659" s="8">
        <f>1</f>
        <v>1</v>
      </c>
      <c r="DA1659" s="5" t="s">
        <v>673</v>
      </c>
      <c r="DB1659" s="5" t="s">
        <v>238</v>
      </c>
      <c r="DD1659" s="5" t="s">
        <v>673</v>
      </c>
      <c r="DE1659" s="8">
        <f>902</f>
        <v>902</v>
      </c>
      <c r="DG1659" s="5" t="s">
        <v>238</v>
      </c>
      <c r="DH1659" s="5" t="s">
        <v>238</v>
      </c>
      <c r="DI1659" s="5" t="s">
        <v>238</v>
      </c>
      <c r="DJ1659" s="5" t="s">
        <v>238</v>
      </c>
      <c r="DN1659" s="5" t="s">
        <v>238</v>
      </c>
      <c r="DO1659" s="5" t="s">
        <v>238</v>
      </c>
      <c r="DP1659" s="5" t="s">
        <v>238</v>
      </c>
      <c r="DQ1659" s="5" t="s">
        <v>238</v>
      </c>
      <c r="DT1659" s="5" t="s">
        <v>2039</v>
      </c>
      <c r="DU1659" s="5" t="s">
        <v>412</v>
      </c>
      <c r="HM1659" s="5" t="s">
        <v>264</v>
      </c>
    </row>
    <row r="1660" spans="1:221" x14ac:dyDescent="0.4">
      <c r="A1660" s="5">
        <v>3335</v>
      </c>
      <c r="B1660" s="5">
        <v>1</v>
      </c>
      <c r="C1660" s="5">
        <v>1</v>
      </c>
      <c r="D1660" s="5" t="s">
        <v>2037</v>
      </c>
      <c r="E1660" s="5" t="s">
        <v>271</v>
      </c>
      <c r="F1660" s="5" t="s">
        <v>248</v>
      </c>
      <c r="G1660" s="5" t="s">
        <v>1969</v>
      </c>
      <c r="H1660" s="6" t="s">
        <v>3257</v>
      </c>
      <c r="I1660" s="7">
        <f>1451</f>
        <v>1451</v>
      </c>
      <c r="J1660" s="5" t="s">
        <v>262</v>
      </c>
      <c r="K1660" s="8">
        <f>1</f>
        <v>1</v>
      </c>
      <c r="L1660" s="6" t="s">
        <v>242</v>
      </c>
      <c r="M1660" s="5" t="s">
        <v>267</v>
      </c>
      <c r="N1660" s="5" t="s">
        <v>265</v>
      </c>
      <c r="O1660" s="5" t="s">
        <v>238</v>
      </c>
      <c r="P1660" s="5" t="s">
        <v>238</v>
      </c>
      <c r="Q1660" s="5" t="s">
        <v>268</v>
      </c>
      <c r="R1660" s="5" t="s">
        <v>270</v>
      </c>
      <c r="S1660" s="5" t="s">
        <v>238</v>
      </c>
      <c r="V1660" s="5" t="s">
        <v>238</v>
      </c>
      <c r="X1660" s="6" t="s">
        <v>238</v>
      </c>
      <c r="AA1660" s="6" t="s">
        <v>243</v>
      </c>
      <c r="AB1660" s="5" t="s">
        <v>238</v>
      </c>
      <c r="AC1660" s="5" t="s">
        <v>244</v>
      </c>
      <c r="AD1660" s="5" t="s">
        <v>245</v>
      </c>
      <c r="AT1660" s="5" t="s">
        <v>246</v>
      </c>
      <c r="AU1660" s="5" t="s">
        <v>238</v>
      </c>
      <c r="AV1660" s="5" t="s">
        <v>247</v>
      </c>
      <c r="AW1660" s="5" t="s">
        <v>238</v>
      </c>
      <c r="AX1660" s="5" t="s">
        <v>249</v>
      </c>
      <c r="AY1660" s="5" t="s">
        <v>238</v>
      </c>
      <c r="BA1660" s="5" t="s">
        <v>238</v>
      </c>
      <c r="BC1660" s="5" t="s">
        <v>250</v>
      </c>
      <c r="BD1660" s="6" t="s">
        <v>243</v>
      </c>
      <c r="BE1660" s="5" t="s">
        <v>251</v>
      </c>
      <c r="BF1660" s="5" t="s">
        <v>252</v>
      </c>
      <c r="BG1660" s="5" t="s">
        <v>238</v>
      </c>
      <c r="BH1660" s="7">
        <f>0</f>
        <v>0</v>
      </c>
      <c r="BI1660" s="8">
        <f>0</f>
        <v>0</v>
      </c>
      <c r="BJ1660" s="5" t="s">
        <v>253</v>
      </c>
      <c r="BK1660" s="5" t="s">
        <v>254</v>
      </c>
      <c r="BY1660" s="5" t="s">
        <v>238</v>
      </c>
      <c r="BZ1660" s="5" t="s">
        <v>238</v>
      </c>
      <c r="CD1660" s="5" t="s">
        <v>273</v>
      </c>
      <c r="CE1660" s="5" t="s">
        <v>256</v>
      </c>
      <c r="CF1660" s="5" t="s">
        <v>238</v>
      </c>
      <c r="CI1660" s="6" t="s">
        <v>257</v>
      </c>
      <c r="CJ1660" s="5" t="s">
        <v>238</v>
      </c>
      <c r="CK1660" s="5" t="s">
        <v>258</v>
      </c>
      <c r="CL1660" s="5" t="s">
        <v>238</v>
      </c>
      <c r="CM1660" s="5" t="s">
        <v>238</v>
      </c>
      <c r="CN1660" s="5">
        <v>0</v>
      </c>
      <c r="CO1660" s="5" t="s">
        <v>259</v>
      </c>
      <c r="CP1660" s="5" t="s">
        <v>260</v>
      </c>
      <c r="CQ1660" s="5" t="s">
        <v>260</v>
      </c>
      <c r="CR1660" s="5" t="s">
        <v>261</v>
      </c>
      <c r="CU1660" s="8">
        <f>1</f>
        <v>1</v>
      </c>
      <c r="CV1660" s="8">
        <f>0</f>
        <v>0</v>
      </c>
      <c r="CX1660" s="8">
        <f>0</f>
        <v>0</v>
      </c>
      <c r="CY1660" s="8">
        <f>1</f>
        <v>1</v>
      </c>
      <c r="DA1660" s="5" t="s">
        <v>673</v>
      </c>
      <c r="DB1660" s="5" t="s">
        <v>238</v>
      </c>
      <c r="DD1660" s="5" t="s">
        <v>673</v>
      </c>
      <c r="DE1660" s="8">
        <f>1451</f>
        <v>1451</v>
      </c>
      <c r="DG1660" s="5" t="s">
        <v>238</v>
      </c>
      <c r="DH1660" s="5" t="s">
        <v>238</v>
      </c>
      <c r="DI1660" s="5" t="s">
        <v>238</v>
      </c>
      <c r="DJ1660" s="5" t="s">
        <v>238</v>
      </c>
      <c r="DN1660" s="5" t="s">
        <v>238</v>
      </c>
      <c r="DO1660" s="5" t="s">
        <v>238</v>
      </c>
      <c r="DP1660" s="5" t="s">
        <v>238</v>
      </c>
      <c r="DQ1660" s="5" t="s">
        <v>238</v>
      </c>
      <c r="DT1660" s="5" t="s">
        <v>2039</v>
      </c>
      <c r="DU1660" s="5" t="s">
        <v>416</v>
      </c>
      <c r="HM1660" s="5" t="s">
        <v>264</v>
      </c>
    </row>
    <row r="1661" spans="1:221" x14ac:dyDescent="0.4">
      <c r="A1661" s="5">
        <v>3336</v>
      </c>
      <c r="B1661" s="5">
        <v>1</v>
      </c>
      <c r="C1661" s="5">
        <v>1</v>
      </c>
      <c r="D1661" s="5" t="s">
        <v>2037</v>
      </c>
      <c r="E1661" s="5" t="s">
        <v>271</v>
      </c>
      <c r="F1661" s="5" t="s">
        <v>248</v>
      </c>
      <c r="G1661" s="5" t="s">
        <v>1969</v>
      </c>
      <c r="H1661" s="6" t="s">
        <v>3279</v>
      </c>
      <c r="I1661" s="7">
        <f>1096</f>
        <v>1096</v>
      </c>
      <c r="J1661" s="5" t="s">
        <v>262</v>
      </c>
      <c r="K1661" s="8">
        <f>1</f>
        <v>1</v>
      </c>
      <c r="L1661" s="6" t="s">
        <v>242</v>
      </c>
      <c r="M1661" s="5" t="s">
        <v>267</v>
      </c>
      <c r="N1661" s="5" t="s">
        <v>265</v>
      </c>
      <c r="O1661" s="5" t="s">
        <v>238</v>
      </c>
      <c r="P1661" s="5" t="s">
        <v>238</v>
      </c>
      <c r="Q1661" s="5" t="s">
        <v>268</v>
      </c>
      <c r="R1661" s="5" t="s">
        <v>270</v>
      </c>
      <c r="S1661" s="5" t="s">
        <v>238</v>
      </c>
      <c r="V1661" s="5" t="s">
        <v>238</v>
      </c>
      <c r="X1661" s="6" t="s">
        <v>238</v>
      </c>
      <c r="AA1661" s="6" t="s">
        <v>243</v>
      </c>
      <c r="AB1661" s="5" t="s">
        <v>238</v>
      </c>
      <c r="AC1661" s="5" t="s">
        <v>244</v>
      </c>
      <c r="AD1661" s="5" t="s">
        <v>245</v>
      </c>
      <c r="AT1661" s="5" t="s">
        <v>246</v>
      </c>
      <c r="AU1661" s="5" t="s">
        <v>238</v>
      </c>
      <c r="AV1661" s="5" t="s">
        <v>247</v>
      </c>
      <c r="AW1661" s="5" t="s">
        <v>238</v>
      </c>
      <c r="AX1661" s="5" t="s">
        <v>249</v>
      </c>
      <c r="AY1661" s="5" t="s">
        <v>238</v>
      </c>
      <c r="BA1661" s="5" t="s">
        <v>238</v>
      </c>
      <c r="BC1661" s="5" t="s">
        <v>250</v>
      </c>
      <c r="BD1661" s="6" t="s">
        <v>243</v>
      </c>
      <c r="BE1661" s="5" t="s">
        <v>251</v>
      </c>
      <c r="BF1661" s="5" t="s">
        <v>252</v>
      </c>
      <c r="BG1661" s="5" t="s">
        <v>238</v>
      </c>
      <c r="BH1661" s="7">
        <f>0</f>
        <v>0</v>
      </c>
      <c r="BI1661" s="8">
        <f>0</f>
        <v>0</v>
      </c>
      <c r="BJ1661" s="5" t="s">
        <v>253</v>
      </c>
      <c r="BK1661" s="5" t="s">
        <v>254</v>
      </c>
      <c r="BY1661" s="5" t="s">
        <v>238</v>
      </c>
      <c r="BZ1661" s="5" t="s">
        <v>238</v>
      </c>
      <c r="CD1661" s="5" t="s">
        <v>273</v>
      </c>
      <c r="CE1661" s="5" t="s">
        <v>256</v>
      </c>
      <c r="CF1661" s="5" t="s">
        <v>238</v>
      </c>
      <c r="CI1661" s="6" t="s">
        <v>257</v>
      </c>
      <c r="CJ1661" s="5" t="s">
        <v>238</v>
      </c>
      <c r="CK1661" s="5" t="s">
        <v>258</v>
      </c>
      <c r="CL1661" s="5" t="s">
        <v>238</v>
      </c>
      <c r="CM1661" s="5" t="s">
        <v>238</v>
      </c>
      <c r="CN1661" s="5">
        <v>0</v>
      </c>
      <c r="CO1661" s="5" t="s">
        <v>259</v>
      </c>
      <c r="CP1661" s="5" t="s">
        <v>260</v>
      </c>
      <c r="CQ1661" s="5" t="s">
        <v>260</v>
      </c>
      <c r="CR1661" s="5" t="s">
        <v>261</v>
      </c>
      <c r="CU1661" s="8">
        <f>1</f>
        <v>1</v>
      </c>
      <c r="CV1661" s="8">
        <f>0</f>
        <v>0</v>
      </c>
      <c r="CX1661" s="8">
        <f>0</f>
        <v>0</v>
      </c>
      <c r="CY1661" s="8">
        <f>1</f>
        <v>1</v>
      </c>
      <c r="DA1661" s="5" t="s">
        <v>673</v>
      </c>
      <c r="DB1661" s="5" t="s">
        <v>238</v>
      </c>
      <c r="DD1661" s="5" t="s">
        <v>673</v>
      </c>
      <c r="DE1661" s="8">
        <f>1096</f>
        <v>1096</v>
      </c>
      <c r="DG1661" s="5" t="s">
        <v>238</v>
      </c>
      <c r="DH1661" s="5" t="s">
        <v>238</v>
      </c>
      <c r="DI1661" s="5" t="s">
        <v>238</v>
      </c>
      <c r="DJ1661" s="5" t="s">
        <v>238</v>
      </c>
      <c r="DN1661" s="5" t="s">
        <v>238</v>
      </c>
      <c r="DO1661" s="5" t="s">
        <v>238</v>
      </c>
      <c r="DP1661" s="5" t="s">
        <v>238</v>
      </c>
      <c r="DQ1661" s="5" t="s">
        <v>238</v>
      </c>
      <c r="DT1661" s="5" t="s">
        <v>2039</v>
      </c>
      <c r="DU1661" s="5" t="s">
        <v>424</v>
      </c>
      <c r="HM1661" s="5" t="s">
        <v>264</v>
      </c>
    </row>
    <row r="1662" spans="1:221" x14ac:dyDescent="0.4">
      <c r="A1662" s="5">
        <v>3337</v>
      </c>
      <c r="B1662" s="5">
        <v>1</v>
      </c>
      <c r="C1662" s="5">
        <v>1</v>
      </c>
      <c r="D1662" s="5" t="s">
        <v>2037</v>
      </c>
      <c r="E1662" s="5" t="s">
        <v>271</v>
      </c>
      <c r="F1662" s="5" t="s">
        <v>248</v>
      </c>
      <c r="G1662" s="5" t="s">
        <v>1969</v>
      </c>
      <c r="H1662" s="6" t="s">
        <v>3497</v>
      </c>
      <c r="I1662" s="7">
        <f>114</f>
        <v>114</v>
      </c>
      <c r="J1662" s="5" t="s">
        <v>262</v>
      </c>
      <c r="K1662" s="8">
        <f>1</f>
        <v>1</v>
      </c>
      <c r="L1662" s="6" t="s">
        <v>242</v>
      </c>
      <c r="M1662" s="5" t="s">
        <v>267</v>
      </c>
      <c r="N1662" s="5" t="s">
        <v>265</v>
      </c>
      <c r="O1662" s="5" t="s">
        <v>238</v>
      </c>
      <c r="P1662" s="5" t="s">
        <v>238</v>
      </c>
      <c r="Q1662" s="5" t="s">
        <v>268</v>
      </c>
      <c r="R1662" s="5" t="s">
        <v>270</v>
      </c>
      <c r="S1662" s="5" t="s">
        <v>238</v>
      </c>
      <c r="V1662" s="5" t="s">
        <v>238</v>
      </c>
      <c r="X1662" s="6" t="s">
        <v>238</v>
      </c>
      <c r="AA1662" s="6" t="s">
        <v>243</v>
      </c>
      <c r="AB1662" s="5" t="s">
        <v>238</v>
      </c>
      <c r="AC1662" s="5" t="s">
        <v>244</v>
      </c>
      <c r="AD1662" s="5" t="s">
        <v>245</v>
      </c>
      <c r="AT1662" s="5" t="s">
        <v>246</v>
      </c>
      <c r="AU1662" s="5" t="s">
        <v>238</v>
      </c>
      <c r="AV1662" s="5" t="s">
        <v>247</v>
      </c>
      <c r="AW1662" s="5" t="s">
        <v>238</v>
      </c>
      <c r="AX1662" s="5" t="s">
        <v>249</v>
      </c>
      <c r="AY1662" s="5" t="s">
        <v>238</v>
      </c>
      <c r="BA1662" s="5" t="s">
        <v>238</v>
      </c>
      <c r="BC1662" s="5" t="s">
        <v>250</v>
      </c>
      <c r="BD1662" s="6" t="s">
        <v>243</v>
      </c>
      <c r="BE1662" s="5" t="s">
        <v>251</v>
      </c>
      <c r="BF1662" s="5" t="s">
        <v>252</v>
      </c>
      <c r="BG1662" s="5" t="s">
        <v>238</v>
      </c>
      <c r="BH1662" s="7">
        <f>0</f>
        <v>0</v>
      </c>
      <c r="BI1662" s="8">
        <f>0</f>
        <v>0</v>
      </c>
      <c r="BJ1662" s="5" t="s">
        <v>253</v>
      </c>
      <c r="BK1662" s="5" t="s">
        <v>254</v>
      </c>
      <c r="BY1662" s="5" t="s">
        <v>238</v>
      </c>
      <c r="BZ1662" s="5" t="s">
        <v>238</v>
      </c>
      <c r="CD1662" s="5" t="s">
        <v>273</v>
      </c>
      <c r="CE1662" s="5" t="s">
        <v>256</v>
      </c>
      <c r="CF1662" s="5" t="s">
        <v>238</v>
      </c>
      <c r="CI1662" s="6" t="s">
        <v>257</v>
      </c>
      <c r="CJ1662" s="5" t="s">
        <v>238</v>
      </c>
      <c r="CK1662" s="5" t="s">
        <v>258</v>
      </c>
      <c r="CL1662" s="5" t="s">
        <v>238</v>
      </c>
      <c r="CM1662" s="5" t="s">
        <v>238</v>
      </c>
      <c r="CN1662" s="5">
        <v>0</v>
      </c>
      <c r="CO1662" s="5" t="s">
        <v>259</v>
      </c>
      <c r="CP1662" s="5" t="s">
        <v>260</v>
      </c>
      <c r="CQ1662" s="5" t="s">
        <v>260</v>
      </c>
      <c r="CR1662" s="5" t="s">
        <v>261</v>
      </c>
      <c r="CU1662" s="8">
        <f>1</f>
        <v>1</v>
      </c>
      <c r="CV1662" s="8">
        <f>0</f>
        <v>0</v>
      </c>
      <c r="CX1662" s="8">
        <f>0</f>
        <v>0</v>
      </c>
      <c r="CY1662" s="8">
        <f>1</f>
        <v>1</v>
      </c>
      <c r="DA1662" s="5" t="s">
        <v>673</v>
      </c>
      <c r="DB1662" s="5" t="s">
        <v>238</v>
      </c>
      <c r="DD1662" s="5" t="s">
        <v>673</v>
      </c>
      <c r="DE1662" s="8">
        <f>114</f>
        <v>114</v>
      </c>
      <c r="DG1662" s="5" t="s">
        <v>238</v>
      </c>
      <c r="DH1662" s="5" t="s">
        <v>238</v>
      </c>
      <c r="DI1662" s="5" t="s">
        <v>238</v>
      </c>
      <c r="DJ1662" s="5" t="s">
        <v>238</v>
      </c>
      <c r="DN1662" s="5" t="s">
        <v>238</v>
      </c>
      <c r="DO1662" s="5" t="s">
        <v>238</v>
      </c>
      <c r="DP1662" s="5" t="s">
        <v>238</v>
      </c>
      <c r="DQ1662" s="5" t="s">
        <v>238</v>
      </c>
      <c r="DT1662" s="5" t="s">
        <v>2039</v>
      </c>
      <c r="DU1662" s="5" t="s">
        <v>428</v>
      </c>
      <c r="HM1662" s="5" t="s">
        <v>264</v>
      </c>
    </row>
    <row r="1663" spans="1:221" x14ac:dyDescent="0.4">
      <c r="A1663" s="5">
        <v>3338</v>
      </c>
      <c r="B1663" s="5">
        <v>1</v>
      </c>
      <c r="C1663" s="5">
        <v>1</v>
      </c>
      <c r="D1663" s="5" t="s">
        <v>2037</v>
      </c>
      <c r="E1663" s="5" t="s">
        <v>271</v>
      </c>
      <c r="F1663" s="5" t="s">
        <v>248</v>
      </c>
      <c r="G1663" s="5" t="s">
        <v>1969</v>
      </c>
      <c r="H1663" s="6" t="s">
        <v>3727</v>
      </c>
      <c r="I1663" s="7">
        <f>798</f>
        <v>798</v>
      </c>
      <c r="J1663" s="5" t="s">
        <v>262</v>
      </c>
      <c r="K1663" s="8">
        <f>1</f>
        <v>1</v>
      </c>
      <c r="L1663" s="6" t="s">
        <v>242</v>
      </c>
      <c r="M1663" s="5" t="s">
        <v>267</v>
      </c>
      <c r="N1663" s="5" t="s">
        <v>265</v>
      </c>
      <c r="O1663" s="5" t="s">
        <v>238</v>
      </c>
      <c r="P1663" s="5" t="s">
        <v>238</v>
      </c>
      <c r="Q1663" s="5" t="s">
        <v>268</v>
      </c>
      <c r="R1663" s="5" t="s">
        <v>270</v>
      </c>
      <c r="S1663" s="5" t="s">
        <v>238</v>
      </c>
      <c r="V1663" s="5" t="s">
        <v>238</v>
      </c>
      <c r="X1663" s="6" t="s">
        <v>238</v>
      </c>
      <c r="AA1663" s="6" t="s">
        <v>243</v>
      </c>
      <c r="AB1663" s="5" t="s">
        <v>238</v>
      </c>
      <c r="AC1663" s="5" t="s">
        <v>244</v>
      </c>
      <c r="AD1663" s="5" t="s">
        <v>245</v>
      </c>
      <c r="AT1663" s="5" t="s">
        <v>246</v>
      </c>
      <c r="AU1663" s="5" t="s">
        <v>238</v>
      </c>
      <c r="AV1663" s="5" t="s">
        <v>247</v>
      </c>
      <c r="AW1663" s="5" t="s">
        <v>238</v>
      </c>
      <c r="AX1663" s="5" t="s">
        <v>249</v>
      </c>
      <c r="AY1663" s="5" t="s">
        <v>238</v>
      </c>
      <c r="BA1663" s="5" t="s">
        <v>238</v>
      </c>
      <c r="BC1663" s="5" t="s">
        <v>250</v>
      </c>
      <c r="BD1663" s="6" t="s">
        <v>243</v>
      </c>
      <c r="BE1663" s="5" t="s">
        <v>251</v>
      </c>
      <c r="BF1663" s="5" t="s">
        <v>252</v>
      </c>
      <c r="BG1663" s="5" t="s">
        <v>238</v>
      </c>
      <c r="BH1663" s="7">
        <f>0</f>
        <v>0</v>
      </c>
      <c r="BI1663" s="8">
        <f>0</f>
        <v>0</v>
      </c>
      <c r="BJ1663" s="5" t="s">
        <v>253</v>
      </c>
      <c r="BK1663" s="5" t="s">
        <v>254</v>
      </c>
      <c r="BY1663" s="5" t="s">
        <v>238</v>
      </c>
      <c r="BZ1663" s="5" t="s">
        <v>238</v>
      </c>
      <c r="CD1663" s="5" t="s">
        <v>273</v>
      </c>
      <c r="CE1663" s="5" t="s">
        <v>256</v>
      </c>
      <c r="CF1663" s="5" t="s">
        <v>238</v>
      </c>
      <c r="CI1663" s="6" t="s">
        <v>257</v>
      </c>
      <c r="CJ1663" s="5" t="s">
        <v>238</v>
      </c>
      <c r="CK1663" s="5" t="s">
        <v>258</v>
      </c>
      <c r="CL1663" s="5" t="s">
        <v>238</v>
      </c>
      <c r="CM1663" s="5" t="s">
        <v>238</v>
      </c>
      <c r="CN1663" s="5">
        <v>0</v>
      </c>
      <c r="CO1663" s="5" t="s">
        <v>259</v>
      </c>
      <c r="CP1663" s="5" t="s">
        <v>260</v>
      </c>
      <c r="CQ1663" s="5" t="s">
        <v>260</v>
      </c>
      <c r="CR1663" s="5" t="s">
        <v>261</v>
      </c>
      <c r="CU1663" s="8">
        <f>1</f>
        <v>1</v>
      </c>
      <c r="CV1663" s="8">
        <f>0</f>
        <v>0</v>
      </c>
      <c r="CX1663" s="8">
        <f>0</f>
        <v>0</v>
      </c>
      <c r="CY1663" s="8">
        <f>1</f>
        <v>1</v>
      </c>
      <c r="DA1663" s="5" t="s">
        <v>673</v>
      </c>
      <c r="DB1663" s="5" t="s">
        <v>238</v>
      </c>
      <c r="DD1663" s="5" t="s">
        <v>673</v>
      </c>
      <c r="DE1663" s="8">
        <f>798</f>
        <v>798</v>
      </c>
      <c r="DG1663" s="5" t="s">
        <v>238</v>
      </c>
      <c r="DH1663" s="5" t="s">
        <v>238</v>
      </c>
      <c r="DI1663" s="5" t="s">
        <v>238</v>
      </c>
      <c r="DJ1663" s="5" t="s">
        <v>238</v>
      </c>
      <c r="DN1663" s="5" t="s">
        <v>238</v>
      </c>
      <c r="DO1663" s="5" t="s">
        <v>238</v>
      </c>
      <c r="DP1663" s="5" t="s">
        <v>238</v>
      </c>
      <c r="DQ1663" s="5" t="s">
        <v>238</v>
      </c>
      <c r="DT1663" s="5" t="s">
        <v>2039</v>
      </c>
      <c r="DU1663" s="5" t="s">
        <v>436</v>
      </c>
      <c r="HM1663" s="5" t="s">
        <v>264</v>
      </c>
    </row>
    <row r="1664" spans="1:221" x14ac:dyDescent="0.4">
      <c r="A1664" s="5">
        <v>3339</v>
      </c>
      <c r="B1664" s="5">
        <v>1</v>
      </c>
      <c r="C1664" s="5">
        <v>1</v>
      </c>
      <c r="D1664" s="5" t="s">
        <v>2037</v>
      </c>
      <c r="E1664" s="5" t="s">
        <v>271</v>
      </c>
      <c r="F1664" s="5" t="s">
        <v>248</v>
      </c>
      <c r="G1664" s="5" t="s">
        <v>1969</v>
      </c>
      <c r="H1664" s="6" t="s">
        <v>3725</v>
      </c>
      <c r="I1664" s="7">
        <f>2023</f>
        <v>2023</v>
      </c>
      <c r="J1664" s="5" t="s">
        <v>262</v>
      </c>
      <c r="K1664" s="8">
        <f>1</f>
        <v>1</v>
      </c>
      <c r="L1664" s="6" t="s">
        <v>242</v>
      </c>
      <c r="M1664" s="5" t="s">
        <v>267</v>
      </c>
      <c r="N1664" s="5" t="s">
        <v>265</v>
      </c>
      <c r="O1664" s="5" t="s">
        <v>238</v>
      </c>
      <c r="P1664" s="5" t="s">
        <v>238</v>
      </c>
      <c r="Q1664" s="5" t="s">
        <v>268</v>
      </c>
      <c r="R1664" s="5" t="s">
        <v>270</v>
      </c>
      <c r="S1664" s="5" t="s">
        <v>238</v>
      </c>
      <c r="V1664" s="5" t="s">
        <v>238</v>
      </c>
      <c r="X1664" s="6" t="s">
        <v>238</v>
      </c>
      <c r="AA1664" s="6" t="s">
        <v>243</v>
      </c>
      <c r="AB1664" s="5" t="s">
        <v>238</v>
      </c>
      <c r="AC1664" s="5" t="s">
        <v>244</v>
      </c>
      <c r="AD1664" s="5" t="s">
        <v>245</v>
      </c>
      <c r="AT1664" s="5" t="s">
        <v>246</v>
      </c>
      <c r="AU1664" s="5" t="s">
        <v>238</v>
      </c>
      <c r="AV1664" s="5" t="s">
        <v>247</v>
      </c>
      <c r="AW1664" s="5" t="s">
        <v>238</v>
      </c>
      <c r="AX1664" s="5" t="s">
        <v>249</v>
      </c>
      <c r="AY1664" s="5" t="s">
        <v>238</v>
      </c>
      <c r="BA1664" s="5" t="s">
        <v>238</v>
      </c>
      <c r="BC1664" s="5" t="s">
        <v>250</v>
      </c>
      <c r="BD1664" s="6" t="s">
        <v>243</v>
      </c>
      <c r="BE1664" s="5" t="s">
        <v>251</v>
      </c>
      <c r="BF1664" s="5" t="s">
        <v>252</v>
      </c>
      <c r="BG1664" s="5" t="s">
        <v>238</v>
      </c>
      <c r="BH1664" s="7">
        <f>0</f>
        <v>0</v>
      </c>
      <c r="BI1664" s="8">
        <f>0</f>
        <v>0</v>
      </c>
      <c r="BJ1664" s="5" t="s">
        <v>253</v>
      </c>
      <c r="BK1664" s="5" t="s">
        <v>254</v>
      </c>
      <c r="BY1664" s="5" t="s">
        <v>238</v>
      </c>
      <c r="BZ1664" s="5" t="s">
        <v>238</v>
      </c>
      <c r="CD1664" s="5" t="s">
        <v>273</v>
      </c>
      <c r="CE1664" s="5" t="s">
        <v>256</v>
      </c>
      <c r="CF1664" s="5" t="s">
        <v>238</v>
      </c>
      <c r="CI1664" s="6" t="s">
        <v>257</v>
      </c>
      <c r="CJ1664" s="5" t="s">
        <v>238</v>
      </c>
      <c r="CK1664" s="5" t="s">
        <v>258</v>
      </c>
      <c r="CL1664" s="5" t="s">
        <v>238</v>
      </c>
      <c r="CM1664" s="5" t="s">
        <v>238</v>
      </c>
      <c r="CN1664" s="5">
        <v>0</v>
      </c>
      <c r="CO1664" s="5" t="s">
        <v>259</v>
      </c>
      <c r="CP1664" s="5" t="s">
        <v>260</v>
      </c>
      <c r="CQ1664" s="5" t="s">
        <v>260</v>
      </c>
      <c r="CR1664" s="5" t="s">
        <v>261</v>
      </c>
      <c r="CU1664" s="8">
        <f>1</f>
        <v>1</v>
      </c>
      <c r="CV1664" s="8">
        <f>0</f>
        <v>0</v>
      </c>
      <c r="CX1664" s="8">
        <f>0</f>
        <v>0</v>
      </c>
      <c r="CY1664" s="8">
        <f>1</f>
        <v>1</v>
      </c>
      <c r="DA1664" s="5" t="s">
        <v>673</v>
      </c>
      <c r="DB1664" s="5" t="s">
        <v>238</v>
      </c>
      <c r="DD1664" s="5" t="s">
        <v>673</v>
      </c>
      <c r="DE1664" s="8">
        <f>2023</f>
        <v>2023</v>
      </c>
      <c r="DG1664" s="5" t="s">
        <v>238</v>
      </c>
      <c r="DH1664" s="5" t="s">
        <v>238</v>
      </c>
      <c r="DI1664" s="5" t="s">
        <v>238</v>
      </c>
      <c r="DJ1664" s="5" t="s">
        <v>238</v>
      </c>
      <c r="DN1664" s="5" t="s">
        <v>238</v>
      </c>
      <c r="DO1664" s="5" t="s">
        <v>238</v>
      </c>
      <c r="DP1664" s="5" t="s">
        <v>238</v>
      </c>
      <c r="DQ1664" s="5" t="s">
        <v>238</v>
      </c>
      <c r="DT1664" s="5" t="s">
        <v>2039</v>
      </c>
      <c r="DU1664" s="5" t="s">
        <v>448</v>
      </c>
      <c r="HM1664" s="5" t="s">
        <v>264</v>
      </c>
    </row>
    <row r="1665" spans="1:221" x14ac:dyDescent="0.4">
      <c r="A1665" s="5">
        <v>3340</v>
      </c>
      <c r="B1665" s="5">
        <v>1</v>
      </c>
      <c r="C1665" s="5">
        <v>1</v>
      </c>
      <c r="D1665" s="5" t="s">
        <v>2037</v>
      </c>
      <c r="E1665" s="5" t="s">
        <v>271</v>
      </c>
      <c r="F1665" s="5" t="s">
        <v>248</v>
      </c>
      <c r="G1665" s="5" t="s">
        <v>1969</v>
      </c>
      <c r="H1665" s="6" t="s">
        <v>3782</v>
      </c>
      <c r="I1665" s="7">
        <f>292</f>
        <v>292</v>
      </c>
      <c r="J1665" s="5" t="s">
        <v>262</v>
      </c>
      <c r="K1665" s="8">
        <f>1</f>
        <v>1</v>
      </c>
      <c r="L1665" s="6" t="s">
        <v>242</v>
      </c>
      <c r="M1665" s="5" t="s">
        <v>267</v>
      </c>
      <c r="N1665" s="5" t="s">
        <v>265</v>
      </c>
      <c r="O1665" s="5" t="s">
        <v>238</v>
      </c>
      <c r="P1665" s="5" t="s">
        <v>238</v>
      </c>
      <c r="Q1665" s="5" t="s">
        <v>268</v>
      </c>
      <c r="R1665" s="5" t="s">
        <v>270</v>
      </c>
      <c r="S1665" s="5" t="s">
        <v>238</v>
      </c>
      <c r="V1665" s="5" t="s">
        <v>238</v>
      </c>
      <c r="X1665" s="6" t="s">
        <v>238</v>
      </c>
      <c r="AA1665" s="6" t="s">
        <v>243</v>
      </c>
      <c r="AB1665" s="5" t="s">
        <v>238</v>
      </c>
      <c r="AC1665" s="5" t="s">
        <v>244</v>
      </c>
      <c r="AD1665" s="5" t="s">
        <v>245</v>
      </c>
      <c r="AT1665" s="5" t="s">
        <v>246</v>
      </c>
      <c r="AU1665" s="5" t="s">
        <v>238</v>
      </c>
      <c r="AV1665" s="5" t="s">
        <v>247</v>
      </c>
      <c r="AW1665" s="5" t="s">
        <v>238</v>
      </c>
      <c r="AX1665" s="5" t="s">
        <v>249</v>
      </c>
      <c r="AY1665" s="5" t="s">
        <v>238</v>
      </c>
      <c r="BA1665" s="5" t="s">
        <v>238</v>
      </c>
      <c r="BC1665" s="5" t="s">
        <v>250</v>
      </c>
      <c r="BD1665" s="6" t="s">
        <v>243</v>
      </c>
      <c r="BE1665" s="5" t="s">
        <v>251</v>
      </c>
      <c r="BF1665" s="5" t="s">
        <v>252</v>
      </c>
      <c r="BG1665" s="5" t="s">
        <v>238</v>
      </c>
      <c r="BH1665" s="7">
        <f>0</f>
        <v>0</v>
      </c>
      <c r="BI1665" s="8">
        <f>0</f>
        <v>0</v>
      </c>
      <c r="BJ1665" s="5" t="s">
        <v>253</v>
      </c>
      <c r="BK1665" s="5" t="s">
        <v>254</v>
      </c>
      <c r="BY1665" s="5" t="s">
        <v>238</v>
      </c>
      <c r="BZ1665" s="5" t="s">
        <v>238</v>
      </c>
      <c r="CD1665" s="5" t="s">
        <v>273</v>
      </c>
      <c r="CE1665" s="5" t="s">
        <v>256</v>
      </c>
      <c r="CF1665" s="5" t="s">
        <v>238</v>
      </c>
      <c r="CI1665" s="6" t="s">
        <v>257</v>
      </c>
      <c r="CJ1665" s="5" t="s">
        <v>238</v>
      </c>
      <c r="CK1665" s="5" t="s">
        <v>258</v>
      </c>
      <c r="CL1665" s="5" t="s">
        <v>238</v>
      </c>
      <c r="CM1665" s="5" t="s">
        <v>238</v>
      </c>
      <c r="CN1665" s="5">
        <v>0</v>
      </c>
      <c r="CO1665" s="5" t="s">
        <v>259</v>
      </c>
      <c r="CP1665" s="5" t="s">
        <v>260</v>
      </c>
      <c r="CQ1665" s="5" t="s">
        <v>260</v>
      </c>
      <c r="CR1665" s="5" t="s">
        <v>261</v>
      </c>
      <c r="CU1665" s="8">
        <f>1</f>
        <v>1</v>
      </c>
      <c r="CV1665" s="8">
        <f>0</f>
        <v>0</v>
      </c>
      <c r="CX1665" s="8">
        <f>0</f>
        <v>0</v>
      </c>
      <c r="CY1665" s="8">
        <f>1</f>
        <v>1</v>
      </c>
      <c r="DA1665" s="5" t="s">
        <v>673</v>
      </c>
      <c r="DB1665" s="5" t="s">
        <v>238</v>
      </c>
      <c r="DD1665" s="5" t="s">
        <v>673</v>
      </c>
      <c r="DE1665" s="8">
        <f>292</f>
        <v>292</v>
      </c>
      <c r="DG1665" s="5" t="s">
        <v>238</v>
      </c>
      <c r="DH1665" s="5" t="s">
        <v>238</v>
      </c>
      <c r="DI1665" s="5" t="s">
        <v>238</v>
      </c>
      <c r="DJ1665" s="5" t="s">
        <v>238</v>
      </c>
      <c r="DN1665" s="5" t="s">
        <v>238</v>
      </c>
      <c r="DO1665" s="5" t="s">
        <v>238</v>
      </c>
      <c r="DP1665" s="5" t="s">
        <v>238</v>
      </c>
      <c r="DQ1665" s="5" t="s">
        <v>238</v>
      </c>
      <c r="DT1665" s="5" t="s">
        <v>2039</v>
      </c>
      <c r="DU1665" s="5" t="s">
        <v>442</v>
      </c>
      <c r="HM1665" s="5" t="s">
        <v>264</v>
      </c>
    </row>
    <row r="1666" spans="1:221" x14ac:dyDescent="0.4">
      <c r="A1666" s="5">
        <v>3341</v>
      </c>
      <c r="B1666" s="5">
        <v>1</v>
      </c>
      <c r="C1666" s="5">
        <v>1</v>
      </c>
      <c r="D1666" s="5" t="s">
        <v>2037</v>
      </c>
      <c r="E1666" s="5" t="s">
        <v>271</v>
      </c>
      <c r="F1666" s="5" t="s">
        <v>248</v>
      </c>
      <c r="G1666" s="5" t="s">
        <v>1969</v>
      </c>
      <c r="H1666" s="6" t="s">
        <v>3502</v>
      </c>
      <c r="I1666" s="7">
        <f>3055</f>
        <v>3055</v>
      </c>
      <c r="J1666" s="5" t="s">
        <v>262</v>
      </c>
      <c r="K1666" s="8">
        <f>1</f>
        <v>1</v>
      </c>
      <c r="L1666" s="6" t="s">
        <v>242</v>
      </c>
      <c r="M1666" s="5" t="s">
        <v>267</v>
      </c>
      <c r="N1666" s="5" t="s">
        <v>265</v>
      </c>
      <c r="O1666" s="5" t="s">
        <v>238</v>
      </c>
      <c r="P1666" s="5" t="s">
        <v>238</v>
      </c>
      <c r="Q1666" s="5" t="s">
        <v>268</v>
      </c>
      <c r="R1666" s="5" t="s">
        <v>270</v>
      </c>
      <c r="S1666" s="5" t="s">
        <v>238</v>
      </c>
      <c r="V1666" s="5" t="s">
        <v>238</v>
      </c>
      <c r="X1666" s="6" t="s">
        <v>238</v>
      </c>
      <c r="AA1666" s="6" t="s">
        <v>243</v>
      </c>
      <c r="AB1666" s="5" t="s">
        <v>238</v>
      </c>
      <c r="AC1666" s="5" t="s">
        <v>244</v>
      </c>
      <c r="AD1666" s="5" t="s">
        <v>245</v>
      </c>
      <c r="AT1666" s="5" t="s">
        <v>246</v>
      </c>
      <c r="AU1666" s="5" t="s">
        <v>238</v>
      </c>
      <c r="AV1666" s="5" t="s">
        <v>247</v>
      </c>
      <c r="AW1666" s="5" t="s">
        <v>238</v>
      </c>
      <c r="AX1666" s="5" t="s">
        <v>249</v>
      </c>
      <c r="AY1666" s="5" t="s">
        <v>238</v>
      </c>
      <c r="BA1666" s="5" t="s">
        <v>238</v>
      </c>
      <c r="BC1666" s="5" t="s">
        <v>250</v>
      </c>
      <c r="BD1666" s="6" t="s">
        <v>243</v>
      </c>
      <c r="BE1666" s="5" t="s">
        <v>251</v>
      </c>
      <c r="BF1666" s="5" t="s">
        <v>252</v>
      </c>
      <c r="BG1666" s="5" t="s">
        <v>238</v>
      </c>
      <c r="BH1666" s="7">
        <f>0</f>
        <v>0</v>
      </c>
      <c r="BI1666" s="8">
        <f>0</f>
        <v>0</v>
      </c>
      <c r="BJ1666" s="5" t="s">
        <v>253</v>
      </c>
      <c r="BK1666" s="5" t="s">
        <v>254</v>
      </c>
      <c r="BY1666" s="5" t="s">
        <v>238</v>
      </c>
      <c r="BZ1666" s="5" t="s">
        <v>238</v>
      </c>
      <c r="CD1666" s="5" t="s">
        <v>273</v>
      </c>
      <c r="CE1666" s="5" t="s">
        <v>256</v>
      </c>
      <c r="CF1666" s="5" t="s">
        <v>238</v>
      </c>
      <c r="CI1666" s="6" t="s">
        <v>257</v>
      </c>
      <c r="CJ1666" s="5" t="s">
        <v>238</v>
      </c>
      <c r="CK1666" s="5" t="s">
        <v>258</v>
      </c>
      <c r="CL1666" s="5" t="s">
        <v>238</v>
      </c>
      <c r="CM1666" s="5" t="s">
        <v>238</v>
      </c>
      <c r="CN1666" s="5">
        <v>0</v>
      </c>
      <c r="CO1666" s="5" t="s">
        <v>259</v>
      </c>
      <c r="CP1666" s="5" t="s">
        <v>260</v>
      </c>
      <c r="CQ1666" s="5" t="s">
        <v>260</v>
      </c>
      <c r="CR1666" s="5" t="s">
        <v>261</v>
      </c>
      <c r="CU1666" s="8">
        <f>1</f>
        <v>1</v>
      </c>
      <c r="CV1666" s="8">
        <f>0</f>
        <v>0</v>
      </c>
      <c r="CX1666" s="8">
        <f>0</f>
        <v>0</v>
      </c>
      <c r="CY1666" s="8">
        <f>1</f>
        <v>1</v>
      </c>
      <c r="DA1666" s="5" t="s">
        <v>673</v>
      </c>
      <c r="DB1666" s="5" t="s">
        <v>238</v>
      </c>
      <c r="DD1666" s="5" t="s">
        <v>673</v>
      </c>
      <c r="DE1666" s="8">
        <f>3055</f>
        <v>3055</v>
      </c>
      <c r="DG1666" s="5" t="s">
        <v>238</v>
      </c>
      <c r="DH1666" s="5" t="s">
        <v>238</v>
      </c>
      <c r="DI1666" s="5" t="s">
        <v>238</v>
      </c>
      <c r="DJ1666" s="5" t="s">
        <v>238</v>
      </c>
      <c r="DN1666" s="5" t="s">
        <v>238</v>
      </c>
      <c r="DO1666" s="5" t="s">
        <v>238</v>
      </c>
      <c r="DP1666" s="5" t="s">
        <v>238</v>
      </c>
      <c r="DQ1666" s="5" t="s">
        <v>238</v>
      </c>
      <c r="DT1666" s="5" t="s">
        <v>2039</v>
      </c>
      <c r="DU1666" s="5" t="s">
        <v>452</v>
      </c>
      <c r="HM1666" s="5" t="s">
        <v>264</v>
      </c>
    </row>
    <row r="1667" spans="1:221" x14ac:dyDescent="0.4">
      <c r="A1667" s="5">
        <v>3342</v>
      </c>
      <c r="B1667" s="5">
        <v>1</v>
      </c>
      <c r="C1667" s="5">
        <v>1</v>
      </c>
      <c r="D1667" s="5" t="s">
        <v>2037</v>
      </c>
      <c r="E1667" s="5" t="s">
        <v>271</v>
      </c>
      <c r="F1667" s="5" t="s">
        <v>248</v>
      </c>
      <c r="G1667" s="5" t="s">
        <v>1969</v>
      </c>
      <c r="H1667" s="6" t="s">
        <v>3259</v>
      </c>
      <c r="I1667" s="7">
        <f>3415</f>
        <v>3415</v>
      </c>
      <c r="J1667" s="5" t="s">
        <v>262</v>
      </c>
      <c r="K1667" s="8">
        <f>1</f>
        <v>1</v>
      </c>
      <c r="L1667" s="6" t="s">
        <v>242</v>
      </c>
      <c r="M1667" s="5" t="s">
        <v>267</v>
      </c>
      <c r="N1667" s="5" t="s">
        <v>265</v>
      </c>
      <c r="O1667" s="5" t="s">
        <v>238</v>
      </c>
      <c r="P1667" s="5" t="s">
        <v>238</v>
      </c>
      <c r="Q1667" s="5" t="s">
        <v>268</v>
      </c>
      <c r="R1667" s="5" t="s">
        <v>270</v>
      </c>
      <c r="S1667" s="5" t="s">
        <v>238</v>
      </c>
      <c r="V1667" s="5" t="s">
        <v>238</v>
      </c>
      <c r="X1667" s="6" t="s">
        <v>238</v>
      </c>
      <c r="AA1667" s="6" t="s">
        <v>243</v>
      </c>
      <c r="AB1667" s="5" t="s">
        <v>238</v>
      </c>
      <c r="AC1667" s="5" t="s">
        <v>244</v>
      </c>
      <c r="AD1667" s="5" t="s">
        <v>245</v>
      </c>
      <c r="AT1667" s="5" t="s">
        <v>246</v>
      </c>
      <c r="AU1667" s="5" t="s">
        <v>238</v>
      </c>
      <c r="AV1667" s="5" t="s">
        <v>247</v>
      </c>
      <c r="AW1667" s="5" t="s">
        <v>238</v>
      </c>
      <c r="AX1667" s="5" t="s">
        <v>249</v>
      </c>
      <c r="AY1667" s="5" t="s">
        <v>238</v>
      </c>
      <c r="BA1667" s="5" t="s">
        <v>238</v>
      </c>
      <c r="BC1667" s="5" t="s">
        <v>250</v>
      </c>
      <c r="BD1667" s="6" t="s">
        <v>243</v>
      </c>
      <c r="BE1667" s="5" t="s">
        <v>251</v>
      </c>
      <c r="BF1667" s="5" t="s">
        <v>252</v>
      </c>
      <c r="BG1667" s="5" t="s">
        <v>238</v>
      </c>
      <c r="BH1667" s="7">
        <f>0</f>
        <v>0</v>
      </c>
      <c r="BI1667" s="8">
        <f>0</f>
        <v>0</v>
      </c>
      <c r="BJ1667" s="5" t="s">
        <v>253</v>
      </c>
      <c r="BK1667" s="5" t="s">
        <v>254</v>
      </c>
      <c r="BY1667" s="5" t="s">
        <v>238</v>
      </c>
      <c r="BZ1667" s="5" t="s">
        <v>238</v>
      </c>
      <c r="CD1667" s="5" t="s">
        <v>273</v>
      </c>
      <c r="CE1667" s="5" t="s">
        <v>256</v>
      </c>
      <c r="CF1667" s="5" t="s">
        <v>238</v>
      </c>
      <c r="CI1667" s="6" t="s">
        <v>257</v>
      </c>
      <c r="CJ1667" s="5" t="s">
        <v>238</v>
      </c>
      <c r="CK1667" s="5" t="s">
        <v>258</v>
      </c>
      <c r="CL1667" s="5" t="s">
        <v>238</v>
      </c>
      <c r="CM1667" s="5" t="s">
        <v>238</v>
      </c>
      <c r="CN1667" s="5">
        <v>0</v>
      </c>
      <c r="CO1667" s="5" t="s">
        <v>259</v>
      </c>
      <c r="CP1667" s="5" t="s">
        <v>260</v>
      </c>
      <c r="CQ1667" s="5" t="s">
        <v>260</v>
      </c>
      <c r="CR1667" s="5" t="s">
        <v>261</v>
      </c>
      <c r="CU1667" s="8">
        <f>1</f>
        <v>1</v>
      </c>
      <c r="CV1667" s="8">
        <f>0</f>
        <v>0</v>
      </c>
      <c r="CX1667" s="8">
        <f>0</f>
        <v>0</v>
      </c>
      <c r="CY1667" s="8">
        <f>1</f>
        <v>1</v>
      </c>
      <c r="DA1667" s="5" t="s">
        <v>673</v>
      </c>
      <c r="DB1667" s="5" t="s">
        <v>238</v>
      </c>
      <c r="DD1667" s="5" t="s">
        <v>673</v>
      </c>
      <c r="DE1667" s="8">
        <f>3415</f>
        <v>3415</v>
      </c>
      <c r="DG1667" s="5" t="s">
        <v>238</v>
      </c>
      <c r="DH1667" s="5" t="s">
        <v>238</v>
      </c>
      <c r="DI1667" s="5" t="s">
        <v>238</v>
      </c>
      <c r="DJ1667" s="5" t="s">
        <v>238</v>
      </c>
      <c r="DN1667" s="5" t="s">
        <v>238</v>
      </c>
      <c r="DO1667" s="5" t="s">
        <v>238</v>
      </c>
      <c r="DP1667" s="5" t="s">
        <v>238</v>
      </c>
      <c r="DQ1667" s="5" t="s">
        <v>238</v>
      </c>
      <c r="DT1667" s="5" t="s">
        <v>2039</v>
      </c>
      <c r="DU1667" s="5" t="s">
        <v>458</v>
      </c>
      <c r="HM1667" s="5" t="s">
        <v>264</v>
      </c>
    </row>
    <row r="1668" spans="1:221" x14ac:dyDescent="0.4">
      <c r="A1668" s="5">
        <v>3343</v>
      </c>
      <c r="B1668" s="5">
        <v>1</v>
      </c>
      <c r="C1668" s="5">
        <v>1</v>
      </c>
      <c r="D1668" s="5" t="s">
        <v>2037</v>
      </c>
      <c r="E1668" s="5" t="s">
        <v>271</v>
      </c>
      <c r="F1668" s="5" t="s">
        <v>248</v>
      </c>
      <c r="G1668" s="5" t="s">
        <v>1969</v>
      </c>
      <c r="H1668" s="6" t="s">
        <v>3690</v>
      </c>
      <c r="I1668" s="7">
        <f>2612</f>
        <v>2612</v>
      </c>
      <c r="J1668" s="5" t="s">
        <v>262</v>
      </c>
      <c r="K1668" s="8">
        <f>1</f>
        <v>1</v>
      </c>
      <c r="L1668" s="6" t="s">
        <v>242</v>
      </c>
      <c r="M1668" s="5" t="s">
        <v>267</v>
      </c>
      <c r="N1668" s="5" t="s">
        <v>265</v>
      </c>
      <c r="O1668" s="5" t="s">
        <v>238</v>
      </c>
      <c r="P1668" s="5" t="s">
        <v>238</v>
      </c>
      <c r="Q1668" s="5" t="s">
        <v>268</v>
      </c>
      <c r="R1668" s="5" t="s">
        <v>270</v>
      </c>
      <c r="S1668" s="5" t="s">
        <v>238</v>
      </c>
      <c r="V1668" s="5" t="s">
        <v>238</v>
      </c>
      <c r="X1668" s="6" t="s">
        <v>238</v>
      </c>
      <c r="AA1668" s="6" t="s">
        <v>243</v>
      </c>
      <c r="AB1668" s="5" t="s">
        <v>238</v>
      </c>
      <c r="AC1668" s="5" t="s">
        <v>244</v>
      </c>
      <c r="AD1668" s="5" t="s">
        <v>245</v>
      </c>
      <c r="AT1668" s="5" t="s">
        <v>246</v>
      </c>
      <c r="AU1668" s="5" t="s">
        <v>238</v>
      </c>
      <c r="AV1668" s="5" t="s">
        <v>247</v>
      </c>
      <c r="AW1668" s="5" t="s">
        <v>238</v>
      </c>
      <c r="AX1668" s="5" t="s">
        <v>249</v>
      </c>
      <c r="AY1668" s="5" t="s">
        <v>238</v>
      </c>
      <c r="BA1668" s="5" t="s">
        <v>238</v>
      </c>
      <c r="BC1668" s="5" t="s">
        <v>250</v>
      </c>
      <c r="BD1668" s="6" t="s">
        <v>243</v>
      </c>
      <c r="BE1668" s="5" t="s">
        <v>251</v>
      </c>
      <c r="BF1668" s="5" t="s">
        <v>252</v>
      </c>
      <c r="BG1668" s="5" t="s">
        <v>238</v>
      </c>
      <c r="BH1668" s="7">
        <f>0</f>
        <v>0</v>
      </c>
      <c r="BI1668" s="8">
        <f>0</f>
        <v>0</v>
      </c>
      <c r="BJ1668" s="5" t="s">
        <v>253</v>
      </c>
      <c r="BK1668" s="5" t="s">
        <v>254</v>
      </c>
      <c r="BY1668" s="5" t="s">
        <v>238</v>
      </c>
      <c r="BZ1668" s="5" t="s">
        <v>238</v>
      </c>
      <c r="CD1668" s="5" t="s">
        <v>273</v>
      </c>
      <c r="CE1668" s="5" t="s">
        <v>256</v>
      </c>
      <c r="CF1668" s="5" t="s">
        <v>238</v>
      </c>
      <c r="CI1668" s="6" t="s">
        <v>257</v>
      </c>
      <c r="CJ1668" s="5" t="s">
        <v>238</v>
      </c>
      <c r="CK1668" s="5" t="s">
        <v>258</v>
      </c>
      <c r="CL1668" s="5" t="s">
        <v>238</v>
      </c>
      <c r="CM1668" s="5" t="s">
        <v>238</v>
      </c>
      <c r="CN1668" s="5">
        <v>0</v>
      </c>
      <c r="CO1668" s="5" t="s">
        <v>259</v>
      </c>
      <c r="CP1668" s="5" t="s">
        <v>260</v>
      </c>
      <c r="CQ1668" s="5" t="s">
        <v>260</v>
      </c>
      <c r="CR1668" s="5" t="s">
        <v>261</v>
      </c>
      <c r="CU1668" s="8">
        <f>1</f>
        <v>1</v>
      </c>
      <c r="CV1668" s="8">
        <f>0</f>
        <v>0</v>
      </c>
      <c r="CX1668" s="8">
        <f>0</f>
        <v>0</v>
      </c>
      <c r="CY1668" s="8">
        <f>1</f>
        <v>1</v>
      </c>
      <c r="DA1668" s="5" t="s">
        <v>673</v>
      </c>
      <c r="DB1668" s="5" t="s">
        <v>238</v>
      </c>
      <c r="DD1668" s="5" t="s">
        <v>673</v>
      </c>
      <c r="DE1668" s="8">
        <f>2612</f>
        <v>2612</v>
      </c>
      <c r="DG1668" s="5" t="s">
        <v>238</v>
      </c>
      <c r="DH1668" s="5" t="s">
        <v>238</v>
      </c>
      <c r="DI1668" s="5" t="s">
        <v>238</v>
      </c>
      <c r="DJ1668" s="5" t="s">
        <v>238</v>
      </c>
      <c r="DN1668" s="5" t="s">
        <v>238</v>
      </c>
      <c r="DO1668" s="5" t="s">
        <v>238</v>
      </c>
      <c r="DP1668" s="5" t="s">
        <v>238</v>
      </c>
      <c r="DQ1668" s="5" t="s">
        <v>238</v>
      </c>
      <c r="DT1668" s="5" t="s">
        <v>2039</v>
      </c>
      <c r="DU1668" s="5" t="s">
        <v>470</v>
      </c>
      <c r="HM1668" s="5" t="s">
        <v>264</v>
      </c>
    </row>
    <row r="1669" spans="1:221" x14ac:dyDescent="0.4">
      <c r="A1669" s="5">
        <v>3344</v>
      </c>
      <c r="B1669" s="5">
        <v>1</v>
      </c>
      <c r="C1669" s="5">
        <v>1</v>
      </c>
      <c r="D1669" s="5" t="s">
        <v>2037</v>
      </c>
      <c r="E1669" s="5" t="s">
        <v>271</v>
      </c>
      <c r="F1669" s="5" t="s">
        <v>248</v>
      </c>
      <c r="G1669" s="5" t="s">
        <v>1969</v>
      </c>
      <c r="H1669" s="6" t="s">
        <v>3687</v>
      </c>
      <c r="I1669" s="7">
        <f>693</f>
        <v>693</v>
      </c>
      <c r="J1669" s="5" t="s">
        <v>262</v>
      </c>
      <c r="K1669" s="8">
        <f>1</f>
        <v>1</v>
      </c>
      <c r="L1669" s="6" t="s">
        <v>242</v>
      </c>
      <c r="M1669" s="5" t="s">
        <v>267</v>
      </c>
      <c r="N1669" s="5" t="s">
        <v>265</v>
      </c>
      <c r="O1669" s="5" t="s">
        <v>238</v>
      </c>
      <c r="P1669" s="5" t="s">
        <v>238</v>
      </c>
      <c r="Q1669" s="5" t="s">
        <v>268</v>
      </c>
      <c r="R1669" s="5" t="s">
        <v>270</v>
      </c>
      <c r="S1669" s="5" t="s">
        <v>238</v>
      </c>
      <c r="V1669" s="5" t="s">
        <v>238</v>
      </c>
      <c r="X1669" s="6" t="s">
        <v>238</v>
      </c>
      <c r="AA1669" s="6" t="s">
        <v>243</v>
      </c>
      <c r="AB1669" s="5" t="s">
        <v>238</v>
      </c>
      <c r="AC1669" s="5" t="s">
        <v>244</v>
      </c>
      <c r="AD1669" s="5" t="s">
        <v>245</v>
      </c>
      <c r="AT1669" s="5" t="s">
        <v>246</v>
      </c>
      <c r="AU1669" s="5" t="s">
        <v>238</v>
      </c>
      <c r="AV1669" s="5" t="s">
        <v>247</v>
      </c>
      <c r="AW1669" s="5" t="s">
        <v>238</v>
      </c>
      <c r="AX1669" s="5" t="s">
        <v>249</v>
      </c>
      <c r="AY1669" s="5" t="s">
        <v>238</v>
      </c>
      <c r="BA1669" s="5" t="s">
        <v>238</v>
      </c>
      <c r="BC1669" s="5" t="s">
        <v>250</v>
      </c>
      <c r="BD1669" s="6" t="s">
        <v>243</v>
      </c>
      <c r="BE1669" s="5" t="s">
        <v>251</v>
      </c>
      <c r="BF1669" s="5" t="s">
        <v>252</v>
      </c>
      <c r="BG1669" s="5" t="s">
        <v>238</v>
      </c>
      <c r="BH1669" s="7">
        <f>0</f>
        <v>0</v>
      </c>
      <c r="BI1669" s="8">
        <f>0</f>
        <v>0</v>
      </c>
      <c r="BJ1669" s="5" t="s">
        <v>253</v>
      </c>
      <c r="BK1669" s="5" t="s">
        <v>254</v>
      </c>
      <c r="BY1669" s="5" t="s">
        <v>238</v>
      </c>
      <c r="BZ1669" s="5" t="s">
        <v>238</v>
      </c>
      <c r="CD1669" s="5" t="s">
        <v>273</v>
      </c>
      <c r="CE1669" s="5" t="s">
        <v>256</v>
      </c>
      <c r="CF1669" s="5" t="s">
        <v>238</v>
      </c>
      <c r="CI1669" s="6" t="s">
        <v>257</v>
      </c>
      <c r="CJ1669" s="5" t="s">
        <v>238</v>
      </c>
      <c r="CK1669" s="5" t="s">
        <v>258</v>
      </c>
      <c r="CL1669" s="5" t="s">
        <v>238</v>
      </c>
      <c r="CM1669" s="5" t="s">
        <v>238</v>
      </c>
      <c r="CN1669" s="5">
        <v>0</v>
      </c>
      <c r="CO1669" s="5" t="s">
        <v>259</v>
      </c>
      <c r="CP1669" s="5" t="s">
        <v>260</v>
      </c>
      <c r="CQ1669" s="5" t="s">
        <v>260</v>
      </c>
      <c r="CR1669" s="5" t="s">
        <v>261</v>
      </c>
      <c r="CU1669" s="8">
        <f>1</f>
        <v>1</v>
      </c>
      <c r="CV1669" s="8">
        <f>0</f>
        <v>0</v>
      </c>
      <c r="CX1669" s="8">
        <f>0</f>
        <v>0</v>
      </c>
      <c r="CY1669" s="8">
        <f>1</f>
        <v>1</v>
      </c>
      <c r="DA1669" s="5" t="s">
        <v>673</v>
      </c>
      <c r="DB1669" s="5" t="s">
        <v>238</v>
      </c>
      <c r="DD1669" s="5" t="s">
        <v>673</v>
      </c>
      <c r="DE1669" s="8">
        <f>693</f>
        <v>693</v>
      </c>
      <c r="DG1669" s="5" t="s">
        <v>238</v>
      </c>
      <c r="DH1669" s="5" t="s">
        <v>238</v>
      </c>
      <c r="DI1669" s="5" t="s">
        <v>238</v>
      </c>
      <c r="DJ1669" s="5" t="s">
        <v>238</v>
      </c>
      <c r="DN1669" s="5" t="s">
        <v>238</v>
      </c>
      <c r="DO1669" s="5" t="s">
        <v>238</v>
      </c>
      <c r="DP1669" s="5" t="s">
        <v>238</v>
      </c>
      <c r="DQ1669" s="5" t="s">
        <v>238</v>
      </c>
      <c r="DT1669" s="5" t="s">
        <v>2039</v>
      </c>
      <c r="DU1669" s="5" t="s">
        <v>464</v>
      </c>
      <c r="HM1669" s="5" t="s">
        <v>264</v>
      </c>
    </row>
    <row r="1670" spans="1:221" x14ac:dyDescent="0.4">
      <c r="A1670" s="5">
        <v>3345</v>
      </c>
      <c r="B1670" s="5">
        <v>1</v>
      </c>
      <c r="C1670" s="5">
        <v>1</v>
      </c>
      <c r="D1670" s="5" t="s">
        <v>2037</v>
      </c>
      <c r="E1670" s="5" t="s">
        <v>271</v>
      </c>
      <c r="F1670" s="5" t="s">
        <v>248</v>
      </c>
      <c r="G1670" s="5" t="s">
        <v>1969</v>
      </c>
      <c r="H1670" s="6" t="s">
        <v>3682</v>
      </c>
      <c r="I1670" s="7">
        <f>2549</f>
        <v>2549</v>
      </c>
      <c r="J1670" s="5" t="s">
        <v>262</v>
      </c>
      <c r="K1670" s="8">
        <f>1</f>
        <v>1</v>
      </c>
      <c r="L1670" s="6" t="s">
        <v>242</v>
      </c>
      <c r="M1670" s="5" t="s">
        <v>267</v>
      </c>
      <c r="N1670" s="5" t="s">
        <v>265</v>
      </c>
      <c r="O1670" s="5" t="s">
        <v>238</v>
      </c>
      <c r="P1670" s="5" t="s">
        <v>238</v>
      </c>
      <c r="Q1670" s="5" t="s">
        <v>268</v>
      </c>
      <c r="R1670" s="5" t="s">
        <v>270</v>
      </c>
      <c r="S1670" s="5" t="s">
        <v>238</v>
      </c>
      <c r="V1670" s="5" t="s">
        <v>238</v>
      </c>
      <c r="X1670" s="6" t="s">
        <v>238</v>
      </c>
      <c r="AA1670" s="6" t="s">
        <v>243</v>
      </c>
      <c r="AB1670" s="5" t="s">
        <v>238</v>
      </c>
      <c r="AC1670" s="5" t="s">
        <v>244</v>
      </c>
      <c r="AD1670" s="5" t="s">
        <v>245</v>
      </c>
      <c r="AT1670" s="5" t="s">
        <v>246</v>
      </c>
      <c r="AU1670" s="5" t="s">
        <v>238</v>
      </c>
      <c r="AV1670" s="5" t="s">
        <v>247</v>
      </c>
      <c r="AW1670" s="5" t="s">
        <v>238</v>
      </c>
      <c r="AX1670" s="5" t="s">
        <v>249</v>
      </c>
      <c r="AY1670" s="5" t="s">
        <v>238</v>
      </c>
      <c r="BA1670" s="5" t="s">
        <v>238</v>
      </c>
      <c r="BC1670" s="5" t="s">
        <v>250</v>
      </c>
      <c r="BD1670" s="6" t="s">
        <v>243</v>
      </c>
      <c r="BE1670" s="5" t="s">
        <v>251</v>
      </c>
      <c r="BF1670" s="5" t="s">
        <v>252</v>
      </c>
      <c r="BG1670" s="5" t="s">
        <v>238</v>
      </c>
      <c r="BH1670" s="7">
        <f>0</f>
        <v>0</v>
      </c>
      <c r="BI1670" s="8">
        <f>0</f>
        <v>0</v>
      </c>
      <c r="BJ1670" s="5" t="s">
        <v>253</v>
      </c>
      <c r="BK1670" s="5" t="s">
        <v>254</v>
      </c>
      <c r="BY1670" s="5" t="s">
        <v>238</v>
      </c>
      <c r="BZ1670" s="5" t="s">
        <v>238</v>
      </c>
      <c r="CD1670" s="5" t="s">
        <v>273</v>
      </c>
      <c r="CE1670" s="5" t="s">
        <v>256</v>
      </c>
      <c r="CF1670" s="5" t="s">
        <v>238</v>
      </c>
      <c r="CI1670" s="6" t="s">
        <v>257</v>
      </c>
      <c r="CJ1670" s="5" t="s">
        <v>238</v>
      </c>
      <c r="CK1670" s="5" t="s">
        <v>258</v>
      </c>
      <c r="CL1670" s="5" t="s">
        <v>238</v>
      </c>
      <c r="CM1670" s="5" t="s">
        <v>238</v>
      </c>
      <c r="CN1670" s="5">
        <v>0</v>
      </c>
      <c r="CO1670" s="5" t="s">
        <v>259</v>
      </c>
      <c r="CP1670" s="5" t="s">
        <v>260</v>
      </c>
      <c r="CQ1670" s="5" t="s">
        <v>260</v>
      </c>
      <c r="CR1670" s="5" t="s">
        <v>261</v>
      </c>
      <c r="CU1670" s="8">
        <f>1</f>
        <v>1</v>
      </c>
      <c r="CV1670" s="8">
        <f>0</f>
        <v>0</v>
      </c>
      <c r="CX1670" s="8">
        <f>0</f>
        <v>0</v>
      </c>
      <c r="CY1670" s="8">
        <f>1</f>
        <v>1</v>
      </c>
      <c r="DA1670" s="5" t="s">
        <v>673</v>
      </c>
      <c r="DB1670" s="5" t="s">
        <v>238</v>
      </c>
      <c r="DD1670" s="5" t="s">
        <v>673</v>
      </c>
      <c r="DE1670" s="8">
        <f>2549</f>
        <v>2549</v>
      </c>
      <c r="DG1670" s="5" t="s">
        <v>238</v>
      </c>
      <c r="DH1670" s="5" t="s">
        <v>238</v>
      </c>
      <c r="DI1670" s="5" t="s">
        <v>238</v>
      </c>
      <c r="DJ1670" s="5" t="s">
        <v>238</v>
      </c>
      <c r="DN1670" s="5" t="s">
        <v>238</v>
      </c>
      <c r="DO1670" s="5" t="s">
        <v>238</v>
      </c>
      <c r="DP1670" s="5" t="s">
        <v>238</v>
      </c>
      <c r="DQ1670" s="5" t="s">
        <v>238</v>
      </c>
      <c r="DT1670" s="5" t="s">
        <v>2039</v>
      </c>
      <c r="DU1670" s="5" t="s">
        <v>474</v>
      </c>
      <c r="HM1670" s="5" t="s">
        <v>264</v>
      </c>
    </row>
    <row r="1671" spans="1:221" x14ac:dyDescent="0.4">
      <c r="A1671" s="5">
        <v>3346</v>
      </c>
      <c r="B1671" s="5">
        <v>1</v>
      </c>
      <c r="C1671" s="5">
        <v>1</v>
      </c>
      <c r="D1671" s="5" t="s">
        <v>2037</v>
      </c>
      <c r="E1671" s="5" t="s">
        <v>271</v>
      </c>
      <c r="F1671" s="5" t="s">
        <v>248</v>
      </c>
      <c r="G1671" s="5" t="s">
        <v>1969</v>
      </c>
      <c r="H1671" s="6" t="s">
        <v>3654</v>
      </c>
      <c r="I1671" s="7">
        <f>92</f>
        <v>92</v>
      </c>
      <c r="J1671" s="5" t="s">
        <v>262</v>
      </c>
      <c r="K1671" s="8">
        <f>1</f>
        <v>1</v>
      </c>
      <c r="L1671" s="6" t="s">
        <v>242</v>
      </c>
      <c r="M1671" s="5" t="s">
        <v>267</v>
      </c>
      <c r="N1671" s="5" t="s">
        <v>265</v>
      </c>
      <c r="O1671" s="5" t="s">
        <v>238</v>
      </c>
      <c r="P1671" s="5" t="s">
        <v>238</v>
      </c>
      <c r="Q1671" s="5" t="s">
        <v>268</v>
      </c>
      <c r="R1671" s="5" t="s">
        <v>270</v>
      </c>
      <c r="S1671" s="5" t="s">
        <v>238</v>
      </c>
      <c r="V1671" s="5" t="s">
        <v>238</v>
      </c>
      <c r="X1671" s="6" t="s">
        <v>238</v>
      </c>
      <c r="AA1671" s="6" t="s">
        <v>243</v>
      </c>
      <c r="AB1671" s="5" t="s">
        <v>238</v>
      </c>
      <c r="AC1671" s="5" t="s">
        <v>244</v>
      </c>
      <c r="AD1671" s="5" t="s">
        <v>245</v>
      </c>
      <c r="AT1671" s="5" t="s">
        <v>246</v>
      </c>
      <c r="AU1671" s="5" t="s">
        <v>238</v>
      </c>
      <c r="AV1671" s="5" t="s">
        <v>247</v>
      </c>
      <c r="AW1671" s="5" t="s">
        <v>238</v>
      </c>
      <c r="AX1671" s="5" t="s">
        <v>249</v>
      </c>
      <c r="AY1671" s="5" t="s">
        <v>238</v>
      </c>
      <c r="BA1671" s="5" t="s">
        <v>238</v>
      </c>
      <c r="BC1671" s="5" t="s">
        <v>250</v>
      </c>
      <c r="BD1671" s="6" t="s">
        <v>243</v>
      </c>
      <c r="BE1671" s="5" t="s">
        <v>251</v>
      </c>
      <c r="BF1671" s="5" t="s">
        <v>252</v>
      </c>
      <c r="BG1671" s="5" t="s">
        <v>238</v>
      </c>
      <c r="BH1671" s="7">
        <f>0</f>
        <v>0</v>
      </c>
      <c r="BI1671" s="8">
        <f>0</f>
        <v>0</v>
      </c>
      <c r="BJ1671" s="5" t="s">
        <v>253</v>
      </c>
      <c r="BK1671" s="5" t="s">
        <v>254</v>
      </c>
      <c r="BY1671" s="5" t="s">
        <v>238</v>
      </c>
      <c r="BZ1671" s="5" t="s">
        <v>238</v>
      </c>
      <c r="CD1671" s="5" t="s">
        <v>273</v>
      </c>
      <c r="CE1671" s="5" t="s">
        <v>256</v>
      </c>
      <c r="CF1671" s="5" t="s">
        <v>238</v>
      </c>
      <c r="CI1671" s="6" t="s">
        <v>257</v>
      </c>
      <c r="CJ1671" s="5" t="s">
        <v>238</v>
      </c>
      <c r="CK1671" s="5" t="s">
        <v>258</v>
      </c>
      <c r="CL1671" s="5" t="s">
        <v>238</v>
      </c>
      <c r="CM1671" s="5" t="s">
        <v>238</v>
      </c>
      <c r="CN1671" s="5">
        <v>0</v>
      </c>
      <c r="CO1671" s="5" t="s">
        <v>259</v>
      </c>
      <c r="CP1671" s="5" t="s">
        <v>260</v>
      </c>
      <c r="CQ1671" s="5" t="s">
        <v>260</v>
      </c>
      <c r="CR1671" s="5" t="s">
        <v>261</v>
      </c>
      <c r="CU1671" s="8">
        <f>1</f>
        <v>1</v>
      </c>
      <c r="CV1671" s="8">
        <f>0</f>
        <v>0</v>
      </c>
      <c r="CX1671" s="8">
        <f>0</f>
        <v>0</v>
      </c>
      <c r="CY1671" s="8">
        <f>1</f>
        <v>1</v>
      </c>
      <c r="DA1671" s="5" t="s">
        <v>673</v>
      </c>
      <c r="DB1671" s="5" t="s">
        <v>238</v>
      </c>
      <c r="DD1671" s="5" t="s">
        <v>673</v>
      </c>
      <c r="DE1671" s="8">
        <f>92</f>
        <v>92</v>
      </c>
      <c r="DG1671" s="5" t="s">
        <v>238</v>
      </c>
      <c r="DH1671" s="5" t="s">
        <v>238</v>
      </c>
      <c r="DI1671" s="5" t="s">
        <v>238</v>
      </c>
      <c r="DJ1671" s="5" t="s">
        <v>238</v>
      </c>
      <c r="DN1671" s="5" t="s">
        <v>238</v>
      </c>
      <c r="DO1671" s="5" t="s">
        <v>238</v>
      </c>
      <c r="DP1671" s="5" t="s">
        <v>238</v>
      </c>
      <c r="DQ1671" s="5" t="s">
        <v>238</v>
      </c>
      <c r="DT1671" s="5" t="s">
        <v>2039</v>
      </c>
      <c r="DU1671" s="5" t="s">
        <v>481</v>
      </c>
      <c r="HM1671" s="5" t="s">
        <v>264</v>
      </c>
    </row>
    <row r="1672" spans="1:221" x14ac:dyDescent="0.4">
      <c r="A1672" s="5">
        <v>3347</v>
      </c>
      <c r="B1672" s="5">
        <v>1</v>
      </c>
      <c r="C1672" s="5">
        <v>1</v>
      </c>
      <c r="D1672" s="5" t="s">
        <v>2037</v>
      </c>
      <c r="E1672" s="5" t="s">
        <v>271</v>
      </c>
      <c r="F1672" s="5" t="s">
        <v>248</v>
      </c>
      <c r="G1672" s="5" t="s">
        <v>1969</v>
      </c>
      <c r="H1672" s="6" t="s">
        <v>3632</v>
      </c>
      <c r="I1672" s="7">
        <f>728</f>
        <v>728</v>
      </c>
      <c r="J1672" s="5" t="s">
        <v>262</v>
      </c>
      <c r="K1672" s="8">
        <f>1</f>
        <v>1</v>
      </c>
      <c r="L1672" s="6" t="s">
        <v>242</v>
      </c>
      <c r="M1672" s="5" t="s">
        <v>267</v>
      </c>
      <c r="N1672" s="5" t="s">
        <v>265</v>
      </c>
      <c r="O1672" s="5" t="s">
        <v>238</v>
      </c>
      <c r="P1672" s="5" t="s">
        <v>238</v>
      </c>
      <c r="Q1672" s="5" t="s">
        <v>268</v>
      </c>
      <c r="R1672" s="5" t="s">
        <v>270</v>
      </c>
      <c r="S1672" s="5" t="s">
        <v>238</v>
      </c>
      <c r="V1672" s="5" t="s">
        <v>238</v>
      </c>
      <c r="X1672" s="6" t="s">
        <v>238</v>
      </c>
      <c r="AA1672" s="6" t="s">
        <v>243</v>
      </c>
      <c r="AB1672" s="5" t="s">
        <v>238</v>
      </c>
      <c r="AC1672" s="5" t="s">
        <v>244</v>
      </c>
      <c r="AD1672" s="5" t="s">
        <v>245</v>
      </c>
      <c r="AT1672" s="5" t="s">
        <v>246</v>
      </c>
      <c r="AU1672" s="5" t="s">
        <v>238</v>
      </c>
      <c r="AV1672" s="5" t="s">
        <v>247</v>
      </c>
      <c r="AW1672" s="5" t="s">
        <v>238</v>
      </c>
      <c r="AX1672" s="5" t="s">
        <v>249</v>
      </c>
      <c r="AY1672" s="5" t="s">
        <v>238</v>
      </c>
      <c r="BA1672" s="5" t="s">
        <v>238</v>
      </c>
      <c r="BC1672" s="5" t="s">
        <v>250</v>
      </c>
      <c r="BD1672" s="6" t="s">
        <v>243</v>
      </c>
      <c r="BE1672" s="5" t="s">
        <v>251</v>
      </c>
      <c r="BF1672" s="5" t="s">
        <v>252</v>
      </c>
      <c r="BG1672" s="5" t="s">
        <v>238</v>
      </c>
      <c r="BH1672" s="7">
        <f>0</f>
        <v>0</v>
      </c>
      <c r="BI1672" s="8">
        <f>0</f>
        <v>0</v>
      </c>
      <c r="BJ1672" s="5" t="s">
        <v>253</v>
      </c>
      <c r="BK1672" s="5" t="s">
        <v>254</v>
      </c>
      <c r="BY1672" s="5" t="s">
        <v>238</v>
      </c>
      <c r="BZ1672" s="5" t="s">
        <v>238</v>
      </c>
      <c r="CD1672" s="5" t="s">
        <v>273</v>
      </c>
      <c r="CE1672" s="5" t="s">
        <v>256</v>
      </c>
      <c r="CF1672" s="5" t="s">
        <v>238</v>
      </c>
      <c r="CI1672" s="6" t="s">
        <v>257</v>
      </c>
      <c r="CJ1672" s="5" t="s">
        <v>238</v>
      </c>
      <c r="CK1672" s="5" t="s">
        <v>258</v>
      </c>
      <c r="CL1672" s="5" t="s">
        <v>238</v>
      </c>
      <c r="CM1672" s="5" t="s">
        <v>238</v>
      </c>
      <c r="CN1672" s="5">
        <v>0</v>
      </c>
      <c r="CO1672" s="5" t="s">
        <v>259</v>
      </c>
      <c r="CP1672" s="5" t="s">
        <v>260</v>
      </c>
      <c r="CQ1672" s="5" t="s">
        <v>260</v>
      </c>
      <c r="CR1672" s="5" t="s">
        <v>261</v>
      </c>
      <c r="CU1672" s="8">
        <f>1</f>
        <v>1</v>
      </c>
      <c r="CV1672" s="8">
        <f>0</f>
        <v>0</v>
      </c>
      <c r="CX1672" s="8">
        <f>0</f>
        <v>0</v>
      </c>
      <c r="CY1672" s="8">
        <f>1</f>
        <v>1</v>
      </c>
      <c r="DA1672" s="5" t="s">
        <v>673</v>
      </c>
      <c r="DB1672" s="5" t="s">
        <v>238</v>
      </c>
      <c r="DD1672" s="5" t="s">
        <v>673</v>
      </c>
      <c r="DE1672" s="8">
        <f>728</f>
        <v>728</v>
      </c>
      <c r="DG1672" s="5" t="s">
        <v>238</v>
      </c>
      <c r="DH1672" s="5" t="s">
        <v>238</v>
      </c>
      <c r="DI1672" s="5" t="s">
        <v>238</v>
      </c>
      <c r="DJ1672" s="5" t="s">
        <v>238</v>
      </c>
      <c r="DN1672" s="5" t="s">
        <v>238</v>
      </c>
      <c r="DO1672" s="5" t="s">
        <v>238</v>
      </c>
      <c r="DP1672" s="5" t="s">
        <v>238</v>
      </c>
      <c r="DQ1672" s="5" t="s">
        <v>238</v>
      </c>
      <c r="DT1672" s="5" t="s">
        <v>2039</v>
      </c>
      <c r="DU1672" s="5" t="s">
        <v>510</v>
      </c>
      <c r="HM1672" s="5" t="s">
        <v>264</v>
      </c>
    </row>
    <row r="1673" spans="1:221" x14ac:dyDescent="0.4">
      <c r="A1673" s="5">
        <v>3348</v>
      </c>
      <c r="B1673" s="5">
        <v>1</v>
      </c>
      <c r="C1673" s="5">
        <v>1</v>
      </c>
      <c r="D1673" s="5" t="s">
        <v>2037</v>
      </c>
      <c r="E1673" s="5" t="s">
        <v>271</v>
      </c>
      <c r="F1673" s="5" t="s">
        <v>248</v>
      </c>
      <c r="G1673" s="5" t="s">
        <v>1969</v>
      </c>
      <c r="H1673" s="6" t="s">
        <v>3633</v>
      </c>
      <c r="I1673" s="7">
        <f>492</f>
        <v>492</v>
      </c>
      <c r="J1673" s="5" t="s">
        <v>262</v>
      </c>
      <c r="K1673" s="8">
        <f>1</f>
        <v>1</v>
      </c>
      <c r="L1673" s="6" t="s">
        <v>242</v>
      </c>
      <c r="M1673" s="5" t="s">
        <v>267</v>
      </c>
      <c r="N1673" s="5" t="s">
        <v>265</v>
      </c>
      <c r="O1673" s="5" t="s">
        <v>238</v>
      </c>
      <c r="P1673" s="5" t="s">
        <v>238</v>
      </c>
      <c r="Q1673" s="5" t="s">
        <v>268</v>
      </c>
      <c r="R1673" s="5" t="s">
        <v>270</v>
      </c>
      <c r="S1673" s="5" t="s">
        <v>238</v>
      </c>
      <c r="V1673" s="5" t="s">
        <v>238</v>
      </c>
      <c r="X1673" s="6" t="s">
        <v>238</v>
      </c>
      <c r="AA1673" s="6" t="s">
        <v>243</v>
      </c>
      <c r="AB1673" s="5" t="s">
        <v>238</v>
      </c>
      <c r="AC1673" s="5" t="s">
        <v>244</v>
      </c>
      <c r="AD1673" s="5" t="s">
        <v>245</v>
      </c>
      <c r="AT1673" s="5" t="s">
        <v>246</v>
      </c>
      <c r="AU1673" s="5" t="s">
        <v>238</v>
      </c>
      <c r="AV1673" s="5" t="s">
        <v>247</v>
      </c>
      <c r="AW1673" s="5" t="s">
        <v>238</v>
      </c>
      <c r="AX1673" s="5" t="s">
        <v>249</v>
      </c>
      <c r="AY1673" s="5" t="s">
        <v>238</v>
      </c>
      <c r="BA1673" s="5" t="s">
        <v>238</v>
      </c>
      <c r="BC1673" s="5" t="s">
        <v>250</v>
      </c>
      <c r="BD1673" s="6" t="s">
        <v>243</v>
      </c>
      <c r="BE1673" s="5" t="s">
        <v>251</v>
      </c>
      <c r="BF1673" s="5" t="s">
        <v>252</v>
      </c>
      <c r="BG1673" s="5" t="s">
        <v>238</v>
      </c>
      <c r="BH1673" s="7">
        <f>0</f>
        <v>0</v>
      </c>
      <c r="BI1673" s="8">
        <f>0</f>
        <v>0</v>
      </c>
      <c r="BJ1673" s="5" t="s">
        <v>253</v>
      </c>
      <c r="BK1673" s="5" t="s">
        <v>254</v>
      </c>
      <c r="BY1673" s="5" t="s">
        <v>238</v>
      </c>
      <c r="BZ1673" s="5" t="s">
        <v>238</v>
      </c>
      <c r="CD1673" s="5" t="s">
        <v>273</v>
      </c>
      <c r="CE1673" s="5" t="s">
        <v>256</v>
      </c>
      <c r="CF1673" s="5" t="s">
        <v>238</v>
      </c>
      <c r="CI1673" s="6" t="s">
        <v>257</v>
      </c>
      <c r="CJ1673" s="5" t="s">
        <v>238</v>
      </c>
      <c r="CK1673" s="5" t="s">
        <v>258</v>
      </c>
      <c r="CL1673" s="5" t="s">
        <v>238</v>
      </c>
      <c r="CM1673" s="5" t="s">
        <v>238</v>
      </c>
      <c r="CN1673" s="5">
        <v>0</v>
      </c>
      <c r="CO1673" s="5" t="s">
        <v>259</v>
      </c>
      <c r="CP1673" s="5" t="s">
        <v>260</v>
      </c>
      <c r="CQ1673" s="5" t="s">
        <v>260</v>
      </c>
      <c r="CR1673" s="5" t="s">
        <v>261</v>
      </c>
      <c r="CU1673" s="8">
        <f>1</f>
        <v>1</v>
      </c>
      <c r="CV1673" s="8">
        <f>0</f>
        <v>0</v>
      </c>
      <c r="CX1673" s="8">
        <f>0</f>
        <v>0</v>
      </c>
      <c r="CY1673" s="8">
        <f>1</f>
        <v>1</v>
      </c>
      <c r="DA1673" s="5" t="s">
        <v>673</v>
      </c>
      <c r="DB1673" s="5" t="s">
        <v>238</v>
      </c>
      <c r="DD1673" s="5" t="s">
        <v>673</v>
      </c>
      <c r="DE1673" s="8">
        <f>492</f>
        <v>492</v>
      </c>
      <c r="DG1673" s="5" t="s">
        <v>238</v>
      </c>
      <c r="DH1673" s="5" t="s">
        <v>238</v>
      </c>
      <c r="DI1673" s="5" t="s">
        <v>238</v>
      </c>
      <c r="DJ1673" s="5" t="s">
        <v>238</v>
      </c>
      <c r="DN1673" s="5" t="s">
        <v>238</v>
      </c>
      <c r="DO1673" s="5" t="s">
        <v>238</v>
      </c>
      <c r="DP1673" s="5" t="s">
        <v>238</v>
      </c>
      <c r="DQ1673" s="5" t="s">
        <v>238</v>
      </c>
      <c r="DT1673" s="5" t="s">
        <v>2039</v>
      </c>
      <c r="DU1673" s="5" t="s">
        <v>504</v>
      </c>
      <c r="HM1673" s="5" t="s">
        <v>264</v>
      </c>
    </row>
    <row r="1674" spans="1:221" x14ac:dyDescent="0.4">
      <c r="A1674" s="5">
        <v>3349</v>
      </c>
      <c r="B1674" s="5">
        <v>1</v>
      </c>
      <c r="C1674" s="5">
        <v>1</v>
      </c>
      <c r="D1674" s="5" t="s">
        <v>2037</v>
      </c>
      <c r="E1674" s="5" t="s">
        <v>271</v>
      </c>
      <c r="F1674" s="5" t="s">
        <v>248</v>
      </c>
      <c r="G1674" s="5" t="s">
        <v>1969</v>
      </c>
      <c r="H1674" s="6" t="s">
        <v>3624</v>
      </c>
      <c r="I1674" s="7">
        <f>97</f>
        <v>97</v>
      </c>
      <c r="J1674" s="5" t="s">
        <v>262</v>
      </c>
      <c r="K1674" s="8">
        <f>1</f>
        <v>1</v>
      </c>
      <c r="L1674" s="6" t="s">
        <v>242</v>
      </c>
      <c r="M1674" s="5" t="s">
        <v>267</v>
      </c>
      <c r="N1674" s="5" t="s">
        <v>265</v>
      </c>
      <c r="O1674" s="5" t="s">
        <v>238</v>
      </c>
      <c r="P1674" s="5" t="s">
        <v>238</v>
      </c>
      <c r="Q1674" s="5" t="s">
        <v>268</v>
      </c>
      <c r="R1674" s="5" t="s">
        <v>270</v>
      </c>
      <c r="S1674" s="5" t="s">
        <v>238</v>
      </c>
      <c r="V1674" s="5" t="s">
        <v>238</v>
      </c>
      <c r="X1674" s="6" t="s">
        <v>238</v>
      </c>
      <c r="AA1674" s="6" t="s">
        <v>243</v>
      </c>
      <c r="AB1674" s="5" t="s">
        <v>238</v>
      </c>
      <c r="AC1674" s="5" t="s">
        <v>244</v>
      </c>
      <c r="AD1674" s="5" t="s">
        <v>245</v>
      </c>
      <c r="AT1674" s="5" t="s">
        <v>246</v>
      </c>
      <c r="AU1674" s="5" t="s">
        <v>238</v>
      </c>
      <c r="AV1674" s="5" t="s">
        <v>247</v>
      </c>
      <c r="AW1674" s="5" t="s">
        <v>238</v>
      </c>
      <c r="AX1674" s="5" t="s">
        <v>249</v>
      </c>
      <c r="AY1674" s="5" t="s">
        <v>238</v>
      </c>
      <c r="BA1674" s="5" t="s">
        <v>238</v>
      </c>
      <c r="BC1674" s="5" t="s">
        <v>250</v>
      </c>
      <c r="BD1674" s="6" t="s">
        <v>243</v>
      </c>
      <c r="BE1674" s="5" t="s">
        <v>251</v>
      </c>
      <c r="BF1674" s="5" t="s">
        <v>252</v>
      </c>
      <c r="BG1674" s="5" t="s">
        <v>238</v>
      </c>
      <c r="BH1674" s="7">
        <f>0</f>
        <v>0</v>
      </c>
      <c r="BI1674" s="8">
        <f>0</f>
        <v>0</v>
      </c>
      <c r="BJ1674" s="5" t="s">
        <v>253</v>
      </c>
      <c r="BK1674" s="5" t="s">
        <v>254</v>
      </c>
      <c r="BY1674" s="5" t="s">
        <v>238</v>
      </c>
      <c r="BZ1674" s="5" t="s">
        <v>238</v>
      </c>
      <c r="CD1674" s="5" t="s">
        <v>273</v>
      </c>
      <c r="CE1674" s="5" t="s">
        <v>256</v>
      </c>
      <c r="CF1674" s="5" t="s">
        <v>238</v>
      </c>
      <c r="CI1674" s="6" t="s">
        <v>257</v>
      </c>
      <c r="CJ1674" s="5" t="s">
        <v>238</v>
      </c>
      <c r="CK1674" s="5" t="s">
        <v>258</v>
      </c>
      <c r="CL1674" s="5" t="s">
        <v>238</v>
      </c>
      <c r="CM1674" s="5" t="s">
        <v>238</v>
      </c>
      <c r="CN1674" s="5">
        <v>0</v>
      </c>
      <c r="CO1674" s="5" t="s">
        <v>259</v>
      </c>
      <c r="CP1674" s="5" t="s">
        <v>260</v>
      </c>
      <c r="CQ1674" s="5" t="s">
        <v>260</v>
      </c>
      <c r="CR1674" s="5" t="s">
        <v>261</v>
      </c>
      <c r="CU1674" s="8">
        <f>1</f>
        <v>1</v>
      </c>
      <c r="CV1674" s="8">
        <f>0</f>
        <v>0</v>
      </c>
      <c r="CX1674" s="8">
        <f>0</f>
        <v>0</v>
      </c>
      <c r="CY1674" s="8">
        <f>1</f>
        <v>1</v>
      </c>
      <c r="DA1674" s="5" t="s">
        <v>673</v>
      </c>
      <c r="DB1674" s="5" t="s">
        <v>238</v>
      </c>
      <c r="DD1674" s="5" t="s">
        <v>673</v>
      </c>
      <c r="DE1674" s="8">
        <f>97</f>
        <v>97</v>
      </c>
      <c r="DG1674" s="5" t="s">
        <v>238</v>
      </c>
      <c r="DH1674" s="5" t="s">
        <v>238</v>
      </c>
      <c r="DI1674" s="5" t="s">
        <v>238</v>
      </c>
      <c r="DJ1674" s="5" t="s">
        <v>238</v>
      </c>
      <c r="DN1674" s="5" t="s">
        <v>238</v>
      </c>
      <c r="DO1674" s="5" t="s">
        <v>238</v>
      </c>
      <c r="DP1674" s="5" t="s">
        <v>238</v>
      </c>
      <c r="DQ1674" s="5" t="s">
        <v>238</v>
      </c>
      <c r="DT1674" s="5" t="s">
        <v>2039</v>
      </c>
      <c r="DU1674" s="5" t="s">
        <v>514</v>
      </c>
      <c r="HM1674" s="5" t="s">
        <v>264</v>
      </c>
    </row>
    <row r="1675" spans="1:221" x14ac:dyDescent="0.4">
      <c r="A1675" s="5">
        <v>3350</v>
      </c>
      <c r="B1675" s="5">
        <v>1</v>
      </c>
      <c r="C1675" s="5">
        <v>1</v>
      </c>
      <c r="D1675" s="5" t="s">
        <v>2037</v>
      </c>
      <c r="E1675" s="5" t="s">
        <v>271</v>
      </c>
      <c r="F1675" s="5" t="s">
        <v>248</v>
      </c>
      <c r="G1675" s="5" t="s">
        <v>1969</v>
      </c>
      <c r="H1675" s="6" t="s">
        <v>3594</v>
      </c>
      <c r="I1675" s="7">
        <f>431</f>
        <v>431</v>
      </c>
      <c r="J1675" s="5" t="s">
        <v>262</v>
      </c>
      <c r="K1675" s="8">
        <f>1</f>
        <v>1</v>
      </c>
      <c r="L1675" s="6" t="s">
        <v>242</v>
      </c>
      <c r="M1675" s="5" t="s">
        <v>267</v>
      </c>
      <c r="N1675" s="5" t="s">
        <v>265</v>
      </c>
      <c r="O1675" s="5" t="s">
        <v>238</v>
      </c>
      <c r="P1675" s="5" t="s">
        <v>238</v>
      </c>
      <c r="Q1675" s="5" t="s">
        <v>268</v>
      </c>
      <c r="R1675" s="5" t="s">
        <v>270</v>
      </c>
      <c r="S1675" s="5" t="s">
        <v>238</v>
      </c>
      <c r="V1675" s="5" t="s">
        <v>238</v>
      </c>
      <c r="X1675" s="6" t="s">
        <v>238</v>
      </c>
      <c r="AA1675" s="6" t="s">
        <v>243</v>
      </c>
      <c r="AB1675" s="5" t="s">
        <v>238</v>
      </c>
      <c r="AC1675" s="5" t="s">
        <v>244</v>
      </c>
      <c r="AD1675" s="5" t="s">
        <v>245</v>
      </c>
      <c r="AT1675" s="5" t="s">
        <v>246</v>
      </c>
      <c r="AU1675" s="5" t="s">
        <v>238</v>
      </c>
      <c r="AV1675" s="5" t="s">
        <v>247</v>
      </c>
      <c r="AW1675" s="5" t="s">
        <v>238</v>
      </c>
      <c r="AX1675" s="5" t="s">
        <v>249</v>
      </c>
      <c r="AY1675" s="5" t="s">
        <v>238</v>
      </c>
      <c r="BA1675" s="5" t="s">
        <v>238</v>
      </c>
      <c r="BC1675" s="5" t="s">
        <v>250</v>
      </c>
      <c r="BD1675" s="6" t="s">
        <v>243</v>
      </c>
      <c r="BE1675" s="5" t="s">
        <v>251</v>
      </c>
      <c r="BF1675" s="5" t="s">
        <v>252</v>
      </c>
      <c r="BG1675" s="5" t="s">
        <v>238</v>
      </c>
      <c r="BH1675" s="7">
        <f>0</f>
        <v>0</v>
      </c>
      <c r="BI1675" s="8">
        <f>0</f>
        <v>0</v>
      </c>
      <c r="BJ1675" s="5" t="s">
        <v>253</v>
      </c>
      <c r="BK1675" s="5" t="s">
        <v>254</v>
      </c>
      <c r="BY1675" s="5" t="s">
        <v>238</v>
      </c>
      <c r="BZ1675" s="5" t="s">
        <v>238</v>
      </c>
      <c r="CD1675" s="5" t="s">
        <v>273</v>
      </c>
      <c r="CE1675" s="5" t="s">
        <v>256</v>
      </c>
      <c r="CF1675" s="5" t="s">
        <v>238</v>
      </c>
      <c r="CI1675" s="6" t="s">
        <v>257</v>
      </c>
      <c r="CJ1675" s="5" t="s">
        <v>238</v>
      </c>
      <c r="CK1675" s="5" t="s">
        <v>258</v>
      </c>
      <c r="CL1675" s="5" t="s">
        <v>238</v>
      </c>
      <c r="CM1675" s="5" t="s">
        <v>238</v>
      </c>
      <c r="CN1675" s="5">
        <v>0</v>
      </c>
      <c r="CO1675" s="5" t="s">
        <v>259</v>
      </c>
      <c r="CP1675" s="5" t="s">
        <v>260</v>
      </c>
      <c r="CQ1675" s="5" t="s">
        <v>260</v>
      </c>
      <c r="CR1675" s="5" t="s">
        <v>261</v>
      </c>
      <c r="CU1675" s="8">
        <f>1</f>
        <v>1</v>
      </c>
      <c r="CV1675" s="8">
        <f>0</f>
        <v>0</v>
      </c>
      <c r="CX1675" s="8">
        <f>0</f>
        <v>0</v>
      </c>
      <c r="CY1675" s="8">
        <f>1</f>
        <v>1</v>
      </c>
      <c r="DA1675" s="5" t="s">
        <v>673</v>
      </c>
      <c r="DB1675" s="5" t="s">
        <v>238</v>
      </c>
      <c r="DD1675" s="5" t="s">
        <v>673</v>
      </c>
      <c r="DE1675" s="8">
        <f>431</f>
        <v>431</v>
      </c>
      <c r="DG1675" s="5" t="s">
        <v>238</v>
      </c>
      <c r="DH1675" s="5" t="s">
        <v>238</v>
      </c>
      <c r="DI1675" s="5" t="s">
        <v>238</v>
      </c>
      <c r="DJ1675" s="5" t="s">
        <v>238</v>
      </c>
      <c r="DN1675" s="5" t="s">
        <v>238</v>
      </c>
      <c r="DO1675" s="5" t="s">
        <v>238</v>
      </c>
      <c r="DP1675" s="5" t="s">
        <v>238</v>
      </c>
      <c r="DQ1675" s="5" t="s">
        <v>238</v>
      </c>
      <c r="DT1675" s="5" t="s">
        <v>2039</v>
      </c>
      <c r="DU1675" s="5" t="s">
        <v>302</v>
      </c>
      <c r="HM1675" s="5" t="s">
        <v>264</v>
      </c>
    </row>
    <row r="1676" spans="1:221" x14ac:dyDescent="0.4">
      <c r="A1676" s="5">
        <v>3351</v>
      </c>
      <c r="B1676" s="5">
        <v>1</v>
      </c>
      <c r="C1676" s="5">
        <v>1</v>
      </c>
      <c r="D1676" s="5" t="s">
        <v>2037</v>
      </c>
      <c r="E1676" s="5" t="s">
        <v>271</v>
      </c>
      <c r="F1676" s="5" t="s">
        <v>248</v>
      </c>
      <c r="G1676" s="5" t="s">
        <v>1969</v>
      </c>
      <c r="H1676" s="6" t="s">
        <v>3673</v>
      </c>
      <c r="I1676" s="7">
        <f>1038</f>
        <v>1038</v>
      </c>
      <c r="J1676" s="5" t="s">
        <v>262</v>
      </c>
      <c r="K1676" s="8">
        <f>1</f>
        <v>1</v>
      </c>
      <c r="L1676" s="6" t="s">
        <v>242</v>
      </c>
      <c r="M1676" s="5" t="s">
        <v>267</v>
      </c>
      <c r="N1676" s="5" t="s">
        <v>265</v>
      </c>
      <c r="O1676" s="5" t="s">
        <v>238</v>
      </c>
      <c r="P1676" s="5" t="s">
        <v>238</v>
      </c>
      <c r="Q1676" s="5" t="s">
        <v>268</v>
      </c>
      <c r="R1676" s="5" t="s">
        <v>270</v>
      </c>
      <c r="S1676" s="5" t="s">
        <v>238</v>
      </c>
      <c r="V1676" s="5" t="s">
        <v>238</v>
      </c>
      <c r="X1676" s="6" t="s">
        <v>238</v>
      </c>
      <c r="AA1676" s="6" t="s">
        <v>243</v>
      </c>
      <c r="AB1676" s="5" t="s">
        <v>238</v>
      </c>
      <c r="AC1676" s="5" t="s">
        <v>244</v>
      </c>
      <c r="AD1676" s="5" t="s">
        <v>245</v>
      </c>
      <c r="AT1676" s="5" t="s">
        <v>246</v>
      </c>
      <c r="AU1676" s="5" t="s">
        <v>238</v>
      </c>
      <c r="AV1676" s="5" t="s">
        <v>247</v>
      </c>
      <c r="AW1676" s="5" t="s">
        <v>238</v>
      </c>
      <c r="AX1676" s="5" t="s">
        <v>249</v>
      </c>
      <c r="AY1676" s="5" t="s">
        <v>238</v>
      </c>
      <c r="BA1676" s="5" t="s">
        <v>238</v>
      </c>
      <c r="BC1676" s="5" t="s">
        <v>250</v>
      </c>
      <c r="BD1676" s="6" t="s">
        <v>243</v>
      </c>
      <c r="BE1676" s="5" t="s">
        <v>251</v>
      </c>
      <c r="BF1676" s="5" t="s">
        <v>252</v>
      </c>
      <c r="BG1676" s="5" t="s">
        <v>238</v>
      </c>
      <c r="BH1676" s="7">
        <f>0</f>
        <v>0</v>
      </c>
      <c r="BI1676" s="8">
        <f>0</f>
        <v>0</v>
      </c>
      <c r="BJ1676" s="5" t="s">
        <v>253</v>
      </c>
      <c r="BK1676" s="5" t="s">
        <v>254</v>
      </c>
      <c r="BY1676" s="5" t="s">
        <v>238</v>
      </c>
      <c r="BZ1676" s="5" t="s">
        <v>238</v>
      </c>
      <c r="CD1676" s="5" t="s">
        <v>273</v>
      </c>
      <c r="CE1676" s="5" t="s">
        <v>256</v>
      </c>
      <c r="CF1676" s="5" t="s">
        <v>238</v>
      </c>
      <c r="CI1676" s="6" t="s">
        <v>257</v>
      </c>
      <c r="CJ1676" s="5" t="s">
        <v>238</v>
      </c>
      <c r="CK1676" s="5" t="s">
        <v>258</v>
      </c>
      <c r="CL1676" s="5" t="s">
        <v>238</v>
      </c>
      <c r="CM1676" s="5" t="s">
        <v>238</v>
      </c>
      <c r="CN1676" s="5">
        <v>0</v>
      </c>
      <c r="CO1676" s="5" t="s">
        <v>259</v>
      </c>
      <c r="CP1676" s="5" t="s">
        <v>260</v>
      </c>
      <c r="CQ1676" s="5" t="s">
        <v>260</v>
      </c>
      <c r="CR1676" s="5" t="s">
        <v>261</v>
      </c>
      <c r="CU1676" s="8">
        <f>1</f>
        <v>1</v>
      </c>
      <c r="CV1676" s="8">
        <f>0</f>
        <v>0</v>
      </c>
      <c r="CX1676" s="8">
        <f>0</f>
        <v>0</v>
      </c>
      <c r="CY1676" s="8">
        <f>1</f>
        <v>1</v>
      </c>
      <c r="DA1676" s="5" t="s">
        <v>673</v>
      </c>
      <c r="DB1676" s="5" t="s">
        <v>238</v>
      </c>
      <c r="DD1676" s="5" t="s">
        <v>673</v>
      </c>
      <c r="DE1676" s="8">
        <f>1038</f>
        <v>1038</v>
      </c>
      <c r="DG1676" s="5" t="s">
        <v>238</v>
      </c>
      <c r="DH1676" s="5" t="s">
        <v>238</v>
      </c>
      <c r="DI1676" s="5" t="s">
        <v>238</v>
      </c>
      <c r="DJ1676" s="5" t="s">
        <v>238</v>
      </c>
      <c r="DN1676" s="5" t="s">
        <v>238</v>
      </c>
      <c r="DO1676" s="5" t="s">
        <v>238</v>
      </c>
      <c r="DP1676" s="5" t="s">
        <v>238</v>
      </c>
      <c r="DQ1676" s="5" t="s">
        <v>238</v>
      </c>
      <c r="DT1676" s="5" t="s">
        <v>2039</v>
      </c>
      <c r="DU1676" s="5" t="s">
        <v>524</v>
      </c>
      <c r="HM1676" s="5" t="s">
        <v>264</v>
      </c>
    </row>
    <row r="1677" spans="1:221" x14ac:dyDescent="0.4">
      <c r="A1677" s="5">
        <v>3352</v>
      </c>
      <c r="B1677" s="5">
        <v>1</v>
      </c>
      <c r="C1677" s="5">
        <v>1</v>
      </c>
      <c r="D1677" s="5" t="s">
        <v>2037</v>
      </c>
      <c r="E1677" s="5" t="s">
        <v>271</v>
      </c>
      <c r="F1677" s="5" t="s">
        <v>248</v>
      </c>
      <c r="G1677" s="5" t="s">
        <v>1969</v>
      </c>
      <c r="H1677" s="6" t="s">
        <v>3680</v>
      </c>
      <c r="I1677" s="7">
        <f>987</f>
        <v>987</v>
      </c>
      <c r="J1677" s="5" t="s">
        <v>262</v>
      </c>
      <c r="K1677" s="8">
        <f>1</f>
        <v>1</v>
      </c>
      <c r="L1677" s="6" t="s">
        <v>242</v>
      </c>
      <c r="M1677" s="5" t="s">
        <v>267</v>
      </c>
      <c r="N1677" s="5" t="s">
        <v>265</v>
      </c>
      <c r="O1677" s="5" t="s">
        <v>238</v>
      </c>
      <c r="P1677" s="5" t="s">
        <v>238</v>
      </c>
      <c r="Q1677" s="5" t="s">
        <v>268</v>
      </c>
      <c r="R1677" s="5" t="s">
        <v>270</v>
      </c>
      <c r="S1677" s="5" t="s">
        <v>238</v>
      </c>
      <c r="V1677" s="5" t="s">
        <v>238</v>
      </c>
      <c r="X1677" s="6" t="s">
        <v>238</v>
      </c>
      <c r="AA1677" s="6" t="s">
        <v>243</v>
      </c>
      <c r="AB1677" s="5" t="s">
        <v>238</v>
      </c>
      <c r="AC1677" s="5" t="s">
        <v>244</v>
      </c>
      <c r="AD1677" s="5" t="s">
        <v>245</v>
      </c>
      <c r="AT1677" s="5" t="s">
        <v>246</v>
      </c>
      <c r="AU1677" s="5" t="s">
        <v>238</v>
      </c>
      <c r="AV1677" s="5" t="s">
        <v>247</v>
      </c>
      <c r="AW1677" s="5" t="s">
        <v>238</v>
      </c>
      <c r="AX1677" s="5" t="s">
        <v>249</v>
      </c>
      <c r="AY1677" s="5" t="s">
        <v>238</v>
      </c>
      <c r="BA1677" s="5" t="s">
        <v>238</v>
      </c>
      <c r="BC1677" s="5" t="s">
        <v>250</v>
      </c>
      <c r="BD1677" s="6" t="s">
        <v>243</v>
      </c>
      <c r="BE1677" s="5" t="s">
        <v>251</v>
      </c>
      <c r="BF1677" s="5" t="s">
        <v>252</v>
      </c>
      <c r="BG1677" s="5" t="s">
        <v>238</v>
      </c>
      <c r="BH1677" s="7">
        <f>0</f>
        <v>0</v>
      </c>
      <c r="BI1677" s="8">
        <f>0</f>
        <v>0</v>
      </c>
      <c r="BJ1677" s="5" t="s">
        <v>253</v>
      </c>
      <c r="BK1677" s="5" t="s">
        <v>254</v>
      </c>
      <c r="BY1677" s="5" t="s">
        <v>238</v>
      </c>
      <c r="BZ1677" s="5" t="s">
        <v>238</v>
      </c>
      <c r="CD1677" s="5" t="s">
        <v>273</v>
      </c>
      <c r="CE1677" s="5" t="s">
        <v>256</v>
      </c>
      <c r="CF1677" s="5" t="s">
        <v>238</v>
      </c>
      <c r="CI1677" s="6" t="s">
        <v>257</v>
      </c>
      <c r="CJ1677" s="5" t="s">
        <v>238</v>
      </c>
      <c r="CK1677" s="5" t="s">
        <v>258</v>
      </c>
      <c r="CL1677" s="5" t="s">
        <v>238</v>
      </c>
      <c r="CM1677" s="5" t="s">
        <v>238</v>
      </c>
      <c r="CN1677" s="5">
        <v>0</v>
      </c>
      <c r="CO1677" s="5" t="s">
        <v>259</v>
      </c>
      <c r="CP1677" s="5" t="s">
        <v>260</v>
      </c>
      <c r="CQ1677" s="5" t="s">
        <v>260</v>
      </c>
      <c r="CR1677" s="5" t="s">
        <v>261</v>
      </c>
      <c r="CU1677" s="8">
        <f>1</f>
        <v>1</v>
      </c>
      <c r="CV1677" s="8">
        <f>0</f>
        <v>0</v>
      </c>
      <c r="CX1677" s="8">
        <f>0</f>
        <v>0</v>
      </c>
      <c r="CY1677" s="8">
        <f>1</f>
        <v>1</v>
      </c>
      <c r="DA1677" s="5" t="s">
        <v>673</v>
      </c>
      <c r="DB1677" s="5" t="s">
        <v>238</v>
      </c>
      <c r="DD1677" s="5" t="s">
        <v>673</v>
      </c>
      <c r="DE1677" s="8">
        <f>987</f>
        <v>987</v>
      </c>
      <c r="DG1677" s="5" t="s">
        <v>238</v>
      </c>
      <c r="DH1677" s="5" t="s">
        <v>238</v>
      </c>
      <c r="DI1677" s="5" t="s">
        <v>238</v>
      </c>
      <c r="DJ1677" s="5" t="s">
        <v>238</v>
      </c>
      <c r="DN1677" s="5" t="s">
        <v>238</v>
      </c>
      <c r="DO1677" s="5" t="s">
        <v>238</v>
      </c>
      <c r="DP1677" s="5" t="s">
        <v>238</v>
      </c>
      <c r="DQ1677" s="5" t="s">
        <v>238</v>
      </c>
      <c r="DT1677" s="5" t="s">
        <v>2039</v>
      </c>
      <c r="DU1677" s="5" t="s">
        <v>3681</v>
      </c>
      <c r="HM1677" s="5" t="s">
        <v>264</v>
      </c>
    </row>
    <row r="1678" spans="1:221" x14ac:dyDescent="0.4">
      <c r="A1678" s="5">
        <v>3353</v>
      </c>
      <c r="B1678" s="5">
        <v>1</v>
      </c>
      <c r="C1678" s="5">
        <v>1</v>
      </c>
      <c r="D1678" s="5" t="s">
        <v>2037</v>
      </c>
      <c r="E1678" s="5" t="s">
        <v>271</v>
      </c>
      <c r="F1678" s="5" t="s">
        <v>248</v>
      </c>
      <c r="G1678" s="5" t="s">
        <v>1969</v>
      </c>
      <c r="H1678" s="6" t="s">
        <v>3558</v>
      </c>
      <c r="I1678" s="7">
        <f>2351</f>
        <v>2351</v>
      </c>
      <c r="J1678" s="5" t="s">
        <v>262</v>
      </c>
      <c r="K1678" s="8">
        <f>1</f>
        <v>1</v>
      </c>
      <c r="L1678" s="6" t="s">
        <v>242</v>
      </c>
      <c r="M1678" s="5" t="s">
        <v>267</v>
      </c>
      <c r="N1678" s="5" t="s">
        <v>265</v>
      </c>
      <c r="O1678" s="5" t="s">
        <v>238</v>
      </c>
      <c r="P1678" s="5" t="s">
        <v>238</v>
      </c>
      <c r="Q1678" s="5" t="s">
        <v>268</v>
      </c>
      <c r="R1678" s="5" t="s">
        <v>270</v>
      </c>
      <c r="S1678" s="5" t="s">
        <v>238</v>
      </c>
      <c r="V1678" s="5" t="s">
        <v>238</v>
      </c>
      <c r="X1678" s="6" t="s">
        <v>238</v>
      </c>
      <c r="AA1678" s="6" t="s">
        <v>243</v>
      </c>
      <c r="AB1678" s="5" t="s">
        <v>238</v>
      </c>
      <c r="AC1678" s="5" t="s">
        <v>244</v>
      </c>
      <c r="AD1678" s="5" t="s">
        <v>245</v>
      </c>
      <c r="AT1678" s="5" t="s">
        <v>246</v>
      </c>
      <c r="AU1678" s="5" t="s">
        <v>238</v>
      </c>
      <c r="AV1678" s="5" t="s">
        <v>247</v>
      </c>
      <c r="AW1678" s="5" t="s">
        <v>238</v>
      </c>
      <c r="AX1678" s="5" t="s">
        <v>249</v>
      </c>
      <c r="AY1678" s="5" t="s">
        <v>238</v>
      </c>
      <c r="BA1678" s="5" t="s">
        <v>238</v>
      </c>
      <c r="BC1678" s="5" t="s">
        <v>250</v>
      </c>
      <c r="BD1678" s="6" t="s">
        <v>243</v>
      </c>
      <c r="BE1678" s="5" t="s">
        <v>251</v>
      </c>
      <c r="BF1678" s="5" t="s">
        <v>252</v>
      </c>
      <c r="BG1678" s="5" t="s">
        <v>238</v>
      </c>
      <c r="BH1678" s="7">
        <f>0</f>
        <v>0</v>
      </c>
      <c r="BI1678" s="8">
        <f>0</f>
        <v>0</v>
      </c>
      <c r="BJ1678" s="5" t="s">
        <v>253</v>
      </c>
      <c r="BK1678" s="5" t="s">
        <v>254</v>
      </c>
      <c r="BY1678" s="5" t="s">
        <v>238</v>
      </c>
      <c r="BZ1678" s="5" t="s">
        <v>238</v>
      </c>
      <c r="CD1678" s="5" t="s">
        <v>273</v>
      </c>
      <c r="CE1678" s="5" t="s">
        <v>256</v>
      </c>
      <c r="CF1678" s="5" t="s">
        <v>238</v>
      </c>
      <c r="CI1678" s="6" t="s">
        <v>257</v>
      </c>
      <c r="CJ1678" s="5" t="s">
        <v>238</v>
      </c>
      <c r="CK1678" s="5" t="s">
        <v>258</v>
      </c>
      <c r="CL1678" s="5" t="s">
        <v>238</v>
      </c>
      <c r="CM1678" s="5" t="s">
        <v>238</v>
      </c>
      <c r="CN1678" s="5">
        <v>0</v>
      </c>
      <c r="CO1678" s="5" t="s">
        <v>259</v>
      </c>
      <c r="CP1678" s="5" t="s">
        <v>260</v>
      </c>
      <c r="CQ1678" s="5" t="s">
        <v>260</v>
      </c>
      <c r="CR1678" s="5" t="s">
        <v>261</v>
      </c>
      <c r="CU1678" s="8">
        <f>1</f>
        <v>1</v>
      </c>
      <c r="CV1678" s="8">
        <f>0</f>
        <v>0</v>
      </c>
      <c r="CX1678" s="8">
        <f>0</f>
        <v>0</v>
      </c>
      <c r="CY1678" s="8">
        <f>1</f>
        <v>1</v>
      </c>
      <c r="DA1678" s="5" t="s">
        <v>673</v>
      </c>
      <c r="DB1678" s="5" t="s">
        <v>238</v>
      </c>
      <c r="DD1678" s="5" t="s">
        <v>673</v>
      </c>
      <c r="DE1678" s="8">
        <f>2351</f>
        <v>2351</v>
      </c>
      <c r="DG1678" s="5" t="s">
        <v>238</v>
      </c>
      <c r="DH1678" s="5" t="s">
        <v>238</v>
      </c>
      <c r="DI1678" s="5" t="s">
        <v>238</v>
      </c>
      <c r="DJ1678" s="5" t="s">
        <v>238</v>
      </c>
      <c r="DN1678" s="5" t="s">
        <v>238</v>
      </c>
      <c r="DO1678" s="5" t="s">
        <v>238</v>
      </c>
      <c r="DP1678" s="5" t="s">
        <v>238</v>
      </c>
      <c r="DQ1678" s="5" t="s">
        <v>238</v>
      </c>
      <c r="DT1678" s="5" t="s">
        <v>2039</v>
      </c>
      <c r="DU1678" s="5" t="s">
        <v>540</v>
      </c>
      <c r="HM1678" s="5" t="s">
        <v>264</v>
      </c>
    </row>
    <row r="1679" spans="1:221" x14ac:dyDescent="0.4">
      <c r="A1679" s="5">
        <v>3354</v>
      </c>
      <c r="B1679" s="5">
        <v>1</v>
      </c>
      <c r="C1679" s="5">
        <v>1</v>
      </c>
      <c r="D1679" s="5" t="s">
        <v>2037</v>
      </c>
      <c r="E1679" s="5" t="s">
        <v>271</v>
      </c>
      <c r="F1679" s="5" t="s">
        <v>248</v>
      </c>
      <c r="G1679" s="5" t="s">
        <v>1969</v>
      </c>
      <c r="H1679" s="6" t="s">
        <v>3672</v>
      </c>
      <c r="I1679" s="7">
        <f>1493</f>
        <v>1493</v>
      </c>
      <c r="J1679" s="5" t="s">
        <v>262</v>
      </c>
      <c r="K1679" s="8">
        <f>1</f>
        <v>1</v>
      </c>
      <c r="L1679" s="6" t="s">
        <v>242</v>
      </c>
      <c r="M1679" s="5" t="s">
        <v>267</v>
      </c>
      <c r="N1679" s="5" t="s">
        <v>265</v>
      </c>
      <c r="O1679" s="5" t="s">
        <v>238</v>
      </c>
      <c r="P1679" s="5" t="s">
        <v>238</v>
      </c>
      <c r="Q1679" s="5" t="s">
        <v>268</v>
      </c>
      <c r="R1679" s="5" t="s">
        <v>270</v>
      </c>
      <c r="S1679" s="5" t="s">
        <v>238</v>
      </c>
      <c r="V1679" s="5" t="s">
        <v>238</v>
      </c>
      <c r="X1679" s="6" t="s">
        <v>238</v>
      </c>
      <c r="AA1679" s="6" t="s">
        <v>243</v>
      </c>
      <c r="AB1679" s="5" t="s">
        <v>238</v>
      </c>
      <c r="AC1679" s="5" t="s">
        <v>244</v>
      </c>
      <c r="AD1679" s="5" t="s">
        <v>245</v>
      </c>
      <c r="AT1679" s="5" t="s">
        <v>246</v>
      </c>
      <c r="AU1679" s="5" t="s">
        <v>238</v>
      </c>
      <c r="AV1679" s="5" t="s">
        <v>247</v>
      </c>
      <c r="AW1679" s="5" t="s">
        <v>238</v>
      </c>
      <c r="AX1679" s="5" t="s">
        <v>249</v>
      </c>
      <c r="AY1679" s="5" t="s">
        <v>238</v>
      </c>
      <c r="BA1679" s="5" t="s">
        <v>238</v>
      </c>
      <c r="BC1679" s="5" t="s">
        <v>250</v>
      </c>
      <c r="BD1679" s="6" t="s">
        <v>243</v>
      </c>
      <c r="BE1679" s="5" t="s">
        <v>251</v>
      </c>
      <c r="BF1679" s="5" t="s">
        <v>252</v>
      </c>
      <c r="BG1679" s="5" t="s">
        <v>238</v>
      </c>
      <c r="BH1679" s="7">
        <f>0</f>
        <v>0</v>
      </c>
      <c r="BI1679" s="8">
        <f>0</f>
        <v>0</v>
      </c>
      <c r="BJ1679" s="5" t="s">
        <v>253</v>
      </c>
      <c r="BK1679" s="5" t="s">
        <v>254</v>
      </c>
      <c r="BY1679" s="5" t="s">
        <v>238</v>
      </c>
      <c r="BZ1679" s="5" t="s">
        <v>238</v>
      </c>
      <c r="CD1679" s="5" t="s">
        <v>273</v>
      </c>
      <c r="CE1679" s="5" t="s">
        <v>256</v>
      </c>
      <c r="CF1679" s="5" t="s">
        <v>238</v>
      </c>
      <c r="CI1679" s="6" t="s">
        <v>257</v>
      </c>
      <c r="CJ1679" s="5" t="s">
        <v>238</v>
      </c>
      <c r="CK1679" s="5" t="s">
        <v>258</v>
      </c>
      <c r="CL1679" s="5" t="s">
        <v>238</v>
      </c>
      <c r="CM1679" s="5" t="s">
        <v>238</v>
      </c>
      <c r="CN1679" s="5">
        <v>0</v>
      </c>
      <c r="CO1679" s="5" t="s">
        <v>259</v>
      </c>
      <c r="CP1679" s="5" t="s">
        <v>260</v>
      </c>
      <c r="CQ1679" s="5" t="s">
        <v>260</v>
      </c>
      <c r="CR1679" s="5" t="s">
        <v>261</v>
      </c>
      <c r="CU1679" s="8">
        <f>1</f>
        <v>1</v>
      </c>
      <c r="CV1679" s="8">
        <f>0</f>
        <v>0</v>
      </c>
      <c r="CX1679" s="8">
        <f>0</f>
        <v>0</v>
      </c>
      <c r="CY1679" s="8">
        <f>1</f>
        <v>1</v>
      </c>
      <c r="DA1679" s="5" t="s">
        <v>673</v>
      </c>
      <c r="DB1679" s="5" t="s">
        <v>238</v>
      </c>
      <c r="DD1679" s="5" t="s">
        <v>673</v>
      </c>
      <c r="DE1679" s="8">
        <f>1493</f>
        <v>1493</v>
      </c>
      <c r="DG1679" s="5" t="s">
        <v>238</v>
      </c>
      <c r="DH1679" s="5" t="s">
        <v>238</v>
      </c>
      <c r="DI1679" s="5" t="s">
        <v>238</v>
      </c>
      <c r="DJ1679" s="5" t="s">
        <v>238</v>
      </c>
      <c r="DN1679" s="5" t="s">
        <v>238</v>
      </c>
      <c r="DO1679" s="5" t="s">
        <v>238</v>
      </c>
      <c r="DP1679" s="5" t="s">
        <v>238</v>
      </c>
      <c r="DQ1679" s="5" t="s">
        <v>238</v>
      </c>
      <c r="DT1679" s="5" t="s">
        <v>2039</v>
      </c>
      <c r="DU1679" s="5" t="s">
        <v>548</v>
      </c>
      <c r="HM1679" s="5" t="s">
        <v>264</v>
      </c>
    </row>
    <row r="1680" spans="1:221" x14ac:dyDescent="0.4">
      <c r="A1680" s="5">
        <v>3355</v>
      </c>
      <c r="B1680" s="5">
        <v>1</v>
      </c>
      <c r="C1680" s="5">
        <v>1</v>
      </c>
      <c r="D1680" s="5" t="s">
        <v>2037</v>
      </c>
      <c r="E1680" s="5" t="s">
        <v>271</v>
      </c>
      <c r="F1680" s="5" t="s">
        <v>248</v>
      </c>
      <c r="G1680" s="5" t="s">
        <v>1969</v>
      </c>
      <c r="H1680" s="6" t="s">
        <v>3460</v>
      </c>
      <c r="I1680" s="7">
        <f>1884</f>
        <v>1884</v>
      </c>
      <c r="J1680" s="5" t="s">
        <v>262</v>
      </c>
      <c r="K1680" s="8">
        <f>1</f>
        <v>1</v>
      </c>
      <c r="L1680" s="6" t="s">
        <v>242</v>
      </c>
      <c r="M1680" s="5" t="s">
        <v>267</v>
      </c>
      <c r="N1680" s="5" t="s">
        <v>265</v>
      </c>
      <c r="O1680" s="5" t="s">
        <v>238</v>
      </c>
      <c r="P1680" s="5" t="s">
        <v>238</v>
      </c>
      <c r="Q1680" s="5" t="s">
        <v>268</v>
      </c>
      <c r="R1680" s="5" t="s">
        <v>270</v>
      </c>
      <c r="S1680" s="5" t="s">
        <v>238</v>
      </c>
      <c r="V1680" s="5" t="s">
        <v>238</v>
      </c>
      <c r="X1680" s="6" t="s">
        <v>238</v>
      </c>
      <c r="AA1680" s="6" t="s">
        <v>243</v>
      </c>
      <c r="AB1680" s="5" t="s">
        <v>238</v>
      </c>
      <c r="AC1680" s="5" t="s">
        <v>244</v>
      </c>
      <c r="AD1680" s="5" t="s">
        <v>245</v>
      </c>
      <c r="AT1680" s="5" t="s">
        <v>246</v>
      </c>
      <c r="AU1680" s="5" t="s">
        <v>238</v>
      </c>
      <c r="AV1680" s="5" t="s">
        <v>247</v>
      </c>
      <c r="AW1680" s="5" t="s">
        <v>238</v>
      </c>
      <c r="AX1680" s="5" t="s">
        <v>249</v>
      </c>
      <c r="AY1680" s="5" t="s">
        <v>238</v>
      </c>
      <c r="BA1680" s="5" t="s">
        <v>238</v>
      </c>
      <c r="BC1680" s="5" t="s">
        <v>250</v>
      </c>
      <c r="BD1680" s="6" t="s">
        <v>243</v>
      </c>
      <c r="BE1680" s="5" t="s">
        <v>251</v>
      </c>
      <c r="BF1680" s="5" t="s">
        <v>252</v>
      </c>
      <c r="BG1680" s="5" t="s">
        <v>238</v>
      </c>
      <c r="BH1680" s="7">
        <f>0</f>
        <v>0</v>
      </c>
      <c r="BI1680" s="8">
        <f>0</f>
        <v>0</v>
      </c>
      <c r="BJ1680" s="5" t="s">
        <v>253</v>
      </c>
      <c r="BK1680" s="5" t="s">
        <v>254</v>
      </c>
      <c r="BY1680" s="5" t="s">
        <v>238</v>
      </c>
      <c r="BZ1680" s="5" t="s">
        <v>238</v>
      </c>
      <c r="CD1680" s="5" t="s">
        <v>273</v>
      </c>
      <c r="CE1680" s="5" t="s">
        <v>256</v>
      </c>
      <c r="CF1680" s="5" t="s">
        <v>238</v>
      </c>
      <c r="CI1680" s="6" t="s">
        <v>257</v>
      </c>
      <c r="CJ1680" s="5" t="s">
        <v>238</v>
      </c>
      <c r="CK1680" s="5" t="s">
        <v>258</v>
      </c>
      <c r="CL1680" s="5" t="s">
        <v>238</v>
      </c>
      <c r="CM1680" s="5" t="s">
        <v>238</v>
      </c>
      <c r="CN1680" s="5">
        <v>0</v>
      </c>
      <c r="CO1680" s="5" t="s">
        <v>259</v>
      </c>
      <c r="CP1680" s="5" t="s">
        <v>260</v>
      </c>
      <c r="CQ1680" s="5" t="s">
        <v>260</v>
      </c>
      <c r="CR1680" s="5" t="s">
        <v>261</v>
      </c>
      <c r="CU1680" s="8">
        <f>1</f>
        <v>1</v>
      </c>
      <c r="CV1680" s="8">
        <f>0</f>
        <v>0</v>
      </c>
      <c r="CX1680" s="8">
        <f>0</f>
        <v>0</v>
      </c>
      <c r="CY1680" s="8">
        <f>1</f>
        <v>1</v>
      </c>
      <c r="DA1680" s="5" t="s">
        <v>673</v>
      </c>
      <c r="DB1680" s="5" t="s">
        <v>238</v>
      </c>
      <c r="DD1680" s="5" t="s">
        <v>673</v>
      </c>
      <c r="DE1680" s="8">
        <f>1884</f>
        <v>1884</v>
      </c>
      <c r="DG1680" s="5" t="s">
        <v>238</v>
      </c>
      <c r="DH1680" s="5" t="s">
        <v>238</v>
      </c>
      <c r="DI1680" s="5" t="s">
        <v>238</v>
      </c>
      <c r="DJ1680" s="5" t="s">
        <v>238</v>
      </c>
      <c r="DN1680" s="5" t="s">
        <v>238</v>
      </c>
      <c r="DO1680" s="5" t="s">
        <v>238</v>
      </c>
      <c r="DP1680" s="5" t="s">
        <v>238</v>
      </c>
      <c r="DQ1680" s="5" t="s">
        <v>238</v>
      </c>
      <c r="DT1680" s="5" t="s">
        <v>2039</v>
      </c>
      <c r="DU1680" s="5" t="s">
        <v>556</v>
      </c>
      <c r="HM1680" s="5" t="s">
        <v>264</v>
      </c>
    </row>
    <row r="1681" spans="1:221" x14ac:dyDescent="0.4">
      <c r="A1681" s="5">
        <v>3356</v>
      </c>
      <c r="B1681" s="5">
        <v>1</v>
      </c>
      <c r="C1681" s="5">
        <v>1</v>
      </c>
      <c r="D1681" s="5" t="s">
        <v>2037</v>
      </c>
      <c r="E1681" s="5" t="s">
        <v>271</v>
      </c>
      <c r="F1681" s="5" t="s">
        <v>248</v>
      </c>
      <c r="G1681" s="5" t="s">
        <v>1969</v>
      </c>
      <c r="H1681" s="6" t="s">
        <v>3299</v>
      </c>
      <c r="I1681" s="7">
        <f>117</f>
        <v>117</v>
      </c>
      <c r="J1681" s="5" t="s">
        <v>262</v>
      </c>
      <c r="K1681" s="8">
        <f>1</f>
        <v>1</v>
      </c>
      <c r="L1681" s="6" t="s">
        <v>242</v>
      </c>
      <c r="M1681" s="5" t="s">
        <v>267</v>
      </c>
      <c r="N1681" s="5" t="s">
        <v>265</v>
      </c>
      <c r="O1681" s="5" t="s">
        <v>238</v>
      </c>
      <c r="P1681" s="5" t="s">
        <v>238</v>
      </c>
      <c r="Q1681" s="5" t="s">
        <v>268</v>
      </c>
      <c r="R1681" s="5" t="s">
        <v>270</v>
      </c>
      <c r="S1681" s="5" t="s">
        <v>238</v>
      </c>
      <c r="V1681" s="5" t="s">
        <v>238</v>
      </c>
      <c r="X1681" s="6" t="s">
        <v>238</v>
      </c>
      <c r="AA1681" s="6" t="s">
        <v>243</v>
      </c>
      <c r="AB1681" s="5" t="s">
        <v>238</v>
      </c>
      <c r="AC1681" s="5" t="s">
        <v>244</v>
      </c>
      <c r="AD1681" s="5" t="s">
        <v>245</v>
      </c>
      <c r="AT1681" s="5" t="s">
        <v>246</v>
      </c>
      <c r="AU1681" s="5" t="s">
        <v>238</v>
      </c>
      <c r="AV1681" s="5" t="s">
        <v>247</v>
      </c>
      <c r="AW1681" s="5" t="s">
        <v>238</v>
      </c>
      <c r="AX1681" s="5" t="s">
        <v>249</v>
      </c>
      <c r="AY1681" s="5" t="s">
        <v>238</v>
      </c>
      <c r="BA1681" s="5" t="s">
        <v>238</v>
      </c>
      <c r="BC1681" s="5" t="s">
        <v>250</v>
      </c>
      <c r="BD1681" s="6" t="s">
        <v>243</v>
      </c>
      <c r="BE1681" s="5" t="s">
        <v>251</v>
      </c>
      <c r="BF1681" s="5" t="s">
        <v>252</v>
      </c>
      <c r="BG1681" s="5" t="s">
        <v>238</v>
      </c>
      <c r="BH1681" s="7">
        <f>0</f>
        <v>0</v>
      </c>
      <c r="BI1681" s="8">
        <f>0</f>
        <v>0</v>
      </c>
      <c r="BJ1681" s="5" t="s">
        <v>253</v>
      </c>
      <c r="BK1681" s="5" t="s">
        <v>254</v>
      </c>
      <c r="BY1681" s="5" t="s">
        <v>238</v>
      </c>
      <c r="BZ1681" s="5" t="s">
        <v>238</v>
      </c>
      <c r="CD1681" s="5" t="s">
        <v>273</v>
      </c>
      <c r="CE1681" s="5" t="s">
        <v>256</v>
      </c>
      <c r="CF1681" s="5" t="s">
        <v>238</v>
      </c>
      <c r="CI1681" s="6" t="s">
        <v>257</v>
      </c>
      <c r="CJ1681" s="5" t="s">
        <v>238</v>
      </c>
      <c r="CK1681" s="5" t="s">
        <v>258</v>
      </c>
      <c r="CL1681" s="5" t="s">
        <v>238</v>
      </c>
      <c r="CM1681" s="5" t="s">
        <v>238</v>
      </c>
      <c r="CN1681" s="5">
        <v>0</v>
      </c>
      <c r="CO1681" s="5" t="s">
        <v>259</v>
      </c>
      <c r="CP1681" s="5" t="s">
        <v>260</v>
      </c>
      <c r="CQ1681" s="5" t="s">
        <v>260</v>
      </c>
      <c r="CR1681" s="5" t="s">
        <v>261</v>
      </c>
      <c r="CU1681" s="8">
        <f>1</f>
        <v>1</v>
      </c>
      <c r="CV1681" s="8">
        <f>0</f>
        <v>0</v>
      </c>
      <c r="CX1681" s="8">
        <f>0</f>
        <v>0</v>
      </c>
      <c r="CY1681" s="8">
        <f>1</f>
        <v>1</v>
      </c>
      <c r="DA1681" s="5" t="s">
        <v>673</v>
      </c>
      <c r="DB1681" s="5" t="s">
        <v>238</v>
      </c>
      <c r="DD1681" s="5" t="s">
        <v>673</v>
      </c>
      <c r="DE1681" s="8">
        <f>117</f>
        <v>117</v>
      </c>
      <c r="DG1681" s="5" t="s">
        <v>238</v>
      </c>
      <c r="DH1681" s="5" t="s">
        <v>238</v>
      </c>
      <c r="DI1681" s="5" t="s">
        <v>238</v>
      </c>
      <c r="DJ1681" s="5" t="s">
        <v>238</v>
      </c>
      <c r="DN1681" s="5" t="s">
        <v>238</v>
      </c>
      <c r="DO1681" s="5" t="s">
        <v>238</v>
      </c>
      <c r="DP1681" s="5" t="s">
        <v>238</v>
      </c>
      <c r="DQ1681" s="5" t="s">
        <v>238</v>
      </c>
      <c r="DT1681" s="5" t="s">
        <v>2039</v>
      </c>
      <c r="DU1681" s="5" t="s">
        <v>564</v>
      </c>
      <c r="HM1681" s="5" t="s">
        <v>264</v>
      </c>
    </row>
    <row r="1682" spans="1:221" x14ac:dyDescent="0.4">
      <c r="A1682" s="5">
        <v>3357</v>
      </c>
      <c r="B1682" s="5">
        <v>1</v>
      </c>
      <c r="C1682" s="5">
        <v>1</v>
      </c>
      <c r="D1682" s="5" t="s">
        <v>2037</v>
      </c>
      <c r="E1682" s="5" t="s">
        <v>271</v>
      </c>
      <c r="F1682" s="5" t="s">
        <v>248</v>
      </c>
      <c r="G1682" s="5" t="s">
        <v>1969</v>
      </c>
      <c r="H1682" s="6" t="s">
        <v>3540</v>
      </c>
      <c r="I1682" s="7">
        <f>1675</f>
        <v>1675</v>
      </c>
      <c r="J1682" s="5" t="s">
        <v>262</v>
      </c>
      <c r="K1682" s="8">
        <f>1</f>
        <v>1</v>
      </c>
      <c r="L1682" s="6" t="s">
        <v>242</v>
      </c>
      <c r="M1682" s="5" t="s">
        <v>267</v>
      </c>
      <c r="N1682" s="5" t="s">
        <v>265</v>
      </c>
      <c r="O1682" s="5" t="s">
        <v>238</v>
      </c>
      <c r="P1682" s="5" t="s">
        <v>238</v>
      </c>
      <c r="Q1682" s="5" t="s">
        <v>268</v>
      </c>
      <c r="R1682" s="5" t="s">
        <v>270</v>
      </c>
      <c r="S1682" s="5" t="s">
        <v>238</v>
      </c>
      <c r="V1682" s="5" t="s">
        <v>238</v>
      </c>
      <c r="X1682" s="6" t="s">
        <v>238</v>
      </c>
      <c r="AA1682" s="6" t="s">
        <v>243</v>
      </c>
      <c r="AB1682" s="5" t="s">
        <v>238</v>
      </c>
      <c r="AC1682" s="5" t="s">
        <v>244</v>
      </c>
      <c r="AD1682" s="5" t="s">
        <v>245</v>
      </c>
      <c r="AT1682" s="5" t="s">
        <v>246</v>
      </c>
      <c r="AU1682" s="5" t="s">
        <v>238</v>
      </c>
      <c r="AV1682" s="5" t="s">
        <v>247</v>
      </c>
      <c r="AW1682" s="5" t="s">
        <v>238</v>
      </c>
      <c r="AX1682" s="5" t="s">
        <v>249</v>
      </c>
      <c r="AY1682" s="5" t="s">
        <v>238</v>
      </c>
      <c r="BA1682" s="5" t="s">
        <v>238</v>
      </c>
      <c r="BC1682" s="5" t="s">
        <v>250</v>
      </c>
      <c r="BD1682" s="6" t="s">
        <v>243</v>
      </c>
      <c r="BE1682" s="5" t="s">
        <v>251</v>
      </c>
      <c r="BF1682" s="5" t="s">
        <v>252</v>
      </c>
      <c r="BG1682" s="5" t="s">
        <v>238</v>
      </c>
      <c r="BH1682" s="7">
        <f>0</f>
        <v>0</v>
      </c>
      <c r="BI1682" s="8">
        <f>0</f>
        <v>0</v>
      </c>
      <c r="BJ1682" s="5" t="s">
        <v>253</v>
      </c>
      <c r="BK1682" s="5" t="s">
        <v>254</v>
      </c>
      <c r="BY1682" s="5" t="s">
        <v>238</v>
      </c>
      <c r="BZ1682" s="5" t="s">
        <v>238</v>
      </c>
      <c r="CD1682" s="5" t="s">
        <v>273</v>
      </c>
      <c r="CE1682" s="5" t="s">
        <v>256</v>
      </c>
      <c r="CF1682" s="5" t="s">
        <v>238</v>
      </c>
      <c r="CI1682" s="6" t="s">
        <v>257</v>
      </c>
      <c r="CJ1682" s="5" t="s">
        <v>238</v>
      </c>
      <c r="CK1682" s="5" t="s">
        <v>258</v>
      </c>
      <c r="CL1682" s="5" t="s">
        <v>238</v>
      </c>
      <c r="CM1682" s="5" t="s">
        <v>238</v>
      </c>
      <c r="CN1682" s="5">
        <v>0</v>
      </c>
      <c r="CO1682" s="5" t="s">
        <v>259</v>
      </c>
      <c r="CP1682" s="5" t="s">
        <v>260</v>
      </c>
      <c r="CQ1682" s="5" t="s">
        <v>260</v>
      </c>
      <c r="CR1682" s="5" t="s">
        <v>261</v>
      </c>
      <c r="CU1682" s="8">
        <f>1</f>
        <v>1</v>
      </c>
      <c r="CV1682" s="8">
        <f>0</f>
        <v>0</v>
      </c>
      <c r="CX1682" s="8">
        <f>0</f>
        <v>0</v>
      </c>
      <c r="CY1682" s="8">
        <f>1</f>
        <v>1</v>
      </c>
      <c r="DA1682" s="5" t="s">
        <v>673</v>
      </c>
      <c r="DB1682" s="5" t="s">
        <v>238</v>
      </c>
      <c r="DD1682" s="5" t="s">
        <v>673</v>
      </c>
      <c r="DE1682" s="8">
        <f>1675</f>
        <v>1675</v>
      </c>
      <c r="DG1682" s="5" t="s">
        <v>238</v>
      </c>
      <c r="DH1682" s="5" t="s">
        <v>238</v>
      </c>
      <c r="DI1682" s="5" t="s">
        <v>238</v>
      </c>
      <c r="DJ1682" s="5" t="s">
        <v>238</v>
      </c>
      <c r="DN1682" s="5" t="s">
        <v>238</v>
      </c>
      <c r="DO1682" s="5" t="s">
        <v>238</v>
      </c>
      <c r="DP1682" s="5" t="s">
        <v>238</v>
      </c>
      <c r="DQ1682" s="5" t="s">
        <v>238</v>
      </c>
      <c r="DT1682" s="5" t="s">
        <v>2039</v>
      </c>
      <c r="DU1682" s="5" t="s">
        <v>3541</v>
      </c>
      <c r="HM1682" s="5" t="s">
        <v>264</v>
      </c>
    </row>
    <row r="1683" spans="1:221" x14ac:dyDescent="0.4">
      <c r="A1683" s="5">
        <v>3358</v>
      </c>
      <c r="B1683" s="5">
        <v>1</v>
      </c>
      <c r="C1683" s="5">
        <v>1</v>
      </c>
      <c r="D1683" s="5" t="s">
        <v>2037</v>
      </c>
      <c r="E1683" s="5" t="s">
        <v>271</v>
      </c>
      <c r="F1683" s="5" t="s">
        <v>248</v>
      </c>
      <c r="G1683" s="5" t="s">
        <v>1969</v>
      </c>
      <c r="H1683" s="6" t="s">
        <v>3622</v>
      </c>
      <c r="I1683" s="7">
        <f>1257</f>
        <v>1257</v>
      </c>
      <c r="J1683" s="5" t="s">
        <v>262</v>
      </c>
      <c r="K1683" s="8">
        <f>1</f>
        <v>1</v>
      </c>
      <c r="L1683" s="6" t="s">
        <v>242</v>
      </c>
      <c r="M1683" s="5" t="s">
        <v>267</v>
      </c>
      <c r="N1683" s="5" t="s">
        <v>265</v>
      </c>
      <c r="O1683" s="5" t="s">
        <v>238</v>
      </c>
      <c r="P1683" s="5" t="s">
        <v>238</v>
      </c>
      <c r="Q1683" s="5" t="s">
        <v>268</v>
      </c>
      <c r="R1683" s="5" t="s">
        <v>270</v>
      </c>
      <c r="S1683" s="5" t="s">
        <v>238</v>
      </c>
      <c r="V1683" s="5" t="s">
        <v>238</v>
      </c>
      <c r="X1683" s="6" t="s">
        <v>238</v>
      </c>
      <c r="AA1683" s="6" t="s">
        <v>243</v>
      </c>
      <c r="AB1683" s="5" t="s">
        <v>238</v>
      </c>
      <c r="AC1683" s="5" t="s">
        <v>244</v>
      </c>
      <c r="AD1683" s="5" t="s">
        <v>245</v>
      </c>
      <c r="AT1683" s="5" t="s">
        <v>246</v>
      </c>
      <c r="AU1683" s="5" t="s">
        <v>238</v>
      </c>
      <c r="AV1683" s="5" t="s">
        <v>247</v>
      </c>
      <c r="AW1683" s="5" t="s">
        <v>238</v>
      </c>
      <c r="AX1683" s="5" t="s">
        <v>249</v>
      </c>
      <c r="AY1683" s="5" t="s">
        <v>238</v>
      </c>
      <c r="BA1683" s="5" t="s">
        <v>238</v>
      </c>
      <c r="BC1683" s="5" t="s">
        <v>250</v>
      </c>
      <c r="BD1683" s="6" t="s">
        <v>243</v>
      </c>
      <c r="BE1683" s="5" t="s">
        <v>251</v>
      </c>
      <c r="BF1683" s="5" t="s">
        <v>252</v>
      </c>
      <c r="BG1683" s="5" t="s">
        <v>238</v>
      </c>
      <c r="BH1683" s="7">
        <f>0</f>
        <v>0</v>
      </c>
      <c r="BI1683" s="8">
        <f>0</f>
        <v>0</v>
      </c>
      <c r="BJ1683" s="5" t="s">
        <v>253</v>
      </c>
      <c r="BK1683" s="5" t="s">
        <v>254</v>
      </c>
      <c r="BY1683" s="5" t="s">
        <v>238</v>
      </c>
      <c r="BZ1683" s="5" t="s">
        <v>238</v>
      </c>
      <c r="CD1683" s="5" t="s">
        <v>273</v>
      </c>
      <c r="CE1683" s="5" t="s">
        <v>256</v>
      </c>
      <c r="CF1683" s="5" t="s">
        <v>238</v>
      </c>
      <c r="CI1683" s="6" t="s">
        <v>257</v>
      </c>
      <c r="CJ1683" s="5" t="s">
        <v>238</v>
      </c>
      <c r="CK1683" s="5" t="s">
        <v>258</v>
      </c>
      <c r="CL1683" s="5" t="s">
        <v>238</v>
      </c>
      <c r="CM1683" s="5" t="s">
        <v>238</v>
      </c>
      <c r="CN1683" s="5">
        <v>0</v>
      </c>
      <c r="CO1683" s="5" t="s">
        <v>259</v>
      </c>
      <c r="CP1683" s="5" t="s">
        <v>260</v>
      </c>
      <c r="CQ1683" s="5" t="s">
        <v>260</v>
      </c>
      <c r="CR1683" s="5" t="s">
        <v>261</v>
      </c>
      <c r="CU1683" s="8">
        <f>1</f>
        <v>1</v>
      </c>
      <c r="CV1683" s="8">
        <f>0</f>
        <v>0</v>
      </c>
      <c r="CX1683" s="8">
        <f>0</f>
        <v>0</v>
      </c>
      <c r="CY1683" s="8">
        <f>1</f>
        <v>1</v>
      </c>
      <c r="DA1683" s="5" t="s">
        <v>673</v>
      </c>
      <c r="DB1683" s="5" t="s">
        <v>238</v>
      </c>
      <c r="DD1683" s="5" t="s">
        <v>673</v>
      </c>
      <c r="DE1683" s="8">
        <f>1257</f>
        <v>1257</v>
      </c>
      <c r="DG1683" s="5" t="s">
        <v>238</v>
      </c>
      <c r="DH1683" s="5" t="s">
        <v>238</v>
      </c>
      <c r="DI1683" s="5" t="s">
        <v>238</v>
      </c>
      <c r="DJ1683" s="5" t="s">
        <v>238</v>
      </c>
      <c r="DN1683" s="5" t="s">
        <v>238</v>
      </c>
      <c r="DO1683" s="5" t="s">
        <v>238</v>
      </c>
      <c r="DP1683" s="5" t="s">
        <v>238</v>
      </c>
      <c r="DQ1683" s="5" t="s">
        <v>238</v>
      </c>
      <c r="DT1683" s="5" t="s">
        <v>2039</v>
      </c>
      <c r="DU1683" s="5" t="s">
        <v>572</v>
      </c>
      <c r="HM1683" s="5" t="s">
        <v>264</v>
      </c>
    </row>
    <row r="1684" spans="1:221" x14ac:dyDescent="0.4">
      <c r="A1684" s="5">
        <v>3359</v>
      </c>
      <c r="B1684" s="5">
        <v>1</v>
      </c>
      <c r="C1684" s="5">
        <v>1</v>
      </c>
      <c r="D1684" s="5" t="s">
        <v>2037</v>
      </c>
      <c r="E1684" s="5" t="s">
        <v>271</v>
      </c>
      <c r="F1684" s="5" t="s">
        <v>248</v>
      </c>
      <c r="G1684" s="5" t="s">
        <v>1969</v>
      </c>
      <c r="H1684" s="6" t="s">
        <v>3536</v>
      </c>
      <c r="I1684" s="7">
        <f>720</f>
        <v>720</v>
      </c>
      <c r="J1684" s="5" t="s">
        <v>262</v>
      </c>
      <c r="K1684" s="8">
        <f>1</f>
        <v>1</v>
      </c>
      <c r="L1684" s="6" t="s">
        <v>242</v>
      </c>
      <c r="M1684" s="5" t="s">
        <v>267</v>
      </c>
      <c r="N1684" s="5" t="s">
        <v>265</v>
      </c>
      <c r="O1684" s="5" t="s">
        <v>238</v>
      </c>
      <c r="P1684" s="5" t="s">
        <v>238</v>
      </c>
      <c r="Q1684" s="5" t="s">
        <v>268</v>
      </c>
      <c r="R1684" s="5" t="s">
        <v>270</v>
      </c>
      <c r="S1684" s="5" t="s">
        <v>238</v>
      </c>
      <c r="V1684" s="5" t="s">
        <v>238</v>
      </c>
      <c r="X1684" s="6" t="s">
        <v>238</v>
      </c>
      <c r="AA1684" s="6" t="s">
        <v>243</v>
      </c>
      <c r="AB1684" s="5" t="s">
        <v>238</v>
      </c>
      <c r="AC1684" s="5" t="s">
        <v>244</v>
      </c>
      <c r="AD1684" s="5" t="s">
        <v>245</v>
      </c>
      <c r="AT1684" s="5" t="s">
        <v>246</v>
      </c>
      <c r="AU1684" s="5" t="s">
        <v>238</v>
      </c>
      <c r="AV1684" s="5" t="s">
        <v>247</v>
      </c>
      <c r="AW1684" s="5" t="s">
        <v>238</v>
      </c>
      <c r="AX1684" s="5" t="s">
        <v>249</v>
      </c>
      <c r="AY1684" s="5" t="s">
        <v>238</v>
      </c>
      <c r="BA1684" s="5" t="s">
        <v>238</v>
      </c>
      <c r="BC1684" s="5" t="s">
        <v>250</v>
      </c>
      <c r="BD1684" s="6" t="s">
        <v>243</v>
      </c>
      <c r="BE1684" s="5" t="s">
        <v>251</v>
      </c>
      <c r="BF1684" s="5" t="s">
        <v>252</v>
      </c>
      <c r="BG1684" s="5" t="s">
        <v>238</v>
      </c>
      <c r="BH1684" s="7">
        <f>0</f>
        <v>0</v>
      </c>
      <c r="BI1684" s="8">
        <f>0</f>
        <v>0</v>
      </c>
      <c r="BJ1684" s="5" t="s">
        <v>253</v>
      </c>
      <c r="BK1684" s="5" t="s">
        <v>254</v>
      </c>
      <c r="BY1684" s="5" t="s">
        <v>238</v>
      </c>
      <c r="BZ1684" s="5" t="s">
        <v>238</v>
      </c>
      <c r="CD1684" s="5" t="s">
        <v>273</v>
      </c>
      <c r="CE1684" s="5" t="s">
        <v>256</v>
      </c>
      <c r="CF1684" s="5" t="s">
        <v>238</v>
      </c>
      <c r="CI1684" s="6" t="s">
        <v>257</v>
      </c>
      <c r="CJ1684" s="5" t="s">
        <v>238</v>
      </c>
      <c r="CK1684" s="5" t="s">
        <v>258</v>
      </c>
      <c r="CL1684" s="5" t="s">
        <v>238</v>
      </c>
      <c r="CM1684" s="5" t="s">
        <v>238</v>
      </c>
      <c r="CN1684" s="5">
        <v>0</v>
      </c>
      <c r="CO1684" s="5" t="s">
        <v>259</v>
      </c>
      <c r="CP1684" s="5" t="s">
        <v>260</v>
      </c>
      <c r="CQ1684" s="5" t="s">
        <v>260</v>
      </c>
      <c r="CR1684" s="5" t="s">
        <v>261</v>
      </c>
      <c r="CU1684" s="8">
        <f>1</f>
        <v>1</v>
      </c>
      <c r="CV1684" s="8">
        <f>0</f>
        <v>0</v>
      </c>
      <c r="CX1684" s="8">
        <f>0</f>
        <v>0</v>
      </c>
      <c r="CY1684" s="8">
        <f>1</f>
        <v>1</v>
      </c>
      <c r="DA1684" s="5" t="s">
        <v>673</v>
      </c>
      <c r="DB1684" s="5" t="s">
        <v>238</v>
      </c>
      <c r="DD1684" s="5" t="s">
        <v>673</v>
      </c>
      <c r="DE1684" s="8">
        <f>720</f>
        <v>720</v>
      </c>
      <c r="DG1684" s="5" t="s">
        <v>238</v>
      </c>
      <c r="DH1684" s="5" t="s">
        <v>238</v>
      </c>
      <c r="DI1684" s="5" t="s">
        <v>238</v>
      </c>
      <c r="DJ1684" s="5" t="s">
        <v>238</v>
      </c>
      <c r="DN1684" s="5" t="s">
        <v>238</v>
      </c>
      <c r="DO1684" s="5" t="s">
        <v>238</v>
      </c>
      <c r="DP1684" s="5" t="s">
        <v>238</v>
      </c>
      <c r="DQ1684" s="5" t="s">
        <v>238</v>
      </c>
      <c r="DT1684" s="5" t="s">
        <v>2039</v>
      </c>
      <c r="DU1684" s="5" t="s">
        <v>578</v>
      </c>
      <c r="HM1684" s="5" t="s">
        <v>264</v>
      </c>
    </row>
    <row r="1685" spans="1:221" x14ac:dyDescent="0.4">
      <c r="A1685" s="5">
        <v>3360</v>
      </c>
      <c r="B1685" s="5">
        <v>1</v>
      </c>
      <c r="C1685" s="5">
        <v>1</v>
      </c>
      <c r="D1685" s="5" t="s">
        <v>2037</v>
      </c>
      <c r="E1685" s="5" t="s">
        <v>271</v>
      </c>
      <c r="F1685" s="5" t="s">
        <v>248</v>
      </c>
      <c r="G1685" s="5" t="s">
        <v>1969</v>
      </c>
      <c r="H1685" s="6" t="s">
        <v>3662</v>
      </c>
      <c r="I1685" s="7">
        <f>461</f>
        <v>461</v>
      </c>
      <c r="J1685" s="5" t="s">
        <v>262</v>
      </c>
      <c r="K1685" s="8">
        <f>1</f>
        <v>1</v>
      </c>
      <c r="L1685" s="6" t="s">
        <v>242</v>
      </c>
      <c r="M1685" s="5" t="s">
        <v>267</v>
      </c>
      <c r="N1685" s="5" t="s">
        <v>265</v>
      </c>
      <c r="O1685" s="5" t="s">
        <v>238</v>
      </c>
      <c r="P1685" s="5" t="s">
        <v>238</v>
      </c>
      <c r="Q1685" s="5" t="s">
        <v>268</v>
      </c>
      <c r="R1685" s="5" t="s">
        <v>270</v>
      </c>
      <c r="S1685" s="5" t="s">
        <v>238</v>
      </c>
      <c r="V1685" s="5" t="s">
        <v>238</v>
      </c>
      <c r="X1685" s="6" t="s">
        <v>238</v>
      </c>
      <c r="AA1685" s="6" t="s">
        <v>243</v>
      </c>
      <c r="AB1685" s="5" t="s">
        <v>238</v>
      </c>
      <c r="AC1685" s="5" t="s">
        <v>244</v>
      </c>
      <c r="AD1685" s="5" t="s">
        <v>245</v>
      </c>
      <c r="AT1685" s="5" t="s">
        <v>246</v>
      </c>
      <c r="AU1685" s="5" t="s">
        <v>238</v>
      </c>
      <c r="AV1685" s="5" t="s">
        <v>247</v>
      </c>
      <c r="AW1685" s="5" t="s">
        <v>238</v>
      </c>
      <c r="AX1685" s="5" t="s">
        <v>249</v>
      </c>
      <c r="AY1685" s="5" t="s">
        <v>238</v>
      </c>
      <c r="BA1685" s="5" t="s">
        <v>238</v>
      </c>
      <c r="BC1685" s="5" t="s">
        <v>250</v>
      </c>
      <c r="BD1685" s="6" t="s">
        <v>243</v>
      </c>
      <c r="BE1685" s="5" t="s">
        <v>251</v>
      </c>
      <c r="BF1685" s="5" t="s">
        <v>252</v>
      </c>
      <c r="BG1685" s="5" t="s">
        <v>238</v>
      </c>
      <c r="BH1685" s="7">
        <f>0</f>
        <v>0</v>
      </c>
      <c r="BI1685" s="8">
        <f>0</f>
        <v>0</v>
      </c>
      <c r="BJ1685" s="5" t="s">
        <v>253</v>
      </c>
      <c r="BK1685" s="5" t="s">
        <v>254</v>
      </c>
      <c r="BY1685" s="5" t="s">
        <v>238</v>
      </c>
      <c r="BZ1685" s="5" t="s">
        <v>238</v>
      </c>
      <c r="CD1685" s="5" t="s">
        <v>273</v>
      </c>
      <c r="CE1685" s="5" t="s">
        <v>256</v>
      </c>
      <c r="CF1685" s="5" t="s">
        <v>238</v>
      </c>
      <c r="CI1685" s="6" t="s">
        <v>257</v>
      </c>
      <c r="CJ1685" s="5" t="s">
        <v>238</v>
      </c>
      <c r="CK1685" s="5" t="s">
        <v>258</v>
      </c>
      <c r="CL1685" s="5" t="s">
        <v>238</v>
      </c>
      <c r="CM1685" s="5" t="s">
        <v>238</v>
      </c>
      <c r="CN1685" s="5">
        <v>0</v>
      </c>
      <c r="CO1685" s="5" t="s">
        <v>259</v>
      </c>
      <c r="CP1685" s="5" t="s">
        <v>260</v>
      </c>
      <c r="CQ1685" s="5" t="s">
        <v>260</v>
      </c>
      <c r="CR1685" s="5" t="s">
        <v>261</v>
      </c>
      <c r="CU1685" s="8">
        <f>1</f>
        <v>1</v>
      </c>
      <c r="CV1685" s="8">
        <f>0</f>
        <v>0</v>
      </c>
      <c r="CX1685" s="8">
        <f>0</f>
        <v>0</v>
      </c>
      <c r="CY1685" s="8">
        <f>1</f>
        <v>1</v>
      </c>
      <c r="DA1685" s="5" t="s">
        <v>673</v>
      </c>
      <c r="DB1685" s="5" t="s">
        <v>238</v>
      </c>
      <c r="DD1685" s="5" t="s">
        <v>673</v>
      </c>
      <c r="DE1685" s="8">
        <f>461</f>
        <v>461</v>
      </c>
      <c r="DG1685" s="5" t="s">
        <v>238</v>
      </c>
      <c r="DH1685" s="5" t="s">
        <v>238</v>
      </c>
      <c r="DI1685" s="5" t="s">
        <v>238</v>
      </c>
      <c r="DJ1685" s="5" t="s">
        <v>238</v>
      </c>
      <c r="DN1685" s="5" t="s">
        <v>238</v>
      </c>
      <c r="DO1685" s="5" t="s">
        <v>238</v>
      </c>
      <c r="DP1685" s="5" t="s">
        <v>238</v>
      </c>
      <c r="DQ1685" s="5" t="s">
        <v>238</v>
      </c>
      <c r="DT1685" s="5" t="s">
        <v>2039</v>
      </c>
      <c r="DU1685" s="5" t="s">
        <v>588</v>
      </c>
      <c r="HM1685" s="5" t="s">
        <v>264</v>
      </c>
    </row>
    <row r="1686" spans="1:221" x14ac:dyDescent="0.4">
      <c r="A1686" s="5">
        <v>3361</v>
      </c>
      <c r="B1686" s="5">
        <v>1</v>
      </c>
      <c r="C1686" s="5">
        <v>1</v>
      </c>
      <c r="D1686" s="5" t="s">
        <v>2037</v>
      </c>
      <c r="E1686" s="5" t="s">
        <v>271</v>
      </c>
      <c r="F1686" s="5" t="s">
        <v>248</v>
      </c>
      <c r="G1686" s="5" t="s">
        <v>1969</v>
      </c>
      <c r="H1686" s="6" t="s">
        <v>3651</v>
      </c>
      <c r="I1686" s="7">
        <f>1714</f>
        <v>1714</v>
      </c>
      <c r="J1686" s="5" t="s">
        <v>262</v>
      </c>
      <c r="K1686" s="8">
        <f>1</f>
        <v>1</v>
      </c>
      <c r="L1686" s="6" t="s">
        <v>242</v>
      </c>
      <c r="M1686" s="5" t="s">
        <v>267</v>
      </c>
      <c r="N1686" s="5" t="s">
        <v>265</v>
      </c>
      <c r="O1686" s="5" t="s">
        <v>238</v>
      </c>
      <c r="P1686" s="5" t="s">
        <v>238</v>
      </c>
      <c r="Q1686" s="5" t="s">
        <v>268</v>
      </c>
      <c r="R1686" s="5" t="s">
        <v>270</v>
      </c>
      <c r="S1686" s="5" t="s">
        <v>238</v>
      </c>
      <c r="V1686" s="5" t="s">
        <v>238</v>
      </c>
      <c r="X1686" s="6" t="s">
        <v>238</v>
      </c>
      <c r="AA1686" s="6" t="s">
        <v>243</v>
      </c>
      <c r="AB1686" s="5" t="s">
        <v>238</v>
      </c>
      <c r="AC1686" s="5" t="s">
        <v>244</v>
      </c>
      <c r="AD1686" s="5" t="s">
        <v>245</v>
      </c>
      <c r="AT1686" s="5" t="s">
        <v>246</v>
      </c>
      <c r="AU1686" s="5" t="s">
        <v>238</v>
      </c>
      <c r="AV1686" s="5" t="s">
        <v>247</v>
      </c>
      <c r="AW1686" s="5" t="s">
        <v>238</v>
      </c>
      <c r="AX1686" s="5" t="s">
        <v>249</v>
      </c>
      <c r="AY1686" s="5" t="s">
        <v>238</v>
      </c>
      <c r="BA1686" s="5" t="s">
        <v>238</v>
      </c>
      <c r="BC1686" s="5" t="s">
        <v>250</v>
      </c>
      <c r="BD1686" s="6" t="s">
        <v>243</v>
      </c>
      <c r="BE1686" s="5" t="s">
        <v>251</v>
      </c>
      <c r="BF1686" s="5" t="s">
        <v>252</v>
      </c>
      <c r="BG1686" s="5" t="s">
        <v>238</v>
      </c>
      <c r="BH1686" s="7">
        <f>0</f>
        <v>0</v>
      </c>
      <c r="BI1686" s="8">
        <f>0</f>
        <v>0</v>
      </c>
      <c r="BJ1686" s="5" t="s">
        <v>253</v>
      </c>
      <c r="BK1686" s="5" t="s">
        <v>254</v>
      </c>
      <c r="BY1686" s="5" t="s">
        <v>238</v>
      </c>
      <c r="BZ1686" s="5" t="s">
        <v>238</v>
      </c>
      <c r="CD1686" s="5" t="s">
        <v>273</v>
      </c>
      <c r="CE1686" s="5" t="s">
        <v>256</v>
      </c>
      <c r="CF1686" s="5" t="s">
        <v>238</v>
      </c>
      <c r="CI1686" s="6" t="s">
        <v>257</v>
      </c>
      <c r="CJ1686" s="5" t="s">
        <v>238</v>
      </c>
      <c r="CK1686" s="5" t="s">
        <v>258</v>
      </c>
      <c r="CL1686" s="5" t="s">
        <v>238</v>
      </c>
      <c r="CM1686" s="5" t="s">
        <v>238</v>
      </c>
      <c r="CN1686" s="5">
        <v>0</v>
      </c>
      <c r="CO1686" s="5" t="s">
        <v>259</v>
      </c>
      <c r="CP1686" s="5" t="s">
        <v>260</v>
      </c>
      <c r="CQ1686" s="5" t="s">
        <v>260</v>
      </c>
      <c r="CR1686" s="5" t="s">
        <v>261</v>
      </c>
      <c r="CU1686" s="8">
        <f>1</f>
        <v>1</v>
      </c>
      <c r="CV1686" s="8">
        <f>0</f>
        <v>0</v>
      </c>
      <c r="CX1686" s="8">
        <f>0</f>
        <v>0</v>
      </c>
      <c r="CY1686" s="8">
        <f>1</f>
        <v>1</v>
      </c>
      <c r="DA1686" s="5" t="s">
        <v>673</v>
      </c>
      <c r="DB1686" s="5" t="s">
        <v>238</v>
      </c>
      <c r="DD1686" s="5" t="s">
        <v>673</v>
      </c>
      <c r="DE1686" s="8">
        <f>1714</f>
        <v>1714</v>
      </c>
      <c r="DG1686" s="5" t="s">
        <v>238</v>
      </c>
      <c r="DH1686" s="5" t="s">
        <v>238</v>
      </c>
      <c r="DI1686" s="5" t="s">
        <v>238</v>
      </c>
      <c r="DJ1686" s="5" t="s">
        <v>238</v>
      </c>
      <c r="DN1686" s="5" t="s">
        <v>238</v>
      </c>
      <c r="DO1686" s="5" t="s">
        <v>238</v>
      </c>
      <c r="DP1686" s="5" t="s">
        <v>238</v>
      </c>
      <c r="DQ1686" s="5" t="s">
        <v>238</v>
      </c>
      <c r="DT1686" s="5" t="s">
        <v>2039</v>
      </c>
      <c r="DU1686" s="5" t="s">
        <v>594</v>
      </c>
      <c r="HM1686" s="5" t="s">
        <v>264</v>
      </c>
    </row>
    <row r="1687" spans="1:221" x14ac:dyDescent="0.4">
      <c r="A1687" s="5">
        <v>3362</v>
      </c>
      <c r="B1687" s="5">
        <v>1</v>
      </c>
      <c r="C1687" s="5">
        <v>1</v>
      </c>
      <c r="D1687" s="5" t="s">
        <v>2037</v>
      </c>
      <c r="E1687" s="5" t="s">
        <v>271</v>
      </c>
      <c r="F1687" s="5" t="s">
        <v>248</v>
      </c>
      <c r="G1687" s="5" t="s">
        <v>1969</v>
      </c>
      <c r="H1687" s="6" t="s">
        <v>3637</v>
      </c>
      <c r="I1687" s="7">
        <f>702</f>
        <v>702</v>
      </c>
      <c r="J1687" s="5" t="s">
        <v>262</v>
      </c>
      <c r="K1687" s="8">
        <f>1</f>
        <v>1</v>
      </c>
      <c r="L1687" s="6" t="s">
        <v>242</v>
      </c>
      <c r="M1687" s="5" t="s">
        <v>267</v>
      </c>
      <c r="N1687" s="5" t="s">
        <v>265</v>
      </c>
      <c r="O1687" s="5" t="s">
        <v>238</v>
      </c>
      <c r="P1687" s="5" t="s">
        <v>238</v>
      </c>
      <c r="Q1687" s="5" t="s">
        <v>268</v>
      </c>
      <c r="R1687" s="5" t="s">
        <v>270</v>
      </c>
      <c r="S1687" s="5" t="s">
        <v>238</v>
      </c>
      <c r="V1687" s="5" t="s">
        <v>238</v>
      </c>
      <c r="X1687" s="6" t="s">
        <v>238</v>
      </c>
      <c r="AA1687" s="6" t="s">
        <v>243</v>
      </c>
      <c r="AB1687" s="5" t="s">
        <v>238</v>
      </c>
      <c r="AC1687" s="5" t="s">
        <v>244</v>
      </c>
      <c r="AD1687" s="5" t="s">
        <v>245</v>
      </c>
      <c r="AT1687" s="5" t="s">
        <v>246</v>
      </c>
      <c r="AU1687" s="5" t="s">
        <v>238</v>
      </c>
      <c r="AV1687" s="5" t="s">
        <v>247</v>
      </c>
      <c r="AW1687" s="5" t="s">
        <v>238</v>
      </c>
      <c r="AX1687" s="5" t="s">
        <v>249</v>
      </c>
      <c r="AY1687" s="5" t="s">
        <v>238</v>
      </c>
      <c r="BA1687" s="5" t="s">
        <v>238</v>
      </c>
      <c r="BC1687" s="5" t="s">
        <v>250</v>
      </c>
      <c r="BD1687" s="6" t="s">
        <v>243</v>
      </c>
      <c r="BE1687" s="5" t="s">
        <v>251</v>
      </c>
      <c r="BF1687" s="5" t="s">
        <v>252</v>
      </c>
      <c r="BG1687" s="5" t="s">
        <v>238</v>
      </c>
      <c r="BH1687" s="7">
        <f>0</f>
        <v>0</v>
      </c>
      <c r="BI1687" s="8">
        <f>0</f>
        <v>0</v>
      </c>
      <c r="BJ1687" s="5" t="s">
        <v>253</v>
      </c>
      <c r="BK1687" s="5" t="s">
        <v>254</v>
      </c>
      <c r="BY1687" s="5" t="s">
        <v>238</v>
      </c>
      <c r="BZ1687" s="5" t="s">
        <v>238</v>
      </c>
      <c r="CD1687" s="5" t="s">
        <v>273</v>
      </c>
      <c r="CE1687" s="5" t="s">
        <v>256</v>
      </c>
      <c r="CF1687" s="5" t="s">
        <v>238</v>
      </c>
      <c r="CI1687" s="6" t="s">
        <v>257</v>
      </c>
      <c r="CJ1687" s="5" t="s">
        <v>238</v>
      </c>
      <c r="CK1687" s="5" t="s">
        <v>258</v>
      </c>
      <c r="CL1687" s="5" t="s">
        <v>238</v>
      </c>
      <c r="CM1687" s="5" t="s">
        <v>238</v>
      </c>
      <c r="CN1687" s="5">
        <v>0</v>
      </c>
      <c r="CO1687" s="5" t="s">
        <v>259</v>
      </c>
      <c r="CP1687" s="5" t="s">
        <v>260</v>
      </c>
      <c r="CQ1687" s="5" t="s">
        <v>260</v>
      </c>
      <c r="CR1687" s="5" t="s">
        <v>261</v>
      </c>
      <c r="CU1687" s="8">
        <f>1</f>
        <v>1</v>
      </c>
      <c r="CV1687" s="8">
        <f>0</f>
        <v>0</v>
      </c>
      <c r="CX1687" s="8">
        <f>0</f>
        <v>0</v>
      </c>
      <c r="CY1687" s="8">
        <f>1</f>
        <v>1</v>
      </c>
      <c r="DA1687" s="5" t="s">
        <v>673</v>
      </c>
      <c r="DB1687" s="5" t="s">
        <v>238</v>
      </c>
      <c r="DD1687" s="5" t="s">
        <v>673</v>
      </c>
      <c r="DE1687" s="8">
        <f>702</f>
        <v>702</v>
      </c>
      <c r="DG1687" s="5" t="s">
        <v>238</v>
      </c>
      <c r="DH1687" s="5" t="s">
        <v>238</v>
      </c>
      <c r="DI1687" s="5" t="s">
        <v>238</v>
      </c>
      <c r="DJ1687" s="5" t="s">
        <v>238</v>
      </c>
      <c r="DN1687" s="5" t="s">
        <v>238</v>
      </c>
      <c r="DO1687" s="5" t="s">
        <v>238</v>
      </c>
      <c r="DP1687" s="5" t="s">
        <v>238</v>
      </c>
      <c r="DQ1687" s="5" t="s">
        <v>238</v>
      </c>
      <c r="DT1687" s="5" t="s">
        <v>2039</v>
      </c>
      <c r="DU1687" s="5" t="s">
        <v>3638</v>
      </c>
      <c r="HM1687" s="5" t="s">
        <v>264</v>
      </c>
    </row>
    <row r="1688" spans="1:221" x14ac:dyDescent="0.4">
      <c r="A1688" s="5">
        <v>3363</v>
      </c>
      <c r="B1688" s="5">
        <v>1</v>
      </c>
      <c r="C1688" s="5">
        <v>1</v>
      </c>
      <c r="D1688" s="5" t="s">
        <v>2037</v>
      </c>
      <c r="E1688" s="5" t="s">
        <v>271</v>
      </c>
      <c r="F1688" s="5" t="s">
        <v>248</v>
      </c>
      <c r="G1688" s="5" t="s">
        <v>1969</v>
      </c>
      <c r="H1688" s="6" t="s">
        <v>3647</v>
      </c>
      <c r="I1688" s="7">
        <f>9.66</f>
        <v>9.66</v>
      </c>
      <c r="J1688" s="5" t="s">
        <v>262</v>
      </c>
      <c r="K1688" s="8">
        <f>1</f>
        <v>1</v>
      </c>
      <c r="L1688" s="6" t="s">
        <v>242</v>
      </c>
      <c r="M1688" s="5" t="s">
        <v>267</v>
      </c>
      <c r="N1688" s="5" t="s">
        <v>265</v>
      </c>
      <c r="O1688" s="5" t="s">
        <v>238</v>
      </c>
      <c r="P1688" s="5" t="s">
        <v>238</v>
      </c>
      <c r="Q1688" s="5" t="s">
        <v>268</v>
      </c>
      <c r="R1688" s="5" t="s">
        <v>270</v>
      </c>
      <c r="S1688" s="5" t="s">
        <v>238</v>
      </c>
      <c r="V1688" s="5" t="s">
        <v>238</v>
      </c>
      <c r="X1688" s="6" t="s">
        <v>238</v>
      </c>
      <c r="AA1688" s="6" t="s">
        <v>243</v>
      </c>
      <c r="AB1688" s="5" t="s">
        <v>238</v>
      </c>
      <c r="AC1688" s="5" t="s">
        <v>244</v>
      </c>
      <c r="AD1688" s="5" t="s">
        <v>245</v>
      </c>
      <c r="AT1688" s="5" t="s">
        <v>246</v>
      </c>
      <c r="AU1688" s="5" t="s">
        <v>238</v>
      </c>
      <c r="AV1688" s="5" t="s">
        <v>247</v>
      </c>
      <c r="AW1688" s="5" t="s">
        <v>238</v>
      </c>
      <c r="AX1688" s="5" t="s">
        <v>249</v>
      </c>
      <c r="AY1688" s="5" t="s">
        <v>238</v>
      </c>
      <c r="BA1688" s="5" t="s">
        <v>238</v>
      </c>
      <c r="BC1688" s="5" t="s">
        <v>250</v>
      </c>
      <c r="BD1688" s="6" t="s">
        <v>243</v>
      </c>
      <c r="BE1688" s="5" t="s">
        <v>251</v>
      </c>
      <c r="BF1688" s="5" t="s">
        <v>252</v>
      </c>
      <c r="BG1688" s="5" t="s">
        <v>238</v>
      </c>
      <c r="BH1688" s="7">
        <f>0</f>
        <v>0</v>
      </c>
      <c r="BI1688" s="8">
        <f>0</f>
        <v>0</v>
      </c>
      <c r="BJ1688" s="5" t="s">
        <v>253</v>
      </c>
      <c r="BK1688" s="5" t="s">
        <v>254</v>
      </c>
      <c r="BY1688" s="5" t="s">
        <v>238</v>
      </c>
      <c r="BZ1688" s="5" t="s">
        <v>238</v>
      </c>
      <c r="CD1688" s="5" t="s">
        <v>273</v>
      </c>
      <c r="CE1688" s="5" t="s">
        <v>256</v>
      </c>
      <c r="CF1688" s="5" t="s">
        <v>238</v>
      </c>
      <c r="CI1688" s="6" t="s">
        <v>257</v>
      </c>
      <c r="CJ1688" s="5" t="s">
        <v>238</v>
      </c>
      <c r="CK1688" s="5" t="s">
        <v>258</v>
      </c>
      <c r="CL1688" s="5" t="s">
        <v>238</v>
      </c>
      <c r="CM1688" s="5" t="s">
        <v>238</v>
      </c>
      <c r="CN1688" s="5">
        <v>0</v>
      </c>
      <c r="CO1688" s="5" t="s">
        <v>259</v>
      </c>
      <c r="CP1688" s="5" t="s">
        <v>260</v>
      </c>
      <c r="CQ1688" s="5" t="s">
        <v>260</v>
      </c>
      <c r="CR1688" s="5" t="s">
        <v>261</v>
      </c>
      <c r="CU1688" s="8">
        <f>1</f>
        <v>1</v>
      </c>
      <c r="CV1688" s="8">
        <f>0</f>
        <v>0</v>
      </c>
      <c r="CX1688" s="8">
        <f>0</f>
        <v>0</v>
      </c>
      <c r="CY1688" s="8">
        <f>1</f>
        <v>1</v>
      </c>
      <c r="DA1688" s="5" t="s">
        <v>673</v>
      </c>
      <c r="DB1688" s="5" t="s">
        <v>238</v>
      </c>
      <c r="DD1688" s="5" t="s">
        <v>673</v>
      </c>
      <c r="DE1688" s="8">
        <f>9.66</f>
        <v>9.66</v>
      </c>
      <c r="DG1688" s="5" t="s">
        <v>238</v>
      </c>
      <c r="DH1688" s="5" t="s">
        <v>238</v>
      </c>
      <c r="DI1688" s="5" t="s">
        <v>238</v>
      </c>
      <c r="DJ1688" s="5" t="s">
        <v>238</v>
      </c>
      <c r="DN1688" s="5" t="s">
        <v>238</v>
      </c>
      <c r="DO1688" s="5" t="s">
        <v>238</v>
      </c>
      <c r="DP1688" s="5" t="s">
        <v>238</v>
      </c>
      <c r="DQ1688" s="5" t="s">
        <v>238</v>
      </c>
      <c r="DT1688" s="5" t="s">
        <v>2039</v>
      </c>
      <c r="DU1688" s="5" t="s">
        <v>608</v>
      </c>
      <c r="HM1688" s="5" t="s">
        <v>264</v>
      </c>
    </row>
    <row r="1689" spans="1:221" x14ac:dyDescent="0.4">
      <c r="A1689" s="5">
        <v>3364</v>
      </c>
      <c r="B1689" s="5">
        <v>1</v>
      </c>
      <c r="C1689" s="5">
        <v>1</v>
      </c>
      <c r="D1689" s="5" t="s">
        <v>2037</v>
      </c>
      <c r="E1689" s="5" t="s">
        <v>271</v>
      </c>
      <c r="F1689" s="5" t="s">
        <v>248</v>
      </c>
      <c r="G1689" s="5" t="s">
        <v>1969</v>
      </c>
      <c r="H1689" s="6" t="s">
        <v>3653</v>
      </c>
      <c r="I1689" s="7">
        <f>440</f>
        <v>440</v>
      </c>
      <c r="J1689" s="5" t="s">
        <v>262</v>
      </c>
      <c r="K1689" s="8">
        <f>1</f>
        <v>1</v>
      </c>
      <c r="L1689" s="6" t="s">
        <v>242</v>
      </c>
      <c r="M1689" s="5" t="s">
        <v>267</v>
      </c>
      <c r="N1689" s="5" t="s">
        <v>265</v>
      </c>
      <c r="O1689" s="5" t="s">
        <v>238</v>
      </c>
      <c r="P1689" s="5" t="s">
        <v>238</v>
      </c>
      <c r="Q1689" s="5" t="s">
        <v>268</v>
      </c>
      <c r="R1689" s="5" t="s">
        <v>270</v>
      </c>
      <c r="S1689" s="5" t="s">
        <v>238</v>
      </c>
      <c r="V1689" s="5" t="s">
        <v>238</v>
      </c>
      <c r="X1689" s="6" t="s">
        <v>238</v>
      </c>
      <c r="AA1689" s="6" t="s">
        <v>243</v>
      </c>
      <c r="AB1689" s="5" t="s">
        <v>238</v>
      </c>
      <c r="AC1689" s="5" t="s">
        <v>244</v>
      </c>
      <c r="AD1689" s="5" t="s">
        <v>245</v>
      </c>
      <c r="AT1689" s="5" t="s">
        <v>246</v>
      </c>
      <c r="AU1689" s="5" t="s">
        <v>238</v>
      </c>
      <c r="AV1689" s="5" t="s">
        <v>247</v>
      </c>
      <c r="AW1689" s="5" t="s">
        <v>238</v>
      </c>
      <c r="AX1689" s="5" t="s">
        <v>249</v>
      </c>
      <c r="AY1689" s="5" t="s">
        <v>238</v>
      </c>
      <c r="BA1689" s="5" t="s">
        <v>238</v>
      </c>
      <c r="BC1689" s="5" t="s">
        <v>250</v>
      </c>
      <c r="BD1689" s="6" t="s">
        <v>243</v>
      </c>
      <c r="BE1689" s="5" t="s">
        <v>251</v>
      </c>
      <c r="BF1689" s="5" t="s">
        <v>252</v>
      </c>
      <c r="BG1689" s="5" t="s">
        <v>238</v>
      </c>
      <c r="BH1689" s="7">
        <f>0</f>
        <v>0</v>
      </c>
      <c r="BI1689" s="8">
        <f>0</f>
        <v>0</v>
      </c>
      <c r="BJ1689" s="5" t="s">
        <v>253</v>
      </c>
      <c r="BK1689" s="5" t="s">
        <v>254</v>
      </c>
      <c r="BY1689" s="5" t="s">
        <v>238</v>
      </c>
      <c r="BZ1689" s="5" t="s">
        <v>238</v>
      </c>
      <c r="CD1689" s="5" t="s">
        <v>273</v>
      </c>
      <c r="CE1689" s="5" t="s">
        <v>256</v>
      </c>
      <c r="CF1689" s="5" t="s">
        <v>238</v>
      </c>
      <c r="CI1689" s="6" t="s">
        <v>257</v>
      </c>
      <c r="CJ1689" s="5" t="s">
        <v>238</v>
      </c>
      <c r="CK1689" s="5" t="s">
        <v>258</v>
      </c>
      <c r="CL1689" s="5" t="s">
        <v>238</v>
      </c>
      <c r="CM1689" s="5" t="s">
        <v>238</v>
      </c>
      <c r="CN1689" s="5">
        <v>0</v>
      </c>
      <c r="CO1689" s="5" t="s">
        <v>259</v>
      </c>
      <c r="CP1689" s="5" t="s">
        <v>260</v>
      </c>
      <c r="CQ1689" s="5" t="s">
        <v>260</v>
      </c>
      <c r="CR1689" s="5" t="s">
        <v>261</v>
      </c>
      <c r="CU1689" s="8">
        <f>1</f>
        <v>1</v>
      </c>
      <c r="CV1689" s="8">
        <f>0</f>
        <v>0</v>
      </c>
      <c r="CX1689" s="8">
        <f>0</f>
        <v>0</v>
      </c>
      <c r="CY1689" s="8">
        <f>1</f>
        <v>1</v>
      </c>
      <c r="DA1689" s="5" t="s">
        <v>673</v>
      </c>
      <c r="DB1689" s="5" t="s">
        <v>238</v>
      </c>
      <c r="DD1689" s="5" t="s">
        <v>673</v>
      </c>
      <c r="DE1689" s="8">
        <f>440</f>
        <v>440</v>
      </c>
      <c r="DG1689" s="5" t="s">
        <v>238</v>
      </c>
      <c r="DH1689" s="5" t="s">
        <v>238</v>
      </c>
      <c r="DI1689" s="5" t="s">
        <v>238</v>
      </c>
      <c r="DJ1689" s="5" t="s">
        <v>238</v>
      </c>
      <c r="DN1689" s="5" t="s">
        <v>238</v>
      </c>
      <c r="DO1689" s="5" t="s">
        <v>238</v>
      </c>
      <c r="DP1689" s="5" t="s">
        <v>238</v>
      </c>
      <c r="DQ1689" s="5" t="s">
        <v>238</v>
      </c>
      <c r="DT1689" s="5" t="s">
        <v>2039</v>
      </c>
      <c r="DU1689" s="5" t="s">
        <v>616</v>
      </c>
      <c r="HM1689" s="5" t="s">
        <v>264</v>
      </c>
    </row>
    <row r="1690" spans="1:221" x14ac:dyDescent="0.4">
      <c r="A1690" s="5">
        <v>3365</v>
      </c>
      <c r="B1690" s="5">
        <v>1</v>
      </c>
      <c r="C1690" s="5">
        <v>1</v>
      </c>
      <c r="D1690" s="5" t="s">
        <v>2037</v>
      </c>
      <c r="E1690" s="5" t="s">
        <v>271</v>
      </c>
      <c r="F1690" s="5" t="s">
        <v>248</v>
      </c>
      <c r="G1690" s="5" t="s">
        <v>1969</v>
      </c>
      <c r="H1690" s="6" t="s">
        <v>3623</v>
      </c>
      <c r="I1690" s="7">
        <f>939</f>
        <v>939</v>
      </c>
      <c r="J1690" s="5" t="s">
        <v>262</v>
      </c>
      <c r="K1690" s="8">
        <f>1</f>
        <v>1</v>
      </c>
      <c r="L1690" s="6" t="s">
        <v>242</v>
      </c>
      <c r="M1690" s="5" t="s">
        <v>267</v>
      </c>
      <c r="N1690" s="5" t="s">
        <v>265</v>
      </c>
      <c r="O1690" s="5" t="s">
        <v>238</v>
      </c>
      <c r="P1690" s="5" t="s">
        <v>238</v>
      </c>
      <c r="Q1690" s="5" t="s">
        <v>268</v>
      </c>
      <c r="R1690" s="5" t="s">
        <v>270</v>
      </c>
      <c r="S1690" s="5" t="s">
        <v>238</v>
      </c>
      <c r="V1690" s="5" t="s">
        <v>238</v>
      </c>
      <c r="X1690" s="6" t="s">
        <v>238</v>
      </c>
      <c r="AA1690" s="6" t="s">
        <v>243</v>
      </c>
      <c r="AB1690" s="5" t="s">
        <v>238</v>
      </c>
      <c r="AC1690" s="5" t="s">
        <v>244</v>
      </c>
      <c r="AD1690" s="5" t="s">
        <v>245</v>
      </c>
      <c r="AT1690" s="5" t="s">
        <v>246</v>
      </c>
      <c r="AU1690" s="5" t="s">
        <v>238</v>
      </c>
      <c r="AV1690" s="5" t="s">
        <v>247</v>
      </c>
      <c r="AW1690" s="5" t="s">
        <v>238</v>
      </c>
      <c r="AX1690" s="5" t="s">
        <v>249</v>
      </c>
      <c r="AY1690" s="5" t="s">
        <v>238</v>
      </c>
      <c r="BA1690" s="5" t="s">
        <v>238</v>
      </c>
      <c r="BC1690" s="5" t="s">
        <v>250</v>
      </c>
      <c r="BD1690" s="6" t="s">
        <v>243</v>
      </c>
      <c r="BE1690" s="5" t="s">
        <v>251</v>
      </c>
      <c r="BF1690" s="5" t="s">
        <v>252</v>
      </c>
      <c r="BG1690" s="5" t="s">
        <v>238</v>
      </c>
      <c r="BH1690" s="7">
        <f>0</f>
        <v>0</v>
      </c>
      <c r="BI1690" s="8">
        <f>0</f>
        <v>0</v>
      </c>
      <c r="BJ1690" s="5" t="s">
        <v>253</v>
      </c>
      <c r="BK1690" s="5" t="s">
        <v>254</v>
      </c>
      <c r="BY1690" s="5" t="s">
        <v>238</v>
      </c>
      <c r="BZ1690" s="5" t="s">
        <v>238</v>
      </c>
      <c r="CD1690" s="5" t="s">
        <v>273</v>
      </c>
      <c r="CE1690" s="5" t="s">
        <v>256</v>
      </c>
      <c r="CF1690" s="5" t="s">
        <v>238</v>
      </c>
      <c r="CI1690" s="6" t="s">
        <v>257</v>
      </c>
      <c r="CJ1690" s="5" t="s">
        <v>238</v>
      </c>
      <c r="CK1690" s="5" t="s">
        <v>258</v>
      </c>
      <c r="CL1690" s="5" t="s">
        <v>238</v>
      </c>
      <c r="CM1690" s="5" t="s">
        <v>238</v>
      </c>
      <c r="CN1690" s="5">
        <v>0</v>
      </c>
      <c r="CO1690" s="5" t="s">
        <v>259</v>
      </c>
      <c r="CP1690" s="5" t="s">
        <v>260</v>
      </c>
      <c r="CQ1690" s="5" t="s">
        <v>260</v>
      </c>
      <c r="CR1690" s="5" t="s">
        <v>261</v>
      </c>
      <c r="CU1690" s="8">
        <f>1</f>
        <v>1</v>
      </c>
      <c r="CV1690" s="8">
        <f>0</f>
        <v>0</v>
      </c>
      <c r="CX1690" s="8">
        <f>0</f>
        <v>0</v>
      </c>
      <c r="CY1690" s="8">
        <f>1</f>
        <v>1</v>
      </c>
      <c r="DA1690" s="5" t="s">
        <v>673</v>
      </c>
      <c r="DB1690" s="5" t="s">
        <v>238</v>
      </c>
      <c r="DD1690" s="5" t="s">
        <v>673</v>
      </c>
      <c r="DE1690" s="8">
        <f>939</f>
        <v>939</v>
      </c>
      <c r="DG1690" s="5" t="s">
        <v>238</v>
      </c>
      <c r="DH1690" s="5" t="s">
        <v>238</v>
      </c>
      <c r="DI1690" s="5" t="s">
        <v>238</v>
      </c>
      <c r="DJ1690" s="5" t="s">
        <v>238</v>
      </c>
      <c r="DN1690" s="5" t="s">
        <v>238</v>
      </c>
      <c r="DO1690" s="5" t="s">
        <v>238</v>
      </c>
      <c r="DP1690" s="5" t="s">
        <v>238</v>
      </c>
      <c r="DQ1690" s="5" t="s">
        <v>238</v>
      </c>
      <c r="DT1690" s="5" t="s">
        <v>2039</v>
      </c>
      <c r="DU1690" s="5" t="s">
        <v>620</v>
      </c>
      <c r="HM1690" s="5" t="s">
        <v>264</v>
      </c>
    </row>
    <row r="1691" spans="1:221" x14ac:dyDescent="0.4">
      <c r="A1691" s="5">
        <v>3366</v>
      </c>
      <c r="B1691" s="5">
        <v>1</v>
      </c>
      <c r="C1691" s="5">
        <v>1</v>
      </c>
      <c r="D1691" s="5" t="s">
        <v>2037</v>
      </c>
      <c r="E1691" s="5" t="s">
        <v>271</v>
      </c>
      <c r="F1691" s="5" t="s">
        <v>248</v>
      </c>
      <c r="G1691" s="5" t="s">
        <v>1969</v>
      </c>
      <c r="H1691" s="6" t="s">
        <v>3602</v>
      </c>
      <c r="I1691" s="7">
        <f>326</f>
        <v>326</v>
      </c>
      <c r="J1691" s="5" t="s">
        <v>262</v>
      </c>
      <c r="K1691" s="8">
        <f>1</f>
        <v>1</v>
      </c>
      <c r="L1691" s="6" t="s">
        <v>242</v>
      </c>
      <c r="M1691" s="5" t="s">
        <v>267</v>
      </c>
      <c r="N1691" s="5" t="s">
        <v>265</v>
      </c>
      <c r="O1691" s="5" t="s">
        <v>238</v>
      </c>
      <c r="P1691" s="5" t="s">
        <v>238</v>
      </c>
      <c r="Q1691" s="5" t="s">
        <v>268</v>
      </c>
      <c r="R1691" s="5" t="s">
        <v>270</v>
      </c>
      <c r="S1691" s="5" t="s">
        <v>238</v>
      </c>
      <c r="V1691" s="5" t="s">
        <v>238</v>
      </c>
      <c r="X1691" s="6" t="s">
        <v>238</v>
      </c>
      <c r="AA1691" s="6" t="s">
        <v>243</v>
      </c>
      <c r="AB1691" s="5" t="s">
        <v>238</v>
      </c>
      <c r="AC1691" s="5" t="s">
        <v>244</v>
      </c>
      <c r="AD1691" s="5" t="s">
        <v>245</v>
      </c>
      <c r="AT1691" s="5" t="s">
        <v>246</v>
      </c>
      <c r="AU1691" s="5" t="s">
        <v>238</v>
      </c>
      <c r="AV1691" s="5" t="s">
        <v>247</v>
      </c>
      <c r="AW1691" s="5" t="s">
        <v>238</v>
      </c>
      <c r="AX1691" s="5" t="s">
        <v>249</v>
      </c>
      <c r="AY1691" s="5" t="s">
        <v>238</v>
      </c>
      <c r="BA1691" s="5" t="s">
        <v>238</v>
      </c>
      <c r="BC1691" s="5" t="s">
        <v>250</v>
      </c>
      <c r="BD1691" s="6" t="s">
        <v>243</v>
      </c>
      <c r="BE1691" s="5" t="s">
        <v>251</v>
      </c>
      <c r="BF1691" s="5" t="s">
        <v>252</v>
      </c>
      <c r="BG1691" s="5" t="s">
        <v>238</v>
      </c>
      <c r="BH1691" s="7">
        <f>0</f>
        <v>0</v>
      </c>
      <c r="BI1691" s="8">
        <f>0</f>
        <v>0</v>
      </c>
      <c r="BJ1691" s="5" t="s">
        <v>253</v>
      </c>
      <c r="BK1691" s="5" t="s">
        <v>254</v>
      </c>
      <c r="BY1691" s="5" t="s">
        <v>238</v>
      </c>
      <c r="BZ1691" s="5" t="s">
        <v>238</v>
      </c>
      <c r="CD1691" s="5" t="s">
        <v>273</v>
      </c>
      <c r="CE1691" s="5" t="s">
        <v>256</v>
      </c>
      <c r="CF1691" s="5" t="s">
        <v>238</v>
      </c>
      <c r="CI1691" s="6" t="s">
        <v>257</v>
      </c>
      <c r="CJ1691" s="5" t="s">
        <v>238</v>
      </c>
      <c r="CK1691" s="5" t="s">
        <v>258</v>
      </c>
      <c r="CL1691" s="5" t="s">
        <v>238</v>
      </c>
      <c r="CM1691" s="5" t="s">
        <v>238</v>
      </c>
      <c r="CN1691" s="5">
        <v>0</v>
      </c>
      <c r="CO1691" s="5" t="s">
        <v>259</v>
      </c>
      <c r="CP1691" s="5" t="s">
        <v>260</v>
      </c>
      <c r="CQ1691" s="5" t="s">
        <v>260</v>
      </c>
      <c r="CR1691" s="5" t="s">
        <v>261</v>
      </c>
      <c r="CU1691" s="8">
        <f>1</f>
        <v>1</v>
      </c>
      <c r="CV1691" s="8">
        <f>0</f>
        <v>0</v>
      </c>
      <c r="CX1691" s="8">
        <f>0</f>
        <v>0</v>
      </c>
      <c r="CY1691" s="8">
        <f>1</f>
        <v>1</v>
      </c>
      <c r="DA1691" s="5" t="s">
        <v>673</v>
      </c>
      <c r="DB1691" s="5" t="s">
        <v>238</v>
      </c>
      <c r="DD1691" s="5" t="s">
        <v>673</v>
      </c>
      <c r="DE1691" s="8">
        <f>326</f>
        <v>326</v>
      </c>
      <c r="DG1691" s="5" t="s">
        <v>238</v>
      </c>
      <c r="DH1691" s="5" t="s">
        <v>238</v>
      </c>
      <c r="DI1691" s="5" t="s">
        <v>238</v>
      </c>
      <c r="DJ1691" s="5" t="s">
        <v>238</v>
      </c>
      <c r="DN1691" s="5" t="s">
        <v>238</v>
      </c>
      <c r="DO1691" s="5" t="s">
        <v>238</v>
      </c>
      <c r="DP1691" s="5" t="s">
        <v>238</v>
      </c>
      <c r="DQ1691" s="5" t="s">
        <v>238</v>
      </c>
      <c r="DT1691" s="5" t="s">
        <v>2039</v>
      </c>
      <c r="DU1691" s="5" t="s">
        <v>628</v>
      </c>
      <c r="HM1691" s="5" t="s">
        <v>264</v>
      </c>
    </row>
    <row r="1692" spans="1:221" x14ac:dyDescent="0.4">
      <c r="A1692" s="5">
        <v>3367</v>
      </c>
      <c r="B1692" s="5">
        <v>1</v>
      </c>
      <c r="C1692" s="5">
        <v>1</v>
      </c>
      <c r="D1692" s="5" t="s">
        <v>2037</v>
      </c>
      <c r="E1692" s="5" t="s">
        <v>271</v>
      </c>
      <c r="F1692" s="5" t="s">
        <v>248</v>
      </c>
      <c r="G1692" s="5" t="s">
        <v>1969</v>
      </c>
      <c r="H1692" s="6" t="s">
        <v>3619</v>
      </c>
      <c r="I1692" s="7">
        <f>1631</f>
        <v>1631</v>
      </c>
      <c r="J1692" s="5" t="s">
        <v>262</v>
      </c>
      <c r="K1692" s="8">
        <f>1</f>
        <v>1</v>
      </c>
      <c r="L1692" s="6" t="s">
        <v>242</v>
      </c>
      <c r="M1692" s="5" t="s">
        <v>267</v>
      </c>
      <c r="N1692" s="5" t="s">
        <v>265</v>
      </c>
      <c r="O1692" s="5" t="s">
        <v>238</v>
      </c>
      <c r="P1692" s="5" t="s">
        <v>238</v>
      </c>
      <c r="Q1692" s="5" t="s">
        <v>268</v>
      </c>
      <c r="R1692" s="5" t="s">
        <v>270</v>
      </c>
      <c r="S1692" s="5" t="s">
        <v>238</v>
      </c>
      <c r="V1692" s="5" t="s">
        <v>238</v>
      </c>
      <c r="X1692" s="6" t="s">
        <v>238</v>
      </c>
      <c r="AA1692" s="6" t="s">
        <v>243</v>
      </c>
      <c r="AB1692" s="5" t="s">
        <v>238</v>
      </c>
      <c r="AC1692" s="5" t="s">
        <v>244</v>
      </c>
      <c r="AD1692" s="5" t="s">
        <v>245</v>
      </c>
      <c r="AT1692" s="5" t="s">
        <v>246</v>
      </c>
      <c r="AU1692" s="5" t="s">
        <v>238</v>
      </c>
      <c r="AV1692" s="5" t="s">
        <v>247</v>
      </c>
      <c r="AW1692" s="5" t="s">
        <v>238</v>
      </c>
      <c r="AX1692" s="5" t="s">
        <v>249</v>
      </c>
      <c r="AY1692" s="5" t="s">
        <v>238</v>
      </c>
      <c r="BA1692" s="5" t="s">
        <v>238</v>
      </c>
      <c r="BC1692" s="5" t="s">
        <v>250</v>
      </c>
      <c r="BD1692" s="6" t="s">
        <v>243</v>
      </c>
      <c r="BE1692" s="5" t="s">
        <v>251</v>
      </c>
      <c r="BF1692" s="5" t="s">
        <v>252</v>
      </c>
      <c r="BG1692" s="5" t="s">
        <v>238</v>
      </c>
      <c r="BH1692" s="7">
        <f>0</f>
        <v>0</v>
      </c>
      <c r="BI1692" s="8">
        <f>0</f>
        <v>0</v>
      </c>
      <c r="BJ1692" s="5" t="s">
        <v>253</v>
      </c>
      <c r="BK1692" s="5" t="s">
        <v>254</v>
      </c>
      <c r="BY1692" s="5" t="s">
        <v>238</v>
      </c>
      <c r="BZ1692" s="5" t="s">
        <v>238</v>
      </c>
      <c r="CD1692" s="5" t="s">
        <v>273</v>
      </c>
      <c r="CE1692" s="5" t="s">
        <v>256</v>
      </c>
      <c r="CF1692" s="5" t="s">
        <v>238</v>
      </c>
      <c r="CI1692" s="6" t="s">
        <v>257</v>
      </c>
      <c r="CJ1692" s="5" t="s">
        <v>238</v>
      </c>
      <c r="CK1692" s="5" t="s">
        <v>258</v>
      </c>
      <c r="CL1692" s="5" t="s">
        <v>238</v>
      </c>
      <c r="CM1692" s="5" t="s">
        <v>238</v>
      </c>
      <c r="CN1692" s="5">
        <v>0</v>
      </c>
      <c r="CO1692" s="5" t="s">
        <v>259</v>
      </c>
      <c r="CP1692" s="5" t="s">
        <v>260</v>
      </c>
      <c r="CQ1692" s="5" t="s">
        <v>260</v>
      </c>
      <c r="CR1692" s="5" t="s">
        <v>261</v>
      </c>
      <c r="CU1692" s="8">
        <f>1</f>
        <v>1</v>
      </c>
      <c r="CV1692" s="8">
        <f>0</f>
        <v>0</v>
      </c>
      <c r="CX1692" s="8">
        <f>0</f>
        <v>0</v>
      </c>
      <c r="CY1692" s="8">
        <f>1</f>
        <v>1</v>
      </c>
      <c r="DA1692" s="5" t="s">
        <v>673</v>
      </c>
      <c r="DB1692" s="5" t="s">
        <v>238</v>
      </c>
      <c r="DD1692" s="5" t="s">
        <v>673</v>
      </c>
      <c r="DE1692" s="8">
        <f>1631</f>
        <v>1631</v>
      </c>
      <c r="DG1692" s="5" t="s">
        <v>238</v>
      </c>
      <c r="DH1692" s="5" t="s">
        <v>238</v>
      </c>
      <c r="DI1692" s="5" t="s">
        <v>238</v>
      </c>
      <c r="DJ1692" s="5" t="s">
        <v>238</v>
      </c>
      <c r="DN1692" s="5" t="s">
        <v>238</v>
      </c>
      <c r="DO1692" s="5" t="s">
        <v>238</v>
      </c>
      <c r="DP1692" s="5" t="s">
        <v>238</v>
      </c>
      <c r="DQ1692" s="5" t="s">
        <v>238</v>
      </c>
      <c r="DT1692" s="5" t="s">
        <v>2039</v>
      </c>
      <c r="DU1692" s="5" t="s">
        <v>634</v>
      </c>
      <c r="HM1692" s="5" t="s">
        <v>264</v>
      </c>
    </row>
    <row r="1693" spans="1:221" x14ac:dyDescent="0.4">
      <c r="A1693" s="5">
        <v>3368</v>
      </c>
      <c r="B1693" s="5">
        <v>1</v>
      </c>
      <c r="C1693" s="5">
        <v>1</v>
      </c>
      <c r="D1693" s="5" t="s">
        <v>2037</v>
      </c>
      <c r="E1693" s="5" t="s">
        <v>271</v>
      </c>
      <c r="F1693" s="5" t="s">
        <v>248</v>
      </c>
      <c r="G1693" s="5" t="s">
        <v>1969</v>
      </c>
      <c r="H1693" s="6" t="s">
        <v>3600</v>
      </c>
      <c r="I1693" s="7">
        <f>1005</f>
        <v>1005</v>
      </c>
      <c r="J1693" s="5" t="s">
        <v>262</v>
      </c>
      <c r="K1693" s="8">
        <f>1</f>
        <v>1</v>
      </c>
      <c r="L1693" s="6" t="s">
        <v>242</v>
      </c>
      <c r="M1693" s="5" t="s">
        <v>267</v>
      </c>
      <c r="N1693" s="5" t="s">
        <v>265</v>
      </c>
      <c r="O1693" s="5" t="s">
        <v>238</v>
      </c>
      <c r="P1693" s="5" t="s">
        <v>238</v>
      </c>
      <c r="Q1693" s="5" t="s">
        <v>268</v>
      </c>
      <c r="R1693" s="5" t="s">
        <v>270</v>
      </c>
      <c r="S1693" s="5" t="s">
        <v>238</v>
      </c>
      <c r="V1693" s="5" t="s">
        <v>238</v>
      </c>
      <c r="X1693" s="6" t="s">
        <v>238</v>
      </c>
      <c r="AA1693" s="6" t="s">
        <v>243</v>
      </c>
      <c r="AB1693" s="5" t="s">
        <v>238</v>
      </c>
      <c r="AC1693" s="5" t="s">
        <v>244</v>
      </c>
      <c r="AD1693" s="5" t="s">
        <v>245</v>
      </c>
      <c r="AT1693" s="5" t="s">
        <v>246</v>
      </c>
      <c r="AU1693" s="5" t="s">
        <v>238</v>
      </c>
      <c r="AV1693" s="5" t="s">
        <v>247</v>
      </c>
      <c r="AW1693" s="5" t="s">
        <v>238</v>
      </c>
      <c r="AX1693" s="5" t="s">
        <v>249</v>
      </c>
      <c r="AY1693" s="5" t="s">
        <v>238</v>
      </c>
      <c r="BA1693" s="5" t="s">
        <v>238</v>
      </c>
      <c r="BC1693" s="5" t="s">
        <v>250</v>
      </c>
      <c r="BD1693" s="6" t="s">
        <v>243</v>
      </c>
      <c r="BE1693" s="5" t="s">
        <v>251</v>
      </c>
      <c r="BF1693" s="5" t="s">
        <v>252</v>
      </c>
      <c r="BG1693" s="5" t="s">
        <v>238</v>
      </c>
      <c r="BH1693" s="7">
        <f>0</f>
        <v>0</v>
      </c>
      <c r="BI1693" s="8">
        <f>0</f>
        <v>0</v>
      </c>
      <c r="BJ1693" s="5" t="s">
        <v>253</v>
      </c>
      <c r="BK1693" s="5" t="s">
        <v>254</v>
      </c>
      <c r="BY1693" s="5" t="s">
        <v>238</v>
      </c>
      <c r="BZ1693" s="5" t="s">
        <v>238</v>
      </c>
      <c r="CD1693" s="5" t="s">
        <v>273</v>
      </c>
      <c r="CE1693" s="5" t="s">
        <v>256</v>
      </c>
      <c r="CF1693" s="5" t="s">
        <v>238</v>
      </c>
      <c r="CI1693" s="6" t="s">
        <v>257</v>
      </c>
      <c r="CJ1693" s="5" t="s">
        <v>238</v>
      </c>
      <c r="CK1693" s="5" t="s">
        <v>258</v>
      </c>
      <c r="CL1693" s="5" t="s">
        <v>238</v>
      </c>
      <c r="CM1693" s="5" t="s">
        <v>238</v>
      </c>
      <c r="CN1693" s="5">
        <v>0</v>
      </c>
      <c r="CO1693" s="5" t="s">
        <v>259</v>
      </c>
      <c r="CP1693" s="5" t="s">
        <v>260</v>
      </c>
      <c r="CQ1693" s="5" t="s">
        <v>260</v>
      </c>
      <c r="CR1693" s="5" t="s">
        <v>261</v>
      </c>
      <c r="CU1693" s="8">
        <f>1</f>
        <v>1</v>
      </c>
      <c r="CV1693" s="8">
        <f>0</f>
        <v>0</v>
      </c>
      <c r="CX1693" s="8">
        <f>0</f>
        <v>0</v>
      </c>
      <c r="CY1693" s="8">
        <f>1</f>
        <v>1</v>
      </c>
      <c r="DA1693" s="5" t="s">
        <v>673</v>
      </c>
      <c r="DB1693" s="5" t="s">
        <v>238</v>
      </c>
      <c r="DD1693" s="5" t="s">
        <v>673</v>
      </c>
      <c r="DE1693" s="8">
        <f>1005</f>
        <v>1005</v>
      </c>
      <c r="DG1693" s="5" t="s">
        <v>238</v>
      </c>
      <c r="DH1693" s="5" t="s">
        <v>238</v>
      </c>
      <c r="DI1693" s="5" t="s">
        <v>238</v>
      </c>
      <c r="DJ1693" s="5" t="s">
        <v>238</v>
      </c>
      <c r="DN1693" s="5" t="s">
        <v>238</v>
      </c>
      <c r="DO1693" s="5" t="s">
        <v>238</v>
      </c>
      <c r="DP1693" s="5" t="s">
        <v>238</v>
      </c>
      <c r="DQ1693" s="5" t="s">
        <v>238</v>
      </c>
      <c r="DT1693" s="5" t="s">
        <v>2039</v>
      </c>
      <c r="DU1693" s="5" t="s">
        <v>640</v>
      </c>
      <c r="HM1693" s="5" t="s">
        <v>264</v>
      </c>
    </row>
    <row r="1694" spans="1:221" x14ac:dyDescent="0.4">
      <c r="A1694" s="5">
        <v>3369</v>
      </c>
      <c r="B1694" s="5">
        <v>1</v>
      </c>
      <c r="C1694" s="5">
        <v>1</v>
      </c>
      <c r="D1694" s="5" t="s">
        <v>2037</v>
      </c>
      <c r="E1694" s="5" t="s">
        <v>271</v>
      </c>
      <c r="F1694" s="5" t="s">
        <v>248</v>
      </c>
      <c r="G1694" s="5" t="s">
        <v>1969</v>
      </c>
      <c r="H1694" s="6" t="s">
        <v>3601</v>
      </c>
      <c r="I1694" s="7">
        <f>74</f>
        <v>74</v>
      </c>
      <c r="J1694" s="5" t="s">
        <v>262</v>
      </c>
      <c r="K1694" s="8">
        <f>1</f>
        <v>1</v>
      </c>
      <c r="L1694" s="6" t="s">
        <v>242</v>
      </c>
      <c r="M1694" s="5" t="s">
        <v>267</v>
      </c>
      <c r="N1694" s="5" t="s">
        <v>265</v>
      </c>
      <c r="O1694" s="5" t="s">
        <v>238</v>
      </c>
      <c r="P1694" s="5" t="s">
        <v>238</v>
      </c>
      <c r="Q1694" s="5" t="s">
        <v>268</v>
      </c>
      <c r="R1694" s="5" t="s">
        <v>270</v>
      </c>
      <c r="S1694" s="5" t="s">
        <v>238</v>
      </c>
      <c r="V1694" s="5" t="s">
        <v>238</v>
      </c>
      <c r="X1694" s="6" t="s">
        <v>238</v>
      </c>
      <c r="AA1694" s="6" t="s">
        <v>243</v>
      </c>
      <c r="AB1694" s="5" t="s">
        <v>238</v>
      </c>
      <c r="AC1694" s="5" t="s">
        <v>244</v>
      </c>
      <c r="AD1694" s="5" t="s">
        <v>245</v>
      </c>
      <c r="AT1694" s="5" t="s">
        <v>246</v>
      </c>
      <c r="AU1694" s="5" t="s">
        <v>238</v>
      </c>
      <c r="AV1694" s="5" t="s">
        <v>247</v>
      </c>
      <c r="AW1694" s="5" t="s">
        <v>238</v>
      </c>
      <c r="AX1694" s="5" t="s">
        <v>249</v>
      </c>
      <c r="AY1694" s="5" t="s">
        <v>238</v>
      </c>
      <c r="BA1694" s="5" t="s">
        <v>238</v>
      </c>
      <c r="BC1694" s="5" t="s">
        <v>250</v>
      </c>
      <c r="BD1694" s="6" t="s">
        <v>243</v>
      </c>
      <c r="BE1694" s="5" t="s">
        <v>251</v>
      </c>
      <c r="BF1694" s="5" t="s">
        <v>252</v>
      </c>
      <c r="BG1694" s="5" t="s">
        <v>238</v>
      </c>
      <c r="BH1694" s="7">
        <f>0</f>
        <v>0</v>
      </c>
      <c r="BI1694" s="8">
        <f>0</f>
        <v>0</v>
      </c>
      <c r="BJ1694" s="5" t="s">
        <v>253</v>
      </c>
      <c r="BK1694" s="5" t="s">
        <v>254</v>
      </c>
      <c r="BY1694" s="5" t="s">
        <v>238</v>
      </c>
      <c r="BZ1694" s="5" t="s">
        <v>238</v>
      </c>
      <c r="CD1694" s="5" t="s">
        <v>273</v>
      </c>
      <c r="CE1694" s="5" t="s">
        <v>256</v>
      </c>
      <c r="CF1694" s="5" t="s">
        <v>238</v>
      </c>
      <c r="CI1694" s="6" t="s">
        <v>257</v>
      </c>
      <c r="CJ1694" s="5" t="s">
        <v>238</v>
      </c>
      <c r="CK1694" s="5" t="s">
        <v>258</v>
      </c>
      <c r="CL1694" s="5" t="s">
        <v>238</v>
      </c>
      <c r="CM1694" s="5" t="s">
        <v>238</v>
      </c>
      <c r="CN1694" s="5">
        <v>0</v>
      </c>
      <c r="CO1694" s="5" t="s">
        <v>259</v>
      </c>
      <c r="CP1694" s="5" t="s">
        <v>260</v>
      </c>
      <c r="CQ1694" s="5" t="s">
        <v>260</v>
      </c>
      <c r="CR1694" s="5" t="s">
        <v>261</v>
      </c>
      <c r="CU1694" s="8">
        <f>1</f>
        <v>1</v>
      </c>
      <c r="CV1694" s="8">
        <f>0</f>
        <v>0</v>
      </c>
      <c r="CX1694" s="8">
        <f>0</f>
        <v>0</v>
      </c>
      <c r="CY1694" s="8">
        <f>1</f>
        <v>1</v>
      </c>
      <c r="DA1694" s="5" t="s">
        <v>673</v>
      </c>
      <c r="DB1694" s="5" t="s">
        <v>238</v>
      </c>
      <c r="DD1694" s="5" t="s">
        <v>673</v>
      </c>
      <c r="DE1694" s="8">
        <f>74</f>
        <v>74</v>
      </c>
      <c r="DG1694" s="5" t="s">
        <v>238</v>
      </c>
      <c r="DH1694" s="5" t="s">
        <v>238</v>
      </c>
      <c r="DI1694" s="5" t="s">
        <v>238</v>
      </c>
      <c r="DJ1694" s="5" t="s">
        <v>238</v>
      </c>
      <c r="DN1694" s="5" t="s">
        <v>238</v>
      </c>
      <c r="DO1694" s="5" t="s">
        <v>238</v>
      </c>
      <c r="DP1694" s="5" t="s">
        <v>238</v>
      </c>
      <c r="DQ1694" s="5" t="s">
        <v>238</v>
      </c>
      <c r="DT1694" s="5" t="s">
        <v>2039</v>
      </c>
      <c r="DU1694" s="5" t="s">
        <v>650</v>
      </c>
      <c r="HM1694" s="5" t="s">
        <v>264</v>
      </c>
    </row>
    <row r="1695" spans="1:221" x14ac:dyDescent="0.4">
      <c r="A1695" s="5">
        <v>3370</v>
      </c>
      <c r="B1695" s="5">
        <v>1</v>
      </c>
      <c r="C1695" s="5">
        <v>1</v>
      </c>
      <c r="D1695" s="5" t="s">
        <v>2037</v>
      </c>
      <c r="E1695" s="5" t="s">
        <v>271</v>
      </c>
      <c r="F1695" s="5" t="s">
        <v>248</v>
      </c>
      <c r="G1695" s="5" t="s">
        <v>1969</v>
      </c>
      <c r="H1695" s="6" t="s">
        <v>3585</v>
      </c>
      <c r="I1695" s="7">
        <f>139</f>
        <v>139</v>
      </c>
      <c r="J1695" s="5" t="s">
        <v>262</v>
      </c>
      <c r="K1695" s="8">
        <f>1</f>
        <v>1</v>
      </c>
      <c r="L1695" s="6" t="s">
        <v>242</v>
      </c>
      <c r="M1695" s="5" t="s">
        <v>267</v>
      </c>
      <c r="N1695" s="5" t="s">
        <v>265</v>
      </c>
      <c r="O1695" s="5" t="s">
        <v>238</v>
      </c>
      <c r="P1695" s="5" t="s">
        <v>238</v>
      </c>
      <c r="Q1695" s="5" t="s">
        <v>268</v>
      </c>
      <c r="R1695" s="5" t="s">
        <v>270</v>
      </c>
      <c r="S1695" s="5" t="s">
        <v>238</v>
      </c>
      <c r="V1695" s="5" t="s">
        <v>238</v>
      </c>
      <c r="X1695" s="6" t="s">
        <v>238</v>
      </c>
      <c r="AA1695" s="6" t="s">
        <v>243</v>
      </c>
      <c r="AB1695" s="5" t="s">
        <v>238</v>
      </c>
      <c r="AC1695" s="5" t="s">
        <v>244</v>
      </c>
      <c r="AD1695" s="5" t="s">
        <v>245</v>
      </c>
      <c r="AT1695" s="5" t="s">
        <v>246</v>
      </c>
      <c r="AU1695" s="5" t="s">
        <v>238</v>
      </c>
      <c r="AV1695" s="5" t="s">
        <v>247</v>
      </c>
      <c r="AW1695" s="5" t="s">
        <v>238</v>
      </c>
      <c r="AX1695" s="5" t="s">
        <v>249</v>
      </c>
      <c r="AY1695" s="5" t="s">
        <v>238</v>
      </c>
      <c r="BA1695" s="5" t="s">
        <v>238</v>
      </c>
      <c r="BC1695" s="5" t="s">
        <v>250</v>
      </c>
      <c r="BD1695" s="6" t="s">
        <v>243</v>
      </c>
      <c r="BE1695" s="5" t="s">
        <v>251</v>
      </c>
      <c r="BF1695" s="5" t="s">
        <v>252</v>
      </c>
      <c r="BG1695" s="5" t="s">
        <v>238</v>
      </c>
      <c r="BH1695" s="7">
        <f>0</f>
        <v>0</v>
      </c>
      <c r="BI1695" s="8">
        <f>0</f>
        <v>0</v>
      </c>
      <c r="BJ1695" s="5" t="s">
        <v>253</v>
      </c>
      <c r="BK1695" s="5" t="s">
        <v>254</v>
      </c>
      <c r="BY1695" s="5" t="s">
        <v>238</v>
      </c>
      <c r="BZ1695" s="5" t="s">
        <v>238</v>
      </c>
      <c r="CD1695" s="5" t="s">
        <v>273</v>
      </c>
      <c r="CE1695" s="5" t="s">
        <v>256</v>
      </c>
      <c r="CF1695" s="5" t="s">
        <v>238</v>
      </c>
      <c r="CI1695" s="6" t="s">
        <v>257</v>
      </c>
      <c r="CJ1695" s="5" t="s">
        <v>238</v>
      </c>
      <c r="CK1695" s="5" t="s">
        <v>258</v>
      </c>
      <c r="CL1695" s="5" t="s">
        <v>238</v>
      </c>
      <c r="CM1695" s="5" t="s">
        <v>238</v>
      </c>
      <c r="CN1695" s="5">
        <v>0</v>
      </c>
      <c r="CO1695" s="5" t="s">
        <v>259</v>
      </c>
      <c r="CP1695" s="5" t="s">
        <v>260</v>
      </c>
      <c r="CQ1695" s="5" t="s">
        <v>260</v>
      </c>
      <c r="CR1695" s="5" t="s">
        <v>261</v>
      </c>
      <c r="CU1695" s="8">
        <f>1</f>
        <v>1</v>
      </c>
      <c r="CV1695" s="8">
        <f>0</f>
        <v>0</v>
      </c>
      <c r="CX1695" s="8">
        <f>0</f>
        <v>0</v>
      </c>
      <c r="CY1695" s="8">
        <f>1</f>
        <v>1</v>
      </c>
      <c r="DA1695" s="5" t="s">
        <v>673</v>
      </c>
      <c r="DB1695" s="5" t="s">
        <v>238</v>
      </c>
      <c r="DD1695" s="5" t="s">
        <v>673</v>
      </c>
      <c r="DE1695" s="8">
        <f>139</f>
        <v>139</v>
      </c>
      <c r="DG1695" s="5" t="s">
        <v>238</v>
      </c>
      <c r="DH1695" s="5" t="s">
        <v>238</v>
      </c>
      <c r="DI1695" s="5" t="s">
        <v>238</v>
      </c>
      <c r="DJ1695" s="5" t="s">
        <v>238</v>
      </c>
      <c r="DN1695" s="5" t="s">
        <v>238</v>
      </c>
      <c r="DO1695" s="5" t="s">
        <v>238</v>
      </c>
      <c r="DP1695" s="5" t="s">
        <v>238</v>
      </c>
      <c r="DQ1695" s="5" t="s">
        <v>238</v>
      </c>
      <c r="DT1695" s="5" t="s">
        <v>2039</v>
      </c>
      <c r="DU1695" s="5" t="s">
        <v>656</v>
      </c>
      <c r="HM1695" s="5" t="s">
        <v>264</v>
      </c>
    </row>
    <row r="1696" spans="1:221" x14ac:dyDescent="0.4">
      <c r="A1696" s="5">
        <v>3371</v>
      </c>
      <c r="B1696" s="5">
        <v>1</v>
      </c>
      <c r="C1696" s="5">
        <v>1</v>
      </c>
      <c r="D1696" s="5" t="s">
        <v>2037</v>
      </c>
      <c r="E1696" s="5" t="s">
        <v>271</v>
      </c>
      <c r="F1696" s="5" t="s">
        <v>248</v>
      </c>
      <c r="G1696" s="5" t="s">
        <v>1969</v>
      </c>
      <c r="H1696" s="6" t="s">
        <v>3593</v>
      </c>
      <c r="I1696" s="7">
        <f>3911</f>
        <v>3911</v>
      </c>
      <c r="J1696" s="5" t="s">
        <v>262</v>
      </c>
      <c r="K1696" s="8">
        <f>1</f>
        <v>1</v>
      </c>
      <c r="L1696" s="6" t="s">
        <v>242</v>
      </c>
      <c r="M1696" s="5" t="s">
        <v>267</v>
      </c>
      <c r="N1696" s="5" t="s">
        <v>265</v>
      </c>
      <c r="O1696" s="5" t="s">
        <v>238</v>
      </c>
      <c r="P1696" s="5" t="s">
        <v>238</v>
      </c>
      <c r="Q1696" s="5" t="s">
        <v>268</v>
      </c>
      <c r="R1696" s="5" t="s">
        <v>270</v>
      </c>
      <c r="S1696" s="5" t="s">
        <v>238</v>
      </c>
      <c r="V1696" s="5" t="s">
        <v>238</v>
      </c>
      <c r="X1696" s="6" t="s">
        <v>238</v>
      </c>
      <c r="AA1696" s="6" t="s">
        <v>243</v>
      </c>
      <c r="AB1696" s="5" t="s">
        <v>238</v>
      </c>
      <c r="AC1696" s="5" t="s">
        <v>244</v>
      </c>
      <c r="AD1696" s="5" t="s">
        <v>245</v>
      </c>
      <c r="AT1696" s="5" t="s">
        <v>246</v>
      </c>
      <c r="AU1696" s="5" t="s">
        <v>238</v>
      </c>
      <c r="AV1696" s="5" t="s">
        <v>247</v>
      </c>
      <c r="AW1696" s="5" t="s">
        <v>238</v>
      </c>
      <c r="AX1696" s="5" t="s">
        <v>249</v>
      </c>
      <c r="AY1696" s="5" t="s">
        <v>238</v>
      </c>
      <c r="BA1696" s="5" t="s">
        <v>238</v>
      </c>
      <c r="BC1696" s="5" t="s">
        <v>250</v>
      </c>
      <c r="BD1696" s="6" t="s">
        <v>243</v>
      </c>
      <c r="BE1696" s="5" t="s">
        <v>251</v>
      </c>
      <c r="BF1696" s="5" t="s">
        <v>252</v>
      </c>
      <c r="BG1696" s="5" t="s">
        <v>238</v>
      </c>
      <c r="BH1696" s="7">
        <f>0</f>
        <v>0</v>
      </c>
      <c r="BI1696" s="8">
        <f>0</f>
        <v>0</v>
      </c>
      <c r="BJ1696" s="5" t="s">
        <v>253</v>
      </c>
      <c r="BK1696" s="5" t="s">
        <v>254</v>
      </c>
      <c r="BY1696" s="5" t="s">
        <v>238</v>
      </c>
      <c r="BZ1696" s="5" t="s">
        <v>238</v>
      </c>
      <c r="CD1696" s="5" t="s">
        <v>273</v>
      </c>
      <c r="CE1696" s="5" t="s">
        <v>256</v>
      </c>
      <c r="CF1696" s="5" t="s">
        <v>238</v>
      </c>
      <c r="CI1696" s="6" t="s">
        <v>257</v>
      </c>
      <c r="CJ1696" s="5" t="s">
        <v>238</v>
      </c>
      <c r="CK1696" s="5" t="s">
        <v>258</v>
      </c>
      <c r="CL1696" s="5" t="s">
        <v>238</v>
      </c>
      <c r="CM1696" s="5" t="s">
        <v>238</v>
      </c>
      <c r="CN1696" s="5">
        <v>0</v>
      </c>
      <c r="CO1696" s="5" t="s">
        <v>259</v>
      </c>
      <c r="CP1696" s="5" t="s">
        <v>260</v>
      </c>
      <c r="CQ1696" s="5" t="s">
        <v>260</v>
      </c>
      <c r="CR1696" s="5" t="s">
        <v>261</v>
      </c>
      <c r="CU1696" s="8">
        <f>1</f>
        <v>1</v>
      </c>
      <c r="CV1696" s="8">
        <f>0</f>
        <v>0</v>
      </c>
      <c r="CX1696" s="8">
        <f>0</f>
        <v>0</v>
      </c>
      <c r="CY1696" s="8">
        <f>1</f>
        <v>1</v>
      </c>
      <c r="DA1696" s="5" t="s">
        <v>673</v>
      </c>
      <c r="DB1696" s="5" t="s">
        <v>238</v>
      </c>
      <c r="DD1696" s="5" t="s">
        <v>673</v>
      </c>
      <c r="DE1696" s="8">
        <f>3911</f>
        <v>3911</v>
      </c>
      <c r="DG1696" s="5" t="s">
        <v>238</v>
      </c>
      <c r="DH1696" s="5" t="s">
        <v>238</v>
      </c>
      <c r="DI1696" s="5" t="s">
        <v>238</v>
      </c>
      <c r="DJ1696" s="5" t="s">
        <v>238</v>
      </c>
      <c r="DN1696" s="5" t="s">
        <v>238</v>
      </c>
      <c r="DO1696" s="5" t="s">
        <v>238</v>
      </c>
      <c r="DP1696" s="5" t="s">
        <v>238</v>
      </c>
      <c r="DQ1696" s="5" t="s">
        <v>238</v>
      </c>
      <c r="DT1696" s="5" t="s">
        <v>2039</v>
      </c>
      <c r="DU1696" s="5" t="s">
        <v>662</v>
      </c>
      <c r="HM1696" s="5" t="s">
        <v>264</v>
      </c>
    </row>
    <row r="1697" spans="1:221" x14ac:dyDescent="0.4">
      <c r="A1697" s="5">
        <v>3372</v>
      </c>
      <c r="B1697" s="5">
        <v>1</v>
      </c>
      <c r="C1697" s="5">
        <v>1</v>
      </c>
      <c r="D1697" s="5" t="s">
        <v>2037</v>
      </c>
      <c r="E1697" s="5" t="s">
        <v>271</v>
      </c>
      <c r="F1697" s="5" t="s">
        <v>248</v>
      </c>
      <c r="G1697" s="5" t="s">
        <v>1969</v>
      </c>
      <c r="H1697" s="6" t="s">
        <v>3577</v>
      </c>
      <c r="I1697" s="7">
        <f>824</f>
        <v>824</v>
      </c>
      <c r="J1697" s="5" t="s">
        <v>262</v>
      </c>
      <c r="K1697" s="8">
        <f>1</f>
        <v>1</v>
      </c>
      <c r="L1697" s="6" t="s">
        <v>242</v>
      </c>
      <c r="M1697" s="5" t="s">
        <v>267</v>
      </c>
      <c r="N1697" s="5" t="s">
        <v>265</v>
      </c>
      <c r="O1697" s="5" t="s">
        <v>238</v>
      </c>
      <c r="P1697" s="5" t="s">
        <v>238</v>
      </c>
      <c r="Q1697" s="5" t="s">
        <v>268</v>
      </c>
      <c r="R1697" s="5" t="s">
        <v>270</v>
      </c>
      <c r="S1697" s="5" t="s">
        <v>238</v>
      </c>
      <c r="V1697" s="5" t="s">
        <v>238</v>
      </c>
      <c r="X1697" s="6" t="s">
        <v>238</v>
      </c>
      <c r="AA1697" s="6" t="s">
        <v>243</v>
      </c>
      <c r="AB1697" s="5" t="s">
        <v>238</v>
      </c>
      <c r="AC1697" s="5" t="s">
        <v>244</v>
      </c>
      <c r="AD1697" s="5" t="s">
        <v>245</v>
      </c>
      <c r="AT1697" s="5" t="s">
        <v>246</v>
      </c>
      <c r="AU1697" s="5" t="s">
        <v>238</v>
      </c>
      <c r="AV1697" s="5" t="s">
        <v>247</v>
      </c>
      <c r="AW1697" s="5" t="s">
        <v>238</v>
      </c>
      <c r="AX1697" s="5" t="s">
        <v>249</v>
      </c>
      <c r="AY1697" s="5" t="s">
        <v>238</v>
      </c>
      <c r="BA1697" s="5" t="s">
        <v>238</v>
      </c>
      <c r="BC1697" s="5" t="s">
        <v>250</v>
      </c>
      <c r="BD1697" s="6" t="s">
        <v>243</v>
      </c>
      <c r="BE1697" s="5" t="s">
        <v>251</v>
      </c>
      <c r="BF1697" s="5" t="s">
        <v>252</v>
      </c>
      <c r="BG1697" s="5" t="s">
        <v>238</v>
      </c>
      <c r="BH1697" s="7">
        <f>0</f>
        <v>0</v>
      </c>
      <c r="BI1697" s="8">
        <f>0</f>
        <v>0</v>
      </c>
      <c r="BJ1697" s="5" t="s">
        <v>253</v>
      </c>
      <c r="BK1697" s="5" t="s">
        <v>254</v>
      </c>
      <c r="BY1697" s="5" t="s">
        <v>238</v>
      </c>
      <c r="BZ1697" s="5" t="s">
        <v>238</v>
      </c>
      <c r="CD1697" s="5" t="s">
        <v>273</v>
      </c>
      <c r="CE1697" s="5" t="s">
        <v>256</v>
      </c>
      <c r="CF1697" s="5" t="s">
        <v>238</v>
      </c>
      <c r="CI1697" s="6" t="s">
        <v>257</v>
      </c>
      <c r="CJ1697" s="5" t="s">
        <v>238</v>
      </c>
      <c r="CK1697" s="5" t="s">
        <v>258</v>
      </c>
      <c r="CL1697" s="5" t="s">
        <v>238</v>
      </c>
      <c r="CM1697" s="5" t="s">
        <v>238</v>
      </c>
      <c r="CN1697" s="5">
        <v>0</v>
      </c>
      <c r="CO1697" s="5" t="s">
        <v>259</v>
      </c>
      <c r="CP1697" s="5" t="s">
        <v>260</v>
      </c>
      <c r="CQ1697" s="5" t="s">
        <v>260</v>
      </c>
      <c r="CR1697" s="5" t="s">
        <v>261</v>
      </c>
      <c r="CU1697" s="8">
        <f>1</f>
        <v>1</v>
      </c>
      <c r="CV1697" s="8">
        <f>0</f>
        <v>0</v>
      </c>
      <c r="CX1697" s="8">
        <f>0</f>
        <v>0</v>
      </c>
      <c r="CY1697" s="8">
        <f>1</f>
        <v>1</v>
      </c>
      <c r="DA1697" s="5" t="s">
        <v>673</v>
      </c>
      <c r="DB1697" s="5" t="s">
        <v>238</v>
      </c>
      <c r="DD1697" s="5" t="s">
        <v>673</v>
      </c>
      <c r="DE1697" s="8">
        <f>824</f>
        <v>824</v>
      </c>
      <c r="DG1697" s="5" t="s">
        <v>238</v>
      </c>
      <c r="DH1697" s="5" t="s">
        <v>238</v>
      </c>
      <c r="DI1697" s="5" t="s">
        <v>238</v>
      </c>
      <c r="DJ1697" s="5" t="s">
        <v>238</v>
      </c>
      <c r="DN1697" s="5" t="s">
        <v>238</v>
      </c>
      <c r="DO1697" s="5" t="s">
        <v>238</v>
      </c>
      <c r="DP1697" s="5" t="s">
        <v>238</v>
      </c>
      <c r="DQ1697" s="5" t="s">
        <v>238</v>
      </c>
      <c r="DT1697" s="5" t="s">
        <v>2039</v>
      </c>
      <c r="DU1697" s="5" t="s">
        <v>668</v>
      </c>
      <c r="HM1697" s="5" t="s">
        <v>264</v>
      </c>
    </row>
    <row r="1698" spans="1:221" x14ac:dyDescent="0.4">
      <c r="A1698" s="5">
        <v>3373</v>
      </c>
      <c r="B1698" s="5">
        <v>1</v>
      </c>
      <c r="C1698" s="5">
        <v>1</v>
      </c>
      <c r="D1698" s="5" t="s">
        <v>2037</v>
      </c>
      <c r="E1698" s="5" t="s">
        <v>271</v>
      </c>
      <c r="F1698" s="5" t="s">
        <v>248</v>
      </c>
      <c r="G1698" s="5" t="s">
        <v>1969</v>
      </c>
      <c r="H1698" s="6" t="s">
        <v>3570</v>
      </c>
      <c r="I1698" s="7">
        <f>2990</f>
        <v>2990</v>
      </c>
      <c r="J1698" s="5" t="s">
        <v>262</v>
      </c>
      <c r="K1698" s="8">
        <f>1</f>
        <v>1</v>
      </c>
      <c r="L1698" s="6" t="s">
        <v>242</v>
      </c>
      <c r="M1698" s="5" t="s">
        <v>267</v>
      </c>
      <c r="N1698" s="5" t="s">
        <v>265</v>
      </c>
      <c r="O1698" s="5" t="s">
        <v>238</v>
      </c>
      <c r="P1698" s="5" t="s">
        <v>238</v>
      </c>
      <c r="Q1698" s="5" t="s">
        <v>268</v>
      </c>
      <c r="R1698" s="5" t="s">
        <v>270</v>
      </c>
      <c r="S1698" s="5" t="s">
        <v>238</v>
      </c>
      <c r="V1698" s="5" t="s">
        <v>238</v>
      </c>
      <c r="X1698" s="6" t="s">
        <v>238</v>
      </c>
      <c r="AA1698" s="6" t="s">
        <v>243</v>
      </c>
      <c r="AB1698" s="5" t="s">
        <v>238</v>
      </c>
      <c r="AC1698" s="5" t="s">
        <v>244</v>
      </c>
      <c r="AD1698" s="5" t="s">
        <v>245</v>
      </c>
      <c r="AT1698" s="5" t="s">
        <v>246</v>
      </c>
      <c r="AU1698" s="5" t="s">
        <v>238</v>
      </c>
      <c r="AV1698" s="5" t="s">
        <v>247</v>
      </c>
      <c r="AW1698" s="5" t="s">
        <v>238</v>
      </c>
      <c r="AX1698" s="5" t="s">
        <v>249</v>
      </c>
      <c r="AY1698" s="5" t="s">
        <v>238</v>
      </c>
      <c r="BA1698" s="5" t="s">
        <v>238</v>
      </c>
      <c r="BC1698" s="5" t="s">
        <v>250</v>
      </c>
      <c r="BD1698" s="6" t="s">
        <v>243</v>
      </c>
      <c r="BE1698" s="5" t="s">
        <v>251</v>
      </c>
      <c r="BF1698" s="5" t="s">
        <v>252</v>
      </c>
      <c r="BG1698" s="5" t="s">
        <v>238</v>
      </c>
      <c r="BH1698" s="7">
        <f>0</f>
        <v>0</v>
      </c>
      <c r="BI1698" s="8">
        <f>0</f>
        <v>0</v>
      </c>
      <c r="BJ1698" s="5" t="s">
        <v>253</v>
      </c>
      <c r="BK1698" s="5" t="s">
        <v>254</v>
      </c>
      <c r="BY1698" s="5" t="s">
        <v>238</v>
      </c>
      <c r="BZ1698" s="5" t="s">
        <v>238</v>
      </c>
      <c r="CD1698" s="5" t="s">
        <v>273</v>
      </c>
      <c r="CE1698" s="5" t="s">
        <v>256</v>
      </c>
      <c r="CF1698" s="5" t="s">
        <v>238</v>
      </c>
      <c r="CI1698" s="6" t="s">
        <v>257</v>
      </c>
      <c r="CJ1698" s="5" t="s">
        <v>238</v>
      </c>
      <c r="CK1698" s="5" t="s">
        <v>258</v>
      </c>
      <c r="CL1698" s="5" t="s">
        <v>238</v>
      </c>
      <c r="CM1698" s="5" t="s">
        <v>238</v>
      </c>
      <c r="CN1698" s="5">
        <v>0</v>
      </c>
      <c r="CO1698" s="5" t="s">
        <v>259</v>
      </c>
      <c r="CP1698" s="5" t="s">
        <v>260</v>
      </c>
      <c r="CQ1698" s="5" t="s">
        <v>260</v>
      </c>
      <c r="CR1698" s="5" t="s">
        <v>261</v>
      </c>
      <c r="CU1698" s="8">
        <f>1</f>
        <v>1</v>
      </c>
      <c r="CV1698" s="8">
        <f>0</f>
        <v>0</v>
      </c>
      <c r="CX1698" s="8">
        <f>0</f>
        <v>0</v>
      </c>
      <c r="CY1698" s="8">
        <f>1</f>
        <v>1</v>
      </c>
      <c r="DA1698" s="5" t="s">
        <v>673</v>
      </c>
      <c r="DB1698" s="5" t="s">
        <v>238</v>
      </c>
      <c r="DD1698" s="5" t="s">
        <v>673</v>
      </c>
      <c r="DE1698" s="8">
        <f>2990</f>
        <v>2990</v>
      </c>
      <c r="DG1698" s="5" t="s">
        <v>238</v>
      </c>
      <c r="DH1698" s="5" t="s">
        <v>238</v>
      </c>
      <c r="DI1698" s="5" t="s">
        <v>238</v>
      </c>
      <c r="DJ1698" s="5" t="s">
        <v>238</v>
      </c>
      <c r="DN1698" s="5" t="s">
        <v>238</v>
      </c>
      <c r="DO1698" s="5" t="s">
        <v>238</v>
      </c>
      <c r="DP1698" s="5" t="s">
        <v>238</v>
      </c>
      <c r="DQ1698" s="5" t="s">
        <v>238</v>
      </c>
      <c r="DT1698" s="5" t="s">
        <v>2039</v>
      </c>
      <c r="DU1698" s="5" t="s">
        <v>3571</v>
      </c>
      <c r="HM1698" s="5" t="s">
        <v>264</v>
      </c>
    </row>
    <row r="1699" spans="1:221" x14ac:dyDescent="0.4">
      <c r="A1699" s="5">
        <v>3374</v>
      </c>
      <c r="B1699" s="5">
        <v>1</v>
      </c>
      <c r="C1699" s="5">
        <v>1</v>
      </c>
      <c r="D1699" s="5" t="s">
        <v>2037</v>
      </c>
      <c r="E1699" s="5" t="s">
        <v>271</v>
      </c>
      <c r="F1699" s="5" t="s">
        <v>248</v>
      </c>
      <c r="G1699" s="5" t="s">
        <v>1969</v>
      </c>
      <c r="H1699" s="6" t="s">
        <v>3535</v>
      </c>
      <c r="I1699" s="7">
        <f>685</f>
        <v>685</v>
      </c>
      <c r="J1699" s="5" t="s">
        <v>262</v>
      </c>
      <c r="K1699" s="8">
        <f>1</f>
        <v>1</v>
      </c>
      <c r="L1699" s="6" t="s">
        <v>242</v>
      </c>
      <c r="M1699" s="5" t="s">
        <v>267</v>
      </c>
      <c r="N1699" s="5" t="s">
        <v>265</v>
      </c>
      <c r="O1699" s="5" t="s">
        <v>238</v>
      </c>
      <c r="P1699" s="5" t="s">
        <v>238</v>
      </c>
      <c r="Q1699" s="5" t="s">
        <v>268</v>
      </c>
      <c r="R1699" s="5" t="s">
        <v>270</v>
      </c>
      <c r="S1699" s="5" t="s">
        <v>238</v>
      </c>
      <c r="V1699" s="5" t="s">
        <v>238</v>
      </c>
      <c r="X1699" s="6" t="s">
        <v>238</v>
      </c>
      <c r="AA1699" s="6" t="s">
        <v>243</v>
      </c>
      <c r="AB1699" s="5" t="s">
        <v>238</v>
      </c>
      <c r="AC1699" s="5" t="s">
        <v>244</v>
      </c>
      <c r="AD1699" s="5" t="s">
        <v>245</v>
      </c>
      <c r="AT1699" s="5" t="s">
        <v>246</v>
      </c>
      <c r="AU1699" s="5" t="s">
        <v>238</v>
      </c>
      <c r="AV1699" s="5" t="s">
        <v>247</v>
      </c>
      <c r="AW1699" s="5" t="s">
        <v>238</v>
      </c>
      <c r="AX1699" s="5" t="s">
        <v>249</v>
      </c>
      <c r="AY1699" s="5" t="s">
        <v>238</v>
      </c>
      <c r="BA1699" s="5" t="s">
        <v>238</v>
      </c>
      <c r="BC1699" s="5" t="s">
        <v>250</v>
      </c>
      <c r="BD1699" s="6" t="s">
        <v>243</v>
      </c>
      <c r="BE1699" s="5" t="s">
        <v>251</v>
      </c>
      <c r="BF1699" s="5" t="s">
        <v>252</v>
      </c>
      <c r="BG1699" s="5" t="s">
        <v>238</v>
      </c>
      <c r="BH1699" s="7">
        <f>0</f>
        <v>0</v>
      </c>
      <c r="BI1699" s="8">
        <f>0</f>
        <v>0</v>
      </c>
      <c r="BJ1699" s="5" t="s">
        <v>253</v>
      </c>
      <c r="BK1699" s="5" t="s">
        <v>254</v>
      </c>
      <c r="BY1699" s="5" t="s">
        <v>238</v>
      </c>
      <c r="BZ1699" s="5" t="s">
        <v>238</v>
      </c>
      <c r="CD1699" s="5" t="s">
        <v>273</v>
      </c>
      <c r="CE1699" s="5" t="s">
        <v>256</v>
      </c>
      <c r="CF1699" s="5" t="s">
        <v>238</v>
      </c>
      <c r="CI1699" s="6" t="s">
        <v>257</v>
      </c>
      <c r="CJ1699" s="5" t="s">
        <v>238</v>
      </c>
      <c r="CK1699" s="5" t="s">
        <v>258</v>
      </c>
      <c r="CL1699" s="5" t="s">
        <v>238</v>
      </c>
      <c r="CM1699" s="5" t="s">
        <v>238</v>
      </c>
      <c r="CN1699" s="5">
        <v>0</v>
      </c>
      <c r="CO1699" s="5" t="s">
        <v>259</v>
      </c>
      <c r="CP1699" s="5" t="s">
        <v>260</v>
      </c>
      <c r="CQ1699" s="5" t="s">
        <v>260</v>
      </c>
      <c r="CR1699" s="5" t="s">
        <v>261</v>
      </c>
      <c r="CU1699" s="8">
        <f>1</f>
        <v>1</v>
      </c>
      <c r="CV1699" s="8">
        <f>0</f>
        <v>0</v>
      </c>
      <c r="CX1699" s="8">
        <f>0</f>
        <v>0</v>
      </c>
      <c r="CY1699" s="8">
        <f>1</f>
        <v>1</v>
      </c>
      <c r="DA1699" s="5" t="s">
        <v>673</v>
      </c>
      <c r="DB1699" s="5" t="s">
        <v>238</v>
      </c>
      <c r="DD1699" s="5" t="s">
        <v>673</v>
      </c>
      <c r="DE1699" s="8">
        <f>685</f>
        <v>685</v>
      </c>
      <c r="DG1699" s="5" t="s">
        <v>238</v>
      </c>
      <c r="DH1699" s="5" t="s">
        <v>238</v>
      </c>
      <c r="DI1699" s="5" t="s">
        <v>238</v>
      </c>
      <c r="DJ1699" s="5" t="s">
        <v>238</v>
      </c>
      <c r="DN1699" s="5" t="s">
        <v>238</v>
      </c>
      <c r="DO1699" s="5" t="s">
        <v>238</v>
      </c>
      <c r="DP1699" s="5" t="s">
        <v>238</v>
      </c>
      <c r="DQ1699" s="5" t="s">
        <v>238</v>
      </c>
      <c r="DT1699" s="5" t="s">
        <v>2039</v>
      </c>
      <c r="DU1699" s="5" t="s">
        <v>679</v>
      </c>
      <c r="HM1699" s="5" t="s">
        <v>264</v>
      </c>
    </row>
    <row r="1700" spans="1:221" x14ac:dyDescent="0.4">
      <c r="A1700" s="5">
        <v>3375</v>
      </c>
      <c r="B1700" s="5">
        <v>1</v>
      </c>
      <c r="C1700" s="5">
        <v>1</v>
      </c>
      <c r="D1700" s="5" t="s">
        <v>2037</v>
      </c>
      <c r="E1700" s="5" t="s">
        <v>271</v>
      </c>
      <c r="F1700" s="5" t="s">
        <v>248</v>
      </c>
      <c r="G1700" s="5" t="s">
        <v>1969</v>
      </c>
      <c r="H1700" s="6" t="s">
        <v>3499</v>
      </c>
      <c r="I1700" s="7">
        <f>2234</f>
        <v>2234</v>
      </c>
      <c r="J1700" s="5" t="s">
        <v>262</v>
      </c>
      <c r="K1700" s="8">
        <f>1</f>
        <v>1</v>
      </c>
      <c r="L1700" s="6" t="s">
        <v>242</v>
      </c>
      <c r="M1700" s="5" t="s">
        <v>267</v>
      </c>
      <c r="N1700" s="5" t="s">
        <v>265</v>
      </c>
      <c r="O1700" s="5" t="s">
        <v>238</v>
      </c>
      <c r="P1700" s="5" t="s">
        <v>238</v>
      </c>
      <c r="Q1700" s="5" t="s">
        <v>268</v>
      </c>
      <c r="R1700" s="5" t="s">
        <v>270</v>
      </c>
      <c r="S1700" s="5" t="s">
        <v>238</v>
      </c>
      <c r="V1700" s="5" t="s">
        <v>238</v>
      </c>
      <c r="X1700" s="6" t="s">
        <v>238</v>
      </c>
      <c r="AA1700" s="6" t="s">
        <v>243</v>
      </c>
      <c r="AB1700" s="5" t="s">
        <v>238</v>
      </c>
      <c r="AC1700" s="5" t="s">
        <v>244</v>
      </c>
      <c r="AD1700" s="5" t="s">
        <v>245</v>
      </c>
      <c r="AT1700" s="5" t="s">
        <v>246</v>
      </c>
      <c r="AU1700" s="5" t="s">
        <v>238</v>
      </c>
      <c r="AV1700" s="5" t="s">
        <v>247</v>
      </c>
      <c r="AW1700" s="5" t="s">
        <v>238</v>
      </c>
      <c r="AX1700" s="5" t="s">
        <v>249</v>
      </c>
      <c r="AY1700" s="5" t="s">
        <v>238</v>
      </c>
      <c r="BA1700" s="5" t="s">
        <v>238</v>
      </c>
      <c r="BC1700" s="5" t="s">
        <v>250</v>
      </c>
      <c r="BD1700" s="6" t="s">
        <v>243</v>
      </c>
      <c r="BE1700" s="5" t="s">
        <v>251</v>
      </c>
      <c r="BF1700" s="5" t="s">
        <v>252</v>
      </c>
      <c r="BG1700" s="5" t="s">
        <v>238</v>
      </c>
      <c r="BH1700" s="7">
        <f>0</f>
        <v>0</v>
      </c>
      <c r="BI1700" s="8">
        <f>0</f>
        <v>0</v>
      </c>
      <c r="BJ1700" s="5" t="s">
        <v>253</v>
      </c>
      <c r="BK1700" s="5" t="s">
        <v>254</v>
      </c>
      <c r="BY1700" s="5" t="s">
        <v>238</v>
      </c>
      <c r="BZ1700" s="5" t="s">
        <v>238</v>
      </c>
      <c r="CD1700" s="5" t="s">
        <v>273</v>
      </c>
      <c r="CE1700" s="5" t="s">
        <v>256</v>
      </c>
      <c r="CF1700" s="5" t="s">
        <v>238</v>
      </c>
      <c r="CI1700" s="6" t="s">
        <v>257</v>
      </c>
      <c r="CJ1700" s="5" t="s">
        <v>238</v>
      </c>
      <c r="CK1700" s="5" t="s">
        <v>258</v>
      </c>
      <c r="CL1700" s="5" t="s">
        <v>238</v>
      </c>
      <c r="CM1700" s="5" t="s">
        <v>238</v>
      </c>
      <c r="CN1700" s="5">
        <v>0</v>
      </c>
      <c r="CO1700" s="5" t="s">
        <v>259</v>
      </c>
      <c r="CP1700" s="5" t="s">
        <v>260</v>
      </c>
      <c r="CQ1700" s="5" t="s">
        <v>260</v>
      </c>
      <c r="CR1700" s="5" t="s">
        <v>261</v>
      </c>
      <c r="CU1700" s="8">
        <f>1</f>
        <v>1</v>
      </c>
      <c r="CV1700" s="8">
        <f>0</f>
        <v>0</v>
      </c>
      <c r="CX1700" s="8">
        <f>0</f>
        <v>0</v>
      </c>
      <c r="CY1700" s="8">
        <f>1</f>
        <v>1</v>
      </c>
      <c r="DA1700" s="5" t="s">
        <v>673</v>
      </c>
      <c r="DB1700" s="5" t="s">
        <v>238</v>
      </c>
      <c r="DD1700" s="5" t="s">
        <v>673</v>
      </c>
      <c r="DE1700" s="8">
        <f>2234</f>
        <v>2234</v>
      </c>
      <c r="DG1700" s="5" t="s">
        <v>238</v>
      </c>
      <c r="DH1700" s="5" t="s">
        <v>238</v>
      </c>
      <c r="DI1700" s="5" t="s">
        <v>238</v>
      </c>
      <c r="DJ1700" s="5" t="s">
        <v>238</v>
      </c>
      <c r="DN1700" s="5" t="s">
        <v>238</v>
      </c>
      <c r="DO1700" s="5" t="s">
        <v>238</v>
      </c>
      <c r="DP1700" s="5" t="s">
        <v>238</v>
      </c>
      <c r="DQ1700" s="5" t="s">
        <v>238</v>
      </c>
      <c r="DT1700" s="5" t="s">
        <v>2039</v>
      </c>
      <c r="DU1700" s="5" t="s">
        <v>687</v>
      </c>
      <c r="HM1700" s="5" t="s">
        <v>264</v>
      </c>
    </row>
    <row r="1701" spans="1:221" x14ac:dyDescent="0.4">
      <c r="A1701" s="5">
        <v>3376</v>
      </c>
      <c r="B1701" s="5">
        <v>1</v>
      </c>
      <c r="C1701" s="5">
        <v>1</v>
      </c>
      <c r="D1701" s="5" t="s">
        <v>2037</v>
      </c>
      <c r="E1701" s="5" t="s">
        <v>271</v>
      </c>
      <c r="F1701" s="5" t="s">
        <v>248</v>
      </c>
      <c r="G1701" s="5" t="s">
        <v>1969</v>
      </c>
      <c r="H1701" s="6" t="s">
        <v>3459</v>
      </c>
      <c r="I1701" s="7">
        <f>3483</f>
        <v>3483</v>
      </c>
      <c r="J1701" s="5" t="s">
        <v>262</v>
      </c>
      <c r="K1701" s="8">
        <f>1</f>
        <v>1</v>
      </c>
      <c r="L1701" s="6" t="s">
        <v>242</v>
      </c>
      <c r="M1701" s="5" t="s">
        <v>267</v>
      </c>
      <c r="N1701" s="5" t="s">
        <v>265</v>
      </c>
      <c r="O1701" s="5" t="s">
        <v>238</v>
      </c>
      <c r="P1701" s="5" t="s">
        <v>238</v>
      </c>
      <c r="Q1701" s="5" t="s">
        <v>268</v>
      </c>
      <c r="R1701" s="5" t="s">
        <v>270</v>
      </c>
      <c r="S1701" s="5" t="s">
        <v>238</v>
      </c>
      <c r="V1701" s="5" t="s">
        <v>238</v>
      </c>
      <c r="X1701" s="6" t="s">
        <v>238</v>
      </c>
      <c r="AA1701" s="6" t="s">
        <v>243</v>
      </c>
      <c r="AB1701" s="5" t="s">
        <v>238</v>
      </c>
      <c r="AC1701" s="5" t="s">
        <v>244</v>
      </c>
      <c r="AD1701" s="5" t="s">
        <v>245</v>
      </c>
      <c r="AT1701" s="5" t="s">
        <v>246</v>
      </c>
      <c r="AU1701" s="5" t="s">
        <v>238</v>
      </c>
      <c r="AV1701" s="5" t="s">
        <v>247</v>
      </c>
      <c r="AW1701" s="5" t="s">
        <v>238</v>
      </c>
      <c r="AX1701" s="5" t="s">
        <v>249</v>
      </c>
      <c r="AY1701" s="5" t="s">
        <v>238</v>
      </c>
      <c r="BA1701" s="5" t="s">
        <v>238</v>
      </c>
      <c r="BC1701" s="5" t="s">
        <v>250</v>
      </c>
      <c r="BD1701" s="6" t="s">
        <v>243</v>
      </c>
      <c r="BE1701" s="5" t="s">
        <v>251</v>
      </c>
      <c r="BF1701" s="5" t="s">
        <v>252</v>
      </c>
      <c r="BG1701" s="5" t="s">
        <v>238</v>
      </c>
      <c r="BH1701" s="7">
        <f>0</f>
        <v>0</v>
      </c>
      <c r="BI1701" s="8">
        <f>0</f>
        <v>0</v>
      </c>
      <c r="BJ1701" s="5" t="s">
        <v>253</v>
      </c>
      <c r="BK1701" s="5" t="s">
        <v>254</v>
      </c>
      <c r="BY1701" s="5" t="s">
        <v>238</v>
      </c>
      <c r="BZ1701" s="5" t="s">
        <v>238</v>
      </c>
      <c r="CD1701" s="5" t="s">
        <v>273</v>
      </c>
      <c r="CE1701" s="5" t="s">
        <v>256</v>
      </c>
      <c r="CF1701" s="5" t="s">
        <v>238</v>
      </c>
      <c r="CI1701" s="6" t="s">
        <v>257</v>
      </c>
      <c r="CJ1701" s="5" t="s">
        <v>238</v>
      </c>
      <c r="CK1701" s="5" t="s">
        <v>258</v>
      </c>
      <c r="CL1701" s="5" t="s">
        <v>238</v>
      </c>
      <c r="CM1701" s="5" t="s">
        <v>238</v>
      </c>
      <c r="CN1701" s="5">
        <v>0</v>
      </c>
      <c r="CO1701" s="5" t="s">
        <v>259</v>
      </c>
      <c r="CP1701" s="5" t="s">
        <v>260</v>
      </c>
      <c r="CQ1701" s="5" t="s">
        <v>260</v>
      </c>
      <c r="CR1701" s="5" t="s">
        <v>261</v>
      </c>
      <c r="CU1701" s="8">
        <f>1</f>
        <v>1</v>
      </c>
      <c r="CV1701" s="8">
        <f>0</f>
        <v>0</v>
      </c>
      <c r="CX1701" s="8">
        <f>0</f>
        <v>0</v>
      </c>
      <c r="CY1701" s="8">
        <f>1</f>
        <v>1</v>
      </c>
      <c r="DA1701" s="5" t="s">
        <v>673</v>
      </c>
      <c r="DB1701" s="5" t="s">
        <v>238</v>
      </c>
      <c r="DD1701" s="5" t="s">
        <v>673</v>
      </c>
      <c r="DE1701" s="8">
        <f>3483</f>
        <v>3483</v>
      </c>
      <c r="DG1701" s="5" t="s">
        <v>238</v>
      </c>
      <c r="DH1701" s="5" t="s">
        <v>238</v>
      </c>
      <c r="DI1701" s="5" t="s">
        <v>238</v>
      </c>
      <c r="DJ1701" s="5" t="s">
        <v>238</v>
      </c>
      <c r="DN1701" s="5" t="s">
        <v>238</v>
      </c>
      <c r="DO1701" s="5" t="s">
        <v>238</v>
      </c>
      <c r="DP1701" s="5" t="s">
        <v>238</v>
      </c>
      <c r="DQ1701" s="5" t="s">
        <v>238</v>
      </c>
      <c r="DT1701" s="5" t="s">
        <v>2039</v>
      </c>
      <c r="DU1701" s="5" t="s">
        <v>695</v>
      </c>
      <c r="HM1701" s="5" t="s">
        <v>264</v>
      </c>
    </row>
    <row r="1702" spans="1:221" x14ac:dyDescent="0.4">
      <c r="A1702" s="5">
        <v>3377</v>
      </c>
      <c r="B1702" s="5">
        <v>1</v>
      </c>
      <c r="C1702" s="5">
        <v>1</v>
      </c>
      <c r="D1702" s="5" t="s">
        <v>2037</v>
      </c>
      <c r="E1702" s="5" t="s">
        <v>271</v>
      </c>
      <c r="F1702" s="5" t="s">
        <v>248</v>
      </c>
      <c r="G1702" s="5" t="s">
        <v>1969</v>
      </c>
      <c r="H1702" s="6" t="s">
        <v>3508</v>
      </c>
      <c r="I1702" s="7">
        <f>3958</f>
        <v>3958</v>
      </c>
      <c r="J1702" s="5" t="s">
        <v>262</v>
      </c>
      <c r="K1702" s="8">
        <f>1</f>
        <v>1</v>
      </c>
      <c r="L1702" s="6" t="s">
        <v>242</v>
      </c>
      <c r="M1702" s="5" t="s">
        <v>267</v>
      </c>
      <c r="N1702" s="5" t="s">
        <v>265</v>
      </c>
      <c r="O1702" s="5" t="s">
        <v>238</v>
      </c>
      <c r="P1702" s="5" t="s">
        <v>238</v>
      </c>
      <c r="Q1702" s="5" t="s">
        <v>268</v>
      </c>
      <c r="R1702" s="5" t="s">
        <v>270</v>
      </c>
      <c r="S1702" s="5" t="s">
        <v>238</v>
      </c>
      <c r="V1702" s="5" t="s">
        <v>238</v>
      </c>
      <c r="X1702" s="6" t="s">
        <v>238</v>
      </c>
      <c r="AA1702" s="6" t="s">
        <v>243</v>
      </c>
      <c r="AB1702" s="5" t="s">
        <v>238</v>
      </c>
      <c r="AC1702" s="5" t="s">
        <v>244</v>
      </c>
      <c r="AD1702" s="5" t="s">
        <v>245</v>
      </c>
      <c r="AT1702" s="5" t="s">
        <v>246</v>
      </c>
      <c r="AU1702" s="5" t="s">
        <v>238</v>
      </c>
      <c r="AV1702" s="5" t="s">
        <v>247</v>
      </c>
      <c r="AW1702" s="5" t="s">
        <v>238</v>
      </c>
      <c r="AX1702" s="5" t="s">
        <v>249</v>
      </c>
      <c r="AY1702" s="5" t="s">
        <v>238</v>
      </c>
      <c r="BA1702" s="5" t="s">
        <v>238</v>
      </c>
      <c r="BC1702" s="5" t="s">
        <v>250</v>
      </c>
      <c r="BD1702" s="6" t="s">
        <v>243</v>
      </c>
      <c r="BE1702" s="5" t="s">
        <v>251</v>
      </c>
      <c r="BF1702" s="5" t="s">
        <v>252</v>
      </c>
      <c r="BG1702" s="5" t="s">
        <v>238</v>
      </c>
      <c r="BH1702" s="7">
        <f>0</f>
        <v>0</v>
      </c>
      <c r="BI1702" s="8">
        <f>0</f>
        <v>0</v>
      </c>
      <c r="BJ1702" s="5" t="s">
        <v>253</v>
      </c>
      <c r="BK1702" s="5" t="s">
        <v>254</v>
      </c>
      <c r="BY1702" s="5" t="s">
        <v>238</v>
      </c>
      <c r="BZ1702" s="5" t="s">
        <v>238</v>
      </c>
      <c r="CD1702" s="5" t="s">
        <v>273</v>
      </c>
      <c r="CE1702" s="5" t="s">
        <v>256</v>
      </c>
      <c r="CF1702" s="5" t="s">
        <v>238</v>
      </c>
      <c r="CI1702" s="6" t="s">
        <v>257</v>
      </c>
      <c r="CJ1702" s="5" t="s">
        <v>238</v>
      </c>
      <c r="CK1702" s="5" t="s">
        <v>258</v>
      </c>
      <c r="CL1702" s="5" t="s">
        <v>238</v>
      </c>
      <c r="CM1702" s="5" t="s">
        <v>238</v>
      </c>
      <c r="CN1702" s="5">
        <v>0</v>
      </c>
      <c r="CO1702" s="5" t="s">
        <v>259</v>
      </c>
      <c r="CP1702" s="5" t="s">
        <v>260</v>
      </c>
      <c r="CQ1702" s="5" t="s">
        <v>260</v>
      </c>
      <c r="CR1702" s="5" t="s">
        <v>261</v>
      </c>
      <c r="CU1702" s="8">
        <f>1</f>
        <v>1</v>
      </c>
      <c r="CV1702" s="8">
        <f>0</f>
        <v>0</v>
      </c>
      <c r="CX1702" s="8">
        <f>0</f>
        <v>0</v>
      </c>
      <c r="CY1702" s="8">
        <f>1</f>
        <v>1</v>
      </c>
      <c r="DA1702" s="5" t="s">
        <v>673</v>
      </c>
      <c r="DB1702" s="5" t="s">
        <v>238</v>
      </c>
      <c r="DD1702" s="5" t="s">
        <v>673</v>
      </c>
      <c r="DE1702" s="8">
        <f>3958</f>
        <v>3958</v>
      </c>
      <c r="DG1702" s="5" t="s">
        <v>238</v>
      </c>
      <c r="DH1702" s="5" t="s">
        <v>238</v>
      </c>
      <c r="DI1702" s="5" t="s">
        <v>238</v>
      </c>
      <c r="DJ1702" s="5" t="s">
        <v>238</v>
      </c>
      <c r="DN1702" s="5" t="s">
        <v>238</v>
      </c>
      <c r="DO1702" s="5" t="s">
        <v>238</v>
      </c>
      <c r="DP1702" s="5" t="s">
        <v>238</v>
      </c>
      <c r="DQ1702" s="5" t="s">
        <v>238</v>
      </c>
      <c r="DT1702" s="5" t="s">
        <v>2039</v>
      </c>
      <c r="DU1702" s="5" t="s">
        <v>702</v>
      </c>
      <c r="HM1702" s="5" t="s">
        <v>264</v>
      </c>
    </row>
    <row r="1703" spans="1:221" x14ac:dyDescent="0.4">
      <c r="A1703" s="5">
        <v>3378</v>
      </c>
      <c r="B1703" s="5">
        <v>1</v>
      </c>
      <c r="C1703" s="5">
        <v>1</v>
      </c>
      <c r="D1703" s="5" t="s">
        <v>2037</v>
      </c>
      <c r="E1703" s="5" t="s">
        <v>271</v>
      </c>
      <c r="F1703" s="5" t="s">
        <v>248</v>
      </c>
      <c r="G1703" s="5" t="s">
        <v>1969</v>
      </c>
      <c r="H1703" s="6" t="s">
        <v>3491</v>
      </c>
      <c r="I1703" s="7">
        <f>703</f>
        <v>703</v>
      </c>
      <c r="J1703" s="5" t="s">
        <v>262</v>
      </c>
      <c r="K1703" s="8">
        <f>1</f>
        <v>1</v>
      </c>
      <c r="L1703" s="6" t="s">
        <v>242</v>
      </c>
      <c r="M1703" s="5" t="s">
        <v>267</v>
      </c>
      <c r="N1703" s="5" t="s">
        <v>265</v>
      </c>
      <c r="O1703" s="5" t="s">
        <v>238</v>
      </c>
      <c r="P1703" s="5" t="s">
        <v>238</v>
      </c>
      <c r="Q1703" s="5" t="s">
        <v>268</v>
      </c>
      <c r="R1703" s="5" t="s">
        <v>270</v>
      </c>
      <c r="S1703" s="5" t="s">
        <v>238</v>
      </c>
      <c r="V1703" s="5" t="s">
        <v>238</v>
      </c>
      <c r="X1703" s="6" t="s">
        <v>238</v>
      </c>
      <c r="AA1703" s="6" t="s">
        <v>243</v>
      </c>
      <c r="AB1703" s="5" t="s">
        <v>238</v>
      </c>
      <c r="AC1703" s="5" t="s">
        <v>244</v>
      </c>
      <c r="AD1703" s="5" t="s">
        <v>245</v>
      </c>
      <c r="AT1703" s="5" t="s">
        <v>246</v>
      </c>
      <c r="AU1703" s="5" t="s">
        <v>238</v>
      </c>
      <c r="AV1703" s="5" t="s">
        <v>247</v>
      </c>
      <c r="AW1703" s="5" t="s">
        <v>238</v>
      </c>
      <c r="AX1703" s="5" t="s">
        <v>249</v>
      </c>
      <c r="AY1703" s="5" t="s">
        <v>238</v>
      </c>
      <c r="BA1703" s="5" t="s">
        <v>238</v>
      </c>
      <c r="BC1703" s="5" t="s">
        <v>250</v>
      </c>
      <c r="BD1703" s="6" t="s">
        <v>243</v>
      </c>
      <c r="BE1703" s="5" t="s">
        <v>251</v>
      </c>
      <c r="BF1703" s="5" t="s">
        <v>252</v>
      </c>
      <c r="BG1703" s="5" t="s">
        <v>238</v>
      </c>
      <c r="BH1703" s="7">
        <f>0</f>
        <v>0</v>
      </c>
      <c r="BI1703" s="8">
        <f>0</f>
        <v>0</v>
      </c>
      <c r="BJ1703" s="5" t="s">
        <v>253</v>
      </c>
      <c r="BK1703" s="5" t="s">
        <v>254</v>
      </c>
      <c r="BY1703" s="5" t="s">
        <v>238</v>
      </c>
      <c r="BZ1703" s="5" t="s">
        <v>238</v>
      </c>
      <c r="CD1703" s="5" t="s">
        <v>273</v>
      </c>
      <c r="CE1703" s="5" t="s">
        <v>256</v>
      </c>
      <c r="CF1703" s="5" t="s">
        <v>238</v>
      </c>
      <c r="CI1703" s="6" t="s">
        <v>257</v>
      </c>
      <c r="CJ1703" s="5" t="s">
        <v>238</v>
      </c>
      <c r="CK1703" s="5" t="s">
        <v>258</v>
      </c>
      <c r="CL1703" s="5" t="s">
        <v>238</v>
      </c>
      <c r="CM1703" s="5" t="s">
        <v>238</v>
      </c>
      <c r="CN1703" s="5">
        <v>0</v>
      </c>
      <c r="CO1703" s="5" t="s">
        <v>259</v>
      </c>
      <c r="CP1703" s="5" t="s">
        <v>260</v>
      </c>
      <c r="CQ1703" s="5" t="s">
        <v>260</v>
      </c>
      <c r="CR1703" s="5" t="s">
        <v>261</v>
      </c>
      <c r="CU1703" s="8">
        <f>1</f>
        <v>1</v>
      </c>
      <c r="CV1703" s="8">
        <f>0</f>
        <v>0</v>
      </c>
      <c r="CX1703" s="8">
        <f>0</f>
        <v>0</v>
      </c>
      <c r="CY1703" s="8">
        <f>1</f>
        <v>1</v>
      </c>
      <c r="DA1703" s="5" t="s">
        <v>673</v>
      </c>
      <c r="DB1703" s="5" t="s">
        <v>238</v>
      </c>
      <c r="DD1703" s="5" t="s">
        <v>673</v>
      </c>
      <c r="DE1703" s="8">
        <f>703</f>
        <v>703</v>
      </c>
      <c r="DG1703" s="5" t="s">
        <v>238</v>
      </c>
      <c r="DH1703" s="5" t="s">
        <v>238</v>
      </c>
      <c r="DI1703" s="5" t="s">
        <v>238</v>
      </c>
      <c r="DJ1703" s="5" t="s">
        <v>238</v>
      </c>
      <c r="DN1703" s="5" t="s">
        <v>238</v>
      </c>
      <c r="DO1703" s="5" t="s">
        <v>238</v>
      </c>
      <c r="DP1703" s="5" t="s">
        <v>238</v>
      </c>
      <c r="DQ1703" s="5" t="s">
        <v>238</v>
      </c>
      <c r="DT1703" s="5" t="s">
        <v>2039</v>
      </c>
      <c r="DU1703" s="5" t="s">
        <v>706</v>
      </c>
      <c r="HM1703" s="5" t="s">
        <v>264</v>
      </c>
    </row>
    <row r="1704" spans="1:221" x14ac:dyDescent="0.4">
      <c r="A1704" s="5">
        <v>3379</v>
      </c>
      <c r="B1704" s="5">
        <v>1</v>
      </c>
      <c r="C1704" s="5">
        <v>1</v>
      </c>
      <c r="D1704" s="5" t="s">
        <v>2037</v>
      </c>
      <c r="E1704" s="5" t="s">
        <v>271</v>
      </c>
      <c r="F1704" s="5" t="s">
        <v>248</v>
      </c>
      <c r="G1704" s="5" t="s">
        <v>1969</v>
      </c>
      <c r="H1704" s="6" t="s">
        <v>2124</v>
      </c>
      <c r="I1704" s="7">
        <f>2837</f>
        <v>2837</v>
      </c>
      <c r="J1704" s="5" t="s">
        <v>262</v>
      </c>
      <c r="K1704" s="8">
        <f>1</f>
        <v>1</v>
      </c>
      <c r="L1704" s="6" t="s">
        <v>242</v>
      </c>
      <c r="M1704" s="5" t="s">
        <v>267</v>
      </c>
      <c r="N1704" s="5" t="s">
        <v>265</v>
      </c>
      <c r="O1704" s="5" t="s">
        <v>238</v>
      </c>
      <c r="P1704" s="5" t="s">
        <v>238</v>
      </c>
      <c r="Q1704" s="5" t="s">
        <v>268</v>
      </c>
      <c r="R1704" s="5" t="s">
        <v>270</v>
      </c>
      <c r="S1704" s="5" t="s">
        <v>238</v>
      </c>
      <c r="V1704" s="5" t="s">
        <v>238</v>
      </c>
      <c r="X1704" s="6" t="s">
        <v>238</v>
      </c>
      <c r="AA1704" s="6" t="s">
        <v>243</v>
      </c>
      <c r="AB1704" s="5" t="s">
        <v>238</v>
      </c>
      <c r="AC1704" s="5" t="s">
        <v>244</v>
      </c>
      <c r="AD1704" s="5" t="s">
        <v>245</v>
      </c>
      <c r="AT1704" s="5" t="s">
        <v>246</v>
      </c>
      <c r="AU1704" s="5" t="s">
        <v>238</v>
      </c>
      <c r="AV1704" s="5" t="s">
        <v>247</v>
      </c>
      <c r="AW1704" s="5" t="s">
        <v>238</v>
      </c>
      <c r="AX1704" s="5" t="s">
        <v>249</v>
      </c>
      <c r="AY1704" s="5" t="s">
        <v>238</v>
      </c>
      <c r="BA1704" s="5" t="s">
        <v>238</v>
      </c>
      <c r="BC1704" s="5" t="s">
        <v>250</v>
      </c>
      <c r="BD1704" s="6" t="s">
        <v>243</v>
      </c>
      <c r="BE1704" s="5" t="s">
        <v>251</v>
      </c>
      <c r="BF1704" s="5" t="s">
        <v>252</v>
      </c>
      <c r="BG1704" s="5" t="s">
        <v>238</v>
      </c>
      <c r="BH1704" s="7">
        <f>0</f>
        <v>0</v>
      </c>
      <c r="BI1704" s="8">
        <f>0</f>
        <v>0</v>
      </c>
      <c r="BJ1704" s="5" t="s">
        <v>253</v>
      </c>
      <c r="BK1704" s="5" t="s">
        <v>254</v>
      </c>
      <c r="BY1704" s="5" t="s">
        <v>238</v>
      </c>
      <c r="BZ1704" s="5" t="s">
        <v>238</v>
      </c>
      <c r="CD1704" s="5" t="s">
        <v>273</v>
      </c>
      <c r="CE1704" s="5" t="s">
        <v>256</v>
      </c>
      <c r="CF1704" s="5" t="s">
        <v>238</v>
      </c>
      <c r="CI1704" s="6" t="s">
        <v>257</v>
      </c>
      <c r="CJ1704" s="5" t="s">
        <v>238</v>
      </c>
      <c r="CK1704" s="5" t="s">
        <v>258</v>
      </c>
      <c r="CL1704" s="5" t="s">
        <v>238</v>
      </c>
      <c r="CM1704" s="5" t="s">
        <v>238</v>
      </c>
      <c r="CN1704" s="5">
        <v>0</v>
      </c>
      <c r="CO1704" s="5" t="s">
        <v>259</v>
      </c>
      <c r="CP1704" s="5" t="s">
        <v>260</v>
      </c>
      <c r="CQ1704" s="5" t="s">
        <v>260</v>
      </c>
      <c r="CR1704" s="5" t="s">
        <v>261</v>
      </c>
      <c r="CU1704" s="8">
        <f>1</f>
        <v>1</v>
      </c>
      <c r="CV1704" s="8">
        <f>0</f>
        <v>0</v>
      </c>
      <c r="CX1704" s="8">
        <f>0</f>
        <v>0</v>
      </c>
      <c r="CY1704" s="8">
        <f>1</f>
        <v>1</v>
      </c>
      <c r="DA1704" s="5" t="s">
        <v>673</v>
      </c>
      <c r="DB1704" s="5" t="s">
        <v>238</v>
      </c>
      <c r="DD1704" s="5" t="s">
        <v>673</v>
      </c>
      <c r="DE1704" s="8">
        <f>2837</f>
        <v>2837</v>
      </c>
      <c r="DG1704" s="5" t="s">
        <v>238</v>
      </c>
      <c r="DH1704" s="5" t="s">
        <v>238</v>
      </c>
      <c r="DI1704" s="5" t="s">
        <v>238</v>
      </c>
      <c r="DJ1704" s="5" t="s">
        <v>238</v>
      </c>
      <c r="DN1704" s="5" t="s">
        <v>238</v>
      </c>
      <c r="DO1704" s="5" t="s">
        <v>238</v>
      </c>
      <c r="DP1704" s="5" t="s">
        <v>238</v>
      </c>
      <c r="DQ1704" s="5" t="s">
        <v>238</v>
      </c>
      <c r="DT1704" s="5" t="s">
        <v>2039</v>
      </c>
      <c r="DU1704" s="5" t="s">
        <v>724</v>
      </c>
      <c r="HM1704" s="5" t="s">
        <v>264</v>
      </c>
    </row>
    <row r="1705" spans="1:221" x14ac:dyDescent="0.4">
      <c r="A1705" s="5">
        <v>3380</v>
      </c>
      <c r="B1705" s="5">
        <v>1</v>
      </c>
      <c r="C1705" s="5">
        <v>1</v>
      </c>
      <c r="D1705" s="5" t="s">
        <v>2037</v>
      </c>
      <c r="E1705" s="5" t="s">
        <v>271</v>
      </c>
      <c r="F1705" s="5" t="s">
        <v>248</v>
      </c>
      <c r="G1705" s="5" t="s">
        <v>1969</v>
      </c>
      <c r="H1705" s="6" t="s">
        <v>3492</v>
      </c>
      <c r="I1705" s="7">
        <f>1579</f>
        <v>1579</v>
      </c>
      <c r="J1705" s="5" t="s">
        <v>262</v>
      </c>
      <c r="K1705" s="8">
        <f>1</f>
        <v>1</v>
      </c>
      <c r="L1705" s="6" t="s">
        <v>242</v>
      </c>
      <c r="M1705" s="5" t="s">
        <v>267</v>
      </c>
      <c r="N1705" s="5" t="s">
        <v>265</v>
      </c>
      <c r="O1705" s="5" t="s">
        <v>238</v>
      </c>
      <c r="P1705" s="5" t="s">
        <v>238</v>
      </c>
      <c r="Q1705" s="5" t="s">
        <v>268</v>
      </c>
      <c r="R1705" s="5" t="s">
        <v>270</v>
      </c>
      <c r="S1705" s="5" t="s">
        <v>238</v>
      </c>
      <c r="V1705" s="5" t="s">
        <v>238</v>
      </c>
      <c r="X1705" s="6" t="s">
        <v>238</v>
      </c>
      <c r="AA1705" s="6" t="s">
        <v>243</v>
      </c>
      <c r="AB1705" s="5" t="s">
        <v>238</v>
      </c>
      <c r="AC1705" s="5" t="s">
        <v>244</v>
      </c>
      <c r="AD1705" s="5" t="s">
        <v>245</v>
      </c>
      <c r="AT1705" s="5" t="s">
        <v>246</v>
      </c>
      <c r="AU1705" s="5" t="s">
        <v>238</v>
      </c>
      <c r="AV1705" s="5" t="s">
        <v>247</v>
      </c>
      <c r="AW1705" s="5" t="s">
        <v>238</v>
      </c>
      <c r="AX1705" s="5" t="s">
        <v>249</v>
      </c>
      <c r="AY1705" s="5" t="s">
        <v>238</v>
      </c>
      <c r="BA1705" s="5" t="s">
        <v>238</v>
      </c>
      <c r="BC1705" s="5" t="s">
        <v>250</v>
      </c>
      <c r="BD1705" s="6" t="s">
        <v>243</v>
      </c>
      <c r="BE1705" s="5" t="s">
        <v>251</v>
      </c>
      <c r="BF1705" s="5" t="s">
        <v>252</v>
      </c>
      <c r="BG1705" s="5" t="s">
        <v>238</v>
      </c>
      <c r="BH1705" s="7">
        <f>0</f>
        <v>0</v>
      </c>
      <c r="BI1705" s="8">
        <f>0</f>
        <v>0</v>
      </c>
      <c r="BJ1705" s="5" t="s">
        <v>253</v>
      </c>
      <c r="BK1705" s="5" t="s">
        <v>254</v>
      </c>
      <c r="BY1705" s="5" t="s">
        <v>238</v>
      </c>
      <c r="BZ1705" s="5" t="s">
        <v>238</v>
      </c>
      <c r="CD1705" s="5" t="s">
        <v>273</v>
      </c>
      <c r="CE1705" s="5" t="s">
        <v>256</v>
      </c>
      <c r="CF1705" s="5" t="s">
        <v>238</v>
      </c>
      <c r="CI1705" s="6" t="s">
        <v>257</v>
      </c>
      <c r="CJ1705" s="5" t="s">
        <v>238</v>
      </c>
      <c r="CK1705" s="5" t="s">
        <v>258</v>
      </c>
      <c r="CL1705" s="5" t="s">
        <v>238</v>
      </c>
      <c r="CM1705" s="5" t="s">
        <v>238</v>
      </c>
      <c r="CN1705" s="5">
        <v>0</v>
      </c>
      <c r="CO1705" s="5" t="s">
        <v>259</v>
      </c>
      <c r="CP1705" s="5" t="s">
        <v>260</v>
      </c>
      <c r="CQ1705" s="5" t="s">
        <v>260</v>
      </c>
      <c r="CR1705" s="5" t="s">
        <v>261</v>
      </c>
      <c r="CU1705" s="8">
        <f>1</f>
        <v>1</v>
      </c>
      <c r="CV1705" s="8">
        <f>0</f>
        <v>0</v>
      </c>
      <c r="CX1705" s="8">
        <f>0</f>
        <v>0</v>
      </c>
      <c r="CY1705" s="8">
        <f>1</f>
        <v>1</v>
      </c>
      <c r="DA1705" s="5" t="s">
        <v>673</v>
      </c>
      <c r="DB1705" s="5" t="s">
        <v>238</v>
      </c>
      <c r="DD1705" s="5" t="s">
        <v>673</v>
      </c>
      <c r="DE1705" s="8">
        <f>1579</f>
        <v>1579</v>
      </c>
      <c r="DG1705" s="5" t="s">
        <v>238</v>
      </c>
      <c r="DH1705" s="5" t="s">
        <v>238</v>
      </c>
      <c r="DI1705" s="5" t="s">
        <v>238</v>
      </c>
      <c r="DJ1705" s="5" t="s">
        <v>238</v>
      </c>
      <c r="DN1705" s="5" t="s">
        <v>238</v>
      </c>
      <c r="DO1705" s="5" t="s">
        <v>238</v>
      </c>
      <c r="DP1705" s="5" t="s">
        <v>238</v>
      </c>
      <c r="DQ1705" s="5" t="s">
        <v>238</v>
      </c>
      <c r="DT1705" s="5" t="s">
        <v>2039</v>
      </c>
      <c r="DU1705" s="5" t="s">
        <v>718</v>
      </c>
      <c r="HM1705" s="5" t="s">
        <v>264</v>
      </c>
    </row>
    <row r="1706" spans="1:221" x14ac:dyDescent="0.4">
      <c r="A1706" s="5">
        <v>3381</v>
      </c>
      <c r="B1706" s="5">
        <v>1</v>
      </c>
      <c r="C1706" s="5">
        <v>1</v>
      </c>
      <c r="D1706" s="5" t="s">
        <v>2037</v>
      </c>
      <c r="E1706" s="5" t="s">
        <v>271</v>
      </c>
      <c r="F1706" s="5" t="s">
        <v>248</v>
      </c>
      <c r="G1706" s="5" t="s">
        <v>1969</v>
      </c>
      <c r="H1706" s="6" t="s">
        <v>2051</v>
      </c>
      <c r="I1706" s="7">
        <f>1816</f>
        <v>1816</v>
      </c>
      <c r="J1706" s="5" t="s">
        <v>262</v>
      </c>
      <c r="K1706" s="8">
        <f>1</f>
        <v>1</v>
      </c>
      <c r="L1706" s="6" t="s">
        <v>242</v>
      </c>
      <c r="M1706" s="5" t="s">
        <v>267</v>
      </c>
      <c r="N1706" s="5" t="s">
        <v>265</v>
      </c>
      <c r="O1706" s="5" t="s">
        <v>238</v>
      </c>
      <c r="P1706" s="5" t="s">
        <v>238</v>
      </c>
      <c r="Q1706" s="5" t="s">
        <v>268</v>
      </c>
      <c r="R1706" s="5" t="s">
        <v>270</v>
      </c>
      <c r="S1706" s="5" t="s">
        <v>238</v>
      </c>
      <c r="V1706" s="5" t="s">
        <v>238</v>
      </c>
      <c r="X1706" s="6" t="s">
        <v>238</v>
      </c>
      <c r="AA1706" s="6" t="s">
        <v>243</v>
      </c>
      <c r="AB1706" s="5" t="s">
        <v>238</v>
      </c>
      <c r="AC1706" s="5" t="s">
        <v>244</v>
      </c>
      <c r="AD1706" s="5" t="s">
        <v>245</v>
      </c>
      <c r="AT1706" s="5" t="s">
        <v>246</v>
      </c>
      <c r="AU1706" s="5" t="s">
        <v>238</v>
      </c>
      <c r="AV1706" s="5" t="s">
        <v>247</v>
      </c>
      <c r="AW1706" s="5" t="s">
        <v>238</v>
      </c>
      <c r="AX1706" s="5" t="s">
        <v>249</v>
      </c>
      <c r="AY1706" s="5" t="s">
        <v>238</v>
      </c>
      <c r="BA1706" s="5" t="s">
        <v>238</v>
      </c>
      <c r="BC1706" s="5" t="s">
        <v>250</v>
      </c>
      <c r="BD1706" s="6" t="s">
        <v>243</v>
      </c>
      <c r="BE1706" s="5" t="s">
        <v>251</v>
      </c>
      <c r="BF1706" s="5" t="s">
        <v>252</v>
      </c>
      <c r="BG1706" s="5" t="s">
        <v>238</v>
      </c>
      <c r="BH1706" s="7">
        <f>0</f>
        <v>0</v>
      </c>
      <c r="BI1706" s="8">
        <f>0</f>
        <v>0</v>
      </c>
      <c r="BJ1706" s="5" t="s">
        <v>253</v>
      </c>
      <c r="BK1706" s="5" t="s">
        <v>254</v>
      </c>
      <c r="BY1706" s="5" t="s">
        <v>238</v>
      </c>
      <c r="BZ1706" s="5" t="s">
        <v>238</v>
      </c>
      <c r="CD1706" s="5" t="s">
        <v>273</v>
      </c>
      <c r="CE1706" s="5" t="s">
        <v>256</v>
      </c>
      <c r="CF1706" s="5" t="s">
        <v>238</v>
      </c>
      <c r="CI1706" s="6" t="s">
        <v>257</v>
      </c>
      <c r="CJ1706" s="5" t="s">
        <v>238</v>
      </c>
      <c r="CK1706" s="5" t="s">
        <v>258</v>
      </c>
      <c r="CL1706" s="5" t="s">
        <v>238</v>
      </c>
      <c r="CM1706" s="5" t="s">
        <v>238</v>
      </c>
      <c r="CN1706" s="5">
        <v>0</v>
      </c>
      <c r="CO1706" s="5" t="s">
        <v>259</v>
      </c>
      <c r="CP1706" s="5" t="s">
        <v>260</v>
      </c>
      <c r="CQ1706" s="5" t="s">
        <v>260</v>
      </c>
      <c r="CR1706" s="5" t="s">
        <v>261</v>
      </c>
      <c r="CU1706" s="8">
        <f>1</f>
        <v>1</v>
      </c>
      <c r="CV1706" s="8">
        <f>0</f>
        <v>0</v>
      </c>
      <c r="CX1706" s="8">
        <f>0</f>
        <v>0</v>
      </c>
      <c r="CY1706" s="8">
        <f>1</f>
        <v>1</v>
      </c>
      <c r="DA1706" s="5" t="s">
        <v>673</v>
      </c>
      <c r="DB1706" s="5" t="s">
        <v>238</v>
      </c>
      <c r="DD1706" s="5" t="s">
        <v>673</v>
      </c>
      <c r="DE1706" s="8">
        <f>1816</f>
        <v>1816</v>
      </c>
      <c r="DG1706" s="5" t="s">
        <v>238</v>
      </c>
      <c r="DH1706" s="5" t="s">
        <v>238</v>
      </c>
      <c r="DI1706" s="5" t="s">
        <v>238</v>
      </c>
      <c r="DJ1706" s="5" t="s">
        <v>238</v>
      </c>
      <c r="DN1706" s="5" t="s">
        <v>238</v>
      </c>
      <c r="DO1706" s="5" t="s">
        <v>238</v>
      </c>
      <c r="DP1706" s="5" t="s">
        <v>238</v>
      </c>
      <c r="DQ1706" s="5" t="s">
        <v>238</v>
      </c>
      <c r="DT1706" s="5" t="s">
        <v>2039</v>
      </c>
      <c r="DU1706" s="5" t="s">
        <v>730</v>
      </c>
      <c r="HM1706" s="5" t="s">
        <v>264</v>
      </c>
    </row>
    <row r="1707" spans="1:221" x14ac:dyDescent="0.4">
      <c r="A1707" s="5">
        <v>3382</v>
      </c>
      <c r="B1707" s="5">
        <v>1</v>
      </c>
      <c r="C1707" s="5">
        <v>1</v>
      </c>
      <c r="D1707" s="5" t="s">
        <v>2037</v>
      </c>
      <c r="E1707" s="5" t="s">
        <v>271</v>
      </c>
      <c r="F1707" s="5" t="s">
        <v>248</v>
      </c>
      <c r="G1707" s="5" t="s">
        <v>1969</v>
      </c>
      <c r="H1707" s="6" t="s">
        <v>2185</v>
      </c>
      <c r="I1707" s="7">
        <f>839</f>
        <v>839</v>
      </c>
      <c r="J1707" s="5" t="s">
        <v>262</v>
      </c>
      <c r="K1707" s="8">
        <f>1</f>
        <v>1</v>
      </c>
      <c r="L1707" s="6" t="s">
        <v>242</v>
      </c>
      <c r="M1707" s="5" t="s">
        <v>267</v>
      </c>
      <c r="N1707" s="5" t="s">
        <v>265</v>
      </c>
      <c r="O1707" s="5" t="s">
        <v>238</v>
      </c>
      <c r="P1707" s="5" t="s">
        <v>238</v>
      </c>
      <c r="Q1707" s="5" t="s">
        <v>268</v>
      </c>
      <c r="R1707" s="5" t="s">
        <v>270</v>
      </c>
      <c r="S1707" s="5" t="s">
        <v>238</v>
      </c>
      <c r="V1707" s="5" t="s">
        <v>238</v>
      </c>
      <c r="X1707" s="6" t="s">
        <v>238</v>
      </c>
      <c r="AA1707" s="6" t="s">
        <v>243</v>
      </c>
      <c r="AB1707" s="5" t="s">
        <v>238</v>
      </c>
      <c r="AC1707" s="5" t="s">
        <v>244</v>
      </c>
      <c r="AD1707" s="5" t="s">
        <v>245</v>
      </c>
      <c r="AT1707" s="5" t="s">
        <v>246</v>
      </c>
      <c r="AU1707" s="5" t="s">
        <v>238</v>
      </c>
      <c r="AV1707" s="5" t="s">
        <v>247</v>
      </c>
      <c r="AW1707" s="5" t="s">
        <v>238</v>
      </c>
      <c r="AX1707" s="5" t="s">
        <v>249</v>
      </c>
      <c r="AY1707" s="5" t="s">
        <v>238</v>
      </c>
      <c r="BA1707" s="5" t="s">
        <v>238</v>
      </c>
      <c r="BC1707" s="5" t="s">
        <v>250</v>
      </c>
      <c r="BD1707" s="6" t="s">
        <v>243</v>
      </c>
      <c r="BE1707" s="5" t="s">
        <v>251</v>
      </c>
      <c r="BF1707" s="5" t="s">
        <v>252</v>
      </c>
      <c r="BG1707" s="5" t="s">
        <v>238</v>
      </c>
      <c r="BH1707" s="7">
        <f>0</f>
        <v>0</v>
      </c>
      <c r="BI1707" s="8">
        <f>0</f>
        <v>0</v>
      </c>
      <c r="BJ1707" s="5" t="s">
        <v>253</v>
      </c>
      <c r="BK1707" s="5" t="s">
        <v>254</v>
      </c>
      <c r="BY1707" s="5" t="s">
        <v>238</v>
      </c>
      <c r="BZ1707" s="5" t="s">
        <v>238</v>
      </c>
      <c r="CD1707" s="5" t="s">
        <v>273</v>
      </c>
      <c r="CE1707" s="5" t="s">
        <v>256</v>
      </c>
      <c r="CF1707" s="5" t="s">
        <v>238</v>
      </c>
      <c r="CI1707" s="6" t="s">
        <v>257</v>
      </c>
      <c r="CJ1707" s="5" t="s">
        <v>238</v>
      </c>
      <c r="CK1707" s="5" t="s">
        <v>258</v>
      </c>
      <c r="CL1707" s="5" t="s">
        <v>238</v>
      </c>
      <c r="CM1707" s="5" t="s">
        <v>238</v>
      </c>
      <c r="CN1707" s="5">
        <v>0</v>
      </c>
      <c r="CO1707" s="5" t="s">
        <v>259</v>
      </c>
      <c r="CP1707" s="5" t="s">
        <v>260</v>
      </c>
      <c r="CQ1707" s="5" t="s">
        <v>260</v>
      </c>
      <c r="CR1707" s="5" t="s">
        <v>261</v>
      </c>
      <c r="CU1707" s="8">
        <f>1</f>
        <v>1</v>
      </c>
      <c r="CV1707" s="8">
        <f>0</f>
        <v>0</v>
      </c>
      <c r="CX1707" s="8">
        <f>0</f>
        <v>0</v>
      </c>
      <c r="CY1707" s="8">
        <f>1</f>
        <v>1</v>
      </c>
      <c r="DA1707" s="5" t="s">
        <v>673</v>
      </c>
      <c r="DB1707" s="5" t="s">
        <v>238</v>
      </c>
      <c r="DD1707" s="5" t="s">
        <v>673</v>
      </c>
      <c r="DE1707" s="8">
        <f>839</f>
        <v>839</v>
      </c>
      <c r="DG1707" s="5" t="s">
        <v>238</v>
      </c>
      <c r="DH1707" s="5" t="s">
        <v>238</v>
      </c>
      <c r="DI1707" s="5" t="s">
        <v>238</v>
      </c>
      <c r="DJ1707" s="5" t="s">
        <v>238</v>
      </c>
      <c r="DN1707" s="5" t="s">
        <v>238</v>
      </c>
      <c r="DO1707" s="5" t="s">
        <v>238</v>
      </c>
      <c r="DP1707" s="5" t="s">
        <v>238</v>
      </c>
      <c r="DQ1707" s="5" t="s">
        <v>238</v>
      </c>
      <c r="DT1707" s="5" t="s">
        <v>2039</v>
      </c>
      <c r="DU1707" s="5" t="s">
        <v>738</v>
      </c>
      <c r="HM1707" s="5" t="s">
        <v>264</v>
      </c>
    </row>
    <row r="1708" spans="1:221" x14ac:dyDescent="0.4">
      <c r="A1708" s="5">
        <v>3383</v>
      </c>
      <c r="B1708" s="5">
        <v>1</v>
      </c>
      <c r="C1708" s="5">
        <v>1</v>
      </c>
      <c r="D1708" s="5" t="s">
        <v>2037</v>
      </c>
      <c r="E1708" s="5" t="s">
        <v>271</v>
      </c>
      <c r="F1708" s="5" t="s">
        <v>248</v>
      </c>
      <c r="G1708" s="5" t="s">
        <v>1969</v>
      </c>
      <c r="H1708" s="6" t="s">
        <v>2171</v>
      </c>
      <c r="I1708" s="7">
        <f>2239</f>
        <v>2239</v>
      </c>
      <c r="J1708" s="5" t="s">
        <v>262</v>
      </c>
      <c r="K1708" s="8">
        <f>1</f>
        <v>1</v>
      </c>
      <c r="L1708" s="6" t="s">
        <v>242</v>
      </c>
      <c r="M1708" s="5" t="s">
        <v>267</v>
      </c>
      <c r="N1708" s="5" t="s">
        <v>265</v>
      </c>
      <c r="O1708" s="5" t="s">
        <v>238</v>
      </c>
      <c r="P1708" s="5" t="s">
        <v>238</v>
      </c>
      <c r="Q1708" s="5" t="s">
        <v>268</v>
      </c>
      <c r="R1708" s="5" t="s">
        <v>270</v>
      </c>
      <c r="S1708" s="5" t="s">
        <v>238</v>
      </c>
      <c r="V1708" s="5" t="s">
        <v>238</v>
      </c>
      <c r="X1708" s="6" t="s">
        <v>238</v>
      </c>
      <c r="AA1708" s="6" t="s">
        <v>243</v>
      </c>
      <c r="AB1708" s="5" t="s">
        <v>238</v>
      </c>
      <c r="AC1708" s="5" t="s">
        <v>244</v>
      </c>
      <c r="AD1708" s="5" t="s">
        <v>245</v>
      </c>
      <c r="AT1708" s="5" t="s">
        <v>246</v>
      </c>
      <c r="AU1708" s="5" t="s">
        <v>238</v>
      </c>
      <c r="AV1708" s="5" t="s">
        <v>247</v>
      </c>
      <c r="AW1708" s="5" t="s">
        <v>238</v>
      </c>
      <c r="AX1708" s="5" t="s">
        <v>249</v>
      </c>
      <c r="AY1708" s="5" t="s">
        <v>238</v>
      </c>
      <c r="BA1708" s="5" t="s">
        <v>238</v>
      </c>
      <c r="BC1708" s="5" t="s">
        <v>250</v>
      </c>
      <c r="BD1708" s="6" t="s">
        <v>243</v>
      </c>
      <c r="BE1708" s="5" t="s">
        <v>251</v>
      </c>
      <c r="BF1708" s="5" t="s">
        <v>252</v>
      </c>
      <c r="BG1708" s="5" t="s">
        <v>238</v>
      </c>
      <c r="BH1708" s="7">
        <f>0</f>
        <v>0</v>
      </c>
      <c r="BI1708" s="8">
        <f>0</f>
        <v>0</v>
      </c>
      <c r="BJ1708" s="5" t="s">
        <v>253</v>
      </c>
      <c r="BK1708" s="5" t="s">
        <v>254</v>
      </c>
      <c r="BY1708" s="5" t="s">
        <v>238</v>
      </c>
      <c r="BZ1708" s="5" t="s">
        <v>238</v>
      </c>
      <c r="CD1708" s="5" t="s">
        <v>273</v>
      </c>
      <c r="CE1708" s="5" t="s">
        <v>256</v>
      </c>
      <c r="CF1708" s="5" t="s">
        <v>238</v>
      </c>
      <c r="CI1708" s="6" t="s">
        <v>257</v>
      </c>
      <c r="CJ1708" s="5" t="s">
        <v>238</v>
      </c>
      <c r="CK1708" s="5" t="s">
        <v>258</v>
      </c>
      <c r="CL1708" s="5" t="s">
        <v>238</v>
      </c>
      <c r="CM1708" s="5" t="s">
        <v>238</v>
      </c>
      <c r="CN1708" s="5">
        <v>0</v>
      </c>
      <c r="CO1708" s="5" t="s">
        <v>259</v>
      </c>
      <c r="CP1708" s="5" t="s">
        <v>260</v>
      </c>
      <c r="CQ1708" s="5" t="s">
        <v>260</v>
      </c>
      <c r="CR1708" s="5" t="s">
        <v>261</v>
      </c>
      <c r="CU1708" s="8">
        <f>1</f>
        <v>1</v>
      </c>
      <c r="CV1708" s="8">
        <f>0</f>
        <v>0</v>
      </c>
      <c r="CX1708" s="8">
        <f>0</f>
        <v>0</v>
      </c>
      <c r="CY1708" s="8">
        <f>1</f>
        <v>1</v>
      </c>
      <c r="DA1708" s="5" t="s">
        <v>673</v>
      </c>
      <c r="DB1708" s="5" t="s">
        <v>238</v>
      </c>
      <c r="DD1708" s="5" t="s">
        <v>673</v>
      </c>
      <c r="DE1708" s="8">
        <f>2239</f>
        <v>2239</v>
      </c>
      <c r="DG1708" s="5" t="s">
        <v>238</v>
      </c>
      <c r="DH1708" s="5" t="s">
        <v>238</v>
      </c>
      <c r="DI1708" s="5" t="s">
        <v>238</v>
      </c>
      <c r="DJ1708" s="5" t="s">
        <v>238</v>
      </c>
      <c r="DN1708" s="5" t="s">
        <v>238</v>
      </c>
      <c r="DO1708" s="5" t="s">
        <v>238</v>
      </c>
      <c r="DP1708" s="5" t="s">
        <v>238</v>
      </c>
      <c r="DQ1708" s="5" t="s">
        <v>238</v>
      </c>
      <c r="DT1708" s="5" t="s">
        <v>2039</v>
      </c>
      <c r="DU1708" s="5" t="s">
        <v>744</v>
      </c>
      <c r="HM1708" s="5" t="s">
        <v>264</v>
      </c>
    </row>
    <row r="1709" spans="1:221" x14ac:dyDescent="0.4">
      <c r="A1709" s="5">
        <v>3384</v>
      </c>
      <c r="B1709" s="5">
        <v>1</v>
      </c>
      <c r="C1709" s="5">
        <v>1</v>
      </c>
      <c r="D1709" s="5" t="s">
        <v>2037</v>
      </c>
      <c r="E1709" s="5" t="s">
        <v>271</v>
      </c>
      <c r="F1709" s="5" t="s">
        <v>248</v>
      </c>
      <c r="G1709" s="5" t="s">
        <v>1969</v>
      </c>
      <c r="H1709" s="6" t="s">
        <v>2038</v>
      </c>
      <c r="I1709" s="7">
        <f>4921</f>
        <v>4921</v>
      </c>
      <c r="J1709" s="5" t="s">
        <v>262</v>
      </c>
      <c r="K1709" s="8">
        <f>1</f>
        <v>1</v>
      </c>
      <c r="L1709" s="6" t="s">
        <v>242</v>
      </c>
      <c r="M1709" s="5" t="s">
        <v>267</v>
      </c>
      <c r="N1709" s="5" t="s">
        <v>265</v>
      </c>
      <c r="O1709" s="5" t="s">
        <v>238</v>
      </c>
      <c r="P1709" s="5" t="s">
        <v>238</v>
      </c>
      <c r="Q1709" s="5" t="s">
        <v>268</v>
      </c>
      <c r="R1709" s="5" t="s">
        <v>270</v>
      </c>
      <c r="S1709" s="5" t="s">
        <v>238</v>
      </c>
      <c r="V1709" s="5" t="s">
        <v>238</v>
      </c>
      <c r="X1709" s="6" t="s">
        <v>238</v>
      </c>
      <c r="AA1709" s="6" t="s">
        <v>243</v>
      </c>
      <c r="AB1709" s="5" t="s">
        <v>238</v>
      </c>
      <c r="AC1709" s="5" t="s">
        <v>244</v>
      </c>
      <c r="AD1709" s="5" t="s">
        <v>245</v>
      </c>
      <c r="AT1709" s="5" t="s">
        <v>246</v>
      </c>
      <c r="AU1709" s="5" t="s">
        <v>238</v>
      </c>
      <c r="AV1709" s="5" t="s">
        <v>247</v>
      </c>
      <c r="AW1709" s="5" t="s">
        <v>238</v>
      </c>
      <c r="AX1709" s="5" t="s">
        <v>249</v>
      </c>
      <c r="AY1709" s="5" t="s">
        <v>238</v>
      </c>
      <c r="BA1709" s="5" t="s">
        <v>238</v>
      </c>
      <c r="BC1709" s="5" t="s">
        <v>250</v>
      </c>
      <c r="BD1709" s="6" t="s">
        <v>243</v>
      </c>
      <c r="BE1709" s="5" t="s">
        <v>251</v>
      </c>
      <c r="BF1709" s="5" t="s">
        <v>252</v>
      </c>
      <c r="BG1709" s="5" t="s">
        <v>238</v>
      </c>
      <c r="BH1709" s="7">
        <f>0</f>
        <v>0</v>
      </c>
      <c r="BI1709" s="8">
        <f>0</f>
        <v>0</v>
      </c>
      <c r="BJ1709" s="5" t="s">
        <v>253</v>
      </c>
      <c r="BK1709" s="5" t="s">
        <v>254</v>
      </c>
      <c r="BY1709" s="5" t="s">
        <v>238</v>
      </c>
      <c r="BZ1709" s="5" t="s">
        <v>238</v>
      </c>
      <c r="CD1709" s="5" t="s">
        <v>273</v>
      </c>
      <c r="CE1709" s="5" t="s">
        <v>256</v>
      </c>
      <c r="CF1709" s="5" t="s">
        <v>238</v>
      </c>
      <c r="CI1709" s="6" t="s">
        <v>257</v>
      </c>
      <c r="CJ1709" s="5" t="s">
        <v>238</v>
      </c>
      <c r="CK1709" s="5" t="s">
        <v>258</v>
      </c>
      <c r="CL1709" s="5" t="s">
        <v>238</v>
      </c>
      <c r="CM1709" s="5" t="s">
        <v>238</v>
      </c>
      <c r="CN1709" s="5">
        <v>0</v>
      </c>
      <c r="CO1709" s="5" t="s">
        <v>259</v>
      </c>
      <c r="CP1709" s="5" t="s">
        <v>260</v>
      </c>
      <c r="CQ1709" s="5" t="s">
        <v>260</v>
      </c>
      <c r="CR1709" s="5" t="s">
        <v>261</v>
      </c>
      <c r="CU1709" s="8">
        <f>1</f>
        <v>1</v>
      </c>
      <c r="CV1709" s="8">
        <f>0</f>
        <v>0</v>
      </c>
      <c r="CX1709" s="8">
        <f>0</f>
        <v>0</v>
      </c>
      <c r="CY1709" s="8">
        <f>1</f>
        <v>1</v>
      </c>
      <c r="DA1709" s="5" t="s">
        <v>673</v>
      </c>
      <c r="DB1709" s="5" t="s">
        <v>238</v>
      </c>
      <c r="DD1709" s="5" t="s">
        <v>673</v>
      </c>
      <c r="DE1709" s="8">
        <f>4921</f>
        <v>4921</v>
      </c>
      <c r="DG1709" s="5" t="s">
        <v>238</v>
      </c>
      <c r="DH1709" s="5" t="s">
        <v>238</v>
      </c>
      <c r="DI1709" s="5" t="s">
        <v>238</v>
      </c>
      <c r="DJ1709" s="5" t="s">
        <v>238</v>
      </c>
      <c r="DN1709" s="5" t="s">
        <v>238</v>
      </c>
      <c r="DO1709" s="5" t="s">
        <v>238</v>
      </c>
      <c r="DP1709" s="5" t="s">
        <v>238</v>
      </c>
      <c r="DQ1709" s="5" t="s">
        <v>238</v>
      </c>
      <c r="DT1709" s="5" t="s">
        <v>2039</v>
      </c>
      <c r="DU1709" s="5" t="s">
        <v>750</v>
      </c>
      <c r="HM1709" s="5" t="s">
        <v>264</v>
      </c>
    </row>
    <row r="1710" spans="1:221" x14ac:dyDescent="0.4">
      <c r="A1710" s="5">
        <v>3385</v>
      </c>
      <c r="B1710" s="5">
        <v>1</v>
      </c>
      <c r="C1710" s="5">
        <v>1</v>
      </c>
      <c r="D1710" s="5" t="s">
        <v>2037</v>
      </c>
      <c r="E1710" s="5" t="s">
        <v>271</v>
      </c>
      <c r="F1710" s="5" t="s">
        <v>248</v>
      </c>
      <c r="G1710" s="5" t="s">
        <v>1969</v>
      </c>
      <c r="H1710" s="6" t="s">
        <v>2642</v>
      </c>
      <c r="I1710" s="7">
        <f>144</f>
        <v>144</v>
      </c>
      <c r="J1710" s="5" t="s">
        <v>262</v>
      </c>
      <c r="K1710" s="8">
        <f>1</f>
        <v>1</v>
      </c>
      <c r="L1710" s="6" t="s">
        <v>242</v>
      </c>
      <c r="M1710" s="5" t="s">
        <v>267</v>
      </c>
      <c r="N1710" s="5" t="s">
        <v>265</v>
      </c>
      <c r="O1710" s="5" t="s">
        <v>238</v>
      </c>
      <c r="P1710" s="5" t="s">
        <v>238</v>
      </c>
      <c r="Q1710" s="5" t="s">
        <v>268</v>
      </c>
      <c r="R1710" s="5" t="s">
        <v>270</v>
      </c>
      <c r="S1710" s="5" t="s">
        <v>238</v>
      </c>
      <c r="V1710" s="5" t="s">
        <v>238</v>
      </c>
      <c r="X1710" s="6" t="s">
        <v>238</v>
      </c>
      <c r="AA1710" s="6" t="s">
        <v>243</v>
      </c>
      <c r="AB1710" s="5" t="s">
        <v>238</v>
      </c>
      <c r="AC1710" s="5" t="s">
        <v>244</v>
      </c>
      <c r="AD1710" s="5" t="s">
        <v>245</v>
      </c>
      <c r="AT1710" s="5" t="s">
        <v>246</v>
      </c>
      <c r="AU1710" s="5" t="s">
        <v>238</v>
      </c>
      <c r="AV1710" s="5" t="s">
        <v>247</v>
      </c>
      <c r="AW1710" s="5" t="s">
        <v>238</v>
      </c>
      <c r="AX1710" s="5" t="s">
        <v>249</v>
      </c>
      <c r="AY1710" s="5" t="s">
        <v>238</v>
      </c>
      <c r="BA1710" s="5" t="s">
        <v>238</v>
      </c>
      <c r="BC1710" s="5" t="s">
        <v>250</v>
      </c>
      <c r="BD1710" s="6" t="s">
        <v>243</v>
      </c>
      <c r="BE1710" s="5" t="s">
        <v>251</v>
      </c>
      <c r="BF1710" s="5" t="s">
        <v>252</v>
      </c>
      <c r="BG1710" s="5" t="s">
        <v>238</v>
      </c>
      <c r="BH1710" s="7">
        <f>0</f>
        <v>0</v>
      </c>
      <c r="BI1710" s="8">
        <f>0</f>
        <v>0</v>
      </c>
      <c r="BJ1710" s="5" t="s">
        <v>253</v>
      </c>
      <c r="BK1710" s="5" t="s">
        <v>254</v>
      </c>
      <c r="BY1710" s="5" t="s">
        <v>238</v>
      </c>
      <c r="BZ1710" s="5" t="s">
        <v>238</v>
      </c>
      <c r="CD1710" s="5" t="s">
        <v>273</v>
      </c>
      <c r="CE1710" s="5" t="s">
        <v>256</v>
      </c>
      <c r="CF1710" s="5" t="s">
        <v>238</v>
      </c>
      <c r="CI1710" s="6" t="s">
        <v>257</v>
      </c>
      <c r="CJ1710" s="5" t="s">
        <v>238</v>
      </c>
      <c r="CK1710" s="5" t="s">
        <v>258</v>
      </c>
      <c r="CL1710" s="5" t="s">
        <v>238</v>
      </c>
      <c r="CM1710" s="5" t="s">
        <v>238</v>
      </c>
      <c r="CN1710" s="5">
        <v>0</v>
      </c>
      <c r="CO1710" s="5" t="s">
        <v>259</v>
      </c>
      <c r="CP1710" s="5" t="s">
        <v>260</v>
      </c>
      <c r="CQ1710" s="5" t="s">
        <v>260</v>
      </c>
      <c r="CR1710" s="5" t="s">
        <v>261</v>
      </c>
      <c r="CU1710" s="8">
        <f>1</f>
        <v>1</v>
      </c>
      <c r="CV1710" s="8">
        <f>0</f>
        <v>0</v>
      </c>
      <c r="CX1710" s="8">
        <f>0</f>
        <v>0</v>
      </c>
      <c r="CY1710" s="8">
        <f>1</f>
        <v>1</v>
      </c>
      <c r="DA1710" s="5" t="s">
        <v>673</v>
      </c>
      <c r="DB1710" s="5" t="s">
        <v>238</v>
      </c>
      <c r="DD1710" s="5" t="s">
        <v>673</v>
      </c>
      <c r="DE1710" s="8">
        <f>144</f>
        <v>144</v>
      </c>
      <c r="DG1710" s="5" t="s">
        <v>238</v>
      </c>
      <c r="DH1710" s="5" t="s">
        <v>238</v>
      </c>
      <c r="DI1710" s="5" t="s">
        <v>238</v>
      </c>
      <c r="DJ1710" s="5" t="s">
        <v>238</v>
      </c>
      <c r="DN1710" s="5" t="s">
        <v>238</v>
      </c>
      <c r="DO1710" s="5" t="s">
        <v>238</v>
      </c>
      <c r="DP1710" s="5" t="s">
        <v>238</v>
      </c>
      <c r="DQ1710" s="5" t="s">
        <v>238</v>
      </c>
      <c r="DT1710" s="5" t="s">
        <v>2039</v>
      </c>
      <c r="DU1710" s="5" t="s">
        <v>756</v>
      </c>
      <c r="HM1710" s="5" t="s">
        <v>264</v>
      </c>
    </row>
    <row r="1711" spans="1:221" x14ac:dyDescent="0.4">
      <c r="A1711" s="5">
        <v>3386</v>
      </c>
      <c r="B1711" s="5">
        <v>1</v>
      </c>
      <c r="C1711" s="5">
        <v>1</v>
      </c>
      <c r="D1711" s="5" t="s">
        <v>2037</v>
      </c>
      <c r="E1711" s="5" t="s">
        <v>271</v>
      </c>
      <c r="F1711" s="5" t="s">
        <v>248</v>
      </c>
      <c r="G1711" s="5" t="s">
        <v>1969</v>
      </c>
      <c r="H1711" s="6" t="s">
        <v>2633</v>
      </c>
      <c r="I1711" s="7">
        <f>384</f>
        <v>384</v>
      </c>
      <c r="J1711" s="5" t="s">
        <v>262</v>
      </c>
      <c r="K1711" s="8">
        <f>1</f>
        <v>1</v>
      </c>
      <c r="L1711" s="6" t="s">
        <v>242</v>
      </c>
      <c r="M1711" s="5" t="s">
        <v>267</v>
      </c>
      <c r="N1711" s="5" t="s">
        <v>265</v>
      </c>
      <c r="O1711" s="5" t="s">
        <v>238</v>
      </c>
      <c r="P1711" s="5" t="s">
        <v>238</v>
      </c>
      <c r="Q1711" s="5" t="s">
        <v>268</v>
      </c>
      <c r="R1711" s="5" t="s">
        <v>270</v>
      </c>
      <c r="S1711" s="5" t="s">
        <v>238</v>
      </c>
      <c r="V1711" s="5" t="s">
        <v>238</v>
      </c>
      <c r="X1711" s="6" t="s">
        <v>238</v>
      </c>
      <c r="AA1711" s="6" t="s">
        <v>243</v>
      </c>
      <c r="AB1711" s="5" t="s">
        <v>238</v>
      </c>
      <c r="AC1711" s="5" t="s">
        <v>244</v>
      </c>
      <c r="AD1711" s="5" t="s">
        <v>245</v>
      </c>
      <c r="AT1711" s="5" t="s">
        <v>246</v>
      </c>
      <c r="AU1711" s="5" t="s">
        <v>238</v>
      </c>
      <c r="AV1711" s="5" t="s">
        <v>247</v>
      </c>
      <c r="AW1711" s="5" t="s">
        <v>238</v>
      </c>
      <c r="AX1711" s="5" t="s">
        <v>249</v>
      </c>
      <c r="AY1711" s="5" t="s">
        <v>238</v>
      </c>
      <c r="BA1711" s="5" t="s">
        <v>238</v>
      </c>
      <c r="BC1711" s="5" t="s">
        <v>250</v>
      </c>
      <c r="BD1711" s="6" t="s">
        <v>243</v>
      </c>
      <c r="BE1711" s="5" t="s">
        <v>251</v>
      </c>
      <c r="BF1711" s="5" t="s">
        <v>252</v>
      </c>
      <c r="BG1711" s="5" t="s">
        <v>238</v>
      </c>
      <c r="BH1711" s="7">
        <f>0</f>
        <v>0</v>
      </c>
      <c r="BI1711" s="8">
        <f>0</f>
        <v>0</v>
      </c>
      <c r="BJ1711" s="5" t="s">
        <v>253</v>
      </c>
      <c r="BK1711" s="5" t="s">
        <v>254</v>
      </c>
      <c r="BY1711" s="5" t="s">
        <v>238</v>
      </c>
      <c r="BZ1711" s="5" t="s">
        <v>238</v>
      </c>
      <c r="CD1711" s="5" t="s">
        <v>273</v>
      </c>
      <c r="CE1711" s="5" t="s">
        <v>256</v>
      </c>
      <c r="CF1711" s="5" t="s">
        <v>238</v>
      </c>
      <c r="CI1711" s="6" t="s">
        <v>257</v>
      </c>
      <c r="CJ1711" s="5" t="s">
        <v>238</v>
      </c>
      <c r="CK1711" s="5" t="s">
        <v>258</v>
      </c>
      <c r="CL1711" s="5" t="s">
        <v>238</v>
      </c>
      <c r="CM1711" s="5" t="s">
        <v>238</v>
      </c>
      <c r="CN1711" s="5">
        <v>0</v>
      </c>
      <c r="CO1711" s="5" t="s">
        <v>259</v>
      </c>
      <c r="CP1711" s="5" t="s">
        <v>260</v>
      </c>
      <c r="CQ1711" s="5" t="s">
        <v>260</v>
      </c>
      <c r="CR1711" s="5" t="s">
        <v>261</v>
      </c>
      <c r="CU1711" s="8">
        <f>1</f>
        <v>1</v>
      </c>
      <c r="CV1711" s="8">
        <f>0</f>
        <v>0</v>
      </c>
      <c r="CX1711" s="8">
        <f>0</f>
        <v>0</v>
      </c>
      <c r="CY1711" s="8">
        <f>1</f>
        <v>1</v>
      </c>
      <c r="DA1711" s="5" t="s">
        <v>673</v>
      </c>
      <c r="DB1711" s="5" t="s">
        <v>238</v>
      </c>
      <c r="DD1711" s="5" t="s">
        <v>673</v>
      </c>
      <c r="DE1711" s="8">
        <f>384</f>
        <v>384</v>
      </c>
      <c r="DG1711" s="5" t="s">
        <v>238</v>
      </c>
      <c r="DH1711" s="5" t="s">
        <v>238</v>
      </c>
      <c r="DI1711" s="5" t="s">
        <v>238</v>
      </c>
      <c r="DJ1711" s="5" t="s">
        <v>238</v>
      </c>
      <c r="DN1711" s="5" t="s">
        <v>238</v>
      </c>
      <c r="DO1711" s="5" t="s">
        <v>238</v>
      </c>
      <c r="DP1711" s="5" t="s">
        <v>238</v>
      </c>
      <c r="DQ1711" s="5" t="s">
        <v>238</v>
      </c>
      <c r="DT1711" s="5" t="s">
        <v>2039</v>
      </c>
      <c r="DU1711" s="5" t="s">
        <v>762</v>
      </c>
      <c r="HM1711" s="5" t="s">
        <v>264</v>
      </c>
    </row>
    <row r="1712" spans="1:221" x14ac:dyDescent="0.4">
      <c r="A1712" s="5">
        <v>3387</v>
      </c>
      <c r="B1712" s="5">
        <v>1</v>
      </c>
      <c r="C1712" s="5">
        <v>1</v>
      </c>
      <c r="D1712" s="5" t="s">
        <v>2037</v>
      </c>
      <c r="E1712" s="5" t="s">
        <v>271</v>
      </c>
      <c r="F1712" s="5" t="s">
        <v>248</v>
      </c>
      <c r="G1712" s="5" t="s">
        <v>1969</v>
      </c>
      <c r="H1712" s="6" t="s">
        <v>2759</v>
      </c>
      <c r="I1712" s="7">
        <f>2008</f>
        <v>2008</v>
      </c>
      <c r="J1712" s="5" t="s">
        <v>262</v>
      </c>
      <c r="K1712" s="8">
        <f>1</f>
        <v>1</v>
      </c>
      <c r="L1712" s="6" t="s">
        <v>242</v>
      </c>
      <c r="M1712" s="5" t="s">
        <v>267</v>
      </c>
      <c r="N1712" s="5" t="s">
        <v>265</v>
      </c>
      <c r="O1712" s="5" t="s">
        <v>238</v>
      </c>
      <c r="P1712" s="5" t="s">
        <v>238</v>
      </c>
      <c r="Q1712" s="5" t="s">
        <v>268</v>
      </c>
      <c r="R1712" s="5" t="s">
        <v>270</v>
      </c>
      <c r="S1712" s="5" t="s">
        <v>238</v>
      </c>
      <c r="V1712" s="5" t="s">
        <v>238</v>
      </c>
      <c r="X1712" s="6" t="s">
        <v>238</v>
      </c>
      <c r="AA1712" s="6" t="s">
        <v>243</v>
      </c>
      <c r="AB1712" s="5" t="s">
        <v>238</v>
      </c>
      <c r="AC1712" s="5" t="s">
        <v>244</v>
      </c>
      <c r="AD1712" s="5" t="s">
        <v>245</v>
      </c>
      <c r="AT1712" s="5" t="s">
        <v>246</v>
      </c>
      <c r="AU1712" s="5" t="s">
        <v>238</v>
      </c>
      <c r="AV1712" s="5" t="s">
        <v>247</v>
      </c>
      <c r="AW1712" s="5" t="s">
        <v>238</v>
      </c>
      <c r="AX1712" s="5" t="s">
        <v>249</v>
      </c>
      <c r="AY1712" s="5" t="s">
        <v>238</v>
      </c>
      <c r="BA1712" s="5" t="s">
        <v>238</v>
      </c>
      <c r="BC1712" s="5" t="s">
        <v>250</v>
      </c>
      <c r="BD1712" s="6" t="s">
        <v>243</v>
      </c>
      <c r="BE1712" s="5" t="s">
        <v>251</v>
      </c>
      <c r="BF1712" s="5" t="s">
        <v>252</v>
      </c>
      <c r="BG1712" s="5" t="s">
        <v>238</v>
      </c>
      <c r="BH1712" s="7">
        <f>0</f>
        <v>0</v>
      </c>
      <c r="BI1712" s="8">
        <f>0</f>
        <v>0</v>
      </c>
      <c r="BJ1712" s="5" t="s">
        <v>253</v>
      </c>
      <c r="BK1712" s="5" t="s">
        <v>254</v>
      </c>
      <c r="BY1712" s="5" t="s">
        <v>238</v>
      </c>
      <c r="BZ1712" s="5" t="s">
        <v>238</v>
      </c>
      <c r="CD1712" s="5" t="s">
        <v>273</v>
      </c>
      <c r="CE1712" s="5" t="s">
        <v>256</v>
      </c>
      <c r="CF1712" s="5" t="s">
        <v>238</v>
      </c>
      <c r="CI1712" s="6" t="s">
        <v>257</v>
      </c>
      <c r="CJ1712" s="5" t="s">
        <v>238</v>
      </c>
      <c r="CK1712" s="5" t="s">
        <v>258</v>
      </c>
      <c r="CL1712" s="5" t="s">
        <v>238</v>
      </c>
      <c r="CM1712" s="5" t="s">
        <v>238</v>
      </c>
      <c r="CN1712" s="5">
        <v>0</v>
      </c>
      <c r="CO1712" s="5" t="s">
        <v>259</v>
      </c>
      <c r="CP1712" s="5" t="s">
        <v>260</v>
      </c>
      <c r="CQ1712" s="5" t="s">
        <v>260</v>
      </c>
      <c r="CR1712" s="5" t="s">
        <v>261</v>
      </c>
      <c r="CU1712" s="8">
        <f>1</f>
        <v>1</v>
      </c>
      <c r="CV1712" s="8">
        <f>0</f>
        <v>0</v>
      </c>
      <c r="CX1712" s="8">
        <f>0</f>
        <v>0</v>
      </c>
      <c r="CY1712" s="8">
        <f>1</f>
        <v>1</v>
      </c>
      <c r="DA1712" s="5" t="s">
        <v>673</v>
      </c>
      <c r="DB1712" s="5" t="s">
        <v>238</v>
      </c>
      <c r="DD1712" s="5" t="s">
        <v>673</v>
      </c>
      <c r="DE1712" s="8">
        <f>2008</f>
        <v>2008</v>
      </c>
      <c r="DG1712" s="5" t="s">
        <v>238</v>
      </c>
      <c r="DH1712" s="5" t="s">
        <v>238</v>
      </c>
      <c r="DI1712" s="5" t="s">
        <v>238</v>
      </c>
      <c r="DJ1712" s="5" t="s">
        <v>238</v>
      </c>
      <c r="DN1712" s="5" t="s">
        <v>238</v>
      </c>
      <c r="DO1712" s="5" t="s">
        <v>238</v>
      </c>
      <c r="DP1712" s="5" t="s">
        <v>238</v>
      </c>
      <c r="DQ1712" s="5" t="s">
        <v>238</v>
      </c>
      <c r="DT1712" s="5" t="s">
        <v>2039</v>
      </c>
      <c r="DU1712" s="5" t="s">
        <v>764</v>
      </c>
      <c r="HM1712" s="5" t="s">
        <v>264</v>
      </c>
    </row>
    <row r="1713" spans="1:221" x14ac:dyDescent="0.4">
      <c r="A1713" s="5">
        <v>3388</v>
      </c>
      <c r="B1713" s="5">
        <v>1</v>
      </c>
      <c r="C1713" s="5">
        <v>1</v>
      </c>
      <c r="D1713" s="5" t="s">
        <v>2037</v>
      </c>
      <c r="E1713" s="5" t="s">
        <v>271</v>
      </c>
      <c r="F1713" s="5" t="s">
        <v>248</v>
      </c>
      <c r="G1713" s="5" t="s">
        <v>1969</v>
      </c>
      <c r="H1713" s="6" t="s">
        <v>3004</v>
      </c>
      <c r="I1713" s="7">
        <f>166</f>
        <v>166</v>
      </c>
      <c r="J1713" s="5" t="s">
        <v>262</v>
      </c>
      <c r="K1713" s="8">
        <f>1</f>
        <v>1</v>
      </c>
      <c r="L1713" s="6" t="s">
        <v>242</v>
      </c>
      <c r="M1713" s="5" t="s">
        <v>267</v>
      </c>
      <c r="N1713" s="5" t="s">
        <v>265</v>
      </c>
      <c r="O1713" s="5" t="s">
        <v>238</v>
      </c>
      <c r="P1713" s="5" t="s">
        <v>238</v>
      </c>
      <c r="Q1713" s="5" t="s">
        <v>268</v>
      </c>
      <c r="R1713" s="5" t="s">
        <v>270</v>
      </c>
      <c r="S1713" s="5" t="s">
        <v>238</v>
      </c>
      <c r="V1713" s="5" t="s">
        <v>238</v>
      </c>
      <c r="X1713" s="6" t="s">
        <v>238</v>
      </c>
      <c r="AA1713" s="6" t="s">
        <v>243</v>
      </c>
      <c r="AB1713" s="5" t="s">
        <v>238</v>
      </c>
      <c r="AC1713" s="5" t="s">
        <v>244</v>
      </c>
      <c r="AD1713" s="5" t="s">
        <v>245</v>
      </c>
      <c r="AT1713" s="5" t="s">
        <v>246</v>
      </c>
      <c r="AU1713" s="5" t="s">
        <v>238</v>
      </c>
      <c r="AV1713" s="5" t="s">
        <v>247</v>
      </c>
      <c r="AW1713" s="5" t="s">
        <v>238</v>
      </c>
      <c r="AX1713" s="5" t="s">
        <v>249</v>
      </c>
      <c r="AY1713" s="5" t="s">
        <v>238</v>
      </c>
      <c r="BA1713" s="5" t="s">
        <v>238</v>
      </c>
      <c r="BC1713" s="5" t="s">
        <v>250</v>
      </c>
      <c r="BD1713" s="6" t="s">
        <v>243</v>
      </c>
      <c r="BE1713" s="5" t="s">
        <v>251</v>
      </c>
      <c r="BF1713" s="5" t="s">
        <v>252</v>
      </c>
      <c r="BG1713" s="5" t="s">
        <v>238</v>
      </c>
      <c r="BH1713" s="7">
        <f>0</f>
        <v>0</v>
      </c>
      <c r="BI1713" s="8">
        <f>0</f>
        <v>0</v>
      </c>
      <c r="BJ1713" s="5" t="s">
        <v>253</v>
      </c>
      <c r="BK1713" s="5" t="s">
        <v>254</v>
      </c>
      <c r="BY1713" s="5" t="s">
        <v>238</v>
      </c>
      <c r="BZ1713" s="5" t="s">
        <v>238</v>
      </c>
      <c r="CD1713" s="5" t="s">
        <v>273</v>
      </c>
      <c r="CE1713" s="5" t="s">
        <v>256</v>
      </c>
      <c r="CF1713" s="5" t="s">
        <v>238</v>
      </c>
      <c r="CI1713" s="6" t="s">
        <v>257</v>
      </c>
      <c r="CJ1713" s="5" t="s">
        <v>238</v>
      </c>
      <c r="CK1713" s="5" t="s">
        <v>258</v>
      </c>
      <c r="CL1713" s="5" t="s">
        <v>238</v>
      </c>
      <c r="CM1713" s="5" t="s">
        <v>238</v>
      </c>
      <c r="CN1713" s="5">
        <v>0</v>
      </c>
      <c r="CO1713" s="5" t="s">
        <v>259</v>
      </c>
      <c r="CP1713" s="5" t="s">
        <v>260</v>
      </c>
      <c r="CQ1713" s="5" t="s">
        <v>260</v>
      </c>
      <c r="CR1713" s="5" t="s">
        <v>261</v>
      </c>
      <c r="CU1713" s="8">
        <f>1</f>
        <v>1</v>
      </c>
      <c r="CV1713" s="8">
        <f>0</f>
        <v>0</v>
      </c>
      <c r="CX1713" s="8">
        <f>0</f>
        <v>0</v>
      </c>
      <c r="CY1713" s="8">
        <f>1</f>
        <v>1</v>
      </c>
      <c r="DA1713" s="5" t="s">
        <v>673</v>
      </c>
      <c r="DB1713" s="5" t="s">
        <v>238</v>
      </c>
      <c r="DD1713" s="5" t="s">
        <v>673</v>
      </c>
      <c r="DE1713" s="8">
        <f>166</f>
        <v>166</v>
      </c>
      <c r="DG1713" s="5" t="s">
        <v>238</v>
      </c>
      <c r="DH1713" s="5" t="s">
        <v>238</v>
      </c>
      <c r="DI1713" s="5" t="s">
        <v>238</v>
      </c>
      <c r="DJ1713" s="5" t="s">
        <v>238</v>
      </c>
      <c r="DN1713" s="5" t="s">
        <v>238</v>
      </c>
      <c r="DO1713" s="5" t="s">
        <v>238</v>
      </c>
      <c r="DP1713" s="5" t="s">
        <v>238</v>
      </c>
      <c r="DQ1713" s="5" t="s">
        <v>238</v>
      </c>
      <c r="DT1713" s="5" t="s">
        <v>2039</v>
      </c>
      <c r="DU1713" s="5" t="s">
        <v>770</v>
      </c>
      <c r="HM1713" s="5" t="s">
        <v>264</v>
      </c>
    </row>
    <row r="1714" spans="1:221" x14ac:dyDescent="0.4">
      <c r="A1714" s="5">
        <v>3389</v>
      </c>
      <c r="B1714" s="5">
        <v>1</v>
      </c>
      <c r="C1714" s="5">
        <v>1</v>
      </c>
      <c r="D1714" s="5" t="s">
        <v>2037</v>
      </c>
      <c r="E1714" s="5" t="s">
        <v>271</v>
      </c>
      <c r="F1714" s="5" t="s">
        <v>248</v>
      </c>
      <c r="G1714" s="5" t="s">
        <v>1969</v>
      </c>
      <c r="H1714" s="6" t="s">
        <v>2978</v>
      </c>
      <c r="I1714" s="7">
        <f>113</f>
        <v>113</v>
      </c>
      <c r="J1714" s="5" t="s">
        <v>262</v>
      </c>
      <c r="K1714" s="8">
        <f>1</f>
        <v>1</v>
      </c>
      <c r="L1714" s="6" t="s">
        <v>242</v>
      </c>
      <c r="M1714" s="5" t="s">
        <v>267</v>
      </c>
      <c r="N1714" s="5" t="s">
        <v>265</v>
      </c>
      <c r="O1714" s="5" t="s">
        <v>238</v>
      </c>
      <c r="P1714" s="5" t="s">
        <v>238</v>
      </c>
      <c r="Q1714" s="5" t="s">
        <v>268</v>
      </c>
      <c r="R1714" s="5" t="s">
        <v>270</v>
      </c>
      <c r="S1714" s="5" t="s">
        <v>238</v>
      </c>
      <c r="V1714" s="5" t="s">
        <v>238</v>
      </c>
      <c r="X1714" s="6" t="s">
        <v>238</v>
      </c>
      <c r="AA1714" s="6" t="s">
        <v>243</v>
      </c>
      <c r="AB1714" s="5" t="s">
        <v>238</v>
      </c>
      <c r="AC1714" s="5" t="s">
        <v>244</v>
      </c>
      <c r="AD1714" s="5" t="s">
        <v>245</v>
      </c>
      <c r="AT1714" s="5" t="s">
        <v>246</v>
      </c>
      <c r="AU1714" s="5" t="s">
        <v>238</v>
      </c>
      <c r="AV1714" s="5" t="s">
        <v>247</v>
      </c>
      <c r="AW1714" s="5" t="s">
        <v>238</v>
      </c>
      <c r="AX1714" s="5" t="s">
        <v>249</v>
      </c>
      <c r="AY1714" s="5" t="s">
        <v>238</v>
      </c>
      <c r="BA1714" s="5" t="s">
        <v>238</v>
      </c>
      <c r="BC1714" s="5" t="s">
        <v>250</v>
      </c>
      <c r="BD1714" s="6" t="s">
        <v>243</v>
      </c>
      <c r="BE1714" s="5" t="s">
        <v>251</v>
      </c>
      <c r="BF1714" s="5" t="s">
        <v>252</v>
      </c>
      <c r="BG1714" s="5" t="s">
        <v>238</v>
      </c>
      <c r="BH1714" s="7">
        <f>0</f>
        <v>0</v>
      </c>
      <c r="BI1714" s="8">
        <f>0</f>
        <v>0</v>
      </c>
      <c r="BJ1714" s="5" t="s">
        <v>253</v>
      </c>
      <c r="BK1714" s="5" t="s">
        <v>254</v>
      </c>
      <c r="BY1714" s="5" t="s">
        <v>238</v>
      </c>
      <c r="BZ1714" s="5" t="s">
        <v>238</v>
      </c>
      <c r="CD1714" s="5" t="s">
        <v>273</v>
      </c>
      <c r="CE1714" s="5" t="s">
        <v>256</v>
      </c>
      <c r="CF1714" s="5" t="s">
        <v>238</v>
      </c>
      <c r="CI1714" s="6" t="s">
        <v>257</v>
      </c>
      <c r="CJ1714" s="5" t="s">
        <v>238</v>
      </c>
      <c r="CK1714" s="5" t="s">
        <v>258</v>
      </c>
      <c r="CL1714" s="5" t="s">
        <v>238</v>
      </c>
      <c r="CM1714" s="5" t="s">
        <v>238</v>
      </c>
      <c r="CN1714" s="5">
        <v>0</v>
      </c>
      <c r="CO1714" s="5" t="s">
        <v>259</v>
      </c>
      <c r="CP1714" s="5" t="s">
        <v>260</v>
      </c>
      <c r="CQ1714" s="5" t="s">
        <v>260</v>
      </c>
      <c r="CR1714" s="5" t="s">
        <v>261</v>
      </c>
      <c r="CU1714" s="8">
        <f>1</f>
        <v>1</v>
      </c>
      <c r="CV1714" s="8">
        <f>0</f>
        <v>0</v>
      </c>
      <c r="CX1714" s="8">
        <f>0</f>
        <v>0</v>
      </c>
      <c r="CY1714" s="8">
        <f>1</f>
        <v>1</v>
      </c>
      <c r="DA1714" s="5" t="s">
        <v>673</v>
      </c>
      <c r="DB1714" s="5" t="s">
        <v>238</v>
      </c>
      <c r="DD1714" s="5" t="s">
        <v>673</v>
      </c>
      <c r="DE1714" s="8">
        <f>113</f>
        <v>113</v>
      </c>
      <c r="DG1714" s="5" t="s">
        <v>238</v>
      </c>
      <c r="DH1714" s="5" t="s">
        <v>238</v>
      </c>
      <c r="DI1714" s="5" t="s">
        <v>238</v>
      </c>
      <c r="DJ1714" s="5" t="s">
        <v>238</v>
      </c>
      <c r="DN1714" s="5" t="s">
        <v>238</v>
      </c>
      <c r="DO1714" s="5" t="s">
        <v>238</v>
      </c>
      <c r="DP1714" s="5" t="s">
        <v>238</v>
      </c>
      <c r="DQ1714" s="5" t="s">
        <v>238</v>
      </c>
      <c r="DT1714" s="5" t="s">
        <v>2039</v>
      </c>
      <c r="DU1714" s="5" t="s">
        <v>782</v>
      </c>
      <c r="HM1714" s="5" t="s">
        <v>264</v>
      </c>
    </row>
    <row r="1715" spans="1:221" x14ac:dyDescent="0.4">
      <c r="A1715" s="5">
        <v>3390</v>
      </c>
      <c r="B1715" s="5">
        <v>1</v>
      </c>
      <c r="C1715" s="5">
        <v>1</v>
      </c>
      <c r="D1715" s="5" t="s">
        <v>2037</v>
      </c>
      <c r="E1715" s="5" t="s">
        <v>271</v>
      </c>
      <c r="F1715" s="5" t="s">
        <v>248</v>
      </c>
      <c r="G1715" s="5" t="s">
        <v>1969</v>
      </c>
      <c r="H1715" s="6" t="s">
        <v>3048</v>
      </c>
      <c r="I1715" s="7">
        <f>507</f>
        <v>507</v>
      </c>
      <c r="J1715" s="5" t="s">
        <v>262</v>
      </c>
      <c r="K1715" s="8">
        <f>1</f>
        <v>1</v>
      </c>
      <c r="L1715" s="6" t="s">
        <v>242</v>
      </c>
      <c r="M1715" s="5" t="s">
        <v>267</v>
      </c>
      <c r="N1715" s="5" t="s">
        <v>265</v>
      </c>
      <c r="O1715" s="5" t="s">
        <v>238</v>
      </c>
      <c r="P1715" s="5" t="s">
        <v>238</v>
      </c>
      <c r="Q1715" s="5" t="s">
        <v>268</v>
      </c>
      <c r="R1715" s="5" t="s">
        <v>270</v>
      </c>
      <c r="S1715" s="5" t="s">
        <v>238</v>
      </c>
      <c r="V1715" s="5" t="s">
        <v>238</v>
      </c>
      <c r="X1715" s="6" t="s">
        <v>238</v>
      </c>
      <c r="AA1715" s="6" t="s">
        <v>243</v>
      </c>
      <c r="AB1715" s="5" t="s">
        <v>238</v>
      </c>
      <c r="AC1715" s="5" t="s">
        <v>244</v>
      </c>
      <c r="AD1715" s="5" t="s">
        <v>245</v>
      </c>
      <c r="AT1715" s="5" t="s">
        <v>246</v>
      </c>
      <c r="AU1715" s="5" t="s">
        <v>238</v>
      </c>
      <c r="AV1715" s="5" t="s">
        <v>247</v>
      </c>
      <c r="AW1715" s="5" t="s">
        <v>238</v>
      </c>
      <c r="AX1715" s="5" t="s">
        <v>249</v>
      </c>
      <c r="AY1715" s="5" t="s">
        <v>238</v>
      </c>
      <c r="BA1715" s="5" t="s">
        <v>238</v>
      </c>
      <c r="BC1715" s="5" t="s">
        <v>250</v>
      </c>
      <c r="BD1715" s="6" t="s">
        <v>243</v>
      </c>
      <c r="BE1715" s="5" t="s">
        <v>251</v>
      </c>
      <c r="BF1715" s="5" t="s">
        <v>252</v>
      </c>
      <c r="BG1715" s="5" t="s">
        <v>238</v>
      </c>
      <c r="BH1715" s="7">
        <f>0</f>
        <v>0</v>
      </c>
      <c r="BI1715" s="8">
        <f>0</f>
        <v>0</v>
      </c>
      <c r="BJ1715" s="5" t="s">
        <v>253</v>
      </c>
      <c r="BK1715" s="5" t="s">
        <v>254</v>
      </c>
      <c r="BY1715" s="5" t="s">
        <v>238</v>
      </c>
      <c r="BZ1715" s="5" t="s">
        <v>238</v>
      </c>
      <c r="CD1715" s="5" t="s">
        <v>273</v>
      </c>
      <c r="CE1715" s="5" t="s">
        <v>256</v>
      </c>
      <c r="CF1715" s="5" t="s">
        <v>238</v>
      </c>
      <c r="CI1715" s="6" t="s">
        <v>257</v>
      </c>
      <c r="CJ1715" s="5" t="s">
        <v>238</v>
      </c>
      <c r="CK1715" s="5" t="s">
        <v>258</v>
      </c>
      <c r="CL1715" s="5" t="s">
        <v>238</v>
      </c>
      <c r="CM1715" s="5" t="s">
        <v>238</v>
      </c>
      <c r="CN1715" s="5">
        <v>0</v>
      </c>
      <c r="CO1715" s="5" t="s">
        <v>259</v>
      </c>
      <c r="CP1715" s="5" t="s">
        <v>260</v>
      </c>
      <c r="CQ1715" s="5" t="s">
        <v>260</v>
      </c>
      <c r="CR1715" s="5" t="s">
        <v>261</v>
      </c>
      <c r="CU1715" s="8">
        <f>1</f>
        <v>1</v>
      </c>
      <c r="CV1715" s="8">
        <f>0</f>
        <v>0</v>
      </c>
      <c r="CX1715" s="8">
        <f>0</f>
        <v>0</v>
      </c>
      <c r="CY1715" s="8">
        <f>1</f>
        <v>1</v>
      </c>
      <c r="DA1715" s="5" t="s">
        <v>673</v>
      </c>
      <c r="DB1715" s="5" t="s">
        <v>238</v>
      </c>
      <c r="DD1715" s="5" t="s">
        <v>673</v>
      </c>
      <c r="DE1715" s="8">
        <f>507</f>
        <v>507</v>
      </c>
      <c r="DG1715" s="5" t="s">
        <v>238</v>
      </c>
      <c r="DH1715" s="5" t="s">
        <v>238</v>
      </c>
      <c r="DI1715" s="5" t="s">
        <v>238</v>
      </c>
      <c r="DJ1715" s="5" t="s">
        <v>238</v>
      </c>
      <c r="DN1715" s="5" t="s">
        <v>238</v>
      </c>
      <c r="DO1715" s="5" t="s">
        <v>238</v>
      </c>
      <c r="DP1715" s="5" t="s">
        <v>238</v>
      </c>
      <c r="DQ1715" s="5" t="s">
        <v>238</v>
      </c>
      <c r="DT1715" s="5" t="s">
        <v>2039</v>
      </c>
      <c r="DU1715" s="5" t="s">
        <v>788</v>
      </c>
      <c r="HM1715" s="5" t="s">
        <v>264</v>
      </c>
    </row>
    <row r="1716" spans="1:221" x14ac:dyDescent="0.4">
      <c r="A1716" s="5">
        <v>3391</v>
      </c>
      <c r="B1716" s="5">
        <v>1</v>
      </c>
      <c r="C1716" s="5">
        <v>1</v>
      </c>
      <c r="D1716" s="5" t="s">
        <v>2037</v>
      </c>
      <c r="E1716" s="5" t="s">
        <v>271</v>
      </c>
      <c r="F1716" s="5" t="s">
        <v>248</v>
      </c>
      <c r="G1716" s="5" t="s">
        <v>1969</v>
      </c>
      <c r="H1716" s="6" t="s">
        <v>3039</v>
      </c>
      <c r="I1716" s="7">
        <f>3153</f>
        <v>3153</v>
      </c>
      <c r="J1716" s="5" t="s">
        <v>262</v>
      </c>
      <c r="K1716" s="8">
        <f>1</f>
        <v>1</v>
      </c>
      <c r="L1716" s="6" t="s">
        <v>242</v>
      </c>
      <c r="M1716" s="5" t="s">
        <v>267</v>
      </c>
      <c r="N1716" s="5" t="s">
        <v>265</v>
      </c>
      <c r="O1716" s="5" t="s">
        <v>238</v>
      </c>
      <c r="P1716" s="5" t="s">
        <v>238</v>
      </c>
      <c r="Q1716" s="5" t="s">
        <v>268</v>
      </c>
      <c r="R1716" s="5" t="s">
        <v>270</v>
      </c>
      <c r="S1716" s="5" t="s">
        <v>238</v>
      </c>
      <c r="V1716" s="5" t="s">
        <v>238</v>
      </c>
      <c r="X1716" s="6" t="s">
        <v>238</v>
      </c>
      <c r="AA1716" s="6" t="s">
        <v>243</v>
      </c>
      <c r="AB1716" s="5" t="s">
        <v>238</v>
      </c>
      <c r="AC1716" s="5" t="s">
        <v>244</v>
      </c>
      <c r="AD1716" s="5" t="s">
        <v>245</v>
      </c>
      <c r="AT1716" s="5" t="s">
        <v>246</v>
      </c>
      <c r="AU1716" s="5" t="s">
        <v>238</v>
      </c>
      <c r="AV1716" s="5" t="s">
        <v>247</v>
      </c>
      <c r="AW1716" s="5" t="s">
        <v>238</v>
      </c>
      <c r="AX1716" s="5" t="s">
        <v>249</v>
      </c>
      <c r="AY1716" s="5" t="s">
        <v>238</v>
      </c>
      <c r="BA1716" s="5" t="s">
        <v>238</v>
      </c>
      <c r="BC1716" s="5" t="s">
        <v>250</v>
      </c>
      <c r="BD1716" s="6" t="s">
        <v>243</v>
      </c>
      <c r="BE1716" s="5" t="s">
        <v>251</v>
      </c>
      <c r="BF1716" s="5" t="s">
        <v>252</v>
      </c>
      <c r="BG1716" s="5" t="s">
        <v>238</v>
      </c>
      <c r="BH1716" s="7">
        <f>0</f>
        <v>0</v>
      </c>
      <c r="BI1716" s="8">
        <f>0</f>
        <v>0</v>
      </c>
      <c r="BJ1716" s="5" t="s">
        <v>253</v>
      </c>
      <c r="BK1716" s="5" t="s">
        <v>254</v>
      </c>
      <c r="BY1716" s="5" t="s">
        <v>238</v>
      </c>
      <c r="BZ1716" s="5" t="s">
        <v>238</v>
      </c>
      <c r="CD1716" s="5" t="s">
        <v>273</v>
      </c>
      <c r="CE1716" s="5" t="s">
        <v>256</v>
      </c>
      <c r="CF1716" s="5" t="s">
        <v>238</v>
      </c>
      <c r="CI1716" s="6" t="s">
        <v>257</v>
      </c>
      <c r="CJ1716" s="5" t="s">
        <v>238</v>
      </c>
      <c r="CK1716" s="5" t="s">
        <v>258</v>
      </c>
      <c r="CL1716" s="5" t="s">
        <v>238</v>
      </c>
      <c r="CM1716" s="5" t="s">
        <v>238</v>
      </c>
      <c r="CN1716" s="5">
        <v>0</v>
      </c>
      <c r="CO1716" s="5" t="s">
        <v>259</v>
      </c>
      <c r="CP1716" s="5" t="s">
        <v>260</v>
      </c>
      <c r="CQ1716" s="5" t="s">
        <v>260</v>
      </c>
      <c r="CR1716" s="5" t="s">
        <v>261</v>
      </c>
      <c r="CU1716" s="8">
        <f>1</f>
        <v>1</v>
      </c>
      <c r="CV1716" s="8">
        <f>0</f>
        <v>0</v>
      </c>
      <c r="CX1716" s="8">
        <f>0</f>
        <v>0</v>
      </c>
      <c r="CY1716" s="8">
        <f>1</f>
        <v>1</v>
      </c>
      <c r="DA1716" s="5" t="s">
        <v>673</v>
      </c>
      <c r="DB1716" s="5" t="s">
        <v>238</v>
      </c>
      <c r="DD1716" s="5" t="s">
        <v>673</v>
      </c>
      <c r="DE1716" s="8">
        <f>3153</f>
        <v>3153</v>
      </c>
      <c r="DG1716" s="5" t="s">
        <v>238</v>
      </c>
      <c r="DH1716" s="5" t="s">
        <v>238</v>
      </c>
      <c r="DI1716" s="5" t="s">
        <v>238</v>
      </c>
      <c r="DJ1716" s="5" t="s">
        <v>238</v>
      </c>
      <c r="DN1716" s="5" t="s">
        <v>238</v>
      </c>
      <c r="DO1716" s="5" t="s">
        <v>238</v>
      </c>
      <c r="DP1716" s="5" t="s">
        <v>238</v>
      </c>
      <c r="DQ1716" s="5" t="s">
        <v>238</v>
      </c>
      <c r="DT1716" s="5" t="s">
        <v>2039</v>
      </c>
      <c r="DU1716" s="5" t="s">
        <v>799</v>
      </c>
      <c r="HM1716" s="5" t="s">
        <v>264</v>
      </c>
    </row>
    <row r="1717" spans="1:221" x14ac:dyDescent="0.4">
      <c r="A1717" s="5">
        <v>3392</v>
      </c>
      <c r="B1717" s="5">
        <v>1</v>
      </c>
      <c r="C1717" s="5">
        <v>1</v>
      </c>
      <c r="D1717" s="5" t="s">
        <v>2037</v>
      </c>
      <c r="E1717" s="5" t="s">
        <v>271</v>
      </c>
      <c r="F1717" s="5" t="s">
        <v>248</v>
      </c>
      <c r="G1717" s="5" t="s">
        <v>1969</v>
      </c>
      <c r="H1717" s="6" t="s">
        <v>2755</v>
      </c>
      <c r="I1717" s="7">
        <f>2020</f>
        <v>2020</v>
      </c>
      <c r="J1717" s="5" t="s">
        <v>262</v>
      </c>
      <c r="K1717" s="8">
        <f>1</f>
        <v>1</v>
      </c>
      <c r="L1717" s="6" t="s">
        <v>242</v>
      </c>
      <c r="M1717" s="5" t="s">
        <v>267</v>
      </c>
      <c r="N1717" s="5" t="s">
        <v>265</v>
      </c>
      <c r="O1717" s="5" t="s">
        <v>238</v>
      </c>
      <c r="P1717" s="5" t="s">
        <v>238</v>
      </c>
      <c r="Q1717" s="5" t="s">
        <v>268</v>
      </c>
      <c r="R1717" s="5" t="s">
        <v>270</v>
      </c>
      <c r="S1717" s="5" t="s">
        <v>238</v>
      </c>
      <c r="V1717" s="5" t="s">
        <v>238</v>
      </c>
      <c r="X1717" s="6" t="s">
        <v>238</v>
      </c>
      <c r="AA1717" s="6" t="s">
        <v>243</v>
      </c>
      <c r="AB1717" s="5" t="s">
        <v>238</v>
      </c>
      <c r="AC1717" s="5" t="s">
        <v>244</v>
      </c>
      <c r="AD1717" s="5" t="s">
        <v>245</v>
      </c>
      <c r="AT1717" s="5" t="s">
        <v>246</v>
      </c>
      <c r="AU1717" s="5" t="s">
        <v>238</v>
      </c>
      <c r="AV1717" s="5" t="s">
        <v>247</v>
      </c>
      <c r="AW1717" s="5" t="s">
        <v>238</v>
      </c>
      <c r="AX1717" s="5" t="s">
        <v>249</v>
      </c>
      <c r="AY1717" s="5" t="s">
        <v>238</v>
      </c>
      <c r="BA1717" s="5" t="s">
        <v>238</v>
      </c>
      <c r="BC1717" s="5" t="s">
        <v>250</v>
      </c>
      <c r="BD1717" s="6" t="s">
        <v>243</v>
      </c>
      <c r="BE1717" s="5" t="s">
        <v>251</v>
      </c>
      <c r="BF1717" s="5" t="s">
        <v>252</v>
      </c>
      <c r="BG1717" s="5" t="s">
        <v>238</v>
      </c>
      <c r="BH1717" s="7">
        <f>0</f>
        <v>0</v>
      </c>
      <c r="BI1717" s="8">
        <f>0</f>
        <v>0</v>
      </c>
      <c r="BJ1717" s="5" t="s">
        <v>253</v>
      </c>
      <c r="BK1717" s="5" t="s">
        <v>254</v>
      </c>
      <c r="BY1717" s="5" t="s">
        <v>238</v>
      </c>
      <c r="BZ1717" s="5" t="s">
        <v>238</v>
      </c>
      <c r="CD1717" s="5" t="s">
        <v>273</v>
      </c>
      <c r="CE1717" s="5" t="s">
        <v>256</v>
      </c>
      <c r="CF1717" s="5" t="s">
        <v>238</v>
      </c>
      <c r="CI1717" s="6" t="s">
        <v>257</v>
      </c>
      <c r="CJ1717" s="5" t="s">
        <v>238</v>
      </c>
      <c r="CK1717" s="5" t="s">
        <v>258</v>
      </c>
      <c r="CL1717" s="5" t="s">
        <v>238</v>
      </c>
      <c r="CM1717" s="5" t="s">
        <v>238</v>
      </c>
      <c r="CN1717" s="5">
        <v>0</v>
      </c>
      <c r="CO1717" s="5" t="s">
        <v>259</v>
      </c>
      <c r="CP1717" s="5" t="s">
        <v>260</v>
      </c>
      <c r="CQ1717" s="5" t="s">
        <v>260</v>
      </c>
      <c r="CR1717" s="5" t="s">
        <v>261</v>
      </c>
      <c r="CU1717" s="8">
        <f>1</f>
        <v>1</v>
      </c>
      <c r="CV1717" s="8">
        <f>0</f>
        <v>0</v>
      </c>
      <c r="CX1717" s="8">
        <f>0</f>
        <v>0</v>
      </c>
      <c r="CY1717" s="8">
        <f>1</f>
        <v>1</v>
      </c>
      <c r="DA1717" s="5" t="s">
        <v>673</v>
      </c>
      <c r="DB1717" s="5" t="s">
        <v>238</v>
      </c>
      <c r="DD1717" s="5" t="s">
        <v>673</v>
      </c>
      <c r="DE1717" s="8">
        <f>2020</f>
        <v>2020</v>
      </c>
      <c r="DG1717" s="5" t="s">
        <v>238</v>
      </c>
      <c r="DH1717" s="5" t="s">
        <v>238</v>
      </c>
      <c r="DI1717" s="5" t="s">
        <v>238</v>
      </c>
      <c r="DJ1717" s="5" t="s">
        <v>238</v>
      </c>
      <c r="DN1717" s="5" t="s">
        <v>238</v>
      </c>
      <c r="DO1717" s="5" t="s">
        <v>238</v>
      </c>
      <c r="DP1717" s="5" t="s">
        <v>238</v>
      </c>
      <c r="DQ1717" s="5" t="s">
        <v>238</v>
      </c>
      <c r="DT1717" s="5" t="s">
        <v>2039</v>
      </c>
      <c r="DU1717" s="5" t="s">
        <v>801</v>
      </c>
      <c r="HM1717" s="5" t="s">
        <v>264</v>
      </c>
    </row>
    <row r="1718" spans="1:221" x14ac:dyDescent="0.4">
      <c r="A1718" s="5">
        <v>3393</v>
      </c>
      <c r="B1718" s="5">
        <v>1</v>
      </c>
      <c r="C1718" s="5">
        <v>1</v>
      </c>
      <c r="D1718" s="5" t="s">
        <v>2037</v>
      </c>
      <c r="E1718" s="5" t="s">
        <v>271</v>
      </c>
      <c r="F1718" s="5" t="s">
        <v>248</v>
      </c>
      <c r="G1718" s="5" t="s">
        <v>1969</v>
      </c>
      <c r="H1718" s="6" t="s">
        <v>3321</v>
      </c>
      <c r="I1718" s="7">
        <f>3759</f>
        <v>3759</v>
      </c>
      <c r="J1718" s="5" t="s">
        <v>262</v>
      </c>
      <c r="K1718" s="8">
        <f>1</f>
        <v>1</v>
      </c>
      <c r="L1718" s="6" t="s">
        <v>242</v>
      </c>
      <c r="M1718" s="5" t="s">
        <v>267</v>
      </c>
      <c r="N1718" s="5" t="s">
        <v>265</v>
      </c>
      <c r="O1718" s="5" t="s">
        <v>238</v>
      </c>
      <c r="P1718" s="5" t="s">
        <v>238</v>
      </c>
      <c r="Q1718" s="5" t="s">
        <v>268</v>
      </c>
      <c r="R1718" s="5" t="s">
        <v>270</v>
      </c>
      <c r="S1718" s="5" t="s">
        <v>238</v>
      </c>
      <c r="V1718" s="5" t="s">
        <v>238</v>
      </c>
      <c r="X1718" s="6" t="s">
        <v>238</v>
      </c>
      <c r="AA1718" s="6" t="s">
        <v>243</v>
      </c>
      <c r="AB1718" s="5" t="s">
        <v>238</v>
      </c>
      <c r="AC1718" s="5" t="s">
        <v>244</v>
      </c>
      <c r="AD1718" s="5" t="s">
        <v>245</v>
      </c>
      <c r="AT1718" s="5" t="s">
        <v>246</v>
      </c>
      <c r="AU1718" s="5" t="s">
        <v>238</v>
      </c>
      <c r="AV1718" s="5" t="s">
        <v>247</v>
      </c>
      <c r="AW1718" s="5" t="s">
        <v>238</v>
      </c>
      <c r="AX1718" s="5" t="s">
        <v>249</v>
      </c>
      <c r="AY1718" s="5" t="s">
        <v>238</v>
      </c>
      <c r="BA1718" s="5" t="s">
        <v>238</v>
      </c>
      <c r="BC1718" s="5" t="s">
        <v>250</v>
      </c>
      <c r="BD1718" s="6" t="s">
        <v>243</v>
      </c>
      <c r="BE1718" s="5" t="s">
        <v>251</v>
      </c>
      <c r="BF1718" s="5" t="s">
        <v>252</v>
      </c>
      <c r="BG1718" s="5" t="s">
        <v>238</v>
      </c>
      <c r="BH1718" s="7">
        <f>0</f>
        <v>0</v>
      </c>
      <c r="BI1718" s="8">
        <f>0</f>
        <v>0</v>
      </c>
      <c r="BJ1718" s="5" t="s">
        <v>253</v>
      </c>
      <c r="BK1718" s="5" t="s">
        <v>254</v>
      </c>
      <c r="BY1718" s="5" t="s">
        <v>238</v>
      </c>
      <c r="BZ1718" s="5" t="s">
        <v>238</v>
      </c>
      <c r="CD1718" s="5" t="s">
        <v>273</v>
      </c>
      <c r="CE1718" s="5" t="s">
        <v>256</v>
      </c>
      <c r="CF1718" s="5" t="s">
        <v>238</v>
      </c>
      <c r="CI1718" s="6" t="s">
        <v>257</v>
      </c>
      <c r="CJ1718" s="5" t="s">
        <v>238</v>
      </c>
      <c r="CK1718" s="5" t="s">
        <v>258</v>
      </c>
      <c r="CL1718" s="5" t="s">
        <v>238</v>
      </c>
      <c r="CM1718" s="5" t="s">
        <v>238</v>
      </c>
      <c r="CN1718" s="5">
        <v>0</v>
      </c>
      <c r="CO1718" s="5" t="s">
        <v>259</v>
      </c>
      <c r="CP1718" s="5" t="s">
        <v>260</v>
      </c>
      <c r="CQ1718" s="5" t="s">
        <v>260</v>
      </c>
      <c r="CR1718" s="5" t="s">
        <v>261</v>
      </c>
      <c r="CU1718" s="8">
        <f>1</f>
        <v>1</v>
      </c>
      <c r="CV1718" s="8">
        <f>0</f>
        <v>0</v>
      </c>
      <c r="CX1718" s="8">
        <f>0</f>
        <v>0</v>
      </c>
      <c r="CY1718" s="8">
        <f>1</f>
        <v>1</v>
      </c>
      <c r="DA1718" s="5" t="s">
        <v>673</v>
      </c>
      <c r="DB1718" s="5" t="s">
        <v>238</v>
      </c>
      <c r="DD1718" s="5" t="s">
        <v>673</v>
      </c>
      <c r="DE1718" s="8">
        <f>3759</f>
        <v>3759</v>
      </c>
      <c r="DG1718" s="5" t="s">
        <v>238</v>
      </c>
      <c r="DH1718" s="5" t="s">
        <v>238</v>
      </c>
      <c r="DI1718" s="5" t="s">
        <v>238</v>
      </c>
      <c r="DJ1718" s="5" t="s">
        <v>238</v>
      </c>
      <c r="DN1718" s="5" t="s">
        <v>238</v>
      </c>
      <c r="DO1718" s="5" t="s">
        <v>238</v>
      </c>
      <c r="DP1718" s="5" t="s">
        <v>238</v>
      </c>
      <c r="DQ1718" s="5" t="s">
        <v>238</v>
      </c>
      <c r="DT1718" s="5" t="s">
        <v>2039</v>
      </c>
      <c r="DU1718" s="5" t="s">
        <v>3322</v>
      </c>
      <c r="HM1718" s="5" t="s">
        <v>264</v>
      </c>
    </row>
    <row r="1719" spans="1:221" x14ac:dyDescent="0.4">
      <c r="A1719" s="5">
        <v>3394</v>
      </c>
      <c r="B1719" s="5">
        <v>1</v>
      </c>
      <c r="C1719" s="5">
        <v>1</v>
      </c>
      <c r="D1719" s="5" t="s">
        <v>2037</v>
      </c>
      <c r="E1719" s="5" t="s">
        <v>271</v>
      </c>
      <c r="F1719" s="5" t="s">
        <v>248</v>
      </c>
      <c r="G1719" s="5" t="s">
        <v>1969</v>
      </c>
      <c r="H1719" s="6" t="s">
        <v>3226</v>
      </c>
      <c r="I1719" s="7">
        <f>211</f>
        <v>211</v>
      </c>
      <c r="J1719" s="5" t="s">
        <v>262</v>
      </c>
      <c r="K1719" s="8">
        <f>1</f>
        <v>1</v>
      </c>
      <c r="L1719" s="6" t="s">
        <v>242</v>
      </c>
      <c r="M1719" s="5" t="s">
        <v>267</v>
      </c>
      <c r="N1719" s="5" t="s">
        <v>265</v>
      </c>
      <c r="O1719" s="5" t="s">
        <v>238</v>
      </c>
      <c r="P1719" s="5" t="s">
        <v>238</v>
      </c>
      <c r="Q1719" s="5" t="s">
        <v>268</v>
      </c>
      <c r="R1719" s="5" t="s">
        <v>270</v>
      </c>
      <c r="S1719" s="5" t="s">
        <v>238</v>
      </c>
      <c r="V1719" s="5" t="s">
        <v>238</v>
      </c>
      <c r="X1719" s="6" t="s">
        <v>238</v>
      </c>
      <c r="AA1719" s="6" t="s">
        <v>243</v>
      </c>
      <c r="AB1719" s="5" t="s">
        <v>238</v>
      </c>
      <c r="AC1719" s="5" t="s">
        <v>244</v>
      </c>
      <c r="AD1719" s="5" t="s">
        <v>245</v>
      </c>
      <c r="AT1719" s="5" t="s">
        <v>246</v>
      </c>
      <c r="AU1719" s="5" t="s">
        <v>238</v>
      </c>
      <c r="AV1719" s="5" t="s">
        <v>247</v>
      </c>
      <c r="AW1719" s="5" t="s">
        <v>238</v>
      </c>
      <c r="AX1719" s="5" t="s">
        <v>249</v>
      </c>
      <c r="AY1719" s="5" t="s">
        <v>238</v>
      </c>
      <c r="BA1719" s="5" t="s">
        <v>238</v>
      </c>
      <c r="BC1719" s="5" t="s">
        <v>250</v>
      </c>
      <c r="BD1719" s="6" t="s">
        <v>243</v>
      </c>
      <c r="BE1719" s="5" t="s">
        <v>251</v>
      </c>
      <c r="BF1719" s="5" t="s">
        <v>252</v>
      </c>
      <c r="BG1719" s="5" t="s">
        <v>238</v>
      </c>
      <c r="BH1719" s="7">
        <f>0</f>
        <v>0</v>
      </c>
      <c r="BI1719" s="8">
        <f>0</f>
        <v>0</v>
      </c>
      <c r="BJ1719" s="5" t="s">
        <v>253</v>
      </c>
      <c r="BK1719" s="5" t="s">
        <v>254</v>
      </c>
      <c r="BY1719" s="5" t="s">
        <v>238</v>
      </c>
      <c r="BZ1719" s="5" t="s">
        <v>238</v>
      </c>
      <c r="CD1719" s="5" t="s">
        <v>273</v>
      </c>
      <c r="CE1719" s="5" t="s">
        <v>256</v>
      </c>
      <c r="CF1719" s="5" t="s">
        <v>238</v>
      </c>
      <c r="CI1719" s="6" t="s">
        <v>257</v>
      </c>
      <c r="CJ1719" s="5" t="s">
        <v>238</v>
      </c>
      <c r="CK1719" s="5" t="s">
        <v>258</v>
      </c>
      <c r="CL1719" s="5" t="s">
        <v>238</v>
      </c>
      <c r="CM1719" s="5" t="s">
        <v>238</v>
      </c>
      <c r="CN1719" s="5">
        <v>0</v>
      </c>
      <c r="CO1719" s="5" t="s">
        <v>259</v>
      </c>
      <c r="CP1719" s="5" t="s">
        <v>260</v>
      </c>
      <c r="CQ1719" s="5" t="s">
        <v>260</v>
      </c>
      <c r="CR1719" s="5" t="s">
        <v>261</v>
      </c>
      <c r="CU1719" s="8">
        <f>1</f>
        <v>1</v>
      </c>
      <c r="CV1719" s="8">
        <f>0</f>
        <v>0</v>
      </c>
      <c r="CX1719" s="8">
        <f>0</f>
        <v>0</v>
      </c>
      <c r="CY1719" s="8">
        <f>1</f>
        <v>1</v>
      </c>
      <c r="DA1719" s="5" t="s">
        <v>673</v>
      </c>
      <c r="DB1719" s="5" t="s">
        <v>238</v>
      </c>
      <c r="DD1719" s="5" t="s">
        <v>673</v>
      </c>
      <c r="DE1719" s="8">
        <f>211</f>
        <v>211</v>
      </c>
      <c r="DG1719" s="5" t="s">
        <v>238</v>
      </c>
      <c r="DH1719" s="5" t="s">
        <v>238</v>
      </c>
      <c r="DI1719" s="5" t="s">
        <v>238</v>
      </c>
      <c r="DJ1719" s="5" t="s">
        <v>238</v>
      </c>
      <c r="DN1719" s="5" t="s">
        <v>238</v>
      </c>
      <c r="DO1719" s="5" t="s">
        <v>238</v>
      </c>
      <c r="DP1719" s="5" t="s">
        <v>238</v>
      </c>
      <c r="DQ1719" s="5" t="s">
        <v>238</v>
      </c>
      <c r="DT1719" s="5" t="s">
        <v>2039</v>
      </c>
      <c r="DU1719" s="5" t="s">
        <v>812</v>
      </c>
      <c r="HM1719" s="5" t="s">
        <v>264</v>
      </c>
    </row>
    <row r="1720" spans="1:221" x14ac:dyDescent="0.4">
      <c r="A1720" s="5">
        <v>3395</v>
      </c>
      <c r="B1720" s="5">
        <v>1</v>
      </c>
      <c r="C1720" s="5">
        <v>1</v>
      </c>
      <c r="D1720" s="5" t="s">
        <v>2037</v>
      </c>
      <c r="E1720" s="5" t="s">
        <v>271</v>
      </c>
      <c r="F1720" s="5" t="s">
        <v>248</v>
      </c>
      <c r="G1720" s="5" t="s">
        <v>1969</v>
      </c>
      <c r="H1720" s="6" t="s">
        <v>3466</v>
      </c>
      <c r="I1720" s="7">
        <f>150</f>
        <v>150</v>
      </c>
      <c r="J1720" s="5" t="s">
        <v>262</v>
      </c>
      <c r="K1720" s="8">
        <f>1</f>
        <v>1</v>
      </c>
      <c r="L1720" s="6" t="s">
        <v>242</v>
      </c>
      <c r="M1720" s="5" t="s">
        <v>267</v>
      </c>
      <c r="N1720" s="5" t="s">
        <v>265</v>
      </c>
      <c r="O1720" s="5" t="s">
        <v>238</v>
      </c>
      <c r="P1720" s="5" t="s">
        <v>238</v>
      </c>
      <c r="Q1720" s="5" t="s">
        <v>268</v>
      </c>
      <c r="R1720" s="5" t="s">
        <v>270</v>
      </c>
      <c r="S1720" s="5" t="s">
        <v>238</v>
      </c>
      <c r="V1720" s="5" t="s">
        <v>238</v>
      </c>
      <c r="X1720" s="6" t="s">
        <v>238</v>
      </c>
      <c r="AA1720" s="6" t="s">
        <v>243</v>
      </c>
      <c r="AB1720" s="5" t="s">
        <v>238</v>
      </c>
      <c r="AC1720" s="5" t="s">
        <v>244</v>
      </c>
      <c r="AD1720" s="5" t="s">
        <v>245</v>
      </c>
      <c r="AT1720" s="5" t="s">
        <v>246</v>
      </c>
      <c r="AU1720" s="5" t="s">
        <v>238</v>
      </c>
      <c r="AV1720" s="5" t="s">
        <v>247</v>
      </c>
      <c r="AW1720" s="5" t="s">
        <v>238</v>
      </c>
      <c r="AX1720" s="5" t="s">
        <v>249</v>
      </c>
      <c r="AY1720" s="5" t="s">
        <v>238</v>
      </c>
      <c r="BA1720" s="5" t="s">
        <v>238</v>
      </c>
      <c r="BC1720" s="5" t="s">
        <v>250</v>
      </c>
      <c r="BD1720" s="6" t="s">
        <v>243</v>
      </c>
      <c r="BE1720" s="5" t="s">
        <v>251</v>
      </c>
      <c r="BF1720" s="5" t="s">
        <v>252</v>
      </c>
      <c r="BG1720" s="5" t="s">
        <v>238</v>
      </c>
      <c r="BH1720" s="7">
        <f>0</f>
        <v>0</v>
      </c>
      <c r="BI1720" s="8">
        <f>0</f>
        <v>0</v>
      </c>
      <c r="BJ1720" s="5" t="s">
        <v>253</v>
      </c>
      <c r="BK1720" s="5" t="s">
        <v>254</v>
      </c>
      <c r="BY1720" s="5" t="s">
        <v>238</v>
      </c>
      <c r="BZ1720" s="5" t="s">
        <v>238</v>
      </c>
      <c r="CD1720" s="5" t="s">
        <v>273</v>
      </c>
      <c r="CE1720" s="5" t="s">
        <v>256</v>
      </c>
      <c r="CF1720" s="5" t="s">
        <v>238</v>
      </c>
      <c r="CI1720" s="6" t="s">
        <v>257</v>
      </c>
      <c r="CJ1720" s="5" t="s">
        <v>238</v>
      </c>
      <c r="CK1720" s="5" t="s">
        <v>258</v>
      </c>
      <c r="CL1720" s="5" t="s">
        <v>238</v>
      </c>
      <c r="CM1720" s="5" t="s">
        <v>238</v>
      </c>
      <c r="CN1720" s="5">
        <v>0</v>
      </c>
      <c r="CO1720" s="5" t="s">
        <v>259</v>
      </c>
      <c r="CP1720" s="5" t="s">
        <v>260</v>
      </c>
      <c r="CQ1720" s="5" t="s">
        <v>260</v>
      </c>
      <c r="CR1720" s="5" t="s">
        <v>261</v>
      </c>
      <c r="CU1720" s="8">
        <f>1</f>
        <v>1</v>
      </c>
      <c r="CV1720" s="8">
        <f>0</f>
        <v>0</v>
      </c>
      <c r="CX1720" s="8">
        <f>0</f>
        <v>0</v>
      </c>
      <c r="CY1720" s="8">
        <f>1</f>
        <v>1</v>
      </c>
      <c r="DA1720" s="5" t="s">
        <v>673</v>
      </c>
      <c r="DB1720" s="5" t="s">
        <v>238</v>
      </c>
      <c r="DD1720" s="5" t="s">
        <v>673</v>
      </c>
      <c r="DE1720" s="8">
        <f>150</f>
        <v>150</v>
      </c>
      <c r="DG1720" s="5" t="s">
        <v>238</v>
      </c>
      <c r="DH1720" s="5" t="s">
        <v>238</v>
      </c>
      <c r="DI1720" s="5" t="s">
        <v>238</v>
      </c>
      <c r="DJ1720" s="5" t="s">
        <v>238</v>
      </c>
      <c r="DN1720" s="5" t="s">
        <v>238</v>
      </c>
      <c r="DO1720" s="5" t="s">
        <v>238</v>
      </c>
      <c r="DP1720" s="5" t="s">
        <v>238</v>
      </c>
      <c r="DQ1720" s="5" t="s">
        <v>238</v>
      </c>
      <c r="DT1720" s="5" t="s">
        <v>2039</v>
      </c>
      <c r="DU1720" s="5" t="s">
        <v>818</v>
      </c>
      <c r="HM1720" s="5" t="s">
        <v>264</v>
      </c>
    </row>
    <row r="1721" spans="1:221" x14ac:dyDescent="0.4">
      <c r="A1721" s="5">
        <v>3396</v>
      </c>
      <c r="B1721" s="5">
        <v>1</v>
      </c>
      <c r="C1721" s="5">
        <v>1</v>
      </c>
      <c r="D1721" s="5" t="s">
        <v>2037</v>
      </c>
      <c r="E1721" s="5" t="s">
        <v>271</v>
      </c>
      <c r="F1721" s="5" t="s">
        <v>248</v>
      </c>
      <c r="G1721" s="5" t="s">
        <v>1969</v>
      </c>
      <c r="H1721" s="6" t="s">
        <v>3475</v>
      </c>
      <c r="I1721" s="7">
        <f>130</f>
        <v>130</v>
      </c>
      <c r="J1721" s="5" t="s">
        <v>262</v>
      </c>
      <c r="K1721" s="8">
        <f>1</f>
        <v>1</v>
      </c>
      <c r="L1721" s="6" t="s">
        <v>242</v>
      </c>
      <c r="M1721" s="5" t="s">
        <v>267</v>
      </c>
      <c r="N1721" s="5" t="s">
        <v>265</v>
      </c>
      <c r="O1721" s="5" t="s">
        <v>238</v>
      </c>
      <c r="P1721" s="5" t="s">
        <v>238</v>
      </c>
      <c r="Q1721" s="5" t="s">
        <v>268</v>
      </c>
      <c r="R1721" s="5" t="s">
        <v>270</v>
      </c>
      <c r="S1721" s="5" t="s">
        <v>238</v>
      </c>
      <c r="V1721" s="5" t="s">
        <v>238</v>
      </c>
      <c r="X1721" s="6" t="s">
        <v>238</v>
      </c>
      <c r="AA1721" s="6" t="s">
        <v>243</v>
      </c>
      <c r="AB1721" s="5" t="s">
        <v>238</v>
      </c>
      <c r="AC1721" s="5" t="s">
        <v>244</v>
      </c>
      <c r="AD1721" s="5" t="s">
        <v>245</v>
      </c>
      <c r="AT1721" s="5" t="s">
        <v>246</v>
      </c>
      <c r="AU1721" s="5" t="s">
        <v>238</v>
      </c>
      <c r="AV1721" s="5" t="s">
        <v>247</v>
      </c>
      <c r="AW1721" s="5" t="s">
        <v>238</v>
      </c>
      <c r="AX1721" s="5" t="s">
        <v>249</v>
      </c>
      <c r="AY1721" s="5" t="s">
        <v>238</v>
      </c>
      <c r="BA1721" s="5" t="s">
        <v>238</v>
      </c>
      <c r="BC1721" s="5" t="s">
        <v>250</v>
      </c>
      <c r="BD1721" s="6" t="s">
        <v>243</v>
      </c>
      <c r="BE1721" s="5" t="s">
        <v>251</v>
      </c>
      <c r="BF1721" s="5" t="s">
        <v>252</v>
      </c>
      <c r="BG1721" s="5" t="s">
        <v>238</v>
      </c>
      <c r="BH1721" s="7">
        <f>0</f>
        <v>0</v>
      </c>
      <c r="BI1721" s="8">
        <f>0</f>
        <v>0</v>
      </c>
      <c r="BJ1721" s="5" t="s">
        <v>253</v>
      </c>
      <c r="BK1721" s="5" t="s">
        <v>254</v>
      </c>
      <c r="BY1721" s="5" t="s">
        <v>238</v>
      </c>
      <c r="BZ1721" s="5" t="s">
        <v>238</v>
      </c>
      <c r="CD1721" s="5" t="s">
        <v>273</v>
      </c>
      <c r="CE1721" s="5" t="s">
        <v>256</v>
      </c>
      <c r="CF1721" s="5" t="s">
        <v>238</v>
      </c>
      <c r="CI1721" s="6" t="s">
        <v>257</v>
      </c>
      <c r="CJ1721" s="5" t="s">
        <v>238</v>
      </c>
      <c r="CK1721" s="5" t="s">
        <v>258</v>
      </c>
      <c r="CL1721" s="5" t="s">
        <v>238</v>
      </c>
      <c r="CM1721" s="5" t="s">
        <v>238</v>
      </c>
      <c r="CN1721" s="5">
        <v>0</v>
      </c>
      <c r="CO1721" s="5" t="s">
        <v>259</v>
      </c>
      <c r="CP1721" s="5" t="s">
        <v>260</v>
      </c>
      <c r="CQ1721" s="5" t="s">
        <v>260</v>
      </c>
      <c r="CR1721" s="5" t="s">
        <v>261</v>
      </c>
      <c r="CU1721" s="8">
        <f>1</f>
        <v>1</v>
      </c>
      <c r="CV1721" s="8">
        <f>0</f>
        <v>0</v>
      </c>
      <c r="CX1721" s="8">
        <f>0</f>
        <v>0</v>
      </c>
      <c r="CY1721" s="8">
        <f>1</f>
        <v>1</v>
      </c>
      <c r="DA1721" s="5" t="s">
        <v>673</v>
      </c>
      <c r="DB1721" s="5" t="s">
        <v>238</v>
      </c>
      <c r="DD1721" s="5" t="s">
        <v>673</v>
      </c>
      <c r="DE1721" s="8">
        <f>130</f>
        <v>130</v>
      </c>
      <c r="DG1721" s="5" t="s">
        <v>238</v>
      </c>
      <c r="DH1721" s="5" t="s">
        <v>238</v>
      </c>
      <c r="DI1721" s="5" t="s">
        <v>238</v>
      </c>
      <c r="DJ1721" s="5" t="s">
        <v>238</v>
      </c>
      <c r="DN1721" s="5" t="s">
        <v>238</v>
      </c>
      <c r="DO1721" s="5" t="s">
        <v>238</v>
      </c>
      <c r="DP1721" s="5" t="s">
        <v>238</v>
      </c>
      <c r="DQ1721" s="5" t="s">
        <v>238</v>
      </c>
      <c r="DT1721" s="5" t="s">
        <v>2039</v>
      </c>
      <c r="DU1721" s="5" t="s">
        <v>825</v>
      </c>
      <c r="HM1721" s="5" t="s">
        <v>264</v>
      </c>
    </row>
    <row r="1722" spans="1:221" x14ac:dyDescent="0.4">
      <c r="A1722" s="5">
        <v>3397</v>
      </c>
      <c r="B1722" s="5">
        <v>1</v>
      </c>
      <c r="C1722" s="5">
        <v>1</v>
      </c>
      <c r="D1722" s="5" t="s">
        <v>2037</v>
      </c>
      <c r="E1722" s="5" t="s">
        <v>271</v>
      </c>
      <c r="F1722" s="5" t="s">
        <v>248</v>
      </c>
      <c r="G1722" s="5" t="s">
        <v>1969</v>
      </c>
      <c r="H1722" s="6" t="s">
        <v>3470</v>
      </c>
      <c r="I1722" s="7">
        <f>3990</f>
        <v>3990</v>
      </c>
      <c r="J1722" s="5" t="s">
        <v>262</v>
      </c>
      <c r="K1722" s="8">
        <f>1</f>
        <v>1</v>
      </c>
      <c r="L1722" s="6" t="s">
        <v>242</v>
      </c>
      <c r="M1722" s="5" t="s">
        <v>267</v>
      </c>
      <c r="N1722" s="5" t="s">
        <v>265</v>
      </c>
      <c r="O1722" s="5" t="s">
        <v>238</v>
      </c>
      <c r="P1722" s="5" t="s">
        <v>238</v>
      </c>
      <c r="Q1722" s="5" t="s">
        <v>268</v>
      </c>
      <c r="R1722" s="5" t="s">
        <v>270</v>
      </c>
      <c r="S1722" s="5" t="s">
        <v>238</v>
      </c>
      <c r="V1722" s="5" t="s">
        <v>238</v>
      </c>
      <c r="X1722" s="6" t="s">
        <v>238</v>
      </c>
      <c r="AA1722" s="6" t="s">
        <v>243</v>
      </c>
      <c r="AB1722" s="5" t="s">
        <v>238</v>
      </c>
      <c r="AC1722" s="5" t="s">
        <v>244</v>
      </c>
      <c r="AD1722" s="5" t="s">
        <v>245</v>
      </c>
      <c r="AT1722" s="5" t="s">
        <v>246</v>
      </c>
      <c r="AU1722" s="5" t="s">
        <v>238</v>
      </c>
      <c r="AV1722" s="5" t="s">
        <v>247</v>
      </c>
      <c r="AW1722" s="5" t="s">
        <v>238</v>
      </c>
      <c r="AX1722" s="5" t="s">
        <v>249</v>
      </c>
      <c r="AY1722" s="5" t="s">
        <v>238</v>
      </c>
      <c r="BA1722" s="5" t="s">
        <v>238</v>
      </c>
      <c r="BC1722" s="5" t="s">
        <v>250</v>
      </c>
      <c r="BD1722" s="6" t="s">
        <v>243</v>
      </c>
      <c r="BE1722" s="5" t="s">
        <v>251</v>
      </c>
      <c r="BF1722" s="5" t="s">
        <v>252</v>
      </c>
      <c r="BG1722" s="5" t="s">
        <v>238</v>
      </c>
      <c r="BH1722" s="7">
        <f>0</f>
        <v>0</v>
      </c>
      <c r="BI1722" s="8">
        <f>0</f>
        <v>0</v>
      </c>
      <c r="BJ1722" s="5" t="s">
        <v>253</v>
      </c>
      <c r="BK1722" s="5" t="s">
        <v>254</v>
      </c>
      <c r="BY1722" s="5" t="s">
        <v>238</v>
      </c>
      <c r="BZ1722" s="5" t="s">
        <v>238</v>
      </c>
      <c r="CD1722" s="5" t="s">
        <v>273</v>
      </c>
      <c r="CE1722" s="5" t="s">
        <v>256</v>
      </c>
      <c r="CF1722" s="5" t="s">
        <v>238</v>
      </c>
      <c r="CI1722" s="6" t="s">
        <v>257</v>
      </c>
      <c r="CJ1722" s="5" t="s">
        <v>238</v>
      </c>
      <c r="CK1722" s="5" t="s">
        <v>258</v>
      </c>
      <c r="CL1722" s="5" t="s">
        <v>238</v>
      </c>
      <c r="CM1722" s="5" t="s">
        <v>238</v>
      </c>
      <c r="CN1722" s="5">
        <v>0</v>
      </c>
      <c r="CO1722" s="5" t="s">
        <v>259</v>
      </c>
      <c r="CP1722" s="5" t="s">
        <v>260</v>
      </c>
      <c r="CQ1722" s="5" t="s">
        <v>260</v>
      </c>
      <c r="CR1722" s="5" t="s">
        <v>261</v>
      </c>
      <c r="CU1722" s="8">
        <f>1</f>
        <v>1</v>
      </c>
      <c r="CV1722" s="8">
        <f>0</f>
        <v>0</v>
      </c>
      <c r="CX1722" s="8">
        <f>0</f>
        <v>0</v>
      </c>
      <c r="CY1722" s="8">
        <f>1</f>
        <v>1</v>
      </c>
      <c r="DA1722" s="5" t="s">
        <v>673</v>
      </c>
      <c r="DB1722" s="5" t="s">
        <v>238</v>
      </c>
      <c r="DD1722" s="5" t="s">
        <v>673</v>
      </c>
      <c r="DE1722" s="8">
        <f>3990</f>
        <v>3990</v>
      </c>
      <c r="DG1722" s="5" t="s">
        <v>238</v>
      </c>
      <c r="DH1722" s="5" t="s">
        <v>238</v>
      </c>
      <c r="DI1722" s="5" t="s">
        <v>238</v>
      </c>
      <c r="DJ1722" s="5" t="s">
        <v>238</v>
      </c>
      <c r="DN1722" s="5" t="s">
        <v>238</v>
      </c>
      <c r="DO1722" s="5" t="s">
        <v>238</v>
      </c>
      <c r="DP1722" s="5" t="s">
        <v>238</v>
      </c>
      <c r="DQ1722" s="5" t="s">
        <v>238</v>
      </c>
      <c r="DT1722" s="5" t="s">
        <v>2039</v>
      </c>
      <c r="DU1722" s="5" t="s">
        <v>835</v>
      </c>
      <c r="HM1722" s="5" t="s">
        <v>264</v>
      </c>
    </row>
    <row r="1723" spans="1:221" x14ac:dyDescent="0.4">
      <c r="A1723" s="5">
        <v>3398</v>
      </c>
      <c r="B1723" s="5">
        <v>1</v>
      </c>
      <c r="C1723" s="5">
        <v>1</v>
      </c>
      <c r="D1723" s="5" t="s">
        <v>2037</v>
      </c>
      <c r="E1723" s="5" t="s">
        <v>271</v>
      </c>
      <c r="F1723" s="5" t="s">
        <v>248</v>
      </c>
      <c r="G1723" s="5" t="s">
        <v>1969</v>
      </c>
      <c r="H1723" s="6" t="s">
        <v>3480</v>
      </c>
      <c r="I1723" s="7">
        <f>78</f>
        <v>78</v>
      </c>
      <c r="J1723" s="5" t="s">
        <v>262</v>
      </c>
      <c r="K1723" s="8">
        <f>1</f>
        <v>1</v>
      </c>
      <c r="L1723" s="6" t="s">
        <v>242</v>
      </c>
      <c r="M1723" s="5" t="s">
        <v>267</v>
      </c>
      <c r="N1723" s="5" t="s">
        <v>265</v>
      </c>
      <c r="O1723" s="5" t="s">
        <v>238</v>
      </c>
      <c r="P1723" s="5" t="s">
        <v>238</v>
      </c>
      <c r="Q1723" s="5" t="s">
        <v>268</v>
      </c>
      <c r="R1723" s="5" t="s">
        <v>270</v>
      </c>
      <c r="S1723" s="5" t="s">
        <v>238</v>
      </c>
      <c r="V1723" s="5" t="s">
        <v>238</v>
      </c>
      <c r="X1723" s="6" t="s">
        <v>238</v>
      </c>
      <c r="AA1723" s="6" t="s">
        <v>243</v>
      </c>
      <c r="AB1723" s="5" t="s">
        <v>238</v>
      </c>
      <c r="AC1723" s="5" t="s">
        <v>244</v>
      </c>
      <c r="AD1723" s="5" t="s">
        <v>245</v>
      </c>
      <c r="AT1723" s="5" t="s">
        <v>246</v>
      </c>
      <c r="AU1723" s="5" t="s">
        <v>238</v>
      </c>
      <c r="AV1723" s="5" t="s">
        <v>247</v>
      </c>
      <c r="AW1723" s="5" t="s">
        <v>238</v>
      </c>
      <c r="AX1723" s="5" t="s">
        <v>249</v>
      </c>
      <c r="AY1723" s="5" t="s">
        <v>238</v>
      </c>
      <c r="BA1723" s="5" t="s">
        <v>238</v>
      </c>
      <c r="BC1723" s="5" t="s">
        <v>250</v>
      </c>
      <c r="BD1723" s="6" t="s">
        <v>243</v>
      </c>
      <c r="BE1723" s="5" t="s">
        <v>251</v>
      </c>
      <c r="BF1723" s="5" t="s">
        <v>252</v>
      </c>
      <c r="BG1723" s="5" t="s">
        <v>238</v>
      </c>
      <c r="BH1723" s="7">
        <f>0</f>
        <v>0</v>
      </c>
      <c r="BI1723" s="8">
        <f>0</f>
        <v>0</v>
      </c>
      <c r="BJ1723" s="5" t="s">
        <v>253</v>
      </c>
      <c r="BK1723" s="5" t="s">
        <v>254</v>
      </c>
      <c r="BY1723" s="5" t="s">
        <v>238</v>
      </c>
      <c r="BZ1723" s="5" t="s">
        <v>238</v>
      </c>
      <c r="CD1723" s="5" t="s">
        <v>273</v>
      </c>
      <c r="CE1723" s="5" t="s">
        <v>256</v>
      </c>
      <c r="CF1723" s="5" t="s">
        <v>238</v>
      </c>
      <c r="CI1723" s="6" t="s">
        <v>257</v>
      </c>
      <c r="CJ1723" s="5" t="s">
        <v>238</v>
      </c>
      <c r="CK1723" s="5" t="s">
        <v>258</v>
      </c>
      <c r="CL1723" s="5" t="s">
        <v>238</v>
      </c>
      <c r="CM1723" s="5" t="s">
        <v>238</v>
      </c>
      <c r="CN1723" s="5">
        <v>0</v>
      </c>
      <c r="CO1723" s="5" t="s">
        <v>259</v>
      </c>
      <c r="CP1723" s="5" t="s">
        <v>260</v>
      </c>
      <c r="CQ1723" s="5" t="s">
        <v>260</v>
      </c>
      <c r="CR1723" s="5" t="s">
        <v>261</v>
      </c>
      <c r="CU1723" s="8">
        <f>1</f>
        <v>1</v>
      </c>
      <c r="CV1723" s="8">
        <f>0</f>
        <v>0</v>
      </c>
      <c r="CX1723" s="8">
        <f>0</f>
        <v>0</v>
      </c>
      <c r="CY1723" s="8">
        <f>1</f>
        <v>1</v>
      </c>
      <c r="DA1723" s="5" t="s">
        <v>673</v>
      </c>
      <c r="DB1723" s="5" t="s">
        <v>238</v>
      </c>
      <c r="DD1723" s="5" t="s">
        <v>673</v>
      </c>
      <c r="DE1723" s="8">
        <f>78</f>
        <v>78</v>
      </c>
      <c r="DG1723" s="5" t="s">
        <v>238</v>
      </c>
      <c r="DH1723" s="5" t="s">
        <v>238</v>
      </c>
      <c r="DI1723" s="5" t="s">
        <v>238</v>
      </c>
      <c r="DJ1723" s="5" t="s">
        <v>238</v>
      </c>
      <c r="DN1723" s="5" t="s">
        <v>238</v>
      </c>
      <c r="DO1723" s="5" t="s">
        <v>238</v>
      </c>
      <c r="DP1723" s="5" t="s">
        <v>238</v>
      </c>
      <c r="DQ1723" s="5" t="s">
        <v>238</v>
      </c>
      <c r="DT1723" s="5" t="s">
        <v>2039</v>
      </c>
      <c r="DU1723" s="5" t="s">
        <v>841</v>
      </c>
      <c r="HM1723" s="5" t="s">
        <v>264</v>
      </c>
    </row>
    <row r="1724" spans="1:221" x14ac:dyDescent="0.4">
      <c r="A1724" s="5">
        <v>3399</v>
      </c>
      <c r="B1724" s="5">
        <v>1</v>
      </c>
      <c r="C1724" s="5">
        <v>1</v>
      </c>
      <c r="D1724" s="5" t="s">
        <v>2037</v>
      </c>
      <c r="E1724" s="5" t="s">
        <v>271</v>
      </c>
      <c r="F1724" s="5" t="s">
        <v>248</v>
      </c>
      <c r="G1724" s="5" t="s">
        <v>1969</v>
      </c>
      <c r="H1724" s="6" t="s">
        <v>3484</v>
      </c>
      <c r="I1724" s="7">
        <f>1048</f>
        <v>1048</v>
      </c>
      <c r="J1724" s="5" t="s">
        <v>262</v>
      </c>
      <c r="K1724" s="8">
        <f>1</f>
        <v>1</v>
      </c>
      <c r="L1724" s="6" t="s">
        <v>242</v>
      </c>
      <c r="M1724" s="5" t="s">
        <v>267</v>
      </c>
      <c r="N1724" s="5" t="s">
        <v>265</v>
      </c>
      <c r="O1724" s="5" t="s">
        <v>238</v>
      </c>
      <c r="P1724" s="5" t="s">
        <v>238</v>
      </c>
      <c r="Q1724" s="5" t="s">
        <v>268</v>
      </c>
      <c r="R1724" s="5" t="s">
        <v>270</v>
      </c>
      <c r="S1724" s="5" t="s">
        <v>238</v>
      </c>
      <c r="V1724" s="5" t="s">
        <v>238</v>
      </c>
      <c r="X1724" s="6" t="s">
        <v>238</v>
      </c>
      <c r="AA1724" s="6" t="s">
        <v>243</v>
      </c>
      <c r="AB1724" s="5" t="s">
        <v>238</v>
      </c>
      <c r="AC1724" s="5" t="s">
        <v>244</v>
      </c>
      <c r="AD1724" s="5" t="s">
        <v>245</v>
      </c>
      <c r="AT1724" s="5" t="s">
        <v>246</v>
      </c>
      <c r="AU1724" s="5" t="s">
        <v>238</v>
      </c>
      <c r="AV1724" s="5" t="s">
        <v>247</v>
      </c>
      <c r="AW1724" s="5" t="s">
        <v>238</v>
      </c>
      <c r="AX1724" s="5" t="s">
        <v>249</v>
      </c>
      <c r="AY1724" s="5" t="s">
        <v>238</v>
      </c>
      <c r="BA1724" s="5" t="s">
        <v>238</v>
      </c>
      <c r="BC1724" s="5" t="s">
        <v>250</v>
      </c>
      <c r="BD1724" s="6" t="s">
        <v>243</v>
      </c>
      <c r="BE1724" s="5" t="s">
        <v>251</v>
      </c>
      <c r="BF1724" s="5" t="s">
        <v>252</v>
      </c>
      <c r="BG1724" s="5" t="s">
        <v>238</v>
      </c>
      <c r="BH1724" s="7">
        <f>0</f>
        <v>0</v>
      </c>
      <c r="BI1724" s="8">
        <f>0</f>
        <v>0</v>
      </c>
      <c r="BJ1724" s="5" t="s">
        <v>253</v>
      </c>
      <c r="BK1724" s="5" t="s">
        <v>254</v>
      </c>
      <c r="BY1724" s="5" t="s">
        <v>238</v>
      </c>
      <c r="BZ1724" s="5" t="s">
        <v>238</v>
      </c>
      <c r="CD1724" s="5" t="s">
        <v>273</v>
      </c>
      <c r="CE1724" s="5" t="s">
        <v>256</v>
      </c>
      <c r="CF1724" s="5" t="s">
        <v>238</v>
      </c>
      <c r="CI1724" s="6" t="s">
        <v>257</v>
      </c>
      <c r="CJ1724" s="5" t="s">
        <v>238</v>
      </c>
      <c r="CK1724" s="5" t="s">
        <v>258</v>
      </c>
      <c r="CL1724" s="5" t="s">
        <v>238</v>
      </c>
      <c r="CM1724" s="5" t="s">
        <v>238</v>
      </c>
      <c r="CN1724" s="5">
        <v>0</v>
      </c>
      <c r="CO1724" s="5" t="s">
        <v>259</v>
      </c>
      <c r="CP1724" s="5" t="s">
        <v>260</v>
      </c>
      <c r="CQ1724" s="5" t="s">
        <v>260</v>
      </c>
      <c r="CR1724" s="5" t="s">
        <v>261</v>
      </c>
      <c r="CU1724" s="8">
        <f>1</f>
        <v>1</v>
      </c>
      <c r="CV1724" s="8">
        <f>0</f>
        <v>0</v>
      </c>
      <c r="CX1724" s="8">
        <f>0</f>
        <v>0</v>
      </c>
      <c r="CY1724" s="8">
        <f>1</f>
        <v>1</v>
      </c>
      <c r="DA1724" s="5" t="s">
        <v>673</v>
      </c>
      <c r="DB1724" s="5" t="s">
        <v>238</v>
      </c>
      <c r="DD1724" s="5" t="s">
        <v>673</v>
      </c>
      <c r="DE1724" s="8">
        <f>1048</f>
        <v>1048</v>
      </c>
      <c r="DG1724" s="5" t="s">
        <v>238</v>
      </c>
      <c r="DH1724" s="5" t="s">
        <v>238</v>
      </c>
      <c r="DI1724" s="5" t="s">
        <v>238</v>
      </c>
      <c r="DJ1724" s="5" t="s">
        <v>238</v>
      </c>
      <c r="DN1724" s="5" t="s">
        <v>238</v>
      </c>
      <c r="DO1724" s="5" t="s">
        <v>238</v>
      </c>
      <c r="DP1724" s="5" t="s">
        <v>238</v>
      </c>
      <c r="DQ1724" s="5" t="s">
        <v>238</v>
      </c>
      <c r="DT1724" s="5" t="s">
        <v>2039</v>
      </c>
      <c r="DU1724" s="5" t="s">
        <v>853</v>
      </c>
      <c r="HM1724" s="5" t="s">
        <v>264</v>
      </c>
    </row>
    <row r="1725" spans="1:221" x14ac:dyDescent="0.4">
      <c r="A1725" s="5">
        <v>3400</v>
      </c>
      <c r="B1725" s="5">
        <v>1</v>
      </c>
      <c r="C1725" s="5">
        <v>1</v>
      </c>
      <c r="D1725" s="5" t="s">
        <v>2037</v>
      </c>
      <c r="E1725" s="5" t="s">
        <v>271</v>
      </c>
      <c r="F1725" s="5" t="s">
        <v>248</v>
      </c>
      <c r="G1725" s="5" t="s">
        <v>1969</v>
      </c>
      <c r="H1725" s="6" t="s">
        <v>3489</v>
      </c>
      <c r="I1725" s="7">
        <f>1576</f>
        <v>1576</v>
      </c>
      <c r="J1725" s="5" t="s">
        <v>262</v>
      </c>
      <c r="K1725" s="8">
        <f>1</f>
        <v>1</v>
      </c>
      <c r="L1725" s="6" t="s">
        <v>242</v>
      </c>
      <c r="M1725" s="5" t="s">
        <v>267</v>
      </c>
      <c r="N1725" s="5" t="s">
        <v>265</v>
      </c>
      <c r="O1725" s="5" t="s">
        <v>238</v>
      </c>
      <c r="P1725" s="5" t="s">
        <v>238</v>
      </c>
      <c r="Q1725" s="5" t="s">
        <v>268</v>
      </c>
      <c r="R1725" s="5" t="s">
        <v>270</v>
      </c>
      <c r="S1725" s="5" t="s">
        <v>238</v>
      </c>
      <c r="V1725" s="5" t="s">
        <v>238</v>
      </c>
      <c r="X1725" s="6" t="s">
        <v>238</v>
      </c>
      <c r="AA1725" s="6" t="s">
        <v>243</v>
      </c>
      <c r="AB1725" s="5" t="s">
        <v>238</v>
      </c>
      <c r="AC1725" s="5" t="s">
        <v>244</v>
      </c>
      <c r="AD1725" s="5" t="s">
        <v>245</v>
      </c>
      <c r="AT1725" s="5" t="s">
        <v>246</v>
      </c>
      <c r="AU1725" s="5" t="s">
        <v>238</v>
      </c>
      <c r="AV1725" s="5" t="s">
        <v>247</v>
      </c>
      <c r="AW1725" s="5" t="s">
        <v>238</v>
      </c>
      <c r="AX1725" s="5" t="s">
        <v>249</v>
      </c>
      <c r="AY1725" s="5" t="s">
        <v>238</v>
      </c>
      <c r="BA1725" s="5" t="s">
        <v>238</v>
      </c>
      <c r="BC1725" s="5" t="s">
        <v>250</v>
      </c>
      <c r="BD1725" s="6" t="s">
        <v>243</v>
      </c>
      <c r="BE1725" s="5" t="s">
        <v>251</v>
      </c>
      <c r="BF1725" s="5" t="s">
        <v>252</v>
      </c>
      <c r="BG1725" s="5" t="s">
        <v>238</v>
      </c>
      <c r="BH1725" s="7">
        <f>0</f>
        <v>0</v>
      </c>
      <c r="BI1725" s="8">
        <f>0</f>
        <v>0</v>
      </c>
      <c r="BJ1725" s="5" t="s">
        <v>253</v>
      </c>
      <c r="BK1725" s="5" t="s">
        <v>254</v>
      </c>
      <c r="BY1725" s="5" t="s">
        <v>238</v>
      </c>
      <c r="BZ1725" s="5" t="s">
        <v>238</v>
      </c>
      <c r="CD1725" s="5" t="s">
        <v>273</v>
      </c>
      <c r="CE1725" s="5" t="s">
        <v>256</v>
      </c>
      <c r="CF1725" s="5" t="s">
        <v>238</v>
      </c>
      <c r="CI1725" s="6" t="s">
        <v>257</v>
      </c>
      <c r="CJ1725" s="5" t="s">
        <v>238</v>
      </c>
      <c r="CK1725" s="5" t="s">
        <v>258</v>
      </c>
      <c r="CL1725" s="5" t="s">
        <v>238</v>
      </c>
      <c r="CM1725" s="5" t="s">
        <v>238</v>
      </c>
      <c r="CN1725" s="5">
        <v>0</v>
      </c>
      <c r="CO1725" s="5" t="s">
        <v>259</v>
      </c>
      <c r="CP1725" s="5" t="s">
        <v>260</v>
      </c>
      <c r="CQ1725" s="5" t="s">
        <v>260</v>
      </c>
      <c r="CR1725" s="5" t="s">
        <v>261</v>
      </c>
      <c r="CU1725" s="8">
        <f>1</f>
        <v>1</v>
      </c>
      <c r="CV1725" s="8">
        <f>0</f>
        <v>0</v>
      </c>
      <c r="CX1725" s="8">
        <f>0</f>
        <v>0</v>
      </c>
      <c r="CY1725" s="8">
        <f>1</f>
        <v>1</v>
      </c>
      <c r="DA1725" s="5" t="s">
        <v>673</v>
      </c>
      <c r="DB1725" s="5" t="s">
        <v>238</v>
      </c>
      <c r="DD1725" s="5" t="s">
        <v>673</v>
      </c>
      <c r="DE1725" s="8">
        <f>1576</f>
        <v>1576</v>
      </c>
      <c r="DG1725" s="5" t="s">
        <v>238</v>
      </c>
      <c r="DH1725" s="5" t="s">
        <v>238</v>
      </c>
      <c r="DI1725" s="5" t="s">
        <v>238</v>
      </c>
      <c r="DJ1725" s="5" t="s">
        <v>238</v>
      </c>
      <c r="DN1725" s="5" t="s">
        <v>238</v>
      </c>
      <c r="DO1725" s="5" t="s">
        <v>238</v>
      </c>
      <c r="DP1725" s="5" t="s">
        <v>238</v>
      </c>
      <c r="DQ1725" s="5" t="s">
        <v>238</v>
      </c>
      <c r="DT1725" s="5" t="s">
        <v>2039</v>
      </c>
      <c r="DU1725" s="5" t="s">
        <v>843</v>
      </c>
      <c r="HM1725" s="5" t="s">
        <v>264</v>
      </c>
    </row>
    <row r="1726" spans="1:221" x14ac:dyDescent="0.4">
      <c r="A1726" s="5">
        <v>3401</v>
      </c>
      <c r="B1726" s="5">
        <v>1</v>
      </c>
      <c r="C1726" s="5">
        <v>1</v>
      </c>
      <c r="D1726" s="5" t="s">
        <v>2037</v>
      </c>
      <c r="E1726" s="5" t="s">
        <v>271</v>
      </c>
      <c r="F1726" s="5" t="s">
        <v>248</v>
      </c>
      <c r="G1726" s="5" t="s">
        <v>1969</v>
      </c>
      <c r="H1726" s="6" t="s">
        <v>3487</v>
      </c>
      <c r="I1726" s="7">
        <f>2523</f>
        <v>2523</v>
      </c>
      <c r="J1726" s="5" t="s">
        <v>262</v>
      </c>
      <c r="K1726" s="8">
        <f>1</f>
        <v>1</v>
      </c>
      <c r="L1726" s="6" t="s">
        <v>242</v>
      </c>
      <c r="M1726" s="5" t="s">
        <v>267</v>
      </c>
      <c r="N1726" s="5" t="s">
        <v>265</v>
      </c>
      <c r="O1726" s="5" t="s">
        <v>238</v>
      </c>
      <c r="P1726" s="5" t="s">
        <v>238</v>
      </c>
      <c r="Q1726" s="5" t="s">
        <v>268</v>
      </c>
      <c r="R1726" s="5" t="s">
        <v>270</v>
      </c>
      <c r="S1726" s="5" t="s">
        <v>238</v>
      </c>
      <c r="V1726" s="5" t="s">
        <v>238</v>
      </c>
      <c r="X1726" s="6" t="s">
        <v>238</v>
      </c>
      <c r="AA1726" s="6" t="s">
        <v>243</v>
      </c>
      <c r="AB1726" s="5" t="s">
        <v>238</v>
      </c>
      <c r="AC1726" s="5" t="s">
        <v>244</v>
      </c>
      <c r="AD1726" s="5" t="s">
        <v>245</v>
      </c>
      <c r="AT1726" s="5" t="s">
        <v>246</v>
      </c>
      <c r="AU1726" s="5" t="s">
        <v>238</v>
      </c>
      <c r="AV1726" s="5" t="s">
        <v>247</v>
      </c>
      <c r="AW1726" s="5" t="s">
        <v>238</v>
      </c>
      <c r="AX1726" s="5" t="s">
        <v>249</v>
      </c>
      <c r="AY1726" s="5" t="s">
        <v>238</v>
      </c>
      <c r="BA1726" s="5" t="s">
        <v>238</v>
      </c>
      <c r="BC1726" s="5" t="s">
        <v>250</v>
      </c>
      <c r="BD1726" s="6" t="s">
        <v>243</v>
      </c>
      <c r="BE1726" s="5" t="s">
        <v>251</v>
      </c>
      <c r="BF1726" s="5" t="s">
        <v>252</v>
      </c>
      <c r="BG1726" s="5" t="s">
        <v>238</v>
      </c>
      <c r="BH1726" s="7">
        <f>0</f>
        <v>0</v>
      </c>
      <c r="BI1726" s="8">
        <f>0</f>
        <v>0</v>
      </c>
      <c r="BJ1726" s="5" t="s">
        <v>253</v>
      </c>
      <c r="BK1726" s="5" t="s">
        <v>254</v>
      </c>
      <c r="BY1726" s="5" t="s">
        <v>238</v>
      </c>
      <c r="BZ1726" s="5" t="s">
        <v>238</v>
      </c>
      <c r="CD1726" s="5" t="s">
        <v>273</v>
      </c>
      <c r="CE1726" s="5" t="s">
        <v>256</v>
      </c>
      <c r="CF1726" s="5" t="s">
        <v>238</v>
      </c>
      <c r="CI1726" s="6" t="s">
        <v>257</v>
      </c>
      <c r="CJ1726" s="5" t="s">
        <v>238</v>
      </c>
      <c r="CK1726" s="5" t="s">
        <v>258</v>
      </c>
      <c r="CL1726" s="5" t="s">
        <v>238</v>
      </c>
      <c r="CM1726" s="5" t="s">
        <v>238</v>
      </c>
      <c r="CN1726" s="5">
        <v>0</v>
      </c>
      <c r="CO1726" s="5" t="s">
        <v>259</v>
      </c>
      <c r="CP1726" s="5" t="s">
        <v>260</v>
      </c>
      <c r="CQ1726" s="5" t="s">
        <v>260</v>
      </c>
      <c r="CR1726" s="5" t="s">
        <v>261</v>
      </c>
      <c r="CU1726" s="8">
        <f>1</f>
        <v>1</v>
      </c>
      <c r="CV1726" s="8">
        <f>0</f>
        <v>0</v>
      </c>
      <c r="CX1726" s="8">
        <f>0</f>
        <v>0</v>
      </c>
      <c r="CY1726" s="8">
        <f>1</f>
        <v>1</v>
      </c>
      <c r="DA1726" s="5" t="s">
        <v>673</v>
      </c>
      <c r="DB1726" s="5" t="s">
        <v>238</v>
      </c>
      <c r="DD1726" s="5" t="s">
        <v>673</v>
      </c>
      <c r="DE1726" s="8">
        <f>2523</f>
        <v>2523</v>
      </c>
      <c r="DG1726" s="5" t="s">
        <v>238</v>
      </c>
      <c r="DH1726" s="5" t="s">
        <v>238</v>
      </c>
      <c r="DI1726" s="5" t="s">
        <v>238</v>
      </c>
      <c r="DJ1726" s="5" t="s">
        <v>238</v>
      </c>
      <c r="DN1726" s="5" t="s">
        <v>238</v>
      </c>
      <c r="DO1726" s="5" t="s">
        <v>238</v>
      </c>
      <c r="DP1726" s="5" t="s">
        <v>238</v>
      </c>
      <c r="DQ1726" s="5" t="s">
        <v>238</v>
      </c>
      <c r="DT1726" s="5" t="s">
        <v>2039</v>
      </c>
      <c r="DU1726" s="5" t="s">
        <v>860</v>
      </c>
      <c r="HM1726" s="5" t="s">
        <v>264</v>
      </c>
    </row>
    <row r="1727" spans="1:221" x14ac:dyDescent="0.4">
      <c r="A1727" s="5">
        <v>3402</v>
      </c>
      <c r="B1727" s="5">
        <v>1</v>
      </c>
      <c r="C1727" s="5">
        <v>1</v>
      </c>
      <c r="D1727" s="5" t="s">
        <v>2037</v>
      </c>
      <c r="E1727" s="5" t="s">
        <v>271</v>
      </c>
      <c r="F1727" s="5" t="s">
        <v>248</v>
      </c>
      <c r="G1727" s="5" t="s">
        <v>1969</v>
      </c>
      <c r="H1727" s="6" t="s">
        <v>3488</v>
      </c>
      <c r="I1727" s="7">
        <f>802</f>
        <v>802</v>
      </c>
      <c r="J1727" s="5" t="s">
        <v>262</v>
      </c>
      <c r="K1727" s="8">
        <f>1</f>
        <v>1</v>
      </c>
      <c r="L1727" s="6" t="s">
        <v>242</v>
      </c>
      <c r="M1727" s="5" t="s">
        <v>267</v>
      </c>
      <c r="N1727" s="5" t="s">
        <v>265</v>
      </c>
      <c r="O1727" s="5" t="s">
        <v>238</v>
      </c>
      <c r="P1727" s="5" t="s">
        <v>238</v>
      </c>
      <c r="Q1727" s="5" t="s">
        <v>268</v>
      </c>
      <c r="R1727" s="5" t="s">
        <v>270</v>
      </c>
      <c r="S1727" s="5" t="s">
        <v>238</v>
      </c>
      <c r="V1727" s="5" t="s">
        <v>238</v>
      </c>
      <c r="X1727" s="6" t="s">
        <v>238</v>
      </c>
      <c r="AA1727" s="6" t="s">
        <v>243</v>
      </c>
      <c r="AB1727" s="5" t="s">
        <v>238</v>
      </c>
      <c r="AC1727" s="5" t="s">
        <v>244</v>
      </c>
      <c r="AD1727" s="5" t="s">
        <v>245</v>
      </c>
      <c r="AT1727" s="5" t="s">
        <v>246</v>
      </c>
      <c r="AU1727" s="5" t="s">
        <v>238</v>
      </c>
      <c r="AV1727" s="5" t="s">
        <v>247</v>
      </c>
      <c r="AW1727" s="5" t="s">
        <v>238</v>
      </c>
      <c r="AX1727" s="5" t="s">
        <v>249</v>
      </c>
      <c r="AY1727" s="5" t="s">
        <v>238</v>
      </c>
      <c r="BA1727" s="5" t="s">
        <v>238</v>
      </c>
      <c r="BC1727" s="5" t="s">
        <v>250</v>
      </c>
      <c r="BD1727" s="6" t="s">
        <v>243</v>
      </c>
      <c r="BE1727" s="5" t="s">
        <v>251</v>
      </c>
      <c r="BF1727" s="5" t="s">
        <v>252</v>
      </c>
      <c r="BG1727" s="5" t="s">
        <v>238</v>
      </c>
      <c r="BH1727" s="7">
        <f>0</f>
        <v>0</v>
      </c>
      <c r="BI1727" s="8">
        <f>0</f>
        <v>0</v>
      </c>
      <c r="BJ1727" s="5" t="s">
        <v>253</v>
      </c>
      <c r="BK1727" s="5" t="s">
        <v>254</v>
      </c>
      <c r="BY1727" s="5" t="s">
        <v>238</v>
      </c>
      <c r="BZ1727" s="5" t="s">
        <v>238</v>
      </c>
      <c r="CD1727" s="5" t="s">
        <v>273</v>
      </c>
      <c r="CE1727" s="5" t="s">
        <v>256</v>
      </c>
      <c r="CF1727" s="5" t="s">
        <v>238</v>
      </c>
      <c r="CI1727" s="6" t="s">
        <v>257</v>
      </c>
      <c r="CJ1727" s="5" t="s">
        <v>238</v>
      </c>
      <c r="CK1727" s="5" t="s">
        <v>258</v>
      </c>
      <c r="CL1727" s="5" t="s">
        <v>238</v>
      </c>
      <c r="CM1727" s="5" t="s">
        <v>238</v>
      </c>
      <c r="CN1727" s="5">
        <v>0</v>
      </c>
      <c r="CO1727" s="5" t="s">
        <v>259</v>
      </c>
      <c r="CP1727" s="5" t="s">
        <v>260</v>
      </c>
      <c r="CQ1727" s="5" t="s">
        <v>260</v>
      </c>
      <c r="CR1727" s="5" t="s">
        <v>261</v>
      </c>
      <c r="CU1727" s="8">
        <f>1</f>
        <v>1</v>
      </c>
      <c r="CV1727" s="8">
        <f>0</f>
        <v>0</v>
      </c>
      <c r="CX1727" s="8">
        <f>0</f>
        <v>0</v>
      </c>
      <c r="CY1727" s="8">
        <f>1</f>
        <v>1</v>
      </c>
      <c r="DA1727" s="5" t="s">
        <v>673</v>
      </c>
      <c r="DB1727" s="5" t="s">
        <v>238</v>
      </c>
      <c r="DD1727" s="5" t="s">
        <v>673</v>
      </c>
      <c r="DE1727" s="8">
        <f>802</f>
        <v>802</v>
      </c>
      <c r="DG1727" s="5" t="s">
        <v>238</v>
      </c>
      <c r="DH1727" s="5" t="s">
        <v>238</v>
      </c>
      <c r="DI1727" s="5" t="s">
        <v>238</v>
      </c>
      <c r="DJ1727" s="5" t="s">
        <v>238</v>
      </c>
      <c r="DN1727" s="5" t="s">
        <v>238</v>
      </c>
      <c r="DO1727" s="5" t="s">
        <v>238</v>
      </c>
      <c r="DP1727" s="5" t="s">
        <v>238</v>
      </c>
      <c r="DQ1727" s="5" t="s">
        <v>238</v>
      </c>
      <c r="DT1727" s="5" t="s">
        <v>2039</v>
      </c>
      <c r="DU1727" s="5" t="s">
        <v>866</v>
      </c>
      <c r="HM1727" s="5" t="s">
        <v>264</v>
      </c>
    </row>
    <row r="1728" spans="1:221" x14ac:dyDescent="0.4">
      <c r="A1728" s="5">
        <v>3403</v>
      </c>
      <c r="B1728" s="5">
        <v>1</v>
      </c>
      <c r="C1728" s="5">
        <v>1</v>
      </c>
      <c r="D1728" s="5" t="s">
        <v>2037</v>
      </c>
      <c r="E1728" s="5" t="s">
        <v>271</v>
      </c>
      <c r="F1728" s="5" t="s">
        <v>248</v>
      </c>
      <c r="G1728" s="5" t="s">
        <v>1969</v>
      </c>
      <c r="H1728" s="6" t="s">
        <v>2627</v>
      </c>
      <c r="I1728" s="7">
        <f>1730</f>
        <v>1730</v>
      </c>
      <c r="J1728" s="5" t="s">
        <v>262</v>
      </c>
      <c r="K1728" s="8">
        <f>1</f>
        <v>1</v>
      </c>
      <c r="L1728" s="6" t="s">
        <v>242</v>
      </c>
      <c r="M1728" s="5" t="s">
        <v>267</v>
      </c>
      <c r="N1728" s="5" t="s">
        <v>265</v>
      </c>
      <c r="O1728" s="5" t="s">
        <v>238</v>
      </c>
      <c r="P1728" s="5" t="s">
        <v>238</v>
      </c>
      <c r="Q1728" s="5" t="s">
        <v>268</v>
      </c>
      <c r="R1728" s="5" t="s">
        <v>270</v>
      </c>
      <c r="S1728" s="5" t="s">
        <v>238</v>
      </c>
      <c r="V1728" s="5" t="s">
        <v>238</v>
      </c>
      <c r="X1728" s="6" t="s">
        <v>238</v>
      </c>
      <c r="AA1728" s="6" t="s">
        <v>243</v>
      </c>
      <c r="AB1728" s="5" t="s">
        <v>238</v>
      </c>
      <c r="AC1728" s="5" t="s">
        <v>244</v>
      </c>
      <c r="AD1728" s="5" t="s">
        <v>245</v>
      </c>
      <c r="AT1728" s="5" t="s">
        <v>246</v>
      </c>
      <c r="AU1728" s="5" t="s">
        <v>238</v>
      </c>
      <c r="AV1728" s="5" t="s">
        <v>247</v>
      </c>
      <c r="AW1728" s="5" t="s">
        <v>238</v>
      </c>
      <c r="AX1728" s="5" t="s">
        <v>249</v>
      </c>
      <c r="AY1728" s="5" t="s">
        <v>238</v>
      </c>
      <c r="BA1728" s="5" t="s">
        <v>238</v>
      </c>
      <c r="BC1728" s="5" t="s">
        <v>250</v>
      </c>
      <c r="BD1728" s="6" t="s">
        <v>243</v>
      </c>
      <c r="BE1728" s="5" t="s">
        <v>251</v>
      </c>
      <c r="BF1728" s="5" t="s">
        <v>252</v>
      </c>
      <c r="BG1728" s="5" t="s">
        <v>238</v>
      </c>
      <c r="BH1728" s="7">
        <f>0</f>
        <v>0</v>
      </c>
      <c r="BI1728" s="8">
        <f>0</f>
        <v>0</v>
      </c>
      <c r="BJ1728" s="5" t="s">
        <v>253</v>
      </c>
      <c r="BK1728" s="5" t="s">
        <v>254</v>
      </c>
      <c r="BY1728" s="5" t="s">
        <v>238</v>
      </c>
      <c r="BZ1728" s="5" t="s">
        <v>238</v>
      </c>
      <c r="CD1728" s="5" t="s">
        <v>273</v>
      </c>
      <c r="CE1728" s="5" t="s">
        <v>256</v>
      </c>
      <c r="CF1728" s="5" t="s">
        <v>238</v>
      </c>
      <c r="CI1728" s="6" t="s">
        <v>257</v>
      </c>
      <c r="CJ1728" s="5" t="s">
        <v>238</v>
      </c>
      <c r="CK1728" s="5" t="s">
        <v>258</v>
      </c>
      <c r="CL1728" s="5" t="s">
        <v>238</v>
      </c>
      <c r="CM1728" s="5" t="s">
        <v>238</v>
      </c>
      <c r="CN1728" s="5">
        <v>0</v>
      </c>
      <c r="CO1728" s="5" t="s">
        <v>259</v>
      </c>
      <c r="CP1728" s="5" t="s">
        <v>260</v>
      </c>
      <c r="CQ1728" s="5" t="s">
        <v>260</v>
      </c>
      <c r="CR1728" s="5" t="s">
        <v>261</v>
      </c>
      <c r="CU1728" s="8">
        <f>1</f>
        <v>1</v>
      </c>
      <c r="CV1728" s="8">
        <f>0</f>
        <v>0</v>
      </c>
      <c r="CX1728" s="8">
        <f>0</f>
        <v>0</v>
      </c>
      <c r="CY1728" s="8">
        <f>1</f>
        <v>1</v>
      </c>
      <c r="DA1728" s="5" t="s">
        <v>673</v>
      </c>
      <c r="DB1728" s="5" t="s">
        <v>238</v>
      </c>
      <c r="DD1728" s="5" t="s">
        <v>673</v>
      </c>
      <c r="DE1728" s="8">
        <f>1730</f>
        <v>1730</v>
      </c>
      <c r="DG1728" s="5" t="s">
        <v>238</v>
      </c>
      <c r="DH1728" s="5" t="s">
        <v>238</v>
      </c>
      <c r="DI1728" s="5" t="s">
        <v>238</v>
      </c>
      <c r="DJ1728" s="5" t="s">
        <v>238</v>
      </c>
      <c r="DN1728" s="5" t="s">
        <v>238</v>
      </c>
      <c r="DO1728" s="5" t="s">
        <v>238</v>
      </c>
      <c r="DP1728" s="5" t="s">
        <v>238</v>
      </c>
      <c r="DQ1728" s="5" t="s">
        <v>238</v>
      </c>
      <c r="DT1728" s="5" t="s">
        <v>2039</v>
      </c>
      <c r="DU1728" s="5" t="s">
        <v>2628</v>
      </c>
      <c r="HM1728" s="5" t="s">
        <v>264</v>
      </c>
    </row>
    <row r="1729" spans="1:221" x14ac:dyDescent="0.4">
      <c r="A1729" s="5">
        <v>3404</v>
      </c>
      <c r="B1729" s="5">
        <v>1</v>
      </c>
      <c r="C1729" s="5">
        <v>1</v>
      </c>
      <c r="D1729" s="5" t="s">
        <v>2037</v>
      </c>
      <c r="E1729" s="5" t="s">
        <v>271</v>
      </c>
      <c r="F1729" s="5" t="s">
        <v>248</v>
      </c>
      <c r="G1729" s="5" t="s">
        <v>1969</v>
      </c>
      <c r="H1729" s="6" t="s">
        <v>3493</v>
      </c>
      <c r="I1729" s="7">
        <f>431</f>
        <v>431</v>
      </c>
      <c r="J1729" s="5" t="s">
        <v>262</v>
      </c>
      <c r="K1729" s="8">
        <f>1</f>
        <v>1</v>
      </c>
      <c r="L1729" s="6" t="s">
        <v>242</v>
      </c>
      <c r="M1729" s="5" t="s">
        <v>267</v>
      </c>
      <c r="N1729" s="5" t="s">
        <v>265</v>
      </c>
      <c r="O1729" s="5" t="s">
        <v>238</v>
      </c>
      <c r="P1729" s="5" t="s">
        <v>238</v>
      </c>
      <c r="Q1729" s="5" t="s">
        <v>268</v>
      </c>
      <c r="R1729" s="5" t="s">
        <v>270</v>
      </c>
      <c r="S1729" s="5" t="s">
        <v>238</v>
      </c>
      <c r="V1729" s="5" t="s">
        <v>238</v>
      </c>
      <c r="X1729" s="6" t="s">
        <v>238</v>
      </c>
      <c r="AA1729" s="6" t="s">
        <v>243</v>
      </c>
      <c r="AB1729" s="5" t="s">
        <v>238</v>
      </c>
      <c r="AC1729" s="5" t="s">
        <v>244</v>
      </c>
      <c r="AD1729" s="5" t="s">
        <v>245</v>
      </c>
      <c r="AT1729" s="5" t="s">
        <v>246</v>
      </c>
      <c r="AU1729" s="5" t="s">
        <v>238</v>
      </c>
      <c r="AV1729" s="5" t="s">
        <v>247</v>
      </c>
      <c r="AW1729" s="5" t="s">
        <v>238</v>
      </c>
      <c r="AX1729" s="5" t="s">
        <v>249</v>
      </c>
      <c r="AY1729" s="5" t="s">
        <v>238</v>
      </c>
      <c r="BA1729" s="5" t="s">
        <v>238</v>
      </c>
      <c r="BC1729" s="5" t="s">
        <v>250</v>
      </c>
      <c r="BD1729" s="6" t="s">
        <v>243</v>
      </c>
      <c r="BE1729" s="5" t="s">
        <v>251</v>
      </c>
      <c r="BF1729" s="5" t="s">
        <v>252</v>
      </c>
      <c r="BG1729" s="5" t="s">
        <v>238</v>
      </c>
      <c r="BH1729" s="7">
        <f>0</f>
        <v>0</v>
      </c>
      <c r="BI1729" s="8">
        <f>0</f>
        <v>0</v>
      </c>
      <c r="BJ1729" s="5" t="s">
        <v>253</v>
      </c>
      <c r="BK1729" s="5" t="s">
        <v>254</v>
      </c>
      <c r="BY1729" s="5" t="s">
        <v>238</v>
      </c>
      <c r="BZ1729" s="5" t="s">
        <v>238</v>
      </c>
      <c r="CD1729" s="5" t="s">
        <v>273</v>
      </c>
      <c r="CE1729" s="5" t="s">
        <v>256</v>
      </c>
      <c r="CF1729" s="5" t="s">
        <v>238</v>
      </c>
      <c r="CI1729" s="6" t="s">
        <v>257</v>
      </c>
      <c r="CJ1729" s="5" t="s">
        <v>238</v>
      </c>
      <c r="CK1729" s="5" t="s">
        <v>258</v>
      </c>
      <c r="CL1729" s="5" t="s">
        <v>238</v>
      </c>
      <c r="CM1729" s="5" t="s">
        <v>238</v>
      </c>
      <c r="CN1729" s="5">
        <v>0</v>
      </c>
      <c r="CO1729" s="5" t="s">
        <v>259</v>
      </c>
      <c r="CP1729" s="5" t="s">
        <v>260</v>
      </c>
      <c r="CQ1729" s="5" t="s">
        <v>260</v>
      </c>
      <c r="CR1729" s="5" t="s">
        <v>261</v>
      </c>
      <c r="CU1729" s="8">
        <f>1</f>
        <v>1</v>
      </c>
      <c r="CV1729" s="8">
        <f>0</f>
        <v>0</v>
      </c>
      <c r="CX1729" s="8">
        <f>0</f>
        <v>0</v>
      </c>
      <c r="CY1729" s="8">
        <f>1</f>
        <v>1</v>
      </c>
      <c r="DA1729" s="5" t="s">
        <v>673</v>
      </c>
      <c r="DB1729" s="5" t="s">
        <v>238</v>
      </c>
      <c r="DD1729" s="5" t="s">
        <v>673</v>
      </c>
      <c r="DE1729" s="8">
        <f>431</f>
        <v>431</v>
      </c>
      <c r="DG1729" s="5" t="s">
        <v>238</v>
      </c>
      <c r="DH1729" s="5" t="s">
        <v>238</v>
      </c>
      <c r="DI1729" s="5" t="s">
        <v>238</v>
      </c>
      <c r="DJ1729" s="5" t="s">
        <v>238</v>
      </c>
      <c r="DN1729" s="5" t="s">
        <v>238</v>
      </c>
      <c r="DO1729" s="5" t="s">
        <v>238</v>
      </c>
      <c r="DP1729" s="5" t="s">
        <v>238</v>
      </c>
      <c r="DQ1729" s="5" t="s">
        <v>238</v>
      </c>
      <c r="DT1729" s="5" t="s">
        <v>2039</v>
      </c>
      <c r="DU1729" s="5" t="s">
        <v>3494</v>
      </c>
      <c r="HM1729" s="5" t="s">
        <v>264</v>
      </c>
    </row>
    <row r="1730" spans="1:221" x14ac:dyDescent="0.4">
      <c r="A1730" s="5">
        <v>3405</v>
      </c>
      <c r="B1730" s="5">
        <v>1</v>
      </c>
      <c r="C1730" s="5">
        <v>1</v>
      </c>
      <c r="D1730" s="5" t="s">
        <v>2037</v>
      </c>
      <c r="E1730" s="5" t="s">
        <v>271</v>
      </c>
      <c r="F1730" s="5" t="s">
        <v>248</v>
      </c>
      <c r="G1730" s="5" t="s">
        <v>1969</v>
      </c>
      <c r="H1730" s="6" t="s">
        <v>3498</v>
      </c>
      <c r="I1730" s="7">
        <f>179</f>
        <v>179</v>
      </c>
      <c r="J1730" s="5" t="s">
        <v>262</v>
      </c>
      <c r="K1730" s="8">
        <f>1</f>
        <v>1</v>
      </c>
      <c r="L1730" s="6" t="s">
        <v>242</v>
      </c>
      <c r="M1730" s="5" t="s">
        <v>267</v>
      </c>
      <c r="N1730" s="5" t="s">
        <v>265</v>
      </c>
      <c r="O1730" s="5" t="s">
        <v>238</v>
      </c>
      <c r="P1730" s="5" t="s">
        <v>238</v>
      </c>
      <c r="Q1730" s="5" t="s">
        <v>268</v>
      </c>
      <c r="R1730" s="5" t="s">
        <v>270</v>
      </c>
      <c r="S1730" s="5" t="s">
        <v>238</v>
      </c>
      <c r="V1730" s="5" t="s">
        <v>238</v>
      </c>
      <c r="X1730" s="6" t="s">
        <v>238</v>
      </c>
      <c r="AA1730" s="6" t="s">
        <v>243</v>
      </c>
      <c r="AB1730" s="5" t="s">
        <v>238</v>
      </c>
      <c r="AC1730" s="5" t="s">
        <v>244</v>
      </c>
      <c r="AD1730" s="5" t="s">
        <v>245</v>
      </c>
      <c r="AT1730" s="5" t="s">
        <v>246</v>
      </c>
      <c r="AU1730" s="5" t="s">
        <v>238</v>
      </c>
      <c r="AV1730" s="5" t="s">
        <v>247</v>
      </c>
      <c r="AW1730" s="5" t="s">
        <v>238</v>
      </c>
      <c r="AX1730" s="5" t="s">
        <v>249</v>
      </c>
      <c r="AY1730" s="5" t="s">
        <v>238</v>
      </c>
      <c r="BA1730" s="5" t="s">
        <v>238</v>
      </c>
      <c r="BC1730" s="5" t="s">
        <v>250</v>
      </c>
      <c r="BD1730" s="6" t="s">
        <v>243</v>
      </c>
      <c r="BE1730" s="5" t="s">
        <v>251</v>
      </c>
      <c r="BF1730" s="5" t="s">
        <v>252</v>
      </c>
      <c r="BG1730" s="5" t="s">
        <v>238</v>
      </c>
      <c r="BH1730" s="7">
        <f>0</f>
        <v>0</v>
      </c>
      <c r="BI1730" s="8">
        <f>0</f>
        <v>0</v>
      </c>
      <c r="BJ1730" s="5" t="s">
        <v>253</v>
      </c>
      <c r="BK1730" s="5" t="s">
        <v>254</v>
      </c>
      <c r="BY1730" s="5" t="s">
        <v>238</v>
      </c>
      <c r="BZ1730" s="5" t="s">
        <v>238</v>
      </c>
      <c r="CD1730" s="5" t="s">
        <v>273</v>
      </c>
      <c r="CE1730" s="5" t="s">
        <v>256</v>
      </c>
      <c r="CF1730" s="5" t="s">
        <v>238</v>
      </c>
      <c r="CI1730" s="6" t="s">
        <v>257</v>
      </c>
      <c r="CJ1730" s="5" t="s">
        <v>238</v>
      </c>
      <c r="CK1730" s="5" t="s">
        <v>258</v>
      </c>
      <c r="CL1730" s="5" t="s">
        <v>238</v>
      </c>
      <c r="CM1730" s="5" t="s">
        <v>238</v>
      </c>
      <c r="CN1730" s="5">
        <v>0</v>
      </c>
      <c r="CO1730" s="5" t="s">
        <v>259</v>
      </c>
      <c r="CP1730" s="5" t="s">
        <v>260</v>
      </c>
      <c r="CQ1730" s="5" t="s">
        <v>260</v>
      </c>
      <c r="CR1730" s="5" t="s">
        <v>261</v>
      </c>
      <c r="CU1730" s="8">
        <f>1</f>
        <v>1</v>
      </c>
      <c r="CV1730" s="8">
        <f>0</f>
        <v>0</v>
      </c>
      <c r="CX1730" s="8">
        <f>0</f>
        <v>0</v>
      </c>
      <c r="CY1730" s="8">
        <f>1</f>
        <v>1</v>
      </c>
      <c r="DA1730" s="5" t="s">
        <v>673</v>
      </c>
      <c r="DB1730" s="5" t="s">
        <v>238</v>
      </c>
      <c r="DD1730" s="5" t="s">
        <v>673</v>
      </c>
      <c r="DE1730" s="8">
        <f>179</f>
        <v>179</v>
      </c>
      <c r="DG1730" s="5" t="s">
        <v>238</v>
      </c>
      <c r="DH1730" s="5" t="s">
        <v>238</v>
      </c>
      <c r="DI1730" s="5" t="s">
        <v>238</v>
      </c>
      <c r="DJ1730" s="5" t="s">
        <v>238</v>
      </c>
      <c r="DN1730" s="5" t="s">
        <v>238</v>
      </c>
      <c r="DO1730" s="5" t="s">
        <v>238</v>
      </c>
      <c r="DP1730" s="5" t="s">
        <v>238</v>
      </c>
      <c r="DQ1730" s="5" t="s">
        <v>238</v>
      </c>
      <c r="DT1730" s="5" t="s">
        <v>2039</v>
      </c>
      <c r="DU1730" s="5" t="s">
        <v>888</v>
      </c>
      <c r="HM1730" s="5" t="s">
        <v>264</v>
      </c>
    </row>
    <row r="1731" spans="1:221" x14ac:dyDescent="0.4">
      <c r="A1731" s="5">
        <v>3406</v>
      </c>
      <c r="B1731" s="5">
        <v>1</v>
      </c>
      <c r="C1731" s="5">
        <v>1</v>
      </c>
      <c r="D1731" s="5" t="s">
        <v>2037</v>
      </c>
      <c r="E1731" s="5" t="s">
        <v>271</v>
      </c>
      <c r="F1731" s="5" t="s">
        <v>248</v>
      </c>
      <c r="G1731" s="5" t="s">
        <v>1969</v>
      </c>
      <c r="H1731" s="6" t="s">
        <v>3503</v>
      </c>
      <c r="I1731" s="7">
        <f>169</f>
        <v>169</v>
      </c>
      <c r="J1731" s="5" t="s">
        <v>262</v>
      </c>
      <c r="K1731" s="8">
        <f>1</f>
        <v>1</v>
      </c>
      <c r="L1731" s="6" t="s">
        <v>242</v>
      </c>
      <c r="M1731" s="5" t="s">
        <v>267</v>
      </c>
      <c r="N1731" s="5" t="s">
        <v>265</v>
      </c>
      <c r="O1731" s="5" t="s">
        <v>238</v>
      </c>
      <c r="P1731" s="5" t="s">
        <v>238</v>
      </c>
      <c r="Q1731" s="5" t="s">
        <v>268</v>
      </c>
      <c r="R1731" s="5" t="s">
        <v>270</v>
      </c>
      <c r="S1731" s="5" t="s">
        <v>238</v>
      </c>
      <c r="V1731" s="5" t="s">
        <v>238</v>
      </c>
      <c r="X1731" s="6" t="s">
        <v>238</v>
      </c>
      <c r="AA1731" s="6" t="s">
        <v>243</v>
      </c>
      <c r="AB1731" s="5" t="s">
        <v>238</v>
      </c>
      <c r="AC1731" s="5" t="s">
        <v>244</v>
      </c>
      <c r="AD1731" s="5" t="s">
        <v>245</v>
      </c>
      <c r="AT1731" s="5" t="s">
        <v>246</v>
      </c>
      <c r="AU1731" s="5" t="s">
        <v>238</v>
      </c>
      <c r="AV1731" s="5" t="s">
        <v>247</v>
      </c>
      <c r="AW1731" s="5" t="s">
        <v>238</v>
      </c>
      <c r="AX1731" s="5" t="s">
        <v>249</v>
      </c>
      <c r="AY1731" s="5" t="s">
        <v>238</v>
      </c>
      <c r="BA1731" s="5" t="s">
        <v>238</v>
      </c>
      <c r="BC1731" s="5" t="s">
        <v>250</v>
      </c>
      <c r="BD1731" s="6" t="s">
        <v>243</v>
      </c>
      <c r="BE1731" s="5" t="s">
        <v>251</v>
      </c>
      <c r="BF1731" s="5" t="s">
        <v>252</v>
      </c>
      <c r="BG1731" s="5" t="s">
        <v>238</v>
      </c>
      <c r="BH1731" s="7">
        <f>0</f>
        <v>0</v>
      </c>
      <c r="BI1731" s="8">
        <f>0</f>
        <v>0</v>
      </c>
      <c r="BJ1731" s="5" t="s">
        <v>253</v>
      </c>
      <c r="BK1731" s="5" t="s">
        <v>254</v>
      </c>
      <c r="BY1731" s="5" t="s">
        <v>238</v>
      </c>
      <c r="BZ1731" s="5" t="s">
        <v>238</v>
      </c>
      <c r="CD1731" s="5" t="s">
        <v>273</v>
      </c>
      <c r="CE1731" s="5" t="s">
        <v>256</v>
      </c>
      <c r="CF1731" s="5" t="s">
        <v>238</v>
      </c>
      <c r="CI1731" s="6" t="s">
        <v>257</v>
      </c>
      <c r="CJ1731" s="5" t="s">
        <v>238</v>
      </c>
      <c r="CK1731" s="5" t="s">
        <v>258</v>
      </c>
      <c r="CL1731" s="5" t="s">
        <v>238</v>
      </c>
      <c r="CM1731" s="5" t="s">
        <v>238</v>
      </c>
      <c r="CN1731" s="5">
        <v>0</v>
      </c>
      <c r="CO1731" s="5" t="s">
        <v>259</v>
      </c>
      <c r="CP1731" s="5" t="s">
        <v>260</v>
      </c>
      <c r="CQ1731" s="5" t="s">
        <v>260</v>
      </c>
      <c r="CR1731" s="5" t="s">
        <v>261</v>
      </c>
      <c r="CU1731" s="8">
        <f>1</f>
        <v>1</v>
      </c>
      <c r="CV1731" s="8">
        <f>0</f>
        <v>0</v>
      </c>
      <c r="CX1731" s="8">
        <f>0</f>
        <v>0</v>
      </c>
      <c r="CY1731" s="8">
        <f>1</f>
        <v>1</v>
      </c>
      <c r="DA1731" s="5" t="s">
        <v>673</v>
      </c>
      <c r="DB1731" s="5" t="s">
        <v>238</v>
      </c>
      <c r="DD1731" s="5" t="s">
        <v>673</v>
      </c>
      <c r="DE1731" s="8">
        <f>169</f>
        <v>169</v>
      </c>
      <c r="DG1731" s="5" t="s">
        <v>238</v>
      </c>
      <c r="DH1731" s="5" t="s">
        <v>238</v>
      </c>
      <c r="DI1731" s="5" t="s">
        <v>238</v>
      </c>
      <c r="DJ1731" s="5" t="s">
        <v>238</v>
      </c>
      <c r="DN1731" s="5" t="s">
        <v>238</v>
      </c>
      <c r="DO1731" s="5" t="s">
        <v>238</v>
      </c>
      <c r="DP1731" s="5" t="s">
        <v>238</v>
      </c>
      <c r="DQ1731" s="5" t="s">
        <v>238</v>
      </c>
      <c r="DT1731" s="5" t="s">
        <v>2039</v>
      </c>
      <c r="DU1731" s="5" t="s">
        <v>896</v>
      </c>
      <c r="HM1731" s="5" t="s">
        <v>264</v>
      </c>
    </row>
    <row r="1732" spans="1:221" x14ac:dyDescent="0.4">
      <c r="A1732" s="5">
        <v>3407</v>
      </c>
      <c r="B1732" s="5">
        <v>1</v>
      </c>
      <c r="C1732" s="5">
        <v>1</v>
      </c>
      <c r="D1732" s="5" t="s">
        <v>2037</v>
      </c>
      <c r="E1732" s="5" t="s">
        <v>271</v>
      </c>
      <c r="F1732" s="5" t="s">
        <v>248</v>
      </c>
      <c r="G1732" s="5" t="s">
        <v>1969</v>
      </c>
      <c r="H1732" s="6" t="s">
        <v>3501</v>
      </c>
      <c r="I1732" s="7">
        <f>153</f>
        <v>153</v>
      </c>
      <c r="J1732" s="5" t="s">
        <v>262</v>
      </c>
      <c r="K1732" s="8">
        <f>1</f>
        <v>1</v>
      </c>
      <c r="L1732" s="6" t="s">
        <v>242</v>
      </c>
      <c r="M1732" s="5" t="s">
        <v>267</v>
      </c>
      <c r="N1732" s="5" t="s">
        <v>265</v>
      </c>
      <c r="O1732" s="5" t="s">
        <v>238</v>
      </c>
      <c r="P1732" s="5" t="s">
        <v>238</v>
      </c>
      <c r="Q1732" s="5" t="s">
        <v>268</v>
      </c>
      <c r="R1732" s="5" t="s">
        <v>270</v>
      </c>
      <c r="S1732" s="5" t="s">
        <v>238</v>
      </c>
      <c r="V1732" s="5" t="s">
        <v>238</v>
      </c>
      <c r="X1732" s="6" t="s">
        <v>238</v>
      </c>
      <c r="AA1732" s="6" t="s">
        <v>243</v>
      </c>
      <c r="AB1732" s="5" t="s">
        <v>238</v>
      </c>
      <c r="AC1732" s="5" t="s">
        <v>244</v>
      </c>
      <c r="AD1732" s="5" t="s">
        <v>245</v>
      </c>
      <c r="AT1732" s="5" t="s">
        <v>246</v>
      </c>
      <c r="AU1732" s="5" t="s">
        <v>238</v>
      </c>
      <c r="AV1732" s="5" t="s">
        <v>247</v>
      </c>
      <c r="AW1732" s="5" t="s">
        <v>238</v>
      </c>
      <c r="AX1732" s="5" t="s">
        <v>249</v>
      </c>
      <c r="AY1732" s="5" t="s">
        <v>238</v>
      </c>
      <c r="BA1732" s="5" t="s">
        <v>238</v>
      </c>
      <c r="BC1732" s="5" t="s">
        <v>250</v>
      </c>
      <c r="BD1732" s="6" t="s">
        <v>243</v>
      </c>
      <c r="BE1732" s="5" t="s">
        <v>251</v>
      </c>
      <c r="BF1732" s="5" t="s">
        <v>252</v>
      </c>
      <c r="BG1732" s="5" t="s">
        <v>238</v>
      </c>
      <c r="BH1732" s="7">
        <f>0</f>
        <v>0</v>
      </c>
      <c r="BI1732" s="8">
        <f>0</f>
        <v>0</v>
      </c>
      <c r="BJ1732" s="5" t="s">
        <v>253</v>
      </c>
      <c r="BK1732" s="5" t="s">
        <v>254</v>
      </c>
      <c r="BY1732" s="5" t="s">
        <v>238</v>
      </c>
      <c r="BZ1732" s="5" t="s">
        <v>238</v>
      </c>
      <c r="CD1732" s="5" t="s">
        <v>273</v>
      </c>
      <c r="CE1732" s="5" t="s">
        <v>256</v>
      </c>
      <c r="CF1732" s="5" t="s">
        <v>238</v>
      </c>
      <c r="CI1732" s="6" t="s">
        <v>257</v>
      </c>
      <c r="CJ1732" s="5" t="s">
        <v>238</v>
      </c>
      <c r="CK1732" s="5" t="s">
        <v>258</v>
      </c>
      <c r="CL1732" s="5" t="s">
        <v>238</v>
      </c>
      <c r="CM1732" s="5" t="s">
        <v>238</v>
      </c>
      <c r="CN1732" s="5">
        <v>0</v>
      </c>
      <c r="CO1732" s="5" t="s">
        <v>259</v>
      </c>
      <c r="CP1732" s="5" t="s">
        <v>260</v>
      </c>
      <c r="CQ1732" s="5" t="s">
        <v>260</v>
      </c>
      <c r="CR1732" s="5" t="s">
        <v>261</v>
      </c>
      <c r="CU1732" s="8">
        <f>1</f>
        <v>1</v>
      </c>
      <c r="CV1732" s="8">
        <f>0</f>
        <v>0</v>
      </c>
      <c r="CX1732" s="8">
        <f>0</f>
        <v>0</v>
      </c>
      <c r="CY1732" s="8">
        <f>1</f>
        <v>1</v>
      </c>
      <c r="DA1732" s="5" t="s">
        <v>673</v>
      </c>
      <c r="DB1732" s="5" t="s">
        <v>238</v>
      </c>
      <c r="DD1732" s="5" t="s">
        <v>673</v>
      </c>
      <c r="DE1732" s="8">
        <f>153</f>
        <v>153</v>
      </c>
      <c r="DG1732" s="5" t="s">
        <v>238</v>
      </c>
      <c r="DH1732" s="5" t="s">
        <v>238</v>
      </c>
      <c r="DI1732" s="5" t="s">
        <v>238</v>
      </c>
      <c r="DJ1732" s="5" t="s">
        <v>238</v>
      </c>
      <c r="DN1732" s="5" t="s">
        <v>238</v>
      </c>
      <c r="DO1732" s="5" t="s">
        <v>238</v>
      </c>
      <c r="DP1732" s="5" t="s">
        <v>238</v>
      </c>
      <c r="DQ1732" s="5" t="s">
        <v>238</v>
      </c>
      <c r="DT1732" s="5" t="s">
        <v>2039</v>
      </c>
      <c r="DU1732" s="5" t="s">
        <v>902</v>
      </c>
      <c r="HM1732" s="5" t="s">
        <v>264</v>
      </c>
    </row>
    <row r="1733" spans="1:221" x14ac:dyDescent="0.4">
      <c r="A1733" s="5">
        <v>3408</v>
      </c>
      <c r="B1733" s="5">
        <v>1</v>
      </c>
      <c r="C1733" s="5">
        <v>1</v>
      </c>
      <c r="D1733" s="5" t="s">
        <v>2037</v>
      </c>
      <c r="E1733" s="5" t="s">
        <v>271</v>
      </c>
      <c r="F1733" s="5" t="s">
        <v>248</v>
      </c>
      <c r="G1733" s="5" t="s">
        <v>1969</v>
      </c>
      <c r="H1733" s="6" t="s">
        <v>3507</v>
      </c>
      <c r="I1733" s="7">
        <f>121</f>
        <v>121</v>
      </c>
      <c r="J1733" s="5" t="s">
        <v>262</v>
      </c>
      <c r="K1733" s="8">
        <f>1</f>
        <v>1</v>
      </c>
      <c r="L1733" s="6" t="s">
        <v>242</v>
      </c>
      <c r="M1733" s="5" t="s">
        <v>267</v>
      </c>
      <c r="N1733" s="5" t="s">
        <v>265</v>
      </c>
      <c r="O1733" s="5" t="s">
        <v>238</v>
      </c>
      <c r="P1733" s="5" t="s">
        <v>238</v>
      </c>
      <c r="Q1733" s="5" t="s">
        <v>268</v>
      </c>
      <c r="R1733" s="5" t="s">
        <v>270</v>
      </c>
      <c r="S1733" s="5" t="s">
        <v>238</v>
      </c>
      <c r="V1733" s="5" t="s">
        <v>238</v>
      </c>
      <c r="X1733" s="6" t="s">
        <v>238</v>
      </c>
      <c r="AA1733" s="6" t="s">
        <v>243</v>
      </c>
      <c r="AB1733" s="5" t="s">
        <v>238</v>
      </c>
      <c r="AC1733" s="5" t="s">
        <v>244</v>
      </c>
      <c r="AD1733" s="5" t="s">
        <v>245</v>
      </c>
      <c r="AT1733" s="5" t="s">
        <v>246</v>
      </c>
      <c r="AU1733" s="5" t="s">
        <v>238</v>
      </c>
      <c r="AV1733" s="5" t="s">
        <v>247</v>
      </c>
      <c r="AW1733" s="5" t="s">
        <v>238</v>
      </c>
      <c r="AX1733" s="5" t="s">
        <v>249</v>
      </c>
      <c r="AY1733" s="5" t="s">
        <v>238</v>
      </c>
      <c r="BA1733" s="5" t="s">
        <v>238</v>
      </c>
      <c r="BC1733" s="5" t="s">
        <v>250</v>
      </c>
      <c r="BD1733" s="6" t="s">
        <v>243</v>
      </c>
      <c r="BE1733" s="5" t="s">
        <v>251</v>
      </c>
      <c r="BF1733" s="5" t="s">
        <v>252</v>
      </c>
      <c r="BG1733" s="5" t="s">
        <v>238</v>
      </c>
      <c r="BH1733" s="7">
        <f>0</f>
        <v>0</v>
      </c>
      <c r="BI1733" s="8">
        <f>0</f>
        <v>0</v>
      </c>
      <c r="BJ1733" s="5" t="s">
        <v>253</v>
      </c>
      <c r="BK1733" s="5" t="s">
        <v>254</v>
      </c>
      <c r="BY1733" s="5" t="s">
        <v>238</v>
      </c>
      <c r="BZ1733" s="5" t="s">
        <v>238</v>
      </c>
      <c r="CD1733" s="5" t="s">
        <v>273</v>
      </c>
      <c r="CE1733" s="5" t="s">
        <v>256</v>
      </c>
      <c r="CF1733" s="5" t="s">
        <v>238</v>
      </c>
      <c r="CI1733" s="6" t="s">
        <v>257</v>
      </c>
      <c r="CJ1733" s="5" t="s">
        <v>238</v>
      </c>
      <c r="CK1733" s="5" t="s">
        <v>258</v>
      </c>
      <c r="CL1733" s="5" t="s">
        <v>238</v>
      </c>
      <c r="CM1733" s="5" t="s">
        <v>238</v>
      </c>
      <c r="CN1733" s="5">
        <v>0</v>
      </c>
      <c r="CO1733" s="5" t="s">
        <v>259</v>
      </c>
      <c r="CP1733" s="5" t="s">
        <v>260</v>
      </c>
      <c r="CQ1733" s="5" t="s">
        <v>260</v>
      </c>
      <c r="CR1733" s="5" t="s">
        <v>261</v>
      </c>
      <c r="CU1733" s="8">
        <f>1</f>
        <v>1</v>
      </c>
      <c r="CV1733" s="8">
        <f>0</f>
        <v>0</v>
      </c>
      <c r="CX1733" s="8">
        <f>0</f>
        <v>0</v>
      </c>
      <c r="CY1733" s="8">
        <f>1</f>
        <v>1</v>
      </c>
      <c r="DA1733" s="5" t="s">
        <v>673</v>
      </c>
      <c r="DB1733" s="5" t="s">
        <v>238</v>
      </c>
      <c r="DD1733" s="5" t="s">
        <v>673</v>
      </c>
      <c r="DE1733" s="8">
        <f>121</f>
        <v>121</v>
      </c>
      <c r="DG1733" s="5" t="s">
        <v>238</v>
      </c>
      <c r="DH1733" s="5" t="s">
        <v>238</v>
      </c>
      <c r="DI1733" s="5" t="s">
        <v>238</v>
      </c>
      <c r="DJ1733" s="5" t="s">
        <v>238</v>
      </c>
      <c r="DN1733" s="5" t="s">
        <v>238</v>
      </c>
      <c r="DO1733" s="5" t="s">
        <v>238</v>
      </c>
      <c r="DP1733" s="5" t="s">
        <v>238</v>
      </c>
      <c r="DQ1733" s="5" t="s">
        <v>238</v>
      </c>
      <c r="DT1733" s="5" t="s">
        <v>2039</v>
      </c>
      <c r="DU1733" s="5" t="s">
        <v>904</v>
      </c>
      <c r="HM1733" s="5" t="s">
        <v>264</v>
      </c>
    </row>
    <row r="1734" spans="1:221" x14ac:dyDescent="0.4">
      <c r="A1734" s="5">
        <v>3409</v>
      </c>
      <c r="B1734" s="5">
        <v>1</v>
      </c>
      <c r="C1734" s="5">
        <v>1</v>
      </c>
      <c r="D1734" s="5" t="s">
        <v>2037</v>
      </c>
      <c r="E1734" s="5" t="s">
        <v>271</v>
      </c>
      <c r="F1734" s="5" t="s">
        <v>248</v>
      </c>
      <c r="G1734" s="5" t="s">
        <v>1969</v>
      </c>
      <c r="H1734" s="6" t="s">
        <v>3513</v>
      </c>
      <c r="I1734" s="7">
        <f>730</f>
        <v>730</v>
      </c>
      <c r="J1734" s="5" t="s">
        <v>262</v>
      </c>
      <c r="K1734" s="8">
        <f>1</f>
        <v>1</v>
      </c>
      <c r="L1734" s="6" t="s">
        <v>242</v>
      </c>
      <c r="M1734" s="5" t="s">
        <v>267</v>
      </c>
      <c r="N1734" s="5" t="s">
        <v>265</v>
      </c>
      <c r="O1734" s="5" t="s">
        <v>238</v>
      </c>
      <c r="P1734" s="5" t="s">
        <v>238</v>
      </c>
      <c r="Q1734" s="5" t="s">
        <v>268</v>
      </c>
      <c r="R1734" s="5" t="s">
        <v>270</v>
      </c>
      <c r="S1734" s="5" t="s">
        <v>238</v>
      </c>
      <c r="V1734" s="5" t="s">
        <v>238</v>
      </c>
      <c r="X1734" s="6" t="s">
        <v>238</v>
      </c>
      <c r="AA1734" s="6" t="s">
        <v>243</v>
      </c>
      <c r="AB1734" s="5" t="s">
        <v>238</v>
      </c>
      <c r="AC1734" s="5" t="s">
        <v>244</v>
      </c>
      <c r="AD1734" s="5" t="s">
        <v>245</v>
      </c>
      <c r="AT1734" s="5" t="s">
        <v>246</v>
      </c>
      <c r="AU1734" s="5" t="s">
        <v>238</v>
      </c>
      <c r="AV1734" s="5" t="s">
        <v>247</v>
      </c>
      <c r="AW1734" s="5" t="s">
        <v>238</v>
      </c>
      <c r="AX1734" s="5" t="s">
        <v>249</v>
      </c>
      <c r="AY1734" s="5" t="s">
        <v>238</v>
      </c>
      <c r="BA1734" s="5" t="s">
        <v>238</v>
      </c>
      <c r="BC1734" s="5" t="s">
        <v>250</v>
      </c>
      <c r="BD1734" s="6" t="s">
        <v>243</v>
      </c>
      <c r="BE1734" s="5" t="s">
        <v>251</v>
      </c>
      <c r="BF1734" s="5" t="s">
        <v>252</v>
      </c>
      <c r="BG1734" s="5" t="s">
        <v>238</v>
      </c>
      <c r="BH1734" s="7">
        <f>0</f>
        <v>0</v>
      </c>
      <c r="BI1734" s="8">
        <f>0</f>
        <v>0</v>
      </c>
      <c r="BJ1734" s="5" t="s">
        <v>253</v>
      </c>
      <c r="BK1734" s="5" t="s">
        <v>254</v>
      </c>
      <c r="BY1734" s="5" t="s">
        <v>238</v>
      </c>
      <c r="BZ1734" s="5" t="s">
        <v>238</v>
      </c>
      <c r="CD1734" s="5" t="s">
        <v>273</v>
      </c>
      <c r="CE1734" s="5" t="s">
        <v>256</v>
      </c>
      <c r="CF1734" s="5" t="s">
        <v>238</v>
      </c>
      <c r="CI1734" s="6" t="s">
        <v>257</v>
      </c>
      <c r="CJ1734" s="5" t="s">
        <v>238</v>
      </c>
      <c r="CK1734" s="5" t="s">
        <v>258</v>
      </c>
      <c r="CL1734" s="5" t="s">
        <v>238</v>
      </c>
      <c r="CM1734" s="5" t="s">
        <v>238</v>
      </c>
      <c r="CN1734" s="5">
        <v>0</v>
      </c>
      <c r="CO1734" s="5" t="s">
        <v>259</v>
      </c>
      <c r="CP1734" s="5" t="s">
        <v>260</v>
      </c>
      <c r="CQ1734" s="5" t="s">
        <v>260</v>
      </c>
      <c r="CR1734" s="5" t="s">
        <v>261</v>
      </c>
      <c r="CU1734" s="8">
        <f>1</f>
        <v>1</v>
      </c>
      <c r="CV1734" s="8">
        <f>0</f>
        <v>0</v>
      </c>
      <c r="CX1734" s="8">
        <f>0</f>
        <v>0</v>
      </c>
      <c r="CY1734" s="8">
        <f>1</f>
        <v>1</v>
      </c>
      <c r="DA1734" s="5" t="s">
        <v>673</v>
      </c>
      <c r="DB1734" s="5" t="s">
        <v>238</v>
      </c>
      <c r="DD1734" s="5" t="s">
        <v>673</v>
      </c>
      <c r="DE1734" s="8">
        <f>730</f>
        <v>730</v>
      </c>
      <c r="DG1734" s="5" t="s">
        <v>238</v>
      </c>
      <c r="DH1734" s="5" t="s">
        <v>238</v>
      </c>
      <c r="DI1734" s="5" t="s">
        <v>238</v>
      </c>
      <c r="DJ1734" s="5" t="s">
        <v>238</v>
      </c>
      <c r="DN1734" s="5" t="s">
        <v>238</v>
      </c>
      <c r="DO1734" s="5" t="s">
        <v>238</v>
      </c>
      <c r="DP1734" s="5" t="s">
        <v>238</v>
      </c>
      <c r="DQ1734" s="5" t="s">
        <v>238</v>
      </c>
      <c r="DT1734" s="5" t="s">
        <v>2039</v>
      </c>
      <c r="DU1734" s="5" t="s">
        <v>915</v>
      </c>
      <c r="HM1734" s="5" t="s">
        <v>264</v>
      </c>
    </row>
    <row r="1735" spans="1:221" x14ac:dyDescent="0.4">
      <c r="A1735" s="5">
        <v>3410</v>
      </c>
      <c r="B1735" s="5">
        <v>1</v>
      </c>
      <c r="C1735" s="5">
        <v>1</v>
      </c>
      <c r="D1735" s="5" t="s">
        <v>2037</v>
      </c>
      <c r="E1735" s="5" t="s">
        <v>271</v>
      </c>
      <c r="F1735" s="5" t="s">
        <v>248</v>
      </c>
      <c r="G1735" s="5" t="s">
        <v>1969</v>
      </c>
      <c r="H1735" s="6" t="s">
        <v>3520</v>
      </c>
      <c r="I1735" s="7">
        <f>3411</f>
        <v>3411</v>
      </c>
      <c r="J1735" s="5" t="s">
        <v>262</v>
      </c>
      <c r="K1735" s="8">
        <f>1</f>
        <v>1</v>
      </c>
      <c r="L1735" s="6" t="s">
        <v>242</v>
      </c>
      <c r="M1735" s="5" t="s">
        <v>267</v>
      </c>
      <c r="N1735" s="5" t="s">
        <v>265</v>
      </c>
      <c r="O1735" s="5" t="s">
        <v>238</v>
      </c>
      <c r="P1735" s="5" t="s">
        <v>238</v>
      </c>
      <c r="Q1735" s="5" t="s">
        <v>268</v>
      </c>
      <c r="R1735" s="5" t="s">
        <v>270</v>
      </c>
      <c r="S1735" s="5" t="s">
        <v>238</v>
      </c>
      <c r="V1735" s="5" t="s">
        <v>238</v>
      </c>
      <c r="X1735" s="6" t="s">
        <v>238</v>
      </c>
      <c r="AA1735" s="6" t="s">
        <v>243</v>
      </c>
      <c r="AB1735" s="5" t="s">
        <v>238</v>
      </c>
      <c r="AC1735" s="5" t="s">
        <v>244</v>
      </c>
      <c r="AD1735" s="5" t="s">
        <v>245</v>
      </c>
      <c r="AT1735" s="5" t="s">
        <v>246</v>
      </c>
      <c r="AU1735" s="5" t="s">
        <v>238</v>
      </c>
      <c r="AV1735" s="5" t="s">
        <v>247</v>
      </c>
      <c r="AW1735" s="5" t="s">
        <v>238</v>
      </c>
      <c r="AX1735" s="5" t="s">
        <v>249</v>
      </c>
      <c r="AY1735" s="5" t="s">
        <v>238</v>
      </c>
      <c r="BA1735" s="5" t="s">
        <v>238</v>
      </c>
      <c r="BC1735" s="5" t="s">
        <v>250</v>
      </c>
      <c r="BD1735" s="6" t="s">
        <v>243</v>
      </c>
      <c r="BE1735" s="5" t="s">
        <v>251</v>
      </c>
      <c r="BF1735" s="5" t="s">
        <v>252</v>
      </c>
      <c r="BG1735" s="5" t="s">
        <v>238</v>
      </c>
      <c r="BH1735" s="7">
        <f>0</f>
        <v>0</v>
      </c>
      <c r="BI1735" s="8">
        <f>0</f>
        <v>0</v>
      </c>
      <c r="BJ1735" s="5" t="s">
        <v>253</v>
      </c>
      <c r="BK1735" s="5" t="s">
        <v>254</v>
      </c>
      <c r="BY1735" s="5" t="s">
        <v>238</v>
      </c>
      <c r="BZ1735" s="5" t="s">
        <v>238</v>
      </c>
      <c r="CD1735" s="5" t="s">
        <v>273</v>
      </c>
      <c r="CE1735" s="5" t="s">
        <v>256</v>
      </c>
      <c r="CF1735" s="5" t="s">
        <v>238</v>
      </c>
      <c r="CI1735" s="6" t="s">
        <v>257</v>
      </c>
      <c r="CJ1735" s="5" t="s">
        <v>238</v>
      </c>
      <c r="CK1735" s="5" t="s">
        <v>258</v>
      </c>
      <c r="CL1735" s="5" t="s">
        <v>238</v>
      </c>
      <c r="CM1735" s="5" t="s">
        <v>238</v>
      </c>
      <c r="CN1735" s="5">
        <v>0</v>
      </c>
      <c r="CO1735" s="5" t="s">
        <v>259</v>
      </c>
      <c r="CP1735" s="5" t="s">
        <v>260</v>
      </c>
      <c r="CQ1735" s="5" t="s">
        <v>260</v>
      </c>
      <c r="CR1735" s="5" t="s">
        <v>261</v>
      </c>
      <c r="CU1735" s="8">
        <f>1</f>
        <v>1</v>
      </c>
      <c r="CV1735" s="8">
        <f>0</f>
        <v>0</v>
      </c>
      <c r="CX1735" s="8">
        <f>0</f>
        <v>0</v>
      </c>
      <c r="CY1735" s="8">
        <f>1</f>
        <v>1</v>
      </c>
      <c r="DA1735" s="5" t="s">
        <v>673</v>
      </c>
      <c r="DB1735" s="5" t="s">
        <v>238</v>
      </c>
      <c r="DD1735" s="5" t="s">
        <v>673</v>
      </c>
      <c r="DE1735" s="8">
        <f>3411</f>
        <v>3411</v>
      </c>
      <c r="DG1735" s="5" t="s">
        <v>238</v>
      </c>
      <c r="DH1735" s="5" t="s">
        <v>238</v>
      </c>
      <c r="DI1735" s="5" t="s">
        <v>238</v>
      </c>
      <c r="DJ1735" s="5" t="s">
        <v>238</v>
      </c>
      <c r="DN1735" s="5" t="s">
        <v>238</v>
      </c>
      <c r="DO1735" s="5" t="s">
        <v>238</v>
      </c>
      <c r="DP1735" s="5" t="s">
        <v>238</v>
      </c>
      <c r="DQ1735" s="5" t="s">
        <v>238</v>
      </c>
      <c r="DT1735" s="5" t="s">
        <v>2039</v>
      </c>
      <c r="DU1735" s="5" t="s">
        <v>922</v>
      </c>
      <c r="HM1735" s="5" t="s">
        <v>264</v>
      </c>
    </row>
    <row r="1736" spans="1:221" x14ac:dyDescent="0.4">
      <c r="A1736" s="5">
        <v>3411</v>
      </c>
      <c r="B1736" s="5">
        <v>1</v>
      </c>
      <c r="C1736" s="5">
        <v>1</v>
      </c>
      <c r="D1736" s="5" t="s">
        <v>2037</v>
      </c>
      <c r="E1736" s="5" t="s">
        <v>271</v>
      </c>
      <c r="F1736" s="5" t="s">
        <v>248</v>
      </c>
      <c r="G1736" s="5" t="s">
        <v>1969</v>
      </c>
      <c r="H1736" s="6" t="s">
        <v>3526</v>
      </c>
      <c r="I1736" s="7">
        <f>2841</f>
        <v>2841</v>
      </c>
      <c r="J1736" s="5" t="s">
        <v>262</v>
      </c>
      <c r="K1736" s="8">
        <f>1</f>
        <v>1</v>
      </c>
      <c r="L1736" s="6" t="s">
        <v>242</v>
      </c>
      <c r="M1736" s="5" t="s">
        <v>267</v>
      </c>
      <c r="N1736" s="5" t="s">
        <v>265</v>
      </c>
      <c r="O1736" s="5" t="s">
        <v>238</v>
      </c>
      <c r="P1736" s="5" t="s">
        <v>238</v>
      </c>
      <c r="Q1736" s="5" t="s">
        <v>268</v>
      </c>
      <c r="R1736" s="5" t="s">
        <v>270</v>
      </c>
      <c r="S1736" s="5" t="s">
        <v>238</v>
      </c>
      <c r="V1736" s="5" t="s">
        <v>238</v>
      </c>
      <c r="X1736" s="6" t="s">
        <v>238</v>
      </c>
      <c r="AA1736" s="6" t="s">
        <v>243</v>
      </c>
      <c r="AB1736" s="5" t="s">
        <v>238</v>
      </c>
      <c r="AC1736" s="5" t="s">
        <v>244</v>
      </c>
      <c r="AD1736" s="5" t="s">
        <v>245</v>
      </c>
      <c r="AT1736" s="5" t="s">
        <v>246</v>
      </c>
      <c r="AU1736" s="5" t="s">
        <v>238</v>
      </c>
      <c r="AV1736" s="5" t="s">
        <v>247</v>
      </c>
      <c r="AW1736" s="5" t="s">
        <v>238</v>
      </c>
      <c r="AX1736" s="5" t="s">
        <v>249</v>
      </c>
      <c r="AY1736" s="5" t="s">
        <v>238</v>
      </c>
      <c r="BA1736" s="5" t="s">
        <v>238</v>
      </c>
      <c r="BC1736" s="5" t="s">
        <v>250</v>
      </c>
      <c r="BD1736" s="6" t="s">
        <v>243</v>
      </c>
      <c r="BE1736" s="5" t="s">
        <v>251</v>
      </c>
      <c r="BF1736" s="5" t="s">
        <v>252</v>
      </c>
      <c r="BG1736" s="5" t="s">
        <v>238</v>
      </c>
      <c r="BH1736" s="7">
        <f>0</f>
        <v>0</v>
      </c>
      <c r="BI1736" s="8">
        <f>0</f>
        <v>0</v>
      </c>
      <c r="BJ1736" s="5" t="s">
        <v>253</v>
      </c>
      <c r="BK1736" s="5" t="s">
        <v>254</v>
      </c>
      <c r="BY1736" s="5" t="s">
        <v>238</v>
      </c>
      <c r="BZ1736" s="5" t="s">
        <v>238</v>
      </c>
      <c r="CD1736" s="5" t="s">
        <v>273</v>
      </c>
      <c r="CE1736" s="5" t="s">
        <v>256</v>
      </c>
      <c r="CF1736" s="5" t="s">
        <v>238</v>
      </c>
      <c r="CI1736" s="6" t="s">
        <v>257</v>
      </c>
      <c r="CJ1736" s="5" t="s">
        <v>238</v>
      </c>
      <c r="CK1736" s="5" t="s">
        <v>258</v>
      </c>
      <c r="CL1736" s="5" t="s">
        <v>238</v>
      </c>
      <c r="CM1736" s="5" t="s">
        <v>238</v>
      </c>
      <c r="CN1736" s="5">
        <v>0</v>
      </c>
      <c r="CO1736" s="5" t="s">
        <v>259</v>
      </c>
      <c r="CP1736" s="5" t="s">
        <v>260</v>
      </c>
      <c r="CQ1736" s="5" t="s">
        <v>260</v>
      </c>
      <c r="CR1736" s="5" t="s">
        <v>261</v>
      </c>
      <c r="CU1736" s="8">
        <f>1</f>
        <v>1</v>
      </c>
      <c r="CV1736" s="8">
        <f>0</f>
        <v>0</v>
      </c>
      <c r="CX1736" s="8">
        <f>0</f>
        <v>0</v>
      </c>
      <c r="CY1736" s="8">
        <f>1</f>
        <v>1</v>
      </c>
      <c r="DA1736" s="5" t="s">
        <v>673</v>
      </c>
      <c r="DB1736" s="5" t="s">
        <v>238</v>
      </c>
      <c r="DD1736" s="5" t="s">
        <v>673</v>
      </c>
      <c r="DE1736" s="8">
        <f>2841</f>
        <v>2841</v>
      </c>
      <c r="DG1736" s="5" t="s">
        <v>238</v>
      </c>
      <c r="DH1736" s="5" t="s">
        <v>238</v>
      </c>
      <c r="DI1736" s="5" t="s">
        <v>238</v>
      </c>
      <c r="DJ1736" s="5" t="s">
        <v>238</v>
      </c>
      <c r="DN1736" s="5" t="s">
        <v>238</v>
      </c>
      <c r="DO1736" s="5" t="s">
        <v>238</v>
      </c>
      <c r="DP1736" s="5" t="s">
        <v>238</v>
      </c>
      <c r="DQ1736" s="5" t="s">
        <v>238</v>
      </c>
      <c r="DT1736" s="5" t="s">
        <v>2039</v>
      </c>
      <c r="DU1736" s="5" t="s">
        <v>934</v>
      </c>
      <c r="HM1736" s="5" t="s">
        <v>264</v>
      </c>
    </row>
    <row r="1737" spans="1:221" x14ac:dyDescent="0.4">
      <c r="A1737" s="5">
        <v>3412</v>
      </c>
      <c r="B1737" s="5">
        <v>1</v>
      </c>
      <c r="C1737" s="5">
        <v>1</v>
      </c>
      <c r="D1737" s="5" t="s">
        <v>2037</v>
      </c>
      <c r="E1737" s="5" t="s">
        <v>271</v>
      </c>
      <c r="F1737" s="5" t="s">
        <v>248</v>
      </c>
      <c r="G1737" s="5" t="s">
        <v>1969</v>
      </c>
      <c r="H1737" s="6" t="s">
        <v>3509</v>
      </c>
      <c r="I1737" s="7">
        <f>1200</f>
        <v>1200</v>
      </c>
      <c r="J1737" s="5" t="s">
        <v>262</v>
      </c>
      <c r="K1737" s="8">
        <f>1</f>
        <v>1</v>
      </c>
      <c r="L1737" s="6" t="s">
        <v>242</v>
      </c>
      <c r="M1737" s="5" t="s">
        <v>267</v>
      </c>
      <c r="N1737" s="5" t="s">
        <v>265</v>
      </c>
      <c r="O1737" s="5" t="s">
        <v>238</v>
      </c>
      <c r="P1737" s="5" t="s">
        <v>238</v>
      </c>
      <c r="Q1737" s="5" t="s">
        <v>268</v>
      </c>
      <c r="R1737" s="5" t="s">
        <v>270</v>
      </c>
      <c r="S1737" s="5" t="s">
        <v>238</v>
      </c>
      <c r="V1737" s="5" t="s">
        <v>238</v>
      </c>
      <c r="X1737" s="6" t="s">
        <v>238</v>
      </c>
      <c r="AA1737" s="6" t="s">
        <v>243</v>
      </c>
      <c r="AB1737" s="5" t="s">
        <v>238</v>
      </c>
      <c r="AC1737" s="5" t="s">
        <v>244</v>
      </c>
      <c r="AD1737" s="5" t="s">
        <v>245</v>
      </c>
      <c r="AT1737" s="5" t="s">
        <v>246</v>
      </c>
      <c r="AU1737" s="5" t="s">
        <v>238</v>
      </c>
      <c r="AV1737" s="5" t="s">
        <v>247</v>
      </c>
      <c r="AW1737" s="5" t="s">
        <v>238</v>
      </c>
      <c r="AX1737" s="5" t="s">
        <v>249</v>
      </c>
      <c r="AY1737" s="5" t="s">
        <v>238</v>
      </c>
      <c r="BA1737" s="5" t="s">
        <v>238</v>
      </c>
      <c r="BC1737" s="5" t="s">
        <v>250</v>
      </c>
      <c r="BD1737" s="6" t="s">
        <v>243</v>
      </c>
      <c r="BE1737" s="5" t="s">
        <v>251</v>
      </c>
      <c r="BF1737" s="5" t="s">
        <v>252</v>
      </c>
      <c r="BG1737" s="5" t="s">
        <v>238</v>
      </c>
      <c r="BH1737" s="7">
        <f>0</f>
        <v>0</v>
      </c>
      <c r="BI1737" s="8">
        <f>0</f>
        <v>0</v>
      </c>
      <c r="BJ1737" s="5" t="s">
        <v>253</v>
      </c>
      <c r="BK1737" s="5" t="s">
        <v>254</v>
      </c>
      <c r="BY1737" s="5" t="s">
        <v>238</v>
      </c>
      <c r="BZ1737" s="5" t="s">
        <v>238</v>
      </c>
      <c r="CD1737" s="5" t="s">
        <v>273</v>
      </c>
      <c r="CE1737" s="5" t="s">
        <v>256</v>
      </c>
      <c r="CF1737" s="5" t="s">
        <v>238</v>
      </c>
      <c r="CI1737" s="6" t="s">
        <v>257</v>
      </c>
      <c r="CJ1737" s="5" t="s">
        <v>238</v>
      </c>
      <c r="CK1737" s="5" t="s">
        <v>258</v>
      </c>
      <c r="CL1737" s="5" t="s">
        <v>238</v>
      </c>
      <c r="CM1737" s="5" t="s">
        <v>238</v>
      </c>
      <c r="CN1737" s="5">
        <v>0</v>
      </c>
      <c r="CO1737" s="5" t="s">
        <v>259</v>
      </c>
      <c r="CP1737" s="5" t="s">
        <v>260</v>
      </c>
      <c r="CQ1737" s="5" t="s">
        <v>260</v>
      </c>
      <c r="CR1737" s="5" t="s">
        <v>261</v>
      </c>
      <c r="CU1737" s="8">
        <f>1</f>
        <v>1</v>
      </c>
      <c r="CV1737" s="8">
        <f>0</f>
        <v>0</v>
      </c>
      <c r="CX1737" s="8">
        <f>0</f>
        <v>0</v>
      </c>
      <c r="CY1737" s="8">
        <f>1</f>
        <v>1</v>
      </c>
      <c r="DA1737" s="5" t="s">
        <v>673</v>
      </c>
      <c r="DB1737" s="5" t="s">
        <v>238</v>
      </c>
      <c r="DD1737" s="5" t="s">
        <v>673</v>
      </c>
      <c r="DE1737" s="8">
        <f>1200</f>
        <v>1200</v>
      </c>
      <c r="DG1737" s="5" t="s">
        <v>238</v>
      </c>
      <c r="DH1737" s="5" t="s">
        <v>238</v>
      </c>
      <c r="DI1737" s="5" t="s">
        <v>238</v>
      </c>
      <c r="DJ1737" s="5" t="s">
        <v>238</v>
      </c>
      <c r="DN1737" s="5" t="s">
        <v>238</v>
      </c>
      <c r="DO1737" s="5" t="s">
        <v>238</v>
      </c>
      <c r="DP1737" s="5" t="s">
        <v>238</v>
      </c>
      <c r="DQ1737" s="5" t="s">
        <v>238</v>
      </c>
      <c r="DT1737" s="5" t="s">
        <v>2039</v>
      </c>
      <c r="DU1737" s="5" t="s">
        <v>936</v>
      </c>
      <c r="HM1737" s="5" t="s">
        <v>264</v>
      </c>
    </row>
    <row r="1738" spans="1:221" x14ac:dyDescent="0.4">
      <c r="A1738" s="5">
        <v>3413</v>
      </c>
      <c r="B1738" s="5">
        <v>1</v>
      </c>
      <c r="C1738" s="5">
        <v>1</v>
      </c>
      <c r="D1738" s="5" t="s">
        <v>2037</v>
      </c>
      <c r="E1738" s="5" t="s">
        <v>271</v>
      </c>
      <c r="F1738" s="5" t="s">
        <v>248</v>
      </c>
      <c r="G1738" s="5" t="s">
        <v>1969</v>
      </c>
      <c r="H1738" s="6" t="s">
        <v>3539</v>
      </c>
      <c r="I1738" s="7">
        <f>1538</f>
        <v>1538</v>
      </c>
      <c r="J1738" s="5" t="s">
        <v>262</v>
      </c>
      <c r="K1738" s="8">
        <f>1</f>
        <v>1</v>
      </c>
      <c r="L1738" s="6" t="s">
        <v>242</v>
      </c>
      <c r="M1738" s="5" t="s">
        <v>267</v>
      </c>
      <c r="N1738" s="5" t="s">
        <v>265</v>
      </c>
      <c r="O1738" s="5" t="s">
        <v>238</v>
      </c>
      <c r="P1738" s="5" t="s">
        <v>238</v>
      </c>
      <c r="Q1738" s="5" t="s">
        <v>268</v>
      </c>
      <c r="R1738" s="5" t="s">
        <v>270</v>
      </c>
      <c r="S1738" s="5" t="s">
        <v>238</v>
      </c>
      <c r="V1738" s="5" t="s">
        <v>238</v>
      </c>
      <c r="X1738" s="6" t="s">
        <v>238</v>
      </c>
      <c r="AA1738" s="6" t="s">
        <v>243</v>
      </c>
      <c r="AB1738" s="5" t="s">
        <v>238</v>
      </c>
      <c r="AC1738" s="5" t="s">
        <v>244</v>
      </c>
      <c r="AD1738" s="5" t="s">
        <v>245</v>
      </c>
      <c r="AT1738" s="5" t="s">
        <v>246</v>
      </c>
      <c r="AU1738" s="5" t="s">
        <v>238</v>
      </c>
      <c r="AV1738" s="5" t="s">
        <v>247</v>
      </c>
      <c r="AW1738" s="5" t="s">
        <v>238</v>
      </c>
      <c r="AX1738" s="5" t="s">
        <v>249</v>
      </c>
      <c r="AY1738" s="5" t="s">
        <v>238</v>
      </c>
      <c r="BA1738" s="5" t="s">
        <v>238</v>
      </c>
      <c r="BC1738" s="5" t="s">
        <v>250</v>
      </c>
      <c r="BD1738" s="6" t="s">
        <v>243</v>
      </c>
      <c r="BE1738" s="5" t="s">
        <v>251</v>
      </c>
      <c r="BF1738" s="5" t="s">
        <v>252</v>
      </c>
      <c r="BG1738" s="5" t="s">
        <v>238</v>
      </c>
      <c r="BH1738" s="7">
        <f>0</f>
        <v>0</v>
      </c>
      <c r="BI1738" s="8">
        <f>0</f>
        <v>0</v>
      </c>
      <c r="BJ1738" s="5" t="s">
        <v>253</v>
      </c>
      <c r="BK1738" s="5" t="s">
        <v>254</v>
      </c>
      <c r="BY1738" s="5" t="s">
        <v>238</v>
      </c>
      <c r="BZ1738" s="5" t="s">
        <v>238</v>
      </c>
      <c r="CD1738" s="5" t="s">
        <v>273</v>
      </c>
      <c r="CE1738" s="5" t="s">
        <v>256</v>
      </c>
      <c r="CF1738" s="5" t="s">
        <v>238</v>
      </c>
      <c r="CI1738" s="6" t="s">
        <v>257</v>
      </c>
      <c r="CJ1738" s="5" t="s">
        <v>238</v>
      </c>
      <c r="CK1738" s="5" t="s">
        <v>258</v>
      </c>
      <c r="CL1738" s="5" t="s">
        <v>238</v>
      </c>
      <c r="CM1738" s="5" t="s">
        <v>238</v>
      </c>
      <c r="CN1738" s="5">
        <v>0</v>
      </c>
      <c r="CO1738" s="5" t="s">
        <v>259</v>
      </c>
      <c r="CP1738" s="5" t="s">
        <v>260</v>
      </c>
      <c r="CQ1738" s="5" t="s">
        <v>260</v>
      </c>
      <c r="CR1738" s="5" t="s">
        <v>261</v>
      </c>
      <c r="CU1738" s="8">
        <f>1</f>
        <v>1</v>
      </c>
      <c r="CV1738" s="8">
        <f>0</f>
        <v>0</v>
      </c>
      <c r="CX1738" s="8">
        <f>0</f>
        <v>0</v>
      </c>
      <c r="CY1738" s="8">
        <f>1</f>
        <v>1</v>
      </c>
      <c r="DA1738" s="5" t="s">
        <v>673</v>
      </c>
      <c r="DB1738" s="5" t="s">
        <v>238</v>
      </c>
      <c r="DD1738" s="5" t="s">
        <v>673</v>
      </c>
      <c r="DE1738" s="8">
        <f>1538</f>
        <v>1538</v>
      </c>
      <c r="DG1738" s="5" t="s">
        <v>238</v>
      </c>
      <c r="DH1738" s="5" t="s">
        <v>238</v>
      </c>
      <c r="DI1738" s="5" t="s">
        <v>238</v>
      </c>
      <c r="DJ1738" s="5" t="s">
        <v>238</v>
      </c>
      <c r="DN1738" s="5" t="s">
        <v>238</v>
      </c>
      <c r="DO1738" s="5" t="s">
        <v>238</v>
      </c>
      <c r="DP1738" s="5" t="s">
        <v>238</v>
      </c>
      <c r="DQ1738" s="5" t="s">
        <v>238</v>
      </c>
      <c r="DT1738" s="5" t="s">
        <v>2039</v>
      </c>
      <c r="DU1738" s="5" t="s">
        <v>940</v>
      </c>
      <c r="HM1738" s="5" t="s">
        <v>264</v>
      </c>
    </row>
    <row r="1739" spans="1:221" x14ac:dyDescent="0.4">
      <c r="A1739" s="5">
        <v>3414</v>
      </c>
      <c r="B1739" s="5">
        <v>1</v>
      </c>
      <c r="C1739" s="5">
        <v>1</v>
      </c>
      <c r="D1739" s="5" t="s">
        <v>2037</v>
      </c>
      <c r="E1739" s="5" t="s">
        <v>271</v>
      </c>
      <c r="F1739" s="5" t="s">
        <v>248</v>
      </c>
      <c r="G1739" s="5" t="s">
        <v>1969</v>
      </c>
      <c r="H1739" s="6" t="s">
        <v>3538</v>
      </c>
      <c r="I1739" s="7">
        <f>1637</f>
        <v>1637</v>
      </c>
      <c r="J1739" s="5" t="s">
        <v>262</v>
      </c>
      <c r="K1739" s="8">
        <f>1</f>
        <v>1</v>
      </c>
      <c r="L1739" s="6" t="s">
        <v>242</v>
      </c>
      <c r="M1739" s="5" t="s">
        <v>267</v>
      </c>
      <c r="N1739" s="5" t="s">
        <v>265</v>
      </c>
      <c r="O1739" s="5" t="s">
        <v>238</v>
      </c>
      <c r="P1739" s="5" t="s">
        <v>238</v>
      </c>
      <c r="Q1739" s="5" t="s">
        <v>268</v>
      </c>
      <c r="R1739" s="5" t="s">
        <v>270</v>
      </c>
      <c r="S1739" s="5" t="s">
        <v>238</v>
      </c>
      <c r="V1739" s="5" t="s">
        <v>238</v>
      </c>
      <c r="X1739" s="6" t="s">
        <v>238</v>
      </c>
      <c r="AA1739" s="6" t="s">
        <v>243</v>
      </c>
      <c r="AB1739" s="5" t="s">
        <v>238</v>
      </c>
      <c r="AC1739" s="5" t="s">
        <v>244</v>
      </c>
      <c r="AD1739" s="5" t="s">
        <v>245</v>
      </c>
      <c r="AT1739" s="5" t="s">
        <v>246</v>
      </c>
      <c r="AU1739" s="5" t="s">
        <v>238</v>
      </c>
      <c r="AV1739" s="5" t="s">
        <v>247</v>
      </c>
      <c r="AW1739" s="5" t="s">
        <v>238</v>
      </c>
      <c r="AX1739" s="5" t="s">
        <v>249</v>
      </c>
      <c r="AY1739" s="5" t="s">
        <v>238</v>
      </c>
      <c r="BA1739" s="5" t="s">
        <v>238</v>
      </c>
      <c r="BC1739" s="5" t="s">
        <v>250</v>
      </c>
      <c r="BD1739" s="6" t="s">
        <v>243</v>
      </c>
      <c r="BE1739" s="5" t="s">
        <v>251</v>
      </c>
      <c r="BF1739" s="5" t="s">
        <v>252</v>
      </c>
      <c r="BG1739" s="5" t="s">
        <v>238</v>
      </c>
      <c r="BH1739" s="7">
        <f>0</f>
        <v>0</v>
      </c>
      <c r="BI1739" s="8">
        <f>0</f>
        <v>0</v>
      </c>
      <c r="BJ1739" s="5" t="s">
        <v>253</v>
      </c>
      <c r="BK1739" s="5" t="s">
        <v>254</v>
      </c>
      <c r="BY1739" s="5" t="s">
        <v>238</v>
      </c>
      <c r="BZ1739" s="5" t="s">
        <v>238</v>
      </c>
      <c r="CD1739" s="5" t="s">
        <v>273</v>
      </c>
      <c r="CE1739" s="5" t="s">
        <v>256</v>
      </c>
      <c r="CF1739" s="5" t="s">
        <v>238</v>
      </c>
      <c r="CI1739" s="6" t="s">
        <v>257</v>
      </c>
      <c r="CJ1739" s="5" t="s">
        <v>238</v>
      </c>
      <c r="CK1739" s="5" t="s">
        <v>258</v>
      </c>
      <c r="CL1739" s="5" t="s">
        <v>238</v>
      </c>
      <c r="CM1739" s="5" t="s">
        <v>238</v>
      </c>
      <c r="CN1739" s="5">
        <v>0</v>
      </c>
      <c r="CO1739" s="5" t="s">
        <v>259</v>
      </c>
      <c r="CP1739" s="5" t="s">
        <v>260</v>
      </c>
      <c r="CQ1739" s="5" t="s">
        <v>260</v>
      </c>
      <c r="CR1739" s="5" t="s">
        <v>261</v>
      </c>
      <c r="CU1739" s="8">
        <f>1</f>
        <v>1</v>
      </c>
      <c r="CV1739" s="8">
        <f>0</f>
        <v>0</v>
      </c>
      <c r="CX1739" s="8">
        <f>0</f>
        <v>0</v>
      </c>
      <c r="CY1739" s="8">
        <f>1</f>
        <v>1</v>
      </c>
      <c r="DA1739" s="5" t="s">
        <v>673</v>
      </c>
      <c r="DB1739" s="5" t="s">
        <v>238</v>
      </c>
      <c r="DD1739" s="5" t="s">
        <v>673</v>
      </c>
      <c r="DE1739" s="8">
        <f>1637</f>
        <v>1637</v>
      </c>
      <c r="DG1739" s="5" t="s">
        <v>238</v>
      </c>
      <c r="DH1739" s="5" t="s">
        <v>238</v>
      </c>
      <c r="DI1739" s="5" t="s">
        <v>238</v>
      </c>
      <c r="DJ1739" s="5" t="s">
        <v>238</v>
      </c>
      <c r="DN1739" s="5" t="s">
        <v>238</v>
      </c>
      <c r="DO1739" s="5" t="s">
        <v>238</v>
      </c>
      <c r="DP1739" s="5" t="s">
        <v>238</v>
      </c>
      <c r="DQ1739" s="5" t="s">
        <v>238</v>
      </c>
      <c r="DT1739" s="5" t="s">
        <v>2039</v>
      </c>
      <c r="DU1739" s="5" t="s">
        <v>942</v>
      </c>
      <c r="HM1739" s="5" t="s">
        <v>264</v>
      </c>
    </row>
    <row r="1740" spans="1:221" x14ac:dyDescent="0.4">
      <c r="A1740" s="5">
        <v>3415</v>
      </c>
      <c r="B1740" s="5">
        <v>1</v>
      </c>
      <c r="C1740" s="5">
        <v>1</v>
      </c>
      <c r="D1740" s="5" t="s">
        <v>2037</v>
      </c>
      <c r="E1740" s="5" t="s">
        <v>271</v>
      </c>
      <c r="F1740" s="5" t="s">
        <v>248</v>
      </c>
      <c r="G1740" s="5" t="s">
        <v>1969</v>
      </c>
      <c r="H1740" s="6" t="s">
        <v>3592</v>
      </c>
      <c r="I1740" s="7">
        <f>2856</f>
        <v>2856</v>
      </c>
      <c r="J1740" s="5" t="s">
        <v>262</v>
      </c>
      <c r="K1740" s="8">
        <f>1</f>
        <v>1</v>
      </c>
      <c r="L1740" s="6" t="s">
        <v>242</v>
      </c>
      <c r="M1740" s="5" t="s">
        <v>267</v>
      </c>
      <c r="N1740" s="5" t="s">
        <v>265</v>
      </c>
      <c r="O1740" s="5" t="s">
        <v>238</v>
      </c>
      <c r="P1740" s="5" t="s">
        <v>238</v>
      </c>
      <c r="Q1740" s="5" t="s">
        <v>268</v>
      </c>
      <c r="R1740" s="5" t="s">
        <v>270</v>
      </c>
      <c r="S1740" s="5" t="s">
        <v>238</v>
      </c>
      <c r="V1740" s="5" t="s">
        <v>238</v>
      </c>
      <c r="X1740" s="6" t="s">
        <v>238</v>
      </c>
      <c r="AA1740" s="6" t="s">
        <v>243</v>
      </c>
      <c r="AB1740" s="5" t="s">
        <v>238</v>
      </c>
      <c r="AC1740" s="5" t="s">
        <v>244</v>
      </c>
      <c r="AD1740" s="5" t="s">
        <v>245</v>
      </c>
      <c r="AT1740" s="5" t="s">
        <v>246</v>
      </c>
      <c r="AU1740" s="5" t="s">
        <v>238</v>
      </c>
      <c r="AV1740" s="5" t="s">
        <v>247</v>
      </c>
      <c r="AW1740" s="5" t="s">
        <v>238</v>
      </c>
      <c r="AX1740" s="5" t="s">
        <v>249</v>
      </c>
      <c r="AY1740" s="5" t="s">
        <v>238</v>
      </c>
      <c r="BA1740" s="5" t="s">
        <v>238</v>
      </c>
      <c r="BC1740" s="5" t="s">
        <v>250</v>
      </c>
      <c r="BD1740" s="6" t="s">
        <v>243</v>
      </c>
      <c r="BE1740" s="5" t="s">
        <v>251</v>
      </c>
      <c r="BF1740" s="5" t="s">
        <v>252</v>
      </c>
      <c r="BG1740" s="5" t="s">
        <v>238</v>
      </c>
      <c r="BH1740" s="7">
        <f>0</f>
        <v>0</v>
      </c>
      <c r="BI1740" s="8">
        <f>0</f>
        <v>0</v>
      </c>
      <c r="BJ1740" s="5" t="s">
        <v>253</v>
      </c>
      <c r="BK1740" s="5" t="s">
        <v>254</v>
      </c>
      <c r="BY1740" s="5" t="s">
        <v>238</v>
      </c>
      <c r="BZ1740" s="5" t="s">
        <v>238</v>
      </c>
      <c r="CD1740" s="5" t="s">
        <v>273</v>
      </c>
      <c r="CE1740" s="5" t="s">
        <v>256</v>
      </c>
      <c r="CF1740" s="5" t="s">
        <v>238</v>
      </c>
      <c r="CI1740" s="6" t="s">
        <v>257</v>
      </c>
      <c r="CJ1740" s="5" t="s">
        <v>238</v>
      </c>
      <c r="CK1740" s="5" t="s">
        <v>258</v>
      </c>
      <c r="CL1740" s="5" t="s">
        <v>238</v>
      </c>
      <c r="CM1740" s="5" t="s">
        <v>238</v>
      </c>
      <c r="CN1740" s="5">
        <v>0</v>
      </c>
      <c r="CO1740" s="5" t="s">
        <v>259</v>
      </c>
      <c r="CP1740" s="5" t="s">
        <v>260</v>
      </c>
      <c r="CQ1740" s="5" t="s">
        <v>260</v>
      </c>
      <c r="CR1740" s="5" t="s">
        <v>261</v>
      </c>
      <c r="CU1740" s="8">
        <f>1</f>
        <v>1</v>
      </c>
      <c r="CV1740" s="8">
        <f>0</f>
        <v>0</v>
      </c>
      <c r="CX1740" s="8">
        <f>0</f>
        <v>0</v>
      </c>
      <c r="CY1740" s="8">
        <f>1</f>
        <v>1</v>
      </c>
      <c r="DA1740" s="5" t="s">
        <v>673</v>
      </c>
      <c r="DB1740" s="5" t="s">
        <v>238</v>
      </c>
      <c r="DD1740" s="5" t="s">
        <v>673</v>
      </c>
      <c r="DE1740" s="8">
        <f>2856</f>
        <v>2856</v>
      </c>
      <c r="DG1740" s="5" t="s">
        <v>238</v>
      </c>
      <c r="DH1740" s="5" t="s">
        <v>238</v>
      </c>
      <c r="DI1740" s="5" t="s">
        <v>238</v>
      </c>
      <c r="DJ1740" s="5" t="s">
        <v>238</v>
      </c>
      <c r="DN1740" s="5" t="s">
        <v>238</v>
      </c>
      <c r="DO1740" s="5" t="s">
        <v>238</v>
      </c>
      <c r="DP1740" s="5" t="s">
        <v>238</v>
      </c>
      <c r="DQ1740" s="5" t="s">
        <v>238</v>
      </c>
      <c r="DT1740" s="5" t="s">
        <v>2039</v>
      </c>
      <c r="DU1740" s="5" t="s">
        <v>948</v>
      </c>
      <c r="HM1740" s="5" t="s">
        <v>264</v>
      </c>
    </row>
    <row r="1741" spans="1:221" x14ac:dyDescent="0.4">
      <c r="A1741" s="5">
        <v>3416</v>
      </c>
      <c r="B1741" s="5">
        <v>1</v>
      </c>
      <c r="C1741" s="5">
        <v>1</v>
      </c>
      <c r="D1741" s="5" t="s">
        <v>2037</v>
      </c>
      <c r="E1741" s="5" t="s">
        <v>271</v>
      </c>
      <c r="F1741" s="5" t="s">
        <v>248</v>
      </c>
      <c r="G1741" s="5" t="s">
        <v>1969</v>
      </c>
      <c r="H1741" s="6" t="s">
        <v>3618</v>
      </c>
      <c r="I1741" s="7">
        <f>2061</f>
        <v>2061</v>
      </c>
      <c r="J1741" s="5" t="s">
        <v>262</v>
      </c>
      <c r="K1741" s="8">
        <f>1</f>
        <v>1</v>
      </c>
      <c r="L1741" s="6" t="s">
        <v>242</v>
      </c>
      <c r="M1741" s="5" t="s">
        <v>267</v>
      </c>
      <c r="N1741" s="5" t="s">
        <v>265</v>
      </c>
      <c r="O1741" s="5" t="s">
        <v>238</v>
      </c>
      <c r="P1741" s="5" t="s">
        <v>238</v>
      </c>
      <c r="Q1741" s="5" t="s">
        <v>268</v>
      </c>
      <c r="R1741" s="5" t="s">
        <v>270</v>
      </c>
      <c r="S1741" s="5" t="s">
        <v>238</v>
      </c>
      <c r="V1741" s="5" t="s">
        <v>238</v>
      </c>
      <c r="X1741" s="6" t="s">
        <v>238</v>
      </c>
      <c r="AA1741" s="6" t="s">
        <v>243</v>
      </c>
      <c r="AB1741" s="5" t="s">
        <v>238</v>
      </c>
      <c r="AC1741" s="5" t="s">
        <v>244</v>
      </c>
      <c r="AD1741" s="5" t="s">
        <v>245</v>
      </c>
      <c r="AT1741" s="5" t="s">
        <v>246</v>
      </c>
      <c r="AU1741" s="5" t="s">
        <v>238</v>
      </c>
      <c r="AV1741" s="5" t="s">
        <v>247</v>
      </c>
      <c r="AW1741" s="5" t="s">
        <v>238</v>
      </c>
      <c r="AX1741" s="5" t="s">
        <v>249</v>
      </c>
      <c r="AY1741" s="5" t="s">
        <v>238</v>
      </c>
      <c r="BA1741" s="5" t="s">
        <v>238</v>
      </c>
      <c r="BC1741" s="5" t="s">
        <v>250</v>
      </c>
      <c r="BD1741" s="6" t="s">
        <v>243</v>
      </c>
      <c r="BE1741" s="5" t="s">
        <v>251</v>
      </c>
      <c r="BF1741" s="5" t="s">
        <v>252</v>
      </c>
      <c r="BG1741" s="5" t="s">
        <v>238</v>
      </c>
      <c r="BH1741" s="7">
        <f>0</f>
        <v>0</v>
      </c>
      <c r="BI1741" s="8">
        <f>0</f>
        <v>0</v>
      </c>
      <c r="BJ1741" s="5" t="s">
        <v>253</v>
      </c>
      <c r="BK1741" s="5" t="s">
        <v>254</v>
      </c>
      <c r="BY1741" s="5" t="s">
        <v>238</v>
      </c>
      <c r="BZ1741" s="5" t="s">
        <v>238</v>
      </c>
      <c r="CD1741" s="5" t="s">
        <v>273</v>
      </c>
      <c r="CE1741" s="5" t="s">
        <v>256</v>
      </c>
      <c r="CF1741" s="5" t="s">
        <v>238</v>
      </c>
      <c r="CI1741" s="6" t="s">
        <v>257</v>
      </c>
      <c r="CJ1741" s="5" t="s">
        <v>238</v>
      </c>
      <c r="CK1741" s="5" t="s">
        <v>258</v>
      </c>
      <c r="CL1741" s="5" t="s">
        <v>238</v>
      </c>
      <c r="CM1741" s="5" t="s">
        <v>238</v>
      </c>
      <c r="CN1741" s="5">
        <v>0</v>
      </c>
      <c r="CO1741" s="5" t="s">
        <v>259</v>
      </c>
      <c r="CP1741" s="5" t="s">
        <v>260</v>
      </c>
      <c r="CQ1741" s="5" t="s">
        <v>260</v>
      </c>
      <c r="CR1741" s="5" t="s">
        <v>261</v>
      </c>
      <c r="CU1741" s="8">
        <f>1</f>
        <v>1</v>
      </c>
      <c r="CV1741" s="8">
        <f>0</f>
        <v>0</v>
      </c>
      <c r="CX1741" s="8">
        <f>0</f>
        <v>0</v>
      </c>
      <c r="CY1741" s="8">
        <f>1</f>
        <v>1</v>
      </c>
      <c r="DA1741" s="5" t="s">
        <v>673</v>
      </c>
      <c r="DB1741" s="5" t="s">
        <v>238</v>
      </c>
      <c r="DD1741" s="5" t="s">
        <v>673</v>
      </c>
      <c r="DE1741" s="8">
        <f>2061</f>
        <v>2061</v>
      </c>
      <c r="DG1741" s="5" t="s">
        <v>238</v>
      </c>
      <c r="DH1741" s="5" t="s">
        <v>238</v>
      </c>
      <c r="DI1741" s="5" t="s">
        <v>238</v>
      </c>
      <c r="DJ1741" s="5" t="s">
        <v>238</v>
      </c>
      <c r="DN1741" s="5" t="s">
        <v>238</v>
      </c>
      <c r="DO1741" s="5" t="s">
        <v>238</v>
      </c>
      <c r="DP1741" s="5" t="s">
        <v>238</v>
      </c>
      <c r="DQ1741" s="5" t="s">
        <v>238</v>
      </c>
      <c r="DT1741" s="5" t="s">
        <v>2039</v>
      </c>
      <c r="DU1741" s="5" t="s">
        <v>946</v>
      </c>
      <c r="HM1741" s="5" t="s">
        <v>264</v>
      </c>
    </row>
    <row r="1742" spans="1:221" x14ac:dyDescent="0.4">
      <c r="A1742" s="5">
        <v>3417</v>
      </c>
      <c r="B1742" s="5">
        <v>1</v>
      </c>
      <c r="C1742" s="5">
        <v>1</v>
      </c>
      <c r="D1742" s="5" t="s">
        <v>2037</v>
      </c>
      <c r="E1742" s="5" t="s">
        <v>271</v>
      </c>
      <c r="F1742" s="5" t="s">
        <v>248</v>
      </c>
      <c r="G1742" s="5" t="s">
        <v>1969</v>
      </c>
      <c r="H1742" s="6" t="s">
        <v>3607</v>
      </c>
      <c r="I1742" s="7">
        <f>2711</f>
        <v>2711</v>
      </c>
      <c r="J1742" s="5" t="s">
        <v>262</v>
      </c>
      <c r="K1742" s="8">
        <f>1</f>
        <v>1</v>
      </c>
      <c r="L1742" s="6" t="s">
        <v>242</v>
      </c>
      <c r="M1742" s="5" t="s">
        <v>267</v>
      </c>
      <c r="N1742" s="5" t="s">
        <v>265</v>
      </c>
      <c r="O1742" s="5" t="s">
        <v>238</v>
      </c>
      <c r="P1742" s="5" t="s">
        <v>238</v>
      </c>
      <c r="Q1742" s="5" t="s">
        <v>268</v>
      </c>
      <c r="R1742" s="5" t="s">
        <v>270</v>
      </c>
      <c r="S1742" s="5" t="s">
        <v>238</v>
      </c>
      <c r="V1742" s="5" t="s">
        <v>238</v>
      </c>
      <c r="X1742" s="6" t="s">
        <v>238</v>
      </c>
      <c r="AA1742" s="6" t="s">
        <v>243</v>
      </c>
      <c r="AB1742" s="5" t="s">
        <v>238</v>
      </c>
      <c r="AC1742" s="5" t="s">
        <v>244</v>
      </c>
      <c r="AD1742" s="5" t="s">
        <v>245</v>
      </c>
      <c r="AT1742" s="5" t="s">
        <v>246</v>
      </c>
      <c r="AU1742" s="5" t="s">
        <v>238</v>
      </c>
      <c r="AV1742" s="5" t="s">
        <v>247</v>
      </c>
      <c r="AW1742" s="5" t="s">
        <v>238</v>
      </c>
      <c r="AX1742" s="5" t="s">
        <v>249</v>
      </c>
      <c r="AY1742" s="5" t="s">
        <v>238</v>
      </c>
      <c r="BA1742" s="5" t="s">
        <v>238</v>
      </c>
      <c r="BC1742" s="5" t="s">
        <v>250</v>
      </c>
      <c r="BD1742" s="6" t="s">
        <v>243</v>
      </c>
      <c r="BE1742" s="5" t="s">
        <v>251</v>
      </c>
      <c r="BF1742" s="5" t="s">
        <v>252</v>
      </c>
      <c r="BG1742" s="5" t="s">
        <v>238</v>
      </c>
      <c r="BH1742" s="7">
        <f>0</f>
        <v>0</v>
      </c>
      <c r="BI1742" s="8">
        <f>0</f>
        <v>0</v>
      </c>
      <c r="BJ1742" s="5" t="s">
        <v>253</v>
      </c>
      <c r="BK1742" s="5" t="s">
        <v>254</v>
      </c>
      <c r="BY1742" s="5" t="s">
        <v>238</v>
      </c>
      <c r="BZ1742" s="5" t="s">
        <v>238</v>
      </c>
      <c r="CD1742" s="5" t="s">
        <v>273</v>
      </c>
      <c r="CE1742" s="5" t="s">
        <v>256</v>
      </c>
      <c r="CF1742" s="5" t="s">
        <v>238</v>
      </c>
      <c r="CI1742" s="6" t="s">
        <v>257</v>
      </c>
      <c r="CJ1742" s="5" t="s">
        <v>238</v>
      </c>
      <c r="CK1742" s="5" t="s">
        <v>258</v>
      </c>
      <c r="CL1742" s="5" t="s">
        <v>238</v>
      </c>
      <c r="CM1742" s="5" t="s">
        <v>238</v>
      </c>
      <c r="CN1742" s="5">
        <v>0</v>
      </c>
      <c r="CO1742" s="5" t="s">
        <v>259</v>
      </c>
      <c r="CP1742" s="5" t="s">
        <v>260</v>
      </c>
      <c r="CQ1742" s="5" t="s">
        <v>260</v>
      </c>
      <c r="CR1742" s="5" t="s">
        <v>261</v>
      </c>
      <c r="CU1742" s="8">
        <f>1</f>
        <v>1</v>
      </c>
      <c r="CV1742" s="8">
        <f>0</f>
        <v>0</v>
      </c>
      <c r="CX1742" s="8">
        <f>0</f>
        <v>0</v>
      </c>
      <c r="CY1742" s="8">
        <f>1</f>
        <v>1</v>
      </c>
      <c r="DA1742" s="5" t="s">
        <v>673</v>
      </c>
      <c r="DB1742" s="5" t="s">
        <v>238</v>
      </c>
      <c r="DD1742" s="5" t="s">
        <v>673</v>
      </c>
      <c r="DE1742" s="8">
        <f>2711</f>
        <v>2711</v>
      </c>
      <c r="DG1742" s="5" t="s">
        <v>238</v>
      </c>
      <c r="DH1742" s="5" t="s">
        <v>238</v>
      </c>
      <c r="DI1742" s="5" t="s">
        <v>238</v>
      </c>
      <c r="DJ1742" s="5" t="s">
        <v>238</v>
      </c>
      <c r="DN1742" s="5" t="s">
        <v>238</v>
      </c>
      <c r="DO1742" s="5" t="s">
        <v>238</v>
      </c>
      <c r="DP1742" s="5" t="s">
        <v>238</v>
      </c>
      <c r="DQ1742" s="5" t="s">
        <v>238</v>
      </c>
      <c r="DT1742" s="5" t="s">
        <v>2039</v>
      </c>
      <c r="DU1742" s="5" t="s">
        <v>3608</v>
      </c>
      <c r="HM1742" s="5" t="s">
        <v>264</v>
      </c>
    </row>
    <row r="1743" spans="1:221" x14ac:dyDescent="0.4">
      <c r="A1743" s="5">
        <v>3418</v>
      </c>
      <c r="B1743" s="5">
        <v>1</v>
      </c>
      <c r="C1743" s="5">
        <v>1</v>
      </c>
      <c r="D1743" s="5" t="s">
        <v>2037</v>
      </c>
      <c r="E1743" s="5" t="s">
        <v>271</v>
      </c>
      <c r="F1743" s="5" t="s">
        <v>248</v>
      </c>
      <c r="G1743" s="5" t="s">
        <v>1969</v>
      </c>
      <c r="H1743" s="6" t="s">
        <v>3527</v>
      </c>
      <c r="I1743" s="7">
        <f>28</f>
        <v>28</v>
      </c>
      <c r="J1743" s="5" t="s">
        <v>262</v>
      </c>
      <c r="K1743" s="8">
        <f>1</f>
        <v>1</v>
      </c>
      <c r="L1743" s="6" t="s">
        <v>242</v>
      </c>
      <c r="M1743" s="5" t="s">
        <v>267</v>
      </c>
      <c r="N1743" s="5" t="s">
        <v>265</v>
      </c>
      <c r="O1743" s="5" t="s">
        <v>238</v>
      </c>
      <c r="P1743" s="5" t="s">
        <v>238</v>
      </c>
      <c r="Q1743" s="5" t="s">
        <v>268</v>
      </c>
      <c r="R1743" s="5" t="s">
        <v>270</v>
      </c>
      <c r="S1743" s="5" t="s">
        <v>238</v>
      </c>
      <c r="V1743" s="5" t="s">
        <v>238</v>
      </c>
      <c r="X1743" s="6" t="s">
        <v>238</v>
      </c>
      <c r="AA1743" s="6" t="s">
        <v>243</v>
      </c>
      <c r="AB1743" s="5" t="s">
        <v>238</v>
      </c>
      <c r="AC1743" s="5" t="s">
        <v>244</v>
      </c>
      <c r="AD1743" s="5" t="s">
        <v>245</v>
      </c>
      <c r="AT1743" s="5" t="s">
        <v>246</v>
      </c>
      <c r="AU1743" s="5" t="s">
        <v>238</v>
      </c>
      <c r="AV1743" s="5" t="s">
        <v>247</v>
      </c>
      <c r="AW1743" s="5" t="s">
        <v>238</v>
      </c>
      <c r="AX1743" s="5" t="s">
        <v>249</v>
      </c>
      <c r="AY1743" s="5" t="s">
        <v>238</v>
      </c>
      <c r="BA1743" s="5" t="s">
        <v>238</v>
      </c>
      <c r="BC1743" s="5" t="s">
        <v>250</v>
      </c>
      <c r="BD1743" s="6" t="s">
        <v>243</v>
      </c>
      <c r="BE1743" s="5" t="s">
        <v>251</v>
      </c>
      <c r="BF1743" s="5" t="s">
        <v>252</v>
      </c>
      <c r="BG1743" s="5" t="s">
        <v>238</v>
      </c>
      <c r="BH1743" s="7">
        <f>0</f>
        <v>0</v>
      </c>
      <c r="BI1743" s="8">
        <f>0</f>
        <v>0</v>
      </c>
      <c r="BJ1743" s="5" t="s">
        <v>253</v>
      </c>
      <c r="BK1743" s="5" t="s">
        <v>254</v>
      </c>
      <c r="BY1743" s="5" t="s">
        <v>238</v>
      </c>
      <c r="BZ1743" s="5" t="s">
        <v>238</v>
      </c>
      <c r="CD1743" s="5" t="s">
        <v>273</v>
      </c>
      <c r="CE1743" s="5" t="s">
        <v>256</v>
      </c>
      <c r="CF1743" s="5" t="s">
        <v>238</v>
      </c>
      <c r="CI1743" s="6" t="s">
        <v>257</v>
      </c>
      <c r="CJ1743" s="5" t="s">
        <v>238</v>
      </c>
      <c r="CK1743" s="5" t="s">
        <v>258</v>
      </c>
      <c r="CL1743" s="5" t="s">
        <v>238</v>
      </c>
      <c r="CM1743" s="5" t="s">
        <v>238</v>
      </c>
      <c r="CN1743" s="5">
        <v>0</v>
      </c>
      <c r="CO1743" s="5" t="s">
        <v>259</v>
      </c>
      <c r="CP1743" s="5" t="s">
        <v>260</v>
      </c>
      <c r="CQ1743" s="5" t="s">
        <v>260</v>
      </c>
      <c r="CR1743" s="5" t="s">
        <v>261</v>
      </c>
      <c r="CU1743" s="8">
        <f>1</f>
        <v>1</v>
      </c>
      <c r="CV1743" s="8">
        <f>0</f>
        <v>0</v>
      </c>
      <c r="CX1743" s="8">
        <f>0</f>
        <v>0</v>
      </c>
      <c r="CY1743" s="8">
        <f>1</f>
        <v>1</v>
      </c>
      <c r="DA1743" s="5" t="s">
        <v>673</v>
      </c>
      <c r="DB1743" s="5" t="s">
        <v>238</v>
      </c>
      <c r="DD1743" s="5" t="s">
        <v>673</v>
      </c>
      <c r="DE1743" s="8">
        <f>28</f>
        <v>28</v>
      </c>
      <c r="DG1743" s="5" t="s">
        <v>238</v>
      </c>
      <c r="DH1743" s="5" t="s">
        <v>238</v>
      </c>
      <c r="DI1743" s="5" t="s">
        <v>238</v>
      </c>
      <c r="DJ1743" s="5" t="s">
        <v>238</v>
      </c>
      <c r="DN1743" s="5" t="s">
        <v>238</v>
      </c>
      <c r="DO1743" s="5" t="s">
        <v>238</v>
      </c>
      <c r="DP1743" s="5" t="s">
        <v>238</v>
      </c>
      <c r="DQ1743" s="5" t="s">
        <v>238</v>
      </c>
      <c r="DT1743" s="5" t="s">
        <v>2039</v>
      </c>
      <c r="DU1743" s="5" t="s">
        <v>950</v>
      </c>
      <c r="HM1743" s="5" t="s">
        <v>264</v>
      </c>
    </row>
    <row r="1744" spans="1:221" x14ac:dyDescent="0.4">
      <c r="A1744" s="5">
        <v>3419</v>
      </c>
      <c r="B1744" s="5">
        <v>1</v>
      </c>
      <c r="C1744" s="5">
        <v>1</v>
      </c>
      <c r="D1744" s="5" t="s">
        <v>2037</v>
      </c>
      <c r="E1744" s="5" t="s">
        <v>271</v>
      </c>
      <c r="F1744" s="5" t="s">
        <v>248</v>
      </c>
      <c r="G1744" s="5" t="s">
        <v>1969</v>
      </c>
      <c r="H1744" s="6" t="s">
        <v>3652</v>
      </c>
      <c r="I1744" s="7">
        <f>5458</f>
        <v>5458</v>
      </c>
      <c r="J1744" s="5" t="s">
        <v>262</v>
      </c>
      <c r="K1744" s="8">
        <f>1</f>
        <v>1</v>
      </c>
      <c r="L1744" s="6" t="s">
        <v>242</v>
      </c>
      <c r="M1744" s="5" t="s">
        <v>267</v>
      </c>
      <c r="N1744" s="5" t="s">
        <v>265</v>
      </c>
      <c r="O1744" s="5" t="s">
        <v>238</v>
      </c>
      <c r="P1744" s="5" t="s">
        <v>238</v>
      </c>
      <c r="Q1744" s="5" t="s">
        <v>268</v>
      </c>
      <c r="R1744" s="5" t="s">
        <v>270</v>
      </c>
      <c r="S1744" s="5" t="s">
        <v>238</v>
      </c>
      <c r="V1744" s="5" t="s">
        <v>238</v>
      </c>
      <c r="X1744" s="6" t="s">
        <v>238</v>
      </c>
      <c r="AA1744" s="6" t="s">
        <v>243</v>
      </c>
      <c r="AB1744" s="5" t="s">
        <v>238</v>
      </c>
      <c r="AC1744" s="5" t="s">
        <v>244</v>
      </c>
      <c r="AD1744" s="5" t="s">
        <v>245</v>
      </c>
      <c r="AT1744" s="5" t="s">
        <v>246</v>
      </c>
      <c r="AU1744" s="5" t="s">
        <v>238</v>
      </c>
      <c r="AV1744" s="5" t="s">
        <v>247</v>
      </c>
      <c r="AW1744" s="5" t="s">
        <v>238</v>
      </c>
      <c r="AX1744" s="5" t="s">
        <v>249</v>
      </c>
      <c r="AY1744" s="5" t="s">
        <v>238</v>
      </c>
      <c r="BA1744" s="5" t="s">
        <v>238</v>
      </c>
      <c r="BC1744" s="5" t="s">
        <v>250</v>
      </c>
      <c r="BD1744" s="6" t="s">
        <v>243</v>
      </c>
      <c r="BE1744" s="5" t="s">
        <v>251</v>
      </c>
      <c r="BF1744" s="5" t="s">
        <v>252</v>
      </c>
      <c r="BG1744" s="5" t="s">
        <v>238</v>
      </c>
      <c r="BH1744" s="7">
        <f>0</f>
        <v>0</v>
      </c>
      <c r="BI1744" s="8">
        <f>0</f>
        <v>0</v>
      </c>
      <c r="BJ1744" s="5" t="s">
        <v>253</v>
      </c>
      <c r="BK1744" s="5" t="s">
        <v>254</v>
      </c>
      <c r="BY1744" s="5" t="s">
        <v>238</v>
      </c>
      <c r="BZ1744" s="5" t="s">
        <v>238</v>
      </c>
      <c r="CD1744" s="5" t="s">
        <v>273</v>
      </c>
      <c r="CE1744" s="5" t="s">
        <v>256</v>
      </c>
      <c r="CF1744" s="5" t="s">
        <v>238</v>
      </c>
      <c r="CI1744" s="6" t="s">
        <v>257</v>
      </c>
      <c r="CJ1744" s="5" t="s">
        <v>238</v>
      </c>
      <c r="CK1744" s="5" t="s">
        <v>258</v>
      </c>
      <c r="CL1744" s="5" t="s">
        <v>238</v>
      </c>
      <c r="CM1744" s="5" t="s">
        <v>238</v>
      </c>
      <c r="CN1744" s="5">
        <v>0</v>
      </c>
      <c r="CO1744" s="5" t="s">
        <v>259</v>
      </c>
      <c r="CP1744" s="5" t="s">
        <v>260</v>
      </c>
      <c r="CQ1744" s="5" t="s">
        <v>260</v>
      </c>
      <c r="CR1744" s="5" t="s">
        <v>261</v>
      </c>
      <c r="CU1744" s="8">
        <f>1</f>
        <v>1</v>
      </c>
      <c r="CV1744" s="8">
        <f>0</f>
        <v>0</v>
      </c>
      <c r="CX1744" s="8">
        <f>0</f>
        <v>0</v>
      </c>
      <c r="CY1744" s="8">
        <f>1</f>
        <v>1</v>
      </c>
      <c r="DA1744" s="5" t="s">
        <v>673</v>
      </c>
      <c r="DB1744" s="5" t="s">
        <v>238</v>
      </c>
      <c r="DD1744" s="5" t="s">
        <v>673</v>
      </c>
      <c r="DE1744" s="8">
        <f>5458</f>
        <v>5458</v>
      </c>
      <c r="DG1744" s="5" t="s">
        <v>238</v>
      </c>
      <c r="DH1744" s="5" t="s">
        <v>238</v>
      </c>
      <c r="DI1744" s="5" t="s">
        <v>238</v>
      </c>
      <c r="DJ1744" s="5" t="s">
        <v>238</v>
      </c>
      <c r="DN1744" s="5" t="s">
        <v>238</v>
      </c>
      <c r="DO1744" s="5" t="s">
        <v>238</v>
      </c>
      <c r="DP1744" s="5" t="s">
        <v>238</v>
      </c>
      <c r="DQ1744" s="5" t="s">
        <v>238</v>
      </c>
      <c r="DT1744" s="5" t="s">
        <v>2039</v>
      </c>
      <c r="DU1744" s="5" t="s">
        <v>954</v>
      </c>
      <c r="HM1744" s="5" t="s">
        <v>264</v>
      </c>
    </row>
    <row r="1745" spans="1:221" x14ac:dyDescent="0.4">
      <c r="A1745" s="5">
        <v>3420</v>
      </c>
      <c r="B1745" s="5">
        <v>1</v>
      </c>
      <c r="C1745" s="5">
        <v>1</v>
      </c>
      <c r="D1745" s="5" t="s">
        <v>2037</v>
      </c>
      <c r="E1745" s="5" t="s">
        <v>271</v>
      </c>
      <c r="F1745" s="5" t="s">
        <v>248</v>
      </c>
      <c r="G1745" s="5" t="s">
        <v>1969</v>
      </c>
      <c r="H1745" s="6" t="s">
        <v>3666</v>
      </c>
      <c r="I1745" s="7">
        <f>57</f>
        <v>57</v>
      </c>
      <c r="J1745" s="5" t="s">
        <v>262</v>
      </c>
      <c r="K1745" s="8">
        <f>1</f>
        <v>1</v>
      </c>
      <c r="L1745" s="6" t="s">
        <v>242</v>
      </c>
      <c r="M1745" s="5" t="s">
        <v>267</v>
      </c>
      <c r="N1745" s="5" t="s">
        <v>265</v>
      </c>
      <c r="O1745" s="5" t="s">
        <v>238</v>
      </c>
      <c r="P1745" s="5" t="s">
        <v>238</v>
      </c>
      <c r="Q1745" s="5" t="s">
        <v>268</v>
      </c>
      <c r="R1745" s="5" t="s">
        <v>270</v>
      </c>
      <c r="S1745" s="5" t="s">
        <v>238</v>
      </c>
      <c r="V1745" s="5" t="s">
        <v>238</v>
      </c>
      <c r="X1745" s="6" t="s">
        <v>238</v>
      </c>
      <c r="AA1745" s="6" t="s">
        <v>243</v>
      </c>
      <c r="AB1745" s="5" t="s">
        <v>238</v>
      </c>
      <c r="AC1745" s="5" t="s">
        <v>244</v>
      </c>
      <c r="AD1745" s="5" t="s">
        <v>245</v>
      </c>
      <c r="AT1745" s="5" t="s">
        <v>246</v>
      </c>
      <c r="AU1745" s="5" t="s">
        <v>238</v>
      </c>
      <c r="AV1745" s="5" t="s">
        <v>247</v>
      </c>
      <c r="AW1745" s="5" t="s">
        <v>238</v>
      </c>
      <c r="AX1745" s="5" t="s">
        <v>249</v>
      </c>
      <c r="AY1745" s="5" t="s">
        <v>238</v>
      </c>
      <c r="BA1745" s="5" t="s">
        <v>238</v>
      </c>
      <c r="BC1745" s="5" t="s">
        <v>250</v>
      </c>
      <c r="BD1745" s="6" t="s">
        <v>243</v>
      </c>
      <c r="BE1745" s="5" t="s">
        <v>251</v>
      </c>
      <c r="BF1745" s="5" t="s">
        <v>252</v>
      </c>
      <c r="BG1745" s="5" t="s">
        <v>238</v>
      </c>
      <c r="BH1745" s="7">
        <f>0</f>
        <v>0</v>
      </c>
      <c r="BI1745" s="8">
        <f>0</f>
        <v>0</v>
      </c>
      <c r="BJ1745" s="5" t="s">
        <v>253</v>
      </c>
      <c r="BK1745" s="5" t="s">
        <v>254</v>
      </c>
      <c r="BY1745" s="5" t="s">
        <v>238</v>
      </c>
      <c r="BZ1745" s="5" t="s">
        <v>238</v>
      </c>
      <c r="CD1745" s="5" t="s">
        <v>273</v>
      </c>
      <c r="CE1745" s="5" t="s">
        <v>256</v>
      </c>
      <c r="CF1745" s="5" t="s">
        <v>238</v>
      </c>
      <c r="CI1745" s="6" t="s">
        <v>257</v>
      </c>
      <c r="CJ1745" s="5" t="s">
        <v>238</v>
      </c>
      <c r="CK1745" s="5" t="s">
        <v>258</v>
      </c>
      <c r="CL1745" s="5" t="s">
        <v>238</v>
      </c>
      <c r="CM1745" s="5" t="s">
        <v>238</v>
      </c>
      <c r="CN1745" s="5">
        <v>0</v>
      </c>
      <c r="CO1745" s="5" t="s">
        <v>259</v>
      </c>
      <c r="CP1745" s="5" t="s">
        <v>260</v>
      </c>
      <c r="CQ1745" s="5" t="s">
        <v>260</v>
      </c>
      <c r="CR1745" s="5" t="s">
        <v>261</v>
      </c>
      <c r="CU1745" s="8">
        <f>1</f>
        <v>1</v>
      </c>
      <c r="CV1745" s="8">
        <f>0</f>
        <v>0</v>
      </c>
      <c r="CX1745" s="8">
        <f>0</f>
        <v>0</v>
      </c>
      <c r="CY1745" s="8">
        <f>1</f>
        <v>1</v>
      </c>
      <c r="DA1745" s="5" t="s">
        <v>673</v>
      </c>
      <c r="DB1745" s="5" t="s">
        <v>238</v>
      </c>
      <c r="DD1745" s="5" t="s">
        <v>673</v>
      </c>
      <c r="DE1745" s="8">
        <f>57</f>
        <v>57</v>
      </c>
      <c r="DG1745" s="5" t="s">
        <v>238</v>
      </c>
      <c r="DH1745" s="5" t="s">
        <v>238</v>
      </c>
      <c r="DI1745" s="5" t="s">
        <v>238</v>
      </c>
      <c r="DJ1745" s="5" t="s">
        <v>238</v>
      </c>
      <c r="DN1745" s="5" t="s">
        <v>238</v>
      </c>
      <c r="DO1745" s="5" t="s">
        <v>238</v>
      </c>
      <c r="DP1745" s="5" t="s">
        <v>238</v>
      </c>
      <c r="DQ1745" s="5" t="s">
        <v>238</v>
      </c>
      <c r="DT1745" s="5" t="s">
        <v>2039</v>
      </c>
      <c r="DU1745" s="5" t="s">
        <v>958</v>
      </c>
      <c r="HM1745" s="5" t="s">
        <v>264</v>
      </c>
    </row>
    <row r="1746" spans="1:221" x14ac:dyDescent="0.4">
      <c r="A1746" s="5">
        <v>3421</v>
      </c>
      <c r="B1746" s="5">
        <v>1</v>
      </c>
      <c r="C1746" s="5">
        <v>1</v>
      </c>
      <c r="D1746" s="5" t="s">
        <v>2037</v>
      </c>
      <c r="E1746" s="5" t="s">
        <v>271</v>
      </c>
      <c r="F1746" s="5" t="s">
        <v>248</v>
      </c>
      <c r="G1746" s="5" t="s">
        <v>1969</v>
      </c>
      <c r="H1746" s="6" t="s">
        <v>3683</v>
      </c>
      <c r="I1746" s="7">
        <f>17</f>
        <v>17</v>
      </c>
      <c r="J1746" s="5" t="s">
        <v>262</v>
      </c>
      <c r="K1746" s="8">
        <f>1</f>
        <v>1</v>
      </c>
      <c r="L1746" s="6" t="s">
        <v>242</v>
      </c>
      <c r="M1746" s="5" t="s">
        <v>267</v>
      </c>
      <c r="N1746" s="5" t="s">
        <v>265</v>
      </c>
      <c r="O1746" s="5" t="s">
        <v>238</v>
      </c>
      <c r="P1746" s="5" t="s">
        <v>238</v>
      </c>
      <c r="Q1746" s="5" t="s">
        <v>268</v>
      </c>
      <c r="R1746" s="5" t="s">
        <v>270</v>
      </c>
      <c r="S1746" s="5" t="s">
        <v>238</v>
      </c>
      <c r="V1746" s="5" t="s">
        <v>238</v>
      </c>
      <c r="X1746" s="6" t="s">
        <v>238</v>
      </c>
      <c r="AA1746" s="6" t="s">
        <v>243</v>
      </c>
      <c r="AB1746" s="5" t="s">
        <v>238</v>
      </c>
      <c r="AC1746" s="5" t="s">
        <v>244</v>
      </c>
      <c r="AD1746" s="5" t="s">
        <v>245</v>
      </c>
      <c r="AT1746" s="5" t="s">
        <v>246</v>
      </c>
      <c r="AU1746" s="5" t="s">
        <v>238</v>
      </c>
      <c r="AV1746" s="5" t="s">
        <v>247</v>
      </c>
      <c r="AW1746" s="5" t="s">
        <v>238</v>
      </c>
      <c r="AX1746" s="5" t="s">
        <v>249</v>
      </c>
      <c r="AY1746" s="5" t="s">
        <v>238</v>
      </c>
      <c r="BA1746" s="5" t="s">
        <v>238</v>
      </c>
      <c r="BC1746" s="5" t="s">
        <v>250</v>
      </c>
      <c r="BD1746" s="6" t="s">
        <v>243</v>
      </c>
      <c r="BE1746" s="5" t="s">
        <v>251</v>
      </c>
      <c r="BF1746" s="5" t="s">
        <v>252</v>
      </c>
      <c r="BG1746" s="5" t="s">
        <v>238</v>
      </c>
      <c r="BH1746" s="7">
        <f>0</f>
        <v>0</v>
      </c>
      <c r="BI1746" s="8">
        <f>0</f>
        <v>0</v>
      </c>
      <c r="BJ1746" s="5" t="s">
        <v>253</v>
      </c>
      <c r="BK1746" s="5" t="s">
        <v>254</v>
      </c>
      <c r="BY1746" s="5" t="s">
        <v>238</v>
      </c>
      <c r="BZ1746" s="5" t="s">
        <v>238</v>
      </c>
      <c r="CD1746" s="5" t="s">
        <v>273</v>
      </c>
      <c r="CE1746" s="5" t="s">
        <v>256</v>
      </c>
      <c r="CF1746" s="5" t="s">
        <v>238</v>
      </c>
      <c r="CI1746" s="6" t="s">
        <v>257</v>
      </c>
      <c r="CJ1746" s="5" t="s">
        <v>238</v>
      </c>
      <c r="CK1746" s="5" t="s">
        <v>258</v>
      </c>
      <c r="CL1746" s="5" t="s">
        <v>238</v>
      </c>
      <c r="CM1746" s="5" t="s">
        <v>238</v>
      </c>
      <c r="CN1746" s="5">
        <v>0</v>
      </c>
      <c r="CO1746" s="5" t="s">
        <v>259</v>
      </c>
      <c r="CP1746" s="5" t="s">
        <v>260</v>
      </c>
      <c r="CQ1746" s="5" t="s">
        <v>260</v>
      </c>
      <c r="CR1746" s="5" t="s">
        <v>261</v>
      </c>
      <c r="CU1746" s="8">
        <f>1</f>
        <v>1</v>
      </c>
      <c r="CV1746" s="8">
        <f>0</f>
        <v>0</v>
      </c>
      <c r="CX1746" s="8">
        <f>0</f>
        <v>0</v>
      </c>
      <c r="CY1746" s="8">
        <f>1</f>
        <v>1</v>
      </c>
      <c r="DA1746" s="5" t="s">
        <v>673</v>
      </c>
      <c r="DB1746" s="5" t="s">
        <v>238</v>
      </c>
      <c r="DD1746" s="5" t="s">
        <v>673</v>
      </c>
      <c r="DE1746" s="8">
        <f>17</f>
        <v>17</v>
      </c>
      <c r="DG1746" s="5" t="s">
        <v>238</v>
      </c>
      <c r="DH1746" s="5" t="s">
        <v>238</v>
      </c>
      <c r="DI1746" s="5" t="s">
        <v>238</v>
      </c>
      <c r="DJ1746" s="5" t="s">
        <v>238</v>
      </c>
      <c r="DN1746" s="5" t="s">
        <v>238</v>
      </c>
      <c r="DO1746" s="5" t="s">
        <v>238</v>
      </c>
      <c r="DP1746" s="5" t="s">
        <v>238</v>
      </c>
      <c r="DQ1746" s="5" t="s">
        <v>238</v>
      </c>
      <c r="DT1746" s="5" t="s">
        <v>2039</v>
      </c>
      <c r="DU1746" s="5" t="s">
        <v>956</v>
      </c>
      <c r="HM1746" s="5" t="s">
        <v>264</v>
      </c>
    </row>
    <row r="1747" spans="1:221" x14ac:dyDescent="0.4">
      <c r="A1747" s="5">
        <v>3422</v>
      </c>
      <c r="B1747" s="5">
        <v>1</v>
      </c>
      <c r="C1747" s="5">
        <v>1</v>
      </c>
      <c r="D1747" s="5" t="s">
        <v>2037</v>
      </c>
      <c r="E1747" s="5" t="s">
        <v>271</v>
      </c>
      <c r="F1747" s="5" t="s">
        <v>248</v>
      </c>
      <c r="G1747" s="5" t="s">
        <v>1969</v>
      </c>
      <c r="H1747" s="6" t="s">
        <v>3686</v>
      </c>
      <c r="I1747" s="7">
        <f>40</f>
        <v>40</v>
      </c>
      <c r="J1747" s="5" t="s">
        <v>262</v>
      </c>
      <c r="K1747" s="8">
        <f>1</f>
        <v>1</v>
      </c>
      <c r="L1747" s="6" t="s">
        <v>242</v>
      </c>
      <c r="M1747" s="5" t="s">
        <v>267</v>
      </c>
      <c r="N1747" s="5" t="s">
        <v>265</v>
      </c>
      <c r="O1747" s="5" t="s">
        <v>238</v>
      </c>
      <c r="P1747" s="5" t="s">
        <v>238</v>
      </c>
      <c r="Q1747" s="5" t="s">
        <v>268</v>
      </c>
      <c r="R1747" s="5" t="s">
        <v>270</v>
      </c>
      <c r="S1747" s="5" t="s">
        <v>238</v>
      </c>
      <c r="V1747" s="5" t="s">
        <v>238</v>
      </c>
      <c r="X1747" s="6" t="s">
        <v>238</v>
      </c>
      <c r="AA1747" s="6" t="s">
        <v>243</v>
      </c>
      <c r="AB1747" s="5" t="s">
        <v>238</v>
      </c>
      <c r="AC1747" s="5" t="s">
        <v>244</v>
      </c>
      <c r="AD1747" s="5" t="s">
        <v>245</v>
      </c>
      <c r="AT1747" s="5" t="s">
        <v>246</v>
      </c>
      <c r="AU1747" s="5" t="s">
        <v>238</v>
      </c>
      <c r="AV1747" s="5" t="s">
        <v>247</v>
      </c>
      <c r="AW1747" s="5" t="s">
        <v>238</v>
      </c>
      <c r="AX1747" s="5" t="s">
        <v>249</v>
      </c>
      <c r="AY1747" s="5" t="s">
        <v>238</v>
      </c>
      <c r="BA1747" s="5" t="s">
        <v>238</v>
      </c>
      <c r="BC1747" s="5" t="s">
        <v>250</v>
      </c>
      <c r="BD1747" s="6" t="s">
        <v>243</v>
      </c>
      <c r="BE1747" s="5" t="s">
        <v>251</v>
      </c>
      <c r="BF1747" s="5" t="s">
        <v>252</v>
      </c>
      <c r="BG1747" s="5" t="s">
        <v>238</v>
      </c>
      <c r="BH1747" s="7">
        <f>0</f>
        <v>0</v>
      </c>
      <c r="BI1747" s="8">
        <f>0</f>
        <v>0</v>
      </c>
      <c r="BJ1747" s="5" t="s">
        <v>253</v>
      </c>
      <c r="BK1747" s="5" t="s">
        <v>254</v>
      </c>
      <c r="BY1747" s="5" t="s">
        <v>238</v>
      </c>
      <c r="BZ1747" s="5" t="s">
        <v>238</v>
      </c>
      <c r="CD1747" s="5" t="s">
        <v>273</v>
      </c>
      <c r="CE1747" s="5" t="s">
        <v>256</v>
      </c>
      <c r="CF1747" s="5" t="s">
        <v>238</v>
      </c>
      <c r="CI1747" s="6" t="s">
        <v>257</v>
      </c>
      <c r="CJ1747" s="5" t="s">
        <v>238</v>
      </c>
      <c r="CK1747" s="5" t="s">
        <v>258</v>
      </c>
      <c r="CL1747" s="5" t="s">
        <v>238</v>
      </c>
      <c r="CM1747" s="5" t="s">
        <v>238</v>
      </c>
      <c r="CN1747" s="5">
        <v>0</v>
      </c>
      <c r="CO1747" s="5" t="s">
        <v>259</v>
      </c>
      <c r="CP1747" s="5" t="s">
        <v>260</v>
      </c>
      <c r="CQ1747" s="5" t="s">
        <v>260</v>
      </c>
      <c r="CR1747" s="5" t="s">
        <v>261</v>
      </c>
      <c r="CU1747" s="8">
        <f>1</f>
        <v>1</v>
      </c>
      <c r="CV1747" s="8">
        <f>0</f>
        <v>0</v>
      </c>
      <c r="CX1747" s="8">
        <f>0</f>
        <v>0</v>
      </c>
      <c r="CY1747" s="8">
        <f>1</f>
        <v>1</v>
      </c>
      <c r="DA1747" s="5" t="s">
        <v>673</v>
      </c>
      <c r="DB1747" s="5" t="s">
        <v>238</v>
      </c>
      <c r="DD1747" s="5" t="s">
        <v>673</v>
      </c>
      <c r="DE1747" s="8">
        <f>40</f>
        <v>40</v>
      </c>
      <c r="DG1747" s="5" t="s">
        <v>238</v>
      </c>
      <c r="DH1747" s="5" t="s">
        <v>238</v>
      </c>
      <c r="DI1747" s="5" t="s">
        <v>238</v>
      </c>
      <c r="DJ1747" s="5" t="s">
        <v>238</v>
      </c>
      <c r="DN1747" s="5" t="s">
        <v>238</v>
      </c>
      <c r="DO1747" s="5" t="s">
        <v>238</v>
      </c>
      <c r="DP1747" s="5" t="s">
        <v>238</v>
      </c>
      <c r="DQ1747" s="5" t="s">
        <v>238</v>
      </c>
      <c r="DT1747" s="5" t="s">
        <v>2039</v>
      </c>
      <c r="DU1747" s="5" t="s">
        <v>960</v>
      </c>
      <c r="HM1747" s="5" t="s">
        <v>264</v>
      </c>
    </row>
    <row r="1748" spans="1:221" x14ac:dyDescent="0.4">
      <c r="A1748" s="5">
        <v>3423</v>
      </c>
      <c r="B1748" s="5">
        <v>1</v>
      </c>
      <c r="C1748" s="5">
        <v>1</v>
      </c>
      <c r="D1748" s="5" t="s">
        <v>2037</v>
      </c>
      <c r="E1748" s="5" t="s">
        <v>271</v>
      </c>
      <c r="F1748" s="5" t="s">
        <v>248</v>
      </c>
      <c r="G1748" s="5" t="s">
        <v>1969</v>
      </c>
      <c r="H1748" s="6" t="s">
        <v>3675</v>
      </c>
      <c r="I1748" s="7">
        <f>129</f>
        <v>129</v>
      </c>
      <c r="J1748" s="5" t="s">
        <v>262</v>
      </c>
      <c r="K1748" s="8">
        <f>1</f>
        <v>1</v>
      </c>
      <c r="L1748" s="6" t="s">
        <v>242</v>
      </c>
      <c r="M1748" s="5" t="s">
        <v>267</v>
      </c>
      <c r="N1748" s="5" t="s">
        <v>265</v>
      </c>
      <c r="O1748" s="5" t="s">
        <v>238</v>
      </c>
      <c r="P1748" s="5" t="s">
        <v>238</v>
      </c>
      <c r="Q1748" s="5" t="s">
        <v>268</v>
      </c>
      <c r="R1748" s="5" t="s">
        <v>270</v>
      </c>
      <c r="S1748" s="5" t="s">
        <v>238</v>
      </c>
      <c r="V1748" s="5" t="s">
        <v>238</v>
      </c>
      <c r="X1748" s="6" t="s">
        <v>238</v>
      </c>
      <c r="AA1748" s="6" t="s">
        <v>243</v>
      </c>
      <c r="AB1748" s="5" t="s">
        <v>238</v>
      </c>
      <c r="AC1748" s="5" t="s">
        <v>244</v>
      </c>
      <c r="AD1748" s="5" t="s">
        <v>245</v>
      </c>
      <c r="AT1748" s="5" t="s">
        <v>246</v>
      </c>
      <c r="AU1748" s="5" t="s">
        <v>238</v>
      </c>
      <c r="AV1748" s="5" t="s">
        <v>247</v>
      </c>
      <c r="AW1748" s="5" t="s">
        <v>238</v>
      </c>
      <c r="AX1748" s="5" t="s">
        <v>249</v>
      </c>
      <c r="AY1748" s="5" t="s">
        <v>238</v>
      </c>
      <c r="BA1748" s="5" t="s">
        <v>238</v>
      </c>
      <c r="BC1748" s="5" t="s">
        <v>250</v>
      </c>
      <c r="BD1748" s="6" t="s">
        <v>243</v>
      </c>
      <c r="BE1748" s="5" t="s">
        <v>251</v>
      </c>
      <c r="BF1748" s="5" t="s">
        <v>252</v>
      </c>
      <c r="BG1748" s="5" t="s">
        <v>238</v>
      </c>
      <c r="BH1748" s="7">
        <f>0</f>
        <v>0</v>
      </c>
      <c r="BI1748" s="8">
        <f>0</f>
        <v>0</v>
      </c>
      <c r="BJ1748" s="5" t="s">
        <v>253</v>
      </c>
      <c r="BK1748" s="5" t="s">
        <v>254</v>
      </c>
      <c r="BY1748" s="5" t="s">
        <v>238</v>
      </c>
      <c r="BZ1748" s="5" t="s">
        <v>238</v>
      </c>
      <c r="CD1748" s="5" t="s">
        <v>273</v>
      </c>
      <c r="CE1748" s="5" t="s">
        <v>256</v>
      </c>
      <c r="CF1748" s="5" t="s">
        <v>238</v>
      </c>
      <c r="CI1748" s="6" t="s">
        <v>257</v>
      </c>
      <c r="CJ1748" s="5" t="s">
        <v>238</v>
      </c>
      <c r="CK1748" s="5" t="s">
        <v>258</v>
      </c>
      <c r="CL1748" s="5" t="s">
        <v>238</v>
      </c>
      <c r="CM1748" s="5" t="s">
        <v>238</v>
      </c>
      <c r="CN1748" s="5">
        <v>0</v>
      </c>
      <c r="CO1748" s="5" t="s">
        <v>259</v>
      </c>
      <c r="CP1748" s="5" t="s">
        <v>260</v>
      </c>
      <c r="CQ1748" s="5" t="s">
        <v>260</v>
      </c>
      <c r="CR1748" s="5" t="s">
        <v>261</v>
      </c>
      <c r="CU1748" s="8">
        <f>1</f>
        <v>1</v>
      </c>
      <c r="CV1748" s="8">
        <f>0</f>
        <v>0</v>
      </c>
      <c r="CX1748" s="8">
        <f>0</f>
        <v>0</v>
      </c>
      <c r="CY1748" s="8">
        <f>1</f>
        <v>1</v>
      </c>
      <c r="DA1748" s="5" t="s">
        <v>673</v>
      </c>
      <c r="DB1748" s="5" t="s">
        <v>238</v>
      </c>
      <c r="DD1748" s="5" t="s">
        <v>673</v>
      </c>
      <c r="DE1748" s="8">
        <f>129</f>
        <v>129</v>
      </c>
      <c r="DG1748" s="5" t="s">
        <v>238</v>
      </c>
      <c r="DH1748" s="5" t="s">
        <v>238</v>
      </c>
      <c r="DI1748" s="5" t="s">
        <v>238</v>
      </c>
      <c r="DJ1748" s="5" t="s">
        <v>238</v>
      </c>
      <c r="DN1748" s="5" t="s">
        <v>238</v>
      </c>
      <c r="DO1748" s="5" t="s">
        <v>238</v>
      </c>
      <c r="DP1748" s="5" t="s">
        <v>238</v>
      </c>
      <c r="DQ1748" s="5" t="s">
        <v>238</v>
      </c>
      <c r="DT1748" s="5" t="s">
        <v>2039</v>
      </c>
      <c r="DU1748" s="5" t="s">
        <v>964</v>
      </c>
      <c r="HM1748" s="5" t="s">
        <v>264</v>
      </c>
    </row>
    <row r="1749" spans="1:221" x14ac:dyDescent="0.4">
      <c r="A1749" s="5">
        <v>3424</v>
      </c>
      <c r="B1749" s="5">
        <v>1</v>
      </c>
      <c r="C1749" s="5">
        <v>1</v>
      </c>
      <c r="D1749" s="5" t="s">
        <v>2037</v>
      </c>
      <c r="E1749" s="5" t="s">
        <v>271</v>
      </c>
      <c r="F1749" s="5" t="s">
        <v>248</v>
      </c>
      <c r="G1749" s="5" t="s">
        <v>1969</v>
      </c>
      <c r="H1749" s="6" t="s">
        <v>3500</v>
      </c>
      <c r="I1749" s="7">
        <f>906</f>
        <v>906</v>
      </c>
      <c r="J1749" s="5" t="s">
        <v>262</v>
      </c>
      <c r="K1749" s="8">
        <f>1</f>
        <v>1</v>
      </c>
      <c r="L1749" s="6" t="s">
        <v>242</v>
      </c>
      <c r="M1749" s="5" t="s">
        <v>267</v>
      </c>
      <c r="N1749" s="5" t="s">
        <v>265</v>
      </c>
      <c r="O1749" s="5" t="s">
        <v>238</v>
      </c>
      <c r="P1749" s="5" t="s">
        <v>238</v>
      </c>
      <c r="Q1749" s="5" t="s">
        <v>268</v>
      </c>
      <c r="R1749" s="5" t="s">
        <v>270</v>
      </c>
      <c r="S1749" s="5" t="s">
        <v>238</v>
      </c>
      <c r="V1749" s="5" t="s">
        <v>238</v>
      </c>
      <c r="X1749" s="6" t="s">
        <v>238</v>
      </c>
      <c r="AA1749" s="6" t="s">
        <v>243</v>
      </c>
      <c r="AB1749" s="5" t="s">
        <v>238</v>
      </c>
      <c r="AC1749" s="5" t="s">
        <v>244</v>
      </c>
      <c r="AD1749" s="5" t="s">
        <v>245</v>
      </c>
      <c r="AT1749" s="5" t="s">
        <v>246</v>
      </c>
      <c r="AU1749" s="5" t="s">
        <v>238</v>
      </c>
      <c r="AV1749" s="5" t="s">
        <v>247</v>
      </c>
      <c r="AW1749" s="5" t="s">
        <v>238</v>
      </c>
      <c r="AX1749" s="5" t="s">
        <v>249</v>
      </c>
      <c r="AY1749" s="5" t="s">
        <v>238</v>
      </c>
      <c r="BA1749" s="5" t="s">
        <v>238</v>
      </c>
      <c r="BC1749" s="5" t="s">
        <v>250</v>
      </c>
      <c r="BD1749" s="6" t="s">
        <v>243</v>
      </c>
      <c r="BE1749" s="5" t="s">
        <v>251</v>
      </c>
      <c r="BF1749" s="5" t="s">
        <v>252</v>
      </c>
      <c r="BG1749" s="5" t="s">
        <v>238</v>
      </c>
      <c r="BH1749" s="7">
        <f>0</f>
        <v>0</v>
      </c>
      <c r="BI1749" s="8">
        <f>0</f>
        <v>0</v>
      </c>
      <c r="BJ1749" s="5" t="s">
        <v>253</v>
      </c>
      <c r="BK1749" s="5" t="s">
        <v>254</v>
      </c>
      <c r="BY1749" s="5" t="s">
        <v>238</v>
      </c>
      <c r="BZ1749" s="5" t="s">
        <v>238</v>
      </c>
      <c r="CD1749" s="5" t="s">
        <v>273</v>
      </c>
      <c r="CE1749" s="5" t="s">
        <v>256</v>
      </c>
      <c r="CF1749" s="5" t="s">
        <v>238</v>
      </c>
      <c r="CI1749" s="6" t="s">
        <v>257</v>
      </c>
      <c r="CJ1749" s="5" t="s">
        <v>238</v>
      </c>
      <c r="CK1749" s="5" t="s">
        <v>258</v>
      </c>
      <c r="CL1749" s="5" t="s">
        <v>238</v>
      </c>
      <c r="CM1749" s="5" t="s">
        <v>238</v>
      </c>
      <c r="CN1749" s="5">
        <v>0</v>
      </c>
      <c r="CO1749" s="5" t="s">
        <v>259</v>
      </c>
      <c r="CP1749" s="5" t="s">
        <v>260</v>
      </c>
      <c r="CQ1749" s="5" t="s">
        <v>260</v>
      </c>
      <c r="CR1749" s="5" t="s">
        <v>261</v>
      </c>
      <c r="CU1749" s="8">
        <f>1</f>
        <v>1</v>
      </c>
      <c r="CV1749" s="8">
        <f>0</f>
        <v>0</v>
      </c>
      <c r="CX1749" s="8">
        <f>0</f>
        <v>0</v>
      </c>
      <c r="CY1749" s="8">
        <f>1</f>
        <v>1</v>
      </c>
      <c r="DA1749" s="5" t="s">
        <v>673</v>
      </c>
      <c r="DB1749" s="5" t="s">
        <v>238</v>
      </c>
      <c r="DD1749" s="5" t="s">
        <v>673</v>
      </c>
      <c r="DE1749" s="8">
        <f>906</f>
        <v>906</v>
      </c>
      <c r="DG1749" s="5" t="s">
        <v>238</v>
      </c>
      <c r="DH1749" s="5" t="s">
        <v>238</v>
      </c>
      <c r="DI1749" s="5" t="s">
        <v>238</v>
      </c>
      <c r="DJ1749" s="5" t="s">
        <v>238</v>
      </c>
      <c r="DN1749" s="5" t="s">
        <v>238</v>
      </c>
      <c r="DO1749" s="5" t="s">
        <v>238</v>
      </c>
      <c r="DP1749" s="5" t="s">
        <v>238</v>
      </c>
      <c r="DQ1749" s="5" t="s">
        <v>238</v>
      </c>
      <c r="DT1749" s="5" t="s">
        <v>2039</v>
      </c>
      <c r="DU1749" s="5" t="s">
        <v>966</v>
      </c>
      <c r="HM1749" s="5" t="s">
        <v>264</v>
      </c>
    </row>
    <row r="1750" spans="1:221" x14ac:dyDescent="0.4">
      <c r="A1750" s="5">
        <v>3425</v>
      </c>
      <c r="B1750" s="5">
        <v>1</v>
      </c>
      <c r="C1750" s="5">
        <v>1</v>
      </c>
      <c r="D1750" s="5" t="s">
        <v>2037</v>
      </c>
      <c r="E1750" s="5" t="s">
        <v>271</v>
      </c>
      <c r="F1750" s="5" t="s">
        <v>248</v>
      </c>
      <c r="G1750" s="5" t="s">
        <v>1969</v>
      </c>
      <c r="H1750" s="6" t="s">
        <v>3485</v>
      </c>
      <c r="I1750" s="7">
        <f>3657</f>
        <v>3657</v>
      </c>
      <c r="J1750" s="5" t="s">
        <v>262</v>
      </c>
      <c r="K1750" s="8">
        <f>1</f>
        <v>1</v>
      </c>
      <c r="L1750" s="6" t="s">
        <v>242</v>
      </c>
      <c r="M1750" s="5" t="s">
        <v>267</v>
      </c>
      <c r="N1750" s="5" t="s">
        <v>265</v>
      </c>
      <c r="O1750" s="5" t="s">
        <v>238</v>
      </c>
      <c r="P1750" s="5" t="s">
        <v>238</v>
      </c>
      <c r="Q1750" s="5" t="s">
        <v>268</v>
      </c>
      <c r="R1750" s="5" t="s">
        <v>270</v>
      </c>
      <c r="S1750" s="5" t="s">
        <v>238</v>
      </c>
      <c r="V1750" s="5" t="s">
        <v>238</v>
      </c>
      <c r="X1750" s="6" t="s">
        <v>238</v>
      </c>
      <c r="AA1750" s="6" t="s">
        <v>243</v>
      </c>
      <c r="AB1750" s="5" t="s">
        <v>238</v>
      </c>
      <c r="AC1750" s="5" t="s">
        <v>244</v>
      </c>
      <c r="AD1750" s="5" t="s">
        <v>245</v>
      </c>
      <c r="AT1750" s="5" t="s">
        <v>246</v>
      </c>
      <c r="AU1750" s="5" t="s">
        <v>238</v>
      </c>
      <c r="AV1750" s="5" t="s">
        <v>247</v>
      </c>
      <c r="AW1750" s="5" t="s">
        <v>238</v>
      </c>
      <c r="AX1750" s="5" t="s">
        <v>249</v>
      </c>
      <c r="AY1750" s="5" t="s">
        <v>238</v>
      </c>
      <c r="BA1750" s="5" t="s">
        <v>238</v>
      </c>
      <c r="BC1750" s="5" t="s">
        <v>250</v>
      </c>
      <c r="BD1750" s="6" t="s">
        <v>243</v>
      </c>
      <c r="BE1750" s="5" t="s">
        <v>251</v>
      </c>
      <c r="BF1750" s="5" t="s">
        <v>252</v>
      </c>
      <c r="BG1750" s="5" t="s">
        <v>238</v>
      </c>
      <c r="BH1750" s="7">
        <f>0</f>
        <v>0</v>
      </c>
      <c r="BI1750" s="8">
        <f>0</f>
        <v>0</v>
      </c>
      <c r="BJ1750" s="5" t="s">
        <v>253</v>
      </c>
      <c r="BK1750" s="5" t="s">
        <v>254</v>
      </c>
      <c r="BY1750" s="5" t="s">
        <v>238</v>
      </c>
      <c r="BZ1750" s="5" t="s">
        <v>238</v>
      </c>
      <c r="CD1750" s="5" t="s">
        <v>273</v>
      </c>
      <c r="CE1750" s="5" t="s">
        <v>256</v>
      </c>
      <c r="CF1750" s="5" t="s">
        <v>238</v>
      </c>
      <c r="CI1750" s="6" t="s">
        <v>257</v>
      </c>
      <c r="CJ1750" s="5" t="s">
        <v>238</v>
      </c>
      <c r="CK1750" s="5" t="s">
        <v>258</v>
      </c>
      <c r="CL1750" s="5" t="s">
        <v>238</v>
      </c>
      <c r="CM1750" s="5" t="s">
        <v>238</v>
      </c>
      <c r="CN1750" s="5">
        <v>0</v>
      </c>
      <c r="CO1750" s="5" t="s">
        <v>259</v>
      </c>
      <c r="CP1750" s="5" t="s">
        <v>260</v>
      </c>
      <c r="CQ1750" s="5" t="s">
        <v>260</v>
      </c>
      <c r="CR1750" s="5" t="s">
        <v>261</v>
      </c>
      <c r="CU1750" s="8">
        <f>1</f>
        <v>1</v>
      </c>
      <c r="CV1750" s="8">
        <f>0</f>
        <v>0</v>
      </c>
      <c r="CX1750" s="8">
        <f>0</f>
        <v>0</v>
      </c>
      <c r="CY1750" s="8">
        <f>1</f>
        <v>1</v>
      </c>
      <c r="DA1750" s="5" t="s">
        <v>673</v>
      </c>
      <c r="DB1750" s="5" t="s">
        <v>238</v>
      </c>
      <c r="DD1750" s="5" t="s">
        <v>673</v>
      </c>
      <c r="DE1750" s="8">
        <f>3657</f>
        <v>3657</v>
      </c>
      <c r="DG1750" s="5" t="s">
        <v>238</v>
      </c>
      <c r="DH1750" s="5" t="s">
        <v>238</v>
      </c>
      <c r="DI1750" s="5" t="s">
        <v>238</v>
      </c>
      <c r="DJ1750" s="5" t="s">
        <v>238</v>
      </c>
      <c r="DN1750" s="5" t="s">
        <v>238</v>
      </c>
      <c r="DO1750" s="5" t="s">
        <v>238</v>
      </c>
      <c r="DP1750" s="5" t="s">
        <v>238</v>
      </c>
      <c r="DQ1750" s="5" t="s">
        <v>238</v>
      </c>
      <c r="DT1750" s="5" t="s">
        <v>2039</v>
      </c>
      <c r="DU1750" s="5" t="s">
        <v>3486</v>
      </c>
      <c r="HM1750" s="5" t="s">
        <v>264</v>
      </c>
    </row>
    <row r="1751" spans="1:221" x14ac:dyDescent="0.4">
      <c r="A1751" s="5">
        <v>3426</v>
      </c>
      <c r="B1751" s="5">
        <v>1</v>
      </c>
      <c r="C1751" s="5">
        <v>1</v>
      </c>
      <c r="D1751" s="5" t="s">
        <v>2037</v>
      </c>
      <c r="E1751" s="5" t="s">
        <v>271</v>
      </c>
      <c r="F1751" s="5" t="s">
        <v>248</v>
      </c>
      <c r="G1751" s="5" t="s">
        <v>1969</v>
      </c>
      <c r="H1751" s="6" t="s">
        <v>3319</v>
      </c>
      <c r="I1751" s="7">
        <f>551</f>
        <v>551</v>
      </c>
      <c r="J1751" s="5" t="s">
        <v>262</v>
      </c>
      <c r="K1751" s="8">
        <f>1</f>
        <v>1</v>
      </c>
      <c r="L1751" s="6" t="s">
        <v>242</v>
      </c>
      <c r="M1751" s="5" t="s">
        <v>267</v>
      </c>
      <c r="N1751" s="5" t="s">
        <v>265</v>
      </c>
      <c r="O1751" s="5" t="s">
        <v>238</v>
      </c>
      <c r="P1751" s="5" t="s">
        <v>238</v>
      </c>
      <c r="Q1751" s="5" t="s">
        <v>268</v>
      </c>
      <c r="R1751" s="5" t="s">
        <v>270</v>
      </c>
      <c r="S1751" s="5" t="s">
        <v>238</v>
      </c>
      <c r="V1751" s="5" t="s">
        <v>238</v>
      </c>
      <c r="X1751" s="6" t="s">
        <v>238</v>
      </c>
      <c r="AA1751" s="6" t="s">
        <v>243</v>
      </c>
      <c r="AB1751" s="5" t="s">
        <v>238</v>
      </c>
      <c r="AC1751" s="5" t="s">
        <v>244</v>
      </c>
      <c r="AD1751" s="5" t="s">
        <v>245</v>
      </c>
      <c r="AT1751" s="5" t="s">
        <v>246</v>
      </c>
      <c r="AU1751" s="5" t="s">
        <v>238</v>
      </c>
      <c r="AV1751" s="5" t="s">
        <v>247</v>
      </c>
      <c r="AW1751" s="5" t="s">
        <v>238</v>
      </c>
      <c r="AX1751" s="5" t="s">
        <v>249</v>
      </c>
      <c r="AY1751" s="5" t="s">
        <v>238</v>
      </c>
      <c r="BA1751" s="5" t="s">
        <v>238</v>
      </c>
      <c r="BC1751" s="5" t="s">
        <v>250</v>
      </c>
      <c r="BD1751" s="6" t="s">
        <v>243</v>
      </c>
      <c r="BE1751" s="5" t="s">
        <v>251</v>
      </c>
      <c r="BF1751" s="5" t="s">
        <v>252</v>
      </c>
      <c r="BG1751" s="5" t="s">
        <v>238</v>
      </c>
      <c r="BH1751" s="7">
        <f>0</f>
        <v>0</v>
      </c>
      <c r="BI1751" s="8">
        <f>0</f>
        <v>0</v>
      </c>
      <c r="BJ1751" s="5" t="s">
        <v>253</v>
      </c>
      <c r="BK1751" s="5" t="s">
        <v>254</v>
      </c>
      <c r="BY1751" s="5" t="s">
        <v>238</v>
      </c>
      <c r="BZ1751" s="5" t="s">
        <v>238</v>
      </c>
      <c r="CD1751" s="5" t="s">
        <v>273</v>
      </c>
      <c r="CE1751" s="5" t="s">
        <v>256</v>
      </c>
      <c r="CF1751" s="5" t="s">
        <v>238</v>
      </c>
      <c r="CI1751" s="6" t="s">
        <v>257</v>
      </c>
      <c r="CJ1751" s="5" t="s">
        <v>238</v>
      </c>
      <c r="CK1751" s="5" t="s">
        <v>258</v>
      </c>
      <c r="CL1751" s="5" t="s">
        <v>238</v>
      </c>
      <c r="CM1751" s="5" t="s">
        <v>238</v>
      </c>
      <c r="CN1751" s="5">
        <v>0</v>
      </c>
      <c r="CO1751" s="5" t="s">
        <v>259</v>
      </c>
      <c r="CP1751" s="5" t="s">
        <v>260</v>
      </c>
      <c r="CQ1751" s="5" t="s">
        <v>260</v>
      </c>
      <c r="CR1751" s="5" t="s">
        <v>261</v>
      </c>
      <c r="CU1751" s="8">
        <f>1</f>
        <v>1</v>
      </c>
      <c r="CV1751" s="8">
        <f>0</f>
        <v>0</v>
      </c>
      <c r="CX1751" s="8">
        <f>0</f>
        <v>0</v>
      </c>
      <c r="CY1751" s="8">
        <f>1</f>
        <v>1</v>
      </c>
      <c r="DA1751" s="5" t="s">
        <v>673</v>
      </c>
      <c r="DB1751" s="5" t="s">
        <v>238</v>
      </c>
      <c r="DD1751" s="5" t="s">
        <v>673</v>
      </c>
      <c r="DE1751" s="8">
        <f>551</f>
        <v>551</v>
      </c>
      <c r="DG1751" s="5" t="s">
        <v>238</v>
      </c>
      <c r="DH1751" s="5" t="s">
        <v>238</v>
      </c>
      <c r="DI1751" s="5" t="s">
        <v>238</v>
      </c>
      <c r="DJ1751" s="5" t="s">
        <v>238</v>
      </c>
      <c r="DN1751" s="5" t="s">
        <v>238</v>
      </c>
      <c r="DO1751" s="5" t="s">
        <v>238</v>
      </c>
      <c r="DP1751" s="5" t="s">
        <v>238</v>
      </c>
      <c r="DQ1751" s="5" t="s">
        <v>238</v>
      </c>
      <c r="DT1751" s="5" t="s">
        <v>2039</v>
      </c>
      <c r="DU1751" s="5" t="s">
        <v>969</v>
      </c>
      <c r="HM1751" s="5" t="s">
        <v>264</v>
      </c>
    </row>
    <row r="1752" spans="1:221" x14ac:dyDescent="0.4">
      <c r="A1752" s="5">
        <v>3427</v>
      </c>
      <c r="B1752" s="5">
        <v>1</v>
      </c>
      <c r="C1752" s="5">
        <v>1</v>
      </c>
      <c r="D1752" s="5" t="s">
        <v>2037</v>
      </c>
      <c r="E1752" s="5" t="s">
        <v>271</v>
      </c>
      <c r="F1752" s="5" t="s">
        <v>248</v>
      </c>
      <c r="G1752" s="5" t="s">
        <v>1969</v>
      </c>
      <c r="H1752" s="6" t="s">
        <v>2944</v>
      </c>
      <c r="I1752" s="7">
        <f>3602</f>
        <v>3602</v>
      </c>
      <c r="J1752" s="5" t="s">
        <v>262</v>
      </c>
      <c r="K1752" s="8">
        <f>1</f>
        <v>1</v>
      </c>
      <c r="L1752" s="6" t="s">
        <v>242</v>
      </c>
      <c r="M1752" s="5" t="s">
        <v>267</v>
      </c>
      <c r="N1752" s="5" t="s">
        <v>265</v>
      </c>
      <c r="O1752" s="5" t="s">
        <v>238</v>
      </c>
      <c r="P1752" s="5" t="s">
        <v>238</v>
      </c>
      <c r="Q1752" s="5" t="s">
        <v>268</v>
      </c>
      <c r="R1752" s="5" t="s">
        <v>270</v>
      </c>
      <c r="S1752" s="5" t="s">
        <v>238</v>
      </c>
      <c r="V1752" s="5" t="s">
        <v>238</v>
      </c>
      <c r="X1752" s="6" t="s">
        <v>238</v>
      </c>
      <c r="AA1752" s="6" t="s">
        <v>243</v>
      </c>
      <c r="AB1752" s="5" t="s">
        <v>238</v>
      </c>
      <c r="AC1752" s="5" t="s">
        <v>244</v>
      </c>
      <c r="AD1752" s="5" t="s">
        <v>245</v>
      </c>
      <c r="AT1752" s="5" t="s">
        <v>246</v>
      </c>
      <c r="AU1752" s="5" t="s">
        <v>238</v>
      </c>
      <c r="AV1752" s="5" t="s">
        <v>247</v>
      </c>
      <c r="AW1752" s="5" t="s">
        <v>238</v>
      </c>
      <c r="AX1752" s="5" t="s">
        <v>249</v>
      </c>
      <c r="AY1752" s="5" t="s">
        <v>238</v>
      </c>
      <c r="BA1752" s="5" t="s">
        <v>238</v>
      </c>
      <c r="BC1752" s="5" t="s">
        <v>250</v>
      </c>
      <c r="BD1752" s="6" t="s">
        <v>243</v>
      </c>
      <c r="BE1752" s="5" t="s">
        <v>251</v>
      </c>
      <c r="BF1752" s="5" t="s">
        <v>252</v>
      </c>
      <c r="BG1752" s="5" t="s">
        <v>238</v>
      </c>
      <c r="BH1752" s="7">
        <f>0</f>
        <v>0</v>
      </c>
      <c r="BI1752" s="8">
        <f>0</f>
        <v>0</v>
      </c>
      <c r="BJ1752" s="5" t="s">
        <v>253</v>
      </c>
      <c r="BK1752" s="5" t="s">
        <v>254</v>
      </c>
      <c r="BY1752" s="5" t="s">
        <v>238</v>
      </c>
      <c r="BZ1752" s="5" t="s">
        <v>238</v>
      </c>
      <c r="CD1752" s="5" t="s">
        <v>273</v>
      </c>
      <c r="CE1752" s="5" t="s">
        <v>256</v>
      </c>
      <c r="CF1752" s="5" t="s">
        <v>238</v>
      </c>
      <c r="CI1752" s="6" t="s">
        <v>257</v>
      </c>
      <c r="CJ1752" s="5" t="s">
        <v>238</v>
      </c>
      <c r="CK1752" s="5" t="s">
        <v>258</v>
      </c>
      <c r="CL1752" s="5" t="s">
        <v>238</v>
      </c>
      <c r="CM1752" s="5" t="s">
        <v>238</v>
      </c>
      <c r="CN1752" s="5">
        <v>0</v>
      </c>
      <c r="CO1752" s="5" t="s">
        <v>259</v>
      </c>
      <c r="CP1752" s="5" t="s">
        <v>260</v>
      </c>
      <c r="CQ1752" s="5" t="s">
        <v>260</v>
      </c>
      <c r="CR1752" s="5" t="s">
        <v>261</v>
      </c>
      <c r="CU1752" s="8">
        <f>1</f>
        <v>1</v>
      </c>
      <c r="CV1752" s="8">
        <f>0</f>
        <v>0</v>
      </c>
      <c r="CX1752" s="8">
        <f>0</f>
        <v>0</v>
      </c>
      <c r="CY1752" s="8">
        <f>1</f>
        <v>1</v>
      </c>
      <c r="DA1752" s="5" t="s">
        <v>673</v>
      </c>
      <c r="DB1752" s="5" t="s">
        <v>238</v>
      </c>
      <c r="DD1752" s="5" t="s">
        <v>673</v>
      </c>
      <c r="DE1752" s="8">
        <f>3602</f>
        <v>3602</v>
      </c>
      <c r="DG1752" s="5" t="s">
        <v>238</v>
      </c>
      <c r="DH1752" s="5" t="s">
        <v>238</v>
      </c>
      <c r="DI1752" s="5" t="s">
        <v>238</v>
      </c>
      <c r="DJ1752" s="5" t="s">
        <v>238</v>
      </c>
      <c r="DN1752" s="5" t="s">
        <v>238</v>
      </c>
      <c r="DO1752" s="5" t="s">
        <v>238</v>
      </c>
      <c r="DP1752" s="5" t="s">
        <v>238</v>
      </c>
      <c r="DQ1752" s="5" t="s">
        <v>238</v>
      </c>
      <c r="DT1752" s="5" t="s">
        <v>2039</v>
      </c>
      <c r="DU1752" s="5" t="s">
        <v>971</v>
      </c>
      <c r="HM1752" s="5" t="s">
        <v>264</v>
      </c>
    </row>
    <row r="1753" spans="1:221" x14ac:dyDescent="0.4">
      <c r="A1753" s="5">
        <v>3428</v>
      </c>
      <c r="B1753" s="5">
        <v>1</v>
      </c>
      <c r="C1753" s="5">
        <v>1</v>
      </c>
      <c r="D1753" s="5" t="s">
        <v>2037</v>
      </c>
      <c r="E1753" s="5" t="s">
        <v>271</v>
      </c>
      <c r="F1753" s="5" t="s">
        <v>248</v>
      </c>
      <c r="G1753" s="5" t="s">
        <v>1969</v>
      </c>
      <c r="H1753" s="6" t="s">
        <v>3737</v>
      </c>
      <c r="I1753" s="7">
        <f>1004</f>
        <v>1004</v>
      </c>
      <c r="J1753" s="5" t="s">
        <v>262</v>
      </c>
      <c r="K1753" s="8">
        <f>1</f>
        <v>1</v>
      </c>
      <c r="L1753" s="6" t="s">
        <v>242</v>
      </c>
      <c r="M1753" s="5" t="s">
        <v>267</v>
      </c>
      <c r="N1753" s="5" t="s">
        <v>265</v>
      </c>
      <c r="O1753" s="5" t="s">
        <v>238</v>
      </c>
      <c r="P1753" s="5" t="s">
        <v>238</v>
      </c>
      <c r="Q1753" s="5" t="s">
        <v>268</v>
      </c>
      <c r="R1753" s="5" t="s">
        <v>270</v>
      </c>
      <c r="S1753" s="5" t="s">
        <v>238</v>
      </c>
      <c r="V1753" s="5" t="s">
        <v>238</v>
      </c>
      <c r="X1753" s="6" t="s">
        <v>238</v>
      </c>
      <c r="AA1753" s="6" t="s">
        <v>243</v>
      </c>
      <c r="AB1753" s="5" t="s">
        <v>238</v>
      </c>
      <c r="AC1753" s="5" t="s">
        <v>244</v>
      </c>
      <c r="AD1753" s="5" t="s">
        <v>245</v>
      </c>
      <c r="AT1753" s="5" t="s">
        <v>246</v>
      </c>
      <c r="AU1753" s="5" t="s">
        <v>238</v>
      </c>
      <c r="AV1753" s="5" t="s">
        <v>247</v>
      </c>
      <c r="AW1753" s="5" t="s">
        <v>238</v>
      </c>
      <c r="AX1753" s="5" t="s">
        <v>249</v>
      </c>
      <c r="AY1753" s="5" t="s">
        <v>238</v>
      </c>
      <c r="BA1753" s="5" t="s">
        <v>238</v>
      </c>
      <c r="BC1753" s="5" t="s">
        <v>250</v>
      </c>
      <c r="BD1753" s="6" t="s">
        <v>243</v>
      </c>
      <c r="BE1753" s="5" t="s">
        <v>251</v>
      </c>
      <c r="BF1753" s="5" t="s">
        <v>252</v>
      </c>
      <c r="BG1753" s="5" t="s">
        <v>238</v>
      </c>
      <c r="BH1753" s="7">
        <f>0</f>
        <v>0</v>
      </c>
      <c r="BI1753" s="8">
        <f>0</f>
        <v>0</v>
      </c>
      <c r="BJ1753" s="5" t="s">
        <v>253</v>
      </c>
      <c r="BK1753" s="5" t="s">
        <v>254</v>
      </c>
      <c r="BY1753" s="5" t="s">
        <v>238</v>
      </c>
      <c r="BZ1753" s="5" t="s">
        <v>238</v>
      </c>
      <c r="CD1753" s="5" t="s">
        <v>273</v>
      </c>
      <c r="CE1753" s="5" t="s">
        <v>256</v>
      </c>
      <c r="CF1753" s="5" t="s">
        <v>238</v>
      </c>
      <c r="CI1753" s="6" t="s">
        <v>257</v>
      </c>
      <c r="CJ1753" s="5" t="s">
        <v>238</v>
      </c>
      <c r="CK1753" s="5" t="s">
        <v>258</v>
      </c>
      <c r="CL1753" s="5" t="s">
        <v>238</v>
      </c>
      <c r="CM1753" s="5" t="s">
        <v>238</v>
      </c>
      <c r="CN1753" s="5">
        <v>0</v>
      </c>
      <c r="CO1753" s="5" t="s">
        <v>259</v>
      </c>
      <c r="CP1753" s="5" t="s">
        <v>260</v>
      </c>
      <c r="CQ1753" s="5" t="s">
        <v>260</v>
      </c>
      <c r="CR1753" s="5" t="s">
        <v>261</v>
      </c>
      <c r="CU1753" s="8">
        <f>1</f>
        <v>1</v>
      </c>
      <c r="CV1753" s="8">
        <f>0</f>
        <v>0</v>
      </c>
      <c r="CX1753" s="8">
        <f>0</f>
        <v>0</v>
      </c>
      <c r="CY1753" s="8">
        <f>1</f>
        <v>1</v>
      </c>
      <c r="DA1753" s="5" t="s">
        <v>673</v>
      </c>
      <c r="DB1753" s="5" t="s">
        <v>238</v>
      </c>
      <c r="DD1753" s="5" t="s">
        <v>673</v>
      </c>
      <c r="DE1753" s="8">
        <f>1004</f>
        <v>1004</v>
      </c>
      <c r="DG1753" s="5" t="s">
        <v>238</v>
      </c>
      <c r="DH1753" s="5" t="s">
        <v>238</v>
      </c>
      <c r="DI1753" s="5" t="s">
        <v>238</v>
      </c>
      <c r="DJ1753" s="5" t="s">
        <v>238</v>
      </c>
      <c r="DN1753" s="5" t="s">
        <v>238</v>
      </c>
      <c r="DO1753" s="5" t="s">
        <v>238</v>
      </c>
      <c r="DP1753" s="5" t="s">
        <v>238</v>
      </c>
      <c r="DQ1753" s="5" t="s">
        <v>238</v>
      </c>
      <c r="DT1753" s="5" t="s">
        <v>2039</v>
      </c>
      <c r="DU1753" s="5" t="s">
        <v>980</v>
      </c>
      <c r="HM1753" s="5" t="s">
        <v>264</v>
      </c>
    </row>
    <row r="1754" spans="1:221" x14ac:dyDescent="0.4">
      <c r="A1754" s="5">
        <v>3429</v>
      </c>
      <c r="B1754" s="5">
        <v>1</v>
      </c>
      <c r="C1754" s="5">
        <v>1</v>
      </c>
      <c r="D1754" s="5" t="s">
        <v>2037</v>
      </c>
      <c r="E1754" s="5" t="s">
        <v>271</v>
      </c>
      <c r="F1754" s="5" t="s">
        <v>248</v>
      </c>
      <c r="G1754" s="5" t="s">
        <v>1969</v>
      </c>
      <c r="H1754" s="6" t="s">
        <v>3735</v>
      </c>
      <c r="I1754" s="7">
        <f>1694</f>
        <v>1694</v>
      </c>
      <c r="J1754" s="5" t="s">
        <v>262</v>
      </c>
      <c r="K1754" s="8">
        <f>1</f>
        <v>1</v>
      </c>
      <c r="L1754" s="6" t="s">
        <v>242</v>
      </c>
      <c r="M1754" s="5" t="s">
        <v>267</v>
      </c>
      <c r="N1754" s="5" t="s">
        <v>265</v>
      </c>
      <c r="O1754" s="5" t="s">
        <v>238</v>
      </c>
      <c r="P1754" s="5" t="s">
        <v>238</v>
      </c>
      <c r="Q1754" s="5" t="s">
        <v>268</v>
      </c>
      <c r="R1754" s="5" t="s">
        <v>270</v>
      </c>
      <c r="S1754" s="5" t="s">
        <v>238</v>
      </c>
      <c r="V1754" s="5" t="s">
        <v>238</v>
      </c>
      <c r="X1754" s="6" t="s">
        <v>238</v>
      </c>
      <c r="AA1754" s="6" t="s">
        <v>243</v>
      </c>
      <c r="AB1754" s="5" t="s">
        <v>238</v>
      </c>
      <c r="AC1754" s="5" t="s">
        <v>244</v>
      </c>
      <c r="AD1754" s="5" t="s">
        <v>245</v>
      </c>
      <c r="AT1754" s="5" t="s">
        <v>246</v>
      </c>
      <c r="AU1754" s="5" t="s">
        <v>238</v>
      </c>
      <c r="AV1754" s="5" t="s">
        <v>247</v>
      </c>
      <c r="AW1754" s="5" t="s">
        <v>238</v>
      </c>
      <c r="AX1754" s="5" t="s">
        <v>249</v>
      </c>
      <c r="AY1754" s="5" t="s">
        <v>238</v>
      </c>
      <c r="BA1754" s="5" t="s">
        <v>238</v>
      </c>
      <c r="BC1754" s="5" t="s">
        <v>250</v>
      </c>
      <c r="BD1754" s="6" t="s">
        <v>243</v>
      </c>
      <c r="BE1754" s="5" t="s">
        <v>251</v>
      </c>
      <c r="BF1754" s="5" t="s">
        <v>252</v>
      </c>
      <c r="BG1754" s="5" t="s">
        <v>238</v>
      </c>
      <c r="BH1754" s="7">
        <f>0</f>
        <v>0</v>
      </c>
      <c r="BI1754" s="8">
        <f>0</f>
        <v>0</v>
      </c>
      <c r="BJ1754" s="5" t="s">
        <v>253</v>
      </c>
      <c r="BK1754" s="5" t="s">
        <v>254</v>
      </c>
      <c r="BY1754" s="5" t="s">
        <v>238</v>
      </c>
      <c r="BZ1754" s="5" t="s">
        <v>238</v>
      </c>
      <c r="CD1754" s="5" t="s">
        <v>273</v>
      </c>
      <c r="CE1754" s="5" t="s">
        <v>256</v>
      </c>
      <c r="CF1754" s="5" t="s">
        <v>238</v>
      </c>
      <c r="CI1754" s="6" t="s">
        <v>257</v>
      </c>
      <c r="CJ1754" s="5" t="s">
        <v>238</v>
      </c>
      <c r="CK1754" s="5" t="s">
        <v>258</v>
      </c>
      <c r="CL1754" s="5" t="s">
        <v>238</v>
      </c>
      <c r="CM1754" s="5" t="s">
        <v>238</v>
      </c>
      <c r="CN1754" s="5">
        <v>0</v>
      </c>
      <c r="CO1754" s="5" t="s">
        <v>259</v>
      </c>
      <c r="CP1754" s="5" t="s">
        <v>260</v>
      </c>
      <c r="CQ1754" s="5" t="s">
        <v>260</v>
      </c>
      <c r="CR1754" s="5" t="s">
        <v>261</v>
      </c>
      <c r="CU1754" s="8">
        <f>1</f>
        <v>1</v>
      </c>
      <c r="CV1754" s="8">
        <f>0</f>
        <v>0</v>
      </c>
      <c r="CX1754" s="8">
        <f>0</f>
        <v>0</v>
      </c>
      <c r="CY1754" s="8">
        <f>1</f>
        <v>1</v>
      </c>
      <c r="DA1754" s="5" t="s">
        <v>673</v>
      </c>
      <c r="DB1754" s="5" t="s">
        <v>238</v>
      </c>
      <c r="DD1754" s="5" t="s">
        <v>673</v>
      </c>
      <c r="DE1754" s="8">
        <f>1694</f>
        <v>1694</v>
      </c>
      <c r="DG1754" s="5" t="s">
        <v>238</v>
      </c>
      <c r="DH1754" s="5" t="s">
        <v>238</v>
      </c>
      <c r="DI1754" s="5" t="s">
        <v>238</v>
      </c>
      <c r="DJ1754" s="5" t="s">
        <v>238</v>
      </c>
      <c r="DN1754" s="5" t="s">
        <v>238</v>
      </c>
      <c r="DO1754" s="5" t="s">
        <v>238</v>
      </c>
      <c r="DP1754" s="5" t="s">
        <v>238</v>
      </c>
      <c r="DQ1754" s="5" t="s">
        <v>238</v>
      </c>
      <c r="DT1754" s="5" t="s">
        <v>2039</v>
      </c>
      <c r="DU1754" s="5" t="s">
        <v>3736</v>
      </c>
      <c r="HM1754" s="5" t="s">
        <v>264</v>
      </c>
    </row>
    <row r="1755" spans="1:221" x14ac:dyDescent="0.4">
      <c r="A1755" s="5">
        <v>3430</v>
      </c>
      <c r="B1755" s="5">
        <v>1</v>
      </c>
      <c r="C1755" s="5">
        <v>1</v>
      </c>
      <c r="D1755" s="5" t="s">
        <v>2037</v>
      </c>
      <c r="E1755" s="5" t="s">
        <v>271</v>
      </c>
      <c r="F1755" s="5" t="s">
        <v>248</v>
      </c>
      <c r="G1755" s="5" t="s">
        <v>1969</v>
      </c>
      <c r="H1755" s="6" t="s">
        <v>3738</v>
      </c>
      <c r="I1755" s="7">
        <f>1105</f>
        <v>1105</v>
      </c>
      <c r="J1755" s="5" t="s">
        <v>262</v>
      </c>
      <c r="K1755" s="8">
        <f>1</f>
        <v>1</v>
      </c>
      <c r="L1755" s="6" t="s">
        <v>242</v>
      </c>
      <c r="M1755" s="5" t="s">
        <v>267</v>
      </c>
      <c r="N1755" s="5" t="s">
        <v>265</v>
      </c>
      <c r="O1755" s="5" t="s">
        <v>238</v>
      </c>
      <c r="P1755" s="5" t="s">
        <v>238</v>
      </c>
      <c r="Q1755" s="5" t="s">
        <v>268</v>
      </c>
      <c r="R1755" s="5" t="s">
        <v>270</v>
      </c>
      <c r="S1755" s="5" t="s">
        <v>238</v>
      </c>
      <c r="V1755" s="5" t="s">
        <v>238</v>
      </c>
      <c r="X1755" s="6" t="s">
        <v>238</v>
      </c>
      <c r="AA1755" s="6" t="s">
        <v>243</v>
      </c>
      <c r="AB1755" s="5" t="s">
        <v>238</v>
      </c>
      <c r="AC1755" s="5" t="s">
        <v>244</v>
      </c>
      <c r="AD1755" s="5" t="s">
        <v>245</v>
      </c>
      <c r="AT1755" s="5" t="s">
        <v>246</v>
      </c>
      <c r="AU1755" s="5" t="s">
        <v>238</v>
      </c>
      <c r="AV1755" s="5" t="s">
        <v>247</v>
      </c>
      <c r="AW1755" s="5" t="s">
        <v>238</v>
      </c>
      <c r="AX1755" s="5" t="s">
        <v>249</v>
      </c>
      <c r="AY1755" s="5" t="s">
        <v>238</v>
      </c>
      <c r="BA1755" s="5" t="s">
        <v>238</v>
      </c>
      <c r="BC1755" s="5" t="s">
        <v>250</v>
      </c>
      <c r="BD1755" s="6" t="s">
        <v>243</v>
      </c>
      <c r="BE1755" s="5" t="s">
        <v>251</v>
      </c>
      <c r="BF1755" s="5" t="s">
        <v>252</v>
      </c>
      <c r="BG1755" s="5" t="s">
        <v>238</v>
      </c>
      <c r="BH1755" s="7">
        <f>0</f>
        <v>0</v>
      </c>
      <c r="BI1755" s="8">
        <f>0</f>
        <v>0</v>
      </c>
      <c r="BJ1755" s="5" t="s">
        <v>253</v>
      </c>
      <c r="BK1755" s="5" t="s">
        <v>254</v>
      </c>
      <c r="BY1755" s="5" t="s">
        <v>238</v>
      </c>
      <c r="BZ1755" s="5" t="s">
        <v>238</v>
      </c>
      <c r="CD1755" s="5" t="s">
        <v>273</v>
      </c>
      <c r="CE1755" s="5" t="s">
        <v>256</v>
      </c>
      <c r="CF1755" s="5" t="s">
        <v>238</v>
      </c>
      <c r="CI1755" s="6" t="s">
        <v>257</v>
      </c>
      <c r="CJ1755" s="5" t="s">
        <v>238</v>
      </c>
      <c r="CK1755" s="5" t="s">
        <v>258</v>
      </c>
      <c r="CL1755" s="5" t="s">
        <v>238</v>
      </c>
      <c r="CM1755" s="5" t="s">
        <v>238</v>
      </c>
      <c r="CN1755" s="5">
        <v>0</v>
      </c>
      <c r="CO1755" s="5" t="s">
        <v>259</v>
      </c>
      <c r="CP1755" s="5" t="s">
        <v>260</v>
      </c>
      <c r="CQ1755" s="5" t="s">
        <v>260</v>
      </c>
      <c r="CR1755" s="5" t="s">
        <v>261</v>
      </c>
      <c r="CU1755" s="8">
        <f>1</f>
        <v>1</v>
      </c>
      <c r="CV1755" s="8">
        <f>0</f>
        <v>0</v>
      </c>
      <c r="CX1755" s="8">
        <f>0</f>
        <v>0</v>
      </c>
      <c r="CY1755" s="8">
        <f>1</f>
        <v>1</v>
      </c>
      <c r="DA1755" s="5" t="s">
        <v>673</v>
      </c>
      <c r="DB1755" s="5" t="s">
        <v>238</v>
      </c>
      <c r="DD1755" s="5" t="s">
        <v>673</v>
      </c>
      <c r="DE1755" s="8">
        <f>1105</f>
        <v>1105</v>
      </c>
      <c r="DG1755" s="5" t="s">
        <v>238</v>
      </c>
      <c r="DH1755" s="5" t="s">
        <v>238</v>
      </c>
      <c r="DI1755" s="5" t="s">
        <v>238</v>
      </c>
      <c r="DJ1755" s="5" t="s">
        <v>238</v>
      </c>
      <c r="DN1755" s="5" t="s">
        <v>238</v>
      </c>
      <c r="DO1755" s="5" t="s">
        <v>238</v>
      </c>
      <c r="DP1755" s="5" t="s">
        <v>238</v>
      </c>
      <c r="DQ1755" s="5" t="s">
        <v>238</v>
      </c>
      <c r="DT1755" s="5" t="s">
        <v>2039</v>
      </c>
      <c r="DU1755" s="5" t="s">
        <v>3739</v>
      </c>
      <c r="HM1755" s="5" t="s">
        <v>264</v>
      </c>
    </row>
    <row r="1756" spans="1:221" x14ac:dyDescent="0.4">
      <c r="A1756" s="5">
        <v>3431</v>
      </c>
      <c r="B1756" s="5">
        <v>1</v>
      </c>
      <c r="C1756" s="5">
        <v>1</v>
      </c>
      <c r="D1756" s="5" t="s">
        <v>2037</v>
      </c>
      <c r="E1756" s="5" t="s">
        <v>271</v>
      </c>
      <c r="F1756" s="5" t="s">
        <v>248</v>
      </c>
      <c r="G1756" s="5" t="s">
        <v>1969</v>
      </c>
      <c r="H1756" s="6" t="s">
        <v>3750</v>
      </c>
      <c r="I1756" s="7">
        <f>304</f>
        <v>304</v>
      </c>
      <c r="J1756" s="5" t="s">
        <v>262</v>
      </c>
      <c r="K1756" s="8">
        <f>1</f>
        <v>1</v>
      </c>
      <c r="L1756" s="6" t="s">
        <v>242</v>
      </c>
      <c r="M1756" s="5" t="s">
        <v>267</v>
      </c>
      <c r="N1756" s="5" t="s">
        <v>265</v>
      </c>
      <c r="O1756" s="5" t="s">
        <v>238</v>
      </c>
      <c r="P1756" s="5" t="s">
        <v>238</v>
      </c>
      <c r="Q1756" s="5" t="s">
        <v>268</v>
      </c>
      <c r="R1756" s="5" t="s">
        <v>270</v>
      </c>
      <c r="S1756" s="5" t="s">
        <v>238</v>
      </c>
      <c r="V1756" s="5" t="s">
        <v>238</v>
      </c>
      <c r="X1756" s="6" t="s">
        <v>238</v>
      </c>
      <c r="AA1756" s="6" t="s">
        <v>243</v>
      </c>
      <c r="AB1756" s="5" t="s">
        <v>238</v>
      </c>
      <c r="AC1756" s="5" t="s">
        <v>244</v>
      </c>
      <c r="AD1756" s="5" t="s">
        <v>245</v>
      </c>
      <c r="AT1756" s="5" t="s">
        <v>246</v>
      </c>
      <c r="AU1756" s="5" t="s">
        <v>238</v>
      </c>
      <c r="AV1756" s="5" t="s">
        <v>247</v>
      </c>
      <c r="AW1756" s="5" t="s">
        <v>238</v>
      </c>
      <c r="AX1756" s="5" t="s">
        <v>249</v>
      </c>
      <c r="AY1756" s="5" t="s">
        <v>238</v>
      </c>
      <c r="BA1756" s="5" t="s">
        <v>238</v>
      </c>
      <c r="BC1756" s="5" t="s">
        <v>250</v>
      </c>
      <c r="BD1756" s="6" t="s">
        <v>243</v>
      </c>
      <c r="BE1756" s="5" t="s">
        <v>251</v>
      </c>
      <c r="BF1756" s="5" t="s">
        <v>252</v>
      </c>
      <c r="BG1756" s="5" t="s">
        <v>238</v>
      </c>
      <c r="BH1756" s="7">
        <f>0</f>
        <v>0</v>
      </c>
      <c r="BI1756" s="8">
        <f>0</f>
        <v>0</v>
      </c>
      <c r="BJ1756" s="5" t="s">
        <v>253</v>
      </c>
      <c r="BK1756" s="5" t="s">
        <v>254</v>
      </c>
      <c r="BY1756" s="5" t="s">
        <v>238</v>
      </c>
      <c r="BZ1756" s="5" t="s">
        <v>238</v>
      </c>
      <c r="CD1756" s="5" t="s">
        <v>273</v>
      </c>
      <c r="CE1756" s="5" t="s">
        <v>256</v>
      </c>
      <c r="CF1756" s="5" t="s">
        <v>238</v>
      </c>
      <c r="CI1756" s="6" t="s">
        <v>257</v>
      </c>
      <c r="CJ1756" s="5" t="s">
        <v>238</v>
      </c>
      <c r="CK1756" s="5" t="s">
        <v>258</v>
      </c>
      <c r="CL1756" s="5" t="s">
        <v>238</v>
      </c>
      <c r="CM1756" s="5" t="s">
        <v>238</v>
      </c>
      <c r="CN1756" s="5">
        <v>0</v>
      </c>
      <c r="CO1756" s="5" t="s">
        <v>259</v>
      </c>
      <c r="CP1756" s="5" t="s">
        <v>260</v>
      </c>
      <c r="CQ1756" s="5" t="s">
        <v>260</v>
      </c>
      <c r="CR1756" s="5" t="s">
        <v>261</v>
      </c>
      <c r="CU1756" s="8">
        <f>1</f>
        <v>1</v>
      </c>
      <c r="CV1756" s="8">
        <f>0</f>
        <v>0</v>
      </c>
      <c r="CX1756" s="8">
        <f>0</f>
        <v>0</v>
      </c>
      <c r="CY1756" s="8">
        <f>1</f>
        <v>1</v>
      </c>
      <c r="DA1756" s="5" t="s">
        <v>673</v>
      </c>
      <c r="DB1756" s="5" t="s">
        <v>238</v>
      </c>
      <c r="DD1756" s="5" t="s">
        <v>673</v>
      </c>
      <c r="DE1756" s="8">
        <f>304</f>
        <v>304</v>
      </c>
      <c r="DG1756" s="5" t="s">
        <v>238</v>
      </c>
      <c r="DH1756" s="5" t="s">
        <v>238</v>
      </c>
      <c r="DI1756" s="5" t="s">
        <v>238</v>
      </c>
      <c r="DJ1756" s="5" t="s">
        <v>238</v>
      </c>
      <c r="DN1756" s="5" t="s">
        <v>238</v>
      </c>
      <c r="DO1756" s="5" t="s">
        <v>238</v>
      </c>
      <c r="DP1756" s="5" t="s">
        <v>238</v>
      </c>
      <c r="DQ1756" s="5" t="s">
        <v>238</v>
      </c>
      <c r="DT1756" s="5" t="s">
        <v>2039</v>
      </c>
      <c r="DU1756" s="5" t="s">
        <v>986</v>
      </c>
      <c r="HM1756" s="5" t="s">
        <v>264</v>
      </c>
    </row>
    <row r="1757" spans="1:221" x14ac:dyDescent="0.4">
      <c r="A1757" s="5">
        <v>3432</v>
      </c>
      <c r="B1757" s="5">
        <v>1</v>
      </c>
      <c r="C1757" s="5">
        <v>1</v>
      </c>
      <c r="D1757" s="5" t="s">
        <v>2037</v>
      </c>
      <c r="E1757" s="5" t="s">
        <v>271</v>
      </c>
      <c r="F1757" s="5" t="s">
        <v>248</v>
      </c>
      <c r="G1757" s="5" t="s">
        <v>1969</v>
      </c>
      <c r="H1757" s="6" t="s">
        <v>3733</v>
      </c>
      <c r="I1757" s="7">
        <f>70</f>
        <v>70</v>
      </c>
      <c r="J1757" s="5" t="s">
        <v>262</v>
      </c>
      <c r="K1757" s="8">
        <f>1</f>
        <v>1</v>
      </c>
      <c r="L1757" s="6" t="s">
        <v>242</v>
      </c>
      <c r="M1757" s="5" t="s">
        <v>267</v>
      </c>
      <c r="N1757" s="5" t="s">
        <v>265</v>
      </c>
      <c r="O1757" s="5" t="s">
        <v>238</v>
      </c>
      <c r="P1757" s="5" t="s">
        <v>238</v>
      </c>
      <c r="Q1757" s="5" t="s">
        <v>268</v>
      </c>
      <c r="R1757" s="5" t="s">
        <v>270</v>
      </c>
      <c r="S1757" s="5" t="s">
        <v>238</v>
      </c>
      <c r="V1757" s="5" t="s">
        <v>238</v>
      </c>
      <c r="X1757" s="6" t="s">
        <v>238</v>
      </c>
      <c r="AA1757" s="6" t="s">
        <v>243</v>
      </c>
      <c r="AB1757" s="5" t="s">
        <v>238</v>
      </c>
      <c r="AC1757" s="5" t="s">
        <v>244</v>
      </c>
      <c r="AD1757" s="5" t="s">
        <v>245</v>
      </c>
      <c r="AT1757" s="5" t="s">
        <v>246</v>
      </c>
      <c r="AU1757" s="5" t="s">
        <v>238</v>
      </c>
      <c r="AV1757" s="5" t="s">
        <v>247</v>
      </c>
      <c r="AW1757" s="5" t="s">
        <v>238</v>
      </c>
      <c r="AX1757" s="5" t="s">
        <v>249</v>
      </c>
      <c r="AY1757" s="5" t="s">
        <v>238</v>
      </c>
      <c r="BA1757" s="5" t="s">
        <v>238</v>
      </c>
      <c r="BC1757" s="5" t="s">
        <v>250</v>
      </c>
      <c r="BD1757" s="6" t="s">
        <v>243</v>
      </c>
      <c r="BE1757" s="5" t="s">
        <v>251</v>
      </c>
      <c r="BF1757" s="5" t="s">
        <v>252</v>
      </c>
      <c r="BG1757" s="5" t="s">
        <v>238</v>
      </c>
      <c r="BH1757" s="7">
        <f>0</f>
        <v>0</v>
      </c>
      <c r="BI1757" s="8">
        <f>0</f>
        <v>0</v>
      </c>
      <c r="BJ1757" s="5" t="s">
        <v>253</v>
      </c>
      <c r="BK1757" s="5" t="s">
        <v>254</v>
      </c>
      <c r="BY1757" s="5" t="s">
        <v>238</v>
      </c>
      <c r="BZ1757" s="5" t="s">
        <v>238</v>
      </c>
      <c r="CD1757" s="5" t="s">
        <v>273</v>
      </c>
      <c r="CE1757" s="5" t="s">
        <v>256</v>
      </c>
      <c r="CF1757" s="5" t="s">
        <v>238</v>
      </c>
      <c r="CI1757" s="6" t="s">
        <v>257</v>
      </c>
      <c r="CJ1757" s="5" t="s">
        <v>238</v>
      </c>
      <c r="CK1757" s="5" t="s">
        <v>258</v>
      </c>
      <c r="CL1757" s="5" t="s">
        <v>238</v>
      </c>
      <c r="CM1757" s="5" t="s">
        <v>238</v>
      </c>
      <c r="CN1757" s="5">
        <v>0</v>
      </c>
      <c r="CO1757" s="5" t="s">
        <v>259</v>
      </c>
      <c r="CP1757" s="5" t="s">
        <v>260</v>
      </c>
      <c r="CQ1757" s="5" t="s">
        <v>260</v>
      </c>
      <c r="CR1757" s="5" t="s">
        <v>261</v>
      </c>
      <c r="CU1757" s="8">
        <f>1</f>
        <v>1</v>
      </c>
      <c r="CV1757" s="8">
        <f>0</f>
        <v>0</v>
      </c>
      <c r="CX1757" s="8">
        <f>0</f>
        <v>0</v>
      </c>
      <c r="CY1757" s="8">
        <f>1</f>
        <v>1</v>
      </c>
      <c r="DA1757" s="5" t="s">
        <v>673</v>
      </c>
      <c r="DB1757" s="5" t="s">
        <v>238</v>
      </c>
      <c r="DD1757" s="5" t="s">
        <v>673</v>
      </c>
      <c r="DE1757" s="8">
        <f>70</f>
        <v>70</v>
      </c>
      <c r="DG1757" s="5" t="s">
        <v>238</v>
      </c>
      <c r="DH1757" s="5" t="s">
        <v>238</v>
      </c>
      <c r="DI1757" s="5" t="s">
        <v>238</v>
      </c>
      <c r="DJ1757" s="5" t="s">
        <v>238</v>
      </c>
      <c r="DN1757" s="5" t="s">
        <v>238</v>
      </c>
      <c r="DO1757" s="5" t="s">
        <v>238</v>
      </c>
      <c r="DP1757" s="5" t="s">
        <v>238</v>
      </c>
      <c r="DQ1757" s="5" t="s">
        <v>238</v>
      </c>
      <c r="DT1757" s="5" t="s">
        <v>2039</v>
      </c>
      <c r="DU1757" s="5" t="s">
        <v>3734</v>
      </c>
      <c r="HM1757" s="5" t="s">
        <v>264</v>
      </c>
    </row>
    <row r="1758" spans="1:221" x14ac:dyDescent="0.4">
      <c r="A1758" s="5">
        <v>3433</v>
      </c>
      <c r="B1758" s="5">
        <v>1</v>
      </c>
      <c r="C1758" s="5">
        <v>1</v>
      </c>
      <c r="D1758" s="5" t="s">
        <v>2037</v>
      </c>
      <c r="E1758" s="5" t="s">
        <v>271</v>
      </c>
      <c r="F1758" s="5" t="s">
        <v>248</v>
      </c>
      <c r="G1758" s="5" t="s">
        <v>1969</v>
      </c>
      <c r="H1758" s="6" t="s">
        <v>3752</v>
      </c>
      <c r="I1758" s="7">
        <f>200</f>
        <v>200</v>
      </c>
      <c r="J1758" s="5" t="s">
        <v>262</v>
      </c>
      <c r="K1758" s="8">
        <f>1</f>
        <v>1</v>
      </c>
      <c r="L1758" s="6" t="s">
        <v>242</v>
      </c>
      <c r="M1758" s="5" t="s">
        <v>267</v>
      </c>
      <c r="N1758" s="5" t="s">
        <v>265</v>
      </c>
      <c r="O1758" s="5" t="s">
        <v>238</v>
      </c>
      <c r="P1758" s="5" t="s">
        <v>238</v>
      </c>
      <c r="Q1758" s="5" t="s">
        <v>268</v>
      </c>
      <c r="R1758" s="5" t="s">
        <v>270</v>
      </c>
      <c r="S1758" s="5" t="s">
        <v>238</v>
      </c>
      <c r="V1758" s="5" t="s">
        <v>238</v>
      </c>
      <c r="X1758" s="6" t="s">
        <v>238</v>
      </c>
      <c r="AA1758" s="6" t="s">
        <v>243</v>
      </c>
      <c r="AB1758" s="5" t="s">
        <v>238</v>
      </c>
      <c r="AC1758" s="5" t="s">
        <v>244</v>
      </c>
      <c r="AD1758" s="5" t="s">
        <v>245</v>
      </c>
      <c r="AT1758" s="5" t="s">
        <v>246</v>
      </c>
      <c r="AU1758" s="5" t="s">
        <v>238</v>
      </c>
      <c r="AV1758" s="5" t="s">
        <v>247</v>
      </c>
      <c r="AW1758" s="5" t="s">
        <v>238</v>
      </c>
      <c r="AX1758" s="5" t="s">
        <v>249</v>
      </c>
      <c r="AY1758" s="5" t="s">
        <v>238</v>
      </c>
      <c r="BA1758" s="5" t="s">
        <v>238</v>
      </c>
      <c r="BC1758" s="5" t="s">
        <v>250</v>
      </c>
      <c r="BD1758" s="6" t="s">
        <v>243</v>
      </c>
      <c r="BE1758" s="5" t="s">
        <v>251</v>
      </c>
      <c r="BF1758" s="5" t="s">
        <v>252</v>
      </c>
      <c r="BG1758" s="5" t="s">
        <v>238</v>
      </c>
      <c r="BH1758" s="7">
        <f>0</f>
        <v>0</v>
      </c>
      <c r="BI1758" s="8">
        <f>0</f>
        <v>0</v>
      </c>
      <c r="BJ1758" s="5" t="s">
        <v>253</v>
      </c>
      <c r="BK1758" s="5" t="s">
        <v>254</v>
      </c>
      <c r="BY1758" s="5" t="s">
        <v>238</v>
      </c>
      <c r="BZ1758" s="5" t="s">
        <v>238</v>
      </c>
      <c r="CD1758" s="5" t="s">
        <v>273</v>
      </c>
      <c r="CE1758" s="5" t="s">
        <v>256</v>
      </c>
      <c r="CF1758" s="5" t="s">
        <v>238</v>
      </c>
      <c r="CI1758" s="6" t="s">
        <v>257</v>
      </c>
      <c r="CJ1758" s="5" t="s">
        <v>238</v>
      </c>
      <c r="CK1758" s="5" t="s">
        <v>258</v>
      </c>
      <c r="CL1758" s="5" t="s">
        <v>238</v>
      </c>
      <c r="CM1758" s="5" t="s">
        <v>238</v>
      </c>
      <c r="CN1758" s="5">
        <v>0</v>
      </c>
      <c r="CO1758" s="5" t="s">
        <v>259</v>
      </c>
      <c r="CP1758" s="5" t="s">
        <v>260</v>
      </c>
      <c r="CQ1758" s="5" t="s">
        <v>260</v>
      </c>
      <c r="CR1758" s="5" t="s">
        <v>261</v>
      </c>
      <c r="CU1758" s="8">
        <f>1</f>
        <v>1</v>
      </c>
      <c r="CV1758" s="8">
        <f>0</f>
        <v>0</v>
      </c>
      <c r="CX1758" s="8">
        <f>0</f>
        <v>0</v>
      </c>
      <c r="CY1758" s="8">
        <f>1</f>
        <v>1</v>
      </c>
      <c r="DA1758" s="5" t="s">
        <v>673</v>
      </c>
      <c r="DB1758" s="5" t="s">
        <v>238</v>
      </c>
      <c r="DD1758" s="5" t="s">
        <v>673</v>
      </c>
      <c r="DE1758" s="8">
        <f>200</f>
        <v>200</v>
      </c>
      <c r="DG1758" s="5" t="s">
        <v>238</v>
      </c>
      <c r="DH1758" s="5" t="s">
        <v>238</v>
      </c>
      <c r="DI1758" s="5" t="s">
        <v>238</v>
      </c>
      <c r="DJ1758" s="5" t="s">
        <v>238</v>
      </c>
      <c r="DN1758" s="5" t="s">
        <v>238</v>
      </c>
      <c r="DO1758" s="5" t="s">
        <v>238</v>
      </c>
      <c r="DP1758" s="5" t="s">
        <v>238</v>
      </c>
      <c r="DQ1758" s="5" t="s">
        <v>238</v>
      </c>
      <c r="DT1758" s="5" t="s">
        <v>2039</v>
      </c>
      <c r="DU1758" s="5" t="s">
        <v>990</v>
      </c>
      <c r="HM1758" s="5" t="s">
        <v>264</v>
      </c>
    </row>
    <row r="1759" spans="1:221" x14ac:dyDescent="0.4">
      <c r="A1759" s="5">
        <v>3434</v>
      </c>
      <c r="B1759" s="5">
        <v>1</v>
      </c>
      <c r="C1759" s="5">
        <v>1</v>
      </c>
      <c r="D1759" s="5" t="s">
        <v>2037</v>
      </c>
      <c r="E1759" s="5" t="s">
        <v>271</v>
      </c>
      <c r="F1759" s="5" t="s">
        <v>248</v>
      </c>
      <c r="G1759" s="5" t="s">
        <v>1969</v>
      </c>
      <c r="H1759" s="6" t="s">
        <v>3755</v>
      </c>
      <c r="I1759" s="7">
        <f>152</f>
        <v>152</v>
      </c>
      <c r="J1759" s="5" t="s">
        <v>262</v>
      </c>
      <c r="K1759" s="8">
        <f>1</f>
        <v>1</v>
      </c>
      <c r="L1759" s="6" t="s">
        <v>242</v>
      </c>
      <c r="M1759" s="5" t="s">
        <v>267</v>
      </c>
      <c r="N1759" s="5" t="s">
        <v>265</v>
      </c>
      <c r="O1759" s="5" t="s">
        <v>238</v>
      </c>
      <c r="P1759" s="5" t="s">
        <v>238</v>
      </c>
      <c r="Q1759" s="5" t="s">
        <v>268</v>
      </c>
      <c r="R1759" s="5" t="s">
        <v>270</v>
      </c>
      <c r="S1759" s="5" t="s">
        <v>238</v>
      </c>
      <c r="V1759" s="5" t="s">
        <v>238</v>
      </c>
      <c r="X1759" s="6" t="s">
        <v>238</v>
      </c>
      <c r="AA1759" s="6" t="s">
        <v>243</v>
      </c>
      <c r="AB1759" s="5" t="s">
        <v>238</v>
      </c>
      <c r="AC1759" s="5" t="s">
        <v>244</v>
      </c>
      <c r="AD1759" s="5" t="s">
        <v>245</v>
      </c>
      <c r="AT1759" s="5" t="s">
        <v>246</v>
      </c>
      <c r="AU1759" s="5" t="s">
        <v>238</v>
      </c>
      <c r="AV1759" s="5" t="s">
        <v>247</v>
      </c>
      <c r="AW1759" s="5" t="s">
        <v>238</v>
      </c>
      <c r="AX1759" s="5" t="s">
        <v>249</v>
      </c>
      <c r="AY1759" s="5" t="s">
        <v>238</v>
      </c>
      <c r="BA1759" s="5" t="s">
        <v>238</v>
      </c>
      <c r="BC1759" s="5" t="s">
        <v>250</v>
      </c>
      <c r="BD1759" s="6" t="s">
        <v>243</v>
      </c>
      <c r="BE1759" s="5" t="s">
        <v>251</v>
      </c>
      <c r="BF1759" s="5" t="s">
        <v>252</v>
      </c>
      <c r="BG1759" s="5" t="s">
        <v>238</v>
      </c>
      <c r="BH1759" s="7">
        <f>0</f>
        <v>0</v>
      </c>
      <c r="BI1759" s="8">
        <f>0</f>
        <v>0</v>
      </c>
      <c r="BJ1759" s="5" t="s">
        <v>253</v>
      </c>
      <c r="BK1759" s="5" t="s">
        <v>254</v>
      </c>
      <c r="BY1759" s="5" t="s">
        <v>238</v>
      </c>
      <c r="BZ1759" s="5" t="s">
        <v>238</v>
      </c>
      <c r="CD1759" s="5" t="s">
        <v>273</v>
      </c>
      <c r="CE1759" s="5" t="s">
        <v>256</v>
      </c>
      <c r="CF1759" s="5" t="s">
        <v>238</v>
      </c>
      <c r="CI1759" s="6" t="s">
        <v>257</v>
      </c>
      <c r="CJ1759" s="5" t="s">
        <v>238</v>
      </c>
      <c r="CK1759" s="5" t="s">
        <v>258</v>
      </c>
      <c r="CL1759" s="5" t="s">
        <v>238</v>
      </c>
      <c r="CM1759" s="5" t="s">
        <v>238</v>
      </c>
      <c r="CN1759" s="5">
        <v>0</v>
      </c>
      <c r="CO1759" s="5" t="s">
        <v>259</v>
      </c>
      <c r="CP1759" s="5" t="s">
        <v>260</v>
      </c>
      <c r="CQ1759" s="5" t="s">
        <v>260</v>
      </c>
      <c r="CR1759" s="5" t="s">
        <v>261</v>
      </c>
      <c r="CU1759" s="8">
        <f>1</f>
        <v>1</v>
      </c>
      <c r="CV1759" s="8">
        <f>0</f>
        <v>0</v>
      </c>
      <c r="CX1759" s="8">
        <f>0</f>
        <v>0</v>
      </c>
      <c r="CY1759" s="8">
        <f>1</f>
        <v>1</v>
      </c>
      <c r="DA1759" s="5" t="s">
        <v>673</v>
      </c>
      <c r="DB1759" s="5" t="s">
        <v>238</v>
      </c>
      <c r="DD1759" s="5" t="s">
        <v>673</v>
      </c>
      <c r="DE1759" s="8">
        <f>152</f>
        <v>152</v>
      </c>
      <c r="DG1759" s="5" t="s">
        <v>238</v>
      </c>
      <c r="DH1759" s="5" t="s">
        <v>238</v>
      </c>
      <c r="DI1759" s="5" t="s">
        <v>238</v>
      </c>
      <c r="DJ1759" s="5" t="s">
        <v>238</v>
      </c>
      <c r="DN1759" s="5" t="s">
        <v>238</v>
      </c>
      <c r="DO1759" s="5" t="s">
        <v>238</v>
      </c>
      <c r="DP1759" s="5" t="s">
        <v>238</v>
      </c>
      <c r="DQ1759" s="5" t="s">
        <v>238</v>
      </c>
      <c r="DT1759" s="5" t="s">
        <v>2039</v>
      </c>
      <c r="DU1759" s="5" t="s">
        <v>3756</v>
      </c>
      <c r="HM1759" s="5" t="s">
        <v>264</v>
      </c>
    </row>
    <row r="1760" spans="1:221" x14ac:dyDescent="0.4">
      <c r="A1760" s="5">
        <v>3435</v>
      </c>
      <c r="B1760" s="5">
        <v>1</v>
      </c>
      <c r="C1760" s="5">
        <v>1</v>
      </c>
      <c r="D1760" s="5" t="s">
        <v>2037</v>
      </c>
      <c r="E1760" s="5" t="s">
        <v>271</v>
      </c>
      <c r="F1760" s="5" t="s">
        <v>248</v>
      </c>
      <c r="G1760" s="5" t="s">
        <v>1969</v>
      </c>
      <c r="H1760" s="6" t="s">
        <v>3753</v>
      </c>
      <c r="I1760" s="7">
        <f>7631</f>
        <v>7631</v>
      </c>
      <c r="J1760" s="5" t="s">
        <v>262</v>
      </c>
      <c r="K1760" s="8">
        <f>1</f>
        <v>1</v>
      </c>
      <c r="L1760" s="6" t="s">
        <v>242</v>
      </c>
      <c r="M1760" s="5" t="s">
        <v>267</v>
      </c>
      <c r="N1760" s="5" t="s">
        <v>265</v>
      </c>
      <c r="O1760" s="5" t="s">
        <v>238</v>
      </c>
      <c r="P1760" s="5" t="s">
        <v>238</v>
      </c>
      <c r="Q1760" s="5" t="s">
        <v>268</v>
      </c>
      <c r="R1760" s="5" t="s">
        <v>270</v>
      </c>
      <c r="S1760" s="5" t="s">
        <v>238</v>
      </c>
      <c r="V1760" s="5" t="s">
        <v>238</v>
      </c>
      <c r="X1760" s="6" t="s">
        <v>238</v>
      </c>
      <c r="AA1760" s="6" t="s">
        <v>243</v>
      </c>
      <c r="AB1760" s="5" t="s">
        <v>238</v>
      </c>
      <c r="AC1760" s="5" t="s">
        <v>244</v>
      </c>
      <c r="AD1760" s="5" t="s">
        <v>245</v>
      </c>
      <c r="AT1760" s="5" t="s">
        <v>246</v>
      </c>
      <c r="AU1760" s="5" t="s">
        <v>238</v>
      </c>
      <c r="AV1760" s="5" t="s">
        <v>247</v>
      </c>
      <c r="AW1760" s="5" t="s">
        <v>238</v>
      </c>
      <c r="AX1760" s="5" t="s">
        <v>249</v>
      </c>
      <c r="AY1760" s="5" t="s">
        <v>238</v>
      </c>
      <c r="BA1760" s="5" t="s">
        <v>238</v>
      </c>
      <c r="BC1760" s="5" t="s">
        <v>250</v>
      </c>
      <c r="BD1760" s="6" t="s">
        <v>243</v>
      </c>
      <c r="BE1760" s="5" t="s">
        <v>251</v>
      </c>
      <c r="BF1760" s="5" t="s">
        <v>252</v>
      </c>
      <c r="BG1760" s="5" t="s">
        <v>238</v>
      </c>
      <c r="BH1760" s="7">
        <f>0</f>
        <v>0</v>
      </c>
      <c r="BI1760" s="8">
        <f>0</f>
        <v>0</v>
      </c>
      <c r="BJ1760" s="5" t="s">
        <v>253</v>
      </c>
      <c r="BK1760" s="5" t="s">
        <v>254</v>
      </c>
      <c r="BY1760" s="5" t="s">
        <v>238</v>
      </c>
      <c r="BZ1760" s="5" t="s">
        <v>238</v>
      </c>
      <c r="CD1760" s="5" t="s">
        <v>273</v>
      </c>
      <c r="CE1760" s="5" t="s">
        <v>256</v>
      </c>
      <c r="CF1760" s="5" t="s">
        <v>238</v>
      </c>
      <c r="CI1760" s="6" t="s">
        <v>257</v>
      </c>
      <c r="CJ1760" s="5" t="s">
        <v>238</v>
      </c>
      <c r="CK1760" s="5" t="s">
        <v>258</v>
      </c>
      <c r="CL1760" s="5" t="s">
        <v>238</v>
      </c>
      <c r="CM1760" s="5" t="s">
        <v>238</v>
      </c>
      <c r="CN1760" s="5">
        <v>0</v>
      </c>
      <c r="CO1760" s="5" t="s">
        <v>259</v>
      </c>
      <c r="CP1760" s="5" t="s">
        <v>260</v>
      </c>
      <c r="CQ1760" s="5" t="s">
        <v>260</v>
      </c>
      <c r="CR1760" s="5" t="s">
        <v>261</v>
      </c>
      <c r="CU1760" s="8">
        <f>1</f>
        <v>1</v>
      </c>
      <c r="CV1760" s="8">
        <f>0</f>
        <v>0</v>
      </c>
      <c r="CX1760" s="8">
        <f>0</f>
        <v>0</v>
      </c>
      <c r="CY1760" s="8">
        <f>1</f>
        <v>1</v>
      </c>
      <c r="DA1760" s="5" t="s">
        <v>673</v>
      </c>
      <c r="DB1760" s="5" t="s">
        <v>238</v>
      </c>
      <c r="DD1760" s="5" t="s">
        <v>673</v>
      </c>
      <c r="DE1760" s="8">
        <f>7631</f>
        <v>7631</v>
      </c>
      <c r="DG1760" s="5" t="s">
        <v>238</v>
      </c>
      <c r="DH1760" s="5" t="s">
        <v>238</v>
      </c>
      <c r="DI1760" s="5" t="s">
        <v>238</v>
      </c>
      <c r="DJ1760" s="5" t="s">
        <v>238</v>
      </c>
      <c r="DN1760" s="5" t="s">
        <v>238</v>
      </c>
      <c r="DO1760" s="5" t="s">
        <v>238</v>
      </c>
      <c r="DP1760" s="5" t="s">
        <v>238</v>
      </c>
      <c r="DQ1760" s="5" t="s">
        <v>238</v>
      </c>
      <c r="DT1760" s="5" t="s">
        <v>2039</v>
      </c>
      <c r="DU1760" s="5" t="s">
        <v>3754</v>
      </c>
      <c r="HM1760" s="5" t="s">
        <v>264</v>
      </c>
    </row>
    <row r="1761" spans="1:221" x14ac:dyDescent="0.4">
      <c r="A1761" s="5">
        <v>3436</v>
      </c>
      <c r="B1761" s="5">
        <v>1</v>
      </c>
      <c r="C1761" s="5">
        <v>1</v>
      </c>
      <c r="D1761" s="5" t="s">
        <v>2037</v>
      </c>
      <c r="E1761" s="5" t="s">
        <v>271</v>
      </c>
      <c r="F1761" s="5" t="s">
        <v>248</v>
      </c>
      <c r="G1761" s="5" t="s">
        <v>1969</v>
      </c>
      <c r="H1761" s="6" t="s">
        <v>3807</v>
      </c>
      <c r="I1761" s="7">
        <f>811</f>
        <v>811</v>
      </c>
      <c r="J1761" s="5" t="s">
        <v>262</v>
      </c>
      <c r="K1761" s="8">
        <f>1</f>
        <v>1</v>
      </c>
      <c r="L1761" s="6" t="s">
        <v>242</v>
      </c>
      <c r="M1761" s="5" t="s">
        <v>267</v>
      </c>
      <c r="N1761" s="5" t="s">
        <v>265</v>
      </c>
      <c r="O1761" s="5" t="s">
        <v>238</v>
      </c>
      <c r="P1761" s="5" t="s">
        <v>238</v>
      </c>
      <c r="Q1761" s="5" t="s">
        <v>268</v>
      </c>
      <c r="R1761" s="5" t="s">
        <v>270</v>
      </c>
      <c r="S1761" s="5" t="s">
        <v>238</v>
      </c>
      <c r="V1761" s="5" t="s">
        <v>238</v>
      </c>
      <c r="X1761" s="6" t="s">
        <v>238</v>
      </c>
      <c r="AA1761" s="6" t="s">
        <v>243</v>
      </c>
      <c r="AB1761" s="5" t="s">
        <v>238</v>
      </c>
      <c r="AC1761" s="5" t="s">
        <v>244</v>
      </c>
      <c r="AD1761" s="5" t="s">
        <v>245</v>
      </c>
      <c r="AT1761" s="5" t="s">
        <v>246</v>
      </c>
      <c r="AU1761" s="5" t="s">
        <v>238</v>
      </c>
      <c r="AV1761" s="5" t="s">
        <v>247</v>
      </c>
      <c r="AW1761" s="5" t="s">
        <v>238</v>
      </c>
      <c r="AX1761" s="5" t="s">
        <v>249</v>
      </c>
      <c r="AY1761" s="5" t="s">
        <v>238</v>
      </c>
      <c r="BA1761" s="5" t="s">
        <v>238</v>
      </c>
      <c r="BC1761" s="5" t="s">
        <v>250</v>
      </c>
      <c r="BD1761" s="6" t="s">
        <v>243</v>
      </c>
      <c r="BE1761" s="5" t="s">
        <v>251</v>
      </c>
      <c r="BF1761" s="5" t="s">
        <v>252</v>
      </c>
      <c r="BG1761" s="5" t="s">
        <v>238</v>
      </c>
      <c r="BH1761" s="7">
        <f>0</f>
        <v>0</v>
      </c>
      <c r="BI1761" s="8">
        <f>0</f>
        <v>0</v>
      </c>
      <c r="BJ1761" s="5" t="s">
        <v>253</v>
      </c>
      <c r="BK1761" s="5" t="s">
        <v>254</v>
      </c>
      <c r="BY1761" s="5" t="s">
        <v>238</v>
      </c>
      <c r="BZ1761" s="5" t="s">
        <v>238</v>
      </c>
      <c r="CD1761" s="5" t="s">
        <v>273</v>
      </c>
      <c r="CE1761" s="5" t="s">
        <v>256</v>
      </c>
      <c r="CF1761" s="5" t="s">
        <v>238</v>
      </c>
      <c r="CI1761" s="6" t="s">
        <v>257</v>
      </c>
      <c r="CJ1761" s="5" t="s">
        <v>238</v>
      </c>
      <c r="CK1761" s="5" t="s">
        <v>258</v>
      </c>
      <c r="CL1761" s="5" t="s">
        <v>238</v>
      </c>
      <c r="CM1761" s="5" t="s">
        <v>238</v>
      </c>
      <c r="CN1761" s="5">
        <v>0</v>
      </c>
      <c r="CO1761" s="5" t="s">
        <v>259</v>
      </c>
      <c r="CP1761" s="5" t="s">
        <v>260</v>
      </c>
      <c r="CQ1761" s="5" t="s">
        <v>260</v>
      </c>
      <c r="CR1761" s="5" t="s">
        <v>261</v>
      </c>
      <c r="CU1761" s="8">
        <f>1</f>
        <v>1</v>
      </c>
      <c r="CV1761" s="8">
        <f>0</f>
        <v>0</v>
      </c>
      <c r="CX1761" s="8">
        <f>0</f>
        <v>0</v>
      </c>
      <c r="CY1761" s="8">
        <f>1</f>
        <v>1</v>
      </c>
      <c r="DA1761" s="5" t="s">
        <v>673</v>
      </c>
      <c r="DB1761" s="5" t="s">
        <v>238</v>
      </c>
      <c r="DD1761" s="5" t="s">
        <v>673</v>
      </c>
      <c r="DE1761" s="8">
        <f>811</f>
        <v>811</v>
      </c>
      <c r="DG1761" s="5" t="s">
        <v>238</v>
      </c>
      <c r="DH1761" s="5" t="s">
        <v>238</v>
      </c>
      <c r="DI1761" s="5" t="s">
        <v>238</v>
      </c>
      <c r="DJ1761" s="5" t="s">
        <v>238</v>
      </c>
      <c r="DN1761" s="5" t="s">
        <v>238</v>
      </c>
      <c r="DO1761" s="5" t="s">
        <v>238</v>
      </c>
      <c r="DP1761" s="5" t="s">
        <v>238</v>
      </c>
      <c r="DQ1761" s="5" t="s">
        <v>238</v>
      </c>
      <c r="DT1761" s="5" t="s">
        <v>2039</v>
      </c>
      <c r="DU1761" s="5" t="s">
        <v>3808</v>
      </c>
      <c r="HM1761" s="5" t="s">
        <v>264</v>
      </c>
    </row>
    <row r="1762" spans="1:221" x14ac:dyDescent="0.4">
      <c r="A1762" s="5">
        <v>3437</v>
      </c>
      <c r="B1762" s="5">
        <v>1</v>
      </c>
      <c r="C1762" s="5">
        <v>1</v>
      </c>
      <c r="D1762" s="5" t="s">
        <v>2037</v>
      </c>
      <c r="E1762" s="5" t="s">
        <v>271</v>
      </c>
      <c r="F1762" s="5" t="s">
        <v>248</v>
      </c>
      <c r="G1762" s="5" t="s">
        <v>1969</v>
      </c>
      <c r="H1762" s="6" t="s">
        <v>3831</v>
      </c>
      <c r="I1762" s="7">
        <f>921</f>
        <v>921</v>
      </c>
      <c r="J1762" s="5" t="s">
        <v>262</v>
      </c>
      <c r="K1762" s="8">
        <f>1</f>
        <v>1</v>
      </c>
      <c r="L1762" s="6" t="s">
        <v>242</v>
      </c>
      <c r="M1762" s="5" t="s">
        <v>267</v>
      </c>
      <c r="N1762" s="5" t="s">
        <v>265</v>
      </c>
      <c r="O1762" s="5" t="s">
        <v>238</v>
      </c>
      <c r="P1762" s="5" t="s">
        <v>238</v>
      </c>
      <c r="Q1762" s="5" t="s">
        <v>268</v>
      </c>
      <c r="R1762" s="5" t="s">
        <v>270</v>
      </c>
      <c r="S1762" s="5" t="s">
        <v>238</v>
      </c>
      <c r="V1762" s="5" t="s">
        <v>238</v>
      </c>
      <c r="X1762" s="6" t="s">
        <v>238</v>
      </c>
      <c r="AA1762" s="6" t="s">
        <v>243</v>
      </c>
      <c r="AB1762" s="5" t="s">
        <v>238</v>
      </c>
      <c r="AC1762" s="5" t="s">
        <v>244</v>
      </c>
      <c r="AD1762" s="5" t="s">
        <v>245</v>
      </c>
      <c r="AT1762" s="5" t="s">
        <v>246</v>
      </c>
      <c r="AU1762" s="5" t="s">
        <v>238</v>
      </c>
      <c r="AV1762" s="5" t="s">
        <v>247</v>
      </c>
      <c r="AW1762" s="5" t="s">
        <v>238</v>
      </c>
      <c r="AX1762" s="5" t="s">
        <v>249</v>
      </c>
      <c r="AY1762" s="5" t="s">
        <v>238</v>
      </c>
      <c r="BA1762" s="5" t="s">
        <v>238</v>
      </c>
      <c r="BC1762" s="5" t="s">
        <v>250</v>
      </c>
      <c r="BD1762" s="6" t="s">
        <v>243</v>
      </c>
      <c r="BE1762" s="5" t="s">
        <v>251</v>
      </c>
      <c r="BF1762" s="5" t="s">
        <v>252</v>
      </c>
      <c r="BG1762" s="5" t="s">
        <v>238</v>
      </c>
      <c r="BH1762" s="7">
        <f>0</f>
        <v>0</v>
      </c>
      <c r="BI1762" s="8">
        <f>0</f>
        <v>0</v>
      </c>
      <c r="BJ1762" s="5" t="s">
        <v>253</v>
      </c>
      <c r="BK1762" s="5" t="s">
        <v>254</v>
      </c>
      <c r="BY1762" s="5" t="s">
        <v>238</v>
      </c>
      <c r="BZ1762" s="5" t="s">
        <v>238</v>
      </c>
      <c r="CD1762" s="5" t="s">
        <v>273</v>
      </c>
      <c r="CE1762" s="5" t="s">
        <v>256</v>
      </c>
      <c r="CF1762" s="5" t="s">
        <v>238</v>
      </c>
      <c r="CI1762" s="6" t="s">
        <v>257</v>
      </c>
      <c r="CJ1762" s="5" t="s">
        <v>238</v>
      </c>
      <c r="CK1762" s="5" t="s">
        <v>258</v>
      </c>
      <c r="CL1762" s="5" t="s">
        <v>238</v>
      </c>
      <c r="CM1762" s="5" t="s">
        <v>238</v>
      </c>
      <c r="CN1762" s="5">
        <v>0</v>
      </c>
      <c r="CO1762" s="5" t="s">
        <v>259</v>
      </c>
      <c r="CP1762" s="5" t="s">
        <v>260</v>
      </c>
      <c r="CQ1762" s="5" t="s">
        <v>260</v>
      </c>
      <c r="CR1762" s="5" t="s">
        <v>261</v>
      </c>
      <c r="CU1762" s="8">
        <f>1</f>
        <v>1</v>
      </c>
      <c r="CV1762" s="8">
        <f>0</f>
        <v>0</v>
      </c>
      <c r="CX1762" s="8">
        <f>0</f>
        <v>0</v>
      </c>
      <c r="CY1762" s="8">
        <f>1</f>
        <v>1</v>
      </c>
      <c r="DA1762" s="5" t="s">
        <v>673</v>
      </c>
      <c r="DB1762" s="5" t="s">
        <v>238</v>
      </c>
      <c r="DD1762" s="5" t="s">
        <v>673</v>
      </c>
      <c r="DE1762" s="8">
        <f>921</f>
        <v>921</v>
      </c>
      <c r="DG1762" s="5" t="s">
        <v>238</v>
      </c>
      <c r="DH1762" s="5" t="s">
        <v>238</v>
      </c>
      <c r="DI1762" s="5" t="s">
        <v>238</v>
      </c>
      <c r="DJ1762" s="5" t="s">
        <v>238</v>
      </c>
      <c r="DN1762" s="5" t="s">
        <v>238</v>
      </c>
      <c r="DO1762" s="5" t="s">
        <v>238</v>
      </c>
      <c r="DP1762" s="5" t="s">
        <v>238</v>
      </c>
      <c r="DQ1762" s="5" t="s">
        <v>238</v>
      </c>
      <c r="DT1762" s="5" t="s">
        <v>2039</v>
      </c>
      <c r="DU1762" s="5" t="s">
        <v>3832</v>
      </c>
      <c r="HM1762" s="5" t="s">
        <v>264</v>
      </c>
    </row>
    <row r="1763" spans="1:221" x14ac:dyDescent="0.4">
      <c r="A1763" s="5">
        <v>3438</v>
      </c>
      <c r="B1763" s="5">
        <v>1</v>
      </c>
      <c r="C1763" s="5">
        <v>1</v>
      </c>
      <c r="D1763" s="5" t="s">
        <v>2037</v>
      </c>
      <c r="E1763" s="5" t="s">
        <v>271</v>
      </c>
      <c r="F1763" s="5" t="s">
        <v>248</v>
      </c>
      <c r="G1763" s="5" t="s">
        <v>1969</v>
      </c>
      <c r="H1763" s="6" t="s">
        <v>3819</v>
      </c>
      <c r="I1763" s="7">
        <f>1130</f>
        <v>1130</v>
      </c>
      <c r="J1763" s="5" t="s">
        <v>262</v>
      </c>
      <c r="K1763" s="8">
        <f>1</f>
        <v>1</v>
      </c>
      <c r="L1763" s="6" t="s">
        <v>242</v>
      </c>
      <c r="M1763" s="5" t="s">
        <v>267</v>
      </c>
      <c r="N1763" s="5" t="s">
        <v>265</v>
      </c>
      <c r="O1763" s="5" t="s">
        <v>238</v>
      </c>
      <c r="P1763" s="5" t="s">
        <v>238</v>
      </c>
      <c r="Q1763" s="5" t="s">
        <v>268</v>
      </c>
      <c r="R1763" s="5" t="s">
        <v>270</v>
      </c>
      <c r="S1763" s="5" t="s">
        <v>238</v>
      </c>
      <c r="V1763" s="5" t="s">
        <v>238</v>
      </c>
      <c r="X1763" s="6" t="s">
        <v>238</v>
      </c>
      <c r="AA1763" s="6" t="s">
        <v>243</v>
      </c>
      <c r="AB1763" s="5" t="s">
        <v>238</v>
      </c>
      <c r="AC1763" s="5" t="s">
        <v>244</v>
      </c>
      <c r="AD1763" s="5" t="s">
        <v>245</v>
      </c>
      <c r="AT1763" s="5" t="s">
        <v>246</v>
      </c>
      <c r="AU1763" s="5" t="s">
        <v>238</v>
      </c>
      <c r="AV1763" s="5" t="s">
        <v>247</v>
      </c>
      <c r="AW1763" s="5" t="s">
        <v>238</v>
      </c>
      <c r="AX1763" s="5" t="s">
        <v>249</v>
      </c>
      <c r="AY1763" s="5" t="s">
        <v>238</v>
      </c>
      <c r="BA1763" s="5" t="s">
        <v>238</v>
      </c>
      <c r="BC1763" s="5" t="s">
        <v>250</v>
      </c>
      <c r="BD1763" s="6" t="s">
        <v>243</v>
      </c>
      <c r="BE1763" s="5" t="s">
        <v>251</v>
      </c>
      <c r="BF1763" s="5" t="s">
        <v>252</v>
      </c>
      <c r="BG1763" s="5" t="s">
        <v>238</v>
      </c>
      <c r="BH1763" s="7">
        <f>0</f>
        <v>0</v>
      </c>
      <c r="BI1763" s="8">
        <f>0</f>
        <v>0</v>
      </c>
      <c r="BJ1763" s="5" t="s">
        <v>253</v>
      </c>
      <c r="BK1763" s="5" t="s">
        <v>254</v>
      </c>
      <c r="BY1763" s="5" t="s">
        <v>238</v>
      </c>
      <c r="BZ1763" s="5" t="s">
        <v>238</v>
      </c>
      <c r="CD1763" s="5" t="s">
        <v>273</v>
      </c>
      <c r="CE1763" s="5" t="s">
        <v>256</v>
      </c>
      <c r="CF1763" s="5" t="s">
        <v>238</v>
      </c>
      <c r="CI1763" s="6" t="s">
        <v>257</v>
      </c>
      <c r="CJ1763" s="5" t="s">
        <v>238</v>
      </c>
      <c r="CK1763" s="5" t="s">
        <v>258</v>
      </c>
      <c r="CL1763" s="5" t="s">
        <v>238</v>
      </c>
      <c r="CM1763" s="5" t="s">
        <v>238</v>
      </c>
      <c r="CN1763" s="5">
        <v>0</v>
      </c>
      <c r="CO1763" s="5" t="s">
        <v>259</v>
      </c>
      <c r="CP1763" s="5" t="s">
        <v>260</v>
      </c>
      <c r="CQ1763" s="5" t="s">
        <v>260</v>
      </c>
      <c r="CR1763" s="5" t="s">
        <v>261</v>
      </c>
      <c r="CU1763" s="8">
        <f>1</f>
        <v>1</v>
      </c>
      <c r="CV1763" s="8">
        <f>0</f>
        <v>0</v>
      </c>
      <c r="CX1763" s="8">
        <f>0</f>
        <v>0</v>
      </c>
      <c r="CY1763" s="8">
        <f>1</f>
        <v>1</v>
      </c>
      <c r="DA1763" s="5" t="s">
        <v>673</v>
      </c>
      <c r="DB1763" s="5" t="s">
        <v>238</v>
      </c>
      <c r="DD1763" s="5" t="s">
        <v>673</v>
      </c>
      <c r="DE1763" s="8">
        <f>1130</f>
        <v>1130</v>
      </c>
      <c r="DG1763" s="5" t="s">
        <v>238</v>
      </c>
      <c r="DH1763" s="5" t="s">
        <v>238</v>
      </c>
      <c r="DI1763" s="5" t="s">
        <v>238</v>
      </c>
      <c r="DJ1763" s="5" t="s">
        <v>238</v>
      </c>
      <c r="DN1763" s="5" t="s">
        <v>238</v>
      </c>
      <c r="DO1763" s="5" t="s">
        <v>238</v>
      </c>
      <c r="DP1763" s="5" t="s">
        <v>238</v>
      </c>
      <c r="DQ1763" s="5" t="s">
        <v>238</v>
      </c>
      <c r="DT1763" s="5" t="s">
        <v>2039</v>
      </c>
      <c r="DU1763" s="5" t="s">
        <v>3820</v>
      </c>
      <c r="HM1763" s="5" t="s">
        <v>264</v>
      </c>
    </row>
    <row r="1764" spans="1:221" x14ac:dyDescent="0.4">
      <c r="A1764" s="5">
        <v>3439</v>
      </c>
      <c r="B1764" s="5">
        <v>1</v>
      </c>
      <c r="C1764" s="5">
        <v>1</v>
      </c>
      <c r="D1764" s="5" t="s">
        <v>2037</v>
      </c>
      <c r="E1764" s="5" t="s">
        <v>271</v>
      </c>
      <c r="F1764" s="5" t="s">
        <v>248</v>
      </c>
      <c r="G1764" s="5" t="s">
        <v>1969</v>
      </c>
      <c r="H1764" s="6" t="s">
        <v>3854</v>
      </c>
      <c r="I1764" s="7">
        <f>708</f>
        <v>708</v>
      </c>
      <c r="J1764" s="5" t="s">
        <v>262</v>
      </c>
      <c r="K1764" s="8">
        <f>1</f>
        <v>1</v>
      </c>
      <c r="L1764" s="6" t="s">
        <v>242</v>
      </c>
      <c r="M1764" s="5" t="s">
        <v>267</v>
      </c>
      <c r="N1764" s="5" t="s">
        <v>265</v>
      </c>
      <c r="O1764" s="5" t="s">
        <v>238</v>
      </c>
      <c r="P1764" s="5" t="s">
        <v>238</v>
      </c>
      <c r="Q1764" s="5" t="s">
        <v>268</v>
      </c>
      <c r="R1764" s="5" t="s">
        <v>270</v>
      </c>
      <c r="S1764" s="5" t="s">
        <v>238</v>
      </c>
      <c r="V1764" s="5" t="s">
        <v>238</v>
      </c>
      <c r="X1764" s="6" t="s">
        <v>238</v>
      </c>
      <c r="AA1764" s="6" t="s">
        <v>243</v>
      </c>
      <c r="AB1764" s="5" t="s">
        <v>238</v>
      </c>
      <c r="AC1764" s="5" t="s">
        <v>244</v>
      </c>
      <c r="AD1764" s="5" t="s">
        <v>245</v>
      </c>
      <c r="AT1764" s="5" t="s">
        <v>246</v>
      </c>
      <c r="AU1764" s="5" t="s">
        <v>238</v>
      </c>
      <c r="AV1764" s="5" t="s">
        <v>247</v>
      </c>
      <c r="AW1764" s="5" t="s">
        <v>238</v>
      </c>
      <c r="AX1764" s="5" t="s">
        <v>249</v>
      </c>
      <c r="AY1764" s="5" t="s">
        <v>238</v>
      </c>
      <c r="BA1764" s="5" t="s">
        <v>238</v>
      </c>
      <c r="BC1764" s="5" t="s">
        <v>250</v>
      </c>
      <c r="BD1764" s="6" t="s">
        <v>243</v>
      </c>
      <c r="BE1764" s="5" t="s">
        <v>251</v>
      </c>
      <c r="BF1764" s="5" t="s">
        <v>252</v>
      </c>
      <c r="BG1764" s="5" t="s">
        <v>238</v>
      </c>
      <c r="BH1764" s="7">
        <f>0</f>
        <v>0</v>
      </c>
      <c r="BI1764" s="8">
        <f>0</f>
        <v>0</v>
      </c>
      <c r="BJ1764" s="5" t="s">
        <v>253</v>
      </c>
      <c r="BK1764" s="5" t="s">
        <v>254</v>
      </c>
      <c r="BY1764" s="5" t="s">
        <v>238</v>
      </c>
      <c r="BZ1764" s="5" t="s">
        <v>238</v>
      </c>
      <c r="CD1764" s="5" t="s">
        <v>273</v>
      </c>
      <c r="CE1764" s="5" t="s">
        <v>256</v>
      </c>
      <c r="CF1764" s="5" t="s">
        <v>238</v>
      </c>
      <c r="CI1764" s="6" t="s">
        <v>257</v>
      </c>
      <c r="CJ1764" s="5" t="s">
        <v>238</v>
      </c>
      <c r="CK1764" s="5" t="s">
        <v>258</v>
      </c>
      <c r="CL1764" s="5" t="s">
        <v>238</v>
      </c>
      <c r="CM1764" s="5" t="s">
        <v>238</v>
      </c>
      <c r="CN1764" s="5">
        <v>0</v>
      </c>
      <c r="CO1764" s="5" t="s">
        <v>259</v>
      </c>
      <c r="CP1764" s="5" t="s">
        <v>260</v>
      </c>
      <c r="CQ1764" s="5" t="s">
        <v>260</v>
      </c>
      <c r="CR1764" s="5" t="s">
        <v>261</v>
      </c>
      <c r="CU1764" s="8">
        <f>1</f>
        <v>1</v>
      </c>
      <c r="CV1764" s="8">
        <f>0</f>
        <v>0</v>
      </c>
      <c r="CX1764" s="8">
        <f>0</f>
        <v>0</v>
      </c>
      <c r="CY1764" s="8">
        <f>1</f>
        <v>1</v>
      </c>
      <c r="DA1764" s="5" t="s">
        <v>673</v>
      </c>
      <c r="DB1764" s="5" t="s">
        <v>238</v>
      </c>
      <c r="DD1764" s="5" t="s">
        <v>673</v>
      </c>
      <c r="DE1764" s="8">
        <f>708</f>
        <v>708</v>
      </c>
      <c r="DG1764" s="5" t="s">
        <v>238</v>
      </c>
      <c r="DH1764" s="5" t="s">
        <v>238</v>
      </c>
      <c r="DI1764" s="5" t="s">
        <v>238</v>
      </c>
      <c r="DJ1764" s="5" t="s">
        <v>238</v>
      </c>
      <c r="DN1764" s="5" t="s">
        <v>238</v>
      </c>
      <c r="DO1764" s="5" t="s">
        <v>238</v>
      </c>
      <c r="DP1764" s="5" t="s">
        <v>238</v>
      </c>
      <c r="DQ1764" s="5" t="s">
        <v>238</v>
      </c>
      <c r="DT1764" s="5" t="s">
        <v>2039</v>
      </c>
      <c r="DU1764" s="5" t="s">
        <v>3855</v>
      </c>
      <c r="HM1764" s="5" t="s">
        <v>264</v>
      </c>
    </row>
    <row r="1765" spans="1:221" x14ac:dyDescent="0.4">
      <c r="A1765" s="5">
        <v>3440</v>
      </c>
      <c r="B1765" s="5">
        <v>1</v>
      </c>
      <c r="C1765" s="5">
        <v>1</v>
      </c>
      <c r="D1765" s="5" t="s">
        <v>2037</v>
      </c>
      <c r="E1765" s="5" t="s">
        <v>271</v>
      </c>
      <c r="F1765" s="5" t="s">
        <v>248</v>
      </c>
      <c r="G1765" s="5" t="s">
        <v>1969</v>
      </c>
      <c r="H1765" s="6" t="s">
        <v>3505</v>
      </c>
      <c r="I1765" s="7">
        <f>670</f>
        <v>670</v>
      </c>
      <c r="J1765" s="5" t="s">
        <v>262</v>
      </c>
      <c r="K1765" s="8">
        <f>1</f>
        <v>1</v>
      </c>
      <c r="L1765" s="6" t="s">
        <v>242</v>
      </c>
      <c r="M1765" s="5" t="s">
        <v>267</v>
      </c>
      <c r="N1765" s="5" t="s">
        <v>265</v>
      </c>
      <c r="O1765" s="5" t="s">
        <v>238</v>
      </c>
      <c r="P1765" s="5" t="s">
        <v>238</v>
      </c>
      <c r="Q1765" s="5" t="s">
        <v>268</v>
      </c>
      <c r="R1765" s="5" t="s">
        <v>270</v>
      </c>
      <c r="S1765" s="5" t="s">
        <v>238</v>
      </c>
      <c r="V1765" s="5" t="s">
        <v>238</v>
      </c>
      <c r="X1765" s="6" t="s">
        <v>238</v>
      </c>
      <c r="AA1765" s="6" t="s">
        <v>243</v>
      </c>
      <c r="AB1765" s="5" t="s">
        <v>238</v>
      </c>
      <c r="AC1765" s="5" t="s">
        <v>244</v>
      </c>
      <c r="AD1765" s="5" t="s">
        <v>245</v>
      </c>
      <c r="AT1765" s="5" t="s">
        <v>246</v>
      </c>
      <c r="AU1765" s="5" t="s">
        <v>238</v>
      </c>
      <c r="AV1765" s="5" t="s">
        <v>247</v>
      </c>
      <c r="AW1765" s="5" t="s">
        <v>238</v>
      </c>
      <c r="AX1765" s="5" t="s">
        <v>249</v>
      </c>
      <c r="AY1765" s="5" t="s">
        <v>238</v>
      </c>
      <c r="BA1765" s="5" t="s">
        <v>238</v>
      </c>
      <c r="BC1765" s="5" t="s">
        <v>250</v>
      </c>
      <c r="BD1765" s="6" t="s">
        <v>243</v>
      </c>
      <c r="BE1765" s="5" t="s">
        <v>251</v>
      </c>
      <c r="BF1765" s="5" t="s">
        <v>252</v>
      </c>
      <c r="BG1765" s="5" t="s">
        <v>238</v>
      </c>
      <c r="BH1765" s="7">
        <f>0</f>
        <v>0</v>
      </c>
      <c r="BI1765" s="8">
        <f>0</f>
        <v>0</v>
      </c>
      <c r="BJ1765" s="5" t="s">
        <v>253</v>
      </c>
      <c r="BK1765" s="5" t="s">
        <v>254</v>
      </c>
      <c r="BY1765" s="5" t="s">
        <v>238</v>
      </c>
      <c r="BZ1765" s="5" t="s">
        <v>238</v>
      </c>
      <c r="CD1765" s="5" t="s">
        <v>273</v>
      </c>
      <c r="CE1765" s="5" t="s">
        <v>256</v>
      </c>
      <c r="CF1765" s="5" t="s">
        <v>238</v>
      </c>
      <c r="CI1765" s="6" t="s">
        <v>257</v>
      </c>
      <c r="CJ1765" s="5" t="s">
        <v>238</v>
      </c>
      <c r="CK1765" s="5" t="s">
        <v>258</v>
      </c>
      <c r="CL1765" s="5" t="s">
        <v>238</v>
      </c>
      <c r="CM1765" s="5" t="s">
        <v>238</v>
      </c>
      <c r="CN1765" s="5">
        <v>0</v>
      </c>
      <c r="CO1765" s="5" t="s">
        <v>259</v>
      </c>
      <c r="CP1765" s="5" t="s">
        <v>260</v>
      </c>
      <c r="CQ1765" s="5" t="s">
        <v>260</v>
      </c>
      <c r="CR1765" s="5" t="s">
        <v>261</v>
      </c>
      <c r="CU1765" s="8">
        <f>1</f>
        <v>1</v>
      </c>
      <c r="CV1765" s="8">
        <f>0</f>
        <v>0</v>
      </c>
      <c r="CX1765" s="8">
        <f>0</f>
        <v>0</v>
      </c>
      <c r="CY1765" s="8">
        <f>1</f>
        <v>1</v>
      </c>
      <c r="DA1765" s="5" t="s">
        <v>673</v>
      </c>
      <c r="DB1765" s="5" t="s">
        <v>238</v>
      </c>
      <c r="DD1765" s="5" t="s">
        <v>673</v>
      </c>
      <c r="DE1765" s="8">
        <f>670</f>
        <v>670</v>
      </c>
      <c r="DG1765" s="5" t="s">
        <v>238</v>
      </c>
      <c r="DH1765" s="5" t="s">
        <v>238</v>
      </c>
      <c r="DI1765" s="5" t="s">
        <v>238</v>
      </c>
      <c r="DJ1765" s="5" t="s">
        <v>238</v>
      </c>
      <c r="DN1765" s="5" t="s">
        <v>238</v>
      </c>
      <c r="DO1765" s="5" t="s">
        <v>238</v>
      </c>
      <c r="DP1765" s="5" t="s">
        <v>238</v>
      </c>
      <c r="DQ1765" s="5" t="s">
        <v>238</v>
      </c>
      <c r="DT1765" s="5" t="s">
        <v>2039</v>
      </c>
      <c r="DU1765" s="5" t="s">
        <v>3506</v>
      </c>
      <c r="HM1765" s="5" t="s">
        <v>264</v>
      </c>
    </row>
    <row r="1766" spans="1:221" x14ac:dyDescent="0.4">
      <c r="A1766" s="5">
        <v>3441</v>
      </c>
      <c r="B1766" s="5">
        <v>1</v>
      </c>
      <c r="C1766" s="5">
        <v>1</v>
      </c>
      <c r="D1766" s="5" t="s">
        <v>2037</v>
      </c>
      <c r="E1766" s="5" t="s">
        <v>271</v>
      </c>
      <c r="F1766" s="5" t="s">
        <v>248</v>
      </c>
      <c r="G1766" s="5" t="s">
        <v>1969</v>
      </c>
      <c r="H1766" s="6" t="s">
        <v>2663</v>
      </c>
      <c r="I1766" s="7">
        <f>45</f>
        <v>45</v>
      </c>
      <c r="J1766" s="5" t="s">
        <v>262</v>
      </c>
      <c r="K1766" s="8">
        <f>1</f>
        <v>1</v>
      </c>
      <c r="L1766" s="6" t="s">
        <v>242</v>
      </c>
      <c r="M1766" s="5" t="s">
        <v>267</v>
      </c>
      <c r="N1766" s="5" t="s">
        <v>265</v>
      </c>
      <c r="O1766" s="5" t="s">
        <v>238</v>
      </c>
      <c r="P1766" s="5" t="s">
        <v>238</v>
      </c>
      <c r="Q1766" s="5" t="s">
        <v>268</v>
      </c>
      <c r="R1766" s="5" t="s">
        <v>270</v>
      </c>
      <c r="S1766" s="5" t="s">
        <v>238</v>
      </c>
      <c r="V1766" s="5" t="s">
        <v>238</v>
      </c>
      <c r="X1766" s="6" t="s">
        <v>238</v>
      </c>
      <c r="AA1766" s="6" t="s">
        <v>243</v>
      </c>
      <c r="AB1766" s="5" t="s">
        <v>238</v>
      </c>
      <c r="AC1766" s="5" t="s">
        <v>244</v>
      </c>
      <c r="AD1766" s="5" t="s">
        <v>245</v>
      </c>
      <c r="AT1766" s="5" t="s">
        <v>246</v>
      </c>
      <c r="AU1766" s="5" t="s">
        <v>238</v>
      </c>
      <c r="AV1766" s="5" t="s">
        <v>247</v>
      </c>
      <c r="AW1766" s="5" t="s">
        <v>238</v>
      </c>
      <c r="AX1766" s="5" t="s">
        <v>249</v>
      </c>
      <c r="AY1766" s="5" t="s">
        <v>238</v>
      </c>
      <c r="BA1766" s="5" t="s">
        <v>238</v>
      </c>
      <c r="BC1766" s="5" t="s">
        <v>250</v>
      </c>
      <c r="BD1766" s="6" t="s">
        <v>243</v>
      </c>
      <c r="BE1766" s="5" t="s">
        <v>251</v>
      </c>
      <c r="BF1766" s="5" t="s">
        <v>252</v>
      </c>
      <c r="BG1766" s="5" t="s">
        <v>238</v>
      </c>
      <c r="BH1766" s="7">
        <f>0</f>
        <v>0</v>
      </c>
      <c r="BI1766" s="8">
        <f>0</f>
        <v>0</v>
      </c>
      <c r="BJ1766" s="5" t="s">
        <v>253</v>
      </c>
      <c r="BK1766" s="5" t="s">
        <v>254</v>
      </c>
      <c r="BY1766" s="5" t="s">
        <v>238</v>
      </c>
      <c r="BZ1766" s="5" t="s">
        <v>238</v>
      </c>
      <c r="CD1766" s="5" t="s">
        <v>273</v>
      </c>
      <c r="CE1766" s="5" t="s">
        <v>256</v>
      </c>
      <c r="CF1766" s="5" t="s">
        <v>238</v>
      </c>
      <c r="CI1766" s="6" t="s">
        <v>257</v>
      </c>
      <c r="CJ1766" s="5" t="s">
        <v>238</v>
      </c>
      <c r="CK1766" s="5" t="s">
        <v>258</v>
      </c>
      <c r="CL1766" s="5" t="s">
        <v>238</v>
      </c>
      <c r="CM1766" s="5" t="s">
        <v>238</v>
      </c>
      <c r="CN1766" s="5">
        <v>0</v>
      </c>
      <c r="CO1766" s="5" t="s">
        <v>259</v>
      </c>
      <c r="CP1766" s="5" t="s">
        <v>260</v>
      </c>
      <c r="CQ1766" s="5" t="s">
        <v>260</v>
      </c>
      <c r="CR1766" s="5" t="s">
        <v>261</v>
      </c>
      <c r="CU1766" s="8">
        <f>1</f>
        <v>1</v>
      </c>
      <c r="CV1766" s="8">
        <f>0</f>
        <v>0</v>
      </c>
      <c r="CX1766" s="8">
        <f>0</f>
        <v>0</v>
      </c>
      <c r="CY1766" s="8">
        <f>1</f>
        <v>1</v>
      </c>
      <c r="DA1766" s="5" t="s">
        <v>673</v>
      </c>
      <c r="DB1766" s="5" t="s">
        <v>238</v>
      </c>
      <c r="DD1766" s="5" t="s">
        <v>673</v>
      </c>
      <c r="DE1766" s="8">
        <f>45</f>
        <v>45</v>
      </c>
      <c r="DG1766" s="5" t="s">
        <v>238</v>
      </c>
      <c r="DH1766" s="5" t="s">
        <v>238</v>
      </c>
      <c r="DI1766" s="5" t="s">
        <v>238</v>
      </c>
      <c r="DJ1766" s="5" t="s">
        <v>238</v>
      </c>
      <c r="DN1766" s="5" t="s">
        <v>238</v>
      </c>
      <c r="DO1766" s="5" t="s">
        <v>238</v>
      </c>
      <c r="DP1766" s="5" t="s">
        <v>238</v>
      </c>
      <c r="DQ1766" s="5" t="s">
        <v>238</v>
      </c>
      <c r="DT1766" s="5" t="s">
        <v>2039</v>
      </c>
      <c r="DU1766" s="5" t="s">
        <v>2664</v>
      </c>
      <c r="HM1766" s="5" t="s">
        <v>264</v>
      </c>
    </row>
    <row r="1767" spans="1:221" x14ac:dyDescent="0.4">
      <c r="A1767" s="5">
        <v>3442</v>
      </c>
      <c r="B1767" s="5">
        <v>1</v>
      </c>
      <c r="C1767" s="5">
        <v>1</v>
      </c>
      <c r="D1767" s="5" t="s">
        <v>2037</v>
      </c>
      <c r="E1767" s="5" t="s">
        <v>271</v>
      </c>
      <c r="F1767" s="5" t="s">
        <v>248</v>
      </c>
      <c r="G1767" s="5" t="s">
        <v>1969</v>
      </c>
      <c r="H1767" s="6" t="s">
        <v>2705</v>
      </c>
      <c r="I1767" s="7">
        <f>1.21</f>
        <v>1.21</v>
      </c>
      <c r="J1767" s="5" t="s">
        <v>262</v>
      </c>
      <c r="K1767" s="8">
        <f>1</f>
        <v>1</v>
      </c>
      <c r="L1767" s="6" t="s">
        <v>242</v>
      </c>
      <c r="M1767" s="5" t="s">
        <v>267</v>
      </c>
      <c r="N1767" s="5" t="s">
        <v>265</v>
      </c>
      <c r="O1767" s="5" t="s">
        <v>238</v>
      </c>
      <c r="P1767" s="5" t="s">
        <v>238</v>
      </c>
      <c r="Q1767" s="5" t="s">
        <v>268</v>
      </c>
      <c r="R1767" s="5" t="s">
        <v>270</v>
      </c>
      <c r="S1767" s="5" t="s">
        <v>238</v>
      </c>
      <c r="V1767" s="5" t="s">
        <v>238</v>
      </c>
      <c r="X1767" s="6" t="s">
        <v>238</v>
      </c>
      <c r="AA1767" s="6" t="s">
        <v>243</v>
      </c>
      <c r="AB1767" s="5" t="s">
        <v>238</v>
      </c>
      <c r="AC1767" s="5" t="s">
        <v>244</v>
      </c>
      <c r="AD1767" s="5" t="s">
        <v>245</v>
      </c>
      <c r="AT1767" s="5" t="s">
        <v>246</v>
      </c>
      <c r="AU1767" s="5" t="s">
        <v>238</v>
      </c>
      <c r="AV1767" s="5" t="s">
        <v>247</v>
      </c>
      <c r="AW1767" s="5" t="s">
        <v>238</v>
      </c>
      <c r="AX1767" s="5" t="s">
        <v>249</v>
      </c>
      <c r="AY1767" s="5" t="s">
        <v>238</v>
      </c>
      <c r="BA1767" s="5" t="s">
        <v>238</v>
      </c>
      <c r="BC1767" s="5" t="s">
        <v>250</v>
      </c>
      <c r="BD1767" s="6" t="s">
        <v>243</v>
      </c>
      <c r="BE1767" s="5" t="s">
        <v>251</v>
      </c>
      <c r="BF1767" s="5" t="s">
        <v>252</v>
      </c>
      <c r="BG1767" s="5" t="s">
        <v>238</v>
      </c>
      <c r="BH1767" s="7">
        <f>0</f>
        <v>0</v>
      </c>
      <c r="BI1767" s="8">
        <f>0</f>
        <v>0</v>
      </c>
      <c r="BJ1767" s="5" t="s">
        <v>253</v>
      </c>
      <c r="BK1767" s="5" t="s">
        <v>254</v>
      </c>
      <c r="BY1767" s="5" t="s">
        <v>238</v>
      </c>
      <c r="BZ1767" s="5" t="s">
        <v>238</v>
      </c>
      <c r="CD1767" s="5" t="s">
        <v>273</v>
      </c>
      <c r="CE1767" s="5" t="s">
        <v>256</v>
      </c>
      <c r="CF1767" s="5" t="s">
        <v>238</v>
      </c>
      <c r="CI1767" s="6" t="s">
        <v>257</v>
      </c>
      <c r="CJ1767" s="5" t="s">
        <v>238</v>
      </c>
      <c r="CK1767" s="5" t="s">
        <v>258</v>
      </c>
      <c r="CL1767" s="5" t="s">
        <v>238</v>
      </c>
      <c r="CM1767" s="5" t="s">
        <v>238</v>
      </c>
      <c r="CN1767" s="5">
        <v>0</v>
      </c>
      <c r="CO1767" s="5" t="s">
        <v>259</v>
      </c>
      <c r="CP1767" s="5" t="s">
        <v>260</v>
      </c>
      <c r="CQ1767" s="5" t="s">
        <v>260</v>
      </c>
      <c r="CR1767" s="5" t="s">
        <v>261</v>
      </c>
      <c r="CU1767" s="8">
        <f>1</f>
        <v>1</v>
      </c>
      <c r="CV1767" s="8">
        <f>0</f>
        <v>0</v>
      </c>
      <c r="CX1767" s="8">
        <f>0</f>
        <v>0</v>
      </c>
      <c r="CY1767" s="8">
        <f>1</f>
        <v>1</v>
      </c>
      <c r="DA1767" s="5" t="s">
        <v>673</v>
      </c>
      <c r="DB1767" s="5" t="s">
        <v>238</v>
      </c>
      <c r="DD1767" s="5" t="s">
        <v>673</v>
      </c>
      <c r="DE1767" s="8">
        <f>1.21</f>
        <v>1.21</v>
      </c>
      <c r="DG1767" s="5" t="s">
        <v>238</v>
      </c>
      <c r="DH1767" s="5" t="s">
        <v>238</v>
      </c>
      <c r="DI1767" s="5" t="s">
        <v>238</v>
      </c>
      <c r="DJ1767" s="5" t="s">
        <v>238</v>
      </c>
      <c r="DN1767" s="5" t="s">
        <v>238</v>
      </c>
      <c r="DO1767" s="5" t="s">
        <v>238</v>
      </c>
      <c r="DP1767" s="5" t="s">
        <v>238</v>
      </c>
      <c r="DQ1767" s="5" t="s">
        <v>238</v>
      </c>
      <c r="DT1767" s="5" t="s">
        <v>2039</v>
      </c>
      <c r="DU1767" s="5" t="s">
        <v>2706</v>
      </c>
      <c r="HM1767" s="5" t="s">
        <v>264</v>
      </c>
    </row>
    <row r="1768" spans="1:221" x14ac:dyDescent="0.4">
      <c r="A1768" s="5">
        <v>3443</v>
      </c>
      <c r="B1768" s="5">
        <v>1</v>
      </c>
      <c r="C1768" s="5">
        <v>1</v>
      </c>
      <c r="D1768" s="5" t="s">
        <v>2037</v>
      </c>
      <c r="E1768" s="5" t="s">
        <v>271</v>
      </c>
      <c r="F1768" s="5" t="s">
        <v>248</v>
      </c>
      <c r="G1768" s="5" t="s">
        <v>1969</v>
      </c>
      <c r="H1768" s="6" t="s">
        <v>2802</v>
      </c>
      <c r="I1768" s="7">
        <f>201</f>
        <v>201</v>
      </c>
      <c r="J1768" s="5" t="s">
        <v>262</v>
      </c>
      <c r="K1768" s="8">
        <f>1</f>
        <v>1</v>
      </c>
      <c r="L1768" s="6" t="s">
        <v>242</v>
      </c>
      <c r="M1768" s="5" t="s">
        <v>267</v>
      </c>
      <c r="N1768" s="5" t="s">
        <v>265</v>
      </c>
      <c r="O1768" s="5" t="s">
        <v>238</v>
      </c>
      <c r="P1768" s="5" t="s">
        <v>238</v>
      </c>
      <c r="Q1768" s="5" t="s">
        <v>268</v>
      </c>
      <c r="R1768" s="5" t="s">
        <v>270</v>
      </c>
      <c r="S1768" s="5" t="s">
        <v>238</v>
      </c>
      <c r="V1768" s="5" t="s">
        <v>238</v>
      </c>
      <c r="X1768" s="6" t="s">
        <v>238</v>
      </c>
      <c r="AA1768" s="6" t="s">
        <v>243</v>
      </c>
      <c r="AB1768" s="5" t="s">
        <v>238</v>
      </c>
      <c r="AC1768" s="5" t="s">
        <v>244</v>
      </c>
      <c r="AD1768" s="5" t="s">
        <v>245</v>
      </c>
      <c r="AT1768" s="5" t="s">
        <v>246</v>
      </c>
      <c r="AU1768" s="5" t="s">
        <v>238</v>
      </c>
      <c r="AV1768" s="5" t="s">
        <v>247</v>
      </c>
      <c r="AW1768" s="5" t="s">
        <v>238</v>
      </c>
      <c r="AX1768" s="5" t="s">
        <v>249</v>
      </c>
      <c r="AY1768" s="5" t="s">
        <v>238</v>
      </c>
      <c r="BA1768" s="5" t="s">
        <v>238</v>
      </c>
      <c r="BC1768" s="5" t="s">
        <v>250</v>
      </c>
      <c r="BD1768" s="6" t="s">
        <v>243</v>
      </c>
      <c r="BE1768" s="5" t="s">
        <v>251</v>
      </c>
      <c r="BF1768" s="5" t="s">
        <v>252</v>
      </c>
      <c r="BG1768" s="5" t="s">
        <v>238</v>
      </c>
      <c r="BH1768" s="7">
        <f>0</f>
        <v>0</v>
      </c>
      <c r="BI1768" s="8">
        <f>0</f>
        <v>0</v>
      </c>
      <c r="BJ1768" s="5" t="s">
        <v>253</v>
      </c>
      <c r="BK1768" s="5" t="s">
        <v>254</v>
      </c>
      <c r="BY1768" s="5" t="s">
        <v>238</v>
      </c>
      <c r="BZ1768" s="5" t="s">
        <v>238</v>
      </c>
      <c r="CD1768" s="5" t="s">
        <v>273</v>
      </c>
      <c r="CE1768" s="5" t="s">
        <v>256</v>
      </c>
      <c r="CF1768" s="5" t="s">
        <v>238</v>
      </c>
      <c r="CI1768" s="6" t="s">
        <v>257</v>
      </c>
      <c r="CJ1768" s="5" t="s">
        <v>238</v>
      </c>
      <c r="CK1768" s="5" t="s">
        <v>258</v>
      </c>
      <c r="CL1768" s="5" t="s">
        <v>238</v>
      </c>
      <c r="CM1768" s="5" t="s">
        <v>238</v>
      </c>
      <c r="CN1768" s="5">
        <v>0</v>
      </c>
      <c r="CO1768" s="5" t="s">
        <v>259</v>
      </c>
      <c r="CP1768" s="5" t="s">
        <v>260</v>
      </c>
      <c r="CQ1768" s="5" t="s">
        <v>260</v>
      </c>
      <c r="CR1768" s="5" t="s">
        <v>261</v>
      </c>
      <c r="CU1768" s="8">
        <f>1</f>
        <v>1</v>
      </c>
      <c r="CV1768" s="8">
        <f>0</f>
        <v>0</v>
      </c>
      <c r="CX1768" s="8">
        <f>0</f>
        <v>0</v>
      </c>
      <c r="CY1768" s="8">
        <f>1</f>
        <v>1</v>
      </c>
      <c r="DA1768" s="5" t="s">
        <v>673</v>
      </c>
      <c r="DB1768" s="5" t="s">
        <v>238</v>
      </c>
      <c r="DD1768" s="5" t="s">
        <v>673</v>
      </c>
      <c r="DE1768" s="8">
        <f>201</f>
        <v>201</v>
      </c>
      <c r="DG1768" s="5" t="s">
        <v>238</v>
      </c>
      <c r="DH1768" s="5" t="s">
        <v>238</v>
      </c>
      <c r="DI1768" s="5" t="s">
        <v>238</v>
      </c>
      <c r="DJ1768" s="5" t="s">
        <v>238</v>
      </c>
      <c r="DN1768" s="5" t="s">
        <v>238</v>
      </c>
      <c r="DO1768" s="5" t="s">
        <v>238</v>
      </c>
      <c r="DP1768" s="5" t="s">
        <v>238</v>
      </c>
      <c r="DQ1768" s="5" t="s">
        <v>238</v>
      </c>
      <c r="DT1768" s="5" t="s">
        <v>2039</v>
      </c>
      <c r="DU1768" s="5" t="s">
        <v>2803</v>
      </c>
      <c r="HM1768" s="5" t="s">
        <v>264</v>
      </c>
    </row>
    <row r="1769" spans="1:221" x14ac:dyDescent="0.4">
      <c r="A1769" s="5">
        <v>3444</v>
      </c>
      <c r="B1769" s="5">
        <v>1</v>
      </c>
      <c r="C1769" s="5">
        <v>1</v>
      </c>
      <c r="D1769" s="5" t="s">
        <v>2037</v>
      </c>
      <c r="E1769" s="5" t="s">
        <v>271</v>
      </c>
      <c r="F1769" s="5" t="s">
        <v>248</v>
      </c>
      <c r="G1769" s="5" t="s">
        <v>1969</v>
      </c>
      <c r="H1769" s="6" t="s">
        <v>2772</v>
      </c>
      <c r="I1769" s="7">
        <f>74</f>
        <v>74</v>
      </c>
      <c r="J1769" s="5" t="s">
        <v>262</v>
      </c>
      <c r="K1769" s="8">
        <f>1</f>
        <v>1</v>
      </c>
      <c r="L1769" s="6" t="s">
        <v>242</v>
      </c>
      <c r="M1769" s="5" t="s">
        <v>267</v>
      </c>
      <c r="N1769" s="5" t="s">
        <v>265</v>
      </c>
      <c r="O1769" s="5" t="s">
        <v>238</v>
      </c>
      <c r="P1769" s="5" t="s">
        <v>238</v>
      </c>
      <c r="Q1769" s="5" t="s">
        <v>268</v>
      </c>
      <c r="R1769" s="5" t="s">
        <v>270</v>
      </c>
      <c r="S1769" s="5" t="s">
        <v>238</v>
      </c>
      <c r="V1769" s="5" t="s">
        <v>238</v>
      </c>
      <c r="X1769" s="6" t="s">
        <v>238</v>
      </c>
      <c r="AA1769" s="6" t="s">
        <v>243</v>
      </c>
      <c r="AB1769" s="5" t="s">
        <v>238</v>
      </c>
      <c r="AC1769" s="5" t="s">
        <v>244</v>
      </c>
      <c r="AD1769" s="5" t="s">
        <v>245</v>
      </c>
      <c r="AT1769" s="5" t="s">
        <v>246</v>
      </c>
      <c r="AU1769" s="5" t="s">
        <v>238</v>
      </c>
      <c r="AV1769" s="5" t="s">
        <v>247</v>
      </c>
      <c r="AW1769" s="5" t="s">
        <v>238</v>
      </c>
      <c r="AX1769" s="5" t="s">
        <v>249</v>
      </c>
      <c r="AY1769" s="5" t="s">
        <v>238</v>
      </c>
      <c r="BA1769" s="5" t="s">
        <v>238</v>
      </c>
      <c r="BC1769" s="5" t="s">
        <v>250</v>
      </c>
      <c r="BD1769" s="6" t="s">
        <v>243</v>
      </c>
      <c r="BE1769" s="5" t="s">
        <v>251</v>
      </c>
      <c r="BF1769" s="5" t="s">
        <v>252</v>
      </c>
      <c r="BG1769" s="5" t="s">
        <v>238</v>
      </c>
      <c r="BH1769" s="7">
        <f>0</f>
        <v>0</v>
      </c>
      <c r="BI1769" s="8">
        <f>0</f>
        <v>0</v>
      </c>
      <c r="BJ1769" s="5" t="s">
        <v>253</v>
      </c>
      <c r="BK1769" s="5" t="s">
        <v>254</v>
      </c>
      <c r="BY1769" s="5" t="s">
        <v>238</v>
      </c>
      <c r="BZ1769" s="5" t="s">
        <v>238</v>
      </c>
      <c r="CD1769" s="5" t="s">
        <v>273</v>
      </c>
      <c r="CE1769" s="5" t="s">
        <v>256</v>
      </c>
      <c r="CF1769" s="5" t="s">
        <v>238</v>
      </c>
      <c r="CI1769" s="6" t="s">
        <v>257</v>
      </c>
      <c r="CJ1769" s="5" t="s">
        <v>238</v>
      </c>
      <c r="CK1769" s="5" t="s">
        <v>258</v>
      </c>
      <c r="CL1769" s="5" t="s">
        <v>238</v>
      </c>
      <c r="CM1769" s="5" t="s">
        <v>238</v>
      </c>
      <c r="CN1769" s="5">
        <v>0</v>
      </c>
      <c r="CO1769" s="5" t="s">
        <v>259</v>
      </c>
      <c r="CP1769" s="5" t="s">
        <v>260</v>
      </c>
      <c r="CQ1769" s="5" t="s">
        <v>260</v>
      </c>
      <c r="CR1769" s="5" t="s">
        <v>261</v>
      </c>
      <c r="CU1769" s="8">
        <f>1</f>
        <v>1</v>
      </c>
      <c r="CV1769" s="8">
        <f>0</f>
        <v>0</v>
      </c>
      <c r="CX1769" s="8">
        <f>0</f>
        <v>0</v>
      </c>
      <c r="CY1769" s="8">
        <f>1</f>
        <v>1</v>
      </c>
      <c r="DA1769" s="5" t="s">
        <v>673</v>
      </c>
      <c r="DB1769" s="5" t="s">
        <v>238</v>
      </c>
      <c r="DD1769" s="5" t="s">
        <v>673</v>
      </c>
      <c r="DE1769" s="8">
        <f>74</f>
        <v>74</v>
      </c>
      <c r="DG1769" s="5" t="s">
        <v>238</v>
      </c>
      <c r="DH1769" s="5" t="s">
        <v>238</v>
      </c>
      <c r="DI1769" s="5" t="s">
        <v>238</v>
      </c>
      <c r="DJ1769" s="5" t="s">
        <v>238</v>
      </c>
      <c r="DN1769" s="5" t="s">
        <v>238</v>
      </c>
      <c r="DO1769" s="5" t="s">
        <v>238</v>
      </c>
      <c r="DP1769" s="5" t="s">
        <v>238</v>
      </c>
      <c r="DQ1769" s="5" t="s">
        <v>238</v>
      </c>
      <c r="DT1769" s="5" t="s">
        <v>2039</v>
      </c>
      <c r="DU1769" s="5" t="s">
        <v>2773</v>
      </c>
      <c r="HM1769" s="5" t="s">
        <v>264</v>
      </c>
    </row>
    <row r="1770" spans="1:221" x14ac:dyDescent="0.4">
      <c r="A1770" s="5">
        <v>3445</v>
      </c>
      <c r="B1770" s="5">
        <v>1</v>
      </c>
      <c r="C1770" s="5">
        <v>1</v>
      </c>
      <c r="D1770" s="5" t="s">
        <v>2037</v>
      </c>
      <c r="E1770" s="5" t="s">
        <v>271</v>
      </c>
      <c r="F1770" s="5" t="s">
        <v>248</v>
      </c>
      <c r="G1770" s="5" t="s">
        <v>1969</v>
      </c>
      <c r="H1770" s="6" t="s">
        <v>2845</v>
      </c>
      <c r="I1770" s="7">
        <f>11</f>
        <v>11</v>
      </c>
      <c r="J1770" s="5" t="s">
        <v>262</v>
      </c>
      <c r="K1770" s="8">
        <f>1</f>
        <v>1</v>
      </c>
      <c r="L1770" s="6" t="s">
        <v>242</v>
      </c>
      <c r="M1770" s="5" t="s">
        <v>267</v>
      </c>
      <c r="N1770" s="5" t="s">
        <v>265</v>
      </c>
      <c r="O1770" s="5" t="s">
        <v>238</v>
      </c>
      <c r="P1770" s="5" t="s">
        <v>238</v>
      </c>
      <c r="Q1770" s="5" t="s">
        <v>268</v>
      </c>
      <c r="R1770" s="5" t="s">
        <v>270</v>
      </c>
      <c r="S1770" s="5" t="s">
        <v>238</v>
      </c>
      <c r="V1770" s="5" t="s">
        <v>238</v>
      </c>
      <c r="X1770" s="6" t="s">
        <v>238</v>
      </c>
      <c r="AA1770" s="6" t="s">
        <v>243</v>
      </c>
      <c r="AB1770" s="5" t="s">
        <v>238</v>
      </c>
      <c r="AC1770" s="5" t="s">
        <v>244</v>
      </c>
      <c r="AD1770" s="5" t="s">
        <v>245</v>
      </c>
      <c r="AT1770" s="5" t="s">
        <v>246</v>
      </c>
      <c r="AU1770" s="5" t="s">
        <v>238</v>
      </c>
      <c r="AV1770" s="5" t="s">
        <v>247</v>
      </c>
      <c r="AW1770" s="5" t="s">
        <v>238</v>
      </c>
      <c r="AX1770" s="5" t="s">
        <v>249</v>
      </c>
      <c r="AY1770" s="5" t="s">
        <v>238</v>
      </c>
      <c r="BA1770" s="5" t="s">
        <v>238</v>
      </c>
      <c r="BC1770" s="5" t="s">
        <v>250</v>
      </c>
      <c r="BD1770" s="6" t="s">
        <v>243</v>
      </c>
      <c r="BE1770" s="5" t="s">
        <v>251</v>
      </c>
      <c r="BF1770" s="5" t="s">
        <v>252</v>
      </c>
      <c r="BG1770" s="5" t="s">
        <v>238</v>
      </c>
      <c r="BH1770" s="7">
        <f>0</f>
        <v>0</v>
      </c>
      <c r="BI1770" s="8">
        <f>0</f>
        <v>0</v>
      </c>
      <c r="BJ1770" s="5" t="s">
        <v>253</v>
      </c>
      <c r="BK1770" s="5" t="s">
        <v>254</v>
      </c>
      <c r="BY1770" s="5" t="s">
        <v>238</v>
      </c>
      <c r="BZ1770" s="5" t="s">
        <v>238</v>
      </c>
      <c r="CD1770" s="5" t="s">
        <v>273</v>
      </c>
      <c r="CE1770" s="5" t="s">
        <v>256</v>
      </c>
      <c r="CF1770" s="5" t="s">
        <v>238</v>
      </c>
      <c r="CI1770" s="6" t="s">
        <v>257</v>
      </c>
      <c r="CJ1770" s="5" t="s">
        <v>238</v>
      </c>
      <c r="CK1770" s="5" t="s">
        <v>258</v>
      </c>
      <c r="CL1770" s="5" t="s">
        <v>238</v>
      </c>
      <c r="CM1770" s="5" t="s">
        <v>238</v>
      </c>
      <c r="CN1770" s="5">
        <v>0</v>
      </c>
      <c r="CO1770" s="5" t="s">
        <v>259</v>
      </c>
      <c r="CP1770" s="5" t="s">
        <v>260</v>
      </c>
      <c r="CQ1770" s="5" t="s">
        <v>260</v>
      </c>
      <c r="CR1770" s="5" t="s">
        <v>261</v>
      </c>
      <c r="CU1770" s="8">
        <f>1</f>
        <v>1</v>
      </c>
      <c r="CV1770" s="8">
        <f>0</f>
        <v>0</v>
      </c>
      <c r="CX1770" s="8">
        <f>0</f>
        <v>0</v>
      </c>
      <c r="CY1770" s="8">
        <f>1</f>
        <v>1</v>
      </c>
      <c r="DA1770" s="5" t="s">
        <v>673</v>
      </c>
      <c r="DB1770" s="5" t="s">
        <v>238</v>
      </c>
      <c r="DD1770" s="5" t="s">
        <v>673</v>
      </c>
      <c r="DE1770" s="8">
        <f>11</f>
        <v>11</v>
      </c>
      <c r="DG1770" s="5" t="s">
        <v>238</v>
      </c>
      <c r="DH1770" s="5" t="s">
        <v>238</v>
      </c>
      <c r="DI1770" s="5" t="s">
        <v>238</v>
      </c>
      <c r="DJ1770" s="5" t="s">
        <v>238</v>
      </c>
      <c r="DN1770" s="5" t="s">
        <v>238</v>
      </c>
      <c r="DO1770" s="5" t="s">
        <v>238</v>
      </c>
      <c r="DP1770" s="5" t="s">
        <v>238</v>
      </c>
      <c r="DQ1770" s="5" t="s">
        <v>238</v>
      </c>
      <c r="DT1770" s="5" t="s">
        <v>2039</v>
      </c>
      <c r="DU1770" s="5" t="s">
        <v>2846</v>
      </c>
      <c r="HM1770" s="5" t="s">
        <v>264</v>
      </c>
    </row>
    <row r="1771" spans="1:221" x14ac:dyDescent="0.4">
      <c r="A1771" s="5">
        <v>3446</v>
      </c>
      <c r="B1771" s="5">
        <v>1</v>
      </c>
      <c r="C1771" s="5">
        <v>1</v>
      </c>
      <c r="D1771" s="5" t="s">
        <v>2037</v>
      </c>
      <c r="E1771" s="5" t="s">
        <v>271</v>
      </c>
      <c r="F1771" s="5" t="s">
        <v>248</v>
      </c>
      <c r="G1771" s="5" t="s">
        <v>1969</v>
      </c>
      <c r="H1771" s="6" t="s">
        <v>2836</v>
      </c>
      <c r="I1771" s="7">
        <f>1450</f>
        <v>1450</v>
      </c>
      <c r="J1771" s="5" t="s">
        <v>262</v>
      </c>
      <c r="K1771" s="8">
        <f>1</f>
        <v>1</v>
      </c>
      <c r="L1771" s="6" t="s">
        <v>242</v>
      </c>
      <c r="M1771" s="5" t="s">
        <v>267</v>
      </c>
      <c r="N1771" s="5" t="s">
        <v>265</v>
      </c>
      <c r="O1771" s="5" t="s">
        <v>238</v>
      </c>
      <c r="P1771" s="5" t="s">
        <v>238</v>
      </c>
      <c r="Q1771" s="5" t="s">
        <v>268</v>
      </c>
      <c r="R1771" s="5" t="s">
        <v>270</v>
      </c>
      <c r="S1771" s="5" t="s">
        <v>238</v>
      </c>
      <c r="V1771" s="5" t="s">
        <v>238</v>
      </c>
      <c r="X1771" s="6" t="s">
        <v>238</v>
      </c>
      <c r="AA1771" s="6" t="s">
        <v>243</v>
      </c>
      <c r="AB1771" s="5" t="s">
        <v>238</v>
      </c>
      <c r="AC1771" s="5" t="s">
        <v>244</v>
      </c>
      <c r="AD1771" s="5" t="s">
        <v>245</v>
      </c>
      <c r="AT1771" s="5" t="s">
        <v>246</v>
      </c>
      <c r="AU1771" s="5" t="s">
        <v>238</v>
      </c>
      <c r="AV1771" s="5" t="s">
        <v>247</v>
      </c>
      <c r="AW1771" s="5" t="s">
        <v>238</v>
      </c>
      <c r="AX1771" s="5" t="s">
        <v>249</v>
      </c>
      <c r="AY1771" s="5" t="s">
        <v>238</v>
      </c>
      <c r="BA1771" s="5" t="s">
        <v>238</v>
      </c>
      <c r="BC1771" s="5" t="s">
        <v>250</v>
      </c>
      <c r="BD1771" s="6" t="s">
        <v>243</v>
      </c>
      <c r="BE1771" s="5" t="s">
        <v>251</v>
      </c>
      <c r="BF1771" s="5" t="s">
        <v>252</v>
      </c>
      <c r="BG1771" s="5" t="s">
        <v>238</v>
      </c>
      <c r="BH1771" s="7">
        <f>0</f>
        <v>0</v>
      </c>
      <c r="BI1771" s="8">
        <f>0</f>
        <v>0</v>
      </c>
      <c r="BJ1771" s="5" t="s">
        <v>253</v>
      </c>
      <c r="BK1771" s="5" t="s">
        <v>254</v>
      </c>
      <c r="BY1771" s="5" t="s">
        <v>238</v>
      </c>
      <c r="BZ1771" s="5" t="s">
        <v>238</v>
      </c>
      <c r="CD1771" s="5" t="s">
        <v>273</v>
      </c>
      <c r="CE1771" s="5" t="s">
        <v>256</v>
      </c>
      <c r="CF1771" s="5" t="s">
        <v>238</v>
      </c>
      <c r="CI1771" s="6" t="s">
        <v>257</v>
      </c>
      <c r="CJ1771" s="5" t="s">
        <v>238</v>
      </c>
      <c r="CK1771" s="5" t="s">
        <v>258</v>
      </c>
      <c r="CL1771" s="5" t="s">
        <v>238</v>
      </c>
      <c r="CM1771" s="5" t="s">
        <v>238</v>
      </c>
      <c r="CN1771" s="5">
        <v>0</v>
      </c>
      <c r="CO1771" s="5" t="s">
        <v>259</v>
      </c>
      <c r="CP1771" s="5" t="s">
        <v>260</v>
      </c>
      <c r="CQ1771" s="5" t="s">
        <v>260</v>
      </c>
      <c r="CR1771" s="5" t="s">
        <v>261</v>
      </c>
      <c r="CU1771" s="8">
        <f>1</f>
        <v>1</v>
      </c>
      <c r="CV1771" s="8">
        <f>0</f>
        <v>0</v>
      </c>
      <c r="CX1771" s="8">
        <f>0</f>
        <v>0</v>
      </c>
      <c r="CY1771" s="8">
        <f>1</f>
        <v>1</v>
      </c>
      <c r="DA1771" s="5" t="s">
        <v>673</v>
      </c>
      <c r="DB1771" s="5" t="s">
        <v>238</v>
      </c>
      <c r="DD1771" s="5" t="s">
        <v>673</v>
      </c>
      <c r="DE1771" s="8">
        <f>1450</f>
        <v>1450</v>
      </c>
      <c r="DG1771" s="5" t="s">
        <v>238</v>
      </c>
      <c r="DH1771" s="5" t="s">
        <v>238</v>
      </c>
      <c r="DI1771" s="5" t="s">
        <v>238</v>
      </c>
      <c r="DJ1771" s="5" t="s">
        <v>238</v>
      </c>
      <c r="DN1771" s="5" t="s">
        <v>238</v>
      </c>
      <c r="DO1771" s="5" t="s">
        <v>238</v>
      </c>
      <c r="DP1771" s="5" t="s">
        <v>238</v>
      </c>
      <c r="DQ1771" s="5" t="s">
        <v>238</v>
      </c>
      <c r="DT1771" s="5" t="s">
        <v>2039</v>
      </c>
      <c r="DU1771" s="5" t="s">
        <v>2837</v>
      </c>
      <c r="HM1771" s="5" t="s">
        <v>264</v>
      </c>
    </row>
    <row r="1772" spans="1:221" x14ac:dyDescent="0.4">
      <c r="A1772" s="5">
        <v>3447</v>
      </c>
      <c r="B1772" s="5">
        <v>1</v>
      </c>
      <c r="C1772" s="5">
        <v>1</v>
      </c>
      <c r="D1772" s="5" t="s">
        <v>2037</v>
      </c>
      <c r="E1772" s="5" t="s">
        <v>271</v>
      </c>
      <c r="F1772" s="5" t="s">
        <v>248</v>
      </c>
      <c r="G1772" s="5" t="s">
        <v>1969</v>
      </c>
      <c r="H1772" s="6" t="s">
        <v>2891</v>
      </c>
      <c r="I1772" s="7">
        <f>318</f>
        <v>318</v>
      </c>
      <c r="J1772" s="5" t="s">
        <v>262</v>
      </c>
      <c r="K1772" s="8">
        <f>1</f>
        <v>1</v>
      </c>
      <c r="L1772" s="6" t="s">
        <v>242</v>
      </c>
      <c r="M1772" s="5" t="s">
        <v>267</v>
      </c>
      <c r="N1772" s="5" t="s">
        <v>265</v>
      </c>
      <c r="O1772" s="5" t="s">
        <v>238</v>
      </c>
      <c r="P1772" s="5" t="s">
        <v>238</v>
      </c>
      <c r="Q1772" s="5" t="s">
        <v>268</v>
      </c>
      <c r="R1772" s="5" t="s">
        <v>270</v>
      </c>
      <c r="S1772" s="5" t="s">
        <v>238</v>
      </c>
      <c r="V1772" s="5" t="s">
        <v>238</v>
      </c>
      <c r="X1772" s="6" t="s">
        <v>238</v>
      </c>
      <c r="AA1772" s="6" t="s">
        <v>243</v>
      </c>
      <c r="AB1772" s="5" t="s">
        <v>238</v>
      </c>
      <c r="AC1772" s="5" t="s">
        <v>244</v>
      </c>
      <c r="AD1772" s="5" t="s">
        <v>245</v>
      </c>
      <c r="AT1772" s="5" t="s">
        <v>246</v>
      </c>
      <c r="AU1772" s="5" t="s">
        <v>238</v>
      </c>
      <c r="AV1772" s="5" t="s">
        <v>247</v>
      </c>
      <c r="AW1772" s="5" t="s">
        <v>238</v>
      </c>
      <c r="AX1772" s="5" t="s">
        <v>249</v>
      </c>
      <c r="AY1772" s="5" t="s">
        <v>238</v>
      </c>
      <c r="BA1772" s="5" t="s">
        <v>238</v>
      </c>
      <c r="BC1772" s="5" t="s">
        <v>250</v>
      </c>
      <c r="BD1772" s="6" t="s">
        <v>243</v>
      </c>
      <c r="BE1772" s="5" t="s">
        <v>251</v>
      </c>
      <c r="BF1772" s="5" t="s">
        <v>252</v>
      </c>
      <c r="BG1772" s="5" t="s">
        <v>238</v>
      </c>
      <c r="BH1772" s="7">
        <f>0</f>
        <v>0</v>
      </c>
      <c r="BI1772" s="8">
        <f>0</f>
        <v>0</v>
      </c>
      <c r="BJ1772" s="5" t="s">
        <v>253</v>
      </c>
      <c r="BK1772" s="5" t="s">
        <v>254</v>
      </c>
      <c r="BY1772" s="5" t="s">
        <v>238</v>
      </c>
      <c r="BZ1772" s="5" t="s">
        <v>238</v>
      </c>
      <c r="CD1772" s="5" t="s">
        <v>273</v>
      </c>
      <c r="CE1772" s="5" t="s">
        <v>256</v>
      </c>
      <c r="CF1772" s="5" t="s">
        <v>238</v>
      </c>
      <c r="CI1772" s="6" t="s">
        <v>257</v>
      </c>
      <c r="CJ1772" s="5" t="s">
        <v>238</v>
      </c>
      <c r="CK1772" s="5" t="s">
        <v>258</v>
      </c>
      <c r="CL1772" s="5" t="s">
        <v>238</v>
      </c>
      <c r="CM1772" s="5" t="s">
        <v>238</v>
      </c>
      <c r="CN1772" s="5">
        <v>0</v>
      </c>
      <c r="CO1772" s="5" t="s">
        <v>259</v>
      </c>
      <c r="CP1772" s="5" t="s">
        <v>260</v>
      </c>
      <c r="CQ1772" s="5" t="s">
        <v>260</v>
      </c>
      <c r="CR1772" s="5" t="s">
        <v>261</v>
      </c>
      <c r="CU1772" s="8">
        <f>1</f>
        <v>1</v>
      </c>
      <c r="CV1772" s="8">
        <f>0</f>
        <v>0</v>
      </c>
      <c r="CX1772" s="8">
        <f>0</f>
        <v>0</v>
      </c>
      <c r="CY1772" s="8">
        <f>1</f>
        <v>1</v>
      </c>
      <c r="DA1772" s="5" t="s">
        <v>673</v>
      </c>
      <c r="DB1772" s="5" t="s">
        <v>238</v>
      </c>
      <c r="DD1772" s="5" t="s">
        <v>673</v>
      </c>
      <c r="DE1772" s="8">
        <f>318</f>
        <v>318</v>
      </c>
      <c r="DG1772" s="5" t="s">
        <v>238</v>
      </c>
      <c r="DH1772" s="5" t="s">
        <v>238</v>
      </c>
      <c r="DI1772" s="5" t="s">
        <v>238</v>
      </c>
      <c r="DJ1772" s="5" t="s">
        <v>238</v>
      </c>
      <c r="DN1772" s="5" t="s">
        <v>238</v>
      </c>
      <c r="DO1772" s="5" t="s">
        <v>238</v>
      </c>
      <c r="DP1772" s="5" t="s">
        <v>238</v>
      </c>
      <c r="DQ1772" s="5" t="s">
        <v>238</v>
      </c>
      <c r="DT1772" s="5" t="s">
        <v>2039</v>
      </c>
      <c r="DU1772" s="5" t="s">
        <v>2892</v>
      </c>
      <c r="HM1772" s="5" t="s">
        <v>264</v>
      </c>
    </row>
    <row r="1773" spans="1:221" x14ac:dyDescent="0.4">
      <c r="A1773" s="5">
        <v>3448</v>
      </c>
      <c r="B1773" s="5">
        <v>1</v>
      </c>
      <c r="C1773" s="5">
        <v>1</v>
      </c>
      <c r="D1773" s="5" t="s">
        <v>2037</v>
      </c>
      <c r="E1773" s="5" t="s">
        <v>271</v>
      </c>
      <c r="F1773" s="5" t="s">
        <v>248</v>
      </c>
      <c r="G1773" s="5" t="s">
        <v>1969</v>
      </c>
      <c r="H1773" s="6" t="s">
        <v>2862</v>
      </c>
      <c r="I1773" s="7">
        <f>3127</f>
        <v>3127</v>
      </c>
      <c r="J1773" s="5" t="s">
        <v>262</v>
      </c>
      <c r="K1773" s="8">
        <f>1</f>
        <v>1</v>
      </c>
      <c r="L1773" s="6" t="s">
        <v>242</v>
      </c>
      <c r="M1773" s="5" t="s">
        <v>267</v>
      </c>
      <c r="N1773" s="5" t="s">
        <v>265</v>
      </c>
      <c r="O1773" s="5" t="s">
        <v>238</v>
      </c>
      <c r="P1773" s="5" t="s">
        <v>238</v>
      </c>
      <c r="Q1773" s="5" t="s">
        <v>268</v>
      </c>
      <c r="R1773" s="5" t="s">
        <v>270</v>
      </c>
      <c r="S1773" s="5" t="s">
        <v>238</v>
      </c>
      <c r="V1773" s="5" t="s">
        <v>238</v>
      </c>
      <c r="X1773" s="6" t="s">
        <v>238</v>
      </c>
      <c r="AA1773" s="6" t="s">
        <v>243</v>
      </c>
      <c r="AB1773" s="5" t="s">
        <v>238</v>
      </c>
      <c r="AC1773" s="5" t="s">
        <v>244</v>
      </c>
      <c r="AD1773" s="5" t="s">
        <v>245</v>
      </c>
      <c r="AT1773" s="5" t="s">
        <v>246</v>
      </c>
      <c r="AU1773" s="5" t="s">
        <v>238</v>
      </c>
      <c r="AV1773" s="5" t="s">
        <v>247</v>
      </c>
      <c r="AW1773" s="5" t="s">
        <v>238</v>
      </c>
      <c r="AX1773" s="5" t="s">
        <v>249</v>
      </c>
      <c r="AY1773" s="5" t="s">
        <v>238</v>
      </c>
      <c r="BA1773" s="5" t="s">
        <v>238</v>
      </c>
      <c r="BC1773" s="5" t="s">
        <v>250</v>
      </c>
      <c r="BD1773" s="6" t="s">
        <v>243</v>
      </c>
      <c r="BE1773" s="5" t="s">
        <v>251</v>
      </c>
      <c r="BF1773" s="5" t="s">
        <v>252</v>
      </c>
      <c r="BG1773" s="5" t="s">
        <v>238</v>
      </c>
      <c r="BH1773" s="7">
        <f>0</f>
        <v>0</v>
      </c>
      <c r="BI1773" s="8">
        <f>0</f>
        <v>0</v>
      </c>
      <c r="BJ1773" s="5" t="s">
        <v>253</v>
      </c>
      <c r="BK1773" s="5" t="s">
        <v>254</v>
      </c>
      <c r="BY1773" s="5" t="s">
        <v>238</v>
      </c>
      <c r="BZ1773" s="5" t="s">
        <v>238</v>
      </c>
      <c r="CD1773" s="5" t="s">
        <v>273</v>
      </c>
      <c r="CE1773" s="5" t="s">
        <v>256</v>
      </c>
      <c r="CF1773" s="5" t="s">
        <v>238</v>
      </c>
      <c r="CI1773" s="6" t="s">
        <v>257</v>
      </c>
      <c r="CJ1773" s="5" t="s">
        <v>238</v>
      </c>
      <c r="CK1773" s="5" t="s">
        <v>258</v>
      </c>
      <c r="CL1773" s="5" t="s">
        <v>238</v>
      </c>
      <c r="CM1773" s="5" t="s">
        <v>238</v>
      </c>
      <c r="CN1773" s="5">
        <v>0</v>
      </c>
      <c r="CO1773" s="5" t="s">
        <v>259</v>
      </c>
      <c r="CP1773" s="5" t="s">
        <v>260</v>
      </c>
      <c r="CQ1773" s="5" t="s">
        <v>260</v>
      </c>
      <c r="CR1773" s="5" t="s">
        <v>261</v>
      </c>
      <c r="CU1773" s="8">
        <f>1</f>
        <v>1</v>
      </c>
      <c r="CV1773" s="8">
        <f>0</f>
        <v>0</v>
      </c>
      <c r="CX1773" s="8">
        <f>0</f>
        <v>0</v>
      </c>
      <c r="CY1773" s="8">
        <f>1</f>
        <v>1</v>
      </c>
      <c r="DA1773" s="5" t="s">
        <v>673</v>
      </c>
      <c r="DB1773" s="5" t="s">
        <v>238</v>
      </c>
      <c r="DD1773" s="5" t="s">
        <v>673</v>
      </c>
      <c r="DE1773" s="8">
        <f>3127</f>
        <v>3127</v>
      </c>
      <c r="DG1773" s="5" t="s">
        <v>238</v>
      </c>
      <c r="DH1773" s="5" t="s">
        <v>238</v>
      </c>
      <c r="DI1773" s="5" t="s">
        <v>238</v>
      </c>
      <c r="DJ1773" s="5" t="s">
        <v>238</v>
      </c>
      <c r="DN1773" s="5" t="s">
        <v>238</v>
      </c>
      <c r="DO1773" s="5" t="s">
        <v>238</v>
      </c>
      <c r="DP1773" s="5" t="s">
        <v>238</v>
      </c>
      <c r="DQ1773" s="5" t="s">
        <v>238</v>
      </c>
      <c r="DT1773" s="5" t="s">
        <v>2039</v>
      </c>
      <c r="DU1773" s="5" t="s">
        <v>2863</v>
      </c>
      <c r="HM1773" s="5" t="s">
        <v>264</v>
      </c>
    </row>
    <row r="1774" spans="1:221" x14ac:dyDescent="0.4">
      <c r="A1774" s="5">
        <v>3449</v>
      </c>
      <c r="B1774" s="5">
        <v>1</v>
      </c>
      <c r="C1774" s="5">
        <v>1</v>
      </c>
      <c r="D1774" s="5" t="s">
        <v>2037</v>
      </c>
      <c r="E1774" s="5" t="s">
        <v>271</v>
      </c>
      <c r="F1774" s="5" t="s">
        <v>248</v>
      </c>
      <c r="G1774" s="5" t="s">
        <v>1969</v>
      </c>
      <c r="H1774" s="6" t="s">
        <v>2785</v>
      </c>
      <c r="I1774" s="7">
        <f>570</f>
        <v>570</v>
      </c>
      <c r="J1774" s="5" t="s">
        <v>262</v>
      </c>
      <c r="K1774" s="8">
        <f>1</f>
        <v>1</v>
      </c>
      <c r="L1774" s="6" t="s">
        <v>242</v>
      </c>
      <c r="M1774" s="5" t="s">
        <v>267</v>
      </c>
      <c r="N1774" s="5" t="s">
        <v>265</v>
      </c>
      <c r="O1774" s="5" t="s">
        <v>238</v>
      </c>
      <c r="P1774" s="5" t="s">
        <v>238</v>
      </c>
      <c r="Q1774" s="5" t="s">
        <v>268</v>
      </c>
      <c r="R1774" s="5" t="s">
        <v>270</v>
      </c>
      <c r="S1774" s="5" t="s">
        <v>238</v>
      </c>
      <c r="V1774" s="5" t="s">
        <v>238</v>
      </c>
      <c r="X1774" s="6" t="s">
        <v>238</v>
      </c>
      <c r="AA1774" s="6" t="s">
        <v>243</v>
      </c>
      <c r="AB1774" s="5" t="s">
        <v>238</v>
      </c>
      <c r="AC1774" s="5" t="s">
        <v>244</v>
      </c>
      <c r="AD1774" s="5" t="s">
        <v>245</v>
      </c>
      <c r="AT1774" s="5" t="s">
        <v>246</v>
      </c>
      <c r="AU1774" s="5" t="s">
        <v>238</v>
      </c>
      <c r="AV1774" s="5" t="s">
        <v>247</v>
      </c>
      <c r="AW1774" s="5" t="s">
        <v>238</v>
      </c>
      <c r="AX1774" s="5" t="s">
        <v>249</v>
      </c>
      <c r="AY1774" s="5" t="s">
        <v>238</v>
      </c>
      <c r="BA1774" s="5" t="s">
        <v>238</v>
      </c>
      <c r="BC1774" s="5" t="s">
        <v>250</v>
      </c>
      <c r="BD1774" s="6" t="s">
        <v>243</v>
      </c>
      <c r="BE1774" s="5" t="s">
        <v>251</v>
      </c>
      <c r="BF1774" s="5" t="s">
        <v>252</v>
      </c>
      <c r="BG1774" s="5" t="s">
        <v>238</v>
      </c>
      <c r="BH1774" s="7">
        <f>0</f>
        <v>0</v>
      </c>
      <c r="BI1774" s="8">
        <f>0</f>
        <v>0</v>
      </c>
      <c r="BJ1774" s="5" t="s">
        <v>253</v>
      </c>
      <c r="BK1774" s="5" t="s">
        <v>254</v>
      </c>
      <c r="BY1774" s="5" t="s">
        <v>238</v>
      </c>
      <c r="BZ1774" s="5" t="s">
        <v>238</v>
      </c>
      <c r="CD1774" s="5" t="s">
        <v>273</v>
      </c>
      <c r="CE1774" s="5" t="s">
        <v>256</v>
      </c>
      <c r="CF1774" s="5" t="s">
        <v>238</v>
      </c>
      <c r="CI1774" s="6" t="s">
        <v>257</v>
      </c>
      <c r="CJ1774" s="5" t="s">
        <v>238</v>
      </c>
      <c r="CK1774" s="5" t="s">
        <v>258</v>
      </c>
      <c r="CL1774" s="5" t="s">
        <v>238</v>
      </c>
      <c r="CM1774" s="5" t="s">
        <v>238</v>
      </c>
      <c r="CN1774" s="5">
        <v>0</v>
      </c>
      <c r="CO1774" s="5" t="s">
        <v>259</v>
      </c>
      <c r="CP1774" s="5" t="s">
        <v>260</v>
      </c>
      <c r="CQ1774" s="5" t="s">
        <v>260</v>
      </c>
      <c r="CR1774" s="5" t="s">
        <v>261</v>
      </c>
      <c r="CU1774" s="8">
        <f>1</f>
        <v>1</v>
      </c>
      <c r="CV1774" s="8">
        <f>0</f>
        <v>0</v>
      </c>
      <c r="CX1774" s="8">
        <f>0</f>
        <v>0</v>
      </c>
      <c r="CY1774" s="8">
        <f>1</f>
        <v>1</v>
      </c>
      <c r="DA1774" s="5" t="s">
        <v>673</v>
      </c>
      <c r="DB1774" s="5" t="s">
        <v>238</v>
      </c>
      <c r="DD1774" s="5" t="s">
        <v>673</v>
      </c>
      <c r="DE1774" s="8">
        <f>570</f>
        <v>570</v>
      </c>
      <c r="DG1774" s="5" t="s">
        <v>238</v>
      </c>
      <c r="DH1774" s="5" t="s">
        <v>238</v>
      </c>
      <c r="DI1774" s="5" t="s">
        <v>238</v>
      </c>
      <c r="DJ1774" s="5" t="s">
        <v>238</v>
      </c>
      <c r="DN1774" s="5" t="s">
        <v>238</v>
      </c>
      <c r="DO1774" s="5" t="s">
        <v>238</v>
      </c>
      <c r="DP1774" s="5" t="s">
        <v>238</v>
      </c>
      <c r="DQ1774" s="5" t="s">
        <v>238</v>
      </c>
      <c r="DT1774" s="5" t="s">
        <v>2039</v>
      </c>
      <c r="DU1774" s="5" t="s">
        <v>2786</v>
      </c>
      <c r="HM1774" s="5" t="s">
        <v>264</v>
      </c>
    </row>
    <row r="1775" spans="1:221" x14ac:dyDescent="0.4">
      <c r="A1775" s="5">
        <v>3450</v>
      </c>
      <c r="B1775" s="5">
        <v>1</v>
      </c>
      <c r="C1775" s="5">
        <v>1</v>
      </c>
      <c r="D1775" s="5" t="s">
        <v>2037</v>
      </c>
      <c r="E1775" s="5" t="s">
        <v>271</v>
      </c>
      <c r="F1775" s="5" t="s">
        <v>248</v>
      </c>
      <c r="G1775" s="5" t="s">
        <v>1969</v>
      </c>
      <c r="H1775" s="6" t="s">
        <v>2921</v>
      </c>
      <c r="I1775" s="7">
        <f>2876</f>
        <v>2876</v>
      </c>
      <c r="J1775" s="5" t="s">
        <v>262</v>
      </c>
      <c r="K1775" s="8">
        <f>1</f>
        <v>1</v>
      </c>
      <c r="L1775" s="6" t="s">
        <v>242</v>
      </c>
      <c r="M1775" s="5" t="s">
        <v>267</v>
      </c>
      <c r="N1775" s="5" t="s">
        <v>265</v>
      </c>
      <c r="O1775" s="5" t="s">
        <v>238</v>
      </c>
      <c r="P1775" s="5" t="s">
        <v>238</v>
      </c>
      <c r="Q1775" s="5" t="s">
        <v>268</v>
      </c>
      <c r="R1775" s="5" t="s">
        <v>270</v>
      </c>
      <c r="S1775" s="5" t="s">
        <v>238</v>
      </c>
      <c r="V1775" s="5" t="s">
        <v>238</v>
      </c>
      <c r="X1775" s="6" t="s">
        <v>238</v>
      </c>
      <c r="AA1775" s="6" t="s">
        <v>243</v>
      </c>
      <c r="AB1775" s="5" t="s">
        <v>238</v>
      </c>
      <c r="AC1775" s="5" t="s">
        <v>244</v>
      </c>
      <c r="AD1775" s="5" t="s">
        <v>245</v>
      </c>
      <c r="AT1775" s="5" t="s">
        <v>246</v>
      </c>
      <c r="AU1775" s="5" t="s">
        <v>238</v>
      </c>
      <c r="AV1775" s="5" t="s">
        <v>247</v>
      </c>
      <c r="AW1775" s="5" t="s">
        <v>238</v>
      </c>
      <c r="AX1775" s="5" t="s">
        <v>249</v>
      </c>
      <c r="AY1775" s="5" t="s">
        <v>238</v>
      </c>
      <c r="BA1775" s="5" t="s">
        <v>238</v>
      </c>
      <c r="BC1775" s="5" t="s">
        <v>250</v>
      </c>
      <c r="BD1775" s="6" t="s">
        <v>243</v>
      </c>
      <c r="BE1775" s="5" t="s">
        <v>251</v>
      </c>
      <c r="BF1775" s="5" t="s">
        <v>252</v>
      </c>
      <c r="BG1775" s="5" t="s">
        <v>238</v>
      </c>
      <c r="BH1775" s="7">
        <f>0</f>
        <v>0</v>
      </c>
      <c r="BI1775" s="8">
        <f>0</f>
        <v>0</v>
      </c>
      <c r="BJ1775" s="5" t="s">
        <v>253</v>
      </c>
      <c r="BK1775" s="5" t="s">
        <v>254</v>
      </c>
      <c r="BY1775" s="5" t="s">
        <v>238</v>
      </c>
      <c r="BZ1775" s="5" t="s">
        <v>238</v>
      </c>
      <c r="CD1775" s="5" t="s">
        <v>273</v>
      </c>
      <c r="CE1775" s="5" t="s">
        <v>256</v>
      </c>
      <c r="CF1775" s="5" t="s">
        <v>238</v>
      </c>
      <c r="CI1775" s="6" t="s">
        <v>257</v>
      </c>
      <c r="CJ1775" s="5" t="s">
        <v>238</v>
      </c>
      <c r="CK1775" s="5" t="s">
        <v>258</v>
      </c>
      <c r="CL1775" s="5" t="s">
        <v>238</v>
      </c>
      <c r="CM1775" s="5" t="s">
        <v>238</v>
      </c>
      <c r="CN1775" s="5">
        <v>0</v>
      </c>
      <c r="CO1775" s="5" t="s">
        <v>259</v>
      </c>
      <c r="CP1775" s="5" t="s">
        <v>260</v>
      </c>
      <c r="CQ1775" s="5" t="s">
        <v>260</v>
      </c>
      <c r="CR1775" s="5" t="s">
        <v>261</v>
      </c>
      <c r="CU1775" s="8">
        <f>1</f>
        <v>1</v>
      </c>
      <c r="CV1775" s="8">
        <f>0</f>
        <v>0</v>
      </c>
      <c r="CX1775" s="8">
        <f>0</f>
        <v>0</v>
      </c>
      <c r="CY1775" s="8">
        <f>1</f>
        <v>1</v>
      </c>
      <c r="DA1775" s="5" t="s">
        <v>673</v>
      </c>
      <c r="DB1775" s="5" t="s">
        <v>238</v>
      </c>
      <c r="DD1775" s="5" t="s">
        <v>673</v>
      </c>
      <c r="DE1775" s="8">
        <f>2876</f>
        <v>2876</v>
      </c>
      <c r="DG1775" s="5" t="s">
        <v>238</v>
      </c>
      <c r="DH1775" s="5" t="s">
        <v>238</v>
      </c>
      <c r="DI1775" s="5" t="s">
        <v>238</v>
      </c>
      <c r="DJ1775" s="5" t="s">
        <v>238</v>
      </c>
      <c r="DN1775" s="5" t="s">
        <v>238</v>
      </c>
      <c r="DO1775" s="5" t="s">
        <v>238</v>
      </c>
      <c r="DP1775" s="5" t="s">
        <v>238</v>
      </c>
      <c r="DQ1775" s="5" t="s">
        <v>238</v>
      </c>
      <c r="DT1775" s="5" t="s">
        <v>2039</v>
      </c>
      <c r="DU1775" s="5" t="s">
        <v>2922</v>
      </c>
      <c r="HM1775" s="5" t="s">
        <v>264</v>
      </c>
    </row>
    <row r="1776" spans="1:221" x14ac:dyDescent="0.4">
      <c r="A1776" s="5">
        <v>3451</v>
      </c>
      <c r="B1776" s="5">
        <v>1</v>
      </c>
      <c r="C1776" s="5">
        <v>1</v>
      </c>
      <c r="D1776" s="5" t="s">
        <v>2037</v>
      </c>
      <c r="E1776" s="5" t="s">
        <v>271</v>
      </c>
      <c r="F1776" s="5" t="s">
        <v>248</v>
      </c>
      <c r="G1776" s="5" t="s">
        <v>1969</v>
      </c>
      <c r="H1776" s="6" t="s">
        <v>2968</v>
      </c>
      <c r="I1776" s="7">
        <f>578</f>
        <v>578</v>
      </c>
      <c r="J1776" s="5" t="s">
        <v>262</v>
      </c>
      <c r="K1776" s="8">
        <f>1</f>
        <v>1</v>
      </c>
      <c r="L1776" s="6" t="s">
        <v>242</v>
      </c>
      <c r="M1776" s="5" t="s">
        <v>267</v>
      </c>
      <c r="N1776" s="5" t="s">
        <v>265</v>
      </c>
      <c r="O1776" s="5" t="s">
        <v>238</v>
      </c>
      <c r="P1776" s="5" t="s">
        <v>238</v>
      </c>
      <c r="Q1776" s="5" t="s">
        <v>268</v>
      </c>
      <c r="R1776" s="5" t="s">
        <v>270</v>
      </c>
      <c r="S1776" s="5" t="s">
        <v>238</v>
      </c>
      <c r="V1776" s="5" t="s">
        <v>238</v>
      </c>
      <c r="X1776" s="6" t="s">
        <v>238</v>
      </c>
      <c r="AA1776" s="6" t="s">
        <v>243</v>
      </c>
      <c r="AB1776" s="5" t="s">
        <v>238</v>
      </c>
      <c r="AC1776" s="5" t="s">
        <v>244</v>
      </c>
      <c r="AD1776" s="5" t="s">
        <v>245</v>
      </c>
      <c r="AT1776" s="5" t="s">
        <v>246</v>
      </c>
      <c r="AU1776" s="5" t="s">
        <v>238</v>
      </c>
      <c r="AV1776" s="5" t="s">
        <v>247</v>
      </c>
      <c r="AW1776" s="5" t="s">
        <v>238</v>
      </c>
      <c r="AX1776" s="5" t="s">
        <v>249</v>
      </c>
      <c r="AY1776" s="5" t="s">
        <v>238</v>
      </c>
      <c r="BA1776" s="5" t="s">
        <v>238</v>
      </c>
      <c r="BC1776" s="5" t="s">
        <v>250</v>
      </c>
      <c r="BD1776" s="6" t="s">
        <v>243</v>
      </c>
      <c r="BE1776" s="5" t="s">
        <v>251</v>
      </c>
      <c r="BF1776" s="5" t="s">
        <v>252</v>
      </c>
      <c r="BG1776" s="5" t="s">
        <v>238</v>
      </c>
      <c r="BH1776" s="7">
        <f>0</f>
        <v>0</v>
      </c>
      <c r="BI1776" s="8">
        <f>0</f>
        <v>0</v>
      </c>
      <c r="BJ1776" s="5" t="s">
        <v>253</v>
      </c>
      <c r="BK1776" s="5" t="s">
        <v>254</v>
      </c>
      <c r="BY1776" s="5" t="s">
        <v>238</v>
      </c>
      <c r="BZ1776" s="5" t="s">
        <v>238</v>
      </c>
      <c r="CD1776" s="5" t="s">
        <v>273</v>
      </c>
      <c r="CE1776" s="5" t="s">
        <v>256</v>
      </c>
      <c r="CF1776" s="5" t="s">
        <v>238</v>
      </c>
      <c r="CI1776" s="6" t="s">
        <v>257</v>
      </c>
      <c r="CJ1776" s="5" t="s">
        <v>238</v>
      </c>
      <c r="CK1776" s="5" t="s">
        <v>258</v>
      </c>
      <c r="CL1776" s="5" t="s">
        <v>238</v>
      </c>
      <c r="CM1776" s="5" t="s">
        <v>238</v>
      </c>
      <c r="CN1776" s="5">
        <v>0</v>
      </c>
      <c r="CO1776" s="5" t="s">
        <v>259</v>
      </c>
      <c r="CP1776" s="5" t="s">
        <v>260</v>
      </c>
      <c r="CQ1776" s="5" t="s">
        <v>260</v>
      </c>
      <c r="CR1776" s="5" t="s">
        <v>261</v>
      </c>
      <c r="CU1776" s="8">
        <f>1</f>
        <v>1</v>
      </c>
      <c r="CV1776" s="8">
        <f>0</f>
        <v>0</v>
      </c>
      <c r="CX1776" s="8">
        <f>0</f>
        <v>0</v>
      </c>
      <c r="CY1776" s="8">
        <f>1</f>
        <v>1</v>
      </c>
      <c r="DA1776" s="5" t="s">
        <v>673</v>
      </c>
      <c r="DB1776" s="5" t="s">
        <v>238</v>
      </c>
      <c r="DD1776" s="5" t="s">
        <v>673</v>
      </c>
      <c r="DE1776" s="8">
        <f>578</f>
        <v>578</v>
      </c>
      <c r="DG1776" s="5" t="s">
        <v>238</v>
      </c>
      <c r="DH1776" s="5" t="s">
        <v>238</v>
      </c>
      <c r="DI1776" s="5" t="s">
        <v>238</v>
      </c>
      <c r="DJ1776" s="5" t="s">
        <v>238</v>
      </c>
      <c r="DN1776" s="5" t="s">
        <v>238</v>
      </c>
      <c r="DO1776" s="5" t="s">
        <v>238</v>
      </c>
      <c r="DP1776" s="5" t="s">
        <v>238</v>
      </c>
      <c r="DQ1776" s="5" t="s">
        <v>238</v>
      </c>
      <c r="DT1776" s="5" t="s">
        <v>2039</v>
      </c>
      <c r="DU1776" s="5" t="s">
        <v>2969</v>
      </c>
      <c r="HM1776" s="5" t="s">
        <v>264</v>
      </c>
    </row>
    <row r="1777" spans="1:221" x14ac:dyDescent="0.4">
      <c r="A1777" s="5">
        <v>3452</v>
      </c>
      <c r="B1777" s="5">
        <v>1</v>
      </c>
      <c r="C1777" s="5">
        <v>1</v>
      </c>
      <c r="D1777" s="5" t="s">
        <v>2037</v>
      </c>
      <c r="E1777" s="5" t="s">
        <v>271</v>
      </c>
      <c r="F1777" s="5" t="s">
        <v>248</v>
      </c>
      <c r="G1777" s="5" t="s">
        <v>1969</v>
      </c>
      <c r="H1777" s="6" t="s">
        <v>2958</v>
      </c>
      <c r="I1777" s="7">
        <f>6026</f>
        <v>6026</v>
      </c>
      <c r="J1777" s="5" t="s">
        <v>262</v>
      </c>
      <c r="K1777" s="8">
        <f>1</f>
        <v>1</v>
      </c>
      <c r="L1777" s="6" t="s">
        <v>242</v>
      </c>
      <c r="M1777" s="5" t="s">
        <v>267</v>
      </c>
      <c r="N1777" s="5" t="s">
        <v>265</v>
      </c>
      <c r="O1777" s="5" t="s">
        <v>238</v>
      </c>
      <c r="P1777" s="5" t="s">
        <v>238</v>
      </c>
      <c r="Q1777" s="5" t="s">
        <v>268</v>
      </c>
      <c r="R1777" s="5" t="s">
        <v>270</v>
      </c>
      <c r="S1777" s="5" t="s">
        <v>238</v>
      </c>
      <c r="V1777" s="5" t="s">
        <v>238</v>
      </c>
      <c r="X1777" s="6" t="s">
        <v>238</v>
      </c>
      <c r="AA1777" s="6" t="s">
        <v>243</v>
      </c>
      <c r="AB1777" s="5" t="s">
        <v>238</v>
      </c>
      <c r="AC1777" s="5" t="s">
        <v>244</v>
      </c>
      <c r="AD1777" s="5" t="s">
        <v>245</v>
      </c>
      <c r="AT1777" s="5" t="s">
        <v>246</v>
      </c>
      <c r="AU1777" s="5" t="s">
        <v>238</v>
      </c>
      <c r="AV1777" s="5" t="s">
        <v>247</v>
      </c>
      <c r="AW1777" s="5" t="s">
        <v>238</v>
      </c>
      <c r="AX1777" s="5" t="s">
        <v>249</v>
      </c>
      <c r="AY1777" s="5" t="s">
        <v>238</v>
      </c>
      <c r="BA1777" s="5" t="s">
        <v>238</v>
      </c>
      <c r="BC1777" s="5" t="s">
        <v>250</v>
      </c>
      <c r="BD1777" s="6" t="s">
        <v>243</v>
      </c>
      <c r="BE1777" s="5" t="s">
        <v>251</v>
      </c>
      <c r="BF1777" s="5" t="s">
        <v>252</v>
      </c>
      <c r="BG1777" s="5" t="s">
        <v>238</v>
      </c>
      <c r="BH1777" s="7">
        <f>0</f>
        <v>0</v>
      </c>
      <c r="BI1777" s="8">
        <f>0</f>
        <v>0</v>
      </c>
      <c r="BJ1777" s="5" t="s">
        <v>253</v>
      </c>
      <c r="BK1777" s="5" t="s">
        <v>254</v>
      </c>
      <c r="BY1777" s="5" t="s">
        <v>238</v>
      </c>
      <c r="BZ1777" s="5" t="s">
        <v>238</v>
      </c>
      <c r="CD1777" s="5" t="s">
        <v>273</v>
      </c>
      <c r="CE1777" s="5" t="s">
        <v>256</v>
      </c>
      <c r="CF1777" s="5" t="s">
        <v>238</v>
      </c>
      <c r="CI1777" s="6" t="s">
        <v>257</v>
      </c>
      <c r="CJ1777" s="5" t="s">
        <v>238</v>
      </c>
      <c r="CK1777" s="5" t="s">
        <v>258</v>
      </c>
      <c r="CL1777" s="5" t="s">
        <v>238</v>
      </c>
      <c r="CM1777" s="5" t="s">
        <v>238</v>
      </c>
      <c r="CN1777" s="5">
        <v>0</v>
      </c>
      <c r="CO1777" s="5" t="s">
        <v>259</v>
      </c>
      <c r="CP1777" s="5" t="s">
        <v>260</v>
      </c>
      <c r="CQ1777" s="5" t="s">
        <v>260</v>
      </c>
      <c r="CR1777" s="5" t="s">
        <v>261</v>
      </c>
      <c r="CU1777" s="8">
        <f>1</f>
        <v>1</v>
      </c>
      <c r="CV1777" s="8">
        <f>0</f>
        <v>0</v>
      </c>
      <c r="CX1777" s="8">
        <f>0</f>
        <v>0</v>
      </c>
      <c r="CY1777" s="8">
        <f>1</f>
        <v>1</v>
      </c>
      <c r="DA1777" s="5" t="s">
        <v>673</v>
      </c>
      <c r="DB1777" s="5" t="s">
        <v>238</v>
      </c>
      <c r="DD1777" s="5" t="s">
        <v>673</v>
      </c>
      <c r="DE1777" s="8">
        <f>6026</f>
        <v>6026</v>
      </c>
      <c r="DG1777" s="5" t="s">
        <v>238</v>
      </c>
      <c r="DH1777" s="5" t="s">
        <v>238</v>
      </c>
      <c r="DI1777" s="5" t="s">
        <v>238</v>
      </c>
      <c r="DJ1777" s="5" t="s">
        <v>238</v>
      </c>
      <c r="DN1777" s="5" t="s">
        <v>238</v>
      </c>
      <c r="DO1777" s="5" t="s">
        <v>238</v>
      </c>
      <c r="DP1777" s="5" t="s">
        <v>238</v>
      </c>
      <c r="DQ1777" s="5" t="s">
        <v>238</v>
      </c>
      <c r="DT1777" s="5" t="s">
        <v>2039</v>
      </c>
      <c r="DU1777" s="5" t="s">
        <v>2959</v>
      </c>
      <c r="HM1777" s="5" t="s">
        <v>264</v>
      </c>
    </row>
    <row r="1778" spans="1:221" x14ac:dyDescent="0.4">
      <c r="A1778" s="5">
        <v>3453</v>
      </c>
      <c r="B1778" s="5">
        <v>1</v>
      </c>
      <c r="C1778" s="5">
        <v>1</v>
      </c>
      <c r="D1778" s="5" t="s">
        <v>2037</v>
      </c>
      <c r="E1778" s="5" t="s">
        <v>271</v>
      </c>
      <c r="F1778" s="5" t="s">
        <v>248</v>
      </c>
      <c r="G1778" s="5" t="s">
        <v>1969</v>
      </c>
      <c r="H1778" s="6" t="s">
        <v>3082</v>
      </c>
      <c r="I1778" s="7">
        <f>532</f>
        <v>532</v>
      </c>
      <c r="J1778" s="5" t="s">
        <v>262</v>
      </c>
      <c r="K1778" s="8">
        <f>1</f>
        <v>1</v>
      </c>
      <c r="L1778" s="6" t="s">
        <v>242</v>
      </c>
      <c r="M1778" s="5" t="s">
        <v>267</v>
      </c>
      <c r="N1778" s="5" t="s">
        <v>265</v>
      </c>
      <c r="O1778" s="5" t="s">
        <v>238</v>
      </c>
      <c r="P1778" s="5" t="s">
        <v>238</v>
      </c>
      <c r="Q1778" s="5" t="s">
        <v>268</v>
      </c>
      <c r="R1778" s="5" t="s">
        <v>270</v>
      </c>
      <c r="S1778" s="5" t="s">
        <v>238</v>
      </c>
      <c r="V1778" s="5" t="s">
        <v>238</v>
      </c>
      <c r="X1778" s="6" t="s">
        <v>238</v>
      </c>
      <c r="AA1778" s="6" t="s">
        <v>243</v>
      </c>
      <c r="AB1778" s="5" t="s">
        <v>238</v>
      </c>
      <c r="AC1778" s="5" t="s">
        <v>244</v>
      </c>
      <c r="AD1778" s="5" t="s">
        <v>245</v>
      </c>
      <c r="AT1778" s="5" t="s">
        <v>246</v>
      </c>
      <c r="AU1778" s="5" t="s">
        <v>238</v>
      </c>
      <c r="AV1778" s="5" t="s">
        <v>247</v>
      </c>
      <c r="AW1778" s="5" t="s">
        <v>238</v>
      </c>
      <c r="AX1778" s="5" t="s">
        <v>249</v>
      </c>
      <c r="AY1778" s="5" t="s">
        <v>238</v>
      </c>
      <c r="BA1778" s="5" t="s">
        <v>238</v>
      </c>
      <c r="BC1778" s="5" t="s">
        <v>250</v>
      </c>
      <c r="BD1778" s="6" t="s">
        <v>243</v>
      </c>
      <c r="BE1778" s="5" t="s">
        <v>251</v>
      </c>
      <c r="BF1778" s="5" t="s">
        <v>252</v>
      </c>
      <c r="BG1778" s="5" t="s">
        <v>238</v>
      </c>
      <c r="BH1778" s="7">
        <f>0</f>
        <v>0</v>
      </c>
      <c r="BI1778" s="8">
        <f>0</f>
        <v>0</v>
      </c>
      <c r="BJ1778" s="5" t="s">
        <v>253</v>
      </c>
      <c r="BK1778" s="5" t="s">
        <v>254</v>
      </c>
      <c r="BY1778" s="5" t="s">
        <v>238</v>
      </c>
      <c r="BZ1778" s="5" t="s">
        <v>238</v>
      </c>
      <c r="CD1778" s="5" t="s">
        <v>273</v>
      </c>
      <c r="CE1778" s="5" t="s">
        <v>256</v>
      </c>
      <c r="CF1778" s="5" t="s">
        <v>238</v>
      </c>
      <c r="CI1778" s="6" t="s">
        <v>257</v>
      </c>
      <c r="CJ1778" s="5" t="s">
        <v>238</v>
      </c>
      <c r="CK1778" s="5" t="s">
        <v>258</v>
      </c>
      <c r="CL1778" s="5" t="s">
        <v>238</v>
      </c>
      <c r="CM1778" s="5" t="s">
        <v>238</v>
      </c>
      <c r="CN1778" s="5">
        <v>0</v>
      </c>
      <c r="CO1778" s="5" t="s">
        <v>259</v>
      </c>
      <c r="CP1778" s="5" t="s">
        <v>260</v>
      </c>
      <c r="CQ1778" s="5" t="s">
        <v>260</v>
      </c>
      <c r="CR1778" s="5" t="s">
        <v>261</v>
      </c>
      <c r="CU1778" s="8">
        <f>1</f>
        <v>1</v>
      </c>
      <c r="CV1778" s="8">
        <f>0</f>
        <v>0</v>
      </c>
      <c r="CX1778" s="8">
        <f>0</f>
        <v>0</v>
      </c>
      <c r="CY1778" s="8">
        <f>1</f>
        <v>1</v>
      </c>
      <c r="DA1778" s="5" t="s">
        <v>673</v>
      </c>
      <c r="DB1778" s="5" t="s">
        <v>238</v>
      </c>
      <c r="DD1778" s="5" t="s">
        <v>673</v>
      </c>
      <c r="DE1778" s="8">
        <f>532</f>
        <v>532</v>
      </c>
      <c r="DG1778" s="5" t="s">
        <v>238</v>
      </c>
      <c r="DH1778" s="5" t="s">
        <v>238</v>
      </c>
      <c r="DI1778" s="5" t="s">
        <v>238</v>
      </c>
      <c r="DJ1778" s="5" t="s">
        <v>238</v>
      </c>
      <c r="DN1778" s="5" t="s">
        <v>238</v>
      </c>
      <c r="DO1778" s="5" t="s">
        <v>238</v>
      </c>
      <c r="DP1778" s="5" t="s">
        <v>238</v>
      </c>
      <c r="DQ1778" s="5" t="s">
        <v>238</v>
      </c>
      <c r="DT1778" s="5" t="s">
        <v>2039</v>
      </c>
      <c r="DU1778" s="5" t="s">
        <v>3083</v>
      </c>
      <c r="HM1778" s="5" t="s">
        <v>264</v>
      </c>
    </row>
    <row r="1779" spans="1:221" x14ac:dyDescent="0.4">
      <c r="A1779" s="5">
        <v>3454</v>
      </c>
      <c r="B1779" s="5">
        <v>1</v>
      </c>
      <c r="C1779" s="5">
        <v>1</v>
      </c>
      <c r="D1779" s="5" t="s">
        <v>2037</v>
      </c>
      <c r="E1779" s="5" t="s">
        <v>271</v>
      </c>
      <c r="F1779" s="5" t="s">
        <v>248</v>
      </c>
      <c r="G1779" s="5" t="s">
        <v>1969</v>
      </c>
      <c r="H1779" s="6" t="s">
        <v>3033</v>
      </c>
      <c r="I1779" s="7">
        <f>1852</f>
        <v>1852</v>
      </c>
      <c r="J1779" s="5" t="s">
        <v>262</v>
      </c>
      <c r="K1779" s="8">
        <f>1</f>
        <v>1</v>
      </c>
      <c r="L1779" s="6" t="s">
        <v>242</v>
      </c>
      <c r="M1779" s="5" t="s">
        <v>267</v>
      </c>
      <c r="N1779" s="5" t="s">
        <v>265</v>
      </c>
      <c r="O1779" s="5" t="s">
        <v>238</v>
      </c>
      <c r="P1779" s="5" t="s">
        <v>238</v>
      </c>
      <c r="Q1779" s="5" t="s">
        <v>268</v>
      </c>
      <c r="R1779" s="5" t="s">
        <v>270</v>
      </c>
      <c r="S1779" s="5" t="s">
        <v>238</v>
      </c>
      <c r="V1779" s="5" t="s">
        <v>238</v>
      </c>
      <c r="X1779" s="6" t="s">
        <v>238</v>
      </c>
      <c r="AA1779" s="6" t="s">
        <v>243</v>
      </c>
      <c r="AB1779" s="5" t="s">
        <v>238</v>
      </c>
      <c r="AC1779" s="5" t="s">
        <v>244</v>
      </c>
      <c r="AD1779" s="5" t="s">
        <v>245</v>
      </c>
      <c r="AT1779" s="5" t="s">
        <v>246</v>
      </c>
      <c r="AU1779" s="5" t="s">
        <v>238</v>
      </c>
      <c r="AV1779" s="5" t="s">
        <v>247</v>
      </c>
      <c r="AW1779" s="5" t="s">
        <v>238</v>
      </c>
      <c r="AX1779" s="5" t="s">
        <v>249</v>
      </c>
      <c r="AY1779" s="5" t="s">
        <v>238</v>
      </c>
      <c r="BA1779" s="5" t="s">
        <v>238</v>
      </c>
      <c r="BC1779" s="5" t="s">
        <v>250</v>
      </c>
      <c r="BD1779" s="6" t="s">
        <v>243</v>
      </c>
      <c r="BE1779" s="5" t="s">
        <v>251</v>
      </c>
      <c r="BF1779" s="5" t="s">
        <v>252</v>
      </c>
      <c r="BG1779" s="5" t="s">
        <v>238</v>
      </c>
      <c r="BH1779" s="7">
        <f>0</f>
        <v>0</v>
      </c>
      <c r="BI1779" s="8">
        <f>0</f>
        <v>0</v>
      </c>
      <c r="BJ1779" s="5" t="s">
        <v>253</v>
      </c>
      <c r="BK1779" s="5" t="s">
        <v>254</v>
      </c>
      <c r="BY1779" s="5" t="s">
        <v>238</v>
      </c>
      <c r="BZ1779" s="5" t="s">
        <v>238</v>
      </c>
      <c r="CD1779" s="5" t="s">
        <v>273</v>
      </c>
      <c r="CE1779" s="5" t="s">
        <v>256</v>
      </c>
      <c r="CF1779" s="5" t="s">
        <v>238</v>
      </c>
      <c r="CI1779" s="6" t="s">
        <v>257</v>
      </c>
      <c r="CJ1779" s="5" t="s">
        <v>238</v>
      </c>
      <c r="CK1779" s="5" t="s">
        <v>258</v>
      </c>
      <c r="CL1779" s="5" t="s">
        <v>238</v>
      </c>
      <c r="CM1779" s="5" t="s">
        <v>238</v>
      </c>
      <c r="CN1779" s="5">
        <v>0</v>
      </c>
      <c r="CO1779" s="5" t="s">
        <v>259</v>
      </c>
      <c r="CP1779" s="5" t="s">
        <v>260</v>
      </c>
      <c r="CQ1779" s="5" t="s">
        <v>260</v>
      </c>
      <c r="CR1779" s="5" t="s">
        <v>261</v>
      </c>
      <c r="CU1779" s="8">
        <f>1</f>
        <v>1</v>
      </c>
      <c r="CV1779" s="8">
        <f>0</f>
        <v>0</v>
      </c>
      <c r="CX1779" s="8">
        <f>0</f>
        <v>0</v>
      </c>
      <c r="CY1779" s="8">
        <f>1</f>
        <v>1</v>
      </c>
      <c r="DA1779" s="5" t="s">
        <v>673</v>
      </c>
      <c r="DB1779" s="5" t="s">
        <v>238</v>
      </c>
      <c r="DD1779" s="5" t="s">
        <v>673</v>
      </c>
      <c r="DE1779" s="8">
        <f>1852</f>
        <v>1852</v>
      </c>
      <c r="DG1779" s="5" t="s">
        <v>238</v>
      </c>
      <c r="DH1779" s="5" t="s">
        <v>238</v>
      </c>
      <c r="DI1779" s="5" t="s">
        <v>238</v>
      </c>
      <c r="DJ1779" s="5" t="s">
        <v>238</v>
      </c>
      <c r="DN1779" s="5" t="s">
        <v>238</v>
      </c>
      <c r="DO1779" s="5" t="s">
        <v>238</v>
      </c>
      <c r="DP1779" s="5" t="s">
        <v>238</v>
      </c>
      <c r="DQ1779" s="5" t="s">
        <v>238</v>
      </c>
      <c r="DT1779" s="5" t="s">
        <v>2039</v>
      </c>
      <c r="DU1779" s="5" t="s">
        <v>3034</v>
      </c>
      <c r="HM1779" s="5" t="s">
        <v>264</v>
      </c>
    </row>
    <row r="1780" spans="1:221" x14ac:dyDescent="0.4">
      <c r="A1780" s="5">
        <v>3455</v>
      </c>
      <c r="B1780" s="5">
        <v>1</v>
      </c>
      <c r="C1780" s="5">
        <v>1</v>
      </c>
      <c r="D1780" s="5" t="s">
        <v>2037</v>
      </c>
      <c r="E1780" s="5" t="s">
        <v>271</v>
      </c>
      <c r="F1780" s="5" t="s">
        <v>248</v>
      </c>
      <c r="G1780" s="5" t="s">
        <v>1969</v>
      </c>
      <c r="H1780" s="6" t="s">
        <v>3150</v>
      </c>
      <c r="I1780" s="7">
        <f>530</f>
        <v>530</v>
      </c>
      <c r="J1780" s="5" t="s">
        <v>262</v>
      </c>
      <c r="K1780" s="8">
        <f>1</f>
        <v>1</v>
      </c>
      <c r="L1780" s="6" t="s">
        <v>242</v>
      </c>
      <c r="M1780" s="5" t="s">
        <v>267</v>
      </c>
      <c r="N1780" s="5" t="s">
        <v>265</v>
      </c>
      <c r="O1780" s="5" t="s">
        <v>238</v>
      </c>
      <c r="P1780" s="5" t="s">
        <v>238</v>
      </c>
      <c r="Q1780" s="5" t="s">
        <v>268</v>
      </c>
      <c r="R1780" s="5" t="s">
        <v>270</v>
      </c>
      <c r="S1780" s="5" t="s">
        <v>238</v>
      </c>
      <c r="V1780" s="5" t="s">
        <v>238</v>
      </c>
      <c r="X1780" s="6" t="s">
        <v>238</v>
      </c>
      <c r="AA1780" s="6" t="s">
        <v>243</v>
      </c>
      <c r="AB1780" s="5" t="s">
        <v>238</v>
      </c>
      <c r="AC1780" s="5" t="s">
        <v>244</v>
      </c>
      <c r="AD1780" s="5" t="s">
        <v>245</v>
      </c>
      <c r="AT1780" s="5" t="s">
        <v>246</v>
      </c>
      <c r="AU1780" s="5" t="s">
        <v>238</v>
      </c>
      <c r="AV1780" s="5" t="s">
        <v>247</v>
      </c>
      <c r="AW1780" s="5" t="s">
        <v>238</v>
      </c>
      <c r="AX1780" s="5" t="s">
        <v>249</v>
      </c>
      <c r="AY1780" s="5" t="s">
        <v>238</v>
      </c>
      <c r="BA1780" s="5" t="s">
        <v>238</v>
      </c>
      <c r="BC1780" s="5" t="s">
        <v>250</v>
      </c>
      <c r="BD1780" s="6" t="s">
        <v>243</v>
      </c>
      <c r="BE1780" s="5" t="s">
        <v>251</v>
      </c>
      <c r="BF1780" s="5" t="s">
        <v>252</v>
      </c>
      <c r="BG1780" s="5" t="s">
        <v>238</v>
      </c>
      <c r="BH1780" s="7">
        <f>0</f>
        <v>0</v>
      </c>
      <c r="BI1780" s="8">
        <f>0</f>
        <v>0</v>
      </c>
      <c r="BJ1780" s="5" t="s">
        <v>253</v>
      </c>
      <c r="BK1780" s="5" t="s">
        <v>254</v>
      </c>
      <c r="BY1780" s="5" t="s">
        <v>238</v>
      </c>
      <c r="BZ1780" s="5" t="s">
        <v>238</v>
      </c>
      <c r="CD1780" s="5" t="s">
        <v>273</v>
      </c>
      <c r="CE1780" s="5" t="s">
        <v>256</v>
      </c>
      <c r="CF1780" s="5" t="s">
        <v>238</v>
      </c>
      <c r="CI1780" s="6" t="s">
        <v>257</v>
      </c>
      <c r="CJ1780" s="5" t="s">
        <v>238</v>
      </c>
      <c r="CK1780" s="5" t="s">
        <v>258</v>
      </c>
      <c r="CL1780" s="5" t="s">
        <v>238</v>
      </c>
      <c r="CM1780" s="5" t="s">
        <v>238</v>
      </c>
      <c r="CN1780" s="5">
        <v>0</v>
      </c>
      <c r="CO1780" s="5" t="s">
        <v>259</v>
      </c>
      <c r="CP1780" s="5" t="s">
        <v>260</v>
      </c>
      <c r="CQ1780" s="5" t="s">
        <v>260</v>
      </c>
      <c r="CR1780" s="5" t="s">
        <v>261</v>
      </c>
      <c r="CU1780" s="8">
        <f>1</f>
        <v>1</v>
      </c>
      <c r="CV1780" s="8">
        <f>0</f>
        <v>0</v>
      </c>
      <c r="CX1780" s="8">
        <f>0</f>
        <v>0</v>
      </c>
      <c r="CY1780" s="8">
        <f>1</f>
        <v>1</v>
      </c>
      <c r="DA1780" s="5" t="s">
        <v>673</v>
      </c>
      <c r="DB1780" s="5" t="s">
        <v>238</v>
      </c>
      <c r="DD1780" s="5" t="s">
        <v>673</v>
      </c>
      <c r="DE1780" s="8">
        <f>530</f>
        <v>530</v>
      </c>
      <c r="DG1780" s="5" t="s">
        <v>238</v>
      </c>
      <c r="DH1780" s="5" t="s">
        <v>238</v>
      </c>
      <c r="DI1780" s="5" t="s">
        <v>238</v>
      </c>
      <c r="DJ1780" s="5" t="s">
        <v>238</v>
      </c>
      <c r="DN1780" s="5" t="s">
        <v>238</v>
      </c>
      <c r="DO1780" s="5" t="s">
        <v>238</v>
      </c>
      <c r="DP1780" s="5" t="s">
        <v>238</v>
      </c>
      <c r="DQ1780" s="5" t="s">
        <v>238</v>
      </c>
      <c r="DT1780" s="5" t="s">
        <v>2039</v>
      </c>
      <c r="DU1780" s="5" t="s">
        <v>3151</v>
      </c>
      <c r="HM1780" s="5" t="s">
        <v>264</v>
      </c>
    </row>
    <row r="1781" spans="1:221" x14ac:dyDescent="0.4">
      <c r="A1781" s="5">
        <v>3456</v>
      </c>
      <c r="B1781" s="5">
        <v>1</v>
      </c>
      <c r="C1781" s="5">
        <v>1</v>
      </c>
      <c r="D1781" s="5" t="s">
        <v>2037</v>
      </c>
      <c r="E1781" s="5" t="s">
        <v>271</v>
      </c>
      <c r="F1781" s="5" t="s">
        <v>248</v>
      </c>
      <c r="G1781" s="5" t="s">
        <v>1969</v>
      </c>
      <c r="H1781" s="6" t="s">
        <v>3132</v>
      </c>
      <c r="I1781" s="7">
        <f>679</f>
        <v>679</v>
      </c>
      <c r="J1781" s="5" t="s">
        <v>262</v>
      </c>
      <c r="K1781" s="8">
        <f>1</f>
        <v>1</v>
      </c>
      <c r="L1781" s="6" t="s">
        <v>242</v>
      </c>
      <c r="M1781" s="5" t="s">
        <v>267</v>
      </c>
      <c r="N1781" s="5" t="s">
        <v>265</v>
      </c>
      <c r="O1781" s="5" t="s">
        <v>238</v>
      </c>
      <c r="P1781" s="5" t="s">
        <v>238</v>
      </c>
      <c r="Q1781" s="5" t="s">
        <v>268</v>
      </c>
      <c r="R1781" s="5" t="s">
        <v>270</v>
      </c>
      <c r="S1781" s="5" t="s">
        <v>238</v>
      </c>
      <c r="V1781" s="5" t="s">
        <v>238</v>
      </c>
      <c r="X1781" s="6" t="s">
        <v>238</v>
      </c>
      <c r="AA1781" s="6" t="s">
        <v>243</v>
      </c>
      <c r="AB1781" s="5" t="s">
        <v>238</v>
      </c>
      <c r="AC1781" s="5" t="s">
        <v>244</v>
      </c>
      <c r="AD1781" s="5" t="s">
        <v>245</v>
      </c>
      <c r="AT1781" s="5" t="s">
        <v>246</v>
      </c>
      <c r="AU1781" s="5" t="s">
        <v>238</v>
      </c>
      <c r="AV1781" s="5" t="s">
        <v>247</v>
      </c>
      <c r="AW1781" s="5" t="s">
        <v>238</v>
      </c>
      <c r="AX1781" s="5" t="s">
        <v>249</v>
      </c>
      <c r="AY1781" s="5" t="s">
        <v>238</v>
      </c>
      <c r="BA1781" s="5" t="s">
        <v>238</v>
      </c>
      <c r="BC1781" s="5" t="s">
        <v>250</v>
      </c>
      <c r="BD1781" s="6" t="s">
        <v>243</v>
      </c>
      <c r="BE1781" s="5" t="s">
        <v>251</v>
      </c>
      <c r="BF1781" s="5" t="s">
        <v>252</v>
      </c>
      <c r="BG1781" s="5" t="s">
        <v>238</v>
      </c>
      <c r="BH1781" s="7">
        <f>0</f>
        <v>0</v>
      </c>
      <c r="BI1781" s="8">
        <f>0</f>
        <v>0</v>
      </c>
      <c r="BJ1781" s="5" t="s">
        <v>253</v>
      </c>
      <c r="BK1781" s="5" t="s">
        <v>254</v>
      </c>
      <c r="BY1781" s="5" t="s">
        <v>238</v>
      </c>
      <c r="BZ1781" s="5" t="s">
        <v>238</v>
      </c>
      <c r="CD1781" s="5" t="s">
        <v>273</v>
      </c>
      <c r="CE1781" s="5" t="s">
        <v>256</v>
      </c>
      <c r="CF1781" s="5" t="s">
        <v>238</v>
      </c>
      <c r="CI1781" s="6" t="s">
        <v>257</v>
      </c>
      <c r="CJ1781" s="5" t="s">
        <v>238</v>
      </c>
      <c r="CK1781" s="5" t="s">
        <v>258</v>
      </c>
      <c r="CL1781" s="5" t="s">
        <v>238</v>
      </c>
      <c r="CM1781" s="5" t="s">
        <v>238</v>
      </c>
      <c r="CN1781" s="5">
        <v>0</v>
      </c>
      <c r="CO1781" s="5" t="s">
        <v>259</v>
      </c>
      <c r="CP1781" s="5" t="s">
        <v>260</v>
      </c>
      <c r="CQ1781" s="5" t="s">
        <v>260</v>
      </c>
      <c r="CR1781" s="5" t="s">
        <v>261</v>
      </c>
      <c r="CU1781" s="8">
        <f>1</f>
        <v>1</v>
      </c>
      <c r="CV1781" s="8">
        <f>0</f>
        <v>0</v>
      </c>
      <c r="CX1781" s="8">
        <f>0</f>
        <v>0</v>
      </c>
      <c r="CY1781" s="8">
        <f>1</f>
        <v>1</v>
      </c>
      <c r="DA1781" s="5" t="s">
        <v>673</v>
      </c>
      <c r="DB1781" s="5" t="s">
        <v>238</v>
      </c>
      <c r="DD1781" s="5" t="s">
        <v>673</v>
      </c>
      <c r="DE1781" s="8">
        <f>679</f>
        <v>679</v>
      </c>
      <c r="DG1781" s="5" t="s">
        <v>238</v>
      </c>
      <c r="DH1781" s="5" t="s">
        <v>238</v>
      </c>
      <c r="DI1781" s="5" t="s">
        <v>238</v>
      </c>
      <c r="DJ1781" s="5" t="s">
        <v>238</v>
      </c>
      <c r="DN1781" s="5" t="s">
        <v>238</v>
      </c>
      <c r="DO1781" s="5" t="s">
        <v>238</v>
      </c>
      <c r="DP1781" s="5" t="s">
        <v>238</v>
      </c>
      <c r="DQ1781" s="5" t="s">
        <v>238</v>
      </c>
      <c r="DT1781" s="5" t="s">
        <v>2039</v>
      </c>
      <c r="DU1781" s="5" t="s">
        <v>3133</v>
      </c>
      <c r="HM1781" s="5" t="s">
        <v>264</v>
      </c>
    </row>
    <row r="1782" spans="1:221" x14ac:dyDescent="0.4">
      <c r="A1782" s="5">
        <v>3457</v>
      </c>
      <c r="B1782" s="5">
        <v>1</v>
      </c>
      <c r="C1782" s="5">
        <v>1</v>
      </c>
      <c r="D1782" s="5" t="s">
        <v>2037</v>
      </c>
      <c r="E1782" s="5" t="s">
        <v>271</v>
      </c>
      <c r="F1782" s="5" t="s">
        <v>248</v>
      </c>
      <c r="G1782" s="5" t="s">
        <v>1969</v>
      </c>
      <c r="H1782" s="6" t="s">
        <v>2935</v>
      </c>
      <c r="I1782" s="7">
        <f>327</f>
        <v>327</v>
      </c>
      <c r="J1782" s="5" t="s">
        <v>262</v>
      </c>
      <c r="K1782" s="8">
        <f>1</f>
        <v>1</v>
      </c>
      <c r="L1782" s="6" t="s">
        <v>242</v>
      </c>
      <c r="M1782" s="5" t="s">
        <v>267</v>
      </c>
      <c r="N1782" s="5" t="s">
        <v>265</v>
      </c>
      <c r="O1782" s="5" t="s">
        <v>238</v>
      </c>
      <c r="P1782" s="5" t="s">
        <v>238</v>
      </c>
      <c r="Q1782" s="5" t="s">
        <v>268</v>
      </c>
      <c r="R1782" s="5" t="s">
        <v>270</v>
      </c>
      <c r="S1782" s="5" t="s">
        <v>238</v>
      </c>
      <c r="V1782" s="5" t="s">
        <v>238</v>
      </c>
      <c r="X1782" s="6" t="s">
        <v>238</v>
      </c>
      <c r="AA1782" s="6" t="s">
        <v>243</v>
      </c>
      <c r="AB1782" s="5" t="s">
        <v>238</v>
      </c>
      <c r="AC1782" s="5" t="s">
        <v>244</v>
      </c>
      <c r="AD1782" s="5" t="s">
        <v>245</v>
      </c>
      <c r="AT1782" s="5" t="s">
        <v>246</v>
      </c>
      <c r="AU1782" s="5" t="s">
        <v>238</v>
      </c>
      <c r="AV1782" s="5" t="s">
        <v>247</v>
      </c>
      <c r="AW1782" s="5" t="s">
        <v>238</v>
      </c>
      <c r="AX1782" s="5" t="s">
        <v>249</v>
      </c>
      <c r="AY1782" s="5" t="s">
        <v>238</v>
      </c>
      <c r="BA1782" s="5" t="s">
        <v>238</v>
      </c>
      <c r="BC1782" s="5" t="s">
        <v>250</v>
      </c>
      <c r="BD1782" s="6" t="s">
        <v>243</v>
      </c>
      <c r="BE1782" s="5" t="s">
        <v>251</v>
      </c>
      <c r="BF1782" s="5" t="s">
        <v>252</v>
      </c>
      <c r="BG1782" s="5" t="s">
        <v>238</v>
      </c>
      <c r="BH1782" s="7">
        <f>0</f>
        <v>0</v>
      </c>
      <c r="BI1782" s="8">
        <f>0</f>
        <v>0</v>
      </c>
      <c r="BJ1782" s="5" t="s">
        <v>253</v>
      </c>
      <c r="BK1782" s="5" t="s">
        <v>254</v>
      </c>
      <c r="BY1782" s="5" t="s">
        <v>238</v>
      </c>
      <c r="BZ1782" s="5" t="s">
        <v>238</v>
      </c>
      <c r="CD1782" s="5" t="s">
        <v>273</v>
      </c>
      <c r="CE1782" s="5" t="s">
        <v>256</v>
      </c>
      <c r="CF1782" s="5" t="s">
        <v>238</v>
      </c>
      <c r="CI1782" s="6" t="s">
        <v>257</v>
      </c>
      <c r="CJ1782" s="5" t="s">
        <v>238</v>
      </c>
      <c r="CK1782" s="5" t="s">
        <v>258</v>
      </c>
      <c r="CL1782" s="5" t="s">
        <v>238</v>
      </c>
      <c r="CM1782" s="5" t="s">
        <v>238</v>
      </c>
      <c r="CN1782" s="5">
        <v>0</v>
      </c>
      <c r="CO1782" s="5" t="s">
        <v>259</v>
      </c>
      <c r="CP1782" s="5" t="s">
        <v>260</v>
      </c>
      <c r="CQ1782" s="5" t="s">
        <v>260</v>
      </c>
      <c r="CR1782" s="5" t="s">
        <v>261</v>
      </c>
      <c r="CU1782" s="8">
        <f>1</f>
        <v>1</v>
      </c>
      <c r="CV1782" s="8">
        <f>0</f>
        <v>0</v>
      </c>
      <c r="CX1782" s="8">
        <f>0</f>
        <v>0</v>
      </c>
      <c r="CY1782" s="8">
        <f>1</f>
        <v>1</v>
      </c>
      <c r="DA1782" s="5" t="s">
        <v>673</v>
      </c>
      <c r="DB1782" s="5" t="s">
        <v>238</v>
      </c>
      <c r="DD1782" s="5" t="s">
        <v>673</v>
      </c>
      <c r="DE1782" s="8">
        <f>327</f>
        <v>327</v>
      </c>
      <c r="DG1782" s="5" t="s">
        <v>238</v>
      </c>
      <c r="DH1782" s="5" t="s">
        <v>238</v>
      </c>
      <c r="DI1782" s="5" t="s">
        <v>238</v>
      </c>
      <c r="DJ1782" s="5" t="s">
        <v>238</v>
      </c>
      <c r="DN1782" s="5" t="s">
        <v>238</v>
      </c>
      <c r="DO1782" s="5" t="s">
        <v>238</v>
      </c>
      <c r="DP1782" s="5" t="s">
        <v>238</v>
      </c>
      <c r="DQ1782" s="5" t="s">
        <v>238</v>
      </c>
      <c r="DT1782" s="5" t="s">
        <v>2039</v>
      </c>
      <c r="DU1782" s="5" t="s">
        <v>2936</v>
      </c>
      <c r="HM1782" s="5" t="s">
        <v>264</v>
      </c>
    </row>
    <row r="1783" spans="1:221" x14ac:dyDescent="0.4">
      <c r="A1783" s="5">
        <v>3480</v>
      </c>
      <c r="B1783" s="5">
        <v>1</v>
      </c>
      <c r="C1783" s="5">
        <v>1</v>
      </c>
      <c r="D1783" s="5" t="s">
        <v>2037</v>
      </c>
      <c r="E1783" s="5" t="s">
        <v>271</v>
      </c>
      <c r="F1783" s="5" t="s">
        <v>248</v>
      </c>
      <c r="G1783" s="5" t="s">
        <v>2080</v>
      </c>
      <c r="H1783" s="6" t="s">
        <v>2082</v>
      </c>
      <c r="I1783" s="7">
        <f>138.53</f>
        <v>138.53</v>
      </c>
      <c r="J1783" s="5" t="s">
        <v>262</v>
      </c>
      <c r="K1783" s="8">
        <f>2730121</f>
        <v>2730121</v>
      </c>
      <c r="L1783" s="6" t="s">
        <v>2081</v>
      </c>
      <c r="M1783" s="5" t="s">
        <v>267</v>
      </c>
      <c r="N1783" s="5" t="s">
        <v>265</v>
      </c>
      <c r="O1783" s="5" t="s">
        <v>238</v>
      </c>
      <c r="P1783" s="5" t="s">
        <v>238</v>
      </c>
      <c r="Q1783" s="5" t="s">
        <v>239</v>
      </c>
      <c r="R1783" s="5" t="s">
        <v>270</v>
      </c>
      <c r="S1783" s="5" t="s">
        <v>238</v>
      </c>
      <c r="V1783" s="5" t="s">
        <v>238</v>
      </c>
      <c r="X1783" s="6" t="s">
        <v>238</v>
      </c>
      <c r="AA1783" s="6" t="s">
        <v>243</v>
      </c>
      <c r="AB1783" s="5" t="s">
        <v>1969</v>
      </c>
      <c r="AC1783" s="5" t="s">
        <v>244</v>
      </c>
      <c r="AD1783" s="5" t="s">
        <v>245</v>
      </c>
      <c r="AT1783" s="5" t="s">
        <v>246</v>
      </c>
      <c r="AU1783" s="5" t="s">
        <v>238</v>
      </c>
      <c r="AV1783" s="5" t="s">
        <v>247</v>
      </c>
      <c r="AW1783" s="5" t="s">
        <v>238</v>
      </c>
      <c r="AX1783" s="5" t="s">
        <v>249</v>
      </c>
      <c r="AY1783" s="5" t="s">
        <v>238</v>
      </c>
      <c r="BA1783" s="5" t="s">
        <v>238</v>
      </c>
      <c r="BC1783" s="5" t="s">
        <v>250</v>
      </c>
      <c r="BD1783" s="6" t="s">
        <v>2081</v>
      </c>
      <c r="BE1783" s="5" t="s">
        <v>251</v>
      </c>
      <c r="BF1783" s="5" t="s">
        <v>2043</v>
      </c>
      <c r="BG1783" s="5" t="s">
        <v>238</v>
      </c>
      <c r="BH1783" s="7">
        <f>0</f>
        <v>0</v>
      </c>
      <c r="BI1783" s="8">
        <f>0</f>
        <v>0</v>
      </c>
      <c r="BJ1783" s="5" t="s">
        <v>253</v>
      </c>
      <c r="BK1783" s="5" t="s">
        <v>254</v>
      </c>
      <c r="BY1783" s="5" t="s">
        <v>238</v>
      </c>
      <c r="BZ1783" s="5" t="s">
        <v>238</v>
      </c>
      <c r="CD1783" s="5" t="s">
        <v>293</v>
      </c>
      <c r="CE1783" s="5" t="s">
        <v>256</v>
      </c>
      <c r="CF1783" s="5" t="s">
        <v>238</v>
      </c>
      <c r="CI1783" s="6" t="s">
        <v>257</v>
      </c>
      <c r="CJ1783" s="5" t="s">
        <v>238</v>
      </c>
      <c r="CK1783" s="5" t="s">
        <v>258</v>
      </c>
      <c r="CL1783" s="5" t="s">
        <v>238</v>
      </c>
      <c r="CM1783" s="5" t="s">
        <v>238</v>
      </c>
      <c r="CN1783" s="5">
        <v>0</v>
      </c>
      <c r="CO1783" s="5" t="s">
        <v>259</v>
      </c>
      <c r="CP1783" s="5" t="s">
        <v>260</v>
      </c>
      <c r="CQ1783" s="5" t="s">
        <v>260</v>
      </c>
      <c r="CR1783" s="5" t="s">
        <v>261</v>
      </c>
      <c r="CU1783" s="8">
        <f>2730121</f>
        <v>2730121</v>
      </c>
      <c r="CV1783" s="8">
        <f>0</f>
        <v>0</v>
      </c>
      <c r="CX1783" s="8">
        <f>0</f>
        <v>0</v>
      </c>
      <c r="CY1783" s="8">
        <f>2730121</f>
        <v>2730121</v>
      </c>
      <c r="DA1783" s="5" t="s">
        <v>356</v>
      </c>
      <c r="DB1783" s="5" t="s">
        <v>238</v>
      </c>
      <c r="DD1783" s="5" t="s">
        <v>356</v>
      </c>
      <c r="DE1783" s="8">
        <f>138.53</f>
        <v>138.53</v>
      </c>
      <c r="DG1783" s="5" t="s">
        <v>238</v>
      </c>
      <c r="DH1783" s="5" t="s">
        <v>238</v>
      </c>
      <c r="DI1783" s="5" t="s">
        <v>238</v>
      </c>
      <c r="DJ1783" s="5" t="s">
        <v>238</v>
      </c>
      <c r="DN1783" s="5" t="s">
        <v>238</v>
      </c>
      <c r="DO1783" s="5" t="s">
        <v>238</v>
      </c>
      <c r="DP1783" s="5" t="s">
        <v>238</v>
      </c>
      <c r="DQ1783" s="5" t="s">
        <v>238</v>
      </c>
      <c r="DT1783" s="5" t="s">
        <v>2039</v>
      </c>
      <c r="DU1783" s="5" t="s">
        <v>2083</v>
      </c>
      <c r="HM1783" s="5" t="s">
        <v>264</v>
      </c>
    </row>
    <row r="1784" spans="1:221" x14ac:dyDescent="0.4">
      <c r="A1784" s="5">
        <v>3481</v>
      </c>
      <c r="B1784" s="5">
        <v>1</v>
      </c>
      <c r="C1784" s="5">
        <v>1</v>
      </c>
      <c r="D1784" s="5" t="s">
        <v>2037</v>
      </c>
      <c r="E1784" s="5" t="s">
        <v>271</v>
      </c>
      <c r="F1784" s="5" t="s">
        <v>248</v>
      </c>
      <c r="G1784" s="5" t="s">
        <v>2047</v>
      </c>
      <c r="H1784" s="6" t="s">
        <v>2049</v>
      </c>
      <c r="I1784" s="7">
        <f>144.85</f>
        <v>144.85</v>
      </c>
      <c r="J1784" s="5" t="s">
        <v>262</v>
      </c>
      <c r="K1784" s="8">
        <f>1143000</f>
        <v>1143000</v>
      </c>
      <c r="L1784" s="6" t="s">
        <v>2048</v>
      </c>
      <c r="M1784" s="5" t="s">
        <v>267</v>
      </c>
      <c r="N1784" s="5" t="s">
        <v>265</v>
      </c>
      <c r="O1784" s="5" t="s">
        <v>238</v>
      </c>
      <c r="P1784" s="5" t="s">
        <v>238</v>
      </c>
      <c r="Q1784" s="5" t="s">
        <v>239</v>
      </c>
      <c r="R1784" s="5" t="s">
        <v>270</v>
      </c>
      <c r="S1784" s="5" t="s">
        <v>238</v>
      </c>
      <c r="V1784" s="5" t="s">
        <v>238</v>
      </c>
      <c r="X1784" s="6" t="s">
        <v>238</v>
      </c>
      <c r="AA1784" s="6" t="s">
        <v>243</v>
      </c>
      <c r="AB1784" s="5" t="s">
        <v>1969</v>
      </c>
      <c r="AC1784" s="5" t="s">
        <v>244</v>
      </c>
      <c r="AD1784" s="5" t="s">
        <v>245</v>
      </c>
      <c r="AT1784" s="5" t="s">
        <v>246</v>
      </c>
      <c r="AU1784" s="5" t="s">
        <v>238</v>
      </c>
      <c r="AV1784" s="5" t="s">
        <v>247</v>
      </c>
      <c r="AW1784" s="5" t="s">
        <v>238</v>
      </c>
      <c r="AX1784" s="5" t="s">
        <v>249</v>
      </c>
      <c r="AY1784" s="5" t="s">
        <v>238</v>
      </c>
      <c r="BA1784" s="5" t="s">
        <v>238</v>
      </c>
      <c r="BC1784" s="5" t="s">
        <v>250</v>
      </c>
      <c r="BD1784" s="6" t="s">
        <v>2048</v>
      </c>
      <c r="BE1784" s="5" t="s">
        <v>251</v>
      </c>
      <c r="BF1784" s="5" t="s">
        <v>2043</v>
      </c>
      <c r="BG1784" s="5" t="s">
        <v>238</v>
      </c>
      <c r="BH1784" s="7">
        <f>0</f>
        <v>0</v>
      </c>
      <c r="BI1784" s="8">
        <f>0</f>
        <v>0</v>
      </c>
      <c r="BJ1784" s="5" t="s">
        <v>253</v>
      </c>
      <c r="BK1784" s="5" t="s">
        <v>254</v>
      </c>
      <c r="BY1784" s="5" t="s">
        <v>238</v>
      </c>
      <c r="BZ1784" s="5" t="s">
        <v>238</v>
      </c>
      <c r="CD1784" s="5" t="s">
        <v>293</v>
      </c>
      <c r="CE1784" s="5" t="s">
        <v>256</v>
      </c>
      <c r="CF1784" s="5" t="s">
        <v>238</v>
      </c>
      <c r="CI1784" s="6" t="s">
        <v>257</v>
      </c>
      <c r="CJ1784" s="5" t="s">
        <v>238</v>
      </c>
      <c r="CK1784" s="5" t="s">
        <v>258</v>
      </c>
      <c r="CL1784" s="5" t="s">
        <v>238</v>
      </c>
      <c r="CM1784" s="5" t="s">
        <v>238</v>
      </c>
      <c r="CN1784" s="5">
        <v>0</v>
      </c>
      <c r="CO1784" s="5" t="s">
        <v>259</v>
      </c>
      <c r="CP1784" s="5" t="s">
        <v>260</v>
      </c>
      <c r="CQ1784" s="5" t="s">
        <v>260</v>
      </c>
      <c r="CR1784" s="5" t="s">
        <v>261</v>
      </c>
      <c r="CU1784" s="8">
        <f>1143000</f>
        <v>1143000</v>
      </c>
      <c r="CV1784" s="8">
        <f>0</f>
        <v>0</v>
      </c>
      <c r="CX1784" s="8">
        <f>0</f>
        <v>0</v>
      </c>
      <c r="CY1784" s="8">
        <f>1143000</f>
        <v>1143000</v>
      </c>
      <c r="DA1784" s="5" t="s">
        <v>356</v>
      </c>
      <c r="DB1784" s="5" t="s">
        <v>238</v>
      </c>
      <c r="DD1784" s="5" t="s">
        <v>356</v>
      </c>
      <c r="DE1784" s="8">
        <f>144.85</f>
        <v>144.85</v>
      </c>
      <c r="DG1784" s="5" t="s">
        <v>238</v>
      </c>
      <c r="DH1784" s="5" t="s">
        <v>238</v>
      </c>
      <c r="DI1784" s="5" t="s">
        <v>238</v>
      </c>
      <c r="DJ1784" s="5" t="s">
        <v>238</v>
      </c>
      <c r="DN1784" s="5" t="s">
        <v>238</v>
      </c>
      <c r="DO1784" s="5" t="s">
        <v>238</v>
      </c>
      <c r="DP1784" s="5" t="s">
        <v>238</v>
      </c>
      <c r="DQ1784" s="5" t="s">
        <v>238</v>
      </c>
      <c r="DT1784" s="5" t="s">
        <v>2039</v>
      </c>
      <c r="DU1784" s="5" t="s">
        <v>2050</v>
      </c>
      <c r="HM1784" s="5" t="s">
        <v>264</v>
      </c>
    </row>
    <row r="1785" spans="1:221" x14ac:dyDescent="0.4">
      <c r="A1785" s="5">
        <v>3482</v>
      </c>
      <c r="B1785" s="5">
        <v>1</v>
      </c>
      <c r="C1785" s="5">
        <v>1</v>
      </c>
      <c r="D1785" s="5" t="s">
        <v>2037</v>
      </c>
      <c r="E1785" s="5" t="s">
        <v>271</v>
      </c>
      <c r="F1785" s="5" t="s">
        <v>248</v>
      </c>
      <c r="G1785" s="5" t="s">
        <v>2161</v>
      </c>
      <c r="H1785" s="6" t="s">
        <v>2163</v>
      </c>
      <c r="I1785" s="7">
        <f>503.93</f>
        <v>503.93</v>
      </c>
      <c r="J1785" s="5" t="s">
        <v>262</v>
      </c>
      <c r="K1785" s="8">
        <f>4925510</f>
        <v>4925510</v>
      </c>
      <c r="L1785" s="6" t="s">
        <v>2162</v>
      </c>
      <c r="M1785" s="5" t="s">
        <v>267</v>
      </c>
      <c r="N1785" s="5" t="s">
        <v>265</v>
      </c>
      <c r="O1785" s="5" t="s">
        <v>238</v>
      </c>
      <c r="P1785" s="5" t="s">
        <v>238</v>
      </c>
      <c r="Q1785" s="5" t="s">
        <v>239</v>
      </c>
      <c r="R1785" s="5" t="s">
        <v>270</v>
      </c>
      <c r="S1785" s="5" t="s">
        <v>238</v>
      </c>
      <c r="V1785" s="5" t="s">
        <v>238</v>
      </c>
      <c r="X1785" s="6" t="s">
        <v>238</v>
      </c>
      <c r="AA1785" s="6" t="s">
        <v>243</v>
      </c>
      <c r="AB1785" s="5" t="s">
        <v>1969</v>
      </c>
      <c r="AC1785" s="5" t="s">
        <v>244</v>
      </c>
      <c r="AD1785" s="5" t="s">
        <v>245</v>
      </c>
      <c r="AT1785" s="5" t="s">
        <v>246</v>
      </c>
      <c r="AU1785" s="5" t="s">
        <v>238</v>
      </c>
      <c r="AV1785" s="5" t="s">
        <v>247</v>
      </c>
      <c r="AW1785" s="5" t="s">
        <v>238</v>
      </c>
      <c r="AX1785" s="5" t="s">
        <v>249</v>
      </c>
      <c r="AY1785" s="5" t="s">
        <v>238</v>
      </c>
      <c r="BA1785" s="5" t="s">
        <v>238</v>
      </c>
      <c r="BC1785" s="5" t="s">
        <v>250</v>
      </c>
      <c r="BD1785" s="6" t="s">
        <v>2162</v>
      </c>
      <c r="BE1785" s="5" t="s">
        <v>251</v>
      </c>
      <c r="BF1785" s="5" t="s">
        <v>2043</v>
      </c>
      <c r="BG1785" s="5" t="s">
        <v>238</v>
      </c>
      <c r="BH1785" s="7">
        <f>0</f>
        <v>0</v>
      </c>
      <c r="BI1785" s="8">
        <f>0</f>
        <v>0</v>
      </c>
      <c r="BJ1785" s="5" t="s">
        <v>253</v>
      </c>
      <c r="BK1785" s="5" t="s">
        <v>254</v>
      </c>
      <c r="BY1785" s="5" t="s">
        <v>238</v>
      </c>
      <c r="BZ1785" s="5" t="s">
        <v>238</v>
      </c>
      <c r="CD1785" s="5" t="s">
        <v>293</v>
      </c>
      <c r="CE1785" s="5" t="s">
        <v>256</v>
      </c>
      <c r="CF1785" s="5" t="s">
        <v>238</v>
      </c>
      <c r="CI1785" s="6" t="s">
        <v>257</v>
      </c>
      <c r="CJ1785" s="5" t="s">
        <v>238</v>
      </c>
      <c r="CK1785" s="5" t="s">
        <v>258</v>
      </c>
      <c r="CL1785" s="5" t="s">
        <v>238</v>
      </c>
      <c r="CM1785" s="5" t="s">
        <v>238</v>
      </c>
      <c r="CN1785" s="5">
        <v>0</v>
      </c>
      <c r="CO1785" s="5" t="s">
        <v>259</v>
      </c>
      <c r="CP1785" s="5" t="s">
        <v>260</v>
      </c>
      <c r="CQ1785" s="5" t="s">
        <v>260</v>
      </c>
      <c r="CR1785" s="5" t="s">
        <v>261</v>
      </c>
      <c r="CU1785" s="8">
        <f>4925510</f>
        <v>4925510</v>
      </c>
      <c r="CV1785" s="8">
        <f>0</f>
        <v>0</v>
      </c>
      <c r="CX1785" s="8">
        <f>0</f>
        <v>0</v>
      </c>
      <c r="CY1785" s="8">
        <f>4925510</f>
        <v>4925510</v>
      </c>
      <c r="DA1785" s="5" t="s">
        <v>356</v>
      </c>
      <c r="DB1785" s="5" t="s">
        <v>238</v>
      </c>
      <c r="DD1785" s="5" t="s">
        <v>356</v>
      </c>
      <c r="DE1785" s="8">
        <f>503.93</f>
        <v>503.93</v>
      </c>
      <c r="DG1785" s="5" t="s">
        <v>238</v>
      </c>
      <c r="DH1785" s="5" t="s">
        <v>238</v>
      </c>
      <c r="DI1785" s="5" t="s">
        <v>238</v>
      </c>
      <c r="DJ1785" s="5" t="s">
        <v>238</v>
      </c>
      <c r="DN1785" s="5" t="s">
        <v>238</v>
      </c>
      <c r="DO1785" s="5" t="s">
        <v>238</v>
      </c>
      <c r="DP1785" s="5" t="s">
        <v>238</v>
      </c>
      <c r="DQ1785" s="5" t="s">
        <v>238</v>
      </c>
      <c r="DT1785" s="5" t="s">
        <v>2039</v>
      </c>
      <c r="DU1785" s="5" t="s">
        <v>2164</v>
      </c>
      <c r="HM1785" s="5" t="s">
        <v>264</v>
      </c>
    </row>
    <row r="1786" spans="1:221" x14ac:dyDescent="0.4">
      <c r="A1786" s="5">
        <v>3483</v>
      </c>
      <c r="B1786" s="5">
        <v>1</v>
      </c>
      <c r="C1786" s="5">
        <v>1</v>
      </c>
      <c r="D1786" s="5" t="s">
        <v>2037</v>
      </c>
      <c r="E1786" s="5" t="s">
        <v>271</v>
      </c>
      <c r="F1786" s="5" t="s">
        <v>248</v>
      </c>
      <c r="G1786" s="5" t="s">
        <v>2187</v>
      </c>
      <c r="H1786" s="6" t="s">
        <v>2189</v>
      </c>
      <c r="I1786" s="7">
        <f>52.01</f>
        <v>52.01</v>
      </c>
      <c r="J1786" s="5" t="s">
        <v>262</v>
      </c>
      <c r="K1786" s="8">
        <f>11246035</f>
        <v>11246035</v>
      </c>
      <c r="L1786" s="6" t="s">
        <v>2188</v>
      </c>
      <c r="M1786" s="5" t="s">
        <v>267</v>
      </c>
      <c r="N1786" s="5" t="s">
        <v>265</v>
      </c>
      <c r="O1786" s="5" t="s">
        <v>238</v>
      </c>
      <c r="P1786" s="5" t="s">
        <v>238</v>
      </c>
      <c r="Q1786" s="5" t="s">
        <v>239</v>
      </c>
      <c r="R1786" s="5" t="s">
        <v>270</v>
      </c>
      <c r="S1786" s="5" t="s">
        <v>238</v>
      </c>
      <c r="V1786" s="5" t="s">
        <v>238</v>
      </c>
      <c r="X1786" s="6" t="s">
        <v>238</v>
      </c>
      <c r="AA1786" s="6" t="s">
        <v>243</v>
      </c>
      <c r="AB1786" s="5" t="s">
        <v>1969</v>
      </c>
      <c r="AC1786" s="5" t="s">
        <v>244</v>
      </c>
      <c r="AD1786" s="5" t="s">
        <v>245</v>
      </c>
      <c r="AT1786" s="5" t="s">
        <v>246</v>
      </c>
      <c r="AU1786" s="5" t="s">
        <v>238</v>
      </c>
      <c r="AV1786" s="5" t="s">
        <v>247</v>
      </c>
      <c r="AW1786" s="5" t="s">
        <v>238</v>
      </c>
      <c r="AX1786" s="5" t="s">
        <v>249</v>
      </c>
      <c r="AY1786" s="5" t="s">
        <v>238</v>
      </c>
      <c r="BA1786" s="5" t="s">
        <v>238</v>
      </c>
      <c r="BC1786" s="5" t="s">
        <v>250</v>
      </c>
      <c r="BD1786" s="6" t="s">
        <v>2188</v>
      </c>
      <c r="BE1786" s="5" t="s">
        <v>251</v>
      </c>
      <c r="BF1786" s="5" t="s">
        <v>2043</v>
      </c>
      <c r="BG1786" s="5" t="s">
        <v>238</v>
      </c>
      <c r="BH1786" s="7">
        <f>0</f>
        <v>0</v>
      </c>
      <c r="BI1786" s="8">
        <f>0</f>
        <v>0</v>
      </c>
      <c r="BJ1786" s="5" t="s">
        <v>253</v>
      </c>
      <c r="BK1786" s="5" t="s">
        <v>254</v>
      </c>
      <c r="BY1786" s="5" t="s">
        <v>238</v>
      </c>
      <c r="BZ1786" s="5" t="s">
        <v>238</v>
      </c>
      <c r="CD1786" s="5" t="s">
        <v>293</v>
      </c>
      <c r="CE1786" s="5" t="s">
        <v>256</v>
      </c>
      <c r="CF1786" s="5" t="s">
        <v>238</v>
      </c>
      <c r="CI1786" s="6" t="s">
        <v>257</v>
      </c>
      <c r="CJ1786" s="5" t="s">
        <v>238</v>
      </c>
      <c r="CK1786" s="5" t="s">
        <v>258</v>
      </c>
      <c r="CL1786" s="5" t="s">
        <v>238</v>
      </c>
      <c r="CM1786" s="5" t="s">
        <v>238</v>
      </c>
      <c r="CN1786" s="5">
        <v>0</v>
      </c>
      <c r="CO1786" s="5" t="s">
        <v>259</v>
      </c>
      <c r="CP1786" s="5" t="s">
        <v>260</v>
      </c>
      <c r="CQ1786" s="5" t="s">
        <v>260</v>
      </c>
      <c r="CR1786" s="5" t="s">
        <v>261</v>
      </c>
      <c r="CU1786" s="8">
        <f>11246035</f>
        <v>11246035</v>
      </c>
      <c r="CV1786" s="8">
        <f>0</f>
        <v>0</v>
      </c>
      <c r="CX1786" s="8">
        <f>0</f>
        <v>0</v>
      </c>
      <c r="CY1786" s="8">
        <f>11246035</f>
        <v>11246035</v>
      </c>
      <c r="DA1786" s="5" t="s">
        <v>356</v>
      </c>
      <c r="DB1786" s="5" t="s">
        <v>238</v>
      </c>
      <c r="DD1786" s="5" t="s">
        <v>356</v>
      </c>
      <c r="DE1786" s="8">
        <f>52.01</f>
        <v>52.01</v>
      </c>
      <c r="DG1786" s="5" t="s">
        <v>238</v>
      </c>
      <c r="DH1786" s="5" t="s">
        <v>238</v>
      </c>
      <c r="DI1786" s="5" t="s">
        <v>238</v>
      </c>
      <c r="DJ1786" s="5" t="s">
        <v>238</v>
      </c>
      <c r="DN1786" s="5" t="s">
        <v>238</v>
      </c>
      <c r="DO1786" s="5" t="s">
        <v>238</v>
      </c>
      <c r="DP1786" s="5" t="s">
        <v>238</v>
      </c>
      <c r="DQ1786" s="5" t="s">
        <v>238</v>
      </c>
      <c r="DT1786" s="5" t="s">
        <v>2039</v>
      </c>
      <c r="DU1786" s="5" t="s">
        <v>2190</v>
      </c>
      <c r="HM1786" s="5" t="s">
        <v>264</v>
      </c>
    </row>
    <row r="1787" spans="1:221" x14ac:dyDescent="0.4">
      <c r="A1787" s="5">
        <v>3484</v>
      </c>
      <c r="B1787" s="5">
        <v>1</v>
      </c>
      <c r="C1787" s="5">
        <v>1</v>
      </c>
      <c r="D1787" s="5" t="s">
        <v>2037</v>
      </c>
      <c r="E1787" s="5" t="s">
        <v>271</v>
      </c>
      <c r="F1787" s="5" t="s">
        <v>248</v>
      </c>
      <c r="G1787" s="5" t="s">
        <v>2074</v>
      </c>
      <c r="H1787" s="6" t="s">
        <v>2076</v>
      </c>
      <c r="I1787" s="7">
        <f>71.65</f>
        <v>71.650000000000006</v>
      </c>
      <c r="J1787" s="5" t="s">
        <v>262</v>
      </c>
      <c r="K1787" s="8">
        <f>343100</f>
        <v>343100</v>
      </c>
      <c r="L1787" s="6" t="s">
        <v>2075</v>
      </c>
      <c r="M1787" s="5" t="s">
        <v>267</v>
      </c>
      <c r="N1787" s="5" t="s">
        <v>265</v>
      </c>
      <c r="O1787" s="5" t="s">
        <v>238</v>
      </c>
      <c r="P1787" s="5" t="s">
        <v>238</v>
      </c>
      <c r="Q1787" s="5" t="s">
        <v>239</v>
      </c>
      <c r="R1787" s="5" t="s">
        <v>270</v>
      </c>
      <c r="S1787" s="5" t="s">
        <v>238</v>
      </c>
      <c r="V1787" s="5" t="s">
        <v>238</v>
      </c>
      <c r="X1787" s="6" t="s">
        <v>238</v>
      </c>
      <c r="AA1787" s="6" t="s">
        <v>243</v>
      </c>
      <c r="AB1787" s="5" t="s">
        <v>1969</v>
      </c>
      <c r="AC1787" s="5" t="s">
        <v>244</v>
      </c>
      <c r="AD1787" s="5" t="s">
        <v>245</v>
      </c>
      <c r="AT1787" s="5" t="s">
        <v>246</v>
      </c>
      <c r="AU1787" s="5" t="s">
        <v>238</v>
      </c>
      <c r="AV1787" s="5" t="s">
        <v>247</v>
      </c>
      <c r="AW1787" s="5" t="s">
        <v>238</v>
      </c>
      <c r="AX1787" s="5" t="s">
        <v>249</v>
      </c>
      <c r="AY1787" s="5" t="s">
        <v>238</v>
      </c>
      <c r="BA1787" s="5" t="s">
        <v>238</v>
      </c>
      <c r="BC1787" s="5" t="s">
        <v>250</v>
      </c>
      <c r="BD1787" s="6" t="s">
        <v>2075</v>
      </c>
      <c r="BE1787" s="5" t="s">
        <v>251</v>
      </c>
      <c r="BF1787" s="5" t="s">
        <v>2043</v>
      </c>
      <c r="BG1787" s="5" t="s">
        <v>238</v>
      </c>
      <c r="BH1787" s="7">
        <f>0</f>
        <v>0</v>
      </c>
      <c r="BI1787" s="8">
        <f>0</f>
        <v>0</v>
      </c>
      <c r="BJ1787" s="5" t="s">
        <v>253</v>
      </c>
      <c r="BK1787" s="5" t="s">
        <v>254</v>
      </c>
      <c r="BY1787" s="5" t="s">
        <v>238</v>
      </c>
      <c r="BZ1787" s="5" t="s">
        <v>238</v>
      </c>
      <c r="CD1787" s="5" t="s">
        <v>293</v>
      </c>
      <c r="CE1787" s="5" t="s">
        <v>256</v>
      </c>
      <c r="CF1787" s="5" t="s">
        <v>238</v>
      </c>
      <c r="CI1787" s="6" t="s">
        <v>257</v>
      </c>
      <c r="CJ1787" s="5" t="s">
        <v>238</v>
      </c>
      <c r="CK1787" s="5" t="s">
        <v>258</v>
      </c>
      <c r="CL1787" s="5" t="s">
        <v>238</v>
      </c>
      <c r="CM1787" s="5" t="s">
        <v>238</v>
      </c>
      <c r="CN1787" s="5">
        <v>0</v>
      </c>
      <c r="CO1787" s="5" t="s">
        <v>259</v>
      </c>
      <c r="CP1787" s="5" t="s">
        <v>260</v>
      </c>
      <c r="CQ1787" s="5" t="s">
        <v>260</v>
      </c>
      <c r="CR1787" s="5" t="s">
        <v>261</v>
      </c>
      <c r="CU1787" s="8">
        <f>343100</f>
        <v>343100</v>
      </c>
      <c r="CV1787" s="8">
        <f>0</f>
        <v>0</v>
      </c>
      <c r="CX1787" s="8">
        <f>0</f>
        <v>0</v>
      </c>
      <c r="CY1787" s="8">
        <f>343100</f>
        <v>343100</v>
      </c>
      <c r="DA1787" s="5" t="s">
        <v>356</v>
      </c>
      <c r="DB1787" s="5" t="s">
        <v>238</v>
      </c>
      <c r="DD1787" s="5" t="s">
        <v>356</v>
      </c>
      <c r="DE1787" s="8">
        <f>71.65</f>
        <v>71.650000000000006</v>
      </c>
      <c r="DG1787" s="5" t="s">
        <v>238</v>
      </c>
      <c r="DH1787" s="5" t="s">
        <v>238</v>
      </c>
      <c r="DI1787" s="5" t="s">
        <v>238</v>
      </c>
      <c r="DJ1787" s="5" t="s">
        <v>238</v>
      </c>
      <c r="DN1787" s="5" t="s">
        <v>238</v>
      </c>
      <c r="DO1787" s="5" t="s">
        <v>238</v>
      </c>
      <c r="DP1787" s="5" t="s">
        <v>238</v>
      </c>
      <c r="DQ1787" s="5" t="s">
        <v>238</v>
      </c>
      <c r="DT1787" s="5" t="s">
        <v>2039</v>
      </c>
      <c r="DU1787" s="5" t="s">
        <v>2077</v>
      </c>
      <c r="HM1787" s="5" t="s">
        <v>264</v>
      </c>
    </row>
    <row r="1788" spans="1:221" x14ac:dyDescent="0.4">
      <c r="A1788" s="5">
        <v>3486</v>
      </c>
      <c r="B1788" s="5">
        <v>1</v>
      </c>
      <c r="C1788" s="5">
        <v>1</v>
      </c>
      <c r="D1788" s="5" t="s">
        <v>2037</v>
      </c>
      <c r="E1788" s="5" t="s">
        <v>271</v>
      </c>
      <c r="F1788" s="5" t="s">
        <v>248</v>
      </c>
      <c r="G1788" s="5" t="s">
        <v>2069</v>
      </c>
      <c r="H1788" s="6" t="s">
        <v>2071</v>
      </c>
      <c r="I1788" s="7">
        <f>1477.89</f>
        <v>1477.89</v>
      </c>
      <c r="J1788" s="5" t="s">
        <v>262</v>
      </c>
      <c r="K1788" s="8">
        <f>12842982</f>
        <v>12842982</v>
      </c>
      <c r="L1788" s="6" t="s">
        <v>2070</v>
      </c>
      <c r="M1788" s="5" t="s">
        <v>267</v>
      </c>
      <c r="N1788" s="5" t="s">
        <v>265</v>
      </c>
      <c r="O1788" s="5" t="s">
        <v>238</v>
      </c>
      <c r="P1788" s="5" t="s">
        <v>238</v>
      </c>
      <c r="Q1788" s="5" t="s">
        <v>239</v>
      </c>
      <c r="R1788" s="5" t="s">
        <v>270</v>
      </c>
      <c r="S1788" s="5" t="s">
        <v>238</v>
      </c>
      <c r="V1788" s="5" t="s">
        <v>238</v>
      </c>
      <c r="X1788" s="6" t="s">
        <v>238</v>
      </c>
      <c r="AA1788" s="6" t="s">
        <v>243</v>
      </c>
      <c r="AB1788" s="5" t="s">
        <v>1969</v>
      </c>
      <c r="AC1788" s="5" t="s">
        <v>244</v>
      </c>
      <c r="AD1788" s="5" t="s">
        <v>245</v>
      </c>
      <c r="AT1788" s="5" t="s">
        <v>246</v>
      </c>
      <c r="AU1788" s="5" t="s">
        <v>238</v>
      </c>
      <c r="AV1788" s="5" t="s">
        <v>247</v>
      </c>
      <c r="AW1788" s="5" t="s">
        <v>238</v>
      </c>
      <c r="AX1788" s="5" t="s">
        <v>249</v>
      </c>
      <c r="AY1788" s="5" t="s">
        <v>238</v>
      </c>
      <c r="BA1788" s="5" t="s">
        <v>238</v>
      </c>
      <c r="BC1788" s="5" t="s">
        <v>250</v>
      </c>
      <c r="BD1788" s="6" t="s">
        <v>2070</v>
      </c>
      <c r="BE1788" s="5" t="s">
        <v>251</v>
      </c>
      <c r="BF1788" s="5" t="s">
        <v>2043</v>
      </c>
      <c r="BG1788" s="5" t="s">
        <v>238</v>
      </c>
      <c r="BH1788" s="7">
        <f>0</f>
        <v>0</v>
      </c>
      <c r="BI1788" s="8">
        <f>0</f>
        <v>0</v>
      </c>
      <c r="BJ1788" s="5" t="s">
        <v>253</v>
      </c>
      <c r="BK1788" s="5" t="s">
        <v>254</v>
      </c>
      <c r="BY1788" s="5" t="s">
        <v>238</v>
      </c>
      <c r="BZ1788" s="5" t="s">
        <v>238</v>
      </c>
      <c r="CD1788" s="5" t="s">
        <v>293</v>
      </c>
      <c r="CE1788" s="5" t="s">
        <v>256</v>
      </c>
      <c r="CF1788" s="5" t="s">
        <v>238</v>
      </c>
      <c r="CI1788" s="6" t="s">
        <v>257</v>
      </c>
      <c r="CJ1788" s="5" t="s">
        <v>238</v>
      </c>
      <c r="CK1788" s="5" t="s">
        <v>258</v>
      </c>
      <c r="CL1788" s="5" t="s">
        <v>238</v>
      </c>
      <c r="CM1788" s="5" t="s">
        <v>238</v>
      </c>
      <c r="CN1788" s="5">
        <v>0</v>
      </c>
      <c r="CO1788" s="5" t="s">
        <v>259</v>
      </c>
      <c r="CP1788" s="5" t="s">
        <v>260</v>
      </c>
      <c r="CQ1788" s="5" t="s">
        <v>260</v>
      </c>
      <c r="CR1788" s="5" t="s">
        <v>261</v>
      </c>
      <c r="CU1788" s="8">
        <f>12842982</f>
        <v>12842982</v>
      </c>
      <c r="CV1788" s="8">
        <f>0</f>
        <v>0</v>
      </c>
      <c r="CX1788" s="8">
        <f>0</f>
        <v>0</v>
      </c>
      <c r="CY1788" s="8">
        <f>12842982</f>
        <v>12842982</v>
      </c>
      <c r="DA1788" s="5" t="s">
        <v>356</v>
      </c>
      <c r="DB1788" s="5" t="s">
        <v>238</v>
      </c>
      <c r="DD1788" s="5" t="s">
        <v>356</v>
      </c>
      <c r="DE1788" s="8">
        <f>1477.89</f>
        <v>1477.89</v>
      </c>
      <c r="DG1788" s="5" t="s">
        <v>238</v>
      </c>
      <c r="DH1788" s="5" t="s">
        <v>238</v>
      </c>
      <c r="DI1788" s="5" t="s">
        <v>238</v>
      </c>
      <c r="DJ1788" s="5" t="s">
        <v>238</v>
      </c>
      <c r="DN1788" s="5" t="s">
        <v>238</v>
      </c>
      <c r="DO1788" s="5" t="s">
        <v>238</v>
      </c>
      <c r="DP1788" s="5" t="s">
        <v>238</v>
      </c>
      <c r="DQ1788" s="5" t="s">
        <v>238</v>
      </c>
      <c r="DT1788" s="5" t="s">
        <v>2039</v>
      </c>
      <c r="DU1788" s="5" t="s">
        <v>2072</v>
      </c>
      <c r="HM1788" s="5" t="s">
        <v>264</v>
      </c>
    </row>
    <row r="1789" spans="1:221" x14ac:dyDescent="0.4">
      <c r="A1789" s="5">
        <v>3487</v>
      </c>
      <c r="B1789" s="5">
        <v>1</v>
      </c>
      <c r="C1789" s="5">
        <v>1</v>
      </c>
      <c r="D1789" s="5" t="s">
        <v>2037</v>
      </c>
      <c r="E1789" s="5" t="s">
        <v>271</v>
      </c>
      <c r="F1789" s="5" t="s">
        <v>248</v>
      </c>
      <c r="G1789" s="5" t="s">
        <v>2226</v>
      </c>
      <c r="H1789" s="6" t="s">
        <v>2082</v>
      </c>
      <c r="I1789" s="7">
        <f>2314.82</f>
        <v>2314.8200000000002</v>
      </c>
      <c r="J1789" s="5" t="s">
        <v>262</v>
      </c>
      <c r="K1789" s="8">
        <f>14107612</f>
        <v>14107612</v>
      </c>
      <c r="L1789" s="6" t="s">
        <v>2227</v>
      </c>
      <c r="M1789" s="5" t="s">
        <v>267</v>
      </c>
      <c r="N1789" s="5" t="s">
        <v>265</v>
      </c>
      <c r="O1789" s="5" t="s">
        <v>238</v>
      </c>
      <c r="P1789" s="5" t="s">
        <v>238</v>
      </c>
      <c r="Q1789" s="5" t="s">
        <v>239</v>
      </c>
      <c r="R1789" s="5" t="s">
        <v>270</v>
      </c>
      <c r="S1789" s="5" t="s">
        <v>238</v>
      </c>
      <c r="V1789" s="5" t="s">
        <v>238</v>
      </c>
      <c r="X1789" s="6" t="s">
        <v>238</v>
      </c>
      <c r="AA1789" s="6" t="s">
        <v>243</v>
      </c>
      <c r="AB1789" s="5" t="s">
        <v>1969</v>
      </c>
      <c r="AC1789" s="5" t="s">
        <v>244</v>
      </c>
      <c r="AD1789" s="5" t="s">
        <v>245</v>
      </c>
      <c r="AT1789" s="5" t="s">
        <v>246</v>
      </c>
      <c r="AU1789" s="5" t="s">
        <v>238</v>
      </c>
      <c r="AV1789" s="5" t="s">
        <v>247</v>
      </c>
      <c r="AW1789" s="5" t="s">
        <v>238</v>
      </c>
      <c r="AX1789" s="5" t="s">
        <v>249</v>
      </c>
      <c r="AY1789" s="5" t="s">
        <v>238</v>
      </c>
      <c r="BA1789" s="5" t="s">
        <v>238</v>
      </c>
      <c r="BC1789" s="5" t="s">
        <v>250</v>
      </c>
      <c r="BD1789" s="6" t="s">
        <v>2227</v>
      </c>
      <c r="BE1789" s="5" t="s">
        <v>251</v>
      </c>
      <c r="BF1789" s="5" t="s">
        <v>2043</v>
      </c>
      <c r="BG1789" s="5" t="s">
        <v>238</v>
      </c>
      <c r="BH1789" s="7">
        <f>0</f>
        <v>0</v>
      </c>
      <c r="BI1789" s="8">
        <f>0</f>
        <v>0</v>
      </c>
      <c r="BJ1789" s="5" t="s">
        <v>253</v>
      </c>
      <c r="BK1789" s="5" t="s">
        <v>254</v>
      </c>
      <c r="BY1789" s="5" t="s">
        <v>238</v>
      </c>
      <c r="BZ1789" s="5" t="s">
        <v>238</v>
      </c>
      <c r="CD1789" s="5" t="s">
        <v>293</v>
      </c>
      <c r="CE1789" s="5" t="s">
        <v>256</v>
      </c>
      <c r="CF1789" s="5" t="s">
        <v>238</v>
      </c>
      <c r="CI1789" s="6" t="s">
        <v>257</v>
      </c>
      <c r="CJ1789" s="5" t="s">
        <v>238</v>
      </c>
      <c r="CK1789" s="5" t="s">
        <v>258</v>
      </c>
      <c r="CL1789" s="5" t="s">
        <v>238</v>
      </c>
      <c r="CM1789" s="5" t="s">
        <v>238</v>
      </c>
      <c r="CN1789" s="5">
        <v>0</v>
      </c>
      <c r="CO1789" s="5" t="s">
        <v>259</v>
      </c>
      <c r="CP1789" s="5" t="s">
        <v>260</v>
      </c>
      <c r="CQ1789" s="5" t="s">
        <v>260</v>
      </c>
      <c r="CR1789" s="5" t="s">
        <v>261</v>
      </c>
      <c r="CU1789" s="8">
        <f>14107612</f>
        <v>14107612</v>
      </c>
      <c r="CV1789" s="8">
        <f>0</f>
        <v>0</v>
      </c>
      <c r="CX1789" s="8">
        <f>0</f>
        <v>0</v>
      </c>
      <c r="CY1789" s="8">
        <f>14107612</f>
        <v>14107612</v>
      </c>
      <c r="DA1789" s="5" t="s">
        <v>356</v>
      </c>
      <c r="DB1789" s="5" t="s">
        <v>238</v>
      </c>
      <c r="DD1789" s="5" t="s">
        <v>356</v>
      </c>
      <c r="DE1789" s="8">
        <f>2314.82</f>
        <v>2314.8200000000002</v>
      </c>
      <c r="DG1789" s="5" t="s">
        <v>238</v>
      </c>
      <c r="DH1789" s="5" t="s">
        <v>238</v>
      </c>
      <c r="DI1789" s="5" t="s">
        <v>238</v>
      </c>
      <c r="DJ1789" s="5" t="s">
        <v>238</v>
      </c>
      <c r="DN1789" s="5" t="s">
        <v>238</v>
      </c>
      <c r="DO1789" s="5" t="s">
        <v>238</v>
      </c>
      <c r="DP1789" s="5" t="s">
        <v>238</v>
      </c>
      <c r="DQ1789" s="5" t="s">
        <v>238</v>
      </c>
      <c r="DT1789" s="5" t="s">
        <v>2039</v>
      </c>
      <c r="DU1789" s="5" t="s">
        <v>2228</v>
      </c>
      <c r="HM1789" s="5" t="s">
        <v>264</v>
      </c>
    </row>
    <row r="1790" spans="1:221" x14ac:dyDescent="0.4">
      <c r="A1790" s="5">
        <v>3488</v>
      </c>
      <c r="B1790" s="5">
        <v>1</v>
      </c>
      <c r="C1790" s="5">
        <v>1</v>
      </c>
      <c r="D1790" s="5" t="s">
        <v>2037</v>
      </c>
      <c r="E1790" s="5" t="s">
        <v>271</v>
      </c>
      <c r="F1790" s="5" t="s">
        <v>248</v>
      </c>
      <c r="G1790" s="5" t="s">
        <v>2102</v>
      </c>
      <c r="H1790" s="6" t="s">
        <v>2104</v>
      </c>
      <c r="I1790" s="7">
        <f>12.97</f>
        <v>12.97</v>
      </c>
      <c r="J1790" s="5" t="s">
        <v>262</v>
      </c>
      <c r="K1790" s="8">
        <f>74457</f>
        <v>74457</v>
      </c>
      <c r="L1790" s="6" t="s">
        <v>2103</v>
      </c>
      <c r="M1790" s="5" t="s">
        <v>267</v>
      </c>
      <c r="N1790" s="5" t="s">
        <v>265</v>
      </c>
      <c r="O1790" s="5" t="s">
        <v>238</v>
      </c>
      <c r="P1790" s="5" t="s">
        <v>238</v>
      </c>
      <c r="Q1790" s="5" t="s">
        <v>239</v>
      </c>
      <c r="R1790" s="5" t="s">
        <v>270</v>
      </c>
      <c r="S1790" s="5" t="s">
        <v>238</v>
      </c>
      <c r="V1790" s="5" t="s">
        <v>238</v>
      </c>
      <c r="X1790" s="6" t="s">
        <v>238</v>
      </c>
      <c r="AA1790" s="6" t="s">
        <v>243</v>
      </c>
      <c r="AB1790" s="5" t="s">
        <v>1969</v>
      </c>
      <c r="AC1790" s="5" t="s">
        <v>244</v>
      </c>
      <c r="AD1790" s="5" t="s">
        <v>245</v>
      </c>
      <c r="AT1790" s="5" t="s">
        <v>246</v>
      </c>
      <c r="AU1790" s="5" t="s">
        <v>238</v>
      </c>
      <c r="AV1790" s="5" t="s">
        <v>247</v>
      </c>
      <c r="AW1790" s="5" t="s">
        <v>238</v>
      </c>
      <c r="AX1790" s="5" t="s">
        <v>249</v>
      </c>
      <c r="AY1790" s="5" t="s">
        <v>238</v>
      </c>
      <c r="BA1790" s="5" t="s">
        <v>238</v>
      </c>
      <c r="BC1790" s="5" t="s">
        <v>250</v>
      </c>
      <c r="BD1790" s="6" t="s">
        <v>2103</v>
      </c>
      <c r="BE1790" s="5" t="s">
        <v>251</v>
      </c>
      <c r="BF1790" s="5" t="s">
        <v>2043</v>
      </c>
      <c r="BG1790" s="5" t="s">
        <v>238</v>
      </c>
      <c r="BH1790" s="7">
        <f>0</f>
        <v>0</v>
      </c>
      <c r="BI1790" s="8">
        <f>0</f>
        <v>0</v>
      </c>
      <c r="BJ1790" s="5" t="s">
        <v>253</v>
      </c>
      <c r="BK1790" s="5" t="s">
        <v>254</v>
      </c>
      <c r="BY1790" s="5" t="s">
        <v>238</v>
      </c>
      <c r="BZ1790" s="5" t="s">
        <v>238</v>
      </c>
      <c r="CD1790" s="5" t="s">
        <v>293</v>
      </c>
      <c r="CE1790" s="5" t="s">
        <v>256</v>
      </c>
      <c r="CF1790" s="5" t="s">
        <v>238</v>
      </c>
      <c r="CI1790" s="6" t="s">
        <v>257</v>
      </c>
      <c r="CJ1790" s="5" t="s">
        <v>238</v>
      </c>
      <c r="CK1790" s="5" t="s">
        <v>258</v>
      </c>
      <c r="CL1790" s="5" t="s">
        <v>238</v>
      </c>
      <c r="CM1790" s="5" t="s">
        <v>238</v>
      </c>
      <c r="CN1790" s="5">
        <v>0</v>
      </c>
      <c r="CO1790" s="5" t="s">
        <v>259</v>
      </c>
      <c r="CP1790" s="5" t="s">
        <v>260</v>
      </c>
      <c r="CQ1790" s="5" t="s">
        <v>260</v>
      </c>
      <c r="CR1790" s="5" t="s">
        <v>261</v>
      </c>
      <c r="CU1790" s="8">
        <f>74457</f>
        <v>74457</v>
      </c>
      <c r="CV1790" s="8">
        <f>0</f>
        <v>0</v>
      </c>
      <c r="CX1790" s="8">
        <f>0</f>
        <v>0</v>
      </c>
      <c r="CY1790" s="8">
        <f>74457</f>
        <v>74457</v>
      </c>
      <c r="DA1790" s="5" t="s">
        <v>356</v>
      </c>
      <c r="DB1790" s="5" t="s">
        <v>238</v>
      </c>
      <c r="DD1790" s="5" t="s">
        <v>356</v>
      </c>
      <c r="DE1790" s="8">
        <f>12.97</f>
        <v>12.97</v>
      </c>
      <c r="DG1790" s="5" t="s">
        <v>238</v>
      </c>
      <c r="DH1790" s="5" t="s">
        <v>238</v>
      </c>
      <c r="DI1790" s="5" t="s">
        <v>238</v>
      </c>
      <c r="DJ1790" s="5" t="s">
        <v>238</v>
      </c>
      <c r="DN1790" s="5" t="s">
        <v>238</v>
      </c>
      <c r="DO1790" s="5" t="s">
        <v>238</v>
      </c>
      <c r="DP1790" s="5" t="s">
        <v>238</v>
      </c>
      <c r="DQ1790" s="5" t="s">
        <v>238</v>
      </c>
      <c r="DT1790" s="5" t="s">
        <v>2039</v>
      </c>
      <c r="DU1790" s="5" t="s">
        <v>2105</v>
      </c>
      <c r="HM1790" s="5" t="s">
        <v>264</v>
      </c>
    </row>
    <row r="1791" spans="1:221" x14ac:dyDescent="0.4">
      <c r="A1791" s="5">
        <v>3489</v>
      </c>
      <c r="B1791" s="5">
        <v>1</v>
      </c>
      <c r="C1791" s="5">
        <v>1</v>
      </c>
      <c r="D1791" s="5" t="s">
        <v>2037</v>
      </c>
      <c r="E1791" s="5" t="s">
        <v>271</v>
      </c>
      <c r="F1791" s="5" t="s">
        <v>248</v>
      </c>
      <c r="G1791" s="5" t="s">
        <v>2052</v>
      </c>
      <c r="H1791" s="6" t="s">
        <v>2054</v>
      </c>
      <c r="I1791" s="7">
        <f>396.43</f>
        <v>396.43</v>
      </c>
      <c r="J1791" s="5" t="s">
        <v>262</v>
      </c>
      <c r="K1791" s="8">
        <f>2509726</f>
        <v>2509726</v>
      </c>
      <c r="L1791" s="6" t="s">
        <v>2053</v>
      </c>
      <c r="M1791" s="5" t="s">
        <v>267</v>
      </c>
      <c r="N1791" s="5" t="s">
        <v>265</v>
      </c>
      <c r="O1791" s="5" t="s">
        <v>238</v>
      </c>
      <c r="P1791" s="5" t="s">
        <v>238</v>
      </c>
      <c r="Q1791" s="5" t="s">
        <v>239</v>
      </c>
      <c r="R1791" s="5" t="s">
        <v>270</v>
      </c>
      <c r="S1791" s="5" t="s">
        <v>238</v>
      </c>
      <c r="V1791" s="5" t="s">
        <v>238</v>
      </c>
      <c r="X1791" s="6" t="s">
        <v>238</v>
      </c>
      <c r="AA1791" s="6" t="s">
        <v>243</v>
      </c>
      <c r="AB1791" s="5" t="s">
        <v>1969</v>
      </c>
      <c r="AC1791" s="5" t="s">
        <v>244</v>
      </c>
      <c r="AD1791" s="5" t="s">
        <v>245</v>
      </c>
      <c r="AT1791" s="5" t="s">
        <v>246</v>
      </c>
      <c r="AU1791" s="5" t="s">
        <v>238</v>
      </c>
      <c r="AV1791" s="5" t="s">
        <v>247</v>
      </c>
      <c r="AW1791" s="5" t="s">
        <v>238</v>
      </c>
      <c r="AX1791" s="5" t="s">
        <v>249</v>
      </c>
      <c r="AY1791" s="5" t="s">
        <v>238</v>
      </c>
      <c r="BA1791" s="5" t="s">
        <v>238</v>
      </c>
      <c r="BC1791" s="5" t="s">
        <v>250</v>
      </c>
      <c r="BD1791" s="6" t="s">
        <v>2053</v>
      </c>
      <c r="BE1791" s="5" t="s">
        <v>251</v>
      </c>
      <c r="BF1791" s="5" t="s">
        <v>2043</v>
      </c>
      <c r="BG1791" s="5" t="s">
        <v>238</v>
      </c>
      <c r="BH1791" s="7">
        <f>0</f>
        <v>0</v>
      </c>
      <c r="BI1791" s="8">
        <f>0</f>
        <v>0</v>
      </c>
      <c r="BJ1791" s="5" t="s">
        <v>253</v>
      </c>
      <c r="BK1791" s="5" t="s">
        <v>254</v>
      </c>
      <c r="BY1791" s="5" t="s">
        <v>238</v>
      </c>
      <c r="BZ1791" s="5" t="s">
        <v>238</v>
      </c>
      <c r="CD1791" s="5" t="s">
        <v>293</v>
      </c>
      <c r="CE1791" s="5" t="s">
        <v>256</v>
      </c>
      <c r="CF1791" s="5" t="s">
        <v>238</v>
      </c>
      <c r="CI1791" s="6" t="s">
        <v>257</v>
      </c>
      <c r="CJ1791" s="5" t="s">
        <v>238</v>
      </c>
      <c r="CK1791" s="5" t="s">
        <v>258</v>
      </c>
      <c r="CL1791" s="5" t="s">
        <v>238</v>
      </c>
      <c r="CM1791" s="5" t="s">
        <v>238</v>
      </c>
      <c r="CN1791" s="5">
        <v>0</v>
      </c>
      <c r="CO1791" s="5" t="s">
        <v>259</v>
      </c>
      <c r="CP1791" s="5" t="s">
        <v>260</v>
      </c>
      <c r="CQ1791" s="5" t="s">
        <v>260</v>
      </c>
      <c r="CR1791" s="5" t="s">
        <v>261</v>
      </c>
      <c r="CU1791" s="8">
        <f>2509726</f>
        <v>2509726</v>
      </c>
      <c r="CV1791" s="8">
        <f>0</f>
        <v>0</v>
      </c>
      <c r="CX1791" s="8">
        <f>0</f>
        <v>0</v>
      </c>
      <c r="CY1791" s="8">
        <f>2509726</f>
        <v>2509726</v>
      </c>
      <c r="DA1791" s="5" t="s">
        <v>356</v>
      </c>
      <c r="DB1791" s="5" t="s">
        <v>238</v>
      </c>
      <c r="DD1791" s="5" t="s">
        <v>356</v>
      </c>
      <c r="DE1791" s="8">
        <f>396.43</f>
        <v>396.43</v>
      </c>
      <c r="DG1791" s="5" t="s">
        <v>238</v>
      </c>
      <c r="DH1791" s="5" t="s">
        <v>238</v>
      </c>
      <c r="DI1791" s="5" t="s">
        <v>238</v>
      </c>
      <c r="DJ1791" s="5" t="s">
        <v>238</v>
      </c>
      <c r="DN1791" s="5" t="s">
        <v>238</v>
      </c>
      <c r="DO1791" s="5" t="s">
        <v>238</v>
      </c>
      <c r="DP1791" s="5" t="s">
        <v>238</v>
      </c>
      <c r="DQ1791" s="5" t="s">
        <v>238</v>
      </c>
      <c r="DT1791" s="5" t="s">
        <v>2039</v>
      </c>
      <c r="DU1791" s="5" t="s">
        <v>2055</v>
      </c>
      <c r="HM1791" s="5" t="s">
        <v>264</v>
      </c>
    </row>
    <row r="1792" spans="1:221" x14ac:dyDescent="0.4">
      <c r="A1792" s="5">
        <v>3490</v>
      </c>
      <c r="B1792" s="5">
        <v>1</v>
      </c>
      <c r="C1792" s="5">
        <v>1</v>
      </c>
      <c r="D1792" s="5" t="s">
        <v>2037</v>
      </c>
      <c r="E1792" s="5" t="s">
        <v>271</v>
      </c>
      <c r="F1792" s="5" t="s">
        <v>248</v>
      </c>
      <c r="G1792" s="5" t="s">
        <v>2116</v>
      </c>
      <c r="H1792" s="6" t="s">
        <v>2118</v>
      </c>
      <c r="I1792" s="7">
        <f>451.93</f>
        <v>451.93</v>
      </c>
      <c r="J1792" s="5" t="s">
        <v>262</v>
      </c>
      <c r="K1792" s="8">
        <f>5165340</f>
        <v>5165340</v>
      </c>
      <c r="L1792" s="6" t="s">
        <v>2117</v>
      </c>
      <c r="M1792" s="5" t="s">
        <v>267</v>
      </c>
      <c r="N1792" s="5" t="s">
        <v>265</v>
      </c>
      <c r="O1792" s="5" t="s">
        <v>238</v>
      </c>
      <c r="P1792" s="5" t="s">
        <v>238</v>
      </c>
      <c r="Q1792" s="5" t="s">
        <v>239</v>
      </c>
      <c r="R1792" s="5" t="s">
        <v>270</v>
      </c>
      <c r="S1792" s="5" t="s">
        <v>238</v>
      </c>
      <c r="V1792" s="5" t="s">
        <v>238</v>
      </c>
      <c r="X1792" s="6" t="s">
        <v>238</v>
      </c>
      <c r="AA1792" s="6" t="s">
        <v>243</v>
      </c>
      <c r="AB1792" s="5" t="s">
        <v>1969</v>
      </c>
      <c r="AC1792" s="5" t="s">
        <v>244</v>
      </c>
      <c r="AD1792" s="5" t="s">
        <v>245</v>
      </c>
      <c r="AT1792" s="5" t="s">
        <v>246</v>
      </c>
      <c r="AU1792" s="5" t="s">
        <v>238</v>
      </c>
      <c r="AV1792" s="5" t="s">
        <v>247</v>
      </c>
      <c r="AW1792" s="5" t="s">
        <v>238</v>
      </c>
      <c r="AX1792" s="5" t="s">
        <v>249</v>
      </c>
      <c r="AY1792" s="5" t="s">
        <v>238</v>
      </c>
      <c r="BA1792" s="5" t="s">
        <v>238</v>
      </c>
      <c r="BC1792" s="5" t="s">
        <v>250</v>
      </c>
      <c r="BD1792" s="6" t="s">
        <v>2117</v>
      </c>
      <c r="BE1792" s="5" t="s">
        <v>251</v>
      </c>
      <c r="BF1792" s="5" t="s">
        <v>2043</v>
      </c>
      <c r="BG1792" s="5" t="s">
        <v>238</v>
      </c>
      <c r="BH1792" s="7">
        <f>0</f>
        <v>0</v>
      </c>
      <c r="BI1792" s="8">
        <f>0</f>
        <v>0</v>
      </c>
      <c r="BJ1792" s="5" t="s">
        <v>253</v>
      </c>
      <c r="BK1792" s="5" t="s">
        <v>254</v>
      </c>
      <c r="BY1792" s="5" t="s">
        <v>238</v>
      </c>
      <c r="BZ1792" s="5" t="s">
        <v>238</v>
      </c>
      <c r="CD1792" s="5" t="s">
        <v>293</v>
      </c>
      <c r="CE1792" s="5" t="s">
        <v>256</v>
      </c>
      <c r="CF1792" s="5" t="s">
        <v>238</v>
      </c>
      <c r="CI1792" s="6" t="s">
        <v>257</v>
      </c>
      <c r="CJ1792" s="5" t="s">
        <v>238</v>
      </c>
      <c r="CK1792" s="5" t="s">
        <v>258</v>
      </c>
      <c r="CL1792" s="5" t="s">
        <v>238</v>
      </c>
      <c r="CM1792" s="5" t="s">
        <v>238</v>
      </c>
      <c r="CN1792" s="5">
        <v>0</v>
      </c>
      <c r="CO1792" s="5" t="s">
        <v>259</v>
      </c>
      <c r="CP1792" s="5" t="s">
        <v>260</v>
      </c>
      <c r="CQ1792" s="5" t="s">
        <v>260</v>
      </c>
      <c r="CR1792" s="5" t="s">
        <v>261</v>
      </c>
      <c r="CU1792" s="8">
        <f>5165340</f>
        <v>5165340</v>
      </c>
      <c r="CV1792" s="8">
        <f>0</f>
        <v>0</v>
      </c>
      <c r="CX1792" s="8">
        <f>0</f>
        <v>0</v>
      </c>
      <c r="CY1792" s="8">
        <f>5165340</f>
        <v>5165340</v>
      </c>
      <c r="DA1792" s="5" t="s">
        <v>356</v>
      </c>
      <c r="DB1792" s="5" t="s">
        <v>238</v>
      </c>
      <c r="DD1792" s="5" t="s">
        <v>356</v>
      </c>
      <c r="DE1792" s="8">
        <f>451.93</f>
        <v>451.93</v>
      </c>
      <c r="DG1792" s="5" t="s">
        <v>238</v>
      </c>
      <c r="DH1792" s="5" t="s">
        <v>238</v>
      </c>
      <c r="DI1792" s="5" t="s">
        <v>238</v>
      </c>
      <c r="DJ1792" s="5" t="s">
        <v>238</v>
      </c>
      <c r="DN1792" s="5" t="s">
        <v>238</v>
      </c>
      <c r="DO1792" s="5" t="s">
        <v>238</v>
      </c>
      <c r="DP1792" s="5" t="s">
        <v>238</v>
      </c>
      <c r="DQ1792" s="5" t="s">
        <v>238</v>
      </c>
      <c r="DT1792" s="5" t="s">
        <v>2039</v>
      </c>
      <c r="DU1792" s="5" t="s">
        <v>2119</v>
      </c>
      <c r="HM1792" s="5" t="s">
        <v>264</v>
      </c>
    </row>
    <row r="1793" spans="1:221" x14ac:dyDescent="0.4">
      <c r="A1793" s="5">
        <v>3491</v>
      </c>
      <c r="B1793" s="5">
        <v>1</v>
      </c>
      <c r="C1793" s="5">
        <v>1</v>
      </c>
      <c r="D1793" s="5" t="s">
        <v>2037</v>
      </c>
      <c r="E1793" s="5" t="s">
        <v>271</v>
      </c>
      <c r="F1793" s="5" t="s">
        <v>248</v>
      </c>
      <c r="G1793" s="5" t="s">
        <v>2085</v>
      </c>
      <c r="H1793" s="6" t="s">
        <v>2087</v>
      </c>
      <c r="I1793" s="7">
        <f>9277.24</f>
        <v>9277.24</v>
      </c>
      <c r="J1793" s="5" t="s">
        <v>262</v>
      </c>
      <c r="K1793" s="8">
        <f>40927658</f>
        <v>40927658</v>
      </c>
      <c r="L1793" s="6" t="s">
        <v>2086</v>
      </c>
      <c r="M1793" s="5" t="s">
        <v>267</v>
      </c>
      <c r="N1793" s="5" t="s">
        <v>265</v>
      </c>
      <c r="O1793" s="5" t="s">
        <v>238</v>
      </c>
      <c r="P1793" s="5" t="s">
        <v>238</v>
      </c>
      <c r="Q1793" s="5" t="s">
        <v>239</v>
      </c>
      <c r="R1793" s="5" t="s">
        <v>270</v>
      </c>
      <c r="S1793" s="5" t="s">
        <v>238</v>
      </c>
      <c r="V1793" s="5" t="s">
        <v>238</v>
      </c>
      <c r="X1793" s="6" t="s">
        <v>238</v>
      </c>
      <c r="AA1793" s="6" t="s">
        <v>243</v>
      </c>
      <c r="AB1793" s="5" t="s">
        <v>1969</v>
      </c>
      <c r="AC1793" s="5" t="s">
        <v>244</v>
      </c>
      <c r="AD1793" s="5" t="s">
        <v>245</v>
      </c>
      <c r="AT1793" s="5" t="s">
        <v>246</v>
      </c>
      <c r="AU1793" s="5" t="s">
        <v>238</v>
      </c>
      <c r="AV1793" s="5" t="s">
        <v>247</v>
      </c>
      <c r="AW1793" s="5" t="s">
        <v>238</v>
      </c>
      <c r="AX1793" s="5" t="s">
        <v>249</v>
      </c>
      <c r="AY1793" s="5" t="s">
        <v>238</v>
      </c>
      <c r="BA1793" s="5" t="s">
        <v>238</v>
      </c>
      <c r="BC1793" s="5" t="s">
        <v>250</v>
      </c>
      <c r="BD1793" s="6" t="s">
        <v>2086</v>
      </c>
      <c r="BE1793" s="5" t="s">
        <v>251</v>
      </c>
      <c r="BF1793" s="5" t="s">
        <v>2043</v>
      </c>
      <c r="BG1793" s="5" t="s">
        <v>238</v>
      </c>
      <c r="BH1793" s="7">
        <f>0</f>
        <v>0</v>
      </c>
      <c r="BI1793" s="8">
        <f>0</f>
        <v>0</v>
      </c>
      <c r="BJ1793" s="5" t="s">
        <v>253</v>
      </c>
      <c r="BK1793" s="5" t="s">
        <v>254</v>
      </c>
      <c r="BY1793" s="5" t="s">
        <v>238</v>
      </c>
      <c r="BZ1793" s="5" t="s">
        <v>238</v>
      </c>
      <c r="CD1793" s="5" t="s">
        <v>293</v>
      </c>
      <c r="CE1793" s="5" t="s">
        <v>256</v>
      </c>
      <c r="CF1793" s="5" t="s">
        <v>238</v>
      </c>
      <c r="CI1793" s="6" t="s">
        <v>257</v>
      </c>
      <c r="CJ1793" s="5" t="s">
        <v>238</v>
      </c>
      <c r="CK1793" s="5" t="s">
        <v>258</v>
      </c>
      <c r="CL1793" s="5" t="s">
        <v>238</v>
      </c>
      <c r="CM1793" s="5" t="s">
        <v>238</v>
      </c>
      <c r="CN1793" s="5">
        <v>0</v>
      </c>
      <c r="CO1793" s="5" t="s">
        <v>259</v>
      </c>
      <c r="CP1793" s="5" t="s">
        <v>260</v>
      </c>
      <c r="CQ1793" s="5" t="s">
        <v>260</v>
      </c>
      <c r="CR1793" s="5" t="s">
        <v>261</v>
      </c>
      <c r="CU1793" s="8">
        <f>40927658</f>
        <v>40927658</v>
      </c>
      <c r="CV1793" s="8">
        <f>0</f>
        <v>0</v>
      </c>
      <c r="CX1793" s="8">
        <f>0</f>
        <v>0</v>
      </c>
      <c r="CY1793" s="8">
        <f>40927658</f>
        <v>40927658</v>
      </c>
      <c r="DA1793" s="5" t="s">
        <v>356</v>
      </c>
      <c r="DB1793" s="5" t="s">
        <v>238</v>
      </c>
      <c r="DD1793" s="5" t="s">
        <v>356</v>
      </c>
      <c r="DE1793" s="8">
        <f>9277.24</f>
        <v>9277.24</v>
      </c>
      <c r="DG1793" s="5" t="s">
        <v>238</v>
      </c>
      <c r="DH1793" s="5" t="s">
        <v>238</v>
      </c>
      <c r="DI1793" s="5" t="s">
        <v>238</v>
      </c>
      <c r="DJ1793" s="5" t="s">
        <v>238</v>
      </c>
      <c r="DN1793" s="5" t="s">
        <v>238</v>
      </c>
      <c r="DO1793" s="5" t="s">
        <v>238</v>
      </c>
      <c r="DP1793" s="5" t="s">
        <v>238</v>
      </c>
      <c r="DQ1793" s="5" t="s">
        <v>238</v>
      </c>
      <c r="DT1793" s="5" t="s">
        <v>2039</v>
      </c>
      <c r="DU1793" s="5" t="s">
        <v>2088</v>
      </c>
      <c r="HM1793" s="5" t="s">
        <v>264</v>
      </c>
    </row>
    <row r="1794" spans="1:221" x14ac:dyDescent="0.4">
      <c r="A1794" s="5">
        <v>3492</v>
      </c>
      <c r="B1794" s="5">
        <v>1</v>
      </c>
      <c r="C1794" s="5">
        <v>1</v>
      </c>
      <c r="D1794" s="5" t="s">
        <v>2037</v>
      </c>
      <c r="E1794" s="5" t="s">
        <v>271</v>
      </c>
      <c r="F1794" s="5" t="s">
        <v>248</v>
      </c>
      <c r="G1794" s="5" t="s">
        <v>2097</v>
      </c>
      <c r="H1794" s="6" t="s">
        <v>2099</v>
      </c>
      <c r="I1794" s="7">
        <f>21.54</f>
        <v>21.54</v>
      </c>
      <c r="J1794" s="5" t="s">
        <v>262</v>
      </c>
      <c r="K1794" s="8">
        <f>480792</f>
        <v>480792</v>
      </c>
      <c r="L1794" s="6" t="s">
        <v>2098</v>
      </c>
      <c r="M1794" s="5" t="s">
        <v>267</v>
      </c>
      <c r="N1794" s="5" t="s">
        <v>265</v>
      </c>
      <c r="O1794" s="5" t="s">
        <v>238</v>
      </c>
      <c r="P1794" s="5" t="s">
        <v>238</v>
      </c>
      <c r="Q1794" s="5" t="s">
        <v>239</v>
      </c>
      <c r="R1794" s="5" t="s">
        <v>270</v>
      </c>
      <c r="S1794" s="5" t="s">
        <v>238</v>
      </c>
      <c r="V1794" s="5" t="s">
        <v>238</v>
      </c>
      <c r="X1794" s="6" t="s">
        <v>238</v>
      </c>
      <c r="AA1794" s="6" t="s">
        <v>243</v>
      </c>
      <c r="AB1794" s="5" t="s">
        <v>1969</v>
      </c>
      <c r="AC1794" s="5" t="s">
        <v>244</v>
      </c>
      <c r="AD1794" s="5" t="s">
        <v>245</v>
      </c>
      <c r="AT1794" s="5" t="s">
        <v>246</v>
      </c>
      <c r="AU1794" s="5" t="s">
        <v>238</v>
      </c>
      <c r="AV1794" s="5" t="s">
        <v>247</v>
      </c>
      <c r="AW1794" s="5" t="s">
        <v>238</v>
      </c>
      <c r="AX1794" s="5" t="s">
        <v>249</v>
      </c>
      <c r="AY1794" s="5" t="s">
        <v>238</v>
      </c>
      <c r="BA1794" s="5" t="s">
        <v>238</v>
      </c>
      <c r="BC1794" s="5" t="s">
        <v>250</v>
      </c>
      <c r="BD1794" s="6" t="s">
        <v>2098</v>
      </c>
      <c r="BE1794" s="5" t="s">
        <v>251</v>
      </c>
      <c r="BF1794" s="5" t="s">
        <v>2043</v>
      </c>
      <c r="BG1794" s="5" t="s">
        <v>238</v>
      </c>
      <c r="BH1794" s="7">
        <f>0</f>
        <v>0</v>
      </c>
      <c r="BI1794" s="8">
        <f>0</f>
        <v>0</v>
      </c>
      <c r="BJ1794" s="5" t="s">
        <v>253</v>
      </c>
      <c r="BK1794" s="5" t="s">
        <v>254</v>
      </c>
      <c r="BY1794" s="5" t="s">
        <v>238</v>
      </c>
      <c r="BZ1794" s="5" t="s">
        <v>238</v>
      </c>
      <c r="CD1794" s="5" t="s">
        <v>293</v>
      </c>
      <c r="CE1794" s="5" t="s">
        <v>256</v>
      </c>
      <c r="CF1794" s="5" t="s">
        <v>238</v>
      </c>
      <c r="CI1794" s="6" t="s">
        <v>257</v>
      </c>
      <c r="CJ1794" s="5" t="s">
        <v>238</v>
      </c>
      <c r="CK1794" s="5" t="s">
        <v>258</v>
      </c>
      <c r="CL1794" s="5" t="s">
        <v>238</v>
      </c>
      <c r="CM1794" s="5" t="s">
        <v>238</v>
      </c>
      <c r="CN1794" s="5">
        <v>0</v>
      </c>
      <c r="CO1794" s="5" t="s">
        <v>259</v>
      </c>
      <c r="CP1794" s="5" t="s">
        <v>260</v>
      </c>
      <c r="CQ1794" s="5" t="s">
        <v>260</v>
      </c>
      <c r="CR1794" s="5" t="s">
        <v>261</v>
      </c>
      <c r="CU1794" s="8">
        <f>480792</f>
        <v>480792</v>
      </c>
      <c r="CV1794" s="8">
        <f>0</f>
        <v>0</v>
      </c>
      <c r="CX1794" s="8">
        <f>0</f>
        <v>0</v>
      </c>
      <c r="CY1794" s="8">
        <f>480792</f>
        <v>480792</v>
      </c>
      <c r="DA1794" s="5" t="s">
        <v>356</v>
      </c>
      <c r="DB1794" s="5" t="s">
        <v>238</v>
      </c>
      <c r="DD1794" s="5" t="s">
        <v>356</v>
      </c>
      <c r="DE1794" s="8">
        <f>21.54</f>
        <v>21.54</v>
      </c>
      <c r="DG1794" s="5" t="s">
        <v>238</v>
      </c>
      <c r="DH1794" s="5" t="s">
        <v>238</v>
      </c>
      <c r="DI1794" s="5" t="s">
        <v>238</v>
      </c>
      <c r="DJ1794" s="5" t="s">
        <v>238</v>
      </c>
      <c r="DN1794" s="5" t="s">
        <v>238</v>
      </c>
      <c r="DO1794" s="5" t="s">
        <v>238</v>
      </c>
      <c r="DP1794" s="5" t="s">
        <v>238</v>
      </c>
      <c r="DQ1794" s="5" t="s">
        <v>238</v>
      </c>
      <c r="DT1794" s="5" t="s">
        <v>2039</v>
      </c>
      <c r="DU1794" s="5" t="s">
        <v>2100</v>
      </c>
      <c r="HM1794" s="5" t="s">
        <v>264</v>
      </c>
    </row>
    <row r="1795" spans="1:221" x14ac:dyDescent="0.4">
      <c r="A1795" s="5">
        <v>3493</v>
      </c>
      <c r="B1795" s="5">
        <v>1</v>
      </c>
      <c r="C1795" s="5">
        <v>1</v>
      </c>
      <c r="D1795" s="5" t="s">
        <v>2037</v>
      </c>
      <c r="E1795" s="5" t="s">
        <v>271</v>
      </c>
      <c r="F1795" s="5" t="s">
        <v>248</v>
      </c>
      <c r="G1795" s="5" t="s">
        <v>2240</v>
      </c>
      <c r="H1795" s="6" t="s">
        <v>2241</v>
      </c>
      <c r="I1795" s="7">
        <f>1006.79</f>
        <v>1006.79</v>
      </c>
      <c r="J1795" s="5" t="s">
        <v>262</v>
      </c>
      <c r="K1795" s="8">
        <f>3588280</f>
        <v>3588280</v>
      </c>
      <c r="L1795" s="6" t="s">
        <v>2058</v>
      </c>
      <c r="M1795" s="5" t="s">
        <v>267</v>
      </c>
      <c r="N1795" s="5" t="s">
        <v>265</v>
      </c>
      <c r="O1795" s="5" t="s">
        <v>238</v>
      </c>
      <c r="P1795" s="5" t="s">
        <v>238</v>
      </c>
      <c r="Q1795" s="5" t="s">
        <v>239</v>
      </c>
      <c r="R1795" s="5" t="s">
        <v>270</v>
      </c>
      <c r="S1795" s="5" t="s">
        <v>238</v>
      </c>
      <c r="V1795" s="5" t="s">
        <v>238</v>
      </c>
      <c r="X1795" s="6" t="s">
        <v>238</v>
      </c>
      <c r="AA1795" s="6" t="s">
        <v>243</v>
      </c>
      <c r="AB1795" s="5" t="s">
        <v>1969</v>
      </c>
      <c r="AC1795" s="5" t="s">
        <v>244</v>
      </c>
      <c r="AD1795" s="5" t="s">
        <v>245</v>
      </c>
      <c r="AT1795" s="5" t="s">
        <v>246</v>
      </c>
      <c r="AU1795" s="5" t="s">
        <v>238</v>
      </c>
      <c r="AV1795" s="5" t="s">
        <v>247</v>
      </c>
      <c r="AW1795" s="5" t="s">
        <v>238</v>
      </c>
      <c r="AX1795" s="5" t="s">
        <v>249</v>
      </c>
      <c r="AY1795" s="5" t="s">
        <v>238</v>
      </c>
      <c r="BA1795" s="5" t="s">
        <v>238</v>
      </c>
      <c r="BC1795" s="5" t="s">
        <v>250</v>
      </c>
      <c r="BD1795" s="6" t="s">
        <v>2058</v>
      </c>
      <c r="BE1795" s="5" t="s">
        <v>251</v>
      </c>
      <c r="BF1795" s="5" t="s">
        <v>2043</v>
      </c>
      <c r="BG1795" s="5" t="s">
        <v>238</v>
      </c>
      <c r="BH1795" s="7">
        <f>0</f>
        <v>0</v>
      </c>
      <c r="BI1795" s="8">
        <f>0</f>
        <v>0</v>
      </c>
      <c r="BJ1795" s="5" t="s">
        <v>253</v>
      </c>
      <c r="BK1795" s="5" t="s">
        <v>254</v>
      </c>
      <c r="BY1795" s="5" t="s">
        <v>238</v>
      </c>
      <c r="BZ1795" s="5" t="s">
        <v>238</v>
      </c>
      <c r="CD1795" s="5" t="s">
        <v>293</v>
      </c>
      <c r="CE1795" s="5" t="s">
        <v>256</v>
      </c>
      <c r="CF1795" s="5" t="s">
        <v>238</v>
      </c>
      <c r="CI1795" s="6" t="s">
        <v>257</v>
      </c>
      <c r="CJ1795" s="5" t="s">
        <v>238</v>
      </c>
      <c r="CK1795" s="5" t="s">
        <v>258</v>
      </c>
      <c r="CL1795" s="5" t="s">
        <v>238</v>
      </c>
      <c r="CM1795" s="5" t="s">
        <v>238</v>
      </c>
      <c r="CN1795" s="5">
        <v>0</v>
      </c>
      <c r="CO1795" s="5" t="s">
        <v>259</v>
      </c>
      <c r="CP1795" s="5" t="s">
        <v>260</v>
      </c>
      <c r="CQ1795" s="5" t="s">
        <v>260</v>
      </c>
      <c r="CR1795" s="5" t="s">
        <v>261</v>
      </c>
      <c r="CU1795" s="8">
        <f>3588280</f>
        <v>3588280</v>
      </c>
      <c r="CV1795" s="8">
        <f>0</f>
        <v>0</v>
      </c>
      <c r="CX1795" s="8">
        <f>0</f>
        <v>0</v>
      </c>
      <c r="CY1795" s="8">
        <f>3588280</f>
        <v>3588280</v>
      </c>
      <c r="DA1795" s="5" t="s">
        <v>356</v>
      </c>
      <c r="DB1795" s="5" t="s">
        <v>238</v>
      </c>
      <c r="DD1795" s="5" t="s">
        <v>356</v>
      </c>
      <c r="DE1795" s="8">
        <f>1006.79</f>
        <v>1006.79</v>
      </c>
      <c r="DG1795" s="5" t="s">
        <v>238</v>
      </c>
      <c r="DH1795" s="5" t="s">
        <v>238</v>
      </c>
      <c r="DI1795" s="5" t="s">
        <v>238</v>
      </c>
      <c r="DJ1795" s="5" t="s">
        <v>238</v>
      </c>
      <c r="DN1795" s="5" t="s">
        <v>238</v>
      </c>
      <c r="DO1795" s="5" t="s">
        <v>238</v>
      </c>
      <c r="DP1795" s="5" t="s">
        <v>238</v>
      </c>
      <c r="DQ1795" s="5" t="s">
        <v>238</v>
      </c>
      <c r="DT1795" s="5" t="s">
        <v>2039</v>
      </c>
      <c r="DU1795" s="5" t="s">
        <v>2242</v>
      </c>
      <c r="HM1795" s="5" t="s">
        <v>264</v>
      </c>
    </row>
    <row r="1796" spans="1:221" x14ac:dyDescent="0.4">
      <c r="A1796" s="5">
        <v>3494</v>
      </c>
      <c r="B1796" s="5">
        <v>1</v>
      </c>
      <c r="C1796" s="5">
        <v>1</v>
      </c>
      <c r="D1796" s="5" t="s">
        <v>2037</v>
      </c>
      <c r="E1796" s="5" t="s">
        <v>271</v>
      </c>
      <c r="F1796" s="5" t="s">
        <v>248</v>
      </c>
      <c r="G1796" s="5" t="s">
        <v>2181</v>
      </c>
      <c r="H1796" s="6" t="s">
        <v>2183</v>
      </c>
      <c r="I1796" s="7">
        <f>1731.99</f>
        <v>1731.99</v>
      </c>
      <c r="J1796" s="5" t="s">
        <v>262</v>
      </c>
      <c r="K1796" s="8">
        <f>8697395</f>
        <v>8697395</v>
      </c>
      <c r="L1796" s="6" t="s">
        <v>2182</v>
      </c>
      <c r="M1796" s="5" t="s">
        <v>267</v>
      </c>
      <c r="N1796" s="5" t="s">
        <v>265</v>
      </c>
      <c r="O1796" s="5" t="s">
        <v>238</v>
      </c>
      <c r="P1796" s="5" t="s">
        <v>238</v>
      </c>
      <c r="Q1796" s="5" t="s">
        <v>239</v>
      </c>
      <c r="R1796" s="5" t="s">
        <v>270</v>
      </c>
      <c r="S1796" s="5" t="s">
        <v>238</v>
      </c>
      <c r="V1796" s="5" t="s">
        <v>238</v>
      </c>
      <c r="X1796" s="6" t="s">
        <v>238</v>
      </c>
      <c r="AA1796" s="6" t="s">
        <v>243</v>
      </c>
      <c r="AB1796" s="5" t="s">
        <v>1969</v>
      </c>
      <c r="AC1796" s="5" t="s">
        <v>244</v>
      </c>
      <c r="AD1796" s="5" t="s">
        <v>245</v>
      </c>
      <c r="AT1796" s="5" t="s">
        <v>246</v>
      </c>
      <c r="AU1796" s="5" t="s">
        <v>238</v>
      </c>
      <c r="AV1796" s="5" t="s">
        <v>247</v>
      </c>
      <c r="AW1796" s="5" t="s">
        <v>238</v>
      </c>
      <c r="AX1796" s="5" t="s">
        <v>249</v>
      </c>
      <c r="AY1796" s="5" t="s">
        <v>238</v>
      </c>
      <c r="BA1796" s="5" t="s">
        <v>238</v>
      </c>
      <c r="BC1796" s="5" t="s">
        <v>1468</v>
      </c>
      <c r="BD1796" s="6" t="s">
        <v>2182</v>
      </c>
      <c r="BE1796" s="5" t="s">
        <v>251</v>
      </c>
      <c r="BF1796" s="5" t="s">
        <v>2043</v>
      </c>
      <c r="BG1796" s="5" t="s">
        <v>238</v>
      </c>
      <c r="BH1796" s="7">
        <f>0</f>
        <v>0</v>
      </c>
      <c r="BI1796" s="8">
        <f>0</f>
        <v>0</v>
      </c>
      <c r="BJ1796" s="5" t="s">
        <v>253</v>
      </c>
      <c r="BK1796" s="5" t="s">
        <v>254</v>
      </c>
      <c r="BY1796" s="5" t="s">
        <v>238</v>
      </c>
      <c r="BZ1796" s="5" t="s">
        <v>238</v>
      </c>
      <c r="CD1796" s="5" t="s">
        <v>293</v>
      </c>
      <c r="CE1796" s="5" t="s">
        <v>256</v>
      </c>
      <c r="CF1796" s="5" t="s">
        <v>238</v>
      </c>
      <c r="CI1796" s="6" t="s">
        <v>257</v>
      </c>
      <c r="CJ1796" s="5" t="s">
        <v>238</v>
      </c>
      <c r="CK1796" s="5" t="s">
        <v>258</v>
      </c>
      <c r="CL1796" s="5" t="s">
        <v>238</v>
      </c>
      <c r="CM1796" s="5" t="s">
        <v>238</v>
      </c>
      <c r="CN1796" s="5">
        <v>0</v>
      </c>
      <c r="CO1796" s="5" t="s">
        <v>259</v>
      </c>
      <c r="CP1796" s="5" t="s">
        <v>260</v>
      </c>
      <c r="CQ1796" s="5" t="s">
        <v>260</v>
      </c>
      <c r="CR1796" s="5" t="s">
        <v>261</v>
      </c>
      <c r="CU1796" s="8">
        <f>8697395</f>
        <v>8697395</v>
      </c>
      <c r="CV1796" s="8">
        <f>0</f>
        <v>0</v>
      </c>
      <c r="CX1796" s="8">
        <f>0</f>
        <v>0</v>
      </c>
      <c r="CY1796" s="8">
        <f>8697395</f>
        <v>8697395</v>
      </c>
      <c r="DA1796" s="5" t="s">
        <v>356</v>
      </c>
      <c r="DB1796" s="5" t="s">
        <v>238</v>
      </c>
      <c r="DD1796" s="5" t="s">
        <v>356</v>
      </c>
      <c r="DE1796" s="8">
        <f>1731.99</f>
        <v>1731.99</v>
      </c>
      <c r="DG1796" s="5" t="s">
        <v>238</v>
      </c>
      <c r="DH1796" s="5" t="s">
        <v>238</v>
      </c>
      <c r="DI1796" s="5" t="s">
        <v>238</v>
      </c>
      <c r="DJ1796" s="5" t="s">
        <v>238</v>
      </c>
      <c r="DN1796" s="5" t="s">
        <v>238</v>
      </c>
      <c r="DO1796" s="5" t="s">
        <v>238</v>
      </c>
      <c r="DP1796" s="5" t="s">
        <v>238</v>
      </c>
      <c r="DQ1796" s="5" t="s">
        <v>238</v>
      </c>
      <c r="DT1796" s="5" t="s">
        <v>2039</v>
      </c>
      <c r="DU1796" s="5" t="s">
        <v>2184</v>
      </c>
      <c r="HM1796" s="5" t="s">
        <v>264</v>
      </c>
    </row>
    <row r="1797" spans="1:221" x14ac:dyDescent="0.4">
      <c r="A1797" s="5">
        <v>3495</v>
      </c>
      <c r="B1797" s="5">
        <v>1</v>
      </c>
      <c r="C1797" s="5">
        <v>1</v>
      </c>
      <c r="D1797" s="5" t="s">
        <v>2037</v>
      </c>
      <c r="E1797" s="5" t="s">
        <v>271</v>
      </c>
      <c r="F1797" s="5" t="s">
        <v>248</v>
      </c>
      <c r="G1797" s="5" t="s">
        <v>2202</v>
      </c>
      <c r="H1797" s="6" t="s">
        <v>2203</v>
      </c>
      <c r="I1797" s="7">
        <f>28.54</f>
        <v>28.54</v>
      </c>
      <c r="J1797" s="5" t="s">
        <v>262</v>
      </c>
      <c r="K1797" s="8">
        <f>2695824</f>
        <v>2695824</v>
      </c>
      <c r="L1797" s="6" t="s">
        <v>2162</v>
      </c>
      <c r="M1797" s="5" t="s">
        <v>267</v>
      </c>
      <c r="N1797" s="5" t="s">
        <v>265</v>
      </c>
      <c r="O1797" s="5" t="s">
        <v>238</v>
      </c>
      <c r="P1797" s="5" t="s">
        <v>238</v>
      </c>
      <c r="Q1797" s="5" t="s">
        <v>239</v>
      </c>
      <c r="R1797" s="5" t="s">
        <v>270</v>
      </c>
      <c r="S1797" s="5" t="s">
        <v>238</v>
      </c>
      <c r="V1797" s="5" t="s">
        <v>238</v>
      </c>
      <c r="X1797" s="6" t="s">
        <v>238</v>
      </c>
      <c r="AA1797" s="6" t="s">
        <v>243</v>
      </c>
      <c r="AB1797" s="5" t="s">
        <v>1969</v>
      </c>
      <c r="AC1797" s="5" t="s">
        <v>244</v>
      </c>
      <c r="AD1797" s="5" t="s">
        <v>245</v>
      </c>
      <c r="AT1797" s="5" t="s">
        <v>246</v>
      </c>
      <c r="AU1797" s="5" t="s">
        <v>238</v>
      </c>
      <c r="AV1797" s="5" t="s">
        <v>247</v>
      </c>
      <c r="AW1797" s="5" t="s">
        <v>238</v>
      </c>
      <c r="AX1797" s="5" t="s">
        <v>249</v>
      </c>
      <c r="AY1797" s="5" t="s">
        <v>238</v>
      </c>
      <c r="BA1797" s="5" t="s">
        <v>238</v>
      </c>
      <c r="BC1797" s="5" t="s">
        <v>1468</v>
      </c>
      <c r="BD1797" s="6" t="s">
        <v>2162</v>
      </c>
      <c r="BE1797" s="5" t="s">
        <v>251</v>
      </c>
      <c r="BF1797" s="5" t="s">
        <v>2043</v>
      </c>
      <c r="BG1797" s="5" t="s">
        <v>238</v>
      </c>
      <c r="BH1797" s="7">
        <f>0</f>
        <v>0</v>
      </c>
      <c r="BI1797" s="8">
        <f>0</f>
        <v>0</v>
      </c>
      <c r="BJ1797" s="5" t="s">
        <v>253</v>
      </c>
      <c r="BK1797" s="5" t="s">
        <v>254</v>
      </c>
      <c r="BY1797" s="5" t="s">
        <v>238</v>
      </c>
      <c r="BZ1797" s="5" t="s">
        <v>238</v>
      </c>
      <c r="CD1797" s="5" t="s">
        <v>293</v>
      </c>
      <c r="CE1797" s="5" t="s">
        <v>256</v>
      </c>
      <c r="CF1797" s="5" t="s">
        <v>238</v>
      </c>
      <c r="CI1797" s="6" t="s">
        <v>257</v>
      </c>
      <c r="CJ1797" s="5" t="s">
        <v>238</v>
      </c>
      <c r="CK1797" s="5" t="s">
        <v>258</v>
      </c>
      <c r="CL1797" s="5" t="s">
        <v>238</v>
      </c>
      <c r="CM1797" s="5" t="s">
        <v>238</v>
      </c>
      <c r="CN1797" s="5">
        <v>0</v>
      </c>
      <c r="CO1797" s="5" t="s">
        <v>259</v>
      </c>
      <c r="CP1797" s="5" t="s">
        <v>260</v>
      </c>
      <c r="CQ1797" s="5" t="s">
        <v>260</v>
      </c>
      <c r="CR1797" s="5" t="s">
        <v>261</v>
      </c>
      <c r="CU1797" s="8">
        <f>2695824</f>
        <v>2695824</v>
      </c>
      <c r="CV1797" s="8">
        <f>0</f>
        <v>0</v>
      </c>
      <c r="CX1797" s="8">
        <f>0</f>
        <v>0</v>
      </c>
      <c r="CY1797" s="8">
        <f>2695824</f>
        <v>2695824</v>
      </c>
      <c r="DA1797" s="5" t="s">
        <v>356</v>
      </c>
      <c r="DB1797" s="5" t="s">
        <v>238</v>
      </c>
      <c r="DD1797" s="5" t="s">
        <v>356</v>
      </c>
      <c r="DE1797" s="8">
        <f>28.54</f>
        <v>28.54</v>
      </c>
      <c r="DG1797" s="5" t="s">
        <v>238</v>
      </c>
      <c r="DH1797" s="5" t="s">
        <v>238</v>
      </c>
      <c r="DI1797" s="5" t="s">
        <v>238</v>
      </c>
      <c r="DJ1797" s="5" t="s">
        <v>238</v>
      </c>
      <c r="DN1797" s="5" t="s">
        <v>238</v>
      </c>
      <c r="DO1797" s="5" t="s">
        <v>238</v>
      </c>
      <c r="DP1797" s="5" t="s">
        <v>238</v>
      </c>
      <c r="DQ1797" s="5" t="s">
        <v>238</v>
      </c>
      <c r="DT1797" s="5" t="s">
        <v>2039</v>
      </c>
      <c r="DU1797" s="5" t="s">
        <v>2204</v>
      </c>
      <c r="HM1797" s="5" t="s">
        <v>264</v>
      </c>
    </row>
    <row r="1798" spans="1:221" x14ac:dyDescent="0.4">
      <c r="A1798" s="5">
        <v>3496</v>
      </c>
      <c r="B1798" s="5">
        <v>1</v>
      </c>
      <c r="C1798" s="5">
        <v>1</v>
      </c>
      <c r="D1798" s="5" t="s">
        <v>2037</v>
      </c>
      <c r="E1798" s="5" t="s">
        <v>271</v>
      </c>
      <c r="F1798" s="5" t="s">
        <v>248</v>
      </c>
      <c r="G1798" s="5" t="s">
        <v>2251</v>
      </c>
      <c r="H1798" s="6" t="s">
        <v>2252</v>
      </c>
      <c r="I1798" s="7">
        <f>51.74</f>
        <v>51.74</v>
      </c>
      <c r="J1798" s="5" t="s">
        <v>262</v>
      </c>
      <c r="K1798" s="8">
        <f>4027379</f>
        <v>4027379</v>
      </c>
      <c r="L1798" s="6" t="s">
        <v>2162</v>
      </c>
      <c r="M1798" s="5" t="s">
        <v>267</v>
      </c>
      <c r="N1798" s="5" t="s">
        <v>265</v>
      </c>
      <c r="O1798" s="5" t="s">
        <v>238</v>
      </c>
      <c r="P1798" s="5" t="s">
        <v>238</v>
      </c>
      <c r="Q1798" s="5" t="s">
        <v>239</v>
      </c>
      <c r="R1798" s="5" t="s">
        <v>270</v>
      </c>
      <c r="S1798" s="5" t="s">
        <v>238</v>
      </c>
      <c r="V1798" s="5" t="s">
        <v>238</v>
      </c>
      <c r="X1798" s="6" t="s">
        <v>238</v>
      </c>
      <c r="AA1798" s="6" t="s">
        <v>243</v>
      </c>
      <c r="AB1798" s="5" t="s">
        <v>1969</v>
      </c>
      <c r="AC1798" s="5" t="s">
        <v>244</v>
      </c>
      <c r="AD1798" s="5" t="s">
        <v>245</v>
      </c>
      <c r="AT1798" s="5" t="s">
        <v>246</v>
      </c>
      <c r="AU1798" s="5" t="s">
        <v>238</v>
      </c>
      <c r="AV1798" s="5" t="s">
        <v>247</v>
      </c>
      <c r="AW1798" s="5" t="s">
        <v>238</v>
      </c>
      <c r="AX1798" s="5" t="s">
        <v>249</v>
      </c>
      <c r="AY1798" s="5" t="s">
        <v>238</v>
      </c>
      <c r="BA1798" s="5" t="s">
        <v>238</v>
      </c>
      <c r="BC1798" s="5" t="s">
        <v>1468</v>
      </c>
      <c r="BD1798" s="6" t="s">
        <v>2162</v>
      </c>
      <c r="BE1798" s="5" t="s">
        <v>251</v>
      </c>
      <c r="BF1798" s="5" t="s">
        <v>2043</v>
      </c>
      <c r="BG1798" s="5" t="s">
        <v>238</v>
      </c>
      <c r="BH1798" s="7">
        <f>0</f>
        <v>0</v>
      </c>
      <c r="BI1798" s="8">
        <f>0</f>
        <v>0</v>
      </c>
      <c r="BJ1798" s="5" t="s">
        <v>253</v>
      </c>
      <c r="BK1798" s="5" t="s">
        <v>254</v>
      </c>
      <c r="BY1798" s="5" t="s">
        <v>238</v>
      </c>
      <c r="BZ1798" s="5" t="s">
        <v>238</v>
      </c>
      <c r="CD1798" s="5" t="s">
        <v>293</v>
      </c>
      <c r="CE1798" s="5" t="s">
        <v>256</v>
      </c>
      <c r="CF1798" s="5" t="s">
        <v>238</v>
      </c>
      <c r="CI1798" s="6" t="s">
        <v>257</v>
      </c>
      <c r="CJ1798" s="5" t="s">
        <v>238</v>
      </c>
      <c r="CK1798" s="5" t="s">
        <v>258</v>
      </c>
      <c r="CL1798" s="5" t="s">
        <v>238</v>
      </c>
      <c r="CM1798" s="5" t="s">
        <v>238</v>
      </c>
      <c r="CN1798" s="5">
        <v>0</v>
      </c>
      <c r="CO1798" s="5" t="s">
        <v>259</v>
      </c>
      <c r="CP1798" s="5" t="s">
        <v>260</v>
      </c>
      <c r="CQ1798" s="5" t="s">
        <v>260</v>
      </c>
      <c r="CR1798" s="5" t="s">
        <v>261</v>
      </c>
      <c r="CU1798" s="8">
        <f>4027379</f>
        <v>4027379</v>
      </c>
      <c r="CV1798" s="8">
        <f>0</f>
        <v>0</v>
      </c>
      <c r="CX1798" s="8">
        <f>0</f>
        <v>0</v>
      </c>
      <c r="CY1798" s="8">
        <f>4027379</f>
        <v>4027379</v>
      </c>
      <c r="DA1798" s="5" t="s">
        <v>356</v>
      </c>
      <c r="DB1798" s="5" t="s">
        <v>238</v>
      </c>
      <c r="DD1798" s="5" t="s">
        <v>356</v>
      </c>
      <c r="DE1798" s="8">
        <f>51.74</f>
        <v>51.74</v>
      </c>
      <c r="DG1798" s="5" t="s">
        <v>238</v>
      </c>
      <c r="DH1798" s="5" t="s">
        <v>238</v>
      </c>
      <c r="DI1798" s="5" t="s">
        <v>238</v>
      </c>
      <c r="DJ1798" s="5" t="s">
        <v>238</v>
      </c>
      <c r="DN1798" s="5" t="s">
        <v>238</v>
      </c>
      <c r="DO1798" s="5" t="s">
        <v>238</v>
      </c>
      <c r="DP1798" s="5" t="s">
        <v>238</v>
      </c>
      <c r="DQ1798" s="5" t="s">
        <v>238</v>
      </c>
      <c r="DT1798" s="5" t="s">
        <v>2039</v>
      </c>
      <c r="DU1798" s="5" t="s">
        <v>2253</v>
      </c>
      <c r="HM1798" s="5" t="s">
        <v>264</v>
      </c>
    </row>
    <row r="1799" spans="1:221" x14ac:dyDescent="0.4">
      <c r="A1799" s="5">
        <v>3497</v>
      </c>
      <c r="B1799" s="5">
        <v>1</v>
      </c>
      <c r="C1799" s="5">
        <v>1</v>
      </c>
      <c r="D1799" s="5" t="s">
        <v>2037</v>
      </c>
      <c r="E1799" s="5" t="s">
        <v>271</v>
      </c>
      <c r="F1799" s="5" t="s">
        <v>248</v>
      </c>
      <c r="G1799" s="5" t="s">
        <v>2057</v>
      </c>
      <c r="H1799" s="6" t="s">
        <v>2059</v>
      </c>
      <c r="I1799" s="7">
        <f>308.53</f>
        <v>308.52999999999997</v>
      </c>
      <c r="J1799" s="5" t="s">
        <v>262</v>
      </c>
      <c r="K1799" s="8">
        <f>6141695</f>
        <v>6141695</v>
      </c>
      <c r="L1799" s="6" t="s">
        <v>2058</v>
      </c>
      <c r="M1799" s="5" t="s">
        <v>267</v>
      </c>
      <c r="N1799" s="5" t="s">
        <v>265</v>
      </c>
      <c r="O1799" s="5" t="s">
        <v>238</v>
      </c>
      <c r="P1799" s="5" t="s">
        <v>238</v>
      </c>
      <c r="Q1799" s="5" t="s">
        <v>239</v>
      </c>
      <c r="R1799" s="5" t="s">
        <v>270</v>
      </c>
      <c r="S1799" s="5" t="s">
        <v>238</v>
      </c>
      <c r="V1799" s="5" t="s">
        <v>238</v>
      </c>
      <c r="X1799" s="6" t="s">
        <v>238</v>
      </c>
      <c r="AA1799" s="6" t="s">
        <v>243</v>
      </c>
      <c r="AB1799" s="5" t="s">
        <v>1969</v>
      </c>
      <c r="AC1799" s="5" t="s">
        <v>244</v>
      </c>
      <c r="AD1799" s="5" t="s">
        <v>245</v>
      </c>
      <c r="AT1799" s="5" t="s">
        <v>246</v>
      </c>
      <c r="AU1799" s="5" t="s">
        <v>238</v>
      </c>
      <c r="AV1799" s="5" t="s">
        <v>247</v>
      </c>
      <c r="AW1799" s="5" t="s">
        <v>238</v>
      </c>
      <c r="AX1799" s="5" t="s">
        <v>249</v>
      </c>
      <c r="AY1799" s="5" t="s">
        <v>238</v>
      </c>
      <c r="BA1799" s="5" t="s">
        <v>238</v>
      </c>
      <c r="BC1799" s="5" t="s">
        <v>1468</v>
      </c>
      <c r="BD1799" s="6" t="s">
        <v>2058</v>
      </c>
      <c r="BE1799" s="5" t="s">
        <v>251</v>
      </c>
      <c r="BF1799" s="5" t="s">
        <v>2043</v>
      </c>
      <c r="BG1799" s="5" t="s">
        <v>238</v>
      </c>
      <c r="BH1799" s="7">
        <f>0</f>
        <v>0</v>
      </c>
      <c r="BI1799" s="8">
        <f>0</f>
        <v>0</v>
      </c>
      <c r="BJ1799" s="5" t="s">
        <v>253</v>
      </c>
      <c r="BK1799" s="5" t="s">
        <v>254</v>
      </c>
      <c r="BY1799" s="5" t="s">
        <v>238</v>
      </c>
      <c r="BZ1799" s="5" t="s">
        <v>238</v>
      </c>
      <c r="CD1799" s="5" t="s">
        <v>293</v>
      </c>
      <c r="CE1799" s="5" t="s">
        <v>256</v>
      </c>
      <c r="CF1799" s="5" t="s">
        <v>238</v>
      </c>
      <c r="CI1799" s="6" t="s">
        <v>257</v>
      </c>
      <c r="CJ1799" s="5" t="s">
        <v>238</v>
      </c>
      <c r="CK1799" s="5" t="s">
        <v>258</v>
      </c>
      <c r="CL1799" s="5" t="s">
        <v>238</v>
      </c>
      <c r="CM1799" s="5" t="s">
        <v>238</v>
      </c>
      <c r="CN1799" s="5">
        <v>0</v>
      </c>
      <c r="CO1799" s="5" t="s">
        <v>259</v>
      </c>
      <c r="CP1799" s="5" t="s">
        <v>260</v>
      </c>
      <c r="CQ1799" s="5" t="s">
        <v>260</v>
      </c>
      <c r="CR1799" s="5" t="s">
        <v>261</v>
      </c>
      <c r="CU1799" s="8">
        <f>6141695</f>
        <v>6141695</v>
      </c>
      <c r="CV1799" s="8">
        <f>0</f>
        <v>0</v>
      </c>
      <c r="CX1799" s="8">
        <f>0</f>
        <v>0</v>
      </c>
      <c r="CY1799" s="8">
        <f>6141695</f>
        <v>6141695</v>
      </c>
      <c r="DA1799" s="5" t="s">
        <v>356</v>
      </c>
      <c r="DB1799" s="5" t="s">
        <v>238</v>
      </c>
      <c r="DD1799" s="5" t="s">
        <v>356</v>
      </c>
      <c r="DE1799" s="8">
        <f>308.53</f>
        <v>308.52999999999997</v>
      </c>
      <c r="DG1799" s="5" t="s">
        <v>238</v>
      </c>
      <c r="DH1799" s="5" t="s">
        <v>238</v>
      </c>
      <c r="DI1799" s="5" t="s">
        <v>238</v>
      </c>
      <c r="DJ1799" s="5" t="s">
        <v>238</v>
      </c>
      <c r="DN1799" s="5" t="s">
        <v>238</v>
      </c>
      <c r="DO1799" s="5" t="s">
        <v>238</v>
      </c>
      <c r="DP1799" s="5" t="s">
        <v>238</v>
      </c>
      <c r="DQ1799" s="5" t="s">
        <v>238</v>
      </c>
      <c r="DT1799" s="5" t="s">
        <v>2039</v>
      </c>
      <c r="DU1799" s="5" t="s">
        <v>2060</v>
      </c>
      <c r="HM1799" s="5" t="s">
        <v>264</v>
      </c>
    </row>
    <row r="1800" spans="1:221" x14ac:dyDescent="0.4">
      <c r="A1800" s="5">
        <v>3498</v>
      </c>
      <c r="B1800" s="5">
        <v>1</v>
      </c>
      <c r="C1800" s="5">
        <v>1</v>
      </c>
      <c r="D1800" s="5" t="s">
        <v>2037</v>
      </c>
      <c r="E1800" s="5" t="s">
        <v>271</v>
      </c>
      <c r="F1800" s="5" t="s">
        <v>248</v>
      </c>
      <c r="G1800" s="5" t="s">
        <v>2040</v>
      </c>
      <c r="H1800" s="6" t="s">
        <v>2042</v>
      </c>
      <c r="I1800" s="7">
        <f>79.01</f>
        <v>79.010000000000005</v>
      </c>
      <c r="J1800" s="5" t="s">
        <v>262</v>
      </c>
      <c r="K1800" s="8">
        <f>767187</f>
        <v>767187</v>
      </c>
      <c r="L1800" s="6" t="s">
        <v>2041</v>
      </c>
      <c r="M1800" s="5" t="s">
        <v>267</v>
      </c>
      <c r="N1800" s="5" t="s">
        <v>265</v>
      </c>
      <c r="O1800" s="5" t="s">
        <v>238</v>
      </c>
      <c r="P1800" s="5" t="s">
        <v>238</v>
      </c>
      <c r="Q1800" s="5" t="s">
        <v>239</v>
      </c>
      <c r="R1800" s="5" t="s">
        <v>270</v>
      </c>
      <c r="S1800" s="5" t="s">
        <v>238</v>
      </c>
      <c r="V1800" s="5" t="s">
        <v>238</v>
      </c>
      <c r="X1800" s="6" t="s">
        <v>238</v>
      </c>
      <c r="AA1800" s="6" t="s">
        <v>243</v>
      </c>
      <c r="AB1800" s="5" t="s">
        <v>1969</v>
      </c>
      <c r="AC1800" s="5" t="s">
        <v>244</v>
      </c>
      <c r="AD1800" s="5" t="s">
        <v>245</v>
      </c>
      <c r="AT1800" s="5" t="s">
        <v>246</v>
      </c>
      <c r="AU1800" s="5" t="s">
        <v>238</v>
      </c>
      <c r="AV1800" s="5" t="s">
        <v>247</v>
      </c>
      <c r="AW1800" s="5" t="s">
        <v>238</v>
      </c>
      <c r="AX1800" s="5" t="s">
        <v>249</v>
      </c>
      <c r="AY1800" s="5" t="s">
        <v>238</v>
      </c>
      <c r="BA1800" s="5" t="s">
        <v>238</v>
      </c>
      <c r="BC1800" s="5" t="s">
        <v>1468</v>
      </c>
      <c r="BD1800" s="6" t="s">
        <v>2041</v>
      </c>
      <c r="BE1800" s="5" t="s">
        <v>251</v>
      </c>
      <c r="BF1800" s="5" t="s">
        <v>2043</v>
      </c>
      <c r="BG1800" s="5" t="s">
        <v>238</v>
      </c>
      <c r="BH1800" s="7">
        <f>0</f>
        <v>0</v>
      </c>
      <c r="BI1800" s="8">
        <f>0</f>
        <v>0</v>
      </c>
      <c r="BJ1800" s="5" t="s">
        <v>253</v>
      </c>
      <c r="BK1800" s="5" t="s">
        <v>254</v>
      </c>
      <c r="BY1800" s="5" t="s">
        <v>238</v>
      </c>
      <c r="BZ1800" s="5" t="s">
        <v>238</v>
      </c>
      <c r="CD1800" s="5" t="s">
        <v>293</v>
      </c>
      <c r="CE1800" s="5" t="s">
        <v>256</v>
      </c>
      <c r="CF1800" s="5" t="s">
        <v>238</v>
      </c>
      <c r="CI1800" s="6" t="s">
        <v>257</v>
      </c>
      <c r="CJ1800" s="5" t="s">
        <v>238</v>
      </c>
      <c r="CK1800" s="5" t="s">
        <v>258</v>
      </c>
      <c r="CL1800" s="5" t="s">
        <v>238</v>
      </c>
      <c r="CM1800" s="5" t="s">
        <v>238</v>
      </c>
      <c r="CN1800" s="5">
        <v>0</v>
      </c>
      <c r="CO1800" s="5" t="s">
        <v>259</v>
      </c>
      <c r="CP1800" s="5" t="s">
        <v>260</v>
      </c>
      <c r="CQ1800" s="5" t="s">
        <v>260</v>
      </c>
      <c r="CR1800" s="5" t="s">
        <v>261</v>
      </c>
      <c r="CU1800" s="8">
        <f>767187</f>
        <v>767187</v>
      </c>
      <c r="CV1800" s="8">
        <f>0</f>
        <v>0</v>
      </c>
      <c r="CX1800" s="8">
        <f>0</f>
        <v>0</v>
      </c>
      <c r="CY1800" s="8">
        <f>767187</f>
        <v>767187</v>
      </c>
      <c r="DA1800" s="5" t="s">
        <v>356</v>
      </c>
      <c r="DB1800" s="5" t="s">
        <v>238</v>
      </c>
      <c r="DD1800" s="5" t="s">
        <v>356</v>
      </c>
      <c r="DE1800" s="8">
        <f>79.01</f>
        <v>79.010000000000005</v>
      </c>
      <c r="DG1800" s="5" t="s">
        <v>238</v>
      </c>
      <c r="DH1800" s="5" t="s">
        <v>238</v>
      </c>
      <c r="DI1800" s="5" t="s">
        <v>238</v>
      </c>
      <c r="DJ1800" s="5" t="s">
        <v>238</v>
      </c>
      <c r="DN1800" s="5" t="s">
        <v>238</v>
      </c>
      <c r="DO1800" s="5" t="s">
        <v>238</v>
      </c>
      <c r="DP1800" s="5" t="s">
        <v>238</v>
      </c>
      <c r="DQ1800" s="5" t="s">
        <v>238</v>
      </c>
      <c r="DT1800" s="5" t="s">
        <v>2039</v>
      </c>
      <c r="DU1800" s="5" t="s">
        <v>2044</v>
      </c>
      <c r="HM1800" s="5" t="s">
        <v>264</v>
      </c>
    </row>
    <row r="1801" spans="1:221" x14ac:dyDescent="0.4">
      <c r="A1801" s="5">
        <v>3499</v>
      </c>
      <c r="B1801" s="5">
        <v>1</v>
      </c>
      <c r="C1801" s="5">
        <v>1</v>
      </c>
      <c r="D1801" s="5" t="s">
        <v>2037</v>
      </c>
      <c r="E1801" s="5" t="s">
        <v>271</v>
      </c>
      <c r="F1801" s="5" t="s">
        <v>248</v>
      </c>
      <c r="G1801" s="5" t="s">
        <v>3723</v>
      </c>
      <c r="H1801" s="6" t="s">
        <v>2321</v>
      </c>
      <c r="I1801" s="7">
        <f>938.78</f>
        <v>938.78</v>
      </c>
      <c r="J1801" s="5" t="s">
        <v>262</v>
      </c>
      <c r="K1801" s="8">
        <f>18365538</f>
        <v>18365538</v>
      </c>
      <c r="L1801" s="6" t="s">
        <v>2455</v>
      </c>
      <c r="M1801" s="5" t="s">
        <v>267</v>
      </c>
      <c r="N1801" s="5" t="s">
        <v>265</v>
      </c>
      <c r="O1801" s="5" t="s">
        <v>238</v>
      </c>
      <c r="P1801" s="5" t="s">
        <v>238</v>
      </c>
      <c r="Q1801" s="5" t="s">
        <v>239</v>
      </c>
      <c r="R1801" s="5" t="s">
        <v>270</v>
      </c>
      <c r="S1801" s="5" t="s">
        <v>238</v>
      </c>
      <c r="V1801" s="5" t="s">
        <v>238</v>
      </c>
      <c r="X1801" s="6" t="s">
        <v>238</v>
      </c>
      <c r="AA1801" s="6" t="s">
        <v>243</v>
      </c>
      <c r="AB1801" s="5" t="s">
        <v>1969</v>
      </c>
      <c r="AC1801" s="5" t="s">
        <v>244</v>
      </c>
      <c r="AD1801" s="5" t="s">
        <v>245</v>
      </c>
      <c r="AT1801" s="5" t="s">
        <v>246</v>
      </c>
      <c r="AU1801" s="5" t="s">
        <v>238</v>
      </c>
      <c r="AV1801" s="5" t="s">
        <v>247</v>
      </c>
      <c r="AW1801" s="5" t="s">
        <v>238</v>
      </c>
      <c r="AX1801" s="5" t="s">
        <v>249</v>
      </c>
      <c r="AY1801" s="5" t="s">
        <v>238</v>
      </c>
      <c r="BA1801" s="5" t="s">
        <v>238</v>
      </c>
      <c r="BC1801" s="5" t="s">
        <v>1468</v>
      </c>
      <c r="BD1801" s="6" t="s">
        <v>2455</v>
      </c>
      <c r="BE1801" s="5" t="s">
        <v>251</v>
      </c>
      <c r="BF1801" s="5" t="s">
        <v>2043</v>
      </c>
      <c r="BG1801" s="5" t="s">
        <v>238</v>
      </c>
      <c r="BH1801" s="7">
        <f>0</f>
        <v>0</v>
      </c>
      <c r="BI1801" s="8">
        <f>0</f>
        <v>0</v>
      </c>
      <c r="BJ1801" s="5" t="s">
        <v>253</v>
      </c>
      <c r="BK1801" s="5" t="s">
        <v>254</v>
      </c>
      <c r="BY1801" s="5" t="s">
        <v>238</v>
      </c>
      <c r="BZ1801" s="5" t="s">
        <v>238</v>
      </c>
      <c r="CD1801" s="5" t="s">
        <v>293</v>
      </c>
      <c r="CE1801" s="5" t="s">
        <v>256</v>
      </c>
      <c r="CF1801" s="5" t="s">
        <v>238</v>
      </c>
      <c r="CI1801" s="6" t="s">
        <v>257</v>
      </c>
      <c r="CJ1801" s="5" t="s">
        <v>238</v>
      </c>
      <c r="CK1801" s="5" t="s">
        <v>258</v>
      </c>
      <c r="CL1801" s="5" t="s">
        <v>238</v>
      </c>
      <c r="CM1801" s="5" t="s">
        <v>238</v>
      </c>
      <c r="CN1801" s="5">
        <v>0</v>
      </c>
      <c r="CO1801" s="5" t="s">
        <v>259</v>
      </c>
      <c r="CP1801" s="5" t="s">
        <v>260</v>
      </c>
      <c r="CQ1801" s="5" t="s">
        <v>260</v>
      </c>
      <c r="CR1801" s="5" t="s">
        <v>261</v>
      </c>
      <c r="CU1801" s="8">
        <f>18365538</f>
        <v>18365538</v>
      </c>
      <c r="CV1801" s="8">
        <f>0</f>
        <v>0</v>
      </c>
      <c r="CX1801" s="8">
        <f>0</f>
        <v>0</v>
      </c>
      <c r="CY1801" s="8">
        <f>18365538</f>
        <v>18365538</v>
      </c>
      <c r="DA1801" s="5" t="s">
        <v>356</v>
      </c>
      <c r="DB1801" s="5" t="s">
        <v>238</v>
      </c>
      <c r="DD1801" s="5" t="s">
        <v>356</v>
      </c>
      <c r="DE1801" s="8">
        <f>938.78</f>
        <v>938.78</v>
      </c>
      <c r="DG1801" s="5" t="s">
        <v>238</v>
      </c>
      <c r="DH1801" s="5" t="s">
        <v>238</v>
      </c>
      <c r="DI1801" s="5" t="s">
        <v>238</v>
      </c>
      <c r="DJ1801" s="5" t="s">
        <v>238</v>
      </c>
      <c r="DN1801" s="5" t="s">
        <v>238</v>
      </c>
      <c r="DO1801" s="5" t="s">
        <v>238</v>
      </c>
      <c r="DP1801" s="5" t="s">
        <v>238</v>
      </c>
      <c r="DQ1801" s="5" t="s">
        <v>238</v>
      </c>
      <c r="DT1801" s="5" t="s">
        <v>2039</v>
      </c>
      <c r="DU1801" s="5" t="s">
        <v>3724</v>
      </c>
      <c r="HM1801" s="5" t="s">
        <v>264</v>
      </c>
    </row>
    <row r="1802" spans="1:221" x14ac:dyDescent="0.4">
      <c r="A1802" s="5">
        <v>3500</v>
      </c>
      <c r="B1802" s="5">
        <v>1</v>
      </c>
      <c r="C1802" s="5">
        <v>1</v>
      </c>
      <c r="D1802" s="5" t="s">
        <v>2037</v>
      </c>
      <c r="E1802" s="5" t="s">
        <v>271</v>
      </c>
      <c r="F1802" s="5" t="s">
        <v>248</v>
      </c>
      <c r="G1802" s="5" t="s">
        <v>2236</v>
      </c>
      <c r="H1802" s="6" t="s">
        <v>2237</v>
      </c>
      <c r="I1802" s="7">
        <f>124.09</f>
        <v>124.09</v>
      </c>
      <c r="J1802" s="5" t="s">
        <v>262</v>
      </c>
      <c r="K1802" s="8">
        <f>173726</f>
        <v>173726</v>
      </c>
      <c r="L1802" s="6" t="s">
        <v>2135</v>
      </c>
      <c r="M1802" s="5" t="s">
        <v>267</v>
      </c>
      <c r="N1802" s="5" t="s">
        <v>265</v>
      </c>
      <c r="O1802" s="5" t="s">
        <v>238</v>
      </c>
      <c r="P1802" s="5" t="s">
        <v>238</v>
      </c>
      <c r="Q1802" s="5" t="s">
        <v>239</v>
      </c>
      <c r="R1802" s="5" t="s">
        <v>270</v>
      </c>
      <c r="S1802" s="5" t="s">
        <v>238</v>
      </c>
      <c r="V1802" s="5" t="s">
        <v>238</v>
      </c>
      <c r="X1802" s="6" t="s">
        <v>238</v>
      </c>
      <c r="AA1802" s="6" t="s">
        <v>243</v>
      </c>
      <c r="AB1802" s="5" t="s">
        <v>1969</v>
      </c>
      <c r="AC1802" s="5" t="s">
        <v>244</v>
      </c>
      <c r="AD1802" s="5" t="s">
        <v>245</v>
      </c>
      <c r="AT1802" s="5" t="s">
        <v>246</v>
      </c>
      <c r="AU1802" s="5" t="s">
        <v>238</v>
      </c>
      <c r="AV1802" s="5" t="s">
        <v>247</v>
      </c>
      <c r="AW1802" s="5" t="s">
        <v>238</v>
      </c>
      <c r="AX1802" s="5" t="s">
        <v>249</v>
      </c>
      <c r="AY1802" s="5" t="s">
        <v>238</v>
      </c>
      <c r="BA1802" s="5" t="s">
        <v>238</v>
      </c>
      <c r="BC1802" s="5" t="s">
        <v>1468</v>
      </c>
      <c r="BD1802" s="6" t="s">
        <v>2135</v>
      </c>
      <c r="BE1802" s="5" t="s">
        <v>251</v>
      </c>
      <c r="BF1802" s="5" t="s">
        <v>2043</v>
      </c>
      <c r="BG1802" s="5" t="s">
        <v>238</v>
      </c>
      <c r="BH1802" s="7">
        <f>0</f>
        <v>0</v>
      </c>
      <c r="BI1802" s="8">
        <f>0</f>
        <v>0</v>
      </c>
      <c r="BJ1802" s="5" t="s">
        <v>253</v>
      </c>
      <c r="BK1802" s="5" t="s">
        <v>254</v>
      </c>
      <c r="BY1802" s="5" t="s">
        <v>238</v>
      </c>
      <c r="BZ1802" s="5" t="s">
        <v>238</v>
      </c>
      <c r="CD1802" s="5" t="s">
        <v>293</v>
      </c>
      <c r="CE1802" s="5" t="s">
        <v>256</v>
      </c>
      <c r="CF1802" s="5" t="s">
        <v>238</v>
      </c>
      <c r="CI1802" s="6" t="s">
        <v>257</v>
      </c>
      <c r="CJ1802" s="5" t="s">
        <v>238</v>
      </c>
      <c r="CK1802" s="5" t="s">
        <v>258</v>
      </c>
      <c r="CL1802" s="5" t="s">
        <v>238</v>
      </c>
      <c r="CM1802" s="5" t="s">
        <v>238</v>
      </c>
      <c r="CN1802" s="5">
        <v>0</v>
      </c>
      <c r="CO1802" s="5" t="s">
        <v>259</v>
      </c>
      <c r="CP1802" s="5" t="s">
        <v>260</v>
      </c>
      <c r="CQ1802" s="5" t="s">
        <v>260</v>
      </c>
      <c r="CR1802" s="5" t="s">
        <v>261</v>
      </c>
      <c r="CU1802" s="8">
        <f>173726</f>
        <v>173726</v>
      </c>
      <c r="CV1802" s="8">
        <f>0</f>
        <v>0</v>
      </c>
      <c r="CX1802" s="8">
        <f>0</f>
        <v>0</v>
      </c>
      <c r="CY1802" s="8">
        <f>173726</f>
        <v>173726</v>
      </c>
      <c r="DA1802" s="5" t="s">
        <v>356</v>
      </c>
      <c r="DB1802" s="5" t="s">
        <v>238</v>
      </c>
      <c r="DD1802" s="5" t="s">
        <v>356</v>
      </c>
      <c r="DE1802" s="8">
        <f>124.09</f>
        <v>124.09</v>
      </c>
      <c r="DG1802" s="5" t="s">
        <v>238</v>
      </c>
      <c r="DH1802" s="5" t="s">
        <v>238</v>
      </c>
      <c r="DI1802" s="5" t="s">
        <v>238</v>
      </c>
      <c r="DJ1802" s="5" t="s">
        <v>238</v>
      </c>
      <c r="DN1802" s="5" t="s">
        <v>238</v>
      </c>
      <c r="DO1802" s="5" t="s">
        <v>238</v>
      </c>
      <c r="DP1802" s="5" t="s">
        <v>238</v>
      </c>
      <c r="DQ1802" s="5" t="s">
        <v>238</v>
      </c>
      <c r="DT1802" s="5" t="s">
        <v>2039</v>
      </c>
      <c r="DU1802" s="5" t="s">
        <v>2238</v>
      </c>
      <c r="HM1802" s="5" t="s">
        <v>264</v>
      </c>
    </row>
    <row r="1803" spans="1:221" x14ac:dyDescent="0.4">
      <c r="A1803" s="5">
        <v>3501</v>
      </c>
      <c r="B1803" s="5">
        <v>1</v>
      </c>
      <c r="C1803" s="5">
        <v>1</v>
      </c>
      <c r="D1803" s="5" t="s">
        <v>2037</v>
      </c>
      <c r="E1803" s="5" t="s">
        <v>271</v>
      </c>
      <c r="F1803" s="5" t="s">
        <v>248</v>
      </c>
      <c r="G1803" s="5" t="s">
        <v>3477</v>
      </c>
      <c r="H1803" s="6" t="s">
        <v>3478</v>
      </c>
      <c r="I1803" s="7">
        <f>2323.21</f>
        <v>2323.21</v>
      </c>
      <c r="J1803" s="5" t="s">
        <v>262</v>
      </c>
      <c r="K1803" s="8">
        <f>16096259</f>
        <v>16096259</v>
      </c>
      <c r="L1803" s="6" t="s">
        <v>2455</v>
      </c>
      <c r="M1803" s="5" t="s">
        <v>267</v>
      </c>
      <c r="N1803" s="5" t="s">
        <v>265</v>
      </c>
      <c r="O1803" s="5" t="s">
        <v>238</v>
      </c>
      <c r="P1803" s="5" t="s">
        <v>238</v>
      </c>
      <c r="Q1803" s="5" t="s">
        <v>239</v>
      </c>
      <c r="R1803" s="5" t="s">
        <v>270</v>
      </c>
      <c r="S1803" s="5" t="s">
        <v>238</v>
      </c>
      <c r="V1803" s="5" t="s">
        <v>238</v>
      </c>
      <c r="X1803" s="6" t="s">
        <v>238</v>
      </c>
      <c r="AA1803" s="6" t="s">
        <v>243</v>
      </c>
      <c r="AB1803" s="5" t="s">
        <v>1969</v>
      </c>
      <c r="AC1803" s="5" t="s">
        <v>244</v>
      </c>
      <c r="AD1803" s="5" t="s">
        <v>245</v>
      </c>
      <c r="AT1803" s="5" t="s">
        <v>246</v>
      </c>
      <c r="AU1803" s="5" t="s">
        <v>238</v>
      </c>
      <c r="AV1803" s="5" t="s">
        <v>247</v>
      </c>
      <c r="AW1803" s="5" t="s">
        <v>238</v>
      </c>
      <c r="AX1803" s="5" t="s">
        <v>249</v>
      </c>
      <c r="AY1803" s="5" t="s">
        <v>238</v>
      </c>
      <c r="BA1803" s="5" t="s">
        <v>238</v>
      </c>
      <c r="BC1803" s="5" t="s">
        <v>1468</v>
      </c>
      <c r="BD1803" s="6" t="s">
        <v>2455</v>
      </c>
      <c r="BE1803" s="5" t="s">
        <v>251</v>
      </c>
      <c r="BF1803" s="5" t="s">
        <v>2043</v>
      </c>
      <c r="BG1803" s="5" t="s">
        <v>238</v>
      </c>
      <c r="BH1803" s="7">
        <f>0</f>
        <v>0</v>
      </c>
      <c r="BI1803" s="8">
        <f>0</f>
        <v>0</v>
      </c>
      <c r="BJ1803" s="5" t="s">
        <v>253</v>
      </c>
      <c r="BK1803" s="5" t="s">
        <v>254</v>
      </c>
      <c r="BY1803" s="5" t="s">
        <v>238</v>
      </c>
      <c r="BZ1803" s="5" t="s">
        <v>238</v>
      </c>
      <c r="CD1803" s="5" t="s">
        <v>293</v>
      </c>
      <c r="CE1803" s="5" t="s">
        <v>256</v>
      </c>
      <c r="CF1803" s="5" t="s">
        <v>238</v>
      </c>
      <c r="CI1803" s="6" t="s">
        <v>257</v>
      </c>
      <c r="CJ1803" s="5" t="s">
        <v>238</v>
      </c>
      <c r="CK1803" s="5" t="s">
        <v>258</v>
      </c>
      <c r="CL1803" s="5" t="s">
        <v>238</v>
      </c>
      <c r="CM1803" s="5" t="s">
        <v>238</v>
      </c>
      <c r="CN1803" s="5">
        <v>0</v>
      </c>
      <c r="CO1803" s="5" t="s">
        <v>259</v>
      </c>
      <c r="CP1803" s="5" t="s">
        <v>260</v>
      </c>
      <c r="CQ1803" s="5" t="s">
        <v>260</v>
      </c>
      <c r="CR1803" s="5" t="s">
        <v>261</v>
      </c>
      <c r="CU1803" s="8">
        <f>16096259</f>
        <v>16096259</v>
      </c>
      <c r="CV1803" s="8">
        <f>0</f>
        <v>0</v>
      </c>
      <c r="CX1803" s="8">
        <f>0</f>
        <v>0</v>
      </c>
      <c r="CY1803" s="8">
        <f>16096259</f>
        <v>16096259</v>
      </c>
      <c r="DA1803" s="5" t="s">
        <v>356</v>
      </c>
      <c r="DB1803" s="5" t="s">
        <v>238</v>
      </c>
      <c r="DD1803" s="5" t="s">
        <v>356</v>
      </c>
      <c r="DE1803" s="8">
        <f>2323.21</f>
        <v>2323.21</v>
      </c>
      <c r="DG1803" s="5" t="s">
        <v>238</v>
      </c>
      <c r="DH1803" s="5" t="s">
        <v>238</v>
      </c>
      <c r="DI1803" s="5" t="s">
        <v>238</v>
      </c>
      <c r="DJ1803" s="5" t="s">
        <v>238</v>
      </c>
      <c r="DN1803" s="5" t="s">
        <v>238</v>
      </c>
      <c r="DO1803" s="5" t="s">
        <v>238</v>
      </c>
      <c r="DP1803" s="5" t="s">
        <v>238</v>
      </c>
      <c r="DQ1803" s="5" t="s">
        <v>238</v>
      </c>
      <c r="DT1803" s="5" t="s">
        <v>2039</v>
      </c>
      <c r="DU1803" s="5" t="s">
        <v>3479</v>
      </c>
      <c r="HM1803" s="5" t="s">
        <v>264</v>
      </c>
    </row>
    <row r="1804" spans="1:221" x14ac:dyDescent="0.4">
      <c r="A1804" s="5">
        <v>3502</v>
      </c>
      <c r="B1804" s="5">
        <v>1</v>
      </c>
      <c r="C1804" s="5">
        <v>1</v>
      </c>
      <c r="D1804" s="5" t="s">
        <v>2037</v>
      </c>
      <c r="E1804" s="5" t="s">
        <v>271</v>
      </c>
      <c r="F1804" s="5" t="s">
        <v>248</v>
      </c>
      <c r="G1804" s="5" t="s">
        <v>2463</v>
      </c>
      <c r="H1804" s="6" t="s">
        <v>2464</v>
      </c>
      <c r="I1804" s="7">
        <f>0</f>
        <v>0</v>
      </c>
      <c r="J1804" s="5" t="s">
        <v>262</v>
      </c>
      <c r="K1804" s="8">
        <f>5031548</f>
        <v>5031548</v>
      </c>
      <c r="L1804" s="6" t="s">
        <v>2135</v>
      </c>
      <c r="M1804" s="5" t="s">
        <v>267</v>
      </c>
      <c r="N1804" s="5" t="s">
        <v>265</v>
      </c>
      <c r="O1804" s="5" t="s">
        <v>238</v>
      </c>
      <c r="P1804" s="5" t="s">
        <v>238</v>
      </c>
      <c r="Q1804" s="5" t="s">
        <v>239</v>
      </c>
      <c r="R1804" s="5" t="s">
        <v>238</v>
      </c>
      <c r="S1804" s="5" t="s">
        <v>238</v>
      </c>
      <c r="V1804" s="5" t="s">
        <v>238</v>
      </c>
      <c r="X1804" s="6" t="s">
        <v>238</v>
      </c>
      <c r="AA1804" s="6" t="s">
        <v>243</v>
      </c>
      <c r="AB1804" s="5" t="s">
        <v>238</v>
      </c>
      <c r="AC1804" s="5" t="s">
        <v>244</v>
      </c>
      <c r="AD1804" s="5" t="s">
        <v>261</v>
      </c>
      <c r="AT1804" s="5" t="s">
        <v>246</v>
      </c>
      <c r="AU1804" s="5" t="s">
        <v>238</v>
      </c>
      <c r="AV1804" s="5" t="s">
        <v>247</v>
      </c>
      <c r="AW1804" s="5" t="s">
        <v>238</v>
      </c>
      <c r="AX1804" s="5" t="s">
        <v>249</v>
      </c>
      <c r="AY1804" s="5" t="s">
        <v>238</v>
      </c>
      <c r="BA1804" s="5" t="s">
        <v>238</v>
      </c>
      <c r="BC1804" s="5" t="s">
        <v>1468</v>
      </c>
      <c r="BD1804" s="6" t="s">
        <v>2135</v>
      </c>
      <c r="BE1804" s="5" t="s">
        <v>251</v>
      </c>
      <c r="BF1804" s="5" t="s">
        <v>2043</v>
      </c>
      <c r="BG1804" s="5" t="s">
        <v>238</v>
      </c>
      <c r="BH1804" s="7">
        <f>0</f>
        <v>0</v>
      </c>
      <c r="BI1804" s="8">
        <f>0</f>
        <v>0</v>
      </c>
      <c r="BJ1804" s="5" t="s">
        <v>253</v>
      </c>
      <c r="BK1804" s="5" t="s">
        <v>254</v>
      </c>
      <c r="BY1804" s="5" t="s">
        <v>238</v>
      </c>
      <c r="BZ1804" s="5" t="s">
        <v>238</v>
      </c>
      <c r="CD1804" s="5" t="s">
        <v>293</v>
      </c>
      <c r="CE1804" s="5" t="s">
        <v>256</v>
      </c>
      <c r="CF1804" s="5" t="s">
        <v>238</v>
      </c>
      <c r="CI1804" s="6" t="s">
        <v>257</v>
      </c>
      <c r="CJ1804" s="5" t="s">
        <v>238</v>
      </c>
      <c r="CK1804" s="5" t="s">
        <v>258</v>
      </c>
      <c r="CL1804" s="5" t="s">
        <v>238</v>
      </c>
      <c r="CM1804" s="5" t="s">
        <v>238</v>
      </c>
      <c r="CN1804" s="5">
        <v>0</v>
      </c>
      <c r="CO1804" s="5" t="s">
        <v>259</v>
      </c>
      <c r="CP1804" s="5" t="s">
        <v>260</v>
      </c>
      <c r="CQ1804" s="5" t="s">
        <v>260</v>
      </c>
      <c r="CR1804" s="5" t="s">
        <v>261</v>
      </c>
      <c r="CU1804" s="8">
        <f>5031548</f>
        <v>5031548</v>
      </c>
      <c r="CV1804" s="8">
        <f>0</f>
        <v>0</v>
      </c>
      <c r="CX1804" s="8">
        <f>0</f>
        <v>0</v>
      </c>
      <c r="CY1804" s="8">
        <f>5031548</f>
        <v>5031548</v>
      </c>
      <c r="DA1804" s="5" t="s">
        <v>356</v>
      </c>
      <c r="DB1804" s="5" t="s">
        <v>238</v>
      </c>
      <c r="DD1804" s="5" t="s">
        <v>356</v>
      </c>
      <c r="DE1804" s="8">
        <f>0</f>
        <v>0</v>
      </c>
      <c r="DG1804" s="5" t="s">
        <v>238</v>
      </c>
      <c r="DH1804" s="5" t="s">
        <v>238</v>
      </c>
      <c r="DI1804" s="5" t="s">
        <v>238</v>
      </c>
      <c r="DJ1804" s="5" t="s">
        <v>238</v>
      </c>
      <c r="DN1804" s="5" t="s">
        <v>238</v>
      </c>
      <c r="DO1804" s="5" t="s">
        <v>238</v>
      </c>
      <c r="DP1804" s="5" t="s">
        <v>238</v>
      </c>
      <c r="DQ1804" s="5" t="s">
        <v>238</v>
      </c>
      <c r="DT1804" s="5" t="s">
        <v>2039</v>
      </c>
      <c r="DU1804" s="5" t="s">
        <v>2465</v>
      </c>
      <c r="HM1804" s="5" t="s">
        <v>264</v>
      </c>
    </row>
    <row r="1805" spans="1:221" x14ac:dyDescent="0.4">
      <c r="A1805" s="5">
        <v>3503</v>
      </c>
      <c r="B1805" s="5">
        <v>1</v>
      </c>
      <c r="C1805" s="5">
        <v>1</v>
      </c>
      <c r="D1805" s="5" t="s">
        <v>2037</v>
      </c>
      <c r="E1805" s="5" t="s">
        <v>271</v>
      </c>
      <c r="F1805" s="5" t="s">
        <v>248</v>
      </c>
      <c r="G1805" s="5" t="s">
        <v>3463</v>
      </c>
      <c r="H1805" s="6" t="s">
        <v>3464</v>
      </c>
      <c r="I1805" s="7">
        <f>0</f>
        <v>0</v>
      </c>
      <c r="J1805" s="5" t="s">
        <v>262</v>
      </c>
      <c r="K1805" s="8">
        <f>1155657</f>
        <v>1155657</v>
      </c>
      <c r="L1805" s="6" t="s">
        <v>2355</v>
      </c>
      <c r="M1805" s="5" t="s">
        <v>267</v>
      </c>
      <c r="N1805" s="5" t="s">
        <v>265</v>
      </c>
      <c r="O1805" s="5" t="s">
        <v>238</v>
      </c>
      <c r="P1805" s="5" t="s">
        <v>238</v>
      </c>
      <c r="Q1805" s="5" t="s">
        <v>239</v>
      </c>
      <c r="R1805" s="5" t="s">
        <v>238</v>
      </c>
      <c r="S1805" s="5" t="s">
        <v>238</v>
      </c>
      <c r="V1805" s="5" t="s">
        <v>238</v>
      </c>
      <c r="X1805" s="6" t="s">
        <v>238</v>
      </c>
      <c r="AA1805" s="6" t="s">
        <v>243</v>
      </c>
      <c r="AB1805" s="5" t="s">
        <v>238</v>
      </c>
      <c r="AC1805" s="5" t="s">
        <v>244</v>
      </c>
      <c r="AD1805" s="5" t="s">
        <v>261</v>
      </c>
      <c r="AT1805" s="5" t="s">
        <v>246</v>
      </c>
      <c r="AU1805" s="5" t="s">
        <v>238</v>
      </c>
      <c r="AV1805" s="5" t="s">
        <v>247</v>
      </c>
      <c r="AW1805" s="5" t="s">
        <v>238</v>
      </c>
      <c r="AX1805" s="5" t="s">
        <v>249</v>
      </c>
      <c r="AY1805" s="5" t="s">
        <v>238</v>
      </c>
      <c r="BA1805" s="5" t="s">
        <v>238</v>
      </c>
      <c r="BC1805" s="5" t="s">
        <v>1468</v>
      </c>
      <c r="BD1805" s="6" t="s">
        <v>2355</v>
      </c>
      <c r="BE1805" s="5" t="s">
        <v>251</v>
      </c>
      <c r="BF1805" s="5" t="s">
        <v>2043</v>
      </c>
      <c r="BG1805" s="5" t="s">
        <v>238</v>
      </c>
      <c r="BH1805" s="7">
        <f>0</f>
        <v>0</v>
      </c>
      <c r="BI1805" s="8">
        <f>0</f>
        <v>0</v>
      </c>
      <c r="BJ1805" s="5" t="s">
        <v>253</v>
      </c>
      <c r="BK1805" s="5" t="s">
        <v>254</v>
      </c>
      <c r="BY1805" s="5" t="s">
        <v>238</v>
      </c>
      <c r="BZ1805" s="5" t="s">
        <v>238</v>
      </c>
      <c r="CD1805" s="5" t="s">
        <v>293</v>
      </c>
      <c r="CE1805" s="5" t="s">
        <v>256</v>
      </c>
      <c r="CF1805" s="5" t="s">
        <v>238</v>
      </c>
      <c r="CI1805" s="6" t="s">
        <v>257</v>
      </c>
      <c r="CJ1805" s="5" t="s">
        <v>238</v>
      </c>
      <c r="CK1805" s="5" t="s">
        <v>258</v>
      </c>
      <c r="CL1805" s="5" t="s">
        <v>238</v>
      </c>
      <c r="CM1805" s="5" t="s">
        <v>238</v>
      </c>
      <c r="CN1805" s="5">
        <v>0</v>
      </c>
      <c r="CO1805" s="5" t="s">
        <v>259</v>
      </c>
      <c r="CP1805" s="5" t="s">
        <v>260</v>
      </c>
      <c r="CQ1805" s="5" t="s">
        <v>260</v>
      </c>
      <c r="CR1805" s="5" t="s">
        <v>261</v>
      </c>
      <c r="CU1805" s="8">
        <f>1155657</f>
        <v>1155657</v>
      </c>
      <c r="CV1805" s="8">
        <f>0</f>
        <v>0</v>
      </c>
      <c r="CX1805" s="8">
        <f>0</f>
        <v>0</v>
      </c>
      <c r="CY1805" s="8">
        <f>1155657</f>
        <v>1155657</v>
      </c>
      <c r="DA1805" s="5" t="s">
        <v>356</v>
      </c>
      <c r="DB1805" s="5" t="s">
        <v>238</v>
      </c>
      <c r="DD1805" s="5" t="s">
        <v>356</v>
      </c>
      <c r="DE1805" s="8">
        <f>0</f>
        <v>0</v>
      </c>
      <c r="DG1805" s="5" t="s">
        <v>238</v>
      </c>
      <c r="DH1805" s="5" t="s">
        <v>238</v>
      </c>
      <c r="DI1805" s="5" t="s">
        <v>238</v>
      </c>
      <c r="DJ1805" s="5" t="s">
        <v>238</v>
      </c>
      <c r="DN1805" s="5" t="s">
        <v>238</v>
      </c>
      <c r="DO1805" s="5" t="s">
        <v>238</v>
      </c>
      <c r="DP1805" s="5" t="s">
        <v>238</v>
      </c>
      <c r="DQ1805" s="5" t="s">
        <v>238</v>
      </c>
      <c r="DT1805" s="5" t="s">
        <v>2039</v>
      </c>
      <c r="DU1805" s="5" t="s">
        <v>3465</v>
      </c>
      <c r="HM1805" s="5" t="s">
        <v>264</v>
      </c>
    </row>
    <row r="1806" spans="1:221" x14ac:dyDescent="0.4">
      <c r="A1806" s="5">
        <v>3504</v>
      </c>
      <c r="B1806" s="5">
        <v>1</v>
      </c>
      <c r="C1806" s="5">
        <v>1</v>
      </c>
      <c r="D1806" s="5" t="s">
        <v>2037</v>
      </c>
      <c r="E1806" s="5" t="s">
        <v>271</v>
      </c>
      <c r="F1806" s="5" t="s">
        <v>248</v>
      </c>
      <c r="G1806" s="5" t="s">
        <v>3514</v>
      </c>
      <c r="H1806" s="6" t="s">
        <v>3516</v>
      </c>
      <c r="I1806" s="7">
        <f>0</f>
        <v>0</v>
      </c>
      <c r="J1806" s="5" t="s">
        <v>262</v>
      </c>
      <c r="K1806" s="8">
        <f>317534</f>
        <v>317534</v>
      </c>
      <c r="L1806" s="6" t="s">
        <v>2355</v>
      </c>
      <c r="M1806" s="5" t="s">
        <v>267</v>
      </c>
      <c r="N1806" s="5" t="s">
        <v>265</v>
      </c>
      <c r="O1806" s="5" t="s">
        <v>238</v>
      </c>
      <c r="P1806" s="5" t="s">
        <v>238</v>
      </c>
      <c r="Q1806" s="5" t="s">
        <v>239</v>
      </c>
      <c r="R1806" s="5" t="s">
        <v>238</v>
      </c>
      <c r="S1806" s="5" t="s">
        <v>238</v>
      </c>
      <c r="V1806" s="5" t="s">
        <v>238</v>
      </c>
      <c r="X1806" s="6" t="s">
        <v>238</v>
      </c>
      <c r="AA1806" s="6" t="s">
        <v>243</v>
      </c>
      <c r="AB1806" s="5" t="s">
        <v>3515</v>
      </c>
      <c r="AC1806" s="5" t="s">
        <v>244</v>
      </c>
      <c r="AD1806" s="5" t="s">
        <v>245</v>
      </c>
      <c r="AT1806" s="5" t="s">
        <v>246</v>
      </c>
      <c r="AU1806" s="5" t="s">
        <v>238</v>
      </c>
      <c r="AV1806" s="5" t="s">
        <v>247</v>
      </c>
      <c r="AW1806" s="5" t="s">
        <v>238</v>
      </c>
      <c r="AX1806" s="5" t="s">
        <v>249</v>
      </c>
      <c r="AY1806" s="5" t="s">
        <v>238</v>
      </c>
      <c r="BA1806" s="5" t="s">
        <v>238</v>
      </c>
      <c r="BC1806" s="5" t="s">
        <v>1468</v>
      </c>
      <c r="BD1806" s="6" t="s">
        <v>2355</v>
      </c>
      <c r="BE1806" s="5" t="s">
        <v>251</v>
      </c>
      <c r="BF1806" s="5" t="s">
        <v>2043</v>
      </c>
      <c r="BG1806" s="5" t="s">
        <v>238</v>
      </c>
      <c r="BH1806" s="7">
        <f>0</f>
        <v>0</v>
      </c>
      <c r="BI1806" s="8">
        <f>0</f>
        <v>0</v>
      </c>
      <c r="BJ1806" s="5" t="s">
        <v>253</v>
      </c>
      <c r="BK1806" s="5" t="s">
        <v>254</v>
      </c>
      <c r="BY1806" s="5" t="s">
        <v>238</v>
      </c>
      <c r="BZ1806" s="5" t="s">
        <v>238</v>
      </c>
      <c r="CD1806" s="5" t="s">
        <v>293</v>
      </c>
      <c r="CE1806" s="5" t="s">
        <v>256</v>
      </c>
      <c r="CF1806" s="5" t="s">
        <v>238</v>
      </c>
      <c r="CI1806" s="6" t="s">
        <v>257</v>
      </c>
      <c r="CJ1806" s="5" t="s">
        <v>238</v>
      </c>
      <c r="CK1806" s="5" t="s">
        <v>258</v>
      </c>
      <c r="CL1806" s="5" t="s">
        <v>238</v>
      </c>
      <c r="CM1806" s="5" t="s">
        <v>238</v>
      </c>
      <c r="CN1806" s="5">
        <v>0</v>
      </c>
      <c r="CO1806" s="5" t="s">
        <v>259</v>
      </c>
      <c r="CP1806" s="5" t="s">
        <v>260</v>
      </c>
      <c r="CQ1806" s="5" t="s">
        <v>260</v>
      </c>
      <c r="CR1806" s="5" t="s">
        <v>261</v>
      </c>
      <c r="CU1806" s="8">
        <f>317534</f>
        <v>317534</v>
      </c>
      <c r="CV1806" s="8">
        <f>0</f>
        <v>0</v>
      </c>
      <c r="CX1806" s="8">
        <f>0</f>
        <v>0</v>
      </c>
      <c r="CY1806" s="8">
        <f>317534</f>
        <v>317534</v>
      </c>
      <c r="DA1806" s="5" t="s">
        <v>356</v>
      </c>
      <c r="DB1806" s="5" t="s">
        <v>238</v>
      </c>
      <c r="DD1806" s="5" t="s">
        <v>356</v>
      </c>
      <c r="DE1806" s="8">
        <f>0</f>
        <v>0</v>
      </c>
      <c r="DG1806" s="5" t="s">
        <v>238</v>
      </c>
      <c r="DH1806" s="5" t="s">
        <v>238</v>
      </c>
      <c r="DI1806" s="5" t="s">
        <v>238</v>
      </c>
      <c r="DJ1806" s="5" t="s">
        <v>238</v>
      </c>
      <c r="DN1806" s="5" t="s">
        <v>238</v>
      </c>
      <c r="DO1806" s="5" t="s">
        <v>238</v>
      </c>
      <c r="DP1806" s="5" t="s">
        <v>238</v>
      </c>
      <c r="DQ1806" s="5" t="s">
        <v>238</v>
      </c>
      <c r="DT1806" s="5" t="s">
        <v>2039</v>
      </c>
      <c r="DU1806" s="5" t="s">
        <v>3517</v>
      </c>
      <c r="HM1806" s="5" t="s">
        <v>264</v>
      </c>
    </row>
    <row r="1807" spans="1:221" x14ac:dyDescent="0.4">
      <c r="A1807" s="5">
        <v>3505</v>
      </c>
      <c r="B1807" s="5">
        <v>1</v>
      </c>
      <c r="C1807" s="5">
        <v>1</v>
      </c>
      <c r="D1807" s="5" t="s">
        <v>2037</v>
      </c>
      <c r="E1807" s="5" t="s">
        <v>271</v>
      </c>
      <c r="F1807" s="5" t="s">
        <v>248</v>
      </c>
      <c r="G1807" s="5" t="s">
        <v>3471</v>
      </c>
      <c r="H1807" s="6" t="s">
        <v>3472</v>
      </c>
      <c r="I1807" s="7">
        <f>470.93</f>
        <v>470.93</v>
      </c>
      <c r="J1807" s="5" t="s">
        <v>262</v>
      </c>
      <c r="K1807" s="8">
        <f>891766</f>
        <v>891766</v>
      </c>
      <c r="L1807" s="6" t="s">
        <v>2350</v>
      </c>
      <c r="M1807" s="5" t="s">
        <v>267</v>
      </c>
      <c r="N1807" s="5" t="s">
        <v>265</v>
      </c>
      <c r="O1807" s="5" t="s">
        <v>238</v>
      </c>
      <c r="P1807" s="5" t="s">
        <v>238</v>
      </c>
      <c r="Q1807" s="5" t="s">
        <v>239</v>
      </c>
      <c r="R1807" s="5" t="s">
        <v>238</v>
      </c>
      <c r="S1807" s="5" t="s">
        <v>238</v>
      </c>
      <c r="V1807" s="5" t="s">
        <v>238</v>
      </c>
      <c r="X1807" s="6" t="s">
        <v>238</v>
      </c>
      <c r="AA1807" s="6" t="s">
        <v>243</v>
      </c>
      <c r="AB1807" s="5" t="s">
        <v>238</v>
      </c>
      <c r="AC1807" s="5" t="s">
        <v>244</v>
      </c>
      <c r="AD1807" s="5" t="s">
        <v>261</v>
      </c>
      <c r="AT1807" s="5" t="s">
        <v>246</v>
      </c>
      <c r="AU1807" s="5" t="s">
        <v>238</v>
      </c>
      <c r="AV1807" s="5" t="s">
        <v>247</v>
      </c>
      <c r="AW1807" s="5" t="s">
        <v>238</v>
      </c>
      <c r="AX1807" s="5" t="s">
        <v>249</v>
      </c>
      <c r="AY1807" s="5" t="s">
        <v>238</v>
      </c>
      <c r="BA1807" s="5" t="s">
        <v>238</v>
      </c>
      <c r="BC1807" s="5" t="s">
        <v>1468</v>
      </c>
      <c r="BD1807" s="6" t="s">
        <v>2350</v>
      </c>
      <c r="BE1807" s="5" t="s">
        <v>251</v>
      </c>
      <c r="BF1807" s="5" t="s">
        <v>2043</v>
      </c>
      <c r="BG1807" s="5" t="s">
        <v>238</v>
      </c>
      <c r="BH1807" s="7">
        <f>0</f>
        <v>0</v>
      </c>
      <c r="BI1807" s="8">
        <f>0</f>
        <v>0</v>
      </c>
      <c r="BJ1807" s="5" t="s">
        <v>253</v>
      </c>
      <c r="BK1807" s="5" t="s">
        <v>254</v>
      </c>
      <c r="BY1807" s="5" t="s">
        <v>238</v>
      </c>
      <c r="BZ1807" s="5" t="s">
        <v>238</v>
      </c>
      <c r="CD1807" s="5" t="s">
        <v>293</v>
      </c>
      <c r="CE1807" s="5" t="s">
        <v>256</v>
      </c>
      <c r="CF1807" s="5" t="s">
        <v>238</v>
      </c>
      <c r="CI1807" s="6" t="s">
        <v>257</v>
      </c>
      <c r="CJ1807" s="5" t="s">
        <v>238</v>
      </c>
      <c r="CK1807" s="5" t="s">
        <v>258</v>
      </c>
      <c r="CL1807" s="5" t="s">
        <v>238</v>
      </c>
      <c r="CM1807" s="5" t="s">
        <v>238</v>
      </c>
      <c r="CN1807" s="5">
        <v>0</v>
      </c>
      <c r="CO1807" s="5" t="s">
        <v>259</v>
      </c>
      <c r="CP1807" s="5" t="s">
        <v>260</v>
      </c>
      <c r="CQ1807" s="5" t="s">
        <v>260</v>
      </c>
      <c r="CR1807" s="5" t="s">
        <v>261</v>
      </c>
      <c r="CU1807" s="8">
        <f>891766</f>
        <v>891766</v>
      </c>
      <c r="CV1807" s="8">
        <f>0</f>
        <v>0</v>
      </c>
      <c r="CX1807" s="8">
        <f>0</f>
        <v>0</v>
      </c>
      <c r="CY1807" s="8">
        <f>891766</f>
        <v>891766</v>
      </c>
      <c r="DA1807" s="5" t="s">
        <v>356</v>
      </c>
      <c r="DB1807" s="5" t="s">
        <v>238</v>
      </c>
      <c r="DD1807" s="5" t="s">
        <v>356</v>
      </c>
      <c r="DE1807" s="8">
        <f>470.93</f>
        <v>470.93</v>
      </c>
      <c r="DG1807" s="5" t="s">
        <v>238</v>
      </c>
      <c r="DH1807" s="5" t="s">
        <v>238</v>
      </c>
      <c r="DI1807" s="5" t="s">
        <v>238</v>
      </c>
      <c r="DJ1807" s="5" t="s">
        <v>238</v>
      </c>
      <c r="DN1807" s="5" t="s">
        <v>238</v>
      </c>
      <c r="DO1807" s="5" t="s">
        <v>238</v>
      </c>
      <c r="DP1807" s="5" t="s">
        <v>238</v>
      </c>
      <c r="DQ1807" s="5" t="s">
        <v>238</v>
      </c>
      <c r="DT1807" s="5" t="s">
        <v>2039</v>
      </c>
      <c r="DU1807" s="5" t="s">
        <v>3473</v>
      </c>
      <c r="HM1807" s="5" t="s">
        <v>264</v>
      </c>
    </row>
    <row r="1808" spans="1:221" x14ac:dyDescent="0.4">
      <c r="A1808" s="5">
        <v>3506</v>
      </c>
      <c r="B1808" s="5">
        <v>1</v>
      </c>
      <c r="C1808" s="5">
        <v>1</v>
      </c>
      <c r="D1808" s="5" t="s">
        <v>2037</v>
      </c>
      <c r="E1808" s="5" t="s">
        <v>271</v>
      </c>
      <c r="F1808" s="5" t="s">
        <v>248</v>
      </c>
      <c r="G1808" s="5" t="s">
        <v>2258</v>
      </c>
      <c r="H1808" s="6" t="s">
        <v>2261</v>
      </c>
      <c r="I1808" s="7">
        <f>0</f>
        <v>0</v>
      </c>
      <c r="J1808" s="5" t="s">
        <v>262</v>
      </c>
      <c r="K1808" s="8">
        <f>971421</f>
        <v>971421</v>
      </c>
      <c r="L1808" s="6" t="s">
        <v>2259</v>
      </c>
      <c r="M1808" s="5" t="s">
        <v>267</v>
      </c>
      <c r="N1808" s="5" t="s">
        <v>265</v>
      </c>
      <c r="O1808" s="5" t="s">
        <v>238</v>
      </c>
      <c r="P1808" s="5" t="s">
        <v>238</v>
      </c>
      <c r="Q1808" s="5" t="s">
        <v>239</v>
      </c>
      <c r="R1808" s="5" t="s">
        <v>238</v>
      </c>
      <c r="S1808" s="5" t="s">
        <v>238</v>
      </c>
      <c r="V1808" s="5" t="s">
        <v>238</v>
      </c>
      <c r="X1808" s="6" t="s">
        <v>238</v>
      </c>
      <c r="AA1808" s="6" t="s">
        <v>243</v>
      </c>
      <c r="AB1808" s="5" t="s">
        <v>2260</v>
      </c>
      <c r="AC1808" s="5" t="s">
        <v>244</v>
      </c>
      <c r="AD1808" s="5" t="s">
        <v>261</v>
      </c>
      <c r="AT1808" s="5" t="s">
        <v>246</v>
      </c>
      <c r="AU1808" s="5" t="s">
        <v>238</v>
      </c>
      <c r="AV1808" s="5" t="s">
        <v>247</v>
      </c>
      <c r="AW1808" s="5" t="s">
        <v>238</v>
      </c>
      <c r="AX1808" s="5" t="s">
        <v>249</v>
      </c>
      <c r="AY1808" s="5" t="s">
        <v>238</v>
      </c>
      <c r="BA1808" s="5" t="s">
        <v>238</v>
      </c>
      <c r="BC1808" s="5" t="s">
        <v>1468</v>
      </c>
      <c r="BD1808" s="6" t="s">
        <v>2259</v>
      </c>
      <c r="BE1808" s="5" t="s">
        <v>251</v>
      </c>
      <c r="BF1808" s="5" t="s">
        <v>2043</v>
      </c>
      <c r="BG1808" s="5" t="s">
        <v>238</v>
      </c>
      <c r="BH1808" s="7">
        <f>0</f>
        <v>0</v>
      </c>
      <c r="BI1808" s="8">
        <f>0</f>
        <v>0</v>
      </c>
      <c r="BJ1808" s="5" t="s">
        <v>253</v>
      </c>
      <c r="BK1808" s="5" t="s">
        <v>254</v>
      </c>
      <c r="BY1808" s="5" t="s">
        <v>238</v>
      </c>
      <c r="BZ1808" s="5" t="s">
        <v>238</v>
      </c>
      <c r="CD1808" s="5" t="s">
        <v>293</v>
      </c>
      <c r="CE1808" s="5" t="s">
        <v>256</v>
      </c>
      <c r="CF1808" s="5" t="s">
        <v>238</v>
      </c>
      <c r="CI1808" s="6" t="s">
        <v>257</v>
      </c>
      <c r="CJ1808" s="5" t="s">
        <v>238</v>
      </c>
      <c r="CK1808" s="5" t="s">
        <v>258</v>
      </c>
      <c r="CL1808" s="5" t="s">
        <v>238</v>
      </c>
      <c r="CM1808" s="5" t="s">
        <v>238</v>
      </c>
      <c r="CN1808" s="5">
        <v>0</v>
      </c>
      <c r="CO1808" s="5" t="s">
        <v>259</v>
      </c>
      <c r="CP1808" s="5" t="s">
        <v>260</v>
      </c>
      <c r="CQ1808" s="5" t="s">
        <v>260</v>
      </c>
      <c r="CR1808" s="5" t="s">
        <v>261</v>
      </c>
      <c r="CU1808" s="8">
        <f>971421</f>
        <v>971421</v>
      </c>
      <c r="CV1808" s="8">
        <f>0</f>
        <v>0</v>
      </c>
      <c r="CX1808" s="8">
        <f>0</f>
        <v>0</v>
      </c>
      <c r="CY1808" s="8">
        <f>971421</f>
        <v>971421</v>
      </c>
      <c r="DA1808" s="5" t="s">
        <v>356</v>
      </c>
      <c r="DB1808" s="5" t="s">
        <v>238</v>
      </c>
      <c r="DD1808" s="5" t="s">
        <v>356</v>
      </c>
      <c r="DE1808" s="8">
        <f>0</f>
        <v>0</v>
      </c>
      <c r="DG1808" s="5" t="s">
        <v>238</v>
      </c>
      <c r="DH1808" s="5" t="s">
        <v>238</v>
      </c>
      <c r="DI1808" s="5" t="s">
        <v>238</v>
      </c>
      <c r="DJ1808" s="5" t="s">
        <v>238</v>
      </c>
      <c r="DN1808" s="5" t="s">
        <v>238</v>
      </c>
      <c r="DO1808" s="5" t="s">
        <v>238</v>
      </c>
      <c r="DP1808" s="5" t="s">
        <v>238</v>
      </c>
      <c r="DQ1808" s="5" t="s">
        <v>238</v>
      </c>
      <c r="DT1808" s="5" t="s">
        <v>2039</v>
      </c>
      <c r="DU1808" s="5" t="s">
        <v>2262</v>
      </c>
      <c r="HM1808" s="5" t="s">
        <v>264</v>
      </c>
    </row>
    <row r="1809" spans="1:221" x14ac:dyDescent="0.4">
      <c r="A1809" s="5">
        <v>3507</v>
      </c>
      <c r="B1809" s="5">
        <v>1</v>
      </c>
      <c r="C1809" s="5">
        <v>1</v>
      </c>
      <c r="D1809" s="5" t="s">
        <v>2037</v>
      </c>
      <c r="E1809" s="5" t="s">
        <v>271</v>
      </c>
      <c r="F1809" s="5" t="s">
        <v>248</v>
      </c>
      <c r="G1809" s="5" t="s">
        <v>2484</v>
      </c>
      <c r="H1809" s="6" t="s">
        <v>2261</v>
      </c>
      <c r="I1809" s="7">
        <f>23.73</f>
        <v>23.73</v>
      </c>
      <c r="J1809" s="5" t="s">
        <v>262</v>
      </c>
      <c r="K1809" s="8">
        <f>20170</f>
        <v>20170</v>
      </c>
      <c r="L1809" s="6" t="s">
        <v>2485</v>
      </c>
      <c r="M1809" s="5" t="s">
        <v>267</v>
      </c>
      <c r="N1809" s="5" t="s">
        <v>265</v>
      </c>
      <c r="O1809" s="5" t="s">
        <v>238</v>
      </c>
      <c r="P1809" s="5" t="s">
        <v>238</v>
      </c>
      <c r="Q1809" s="5" t="s">
        <v>239</v>
      </c>
      <c r="R1809" s="5" t="s">
        <v>238</v>
      </c>
      <c r="S1809" s="5" t="s">
        <v>238</v>
      </c>
      <c r="V1809" s="5" t="s">
        <v>238</v>
      </c>
      <c r="X1809" s="6" t="s">
        <v>238</v>
      </c>
      <c r="AA1809" s="6" t="s">
        <v>243</v>
      </c>
      <c r="AB1809" s="5" t="s">
        <v>2486</v>
      </c>
      <c r="AC1809" s="5" t="s">
        <v>244</v>
      </c>
      <c r="AD1809" s="5" t="s">
        <v>261</v>
      </c>
      <c r="AT1809" s="5" t="s">
        <v>246</v>
      </c>
      <c r="AU1809" s="5" t="s">
        <v>238</v>
      </c>
      <c r="AV1809" s="5" t="s">
        <v>247</v>
      </c>
      <c r="AW1809" s="5" t="s">
        <v>238</v>
      </c>
      <c r="AX1809" s="5" t="s">
        <v>249</v>
      </c>
      <c r="AY1809" s="5" t="s">
        <v>238</v>
      </c>
      <c r="BA1809" s="5" t="s">
        <v>238</v>
      </c>
      <c r="BC1809" s="5" t="s">
        <v>1468</v>
      </c>
      <c r="BD1809" s="6" t="s">
        <v>2485</v>
      </c>
      <c r="BE1809" s="5" t="s">
        <v>251</v>
      </c>
      <c r="BF1809" s="5" t="s">
        <v>2043</v>
      </c>
      <c r="BG1809" s="5" t="s">
        <v>238</v>
      </c>
      <c r="BH1809" s="7">
        <f>0</f>
        <v>0</v>
      </c>
      <c r="BI1809" s="8">
        <f>0</f>
        <v>0</v>
      </c>
      <c r="BJ1809" s="5" t="s">
        <v>253</v>
      </c>
      <c r="BK1809" s="5" t="s">
        <v>254</v>
      </c>
      <c r="BY1809" s="5" t="s">
        <v>238</v>
      </c>
      <c r="BZ1809" s="5" t="s">
        <v>238</v>
      </c>
      <c r="CD1809" s="5" t="s">
        <v>293</v>
      </c>
      <c r="CE1809" s="5" t="s">
        <v>256</v>
      </c>
      <c r="CF1809" s="5" t="s">
        <v>238</v>
      </c>
      <c r="CI1809" s="6" t="s">
        <v>257</v>
      </c>
      <c r="CJ1809" s="5" t="s">
        <v>238</v>
      </c>
      <c r="CK1809" s="5" t="s">
        <v>258</v>
      </c>
      <c r="CL1809" s="5" t="s">
        <v>238</v>
      </c>
      <c r="CM1809" s="5" t="s">
        <v>238</v>
      </c>
      <c r="CN1809" s="5">
        <v>0</v>
      </c>
      <c r="CO1809" s="5" t="s">
        <v>259</v>
      </c>
      <c r="CP1809" s="5" t="s">
        <v>260</v>
      </c>
      <c r="CQ1809" s="5" t="s">
        <v>260</v>
      </c>
      <c r="CR1809" s="5" t="s">
        <v>261</v>
      </c>
      <c r="CU1809" s="8">
        <f>20170</f>
        <v>20170</v>
      </c>
      <c r="CV1809" s="8">
        <f>0</f>
        <v>0</v>
      </c>
      <c r="CX1809" s="8">
        <f>0</f>
        <v>0</v>
      </c>
      <c r="CY1809" s="8">
        <f>20170</f>
        <v>20170</v>
      </c>
      <c r="DA1809" s="5" t="s">
        <v>356</v>
      </c>
      <c r="DB1809" s="5" t="s">
        <v>238</v>
      </c>
      <c r="DD1809" s="5" t="s">
        <v>356</v>
      </c>
      <c r="DE1809" s="8">
        <f>23.73</f>
        <v>23.73</v>
      </c>
      <c r="DG1809" s="5" t="s">
        <v>238</v>
      </c>
      <c r="DH1809" s="5" t="s">
        <v>238</v>
      </c>
      <c r="DI1809" s="5" t="s">
        <v>238</v>
      </c>
      <c r="DJ1809" s="5" t="s">
        <v>238</v>
      </c>
      <c r="DN1809" s="5" t="s">
        <v>238</v>
      </c>
      <c r="DO1809" s="5" t="s">
        <v>238</v>
      </c>
      <c r="DP1809" s="5" t="s">
        <v>238</v>
      </c>
      <c r="DQ1809" s="5" t="s">
        <v>238</v>
      </c>
      <c r="DT1809" s="5" t="s">
        <v>2039</v>
      </c>
      <c r="DU1809" s="5" t="s">
        <v>2487</v>
      </c>
      <c r="HM1809" s="5" t="s">
        <v>264</v>
      </c>
    </row>
    <row r="1810" spans="1:221" x14ac:dyDescent="0.4">
      <c r="A1810" s="5">
        <v>3508</v>
      </c>
      <c r="B1810" s="5">
        <v>1</v>
      </c>
      <c r="C1810" s="5">
        <v>1</v>
      </c>
      <c r="D1810" s="5" t="s">
        <v>2037</v>
      </c>
      <c r="E1810" s="5" t="s">
        <v>271</v>
      </c>
      <c r="F1810" s="5" t="s">
        <v>248</v>
      </c>
      <c r="G1810" s="5" t="s">
        <v>2851</v>
      </c>
      <c r="H1810" s="6" t="s">
        <v>2136</v>
      </c>
      <c r="I1810" s="7">
        <f>0</f>
        <v>0</v>
      </c>
      <c r="J1810" s="5" t="s">
        <v>262</v>
      </c>
      <c r="K1810" s="8">
        <f>1226856</f>
        <v>1226856</v>
      </c>
      <c r="L1810" s="6" t="s">
        <v>2852</v>
      </c>
      <c r="M1810" s="5" t="s">
        <v>267</v>
      </c>
      <c r="N1810" s="5" t="s">
        <v>265</v>
      </c>
      <c r="O1810" s="5" t="s">
        <v>238</v>
      </c>
      <c r="P1810" s="5" t="s">
        <v>238</v>
      </c>
      <c r="Q1810" s="5" t="s">
        <v>239</v>
      </c>
      <c r="R1810" s="5" t="s">
        <v>238</v>
      </c>
      <c r="S1810" s="5" t="s">
        <v>238</v>
      </c>
      <c r="V1810" s="5" t="s">
        <v>238</v>
      </c>
      <c r="X1810" s="6" t="s">
        <v>238</v>
      </c>
      <c r="AA1810" s="6" t="s">
        <v>243</v>
      </c>
      <c r="AB1810" s="5" t="s">
        <v>238</v>
      </c>
      <c r="AC1810" s="5" t="s">
        <v>244</v>
      </c>
      <c r="AD1810" s="5" t="s">
        <v>261</v>
      </c>
      <c r="AT1810" s="5" t="s">
        <v>246</v>
      </c>
      <c r="AU1810" s="5" t="s">
        <v>238</v>
      </c>
      <c r="AV1810" s="5" t="s">
        <v>247</v>
      </c>
      <c r="AW1810" s="5" t="s">
        <v>238</v>
      </c>
      <c r="AX1810" s="5" t="s">
        <v>249</v>
      </c>
      <c r="AY1810" s="5" t="s">
        <v>238</v>
      </c>
      <c r="BA1810" s="5" t="s">
        <v>238</v>
      </c>
      <c r="BC1810" s="5" t="s">
        <v>1468</v>
      </c>
      <c r="BD1810" s="6" t="s">
        <v>2852</v>
      </c>
      <c r="BE1810" s="5" t="s">
        <v>251</v>
      </c>
      <c r="BF1810" s="5" t="s">
        <v>2043</v>
      </c>
      <c r="BG1810" s="5" t="s">
        <v>238</v>
      </c>
      <c r="BH1810" s="7">
        <f>0</f>
        <v>0</v>
      </c>
      <c r="BI1810" s="8">
        <f>0</f>
        <v>0</v>
      </c>
      <c r="BJ1810" s="5" t="s">
        <v>253</v>
      </c>
      <c r="BK1810" s="5" t="s">
        <v>254</v>
      </c>
      <c r="BY1810" s="5" t="s">
        <v>238</v>
      </c>
      <c r="BZ1810" s="5" t="s">
        <v>238</v>
      </c>
      <c r="CD1810" s="5" t="s">
        <v>293</v>
      </c>
      <c r="CE1810" s="5" t="s">
        <v>256</v>
      </c>
      <c r="CF1810" s="5" t="s">
        <v>238</v>
      </c>
      <c r="CI1810" s="6" t="s">
        <v>257</v>
      </c>
      <c r="CJ1810" s="5" t="s">
        <v>238</v>
      </c>
      <c r="CK1810" s="5" t="s">
        <v>258</v>
      </c>
      <c r="CL1810" s="5" t="s">
        <v>238</v>
      </c>
      <c r="CM1810" s="5" t="s">
        <v>238</v>
      </c>
      <c r="CN1810" s="5">
        <v>0</v>
      </c>
      <c r="CO1810" s="5" t="s">
        <v>259</v>
      </c>
      <c r="CP1810" s="5" t="s">
        <v>260</v>
      </c>
      <c r="CQ1810" s="5" t="s">
        <v>260</v>
      </c>
      <c r="CR1810" s="5" t="s">
        <v>261</v>
      </c>
      <c r="CU1810" s="8">
        <f>1226856</f>
        <v>1226856</v>
      </c>
      <c r="CV1810" s="8">
        <f>0</f>
        <v>0</v>
      </c>
      <c r="CX1810" s="8">
        <f>0</f>
        <v>0</v>
      </c>
      <c r="CY1810" s="8">
        <f>1226856</f>
        <v>1226856</v>
      </c>
      <c r="DA1810" s="5" t="s">
        <v>356</v>
      </c>
      <c r="DB1810" s="5" t="s">
        <v>238</v>
      </c>
      <c r="DD1810" s="5" t="s">
        <v>356</v>
      </c>
      <c r="DE1810" s="8">
        <f>0</f>
        <v>0</v>
      </c>
      <c r="DG1810" s="5" t="s">
        <v>238</v>
      </c>
      <c r="DH1810" s="5" t="s">
        <v>238</v>
      </c>
      <c r="DI1810" s="5" t="s">
        <v>238</v>
      </c>
      <c r="DJ1810" s="5" t="s">
        <v>238</v>
      </c>
      <c r="DN1810" s="5" t="s">
        <v>238</v>
      </c>
      <c r="DO1810" s="5" t="s">
        <v>238</v>
      </c>
      <c r="DP1810" s="5" t="s">
        <v>238</v>
      </c>
      <c r="DQ1810" s="5" t="s">
        <v>238</v>
      </c>
      <c r="DT1810" s="5" t="s">
        <v>2039</v>
      </c>
      <c r="DU1810" s="5" t="s">
        <v>2853</v>
      </c>
      <c r="HM1810" s="5" t="s">
        <v>264</v>
      </c>
    </row>
    <row r="1811" spans="1:221" x14ac:dyDescent="0.4">
      <c r="A1811" s="5">
        <v>3509</v>
      </c>
      <c r="B1811" s="5">
        <v>1</v>
      </c>
      <c r="C1811" s="5">
        <v>1</v>
      </c>
      <c r="D1811" s="5" t="s">
        <v>2037</v>
      </c>
      <c r="E1811" s="5" t="s">
        <v>271</v>
      </c>
      <c r="F1811" s="5" t="s">
        <v>248</v>
      </c>
      <c r="G1811" s="5" t="s">
        <v>3255</v>
      </c>
      <c r="H1811" s="6" t="s">
        <v>2136</v>
      </c>
      <c r="I1811" s="7">
        <f>1463.1</f>
        <v>1463.1</v>
      </c>
      <c r="J1811" s="5" t="s">
        <v>262</v>
      </c>
      <c r="K1811" s="8">
        <f>2857939</f>
        <v>2857939</v>
      </c>
      <c r="L1811" s="6" t="s">
        <v>2852</v>
      </c>
      <c r="M1811" s="5" t="s">
        <v>267</v>
      </c>
      <c r="N1811" s="5" t="s">
        <v>265</v>
      </c>
      <c r="O1811" s="5" t="s">
        <v>238</v>
      </c>
      <c r="P1811" s="5" t="s">
        <v>238</v>
      </c>
      <c r="Q1811" s="5" t="s">
        <v>239</v>
      </c>
      <c r="R1811" s="5" t="s">
        <v>238</v>
      </c>
      <c r="S1811" s="5" t="s">
        <v>238</v>
      </c>
      <c r="V1811" s="5" t="s">
        <v>238</v>
      </c>
      <c r="X1811" s="6" t="s">
        <v>238</v>
      </c>
      <c r="AA1811" s="6" t="s">
        <v>243</v>
      </c>
      <c r="AB1811" s="5" t="s">
        <v>238</v>
      </c>
      <c r="AC1811" s="5" t="s">
        <v>244</v>
      </c>
      <c r="AD1811" s="5" t="s">
        <v>261</v>
      </c>
      <c r="AT1811" s="5" t="s">
        <v>246</v>
      </c>
      <c r="AU1811" s="5" t="s">
        <v>238</v>
      </c>
      <c r="AV1811" s="5" t="s">
        <v>247</v>
      </c>
      <c r="AW1811" s="5" t="s">
        <v>238</v>
      </c>
      <c r="AX1811" s="5" t="s">
        <v>249</v>
      </c>
      <c r="AY1811" s="5" t="s">
        <v>238</v>
      </c>
      <c r="BA1811" s="5" t="s">
        <v>238</v>
      </c>
      <c r="BC1811" s="5" t="s">
        <v>1468</v>
      </c>
      <c r="BD1811" s="6" t="s">
        <v>2852</v>
      </c>
      <c r="BE1811" s="5" t="s">
        <v>251</v>
      </c>
      <c r="BF1811" s="5" t="s">
        <v>2043</v>
      </c>
      <c r="BG1811" s="5" t="s">
        <v>238</v>
      </c>
      <c r="BH1811" s="7">
        <f>0</f>
        <v>0</v>
      </c>
      <c r="BI1811" s="8">
        <f>0</f>
        <v>0</v>
      </c>
      <c r="BJ1811" s="5" t="s">
        <v>253</v>
      </c>
      <c r="BK1811" s="5" t="s">
        <v>254</v>
      </c>
      <c r="BY1811" s="5" t="s">
        <v>238</v>
      </c>
      <c r="BZ1811" s="5" t="s">
        <v>238</v>
      </c>
      <c r="CD1811" s="5" t="s">
        <v>293</v>
      </c>
      <c r="CE1811" s="5" t="s">
        <v>256</v>
      </c>
      <c r="CF1811" s="5" t="s">
        <v>238</v>
      </c>
      <c r="CI1811" s="6" t="s">
        <v>257</v>
      </c>
      <c r="CJ1811" s="5" t="s">
        <v>238</v>
      </c>
      <c r="CK1811" s="5" t="s">
        <v>258</v>
      </c>
      <c r="CL1811" s="5" t="s">
        <v>238</v>
      </c>
      <c r="CM1811" s="5" t="s">
        <v>238</v>
      </c>
      <c r="CN1811" s="5">
        <v>0</v>
      </c>
      <c r="CO1811" s="5" t="s">
        <v>259</v>
      </c>
      <c r="CP1811" s="5" t="s">
        <v>260</v>
      </c>
      <c r="CQ1811" s="5" t="s">
        <v>260</v>
      </c>
      <c r="CR1811" s="5" t="s">
        <v>261</v>
      </c>
      <c r="CU1811" s="8">
        <f>2857939</f>
        <v>2857939</v>
      </c>
      <c r="CV1811" s="8">
        <f>0</f>
        <v>0</v>
      </c>
      <c r="CX1811" s="8">
        <f>0</f>
        <v>0</v>
      </c>
      <c r="CY1811" s="8">
        <f>2857939</f>
        <v>2857939</v>
      </c>
      <c r="DA1811" s="5" t="s">
        <v>356</v>
      </c>
      <c r="DB1811" s="5" t="s">
        <v>238</v>
      </c>
      <c r="DD1811" s="5" t="s">
        <v>356</v>
      </c>
      <c r="DE1811" s="8">
        <f>1463.1</f>
        <v>1463.1</v>
      </c>
      <c r="DG1811" s="5" t="s">
        <v>238</v>
      </c>
      <c r="DH1811" s="5" t="s">
        <v>238</v>
      </c>
      <c r="DI1811" s="5" t="s">
        <v>238</v>
      </c>
      <c r="DJ1811" s="5" t="s">
        <v>238</v>
      </c>
      <c r="DN1811" s="5" t="s">
        <v>238</v>
      </c>
      <c r="DO1811" s="5" t="s">
        <v>238</v>
      </c>
      <c r="DP1811" s="5" t="s">
        <v>238</v>
      </c>
      <c r="DQ1811" s="5" t="s">
        <v>238</v>
      </c>
      <c r="DT1811" s="5" t="s">
        <v>2039</v>
      </c>
      <c r="DU1811" s="5" t="s">
        <v>3256</v>
      </c>
      <c r="HM1811" s="5" t="s">
        <v>264</v>
      </c>
    </row>
    <row r="1812" spans="1:221" x14ac:dyDescent="0.4">
      <c r="A1812" s="5">
        <v>3510</v>
      </c>
      <c r="B1812" s="5">
        <v>1</v>
      </c>
      <c r="C1812" s="5">
        <v>1</v>
      </c>
      <c r="D1812" s="5" t="s">
        <v>2037</v>
      </c>
      <c r="E1812" s="5" t="s">
        <v>271</v>
      </c>
      <c r="F1812" s="5" t="s">
        <v>248</v>
      </c>
      <c r="G1812" s="5" t="s">
        <v>3403</v>
      </c>
      <c r="H1812" s="6" t="s">
        <v>3405</v>
      </c>
      <c r="I1812" s="7">
        <f>0</f>
        <v>0</v>
      </c>
      <c r="J1812" s="5" t="s">
        <v>262</v>
      </c>
      <c r="K1812" s="8">
        <f>852617</f>
        <v>852617</v>
      </c>
      <c r="L1812" s="6" t="s">
        <v>3404</v>
      </c>
      <c r="M1812" s="5" t="s">
        <v>267</v>
      </c>
      <c r="N1812" s="5" t="s">
        <v>265</v>
      </c>
      <c r="O1812" s="5" t="s">
        <v>238</v>
      </c>
      <c r="P1812" s="5" t="s">
        <v>238</v>
      </c>
      <c r="Q1812" s="5" t="s">
        <v>239</v>
      </c>
      <c r="R1812" s="5" t="s">
        <v>238</v>
      </c>
      <c r="S1812" s="5" t="s">
        <v>238</v>
      </c>
      <c r="V1812" s="5" t="s">
        <v>238</v>
      </c>
      <c r="X1812" s="6" t="s">
        <v>238</v>
      </c>
      <c r="AA1812" s="6" t="s">
        <v>243</v>
      </c>
      <c r="AB1812" s="5" t="s">
        <v>238</v>
      </c>
      <c r="AC1812" s="5" t="s">
        <v>244</v>
      </c>
      <c r="AD1812" s="5" t="s">
        <v>261</v>
      </c>
      <c r="AT1812" s="5" t="s">
        <v>246</v>
      </c>
      <c r="AU1812" s="5" t="s">
        <v>238</v>
      </c>
      <c r="AV1812" s="5" t="s">
        <v>247</v>
      </c>
      <c r="AW1812" s="5" t="s">
        <v>238</v>
      </c>
      <c r="AX1812" s="5" t="s">
        <v>249</v>
      </c>
      <c r="AY1812" s="5" t="s">
        <v>238</v>
      </c>
      <c r="BA1812" s="5" t="s">
        <v>238</v>
      </c>
      <c r="BC1812" s="5" t="s">
        <v>1468</v>
      </c>
      <c r="BD1812" s="6" t="s">
        <v>3404</v>
      </c>
      <c r="BE1812" s="5" t="s">
        <v>251</v>
      </c>
      <c r="BF1812" s="5" t="s">
        <v>2043</v>
      </c>
      <c r="BG1812" s="5" t="s">
        <v>238</v>
      </c>
      <c r="BH1812" s="7">
        <f>0</f>
        <v>0</v>
      </c>
      <c r="BI1812" s="8">
        <f>0</f>
        <v>0</v>
      </c>
      <c r="BJ1812" s="5" t="s">
        <v>253</v>
      </c>
      <c r="BK1812" s="5" t="s">
        <v>254</v>
      </c>
      <c r="BY1812" s="5" t="s">
        <v>238</v>
      </c>
      <c r="BZ1812" s="5" t="s">
        <v>238</v>
      </c>
      <c r="CD1812" s="5" t="s">
        <v>293</v>
      </c>
      <c r="CE1812" s="5" t="s">
        <v>256</v>
      </c>
      <c r="CF1812" s="5" t="s">
        <v>238</v>
      </c>
      <c r="CI1812" s="6" t="s">
        <v>257</v>
      </c>
      <c r="CJ1812" s="5" t="s">
        <v>238</v>
      </c>
      <c r="CK1812" s="5" t="s">
        <v>258</v>
      </c>
      <c r="CL1812" s="5" t="s">
        <v>238</v>
      </c>
      <c r="CM1812" s="5" t="s">
        <v>238</v>
      </c>
      <c r="CN1812" s="5">
        <v>0</v>
      </c>
      <c r="CO1812" s="5" t="s">
        <v>259</v>
      </c>
      <c r="CP1812" s="5" t="s">
        <v>260</v>
      </c>
      <c r="CQ1812" s="5" t="s">
        <v>260</v>
      </c>
      <c r="CR1812" s="5" t="s">
        <v>261</v>
      </c>
      <c r="CU1812" s="8">
        <f>852617</f>
        <v>852617</v>
      </c>
      <c r="CV1812" s="8">
        <f>0</f>
        <v>0</v>
      </c>
      <c r="CX1812" s="8">
        <f>0</f>
        <v>0</v>
      </c>
      <c r="CY1812" s="8">
        <f>852617</f>
        <v>852617</v>
      </c>
      <c r="DA1812" s="5" t="s">
        <v>356</v>
      </c>
      <c r="DB1812" s="5" t="s">
        <v>238</v>
      </c>
      <c r="DD1812" s="5" t="s">
        <v>356</v>
      </c>
      <c r="DE1812" s="8">
        <f>0</f>
        <v>0</v>
      </c>
      <c r="DG1812" s="5" t="s">
        <v>238</v>
      </c>
      <c r="DH1812" s="5" t="s">
        <v>238</v>
      </c>
      <c r="DI1812" s="5" t="s">
        <v>238</v>
      </c>
      <c r="DJ1812" s="5" t="s">
        <v>238</v>
      </c>
      <c r="DN1812" s="5" t="s">
        <v>238</v>
      </c>
      <c r="DO1812" s="5" t="s">
        <v>238</v>
      </c>
      <c r="DP1812" s="5" t="s">
        <v>238</v>
      </c>
      <c r="DQ1812" s="5" t="s">
        <v>238</v>
      </c>
      <c r="DT1812" s="5" t="s">
        <v>2039</v>
      </c>
      <c r="DU1812" s="5" t="s">
        <v>3406</v>
      </c>
      <c r="HM1812" s="5" t="s">
        <v>264</v>
      </c>
    </row>
    <row r="1813" spans="1:221" x14ac:dyDescent="0.4">
      <c r="A1813" s="5">
        <v>3511</v>
      </c>
      <c r="B1813" s="5">
        <v>1</v>
      </c>
      <c r="C1813" s="5">
        <v>1</v>
      </c>
      <c r="D1813" s="5" t="s">
        <v>2037</v>
      </c>
      <c r="E1813" s="5" t="s">
        <v>271</v>
      </c>
      <c r="F1813" s="5" t="s">
        <v>248</v>
      </c>
      <c r="G1813" s="5" t="s">
        <v>3467</v>
      </c>
      <c r="H1813" s="6" t="s">
        <v>3405</v>
      </c>
      <c r="I1813" s="7">
        <f>377.72</f>
        <v>377.72</v>
      </c>
      <c r="J1813" s="5" t="s">
        <v>262</v>
      </c>
      <c r="K1813" s="8">
        <f>3083040</f>
        <v>3083040</v>
      </c>
      <c r="L1813" s="6" t="s">
        <v>2134</v>
      </c>
      <c r="M1813" s="5" t="s">
        <v>267</v>
      </c>
      <c r="N1813" s="5" t="s">
        <v>265</v>
      </c>
      <c r="O1813" s="5" t="s">
        <v>238</v>
      </c>
      <c r="P1813" s="5" t="s">
        <v>238</v>
      </c>
      <c r="Q1813" s="5" t="s">
        <v>239</v>
      </c>
      <c r="R1813" s="5" t="s">
        <v>238</v>
      </c>
      <c r="S1813" s="5" t="s">
        <v>238</v>
      </c>
      <c r="V1813" s="5" t="s">
        <v>238</v>
      </c>
      <c r="X1813" s="6" t="s">
        <v>238</v>
      </c>
      <c r="AA1813" s="6" t="s">
        <v>243</v>
      </c>
      <c r="AB1813" s="5" t="s">
        <v>238</v>
      </c>
      <c r="AC1813" s="5" t="s">
        <v>244</v>
      </c>
      <c r="AD1813" s="5" t="s">
        <v>261</v>
      </c>
      <c r="AT1813" s="5" t="s">
        <v>246</v>
      </c>
      <c r="AU1813" s="5" t="s">
        <v>238</v>
      </c>
      <c r="AV1813" s="5" t="s">
        <v>247</v>
      </c>
      <c r="AW1813" s="5" t="s">
        <v>238</v>
      </c>
      <c r="AX1813" s="5" t="s">
        <v>249</v>
      </c>
      <c r="AY1813" s="5" t="s">
        <v>238</v>
      </c>
      <c r="BA1813" s="5" t="s">
        <v>238</v>
      </c>
      <c r="BC1813" s="5" t="s">
        <v>1468</v>
      </c>
      <c r="BD1813" s="6" t="s">
        <v>2134</v>
      </c>
      <c r="BE1813" s="5" t="s">
        <v>251</v>
      </c>
      <c r="BF1813" s="5" t="s">
        <v>2043</v>
      </c>
      <c r="BG1813" s="5" t="s">
        <v>238</v>
      </c>
      <c r="BH1813" s="7">
        <f>0</f>
        <v>0</v>
      </c>
      <c r="BI1813" s="8">
        <f>0</f>
        <v>0</v>
      </c>
      <c r="BJ1813" s="5" t="s">
        <v>253</v>
      </c>
      <c r="BK1813" s="5" t="s">
        <v>254</v>
      </c>
      <c r="BY1813" s="5" t="s">
        <v>238</v>
      </c>
      <c r="BZ1813" s="5" t="s">
        <v>238</v>
      </c>
      <c r="CD1813" s="5" t="s">
        <v>293</v>
      </c>
      <c r="CE1813" s="5" t="s">
        <v>256</v>
      </c>
      <c r="CF1813" s="5" t="s">
        <v>238</v>
      </c>
      <c r="CI1813" s="6" t="s">
        <v>257</v>
      </c>
      <c r="CJ1813" s="5" t="s">
        <v>238</v>
      </c>
      <c r="CK1813" s="5" t="s">
        <v>258</v>
      </c>
      <c r="CL1813" s="5" t="s">
        <v>238</v>
      </c>
      <c r="CM1813" s="5" t="s">
        <v>238</v>
      </c>
      <c r="CN1813" s="5">
        <v>0</v>
      </c>
      <c r="CO1813" s="5" t="s">
        <v>259</v>
      </c>
      <c r="CP1813" s="5" t="s">
        <v>260</v>
      </c>
      <c r="CQ1813" s="5" t="s">
        <v>260</v>
      </c>
      <c r="CR1813" s="5" t="s">
        <v>261</v>
      </c>
      <c r="CU1813" s="8">
        <f>3083040</f>
        <v>3083040</v>
      </c>
      <c r="CV1813" s="8">
        <f>0</f>
        <v>0</v>
      </c>
      <c r="CX1813" s="8">
        <f>0</f>
        <v>0</v>
      </c>
      <c r="CY1813" s="8">
        <f>3083040</f>
        <v>3083040</v>
      </c>
      <c r="DA1813" s="5" t="s">
        <v>356</v>
      </c>
      <c r="DB1813" s="5" t="s">
        <v>238</v>
      </c>
      <c r="DD1813" s="5" t="s">
        <v>356</v>
      </c>
      <c r="DE1813" s="8">
        <f>377.72</f>
        <v>377.72</v>
      </c>
      <c r="DG1813" s="5" t="s">
        <v>238</v>
      </c>
      <c r="DH1813" s="5" t="s">
        <v>238</v>
      </c>
      <c r="DI1813" s="5" t="s">
        <v>238</v>
      </c>
      <c r="DJ1813" s="5" t="s">
        <v>238</v>
      </c>
      <c r="DN1813" s="5" t="s">
        <v>238</v>
      </c>
      <c r="DO1813" s="5" t="s">
        <v>238</v>
      </c>
      <c r="DP1813" s="5" t="s">
        <v>238</v>
      </c>
      <c r="DQ1813" s="5" t="s">
        <v>238</v>
      </c>
      <c r="DT1813" s="5" t="s">
        <v>2039</v>
      </c>
      <c r="DU1813" s="5" t="s">
        <v>3468</v>
      </c>
      <c r="HM1813" s="5" t="s">
        <v>264</v>
      </c>
    </row>
    <row r="1814" spans="1:221" x14ac:dyDescent="0.4">
      <c r="A1814" s="5">
        <v>3512</v>
      </c>
      <c r="B1814" s="5">
        <v>1</v>
      </c>
      <c r="C1814" s="5">
        <v>1</v>
      </c>
      <c r="D1814" s="5" t="s">
        <v>2037</v>
      </c>
      <c r="E1814" s="5" t="s">
        <v>271</v>
      </c>
      <c r="F1814" s="5" t="s">
        <v>248</v>
      </c>
      <c r="G1814" s="5" t="s">
        <v>3481</v>
      </c>
      <c r="H1814" s="6" t="s">
        <v>3482</v>
      </c>
      <c r="I1814" s="7">
        <f>0</f>
        <v>0</v>
      </c>
      <c r="J1814" s="5" t="s">
        <v>262</v>
      </c>
      <c r="K1814" s="8">
        <f>356999</f>
        <v>356999</v>
      </c>
      <c r="L1814" s="6" t="s">
        <v>3404</v>
      </c>
      <c r="M1814" s="5" t="s">
        <v>267</v>
      </c>
      <c r="N1814" s="5" t="s">
        <v>265</v>
      </c>
      <c r="O1814" s="5" t="s">
        <v>238</v>
      </c>
      <c r="P1814" s="5" t="s">
        <v>238</v>
      </c>
      <c r="Q1814" s="5" t="s">
        <v>239</v>
      </c>
      <c r="R1814" s="5" t="s">
        <v>238</v>
      </c>
      <c r="S1814" s="5" t="s">
        <v>238</v>
      </c>
      <c r="V1814" s="5" t="s">
        <v>238</v>
      </c>
      <c r="X1814" s="6" t="s">
        <v>238</v>
      </c>
      <c r="AA1814" s="6" t="s">
        <v>243</v>
      </c>
      <c r="AB1814" s="5" t="s">
        <v>238</v>
      </c>
      <c r="AC1814" s="5" t="s">
        <v>244</v>
      </c>
      <c r="AD1814" s="5" t="s">
        <v>261</v>
      </c>
      <c r="AT1814" s="5" t="s">
        <v>246</v>
      </c>
      <c r="AU1814" s="5" t="s">
        <v>238</v>
      </c>
      <c r="AV1814" s="5" t="s">
        <v>247</v>
      </c>
      <c r="AW1814" s="5" t="s">
        <v>238</v>
      </c>
      <c r="AX1814" s="5" t="s">
        <v>249</v>
      </c>
      <c r="AY1814" s="5" t="s">
        <v>238</v>
      </c>
      <c r="BA1814" s="5" t="s">
        <v>238</v>
      </c>
      <c r="BC1814" s="5" t="s">
        <v>1468</v>
      </c>
      <c r="BD1814" s="6" t="s">
        <v>3404</v>
      </c>
      <c r="BE1814" s="5" t="s">
        <v>251</v>
      </c>
      <c r="BF1814" s="5" t="s">
        <v>2043</v>
      </c>
      <c r="BG1814" s="5" t="s">
        <v>238</v>
      </c>
      <c r="BH1814" s="7">
        <f>0</f>
        <v>0</v>
      </c>
      <c r="BI1814" s="8">
        <f>0</f>
        <v>0</v>
      </c>
      <c r="BJ1814" s="5" t="s">
        <v>253</v>
      </c>
      <c r="BK1814" s="5" t="s">
        <v>254</v>
      </c>
      <c r="BY1814" s="5" t="s">
        <v>238</v>
      </c>
      <c r="BZ1814" s="5" t="s">
        <v>238</v>
      </c>
      <c r="CD1814" s="5" t="s">
        <v>293</v>
      </c>
      <c r="CE1814" s="5" t="s">
        <v>256</v>
      </c>
      <c r="CF1814" s="5" t="s">
        <v>238</v>
      </c>
      <c r="CI1814" s="6" t="s">
        <v>257</v>
      </c>
      <c r="CJ1814" s="5" t="s">
        <v>238</v>
      </c>
      <c r="CK1814" s="5" t="s">
        <v>258</v>
      </c>
      <c r="CL1814" s="5" t="s">
        <v>238</v>
      </c>
      <c r="CM1814" s="5" t="s">
        <v>238</v>
      </c>
      <c r="CN1814" s="5">
        <v>0</v>
      </c>
      <c r="CO1814" s="5" t="s">
        <v>259</v>
      </c>
      <c r="CP1814" s="5" t="s">
        <v>260</v>
      </c>
      <c r="CQ1814" s="5" t="s">
        <v>260</v>
      </c>
      <c r="CR1814" s="5" t="s">
        <v>261</v>
      </c>
      <c r="CU1814" s="8">
        <f>356999</f>
        <v>356999</v>
      </c>
      <c r="CV1814" s="8">
        <f>0</f>
        <v>0</v>
      </c>
      <c r="CX1814" s="8">
        <f>0</f>
        <v>0</v>
      </c>
      <c r="CY1814" s="8">
        <f>356999</f>
        <v>356999</v>
      </c>
      <c r="DA1814" s="5" t="s">
        <v>356</v>
      </c>
      <c r="DB1814" s="5" t="s">
        <v>238</v>
      </c>
      <c r="DD1814" s="5" t="s">
        <v>356</v>
      </c>
      <c r="DE1814" s="8">
        <f>0</f>
        <v>0</v>
      </c>
      <c r="DG1814" s="5" t="s">
        <v>238</v>
      </c>
      <c r="DH1814" s="5" t="s">
        <v>238</v>
      </c>
      <c r="DI1814" s="5" t="s">
        <v>238</v>
      </c>
      <c r="DJ1814" s="5" t="s">
        <v>238</v>
      </c>
      <c r="DN1814" s="5" t="s">
        <v>238</v>
      </c>
      <c r="DO1814" s="5" t="s">
        <v>238</v>
      </c>
      <c r="DP1814" s="5" t="s">
        <v>238</v>
      </c>
      <c r="DQ1814" s="5" t="s">
        <v>238</v>
      </c>
      <c r="DT1814" s="5" t="s">
        <v>2039</v>
      </c>
      <c r="DU1814" s="5" t="s">
        <v>3483</v>
      </c>
      <c r="HM1814" s="5" t="s">
        <v>264</v>
      </c>
    </row>
    <row r="1815" spans="1:221" x14ac:dyDescent="0.4">
      <c r="A1815" s="5">
        <v>3513</v>
      </c>
      <c r="B1815" s="5">
        <v>1</v>
      </c>
      <c r="C1815" s="5">
        <v>1</v>
      </c>
      <c r="D1815" s="5" t="s">
        <v>2037</v>
      </c>
      <c r="E1815" s="5" t="s">
        <v>271</v>
      </c>
      <c r="F1815" s="5" t="s">
        <v>248</v>
      </c>
      <c r="G1815" s="5" t="s">
        <v>3495</v>
      </c>
      <c r="H1815" s="6" t="s">
        <v>3482</v>
      </c>
      <c r="I1815" s="7">
        <f>1274.15</f>
        <v>1274.1500000000001</v>
      </c>
      <c r="J1815" s="5" t="s">
        <v>262</v>
      </c>
      <c r="K1815" s="8">
        <f>6404139</f>
        <v>6404139</v>
      </c>
      <c r="L1815" s="6" t="s">
        <v>2344</v>
      </c>
      <c r="M1815" s="5" t="s">
        <v>267</v>
      </c>
      <c r="N1815" s="5" t="s">
        <v>265</v>
      </c>
      <c r="O1815" s="5" t="s">
        <v>238</v>
      </c>
      <c r="P1815" s="5" t="s">
        <v>238</v>
      </c>
      <c r="Q1815" s="5" t="s">
        <v>239</v>
      </c>
      <c r="R1815" s="5" t="s">
        <v>238</v>
      </c>
      <c r="S1815" s="5" t="s">
        <v>238</v>
      </c>
      <c r="V1815" s="5" t="s">
        <v>238</v>
      </c>
      <c r="X1815" s="6" t="s">
        <v>238</v>
      </c>
      <c r="AA1815" s="6" t="s">
        <v>243</v>
      </c>
      <c r="AB1815" s="5" t="s">
        <v>238</v>
      </c>
      <c r="AC1815" s="5" t="s">
        <v>244</v>
      </c>
      <c r="AD1815" s="5" t="s">
        <v>261</v>
      </c>
      <c r="AT1815" s="5" t="s">
        <v>246</v>
      </c>
      <c r="AU1815" s="5" t="s">
        <v>238</v>
      </c>
      <c r="AV1815" s="5" t="s">
        <v>247</v>
      </c>
      <c r="AW1815" s="5" t="s">
        <v>238</v>
      </c>
      <c r="AX1815" s="5" t="s">
        <v>249</v>
      </c>
      <c r="AY1815" s="5" t="s">
        <v>238</v>
      </c>
      <c r="BA1815" s="5" t="s">
        <v>238</v>
      </c>
      <c r="BC1815" s="5" t="s">
        <v>1468</v>
      </c>
      <c r="BD1815" s="6" t="s">
        <v>2344</v>
      </c>
      <c r="BE1815" s="5" t="s">
        <v>251</v>
      </c>
      <c r="BF1815" s="5" t="s">
        <v>2043</v>
      </c>
      <c r="BG1815" s="5" t="s">
        <v>238</v>
      </c>
      <c r="BH1815" s="7">
        <f>0</f>
        <v>0</v>
      </c>
      <c r="BI1815" s="8">
        <f>0</f>
        <v>0</v>
      </c>
      <c r="BJ1815" s="5" t="s">
        <v>253</v>
      </c>
      <c r="BK1815" s="5" t="s">
        <v>254</v>
      </c>
      <c r="BY1815" s="5" t="s">
        <v>238</v>
      </c>
      <c r="BZ1815" s="5" t="s">
        <v>238</v>
      </c>
      <c r="CD1815" s="5" t="s">
        <v>293</v>
      </c>
      <c r="CE1815" s="5" t="s">
        <v>256</v>
      </c>
      <c r="CF1815" s="5" t="s">
        <v>238</v>
      </c>
      <c r="CI1815" s="6" t="s">
        <v>257</v>
      </c>
      <c r="CJ1815" s="5" t="s">
        <v>238</v>
      </c>
      <c r="CK1815" s="5" t="s">
        <v>258</v>
      </c>
      <c r="CL1815" s="5" t="s">
        <v>238</v>
      </c>
      <c r="CM1815" s="5" t="s">
        <v>238</v>
      </c>
      <c r="CN1815" s="5">
        <v>0</v>
      </c>
      <c r="CO1815" s="5" t="s">
        <v>259</v>
      </c>
      <c r="CP1815" s="5" t="s">
        <v>260</v>
      </c>
      <c r="CQ1815" s="5" t="s">
        <v>260</v>
      </c>
      <c r="CR1815" s="5" t="s">
        <v>261</v>
      </c>
      <c r="CU1815" s="8">
        <f>6404139</f>
        <v>6404139</v>
      </c>
      <c r="CV1815" s="8">
        <f>0</f>
        <v>0</v>
      </c>
      <c r="CX1815" s="8">
        <f>0</f>
        <v>0</v>
      </c>
      <c r="CY1815" s="8">
        <f>6404139</f>
        <v>6404139</v>
      </c>
      <c r="DA1815" s="5" t="s">
        <v>356</v>
      </c>
      <c r="DB1815" s="5" t="s">
        <v>238</v>
      </c>
      <c r="DD1815" s="5" t="s">
        <v>356</v>
      </c>
      <c r="DE1815" s="8">
        <f>1274.15</f>
        <v>1274.1500000000001</v>
      </c>
      <c r="DG1815" s="5" t="s">
        <v>238</v>
      </c>
      <c r="DH1815" s="5" t="s">
        <v>238</v>
      </c>
      <c r="DI1815" s="5" t="s">
        <v>238</v>
      </c>
      <c r="DJ1815" s="5" t="s">
        <v>238</v>
      </c>
      <c r="DN1815" s="5" t="s">
        <v>238</v>
      </c>
      <c r="DO1815" s="5" t="s">
        <v>238</v>
      </c>
      <c r="DP1815" s="5" t="s">
        <v>238</v>
      </c>
      <c r="DQ1815" s="5" t="s">
        <v>238</v>
      </c>
      <c r="DT1815" s="5" t="s">
        <v>2039</v>
      </c>
      <c r="DU1815" s="5" t="s">
        <v>3496</v>
      </c>
      <c r="HM1815" s="5" t="s">
        <v>264</v>
      </c>
    </row>
    <row r="1816" spans="1:221" x14ac:dyDescent="0.4">
      <c r="A1816" s="5">
        <v>3514</v>
      </c>
      <c r="B1816" s="5">
        <v>1</v>
      </c>
      <c r="C1816" s="5">
        <v>1</v>
      </c>
      <c r="D1816" s="5" t="s">
        <v>2037</v>
      </c>
      <c r="E1816" s="5" t="s">
        <v>271</v>
      </c>
      <c r="F1816" s="5" t="s">
        <v>248</v>
      </c>
      <c r="G1816" s="5" t="s">
        <v>3510</v>
      </c>
      <c r="H1816" s="6" t="s">
        <v>3511</v>
      </c>
      <c r="I1816" s="7">
        <f>0</f>
        <v>0</v>
      </c>
      <c r="J1816" s="5" t="s">
        <v>262</v>
      </c>
      <c r="K1816" s="8">
        <f>3766520</f>
        <v>3766520</v>
      </c>
      <c r="L1816" s="6" t="s">
        <v>2272</v>
      </c>
      <c r="M1816" s="5" t="s">
        <v>267</v>
      </c>
      <c r="N1816" s="5" t="s">
        <v>265</v>
      </c>
      <c r="O1816" s="5" t="s">
        <v>238</v>
      </c>
      <c r="P1816" s="5" t="s">
        <v>238</v>
      </c>
      <c r="Q1816" s="5" t="s">
        <v>239</v>
      </c>
      <c r="R1816" s="5" t="s">
        <v>238</v>
      </c>
      <c r="S1816" s="5" t="s">
        <v>238</v>
      </c>
      <c r="V1816" s="5" t="s">
        <v>238</v>
      </c>
      <c r="X1816" s="6" t="s">
        <v>238</v>
      </c>
      <c r="AA1816" s="6" t="s">
        <v>243</v>
      </c>
      <c r="AB1816" s="5" t="s">
        <v>238</v>
      </c>
      <c r="AC1816" s="5" t="s">
        <v>244</v>
      </c>
      <c r="AD1816" s="5" t="s">
        <v>261</v>
      </c>
      <c r="AT1816" s="5" t="s">
        <v>246</v>
      </c>
      <c r="AU1816" s="5" t="s">
        <v>238</v>
      </c>
      <c r="AV1816" s="5" t="s">
        <v>247</v>
      </c>
      <c r="AW1816" s="5" t="s">
        <v>238</v>
      </c>
      <c r="AX1816" s="5" t="s">
        <v>249</v>
      </c>
      <c r="AY1816" s="5" t="s">
        <v>238</v>
      </c>
      <c r="BA1816" s="5" t="s">
        <v>238</v>
      </c>
      <c r="BC1816" s="5" t="s">
        <v>1468</v>
      </c>
      <c r="BD1816" s="6" t="s">
        <v>2272</v>
      </c>
      <c r="BE1816" s="5" t="s">
        <v>251</v>
      </c>
      <c r="BF1816" s="5" t="s">
        <v>2043</v>
      </c>
      <c r="BG1816" s="5" t="s">
        <v>238</v>
      </c>
      <c r="BH1816" s="7">
        <f>0</f>
        <v>0</v>
      </c>
      <c r="BI1816" s="8">
        <f>0</f>
        <v>0</v>
      </c>
      <c r="BJ1816" s="5" t="s">
        <v>253</v>
      </c>
      <c r="BK1816" s="5" t="s">
        <v>254</v>
      </c>
      <c r="BY1816" s="5" t="s">
        <v>238</v>
      </c>
      <c r="BZ1816" s="5" t="s">
        <v>238</v>
      </c>
      <c r="CD1816" s="5" t="s">
        <v>293</v>
      </c>
      <c r="CE1816" s="5" t="s">
        <v>256</v>
      </c>
      <c r="CF1816" s="5" t="s">
        <v>238</v>
      </c>
      <c r="CI1816" s="6" t="s">
        <v>257</v>
      </c>
      <c r="CJ1816" s="5" t="s">
        <v>238</v>
      </c>
      <c r="CK1816" s="5" t="s">
        <v>258</v>
      </c>
      <c r="CL1816" s="5" t="s">
        <v>238</v>
      </c>
      <c r="CM1816" s="5" t="s">
        <v>238</v>
      </c>
      <c r="CN1816" s="5">
        <v>0</v>
      </c>
      <c r="CO1816" s="5" t="s">
        <v>259</v>
      </c>
      <c r="CP1816" s="5" t="s">
        <v>260</v>
      </c>
      <c r="CQ1816" s="5" t="s">
        <v>260</v>
      </c>
      <c r="CR1816" s="5" t="s">
        <v>261</v>
      </c>
      <c r="CU1816" s="8">
        <f>3766520</f>
        <v>3766520</v>
      </c>
      <c r="CV1816" s="8">
        <f>0</f>
        <v>0</v>
      </c>
      <c r="CX1816" s="8">
        <f>0</f>
        <v>0</v>
      </c>
      <c r="CY1816" s="8">
        <f>3766520</f>
        <v>3766520</v>
      </c>
      <c r="DA1816" s="5" t="s">
        <v>356</v>
      </c>
      <c r="DB1816" s="5" t="s">
        <v>238</v>
      </c>
      <c r="DD1816" s="5" t="s">
        <v>356</v>
      </c>
      <c r="DE1816" s="8">
        <f>0</f>
        <v>0</v>
      </c>
      <c r="DG1816" s="5" t="s">
        <v>238</v>
      </c>
      <c r="DH1816" s="5" t="s">
        <v>238</v>
      </c>
      <c r="DI1816" s="5" t="s">
        <v>238</v>
      </c>
      <c r="DJ1816" s="5" t="s">
        <v>238</v>
      </c>
      <c r="DN1816" s="5" t="s">
        <v>238</v>
      </c>
      <c r="DO1816" s="5" t="s">
        <v>238</v>
      </c>
      <c r="DP1816" s="5" t="s">
        <v>238</v>
      </c>
      <c r="DQ1816" s="5" t="s">
        <v>238</v>
      </c>
      <c r="DT1816" s="5" t="s">
        <v>2039</v>
      </c>
      <c r="DU1816" s="5" t="s">
        <v>3512</v>
      </c>
      <c r="HM1816" s="5" t="s">
        <v>264</v>
      </c>
    </row>
    <row r="1817" spans="1:221" x14ac:dyDescent="0.4">
      <c r="A1817" s="5">
        <v>3515</v>
      </c>
      <c r="B1817" s="5">
        <v>1</v>
      </c>
      <c r="C1817" s="5">
        <v>1</v>
      </c>
      <c r="D1817" s="5" t="s">
        <v>2037</v>
      </c>
      <c r="E1817" s="5" t="s">
        <v>271</v>
      </c>
      <c r="F1817" s="5" t="s">
        <v>248</v>
      </c>
      <c r="G1817" s="5" t="s">
        <v>3521</v>
      </c>
      <c r="H1817" s="6" t="s">
        <v>3511</v>
      </c>
      <c r="I1817" s="7">
        <f>1299.25</f>
        <v>1299.25</v>
      </c>
      <c r="J1817" s="5" t="s">
        <v>262</v>
      </c>
      <c r="K1817" s="8">
        <f>2335793</f>
        <v>2335793</v>
      </c>
      <c r="L1817" s="6" t="s">
        <v>2296</v>
      </c>
      <c r="M1817" s="5" t="s">
        <v>267</v>
      </c>
      <c r="N1817" s="5" t="s">
        <v>265</v>
      </c>
      <c r="O1817" s="5" t="s">
        <v>238</v>
      </c>
      <c r="P1817" s="5" t="s">
        <v>238</v>
      </c>
      <c r="Q1817" s="5" t="s">
        <v>239</v>
      </c>
      <c r="R1817" s="5" t="s">
        <v>238</v>
      </c>
      <c r="S1817" s="5" t="s">
        <v>238</v>
      </c>
      <c r="V1817" s="5" t="s">
        <v>238</v>
      </c>
      <c r="X1817" s="6" t="s">
        <v>238</v>
      </c>
      <c r="AA1817" s="6" t="s">
        <v>243</v>
      </c>
      <c r="AB1817" s="5" t="s">
        <v>238</v>
      </c>
      <c r="AC1817" s="5" t="s">
        <v>244</v>
      </c>
      <c r="AD1817" s="5" t="s">
        <v>261</v>
      </c>
      <c r="AT1817" s="5" t="s">
        <v>246</v>
      </c>
      <c r="AU1817" s="5" t="s">
        <v>238</v>
      </c>
      <c r="AV1817" s="5" t="s">
        <v>247</v>
      </c>
      <c r="AW1817" s="5" t="s">
        <v>238</v>
      </c>
      <c r="AX1817" s="5" t="s">
        <v>249</v>
      </c>
      <c r="AY1817" s="5" t="s">
        <v>238</v>
      </c>
      <c r="BA1817" s="5" t="s">
        <v>238</v>
      </c>
      <c r="BC1817" s="5" t="s">
        <v>1468</v>
      </c>
      <c r="BD1817" s="6" t="s">
        <v>2296</v>
      </c>
      <c r="BE1817" s="5" t="s">
        <v>251</v>
      </c>
      <c r="BF1817" s="5" t="s">
        <v>2043</v>
      </c>
      <c r="BG1817" s="5" t="s">
        <v>238</v>
      </c>
      <c r="BH1817" s="7">
        <f>0</f>
        <v>0</v>
      </c>
      <c r="BI1817" s="8">
        <f>0</f>
        <v>0</v>
      </c>
      <c r="BJ1817" s="5" t="s">
        <v>253</v>
      </c>
      <c r="BK1817" s="5" t="s">
        <v>254</v>
      </c>
      <c r="BY1817" s="5" t="s">
        <v>238</v>
      </c>
      <c r="BZ1817" s="5" t="s">
        <v>238</v>
      </c>
      <c r="CD1817" s="5" t="s">
        <v>293</v>
      </c>
      <c r="CE1817" s="5" t="s">
        <v>256</v>
      </c>
      <c r="CF1817" s="5" t="s">
        <v>238</v>
      </c>
      <c r="CI1817" s="6" t="s">
        <v>257</v>
      </c>
      <c r="CJ1817" s="5" t="s">
        <v>238</v>
      </c>
      <c r="CK1817" s="5" t="s">
        <v>258</v>
      </c>
      <c r="CL1817" s="5" t="s">
        <v>238</v>
      </c>
      <c r="CM1817" s="5" t="s">
        <v>238</v>
      </c>
      <c r="CN1817" s="5">
        <v>0</v>
      </c>
      <c r="CO1817" s="5" t="s">
        <v>259</v>
      </c>
      <c r="CP1817" s="5" t="s">
        <v>260</v>
      </c>
      <c r="CQ1817" s="5" t="s">
        <v>260</v>
      </c>
      <c r="CR1817" s="5" t="s">
        <v>261</v>
      </c>
      <c r="CU1817" s="8">
        <f>2335793</f>
        <v>2335793</v>
      </c>
      <c r="CV1817" s="8">
        <f>0</f>
        <v>0</v>
      </c>
      <c r="CX1817" s="8">
        <f>0</f>
        <v>0</v>
      </c>
      <c r="CY1817" s="8">
        <f>2335793</f>
        <v>2335793</v>
      </c>
      <c r="DA1817" s="5" t="s">
        <v>356</v>
      </c>
      <c r="DB1817" s="5" t="s">
        <v>238</v>
      </c>
      <c r="DD1817" s="5" t="s">
        <v>356</v>
      </c>
      <c r="DE1817" s="8">
        <f>1299.25</f>
        <v>1299.25</v>
      </c>
      <c r="DG1817" s="5" t="s">
        <v>238</v>
      </c>
      <c r="DH1817" s="5" t="s">
        <v>238</v>
      </c>
      <c r="DI1817" s="5" t="s">
        <v>238</v>
      </c>
      <c r="DJ1817" s="5" t="s">
        <v>238</v>
      </c>
      <c r="DN1817" s="5" t="s">
        <v>238</v>
      </c>
      <c r="DO1817" s="5" t="s">
        <v>238</v>
      </c>
      <c r="DP1817" s="5" t="s">
        <v>238</v>
      </c>
      <c r="DQ1817" s="5" t="s">
        <v>238</v>
      </c>
      <c r="DT1817" s="5" t="s">
        <v>2039</v>
      </c>
      <c r="DU1817" s="5" t="s">
        <v>3522</v>
      </c>
      <c r="HM1817" s="5" t="s">
        <v>264</v>
      </c>
    </row>
    <row r="1818" spans="1:221" x14ac:dyDescent="0.4">
      <c r="A1818" s="5">
        <v>3516</v>
      </c>
      <c r="B1818" s="5">
        <v>1</v>
      </c>
      <c r="C1818" s="5">
        <v>1</v>
      </c>
      <c r="D1818" s="5" t="s">
        <v>2037</v>
      </c>
      <c r="E1818" s="5" t="s">
        <v>271</v>
      </c>
      <c r="F1818" s="5" t="s">
        <v>248</v>
      </c>
      <c r="G1818" s="5" t="s">
        <v>3523</v>
      </c>
      <c r="H1818" s="6" t="s">
        <v>3524</v>
      </c>
      <c r="I1818" s="7">
        <f>0</f>
        <v>0</v>
      </c>
      <c r="J1818" s="5" t="s">
        <v>262</v>
      </c>
      <c r="K1818" s="8">
        <f>10638425</f>
        <v>10638425</v>
      </c>
      <c r="L1818" s="6" t="s">
        <v>2365</v>
      </c>
      <c r="M1818" s="5" t="s">
        <v>267</v>
      </c>
      <c r="N1818" s="5" t="s">
        <v>265</v>
      </c>
      <c r="O1818" s="5" t="s">
        <v>238</v>
      </c>
      <c r="P1818" s="5" t="s">
        <v>238</v>
      </c>
      <c r="Q1818" s="5" t="s">
        <v>239</v>
      </c>
      <c r="R1818" s="5" t="s">
        <v>238</v>
      </c>
      <c r="S1818" s="5" t="s">
        <v>238</v>
      </c>
      <c r="V1818" s="5" t="s">
        <v>238</v>
      </c>
      <c r="X1818" s="6" t="s">
        <v>238</v>
      </c>
      <c r="AA1818" s="6" t="s">
        <v>2081</v>
      </c>
      <c r="AB1818" s="5" t="s">
        <v>238</v>
      </c>
      <c r="AC1818" s="5" t="s">
        <v>244</v>
      </c>
      <c r="AD1818" s="5" t="s">
        <v>261</v>
      </c>
      <c r="AT1818" s="5" t="s">
        <v>246</v>
      </c>
      <c r="AU1818" s="5" t="s">
        <v>238</v>
      </c>
      <c r="AV1818" s="5" t="s">
        <v>247</v>
      </c>
      <c r="AW1818" s="5" t="s">
        <v>238</v>
      </c>
      <c r="AX1818" s="5" t="s">
        <v>249</v>
      </c>
      <c r="AY1818" s="5" t="s">
        <v>238</v>
      </c>
      <c r="BA1818" s="5" t="s">
        <v>238</v>
      </c>
      <c r="BC1818" s="5" t="s">
        <v>1468</v>
      </c>
      <c r="BD1818" s="6" t="s">
        <v>2365</v>
      </c>
      <c r="BE1818" s="5" t="s">
        <v>251</v>
      </c>
      <c r="BF1818" s="5" t="s">
        <v>2043</v>
      </c>
      <c r="BG1818" s="5" t="s">
        <v>238</v>
      </c>
      <c r="BH1818" s="7">
        <f>0</f>
        <v>0</v>
      </c>
      <c r="BI1818" s="8">
        <f>0</f>
        <v>0</v>
      </c>
      <c r="BJ1818" s="5" t="s">
        <v>253</v>
      </c>
      <c r="BK1818" s="5" t="s">
        <v>254</v>
      </c>
      <c r="BY1818" s="5" t="s">
        <v>238</v>
      </c>
      <c r="BZ1818" s="5" t="s">
        <v>238</v>
      </c>
      <c r="CD1818" s="5" t="s">
        <v>293</v>
      </c>
      <c r="CE1818" s="5" t="s">
        <v>256</v>
      </c>
      <c r="CF1818" s="5" t="s">
        <v>238</v>
      </c>
      <c r="CI1818" s="6" t="s">
        <v>257</v>
      </c>
      <c r="CJ1818" s="5" t="s">
        <v>238</v>
      </c>
      <c r="CK1818" s="5" t="s">
        <v>258</v>
      </c>
      <c r="CL1818" s="5" t="s">
        <v>238</v>
      </c>
      <c r="CM1818" s="5" t="s">
        <v>238</v>
      </c>
      <c r="CN1818" s="5">
        <v>0</v>
      </c>
      <c r="CO1818" s="5" t="s">
        <v>259</v>
      </c>
      <c r="CP1818" s="5" t="s">
        <v>260</v>
      </c>
      <c r="CQ1818" s="5" t="s">
        <v>260</v>
      </c>
      <c r="CR1818" s="5" t="s">
        <v>261</v>
      </c>
      <c r="CU1818" s="8">
        <f>10638425</f>
        <v>10638425</v>
      </c>
      <c r="CV1818" s="8">
        <f>0</f>
        <v>0</v>
      </c>
      <c r="CX1818" s="8">
        <f>0</f>
        <v>0</v>
      </c>
      <c r="CY1818" s="8">
        <f>10638425</f>
        <v>10638425</v>
      </c>
      <c r="DA1818" s="5" t="s">
        <v>356</v>
      </c>
      <c r="DB1818" s="5" t="s">
        <v>238</v>
      </c>
      <c r="DD1818" s="5" t="s">
        <v>356</v>
      </c>
      <c r="DE1818" s="8">
        <f>0</f>
        <v>0</v>
      </c>
      <c r="DG1818" s="5" t="s">
        <v>238</v>
      </c>
      <c r="DH1818" s="5" t="s">
        <v>238</v>
      </c>
      <c r="DI1818" s="5" t="s">
        <v>238</v>
      </c>
      <c r="DJ1818" s="5" t="s">
        <v>238</v>
      </c>
      <c r="DN1818" s="5" t="s">
        <v>238</v>
      </c>
      <c r="DO1818" s="5" t="s">
        <v>238</v>
      </c>
      <c r="DP1818" s="5" t="s">
        <v>238</v>
      </c>
      <c r="DQ1818" s="5" t="s">
        <v>238</v>
      </c>
      <c r="DT1818" s="5" t="s">
        <v>2039</v>
      </c>
      <c r="DU1818" s="5" t="s">
        <v>3525</v>
      </c>
      <c r="HM1818" s="5" t="s">
        <v>264</v>
      </c>
    </row>
    <row r="1819" spans="1:221" x14ac:dyDescent="0.4">
      <c r="A1819" s="5">
        <v>3517</v>
      </c>
      <c r="B1819" s="5">
        <v>1</v>
      </c>
      <c r="C1819" s="5">
        <v>1</v>
      </c>
      <c r="D1819" s="5" t="s">
        <v>2037</v>
      </c>
      <c r="E1819" s="5" t="s">
        <v>271</v>
      </c>
      <c r="F1819" s="5" t="s">
        <v>248</v>
      </c>
      <c r="G1819" s="5" t="s">
        <v>3660</v>
      </c>
      <c r="H1819" s="6" t="s">
        <v>3524</v>
      </c>
      <c r="I1819" s="7">
        <f>3429.41</f>
        <v>3429.41</v>
      </c>
      <c r="J1819" s="5" t="s">
        <v>262</v>
      </c>
      <c r="K1819" s="8">
        <f>3066216</f>
        <v>3066216</v>
      </c>
      <c r="L1819" s="6" t="s">
        <v>2365</v>
      </c>
      <c r="M1819" s="5" t="s">
        <v>267</v>
      </c>
      <c r="N1819" s="5" t="s">
        <v>265</v>
      </c>
      <c r="O1819" s="5" t="s">
        <v>238</v>
      </c>
      <c r="P1819" s="5" t="s">
        <v>238</v>
      </c>
      <c r="Q1819" s="5" t="s">
        <v>239</v>
      </c>
      <c r="R1819" s="5" t="s">
        <v>238</v>
      </c>
      <c r="S1819" s="5" t="s">
        <v>238</v>
      </c>
      <c r="V1819" s="5" t="s">
        <v>238</v>
      </c>
      <c r="X1819" s="6" t="s">
        <v>238</v>
      </c>
      <c r="AA1819" s="6" t="s">
        <v>2048</v>
      </c>
      <c r="AB1819" s="5" t="s">
        <v>238</v>
      </c>
      <c r="AC1819" s="5" t="s">
        <v>244</v>
      </c>
      <c r="AD1819" s="5" t="s">
        <v>261</v>
      </c>
      <c r="AT1819" s="5" t="s">
        <v>246</v>
      </c>
      <c r="AU1819" s="5" t="s">
        <v>238</v>
      </c>
      <c r="AV1819" s="5" t="s">
        <v>247</v>
      </c>
      <c r="AW1819" s="5" t="s">
        <v>238</v>
      </c>
      <c r="AX1819" s="5" t="s">
        <v>249</v>
      </c>
      <c r="AY1819" s="5" t="s">
        <v>238</v>
      </c>
      <c r="BA1819" s="5" t="s">
        <v>238</v>
      </c>
      <c r="BC1819" s="5" t="s">
        <v>1468</v>
      </c>
      <c r="BD1819" s="6" t="s">
        <v>2365</v>
      </c>
      <c r="BE1819" s="5" t="s">
        <v>251</v>
      </c>
      <c r="BF1819" s="5" t="s">
        <v>2043</v>
      </c>
      <c r="BG1819" s="5" t="s">
        <v>238</v>
      </c>
      <c r="BH1819" s="7">
        <f>0</f>
        <v>0</v>
      </c>
      <c r="BI1819" s="8">
        <f>0</f>
        <v>0</v>
      </c>
      <c r="BJ1819" s="5" t="s">
        <v>253</v>
      </c>
      <c r="BK1819" s="5" t="s">
        <v>254</v>
      </c>
      <c r="BY1819" s="5" t="s">
        <v>238</v>
      </c>
      <c r="BZ1819" s="5" t="s">
        <v>238</v>
      </c>
      <c r="CD1819" s="5" t="s">
        <v>293</v>
      </c>
      <c r="CE1819" s="5" t="s">
        <v>256</v>
      </c>
      <c r="CF1819" s="5" t="s">
        <v>238</v>
      </c>
      <c r="CI1819" s="6" t="s">
        <v>257</v>
      </c>
      <c r="CJ1819" s="5" t="s">
        <v>238</v>
      </c>
      <c r="CK1819" s="5" t="s">
        <v>258</v>
      </c>
      <c r="CL1819" s="5" t="s">
        <v>238</v>
      </c>
      <c r="CM1819" s="5" t="s">
        <v>238</v>
      </c>
      <c r="CN1819" s="5">
        <v>0</v>
      </c>
      <c r="CO1819" s="5" t="s">
        <v>259</v>
      </c>
      <c r="CP1819" s="5" t="s">
        <v>260</v>
      </c>
      <c r="CQ1819" s="5" t="s">
        <v>260</v>
      </c>
      <c r="CR1819" s="5" t="s">
        <v>261</v>
      </c>
      <c r="CU1819" s="8">
        <f>3066216</f>
        <v>3066216</v>
      </c>
      <c r="CV1819" s="8">
        <f>0</f>
        <v>0</v>
      </c>
      <c r="CX1819" s="8">
        <f>0</f>
        <v>0</v>
      </c>
      <c r="CY1819" s="8">
        <f>3066216</f>
        <v>3066216</v>
      </c>
      <c r="DA1819" s="5" t="s">
        <v>356</v>
      </c>
      <c r="DB1819" s="5" t="s">
        <v>238</v>
      </c>
      <c r="DD1819" s="5" t="s">
        <v>356</v>
      </c>
      <c r="DE1819" s="8">
        <f>3429.41</f>
        <v>3429.41</v>
      </c>
      <c r="DG1819" s="5" t="s">
        <v>238</v>
      </c>
      <c r="DH1819" s="5" t="s">
        <v>238</v>
      </c>
      <c r="DI1819" s="5" t="s">
        <v>238</v>
      </c>
      <c r="DJ1819" s="5" t="s">
        <v>238</v>
      </c>
      <c r="DN1819" s="5" t="s">
        <v>238</v>
      </c>
      <c r="DO1819" s="5" t="s">
        <v>238</v>
      </c>
      <c r="DP1819" s="5" t="s">
        <v>238</v>
      </c>
      <c r="DQ1819" s="5" t="s">
        <v>238</v>
      </c>
      <c r="DT1819" s="5" t="s">
        <v>2039</v>
      </c>
      <c r="DU1819" s="5" t="s">
        <v>3661</v>
      </c>
      <c r="HM1819" s="5" t="s">
        <v>264</v>
      </c>
    </row>
    <row r="1820" spans="1:221" x14ac:dyDescent="0.4">
      <c r="A1820" s="5">
        <v>3518</v>
      </c>
      <c r="B1820" s="5">
        <v>1</v>
      </c>
      <c r="C1820" s="5">
        <v>1</v>
      </c>
      <c r="D1820" s="5" t="s">
        <v>2037</v>
      </c>
      <c r="E1820" s="5" t="s">
        <v>271</v>
      </c>
      <c r="F1820" s="5" t="s">
        <v>248</v>
      </c>
      <c r="G1820" s="5" t="s">
        <v>3691</v>
      </c>
      <c r="H1820" s="6" t="s">
        <v>3692</v>
      </c>
      <c r="I1820" s="7">
        <f>0</f>
        <v>0</v>
      </c>
      <c r="J1820" s="5" t="s">
        <v>262</v>
      </c>
      <c r="K1820" s="8">
        <f>237851</f>
        <v>237851</v>
      </c>
      <c r="L1820" s="6" t="s">
        <v>3588</v>
      </c>
      <c r="M1820" s="5" t="s">
        <v>267</v>
      </c>
      <c r="N1820" s="5" t="s">
        <v>265</v>
      </c>
      <c r="O1820" s="5" t="s">
        <v>238</v>
      </c>
      <c r="P1820" s="5" t="s">
        <v>238</v>
      </c>
      <c r="Q1820" s="5" t="s">
        <v>239</v>
      </c>
      <c r="R1820" s="5" t="s">
        <v>238</v>
      </c>
      <c r="S1820" s="5" t="s">
        <v>238</v>
      </c>
      <c r="V1820" s="5" t="s">
        <v>238</v>
      </c>
      <c r="X1820" s="6" t="s">
        <v>238</v>
      </c>
      <c r="AA1820" s="6" t="s">
        <v>2162</v>
      </c>
      <c r="AB1820" s="5" t="s">
        <v>238</v>
      </c>
      <c r="AC1820" s="5" t="s">
        <v>244</v>
      </c>
      <c r="AD1820" s="5" t="s">
        <v>261</v>
      </c>
      <c r="AT1820" s="5" t="s">
        <v>246</v>
      </c>
      <c r="AU1820" s="5" t="s">
        <v>238</v>
      </c>
      <c r="AV1820" s="5" t="s">
        <v>247</v>
      </c>
      <c r="AW1820" s="5" t="s">
        <v>238</v>
      </c>
      <c r="AX1820" s="5" t="s">
        <v>249</v>
      </c>
      <c r="AY1820" s="5" t="s">
        <v>238</v>
      </c>
      <c r="BA1820" s="5" t="s">
        <v>238</v>
      </c>
      <c r="BC1820" s="5" t="s">
        <v>1468</v>
      </c>
      <c r="BD1820" s="6" t="s">
        <v>3588</v>
      </c>
      <c r="BE1820" s="5" t="s">
        <v>251</v>
      </c>
      <c r="BF1820" s="5" t="s">
        <v>2043</v>
      </c>
      <c r="BG1820" s="5" t="s">
        <v>238</v>
      </c>
      <c r="BH1820" s="7">
        <f>0</f>
        <v>0</v>
      </c>
      <c r="BI1820" s="8">
        <f>0</f>
        <v>0</v>
      </c>
      <c r="BJ1820" s="5" t="s">
        <v>253</v>
      </c>
      <c r="BK1820" s="5" t="s">
        <v>254</v>
      </c>
      <c r="BY1820" s="5" t="s">
        <v>238</v>
      </c>
      <c r="BZ1820" s="5" t="s">
        <v>238</v>
      </c>
      <c r="CD1820" s="5" t="s">
        <v>293</v>
      </c>
      <c r="CE1820" s="5" t="s">
        <v>256</v>
      </c>
      <c r="CF1820" s="5" t="s">
        <v>238</v>
      </c>
      <c r="CI1820" s="6" t="s">
        <v>257</v>
      </c>
      <c r="CJ1820" s="5" t="s">
        <v>238</v>
      </c>
      <c r="CK1820" s="5" t="s">
        <v>258</v>
      </c>
      <c r="CL1820" s="5" t="s">
        <v>238</v>
      </c>
      <c r="CM1820" s="5" t="s">
        <v>238</v>
      </c>
      <c r="CN1820" s="5">
        <v>0</v>
      </c>
      <c r="CO1820" s="5" t="s">
        <v>259</v>
      </c>
      <c r="CP1820" s="5" t="s">
        <v>260</v>
      </c>
      <c r="CQ1820" s="5" t="s">
        <v>260</v>
      </c>
      <c r="CR1820" s="5" t="s">
        <v>261</v>
      </c>
      <c r="CU1820" s="8">
        <f>237851</f>
        <v>237851</v>
      </c>
      <c r="CV1820" s="8">
        <f>0</f>
        <v>0</v>
      </c>
      <c r="CX1820" s="8">
        <f>0</f>
        <v>0</v>
      </c>
      <c r="CY1820" s="8">
        <f>237851</f>
        <v>237851</v>
      </c>
      <c r="DA1820" s="5" t="s">
        <v>356</v>
      </c>
      <c r="DB1820" s="5" t="s">
        <v>238</v>
      </c>
      <c r="DD1820" s="5" t="s">
        <v>356</v>
      </c>
      <c r="DE1820" s="8">
        <f>0</f>
        <v>0</v>
      </c>
      <c r="DG1820" s="5" t="s">
        <v>238</v>
      </c>
      <c r="DH1820" s="5" t="s">
        <v>238</v>
      </c>
      <c r="DI1820" s="5" t="s">
        <v>238</v>
      </c>
      <c r="DJ1820" s="5" t="s">
        <v>238</v>
      </c>
      <c r="DN1820" s="5" t="s">
        <v>238</v>
      </c>
      <c r="DO1820" s="5" t="s">
        <v>238</v>
      </c>
      <c r="DP1820" s="5" t="s">
        <v>238</v>
      </c>
      <c r="DQ1820" s="5" t="s">
        <v>238</v>
      </c>
      <c r="DT1820" s="5" t="s">
        <v>2039</v>
      </c>
      <c r="DU1820" s="5" t="s">
        <v>3693</v>
      </c>
      <c r="HM1820" s="5" t="s">
        <v>264</v>
      </c>
    </row>
    <row r="1821" spans="1:221" x14ac:dyDescent="0.4">
      <c r="A1821" s="5">
        <v>3519</v>
      </c>
      <c r="B1821" s="5">
        <v>1</v>
      </c>
      <c r="C1821" s="5">
        <v>1</v>
      </c>
      <c r="D1821" s="5" t="s">
        <v>2037</v>
      </c>
      <c r="E1821" s="5" t="s">
        <v>271</v>
      </c>
      <c r="F1821" s="5" t="s">
        <v>248</v>
      </c>
      <c r="G1821" s="5" t="s">
        <v>3694</v>
      </c>
      <c r="H1821" s="6" t="s">
        <v>3641</v>
      </c>
      <c r="I1821" s="7">
        <f>0</f>
        <v>0</v>
      </c>
      <c r="J1821" s="5" t="s">
        <v>262</v>
      </c>
      <c r="K1821" s="8">
        <f>61251983</f>
        <v>61251983</v>
      </c>
      <c r="L1821" s="6" t="s">
        <v>2344</v>
      </c>
      <c r="M1821" s="5" t="s">
        <v>267</v>
      </c>
      <c r="N1821" s="5" t="s">
        <v>265</v>
      </c>
      <c r="O1821" s="5" t="s">
        <v>238</v>
      </c>
      <c r="P1821" s="5" t="s">
        <v>238</v>
      </c>
      <c r="Q1821" s="5" t="s">
        <v>239</v>
      </c>
      <c r="R1821" s="5" t="s">
        <v>238</v>
      </c>
      <c r="S1821" s="5" t="s">
        <v>238</v>
      </c>
      <c r="V1821" s="5" t="s">
        <v>238</v>
      </c>
      <c r="X1821" s="6" t="s">
        <v>238</v>
      </c>
      <c r="AA1821" s="6" t="s">
        <v>2188</v>
      </c>
      <c r="AB1821" s="5" t="s">
        <v>238</v>
      </c>
      <c r="AC1821" s="5" t="s">
        <v>244</v>
      </c>
      <c r="AD1821" s="5" t="s">
        <v>261</v>
      </c>
      <c r="AT1821" s="5" t="s">
        <v>246</v>
      </c>
      <c r="AU1821" s="5" t="s">
        <v>238</v>
      </c>
      <c r="AV1821" s="5" t="s">
        <v>247</v>
      </c>
      <c r="AW1821" s="5" t="s">
        <v>238</v>
      </c>
      <c r="AX1821" s="5" t="s">
        <v>249</v>
      </c>
      <c r="AY1821" s="5" t="s">
        <v>238</v>
      </c>
      <c r="BA1821" s="5" t="s">
        <v>238</v>
      </c>
      <c r="BC1821" s="5" t="s">
        <v>1468</v>
      </c>
      <c r="BD1821" s="6" t="s">
        <v>2344</v>
      </c>
      <c r="BE1821" s="5" t="s">
        <v>251</v>
      </c>
      <c r="BF1821" s="5" t="s">
        <v>2043</v>
      </c>
      <c r="BG1821" s="5" t="s">
        <v>238</v>
      </c>
      <c r="BH1821" s="7">
        <f>0</f>
        <v>0</v>
      </c>
      <c r="BI1821" s="8">
        <f>0</f>
        <v>0</v>
      </c>
      <c r="BJ1821" s="5" t="s">
        <v>253</v>
      </c>
      <c r="BK1821" s="5" t="s">
        <v>254</v>
      </c>
      <c r="BY1821" s="5" t="s">
        <v>238</v>
      </c>
      <c r="BZ1821" s="5" t="s">
        <v>238</v>
      </c>
      <c r="CD1821" s="5" t="s">
        <v>293</v>
      </c>
      <c r="CE1821" s="5" t="s">
        <v>256</v>
      </c>
      <c r="CF1821" s="5" t="s">
        <v>238</v>
      </c>
      <c r="CI1821" s="6" t="s">
        <v>257</v>
      </c>
      <c r="CJ1821" s="5" t="s">
        <v>238</v>
      </c>
      <c r="CK1821" s="5" t="s">
        <v>258</v>
      </c>
      <c r="CL1821" s="5" t="s">
        <v>238</v>
      </c>
      <c r="CM1821" s="5" t="s">
        <v>238</v>
      </c>
      <c r="CN1821" s="5">
        <v>0</v>
      </c>
      <c r="CO1821" s="5" t="s">
        <v>259</v>
      </c>
      <c r="CP1821" s="5" t="s">
        <v>260</v>
      </c>
      <c r="CQ1821" s="5" t="s">
        <v>260</v>
      </c>
      <c r="CR1821" s="5" t="s">
        <v>261</v>
      </c>
      <c r="CU1821" s="8">
        <f>61251983</f>
        <v>61251983</v>
      </c>
      <c r="CV1821" s="8">
        <f>0</f>
        <v>0</v>
      </c>
      <c r="CX1821" s="8">
        <f>0</f>
        <v>0</v>
      </c>
      <c r="CY1821" s="8">
        <f>61251983</f>
        <v>61251983</v>
      </c>
      <c r="DA1821" s="5" t="s">
        <v>356</v>
      </c>
      <c r="DB1821" s="5" t="s">
        <v>238</v>
      </c>
      <c r="DD1821" s="5" t="s">
        <v>356</v>
      </c>
      <c r="DE1821" s="8">
        <f>0</f>
        <v>0</v>
      </c>
      <c r="DG1821" s="5" t="s">
        <v>238</v>
      </c>
      <c r="DH1821" s="5" t="s">
        <v>238</v>
      </c>
      <c r="DI1821" s="5" t="s">
        <v>238</v>
      </c>
      <c r="DJ1821" s="5" t="s">
        <v>238</v>
      </c>
      <c r="DN1821" s="5" t="s">
        <v>238</v>
      </c>
      <c r="DO1821" s="5" t="s">
        <v>238</v>
      </c>
      <c r="DP1821" s="5" t="s">
        <v>238</v>
      </c>
      <c r="DQ1821" s="5" t="s">
        <v>238</v>
      </c>
      <c r="DT1821" s="5" t="s">
        <v>2039</v>
      </c>
      <c r="DU1821" s="5" t="s">
        <v>3695</v>
      </c>
      <c r="HM1821" s="5" t="s">
        <v>264</v>
      </c>
    </row>
    <row r="1822" spans="1:221" x14ac:dyDescent="0.4">
      <c r="A1822" s="5">
        <v>3520</v>
      </c>
      <c r="B1822" s="5">
        <v>1</v>
      </c>
      <c r="C1822" s="5">
        <v>1</v>
      </c>
      <c r="D1822" s="5" t="s">
        <v>2037</v>
      </c>
      <c r="E1822" s="5" t="s">
        <v>271</v>
      </c>
      <c r="F1822" s="5" t="s">
        <v>248</v>
      </c>
      <c r="G1822" s="5" t="s">
        <v>3696</v>
      </c>
      <c r="H1822" s="6" t="s">
        <v>3641</v>
      </c>
      <c r="I1822" s="7">
        <f>1154.23</f>
        <v>1154.23</v>
      </c>
      <c r="J1822" s="5" t="s">
        <v>262</v>
      </c>
      <c r="K1822" s="8">
        <f>1719192</f>
        <v>1719192</v>
      </c>
      <c r="L1822" s="6" t="s">
        <v>3604</v>
      </c>
      <c r="M1822" s="5" t="s">
        <v>267</v>
      </c>
      <c r="N1822" s="5" t="s">
        <v>265</v>
      </c>
      <c r="O1822" s="5" t="s">
        <v>238</v>
      </c>
      <c r="P1822" s="5" t="s">
        <v>238</v>
      </c>
      <c r="Q1822" s="5" t="s">
        <v>239</v>
      </c>
      <c r="R1822" s="5" t="s">
        <v>238</v>
      </c>
      <c r="S1822" s="5" t="s">
        <v>238</v>
      </c>
      <c r="V1822" s="5" t="s">
        <v>238</v>
      </c>
      <c r="X1822" s="6" t="s">
        <v>238</v>
      </c>
      <c r="AA1822" s="6" t="s">
        <v>2075</v>
      </c>
      <c r="AB1822" s="5" t="s">
        <v>238</v>
      </c>
      <c r="AC1822" s="5" t="s">
        <v>244</v>
      </c>
      <c r="AD1822" s="5" t="s">
        <v>261</v>
      </c>
      <c r="AT1822" s="5" t="s">
        <v>246</v>
      </c>
      <c r="AU1822" s="5" t="s">
        <v>238</v>
      </c>
      <c r="AV1822" s="5" t="s">
        <v>247</v>
      </c>
      <c r="AW1822" s="5" t="s">
        <v>238</v>
      </c>
      <c r="AX1822" s="5" t="s">
        <v>249</v>
      </c>
      <c r="AY1822" s="5" t="s">
        <v>238</v>
      </c>
      <c r="BA1822" s="5" t="s">
        <v>238</v>
      </c>
      <c r="BC1822" s="5" t="s">
        <v>1468</v>
      </c>
      <c r="BD1822" s="6" t="s">
        <v>3604</v>
      </c>
      <c r="BE1822" s="5" t="s">
        <v>251</v>
      </c>
      <c r="BF1822" s="5" t="s">
        <v>2043</v>
      </c>
      <c r="BG1822" s="5" t="s">
        <v>238</v>
      </c>
      <c r="BH1822" s="7">
        <f>0</f>
        <v>0</v>
      </c>
      <c r="BI1822" s="8">
        <f>0</f>
        <v>0</v>
      </c>
      <c r="BJ1822" s="5" t="s">
        <v>253</v>
      </c>
      <c r="BK1822" s="5" t="s">
        <v>254</v>
      </c>
      <c r="BY1822" s="5" t="s">
        <v>238</v>
      </c>
      <c r="BZ1822" s="5" t="s">
        <v>238</v>
      </c>
      <c r="CD1822" s="5" t="s">
        <v>293</v>
      </c>
      <c r="CE1822" s="5" t="s">
        <v>256</v>
      </c>
      <c r="CF1822" s="5" t="s">
        <v>238</v>
      </c>
      <c r="CI1822" s="6" t="s">
        <v>257</v>
      </c>
      <c r="CJ1822" s="5" t="s">
        <v>238</v>
      </c>
      <c r="CK1822" s="5" t="s">
        <v>258</v>
      </c>
      <c r="CL1822" s="5" t="s">
        <v>238</v>
      </c>
      <c r="CM1822" s="5" t="s">
        <v>238</v>
      </c>
      <c r="CN1822" s="5">
        <v>0</v>
      </c>
      <c r="CO1822" s="5" t="s">
        <v>259</v>
      </c>
      <c r="CP1822" s="5" t="s">
        <v>260</v>
      </c>
      <c r="CQ1822" s="5" t="s">
        <v>260</v>
      </c>
      <c r="CR1822" s="5" t="s">
        <v>261</v>
      </c>
      <c r="CU1822" s="8">
        <f>1719192</f>
        <v>1719192</v>
      </c>
      <c r="CV1822" s="8">
        <f>0</f>
        <v>0</v>
      </c>
      <c r="CX1822" s="8">
        <f>0</f>
        <v>0</v>
      </c>
      <c r="CY1822" s="8">
        <f>1719192</f>
        <v>1719192</v>
      </c>
      <c r="DA1822" s="5" t="s">
        <v>356</v>
      </c>
      <c r="DB1822" s="5" t="s">
        <v>238</v>
      </c>
      <c r="DD1822" s="5" t="s">
        <v>356</v>
      </c>
      <c r="DE1822" s="8">
        <f>1154.23</f>
        <v>1154.23</v>
      </c>
      <c r="DG1822" s="5" t="s">
        <v>238</v>
      </c>
      <c r="DH1822" s="5" t="s">
        <v>238</v>
      </c>
      <c r="DI1822" s="5" t="s">
        <v>238</v>
      </c>
      <c r="DJ1822" s="5" t="s">
        <v>238</v>
      </c>
      <c r="DN1822" s="5" t="s">
        <v>238</v>
      </c>
      <c r="DO1822" s="5" t="s">
        <v>238</v>
      </c>
      <c r="DP1822" s="5" t="s">
        <v>238</v>
      </c>
      <c r="DQ1822" s="5" t="s">
        <v>238</v>
      </c>
      <c r="DT1822" s="5" t="s">
        <v>2039</v>
      </c>
      <c r="DU1822" s="5" t="s">
        <v>3697</v>
      </c>
      <c r="HM1822" s="5" t="s">
        <v>264</v>
      </c>
    </row>
    <row r="1823" spans="1:221" x14ac:dyDescent="0.4">
      <c r="A1823" s="5">
        <v>3521</v>
      </c>
      <c r="B1823" s="5">
        <v>1</v>
      </c>
      <c r="C1823" s="5">
        <v>1</v>
      </c>
      <c r="D1823" s="5" t="s">
        <v>2037</v>
      </c>
      <c r="E1823" s="5" t="s">
        <v>271</v>
      </c>
      <c r="F1823" s="5" t="s">
        <v>248</v>
      </c>
      <c r="G1823" s="5" t="s">
        <v>3698</v>
      </c>
      <c r="H1823" s="6" t="s">
        <v>3699</v>
      </c>
      <c r="I1823" s="7">
        <f>0</f>
        <v>0</v>
      </c>
      <c r="J1823" s="5" t="s">
        <v>262</v>
      </c>
      <c r="K1823" s="8">
        <f>19354681</f>
        <v>19354681</v>
      </c>
      <c r="L1823" s="6" t="s">
        <v>3614</v>
      </c>
      <c r="M1823" s="5" t="s">
        <v>267</v>
      </c>
      <c r="N1823" s="5" t="s">
        <v>265</v>
      </c>
      <c r="O1823" s="5" t="s">
        <v>238</v>
      </c>
      <c r="P1823" s="5" t="s">
        <v>238</v>
      </c>
      <c r="Q1823" s="5" t="s">
        <v>239</v>
      </c>
      <c r="R1823" s="5" t="s">
        <v>238</v>
      </c>
      <c r="S1823" s="5" t="s">
        <v>238</v>
      </c>
      <c r="V1823" s="5" t="s">
        <v>238</v>
      </c>
      <c r="X1823" s="6" t="s">
        <v>238</v>
      </c>
      <c r="AA1823" s="6" t="s">
        <v>1431</v>
      </c>
      <c r="AB1823" s="5" t="s">
        <v>238</v>
      </c>
      <c r="AC1823" s="5" t="s">
        <v>244</v>
      </c>
      <c r="AD1823" s="5" t="s">
        <v>261</v>
      </c>
      <c r="AT1823" s="5" t="s">
        <v>246</v>
      </c>
      <c r="AU1823" s="5" t="s">
        <v>238</v>
      </c>
      <c r="AV1823" s="5" t="s">
        <v>247</v>
      </c>
      <c r="AW1823" s="5" t="s">
        <v>238</v>
      </c>
      <c r="AX1823" s="5" t="s">
        <v>249</v>
      </c>
      <c r="AY1823" s="5" t="s">
        <v>238</v>
      </c>
      <c r="BA1823" s="5" t="s">
        <v>238</v>
      </c>
      <c r="BC1823" s="5" t="s">
        <v>1468</v>
      </c>
      <c r="BD1823" s="6" t="s">
        <v>3614</v>
      </c>
      <c r="BE1823" s="5" t="s">
        <v>251</v>
      </c>
      <c r="BF1823" s="5" t="s">
        <v>2043</v>
      </c>
      <c r="BG1823" s="5" t="s">
        <v>238</v>
      </c>
      <c r="BH1823" s="7">
        <f>0</f>
        <v>0</v>
      </c>
      <c r="BI1823" s="8">
        <f>0</f>
        <v>0</v>
      </c>
      <c r="BJ1823" s="5" t="s">
        <v>253</v>
      </c>
      <c r="BK1823" s="5" t="s">
        <v>254</v>
      </c>
      <c r="BY1823" s="5" t="s">
        <v>238</v>
      </c>
      <c r="BZ1823" s="5" t="s">
        <v>238</v>
      </c>
      <c r="CD1823" s="5" t="s">
        <v>293</v>
      </c>
      <c r="CE1823" s="5" t="s">
        <v>256</v>
      </c>
      <c r="CF1823" s="5" t="s">
        <v>238</v>
      </c>
      <c r="CI1823" s="6" t="s">
        <v>257</v>
      </c>
      <c r="CJ1823" s="5" t="s">
        <v>238</v>
      </c>
      <c r="CK1823" s="5" t="s">
        <v>258</v>
      </c>
      <c r="CL1823" s="5" t="s">
        <v>238</v>
      </c>
      <c r="CM1823" s="5" t="s">
        <v>238</v>
      </c>
      <c r="CN1823" s="5">
        <v>0</v>
      </c>
      <c r="CO1823" s="5" t="s">
        <v>259</v>
      </c>
      <c r="CP1823" s="5" t="s">
        <v>260</v>
      </c>
      <c r="CQ1823" s="5" t="s">
        <v>260</v>
      </c>
      <c r="CR1823" s="5" t="s">
        <v>261</v>
      </c>
      <c r="CU1823" s="8">
        <f>19354681</f>
        <v>19354681</v>
      </c>
      <c r="CV1823" s="8">
        <f>0</f>
        <v>0</v>
      </c>
      <c r="CX1823" s="8">
        <f>0</f>
        <v>0</v>
      </c>
      <c r="CY1823" s="8">
        <f>19354681</f>
        <v>19354681</v>
      </c>
      <c r="DA1823" s="5" t="s">
        <v>356</v>
      </c>
      <c r="DB1823" s="5" t="s">
        <v>238</v>
      </c>
      <c r="DD1823" s="5" t="s">
        <v>356</v>
      </c>
      <c r="DE1823" s="8">
        <f>0</f>
        <v>0</v>
      </c>
      <c r="DG1823" s="5" t="s">
        <v>238</v>
      </c>
      <c r="DH1823" s="5" t="s">
        <v>238</v>
      </c>
      <c r="DI1823" s="5" t="s">
        <v>238</v>
      </c>
      <c r="DJ1823" s="5" t="s">
        <v>238</v>
      </c>
      <c r="DN1823" s="5" t="s">
        <v>238</v>
      </c>
      <c r="DO1823" s="5" t="s">
        <v>238</v>
      </c>
      <c r="DP1823" s="5" t="s">
        <v>238</v>
      </c>
      <c r="DQ1823" s="5" t="s">
        <v>238</v>
      </c>
      <c r="DT1823" s="5" t="s">
        <v>2039</v>
      </c>
      <c r="DU1823" s="5" t="s">
        <v>3700</v>
      </c>
      <c r="HM1823" s="5" t="s">
        <v>264</v>
      </c>
    </row>
    <row r="1824" spans="1:221" x14ac:dyDescent="0.4">
      <c r="A1824" s="5">
        <v>3522</v>
      </c>
      <c r="B1824" s="5">
        <v>1</v>
      </c>
      <c r="C1824" s="5">
        <v>1</v>
      </c>
      <c r="D1824" s="5" t="s">
        <v>2037</v>
      </c>
      <c r="E1824" s="5" t="s">
        <v>271</v>
      </c>
      <c r="F1824" s="5" t="s">
        <v>248</v>
      </c>
      <c r="G1824" s="5" t="s">
        <v>3701</v>
      </c>
      <c r="H1824" s="6" t="s">
        <v>3699</v>
      </c>
      <c r="I1824" s="7">
        <f>1040.9</f>
        <v>1040.9000000000001</v>
      </c>
      <c r="J1824" s="5" t="s">
        <v>262</v>
      </c>
      <c r="K1824" s="8">
        <f>2597302</f>
        <v>2597302</v>
      </c>
      <c r="L1824" s="6" t="s">
        <v>2350</v>
      </c>
      <c r="M1824" s="5" t="s">
        <v>267</v>
      </c>
      <c r="N1824" s="5" t="s">
        <v>265</v>
      </c>
      <c r="O1824" s="5" t="s">
        <v>238</v>
      </c>
      <c r="P1824" s="5" t="s">
        <v>238</v>
      </c>
      <c r="Q1824" s="5" t="s">
        <v>239</v>
      </c>
      <c r="R1824" s="5" t="s">
        <v>238</v>
      </c>
      <c r="S1824" s="5" t="s">
        <v>238</v>
      </c>
      <c r="V1824" s="5" t="s">
        <v>238</v>
      </c>
      <c r="X1824" s="6" t="s">
        <v>238</v>
      </c>
      <c r="AA1824" s="6" t="s">
        <v>1431</v>
      </c>
      <c r="AB1824" s="5" t="s">
        <v>238</v>
      </c>
      <c r="AC1824" s="5" t="s">
        <v>244</v>
      </c>
      <c r="AD1824" s="5" t="s">
        <v>261</v>
      </c>
      <c r="AT1824" s="5" t="s">
        <v>246</v>
      </c>
      <c r="AU1824" s="5" t="s">
        <v>238</v>
      </c>
      <c r="AV1824" s="5" t="s">
        <v>247</v>
      </c>
      <c r="AW1824" s="5" t="s">
        <v>238</v>
      </c>
      <c r="AX1824" s="5" t="s">
        <v>249</v>
      </c>
      <c r="AY1824" s="5" t="s">
        <v>238</v>
      </c>
      <c r="BA1824" s="5" t="s">
        <v>238</v>
      </c>
      <c r="BC1824" s="5" t="s">
        <v>1433</v>
      </c>
      <c r="BD1824" s="6" t="s">
        <v>2350</v>
      </c>
      <c r="BE1824" s="5" t="s">
        <v>251</v>
      </c>
      <c r="BF1824" s="5" t="s">
        <v>2043</v>
      </c>
      <c r="BG1824" s="5" t="s">
        <v>238</v>
      </c>
      <c r="BH1824" s="7">
        <f>0</f>
        <v>0</v>
      </c>
      <c r="BI1824" s="8">
        <f>0</f>
        <v>0</v>
      </c>
      <c r="BJ1824" s="5" t="s">
        <v>253</v>
      </c>
      <c r="BK1824" s="5" t="s">
        <v>254</v>
      </c>
      <c r="BY1824" s="5" t="s">
        <v>238</v>
      </c>
      <c r="BZ1824" s="5" t="s">
        <v>238</v>
      </c>
      <c r="CD1824" s="5" t="s">
        <v>293</v>
      </c>
      <c r="CE1824" s="5" t="s">
        <v>256</v>
      </c>
      <c r="CF1824" s="5" t="s">
        <v>238</v>
      </c>
      <c r="CI1824" s="6" t="s">
        <v>257</v>
      </c>
      <c r="CJ1824" s="5" t="s">
        <v>238</v>
      </c>
      <c r="CK1824" s="5" t="s">
        <v>258</v>
      </c>
      <c r="CL1824" s="5" t="s">
        <v>238</v>
      </c>
      <c r="CM1824" s="5" t="s">
        <v>238</v>
      </c>
      <c r="CN1824" s="5">
        <v>0</v>
      </c>
      <c r="CO1824" s="5" t="s">
        <v>259</v>
      </c>
      <c r="CP1824" s="5" t="s">
        <v>260</v>
      </c>
      <c r="CQ1824" s="5" t="s">
        <v>260</v>
      </c>
      <c r="CR1824" s="5" t="s">
        <v>261</v>
      </c>
      <c r="CU1824" s="8">
        <f>2597302</f>
        <v>2597302</v>
      </c>
      <c r="CV1824" s="8">
        <f>0</f>
        <v>0</v>
      </c>
      <c r="CX1824" s="8">
        <f>0</f>
        <v>0</v>
      </c>
      <c r="CY1824" s="8">
        <f>2597302</f>
        <v>2597302</v>
      </c>
      <c r="DA1824" s="5" t="s">
        <v>356</v>
      </c>
      <c r="DB1824" s="5" t="s">
        <v>238</v>
      </c>
      <c r="DD1824" s="5" t="s">
        <v>356</v>
      </c>
      <c r="DE1824" s="8">
        <f>1040.9</f>
        <v>1040.9000000000001</v>
      </c>
      <c r="DG1824" s="5" t="s">
        <v>238</v>
      </c>
      <c r="DH1824" s="5" t="s">
        <v>238</v>
      </c>
      <c r="DI1824" s="5" t="s">
        <v>238</v>
      </c>
      <c r="DJ1824" s="5" t="s">
        <v>238</v>
      </c>
      <c r="DN1824" s="5" t="s">
        <v>238</v>
      </c>
      <c r="DO1824" s="5" t="s">
        <v>238</v>
      </c>
      <c r="DP1824" s="5" t="s">
        <v>238</v>
      </c>
      <c r="DQ1824" s="5" t="s">
        <v>238</v>
      </c>
      <c r="DT1824" s="5" t="s">
        <v>2039</v>
      </c>
      <c r="DU1824" s="5" t="s">
        <v>3702</v>
      </c>
      <c r="HM1824" s="5" t="s">
        <v>264</v>
      </c>
    </row>
    <row r="1825" spans="1:221" x14ac:dyDescent="0.4">
      <c r="A1825" s="5">
        <v>3523</v>
      </c>
      <c r="B1825" s="5">
        <v>1</v>
      </c>
      <c r="C1825" s="5">
        <v>1</v>
      </c>
      <c r="D1825" s="5" t="s">
        <v>2037</v>
      </c>
      <c r="E1825" s="5" t="s">
        <v>271</v>
      </c>
      <c r="F1825" s="5" t="s">
        <v>248</v>
      </c>
      <c r="G1825" s="5" t="s">
        <v>3703</v>
      </c>
      <c r="H1825" s="6" t="s">
        <v>3704</v>
      </c>
      <c r="I1825" s="7">
        <f>0</f>
        <v>0</v>
      </c>
      <c r="J1825" s="5" t="s">
        <v>262</v>
      </c>
      <c r="K1825" s="8">
        <f>1552440</f>
        <v>1552440</v>
      </c>
      <c r="L1825" s="6" t="s">
        <v>2622</v>
      </c>
      <c r="M1825" s="5" t="s">
        <v>267</v>
      </c>
      <c r="N1825" s="5" t="s">
        <v>265</v>
      </c>
      <c r="O1825" s="5" t="s">
        <v>238</v>
      </c>
      <c r="P1825" s="5" t="s">
        <v>238</v>
      </c>
      <c r="Q1825" s="5" t="s">
        <v>239</v>
      </c>
      <c r="R1825" s="5" t="s">
        <v>238</v>
      </c>
      <c r="S1825" s="5" t="s">
        <v>238</v>
      </c>
      <c r="V1825" s="5" t="s">
        <v>238</v>
      </c>
      <c r="X1825" s="6" t="s">
        <v>238</v>
      </c>
      <c r="AA1825" s="6" t="s">
        <v>2070</v>
      </c>
      <c r="AB1825" s="5" t="s">
        <v>238</v>
      </c>
      <c r="AC1825" s="5" t="s">
        <v>244</v>
      </c>
      <c r="AD1825" s="5" t="s">
        <v>261</v>
      </c>
      <c r="AT1825" s="5" t="s">
        <v>246</v>
      </c>
      <c r="AU1825" s="5" t="s">
        <v>238</v>
      </c>
      <c r="AV1825" s="5" t="s">
        <v>247</v>
      </c>
      <c r="AW1825" s="5" t="s">
        <v>238</v>
      </c>
      <c r="AX1825" s="5" t="s">
        <v>249</v>
      </c>
      <c r="AY1825" s="5" t="s">
        <v>238</v>
      </c>
      <c r="BA1825" s="5" t="s">
        <v>238</v>
      </c>
      <c r="BC1825" s="5" t="s">
        <v>1468</v>
      </c>
      <c r="BD1825" s="6" t="s">
        <v>2622</v>
      </c>
      <c r="BE1825" s="5" t="s">
        <v>251</v>
      </c>
      <c r="BF1825" s="5" t="s">
        <v>2043</v>
      </c>
      <c r="BG1825" s="5" t="s">
        <v>238</v>
      </c>
      <c r="BH1825" s="7">
        <f>0</f>
        <v>0</v>
      </c>
      <c r="BI1825" s="8">
        <f>0</f>
        <v>0</v>
      </c>
      <c r="BJ1825" s="5" t="s">
        <v>253</v>
      </c>
      <c r="BK1825" s="5" t="s">
        <v>254</v>
      </c>
      <c r="BY1825" s="5" t="s">
        <v>238</v>
      </c>
      <c r="BZ1825" s="5" t="s">
        <v>238</v>
      </c>
      <c r="CD1825" s="5" t="s">
        <v>293</v>
      </c>
      <c r="CE1825" s="5" t="s">
        <v>256</v>
      </c>
      <c r="CF1825" s="5" t="s">
        <v>238</v>
      </c>
      <c r="CI1825" s="6" t="s">
        <v>257</v>
      </c>
      <c r="CJ1825" s="5" t="s">
        <v>238</v>
      </c>
      <c r="CK1825" s="5" t="s">
        <v>258</v>
      </c>
      <c r="CL1825" s="5" t="s">
        <v>238</v>
      </c>
      <c r="CM1825" s="5" t="s">
        <v>238</v>
      </c>
      <c r="CN1825" s="5">
        <v>0</v>
      </c>
      <c r="CO1825" s="5" t="s">
        <v>259</v>
      </c>
      <c r="CP1825" s="5" t="s">
        <v>260</v>
      </c>
      <c r="CQ1825" s="5" t="s">
        <v>260</v>
      </c>
      <c r="CR1825" s="5" t="s">
        <v>261</v>
      </c>
      <c r="CU1825" s="8">
        <f>1552440</f>
        <v>1552440</v>
      </c>
      <c r="CV1825" s="8">
        <f>0</f>
        <v>0</v>
      </c>
      <c r="CX1825" s="8">
        <f>0</f>
        <v>0</v>
      </c>
      <c r="CY1825" s="8">
        <f>1552440</f>
        <v>1552440</v>
      </c>
      <c r="DA1825" s="5" t="s">
        <v>356</v>
      </c>
      <c r="DB1825" s="5" t="s">
        <v>238</v>
      </c>
      <c r="DD1825" s="5" t="s">
        <v>356</v>
      </c>
      <c r="DE1825" s="8">
        <f>0</f>
        <v>0</v>
      </c>
      <c r="DG1825" s="5" t="s">
        <v>238</v>
      </c>
      <c r="DH1825" s="5" t="s">
        <v>238</v>
      </c>
      <c r="DI1825" s="5" t="s">
        <v>238</v>
      </c>
      <c r="DJ1825" s="5" t="s">
        <v>238</v>
      </c>
      <c r="DN1825" s="5" t="s">
        <v>238</v>
      </c>
      <c r="DO1825" s="5" t="s">
        <v>238</v>
      </c>
      <c r="DP1825" s="5" t="s">
        <v>238</v>
      </c>
      <c r="DQ1825" s="5" t="s">
        <v>238</v>
      </c>
      <c r="DT1825" s="5" t="s">
        <v>2039</v>
      </c>
      <c r="DU1825" s="5" t="s">
        <v>3705</v>
      </c>
      <c r="HM1825" s="5" t="s">
        <v>264</v>
      </c>
    </row>
    <row r="1826" spans="1:221" x14ac:dyDescent="0.4">
      <c r="A1826" s="5">
        <v>3524</v>
      </c>
      <c r="B1826" s="5">
        <v>1</v>
      </c>
      <c r="C1826" s="5">
        <v>1</v>
      </c>
      <c r="D1826" s="5" t="s">
        <v>2037</v>
      </c>
      <c r="E1826" s="5" t="s">
        <v>271</v>
      </c>
      <c r="F1826" s="5" t="s">
        <v>248</v>
      </c>
      <c r="G1826" s="5" t="s">
        <v>3706</v>
      </c>
      <c r="H1826" s="6" t="s">
        <v>3704</v>
      </c>
      <c r="I1826" s="7">
        <f>96.89</f>
        <v>96.89</v>
      </c>
      <c r="J1826" s="5" t="s">
        <v>262</v>
      </c>
      <c r="K1826" s="8">
        <f>315452</f>
        <v>315452</v>
      </c>
      <c r="L1826" s="6" t="s">
        <v>3630</v>
      </c>
      <c r="M1826" s="5" t="s">
        <v>267</v>
      </c>
      <c r="N1826" s="5" t="s">
        <v>265</v>
      </c>
      <c r="O1826" s="5" t="s">
        <v>238</v>
      </c>
      <c r="P1826" s="5" t="s">
        <v>238</v>
      </c>
      <c r="Q1826" s="5" t="s">
        <v>239</v>
      </c>
      <c r="R1826" s="5" t="s">
        <v>238</v>
      </c>
      <c r="S1826" s="5" t="s">
        <v>238</v>
      </c>
      <c r="V1826" s="5" t="s">
        <v>238</v>
      </c>
      <c r="X1826" s="6" t="s">
        <v>238</v>
      </c>
      <c r="AA1826" s="6" t="s">
        <v>2227</v>
      </c>
      <c r="AB1826" s="5" t="s">
        <v>238</v>
      </c>
      <c r="AC1826" s="5" t="s">
        <v>244</v>
      </c>
      <c r="AD1826" s="5" t="s">
        <v>261</v>
      </c>
      <c r="AT1826" s="5" t="s">
        <v>246</v>
      </c>
      <c r="AU1826" s="5" t="s">
        <v>238</v>
      </c>
      <c r="AV1826" s="5" t="s">
        <v>247</v>
      </c>
      <c r="AW1826" s="5" t="s">
        <v>238</v>
      </c>
      <c r="AX1826" s="5" t="s">
        <v>249</v>
      </c>
      <c r="AY1826" s="5" t="s">
        <v>238</v>
      </c>
      <c r="BA1826" s="5" t="s">
        <v>238</v>
      </c>
      <c r="BC1826" s="5" t="s">
        <v>1468</v>
      </c>
      <c r="BD1826" s="6" t="s">
        <v>3630</v>
      </c>
      <c r="BE1826" s="5" t="s">
        <v>251</v>
      </c>
      <c r="BF1826" s="5" t="s">
        <v>2043</v>
      </c>
      <c r="BG1826" s="5" t="s">
        <v>238</v>
      </c>
      <c r="BH1826" s="7">
        <f>0</f>
        <v>0</v>
      </c>
      <c r="BI1826" s="8">
        <f>0</f>
        <v>0</v>
      </c>
      <c r="BJ1826" s="5" t="s">
        <v>253</v>
      </c>
      <c r="BK1826" s="5" t="s">
        <v>254</v>
      </c>
      <c r="BY1826" s="5" t="s">
        <v>238</v>
      </c>
      <c r="BZ1826" s="5" t="s">
        <v>238</v>
      </c>
      <c r="CD1826" s="5" t="s">
        <v>293</v>
      </c>
      <c r="CE1826" s="5" t="s">
        <v>256</v>
      </c>
      <c r="CF1826" s="5" t="s">
        <v>238</v>
      </c>
      <c r="CI1826" s="6" t="s">
        <v>257</v>
      </c>
      <c r="CJ1826" s="5" t="s">
        <v>238</v>
      </c>
      <c r="CK1826" s="5" t="s">
        <v>258</v>
      </c>
      <c r="CL1826" s="5" t="s">
        <v>238</v>
      </c>
      <c r="CM1826" s="5" t="s">
        <v>238</v>
      </c>
      <c r="CN1826" s="5">
        <v>0</v>
      </c>
      <c r="CO1826" s="5" t="s">
        <v>259</v>
      </c>
      <c r="CP1826" s="5" t="s">
        <v>260</v>
      </c>
      <c r="CQ1826" s="5" t="s">
        <v>260</v>
      </c>
      <c r="CR1826" s="5" t="s">
        <v>261</v>
      </c>
      <c r="CU1826" s="8">
        <f>315452</f>
        <v>315452</v>
      </c>
      <c r="CV1826" s="8">
        <f>0</f>
        <v>0</v>
      </c>
      <c r="CX1826" s="8">
        <f>0</f>
        <v>0</v>
      </c>
      <c r="CY1826" s="8">
        <f>315452</f>
        <v>315452</v>
      </c>
      <c r="DA1826" s="5" t="s">
        <v>356</v>
      </c>
      <c r="DB1826" s="5" t="s">
        <v>238</v>
      </c>
      <c r="DD1826" s="5" t="s">
        <v>356</v>
      </c>
      <c r="DE1826" s="8">
        <f>96.89</f>
        <v>96.89</v>
      </c>
      <c r="DG1826" s="5" t="s">
        <v>238</v>
      </c>
      <c r="DH1826" s="5" t="s">
        <v>238</v>
      </c>
      <c r="DI1826" s="5" t="s">
        <v>238</v>
      </c>
      <c r="DJ1826" s="5" t="s">
        <v>238</v>
      </c>
      <c r="DN1826" s="5" t="s">
        <v>238</v>
      </c>
      <c r="DO1826" s="5" t="s">
        <v>238</v>
      </c>
      <c r="DP1826" s="5" t="s">
        <v>238</v>
      </c>
      <c r="DQ1826" s="5" t="s">
        <v>238</v>
      </c>
      <c r="DT1826" s="5" t="s">
        <v>2039</v>
      </c>
      <c r="DU1826" s="5" t="s">
        <v>3707</v>
      </c>
      <c r="HM1826" s="5" t="s">
        <v>264</v>
      </c>
    </row>
    <row r="1827" spans="1:221" x14ac:dyDescent="0.4">
      <c r="A1827" s="5">
        <v>3525</v>
      </c>
      <c r="B1827" s="5">
        <v>1</v>
      </c>
      <c r="C1827" s="5">
        <v>1</v>
      </c>
      <c r="D1827" s="5" t="s">
        <v>2037</v>
      </c>
      <c r="E1827" s="5" t="s">
        <v>271</v>
      </c>
      <c r="F1827" s="5" t="s">
        <v>248</v>
      </c>
      <c r="G1827" s="5" t="s">
        <v>3717</v>
      </c>
      <c r="H1827" s="6" t="s">
        <v>3718</v>
      </c>
      <c r="I1827" s="7">
        <f>14.73</f>
        <v>14.73</v>
      </c>
      <c r="J1827" s="5" t="s">
        <v>262</v>
      </c>
      <c r="K1827" s="8">
        <f>223896</f>
        <v>223896</v>
      </c>
      <c r="L1827" s="6" t="s">
        <v>2134</v>
      </c>
      <c r="M1827" s="5" t="s">
        <v>267</v>
      </c>
      <c r="N1827" s="5" t="s">
        <v>265</v>
      </c>
      <c r="O1827" s="5" t="s">
        <v>238</v>
      </c>
      <c r="P1827" s="5" t="s">
        <v>238</v>
      </c>
      <c r="Q1827" s="5" t="s">
        <v>239</v>
      </c>
      <c r="R1827" s="5" t="s">
        <v>238</v>
      </c>
      <c r="S1827" s="5" t="s">
        <v>238</v>
      </c>
      <c r="V1827" s="5" t="s">
        <v>238</v>
      </c>
      <c r="X1827" s="6" t="s">
        <v>238</v>
      </c>
      <c r="AA1827" s="6" t="s">
        <v>2103</v>
      </c>
      <c r="AB1827" s="5" t="s">
        <v>238</v>
      </c>
      <c r="AC1827" s="5" t="s">
        <v>244</v>
      </c>
      <c r="AD1827" s="5" t="s">
        <v>261</v>
      </c>
      <c r="AT1827" s="5" t="s">
        <v>246</v>
      </c>
      <c r="AU1827" s="5" t="s">
        <v>238</v>
      </c>
      <c r="AV1827" s="5" t="s">
        <v>247</v>
      </c>
      <c r="AW1827" s="5" t="s">
        <v>238</v>
      </c>
      <c r="AX1827" s="5" t="s">
        <v>249</v>
      </c>
      <c r="AY1827" s="5" t="s">
        <v>238</v>
      </c>
      <c r="BA1827" s="5" t="s">
        <v>238</v>
      </c>
      <c r="BC1827" s="5" t="s">
        <v>1468</v>
      </c>
      <c r="BD1827" s="6" t="s">
        <v>2134</v>
      </c>
      <c r="BE1827" s="5" t="s">
        <v>251</v>
      </c>
      <c r="BF1827" s="5" t="s">
        <v>2043</v>
      </c>
      <c r="BG1827" s="5" t="s">
        <v>238</v>
      </c>
      <c r="BH1827" s="7">
        <f>0</f>
        <v>0</v>
      </c>
      <c r="BI1827" s="8">
        <f>0</f>
        <v>0</v>
      </c>
      <c r="BJ1827" s="5" t="s">
        <v>253</v>
      </c>
      <c r="BK1827" s="5" t="s">
        <v>254</v>
      </c>
      <c r="BY1827" s="5" t="s">
        <v>238</v>
      </c>
      <c r="BZ1827" s="5" t="s">
        <v>238</v>
      </c>
      <c r="CD1827" s="5" t="s">
        <v>293</v>
      </c>
      <c r="CE1827" s="5" t="s">
        <v>256</v>
      </c>
      <c r="CF1827" s="5" t="s">
        <v>238</v>
      </c>
      <c r="CI1827" s="6" t="s">
        <v>257</v>
      </c>
      <c r="CJ1827" s="5" t="s">
        <v>238</v>
      </c>
      <c r="CK1827" s="5" t="s">
        <v>258</v>
      </c>
      <c r="CL1827" s="5" t="s">
        <v>238</v>
      </c>
      <c r="CM1827" s="5" t="s">
        <v>238</v>
      </c>
      <c r="CN1827" s="5">
        <v>0</v>
      </c>
      <c r="CO1827" s="5" t="s">
        <v>259</v>
      </c>
      <c r="CP1827" s="5" t="s">
        <v>260</v>
      </c>
      <c r="CQ1827" s="5" t="s">
        <v>260</v>
      </c>
      <c r="CR1827" s="5" t="s">
        <v>261</v>
      </c>
      <c r="CU1827" s="8">
        <f>223896</f>
        <v>223896</v>
      </c>
      <c r="CV1827" s="8">
        <f>0</f>
        <v>0</v>
      </c>
      <c r="CX1827" s="8">
        <f>0</f>
        <v>0</v>
      </c>
      <c r="CY1827" s="8">
        <f>223896</f>
        <v>223896</v>
      </c>
      <c r="DA1827" s="5" t="s">
        <v>356</v>
      </c>
      <c r="DB1827" s="5" t="s">
        <v>238</v>
      </c>
      <c r="DD1827" s="5" t="s">
        <v>356</v>
      </c>
      <c r="DE1827" s="8">
        <f>14.73</f>
        <v>14.73</v>
      </c>
      <c r="DG1827" s="5" t="s">
        <v>238</v>
      </c>
      <c r="DH1827" s="5" t="s">
        <v>238</v>
      </c>
      <c r="DI1827" s="5" t="s">
        <v>238</v>
      </c>
      <c r="DJ1827" s="5" t="s">
        <v>238</v>
      </c>
      <c r="DN1827" s="5" t="s">
        <v>238</v>
      </c>
      <c r="DO1827" s="5" t="s">
        <v>238</v>
      </c>
      <c r="DP1827" s="5" t="s">
        <v>238</v>
      </c>
      <c r="DQ1827" s="5" t="s">
        <v>238</v>
      </c>
      <c r="DT1827" s="5" t="s">
        <v>2039</v>
      </c>
      <c r="DU1827" s="5" t="s">
        <v>3719</v>
      </c>
      <c r="HM1827" s="5" t="s">
        <v>264</v>
      </c>
    </row>
    <row r="1828" spans="1:221" x14ac:dyDescent="0.4">
      <c r="A1828" s="5">
        <v>3526</v>
      </c>
      <c r="B1828" s="5">
        <v>1</v>
      </c>
      <c r="C1828" s="5">
        <v>1</v>
      </c>
      <c r="D1828" s="5" t="s">
        <v>2037</v>
      </c>
      <c r="E1828" s="5" t="s">
        <v>271</v>
      </c>
      <c r="F1828" s="5" t="s">
        <v>248</v>
      </c>
      <c r="G1828" s="5" t="s">
        <v>2198</v>
      </c>
      <c r="H1828" s="6" t="s">
        <v>2200</v>
      </c>
      <c r="I1828" s="7">
        <f>0</f>
        <v>0</v>
      </c>
      <c r="J1828" s="5" t="s">
        <v>262</v>
      </c>
      <c r="K1828" s="8">
        <f>511731</f>
        <v>511731</v>
      </c>
      <c r="L1828" s="6" t="s">
        <v>2199</v>
      </c>
      <c r="M1828" s="5" t="s">
        <v>267</v>
      </c>
      <c r="N1828" s="5" t="s">
        <v>265</v>
      </c>
      <c r="O1828" s="5" t="s">
        <v>238</v>
      </c>
      <c r="P1828" s="5" t="s">
        <v>238</v>
      </c>
      <c r="Q1828" s="5" t="s">
        <v>239</v>
      </c>
      <c r="R1828" s="5" t="s">
        <v>238</v>
      </c>
      <c r="S1828" s="5" t="s">
        <v>238</v>
      </c>
      <c r="V1828" s="5" t="s">
        <v>238</v>
      </c>
      <c r="X1828" s="6" t="s">
        <v>238</v>
      </c>
      <c r="AA1828" s="6" t="s">
        <v>2053</v>
      </c>
      <c r="AB1828" s="5" t="s">
        <v>238</v>
      </c>
      <c r="AC1828" s="5" t="s">
        <v>244</v>
      </c>
      <c r="AD1828" s="5" t="s">
        <v>261</v>
      </c>
      <c r="AT1828" s="5" t="s">
        <v>246</v>
      </c>
      <c r="AU1828" s="5" t="s">
        <v>238</v>
      </c>
      <c r="AV1828" s="5" t="s">
        <v>247</v>
      </c>
      <c r="AW1828" s="5" t="s">
        <v>238</v>
      </c>
      <c r="AX1828" s="5" t="s">
        <v>249</v>
      </c>
      <c r="AY1828" s="5" t="s">
        <v>238</v>
      </c>
      <c r="BA1828" s="5" t="s">
        <v>238</v>
      </c>
      <c r="BC1828" s="5" t="s">
        <v>1468</v>
      </c>
      <c r="BD1828" s="6" t="s">
        <v>2199</v>
      </c>
      <c r="BE1828" s="5" t="s">
        <v>251</v>
      </c>
      <c r="BF1828" s="5" t="s">
        <v>2043</v>
      </c>
      <c r="BG1828" s="5" t="s">
        <v>238</v>
      </c>
      <c r="BH1828" s="7">
        <f>0</f>
        <v>0</v>
      </c>
      <c r="BI1828" s="8">
        <f>0</f>
        <v>0</v>
      </c>
      <c r="BJ1828" s="5" t="s">
        <v>253</v>
      </c>
      <c r="BK1828" s="5" t="s">
        <v>254</v>
      </c>
      <c r="BY1828" s="5" t="s">
        <v>238</v>
      </c>
      <c r="BZ1828" s="5" t="s">
        <v>238</v>
      </c>
      <c r="CD1828" s="5" t="s">
        <v>293</v>
      </c>
      <c r="CE1828" s="5" t="s">
        <v>256</v>
      </c>
      <c r="CF1828" s="5" t="s">
        <v>238</v>
      </c>
      <c r="CI1828" s="6" t="s">
        <v>257</v>
      </c>
      <c r="CJ1828" s="5" t="s">
        <v>238</v>
      </c>
      <c r="CK1828" s="5" t="s">
        <v>258</v>
      </c>
      <c r="CL1828" s="5" t="s">
        <v>238</v>
      </c>
      <c r="CM1828" s="5" t="s">
        <v>238</v>
      </c>
      <c r="CN1828" s="5">
        <v>0</v>
      </c>
      <c r="CO1828" s="5" t="s">
        <v>259</v>
      </c>
      <c r="CP1828" s="5" t="s">
        <v>260</v>
      </c>
      <c r="CQ1828" s="5" t="s">
        <v>260</v>
      </c>
      <c r="CR1828" s="5" t="s">
        <v>261</v>
      </c>
      <c r="CU1828" s="8">
        <f>511731</f>
        <v>511731</v>
      </c>
      <c r="CV1828" s="8">
        <f>0</f>
        <v>0</v>
      </c>
      <c r="CX1828" s="8">
        <f>0</f>
        <v>0</v>
      </c>
      <c r="CY1828" s="8">
        <f>511731</f>
        <v>511731</v>
      </c>
      <c r="DA1828" s="5" t="s">
        <v>356</v>
      </c>
      <c r="DB1828" s="5" t="s">
        <v>238</v>
      </c>
      <c r="DD1828" s="5" t="s">
        <v>356</v>
      </c>
      <c r="DE1828" s="8">
        <f>0</f>
        <v>0</v>
      </c>
      <c r="DG1828" s="5" t="s">
        <v>238</v>
      </c>
      <c r="DH1828" s="5" t="s">
        <v>238</v>
      </c>
      <c r="DI1828" s="5" t="s">
        <v>238</v>
      </c>
      <c r="DJ1828" s="5" t="s">
        <v>238</v>
      </c>
      <c r="DN1828" s="5" t="s">
        <v>238</v>
      </c>
      <c r="DO1828" s="5" t="s">
        <v>238</v>
      </c>
      <c r="DP1828" s="5" t="s">
        <v>238</v>
      </c>
      <c r="DQ1828" s="5" t="s">
        <v>238</v>
      </c>
      <c r="DT1828" s="5" t="s">
        <v>2039</v>
      </c>
      <c r="DU1828" s="5" t="s">
        <v>2201</v>
      </c>
      <c r="HM1828" s="5" t="s">
        <v>264</v>
      </c>
    </row>
    <row r="1829" spans="1:221" x14ac:dyDescent="0.4">
      <c r="A1829" s="5">
        <v>3527</v>
      </c>
      <c r="B1829" s="5">
        <v>1</v>
      </c>
      <c r="C1829" s="5">
        <v>1</v>
      </c>
      <c r="D1829" s="5" t="s">
        <v>2037</v>
      </c>
      <c r="E1829" s="5" t="s">
        <v>271</v>
      </c>
      <c r="F1829" s="5" t="s">
        <v>248</v>
      </c>
      <c r="G1829" s="5" t="s">
        <v>2245</v>
      </c>
      <c r="H1829" s="6" t="s">
        <v>2200</v>
      </c>
      <c r="I1829" s="7">
        <f>868.23</f>
        <v>868.23</v>
      </c>
      <c r="J1829" s="5" t="s">
        <v>262</v>
      </c>
      <c r="K1829" s="8">
        <f>3338042</f>
        <v>3338042</v>
      </c>
      <c r="L1829" s="6" t="s">
        <v>2134</v>
      </c>
      <c r="M1829" s="5" t="s">
        <v>267</v>
      </c>
      <c r="N1829" s="5" t="s">
        <v>265</v>
      </c>
      <c r="O1829" s="5" t="s">
        <v>238</v>
      </c>
      <c r="P1829" s="5" t="s">
        <v>238</v>
      </c>
      <c r="Q1829" s="5" t="s">
        <v>239</v>
      </c>
      <c r="R1829" s="5" t="s">
        <v>238</v>
      </c>
      <c r="S1829" s="5" t="s">
        <v>238</v>
      </c>
      <c r="V1829" s="5" t="s">
        <v>238</v>
      </c>
      <c r="X1829" s="6" t="s">
        <v>238</v>
      </c>
      <c r="AA1829" s="6" t="s">
        <v>2117</v>
      </c>
      <c r="AB1829" s="5" t="s">
        <v>238</v>
      </c>
      <c r="AC1829" s="5" t="s">
        <v>244</v>
      </c>
      <c r="AD1829" s="5" t="s">
        <v>261</v>
      </c>
      <c r="AT1829" s="5" t="s">
        <v>246</v>
      </c>
      <c r="AU1829" s="5" t="s">
        <v>238</v>
      </c>
      <c r="AV1829" s="5" t="s">
        <v>247</v>
      </c>
      <c r="AW1829" s="5" t="s">
        <v>238</v>
      </c>
      <c r="AX1829" s="5" t="s">
        <v>249</v>
      </c>
      <c r="AY1829" s="5" t="s">
        <v>238</v>
      </c>
      <c r="BA1829" s="5" t="s">
        <v>238</v>
      </c>
      <c r="BC1829" s="5" t="s">
        <v>1468</v>
      </c>
      <c r="BD1829" s="6" t="s">
        <v>2134</v>
      </c>
      <c r="BE1829" s="5" t="s">
        <v>251</v>
      </c>
      <c r="BF1829" s="5" t="s">
        <v>2043</v>
      </c>
      <c r="BG1829" s="5" t="s">
        <v>238</v>
      </c>
      <c r="BH1829" s="7">
        <f>0</f>
        <v>0</v>
      </c>
      <c r="BI1829" s="8">
        <f>0</f>
        <v>0</v>
      </c>
      <c r="BJ1829" s="5" t="s">
        <v>253</v>
      </c>
      <c r="BK1829" s="5" t="s">
        <v>254</v>
      </c>
      <c r="BY1829" s="5" t="s">
        <v>238</v>
      </c>
      <c r="BZ1829" s="5" t="s">
        <v>238</v>
      </c>
      <c r="CD1829" s="5" t="s">
        <v>293</v>
      </c>
      <c r="CE1829" s="5" t="s">
        <v>256</v>
      </c>
      <c r="CF1829" s="5" t="s">
        <v>238</v>
      </c>
      <c r="CI1829" s="6" t="s">
        <v>257</v>
      </c>
      <c r="CJ1829" s="5" t="s">
        <v>238</v>
      </c>
      <c r="CK1829" s="5" t="s">
        <v>258</v>
      </c>
      <c r="CL1829" s="5" t="s">
        <v>238</v>
      </c>
      <c r="CM1829" s="5" t="s">
        <v>238</v>
      </c>
      <c r="CN1829" s="5">
        <v>0</v>
      </c>
      <c r="CO1829" s="5" t="s">
        <v>259</v>
      </c>
      <c r="CP1829" s="5" t="s">
        <v>260</v>
      </c>
      <c r="CQ1829" s="5" t="s">
        <v>260</v>
      </c>
      <c r="CR1829" s="5" t="s">
        <v>261</v>
      </c>
      <c r="CU1829" s="8">
        <f>3338042</f>
        <v>3338042</v>
      </c>
      <c r="CV1829" s="8">
        <f>0</f>
        <v>0</v>
      </c>
      <c r="CX1829" s="8">
        <f>0</f>
        <v>0</v>
      </c>
      <c r="CY1829" s="8">
        <f>3338042</f>
        <v>3338042</v>
      </c>
      <c r="DA1829" s="5" t="s">
        <v>356</v>
      </c>
      <c r="DB1829" s="5" t="s">
        <v>238</v>
      </c>
      <c r="DD1829" s="5" t="s">
        <v>356</v>
      </c>
      <c r="DE1829" s="8">
        <f>868.23</f>
        <v>868.23</v>
      </c>
      <c r="DG1829" s="5" t="s">
        <v>238</v>
      </c>
      <c r="DH1829" s="5" t="s">
        <v>238</v>
      </c>
      <c r="DI1829" s="5" t="s">
        <v>238</v>
      </c>
      <c r="DJ1829" s="5" t="s">
        <v>238</v>
      </c>
      <c r="DN1829" s="5" t="s">
        <v>238</v>
      </c>
      <c r="DO1829" s="5" t="s">
        <v>238</v>
      </c>
      <c r="DP1829" s="5" t="s">
        <v>238</v>
      </c>
      <c r="DQ1829" s="5" t="s">
        <v>238</v>
      </c>
      <c r="DT1829" s="5" t="s">
        <v>2039</v>
      </c>
      <c r="DU1829" s="5" t="s">
        <v>2246</v>
      </c>
      <c r="HM1829" s="5" t="s">
        <v>264</v>
      </c>
    </row>
    <row r="1830" spans="1:221" x14ac:dyDescent="0.4">
      <c r="A1830" s="5">
        <v>3528</v>
      </c>
      <c r="B1830" s="5">
        <v>1</v>
      </c>
      <c r="C1830" s="5">
        <v>1</v>
      </c>
      <c r="D1830" s="5" t="s">
        <v>2037</v>
      </c>
      <c r="E1830" s="5" t="s">
        <v>271</v>
      </c>
      <c r="F1830" s="5" t="s">
        <v>248</v>
      </c>
      <c r="G1830" s="5" t="s">
        <v>2271</v>
      </c>
      <c r="H1830" s="6" t="s">
        <v>2273</v>
      </c>
      <c r="I1830" s="7">
        <f>0</f>
        <v>0</v>
      </c>
      <c r="J1830" s="5" t="s">
        <v>262</v>
      </c>
      <c r="K1830" s="8">
        <f>6180610</f>
        <v>6180610</v>
      </c>
      <c r="L1830" s="6" t="s">
        <v>2272</v>
      </c>
      <c r="M1830" s="5" t="s">
        <v>267</v>
      </c>
      <c r="N1830" s="5" t="s">
        <v>265</v>
      </c>
      <c r="O1830" s="5" t="s">
        <v>238</v>
      </c>
      <c r="P1830" s="5" t="s">
        <v>238</v>
      </c>
      <c r="Q1830" s="5" t="s">
        <v>239</v>
      </c>
      <c r="R1830" s="5" t="s">
        <v>238</v>
      </c>
      <c r="S1830" s="5" t="s">
        <v>238</v>
      </c>
      <c r="V1830" s="5" t="s">
        <v>238</v>
      </c>
      <c r="X1830" s="6" t="s">
        <v>238</v>
      </c>
      <c r="AA1830" s="6" t="s">
        <v>2086</v>
      </c>
      <c r="AB1830" s="5" t="s">
        <v>238</v>
      </c>
      <c r="AC1830" s="5" t="s">
        <v>244</v>
      </c>
      <c r="AD1830" s="5" t="s">
        <v>261</v>
      </c>
      <c r="AT1830" s="5" t="s">
        <v>246</v>
      </c>
      <c r="AU1830" s="5" t="s">
        <v>238</v>
      </c>
      <c r="AV1830" s="5" t="s">
        <v>247</v>
      </c>
      <c r="AW1830" s="5" t="s">
        <v>238</v>
      </c>
      <c r="AX1830" s="5" t="s">
        <v>249</v>
      </c>
      <c r="AY1830" s="5" t="s">
        <v>238</v>
      </c>
      <c r="BA1830" s="5" t="s">
        <v>238</v>
      </c>
      <c r="BC1830" s="5" t="s">
        <v>1468</v>
      </c>
      <c r="BD1830" s="6" t="s">
        <v>2272</v>
      </c>
      <c r="BE1830" s="5" t="s">
        <v>251</v>
      </c>
      <c r="BF1830" s="5" t="s">
        <v>2043</v>
      </c>
      <c r="BG1830" s="5" t="s">
        <v>238</v>
      </c>
      <c r="BH1830" s="7">
        <f>0</f>
        <v>0</v>
      </c>
      <c r="BI1830" s="8">
        <f>0</f>
        <v>0</v>
      </c>
      <c r="BJ1830" s="5" t="s">
        <v>253</v>
      </c>
      <c r="BK1830" s="5" t="s">
        <v>254</v>
      </c>
      <c r="BY1830" s="5" t="s">
        <v>238</v>
      </c>
      <c r="BZ1830" s="5" t="s">
        <v>238</v>
      </c>
      <c r="CD1830" s="5" t="s">
        <v>293</v>
      </c>
      <c r="CE1830" s="5" t="s">
        <v>256</v>
      </c>
      <c r="CF1830" s="5" t="s">
        <v>238</v>
      </c>
      <c r="CI1830" s="6" t="s">
        <v>257</v>
      </c>
      <c r="CJ1830" s="5" t="s">
        <v>238</v>
      </c>
      <c r="CK1830" s="5" t="s">
        <v>258</v>
      </c>
      <c r="CL1830" s="5" t="s">
        <v>238</v>
      </c>
      <c r="CM1830" s="5" t="s">
        <v>238</v>
      </c>
      <c r="CN1830" s="5">
        <v>0</v>
      </c>
      <c r="CO1830" s="5" t="s">
        <v>259</v>
      </c>
      <c r="CP1830" s="5" t="s">
        <v>260</v>
      </c>
      <c r="CQ1830" s="5" t="s">
        <v>260</v>
      </c>
      <c r="CR1830" s="5" t="s">
        <v>261</v>
      </c>
      <c r="CU1830" s="8">
        <f>6180610</f>
        <v>6180610</v>
      </c>
      <c r="CV1830" s="8">
        <f>0</f>
        <v>0</v>
      </c>
      <c r="CX1830" s="8">
        <f>0</f>
        <v>0</v>
      </c>
      <c r="CY1830" s="8">
        <f>6180610</f>
        <v>6180610</v>
      </c>
      <c r="DA1830" s="5" t="s">
        <v>356</v>
      </c>
      <c r="DB1830" s="5" t="s">
        <v>238</v>
      </c>
      <c r="DD1830" s="5" t="s">
        <v>356</v>
      </c>
      <c r="DE1830" s="8">
        <f>0</f>
        <v>0</v>
      </c>
      <c r="DG1830" s="5" t="s">
        <v>238</v>
      </c>
      <c r="DH1830" s="5" t="s">
        <v>238</v>
      </c>
      <c r="DI1830" s="5" t="s">
        <v>238</v>
      </c>
      <c r="DJ1830" s="5" t="s">
        <v>238</v>
      </c>
      <c r="DN1830" s="5" t="s">
        <v>238</v>
      </c>
      <c r="DO1830" s="5" t="s">
        <v>238</v>
      </c>
      <c r="DP1830" s="5" t="s">
        <v>238</v>
      </c>
      <c r="DQ1830" s="5" t="s">
        <v>238</v>
      </c>
      <c r="DT1830" s="5" t="s">
        <v>2039</v>
      </c>
      <c r="DU1830" s="5" t="s">
        <v>2274</v>
      </c>
      <c r="HM1830" s="5" t="s">
        <v>264</v>
      </c>
    </row>
    <row r="1831" spans="1:221" x14ac:dyDescent="0.4">
      <c r="A1831" s="5">
        <v>3529</v>
      </c>
      <c r="B1831" s="5">
        <v>1</v>
      </c>
      <c r="C1831" s="5">
        <v>1</v>
      </c>
      <c r="D1831" s="5" t="s">
        <v>2037</v>
      </c>
      <c r="E1831" s="5" t="s">
        <v>271</v>
      </c>
      <c r="F1831" s="5" t="s">
        <v>248</v>
      </c>
      <c r="G1831" s="5" t="s">
        <v>2295</v>
      </c>
      <c r="H1831" s="6" t="s">
        <v>2273</v>
      </c>
      <c r="I1831" s="7">
        <f>1144.05</f>
        <v>1144.05</v>
      </c>
      <c r="J1831" s="5" t="s">
        <v>262</v>
      </c>
      <c r="K1831" s="8">
        <f>2288991</f>
        <v>2288991</v>
      </c>
      <c r="L1831" s="6" t="s">
        <v>2296</v>
      </c>
      <c r="M1831" s="5" t="s">
        <v>267</v>
      </c>
      <c r="N1831" s="5" t="s">
        <v>265</v>
      </c>
      <c r="O1831" s="5" t="s">
        <v>238</v>
      </c>
      <c r="P1831" s="5" t="s">
        <v>238</v>
      </c>
      <c r="Q1831" s="5" t="s">
        <v>239</v>
      </c>
      <c r="R1831" s="5" t="s">
        <v>238</v>
      </c>
      <c r="S1831" s="5" t="s">
        <v>238</v>
      </c>
      <c r="V1831" s="5" t="s">
        <v>238</v>
      </c>
      <c r="X1831" s="6" t="s">
        <v>238</v>
      </c>
      <c r="AA1831" s="6" t="s">
        <v>2098</v>
      </c>
      <c r="AB1831" s="5" t="s">
        <v>238</v>
      </c>
      <c r="AC1831" s="5" t="s">
        <v>244</v>
      </c>
      <c r="AD1831" s="5" t="s">
        <v>261</v>
      </c>
      <c r="AT1831" s="5" t="s">
        <v>246</v>
      </c>
      <c r="AU1831" s="5" t="s">
        <v>238</v>
      </c>
      <c r="AV1831" s="5" t="s">
        <v>247</v>
      </c>
      <c r="AW1831" s="5" t="s">
        <v>238</v>
      </c>
      <c r="AX1831" s="5" t="s">
        <v>249</v>
      </c>
      <c r="AY1831" s="5" t="s">
        <v>238</v>
      </c>
      <c r="BA1831" s="5" t="s">
        <v>238</v>
      </c>
      <c r="BC1831" s="5" t="s">
        <v>1468</v>
      </c>
      <c r="BD1831" s="6" t="s">
        <v>2296</v>
      </c>
      <c r="BE1831" s="5" t="s">
        <v>251</v>
      </c>
      <c r="BF1831" s="5" t="s">
        <v>2043</v>
      </c>
      <c r="BG1831" s="5" t="s">
        <v>238</v>
      </c>
      <c r="BH1831" s="7">
        <f>0</f>
        <v>0</v>
      </c>
      <c r="BI1831" s="8">
        <f>0</f>
        <v>0</v>
      </c>
      <c r="BJ1831" s="5" t="s">
        <v>253</v>
      </c>
      <c r="BK1831" s="5" t="s">
        <v>254</v>
      </c>
      <c r="BY1831" s="5" t="s">
        <v>238</v>
      </c>
      <c r="BZ1831" s="5" t="s">
        <v>238</v>
      </c>
      <c r="CD1831" s="5" t="s">
        <v>293</v>
      </c>
      <c r="CE1831" s="5" t="s">
        <v>256</v>
      </c>
      <c r="CF1831" s="5" t="s">
        <v>238</v>
      </c>
      <c r="CI1831" s="6" t="s">
        <v>257</v>
      </c>
      <c r="CJ1831" s="5" t="s">
        <v>238</v>
      </c>
      <c r="CK1831" s="5" t="s">
        <v>258</v>
      </c>
      <c r="CL1831" s="5" t="s">
        <v>238</v>
      </c>
      <c r="CM1831" s="5" t="s">
        <v>238</v>
      </c>
      <c r="CN1831" s="5">
        <v>0</v>
      </c>
      <c r="CO1831" s="5" t="s">
        <v>259</v>
      </c>
      <c r="CP1831" s="5" t="s">
        <v>260</v>
      </c>
      <c r="CQ1831" s="5" t="s">
        <v>260</v>
      </c>
      <c r="CR1831" s="5" t="s">
        <v>261</v>
      </c>
      <c r="CU1831" s="8">
        <f>2288991</f>
        <v>2288991</v>
      </c>
      <c r="CV1831" s="8">
        <f>0</f>
        <v>0</v>
      </c>
      <c r="CX1831" s="8">
        <f>0</f>
        <v>0</v>
      </c>
      <c r="CY1831" s="8">
        <f>2288991</f>
        <v>2288991</v>
      </c>
      <c r="DA1831" s="5" t="s">
        <v>356</v>
      </c>
      <c r="DB1831" s="5" t="s">
        <v>238</v>
      </c>
      <c r="DD1831" s="5" t="s">
        <v>356</v>
      </c>
      <c r="DE1831" s="8">
        <f>1144.05</f>
        <v>1144.05</v>
      </c>
      <c r="DG1831" s="5" t="s">
        <v>238</v>
      </c>
      <c r="DH1831" s="5" t="s">
        <v>238</v>
      </c>
      <c r="DI1831" s="5" t="s">
        <v>238</v>
      </c>
      <c r="DJ1831" s="5" t="s">
        <v>238</v>
      </c>
      <c r="DN1831" s="5" t="s">
        <v>238</v>
      </c>
      <c r="DO1831" s="5" t="s">
        <v>238</v>
      </c>
      <c r="DP1831" s="5" t="s">
        <v>238</v>
      </c>
      <c r="DQ1831" s="5" t="s">
        <v>238</v>
      </c>
      <c r="DT1831" s="5" t="s">
        <v>2039</v>
      </c>
      <c r="DU1831" s="5" t="s">
        <v>2297</v>
      </c>
      <c r="HM1831" s="5" t="s">
        <v>264</v>
      </c>
    </row>
    <row r="1832" spans="1:221" x14ac:dyDescent="0.4">
      <c r="A1832" s="5">
        <v>3530</v>
      </c>
      <c r="B1832" s="5">
        <v>1</v>
      </c>
      <c r="C1832" s="5">
        <v>1</v>
      </c>
      <c r="D1832" s="5" t="s">
        <v>2037</v>
      </c>
      <c r="E1832" s="5" t="s">
        <v>271</v>
      </c>
      <c r="F1832" s="5" t="s">
        <v>248</v>
      </c>
      <c r="G1832" s="5" t="s">
        <v>2319</v>
      </c>
      <c r="H1832" s="6" t="s">
        <v>2321</v>
      </c>
      <c r="I1832" s="7">
        <f>0</f>
        <v>0</v>
      </c>
      <c r="J1832" s="5" t="s">
        <v>262</v>
      </c>
      <c r="K1832" s="8">
        <f>6759000</f>
        <v>6759000</v>
      </c>
      <c r="L1832" s="6" t="s">
        <v>2320</v>
      </c>
      <c r="M1832" s="5" t="s">
        <v>267</v>
      </c>
      <c r="N1832" s="5" t="s">
        <v>265</v>
      </c>
      <c r="O1832" s="5" t="s">
        <v>238</v>
      </c>
      <c r="P1832" s="5" t="s">
        <v>238</v>
      </c>
      <c r="Q1832" s="5" t="s">
        <v>239</v>
      </c>
      <c r="R1832" s="5" t="s">
        <v>238</v>
      </c>
      <c r="S1832" s="5" t="s">
        <v>238</v>
      </c>
      <c r="V1832" s="5" t="s">
        <v>238</v>
      </c>
      <c r="X1832" s="6" t="s">
        <v>238</v>
      </c>
      <c r="AA1832" s="6" t="s">
        <v>2058</v>
      </c>
      <c r="AB1832" s="5" t="s">
        <v>238</v>
      </c>
      <c r="AC1832" s="5" t="s">
        <v>244</v>
      </c>
      <c r="AD1832" s="5" t="s">
        <v>261</v>
      </c>
      <c r="AT1832" s="5" t="s">
        <v>246</v>
      </c>
      <c r="AU1832" s="5" t="s">
        <v>238</v>
      </c>
      <c r="AV1832" s="5" t="s">
        <v>247</v>
      </c>
      <c r="AW1832" s="5" t="s">
        <v>238</v>
      </c>
      <c r="AX1832" s="5" t="s">
        <v>249</v>
      </c>
      <c r="AY1832" s="5" t="s">
        <v>238</v>
      </c>
      <c r="BA1832" s="5" t="s">
        <v>238</v>
      </c>
      <c r="BC1832" s="5" t="s">
        <v>1468</v>
      </c>
      <c r="BD1832" s="6" t="s">
        <v>2320</v>
      </c>
      <c r="BE1832" s="5" t="s">
        <v>251</v>
      </c>
      <c r="BF1832" s="5" t="s">
        <v>2043</v>
      </c>
      <c r="BG1832" s="5" t="s">
        <v>238</v>
      </c>
      <c r="BH1832" s="7">
        <f>0</f>
        <v>0</v>
      </c>
      <c r="BI1832" s="8">
        <f>0</f>
        <v>0</v>
      </c>
      <c r="BJ1832" s="5" t="s">
        <v>253</v>
      </c>
      <c r="BK1832" s="5" t="s">
        <v>254</v>
      </c>
      <c r="BY1832" s="5" t="s">
        <v>238</v>
      </c>
      <c r="BZ1832" s="5" t="s">
        <v>238</v>
      </c>
      <c r="CD1832" s="5" t="s">
        <v>293</v>
      </c>
      <c r="CE1832" s="5" t="s">
        <v>256</v>
      </c>
      <c r="CF1832" s="5" t="s">
        <v>238</v>
      </c>
      <c r="CI1832" s="6" t="s">
        <v>257</v>
      </c>
      <c r="CJ1832" s="5" t="s">
        <v>238</v>
      </c>
      <c r="CK1832" s="5" t="s">
        <v>258</v>
      </c>
      <c r="CL1832" s="5" t="s">
        <v>238</v>
      </c>
      <c r="CM1832" s="5" t="s">
        <v>238</v>
      </c>
      <c r="CN1832" s="5">
        <v>0</v>
      </c>
      <c r="CO1832" s="5" t="s">
        <v>259</v>
      </c>
      <c r="CP1832" s="5" t="s">
        <v>260</v>
      </c>
      <c r="CQ1832" s="5" t="s">
        <v>260</v>
      </c>
      <c r="CR1832" s="5" t="s">
        <v>261</v>
      </c>
      <c r="CU1832" s="8">
        <f>6759000</f>
        <v>6759000</v>
      </c>
      <c r="CV1832" s="8">
        <f>0</f>
        <v>0</v>
      </c>
      <c r="CX1832" s="8">
        <f>0</f>
        <v>0</v>
      </c>
      <c r="CY1832" s="8">
        <f>6759000</f>
        <v>6759000</v>
      </c>
      <c r="DA1832" s="5" t="s">
        <v>356</v>
      </c>
      <c r="DB1832" s="5" t="s">
        <v>238</v>
      </c>
      <c r="DD1832" s="5" t="s">
        <v>356</v>
      </c>
      <c r="DE1832" s="8">
        <f>0</f>
        <v>0</v>
      </c>
      <c r="DG1832" s="5" t="s">
        <v>238</v>
      </c>
      <c r="DH1832" s="5" t="s">
        <v>238</v>
      </c>
      <c r="DI1832" s="5" t="s">
        <v>238</v>
      </c>
      <c r="DJ1832" s="5" t="s">
        <v>238</v>
      </c>
      <c r="DN1832" s="5" t="s">
        <v>238</v>
      </c>
      <c r="DO1832" s="5" t="s">
        <v>238</v>
      </c>
      <c r="DP1832" s="5" t="s">
        <v>238</v>
      </c>
      <c r="DQ1832" s="5" t="s">
        <v>238</v>
      </c>
      <c r="DT1832" s="5" t="s">
        <v>2039</v>
      </c>
      <c r="DU1832" s="5" t="s">
        <v>2322</v>
      </c>
      <c r="HM1832" s="5" t="s">
        <v>264</v>
      </c>
    </row>
    <row r="1833" spans="1:221" x14ac:dyDescent="0.4">
      <c r="A1833" s="5">
        <v>3531</v>
      </c>
      <c r="B1833" s="5">
        <v>1</v>
      </c>
      <c r="C1833" s="5">
        <v>1</v>
      </c>
      <c r="D1833" s="5" t="s">
        <v>2037</v>
      </c>
      <c r="E1833" s="5" t="s">
        <v>271</v>
      </c>
      <c r="F1833" s="5" t="s">
        <v>248</v>
      </c>
      <c r="G1833" s="5" t="s">
        <v>2340</v>
      </c>
      <c r="H1833" s="6" t="s">
        <v>2321</v>
      </c>
      <c r="I1833" s="7">
        <f>798.81</f>
        <v>798.81</v>
      </c>
      <c r="J1833" s="5" t="s">
        <v>262</v>
      </c>
      <c r="K1833" s="8">
        <f>1022000</f>
        <v>1022000</v>
      </c>
      <c r="L1833" s="6" t="s">
        <v>2341</v>
      </c>
      <c r="M1833" s="5" t="s">
        <v>267</v>
      </c>
      <c r="N1833" s="5" t="s">
        <v>265</v>
      </c>
      <c r="O1833" s="5" t="s">
        <v>238</v>
      </c>
      <c r="P1833" s="5" t="s">
        <v>238</v>
      </c>
      <c r="Q1833" s="5" t="s">
        <v>239</v>
      </c>
      <c r="R1833" s="5" t="s">
        <v>238</v>
      </c>
      <c r="S1833" s="5" t="s">
        <v>238</v>
      </c>
      <c r="V1833" s="5" t="s">
        <v>238</v>
      </c>
      <c r="X1833" s="6" t="s">
        <v>238</v>
      </c>
      <c r="AA1833" s="6" t="s">
        <v>2182</v>
      </c>
      <c r="AB1833" s="5" t="s">
        <v>238</v>
      </c>
      <c r="AC1833" s="5" t="s">
        <v>244</v>
      </c>
      <c r="AD1833" s="5" t="s">
        <v>261</v>
      </c>
      <c r="AT1833" s="5" t="s">
        <v>246</v>
      </c>
      <c r="AU1833" s="5" t="s">
        <v>238</v>
      </c>
      <c r="AV1833" s="5" t="s">
        <v>247</v>
      </c>
      <c r="AW1833" s="5" t="s">
        <v>238</v>
      </c>
      <c r="AX1833" s="5" t="s">
        <v>249</v>
      </c>
      <c r="AY1833" s="5" t="s">
        <v>238</v>
      </c>
      <c r="BA1833" s="5" t="s">
        <v>238</v>
      </c>
      <c r="BC1833" s="5" t="s">
        <v>1468</v>
      </c>
      <c r="BD1833" s="6" t="s">
        <v>2341</v>
      </c>
      <c r="BE1833" s="5" t="s">
        <v>251</v>
      </c>
      <c r="BF1833" s="5" t="s">
        <v>2043</v>
      </c>
      <c r="BG1833" s="5" t="s">
        <v>238</v>
      </c>
      <c r="BH1833" s="7">
        <f>0</f>
        <v>0</v>
      </c>
      <c r="BI1833" s="8">
        <f>0</f>
        <v>0</v>
      </c>
      <c r="BJ1833" s="5" t="s">
        <v>253</v>
      </c>
      <c r="BK1833" s="5" t="s">
        <v>254</v>
      </c>
      <c r="BY1833" s="5" t="s">
        <v>238</v>
      </c>
      <c r="BZ1833" s="5" t="s">
        <v>238</v>
      </c>
      <c r="CD1833" s="5" t="s">
        <v>293</v>
      </c>
      <c r="CE1833" s="5" t="s">
        <v>256</v>
      </c>
      <c r="CF1833" s="5" t="s">
        <v>238</v>
      </c>
      <c r="CI1833" s="6" t="s">
        <v>257</v>
      </c>
      <c r="CJ1833" s="5" t="s">
        <v>238</v>
      </c>
      <c r="CK1833" s="5" t="s">
        <v>258</v>
      </c>
      <c r="CL1833" s="5" t="s">
        <v>238</v>
      </c>
      <c r="CM1833" s="5" t="s">
        <v>238</v>
      </c>
      <c r="CN1833" s="5">
        <v>0</v>
      </c>
      <c r="CO1833" s="5" t="s">
        <v>259</v>
      </c>
      <c r="CP1833" s="5" t="s">
        <v>260</v>
      </c>
      <c r="CQ1833" s="5" t="s">
        <v>260</v>
      </c>
      <c r="CR1833" s="5" t="s">
        <v>261</v>
      </c>
      <c r="CU1833" s="8">
        <f>1022000</f>
        <v>1022000</v>
      </c>
      <c r="CV1833" s="8">
        <f>0</f>
        <v>0</v>
      </c>
      <c r="CX1833" s="8">
        <f>0</f>
        <v>0</v>
      </c>
      <c r="CY1833" s="8">
        <f>1022000</f>
        <v>1022000</v>
      </c>
      <c r="DA1833" s="5" t="s">
        <v>356</v>
      </c>
      <c r="DB1833" s="5" t="s">
        <v>238</v>
      </c>
      <c r="DD1833" s="5" t="s">
        <v>356</v>
      </c>
      <c r="DE1833" s="8">
        <f>798.81</f>
        <v>798.81</v>
      </c>
      <c r="DG1833" s="5" t="s">
        <v>238</v>
      </c>
      <c r="DH1833" s="5" t="s">
        <v>238</v>
      </c>
      <c r="DI1833" s="5" t="s">
        <v>238</v>
      </c>
      <c r="DJ1833" s="5" t="s">
        <v>238</v>
      </c>
      <c r="DN1833" s="5" t="s">
        <v>238</v>
      </c>
      <c r="DO1833" s="5" t="s">
        <v>238</v>
      </c>
      <c r="DP1833" s="5" t="s">
        <v>238</v>
      </c>
      <c r="DQ1833" s="5" t="s">
        <v>238</v>
      </c>
      <c r="DT1833" s="5" t="s">
        <v>2039</v>
      </c>
      <c r="DU1833" s="5" t="s">
        <v>2342</v>
      </c>
      <c r="HM1833" s="5" t="s">
        <v>264</v>
      </c>
    </row>
    <row r="1834" spans="1:221" x14ac:dyDescent="0.4">
      <c r="A1834" s="5">
        <v>3532</v>
      </c>
      <c r="B1834" s="5">
        <v>1</v>
      </c>
      <c r="C1834" s="5">
        <v>1</v>
      </c>
      <c r="D1834" s="5" t="s">
        <v>2037</v>
      </c>
      <c r="E1834" s="5" t="s">
        <v>271</v>
      </c>
      <c r="F1834" s="5" t="s">
        <v>248</v>
      </c>
      <c r="G1834" s="5" t="s">
        <v>2343</v>
      </c>
      <c r="H1834" s="6" t="s">
        <v>2345</v>
      </c>
      <c r="I1834" s="7">
        <f>1035.24</f>
        <v>1035.24</v>
      </c>
      <c r="J1834" s="5" t="s">
        <v>262</v>
      </c>
      <c r="K1834" s="8">
        <f>2070480</f>
        <v>2070480</v>
      </c>
      <c r="L1834" s="6" t="s">
        <v>2344</v>
      </c>
      <c r="M1834" s="5" t="s">
        <v>267</v>
      </c>
      <c r="N1834" s="5" t="s">
        <v>265</v>
      </c>
      <c r="O1834" s="5" t="s">
        <v>238</v>
      </c>
      <c r="P1834" s="5" t="s">
        <v>238</v>
      </c>
      <c r="Q1834" s="5" t="s">
        <v>239</v>
      </c>
      <c r="R1834" s="5" t="s">
        <v>238</v>
      </c>
      <c r="S1834" s="5" t="s">
        <v>238</v>
      </c>
      <c r="V1834" s="5" t="s">
        <v>238</v>
      </c>
      <c r="X1834" s="6" t="s">
        <v>238</v>
      </c>
      <c r="AA1834" s="6" t="s">
        <v>2162</v>
      </c>
      <c r="AB1834" s="5" t="s">
        <v>238</v>
      </c>
      <c r="AC1834" s="5" t="s">
        <v>244</v>
      </c>
      <c r="AD1834" s="5" t="s">
        <v>261</v>
      </c>
      <c r="AT1834" s="5" t="s">
        <v>246</v>
      </c>
      <c r="AU1834" s="5" t="s">
        <v>238</v>
      </c>
      <c r="AV1834" s="5" t="s">
        <v>247</v>
      </c>
      <c r="AW1834" s="5" t="s">
        <v>238</v>
      </c>
      <c r="AX1834" s="5" t="s">
        <v>249</v>
      </c>
      <c r="AY1834" s="5" t="s">
        <v>238</v>
      </c>
      <c r="BA1834" s="5" t="s">
        <v>238</v>
      </c>
      <c r="BC1834" s="5" t="s">
        <v>1468</v>
      </c>
      <c r="BD1834" s="6" t="s">
        <v>2344</v>
      </c>
      <c r="BE1834" s="5" t="s">
        <v>251</v>
      </c>
      <c r="BF1834" s="5" t="s">
        <v>2043</v>
      </c>
      <c r="BG1834" s="5" t="s">
        <v>238</v>
      </c>
      <c r="BH1834" s="7">
        <f>0</f>
        <v>0</v>
      </c>
      <c r="BI1834" s="8">
        <f>0</f>
        <v>0</v>
      </c>
      <c r="BJ1834" s="5" t="s">
        <v>253</v>
      </c>
      <c r="BK1834" s="5" t="s">
        <v>254</v>
      </c>
      <c r="BY1834" s="5" t="s">
        <v>238</v>
      </c>
      <c r="BZ1834" s="5" t="s">
        <v>238</v>
      </c>
      <c r="CD1834" s="5" t="s">
        <v>293</v>
      </c>
      <c r="CE1834" s="5" t="s">
        <v>256</v>
      </c>
      <c r="CF1834" s="5" t="s">
        <v>238</v>
      </c>
      <c r="CI1834" s="6" t="s">
        <v>257</v>
      </c>
      <c r="CJ1834" s="5" t="s">
        <v>238</v>
      </c>
      <c r="CK1834" s="5" t="s">
        <v>258</v>
      </c>
      <c r="CL1834" s="5" t="s">
        <v>238</v>
      </c>
      <c r="CM1834" s="5" t="s">
        <v>238</v>
      </c>
      <c r="CN1834" s="5">
        <v>0</v>
      </c>
      <c r="CO1834" s="5" t="s">
        <v>259</v>
      </c>
      <c r="CP1834" s="5" t="s">
        <v>260</v>
      </c>
      <c r="CQ1834" s="5" t="s">
        <v>260</v>
      </c>
      <c r="CR1834" s="5" t="s">
        <v>261</v>
      </c>
      <c r="CU1834" s="8">
        <f>2070480</f>
        <v>2070480</v>
      </c>
      <c r="CV1834" s="8">
        <f>0</f>
        <v>0</v>
      </c>
      <c r="CX1834" s="8">
        <f>0</f>
        <v>0</v>
      </c>
      <c r="CY1834" s="8">
        <f>2070480</f>
        <v>2070480</v>
      </c>
      <c r="DA1834" s="5" t="s">
        <v>356</v>
      </c>
      <c r="DB1834" s="5" t="s">
        <v>238</v>
      </c>
      <c r="DD1834" s="5" t="s">
        <v>356</v>
      </c>
      <c r="DE1834" s="8">
        <f>1035.24</f>
        <v>1035.24</v>
      </c>
      <c r="DG1834" s="5" t="s">
        <v>238</v>
      </c>
      <c r="DH1834" s="5" t="s">
        <v>238</v>
      </c>
      <c r="DI1834" s="5" t="s">
        <v>238</v>
      </c>
      <c r="DJ1834" s="5" t="s">
        <v>238</v>
      </c>
      <c r="DN1834" s="5" t="s">
        <v>238</v>
      </c>
      <c r="DO1834" s="5" t="s">
        <v>238</v>
      </c>
      <c r="DP1834" s="5" t="s">
        <v>238</v>
      </c>
      <c r="DQ1834" s="5" t="s">
        <v>238</v>
      </c>
      <c r="DT1834" s="5" t="s">
        <v>2039</v>
      </c>
      <c r="DU1834" s="5" t="s">
        <v>2346</v>
      </c>
      <c r="HM1834" s="5" t="s">
        <v>264</v>
      </c>
    </row>
    <row r="1835" spans="1:221" x14ac:dyDescent="0.4">
      <c r="A1835" s="5">
        <v>3533</v>
      </c>
      <c r="B1835" s="5">
        <v>1</v>
      </c>
      <c r="C1835" s="5">
        <v>1</v>
      </c>
      <c r="D1835" s="5" t="s">
        <v>2037</v>
      </c>
      <c r="E1835" s="5" t="s">
        <v>271</v>
      </c>
      <c r="F1835" s="5" t="s">
        <v>248</v>
      </c>
      <c r="G1835" s="5" t="s">
        <v>2397</v>
      </c>
      <c r="H1835" s="6" t="s">
        <v>2399</v>
      </c>
      <c r="I1835" s="7">
        <f>0</f>
        <v>0</v>
      </c>
      <c r="J1835" s="5" t="s">
        <v>262</v>
      </c>
      <c r="K1835" s="8">
        <f>14405020</f>
        <v>14405020</v>
      </c>
      <c r="L1835" s="6" t="s">
        <v>2398</v>
      </c>
      <c r="M1835" s="5" t="s">
        <v>267</v>
      </c>
      <c r="N1835" s="5" t="s">
        <v>265</v>
      </c>
      <c r="O1835" s="5" t="s">
        <v>238</v>
      </c>
      <c r="P1835" s="5" t="s">
        <v>238</v>
      </c>
      <c r="Q1835" s="5" t="s">
        <v>239</v>
      </c>
      <c r="R1835" s="5" t="s">
        <v>238</v>
      </c>
      <c r="S1835" s="5" t="s">
        <v>238</v>
      </c>
      <c r="V1835" s="5" t="s">
        <v>238</v>
      </c>
      <c r="X1835" s="6" t="s">
        <v>238</v>
      </c>
      <c r="AA1835" s="6" t="s">
        <v>2162</v>
      </c>
      <c r="AB1835" s="5" t="s">
        <v>238</v>
      </c>
      <c r="AC1835" s="5" t="s">
        <v>244</v>
      </c>
      <c r="AD1835" s="5" t="s">
        <v>261</v>
      </c>
      <c r="AT1835" s="5" t="s">
        <v>246</v>
      </c>
      <c r="AU1835" s="5" t="s">
        <v>238</v>
      </c>
      <c r="AV1835" s="5" t="s">
        <v>247</v>
      </c>
      <c r="AW1835" s="5" t="s">
        <v>238</v>
      </c>
      <c r="AX1835" s="5" t="s">
        <v>249</v>
      </c>
      <c r="AY1835" s="5" t="s">
        <v>238</v>
      </c>
      <c r="BA1835" s="5" t="s">
        <v>238</v>
      </c>
      <c r="BC1835" s="5" t="s">
        <v>1468</v>
      </c>
      <c r="BD1835" s="6" t="s">
        <v>2398</v>
      </c>
      <c r="BE1835" s="5" t="s">
        <v>251</v>
      </c>
      <c r="BF1835" s="5" t="s">
        <v>2043</v>
      </c>
      <c r="BG1835" s="5" t="s">
        <v>238</v>
      </c>
      <c r="BH1835" s="7">
        <f>0</f>
        <v>0</v>
      </c>
      <c r="BI1835" s="8">
        <f>0</f>
        <v>0</v>
      </c>
      <c r="BJ1835" s="5" t="s">
        <v>253</v>
      </c>
      <c r="BK1835" s="5" t="s">
        <v>254</v>
      </c>
      <c r="BY1835" s="5" t="s">
        <v>238</v>
      </c>
      <c r="BZ1835" s="5" t="s">
        <v>238</v>
      </c>
      <c r="CD1835" s="5" t="s">
        <v>293</v>
      </c>
      <c r="CE1835" s="5" t="s">
        <v>256</v>
      </c>
      <c r="CF1835" s="5" t="s">
        <v>238</v>
      </c>
      <c r="CI1835" s="6" t="s">
        <v>257</v>
      </c>
      <c r="CJ1835" s="5" t="s">
        <v>238</v>
      </c>
      <c r="CK1835" s="5" t="s">
        <v>258</v>
      </c>
      <c r="CL1835" s="5" t="s">
        <v>238</v>
      </c>
      <c r="CM1835" s="5" t="s">
        <v>238</v>
      </c>
      <c r="CN1835" s="5">
        <v>0</v>
      </c>
      <c r="CO1835" s="5" t="s">
        <v>259</v>
      </c>
      <c r="CP1835" s="5" t="s">
        <v>260</v>
      </c>
      <c r="CQ1835" s="5" t="s">
        <v>260</v>
      </c>
      <c r="CR1835" s="5" t="s">
        <v>261</v>
      </c>
      <c r="CU1835" s="8">
        <f>14405020</f>
        <v>14405020</v>
      </c>
      <c r="CV1835" s="8">
        <f>0</f>
        <v>0</v>
      </c>
      <c r="CX1835" s="8">
        <f>0</f>
        <v>0</v>
      </c>
      <c r="CY1835" s="8">
        <f>14405020</f>
        <v>14405020</v>
      </c>
      <c r="DA1835" s="5" t="s">
        <v>356</v>
      </c>
      <c r="DB1835" s="5" t="s">
        <v>238</v>
      </c>
      <c r="DD1835" s="5" t="s">
        <v>356</v>
      </c>
      <c r="DE1835" s="8">
        <f>0</f>
        <v>0</v>
      </c>
      <c r="DG1835" s="5" t="s">
        <v>238</v>
      </c>
      <c r="DH1835" s="5" t="s">
        <v>238</v>
      </c>
      <c r="DI1835" s="5" t="s">
        <v>238</v>
      </c>
      <c r="DJ1835" s="5" t="s">
        <v>238</v>
      </c>
      <c r="DN1835" s="5" t="s">
        <v>238</v>
      </c>
      <c r="DO1835" s="5" t="s">
        <v>238</v>
      </c>
      <c r="DP1835" s="5" t="s">
        <v>238</v>
      </c>
      <c r="DQ1835" s="5" t="s">
        <v>238</v>
      </c>
      <c r="DT1835" s="5" t="s">
        <v>2039</v>
      </c>
      <c r="DU1835" s="5" t="s">
        <v>2400</v>
      </c>
      <c r="HM1835" s="5" t="s">
        <v>264</v>
      </c>
    </row>
    <row r="1836" spans="1:221" x14ac:dyDescent="0.4">
      <c r="A1836" s="5">
        <v>3534</v>
      </c>
      <c r="B1836" s="5">
        <v>1</v>
      </c>
      <c r="C1836" s="5">
        <v>1</v>
      </c>
      <c r="D1836" s="5" t="s">
        <v>2037</v>
      </c>
      <c r="E1836" s="5" t="s">
        <v>271</v>
      </c>
      <c r="F1836" s="5" t="s">
        <v>248</v>
      </c>
      <c r="G1836" s="5" t="s">
        <v>2416</v>
      </c>
      <c r="H1836" s="6" t="s">
        <v>2399</v>
      </c>
      <c r="I1836" s="7">
        <f>90.42</f>
        <v>90.42</v>
      </c>
      <c r="J1836" s="5" t="s">
        <v>262</v>
      </c>
      <c r="K1836" s="8">
        <f>381617</f>
        <v>381617</v>
      </c>
      <c r="L1836" s="6" t="s">
        <v>2417</v>
      </c>
      <c r="M1836" s="5" t="s">
        <v>267</v>
      </c>
      <c r="N1836" s="5" t="s">
        <v>265</v>
      </c>
      <c r="O1836" s="5" t="s">
        <v>238</v>
      </c>
      <c r="P1836" s="5" t="s">
        <v>238</v>
      </c>
      <c r="Q1836" s="5" t="s">
        <v>239</v>
      </c>
      <c r="R1836" s="5" t="s">
        <v>238</v>
      </c>
      <c r="S1836" s="5" t="s">
        <v>238</v>
      </c>
      <c r="V1836" s="5" t="s">
        <v>238</v>
      </c>
      <c r="X1836" s="6" t="s">
        <v>238</v>
      </c>
      <c r="AA1836" s="6" t="s">
        <v>2058</v>
      </c>
      <c r="AB1836" s="5" t="s">
        <v>238</v>
      </c>
      <c r="AC1836" s="5" t="s">
        <v>244</v>
      </c>
      <c r="AD1836" s="5" t="s">
        <v>261</v>
      </c>
      <c r="AT1836" s="5" t="s">
        <v>246</v>
      </c>
      <c r="AU1836" s="5" t="s">
        <v>238</v>
      </c>
      <c r="AV1836" s="5" t="s">
        <v>247</v>
      </c>
      <c r="AW1836" s="5" t="s">
        <v>238</v>
      </c>
      <c r="AX1836" s="5" t="s">
        <v>249</v>
      </c>
      <c r="AY1836" s="5" t="s">
        <v>238</v>
      </c>
      <c r="BA1836" s="5" t="s">
        <v>238</v>
      </c>
      <c r="BC1836" s="5" t="s">
        <v>1468</v>
      </c>
      <c r="BD1836" s="6" t="s">
        <v>2417</v>
      </c>
      <c r="BE1836" s="5" t="s">
        <v>251</v>
      </c>
      <c r="BF1836" s="5" t="s">
        <v>2043</v>
      </c>
      <c r="BG1836" s="5" t="s">
        <v>238</v>
      </c>
      <c r="BH1836" s="7">
        <f>0</f>
        <v>0</v>
      </c>
      <c r="BI1836" s="8">
        <f>0</f>
        <v>0</v>
      </c>
      <c r="BJ1836" s="5" t="s">
        <v>253</v>
      </c>
      <c r="BK1836" s="5" t="s">
        <v>254</v>
      </c>
      <c r="BY1836" s="5" t="s">
        <v>238</v>
      </c>
      <c r="BZ1836" s="5" t="s">
        <v>238</v>
      </c>
      <c r="CD1836" s="5" t="s">
        <v>293</v>
      </c>
      <c r="CE1836" s="5" t="s">
        <v>256</v>
      </c>
      <c r="CF1836" s="5" t="s">
        <v>238</v>
      </c>
      <c r="CI1836" s="6" t="s">
        <v>257</v>
      </c>
      <c r="CJ1836" s="5" t="s">
        <v>238</v>
      </c>
      <c r="CK1836" s="5" t="s">
        <v>258</v>
      </c>
      <c r="CL1836" s="5" t="s">
        <v>238</v>
      </c>
      <c r="CM1836" s="5" t="s">
        <v>238</v>
      </c>
      <c r="CN1836" s="5">
        <v>0</v>
      </c>
      <c r="CO1836" s="5" t="s">
        <v>259</v>
      </c>
      <c r="CP1836" s="5" t="s">
        <v>260</v>
      </c>
      <c r="CQ1836" s="5" t="s">
        <v>260</v>
      </c>
      <c r="CR1836" s="5" t="s">
        <v>261</v>
      </c>
      <c r="CU1836" s="8">
        <f>381617</f>
        <v>381617</v>
      </c>
      <c r="CV1836" s="8">
        <f>0</f>
        <v>0</v>
      </c>
      <c r="CX1836" s="8">
        <f>0</f>
        <v>0</v>
      </c>
      <c r="CY1836" s="8">
        <f>381617</f>
        <v>381617</v>
      </c>
      <c r="DA1836" s="5" t="s">
        <v>356</v>
      </c>
      <c r="DB1836" s="5" t="s">
        <v>238</v>
      </c>
      <c r="DD1836" s="5" t="s">
        <v>356</v>
      </c>
      <c r="DE1836" s="8">
        <f>90.42</f>
        <v>90.42</v>
      </c>
      <c r="DG1836" s="5" t="s">
        <v>238</v>
      </c>
      <c r="DH1836" s="5" t="s">
        <v>238</v>
      </c>
      <c r="DI1836" s="5" t="s">
        <v>238</v>
      </c>
      <c r="DJ1836" s="5" t="s">
        <v>238</v>
      </c>
      <c r="DN1836" s="5" t="s">
        <v>238</v>
      </c>
      <c r="DO1836" s="5" t="s">
        <v>238</v>
      </c>
      <c r="DP1836" s="5" t="s">
        <v>238</v>
      </c>
      <c r="DQ1836" s="5" t="s">
        <v>238</v>
      </c>
      <c r="DT1836" s="5" t="s">
        <v>2039</v>
      </c>
      <c r="DU1836" s="5" t="s">
        <v>2418</v>
      </c>
      <c r="HM1836" s="5" t="s">
        <v>264</v>
      </c>
    </row>
    <row r="1837" spans="1:221" x14ac:dyDescent="0.4">
      <c r="A1837" s="5">
        <v>3535</v>
      </c>
      <c r="B1837" s="5">
        <v>1</v>
      </c>
      <c r="C1837" s="5">
        <v>1</v>
      </c>
      <c r="D1837" s="5" t="s">
        <v>2037</v>
      </c>
      <c r="E1837" s="5" t="s">
        <v>271</v>
      </c>
      <c r="F1837" s="5" t="s">
        <v>248</v>
      </c>
      <c r="G1837" s="5" t="s">
        <v>2435</v>
      </c>
      <c r="H1837" s="6" t="s">
        <v>2436</v>
      </c>
      <c r="I1837" s="7">
        <f>0</f>
        <v>0</v>
      </c>
      <c r="J1837" s="5" t="s">
        <v>262</v>
      </c>
      <c r="K1837" s="8">
        <f>3766773</f>
        <v>3766773</v>
      </c>
      <c r="L1837" s="6" t="s">
        <v>2199</v>
      </c>
      <c r="M1837" s="5" t="s">
        <v>267</v>
      </c>
      <c r="N1837" s="5" t="s">
        <v>265</v>
      </c>
      <c r="O1837" s="5" t="s">
        <v>238</v>
      </c>
      <c r="P1837" s="5" t="s">
        <v>238</v>
      </c>
      <c r="Q1837" s="5" t="s">
        <v>239</v>
      </c>
      <c r="R1837" s="5" t="s">
        <v>238</v>
      </c>
      <c r="S1837" s="5" t="s">
        <v>238</v>
      </c>
      <c r="V1837" s="5" t="s">
        <v>238</v>
      </c>
      <c r="X1837" s="6" t="s">
        <v>238</v>
      </c>
      <c r="AA1837" s="6" t="s">
        <v>2041</v>
      </c>
      <c r="AB1837" s="5" t="s">
        <v>238</v>
      </c>
      <c r="AC1837" s="5" t="s">
        <v>244</v>
      </c>
      <c r="AD1837" s="5" t="s">
        <v>261</v>
      </c>
      <c r="AT1837" s="5" t="s">
        <v>246</v>
      </c>
      <c r="AU1837" s="5" t="s">
        <v>238</v>
      </c>
      <c r="AV1837" s="5" t="s">
        <v>247</v>
      </c>
      <c r="AW1837" s="5" t="s">
        <v>238</v>
      </c>
      <c r="AX1837" s="5" t="s">
        <v>249</v>
      </c>
      <c r="AY1837" s="5" t="s">
        <v>238</v>
      </c>
      <c r="BA1837" s="5" t="s">
        <v>238</v>
      </c>
      <c r="BC1837" s="5" t="s">
        <v>1468</v>
      </c>
      <c r="BD1837" s="6" t="s">
        <v>2199</v>
      </c>
      <c r="BE1837" s="5" t="s">
        <v>251</v>
      </c>
      <c r="BF1837" s="5" t="s">
        <v>2043</v>
      </c>
      <c r="BG1837" s="5" t="s">
        <v>238</v>
      </c>
      <c r="BH1837" s="7">
        <f>0</f>
        <v>0</v>
      </c>
      <c r="BI1837" s="8">
        <f>0</f>
        <v>0</v>
      </c>
      <c r="BJ1837" s="5" t="s">
        <v>253</v>
      </c>
      <c r="BK1837" s="5" t="s">
        <v>254</v>
      </c>
      <c r="BY1837" s="5" t="s">
        <v>238</v>
      </c>
      <c r="BZ1837" s="5" t="s">
        <v>238</v>
      </c>
      <c r="CD1837" s="5" t="s">
        <v>293</v>
      </c>
      <c r="CE1837" s="5" t="s">
        <v>256</v>
      </c>
      <c r="CF1837" s="5" t="s">
        <v>238</v>
      </c>
      <c r="CI1837" s="6" t="s">
        <v>257</v>
      </c>
      <c r="CJ1837" s="5" t="s">
        <v>238</v>
      </c>
      <c r="CK1837" s="5" t="s">
        <v>258</v>
      </c>
      <c r="CL1837" s="5" t="s">
        <v>238</v>
      </c>
      <c r="CM1837" s="5" t="s">
        <v>238</v>
      </c>
      <c r="CN1837" s="5">
        <v>0</v>
      </c>
      <c r="CO1837" s="5" t="s">
        <v>259</v>
      </c>
      <c r="CP1837" s="5" t="s">
        <v>260</v>
      </c>
      <c r="CQ1837" s="5" t="s">
        <v>260</v>
      </c>
      <c r="CR1837" s="5" t="s">
        <v>261</v>
      </c>
      <c r="CU1837" s="8">
        <f>3766773</f>
        <v>3766773</v>
      </c>
      <c r="CV1837" s="8">
        <f>0</f>
        <v>0</v>
      </c>
      <c r="CX1837" s="8">
        <f>0</f>
        <v>0</v>
      </c>
      <c r="CY1837" s="8">
        <f>3766773</f>
        <v>3766773</v>
      </c>
      <c r="DA1837" s="5" t="s">
        <v>356</v>
      </c>
      <c r="DB1837" s="5" t="s">
        <v>238</v>
      </c>
      <c r="DD1837" s="5" t="s">
        <v>356</v>
      </c>
      <c r="DE1837" s="8">
        <f>0</f>
        <v>0</v>
      </c>
      <c r="DG1837" s="5" t="s">
        <v>238</v>
      </c>
      <c r="DH1837" s="5" t="s">
        <v>238</v>
      </c>
      <c r="DI1837" s="5" t="s">
        <v>238</v>
      </c>
      <c r="DJ1837" s="5" t="s">
        <v>238</v>
      </c>
      <c r="DN1837" s="5" t="s">
        <v>238</v>
      </c>
      <c r="DO1837" s="5" t="s">
        <v>238</v>
      </c>
      <c r="DP1837" s="5" t="s">
        <v>238</v>
      </c>
      <c r="DQ1837" s="5" t="s">
        <v>238</v>
      </c>
      <c r="DT1837" s="5" t="s">
        <v>2039</v>
      </c>
      <c r="DU1837" s="5" t="s">
        <v>2437</v>
      </c>
      <c r="HM1837" s="5" t="s">
        <v>264</v>
      </c>
    </row>
    <row r="1838" spans="1:221" x14ac:dyDescent="0.4">
      <c r="A1838" s="5">
        <v>3536</v>
      </c>
      <c r="B1838" s="5">
        <v>1</v>
      </c>
      <c r="C1838" s="5">
        <v>1</v>
      </c>
      <c r="D1838" s="5" t="s">
        <v>2037</v>
      </c>
      <c r="E1838" s="5" t="s">
        <v>271</v>
      </c>
      <c r="F1838" s="5" t="s">
        <v>248</v>
      </c>
      <c r="G1838" s="5" t="s">
        <v>2453</v>
      </c>
      <c r="H1838" s="6" t="s">
        <v>2436</v>
      </c>
      <c r="I1838" s="7">
        <f>145.56</f>
        <v>145.56</v>
      </c>
      <c r="J1838" s="5" t="s">
        <v>262</v>
      </c>
      <c r="K1838" s="8">
        <f>538572</f>
        <v>538572</v>
      </c>
      <c r="L1838" s="6" t="s">
        <v>2454</v>
      </c>
      <c r="M1838" s="5" t="s">
        <v>267</v>
      </c>
      <c r="N1838" s="5" t="s">
        <v>265</v>
      </c>
      <c r="O1838" s="5" t="s">
        <v>238</v>
      </c>
      <c r="P1838" s="5" t="s">
        <v>238</v>
      </c>
      <c r="Q1838" s="5" t="s">
        <v>239</v>
      </c>
      <c r="R1838" s="5" t="s">
        <v>238</v>
      </c>
      <c r="S1838" s="5" t="s">
        <v>238</v>
      </c>
      <c r="V1838" s="5" t="s">
        <v>238</v>
      </c>
      <c r="X1838" s="6" t="s">
        <v>238</v>
      </c>
      <c r="AA1838" s="6" t="s">
        <v>2455</v>
      </c>
      <c r="AB1838" s="5" t="s">
        <v>238</v>
      </c>
      <c r="AC1838" s="5" t="s">
        <v>244</v>
      </c>
      <c r="AD1838" s="5" t="s">
        <v>261</v>
      </c>
      <c r="AT1838" s="5" t="s">
        <v>246</v>
      </c>
      <c r="AU1838" s="5" t="s">
        <v>238</v>
      </c>
      <c r="AV1838" s="5" t="s">
        <v>247</v>
      </c>
      <c r="AW1838" s="5" t="s">
        <v>238</v>
      </c>
      <c r="AX1838" s="5" t="s">
        <v>249</v>
      </c>
      <c r="AY1838" s="5" t="s">
        <v>238</v>
      </c>
      <c r="BA1838" s="5" t="s">
        <v>238</v>
      </c>
      <c r="BC1838" s="5" t="s">
        <v>1468</v>
      </c>
      <c r="BD1838" s="6" t="s">
        <v>2454</v>
      </c>
      <c r="BE1838" s="5" t="s">
        <v>251</v>
      </c>
      <c r="BF1838" s="5" t="s">
        <v>2043</v>
      </c>
      <c r="BG1838" s="5" t="s">
        <v>238</v>
      </c>
      <c r="BH1838" s="7">
        <f>0</f>
        <v>0</v>
      </c>
      <c r="BI1838" s="8">
        <f>0</f>
        <v>0</v>
      </c>
      <c r="BJ1838" s="5" t="s">
        <v>253</v>
      </c>
      <c r="BK1838" s="5" t="s">
        <v>254</v>
      </c>
      <c r="BY1838" s="5" t="s">
        <v>238</v>
      </c>
      <c r="BZ1838" s="5" t="s">
        <v>238</v>
      </c>
      <c r="CD1838" s="5" t="s">
        <v>293</v>
      </c>
      <c r="CE1838" s="5" t="s">
        <v>256</v>
      </c>
      <c r="CF1838" s="5" t="s">
        <v>238</v>
      </c>
      <c r="CI1838" s="6" t="s">
        <v>257</v>
      </c>
      <c r="CJ1838" s="5" t="s">
        <v>238</v>
      </c>
      <c r="CK1838" s="5" t="s">
        <v>258</v>
      </c>
      <c r="CL1838" s="5" t="s">
        <v>238</v>
      </c>
      <c r="CM1838" s="5" t="s">
        <v>238</v>
      </c>
      <c r="CN1838" s="5">
        <v>0</v>
      </c>
      <c r="CO1838" s="5" t="s">
        <v>259</v>
      </c>
      <c r="CP1838" s="5" t="s">
        <v>260</v>
      </c>
      <c r="CQ1838" s="5" t="s">
        <v>260</v>
      </c>
      <c r="CR1838" s="5" t="s">
        <v>261</v>
      </c>
      <c r="CU1838" s="8">
        <f>538572</f>
        <v>538572</v>
      </c>
      <c r="CV1838" s="8">
        <f>0</f>
        <v>0</v>
      </c>
      <c r="CX1838" s="8">
        <f>0</f>
        <v>0</v>
      </c>
      <c r="CY1838" s="8">
        <f>538572</f>
        <v>538572</v>
      </c>
      <c r="DA1838" s="5" t="s">
        <v>356</v>
      </c>
      <c r="DB1838" s="5" t="s">
        <v>238</v>
      </c>
      <c r="DD1838" s="5" t="s">
        <v>356</v>
      </c>
      <c r="DE1838" s="8">
        <f>145.56</f>
        <v>145.56</v>
      </c>
      <c r="DG1838" s="5" t="s">
        <v>238</v>
      </c>
      <c r="DH1838" s="5" t="s">
        <v>238</v>
      </c>
      <c r="DI1838" s="5" t="s">
        <v>238</v>
      </c>
      <c r="DJ1838" s="5" t="s">
        <v>238</v>
      </c>
      <c r="DN1838" s="5" t="s">
        <v>238</v>
      </c>
      <c r="DO1838" s="5" t="s">
        <v>238</v>
      </c>
      <c r="DP1838" s="5" t="s">
        <v>238</v>
      </c>
      <c r="DQ1838" s="5" t="s">
        <v>238</v>
      </c>
      <c r="DT1838" s="5" t="s">
        <v>2039</v>
      </c>
      <c r="DU1838" s="5" t="s">
        <v>2456</v>
      </c>
      <c r="HM1838" s="5" t="s">
        <v>264</v>
      </c>
    </row>
    <row r="1839" spans="1:221" x14ac:dyDescent="0.4">
      <c r="A1839" s="5">
        <v>3537</v>
      </c>
      <c r="B1839" s="5">
        <v>1</v>
      </c>
      <c r="C1839" s="5">
        <v>1</v>
      </c>
      <c r="D1839" s="5" t="s">
        <v>2037</v>
      </c>
      <c r="E1839" s="5" t="s">
        <v>271</v>
      </c>
      <c r="F1839" s="5" t="s">
        <v>248</v>
      </c>
      <c r="G1839" s="5" t="s">
        <v>2473</v>
      </c>
      <c r="H1839" s="6" t="s">
        <v>2475</v>
      </c>
      <c r="I1839" s="7">
        <f>1698.09</f>
        <v>1698.09</v>
      </c>
      <c r="J1839" s="5" t="s">
        <v>262</v>
      </c>
      <c r="K1839" s="8">
        <f>9223308</f>
        <v>9223308</v>
      </c>
      <c r="L1839" s="6" t="s">
        <v>2474</v>
      </c>
      <c r="M1839" s="5" t="s">
        <v>267</v>
      </c>
      <c r="N1839" s="5" t="s">
        <v>265</v>
      </c>
      <c r="O1839" s="5" t="s">
        <v>238</v>
      </c>
      <c r="P1839" s="5" t="s">
        <v>238</v>
      </c>
      <c r="Q1839" s="5" t="s">
        <v>239</v>
      </c>
      <c r="R1839" s="5" t="s">
        <v>270</v>
      </c>
      <c r="S1839" s="5" t="s">
        <v>238</v>
      </c>
      <c r="V1839" s="5" t="s">
        <v>238</v>
      </c>
      <c r="X1839" s="6" t="s">
        <v>238</v>
      </c>
      <c r="AA1839" s="6" t="s">
        <v>2135</v>
      </c>
      <c r="AB1839" s="5" t="s">
        <v>238</v>
      </c>
      <c r="AC1839" s="5" t="s">
        <v>244</v>
      </c>
      <c r="AD1839" s="5" t="s">
        <v>261</v>
      </c>
      <c r="AT1839" s="5" t="s">
        <v>246</v>
      </c>
      <c r="AU1839" s="5" t="s">
        <v>238</v>
      </c>
      <c r="AV1839" s="5" t="s">
        <v>247</v>
      </c>
      <c r="AW1839" s="5" t="s">
        <v>238</v>
      </c>
      <c r="AX1839" s="5" t="s">
        <v>249</v>
      </c>
      <c r="AY1839" s="5" t="s">
        <v>238</v>
      </c>
      <c r="BA1839" s="5" t="s">
        <v>238</v>
      </c>
      <c r="BC1839" s="5" t="s">
        <v>1468</v>
      </c>
      <c r="BD1839" s="6" t="s">
        <v>2474</v>
      </c>
      <c r="BE1839" s="5" t="s">
        <v>251</v>
      </c>
      <c r="BF1839" s="5" t="s">
        <v>2043</v>
      </c>
      <c r="BG1839" s="5" t="s">
        <v>238</v>
      </c>
      <c r="BH1839" s="7">
        <f>0</f>
        <v>0</v>
      </c>
      <c r="BI1839" s="8">
        <f>0</f>
        <v>0</v>
      </c>
      <c r="BJ1839" s="5" t="s">
        <v>253</v>
      </c>
      <c r="BK1839" s="5" t="s">
        <v>254</v>
      </c>
      <c r="BY1839" s="5" t="s">
        <v>238</v>
      </c>
      <c r="BZ1839" s="5" t="s">
        <v>238</v>
      </c>
      <c r="CD1839" s="5" t="s">
        <v>293</v>
      </c>
      <c r="CE1839" s="5" t="s">
        <v>256</v>
      </c>
      <c r="CF1839" s="5" t="s">
        <v>238</v>
      </c>
      <c r="CI1839" s="6" t="s">
        <v>257</v>
      </c>
      <c r="CJ1839" s="5" t="s">
        <v>238</v>
      </c>
      <c r="CK1839" s="5" t="s">
        <v>258</v>
      </c>
      <c r="CL1839" s="5" t="s">
        <v>238</v>
      </c>
      <c r="CM1839" s="5" t="s">
        <v>238</v>
      </c>
      <c r="CN1839" s="5">
        <v>0</v>
      </c>
      <c r="CO1839" s="5" t="s">
        <v>259</v>
      </c>
      <c r="CP1839" s="5" t="s">
        <v>260</v>
      </c>
      <c r="CQ1839" s="5" t="s">
        <v>260</v>
      </c>
      <c r="CR1839" s="5" t="s">
        <v>261</v>
      </c>
      <c r="CU1839" s="8">
        <f>9223308</f>
        <v>9223308</v>
      </c>
      <c r="CV1839" s="8">
        <f>0</f>
        <v>0</v>
      </c>
      <c r="CX1839" s="8">
        <f>0</f>
        <v>0</v>
      </c>
      <c r="CY1839" s="8">
        <f>9223308</f>
        <v>9223308</v>
      </c>
      <c r="DA1839" s="5" t="s">
        <v>356</v>
      </c>
      <c r="DB1839" s="5" t="s">
        <v>238</v>
      </c>
      <c r="DD1839" s="5" t="s">
        <v>356</v>
      </c>
      <c r="DE1839" s="8">
        <f>1698.09</f>
        <v>1698.09</v>
      </c>
      <c r="DG1839" s="5" t="s">
        <v>238</v>
      </c>
      <c r="DH1839" s="5" t="s">
        <v>238</v>
      </c>
      <c r="DI1839" s="5" t="s">
        <v>238</v>
      </c>
      <c r="DJ1839" s="5" t="s">
        <v>238</v>
      </c>
      <c r="DN1839" s="5" t="s">
        <v>238</v>
      </c>
      <c r="DO1839" s="5" t="s">
        <v>238</v>
      </c>
      <c r="DP1839" s="5" t="s">
        <v>238</v>
      </c>
      <c r="DQ1839" s="5" t="s">
        <v>238</v>
      </c>
      <c r="DT1839" s="5" t="s">
        <v>2039</v>
      </c>
      <c r="DU1839" s="5" t="s">
        <v>2476</v>
      </c>
      <c r="HM1839" s="5" t="s">
        <v>264</v>
      </c>
    </row>
    <row r="1840" spans="1:221" x14ac:dyDescent="0.4">
      <c r="A1840" s="5">
        <v>3538</v>
      </c>
      <c r="B1840" s="5">
        <v>1</v>
      </c>
      <c r="C1840" s="5">
        <v>1</v>
      </c>
      <c r="D1840" s="5" t="s">
        <v>2037</v>
      </c>
      <c r="E1840" s="5" t="s">
        <v>271</v>
      </c>
      <c r="F1840" s="5" t="s">
        <v>248</v>
      </c>
      <c r="G1840" s="5" t="s">
        <v>3708</v>
      </c>
      <c r="H1840" s="6" t="s">
        <v>2136</v>
      </c>
      <c r="I1840" s="7">
        <f>0</f>
        <v>0</v>
      </c>
      <c r="J1840" s="5" t="s">
        <v>262</v>
      </c>
      <c r="K1840" s="8">
        <f>954034</f>
        <v>954034</v>
      </c>
      <c r="L1840" s="6" t="s">
        <v>2398</v>
      </c>
      <c r="M1840" s="5" t="s">
        <v>267</v>
      </c>
      <c r="N1840" s="5" t="s">
        <v>265</v>
      </c>
      <c r="O1840" s="5" t="s">
        <v>238</v>
      </c>
      <c r="P1840" s="5" t="s">
        <v>238</v>
      </c>
      <c r="Q1840" s="5" t="s">
        <v>239</v>
      </c>
      <c r="R1840" s="5" t="s">
        <v>238</v>
      </c>
      <c r="S1840" s="5" t="s">
        <v>238</v>
      </c>
      <c r="V1840" s="5" t="s">
        <v>238</v>
      </c>
      <c r="X1840" s="6" t="s">
        <v>238</v>
      </c>
      <c r="AA1840" s="6" t="s">
        <v>2455</v>
      </c>
      <c r="AB1840" s="5" t="s">
        <v>238</v>
      </c>
      <c r="AC1840" s="5" t="s">
        <v>244</v>
      </c>
      <c r="AD1840" s="5" t="s">
        <v>261</v>
      </c>
      <c r="AT1840" s="5" t="s">
        <v>246</v>
      </c>
      <c r="AU1840" s="5" t="s">
        <v>238</v>
      </c>
      <c r="AV1840" s="5" t="s">
        <v>247</v>
      </c>
      <c r="AW1840" s="5" t="s">
        <v>238</v>
      </c>
      <c r="AX1840" s="5" t="s">
        <v>249</v>
      </c>
      <c r="AY1840" s="5" t="s">
        <v>238</v>
      </c>
      <c r="BA1840" s="5" t="s">
        <v>238</v>
      </c>
      <c r="BC1840" s="5" t="s">
        <v>1468</v>
      </c>
      <c r="BD1840" s="6" t="s">
        <v>2398</v>
      </c>
      <c r="BE1840" s="5" t="s">
        <v>251</v>
      </c>
      <c r="BF1840" s="5" t="s">
        <v>2043</v>
      </c>
      <c r="BG1840" s="5" t="s">
        <v>238</v>
      </c>
      <c r="BH1840" s="7">
        <f>0</f>
        <v>0</v>
      </c>
      <c r="BI1840" s="8">
        <f>0</f>
        <v>0</v>
      </c>
      <c r="BJ1840" s="5" t="s">
        <v>253</v>
      </c>
      <c r="BK1840" s="5" t="s">
        <v>254</v>
      </c>
      <c r="BY1840" s="5" t="s">
        <v>238</v>
      </c>
      <c r="BZ1840" s="5" t="s">
        <v>238</v>
      </c>
      <c r="CD1840" s="5" t="s">
        <v>293</v>
      </c>
      <c r="CE1840" s="5" t="s">
        <v>256</v>
      </c>
      <c r="CF1840" s="5" t="s">
        <v>238</v>
      </c>
      <c r="CI1840" s="6" t="s">
        <v>257</v>
      </c>
      <c r="CJ1840" s="5" t="s">
        <v>238</v>
      </c>
      <c r="CK1840" s="5" t="s">
        <v>258</v>
      </c>
      <c r="CL1840" s="5" t="s">
        <v>238</v>
      </c>
      <c r="CM1840" s="5" t="s">
        <v>238</v>
      </c>
      <c r="CN1840" s="5">
        <v>0</v>
      </c>
      <c r="CO1840" s="5" t="s">
        <v>259</v>
      </c>
      <c r="CP1840" s="5" t="s">
        <v>260</v>
      </c>
      <c r="CQ1840" s="5" t="s">
        <v>260</v>
      </c>
      <c r="CR1840" s="5" t="s">
        <v>261</v>
      </c>
      <c r="CU1840" s="8">
        <f>954034</f>
        <v>954034</v>
      </c>
      <c r="CV1840" s="8">
        <f>0</f>
        <v>0</v>
      </c>
      <c r="CX1840" s="8">
        <f>0</f>
        <v>0</v>
      </c>
      <c r="CY1840" s="8">
        <f>954034</f>
        <v>954034</v>
      </c>
      <c r="DA1840" s="5" t="s">
        <v>356</v>
      </c>
      <c r="DB1840" s="5" t="s">
        <v>238</v>
      </c>
      <c r="DD1840" s="5" t="s">
        <v>356</v>
      </c>
      <c r="DE1840" s="8">
        <f>0</f>
        <v>0</v>
      </c>
      <c r="DG1840" s="5" t="s">
        <v>238</v>
      </c>
      <c r="DH1840" s="5" t="s">
        <v>238</v>
      </c>
      <c r="DI1840" s="5" t="s">
        <v>238</v>
      </c>
      <c r="DJ1840" s="5" t="s">
        <v>238</v>
      </c>
      <c r="DN1840" s="5" t="s">
        <v>238</v>
      </c>
      <c r="DO1840" s="5" t="s">
        <v>238</v>
      </c>
      <c r="DP1840" s="5" t="s">
        <v>238</v>
      </c>
      <c r="DQ1840" s="5" t="s">
        <v>238</v>
      </c>
      <c r="DT1840" s="5" t="s">
        <v>2039</v>
      </c>
      <c r="DU1840" s="5" t="s">
        <v>3709</v>
      </c>
      <c r="HM1840" s="5" t="s">
        <v>264</v>
      </c>
    </row>
    <row r="1841" spans="1:221" x14ac:dyDescent="0.4">
      <c r="A1841" s="5">
        <v>3539</v>
      </c>
      <c r="B1841" s="5">
        <v>1</v>
      </c>
      <c r="C1841" s="5">
        <v>1</v>
      </c>
      <c r="D1841" s="5" t="s">
        <v>2037</v>
      </c>
      <c r="E1841" s="5" t="s">
        <v>271</v>
      </c>
      <c r="F1841" s="5" t="s">
        <v>248</v>
      </c>
      <c r="G1841" s="5" t="s">
        <v>2133</v>
      </c>
      <c r="H1841" s="6" t="s">
        <v>2136</v>
      </c>
      <c r="I1841" s="7">
        <f>723.06</f>
        <v>723.06</v>
      </c>
      <c r="J1841" s="5" t="s">
        <v>262</v>
      </c>
      <c r="K1841" s="8">
        <f>1256708</f>
        <v>1256708</v>
      </c>
      <c r="L1841" s="6" t="s">
        <v>2134</v>
      </c>
      <c r="M1841" s="5" t="s">
        <v>267</v>
      </c>
      <c r="N1841" s="5" t="s">
        <v>265</v>
      </c>
      <c r="O1841" s="5" t="s">
        <v>238</v>
      </c>
      <c r="P1841" s="5" t="s">
        <v>238</v>
      </c>
      <c r="Q1841" s="5" t="s">
        <v>239</v>
      </c>
      <c r="R1841" s="5" t="s">
        <v>238</v>
      </c>
      <c r="S1841" s="5" t="s">
        <v>238</v>
      </c>
      <c r="V1841" s="5" t="s">
        <v>238</v>
      </c>
      <c r="X1841" s="6" t="s">
        <v>238</v>
      </c>
      <c r="AA1841" s="6" t="s">
        <v>2135</v>
      </c>
      <c r="AB1841" s="5" t="s">
        <v>238</v>
      </c>
      <c r="AC1841" s="5" t="s">
        <v>244</v>
      </c>
      <c r="AD1841" s="5" t="s">
        <v>261</v>
      </c>
      <c r="AT1841" s="5" t="s">
        <v>246</v>
      </c>
      <c r="AU1841" s="5" t="s">
        <v>238</v>
      </c>
      <c r="AV1841" s="5" t="s">
        <v>247</v>
      </c>
      <c r="AW1841" s="5" t="s">
        <v>238</v>
      </c>
      <c r="AX1841" s="5" t="s">
        <v>249</v>
      </c>
      <c r="AY1841" s="5" t="s">
        <v>238</v>
      </c>
      <c r="BA1841" s="5" t="s">
        <v>238</v>
      </c>
      <c r="BC1841" s="5" t="s">
        <v>1468</v>
      </c>
      <c r="BD1841" s="6" t="s">
        <v>2134</v>
      </c>
      <c r="BE1841" s="5" t="s">
        <v>251</v>
      </c>
      <c r="BF1841" s="5" t="s">
        <v>251</v>
      </c>
      <c r="BG1841" s="5" t="s">
        <v>238</v>
      </c>
      <c r="BH1841" s="7">
        <f>0</f>
        <v>0</v>
      </c>
      <c r="BI1841" s="8">
        <f>0</f>
        <v>0</v>
      </c>
      <c r="BJ1841" s="5" t="s">
        <v>253</v>
      </c>
      <c r="BK1841" s="5" t="s">
        <v>254</v>
      </c>
      <c r="BY1841" s="5" t="s">
        <v>238</v>
      </c>
      <c r="BZ1841" s="5" t="s">
        <v>238</v>
      </c>
      <c r="CD1841" s="5" t="s">
        <v>293</v>
      </c>
      <c r="CE1841" s="5" t="s">
        <v>256</v>
      </c>
      <c r="CF1841" s="5" t="s">
        <v>238</v>
      </c>
      <c r="CI1841" s="6" t="s">
        <v>257</v>
      </c>
      <c r="CJ1841" s="5" t="s">
        <v>238</v>
      </c>
      <c r="CK1841" s="5" t="s">
        <v>258</v>
      </c>
      <c r="CL1841" s="5" t="s">
        <v>238</v>
      </c>
      <c r="CM1841" s="5" t="s">
        <v>238</v>
      </c>
      <c r="CN1841" s="5">
        <v>0</v>
      </c>
      <c r="CO1841" s="5" t="s">
        <v>259</v>
      </c>
      <c r="CP1841" s="5" t="s">
        <v>260</v>
      </c>
      <c r="CQ1841" s="5" t="s">
        <v>260</v>
      </c>
      <c r="CR1841" s="5" t="s">
        <v>261</v>
      </c>
      <c r="CU1841" s="8">
        <f>1256708</f>
        <v>1256708</v>
      </c>
      <c r="CV1841" s="8">
        <f>0</f>
        <v>0</v>
      </c>
      <c r="CX1841" s="8">
        <f>0</f>
        <v>0</v>
      </c>
      <c r="CY1841" s="8">
        <f>1256708</f>
        <v>1256708</v>
      </c>
      <c r="DA1841" s="5" t="s">
        <v>356</v>
      </c>
      <c r="DB1841" s="5" t="s">
        <v>238</v>
      </c>
      <c r="DD1841" s="5" t="s">
        <v>356</v>
      </c>
      <c r="DE1841" s="8">
        <f>723.06</f>
        <v>723.06</v>
      </c>
      <c r="DG1841" s="5" t="s">
        <v>238</v>
      </c>
      <c r="DH1841" s="5" t="s">
        <v>238</v>
      </c>
      <c r="DI1841" s="5" t="s">
        <v>238</v>
      </c>
      <c r="DJ1841" s="5" t="s">
        <v>238</v>
      </c>
      <c r="DN1841" s="5" t="s">
        <v>238</v>
      </c>
      <c r="DO1841" s="5" t="s">
        <v>238</v>
      </c>
      <c r="DP1841" s="5" t="s">
        <v>238</v>
      </c>
      <c r="DQ1841" s="5" t="s">
        <v>238</v>
      </c>
      <c r="DT1841" s="5" t="s">
        <v>2039</v>
      </c>
      <c r="DU1841" s="5" t="s">
        <v>2137</v>
      </c>
      <c r="HM1841" s="5" t="s">
        <v>294</v>
      </c>
    </row>
    <row r="1842" spans="1:221" x14ac:dyDescent="0.4">
      <c r="A1842" s="5">
        <v>3540</v>
      </c>
      <c r="B1842" s="5">
        <v>1</v>
      </c>
      <c r="C1842" s="5">
        <v>1</v>
      </c>
      <c r="D1842" s="5" t="s">
        <v>2037</v>
      </c>
      <c r="E1842" s="5" t="s">
        <v>271</v>
      </c>
      <c r="F1842" s="5" t="s">
        <v>248</v>
      </c>
      <c r="G1842" s="5" t="s">
        <v>3710</v>
      </c>
      <c r="H1842" s="6" t="s">
        <v>3711</v>
      </c>
      <c r="I1842" s="7">
        <f>5435.17</f>
        <v>5435.17</v>
      </c>
      <c r="J1842" s="5" t="s">
        <v>262</v>
      </c>
      <c r="K1842" s="8">
        <f>23371231</f>
        <v>23371231</v>
      </c>
      <c r="L1842" s="6" t="s">
        <v>2344</v>
      </c>
      <c r="M1842" s="5" t="s">
        <v>267</v>
      </c>
      <c r="N1842" s="5" t="s">
        <v>265</v>
      </c>
      <c r="O1842" s="5" t="s">
        <v>238</v>
      </c>
      <c r="P1842" s="5" t="s">
        <v>238</v>
      </c>
      <c r="Q1842" s="5" t="s">
        <v>239</v>
      </c>
      <c r="R1842" s="5" t="s">
        <v>238</v>
      </c>
      <c r="S1842" s="5" t="s">
        <v>238</v>
      </c>
      <c r="V1842" s="5" t="s">
        <v>238</v>
      </c>
      <c r="X1842" s="6" t="s">
        <v>238</v>
      </c>
      <c r="AA1842" s="6" t="s">
        <v>2355</v>
      </c>
      <c r="AB1842" s="5" t="s">
        <v>238</v>
      </c>
      <c r="AC1842" s="5" t="s">
        <v>244</v>
      </c>
      <c r="AD1842" s="5" t="s">
        <v>261</v>
      </c>
      <c r="AT1842" s="5" t="s">
        <v>246</v>
      </c>
      <c r="AU1842" s="5" t="s">
        <v>238</v>
      </c>
      <c r="AV1842" s="5" t="s">
        <v>247</v>
      </c>
      <c r="AW1842" s="5" t="s">
        <v>238</v>
      </c>
      <c r="AX1842" s="5" t="s">
        <v>249</v>
      </c>
      <c r="AY1842" s="5" t="s">
        <v>238</v>
      </c>
      <c r="BA1842" s="5" t="s">
        <v>238</v>
      </c>
      <c r="BC1842" s="5" t="s">
        <v>1468</v>
      </c>
      <c r="BD1842" s="6" t="s">
        <v>2344</v>
      </c>
      <c r="BE1842" s="5" t="s">
        <v>251</v>
      </c>
      <c r="BF1842" s="5" t="s">
        <v>2043</v>
      </c>
      <c r="BG1842" s="5" t="s">
        <v>238</v>
      </c>
      <c r="BH1842" s="7">
        <f>0</f>
        <v>0</v>
      </c>
      <c r="BI1842" s="8">
        <f>0</f>
        <v>0</v>
      </c>
      <c r="BJ1842" s="5" t="s">
        <v>253</v>
      </c>
      <c r="BK1842" s="5" t="s">
        <v>254</v>
      </c>
      <c r="BY1842" s="5" t="s">
        <v>238</v>
      </c>
      <c r="BZ1842" s="5" t="s">
        <v>238</v>
      </c>
      <c r="CD1842" s="5" t="s">
        <v>293</v>
      </c>
      <c r="CE1842" s="5" t="s">
        <v>256</v>
      </c>
      <c r="CF1842" s="5" t="s">
        <v>238</v>
      </c>
      <c r="CI1842" s="6" t="s">
        <v>257</v>
      </c>
      <c r="CJ1842" s="5" t="s">
        <v>238</v>
      </c>
      <c r="CK1842" s="5" t="s">
        <v>258</v>
      </c>
      <c r="CL1842" s="5" t="s">
        <v>238</v>
      </c>
      <c r="CM1842" s="5" t="s">
        <v>238</v>
      </c>
      <c r="CN1842" s="5">
        <v>0</v>
      </c>
      <c r="CO1842" s="5" t="s">
        <v>259</v>
      </c>
      <c r="CP1842" s="5" t="s">
        <v>260</v>
      </c>
      <c r="CQ1842" s="5" t="s">
        <v>260</v>
      </c>
      <c r="CR1842" s="5" t="s">
        <v>261</v>
      </c>
      <c r="CU1842" s="8">
        <f>23371231</f>
        <v>23371231</v>
      </c>
      <c r="CV1842" s="8">
        <f>0</f>
        <v>0</v>
      </c>
      <c r="CX1842" s="8">
        <f>0</f>
        <v>0</v>
      </c>
      <c r="CY1842" s="8">
        <f>23371231</f>
        <v>23371231</v>
      </c>
      <c r="DA1842" s="5" t="s">
        <v>356</v>
      </c>
      <c r="DB1842" s="5" t="s">
        <v>238</v>
      </c>
      <c r="DD1842" s="5" t="s">
        <v>356</v>
      </c>
      <c r="DE1842" s="8">
        <f>5435.17</f>
        <v>5435.17</v>
      </c>
      <c r="DG1842" s="5" t="s">
        <v>238</v>
      </c>
      <c r="DH1842" s="5" t="s">
        <v>238</v>
      </c>
      <c r="DI1842" s="5" t="s">
        <v>238</v>
      </c>
      <c r="DJ1842" s="5" t="s">
        <v>238</v>
      </c>
      <c r="DN1842" s="5" t="s">
        <v>238</v>
      </c>
      <c r="DO1842" s="5" t="s">
        <v>238</v>
      </c>
      <c r="DP1842" s="5" t="s">
        <v>238</v>
      </c>
      <c r="DQ1842" s="5" t="s">
        <v>238</v>
      </c>
      <c r="DT1842" s="5" t="s">
        <v>2039</v>
      </c>
      <c r="DU1842" s="5" t="s">
        <v>3712</v>
      </c>
      <c r="HM1842" s="5" t="s">
        <v>264</v>
      </c>
    </row>
    <row r="1843" spans="1:221" x14ac:dyDescent="0.4">
      <c r="A1843" s="5">
        <v>3541</v>
      </c>
      <c r="B1843" s="5">
        <v>1</v>
      </c>
      <c r="C1843" s="5">
        <v>1</v>
      </c>
      <c r="D1843" s="5" t="s">
        <v>2037</v>
      </c>
      <c r="E1843" s="5" t="s">
        <v>271</v>
      </c>
      <c r="F1843" s="5" t="s">
        <v>248</v>
      </c>
      <c r="G1843" s="5" t="s">
        <v>2354</v>
      </c>
      <c r="H1843" s="6" t="s">
        <v>2352</v>
      </c>
      <c r="I1843" s="7">
        <f>744</f>
        <v>744</v>
      </c>
      <c r="J1843" s="5" t="s">
        <v>262</v>
      </c>
      <c r="K1843" s="8">
        <f>4921632</f>
        <v>4921632</v>
      </c>
      <c r="L1843" s="6" t="s">
        <v>2349</v>
      </c>
      <c r="M1843" s="5" t="s">
        <v>267</v>
      </c>
      <c r="N1843" s="5" t="s">
        <v>265</v>
      </c>
      <c r="O1843" s="5" t="s">
        <v>238</v>
      </c>
      <c r="P1843" s="5" t="s">
        <v>238</v>
      </c>
      <c r="Q1843" s="5" t="s">
        <v>239</v>
      </c>
      <c r="R1843" s="5" t="s">
        <v>270</v>
      </c>
      <c r="S1843" s="5" t="s">
        <v>238</v>
      </c>
      <c r="V1843" s="5" t="s">
        <v>238</v>
      </c>
      <c r="X1843" s="6" t="s">
        <v>238</v>
      </c>
      <c r="AA1843" s="6" t="s">
        <v>2355</v>
      </c>
      <c r="AB1843" s="5" t="s">
        <v>2351</v>
      </c>
      <c r="AC1843" s="5" t="s">
        <v>244</v>
      </c>
      <c r="AD1843" s="5" t="s">
        <v>261</v>
      </c>
      <c r="AT1843" s="5" t="s">
        <v>246</v>
      </c>
      <c r="AU1843" s="5" t="s">
        <v>238</v>
      </c>
      <c r="AV1843" s="5" t="s">
        <v>247</v>
      </c>
      <c r="AW1843" s="5" t="s">
        <v>238</v>
      </c>
      <c r="AX1843" s="5" t="s">
        <v>249</v>
      </c>
      <c r="AY1843" s="5" t="s">
        <v>238</v>
      </c>
      <c r="BA1843" s="5" t="s">
        <v>238</v>
      </c>
      <c r="BC1843" s="5" t="s">
        <v>1468</v>
      </c>
      <c r="BD1843" s="6" t="s">
        <v>2355</v>
      </c>
      <c r="BE1843" s="5" t="s">
        <v>251</v>
      </c>
      <c r="BF1843" s="5" t="s">
        <v>2036</v>
      </c>
      <c r="BG1843" s="5" t="s">
        <v>238</v>
      </c>
      <c r="BH1843" s="7">
        <f>0</f>
        <v>0</v>
      </c>
      <c r="BI1843" s="8">
        <f>0</f>
        <v>0</v>
      </c>
      <c r="BJ1843" s="5" t="s">
        <v>253</v>
      </c>
      <c r="BK1843" s="5" t="s">
        <v>254</v>
      </c>
      <c r="BY1843" s="5" t="s">
        <v>238</v>
      </c>
      <c r="BZ1843" s="5" t="s">
        <v>238</v>
      </c>
      <c r="CD1843" s="5" t="s">
        <v>293</v>
      </c>
      <c r="CE1843" s="5" t="s">
        <v>256</v>
      </c>
      <c r="CF1843" s="5" t="s">
        <v>238</v>
      </c>
      <c r="CI1843" s="6" t="s">
        <v>257</v>
      </c>
      <c r="CJ1843" s="5" t="s">
        <v>238</v>
      </c>
      <c r="CK1843" s="5" t="s">
        <v>258</v>
      </c>
      <c r="CL1843" s="5" t="s">
        <v>238</v>
      </c>
      <c r="CM1843" s="5" t="s">
        <v>238</v>
      </c>
      <c r="CN1843" s="5">
        <v>0</v>
      </c>
      <c r="CO1843" s="5" t="s">
        <v>259</v>
      </c>
      <c r="CP1843" s="5" t="s">
        <v>260</v>
      </c>
      <c r="CQ1843" s="5" t="s">
        <v>260</v>
      </c>
      <c r="CR1843" s="5" t="s">
        <v>261</v>
      </c>
      <c r="CU1843" s="8">
        <f>4921632</f>
        <v>4921632</v>
      </c>
      <c r="CV1843" s="8">
        <f>0</f>
        <v>0</v>
      </c>
      <c r="CX1843" s="8">
        <f>0</f>
        <v>0</v>
      </c>
      <c r="CY1843" s="8">
        <f>4921632</f>
        <v>4921632</v>
      </c>
      <c r="DA1843" s="5" t="s">
        <v>356</v>
      </c>
      <c r="DB1843" s="5" t="s">
        <v>238</v>
      </c>
      <c r="DD1843" s="5" t="s">
        <v>356</v>
      </c>
      <c r="DE1843" s="8">
        <f>744</f>
        <v>744</v>
      </c>
      <c r="DG1843" s="5" t="s">
        <v>238</v>
      </c>
      <c r="DH1843" s="5" t="s">
        <v>238</v>
      </c>
      <c r="DI1843" s="5" t="s">
        <v>238</v>
      </c>
      <c r="DJ1843" s="5" t="s">
        <v>238</v>
      </c>
      <c r="DN1843" s="5" t="s">
        <v>238</v>
      </c>
      <c r="DO1843" s="5" t="s">
        <v>238</v>
      </c>
      <c r="DP1843" s="5" t="s">
        <v>238</v>
      </c>
      <c r="DQ1843" s="5" t="s">
        <v>238</v>
      </c>
      <c r="DT1843" s="5" t="s">
        <v>2039</v>
      </c>
      <c r="DU1843" s="5" t="s">
        <v>2356</v>
      </c>
      <c r="HM1843" s="5" t="s">
        <v>264</v>
      </c>
    </row>
    <row r="1844" spans="1:221" x14ac:dyDescent="0.4">
      <c r="A1844" s="5">
        <v>3542</v>
      </c>
      <c r="B1844" s="5">
        <v>1</v>
      </c>
      <c r="C1844" s="5">
        <v>1</v>
      </c>
      <c r="D1844" s="5" t="s">
        <v>2037</v>
      </c>
      <c r="E1844" s="5" t="s">
        <v>271</v>
      </c>
      <c r="F1844" s="5" t="s">
        <v>248</v>
      </c>
      <c r="G1844" s="5" t="s">
        <v>2348</v>
      </c>
      <c r="H1844" s="6" t="s">
        <v>2352</v>
      </c>
      <c r="I1844" s="7">
        <f>1202</f>
        <v>1202</v>
      </c>
      <c r="J1844" s="5" t="s">
        <v>262</v>
      </c>
      <c r="K1844" s="8">
        <f>7951346</f>
        <v>7951346</v>
      </c>
      <c r="L1844" s="6" t="s">
        <v>2349</v>
      </c>
      <c r="M1844" s="5" t="s">
        <v>267</v>
      </c>
      <c r="N1844" s="5" t="s">
        <v>265</v>
      </c>
      <c r="O1844" s="5" t="s">
        <v>238</v>
      </c>
      <c r="P1844" s="5" t="s">
        <v>238</v>
      </c>
      <c r="Q1844" s="5" t="s">
        <v>239</v>
      </c>
      <c r="R1844" s="5" t="s">
        <v>270</v>
      </c>
      <c r="S1844" s="5" t="s">
        <v>238</v>
      </c>
      <c r="V1844" s="5" t="s">
        <v>238</v>
      </c>
      <c r="X1844" s="6" t="s">
        <v>238</v>
      </c>
      <c r="AA1844" s="6" t="s">
        <v>2350</v>
      </c>
      <c r="AB1844" s="5" t="s">
        <v>2351</v>
      </c>
      <c r="AC1844" s="5" t="s">
        <v>244</v>
      </c>
      <c r="AD1844" s="5" t="s">
        <v>261</v>
      </c>
      <c r="AT1844" s="5" t="s">
        <v>246</v>
      </c>
      <c r="AU1844" s="5" t="s">
        <v>238</v>
      </c>
      <c r="AV1844" s="5" t="s">
        <v>247</v>
      </c>
      <c r="AW1844" s="5" t="s">
        <v>238</v>
      </c>
      <c r="AX1844" s="5" t="s">
        <v>249</v>
      </c>
      <c r="AY1844" s="5" t="s">
        <v>238</v>
      </c>
      <c r="BA1844" s="5" t="s">
        <v>238</v>
      </c>
      <c r="BC1844" s="5" t="s">
        <v>1433</v>
      </c>
      <c r="BD1844" s="6" t="s">
        <v>2350</v>
      </c>
      <c r="BE1844" s="5" t="s">
        <v>251</v>
      </c>
      <c r="BF1844" s="5" t="s">
        <v>2036</v>
      </c>
      <c r="BG1844" s="5" t="s">
        <v>238</v>
      </c>
      <c r="BH1844" s="7">
        <f>0</f>
        <v>0</v>
      </c>
      <c r="BI1844" s="8">
        <f>0</f>
        <v>0</v>
      </c>
      <c r="BJ1844" s="5" t="s">
        <v>253</v>
      </c>
      <c r="BK1844" s="5" t="s">
        <v>254</v>
      </c>
      <c r="BY1844" s="5" t="s">
        <v>238</v>
      </c>
      <c r="BZ1844" s="5" t="s">
        <v>238</v>
      </c>
      <c r="CD1844" s="5" t="s">
        <v>293</v>
      </c>
      <c r="CE1844" s="5" t="s">
        <v>256</v>
      </c>
      <c r="CF1844" s="5" t="s">
        <v>238</v>
      </c>
      <c r="CI1844" s="6" t="s">
        <v>257</v>
      </c>
      <c r="CJ1844" s="5" t="s">
        <v>238</v>
      </c>
      <c r="CK1844" s="5" t="s">
        <v>258</v>
      </c>
      <c r="CL1844" s="5" t="s">
        <v>238</v>
      </c>
      <c r="CM1844" s="5" t="s">
        <v>238</v>
      </c>
      <c r="CN1844" s="5">
        <v>0</v>
      </c>
      <c r="CO1844" s="5" t="s">
        <v>259</v>
      </c>
      <c r="CP1844" s="5" t="s">
        <v>260</v>
      </c>
      <c r="CQ1844" s="5" t="s">
        <v>260</v>
      </c>
      <c r="CR1844" s="5" t="s">
        <v>261</v>
      </c>
      <c r="CU1844" s="8">
        <f>7951346</f>
        <v>7951346</v>
      </c>
      <c r="CV1844" s="8">
        <f>0</f>
        <v>0</v>
      </c>
      <c r="CX1844" s="8">
        <f>0</f>
        <v>0</v>
      </c>
      <c r="CY1844" s="8">
        <f>7951346</f>
        <v>7951346</v>
      </c>
      <c r="DA1844" s="5" t="s">
        <v>356</v>
      </c>
      <c r="DB1844" s="5" t="s">
        <v>238</v>
      </c>
      <c r="DD1844" s="5" t="s">
        <v>356</v>
      </c>
      <c r="DE1844" s="8">
        <f>1202</f>
        <v>1202</v>
      </c>
      <c r="DG1844" s="5" t="s">
        <v>238</v>
      </c>
      <c r="DH1844" s="5" t="s">
        <v>238</v>
      </c>
      <c r="DI1844" s="5" t="s">
        <v>238</v>
      </c>
      <c r="DJ1844" s="5" t="s">
        <v>238</v>
      </c>
      <c r="DN1844" s="5" t="s">
        <v>238</v>
      </c>
      <c r="DO1844" s="5" t="s">
        <v>238</v>
      </c>
      <c r="DP1844" s="5" t="s">
        <v>238</v>
      </c>
      <c r="DQ1844" s="5" t="s">
        <v>238</v>
      </c>
      <c r="DT1844" s="5" t="s">
        <v>2039</v>
      </c>
      <c r="DU1844" s="5" t="s">
        <v>2353</v>
      </c>
      <c r="HM1844" s="5" t="s">
        <v>264</v>
      </c>
    </row>
    <row r="1845" spans="1:221" x14ac:dyDescent="0.4">
      <c r="A1845" s="5">
        <v>3543</v>
      </c>
      <c r="B1845" s="5">
        <v>1</v>
      </c>
      <c r="C1845" s="5">
        <v>1</v>
      </c>
      <c r="D1845" s="5" t="s">
        <v>2037</v>
      </c>
      <c r="E1845" s="5" t="s">
        <v>271</v>
      </c>
      <c r="F1845" s="5" t="s">
        <v>248</v>
      </c>
      <c r="G1845" s="5" t="s">
        <v>2359</v>
      </c>
      <c r="H1845" s="6" t="s">
        <v>2352</v>
      </c>
      <c r="I1845" s="7">
        <f>188</f>
        <v>188</v>
      </c>
      <c r="J1845" s="5" t="s">
        <v>262</v>
      </c>
      <c r="K1845" s="8">
        <f>1243638</f>
        <v>1243638</v>
      </c>
      <c r="L1845" s="6" t="s">
        <v>2349</v>
      </c>
      <c r="M1845" s="5" t="s">
        <v>267</v>
      </c>
      <c r="N1845" s="5" t="s">
        <v>265</v>
      </c>
      <c r="O1845" s="5" t="s">
        <v>238</v>
      </c>
      <c r="P1845" s="5" t="s">
        <v>238</v>
      </c>
      <c r="Q1845" s="5" t="s">
        <v>239</v>
      </c>
      <c r="R1845" s="5" t="s">
        <v>270</v>
      </c>
      <c r="S1845" s="5" t="s">
        <v>238</v>
      </c>
      <c r="V1845" s="5" t="s">
        <v>238</v>
      </c>
      <c r="X1845" s="6" t="s">
        <v>238</v>
      </c>
      <c r="AA1845" s="6" t="s">
        <v>2259</v>
      </c>
      <c r="AB1845" s="5" t="s">
        <v>2351</v>
      </c>
      <c r="AC1845" s="5" t="s">
        <v>244</v>
      </c>
      <c r="AD1845" s="5" t="s">
        <v>261</v>
      </c>
      <c r="AT1845" s="5" t="s">
        <v>246</v>
      </c>
      <c r="AU1845" s="5" t="s">
        <v>238</v>
      </c>
      <c r="AV1845" s="5" t="s">
        <v>247</v>
      </c>
      <c r="AW1845" s="5" t="s">
        <v>238</v>
      </c>
      <c r="AX1845" s="5" t="s">
        <v>249</v>
      </c>
      <c r="AY1845" s="5" t="s">
        <v>238</v>
      </c>
      <c r="BA1845" s="5" t="s">
        <v>238</v>
      </c>
      <c r="BC1845" s="5" t="s">
        <v>1433</v>
      </c>
      <c r="BD1845" s="6" t="s">
        <v>2259</v>
      </c>
      <c r="BE1845" s="5" t="s">
        <v>251</v>
      </c>
      <c r="BF1845" s="5" t="s">
        <v>2036</v>
      </c>
      <c r="BG1845" s="5" t="s">
        <v>238</v>
      </c>
      <c r="BH1845" s="7">
        <f>0</f>
        <v>0</v>
      </c>
      <c r="BI1845" s="8">
        <f>0</f>
        <v>0</v>
      </c>
      <c r="BJ1845" s="5" t="s">
        <v>253</v>
      </c>
      <c r="BK1845" s="5" t="s">
        <v>254</v>
      </c>
      <c r="BY1845" s="5" t="s">
        <v>238</v>
      </c>
      <c r="BZ1845" s="5" t="s">
        <v>238</v>
      </c>
      <c r="CD1845" s="5" t="s">
        <v>293</v>
      </c>
      <c r="CE1845" s="5" t="s">
        <v>256</v>
      </c>
      <c r="CF1845" s="5" t="s">
        <v>238</v>
      </c>
      <c r="CI1845" s="6" t="s">
        <v>257</v>
      </c>
      <c r="CJ1845" s="5" t="s">
        <v>238</v>
      </c>
      <c r="CK1845" s="5" t="s">
        <v>258</v>
      </c>
      <c r="CL1845" s="5" t="s">
        <v>238</v>
      </c>
      <c r="CM1845" s="5" t="s">
        <v>238</v>
      </c>
      <c r="CN1845" s="5">
        <v>0</v>
      </c>
      <c r="CO1845" s="5" t="s">
        <v>259</v>
      </c>
      <c r="CP1845" s="5" t="s">
        <v>260</v>
      </c>
      <c r="CQ1845" s="5" t="s">
        <v>260</v>
      </c>
      <c r="CR1845" s="5" t="s">
        <v>261</v>
      </c>
      <c r="CU1845" s="8">
        <f>1243638</f>
        <v>1243638</v>
      </c>
      <c r="CV1845" s="8">
        <f>0</f>
        <v>0</v>
      </c>
      <c r="CX1845" s="8">
        <f>0</f>
        <v>0</v>
      </c>
      <c r="CY1845" s="8">
        <f>1243638</f>
        <v>1243638</v>
      </c>
      <c r="DA1845" s="5" t="s">
        <v>356</v>
      </c>
      <c r="DB1845" s="5" t="s">
        <v>238</v>
      </c>
      <c r="DD1845" s="5" t="s">
        <v>356</v>
      </c>
      <c r="DE1845" s="8">
        <f>188</f>
        <v>188</v>
      </c>
      <c r="DG1845" s="5" t="s">
        <v>238</v>
      </c>
      <c r="DH1845" s="5" t="s">
        <v>238</v>
      </c>
      <c r="DI1845" s="5" t="s">
        <v>238</v>
      </c>
      <c r="DJ1845" s="5" t="s">
        <v>238</v>
      </c>
      <c r="DN1845" s="5" t="s">
        <v>238</v>
      </c>
      <c r="DO1845" s="5" t="s">
        <v>238</v>
      </c>
      <c r="DP1845" s="5" t="s">
        <v>238</v>
      </c>
      <c r="DQ1845" s="5" t="s">
        <v>238</v>
      </c>
      <c r="DT1845" s="5" t="s">
        <v>2039</v>
      </c>
      <c r="DU1845" s="5" t="s">
        <v>2360</v>
      </c>
      <c r="HM1845" s="5" t="s">
        <v>264</v>
      </c>
    </row>
    <row r="1846" spans="1:221" x14ac:dyDescent="0.4">
      <c r="A1846" s="5">
        <v>3544</v>
      </c>
      <c r="B1846" s="5">
        <v>1</v>
      </c>
      <c r="C1846" s="5">
        <v>1</v>
      </c>
      <c r="D1846" s="5" t="s">
        <v>2037</v>
      </c>
      <c r="E1846" s="5" t="s">
        <v>271</v>
      </c>
      <c r="F1846" s="5" t="s">
        <v>248</v>
      </c>
      <c r="G1846" s="5" t="s">
        <v>2554</v>
      </c>
      <c r="H1846" s="6" t="s">
        <v>2556</v>
      </c>
      <c r="I1846" s="7">
        <f>158.11</f>
        <v>158.11000000000001</v>
      </c>
      <c r="J1846" s="5" t="s">
        <v>262</v>
      </c>
      <c r="K1846" s="8">
        <f>163775</f>
        <v>163775</v>
      </c>
      <c r="L1846" s="6" t="s">
        <v>2555</v>
      </c>
      <c r="M1846" s="5" t="s">
        <v>267</v>
      </c>
      <c r="N1846" s="5" t="s">
        <v>265</v>
      </c>
      <c r="O1846" s="5" t="s">
        <v>238</v>
      </c>
      <c r="P1846" s="5" t="s">
        <v>238</v>
      </c>
      <c r="Q1846" s="5" t="s">
        <v>239</v>
      </c>
      <c r="R1846" s="5" t="s">
        <v>238</v>
      </c>
      <c r="S1846" s="5" t="s">
        <v>238</v>
      </c>
      <c r="V1846" s="5" t="s">
        <v>238</v>
      </c>
      <c r="X1846" s="6" t="s">
        <v>238</v>
      </c>
      <c r="AA1846" s="6" t="s">
        <v>2485</v>
      </c>
      <c r="AB1846" s="5" t="s">
        <v>238</v>
      </c>
      <c r="AC1846" s="5" t="s">
        <v>244</v>
      </c>
      <c r="AD1846" s="5" t="s">
        <v>261</v>
      </c>
      <c r="AT1846" s="5" t="s">
        <v>246</v>
      </c>
      <c r="AU1846" s="5" t="s">
        <v>238</v>
      </c>
      <c r="AV1846" s="5" t="s">
        <v>247</v>
      </c>
      <c r="AW1846" s="5" t="s">
        <v>238</v>
      </c>
      <c r="AX1846" s="5" t="s">
        <v>249</v>
      </c>
      <c r="AY1846" s="5" t="s">
        <v>238</v>
      </c>
      <c r="BA1846" s="5" t="s">
        <v>238</v>
      </c>
      <c r="BC1846" s="5" t="s">
        <v>1433</v>
      </c>
      <c r="BD1846" s="6" t="s">
        <v>2485</v>
      </c>
      <c r="BE1846" s="5" t="s">
        <v>251</v>
      </c>
      <c r="BF1846" s="5" t="s">
        <v>2043</v>
      </c>
      <c r="BG1846" s="5" t="s">
        <v>238</v>
      </c>
      <c r="BH1846" s="7">
        <f>0</f>
        <v>0</v>
      </c>
      <c r="BI1846" s="8">
        <f>0</f>
        <v>0</v>
      </c>
      <c r="BJ1846" s="5" t="s">
        <v>253</v>
      </c>
      <c r="BK1846" s="5" t="s">
        <v>254</v>
      </c>
      <c r="BY1846" s="5" t="s">
        <v>238</v>
      </c>
      <c r="BZ1846" s="5" t="s">
        <v>238</v>
      </c>
      <c r="CD1846" s="5" t="s">
        <v>293</v>
      </c>
      <c r="CE1846" s="5" t="s">
        <v>256</v>
      </c>
      <c r="CF1846" s="5" t="s">
        <v>238</v>
      </c>
      <c r="CI1846" s="6" t="s">
        <v>257</v>
      </c>
      <c r="CJ1846" s="5" t="s">
        <v>238</v>
      </c>
      <c r="CK1846" s="5" t="s">
        <v>258</v>
      </c>
      <c r="CL1846" s="5" t="s">
        <v>238</v>
      </c>
      <c r="CM1846" s="5" t="s">
        <v>238</v>
      </c>
      <c r="CN1846" s="5">
        <v>0</v>
      </c>
      <c r="CO1846" s="5" t="s">
        <v>259</v>
      </c>
      <c r="CP1846" s="5" t="s">
        <v>260</v>
      </c>
      <c r="CQ1846" s="5" t="s">
        <v>260</v>
      </c>
      <c r="CR1846" s="5" t="s">
        <v>261</v>
      </c>
      <c r="CU1846" s="8">
        <f>163775</f>
        <v>163775</v>
      </c>
      <c r="CV1846" s="8">
        <f>0</f>
        <v>0</v>
      </c>
      <c r="CX1846" s="8">
        <f>0</f>
        <v>0</v>
      </c>
      <c r="CY1846" s="8">
        <f>163775</f>
        <v>163775</v>
      </c>
      <c r="DA1846" s="5" t="s">
        <v>356</v>
      </c>
      <c r="DB1846" s="5" t="s">
        <v>238</v>
      </c>
      <c r="DD1846" s="5" t="s">
        <v>356</v>
      </c>
      <c r="DE1846" s="8">
        <f>158.11</f>
        <v>158.11000000000001</v>
      </c>
      <c r="DG1846" s="5" t="s">
        <v>238</v>
      </c>
      <c r="DH1846" s="5" t="s">
        <v>238</v>
      </c>
      <c r="DI1846" s="5" t="s">
        <v>238</v>
      </c>
      <c r="DJ1846" s="5" t="s">
        <v>238</v>
      </c>
      <c r="DN1846" s="5" t="s">
        <v>238</v>
      </c>
      <c r="DO1846" s="5" t="s">
        <v>238</v>
      </c>
      <c r="DP1846" s="5" t="s">
        <v>238</v>
      </c>
      <c r="DQ1846" s="5" t="s">
        <v>238</v>
      </c>
      <c r="DT1846" s="5" t="s">
        <v>2039</v>
      </c>
      <c r="DU1846" s="5" t="s">
        <v>2557</v>
      </c>
      <c r="HM1846" s="5" t="s">
        <v>264</v>
      </c>
    </row>
    <row r="1847" spans="1:221" x14ac:dyDescent="0.4">
      <c r="A1847" s="5">
        <v>3545</v>
      </c>
      <c r="B1847" s="5">
        <v>1</v>
      </c>
      <c r="C1847" s="5">
        <v>1</v>
      </c>
      <c r="D1847" s="5" t="s">
        <v>2037</v>
      </c>
      <c r="E1847" s="5" t="s">
        <v>271</v>
      </c>
      <c r="F1847" s="5" t="s">
        <v>248</v>
      </c>
      <c r="G1847" s="5" t="s">
        <v>3550</v>
      </c>
      <c r="H1847" s="6" t="s">
        <v>2076</v>
      </c>
      <c r="I1847" s="7">
        <f>104.93</f>
        <v>104.93</v>
      </c>
      <c r="J1847" s="5" t="s">
        <v>262</v>
      </c>
      <c r="K1847" s="8">
        <f>452749</f>
        <v>452749</v>
      </c>
      <c r="L1847" s="6" t="s">
        <v>3551</v>
      </c>
      <c r="M1847" s="5" t="s">
        <v>267</v>
      </c>
      <c r="N1847" s="5" t="s">
        <v>265</v>
      </c>
      <c r="O1847" s="5" t="s">
        <v>238</v>
      </c>
      <c r="P1847" s="5" t="s">
        <v>238</v>
      </c>
      <c r="Q1847" s="5" t="s">
        <v>239</v>
      </c>
      <c r="R1847" s="5" t="s">
        <v>238</v>
      </c>
      <c r="S1847" s="5" t="s">
        <v>238</v>
      </c>
      <c r="V1847" s="5" t="s">
        <v>238</v>
      </c>
      <c r="X1847" s="6" t="s">
        <v>238</v>
      </c>
      <c r="AA1847" s="6" t="s">
        <v>2852</v>
      </c>
      <c r="AB1847" s="5" t="s">
        <v>238</v>
      </c>
      <c r="AC1847" s="5" t="s">
        <v>244</v>
      </c>
      <c r="AD1847" s="5" t="s">
        <v>261</v>
      </c>
      <c r="AT1847" s="5" t="s">
        <v>246</v>
      </c>
      <c r="AU1847" s="5" t="s">
        <v>238</v>
      </c>
      <c r="AV1847" s="5" t="s">
        <v>247</v>
      </c>
      <c r="AW1847" s="5" t="s">
        <v>238</v>
      </c>
      <c r="AX1847" s="5" t="s">
        <v>249</v>
      </c>
      <c r="AY1847" s="5" t="s">
        <v>238</v>
      </c>
      <c r="BA1847" s="5" t="s">
        <v>238</v>
      </c>
      <c r="BC1847" s="5" t="s">
        <v>1433</v>
      </c>
      <c r="BD1847" s="6" t="s">
        <v>2852</v>
      </c>
      <c r="BE1847" s="5" t="s">
        <v>251</v>
      </c>
      <c r="BF1847" s="5" t="s">
        <v>3552</v>
      </c>
      <c r="BG1847" s="5" t="s">
        <v>238</v>
      </c>
      <c r="BH1847" s="7">
        <f>0</f>
        <v>0</v>
      </c>
      <c r="BI1847" s="8">
        <f>0</f>
        <v>0</v>
      </c>
      <c r="BJ1847" s="5" t="s">
        <v>253</v>
      </c>
      <c r="BK1847" s="5" t="s">
        <v>254</v>
      </c>
      <c r="BY1847" s="5" t="s">
        <v>238</v>
      </c>
      <c r="BZ1847" s="5" t="s">
        <v>238</v>
      </c>
      <c r="CD1847" s="5" t="s">
        <v>293</v>
      </c>
      <c r="CE1847" s="5" t="s">
        <v>256</v>
      </c>
      <c r="CF1847" s="5" t="s">
        <v>238</v>
      </c>
      <c r="CI1847" s="6" t="s">
        <v>257</v>
      </c>
      <c r="CJ1847" s="5" t="s">
        <v>238</v>
      </c>
      <c r="CK1847" s="5" t="s">
        <v>258</v>
      </c>
      <c r="CL1847" s="5" t="s">
        <v>238</v>
      </c>
      <c r="CM1847" s="5" t="s">
        <v>238</v>
      </c>
      <c r="CN1847" s="5">
        <v>0</v>
      </c>
      <c r="CO1847" s="5" t="s">
        <v>259</v>
      </c>
      <c r="CP1847" s="5" t="s">
        <v>260</v>
      </c>
      <c r="CQ1847" s="5" t="s">
        <v>260</v>
      </c>
      <c r="CR1847" s="5" t="s">
        <v>261</v>
      </c>
      <c r="CU1847" s="8">
        <f>452749</f>
        <v>452749</v>
      </c>
      <c r="CV1847" s="8">
        <f>0</f>
        <v>0</v>
      </c>
      <c r="CX1847" s="8">
        <f>0</f>
        <v>0</v>
      </c>
      <c r="CY1847" s="8">
        <f>452749</f>
        <v>452749</v>
      </c>
      <c r="DA1847" s="5" t="s">
        <v>356</v>
      </c>
      <c r="DB1847" s="5" t="s">
        <v>238</v>
      </c>
      <c r="DD1847" s="5" t="s">
        <v>356</v>
      </c>
      <c r="DE1847" s="8">
        <f>104.93</f>
        <v>104.93</v>
      </c>
      <c r="DG1847" s="5" t="s">
        <v>238</v>
      </c>
      <c r="DH1847" s="5" t="s">
        <v>238</v>
      </c>
      <c r="DI1847" s="5" t="s">
        <v>238</v>
      </c>
      <c r="DJ1847" s="5" t="s">
        <v>238</v>
      </c>
      <c r="DN1847" s="5" t="s">
        <v>238</v>
      </c>
      <c r="DO1847" s="5" t="s">
        <v>238</v>
      </c>
      <c r="DP1847" s="5" t="s">
        <v>238</v>
      </c>
      <c r="DQ1847" s="5" t="s">
        <v>238</v>
      </c>
      <c r="DT1847" s="5" t="s">
        <v>2039</v>
      </c>
      <c r="DU1847" s="5" t="s">
        <v>3553</v>
      </c>
      <c r="HM1847" s="5" t="s">
        <v>264</v>
      </c>
    </row>
    <row r="1848" spans="1:221" x14ac:dyDescent="0.4">
      <c r="A1848" s="5">
        <v>3546</v>
      </c>
      <c r="B1848" s="5">
        <v>1</v>
      </c>
      <c r="C1848" s="5">
        <v>1</v>
      </c>
      <c r="D1848" s="5" t="s">
        <v>2037</v>
      </c>
      <c r="E1848" s="5" t="s">
        <v>271</v>
      </c>
      <c r="F1848" s="5" t="s">
        <v>248</v>
      </c>
      <c r="G1848" s="5" t="s">
        <v>3555</v>
      </c>
      <c r="H1848" s="6" t="s">
        <v>2261</v>
      </c>
      <c r="I1848" s="7">
        <f>197.32</f>
        <v>197.32</v>
      </c>
      <c r="J1848" s="5" t="s">
        <v>262</v>
      </c>
      <c r="K1848" s="8">
        <f>579363</f>
        <v>579363</v>
      </c>
      <c r="L1848" s="6" t="s">
        <v>3476</v>
      </c>
      <c r="M1848" s="5" t="s">
        <v>267</v>
      </c>
      <c r="N1848" s="5" t="s">
        <v>265</v>
      </c>
      <c r="O1848" s="5" t="s">
        <v>238</v>
      </c>
      <c r="P1848" s="5" t="s">
        <v>238</v>
      </c>
      <c r="Q1848" s="5" t="s">
        <v>239</v>
      </c>
      <c r="R1848" s="5" t="s">
        <v>238</v>
      </c>
      <c r="S1848" s="5" t="s">
        <v>238</v>
      </c>
      <c r="V1848" s="5" t="s">
        <v>238</v>
      </c>
      <c r="X1848" s="6" t="s">
        <v>238</v>
      </c>
      <c r="AA1848" s="6" t="s">
        <v>2852</v>
      </c>
      <c r="AB1848" s="5" t="s">
        <v>238</v>
      </c>
      <c r="AC1848" s="5" t="s">
        <v>244</v>
      </c>
      <c r="AD1848" s="5" t="s">
        <v>261</v>
      </c>
      <c r="AT1848" s="5" t="s">
        <v>246</v>
      </c>
      <c r="AU1848" s="5" t="s">
        <v>238</v>
      </c>
      <c r="AV1848" s="5" t="s">
        <v>247</v>
      </c>
      <c r="AW1848" s="5" t="s">
        <v>238</v>
      </c>
      <c r="AX1848" s="5" t="s">
        <v>249</v>
      </c>
      <c r="AY1848" s="5" t="s">
        <v>238</v>
      </c>
      <c r="BA1848" s="5" t="s">
        <v>238</v>
      </c>
      <c r="BC1848" s="5" t="s">
        <v>1433</v>
      </c>
      <c r="BD1848" s="6" t="s">
        <v>3476</v>
      </c>
      <c r="BE1848" s="5" t="s">
        <v>251</v>
      </c>
      <c r="BF1848" s="5" t="s">
        <v>3552</v>
      </c>
      <c r="BG1848" s="5" t="s">
        <v>238</v>
      </c>
      <c r="BH1848" s="7">
        <f>0</f>
        <v>0</v>
      </c>
      <c r="BI1848" s="8">
        <f>0</f>
        <v>0</v>
      </c>
      <c r="BJ1848" s="5" t="s">
        <v>253</v>
      </c>
      <c r="BK1848" s="5" t="s">
        <v>254</v>
      </c>
      <c r="BY1848" s="5" t="s">
        <v>238</v>
      </c>
      <c r="BZ1848" s="5" t="s">
        <v>238</v>
      </c>
      <c r="CD1848" s="5" t="s">
        <v>293</v>
      </c>
      <c r="CE1848" s="5" t="s">
        <v>256</v>
      </c>
      <c r="CF1848" s="5" t="s">
        <v>238</v>
      </c>
      <c r="CI1848" s="6" t="s">
        <v>257</v>
      </c>
      <c r="CJ1848" s="5" t="s">
        <v>238</v>
      </c>
      <c r="CK1848" s="5" t="s">
        <v>258</v>
      </c>
      <c r="CL1848" s="5" t="s">
        <v>238</v>
      </c>
      <c r="CM1848" s="5" t="s">
        <v>238</v>
      </c>
      <c r="CN1848" s="5">
        <v>0</v>
      </c>
      <c r="CO1848" s="5" t="s">
        <v>259</v>
      </c>
      <c r="CP1848" s="5" t="s">
        <v>260</v>
      </c>
      <c r="CQ1848" s="5" t="s">
        <v>260</v>
      </c>
      <c r="CR1848" s="5" t="s">
        <v>261</v>
      </c>
      <c r="CU1848" s="8">
        <f>579363</f>
        <v>579363</v>
      </c>
      <c r="CV1848" s="8">
        <f>0</f>
        <v>0</v>
      </c>
      <c r="CX1848" s="8">
        <f>0</f>
        <v>0</v>
      </c>
      <c r="CY1848" s="8">
        <f>579363</f>
        <v>579363</v>
      </c>
      <c r="DA1848" s="5" t="s">
        <v>356</v>
      </c>
      <c r="DB1848" s="5" t="s">
        <v>238</v>
      </c>
      <c r="DD1848" s="5" t="s">
        <v>356</v>
      </c>
      <c r="DE1848" s="8">
        <f>197.32</f>
        <v>197.32</v>
      </c>
      <c r="DG1848" s="5" t="s">
        <v>238</v>
      </c>
      <c r="DH1848" s="5" t="s">
        <v>238</v>
      </c>
      <c r="DI1848" s="5" t="s">
        <v>238</v>
      </c>
      <c r="DJ1848" s="5" t="s">
        <v>238</v>
      </c>
      <c r="DN1848" s="5" t="s">
        <v>238</v>
      </c>
      <c r="DO1848" s="5" t="s">
        <v>238</v>
      </c>
      <c r="DP1848" s="5" t="s">
        <v>238</v>
      </c>
      <c r="DQ1848" s="5" t="s">
        <v>238</v>
      </c>
      <c r="DT1848" s="5" t="s">
        <v>2039</v>
      </c>
      <c r="DU1848" s="5" t="s">
        <v>3556</v>
      </c>
      <c r="HM1848" s="5" t="s">
        <v>264</v>
      </c>
    </row>
    <row r="1849" spans="1:221" x14ac:dyDescent="0.4">
      <c r="A1849" s="5">
        <v>3547</v>
      </c>
      <c r="B1849" s="5">
        <v>1</v>
      </c>
      <c r="C1849" s="5">
        <v>1</v>
      </c>
      <c r="D1849" s="5" t="s">
        <v>2037</v>
      </c>
      <c r="E1849" s="5" t="s">
        <v>271</v>
      </c>
      <c r="F1849" s="5" t="s">
        <v>248</v>
      </c>
      <c r="G1849" s="5" t="s">
        <v>3560</v>
      </c>
      <c r="H1849" s="6" t="s">
        <v>2261</v>
      </c>
      <c r="I1849" s="7">
        <f>0</f>
        <v>0</v>
      </c>
      <c r="J1849" s="5" t="s">
        <v>262</v>
      </c>
      <c r="K1849" s="8">
        <f>3699005</f>
        <v>3699005</v>
      </c>
      <c r="L1849" s="6" t="s">
        <v>3476</v>
      </c>
      <c r="M1849" s="5" t="s">
        <v>267</v>
      </c>
      <c r="N1849" s="5" t="s">
        <v>265</v>
      </c>
      <c r="O1849" s="5" t="s">
        <v>238</v>
      </c>
      <c r="P1849" s="5" t="s">
        <v>238</v>
      </c>
      <c r="Q1849" s="5" t="s">
        <v>239</v>
      </c>
      <c r="R1849" s="5" t="s">
        <v>238</v>
      </c>
      <c r="S1849" s="5" t="s">
        <v>238</v>
      </c>
      <c r="V1849" s="5" t="s">
        <v>238</v>
      </c>
      <c r="X1849" s="6" t="s">
        <v>238</v>
      </c>
      <c r="AA1849" s="6" t="s">
        <v>3404</v>
      </c>
      <c r="AB1849" s="5" t="s">
        <v>238</v>
      </c>
      <c r="AC1849" s="5" t="s">
        <v>244</v>
      </c>
      <c r="AD1849" s="5" t="s">
        <v>261</v>
      </c>
      <c r="AT1849" s="5" t="s">
        <v>246</v>
      </c>
      <c r="AU1849" s="5" t="s">
        <v>238</v>
      </c>
      <c r="AV1849" s="5" t="s">
        <v>247</v>
      </c>
      <c r="AW1849" s="5" t="s">
        <v>238</v>
      </c>
      <c r="AX1849" s="5" t="s">
        <v>249</v>
      </c>
      <c r="AY1849" s="5" t="s">
        <v>238</v>
      </c>
      <c r="BA1849" s="5" t="s">
        <v>238</v>
      </c>
      <c r="BC1849" s="5" t="s">
        <v>1433</v>
      </c>
      <c r="BD1849" s="6" t="s">
        <v>3476</v>
      </c>
      <c r="BE1849" s="5" t="s">
        <v>251</v>
      </c>
      <c r="BF1849" s="5" t="s">
        <v>3552</v>
      </c>
      <c r="BG1849" s="5" t="s">
        <v>238</v>
      </c>
      <c r="BH1849" s="7">
        <f>0</f>
        <v>0</v>
      </c>
      <c r="BI1849" s="8">
        <f>0</f>
        <v>0</v>
      </c>
      <c r="BJ1849" s="5" t="s">
        <v>253</v>
      </c>
      <c r="BK1849" s="5" t="s">
        <v>254</v>
      </c>
      <c r="BY1849" s="5" t="s">
        <v>238</v>
      </c>
      <c r="BZ1849" s="5" t="s">
        <v>238</v>
      </c>
      <c r="CD1849" s="5" t="s">
        <v>293</v>
      </c>
      <c r="CE1849" s="5" t="s">
        <v>256</v>
      </c>
      <c r="CF1849" s="5" t="s">
        <v>238</v>
      </c>
      <c r="CI1849" s="6" t="s">
        <v>257</v>
      </c>
      <c r="CJ1849" s="5" t="s">
        <v>238</v>
      </c>
      <c r="CK1849" s="5" t="s">
        <v>258</v>
      </c>
      <c r="CL1849" s="5" t="s">
        <v>238</v>
      </c>
      <c r="CM1849" s="5" t="s">
        <v>238</v>
      </c>
      <c r="CN1849" s="5">
        <v>0</v>
      </c>
      <c r="CO1849" s="5" t="s">
        <v>259</v>
      </c>
      <c r="CP1849" s="5" t="s">
        <v>260</v>
      </c>
      <c r="CQ1849" s="5" t="s">
        <v>260</v>
      </c>
      <c r="CR1849" s="5" t="s">
        <v>261</v>
      </c>
      <c r="CU1849" s="8">
        <f>3699005</f>
        <v>3699005</v>
      </c>
      <c r="CV1849" s="8">
        <f>0</f>
        <v>0</v>
      </c>
      <c r="CX1849" s="8">
        <f>0</f>
        <v>0</v>
      </c>
      <c r="CY1849" s="8">
        <f>3699005</f>
        <v>3699005</v>
      </c>
      <c r="DA1849" s="5" t="s">
        <v>356</v>
      </c>
      <c r="DB1849" s="5" t="s">
        <v>238</v>
      </c>
      <c r="DD1849" s="5" t="s">
        <v>356</v>
      </c>
      <c r="DE1849" s="8">
        <f>0</f>
        <v>0</v>
      </c>
      <c r="DG1849" s="5" t="s">
        <v>238</v>
      </c>
      <c r="DH1849" s="5" t="s">
        <v>238</v>
      </c>
      <c r="DI1849" s="5" t="s">
        <v>238</v>
      </c>
      <c r="DJ1849" s="5" t="s">
        <v>238</v>
      </c>
      <c r="DN1849" s="5" t="s">
        <v>238</v>
      </c>
      <c r="DO1849" s="5" t="s">
        <v>238</v>
      </c>
      <c r="DP1849" s="5" t="s">
        <v>238</v>
      </c>
      <c r="DQ1849" s="5" t="s">
        <v>238</v>
      </c>
      <c r="DT1849" s="5" t="s">
        <v>2039</v>
      </c>
      <c r="DU1849" s="5" t="s">
        <v>3561</v>
      </c>
      <c r="HM1849" s="5" t="s">
        <v>264</v>
      </c>
    </row>
    <row r="1850" spans="1:221" x14ac:dyDescent="0.4">
      <c r="A1850" s="5">
        <v>3548</v>
      </c>
      <c r="B1850" s="5">
        <v>1</v>
      </c>
      <c r="C1850" s="5">
        <v>1</v>
      </c>
      <c r="D1850" s="5" t="s">
        <v>2037</v>
      </c>
      <c r="E1850" s="5" t="s">
        <v>271</v>
      </c>
      <c r="F1850" s="5" t="s">
        <v>248</v>
      </c>
      <c r="G1850" s="5" t="s">
        <v>3566</v>
      </c>
      <c r="H1850" s="6" t="s">
        <v>2352</v>
      </c>
      <c r="I1850" s="7">
        <f>0</f>
        <v>0</v>
      </c>
      <c r="J1850" s="5" t="s">
        <v>262</v>
      </c>
      <c r="K1850" s="8">
        <f>4612103</f>
        <v>4612103</v>
      </c>
      <c r="L1850" s="6" t="s">
        <v>2344</v>
      </c>
      <c r="M1850" s="5" t="s">
        <v>267</v>
      </c>
      <c r="N1850" s="5" t="s">
        <v>265</v>
      </c>
      <c r="O1850" s="5" t="s">
        <v>238</v>
      </c>
      <c r="P1850" s="5" t="s">
        <v>238</v>
      </c>
      <c r="Q1850" s="5" t="s">
        <v>239</v>
      </c>
      <c r="R1850" s="5" t="s">
        <v>238</v>
      </c>
      <c r="S1850" s="5" t="s">
        <v>238</v>
      </c>
      <c r="V1850" s="5" t="s">
        <v>238</v>
      </c>
      <c r="X1850" s="6" t="s">
        <v>238</v>
      </c>
      <c r="AA1850" s="6" t="s">
        <v>2134</v>
      </c>
      <c r="AB1850" s="5" t="s">
        <v>3567</v>
      </c>
      <c r="AC1850" s="5" t="s">
        <v>244</v>
      </c>
      <c r="AD1850" s="5" t="s">
        <v>245</v>
      </c>
      <c r="AT1850" s="5" t="s">
        <v>246</v>
      </c>
      <c r="AU1850" s="5" t="s">
        <v>238</v>
      </c>
      <c r="AV1850" s="5" t="s">
        <v>247</v>
      </c>
      <c r="AW1850" s="5" t="s">
        <v>238</v>
      </c>
      <c r="AX1850" s="5" t="s">
        <v>249</v>
      </c>
      <c r="AY1850" s="5" t="s">
        <v>238</v>
      </c>
      <c r="BA1850" s="5" t="s">
        <v>238</v>
      </c>
      <c r="BC1850" s="5" t="s">
        <v>1433</v>
      </c>
      <c r="BD1850" s="6" t="s">
        <v>2344</v>
      </c>
      <c r="BE1850" s="5" t="s">
        <v>251</v>
      </c>
      <c r="BF1850" s="5" t="s">
        <v>3552</v>
      </c>
      <c r="BG1850" s="5" t="s">
        <v>238</v>
      </c>
      <c r="BH1850" s="7">
        <f>0</f>
        <v>0</v>
      </c>
      <c r="BI1850" s="8">
        <f>0</f>
        <v>0</v>
      </c>
      <c r="BJ1850" s="5" t="s">
        <v>253</v>
      </c>
      <c r="BK1850" s="5" t="s">
        <v>254</v>
      </c>
      <c r="BY1850" s="5" t="s">
        <v>238</v>
      </c>
      <c r="BZ1850" s="5" t="s">
        <v>238</v>
      </c>
      <c r="CD1850" s="5" t="s">
        <v>255</v>
      </c>
      <c r="CE1850" s="5" t="s">
        <v>256</v>
      </c>
      <c r="CF1850" s="5" t="s">
        <v>238</v>
      </c>
      <c r="CI1850" s="6" t="s">
        <v>257</v>
      </c>
      <c r="CJ1850" s="5" t="s">
        <v>238</v>
      </c>
      <c r="CK1850" s="5" t="s">
        <v>258</v>
      </c>
      <c r="CL1850" s="5" t="s">
        <v>238</v>
      </c>
      <c r="CM1850" s="5" t="s">
        <v>238</v>
      </c>
      <c r="CN1850" s="5">
        <v>0</v>
      </c>
      <c r="CO1850" s="5" t="s">
        <v>259</v>
      </c>
      <c r="CP1850" s="5" t="s">
        <v>260</v>
      </c>
      <c r="CQ1850" s="5" t="s">
        <v>260</v>
      </c>
      <c r="CR1850" s="5" t="s">
        <v>261</v>
      </c>
      <c r="CU1850" s="8">
        <f>4612103</f>
        <v>4612103</v>
      </c>
      <c r="CV1850" s="8">
        <f>0</f>
        <v>0</v>
      </c>
      <c r="CX1850" s="8">
        <f>0</f>
        <v>0</v>
      </c>
      <c r="CY1850" s="8">
        <f>4612103</f>
        <v>4612103</v>
      </c>
      <c r="DA1850" s="5" t="s">
        <v>356</v>
      </c>
      <c r="DB1850" s="5" t="s">
        <v>238</v>
      </c>
      <c r="DD1850" s="5" t="s">
        <v>356</v>
      </c>
      <c r="DE1850" s="8">
        <f>0</f>
        <v>0</v>
      </c>
      <c r="DG1850" s="5" t="s">
        <v>238</v>
      </c>
      <c r="DH1850" s="5" t="s">
        <v>238</v>
      </c>
      <c r="DI1850" s="5" t="s">
        <v>238</v>
      </c>
      <c r="DJ1850" s="5" t="s">
        <v>238</v>
      </c>
      <c r="DN1850" s="5" t="s">
        <v>238</v>
      </c>
      <c r="DO1850" s="5" t="s">
        <v>238</v>
      </c>
      <c r="DP1850" s="5" t="s">
        <v>238</v>
      </c>
      <c r="DQ1850" s="5" t="s">
        <v>238</v>
      </c>
      <c r="DT1850" s="5" t="s">
        <v>2039</v>
      </c>
      <c r="DU1850" s="5" t="s">
        <v>3568</v>
      </c>
      <c r="HM1850" s="5" t="s">
        <v>264</v>
      </c>
    </row>
    <row r="1851" spans="1:221" x14ac:dyDescent="0.4">
      <c r="A1851" s="5">
        <v>3549</v>
      </c>
      <c r="B1851" s="5">
        <v>1</v>
      </c>
      <c r="C1851" s="5">
        <v>1</v>
      </c>
      <c r="D1851" s="5" t="s">
        <v>2037</v>
      </c>
      <c r="E1851" s="5" t="s">
        <v>271</v>
      </c>
      <c r="F1851" s="5" t="s">
        <v>248</v>
      </c>
      <c r="G1851" s="5" t="s">
        <v>3598</v>
      </c>
      <c r="H1851" s="6" t="s">
        <v>2352</v>
      </c>
      <c r="I1851" s="7">
        <f>0</f>
        <v>0</v>
      </c>
      <c r="J1851" s="5" t="s">
        <v>262</v>
      </c>
      <c r="K1851" s="8">
        <f>7451274</f>
        <v>7451274</v>
      </c>
      <c r="L1851" s="6" t="s">
        <v>2344</v>
      </c>
      <c r="M1851" s="5" t="s">
        <v>267</v>
      </c>
      <c r="N1851" s="5" t="s">
        <v>265</v>
      </c>
      <c r="O1851" s="5" t="s">
        <v>238</v>
      </c>
      <c r="P1851" s="5" t="s">
        <v>238</v>
      </c>
      <c r="Q1851" s="5" t="s">
        <v>239</v>
      </c>
      <c r="R1851" s="5" t="s">
        <v>238</v>
      </c>
      <c r="S1851" s="5" t="s">
        <v>238</v>
      </c>
      <c r="V1851" s="5" t="s">
        <v>238</v>
      </c>
      <c r="X1851" s="6" t="s">
        <v>238</v>
      </c>
      <c r="AA1851" s="6" t="s">
        <v>3404</v>
      </c>
      <c r="AB1851" s="5" t="s">
        <v>3567</v>
      </c>
      <c r="AC1851" s="5" t="s">
        <v>244</v>
      </c>
      <c r="AD1851" s="5" t="s">
        <v>245</v>
      </c>
      <c r="AT1851" s="5" t="s">
        <v>246</v>
      </c>
      <c r="AU1851" s="5" t="s">
        <v>238</v>
      </c>
      <c r="AV1851" s="5" t="s">
        <v>247</v>
      </c>
      <c r="AW1851" s="5" t="s">
        <v>238</v>
      </c>
      <c r="AX1851" s="5" t="s">
        <v>249</v>
      </c>
      <c r="AY1851" s="5" t="s">
        <v>238</v>
      </c>
      <c r="BA1851" s="5" t="s">
        <v>238</v>
      </c>
      <c r="BC1851" s="5" t="s">
        <v>1433</v>
      </c>
      <c r="BD1851" s="6" t="s">
        <v>2344</v>
      </c>
      <c r="BE1851" s="5" t="s">
        <v>251</v>
      </c>
      <c r="BF1851" s="5" t="s">
        <v>3552</v>
      </c>
      <c r="BG1851" s="5" t="s">
        <v>238</v>
      </c>
      <c r="BH1851" s="7">
        <f>0</f>
        <v>0</v>
      </c>
      <c r="BI1851" s="8">
        <f>0</f>
        <v>0</v>
      </c>
      <c r="BJ1851" s="5" t="s">
        <v>253</v>
      </c>
      <c r="BK1851" s="5" t="s">
        <v>254</v>
      </c>
      <c r="BY1851" s="5" t="s">
        <v>238</v>
      </c>
      <c r="BZ1851" s="5" t="s">
        <v>238</v>
      </c>
      <c r="CD1851" s="5" t="s">
        <v>255</v>
      </c>
      <c r="CE1851" s="5" t="s">
        <v>256</v>
      </c>
      <c r="CF1851" s="5" t="s">
        <v>238</v>
      </c>
      <c r="CI1851" s="6" t="s">
        <v>257</v>
      </c>
      <c r="CJ1851" s="5" t="s">
        <v>238</v>
      </c>
      <c r="CK1851" s="5" t="s">
        <v>258</v>
      </c>
      <c r="CL1851" s="5" t="s">
        <v>238</v>
      </c>
      <c r="CM1851" s="5" t="s">
        <v>238</v>
      </c>
      <c r="CN1851" s="5">
        <v>0</v>
      </c>
      <c r="CO1851" s="5" t="s">
        <v>259</v>
      </c>
      <c r="CP1851" s="5" t="s">
        <v>260</v>
      </c>
      <c r="CQ1851" s="5" t="s">
        <v>260</v>
      </c>
      <c r="CR1851" s="5" t="s">
        <v>261</v>
      </c>
      <c r="CU1851" s="8">
        <f>7451274</f>
        <v>7451274</v>
      </c>
      <c r="CV1851" s="8">
        <f>0</f>
        <v>0</v>
      </c>
      <c r="CX1851" s="8">
        <f>0</f>
        <v>0</v>
      </c>
      <c r="CY1851" s="8">
        <f>7451274</f>
        <v>7451274</v>
      </c>
      <c r="DA1851" s="5" t="s">
        <v>356</v>
      </c>
      <c r="DB1851" s="5" t="s">
        <v>238</v>
      </c>
      <c r="DD1851" s="5" t="s">
        <v>356</v>
      </c>
      <c r="DE1851" s="8">
        <f>0</f>
        <v>0</v>
      </c>
      <c r="DG1851" s="5" t="s">
        <v>238</v>
      </c>
      <c r="DH1851" s="5" t="s">
        <v>238</v>
      </c>
      <c r="DI1851" s="5" t="s">
        <v>238</v>
      </c>
      <c r="DJ1851" s="5" t="s">
        <v>238</v>
      </c>
      <c r="DN1851" s="5" t="s">
        <v>238</v>
      </c>
      <c r="DO1851" s="5" t="s">
        <v>238</v>
      </c>
      <c r="DP1851" s="5" t="s">
        <v>238</v>
      </c>
      <c r="DQ1851" s="5" t="s">
        <v>238</v>
      </c>
      <c r="DT1851" s="5" t="s">
        <v>2039</v>
      </c>
      <c r="DU1851" s="5" t="s">
        <v>3599</v>
      </c>
      <c r="HM1851" s="5" t="s">
        <v>264</v>
      </c>
    </row>
    <row r="1852" spans="1:221" x14ac:dyDescent="0.4">
      <c r="A1852" s="5">
        <v>3550</v>
      </c>
      <c r="B1852" s="5">
        <v>1</v>
      </c>
      <c r="C1852" s="5">
        <v>1</v>
      </c>
      <c r="D1852" s="5" t="s">
        <v>2037</v>
      </c>
      <c r="E1852" s="5" t="s">
        <v>271</v>
      </c>
      <c r="F1852" s="5" t="s">
        <v>248</v>
      </c>
      <c r="G1852" s="5" t="s">
        <v>3620</v>
      </c>
      <c r="H1852" s="6" t="s">
        <v>2352</v>
      </c>
      <c r="I1852" s="7">
        <f>0</f>
        <v>0</v>
      </c>
      <c r="J1852" s="5" t="s">
        <v>262</v>
      </c>
      <c r="K1852" s="8">
        <f>1165424</f>
        <v>1165424</v>
      </c>
      <c r="L1852" s="6" t="s">
        <v>2344</v>
      </c>
      <c r="M1852" s="5" t="s">
        <v>267</v>
      </c>
      <c r="N1852" s="5" t="s">
        <v>265</v>
      </c>
      <c r="O1852" s="5" t="s">
        <v>238</v>
      </c>
      <c r="P1852" s="5" t="s">
        <v>238</v>
      </c>
      <c r="Q1852" s="5" t="s">
        <v>239</v>
      </c>
      <c r="R1852" s="5" t="s">
        <v>238</v>
      </c>
      <c r="S1852" s="5" t="s">
        <v>238</v>
      </c>
      <c r="V1852" s="5" t="s">
        <v>238</v>
      </c>
      <c r="X1852" s="6" t="s">
        <v>238</v>
      </c>
      <c r="AA1852" s="6" t="s">
        <v>2344</v>
      </c>
      <c r="AB1852" s="5" t="s">
        <v>3567</v>
      </c>
      <c r="AC1852" s="5" t="s">
        <v>244</v>
      </c>
      <c r="AD1852" s="5" t="s">
        <v>245</v>
      </c>
      <c r="AT1852" s="5" t="s">
        <v>246</v>
      </c>
      <c r="AU1852" s="5" t="s">
        <v>238</v>
      </c>
      <c r="AV1852" s="5" t="s">
        <v>247</v>
      </c>
      <c r="AW1852" s="5" t="s">
        <v>238</v>
      </c>
      <c r="AX1852" s="5" t="s">
        <v>249</v>
      </c>
      <c r="AY1852" s="5" t="s">
        <v>238</v>
      </c>
      <c r="BA1852" s="5" t="s">
        <v>238</v>
      </c>
      <c r="BC1852" s="5" t="s">
        <v>1433</v>
      </c>
      <c r="BD1852" s="6" t="s">
        <v>2344</v>
      </c>
      <c r="BE1852" s="5" t="s">
        <v>251</v>
      </c>
      <c r="BF1852" s="5" t="s">
        <v>3552</v>
      </c>
      <c r="BG1852" s="5" t="s">
        <v>238</v>
      </c>
      <c r="BH1852" s="7">
        <f>0</f>
        <v>0</v>
      </c>
      <c r="BI1852" s="8">
        <f>0</f>
        <v>0</v>
      </c>
      <c r="BJ1852" s="5" t="s">
        <v>253</v>
      </c>
      <c r="BK1852" s="5" t="s">
        <v>254</v>
      </c>
      <c r="BY1852" s="5" t="s">
        <v>238</v>
      </c>
      <c r="BZ1852" s="5" t="s">
        <v>238</v>
      </c>
      <c r="CD1852" s="5" t="s">
        <v>255</v>
      </c>
      <c r="CE1852" s="5" t="s">
        <v>256</v>
      </c>
      <c r="CF1852" s="5" t="s">
        <v>238</v>
      </c>
      <c r="CI1852" s="6" t="s">
        <v>257</v>
      </c>
      <c r="CJ1852" s="5" t="s">
        <v>238</v>
      </c>
      <c r="CK1852" s="5" t="s">
        <v>258</v>
      </c>
      <c r="CL1852" s="5" t="s">
        <v>238</v>
      </c>
      <c r="CM1852" s="5" t="s">
        <v>238</v>
      </c>
      <c r="CN1852" s="5">
        <v>0</v>
      </c>
      <c r="CO1852" s="5" t="s">
        <v>259</v>
      </c>
      <c r="CP1852" s="5" t="s">
        <v>260</v>
      </c>
      <c r="CQ1852" s="5" t="s">
        <v>260</v>
      </c>
      <c r="CR1852" s="5" t="s">
        <v>261</v>
      </c>
      <c r="CU1852" s="8">
        <f>1165424</f>
        <v>1165424</v>
      </c>
      <c r="CV1852" s="8">
        <f>0</f>
        <v>0</v>
      </c>
      <c r="CX1852" s="8">
        <f>0</f>
        <v>0</v>
      </c>
      <c r="CY1852" s="8">
        <f>1165424</f>
        <v>1165424</v>
      </c>
      <c r="DA1852" s="5" t="s">
        <v>356</v>
      </c>
      <c r="DB1852" s="5" t="s">
        <v>238</v>
      </c>
      <c r="DD1852" s="5" t="s">
        <v>356</v>
      </c>
      <c r="DE1852" s="8">
        <f>0</f>
        <v>0</v>
      </c>
      <c r="DG1852" s="5" t="s">
        <v>238</v>
      </c>
      <c r="DH1852" s="5" t="s">
        <v>238</v>
      </c>
      <c r="DI1852" s="5" t="s">
        <v>238</v>
      </c>
      <c r="DJ1852" s="5" t="s">
        <v>238</v>
      </c>
      <c r="DN1852" s="5" t="s">
        <v>238</v>
      </c>
      <c r="DO1852" s="5" t="s">
        <v>238</v>
      </c>
      <c r="DP1852" s="5" t="s">
        <v>238</v>
      </c>
      <c r="DQ1852" s="5" t="s">
        <v>238</v>
      </c>
      <c r="DT1852" s="5" t="s">
        <v>2039</v>
      </c>
      <c r="DU1852" s="5" t="s">
        <v>3621</v>
      </c>
      <c r="HM1852" s="5" t="s">
        <v>264</v>
      </c>
    </row>
    <row r="1853" spans="1:221" x14ac:dyDescent="0.4">
      <c r="A1853" s="5">
        <v>3551</v>
      </c>
      <c r="B1853" s="5">
        <v>1</v>
      </c>
      <c r="C1853" s="5">
        <v>1</v>
      </c>
      <c r="D1853" s="5" t="s">
        <v>2037</v>
      </c>
      <c r="E1853" s="5" t="s">
        <v>271</v>
      </c>
      <c r="F1853" s="5" t="s">
        <v>248</v>
      </c>
      <c r="G1853" s="5" t="s">
        <v>3634</v>
      </c>
      <c r="H1853" s="6" t="s">
        <v>2261</v>
      </c>
      <c r="I1853" s="7">
        <f>0</f>
        <v>0</v>
      </c>
      <c r="J1853" s="5" t="s">
        <v>262</v>
      </c>
      <c r="K1853" s="8">
        <f>2278800</f>
        <v>2278800</v>
      </c>
      <c r="L1853" s="6" t="s">
        <v>3635</v>
      </c>
      <c r="M1853" s="5" t="s">
        <v>267</v>
      </c>
      <c r="N1853" s="5" t="s">
        <v>265</v>
      </c>
      <c r="O1853" s="5" t="s">
        <v>238</v>
      </c>
      <c r="P1853" s="5" t="s">
        <v>238</v>
      </c>
      <c r="Q1853" s="5" t="s">
        <v>239</v>
      </c>
      <c r="R1853" s="5" t="s">
        <v>238</v>
      </c>
      <c r="S1853" s="5" t="s">
        <v>238</v>
      </c>
      <c r="V1853" s="5" t="s">
        <v>238</v>
      </c>
      <c r="X1853" s="6" t="s">
        <v>238</v>
      </c>
      <c r="AA1853" s="6" t="s">
        <v>2272</v>
      </c>
      <c r="AB1853" s="5" t="s">
        <v>238</v>
      </c>
      <c r="AC1853" s="5" t="s">
        <v>244</v>
      </c>
      <c r="AD1853" s="5" t="s">
        <v>245</v>
      </c>
      <c r="AT1853" s="5" t="s">
        <v>246</v>
      </c>
      <c r="AU1853" s="5" t="s">
        <v>238</v>
      </c>
      <c r="AV1853" s="5" t="s">
        <v>247</v>
      </c>
      <c r="AW1853" s="5" t="s">
        <v>238</v>
      </c>
      <c r="AX1853" s="5" t="s">
        <v>249</v>
      </c>
      <c r="AY1853" s="5" t="s">
        <v>238</v>
      </c>
      <c r="BA1853" s="5" t="s">
        <v>238</v>
      </c>
      <c r="BC1853" s="5" t="s">
        <v>1433</v>
      </c>
      <c r="BD1853" s="6" t="s">
        <v>2272</v>
      </c>
      <c r="BE1853" s="5" t="s">
        <v>251</v>
      </c>
      <c r="BF1853" s="5" t="s">
        <v>3552</v>
      </c>
      <c r="BG1853" s="5" t="s">
        <v>238</v>
      </c>
      <c r="BH1853" s="7">
        <f>0</f>
        <v>0</v>
      </c>
      <c r="BI1853" s="8">
        <f>0</f>
        <v>0</v>
      </c>
      <c r="BJ1853" s="5" t="s">
        <v>253</v>
      </c>
      <c r="BK1853" s="5" t="s">
        <v>254</v>
      </c>
      <c r="BY1853" s="5" t="s">
        <v>238</v>
      </c>
      <c r="BZ1853" s="5" t="s">
        <v>238</v>
      </c>
      <c r="CD1853" s="5" t="s">
        <v>293</v>
      </c>
      <c r="CE1853" s="5" t="s">
        <v>256</v>
      </c>
      <c r="CF1853" s="5" t="s">
        <v>238</v>
      </c>
      <c r="CI1853" s="6" t="s">
        <v>257</v>
      </c>
      <c r="CJ1853" s="5" t="s">
        <v>238</v>
      </c>
      <c r="CK1853" s="5" t="s">
        <v>258</v>
      </c>
      <c r="CL1853" s="5" t="s">
        <v>238</v>
      </c>
      <c r="CM1853" s="5" t="s">
        <v>238</v>
      </c>
      <c r="CN1853" s="5">
        <v>0</v>
      </c>
      <c r="CO1853" s="5" t="s">
        <v>259</v>
      </c>
      <c r="CP1853" s="5" t="s">
        <v>260</v>
      </c>
      <c r="CQ1853" s="5" t="s">
        <v>260</v>
      </c>
      <c r="CR1853" s="5" t="s">
        <v>261</v>
      </c>
      <c r="CU1853" s="8">
        <f>2278800</f>
        <v>2278800</v>
      </c>
      <c r="CV1853" s="8">
        <f>0</f>
        <v>0</v>
      </c>
      <c r="CX1853" s="8">
        <f>0</f>
        <v>0</v>
      </c>
      <c r="CY1853" s="8">
        <f>2278800</f>
        <v>2278800</v>
      </c>
      <c r="DA1853" s="5" t="s">
        <v>356</v>
      </c>
      <c r="DB1853" s="5" t="s">
        <v>238</v>
      </c>
      <c r="DD1853" s="5" t="s">
        <v>356</v>
      </c>
      <c r="DE1853" s="8">
        <f>0</f>
        <v>0</v>
      </c>
      <c r="DG1853" s="5" t="s">
        <v>238</v>
      </c>
      <c r="DH1853" s="5" t="s">
        <v>238</v>
      </c>
      <c r="DI1853" s="5" t="s">
        <v>238</v>
      </c>
      <c r="DJ1853" s="5" t="s">
        <v>238</v>
      </c>
      <c r="DN1853" s="5" t="s">
        <v>238</v>
      </c>
      <c r="DO1853" s="5" t="s">
        <v>238</v>
      </c>
      <c r="DP1853" s="5" t="s">
        <v>238</v>
      </c>
      <c r="DQ1853" s="5" t="s">
        <v>238</v>
      </c>
      <c r="DT1853" s="5" t="s">
        <v>2039</v>
      </c>
      <c r="DU1853" s="5" t="s">
        <v>3636</v>
      </c>
      <c r="HM1853" s="5" t="s">
        <v>264</v>
      </c>
    </row>
    <row r="1854" spans="1:221" x14ac:dyDescent="0.4">
      <c r="A1854" s="5">
        <v>3552</v>
      </c>
      <c r="B1854" s="5">
        <v>1</v>
      </c>
      <c r="C1854" s="5">
        <v>1</v>
      </c>
      <c r="D1854" s="5" t="s">
        <v>2037</v>
      </c>
      <c r="E1854" s="5" t="s">
        <v>271</v>
      </c>
      <c r="F1854" s="5" t="s">
        <v>248</v>
      </c>
      <c r="G1854" s="5" t="s">
        <v>3573</v>
      </c>
      <c r="H1854" s="6" t="s">
        <v>2321</v>
      </c>
      <c r="I1854" s="7">
        <f>0</f>
        <v>0</v>
      </c>
      <c r="J1854" s="5" t="s">
        <v>262</v>
      </c>
      <c r="K1854" s="8">
        <f>5923800</f>
        <v>5923800</v>
      </c>
      <c r="L1854" s="6" t="s">
        <v>3574</v>
      </c>
      <c r="M1854" s="5" t="s">
        <v>267</v>
      </c>
      <c r="N1854" s="5" t="s">
        <v>265</v>
      </c>
      <c r="O1854" s="5" t="s">
        <v>238</v>
      </c>
      <c r="P1854" s="5" t="s">
        <v>238</v>
      </c>
      <c r="Q1854" s="5" t="s">
        <v>239</v>
      </c>
      <c r="R1854" s="5" t="s">
        <v>238</v>
      </c>
      <c r="S1854" s="5" t="s">
        <v>238</v>
      </c>
      <c r="V1854" s="5" t="s">
        <v>238</v>
      </c>
      <c r="X1854" s="6" t="s">
        <v>238</v>
      </c>
      <c r="AA1854" s="6" t="s">
        <v>2296</v>
      </c>
      <c r="AB1854" s="5" t="s">
        <v>238</v>
      </c>
      <c r="AC1854" s="5" t="s">
        <v>244</v>
      </c>
      <c r="AD1854" s="5" t="s">
        <v>245</v>
      </c>
      <c r="AT1854" s="5" t="s">
        <v>246</v>
      </c>
      <c r="AU1854" s="5" t="s">
        <v>238</v>
      </c>
      <c r="AV1854" s="5" t="s">
        <v>247</v>
      </c>
      <c r="AW1854" s="5" t="s">
        <v>238</v>
      </c>
      <c r="AX1854" s="5" t="s">
        <v>249</v>
      </c>
      <c r="AY1854" s="5" t="s">
        <v>238</v>
      </c>
      <c r="BA1854" s="5" t="s">
        <v>238</v>
      </c>
      <c r="BC1854" s="5" t="s">
        <v>1433</v>
      </c>
      <c r="BD1854" s="6" t="s">
        <v>2296</v>
      </c>
      <c r="BE1854" s="5" t="s">
        <v>251</v>
      </c>
      <c r="BF1854" s="5" t="s">
        <v>3552</v>
      </c>
      <c r="BG1854" s="5" t="s">
        <v>238</v>
      </c>
      <c r="BH1854" s="7">
        <f>0</f>
        <v>0</v>
      </c>
      <c r="BI1854" s="8">
        <f>0</f>
        <v>0</v>
      </c>
      <c r="BJ1854" s="5" t="s">
        <v>253</v>
      </c>
      <c r="BK1854" s="5" t="s">
        <v>254</v>
      </c>
      <c r="BY1854" s="5" t="s">
        <v>238</v>
      </c>
      <c r="BZ1854" s="5" t="s">
        <v>238</v>
      </c>
      <c r="CD1854" s="5" t="s">
        <v>293</v>
      </c>
      <c r="CE1854" s="5" t="s">
        <v>256</v>
      </c>
      <c r="CF1854" s="5" t="s">
        <v>238</v>
      </c>
      <c r="CI1854" s="6" t="s">
        <v>257</v>
      </c>
      <c r="CJ1854" s="5" t="s">
        <v>238</v>
      </c>
      <c r="CK1854" s="5" t="s">
        <v>258</v>
      </c>
      <c r="CL1854" s="5" t="s">
        <v>238</v>
      </c>
      <c r="CM1854" s="5" t="s">
        <v>238</v>
      </c>
      <c r="CN1854" s="5">
        <v>0</v>
      </c>
      <c r="CO1854" s="5" t="s">
        <v>259</v>
      </c>
      <c r="CP1854" s="5" t="s">
        <v>260</v>
      </c>
      <c r="CQ1854" s="5" t="s">
        <v>260</v>
      </c>
      <c r="CR1854" s="5" t="s">
        <v>261</v>
      </c>
      <c r="CU1854" s="8">
        <f>5923800</f>
        <v>5923800</v>
      </c>
      <c r="CV1854" s="8">
        <f>0</f>
        <v>0</v>
      </c>
      <c r="CX1854" s="8">
        <f>0</f>
        <v>0</v>
      </c>
      <c r="CY1854" s="8">
        <f>5923800</f>
        <v>5923800</v>
      </c>
      <c r="DA1854" s="5" t="s">
        <v>356</v>
      </c>
      <c r="DB1854" s="5" t="s">
        <v>238</v>
      </c>
      <c r="DD1854" s="5" t="s">
        <v>356</v>
      </c>
      <c r="DE1854" s="8">
        <f>0</f>
        <v>0</v>
      </c>
      <c r="DG1854" s="5" t="s">
        <v>238</v>
      </c>
      <c r="DH1854" s="5" t="s">
        <v>238</v>
      </c>
      <c r="DI1854" s="5" t="s">
        <v>238</v>
      </c>
      <c r="DJ1854" s="5" t="s">
        <v>238</v>
      </c>
      <c r="DN1854" s="5" t="s">
        <v>238</v>
      </c>
      <c r="DO1854" s="5" t="s">
        <v>238</v>
      </c>
      <c r="DP1854" s="5" t="s">
        <v>238</v>
      </c>
      <c r="DQ1854" s="5" t="s">
        <v>238</v>
      </c>
      <c r="DT1854" s="5" t="s">
        <v>2039</v>
      </c>
      <c r="DU1854" s="5" t="s">
        <v>3575</v>
      </c>
      <c r="HM1854" s="5" t="s">
        <v>264</v>
      </c>
    </row>
    <row r="1855" spans="1:221" x14ac:dyDescent="0.4">
      <c r="A1855" s="5">
        <v>3553</v>
      </c>
      <c r="B1855" s="5">
        <v>1</v>
      </c>
      <c r="C1855" s="5">
        <v>1</v>
      </c>
      <c r="D1855" s="5" t="s">
        <v>2037</v>
      </c>
      <c r="E1855" s="5" t="s">
        <v>271</v>
      </c>
      <c r="F1855" s="5" t="s">
        <v>248</v>
      </c>
      <c r="G1855" s="5" t="s">
        <v>2364</v>
      </c>
      <c r="H1855" s="6" t="s">
        <v>2366</v>
      </c>
      <c r="I1855" s="7">
        <f>58</f>
        <v>58</v>
      </c>
      <c r="J1855" s="5" t="s">
        <v>262</v>
      </c>
      <c r="K1855" s="8">
        <f>128470</f>
        <v>128470</v>
      </c>
      <c r="L1855" s="6" t="s">
        <v>1434</v>
      </c>
      <c r="M1855" s="5" t="s">
        <v>267</v>
      </c>
      <c r="N1855" s="5" t="s">
        <v>265</v>
      </c>
      <c r="O1855" s="5" t="s">
        <v>238</v>
      </c>
      <c r="P1855" s="5" t="s">
        <v>238</v>
      </c>
      <c r="Q1855" s="5" t="s">
        <v>268</v>
      </c>
      <c r="R1855" s="5" t="s">
        <v>238</v>
      </c>
      <c r="S1855" s="5" t="s">
        <v>238</v>
      </c>
      <c r="V1855" s="5" t="s">
        <v>238</v>
      </c>
      <c r="X1855" s="6" t="s">
        <v>238</v>
      </c>
      <c r="AA1855" s="6" t="s">
        <v>2365</v>
      </c>
      <c r="AB1855" s="5" t="s">
        <v>238</v>
      </c>
      <c r="AC1855" s="5" t="s">
        <v>244</v>
      </c>
      <c r="AD1855" s="5" t="s">
        <v>245</v>
      </c>
      <c r="AT1855" s="5" t="s">
        <v>246</v>
      </c>
      <c r="AU1855" s="5" t="s">
        <v>238</v>
      </c>
      <c r="AV1855" s="5" t="s">
        <v>247</v>
      </c>
      <c r="AW1855" s="5" t="s">
        <v>238</v>
      </c>
      <c r="AX1855" s="5" t="s">
        <v>249</v>
      </c>
      <c r="AY1855" s="5" t="s">
        <v>238</v>
      </c>
      <c r="BA1855" s="5" t="s">
        <v>238</v>
      </c>
      <c r="BC1855" s="5" t="s">
        <v>1433</v>
      </c>
      <c r="BD1855" s="6" t="s">
        <v>2365</v>
      </c>
      <c r="BE1855" s="5" t="s">
        <v>251</v>
      </c>
      <c r="BF1855" s="5" t="s">
        <v>2036</v>
      </c>
      <c r="BG1855" s="5" t="s">
        <v>238</v>
      </c>
      <c r="BH1855" s="7">
        <f>0</f>
        <v>0</v>
      </c>
      <c r="BI1855" s="8">
        <f>0</f>
        <v>0</v>
      </c>
      <c r="BJ1855" s="5" t="s">
        <v>253</v>
      </c>
      <c r="BK1855" s="5" t="s">
        <v>254</v>
      </c>
      <c r="BY1855" s="5" t="s">
        <v>238</v>
      </c>
      <c r="BZ1855" s="5" t="s">
        <v>238</v>
      </c>
      <c r="CD1855" s="5" t="s">
        <v>255</v>
      </c>
      <c r="CE1855" s="5" t="s">
        <v>256</v>
      </c>
      <c r="CF1855" s="5" t="s">
        <v>238</v>
      </c>
      <c r="CI1855" s="6" t="s">
        <v>257</v>
      </c>
      <c r="CJ1855" s="5" t="s">
        <v>238</v>
      </c>
      <c r="CK1855" s="5" t="s">
        <v>258</v>
      </c>
      <c r="CL1855" s="5" t="s">
        <v>238</v>
      </c>
      <c r="CM1855" s="5" t="s">
        <v>238</v>
      </c>
      <c r="CN1855" s="5">
        <v>0</v>
      </c>
      <c r="CO1855" s="5" t="s">
        <v>259</v>
      </c>
      <c r="CP1855" s="5" t="s">
        <v>260</v>
      </c>
      <c r="CQ1855" s="5" t="s">
        <v>260</v>
      </c>
      <c r="CR1855" s="5" t="s">
        <v>261</v>
      </c>
      <c r="CU1855" s="8">
        <f>128470</f>
        <v>128470</v>
      </c>
      <c r="CV1855" s="8">
        <f>0</f>
        <v>0</v>
      </c>
      <c r="CX1855" s="8">
        <f>0</f>
        <v>0</v>
      </c>
      <c r="CY1855" s="8">
        <f>128470</f>
        <v>128470</v>
      </c>
      <c r="DA1855" s="5" t="s">
        <v>673</v>
      </c>
      <c r="DB1855" s="5" t="s">
        <v>238</v>
      </c>
      <c r="DD1855" s="5" t="s">
        <v>673</v>
      </c>
      <c r="DE1855" s="8">
        <f>58</f>
        <v>58</v>
      </c>
      <c r="DG1855" s="5" t="s">
        <v>238</v>
      </c>
      <c r="DH1855" s="5" t="s">
        <v>238</v>
      </c>
      <c r="DI1855" s="5" t="s">
        <v>238</v>
      </c>
      <c r="DJ1855" s="5" t="s">
        <v>238</v>
      </c>
      <c r="DN1855" s="5" t="s">
        <v>238</v>
      </c>
      <c r="DO1855" s="5" t="s">
        <v>238</v>
      </c>
      <c r="DP1855" s="5" t="s">
        <v>238</v>
      </c>
      <c r="DQ1855" s="5" t="s">
        <v>238</v>
      </c>
      <c r="DT1855" s="5" t="s">
        <v>2039</v>
      </c>
      <c r="DU1855" s="5" t="s">
        <v>2367</v>
      </c>
      <c r="HM1855" s="5" t="s">
        <v>264</v>
      </c>
    </row>
    <row r="1856" spans="1:221" x14ac:dyDescent="0.4">
      <c r="A1856" s="5">
        <v>3554</v>
      </c>
      <c r="B1856" s="5">
        <v>1</v>
      </c>
      <c r="C1856" s="5">
        <v>1</v>
      </c>
      <c r="D1856" s="5" t="s">
        <v>2037</v>
      </c>
      <c r="E1856" s="5" t="s">
        <v>271</v>
      </c>
      <c r="F1856" s="5" t="s">
        <v>248</v>
      </c>
      <c r="G1856" s="5" t="s">
        <v>3581</v>
      </c>
      <c r="H1856" s="6" t="s">
        <v>3583</v>
      </c>
      <c r="I1856" s="7">
        <f>138.38</f>
        <v>138.38</v>
      </c>
      <c r="J1856" s="5" t="s">
        <v>262</v>
      </c>
      <c r="K1856" s="8">
        <f>5779779</f>
        <v>5779779</v>
      </c>
      <c r="L1856" s="6" t="s">
        <v>1434</v>
      </c>
      <c r="M1856" s="5" t="s">
        <v>267</v>
      </c>
      <c r="N1856" s="5" t="s">
        <v>265</v>
      </c>
      <c r="O1856" s="5" t="s">
        <v>238</v>
      </c>
      <c r="P1856" s="5" t="s">
        <v>238</v>
      </c>
      <c r="Q1856" s="5" t="s">
        <v>239</v>
      </c>
      <c r="R1856" s="5" t="s">
        <v>238</v>
      </c>
      <c r="S1856" s="5" t="s">
        <v>238</v>
      </c>
      <c r="V1856" s="5" t="s">
        <v>238</v>
      </c>
      <c r="X1856" s="6" t="s">
        <v>238</v>
      </c>
      <c r="AA1856" s="6" t="s">
        <v>2365</v>
      </c>
      <c r="AB1856" s="5" t="s">
        <v>3582</v>
      </c>
      <c r="AC1856" s="5" t="s">
        <v>244</v>
      </c>
      <c r="AD1856" s="5" t="s">
        <v>261</v>
      </c>
      <c r="AT1856" s="5" t="s">
        <v>246</v>
      </c>
      <c r="AU1856" s="5" t="s">
        <v>238</v>
      </c>
      <c r="AV1856" s="5" t="s">
        <v>247</v>
      </c>
      <c r="AW1856" s="5" t="s">
        <v>238</v>
      </c>
      <c r="AX1856" s="5" t="s">
        <v>249</v>
      </c>
      <c r="AY1856" s="5" t="s">
        <v>238</v>
      </c>
      <c r="BA1856" s="5" t="s">
        <v>238</v>
      </c>
      <c r="BC1856" s="5" t="s">
        <v>1433</v>
      </c>
      <c r="BD1856" s="6" t="s">
        <v>2365</v>
      </c>
      <c r="BE1856" s="5" t="s">
        <v>251</v>
      </c>
      <c r="BF1856" s="5" t="s">
        <v>3552</v>
      </c>
      <c r="BG1856" s="5" t="s">
        <v>238</v>
      </c>
      <c r="BH1856" s="7">
        <f>0</f>
        <v>0</v>
      </c>
      <c r="BI1856" s="8">
        <f>0</f>
        <v>0</v>
      </c>
      <c r="BJ1856" s="5" t="s">
        <v>253</v>
      </c>
      <c r="BK1856" s="5" t="s">
        <v>254</v>
      </c>
      <c r="BY1856" s="5" t="s">
        <v>238</v>
      </c>
      <c r="BZ1856" s="5" t="s">
        <v>238</v>
      </c>
      <c r="CD1856" s="5" t="s">
        <v>293</v>
      </c>
      <c r="CE1856" s="5" t="s">
        <v>256</v>
      </c>
      <c r="CF1856" s="5" t="s">
        <v>238</v>
      </c>
      <c r="CI1856" s="6" t="s">
        <v>257</v>
      </c>
      <c r="CJ1856" s="5" t="s">
        <v>238</v>
      </c>
      <c r="CK1856" s="5" t="s">
        <v>258</v>
      </c>
      <c r="CL1856" s="5" t="s">
        <v>238</v>
      </c>
      <c r="CM1856" s="5" t="s">
        <v>238</v>
      </c>
      <c r="CN1856" s="5">
        <v>0</v>
      </c>
      <c r="CO1856" s="5" t="s">
        <v>259</v>
      </c>
      <c r="CP1856" s="5" t="s">
        <v>260</v>
      </c>
      <c r="CQ1856" s="5" t="s">
        <v>260</v>
      </c>
      <c r="CR1856" s="5" t="s">
        <v>261</v>
      </c>
      <c r="CU1856" s="8">
        <f>5779779</f>
        <v>5779779</v>
      </c>
      <c r="CV1856" s="8">
        <f>0</f>
        <v>0</v>
      </c>
      <c r="CX1856" s="8">
        <f>0</f>
        <v>0</v>
      </c>
      <c r="CY1856" s="8">
        <f>5779779</f>
        <v>5779779</v>
      </c>
      <c r="DA1856" s="5" t="s">
        <v>356</v>
      </c>
      <c r="DB1856" s="5" t="s">
        <v>238</v>
      </c>
      <c r="DD1856" s="5" t="s">
        <v>356</v>
      </c>
      <c r="DE1856" s="8">
        <f>138.38</f>
        <v>138.38</v>
      </c>
      <c r="DG1856" s="5" t="s">
        <v>238</v>
      </c>
      <c r="DH1856" s="5" t="s">
        <v>238</v>
      </c>
      <c r="DI1856" s="5" t="s">
        <v>238</v>
      </c>
      <c r="DJ1856" s="5" t="s">
        <v>238</v>
      </c>
      <c r="DN1856" s="5" t="s">
        <v>238</v>
      </c>
      <c r="DO1856" s="5" t="s">
        <v>238</v>
      </c>
      <c r="DP1856" s="5" t="s">
        <v>238</v>
      </c>
      <c r="DQ1856" s="5" t="s">
        <v>238</v>
      </c>
      <c r="DT1856" s="5" t="s">
        <v>2039</v>
      </c>
      <c r="DU1856" s="5" t="s">
        <v>3584</v>
      </c>
      <c r="HM1856" s="5" t="s">
        <v>264</v>
      </c>
    </row>
    <row r="1857" spans="1:221" x14ac:dyDescent="0.4">
      <c r="A1857" s="5">
        <v>3555</v>
      </c>
      <c r="B1857" s="5">
        <v>1</v>
      </c>
      <c r="C1857" s="5">
        <v>1</v>
      </c>
      <c r="D1857" s="5" t="s">
        <v>2037</v>
      </c>
      <c r="E1857" s="5" t="s">
        <v>271</v>
      </c>
      <c r="F1857" s="5" t="s">
        <v>248</v>
      </c>
      <c r="G1857" s="5" t="s">
        <v>3587</v>
      </c>
      <c r="H1857" s="6" t="s">
        <v>3590</v>
      </c>
      <c r="I1857" s="7">
        <f>191.55</f>
        <v>191.55</v>
      </c>
      <c r="J1857" s="5" t="s">
        <v>262</v>
      </c>
      <c r="K1857" s="8">
        <f>2391271</f>
        <v>2391271</v>
      </c>
      <c r="L1857" s="6" t="s">
        <v>1434</v>
      </c>
      <c r="M1857" s="5" t="s">
        <v>267</v>
      </c>
      <c r="N1857" s="5" t="s">
        <v>265</v>
      </c>
      <c r="O1857" s="5" t="s">
        <v>238</v>
      </c>
      <c r="P1857" s="5" t="s">
        <v>238</v>
      </c>
      <c r="Q1857" s="5" t="s">
        <v>239</v>
      </c>
      <c r="R1857" s="5" t="s">
        <v>238</v>
      </c>
      <c r="S1857" s="5" t="s">
        <v>238</v>
      </c>
      <c r="V1857" s="5" t="s">
        <v>238</v>
      </c>
      <c r="X1857" s="6" t="s">
        <v>238</v>
      </c>
      <c r="AA1857" s="6" t="s">
        <v>3588</v>
      </c>
      <c r="AB1857" s="5" t="s">
        <v>3589</v>
      </c>
      <c r="AC1857" s="5" t="s">
        <v>244</v>
      </c>
      <c r="AD1857" s="5" t="s">
        <v>261</v>
      </c>
      <c r="AT1857" s="5" t="s">
        <v>246</v>
      </c>
      <c r="AU1857" s="5" t="s">
        <v>238</v>
      </c>
      <c r="AV1857" s="5" t="s">
        <v>247</v>
      </c>
      <c r="AW1857" s="5" t="s">
        <v>238</v>
      </c>
      <c r="AX1857" s="5" t="s">
        <v>249</v>
      </c>
      <c r="AY1857" s="5" t="s">
        <v>238</v>
      </c>
      <c r="BA1857" s="5" t="s">
        <v>238</v>
      </c>
      <c r="BC1857" s="5" t="s">
        <v>1433</v>
      </c>
      <c r="BD1857" s="6" t="s">
        <v>3588</v>
      </c>
      <c r="BE1857" s="5" t="s">
        <v>251</v>
      </c>
      <c r="BF1857" s="5" t="s">
        <v>3552</v>
      </c>
      <c r="BG1857" s="5" t="s">
        <v>238</v>
      </c>
      <c r="BH1857" s="7">
        <f>0</f>
        <v>0</v>
      </c>
      <c r="BI1857" s="8">
        <f>0</f>
        <v>0</v>
      </c>
      <c r="BJ1857" s="5" t="s">
        <v>253</v>
      </c>
      <c r="BK1857" s="5" t="s">
        <v>254</v>
      </c>
      <c r="BY1857" s="5" t="s">
        <v>238</v>
      </c>
      <c r="BZ1857" s="5" t="s">
        <v>238</v>
      </c>
      <c r="CD1857" s="5" t="s">
        <v>293</v>
      </c>
      <c r="CE1857" s="5" t="s">
        <v>256</v>
      </c>
      <c r="CF1857" s="5" t="s">
        <v>238</v>
      </c>
      <c r="CI1857" s="6" t="s">
        <v>257</v>
      </c>
      <c r="CJ1857" s="5" t="s">
        <v>238</v>
      </c>
      <c r="CK1857" s="5" t="s">
        <v>258</v>
      </c>
      <c r="CL1857" s="5" t="s">
        <v>238</v>
      </c>
      <c r="CM1857" s="5" t="s">
        <v>238</v>
      </c>
      <c r="CN1857" s="5">
        <v>0</v>
      </c>
      <c r="CO1857" s="5" t="s">
        <v>259</v>
      </c>
      <c r="CP1857" s="5" t="s">
        <v>260</v>
      </c>
      <c r="CQ1857" s="5" t="s">
        <v>260</v>
      </c>
      <c r="CR1857" s="5" t="s">
        <v>261</v>
      </c>
      <c r="CU1857" s="8">
        <f>2391271</f>
        <v>2391271</v>
      </c>
      <c r="CV1857" s="8">
        <f>0</f>
        <v>0</v>
      </c>
      <c r="CX1857" s="8">
        <f>0</f>
        <v>0</v>
      </c>
      <c r="CY1857" s="8">
        <f>2391271</f>
        <v>2391271</v>
      </c>
      <c r="DA1857" s="5" t="s">
        <v>356</v>
      </c>
      <c r="DB1857" s="5" t="s">
        <v>238</v>
      </c>
      <c r="DD1857" s="5" t="s">
        <v>356</v>
      </c>
      <c r="DE1857" s="8">
        <f>191.55</f>
        <v>191.55</v>
      </c>
      <c r="DG1857" s="5" t="s">
        <v>238</v>
      </c>
      <c r="DH1857" s="5" t="s">
        <v>238</v>
      </c>
      <c r="DI1857" s="5" t="s">
        <v>238</v>
      </c>
      <c r="DJ1857" s="5" t="s">
        <v>238</v>
      </c>
      <c r="DN1857" s="5" t="s">
        <v>238</v>
      </c>
      <c r="DO1857" s="5" t="s">
        <v>238</v>
      </c>
      <c r="DP1857" s="5" t="s">
        <v>238</v>
      </c>
      <c r="DQ1857" s="5" t="s">
        <v>238</v>
      </c>
      <c r="DT1857" s="5" t="s">
        <v>2039</v>
      </c>
      <c r="DU1857" s="5" t="s">
        <v>3591</v>
      </c>
      <c r="HM1857" s="5" t="s">
        <v>264</v>
      </c>
    </row>
    <row r="1858" spans="1:221" x14ac:dyDescent="0.4">
      <c r="A1858" s="5">
        <v>3556</v>
      </c>
      <c r="B1858" s="5">
        <v>1</v>
      </c>
      <c r="C1858" s="5">
        <v>1</v>
      </c>
      <c r="D1858" s="5" t="s">
        <v>2037</v>
      </c>
      <c r="E1858" s="5" t="s">
        <v>271</v>
      </c>
      <c r="F1858" s="5" t="s">
        <v>248</v>
      </c>
      <c r="G1858" s="5" t="s">
        <v>3643</v>
      </c>
      <c r="H1858" s="6" t="s">
        <v>2352</v>
      </c>
      <c r="I1858" s="7">
        <f>790.11</f>
        <v>790.11</v>
      </c>
      <c r="J1858" s="5" t="s">
        <v>262</v>
      </c>
      <c r="K1858" s="8">
        <f>6472800</f>
        <v>6472800</v>
      </c>
      <c r="L1858" s="6" t="s">
        <v>1434</v>
      </c>
      <c r="M1858" s="5" t="s">
        <v>267</v>
      </c>
      <c r="N1858" s="5" t="s">
        <v>265</v>
      </c>
      <c r="O1858" s="5" t="s">
        <v>238</v>
      </c>
      <c r="P1858" s="5" t="s">
        <v>238</v>
      </c>
      <c r="Q1858" s="5" t="s">
        <v>239</v>
      </c>
      <c r="R1858" s="5" t="s">
        <v>238</v>
      </c>
      <c r="S1858" s="5" t="s">
        <v>238</v>
      </c>
      <c r="V1858" s="5" t="s">
        <v>238</v>
      </c>
      <c r="X1858" s="6" t="s">
        <v>238</v>
      </c>
      <c r="AA1858" s="6" t="s">
        <v>2344</v>
      </c>
      <c r="AB1858" s="5" t="s">
        <v>3644</v>
      </c>
      <c r="AC1858" s="5" t="s">
        <v>244</v>
      </c>
      <c r="AD1858" s="5" t="s">
        <v>261</v>
      </c>
      <c r="AT1858" s="5" t="s">
        <v>246</v>
      </c>
      <c r="AU1858" s="5" t="s">
        <v>238</v>
      </c>
      <c r="AV1858" s="5" t="s">
        <v>247</v>
      </c>
      <c r="AW1858" s="5" t="s">
        <v>238</v>
      </c>
      <c r="AX1858" s="5" t="s">
        <v>249</v>
      </c>
      <c r="AY1858" s="5" t="s">
        <v>238</v>
      </c>
      <c r="BA1858" s="5" t="s">
        <v>238</v>
      </c>
      <c r="BC1858" s="5" t="s">
        <v>1433</v>
      </c>
      <c r="BD1858" s="6" t="s">
        <v>2344</v>
      </c>
      <c r="BE1858" s="5" t="s">
        <v>251</v>
      </c>
      <c r="BF1858" s="5" t="s">
        <v>3552</v>
      </c>
      <c r="BG1858" s="5" t="s">
        <v>238</v>
      </c>
      <c r="BH1858" s="7">
        <f>0</f>
        <v>0</v>
      </c>
      <c r="BI1858" s="8">
        <f>0</f>
        <v>0</v>
      </c>
      <c r="BJ1858" s="5" t="s">
        <v>253</v>
      </c>
      <c r="BK1858" s="5" t="s">
        <v>254</v>
      </c>
      <c r="BY1858" s="5" t="s">
        <v>238</v>
      </c>
      <c r="BZ1858" s="5" t="s">
        <v>238</v>
      </c>
      <c r="CD1858" s="5" t="s">
        <v>293</v>
      </c>
      <c r="CE1858" s="5" t="s">
        <v>256</v>
      </c>
      <c r="CF1858" s="5" t="s">
        <v>238</v>
      </c>
      <c r="CI1858" s="6" t="s">
        <v>257</v>
      </c>
      <c r="CJ1858" s="5" t="s">
        <v>238</v>
      </c>
      <c r="CK1858" s="5" t="s">
        <v>258</v>
      </c>
      <c r="CL1858" s="5" t="s">
        <v>238</v>
      </c>
      <c r="CM1858" s="5" t="s">
        <v>238</v>
      </c>
      <c r="CN1858" s="5">
        <v>0</v>
      </c>
      <c r="CO1858" s="5" t="s">
        <v>259</v>
      </c>
      <c r="CP1858" s="5" t="s">
        <v>260</v>
      </c>
      <c r="CQ1858" s="5" t="s">
        <v>260</v>
      </c>
      <c r="CR1858" s="5" t="s">
        <v>261</v>
      </c>
      <c r="CU1858" s="8">
        <f>6472800</f>
        <v>6472800</v>
      </c>
      <c r="CV1858" s="8">
        <f>0</f>
        <v>0</v>
      </c>
      <c r="CX1858" s="8">
        <f>0</f>
        <v>0</v>
      </c>
      <c r="CY1858" s="8">
        <f>6472800</f>
        <v>6472800</v>
      </c>
      <c r="DA1858" s="5" t="s">
        <v>356</v>
      </c>
      <c r="DB1858" s="5" t="s">
        <v>238</v>
      </c>
      <c r="DD1858" s="5" t="s">
        <v>356</v>
      </c>
      <c r="DE1858" s="8">
        <f>790.11</f>
        <v>790.11</v>
      </c>
      <c r="DG1858" s="5" t="s">
        <v>238</v>
      </c>
      <c r="DH1858" s="5" t="s">
        <v>238</v>
      </c>
      <c r="DI1858" s="5" t="s">
        <v>238</v>
      </c>
      <c r="DJ1858" s="5" t="s">
        <v>238</v>
      </c>
      <c r="DN1858" s="5" t="s">
        <v>238</v>
      </c>
      <c r="DO1858" s="5" t="s">
        <v>238</v>
      </c>
      <c r="DP1858" s="5" t="s">
        <v>238</v>
      </c>
      <c r="DQ1858" s="5" t="s">
        <v>238</v>
      </c>
      <c r="DT1858" s="5" t="s">
        <v>2039</v>
      </c>
      <c r="DU1858" s="5" t="s">
        <v>3645</v>
      </c>
      <c r="HM1858" s="5" t="s">
        <v>264</v>
      </c>
    </row>
    <row r="1859" spans="1:221" x14ac:dyDescent="0.4">
      <c r="A1859" s="5">
        <v>3557</v>
      </c>
      <c r="B1859" s="5">
        <v>1</v>
      </c>
      <c r="C1859" s="5">
        <v>1</v>
      </c>
      <c r="D1859" s="5" t="s">
        <v>2037</v>
      </c>
      <c r="E1859" s="5" t="s">
        <v>271</v>
      </c>
      <c r="F1859" s="5" t="s">
        <v>248</v>
      </c>
      <c r="G1859" s="5" t="s">
        <v>3603</v>
      </c>
      <c r="H1859" s="6" t="s">
        <v>2082</v>
      </c>
      <c r="I1859" s="7">
        <f>0</f>
        <v>0</v>
      </c>
      <c r="J1859" s="5" t="s">
        <v>262</v>
      </c>
      <c r="K1859" s="8">
        <f>31391230</f>
        <v>31391230</v>
      </c>
      <c r="L1859" s="6" t="s">
        <v>1434</v>
      </c>
      <c r="M1859" s="5" t="s">
        <v>267</v>
      </c>
      <c r="N1859" s="5" t="s">
        <v>265</v>
      </c>
      <c r="O1859" s="5" t="s">
        <v>238</v>
      </c>
      <c r="P1859" s="5" t="s">
        <v>238</v>
      </c>
      <c r="Q1859" s="5" t="s">
        <v>239</v>
      </c>
      <c r="R1859" s="5" t="s">
        <v>238</v>
      </c>
      <c r="S1859" s="5" t="s">
        <v>238</v>
      </c>
      <c r="V1859" s="5" t="s">
        <v>238</v>
      </c>
      <c r="X1859" s="6" t="s">
        <v>238</v>
      </c>
      <c r="AA1859" s="6" t="s">
        <v>3604</v>
      </c>
      <c r="AB1859" s="5" t="s">
        <v>3605</v>
      </c>
      <c r="AC1859" s="5" t="s">
        <v>244</v>
      </c>
      <c r="AD1859" s="5" t="s">
        <v>245</v>
      </c>
      <c r="AT1859" s="5" t="s">
        <v>246</v>
      </c>
      <c r="AU1859" s="5" t="s">
        <v>238</v>
      </c>
      <c r="AV1859" s="5" t="s">
        <v>247</v>
      </c>
      <c r="AW1859" s="5" t="s">
        <v>238</v>
      </c>
      <c r="AX1859" s="5" t="s">
        <v>249</v>
      </c>
      <c r="AY1859" s="5" t="s">
        <v>238</v>
      </c>
      <c r="BA1859" s="5" t="s">
        <v>238</v>
      </c>
      <c r="BC1859" s="5" t="s">
        <v>1433</v>
      </c>
      <c r="BD1859" s="6" t="s">
        <v>3604</v>
      </c>
      <c r="BE1859" s="5" t="s">
        <v>251</v>
      </c>
      <c r="BF1859" s="5" t="s">
        <v>3552</v>
      </c>
      <c r="BG1859" s="5" t="s">
        <v>238</v>
      </c>
      <c r="BH1859" s="7">
        <f>0</f>
        <v>0</v>
      </c>
      <c r="BI1859" s="8">
        <f>0</f>
        <v>0</v>
      </c>
      <c r="BJ1859" s="5" t="s">
        <v>253</v>
      </c>
      <c r="BK1859" s="5" t="s">
        <v>254</v>
      </c>
      <c r="BY1859" s="5" t="s">
        <v>238</v>
      </c>
      <c r="BZ1859" s="5" t="s">
        <v>238</v>
      </c>
      <c r="CD1859" s="5" t="s">
        <v>293</v>
      </c>
      <c r="CE1859" s="5" t="s">
        <v>256</v>
      </c>
      <c r="CF1859" s="5" t="s">
        <v>238</v>
      </c>
      <c r="CI1859" s="6" t="s">
        <v>257</v>
      </c>
      <c r="CJ1859" s="5" t="s">
        <v>238</v>
      </c>
      <c r="CK1859" s="5" t="s">
        <v>258</v>
      </c>
      <c r="CL1859" s="5" t="s">
        <v>238</v>
      </c>
      <c r="CM1859" s="5" t="s">
        <v>238</v>
      </c>
      <c r="CN1859" s="5">
        <v>0</v>
      </c>
      <c r="CO1859" s="5" t="s">
        <v>259</v>
      </c>
      <c r="CP1859" s="5" t="s">
        <v>260</v>
      </c>
      <c r="CQ1859" s="5" t="s">
        <v>260</v>
      </c>
      <c r="CR1859" s="5" t="s">
        <v>261</v>
      </c>
      <c r="CU1859" s="8">
        <f>31391230</f>
        <v>31391230</v>
      </c>
      <c r="CV1859" s="8">
        <f>0</f>
        <v>0</v>
      </c>
      <c r="CX1859" s="8">
        <f>0</f>
        <v>0</v>
      </c>
      <c r="CY1859" s="8">
        <f>31391230</f>
        <v>31391230</v>
      </c>
      <c r="DA1859" s="5" t="s">
        <v>356</v>
      </c>
      <c r="DB1859" s="5" t="s">
        <v>238</v>
      </c>
      <c r="DD1859" s="5" t="s">
        <v>356</v>
      </c>
      <c r="DE1859" s="8">
        <f>0</f>
        <v>0</v>
      </c>
      <c r="DG1859" s="5" t="s">
        <v>238</v>
      </c>
      <c r="DH1859" s="5" t="s">
        <v>238</v>
      </c>
      <c r="DI1859" s="5" t="s">
        <v>238</v>
      </c>
      <c r="DJ1859" s="5" t="s">
        <v>238</v>
      </c>
      <c r="DN1859" s="5" t="s">
        <v>238</v>
      </c>
      <c r="DO1859" s="5" t="s">
        <v>238</v>
      </c>
      <c r="DP1859" s="5" t="s">
        <v>238</v>
      </c>
      <c r="DQ1859" s="5" t="s">
        <v>238</v>
      </c>
      <c r="DT1859" s="5" t="s">
        <v>2039</v>
      </c>
      <c r="DU1859" s="5" t="s">
        <v>3606</v>
      </c>
      <c r="HM1859" s="5" t="s">
        <v>264</v>
      </c>
    </row>
    <row r="1860" spans="1:221" x14ac:dyDescent="0.4">
      <c r="A1860" s="5">
        <v>3558</v>
      </c>
      <c r="B1860" s="5">
        <v>1</v>
      </c>
      <c r="C1860" s="5">
        <v>1</v>
      </c>
      <c r="D1860" s="5" t="s">
        <v>2037</v>
      </c>
      <c r="E1860" s="5" t="s">
        <v>271</v>
      </c>
      <c r="F1860" s="5" t="s">
        <v>248</v>
      </c>
      <c r="G1860" s="5" t="s">
        <v>3613</v>
      </c>
      <c r="H1860" s="6" t="s">
        <v>3616</v>
      </c>
      <c r="I1860" s="7">
        <f>0.98</f>
        <v>0.98</v>
      </c>
      <c r="J1860" s="5" t="s">
        <v>262</v>
      </c>
      <c r="K1860" s="8">
        <f>162833</f>
        <v>162833</v>
      </c>
      <c r="L1860" s="6" t="s">
        <v>1434</v>
      </c>
      <c r="M1860" s="5" t="s">
        <v>267</v>
      </c>
      <c r="N1860" s="5" t="s">
        <v>265</v>
      </c>
      <c r="O1860" s="5" t="s">
        <v>238</v>
      </c>
      <c r="P1860" s="5" t="s">
        <v>238</v>
      </c>
      <c r="Q1860" s="5" t="s">
        <v>239</v>
      </c>
      <c r="R1860" s="5" t="s">
        <v>238</v>
      </c>
      <c r="S1860" s="5" t="s">
        <v>238</v>
      </c>
      <c r="V1860" s="5" t="s">
        <v>238</v>
      </c>
      <c r="X1860" s="6" t="s">
        <v>238</v>
      </c>
      <c r="AA1860" s="6" t="s">
        <v>3614</v>
      </c>
      <c r="AB1860" s="5" t="s">
        <v>3615</v>
      </c>
      <c r="AC1860" s="5" t="s">
        <v>244</v>
      </c>
      <c r="AD1860" s="5" t="s">
        <v>245</v>
      </c>
      <c r="AT1860" s="5" t="s">
        <v>246</v>
      </c>
      <c r="AU1860" s="5" t="s">
        <v>238</v>
      </c>
      <c r="AV1860" s="5" t="s">
        <v>247</v>
      </c>
      <c r="AW1860" s="5" t="s">
        <v>238</v>
      </c>
      <c r="AX1860" s="5" t="s">
        <v>249</v>
      </c>
      <c r="AY1860" s="5" t="s">
        <v>238</v>
      </c>
      <c r="BA1860" s="5" t="s">
        <v>238</v>
      </c>
      <c r="BC1860" s="5" t="s">
        <v>1433</v>
      </c>
      <c r="BD1860" s="6" t="s">
        <v>3614</v>
      </c>
      <c r="BE1860" s="5" t="s">
        <v>251</v>
      </c>
      <c r="BF1860" s="5" t="s">
        <v>3552</v>
      </c>
      <c r="BG1860" s="5" t="s">
        <v>238</v>
      </c>
      <c r="BH1860" s="7">
        <f>0</f>
        <v>0</v>
      </c>
      <c r="BI1860" s="8">
        <f>0</f>
        <v>0</v>
      </c>
      <c r="BJ1860" s="5" t="s">
        <v>253</v>
      </c>
      <c r="BK1860" s="5" t="s">
        <v>254</v>
      </c>
      <c r="BY1860" s="5" t="s">
        <v>238</v>
      </c>
      <c r="BZ1860" s="5" t="s">
        <v>238</v>
      </c>
      <c r="CD1860" s="5" t="s">
        <v>293</v>
      </c>
      <c r="CE1860" s="5" t="s">
        <v>256</v>
      </c>
      <c r="CF1860" s="5" t="s">
        <v>238</v>
      </c>
      <c r="CI1860" s="6" t="s">
        <v>257</v>
      </c>
      <c r="CJ1860" s="5" t="s">
        <v>238</v>
      </c>
      <c r="CK1860" s="5" t="s">
        <v>258</v>
      </c>
      <c r="CL1860" s="5" t="s">
        <v>238</v>
      </c>
      <c r="CM1860" s="5" t="s">
        <v>238</v>
      </c>
      <c r="CN1860" s="5">
        <v>0</v>
      </c>
      <c r="CO1860" s="5" t="s">
        <v>259</v>
      </c>
      <c r="CP1860" s="5" t="s">
        <v>260</v>
      </c>
      <c r="CQ1860" s="5" t="s">
        <v>260</v>
      </c>
      <c r="CR1860" s="5" t="s">
        <v>261</v>
      </c>
      <c r="CU1860" s="8">
        <f>162833</f>
        <v>162833</v>
      </c>
      <c r="CV1860" s="8">
        <f>0</f>
        <v>0</v>
      </c>
      <c r="CX1860" s="8">
        <f>0</f>
        <v>0</v>
      </c>
      <c r="CY1860" s="8">
        <f>162833</f>
        <v>162833</v>
      </c>
      <c r="DA1860" s="5" t="s">
        <v>356</v>
      </c>
      <c r="DB1860" s="5" t="s">
        <v>238</v>
      </c>
      <c r="DD1860" s="5" t="s">
        <v>356</v>
      </c>
      <c r="DE1860" s="8">
        <f>0.98</f>
        <v>0.98</v>
      </c>
      <c r="DG1860" s="5" t="s">
        <v>238</v>
      </c>
      <c r="DH1860" s="5" t="s">
        <v>238</v>
      </c>
      <c r="DI1860" s="5" t="s">
        <v>238</v>
      </c>
      <c r="DJ1860" s="5" t="s">
        <v>238</v>
      </c>
      <c r="DN1860" s="5" t="s">
        <v>238</v>
      </c>
      <c r="DO1860" s="5" t="s">
        <v>238</v>
      </c>
      <c r="DP1860" s="5" t="s">
        <v>238</v>
      </c>
      <c r="DQ1860" s="5" t="s">
        <v>238</v>
      </c>
      <c r="DT1860" s="5" t="s">
        <v>2039</v>
      </c>
      <c r="DU1860" s="5" t="s">
        <v>3617</v>
      </c>
      <c r="HM1860" s="5" t="s">
        <v>264</v>
      </c>
    </row>
    <row r="1861" spans="1:221" x14ac:dyDescent="0.4">
      <c r="A1861" s="5">
        <v>3559</v>
      </c>
      <c r="B1861" s="5">
        <v>1</v>
      </c>
      <c r="C1861" s="5">
        <v>1</v>
      </c>
      <c r="D1861" s="5" t="s">
        <v>2037</v>
      </c>
      <c r="E1861" s="5" t="s">
        <v>271</v>
      </c>
      <c r="F1861" s="5" t="s">
        <v>248</v>
      </c>
      <c r="G1861" s="5" t="s">
        <v>1969</v>
      </c>
      <c r="H1861" s="6" t="s">
        <v>2370</v>
      </c>
      <c r="I1861" s="7">
        <f>1257.73</f>
        <v>1257.73</v>
      </c>
      <c r="J1861" s="5" t="s">
        <v>262</v>
      </c>
      <c r="K1861" s="8">
        <f>9558748</f>
        <v>9558748</v>
      </c>
      <c r="L1861" s="6" t="s">
        <v>2369</v>
      </c>
      <c r="M1861" s="5" t="s">
        <v>267</v>
      </c>
      <c r="N1861" s="5" t="s">
        <v>265</v>
      </c>
      <c r="O1861" s="5" t="s">
        <v>238</v>
      </c>
      <c r="P1861" s="5" t="s">
        <v>238</v>
      </c>
      <c r="Q1861" s="5" t="s">
        <v>268</v>
      </c>
      <c r="R1861" s="5" t="s">
        <v>238</v>
      </c>
      <c r="S1861" s="5" t="s">
        <v>238</v>
      </c>
      <c r="V1861" s="5" t="s">
        <v>238</v>
      </c>
      <c r="X1861" s="6" t="s">
        <v>238</v>
      </c>
      <c r="AA1861" s="6" t="s">
        <v>2350</v>
      </c>
      <c r="AB1861" s="5" t="s">
        <v>238</v>
      </c>
      <c r="AC1861" s="5" t="s">
        <v>244</v>
      </c>
      <c r="AD1861" s="5" t="s">
        <v>245</v>
      </c>
      <c r="AT1861" s="5" t="s">
        <v>246</v>
      </c>
      <c r="AU1861" s="5" t="s">
        <v>238</v>
      </c>
      <c r="AV1861" s="5" t="s">
        <v>247</v>
      </c>
      <c r="AW1861" s="5" t="s">
        <v>238</v>
      </c>
      <c r="AX1861" s="5" t="s">
        <v>249</v>
      </c>
      <c r="AY1861" s="5" t="s">
        <v>238</v>
      </c>
      <c r="BA1861" s="5" t="s">
        <v>238</v>
      </c>
      <c r="BC1861" s="5" t="s">
        <v>1433</v>
      </c>
      <c r="BD1861" s="6" t="s">
        <v>2369</v>
      </c>
      <c r="BE1861" s="5" t="s">
        <v>251</v>
      </c>
      <c r="BF1861" s="5" t="s">
        <v>2036</v>
      </c>
      <c r="BG1861" s="5" t="s">
        <v>238</v>
      </c>
      <c r="BH1861" s="7">
        <f>0</f>
        <v>0</v>
      </c>
      <c r="BI1861" s="8">
        <f>0</f>
        <v>0</v>
      </c>
      <c r="BJ1861" s="5" t="s">
        <v>253</v>
      </c>
      <c r="BK1861" s="5" t="s">
        <v>254</v>
      </c>
      <c r="BY1861" s="5" t="s">
        <v>238</v>
      </c>
      <c r="BZ1861" s="5" t="s">
        <v>238</v>
      </c>
      <c r="CD1861" s="5" t="s">
        <v>255</v>
      </c>
      <c r="CE1861" s="5" t="s">
        <v>256</v>
      </c>
      <c r="CF1861" s="5" t="s">
        <v>238</v>
      </c>
      <c r="CI1861" s="6" t="s">
        <v>257</v>
      </c>
      <c r="CJ1861" s="5" t="s">
        <v>238</v>
      </c>
      <c r="CK1861" s="5" t="s">
        <v>258</v>
      </c>
      <c r="CL1861" s="5" t="s">
        <v>238</v>
      </c>
      <c r="CM1861" s="5" t="s">
        <v>238</v>
      </c>
      <c r="CN1861" s="5">
        <v>0</v>
      </c>
      <c r="CO1861" s="5" t="s">
        <v>259</v>
      </c>
      <c r="CP1861" s="5" t="s">
        <v>260</v>
      </c>
      <c r="CQ1861" s="5" t="s">
        <v>260</v>
      </c>
      <c r="CR1861" s="5" t="s">
        <v>261</v>
      </c>
      <c r="CU1861" s="8">
        <f>9558748</f>
        <v>9558748</v>
      </c>
      <c r="CV1861" s="8">
        <f>0</f>
        <v>0</v>
      </c>
      <c r="CX1861" s="8">
        <f>0</f>
        <v>0</v>
      </c>
      <c r="CY1861" s="8">
        <f>9558748</f>
        <v>9558748</v>
      </c>
      <c r="DA1861" s="5" t="s">
        <v>673</v>
      </c>
      <c r="DB1861" s="5" t="s">
        <v>238</v>
      </c>
      <c r="DD1861" s="5" t="s">
        <v>263</v>
      </c>
      <c r="DE1861" s="8">
        <f>1257.73</f>
        <v>1257.73</v>
      </c>
      <c r="DG1861" s="5" t="s">
        <v>238</v>
      </c>
      <c r="DH1861" s="5" t="s">
        <v>238</v>
      </c>
      <c r="DI1861" s="5" t="s">
        <v>238</v>
      </c>
      <c r="DJ1861" s="5" t="s">
        <v>238</v>
      </c>
      <c r="DN1861" s="5" t="s">
        <v>238</v>
      </c>
      <c r="DO1861" s="5" t="s">
        <v>238</v>
      </c>
      <c r="DP1861" s="5" t="s">
        <v>238</v>
      </c>
      <c r="DQ1861" s="5" t="s">
        <v>238</v>
      </c>
      <c r="DT1861" s="5" t="s">
        <v>2039</v>
      </c>
      <c r="DU1861" s="5" t="s">
        <v>2371</v>
      </c>
      <c r="HM1861" s="5" t="s">
        <v>264</v>
      </c>
    </row>
    <row r="1862" spans="1:221" x14ac:dyDescent="0.4">
      <c r="A1862" s="5">
        <v>3560</v>
      </c>
      <c r="B1862" s="5">
        <v>1</v>
      </c>
      <c r="C1862" s="5">
        <v>1</v>
      </c>
      <c r="D1862" s="5" t="s">
        <v>2037</v>
      </c>
      <c r="E1862" s="5" t="s">
        <v>271</v>
      </c>
      <c r="F1862" s="5" t="s">
        <v>248</v>
      </c>
      <c r="G1862" s="5" t="s">
        <v>2620</v>
      </c>
      <c r="H1862" s="6" t="s">
        <v>2623</v>
      </c>
      <c r="I1862" s="7">
        <f>42.74</f>
        <v>42.74</v>
      </c>
      <c r="J1862" s="5" t="s">
        <v>262</v>
      </c>
      <c r="K1862" s="8">
        <f>85480</f>
        <v>85480</v>
      </c>
      <c r="L1862" s="6" t="s">
        <v>2621</v>
      </c>
      <c r="M1862" s="5" t="s">
        <v>267</v>
      </c>
      <c r="N1862" s="5" t="s">
        <v>265</v>
      </c>
      <c r="O1862" s="5" t="s">
        <v>238</v>
      </c>
      <c r="P1862" s="5" t="s">
        <v>238</v>
      </c>
      <c r="Q1862" s="5" t="s">
        <v>268</v>
      </c>
      <c r="R1862" s="5" t="s">
        <v>238</v>
      </c>
      <c r="S1862" s="5" t="s">
        <v>238</v>
      </c>
      <c r="V1862" s="5" t="s">
        <v>238</v>
      </c>
      <c r="X1862" s="6" t="s">
        <v>238</v>
      </c>
      <c r="AA1862" s="6" t="s">
        <v>2622</v>
      </c>
      <c r="AB1862" s="5" t="s">
        <v>238</v>
      </c>
      <c r="AC1862" s="5" t="s">
        <v>244</v>
      </c>
      <c r="AD1862" s="5" t="s">
        <v>245</v>
      </c>
      <c r="AT1862" s="5" t="s">
        <v>246</v>
      </c>
      <c r="AU1862" s="5" t="s">
        <v>238</v>
      </c>
      <c r="AV1862" s="5" t="s">
        <v>247</v>
      </c>
      <c r="AW1862" s="5" t="s">
        <v>238</v>
      </c>
      <c r="AX1862" s="5" t="s">
        <v>249</v>
      </c>
      <c r="AY1862" s="5" t="s">
        <v>238</v>
      </c>
      <c r="BA1862" s="5" t="s">
        <v>238</v>
      </c>
      <c r="BC1862" s="5" t="s">
        <v>1433</v>
      </c>
      <c r="BD1862" s="6" t="s">
        <v>2621</v>
      </c>
      <c r="BE1862" s="5" t="s">
        <v>251</v>
      </c>
      <c r="BF1862" s="5" t="s">
        <v>2043</v>
      </c>
      <c r="BG1862" s="5" t="s">
        <v>238</v>
      </c>
      <c r="BH1862" s="7">
        <f>0</f>
        <v>0</v>
      </c>
      <c r="BI1862" s="8">
        <f>0</f>
        <v>0</v>
      </c>
      <c r="BJ1862" s="5" t="s">
        <v>253</v>
      </c>
      <c r="BK1862" s="5" t="s">
        <v>254</v>
      </c>
      <c r="BY1862" s="5" t="s">
        <v>238</v>
      </c>
      <c r="BZ1862" s="5" t="s">
        <v>238</v>
      </c>
      <c r="CD1862" s="5" t="s">
        <v>293</v>
      </c>
      <c r="CE1862" s="5" t="s">
        <v>256</v>
      </c>
      <c r="CF1862" s="5" t="s">
        <v>238</v>
      </c>
      <c r="CI1862" s="6" t="s">
        <v>257</v>
      </c>
      <c r="CJ1862" s="5" t="s">
        <v>238</v>
      </c>
      <c r="CK1862" s="5" t="s">
        <v>258</v>
      </c>
      <c r="CL1862" s="5" t="s">
        <v>238</v>
      </c>
      <c r="CM1862" s="5" t="s">
        <v>238</v>
      </c>
      <c r="CN1862" s="5">
        <v>0</v>
      </c>
      <c r="CO1862" s="5" t="s">
        <v>259</v>
      </c>
      <c r="CP1862" s="5" t="s">
        <v>260</v>
      </c>
      <c r="CQ1862" s="5" t="s">
        <v>260</v>
      </c>
      <c r="CR1862" s="5" t="s">
        <v>261</v>
      </c>
      <c r="CU1862" s="8">
        <f>85480</f>
        <v>85480</v>
      </c>
      <c r="CV1862" s="8">
        <f>0</f>
        <v>0</v>
      </c>
      <c r="CX1862" s="8">
        <f>0</f>
        <v>0</v>
      </c>
      <c r="CY1862" s="8">
        <f>85480</f>
        <v>85480</v>
      </c>
      <c r="DA1862" s="5" t="s">
        <v>673</v>
      </c>
      <c r="DB1862" s="5" t="s">
        <v>238</v>
      </c>
      <c r="DD1862" s="5" t="s">
        <v>356</v>
      </c>
      <c r="DE1862" s="8">
        <f>42.74</f>
        <v>42.74</v>
      </c>
      <c r="DG1862" s="5" t="s">
        <v>238</v>
      </c>
      <c r="DH1862" s="5" t="s">
        <v>238</v>
      </c>
      <c r="DI1862" s="5" t="s">
        <v>238</v>
      </c>
      <c r="DJ1862" s="5" t="s">
        <v>238</v>
      </c>
      <c r="DN1862" s="5" t="s">
        <v>238</v>
      </c>
      <c r="DO1862" s="5" t="s">
        <v>238</v>
      </c>
      <c r="DP1862" s="5" t="s">
        <v>238</v>
      </c>
      <c r="DQ1862" s="5" t="s">
        <v>238</v>
      </c>
      <c r="DT1862" s="5" t="s">
        <v>2039</v>
      </c>
      <c r="DU1862" s="5" t="s">
        <v>2624</v>
      </c>
      <c r="HM1862" s="5" t="s">
        <v>264</v>
      </c>
    </row>
    <row r="1863" spans="1:221" x14ac:dyDescent="0.4">
      <c r="A1863" s="5">
        <v>3561</v>
      </c>
      <c r="B1863" s="5">
        <v>1</v>
      </c>
      <c r="C1863" s="5">
        <v>1</v>
      </c>
      <c r="D1863" s="5" t="s">
        <v>2037</v>
      </c>
      <c r="E1863" s="5" t="s">
        <v>271</v>
      </c>
      <c r="F1863" s="5" t="s">
        <v>248</v>
      </c>
      <c r="G1863" s="5" t="s">
        <v>3628</v>
      </c>
      <c r="H1863" s="6" t="s">
        <v>3472</v>
      </c>
      <c r="I1863" s="7">
        <f>0</f>
        <v>0</v>
      </c>
      <c r="J1863" s="5" t="s">
        <v>262</v>
      </c>
      <c r="K1863" s="8">
        <f>6496200</f>
        <v>6496200</v>
      </c>
      <c r="L1863" s="6" t="s">
        <v>3629</v>
      </c>
      <c r="M1863" s="5" t="s">
        <v>267</v>
      </c>
      <c r="N1863" s="5" t="s">
        <v>265</v>
      </c>
      <c r="O1863" s="5" t="s">
        <v>238</v>
      </c>
      <c r="P1863" s="5" t="s">
        <v>238</v>
      </c>
      <c r="Q1863" s="5" t="s">
        <v>239</v>
      </c>
      <c r="R1863" s="5" t="s">
        <v>238</v>
      </c>
      <c r="S1863" s="5" t="s">
        <v>238</v>
      </c>
      <c r="V1863" s="5" t="s">
        <v>238</v>
      </c>
      <c r="X1863" s="6" t="s">
        <v>238</v>
      </c>
      <c r="AA1863" s="6" t="s">
        <v>3630</v>
      </c>
      <c r="AB1863" s="5" t="s">
        <v>238</v>
      </c>
      <c r="AC1863" s="5" t="s">
        <v>244</v>
      </c>
      <c r="AD1863" s="5" t="s">
        <v>245</v>
      </c>
      <c r="AT1863" s="5" t="s">
        <v>246</v>
      </c>
      <c r="AU1863" s="5" t="s">
        <v>238</v>
      </c>
      <c r="AV1863" s="5" t="s">
        <v>247</v>
      </c>
      <c r="AW1863" s="5" t="s">
        <v>238</v>
      </c>
      <c r="AX1863" s="5" t="s">
        <v>249</v>
      </c>
      <c r="AY1863" s="5" t="s">
        <v>238</v>
      </c>
      <c r="BA1863" s="5" t="s">
        <v>238</v>
      </c>
      <c r="BC1863" s="5" t="s">
        <v>1433</v>
      </c>
      <c r="BD1863" s="6" t="s">
        <v>3629</v>
      </c>
      <c r="BE1863" s="5" t="s">
        <v>251</v>
      </c>
      <c r="BF1863" s="5" t="s">
        <v>3552</v>
      </c>
      <c r="BG1863" s="5" t="s">
        <v>238</v>
      </c>
      <c r="BH1863" s="7">
        <f>0</f>
        <v>0</v>
      </c>
      <c r="BI1863" s="8">
        <f>0</f>
        <v>0</v>
      </c>
      <c r="BJ1863" s="5" t="s">
        <v>253</v>
      </c>
      <c r="BK1863" s="5" t="s">
        <v>254</v>
      </c>
      <c r="BY1863" s="5" t="s">
        <v>238</v>
      </c>
      <c r="BZ1863" s="5" t="s">
        <v>238</v>
      </c>
      <c r="CD1863" s="5" t="s">
        <v>293</v>
      </c>
      <c r="CE1863" s="5" t="s">
        <v>256</v>
      </c>
      <c r="CF1863" s="5" t="s">
        <v>238</v>
      </c>
      <c r="CI1863" s="6" t="s">
        <v>257</v>
      </c>
      <c r="CJ1863" s="5" t="s">
        <v>238</v>
      </c>
      <c r="CK1863" s="5" t="s">
        <v>258</v>
      </c>
      <c r="CL1863" s="5" t="s">
        <v>238</v>
      </c>
      <c r="CM1863" s="5" t="s">
        <v>238</v>
      </c>
      <c r="CN1863" s="5">
        <v>0</v>
      </c>
      <c r="CO1863" s="5" t="s">
        <v>259</v>
      </c>
      <c r="CP1863" s="5" t="s">
        <v>260</v>
      </c>
      <c r="CQ1863" s="5" t="s">
        <v>260</v>
      </c>
      <c r="CR1863" s="5" t="s">
        <v>261</v>
      </c>
      <c r="CU1863" s="8">
        <f>6496200</f>
        <v>6496200</v>
      </c>
      <c r="CV1863" s="8">
        <f>0</f>
        <v>0</v>
      </c>
      <c r="CX1863" s="8">
        <f>0</f>
        <v>0</v>
      </c>
      <c r="CY1863" s="8">
        <f>6496200</f>
        <v>6496200</v>
      </c>
      <c r="DA1863" s="5" t="s">
        <v>356</v>
      </c>
      <c r="DB1863" s="5" t="s">
        <v>238</v>
      </c>
      <c r="DD1863" s="5" t="s">
        <v>356</v>
      </c>
      <c r="DE1863" s="8">
        <f>0</f>
        <v>0</v>
      </c>
      <c r="DG1863" s="5" t="s">
        <v>238</v>
      </c>
      <c r="DH1863" s="5" t="s">
        <v>238</v>
      </c>
      <c r="DI1863" s="5" t="s">
        <v>238</v>
      </c>
      <c r="DJ1863" s="5" t="s">
        <v>238</v>
      </c>
      <c r="DN1863" s="5" t="s">
        <v>238</v>
      </c>
      <c r="DO1863" s="5" t="s">
        <v>238</v>
      </c>
      <c r="DP1863" s="5" t="s">
        <v>238</v>
      </c>
      <c r="DQ1863" s="5" t="s">
        <v>238</v>
      </c>
      <c r="DT1863" s="5" t="s">
        <v>2039</v>
      </c>
      <c r="DU1863" s="5" t="s">
        <v>3631</v>
      </c>
      <c r="HM1863" s="5" t="s">
        <v>264</v>
      </c>
    </row>
    <row r="1864" spans="1:221" x14ac:dyDescent="0.4">
      <c r="A1864" s="5">
        <v>3562</v>
      </c>
      <c r="B1864" s="5">
        <v>1</v>
      </c>
      <c r="C1864" s="5">
        <v>1</v>
      </c>
      <c r="D1864" s="5" t="s">
        <v>2037</v>
      </c>
      <c r="E1864" s="5" t="s">
        <v>271</v>
      </c>
      <c r="F1864" s="5" t="s">
        <v>248</v>
      </c>
      <c r="G1864" s="5" t="s">
        <v>2679</v>
      </c>
      <c r="H1864" s="6" t="s">
        <v>2681</v>
      </c>
      <c r="I1864" s="7">
        <f>836.32</f>
        <v>836.32</v>
      </c>
      <c r="J1864" s="5" t="s">
        <v>262</v>
      </c>
      <c r="K1864" s="8">
        <f>1672640</f>
        <v>1672640</v>
      </c>
      <c r="L1864" s="6" t="s">
        <v>2680</v>
      </c>
      <c r="M1864" s="5" t="s">
        <v>267</v>
      </c>
      <c r="N1864" s="5" t="s">
        <v>265</v>
      </c>
      <c r="O1864" s="5" t="s">
        <v>238</v>
      </c>
      <c r="P1864" s="5" t="s">
        <v>238</v>
      </c>
      <c r="Q1864" s="5" t="s">
        <v>239</v>
      </c>
      <c r="R1864" s="5" t="s">
        <v>238</v>
      </c>
      <c r="S1864" s="5" t="s">
        <v>238</v>
      </c>
      <c r="V1864" s="5" t="s">
        <v>238</v>
      </c>
      <c r="X1864" s="6" t="s">
        <v>238</v>
      </c>
      <c r="AA1864" s="6" t="s">
        <v>2134</v>
      </c>
      <c r="AB1864" s="5" t="s">
        <v>238</v>
      </c>
      <c r="AC1864" s="5" t="s">
        <v>244</v>
      </c>
      <c r="AD1864" s="5" t="s">
        <v>245</v>
      </c>
      <c r="AT1864" s="5" t="s">
        <v>246</v>
      </c>
      <c r="AU1864" s="5" t="s">
        <v>238</v>
      </c>
      <c r="AV1864" s="5" t="s">
        <v>247</v>
      </c>
      <c r="AW1864" s="5" t="s">
        <v>238</v>
      </c>
      <c r="AX1864" s="5" t="s">
        <v>249</v>
      </c>
      <c r="AY1864" s="5" t="s">
        <v>238</v>
      </c>
      <c r="BA1864" s="5" t="s">
        <v>238</v>
      </c>
      <c r="BC1864" s="5" t="s">
        <v>1433</v>
      </c>
      <c r="BD1864" s="6" t="s">
        <v>2680</v>
      </c>
      <c r="BE1864" s="5" t="s">
        <v>251</v>
      </c>
      <c r="BF1864" s="5" t="s">
        <v>2043</v>
      </c>
      <c r="BG1864" s="5" t="s">
        <v>238</v>
      </c>
      <c r="BH1864" s="7">
        <f>0</f>
        <v>0</v>
      </c>
      <c r="BI1864" s="8">
        <f>0</f>
        <v>0</v>
      </c>
      <c r="BJ1864" s="5" t="s">
        <v>253</v>
      </c>
      <c r="BK1864" s="5" t="s">
        <v>254</v>
      </c>
      <c r="BY1864" s="5" t="s">
        <v>238</v>
      </c>
      <c r="BZ1864" s="5" t="s">
        <v>238</v>
      </c>
      <c r="CD1864" s="5" t="s">
        <v>293</v>
      </c>
      <c r="CE1864" s="5" t="s">
        <v>256</v>
      </c>
      <c r="CF1864" s="5" t="s">
        <v>238</v>
      </c>
      <c r="CI1864" s="6" t="s">
        <v>257</v>
      </c>
      <c r="CJ1864" s="5" t="s">
        <v>238</v>
      </c>
      <c r="CK1864" s="5" t="s">
        <v>258</v>
      </c>
      <c r="CL1864" s="5" t="s">
        <v>238</v>
      </c>
      <c r="CM1864" s="5" t="s">
        <v>238</v>
      </c>
      <c r="CN1864" s="5">
        <v>0</v>
      </c>
      <c r="CO1864" s="5" t="s">
        <v>259</v>
      </c>
      <c r="CP1864" s="5" t="s">
        <v>260</v>
      </c>
      <c r="CQ1864" s="5" t="s">
        <v>260</v>
      </c>
      <c r="CR1864" s="5" t="s">
        <v>261</v>
      </c>
      <c r="CU1864" s="8">
        <f>1672640</f>
        <v>1672640</v>
      </c>
      <c r="CV1864" s="8">
        <f>0</f>
        <v>0</v>
      </c>
      <c r="CX1864" s="8">
        <f>0</f>
        <v>0</v>
      </c>
      <c r="CY1864" s="8">
        <f>1672640</f>
        <v>1672640</v>
      </c>
      <c r="DA1864" s="5" t="s">
        <v>356</v>
      </c>
      <c r="DB1864" s="5" t="s">
        <v>238</v>
      </c>
      <c r="DD1864" s="5" t="s">
        <v>356</v>
      </c>
      <c r="DE1864" s="8">
        <f>836.32</f>
        <v>836.32</v>
      </c>
      <c r="DG1864" s="5" t="s">
        <v>238</v>
      </c>
      <c r="DH1864" s="5" t="s">
        <v>238</v>
      </c>
      <c r="DI1864" s="5" t="s">
        <v>238</v>
      </c>
      <c r="DJ1864" s="5" t="s">
        <v>238</v>
      </c>
      <c r="DN1864" s="5" t="s">
        <v>238</v>
      </c>
      <c r="DO1864" s="5" t="s">
        <v>238</v>
      </c>
      <c r="DP1864" s="5" t="s">
        <v>238</v>
      </c>
      <c r="DQ1864" s="5" t="s">
        <v>238</v>
      </c>
      <c r="DT1864" s="5" t="s">
        <v>2039</v>
      </c>
      <c r="DU1864" s="5" t="s">
        <v>2682</v>
      </c>
      <c r="HM1864" s="5" t="s">
        <v>264</v>
      </c>
    </row>
    <row r="1865" spans="1:221" x14ac:dyDescent="0.4">
      <c r="A1865" s="5">
        <v>3563</v>
      </c>
      <c r="B1865" s="5">
        <v>1</v>
      </c>
      <c r="C1865" s="5">
        <v>1</v>
      </c>
      <c r="D1865" s="5" t="s">
        <v>2037</v>
      </c>
      <c r="E1865" s="5" t="s">
        <v>271</v>
      </c>
      <c r="F1865" s="5" t="s">
        <v>248</v>
      </c>
      <c r="G1865" s="5" t="s">
        <v>2741</v>
      </c>
      <c r="H1865" s="6" t="s">
        <v>2743</v>
      </c>
      <c r="I1865" s="7">
        <f>12.67</f>
        <v>12.67</v>
      </c>
      <c r="J1865" s="5" t="s">
        <v>262</v>
      </c>
      <c r="K1865" s="8">
        <f>165977</f>
        <v>165977</v>
      </c>
      <c r="L1865" s="6" t="s">
        <v>2742</v>
      </c>
      <c r="M1865" s="5" t="s">
        <v>267</v>
      </c>
      <c r="N1865" s="5" t="s">
        <v>265</v>
      </c>
      <c r="O1865" s="5" t="s">
        <v>238</v>
      </c>
      <c r="P1865" s="5" t="s">
        <v>238</v>
      </c>
      <c r="Q1865" s="5" t="s">
        <v>239</v>
      </c>
      <c r="R1865" s="5" t="s">
        <v>238</v>
      </c>
      <c r="S1865" s="5" t="s">
        <v>238</v>
      </c>
      <c r="V1865" s="5" t="s">
        <v>238</v>
      </c>
      <c r="X1865" s="6" t="s">
        <v>238</v>
      </c>
      <c r="AA1865" s="6" t="s">
        <v>2199</v>
      </c>
      <c r="AB1865" s="5" t="s">
        <v>238</v>
      </c>
      <c r="AC1865" s="5" t="s">
        <v>244</v>
      </c>
      <c r="AD1865" s="5" t="s">
        <v>245</v>
      </c>
      <c r="AT1865" s="5" t="s">
        <v>246</v>
      </c>
      <c r="AU1865" s="5" t="s">
        <v>238</v>
      </c>
      <c r="AV1865" s="5" t="s">
        <v>247</v>
      </c>
      <c r="AW1865" s="5" t="s">
        <v>238</v>
      </c>
      <c r="AX1865" s="5" t="s">
        <v>249</v>
      </c>
      <c r="AY1865" s="5" t="s">
        <v>238</v>
      </c>
      <c r="BA1865" s="5" t="s">
        <v>238</v>
      </c>
      <c r="BC1865" s="5" t="s">
        <v>1433</v>
      </c>
      <c r="BD1865" s="6" t="s">
        <v>2742</v>
      </c>
      <c r="BE1865" s="5" t="s">
        <v>251</v>
      </c>
      <c r="BF1865" s="5" t="s">
        <v>2043</v>
      </c>
      <c r="BG1865" s="5" t="s">
        <v>238</v>
      </c>
      <c r="BH1865" s="7">
        <f>0</f>
        <v>0</v>
      </c>
      <c r="BI1865" s="8">
        <f>0</f>
        <v>0</v>
      </c>
      <c r="BJ1865" s="5" t="s">
        <v>253</v>
      </c>
      <c r="BK1865" s="5" t="s">
        <v>254</v>
      </c>
      <c r="BY1865" s="5" t="s">
        <v>238</v>
      </c>
      <c r="BZ1865" s="5" t="s">
        <v>238</v>
      </c>
      <c r="CD1865" s="5" t="s">
        <v>293</v>
      </c>
      <c r="CE1865" s="5" t="s">
        <v>256</v>
      </c>
      <c r="CF1865" s="5" t="s">
        <v>238</v>
      </c>
      <c r="CI1865" s="6" t="s">
        <v>257</v>
      </c>
      <c r="CJ1865" s="5" t="s">
        <v>238</v>
      </c>
      <c r="CK1865" s="5" t="s">
        <v>258</v>
      </c>
      <c r="CL1865" s="5" t="s">
        <v>238</v>
      </c>
      <c r="CM1865" s="5" t="s">
        <v>238</v>
      </c>
      <c r="CN1865" s="5">
        <v>0</v>
      </c>
      <c r="CO1865" s="5" t="s">
        <v>259</v>
      </c>
      <c r="CP1865" s="5" t="s">
        <v>260</v>
      </c>
      <c r="CQ1865" s="5" t="s">
        <v>260</v>
      </c>
      <c r="CR1865" s="5" t="s">
        <v>261</v>
      </c>
      <c r="CU1865" s="8">
        <f>165977</f>
        <v>165977</v>
      </c>
      <c r="CV1865" s="8">
        <f>0</f>
        <v>0</v>
      </c>
      <c r="CX1865" s="8">
        <f>0</f>
        <v>0</v>
      </c>
      <c r="CY1865" s="8">
        <f>165977</f>
        <v>165977</v>
      </c>
      <c r="DA1865" s="5" t="s">
        <v>356</v>
      </c>
      <c r="DB1865" s="5" t="s">
        <v>238</v>
      </c>
      <c r="DD1865" s="5" t="s">
        <v>356</v>
      </c>
      <c r="DE1865" s="8">
        <f>12.67</f>
        <v>12.67</v>
      </c>
      <c r="DG1865" s="5" t="s">
        <v>238</v>
      </c>
      <c r="DH1865" s="5" t="s">
        <v>238</v>
      </c>
      <c r="DI1865" s="5" t="s">
        <v>238</v>
      </c>
      <c r="DJ1865" s="5" t="s">
        <v>238</v>
      </c>
      <c r="DN1865" s="5" t="s">
        <v>238</v>
      </c>
      <c r="DO1865" s="5" t="s">
        <v>238</v>
      </c>
      <c r="DP1865" s="5" t="s">
        <v>238</v>
      </c>
      <c r="DQ1865" s="5" t="s">
        <v>238</v>
      </c>
      <c r="DT1865" s="5" t="s">
        <v>2039</v>
      </c>
      <c r="DU1865" s="5" t="s">
        <v>2744</v>
      </c>
      <c r="HM1865" s="5" t="s">
        <v>264</v>
      </c>
    </row>
    <row r="1866" spans="1:221" x14ac:dyDescent="0.4">
      <c r="A1866" s="5">
        <v>3564</v>
      </c>
      <c r="B1866" s="5">
        <v>1</v>
      </c>
      <c r="C1866" s="5">
        <v>1</v>
      </c>
      <c r="D1866" s="5" t="s">
        <v>2037</v>
      </c>
      <c r="E1866" s="5" t="s">
        <v>271</v>
      </c>
      <c r="F1866" s="5" t="s">
        <v>248</v>
      </c>
      <c r="G1866" s="5" t="s">
        <v>3713</v>
      </c>
      <c r="H1866" s="6" t="s">
        <v>2743</v>
      </c>
      <c r="I1866" s="7">
        <f>0</f>
        <v>0</v>
      </c>
      <c r="J1866" s="5" t="s">
        <v>262</v>
      </c>
      <c r="K1866" s="8">
        <f>63679</f>
        <v>63679</v>
      </c>
      <c r="L1866" s="6" t="s">
        <v>3714</v>
      </c>
      <c r="M1866" s="5" t="s">
        <v>267</v>
      </c>
      <c r="N1866" s="5" t="s">
        <v>265</v>
      </c>
      <c r="O1866" s="5" t="s">
        <v>238</v>
      </c>
      <c r="P1866" s="5" t="s">
        <v>238</v>
      </c>
      <c r="Q1866" s="5" t="s">
        <v>239</v>
      </c>
      <c r="R1866" s="5" t="s">
        <v>238</v>
      </c>
      <c r="S1866" s="5" t="s">
        <v>238</v>
      </c>
      <c r="V1866" s="5" t="s">
        <v>238</v>
      </c>
      <c r="X1866" s="6" t="s">
        <v>238</v>
      </c>
      <c r="AA1866" s="6" t="s">
        <v>2134</v>
      </c>
      <c r="AB1866" s="5" t="s">
        <v>238</v>
      </c>
      <c r="AC1866" s="5" t="s">
        <v>244</v>
      </c>
      <c r="AD1866" s="5" t="s">
        <v>245</v>
      </c>
      <c r="AT1866" s="5" t="s">
        <v>246</v>
      </c>
      <c r="AU1866" s="5" t="s">
        <v>238</v>
      </c>
      <c r="AV1866" s="5" t="s">
        <v>247</v>
      </c>
      <c r="AW1866" s="5" t="s">
        <v>238</v>
      </c>
      <c r="AX1866" s="5" t="s">
        <v>249</v>
      </c>
      <c r="AY1866" s="5" t="s">
        <v>238</v>
      </c>
      <c r="BA1866" s="5" t="s">
        <v>238</v>
      </c>
      <c r="BC1866" s="5" t="s">
        <v>1433</v>
      </c>
      <c r="BD1866" s="6" t="s">
        <v>3714</v>
      </c>
      <c r="BE1866" s="5" t="s">
        <v>251</v>
      </c>
      <c r="BF1866" s="5" t="s">
        <v>2043</v>
      </c>
      <c r="BG1866" s="5" t="s">
        <v>238</v>
      </c>
      <c r="BH1866" s="7">
        <f>0</f>
        <v>0</v>
      </c>
      <c r="BI1866" s="8">
        <f>0</f>
        <v>0</v>
      </c>
      <c r="BJ1866" s="5" t="s">
        <v>253</v>
      </c>
      <c r="BK1866" s="5" t="s">
        <v>254</v>
      </c>
      <c r="BY1866" s="5" t="s">
        <v>238</v>
      </c>
      <c r="BZ1866" s="5" t="s">
        <v>238</v>
      </c>
      <c r="CD1866" s="5" t="s">
        <v>293</v>
      </c>
      <c r="CE1866" s="5" t="s">
        <v>256</v>
      </c>
      <c r="CF1866" s="5" t="s">
        <v>238</v>
      </c>
      <c r="CI1866" s="6" t="s">
        <v>257</v>
      </c>
      <c r="CJ1866" s="5" t="s">
        <v>238</v>
      </c>
      <c r="CK1866" s="5" t="s">
        <v>258</v>
      </c>
      <c r="CL1866" s="5" t="s">
        <v>238</v>
      </c>
      <c r="CM1866" s="5" t="s">
        <v>238</v>
      </c>
      <c r="CN1866" s="5">
        <v>0</v>
      </c>
      <c r="CO1866" s="5" t="s">
        <v>259</v>
      </c>
      <c r="CP1866" s="5" t="s">
        <v>260</v>
      </c>
      <c r="CQ1866" s="5" t="s">
        <v>260</v>
      </c>
      <c r="CR1866" s="5" t="s">
        <v>261</v>
      </c>
      <c r="CU1866" s="8">
        <f>63679</f>
        <v>63679</v>
      </c>
      <c r="CV1866" s="8">
        <f>0</f>
        <v>0</v>
      </c>
      <c r="CX1866" s="8">
        <f>0</f>
        <v>0</v>
      </c>
      <c r="CY1866" s="8">
        <f>63679</f>
        <v>63679</v>
      </c>
      <c r="DA1866" s="5" t="s">
        <v>356</v>
      </c>
      <c r="DB1866" s="5" t="s">
        <v>238</v>
      </c>
      <c r="DD1866" s="5" t="s">
        <v>356</v>
      </c>
      <c r="DE1866" s="8">
        <f>0</f>
        <v>0</v>
      </c>
      <c r="DG1866" s="5" t="s">
        <v>238</v>
      </c>
      <c r="DH1866" s="5" t="s">
        <v>238</v>
      </c>
      <c r="DI1866" s="5" t="s">
        <v>238</v>
      </c>
      <c r="DJ1866" s="5" t="s">
        <v>238</v>
      </c>
      <c r="DN1866" s="5" t="s">
        <v>238</v>
      </c>
      <c r="DO1866" s="5" t="s">
        <v>238</v>
      </c>
      <c r="DP1866" s="5" t="s">
        <v>238</v>
      </c>
      <c r="DQ1866" s="5" t="s">
        <v>238</v>
      </c>
      <c r="DT1866" s="5" t="s">
        <v>2039</v>
      </c>
      <c r="DU1866" s="5" t="s">
        <v>3715</v>
      </c>
      <c r="HM1866" s="5" t="s">
        <v>264</v>
      </c>
    </row>
    <row r="1867" spans="1:221" x14ac:dyDescent="0.4">
      <c r="A1867" s="5">
        <v>3565</v>
      </c>
      <c r="B1867" s="5">
        <v>1</v>
      </c>
      <c r="C1867" s="5">
        <v>1</v>
      </c>
      <c r="D1867" s="5" t="s">
        <v>2037</v>
      </c>
      <c r="E1867" s="5" t="s">
        <v>271</v>
      </c>
      <c r="F1867" s="5" t="s">
        <v>248</v>
      </c>
      <c r="G1867" s="5" t="s">
        <v>3529</v>
      </c>
      <c r="H1867" s="6" t="s">
        <v>3531</v>
      </c>
      <c r="I1867" s="7">
        <f>3.17</f>
        <v>3.17</v>
      </c>
      <c r="J1867" s="5" t="s">
        <v>262</v>
      </c>
      <c r="K1867" s="8">
        <f>78000</f>
        <v>78000</v>
      </c>
      <c r="L1867" s="6" t="s">
        <v>3530</v>
      </c>
      <c r="M1867" s="5" t="s">
        <v>267</v>
      </c>
      <c r="N1867" s="5" t="s">
        <v>265</v>
      </c>
      <c r="O1867" s="5" t="s">
        <v>238</v>
      </c>
      <c r="P1867" s="5" t="s">
        <v>238</v>
      </c>
      <c r="Q1867" s="5" t="s">
        <v>239</v>
      </c>
      <c r="R1867" s="5" t="s">
        <v>238</v>
      </c>
      <c r="S1867" s="5" t="s">
        <v>238</v>
      </c>
      <c r="V1867" s="5" t="s">
        <v>238</v>
      </c>
      <c r="X1867" s="6" t="s">
        <v>238</v>
      </c>
      <c r="AA1867" s="6" t="s">
        <v>2272</v>
      </c>
      <c r="AB1867" s="5" t="s">
        <v>238</v>
      </c>
      <c r="AC1867" s="5" t="s">
        <v>244</v>
      </c>
      <c r="AD1867" s="5" t="s">
        <v>245</v>
      </c>
      <c r="AT1867" s="5" t="s">
        <v>246</v>
      </c>
      <c r="AU1867" s="5" t="s">
        <v>238</v>
      </c>
      <c r="AV1867" s="5" t="s">
        <v>247</v>
      </c>
      <c r="AW1867" s="5" t="s">
        <v>238</v>
      </c>
      <c r="AX1867" s="5" t="s">
        <v>249</v>
      </c>
      <c r="AY1867" s="5" t="s">
        <v>238</v>
      </c>
      <c r="BA1867" s="5" t="s">
        <v>238</v>
      </c>
      <c r="BC1867" s="5" t="s">
        <v>1433</v>
      </c>
      <c r="BD1867" s="6" t="s">
        <v>3530</v>
      </c>
      <c r="BE1867" s="5" t="s">
        <v>251</v>
      </c>
      <c r="BF1867" s="5" t="s">
        <v>2043</v>
      </c>
      <c r="BG1867" s="5" t="s">
        <v>238</v>
      </c>
      <c r="BH1867" s="7">
        <f>0</f>
        <v>0</v>
      </c>
      <c r="BI1867" s="8">
        <f>0</f>
        <v>0</v>
      </c>
      <c r="BJ1867" s="5" t="s">
        <v>253</v>
      </c>
      <c r="BK1867" s="5" t="s">
        <v>254</v>
      </c>
      <c r="BY1867" s="5" t="s">
        <v>238</v>
      </c>
      <c r="BZ1867" s="5" t="s">
        <v>238</v>
      </c>
      <c r="CD1867" s="5" t="s">
        <v>293</v>
      </c>
      <c r="CE1867" s="5" t="s">
        <v>256</v>
      </c>
      <c r="CF1867" s="5" t="s">
        <v>238</v>
      </c>
      <c r="CI1867" s="6" t="s">
        <v>257</v>
      </c>
      <c r="CJ1867" s="5" t="s">
        <v>238</v>
      </c>
      <c r="CK1867" s="5" t="s">
        <v>258</v>
      </c>
      <c r="CL1867" s="5" t="s">
        <v>238</v>
      </c>
      <c r="CM1867" s="5" t="s">
        <v>238</v>
      </c>
      <c r="CN1867" s="5">
        <v>0</v>
      </c>
      <c r="CO1867" s="5" t="s">
        <v>259</v>
      </c>
      <c r="CP1867" s="5" t="s">
        <v>260</v>
      </c>
      <c r="CQ1867" s="5" t="s">
        <v>260</v>
      </c>
      <c r="CR1867" s="5" t="s">
        <v>261</v>
      </c>
      <c r="CU1867" s="8">
        <f>78000</f>
        <v>78000</v>
      </c>
      <c r="CV1867" s="8">
        <f>0</f>
        <v>0</v>
      </c>
      <c r="CX1867" s="8">
        <f>0</f>
        <v>0</v>
      </c>
      <c r="CY1867" s="8">
        <f>78000</f>
        <v>78000</v>
      </c>
      <c r="DA1867" s="5" t="s">
        <v>356</v>
      </c>
      <c r="DB1867" s="5" t="s">
        <v>238</v>
      </c>
      <c r="DD1867" s="5" t="s">
        <v>356</v>
      </c>
      <c r="DE1867" s="8">
        <f>3.17</f>
        <v>3.17</v>
      </c>
      <c r="DG1867" s="5" t="s">
        <v>238</v>
      </c>
      <c r="DH1867" s="5" t="s">
        <v>238</v>
      </c>
      <c r="DI1867" s="5" t="s">
        <v>238</v>
      </c>
      <c r="DJ1867" s="5" t="s">
        <v>238</v>
      </c>
      <c r="DN1867" s="5" t="s">
        <v>238</v>
      </c>
      <c r="DO1867" s="5" t="s">
        <v>238</v>
      </c>
      <c r="DP1867" s="5" t="s">
        <v>238</v>
      </c>
      <c r="DQ1867" s="5" t="s">
        <v>238</v>
      </c>
      <c r="DT1867" s="5" t="s">
        <v>2039</v>
      </c>
      <c r="DU1867" s="5" t="s">
        <v>3532</v>
      </c>
      <c r="HM1867" s="5" t="s">
        <v>264</v>
      </c>
    </row>
    <row r="1868" spans="1:221" x14ac:dyDescent="0.4">
      <c r="A1868" s="5">
        <v>3566</v>
      </c>
      <c r="B1868" s="5">
        <v>1</v>
      </c>
      <c r="C1868" s="5">
        <v>1</v>
      </c>
      <c r="D1868" s="5" t="s">
        <v>2037</v>
      </c>
      <c r="E1868" s="5" t="s">
        <v>271</v>
      </c>
      <c r="F1868" s="5" t="s">
        <v>248</v>
      </c>
      <c r="G1868" s="5" t="s">
        <v>3542</v>
      </c>
      <c r="H1868" s="6" t="s">
        <v>3531</v>
      </c>
      <c r="I1868" s="7">
        <f>0</f>
        <v>0</v>
      </c>
      <c r="J1868" s="5" t="s">
        <v>262</v>
      </c>
      <c r="K1868" s="8">
        <f>1143000</f>
        <v>1143000</v>
      </c>
      <c r="L1868" s="6" t="s">
        <v>3543</v>
      </c>
      <c r="M1868" s="5" t="s">
        <v>267</v>
      </c>
      <c r="N1868" s="5" t="s">
        <v>265</v>
      </c>
      <c r="O1868" s="5" t="s">
        <v>238</v>
      </c>
      <c r="P1868" s="5" t="s">
        <v>238</v>
      </c>
      <c r="Q1868" s="5" t="s">
        <v>239</v>
      </c>
      <c r="R1868" s="5" t="s">
        <v>238</v>
      </c>
      <c r="S1868" s="5" t="s">
        <v>238</v>
      </c>
      <c r="V1868" s="5" t="s">
        <v>238</v>
      </c>
      <c r="X1868" s="6" t="s">
        <v>238</v>
      </c>
      <c r="AA1868" s="6" t="s">
        <v>2296</v>
      </c>
      <c r="AB1868" s="5" t="s">
        <v>238</v>
      </c>
      <c r="AC1868" s="5" t="s">
        <v>244</v>
      </c>
      <c r="AD1868" s="5" t="s">
        <v>245</v>
      </c>
      <c r="AT1868" s="5" t="s">
        <v>246</v>
      </c>
      <c r="AU1868" s="5" t="s">
        <v>238</v>
      </c>
      <c r="AV1868" s="5" t="s">
        <v>247</v>
      </c>
      <c r="AW1868" s="5" t="s">
        <v>238</v>
      </c>
      <c r="AX1868" s="5" t="s">
        <v>249</v>
      </c>
      <c r="AY1868" s="5" t="s">
        <v>238</v>
      </c>
      <c r="BA1868" s="5" t="s">
        <v>238</v>
      </c>
      <c r="BC1868" s="5" t="s">
        <v>1433</v>
      </c>
      <c r="BD1868" s="6" t="s">
        <v>3543</v>
      </c>
      <c r="BE1868" s="5" t="s">
        <v>251</v>
      </c>
      <c r="BF1868" s="5" t="s">
        <v>2043</v>
      </c>
      <c r="BG1868" s="5" t="s">
        <v>238</v>
      </c>
      <c r="BH1868" s="7">
        <f>0</f>
        <v>0</v>
      </c>
      <c r="BI1868" s="8">
        <f>0</f>
        <v>0</v>
      </c>
      <c r="BJ1868" s="5" t="s">
        <v>253</v>
      </c>
      <c r="BK1868" s="5" t="s">
        <v>254</v>
      </c>
      <c r="BY1868" s="5" t="s">
        <v>238</v>
      </c>
      <c r="BZ1868" s="5" t="s">
        <v>238</v>
      </c>
      <c r="CD1868" s="5" t="s">
        <v>293</v>
      </c>
      <c r="CE1868" s="5" t="s">
        <v>256</v>
      </c>
      <c r="CF1868" s="5" t="s">
        <v>238</v>
      </c>
      <c r="CI1868" s="6" t="s">
        <v>257</v>
      </c>
      <c r="CJ1868" s="5" t="s">
        <v>238</v>
      </c>
      <c r="CK1868" s="5" t="s">
        <v>258</v>
      </c>
      <c r="CL1868" s="5" t="s">
        <v>238</v>
      </c>
      <c r="CM1868" s="5" t="s">
        <v>238</v>
      </c>
      <c r="CN1868" s="5">
        <v>0</v>
      </c>
      <c r="CO1868" s="5" t="s">
        <v>259</v>
      </c>
      <c r="CP1868" s="5" t="s">
        <v>260</v>
      </c>
      <c r="CQ1868" s="5" t="s">
        <v>260</v>
      </c>
      <c r="CR1868" s="5" t="s">
        <v>261</v>
      </c>
      <c r="CU1868" s="8">
        <f>1143000</f>
        <v>1143000</v>
      </c>
      <c r="CV1868" s="8">
        <f>0</f>
        <v>0</v>
      </c>
      <c r="CX1868" s="8">
        <f>0</f>
        <v>0</v>
      </c>
      <c r="CY1868" s="8">
        <f>1143000</f>
        <v>1143000</v>
      </c>
      <c r="DA1868" s="5" t="s">
        <v>356</v>
      </c>
      <c r="DB1868" s="5" t="s">
        <v>238</v>
      </c>
      <c r="DD1868" s="5" t="s">
        <v>356</v>
      </c>
      <c r="DE1868" s="8">
        <f>0</f>
        <v>0</v>
      </c>
      <c r="DG1868" s="5" t="s">
        <v>238</v>
      </c>
      <c r="DH1868" s="5" t="s">
        <v>238</v>
      </c>
      <c r="DI1868" s="5" t="s">
        <v>238</v>
      </c>
      <c r="DJ1868" s="5" t="s">
        <v>238</v>
      </c>
      <c r="DN1868" s="5" t="s">
        <v>238</v>
      </c>
      <c r="DO1868" s="5" t="s">
        <v>238</v>
      </c>
      <c r="DP1868" s="5" t="s">
        <v>238</v>
      </c>
      <c r="DQ1868" s="5" t="s">
        <v>238</v>
      </c>
      <c r="DT1868" s="5" t="s">
        <v>2039</v>
      </c>
      <c r="DU1868" s="5" t="s">
        <v>3544</v>
      </c>
      <c r="HM1868" s="5" t="s">
        <v>264</v>
      </c>
    </row>
    <row r="1869" spans="1:221" x14ac:dyDescent="0.4">
      <c r="A1869" s="5">
        <v>3567</v>
      </c>
      <c r="B1869" s="5">
        <v>1</v>
      </c>
      <c r="C1869" s="5">
        <v>1</v>
      </c>
      <c r="D1869" s="5" t="s">
        <v>2037</v>
      </c>
      <c r="E1869" s="5" t="s">
        <v>271</v>
      </c>
      <c r="F1869" s="5" t="s">
        <v>248</v>
      </c>
      <c r="G1869" s="5" t="s">
        <v>3545</v>
      </c>
      <c r="H1869" s="6" t="s">
        <v>2743</v>
      </c>
      <c r="I1869" s="7">
        <f>277.98</f>
        <v>277.98</v>
      </c>
      <c r="J1869" s="5" t="s">
        <v>262</v>
      </c>
      <c r="K1869" s="8">
        <f>1084122</f>
        <v>1084122</v>
      </c>
      <c r="L1869" s="6" t="s">
        <v>3546</v>
      </c>
      <c r="M1869" s="5" t="s">
        <v>267</v>
      </c>
      <c r="N1869" s="5" t="s">
        <v>265</v>
      </c>
      <c r="O1869" s="5" t="s">
        <v>238</v>
      </c>
      <c r="P1869" s="5" t="s">
        <v>238</v>
      </c>
      <c r="Q1869" s="5" t="s">
        <v>239</v>
      </c>
      <c r="R1869" s="5" t="s">
        <v>238</v>
      </c>
      <c r="S1869" s="5" t="s">
        <v>238</v>
      </c>
      <c r="V1869" s="5" t="s">
        <v>238</v>
      </c>
      <c r="X1869" s="6" t="s">
        <v>238</v>
      </c>
      <c r="AA1869" s="6" t="s">
        <v>2320</v>
      </c>
      <c r="AB1869" s="5" t="s">
        <v>238</v>
      </c>
      <c r="AC1869" s="5" t="s">
        <v>244</v>
      </c>
      <c r="AD1869" s="5" t="s">
        <v>245</v>
      </c>
      <c r="AT1869" s="5" t="s">
        <v>246</v>
      </c>
      <c r="AU1869" s="5" t="s">
        <v>238</v>
      </c>
      <c r="AV1869" s="5" t="s">
        <v>247</v>
      </c>
      <c r="AW1869" s="5" t="s">
        <v>238</v>
      </c>
      <c r="AX1869" s="5" t="s">
        <v>249</v>
      </c>
      <c r="AY1869" s="5" t="s">
        <v>238</v>
      </c>
      <c r="BA1869" s="5" t="s">
        <v>238</v>
      </c>
      <c r="BC1869" s="5" t="s">
        <v>1433</v>
      </c>
      <c r="BD1869" s="6" t="s">
        <v>3546</v>
      </c>
      <c r="BE1869" s="5" t="s">
        <v>251</v>
      </c>
      <c r="BF1869" s="5" t="s">
        <v>2043</v>
      </c>
      <c r="BG1869" s="5" t="s">
        <v>238</v>
      </c>
      <c r="BH1869" s="7">
        <f>0</f>
        <v>0</v>
      </c>
      <c r="BI1869" s="8">
        <f>0</f>
        <v>0</v>
      </c>
      <c r="BJ1869" s="5" t="s">
        <v>253</v>
      </c>
      <c r="BK1869" s="5" t="s">
        <v>254</v>
      </c>
      <c r="BY1869" s="5" t="s">
        <v>238</v>
      </c>
      <c r="BZ1869" s="5" t="s">
        <v>238</v>
      </c>
      <c r="CD1869" s="5" t="s">
        <v>293</v>
      </c>
      <c r="CE1869" s="5" t="s">
        <v>256</v>
      </c>
      <c r="CF1869" s="5" t="s">
        <v>238</v>
      </c>
      <c r="CI1869" s="6" t="s">
        <v>257</v>
      </c>
      <c r="CJ1869" s="5" t="s">
        <v>238</v>
      </c>
      <c r="CK1869" s="5" t="s">
        <v>258</v>
      </c>
      <c r="CL1869" s="5" t="s">
        <v>238</v>
      </c>
      <c r="CM1869" s="5" t="s">
        <v>238</v>
      </c>
      <c r="CN1869" s="5">
        <v>0</v>
      </c>
      <c r="CO1869" s="5" t="s">
        <v>259</v>
      </c>
      <c r="CP1869" s="5" t="s">
        <v>260</v>
      </c>
      <c r="CQ1869" s="5" t="s">
        <v>260</v>
      </c>
      <c r="CR1869" s="5" t="s">
        <v>261</v>
      </c>
      <c r="CU1869" s="8">
        <f>1084122</f>
        <v>1084122</v>
      </c>
      <c r="CV1869" s="8">
        <f>0</f>
        <v>0</v>
      </c>
      <c r="CX1869" s="8">
        <f>0</f>
        <v>0</v>
      </c>
      <c r="CY1869" s="8">
        <f>1084122</f>
        <v>1084122</v>
      </c>
      <c r="DA1869" s="5" t="s">
        <v>356</v>
      </c>
      <c r="DB1869" s="5" t="s">
        <v>238</v>
      </c>
      <c r="DD1869" s="5" t="s">
        <v>356</v>
      </c>
      <c r="DE1869" s="8">
        <f>277.98</f>
        <v>277.98</v>
      </c>
      <c r="DG1869" s="5" t="s">
        <v>238</v>
      </c>
      <c r="DH1869" s="5" t="s">
        <v>238</v>
      </c>
      <c r="DI1869" s="5" t="s">
        <v>238</v>
      </c>
      <c r="DJ1869" s="5" t="s">
        <v>238</v>
      </c>
      <c r="DN1869" s="5" t="s">
        <v>238</v>
      </c>
      <c r="DO1869" s="5" t="s">
        <v>238</v>
      </c>
      <c r="DP1869" s="5" t="s">
        <v>238</v>
      </c>
      <c r="DQ1869" s="5" t="s">
        <v>238</v>
      </c>
      <c r="DT1869" s="5" t="s">
        <v>2039</v>
      </c>
      <c r="DU1869" s="5" t="s">
        <v>3547</v>
      </c>
      <c r="HM1869" s="5" t="s">
        <v>264</v>
      </c>
    </row>
    <row r="1870" spans="1:221" x14ac:dyDescent="0.4">
      <c r="A1870" s="5">
        <v>3568</v>
      </c>
      <c r="B1870" s="5">
        <v>1</v>
      </c>
      <c r="C1870" s="5">
        <v>1</v>
      </c>
      <c r="D1870" s="5" t="s">
        <v>2037</v>
      </c>
      <c r="E1870" s="5" t="s">
        <v>271</v>
      </c>
      <c r="F1870" s="5" t="s">
        <v>248</v>
      </c>
      <c r="G1870" s="5" t="s">
        <v>3563</v>
      </c>
      <c r="H1870" s="6" t="s">
        <v>2743</v>
      </c>
      <c r="I1870" s="7">
        <f>14.22</f>
        <v>14.22</v>
      </c>
      <c r="J1870" s="5" t="s">
        <v>262</v>
      </c>
      <c r="K1870" s="8">
        <f>214722</f>
        <v>214722</v>
      </c>
      <c r="L1870" s="6" t="s">
        <v>3564</v>
      </c>
      <c r="M1870" s="5" t="s">
        <v>267</v>
      </c>
      <c r="N1870" s="5" t="s">
        <v>265</v>
      </c>
      <c r="O1870" s="5" t="s">
        <v>238</v>
      </c>
      <c r="P1870" s="5" t="s">
        <v>238</v>
      </c>
      <c r="Q1870" s="5" t="s">
        <v>239</v>
      </c>
      <c r="R1870" s="5" t="s">
        <v>238</v>
      </c>
      <c r="S1870" s="5" t="s">
        <v>238</v>
      </c>
      <c r="V1870" s="5" t="s">
        <v>238</v>
      </c>
      <c r="X1870" s="6" t="s">
        <v>238</v>
      </c>
      <c r="AA1870" s="6" t="s">
        <v>2341</v>
      </c>
      <c r="AB1870" s="5" t="s">
        <v>238</v>
      </c>
      <c r="AC1870" s="5" t="s">
        <v>244</v>
      </c>
      <c r="AD1870" s="5" t="s">
        <v>245</v>
      </c>
      <c r="AT1870" s="5" t="s">
        <v>246</v>
      </c>
      <c r="AU1870" s="5" t="s">
        <v>238</v>
      </c>
      <c r="AV1870" s="5" t="s">
        <v>247</v>
      </c>
      <c r="AW1870" s="5" t="s">
        <v>238</v>
      </c>
      <c r="AX1870" s="5" t="s">
        <v>249</v>
      </c>
      <c r="AY1870" s="5" t="s">
        <v>238</v>
      </c>
      <c r="BA1870" s="5" t="s">
        <v>238</v>
      </c>
      <c r="BC1870" s="5" t="s">
        <v>1433</v>
      </c>
      <c r="BD1870" s="6" t="s">
        <v>3564</v>
      </c>
      <c r="BE1870" s="5" t="s">
        <v>251</v>
      </c>
      <c r="BF1870" s="5" t="s">
        <v>2043</v>
      </c>
      <c r="BG1870" s="5" t="s">
        <v>238</v>
      </c>
      <c r="BH1870" s="7">
        <f>0</f>
        <v>0</v>
      </c>
      <c r="BI1870" s="8">
        <f>0</f>
        <v>0</v>
      </c>
      <c r="BJ1870" s="5" t="s">
        <v>253</v>
      </c>
      <c r="BK1870" s="5" t="s">
        <v>254</v>
      </c>
      <c r="BY1870" s="5" t="s">
        <v>238</v>
      </c>
      <c r="BZ1870" s="5" t="s">
        <v>238</v>
      </c>
      <c r="CD1870" s="5" t="s">
        <v>293</v>
      </c>
      <c r="CE1870" s="5" t="s">
        <v>256</v>
      </c>
      <c r="CF1870" s="5" t="s">
        <v>238</v>
      </c>
      <c r="CI1870" s="6" t="s">
        <v>257</v>
      </c>
      <c r="CJ1870" s="5" t="s">
        <v>238</v>
      </c>
      <c r="CK1870" s="5" t="s">
        <v>258</v>
      </c>
      <c r="CL1870" s="5" t="s">
        <v>238</v>
      </c>
      <c r="CM1870" s="5" t="s">
        <v>238</v>
      </c>
      <c r="CN1870" s="5">
        <v>0</v>
      </c>
      <c r="CO1870" s="5" t="s">
        <v>259</v>
      </c>
      <c r="CP1870" s="5" t="s">
        <v>260</v>
      </c>
      <c r="CQ1870" s="5" t="s">
        <v>260</v>
      </c>
      <c r="CR1870" s="5" t="s">
        <v>261</v>
      </c>
      <c r="CU1870" s="8">
        <f>214722</f>
        <v>214722</v>
      </c>
      <c r="CV1870" s="8">
        <f>0</f>
        <v>0</v>
      </c>
      <c r="CX1870" s="8">
        <f>0</f>
        <v>0</v>
      </c>
      <c r="CY1870" s="8">
        <f>214722</f>
        <v>214722</v>
      </c>
      <c r="DA1870" s="5" t="s">
        <v>356</v>
      </c>
      <c r="DB1870" s="5" t="s">
        <v>238</v>
      </c>
      <c r="DD1870" s="5" t="s">
        <v>356</v>
      </c>
      <c r="DE1870" s="8">
        <f>14.22</f>
        <v>14.22</v>
      </c>
      <c r="DG1870" s="5" t="s">
        <v>238</v>
      </c>
      <c r="DH1870" s="5" t="s">
        <v>238</v>
      </c>
      <c r="DI1870" s="5" t="s">
        <v>238</v>
      </c>
      <c r="DJ1870" s="5" t="s">
        <v>238</v>
      </c>
      <c r="DN1870" s="5" t="s">
        <v>238</v>
      </c>
      <c r="DO1870" s="5" t="s">
        <v>238</v>
      </c>
      <c r="DP1870" s="5" t="s">
        <v>238</v>
      </c>
      <c r="DQ1870" s="5" t="s">
        <v>238</v>
      </c>
      <c r="DT1870" s="5" t="s">
        <v>2039</v>
      </c>
      <c r="DU1870" s="5" t="s">
        <v>3565</v>
      </c>
      <c r="HM1870" s="5" t="s">
        <v>264</v>
      </c>
    </row>
    <row r="1871" spans="1:221" x14ac:dyDescent="0.4">
      <c r="A1871" s="5">
        <v>3569</v>
      </c>
      <c r="B1871" s="5">
        <v>1</v>
      </c>
      <c r="C1871" s="5">
        <v>1</v>
      </c>
      <c r="D1871" s="5" t="s">
        <v>2037</v>
      </c>
      <c r="E1871" s="5" t="s">
        <v>271</v>
      </c>
      <c r="F1871" s="5" t="s">
        <v>248</v>
      </c>
      <c r="G1871" s="5" t="s">
        <v>3578</v>
      </c>
      <c r="H1871" s="6" t="s">
        <v>2197</v>
      </c>
      <c r="I1871" s="7">
        <f>244.63</f>
        <v>244.63</v>
      </c>
      <c r="J1871" s="5" t="s">
        <v>262</v>
      </c>
      <c r="K1871" s="8">
        <f>445234</f>
        <v>445234</v>
      </c>
      <c r="L1871" s="6" t="s">
        <v>3579</v>
      </c>
      <c r="M1871" s="5" t="s">
        <v>267</v>
      </c>
      <c r="N1871" s="5" t="s">
        <v>265</v>
      </c>
      <c r="O1871" s="5" t="s">
        <v>238</v>
      </c>
      <c r="P1871" s="5" t="s">
        <v>238</v>
      </c>
      <c r="Q1871" s="5" t="s">
        <v>239</v>
      </c>
      <c r="R1871" s="5" t="s">
        <v>238</v>
      </c>
      <c r="S1871" s="5" t="s">
        <v>238</v>
      </c>
      <c r="V1871" s="5" t="s">
        <v>238</v>
      </c>
      <c r="X1871" s="6" t="s">
        <v>238</v>
      </c>
      <c r="AA1871" s="6" t="s">
        <v>2344</v>
      </c>
      <c r="AB1871" s="5" t="s">
        <v>238</v>
      </c>
      <c r="AC1871" s="5" t="s">
        <v>244</v>
      </c>
      <c r="AD1871" s="5" t="s">
        <v>245</v>
      </c>
      <c r="AT1871" s="5" t="s">
        <v>246</v>
      </c>
      <c r="AU1871" s="5" t="s">
        <v>238</v>
      </c>
      <c r="AV1871" s="5" t="s">
        <v>247</v>
      </c>
      <c r="AW1871" s="5" t="s">
        <v>238</v>
      </c>
      <c r="AX1871" s="5" t="s">
        <v>249</v>
      </c>
      <c r="AY1871" s="5" t="s">
        <v>238</v>
      </c>
      <c r="BA1871" s="5" t="s">
        <v>238</v>
      </c>
      <c r="BC1871" s="5" t="s">
        <v>1433</v>
      </c>
      <c r="BD1871" s="6" t="s">
        <v>3579</v>
      </c>
      <c r="BE1871" s="5" t="s">
        <v>251</v>
      </c>
      <c r="BF1871" s="5" t="s">
        <v>2043</v>
      </c>
      <c r="BG1871" s="5" t="s">
        <v>238</v>
      </c>
      <c r="BH1871" s="7">
        <f>0</f>
        <v>0</v>
      </c>
      <c r="BI1871" s="8">
        <f>0</f>
        <v>0</v>
      </c>
      <c r="BJ1871" s="5" t="s">
        <v>253</v>
      </c>
      <c r="BK1871" s="5" t="s">
        <v>254</v>
      </c>
      <c r="BY1871" s="5" t="s">
        <v>238</v>
      </c>
      <c r="BZ1871" s="5" t="s">
        <v>238</v>
      </c>
      <c r="CD1871" s="5" t="s">
        <v>293</v>
      </c>
      <c r="CE1871" s="5" t="s">
        <v>256</v>
      </c>
      <c r="CF1871" s="5" t="s">
        <v>238</v>
      </c>
      <c r="CI1871" s="6" t="s">
        <v>257</v>
      </c>
      <c r="CJ1871" s="5" t="s">
        <v>238</v>
      </c>
      <c r="CK1871" s="5" t="s">
        <v>258</v>
      </c>
      <c r="CL1871" s="5" t="s">
        <v>238</v>
      </c>
      <c r="CM1871" s="5" t="s">
        <v>238</v>
      </c>
      <c r="CN1871" s="5">
        <v>0</v>
      </c>
      <c r="CO1871" s="5" t="s">
        <v>259</v>
      </c>
      <c r="CP1871" s="5" t="s">
        <v>260</v>
      </c>
      <c r="CQ1871" s="5" t="s">
        <v>260</v>
      </c>
      <c r="CR1871" s="5" t="s">
        <v>261</v>
      </c>
      <c r="CU1871" s="8">
        <f>445234</f>
        <v>445234</v>
      </c>
      <c r="CV1871" s="8">
        <f>0</f>
        <v>0</v>
      </c>
      <c r="CX1871" s="8">
        <f>0</f>
        <v>0</v>
      </c>
      <c r="CY1871" s="8">
        <f>445234</f>
        <v>445234</v>
      </c>
      <c r="DA1871" s="5" t="s">
        <v>356</v>
      </c>
      <c r="DB1871" s="5" t="s">
        <v>238</v>
      </c>
      <c r="DD1871" s="5" t="s">
        <v>356</v>
      </c>
      <c r="DE1871" s="8">
        <f>244.63</f>
        <v>244.63</v>
      </c>
      <c r="DG1871" s="5" t="s">
        <v>238</v>
      </c>
      <c r="DH1871" s="5" t="s">
        <v>238</v>
      </c>
      <c r="DI1871" s="5" t="s">
        <v>238</v>
      </c>
      <c r="DJ1871" s="5" t="s">
        <v>238</v>
      </c>
      <c r="DN1871" s="5" t="s">
        <v>238</v>
      </c>
      <c r="DO1871" s="5" t="s">
        <v>238</v>
      </c>
      <c r="DP1871" s="5" t="s">
        <v>238</v>
      </c>
      <c r="DQ1871" s="5" t="s">
        <v>238</v>
      </c>
      <c r="DT1871" s="5" t="s">
        <v>2039</v>
      </c>
      <c r="DU1871" s="5" t="s">
        <v>3580</v>
      </c>
      <c r="HM1871" s="5" t="s">
        <v>264</v>
      </c>
    </row>
    <row r="1872" spans="1:221" x14ac:dyDescent="0.4">
      <c r="A1872" s="5">
        <v>3570</v>
      </c>
      <c r="B1872" s="5">
        <v>1</v>
      </c>
      <c r="C1872" s="5">
        <v>1</v>
      </c>
      <c r="D1872" s="5" t="s">
        <v>2037</v>
      </c>
      <c r="E1872" s="5" t="s">
        <v>271</v>
      </c>
      <c r="F1872" s="5" t="s">
        <v>248</v>
      </c>
      <c r="G1872" s="5" t="s">
        <v>3595</v>
      </c>
      <c r="H1872" s="6" t="s">
        <v>2197</v>
      </c>
      <c r="I1872" s="7">
        <f>0</f>
        <v>0</v>
      </c>
      <c r="J1872" s="5" t="s">
        <v>262</v>
      </c>
      <c r="K1872" s="8">
        <f>6771512</f>
        <v>6771512</v>
      </c>
      <c r="L1872" s="6" t="s">
        <v>3596</v>
      </c>
      <c r="M1872" s="5" t="s">
        <v>267</v>
      </c>
      <c r="N1872" s="5" t="s">
        <v>265</v>
      </c>
      <c r="O1872" s="5" t="s">
        <v>238</v>
      </c>
      <c r="P1872" s="5" t="s">
        <v>238</v>
      </c>
      <c r="Q1872" s="5" t="s">
        <v>239</v>
      </c>
      <c r="R1872" s="5" t="s">
        <v>238</v>
      </c>
      <c r="S1872" s="5" t="s">
        <v>238</v>
      </c>
      <c r="V1872" s="5" t="s">
        <v>238</v>
      </c>
      <c r="X1872" s="6" t="s">
        <v>238</v>
      </c>
      <c r="AA1872" s="6" t="s">
        <v>2398</v>
      </c>
      <c r="AB1872" s="5" t="s">
        <v>238</v>
      </c>
      <c r="AC1872" s="5" t="s">
        <v>244</v>
      </c>
      <c r="AD1872" s="5" t="s">
        <v>245</v>
      </c>
      <c r="AT1872" s="5" t="s">
        <v>246</v>
      </c>
      <c r="AU1872" s="5" t="s">
        <v>238</v>
      </c>
      <c r="AV1872" s="5" t="s">
        <v>247</v>
      </c>
      <c r="AW1872" s="5" t="s">
        <v>238</v>
      </c>
      <c r="AX1872" s="5" t="s">
        <v>249</v>
      </c>
      <c r="AY1872" s="5" t="s">
        <v>238</v>
      </c>
      <c r="BA1872" s="5" t="s">
        <v>238</v>
      </c>
      <c r="BC1872" s="5" t="s">
        <v>1433</v>
      </c>
      <c r="BD1872" s="6" t="s">
        <v>3596</v>
      </c>
      <c r="BE1872" s="5" t="s">
        <v>251</v>
      </c>
      <c r="BF1872" s="5" t="s">
        <v>2043</v>
      </c>
      <c r="BG1872" s="5" t="s">
        <v>238</v>
      </c>
      <c r="BH1872" s="7">
        <f>0</f>
        <v>0</v>
      </c>
      <c r="BI1872" s="8">
        <f>0</f>
        <v>0</v>
      </c>
      <c r="BJ1872" s="5" t="s">
        <v>253</v>
      </c>
      <c r="BK1872" s="5" t="s">
        <v>254</v>
      </c>
      <c r="BY1872" s="5" t="s">
        <v>238</v>
      </c>
      <c r="BZ1872" s="5" t="s">
        <v>238</v>
      </c>
      <c r="CD1872" s="5" t="s">
        <v>293</v>
      </c>
      <c r="CE1872" s="5" t="s">
        <v>256</v>
      </c>
      <c r="CF1872" s="5" t="s">
        <v>238</v>
      </c>
      <c r="CI1872" s="6" t="s">
        <v>257</v>
      </c>
      <c r="CJ1872" s="5" t="s">
        <v>238</v>
      </c>
      <c r="CK1872" s="5" t="s">
        <v>258</v>
      </c>
      <c r="CL1872" s="5" t="s">
        <v>238</v>
      </c>
      <c r="CM1872" s="5" t="s">
        <v>238</v>
      </c>
      <c r="CN1872" s="5">
        <v>0</v>
      </c>
      <c r="CO1872" s="5" t="s">
        <v>259</v>
      </c>
      <c r="CP1872" s="5" t="s">
        <v>260</v>
      </c>
      <c r="CQ1872" s="5" t="s">
        <v>260</v>
      </c>
      <c r="CR1872" s="5" t="s">
        <v>261</v>
      </c>
      <c r="CU1872" s="8">
        <f>6771512</f>
        <v>6771512</v>
      </c>
      <c r="CV1872" s="8">
        <f>0</f>
        <v>0</v>
      </c>
      <c r="CX1872" s="8">
        <f>0</f>
        <v>0</v>
      </c>
      <c r="CY1872" s="8">
        <f>6771512</f>
        <v>6771512</v>
      </c>
      <c r="DA1872" s="5" t="s">
        <v>356</v>
      </c>
      <c r="DB1872" s="5" t="s">
        <v>238</v>
      </c>
      <c r="DD1872" s="5" t="s">
        <v>356</v>
      </c>
      <c r="DE1872" s="8">
        <f>0</f>
        <v>0</v>
      </c>
      <c r="DG1872" s="5" t="s">
        <v>238</v>
      </c>
      <c r="DH1872" s="5" t="s">
        <v>238</v>
      </c>
      <c r="DI1872" s="5" t="s">
        <v>238</v>
      </c>
      <c r="DJ1872" s="5" t="s">
        <v>238</v>
      </c>
      <c r="DN1872" s="5" t="s">
        <v>238</v>
      </c>
      <c r="DO1872" s="5" t="s">
        <v>238</v>
      </c>
      <c r="DP1872" s="5" t="s">
        <v>238</v>
      </c>
      <c r="DQ1872" s="5" t="s">
        <v>238</v>
      </c>
      <c r="DT1872" s="5" t="s">
        <v>2039</v>
      </c>
      <c r="DU1872" s="5" t="s">
        <v>3597</v>
      </c>
      <c r="HM1872" s="5" t="s">
        <v>264</v>
      </c>
    </row>
    <row r="1873" spans="1:221" x14ac:dyDescent="0.4">
      <c r="A1873" s="5">
        <v>3571</v>
      </c>
      <c r="B1873" s="5">
        <v>1</v>
      </c>
      <c r="C1873" s="5">
        <v>1</v>
      </c>
      <c r="D1873" s="5" t="s">
        <v>2037</v>
      </c>
      <c r="E1873" s="5" t="s">
        <v>271</v>
      </c>
      <c r="F1873" s="5" t="s">
        <v>248</v>
      </c>
      <c r="G1873" s="5" t="s">
        <v>3610</v>
      </c>
      <c r="H1873" s="6" t="s">
        <v>3611</v>
      </c>
      <c r="I1873" s="7">
        <f>620.79</f>
        <v>620.79</v>
      </c>
      <c r="J1873" s="5" t="s">
        <v>262</v>
      </c>
      <c r="K1873" s="8">
        <f>847887</f>
        <v>847887</v>
      </c>
      <c r="L1873" s="6" t="s">
        <v>3579</v>
      </c>
      <c r="M1873" s="5" t="s">
        <v>267</v>
      </c>
      <c r="N1873" s="5" t="s">
        <v>265</v>
      </c>
      <c r="O1873" s="5" t="s">
        <v>238</v>
      </c>
      <c r="P1873" s="5" t="s">
        <v>238</v>
      </c>
      <c r="Q1873" s="5" t="s">
        <v>239</v>
      </c>
      <c r="R1873" s="5" t="s">
        <v>238</v>
      </c>
      <c r="S1873" s="5" t="s">
        <v>238</v>
      </c>
      <c r="V1873" s="5" t="s">
        <v>238</v>
      </c>
      <c r="X1873" s="6" t="s">
        <v>238</v>
      </c>
      <c r="AA1873" s="6" t="s">
        <v>2417</v>
      </c>
      <c r="AB1873" s="5" t="s">
        <v>238</v>
      </c>
      <c r="AC1873" s="5" t="s">
        <v>244</v>
      </c>
      <c r="AD1873" s="5" t="s">
        <v>245</v>
      </c>
      <c r="AT1873" s="5" t="s">
        <v>246</v>
      </c>
      <c r="AU1873" s="5" t="s">
        <v>238</v>
      </c>
      <c r="AV1873" s="5" t="s">
        <v>247</v>
      </c>
      <c r="AW1873" s="5" t="s">
        <v>238</v>
      </c>
      <c r="AX1873" s="5" t="s">
        <v>249</v>
      </c>
      <c r="AY1873" s="5" t="s">
        <v>238</v>
      </c>
      <c r="BA1873" s="5" t="s">
        <v>238</v>
      </c>
      <c r="BC1873" s="5" t="s">
        <v>1433</v>
      </c>
      <c r="BD1873" s="6" t="s">
        <v>3579</v>
      </c>
      <c r="BE1873" s="5" t="s">
        <v>251</v>
      </c>
      <c r="BF1873" s="5" t="s">
        <v>2043</v>
      </c>
      <c r="BG1873" s="5" t="s">
        <v>238</v>
      </c>
      <c r="BH1873" s="7">
        <f>0</f>
        <v>0</v>
      </c>
      <c r="BI1873" s="8">
        <f>0</f>
        <v>0</v>
      </c>
      <c r="BJ1873" s="5" t="s">
        <v>253</v>
      </c>
      <c r="BK1873" s="5" t="s">
        <v>254</v>
      </c>
      <c r="BY1873" s="5" t="s">
        <v>238</v>
      </c>
      <c r="BZ1873" s="5" t="s">
        <v>238</v>
      </c>
      <c r="CD1873" s="5" t="s">
        <v>293</v>
      </c>
      <c r="CE1873" s="5" t="s">
        <v>256</v>
      </c>
      <c r="CF1873" s="5" t="s">
        <v>238</v>
      </c>
      <c r="CI1873" s="6" t="s">
        <v>257</v>
      </c>
      <c r="CJ1873" s="5" t="s">
        <v>238</v>
      </c>
      <c r="CK1873" s="5" t="s">
        <v>258</v>
      </c>
      <c r="CL1873" s="5" t="s">
        <v>238</v>
      </c>
      <c r="CM1873" s="5" t="s">
        <v>238</v>
      </c>
      <c r="CN1873" s="5">
        <v>0</v>
      </c>
      <c r="CO1873" s="5" t="s">
        <v>259</v>
      </c>
      <c r="CP1873" s="5" t="s">
        <v>260</v>
      </c>
      <c r="CQ1873" s="5" t="s">
        <v>260</v>
      </c>
      <c r="CR1873" s="5" t="s">
        <v>261</v>
      </c>
      <c r="CU1873" s="8">
        <f>847887</f>
        <v>847887</v>
      </c>
      <c r="CV1873" s="8">
        <f>0</f>
        <v>0</v>
      </c>
      <c r="CX1873" s="8">
        <f>0</f>
        <v>0</v>
      </c>
      <c r="CY1873" s="8">
        <f>847887</f>
        <v>847887</v>
      </c>
      <c r="DA1873" s="5" t="s">
        <v>356</v>
      </c>
      <c r="DB1873" s="5" t="s">
        <v>238</v>
      </c>
      <c r="DD1873" s="5" t="s">
        <v>356</v>
      </c>
      <c r="DE1873" s="8">
        <f>620.79</f>
        <v>620.79</v>
      </c>
      <c r="DG1873" s="5" t="s">
        <v>238</v>
      </c>
      <c r="DH1873" s="5" t="s">
        <v>238</v>
      </c>
      <c r="DI1873" s="5" t="s">
        <v>238</v>
      </c>
      <c r="DJ1873" s="5" t="s">
        <v>238</v>
      </c>
      <c r="DN1873" s="5" t="s">
        <v>238</v>
      </c>
      <c r="DO1873" s="5" t="s">
        <v>238</v>
      </c>
      <c r="DP1873" s="5" t="s">
        <v>238</v>
      </c>
      <c r="DQ1873" s="5" t="s">
        <v>238</v>
      </c>
      <c r="DT1873" s="5" t="s">
        <v>2039</v>
      </c>
      <c r="DU1873" s="5" t="s">
        <v>3612</v>
      </c>
      <c r="HM1873" s="5" t="s">
        <v>264</v>
      </c>
    </row>
    <row r="1874" spans="1:221" x14ac:dyDescent="0.4">
      <c r="A1874" s="5">
        <v>3572</v>
      </c>
      <c r="B1874" s="5">
        <v>1</v>
      </c>
      <c r="C1874" s="5">
        <v>1</v>
      </c>
      <c r="D1874" s="5" t="s">
        <v>2037</v>
      </c>
      <c r="E1874" s="5" t="s">
        <v>271</v>
      </c>
      <c r="F1874" s="5" t="s">
        <v>248</v>
      </c>
      <c r="G1874" s="5" t="s">
        <v>3625</v>
      </c>
      <c r="H1874" s="6" t="s">
        <v>3611</v>
      </c>
      <c r="I1874" s="7">
        <f>0</f>
        <v>0</v>
      </c>
      <c r="J1874" s="5" t="s">
        <v>262</v>
      </c>
      <c r="K1874" s="8">
        <f>7935096</f>
        <v>7935096</v>
      </c>
      <c r="L1874" s="6" t="s">
        <v>3626</v>
      </c>
      <c r="M1874" s="5" t="s">
        <v>267</v>
      </c>
      <c r="N1874" s="5" t="s">
        <v>265</v>
      </c>
      <c r="O1874" s="5" t="s">
        <v>238</v>
      </c>
      <c r="P1874" s="5" t="s">
        <v>238</v>
      </c>
      <c r="Q1874" s="5" t="s">
        <v>239</v>
      </c>
      <c r="R1874" s="5" t="s">
        <v>238</v>
      </c>
      <c r="S1874" s="5" t="s">
        <v>238</v>
      </c>
      <c r="V1874" s="5" t="s">
        <v>238</v>
      </c>
      <c r="X1874" s="6" t="s">
        <v>238</v>
      </c>
      <c r="AA1874" s="6" t="s">
        <v>2199</v>
      </c>
      <c r="AB1874" s="5" t="s">
        <v>238</v>
      </c>
      <c r="AC1874" s="5" t="s">
        <v>244</v>
      </c>
      <c r="AD1874" s="5" t="s">
        <v>245</v>
      </c>
      <c r="AT1874" s="5" t="s">
        <v>246</v>
      </c>
      <c r="AU1874" s="5" t="s">
        <v>238</v>
      </c>
      <c r="AV1874" s="5" t="s">
        <v>247</v>
      </c>
      <c r="AW1874" s="5" t="s">
        <v>238</v>
      </c>
      <c r="AX1874" s="5" t="s">
        <v>249</v>
      </c>
      <c r="AY1874" s="5" t="s">
        <v>238</v>
      </c>
      <c r="BA1874" s="5" t="s">
        <v>238</v>
      </c>
      <c r="BC1874" s="5" t="s">
        <v>1433</v>
      </c>
      <c r="BD1874" s="6" t="s">
        <v>3626</v>
      </c>
      <c r="BE1874" s="5" t="s">
        <v>251</v>
      </c>
      <c r="BF1874" s="5" t="s">
        <v>2043</v>
      </c>
      <c r="BG1874" s="5" t="s">
        <v>238</v>
      </c>
      <c r="BH1874" s="7">
        <f>0</f>
        <v>0</v>
      </c>
      <c r="BI1874" s="8">
        <f>0</f>
        <v>0</v>
      </c>
      <c r="BJ1874" s="5" t="s">
        <v>253</v>
      </c>
      <c r="BK1874" s="5" t="s">
        <v>254</v>
      </c>
      <c r="BY1874" s="5" t="s">
        <v>238</v>
      </c>
      <c r="BZ1874" s="5" t="s">
        <v>238</v>
      </c>
      <c r="CD1874" s="5" t="s">
        <v>293</v>
      </c>
      <c r="CE1874" s="5" t="s">
        <v>256</v>
      </c>
      <c r="CF1874" s="5" t="s">
        <v>238</v>
      </c>
      <c r="CI1874" s="6" t="s">
        <v>257</v>
      </c>
      <c r="CJ1874" s="5" t="s">
        <v>238</v>
      </c>
      <c r="CK1874" s="5" t="s">
        <v>258</v>
      </c>
      <c r="CL1874" s="5" t="s">
        <v>238</v>
      </c>
      <c r="CM1874" s="5" t="s">
        <v>238</v>
      </c>
      <c r="CN1874" s="5">
        <v>0</v>
      </c>
      <c r="CO1874" s="5" t="s">
        <v>259</v>
      </c>
      <c r="CP1874" s="5" t="s">
        <v>260</v>
      </c>
      <c r="CQ1874" s="5" t="s">
        <v>260</v>
      </c>
      <c r="CR1874" s="5" t="s">
        <v>261</v>
      </c>
      <c r="CU1874" s="8">
        <f>7935096</f>
        <v>7935096</v>
      </c>
      <c r="CV1874" s="8">
        <f>0</f>
        <v>0</v>
      </c>
      <c r="CX1874" s="8">
        <f>0</f>
        <v>0</v>
      </c>
      <c r="CY1874" s="8">
        <f>7935096</f>
        <v>7935096</v>
      </c>
      <c r="DA1874" s="5" t="s">
        <v>356</v>
      </c>
      <c r="DB1874" s="5" t="s">
        <v>238</v>
      </c>
      <c r="DD1874" s="5" t="s">
        <v>356</v>
      </c>
      <c r="DE1874" s="8">
        <f>0</f>
        <v>0</v>
      </c>
      <c r="DG1874" s="5" t="s">
        <v>238</v>
      </c>
      <c r="DH1874" s="5" t="s">
        <v>238</v>
      </c>
      <c r="DI1874" s="5" t="s">
        <v>238</v>
      </c>
      <c r="DJ1874" s="5" t="s">
        <v>238</v>
      </c>
      <c r="DN1874" s="5" t="s">
        <v>238</v>
      </c>
      <c r="DO1874" s="5" t="s">
        <v>238</v>
      </c>
      <c r="DP1874" s="5" t="s">
        <v>238</v>
      </c>
      <c r="DQ1874" s="5" t="s">
        <v>238</v>
      </c>
      <c r="DT1874" s="5" t="s">
        <v>2039</v>
      </c>
      <c r="DU1874" s="5" t="s">
        <v>3627</v>
      </c>
      <c r="HM1874" s="5" t="s">
        <v>264</v>
      </c>
    </row>
    <row r="1875" spans="1:221" x14ac:dyDescent="0.4">
      <c r="A1875" s="5">
        <v>3573</v>
      </c>
      <c r="B1875" s="5">
        <v>1</v>
      </c>
      <c r="C1875" s="5">
        <v>1</v>
      </c>
      <c r="D1875" s="5" t="s">
        <v>2037</v>
      </c>
      <c r="E1875" s="5" t="s">
        <v>271</v>
      </c>
      <c r="F1875" s="5" t="s">
        <v>248</v>
      </c>
      <c r="G1875" s="5" t="s">
        <v>3639</v>
      </c>
      <c r="H1875" s="6" t="s">
        <v>3641</v>
      </c>
      <c r="I1875" s="7">
        <f>0</f>
        <v>0</v>
      </c>
      <c r="J1875" s="5" t="s">
        <v>262</v>
      </c>
      <c r="K1875" s="8">
        <f>635000</f>
        <v>635000</v>
      </c>
      <c r="L1875" s="6" t="s">
        <v>3640</v>
      </c>
      <c r="M1875" s="5" t="s">
        <v>267</v>
      </c>
      <c r="N1875" s="5" t="s">
        <v>265</v>
      </c>
      <c r="O1875" s="5" t="s">
        <v>238</v>
      </c>
      <c r="P1875" s="5" t="s">
        <v>238</v>
      </c>
      <c r="Q1875" s="5" t="s">
        <v>239</v>
      </c>
      <c r="R1875" s="5" t="s">
        <v>238</v>
      </c>
      <c r="S1875" s="5" t="s">
        <v>238</v>
      </c>
      <c r="V1875" s="5" t="s">
        <v>238</v>
      </c>
      <c r="X1875" s="6" t="s">
        <v>238</v>
      </c>
      <c r="AA1875" s="6" t="s">
        <v>2454</v>
      </c>
      <c r="AB1875" s="5" t="s">
        <v>238</v>
      </c>
      <c r="AC1875" s="5" t="s">
        <v>244</v>
      </c>
      <c r="AD1875" s="5" t="s">
        <v>245</v>
      </c>
      <c r="AT1875" s="5" t="s">
        <v>246</v>
      </c>
      <c r="AU1875" s="5" t="s">
        <v>238</v>
      </c>
      <c r="AV1875" s="5" t="s">
        <v>247</v>
      </c>
      <c r="AW1875" s="5" t="s">
        <v>238</v>
      </c>
      <c r="AX1875" s="5" t="s">
        <v>249</v>
      </c>
      <c r="AY1875" s="5" t="s">
        <v>238</v>
      </c>
      <c r="BA1875" s="5" t="s">
        <v>238</v>
      </c>
      <c r="BC1875" s="5" t="s">
        <v>1433</v>
      </c>
      <c r="BD1875" s="6" t="s">
        <v>3640</v>
      </c>
      <c r="BE1875" s="5" t="s">
        <v>251</v>
      </c>
      <c r="BF1875" s="5" t="s">
        <v>2043</v>
      </c>
      <c r="BG1875" s="5" t="s">
        <v>238</v>
      </c>
      <c r="BH1875" s="7">
        <f>0</f>
        <v>0</v>
      </c>
      <c r="BI1875" s="8">
        <f>0</f>
        <v>0</v>
      </c>
      <c r="BJ1875" s="5" t="s">
        <v>253</v>
      </c>
      <c r="BK1875" s="5" t="s">
        <v>254</v>
      </c>
      <c r="BY1875" s="5" t="s">
        <v>238</v>
      </c>
      <c r="BZ1875" s="5" t="s">
        <v>238</v>
      </c>
      <c r="CD1875" s="5" t="s">
        <v>293</v>
      </c>
      <c r="CE1875" s="5" t="s">
        <v>256</v>
      </c>
      <c r="CF1875" s="5" t="s">
        <v>238</v>
      </c>
      <c r="CI1875" s="6" t="s">
        <v>257</v>
      </c>
      <c r="CJ1875" s="5" t="s">
        <v>238</v>
      </c>
      <c r="CK1875" s="5" t="s">
        <v>258</v>
      </c>
      <c r="CL1875" s="5" t="s">
        <v>238</v>
      </c>
      <c r="CM1875" s="5" t="s">
        <v>238</v>
      </c>
      <c r="CN1875" s="5">
        <v>0</v>
      </c>
      <c r="CO1875" s="5" t="s">
        <v>259</v>
      </c>
      <c r="CP1875" s="5" t="s">
        <v>260</v>
      </c>
      <c r="CQ1875" s="5" t="s">
        <v>260</v>
      </c>
      <c r="CR1875" s="5" t="s">
        <v>261</v>
      </c>
      <c r="CU1875" s="8">
        <f>635000</f>
        <v>635000</v>
      </c>
      <c r="CV1875" s="8">
        <f>0</f>
        <v>0</v>
      </c>
      <c r="CX1875" s="8">
        <f>0</f>
        <v>0</v>
      </c>
      <c r="CY1875" s="8">
        <f>635000</f>
        <v>635000</v>
      </c>
      <c r="DA1875" s="5" t="s">
        <v>356</v>
      </c>
      <c r="DB1875" s="5" t="s">
        <v>238</v>
      </c>
      <c r="DD1875" s="5" t="s">
        <v>356</v>
      </c>
      <c r="DE1875" s="8">
        <f>0</f>
        <v>0</v>
      </c>
      <c r="DG1875" s="5" t="s">
        <v>238</v>
      </c>
      <c r="DH1875" s="5" t="s">
        <v>238</v>
      </c>
      <c r="DI1875" s="5" t="s">
        <v>238</v>
      </c>
      <c r="DJ1875" s="5" t="s">
        <v>238</v>
      </c>
      <c r="DN1875" s="5" t="s">
        <v>238</v>
      </c>
      <c r="DO1875" s="5" t="s">
        <v>238</v>
      </c>
      <c r="DP1875" s="5" t="s">
        <v>238</v>
      </c>
      <c r="DQ1875" s="5" t="s">
        <v>238</v>
      </c>
      <c r="DT1875" s="5" t="s">
        <v>2039</v>
      </c>
      <c r="DU1875" s="5" t="s">
        <v>3642</v>
      </c>
      <c r="HM1875" s="5" t="s">
        <v>264</v>
      </c>
    </row>
    <row r="1876" spans="1:221" x14ac:dyDescent="0.4">
      <c r="A1876" s="5">
        <v>3574</v>
      </c>
      <c r="B1876" s="5">
        <v>1</v>
      </c>
      <c r="C1876" s="5">
        <v>1</v>
      </c>
      <c r="D1876" s="5" t="s">
        <v>2037</v>
      </c>
      <c r="E1876" s="5" t="s">
        <v>271</v>
      </c>
      <c r="F1876" s="5" t="s">
        <v>248</v>
      </c>
      <c r="G1876" s="5" t="s">
        <v>3655</v>
      </c>
      <c r="H1876" s="6" t="s">
        <v>3641</v>
      </c>
      <c r="I1876" s="7">
        <f>0</f>
        <v>0</v>
      </c>
      <c r="J1876" s="5" t="s">
        <v>262</v>
      </c>
      <c r="K1876" s="8">
        <f>26387200</f>
        <v>26387200</v>
      </c>
      <c r="L1876" s="6" t="s">
        <v>3629</v>
      </c>
      <c r="M1876" s="5" t="s">
        <v>267</v>
      </c>
      <c r="N1876" s="5" t="s">
        <v>265</v>
      </c>
      <c r="O1876" s="5" t="s">
        <v>238</v>
      </c>
      <c r="P1876" s="5" t="s">
        <v>238</v>
      </c>
      <c r="Q1876" s="5" t="s">
        <v>239</v>
      </c>
      <c r="R1876" s="5" t="s">
        <v>238</v>
      </c>
      <c r="S1876" s="5" t="s">
        <v>238</v>
      </c>
      <c r="V1876" s="5" t="s">
        <v>238</v>
      </c>
      <c r="X1876" s="6" t="s">
        <v>238</v>
      </c>
      <c r="AA1876" s="6" t="s">
        <v>2474</v>
      </c>
      <c r="AB1876" s="5" t="s">
        <v>238</v>
      </c>
      <c r="AC1876" s="5" t="s">
        <v>244</v>
      </c>
      <c r="AD1876" s="5" t="s">
        <v>245</v>
      </c>
      <c r="AT1876" s="5" t="s">
        <v>246</v>
      </c>
      <c r="AU1876" s="5" t="s">
        <v>238</v>
      </c>
      <c r="AV1876" s="5" t="s">
        <v>247</v>
      </c>
      <c r="AW1876" s="5" t="s">
        <v>238</v>
      </c>
      <c r="AX1876" s="5" t="s">
        <v>249</v>
      </c>
      <c r="AY1876" s="5" t="s">
        <v>238</v>
      </c>
      <c r="BA1876" s="5" t="s">
        <v>238</v>
      </c>
      <c r="BC1876" s="5" t="s">
        <v>1433</v>
      </c>
      <c r="BD1876" s="6" t="s">
        <v>3629</v>
      </c>
      <c r="BE1876" s="5" t="s">
        <v>251</v>
      </c>
      <c r="BF1876" s="5" t="s">
        <v>2043</v>
      </c>
      <c r="BG1876" s="5" t="s">
        <v>238</v>
      </c>
      <c r="BH1876" s="7">
        <f>0</f>
        <v>0</v>
      </c>
      <c r="BI1876" s="8">
        <f>0</f>
        <v>0</v>
      </c>
      <c r="BJ1876" s="5" t="s">
        <v>253</v>
      </c>
      <c r="BK1876" s="5" t="s">
        <v>254</v>
      </c>
      <c r="BY1876" s="5" t="s">
        <v>238</v>
      </c>
      <c r="BZ1876" s="5" t="s">
        <v>238</v>
      </c>
      <c r="CD1876" s="5" t="s">
        <v>293</v>
      </c>
      <c r="CE1876" s="5" t="s">
        <v>256</v>
      </c>
      <c r="CF1876" s="5" t="s">
        <v>238</v>
      </c>
      <c r="CI1876" s="6" t="s">
        <v>257</v>
      </c>
      <c r="CJ1876" s="5" t="s">
        <v>238</v>
      </c>
      <c r="CK1876" s="5" t="s">
        <v>258</v>
      </c>
      <c r="CL1876" s="5" t="s">
        <v>238</v>
      </c>
      <c r="CM1876" s="5" t="s">
        <v>238</v>
      </c>
      <c r="CN1876" s="5">
        <v>0</v>
      </c>
      <c r="CO1876" s="5" t="s">
        <v>259</v>
      </c>
      <c r="CP1876" s="5" t="s">
        <v>260</v>
      </c>
      <c r="CQ1876" s="5" t="s">
        <v>260</v>
      </c>
      <c r="CR1876" s="5" t="s">
        <v>261</v>
      </c>
      <c r="CU1876" s="8">
        <f>26387200</f>
        <v>26387200</v>
      </c>
      <c r="CV1876" s="8">
        <f>0</f>
        <v>0</v>
      </c>
      <c r="CX1876" s="8">
        <f>0</f>
        <v>0</v>
      </c>
      <c r="CY1876" s="8">
        <f>26387200</f>
        <v>26387200</v>
      </c>
      <c r="DA1876" s="5" t="s">
        <v>356</v>
      </c>
      <c r="DB1876" s="5" t="s">
        <v>238</v>
      </c>
      <c r="DD1876" s="5" t="s">
        <v>356</v>
      </c>
      <c r="DE1876" s="8">
        <f>0</f>
        <v>0</v>
      </c>
      <c r="DG1876" s="5" t="s">
        <v>238</v>
      </c>
      <c r="DH1876" s="5" t="s">
        <v>238</v>
      </c>
      <c r="DI1876" s="5" t="s">
        <v>238</v>
      </c>
      <c r="DJ1876" s="5" t="s">
        <v>238</v>
      </c>
      <c r="DN1876" s="5" t="s">
        <v>238</v>
      </c>
      <c r="DO1876" s="5" t="s">
        <v>238</v>
      </c>
      <c r="DP1876" s="5" t="s">
        <v>238</v>
      </c>
      <c r="DQ1876" s="5" t="s">
        <v>238</v>
      </c>
      <c r="DT1876" s="5" t="s">
        <v>2039</v>
      </c>
      <c r="DU1876" s="5" t="s">
        <v>3656</v>
      </c>
      <c r="HM1876" s="5" t="s">
        <v>264</v>
      </c>
    </row>
    <row r="1877" spans="1:221" x14ac:dyDescent="0.4">
      <c r="A1877" s="5">
        <v>3575</v>
      </c>
      <c r="B1877" s="5">
        <v>1</v>
      </c>
      <c r="C1877" s="5">
        <v>1</v>
      </c>
      <c r="D1877" s="5" t="s">
        <v>2037</v>
      </c>
      <c r="E1877" s="5" t="s">
        <v>271</v>
      </c>
      <c r="F1877" s="5" t="s">
        <v>248</v>
      </c>
      <c r="G1877" s="5" t="s">
        <v>3667</v>
      </c>
      <c r="H1877" s="6" t="s">
        <v>2743</v>
      </c>
      <c r="I1877" s="7">
        <f>714.77</f>
        <v>714.77</v>
      </c>
      <c r="J1877" s="5" t="s">
        <v>262</v>
      </c>
      <c r="K1877" s="8">
        <f>1986028</f>
        <v>1986028</v>
      </c>
      <c r="L1877" s="6" t="s">
        <v>3668</v>
      </c>
      <c r="M1877" s="5" t="s">
        <v>267</v>
      </c>
      <c r="N1877" s="5" t="s">
        <v>265</v>
      </c>
      <c r="O1877" s="5" t="s">
        <v>238</v>
      </c>
      <c r="P1877" s="5" t="s">
        <v>238</v>
      </c>
      <c r="Q1877" s="5" t="s">
        <v>239</v>
      </c>
      <c r="R1877" s="5" t="s">
        <v>238</v>
      </c>
      <c r="S1877" s="5" t="s">
        <v>238</v>
      </c>
      <c r="V1877" s="5" t="s">
        <v>238</v>
      </c>
      <c r="X1877" s="6" t="s">
        <v>238</v>
      </c>
      <c r="AA1877" s="6" t="s">
        <v>2398</v>
      </c>
      <c r="AB1877" s="5" t="s">
        <v>238</v>
      </c>
      <c r="AC1877" s="5" t="s">
        <v>244</v>
      </c>
      <c r="AD1877" s="5" t="s">
        <v>245</v>
      </c>
      <c r="AT1877" s="5" t="s">
        <v>246</v>
      </c>
      <c r="AU1877" s="5" t="s">
        <v>238</v>
      </c>
      <c r="AV1877" s="5" t="s">
        <v>247</v>
      </c>
      <c r="AW1877" s="5" t="s">
        <v>238</v>
      </c>
      <c r="AX1877" s="5" t="s">
        <v>249</v>
      </c>
      <c r="AY1877" s="5" t="s">
        <v>238</v>
      </c>
      <c r="BA1877" s="5" t="s">
        <v>238</v>
      </c>
      <c r="BC1877" s="5" t="s">
        <v>1433</v>
      </c>
      <c r="BD1877" s="6" t="s">
        <v>3668</v>
      </c>
      <c r="BE1877" s="5" t="s">
        <v>251</v>
      </c>
      <c r="BF1877" s="5" t="s">
        <v>2043</v>
      </c>
      <c r="BG1877" s="5" t="s">
        <v>238</v>
      </c>
      <c r="BH1877" s="7">
        <f>0</f>
        <v>0</v>
      </c>
      <c r="BI1877" s="8">
        <f>0</f>
        <v>0</v>
      </c>
      <c r="BJ1877" s="5" t="s">
        <v>253</v>
      </c>
      <c r="BK1877" s="5" t="s">
        <v>254</v>
      </c>
      <c r="BY1877" s="5" t="s">
        <v>238</v>
      </c>
      <c r="BZ1877" s="5" t="s">
        <v>238</v>
      </c>
      <c r="CD1877" s="5" t="s">
        <v>293</v>
      </c>
      <c r="CE1877" s="5" t="s">
        <v>256</v>
      </c>
      <c r="CF1877" s="5" t="s">
        <v>238</v>
      </c>
      <c r="CI1877" s="6" t="s">
        <v>257</v>
      </c>
      <c r="CJ1877" s="5" t="s">
        <v>238</v>
      </c>
      <c r="CK1877" s="5" t="s">
        <v>258</v>
      </c>
      <c r="CL1877" s="5" t="s">
        <v>238</v>
      </c>
      <c r="CM1877" s="5" t="s">
        <v>238</v>
      </c>
      <c r="CN1877" s="5">
        <v>0</v>
      </c>
      <c r="CO1877" s="5" t="s">
        <v>259</v>
      </c>
      <c r="CP1877" s="5" t="s">
        <v>260</v>
      </c>
      <c r="CQ1877" s="5" t="s">
        <v>260</v>
      </c>
      <c r="CR1877" s="5" t="s">
        <v>261</v>
      </c>
      <c r="CU1877" s="8">
        <f>1986028</f>
        <v>1986028</v>
      </c>
      <c r="CV1877" s="8">
        <f>0</f>
        <v>0</v>
      </c>
      <c r="CX1877" s="8">
        <f>0</f>
        <v>0</v>
      </c>
      <c r="CY1877" s="8">
        <f>1986028</f>
        <v>1986028</v>
      </c>
      <c r="DA1877" s="5" t="s">
        <v>356</v>
      </c>
      <c r="DB1877" s="5" t="s">
        <v>238</v>
      </c>
      <c r="DD1877" s="5" t="s">
        <v>356</v>
      </c>
      <c r="DE1877" s="8">
        <f>714.77</f>
        <v>714.77</v>
      </c>
      <c r="DG1877" s="5" t="s">
        <v>238</v>
      </c>
      <c r="DH1877" s="5" t="s">
        <v>238</v>
      </c>
      <c r="DI1877" s="5" t="s">
        <v>238</v>
      </c>
      <c r="DJ1877" s="5" t="s">
        <v>238</v>
      </c>
      <c r="DN1877" s="5" t="s">
        <v>238</v>
      </c>
      <c r="DO1877" s="5" t="s">
        <v>238</v>
      </c>
      <c r="DP1877" s="5" t="s">
        <v>238</v>
      </c>
      <c r="DQ1877" s="5" t="s">
        <v>238</v>
      </c>
      <c r="DT1877" s="5" t="s">
        <v>2039</v>
      </c>
      <c r="DU1877" s="5" t="s">
        <v>3669</v>
      </c>
      <c r="HM1877" s="5" t="s">
        <v>264</v>
      </c>
    </row>
    <row r="1878" spans="1:221" x14ac:dyDescent="0.4">
      <c r="A1878" s="5">
        <v>3576</v>
      </c>
      <c r="B1878" s="5">
        <v>1</v>
      </c>
      <c r="C1878" s="5">
        <v>1</v>
      </c>
      <c r="D1878" s="5" t="s">
        <v>2037</v>
      </c>
      <c r="E1878" s="5" t="s">
        <v>271</v>
      </c>
      <c r="F1878" s="5" t="s">
        <v>248</v>
      </c>
      <c r="G1878" s="5" t="s">
        <v>3676</v>
      </c>
      <c r="H1878" s="6" t="s">
        <v>2743</v>
      </c>
      <c r="I1878" s="7">
        <f>0</f>
        <v>0</v>
      </c>
      <c r="J1878" s="5" t="s">
        <v>262</v>
      </c>
      <c r="K1878" s="8">
        <f>24622044</f>
        <v>24622044</v>
      </c>
      <c r="L1878" s="6" t="s">
        <v>3677</v>
      </c>
      <c r="M1878" s="5" t="s">
        <v>267</v>
      </c>
      <c r="N1878" s="5" t="s">
        <v>265</v>
      </c>
      <c r="O1878" s="5" t="s">
        <v>238</v>
      </c>
      <c r="P1878" s="5" t="s">
        <v>238</v>
      </c>
      <c r="Q1878" s="5" t="s">
        <v>239</v>
      </c>
      <c r="R1878" s="5" t="s">
        <v>238</v>
      </c>
      <c r="S1878" s="5" t="s">
        <v>238</v>
      </c>
      <c r="V1878" s="5" t="s">
        <v>238</v>
      </c>
      <c r="X1878" s="6" t="s">
        <v>238</v>
      </c>
      <c r="AA1878" s="6" t="s">
        <v>2134</v>
      </c>
      <c r="AB1878" s="5" t="s">
        <v>238</v>
      </c>
      <c r="AC1878" s="5" t="s">
        <v>244</v>
      </c>
      <c r="AD1878" s="5" t="s">
        <v>245</v>
      </c>
      <c r="AT1878" s="5" t="s">
        <v>246</v>
      </c>
      <c r="AU1878" s="5" t="s">
        <v>238</v>
      </c>
      <c r="AV1878" s="5" t="s">
        <v>247</v>
      </c>
      <c r="AW1878" s="5" t="s">
        <v>238</v>
      </c>
      <c r="AX1878" s="5" t="s">
        <v>249</v>
      </c>
      <c r="AY1878" s="5" t="s">
        <v>238</v>
      </c>
      <c r="BA1878" s="5" t="s">
        <v>238</v>
      </c>
      <c r="BC1878" s="5" t="s">
        <v>1433</v>
      </c>
      <c r="BD1878" s="6" t="s">
        <v>3677</v>
      </c>
      <c r="BE1878" s="5" t="s">
        <v>251</v>
      </c>
      <c r="BF1878" s="5" t="s">
        <v>2043</v>
      </c>
      <c r="BG1878" s="5" t="s">
        <v>238</v>
      </c>
      <c r="BH1878" s="7">
        <f>0</f>
        <v>0</v>
      </c>
      <c r="BI1878" s="8">
        <f>0</f>
        <v>0</v>
      </c>
      <c r="BJ1878" s="5" t="s">
        <v>253</v>
      </c>
      <c r="BK1878" s="5" t="s">
        <v>254</v>
      </c>
      <c r="BY1878" s="5" t="s">
        <v>238</v>
      </c>
      <c r="BZ1878" s="5" t="s">
        <v>238</v>
      </c>
      <c r="CD1878" s="5" t="s">
        <v>293</v>
      </c>
      <c r="CE1878" s="5" t="s">
        <v>256</v>
      </c>
      <c r="CF1878" s="5" t="s">
        <v>238</v>
      </c>
      <c r="CI1878" s="6" t="s">
        <v>257</v>
      </c>
      <c r="CJ1878" s="5" t="s">
        <v>238</v>
      </c>
      <c r="CK1878" s="5" t="s">
        <v>258</v>
      </c>
      <c r="CL1878" s="5" t="s">
        <v>238</v>
      </c>
      <c r="CM1878" s="5" t="s">
        <v>238</v>
      </c>
      <c r="CN1878" s="5">
        <v>0</v>
      </c>
      <c r="CO1878" s="5" t="s">
        <v>259</v>
      </c>
      <c r="CP1878" s="5" t="s">
        <v>260</v>
      </c>
      <c r="CQ1878" s="5" t="s">
        <v>260</v>
      </c>
      <c r="CR1878" s="5" t="s">
        <v>261</v>
      </c>
      <c r="CU1878" s="8">
        <f>24622044</f>
        <v>24622044</v>
      </c>
      <c r="CV1878" s="8">
        <f>0</f>
        <v>0</v>
      </c>
      <c r="CX1878" s="8">
        <f>0</f>
        <v>0</v>
      </c>
      <c r="CY1878" s="8">
        <f>24622044</f>
        <v>24622044</v>
      </c>
      <c r="DA1878" s="5" t="s">
        <v>356</v>
      </c>
      <c r="DB1878" s="5" t="s">
        <v>238</v>
      </c>
      <c r="DD1878" s="5" t="s">
        <v>356</v>
      </c>
      <c r="DE1878" s="8">
        <f>0</f>
        <v>0</v>
      </c>
      <c r="DG1878" s="5" t="s">
        <v>238</v>
      </c>
      <c r="DH1878" s="5" t="s">
        <v>238</v>
      </c>
      <c r="DI1878" s="5" t="s">
        <v>238</v>
      </c>
      <c r="DJ1878" s="5" t="s">
        <v>238</v>
      </c>
      <c r="DN1878" s="5" t="s">
        <v>238</v>
      </c>
      <c r="DO1878" s="5" t="s">
        <v>238</v>
      </c>
      <c r="DP1878" s="5" t="s">
        <v>238</v>
      </c>
      <c r="DQ1878" s="5" t="s">
        <v>238</v>
      </c>
      <c r="DT1878" s="5" t="s">
        <v>2039</v>
      </c>
      <c r="DU1878" s="5" t="s">
        <v>3678</v>
      </c>
      <c r="HM1878" s="5" t="s">
        <v>264</v>
      </c>
    </row>
    <row r="1879" spans="1:221" x14ac:dyDescent="0.4">
      <c r="A1879" s="5">
        <v>3577</v>
      </c>
      <c r="B1879" s="5">
        <v>1</v>
      </c>
      <c r="C1879" s="5">
        <v>1</v>
      </c>
      <c r="D1879" s="5" t="s">
        <v>2037</v>
      </c>
      <c r="E1879" s="5" t="s">
        <v>271</v>
      </c>
      <c r="F1879" s="5" t="s">
        <v>248</v>
      </c>
      <c r="G1879" s="5" t="s">
        <v>3688</v>
      </c>
      <c r="H1879" s="6" t="s">
        <v>2743</v>
      </c>
      <c r="I1879" s="7">
        <f>405.69</f>
        <v>405.69</v>
      </c>
      <c r="J1879" s="5" t="s">
        <v>262</v>
      </c>
      <c r="K1879" s="8">
        <f>2158582</f>
        <v>2158582</v>
      </c>
      <c r="L1879" s="6" t="s">
        <v>3546</v>
      </c>
      <c r="M1879" s="5" t="s">
        <v>267</v>
      </c>
      <c r="N1879" s="5" t="s">
        <v>265</v>
      </c>
      <c r="O1879" s="5" t="s">
        <v>238</v>
      </c>
      <c r="P1879" s="5" t="s">
        <v>238</v>
      </c>
      <c r="Q1879" s="5" t="s">
        <v>239</v>
      </c>
      <c r="R1879" s="5" t="s">
        <v>238</v>
      </c>
      <c r="S1879" s="5" t="s">
        <v>238</v>
      </c>
      <c r="V1879" s="5" t="s">
        <v>238</v>
      </c>
      <c r="X1879" s="6" t="s">
        <v>238</v>
      </c>
      <c r="AA1879" s="6" t="s">
        <v>2134</v>
      </c>
      <c r="AB1879" s="5" t="s">
        <v>238</v>
      </c>
      <c r="AC1879" s="5" t="s">
        <v>244</v>
      </c>
      <c r="AD1879" s="5" t="s">
        <v>245</v>
      </c>
      <c r="AT1879" s="5" t="s">
        <v>246</v>
      </c>
      <c r="AU1879" s="5" t="s">
        <v>238</v>
      </c>
      <c r="AV1879" s="5" t="s">
        <v>247</v>
      </c>
      <c r="AW1879" s="5" t="s">
        <v>238</v>
      </c>
      <c r="AX1879" s="5" t="s">
        <v>249</v>
      </c>
      <c r="AY1879" s="5" t="s">
        <v>238</v>
      </c>
      <c r="BA1879" s="5" t="s">
        <v>238</v>
      </c>
      <c r="BC1879" s="5" t="s">
        <v>1433</v>
      </c>
      <c r="BD1879" s="6" t="s">
        <v>3546</v>
      </c>
      <c r="BE1879" s="5" t="s">
        <v>251</v>
      </c>
      <c r="BF1879" s="5" t="s">
        <v>2043</v>
      </c>
      <c r="BG1879" s="5" t="s">
        <v>238</v>
      </c>
      <c r="BH1879" s="7">
        <f>0</f>
        <v>0</v>
      </c>
      <c r="BI1879" s="8">
        <f>0</f>
        <v>0</v>
      </c>
      <c r="BJ1879" s="5" t="s">
        <v>253</v>
      </c>
      <c r="BK1879" s="5" t="s">
        <v>254</v>
      </c>
      <c r="BY1879" s="5" t="s">
        <v>238</v>
      </c>
      <c r="BZ1879" s="5" t="s">
        <v>238</v>
      </c>
      <c r="CD1879" s="5" t="s">
        <v>293</v>
      </c>
      <c r="CE1879" s="5" t="s">
        <v>256</v>
      </c>
      <c r="CF1879" s="5" t="s">
        <v>238</v>
      </c>
      <c r="CI1879" s="6" t="s">
        <v>257</v>
      </c>
      <c r="CJ1879" s="5" t="s">
        <v>238</v>
      </c>
      <c r="CK1879" s="5" t="s">
        <v>258</v>
      </c>
      <c r="CL1879" s="5" t="s">
        <v>238</v>
      </c>
      <c r="CM1879" s="5" t="s">
        <v>238</v>
      </c>
      <c r="CN1879" s="5">
        <v>0</v>
      </c>
      <c r="CO1879" s="5" t="s">
        <v>259</v>
      </c>
      <c r="CP1879" s="5" t="s">
        <v>260</v>
      </c>
      <c r="CQ1879" s="5" t="s">
        <v>260</v>
      </c>
      <c r="CR1879" s="5" t="s">
        <v>261</v>
      </c>
      <c r="CU1879" s="8">
        <f>2158582</f>
        <v>2158582</v>
      </c>
      <c r="CV1879" s="8">
        <f>0</f>
        <v>0</v>
      </c>
      <c r="CX1879" s="8">
        <f>0</f>
        <v>0</v>
      </c>
      <c r="CY1879" s="8">
        <f>2158582</f>
        <v>2158582</v>
      </c>
      <c r="DA1879" s="5" t="s">
        <v>356</v>
      </c>
      <c r="DB1879" s="5" t="s">
        <v>238</v>
      </c>
      <c r="DD1879" s="5" t="s">
        <v>356</v>
      </c>
      <c r="DE1879" s="8">
        <f>405.69</f>
        <v>405.69</v>
      </c>
      <c r="DG1879" s="5" t="s">
        <v>238</v>
      </c>
      <c r="DH1879" s="5" t="s">
        <v>238</v>
      </c>
      <c r="DI1879" s="5" t="s">
        <v>238</v>
      </c>
      <c r="DJ1879" s="5" t="s">
        <v>238</v>
      </c>
      <c r="DN1879" s="5" t="s">
        <v>238</v>
      </c>
      <c r="DO1879" s="5" t="s">
        <v>238</v>
      </c>
      <c r="DP1879" s="5" t="s">
        <v>238</v>
      </c>
      <c r="DQ1879" s="5" t="s">
        <v>238</v>
      </c>
      <c r="DT1879" s="5" t="s">
        <v>2039</v>
      </c>
      <c r="DU1879" s="5" t="s">
        <v>3689</v>
      </c>
      <c r="HM1879" s="5" t="s">
        <v>264</v>
      </c>
    </row>
    <row r="1880" spans="1:221" x14ac:dyDescent="0.4">
      <c r="A1880" s="5">
        <v>3578</v>
      </c>
      <c r="B1880" s="5">
        <v>1</v>
      </c>
      <c r="C1880" s="5">
        <v>1</v>
      </c>
      <c r="D1880" s="5" t="s">
        <v>2037</v>
      </c>
      <c r="E1880" s="5" t="s">
        <v>271</v>
      </c>
      <c r="F1880" s="5" t="s">
        <v>248</v>
      </c>
      <c r="G1880" s="5" t="s">
        <v>3720</v>
      </c>
      <c r="H1880" s="6" t="s">
        <v>2743</v>
      </c>
      <c r="I1880" s="7">
        <f>0</f>
        <v>0</v>
      </c>
      <c r="J1880" s="5" t="s">
        <v>262</v>
      </c>
      <c r="K1880" s="8">
        <f>32191445</f>
        <v>32191445</v>
      </c>
      <c r="L1880" s="6" t="s">
        <v>3721</v>
      </c>
      <c r="M1880" s="5" t="s">
        <v>267</v>
      </c>
      <c r="N1880" s="5" t="s">
        <v>265</v>
      </c>
      <c r="O1880" s="5" t="s">
        <v>238</v>
      </c>
      <c r="P1880" s="5" t="s">
        <v>238</v>
      </c>
      <c r="Q1880" s="5" t="s">
        <v>239</v>
      </c>
      <c r="R1880" s="5" t="s">
        <v>238</v>
      </c>
      <c r="S1880" s="5" t="s">
        <v>238</v>
      </c>
      <c r="V1880" s="5" t="s">
        <v>238</v>
      </c>
      <c r="X1880" s="6" t="s">
        <v>238</v>
      </c>
      <c r="AA1880" s="6" t="s">
        <v>2344</v>
      </c>
      <c r="AB1880" s="5" t="s">
        <v>238</v>
      </c>
      <c r="AC1880" s="5" t="s">
        <v>244</v>
      </c>
      <c r="AD1880" s="5" t="s">
        <v>245</v>
      </c>
      <c r="AT1880" s="5" t="s">
        <v>246</v>
      </c>
      <c r="AU1880" s="5" t="s">
        <v>238</v>
      </c>
      <c r="AV1880" s="5" t="s">
        <v>247</v>
      </c>
      <c r="AW1880" s="5" t="s">
        <v>238</v>
      </c>
      <c r="AX1880" s="5" t="s">
        <v>249</v>
      </c>
      <c r="AY1880" s="5" t="s">
        <v>238</v>
      </c>
      <c r="BA1880" s="5" t="s">
        <v>238</v>
      </c>
      <c r="BC1880" s="5" t="s">
        <v>1433</v>
      </c>
      <c r="BD1880" s="6" t="s">
        <v>3721</v>
      </c>
      <c r="BE1880" s="5" t="s">
        <v>251</v>
      </c>
      <c r="BF1880" s="5" t="s">
        <v>2043</v>
      </c>
      <c r="BG1880" s="5" t="s">
        <v>238</v>
      </c>
      <c r="BH1880" s="7">
        <f>0</f>
        <v>0</v>
      </c>
      <c r="BI1880" s="8">
        <f>0</f>
        <v>0</v>
      </c>
      <c r="BJ1880" s="5" t="s">
        <v>253</v>
      </c>
      <c r="BK1880" s="5" t="s">
        <v>254</v>
      </c>
      <c r="BY1880" s="5" t="s">
        <v>238</v>
      </c>
      <c r="BZ1880" s="5" t="s">
        <v>238</v>
      </c>
      <c r="CD1880" s="5" t="s">
        <v>293</v>
      </c>
      <c r="CE1880" s="5" t="s">
        <v>256</v>
      </c>
      <c r="CF1880" s="5" t="s">
        <v>238</v>
      </c>
      <c r="CI1880" s="6" t="s">
        <v>257</v>
      </c>
      <c r="CJ1880" s="5" t="s">
        <v>238</v>
      </c>
      <c r="CK1880" s="5" t="s">
        <v>258</v>
      </c>
      <c r="CL1880" s="5" t="s">
        <v>238</v>
      </c>
      <c r="CM1880" s="5" t="s">
        <v>238</v>
      </c>
      <c r="CN1880" s="5">
        <v>0</v>
      </c>
      <c r="CO1880" s="5" t="s">
        <v>259</v>
      </c>
      <c r="CP1880" s="5" t="s">
        <v>260</v>
      </c>
      <c r="CQ1880" s="5" t="s">
        <v>260</v>
      </c>
      <c r="CR1880" s="5" t="s">
        <v>261</v>
      </c>
      <c r="CU1880" s="8">
        <f>32191445</f>
        <v>32191445</v>
      </c>
      <c r="CV1880" s="8">
        <f>0</f>
        <v>0</v>
      </c>
      <c r="CX1880" s="8">
        <f>0</f>
        <v>0</v>
      </c>
      <c r="CY1880" s="8">
        <f>32191445</f>
        <v>32191445</v>
      </c>
      <c r="DA1880" s="5" t="s">
        <v>356</v>
      </c>
      <c r="DB1880" s="5" t="s">
        <v>238</v>
      </c>
      <c r="DD1880" s="5" t="s">
        <v>356</v>
      </c>
      <c r="DE1880" s="8">
        <f>0</f>
        <v>0</v>
      </c>
      <c r="DG1880" s="5" t="s">
        <v>238</v>
      </c>
      <c r="DH1880" s="5" t="s">
        <v>238</v>
      </c>
      <c r="DI1880" s="5" t="s">
        <v>238</v>
      </c>
      <c r="DJ1880" s="5" t="s">
        <v>238</v>
      </c>
      <c r="DN1880" s="5" t="s">
        <v>238</v>
      </c>
      <c r="DO1880" s="5" t="s">
        <v>238</v>
      </c>
      <c r="DP1880" s="5" t="s">
        <v>238</v>
      </c>
      <c r="DQ1880" s="5" t="s">
        <v>238</v>
      </c>
      <c r="DT1880" s="5" t="s">
        <v>2039</v>
      </c>
      <c r="DU1880" s="5" t="s">
        <v>3722</v>
      </c>
      <c r="HM1880" s="5" t="s">
        <v>264</v>
      </c>
    </row>
    <row r="1881" spans="1:221" x14ac:dyDescent="0.4">
      <c r="A1881" s="5">
        <v>3579</v>
      </c>
      <c r="B1881" s="5">
        <v>1</v>
      </c>
      <c r="C1881" s="5">
        <v>1</v>
      </c>
      <c r="D1881" s="5" t="s">
        <v>2037</v>
      </c>
      <c r="E1881" s="5" t="s">
        <v>271</v>
      </c>
      <c r="F1881" s="5" t="s">
        <v>248</v>
      </c>
      <c r="G1881" s="5" t="s">
        <v>3729</v>
      </c>
      <c r="H1881" s="6" t="s">
        <v>3731</v>
      </c>
      <c r="I1881" s="7">
        <f>314.86</f>
        <v>314.86</v>
      </c>
      <c r="J1881" s="5" t="s">
        <v>262</v>
      </c>
      <c r="K1881" s="8">
        <f>625850</f>
        <v>625850</v>
      </c>
      <c r="L1881" s="6" t="s">
        <v>3730</v>
      </c>
      <c r="M1881" s="5" t="s">
        <v>267</v>
      </c>
      <c r="N1881" s="5" t="s">
        <v>265</v>
      </c>
      <c r="O1881" s="5" t="s">
        <v>238</v>
      </c>
      <c r="P1881" s="5" t="s">
        <v>238</v>
      </c>
      <c r="Q1881" s="5" t="s">
        <v>239</v>
      </c>
      <c r="R1881" s="5" t="s">
        <v>238</v>
      </c>
      <c r="S1881" s="5" t="s">
        <v>238</v>
      </c>
      <c r="V1881" s="5" t="s">
        <v>238</v>
      </c>
      <c r="X1881" s="6" t="s">
        <v>238</v>
      </c>
      <c r="AA1881" s="6" t="s">
        <v>2344</v>
      </c>
      <c r="AB1881" s="5" t="s">
        <v>238</v>
      </c>
      <c r="AC1881" s="5" t="s">
        <v>244</v>
      </c>
      <c r="AD1881" s="5" t="s">
        <v>245</v>
      </c>
      <c r="AT1881" s="5" t="s">
        <v>246</v>
      </c>
      <c r="AU1881" s="5" t="s">
        <v>238</v>
      </c>
      <c r="AV1881" s="5" t="s">
        <v>247</v>
      </c>
      <c r="AW1881" s="5" t="s">
        <v>238</v>
      </c>
      <c r="AX1881" s="5" t="s">
        <v>249</v>
      </c>
      <c r="AY1881" s="5" t="s">
        <v>238</v>
      </c>
      <c r="BA1881" s="5" t="s">
        <v>238</v>
      </c>
      <c r="BC1881" s="5" t="s">
        <v>1433</v>
      </c>
      <c r="BD1881" s="6" t="s">
        <v>3730</v>
      </c>
      <c r="BE1881" s="5" t="s">
        <v>251</v>
      </c>
      <c r="BF1881" s="5" t="s">
        <v>2043</v>
      </c>
      <c r="BG1881" s="5" t="s">
        <v>238</v>
      </c>
      <c r="BH1881" s="7">
        <f>0</f>
        <v>0</v>
      </c>
      <c r="BI1881" s="8">
        <f>0</f>
        <v>0</v>
      </c>
      <c r="BJ1881" s="5" t="s">
        <v>253</v>
      </c>
      <c r="BK1881" s="5" t="s">
        <v>254</v>
      </c>
      <c r="BY1881" s="5" t="s">
        <v>238</v>
      </c>
      <c r="BZ1881" s="5" t="s">
        <v>238</v>
      </c>
      <c r="CD1881" s="5" t="s">
        <v>293</v>
      </c>
      <c r="CE1881" s="5" t="s">
        <v>256</v>
      </c>
      <c r="CF1881" s="5" t="s">
        <v>238</v>
      </c>
      <c r="CI1881" s="6" t="s">
        <v>257</v>
      </c>
      <c r="CJ1881" s="5" t="s">
        <v>238</v>
      </c>
      <c r="CK1881" s="5" t="s">
        <v>258</v>
      </c>
      <c r="CL1881" s="5" t="s">
        <v>238</v>
      </c>
      <c r="CM1881" s="5" t="s">
        <v>238</v>
      </c>
      <c r="CN1881" s="5">
        <v>0</v>
      </c>
      <c r="CO1881" s="5" t="s">
        <v>259</v>
      </c>
      <c r="CP1881" s="5" t="s">
        <v>260</v>
      </c>
      <c r="CQ1881" s="5" t="s">
        <v>260</v>
      </c>
      <c r="CR1881" s="5" t="s">
        <v>261</v>
      </c>
      <c r="CU1881" s="8">
        <f>625850</f>
        <v>625850</v>
      </c>
      <c r="CV1881" s="8">
        <f>0</f>
        <v>0</v>
      </c>
      <c r="CX1881" s="8">
        <f>0</f>
        <v>0</v>
      </c>
      <c r="CY1881" s="8">
        <f>625850</f>
        <v>625850</v>
      </c>
      <c r="DA1881" s="5" t="s">
        <v>356</v>
      </c>
      <c r="DB1881" s="5" t="s">
        <v>238</v>
      </c>
      <c r="DD1881" s="5" t="s">
        <v>356</v>
      </c>
      <c r="DE1881" s="8">
        <f>314.86</f>
        <v>314.86</v>
      </c>
      <c r="DG1881" s="5" t="s">
        <v>238</v>
      </c>
      <c r="DH1881" s="5" t="s">
        <v>238</v>
      </c>
      <c r="DI1881" s="5" t="s">
        <v>238</v>
      </c>
      <c r="DJ1881" s="5" t="s">
        <v>238</v>
      </c>
      <c r="DN1881" s="5" t="s">
        <v>238</v>
      </c>
      <c r="DO1881" s="5" t="s">
        <v>238</v>
      </c>
      <c r="DP1881" s="5" t="s">
        <v>238</v>
      </c>
      <c r="DQ1881" s="5" t="s">
        <v>238</v>
      </c>
      <c r="DT1881" s="5" t="s">
        <v>2039</v>
      </c>
      <c r="DU1881" s="5" t="s">
        <v>2023</v>
      </c>
      <c r="HM1881" s="5" t="s">
        <v>264</v>
      </c>
    </row>
    <row r="1882" spans="1:221" x14ac:dyDescent="0.4">
      <c r="A1882" s="5">
        <v>3580</v>
      </c>
      <c r="B1882" s="5">
        <v>1</v>
      </c>
      <c r="C1882" s="5">
        <v>1</v>
      </c>
      <c r="D1882" s="5" t="s">
        <v>2037</v>
      </c>
      <c r="E1882" s="5" t="s">
        <v>271</v>
      </c>
      <c r="F1882" s="5" t="s">
        <v>248</v>
      </c>
      <c r="G1882" s="5" t="s">
        <v>3740</v>
      </c>
      <c r="H1882" s="6" t="s">
        <v>3731</v>
      </c>
      <c r="I1882" s="7">
        <f>0</f>
        <v>0</v>
      </c>
      <c r="J1882" s="5" t="s">
        <v>262</v>
      </c>
      <c r="K1882" s="8">
        <f>1989417</f>
        <v>1989417</v>
      </c>
      <c r="L1882" s="6" t="s">
        <v>3741</v>
      </c>
      <c r="M1882" s="5" t="s">
        <v>267</v>
      </c>
      <c r="N1882" s="5" t="s">
        <v>265</v>
      </c>
      <c r="O1882" s="5" t="s">
        <v>238</v>
      </c>
      <c r="P1882" s="5" t="s">
        <v>238</v>
      </c>
      <c r="Q1882" s="5" t="s">
        <v>239</v>
      </c>
      <c r="R1882" s="5" t="s">
        <v>238</v>
      </c>
      <c r="S1882" s="5" t="s">
        <v>238</v>
      </c>
      <c r="V1882" s="5" t="s">
        <v>238</v>
      </c>
      <c r="X1882" s="6" t="s">
        <v>238</v>
      </c>
      <c r="AA1882" s="6" t="s">
        <v>2344</v>
      </c>
      <c r="AB1882" s="5" t="s">
        <v>238</v>
      </c>
      <c r="AC1882" s="5" t="s">
        <v>244</v>
      </c>
      <c r="AD1882" s="5" t="s">
        <v>245</v>
      </c>
      <c r="AT1882" s="5" t="s">
        <v>246</v>
      </c>
      <c r="AU1882" s="5" t="s">
        <v>238</v>
      </c>
      <c r="AV1882" s="5" t="s">
        <v>247</v>
      </c>
      <c r="AW1882" s="5" t="s">
        <v>238</v>
      </c>
      <c r="AX1882" s="5" t="s">
        <v>249</v>
      </c>
      <c r="AY1882" s="5" t="s">
        <v>238</v>
      </c>
      <c r="BA1882" s="5" t="s">
        <v>238</v>
      </c>
      <c r="BC1882" s="5" t="s">
        <v>1433</v>
      </c>
      <c r="BD1882" s="6" t="s">
        <v>3741</v>
      </c>
      <c r="BE1882" s="5" t="s">
        <v>251</v>
      </c>
      <c r="BF1882" s="5" t="s">
        <v>2043</v>
      </c>
      <c r="BG1882" s="5" t="s">
        <v>238</v>
      </c>
      <c r="BH1882" s="7">
        <f>0</f>
        <v>0</v>
      </c>
      <c r="BI1882" s="8">
        <f>0</f>
        <v>0</v>
      </c>
      <c r="BJ1882" s="5" t="s">
        <v>253</v>
      </c>
      <c r="BK1882" s="5" t="s">
        <v>254</v>
      </c>
      <c r="BY1882" s="5" t="s">
        <v>238</v>
      </c>
      <c r="BZ1882" s="5" t="s">
        <v>238</v>
      </c>
      <c r="CD1882" s="5" t="s">
        <v>293</v>
      </c>
      <c r="CE1882" s="5" t="s">
        <v>256</v>
      </c>
      <c r="CF1882" s="5" t="s">
        <v>238</v>
      </c>
      <c r="CI1882" s="6" t="s">
        <v>257</v>
      </c>
      <c r="CJ1882" s="5" t="s">
        <v>238</v>
      </c>
      <c r="CK1882" s="5" t="s">
        <v>258</v>
      </c>
      <c r="CL1882" s="5" t="s">
        <v>238</v>
      </c>
      <c r="CM1882" s="5" t="s">
        <v>238</v>
      </c>
      <c r="CN1882" s="5">
        <v>0</v>
      </c>
      <c r="CO1882" s="5" t="s">
        <v>259</v>
      </c>
      <c r="CP1882" s="5" t="s">
        <v>260</v>
      </c>
      <c r="CQ1882" s="5" t="s">
        <v>260</v>
      </c>
      <c r="CR1882" s="5" t="s">
        <v>261</v>
      </c>
      <c r="CU1882" s="8">
        <f>1989417</f>
        <v>1989417</v>
      </c>
      <c r="CV1882" s="8">
        <f>0</f>
        <v>0</v>
      </c>
      <c r="CX1882" s="8">
        <f>0</f>
        <v>0</v>
      </c>
      <c r="CY1882" s="8">
        <f>1989417</f>
        <v>1989417</v>
      </c>
      <c r="DA1882" s="5" t="s">
        <v>356</v>
      </c>
      <c r="DB1882" s="5" t="s">
        <v>238</v>
      </c>
      <c r="DD1882" s="5" t="s">
        <v>356</v>
      </c>
      <c r="DE1882" s="8">
        <f>0</f>
        <v>0</v>
      </c>
      <c r="DG1882" s="5" t="s">
        <v>238</v>
      </c>
      <c r="DH1882" s="5" t="s">
        <v>238</v>
      </c>
      <c r="DI1882" s="5" t="s">
        <v>238</v>
      </c>
      <c r="DJ1882" s="5" t="s">
        <v>238</v>
      </c>
      <c r="DN1882" s="5" t="s">
        <v>238</v>
      </c>
      <c r="DO1882" s="5" t="s">
        <v>238</v>
      </c>
      <c r="DP1882" s="5" t="s">
        <v>238</v>
      </c>
      <c r="DQ1882" s="5" t="s">
        <v>238</v>
      </c>
      <c r="DT1882" s="5" t="s">
        <v>2039</v>
      </c>
      <c r="DU1882" s="5" t="s">
        <v>2017</v>
      </c>
      <c r="HM1882" s="5" t="s">
        <v>264</v>
      </c>
    </row>
    <row r="1883" spans="1:221" x14ac:dyDescent="0.4">
      <c r="A1883" s="5">
        <v>3581</v>
      </c>
      <c r="B1883" s="5">
        <v>1</v>
      </c>
      <c r="C1883" s="5">
        <v>1</v>
      </c>
      <c r="D1883" s="5" t="s">
        <v>2037</v>
      </c>
      <c r="E1883" s="5" t="s">
        <v>271</v>
      </c>
      <c r="F1883" s="5" t="s">
        <v>248</v>
      </c>
      <c r="G1883" s="5" t="s">
        <v>3748</v>
      </c>
      <c r="H1883" s="6" t="s">
        <v>3472</v>
      </c>
      <c r="I1883" s="7">
        <f>1010.07</f>
        <v>1010.07</v>
      </c>
      <c r="J1883" s="5" t="s">
        <v>262</v>
      </c>
      <c r="K1883" s="8">
        <f>2508165</f>
        <v>2508165</v>
      </c>
      <c r="L1883" s="6" t="s">
        <v>3579</v>
      </c>
      <c r="M1883" s="5" t="s">
        <v>267</v>
      </c>
      <c r="N1883" s="5" t="s">
        <v>265</v>
      </c>
      <c r="O1883" s="5" t="s">
        <v>238</v>
      </c>
      <c r="P1883" s="5" t="s">
        <v>238</v>
      </c>
      <c r="Q1883" s="5" t="s">
        <v>239</v>
      </c>
      <c r="R1883" s="5" t="s">
        <v>238</v>
      </c>
      <c r="S1883" s="5" t="s">
        <v>238</v>
      </c>
      <c r="V1883" s="5" t="s">
        <v>238</v>
      </c>
      <c r="X1883" s="6" t="s">
        <v>238</v>
      </c>
      <c r="AA1883" s="6" t="s">
        <v>2344</v>
      </c>
      <c r="AB1883" s="5" t="s">
        <v>238</v>
      </c>
      <c r="AC1883" s="5" t="s">
        <v>244</v>
      </c>
      <c r="AD1883" s="5" t="s">
        <v>245</v>
      </c>
      <c r="AT1883" s="5" t="s">
        <v>246</v>
      </c>
      <c r="AU1883" s="5" t="s">
        <v>238</v>
      </c>
      <c r="AV1883" s="5" t="s">
        <v>247</v>
      </c>
      <c r="AW1883" s="5" t="s">
        <v>238</v>
      </c>
      <c r="AX1883" s="5" t="s">
        <v>249</v>
      </c>
      <c r="AY1883" s="5" t="s">
        <v>238</v>
      </c>
      <c r="BA1883" s="5" t="s">
        <v>238</v>
      </c>
      <c r="BC1883" s="5" t="s">
        <v>1433</v>
      </c>
      <c r="BD1883" s="6" t="s">
        <v>3579</v>
      </c>
      <c r="BE1883" s="5" t="s">
        <v>251</v>
      </c>
      <c r="BF1883" s="5" t="s">
        <v>2043</v>
      </c>
      <c r="BG1883" s="5" t="s">
        <v>238</v>
      </c>
      <c r="BH1883" s="7">
        <f>0</f>
        <v>0</v>
      </c>
      <c r="BI1883" s="8">
        <f>0</f>
        <v>0</v>
      </c>
      <c r="BJ1883" s="5" t="s">
        <v>253</v>
      </c>
      <c r="BK1883" s="5" t="s">
        <v>254</v>
      </c>
      <c r="BY1883" s="5" t="s">
        <v>238</v>
      </c>
      <c r="BZ1883" s="5" t="s">
        <v>238</v>
      </c>
      <c r="CD1883" s="5" t="s">
        <v>293</v>
      </c>
      <c r="CE1883" s="5" t="s">
        <v>256</v>
      </c>
      <c r="CF1883" s="5" t="s">
        <v>238</v>
      </c>
      <c r="CI1883" s="6" t="s">
        <v>257</v>
      </c>
      <c r="CJ1883" s="5" t="s">
        <v>238</v>
      </c>
      <c r="CK1883" s="5" t="s">
        <v>258</v>
      </c>
      <c r="CL1883" s="5" t="s">
        <v>238</v>
      </c>
      <c r="CM1883" s="5" t="s">
        <v>238</v>
      </c>
      <c r="CN1883" s="5">
        <v>0</v>
      </c>
      <c r="CO1883" s="5" t="s">
        <v>259</v>
      </c>
      <c r="CP1883" s="5" t="s">
        <v>260</v>
      </c>
      <c r="CQ1883" s="5" t="s">
        <v>260</v>
      </c>
      <c r="CR1883" s="5" t="s">
        <v>261</v>
      </c>
      <c r="CU1883" s="8">
        <f>2508165</f>
        <v>2508165</v>
      </c>
      <c r="CV1883" s="8">
        <f>0</f>
        <v>0</v>
      </c>
      <c r="CX1883" s="8">
        <f>0</f>
        <v>0</v>
      </c>
      <c r="CY1883" s="8">
        <f>2508165</f>
        <v>2508165</v>
      </c>
      <c r="DA1883" s="5" t="s">
        <v>356</v>
      </c>
      <c r="DB1883" s="5" t="s">
        <v>238</v>
      </c>
      <c r="DD1883" s="5" t="s">
        <v>356</v>
      </c>
      <c r="DE1883" s="8">
        <f>1010.07</f>
        <v>1010.07</v>
      </c>
      <c r="DG1883" s="5" t="s">
        <v>238</v>
      </c>
      <c r="DH1883" s="5" t="s">
        <v>238</v>
      </c>
      <c r="DI1883" s="5" t="s">
        <v>238</v>
      </c>
      <c r="DJ1883" s="5" t="s">
        <v>238</v>
      </c>
      <c r="DN1883" s="5" t="s">
        <v>238</v>
      </c>
      <c r="DO1883" s="5" t="s">
        <v>238</v>
      </c>
      <c r="DP1883" s="5" t="s">
        <v>238</v>
      </c>
      <c r="DQ1883" s="5" t="s">
        <v>238</v>
      </c>
      <c r="DT1883" s="5" t="s">
        <v>2039</v>
      </c>
      <c r="DU1883" s="5" t="s">
        <v>2007</v>
      </c>
      <c r="HM1883" s="5" t="s">
        <v>264</v>
      </c>
    </row>
    <row r="1884" spans="1:221" x14ac:dyDescent="0.4">
      <c r="A1884" s="5">
        <v>3582</v>
      </c>
      <c r="B1884" s="5">
        <v>1</v>
      </c>
      <c r="C1884" s="5">
        <v>1</v>
      </c>
      <c r="D1884" s="5" t="s">
        <v>2037</v>
      </c>
      <c r="E1884" s="5" t="s">
        <v>271</v>
      </c>
      <c r="F1884" s="5" t="s">
        <v>248</v>
      </c>
      <c r="G1884" s="5" t="s">
        <v>3761</v>
      </c>
      <c r="H1884" s="6" t="s">
        <v>3472</v>
      </c>
      <c r="I1884" s="7">
        <f>0</f>
        <v>0</v>
      </c>
      <c r="J1884" s="5" t="s">
        <v>262</v>
      </c>
      <c r="K1884" s="8">
        <f>27786362</f>
        <v>27786362</v>
      </c>
      <c r="L1884" s="6" t="s">
        <v>3640</v>
      </c>
      <c r="M1884" s="5" t="s">
        <v>267</v>
      </c>
      <c r="N1884" s="5" t="s">
        <v>265</v>
      </c>
      <c r="O1884" s="5" t="s">
        <v>238</v>
      </c>
      <c r="P1884" s="5" t="s">
        <v>238</v>
      </c>
      <c r="Q1884" s="5" t="s">
        <v>239</v>
      </c>
      <c r="R1884" s="5" t="s">
        <v>238</v>
      </c>
      <c r="S1884" s="5" t="s">
        <v>238</v>
      </c>
      <c r="V1884" s="5" t="s">
        <v>238</v>
      </c>
      <c r="X1884" s="6" t="s">
        <v>238</v>
      </c>
      <c r="AA1884" s="6" t="s">
        <v>2555</v>
      </c>
      <c r="AB1884" s="5" t="s">
        <v>238</v>
      </c>
      <c r="AC1884" s="5" t="s">
        <v>244</v>
      </c>
      <c r="AD1884" s="5" t="s">
        <v>245</v>
      </c>
      <c r="AT1884" s="5" t="s">
        <v>246</v>
      </c>
      <c r="AU1884" s="5" t="s">
        <v>238</v>
      </c>
      <c r="AV1884" s="5" t="s">
        <v>247</v>
      </c>
      <c r="AW1884" s="5" t="s">
        <v>238</v>
      </c>
      <c r="AX1884" s="5" t="s">
        <v>249</v>
      </c>
      <c r="AY1884" s="5" t="s">
        <v>238</v>
      </c>
      <c r="BA1884" s="5" t="s">
        <v>238</v>
      </c>
      <c r="BC1884" s="5" t="s">
        <v>1433</v>
      </c>
      <c r="BD1884" s="6" t="s">
        <v>3640</v>
      </c>
      <c r="BE1884" s="5" t="s">
        <v>251</v>
      </c>
      <c r="BF1884" s="5" t="s">
        <v>2043</v>
      </c>
      <c r="BG1884" s="5" t="s">
        <v>238</v>
      </c>
      <c r="BH1884" s="7">
        <f>0</f>
        <v>0</v>
      </c>
      <c r="BI1884" s="8">
        <f>0</f>
        <v>0</v>
      </c>
      <c r="BJ1884" s="5" t="s">
        <v>253</v>
      </c>
      <c r="BK1884" s="5" t="s">
        <v>254</v>
      </c>
      <c r="BY1884" s="5" t="s">
        <v>238</v>
      </c>
      <c r="BZ1884" s="5" t="s">
        <v>238</v>
      </c>
      <c r="CD1884" s="5" t="s">
        <v>293</v>
      </c>
      <c r="CE1884" s="5" t="s">
        <v>256</v>
      </c>
      <c r="CF1884" s="5" t="s">
        <v>238</v>
      </c>
      <c r="CI1884" s="6" t="s">
        <v>257</v>
      </c>
      <c r="CJ1884" s="5" t="s">
        <v>238</v>
      </c>
      <c r="CK1884" s="5" t="s">
        <v>258</v>
      </c>
      <c r="CL1884" s="5" t="s">
        <v>238</v>
      </c>
      <c r="CM1884" s="5" t="s">
        <v>238</v>
      </c>
      <c r="CN1884" s="5">
        <v>0</v>
      </c>
      <c r="CO1884" s="5" t="s">
        <v>259</v>
      </c>
      <c r="CP1884" s="5" t="s">
        <v>260</v>
      </c>
      <c r="CQ1884" s="5" t="s">
        <v>260</v>
      </c>
      <c r="CR1884" s="5" t="s">
        <v>261</v>
      </c>
      <c r="CU1884" s="8">
        <f>27786362</f>
        <v>27786362</v>
      </c>
      <c r="CV1884" s="8">
        <f>0</f>
        <v>0</v>
      </c>
      <c r="CX1884" s="8">
        <f>0</f>
        <v>0</v>
      </c>
      <c r="CY1884" s="8">
        <f>27786362</f>
        <v>27786362</v>
      </c>
      <c r="DA1884" s="5" t="s">
        <v>356</v>
      </c>
      <c r="DB1884" s="5" t="s">
        <v>238</v>
      </c>
      <c r="DD1884" s="5" t="s">
        <v>356</v>
      </c>
      <c r="DE1884" s="8">
        <f>0</f>
        <v>0</v>
      </c>
      <c r="DG1884" s="5" t="s">
        <v>238</v>
      </c>
      <c r="DH1884" s="5" t="s">
        <v>238</v>
      </c>
      <c r="DI1884" s="5" t="s">
        <v>238</v>
      </c>
      <c r="DJ1884" s="5" t="s">
        <v>238</v>
      </c>
      <c r="DN1884" s="5" t="s">
        <v>238</v>
      </c>
      <c r="DO1884" s="5" t="s">
        <v>238</v>
      </c>
      <c r="DP1884" s="5" t="s">
        <v>238</v>
      </c>
      <c r="DQ1884" s="5" t="s">
        <v>238</v>
      </c>
      <c r="DT1884" s="5" t="s">
        <v>2039</v>
      </c>
      <c r="DU1884" s="5" t="s">
        <v>2001</v>
      </c>
      <c r="HM1884" s="5" t="s">
        <v>264</v>
      </c>
    </row>
    <row r="1885" spans="1:221" x14ac:dyDescent="0.4">
      <c r="A1885" s="5">
        <v>3583</v>
      </c>
      <c r="B1885" s="5">
        <v>1</v>
      </c>
      <c r="C1885" s="5">
        <v>1</v>
      </c>
      <c r="D1885" s="5" t="s">
        <v>2037</v>
      </c>
      <c r="E1885" s="5" t="s">
        <v>271</v>
      </c>
      <c r="F1885" s="5" t="s">
        <v>248</v>
      </c>
      <c r="G1885" s="5" t="s">
        <v>3762</v>
      </c>
      <c r="H1885" s="6" t="s">
        <v>3611</v>
      </c>
      <c r="I1885" s="7">
        <f>219.61</f>
        <v>219.61</v>
      </c>
      <c r="J1885" s="5" t="s">
        <v>262</v>
      </c>
      <c r="K1885" s="8">
        <f>439220</f>
        <v>439220</v>
      </c>
      <c r="L1885" s="6" t="s">
        <v>3763</v>
      </c>
      <c r="M1885" s="5" t="s">
        <v>267</v>
      </c>
      <c r="N1885" s="5" t="s">
        <v>265</v>
      </c>
      <c r="O1885" s="5" t="s">
        <v>238</v>
      </c>
      <c r="P1885" s="5" t="s">
        <v>238</v>
      </c>
      <c r="Q1885" s="5" t="s">
        <v>239</v>
      </c>
      <c r="R1885" s="5" t="s">
        <v>238</v>
      </c>
      <c r="S1885" s="5" t="s">
        <v>238</v>
      </c>
      <c r="V1885" s="5" t="s">
        <v>238</v>
      </c>
      <c r="X1885" s="6" t="s">
        <v>238</v>
      </c>
      <c r="AA1885" s="6" t="s">
        <v>3551</v>
      </c>
      <c r="AB1885" s="5" t="s">
        <v>238</v>
      </c>
      <c r="AC1885" s="5" t="s">
        <v>244</v>
      </c>
      <c r="AD1885" s="5" t="s">
        <v>245</v>
      </c>
      <c r="AT1885" s="5" t="s">
        <v>246</v>
      </c>
      <c r="AU1885" s="5" t="s">
        <v>238</v>
      </c>
      <c r="AV1885" s="5" t="s">
        <v>247</v>
      </c>
      <c r="AW1885" s="5" t="s">
        <v>238</v>
      </c>
      <c r="AX1885" s="5" t="s">
        <v>249</v>
      </c>
      <c r="AY1885" s="5" t="s">
        <v>238</v>
      </c>
      <c r="BA1885" s="5" t="s">
        <v>238</v>
      </c>
      <c r="BC1885" s="5" t="s">
        <v>1433</v>
      </c>
      <c r="BD1885" s="6" t="s">
        <v>3763</v>
      </c>
      <c r="BE1885" s="5" t="s">
        <v>251</v>
      </c>
      <c r="BF1885" s="5" t="s">
        <v>2043</v>
      </c>
      <c r="BG1885" s="5" t="s">
        <v>238</v>
      </c>
      <c r="BH1885" s="7">
        <f>0</f>
        <v>0</v>
      </c>
      <c r="BI1885" s="8">
        <f>0</f>
        <v>0</v>
      </c>
      <c r="BJ1885" s="5" t="s">
        <v>253</v>
      </c>
      <c r="BK1885" s="5" t="s">
        <v>254</v>
      </c>
      <c r="BY1885" s="5" t="s">
        <v>238</v>
      </c>
      <c r="BZ1885" s="5" t="s">
        <v>238</v>
      </c>
      <c r="CD1885" s="5" t="s">
        <v>293</v>
      </c>
      <c r="CE1885" s="5" t="s">
        <v>256</v>
      </c>
      <c r="CF1885" s="5" t="s">
        <v>238</v>
      </c>
      <c r="CI1885" s="6" t="s">
        <v>257</v>
      </c>
      <c r="CJ1885" s="5" t="s">
        <v>238</v>
      </c>
      <c r="CK1885" s="5" t="s">
        <v>258</v>
      </c>
      <c r="CL1885" s="5" t="s">
        <v>238</v>
      </c>
      <c r="CM1885" s="5" t="s">
        <v>238</v>
      </c>
      <c r="CN1885" s="5">
        <v>0</v>
      </c>
      <c r="CO1885" s="5" t="s">
        <v>259</v>
      </c>
      <c r="CP1885" s="5" t="s">
        <v>260</v>
      </c>
      <c r="CQ1885" s="5" t="s">
        <v>260</v>
      </c>
      <c r="CR1885" s="5" t="s">
        <v>261</v>
      </c>
      <c r="CU1885" s="8">
        <f>439220</f>
        <v>439220</v>
      </c>
      <c r="CV1885" s="8">
        <f>0</f>
        <v>0</v>
      </c>
      <c r="CX1885" s="8">
        <f>0</f>
        <v>0</v>
      </c>
      <c r="CY1885" s="8">
        <f>439220</f>
        <v>439220</v>
      </c>
      <c r="DA1885" s="5" t="s">
        <v>356</v>
      </c>
      <c r="DB1885" s="5" t="s">
        <v>238</v>
      </c>
      <c r="DD1885" s="5" t="s">
        <v>356</v>
      </c>
      <c r="DE1885" s="8">
        <f>219.61</f>
        <v>219.61</v>
      </c>
      <c r="DG1885" s="5" t="s">
        <v>238</v>
      </c>
      <c r="DH1885" s="5" t="s">
        <v>238</v>
      </c>
      <c r="DI1885" s="5" t="s">
        <v>238</v>
      </c>
      <c r="DJ1885" s="5" t="s">
        <v>238</v>
      </c>
      <c r="DN1885" s="5" t="s">
        <v>238</v>
      </c>
      <c r="DO1885" s="5" t="s">
        <v>238</v>
      </c>
      <c r="DP1885" s="5" t="s">
        <v>238</v>
      </c>
      <c r="DQ1885" s="5" t="s">
        <v>238</v>
      </c>
      <c r="DT1885" s="5" t="s">
        <v>2039</v>
      </c>
      <c r="DU1885" s="5" t="s">
        <v>1991</v>
      </c>
      <c r="HM1885" s="5" t="s">
        <v>264</v>
      </c>
    </row>
    <row r="1886" spans="1:221" x14ac:dyDescent="0.4">
      <c r="A1886" s="5">
        <v>3584</v>
      </c>
      <c r="B1886" s="5">
        <v>1</v>
      </c>
      <c r="C1886" s="5">
        <v>1</v>
      </c>
      <c r="D1886" s="5" t="s">
        <v>2037</v>
      </c>
      <c r="E1886" s="5" t="s">
        <v>271</v>
      </c>
      <c r="F1886" s="5" t="s">
        <v>248</v>
      </c>
      <c r="G1886" s="5" t="s">
        <v>3778</v>
      </c>
      <c r="H1886" s="6" t="s">
        <v>3650</v>
      </c>
      <c r="I1886" s="7">
        <f>301</f>
        <v>301</v>
      </c>
      <c r="J1886" s="5" t="s">
        <v>262</v>
      </c>
      <c r="K1886" s="8">
        <f>361200</f>
        <v>361200</v>
      </c>
      <c r="L1886" s="6" t="s">
        <v>3779</v>
      </c>
      <c r="M1886" s="5" t="s">
        <v>267</v>
      </c>
      <c r="N1886" s="5" t="s">
        <v>265</v>
      </c>
      <c r="O1886" s="5" t="s">
        <v>238</v>
      </c>
      <c r="P1886" s="5" t="s">
        <v>238</v>
      </c>
      <c r="Q1886" s="5" t="s">
        <v>239</v>
      </c>
      <c r="R1886" s="5" t="s">
        <v>238</v>
      </c>
      <c r="S1886" s="5" t="s">
        <v>238</v>
      </c>
      <c r="V1886" s="5" t="s">
        <v>238</v>
      </c>
      <c r="X1886" s="6" t="s">
        <v>238</v>
      </c>
      <c r="AA1886" s="6" t="s">
        <v>3476</v>
      </c>
      <c r="AB1886" s="5" t="s">
        <v>238</v>
      </c>
      <c r="AC1886" s="5" t="s">
        <v>244</v>
      </c>
      <c r="AD1886" s="5" t="s">
        <v>245</v>
      </c>
      <c r="AT1886" s="5" t="s">
        <v>246</v>
      </c>
      <c r="AU1886" s="5" t="s">
        <v>238</v>
      </c>
      <c r="AV1886" s="5" t="s">
        <v>247</v>
      </c>
      <c r="AW1886" s="5" t="s">
        <v>238</v>
      </c>
      <c r="AX1886" s="5" t="s">
        <v>249</v>
      </c>
      <c r="AY1886" s="5" t="s">
        <v>238</v>
      </c>
      <c r="BA1886" s="5" t="s">
        <v>238</v>
      </c>
      <c r="BC1886" s="5" t="s">
        <v>1433</v>
      </c>
      <c r="BD1886" s="6" t="s">
        <v>3779</v>
      </c>
      <c r="BE1886" s="5" t="s">
        <v>251</v>
      </c>
      <c r="BF1886" s="5" t="s">
        <v>2043</v>
      </c>
      <c r="BG1886" s="5" t="s">
        <v>238</v>
      </c>
      <c r="BH1886" s="7">
        <f>0</f>
        <v>0</v>
      </c>
      <c r="BI1886" s="8">
        <f>0</f>
        <v>0</v>
      </c>
      <c r="BJ1886" s="5" t="s">
        <v>253</v>
      </c>
      <c r="BK1886" s="5" t="s">
        <v>254</v>
      </c>
      <c r="BY1886" s="5" t="s">
        <v>238</v>
      </c>
      <c r="BZ1886" s="5" t="s">
        <v>238</v>
      </c>
      <c r="CD1886" s="5" t="s">
        <v>293</v>
      </c>
      <c r="CE1886" s="5" t="s">
        <v>256</v>
      </c>
      <c r="CF1886" s="5" t="s">
        <v>238</v>
      </c>
      <c r="CI1886" s="6" t="s">
        <v>257</v>
      </c>
      <c r="CJ1886" s="5" t="s">
        <v>238</v>
      </c>
      <c r="CK1886" s="5" t="s">
        <v>258</v>
      </c>
      <c r="CL1886" s="5" t="s">
        <v>238</v>
      </c>
      <c r="CM1886" s="5" t="s">
        <v>238</v>
      </c>
      <c r="CN1886" s="5">
        <v>0</v>
      </c>
      <c r="CO1886" s="5" t="s">
        <v>259</v>
      </c>
      <c r="CP1886" s="5" t="s">
        <v>260</v>
      </c>
      <c r="CQ1886" s="5" t="s">
        <v>260</v>
      </c>
      <c r="CR1886" s="5" t="s">
        <v>261</v>
      </c>
      <c r="CU1886" s="8">
        <f>361200</f>
        <v>361200</v>
      </c>
      <c r="CV1886" s="8">
        <f>0</f>
        <v>0</v>
      </c>
      <c r="CX1886" s="8">
        <f>0</f>
        <v>0</v>
      </c>
      <c r="CY1886" s="8">
        <f>361200</f>
        <v>361200</v>
      </c>
      <c r="DA1886" s="5" t="s">
        <v>356</v>
      </c>
      <c r="DB1886" s="5" t="s">
        <v>238</v>
      </c>
      <c r="DD1886" s="5" t="s">
        <v>356</v>
      </c>
      <c r="DE1886" s="8">
        <f>301</f>
        <v>301</v>
      </c>
      <c r="DG1886" s="5" t="s">
        <v>238</v>
      </c>
      <c r="DH1886" s="5" t="s">
        <v>238</v>
      </c>
      <c r="DI1886" s="5" t="s">
        <v>238</v>
      </c>
      <c r="DJ1886" s="5" t="s">
        <v>238</v>
      </c>
      <c r="DN1886" s="5" t="s">
        <v>238</v>
      </c>
      <c r="DO1886" s="5" t="s">
        <v>238</v>
      </c>
      <c r="DP1886" s="5" t="s">
        <v>238</v>
      </c>
      <c r="DQ1886" s="5" t="s">
        <v>238</v>
      </c>
      <c r="DT1886" s="5" t="s">
        <v>2039</v>
      </c>
      <c r="DU1886" s="5" t="s">
        <v>1983</v>
      </c>
      <c r="HM1886" s="5" t="s">
        <v>264</v>
      </c>
    </row>
    <row r="1887" spans="1:221" x14ac:dyDescent="0.4">
      <c r="A1887" s="5">
        <v>3588</v>
      </c>
      <c r="B1887" s="5">
        <v>1</v>
      </c>
      <c r="C1887" s="5">
        <v>1</v>
      </c>
      <c r="D1887" s="5" t="s">
        <v>2037</v>
      </c>
      <c r="E1887" s="5" t="s">
        <v>271</v>
      </c>
      <c r="F1887" s="5" t="s">
        <v>248</v>
      </c>
      <c r="G1887" s="5" t="s">
        <v>1969</v>
      </c>
      <c r="H1887" s="6" t="s">
        <v>2380</v>
      </c>
      <c r="I1887" s="7">
        <f>563.36</f>
        <v>563.36</v>
      </c>
      <c r="J1887" s="5" t="s">
        <v>262</v>
      </c>
      <c r="K1887" s="8">
        <f>2704127</f>
        <v>2704127</v>
      </c>
      <c r="L1887" s="6" t="s">
        <v>2379</v>
      </c>
      <c r="M1887" s="5" t="s">
        <v>267</v>
      </c>
      <c r="N1887" s="5" t="s">
        <v>265</v>
      </c>
      <c r="O1887" s="5" t="s">
        <v>238</v>
      </c>
      <c r="P1887" s="5" t="s">
        <v>238</v>
      </c>
      <c r="Q1887" s="5" t="s">
        <v>239</v>
      </c>
      <c r="R1887" s="5" t="s">
        <v>238</v>
      </c>
      <c r="S1887" s="5" t="s">
        <v>238</v>
      </c>
      <c r="V1887" s="5" t="s">
        <v>238</v>
      </c>
      <c r="X1887" s="6" t="s">
        <v>238</v>
      </c>
      <c r="AA1887" s="6" t="s">
        <v>2344</v>
      </c>
      <c r="AB1887" s="5" t="s">
        <v>238</v>
      </c>
      <c r="AC1887" s="5" t="s">
        <v>244</v>
      </c>
      <c r="AD1887" s="5" t="s">
        <v>245</v>
      </c>
      <c r="AT1887" s="5" t="s">
        <v>246</v>
      </c>
      <c r="AU1887" s="5" t="s">
        <v>238</v>
      </c>
      <c r="AV1887" s="5" t="s">
        <v>247</v>
      </c>
      <c r="AW1887" s="5" t="s">
        <v>238</v>
      </c>
      <c r="AX1887" s="5" t="s">
        <v>249</v>
      </c>
      <c r="AY1887" s="5" t="s">
        <v>238</v>
      </c>
      <c r="BA1887" s="5" t="s">
        <v>238</v>
      </c>
      <c r="BC1887" s="5" t="s">
        <v>1433</v>
      </c>
      <c r="BD1887" s="6" t="s">
        <v>2379</v>
      </c>
      <c r="BE1887" s="5" t="s">
        <v>251</v>
      </c>
      <c r="BF1887" s="5" t="s">
        <v>2036</v>
      </c>
      <c r="BG1887" s="5" t="s">
        <v>238</v>
      </c>
      <c r="BH1887" s="7">
        <f>0</f>
        <v>0</v>
      </c>
      <c r="BI1887" s="8">
        <f>0</f>
        <v>0</v>
      </c>
      <c r="BJ1887" s="5" t="s">
        <v>253</v>
      </c>
      <c r="BK1887" s="5" t="s">
        <v>254</v>
      </c>
      <c r="BY1887" s="5" t="s">
        <v>238</v>
      </c>
      <c r="BZ1887" s="5" t="s">
        <v>238</v>
      </c>
      <c r="CD1887" s="5" t="s">
        <v>255</v>
      </c>
      <c r="CE1887" s="5" t="s">
        <v>256</v>
      </c>
      <c r="CF1887" s="5" t="s">
        <v>238</v>
      </c>
      <c r="CI1887" s="6" t="s">
        <v>257</v>
      </c>
      <c r="CJ1887" s="5" t="s">
        <v>238</v>
      </c>
      <c r="CK1887" s="5" t="s">
        <v>258</v>
      </c>
      <c r="CL1887" s="5" t="s">
        <v>238</v>
      </c>
      <c r="CM1887" s="5" t="s">
        <v>238</v>
      </c>
      <c r="CN1887" s="5">
        <v>0</v>
      </c>
      <c r="CO1887" s="5" t="s">
        <v>259</v>
      </c>
      <c r="CP1887" s="5" t="s">
        <v>260</v>
      </c>
      <c r="CQ1887" s="5" t="s">
        <v>260</v>
      </c>
      <c r="CR1887" s="5" t="s">
        <v>261</v>
      </c>
      <c r="CU1887" s="8">
        <f>2704127</f>
        <v>2704127</v>
      </c>
      <c r="CV1887" s="8">
        <f>0</f>
        <v>0</v>
      </c>
      <c r="CX1887" s="8">
        <f>0</f>
        <v>0</v>
      </c>
      <c r="CY1887" s="8">
        <f>2704127</f>
        <v>2704127</v>
      </c>
      <c r="DA1887" s="5" t="s">
        <v>356</v>
      </c>
      <c r="DB1887" s="5" t="s">
        <v>238</v>
      </c>
      <c r="DD1887" s="5" t="s">
        <v>356</v>
      </c>
      <c r="DE1887" s="8">
        <f>0</f>
        <v>0</v>
      </c>
      <c r="DG1887" s="5" t="s">
        <v>238</v>
      </c>
      <c r="DH1887" s="5" t="s">
        <v>238</v>
      </c>
      <c r="DI1887" s="5" t="s">
        <v>238</v>
      </c>
      <c r="DJ1887" s="5" t="s">
        <v>238</v>
      </c>
      <c r="DN1887" s="5" t="s">
        <v>238</v>
      </c>
      <c r="DO1887" s="5" t="s">
        <v>238</v>
      </c>
      <c r="DP1887" s="5" t="s">
        <v>238</v>
      </c>
      <c r="DQ1887" s="5" t="s">
        <v>238</v>
      </c>
      <c r="DT1887" s="5" t="s">
        <v>2039</v>
      </c>
      <c r="DU1887" s="5" t="s">
        <v>1948</v>
      </c>
      <c r="HM1887" s="5" t="s">
        <v>264</v>
      </c>
    </row>
    <row r="1888" spans="1:221" x14ac:dyDescent="0.4">
      <c r="A1888" s="5">
        <v>3589</v>
      </c>
      <c r="B1888" s="5">
        <v>1</v>
      </c>
      <c r="C1888" s="5">
        <v>1</v>
      </c>
      <c r="D1888" s="5" t="s">
        <v>2037</v>
      </c>
      <c r="E1888" s="5" t="s">
        <v>271</v>
      </c>
      <c r="F1888" s="5" t="s">
        <v>248</v>
      </c>
      <c r="G1888" s="5" t="s">
        <v>3787</v>
      </c>
      <c r="H1888" s="6" t="s">
        <v>3789</v>
      </c>
      <c r="I1888" s="7">
        <f>5.41</f>
        <v>5.41</v>
      </c>
      <c r="J1888" s="5" t="s">
        <v>262</v>
      </c>
      <c r="K1888" s="8">
        <f>26509</f>
        <v>26509</v>
      </c>
      <c r="L1888" s="6" t="s">
        <v>3788</v>
      </c>
      <c r="M1888" s="5" t="s">
        <v>267</v>
      </c>
      <c r="N1888" s="5" t="s">
        <v>265</v>
      </c>
      <c r="O1888" s="5" t="s">
        <v>238</v>
      </c>
      <c r="P1888" s="5" t="s">
        <v>238</v>
      </c>
      <c r="Q1888" s="5" t="s">
        <v>239</v>
      </c>
      <c r="R1888" s="5" t="s">
        <v>238</v>
      </c>
      <c r="S1888" s="5" t="s">
        <v>238</v>
      </c>
      <c r="V1888" s="5" t="s">
        <v>238</v>
      </c>
      <c r="X1888" s="6" t="s">
        <v>238</v>
      </c>
      <c r="AA1888" s="6" t="s">
        <v>3635</v>
      </c>
      <c r="AB1888" s="5" t="s">
        <v>238</v>
      </c>
      <c r="AC1888" s="5" t="s">
        <v>244</v>
      </c>
      <c r="AD1888" s="5" t="s">
        <v>245</v>
      </c>
      <c r="AT1888" s="5" t="s">
        <v>246</v>
      </c>
      <c r="AU1888" s="5" t="s">
        <v>238</v>
      </c>
      <c r="AV1888" s="5" t="s">
        <v>247</v>
      </c>
      <c r="AW1888" s="5" t="s">
        <v>238</v>
      </c>
      <c r="AX1888" s="5" t="s">
        <v>249</v>
      </c>
      <c r="AY1888" s="5" t="s">
        <v>238</v>
      </c>
      <c r="BA1888" s="5" t="s">
        <v>238</v>
      </c>
      <c r="BC1888" s="5" t="s">
        <v>1433</v>
      </c>
      <c r="BD1888" s="6" t="s">
        <v>3788</v>
      </c>
      <c r="BE1888" s="5" t="s">
        <v>251</v>
      </c>
      <c r="BF1888" s="5" t="s">
        <v>2043</v>
      </c>
      <c r="BG1888" s="5" t="s">
        <v>238</v>
      </c>
      <c r="BH1888" s="7">
        <f>0</f>
        <v>0</v>
      </c>
      <c r="BI1888" s="8">
        <f>0</f>
        <v>0</v>
      </c>
      <c r="BJ1888" s="5" t="s">
        <v>253</v>
      </c>
      <c r="BK1888" s="5" t="s">
        <v>254</v>
      </c>
      <c r="BY1888" s="5" t="s">
        <v>238</v>
      </c>
      <c r="BZ1888" s="5" t="s">
        <v>238</v>
      </c>
      <c r="CD1888" s="5" t="s">
        <v>293</v>
      </c>
      <c r="CE1888" s="5" t="s">
        <v>256</v>
      </c>
      <c r="CF1888" s="5" t="s">
        <v>238</v>
      </c>
      <c r="CI1888" s="6" t="s">
        <v>257</v>
      </c>
      <c r="CJ1888" s="5" t="s">
        <v>238</v>
      </c>
      <c r="CK1888" s="5" t="s">
        <v>258</v>
      </c>
      <c r="CL1888" s="5" t="s">
        <v>238</v>
      </c>
      <c r="CM1888" s="5" t="s">
        <v>238</v>
      </c>
      <c r="CN1888" s="5">
        <v>0</v>
      </c>
      <c r="CO1888" s="5" t="s">
        <v>259</v>
      </c>
      <c r="CP1888" s="5" t="s">
        <v>260</v>
      </c>
      <c r="CQ1888" s="5" t="s">
        <v>260</v>
      </c>
      <c r="CR1888" s="5" t="s">
        <v>261</v>
      </c>
      <c r="CU1888" s="8">
        <f>26509</f>
        <v>26509</v>
      </c>
      <c r="CV1888" s="8">
        <f>0</f>
        <v>0</v>
      </c>
      <c r="CX1888" s="8">
        <f>0</f>
        <v>0</v>
      </c>
      <c r="CY1888" s="8">
        <f>26509</f>
        <v>26509</v>
      </c>
      <c r="DA1888" s="5" t="s">
        <v>356</v>
      </c>
      <c r="DB1888" s="5" t="s">
        <v>238</v>
      </c>
      <c r="DD1888" s="5" t="s">
        <v>356</v>
      </c>
      <c r="DE1888" s="8">
        <f>5.41</f>
        <v>5.41</v>
      </c>
      <c r="DG1888" s="5" t="s">
        <v>238</v>
      </c>
      <c r="DH1888" s="5" t="s">
        <v>238</v>
      </c>
      <c r="DI1888" s="5" t="s">
        <v>238</v>
      </c>
      <c r="DJ1888" s="5" t="s">
        <v>238</v>
      </c>
      <c r="DN1888" s="5" t="s">
        <v>238</v>
      </c>
      <c r="DO1888" s="5" t="s">
        <v>238</v>
      </c>
      <c r="DP1888" s="5" t="s">
        <v>238</v>
      </c>
      <c r="DQ1888" s="5" t="s">
        <v>238</v>
      </c>
      <c r="DT1888" s="5" t="s">
        <v>2039</v>
      </c>
      <c r="DU1888" s="5" t="s">
        <v>1942</v>
      </c>
      <c r="HM1888" s="5" t="s">
        <v>264</v>
      </c>
    </row>
    <row r="1889" spans="1:221" x14ac:dyDescent="0.4">
      <c r="A1889" s="5">
        <v>3590</v>
      </c>
      <c r="B1889" s="5">
        <v>1</v>
      </c>
      <c r="C1889" s="5">
        <v>1</v>
      </c>
      <c r="D1889" s="5" t="s">
        <v>2037</v>
      </c>
      <c r="E1889" s="5" t="s">
        <v>271</v>
      </c>
      <c r="F1889" s="5" t="s">
        <v>248</v>
      </c>
      <c r="G1889" s="5" t="s">
        <v>3796</v>
      </c>
      <c r="H1889" s="6" t="s">
        <v>3797</v>
      </c>
      <c r="I1889" s="7">
        <f>614</f>
        <v>614</v>
      </c>
      <c r="J1889" s="5" t="s">
        <v>262</v>
      </c>
      <c r="K1889" s="8">
        <f>604550</f>
        <v>604550</v>
      </c>
      <c r="L1889" s="6" t="s">
        <v>2122</v>
      </c>
      <c r="M1889" s="5" t="s">
        <v>267</v>
      </c>
      <c r="N1889" s="5" t="s">
        <v>265</v>
      </c>
      <c r="O1889" s="5" t="s">
        <v>238</v>
      </c>
      <c r="P1889" s="5" t="s">
        <v>238</v>
      </c>
      <c r="Q1889" s="5" t="s">
        <v>239</v>
      </c>
      <c r="R1889" s="5" t="s">
        <v>238</v>
      </c>
      <c r="S1889" s="5" t="s">
        <v>238</v>
      </c>
      <c r="V1889" s="5" t="s">
        <v>238</v>
      </c>
      <c r="X1889" s="6" t="s">
        <v>238</v>
      </c>
      <c r="AA1889" s="6" t="s">
        <v>3574</v>
      </c>
      <c r="AB1889" s="5" t="s">
        <v>238</v>
      </c>
      <c r="AC1889" s="5" t="s">
        <v>244</v>
      </c>
      <c r="AD1889" s="5" t="s">
        <v>245</v>
      </c>
      <c r="AT1889" s="5" t="s">
        <v>246</v>
      </c>
      <c r="AU1889" s="5" t="s">
        <v>238</v>
      </c>
      <c r="AV1889" s="5" t="s">
        <v>247</v>
      </c>
      <c r="AW1889" s="5" t="s">
        <v>238</v>
      </c>
      <c r="AX1889" s="5" t="s">
        <v>249</v>
      </c>
      <c r="AY1889" s="5" t="s">
        <v>238</v>
      </c>
      <c r="BA1889" s="5" t="s">
        <v>238</v>
      </c>
      <c r="BC1889" s="5" t="s">
        <v>1433</v>
      </c>
      <c r="BD1889" s="6" t="s">
        <v>2122</v>
      </c>
      <c r="BE1889" s="5" t="s">
        <v>251</v>
      </c>
      <c r="BF1889" s="5" t="s">
        <v>2043</v>
      </c>
      <c r="BG1889" s="5" t="s">
        <v>238</v>
      </c>
      <c r="BH1889" s="7">
        <f>0</f>
        <v>0</v>
      </c>
      <c r="BI1889" s="8">
        <f>0</f>
        <v>0</v>
      </c>
      <c r="BJ1889" s="5" t="s">
        <v>253</v>
      </c>
      <c r="BK1889" s="5" t="s">
        <v>254</v>
      </c>
      <c r="BY1889" s="5" t="s">
        <v>238</v>
      </c>
      <c r="BZ1889" s="5" t="s">
        <v>238</v>
      </c>
      <c r="CD1889" s="5" t="s">
        <v>293</v>
      </c>
      <c r="CE1889" s="5" t="s">
        <v>256</v>
      </c>
      <c r="CF1889" s="5" t="s">
        <v>238</v>
      </c>
      <c r="CI1889" s="6" t="s">
        <v>257</v>
      </c>
      <c r="CJ1889" s="5" t="s">
        <v>238</v>
      </c>
      <c r="CK1889" s="5" t="s">
        <v>258</v>
      </c>
      <c r="CL1889" s="5" t="s">
        <v>238</v>
      </c>
      <c r="CM1889" s="5" t="s">
        <v>238</v>
      </c>
      <c r="CN1889" s="5">
        <v>0</v>
      </c>
      <c r="CO1889" s="5" t="s">
        <v>259</v>
      </c>
      <c r="CP1889" s="5" t="s">
        <v>260</v>
      </c>
      <c r="CQ1889" s="5" t="s">
        <v>260</v>
      </c>
      <c r="CR1889" s="5" t="s">
        <v>261</v>
      </c>
      <c r="CU1889" s="8">
        <f>604550</f>
        <v>604550</v>
      </c>
      <c r="CV1889" s="8">
        <f>0</f>
        <v>0</v>
      </c>
      <c r="CX1889" s="8">
        <f>0</f>
        <v>0</v>
      </c>
      <c r="CY1889" s="8">
        <f>604550</f>
        <v>604550</v>
      </c>
      <c r="DA1889" s="5" t="s">
        <v>356</v>
      </c>
      <c r="DB1889" s="5" t="s">
        <v>238</v>
      </c>
      <c r="DD1889" s="5" t="s">
        <v>356</v>
      </c>
      <c r="DE1889" s="8">
        <f>614</f>
        <v>614</v>
      </c>
      <c r="DG1889" s="5" t="s">
        <v>238</v>
      </c>
      <c r="DH1889" s="5" t="s">
        <v>238</v>
      </c>
      <c r="DI1889" s="5" t="s">
        <v>238</v>
      </c>
      <c r="DJ1889" s="5" t="s">
        <v>238</v>
      </c>
      <c r="DN1889" s="5" t="s">
        <v>238</v>
      </c>
      <c r="DO1889" s="5" t="s">
        <v>238</v>
      </c>
      <c r="DP1889" s="5" t="s">
        <v>238</v>
      </c>
      <c r="DQ1889" s="5" t="s">
        <v>238</v>
      </c>
      <c r="DT1889" s="5" t="s">
        <v>2039</v>
      </c>
      <c r="DU1889" s="5" t="s">
        <v>1934</v>
      </c>
      <c r="HM1889" s="5" t="s">
        <v>264</v>
      </c>
    </row>
    <row r="1890" spans="1:221" x14ac:dyDescent="0.4">
      <c r="A1890" s="5">
        <v>3591</v>
      </c>
      <c r="B1890" s="5">
        <v>1</v>
      </c>
      <c r="C1890" s="5">
        <v>1</v>
      </c>
      <c r="D1890" s="5" t="s">
        <v>2037</v>
      </c>
      <c r="E1890" s="5" t="s">
        <v>271</v>
      </c>
      <c r="F1890" s="5" t="s">
        <v>248</v>
      </c>
      <c r="G1890" s="5" t="s">
        <v>3798</v>
      </c>
      <c r="H1890" s="6" t="s">
        <v>3800</v>
      </c>
      <c r="I1890" s="7">
        <f>169.68</f>
        <v>169.68</v>
      </c>
      <c r="J1890" s="5" t="s">
        <v>262</v>
      </c>
      <c r="K1890" s="8">
        <f>339360</f>
        <v>339360</v>
      </c>
      <c r="L1890" s="6" t="s">
        <v>3799</v>
      </c>
      <c r="M1890" s="5" t="s">
        <v>267</v>
      </c>
      <c r="N1890" s="5" t="s">
        <v>265</v>
      </c>
      <c r="O1890" s="5" t="s">
        <v>238</v>
      </c>
      <c r="P1890" s="5" t="s">
        <v>238</v>
      </c>
      <c r="Q1890" s="5" t="s">
        <v>239</v>
      </c>
      <c r="R1890" s="5" t="s">
        <v>238</v>
      </c>
      <c r="S1890" s="5" t="s">
        <v>238</v>
      </c>
      <c r="V1890" s="5" t="s">
        <v>238</v>
      </c>
      <c r="X1890" s="6" t="s">
        <v>238</v>
      </c>
      <c r="AA1890" s="6" t="s">
        <v>1434</v>
      </c>
      <c r="AB1890" s="5" t="s">
        <v>238</v>
      </c>
      <c r="AC1890" s="5" t="s">
        <v>244</v>
      </c>
      <c r="AD1890" s="5" t="s">
        <v>245</v>
      </c>
      <c r="AT1890" s="5" t="s">
        <v>246</v>
      </c>
      <c r="AU1890" s="5" t="s">
        <v>238</v>
      </c>
      <c r="AV1890" s="5" t="s">
        <v>247</v>
      </c>
      <c r="AW1890" s="5" t="s">
        <v>238</v>
      </c>
      <c r="AX1890" s="5" t="s">
        <v>249</v>
      </c>
      <c r="AY1890" s="5" t="s">
        <v>238</v>
      </c>
      <c r="BA1890" s="5" t="s">
        <v>238</v>
      </c>
      <c r="BC1890" s="5" t="s">
        <v>1433</v>
      </c>
      <c r="BD1890" s="6" t="s">
        <v>3799</v>
      </c>
      <c r="BE1890" s="5" t="s">
        <v>251</v>
      </c>
      <c r="BF1890" s="5" t="s">
        <v>2043</v>
      </c>
      <c r="BG1890" s="5" t="s">
        <v>238</v>
      </c>
      <c r="BH1890" s="7">
        <f>0</f>
        <v>0</v>
      </c>
      <c r="BI1890" s="8">
        <f>0</f>
        <v>0</v>
      </c>
      <c r="BJ1890" s="5" t="s">
        <v>253</v>
      </c>
      <c r="BK1890" s="5" t="s">
        <v>254</v>
      </c>
      <c r="BY1890" s="5" t="s">
        <v>238</v>
      </c>
      <c r="BZ1890" s="5" t="s">
        <v>238</v>
      </c>
      <c r="CD1890" s="5" t="s">
        <v>293</v>
      </c>
      <c r="CE1890" s="5" t="s">
        <v>256</v>
      </c>
      <c r="CF1890" s="5" t="s">
        <v>238</v>
      </c>
      <c r="CI1890" s="6" t="s">
        <v>257</v>
      </c>
      <c r="CJ1890" s="5" t="s">
        <v>238</v>
      </c>
      <c r="CK1890" s="5" t="s">
        <v>258</v>
      </c>
      <c r="CL1890" s="5" t="s">
        <v>238</v>
      </c>
      <c r="CM1890" s="5" t="s">
        <v>238</v>
      </c>
      <c r="CN1890" s="5">
        <v>0</v>
      </c>
      <c r="CO1890" s="5" t="s">
        <v>259</v>
      </c>
      <c r="CP1890" s="5" t="s">
        <v>260</v>
      </c>
      <c r="CQ1890" s="5" t="s">
        <v>260</v>
      </c>
      <c r="CR1890" s="5" t="s">
        <v>261</v>
      </c>
      <c r="CU1890" s="8">
        <f>339360</f>
        <v>339360</v>
      </c>
      <c r="CV1890" s="8">
        <f>0</f>
        <v>0</v>
      </c>
      <c r="CX1890" s="8">
        <f>0</f>
        <v>0</v>
      </c>
      <c r="CY1890" s="8">
        <f>339360</f>
        <v>339360</v>
      </c>
      <c r="DA1890" s="5" t="s">
        <v>356</v>
      </c>
      <c r="DB1890" s="5" t="s">
        <v>238</v>
      </c>
      <c r="DD1890" s="5" t="s">
        <v>356</v>
      </c>
      <c r="DE1890" s="8">
        <f>169.68</f>
        <v>169.68</v>
      </c>
      <c r="DG1890" s="5" t="s">
        <v>238</v>
      </c>
      <c r="DH1890" s="5" t="s">
        <v>238</v>
      </c>
      <c r="DI1890" s="5" t="s">
        <v>238</v>
      </c>
      <c r="DJ1890" s="5" t="s">
        <v>238</v>
      </c>
      <c r="DN1890" s="5" t="s">
        <v>238</v>
      </c>
      <c r="DO1890" s="5" t="s">
        <v>238</v>
      </c>
      <c r="DP1890" s="5" t="s">
        <v>238</v>
      </c>
      <c r="DQ1890" s="5" t="s">
        <v>238</v>
      </c>
      <c r="DT1890" s="5" t="s">
        <v>2039</v>
      </c>
      <c r="DU1890" s="5" t="s">
        <v>1926</v>
      </c>
      <c r="HM1890" s="5" t="s">
        <v>264</v>
      </c>
    </row>
    <row r="1891" spans="1:221" x14ac:dyDescent="0.4">
      <c r="A1891" s="5">
        <v>3592</v>
      </c>
      <c r="B1891" s="5">
        <v>1</v>
      </c>
      <c r="C1891" s="5">
        <v>1</v>
      </c>
      <c r="D1891" s="5" t="s">
        <v>2037</v>
      </c>
      <c r="E1891" s="5" t="s">
        <v>271</v>
      </c>
      <c r="F1891" s="5" t="s">
        <v>248</v>
      </c>
      <c r="G1891" s="5" t="s">
        <v>3816</v>
      </c>
      <c r="H1891" s="6" t="s">
        <v>3817</v>
      </c>
      <c r="I1891" s="7">
        <f>366.94</f>
        <v>366.94</v>
      </c>
      <c r="J1891" s="5" t="s">
        <v>262</v>
      </c>
      <c r="K1891" s="8">
        <f>1651230</f>
        <v>1651230</v>
      </c>
      <c r="L1891" s="6" t="s">
        <v>2152</v>
      </c>
      <c r="M1891" s="5" t="s">
        <v>267</v>
      </c>
      <c r="N1891" s="5" t="s">
        <v>265</v>
      </c>
      <c r="O1891" s="5" t="s">
        <v>238</v>
      </c>
      <c r="P1891" s="5" t="s">
        <v>238</v>
      </c>
      <c r="Q1891" s="5" t="s">
        <v>239</v>
      </c>
      <c r="R1891" s="5" t="s">
        <v>238</v>
      </c>
      <c r="S1891" s="5" t="s">
        <v>238</v>
      </c>
      <c r="V1891" s="5" t="s">
        <v>238</v>
      </c>
      <c r="X1891" s="6" t="s">
        <v>238</v>
      </c>
      <c r="AA1891" s="6" t="s">
        <v>1434</v>
      </c>
      <c r="AB1891" s="5" t="s">
        <v>238</v>
      </c>
      <c r="AC1891" s="5" t="s">
        <v>244</v>
      </c>
      <c r="AD1891" s="5" t="s">
        <v>245</v>
      </c>
      <c r="AT1891" s="5" t="s">
        <v>246</v>
      </c>
      <c r="AU1891" s="5" t="s">
        <v>238</v>
      </c>
      <c r="AV1891" s="5" t="s">
        <v>247</v>
      </c>
      <c r="AW1891" s="5" t="s">
        <v>238</v>
      </c>
      <c r="AX1891" s="5" t="s">
        <v>249</v>
      </c>
      <c r="AY1891" s="5" t="s">
        <v>238</v>
      </c>
      <c r="BA1891" s="5" t="s">
        <v>238</v>
      </c>
      <c r="BC1891" s="5" t="s">
        <v>1433</v>
      </c>
      <c r="BD1891" s="6" t="s">
        <v>2152</v>
      </c>
      <c r="BE1891" s="5" t="s">
        <v>251</v>
      </c>
      <c r="BF1891" s="5" t="s">
        <v>2043</v>
      </c>
      <c r="BG1891" s="5" t="s">
        <v>238</v>
      </c>
      <c r="BH1891" s="7">
        <f>0</f>
        <v>0</v>
      </c>
      <c r="BI1891" s="8">
        <f>0</f>
        <v>0</v>
      </c>
      <c r="BJ1891" s="5" t="s">
        <v>253</v>
      </c>
      <c r="BK1891" s="5" t="s">
        <v>254</v>
      </c>
      <c r="BY1891" s="5" t="s">
        <v>238</v>
      </c>
      <c r="BZ1891" s="5" t="s">
        <v>238</v>
      </c>
      <c r="CD1891" s="5" t="s">
        <v>293</v>
      </c>
      <c r="CE1891" s="5" t="s">
        <v>256</v>
      </c>
      <c r="CF1891" s="5" t="s">
        <v>238</v>
      </c>
      <c r="CI1891" s="6" t="s">
        <v>257</v>
      </c>
      <c r="CJ1891" s="5" t="s">
        <v>238</v>
      </c>
      <c r="CK1891" s="5" t="s">
        <v>258</v>
      </c>
      <c r="CL1891" s="5" t="s">
        <v>238</v>
      </c>
      <c r="CM1891" s="5" t="s">
        <v>238</v>
      </c>
      <c r="CN1891" s="5">
        <v>0</v>
      </c>
      <c r="CO1891" s="5" t="s">
        <v>259</v>
      </c>
      <c r="CP1891" s="5" t="s">
        <v>260</v>
      </c>
      <c r="CQ1891" s="5" t="s">
        <v>260</v>
      </c>
      <c r="CR1891" s="5" t="s">
        <v>261</v>
      </c>
      <c r="CU1891" s="8">
        <f>1651230</f>
        <v>1651230</v>
      </c>
      <c r="CV1891" s="8">
        <f>0</f>
        <v>0</v>
      </c>
      <c r="CX1891" s="8">
        <f>0</f>
        <v>0</v>
      </c>
      <c r="CY1891" s="8">
        <f>1651230</f>
        <v>1651230</v>
      </c>
      <c r="DA1891" s="5" t="s">
        <v>356</v>
      </c>
      <c r="DB1891" s="5" t="s">
        <v>238</v>
      </c>
      <c r="DD1891" s="5" t="s">
        <v>356</v>
      </c>
      <c r="DE1891" s="8">
        <f>366.94</f>
        <v>366.94</v>
      </c>
      <c r="DG1891" s="5" t="s">
        <v>238</v>
      </c>
      <c r="DH1891" s="5" t="s">
        <v>238</v>
      </c>
      <c r="DI1891" s="5" t="s">
        <v>238</v>
      </c>
      <c r="DJ1891" s="5" t="s">
        <v>238</v>
      </c>
      <c r="DN1891" s="5" t="s">
        <v>238</v>
      </c>
      <c r="DO1891" s="5" t="s">
        <v>238</v>
      </c>
      <c r="DP1891" s="5" t="s">
        <v>238</v>
      </c>
      <c r="DQ1891" s="5" t="s">
        <v>238</v>
      </c>
      <c r="DT1891" s="5" t="s">
        <v>2039</v>
      </c>
      <c r="DU1891" s="5" t="s">
        <v>1914</v>
      </c>
      <c r="HM1891" s="5" t="s">
        <v>264</v>
      </c>
    </row>
    <row r="1892" spans="1:221" x14ac:dyDescent="0.4">
      <c r="A1892" s="5">
        <v>3593</v>
      </c>
      <c r="B1892" s="5">
        <v>1</v>
      </c>
      <c r="C1892" s="5">
        <v>1</v>
      </c>
      <c r="D1892" s="5" t="s">
        <v>2037</v>
      </c>
      <c r="E1892" s="5" t="s">
        <v>271</v>
      </c>
      <c r="F1892" s="5" t="s">
        <v>248</v>
      </c>
      <c r="G1892" s="5" t="s">
        <v>3826</v>
      </c>
      <c r="H1892" s="6" t="s">
        <v>3827</v>
      </c>
      <c r="I1892" s="7">
        <f>138.74</f>
        <v>138.74</v>
      </c>
      <c r="J1892" s="5" t="s">
        <v>262</v>
      </c>
      <c r="K1892" s="8">
        <f>334286</f>
        <v>334286</v>
      </c>
      <c r="L1892" s="6" t="s">
        <v>2063</v>
      </c>
      <c r="M1892" s="5" t="s">
        <v>267</v>
      </c>
      <c r="N1892" s="5" t="s">
        <v>265</v>
      </c>
      <c r="O1892" s="5" t="s">
        <v>238</v>
      </c>
      <c r="P1892" s="5" t="s">
        <v>238</v>
      </c>
      <c r="Q1892" s="5" t="s">
        <v>239</v>
      </c>
      <c r="R1892" s="5" t="s">
        <v>238</v>
      </c>
      <c r="S1892" s="5" t="s">
        <v>238</v>
      </c>
      <c r="V1892" s="5" t="s">
        <v>238</v>
      </c>
      <c r="X1892" s="6" t="s">
        <v>238</v>
      </c>
      <c r="AA1892" s="6" t="s">
        <v>1434</v>
      </c>
      <c r="AB1892" s="5" t="s">
        <v>238</v>
      </c>
      <c r="AC1892" s="5" t="s">
        <v>244</v>
      </c>
      <c r="AD1892" s="5" t="s">
        <v>245</v>
      </c>
      <c r="AT1892" s="5" t="s">
        <v>246</v>
      </c>
      <c r="AU1892" s="5" t="s">
        <v>238</v>
      </c>
      <c r="AV1892" s="5" t="s">
        <v>247</v>
      </c>
      <c r="AW1892" s="5" t="s">
        <v>238</v>
      </c>
      <c r="AX1892" s="5" t="s">
        <v>249</v>
      </c>
      <c r="AY1892" s="5" t="s">
        <v>238</v>
      </c>
      <c r="BA1892" s="5" t="s">
        <v>238</v>
      </c>
      <c r="BC1892" s="5" t="s">
        <v>1433</v>
      </c>
      <c r="BD1892" s="6" t="s">
        <v>2063</v>
      </c>
      <c r="BE1892" s="5" t="s">
        <v>251</v>
      </c>
      <c r="BF1892" s="5" t="s">
        <v>2043</v>
      </c>
      <c r="BG1892" s="5" t="s">
        <v>238</v>
      </c>
      <c r="BH1892" s="7">
        <f>0</f>
        <v>0</v>
      </c>
      <c r="BI1892" s="8">
        <f>0</f>
        <v>0</v>
      </c>
      <c r="BJ1892" s="5" t="s">
        <v>253</v>
      </c>
      <c r="BK1892" s="5" t="s">
        <v>254</v>
      </c>
      <c r="BY1892" s="5" t="s">
        <v>238</v>
      </c>
      <c r="BZ1892" s="5" t="s">
        <v>238</v>
      </c>
      <c r="CD1892" s="5" t="s">
        <v>293</v>
      </c>
      <c r="CE1892" s="5" t="s">
        <v>256</v>
      </c>
      <c r="CF1892" s="5" t="s">
        <v>238</v>
      </c>
      <c r="CI1892" s="6" t="s">
        <v>257</v>
      </c>
      <c r="CJ1892" s="5" t="s">
        <v>238</v>
      </c>
      <c r="CK1892" s="5" t="s">
        <v>258</v>
      </c>
      <c r="CL1892" s="5" t="s">
        <v>238</v>
      </c>
      <c r="CM1892" s="5" t="s">
        <v>238</v>
      </c>
      <c r="CN1892" s="5">
        <v>0</v>
      </c>
      <c r="CO1892" s="5" t="s">
        <v>259</v>
      </c>
      <c r="CP1892" s="5" t="s">
        <v>260</v>
      </c>
      <c r="CQ1892" s="5" t="s">
        <v>260</v>
      </c>
      <c r="CR1892" s="5" t="s">
        <v>261</v>
      </c>
      <c r="CU1892" s="8">
        <f>334286</f>
        <v>334286</v>
      </c>
      <c r="CV1892" s="8">
        <f>0</f>
        <v>0</v>
      </c>
      <c r="CX1892" s="8">
        <f>0</f>
        <v>0</v>
      </c>
      <c r="CY1892" s="8">
        <f>334286</f>
        <v>334286</v>
      </c>
      <c r="DA1892" s="5" t="s">
        <v>356</v>
      </c>
      <c r="DB1892" s="5" t="s">
        <v>238</v>
      </c>
      <c r="DD1892" s="5" t="s">
        <v>356</v>
      </c>
      <c r="DE1892" s="8">
        <f>0</f>
        <v>0</v>
      </c>
      <c r="DG1892" s="5" t="s">
        <v>238</v>
      </c>
      <c r="DH1892" s="5" t="s">
        <v>238</v>
      </c>
      <c r="DI1892" s="5" t="s">
        <v>238</v>
      </c>
      <c r="DJ1892" s="5" t="s">
        <v>238</v>
      </c>
      <c r="DN1892" s="5" t="s">
        <v>238</v>
      </c>
      <c r="DO1892" s="5" t="s">
        <v>238</v>
      </c>
      <c r="DP1892" s="5" t="s">
        <v>238</v>
      </c>
      <c r="DQ1892" s="5" t="s">
        <v>238</v>
      </c>
      <c r="DT1892" s="5" t="s">
        <v>2039</v>
      </c>
      <c r="DU1892" s="5" t="s">
        <v>1904</v>
      </c>
      <c r="HM1892" s="5" t="s">
        <v>264</v>
      </c>
    </row>
    <row r="1893" spans="1:221" x14ac:dyDescent="0.4">
      <c r="A1893" s="5">
        <v>3594</v>
      </c>
      <c r="B1893" s="5">
        <v>1</v>
      </c>
      <c r="C1893" s="5">
        <v>1</v>
      </c>
      <c r="D1893" s="5" t="s">
        <v>2037</v>
      </c>
      <c r="E1893" s="5" t="s">
        <v>271</v>
      </c>
      <c r="F1893" s="5" t="s">
        <v>248</v>
      </c>
      <c r="G1893" s="5" t="s">
        <v>3837</v>
      </c>
      <c r="H1893" s="6" t="s">
        <v>3827</v>
      </c>
      <c r="I1893" s="7">
        <f>0</f>
        <v>0</v>
      </c>
      <c r="J1893" s="5" t="s">
        <v>262</v>
      </c>
      <c r="K1893" s="8">
        <f>1711157</f>
        <v>1711157</v>
      </c>
      <c r="L1893" s="6" t="s">
        <v>3838</v>
      </c>
      <c r="M1893" s="5" t="s">
        <v>267</v>
      </c>
      <c r="N1893" s="5" t="s">
        <v>265</v>
      </c>
      <c r="O1893" s="5" t="s">
        <v>238</v>
      </c>
      <c r="P1893" s="5" t="s">
        <v>238</v>
      </c>
      <c r="Q1893" s="5" t="s">
        <v>239</v>
      </c>
      <c r="R1893" s="5" t="s">
        <v>238</v>
      </c>
      <c r="S1893" s="5" t="s">
        <v>238</v>
      </c>
      <c r="V1893" s="5" t="s">
        <v>238</v>
      </c>
      <c r="X1893" s="6" t="s">
        <v>238</v>
      </c>
      <c r="AA1893" s="6" t="s">
        <v>1434</v>
      </c>
      <c r="AB1893" s="5" t="s">
        <v>238</v>
      </c>
      <c r="AC1893" s="5" t="s">
        <v>244</v>
      </c>
      <c r="AD1893" s="5" t="s">
        <v>245</v>
      </c>
      <c r="AT1893" s="5" t="s">
        <v>246</v>
      </c>
      <c r="AU1893" s="5" t="s">
        <v>238</v>
      </c>
      <c r="AV1893" s="5" t="s">
        <v>247</v>
      </c>
      <c r="AW1893" s="5" t="s">
        <v>238</v>
      </c>
      <c r="AX1893" s="5" t="s">
        <v>249</v>
      </c>
      <c r="AY1893" s="5" t="s">
        <v>238</v>
      </c>
      <c r="BA1893" s="5" t="s">
        <v>238</v>
      </c>
      <c r="BC1893" s="5" t="s">
        <v>1433</v>
      </c>
      <c r="BD1893" s="6" t="s">
        <v>3838</v>
      </c>
      <c r="BE1893" s="5" t="s">
        <v>251</v>
      </c>
      <c r="BF1893" s="5" t="s">
        <v>2043</v>
      </c>
      <c r="BG1893" s="5" t="s">
        <v>238</v>
      </c>
      <c r="BH1893" s="7">
        <f>0</f>
        <v>0</v>
      </c>
      <c r="BI1893" s="8">
        <f>0</f>
        <v>0</v>
      </c>
      <c r="BJ1893" s="5" t="s">
        <v>253</v>
      </c>
      <c r="BK1893" s="5" t="s">
        <v>254</v>
      </c>
      <c r="BY1893" s="5" t="s">
        <v>238</v>
      </c>
      <c r="BZ1893" s="5" t="s">
        <v>238</v>
      </c>
      <c r="CD1893" s="5" t="s">
        <v>293</v>
      </c>
      <c r="CE1893" s="5" t="s">
        <v>256</v>
      </c>
      <c r="CF1893" s="5" t="s">
        <v>238</v>
      </c>
      <c r="CI1893" s="6" t="s">
        <v>257</v>
      </c>
      <c r="CJ1893" s="5" t="s">
        <v>238</v>
      </c>
      <c r="CK1893" s="5" t="s">
        <v>258</v>
      </c>
      <c r="CL1893" s="5" t="s">
        <v>238</v>
      </c>
      <c r="CM1893" s="5" t="s">
        <v>238</v>
      </c>
      <c r="CN1893" s="5">
        <v>0</v>
      </c>
      <c r="CO1893" s="5" t="s">
        <v>259</v>
      </c>
      <c r="CP1893" s="5" t="s">
        <v>260</v>
      </c>
      <c r="CQ1893" s="5" t="s">
        <v>260</v>
      </c>
      <c r="CR1893" s="5" t="s">
        <v>261</v>
      </c>
      <c r="CU1893" s="8">
        <f>1711157</f>
        <v>1711157</v>
      </c>
      <c r="CV1893" s="8">
        <f>0</f>
        <v>0</v>
      </c>
      <c r="CX1893" s="8">
        <f>0</f>
        <v>0</v>
      </c>
      <c r="CY1893" s="8">
        <f>1711157</f>
        <v>1711157</v>
      </c>
      <c r="DA1893" s="5" t="s">
        <v>356</v>
      </c>
      <c r="DB1893" s="5" t="s">
        <v>238</v>
      </c>
      <c r="DD1893" s="5" t="s">
        <v>356</v>
      </c>
      <c r="DE1893" s="8">
        <f>0</f>
        <v>0</v>
      </c>
      <c r="DG1893" s="5" t="s">
        <v>238</v>
      </c>
      <c r="DH1893" s="5" t="s">
        <v>238</v>
      </c>
      <c r="DI1893" s="5" t="s">
        <v>238</v>
      </c>
      <c r="DJ1893" s="5" t="s">
        <v>238</v>
      </c>
      <c r="DN1893" s="5" t="s">
        <v>238</v>
      </c>
      <c r="DO1893" s="5" t="s">
        <v>238</v>
      </c>
      <c r="DP1893" s="5" t="s">
        <v>238</v>
      </c>
      <c r="DQ1893" s="5" t="s">
        <v>238</v>
      </c>
      <c r="DT1893" s="5" t="s">
        <v>2039</v>
      </c>
      <c r="DU1893" s="5" t="s">
        <v>1894</v>
      </c>
      <c r="HM1893" s="5" t="s">
        <v>264</v>
      </c>
    </row>
    <row r="1894" spans="1:221" x14ac:dyDescent="0.4">
      <c r="A1894" s="5">
        <v>3595</v>
      </c>
      <c r="B1894" s="5">
        <v>1</v>
      </c>
      <c r="C1894" s="5">
        <v>1</v>
      </c>
      <c r="D1894" s="5" t="s">
        <v>2037</v>
      </c>
      <c r="E1894" s="5" t="s">
        <v>271</v>
      </c>
      <c r="F1894" s="5" t="s">
        <v>248</v>
      </c>
      <c r="G1894" s="5" t="s">
        <v>3846</v>
      </c>
      <c r="H1894" s="6" t="s">
        <v>2174</v>
      </c>
      <c r="I1894" s="7">
        <f>8.14</f>
        <v>8.14</v>
      </c>
      <c r="J1894" s="5" t="s">
        <v>262</v>
      </c>
      <c r="K1894" s="8">
        <f>192918</f>
        <v>192918</v>
      </c>
      <c r="L1894" s="6" t="s">
        <v>2173</v>
      </c>
      <c r="M1894" s="5" t="s">
        <v>267</v>
      </c>
      <c r="N1894" s="5" t="s">
        <v>265</v>
      </c>
      <c r="O1894" s="5" t="s">
        <v>238</v>
      </c>
      <c r="P1894" s="5" t="s">
        <v>238</v>
      </c>
      <c r="Q1894" s="5" t="s">
        <v>268</v>
      </c>
      <c r="R1894" s="5" t="s">
        <v>238</v>
      </c>
      <c r="S1894" s="5" t="s">
        <v>238</v>
      </c>
      <c r="V1894" s="5" t="s">
        <v>238</v>
      </c>
      <c r="X1894" s="6" t="s">
        <v>238</v>
      </c>
      <c r="AA1894" s="6" t="s">
        <v>1434</v>
      </c>
      <c r="AB1894" s="5" t="s">
        <v>238</v>
      </c>
      <c r="AC1894" s="5" t="s">
        <v>244</v>
      </c>
      <c r="AD1894" s="5" t="s">
        <v>245</v>
      </c>
      <c r="AT1894" s="5" t="s">
        <v>246</v>
      </c>
      <c r="AU1894" s="5" t="s">
        <v>238</v>
      </c>
      <c r="AV1894" s="5" t="s">
        <v>247</v>
      </c>
      <c r="AW1894" s="5" t="s">
        <v>238</v>
      </c>
      <c r="AX1894" s="5" t="s">
        <v>249</v>
      </c>
      <c r="AY1894" s="5" t="s">
        <v>238</v>
      </c>
      <c r="BA1894" s="5" t="s">
        <v>238</v>
      </c>
      <c r="BC1894" s="5" t="s">
        <v>1433</v>
      </c>
      <c r="BD1894" s="6" t="s">
        <v>2173</v>
      </c>
      <c r="BE1894" s="5" t="s">
        <v>251</v>
      </c>
      <c r="BF1894" s="5" t="s">
        <v>2043</v>
      </c>
      <c r="BG1894" s="5" t="s">
        <v>238</v>
      </c>
      <c r="BH1894" s="7">
        <f>0</f>
        <v>0</v>
      </c>
      <c r="BI1894" s="8">
        <f>0</f>
        <v>0</v>
      </c>
      <c r="BJ1894" s="5" t="s">
        <v>253</v>
      </c>
      <c r="BK1894" s="5" t="s">
        <v>254</v>
      </c>
      <c r="BY1894" s="5" t="s">
        <v>238</v>
      </c>
      <c r="BZ1894" s="5" t="s">
        <v>238</v>
      </c>
      <c r="CD1894" s="5" t="s">
        <v>293</v>
      </c>
      <c r="CE1894" s="5" t="s">
        <v>256</v>
      </c>
      <c r="CF1894" s="5" t="s">
        <v>238</v>
      </c>
      <c r="CI1894" s="6" t="s">
        <v>257</v>
      </c>
      <c r="CJ1894" s="5" t="s">
        <v>238</v>
      </c>
      <c r="CK1894" s="5" t="s">
        <v>258</v>
      </c>
      <c r="CL1894" s="5" t="s">
        <v>238</v>
      </c>
      <c r="CM1894" s="5" t="s">
        <v>238</v>
      </c>
      <c r="CN1894" s="5">
        <v>0</v>
      </c>
      <c r="CO1894" s="5" t="s">
        <v>259</v>
      </c>
      <c r="CP1894" s="5" t="s">
        <v>260</v>
      </c>
      <c r="CQ1894" s="5" t="s">
        <v>260</v>
      </c>
      <c r="CR1894" s="5" t="s">
        <v>261</v>
      </c>
      <c r="CU1894" s="8">
        <f>192918</f>
        <v>192918</v>
      </c>
      <c r="CV1894" s="8">
        <f>0</f>
        <v>0</v>
      </c>
      <c r="CX1894" s="8">
        <f>0</f>
        <v>0</v>
      </c>
      <c r="CY1894" s="8">
        <f>192918</f>
        <v>192918</v>
      </c>
      <c r="DA1894" s="5" t="s">
        <v>673</v>
      </c>
      <c r="DB1894" s="5" t="s">
        <v>238</v>
      </c>
      <c r="DD1894" s="5" t="s">
        <v>263</v>
      </c>
      <c r="DE1894" s="8">
        <f>8.14</f>
        <v>8.14</v>
      </c>
      <c r="DG1894" s="5" t="s">
        <v>238</v>
      </c>
      <c r="DH1894" s="5" t="s">
        <v>238</v>
      </c>
      <c r="DI1894" s="5" t="s">
        <v>238</v>
      </c>
      <c r="DJ1894" s="5" t="s">
        <v>238</v>
      </c>
      <c r="DN1894" s="5" t="s">
        <v>238</v>
      </c>
      <c r="DO1894" s="5" t="s">
        <v>238</v>
      </c>
      <c r="DP1894" s="5" t="s">
        <v>238</v>
      </c>
      <c r="DQ1894" s="5" t="s">
        <v>238</v>
      </c>
      <c r="DT1894" s="5" t="s">
        <v>2039</v>
      </c>
      <c r="DU1894" s="5" t="s">
        <v>1888</v>
      </c>
      <c r="HM1894" s="5" t="s">
        <v>264</v>
      </c>
    </row>
    <row r="1895" spans="1:221" x14ac:dyDescent="0.4">
      <c r="A1895" s="5">
        <v>3596</v>
      </c>
      <c r="B1895" s="5">
        <v>1</v>
      </c>
      <c r="C1895" s="5">
        <v>1</v>
      </c>
      <c r="D1895" s="5" t="s">
        <v>2037</v>
      </c>
      <c r="E1895" s="5" t="s">
        <v>271</v>
      </c>
      <c r="F1895" s="5" t="s">
        <v>248</v>
      </c>
      <c r="G1895" s="5" t="s">
        <v>3852</v>
      </c>
      <c r="H1895" s="6" t="s">
        <v>2118</v>
      </c>
      <c r="I1895" s="7">
        <f>3422.05</f>
        <v>3422.05</v>
      </c>
      <c r="J1895" s="5" t="s">
        <v>262</v>
      </c>
      <c r="K1895" s="8">
        <f>14714815</f>
        <v>14714815</v>
      </c>
      <c r="L1895" s="6" t="s">
        <v>3853</v>
      </c>
      <c r="M1895" s="5" t="s">
        <v>267</v>
      </c>
      <c r="N1895" s="5" t="s">
        <v>265</v>
      </c>
      <c r="O1895" s="5" t="s">
        <v>238</v>
      </c>
      <c r="P1895" s="5" t="s">
        <v>238</v>
      </c>
      <c r="Q1895" s="5" t="s">
        <v>239</v>
      </c>
      <c r="R1895" s="5" t="s">
        <v>238</v>
      </c>
      <c r="S1895" s="5" t="s">
        <v>238</v>
      </c>
      <c r="V1895" s="5" t="s">
        <v>238</v>
      </c>
      <c r="X1895" s="6" t="s">
        <v>238</v>
      </c>
      <c r="AA1895" s="6" t="s">
        <v>1434</v>
      </c>
      <c r="AB1895" s="5" t="s">
        <v>238</v>
      </c>
      <c r="AC1895" s="5" t="s">
        <v>244</v>
      </c>
      <c r="AD1895" s="5" t="s">
        <v>245</v>
      </c>
      <c r="AT1895" s="5" t="s">
        <v>246</v>
      </c>
      <c r="AU1895" s="5" t="s">
        <v>238</v>
      </c>
      <c r="AV1895" s="5" t="s">
        <v>247</v>
      </c>
      <c r="AW1895" s="5" t="s">
        <v>238</v>
      </c>
      <c r="AX1895" s="5" t="s">
        <v>249</v>
      </c>
      <c r="AY1895" s="5" t="s">
        <v>238</v>
      </c>
      <c r="BA1895" s="5" t="s">
        <v>238</v>
      </c>
      <c r="BC1895" s="5" t="s">
        <v>1433</v>
      </c>
      <c r="BD1895" s="6" t="s">
        <v>3853</v>
      </c>
      <c r="BE1895" s="5" t="s">
        <v>251</v>
      </c>
      <c r="BF1895" s="5" t="s">
        <v>2043</v>
      </c>
      <c r="BG1895" s="5" t="s">
        <v>238</v>
      </c>
      <c r="BH1895" s="7">
        <f>0</f>
        <v>0</v>
      </c>
      <c r="BI1895" s="8">
        <f>0</f>
        <v>0</v>
      </c>
      <c r="BJ1895" s="5" t="s">
        <v>253</v>
      </c>
      <c r="BK1895" s="5" t="s">
        <v>254</v>
      </c>
      <c r="BY1895" s="5" t="s">
        <v>238</v>
      </c>
      <c r="BZ1895" s="5" t="s">
        <v>238</v>
      </c>
      <c r="CD1895" s="5" t="s">
        <v>293</v>
      </c>
      <c r="CE1895" s="5" t="s">
        <v>256</v>
      </c>
      <c r="CF1895" s="5" t="s">
        <v>238</v>
      </c>
      <c r="CI1895" s="6" t="s">
        <v>257</v>
      </c>
      <c r="CJ1895" s="5" t="s">
        <v>238</v>
      </c>
      <c r="CK1895" s="5" t="s">
        <v>258</v>
      </c>
      <c r="CL1895" s="5" t="s">
        <v>238</v>
      </c>
      <c r="CM1895" s="5" t="s">
        <v>238</v>
      </c>
      <c r="CN1895" s="5">
        <v>0</v>
      </c>
      <c r="CO1895" s="5" t="s">
        <v>259</v>
      </c>
      <c r="CP1895" s="5" t="s">
        <v>260</v>
      </c>
      <c r="CQ1895" s="5" t="s">
        <v>260</v>
      </c>
      <c r="CR1895" s="5" t="s">
        <v>261</v>
      </c>
      <c r="CU1895" s="8">
        <f>14714815</f>
        <v>14714815</v>
      </c>
      <c r="CV1895" s="8">
        <f>0</f>
        <v>0</v>
      </c>
      <c r="CX1895" s="8">
        <f>0</f>
        <v>0</v>
      </c>
      <c r="CY1895" s="8">
        <f>14714815</f>
        <v>14714815</v>
      </c>
      <c r="DA1895" s="5" t="s">
        <v>356</v>
      </c>
      <c r="DB1895" s="5" t="s">
        <v>238</v>
      </c>
      <c r="DD1895" s="5" t="s">
        <v>356</v>
      </c>
      <c r="DE1895" s="8">
        <f>0</f>
        <v>0</v>
      </c>
      <c r="DG1895" s="5" t="s">
        <v>238</v>
      </c>
      <c r="DH1895" s="5" t="s">
        <v>238</v>
      </c>
      <c r="DI1895" s="5" t="s">
        <v>238</v>
      </c>
      <c r="DJ1895" s="5" t="s">
        <v>238</v>
      </c>
      <c r="DN1895" s="5" t="s">
        <v>238</v>
      </c>
      <c r="DO1895" s="5" t="s">
        <v>238</v>
      </c>
      <c r="DP1895" s="5" t="s">
        <v>238</v>
      </c>
      <c r="DQ1895" s="5" t="s">
        <v>238</v>
      </c>
      <c r="DT1895" s="5" t="s">
        <v>2039</v>
      </c>
      <c r="DU1895" s="5" t="s">
        <v>1437</v>
      </c>
      <c r="HM1895" s="5" t="s">
        <v>264</v>
      </c>
    </row>
    <row r="1896" spans="1:221" x14ac:dyDescent="0.4">
      <c r="A1896" s="5">
        <v>3597</v>
      </c>
      <c r="B1896" s="5">
        <v>1</v>
      </c>
      <c r="C1896" s="5">
        <v>1</v>
      </c>
      <c r="D1896" s="5" t="s">
        <v>2037</v>
      </c>
      <c r="E1896" s="5" t="s">
        <v>271</v>
      </c>
      <c r="F1896" s="5" t="s">
        <v>248</v>
      </c>
      <c r="G1896" s="5" t="s">
        <v>3862</v>
      </c>
      <c r="H1896" s="6" t="s">
        <v>2118</v>
      </c>
      <c r="I1896" s="7">
        <f>0</f>
        <v>0</v>
      </c>
      <c r="J1896" s="5" t="s">
        <v>262</v>
      </c>
      <c r="K1896" s="8">
        <f>1087714</f>
        <v>1087714</v>
      </c>
      <c r="L1896" s="6" t="s">
        <v>3853</v>
      </c>
      <c r="M1896" s="5" t="s">
        <v>267</v>
      </c>
      <c r="N1896" s="5" t="s">
        <v>265</v>
      </c>
      <c r="O1896" s="5" t="s">
        <v>238</v>
      </c>
      <c r="P1896" s="5" t="s">
        <v>238</v>
      </c>
      <c r="Q1896" s="5" t="s">
        <v>239</v>
      </c>
      <c r="R1896" s="5" t="s">
        <v>238</v>
      </c>
      <c r="S1896" s="5" t="s">
        <v>238</v>
      </c>
      <c r="V1896" s="5" t="s">
        <v>238</v>
      </c>
      <c r="X1896" s="6" t="s">
        <v>238</v>
      </c>
      <c r="AA1896" s="6" t="s">
        <v>243</v>
      </c>
      <c r="AB1896" s="5" t="s">
        <v>238</v>
      </c>
      <c r="AC1896" s="5" t="s">
        <v>244</v>
      </c>
      <c r="AD1896" s="5" t="s">
        <v>245</v>
      </c>
      <c r="AT1896" s="5" t="s">
        <v>246</v>
      </c>
      <c r="AU1896" s="5" t="s">
        <v>238</v>
      </c>
      <c r="AV1896" s="5" t="s">
        <v>247</v>
      </c>
      <c r="AW1896" s="5" t="s">
        <v>238</v>
      </c>
      <c r="AX1896" s="5" t="s">
        <v>249</v>
      </c>
      <c r="AY1896" s="5" t="s">
        <v>238</v>
      </c>
      <c r="BA1896" s="5" t="s">
        <v>238</v>
      </c>
      <c r="BC1896" s="5" t="s">
        <v>250</v>
      </c>
      <c r="BD1896" s="6" t="s">
        <v>3853</v>
      </c>
      <c r="BE1896" s="5" t="s">
        <v>251</v>
      </c>
      <c r="BF1896" s="5" t="s">
        <v>2043</v>
      </c>
      <c r="BG1896" s="5" t="s">
        <v>238</v>
      </c>
      <c r="BH1896" s="7">
        <f>0</f>
        <v>0</v>
      </c>
      <c r="BI1896" s="8">
        <f>0</f>
        <v>0</v>
      </c>
      <c r="BJ1896" s="5" t="s">
        <v>253</v>
      </c>
      <c r="BK1896" s="5" t="s">
        <v>254</v>
      </c>
      <c r="BY1896" s="5" t="s">
        <v>238</v>
      </c>
      <c r="BZ1896" s="5" t="s">
        <v>238</v>
      </c>
      <c r="CD1896" s="5" t="s">
        <v>293</v>
      </c>
      <c r="CE1896" s="5" t="s">
        <v>256</v>
      </c>
      <c r="CF1896" s="5" t="s">
        <v>238</v>
      </c>
      <c r="CI1896" s="6" t="s">
        <v>257</v>
      </c>
      <c r="CJ1896" s="5" t="s">
        <v>238</v>
      </c>
      <c r="CK1896" s="5" t="s">
        <v>258</v>
      </c>
      <c r="CL1896" s="5" t="s">
        <v>238</v>
      </c>
      <c r="CM1896" s="5" t="s">
        <v>238</v>
      </c>
      <c r="CN1896" s="5">
        <v>0</v>
      </c>
      <c r="CO1896" s="5" t="s">
        <v>259</v>
      </c>
      <c r="CP1896" s="5" t="s">
        <v>260</v>
      </c>
      <c r="CQ1896" s="5" t="s">
        <v>260</v>
      </c>
      <c r="CR1896" s="5" t="s">
        <v>261</v>
      </c>
      <c r="CU1896" s="8">
        <f>1087714</f>
        <v>1087714</v>
      </c>
      <c r="CV1896" s="8">
        <f>0</f>
        <v>0</v>
      </c>
      <c r="CX1896" s="8">
        <f>0</f>
        <v>0</v>
      </c>
      <c r="CY1896" s="8">
        <f>1087714</f>
        <v>1087714</v>
      </c>
      <c r="DA1896" s="5" t="s">
        <v>356</v>
      </c>
      <c r="DB1896" s="5" t="s">
        <v>238</v>
      </c>
      <c r="DD1896" s="5" t="s">
        <v>356</v>
      </c>
      <c r="DE1896" s="8">
        <f>0</f>
        <v>0</v>
      </c>
      <c r="DG1896" s="5" t="s">
        <v>238</v>
      </c>
      <c r="DH1896" s="5" t="s">
        <v>238</v>
      </c>
      <c r="DI1896" s="5" t="s">
        <v>238</v>
      </c>
      <c r="DJ1896" s="5" t="s">
        <v>238</v>
      </c>
      <c r="DN1896" s="5" t="s">
        <v>238</v>
      </c>
      <c r="DO1896" s="5" t="s">
        <v>238</v>
      </c>
      <c r="DP1896" s="5" t="s">
        <v>238</v>
      </c>
      <c r="DQ1896" s="5" t="s">
        <v>238</v>
      </c>
      <c r="DT1896" s="5" t="s">
        <v>2039</v>
      </c>
      <c r="DU1896" s="5" t="s">
        <v>1876</v>
      </c>
      <c r="HM1896" s="5" t="s">
        <v>264</v>
      </c>
    </row>
    <row r="1897" spans="1:221" x14ac:dyDescent="0.4">
      <c r="A1897" s="5">
        <v>3598</v>
      </c>
      <c r="B1897" s="5">
        <v>1</v>
      </c>
      <c r="C1897" s="5">
        <v>1</v>
      </c>
      <c r="D1897" s="5" t="s">
        <v>2037</v>
      </c>
      <c r="E1897" s="5" t="s">
        <v>271</v>
      </c>
      <c r="F1897" s="5" t="s">
        <v>248</v>
      </c>
      <c r="G1897" s="5" t="s">
        <v>3648</v>
      </c>
      <c r="H1897" s="6" t="s">
        <v>3650</v>
      </c>
      <c r="I1897" s="7">
        <f>0</f>
        <v>0</v>
      </c>
      <c r="J1897" s="5" t="s">
        <v>262</v>
      </c>
      <c r="K1897" s="8">
        <f>5001480</f>
        <v>5001480</v>
      </c>
      <c r="L1897" s="6" t="s">
        <v>3649</v>
      </c>
      <c r="M1897" s="5" t="s">
        <v>267</v>
      </c>
      <c r="N1897" s="5" t="s">
        <v>265</v>
      </c>
      <c r="O1897" s="5" t="s">
        <v>238</v>
      </c>
      <c r="P1897" s="5" t="s">
        <v>238</v>
      </c>
      <c r="Q1897" s="5" t="s">
        <v>239</v>
      </c>
      <c r="R1897" s="5" t="s">
        <v>238</v>
      </c>
      <c r="S1897" s="5" t="s">
        <v>238</v>
      </c>
      <c r="V1897" s="5" t="s">
        <v>238</v>
      </c>
      <c r="X1897" s="6" t="s">
        <v>238</v>
      </c>
      <c r="AA1897" s="6" t="s">
        <v>243</v>
      </c>
      <c r="AB1897" s="5" t="s">
        <v>238</v>
      </c>
      <c r="AC1897" s="5" t="s">
        <v>244</v>
      </c>
      <c r="AD1897" s="5" t="s">
        <v>245</v>
      </c>
      <c r="AT1897" s="5" t="s">
        <v>246</v>
      </c>
      <c r="AU1897" s="5" t="s">
        <v>238</v>
      </c>
      <c r="AV1897" s="5" t="s">
        <v>247</v>
      </c>
      <c r="AW1897" s="5" t="s">
        <v>238</v>
      </c>
      <c r="AX1897" s="5" t="s">
        <v>249</v>
      </c>
      <c r="AY1897" s="5" t="s">
        <v>238</v>
      </c>
      <c r="BA1897" s="5" t="s">
        <v>238</v>
      </c>
      <c r="BC1897" s="5" t="s">
        <v>250</v>
      </c>
      <c r="BD1897" s="6" t="s">
        <v>3649</v>
      </c>
      <c r="BE1897" s="5" t="s">
        <v>251</v>
      </c>
      <c r="BF1897" s="5" t="s">
        <v>3552</v>
      </c>
      <c r="BG1897" s="5" t="s">
        <v>238</v>
      </c>
      <c r="BH1897" s="7">
        <f>0</f>
        <v>0</v>
      </c>
      <c r="BI1897" s="8">
        <f>0</f>
        <v>0</v>
      </c>
      <c r="BJ1897" s="5" t="s">
        <v>253</v>
      </c>
      <c r="BK1897" s="5" t="s">
        <v>254</v>
      </c>
      <c r="BY1897" s="5" t="s">
        <v>238</v>
      </c>
      <c r="BZ1897" s="5" t="s">
        <v>238</v>
      </c>
      <c r="CD1897" s="5" t="s">
        <v>293</v>
      </c>
      <c r="CE1897" s="5" t="s">
        <v>256</v>
      </c>
      <c r="CF1897" s="5" t="s">
        <v>238</v>
      </c>
      <c r="CI1897" s="6" t="s">
        <v>257</v>
      </c>
      <c r="CJ1897" s="5" t="s">
        <v>238</v>
      </c>
      <c r="CK1897" s="5" t="s">
        <v>258</v>
      </c>
      <c r="CL1897" s="5" t="s">
        <v>238</v>
      </c>
      <c r="CM1897" s="5" t="s">
        <v>238</v>
      </c>
      <c r="CN1897" s="5">
        <v>0</v>
      </c>
      <c r="CO1897" s="5" t="s">
        <v>259</v>
      </c>
      <c r="CP1897" s="5" t="s">
        <v>260</v>
      </c>
      <c r="CQ1897" s="5" t="s">
        <v>260</v>
      </c>
      <c r="CR1897" s="5" t="s">
        <v>261</v>
      </c>
      <c r="CU1897" s="8">
        <f>5001480</f>
        <v>5001480</v>
      </c>
      <c r="CV1897" s="8">
        <f>0</f>
        <v>0</v>
      </c>
      <c r="CX1897" s="8">
        <f>0</f>
        <v>0</v>
      </c>
      <c r="CY1897" s="8">
        <f>5001480</f>
        <v>5001480</v>
      </c>
      <c r="DA1897" s="5" t="s">
        <v>356</v>
      </c>
      <c r="DB1897" s="5" t="s">
        <v>238</v>
      </c>
      <c r="DD1897" s="5" t="s">
        <v>356</v>
      </c>
      <c r="DE1897" s="8">
        <f>0</f>
        <v>0</v>
      </c>
      <c r="DG1897" s="5" t="s">
        <v>238</v>
      </c>
      <c r="DH1897" s="5" t="s">
        <v>238</v>
      </c>
      <c r="DI1897" s="5" t="s">
        <v>238</v>
      </c>
      <c r="DJ1897" s="5" t="s">
        <v>238</v>
      </c>
      <c r="DN1897" s="5" t="s">
        <v>238</v>
      </c>
      <c r="DO1897" s="5" t="s">
        <v>238</v>
      </c>
      <c r="DP1897" s="5" t="s">
        <v>238</v>
      </c>
      <c r="DQ1897" s="5" t="s">
        <v>238</v>
      </c>
      <c r="DT1897" s="5" t="s">
        <v>2039</v>
      </c>
      <c r="DU1897" s="5" t="s">
        <v>1872</v>
      </c>
      <c r="HM1897" s="5" t="s">
        <v>264</v>
      </c>
    </row>
    <row r="1898" spans="1:221" x14ac:dyDescent="0.4">
      <c r="A1898" s="5">
        <v>3599</v>
      </c>
      <c r="B1898" s="5">
        <v>1</v>
      </c>
      <c r="C1898" s="5">
        <v>1</v>
      </c>
      <c r="D1898" s="5" t="s">
        <v>2037</v>
      </c>
      <c r="E1898" s="5" t="s">
        <v>271</v>
      </c>
      <c r="F1898" s="5" t="s">
        <v>248</v>
      </c>
      <c r="G1898" s="5" t="s">
        <v>2112</v>
      </c>
      <c r="H1898" s="6" t="s">
        <v>2054</v>
      </c>
      <c r="I1898" s="7">
        <f>0</f>
        <v>0</v>
      </c>
      <c r="J1898" s="5" t="s">
        <v>262</v>
      </c>
      <c r="K1898" s="8">
        <f>1496700</f>
        <v>1496700</v>
      </c>
      <c r="L1898" s="6" t="s">
        <v>2113</v>
      </c>
      <c r="M1898" s="5" t="s">
        <v>267</v>
      </c>
      <c r="N1898" s="5" t="s">
        <v>265</v>
      </c>
      <c r="O1898" s="5" t="s">
        <v>238</v>
      </c>
      <c r="P1898" s="5" t="s">
        <v>238</v>
      </c>
      <c r="Q1898" s="5" t="s">
        <v>239</v>
      </c>
      <c r="R1898" s="5" t="s">
        <v>238</v>
      </c>
      <c r="S1898" s="5" t="s">
        <v>238</v>
      </c>
      <c r="V1898" s="5" t="s">
        <v>238</v>
      </c>
      <c r="X1898" s="6" t="s">
        <v>238</v>
      </c>
      <c r="AA1898" s="6" t="s">
        <v>243</v>
      </c>
      <c r="AB1898" s="5" t="s">
        <v>238</v>
      </c>
      <c r="AC1898" s="5" t="s">
        <v>244</v>
      </c>
      <c r="AD1898" s="5" t="s">
        <v>245</v>
      </c>
      <c r="AT1898" s="5" t="s">
        <v>246</v>
      </c>
      <c r="AU1898" s="5" t="s">
        <v>238</v>
      </c>
      <c r="AV1898" s="5" t="s">
        <v>247</v>
      </c>
      <c r="AW1898" s="5" t="s">
        <v>238</v>
      </c>
      <c r="AX1898" s="5" t="s">
        <v>249</v>
      </c>
      <c r="AY1898" s="5" t="s">
        <v>238</v>
      </c>
      <c r="BA1898" s="5" t="s">
        <v>238</v>
      </c>
      <c r="BC1898" s="5" t="s">
        <v>250</v>
      </c>
      <c r="BD1898" s="6" t="s">
        <v>2113</v>
      </c>
      <c r="BE1898" s="5" t="s">
        <v>251</v>
      </c>
      <c r="BF1898" s="5" t="s">
        <v>2043</v>
      </c>
      <c r="BG1898" s="5" t="s">
        <v>238</v>
      </c>
      <c r="BH1898" s="7">
        <f>0</f>
        <v>0</v>
      </c>
      <c r="BI1898" s="8">
        <f>0</f>
        <v>0</v>
      </c>
      <c r="BJ1898" s="5" t="s">
        <v>253</v>
      </c>
      <c r="BK1898" s="5" t="s">
        <v>254</v>
      </c>
      <c r="BY1898" s="5" t="s">
        <v>238</v>
      </c>
      <c r="BZ1898" s="5" t="s">
        <v>238</v>
      </c>
      <c r="CD1898" s="5" t="s">
        <v>293</v>
      </c>
      <c r="CE1898" s="5" t="s">
        <v>256</v>
      </c>
      <c r="CF1898" s="5" t="s">
        <v>238</v>
      </c>
      <c r="CI1898" s="6" t="s">
        <v>257</v>
      </c>
      <c r="CJ1898" s="5" t="s">
        <v>238</v>
      </c>
      <c r="CK1898" s="5" t="s">
        <v>258</v>
      </c>
      <c r="CL1898" s="5" t="s">
        <v>238</v>
      </c>
      <c r="CM1898" s="5" t="s">
        <v>238</v>
      </c>
      <c r="CN1898" s="5">
        <v>0</v>
      </c>
      <c r="CO1898" s="5" t="s">
        <v>259</v>
      </c>
      <c r="CP1898" s="5" t="s">
        <v>260</v>
      </c>
      <c r="CQ1898" s="5" t="s">
        <v>260</v>
      </c>
      <c r="CR1898" s="5" t="s">
        <v>261</v>
      </c>
      <c r="CU1898" s="8">
        <f>1496700</f>
        <v>1496700</v>
      </c>
      <c r="CV1898" s="8">
        <f>0</f>
        <v>0</v>
      </c>
      <c r="CX1898" s="8">
        <f>0</f>
        <v>0</v>
      </c>
      <c r="CY1898" s="8">
        <f>1496700</f>
        <v>1496700</v>
      </c>
      <c r="DA1898" s="5" t="s">
        <v>356</v>
      </c>
      <c r="DB1898" s="5" t="s">
        <v>238</v>
      </c>
      <c r="DD1898" s="5" t="s">
        <v>356</v>
      </c>
      <c r="DE1898" s="8">
        <f>0</f>
        <v>0</v>
      </c>
      <c r="DG1898" s="5" t="s">
        <v>238</v>
      </c>
      <c r="DH1898" s="5" t="s">
        <v>238</v>
      </c>
      <c r="DI1898" s="5" t="s">
        <v>238</v>
      </c>
      <c r="DJ1898" s="5" t="s">
        <v>238</v>
      </c>
      <c r="DN1898" s="5" t="s">
        <v>238</v>
      </c>
      <c r="DO1898" s="5" t="s">
        <v>238</v>
      </c>
      <c r="DP1898" s="5" t="s">
        <v>238</v>
      </c>
      <c r="DQ1898" s="5" t="s">
        <v>238</v>
      </c>
      <c r="DT1898" s="5" t="s">
        <v>2039</v>
      </c>
      <c r="DU1898" s="5" t="s">
        <v>1864</v>
      </c>
      <c r="HM1898" s="5" t="s">
        <v>264</v>
      </c>
    </row>
    <row r="1899" spans="1:221" x14ac:dyDescent="0.4">
      <c r="A1899" s="5">
        <v>3600</v>
      </c>
      <c r="B1899" s="5">
        <v>1</v>
      </c>
      <c r="C1899" s="5">
        <v>1</v>
      </c>
      <c r="D1899" s="5" t="s">
        <v>2037</v>
      </c>
      <c r="E1899" s="5" t="s">
        <v>271</v>
      </c>
      <c r="F1899" s="5" t="s">
        <v>248</v>
      </c>
      <c r="G1899" s="5" t="s">
        <v>2148</v>
      </c>
      <c r="H1899" s="6" t="s">
        <v>2123</v>
      </c>
      <c r="I1899" s="7">
        <f>382.85</f>
        <v>382.85</v>
      </c>
      <c r="J1899" s="5" t="s">
        <v>262</v>
      </c>
      <c r="K1899" s="8">
        <f>721630</f>
        <v>721630</v>
      </c>
      <c r="L1899" s="6" t="s">
        <v>2149</v>
      </c>
      <c r="M1899" s="5" t="s">
        <v>267</v>
      </c>
      <c r="N1899" s="5" t="s">
        <v>265</v>
      </c>
      <c r="O1899" s="5" t="s">
        <v>238</v>
      </c>
      <c r="P1899" s="5" t="s">
        <v>238</v>
      </c>
      <c r="Q1899" s="5" t="s">
        <v>239</v>
      </c>
      <c r="R1899" s="5" t="s">
        <v>238</v>
      </c>
      <c r="S1899" s="5" t="s">
        <v>238</v>
      </c>
      <c r="V1899" s="5" t="s">
        <v>238</v>
      </c>
      <c r="X1899" s="6" t="s">
        <v>238</v>
      </c>
      <c r="AA1899" s="6" t="s">
        <v>243</v>
      </c>
      <c r="AB1899" s="5" t="s">
        <v>238</v>
      </c>
      <c r="AC1899" s="5" t="s">
        <v>244</v>
      </c>
      <c r="AD1899" s="5" t="s">
        <v>245</v>
      </c>
      <c r="AT1899" s="5" t="s">
        <v>246</v>
      </c>
      <c r="AU1899" s="5" t="s">
        <v>238</v>
      </c>
      <c r="AV1899" s="5" t="s">
        <v>247</v>
      </c>
      <c r="AW1899" s="5" t="s">
        <v>238</v>
      </c>
      <c r="AX1899" s="5" t="s">
        <v>249</v>
      </c>
      <c r="AY1899" s="5" t="s">
        <v>238</v>
      </c>
      <c r="BA1899" s="5" t="s">
        <v>238</v>
      </c>
      <c r="BC1899" s="5" t="s">
        <v>250</v>
      </c>
      <c r="BD1899" s="6" t="s">
        <v>2149</v>
      </c>
      <c r="BE1899" s="5" t="s">
        <v>251</v>
      </c>
      <c r="BF1899" s="5" t="s">
        <v>2043</v>
      </c>
      <c r="BG1899" s="5" t="s">
        <v>238</v>
      </c>
      <c r="BH1899" s="7">
        <f>0</f>
        <v>0</v>
      </c>
      <c r="BI1899" s="8">
        <f>0</f>
        <v>0</v>
      </c>
      <c r="BJ1899" s="5" t="s">
        <v>253</v>
      </c>
      <c r="BK1899" s="5" t="s">
        <v>254</v>
      </c>
      <c r="BY1899" s="5" t="s">
        <v>238</v>
      </c>
      <c r="BZ1899" s="5" t="s">
        <v>238</v>
      </c>
      <c r="CD1899" s="5" t="s">
        <v>293</v>
      </c>
      <c r="CE1899" s="5" t="s">
        <v>256</v>
      </c>
      <c r="CF1899" s="5" t="s">
        <v>238</v>
      </c>
      <c r="CI1899" s="6" t="s">
        <v>257</v>
      </c>
      <c r="CJ1899" s="5" t="s">
        <v>238</v>
      </c>
      <c r="CK1899" s="5" t="s">
        <v>258</v>
      </c>
      <c r="CL1899" s="5" t="s">
        <v>238</v>
      </c>
      <c r="CM1899" s="5" t="s">
        <v>238</v>
      </c>
      <c r="CN1899" s="5">
        <v>0</v>
      </c>
      <c r="CO1899" s="5" t="s">
        <v>259</v>
      </c>
      <c r="CP1899" s="5" t="s">
        <v>260</v>
      </c>
      <c r="CQ1899" s="5" t="s">
        <v>260</v>
      </c>
      <c r="CR1899" s="5" t="s">
        <v>261</v>
      </c>
      <c r="CU1899" s="8">
        <f>721630</f>
        <v>721630</v>
      </c>
      <c r="CV1899" s="8">
        <f>0</f>
        <v>0</v>
      </c>
      <c r="CX1899" s="8">
        <f>0</f>
        <v>0</v>
      </c>
      <c r="CY1899" s="8">
        <f>721630</f>
        <v>721630</v>
      </c>
      <c r="DA1899" s="5" t="s">
        <v>356</v>
      </c>
      <c r="DB1899" s="5" t="s">
        <v>238</v>
      </c>
      <c r="DD1899" s="5" t="s">
        <v>356</v>
      </c>
      <c r="DE1899" s="8">
        <f>0</f>
        <v>0</v>
      </c>
      <c r="DG1899" s="5" t="s">
        <v>238</v>
      </c>
      <c r="DH1899" s="5" t="s">
        <v>238</v>
      </c>
      <c r="DI1899" s="5" t="s">
        <v>238</v>
      </c>
      <c r="DJ1899" s="5" t="s">
        <v>238</v>
      </c>
      <c r="DN1899" s="5" t="s">
        <v>238</v>
      </c>
      <c r="DO1899" s="5" t="s">
        <v>238</v>
      </c>
      <c r="DP1899" s="5" t="s">
        <v>238</v>
      </c>
      <c r="DQ1899" s="5" t="s">
        <v>238</v>
      </c>
      <c r="DT1899" s="5" t="s">
        <v>2039</v>
      </c>
      <c r="DU1899" s="5" t="s">
        <v>1612</v>
      </c>
      <c r="HM1899" s="5" t="s">
        <v>264</v>
      </c>
    </row>
    <row r="1900" spans="1:221" x14ac:dyDescent="0.4">
      <c r="A1900" s="5">
        <v>3601</v>
      </c>
      <c r="B1900" s="5">
        <v>1</v>
      </c>
      <c r="C1900" s="5">
        <v>1</v>
      </c>
      <c r="D1900" s="5" t="s">
        <v>2037</v>
      </c>
      <c r="E1900" s="5" t="s">
        <v>271</v>
      </c>
      <c r="F1900" s="5" t="s">
        <v>248</v>
      </c>
      <c r="G1900" s="5" t="s">
        <v>2121</v>
      </c>
      <c r="H1900" s="6" t="s">
        <v>2123</v>
      </c>
      <c r="I1900" s="7">
        <f>0</f>
        <v>0</v>
      </c>
      <c r="J1900" s="5" t="s">
        <v>262</v>
      </c>
      <c r="K1900" s="8">
        <f>9238173</f>
        <v>9238173</v>
      </c>
      <c r="L1900" s="6" t="s">
        <v>2122</v>
      </c>
      <c r="M1900" s="5" t="s">
        <v>267</v>
      </c>
      <c r="N1900" s="5" t="s">
        <v>265</v>
      </c>
      <c r="O1900" s="5" t="s">
        <v>238</v>
      </c>
      <c r="P1900" s="5" t="s">
        <v>238</v>
      </c>
      <c r="Q1900" s="5" t="s">
        <v>239</v>
      </c>
      <c r="R1900" s="5" t="s">
        <v>238</v>
      </c>
      <c r="S1900" s="5" t="s">
        <v>238</v>
      </c>
      <c r="V1900" s="5" t="s">
        <v>238</v>
      </c>
      <c r="X1900" s="6" t="s">
        <v>238</v>
      </c>
      <c r="AA1900" s="6" t="s">
        <v>243</v>
      </c>
      <c r="AB1900" s="5" t="s">
        <v>238</v>
      </c>
      <c r="AC1900" s="5" t="s">
        <v>244</v>
      </c>
      <c r="AD1900" s="5" t="s">
        <v>245</v>
      </c>
      <c r="AT1900" s="5" t="s">
        <v>246</v>
      </c>
      <c r="AU1900" s="5" t="s">
        <v>238</v>
      </c>
      <c r="AV1900" s="5" t="s">
        <v>247</v>
      </c>
      <c r="AW1900" s="5" t="s">
        <v>238</v>
      </c>
      <c r="AX1900" s="5" t="s">
        <v>249</v>
      </c>
      <c r="AY1900" s="5" t="s">
        <v>238</v>
      </c>
      <c r="BA1900" s="5" t="s">
        <v>238</v>
      </c>
      <c r="BC1900" s="5" t="s">
        <v>250</v>
      </c>
      <c r="BD1900" s="6" t="s">
        <v>2122</v>
      </c>
      <c r="BE1900" s="5" t="s">
        <v>251</v>
      </c>
      <c r="BF1900" s="5" t="s">
        <v>2043</v>
      </c>
      <c r="BG1900" s="5" t="s">
        <v>238</v>
      </c>
      <c r="BH1900" s="7">
        <f>0</f>
        <v>0</v>
      </c>
      <c r="BI1900" s="8">
        <f>0</f>
        <v>0</v>
      </c>
      <c r="BJ1900" s="5" t="s">
        <v>253</v>
      </c>
      <c r="BK1900" s="5" t="s">
        <v>254</v>
      </c>
      <c r="BY1900" s="5" t="s">
        <v>238</v>
      </c>
      <c r="BZ1900" s="5" t="s">
        <v>238</v>
      </c>
      <c r="CD1900" s="5" t="s">
        <v>293</v>
      </c>
      <c r="CE1900" s="5" t="s">
        <v>256</v>
      </c>
      <c r="CF1900" s="5" t="s">
        <v>238</v>
      </c>
      <c r="CI1900" s="6" t="s">
        <v>257</v>
      </c>
      <c r="CJ1900" s="5" t="s">
        <v>238</v>
      </c>
      <c r="CK1900" s="5" t="s">
        <v>258</v>
      </c>
      <c r="CL1900" s="5" t="s">
        <v>238</v>
      </c>
      <c r="CM1900" s="5" t="s">
        <v>238</v>
      </c>
      <c r="CN1900" s="5">
        <v>0</v>
      </c>
      <c r="CO1900" s="5" t="s">
        <v>259</v>
      </c>
      <c r="CP1900" s="5" t="s">
        <v>260</v>
      </c>
      <c r="CQ1900" s="5" t="s">
        <v>260</v>
      </c>
      <c r="CR1900" s="5" t="s">
        <v>261</v>
      </c>
      <c r="CU1900" s="8">
        <f>9238173</f>
        <v>9238173</v>
      </c>
      <c r="CV1900" s="8">
        <f>0</f>
        <v>0</v>
      </c>
      <c r="CX1900" s="8">
        <f>0</f>
        <v>0</v>
      </c>
      <c r="CY1900" s="8">
        <f>9238173</f>
        <v>9238173</v>
      </c>
      <c r="DA1900" s="5" t="s">
        <v>356</v>
      </c>
      <c r="DB1900" s="5" t="s">
        <v>238</v>
      </c>
      <c r="DD1900" s="5" t="s">
        <v>356</v>
      </c>
      <c r="DE1900" s="8">
        <f>0</f>
        <v>0</v>
      </c>
      <c r="DG1900" s="5" t="s">
        <v>238</v>
      </c>
      <c r="DH1900" s="5" t="s">
        <v>238</v>
      </c>
      <c r="DI1900" s="5" t="s">
        <v>238</v>
      </c>
      <c r="DJ1900" s="5" t="s">
        <v>238</v>
      </c>
      <c r="DN1900" s="5" t="s">
        <v>238</v>
      </c>
      <c r="DO1900" s="5" t="s">
        <v>238</v>
      </c>
      <c r="DP1900" s="5" t="s">
        <v>238</v>
      </c>
      <c r="DQ1900" s="5" t="s">
        <v>238</v>
      </c>
      <c r="DT1900" s="5" t="s">
        <v>2039</v>
      </c>
      <c r="DU1900" s="5" t="s">
        <v>1848</v>
      </c>
      <c r="HM1900" s="5" t="s">
        <v>264</v>
      </c>
    </row>
    <row r="1901" spans="1:221" x14ac:dyDescent="0.4">
      <c r="A1901" s="5">
        <v>3602</v>
      </c>
      <c r="B1901" s="5">
        <v>1</v>
      </c>
      <c r="C1901" s="5">
        <v>1</v>
      </c>
      <c r="D1901" s="5" t="s">
        <v>2037</v>
      </c>
      <c r="E1901" s="5" t="s">
        <v>271</v>
      </c>
      <c r="F1901" s="5" t="s">
        <v>248</v>
      </c>
      <c r="G1901" s="5" t="s">
        <v>2151</v>
      </c>
      <c r="H1901" s="6" t="s">
        <v>2127</v>
      </c>
      <c r="I1901" s="7">
        <f>398.42</f>
        <v>398.42</v>
      </c>
      <c r="J1901" s="5" t="s">
        <v>262</v>
      </c>
      <c r="K1901" s="8">
        <f>1903083</f>
        <v>1903083</v>
      </c>
      <c r="L1901" s="6" t="s">
        <v>2152</v>
      </c>
      <c r="M1901" s="5" t="s">
        <v>267</v>
      </c>
      <c r="N1901" s="5" t="s">
        <v>265</v>
      </c>
      <c r="O1901" s="5" t="s">
        <v>238</v>
      </c>
      <c r="P1901" s="5" t="s">
        <v>238</v>
      </c>
      <c r="Q1901" s="5" t="s">
        <v>239</v>
      </c>
      <c r="R1901" s="5" t="s">
        <v>238</v>
      </c>
      <c r="S1901" s="5" t="s">
        <v>238</v>
      </c>
      <c r="V1901" s="5" t="s">
        <v>238</v>
      </c>
      <c r="X1901" s="6" t="s">
        <v>238</v>
      </c>
      <c r="AA1901" s="6" t="s">
        <v>243</v>
      </c>
      <c r="AB1901" s="5" t="s">
        <v>238</v>
      </c>
      <c r="AC1901" s="5" t="s">
        <v>244</v>
      </c>
      <c r="AD1901" s="5" t="s">
        <v>245</v>
      </c>
      <c r="AT1901" s="5" t="s">
        <v>246</v>
      </c>
      <c r="AU1901" s="5" t="s">
        <v>238</v>
      </c>
      <c r="AV1901" s="5" t="s">
        <v>247</v>
      </c>
      <c r="AW1901" s="5" t="s">
        <v>238</v>
      </c>
      <c r="AX1901" s="5" t="s">
        <v>249</v>
      </c>
      <c r="AY1901" s="5" t="s">
        <v>238</v>
      </c>
      <c r="BA1901" s="5" t="s">
        <v>238</v>
      </c>
      <c r="BC1901" s="5" t="s">
        <v>250</v>
      </c>
      <c r="BD1901" s="6" t="s">
        <v>2152</v>
      </c>
      <c r="BE1901" s="5" t="s">
        <v>251</v>
      </c>
      <c r="BF1901" s="5" t="s">
        <v>2043</v>
      </c>
      <c r="BG1901" s="5" t="s">
        <v>238</v>
      </c>
      <c r="BH1901" s="7">
        <f>0</f>
        <v>0</v>
      </c>
      <c r="BI1901" s="8">
        <f>0</f>
        <v>0</v>
      </c>
      <c r="BJ1901" s="5" t="s">
        <v>253</v>
      </c>
      <c r="BK1901" s="5" t="s">
        <v>254</v>
      </c>
      <c r="BY1901" s="5" t="s">
        <v>238</v>
      </c>
      <c r="BZ1901" s="5" t="s">
        <v>238</v>
      </c>
      <c r="CD1901" s="5" t="s">
        <v>293</v>
      </c>
      <c r="CE1901" s="5" t="s">
        <v>256</v>
      </c>
      <c r="CF1901" s="5" t="s">
        <v>238</v>
      </c>
      <c r="CI1901" s="6" t="s">
        <v>257</v>
      </c>
      <c r="CJ1901" s="5" t="s">
        <v>238</v>
      </c>
      <c r="CK1901" s="5" t="s">
        <v>258</v>
      </c>
      <c r="CL1901" s="5" t="s">
        <v>238</v>
      </c>
      <c r="CM1901" s="5" t="s">
        <v>238</v>
      </c>
      <c r="CN1901" s="5">
        <v>0</v>
      </c>
      <c r="CO1901" s="5" t="s">
        <v>259</v>
      </c>
      <c r="CP1901" s="5" t="s">
        <v>260</v>
      </c>
      <c r="CQ1901" s="5" t="s">
        <v>260</v>
      </c>
      <c r="CR1901" s="5" t="s">
        <v>261</v>
      </c>
      <c r="CU1901" s="8">
        <f>1903083</f>
        <v>1903083</v>
      </c>
      <c r="CV1901" s="8">
        <f>0</f>
        <v>0</v>
      </c>
      <c r="CX1901" s="8">
        <f>0</f>
        <v>0</v>
      </c>
      <c r="CY1901" s="8">
        <f>1903083</f>
        <v>1903083</v>
      </c>
      <c r="DA1901" s="5" t="s">
        <v>356</v>
      </c>
      <c r="DB1901" s="5" t="s">
        <v>238</v>
      </c>
      <c r="DD1901" s="5" t="s">
        <v>356</v>
      </c>
      <c r="DE1901" s="8">
        <f>0</f>
        <v>0</v>
      </c>
      <c r="DG1901" s="5" t="s">
        <v>238</v>
      </c>
      <c r="DH1901" s="5" t="s">
        <v>238</v>
      </c>
      <c r="DI1901" s="5" t="s">
        <v>238</v>
      </c>
      <c r="DJ1901" s="5" t="s">
        <v>238</v>
      </c>
      <c r="DN1901" s="5" t="s">
        <v>238</v>
      </c>
      <c r="DO1901" s="5" t="s">
        <v>238</v>
      </c>
      <c r="DP1901" s="5" t="s">
        <v>238</v>
      </c>
      <c r="DQ1901" s="5" t="s">
        <v>238</v>
      </c>
      <c r="DT1901" s="5" t="s">
        <v>2039</v>
      </c>
      <c r="DU1901" s="5" t="s">
        <v>1852</v>
      </c>
      <c r="HM1901" s="5" t="s">
        <v>264</v>
      </c>
    </row>
    <row r="1902" spans="1:221" x14ac:dyDescent="0.4">
      <c r="A1902" s="5">
        <v>3603</v>
      </c>
      <c r="B1902" s="5">
        <v>1</v>
      </c>
      <c r="C1902" s="5">
        <v>1</v>
      </c>
      <c r="D1902" s="5" t="s">
        <v>2037</v>
      </c>
      <c r="E1902" s="5" t="s">
        <v>271</v>
      </c>
      <c r="F1902" s="5" t="s">
        <v>248</v>
      </c>
      <c r="G1902" s="5" t="s">
        <v>2125</v>
      </c>
      <c r="H1902" s="6" t="s">
        <v>2127</v>
      </c>
      <c r="I1902" s="7">
        <f>0</f>
        <v>0</v>
      </c>
      <c r="J1902" s="5" t="s">
        <v>262</v>
      </c>
      <c r="K1902" s="8">
        <f>3398158</f>
        <v>3398158</v>
      </c>
      <c r="L1902" s="6" t="s">
        <v>2126</v>
      </c>
      <c r="M1902" s="5" t="s">
        <v>267</v>
      </c>
      <c r="N1902" s="5" t="s">
        <v>265</v>
      </c>
      <c r="O1902" s="5" t="s">
        <v>238</v>
      </c>
      <c r="P1902" s="5" t="s">
        <v>238</v>
      </c>
      <c r="Q1902" s="5" t="s">
        <v>239</v>
      </c>
      <c r="R1902" s="5" t="s">
        <v>238</v>
      </c>
      <c r="S1902" s="5" t="s">
        <v>238</v>
      </c>
      <c r="V1902" s="5" t="s">
        <v>238</v>
      </c>
      <c r="X1902" s="6" t="s">
        <v>238</v>
      </c>
      <c r="AA1902" s="6" t="s">
        <v>243</v>
      </c>
      <c r="AB1902" s="5" t="s">
        <v>238</v>
      </c>
      <c r="AC1902" s="5" t="s">
        <v>244</v>
      </c>
      <c r="AD1902" s="5" t="s">
        <v>245</v>
      </c>
      <c r="AT1902" s="5" t="s">
        <v>246</v>
      </c>
      <c r="AU1902" s="5" t="s">
        <v>238</v>
      </c>
      <c r="AV1902" s="5" t="s">
        <v>247</v>
      </c>
      <c r="AW1902" s="5" t="s">
        <v>238</v>
      </c>
      <c r="AX1902" s="5" t="s">
        <v>249</v>
      </c>
      <c r="AY1902" s="5" t="s">
        <v>238</v>
      </c>
      <c r="BA1902" s="5" t="s">
        <v>238</v>
      </c>
      <c r="BC1902" s="5" t="s">
        <v>250</v>
      </c>
      <c r="BD1902" s="6" t="s">
        <v>2126</v>
      </c>
      <c r="BE1902" s="5" t="s">
        <v>251</v>
      </c>
      <c r="BF1902" s="5" t="s">
        <v>2043</v>
      </c>
      <c r="BG1902" s="5" t="s">
        <v>238</v>
      </c>
      <c r="BH1902" s="7">
        <f>0</f>
        <v>0</v>
      </c>
      <c r="BI1902" s="8">
        <f>0</f>
        <v>0</v>
      </c>
      <c r="BJ1902" s="5" t="s">
        <v>253</v>
      </c>
      <c r="BK1902" s="5" t="s">
        <v>254</v>
      </c>
      <c r="BY1902" s="5" t="s">
        <v>238</v>
      </c>
      <c r="BZ1902" s="5" t="s">
        <v>238</v>
      </c>
      <c r="CD1902" s="5" t="s">
        <v>293</v>
      </c>
      <c r="CE1902" s="5" t="s">
        <v>256</v>
      </c>
      <c r="CF1902" s="5" t="s">
        <v>238</v>
      </c>
      <c r="CI1902" s="6" t="s">
        <v>257</v>
      </c>
      <c r="CJ1902" s="5" t="s">
        <v>238</v>
      </c>
      <c r="CK1902" s="5" t="s">
        <v>258</v>
      </c>
      <c r="CL1902" s="5" t="s">
        <v>238</v>
      </c>
      <c r="CM1902" s="5" t="s">
        <v>238</v>
      </c>
      <c r="CN1902" s="5">
        <v>0</v>
      </c>
      <c r="CO1902" s="5" t="s">
        <v>259</v>
      </c>
      <c r="CP1902" s="5" t="s">
        <v>260</v>
      </c>
      <c r="CQ1902" s="5" t="s">
        <v>260</v>
      </c>
      <c r="CR1902" s="5" t="s">
        <v>261</v>
      </c>
      <c r="CU1902" s="8">
        <f>3398158</f>
        <v>3398158</v>
      </c>
      <c r="CV1902" s="8">
        <f>0</f>
        <v>0</v>
      </c>
      <c r="CX1902" s="8">
        <f>0</f>
        <v>0</v>
      </c>
      <c r="CY1902" s="8">
        <f>3398158</f>
        <v>3398158</v>
      </c>
      <c r="DA1902" s="5" t="s">
        <v>356</v>
      </c>
      <c r="DB1902" s="5" t="s">
        <v>238</v>
      </c>
      <c r="DD1902" s="5" t="s">
        <v>356</v>
      </c>
      <c r="DE1902" s="8">
        <f>0</f>
        <v>0</v>
      </c>
      <c r="DG1902" s="5" t="s">
        <v>238</v>
      </c>
      <c r="DH1902" s="5" t="s">
        <v>238</v>
      </c>
      <c r="DI1902" s="5" t="s">
        <v>238</v>
      </c>
      <c r="DJ1902" s="5" t="s">
        <v>238</v>
      </c>
      <c r="DN1902" s="5" t="s">
        <v>238</v>
      </c>
      <c r="DO1902" s="5" t="s">
        <v>238</v>
      </c>
      <c r="DP1902" s="5" t="s">
        <v>238</v>
      </c>
      <c r="DQ1902" s="5" t="s">
        <v>238</v>
      </c>
      <c r="DT1902" s="5" t="s">
        <v>2039</v>
      </c>
      <c r="DU1902" s="5" t="s">
        <v>1830</v>
      </c>
      <c r="HM1902" s="5" t="s">
        <v>264</v>
      </c>
    </row>
    <row r="1903" spans="1:221" x14ac:dyDescent="0.4">
      <c r="A1903" s="5">
        <v>3604</v>
      </c>
      <c r="B1903" s="5">
        <v>1</v>
      </c>
      <c r="C1903" s="5">
        <v>1</v>
      </c>
      <c r="D1903" s="5" t="s">
        <v>2037</v>
      </c>
      <c r="E1903" s="5" t="s">
        <v>271</v>
      </c>
      <c r="F1903" s="5" t="s">
        <v>248</v>
      </c>
      <c r="G1903" s="5" t="s">
        <v>3657</v>
      </c>
      <c r="H1903" s="6" t="s">
        <v>2743</v>
      </c>
      <c r="I1903" s="7">
        <f>0</f>
        <v>0</v>
      </c>
      <c r="J1903" s="5" t="s">
        <v>262</v>
      </c>
      <c r="K1903" s="8">
        <f>1436400</f>
        <v>1436400</v>
      </c>
      <c r="L1903" s="6" t="s">
        <v>3658</v>
      </c>
      <c r="M1903" s="5" t="s">
        <v>267</v>
      </c>
      <c r="N1903" s="5" t="s">
        <v>265</v>
      </c>
      <c r="O1903" s="5" t="s">
        <v>238</v>
      </c>
      <c r="P1903" s="5" t="s">
        <v>238</v>
      </c>
      <c r="Q1903" s="5" t="s">
        <v>239</v>
      </c>
      <c r="R1903" s="5" t="s">
        <v>238</v>
      </c>
      <c r="S1903" s="5" t="s">
        <v>238</v>
      </c>
      <c r="V1903" s="5" t="s">
        <v>238</v>
      </c>
      <c r="X1903" s="6" t="s">
        <v>238</v>
      </c>
      <c r="AA1903" s="6" t="s">
        <v>243</v>
      </c>
      <c r="AB1903" s="5" t="s">
        <v>238</v>
      </c>
      <c r="AC1903" s="5" t="s">
        <v>244</v>
      </c>
      <c r="AD1903" s="5" t="s">
        <v>245</v>
      </c>
      <c r="AT1903" s="5" t="s">
        <v>246</v>
      </c>
      <c r="AU1903" s="5" t="s">
        <v>238</v>
      </c>
      <c r="AV1903" s="5" t="s">
        <v>247</v>
      </c>
      <c r="AW1903" s="5" t="s">
        <v>238</v>
      </c>
      <c r="AX1903" s="5" t="s">
        <v>249</v>
      </c>
      <c r="AY1903" s="5" t="s">
        <v>238</v>
      </c>
      <c r="BA1903" s="5" t="s">
        <v>238</v>
      </c>
      <c r="BC1903" s="5" t="s">
        <v>250</v>
      </c>
      <c r="BD1903" s="6" t="s">
        <v>3658</v>
      </c>
      <c r="BE1903" s="5" t="s">
        <v>251</v>
      </c>
      <c r="BF1903" s="5" t="s">
        <v>3552</v>
      </c>
      <c r="BG1903" s="5" t="s">
        <v>238</v>
      </c>
      <c r="BH1903" s="7">
        <f>0</f>
        <v>0</v>
      </c>
      <c r="BI1903" s="8">
        <f>0</f>
        <v>0</v>
      </c>
      <c r="BJ1903" s="5" t="s">
        <v>253</v>
      </c>
      <c r="BK1903" s="5" t="s">
        <v>254</v>
      </c>
      <c r="BY1903" s="5" t="s">
        <v>238</v>
      </c>
      <c r="BZ1903" s="5" t="s">
        <v>238</v>
      </c>
      <c r="CD1903" s="5" t="s">
        <v>293</v>
      </c>
      <c r="CE1903" s="5" t="s">
        <v>256</v>
      </c>
      <c r="CF1903" s="5" t="s">
        <v>238</v>
      </c>
      <c r="CI1903" s="6" t="s">
        <v>257</v>
      </c>
      <c r="CJ1903" s="5" t="s">
        <v>238</v>
      </c>
      <c r="CK1903" s="5" t="s">
        <v>258</v>
      </c>
      <c r="CL1903" s="5" t="s">
        <v>238</v>
      </c>
      <c r="CM1903" s="5" t="s">
        <v>238</v>
      </c>
      <c r="CN1903" s="5">
        <v>0</v>
      </c>
      <c r="CO1903" s="5" t="s">
        <v>259</v>
      </c>
      <c r="CP1903" s="5" t="s">
        <v>260</v>
      </c>
      <c r="CQ1903" s="5" t="s">
        <v>260</v>
      </c>
      <c r="CR1903" s="5" t="s">
        <v>261</v>
      </c>
      <c r="CU1903" s="8">
        <f>1436400</f>
        <v>1436400</v>
      </c>
      <c r="CV1903" s="8">
        <f>0</f>
        <v>0</v>
      </c>
      <c r="CX1903" s="8">
        <f>0</f>
        <v>0</v>
      </c>
      <c r="CY1903" s="8">
        <f>1436400</f>
        <v>1436400</v>
      </c>
      <c r="DA1903" s="5" t="s">
        <v>356</v>
      </c>
      <c r="DB1903" s="5" t="s">
        <v>238</v>
      </c>
      <c r="DD1903" s="5" t="s">
        <v>356</v>
      </c>
      <c r="DE1903" s="8">
        <f>0</f>
        <v>0</v>
      </c>
      <c r="DG1903" s="5" t="s">
        <v>238</v>
      </c>
      <c r="DH1903" s="5" t="s">
        <v>238</v>
      </c>
      <c r="DI1903" s="5" t="s">
        <v>238</v>
      </c>
      <c r="DJ1903" s="5" t="s">
        <v>238</v>
      </c>
      <c r="DN1903" s="5" t="s">
        <v>238</v>
      </c>
      <c r="DO1903" s="5" t="s">
        <v>238</v>
      </c>
      <c r="DP1903" s="5" t="s">
        <v>238</v>
      </c>
      <c r="DQ1903" s="5" t="s">
        <v>238</v>
      </c>
      <c r="DT1903" s="5" t="s">
        <v>2039</v>
      </c>
      <c r="DU1903" s="5" t="s">
        <v>1828</v>
      </c>
      <c r="HM1903" s="5" t="s">
        <v>264</v>
      </c>
    </row>
    <row r="1904" spans="1:221" x14ac:dyDescent="0.4">
      <c r="A1904" s="5">
        <v>3605</v>
      </c>
      <c r="B1904" s="5">
        <v>1</v>
      </c>
      <c r="C1904" s="5">
        <v>1</v>
      </c>
      <c r="D1904" s="5" t="s">
        <v>2037</v>
      </c>
      <c r="E1904" s="5" t="s">
        <v>271</v>
      </c>
      <c r="F1904" s="5" t="s">
        <v>248</v>
      </c>
      <c r="G1904" s="5" t="s">
        <v>2195</v>
      </c>
      <c r="H1904" s="6" t="s">
        <v>2197</v>
      </c>
      <c r="I1904" s="7">
        <f>721.92</f>
        <v>721.92</v>
      </c>
      <c r="J1904" s="5" t="s">
        <v>262</v>
      </c>
      <c r="K1904" s="8">
        <f>1549106</f>
        <v>1549106</v>
      </c>
      <c r="L1904" s="6" t="s">
        <v>2196</v>
      </c>
      <c r="M1904" s="5" t="s">
        <v>267</v>
      </c>
      <c r="N1904" s="5" t="s">
        <v>265</v>
      </c>
      <c r="O1904" s="5" t="s">
        <v>238</v>
      </c>
      <c r="P1904" s="5" t="s">
        <v>238</v>
      </c>
      <c r="Q1904" s="5" t="s">
        <v>239</v>
      </c>
      <c r="R1904" s="5" t="s">
        <v>238</v>
      </c>
      <c r="S1904" s="5" t="s">
        <v>238</v>
      </c>
      <c r="V1904" s="5" t="s">
        <v>238</v>
      </c>
      <c r="X1904" s="6" t="s">
        <v>238</v>
      </c>
      <c r="AA1904" s="6" t="s">
        <v>243</v>
      </c>
      <c r="AB1904" s="5" t="s">
        <v>238</v>
      </c>
      <c r="AC1904" s="5" t="s">
        <v>244</v>
      </c>
      <c r="AD1904" s="5" t="s">
        <v>245</v>
      </c>
      <c r="AT1904" s="5" t="s">
        <v>246</v>
      </c>
      <c r="AU1904" s="5" t="s">
        <v>238</v>
      </c>
      <c r="AV1904" s="5" t="s">
        <v>247</v>
      </c>
      <c r="AW1904" s="5" t="s">
        <v>238</v>
      </c>
      <c r="AX1904" s="5" t="s">
        <v>249</v>
      </c>
      <c r="AY1904" s="5" t="s">
        <v>238</v>
      </c>
      <c r="BA1904" s="5" t="s">
        <v>238</v>
      </c>
      <c r="BC1904" s="5" t="s">
        <v>250</v>
      </c>
      <c r="BD1904" s="6" t="s">
        <v>2196</v>
      </c>
      <c r="BE1904" s="5" t="s">
        <v>251</v>
      </c>
      <c r="BF1904" s="5" t="s">
        <v>2043</v>
      </c>
      <c r="BG1904" s="5" t="s">
        <v>238</v>
      </c>
      <c r="BH1904" s="7">
        <f>0</f>
        <v>0</v>
      </c>
      <c r="BI1904" s="8">
        <f>0</f>
        <v>0</v>
      </c>
      <c r="BJ1904" s="5" t="s">
        <v>253</v>
      </c>
      <c r="BK1904" s="5" t="s">
        <v>254</v>
      </c>
      <c r="BY1904" s="5" t="s">
        <v>238</v>
      </c>
      <c r="BZ1904" s="5" t="s">
        <v>238</v>
      </c>
      <c r="CD1904" s="5" t="s">
        <v>293</v>
      </c>
      <c r="CE1904" s="5" t="s">
        <v>256</v>
      </c>
      <c r="CF1904" s="5" t="s">
        <v>238</v>
      </c>
      <c r="CI1904" s="6" t="s">
        <v>257</v>
      </c>
      <c r="CJ1904" s="5" t="s">
        <v>238</v>
      </c>
      <c r="CK1904" s="5" t="s">
        <v>258</v>
      </c>
      <c r="CL1904" s="5" t="s">
        <v>238</v>
      </c>
      <c r="CM1904" s="5" t="s">
        <v>238</v>
      </c>
      <c r="CN1904" s="5">
        <v>0</v>
      </c>
      <c r="CO1904" s="5" t="s">
        <v>259</v>
      </c>
      <c r="CP1904" s="5" t="s">
        <v>260</v>
      </c>
      <c r="CQ1904" s="5" t="s">
        <v>260</v>
      </c>
      <c r="CR1904" s="5" t="s">
        <v>261</v>
      </c>
      <c r="CU1904" s="8">
        <f>1549106</f>
        <v>1549106</v>
      </c>
      <c r="CV1904" s="8">
        <f>0</f>
        <v>0</v>
      </c>
      <c r="CX1904" s="8">
        <f>0</f>
        <v>0</v>
      </c>
      <c r="CY1904" s="8">
        <f>1549106</f>
        <v>1549106</v>
      </c>
      <c r="DA1904" s="5" t="s">
        <v>356</v>
      </c>
      <c r="DB1904" s="5" t="s">
        <v>238</v>
      </c>
      <c r="DD1904" s="5" t="s">
        <v>356</v>
      </c>
      <c r="DE1904" s="8">
        <f>0</f>
        <v>0</v>
      </c>
      <c r="DG1904" s="5" t="s">
        <v>238</v>
      </c>
      <c r="DH1904" s="5" t="s">
        <v>238</v>
      </c>
      <c r="DI1904" s="5" t="s">
        <v>238</v>
      </c>
      <c r="DJ1904" s="5" t="s">
        <v>238</v>
      </c>
      <c r="DN1904" s="5" t="s">
        <v>238</v>
      </c>
      <c r="DO1904" s="5" t="s">
        <v>238</v>
      </c>
      <c r="DP1904" s="5" t="s">
        <v>238</v>
      </c>
      <c r="DQ1904" s="5" t="s">
        <v>238</v>
      </c>
      <c r="DT1904" s="5" t="s">
        <v>2039</v>
      </c>
      <c r="DU1904" s="5" t="s">
        <v>1826</v>
      </c>
      <c r="HM1904" s="5" t="s">
        <v>264</v>
      </c>
    </row>
    <row r="1905" spans="1:221" x14ac:dyDescent="0.4">
      <c r="A1905" s="5">
        <v>3606</v>
      </c>
      <c r="B1905" s="5">
        <v>1</v>
      </c>
      <c r="C1905" s="5">
        <v>1</v>
      </c>
      <c r="D1905" s="5" t="s">
        <v>2037</v>
      </c>
      <c r="E1905" s="5" t="s">
        <v>271</v>
      </c>
      <c r="F1905" s="5" t="s">
        <v>248</v>
      </c>
      <c r="G1905" s="5" t="s">
        <v>2220</v>
      </c>
      <c r="H1905" s="6" t="s">
        <v>2197</v>
      </c>
      <c r="I1905" s="7">
        <f>0</f>
        <v>0</v>
      </c>
      <c r="J1905" s="5" t="s">
        <v>262</v>
      </c>
      <c r="K1905" s="8">
        <f>4756639</f>
        <v>4756639</v>
      </c>
      <c r="L1905" s="6" t="s">
        <v>2221</v>
      </c>
      <c r="M1905" s="5" t="s">
        <v>267</v>
      </c>
      <c r="N1905" s="5" t="s">
        <v>265</v>
      </c>
      <c r="O1905" s="5" t="s">
        <v>238</v>
      </c>
      <c r="P1905" s="5" t="s">
        <v>238</v>
      </c>
      <c r="Q1905" s="5" t="s">
        <v>239</v>
      </c>
      <c r="R1905" s="5" t="s">
        <v>238</v>
      </c>
      <c r="S1905" s="5" t="s">
        <v>238</v>
      </c>
      <c r="V1905" s="5" t="s">
        <v>238</v>
      </c>
      <c r="X1905" s="6" t="s">
        <v>238</v>
      </c>
      <c r="AA1905" s="6" t="s">
        <v>243</v>
      </c>
      <c r="AB1905" s="5" t="s">
        <v>238</v>
      </c>
      <c r="AC1905" s="5" t="s">
        <v>244</v>
      </c>
      <c r="AD1905" s="5" t="s">
        <v>245</v>
      </c>
      <c r="AT1905" s="5" t="s">
        <v>246</v>
      </c>
      <c r="AU1905" s="5" t="s">
        <v>238</v>
      </c>
      <c r="AV1905" s="5" t="s">
        <v>247</v>
      </c>
      <c r="AW1905" s="5" t="s">
        <v>238</v>
      </c>
      <c r="AX1905" s="5" t="s">
        <v>249</v>
      </c>
      <c r="AY1905" s="5" t="s">
        <v>238</v>
      </c>
      <c r="BA1905" s="5" t="s">
        <v>238</v>
      </c>
      <c r="BC1905" s="5" t="s">
        <v>250</v>
      </c>
      <c r="BD1905" s="6" t="s">
        <v>2221</v>
      </c>
      <c r="BE1905" s="5" t="s">
        <v>251</v>
      </c>
      <c r="BF1905" s="5" t="s">
        <v>2043</v>
      </c>
      <c r="BG1905" s="5" t="s">
        <v>238</v>
      </c>
      <c r="BH1905" s="7">
        <f>0</f>
        <v>0</v>
      </c>
      <c r="BI1905" s="8">
        <f>0</f>
        <v>0</v>
      </c>
      <c r="BJ1905" s="5" t="s">
        <v>253</v>
      </c>
      <c r="BK1905" s="5" t="s">
        <v>254</v>
      </c>
      <c r="BY1905" s="5" t="s">
        <v>238</v>
      </c>
      <c r="BZ1905" s="5" t="s">
        <v>238</v>
      </c>
      <c r="CD1905" s="5" t="s">
        <v>293</v>
      </c>
      <c r="CE1905" s="5" t="s">
        <v>256</v>
      </c>
      <c r="CF1905" s="5" t="s">
        <v>238</v>
      </c>
      <c r="CI1905" s="6" t="s">
        <v>257</v>
      </c>
      <c r="CJ1905" s="5" t="s">
        <v>238</v>
      </c>
      <c r="CK1905" s="5" t="s">
        <v>258</v>
      </c>
      <c r="CL1905" s="5" t="s">
        <v>238</v>
      </c>
      <c r="CM1905" s="5" t="s">
        <v>238</v>
      </c>
      <c r="CN1905" s="5">
        <v>0</v>
      </c>
      <c r="CO1905" s="5" t="s">
        <v>259</v>
      </c>
      <c r="CP1905" s="5" t="s">
        <v>260</v>
      </c>
      <c r="CQ1905" s="5" t="s">
        <v>260</v>
      </c>
      <c r="CR1905" s="5" t="s">
        <v>261</v>
      </c>
      <c r="CU1905" s="8">
        <f>4756639</f>
        <v>4756639</v>
      </c>
      <c r="CV1905" s="8">
        <f>0</f>
        <v>0</v>
      </c>
      <c r="CX1905" s="8">
        <f>0</f>
        <v>0</v>
      </c>
      <c r="CY1905" s="8">
        <f>4756639</f>
        <v>4756639</v>
      </c>
      <c r="DA1905" s="5" t="s">
        <v>356</v>
      </c>
      <c r="DB1905" s="5" t="s">
        <v>238</v>
      </c>
      <c r="DD1905" s="5" t="s">
        <v>356</v>
      </c>
      <c r="DE1905" s="8">
        <f>0</f>
        <v>0</v>
      </c>
      <c r="DG1905" s="5" t="s">
        <v>238</v>
      </c>
      <c r="DH1905" s="5" t="s">
        <v>238</v>
      </c>
      <c r="DI1905" s="5" t="s">
        <v>238</v>
      </c>
      <c r="DJ1905" s="5" t="s">
        <v>238</v>
      </c>
      <c r="DN1905" s="5" t="s">
        <v>238</v>
      </c>
      <c r="DO1905" s="5" t="s">
        <v>238</v>
      </c>
      <c r="DP1905" s="5" t="s">
        <v>238</v>
      </c>
      <c r="DQ1905" s="5" t="s">
        <v>238</v>
      </c>
      <c r="DT1905" s="5" t="s">
        <v>2039</v>
      </c>
      <c r="DU1905" s="5" t="s">
        <v>1499</v>
      </c>
      <c r="HM1905" s="5" t="s">
        <v>264</v>
      </c>
    </row>
    <row r="1906" spans="1:221" x14ac:dyDescent="0.4">
      <c r="A1906" s="5">
        <v>3607</v>
      </c>
      <c r="B1906" s="5">
        <v>1</v>
      </c>
      <c r="C1906" s="5">
        <v>1</v>
      </c>
      <c r="D1906" s="5" t="s">
        <v>2037</v>
      </c>
      <c r="E1906" s="5" t="s">
        <v>271</v>
      </c>
      <c r="F1906" s="5" t="s">
        <v>248</v>
      </c>
      <c r="G1906" s="5" t="s">
        <v>3663</v>
      </c>
      <c r="H1906" s="6" t="s">
        <v>2464</v>
      </c>
      <c r="I1906" s="7">
        <f>0</f>
        <v>0</v>
      </c>
      <c r="J1906" s="5" t="s">
        <v>262</v>
      </c>
      <c r="K1906" s="8">
        <f>396000</f>
        <v>396000</v>
      </c>
      <c r="L1906" s="6" t="s">
        <v>3664</v>
      </c>
      <c r="M1906" s="5" t="s">
        <v>267</v>
      </c>
      <c r="N1906" s="5" t="s">
        <v>265</v>
      </c>
      <c r="O1906" s="5" t="s">
        <v>238</v>
      </c>
      <c r="P1906" s="5" t="s">
        <v>238</v>
      </c>
      <c r="Q1906" s="5" t="s">
        <v>239</v>
      </c>
      <c r="R1906" s="5" t="s">
        <v>238</v>
      </c>
      <c r="S1906" s="5" t="s">
        <v>238</v>
      </c>
      <c r="V1906" s="5" t="s">
        <v>238</v>
      </c>
      <c r="X1906" s="6" t="s">
        <v>238</v>
      </c>
      <c r="AA1906" s="6" t="s">
        <v>243</v>
      </c>
      <c r="AB1906" s="5" t="s">
        <v>238</v>
      </c>
      <c r="AC1906" s="5" t="s">
        <v>244</v>
      </c>
      <c r="AD1906" s="5" t="s">
        <v>245</v>
      </c>
      <c r="AT1906" s="5" t="s">
        <v>246</v>
      </c>
      <c r="AU1906" s="5" t="s">
        <v>238</v>
      </c>
      <c r="AV1906" s="5" t="s">
        <v>247</v>
      </c>
      <c r="AW1906" s="5" t="s">
        <v>238</v>
      </c>
      <c r="AX1906" s="5" t="s">
        <v>249</v>
      </c>
      <c r="AY1906" s="5" t="s">
        <v>238</v>
      </c>
      <c r="BA1906" s="5" t="s">
        <v>238</v>
      </c>
      <c r="BC1906" s="5" t="s">
        <v>250</v>
      </c>
      <c r="BD1906" s="6" t="s">
        <v>3664</v>
      </c>
      <c r="BE1906" s="5" t="s">
        <v>251</v>
      </c>
      <c r="BF1906" s="5" t="s">
        <v>3552</v>
      </c>
      <c r="BG1906" s="5" t="s">
        <v>238</v>
      </c>
      <c r="BH1906" s="7">
        <f>0</f>
        <v>0</v>
      </c>
      <c r="BI1906" s="8">
        <f>0</f>
        <v>0</v>
      </c>
      <c r="BJ1906" s="5" t="s">
        <v>253</v>
      </c>
      <c r="BK1906" s="5" t="s">
        <v>254</v>
      </c>
      <c r="BY1906" s="5" t="s">
        <v>238</v>
      </c>
      <c r="BZ1906" s="5" t="s">
        <v>238</v>
      </c>
      <c r="CD1906" s="5" t="s">
        <v>293</v>
      </c>
      <c r="CE1906" s="5" t="s">
        <v>256</v>
      </c>
      <c r="CF1906" s="5" t="s">
        <v>238</v>
      </c>
      <c r="CI1906" s="6" t="s">
        <v>257</v>
      </c>
      <c r="CJ1906" s="5" t="s">
        <v>238</v>
      </c>
      <c r="CK1906" s="5" t="s">
        <v>258</v>
      </c>
      <c r="CL1906" s="5" t="s">
        <v>238</v>
      </c>
      <c r="CM1906" s="5" t="s">
        <v>238</v>
      </c>
      <c r="CN1906" s="5">
        <v>0</v>
      </c>
      <c r="CO1906" s="5" t="s">
        <v>259</v>
      </c>
      <c r="CP1906" s="5" t="s">
        <v>260</v>
      </c>
      <c r="CQ1906" s="5" t="s">
        <v>260</v>
      </c>
      <c r="CR1906" s="5" t="s">
        <v>261</v>
      </c>
      <c r="CU1906" s="8">
        <f>396000</f>
        <v>396000</v>
      </c>
      <c r="CV1906" s="8">
        <f>0</f>
        <v>0</v>
      </c>
      <c r="CX1906" s="8">
        <f>0</f>
        <v>0</v>
      </c>
      <c r="CY1906" s="8">
        <f>396000</f>
        <v>396000</v>
      </c>
      <c r="DA1906" s="5" t="s">
        <v>356</v>
      </c>
      <c r="DB1906" s="5" t="s">
        <v>238</v>
      </c>
      <c r="DD1906" s="5" t="s">
        <v>356</v>
      </c>
      <c r="DE1906" s="8">
        <f>0</f>
        <v>0</v>
      </c>
      <c r="DG1906" s="5" t="s">
        <v>238</v>
      </c>
      <c r="DH1906" s="5" t="s">
        <v>238</v>
      </c>
      <c r="DI1906" s="5" t="s">
        <v>238</v>
      </c>
      <c r="DJ1906" s="5" t="s">
        <v>238</v>
      </c>
      <c r="DN1906" s="5" t="s">
        <v>238</v>
      </c>
      <c r="DO1906" s="5" t="s">
        <v>238</v>
      </c>
      <c r="DP1906" s="5" t="s">
        <v>238</v>
      </c>
      <c r="DQ1906" s="5" t="s">
        <v>238</v>
      </c>
      <c r="DT1906" s="5" t="s">
        <v>2039</v>
      </c>
      <c r="DU1906" s="5" t="s">
        <v>1002</v>
      </c>
      <c r="HM1906" s="5" t="s">
        <v>264</v>
      </c>
    </row>
    <row r="1907" spans="1:221" x14ac:dyDescent="0.4">
      <c r="A1907" s="5">
        <v>3608</v>
      </c>
      <c r="B1907" s="5">
        <v>1</v>
      </c>
      <c r="C1907" s="5">
        <v>1</v>
      </c>
      <c r="D1907" s="5" t="s">
        <v>2037</v>
      </c>
      <c r="E1907" s="5" t="s">
        <v>271</v>
      </c>
      <c r="F1907" s="5" t="s">
        <v>248</v>
      </c>
      <c r="G1907" s="5" t="s">
        <v>3670</v>
      </c>
      <c r="H1907" s="6" t="s">
        <v>2049</v>
      </c>
      <c r="I1907" s="7">
        <f>0</f>
        <v>0</v>
      </c>
      <c r="J1907" s="5" t="s">
        <v>262</v>
      </c>
      <c r="K1907" s="8">
        <f>9558000</f>
        <v>9558000</v>
      </c>
      <c r="L1907" s="6" t="s">
        <v>3671</v>
      </c>
      <c r="M1907" s="5" t="s">
        <v>267</v>
      </c>
      <c r="N1907" s="5" t="s">
        <v>265</v>
      </c>
      <c r="O1907" s="5" t="s">
        <v>238</v>
      </c>
      <c r="P1907" s="5" t="s">
        <v>238</v>
      </c>
      <c r="Q1907" s="5" t="s">
        <v>239</v>
      </c>
      <c r="R1907" s="5" t="s">
        <v>238</v>
      </c>
      <c r="S1907" s="5" t="s">
        <v>238</v>
      </c>
      <c r="V1907" s="5" t="s">
        <v>238</v>
      </c>
      <c r="X1907" s="6" t="s">
        <v>238</v>
      </c>
      <c r="AA1907" s="6" t="s">
        <v>243</v>
      </c>
      <c r="AB1907" s="5" t="s">
        <v>238</v>
      </c>
      <c r="AC1907" s="5" t="s">
        <v>244</v>
      </c>
      <c r="AD1907" s="5" t="s">
        <v>245</v>
      </c>
      <c r="AT1907" s="5" t="s">
        <v>246</v>
      </c>
      <c r="AU1907" s="5" t="s">
        <v>238</v>
      </c>
      <c r="AV1907" s="5" t="s">
        <v>247</v>
      </c>
      <c r="AW1907" s="5" t="s">
        <v>238</v>
      </c>
      <c r="AX1907" s="5" t="s">
        <v>249</v>
      </c>
      <c r="AY1907" s="5" t="s">
        <v>238</v>
      </c>
      <c r="BA1907" s="5" t="s">
        <v>238</v>
      </c>
      <c r="BC1907" s="5" t="s">
        <v>250</v>
      </c>
      <c r="BD1907" s="6" t="s">
        <v>3671</v>
      </c>
      <c r="BE1907" s="5" t="s">
        <v>251</v>
      </c>
      <c r="BF1907" s="5" t="s">
        <v>3552</v>
      </c>
      <c r="BG1907" s="5" t="s">
        <v>238</v>
      </c>
      <c r="BH1907" s="7">
        <f>0</f>
        <v>0</v>
      </c>
      <c r="BI1907" s="8">
        <f>0</f>
        <v>0</v>
      </c>
      <c r="BJ1907" s="5" t="s">
        <v>253</v>
      </c>
      <c r="BK1907" s="5" t="s">
        <v>254</v>
      </c>
      <c r="BY1907" s="5" t="s">
        <v>238</v>
      </c>
      <c r="BZ1907" s="5" t="s">
        <v>238</v>
      </c>
      <c r="CD1907" s="5" t="s">
        <v>293</v>
      </c>
      <c r="CE1907" s="5" t="s">
        <v>256</v>
      </c>
      <c r="CF1907" s="5" t="s">
        <v>238</v>
      </c>
      <c r="CI1907" s="6" t="s">
        <v>257</v>
      </c>
      <c r="CJ1907" s="5" t="s">
        <v>238</v>
      </c>
      <c r="CK1907" s="5" t="s">
        <v>258</v>
      </c>
      <c r="CL1907" s="5" t="s">
        <v>238</v>
      </c>
      <c r="CM1907" s="5" t="s">
        <v>238</v>
      </c>
      <c r="CN1907" s="5">
        <v>0</v>
      </c>
      <c r="CO1907" s="5" t="s">
        <v>259</v>
      </c>
      <c r="CP1907" s="5" t="s">
        <v>260</v>
      </c>
      <c r="CQ1907" s="5" t="s">
        <v>260</v>
      </c>
      <c r="CR1907" s="5" t="s">
        <v>261</v>
      </c>
      <c r="CU1907" s="8">
        <f>9558000</f>
        <v>9558000</v>
      </c>
      <c r="CV1907" s="8">
        <f>0</f>
        <v>0</v>
      </c>
      <c r="CX1907" s="8">
        <f>0</f>
        <v>0</v>
      </c>
      <c r="CY1907" s="8">
        <f>9558000</f>
        <v>9558000</v>
      </c>
      <c r="DA1907" s="5" t="s">
        <v>356</v>
      </c>
      <c r="DB1907" s="5" t="s">
        <v>238</v>
      </c>
      <c r="DD1907" s="5" t="s">
        <v>356</v>
      </c>
      <c r="DE1907" s="8">
        <f>0</f>
        <v>0</v>
      </c>
      <c r="DG1907" s="5" t="s">
        <v>238</v>
      </c>
      <c r="DH1907" s="5" t="s">
        <v>238</v>
      </c>
      <c r="DI1907" s="5" t="s">
        <v>238</v>
      </c>
      <c r="DJ1907" s="5" t="s">
        <v>238</v>
      </c>
      <c r="DN1907" s="5" t="s">
        <v>238</v>
      </c>
      <c r="DO1907" s="5" t="s">
        <v>238</v>
      </c>
      <c r="DP1907" s="5" t="s">
        <v>238</v>
      </c>
      <c r="DQ1907" s="5" t="s">
        <v>238</v>
      </c>
      <c r="DT1907" s="5" t="s">
        <v>2039</v>
      </c>
      <c r="DU1907" s="5" t="s">
        <v>1808</v>
      </c>
      <c r="HM1907" s="5" t="s">
        <v>264</v>
      </c>
    </row>
    <row r="1908" spans="1:221" x14ac:dyDescent="0.4">
      <c r="A1908" s="5">
        <v>3609</v>
      </c>
      <c r="B1908" s="5">
        <v>1</v>
      </c>
      <c r="C1908" s="5">
        <v>1</v>
      </c>
      <c r="D1908" s="5" t="s">
        <v>2037</v>
      </c>
      <c r="E1908" s="5" t="s">
        <v>271</v>
      </c>
      <c r="F1908" s="5" t="s">
        <v>248</v>
      </c>
      <c r="G1908" s="5" t="s">
        <v>3674</v>
      </c>
      <c r="H1908" s="6" t="s">
        <v>2049</v>
      </c>
      <c r="I1908" s="7">
        <f>1202.49</f>
        <v>1202.49</v>
      </c>
      <c r="J1908" s="5" t="s">
        <v>262</v>
      </c>
      <c r="K1908" s="8">
        <f>3157808</f>
        <v>3157808</v>
      </c>
      <c r="L1908" s="6" t="s">
        <v>3671</v>
      </c>
      <c r="M1908" s="5" t="s">
        <v>267</v>
      </c>
      <c r="N1908" s="5" t="s">
        <v>265</v>
      </c>
      <c r="O1908" s="5" t="s">
        <v>238</v>
      </c>
      <c r="P1908" s="5" t="s">
        <v>238</v>
      </c>
      <c r="Q1908" s="5" t="s">
        <v>239</v>
      </c>
      <c r="R1908" s="5" t="s">
        <v>238</v>
      </c>
      <c r="S1908" s="5" t="s">
        <v>238</v>
      </c>
      <c r="V1908" s="5" t="s">
        <v>238</v>
      </c>
      <c r="X1908" s="6" t="s">
        <v>238</v>
      </c>
      <c r="AA1908" s="6" t="s">
        <v>243</v>
      </c>
      <c r="AB1908" s="5" t="s">
        <v>238</v>
      </c>
      <c r="AC1908" s="5" t="s">
        <v>244</v>
      </c>
      <c r="AD1908" s="5" t="s">
        <v>245</v>
      </c>
      <c r="AT1908" s="5" t="s">
        <v>246</v>
      </c>
      <c r="AU1908" s="5" t="s">
        <v>238</v>
      </c>
      <c r="AV1908" s="5" t="s">
        <v>247</v>
      </c>
      <c r="AW1908" s="5" t="s">
        <v>238</v>
      </c>
      <c r="AX1908" s="5" t="s">
        <v>249</v>
      </c>
      <c r="AY1908" s="5" t="s">
        <v>238</v>
      </c>
      <c r="BA1908" s="5" t="s">
        <v>238</v>
      </c>
      <c r="BC1908" s="5" t="s">
        <v>250</v>
      </c>
      <c r="BD1908" s="6" t="s">
        <v>3671</v>
      </c>
      <c r="BE1908" s="5" t="s">
        <v>251</v>
      </c>
      <c r="BF1908" s="5" t="s">
        <v>3552</v>
      </c>
      <c r="BG1908" s="5" t="s">
        <v>238</v>
      </c>
      <c r="BH1908" s="7">
        <f>0</f>
        <v>0</v>
      </c>
      <c r="BI1908" s="8">
        <f>0</f>
        <v>0</v>
      </c>
      <c r="BJ1908" s="5" t="s">
        <v>253</v>
      </c>
      <c r="BK1908" s="5" t="s">
        <v>254</v>
      </c>
      <c r="BY1908" s="5" t="s">
        <v>238</v>
      </c>
      <c r="BZ1908" s="5" t="s">
        <v>238</v>
      </c>
      <c r="CD1908" s="5" t="s">
        <v>293</v>
      </c>
      <c r="CE1908" s="5" t="s">
        <v>256</v>
      </c>
      <c r="CF1908" s="5" t="s">
        <v>238</v>
      </c>
      <c r="CI1908" s="6" t="s">
        <v>257</v>
      </c>
      <c r="CJ1908" s="5" t="s">
        <v>238</v>
      </c>
      <c r="CK1908" s="5" t="s">
        <v>258</v>
      </c>
      <c r="CL1908" s="5" t="s">
        <v>238</v>
      </c>
      <c r="CM1908" s="5" t="s">
        <v>238</v>
      </c>
      <c r="CN1908" s="5">
        <v>0</v>
      </c>
      <c r="CO1908" s="5" t="s">
        <v>259</v>
      </c>
      <c r="CP1908" s="5" t="s">
        <v>260</v>
      </c>
      <c r="CQ1908" s="5" t="s">
        <v>260</v>
      </c>
      <c r="CR1908" s="5" t="s">
        <v>261</v>
      </c>
      <c r="CU1908" s="8">
        <f>3157808</f>
        <v>3157808</v>
      </c>
      <c r="CV1908" s="8">
        <f>0</f>
        <v>0</v>
      </c>
      <c r="CX1908" s="8">
        <f>0</f>
        <v>0</v>
      </c>
      <c r="CY1908" s="8">
        <f>3157808</f>
        <v>3157808</v>
      </c>
      <c r="DA1908" s="5" t="s">
        <v>356</v>
      </c>
      <c r="DB1908" s="5" t="s">
        <v>238</v>
      </c>
      <c r="DD1908" s="5" t="s">
        <v>356</v>
      </c>
      <c r="DE1908" s="8">
        <f>0</f>
        <v>0</v>
      </c>
      <c r="DG1908" s="5" t="s">
        <v>238</v>
      </c>
      <c r="DH1908" s="5" t="s">
        <v>238</v>
      </c>
      <c r="DI1908" s="5" t="s">
        <v>238</v>
      </c>
      <c r="DJ1908" s="5" t="s">
        <v>238</v>
      </c>
      <c r="DN1908" s="5" t="s">
        <v>238</v>
      </c>
      <c r="DO1908" s="5" t="s">
        <v>238</v>
      </c>
      <c r="DP1908" s="5" t="s">
        <v>238</v>
      </c>
      <c r="DQ1908" s="5" t="s">
        <v>238</v>
      </c>
      <c r="DT1908" s="5" t="s">
        <v>2039</v>
      </c>
      <c r="DU1908" s="5" t="s">
        <v>1806</v>
      </c>
      <c r="HM1908" s="5" t="s">
        <v>264</v>
      </c>
    </row>
    <row r="1909" spans="1:221" x14ac:dyDescent="0.4">
      <c r="A1909" s="5">
        <v>3610</v>
      </c>
      <c r="B1909" s="5">
        <v>1</v>
      </c>
      <c r="C1909" s="5">
        <v>1</v>
      </c>
      <c r="D1909" s="5" t="s">
        <v>2037</v>
      </c>
      <c r="E1909" s="5" t="s">
        <v>271</v>
      </c>
      <c r="F1909" s="5" t="s">
        <v>248</v>
      </c>
      <c r="G1909" s="5" t="s">
        <v>3679</v>
      </c>
      <c r="H1909" s="6" t="s">
        <v>2049</v>
      </c>
      <c r="I1909" s="7">
        <f>0</f>
        <v>0</v>
      </c>
      <c r="J1909" s="5" t="s">
        <v>262</v>
      </c>
      <c r="K1909" s="8">
        <f>2076374</f>
        <v>2076374</v>
      </c>
      <c r="L1909" s="6" t="s">
        <v>3671</v>
      </c>
      <c r="M1909" s="5" t="s">
        <v>267</v>
      </c>
      <c r="N1909" s="5" t="s">
        <v>265</v>
      </c>
      <c r="O1909" s="5" t="s">
        <v>238</v>
      </c>
      <c r="P1909" s="5" t="s">
        <v>238</v>
      </c>
      <c r="Q1909" s="5" t="s">
        <v>239</v>
      </c>
      <c r="R1909" s="5" t="s">
        <v>238</v>
      </c>
      <c r="S1909" s="5" t="s">
        <v>238</v>
      </c>
      <c r="V1909" s="5" t="s">
        <v>238</v>
      </c>
      <c r="X1909" s="6" t="s">
        <v>238</v>
      </c>
      <c r="AA1909" s="6" t="s">
        <v>243</v>
      </c>
      <c r="AB1909" s="5" t="s">
        <v>238</v>
      </c>
      <c r="AC1909" s="5" t="s">
        <v>244</v>
      </c>
      <c r="AD1909" s="5" t="s">
        <v>245</v>
      </c>
      <c r="AT1909" s="5" t="s">
        <v>246</v>
      </c>
      <c r="AU1909" s="5" t="s">
        <v>238</v>
      </c>
      <c r="AV1909" s="5" t="s">
        <v>247</v>
      </c>
      <c r="AW1909" s="5" t="s">
        <v>238</v>
      </c>
      <c r="AX1909" s="5" t="s">
        <v>249</v>
      </c>
      <c r="AY1909" s="5" t="s">
        <v>238</v>
      </c>
      <c r="BA1909" s="5" t="s">
        <v>238</v>
      </c>
      <c r="BC1909" s="5" t="s">
        <v>250</v>
      </c>
      <c r="BD1909" s="6" t="s">
        <v>3671</v>
      </c>
      <c r="BE1909" s="5" t="s">
        <v>251</v>
      </c>
      <c r="BF1909" s="5" t="s">
        <v>3552</v>
      </c>
      <c r="BG1909" s="5" t="s">
        <v>238</v>
      </c>
      <c r="BH1909" s="7">
        <f>0</f>
        <v>0</v>
      </c>
      <c r="BI1909" s="8">
        <f>0</f>
        <v>0</v>
      </c>
      <c r="BJ1909" s="5" t="s">
        <v>253</v>
      </c>
      <c r="BK1909" s="5" t="s">
        <v>254</v>
      </c>
      <c r="BY1909" s="5" t="s">
        <v>238</v>
      </c>
      <c r="BZ1909" s="5" t="s">
        <v>238</v>
      </c>
      <c r="CD1909" s="5" t="s">
        <v>293</v>
      </c>
      <c r="CE1909" s="5" t="s">
        <v>256</v>
      </c>
      <c r="CF1909" s="5" t="s">
        <v>238</v>
      </c>
      <c r="CI1909" s="6" t="s">
        <v>257</v>
      </c>
      <c r="CJ1909" s="5" t="s">
        <v>238</v>
      </c>
      <c r="CK1909" s="5" t="s">
        <v>258</v>
      </c>
      <c r="CL1909" s="5" t="s">
        <v>238</v>
      </c>
      <c r="CM1909" s="5" t="s">
        <v>238</v>
      </c>
      <c r="CN1909" s="5">
        <v>0</v>
      </c>
      <c r="CO1909" s="5" t="s">
        <v>259</v>
      </c>
      <c r="CP1909" s="5" t="s">
        <v>260</v>
      </c>
      <c r="CQ1909" s="5" t="s">
        <v>260</v>
      </c>
      <c r="CR1909" s="5" t="s">
        <v>261</v>
      </c>
      <c r="CU1909" s="8">
        <f>2076374</f>
        <v>2076374</v>
      </c>
      <c r="CV1909" s="8">
        <f>0</f>
        <v>0</v>
      </c>
      <c r="CX1909" s="8">
        <f>0</f>
        <v>0</v>
      </c>
      <c r="CY1909" s="8">
        <f>2076374</f>
        <v>2076374</v>
      </c>
      <c r="DA1909" s="5" t="s">
        <v>356</v>
      </c>
      <c r="DB1909" s="5" t="s">
        <v>238</v>
      </c>
      <c r="DD1909" s="5" t="s">
        <v>356</v>
      </c>
      <c r="DE1909" s="8">
        <f>0</f>
        <v>0</v>
      </c>
      <c r="DG1909" s="5" t="s">
        <v>238</v>
      </c>
      <c r="DH1909" s="5" t="s">
        <v>238</v>
      </c>
      <c r="DI1909" s="5" t="s">
        <v>238</v>
      </c>
      <c r="DJ1909" s="5" t="s">
        <v>238</v>
      </c>
      <c r="DN1909" s="5" t="s">
        <v>238</v>
      </c>
      <c r="DO1909" s="5" t="s">
        <v>238</v>
      </c>
      <c r="DP1909" s="5" t="s">
        <v>238</v>
      </c>
      <c r="DQ1909" s="5" t="s">
        <v>238</v>
      </c>
      <c r="DT1909" s="5" t="s">
        <v>2039</v>
      </c>
      <c r="DU1909" s="5" t="s">
        <v>1804</v>
      </c>
      <c r="HM1909" s="5" t="s">
        <v>264</v>
      </c>
    </row>
    <row r="1910" spans="1:221" x14ac:dyDescent="0.4">
      <c r="A1910" s="5">
        <v>3611</v>
      </c>
      <c r="B1910" s="5">
        <v>1</v>
      </c>
      <c r="C1910" s="5">
        <v>1</v>
      </c>
      <c r="D1910" s="5" t="s">
        <v>2037</v>
      </c>
      <c r="E1910" s="5" t="s">
        <v>271</v>
      </c>
      <c r="F1910" s="5" t="s">
        <v>248</v>
      </c>
      <c r="G1910" s="5" t="s">
        <v>3684</v>
      </c>
      <c r="H1910" s="6" t="s">
        <v>3611</v>
      </c>
      <c r="I1910" s="7">
        <f>0</f>
        <v>0</v>
      </c>
      <c r="J1910" s="5" t="s">
        <v>262</v>
      </c>
      <c r="K1910" s="8">
        <f>1988800</f>
        <v>1988800</v>
      </c>
      <c r="L1910" s="6" t="s">
        <v>3685</v>
      </c>
      <c r="M1910" s="5" t="s">
        <v>267</v>
      </c>
      <c r="N1910" s="5" t="s">
        <v>265</v>
      </c>
      <c r="O1910" s="5" t="s">
        <v>238</v>
      </c>
      <c r="P1910" s="5" t="s">
        <v>238</v>
      </c>
      <c r="Q1910" s="5" t="s">
        <v>239</v>
      </c>
      <c r="R1910" s="5" t="s">
        <v>238</v>
      </c>
      <c r="S1910" s="5" t="s">
        <v>238</v>
      </c>
      <c r="V1910" s="5" t="s">
        <v>238</v>
      </c>
      <c r="X1910" s="6" t="s">
        <v>238</v>
      </c>
      <c r="AA1910" s="6" t="s">
        <v>243</v>
      </c>
      <c r="AB1910" s="5" t="s">
        <v>238</v>
      </c>
      <c r="AC1910" s="5" t="s">
        <v>244</v>
      </c>
      <c r="AD1910" s="5" t="s">
        <v>245</v>
      </c>
      <c r="AT1910" s="5" t="s">
        <v>246</v>
      </c>
      <c r="AU1910" s="5" t="s">
        <v>238</v>
      </c>
      <c r="AV1910" s="5" t="s">
        <v>247</v>
      </c>
      <c r="AW1910" s="5" t="s">
        <v>238</v>
      </c>
      <c r="AX1910" s="5" t="s">
        <v>249</v>
      </c>
      <c r="AY1910" s="5" t="s">
        <v>238</v>
      </c>
      <c r="BA1910" s="5" t="s">
        <v>238</v>
      </c>
      <c r="BC1910" s="5" t="s">
        <v>250</v>
      </c>
      <c r="BD1910" s="6" t="s">
        <v>3685</v>
      </c>
      <c r="BE1910" s="5" t="s">
        <v>251</v>
      </c>
      <c r="BF1910" s="5" t="s">
        <v>3552</v>
      </c>
      <c r="BG1910" s="5" t="s">
        <v>238</v>
      </c>
      <c r="BH1910" s="7">
        <f>0</f>
        <v>0</v>
      </c>
      <c r="BI1910" s="8">
        <f>0</f>
        <v>0</v>
      </c>
      <c r="BJ1910" s="5" t="s">
        <v>253</v>
      </c>
      <c r="BK1910" s="5" t="s">
        <v>254</v>
      </c>
      <c r="BY1910" s="5" t="s">
        <v>238</v>
      </c>
      <c r="BZ1910" s="5" t="s">
        <v>238</v>
      </c>
      <c r="CD1910" s="5" t="s">
        <v>293</v>
      </c>
      <c r="CE1910" s="5" t="s">
        <v>256</v>
      </c>
      <c r="CF1910" s="5" t="s">
        <v>238</v>
      </c>
      <c r="CI1910" s="6" t="s">
        <v>257</v>
      </c>
      <c r="CJ1910" s="5" t="s">
        <v>238</v>
      </c>
      <c r="CK1910" s="5" t="s">
        <v>258</v>
      </c>
      <c r="CL1910" s="5" t="s">
        <v>238</v>
      </c>
      <c r="CM1910" s="5" t="s">
        <v>238</v>
      </c>
      <c r="CN1910" s="5">
        <v>0</v>
      </c>
      <c r="CO1910" s="5" t="s">
        <v>259</v>
      </c>
      <c r="CP1910" s="5" t="s">
        <v>260</v>
      </c>
      <c r="CQ1910" s="5" t="s">
        <v>260</v>
      </c>
      <c r="CR1910" s="5" t="s">
        <v>261</v>
      </c>
      <c r="CU1910" s="8">
        <f>1988800</f>
        <v>1988800</v>
      </c>
      <c r="CV1910" s="8">
        <f>0</f>
        <v>0</v>
      </c>
      <c r="CX1910" s="8">
        <f>0</f>
        <v>0</v>
      </c>
      <c r="CY1910" s="8">
        <f>1988800</f>
        <v>1988800</v>
      </c>
      <c r="DA1910" s="5" t="s">
        <v>356</v>
      </c>
      <c r="DB1910" s="5" t="s">
        <v>238</v>
      </c>
      <c r="DD1910" s="5" t="s">
        <v>356</v>
      </c>
      <c r="DE1910" s="8">
        <f>0</f>
        <v>0</v>
      </c>
      <c r="DG1910" s="5" t="s">
        <v>238</v>
      </c>
      <c r="DH1910" s="5" t="s">
        <v>238</v>
      </c>
      <c r="DI1910" s="5" t="s">
        <v>238</v>
      </c>
      <c r="DJ1910" s="5" t="s">
        <v>238</v>
      </c>
      <c r="DN1910" s="5" t="s">
        <v>238</v>
      </c>
      <c r="DO1910" s="5" t="s">
        <v>238</v>
      </c>
      <c r="DP1910" s="5" t="s">
        <v>238</v>
      </c>
      <c r="DQ1910" s="5" t="s">
        <v>238</v>
      </c>
      <c r="DT1910" s="5" t="s">
        <v>2039</v>
      </c>
      <c r="DU1910" s="5" t="s">
        <v>1800</v>
      </c>
      <c r="HM1910" s="5" t="s">
        <v>264</v>
      </c>
    </row>
    <row r="1911" spans="1:221" x14ac:dyDescent="0.4">
      <c r="A1911" s="5">
        <v>3612</v>
      </c>
      <c r="B1911" s="5">
        <v>1</v>
      </c>
      <c r="C1911" s="5">
        <v>1</v>
      </c>
      <c r="D1911" s="5" t="s">
        <v>2037</v>
      </c>
      <c r="E1911" s="5" t="s">
        <v>271</v>
      </c>
      <c r="F1911" s="5" t="s">
        <v>248</v>
      </c>
      <c r="G1911" s="5" t="s">
        <v>2176</v>
      </c>
      <c r="H1911" s="6" t="s">
        <v>2178</v>
      </c>
      <c r="I1911" s="7">
        <f>1226.49</f>
        <v>1226.49</v>
      </c>
      <c r="J1911" s="5" t="s">
        <v>262</v>
      </c>
      <c r="K1911" s="8">
        <f>2452980</f>
        <v>2452980</v>
      </c>
      <c r="L1911" s="6" t="s">
        <v>2177</v>
      </c>
      <c r="M1911" s="5" t="s">
        <v>267</v>
      </c>
      <c r="N1911" s="5" t="s">
        <v>265</v>
      </c>
      <c r="O1911" s="5" t="s">
        <v>238</v>
      </c>
      <c r="P1911" s="5" t="s">
        <v>238</v>
      </c>
      <c r="Q1911" s="5" t="s">
        <v>239</v>
      </c>
      <c r="R1911" s="5" t="s">
        <v>238</v>
      </c>
      <c r="S1911" s="5" t="s">
        <v>238</v>
      </c>
      <c r="V1911" s="5" t="s">
        <v>238</v>
      </c>
      <c r="X1911" s="6" t="s">
        <v>238</v>
      </c>
      <c r="AA1911" s="6" t="s">
        <v>243</v>
      </c>
      <c r="AB1911" s="5" t="s">
        <v>238</v>
      </c>
      <c r="AC1911" s="5" t="s">
        <v>244</v>
      </c>
      <c r="AD1911" s="5" t="s">
        <v>245</v>
      </c>
      <c r="AT1911" s="5" t="s">
        <v>246</v>
      </c>
      <c r="AU1911" s="5" t="s">
        <v>238</v>
      </c>
      <c r="AV1911" s="5" t="s">
        <v>247</v>
      </c>
      <c r="AW1911" s="5" t="s">
        <v>238</v>
      </c>
      <c r="AX1911" s="5" t="s">
        <v>249</v>
      </c>
      <c r="AY1911" s="5" t="s">
        <v>238</v>
      </c>
      <c r="BA1911" s="5" t="s">
        <v>238</v>
      </c>
      <c r="BC1911" s="5" t="s">
        <v>250</v>
      </c>
      <c r="BD1911" s="6" t="s">
        <v>2177</v>
      </c>
      <c r="BE1911" s="5" t="s">
        <v>251</v>
      </c>
      <c r="BF1911" s="5" t="s">
        <v>2043</v>
      </c>
      <c r="BG1911" s="5" t="s">
        <v>238</v>
      </c>
      <c r="BH1911" s="7">
        <f>0</f>
        <v>0</v>
      </c>
      <c r="BI1911" s="8">
        <f>0</f>
        <v>0</v>
      </c>
      <c r="BJ1911" s="5" t="s">
        <v>253</v>
      </c>
      <c r="BK1911" s="5" t="s">
        <v>254</v>
      </c>
      <c r="BY1911" s="5" t="s">
        <v>238</v>
      </c>
      <c r="BZ1911" s="5" t="s">
        <v>238</v>
      </c>
      <c r="CD1911" s="5" t="s">
        <v>293</v>
      </c>
      <c r="CE1911" s="5" t="s">
        <v>256</v>
      </c>
      <c r="CF1911" s="5" t="s">
        <v>238</v>
      </c>
      <c r="CI1911" s="6" t="s">
        <v>257</v>
      </c>
      <c r="CJ1911" s="5" t="s">
        <v>238</v>
      </c>
      <c r="CK1911" s="5" t="s">
        <v>258</v>
      </c>
      <c r="CL1911" s="5" t="s">
        <v>238</v>
      </c>
      <c r="CM1911" s="5" t="s">
        <v>238</v>
      </c>
      <c r="CN1911" s="5">
        <v>0</v>
      </c>
      <c r="CO1911" s="5" t="s">
        <v>259</v>
      </c>
      <c r="CP1911" s="5" t="s">
        <v>260</v>
      </c>
      <c r="CQ1911" s="5" t="s">
        <v>260</v>
      </c>
      <c r="CR1911" s="5" t="s">
        <v>261</v>
      </c>
      <c r="CU1911" s="8">
        <f>2452980</f>
        <v>2452980</v>
      </c>
      <c r="CV1911" s="8">
        <f>0</f>
        <v>0</v>
      </c>
      <c r="CX1911" s="8">
        <f>0</f>
        <v>0</v>
      </c>
      <c r="CY1911" s="8">
        <f>2452980</f>
        <v>2452980</v>
      </c>
      <c r="DA1911" s="5" t="s">
        <v>356</v>
      </c>
      <c r="DB1911" s="5" t="s">
        <v>238</v>
      </c>
      <c r="DD1911" s="5" t="s">
        <v>356</v>
      </c>
      <c r="DE1911" s="8">
        <f>0</f>
        <v>0</v>
      </c>
      <c r="DG1911" s="5" t="s">
        <v>238</v>
      </c>
      <c r="DH1911" s="5" t="s">
        <v>238</v>
      </c>
      <c r="DI1911" s="5" t="s">
        <v>238</v>
      </c>
      <c r="DJ1911" s="5" t="s">
        <v>238</v>
      </c>
      <c r="DN1911" s="5" t="s">
        <v>238</v>
      </c>
      <c r="DO1911" s="5" t="s">
        <v>238</v>
      </c>
      <c r="DP1911" s="5" t="s">
        <v>238</v>
      </c>
      <c r="DQ1911" s="5" t="s">
        <v>238</v>
      </c>
      <c r="DT1911" s="5" t="s">
        <v>2039</v>
      </c>
      <c r="DU1911" s="5" t="s">
        <v>1796</v>
      </c>
      <c r="HM1911" s="5" t="s">
        <v>264</v>
      </c>
    </row>
    <row r="1912" spans="1:221" x14ac:dyDescent="0.4">
      <c r="A1912" s="5">
        <v>3613</v>
      </c>
      <c r="B1912" s="5">
        <v>1</v>
      </c>
      <c r="C1912" s="5">
        <v>1</v>
      </c>
      <c r="D1912" s="5" t="s">
        <v>2037</v>
      </c>
      <c r="E1912" s="5" t="s">
        <v>271</v>
      </c>
      <c r="F1912" s="5" t="s">
        <v>248</v>
      </c>
      <c r="G1912" s="5" t="s">
        <v>2213</v>
      </c>
      <c r="H1912" s="6" t="s">
        <v>2215</v>
      </c>
      <c r="I1912" s="7">
        <f>89.4</f>
        <v>89.4</v>
      </c>
      <c r="J1912" s="5" t="s">
        <v>262</v>
      </c>
      <c r="K1912" s="8">
        <f>258819</f>
        <v>258819</v>
      </c>
      <c r="L1912" s="6" t="s">
        <v>2214</v>
      </c>
      <c r="M1912" s="5" t="s">
        <v>267</v>
      </c>
      <c r="N1912" s="5" t="s">
        <v>265</v>
      </c>
      <c r="O1912" s="5" t="s">
        <v>238</v>
      </c>
      <c r="P1912" s="5" t="s">
        <v>238</v>
      </c>
      <c r="Q1912" s="5" t="s">
        <v>239</v>
      </c>
      <c r="R1912" s="5" t="s">
        <v>238</v>
      </c>
      <c r="S1912" s="5" t="s">
        <v>238</v>
      </c>
      <c r="V1912" s="5" t="s">
        <v>238</v>
      </c>
      <c r="X1912" s="6" t="s">
        <v>238</v>
      </c>
      <c r="AA1912" s="6" t="s">
        <v>243</v>
      </c>
      <c r="AB1912" s="5" t="s">
        <v>238</v>
      </c>
      <c r="AC1912" s="5" t="s">
        <v>244</v>
      </c>
      <c r="AD1912" s="5" t="s">
        <v>245</v>
      </c>
      <c r="AT1912" s="5" t="s">
        <v>246</v>
      </c>
      <c r="AU1912" s="5" t="s">
        <v>238</v>
      </c>
      <c r="AV1912" s="5" t="s">
        <v>247</v>
      </c>
      <c r="AW1912" s="5" t="s">
        <v>238</v>
      </c>
      <c r="AX1912" s="5" t="s">
        <v>249</v>
      </c>
      <c r="AY1912" s="5" t="s">
        <v>238</v>
      </c>
      <c r="BA1912" s="5" t="s">
        <v>238</v>
      </c>
      <c r="BC1912" s="5" t="s">
        <v>250</v>
      </c>
      <c r="BD1912" s="6" t="s">
        <v>2214</v>
      </c>
      <c r="BE1912" s="5" t="s">
        <v>251</v>
      </c>
      <c r="BF1912" s="5" t="s">
        <v>2043</v>
      </c>
      <c r="BG1912" s="5" t="s">
        <v>238</v>
      </c>
      <c r="BH1912" s="7">
        <f>0</f>
        <v>0</v>
      </c>
      <c r="BI1912" s="8">
        <f>0</f>
        <v>0</v>
      </c>
      <c r="BJ1912" s="5" t="s">
        <v>253</v>
      </c>
      <c r="BK1912" s="5" t="s">
        <v>254</v>
      </c>
      <c r="BY1912" s="5" t="s">
        <v>238</v>
      </c>
      <c r="BZ1912" s="5" t="s">
        <v>238</v>
      </c>
      <c r="CD1912" s="5" t="s">
        <v>293</v>
      </c>
      <c r="CE1912" s="5" t="s">
        <v>256</v>
      </c>
      <c r="CF1912" s="5" t="s">
        <v>238</v>
      </c>
      <c r="CI1912" s="6" t="s">
        <v>257</v>
      </c>
      <c r="CJ1912" s="5" t="s">
        <v>238</v>
      </c>
      <c r="CK1912" s="5" t="s">
        <v>258</v>
      </c>
      <c r="CL1912" s="5" t="s">
        <v>238</v>
      </c>
      <c r="CM1912" s="5" t="s">
        <v>238</v>
      </c>
      <c r="CN1912" s="5">
        <v>0</v>
      </c>
      <c r="CO1912" s="5" t="s">
        <v>259</v>
      </c>
      <c r="CP1912" s="5" t="s">
        <v>260</v>
      </c>
      <c r="CQ1912" s="5" t="s">
        <v>260</v>
      </c>
      <c r="CR1912" s="5" t="s">
        <v>261</v>
      </c>
      <c r="CU1912" s="8">
        <f>258819</f>
        <v>258819</v>
      </c>
      <c r="CV1912" s="8">
        <f>0</f>
        <v>0</v>
      </c>
      <c r="CX1912" s="8">
        <f>0</f>
        <v>0</v>
      </c>
      <c r="CY1912" s="8">
        <f>258819</f>
        <v>258819</v>
      </c>
      <c r="DA1912" s="5" t="s">
        <v>356</v>
      </c>
      <c r="DB1912" s="5" t="s">
        <v>238</v>
      </c>
      <c r="DD1912" s="5" t="s">
        <v>356</v>
      </c>
      <c r="DE1912" s="8">
        <f>0</f>
        <v>0</v>
      </c>
      <c r="DG1912" s="5" t="s">
        <v>238</v>
      </c>
      <c r="DH1912" s="5" t="s">
        <v>238</v>
      </c>
      <c r="DI1912" s="5" t="s">
        <v>238</v>
      </c>
      <c r="DJ1912" s="5" t="s">
        <v>238</v>
      </c>
      <c r="DN1912" s="5" t="s">
        <v>238</v>
      </c>
      <c r="DO1912" s="5" t="s">
        <v>238</v>
      </c>
      <c r="DP1912" s="5" t="s">
        <v>238</v>
      </c>
      <c r="DQ1912" s="5" t="s">
        <v>238</v>
      </c>
      <c r="DT1912" s="5" t="s">
        <v>2039</v>
      </c>
      <c r="DU1912" s="5" t="s">
        <v>1790</v>
      </c>
      <c r="HM1912" s="5" t="s">
        <v>264</v>
      </c>
    </row>
    <row r="1913" spans="1:221" x14ac:dyDescent="0.4">
      <c r="A1913" s="5">
        <v>3614</v>
      </c>
      <c r="B1913" s="5">
        <v>1</v>
      </c>
      <c r="C1913" s="5">
        <v>1</v>
      </c>
      <c r="D1913" s="5" t="s">
        <v>2037</v>
      </c>
      <c r="E1913" s="5" t="s">
        <v>271</v>
      </c>
      <c r="F1913" s="5" t="s">
        <v>248</v>
      </c>
      <c r="G1913" s="5" t="s">
        <v>2217</v>
      </c>
      <c r="H1913" s="6" t="s">
        <v>2215</v>
      </c>
      <c r="I1913" s="7">
        <f>0</f>
        <v>0</v>
      </c>
      <c r="J1913" s="5" t="s">
        <v>262</v>
      </c>
      <c r="K1913" s="8">
        <f>859937</f>
        <v>859937</v>
      </c>
      <c r="L1913" s="6" t="s">
        <v>2218</v>
      </c>
      <c r="M1913" s="5" t="s">
        <v>267</v>
      </c>
      <c r="N1913" s="5" t="s">
        <v>265</v>
      </c>
      <c r="O1913" s="5" t="s">
        <v>238</v>
      </c>
      <c r="P1913" s="5" t="s">
        <v>238</v>
      </c>
      <c r="Q1913" s="5" t="s">
        <v>239</v>
      </c>
      <c r="R1913" s="5" t="s">
        <v>238</v>
      </c>
      <c r="S1913" s="5" t="s">
        <v>238</v>
      </c>
      <c r="V1913" s="5" t="s">
        <v>238</v>
      </c>
      <c r="X1913" s="6" t="s">
        <v>238</v>
      </c>
      <c r="AA1913" s="6" t="s">
        <v>243</v>
      </c>
      <c r="AB1913" s="5" t="s">
        <v>238</v>
      </c>
      <c r="AC1913" s="5" t="s">
        <v>244</v>
      </c>
      <c r="AD1913" s="5" t="s">
        <v>245</v>
      </c>
      <c r="AT1913" s="5" t="s">
        <v>246</v>
      </c>
      <c r="AU1913" s="5" t="s">
        <v>238</v>
      </c>
      <c r="AV1913" s="5" t="s">
        <v>247</v>
      </c>
      <c r="AW1913" s="5" t="s">
        <v>238</v>
      </c>
      <c r="AX1913" s="5" t="s">
        <v>249</v>
      </c>
      <c r="AY1913" s="5" t="s">
        <v>238</v>
      </c>
      <c r="BA1913" s="5" t="s">
        <v>238</v>
      </c>
      <c r="BC1913" s="5" t="s">
        <v>250</v>
      </c>
      <c r="BD1913" s="6" t="s">
        <v>2218</v>
      </c>
      <c r="BE1913" s="5" t="s">
        <v>251</v>
      </c>
      <c r="BF1913" s="5" t="s">
        <v>2043</v>
      </c>
      <c r="BG1913" s="5" t="s">
        <v>238</v>
      </c>
      <c r="BH1913" s="7">
        <f>0</f>
        <v>0</v>
      </c>
      <c r="BI1913" s="8">
        <f>0</f>
        <v>0</v>
      </c>
      <c r="BJ1913" s="5" t="s">
        <v>253</v>
      </c>
      <c r="BK1913" s="5" t="s">
        <v>254</v>
      </c>
      <c r="BY1913" s="5" t="s">
        <v>238</v>
      </c>
      <c r="BZ1913" s="5" t="s">
        <v>238</v>
      </c>
      <c r="CD1913" s="5" t="s">
        <v>293</v>
      </c>
      <c r="CE1913" s="5" t="s">
        <v>256</v>
      </c>
      <c r="CF1913" s="5" t="s">
        <v>238</v>
      </c>
      <c r="CI1913" s="6" t="s">
        <v>257</v>
      </c>
      <c r="CJ1913" s="5" t="s">
        <v>238</v>
      </c>
      <c r="CK1913" s="5" t="s">
        <v>258</v>
      </c>
      <c r="CL1913" s="5" t="s">
        <v>238</v>
      </c>
      <c r="CM1913" s="5" t="s">
        <v>238</v>
      </c>
      <c r="CN1913" s="5">
        <v>0</v>
      </c>
      <c r="CO1913" s="5" t="s">
        <v>259</v>
      </c>
      <c r="CP1913" s="5" t="s">
        <v>260</v>
      </c>
      <c r="CQ1913" s="5" t="s">
        <v>260</v>
      </c>
      <c r="CR1913" s="5" t="s">
        <v>261</v>
      </c>
      <c r="CU1913" s="8">
        <f>859937</f>
        <v>859937</v>
      </c>
      <c r="CV1913" s="8">
        <f>0</f>
        <v>0</v>
      </c>
      <c r="CX1913" s="8">
        <f>0</f>
        <v>0</v>
      </c>
      <c r="CY1913" s="8">
        <f>859937</f>
        <v>859937</v>
      </c>
      <c r="DA1913" s="5" t="s">
        <v>356</v>
      </c>
      <c r="DB1913" s="5" t="s">
        <v>238</v>
      </c>
      <c r="DD1913" s="5" t="s">
        <v>356</v>
      </c>
      <c r="DE1913" s="8">
        <f>0</f>
        <v>0</v>
      </c>
      <c r="DG1913" s="5" t="s">
        <v>238</v>
      </c>
      <c r="DH1913" s="5" t="s">
        <v>238</v>
      </c>
      <c r="DI1913" s="5" t="s">
        <v>238</v>
      </c>
      <c r="DJ1913" s="5" t="s">
        <v>238</v>
      </c>
      <c r="DN1913" s="5" t="s">
        <v>238</v>
      </c>
      <c r="DO1913" s="5" t="s">
        <v>238</v>
      </c>
      <c r="DP1913" s="5" t="s">
        <v>238</v>
      </c>
      <c r="DQ1913" s="5" t="s">
        <v>238</v>
      </c>
      <c r="DT1913" s="5" t="s">
        <v>2039</v>
      </c>
      <c r="DU1913" s="5" t="s">
        <v>1461</v>
      </c>
      <c r="HM1913" s="5" t="s">
        <v>264</v>
      </c>
    </row>
    <row r="1914" spans="1:221" x14ac:dyDescent="0.4">
      <c r="A1914" s="5">
        <v>3615</v>
      </c>
      <c r="B1914" s="5">
        <v>1</v>
      </c>
      <c r="C1914" s="5">
        <v>1</v>
      </c>
      <c r="D1914" s="5" t="s">
        <v>2037</v>
      </c>
      <c r="E1914" s="5" t="s">
        <v>271</v>
      </c>
      <c r="F1914" s="5" t="s">
        <v>248</v>
      </c>
      <c r="G1914" s="5" t="s">
        <v>2166</v>
      </c>
      <c r="H1914" s="6" t="s">
        <v>2168</v>
      </c>
      <c r="I1914" s="7">
        <f>122.39</f>
        <v>122.39</v>
      </c>
      <c r="J1914" s="5" t="s">
        <v>262</v>
      </c>
      <c r="K1914" s="8">
        <f>171346</f>
        <v>171346</v>
      </c>
      <c r="L1914" s="6" t="s">
        <v>2167</v>
      </c>
      <c r="M1914" s="5" t="s">
        <v>267</v>
      </c>
      <c r="N1914" s="5" t="s">
        <v>265</v>
      </c>
      <c r="O1914" s="5" t="s">
        <v>238</v>
      </c>
      <c r="P1914" s="5" t="s">
        <v>238</v>
      </c>
      <c r="Q1914" s="5" t="s">
        <v>239</v>
      </c>
      <c r="R1914" s="5" t="s">
        <v>238</v>
      </c>
      <c r="S1914" s="5" t="s">
        <v>238</v>
      </c>
      <c r="V1914" s="5" t="s">
        <v>238</v>
      </c>
      <c r="X1914" s="6" t="s">
        <v>238</v>
      </c>
      <c r="AA1914" s="6" t="s">
        <v>243</v>
      </c>
      <c r="AB1914" s="5" t="s">
        <v>238</v>
      </c>
      <c r="AC1914" s="5" t="s">
        <v>244</v>
      </c>
      <c r="AD1914" s="5" t="s">
        <v>245</v>
      </c>
      <c r="AT1914" s="5" t="s">
        <v>246</v>
      </c>
      <c r="AU1914" s="5" t="s">
        <v>238</v>
      </c>
      <c r="AV1914" s="5" t="s">
        <v>247</v>
      </c>
      <c r="AW1914" s="5" t="s">
        <v>238</v>
      </c>
      <c r="AX1914" s="5" t="s">
        <v>249</v>
      </c>
      <c r="AY1914" s="5" t="s">
        <v>238</v>
      </c>
      <c r="BA1914" s="5" t="s">
        <v>238</v>
      </c>
      <c r="BC1914" s="5" t="s">
        <v>250</v>
      </c>
      <c r="BD1914" s="6" t="s">
        <v>2167</v>
      </c>
      <c r="BE1914" s="5" t="s">
        <v>251</v>
      </c>
      <c r="BF1914" s="5" t="s">
        <v>2043</v>
      </c>
      <c r="BG1914" s="5" t="s">
        <v>238</v>
      </c>
      <c r="BH1914" s="7">
        <f>0</f>
        <v>0</v>
      </c>
      <c r="BI1914" s="8">
        <f>0</f>
        <v>0</v>
      </c>
      <c r="BJ1914" s="5" t="s">
        <v>253</v>
      </c>
      <c r="BK1914" s="5" t="s">
        <v>254</v>
      </c>
      <c r="BY1914" s="5" t="s">
        <v>238</v>
      </c>
      <c r="BZ1914" s="5" t="s">
        <v>238</v>
      </c>
      <c r="CD1914" s="5" t="s">
        <v>293</v>
      </c>
      <c r="CE1914" s="5" t="s">
        <v>256</v>
      </c>
      <c r="CF1914" s="5" t="s">
        <v>238</v>
      </c>
      <c r="CI1914" s="6" t="s">
        <v>257</v>
      </c>
      <c r="CJ1914" s="5" t="s">
        <v>238</v>
      </c>
      <c r="CK1914" s="5" t="s">
        <v>258</v>
      </c>
      <c r="CL1914" s="5" t="s">
        <v>238</v>
      </c>
      <c r="CM1914" s="5" t="s">
        <v>238</v>
      </c>
      <c r="CN1914" s="5">
        <v>0</v>
      </c>
      <c r="CO1914" s="5" t="s">
        <v>259</v>
      </c>
      <c r="CP1914" s="5" t="s">
        <v>260</v>
      </c>
      <c r="CQ1914" s="5" t="s">
        <v>260</v>
      </c>
      <c r="CR1914" s="5" t="s">
        <v>261</v>
      </c>
      <c r="CU1914" s="8">
        <f>171346</f>
        <v>171346</v>
      </c>
      <c r="CV1914" s="8">
        <f>0</f>
        <v>0</v>
      </c>
      <c r="CX1914" s="8">
        <f>0</f>
        <v>0</v>
      </c>
      <c r="CY1914" s="8">
        <f>171346</f>
        <v>171346</v>
      </c>
      <c r="DA1914" s="5" t="s">
        <v>356</v>
      </c>
      <c r="DB1914" s="5" t="s">
        <v>238</v>
      </c>
      <c r="DD1914" s="5" t="s">
        <v>356</v>
      </c>
      <c r="DE1914" s="8">
        <f>122.39</f>
        <v>122.39</v>
      </c>
      <c r="DG1914" s="5" t="s">
        <v>238</v>
      </c>
      <c r="DH1914" s="5" t="s">
        <v>238</v>
      </c>
      <c r="DI1914" s="5" t="s">
        <v>238</v>
      </c>
      <c r="DJ1914" s="5" t="s">
        <v>238</v>
      </c>
      <c r="DN1914" s="5" t="s">
        <v>238</v>
      </c>
      <c r="DO1914" s="5" t="s">
        <v>238</v>
      </c>
      <c r="DP1914" s="5" t="s">
        <v>238</v>
      </c>
      <c r="DQ1914" s="5" t="s">
        <v>238</v>
      </c>
      <c r="DT1914" s="5" t="s">
        <v>2039</v>
      </c>
      <c r="DU1914" s="5" t="s">
        <v>1786</v>
      </c>
      <c r="HM1914" s="5" t="s">
        <v>264</v>
      </c>
    </row>
    <row r="1915" spans="1:221" x14ac:dyDescent="0.4">
      <c r="A1915" s="5">
        <v>3616</v>
      </c>
      <c r="B1915" s="5">
        <v>1</v>
      </c>
      <c r="C1915" s="5">
        <v>1</v>
      </c>
      <c r="D1915" s="5" t="s">
        <v>2037</v>
      </c>
      <c r="E1915" s="5" t="s">
        <v>271</v>
      </c>
      <c r="F1915" s="5" t="s">
        <v>248</v>
      </c>
      <c r="G1915" s="5" t="s">
        <v>2062</v>
      </c>
      <c r="H1915" s="6" t="s">
        <v>2064</v>
      </c>
      <c r="I1915" s="7">
        <f>456.54</f>
        <v>456.54</v>
      </c>
      <c r="J1915" s="5" t="s">
        <v>262</v>
      </c>
      <c r="K1915" s="8">
        <f>205443</f>
        <v>205443</v>
      </c>
      <c r="L1915" s="6" t="s">
        <v>2063</v>
      </c>
      <c r="M1915" s="5" t="s">
        <v>267</v>
      </c>
      <c r="N1915" s="5" t="s">
        <v>265</v>
      </c>
      <c r="O1915" s="5" t="s">
        <v>238</v>
      </c>
      <c r="P1915" s="5" t="s">
        <v>238</v>
      </c>
      <c r="Q1915" s="5" t="s">
        <v>239</v>
      </c>
      <c r="R1915" s="5" t="s">
        <v>238</v>
      </c>
      <c r="S1915" s="5" t="s">
        <v>238</v>
      </c>
      <c r="V1915" s="5" t="s">
        <v>238</v>
      </c>
      <c r="X1915" s="6" t="s">
        <v>238</v>
      </c>
      <c r="AA1915" s="6" t="s">
        <v>243</v>
      </c>
      <c r="AB1915" s="5" t="s">
        <v>238</v>
      </c>
      <c r="AC1915" s="5" t="s">
        <v>244</v>
      </c>
      <c r="AD1915" s="5" t="s">
        <v>245</v>
      </c>
      <c r="AT1915" s="5" t="s">
        <v>246</v>
      </c>
      <c r="AU1915" s="5" t="s">
        <v>238</v>
      </c>
      <c r="AV1915" s="5" t="s">
        <v>247</v>
      </c>
      <c r="AW1915" s="5" t="s">
        <v>238</v>
      </c>
      <c r="AX1915" s="5" t="s">
        <v>249</v>
      </c>
      <c r="AY1915" s="5" t="s">
        <v>238</v>
      </c>
      <c r="BA1915" s="5" t="s">
        <v>238</v>
      </c>
      <c r="BC1915" s="5" t="s">
        <v>250</v>
      </c>
      <c r="BD1915" s="6" t="s">
        <v>2063</v>
      </c>
      <c r="BE1915" s="5" t="s">
        <v>251</v>
      </c>
      <c r="BF1915" s="5" t="s">
        <v>2043</v>
      </c>
      <c r="BG1915" s="5" t="s">
        <v>238</v>
      </c>
      <c r="BH1915" s="7">
        <f>0</f>
        <v>0</v>
      </c>
      <c r="BI1915" s="8">
        <f>0</f>
        <v>0</v>
      </c>
      <c r="BJ1915" s="5" t="s">
        <v>253</v>
      </c>
      <c r="BK1915" s="5" t="s">
        <v>254</v>
      </c>
      <c r="BY1915" s="5" t="s">
        <v>238</v>
      </c>
      <c r="BZ1915" s="5" t="s">
        <v>238</v>
      </c>
      <c r="CD1915" s="5" t="s">
        <v>293</v>
      </c>
      <c r="CE1915" s="5" t="s">
        <v>256</v>
      </c>
      <c r="CF1915" s="5" t="s">
        <v>238</v>
      </c>
      <c r="CI1915" s="6" t="s">
        <v>257</v>
      </c>
      <c r="CJ1915" s="5" t="s">
        <v>238</v>
      </c>
      <c r="CK1915" s="5" t="s">
        <v>258</v>
      </c>
      <c r="CL1915" s="5" t="s">
        <v>238</v>
      </c>
      <c r="CM1915" s="5" t="s">
        <v>238</v>
      </c>
      <c r="CN1915" s="5">
        <v>0</v>
      </c>
      <c r="CO1915" s="5" t="s">
        <v>259</v>
      </c>
      <c r="CP1915" s="5" t="s">
        <v>260</v>
      </c>
      <c r="CQ1915" s="5" t="s">
        <v>260</v>
      </c>
      <c r="CR1915" s="5" t="s">
        <v>261</v>
      </c>
      <c r="CU1915" s="8">
        <f>205443</f>
        <v>205443</v>
      </c>
      <c r="CV1915" s="8">
        <f>0</f>
        <v>0</v>
      </c>
      <c r="CX1915" s="8">
        <f>0</f>
        <v>0</v>
      </c>
      <c r="CY1915" s="8">
        <f>205443</f>
        <v>205443</v>
      </c>
      <c r="DA1915" s="5" t="s">
        <v>356</v>
      </c>
      <c r="DB1915" s="5" t="s">
        <v>238</v>
      </c>
      <c r="DD1915" s="5" t="s">
        <v>356</v>
      </c>
      <c r="DE1915" s="8">
        <f>0</f>
        <v>0</v>
      </c>
      <c r="DG1915" s="5" t="s">
        <v>238</v>
      </c>
      <c r="DH1915" s="5" t="s">
        <v>238</v>
      </c>
      <c r="DI1915" s="5" t="s">
        <v>238</v>
      </c>
      <c r="DJ1915" s="5" t="s">
        <v>238</v>
      </c>
      <c r="DN1915" s="5" t="s">
        <v>238</v>
      </c>
      <c r="DO1915" s="5" t="s">
        <v>238</v>
      </c>
      <c r="DP1915" s="5" t="s">
        <v>238</v>
      </c>
      <c r="DQ1915" s="5" t="s">
        <v>238</v>
      </c>
      <c r="DT1915" s="5" t="s">
        <v>2039</v>
      </c>
      <c r="DU1915" s="5" t="s">
        <v>2065</v>
      </c>
      <c r="HM1915" s="5" t="s">
        <v>264</v>
      </c>
    </row>
    <row r="1916" spans="1:221" x14ac:dyDescent="0.4">
      <c r="A1916" s="5">
        <v>3617</v>
      </c>
      <c r="B1916" s="5">
        <v>1</v>
      </c>
      <c r="C1916" s="5">
        <v>1</v>
      </c>
      <c r="D1916" s="5" t="s">
        <v>2037</v>
      </c>
      <c r="E1916" s="5" t="s">
        <v>271</v>
      </c>
      <c r="F1916" s="5" t="s">
        <v>248</v>
      </c>
      <c r="G1916" s="5" t="s">
        <v>2090</v>
      </c>
      <c r="H1916" s="6" t="s">
        <v>2064</v>
      </c>
      <c r="I1916" s="7">
        <f>0</f>
        <v>0</v>
      </c>
      <c r="J1916" s="5" t="s">
        <v>262</v>
      </c>
      <c r="K1916" s="8">
        <f>127432</f>
        <v>127432</v>
      </c>
      <c r="L1916" s="6" t="s">
        <v>2063</v>
      </c>
      <c r="M1916" s="5" t="s">
        <v>267</v>
      </c>
      <c r="N1916" s="5" t="s">
        <v>265</v>
      </c>
      <c r="O1916" s="5" t="s">
        <v>238</v>
      </c>
      <c r="P1916" s="5" t="s">
        <v>238</v>
      </c>
      <c r="Q1916" s="5" t="s">
        <v>239</v>
      </c>
      <c r="R1916" s="5" t="s">
        <v>238</v>
      </c>
      <c r="S1916" s="5" t="s">
        <v>238</v>
      </c>
      <c r="V1916" s="5" t="s">
        <v>238</v>
      </c>
      <c r="X1916" s="6" t="s">
        <v>238</v>
      </c>
      <c r="AA1916" s="6" t="s">
        <v>243</v>
      </c>
      <c r="AB1916" s="5" t="s">
        <v>238</v>
      </c>
      <c r="AC1916" s="5" t="s">
        <v>244</v>
      </c>
      <c r="AD1916" s="5" t="s">
        <v>245</v>
      </c>
      <c r="AT1916" s="5" t="s">
        <v>246</v>
      </c>
      <c r="AU1916" s="5" t="s">
        <v>238</v>
      </c>
      <c r="AV1916" s="5" t="s">
        <v>247</v>
      </c>
      <c r="AW1916" s="5" t="s">
        <v>238</v>
      </c>
      <c r="AX1916" s="5" t="s">
        <v>249</v>
      </c>
      <c r="AY1916" s="5" t="s">
        <v>238</v>
      </c>
      <c r="BA1916" s="5" t="s">
        <v>238</v>
      </c>
      <c r="BC1916" s="5" t="s">
        <v>250</v>
      </c>
      <c r="BD1916" s="6" t="s">
        <v>2063</v>
      </c>
      <c r="BE1916" s="5" t="s">
        <v>251</v>
      </c>
      <c r="BF1916" s="5" t="s">
        <v>2043</v>
      </c>
      <c r="BG1916" s="5" t="s">
        <v>238</v>
      </c>
      <c r="BH1916" s="7">
        <f>0</f>
        <v>0</v>
      </c>
      <c r="BI1916" s="8">
        <f>0</f>
        <v>0</v>
      </c>
      <c r="BJ1916" s="5" t="s">
        <v>253</v>
      </c>
      <c r="BK1916" s="5" t="s">
        <v>254</v>
      </c>
      <c r="BY1916" s="5" t="s">
        <v>238</v>
      </c>
      <c r="BZ1916" s="5" t="s">
        <v>238</v>
      </c>
      <c r="CD1916" s="5" t="s">
        <v>293</v>
      </c>
      <c r="CE1916" s="5" t="s">
        <v>256</v>
      </c>
      <c r="CF1916" s="5" t="s">
        <v>238</v>
      </c>
      <c r="CI1916" s="6" t="s">
        <v>257</v>
      </c>
      <c r="CJ1916" s="5" t="s">
        <v>238</v>
      </c>
      <c r="CK1916" s="5" t="s">
        <v>258</v>
      </c>
      <c r="CL1916" s="5" t="s">
        <v>238</v>
      </c>
      <c r="CM1916" s="5" t="s">
        <v>238</v>
      </c>
      <c r="CN1916" s="5">
        <v>0</v>
      </c>
      <c r="CO1916" s="5" t="s">
        <v>259</v>
      </c>
      <c r="CP1916" s="5" t="s">
        <v>260</v>
      </c>
      <c r="CQ1916" s="5" t="s">
        <v>260</v>
      </c>
      <c r="CR1916" s="5" t="s">
        <v>261</v>
      </c>
      <c r="CU1916" s="8">
        <f>127432</f>
        <v>127432</v>
      </c>
      <c r="CV1916" s="8">
        <f>0</f>
        <v>0</v>
      </c>
      <c r="CX1916" s="8">
        <f>0</f>
        <v>0</v>
      </c>
      <c r="CY1916" s="8">
        <f>127432</f>
        <v>127432</v>
      </c>
      <c r="DA1916" s="5" t="s">
        <v>356</v>
      </c>
      <c r="DB1916" s="5" t="s">
        <v>238</v>
      </c>
      <c r="DD1916" s="5" t="s">
        <v>356</v>
      </c>
      <c r="DE1916" s="8">
        <f>0</f>
        <v>0</v>
      </c>
      <c r="DG1916" s="5" t="s">
        <v>238</v>
      </c>
      <c r="DH1916" s="5" t="s">
        <v>238</v>
      </c>
      <c r="DI1916" s="5" t="s">
        <v>238</v>
      </c>
      <c r="DJ1916" s="5" t="s">
        <v>238</v>
      </c>
      <c r="DN1916" s="5" t="s">
        <v>238</v>
      </c>
      <c r="DO1916" s="5" t="s">
        <v>238</v>
      </c>
      <c r="DP1916" s="5" t="s">
        <v>238</v>
      </c>
      <c r="DQ1916" s="5" t="s">
        <v>238</v>
      </c>
      <c r="DT1916" s="5" t="s">
        <v>2039</v>
      </c>
      <c r="DU1916" s="5" t="s">
        <v>1780</v>
      </c>
      <c r="HM1916" s="5" t="s">
        <v>264</v>
      </c>
    </row>
    <row r="1917" spans="1:221" x14ac:dyDescent="0.4">
      <c r="A1917" s="5">
        <v>3621</v>
      </c>
      <c r="B1917" s="5">
        <v>1</v>
      </c>
      <c r="C1917" s="5">
        <v>1</v>
      </c>
      <c r="D1917" s="5" t="s">
        <v>269</v>
      </c>
      <c r="E1917" s="5" t="s">
        <v>271</v>
      </c>
      <c r="F1917" s="5" t="s">
        <v>248</v>
      </c>
      <c r="G1917" s="5" t="s">
        <v>266</v>
      </c>
      <c r="H1917" s="6" t="s">
        <v>1396</v>
      </c>
      <c r="I1917" s="7">
        <f>56</f>
        <v>56</v>
      </c>
      <c r="J1917" s="5" t="s">
        <v>262</v>
      </c>
      <c r="K1917" s="8">
        <f>1</f>
        <v>1</v>
      </c>
      <c r="L1917" s="6" t="s">
        <v>242</v>
      </c>
      <c r="M1917" s="5" t="s">
        <v>267</v>
      </c>
      <c r="N1917" s="5" t="s">
        <v>265</v>
      </c>
      <c r="O1917" s="5" t="s">
        <v>238</v>
      </c>
      <c r="P1917" s="5" t="s">
        <v>238</v>
      </c>
      <c r="Q1917" s="5" t="s">
        <v>268</v>
      </c>
      <c r="R1917" s="5" t="s">
        <v>270</v>
      </c>
      <c r="S1917" s="5" t="s">
        <v>238</v>
      </c>
      <c r="V1917" s="5" t="s">
        <v>238</v>
      </c>
      <c r="X1917" s="6" t="s">
        <v>238</v>
      </c>
      <c r="AA1917" s="6" t="s">
        <v>243</v>
      </c>
      <c r="AB1917" s="5" t="s">
        <v>238</v>
      </c>
      <c r="AC1917" s="5" t="s">
        <v>244</v>
      </c>
      <c r="AD1917" s="5" t="s">
        <v>245</v>
      </c>
      <c r="AT1917" s="5" t="s">
        <v>246</v>
      </c>
      <c r="AU1917" s="5" t="s">
        <v>238</v>
      </c>
      <c r="AV1917" s="5" t="s">
        <v>247</v>
      </c>
      <c r="AW1917" s="5" t="s">
        <v>238</v>
      </c>
      <c r="AX1917" s="5" t="s">
        <v>249</v>
      </c>
      <c r="AY1917" s="5" t="s">
        <v>238</v>
      </c>
      <c r="BA1917" s="5" t="s">
        <v>1397</v>
      </c>
      <c r="BC1917" s="5" t="s">
        <v>250</v>
      </c>
      <c r="BD1917" s="6" t="s">
        <v>243</v>
      </c>
      <c r="BE1917" s="5" t="s">
        <v>251</v>
      </c>
      <c r="BF1917" s="5" t="s">
        <v>252</v>
      </c>
      <c r="BG1917" s="5" t="s">
        <v>238</v>
      </c>
      <c r="BH1917" s="7">
        <f>0</f>
        <v>0</v>
      </c>
      <c r="BI1917" s="8">
        <f>0</f>
        <v>0</v>
      </c>
      <c r="BJ1917" s="5" t="s">
        <v>253</v>
      </c>
      <c r="BK1917" s="5" t="s">
        <v>254</v>
      </c>
      <c r="BY1917" s="5" t="s">
        <v>238</v>
      </c>
      <c r="BZ1917" s="5" t="s">
        <v>238</v>
      </c>
      <c r="CD1917" s="5" t="s">
        <v>273</v>
      </c>
      <c r="CE1917" s="5" t="s">
        <v>256</v>
      </c>
      <c r="CF1917" s="5" t="s">
        <v>238</v>
      </c>
      <c r="CI1917" s="6" t="s">
        <v>257</v>
      </c>
      <c r="CJ1917" s="5" t="s">
        <v>238</v>
      </c>
      <c r="CK1917" s="5" t="s">
        <v>258</v>
      </c>
      <c r="CL1917" s="5" t="s">
        <v>238</v>
      </c>
      <c r="CM1917" s="5" t="s">
        <v>238</v>
      </c>
      <c r="CN1917" s="5">
        <v>0</v>
      </c>
      <c r="CO1917" s="5" t="s">
        <v>259</v>
      </c>
      <c r="CP1917" s="5" t="s">
        <v>260</v>
      </c>
      <c r="CQ1917" s="5" t="s">
        <v>260</v>
      </c>
      <c r="CR1917" s="5" t="s">
        <v>261</v>
      </c>
      <c r="CU1917" s="8">
        <f>1</f>
        <v>1</v>
      </c>
      <c r="CV1917" s="8">
        <f>0</f>
        <v>0</v>
      </c>
      <c r="CX1917" s="8">
        <f>0</f>
        <v>0</v>
      </c>
      <c r="CY1917" s="8">
        <f>1</f>
        <v>1</v>
      </c>
      <c r="DA1917" s="5" t="s">
        <v>274</v>
      </c>
      <c r="DB1917" s="5" t="s">
        <v>238</v>
      </c>
      <c r="DD1917" s="5" t="s">
        <v>274</v>
      </c>
      <c r="DE1917" s="8">
        <f>56</f>
        <v>56</v>
      </c>
      <c r="DG1917" s="5" t="s">
        <v>238</v>
      </c>
      <c r="DH1917" s="5" t="s">
        <v>238</v>
      </c>
      <c r="DI1917" s="5" t="s">
        <v>238</v>
      </c>
      <c r="DJ1917" s="5" t="s">
        <v>238</v>
      </c>
      <c r="DN1917" s="5" t="s">
        <v>238</v>
      </c>
      <c r="DO1917" s="5" t="s">
        <v>238</v>
      </c>
      <c r="DP1917" s="5" t="s">
        <v>238</v>
      </c>
      <c r="DQ1917" s="5" t="s">
        <v>238</v>
      </c>
      <c r="DT1917" s="5" t="s">
        <v>275</v>
      </c>
      <c r="DU1917" s="5" t="s">
        <v>264</v>
      </c>
      <c r="HM1917" s="5" t="s">
        <v>264</v>
      </c>
    </row>
    <row r="1918" spans="1:221" x14ac:dyDescent="0.4">
      <c r="A1918" s="5">
        <v>3622</v>
      </c>
      <c r="B1918" s="5">
        <v>1</v>
      </c>
      <c r="C1918" s="5">
        <v>1</v>
      </c>
      <c r="D1918" s="5" t="s">
        <v>269</v>
      </c>
      <c r="E1918" s="5" t="s">
        <v>271</v>
      </c>
      <c r="F1918" s="5" t="s">
        <v>248</v>
      </c>
      <c r="G1918" s="5" t="s">
        <v>266</v>
      </c>
      <c r="H1918" s="6" t="s">
        <v>1391</v>
      </c>
      <c r="I1918" s="7">
        <f>1925</f>
        <v>1925</v>
      </c>
      <c r="J1918" s="5" t="s">
        <v>262</v>
      </c>
      <c r="K1918" s="8">
        <f>1</f>
        <v>1</v>
      </c>
      <c r="L1918" s="6" t="s">
        <v>242</v>
      </c>
      <c r="M1918" s="5" t="s">
        <v>267</v>
      </c>
      <c r="N1918" s="5" t="s">
        <v>265</v>
      </c>
      <c r="O1918" s="5" t="s">
        <v>238</v>
      </c>
      <c r="P1918" s="5" t="s">
        <v>238</v>
      </c>
      <c r="Q1918" s="5" t="s">
        <v>268</v>
      </c>
      <c r="R1918" s="5" t="s">
        <v>270</v>
      </c>
      <c r="S1918" s="5" t="s">
        <v>238</v>
      </c>
      <c r="V1918" s="5" t="s">
        <v>238</v>
      </c>
      <c r="X1918" s="6" t="s">
        <v>238</v>
      </c>
      <c r="AA1918" s="6" t="s">
        <v>243</v>
      </c>
      <c r="AB1918" s="5" t="s">
        <v>238</v>
      </c>
      <c r="AC1918" s="5" t="s">
        <v>244</v>
      </c>
      <c r="AD1918" s="5" t="s">
        <v>245</v>
      </c>
      <c r="AT1918" s="5" t="s">
        <v>246</v>
      </c>
      <c r="AU1918" s="5" t="s">
        <v>238</v>
      </c>
      <c r="AV1918" s="5" t="s">
        <v>247</v>
      </c>
      <c r="AW1918" s="5" t="s">
        <v>238</v>
      </c>
      <c r="AX1918" s="5" t="s">
        <v>249</v>
      </c>
      <c r="AY1918" s="5" t="s">
        <v>238</v>
      </c>
      <c r="BA1918" s="5" t="s">
        <v>238</v>
      </c>
      <c r="BC1918" s="5" t="s">
        <v>250</v>
      </c>
      <c r="BD1918" s="6" t="s">
        <v>243</v>
      </c>
      <c r="BE1918" s="5" t="s">
        <v>251</v>
      </c>
      <c r="BF1918" s="5" t="s">
        <v>252</v>
      </c>
      <c r="BG1918" s="5" t="s">
        <v>238</v>
      </c>
      <c r="BH1918" s="7">
        <f>0</f>
        <v>0</v>
      </c>
      <c r="BI1918" s="8">
        <f>0</f>
        <v>0</v>
      </c>
      <c r="BJ1918" s="5" t="s">
        <v>253</v>
      </c>
      <c r="BK1918" s="5" t="s">
        <v>254</v>
      </c>
      <c r="BY1918" s="5" t="s">
        <v>238</v>
      </c>
      <c r="BZ1918" s="5" t="s">
        <v>238</v>
      </c>
      <c r="CD1918" s="5" t="s">
        <v>273</v>
      </c>
      <c r="CE1918" s="5" t="s">
        <v>256</v>
      </c>
      <c r="CF1918" s="5" t="s">
        <v>238</v>
      </c>
      <c r="CI1918" s="6" t="s">
        <v>257</v>
      </c>
      <c r="CJ1918" s="5" t="s">
        <v>238</v>
      </c>
      <c r="CK1918" s="5" t="s">
        <v>258</v>
      </c>
      <c r="CL1918" s="5" t="s">
        <v>238</v>
      </c>
      <c r="CM1918" s="5" t="s">
        <v>238</v>
      </c>
      <c r="CN1918" s="5">
        <v>0</v>
      </c>
      <c r="CO1918" s="5" t="s">
        <v>259</v>
      </c>
      <c r="CP1918" s="5" t="s">
        <v>260</v>
      </c>
      <c r="CQ1918" s="5" t="s">
        <v>260</v>
      </c>
      <c r="CR1918" s="5" t="s">
        <v>261</v>
      </c>
      <c r="CU1918" s="8">
        <f>1</f>
        <v>1</v>
      </c>
      <c r="CV1918" s="8">
        <f>0</f>
        <v>0</v>
      </c>
      <c r="CX1918" s="8">
        <f>0</f>
        <v>0</v>
      </c>
      <c r="CY1918" s="8">
        <f>1</f>
        <v>1</v>
      </c>
      <c r="DA1918" s="5" t="s">
        <v>274</v>
      </c>
      <c r="DB1918" s="5" t="s">
        <v>238</v>
      </c>
      <c r="DD1918" s="5" t="s">
        <v>274</v>
      </c>
      <c r="DE1918" s="8">
        <f>1925</f>
        <v>1925</v>
      </c>
      <c r="DG1918" s="5" t="s">
        <v>238</v>
      </c>
      <c r="DH1918" s="5" t="s">
        <v>238</v>
      </c>
      <c r="DI1918" s="5" t="s">
        <v>238</v>
      </c>
      <c r="DJ1918" s="5" t="s">
        <v>238</v>
      </c>
      <c r="DN1918" s="5" t="s">
        <v>238</v>
      </c>
      <c r="DO1918" s="5" t="s">
        <v>238</v>
      </c>
      <c r="DP1918" s="5" t="s">
        <v>238</v>
      </c>
      <c r="DQ1918" s="5" t="s">
        <v>238</v>
      </c>
      <c r="DT1918" s="5" t="s">
        <v>275</v>
      </c>
      <c r="DU1918" s="5" t="s">
        <v>294</v>
      </c>
      <c r="HM1918" s="5" t="s">
        <v>264</v>
      </c>
    </row>
    <row r="1919" spans="1:221" x14ac:dyDescent="0.4">
      <c r="A1919" s="5">
        <v>3623</v>
      </c>
      <c r="B1919" s="5">
        <v>1</v>
      </c>
      <c r="C1919" s="5">
        <v>1</v>
      </c>
      <c r="D1919" s="5" t="s">
        <v>269</v>
      </c>
      <c r="E1919" s="5" t="s">
        <v>271</v>
      </c>
      <c r="F1919" s="5" t="s">
        <v>248</v>
      </c>
      <c r="G1919" s="5" t="s">
        <v>266</v>
      </c>
      <c r="H1919" s="6" t="s">
        <v>1390</v>
      </c>
      <c r="I1919" s="7">
        <f>1352</f>
        <v>1352</v>
      </c>
      <c r="J1919" s="5" t="s">
        <v>262</v>
      </c>
      <c r="K1919" s="8">
        <f>1</f>
        <v>1</v>
      </c>
      <c r="L1919" s="6" t="s">
        <v>242</v>
      </c>
      <c r="M1919" s="5" t="s">
        <v>267</v>
      </c>
      <c r="N1919" s="5" t="s">
        <v>265</v>
      </c>
      <c r="O1919" s="5" t="s">
        <v>238</v>
      </c>
      <c r="P1919" s="5" t="s">
        <v>238</v>
      </c>
      <c r="Q1919" s="5" t="s">
        <v>268</v>
      </c>
      <c r="R1919" s="5" t="s">
        <v>270</v>
      </c>
      <c r="S1919" s="5" t="s">
        <v>238</v>
      </c>
      <c r="V1919" s="5" t="s">
        <v>238</v>
      </c>
      <c r="X1919" s="6" t="s">
        <v>238</v>
      </c>
      <c r="AA1919" s="6" t="s">
        <v>243</v>
      </c>
      <c r="AB1919" s="5" t="s">
        <v>238</v>
      </c>
      <c r="AC1919" s="5" t="s">
        <v>244</v>
      </c>
      <c r="AD1919" s="5" t="s">
        <v>245</v>
      </c>
      <c r="AT1919" s="5" t="s">
        <v>246</v>
      </c>
      <c r="AU1919" s="5" t="s">
        <v>238</v>
      </c>
      <c r="AV1919" s="5" t="s">
        <v>247</v>
      </c>
      <c r="AW1919" s="5" t="s">
        <v>238</v>
      </c>
      <c r="AX1919" s="5" t="s">
        <v>249</v>
      </c>
      <c r="AY1919" s="5" t="s">
        <v>238</v>
      </c>
      <c r="BA1919" s="5" t="s">
        <v>238</v>
      </c>
      <c r="BC1919" s="5" t="s">
        <v>250</v>
      </c>
      <c r="BD1919" s="6" t="s">
        <v>243</v>
      </c>
      <c r="BE1919" s="5" t="s">
        <v>251</v>
      </c>
      <c r="BF1919" s="5" t="s">
        <v>252</v>
      </c>
      <c r="BG1919" s="5" t="s">
        <v>238</v>
      </c>
      <c r="BH1919" s="7">
        <f>0</f>
        <v>0</v>
      </c>
      <c r="BI1919" s="8">
        <f>0</f>
        <v>0</v>
      </c>
      <c r="BJ1919" s="5" t="s">
        <v>253</v>
      </c>
      <c r="BK1919" s="5" t="s">
        <v>254</v>
      </c>
      <c r="BY1919" s="5" t="s">
        <v>238</v>
      </c>
      <c r="BZ1919" s="5" t="s">
        <v>238</v>
      </c>
      <c r="CD1919" s="5" t="s">
        <v>273</v>
      </c>
      <c r="CE1919" s="5" t="s">
        <v>256</v>
      </c>
      <c r="CF1919" s="5" t="s">
        <v>238</v>
      </c>
      <c r="CI1919" s="6" t="s">
        <v>257</v>
      </c>
      <c r="CJ1919" s="5" t="s">
        <v>238</v>
      </c>
      <c r="CK1919" s="5" t="s">
        <v>258</v>
      </c>
      <c r="CL1919" s="5" t="s">
        <v>238</v>
      </c>
      <c r="CM1919" s="5" t="s">
        <v>238</v>
      </c>
      <c r="CN1919" s="5">
        <v>0</v>
      </c>
      <c r="CO1919" s="5" t="s">
        <v>259</v>
      </c>
      <c r="CP1919" s="5" t="s">
        <v>260</v>
      </c>
      <c r="CQ1919" s="5" t="s">
        <v>260</v>
      </c>
      <c r="CR1919" s="5" t="s">
        <v>261</v>
      </c>
      <c r="CU1919" s="8">
        <f>1</f>
        <v>1</v>
      </c>
      <c r="CV1919" s="8">
        <f>0</f>
        <v>0</v>
      </c>
      <c r="CX1919" s="8">
        <f>0</f>
        <v>0</v>
      </c>
      <c r="CY1919" s="8">
        <f>1</f>
        <v>1</v>
      </c>
      <c r="DA1919" s="5" t="s">
        <v>274</v>
      </c>
      <c r="DB1919" s="5" t="s">
        <v>238</v>
      </c>
      <c r="DD1919" s="5" t="s">
        <v>274</v>
      </c>
      <c r="DE1919" s="8">
        <f>1352</f>
        <v>1352</v>
      </c>
      <c r="DG1919" s="5" t="s">
        <v>238</v>
      </c>
      <c r="DH1919" s="5" t="s">
        <v>238</v>
      </c>
      <c r="DI1919" s="5" t="s">
        <v>238</v>
      </c>
      <c r="DJ1919" s="5" t="s">
        <v>238</v>
      </c>
      <c r="DN1919" s="5" t="s">
        <v>238</v>
      </c>
      <c r="DO1919" s="5" t="s">
        <v>238</v>
      </c>
      <c r="DP1919" s="5" t="s">
        <v>238</v>
      </c>
      <c r="DQ1919" s="5" t="s">
        <v>238</v>
      </c>
      <c r="DT1919" s="5" t="s">
        <v>275</v>
      </c>
      <c r="DU1919" s="5" t="s">
        <v>806</v>
      </c>
      <c r="HM1919" s="5" t="s">
        <v>264</v>
      </c>
    </row>
    <row r="1920" spans="1:221" x14ac:dyDescent="0.4">
      <c r="A1920" s="5">
        <v>3624</v>
      </c>
      <c r="B1920" s="5">
        <v>1</v>
      </c>
      <c r="C1920" s="5">
        <v>1</v>
      </c>
      <c r="D1920" s="5" t="s">
        <v>269</v>
      </c>
      <c r="E1920" s="5" t="s">
        <v>271</v>
      </c>
      <c r="F1920" s="5" t="s">
        <v>248</v>
      </c>
      <c r="G1920" s="5" t="s">
        <v>266</v>
      </c>
      <c r="H1920" s="6" t="s">
        <v>1387</v>
      </c>
      <c r="I1920" s="7">
        <f>1584</f>
        <v>1584</v>
      </c>
      <c r="J1920" s="5" t="s">
        <v>262</v>
      </c>
      <c r="K1920" s="8">
        <f>1</f>
        <v>1</v>
      </c>
      <c r="L1920" s="6" t="s">
        <v>242</v>
      </c>
      <c r="M1920" s="5" t="s">
        <v>267</v>
      </c>
      <c r="N1920" s="5" t="s">
        <v>265</v>
      </c>
      <c r="O1920" s="5" t="s">
        <v>238</v>
      </c>
      <c r="P1920" s="5" t="s">
        <v>238</v>
      </c>
      <c r="Q1920" s="5" t="s">
        <v>268</v>
      </c>
      <c r="R1920" s="5" t="s">
        <v>270</v>
      </c>
      <c r="S1920" s="5" t="s">
        <v>238</v>
      </c>
      <c r="V1920" s="5" t="s">
        <v>238</v>
      </c>
      <c r="X1920" s="6" t="s">
        <v>238</v>
      </c>
      <c r="AA1920" s="6" t="s">
        <v>243</v>
      </c>
      <c r="AB1920" s="5" t="s">
        <v>238</v>
      </c>
      <c r="AC1920" s="5" t="s">
        <v>244</v>
      </c>
      <c r="AD1920" s="5" t="s">
        <v>245</v>
      </c>
      <c r="AT1920" s="5" t="s">
        <v>246</v>
      </c>
      <c r="AU1920" s="5" t="s">
        <v>238</v>
      </c>
      <c r="AV1920" s="5" t="s">
        <v>247</v>
      </c>
      <c r="AW1920" s="5" t="s">
        <v>238</v>
      </c>
      <c r="AX1920" s="5" t="s">
        <v>249</v>
      </c>
      <c r="AY1920" s="5" t="s">
        <v>238</v>
      </c>
      <c r="BA1920" s="5" t="s">
        <v>238</v>
      </c>
      <c r="BC1920" s="5" t="s">
        <v>250</v>
      </c>
      <c r="BD1920" s="6" t="s">
        <v>243</v>
      </c>
      <c r="BE1920" s="5" t="s">
        <v>251</v>
      </c>
      <c r="BF1920" s="5" t="s">
        <v>252</v>
      </c>
      <c r="BG1920" s="5" t="s">
        <v>238</v>
      </c>
      <c r="BH1920" s="7">
        <f>0</f>
        <v>0</v>
      </c>
      <c r="BI1920" s="8">
        <f>0</f>
        <v>0</v>
      </c>
      <c r="BJ1920" s="5" t="s">
        <v>253</v>
      </c>
      <c r="BK1920" s="5" t="s">
        <v>254</v>
      </c>
      <c r="BY1920" s="5" t="s">
        <v>238</v>
      </c>
      <c r="BZ1920" s="5" t="s">
        <v>238</v>
      </c>
      <c r="CD1920" s="5" t="s">
        <v>273</v>
      </c>
      <c r="CE1920" s="5" t="s">
        <v>256</v>
      </c>
      <c r="CF1920" s="5" t="s">
        <v>238</v>
      </c>
      <c r="CI1920" s="6" t="s">
        <v>257</v>
      </c>
      <c r="CJ1920" s="5" t="s">
        <v>238</v>
      </c>
      <c r="CK1920" s="5" t="s">
        <v>258</v>
      </c>
      <c r="CL1920" s="5" t="s">
        <v>238</v>
      </c>
      <c r="CM1920" s="5" t="s">
        <v>238</v>
      </c>
      <c r="CN1920" s="5">
        <v>0</v>
      </c>
      <c r="CO1920" s="5" t="s">
        <v>259</v>
      </c>
      <c r="CP1920" s="5" t="s">
        <v>260</v>
      </c>
      <c r="CQ1920" s="5" t="s">
        <v>260</v>
      </c>
      <c r="CR1920" s="5" t="s">
        <v>261</v>
      </c>
      <c r="CU1920" s="8">
        <f>1</f>
        <v>1</v>
      </c>
      <c r="CV1920" s="8">
        <f>0</f>
        <v>0</v>
      </c>
      <c r="CX1920" s="8">
        <f>0</f>
        <v>0</v>
      </c>
      <c r="CY1920" s="8">
        <f>1</f>
        <v>1</v>
      </c>
      <c r="DA1920" s="5" t="s">
        <v>274</v>
      </c>
      <c r="DB1920" s="5" t="s">
        <v>238</v>
      </c>
      <c r="DD1920" s="5" t="s">
        <v>274</v>
      </c>
      <c r="DE1920" s="8">
        <f>1584</f>
        <v>1584</v>
      </c>
      <c r="DG1920" s="5" t="s">
        <v>238</v>
      </c>
      <c r="DH1920" s="5" t="s">
        <v>238</v>
      </c>
      <c r="DI1920" s="5" t="s">
        <v>238</v>
      </c>
      <c r="DJ1920" s="5" t="s">
        <v>238</v>
      </c>
      <c r="DN1920" s="5" t="s">
        <v>238</v>
      </c>
      <c r="DO1920" s="5" t="s">
        <v>238</v>
      </c>
      <c r="DP1920" s="5" t="s">
        <v>238</v>
      </c>
      <c r="DQ1920" s="5" t="s">
        <v>238</v>
      </c>
      <c r="DT1920" s="5" t="s">
        <v>275</v>
      </c>
      <c r="DU1920" s="5" t="s">
        <v>854</v>
      </c>
      <c r="HM1920" s="5" t="s">
        <v>264</v>
      </c>
    </row>
    <row r="1921" spans="1:221" x14ac:dyDescent="0.4">
      <c r="A1921" s="5">
        <v>3625</v>
      </c>
      <c r="B1921" s="5">
        <v>1</v>
      </c>
      <c r="C1921" s="5">
        <v>1</v>
      </c>
      <c r="D1921" s="5" t="s">
        <v>269</v>
      </c>
      <c r="E1921" s="5" t="s">
        <v>271</v>
      </c>
      <c r="F1921" s="5" t="s">
        <v>248</v>
      </c>
      <c r="G1921" s="5" t="s">
        <v>266</v>
      </c>
      <c r="H1921" s="6" t="s">
        <v>1384</v>
      </c>
      <c r="I1921" s="7">
        <f>385</f>
        <v>385</v>
      </c>
      <c r="J1921" s="5" t="s">
        <v>262</v>
      </c>
      <c r="K1921" s="8">
        <f>1</f>
        <v>1</v>
      </c>
      <c r="L1921" s="6" t="s">
        <v>242</v>
      </c>
      <c r="M1921" s="5" t="s">
        <v>267</v>
      </c>
      <c r="N1921" s="5" t="s">
        <v>265</v>
      </c>
      <c r="O1921" s="5" t="s">
        <v>238</v>
      </c>
      <c r="P1921" s="5" t="s">
        <v>238</v>
      </c>
      <c r="Q1921" s="5" t="s">
        <v>268</v>
      </c>
      <c r="R1921" s="5" t="s">
        <v>270</v>
      </c>
      <c r="S1921" s="5" t="s">
        <v>238</v>
      </c>
      <c r="V1921" s="5" t="s">
        <v>238</v>
      </c>
      <c r="X1921" s="6" t="s">
        <v>238</v>
      </c>
      <c r="AA1921" s="6" t="s">
        <v>243</v>
      </c>
      <c r="AB1921" s="5" t="s">
        <v>238</v>
      </c>
      <c r="AC1921" s="5" t="s">
        <v>244</v>
      </c>
      <c r="AD1921" s="5" t="s">
        <v>245</v>
      </c>
      <c r="AT1921" s="5" t="s">
        <v>246</v>
      </c>
      <c r="AU1921" s="5" t="s">
        <v>238</v>
      </c>
      <c r="AV1921" s="5" t="s">
        <v>247</v>
      </c>
      <c r="AW1921" s="5" t="s">
        <v>238</v>
      </c>
      <c r="AX1921" s="5" t="s">
        <v>249</v>
      </c>
      <c r="AY1921" s="5" t="s">
        <v>238</v>
      </c>
      <c r="BA1921" s="5" t="s">
        <v>238</v>
      </c>
      <c r="BC1921" s="5" t="s">
        <v>250</v>
      </c>
      <c r="BD1921" s="6" t="s">
        <v>243</v>
      </c>
      <c r="BE1921" s="5" t="s">
        <v>251</v>
      </c>
      <c r="BF1921" s="5" t="s">
        <v>252</v>
      </c>
      <c r="BG1921" s="5" t="s">
        <v>238</v>
      </c>
      <c r="BH1921" s="7">
        <f>0</f>
        <v>0</v>
      </c>
      <c r="BI1921" s="8">
        <f>0</f>
        <v>0</v>
      </c>
      <c r="BJ1921" s="5" t="s">
        <v>253</v>
      </c>
      <c r="BK1921" s="5" t="s">
        <v>254</v>
      </c>
      <c r="BY1921" s="5" t="s">
        <v>238</v>
      </c>
      <c r="BZ1921" s="5" t="s">
        <v>238</v>
      </c>
      <c r="CD1921" s="5" t="s">
        <v>273</v>
      </c>
      <c r="CE1921" s="5" t="s">
        <v>256</v>
      </c>
      <c r="CF1921" s="5" t="s">
        <v>238</v>
      </c>
      <c r="CI1921" s="6" t="s">
        <v>257</v>
      </c>
      <c r="CJ1921" s="5" t="s">
        <v>238</v>
      </c>
      <c r="CK1921" s="5" t="s">
        <v>258</v>
      </c>
      <c r="CL1921" s="5" t="s">
        <v>238</v>
      </c>
      <c r="CM1921" s="5" t="s">
        <v>238</v>
      </c>
      <c r="CN1921" s="5">
        <v>0</v>
      </c>
      <c r="CO1921" s="5" t="s">
        <v>259</v>
      </c>
      <c r="CP1921" s="5" t="s">
        <v>260</v>
      </c>
      <c r="CQ1921" s="5" t="s">
        <v>260</v>
      </c>
      <c r="CR1921" s="5" t="s">
        <v>261</v>
      </c>
      <c r="CU1921" s="8">
        <f>1</f>
        <v>1</v>
      </c>
      <c r="CV1921" s="8">
        <f>0</f>
        <v>0</v>
      </c>
      <c r="CX1921" s="8">
        <f>0</f>
        <v>0</v>
      </c>
      <c r="CY1921" s="8">
        <f>1</f>
        <v>1</v>
      </c>
      <c r="DA1921" s="5" t="s">
        <v>274</v>
      </c>
      <c r="DB1921" s="5" t="s">
        <v>238</v>
      </c>
      <c r="DD1921" s="5" t="s">
        <v>274</v>
      </c>
      <c r="DE1921" s="8">
        <f>385</f>
        <v>385</v>
      </c>
      <c r="DG1921" s="5" t="s">
        <v>238</v>
      </c>
      <c r="DH1921" s="5" t="s">
        <v>238</v>
      </c>
      <c r="DI1921" s="5" t="s">
        <v>238</v>
      </c>
      <c r="DJ1921" s="5" t="s">
        <v>238</v>
      </c>
      <c r="DN1921" s="5" t="s">
        <v>238</v>
      </c>
      <c r="DO1921" s="5" t="s">
        <v>238</v>
      </c>
      <c r="DP1921" s="5" t="s">
        <v>238</v>
      </c>
      <c r="DQ1921" s="5" t="s">
        <v>238</v>
      </c>
      <c r="DT1921" s="5" t="s">
        <v>275</v>
      </c>
      <c r="DU1921" s="5" t="s">
        <v>911</v>
      </c>
      <c r="HM1921" s="5" t="s">
        <v>264</v>
      </c>
    </row>
    <row r="1922" spans="1:221" x14ac:dyDescent="0.4">
      <c r="A1922" s="5">
        <v>3626</v>
      </c>
      <c r="B1922" s="5">
        <v>1</v>
      </c>
      <c r="C1922" s="5">
        <v>1</v>
      </c>
      <c r="D1922" s="5" t="s">
        <v>269</v>
      </c>
      <c r="E1922" s="5" t="s">
        <v>271</v>
      </c>
      <c r="F1922" s="5" t="s">
        <v>248</v>
      </c>
      <c r="G1922" s="5" t="s">
        <v>266</v>
      </c>
      <c r="H1922" s="6" t="s">
        <v>1381</v>
      </c>
      <c r="I1922" s="7">
        <f>863</f>
        <v>863</v>
      </c>
      <c r="J1922" s="5" t="s">
        <v>262</v>
      </c>
      <c r="K1922" s="8">
        <f>1</f>
        <v>1</v>
      </c>
      <c r="L1922" s="6" t="s">
        <v>242</v>
      </c>
      <c r="M1922" s="5" t="s">
        <v>267</v>
      </c>
      <c r="N1922" s="5" t="s">
        <v>265</v>
      </c>
      <c r="O1922" s="5" t="s">
        <v>238</v>
      </c>
      <c r="P1922" s="5" t="s">
        <v>238</v>
      </c>
      <c r="Q1922" s="5" t="s">
        <v>268</v>
      </c>
      <c r="R1922" s="5" t="s">
        <v>270</v>
      </c>
      <c r="S1922" s="5" t="s">
        <v>238</v>
      </c>
      <c r="V1922" s="5" t="s">
        <v>238</v>
      </c>
      <c r="X1922" s="6" t="s">
        <v>238</v>
      </c>
      <c r="AA1922" s="6" t="s">
        <v>243</v>
      </c>
      <c r="AB1922" s="5" t="s">
        <v>238</v>
      </c>
      <c r="AC1922" s="5" t="s">
        <v>244</v>
      </c>
      <c r="AD1922" s="5" t="s">
        <v>245</v>
      </c>
      <c r="AT1922" s="5" t="s">
        <v>246</v>
      </c>
      <c r="AU1922" s="5" t="s">
        <v>238</v>
      </c>
      <c r="AV1922" s="5" t="s">
        <v>247</v>
      </c>
      <c r="AW1922" s="5" t="s">
        <v>238</v>
      </c>
      <c r="AX1922" s="5" t="s">
        <v>249</v>
      </c>
      <c r="AY1922" s="5" t="s">
        <v>238</v>
      </c>
      <c r="BA1922" s="5" t="s">
        <v>238</v>
      </c>
      <c r="BC1922" s="5" t="s">
        <v>250</v>
      </c>
      <c r="BD1922" s="6" t="s">
        <v>243</v>
      </c>
      <c r="BE1922" s="5" t="s">
        <v>251</v>
      </c>
      <c r="BF1922" s="5" t="s">
        <v>252</v>
      </c>
      <c r="BG1922" s="5" t="s">
        <v>238</v>
      </c>
      <c r="BH1922" s="7">
        <f>0</f>
        <v>0</v>
      </c>
      <c r="BI1922" s="8">
        <f>0</f>
        <v>0</v>
      </c>
      <c r="BJ1922" s="5" t="s">
        <v>253</v>
      </c>
      <c r="BK1922" s="5" t="s">
        <v>254</v>
      </c>
      <c r="BY1922" s="5" t="s">
        <v>238</v>
      </c>
      <c r="BZ1922" s="5" t="s">
        <v>238</v>
      </c>
      <c r="CD1922" s="5" t="s">
        <v>273</v>
      </c>
      <c r="CE1922" s="5" t="s">
        <v>256</v>
      </c>
      <c r="CF1922" s="5" t="s">
        <v>238</v>
      </c>
      <c r="CI1922" s="6" t="s">
        <v>257</v>
      </c>
      <c r="CJ1922" s="5" t="s">
        <v>238</v>
      </c>
      <c r="CK1922" s="5" t="s">
        <v>258</v>
      </c>
      <c r="CL1922" s="5" t="s">
        <v>238</v>
      </c>
      <c r="CM1922" s="5" t="s">
        <v>238</v>
      </c>
      <c r="CN1922" s="5">
        <v>0</v>
      </c>
      <c r="CO1922" s="5" t="s">
        <v>259</v>
      </c>
      <c r="CP1922" s="5" t="s">
        <v>260</v>
      </c>
      <c r="CQ1922" s="5" t="s">
        <v>260</v>
      </c>
      <c r="CR1922" s="5" t="s">
        <v>261</v>
      </c>
      <c r="CU1922" s="8">
        <f>1</f>
        <v>1</v>
      </c>
      <c r="CV1922" s="8">
        <f>0</f>
        <v>0</v>
      </c>
      <c r="CX1922" s="8">
        <f>0</f>
        <v>0</v>
      </c>
      <c r="CY1922" s="8">
        <f>1</f>
        <v>1</v>
      </c>
      <c r="DA1922" s="5" t="s">
        <v>274</v>
      </c>
      <c r="DB1922" s="5" t="s">
        <v>238</v>
      </c>
      <c r="DD1922" s="5" t="s">
        <v>274</v>
      </c>
      <c r="DE1922" s="8">
        <f>863</f>
        <v>863</v>
      </c>
      <c r="DG1922" s="5" t="s">
        <v>238</v>
      </c>
      <c r="DH1922" s="5" t="s">
        <v>238</v>
      </c>
      <c r="DI1922" s="5" t="s">
        <v>238</v>
      </c>
      <c r="DJ1922" s="5" t="s">
        <v>238</v>
      </c>
      <c r="DN1922" s="5" t="s">
        <v>238</v>
      </c>
      <c r="DO1922" s="5" t="s">
        <v>238</v>
      </c>
      <c r="DP1922" s="5" t="s">
        <v>238</v>
      </c>
      <c r="DQ1922" s="5" t="s">
        <v>238</v>
      </c>
      <c r="DT1922" s="5" t="s">
        <v>275</v>
      </c>
      <c r="DU1922" s="5" t="s">
        <v>967</v>
      </c>
      <c r="HM1922" s="5" t="s">
        <v>264</v>
      </c>
    </row>
    <row r="1923" spans="1:221" x14ac:dyDescent="0.4">
      <c r="A1923" s="5">
        <v>3627</v>
      </c>
      <c r="B1923" s="5">
        <v>1</v>
      </c>
      <c r="C1923" s="5">
        <v>1</v>
      </c>
      <c r="D1923" s="5" t="s">
        <v>269</v>
      </c>
      <c r="E1923" s="5" t="s">
        <v>271</v>
      </c>
      <c r="F1923" s="5" t="s">
        <v>248</v>
      </c>
      <c r="G1923" s="5" t="s">
        <v>266</v>
      </c>
      <c r="H1923" s="6" t="s">
        <v>1375</v>
      </c>
      <c r="I1923" s="7">
        <f>1780</f>
        <v>1780</v>
      </c>
      <c r="J1923" s="5" t="s">
        <v>262</v>
      </c>
      <c r="K1923" s="8">
        <f>1</f>
        <v>1</v>
      </c>
      <c r="L1923" s="6" t="s">
        <v>242</v>
      </c>
      <c r="M1923" s="5" t="s">
        <v>267</v>
      </c>
      <c r="N1923" s="5" t="s">
        <v>265</v>
      </c>
      <c r="O1923" s="5" t="s">
        <v>238</v>
      </c>
      <c r="P1923" s="5" t="s">
        <v>238</v>
      </c>
      <c r="Q1923" s="5" t="s">
        <v>268</v>
      </c>
      <c r="R1923" s="5" t="s">
        <v>270</v>
      </c>
      <c r="S1923" s="5" t="s">
        <v>238</v>
      </c>
      <c r="V1923" s="5" t="s">
        <v>238</v>
      </c>
      <c r="X1923" s="6" t="s">
        <v>238</v>
      </c>
      <c r="AA1923" s="6" t="s">
        <v>243</v>
      </c>
      <c r="AB1923" s="5" t="s">
        <v>238</v>
      </c>
      <c r="AC1923" s="5" t="s">
        <v>244</v>
      </c>
      <c r="AD1923" s="5" t="s">
        <v>245</v>
      </c>
      <c r="AT1923" s="5" t="s">
        <v>246</v>
      </c>
      <c r="AU1923" s="5" t="s">
        <v>238</v>
      </c>
      <c r="AV1923" s="5" t="s">
        <v>247</v>
      </c>
      <c r="AW1923" s="5" t="s">
        <v>238</v>
      </c>
      <c r="AX1923" s="5" t="s">
        <v>249</v>
      </c>
      <c r="AY1923" s="5" t="s">
        <v>238</v>
      </c>
      <c r="BA1923" s="5" t="s">
        <v>238</v>
      </c>
      <c r="BC1923" s="5" t="s">
        <v>250</v>
      </c>
      <c r="BD1923" s="6" t="s">
        <v>243</v>
      </c>
      <c r="BE1923" s="5" t="s">
        <v>251</v>
      </c>
      <c r="BF1923" s="5" t="s">
        <v>252</v>
      </c>
      <c r="BG1923" s="5" t="s">
        <v>238</v>
      </c>
      <c r="BH1923" s="7">
        <f>0</f>
        <v>0</v>
      </c>
      <c r="BI1923" s="8">
        <f>0</f>
        <v>0</v>
      </c>
      <c r="BJ1923" s="5" t="s">
        <v>253</v>
      </c>
      <c r="BK1923" s="5" t="s">
        <v>254</v>
      </c>
      <c r="BY1923" s="5" t="s">
        <v>238</v>
      </c>
      <c r="BZ1923" s="5" t="s">
        <v>238</v>
      </c>
      <c r="CD1923" s="5" t="s">
        <v>273</v>
      </c>
      <c r="CE1923" s="5" t="s">
        <v>256</v>
      </c>
      <c r="CF1923" s="5" t="s">
        <v>238</v>
      </c>
      <c r="CI1923" s="6" t="s">
        <v>257</v>
      </c>
      <c r="CJ1923" s="5" t="s">
        <v>238</v>
      </c>
      <c r="CK1923" s="5" t="s">
        <v>258</v>
      </c>
      <c r="CL1923" s="5" t="s">
        <v>238</v>
      </c>
      <c r="CM1923" s="5" t="s">
        <v>238</v>
      </c>
      <c r="CN1923" s="5">
        <v>0</v>
      </c>
      <c r="CO1923" s="5" t="s">
        <v>259</v>
      </c>
      <c r="CP1923" s="5" t="s">
        <v>260</v>
      </c>
      <c r="CQ1923" s="5" t="s">
        <v>260</v>
      </c>
      <c r="CR1923" s="5" t="s">
        <v>261</v>
      </c>
      <c r="CU1923" s="8">
        <f>1</f>
        <v>1</v>
      </c>
      <c r="CV1923" s="8">
        <f>0</f>
        <v>0</v>
      </c>
      <c r="CX1923" s="8">
        <f>0</f>
        <v>0</v>
      </c>
      <c r="CY1923" s="8">
        <f>1</f>
        <v>1</v>
      </c>
      <c r="DA1923" s="5" t="s">
        <v>274</v>
      </c>
      <c r="DB1923" s="5" t="s">
        <v>238</v>
      </c>
      <c r="DD1923" s="5" t="s">
        <v>274</v>
      </c>
      <c r="DE1923" s="8">
        <f>1780</f>
        <v>1780</v>
      </c>
      <c r="DG1923" s="5" t="s">
        <v>238</v>
      </c>
      <c r="DH1923" s="5" t="s">
        <v>238</v>
      </c>
      <c r="DI1923" s="5" t="s">
        <v>238</v>
      </c>
      <c r="DJ1923" s="5" t="s">
        <v>238</v>
      </c>
      <c r="DN1923" s="5" t="s">
        <v>238</v>
      </c>
      <c r="DO1923" s="5" t="s">
        <v>238</v>
      </c>
      <c r="DP1923" s="5" t="s">
        <v>238</v>
      </c>
      <c r="DQ1923" s="5" t="s">
        <v>238</v>
      </c>
      <c r="DT1923" s="5" t="s">
        <v>275</v>
      </c>
      <c r="DU1923" s="5" t="s">
        <v>1376</v>
      </c>
      <c r="HM1923" s="5" t="s">
        <v>264</v>
      </c>
    </row>
    <row r="1924" spans="1:221" x14ac:dyDescent="0.4">
      <c r="A1924" s="5">
        <v>3628</v>
      </c>
      <c r="B1924" s="5">
        <v>1</v>
      </c>
      <c r="C1924" s="5">
        <v>1</v>
      </c>
      <c r="D1924" s="5" t="s">
        <v>269</v>
      </c>
      <c r="E1924" s="5" t="s">
        <v>271</v>
      </c>
      <c r="F1924" s="5" t="s">
        <v>248</v>
      </c>
      <c r="G1924" s="5" t="s">
        <v>266</v>
      </c>
      <c r="H1924" s="6" t="s">
        <v>1371</v>
      </c>
      <c r="I1924" s="7">
        <f>496</f>
        <v>496</v>
      </c>
      <c r="J1924" s="5" t="s">
        <v>262</v>
      </c>
      <c r="K1924" s="8">
        <f>1</f>
        <v>1</v>
      </c>
      <c r="L1924" s="6" t="s">
        <v>242</v>
      </c>
      <c r="M1924" s="5" t="s">
        <v>267</v>
      </c>
      <c r="N1924" s="5" t="s">
        <v>265</v>
      </c>
      <c r="O1924" s="5" t="s">
        <v>238</v>
      </c>
      <c r="P1924" s="5" t="s">
        <v>238</v>
      </c>
      <c r="Q1924" s="5" t="s">
        <v>268</v>
      </c>
      <c r="R1924" s="5" t="s">
        <v>270</v>
      </c>
      <c r="S1924" s="5" t="s">
        <v>238</v>
      </c>
      <c r="V1924" s="5" t="s">
        <v>238</v>
      </c>
      <c r="X1924" s="6" t="s">
        <v>238</v>
      </c>
      <c r="AA1924" s="6" t="s">
        <v>243</v>
      </c>
      <c r="AB1924" s="5" t="s">
        <v>238</v>
      </c>
      <c r="AC1924" s="5" t="s">
        <v>244</v>
      </c>
      <c r="AD1924" s="5" t="s">
        <v>245</v>
      </c>
      <c r="AT1924" s="5" t="s">
        <v>246</v>
      </c>
      <c r="AU1924" s="5" t="s">
        <v>238</v>
      </c>
      <c r="AV1924" s="5" t="s">
        <v>247</v>
      </c>
      <c r="AW1924" s="5" t="s">
        <v>238</v>
      </c>
      <c r="AX1924" s="5" t="s">
        <v>249</v>
      </c>
      <c r="AY1924" s="5" t="s">
        <v>238</v>
      </c>
      <c r="BA1924" s="5" t="s">
        <v>238</v>
      </c>
      <c r="BC1924" s="5" t="s">
        <v>250</v>
      </c>
      <c r="BD1924" s="6" t="s">
        <v>243</v>
      </c>
      <c r="BE1924" s="5" t="s">
        <v>251</v>
      </c>
      <c r="BF1924" s="5" t="s">
        <v>252</v>
      </c>
      <c r="BG1924" s="5" t="s">
        <v>238</v>
      </c>
      <c r="BH1924" s="7">
        <f>0</f>
        <v>0</v>
      </c>
      <c r="BI1924" s="8">
        <f>0</f>
        <v>0</v>
      </c>
      <c r="BJ1924" s="5" t="s">
        <v>253</v>
      </c>
      <c r="BK1924" s="5" t="s">
        <v>254</v>
      </c>
      <c r="BY1924" s="5" t="s">
        <v>238</v>
      </c>
      <c r="BZ1924" s="5" t="s">
        <v>238</v>
      </c>
      <c r="CD1924" s="5" t="s">
        <v>273</v>
      </c>
      <c r="CE1924" s="5" t="s">
        <v>256</v>
      </c>
      <c r="CF1924" s="5" t="s">
        <v>238</v>
      </c>
      <c r="CI1924" s="6" t="s">
        <v>257</v>
      </c>
      <c r="CJ1924" s="5" t="s">
        <v>238</v>
      </c>
      <c r="CK1924" s="5" t="s">
        <v>258</v>
      </c>
      <c r="CL1924" s="5" t="s">
        <v>238</v>
      </c>
      <c r="CM1924" s="5" t="s">
        <v>238</v>
      </c>
      <c r="CN1924" s="5">
        <v>0</v>
      </c>
      <c r="CO1924" s="5" t="s">
        <v>259</v>
      </c>
      <c r="CP1924" s="5" t="s">
        <v>260</v>
      </c>
      <c r="CQ1924" s="5" t="s">
        <v>260</v>
      </c>
      <c r="CR1924" s="5" t="s">
        <v>261</v>
      </c>
      <c r="CU1924" s="8">
        <f>1</f>
        <v>1</v>
      </c>
      <c r="CV1924" s="8">
        <f>0</f>
        <v>0</v>
      </c>
      <c r="CX1924" s="8">
        <f>0</f>
        <v>0</v>
      </c>
      <c r="CY1924" s="8">
        <f>1</f>
        <v>1</v>
      </c>
      <c r="DA1924" s="5" t="s">
        <v>274</v>
      </c>
      <c r="DB1924" s="5" t="s">
        <v>238</v>
      </c>
      <c r="DD1924" s="5" t="s">
        <v>274</v>
      </c>
      <c r="DE1924" s="8">
        <f>496</f>
        <v>496</v>
      </c>
      <c r="DG1924" s="5" t="s">
        <v>238</v>
      </c>
      <c r="DH1924" s="5" t="s">
        <v>238</v>
      </c>
      <c r="DI1924" s="5" t="s">
        <v>238</v>
      </c>
      <c r="DJ1924" s="5" t="s">
        <v>238</v>
      </c>
      <c r="DN1924" s="5" t="s">
        <v>238</v>
      </c>
      <c r="DO1924" s="5" t="s">
        <v>238</v>
      </c>
      <c r="DP1924" s="5" t="s">
        <v>238</v>
      </c>
      <c r="DQ1924" s="5" t="s">
        <v>238</v>
      </c>
      <c r="DT1924" s="5" t="s">
        <v>275</v>
      </c>
      <c r="DU1924" s="5" t="s">
        <v>1372</v>
      </c>
      <c r="HM1924" s="5" t="s">
        <v>264</v>
      </c>
    </row>
    <row r="1925" spans="1:221" x14ac:dyDescent="0.4">
      <c r="A1925" s="5">
        <v>3629</v>
      </c>
      <c r="B1925" s="5">
        <v>1</v>
      </c>
      <c r="C1925" s="5">
        <v>1</v>
      </c>
      <c r="D1925" s="5" t="s">
        <v>269</v>
      </c>
      <c r="E1925" s="5" t="s">
        <v>271</v>
      </c>
      <c r="F1925" s="5" t="s">
        <v>248</v>
      </c>
      <c r="G1925" s="5" t="s">
        <v>266</v>
      </c>
      <c r="H1925" s="6" t="s">
        <v>1369</v>
      </c>
      <c r="I1925" s="7">
        <f>1089</f>
        <v>1089</v>
      </c>
      <c r="J1925" s="5" t="s">
        <v>262</v>
      </c>
      <c r="K1925" s="8">
        <f>1</f>
        <v>1</v>
      </c>
      <c r="L1925" s="6" t="s">
        <v>242</v>
      </c>
      <c r="M1925" s="5" t="s">
        <v>267</v>
      </c>
      <c r="N1925" s="5" t="s">
        <v>265</v>
      </c>
      <c r="O1925" s="5" t="s">
        <v>238</v>
      </c>
      <c r="P1925" s="5" t="s">
        <v>238</v>
      </c>
      <c r="Q1925" s="5" t="s">
        <v>268</v>
      </c>
      <c r="R1925" s="5" t="s">
        <v>270</v>
      </c>
      <c r="S1925" s="5" t="s">
        <v>238</v>
      </c>
      <c r="V1925" s="5" t="s">
        <v>238</v>
      </c>
      <c r="X1925" s="6" t="s">
        <v>238</v>
      </c>
      <c r="AA1925" s="6" t="s">
        <v>243</v>
      </c>
      <c r="AB1925" s="5" t="s">
        <v>238</v>
      </c>
      <c r="AC1925" s="5" t="s">
        <v>244</v>
      </c>
      <c r="AD1925" s="5" t="s">
        <v>245</v>
      </c>
      <c r="AT1925" s="5" t="s">
        <v>246</v>
      </c>
      <c r="AU1925" s="5" t="s">
        <v>238</v>
      </c>
      <c r="AV1925" s="5" t="s">
        <v>247</v>
      </c>
      <c r="AW1925" s="5" t="s">
        <v>238</v>
      </c>
      <c r="AX1925" s="5" t="s">
        <v>249</v>
      </c>
      <c r="AY1925" s="5" t="s">
        <v>238</v>
      </c>
      <c r="BA1925" s="5" t="s">
        <v>238</v>
      </c>
      <c r="BC1925" s="5" t="s">
        <v>250</v>
      </c>
      <c r="BD1925" s="6" t="s">
        <v>243</v>
      </c>
      <c r="BE1925" s="5" t="s">
        <v>251</v>
      </c>
      <c r="BF1925" s="5" t="s">
        <v>252</v>
      </c>
      <c r="BG1925" s="5" t="s">
        <v>238</v>
      </c>
      <c r="BH1925" s="7">
        <f>0</f>
        <v>0</v>
      </c>
      <c r="BI1925" s="8">
        <f>0</f>
        <v>0</v>
      </c>
      <c r="BJ1925" s="5" t="s">
        <v>253</v>
      </c>
      <c r="BK1925" s="5" t="s">
        <v>254</v>
      </c>
      <c r="BY1925" s="5" t="s">
        <v>238</v>
      </c>
      <c r="BZ1925" s="5" t="s">
        <v>238</v>
      </c>
      <c r="CD1925" s="5" t="s">
        <v>273</v>
      </c>
      <c r="CE1925" s="5" t="s">
        <v>256</v>
      </c>
      <c r="CF1925" s="5" t="s">
        <v>238</v>
      </c>
      <c r="CI1925" s="6" t="s">
        <v>257</v>
      </c>
      <c r="CJ1925" s="5" t="s">
        <v>238</v>
      </c>
      <c r="CK1925" s="5" t="s">
        <v>258</v>
      </c>
      <c r="CL1925" s="5" t="s">
        <v>238</v>
      </c>
      <c r="CM1925" s="5" t="s">
        <v>238</v>
      </c>
      <c r="CN1925" s="5">
        <v>0</v>
      </c>
      <c r="CO1925" s="5" t="s">
        <v>259</v>
      </c>
      <c r="CP1925" s="5" t="s">
        <v>260</v>
      </c>
      <c r="CQ1925" s="5" t="s">
        <v>260</v>
      </c>
      <c r="CR1925" s="5" t="s">
        <v>261</v>
      </c>
      <c r="CU1925" s="8">
        <f>1</f>
        <v>1</v>
      </c>
      <c r="CV1925" s="8">
        <f>0</f>
        <v>0</v>
      </c>
      <c r="CX1925" s="8">
        <f>0</f>
        <v>0</v>
      </c>
      <c r="CY1925" s="8">
        <f>1</f>
        <v>1</v>
      </c>
      <c r="DA1925" s="5" t="s">
        <v>274</v>
      </c>
      <c r="DB1925" s="5" t="s">
        <v>238</v>
      </c>
      <c r="DD1925" s="5" t="s">
        <v>274</v>
      </c>
      <c r="DE1925" s="8">
        <f>1089</f>
        <v>1089</v>
      </c>
      <c r="DG1925" s="5" t="s">
        <v>238</v>
      </c>
      <c r="DH1925" s="5" t="s">
        <v>238</v>
      </c>
      <c r="DI1925" s="5" t="s">
        <v>238</v>
      </c>
      <c r="DJ1925" s="5" t="s">
        <v>238</v>
      </c>
      <c r="DN1925" s="5" t="s">
        <v>238</v>
      </c>
      <c r="DO1925" s="5" t="s">
        <v>238</v>
      </c>
      <c r="DP1925" s="5" t="s">
        <v>238</v>
      </c>
      <c r="DQ1925" s="5" t="s">
        <v>238</v>
      </c>
      <c r="DT1925" s="5" t="s">
        <v>275</v>
      </c>
      <c r="DU1925" s="5" t="s">
        <v>1370</v>
      </c>
      <c r="HM1925" s="5" t="s">
        <v>264</v>
      </c>
    </row>
    <row r="1926" spans="1:221" x14ac:dyDescent="0.4">
      <c r="A1926" s="5">
        <v>3630</v>
      </c>
      <c r="B1926" s="5">
        <v>1</v>
      </c>
      <c r="C1926" s="5">
        <v>1</v>
      </c>
      <c r="D1926" s="5" t="s">
        <v>269</v>
      </c>
      <c r="E1926" s="5" t="s">
        <v>271</v>
      </c>
      <c r="F1926" s="5" t="s">
        <v>248</v>
      </c>
      <c r="G1926" s="5" t="s">
        <v>266</v>
      </c>
      <c r="H1926" s="6" t="s">
        <v>1363</v>
      </c>
      <c r="I1926" s="7">
        <f>1438</f>
        <v>1438</v>
      </c>
      <c r="J1926" s="5" t="s">
        <v>262</v>
      </c>
      <c r="K1926" s="8">
        <f>1</f>
        <v>1</v>
      </c>
      <c r="L1926" s="6" t="s">
        <v>242</v>
      </c>
      <c r="M1926" s="5" t="s">
        <v>267</v>
      </c>
      <c r="N1926" s="5" t="s">
        <v>265</v>
      </c>
      <c r="O1926" s="5" t="s">
        <v>238</v>
      </c>
      <c r="P1926" s="5" t="s">
        <v>238</v>
      </c>
      <c r="Q1926" s="5" t="s">
        <v>268</v>
      </c>
      <c r="R1926" s="5" t="s">
        <v>270</v>
      </c>
      <c r="S1926" s="5" t="s">
        <v>238</v>
      </c>
      <c r="V1926" s="5" t="s">
        <v>238</v>
      </c>
      <c r="X1926" s="6" t="s">
        <v>238</v>
      </c>
      <c r="AA1926" s="6" t="s">
        <v>243</v>
      </c>
      <c r="AB1926" s="5" t="s">
        <v>238</v>
      </c>
      <c r="AC1926" s="5" t="s">
        <v>244</v>
      </c>
      <c r="AD1926" s="5" t="s">
        <v>245</v>
      </c>
      <c r="AT1926" s="5" t="s">
        <v>246</v>
      </c>
      <c r="AU1926" s="5" t="s">
        <v>238</v>
      </c>
      <c r="AV1926" s="5" t="s">
        <v>247</v>
      </c>
      <c r="AW1926" s="5" t="s">
        <v>238</v>
      </c>
      <c r="AX1926" s="5" t="s">
        <v>249</v>
      </c>
      <c r="AY1926" s="5" t="s">
        <v>238</v>
      </c>
      <c r="BA1926" s="5" t="s">
        <v>238</v>
      </c>
      <c r="BC1926" s="5" t="s">
        <v>250</v>
      </c>
      <c r="BD1926" s="6" t="s">
        <v>243</v>
      </c>
      <c r="BE1926" s="5" t="s">
        <v>251</v>
      </c>
      <c r="BF1926" s="5" t="s">
        <v>252</v>
      </c>
      <c r="BG1926" s="5" t="s">
        <v>238</v>
      </c>
      <c r="BH1926" s="7">
        <f>0</f>
        <v>0</v>
      </c>
      <c r="BI1926" s="8">
        <f>0</f>
        <v>0</v>
      </c>
      <c r="BJ1926" s="5" t="s">
        <v>253</v>
      </c>
      <c r="BK1926" s="5" t="s">
        <v>254</v>
      </c>
      <c r="BY1926" s="5" t="s">
        <v>238</v>
      </c>
      <c r="BZ1926" s="5" t="s">
        <v>238</v>
      </c>
      <c r="CD1926" s="5" t="s">
        <v>273</v>
      </c>
      <c r="CE1926" s="5" t="s">
        <v>256</v>
      </c>
      <c r="CF1926" s="5" t="s">
        <v>238</v>
      </c>
      <c r="CI1926" s="6" t="s">
        <v>257</v>
      </c>
      <c r="CJ1926" s="5" t="s">
        <v>238</v>
      </c>
      <c r="CK1926" s="5" t="s">
        <v>258</v>
      </c>
      <c r="CL1926" s="5" t="s">
        <v>238</v>
      </c>
      <c r="CM1926" s="5" t="s">
        <v>238</v>
      </c>
      <c r="CN1926" s="5">
        <v>0</v>
      </c>
      <c r="CO1926" s="5" t="s">
        <v>259</v>
      </c>
      <c r="CP1926" s="5" t="s">
        <v>260</v>
      </c>
      <c r="CQ1926" s="5" t="s">
        <v>260</v>
      </c>
      <c r="CR1926" s="5" t="s">
        <v>261</v>
      </c>
      <c r="CU1926" s="8">
        <f>1</f>
        <v>1</v>
      </c>
      <c r="CV1926" s="8">
        <f>0</f>
        <v>0</v>
      </c>
      <c r="CX1926" s="8">
        <f>0</f>
        <v>0</v>
      </c>
      <c r="CY1926" s="8">
        <f>1</f>
        <v>1</v>
      </c>
      <c r="DA1926" s="5" t="s">
        <v>274</v>
      </c>
      <c r="DB1926" s="5" t="s">
        <v>238</v>
      </c>
      <c r="DD1926" s="5" t="s">
        <v>274</v>
      </c>
      <c r="DE1926" s="8">
        <f>1438</f>
        <v>1438</v>
      </c>
      <c r="DG1926" s="5" t="s">
        <v>238</v>
      </c>
      <c r="DH1926" s="5" t="s">
        <v>238</v>
      </c>
      <c r="DI1926" s="5" t="s">
        <v>238</v>
      </c>
      <c r="DJ1926" s="5" t="s">
        <v>238</v>
      </c>
      <c r="DN1926" s="5" t="s">
        <v>238</v>
      </c>
      <c r="DO1926" s="5" t="s">
        <v>238</v>
      </c>
      <c r="DP1926" s="5" t="s">
        <v>238</v>
      </c>
      <c r="DQ1926" s="5" t="s">
        <v>238</v>
      </c>
      <c r="DT1926" s="5" t="s">
        <v>275</v>
      </c>
      <c r="DU1926" s="5" t="s">
        <v>1364</v>
      </c>
      <c r="HM1926" s="5" t="s">
        <v>264</v>
      </c>
    </row>
    <row r="1927" spans="1:221" x14ac:dyDescent="0.4">
      <c r="A1927" s="5">
        <v>3631</v>
      </c>
      <c r="B1927" s="5">
        <v>1</v>
      </c>
      <c r="C1927" s="5">
        <v>1</v>
      </c>
      <c r="D1927" s="5" t="s">
        <v>269</v>
      </c>
      <c r="E1927" s="5" t="s">
        <v>271</v>
      </c>
      <c r="F1927" s="5" t="s">
        <v>248</v>
      </c>
      <c r="G1927" s="5" t="s">
        <v>266</v>
      </c>
      <c r="H1927" s="6" t="s">
        <v>1359</v>
      </c>
      <c r="I1927" s="7">
        <f>499</f>
        <v>499</v>
      </c>
      <c r="J1927" s="5" t="s">
        <v>262</v>
      </c>
      <c r="K1927" s="8">
        <f>1</f>
        <v>1</v>
      </c>
      <c r="L1927" s="6" t="s">
        <v>242</v>
      </c>
      <c r="M1927" s="5" t="s">
        <v>267</v>
      </c>
      <c r="N1927" s="5" t="s">
        <v>265</v>
      </c>
      <c r="O1927" s="5" t="s">
        <v>238</v>
      </c>
      <c r="P1927" s="5" t="s">
        <v>238</v>
      </c>
      <c r="Q1927" s="5" t="s">
        <v>268</v>
      </c>
      <c r="R1927" s="5" t="s">
        <v>270</v>
      </c>
      <c r="S1927" s="5" t="s">
        <v>238</v>
      </c>
      <c r="V1927" s="5" t="s">
        <v>238</v>
      </c>
      <c r="X1927" s="6" t="s">
        <v>238</v>
      </c>
      <c r="AA1927" s="6" t="s">
        <v>243</v>
      </c>
      <c r="AB1927" s="5" t="s">
        <v>238</v>
      </c>
      <c r="AC1927" s="5" t="s">
        <v>244</v>
      </c>
      <c r="AD1927" s="5" t="s">
        <v>245</v>
      </c>
      <c r="AT1927" s="5" t="s">
        <v>246</v>
      </c>
      <c r="AU1927" s="5" t="s">
        <v>238</v>
      </c>
      <c r="AV1927" s="5" t="s">
        <v>247</v>
      </c>
      <c r="AW1927" s="5" t="s">
        <v>238</v>
      </c>
      <c r="AX1927" s="5" t="s">
        <v>249</v>
      </c>
      <c r="AY1927" s="5" t="s">
        <v>238</v>
      </c>
      <c r="BA1927" s="5" t="s">
        <v>238</v>
      </c>
      <c r="BC1927" s="5" t="s">
        <v>250</v>
      </c>
      <c r="BD1927" s="6" t="s">
        <v>243</v>
      </c>
      <c r="BE1927" s="5" t="s">
        <v>251</v>
      </c>
      <c r="BF1927" s="5" t="s">
        <v>252</v>
      </c>
      <c r="BG1927" s="5" t="s">
        <v>238</v>
      </c>
      <c r="BH1927" s="7">
        <f>0</f>
        <v>0</v>
      </c>
      <c r="BI1927" s="8">
        <f>0</f>
        <v>0</v>
      </c>
      <c r="BJ1927" s="5" t="s">
        <v>253</v>
      </c>
      <c r="BK1927" s="5" t="s">
        <v>254</v>
      </c>
      <c r="BY1927" s="5" t="s">
        <v>238</v>
      </c>
      <c r="BZ1927" s="5" t="s">
        <v>238</v>
      </c>
      <c r="CD1927" s="5" t="s">
        <v>273</v>
      </c>
      <c r="CE1927" s="5" t="s">
        <v>256</v>
      </c>
      <c r="CF1927" s="5" t="s">
        <v>238</v>
      </c>
      <c r="CI1927" s="6" t="s">
        <v>257</v>
      </c>
      <c r="CJ1927" s="5" t="s">
        <v>238</v>
      </c>
      <c r="CK1927" s="5" t="s">
        <v>258</v>
      </c>
      <c r="CL1927" s="5" t="s">
        <v>238</v>
      </c>
      <c r="CM1927" s="5" t="s">
        <v>238</v>
      </c>
      <c r="CN1927" s="5">
        <v>0</v>
      </c>
      <c r="CO1927" s="5" t="s">
        <v>259</v>
      </c>
      <c r="CP1927" s="5" t="s">
        <v>260</v>
      </c>
      <c r="CQ1927" s="5" t="s">
        <v>260</v>
      </c>
      <c r="CR1927" s="5" t="s">
        <v>261</v>
      </c>
      <c r="CU1927" s="8">
        <f>1</f>
        <v>1</v>
      </c>
      <c r="CV1927" s="8">
        <f>0</f>
        <v>0</v>
      </c>
      <c r="CX1927" s="8">
        <f>0</f>
        <v>0</v>
      </c>
      <c r="CY1927" s="8">
        <f>1</f>
        <v>1</v>
      </c>
      <c r="DA1927" s="5" t="s">
        <v>274</v>
      </c>
      <c r="DB1927" s="5" t="s">
        <v>238</v>
      </c>
      <c r="DD1927" s="5" t="s">
        <v>274</v>
      </c>
      <c r="DE1927" s="8">
        <f>499</f>
        <v>499</v>
      </c>
      <c r="DG1927" s="5" t="s">
        <v>238</v>
      </c>
      <c r="DH1927" s="5" t="s">
        <v>238</v>
      </c>
      <c r="DI1927" s="5" t="s">
        <v>238</v>
      </c>
      <c r="DJ1927" s="5" t="s">
        <v>238</v>
      </c>
      <c r="DN1927" s="5" t="s">
        <v>238</v>
      </c>
      <c r="DO1927" s="5" t="s">
        <v>238</v>
      </c>
      <c r="DP1927" s="5" t="s">
        <v>238</v>
      </c>
      <c r="DQ1927" s="5" t="s">
        <v>238</v>
      </c>
      <c r="DT1927" s="5" t="s">
        <v>275</v>
      </c>
      <c r="DU1927" s="5" t="s">
        <v>1360</v>
      </c>
      <c r="HM1927" s="5" t="s">
        <v>264</v>
      </c>
    </row>
    <row r="1928" spans="1:221" x14ac:dyDescent="0.4">
      <c r="A1928" s="5">
        <v>3632</v>
      </c>
      <c r="B1928" s="5">
        <v>1</v>
      </c>
      <c r="C1928" s="5">
        <v>1</v>
      </c>
      <c r="D1928" s="5" t="s">
        <v>269</v>
      </c>
      <c r="E1928" s="5" t="s">
        <v>271</v>
      </c>
      <c r="F1928" s="5" t="s">
        <v>248</v>
      </c>
      <c r="G1928" s="5" t="s">
        <v>266</v>
      </c>
      <c r="H1928" s="6" t="s">
        <v>1357</v>
      </c>
      <c r="I1928" s="7">
        <f>1201</f>
        <v>1201</v>
      </c>
      <c r="J1928" s="5" t="s">
        <v>262</v>
      </c>
      <c r="K1928" s="8">
        <f>1</f>
        <v>1</v>
      </c>
      <c r="L1928" s="6" t="s">
        <v>242</v>
      </c>
      <c r="M1928" s="5" t="s">
        <v>267</v>
      </c>
      <c r="N1928" s="5" t="s">
        <v>265</v>
      </c>
      <c r="O1928" s="5" t="s">
        <v>238</v>
      </c>
      <c r="P1928" s="5" t="s">
        <v>238</v>
      </c>
      <c r="Q1928" s="5" t="s">
        <v>268</v>
      </c>
      <c r="R1928" s="5" t="s">
        <v>270</v>
      </c>
      <c r="S1928" s="5" t="s">
        <v>238</v>
      </c>
      <c r="V1928" s="5" t="s">
        <v>238</v>
      </c>
      <c r="X1928" s="6" t="s">
        <v>238</v>
      </c>
      <c r="AA1928" s="6" t="s">
        <v>243</v>
      </c>
      <c r="AB1928" s="5" t="s">
        <v>238</v>
      </c>
      <c r="AC1928" s="5" t="s">
        <v>244</v>
      </c>
      <c r="AD1928" s="5" t="s">
        <v>245</v>
      </c>
      <c r="AT1928" s="5" t="s">
        <v>246</v>
      </c>
      <c r="AU1928" s="5" t="s">
        <v>238</v>
      </c>
      <c r="AV1928" s="5" t="s">
        <v>247</v>
      </c>
      <c r="AW1928" s="5" t="s">
        <v>238</v>
      </c>
      <c r="AX1928" s="5" t="s">
        <v>249</v>
      </c>
      <c r="AY1928" s="5" t="s">
        <v>238</v>
      </c>
      <c r="BA1928" s="5" t="s">
        <v>238</v>
      </c>
      <c r="BC1928" s="5" t="s">
        <v>250</v>
      </c>
      <c r="BD1928" s="6" t="s">
        <v>243</v>
      </c>
      <c r="BE1928" s="5" t="s">
        <v>251</v>
      </c>
      <c r="BF1928" s="5" t="s">
        <v>252</v>
      </c>
      <c r="BG1928" s="5" t="s">
        <v>238</v>
      </c>
      <c r="BH1928" s="7">
        <f>0</f>
        <v>0</v>
      </c>
      <c r="BI1928" s="8">
        <f>0</f>
        <v>0</v>
      </c>
      <c r="BJ1928" s="5" t="s">
        <v>253</v>
      </c>
      <c r="BK1928" s="5" t="s">
        <v>254</v>
      </c>
      <c r="BY1928" s="5" t="s">
        <v>238</v>
      </c>
      <c r="BZ1928" s="5" t="s">
        <v>238</v>
      </c>
      <c r="CD1928" s="5" t="s">
        <v>273</v>
      </c>
      <c r="CE1928" s="5" t="s">
        <v>256</v>
      </c>
      <c r="CF1928" s="5" t="s">
        <v>238</v>
      </c>
      <c r="CI1928" s="6" t="s">
        <v>257</v>
      </c>
      <c r="CJ1928" s="5" t="s">
        <v>238</v>
      </c>
      <c r="CK1928" s="5" t="s">
        <v>258</v>
      </c>
      <c r="CL1928" s="5" t="s">
        <v>238</v>
      </c>
      <c r="CM1928" s="5" t="s">
        <v>238</v>
      </c>
      <c r="CN1928" s="5">
        <v>0</v>
      </c>
      <c r="CO1928" s="5" t="s">
        <v>259</v>
      </c>
      <c r="CP1928" s="5" t="s">
        <v>260</v>
      </c>
      <c r="CQ1928" s="5" t="s">
        <v>260</v>
      </c>
      <c r="CR1928" s="5" t="s">
        <v>261</v>
      </c>
      <c r="CU1928" s="8">
        <f>1</f>
        <v>1</v>
      </c>
      <c r="CV1928" s="8">
        <f>0</f>
        <v>0</v>
      </c>
      <c r="CX1928" s="8">
        <f>0</f>
        <v>0</v>
      </c>
      <c r="CY1928" s="8">
        <f>1</f>
        <v>1</v>
      </c>
      <c r="DA1928" s="5" t="s">
        <v>274</v>
      </c>
      <c r="DB1928" s="5" t="s">
        <v>238</v>
      </c>
      <c r="DD1928" s="5" t="s">
        <v>274</v>
      </c>
      <c r="DE1928" s="8">
        <f>1201</f>
        <v>1201</v>
      </c>
      <c r="DG1928" s="5" t="s">
        <v>238</v>
      </c>
      <c r="DH1928" s="5" t="s">
        <v>238</v>
      </c>
      <c r="DI1928" s="5" t="s">
        <v>238</v>
      </c>
      <c r="DJ1928" s="5" t="s">
        <v>238</v>
      </c>
      <c r="DN1928" s="5" t="s">
        <v>238</v>
      </c>
      <c r="DO1928" s="5" t="s">
        <v>238</v>
      </c>
      <c r="DP1928" s="5" t="s">
        <v>238</v>
      </c>
      <c r="DQ1928" s="5" t="s">
        <v>238</v>
      </c>
      <c r="DT1928" s="5" t="s">
        <v>275</v>
      </c>
      <c r="DU1928" s="5" t="s">
        <v>1358</v>
      </c>
      <c r="HM1928" s="5" t="s">
        <v>264</v>
      </c>
    </row>
    <row r="1929" spans="1:221" x14ac:dyDescent="0.4">
      <c r="A1929" s="5">
        <v>3633</v>
      </c>
      <c r="B1929" s="5">
        <v>1</v>
      </c>
      <c r="C1929" s="5">
        <v>1</v>
      </c>
      <c r="D1929" s="5" t="s">
        <v>269</v>
      </c>
      <c r="E1929" s="5" t="s">
        <v>271</v>
      </c>
      <c r="F1929" s="5" t="s">
        <v>248</v>
      </c>
      <c r="G1929" s="5" t="s">
        <v>266</v>
      </c>
      <c r="H1929" s="6" t="s">
        <v>1558</v>
      </c>
      <c r="I1929" s="7">
        <f>1096</f>
        <v>1096</v>
      </c>
      <c r="J1929" s="5" t="s">
        <v>262</v>
      </c>
      <c r="K1929" s="8">
        <f>1</f>
        <v>1</v>
      </c>
      <c r="L1929" s="6" t="s">
        <v>242</v>
      </c>
      <c r="M1929" s="5" t="s">
        <v>267</v>
      </c>
      <c r="N1929" s="5" t="s">
        <v>265</v>
      </c>
      <c r="O1929" s="5" t="s">
        <v>238</v>
      </c>
      <c r="P1929" s="5" t="s">
        <v>238</v>
      </c>
      <c r="Q1929" s="5" t="s">
        <v>268</v>
      </c>
      <c r="R1929" s="5" t="s">
        <v>270</v>
      </c>
      <c r="S1929" s="5" t="s">
        <v>238</v>
      </c>
      <c r="V1929" s="5" t="s">
        <v>238</v>
      </c>
      <c r="X1929" s="6" t="s">
        <v>238</v>
      </c>
      <c r="AA1929" s="6" t="s">
        <v>243</v>
      </c>
      <c r="AB1929" s="5" t="s">
        <v>238</v>
      </c>
      <c r="AC1929" s="5" t="s">
        <v>244</v>
      </c>
      <c r="AD1929" s="5" t="s">
        <v>245</v>
      </c>
      <c r="AT1929" s="5" t="s">
        <v>246</v>
      </c>
      <c r="AU1929" s="5" t="s">
        <v>238</v>
      </c>
      <c r="AV1929" s="5" t="s">
        <v>247</v>
      </c>
      <c r="AW1929" s="5" t="s">
        <v>238</v>
      </c>
      <c r="AX1929" s="5" t="s">
        <v>249</v>
      </c>
      <c r="AY1929" s="5" t="s">
        <v>238</v>
      </c>
      <c r="BA1929" s="5" t="s">
        <v>238</v>
      </c>
      <c r="BC1929" s="5" t="s">
        <v>250</v>
      </c>
      <c r="BD1929" s="6" t="s">
        <v>243</v>
      </c>
      <c r="BE1929" s="5" t="s">
        <v>251</v>
      </c>
      <c r="BF1929" s="5" t="s">
        <v>252</v>
      </c>
      <c r="BG1929" s="5" t="s">
        <v>238</v>
      </c>
      <c r="BH1929" s="7">
        <f>0</f>
        <v>0</v>
      </c>
      <c r="BI1929" s="8">
        <f>0</f>
        <v>0</v>
      </c>
      <c r="BJ1929" s="5" t="s">
        <v>253</v>
      </c>
      <c r="BK1929" s="5" t="s">
        <v>254</v>
      </c>
      <c r="BY1929" s="5" t="s">
        <v>238</v>
      </c>
      <c r="BZ1929" s="5" t="s">
        <v>238</v>
      </c>
      <c r="CD1929" s="5" t="s">
        <v>273</v>
      </c>
      <c r="CE1929" s="5" t="s">
        <v>256</v>
      </c>
      <c r="CF1929" s="5" t="s">
        <v>238</v>
      </c>
      <c r="CI1929" s="6" t="s">
        <v>257</v>
      </c>
      <c r="CJ1929" s="5" t="s">
        <v>238</v>
      </c>
      <c r="CK1929" s="5" t="s">
        <v>258</v>
      </c>
      <c r="CL1929" s="5" t="s">
        <v>238</v>
      </c>
      <c r="CM1929" s="5" t="s">
        <v>238</v>
      </c>
      <c r="CN1929" s="5">
        <v>0</v>
      </c>
      <c r="CO1929" s="5" t="s">
        <v>259</v>
      </c>
      <c r="CP1929" s="5" t="s">
        <v>260</v>
      </c>
      <c r="CQ1929" s="5" t="s">
        <v>260</v>
      </c>
      <c r="CR1929" s="5" t="s">
        <v>261</v>
      </c>
      <c r="CU1929" s="8">
        <f>1</f>
        <v>1</v>
      </c>
      <c r="CV1929" s="8">
        <f>0</f>
        <v>0</v>
      </c>
      <c r="CX1929" s="8">
        <f>0</f>
        <v>0</v>
      </c>
      <c r="CY1929" s="8">
        <f>1</f>
        <v>1</v>
      </c>
      <c r="DA1929" s="5" t="s">
        <v>274</v>
      </c>
      <c r="DB1929" s="5" t="s">
        <v>238</v>
      </c>
      <c r="DD1929" s="5" t="s">
        <v>274</v>
      </c>
      <c r="DE1929" s="8">
        <f>1096</f>
        <v>1096</v>
      </c>
      <c r="DG1929" s="5" t="s">
        <v>238</v>
      </c>
      <c r="DH1929" s="5" t="s">
        <v>238</v>
      </c>
      <c r="DI1929" s="5" t="s">
        <v>238</v>
      </c>
      <c r="DJ1929" s="5" t="s">
        <v>238</v>
      </c>
      <c r="DN1929" s="5" t="s">
        <v>238</v>
      </c>
      <c r="DO1929" s="5" t="s">
        <v>238</v>
      </c>
      <c r="DP1929" s="5" t="s">
        <v>238</v>
      </c>
      <c r="DQ1929" s="5" t="s">
        <v>238</v>
      </c>
      <c r="DT1929" s="5" t="s">
        <v>275</v>
      </c>
      <c r="DU1929" s="5" t="s">
        <v>976</v>
      </c>
      <c r="HM1929" s="5" t="s">
        <v>264</v>
      </c>
    </row>
    <row r="1930" spans="1:221" x14ac:dyDescent="0.4">
      <c r="A1930" s="5">
        <v>3634</v>
      </c>
      <c r="B1930" s="5">
        <v>1</v>
      </c>
      <c r="C1930" s="5">
        <v>1</v>
      </c>
      <c r="D1930" s="5" t="s">
        <v>269</v>
      </c>
      <c r="E1930" s="5" t="s">
        <v>271</v>
      </c>
      <c r="F1930" s="5" t="s">
        <v>248</v>
      </c>
      <c r="G1930" s="5" t="s">
        <v>266</v>
      </c>
      <c r="H1930" s="6" t="s">
        <v>1353</v>
      </c>
      <c r="I1930" s="7">
        <f>1154</f>
        <v>1154</v>
      </c>
      <c r="J1930" s="5" t="s">
        <v>262</v>
      </c>
      <c r="K1930" s="8">
        <f>1</f>
        <v>1</v>
      </c>
      <c r="L1930" s="6" t="s">
        <v>242</v>
      </c>
      <c r="M1930" s="5" t="s">
        <v>267</v>
      </c>
      <c r="N1930" s="5" t="s">
        <v>265</v>
      </c>
      <c r="O1930" s="5" t="s">
        <v>238</v>
      </c>
      <c r="P1930" s="5" t="s">
        <v>238</v>
      </c>
      <c r="Q1930" s="5" t="s">
        <v>268</v>
      </c>
      <c r="R1930" s="5" t="s">
        <v>270</v>
      </c>
      <c r="S1930" s="5" t="s">
        <v>238</v>
      </c>
      <c r="V1930" s="5" t="s">
        <v>238</v>
      </c>
      <c r="X1930" s="6" t="s">
        <v>238</v>
      </c>
      <c r="AA1930" s="6" t="s">
        <v>243</v>
      </c>
      <c r="AB1930" s="5" t="s">
        <v>238</v>
      </c>
      <c r="AC1930" s="5" t="s">
        <v>244</v>
      </c>
      <c r="AD1930" s="5" t="s">
        <v>245</v>
      </c>
      <c r="AT1930" s="5" t="s">
        <v>246</v>
      </c>
      <c r="AU1930" s="5" t="s">
        <v>238</v>
      </c>
      <c r="AV1930" s="5" t="s">
        <v>247</v>
      </c>
      <c r="AW1930" s="5" t="s">
        <v>238</v>
      </c>
      <c r="AX1930" s="5" t="s">
        <v>249</v>
      </c>
      <c r="AY1930" s="5" t="s">
        <v>238</v>
      </c>
      <c r="BA1930" s="5" t="s">
        <v>238</v>
      </c>
      <c r="BC1930" s="5" t="s">
        <v>250</v>
      </c>
      <c r="BD1930" s="6" t="s">
        <v>243</v>
      </c>
      <c r="BE1930" s="5" t="s">
        <v>251</v>
      </c>
      <c r="BF1930" s="5" t="s">
        <v>252</v>
      </c>
      <c r="BG1930" s="5" t="s">
        <v>238</v>
      </c>
      <c r="BH1930" s="7">
        <f>0</f>
        <v>0</v>
      </c>
      <c r="BI1930" s="8">
        <f>0</f>
        <v>0</v>
      </c>
      <c r="BJ1930" s="5" t="s">
        <v>253</v>
      </c>
      <c r="BK1930" s="5" t="s">
        <v>254</v>
      </c>
      <c r="BY1930" s="5" t="s">
        <v>238</v>
      </c>
      <c r="BZ1930" s="5" t="s">
        <v>238</v>
      </c>
      <c r="CD1930" s="5" t="s">
        <v>273</v>
      </c>
      <c r="CE1930" s="5" t="s">
        <v>256</v>
      </c>
      <c r="CF1930" s="5" t="s">
        <v>238</v>
      </c>
      <c r="CI1930" s="6" t="s">
        <v>257</v>
      </c>
      <c r="CJ1930" s="5" t="s">
        <v>238</v>
      </c>
      <c r="CK1930" s="5" t="s">
        <v>258</v>
      </c>
      <c r="CL1930" s="5" t="s">
        <v>238</v>
      </c>
      <c r="CM1930" s="5" t="s">
        <v>238</v>
      </c>
      <c r="CN1930" s="5">
        <v>0</v>
      </c>
      <c r="CO1930" s="5" t="s">
        <v>259</v>
      </c>
      <c r="CP1930" s="5" t="s">
        <v>260</v>
      </c>
      <c r="CQ1930" s="5" t="s">
        <v>260</v>
      </c>
      <c r="CR1930" s="5" t="s">
        <v>261</v>
      </c>
      <c r="CU1930" s="8">
        <f>1</f>
        <v>1</v>
      </c>
      <c r="CV1930" s="8">
        <f>0</f>
        <v>0</v>
      </c>
      <c r="CX1930" s="8">
        <f>0</f>
        <v>0</v>
      </c>
      <c r="CY1930" s="8">
        <f>1</f>
        <v>1</v>
      </c>
      <c r="DA1930" s="5" t="s">
        <v>274</v>
      </c>
      <c r="DB1930" s="5" t="s">
        <v>238</v>
      </c>
      <c r="DD1930" s="5" t="s">
        <v>274</v>
      </c>
      <c r="DE1930" s="8">
        <f>1154</f>
        <v>1154</v>
      </c>
      <c r="DG1930" s="5" t="s">
        <v>238</v>
      </c>
      <c r="DH1930" s="5" t="s">
        <v>238</v>
      </c>
      <c r="DI1930" s="5" t="s">
        <v>238</v>
      </c>
      <c r="DJ1930" s="5" t="s">
        <v>238</v>
      </c>
      <c r="DN1930" s="5" t="s">
        <v>238</v>
      </c>
      <c r="DO1930" s="5" t="s">
        <v>238</v>
      </c>
      <c r="DP1930" s="5" t="s">
        <v>238</v>
      </c>
      <c r="DQ1930" s="5" t="s">
        <v>238</v>
      </c>
      <c r="DT1930" s="5" t="s">
        <v>275</v>
      </c>
      <c r="DU1930" s="5" t="s">
        <v>1354</v>
      </c>
      <c r="HM1930" s="5" t="s">
        <v>264</v>
      </c>
    </row>
    <row r="1931" spans="1:221" x14ac:dyDescent="0.4">
      <c r="A1931" s="5">
        <v>3635</v>
      </c>
      <c r="B1931" s="5">
        <v>1</v>
      </c>
      <c r="C1931" s="5">
        <v>1</v>
      </c>
      <c r="D1931" s="5" t="s">
        <v>269</v>
      </c>
      <c r="E1931" s="5" t="s">
        <v>271</v>
      </c>
      <c r="F1931" s="5" t="s">
        <v>248</v>
      </c>
      <c r="G1931" s="5" t="s">
        <v>266</v>
      </c>
      <c r="H1931" s="6" t="s">
        <v>1349</v>
      </c>
      <c r="I1931" s="7">
        <f>1093</f>
        <v>1093</v>
      </c>
      <c r="J1931" s="5" t="s">
        <v>262</v>
      </c>
      <c r="K1931" s="8">
        <f>1</f>
        <v>1</v>
      </c>
      <c r="L1931" s="6" t="s">
        <v>242</v>
      </c>
      <c r="M1931" s="5" t="s">
        <v>267</v>
      </c>
      <c r="N1931" s="5" t="s">
        <v>265</v>
      </c>
      <c r="O1931" s="5" t="s">
        <v>238</v>
      </c>
      <c r="P1931" s="5" t="s">
        <v>238</v>
      </c>
      <c r="Q1931" s="5" t="s">
        <v>268</v>
      </c>
      <c r="R1931" s="5" t="s">
        <v>270</v>
      </c>
      <c r="S1931" s="5" t="s">
        <v>238</v>
      </c>
      <c r="V1931" s="5" t="s">
        <v>238</v>
      </c>
      <c r="X1931" s="6" t="s">
        <v>238</v>
      </c>
      <c r="AA1931" s="6" t="s">
        <v>243</v>
      </c>
      <c r="AB1931" s="5" t="s">
        <v>238</v>
      </c>
      <c r="AC1931" s="5" t="s">
        <v>244</v>
      </c>
      <c r="AD1931" s="5" t="s">
        <v>245</v>
      </c>
      <c r="AT1931" s="5" t="s">
        <v>246</v>
      </c>
      <c r="AU1931" s="5" t="s">
        <v>238</v>
      </c>
      <c r="AV1931" s="5" t="s">
        <v>247</v>
      </c>
      <c r="AW1931" s="5" t="s">
        <v>238</v>
      </c>
      <c r="AX1931" s="5" t="s">
        <v>249</v>
      </c>
      <c r="AY1931" s="5" t="s">
        <v>238</v>
      </c>
      <c r="BA1931" s="5" t="s">
        <v>238</v>
      </c>
      <c r="BC1931" s="5" t="s">
        <v>250</v>
      </c>
      <c r="BD1931" s="6" t="s">
        <v>243</v>
      </c>
      <c r="BE1931" s="5" t="s">
        <v>251</v>
      </c>
      <c r="BF1931" s="5" t="s">
        <v>252</v>
      </c>
      <c r="BG1931" s="5" t="s">
        <v>238</v>
      </c>
      <c r="BH1931" s="7">
        <f>0</f>
        <v>0</v>
      </c>
      <c r="BI1931" s="8">
        <f>0</f>
        <v>0</v>
      </c>
      <c r="BJ1931" s="5" t="s">
        <v>253</v>
      </c>
      <c r="BK1931" s="5" t="s">
        <v>254</v>
      </c>
      <c r="BY1931" s="5" t="s">
        <v>238</v>
      </c>
      <c r="BZ1931" s="5" t="s">
        <v>238</v>
      </c>
      <c r="CD1931" s="5" t="s">
        <v>273</v>
      </c>
      <c r="CE1931" s="5" t="s">
        <v>256</v>
      </c>
      <c r="CF1931" s="5" t="s">
        <v>238</v>
      </c>
      <c r="CI1931" s="6" t="s">
        <v>257</v>
      </c>
      <c r="CJ1931" s="5" t="s">
        <v>238</v>
      </c>
      <c r="CK1931" s="5" t="s">
        <v>258</v>
      </c>
      <c r="CL1931" s="5" t="s">
        <v>238</v>
      </c>
      <c r="CM1931" s="5" t="s">
        <v>238</v>
      </c>
      <c r="CN1931" s="5">
        <v>0</v>
      </c>
      <c r="CO1931" s="5" t="s">
        <v>259</v>
      </c>
      <c r="CP1931" s="5" t="s">
        <v>260</v>
      </c>
      <c r="CQ1931" s="5" t="s">
        <v>260</v>
      </c>
      <c r="CR1931" s="5" t="s">
        <v>261</v>
      </c>
      <c r="CU1931" s="8">
        <f>1</f>
        <v>1</v>
      </c>
      <c r="CV1931" s="8">
        <f>0</f>
        <v>0</v>
      </c>
      <c r="CX1931" s="8">
        <f>0</f>
        <v>0</v>
      </c>
      <c r="CY1931" s="8">
        <f>1</f>
        <v>1</v>
      </c>
      <c r="DA1931" s="5" t="s">
        <v>274</v>
      </c>
      <c r="DB1931" s="5" t="s">
        <v>238</v>
      </c>
      <c r="DD1931" s="5" t="s">
        <v>274</v>
      </c>
      <c r="DE1931" s="8">
        <f>1093</f>
        <v>1093</v>
      </c>
      <c r="DG1931" s="5" t="s">
        <v>238</v>
      </c>
      <c r="DH1931" s="5" t="s">
        <v>238</v>
      </c>
      <c r="DI1931" s="5" t="s">
        <v>238</v>
      </c>
      <c r="DJ1931" s="5" t="s">
        <v>238</v>
      </c>
      <c r="DN1931" s="5" t="s">
        <v>238</v>
      </c>
      <c r="DO1931" s="5" t="s">
        <v>238</v>
      </c>
      <c r="DP1931" s="5" t="s">
        <v>238</v>
      </c>
      <c r="DQ1931" s="5" t="s">
        <v>238</v>
      </c>
      <c r="DT1931" s="5" t="s">
        <v>275</v>
      </c>
      <c r="DU1931" s="5" t="s">
        <v>1350</v>
      </c>
      <c r="HM1931" s="5" t="s">
        <v>264</v>
      </c>
    </row>
    <row r="1932" spans="1:221" x14ac:dyDescent="0.4">
      <c r="A1932" s="5">
        <v>3636</v>
      </c>
      <c r="B1932" s="5">
        <v>1</v>
      </c>
      <c r="C1932" s="5">
        <v>1</v>
      </c>
      <c r="D1932" s="5" t="s">
        <v>269</v>
      </c>
      <c r="E1932" s="5" t="s">
        <v>271</v>
      </c>
      <c r="F1932" s="5" t="s">
        <v>248</v>
      </c>
      <c r="G1932" s="5" t="s">
        <v>266</v>
      </c>
      <c r="H1932" s="6" t="s">
        <v>1345</v>
      </c>
      <c r="I1932" s="7">
        <f>2184</f>
        <v>2184</v>
      </c>
      <c r="J1932" s="5" t="s">
        <v>262</v>
      </c>
      <c r="K1932" s="8">
        <f>1</f>
        <v>1</v>
      </c>
      <c r="L1932" s="6" t="s">
        <v>242</v>
      </c>
      <c r="M1932" s="5" t="s">
        <v>267</v>
      </c>
      <c r="N1932" s="5" t="s">
        <v>265</v>
      </c>
      <c r="O1932" s="5" t="s">
        <v>238</v>
      </c>
      <c r="P1932" s="5" t="s">
        <v>238</v>
      </c>
      <c r="Q1932" s="5" t="s">
        <v>268</v>
      </c>
      <c r="R1932" s="5" t="s">
        <v>270</v>
      </c>
      <c r="S1932" s="5" t="s">
        <v>238</v>
      </c>
      <c r="V1932" s="5" t="s">
        <v>238</v>
      </c>
      <c r="X1932" s="6" t="s">
        <v>238</v>
      </c>
      <c r="AA1932" s="6" t="s">
        <v>243</v>
      </c>
      <c r="AB1932" s="5" t="s">
        <v>238</v>
      </c>
      <c r="AC1932" s="5" t="s">
        <v>244</v>
      </c>
      <c r="AD1932" s="5" t="s">
        <v>245</v>
      </c>
      <c r="AT1932" s="5" t="s">
        <v>246</v>
      </c>
      <c r="AU1932" s="5" t="s">
        <v>238</v>
      </c>
      <c r="AV1932" s="5" t="s">
        <v>247</v>
      </c>
      <c r="AW1932" s="5" t="s">
        <v>238</v>
      </c>
      <c r="AX1932" s="5" t="s">
        <v>249</v>
      </c>
      <c r="AY1932" s="5" t="s">
        <v>238</v>
      </c>
      <c r="BA1932" s="5" t="s">
        <v>238</v>
      </c>
      <c r="BC1932" s="5" t="s">
        <v>250</v>
      </c>
      <c r="BD1932" s="6" t="s">
        <v>243</v>
      </c>
      <c r="BE1932" s="5" t="s">
        <v>251</v>
      </c>
      <c r="BF1932" s="5" t="s">
        <v>252</v>
      </c>
      <c r="BG1932" s="5" t="s">
        <v>238</v>
      </c>
      <c r="BH1932" s="7">
        <f>0</f>
        <v>0</v>
      </c>
      <c r="BI1932" s="8">
        <f>0</f>
        <v>0</v>
      </c>
      <c r="BJ1932" s="5" t="s">
        <v>253</v>
      </c>
      <c r="BK1932" s="5" t="s">
        <v>254</v>
      </c>
      <c r="BY1932" s="5" t="s">
        <v>238</v>
      </c>
      <c r="BZ1932" s="5" t="s">
        <v>238</v>
      </c>
      <c r="CD1932" s="5" t="s">
        <v>273</v>
      </c>
      <c r="CE1932" s="5" t="s">
        <v>256</v>
      </c>
      <c r="CF1932" s="5" t="s">
        <v>238</v>
      </c>
      <c r="CI1932" s="6" t="s">
        <v>257</v>
      </c>
      <c r="CJ1932" s="5" t="s">
        <v>238</v>
      </c>
      <c r="CK1932" s="5" t="s">
        <v>258</v>
      </c>
      <c r="CL1932" s="5" t="s">
        <v>238</v>
      </c>
      <c r="CM1932" s="5" t="s">
        <v>238</v>
      </c>
      <c r="CN1932" s="5">
        <v>0</v>
      </c>
      <c r="CO1932" s="5" t="s">
        <v>259</v>
      </c>
      <c r="CP1932" s="5" t="s">
        <v>260</v>
      </c>
      <c r="CQ1932" s="5" t="s">
        <v>260</v>
      </c>
      <c r="CR1932" s="5" t="s">
        <v>261</v>
      </c>
      <c r="CU1932" s="8">
        <f>1</f>
        <v>1</v>
      </c>
      <c r="CV1932" s="8">
        <f>0</f>
        <v>0</v>
      </c>
      <c r="CX1932" s="8">
        <f>0</f>
        <v>0</v>
      </c>
      <c r="CY1932" s="8">
        <f>1</f>
        <v>1</v>
      </c>
      <c r="DA1932" s="5" t="s">
        <v>274</v>
      </c>
      <c r="DB1932" s="5" t="s">
        <v>238</v>
      </c>
      <c r="DD1932" s="5" t="s">
        <v>274</v>
      </c>
      <c r="DE1932" s="8">
        <f>2184</f>
        <v>2184</v>
      </c>
      <c r="DG1932" s="5" t="s">
        <v>238</v>
      </c>
      <c r="DH1932" s="5" t="s">
        <v>238</v>
      </c>
      <c r="DI1932" s="5" t="s">
        <v>238</v>
      </c>
      <c r="DJ1932" s="5" t="s">
        <v>238</v>
      </c>
      <c r="DN1932" s="5" t="s">
        <v>238</v>
      </c>
      <c r="DO1932" s="5" t="s">
        <v>238</v>
      </c>
      <c r="DP1932" s="5" t="s">
        <v>238</v>
      </c>
      <c r="DQ1932" s="5" t="s">
        <v>238</v>
      </c>
      <c r="DT1932" s="5" t="s">
        <v>275</v>
      </c>
      <c r="DU1932" s="5" t="s">
        <v>1346</v>
      </c>
      <c r="HM1932" s="5" t="s">
        <v>264</v>
      </c>
    </row>
    <row r="1933" spans="1:221" x14ac:dyDescent="0.4">
      <c r="A1933" s="5">
        <v>3637</v>
      </c>
      <c r="B1933" s="5">
        <v>1</v>
      </c>
      <c r="C1933" s="5">
        <v>1</v>
      </c>
      <c r="D1933" s="5" t="s">
        <v>269</v>
      </c>
      <c r="E1933" s="5" t="s">
        <v>271</v>
      </c>
      <c r="F1933" s="5" t="s">
        <v>248</v>
      </c>
      <c r="G1933" s="5" t="s">
        <v>266</v>
      </c>
      <c r="H1933" s="6" t="s">
        <v>1341</v>
      </c>
      <c r="I1933" s="7">
        <f>1398</f>
        <v>1398</v>
      </c>
      <c r="J1933" s="5" t="s">
        <v>262</v>
      </c>
      <c r="K1933" s="8">
        <f>1</f>
        <v>1</v>
      </c>
      <c r="L1933" s="6" t="s">
        <v>242</v>
      </c>
      <c r="M1933" s="5" t="s">
        <v>267</v>
      </c>
      <c r="N1933" s="5" t="s">
        <v>265</v>
      </c>
      <c r="O1933" s="5" t="s">
        <v>238</v>
      </c>
      <c r="P1933" s="5" t="s">
        <v>238</v>
      </c>
      <c r="Q1933" s="5" t="s">
        <v>268</v>
      </c>
      <c r="R1933" s="5" t="s">
        <v>270</v>
      </c>
      <c r="S1933" s="5" t="s">
        <v>238</v>
      </c>
      <c r="V1933" s="5" t="s">
        <v>238</v>
      </c>
      <c r="X1933" s="6" t="s">
        <v>238</v>
      </c>
      <c r="AA1933" s="6" t="s">
        <v>243</v>
      </c>
      <c r="AB1933" s="5" t="s">
        <v>238</v>
      </c>
      <c r="AC1933" s="5" t="s">
        <v>244</v>
      </c>
      <c r="AD1933" s="5" t="s">
        <v>245</v>
      </c>
      <c r="AT1933" s="5" t="s">
        <v>246</v>
      </c>
      <c r="AU1933" s="5" t="s">
        <v>238</v>
      </c>
      <c r="AV1933" s="5" t="s">
        <v>247</v>
      </c>
      <c r="AW1933" s="5" t="s">
        <v>238</v>
      </c>
      <c r="AX1933" s="5" t="s">
        <v>249</v>
      </c>
      <c r="AY1933" s="5" t="s">
        <v>238</v>
      </c>
      <c r="BA1933" s="5" t="s">
        <v>238</v>
      </c>
      <c r="BC1933" s="5" t="s">
        <v>250</v>
      </c>
      <c r="BD1933" s="6" t="s">
        <v>243</v>
      </c>
      <c r="BE1933" s="5" t="s">
        <v>251</v>
      </c>
      <c r="BF1933" s="5" t="s">
        <v>252</v>
      </c>
      <c r="BG1933" s="5" t="s">
        <v>238</v>
      </c>
      <c r="BH1933" s="7">
        <f>0</f>
        <v>0</v>
      </c>
      <c r="BI1933" s="8">
        <f>0</f>
        <v>0</v>
      </c>
      <c r="BJ1933" s="5" t="s">
        <v>253</v>
      </c>
      <c r="BK1933" s="5" t="s">
        <v>254</v>
      </c>
      <c r="BY1933" s="5" t="s">
        <v>238</v>
      </c>
      <c r="BZ1933" s="5" t="s">
        <v>238</v>
      </c>
      <c r="CD1933" s="5" t="s">
        <v>273</v>
      </c>
      <c r="CE1933" s="5" t="s">
        <v>256</v>
      </c>
      <c r="CF1933" s="5" t="s">
        <v>238</v>
      </c>
      <c r="CI1933" s="6" t="s">
        <v>257</v>
      </c>
      <c r="CJ1933" s="5" t="s">
        <v>238</v>
      </c>
      <c r="CK1933" s="5" t="s">
        <v>258</v>
      </c>
      <c r="CL1933" s="5" t="s">
        <v>238</v>
      </c>
      <c r="CM1933" s="5" t="s">
        <v>238</v>
      </c>
      <c r="CN1933" s="5">
        <v>0</v>
      </c>
      <c r="CO1933" s="5" t="s">
        <v>259</v>
      </c>
      <c r="CP1933" s="5" t="s">
        <v>260</v>
      </c>
      <c r="CQ1933" s="5" t="s">
        <v>260</v>
      </c>
      <c r="CR1933" s="5" t="s">
        <v>261</v>
      </c>
      <c r="CU1933" s="8">
        <f>1</f>
        <v>1</v>
      </c>
      <c r="CV1933" s="8">
        <f>0</f>
        <v>0</v>
      </c>
      <c r="CX1933" s="8">
        <f>0</f>
        <v>0</v>
      </c>
      <c r="CY1933" s="8">
        <f>1</f>
        <v>1</v>
      </c>
      <c r="DA1933" s="5" t="s">
        <v>274</v>
      </c>
      <c r="DB1933" s="5" t="s">
        <v>238</v>
      </c>
      <c r="DD1933" s="5" t="s">
        <v>274</v>
      </c>
      <c r="DE1933" s="8">
        <f>1398</f>
        <v>1398</v>
      </c>
      <c r="DG1933" s="5" t="s">
        <v>238</v>
      </c>
      <c r="DH1933" s="5" t="s">
        <v>238</v>
      </c>
      <c r="DI1933" s="5" t="s">
        <v>238</v>
      </c>
      <c r="DJ1933" s="5" t="s">
        <v>238</v>
      </c>
      <c r="DN1933" s="5" t="s">
        <v>238</v>
      </c>
      <c r="DO1933" s="5" t="s">
        <v>238</v>
      </c>
      <c r="DP1933" s="5" t="s">
        <v>238</v>
      </c>
      <c r="DQ1933" s="5" t="s">
        <v>238</v>
      </c>
      <c r="DT1933" s="5" t="s">
        <v>275</v>
      </c>
      <c r="DU1933" s="5" t="s">
        <v>1342</v>
      </c>
      <c r="HM1933" s="5" t="s">
        <v>264</v>
      </c>
    </row>
    <row r="1934" spans="1:221" x14ac:dyDescent="0.4">
      <c r="A1934" s="5">
        <v>3638</v>
      </c>
      <c r="B1934" s="5">
        <v>1</v>
      </c>
      <c r="C1934" s="5">
        <v>1</v>
      </c>
      <c r="D1934" s="5" t="s">
        <v>269</v>
      </c>
      <c r="E1934" s="5" t="s">
        <v>271</v>
      </c>
      <c r="F1934" s="5" t="s">
        <v>248</v>
      </c>
      <c r="G1934" s="5" t="s">
        <v>266</v>
      </c>
      <c r="H1934" s="6" t="s">
        <v>1337</v>
      </c>
      <c r="I1934" s="7">
        <f>4614</f>
        <v>4614</v>
      </c>
      <c r="J1934" s="5" t="s">
        <v>262</v>
      </c>
      <c r="K1934" s="8">
        <f>1</f>
        <v>1</v>
      </c>
      <c r="L1934" s="6" t="s">
        <v>242</v>
      </c>
      <c r="M1934" s="5" t="s">
        <v>267</v>
      </c>
      <c r="N1934" s="5" t="s">
        <v>265</v>
      </c>
      <c r="O1934" s="5" t="s">
        <v>238</v>
      </c>
      <c r="P1934" s="5" t="s">
        <v>238</v>
      </c>
      <c r="Q1934" s="5" t="s">
        <v>268</v>
      </c>
      <c r="R1934" s="5" t="s">
        <v>270</v>
      </c>
      <c r="S1934" s="5" t="s">
        <v>238</v>
      </c>
      <c r="V1934" s="5" t="s">
        <v>238</v>
      </c>
      <c r="X1934" s="6" t="s">
        <v>238</v>
      </c>
      <c r="AA1934" s="6" t="s">
        <v>243</v>
      </c>
      <c r="AB1934" s="5" t="s">
        <v>238</v>
      </c>
      <c r="AC1934" s="5" t="s">
        <v>244</v>
      </c>
      <c r="AD1934" s="5" t="s">
        <v>245</v>
      </c>
      <c r="AT1934" s="5" t="s">
        <v>246</v>
      </c>
      <c r="AU1934" s="5" t="s">
        <v>238</v>
      </c>
      <c r="AV1934" s="5" t="s">
        <v>247</v>
      </c>
      <c r="AW1934" s="5" t="s">
        <v>238</v>
      </c>
      <c r="AX1934" s="5" t="s">
        <v>249</v>
      </c>
      <c r="AY1934" s="5" t="s">
        <v>238</v>
      </c>
      <c r="BA1934" s="5" t="s">
        <v>238</v>
      </c>
      <c r="BC1934" s="5" t="s">
        <v>250</v>
      </c>
      <c r="BD1934" s="6" t="s">
        <v>243</v>
      </c>
      <c r="BE1934" s="5" t="s">
        <v>251</v>
      </c>
      <c r="BF1934" s="5" t="s">
        <v>252</v>
      </c>
      <c r="BG1934" s="5" t="s">
        <v>238</v>
      </c>
      <c r="BH1934" s="7">
        <f>0</f>
        <v>0</v>
      </c>
      <c r="BI1934" s="8">
        <f>0</f>
        <v>0</v>
      </c>
      <c r="BJ1934" s="5" t="s">
        <v>253</v>
      </c>
      <c r="BK1934" s="5" t="s">
        <v>254</v>
      </c>
      <c r="BY1934" s="5" t="s">
        <v>238</v>
      </c>
      <c r="BZ1934" s="5" t="s">
        <v>238</v>
      </c>
      <c r="CD1934" s="5" t="s">
        <v>273</v>
      </c>
      <c r="CE1934" s="5" t="s">
        <v>256</v>
      </c>
      <c r="CF1934" s="5" t="s">
        <v>238</v>
      </c>
      <c r="CI1934" s="6" t="s">
        <v>257</v>
      </c>
      <c r="CJ1934" s="5" t="s">
        <v>238</v>
      </c>
      <c r="CK1934" s="5" t="s">
        <v>258</v>
      </c>
      <c r="CL1934" s="5" t="s">
        <v>238</v>
      </c>
      <c r="CM1934" s="5" t="s">
        <v>238</v>
      </c>
      <c r="CN1934" s="5">
        <v>0</v>
      </c>
      <c r="CO1934" s="5" t="s">
        <v>259</v>
      </c>
      <c r="CP1934" s="5" t="s">
        <v>260</v>
      </c>
      <c r="CQ1934" s="5" t="s">
        <v>260</v>
      </c>
      <c r="CR1934" s="5" t="s">
        <v>261</v>
      </c>
      <c r="CU1934" s="8">
        <f>1</f>
        <v>1</v>
      </c>
      <c r="CV1934" s="8">
        <f>0</f>
        <v>0</v>
      </c>
      <c r="CX1934" s="8">
        <f>0</f>
        <v>0</v>
      </c>
      <c r="CY1934" s="8">
        <f>1</f>
        <v>1</v>
      </c>
      <c r="DA1934" s="5" t="s">
        <v>274</v>
      </c>
      <c r="DB1934" s="5" t="s">
        <v>238</v>
      </c>
      <c r="DD1934" s="5" t="s">
        <v>274</v>
      </c>
      <c r="DE1934" s="8">
        <f>4614</f>
        <v>4614</v>
      </c>
      <c r="DG1934" s="5" t="s">
        <v>238</v>
      </c>
      <c r="DH1934" s="5" t="s">
        <v>238</v>
      </c>
      <c r="DI1934" s="5" t="s">
        <v>238</v>
      </c>
      <c r="DJ1934" s="5" t="s">
        <v>238</v>
      </c>
      <c r="DN1934" s="5" t="s">
        <v>238</v>
      </c>
      <c r="DO1934" s="5" t="s">
        <v>238</v>
      </c>
      <c r="DP1934" s="5" t="s">
        <v>238</v>
      </c>
      <c r="DQ1934" s="5" t="s">
        <v>238</v>
      </c>
      <c r="DT1934" s="5" t="s">
        <v>275</v>
      </c>
      <c r="DU1934" s="5" t="s">
        <v>1338</v>
      </c>
      <c r="HM1934" s="5" t="s">
        <v>264</v>
      </c>
    </row>
    <row r="1935" spans="1:221" x14ac:dyDescent="0.4">
      <c r="A1935" s="5">
        <v>3639</v>
      </c>
      <c r="B1935" s="5">
        <v>1</v>
      </c>
      <c r="C1935" s="5">
        <v>1</v>
      </c>
      <c r="D1935" s="5" t="s">
        <v>269</v>
      </c>
      <c r="E1935" s="5" t="s">
        <v>271</v>
      </c>
      <c r="F1935" s="5" t="s">
        <v>248</v>
      </c>
      <c r="G1935" s="5" t="s">
        <v>266</v>
      </c>
      <c r="H1935" s="6" t="s">
        <v>1333</v>
      </c>
      <c r="I1935" s="7">
        <f>1267</f>
        <v>1267</v>
      </c>
      <c r="J1935" s="5" t="s">
        <v>262</v>
      </c>
      <c r="K1935" s="8">
        <f>1</f>
        <v>1</v>
      </c>
      <c r="L1935" s="6" t="s">
        <v>242</v>
      </c>
      <c r="M1935" s="5" t="s">
        <v>267</v>
      </c>
      <c r="N1935" s="5" t="s">
        <v>265</v>
      </c>
      <c r="O1935" s="5" t="s">
        <v>238</v>
      </c>
      <c r="P1935" s="5" t="s">
        <v>238</v>
      </c>
      <c r="Q1935" s="5" t="s">
        <v>268</v>
      </c>
      <c r="R1935" s="5" t="s">
        <v>270</v>
      </c>
      <c r="S1935" s="5" t="s">
        <v>238</v>
      </c>
      <c r="V1935" s="5" t="s">
        <v>238</v>
      </c>
      <c r="X1935" s="6" t="s">
        <v>238</v>
      </c>
      <c r="AA1935" s="6" t="s">
        <v>243</v>
      </c>
      <c r="AB1935" s="5" t="s">
        <v>238</v>
      </c>
      <c r="AC1935" s="5" t="s">
        <v>244</v>
      </c>
      <c r="AD1935" s="5" t="s">
        <v>245</v>
      </c>
      <c r="AT1935" s="5" t="s">
        <v>246</v>
      </c>
      <c r="AU1935" s="5" t="s">
        <v>238</v>
      </c>
      <c r="AV1935" s="5" t="s">
        <v>247</v>
      </c>
      <c r="AW1935" s="5" t="s">
        <v>238</v>
      </c>
      <c r="AX1935" s="5" t="s">
        <v>249</v>
      </c>
      <c r="AY1935" s="5" t="s">
        <v>238</v>
      </c>
      <c r="BA1935" s="5" t="s">
        <v>238</v>
      </c>
      <c r="BC1935" s="5" t="s">
        <v>250</v>
      </c>
      <c r="BD1935" s="6" t="s">
        <v>243</v>
      </c>
      <c r="BE1935" s="5" t="s">
        <v>251</v>
      </c>
      <c r="BF1935" s="5" t="s">
        <v>252</v>
      </c>
      <c r="BG1935" s="5" t="s">
        <v>238</v>
      </c>
      <c r="BH1935" s="7">
        <f>0</f>
        <v>0</v>
      </c>
      <c r="BI1935" s="8">
        <f>0</f>
        <v>0</v>
      </c>
      <c r="BJ1935" s="5" t="s">
        <v>253</v>
      </c>
      <c r="BK1935" s="5" t="s">
        <v>254</v>
      </c>
      <c r="BY1935" s="5" t="s">
        <v>238</v>
      </c>
      <c r="BZ1935" s="5" t="s">
        <v>238</v>
      </c>
      <c r="CD1935" s="5" t="s">
        <v>273</v>
      </c>
      <c r="CE1935" s="5" t="s">
        <v>256</v>
      </c>
      <c r="CF1935" s="5" t="s">
        <v>238</v>
      </c>
      <c r="CI1935" s="6" t="s">
        <v>257</v>
      </c>
      <c r="CJ1935" s="5" t="s">
        <v>238</v>
      </c>
      <c r="CK1935" s="5" t="s">
        <v>258</v>
      </c>
      <c r="CL1935" s="5" t="s">
        <v>238</v>
      </c>
      <c r="CM1935" s="5" t="s">
        <v>238</v>
      </c>
      <c r="CN1935" s="5">
        <v>0</v>
      </c>
      <c r="CO1935" s="5" t="s">
        <v>259</v>
      </c>
      <c r="CP1935" s="5" t="s">
        <v>260</v>
      </c>
      <c r="CQ1935" s="5" t="s">
        <v>260</v>
      </c>
      <c r="CR1935" s="5" t="s">
        <v>261</v>
      </c>
      <c r="CU1935" s="8">
        <f>1</f>
        <v>1</v>
      </c>
      <c r="CV1935" s="8">
        <f>0</f>
        <v>0</v>
      </c>
      <c r="CX1935" s="8">
        <f>0</f>
        <v>0</v>
      </c>
      <c r="CY1935" s="8">
        <f>1</f>
        <v>1</v>
      </c>
      <c r="DA1935" s="5" t="s">
        <v>274</v>
      </c>
      <c r="DB1935" s="5" t="s">
        <v>238</v>
      </c>
      <c r="DD1935" s="5" t="s">
        <v>274</v>
      </c>
      <c r="DE1935" s="8">
        <f>1267</f>
        <v>1267</v>
      </c>
      <c r="DG1935" s="5" t="s">
        <v>238</v>
      </c>
      <c r="DH1935" s="5" t="s">
        <v>238</v>
      </c>
      <c r="DI1935" s="5" t="s">
        <v>238</v>
      </c>
      <c r="DJ1935" s="5" t="s">
        <v>238</v>
      </c>
      <c r="DN1935" s="5" t="s">
        <v>238</v>
      </c>
      <c r="DO1935" s="5" t="s">
        <v>238</v>
      </c>
      <c r="DP1935" s="5" t="s">
        <v>238</v>
      </c>
      <c r="DQ1935" s="5" t="s">
        <v>238</v>
      </c>
      <c r="DT1935" s="5" t="s">
        <v>275</v>
      </c>
      <c r="DU1935" s="5" t="s">
        <v>1334</v>
      </c>
      <c r="HM1935" s="5" t="s">
        <v>264</v>
      </c>
    </row>
    <row r="1936" spans="1:221" x14ac:dyDescent="0.4">
      <c r="A1936" s="5">
        <v>3640</v>
      </c>
      <c r="B1936" s="5">
        <v>1</v>
      </c>
      <c r="C1936" s="5">
        <v>1</v>
      </c>
      <c r="D1936" s="5" t="s">
        <v>269</v>
      </c>
      <c r="E1936" s="5" t="s">
        <v>271</v>
      </c>
      <c r="F1936" s="5" t="s">
        <v>248</v>
      </c>
      <c r="G1936" s="5" t="s">
        <v>266</v>
      </c>
      <c r="H1936" s="6" t="s">
        <v>1332</v>
      </c>
      <c r="I1936" s="7">
        <f>2284</f>
        <v>2284</v>
      </c>
      <c r="J1936" s="5" t="s">
        <v>262</v>
      </c>
      <c r="K1936" s="8">
        <f>1</f>
        <v>1</v>
      </c>
      <c r="L1936" s="6" t="s">
        <v>242</v>
      </c>
      <c r="M1936" s="5" t="s">
        <v>267</v>
      </c>
      <c r="N1936" s="5" t="s">
        <v>265</v>
      </c>
      <c r="O1936" s="5" t="s">
        <v>238</v>
      </c>
      <c r="P1936" s="5" t="s">
        <v>238</v>
      </c>
      <c r="Q1936" s="5" t="s">
        <v>268</v>
      </c>
      <c r="R1936" s="5" t="s">
        <v>270</v>
      </c>
      <c r="S1936" s="5" t="s">
        <v>238</v>
      </c>
      <c r="V1936" s="5" t="s">
        <v>238</v>
      </c>
      <c r="X1936" s="6" t="s">
        <v>238</v>
      </c>
      <c r="AA1936" s="6" t="s">
        <v>243</v>
      </c>
      <c r="AB1936" s="5" t="s">
        <v>238</v>
      </c>
      <c r="AC1936" s="5" t="s">
        <v>244</v>
      </c>
      <c r="AD1936" s="5" t="s">
        <v>245</v>
      </c>
      <c r="AT1936" s="5" t="s">
        <v>246</v>
      </c>
      <c r="AU1936" s="5" t="s">
        <v>238</v>
      </c>
      <c r="AV1936" s="5" t="s">
        <v>247</v>
      </c>
      <c r="AW1936" s="5" t="s">
        <v>238</v>
      </c>
      <c r="AX1936" s="5" t="s">
        <v>249</v>
      </c>
      <c r="AY1936" s="5" t="s">
        <v>238</v>
      </c>
      <c r="BA1936" s="5" t="s">
        <v>238</v>
      </c>
      <c r="BC1936" s="5" t="s">
        <v>250</v>
      </c>
      <c r="BD1936" s="6" t="s">
        <v>243</v>
      </c>
      <c r="BE1936" s="5" t="s">
        <v>251</v>
      </c>
      <c r="BF1936" s="5" t="s">
        <v>252</v>
      </c>
      <c r="BG1936" s="5" t="s">
        <v>238</v>
      </c>
      <c r="BH1936" s="7">
        <f>0</f>
        <v>0</v>
      </c>
      <c r="BI1936" s="8">
        <f>0</f>
        <v>0</v>
      </c>
      <c r="BJ1936" s="5" t="s">
        <v>253</v>
      </c>
      <c r="BK1936" s="5" t="s">
        <v>254</v>
      </c>
      <c r="BY1936" s="5" t="s">
        <v>238</v>
      </c>
      <c r="BZ1936" s="5" t="s">
        <v>238</v>
      </c>
      <c r="CD1936" s="5" t="s">
        <v>273</v>
      </c>
      <c r="CE1936" s="5" t="s">
        <v>256</v>
      </c>
      <c r="CF1936" s="5" t="s">
        <v>238</v>
      </c>
      <c r="CI1936" s="6" t="s">
        <v>257</v>
      </c>
      <c r="CJ1936" s="5" t="s">
        <v>238</v>
      </c>
      <c r="CK1936" s="5" t="s">
        <v>258</v>
      </c>
      <c r="CL1936" s="5" t="s">
        <v>238</v>
      </c>
      <c r="CM1936" s="5" t="s">
        <v>238</v>
      </c>
      <c r="CN1936" s="5">
        <v>0</v>
      </c>
      <c r="CO1936" s="5" t="s">
        <v>259</v>
      </c>
      <c r="CP1936" s="5" t="s">
        <v>260</v>
      </c>
      <c r="CQ1936" s="5" t="s">
        <v>260</v>
      </c>
      <c r="CR1936" s="5" t="s">
        <v>261</v>
      </c>
      <c r="CU1936" s="8">
        <f>1</f>
        <v>1</v>
      </c>
      <c r="CV1936" s="8">
        <f>0</f>
        <v>0</v>
      </c>
      <c r="CX1936" s="8">
        <f>0</f>
        <v>0</v>
      </c>
      <c r="CY1936" s="8">
        <f>1</f>
        <v>1</v>
      </c>
      <c r="DA1936" s="5" t="s">
        <v>274</v>
      </c>
      <c r="DB1936" s="5" t="s">
        <v>238</v>
      </c>
      <c r="DD1936" s="5" t="s">
        <v>274</v>
      </c>
      <c r="DE1936" s="8">
        <f>2284</f>
        <v>2284</v>
      </c>
      <c r="DG1936" s="5" t="s">
        <v>238</v>
      </c>
      <c r="DH1936" s="5" t="s">
        <v>238</v>
      </c>
      <c r="DI1936" s="5" t="s">
        <v>238</v>
      </c>
      <c r="DJ1936" s="5" t="s">
        <v>238</v>
      </c>
      <c r="DN1936" s="5" t="s">
        <v>238</v>
      </c>
      <c r="DO1936" s="5" t="s">
        <v>238</v>
      </c>
      <c r="DP1936" s="5" t="s">
        <v>238</v>
      </c>
      <c r="DQ1936" s="5" t="s">
        <v>238</v>
      </c>
      <c r="DT1936" s="5" t="s">
        <v>275</v>
      </c>
      <c r="DU1936" s="5" t="s">
        <v>882</v>
      </c>
      <c r="HM1936" s="5" t="s">
        <v>264</v>
      </c>
    </row>
    <row r="1937" spans="1:221" x14ac:dyDescent="0.4">
      <c r="A1937" s="5">
        <v>3641</v>
      </c>
      <c r="B1937" s="5">
        <v>1</v>
      </c>
      <c r="C1937" s="5">
        <v>1</v>
      </c>
      <c r="D1937" s="5" t="s">
        <v>269</v>
      </c>
      <c r="E1937" s="5" t="s">
        <v>271</v>
      </c>
      <c r="F1937" s="5" t="s">
        <v>248</v>
      </c>
      <c r="G1937" s="5" t="s">
        <v>266</v>
      </c>
      <c r="H1937" s="6" t="s">
        <v>1593</v>
      </c>
      <c r="I1937" s="7">
        <f>1544</f>
        <v>1544</v>
      </c>
      <c r="J1937" s="5" t="s">
        <v>262</v>
      </c>
      <c r="K1937" s="8">
        <f>1</f>
        <v>1</v>
      </c>
      <c r="L1937" s="6" t="s">
        <v>242</v>
      </c>
      <c r="M1937" s="5" t="s">
        <v>267</v>
      </c>
      <c r="N1937" s="5" t="s">
        <v>265</v>
      </c>
      <c r="O1937" s="5" t="s">
        <v>238</v>
      </c>
      <c r="P1937" s="5" t="s">
        <v>238</v>
      </c>
      <c r="Q1937" s="5" t="s">
        <v>268</v>
      </c>
      <c r="R1937" s="5" t="s">
        <v>270</v>
      </c>
      <c r="S1937" s="5" t="s">
        <v>238</v>
      </c>
      <c r="V1937" s="5" t="s">
        <v>238</v>
      </c>
      <c r="X1937" s="6" t="s">
        <v>238</v>
      </c>
      <c r="AA1937" s="6" t="s">
        <v>243</v>
      </c>
      <c r="AB1937" s="5" t="s">
        <v>238</v>
      </c>
      <c r="AC1937" s="5" t="s">
        <v>244</v>
      </c>
      <c r="AD1937" s="5" t="s">
        <v>245</v>
      </c>
      <c r="AT1937" s="5" t="s">
        <v>246</v>
      </c>
      <c r="AU1937" s="5" t="s">
        <v>238</v>
      </c>
      <c r="AV1937" s="5" t="s">
        <v>247</v>
      </c>
      <c r="AW1937" s="5" t="s">
        <v>238</v>
      </c>
      <c r="AX1937" s="5" t="s">
        <v>249</v>
      </c>
      <c r="AY1937" s="5" t="s">
        <v>238</v>
      </c>
      <c r="BA1937" s="5" t="s">
        <v>238</v>
      </c>
      <c r="BC1937" s="5" t="s">
        <v>250</v>
      </c>
      <c r="BD1937" s="6" t="s">
        <v>243</v>
      </c>
      <c r="BE1937" s="5" t="s">
        <v>251</v>
      </c>
      <c r="BF1937" s="5" t="s">
        <v>252</v>
      </c>
      <c r="BG1937" s="5" t="s">
        <v>238</v>
      </c>
      <c r="BH1937" s="7">
        <f>0</f>
        <v>0</v>
      </c>
      <c r="BI1937" s="8">
        <f>0</f>
        <v>0</v>
      </c>
      <c r="BJ1937" s="5" t="s">
        <v>253</v>
      </c>
      <c r="BK1937" s="5" t="s">
        <v>254</v>
      </c>
      <c r="BY1937" s="5" t="s">
        <v>238</v>
      </c>
      <c r="BZ1937" s="5" t="s">
        <v>238</v>
      </c>
      <c r="CD1937" s="5" t="s">
        <v>273</v>
      </c>
      <c r="CE1937" s="5" t="s">
        <v>256</v>
      </c>
      <c r="CF1937" s="5" t="s">
        <v>238</v>
      </c>
      <c r="CI1937" s="6" t="s">
        <v>257</v>
      </c>
      <c r="CJ1937" s="5" t="s">
        <v>238</v>
      </c>
      <c r="CK1937" s="5" t="s">
        <v>258</v>
      </c>
      <c r="CL1937" s="5" t="s">
        <v>238</v>
      </c>
      <c r="CM1937" s="5" t="s">
        <v>238</v>
      </c>
      <c r="CN1937" s="5">
        <v>0</v>
      </c>
      <c r="CO1937" s="5" t="s">
        <v>259</v>
      </c>
      <c r="CP1937" s="5" t="s">
        <v>260</v>
      </c>
      <c r="CQ1937" s="5" t="s">
        <v>260</v>
      </c>
      <c r="CR1937" s="5" t="s">
        <v>261</v>
      </c>
      <c r="CU1937" s="8">
        <f>1</f>
        <v>1</v>
      </c>
      <c r="CV1937" s="8">
        <f>0</f>
        <v>0</v>
      </c>
      <c r="CX1937" s="8">
        <f>0</f>
        <v>0</v>
      </c>
      <c r="CY1937" s="8">
        <f>1</f>
        <v>1</v>
      </c>
      <c r="DA1937" s="5" t="s">
        <v>274</v>
      </c>
      <c r="DB1937" s="5" t="s">
        <v>238</v>
      </c>
      <c r="DD1937" s="5" t="s">
        <v>274</v>
      </c>
      <c r="DE1937" s="8">
        <f>1544</f>
        <v>1544</v>
      </c>
      <c r="DG1937" s="5" t="s">
        <v>238</v>
      </c>
      <c r="DH1937" s="5" t="s">
        <v>238</v>
      </c>
      <c r="DI1937" s="5" t="s">
        <v>238</v>
      </c>
      <c r="DJ1937" s="5" t="s">
        <v>238</v>
      </c>
      <c r="DN1937" s="5" t="s">
        <v>238</v>
      </c>
      <c r="DO1937" s="5" t="s">
        <v>238</v>
      </c>
      <c r="DP1937" s="5" t="s">
        <v>238</v>
      </c>
      <c r="DQ1937" s="5" t="s">
        <v>238</v>
      </c>
      <c r="DT1937" s="5" t="s">
        <v>275</v>
      </c>
      <c r="DU1937" s="5" t="s">
        <v>1594</v>
      </c>
      <c r="HM1937" s="5" t="s">
        <v>264</v>
      </c>
    </row>
    <row r="1938" spans="1:221" x14ac:dyDescent="0.4">
      <c r="A1938" s="5">
        <v>3642</v>
      </c>
      <c r="B1938" s="5">
        <v>1</v>
      </c>
      <c r="C1938" s="5">
        <v>1</v>
      </c>
      <c r="D1938" s="5" t="s">
        <v>269</v>
      </c>
      <c r="E1938" s="5" t="s">
        <v>271</v>
      </c>
      <c r="F1938" s="5" t="s">
        <v>248</v>
      </c>
      <c r="G1938" s="5" t="s">
        <v>266</v>
      </c>
      <c r="H1938" s="6" t="s">
        <v>1328</v>
      </c>
      <c r="I1938" s="7">
        <f>2955</f>
        <v>2955</v>
      </c>
      <c r="J1938" s="5" t="s">
        <v>262</v>
      </c>
      <c r="K1938" s="8">
        <f>1</f>
        <v>1</v>
      </c>
      <c r="L1938" s="6" t="s">
        <v>242</v>
      </c>
      <c r="M1938" s="5" t="s">
        <v>267</v>
      </c>
      <c r="N1938" s="5" t="s">
        <v>265</v>
      </c>
      <c r="O1938" s="5" t="s">
        <v>238</v>
      </c>
      <c r="P1938" s="5" t="s">
        <v>238</v>
      </c>
      <c r="Q1938" s="5" t="s">
        <v>268</v>
      </c>
      <c r="R1938" s="5" t="s">
        <v>270</v>
      </c>
      <c r="S1938" s="5" t="s">
        <v>238</v>
      </c>
      <c r="V1938" s="5" t="s">
        <v>238</v>
      </c>
      <c r="X1938" s="6" t="s">
        <v>238</v>
      </c>
      <c r="AA1938" s="6" t="s">
        <v>243</v>
      </c>
      <c r="AB1938" s="5" t="s">
        <v>238</v>
      </c>
      <c r="AC1938" s="5" t="s">
        <v>244</v>
      </c>
      <c r="AD1938" s="5" t="s">
        <v>245</v>
      </c>
      <c r="AT1938" s="5" t="s">
        <v>246</v>
      </c>
      <c r="AU1938" s="5" t="s">
        <v>238</v>
      </c>
      <c r="AV1938" s="5" t="s">
        <v>247</v>
      </c>
      <c r="AW1938" s="5" t="s">
        <v>238</v>
      </c>
      <c r="AX1938" s="5" t="s">
        <v>249</v>
      </c>
      <c r="AY1938" s="5" t="s">
        <v>238</v>
      </c>
      <c r="BA1938" s="5" t="s">
        <v>238</v>
      </c>
      <c r="BC1938" s="5" t="s">
        <v>250</v>
      </c>
      <c r="BD1938" s="6" t="s">
        <v>243</v>
      </c>
      <c r="BE1938" s="5" t="s">
        <v>251</v>
      </c>
      <c r="BF1938" s="5" t="s">
        <v>252</v>
      </c>
      <c r="BG1938" s="5" t="s">
        <v>238</v>
      </c>
      <c r="BH1938" s="7">
        <f>0</f>
        <v>0</v>
      </c>
      <c r="BI1938" s="8">
        <f>0</f>
        <v>0</v>
      </c>
      <c r="BJ1938" s="5" t="s">
        <v>253</v>
      </c>
      <c r="BK1938" s="5" t="s">
        <v>254</v>
      </c>
      <c r="BY1938" s="5" t="s">
        <v>238</v>
      </c>
      <c r="BZ1938" s="5" t="s">
        <v>238</v>
      </c>
      <c r="CD1938" s="5" t="s">
        <v>273</v>
      </c>
      <c r="CE1938" s="5" t="s">
        <v>256</v>
      </c>
      <c r="CF1938" s="5" t="s">
        <v>238</v>
      </c>
      <c r="CI1938" s="6" t="s">
        <v>257</v>
      </c>
      <c r="CJ1938" s="5" t="s">
        <v>238</v>
      </c>
      <c r="CK1938" s="5" t="s">
        <v>258</v>
      </c>
      <c r="CL1938" s="5" t="s">
        <v>238</v>
      </c>
      <c r="CM1938" s="5" t="s">
        <v>238</v>
      </c>
      <c r="CN1938" s="5">
        <v>0</v>
      </c>
      <c r="CO1938" s="5" t="s">
        <v>259</v>
      </c>
      <c r="CP1938" s="5" t="s">
        <v>260</v>
      </c>
      <c r="CQ1938" s="5" t="s">
        <v>260</v>
      </c>
      <c r="CR1938" s="5" t="s">
        <v>261</v>
      </c>
      <c r="CU1938" s="8">
        <f>1</f>
        <v>1</v>
      </c>
      <c r="CV1938" s="8">
        <f>0</f>
        <v>0</v>
      </c>
      <c r="CX1938" s="8">
        <f>0</f>
        <v>0</v>
      </c>
      <c r="CY1938" s="8">
        <f>1</f>
        <v>1</v>
      </c>
      <c r="DA1938" s="5" t="s">
        <v>274</v>
      </c>
      <c r="DB1938" s="5" t="s">
        <v>238</v>
      </c>
      <c r="DD1938" s="5" t="s">
        <v>274</v>
      </c>
      <c r="DE1938" s="8">
        <f>2955</f>
        <v>2955</v>
      </c>
      <c r="DG1938" s="5" t="s">
        <v>238</v>
      </c>
      <c r="DH1938" s="5" t="s">
        <v>238</v>
      </c>
      <c r="DI1938" s="5" t="s">
        <v>238</v>
      </c>
      <c r="DJ1938" s="5" t="s">
        <v>238</v>
      </c>
      <c r="DN1938" s="5" t="s">
        <v>238</v>
      </c>
      <c r="DO1938" s="5" t="s">
        <v>238</v>
      </c>
      <c r="DP1938" s="5" t="s">
        <v>238</v>
      </c>
      <c r="DQ1938" s="5" t="s">
        <v>238</v>
      </c>
      <c r="DT1938" s="5" t="s">
        <v>275</v>
      </c>
      <c r="DU1938" s="5" t="s">
        <v>1329</v>
      </c>
      <c r="HM1938" s="5" t="s">
        <v>264</v>
      </c>
    </row>
    <row r="1939" spans="1:221" x14ac:dyDescent="0.4">
      <c r="A1939" s="5">
        <v>3643</v>
      </c>
      <c r="B1939" s="5">
        <v>1</v>
      </c>
      <c r="C1939" s="5">
        <v>1</v>
      </c>
      <c r="D1939" s="5" t="s">
        <v>269</v>
      </c>
      <c r="E1939" s="5" t="s">
        <v>271</v>
      </c>
      <c r="F1939" s="5" t="s">
        <v>248</v>
      </c>
      <c r="G1939" s="5" t="s">
        <v>266</v>
      </c>
      <c r="H1939" s="6" t="s">
        <v>1326</v>
      </c>
      <c r="I1939" s="7">
        <f>650</f>
        <v>650</v>
      </c>
      <c r="J1939" s="5" t="s">
        <v>262</v>
      </c>
      <c r="K1939" s="8">
        <f>1</f>
        <v>1</v>
      </c>
      <c r="L1939" s="6" t="s">
        <v>242</v>
      </c>
      <c r="M1939" s="5" t="s">
        <v>267</v>
      </c>
      <c r="N1939" s="5" t="s">
        <v>265</v>
      </c>
      <c r="O1939" s="5" t="s">
        <v>238</v>
      </c>
      <c r="P1939" s="5" t="s">
        <v>238</v>
      </c>
      <c r="Q1939" s="5" t="s">
        <v>268</v>
      </c>
      <c r="R1939" s="5" t="s">
        <v>270</v>
      </c>
      <c r="S1939" s="5" t="s">
        <v>238</v>
      </c>
      <c r="V1939" s="5" t="s">
        <v>238</v>
      </c>
      <c r="X1939" s="6" t="s">
        <v>238</v>
      </c>
      <c r="AA1939" s="6" t="s">
        <v>243</v>
      </c>
      <c r="AB1939" s="5" t="s">
        <v>238</v>
      </c>
      <c r="AC1939" s="5" t="s">
        <v>244</v>
      </c>
      <c r="AD1939" s="5" t="s">
        <v>245</v>
      </c>
      <c r="AT1939" s="5" t="s">
        <v>246</v>
      </c>
      <c r="AU1939" s="5" t="s">
        <v>238</v>
      </c>
      <c r="AV1939" s="5" t="s">
        <v>247</v>
      </c>
      <c r="AW1939" s="5" t="s">
        <v>238</v>
      </c>
      <c r="AX1939" s="5" t="s">
        <v>249</v>
      </c>
      <c r="AY1939" s="5" t="s">
        <v>238</v>
      </c>
      <c r="BA1939" s="5" t="s">
        <v>238</v>
      </c>
      <c r="BC1939" s="5" t="s">
        <v>250</v>
      </c>
      <c r="BD1939" s="6" t="s">
        <v>243</v>
      </c>
      <c r="BE1939" s="5" t="s">
        <v>251</v>
      </c>
      <c r="BF1939" s="5" t="s">
        <v>252</v>
      </c>
      <c r="BG1939" s="5" t="s">
        <v>238</v>
      </c>
      <c r="BH1939" s="7">
        <f>0</f>
        <v>0</v>
      </c>
      <c r="BI1939" s="8">
        <f>0</f>
        <v>0</v>
      </c>
      <c r="BJ1939" s="5" t="s">
        <v>253</v>
      </c>
      <c r="BK1939" s="5" t="s">
        <v>254</v>
      </c>
      <c r="BY1939" s="5" t="s">
        <v>238</v>
      </c>
      <c r="BZ1939" s="5" t="s">
        <v>238</v>
      </c>
      <c r="CD1939" s="5" t="s">
        <v>273</v>
      </c>
      <c r="CE1939" s="5" t="s">
        <v>256</v>
      </c>
      <c r="CF1939" s="5" t="s">
        <v>238</v>
      </c>
      <c r="CI1939" s="6" t="s">
        <v>257</v>
      </c>
      <c r="CJ1939" s="5" t="s">
        <v>238</v>
      </c>
      <c r="CK1939" s="5" t="s">
        <v>258</v>
      </c>
      <c r="CL1939" s="5" t="s">
        <v>238</v>
      </c>
      <c r="CM1939" s="5" t="s">
        <v>238</v>
      </c>
      <c r="CN1939" s="5">
        <v>0</v>
      </c>
      <c r="CO1939" s="5" t="s">
        <v>259</v>
      </c>
      <c r="CP1939" s="5" t="s">
        <v>260</v>
      </c>
      <c r="CQ1939" s="5" t="s">
        <v>260</v>
      </c>
      <c r="CR1939" s="5" t="s">
        <v>261</v>
      </c>
      <c r="CU1939" s="8">
        <f>1</f>
        <v>1</v>
      </c>
      <c r="CV1939" s="8">
        <f>0</f>
        <v>0</v>
      </c>
      <c r="CX1939" s="8">
        <f>0</f>
        <v>0</v>
      </c>
      <c r="CY1939" s="8">
        <f>1</f>
        <v>1</v>
      </c>
      <c r="DA1939" s="5" t="s">
        <v>274</v>
      </c>
      <c r="DB1939" s="5" t="s">
        <v>238</v>
      </c>
      <c r="DD1939" s="5" t="s">
        <v>274</v>
      </c>
      <c r="DE1939" s="8">
        <f>650</f>
        <v>650</v>
      </c>
      <c r="DG1939" s="5" t="s">
        <v>238</v>
      </c>
      <c r="DH1939" s="5" t="s">
        <v>238</v>
      </c>
      <c r="DI1939" s="5" t="s">
        <v>238</v>
      </c>
      <c r="DJ1939" s="5" t="s">
        <v>238</v>
      </c>
      <c r="DN1939" s="5" t="s">
        <v>238</v>
      </c>
      <c r="DO1939" s="5" t="s">
        <v>238</v>
      </c>
      <c r="DP1939" s="5" t="s">
        <v>238</v>
      </c>
      <c r="DQ1939" s="5" t="s">
        <v>238</v>
      </c>
      <c r="DT1939" s="5" t="s">
        <v>275</v>
      </c>
      <c r="DU1939" s="5" t="s">
        <v>1327</v>
      </c>
      <c r="HM1939" s="5" t="s">
        <v>264</v>
      </c>
    </row>
    <row r="1940" spans="1:221" x14ac:dyDescent="0.4">
      <c r="A1940" s="5">
        <v>3644</v>
      </c>
      <c r="B1940" s="5">
        <v>1</v>
      </c>
      <c r="C1940" s="5">
        <v>1</v>
      </c>
      <c r="D1940" s="5" t="s">
        <v>269</v>
      </c>
      <c r="E1940" s="5" t="s">
        <v>271</v>
      </c>
      <c r="F1940" s="5" t="s">
        <v>248</v>
      </c>
      <c r="G1940" s="5" t="s">
        <v>266</v>
      </c>
      <c r="H1940" s="6" t="s">
        <v>1319</v>
      </c>
      <c r="I1940" s="7">
        <f>188</f>
        <v>188</v>
      </c>
      <c r="J1940" s="5" t="s">
        <v>262</v>
      </c>
      <c r="K1940" s="8">
        <f>1</f>
        <v>1</v>
      </c>
      <c r="L1940" s="6" t="s">
        <v>242</v>
      </c>
      <c r="M1940" s="5" t="s">
        <v>267</v>
      </c>
      <c r="N1940" s="5" t="s">
        <v>265</v>
      </c>
      <c r="O1940" s="5" t="s">
        <v>238</v>
      </c>
      <c r="P1940" s="5" t="s">
        <v>238</v>
      </c>
      <c r="Q1940" s="5" t="s">
        <v>268</v>
      </c>
      <c r="R1940" s="5" t="s">
        <v>270</v>
      </c>
      <c r="S1940" s="5" t="s">
        <v>238</v>
      </c>
      <c r="V1940" s="5" t="s">
        <v>238</v>
      </c>
      <c r="X1940" s="6" t="s">
        <v>238</v>
      </c>
      <c r="AA1940" s="6" t="s">
        <v>243</v>
      </c>
      <c r="AB1940" s="5" t="s">
        <v>238</v>
      </c>
      <c r="AC1940" s="5" t="s">
        <v>244</v>
      </c>
      <c r="AD1940" s="5" t="s">
        <v>245</v>
      </c>
      <c r="AT1940" s="5" t="s">
        <v>246</v>
      </c>
      <c r="AU1940" s="5" t="s">
        <v>238</v>
      </c>
      <c r="AV1940" s="5" t="s">
        <v>247</v>
      </c>
      <c r="AW1940" s="5" t="s">
        <v>238</v>
      </c>
      <c r="AX1940" s="5" t="s">
        <v>249</v>
      </c>
      <c r="AY1940" s="5" t="s">
        <v>238</v>
      </c>
      <c r="BA1940" s="5" t="s">
        <v>238</v>
      </c>
      <c r="BC1940" s="5" t="s">
        <v>250</v>
      </c>
      <c r="BD1940" s="6" t="s">
        <v>243</v>
      </c>
      <c r="BE1940" s="5" t="s">
        <v>251</v>
      </c>
      <c r="BF1940" s="5" t="s">
        <v>252</v>
      </c>
      <c r="BG1940" s="5" t="s">
        <v>238</v>
      </c>
      <c r="BH1940" s="7">
        <f>0</f>
        <v>0</v>
      </c>
      <c r="BI1940" s="8">
        <f>0</f>
        <v>0</v>
      </c>
      <c r="BJ1940" s="5" t="s">
        <v>253</v>
      </c>
      <c r="BK1940" s="5" t="s">
        <v>254</v>
      </c>
      <c r="BY1940" s="5" t="s">
        <v>238</v>
      </c>
      <c r="BZ1940" s="5" t="s">
        <v>238</v>
      </c>
      <c r="CD1940" s="5" t="s">
        <v>273</v>
      </c>
      <c r="CE1940" s="5" t="s">
        <v>256</v>
      </c>
      <c r="CF1940" s="5" t="s">
        <v>238</v>
      </c>
      <c r="CI1940" s="6" t="s">
        <v>257</v>
      </c>
      <c r="CJ1940" s="5" t="s">
        <v>238</v>
      </c>
      <c r="CK1940" s="5" t="s">
        <v>258</v>
      </c>
      <c r="CL1940" s="5" t="s">
        <v>238</v>
      </c>
      <c r="CM1940" s="5" t="s">
        <v>238</v>
      </c>
      <c r="CN1940" s="5">
        <v>0</v>
      </c>
      <c r="CO1940" s="5" t="s">
        <v>259</v>
      </c>
      <c r="CP1940" s="5" t="s">
        <v>260</v>
      </c>
      <c r="CQ1940" s="5" t="s">
        <v>260</v>
      </c>
      <c r="CR1940" s="5" t="s">
        <v>261</v>
      </c>
      <c r="CU1940" s="8">
        <f>1</f>
        <v>1</v>
      </c>
      <c r="CV1940" s="8">
        <f>0</f>
        <v>0</v>
      </c>
      <c r="CX1940" s="8">
        <f>0</f>
        <v>0</v>
      </c>
      <c r="CY1940" s="8">
        <f>1</f>
        <v>1</v>
      </c>
      <c r="DA1940" s="5" t="s">
        <v>274</v>
      </c>
      <c r="DB1940" s="5" t="s">
        <v>238</v>
      </c>
      <c r="DD1940" s="5" t="s">
        <v>274</v>
      </c>
      <c r="DE1940" s="8">
        <f>188</f>
        <v>188</v>
      </c>
      <c r="DG1940" s="5" t="s">
        <v>238</v>
      </c>
      <c r="DH1940" s="5" t="s">
        <v>238</v>
      </c>
      <c r="DI1940" s="5" t="s">
        <v>238</v>
      </c>
      <c r="DJ1940" s="5" t="s">
        <v>238</v>
      </c>
      <c r="DN1940" s="5" t="s">
        <v>238</v>
      </c>
      <c r="DO1940" s="5" t="s">
        <v>238</v>
      </c>
      <c r="DP1940" s="5" t="s">
        <v>238</v>
      </c>
      <c r="DQ1940" s="5" t="s">
        <v>238</v>
      </c>
      <c r="DT1940" s="5" t="s">
        <v>275</v>
      </c>
      <c r="DU1940" s="5" t="s">
        <v>1320</v>
      </c>
      <c r="HM1940" s="5" t="s">
        <v>264</v>
      </c>
    </row>
    <row r="1941" spans="1:221" x14ac:dyDescent="0.4">
      <c r="A1941" s="5">
        <v>3645</v>
      </c>
      <c r="B1941" s="5">
        <v>1</v>
      </c>
      <c r="C1941" s="5">
        <v>1</v>
      </c>
      <c r="D1941" s="5" t="s">
        <v>269</v>
      </c>
      <c r="E1941" s="5" t="s">
        <v>271</v>
      </c>
      <c r="F1941" s="5" t="s">
        <v>248</v>
      </c>
      <c r="G1941" s="5" t="s">
        <v>266</v>
      </c>
      <c r="H1941" s="6" t="s">
        <v>1317</v>
      </c>
      <c r="I1941" s="7">
        <f>250</f>
        <v>250</v>
      </c>
      <c r="J1941" s="5" t="s">
        <v>262</v>
      </c>
      <c r="K1941" s="8">
        <f>1</f>
        <v>1</v>
      </c>
      <c r="L1941" s="6" t="s">
        <v>242</v>
      </c>
      <c r="M1941" s="5" t="s">
        <v>267</v>
      </c>
      <c r="N1941" s="5" t="s">
        <v>265</v>
      </c>
      <c r="O1941" s="5" t="s">
        <v>238</v>
      </c>
      <c r="P1941" s="5" t="s">
        <v>238</v>
      </c>
      <c r="Q1941" s="5" t="s">
        <v>268</v>
      </c>
      <c r="R1941" s="5" t="s">
        <v>270</v>
      </c>
      <c r="S1941" s="5" t="s">
        <v>238</v>
      </c>
      <c r="V1941" s="5" t="s">
        <v>238</v>
      </c>
      <c r="X1941" s="6" t="s">
        <v>238</v>
      </c>
      <c r="AA1941" s="6" t="s">
        <v>243</v>
      </c>
      <c r="AB1941" s="5" t="s">
        <v>238</v>
      </c>
      <c r="AC1941" s="5" t="s">
        <v>244</v>
      </c>
      <c r="AD1941" s="5" t="s">
        <v>245</v>
      </c>
      <c r="AT1941" s="5" t="s">
        <v>246</v>
      </c>
      <c r="AU1941" s="5" t="s">
        <v>238</v>
      </c>
      <c r="AV1941" s="5" t="s">
        <v>247</v>
      </c>
      <c r="AW1941" s="5" t="s">
        <v>238</v>
      </c>
      <c r="AX1941" s="5" t="s">
        <v>249</v>
      </c>
      <c r="AY1941" s="5" t="s">
        <v>238</v>
      </c>
      <c r="BA1941" s="5" t="s">
        <v>238</v>
      </c>
      <c r="BC1941" s="5" t="s">
        <v>250</v>
      </c>
      <c r="BD1941" s="6" t="s">
        <v>243</v>
      </c>
      <c r="BE1941" s="5" t="s">
        <v>251</v>
      </c>
      <c r="BF1941" s="5" t="s">
        <v>252</v>
      </c>
      <c r="BG1941" s="5" t="s">
        <v>238</v>
      </c>
      <c r="BH1941" s="7">
        <f>0</f>
        <v>0</v>
      </c>
      <c r="BI1941" s="8">
        <f>0</f>
        <v>0</v>
      </c>
      <c r="BJ1941" s="5" t="s">
        <v>253</v>
      </c>
      <c r="BK1941" s="5" t="s">
        <v>254</v>
      </c>
      <c r="BY1941" s="5" t="s">
        <v>238</v>
      </c>
      <c r="BZ1941" s="5" t="s">
        <v>238</v>
      </c>
      <c r="CD1941" s="5" t="s">
        <v>273</v>
      </c>
      <c r="CE1941" s="5" t="s">
        <v>256</v>
      </c>
      <c r="CF1941" s="5" t="s">
        <v>238</v>
      </c>
      <c r="CI1941" s="6" t="s">
        <v>257</v>
      </c>
      <c r="CJ1941" s="5" t="s">
        <v>238</v>
      </c>
      <c r="CK1941" s="5" t="s">
        <v>258</v>
      </c>
      <c r="CL1941" s="5" t="s">
        <v>238</v>
      </c>
      <c r="CM1941" s="5" t="s">
        <v>238</v>
      </c>
      <c r="CN1941" s="5">
        <v>0</v>
      </c>
      <c r="CO1941" s="5" t="s">
        <v>259</v>
      </c>
      <c r="CP1941" s="5" t="s">
        <v>260</v>
      </c>
      <c r="CQ1941" s="5" t="s">
        <v>260</v>
      </c>
      <c r="CR1941" s="5" t="s">
        <v>261</v>
      </c>
      <c r="CU1941" s="8">
        <f>1</f>
        <v>1</v>
      </c>
      <c r="CV1941" s="8">
        <f>0</f>
        <v>0</v>
      </c>
      <c r="CX1941" s="8">
        <f>0</f>
        <v>0</v>
      </c>
      <c r="CY1941" s="8">
        <f>1</f>
        <v>1</v>
      </c>
      <c r="DA1941" s="5" t="s">
        <v>274</v>
      </c>
      <c r="DB1941" s="5" t="s">
        <v>238</v>
      </c>
      <c r="DD1941" s="5" t="s">
        <v>274</v>
      </c>
      <c r="DE1941" s="8">
        <f>250</f>
        <v>250</v>
      </c>
      <c r="DG1941" s="5" t="s">
        <v>238</v>
      </c>
      <c r="DH1941" s="5" t="s">
        <v>238</v>
      </c>
      <c r="DI1941" s="5" t="s">
        <v>238</v>
      </c>
      <c r="DJ1941" s="5" t="s">
        <v>238</v>
      </c>
      <c r="DN1941" s="5" t="s">
        <v>238</v>
      </c>
      <c r="DO1941" s="5" t="s">
        <v>238</v>
      </c>
      <c r="DP1941" s="5" t="s">
        <v>238</v>
      </c>
      <c r="DQ1941" s="5" t="s">
        <v>238</v>
      </c>
      <c r="DT1941" s="5" t="s">
        <v>275</v>
      </c>
      <c r="DU1941" s="5" t="s">
        <v>1318</v>
      </c>
      <c r="HM1941" s="5" t="s">
        <v>264</v>
      </c>
    </row>
    <row r="1942" spans="1:221" x14ac:dyDescent="0.4">
      <c r="A1942" s="5">
        <v>3646</v>
      </c>
      <c r="B1942" s="5">
        <v>1</v>
      </c>
      <c r="C1942" s="5">
        <v>1</v>
      </c>
      <c r="D1942" s="5" t="s">
        <v>269</v>
      </c>
      <c r="E1942" s="5" t="s">
        <v>271</v>
      </c>
      <c r="F1942" s="5" t="s">
        <v>248</v>
      </c>
      <c r="G1942" s="5" t="s">
        <v>266</v>
      </c>
      <c r="H1942" s="6" t="s">
        <v>1313</v>
      </c>
      <c r="I1942" s="7">
        <f>338</f>
        <v>338</v>
      </c>
      <c r="J1942" s="5" t="s">
        <v>262</v>
      </c>
      <c r="K1942" s="8">
        <f>1</f>
        <v>1</v>
      </c>
      <c r="L1942" s="6" t="s">
        <v>242</v>
      </c>
      <c r="M1942" s="5" t="s">
        <v>267</v>
      </c>
      <c r="N1942" s="5" t="s">
        <v>265</v>
      </c>
      <c r="O1942" s="5" t="s">
        <v>238</v>
      </c>
      <c r="P1942" s="5" t="s">
        <v>238</v>
      </c>
      <c r="Q1942" s="5" t="s">
        <v>268</v>
      </c>
      <c r="R1942" s="5" t="s">
        <v>270</v>
      </c>
      <c r="S1942" s="5" t="s">
        <v>238</v>
      </c>
      <c r="V1942" s="5" t="s">
        <v>238</v>
      </c>
      <c r="X1942" s="6" t="s">
        <v>238</v>
      </c>
      <c r="AA1942" s="6" t="s">
        <v>243</v>
      </c>
      <c r="AB1942" s="5" t="s">
        <v>238</v>
      </c>
      <c r="AC1942" s="5" t="s">
        <v>244</v>
      </c>
      <c r="AD1942" s="5" t="s">
        <v>245</v>
      </c>
      <c r="AT1942" s="5" t="s">
        <v>246</v>
      </c>
      <c r="AU1942" s="5" t="s">
        <v>238</v>
      </c>
      <c r="AV1942" s="5" t="s">
        <v>247</v>
      </c>
      <c r="AW1942" s="5" t="s">
        <v>238</v>
      </c>
      <c r="AX1942" s="5" t="s">
        <v>249</v>
      </c>
      <c r="AY1942" s="5" t="s">
        <v>238</v>
      </c>
      <c r="BA1942" s="5" t="s">
        <v>238</v>
      </c>
      <c r="BC1942" s="5" t="s">
        <v>250</v>
      </c>
      <c r="BD1942" s="6" t="s">
        <v>243</v>
      </c>
      <c r="BE1942" s="5" t="s">
        <v>251</v>
      </c>
      <c r="BF1942" s="5" t="s">
        <v>252</v>
      </c>
      <c r="BG1942" s="5" t="s">
        <v>238</v>
      </c>
      <c r="BH1942" s="7">
        <f>0</f>
        <v>0</v>
      </c>
      <c r="BI1942" s="8">
        <f>0</f>
        <v>0</v>
      </c>
      <c r="BJ1942" s="5" t="s">
        <v>253</v>
      </c>
      <c r="BK1942" s="5" t="s">
        <v>254</v>
      </c>
      <c r="BY1942" s="5" t="s">
        <v>238</v>
      </c>
      <c r="BZ1942" s="5" t="s">
        <v>238</v>
      </c>
      <c r="CD1942" s="5" t="s">
        <v>273</v>
      </c>
      <c r="CE1942" s="5" t="s">
        <v>256</v>
      </c>
      <c r="CF1942" s="5" t="s">
        <v>238</v>
      </c>
      <c r="CI1942" s="6" t="s">
        <v>257</v>
      </c>
      <c r="CJ1942" s="5" t="s">
        <v>238</v>
      </c>
      <c r="CK1942" s="5" t="s">
        <v>258</v>
      </c>
      <c r="CL1942" s="5" t="s">
        <v>238</v>
      </c>
      <c r="CM1942" s="5" t="s">
        <v>238</v>
      </c>
      <c r="CN1942" s="5">
        <v>0</v>
      </c>
      <c r="CO1942" s="5" t="s">
        <v>259</v>
      </c>
      <c r="CP1942" s="5" t="s">
        <v>260</v>
      </c>
      <c r="CQ1942" s="5" t="s">
        <v>260</v>
      </c>
      <c r="CR1942" s="5" t="s">
        <v>261</v>
      </c>
      <c r="CU1942" s="8">
        <f>1</f>
        <v>1</v>
      </c>
      <c r="CV1942" s="8">
        <f>0</f>
        <v>0</v>
      </c>
      <c r="CX1942" s="8">
        <f>0</f>
        <v>0</v>
      </c>
      <c r="CY1942" s="8">
        <f>1</f>
        <v>1</v>
      </c>
      <c r="DA1942" s="5" t="s">
        <v>274</v>
      </c>
      <c r="DB1942" s="5" t="s">
        <v>238</v>
      </c>
      <c r="DD1942" s="5" t="s">
        <v>274</v>
      </c>
      <c r="DE1942" s="8">
        <f>338</f>
        <v>338</v>
      </c>
      <c r="DG1942" s="5" t="s">
        <v>238</v>
      </c>
      <c r="DH1942" s="5" t="s">
        <v>238</v>
      </c>
      <c r="DI1942" s="5" t="s">
        <v>238</v>
      </c>
      <c r="DJ1942" s="5" t="s">
        <v>238</v>
      </c>
      <c r="DN1942" s="5" t="s">
        <v>238</v>
      </c>
      <c r="DO1942" s="5" t="s">
        <v>238</v>
      </c>
      <c r="DP1942" s="5" t="s">
        <v>238</v>
      </c>
      <c r="DQ1942" s="5" t="s">
        <v>238</v>
      </c>
      <c r="DT1942" s="5" t="s">
        <v>275</v>
      </c>
      <c r="DU1942" s="5" t="s">
        <v>1314</v>
      </c>
      <c r="HM1942" s="5" t="s">
        <v>264</v>
      </c>
    </row>
    <row r="1943" spans="1:221" x14ac:dyDescent="0.4">
      <c r="A1943" s="5">
        <v>3647</v>
      </c>
      <c r="B1943" s="5">
        <v>1</v>
      </c>
      <c r="C1943" s="5">
        <v>1</v>
      </c>
      <c r="D1943" s="5" t="s">
        <v>269</v>
      </c>
      <c r="E1943" s="5" t="s">
        <v>271</v>
      </c>
      <c r="F1943" s="5" t="s">
        <v>248</v>
      </c>
      <c r="G1943" s="5" t="s">
        <v>266</v>
      </c>
      <c r="H1943" s="6" t="s">
        <v>1312</v>
      </c>
      <c r="I1943" s="7">
        <f>1376</f>
        <v>1376</v>
      </c>
      <c r="J1943" s="5" t="s">
        <v>262</v>
      </c>
      <c r="K1943" s="8">
        <f>1</f>
        <v>1</v>
      </c>
      <c r="L1943" s="6" t="s">
        <v>242</v>
      </c>
      <c r="M1943" s="5" t="s">
        <v>267</v>
      </c>
      <c r="N1943" s="5" t="s">
        <v>265</v>
      </c>
      <c r="O1943" s="5" t="s">
        <v>238</v>
      </c>
      <c r="P1943" s="5" t="s">
        <v>238</v>
      </c>
      <c r="Q1943" s="5" t="s">
        <v>268</v>
      </c>
      <c r="R1943" s="5" t="s">
        <v>270</v>
      </c>
      <c r="S1943" s="5" t="s">
        <v>238</v>
      </c>
      <c r="V1943" s="5" t="s">
        <v>238</v>
      </c>
      <c r="X1943" s="6" t="s">
        <v>238</v>
      </c>
      <c r="AA1943" s="6" t="s">
        <v>243</v>
      </c>
      <c r="AB1943" s="5" t="s">
        <v>238</v>
      </c>
      <c r="AC1943" s="5" t="s">
        <v>244</v>
      </c>
      <c r="AD1943" s="5" t="s">
        <v>245</v>
      </c>
      <c r="AT1943" s="5" t="s">
        <v>246</v>
      </c>
      <c r="AU1943" s="5" t="s">
        <v>238</v>
      </c>
      <c r="AV1943" s="5" t="s">
        <v>247</v>
      </c>
      <c r="AW1943" s="5" t="s">
        <v>238</v>
      </c>
      <c r="AX1943" s="5" t="s">
        <v>249</v>
      </c>
      <c r="AY1943" s="5" t="s">
        <v>238</v>
      </c>
      <c r="BA1943" s="5" t="s">
        <v>238</v>
      </c>
      <c r="BC1943" s="5" t="s">
        <v>250</v>
      </c>
      <c r="BD1943" s="6" t="s">
        <v>243</v>
      </c>
      <c r="BE1943" s="5" t="s">
        <v>251</v>
      </c>
      <c r="BF1943" s="5" t="s">
        <v>252</v>
      </c>
      <c r="BG1943" s="5" t="s">
        <v>238</v>
      </c>
      <c r="BH1943" s="7">
        <f>0</f>
        <v>0</v>
      </c>
      <c r="BI1943" s="8">
        <f>0</f>
        <v>0</v>
      </c>
      <c r="BJ1943" s="5" t="s">
        <v>253</v>
      </c>
      <c r="BK1943" s="5" t="s">
        <v>254</v>
      </c>
      <c r="BY1943" s="5" t="s">
        <v>238</v>
      </c>
      <c r="BZ1943" s="5" t="s">
        <v>238</v>
      </c>
      <c r="CD1943" s="5" t="s">
        <v>273</v>
      </c>
      <c r="CE1943" s="5" t="s">
        <v>256</v>
      </c>
      <c r="CF1943" s="5" t="s">
        <v>238</v>
      </c>
      <c r="CI1943" s="6" t="s">
        <v>257</v>
      </c>
      <c r="CJ1943" s="5" t="s">
        <v>238</v>
      </c>
      <c r="CK1943" s="5" t="s">
        <v>258</v>
      </c>
      <c r="CL1943" s="5" t="s">
        <v>238</v>
      </c>
      <c r="CM1943" s="5" t="s">
        <v>238</v>
      </c>
      <c r="CN1943" s="5">
        <v>0</v>
      </c>
      <c r="CO1943" s="5" t="s">
        <v>259</v>
      </c>
      <c r="CP1943" s="5" t="s">
        <v>260</v>
      </c>
      <c r="CQ1943" s="5" t="s">
        <v>260</v>
      </c>
      <c r="CR1943" s="5" t="s">
        <v>261</v>
      </c>
      <c r="CU1943" s="8">
        <f>1</f>
        <v>1</v>
      </c>
      <c r="CV1943" s="8">
        <f>0</f>
        <v>0</v>
      </c>
      <c r="CX1943" s="8">
        <f>0</f>
        <v>0</v>
      </c>
      <c r="CY1943" s="8">
        <f>1</f>
        <v>1</v>
      </c>
      <c r="DA1943" s="5" t="s">
        <v>274</v>
      </c>
      <c r="DB1943" s="5" t="s">
        <v>238</v>
      </c>
      <c r="DD1943" s="5" t="s">
        <v>274</v>
      </c>
      <c r="DE1943" s="8">
        <f>1376</f>
        <v>1376</v>
      </c>
      <c r="DG1943" s="5" t="s">
        <v>238</v>
      </c>
      <c r="DH1943" s="5" t="s">
        <v>238</v>
      </c>
      <c r="DI1943" s="5" t="s">
        <v>238</v>
      </c>
      <c r="DJ1943" s="5" t="s">
        <v>238</v>
      </c>
      <c r="DN1943" s="5" t="s">
        <v>238</v>
      </c>
      <c r="DO1943" s="5" t="s">
        <v>238</v>
      </c>
      <c r="DP1943" s="5" t="s">
        <v>238</v>
      </c>
      <c r="DQ1943" s="5" t="s">
        <v>238</v>
      </c>
      <c r="DT1943" s="5" t="s">
        <v>275</v>
      </c>
      <c r="DU1943" s="5" t="s">
        <v>602</v>
      </c>
      <c r="HM1943" s="5" t="s">
        <v>264</v>
      </c>
    </row>
    <row r="1944" spans="1:221" x14ac:dyDescent="0.4">
      <c r="A1944" s="5">
        <v>3648</v>
      </c>
      <c r="B1944" s="5">
        <v>1</v>
      </c>
      <c r="C1944" s="5">
        <v>1</v>
      </c>
      <c r="D1944" s="5" t="s">
        <v>269</v>
      </c>
      <c r="E1944" s="5" t="s">
        <v>271</v>
      </c>
      <c r="F1944" s="5" t="s">
        <v>248</v>
      </c>
      <c r="G1944" s="5" t="s">
        <v>266</v>
      </c>
      <c r="H1944" s="6" t="s">
        <v>1306</v>
      </c>
      <c r="I1944" s="7">
        <f>206</f>
        <v>206</v>
      </c>
      <c r="J1944" s="5" t="s">
        <v>262</v>
      </c>
      <c r="K1944" s="8">
        <f>1</f>
        <v>1</v>
      </c>
      <c r="L1944" s="6" t="s">
        <v>242</v>
      </c>
      <c r="M1944" s="5" t="s">
        <v>267</v>
      </c>
      <c r="N1944" s="5" t="s">
        <v>265</v>
      </c>
      <c r="O1944" s="5" t="s">
        <v>238</v>
      </c>
      <c r="P1944" s="5" t="s">
        <v>238</v>
      </c>
      <c r="Q1944" s="5" t="s">
        <v>268</v>
      </c>
      <c r="R1944" s="5" t="s">
        <v>270</v>
      </c>
      <c r="S1944" s="5" t="s">
        <v>238</v>
      </c>
      <c r="V1944" s="5" t="s">
        <v>238</v>
      </c>
      <c r="X1944" s="6" t="s">
        <v>238</v>
      </c>
      <c r="AA1944" s="6" t="s">
        <v>243</v>
      </c>
      <c r="AB1944" s="5" t="s">
        <v>238</v>
      </c>
      <c r="AC1944" s="5" t="s">
        <v>244</v>
      </c>
      <c r="AD1944" s="5" t="s">
        <v>245</v>
      </c>
      <c r="AT1944" s="5" t="s">
        <v>246</v>
      </c>
      <c r="AU1944" s="5" t="s">
        <v>238</v>
      </c>
      <c r="AV1944" s="5" t="s">
        <v>247</v>
      </c>
      <c r="AW1944" s="5" t="s">
        <v>238</v>
      </c>
      <c r="AX1944" s="5" t="s">
        <v>249</v>
      </c>
      <c r="AY1944" s="5" t="s">
        <v>238</v>
      </c>
      <c r="BA1944" s="5" t="s">
        <v>238</v>
      </c>
      <c r="BC1944" s="5" t="s">
        <v>250</v>
      </c>
      <c r="BD1944" s="6" t="s">
        <v>243</v>
      </c>
      <c r="BE1944" s="5" t="s">
        <v>251</v>
      </c>
      <c r="BF1944" s="5" t="s">
        <v>252</v>
      </c>
      <c r="BG1944" s="5" t="s">
        <v>238</v>
      </c>
      <c r="BH1944" s="7">
        <f>0</f>
        <v>0</v>
      </c>
      <c r="BI1944" s="8">
        <f>0</f>
        <v>0</v>
      </c>
      <c r="BJ1944" s="5" t="s">
        <v>253</v>
      </c>
      <c r="BK1944" s="5" t="s">
        <v>254</v>
      </c>
      <c r="BY1944" s="5" t="s">
        <v>238</v>
      </c>
      <c r="BZ1944" s="5" t="s">
        <v>238</v>
      </c>
      <c r="CD1944" s="5" t="s">
        <v>273</v>
      </c>
      <c r="CE1944" s="5" t="s">
        <v>256</v>
      </c>
      <c r="CF1944" s="5" t="s">
        <v>238</v>
      </c>
      <c r="CI1944" s="6" t="s">
        <v>257</v>
      </c>
      <c r="CJ1944" s="5" t="s">
        <v>238</v>
      </c>
      <c r="CK1944" s="5" t="s">
        <v>258</v>
      </c>
      <c r="CL1944" s="5" t="s">
        <v>238</v>
      </c>
      <c r="CM1944" s="5" t="s">
        <v>238</v>
      </c>
      <c r="CN1944" s="5">
        <v>0</v>
      </c>
      <c r="CO1944" s="5" t="s">
        <v>259</v>
      </c>
      <c r="CP1944" s="5" t="s">
        <v>260</v>
      </c>
      <c r="CQ1944" s="5" t="s">
        <v>260</v>
      </c>
      <c r="CR1944" s="5" t="s">
        <v>261</v>
      </c>
      <c r="CU1944" s="8">
        <f>1</f>
        <v>1</v>
      </c>
      <c r="CV1944" s="8">
        <f>0</f>
        <v>0</v>
      </c>
      <c r="CX1944" s="8">
        <f>0</f>
        <v>0</v>
      </c>
      <c r="CY1944" s="8">
        <f>1</f>
        <v>1</v>
      </c>
      <c r="DA1944" s="5" t="s">
        <v>274</v>
      </c>
      <c r="DB1944" s="5" t="s">
        <v>238</v>
      </c>
      <c r="DD1944" s="5" t="s">
        <v>274</v>
      </c>
      <c r="DE1944" s="8">
        <f>206</f>
        <v>206</v>
      </c>
      <c r="DG1944" s="5" t="s">
        <v>238</v>
      </c>
      <c r="DH1944" s="5" t="s">
        <v>238</v>
      </c>
      <c r="DI1944" s="5" t="s">
        <v>238</v>
      </c>
      <c r="DJ1944" s="5" t="s">
        <v>238</v>
      </c>
      <c r="DN1944" s="5" t="s">
        <v>238</v>
      </c>
      <c r="DO1944" s="5" t="s">
        <v>238</v>
      </c>
      <c r="DP1944" s="5" t="s">
        <v>238</v>
      </c>
      <c r="DQ1944" s="5" t="s">
        <v>238</v>
      </c>
      <c r="DT1944" s="5" t="s">
        <v>275</v>
      </c>
      <c r="DU1944" s="5" t="s">
        <v>1307</v>
      </c>
      <c r="HM1944" s="5" t="s">
        <v>264</v>
      </c>
    </row>
    <row r="1945" spans="1:221" x14ac:dyDescent="0.4">
      <c r="A1945" s="5">
        <v>3649</v>
      </c>
      <c r="B1945" s="5">
        <v>1</v>
      </c>
      <c r="C1945" s="5">
        <v>1</v>
      </c>
      <c r="D1945" s="5" t="s">
        <v>269</v>
      </c>
      <c r="E1945" s="5" t="s">
        <v>271</v>
      </c>
      <c r="F1945" s="5" t="s">
        <v>248</v>
      </c>
      <c r="G1945" s="5" t="s">
        <v>266</v>
      </c>
      <c r="H1945" s="6" t="s">
        <v>1304</v>
      </c>
      <c r="I1945" s="7">
        <f>978</f>
        <v>978</v>
      </c>
      <c r="J1945" s="5" t="s">
        <v>262</v>
      </c>
      <c r="K1945" s="8">
        <f>1</f>
        <v>1</v>
      </c>
      <c r="L1945" s="6" t="s">
        <v>242</v>
      </c>
      <c r="M1945" s="5" t="s">
        <v>267</v>
      </c>
      <c r="N1945" s="5" t="s">
        <v>265</v>
      </c>
      <c r="O1945" s="5" t="s">
        <v>238</v>
      </c>
      <c r="P1945" s="5" t="s">
        <v>238</v>
      </c>
      <c r="Q1945" s="5" t="s">
        <v>268</v>
      </c>
      <c r="R1945" s="5" t="s">
        <v>270</v>
      </c>
      <c r="S1945" s="5" t="s">
        <v>238</v>
      </c>
      <c r="V1945" s="5" t="s">
        <v>238</v>
      </c>
      <c r="X1945" s="6" t="s">
        <v>238</v>
      </c>
      <c r="AA1945" s="6" t="s">
        <v>243</v>
      </c>
      <c r="AB1945" s="5" t="s">
        <v>238</v>
      </c>
      <c r="AC1945" s="5" t="s">
        <v>244</v>
      </c>
      <c r="AD1945" s="5" t="s">
        <v>245</v>
      </c>
      <c r="AT1945" s="5" t="s">
        <v>246</v>
      </c>
      <c r="AU1945" s="5" t="s">
        <v>238</v>
      </c>
      <c r="AV1945" s="5" t="s">
        <v>247</v>
      </c>
      <c r="AW1945" s="5" t="s">
        <v>238</v>
      </c>
      <c r="AX1945" s="5" t="s">
        <v>249</v>
      </c>
      <c r="AY1945" s="5" t="s">
        <v>238</v>
      </c>
      <c r="BA1945" s="5" t="s">
        <v>238</v>
      </c>
      <c r="BC1945" s="5" t="s">
        <v>250</v>
      </c>
      <c r="BD1945" s="6" t="s">
        <v>243</v>
      </c>
      <c r="BE1945" s="5" t="s">
        <v>251</v>
      </c>
      <c r="BF1945" s="5" t="s">
        <v>252</v>
      </c>
      <c r="BG1945" s="5" t="s">
        <v>238</v>
      </c>
      <c r="BH1945" s="7">
        <f>0</f>
        <v>0</v>
      </c>
      <c r="BI1945" s="8">
        <f>0</f>
        <v>0</v>
      </c>
      <c r="BJ1945" s="5" t="s">
        <v>253</v>
      </c>
      <c r="BK1945" s="5" t="s">
        <v>254</v>
      </c>
      <c r="BY1945" s="5" t="s">
        <v>238</v>
      </c>
      <c r="BZ1945" s="5" t="s">
        <v>238</v>
      </c>
      <c r="CD1945" s="5" t="s">
        <v>273</v>
      </c>
      <c r="CE1945" s="5" t="s">
        <v>256</v>
      </c>
      <c r="CF1945" s="5" t="s">
        <v>238</v>
      </c>
      <c r="CI1945" s="6" t="s">
        <v>257</v>
      </c>
      <c r="CJ1945" s="5" t="s">
        <v>238</v>
      </c>
      <c r="CK1945" s="5" t="s">
        <v>258</v>
      </c>
      <c r="CL1945" s="5" t="s">
        <v>238</v>
      </c>
      <c r="CM1945" s="5" t="s">
        <v>238</v>
      </c>
      <c r="CN1945" s="5">
        <v>0</v>
      </c>
      <c r="CO1945" s="5" t="s">
        <v>259</v>
      </c>
      <c r="CP1945" s="5" t="s">
        <v>260</v>
      </c>
      <c r="CQ1945" s="5" t="s">
        <v>260</v>
      </c>
      <c r="CR1945" s="5" t="s">
        <v>261</v>
      </c>
      <c r="CU1945" s="8">
        <f>1</f>
        <v>1</v>
      </c>
      <c r="CV1945" s="8">
        <f>0</f>
        <v>0</v>
      </c>
      <c r="CX1945" s="8">
        <f>0</f>
        <v>0</v>
      </c>
      <c r="CY1945" s="8">
        <f>1</f>
        <v>1</v>
      </c>
      <c r="DA1945" s="5" t="s">
        <v>274</v>
      </c>
      <c r="DB1945" s="5" t="s">
        <v>238</v>
      </c>
      <c r="DD1945" s="5" t="s">
        <v>274</v>
      </c>
      <c r="DE1945" s="8">
        <f>978</f>
        <v>978</v>
      </c>
      <c r="DG1945" s="5" t="s">
        <v>238</v>
      </c>
      <c r="DH1945" s="5" t="s">
        <v>238</v>
      </c>
      <c r="DI1945" s="5" t="s">
        <v>238</v>
      </c>
      <c r="DJ1945" s="5" t="s">
        <v>238</v>
      </c>
      <c r="DN1945" s="5" t="s">
        <v>238</v>
      </c>
      <c r="DO1945" s="5" t="s">
        <v>238</v>
      </c>
      <c r="DP1945" s="5" t="s">
        <v>238</v>
      </c>
      <c r="DQ1945" s="5" t="s">
        <v>238</v>
      </c>
      <c r="DT1945" s="5" t="s">
        <v>275</v>
      </c>
      <c r="DU1945" s="5" t="s">
        <v>1305</v>
      </c>
      <c r="HM1945" s="5" t="s">
        <v>264</v>
      </c>
    </row>
    <row r="1946" spans="1:221" x14ac:dyDescent="0.4">
      <c r="A1946" s="5">
        <v>3650</v>
      </c>
      <c r="B1946" s="5">
        <v>1</v>
      </c>
      <c r="C1946" s="5">
        <v>1</v>
      </c>
      <c r="D1946" s="5" t="s">
        <v>269</v>
      </c>
      <c r="E1946" s="5" t="s">
        <v>271</v>
      </c>
      <c r="F1946" s="5" t="s">
        <v>248</v>
      </c>
      <c r="G1946" s="5" t="s">
        <v>266</v>
      </c>
      <c r="H1946" s="6" t="s">
        <v>1300</v>
      </c>
      <c r="I1946" s="7">
        <f>3156</f>
        <v>3156</v>
      </c>
      <c r="J1946" s="5" t="s">
        <v>262</v>
      </c>
      <c r="K1946" s="8">
        <f>1</f>
        <v>1</v>
      </c>
      <c r="L1946" s="6" t="s">
        <v>242</v>
      </c>
      <c r="M1946" s="5" t="s">
        <v>267</v>
      </c>
      <c r="N1946" s="5" t="s">
        <v>265</v>
      </c>
      <c r="O1946" s="5" t="s">
        <v>238</v>
      </c>
      <c r="P1946" s="5" t="s">
        <v>238</v>
      </c>
      <c r="Q1946" s="5" t="s">
        <v>268</v>
      </c>
      <c r="R1946" s="5" t="s">
        <v>270</v>
      </c>
      <c r="S1946" s="5" t="s">
        <v>238</v>
      </c>
      <c r="V1946" s="5" t="s">
        <v>238</v>
      </c>
      <c r="X1946" s="6" t="s">
        <v>238</v>
      </c>
      <c r="AA1946" s="6" t="s">
        <v>243</v>
      </c>
      <c r="AB1946" s="5" t="s">
        <v>238</v>
      </c>
      <c r="AC1946" s="5" t="s">
        <v>244</v>
      </c>
      <c r="AD1946" s="5" t="s">
        <v>245</v>
      </c>
      <c r="AT1946" s="5" t="s">
        <v>246</v>
      </c>
      <c r="AU1946" s="5" t="s">
        <v>238</v>
      </c>
      <c r="AV1946" s="5" t="s">
        <v>247</v>
      </c>
      <c r="AW1946" s="5" t="s">
        <v>238</v>
      </c>
      <c r="AX1946" s="5" t="s">
        <v>249</v>
      </c>
      <c r="AY1946" s="5" t="s">
        <v>238</v>
      </c>
      <c r="BA1946" s="5" t="s">
        <v>238</v>
      </c>
      <c r="BC1946" s="5" t="s">
        <v>250</v>
      </c>
      <c r="BD1946" s="6" t="s">
        <v>243</v>
      </c>
      <c r="BE1946" s="5" t="s">
        <v>251</v>
      </c>
      <c r="BF1946" s="5" t="s">
        <v>252</v>
      </c>
      <c r="BG1946" s="5" t="s">
        <v>238</v>
      </c>
      <c r="BH1946" s="7">
        <f>0</f>
        <v>0</v>
      </c>
      <c r="BI1946" s="8">
        <f>0</f>
        <v>0</v>
      </c>
      <c r="BJ1946" s="5" t="s">
        <v>253</v>
      </c>
      <c r="BK1946" s="5" t="s">
        <v>254</v>
      </c>
      <c r="BY1946" s="5" t="s">
        <v>238</v>
      </c>
      <c r="BZ1946" s="5" t="s">
        <v>238</v>
      </c>
      <c r="CD1946" s="5" t="s">
        <v>273</v>
      </c>
      <c r="CE1946" s="5" t="s">
        <v>256</v>
      </c>
      <c r="CF1946" s="5" t="s">
        <v>238</v>
      </c>
      <c r="CI1946" s="6" t="s">
        <v>257</v>
      </c>
      <c r="CJ1946" s="5" t="s">
        <v>238</v>
      </c>
      <c r="CK1946" s="5" t="s">
        <v>258</v>
      </c>
      <c r="CL1946" s="5" t="s">
        <v>238</v>
      </c>
      <c r="CM1946" s="5" t="s">
        <v>238</v>
      </c>
      <c r="CN1946" s="5">
        <v>0</v>
      </c>
      <c r="CO1946" s="5" t="s">
        <v>259</v>
      </c>
      <c r="CP1946" s="5" t="s">
        <v>260</v>
      </c>
      <c r="CQ1946" s="5" t="s">
        <v>260</v>
      </c>
      <c r="CR1946" s="5" t="s">
        <v>261</v>
      </c>
      <c r="CU1946" s="8">
        <f>1</f>
        <v>1</v>
      </c>
      <c r="CV1946" s="8">
        <f>0</f>
        <v>0</v>
      </c>
      <c r="CX1946" s="8">
        <f>0</f>
        <v>0</v>
      </c>
      <c r="CY1946" s="8">
        <f>1</f>
        <v>1</v>
      </c>
      <c r="DA1946" s="5" t="s">
        <v>274</v>
      </c>
      <c r="DB1946" s="5" t="s">
        <v>238</v>
      </c>
      <c r="DD1946" s="5" t="s">
        <v>274</v>
      </c>
      <c r="DE1946" s="8">
        <f>3156</f>
        <v>3156</v>
      </c>
      <c r="DG1946" s="5" t="s">
        <v>238</v>
      </c>
      <c r="DH1946" s="5" t="s">
        <v>238</v>
      </c>
      <c r="DI1946" s="5" t="s">
        <v>238</v>
      </c>
      <c r="DJ1946" s="5" t="s">
        <v>238</v>
      </c>
      <c r="DN1946" s="5" t="s">
        <v>238</v>
      </c>
      <c r="DO1946" s="5" t="s">
        <v>238</v>
      </c>
      <c r="DP1946" s="5" t="s">
        <v>238</v>
      </c>
      <c r="DQ1946" s="5" t="s">
        <v>238</v>
      </c>
      <c r="DT1946" s="5" t="s">
        <v>275</v>
      </c>
      <c r="DU1946" s="5" t="s">
        <v>1301</v>
      </c>
      <c r="HM1946" s="5" t="s">
        <v>264</v>
      </c>
    </row>
    <row r="1947" spans="1:221" x14ac:dyDescent="0.4">
      <c r="A1947" s="5">
        <v>3651</v>
      </c>
      <c r="B1947" s="5">
        <v>1</v>
      </c>
      <c r="C1947" s="5">
        <v>1</v>
      </c>
      <c r="D1947" s="5" t="s">
        <v>269</v>
      </c>
      <c r="E1947" s="5" t="s">
        <v>271</v>
      </c>
      <c r="F1947" s="5" t="s">
        <v>248</v>
      </c>
      <c r="G1947" s="5" t="s">
        <v>266</v>
      </c>
      <c r="H1947" s="6" t="s">
        <v>1298</v>
      </c>
      <c r="I1947" s="7">
        <f>825</f>
        <v>825</v>
      </c>
      <c r="J1947" s="5" t="s">
        <v>262</v>
      </c>
      <c r="K1947" s="8">
        <f>1</f>
        <v>1</v>
      </c>
      <c r="L1947" s="6" t="s">
        <v>242</v>
      </c>
      <c r="M1947" s="5" t="s">
        <v>267</v>
      </c>
      <c r="N1947" s="5" t="s">
        <v>265</v>
      </c>
      <c r="O1947" s="5" t="s">
        <v>238</v>
      </c>
      <c r="P1947" s="5" t="s">
        <v>238</v>
      </c>
      <c r="Q1947" s="5" t="s">
        <v>268</v>
      </c>
      <c r="R1947" s="5" t="s">
        <v>270</v>
      </c>
      <c r="S1947" s="5" t="s">
        <v>238</v>
      </c>
      <c r="V1947" s="5" t="s">
        <v>238</v>
      </c>
      <c r="X1947" s="6" t="s">
        <v>238</v>
      </c>
      <c r="AA1947" s="6" t="s">
        <v>243</v>
      </c>
      <c r="AB1947" s="5" t="s">
        <v>238</v>
      </c>
      <c r="AC1947" s="5" t="s">
        <v>244</v>
      </c>
      <c r="AD1947" s="5" t="s">
        <v>245</v>
      </c>
      <c r="AT1947" s="5" t="s">
        <v>246</v>
      </c>
      <c r="AU1947" s="5" t="s">
        <v>238</v>
      </c>
      <c r="AV1947" s="5" t="s">
        <v>247</v>
      </c>
      <c r="AW1947" s="5" t="s">
        <v>238</v>
      </c>
      <c r="AX1947" s="5" t="s">
        <v>249</v>
      </c>
      <c r="AY1947" s="5" t="s">
        <v>238</v>
      </c>
      <c r="BA1947" s="5" t="s">
        <v>238</v>
      </c>
      <c r="BC1947" s="5" t="s">
        <v>250</v>
      </c>
      <c r="BD1947" s="6" t="s">
        <v>243</v>
      </c>
      <c r="BE1947" s="5" t="s">
        <v>251</v>
      </c>
      <c r="BF1947" s="5" t="s">
        <v>252</v>
      </c>
      <c r="BG1947" s="5" t="s">
        <v>238</v>
      </c>
      <c r="BH1947" s="7">
        <f>0</f>
        <v>0</v>
      </c>
      <c r="BI1947" s="8">
        <f>0</f>
        <v>0</v>
      </c>
      <c r="BJ1947" s="5" t="s">
        <v>253</v>
      </c>
      <c r="BK1947" s="5" t="s">
        <v>254</v>
      </c>
      <c r="BY1947" s="5" t="s">
        <v>238</v>
      </c>
      <c r="BZ1947" s="5" t="s">
        <v>238</v>
      </c>
      <c r="CD1947" s="5" t="s">
        <v>273</v>
      </c>
      <c r="CE1947" s="5" t="s">
        <v>256</v>
      </c>
      <c r="CF1947" s="5" t="s">
        <v>238</v>
      </c>
      <c r="CI1947" s="6" t="s">
        <v>257</v>
      </c>
      <c r="CJ1947" s="5" t="s">
        <v>238</v>
      </c>
      <c r="CK1947" s="5" t="s">
        <v>258</v>
      </c>
      <c r="CL1947" s="5" t="s">
        <v>238</v>
      </c>
      <c r="CM1947" s="5" t="s">
        <v>238</v>
      </c>
      <c r="CN1947" s="5">
        <v>0</v>
      </c>
      <c r="CO1947" s="5" t="s">
        <v>259</v>
      </c>
      <c r="CP1947" s="5" t="s">
        <v>260</v>
      </c>
      <c r="CQ1947" s="5" t="s">
        <v>260</v>
      </c>
      <c r="CR1947" s="5" t="s">
        <v>261</v>
      </c>
      <c r="CU1947" s="8">
        <f>1</f>
        <v>1</v>
      </c>
      <c r="CV1947" s="8">
        <f>0</f>
        <v>0</v>
      </c>
      <c r="CX1947" s="8">
        <f>0</f>
        <v>0</v>
      </c>
      <c r="CY1947" s="8">
        <f>1</f>
        <v>1</v>
      </c>
      <c r="DA1947" s="5" t="s">
        <v>274</v>
      </c>
      <c r="DB1947" s="5" t="s">
        <v>238</v>
      </c>
      <c r="DD1947" s="5" t="s">
        <v>274</v>
      </c>
      <c r="DE1947" s="8">
        <f>825</f>
        <v>825</v>
      </c>
      <c r="DG1947" s="5" t="s">
        <v>238</v>
      </c>
      <c r="DH1947" s="5" t="s">
        <v>238</v>
      </c>
      <c r="DI1947" s="5" t="s">
        <v>238</v>
      </c>
      <c r="DJ1947" s="5" t="s">
        <v>238</v>
      </c>
      <c r="DN1947" s="5" t="s">
        <v>238</v>
      </c>
      <c r="DO1947" s="5" t="s">
        <v>238</v>
      </c>
      <c r="DP1947" s="5" t="s">
        <v>238</v>
      </c>
      <c r="DQ1947" s="5" t="s">
        <v>238</v>
      </c>
      <c r="DT1947" s="5" t="s">
        <v>275</v>
      </c>
      <c r="DU1947" s="5" t="s">
        <v>1299</v>
      </c>
      <c r="HM1947" s="5" t="s">
        <v>264</v>
      </c>
    </row>
    <row r="1948" spans="1:221" x14ac:dyDescent="0.4">
      <c r="A1948" s="5">
        <v>3652</v>
      </c>
      <c r="B1948" s="5">
        <v>1</v>
      </c>
      <c r="C1948" s="5">
        <v>1</v>
      </c>
      <c r="D1948" s="5" t="s">
        <v>269</v>
      </c>
      <c r="E1948" s="5" t="s">
        <v>271</v>
      </c>
      <c r="F1948" s="5" t="s">
        <v>248</v>
      </c>
      <c r="G1948" s="5" t="s">
        <v>266</v>
      </c>
      <c r="H1948" s="6" t="s">
        <v>1290</v>
      </c>
      <c r="I1948" s="7">
        <f>2168</f>
        <v>2168</v>
      </c>
      <c r="J1948" s="5" t="s">
        <v>262</v>
      </c>
      <c r="K1948" s="8">
        <f>1</f>
        <v>1</v>
      </c>
      <c r="L1948" s="6" t="s">
        <v>242</v>
      </c>
      <c r="M1948" s="5" t="s">
        <v>267</v>
      </c>
      <c r="N1948" s="5" t="s">
        <v>265</v>
      </c>
      <c r="O1948" s="5" t="s">
        <v>238</v>
      </c>
      <c r="P1948" s="5" t="s">
        <v>238</v>
      </c>
      <c r="Q1948" s="5" t="s">
        <v>268</v>
      </c>
      <c r="R1948" s="5" t="s">
        <v>270</v>
      </c>
      <c r="S1948" s="5" t="s">
        <v>238</v>
      </c>
      <c r="V1948" s="5" t="s">
        <v>238</v>
      </c>
      <c r="X1948" s="6" t="s">
        <v>238</v>
      </c>
      <c r="AA1948" s="6" t="s">
        <v>243</v>
      </c>
      <c r="AB1948" s="5" t="s">
        <v>238</v>
      </c>
      <c r="AC1948" s="5" t="s">
        <v>244</v>
      </c>
      <c r="AD1948" s="5" t="s">
        <v>245</v>
      </c>
      <c r="AT1948" s="5" t="s">
        <v>246</v>
      </c>
      <c r="AU1948" s="5" t="s">
        <v>238</v>
      </c>
      <c r="AV1948" s="5" t="s">
        <v>247</v>
      </c>
      <c r="AW1948" s="5" t="s">
        <v>238</v>
      </c>
      <c r="AX1948" s="5" t="s">
        <v>249</v>
      </c>
      <c r="AY1948" s="5" t="s">
        <v>238</v>
      </c>
      <c r="BA1948" s="5" t="s">
        <v>238</v>
      </c>
      <c r="BC1948" s="5" t="s">
        <v>250</v>
      </c>
      <c r="BD1948" s="6" t="s">
        <v>243</v>
      </c>
      <c r="BE1948" s="5" t="s">
        <v>251</v>
      </c>
      <c r="BF1948" s="5" t="s">
        <v>252</v>
      </c>
      <c r="BG1948" s="5" t="s">
        <v>238</v>
      </c>
      <c r="BH1948" s="7">
        <f>0</f>
        <v>0</v>
      </c>
      <c r="BI1948" s="8">
        <f>0</f>
        <v>0</v>
      </c>
      <c r="BJ1948" s="5" t="s">
        <v>253</v>
      </c>
      <c r="BK1948" s="5" t="s">
        <v>254</v>
      </c>
      <c r="BY1948" s="5" t="s">
        <v>238</v>
      </c>
      <c r="BZ1948" s="5" t="s">
        <v>238</v>
      </c>
      <c r="CD1948" s="5" t="s">
        <v>273</v>
      </c>
      <c r="CE1948" s="5" t="s">
        <v>256</v>
      </c>
      <c r="CF1948" s="5" t="s">
        <v>238</v>
      </c>
      <c r="CI1948" s="6" t="s">
        <v>257</v>
      </c>
      <c r="CJ1948" s="5" t="s">
        <v>238</v>
      </c>
      <c r="CK1948" s="5" t="s">
        <v>258</v>
      </c>
      <c r="CL1948" s="5" t="s">
        <v>238</v>
      </c>
      <c r="CM1948" s="5" t="s">
        <v>238</v>
      </c>
      <c r="CN1948" s="5">
        <v>0</v>
      </c>
      <c r="CO1948" s="5" t="s">
        <v>259</v>
      </c>
      <c r="CP1948" s="5" t="s">
        <v>260</v>
      </c>
      <c r="CQ1948" s="5" t="s">
        <v>260</v>
      </c>
      <c r="CR1948" s="5" t="s">
        <v>261</v>
      </c>
      <c r="CU1948" s="8">
        <f>1</f>
        <v>1</v>
      </c>
      <c r="CV1948" s="8">
        <f>0</f>
        <v>0</v>
      </c>
      <c r="CX1948" s="8">
        <f>0</f>
        <v>0</v>
      </c>
      <c r="CY1948" s="8">
        <f>1</f>
        <v>1</v>
      </c>
      <c r="DA1948" s="5" t="s">
        <v>274</v>
      </c>
      <c r="DB1948" s="5" t="s">
        <v>238</v>
      </c>
      <c r="DD1948" s="5" t="s">
        <v>274</v>
      </c>
      <c r="DE1948" s="8">
        <f>2168</f>
        <v>2168</v>
      </c>
      <c r="DG1948" s="5" t="s">
        <v>238</v>
      </c>
      <c r="DH1948" s="5" t="s">
        <v>238</v>
      </c>
      <c r="DI1948" s="5" t="s">
        <v>238</v>
      </c>
      <c r="DJ1948" s="5" t="s">
        <v>238</v>
      </c>
      <c r="DN1948" s="5" t="s">
        <v>238</v>
      </c>
      <c r="DO1948" s="5" t="s">
        <v>238</v>
      </c>
      <c r="DP1948" s="5" t="s">
        <v>238</v>
      </c>
      <c r="DQ1948" s="5" t="s">
        <v>238</v>
      </c>
      <c r="DT1948" s="5" t="s">
        <v>275</v>
      </c>
      <c r="DU1948" s="5" t="s">
        <v>1291</v>
      </c>
      <c r="HM1948" s="5" t="s">
        <v>264</v>
      </c>
    </row>
    <row r="1949" spans="1:221" x14ac:dyDescent="0.4">
      <c r="A1949" s="5">
        <v>3653</v>
      </c>
      <c r="B1949" s="5">
        <v>1</v>
      </c>
      <c r="C1949" s="5">
        <v>1</v>
      </c>
      <c r="D1949" s="5" t="s">
        <v>269</v>
      </c>
      <c r="E1949" s="5" t="s">
        <v>271</v>
      </c>
      <c r="F1949" s="5" t="s">
        <v>248</v>
      </c>
      <c r="G1949" s="5" t="s">
        <v>266</v>
      </c>
      <c r="H1949" s="6" t="s">
        <v>1288</v>
      </c>
      <c r="I1949" s="7">
        <f>2591</f>
        <v>2591</v>
      </c>
      <c r="J1949" s="5" t="s">
        <v>262</v>
      </c>
      <c r="K1949" s="8">
        <f>1</f>
        <v>1</v>
      </c>
      <c r="L1949" s="6" t="s">
        <v>242</v>
      </c>
      <c r="M1949" s="5" t="s">
        <v>267</v>
      </c>
      <c r="N1949" s="5" t="s">
        <v>265</v>
      </c>
      <c r="O1949" s="5" t="s">
        <v>238</v>
      </c>
      <c r="P1949" s="5" t="s">
        <v>238</v>
      </c>
      <c r="Q1949" s="5" t="s">
        <v>268</v>
      </c>
      <c r="R1949" s="5" t="s">
        <v>270</v>
      </c>
      <c r="S1949" s="5" t="s">
        <v>238</v>
      </c>
      <c r="V1949" s="5" t="s">
        <v>238</v>
      </c>
      <c r="X1949" s="6" t="s">
        <v>238</v>
      </c>
      <c r="AA1949" s="6" t="s">
        <v>243</v>
      </c>
      <c r="AB1949" s="5" t="s">
        <v>238</v>
      </c>
      <c r="AC1949" s="5" t="s">
        <v>244</v>
      </c>
      <c r="AD1949" s="5" t="s">
        <v>245</v>
      </c>
      <c r="AT1949" s="5" t="s">
        <v>246</v>
      </c>
      <c r="AU1949" s="5" t="s">
        <v>238</v>
      </c>
      <c r="AV1949" s="5" t="s">
        <v>247</v>
      </c>
      <c r="AW1949" s="5" t="s">
        <v>238</v>
      </c>
      <c r="AX1949" s="5" t="s">
        <v>249</v>
      </c>
      <c r="AY1949" s="5" t="s">
        <v>238</v>
      </c>
      <c r="BA1949" s="5" t="s">
        <v>238</v>
      </c>
      <c r="BC1949" s="5" t="s">
        <v>250</v>
      </c>
      <c r="BD1949" s="6" t="s">
        <v>243</v>
      </c>
      <c r="BE1949" s="5" t="s">
        <v>251</v>
      </c>
      <c r="BF1949" s="5" t="s">
        <v>252</v>
      </c>
      <c r="BG1949" s="5" t="s">
        <v>238</v>
      </c>
      <c r="BH1949" s="7">
        <f>0</f>
        <v>0</v>
      </c>
      <c r="BI1949" s="8">
        <f>0</f>
        <v>0</v>
      </c>
      <c r="BJ1949" s="5" t="s">
        <v>253</v>
      </c>
      <c r="BK1949" s="5" t="s">
        <v>254</v>
      </c>
      <c r="BY1949" s="5" t="s">
        <v>238</v>
      </c>
      <c r="BZ1949" s="5" t="s">
        <v>238</v>
      </c>
      <c r="CD1949" s="5" t="s">
        <v>273</v>
      </c>
      <c r="CE1949" s="5" t="s">
        <v>256</v>
      </c>
      <c r="CF1949" s="5" t="s">
        <v>238</v>
      </c>
      <c r="CI1949" s="6" t="s">
        <v>257</v>
      </c>
      <c r="CJ1949" s="5" t="s">
        <v>238</v>
      </c>
      <c r="CK1949" s="5" t="s">
        <v>258</v>
      </c>
      <c r="CL1949" s="5" t="s">
        <v>238</v>
      </c>
      <c r="CM1949" s="5" t="s">
        <v>238</v>
      </c>
      <c r="CN1949" s="5">
        <v>0</v>
      </c>
      <c r="CO1949" s="5" t="s">
        <v>259</v>
      </c>
      <c r="CP1949" s="5" t="s">
        <v>260</v>
      </c>
      <c r="CQ1949" s="5" t="s">
        <v>260</v>
      </c>
      <c r="CR1949" s="5" t="s">
        <v>261</v>
      </c>
      <c r="CU1949" s="8">
        <f>1</f>
        <v>1</v>
      </c>
      <c r="CV1949" s="8">
        <f>0</f>
        <v>0</v>
      </c>
      <c r="CX1949" s="8">
        <f>0</f>
        <v>0</v>
      </c>
      <c r="CY1949" s="8">
        <f>1</f>
        <v>1</v>
      </c>
      <c r="DA1949" s="5" t="s">
        <v>274</v>
      </c>
      <c r="DB1949" s="5" t="s">
        <v>238</v>
      </c>
      <c r="DD1949" s="5" t="s">
        <v>274</v>
      </c>
      <c r="DE1949" s="8">
        <f>2591</f>
        <v>2591</v>
      </c>
      <c r="DG1949" s="5" t="s">
        <v>238</v>
      </c>
      <c r="DH1949" s="5" t="s">
        <v>238</v>
      </c>
      <c r="DI1949" s="5" t="s">
        <v>238</v>
      </c>
      <c r="DJ1949" s="5" t="s">
        <v>238</v>
      </c>
      <c r="DN1949" s="5" t="s">
        <v>238</v>
      </c>
      <c r="DO1949" s="5" t="s">
        <v>238</v>
      </c>
      <c r="DP1949" s="5" t="s">
        <v>238</v>
      </c>
      <c r="DQ1949" s="5" t="s">
        <v>238</v>
      </c>
      <c r="DT1949" s="5" t="s">
        <v>275</v>
      </c>
      <c r="DU1949" s="5" t="s">
        <v>1289</v>
      </c>
      <c r="HM1949" s="5" t="s">
        <v>264</v>
      </c>
    </row>
    <row r="1950" spans="1:221" x14ac:dyDescent="0.4">
      <c r="A1950" s="5">
        <v>3654</v>
      </c>
      <c r="B1950" s="5">
        <v>1</v>
      </c>
      <c r="C1950" s="5">
        <v>1</v>
      </c>
      <c r="D1950" s="5" t="s">
        <v>269</v>
      </c>
      <c r="E1950" s="5" t="s">
        <v>271</v>
      </c>
      <c r="F1950" s="5" t="s">
        <v>248</v>
      </c>
      <c r="G1950" s="5" t="s">
        <v>266</v>
      </c>
      <c r="H1950" s="6" t="s">
        <v>1285</v>
      </c>
      <c r="I1950" s="7">
        <f>2942</f>
        <v>2942</v>
      </c>
      <c r="J1950" s="5" t="s">
        <v>262</v>
      </c>
      <c r="K1950" s="8">
        <f>1</f>
        <v>1</v>
      </c>
      <c r="L1950" s="6" t="s">
        <v>242</v>
      </c>
      <c r="M1950" s="5" t="s">
        <v>267</v>
      </c>
      <c r="N1950" s="5" t="s">
        <v>265</v>
      </c>
      <c r="O1950" s="5" t="s">
        <v>238</v>
      </c>
      <c r="P1950" s="5" t="s">
        <v>238</v>
      </c>
      <c r="Q1950" s="5" t="s">
        <v>268</v>
      </c>
      <c r="R1950" s="5" t="s">
        <v>270</v>
      </c>
      <c r="S1950" s="5" t="s">
        <v>238</v>
      </c>
      <c r="V1950" s="5" t="s">
        <v>238</v>
      </c>
      <c r="X1950" s="6" t="s">
        <v>238</v>
      </c>
      <c r="AA1950" s="6" t="s">
        <v>243</v>
      </c>
      <c r="AB1950" s="5" t="s">
        <v>238</v>
      </c>
      <c r="AC1950" s="5" t="s">
        <v>244</v>
      </c>
      <c r="AD1950" s="5" t="s">
        <v>245</v>
      </c>
      <c r="AT1950" s="5" t="s">
        <v>246</v>
      </c>
      <c r="AU1950" s="5" t="s">
        <v>238</v>
      </c>
      <c r="AV1950" s="5" t="s">
        <v>247</v>
      </c>
      <c r="AW1950" s="5" t="s">
        <v>238</v>
      </c>
      <c r="AX1950" s="5" t="s">
        <v>249</v>
      </c>
      <c r="AY1950" s="5" t="s">
        <v>238</v>
      </c>
      <c r="BA1950" s="5" t="s">
        <v>238</v>
      </c>
      <c r="BC1950" s="5" t="s">
        <v>250</v>
      </c>
      <c r="BD1950" s="6" t="s">
        <v>243</v>
      </c>
      <c r="BE1950" s="5" t="s">
        <v>251</v>
      </c>
      <c r="BF1950" s="5" t="s">
        <v>252</v>
      </c>
      <c r="BG1950" s="5" t="s">
        <v>238</v>
      </c>
      <c r="BH1950" s="7">
        <f>0</f>
        <v>0</v>
      </c>
      <c r="BI1950" s="8">
        <f>0</f>
        <v>0</v>
      </c>
      <c r="BJ1950" s="5" t="s">
        <v>253</v>
      </c>
      <c r="BK1950" s="5" t="s">
        <v>254</v>
      </c>
      <c r="BY1950" s="5" t="s">
        <v>238</v>
      </c>
      <c r="BZ1950" s="5" t="s">
        <v>238</v>
      </c>
      <c r="CD1950" s="5" t="s">
        <v>273</v>
      </c>
      <c r="CE1950" s="5" t="s">
        <v>256</v>
      </c>
      <c r="CF1950" s="5" t="s">
        <v>238</v>
      </c>
      <c r="CI1950" s="6" t="s">
        <v>257</v>
      </c>
      <c r="CJ1950" s="5" t="s">
        <v>238</v>
      </c>
      <c r="CK1950" s="5" t="s">
        <v>258</v>
      </c>
      <c r="CL1950" s="5" t="s">
        <v>238</v>
      </c>
      <c r="CM1950" s="5" t="s">
        <v>238</v>
      </c>
      <c r="CN1950" s="5">
        <v>0</v>
      </c>
      <c r="CO1950" s="5" t="s">
        <v>259</v>
      </c>
      <c r="CP1950" s="5" t="s">
        <v>260</v>
      </c>
      <c r="CQ1950" s="5" t="s">
        <v>260</v>
      </c>
      <c r="CR1950" s="5" t="s">
        <v>261</v>
      </c>
      <c r="CU1950" s="8">
        <f>1</f>
        <v>1</v>
      </c>
      <c r="CV1950" s="8">
        <f>0</f>
        <v>0</v>
      </c>
      <c r="CX1950" s="8">
        <f>0</f>
        <v>0</v>
      </c>
      <c r="CY1950" s="8">
        <f>1</f>
        <v>1</v>
      </c>
      <c r="DA1950" s="5" t="s">
        <v>274</v>
      </c>
      <c r="DB1950" s="5" t="s">
        <v>238</v>
      </c>
      <c r="DD1950" s="5" t="s">
        <v>274</v>
      </c>
      <c r="DE1950" s="8">
        <f>2942</f>
        <v>2942</v>
      </c>
      <c r="DG1950" s="5" t="s">
        <v>238</v>
      </c>
      <c r="DH1950" s="5" t="s">
        <v>238</v>
      </c>
      <c r="DI1950" s="5" t="s">
        <v>238</v>
      </c>
      <c r="DJ1950" s="5" t="s">
        <v>238</v>
      </c>
      <c r="DN1950" s="5" t="s">
        <v>238</v>
      </c>
      <c r="DO1950" s="5" t="s">
        <v>238</v>
      </c>
      <c r="DP1950" s="5" t="s">
        <v>238</v>
      </c>
      <c r="DQ1950" s="5" t="s">
        <v>238</v>
      </c>
      <c r="DT1950" s="5" t="s">
        <v>275</v>
      </c>
      <c r="DU1950" s="5" t="s">
        <v>358</v>
      </c>
      <c r="HM1950" s="5" t="s">
        <v>264</v>
      </c>
    </row>
    <row r="1951" spans="1:221" x14ac:dyDescent="0.4">
      <c r="A1951" s="5">
        <v>3655</v>
      </c>
      <c r="B1951" s="5">
        <v>1</v>
      </c>
      <c r="C1951" s="5">
        <v>1</v>
      </c>
      <c r="D1951" s="5" t="s">
        <v>269</v>
      </c>
      <c r="E1951" s="5" t="s">
        <v>271</v>
      </c>
      <c r="F1951" s="5" t="s">
        <v>248</v>
      </c>
      <c r="G1951" s="5" t="s">
        <v>266</v>
      </c>
      <c r="H1951" s="6" t="s">
        <v>1283</v>
      </c>
      <c r="I1951" s="7">
        <f>1967</f>
        <v>1967</v>
      </c>
      <c r="J1951" s="5" t="s">
        <v>262</v>
      </c>
      <c r="K1951" s="8">
        <f>1</f>
        <v>1</v>
      </c>
      <c r="L1951" s="6" t="s">
        <v>242</v>
      </c>
      <c r="M1951" s="5" t="s">
        <v>267</v>
      </c>
      <c r="N1951" s="5" t="s">
        <v>265</v>
      </c>
      <c r="O1951" s="5" t="s">
        <v>238</v>
      </c>
      <c r="P1951" s="5" t="s">
        <v>238</v>
      </c>
      <c r="Q1951" s="5" t="s">
        <v>268</v>
      </c>
      <c r="R1951" s="5" t="s">
        <v>270</v>
      </c>
      <c r="S1951" s="5" t="s">
        <v>238</v>
      </c>
      <c r="V1951" s="5" t="s">
        <v>238</v>
      </c>
      <c r="X1951" s="6" t="s">
        <v>238</v>
      </c>
      <c r="AA1951" s="6" t="s">
        <v>243</v>
      </c>
      <c r="AB1951" s="5" t="s">
        <v>238</v>
      </c>
      <c r="AC1951" s="5" t="s">
        <v>244</v>
      </c>
      <c r="AD1951" s="5" t="s">
        <v>245</v>
      </c>
      <c r="AT1951" s="5" t="s">
        <v>246</v>
      </c>
      <c r="AU1951" s="5" t="s">
        <v>238</v>
      </c>
      <c r="AV1951" s="5" t="s">
        <v>247</v>
      </c>
      <c r="AW1951" s="5" t="s">
        <v>238</v>
      </c>
      <c r="AX1951" s="5" t="s">
        <v>249</v>
      </c>
      <c r="AY1951" s="5" t="s">
        <v>238</v>
      </c>
      <c r="BA1951" s="5" t="s">
        <v>238</v>
      </c>
      <c r="BC1951" s="5" t="s">
        <v>250</v>
      </c>
      <c r="BD1951" s="6" t="s">
        <v>243</v>
      </c>
      <c r="BE1951" s="5" t="s">
        <v>251</v>
      </c>
      <c r="BF1951" s="5" t="s">
        <v>252</v>
      </c>
      <c r="BG1951" s="5" t="s">
        <v>238</v>
      </c>
      <c r="BH1951" s="7">
        <f>0</f>
        <v>0</v>
      </c>
      <c r="BI1951" s="8">
        <f>0</f>
        <v>0</v>
      </c>
      <c r="BJ1951" s="5" t="s">
        <v>253</v>
      </c>
      <c r="BK1951" s="5" t="s">
        <v>254</v>
      </c>
      <c r="BY1951" s="5" t="s">
        <v>238</v>
      </c>
      <c r="BZ1951" s="5" t="s">
        <v>238</v>
      </c>
      <c r="CD1951" s="5" t="s">
        <v>273</v>
      </c>
      <c r="CE1951" s="5" t="s">
        <v>256</v>
      </c>
      <c r="CF1951" s="5" t="s">
        <v>238</v>
      </c>
      <c r="CI1951" s="6" t="s">
        <v>257</v>
      </c>
      <c r="CJ1951" s="5" t="s">
        <v>238</v>
      </c>
      <c r="CK1951" s="5" t="s">
        <v>258</v>
      </c>
      <c r="CL1951" s="5" t="s">
        <v>238</v>
      </c>
      <c r="CM1951" s="5" t="s">
        <v>238</v>
      </c>
      <c r="CN1951" s="5">
        <v>0</v>
      </c>
      <c r="CO1951" s="5" t="s">
        <v>259</v>
      </c>
      <c r="CP1951" s="5" t="s">
        <v>260</v>
      </c>
      <c r="CQ1951" s="5" t="s">
        <v>260</v>
      </c>
      <c r="CR1951" s="5" t="s">
        <v>261</v>
      </c>
      <c r="CU1951" s="8">
        <f>1</f>
        <v>1</v>
      </c>
      <c r="CV1951" s="8">
        <f>0</f>
        <v>0</v>
      </c>
      <c r="CX1951" s="8">
        <f>0</f>
        <v>0</v>
      </c>
      <c r="CY1951" s="8">
        <f>1</f>
        <v>1</v>
      </c>
      <c r="DA1951" s="5" t="s">
        <v>274</v>
      </c>
      <c r="DB1951" s="5" t="s">
        <v>238</v>
      </c>
      <c r="DD1951" s="5" t="s">
        <v>274</v>
      </c>
      <c r="DE1951" s="8">
        <f>1967</f>
        <v>1967</v>
      </c>
      <c r="DG1951" s="5" t="s">
        <v>238</v>
      </c>
      <c r="DH1951" s="5" t="s">
        <v>238</v>
      </c>
      <c r="DI1951" s="5" t="s">
        <v>238</v>
      </c>
      <c r="DJ1951" s="5" t="s">
        <v>238</v>
      </c>
      <c r="DN1951" s="5" t="s">
        <v>238</v>
      </c>
      <c r="DO1951" s="5" t="s">
        <v>238</v>
      </c>
      <c r="DP1951" s="5" t="s">
        <v>238</v>
      </c>
      <c r="DQ1951" s="5" t="s">
        <v>238</v>
      </c>
      <c r="DT1951" s="5" t="s">
        <v>275</v>
      </c>
      <c r="DU1951" s="5" t="s">
        <v>1284</v>
      </c>
      <c r="HM1951" s="5" t="s">
        <v>264</v>
      </c>
    </row>
    <row r="1952" spans="1:221" x14ac:dyDescent="0.4">
      <c r="A1952" s="5">
        <v>3656</v>
      </c>
      <c r="B1952" s="5">
        <v>1</v>
      </c>
      <c r="C1952" s="5">
        <v>1</v>
      </c>
      <c r="D1952" s="5" t="s">
        <v>269</v>
      </c>
      <c r="E1952" s="5" t="s">
        <v>271</v>
      </c>
      <c r="F1952" s="5" t="s">
        <v>248</v>
      </c>
      <c r="G1952" s="5" t="s">
        <v>266</v>
      </c>
      <c r="H1952" s="6" t="s">
        <v>1275</v>
      </c>
      <c r="I1952" s="7">
        <f>15897</f>
        <v>15897</v>
      </c>
      <c r="J1952" s="5" t="s">
        <v>262</v>
      </c>
      <c r="K1952" s="8">
        <f>1</f>
        <v>1</v>
      </c>
      <c r="L1952" s="6" t="s">
        <v>242</v>
      </c>
      <c r="M1952" s="5" t="s">
        <v>267</v>
      </c>
      <c r="N1952" s="5" t="s">
        <v>265</v>
      </c>
      <c r="O1952" s="5" t="s">
        <v>238</v>
      </c>
      <c r="P1952" s="5" t="s">
        <v>238</v>
      </c>
      <c r="Q1952" s="5" t="s">
        <v>268</v>
      </c>
      <c r="R1952" s="5" t="s">
        <v>270</v>
      </c>
      <c r="S1952" s="5" t="s">
        <v>238</v>
      </c>
      <c r="V1952" s="5" t="s">
        <v>238</v>
      </c>
      <c r="X1952" s="6" t="s">
        <v>238</v>
      </c>
      <c r="AA1952" s="6" t="s">
        <v>243</v>
      </c>
      <c r="AB1952" s="5" t="s">
        <v>238</v>
      </c>
      <c r="AC1952" s="5" t="s">
        <v>244</v>
      </c>
      <c r="AD1952" s="5" t="s">
        <v>245</v>
      </c>
      <c r="AT1952" s="5" t="s">
        <v>246</v>
      </c>
      <c r="AU1952" s="5" t="s">
        <v>238</v>
      </c>
      <c r="AV1952" s="5" t="s">
        <v>247</v>
      </c>
      <c r="AW1952" s="5" t="s">
        <v>238</v>
      </c>
      <c r="AX1952" s="5" t="s">
        <v>249</v>
      </c>
      <c r="AY1952" s="5" t="s">
        <v>238</v>
      </c>
      <c r="BA1952" s="5" t="s">
        <v>238</v>
      </c>
      <c r="BC1952" s="5" t="s">
        <v>250</v>
      </c>
      <c r="BD1952" s="6" t="s">
        <v>243</v>
      </c>
      <c r="BE1952" s="5" t="s">
        <v>251</v>
      </c>
      <c r="BF1952" s="5" t="s">
        <v>252</v>
      </c>
      <c r="BG1952" s="5" t="s">
        <v>238</v>
      </c>
      <c r="BH1952" s="7">
        <f>0</f>
        <v>0</v>
      </c>
      <c r="BI1952" s="8">
        <f>0</f>
        <v>0</v>
      </c>
      <c r="BJ1952" s="5" t="s">
        <v>253</v>
      </c>
      <c r="BK1952" s="5" t="s">
        <v>254</v>
      </c>
      <c r="BY1952" s="5" t="s">
        <v>238</v>
      </c>
      <c r="BZ1952" s="5" t="s">
        <v>238</v>
      </c>
      <c r="CD1952" s="5" t="s">
        <v>273</v>
      </c>
      <c r="CE1952" s="5" t="s">
        <v>256</v>
      </c>
      <c r="CF1952" s="5" t="s">
        <v>238</v>
      </c>
      <c r="CI1952" s="6" t="s">
        <v>257</v>
      </c>
      <c r="CJ1952" s="5" t="s">
        <v>238</v>
      </c>
      <c r="CK1952" s="5" t="s">
        <v>258</v>
      </c>
      <c r="CL1952" s="5" t="s">
        <v>238</v>
      </c>
      <c r="CM1952" s="5" t="s">
        <v>238</v>
      </c>
      <c r="CN1952" s="5">
        <v>0</v>
      </c>
      <c r="CO1952" s="5" t="s">
        <v>259</v>
      </c>
      <c r="CP1952" s="5" t="s">
        <v>260</v>
      </c>
      <c r="CQ1952" s="5" t="s">
        <v>260</v>
      </c>
      <c r="CR1952" s="5" t="s">
        <v>261</v>
      </c>
      <c r="CU1952" s="8">
        <f>1</f>
        <v>1</v>
      </c>
      <c r="CV1952" s="8">
        <f>0</f>
        <v>0</v>
      </c>
      <c r="CX1952" s="8">
        <f>0</f>
        <v>0</v>
      </c>
      <c r="CY1952" s="8">
        <f>1</f>
        <v>1</v>
      </c>
      <c r="DA1952" s="5" t="s">
        <v>274</v>
      </c>
      <c r="DB1952" s="5" t="s">
        <v>238</v>
      </c>
      <c r="DD1952" s="5" t="s">
        <v>274</v>
      </c>
      <c r="DE1952" s="8">
        <f>15897</f>
        <v>15897</v>
      </c>
      <c r="DG1952" s="5" t="s">
        <v>238</v>
      </c>
      <c r="DH1952" s="5" t="s">
        <v>238</v>
      </c>
      <c r="DI1952" s="5" t="s">
        <v>238</v>
      </c>
      <c r="DJ1952" s="5" t="s">
        <v>238</v>
      </c>
      <c r="DN1952" s="5" t="s">
        <v>238</v>
      </c>
      <c r="DO1952" s="5" t="s">
        <v>238</v>
      </c>
      <c r="DP1952" s="5" t="s">
        <v>238</v>
      </c>
      <c r="DQ1952" s="5" t="s">
        <v>238</v>
      </c>
      <c r="DT1952" s="5" t="s">
        <v>275</v>
      </c>
      <c r="DU1952" s="5" t="s">
        <v>1276</v>
      </c>
      <c r="HM1952" s="5" t="s">
        <v>264</v>
      </c>
    </row>
    <row r="1953" spans="1:221" x14ac:dyDescent="0.4">
      <c r="A1953" s="5">
        <v>3657</v>
      </c>
      <c r="B1953" s="5">
        <v>1</v>
      </c>
      <c r="C1953" s="5">
        <v>1</v>
      </c>
      <c r="D1953" s="5" t="s">
        <v>269</v>
      </c>
      <c r="E1953" s="5" t="s">
        <v>271</v>
      </c>
      <c r="F1953" s="5" t="s">
        <v>248</v>
      </c>
      <c r="G1953" s="5" t="s">
        <v>266</v>
      </c>
      <c r="H1953" s="6" t="s">
        <v>1273</v>
      </c>
      <c r="I1953" s="7">
        <f>7104</f>
        <v>7104</v>
      </c>
      <c r="J1953" s="5" t="s">
        <v>262</v>
      </c>
      <c r="K1953" s="8">
        <f>1</f>
        <v>1</v>
      </c>
      <c r="L1953" s="6" t="s">
        <v>242</v>
      </c>
      <c r="M1953" s="5" t="s">
        <v>267</v>
      </c>
      <c r="N1953" s="5" t="s">
        <v>265</v>
      </c>
      <c r="O1953" s="5" t="s">
        <v>238</v>
      </c>
      <c r="P1953" s="5" t="s">
        <v>238</v>
      </c>
      <c r="Q1953" s="5" t="s">
        <v>268</v>
      </c>
      <c r="R1953" s="5" t="s">
        <v>270</v>
      </c>
      <c r="S1953" s="5" t="s">
        <v>238</v>
      </c>
      <c r="V1953" s="5" t="s">
        <v>238</v>
      </c>
      <c r="X1953" s="6" t="s">
        <v>238</v>
      </c>
      <c r="AA1953" s="6" t="s">
        <v>243</v>
      </c>
      <c r="AB1953" s="5" t="s">
        <v>238</v>
      </c>
      <c r="AC1953" s="5" t="s">
        <v>244</v>
      </c>
      <c r="AD1953" s="5" t="s">
        <v>245</v>
      </c>
      <c r="AT1953" s="5" t="s">
        <v>246</v>
      </c>
      <c r="AU1953" s="5" t="s">
        <v>238</v>
      </c>
      <c r="AV1953" s="5" t="s">
        <v>247</v>
      </c>
      <c r="AW1953" s="5" t="s">
        <v>238</v>
      </c>
      <c r="AX1953" s="5" t="s">
        <v>249</v>
      </c>
      <c r="AY1953" s="5" t="s">
        <v>238</v>
      </c>
      <c r="BA1953" s="5" t="s">
        <v>238</v>
      </c>
      <c r="BC1953" s="5" t="s">
        <v>250</v>
      </c>
      <c r="BD1953" s="6" t="s">
        <v>243</v>
      </c>
      <c r="BE1953" s="5" t="s">
        <v>251</v>
      </c>
      <c r="BF1953" s="5" t="s">
        <v>252</v>
      </c>
      <c r="BG1953" s="5" t="s">
        <v>238</v>
      </c>
      <c r="BH1953" s="7">
        <f>0</f>
        <v>0</v>
      </c>
      <c r="BI1953" s="8">
        <f>0</f>
        <v>0</v>
      </c>
      <c r="BJ1953" s="5" t="s">
        <v>253</v>
      </c>
      <c r="BK1953" s="5" t="s">
        <v>254</v>
      </c>
      <c r="BY1953" s="5" t="s">
        <v>238</v>
      </c>
      <c r="BZ1953" s="5" t="s">
        <v>238</v>
      </c>
      <c r="CD1953" s="5" t="s">
        <v>273</v>
      </c>
      <c r="CE1953" s="5" t="s">
        <v>256</v>
      </c>
      <c r="CF1953" s="5" t="s">
        <v>238</v>
      </c>
      <c r="CI1953" s="6" t="s">
        <v>257</v>
      </c>
      <c r="CJ1953" s="5" t="s">
        <v>238</v>
      </c>
      <c r="CK1953" s="5" t="s">
        <v>258</v>
      </c>
      <c r="CL1953" s="5" t="s">
        <v>238</v>
      </c>
      <c r="CM1953" s="5" t="s">
        <v>238</v>
      </c>
      <c r="CN1953" s="5">
        <v>0</v>
      </c>
      <c r="CO1953" s="5" t="s">
        <v>259</v>
      </c>
      <c r="CP1953" s="5" t="s">
        <v>260</v>
      </c>
      <c r="CQ1953" s="5" t="s">
        <v>260</v>
      </c>
      <c r="CR1953" s="5" t="s">
        <v>261</v>
      </c>
      <c r="CU1953" s="8">
        <f>1</f>
        <v>1</v>
      </c>
      <c r="CV1953" s="8">
        <f>0</f>
        <v>0</v>
      </c>
      <c r="CX1953" s="8">
        <f>0</f>
        <v>0</v>
      </c>
      <c r="CY1953" s="8">
        <f>1</f>
        <v>1</v>
      </c>
      <c r="DA1953" s="5" t="s">
        <v>274</v>
      </c>
      <c r="DB1953" s="5" t="s">
        <v>238</v>
      </c>
      <c r="DD1953" s="5" t="s">
        <v>274</v>
      </c>
      <c r="DE1953" s="8">
        <f>7104</f>
        <v>7104</v>
      </c>
      <c r="DG1953" s="5" t="s">
        <v>238</v>
      </c>
      <c r="DH1953" s="5" t="s">
        <v>238</v>
      </c>
      <c r="DI1953" s="5" t="s">
        <v>238</v>
      </c>
      <c r="DJ1953" s="5" t="s">
        <v>238</v>
      </c>
      <c r="DN1953" s="5" t="s">
        <v>238</v>
      </c>
      <c r="DO1953" s="5" t="s">
        <v>238</v>
      </c>
      <c r="DP1953" s="5" t="s">
        <v>238</v>
      </c>
      <c r="DQ1953" s="5" t="s">
        <v>238</v>
      </c>
      <c r="DT1953" s="5" t="s">
        <v>275</v>
      </c>
      <c r="DU1953" s="5" t="s">
        <v>1274</v>
      </c>
      <c r="HM1953" s="5" t="s">
        <v>264</v>
      </c>
    </row>
    <row r="1954" spans="1:221" x14ac:dyDescent="0.4">
      <c r="A1954" s="5">
        <v>3658</v>
      </c>
      <c r="B1954" s="5">
        <v>1</v>
      </c>
      <c r="C1954" s="5">
        <v>1</v>
      </c>
      <c r="D1954" s="5" t="s">
        <v>269</v>
      </c>
      <c r="E1954" s="5" t="s">
        <v>271</v>
      </c>
      <c r="F1954" s="5" t="s">
        <v>248</v>
      </c>
      <c r="G1954" s="5" t="s">
        <v>266</v>
      </c>
      <c r="H1954" s="6" t="s">
        <v>1269</v>
      </c>
      <c r="I1954" s="7">
        <f>487</f>
        <v>487</v>
      </c>
      <c r="J1954" s="5" t="s">
        <v>262</v>
      </c>
      <c r="K1954" s="8">
        <f>1</f>
        <v>1</v>
      </c>
      <c r="L1954" s="6" t="s">
        <v>242</v>
      </c>
      <c r="M1954" s="5" t="s">
        <v>267</v>
      </c>
      <c r="N1954" s="5" t="s">
        <v>265</v>
      </c>
      <c r="O1954" s="5" t="s">
        <v>238</v>
      </c>
      <c r="P1954" s="5" t="s">
        <v>238</v>
      </c>
      <c r="Q1954" s="5" t="s">
        <v>268</v>
      </c>
      <c r="R1954" s="5" t="s">
        <v>270</v>
      </c>
      <c r="S1954" s="5" t="s">
        <v>238</v>
      </c>
      <c r="V1954" s="5" t="s">
        <v>238</v>
      </c>
      <c r="X1954" s="6" t="s">
        <v>238</v>
      </c>
      <c r="AA1954" s="6" t="s">
        <v>243</v>
      </c>
      <c r="AB1954" s="5" t="s">
        <v>238</v>
      </c>
      <c r="AC1954" s="5" t="s">
        <v>244</v>
      </c>
      <c r="AD1954" s="5" t="s">
        <v>245</v>
      </c>
      <c r="AT1954" s="5" t="s">
        <v>246</v>
      </c>
      <c r="AU1954" s="5" t="s">
        <v>238</v>
      </c>
      <c r="AV1954" s="5" t="s">
        <v>247</v>
      </c>
      <c r="AW1954" s="5" t="s">
        <v>238</v>
      </c>
      <c r="AX1954" s="5" t="s">
        <v>249</v>
      </c>
      <c r="AY1954" s="5" t="s">
        <v>238</v>
      </c>
      <c r="BA1954" s="5" t="s">
        <v>238</v>
      </c>
      <c r="BC1954" s="5" t="s">
        <v>250</v>
      </c>
      <c r="BD1954" s="6" t="s">
        <v>243</v>
      </c>
      <c r="BE1954" s="5" t="s">
        <v>251</v>
      </c>
      <c r="BF1954" s="5" t="s">
        <v>252</v>
      </c>
      <c r="BG1954" s="5" t="s">
        <v>238</v>
      </c>
      <c r="BH1954" s="7">
        <f>0</f>
        <v>0</v>
      </c>
      <c r="BI1954" s="8">
        <f>0</f>
        <v>0</v>
      </c>
      <c r="BJ1954" s="5" t="s">
        <v>253</v>
      </c>
      <c r="BK1954" s="5" t="s">
        <v>254</v>
      </c>
      <c r="BY1954" s="5" t="s">
        <v>238</v>
      </c>
      <c r="BZ1954" s="5" t="s">
        <v>238</v>
      </c>
      <c r="CD1954" s="5" t="s">
        <v>273</v>
      </c>
      <c r="CE1954" s="5" t="s">
        <v>256</v>
      </c>
      <c r="CF1954" s="5" t="s">
        <v>238</v>
      </c>
      <c r="CI1954" s="6" t="s">
        <v>257</v>
      </c>
      <c r="CJ1954" s="5" t="s">
        <v>238</v>
      </c>
      <c r="CK1954" s="5" t="s">
        <v>258</v>
      </c>
      <c r="CL1954" s="5" t="s">
        <v>238</v>
      </c>
      <c r="CM1954" s="5" t="s">
        <v>238</v>
      </c>
      <c r="CN1954" s="5">
        <v>0</v>
      </c>
      <c r="CO1954" s="5" t="s">
        <v>259</v>
      </c>
      <c r="CP1954" s="5" t="s">
        <v>260</v>
      </c>
      <c r="CQ1954" s="5" t="s">
        <v>260</v>
      </c>
      <c r="CR1954" s="5" t="s">
        <v>261</v>
      </c>
      <c r="CU1954" s="8">
        <f>1</f>
        <v>1</v>
      </c>
      <c r="CV1954" s="8">
        <f>0</f>
        <v>0</v>
      </c>
      <c r="CX1954" s="8">
        <f>0</f>
        <v>0</v>
      </c>
      <c r="CY1954" s="8">
        <f>1</f>
        <v>1</v>
      </c>
      <c r="DA1954" s="5" t="s">
        <v>274</v>
      </c>
      <c r="DB1954" s="5" t="s">
        <v>238</v>
      </c>
      <c r="DD1954" s="5" t="s">
        <v>274</v>
      </c>
      <c r="DE1954" s="8">
        <f>487</f>
        <v>487</v>
      </c>
      <c r="DG1954" s="5" t="s">
        <v>238</v>
      </c>
      <c r="DH1954" s="5" t="s">
        <v>238</v>
      </c>
      <c r="DI1954" s="5" t="s">
        <v>238</v>
      </c>
      <c r="DJ1954" s="5" t="s">
        <v>238</v>
      </c>
      <c r="DN1954" s="5" t="s">
        <v>238</v>
      </c>
      <c r="DO1954" s="5" t="s">
        <v>238</v>
      </c>
      <c r="DP1954" s="5" t="s">
        <v>238</v>
      </c>
      <c r="DQ1954" s="5" t="s">
        <v>238</v>
      </c>
      <c r="DT1954" s="5" t="s">
        <v>275</v>
      </c>
      <c r="DU1954" s="5" t="s">
        <v>1270</v>
      </c>
      <c r="HM1954" s="5" t="s">
        <v>264</v>
      </c>
    </row>
    <row r="1955" spans="1:221" x14ac:dyDescent="0.4">
      <c r="A1955" s="5">
        <v>3659</v>
      </c>
      <c r="B1955" s="5">
        <v>1</v>
      </c>
      <c r="C1955" s="5">
        <v>1</v>
      </c>
      <c r="D1955" s="5" t="s">
        <v>269</v>
      </c>
      <c r="E1955" s="5" t="s">
        <v>271</v>
      </c>
      <c r="F1955" s="5" t="s">
        <v>248</v>
      </c>
      <c r="G1955" s="5" t="s">
        <v>266</v>
      </c>
      <c r="H1955" s="6" t="s">
        <v>1267</v>
      </c>
      <c r="I1955" s="7">
        <f>3001</f>
        <v>3001</v>
      </c>
      <c r="J1955" s="5" t="s">
        <v>262</v>
      </c>
      <c r="K1955" s="8">
        <f>1</f>
        <v>1</v>
      </c>
      <c r="L1955" s="6" t="s">
        <v>242</v>
      </c>
      <c r="M1955" s="5" t="s">
        <v>267</v>
      </c>
      <c r="N1955" s="5" t="s">
        <v>265</v>
      </c>
      <c r="O1955" s="5" t="s">
        <v>238</v>
      </c>
      <c r="P1955" s="5" t="s">
        <v>238</v>
      </c>
      <c r="Q1955" s="5" t="s">
        <v>268</v>
      </c>
      <c r="R1955" s="5" t="s">
        <v>270</v>
      </c>
      <c r="S1955" s="5" t="s">
        <v>238</v>
      </c>
      <c r="V1955" s="5" t="s">
        <v>238</v>
      </c>
      <c r="X1955" s="6" t="s">
        <v>238</v>
      </c>
      <c r="AA1955" s="6" t="s">
        <v>243</v>
      </c>
      <c r="AB1955" s="5" t="s">
        <v>238</v>
      </c>
      <c r="AC1955" s="5" t="s">
        <v>244</v>
      </c>
      <c r="AD1955" s="5" t="s">
        <v>245</v>
      </c>
      <c r="AT1955" s="5" t="s">
        <v>246</v>
      </c>
      <c r="AU1955" s="5" t="s">
        <v>238</v>
      </c>
      <c r="AV1955" s="5" t="s">
        <v>247</v>
      </c>
      <c r="AW1955" s="5" t="s">
        <v>238</v>
      </c>
      <c r="AX1955" s="5" t="s">
        <v>249</v>
      </c>
      <c r="AY1955" s="5" t="s">
        <v>238</v>
      </c>
      <c r="BA1955" s="5" t="s">
        <v>238</v>
      </c>
      <c r="BC1955" s="5" t="s">
        <v>250</v>
      </c>
      <c r="BD1955" s="6" t="s">
        <v>243</v>
      </c>
      <c r="BE1955" s="5" t="s">
        <v>251</v>
      </c>
      <c r="BF1955" s="5" t="s">
        <v>252</v>
      </c>
      <c r="BG1955" s="5" t="s">
        <v>238</v>
      </c>
      <c r="BH1955" s="7">
        <f>0</f>
        <v>0</v>
      </c>
      <c r="BI1955" s="8">
        <f>0</f>
        <v>0</v>
      </c>
      <c r="BJ1955" s="5" t="s">
        <v>253</v>
      </c>
      <c r="BK1955" s="5" t="s">
        <v>254</v>
      </c>
      <c r="BY1955" s="5" t="s">
        <v>238</v>
      </c>
      <c r="BZ1955" s="5" t="s">
        <v>238</v>
      </c>
      <c r="CD1955" s="5" t="s">
        <v>273</v>
      </c>
      <c r="CE1955" s="5" t="s">
        <v>256</v>
      </c>
      <c r="CF1955" s="5" t="s">
        <v>238</v>
      </c>
      <c r="CI1955" s="6" t="s">
        <v>257</v>
      </c>
      <c r="CJ1955" s="5" t="s">
        <v>238</v>
      </c>
      <c r="CK1955" s="5" t="s">
        <v>258</v>
      </c>
      <c r="CL1955" s="5" t="s">
        <v>238</v>
      </c>
      <c r="CM1955" s="5" t="s">
        <v>238</v>
      </c>
      <c r="CN1955" s="5">
        <v>0</v>
      </c>
      <c r="CO1955" s="5" t="s">
        <v>259</v>
      </c>
      <c r="CP1955" s="5" t="s">
        <v>260</v>
      </c>
      <c r="CQ1955" s="5" t="s">
        <v>260</v>
      </c>
      <c r="CR1955" s="5" t="s">
        <v>261</v>
      </c>
      <c r="CU1955" s="8">
        <f>1</f>
        <v>1</v>
      </c>
      <c r="CV1955" s="8">
        <f>0</f>
        <v>0</v>
      </c>
      <c r="CX1955" s="8">
        <f>0</f>
        <v>0</v>
      </c>
      <c r="CY1955" s="8">
        <f>1</f>
        <v>1</v>
      </c>
      <c r="DA1955" s="5" t="s">
        <v>274</v>
      </c>
      <c r="DB1955" s="5" t="s">
        <v>238</v>
      </c>
      <c r="DD1955" s="5" t="s">
        <v>274</v>
      </c>
      <c r="DE1955" s="8">
        <f>3001</f>
        <v>3001</v>
      </c>
      <c r="DG1955" s="5" t="s">
        <v>238</v>
      </c>
      <c r="DH1955" s="5" t="s">
        <v>238</v>
      </c>
      <c r="DI1955" s="5" t="s">
        <v>238</v>
      </c>
      <c r="DJ1955" s="5" t="s">
        <v>238</v>
      </c>
      <c r="DN1955" s="5" t="s">
        <v>238</v>
      </c>
      <c r="DO1955" s="5" t="s">
        <v>238</v>
      </c>
      <c r="DP1955" s="5" t="s">
        <v>238</v>
      </c>
      <c r="DQ1955" s="5" t="s">
        <v>238</v>
      </c>
      <c r="DT1955" s="5" t="s">
        <v>275</v>
      </c>
      <c r="DU1955" s="5" t="s">
        <v>1268</v>
      </c>
      <c r="HM1955" s="5" t="s">
        <v>264</v>
      </c>
    </row>
    <row r="1956" spans="1:221" x14ac:dyDescent="0.4">
      <c r="A1956" s="5">
        <v>3660</v>
      </c>
      <c r="B1956" s="5">
        <v>1</v>
      </c>
      <c r="C1956" s="5">
        <v>1</v>
      </c>
      <c r="D1956" s="5" t="s">
        <v>269</v>
      </c>
      <c r="E1956" s="5" t="s">
        <v>271</v>
      </c>
      <c r="F1956" s="5" t="s">
        <v>248</v>
      </c>
      <c r="G1956" s="5" t="s">
        <v>266</v>
      </c>
      <c r="H1956" s="6" t="s">
        <v>1261</v>
      </c>
      <c r="I1956" s="7">
        <f>2096</f>
        <v>2096</v>
      </c>
      <c r="J1956" s="5" t="s">
        <v>262</v>
      </c>
      <c r="K1956" s="8">
        <f>1</f>
        <v>1</v>
      </c>
      <c r="L1956" s="6" t="s">
        <v>242</v>
      </c>
      <c r="M1956" s="5" t="s">
        <v>267</v>
      </c>
      <c r="N1956" s="5" t="s">
        <v>265</v>
      </c>
      <c r="O1956" s="5" t="s">
        <v>238</v>
      </c>
      <c r="P1956" s="5" t="s">
        <v>238</v>
      </c>
      <c r="Q1956" s="5" t="s">
        <v>268</v>
      </c>
      <c r="R1956" s="5" t="s">
        <v>270</v>
      </c>
      <c r="S1956" s="5" t="s">
        <v>238</v>
      </c>
      <c r="V1956" s="5" t="s">
        <v>238</v>
      </c>
      <c r="X1956" s="6" t="s">
        <v>238</v>
      </c>
      <c r="AA1956" s="6" t="s">
        <v>243</v>
      </c>
      <c r="AB1956" s="5" t="s">
        <v>238</v>
      </c>
      <c r="AC1956" s="5" t="s">
        <v>244</v>
      </c>
      <c r="AD1956" s="5" t="s">
        <v>245</v>
      </c>
      <c r="AT1956" s="5" t="s">
        <v>246</v>
      </c>
      <c r="AU1956" s="5" t="s">
        <v>238</v>
      </c>
      <c r="AV1956" s="5" t="s">
        <v>247</v>
      </c>
      <c r="AW1956" s="5" t="s">
        <v>238</v>
      </c>
      <c r="AX1956" s="5" t="s">
        <v>249</v>
      </c>
      <c r="AY1956" s="5" t="s">
        <v>238</v>
      </c>
      <c r="BA1956" s="5" t="s">
        <v>238</v>
      </c>
      <c r="BC1956" s="5" t="s">
        <v>250</v>
      </c>
      <c r="BD1956" s="6" t="s">
        <v>243</v>
      </c>
      <c r="BE1956" s="5" t="s">
        <v>251</v>
      </c>
      <c r="BF1956" s="5" t="s">
        <v>252</v>
      </c>
      <c r="BG1956" s="5" t="s">
        <v>238</v>
      </c>
      <c r="BH1956" s="7">
        <f>0</f>
        <v>0</v>
      </c>
      <c r="BI1956" s="8">
        <f>0</f>
        <v>0</v>
      </c>
      <c r="BJ1956" s="5" t="s">
        <v>253</v>
      </c>
      <c r="BK1956" s="5" t="s">
        <v>254</v>
      </c>
      <c r="BY1956" s="5" t="s">
        <v>238</v>
      </c>
      <c r="BZ1956" s="5" t="s">
        <v>238</v>
      </c>
      <c r="CD1956" s="5" t="s">
        <v>273</v>
      </c>
      <c r="CE1956" s="5" t="s">
        <v>256</v>
      </c>
      <c r="CF1956" s="5" t="s">
        <v>238</v>
      </c>
      <c r="CI1956" s="6" t="s">
        <v>257</v>
      </c>
      <c r="CJ1956" s="5" t="s">
        <v>238</v>
      </c>
      <c r="CK1956" s="5" t="s">
        <v>258</v>
      </c>
      <c r="CL1956" s="5" t="s">
        <v>238</v>
      </c>
      <c r="CM1956" s="5" t="s">
        <v>238</v>
      </c>
      <c r="CN1956" s="5">
        <v>0</v>
      </c>
      <c r="CO1956" s="5" t="s">
        <v>259</v>
      </c>
      <c r="CP1956" s="5" t="s">
        <v>260</v>
      </c>
      <c r="CQ1956" s="5" t="s">
        <v>260</v>
      </c>
      <c r="CR1956" s="5" t="s">
        <v>261</v>
      </c>
      <c r="CU1956" s="8">
        <f>1</f>
        <v>1</v>
      </c>
      <c r="CV1956" s="8">
        <f>0</f>
        <v>0</v>
      </c>
      <c r="CX1956" s="8">
        <f>0</f>
        <v>0</v>
      </c>
      <c r="CY1956" s="8">
        <f>1</f>
        <v>1</v>
      </c>
      <c r="DA1956" s="5" t="s">
        <v>274</v>
      </c>
      <c r="DB1956" s="5" t="s">
        <v>238</v>
      </c>
      <c r="DD1956" s="5" t="s">
        <v>274</v>
      </c>
      <c r="DE1956" s="8">
        <f>2096</f>
        <v>2096</v>
      </c>
      <c r="DG1956" s="5" t="s">
        <v>238</v>
      </c>
      <c r="DH1956" s="5" t="s">
        <v>238</v>
      </c>
      <c r="DI1956" s="5" t="s">
        <v>238</v>
      </c>
      <c r="DJ1956" s="5" t="s">
        <v>238</v>
      </c>
      <c r="DN1956" s="5" t="s">
        <v>238</v>
      </c>
      <c r="DO1956" s="5" t="s">
        <v>238</v>
      </c>
      <c r="DP1956" s="5" t="s">
        <v>238</v>
      </c>
      <c r="DQ1956" s="5" t="s">
        <v>238</v>
      </c>
      <c r="DT1956" s="5" t="s">
        <v>275</v>
      </c>
      <c r="DU1956" s="5" t="s">
        <v>1262</v>
      </c>
      <c r="HM1956" s="5" t="s">
        <v>264</v>
      </c>
    </row>
    <row r="1957" spans="1:221" x14ac:dyDescent="0.4">
      <c r="A1957" s="5">
        <v>3661</v>
      </c>
      <c r="B1957" s="5">
        <v>1</v>
      </c>
      <c r="C1957" s="5">
        <v>1</v>
      </c>
      <c r="D1957" s="5" t="s">
        <v>269</v>
      </c>
      <c r="E1957" s="5" t="s">
        <v>271</v>
      </c>
      <c r="F1957" s="5" t="s">
        <v>248</v>
      </c>
      <c r="G1957" s="5" t="s">
        <v>266</v>
      </c>
      <c r="H1957" s="6" t="s">
        <v>1257</v>
      </c>
      <c r="I1957" s="7">
        <f>5674</f>
        <v>5674</v>
      </c>
      <c r="J1957" s="5" t="s">
        <v>262</v>
      </c>
      <c r="K1957" s="8">
        <f>1</f>
        <v>1</v>
      </c>
      <c r="L1957" s="6" t="s">
        <v>242</v>
      </c>
      <c r="M1957" s="5" t="s">
        <v>267</v>
      </c>
      <c r="N1957" s="5" t="s">
        <v>265</v>
      </c>
      <c r="O1957" s="5" t="s">
        <v>238</v>
      </c>
      <c r="P1957" s="5" t="s">
        <v>238</v>
      </c>
      <c r="Q1957" s="5" t="s">
        <v>268</v>
      </c>
      <c r="R1957" s="5" t="s">
        <v>270</v>
      </c>
      <c r="S1957" s="5" t="s">
        <v>238</v>
      </c>
      <c r="V1957" s="5" t="s">
        <v>238</v>
      </c>
      <c r="X1957" s="6" t="s">
        <v>238</v>
      </c>
      <c r="AA1957" s="6" t="s">
        <v>243</v>
      </c>
      <c r="AB1957" s="5" t="s">
        <v>238</v>
      </c>
      <c r="AC1957" s="5" t="s">
        <v>244</v>
      </c>
      <c r="AD1957" s="5" t="s">
        <v>245</v>
      </c>
      <c r="AT1957" s="5" t="s">
        <v>246</v>
      </c>
      <c r="AU1957" s="5" t="s">
        <v>238</v>
      </c>
      <c r="AV1957" s="5" t="s">
        <v>247</v>
      </c>
      <c r="AW1957" s="5" t="s">
        <v>238</v>
      </c>
      <c r="AX1957" s="5" t="s">
        <v>249</v>
      </c>
      <c r="AY1957" s="5" t="s">
        <v>238</v>
      </c>
      <c r="BA1957" s="5" t="s">
        <v>238</v>
      </c>
      <c r="BC1957" s="5" t="s">
        <v>250</v>
      </c>
      <c r="BD1957" s="6" t="s">
        <v>243</v>
      </c>
      <c r="BE1957" s="5" t="s">
        <v>251</v>
      </c>
      <c r="BF1957" s="5" t="s">
        <v>252</v>
      </c>
      <c r="BG1957" s="5" t="s">
        <v>238</v>
      </c>
      <c r="BH1957" s="7">
        <f>0</f>
        <v>0</v>
      </c>
      <c r="BI1957" s="8">
        <f>0</f>
        <v>0</v>
      </c>
      <c r="BJ1957" s="5" t="s">
        <v>253</v>
      </c>
      <c r="BK1957" s="5" t="s">
        <v>254</v>
      </c>
      <c r="BY1957" s="5" t="s">
        <v>238</v>
      </c>
      <c r="BZ1957" s="5" t="s">
        <v>238</v>
      </c>
      <c r="CD1957" s="5" t="s">
        <v>273</v>
      </c>
      <c r="CE1957" s="5" t="s">
        <v>256</v>
      </c>
      <c r="CF1957" s="5" t="s">
        <v>238</v>
      </c>
      <c r="CI1957" s="6" t="s">
        <v>257</v>
      </c>
      <c r="CJ1957" s="5" t="s">
        <v>238</v>
      </c>
      <c r="CK1957" s="5" t="s">
        <v>258</v>
      </c>
      <c r="CL1957" s="5" t="s">
        <v>238</v>
      </c>
      <c r="CM1957" s="5" t="s">
        <v>238</v>
      </c>
      <c r="CN1957" s="5">
        <v>0</v>
      </c>
      <c r="CO1957" s="5" t="s">
        <v>259</v>
      </c>
      <c r="CP1957" s="5" t="s">
        <v>260</v>
      </c>
      <c r="CQ1957" s="5" t="s">
        <v>260</v>
      </c>
      <c r="CR1957" s="5" t="s">
        <v>261</v>
      </c>
      <c r="CU1957" s="8">
        <f>1</f>
        <v>1</v>
      </c>
      <c r="CV1957" s="8">
        <f>0</f>
        <v>0</v>
      </c>
      <c r="CX1957" s="8">
        <f>0</f>
        <v>0</v>
      </c>
      <c r="CY1957" s="8">
        <f>1</f>
        <v>1</v>
      </c>
      <c r="DA1957" s="5" t="s">
        <v>274</v>
      </c>
      <c r="DB1957" s="5" t="s">
        <v>238</v>
      </c>
      <c r="DD1957" s="5" t="s">
        <v>274</v>
      </c>
      <c r="DE1957" s="8">
        <f>5674</f>
        <v>5674</v>
      </c>
      <c r="DG1957" s="5" t="s">
        <v>238</v>
      </c>
      <c r="DH1957" s="5" t="s">
        <v>238</v>
      </c>
      <c r="DI1957" s="5" t="s">
        <v>238</v>
      </c>
      <c r="DJ1957" s="5" t="s">
        <v>238</v>
      </c>
      <c r="DN1957" s="5" t="s">
        <v>238</v>
      </c>
      <c r="DO1957" s="5" t="s">
        <v>238</v>
      </c>
      <c r="DP1957" s="5" t="s">
        <v>238</v>
      </c>
      <c r="DQ1957" s="5" t="s">
        <v>238</v>
      </c>
      <c r="DT1957" s="5" t="s">
        <v>275</v>
      </c>
      <c r="DU1957" s="5" t="s">
        <v>1258</v>
      </c>
      <c r="HM1957" s="5" t="s">
        <v>264</v>
      </c>
    </row>
    <row r="1958" spans="1:221" x14ac:dyDescent="0.4">
      <c r="A1958" s="5">
        <v>3662</v>
      </c>
      <c r="B1958" s="5">
        <v>1</v>
      </c>
      <c r="C1958" s="5">
        <v>1</v>
      </c>
      <c r="D1958" s="5" t="s">
        <v>269</v>
      </c>
      <c r="E1958" s="5" t="s">
        <v>271</v>
      </c>
      <c r="F1958" s="5" t="s">
        <v>248</v>
      </c>
      <c r="G1958" s="5" t="s">
        <v>266</v>
      </c>
      <c r="H1958" s="6" t="s">
        <v>1255</v>
      </c>
      <c r="I1958" s="7">
        <f>1029</f>
        <v>1029</v>
      </c>
      <c r="J1958" s="5" t="s">
        <v>262</v>
      </c>
      <c r="K1958" s="8">
        <f>1</f>
        <v>1</v>
      </c>
      <c r="L1958" s="6" t="s">
        <v>242</v>
      </c>
      <c r="M1958" s="5" t="s">
        <v>267</v>
      </c>
      <c r="N1958" s="5" t="s">
        <v>265</v>
      </c>
      <c r="O1958" s="5" t="s">
        <v>238</v>
      </c>
      <c r="P1958" s="5" t="s">
        <v>238</v>
      </c>
      <c r="Q1958" s="5" t="s">
        <v>268</v>
      </c>
      <c r="R1958" s="5" t="s">
        <v>270</v>
      </c>
      <c r="S1958" s="5" t="s">
        <v>238</v>
      </c>
      <c r="V1958" s="5" t="s">
        <v>238</v>
      </c>
      <c r="X1958" s="6" t="s">
        <v>238</v>
      </c>
      <c r="AA1958" s="6" t="s">
        <v>243</v>
      </c>
      <c r="AB1958" s="5" t="s">
        <v>238</v>
      </c>
      <c r="AC1958" s="5" t="s">
        <v>244</v>
      </c>
      <c r="AD1958" s="5" t="s">
        <v>245</v>
      </c>
      <c r="AT1958" s="5" t="s">
        <v>246</v>
      </c>
      <c r="AU1958" s="5" t="s">
        <v>238</v>
      </c>
      <c r="AV1958" s="5" t="s">
        <v>247</v>
      </c>
      <c r="AW1958" s="5" t="s">
        <v>238</v>
      </c>
      <c r="AX1958" s="5" t="s">
        <v>249</v>
      </c>
      <c r="AY1958" s="5" t="s">
        <v>238</v>
      </c>
      <c r="BA1958" s="5" t="s">
        <v>238</v>
      </c>
      <c r="BC1958" s="5" t="s">
        <v>250</v>
      </c>
      <c r="BD1958" s="6" t="s">
        <v>243</v>
      </c>
      <c r="BE1958" s="5" t="s">
        <v>251</v>
      </c>
      <c r="BF1958" s="5" t="s">
        <v>252</v>
      </c>
      <c r="BG1958" s="5" t="s">
        <v>238</v>
      </c>
      <c r="BH1958" s="7">
        <f>0</f>
        <v>0</v>
      </c>
      <c r="BI1958" s="8">
        <f>0</f>
        <v>0</v>
      </c>
      <c r="BJ1958" s="5" t="s">
        <v>253</v>
      </c>
      <c r="BK1958" s="5" t="s">
        <v>254</v>
      </c>
      <c r="BY1958" s="5" t="s">
        <v>238</v>
      </c>
      <c r="BZ1958" s="5" t="s">
        <v>238</v>
      </c>
      <c r="CD1958" s="5" t="s">
        <v>273</v>
      </c>
      <c r="CE1958" s="5" t="s">
        <v>256</v>
      </c>
      <c r="CF1958" s="5" t="s">
        <v>238</v>
      </c>
      <c r="CI1958" s="6" t="s">
        <v>257</v>
      </c>
      <c r="CJ1958" s="5" t="s">
        <v>238</v>
      </c>
      <c r="CK1958" s="5" t="s">
        <v>258</v>
      </c>
      <c r="CL1958" s="5" t="s">
        <v>238</v>
      </c>
      <c r="CM1958" s="5" t="s">
        <v>238</v>
      </c>
      <c r="CN1958" s="5">
        <v>0</v>
      </c>
      <c r="CO1958" s="5" t="s">
        <v>259</v>
      </c>
      <c r="CP1958" s="5" t="s">
        <v>260</v>
      </c>
      <c r="CQ1958" s="5" t="s">
        <v>260</v>
      </c>
      <c r="CR1958" s="5" t="s">
        <v>261</v>
      </c>
      <c r="CU1958" s="8">
        <f>1</f>
        <v>1</v>
      </c>
      <c r="CV1958" s="8">
        <f>0</f>
        <v>0</v>
      </c>
      <c r="CX1958" s="8">
        <f>0</f>
        <v>0</v>
      </c>
      <c r="CY1958" s="8">
        <f>1</f>
        <v>1</v>
      </c>
      <c r="DA1958" s="5" t="s">
        <v>274</v>
      </c>
      <c r="DB1958" s="5" t="s">
        <v>238</v>
      </c>
      <c r="DD1958" s="5" t="s">
        <v>274</v>
      </c>
      <c r="DE1958" s="8">
        <f>1029</f>
        <v>1029</v>
      </c>
      <c r="DG1958" s="5" t="s">
        <v>238</v>
      </c>
      <c r="DH1958" s="5" t="s">
        <v>238</v>
      </c>
      <c r="DI1958" s="5" t="s">
        <v>238</v>
      </c>
      <c r="DJ1958" s="5" t="s">
        <v>238</v>
      </c>
      <c r="DN1958" s="5" t="s">
        <v>238</v>
      </c>
      <c r="DO1958" s="5" t="s">
        <v>238</v>
      </c>
      <c r="DP1958" s="5" t="s">
        <v>238</v>
      </c>
      <c r="DQ1958" s="5" t="s">
        <v>238</v>
      </c>
      <c r="DT1958" s="5" t="s">
        <v>275</v>
      </c>
      <c r="DU1958" s="5" t="s">
        <v>1256</v>
      </c>
      <c r="HM1958" s="5" t="s">
        <v>264</v>
      </c>
    </row>
    <row r="1959" spans="1:221" x14ac:dyDescent="0.4">
      <c r="A1959" s="5">
        <v>3663</v>
      </c>
      <c r="B1959" s="5">
        <v>1</v>
      </c>
      <c r="C1959" s="5">
        <v>1</v>
      </c>
      <c r="D1959" s="5" t="s">
        <v>269</v>
      </c>
      <c r="E1959" s="5" t="s">
        <v>271</v>
      </c>
      <c r="F1959" s="5" t="s">
        <v>248</v>
      </c>
      <c r="G1959" s="5" t="s">
        <v>266</v>
      </c>
      <c r="H1959" s="6" t="s">
        <v>1251</v>
      </c>
      <c r="I1959" s="7">
        <f>1596</f>
        <v>1596</v>
      </c>
      <c r="J1959" s="5" t="s">
        <v>262</v>
      </c>
      <c r="K1959" s="8">
        <f>1</f>
        <v>1</v>
      </c>
      <c r="L1959" s="6" t="s">
        <v>242</v>
      </c>
      <c r="M1959" s="5" t="s">
        <v>267</v>
      </c>
      <c r="N1959" s="5" t="s">
        <v>265</v>
      </c>
      <c r="O1959" s="5" t="s">
        <v>238</v>
      </c>
      <c r="P1959" s="5" t="s">
        <v>238</v>
      </c>
      <c r="Q1959" s="5" t="s">
        <v>268</v>
      </c>
      <c r="R1959" s="5" t="s">
        <v>270</v>
      </c>
      <c r="S1959" s="5" t="s">
        <v>238</v>
      </c>
      <c r="V1959" s="5" t="s">
        <v>238</v>
      </c>
      <c r="X1959" s="6" t="s">
        <v>238</v>
      </c>
      <c r="AA1959" s="6" t="s">
        <v>243</v>
      </c>
      <c r="AB1959" s="5" t="s">
        <v>238</v>
      </c>
      <c r="AC1959" s="5" t="s">
        <v>244</v>
      </c>
      <c r="AD1959" s="5" t="s">
        <v>245</v>
      </c>
      <c r="AT1959" s="5" t="s">
        <v>246</v>
      </c>
      <c r="AU1959" s="5" t="s">
        <v>238</v>
      </c>
      <c r="AV1959" s="5" t="s">
        <v>247</v>
      </c>
      <c r="AW1959" s="5" t="s">
        <v>238</v>
      </c>
      <c r="AX1959" s="5" t="s">
        <v>249</v>
      </c>
      <c r="AY1959" s="5" t="s">
        <v>238</v>
      </c>
      <c r="BA1959" s="5" t="s">
        <v>238</v>
      </c>
      <c r="BC1959" s="5" t="s">
        <v>250</v>
      </c>
      <c r="BD1959" s="6" t="s">
        <v>243</v>
      </c>
      <c r="BE1959" s="5" t="s">
        <v>251</v>
      </c>
      <c r="BF1959" s="5" t="s">
        <v>252</v>
      </c>
      <c r="BG1959" s="5" t="s">
        <v>238</v>
      </c>
      <c r="BH1959" s="7">
        <f>0</f>
        <v>0</v>
      </c>
      <c r="BI1959" s="8">
        <f>0</f>
        <v>0</v>
      </c>
      <c r="BJ1959" s="5" t="s">
        <v>253</v>
      </c>
      <c r="BK1959" s="5" t="s">
        <v>254</v>
      </c>
      <c r="BY1959" s="5" t="s">
        <v>238</v>
      </c>
      <c r="BZ1959" s="5" t="s">
        <v>238</v>
      </c>
      <c r="CD1959" s="5" t="s">
        <v>273</v>
      </c>
      <c r="CE1959" s="5" t="s">
        <v>256</v>
      </c>
      <c r="CF1959" s="5" t="s">
        <v>238</v>
      </c>
      <c r="CI1959" s="6" t="s">
        <v>257</v>
      </c>
      <c r="CJ1959" s="5" t="s">
        <v>238</v>
      </c>
      <c r="CK1959" s="5" t="s">
        <v>258</v>
      </c>
      <c r="CL1959" s="5" t="s">
        <v>238</v>
      </c>
      <c r="CM1959" s="5" t="s">
        <v>238</v>
      </c>
      <c r="CN1959" s="5">
        <v>0</v>
      </c>
      <c r="CO1959" s="5" t="s">
        <v>259</v>
      </c>
      <c r="CP1959" s="5" t="s">
        <v>260</v>
      </c>
      <c r="CQ1959" s="5" t="s">
        <v>260</v>
      </c>
      <c r="CR1959" s="5" t="s">
        <v>261</v>
      </c>
      <c r="CU1959" s="8">
        <f>1</f>
        <v>1</v>
      </c>
      <c r="CV1959" s="8">
        <f>0</f>
        <v>0</v>
      </c>
      <c r="CX1959" s="8">
        <f>0</f>
        <v>0</v>
      </c>
      <c r="CY1959" s="8">
        <f>1</f>
        <v>1</v>
      </c>
      <c r="DA1959" s="5" t="s">
        <v>274</v>
      </c>
      <c r="DB1959" s="5" t="s">
        <v>238</v>
      </c>
      <c r="DD1959" s="5" t="s">
        <v>274</v>
      </c>
      <c r="DE1959" s="8">
        <f>1596</f>
        <v>1596</v>
      </c>
      <c r="DG1959" s="5" t="s">
        <v>238</v>
      </c>
      <c r="DH1959" s="5" t="s">
        <v>238</v>
      </c>
      <c r="DI1959" s="5" t="s">
        <v>238</v>
      </c>
      <c r="DJ1959" s="5" t="s">
        <v>238</v>
      </c>
      <c r="DN1959" s="5" t="s">
        <v>238</v>
      </c>
      <c r="DO1959" s="5" t="s">
        <v>238</v>
      </c>
      <c r="DP1959" s="5" t="s">
        <v>238</v>
      </c>
      <c r="DQ1959" s="5" t="s">
        <v>238</v>
      </c>
      <c r="DT1959" s="5" t="s">
        <v>275</v>
      </c>
      <c r="DU1959" s="5" t="s">
        <v>1252</v>
      </c>
      <c r="HM1959" s="5" t="s">
        <v>264</v>
      </c>
    </row>
    <row r="1960" spans="1:221" x14ac:dyDescent="0.4">
      <c r="A1960" s="5">
        <v>3664</v>
      </c>
      <c r="B1960" s="5">
        <v>1</v>
      </c>
      <c r="C1960" s="5">
        <v>1</v>
      </c>
      <c r="D1960" s="5" t="s">
        <v>269</v>
      </c>
      <c r="E1960" s="5" t="s">
        <v>271</v>
      </c>
      <c r="F1960" s="5" t="s">
        <v>248</v>
      </c>
      <c r="G1960" s="5" t="s">
        <v>266</v>
      </c>
      <c r="H1960" s="6" t="s">
        <v>1244</v>
      </c>
      <c r="I1960" s="7">
        <f>1031</f>
        <v>1031</v>
      </c>
      <c r="J1960" s="5" t="s">
        <v>262</v>
      </c>
      <c r="K1960" s="8">
        <f>1</f>
        <v>1</v>
      </c>
      <c r="L1960" s="6" t="s">
        <v>242</v>
      </c>
      <c r="M1960" s="5" t="s">
        <v>267</v>
      </c>
      <c r="N1960" s="5" t="s">
        <v>265</v>
      </c>
      <c r="O1960" s="5" t="s">
        <v>238</v>
      </c>
      <c r="P1960" s="5" t="s">
        <v>238</v>
      </c>
      <c r="Q1960" s="5" t="s">
        <v>268</v>
      </c>
      <c r="R1960" s="5" t="s">
        <v>270</v>
      </c>
      <c r="S1960" s="5" t="s">
        <v>238</v>
      </c>
      <c r="V1960" s="5" t="s">
        <v>238</v>
      </c>
      <c r="X1960" s="6" t="s">
        <v>238</v>
      </c>
      <c r="AA1960" s="6" t="s">
        <v>243</v>
      </c>
      <c r="AB1960" s="5" t="s">
        <v>238</v>
      </c>
      <c r="AC1960" s="5" t="s">
        <v>244</v>
      </c>
      <c r="AD1960" s="5" t="s">
        <v>245</v>
      </c>
      <c r="AT1960" s="5" t="s">
        <v>246</v>
      </c>
      <c r="AU1960" s="5" t="s">
        <v>238</v>
      </c>
      <c r="AV1960" s="5" t="s">
        <v>247</v>
      </c>
      <c r="AW1960" s="5" t="s">
        <v>238</v>
      </c>
      <c r="AX1960" s="5" t="s">
        <v>249</v>
      </c>
      <c r="AY1960" s="5" t="s">
        <v>238</v>
      </c>
      <c r="BA1960" s="5" t="s">
        <v>238</v>
      </c>
      <c r="BC1960" s="5" t="s">
        <v>250</v>
      </c>
      <c r="BD1960" s="6" t="s">
        <v>243</v>
      </c>
      <c r="BE1960" s="5" t="s">
        <v>251</v>
      </c>
      <c r="BF1960" s="5" t="s">
        <v>252</v>
      </c>
      <c r="BG1960" s="5" t="s">
        <v>238</v>
      </c>
      <c r="BH1960" s="7">
        <f>0</f>
        <v>0</v>
      </c>
      <c r="BI1960" s="8">
        <f>0</f>
        <v>0</v>
      </c>
      <c r="BJ1960" s="5" t="s">
        <v>253</v>
      </c>
      <c r="BK1960" s="5" t="s">
        <v>254</v>
      </c>
      <c r="BY1960" s="5" t="s">
        <v>238</v>
      </c>
      <c r="BZ1960" s="5" t="s">
        <v>238</v>
      </c>
      <c r="CD1960" s="5" t="s">
        <v>273</v>
      </c>
      <c r="CE1960" s="5" t="s">
        <v>256</v>
      </c>
      <c r="CF1960" s="5" t="s">
        <v>238</v>
      </c>
      <c r="CI1960" s="6" t="s">
        <v>257</v>
      </c>
      <c r="CJ1960" s="5" t="s">
        <v>238</v>
      </c>
      <c r="CK1960" s="5" t="s">
        <v>258</v>
      </c>
      <c r="CL1960" s="5" t="s">
        <v>238</v>
      </c>
      <c r="CM1960" s="5" t="s">
        <v>238</v>
      </c>
      <c r="CN1960" s="5">
        <v>0</v>
      </c>
      <c r="CO1960" s="5" t="s">
        <v>259</v>
      </c>
      <c r="CP1960" s="5" t="s">
        <v>260</v>
      </c>
      <c r="CQ1960" s="5" t="s">
        <v>260</v>
      </c>
      <c r="CR1960" s="5" t="s">
        <v>261</v>
      </c>
      <c r="CU1960" s="8">
        <f>1</f>
        <v>1</v>
      </c>
      <c r="CV1960" s="8">
        <f>0</f>
        <v>0</v>
      </c>
      <c r="CX1960" s="8">
        <f>0</f>
        <v>0</v>
      </c>
      <c r="CY1960" s="8">
        <f>1</f>
        <v>1</v>
      </c>
      <c r="DA1960" s="5" t="s">
        <v>274</v>
      </c>
      <c r="DB1960" s="5" t="s">
        <v>238</v>
      </c>
      <c r="DD1960" s="5" t="s">
        <v>274</v>
      </c>
      <c r="DE1960" s="8">
        <f>1031</f>
        <v>1031</v>
      </c>
      <c r="DG1960" s="5" t="s">
        <v>238</v>
      </c>
      <c r="DH1960" s="5" t="s">
        <v>238</v>
      </c>
      <c r="DI1960" s="5" t="s">
        <v>238</v>
      </c>
      <c r="DJ1960" s="5" t="s">
        <v>238</v>
      </c>
      <c r="DN1960" s="5" t="s">
        <v>238</v>
      </c>
      <c r="DO1960" s="5" t="s">
        <v>238</v>
      </c>
      <c r="DP1960" s="5" t="s">
        <v>238</v>
      </c>
      <c r="DQ1960" s="5" t="s">
        <v>238</v>
      </c>
      <c r="DT1960" s="5" t="s">
        <v>275</v>
      </c>
      <c r="DU1960" s="5" t="s">
        <v>1245</v>
      </c>
      <c r="HM1960" s="5" t="s">
        <v>264</v>
      </c>
    </row>
    <row r="1961" spans="1:221" x14ac:dyDescent="0.4">
      <c r="A1961" s="5">
        <v>3665</v>
      </c>
      <c r="B1961" s="5">
        <v>1</v>
      </c>
      <c r="C1961" s="5">
        <v>1</v>
      </c>
      <c r="D1961" s="5" t="s">
        <v>269</v>
      </c>
      <c r="E1961" s="5" t="s">
        <v>271</v>
      </c>
      <c r="F1961" s="5" t="s">
        <v>248</v>
      </c>
      <c r="G1961" s="5" t="s">
        <v>266</v>
      </c>
      <c r="H1961" s="6" t="s">
        <v>1240</v>
      </c>
      <c r="I1961" s="7">
        <f>1355</f>
        <v>1355</v>
      </c>
      <c r="J1961" s="5" t="s">
        <v>262</v>
      </c>
      <c r="K1961" s="8">
        <f>1</f>
        <v>1</v>
      </c>
      <c r="L1961" s="6" t="s">
        <v>242</v>
      </c>
      <c r="M1961" s="5" t="s">
        <v>267</v>
      </c>
      <c r="N1961" s="5" t="s">
        <v>265</v>
      </c>
      <c r="O1961" s="5" t="s">
        <v>238</v>
      </c>
      <c r="P1961" s="5" t="s">
        <v>238</v>
      </c>
      <c r="Q1961" s="5" t="s">
        <v>268</v>
      </c>
      <c r="R1961" s="5" t="s">
        <v>270</v>
      </c>
      <c r="S1961" s="5" t="s">
        <v>238</v>
      </c>
      <c r="V1961" s="5" t="s">
        <v>238</v>
      </c>
      <c r="X1961" s="6" t="s">
        <v>238</v>
      </c>
      <c r="AA1961" s="6" t="s">
        <v>243</v>
      </c>
      <c r="AB1961" s="5" t="s">
        <v>238</v>
      </c>
      <c r="AC1961" s="5" t="s">
        <v>244</v>
      </c>
      <c r="AD1961" s="5" t="s">
        <v>245</v>
      </c>
      <c r="AT1961" s="5" t="s">
        <v>246</v>
      </c>
      <c r="AU1961" s="5" t="s">
        <v>238</v>
      </c>
      <c r="AV1961" s="5" t="s">
        <v>247</v>
      </c>
      <c r="AW1961" s="5" t="s">
        <v>238</v>
      </c>
      <c r="AX1961" s="5" t="s">
        <v>249</v>
      </c>
      <c r="AY1961" s="5" t="s">
        <v>238</v>
      </c>
      <c r="BA1961" s="5" t="s">
        <v>238</v>
      </c>
      <c r="BC1961" s="5" t="s">
        <v>250</v>
      </c>
      <c r="BD1961" s="6" t="s">
        <v>243</v>
      </c>
      <c r="BE1961" s="5" t="s">
        <v>251</v>
      </c>
      <c r="BF1961" s="5" t="s">
        <v>252</v>
      </c>
      <c r="BG1961" s="5" t="s">
        <v>238</v>
      </c>
      <c r="BH1961" s="7">
        <f>0</f>
        <v>0</v>
      </c>
      <c r="BI1961" s="8">
        <f>0</f>
        <v>0</v>
      </c>
      <c r="BJ1961" s="5" t="s">
        <v>253</v>
      </c>
      <c r="BK1961" s="5" t="s">
        <v>254</v>
      </c>
      <c r="BY1961" s="5" t="s">
        <v>238</v>
      </c>
      <c r="BZ1961" s="5" t="s">
        <v>238</v>
      </c>
      <c r="CD1961" s="5" t="s">
        <v>273</v>
      </c>
      <c r="CE1961" s="5" t="s">
        <v>256</v>
      </c>
      <c r="CF1961" s="5" t="s">
        <v>238</v>
      </c>
      <c r="CI1961" s="6" t="s">
        <v>257</v>
      </c>
      <c r="CJ1961" s="5" t="s">
        <v>238</v>
      </c>
      <c r="CK1961" s="5" t="s">
        <v>258</v>
      </c>
      <c r="CL1961" s="5" t="s">
        <v>238</v>
      </c>
      <c r="CM1961" s="5" t="s">
        <v>238</v>
      </c>
      <c r="CN1961" s="5">
        <v>0</v>
      </c>
      <c r="CO1961" s="5" t="s">
        <v>259</v>
      </c>
      <c r="CP1961" s="5" t="s">
        <v>260</v>
      </c>
      <c r="CQ1961" s="5" t="s">
        <v>260</v>
      </c>
      <c r="CR1961" s="5" t="s">
        <v>261</v>
      </c>
      <c r="CU1961" s="8">
        <f>1</f>
        <v>1</v>
      </c>
      <c r="CV1961" s="8">
        <f>0</f>
        <v>0</v>
      </c>
      <c r="CX1961" s="8">
        <f>0</f>
        <v>0</v>
      </c>
      <c r="CY1961" s="8">
        <f>1</f>
        <v>1</v>
      </c>
      <c r="DA1961" s="5" t="s">
        <v>274</v>
      </c>
      <c r="DB1961" s="5" t="s">
        <v>238</v>
      </c>
      <c r="DD1961" s="5" t="s">
        <v>274</v>
      </c>
      <c r="DE1961" s="8">
        <f>1355</f>
        <v>1355</v>
      </c>
      <c r="DG1961" s="5" t="s">
        <v>238</v>
      </c>
      <c r="DH1961" s="5" t="s">
        <v>238</v>
      </c>
      <c r="DI1961" s="5" t="s">
        <v>238</v>
      </c>
      <c r="DJ1961" s="5" t="s">
        <v>238</v>
      </c>
      <c r="DN1961" s="5" t="s">
        <v>238</v>
      </c>
      <c r="DO1961" s="5" t="s">
        <v>238</v>
      </c>
      <c r="DP1961" s="5" t="s">
        <v>238</v>
      </c>
      <c r="DQ1961" s="5" t="s">
        <v>238</v>
      </c>
      <c r="DT1961" s="5" t="s">
        <v>275</v>
      </c>
      <c r="DU1961" s="5" t="s">
        <v>1241</v>
      </c>
      <c r="HM1961" s="5" t="s">
        <v>264</v>
      </c>
    </row>
    <row r="1962" spans="1:221" x14ac:dyDescent="0.4">
      <c r="A1962" s="5">
        <v>3666</v>
      </c>
      <c r="B1962" s="5">
        <v>1</v>
      </c>
      <c r="C1962" s="5">
        <v>1</v>
      </c>
      <c r="D1962" s="5" t="s">
        <v>269</v>
      </c>
      <c r="E1962" s="5" t="s">
        <v>271</v>
      </c>
      <c r="F1962" s="5" t="s">
        <v>248</v>
      </c>
      <c r="G1962" s="5" t="s">
        <v>266</v>
      </c>
      <c r="H1962" s="6" t="s">
        <v>1238</v>
      </c>
      <c r="I1962" s="7">
        <f>765</f>
        <v>765</v>
      </c>
      <c r="J1962" s="5" t="s">
        <v>262</v>
      </c>
      <c r="K1962" s="8">
        <f>1</f>
        <v>1</v>
      </c>
      <c r="L1962" s="6" t="s">
        <v>242</v>
      </c>
      <c r="M1962" s="5" t="s">
        <v>267</v>
      </c>
      <c r="N1962" s="5" t="s">
        <v>265</v>
      </c>
      <c r="O1962" s="5" t="s">
        <v>238</v>
      </c>
      <c r="P1962" s="5" t="s">
        <v>238</v>
      </c>
      <c r="Q1962" s="5" t="s">
        <v>268</v>
      </c>
      <c r="R1962" s="5" t="s">
        <v>270</v>
      </c>
      <c r="S1962" s="5" t="s">
        <v>238</v>
      </c>
      <c r="V1962" s="5" t="s">
        <v>238</v>
      </c>
      <c r="X1962" s="6" t="s">
        <v>238</v>
      </c>
      <c r="AA1962" s="6" t="s">
        <v>243</v>
      </c>
      <c r="AB1962" s="5" t="s">
        <v>238</v>
      </c>
      <c r="AC1962" s="5" t="s">
        <v>244</v>
      </c>
      <c r="AD1962" s="5" t="s">
        <v>245</v>
      </c>
      <c r="AT1962" s="5" t="s">
        <v>246</v>
      </c>
      <c r="AU1962" s="5" t="s">
        <v>238</v>
      </c>
      <c r="AV1962" s="5" t="s">
        <v>247</v>
      </c>
      <c r="AW1962" s="5" t="s">
        <v>238</v>
      </c>
      <c r="AX1962" s="5" t="s">
        <v>249</v>
      </c>
      <c r="AY1962" s="5" t="s">
        <v>238</v>
      </c>
      <c r="BA1962" s="5" t="s">
        <v>238</v>
      </c>
      <c r="BC1962" s="5" t="s">
        <v>250</v>
      </c>
      <c r="BD1962" s="6" t="s">
        <v>243</v>
      </c>
      <c r="BE1962" s="5" t="s">
        <v>251</v>
      </c>
      <c r="BF1962" s="5" t="s">
        <v>252</v>
      </c>
      <c r="BG1962" s="5" t="s">
        <v>238</v>
      </c>
      <c r="BH1962" s="7">
        <f>0</f>
        <v>0</v>
      </c>
      <c r="BI1962" s="8">
        <f>0</f>
        <v>0</v>
      </c>
      <c r="BJ1962" s="5" t="s">
        <v>253</v>
      </c>
      <c r="BK1962" s="5" t="s">
        <v>254</v>
      </c>
      <c r="BY1962" s="5" t="s">
        <v>238</v>
      </c>
      <c r="BZ1962" s="5" t="s">
        <v>238</v>
      </c>
      <c r="CD1962" s="5" t="s">
        <v>273</v>
      </c>
      <c r="CE1962" s="5" t="s">
        <v>256</v>
      </c>
      <c r="CF1962" s="5" t="s">
        <v>238</v>
      </c>
      <c r="CI1962" s="6" t="s">
        <v>257</v>
      </c>
      <c r="CJ1962" s="5" t="s">
        <v>238</v>
      </c>
      <c r="CK1962" s="5" t="s">
        <v>258</v>
      </c>
      <c r="CL1962" s="5" t="s">
        <v>238</v>
      </c>
      <c r="CM1962" s="5" t="s">
        <v>238</v>
      </c>
      <c r="CN1962" s="5">
        <v>0</v>
      </c>
      <c r="CO1962" s="5" t="s">
        <v>259</v>
      </c>
      <c r="CP1962" s="5" t="s">
        <v>260</v>
      </c>
      <c r="CQ1962" s="5" t="s">
        <v>260</v>
      </c>
      <c r="CR1962" s="5" t="s">
        <v>261</v>
      </c>
      <c r="CU1962" s="8">
        <f>1</f>
        <v>1</v>
      </c>
      <c r="CV1962" s="8">
        <f>0</f>
        <v>0</v>
      </c>
      <c r="CX1962" s="8">
        <f>0</f>
        <v>0</v>
      </c>
      <c r="CY1962" s="8">
        <f>1</f>
        <v>1</v>
      </c>
      <c r="DA1962" s="5" t="s">
        <v>274</v>
      </c>
      <c r="DB1962" s="5" t="s">
        <v>238</v>
      </c>
      <c r="DD1962" s="5" t="s">
        <v>274</v>
      </c>
      <c r="DE1962" s="8">
        <f>765</f>
        <v>765</v>
      </c>
      <c r="DG1962" s="5" t="s">
        <v>238</v>
      </c>
      <c r="DH1962" s="5" t="s">
        <v>238</v>
      </c>
      <c r="DI1962" s="5" t="s">
        <v>238</v>
      </c>
      <c r="DJ1962" s="5" t="s">
        <v>238</v>
      </c>
      <c r="DN1962" s="5" t="s">
        <v>238</v>
      </c>
      <c r="DO1962" s="5" t="s">
        <v>238</v>
      </c>
      <c r="DP1962" s="5" t="s">
        <v>238</v>
      </c>
      <c r="DQ1962" s="5" t="s">
        <v>238</v>
      </c>
      <c r="DT1962" s="5" t="s">
        <v>275</v>
      </c>
      <c r="DU1962" s="5" t="s">
        <v>1239</v>
      </c>
      <c r="HM1962" s="5" t="s">
        <v>264</v>
      </c>
    </row>
    <row r="1963" spans="1:221" x14ac:dyDescent="0.4">
      <c r="A1963" s="5">
        <v>3667</v>
      </c>
      <c r="B1963" s="5">
        <v>1</v>
      </c>
      <c r="C1963" s="5">
        <v>1</v>
      </c>
      <c r="D1963" s="5" t="s">
        <v>269</v>
      </c>
      <c r="E1963" s="5" t="s">
        <v>271</v>
      </c>
      <c r="F1963" s="5" t="s">
        <v>248</v>
      </c>
      <c r="G1963" s="5" t="s">
        <v>266</v>
      </c>
      <c r="H1963" s="6" t="s">
        <v>1231</v>
      </c>
      <c r="I1963" s="7">
        <f>395</f>
        <v>395</v>
      </c>
      <c r="J1963" s="5" t="s">
        <v>262</v>
      </c>
      <c r="K1963" s="8">
        <f>1</f>
        <v>1</v>
      </c>
      <c r="L1963" s="6" t="s">
        <v>242</v>
      </c>
      <c r="M1963" s="5" t="s">
        <v>267</v>
      </c>
      <c r="N1963" s="5" t="s">
        <v>265</v>
      </c>
      <c r="O1963" s="5" t="s">
        <v>238</v>
      </c>
      <c r="P1963" s="5" t="s">
        <v>238</v>
      </c>
      <c r="Q1963" s="5" t="s">
        <v>268</v>
      </c>
      <c r="R1963" s="5" t="s">
        <v>270</v>
      </c>
      <c r="S1963" s="5" t="s">
        <v>238</v>
      </c>
      <c r="V1963" s="5" t="s">
        <v>238</v>
      </c>
      <c r="X1963" s="6" t="s">
        <v>238</v>
      </c>
      <c r="AA1963" s="6" t="s">
        <v>243</v>
      </c>
      <c r="AB1963" s="5" t="s">
        <v>238</v>
      </c>
      <c r="AC1963" s="5" t="s">
        <v>244</v>
      </c>
      <c r="AD1963" s="5" t="s">
        <v>245</v>
      </c>
      <c r="AT1963" s="5" t="s">
        <v>246</v>
      </c>
      <c r="AU1963" s="5" t="s">
        <v>238</v>
      </c>
      <c r="AV1963" s="5" t="s">
        <v>247</v>
      </c>
      <c r="AW1963" s="5" t="s">
        <v>238</v>
      </c>
      <c r="AX1963" s="5" t="s">
        <v>249</v>
      </c>
      <c r="AY1963" s="5" t="s">
        <v>238</v>
      </c>
      <c r="BA1963" s="5" t="s">
        <v>238</v>
      </c>
      <c r="BC1963" s="5" t="s">
        <v>250</v>
      </c>
      <c r="BD1963" s="6" t="s">
        <v>243</v>
      </c>
      <c r="BE1963" s="5" t="s">
        <v>251</v>
      </c>
      <c r="BF1963" s="5" t="s">
        <v>252</v>
      </c>
      <c r="BG1963" s="5" t="s">
        <v>238</v>
      </c>
      <c r="BH1963" s="7">
        <f>0</f>
        <v>0</v>
      </c>
      <c r="BI1963" s="8">
        <f>0</f>
        <v>0</v>
      </c>
      <c r="BJ1963" s="5" t="s">
        <v>253</v>
      </c>
      <c r="BK1963" s="5" t="s">
        <v>254</v>
      </c>
      <c r="BY1963" s="5" t="s">
        <v>238</v>
      </c>
      <c r="BZ1963" s="5" t="s">
        <v>238</v>
      </c>
      <c r="CD1963" s="5" t="s">
        <v>273</v>
      </c>
      <c r="CE1963" s="5" t="s">
        <v>256</v>
      </c>
      <c r="CF1963" s="5" t="s">
        <v>238</v>
      </c>
      <c r="CI1963" s="6" t="s">
        <v>257</v>
      </c>
      <c r="CJ1963" s="5" t="s">
        <v>238</v>
      </c>
      <c r="CK1963" s="5" t="s">
        <v>258</v>
      </c>
      <c r="CL1963" s="5" t="s">
        <v>238</v>
      </c>
      <c r="CM1963" s="5" t="s">
        <v>238</v>
      </c>
      <c r="CN1963" s="5">
        <v>0</v>
      </c>
      <c r="CO1963" s="5" t="s">
        <v>259</v>
      </c>
      <c r="CP1963" s="5" t="s">
        <v>260</v>
      </c>
      <c r="CQ1963" s="5" t="s">
        <v>260</v>
      </c>
      <c r="CR1963" s="5" t="s">
        <v>261</v>
      </c>
      <c r="CU1963" s="8">
        <f>1</f>
        <v>1</v>
      </c>
      <c r="CV1963" s="8">
        <f>0</f>
        <v>0</v>
      </c>
      <c r="CX1963" s="8">
        <f>0</f>
        <v>0</v>
      </c>
      <c r="CY1963" s="8">
        <f>1</f>
        <v>1</v>
      </c>
      <c r="DA1963" s="5" t="s">
        <v>274</v>
      </c>
      <c r="DB1963" s="5" t="s">
        <v>238</v>
      </c>
      <c r="DD1963" s="5" t="s">
        <v>274</v>
      </c>
      <c r="DE1963" s="8">
        <f>395</f>
        <v>395</v>
      </c>
      <c r="DG1963" s="5" t="s">
        <v>238</v>
      </c>
      <c r="DH1963" s="5" t="s">
        <v>238</v>
      </c>
      <c r="DI1963" s="5" t="s">
        <v>238</v>
      </c>
      <c r="DJ1963" s="5" t="s">
        <v>238</v>
      </c>
      <c r="DN1963" s="5" t="s">
        <v>238</v>
      </c>
      <c r="DO1963" s="5" t="s">
        <v>238</v>
      </c>
      <c r="DP1963" s="5" t="s">
        <v>238</v>
      </c>
      <c r="DQ1963" s="5" t="s">
        <v>238</v>
      </c>
      <c r="DT1963" s="5" t="s">
        <v>275</v>
      </c>
      <c r="DU1963" s="5" t="s">
        <v>1232</v>
      </c>
      <c r="HM1963" s="5" t="s">
        <v>264</v>
      </c>
    </row>
    <row r="1964" spans="1:221" x14ac:dyDescent="0.4">
      <c r="A1964" s="5">
        <v>3668</v>
      </c>
      <c r="B1964" s="5">
        <v>1</v>
      </c>
      <c r="C1964" s="5">
        <v>1</v>
      </c>
      <c r="D1964" s="5" t="s">
        <v>269</v>
      </c>
      <c r="E1964" s="5" t="s">
        <v>271</v>
      </c>
      <c r="F1964" s="5" t="s">
        <v>248</v>
      </c>
      <c r="G1964" s="5" t="s">
        <v>266</v>
      </c>
      <c r="H1964" s="6" t="s">
        <v>1227</v>
      </c>
      <c r="I1964" s="7">
        <f>2638</f>
        <v>2638</v>
      </c>
      <c r="J1964" s="5" t="s">
        <v>262</v>
      </c>
      <c r="K1964" s="8">
        <f>1</f>
        <v>1</v>
      </c>
      <c r="L1964" s="6" t="s">
        <v>242</v>
      </c>
      <c r="M1964" s="5" t="s">
        <v>267</v>
      </c>
      <c r="N1964" s="5" t="s">
        <v>265</v>
      </c>
      <c r="O1964" s="5" t="s">
        <v>238</v>
      </c>
      <c r="P1964" s="5" t="s">
        <v>238</v>
      </c>
      <c r="Q1964" s="5" t="s">
        <v>268</v>
      </c>
      <c r="R1964" s="5" t="s">
        <v>270</v>
      </c>
      <c r="S1964" s="5" t="s">
        <v>238</v>
      </c>
      <c r="V1964" s="5" t="s">
        <v>238</v>
      </c>
      <c r="X1964" s="6" t="s">
        <v>238</v>
      </c>
      <c r="AA1964" s="6" t="s">
        <v>243</v>
      </c>
      <c r="AB1964" s="5" t="s">
        <v>238</v>
      </c>
      <c r="AC1964" s="5" t="s">
        <v>244</v>
      </c>
      <c r="AD1964" s="5" t="s">
        <v>245</v>
      </c>
      <c r="AT1964" s="5" t="s">
        <v>246</v>
      </c>
      <c r="AU1964" s="5" t="s">
        <v>238</v>
      </c>
      <c r="AV1964" s="5" t="s">
        <v>247</v>
      </c>
      <c r="AW1964" s="5" t="s">
        <v>238</v>
      </c>
      <c r="AX1964" s="5" t="s">
        <v>249</v>
      </c>
      <c r="AY1964" s="5" t="s">
        <v>238</v>
      </c>
      <c r="BA1964" s="5" t="s">
        <v>238</v>
      </c>
      <c r="BC1964" s="5" t="s">
        <v>250</v>
      </c>
      <c r="BD1964" s="6" t="s">
        <v>243</v>
      </c>
      <c r="BE1964" s="5" t="s">
        <v>251</v>
      </c>
      <c r="BF1964" s="5" t="s">
        <v>252</v>
      </c>
      <c r="BG1964" s="5" t="s">
        <v>238</v>
      </c>
      <c r="BH1964" s="7">
        <f>0</f>
        <v>0</v>
      </c>
      <c r="BI1964" s="8">
        <f>0</f>
        <v>0</v>
      </c>
      <c r="BJ1964" s="5" t="s">
        <v>253</v>
      </c>
      <c r="BK1964" s="5" t="s">
        <v>254</v>
      </c>
      <c r="BY1964" s="5" t="s">
        <v>238</v>
      </c>
      <c r="BZ1964" s="5" t="s">
        <v>238</v>
      </c>
      <c r="CD1964" s="5" t="s">
        <v>273</v>
      </c>
      <c r="CE1964" s="5" t="s">
        <v>256</v>
      </c>
      <c r="CF1964" s="5" t="s">
        <v>238</v>
      </c>
      <c r="CI1964" s="6" t="s">
        <v>257</v>
      </c>
      <c r="CJ1964" s="5" t="s">
        <v>238</v>
      </c>
      <c r="CK1964" s="5" t="s">
        <v>258</v>
      </c>
      <c r="CL1964" s="5" t="s">
        <v>238</v>
      </c>
      <c r="CM1964" s="5" t="s">
        <v>238</v>
      </c>
      <c r="CN1964" s="5">
        <v>0</v>
      </c>
      <c r="CO1964" s="5" t="s">
        <v>259</v>
      </c>
      <c r="CP1964" s="5" t="s">
        <v>260</v>
      </c>
      <c r="CQ1964" s="5" t="s">
        <v>260</v>
      </c>
      <c r="CR1964" s="5" t="s">
        <v>261</v>
      </c>
      <c r="CU1964" s="8">
        <f>1</f>
        <v>1</v>
      </c>
      <c r="CV1964" s="8">
        <f>0</f>
        <v>0</v>
      </c>
      <c r="CX1964" s="8">
        <f>0</f>
        <v>0</v>
      </c>
      <c r="CY1964" s="8">
        <f>1</f>
        <v>1</v>
      </c>
      <c r="DA1964" s="5" t="s">
        <v>274</v>
      </c>
      <c r="DB1964" s="5" t="s">
        <v>238</v>
      </c>
      <c r="DD1964" s="5" t="s">
        <v>274</v>
      </c>
      <c r="DE1964" s="8">
        <f>2638</f>
        <v>2638</v>
      </c>
      <c r="DG1964" s="5" t="s">
        <v>238</v>
      </c>
      <c r="DH1964" s="5" t="s">
        <v>238</v>
      </c>
      <c r="DI1964" s="5" t="s">
        <v>238</v>
      </c>
      <c r="DJ1964" s="5" t="s">
        <v>238</v>
      </c>
      <c r="DN1964" s="5" t="s">
        <v>238</v>
      </c>
      <c r="DO1964" s="5" t="s">
        <v>238</v>
      </c>
      <c r="DP1964" s="5" t="s">
        <v>238</v>
      </c>
      <c r="DQ1964" s="5" t="s">
        <v>238</v>
      </c>
      <c r="DT1964" s="5" t="s">
        <v>275</v>
      </c>
      <c r="DU1964" s="5" t="s">
        <v>1228</v>
      </c>
      <c r="HM1964" s="5" t="s">
        <v>264</v>
      </c>
    </row>
    <row r="1965" spans="1:221" x14ac:dyDescent="0.4">
      <c r="A1965" s="5">
        <v>3669</v>
      </c>
      <c r="B1965" s="5">
        <v>1</v>
      </c>
      <c r="C1965" s="5">
        <v>1</v>
      </c>
      <c r="D1965" s="5" t="s">
        <v>269</v>
      </c>
      <c r="E1965" s="5" t="s">
        <v>271</v>
      </c>
      <c r="F1965" s="5" t="s">
        <v>248</v>
      </c>
      <c r="G1965" s="5" t="s">
        <v>266</v>
      </c>
      <c r="H1965" s="6" t="s">
        <v>1225</v>
      </c>
      <c r="I1965" s="7">
        <f>415</f>
        <v>415</v>
      </c>
      <c r="J1965" s="5" t="s">
        <v>262</v>
      </c>
      <c r="K1965" s="8">
        <f>1</f>
        <v>1</v>
      </c>
      <c r="L1965" s="6" t="s">
        <v>242</v>
      </c>
      <c r="M1965" s="5" t="s">
        <v>267</v>
      </c>
      <c r="N1965" s="5" t="s">
        <v>265</v>
      </c>
      <c r="O1965" s="5" t="s">
        <v>238</v>
      </c>
      <c r="P1965" s="5" t="s">
        <v>238</v>
      </c>
      <c r="Q1965" s="5" t="s">
        <v>268</v>
      </c>
      <c r="R1965" s="5" t="s">
        <v>270</v>
      </c>
      <c r="S1965" s="5" t="s">
        <v>238</v>
      </c>
      <c r="V1965" s="5" t="s">
        <v>238</v>
      </c>
      <c r="X1965" s="6" t="s">
        <v>238</v>
      </c>
      <c r="AA1965" s="6" t="s">
        <v>243</v>
      </c>
      <c r="AB1965" s="5" t="s">
        <v>238</v>
      </c>
      <c r="AC1965" s="5" t="s">
        <v>244</v>
      </c>
      <c r="AD1965" s="5" t="s">
        <v>245</v>
      </c>
      <c r="AT1965" s="5" t="s">
        <v>246</v>
      </c>
      <c r="AU1965" s="5" t="s">
        <v>238</v>
      </c>
      <c r="AV1965" s="5" t="s">
        <v>247</v>
      </c>
      <c r="AW1965" s="5" t="s">
        <v>238</v>
      </c>
      <c r="AX1965" s="5" t="s">
        <v>249</v>
      </c>
      <c r="AY1965" s="5" t="s">
        <v>238</v>
      </c>
      <c r="BA1965" s="5" t="s">
        <v>238</v>
      </c>
      <c r="BC1965" s="5" t="s">
        <v>250</v>
      </c>
      <c r="BD1965" s="6" t="s">
        <v>243</v>
      </c>
      <c r="BE1965" s="5" t="s">
        <v>251</v>
      </c>
      <c r="BF1965" s="5" t="s">
        <v>252</v>
      </c>
      <c r="BG1965" s="5" t="s">
        <v>238</v>
      </c>
      <c r="BH1965" s="7">
        <f>0</f>
        <v>0</v>
      </c>
      <c r="BI1965" s="8">
        <f>0</f>
        <v>0</v>
      </c>
      <c r="BJ1965" s="5" t="s">
        <v>253</v>
      </c>
      <c r="BK1965" s="5" t="s">
        <v>254</v>
      </c>
      <c r="BY1965" s="5" t="s">
        <v>238</v>
      </c>
      <c r="BZ1965" s="5" t="s">
        <v>238</v>
      </c>
      <c r="CD1965" s="5" t="s">
        <v>273</v>
      </c>
      <c r="CE1965" s="5" t="s">
        <v>256</v>
      </c>
      <c r="CF1965" s="5" t="s">
        <v>238</v>
      </c>
      <c r="CI1965" s="6" t="s">
        <v>257</v>
      </c>
      <c r="CJ1965" s="5" t="s">
        <v>238</v>
      </c>
      <c r="CK1965" s="5" t="s">
        <v>258</v>
      </c>
      <c r="CL1965" s="5" t="s">
        <v>238</v>
      </c>
      <c r="CM1965" s="5" t="s">
        <v>238</v>
      </c>
      <c r="CN1965" s="5">
        <v>0</v>
      </c>
      <c r="CO1965" s="5" t="s">
        <v>259</v>
      </c>
      <c r="CP1965" s="5" t="s">
        <v>260</v>
      </c>
      <c r="CQ1965" s="5" t="s">
        <v>260</v>
      </c>
      <c r="CR1965" s="5" t="s">
        <v>261</v>
      </c>
      <c r="CU1965" s="8">
        <f>1</f>
        <v>1</v>
      </c>
      <c r="CV1965" s="8">
        <f>0</f>
        <v>0</v>
      </c>
      <c r="CX1965" s="8">
        <f>0</f>
        <v>0</v>
      </c>
      <c r="CY1965" s="8">
        <f>1</f>
        <v>1</v>
      </c>
      <c r="DA1965" s="5" t="s">
        <v>274</v>
      </c>
      <c r="DB1965" s="5" t="s">
        <v>238</v>
      </c>
      <c r="DD1965" s="5" t="s">
        <v>274</v>
      </c>
      <c r="DE1965" s="8">
        <f>415</f>
        <v>415</v>
      </c>
      <c r="DG1965" s="5" t="s">
        <v>238</v>
      </c>
      <c r="DH1965" s="5" t="s">
        <v>238</v>
      </c>
      <c r="DI1965" s="5" t="s">
        <v>238</v>
      </c>
      <c r="DJ1965" s="5" t="s">
        <v>238</v>
      </c>
      <c r="DN1965" s="5" t="s">
        <v>238</v>
      </c>
      <c r="DO1965" s="5" t="s">
        <v>238</v>
      </c>
      <c r="DP1965" s="5" t="s">
        <v>238</v>
      </c>
      <c r="DQ1965" s="5" t="s">
        <v>238</v>
      </c>
      <c r="DT1965" s="5" t="s">
        <v>275</v>
      </c>
      <c r="DU1965" s="5" t="s">
        <v>1226</v>
      </c>
      <c r="HM1965" s="5" t="s">
        <v>264</v>
      </c>
    </row>
    <row r="1966" spans="1:221" x14ac:dyDescent="0.4">
      <c r="A1966" s="5">
        <v>3670</v>
      </c>
      <c r="B1966" s="5">
        <v>1</v>
      </c>
      <c r="C1966" s="5">
        <v>1</v>
      </c>
      <c r="D1966" s="5" t="s">
        <v>269</v>
      </c>
      <c r="E1966" s="5" t="s">
        <v>271</v>
      </c>
      <c r="F1966" s="5" t="s">
        <v>248</v>
      </c>
      <c r="G1966" s="5" t="s">
        <v>266</v>
      </c>
      <c r="H1966" s="6" t="s">
        <v>1221</v>
      </c>
      <c r="I1966" s="7">
        <f>2385</f>
        <v>2385</v>
      </c>
      <c r="J1966" s="5" t="s">
        <v>262</v>
      </c>
      <c r="K1966" s="8">
        <f>1</f>
        <v>1</v>
      </c>
      <c r="L1966" s="6" t="s">
        <v>242</v>
      </c>
      <c r="M1966" s="5" t="s">
        <v>267</v>
      </c>
      <c r="N1966" s="5" t="s">
        <v>265</v>
      </c>
      <c r="O1966" s="5" t="s">
        <v>238</v>
      </c>
      <c r="P1966" s="5" t="s">
        <v>238</v>
      </c>
      <c r="Q1966" s="5" t="s">
        <v>268</v>
      </c>
      <c r="R1966" s="5" t="s">
        <v>270</v>
      </c>
      <c r="S1966" s="5" t="s">
        <v>238</v>
      </c>
      <c r="V1966" s="5" t="s">
        <v>238</v>
      </c>
      <c r="X1966" s="6" t="s">
        <v>238</v>
      </c>
      <c r="AA1966" s="6" t="s">
        <v>243</v>
      </c>
      <c r="AB1966" s="5" t="s">
        <v>238</v>
      </c>
      <c r="AC1966" s="5" t="s">
        <v>244</v>
      </c>
      <c r="AD1966" s="5" t="s">
        <v>245</v>
      </c>
      <c r="AT1966" s="5" t="s">
        <v>246</v>
      </c>
      <c r="AU1966" s="5" t="s">
        <v>238</v>
      </c>
      <c r="AV1966" s="5" t="s">
        <v>247</v>
      </c>
      <c r="AW1966" s="5" t="s">
        <v>238</v>
      </c>
      <c r="AX1966" s="5" t="s">
        <v>249</v>
      </c>
      <c r="AY1966" s="5" t="s">
        <v>238</v>
      </c>
      <c r="BA1966" s="5" t="s">
        <v>238</v>
      </c>
      <c r="BC1966" s="5" t="s">
        <v>250</v>
      </c>
      <c r="BD1966" s="6" t="s">
        <v>243</v>
      </c>
      <c r="BE1966" s="5" t="s">
        <v>251</v>
      </c>
      <c r="BF1966" s="5" t="s">
        <v>252</v>
      </c>
      <c r="BG1966" s="5" t="s">
        <v>238</v>
      </c>
      <c r="BH1966" s="7">
        <f>0</f>
        <v>0</v>
      </c>
      <c r="BI1966" s="8">
        <f>0</f>
        <v>0</v>
      </c>
      <c r="BJ1966" s="5" t="s">
        <v>253</v>
      </c>
      <c r="BK1966" s="5" t="s">
        <v>254</v>
      </c>
      <c r="BY1966" s="5" t="s">
        <v>238</v>
      </c>
      <c r="BZ1966" s="5" t="s">
        <v>238</v>
      </c>
      <c r="CD1966" s="5" t="s">
        <v>273</v>
      </c>
      <c r="CE1966" s="5" t="s">
        <v>256</v>
      </c>
      <c r="CF1966" s="5" t="s">
        <v>238</v>
      </c>
      <c r="CI1966" s="6" t="s">
        <v>257</v>
      </c>
      <c r="CJ1966" s="5" t="s">
        <v>238</v>
      </c>
      <c r="CK1966" s="5" t="s">
        <v>258</v>
      </c>
      <c r="CL1966" s="5" t="s">
        <v>238</v>
      </c>
      <c r="CM1966" s="5" t="s">
        <v>238</v>
      </c>
      <c r="CN1966" s="5">
        <v>0</v>
      </c>
      <c r="CO1966" s="5" t="s">
        <v>259</v>
      </c>
      <c r="CP1966" s="5" t="s">
        <v>260</v>
      </c>
      <c r="CQ1966" s="5" t="s">
        <v>260</v>
      </c>
      <c r="CR1966" s="5" t="s">
        <v>261</v>
      </c>
      <c r="CU1966" s="8">
        <f>1</f>
        <v>1</v>
      </c>
      <c r="CV1966" s="8">
        <f>0</f>
        <v>0</v>
      </c>
      <c r="CX1966" s="8">
        <f>0</f>
        <v>0</v>
      </c>
      <c r="CY1966" s="8">
        <f>1</f>
        <v>1</v>
      </c>
      <c r="DA1966" s="5" t="s">
        <v>274</v>
      </c>
      <c r="DB1966" s="5" t="s">
        <v>238</v>
      </c>
      <c r="DD1966" s="5" t="s">
        <v>274</v>
      </c>
      <c r="DE1966" s="8">
        <f>2385</f>
        <v>2385</v>
      </c>
      <c r="DG1966" s="5" t="s">
        <v>238</v>
      </c>
      <c r="DH1966" s="5" t="s">
        <v>238</v>
      </c>
      <c r="DI1966" s="5" t="s">
        <v>238</v>
      </c>
      <c r="DJ1966" s="5" t="s">
        <v>238</v>
      </c>
      <c r="DN1966" s="5" t="s">
        <v>238</v>
      </c>
      <c r="DO1966" s="5" t="s">
        <v>238</v>
      </c>
      <c r="DP1966" s="5" t="s">
        <v>238</v>
      </c>
      <c r="DQ1966" s="5" t="s">
        <v>238</v>
      </c>
      <c r="DT1966" s="5" t="s">
        <v>275</v>
      </c>
      <c r="DU1966" s="5" t="s">
        <v>1222</v>
      </c>
      <c r="HM1966" s="5" t="s">
        <v>264</v>
      </c>
    </row>
    <row r="1967" spans="1:221" x14ac:dyDescent="0.4">
      <c r="A1967" s="5">
        <v>3671</v>
      </c>
      <c r="B1967" s="5">
        <v>1</v>
      </c>
      <c r="C1967" s="5">
        <v>1</v>
      </c>
      <c r="D1967" s="5" t="s">
        <v>269</v>
      </c>
      <c r="E1967" s="5" t="s">
        <v>271</v>
      </c>
      <c r="F1967" s="5" t="s">
        <v>248</v>
      </c>
      <c r="G1967" s="5" t="s">
        <v>266</v>
      </c>
      <c r="H1967" s="6" t="s">
        <v>1216</v>
      </c>
      <c r="I1967" s="7">
        <f>4070</f>
        <v>4070</v>
      </c>
      <c r="J1967" s="5" t="s">
        <v>262</v>
      </c>
      <c r="K1967" s="8">
        <f>1</f>
        <v>1</v>
      </c>
      <c r="L1967" s="6" t="s">
        <v>242</v>
      </c>
      <c r="M1967" s="5" t="s">
        <v>267</v>
      </c>
      <c r="N1967" s="5" t="s">
        <v>265</v>
      </c>
      <c r="O1967" s="5" t="s">
        <v>238</v>
      </c>
      <c r="P1967" s="5" t="s">
        <v>238</v>
      </c>
      <c r="Q1967" s="5" t="s">
        <v>268</v>
      </c>
      <c r="R1967" s="5" t="s">
        <v>270</v>
      </c>
      <c r="S1967" s="5" t="s">
        <v>238</v>
      </c>
      <c r="V1967" s="5" t="s">
        <v>238</v>
      </c>
      <c r="X1967" s="6" t="s">
        <v>238</v>
      </c>
      <c r="AA1967" s="6" t="s">
        <v>243</v>
      </c>
      <c r="AB1967" s="5" t="s">
        <v>238</v>
      </c>
      <c r="AC1967" s="5" t="s">
        <v>244</v>
      </c>
      <c r="AD1967" s="5" t="s">
        <v>245</v>
      </c>
      <c r="AT1967" s="5" t="s">
        <v>246</v>
      </c>
      <c r="AU1967" s="5" t="s">
        <v>238</v>
      </c>
      <c r="AV1967" s="5" t="s">
        <v>247</v>
      </c>
      <c r="AW1967" s="5" t="s">
        <v>238</v>
      </c>
      <c r="AX1967" s="5" t="s">
        <v>249</v>
      </c>
      <c r="AY1967" s="5" t="s">
        <v>238</v>
      </c>
      <c r="BA1967" s="5" t="s">
        <v>238</v>
      </c>
      <c r="BC1967" s="5" t="s">
        <v>250</v>
      </c>
      <c r="BD1967" s="6" t="s">
        <v>243</v>
      </c>
      <c r="BE1967" s="5" t="s">
        <v>251</v>
      </c>
      <c r="BF1967" s="5" t="s">
        <v>252</v>
      </c>
      <c r="BG1967" s="5" t="s">
        <v>238</v>
      </c>
      <c r="BH1967" s="7">
        <f>0</f>
        <v>0</v>
      </c>
      <c r="BI1967" s="8">
        <f>0</f>
        <v>0</v>
      </c>
      <c r="BJ1967" s="5" t="s">
        <v>253</v>
      </c>
      <c r="BK1967" s="5" t="s">
        <v>254</v>
      </c>
      <c r="BY1967" s="5" t="s">
        <v>238</v>
      </c>
      <c r="BZ1967" s="5" t="s">
        <v>238</v>
      </c>
      <c r="CD1967" s="5" t="s">
        <v>273</v>
      </c>
      <c r="CE1967" s="5" t="s">
        <v>256</v>
      </c>
      <c r="CF1967" s="5" t="s">
        <v>238</v>
      </c>
      <c r="CI1967" s="6" t="s">
        <v>257</v>
      </c>
      <c r="CJ1967" s="5" t="s">
        <v>238</v>
      </c>
      <c r="CK1967" s="5" t="s">
        <v>258</v>
      </c>
      <c r="CL1967" s="5" t="s">
        <v>238</v>
      </c>
      <c r="CM1967" s="5" t="s">
        <v>238</v>
      </c>
      <c r="CN1967" s="5">
        <v>0</v>
      </c>
      <c r="CO1967" s="5" t="s">
        <v>259</v>
      </c>
      <c r="CP1967" s="5" t="s">
        <v>260</v>
      </c>
      <c r="CQ1967" s="5" t="s">
        <v>260</v>
      </c>
      <c r="CR1967" s="5" t="s">
        <v>261</v>
      </c>
      <c r="CU1967" s="8">
        <f>1</f>
        <v>1</v>
      </c>
      <c r="CV1967" s="8">
        <f>0</f>
        <v>0</v>
      </c>
      <c r="CX1967" s="8">
        <f>0</f>
        <v>0</v>
      </c>
      <c r="CY1967" s="8">
        <f>1</f>
        <v>1</v>
      </c>
      <c r="DA1967" s="5" t="s">
        <v>274</v>
      </c>
      <c r="DB1967" s="5" t="s">
        <v>238</v>
      </c>
      <c r="DD1967" s="5" t="s">
        <v>274</v>
      </c>
      <c r="DE1967" s="8">
        <f>4070</f>
        <v>4070</v>
      </c>
      <c r="DG1967" s="5" t="s">
        <v>238</v>
      </c>
      <c r="DH1967" s="5" t="s">
        <v>238</v>
      </c>
      <c r="DI1967" s="5" t="s">
        <v>238</v>
      </c>
      <c r="DJ1967" s="5" t="s">
        <v>238</v>
      </c>
      <c r="DN1967" s="5" t="s">
        <v>238</v>
      </c>
      <c r="DO1967" s="5" t="s">
        <v>238</v>
      </c>
      <c r="DP1967" s="5" t="s">
        <v>238</v>
      </c>
      <c r="DQ1967" s="5" t="s">
        <v>238</v>
      </c>
      <c r="DT1967" s="5" t="s">
        <v>275</v>
      </c>
      <c r="DU1967" s="5" t="s">
        <v>1217</v>
      </c>
      <c r="HM1967" s="5" t="s">
        <v>264</v>
      </c>
    </row>
    <row r="1968" spans="1:221" x14ac:dyDescent="0.4">
      <c r="A1968" s="5">
        <v>3672</v>
      </c>
      <c r="B1968" s="5">
        <v>1</v>
      </c>
      <c r="C1968" s="5">
        <v>1</v>
      </c>
      <c r="D1968" s="5" t="s">
        <v>269</v>
      </c>
      <c r="E1968" s="5" t="s">
        <v>271</v>
      </c>
      <c r="F1968" s="5" t="s">
        <v>248</v>
      </c>
      <c r="G1968" s="5" t="s">
        <v>266</v>
      </c>
      <c r="H1968" s="6" t="s">
        <v>1210</v>
      </c>
      <c r="I1968" s="7">
        <f>3958</f>
        <v>3958</v>
      </c>
      <c r="J1968" s="5" t="s">
        <v>262</v>
      </c>
      <c r="K1968" s="8">
        <f>1</f>
        <v>1</v>
      </c>
      <c r="L1968" s="6" t="s">
        <v>242</v>
      </c>
      <c r="M1968" s="5" t="s">
        <v>267</v>
      </c>
      <c r="N1968" s="5" t="s">
        <v>265</v>
      </c>
      <c r="O1968" s="5" t="s">
        <v>238</v>
      </c>
      <c r="P1968" s="5" t="s">
        <v>238</v>
      </c>
      <c r="Q1968" s="5" t="s">
        <v>268</v>
      </c>
      <c r="R1968" s="5" t="s">
        <v>270</v>
      </c>
      <c r="S1968" s="5" t="s">
        <v>238</v>
      </c>
      <c r="V1968" s="5" t="s">
        <v>238</v>
      </c>
      <c r="X1968" s="6" t="s">
        <v>238</v>
      </c>
      <c r="AA1968" s="6" t="s">
        <v>243</v>
      </c>
      <c r="AB1968" s="5" t="s">
        <v>238</v>
      </c>
      <c r="AC1968" s="5" t="s">
        <v>244</v>
      </c>
      <c r="AD1968" s="5" t="s">
        <v>245</v>
      </c>
      <c r="AT1968" s="5" t="s">
        <v>246</v>
      </c>
      <c r="AU1968" s="5" t="s">
        <v>238</v>
      </c>
      <c r="AV1968" s="5" t="s">
        <v>247</v>
      </c>
      <c r="AW1968" s="5" t="s">
        <v>238</v>
      </c>
      <c r="AX1968" s="5" t="s">
        <v>249</v>
      </c>
      <c r="AY1968" s="5" t="s">
        <v>238</v>
      </c>
      <c r="BA1968" s="5" t="s">
        <v>238</v>
      </c>
      <c r="BC1968" s="5" t="s">
        <v>250</v>
      </c>
      <c r="BD1968" s="6" t="s">
        <v>243</v>
      </c>
      <c r="BE1968" s="5" t="s">
        <v>251</v>
      </c>
      <c r="BF1968" s="5" t="s">
        <v>252</v>
      </c>
      <c r="BG1968" s="5" t="s">
        <v>238</v>
      </c>
      <c r="BH1968" s="7">
        <f>0</f>
        <v>0</v>
      </c>
      <c r="BI1968" s="8">
        <f>0</f>
        <v>0</v>
      </c>
      <c r="BJ1968" s="5" t="s">
        <v>253</v>
      </c>
      <c r="BK1968" s="5" t="s">
        <v>254</v>
      </c>
      <c r="BY1968" s="5" t="s">
        <v>238</v>
      </c>
      <c r="BZ1968" s="5" t="s">
        <v>238</v>
      </c>
      <c r="CD1968" s="5" t="s">
        <v>273</v>
      </c>
      <c r="CE1968" s="5" t="s">
        <v>256</v>
      </c>
      <c r="CF1968" s="5" t="s">
        <v>238</v>
      </c>
      <c r="CI1968" s="6" t="s">
        <v>257</v>
      </c>
      <c r="CJ1968" s="5" t="s">
        <v>238</v>
      </c>
      <c r="CK1968" s="5" t="s">
        <v>258</v>
      </c>
      <c r="CL1968" s="5" t="s">
        <v>238</v>
      </c>
      <c r="CM1968" s="5" t="s">
        <v>238</v>
      </c>
      <c r="CN1968" s="5">
        <v>0</v>
      </c>
      <c r="CO1968" s="5" t="s">
        <v>259</v>
      </c>
      <c r="CP1968" s="5" t="s">
        <v>260</v>
      </c>
      <c r="CQ1968" s="5" t="s">
        <v>260</v>
      </c>
      <c r="CR1968" s="5" t="s">
        <v>261</v>
      </c>
      <c r="CU1968" s="8">
        <f>1</f>
        <v>1</v>
      </c>
      <c r="CV1968" s="8">
        <f>0</f>
        <v>0</v>
      </c>
      <c r="CX1968" s="8">
        <f>0</f>
        <v>0</v>
      </c>
      <c r="CY1968" s="8">
        <f>1</f>
        <v>1</v>
      </c>
      <c r="DA1968" s="5" t="s">
        <v>274</v>
      </c>
      <c r="DB1968" s="5" t="s">
        <v>238</v>
      </c>
      <c r="DD1968" s="5" t="s">
        <v>274</v>
      </c>
      <c r="DE1968" s="8">
        <f>3958</f>
        <v>3958</v>
      </c>
      <c r="DG1968" s="5" t="s">
        <v>238</v>
      </c>
      <c r="DH1968" s="5" t="s">
        <v>238</v>
      </c>
      <c r="DI1968" s="5" t="s">
        <v>238</v>
      </c>
      <c r="DJ1968" s="5" t="s">
        <v>238</v>
      </c>
      <c r="DN1968" s="5" t="s">
        <v>238</v>
      </c>
      <c r="DO1968" s="5" t="s">
        <v>238</v>
      </c>
      <c r="DP1968" s="5" t="s">
        <v>238</v>
      </c>
      <c r="DQ1968" s="5" t="s">
        <v>238</v>
      </c>
      <c r="DT1968" s="5" t="s">
        <v>275</v>
      </c>
      <c r="DU1968" s="5" t="s">
        <v>1211</v>
      </c>
      <c r="HM1968" s="5" t="s">
        <v>264</v>
      </c>
    </row>
    <row r="1969" spans="1:221" x14ac:dyDescent="0.4">
      <c r="A1969" s="5">
        <v>3673</v>
      </c>
      <c r="B1969" s="5">
        <v>1</v>
      </c>
      <c r="C1969" s="5">
        <v>1</v>
      </c>
      <c r="D1969" s="5" t="s">
        <v>269</v>
      </c>
      <c r="E1969" s="5" t="s">
        <v>271</v>
      </c>
      <c r="F1969" s="5" t="s">
        <v>248</v>
      </c>
      <c r="G1969" s="5" t="s">
        <v>266</v>
      </c>
      <c r="H1969" s="6" t="s">
        <v>1208</v>
      </c>
      <c r="I1969" s="7">
        <f>862</f>
        <v>862</v>
      </c>
      <c r="J1969" s="5" t="s">
        <v>262</v>
      </c>
      <c r="K1969" s="8">
        <f>1</f>
        <v>1</v>
      </c>
      <c r="L1969" s="6" t="s">
        <v>242</v>
      </c>
      <c r="M1969" s="5" t="s">
        <v>267</v>
      </c>
      <c r="N1969" s="5" t="s">
        <v>265</v>
      </c>
      <c r="O1969" s="5" t="s">
        <v>238</v>
      </c>
      <c r="P1969" s="5" t="s">
        <v>238</v>
      </c>
      <c r="Q1969" s="5" t="s">
        <v>268</v>
      </c>
      <c r="R1969" s="5" t="s">
        <v>270</v>
      </c>
      <c r="S1969" s="5" t="s">
        <v>238</v>
      </c>
      <c r="V1969" s="5" t="s">
        <v>238</v>
      </c>
      <c r="X1969" s="6" t="s">
        <v>238</v>
      </c>
      <c r="AA1969" s="6" t="s">
        <v>243</v>
      </c>
      <c r="AB1969" s="5" t="s">
        <v>238</v>
      </c>
      <c r="AC1969" s="5" t="s">
        <v>244</v>
      </c>
      <c r="AD1969" s="5" t="s">
        <v>245</v>
      </c>
      <c r="AT1969" s="5" t="s">
        <v>246</v>
      </c>
      <c r="AU1969" s="5" t="s">
        <v>238</v>
      </c>
      <c r="AV1969" s="5" t="s">
        <v>247</v>
      </c>
      <c r="AW1969" s="5" t="s">
        <v>238</v>
      </c>
      <c r="AX1969" s="5" t="s">
        <v>249</v>
      </c>
      <c r="AY1969" s="5" t="s">
        <v>238</v>
      </c>
      <c r="BA1969" s="5" t="s">
        <v>238</v>
      </c>
      <c r="BC1969" s="5" t="s">
        <v>250</v>
      </c>
      <c r="BD1969" s="6" t="s">
        <v>243</v>
      </c>
      <c r="BE1969" s="5" t="s">
        <v>251</v>
      </c>
      <c r="BF1969" s="5" t="s">
        <v>252</v>
      </c>
      <c r="BG1969" s="5" t="s">
        <v>238</v>
      </c>
      <c r="BH1969" s="7">
        <f>0</f>
        <v>0</v>
      </c>
      <c r="BI1969" s="8">
        <f>0</f>
        <v>0</v>
      </c>
      <c r="BJ1969" s="5" t="s">
        <v>253</v>
      </c>
      <c r="BK1969" s="5" t="s">
        <v>254</v>
      </c>
      <c r="BY1969" s="5" t="s">
        <v>238</v>
      </c>
      <c r="BZ1969" s="5" t="s">
        <v>238</v>
      </c>
      <c r="CD1969" s="5" t="s">
        <v>273</v>
      </c>
      <c r="CE1969" s="5" t="s">
        <v>256</v>
      </c>
      <c r="CF1969" s="5" t="s">
        <v>238</v>
      </c>
      <c r="CI1969" s="6" t="s">
        <v>257</v>
      </c>
      <c r="CJ1969" s="5" t="s">
        <v>238</v>
      </c>
      <c r="CK1969" s="5" t="s">
        <v>258</v>
      </c>
      <c r="CL1969" s="5" t="s">
        <v>238</v>
      </c>
      <c r="CM1969" s="5" t="s">
        <v>238</v>
      </c>
      <c r="CN1969" s="5">
        <v>0</v>
      </c>
      <c r="CO1969" s="5" t="s">
        <v>259</v>
      </c>
      <c r="CP1969" s="5" t="s">
        <v>260</v>
      </c>
      <c r="CQ1969" s="5" t="s">
        <v>260</v>
      </c>
      <c r="CR1969" s="5" t="s">
        <v>261</v>
      </c>
      <c r="CU1969" s="8">
        <f>1</f>
        <v>1</v>
      </c>
      <c r="CV1969" s="8">
        <f>0</f>
        <v>0</v>
      </c>
      <c r="CX1969" s="8">
        <f>0</f>
        <v>0</v>
      </c>
      <c r="CY1969" s="8">
        <f>1</f>
        <v>1</v>
      </c>
      <c r="DA1969" s="5" t="s">
        <v>274</v>
      </c>
      <c r="DB1969" s="5" t="s">
        <v>238</v>
      </c>
      <c r="DD1969" s="5" t="s">
        <v>274</v>
      </c>
      <c r="DE1969" s="8">
        <f>862</f>
        <v>862</v>
      </c>
      <c r="DG1969" s="5" t="s">
        <v>238</v>
      </c>
      <c r="DH1969" s="5" t="s">
        <v>238</v>
      </c>
      <c r="DI1969" s="5" t="s">
        <v>238</v>
      </c>
      <c r="DJ1969" s="5" t="s">
        <v>238</v>
      </c>
      <c r="DN1969" s="5" t="s">
        <v>238</v>
      </c>
      <c r="DO1969" s="5" t="s">
        <v>238</v>
      </c>
      <c r="DP1969" s="5" t="s">
        <v>238</v>
      </c>
      <c r="DQ1969" s="5" t="s">
        <v>238</v>
      </c>
      <c r="DT1969" s="5" t="s">
        <v>275</v>
      </c>
      <c r="DU1969" s="5" t="s">
        <v>1209</v>
      </c>
      <c r="HM1969" s="5" t="s">
        <v>264</v>
      </c>
    </row>
    <row r="1970" spans="1:221" x14ac:dyDescent="0.4">
      <c r="A1970" s="5">
        <v>3674</v>
      </c>
      <c r="B1970" s="5">
        <v>1</v>
      </c>
      <c r="C1970" s="5">
        <v>1</v>
      </c>
      <c r="D1970" s="5" t="s">
        <v>269</v>
      </c>
      <c r="E1970" s="5" t="s">
        <v>271</v>
      </c>
      <c r="F1970" s="5" t="s">
        <v>248</v>
      </c>
      <c r="G1970" s="5" t="s">
        <v>266</v>
      </c>
      <c r="H1970" s="6" t="s">
        <v>1201</v>
      </c>
      <c r="I1970" s="7">
        <f>2463</f>
        <v>2463</v>
      </c>
      <c r="J1970" s="5" t="s">
        <v>262</v>
      </c>
      <c r="K1970" s="8">
        <f>1</f>
        <v>1</v>
      </c>
      <c r="L1970" s="6" t="s">
        <v>242</v>
      </c>
      <c r="M1970" s="5" t="s">
        <v>267</v>
      </c>
      <c r="N1970" s="5" t="s">
        <v>265</v>
      </c>
      <c r="O1970" s="5" t="s">
        <v>238</v>
      </c>
      <c r="P1970" s="5" t="s">
        <v>238</v>
      </c>
      <c r="Q1970" s="5" t="s">
        <v>268</v>
      </c>
      <c r="R1970" s="5" t="s">
        <v>270</v>
      </c>
      <c r="S1970" s="5" t="s">
        <v>238</v>
      </c>
      <c r="V1970" s="5" t="s">
        <v>238</v>
      </c>
      <c r="X1970" s="6" t="s">
        <v>238</v>
      </c>
      <c r="AA1970" s="6" t="s">
        <v>243</v>
      </c>
      <c r="AB1970" s="5" t="s">
        <v>238</v>
      </c>
      <c r="AC1970" s="5" t="s">
        <v>244</v>
      </c>
      <c r="AD1970" s="5" t="s">
        <v>245</v>
      </c>
      <c r="AT1970" s="5" t="s">
        <v>246</v>
      </c>
      <c r="AU1970" s="5" t="s">
        <v>238</v>
      </c>
      <c r="AV1970" s="5" t="s">
        <v>247</v>
      </c>
      <c r="AW1970" s="5" t="s">
        <v>238</v>
      </c>
      <c r="AX1970" s="5" t="s">
        <v>249</v>
      </c>
      <c r="AY1970" s="5" t="s">
        <v>238</v>
      </c>
      <c r="BA1970" s="5" t="s">
        <v>238</v>
      </c>
      <c r="BC1970" s="5" t="s">
        <v>250</v>
      </c>
      <c r="BD1970" s="6" t="s">
        <v>243</v>
      </c>
      <c r="BE1970" s="5" t="s">
        <v>251</v>
      </c>
      <c r="BF1970" s="5" t="s">
        <v>252</v>
      </c>
      <c r="BG1970" s="5" t="s">
        <v>238</v>
      </c>
      <c r="BH1970" s="7">
        <f>0</f>
        <v>0</v>
      </c>
      <c r="BI1970" s="8">
        <f>0</f>
        <v>0</v>
      </c>
      <c r="BJ1970" s="5" t="s">
        <v>253</v>
      </c>
      <c r="BK1970" s="5" t="s">
        <v>254</v>
      </c>
      <c r="BY1970" s="5" t="s">
        <v>238</v>
      </c>
      <c r="BZ1970" s="5" t="s">
        <v>238</v>
      </c>
      <c r="CD1970" s="5" t="s">
        <v>273</v>
      </c>
      <c r="CE1970" s="5" t="s">
        <v>256</v>
      </c>
      <c r="CF1970" s="5" t="s">
        <v>238</v>
      </c>
      <c r="CI1970" s="6" t="s">
        <v>257</v>
      </c>
      <c r="CJ1970" s="5" t="s">
        <v>238</v>
      </c>
      <c r="CK1970" s="5" t="s">
        <v>258</v>
      </c>
      <c r="CL1970" s="5" t="s">
        <v>238</v>
      </c>
      <c r="CM1970" s="5" t="s">
        <v>238</v>
      </c>
      <c r="CN1970" s="5">
        <v>0</v>
      </c>
      <c r="CO1970" s="5" t="s">
        <v>259</v>
      </c>
      <c r="CP1970" s="5" t="s">
        <v>260</v>
      </c>
      <c r="CQ1970" s="5" t="s">
        <v>260</v>
      </c>
      <c r="CR1970" s="5" t="s">
        <v>261</v>
      </c>
      <c r="CU1970" s="8">
        <f>1</f>
        <v>1</v>
      </c>
      <c r="CV1970" s="8">
        <f>0</f>
        <v>0</v>
      </c>
      <c r="CX1970" s="8">
        <f>0</f>
        <v>0</v>
      </c>
      <c r="CY1970" s="8">
        <f>1</f>
        <v>1</v>
      </c>
      <c r="DA1970" s="5" t="s">
        <v>274</v>
      </c>
      <c r="DB1970" s="5" t="s">
        <v>238</v>
      </c>
      <c r="DD1970" s="5" t="s">
        <v>274</v>
      </c>
      <c r="DE1970" s="8">
        <f>2463</f>
        <v>2463</v>
      </c>
      <c r="DG1970" s="5" t="s">
        <v>238</v>
      </c>
      <c r="DH1970" s="5" t="s">
        <v>238</v>
      </c>
      <c r="DI1970" s="5" t="s">
        <v>238</v>
      </c>
      <c r="DJ1970" s="5" t="s">
        <v>238</v>
      </c>
      <c r="DN1970" s="5" t="s">
        <v>238</v>
      </c>
      <c r="DO1970" s="5" t="s">
        <v>238</v>
      </c>
      <c r="DP1970" s="5" t="s">
        <v>238</v>
      </c>
      <c r="DQ1970" s="5" t="s">
        <v>238</v>
      </c>
      <c r="DT1970" s="5" t="s">
        <v>275</v>
      </c>
      <c r="DU1970" s="5" t="s">
        <v>1202</v>
      </c>
      <c r="HM1970" s="5" t="s">
        <v>264</v>
      </c>
    </row>
    <row r="1971" spans="1:221" x14ac:dyDescent="0.4">
      <c r="A1971" s="5">
        <v>3675</v>
      </c>
      <c r="B1971" s="5">
        <v>1</v>
      </c>
      <c r="C1971" s="5">
        <v>1</v>
      </c>
      <c r="D1971" s="5" t="s">
        <v>269</v>
      </c>
      <c r="E1971" s="5" t="s">
        <v>271</v>
      </c>
      <c r="F1971" s="5" t="s">
        <v>248</v>
      </c>
      <c r="G1971" s="5" t="s">
        <v>266</v>
      </c>
      <c r="H1971" s="6" t="s">
        <v>1200</v>
      </c>
      <c r="I1971" s="7">
        <f>864</f>
        <v>864</v>
      </c>
      <c r="J1971" s="5" t="s">
        <v>262</v>
      </c>
      <c r="K1971" s="8">
        <f>1</f>
        <v>1</v>
      </c>
      <c r="L1971" s="6" t="s">
        <v>242</v>
      </c>
      <c r="M1971" s="5" t="s">
        <v>267</v>
      </c>
      <c r="N1971" s="5" t="s">
        <v>265</v>
      </c>
      <c r="O1971" s="5" t="s">
        <v>238</v>
      </c>
      <c r="P1971" s="5" t="s">
        <v>238</v>
      </c>
      <c r="Q1971" s="5" t="s">
        <v>268</v>
      </c>
      <c r="R1971" s="5" t="s">
        <v>270</v>
      </c>
      <c r="S1971" s="5" t="s">
        <v>238</v>
      </c>
      <c r="V1971" s="5" t="s">
        <v>238</v>
      </c>
      <c r="X1971" s="6" t="s">
        <v>238</v>
      </c>
      <c r="AA1971" s="6" t="s">
        <v>243</v>
      </c>
      <c r="AB1971" s="5" t="s">
        <v>238</v>
      </c>
      <c r="AC1971" s="5" t="s">
        <v>244</v>
      </c>
      <c r="AD1971" s="5" t="s">
        <v>245</v>
      </c>
      <c r="AT1971" s="5" t="s">
        <v>246</v>
      </c>
      <c r="AU1971" s="5" t="s">
        <v>238</v>
      </c>
      <c r="AV1971" s="5" t="s">
        <v>247</v>
      </c>
      <c r="AW1971" s="5" t="s">
        <v>238</v>
      </c>
      <c r="AX1971" s="5" t="s">
        <v>249</v>
      </c>
      <c r="AY1971" s="5" t="s">
        <v>238</v>
      </c>
      <c r="BA1971" s="5" t="s">
        <v>238</v>
      </c>
      <c r="BC1971" s="5" t="s">
        <v>250</v>
      </c>
      <c r="BD1971" s="6" t="s">
        <v>243</v>
      </c>
      <c r="BE1971" s="5" t="s">
        <v>251</v>
      </c>
      <c r="BF1971" s="5" t="s">
        <v>252</v>
      </c>
      <c r="BG1971" s="5" t="s">
        <v>238</v>
      </c>
      <c r="BH1971" s="7">
        <f>0</f>
        <v>0</v>
      </c>
      <c r="BI1971" s="8">
        <f>0</f>
        <v>0</v>
      </c>
      <c r="BJ1971" s="5" t="s">
        <v>253</v>
      </c>
      <c r="BK1971" s="5" t="s">
        <v>254</v>
      </c>
      <c r="BY1971" s="5" t="s">
        <v>238</v>
      </c>
      <c r="BZ1971" s="5" t="s">
        <v>238</v>
      </c>
      <c r="CD1971" s="5" t="s">
        <v>273</v>
      </c>
      <c r="CE1971" s="5" t="s">
        <v>256</v>
      </c>
      <c r="CF1971" s="5" t="s">
        <v>238</v>
      </c>
      <c r="CI1971" s="6" t="s">
        <v>257</v>
      </c>
      <c r="CJ1971" s="5" t="s">
        <v>238</v>
      </c>
      <c r="CK1971" s="5" t="s">
        <v>258</v>
      </c>
      <c r="CL1971" s="5" t="s">
        <v>238</v>
      </c>
      <c r="CM1971" s="5" t="s">
        <v>238</v>
      </c>
      <c r="CN1971" s="5">
        <v>0</v>
      </c>
      <c r="CO1971" s="5" t="s">
        <v>259</v>
      </c>
      <c r="CP1971" s="5" t="s">
        <v>260</v>
      </c>
      <c r="CQ1971" s="5" t="s">
        <v>260</v>
      </c>
      <c r="CR1971" s="5" t="s">
        <v>261</v>
      </c>
      <c r="CU1971" s="8">
        <f>1</f>
        <v>1</v>
      </c>
      <c r="CV1971" s="8">
        <f>0</f>
        <v>0</v>
      </c>
      <c r="CX1971" s="8">
        <f>0</f>
        <v>0</v>
      </c>
      <c r="CY1971" s="8">
        <f>1</f>
        <v>1</v>
      </c>
      <c r="DA1971" s="5" t="s">
        <v>274</v>
      </c>
      <c r="DB1971" s="5" t="s">
        <v>238</v>
      </c>
      <c r="DD1971" s="5" t="s">
        <v>274</v>
      </c>
      <c r="DE1971" s="8">
        <f>864</f>
        <v>864</v>
      </c>
      <c r="DG1971" s="5" t="s">
        <v>238</v>
      </c>
      <c r="DH1971" s="5" t="s">
        <v>238</v>
      </c>
      <c r="DI1971" s="5" t="s">
        <v>238</v>
      </c>
      <c r="DJ1971" s="5" t="s">
        <v>238</v>
      </c>
      <c r="DN1971" s="5" t="s">
        <v>238</v>
      </c>
      <c r="DO1971" s="5" t="s">
        <v>238</v>
      </c>
      <c r="DP1971" s="5" t="s">
        <v>238</v>
      </c>
      <c r="DQ1971" s="5" t="s">
        <v>238</v>
      </c>
      <c r="DT1971" s="5" t="s">
        <v>275</v>
      </c>
      <c r="DU1971" s="5" t="s">
        <v>984</v>
      </c>
      <c r="HM1971" s="5" t="s">
        <v>264</v>
      </c>
    </row>
    <row r="1972" spans="1:221" x14ac:dyDescent="0.4">
      <c r="A1972" s="5">
        <v>3676</v>
      </c>
      <c r="B1972" s="5">
        <v>1</v>
      </c>
      <c r="C1972" s="5">
        <v>1</v>
      </c>
      <c r="D1972" s="5" t="s">
        <v>269</v>
      </c>
      <c r="E1972" s="5" t="s">
        <v>271</v>
      </c>
      <c r="F1972" s="5" t="s">
        <v>248</v>
      </c>
      <c r="G1972" s="5" t="s">
        <v>266</v>
      </c>
      <c r="H1972" s="6" t="s">
        <v>1197</v>
      </c>
      <c r="I1972" s="7">
        <f>771</f>
        <v>771</v>
      </c>
      <c r="J1972" s="5" t="s">
        <v>262</v>
      </c>
      <c r="K1972" s="8">
        <f>1</f>
        <v>1</v>
      </c>
      <c r="L1972" s="6" t="s">
        <v>242</v>
      </c>
      <c r="M1972" s="5" t="s">
        <v>267</v>
      </c>
      <c r="N1972" s="5" t="s">
        <v>265</v>
      </c>
      <c r="O1972" s="5" t="s">
        <v>238</v>
      </c>
      <c r="P1972" s="5" t="s">
        <v>238</v>
      </c>
      <c r="Q1972" s="5" t="s">
        <v>268</v>
      </c>
      <c r="R1972" s="5" t="s">
        <v>270</v>
      </c>
      <c r="S1972" s="5" t="s">
        <v>238</v>
      </c>
      <c r="V1972" s="5" t="s">
        <v>238</v>
      </c>
      <c r="X1972" s="6" t="s">
        <v>238</v>
      </c>
      <c r="AA1972" s="6" t="s">
        <v>243</v>
      </c>
      <c r="AB1972" s="5" t="s">
        <v>238</v>
      </c>
      <c r="AC1972" s="5" t="s">
        <v>244</v>
      </c>
      <c r="AD1972" s="5" t="s">
        <v>245</v>
      </c>
      <c r="AT1972" s="5" t="s">
        <v>246</v>
      </c>
      <c r="AU1972" s="5" t="s">
        <v>238</v>
      </c>
      <c r="AV1972" s="5" t="s">
        <v>247</v>
      </c>
      <c r="AW1972" s="5" t="s">
        <v>238</v>
      </c>
      <c r="AX1972" s="5" t="s">
        <v>249</v>
      </c>
      <c r="AY1972" s="5" t="s">
        <v>238</v>
      </c>
      <c r="BA1972" s="5" t="s">
        <v>238</v>
      </c>
      <c r="BC1972" s="5" t="s">
        <v>250</v>
      </c>
      <c r="BD1972" s="6" t="s">
        <v>243</v>
      </c>
      <c r="BE1972" s="5" t="s">
        <v>251</v>
      </c>
      <c r="BF1972" s="5" t="s">
        <v>252</v>
      </c>
      <c r="BG1972" s="5" t="s">
        <v>238</v>
      </c>
      <c r="BH1972" s="7">
        <f>0</f>
        <v>0</v>
      </c>
      <c r="BI1972" s="8">
        <f>0</f>
        <v>0</v>
      </c>
      <c r="BJ1972" s="5" t="s">
        <v>253</v>
      </c>
      <c r="BK1972" s="5" t="s">
        <v>254</v>
      </c>
      <c r="BY1972" s="5" t="s">
        <v>238</v>
      </c>
      <c r="BZ1972" s="5" t="s">
        <v>238</v>
      </c>
      <c r="CD1972" s="5" t="s">
        <v>273</v>
      </c>
      <c r="CE1972" s="5" t="s">
        <v>256</v>
      </c>
      <c r="CF1972" s="5" t="s">
        <v>238</v>
      </c>
      <c r="CI1972" s="6" t="s">
        <v>257</v>
      </c>
      <c r="CJ1972" s="5" t="s">
        <v>238</v>
      </c>
      <c r="CK1972" s="5" t="s">
        <v>258</v>
      </c>
      <c r="CL1972" s="5" t="s">
        <v>238</v>
      </c>
      <c r="CM1972" s="5" t="s">
        <v>238</v>
      </c>
      <c r="CN1972" s="5">
        <v>0</v>
      </c>
      <c r="CO1972" s="5" t="s">
        <v>259</v>
      </c>
      <c r="CP1972" s="5" t="s">
        <v>260</v>
      </c>
      <c r="CQ1972" s="5" t="s">
        <v>260</v>
      </c>
      <c r="CR1972" s="5" t="s">
        <v>261</v>
      </c>
      <c r="CU1972" s="8">
        <f>1</f>
        <v>1</v>
      </c>
      <c r="CV1972" s="8">
        <f>0</f>
        <v>0</v>
      </c>
      <c r="CX1972" s="8">
        <f>0</f>
        <v>0</v>
      </c>
      <c r="CY1972" s="8">
        <f>1</f>
        <v>1</v>
      </c>
      <c r="DA1972" s="5" t="s">
        <v>274</v>
      </c>
      <c r="DB1972" s="5" t="s">
        <v>238</v>
      </c>
      <c r="DD1972" s="5" t="s">
        <v>274</v>
      </c>
      <c r="DE1972" s="8">
        <f>771</f>
        <v>771</v>
      </c>
      <c r="DG1972" s="5" t="s">
        <v>238</v>
      </c>
      <c r="DH1972" s="5" t="s">
        <v>238</v>
      </c>
      <c r="DI1972" s="5" t="s">
        <v>238</v>
      </c>
      <c r="DJ1972" s="5" t="s">
        <v>238</v>
      </c>
      <c r="DN1972" s="5" t="s">
        <v>238</v>
      </c>
      <c r="DO1972" s="5" t="s">
        <v>238</v>
      </c>
      <c r="DP1972" s="5" t="s">
        <v>238</v>
      </c>
      <c r="DQ1972" s="5" t="s">
        <v>238</v>
      </c>
      <c r="DT1972" s="5" t="s">
        <v>275</v>
      </c>
      <c r="DU1972" s="5" t="s">
        <v>952</v>
      </c>
      <c r="HM1972" s="5" t="s">
        <v>264</v>
      </c>
    </row>
    <row r="1973" spans="1:221" x14ac:dyDescent="0.4">
      <c r="A1973" s="5">
        <v>3677</v>
      </c>
      <c r="B1973" s="5">
        <v>1</v>
      </c>
      <c r="C1973" s="5">
        <v>1</v>
      </c>
      <c r="D1973" s="5" t="s">
        <v>269</v>
      </c>
      <c r="E1973" s="5" t="s">
        <v>271</v>
      </c>
      <c r="F1973" s="5" t="s">
        <v>248</v>
      </c>
      <c r="G1973" s="5" t="s">
        <v>266</v>
      </c>
      <c r="H1973" s="6" t="s">
        <v>1191</v>
      </c>
      <c r="I1973" s="7">
        <f>845</f>
        <v>845</v>
      </c>
      <c r="J1973" s="5" t="s">
        <v>262</v>
      </c>
      <c r="K1973" s="8">
        <f>1</f>
        <v>1</v>
      </c>
      <c r="L1973" s="6" t="s">
        <v>242</v>
      </c>
      <c r="M1973" s="5" t="s">
        <v>267</v>
      </c>
      <c r="N1973" s="5" t="s">
        <v>265</v>
      </c>
      <c r="O1973" s="5" t="s">
        <v>238</v>
      </c>
      <c r="P1973" s="5" t="s">
        <v>238</v>
      </c>
      <c r="Q1973" s="5" t="s">
        <v>268</v>
      </c>
      <c r="R1973" s="5" t="s">
        <v>270</v>
      </c>
      <c r="S1973" s="5" t="s">
        <v>238</v>
      </c>
      <c r="V1973" s="5" t="s">
        <v>238</v>
      </c>
      <c r="X1973" s="6" t="s">
        <v>238</v>
      </c>
      <c r="AA1973" s="6" t="s">
        <v>243</v>
      </c>
      <c r="AB1973" s="5" t="s">
        <v>238</v>
      </c>
      <c r="AC1973" s="5" t="s">
        <v>244</v>
      </c>
      <c r="AD1973" s="5" t="s">
        <v>245</v>
      </c>
      <c r="AT1973" s="5" t="s">
        <v>246</v>
      </c>
      <c r="AU1973" s="5" t="s">
        <v>238</v>
      </c>
      <c r="AV1973" s="5" t="s">
        <v>247</v>
      </c>
      <c r="AW1973" s="5" t="s">
        <v>238</v>
      </c>
      <c r="AX1973" s="5" t="s">
        <v>249</v>
      </c>
      <c r="AY1973" s="5" t="s">
        <v>238</v>
      </c>
      <c r="BA1973" s="5" t="s">
        <v>238</v>
      </c>
      <c r="BC1973" s="5" t="s">
        <v>250</v>
      </c>
      <c r="BD1973" s="6" t="s">
        <v>243</v>
      </c>
      <c r="BE1973" s="5" t="s">
        <v>251</v>
      </c>
      <c r="BF1973" s="5" t="s">
        <v>252</v>
      </c>
      <c r="BG1973" s="5" t="s">
        <v>238</v>
      </c>
      <c r="BH1973" s="7">
        <f>0</f>
        <v>0</v>
      </c>
      <c r="BI1973" s="8">
        <f>0</f>
        <v>0</v>
      </c>
      <c r="BJ1973" s="5" t="s">
        <v>253</v>
      </c>
      <c r="BK1973" s="5" t="s">
        <v>254</v>
      </c>
      <c r="BY1973" s="5" t="s">
        <v>238</v>
      </c>
      <c r="BZ1973" s="5" t="s">
        <v>238</v>
      </c>
      <c r="CD1973" s="5" t="s">
        <v>273</v>
      </c>
      <c r="CE1973" s="5" t="s">
        <v>256</v>
      </c>
      <c r="CF1973" s="5" t="s">
        <v>238</v>
      </c>
      <c r="CI1973" s="6" t="s">
        <v>257</v>
      </c>
      <c r="CJ1973" s="5" t="s">
        <v>238</v>
      </c>
      <c r="CK1973" s="5" t="s">
        <v>258</v>
      </c>
      <c r="CL1973" s="5" t="s">
        <v>238</v>
      </c>
      <c r="CM1973" s="5" t="s">
        <v>238</v>
      </c>
      <c r="CN1973" s="5">
        <v>0</v>
      </c>
      <c r="CO1973" s="5" t="s">
        <v>259</v>
      </c>
      <c r="CP1973" s="5" t="s">
        <v>260</v>
      </c>
      <c r="CQ1973" s="5" t="s">
        <v>260</v>
      </c>
      <c r="CR1973" s="5" t="s">
        <v>261</v>
      </c>
      <c r="CU1973" s="8">
        <f>1</f>
        <v>1</v>
      </c>
      <c r="CV1973" s="8">
        <f>0</f>
        <v>0</v>
      </c>
      <c r="CX1973" s="8">
        <f>0</f>
        <v>0</v>
      </c>
      <c r="CY1973" s="8">
        <f>1</f>
        <v>1</v>
      </c>
      <c r="DA1973" s="5" t="s">
        <v>274</v>
      </c>
      <c r="DB1973" s="5" t="s">
        <v>238</v>
      </c>
      <c r="DD1973" s="5" t="s">
        <v>274</v>
      </c>
      <c r="DE1973" s="8">
        <f>845</f>
        <v>845</v>
      </c>
      <c r="DG1973" s="5" t="s">
        <v>238</v>
      </c>
      <c r="DH1973" s="5" t="s">
        <v>238</v>
      </c>
      <c r="DI1973" s="5" t="s">
        <v>238</v>
      </c>
      <c r="DJ1973" s="5" t="s">
        <v>238</v>
      </c>
      <c r="DN1973" s="5" t="s">
        <v>238</v>
      </c>
      <c r="DO1973" s="5" t="s">
        <v>238</v>
      </c>
      <c r="DP1973" s="5" t="s">
        <v>238</v>
      </c>
      <c r="DQ1973" s="5" t="s">
        <v>238</v>
      </c>
      <c r="DT1973" s="5" t="s">
        <v>275</v>
      </c>
      <c r="DU1973" s="5" t="s">
        <v>1192</v>
      </c>
      <c r="HM1973" s="5" t="s">
        <v>264</v>
      </c>
    </row>
    <row r="1974" spans="1:221" x14ac:dyDescent="0.4">
      <c r="A1974" s="5">
        <v>3678</v>
      </c>
      <c r="B1974" s="5">
        <v>1</v>
      </c>
      <c r="C1974" s="5">
        <v>1</v>
      </c>
      <c r="D1974" s="5" t="s">
        <v>269</v>
      </c>
      <c r="E1974" s="5" t="s">
        <v>271</v>
      </c>
      <c r="F1974" s="5" t="s">
        <v>248</v>
      </c>
      <c r="G1974" s="5" t="s">
        <v>266</v>
      </c>
      <c r="H1974" s="6" t="s">
        <v>1190</v>
      </c>
      <c r="I1974" s="7">
        <f>260</f>
        <v>260</v>
      </c>
      <c r="J1974" s="5" t="s">
        <v>262</v>
      </c>
      <c r="K1974" s="8">
        <f>1</f>
        <v>1</v>
      </c>
      <c r="L1974" s="6" t="s">
        <v>242</v>
      </c>
      <c r="M1974" s="5" t="s">
        <v>267</v>
      </c>
      <c r="N1974" s="5" t="s">
        <v>265</v>
      </c>
      <c r="O1974" s="5" t="s">
        <v>238</v>
      </c>
      <c r="P1974" s="5" t="s">
        <v>238</v>
      </c>
      <c r="Q1974" s="5" t="s">
        <v>268</v>
      </c>
      <c r="R1974" s="5" t="s">
        <v>270</v>
      </c>
      <c r="S1974" s="5" t="s">
        <v>238</v>
      </c>
      <c r="V1974" s="5" t="s">
        <v>238</v>
      </c>
      <c r="X1974" s="6" t="s">
        <v>238</v>
      </c>
      <c r="AA1974" s="6" t="s">
        <v>243</v>
      </c>
      <c r="AB1974" s="5" t="s">
        <v>238</v>
      </c>
      <c r="AC1974" s="5" t="s">
        <v>244</v>
      </c>
      <c r="AD1974" s="5" t="s">
        <v>245</v>
      </c>
      <c r="AT1974" s="5" t="s">
        <v>246</v>
      </c>
      <c r="AU1974" s="5" t="s">
        <v>238</v>
      </c>
      <c r="AV1974" s="5" t="s">
        <v>247</v>
      </c>
      <c r="AW1974" s="5" t="s">
        <v>238</v>
      </c>
      <c r="AX1974" s="5" t="s">
        <v>249</v>
      </c>
      <c r="AY1974" s="5" t="s">
        <v>238</v>
      </c>
      <c r="BA1974" s="5" t="s">
        <v>238</v>
      </c>
      <c r="BC1974" s="5" t="s">
        <v>250</v>
      </c>
      <c r="BD1974" s="6" t="s">
        <v>243</v>
      </c>
      <c r="BE1974" s="5" t="s">
        <v>251</v>
      </c>
      <c r="BF1974" s="5" t="s">
        <v>252</v>
      </c>
      <c r="BG1974" s="5" t="s">
        <v>238</v>
      </c>
      <c r="BH1974" s="7">
        <f>0</f>
        <v>0</v>
      </c>
      <c r="BI1974" s="8">
        <f>0</f>
        <v>0</v>
      </c>
      <c r="BJ1974" s="5" t="s">
        <v>253</v>
      </c>
      <c r="BK1974" s="5" t="s">
        <v>254</v>
      </c>
      <c r="BY1974" s="5" t="s">
        <v>238</v>
      </c>
      <c r="BZ1974" s="5" t="s">
        <v>238</v>
      </c>
      <c r="CD1974" s="5" t="s">
        <v>273</v>
      </c>
      <c r="CE1974" s="5" t="s">
        <v>256</v>
      </c>
      <c r="CF1974" s="5" t="s">
        <v>238</v>
      </c>
      <c r="CI1974" s="6" t="s">
        <v>257</v>
      </c>
      <c r="CJ1974" s="5" t="s">
        <v>238</v>
      </c>
      <c r="CK1974" s="5" t="s">
        <v>258</v>
      </c>
      <c r="CL1974" s="5" t="s">
        <v>238</v>
      </c>
      <c r="CM1974" s="5" t="s">
        <v>238</v>
      </c>
      <c r="CN1974" s="5">
        <v>0</v>
      </c>
      <c r="CO1974" s="5" t="s">
        <v>259</v>
      </c>
      <c r="CP1974" s="5" t="s">
        <v>260</v>
      </c>
      <c r="CQ1974" s="5" t="s">
        <v>260</v>
      </c>
      <c r="CR1974" s="5" t="s">
        <v>261</v>
      </c>
      <c r="CU1974" s="8">
        <f>1</f>
        <v>1</v>
      </c>
      <c r="CV1974" s="8">
        <f>0</f>
        <v>0</v>
      </c>
      <c r="CX1974" s="8">
        <f>0</f>
        <v>0</v>
      </c>
      <c r="CY1974" s="8">
        <f>1</f>
        <v>1</v>
      </c>
      <c r="DA1974" s="5" t="s">
        <v>274</v>
      </c>
      <c r="DB1974" s="5" t="s">
        <v>238</v>
      </c>
      <c r="DD1974" s="5" t="s">
        <v>274</v>
      </c>
      <c r="DE1974" s="8">
        <f>260</f>
        <v>260</v>
      </c>
      <c r="DG1974" s="5" t="s">
        <v>238</v>
      </c>
      <c r="DH1974" s="5" t="s">
        <v>238</v>
      </c>
      <c r="DI1974" s="5" t="s">
        <v>238</v>
      </c>
      <c r="DJ1974" s="5" t="s">
        <v>238</v>
      </c>
      <c r="DN1974" s="5" t="s">
        <v>238</v>
      </c>
      <c r="DO1974" s="5" t="s">
        <v>238</v>
      </c>
      <c r="DP1974" s="5" t="s">
        <v>238</v>
      </c>
      <c r="DQ1974" s="5" t="s">
        <v>238</v>
      </c>
      <c r="DT1974" s="5" t="s">
        <v>275</v>
      </c>
      <c r="DU1974" s="5" t="s">
        <v>890</v>
      </c>
      <c r="HM1974" s="5" t="s">
        <v>264</v>
      </c>
    </row>
    <row r="1975" spans="1:221" x14ac:dyDescent="0.4">
      <c r="A1975" s="5">
        <v>3679</v>
      </c>
      <c r="B1975" s="5">
        <v>1</v>
      </c>
      <c r="C1975" s="5">
        <v>1</v>
      </c>
      <c r="D1975" s="5" t="s">
        <v>269</v>
      </c>
      <c r="E1975" s="5" t="s">
        <v>271</v>
      </c>
      <c r="F1975" s="5" t="s">
        <v>248</v>
      </c>
      <c r="G1975" s="5" t="s">
        <v>266</v>
      </c>
      <c r="H1975" s="6" t="s">
        <v>1186</v>
      </c>
      <c r="I1975" s="7">
        <f>2718</f>
        <v>2718</v>
      </c>
      <c r="J1975" s="5" t="s">
        <v>262</v>
      </c>
      <c r="K1975" s="8">
        <f>1</f>
        <v>1</v>
      </c>
      <c r="L1975" s="6" t="s">
        <v>242</v>
      </c>
      <c r="M1975" s="5" t="s">
        <v>267</v>
      </c>
      <c r="N1975" s="5" t="s">
        <v>265</v>
      </c>
      <c r="O1975" s="5" t="s">
        <v>238</v>
      </c>
      <c r="P1975" s="5" t="s">
        <v>238</v>
      </c>
      <c r="Q1975" s="5" t="s">
        <v>268</v>
      </c>
      <c r="R1975" s="5" t="s">
        <v>270</v>
      </c>
      <c r="S1975" s="5" t="s">
        <v>238</v>
      </c>
      <c r="V1975" s="5" t="s">
        <v>238</v>
      </c>
      <c r="X1975" s="6" t="s">
        <v>238</v>
      </c>
      <c r="AA1975" s="6" t="s">
        <v>243</v>
      </c>
      <c r="AB1975" s="5" t="s">
        <v>238</v>
      </c>
      <c r="AC1975" s="5" t="s">
        <v>244</v>
      </c>
      <c r="AD1975" s="5" t="s">
        <v>245</v>
      </c>
      <c r="AT1975" s="5" t="s">
        <v>246</v>
      </c>
      <c r="AU1975" s="5" t="s">
        <v>238</v>
      </c>
      <c r="AV1975" s="5" t="s">
        <v>247</v>
      </c>
      <c r="AW1975" s="5" t="s">
        <v>238</v>
      </c>
      <c r="AX1975" s="5" t="s">
        <v>249</v>
      </c>
      <c r="AY1975" s="5" t="s">
        <v>238</v>
      </c>
      <c r="BA1975" s="5" t="s">
        <v>238</v>
      </c>
      <c r="BC1975" s="5" t="s">
        <v>250</v>
      </c>
      <c r="BD1975" s="6" t="s">
        <v>243</v>
      </c>
      <c r="BE1975" s="5" t="s">
        <v>251</v>
      </c>
      <c r="BF1975" s="5" t="s">
        <v>252</v>
      </c>
      <c r="BG1975" s="5" t="s">
        <v>238</v>
      </c>
      <c r="BH1975" s="7">
        <f>0</f>
        <v>0</v>
      </c>
      <c r="BI1975" s="8">
        <f>0</f>
        <v>0</v>
      </c>
      <c r="BJ1975" s="5" t="s">
        <v>253</v>
      </c>
      <c r="BK1975" s="5" t="s">
        <v>254</v>
      </c>
      <c r="BY1975" s="5" t="s">
        <v>238</v>
      </c>
      <c r="BZ1975" s="5" t="s">
        <v>238</v>
      </c>
      <c r="CD1975" s="5" t="s">
        <v>273</v>
      </c>
      <c r="CE1975" s="5" t="s">
        <v>256</v>
      </c>
      <c r="CF1975" s="5" t="s">
        <v>238</v>
      </c>
      <c r="CI1975" s="6" t="s">
        <v>257</v>
      </c>
      <c r="CJ1975" s="5" t="s">
        <v>238</v>
      </c>
      <c r="CK1975" s="5" t="s">
        <v>258</v>
      </c>
      <c r="CL1975" s="5" t="s">
        <v>238</v>
      </c>
      <c r="CM1975" s="5" t="s">
        <v>238</v>
      </c>
      <c r="CN1975" s="5">
        <v>0</v>
      </c>
      <c r="CO1975" s="5" t="s">
        <v>259</v>
      </c>
      <c r="CP1975" s="5" t="s">
        <v>260</v>
      </c>
      <c r="CQ1975" s="5" t="s">
        <v>260</v>
      </c>
      <c r="CR1975" s="5" t="s">
        <v>261</v>
      </c>
      <c r="CU1975" s="8">
        <f>1</f>
        <v>1</v>
      </c>
      <c r="CV1975" s="8">
        <f>0</f>
        <v>0</v>
      </c>
      <c r="CX1975" s="8">
        <f>0</f>
        <v>0</v>
      </c>
      <c r="CY1975" s="8">
        <f>1</f>
        <v>1</v>
      </c>
      <c r="DA1975" s="5" t="s">
        <v>274</v>
      </c>
      <c r="DB1975" s="5" t="s">
        <v>238</v>
      </c>
      <c r="DD1975" s="5" t="s">
        <v>274</v>
      </c>
      <c r="DE1975" s="8">
        <f>2718</f>
        <v>2718</v>
      </c>
      <c r="DG1975" s="5" t="s">
        <v>238</v>
      </c>
      <c r="DH1975" s="5" t="s">
        <v>238</v>
      </c>
      <c r="DI1975" s="5" t="s">
        <v>238</v>
      </c>
      <c r="DJ1975" s="5" t="s">
        <v>238</v>
      </c>
      <c r="DN1975" s="5" t="s">
        <v>238</v>
      </c>
      <c r="DO1975" s="5" t="s">
        <v>238</v>
      </c>
      <c r="DP1975" s="5" t="s">
        <v>238</v>
      </c>
      <c r="DQ1975" s="5" t="s">
        <v>238</v>
      </c>
      <c r="DT1975" s="5" t="s">
        <v>275</v>
      </c>
      <c r="DU1975" s="5" t="s">
        <v>839</v>
      </c>
      <c r="HM1975" s="5" t="s">
        <v>264</v>
      </c>
    </row>
    <row r="1976" spans="1:221" x14ac:dyDescent="0.4">
      <c r="A1976" s="5">
        <v>3680</v>
      </c>
      <c r="B1976" s="5">
        <v>1</v>
      </c>
      <c r="C1976" s="5">
        <v>1</v>
      </c>
      <c r="D1976" s="5" t="s">
        <v>269</v>
      </c>
      <c r="E1976" s="5" t="s">
        <v>271</v>
      </c>
      <c r="F1976" s="5" t="s">
        <v>248</v>
      </c>
      <c r="G1976" s="5" t="s">
        <v>266</v>
      </c>
      <c r="H1976" s="6" t="s">
        <v>1183</v>
      </c>
      <c r="I1976" s="7">
        <f>9993</f>
        <v>9993</v>
      </c>
      <c r="J1976" s="5" t="s">
        <v>262</v>
      </c>
      <c r="K1976" s="8">
        <f>1</f>
        <v>1</v>
      </c>
      <c r="L1976" s="6" t="s">
        <v>242</v>
      </c>
      <c r="M1976" s="5" t="s">
        <v>267</v>
      </c>
      <c r="N1976" s="5" t="s">
        <v>265</v>
      </c>
      <c r="O1976" s="5" t="s">
        <v>238</v>
      </c>
      <c r="P1976" s="5" t="s">
        <v>238</v>
      </c>
      <c r="Q1976" s="5" t="s">
        <v>268</v>
      </c>
      <c r="R1976" s="5" t="s">
        <v>270</v>
      </c>
      <c r="S1976" s="5" t="s">
        <v>238</v>
      </c>
      <c r="V1976" s="5" t="s">
        <v>238</v>
      </c>
      <c r="X1976" s="6" t="s">
        <v>238</v>
      </c>
      <c r="AA1976" s="6" t="s">
        <v>243</v>
      </c>
      <c r="AB1976" s="5" t="s">
        <v>238</v>
      </c>
      <c r="AC1976" s="5" t="s">
        <v>244</v>
      </c>
      <c r="AD1976" s="5" t="s">
        <v>245</v>
      </c>
      <c r="AT1976" s="5" t="s">
        <v>246</v>
      </c>
      <c r="AU1976" s="5" t="s">
        <v>238</v>
      </c>
      <c r="AV1976" s="5" t="s">
        <v>247</v>
      </c>
      <c r="AW1976" s="5" t="s">
        <v>238</v>
      </c>
      <c r="AX1976" s="5" t="s">
        <v>249</v>
      </c>
      <c r="AY1976" s="5" t="s">
        <v>238</v>
      </c>
      <c r="BA1976" s="5" t="s">
        <v>238</v>
      </c>
      <c r="BC1976" s="5" t="s">
        <v>250</v>
      </c>
      <c r="BD1976" s="6" t="s">
        <v>243</v>
      </c>
      <c r="BE1976" s="5" t="s">
        <v>251</v>
      </c>
      <c r="BF1976" s="5" t="s">
        <v>252</v>
      </c>
      <c r="BG1976" s="5" t="s">
        <v>238</v>
      </c>
      <c r="BH1976" s="7">
        <f>0</f>
        <v>0</v>
      </c>
      <c r="BI1976" s="8">
        <f>0</f>
        <v>0</v>
      </c>
      <c r="BJ1976" s="5" t="s">
        <v>253</v>
      </c>
      <c r="BK1976" s="5" t="s">
        <v>254</v>
      </c>
      <c r="BY1976" s="5" t="s">
        <v>238</v>
      </c>
      <c r="BZ1976" s="5" t="s">
        <v>238</v>
      </c>
      <c r="CD1976" s="5" t="s">
        <v>273</v>
      </c>
      <c r="CE1976" s="5" t="s">
        <v>256</v>
      </c>
      <c r="CF1976" s="5" t="s">
        <v>238</v>
      </c>
      <c r="CI1976" s="6" t="s">
        <v>257</v>
      </c>
      <c r="CJ1976" s="5" t="s">
        <v>238</v>
      </c>
      <c r="CK1976" s="5" t="s">
        <v>258</v>
      </c>
      <c r="CL1976" s="5" t="s">
        <v>238</v>
      </c>
      <c r="CM1976" s="5" t="s">
        <v>238</v>
      </c>
      <c r="CN1976" s="5">
        <v>0</v>
      </c>
      <c r="CO1976" s="5" t="s">
        <v>259</v>
      </c>
      <c r="CP1976" s="5" t="s">
        <v>260</v>
      </c>
      <c r="CQ1976" s="5" t="s">
        <v>260</v>
      </c>
      <c r="CR1976" s="5" t="s">
        <v>261</v>
      </c>
      <c r="CU1976" s="8">
        <f>1</f>
        <v>1</v>
      </c>
      <c r="CV1976" s="8">
        <f>0</f>
        <v>0</v>
      </c>
      <c r="CX1976" s="8">
        <f>0</f>
        <v>0</v>
      </c>
      <c r="CY1976" s="8">
        <f>1</f>
        <v>1</v>
      </c>
      <c r="DA1976" s="5" t="s">
        <v>274</v>
      </c>
      <c r="DB1976" s="5" t="s">
        <v>238</v>
      </c>
      <c r="DD1976" s="5" t="s">
        <v>274</v>
      </c>
      <c r="DE1976" s="8">
        <f>9993</f>
        <v>9993</v>
      </c>
      <c r="DG1976" s="5" t="s">
        <v>238</v>
      </c>
      <c r="DH1976" s="5" t="s">
        <v>238</v>
      </c>
      <c r="DI1976" s="5" t="s">
        <v>238</v>
      </c>
      <c r="DJ1976" s="5" t="s">
        <v>238</v>
      </c>
      <c r="DN1976" s="5" t="s">
        <v>238</v>
      </c>
      <c r="DO1976" s="5" t="s">
        <v>238</v>
      </c>
      <c r="DP1976" s="5" t="s">
        <v>238</v>
      </c>
      <c r="DQ1976" s="5" t="s">
        <v>238</v>
      </c>
      <c r="DT1976" s="5" t="s">
        <v>275</v>
      </c>
      <c r="DU1976" s="5" t="s">
        <v>776</v>
      </c>
      <c r="HM1976" s="5" t="s">
        <v>264</v>
      </c>
    </row>
    <row r="1977" spans="1:221" x14ac:dyDescent="0.4">
      <c r="A1977" s="5">
        <v>3681</v>
      </c>
      <c r="B1977" s="5">
        <v>1</v>
      </c>
      <c r="C1977" s="5">
        <v>1</v>
      </c>
      <c r="D1977" s="5" t="s">
        <v>269</v>
      </c>
      <c r="E1977" s="5" t="s">
        <v>271</v>
      </c>
      <c r="F1977" s="5" t="s">
        <v>248</v>
      </c>
      <c r="G1977" s="5" t="s">
        <v>266</v>
      </c>
      <c r="H1977" s="6" t="s">
        <v>1177</v>
      </c>
      <c r="I1977" s="7">
        <f>297</f>
        <v>297</v>
      </c>
      <c r="J1977" s="5" t="s">
        <v>262</v>
      </c>
      <c r="K1977" s="8">
        <f>1</f>
        <v>1</v>
      </c>
      <c r="L1977" s="6" t="s">
        <v>242</v>
      </c>
      <c r="M1977" s="5" t="s">
        <v>267</v>
      </c>
      <c r="N1977" s="5" t="s">
        <v>265</v>
      </c>
      <c r="O1977" s="5" t="s">
        <v>238</v>
      </c>
      <c r="P1977" s="5" t="s">
        <v>238</v>
      </c>
      <c r="Q1977" s="5" t="s">
        <v>268</v>
      </c>
      <c r="R1977" s="5" t="s">
        <v>270</v>
      </c>
      <c r="S1977" s="5" t="s">
        <v>238</v>
      </c>
      <c r="V1977" s="5" t="s">
        <v>238</v>
      </c>
      <c r="X1977" s="6" t="s">
        <v>238</v>
      </c>
      <c r="AA1977" s="6" t="s">
        <v>243</v>
      </c>
      <c r="AB1977" s="5" t="s">
        <v>238</v>
      </c>
      <c r="AC1977" s="5" t="s">
        <v>244</v>
      </c>
      <c r="AD1977" s="5" t="s">
        <v>245</v>
      </c>
      <c r="AT1977" s="5" t="s">
        <v>246</v>
      </c>
      <c r="AU1977" s="5" t="s">
        <v>238</v>
      </c>
      <c r="AV1977" s="5" t="s">
        <v>247</v>
      </c>
      <c r="AW1977" s="5" t="s">
        <v>238</v>
      </c>
      <c r="AX1977" s="5" t="s">
        <v>249</v>
      </c>
      <c r="AY1977" s="5" t="s">
        <v>238</v>
      </c>
      <c r="BA1977" s="5" t="s">
        <v>238</v>
      </c>
      <c r="BC1977" s="5" t="s">
        <v>250</v>
      </c>
      <c r="BD1977" s="6" t="s">
        <v>243</v>
      </c>
      <c r="BE1977" s="5" t="s">
        <v>251</v>
      </c>
      <c r="BF1977" s="5" t="s">
        <v>252</v>
      </c>
      <c r="BG1977" s="5" t="s">
        <v>238</v>
      </c>
      <c r="BH1977" s="7">
        <f>0</f>
        <v>0</v>
      </c>
      <c r="BI1977" s="8">
        <f>0</f>
        <v>0</v>
      </c>
      <c r="BJ1977" s="5" t="s">
        <v>253</v>
      </c>
      <c r="BK1977" s="5" t="s">
        <v>254</v>
      </c>
      <c r="BY1977" s="5" t="s">
        <v>238</v>
      </c>
      <c r="BZ1977" s="5" t="s">
        <v>238</v>
      </c>
      <c r="CD1977" s="5" t="s">
        <v>273</v>
      </c>
      <c r="CE1977" s="5" t="s">
        <v>256</v>
      </c>
      <c r="CF1977" s="5" t="s">
        <v>238</v>
      </c>
      <c r="CI1977" s="6" t="s">
        <v>257</v>
      </c>
      <c r="CJ1977" s="5" t="s">
        <v>238</v>
      </c>
      <c r="CK1977" s="5" t="s">
        <v>258</v>
      </c>
      <c r="CL1977" s="5" t="s">
        <v>238</v>
      </c>
      <c r="CM1977" s="5" t="s">
        <v>238</v>
      </c>
      <c r="CN1977" s="5">
        <v>0</v>
      </c>
      <c r="CO1977" s="5" t="s">
        <v>259</v>
      </c>
      <c r="CP1977" s="5" t="s">
        <v>260</v>
      </c>
      <c r="CQ1977" s="5" t="s">
        <v>260</v>
      </c>
      <c r="CR1977" s="5" t="s">
        <v>261</v>
      </c>
      <c r="CU1977" s="8">
        <f>1</f>
        <v>1</v>
      </c>
      <c r="CV1977" s="8">
        <f>0</f>
        <v>0</v>
      </c>
      <c r="CX1977" s="8">
        <f>0</f>
        <v>0</v>
      </c>
      <c r="CY1977" s="8">
        <f>1</f>
        <v>1</v>
      </c>
      <c r="DA1977" s="5" t="s">
        <v>274</v>
      </c>
      <c r="DB1977" s="5" t="s">
        <v>238</v>
      </c>
      <c r="DD1977" s="5" t="s">
        <v>274</v>
      </c>
      <c r="DE1977" s="8">
        <f>297</f>
        <v>297</v>
      </c>
      <c r="DG1977" s="5" t="s">
        <v>238</v>
      </c>
      <c r="DH1977" s="5" t="s">
        <v>238</v>
      </c>
      <c r="DI1977" s="5" t="s">
        <v>238</v>
      </c>
      <c r="DJ1977" s="5" t="s">
        <v>238</v>
      </c>
      <c r="DN1977" s="5" t="s">
        <v>238</v>
      </c>
      <c r="DO1977" s="5" t="s">
        <v>238</v>
      </c>
      <c r="DP1977" s="5" t="s">
        <v>238</v>
      </c>
      <c r="DQ1977" s="5" t="s">
        <v>238</v>
      </c>
      <c r="DT1977" s="5" t="s">
        <v>275</v>
      </c>
      <c r="DU1977" s="5" t="s">
        <v>1178</v>
      </c>
      <c r="HM1977" s="5" t="s">
        <v>264</v>
      </c>
    </row>
    <row r="1978" spans="1:221" x14ac:dyDescent="0.4">
      <c r="A1978" s="5">
        <v>3682</v>
      </c>
      <c r="B1978" s="5">
        <v>1</v>
      </c>
      <c r="C1978" s="5">
        <v>1</v>
      </c>
      <c r="D1978" s="5" t="s">
        <v>269</v>
      </c>
      <c r="E1978" s="5" t="s">
        <v>271</v>
      </c>
      <c r="F1978" s="5" t="s">
        <v>248</v>
      </c>
      <c r="G1978" s="5" t="s">
        <v>266</v>
      </c>
      <c r="H1978" s="6" t="s">
        <v>1173</v>
      </c>
      <c r="I1978" s="7">
        <f>445</f>
        <v>445</v>
      </c>
      <c r="J1978" s="5" t="s">
        <v>262</v>
      </c>
      <c r="K1978" s="8">
        <f>1</f>
        <v>1</v>
      </c>
      <c r="L1978" s="6" t="s">
        <v>242</v>
      </c>
      <c r="M1978" s="5" t="s">
        <v>267</v>
      </c>
      <c r="N1978" s="5" t="s">
        <v>265</v>
      </c>
      <c r="O1978" s="5" t="s">
        <v>238</v>
      </c>
      <c r="P1978" s="5" t="s">
        <v>238</v>
      </c>
      <c r="Q1978" s="5" t="s">
        <v>268</v>
      </c>
      <c r="R1978" s="5" t="s">
        <v>270</v>
      </c>
      <c r="S1978" s="5" t="s">
        <v>238</v>
      </c>
      <c r="V1978" s="5" t="s">
        <v>238</v>
      </c>
      <c r="X1978" s="6" t="s">
        <v>238</v>
      </c>
      <c r="AA1978" s="6" t="s">
        <v>243</v>
      </c>
      <c r="AB1978" s="5" t="s">
        <v>238</v>
      </c>
      <c r="AC1978" s="5" t="s">
        <v>244</v>
      </c>
      <c r="AD1978" s="5" t="s">
        <v>245</v>
      </c>
      <c r="AT1978" s="5" t="s">
        <v>246</v>
      </c>
      <c r="AU1978" s="5" t="s">
        <v>238</v>
      </c>
      <c r="AV1978" s="5" t="s">
        <v>247</v>
      </c>
      <c r="AW1978" s="5" t="s">
        <v>238</v>
      </c>
      <c r="AX1978" s="5" t="s">
        <v>249</v>
      </c>
      <c r="AY1978" s="5" t="s">
        <v>238</v>
      </c>
      <c r="BA1978" s="5" t="s">
        <v>238</v>
      </c>
      <c r="BC1978" s="5" t="s">
        <v>250</v>
      </c>
      <c r="BD1978" s="6" t="s">
        <v>243</v>
      </c>
      <c r="BE1978" s="5" t="s">
        <v>251</v>
      </c>
      <c r="BF1978" s="5" t="s">
        <v>252</v>
      </c>
      <c r="BG1978" s="5" t="s">
        <v>238</v>
      </c>
      <c r="BH1978" s="7">
        <f>0</f>
        <v>0</v>
      </c>
      <c r="BI1978" s="8">
        <f>0</f>
        <v>0</v>
      </c>
      <c r="BJ1978" s="5" t="s">
        <v>253</v>
      </c>
      <c r="BK1978" s="5" t="s">
        <v>254</v>
      </c>
      <c r="BY1978" s="5" t="s">
        <v>238</v>
      </c>
      <c r="BZ1978" s="5" t="s">
        <v>238</v>
      </c>
      <c r="CD1978" s="5" t="s">
        <v>273</v>
      </c>
      <c r="CE1978" s="5" t="s">
        <v>256</v>
      </c>
      <c r="CF1978" s="5" t="s">
        <v>238</v>
      </c>
      <c r="CI1978" s="6" t="s">
        <v>257</v>
      </c>
      <c r="CJ1978" s="5" t="s">
        <v>238</v>
      </c>
      <c r="CK1978" s="5" t="s">
        <v>258</v>
      </c>
      <c r="CL1978" s="5" t="s">
        <v>238</v>
      </c>
      <c r="CM1978" s="5" t="s">
        <v>238</v>
      </c>
      <c r="CN1978" s="5">
        <v>0</v>
      </c>
      <c r="CO1978" s="5" t="s">
        <v>259</v>
      </c>
      <c r="CP1978" s="5" t="s">
        <v>260</v>
      </c>
      <c r="CQ1978" s="5" t="s">
        <v>260</v>
      </c>
      <c r="CR1978" s="5" t="s">
        <v>261</v>
      </c>
      <c r="CU1978" s="8">
        <f>1</f>
        <v>1</v>
      </c>
      <c r="CV1978" s="8">
        <f>0</f>
        <v>0</v>
      </c>
      <c r="CX1978" s="8">
        <f>0</f>
        <v>0</v>
      </c>
      <c r="CY1978" s="8">
        <f>1</f>
        <v>1</v>
      </c>
      <c r="DA1978" s="5" t="s">
        <v>274</v>
      </c>
      <c r="DB1978" s="5" t="s">
        <v>238</v>
      </c>
      <c r="DD1978" s="5" t="s">
        <v>274</v>
      </c>
      <c r="DE1978" s="8">
        <f>445</f>
        <v>445</v>
      </c>
      <c r="DG1978" s="5" t="s">
        <v>238</v>
      </c>
      <c r="DH1978" s="5" t="s">
        <v>238</v>
      </c>
      <c r="DI1978" s="5" t="s">
        <v>238</v>
      </c>
      <c r="DJ1978" s="5" t="s">
        <v>238</v>
      </c>
      <c r="DN1978" s="5" t="s">
        <v>238</v>
      </c>
      <c r="DO1978" s="5" t="s">
        <v>238</v>
      </c>
      <c r="DP1978" s="5" t="s">
        <v>238</v>
      </c>
      <c r="DQ1978" s="5" t="s">
        <v>238</v>
      </c>
      <c r="DT1978" s="5" t="s">
        <v>275</v>
      </c>
      <c r="DU1978" s="5" t="s">
        <v>714</v>
      </c>
      <c r="HM1978" s="5" t="s">
        <v>264</v>
      </c>
    </row>
    <row r="1979" spans="1:221" x14ac:dyDescent="0.4">
      <c r="A1979" s="5">
        <v>3683</v>
      </c>
      <c r="B1979" s="5">
        <v>1</v>
      </c>
      <c r="C1979" s="5">
        <v>1</v>
      </c>
      <c r="D1979" s="5" t="s">
        <v>269</v>
      </c>
      <c r="E1979" s="5" t="s">
        <v>271</v>
      </c>
      <c r="F1979" s="5" t="s">
        <v>248</v>
      </c>
      <c r="G1979" s="5" t="s">
        <v>266</v>
      </c>
      <c r="H1979" s="6" t="s">
        <v>1172</v>
      </c>
      <c r="I1979" s="7">
        <f>1544</f>
        <v>1544</v>
      </c>
      <c r="J1979" s="5" t="s">
        <v>262</v>
      </c>
      <c r="K1979" s="8">
        <f>1</f>
        <v>1</v>
      </c>
      <c r="L1979" s="6" t="s">
        <v>242</v>
      </c>
      <c r="M1979" s="5" t="s">
        <v>267</v>
      </c>
      <c r="N1979" s="5" t="s">
        <v>265</v>
      </c>
      <c r="O1979" s="5" t="s">
        <v>238</v>
      </c>
      <c r="P1979" s="5" t="s">
        <v>238</v>
      </c>
      <c r="Q1979" s="5" t="s">
        <v>268</v>
      </c>
      <c r="R1979" s="5" t="s">
        <v>270</v>
      </c>
      <c r="S1979" s="5" t="s">
        <v>238</v>
      </c>
      <c r="V1979" s="5" t="s">
        <v>238</v>
      </c>
      <c r="X1979" s="6" t="s">
        <v>238</v>
      </c>
      <c r="AA1979" s="6" t="s">
        <v>243</v>
      </c>
      <c r="AB1979" s="5" t="s">
        <v>238</v>
      </c>
      <c r="AC1979" s="5" t="s">
        <v>244</v>
      </c>
      <c r="AD1979" s="5" t="s">
        <v>245</v>
      </c>
      <c r="AT1979" s="5" t="s">
        <v>246</v>
      </c>
      <c r="AU1979" s="5" t="s">
        <v>238</v>
      </c>
      <c r="AV1979" s="5" t="s">
        <v>247</v>
      </c>
      <c r="AW1979" s="5" t="s">
        <v>238</v>
      </c>
      <c r="AX1979" s="5" t="s">
        <v>249</v>
      </c>
      <c r="AY1979" s="5" t="s">
        <v>238</v>
      </c>
      <c r="BA1979" s="5" t="s">
        <v>238</v>
      </c>
      <c r="BC1979" s="5" t="s">
        <v>250</v>
      </c>
      <c r="BD1979" s="6" t="s">
        <v>243</v>
      </c>
      <c r="BE1979" s="5" t="s">
        <v>251</v>
      </c>
      <c r="BF1979" s="5" t="s">
        <v>252</v>
      </c>
      <c r="BG1979" s="5" t="s">
        <v>238</v>
      </c>
      <c r="BH1979" s="7">
        <f>0</f>
        <v>0</v>
      </c>
      <c r="BI1979" s="8">
        <f>0</f>
        <v>0</v>
      </c>
      <c r="BJ1979" s="5" t="s">
        <v>253</v>
      </c>
      <c r="BK1979" s="5" t="s">
        <v>254</v>
      </c>
      <c r="BY1979" s="5" t="s">
        <v>238</v>
      </c>
      <c r="BZ1979" s="5" t="s">
        <v>238</v>
      </c>
      <c r="CD1979" s="5" t="s">
        <v>273</v>
      </c>
      <c r="CE1979" s="5" t="s">
        <v>256</v>
      </c>
      <c r="CF1979" s="5" t="s">
        <v>238</v>
      </c>
      <c r="CI1979" s="6" t="s">
        <v>257</v>
      </c>
      <c r="CJ1979" s="5" t="s">
        <v>238</v>
      </c>
      <c r="CK1979" s="5" t="s">
        <v>258</v>
      </c>
      <c r="CL1979" s="5" t="s">
        <v>238</v>
      </c>
      <c r="CM1979" s="5" t="s">
        <v>238</v>
      </c>
      <c r="CN1979" s="5">
        <v>0</v>
      </c>
      <c r="CO1979" s="5" t="s">
        <v>259</v>
      </c>
      <c r="CP1979" s="5" t="s">
        <v>260</v>
      </c>
      <c r="CQ1979" s="5" t="s">
        <v>260</v>
      </c>
      <c r="CR1979" s="5" t="s">
        <v>261</v>
      </c>
      <c r="CU1979" s="8">
        <f>1</f>
        <v>1</v>
      </c>
      <c r="CV1979" s="8">
        <f>0</f>
        <v>0</v>
      </c>
      <c r="CX1979" s="8">
        <f>0</f>
        <v>0</v>
      </c>
      <c r="CY1979" s="8">
        <f>1</f>
        <v>1</v>
      </c>
      <c r="DA1979" s="5" t="s">
        <v>274</v>
      </c>
      <c r="DB1979" s="5" t="s">
        <v>238</v>
      </c>
      <c r="DD1979" s="5" t="s">
        <v>274</v>
      </c>
      <c r="DE1979" s="8">
        <f>1544</f>
        <v>1544</v>
      </c>
      <c r="DG1979" s="5" t="s">
        <v>238</v>
      </c>
      <c r="DH1979" s="5" t="s">
        <v>238</v>
      </c>
      <c r="DI1979" s="5" t="s">
        <v>238</v>
      </c>
      <c r="DJ1979" s="5" t="s">
        <v>238</v>
      </c>
      <c r="DN1979" s="5" t="s">
        <v>238</v>
      </c>
      <c r="DO1979" s="5" t="s">
        <v>238</v>
      </c>
      <c r="DP1979" s="5" t="s">
        <v>238</v>
      </c>
      <c r="DQ1979" s="5" t="s">
        <v>238</v>
      </c>
      <c r="DT1979" s="5" t="s">
        <v>275</v>
      </c>
      <c r="DU1979" s="5" t="s">
        <v>666</v>
      </c>
      <c r="HM1979" s="5" t="s">
        <v>264</v>
      </c>
    </row>
    <row r="1980" spans="1:221" x14ac:dyDescent="0.4">
      <c r="A1980" s="5">
        <v>3684</v>
      </c>
      <c r="B1980" s="5">
        <v>1</v>
      </c>
      <c r="C1980" s="5">
        <v>1</v>
      </c>
      <c r="D1980" s="5" t="s">
        <v>269</v>
      </c>
      <c r="E1980" s="5" t="s">
        <v>271</v>
      </c>
      <c r="F1980" s="5" t="s">
        <v>248</v>
      </c>
      <c r="G1980" s="5" t="s">
        <v>266</v>
      </c>
      <c r="H1980" s="6" t="s">
        <v>1169</v>
      </c>
      <c r="I1980" s="7">
        <f>898</f>
        <v>898</v>
      </c>
      <c r="J1980" s="5" t="s">
        <v>262</v>
      </c>
      <c r="K1980" s="8">
        <f>1</f>
        <v>1</v>
      </c>
      <c r="L1980" s="6" t="s">
        <v>242</v>
      </c>
      <c r="M1980" s="5" t="s">
        <v>267</v>
      </c>
      <c r="N1980" s="5" t="s">
        <v>265</v>
      </c>
      <c r="O1980" s="5" t="s">
        <v>238</v>
      </c>
      <c r="P1980" s="5" t="s">
        <v>238</v>
      </c>
      <c r="Q1980" s="5" t="s">
        <v>268</v>
      </c>
      <c r="R1980" s="5" t="s">
        <v>270</v>
      </c>
      <c r="S1980" s="5" t="s">
        <v>238</v>
      </c>
      <c r="V1980" s="5" t="s">
        <v>238</v>
      </c>
      <c r="X1980" s="6" t="s">
        <v>238</v>
      </c>
      <c r="AA1980" s="6" t="s">
        <v>243</v>
      </c>
      <c r="AB1980" s="5" t="s">
        <v>238</v>
      </c>
      <c r="AC1980" s="5" t="s">
        <v>244</v>
      </c>
      <c r="AD1980" s="5" t="s">
        <v>245</v>
      </c>
      <c r="AT1980" s="5" t="s">
        <v>246</v>
      </c>
      <c r="AU1980" s="5" t="s">
        <v>238</v>
      </c>
      <c r="AV1980" s="5" t="s">
        <v>247</v>
      </c>
      <c r="AW1980" s="5" t="s">
        <v>238</v>
      </c>
      <c r="AX1980" s="5" t="s">
        <v>249</v>
      </c>
      <c r="AY1980" s="5" t="s">
        <v>238</v>
      </c>
      <c r="BA1980" s="5" t="s">
        <v>238</v>
      </c>
      <c r="BC1980" s="5" t="s">
        <v>250</v>
      </c>
      <c r="BD1980" s="6" t="s">
        <v>243</v>
      </c>
      <c r="BE1980" s="5" t="s">
        <v>251</v>
      </c>
      <c r="BF1980" s="5" t="s">
        <v>252</v>
      </c>
      <c r="BG1980" s="5" t="s">
        <v>238</v>
      </c>
      <c r="BH1980" s="7">
        <f>0</f>
        <v>0</v>
      </c>
      <c r="BI1980" s="8">
        <f>0</f>
        <v>0</v>
      </c>
      <c r="BJ1980" s="5" t="s">
        <v>253</v>
      </c>
      <c r="BK1980" s="5" t="s">
        <v>254</v>
      </c>
      <c r="BY1980" s="5" t="s">
        <v>238</v>
      </c>
      <c r="BZ1980" s="5" t="s">
        <v>238</v>
      </c>
      <c r="CD1980" s="5" t="s">
        <v>273</v>
      </c>
      <c r="CE1980" s="5" t="s">
        <v>256</v>
      </c>
      <c r="CF1980" s="5" t="s">
        <v>238</v>
      </c>
      <c r="CI1980" s="6" t="s">
        <v>257</v>
      </c>
      <c r="CJ1980" s="5" t="s">
        <v>238</v>
      </c>
      <c r="CK1980" s="5" t="s">
        <v>258</v>
      </c>
      <c r="CL1980" s="5" t="s">
        <v>238</v>
      </c>
      <c r="CM1980" s="5" t="s">
        <v>238</v>
      </c>
      <c r="CN1980" s="5">
        <v>0</v>
      </c>
      <c r="CO1980" s="5" t="s">
        <v>259</v>
      </c>
      <c r="CP1980" s="5" t="s">
        <v>260</v>
      </c>
      <c r="CQ1980" s="5" t="s">
        <v>260</v>
      </c>
      <c r="CR1980" s="5" t="s">
        <v>261</v>
      </c>
      <c r="CU1980" s="8">
        <f>1</f>
        <v>1</v>
      </c>
      <c r="CV1980" s="8">
        <f>0</f>
        <v>0</v>
      </c>
      <c r="CX1980" s="8">
        <f>0</f>
        <v>0</v>
      </c>
      <c r="CY1980" s="8">
        <f>1</f>
        <v>1</v>
      </c>
      <c r="DA1980" s="5" t="s">
        <v>274</v>
      </c>
      <c r="DB1980" s="5" t="s">
        <v>238</v>
      </c>
      <c r="DD1980" s="5" t="s">
        <v>274</v>
      </c>
      <c r="DE1980" s="8">
        <f>898</f>
        <v>898</v>
      </c>
      <c r="DG1980" s="5" t="s">
        <v>238</v>
      </c>
      <c r="DH1980" s="5" t="s">
        <v>238</v>
      </c>
      <c r="DI1980" s="5" t="s">
        <v>238</v>
      </c>
      <c r="DJ1980" s="5" t="s">
        <v>238</v>
      </c>
      <c r="DN1980" s="5" t="s">
        <v>238</v>
      </c>
      <c r="DO1980" s="5" t="s">
        <v>238</v>
      </c>
      <c r="DP1980" s="5" t="s">
        <v>238</v>
      </c>
      <c r="DQ1980" s="5" t="s">
        <v>238</v>
      </c>
      <c r="DT1980" s="5" t="s">
        <v>275</v>
      </c>
      <c r="DU1980" s="5" t="s">
        <v>536</v>
      </c>
      <c r="HM1980" s="5" t="s">
        <v>264</v>
      </c>
    </row>
    <row r="1981" spans="1:221" x14ac:dyDescent="0.4">
      <c r="A1981" s="5">
        <v>3685</v>
      </c>
      <c r="B1981" s="5">
        <v>1</v>
      </c>
      <c r="C1981" s="5">
        <v>1</v>
      </c>
      <c r="D1981" s="5" t="s">
        <v>269</v>
      </c>
      <c r="E1981" s="5" t="s">
        <v>271</v>
      </c>
      <c r="F1981" s="5" t="s">
        <v>248</v>
      </c>
      <c r="G1981" s="5" t="s">
        <v>266</v>
      </c>
      <c r="H1981" s="6" t="s">
        <v>1165</v>
      </c>
      <c r="I1981" s="7">
        <f>2183</f>
        <v>2183</v>
      </c>
      <c r="J1981" s="5" t="s">
        <v>262</v>
      </c>
      <c r="K1981" s="8">
        <f>1</f>
        <v>1</v>
      </c>
      <c r="L1981" s="6" t="s">
        <v>242</v>
      </c>
      <c r="M1981" s="5" t="s">
        <v>267</v>
      </c>
      <c r="N1981" s="5" t="s">
        <v>265</v>
      </c>
      <c r="O1981" s="5" t="s">
        <v>238</v>
      </c>
      <c r="P1981" s="5" t="s">
        <v>238</v>
      </c>
      <c r="Q1981" s="5" t="s">
        <v>268</v>
      </c>
      <c r="R1981" s="5" t="s">
        <v>270</v>
      </c>
      <c r="S1981" s="5" t="s">
        <v>238</v>
      </c>
      <c r="V1981" s="5" t="s">
        <v>238</v>
      </c>
      <c r="X1981" s="6" t="s">
        <v>238</v>
      </c>
      <c r="AA1981" s="6" t="s">
        <v>243</v>
      </c>
      <c r="AB1981" s="5" t="s">
        <v>238</v>
      </c>
      <c r="AC1981" s="5" t="s">
        <v>244</v>
      </c>
      <c r="AD1981" s="5" t="s">
        <v>245</v>
      </c>
      <c r="AT1981" s="5" t="s">
        <v>246</v>
      </c>
      <c r="AU1981" s="5" t="s">
        <v>238</v>
      </c>
      <c r="AV1981" s="5" t="s">
        <v>247</v>
      </c>
      <c r="AW1981" s="5" t="s">
        <v>238</v>
      </c>
      <c r="AX1981" s="5" t="s">
        <v>249</v>
      </c>
      <c r="AY1981" s="5" t="s">
        <v>238</v>
      </c>
      <c r="BA1981" s="5" t="s">
        <v>238</v>
      </c>
      <c r="BC1981" s="5" t="s">
        <v>250</v>
      </c>
      <c r="BD1981" s="6" t="s">
        <v>243</v>
      </c>
      <c r="BE1981" s="5" t="s">
        <v>251</v>
      </c>
      <c r="BF1981" s="5" t="s">
        <v>252</v>
      </c>
      <c r="BG1981" s="5" t="s">
        <v>238</v>
      </c>
      <c r="BH1981" s="7">
        <f>0</f>
        <v>0</v>
      </c>
      <c r="BI1981" s="8">
        <f>0</f>
        <v>0</v>
      </c>
      <c r="BJ1981" s="5" t="s">
        <v>253</v>
      </c>
      <c r="BK1981" s="5" t="s">
        <v>254</v>
      </c>
      <c r="BY1981" s="5" t="s">
        <v>238</v>
      </c>
      <c r="BZ1981" s="5" t="s">
        <v>238</v>
      </c>
      <c r="CD1981" s="5" t="s">
        <v>273</v>
      </c>
      <c r="CE1981" s="5" t="s">
        <v>256</v>
      </c>
      <c r="CF1981" s="5" t="s">
        <v>238</v>
      </c>
      <c r="CI1981" s="6" t="s">
        <v>257</v>
      </c>
      <c r="CJ1981" s="5" t="s">
        <v>238</v>
      </c>
      <c r="CK1981" s="5" t="s">
        <v>258</v>
      </c>
      <c r="CL1981" s="5" t="s">
        <v>238</v>
      </c>
      <c r="CM1981" s="5" t="s">
        <v>238</v>
      </c>
      <c r="CN1981" s="5">
        <v>0</v>
      </c>
      <c r="CO1981" s="5" t="s">
        <v>259</v>
      </c>
      <c r="CP1981" s="5" t="s">
        <v>260</v>
      </c>
      <c r="CQ1981" s="5" t="s">
        <v>260</v>
      </c>
      <c r="CR1981" s="5" t="s">
        <v>261</v>
      </c>
      <c r="CU1981" s="8">
        <f>1</f>
        <v>1</v>
      </c>
      <c r="CV1981" s="8">
        <f>0</f>
        <v>0</v>
      </c>
      <c r="CX1981" s="8">
        <f>0</f>
        <v>0</v>
      </c>
      <c r="CY1981" s="8">
        <f>1</f>
        <v>1</v>
      </c>
      <c r="DA1981" s="5" t="s">
        <v>274</v>
      </c>
      <c r="DB1981" s="5" t="s">
        <v>238</v>
      </c>
      <c r="DD1981" s="5" t="s">
        <v>274</v>
      </c>
      <c r="DE1981" s="8">
        <f>2183</f>
        <v>2183</v>
      </c>
      <c r="DG1981" s="5" t="s">
        <v>238</v>
      </c>
      <c r="DH1981" s="5" t="s">
        <v>238</v>
      </c>
      <c r="DI1981" s="5" t="s">
        <v>238</v>
      </c>
      <c r="DJ1981" s="5" t="s">
        <v>238</v>
      </c>
      <c r="DN1981" s="5" t="s">
        <v>238</v>
      </c>
      <c r="DO1981" s="5" t="s">
        <v>238</v>
      </c>
      <c r="DP1981" s="5" t="s">
        <v>238</v>
      </c>
      <c r="DQ1981" s="5" t="s">
        <v>238</v>
      </c>
      <c r="DT1981" s="5" t="s">
        <v>275</v>
      </c>
      <c r="DU1981" s="5" t="s">
        <v>1166</v>
      </c>
      <c r="HM1981" s="5" t="s">
        <v>264</v>
      </c>
    </row>
    <row r="1982" spans="1:221" x14ac:dyDescent="0.4">
      <c r="A1982" s="5">
        <v>3686</v>
      </c>
      <c r="B1982" s="5">
        <v>1</v>
      </c>
      <c r="C1982" s="5">
        <v>1</v>
      </c>
      <c r="D1982" s="5" t="s">
        <v>269</v>
      </c>
      <c r="E1982" s="5" t="s">
        <v>271</v>
      </c>
      <c r="F1982" s="5" t="s">
        <v>248</v>
      </c>
      <c r="G1982" s="5" t="s">
        <v>266</v>
      </c>
      <c r="H1982" s="6" t="s">
        <v>1163</v>
      </c>
      <c r="I1982" s="7">
        <f>1502</f>
        <v>1502</v>
      </c>
      <c r="J1982" s="5" t="s">
        <v>262</v>
      </c>
      <c r="K1982" s="8">
        <f>1</f>
        <v>1</v>
      </c>
      <c r="L1982" s="6" t="s">
        <v>242</v>
      </c>
      <c r="M1982" s="5" t="s">
        <v>267</v>
      </c>
      <c r="N1982" s="5" t="s">
        <v>265</v>
      </c>
      <c r="O1982" s="5" t="s">
        <v>238</v>
      </c>
      <c r="P1982" s="5" t="s">
        <v>238</v>
      </c>
      <c r="Q1982" s="5" t="s">
        <v>268</v>
      </c>
      <c r="R1982" s="5" t="s">
        <v>270</v>
      </c>
      <c r="S1982" s="5" t="s">
        <v>238</v>
      </c>
      <c r="V1982" s="5" t="s">
        <v>238</v>
      </c>
      <c r="X1982" s="6" t="s">
        <v>238</v>
      </c>
      <c r="AA1982" s="6" t="s">
        <v>243</v>
      </c>
      <c r="AB1982" s="5" t="s">
        <v>238</v>
      </c>
      <c r="AC1982" s="5" t="s">
        <v>244</v>
      </c>
      <c r="AD1982" s="5" t="s">
        <v>245</v>
      </c>
      <c r="AT1982" s="5" t="s">
        <v>246</v>
      </c>
      <c r="AU1982" s="5" t="s">
        <v>238</v>
      </c>
      <c r="AV1982" s="5" t="s">
        <v>247</v>
      </c>
      <c r="AW1982" s="5" t="s">
        <v>238</v>
      </c>
      <c r="AX1982" s="5" t="s">
        <v>249</v>
      </c>
      <c r="AY1982" s="5" t="s">
        <v>238</v>
      </c>
      <c r="BA1982" s="5" t="s">
        <v>238</v>
      </c>
      <c r="BC1982" s="5" t="s">
        <v>250</v>
      </c>
      <c r="BD1982" s="6" t="s">
        <v>243</v>
      </c>
      <c r="BE1982" s="5" t="s">
        <v>251</v>
      </c>
      <c r="BF1982" s="5" t="s">
        <v>252</v>
      </c>
      <c r="BG1982" s="5" t="s">
        <v>238</v>
      </c>
      <c r="BH1982" s="7">
        <f>0</f>
        <v>0</v>
      </c>
      <c r="BI1982" s="8">
        <f>0</f>
        <v>0</v>
      </c>
      <c r="BJ1982" s="5" t="s">
        <v>253</v>
      </c>
      <c r="BK1982" s="5" t="s">
        <v>254</v>
      </c>
      <c r="BY1982" s="5" t="s">
        <v>238</v>
      </c>
      <c r="BZ1982" s="5" t="s">
        <v>238</v>
      </c>
      <c r="CD1982" s="5" t="s">
        <v>273</v>
      </c>
      <c r="CE1982" s="5" t="s">
        <v>256</v>
      </c>
      <c r="CF1982" s="5" t="s">
        <v>238</v>
      </c>
      <c r="CI1982" s="6" t="s">
        <v>257</v>
      </c>
      <c r="CJ1982" s="5" t="s">
        <v>238</v>
      </c>
      <c r="CK1982" s="5" t="s">
        <v>258</v>
      </c>
      <c r="CL1982" s="5" t="s">
        <v>238</v>
      </c>
      <c r="CM1982" s="5" t="s">
        <v>238</v>
      </c>
      <c r="CN1982" s="5">
        <v>0</v>
      </c>
      <c r="CO1982" s="5" t="s">
        <v>259</v>
      </c>
      <c r="CP1982" s="5" t="s">
        <v>260</v>
      </c>
      <c r="CQ1982" s="5" t="s">
        <v>260</v>
      </c>
      <c r="CR1982" s="5" t="s">
        <v>261</v>
      </c>
      <c r="CU1982" s="8">
        <f>1</f>
        <v>1</v>
      </c>
      <c r="CV1982" s="8">
        <f>0</f>
        <v>0</v>
      </c>
      <c r="CX1982" s="8">
        <f>0</f>
        <v>0</v>
      </c>
      <c r="CY1982" s="8">
        <f>1</f>
        <v>1</v>
      </c>
      <c r="DA1982" s="5" t="s">
        <v>274</v>
      </c>
      <c r="DB1982" s="5" t="s">
        <v>238</v>
      </c>
      <c r="DD1982" s="5" t="s">
        <v>274</v>
      </c>
      <c r="DE1982" s="8">
        <f>1502</f>
        <v>1502</v>
      </c>
      <c r="DG1982" s="5" t="s">
        <v>238</v>
      </c>
      <c r="DH1982" s="5" t="s">
        <v>238</v>
      </c>
      <c r="DI1982" s="5" t="s">
        <v>238</v>
      </c>
      <c r="DJ1982" s="5" t="s">
        <v>238</v>
      </c>
      <c r="DN1982" s="5" t="s">
        <v>238</v>
      </c>
      <c r="DO1982" s="5" t="s">
        <v>238</v>
      </c>
      <c r="DP1982" s="5" t="s">
        <v>238</v>
      </c>
      <c r="DQ1982" s="5" t="s">
        <v>238</v>
      </c>
      <c r="DT1982" s="5" t="s">
        <v>275</v>
      </c>
      <c r="DU1982" s="5" t="s">
        <v>1164</v>
      </c>
      <c r="HM1982" s="5" t="s">
        <v>264</v>
      </c>
    </row>
    <row r="1983" spans="1:221" x14ac:dyDescent="0.4">
      <c r="A1983" s="5">
        <v>3687</v>
      </c>
      <c r="B1983" s="5">
        <v>1</v>
      </c>
      <c r="C1983" s="5">
        <v>1</v>
      </c>
      <c r="D1983" s="5" t="s">
        <v>269</v>
      </c>
      <c r="E1983" s="5" t="s">
        <v>271</v>
      </c>
      <c r="F1983" s="5" t="s">
        <v>248</v>
      </c>
      <c r="G1983" s="5" t="s">
        <v>266</v>
      </c>
      <c r="H1983" s="6" t="s">
        <v>1161</v>
      </c>
      <c r="I1983" s="7">
        <f>880</f>
        <v>880</v>
      </c>
      <c r="J1983" s="5" t="s">
        <v>262</v>
      </c>
      <c r="K1983" s="8">
        <f>1</f>
        <v>1</v>
      </c>
      <c r="L1983" s="6" t="s">
        <v>242</v>
      </c>
      <c r="M1983" s="5" t="s">
        <v>267</v>
      </c>
      <c r="N1983" s="5" t="s">
        <v>265</v>
      </c>
      <c r="O1983" s="5" t="s">
        <v>238</v>
      </c>
      <c r="P1983" s="5" t="s">
        <v>238</v>
      </c>
      <c r="Q1983" s="5" t="s">
        <v>268</v>
      </c>
      <c r="R1983" s="5" t="s">
        <v>270</v>
      </c>
      <c r="S1983" s="5" t="s">
        <v>238</v>
      </c>
      <c r="V1983" s="5" t="s">
        <v>238</v>
      </c>
      <c r="X1983" s="6" t="s">
        <v>238</v>
      </c>
      <c r="AA1983" s="6" t="s">
        <v>243</v>
      </c>
      <c r="AB1983" s="5" t="s">
        <v>238</v>
      </c>
      <c r="AC1983" s="5" t="s">
        <v>244</v>
      </c>
      <c r="AD1983" s="5" t="s">
        <v>245</v>
      </c>
      <c r="AT1983" s="5" t="s">
        <v>246</v>
      </c>
      <c r="AU1983" s="5" t="s">
        <v>238</v>
      </c>
      <c r="AV1983" s="5" t="s">
        <v>247</v>
      </c>
      <c r="AW1983" s="5" t="s">
        <v>238</v>
      </c>
      <c r="AX1983" s="5" t="s">
        <v>249</v>
      </c>
      <c r="AY1983" s="5" t="s">
        <v>238</v>
      </c>
      <c r="BA1983" s="5" t="s">
        <v>238</v>
      </c>
      <c r="BC1983" s="5" t="s">
        <v>250</v>
      </c>
      <c r="BD1983" s="6" t="s">
        <v>243</v>
      </c>
      <c r="BE1983" s="5" t="s">
        <v>251</v>
      </c>
      <c r="BF1983" s="5" t="s">
        <v>252</v>
      </c>
      <c r="BG1983" s="5" t="s">
        <v>238</v>
      </c>
      <c r="BH1983" s="7">
        <f>0</f>
        <v>0</v>
      </c>
      <c r="BI1983" s="8">
        <f>0</f>
        <v>0</v>
      </c>
      <c r="BJ1983" s="5" t="s">
        <v>253</v>
      </c>
      <c r="BK1983" s="5" t="s">
        <v>254</v>
      </c>
      <c r="BY1983" s="5" t="s">
        <v>238</v>
      </c>
      <c r="BZ1983" s="5" t="s">
        <v>238</v>
      </c>
      <c r="CD1983" s="5" t="s">
        <v>273</v>
      </c>
      <c r="CE1983" s="5" t="s">
        <v>256</v>
      </c>
      <c r="CF1983" s="5" t="s">
        <v>238</v>
      </c>
      <c r="CI1983" s="6" t="s">
        <v>257</v>
      </c>
      <c r="CJ1983" s="5" t="s">
        <v>238</v>
      </c>
      <c r="CK1983" s="5" t="s">
        <v>258</v>
      </c>
      <c r="CL1983" s="5" t="s">
        <v>238</v>
      </c>
      <c r="CM1983" s="5" t="s">
        <v>238</v>
      </c>
      <c r="CN1983" s="5">
        <v>0</v>
      </c>
      <c r="CO1983" s="5" t="s">
        <v>259</v>
      </c>
      <c r="CP1983" s="5" t="s">
        <v>260</v>
      </c>
      <c r="CQ1983" s="5" t="s">
        <v>260</v>
      </c>
      <c r="CR1983" s="5" t="s">
        <v>261</v>
      </c>
      <c r="CU1983" s="8">
        <f>1</f>
        <v>1</v>
      </c>
      <c r="CV1983" s="8">
        <f>0</f>
        <v>0</v>
      </c>
      <c r="CX1983" s="8">
        <f>0</f>
        <v>0</v>
      </c>
      <c r="CY1983" s="8">
        <f>1</f>
        <v>1</v>
      </c>
      <c r="DA1983" s="5" t="s">
        <v>274</v>
      </c>
      <c r="DB1983" s="5" t="s">
        <v>238</v>
      </c>
      <c r="DD1983" s="5" t="s">
        <v>274</v>
      </c>
      <c r="DE1983" s="8">
        <f>880</f>
        <v>880</v>
      </c>
      <c r="DG1983" s="5" t="s">
        <v>238</v>
      </c>
      <c r="DH1983" s="5" t="s">
        <v>238</v>
      </c>
      <c r="DI1983" s="5" t="s">
        <v>238</v>
      </c>
      <c r="DJ1983" s="5" t="s">
        <v>238</v>
      </c>
      <c r="DN1983" s="5" t="s">
        <v>238</v>
      </c>
      <c r="DO1983" s="5" t="s">
        <v>238</v>
      </c>
      <c r="DP1983" s="5" t="s">
        <v>238</v>
      </c>
      <c r="DQ1983" s="5" t="s">
        <v>238</v>
      </c>
      <c r="DT1983" s="5" t="s">
        <v>275</v>
      </c>
      <c r="DU1983" s="5" t="s">
        <v>1162</v>
      </c>
      <c r="HM1983" s="5" t="s">
        <v>264</v>
      </c>
    </row>
    <row r="1984" spans="1:221" x14ac:dyDescent="0.4">
      <c r="A1984" s="5">
        <v>3688</v>
      </c>
      <c r="B1984" s="5">
        <v>1</v>
      </c>
      <c r="C1984" s="5">
        <v>1</v>
      </c>
      <c r="D1984" s="5" t="s">
        <v>269</v>
      </c>
      <c r="E1984" s="5" t="s">
        <v>271</v>
      </c>
      <c r="F1984" s="5" t="s">
        <v>248</v>
      </c>
      <c r="G1984" s="5" t="s">
        <v>266</v>
      </c>
      <c r="H1984" s="6" t="s">
        <v>1157</v>
      </c>
      <c r="I1984" s="7">
        <f>709</f>
        <v>709</v>
      </c>
      <c r="J1984" s="5" t="s">
        <v>262</v>
      </c>
      <c r="K1984" s="8">
        <f>1</f>
        <v>1</v>
      </c>
      <c r="L1984" s="6" t="s">
        <v>242</v>
      </c>
      <c r="M1984" s="5" t="s">
        <v>267</v>
      </c>
      <c r="N1984" s="5" t="s">
        <v>265</v>
      </c>
      <c r="O1984" s="5" t="s">
        <v>238</v>
      </c>
      <c r="P1984" s="5" t="s">
        <v>238</v>
      </c>
      <c r="Q1984" s="5" t="s">
        <v>268</v>
      </c>
      <c r="R1984" s="5" t="s">
        <v>270</v>
      </c>
      <c r="S1984" s="5" t="s">
        <v>238</v>
      </c>
      <c r="V1984" s="5" t="s">
        <v>238</v>
      </c>
      <c r="X1984" s="6" t="s">
        <v>238</v>
      </c>
      <c r="AA1984" s="6" t="s">
        <v>243</v>
      </c>
      <c r="AB1984" s="5" t="s">
        <v>238</v>
      </c>
      <c r="AC1984" s="5" t="s">
        <v>244</v>
      </c>
      <c r="AD1984" s="5" t="s">
        <v>245</v>
      </c>
      <c r="AT1984" s="5" t="s">
        <v>246</v>
      </c>
      <c r="AU1984" s="5" t="s">
        <v>238</v>
      </c>
      <c r="AV1984" s="5" t="s">
        <v>247</v>
      </c>
      <c r="AW1984" s="5" t="s">
        <v>238</v>
      </c>
      <c r="AX1984" s="5" t="s">
        <v>249</v>
      </c>
      <c r="AY1984" s="5" t="s">
        <v>238</v>
      </c>
      <c r="BA1984" s="5" t="s">
        <v>238</v>
      </c>
      <c r="BC1984" s="5" t="s">
        <v>250</v>
      </c>
      <c r="BD1984" s="6" t="s">
        <v>243</v>
      </c>
      <c r="BE1984" s="5" t="s">
        <v>251</v>
      </c>
      <c r="BF1984" s="5" t="s">
        <v>252</v>
      </c>
      <c r="BG1984" s="5" t="s">
        <v>238</v>
      </c>
      <c r="BH1984" s="7">
        <f>0</f>
        <v>0</v>
      </c>
      <c r="BI1984" s="8">
        <f>0</f>
        <v>0</v>
      </c>
      <c r="BJ1984" s="5" t="s">
        <v>253</v>
      </c>
      <c r="BK1984" s="5" t="s">
        <v>254</v>
      </c>
      <c r="BY1984" s="5" t="s">
        <v>238</v>
      </c>
      <c r="BZ1984" s="5" t="s">
        <v>238</v>
      </c>
      <c r="CD1984" s="5" t="s">
        <v>273</v>
      </c>
      <c r="CE1984" s="5" t="s">
        <v>256</v>
      </c>
      <c r="CF1984" s="5" t="s">
        <v>238</v>
      </c>
      <c r="CI1984" s="6" t="s">
        <v>257</v>
      </c>
      <c r="CJ1984" s="5" t="s">
        <v>238</v>
      </c>
      <c r="CK1984" s="5" t="s">
        <v>258</v>
      </c>
      <c r="CL1984" s="5" t="s">
        <v>238</v>
      </c>
      <c r="CM1984" s="5" t="s">
        <v>238</v>
      </c>
      <c r="CN1984" s="5">
        <v>0</v>
      </c>
      <c r="CO1984" s="5" t="s">
        <v>259</v>
      </c>
      <c r="CP1984" s="5" t="s">
        <v>260</v>
      </c>
      <c r="CQ1984" s="5" t="s">
        <v>260</v>
      </c>
      <c r="CR1984" s="5" t="s">
        <v>261</v>
      </c>
      <c r="CU1984" s="8">
        <f>1</f>
        <v>1</v>
      </c>
      <c r="CV1984" s="8">
        <f>0</f>
        <v>0</v>
      </c>
      <c r="CX1984" s="8">
        <f>0</f>
        <v>0</v>
      </c>
      <c r="CY1984" s="8">
        <f>1</f>
        <v>1</v>
      </c>
      <c r="DA1984" s="5" t="s">
        <v>274</v>
      </c>
      <c r="DB1984" s="5" t="s">
        <v>238</v>
      </c>
      <c r="DD1984" s="5" t="s">
        <v>274</v>
      </c>
      <c r="DE1984" s="8">
        <f>709</f>
        <v>709</v>
      </c>
      <c r="DG1984" s="5" t="s">
        <v>238</v>
      </c>
      <c r="DH1984" s="5" t="s">
        <v>238</v>
      </c>
      <c r="DI1984" s="5" t="s">
        <v>238</v>
      </c>
      <c r="DJ1984" s="5" t="s">
        <v>238</v>
      </c>
      <c r="DN1984" s="5" t="s">
        <v>238</v>
      </c>
      <c r="DO1984" s="5" t="s">
        <v>238</v>
      </c>
      <c r="DP1984" s="5" t="s">
        <v>238</v>
      </c>
      <c r="DQ1984" s="5" t="s">
        <v>238</v>
      </c>
      <c r="DT1984" s="5" t="s">
        <v>275</v>
      </c>
      <c r="DU1984" s="5" t="s">
        <v>1158</v>
      </c>
      <c r="HM1984" s="5" t="s">
        <v>264</v>
      </c>
    </row>
    <row r="1985" spans="1:221" x14ac:dyDescent="0.4">
      <c r="A1985" s="5">
        <v>3689</v>
      </c>
      <c r="B1985" s="5">
        <v>1</v>
      </c>
      <c r="C1985" s="5">
        <v>1</v>
      </c>
      <c r="D1985" s="5" t="s">
        <v>269</v>
      </c>
      <c r="E1985" s="5" t="s">
        <v>271</v>
      </c>
      <c r="F1985" s="5" t="s">
        <v>248</v>
      </c>
      <c r="G1985" s="5" t="s">
        <v>266</v>
      </c>
      <c r="H1985" s="6" t="s">
        <v>1155</v>
      </c>
      <c r="I1985" s="7">
        <f>173</f>
        <v>173</v>
      </c>
      <c r="J1985" s="5" t="s">
        <v>262</v>
      </c>
      <c r="K1985" s="8">
        <f>1</f>
        <v>1</v>
      </c>
      <c r="L1985" s="6" t="s">
        <v>242</v>
      </c>
      <c r="M1985" s="5" t="s">
        <v>267</v>
      </c>
      <c r="N1985" s="5" t="s">
        <v>265</v>
      </c>
      <c r="O1985" s="5" t="s">
        <v>238</v>
      </c>
      <c r="P1985" s="5" t="s">
        <v>238</v>
      </c>
      <c r="Q1985" s="5" t="s">
        <v>268</v>
      </c>
      <c r="R1985" s="5" t="s">
        <v>270</v>
      </c>
      <c r="S1985" s="5" t="s">
        <v>238</v>
      </c>
      <c r="V1985" s="5" t="s">
        <v>238</v>
      </c>
      <c r="X1985" s="6" t="s">
        <v>238</v>
      </c>
      <c r="AA1985" s="6" t="s">
        <v>243</v>
      </c>
      <c r="AB1985" s="5" t="s">
        <v>238</v>
      </c>
      <c r="AC1985" s="5" t="s">
        <v>244</v>
      </c>
      <c r="AD1985" s="5" t="s">
        <v>245</v>
      </c>
      <c r="AT1985" s="5" t="s">
        <v>246</v>
      </c>
      <c r="AU1985" s="5" t="s">
        <v>238</v>
      </c>
      <c r="AV1985" s="5" t="s">
        <v>247</v>
      </c>
      <c r="AW1985" s="5" t="s">
        <v>238</v>
      </c>
      <c r="AX1985" s="5" t="s">
        <v>249</v>
      </c>
      <c r="AY1985" s="5" t="s">
        <v>238</v>
      </c>
      <c r="BA1985" s="5" t="s">
        <v>238</v>
      </c>
      <c r="BC1985" s="5" t="s">
        <v>250</v>
      </c>
      <c r="BD1985" s="6" t="s">
        <v>243</v>
      </c>
      <c r="BE1985" s="5" t="s">
        <v>251</v>
      </c>
      <c r="BF1985" s="5" t="s">
        <v>252</v>
      </c>
      <c r="BG1985" s="5" t="s">
        <v>238</v>
      </c>
      <c r="BH1985" s="7">
        <f>0</f>
        <v>0</v>
      </c>
      <c r="BI1985" s="8">
        <f>0</f>
        <v>0</v>
      </c>
      <c r="BJ1985" s="5" t="s">
        <v>253</v>
      </c>
      <c r="BK1985" s="5" t="s">
        <v>254</v>
      </c>
      <c r="BY1985" s="5" t="s">
        <v>238</v>
      </c>
      <c r="BZ1985" s="5" t="s">
        <v>238</v>
      </c>
      <c r="CD1985" s="5" t="s">
        <v>273</v>
      </c>
      <c r="CE1985" s="5" t="s">
        <v>256</v>
      </c>
      <c r="CF1985" s="5" t="s">
        <v>238</v>
      </c>
      <c r="CI1985" s="6" t="s">
        <v>257</v>
      </c>
      <c r="CJ1985" s="5" t="s">
        <v>238</v>
      </c>
      <c r="CK1985" s="5" t="s">
        <v>258</v>
      </c>
      <c r="CL1985" s="5" t="s">
        <v>238</v>
      </c>
      <c r="CM1985" s="5" t="s">
        <v>238</v>
      </c>
      <c r="CN1985" s="5">
        <v>0</v>
      </c>
      <c r="CO1985" s="5" t="s">
        <v>259</v>
      </c>
      <c r="CP1985" s="5" t="s">
        <v>260</v>
      </c>
      <c r="CQ1985" s="5" t="s">
        <v>260</v>
      </c>
      <c r="CR1985" s="5" t="s">
        <v>261</v>
      </c>
      <c r="CU1985" s="8">
        <f>1</f>
        <v>1</v>
      </c>
      <c r="CV1985" s="8">
        <f>0</f>
        <v>0</v>
      </c>
      <c r="CX1985" s="8">
        <f>0</f>
        <v>0</v>
      </c>
      <c r="CY1985" s="8">
        <f>1</f>
        <v>1</v>
      </c>
      <c r="DA1985" s="5" t="s">
        <v>274</v>
      </c>
      <c r="DB1985" s="5" t="s">
        <v>238</v>
      </c>
      <c r="DD1985" s="5" t="s">
        <v>274</v>
      </c>
      <c r="DE1985" s="8">
        <f>173</f>
        <v>173</v>
      </c>
      <c r="DG1985" s="5" t="s">
        <v>238</v>
      </c>
      <c r="DH1985" s="5" t="s">
        <v>238</v>
      </c>
      <c r="DI1985" s="5" t="s">
        <v>238</v>
      </c>
      <c r="DJ1985" s="5" t="s">
        <v>238</v>
      </c>
      <c r="DN1985" s="5" t="s">
        <v>238</v>
      </c>
      <c r="DO1985" s="5" t="s">
        <v>238</v>
      </c>
      <c r="DP1985" s="5" t="s">
        <v>238</v>
      </c>
      <c r="DQ1985" s="5" t="s">
        <v>238</v>
      </c>
      <c r="DT1985" s="5" t="s">
        <v>275</v>
      </c>
      <c r="DU1985" s="5" t="s">
        <v>1156</v>
      </c>
      <c r="HM1985" s="5" t="s">
        <v>264</v>
      </c>
    </row>
    <row r="1986" spans="1:221" x14ac:dyDescent="0.4">
      <c r="A1986" s="5">
        <v>3690</v>
      </c>
      <c r="B1986" s="5">
        <v>1</v>
      </c>
      <c r="C1986" s="5">
        <v>1</v>
      </c>
      <c r="D1986" s="5" t="s">
        <v>269</v>
      </c>
      <c r="E1986" s="5" t="s">
        <v>271</v>
      </c>
      <c r="F1986" s="5" t="s">
        <v>248</v>
      </c>
      <c r="G1986" s="5" t="s">
        <v>266</v>
      </c>
      <c r="H1986" s="6" t="s">
        <v>1151</v>
      </c>
      <c r="I1986" s="7">
        <f>564</f>
        <v>564</v>
      </c>
      <c r="J1986" s="5" t="s">
        <v>262</v>
      </c>
      <c r="K1986" s="8">
        <f>1</f>
        <v>1</v>
      </c>
      <c r="L1986" s="6" t="s">
        <v>242</v>
      </c>
      <c r="M1986" s="5" t="s">
        <v>267</v>
      </c>
      <c r="N1986" s="5" t="s">
        <v>265</v>
      </c>
      <c r="O1986" s="5" t="s">
        <v>238</v>
      </c>
      <c r="P1986" s="5" t="s">
        <v>238</v>
      </c>
      <c r="Q1986" s="5" t="s">
        <v>268</v>
      </c>
      <c r="R1986" s="5" t="s">
        <v>270</v>
      </c>
      <c r="S1986" s="5" t="s">
        <v>238</v>
      </c>
      <c r="V1986" s="5" t="s">
        <v>238</v>
      </c>
      <c r="X1986" s="6" t="s">
        <v>238</v>
      </c>
      <c r="AA1986" s="6" t="s">
        <v>243</v>
      </c>
      <c r="AB1986" s="5" t="s">
        <v>238</v>
      </c>
      <c r="AC1986" s="5" t="s">
        <v>244</v>
      </c>
      <c r="AD1986" s="5" t="s">
        <v>245</v>
      </c>
      <c r="AT1986" s="5" t="s">
        <v>246</v>
      </c>
      <c r="AU1986" s="5" t="s">
        <v>238</v>
      </c>
      <c r="AV1986" s="5" t="s">
        <v>247</v>
      </c>
      <c r="AW1986" s="5" t="s">
        <v>238</v>
      </c>
      <c r="AX1986" s="5" t="s">
        <v>249</v>
      </c>
      <c r="AY1986" s="5" t="s">
        <v>238</v>
      </c>
      <c r="BA1986" s="5" t="s">
        <v>238</v>
      </c>
      <c r="BC1986" s="5" t="s">
        <v>250</v>
      </c>
      <c r="BD1986" s="6" t="s">
        <v>243</v>
      </c>
      <c r="BE1986" s="5" t="s">
        <v>251</v>
      </c>
      <c r="BF1986" s="5" t="s">
        <v>252</v>
      </c>
      <c r="BG1986" s="5" t="s">
        <v>238</v>
      </c>
      <c r="BH1986" s="7">
        <f>0</f>
        <v>0</v>
      </c>
      <c r="BI1986" s="8">
        <f>0</f>
        <v>0</v>
      </c>
      <c r="BJ1986" s="5" t="s">
        <v>253</v>
      </c>
      <c r="BK1986" s="5" t="s">
        <v>254</v>
      </c>
      <c r="BY1986" s="5" t="s">
        <v>238</v>
      </c>
      <c r="BZ1986" s="5" t="s">
        <v>238</v>
      </c>
      <c r="CD1986" s="5" t="s">
        <v>273</v>
      </c>
      <c r="CE1986" s="5" t="s">
        <v>256</v>
      </c>
      <c r="CF1986" s="5" t="s">
        <v>238</v>
      </c>
      <c r="CI1986" s="6" t="s">
        <v>257</v>
      </c>
      <c r="CJ1986" s="5" t="s">
        <v>238</v>
      </c>
      <c r="CK1986" s="5" t="s">
        <v>258</v>
      </c>
      <c r="CL1986" s="5" t="s">
        <v>238</v>
      </c>
      <c r="CM1986" s="5" t="s">
        <v>238</v>
      </c>
      <c r="CN1986" s="5">
        <v>0</v>
      </c>
      <c r="CO1986" s="5" t="s">
        <v>259</v>
      </c>
      <c r="CP1986" s="5" t="s">
        <v>260</v>
      </c>
      <c r="CQ1986" s="5" t="s">
        <v>260</v>
      </c>
      <c r="CR1986" s="5" t="s">
        <v>261</v>
      </c>
      <c r="CU1986" s="8">
        <f>1</f>
        <v>1</v>
      </c>
      <c r="CV1986" s="8">
        <f>0</f>
        <v>0</v>
      </c>
      <c r="CX1986" s="8">
        <f>0</f>
        <v>0</v>
      </c>
      <c r="CY1986" s="8">
        <f>1</f>
        <v>1</v>
      </c>
      <c r="DA1986" s="5" t="s">
        <v>274</v>
      </c>
      <c r="DB1986" s="5" t="s">
        <v>238</v>
      </c>
      <c r="DD1986" s="5" t="s">
        <v>274</v>
      </c>
      <c r="DE1986" s="8">
        <f>564</f>
        <v>564</v>
      </c>
      <c r="DG1986" s="5" t="s">
        <v>238</v>
      </c>
      <c r="DH1986" s="5" t="s">
        <v>238</v>
      </c>
      <c r="DI1986" s="5" t="s">
        <v>238</v>
      </c>
      <c r="DJ1986" s="5" t="s">
        <v>238</v>
      </c>
      <c r="DN1986" s="5" t="s">
        <v>238</v>
      </c>
      <c r="DO1986" s="5" t="s">
        <v>238</v>
      </c>
      <c r="DP1986" s="5" t="s">
        <v>238</v>
      </c>
      <c r="DQ1986" s="5" t="s">
        <v>238</v>
      </c>
      <c r="DT1986" s="5" t="s">
        <v>275</v>
      </c>
      <c r="DU1986" s="5" t="s">
        <v>1152</v>
      </c>
      <c r="HM1986" s="5" t="s">
        <v>264</v>
      </c>
    </row>
    <row r="1987" spans="1:221" x14ac:dyDescent="0.4">
      <c r="A1987" s="5">
        <v>3691</v>
      </c>
      <c r="B1987" s="5">
        <v>1</v>
      </c>
      <c r="C1987" s="5">
        <v>1</v>
      </c>
      <c r="D1987" s="5" t="s">
        <v>269</v>
      </c>
      <c r="E1987" s="5" t="s">
        <v>271</v>
      </c>
      <c r="F1987" s="5" t="s">
        <v>248</v>
      </c>
      <c r="G1987" s="5" t="s">
        <v>266</v>
      </c>
      <c r="H1987" s="6" t="s">
        <v>1147</v>
      </c>
      <c r="I1987" s="7">
        <f>1116</f>
        <v>1116</v>
      </c>
      <c r="J1987" s="5" t="s">
        <v>262</v>
      </c>
      <c r="K1987" s="8">
        <f>1</f>
        <v>1</v>
      </c>
      <c r="L1987" s="6" t="s">
        <v>242</v>
      </c>
      <c r="M1987" s="5" t="s">
        <v>267</v>
      </c>
      <c r="N1987" s="5" t="s">
        <v>265</v>
      </c>
      <c r="O1987" s="5" t="s">
        <v>238</v>
      </c>
      <c r="P1987" s="5" t="s">
        <v>238</v>
      </c>
      <c r="Q1987" s="5" t="s">
        <v>268</v>
      </c>
      <c r="R1987" s="5" t="s">
        <v>270</v>
      </c>
      <c r="S1987" s="5" t="s">
        <v>238</v>
      </c>
      <c r="V1987" s="5" t="s">
        <v>238</v>
      </c>
      <c r="X1987" s="6" t="s">
        <v>238</v>
      </c>
      <c r="AA1987" s="6" t="s">
        <v>243</v>
      </c>
      <c r="AB1987" s="5" t="s">
        <v>238</v>
      </c>
      <c r="AC1987" s="5" t="s">
        <v>244</v>
      </c>
      <c r="AD1987" s="5" t="s">
        <v>245</v>
      </c>
      <c r="AT1987" s="5" t="s">
        <v>246</v>
      </c>
      <c r="AU1987" s="5" t="s">
        <v>238</v>
      </c>
      <c r="AV1987" s="5" t="s">
        <v>247</v>
      </c>
      <c r="AW1987" s="5" t="s">
        <v>238</v>
      </c>
      <c r="AX1987" s="5" t="s">
        <v>249</v>
      </c>
      <c r="AY1987" s="5" t="s">
        <v>238</v>
      </c>
      <c r="BA1987" s="5" t="s">
        <v>238</v>
      </c>
      <c r="BC1987" s="5" t="s">
        <v>250</v>
      </c>
      <c r="BD1987" s="6" t="s">
        <v>243</v>
      </c>
      <c r="BE1987" s="5" t="s">
        <v>251</v>
      </c>
      <c r="BF1987" s="5" t="s">
        <v>252</v>
      </c>
      <c r="BG1987" s="5" t="s">
        <v>238</v>
      </c>
      <c r="BH1987" s="7">
        <f>0</f>
        <v>0</v>
      </c>
      <c r="BI1987" s="8">
        <f>0</f>
        <v>0</v>
      </c>
      <c r="BJ1987" s="5" t="s">
        <v>253</v>
      </c>
      <c r="BK1987" s="5" t="s">
        <v>254</v>
      </c>
      <c r="BY1987" s="5" t="s">
        <v>238</v>
      </c>
      <c r="BZ1987" s="5" t="s">
        <v>238</v>
      </c>
      <c r="CD1987" s="5" t="s">
        <v>273</v>
      </c>
      <c r="CE1987" s="5" t="s">
        <v>256</v>
      </c>
      <c r="CF1987" s="5" t="s">
        <v>238</v>
      </c>
      <c r="CI1987" s="6" t="s">
        <v>257</v>
      </c>
      <c r="CJ1987" s="5" t="s">
        <v>238</v>
      </c>
      <c r="CK1987" s="5" t="s">
        <v>258</v>
      </c>
      <c r="CL1987" s="5" t="s">
        <v>238</v>
      </c>
      <c r="CM1987" s="5" t="s">
        <v>238</v>
      </c>
      <c r="CN1987" s="5">
        <v>0</v>
      </c>
      <c r="CO1987" s="5" t="s">
        <v>259</v>
      </c>
      <c r="CP1987" s="5" t="s">
        <v>260</v>
      </c>
      <c r="CQ1987" s="5" t="s">
        <v>260</v>
      </c>
      <c r="CR1987" s="5" t="s">
        <v>261</v>
      </c>
      <c r="CU1987" s="8">
        <f>1</f>
        <v>1</v>
      </c>
      <c r="CV1987" s="8">
        <f>0</f>
        <v>0</v>
      </c>
      <c r="CX1987" s="8">
        <f>0</f>
        <v>0</v>
      </c>
      <c r="CY1987" s="8">
        <f>1</f>
        <v>1</v>
      </c>
      <c r="DA1987" s="5" t="s">
        <v>274</v>
      </c>
      <c r="DB1987" s="5" t="s">
        <v>238</v>
      </c>
      <c r="DD1987" s="5" t="s">
        <v>274</v>
      </c>
      <c r="DE1987" s="8">
        <f>1116</f>
        <v>1116</v>
      </c>
      <c r="DG1987" s="5" t="s">
        <v>238</v>
      </c>
      <c r="DH1987" s="5" t="s">
        <v>238</v>
      </c>
      <c r="DI1987" s="5" t="s">
        <v>238</v>
      </c>
      <c r="DJ1987" s="5" t="s">
        <v>238</v>
      </c>
      <c r="DN1987" s="5" t="s">
        <v>238</v>
      </c>
      <c r="DO1987" s="5" t="s">
        <v>238</v>
      </c>
      <c r="DP1987" s="5" t="s">
        <v>238</v>
      </c>
      <c r="DQ1987" s="5" t="s">
        <v>238</v>
      </c>
      <c r="DT1987" s="5" t="s">
        <v>275</v>
      </c>
      <c r="DU1987" s="5" t="s">
        <v>1148</v>
      </c>
      <c r="HM1987" s="5" t="s">
        <v>264</v>
      </c>
    </row>
    <row r="1988" spans="1:221" x14ac:dyDescent="0.4">
      <c r="A1988" s="5">
        <v>3692</v>
      </c>
      <c r="B1988" s="5">
        <v>1</v>
      </c>
      <c r="C1988" s="5">
        <v>1</v>
      </c>
      <c r="D1988" s="5" t="s">
        <v>269</v>
      </c>
      <c r="E1988" s="5" t="s">
        <v>271</v>
      </c>
      <c r="F1988" s="5" t="s">
        <v>248</v>
      </c>
      <c r="G1988" s="5" t="s">
        <v>266</v>
      </c>
      <c r="H1988" s="6" t="s">
        <v>1145</v>
      </c>
      <c r="I1988" s="7">
        <f>1437</f>
        <v>1437</v>
      </c>
      <c r="J1988" s="5" t="s">
        <v>262</v>
      </c>
      <c r="K1988" s="8">
        <f>1</f>
        <v>1</v>
      </c>
      <c r="L1988" s="6" t="s">
        <v>242</v>
      </c>
      <c r="M1988" s="5" t="s">
        <v>267</v>
      </c>
      <c r="N1988" s="5" t="s">
        <v>265</v>
      </c>
      <c r="O1988" s="5" t="s">
        <v>238</v>
      </c>
      <c r="P1988" s="5" t="s">
        <v>238</v>
      </c>
      <c r="Q1988" s="5" t="s">
        <v>268</v>
      </c>
      <c r="R1988" s="5" t="s">
        <v>270</v>
      </c>
      <c r="S1988" s="5" t="s">
        <v>238</v>
      </c>
      <c r="V1988" s="5" t="s">
        <v>238</v>
      </c>
      <c r="X1988" s="6" t="s">
        <v>238</v>
      </c>
      <c r="AA1988" s="6" t="s">
        <v>243</v>
      </c>
      <c r="AB1988" s="5" t="s">
        <v>238</v>
      </c>
      <c r="AC1988" s="5" t="s">
        <v>244</v>
      </c>
      <c r="AD1988" s="5" t="s">
        <v>245</v>
      </c>
      <c r="AT1988" s="5" t="s">
        <v>246</v>
      </c>
      <c r="AU1988" s="5" t="s">
        <v>238</v>
      </c>
      <c r="AV1988" s="5" t="s">
        <v>247</v>
      </c>
      <c r="AW1988" s="5" t="s">
        <v>238</v>
      </c>
      <c r="AX1988" s="5" t="s">
        <v>249</v>
      </c>
      <c r="AY1988" s="5" t="s">
        <v>238</v>
      </c>
      <c r="BA1988" s="5" t="s">
        <v>238</v>
      </c>
      <c r="BC1988" s="5" t="s">
        <v>250</v>
      </c>
      <c r="BD1988" s="6" t="s">
        <v>243</v>
      </c>
      <c r="BE1988" s="5" t="s">
        <v>251</v>
      </c>
      <c r="BF1988" s="5" t="s">
        <v>252</v>
      </c>
      <c r="BG1988" s="5" t="s">
        <v>238</v>
      </c>
      <c r="BH1988" s="7">
        <f>0</f>
        <v>0</v>
      </c>
      <c r="BI1988" s="8">
        <f>0</f>
        <v>0</v>
      </c>
      <c r="BJ1988" s="5" t="s">
        <v>253</v>
      </c>
      <c r="BK1988" s="5" t="s">
        <v>254</v>
      </c>
      <c r="BY1988" s="5" t="s">
        <v>238</v>
      </c>
      <c r="BZ1988" s="5" t="s">
        <v>238</v>
      </c>
      <c r="CD1988" s="5" t="s">
        <v>273</v>
      </c>
      <c r="CE1988" s="5" t="s">
        <v>256</v>
      </c>
      <c r="CF1988" s="5" t="s">
        <v>238</v>
      </c>
      <c r="CI1988" s="6" t="s">
        <v>257</v>
      </c>
      <c r="CJ1988" s="5" t="s">
        <v>238</v>
      </c>
      <c r="CK1988" s="5" t="s">
        <v>258</v>
      </c>
      <c r="CL1988" s="5" t="s">
        <v>238</v>
      </c>
      <c r="CM1988" s="5" t="s">
        <v>238</v>
      </c>
      <c r="CN1988" s="5">
        <v>0</v>
      </c>
      <c r="CO1988" s="5" t="s">
        <v>259</v>
      </c>
      <c r="CP1988" s="5" t="s">
        <v>260</v>
      </c>
      <c r="CQ1988" s="5" t="s">
        <v>260</v>
      </c>
      <c r="CR1988" s="5" t="s">
        <v>261</v>
      </c>
      <c r="CU1988" s="8">
        <f>1</f>
        <v>1</v>
      </c>
      <c r="CV1988" s="8">
        <f>0</f>
        <v>0</v>
      </c>
      <c r="CX1988" s="8">
        <f>0</f>
        <v>0</v>
      </c>
      <c r="CY1988" s="8">
        <f>1</f>
        <v>1</v>
      </c>
      <c r="DA1988" s="5" t="s">
        <v>274</v>
      </c>
      <c r="DB1988" s="5" t="s">
        <v>238</v>
      </c>
      <c r="DD1988" s="5" t="s">
        <v>274</v>
      </c>
      <c r="DE1988" s="8">
        <f>1437</f>
        <v>1437</v>
      </c>
      <c r="DG1988" s="5" t="s">
        <v>238</v>
      </c>
      <c r="DH1988" s="5" t="s">
        <v>238</v>
      </c>
      <c r="DI1988" s="5" t="s">
        <v>238</v>
      </c>
      <c r="DJ1988" s="5" t="s">
        <v>238</v>
      </c>
      <c r="DN1988" s="5" t="s">
        <v>238</v>
      </c>
      <c r="DO1988" s="5" t="s">
        <v>238</v>
      </c>
      <c r="DP1988" s="5" t="s">
        <v>238</v>
      </c>
      <c r="DQ1988" s="5" t="s">
        <v>238</v>
      </c>
      <c r="DT1988" s="5" t="s">
        <v>275</v>
      </c>
      <c r="DU1988" s="5" t="s">
        <v>1146</v>
      </c>
      <c r="HM1988" s="5" t="s">
        <v>264</v>
      </c>
    </row>
    <row r="1989" spans="1:221" x14ac:dyDescent="0.4">
      <c r="A1989" s="5">
        <v>3693</v>
      </c>
      <c r="B1989" s="5">
        <v>1</v>
      </c>
      <c r="C1989" s="5">
        <v>1</v>
      </c>
      <c r="D1989" s="5" t="s">
        <v>269</v>
      </c>
      <c r="E1989" s="5" t="s">
        <v>271</v>
      </c>
      <c r="F1989" s="5" t="s">
        <v>248</v>
      </c>
      <c r="G1989" s="5" t="s">
        <v>266</v>
      </c>
      <c r="H1989" s="6" t="s">
        <v>1427</v>
      </c>
      <c r="I1989" s="7">
        <f>506</f>
        <v>506</v>
      </c>
      <c r="J1989" s="5" t="s">
        <v>262</v>
      </c>
      <c r="K1989" s="8">
        <f>1</f>
        <v>1</v>
      </c>
      <c r="L1989" s="6" t="s">
        <v>242</v>
      </c>
      <c r="M1989" s="5" t="s">
        <v>267</v>
      </c>
      <c r="N1989" s="5" t="s">
        <v>265</v>
      </c>
      <c r="O1989" s="5" t="s">
        <v>238</v>
      </c>
      <c r="P1989" s="5" t="s">
        <v>238</v>
      </c>
      <c r="Q1989" s="5" t="s">
        <v>268</v>
      </c>
      <c r="R1989" s="5" t="s">
        <v>270</v>
      </c>
      <c r="S1989" s="5" t="s">
        <v>238</v>
      </c>
      <c r="V1989" s="5" t="s">
        <v>238</v>
      </c>
      <c r="X1989" s="6" t="s">
        <v>238</v>
      </c>
      <c r="AA1989" s="6" t="s">
        <v>243</v>
      </c>
      <c r="AB1989" s="5" t="s">
        <v>238</v>
      </c>
      <c r="AC1989" s="5" t="s">
        <v>244</v>
      </c>
      <c r="AD1989" s="5" t="s">
        <v>245</v>
      </c>
      <c r="AT1989" s="5" t="s">
        <v>246</v>
      </c>
      <c r="AU1989" s="5" t="s">
        <v>238</v>
      </c>
      <c r="AV1989" s="5" t="s">
        <v>247</v>
      </c>
      <c r="AW1989" s="5" t="s">
        <v>238</v>
      </c>
      <c r="AX1989" s="5" t="s">
        <v>249</v>
      </c>
      <c r="AY1989" s="5" t="s">
        <v>238</v>
      </c>
      <c r="BA1989" s="5" t="s">
        <v>238</v>
      </c>
      <c r="BC1989" s="5" t="s">
        <v>250</v>
      </c>
      <c r="BD1989" s="6" t="s">
        <v>243</v>
      </c>
      <c r="BE1989" s="5" t="s">
        <v>251</v>
      </c>
      <c r="BF1989" s="5" t="s">
        <v>252</v>
      </c>
      <c r="BG1989" s="5" t="s">
        <v>238</v>
      </c>
      <c r="BH1989" s="7">
        <f>0</f>
        <v>0</v>
      </c>
      <c r="BI1989" s="8">
        <f>0</f>
        <v>0</v>
      </c>
      <c r="BJ1989" s="5" t="s">
        <v>253</v>
      </c>
      <c r="BK1989" s="5" t="s">
        <v>254</v>
      </c>
      <c r="BY1989" s="5" t="s">
        <v>238</v>
      </c>
      <c r="BZ1989" s="5" t="s">
        <v>238</v>
      </c>
      <c r="CD1989" s="5" t="s">
        <v>273</v>
      </c>
      <c r="CE1989" s="5" t="s">
        <v>256</v>
      </c>
      <c r="CF1989" s="5" t="s">
        <v>238</v>
      </c>
      <c r="CI1989" s="6" t="s">
        <v>257</v>
      </c>
      <c r="CJ1989" s="5" t="s">
        <v>238</v>
      </c>
      <c r="CK1989" s="5" t="s">
        <v>258</v>
      </c>
      <c r="CL1989" s="5" t="s">
        <v>238</v>
      </c>
      <c r="CM1989" s="5" t="s">
        <v>238</v>
      </c>
      <c r="CN1989" s="5">
        <v>0</v>
      </c>
      <c r="CO1989" s="5" t="s">
        <v>259</v>
      </c>
      <c r="CP1989" s="5" t="s">
        <v>260</v>
      </c>
      <c r="CQ1989" s="5" t="s">
        <v>260</v>
      </c>
      <c r="CR1989" s="5" t="s">
        <v>261</v>
      </c>
      <c r="CU1989" s="8">
        <f>1</f>
        <v>1</v>
      </c>
      <c r="CV1989" s="8">
        <f>0</f>
        <v>0</v>
      </c>
      <c r="CX1989" s="8">
        <f>0</f>
        <v>0</v>
      </c>
      <c r="CY1989" s="8">
        <f>1</f>
        <v>1</v>
      </c>
      <c r="DA1989" s="5" t="s">
        <v>274</v>
      </c>
      <c r="DB1989" s="5" t="s">
        <v>238</v>
      </c>
      <c r="DD1989" s="5" t="s">
        <v>274</v>
      </c>
      <c r="DE1989" s="8">
        <f>506</f>
        <v>506</v>
      </c>
      <c r="DG1989" s="5" t="s">
        <v>238</v>
      </c>
      <c r="DH1989" s="5" t="s">
        <v>238</v>
      </c>
      <c r="DI1989" s="5" t="s">
        <v>238</v>
      </c>
      <c r="DJ1989" s="5" t="s">
        <v>238</v>
      </c>
      <c r="DN1989" s="5" t="s">
        <v>238</v>
      </c>
      <c r="DO1989" s="5" t="s">
        <v>238</v>
      </c>
      <c r="DP1989" s="5" t="s">
        <v>238</v>
      </c>
      <c r="DQ1989" s="5" t="s">
        <v>238</v>
      </c>
      <c r="DT1989" s="5" t="s">
        <v>275</v>
      </c>
      <c r="DU1989" s="5" t="s">
        <v>1428</v>
      </c>
      <c r="HM1989" s="5" t="s">
        <v>264</v>
      </c>
    </row>
    <row r="1990" spans="1:221" x14ac:dyDescent="0.4">
      <c r="A1990" s="5">
        <v>3694</v>
      </c>
      <c r="B1990" s="5">
        <v>1</v>
      </c>
      <c r="C1990" s="5">
        <v>1</v>
      </c>
      <c r="D1990" s="5" t="s">
        <v>269</v>
      </c>
      <c r="E1990" s="5" t="s">
        <v>271</v>
      </c>
      <c r="F1990" s="5" t="s">
        <v>248</v>
      </c>
      <c r="G1990" s="5" t="s">
        <v>266</v>
      </c>
      <c r="H1990" s="6" t="s">
        <v>1141</v>
      </c>
      <c r="I1990" s="7">
        <f>164</f>
        <v>164</v>
      </c>
      <c r="J1990" s="5" t="s">
        <v>262</v>
      </c>
      <c r="K1990" s="8">
        <f>1</f>
        <v>1</v>
      </c>
      <c r="L1990" s="6" t="s">
        <v>242</v>
      </c>
      <c r="M1990" s="5" t="s">
        <v>267</v>
      </c>
      <c r="N1990" s="5" t="s">
        <v>265</v>
      </c>
      <c r="O1990" s="5" t="s">
        <v>238</v>
      </c>
      <c r="P1990" s="5" t="s">
        <v>238</v>
      </c>
      <c r="Q1990" s="5" t="s">
        <v>268</v>
      </c>
      <c r="R1990" s="5" t="s">
        <v>270</v>
      </c>
      <c r="S1990" s="5" t="s">
        <v>238</v>
      </c>
      <c r="V1990" s="5" t="s">
        <v>238</v>
      </c>
      <c r="X1990" s="6" t="s">
        <v>238</v>
      </c>
      <c r="AA1990" s="6" t="s">
        <v>243</v>
      </c>
      <c r="AB1990" s="5" t="s">
        <v>238</v>
      </c>
      <c r="AC1990" s="5" t="s">
        <v>244</v>
      </c>
      <c r="AD1990" s="5" t="s">
        <v>245</v>
      </c>
      <c r="AT1990" s="5" t="s">
        <v>246</v>
      </c>
      <c r="AU1990" s="5" t="s">
        <v>238</v>
      </c>
      <c r="AV1990" s="5" t="s">
        <v>247</v>
      </c>
      <c r="AW1990" s="5" t="s">
        <v>238</v>
      </c>
      <c r="AX1990" s="5" t="s">
        <v>249</v>
      </c>
      <c r="AY1990" s="5" t="s">
        <v>238</v>
      </c>
      <c r="BA1990" s="5" t="s">
        <v>238</v>
      </c>
      <c r="BC1990" s="5" t="s">
        <v>250</v>
      </c>
      <c r="BD1990" s="6" t="s">
        <v>243</v>
      </c>
      <c r="BE1990" s="5" t="s">
        <v>251</v>
      </c>
      <c r="BF1990" s="5" t="s">
        <v>252</v>
      </c>
      <c r="BG1990" s="5" t="s">
        <v>238</v>
      </c>
      <c r="BH1990" s="7">
        <f>0</f>
        <v>0</v>
      </c>
      <c r="BI1990" s="8">
        <f>0</f>
        <v>0</v>
      </c>
      <c r="BJ1990" s="5" t="s">
        <v>253</v>
      </c>
      <c r="BK1990" s="5" t="s">
        <v>254</v>
      </c>
      <c r="BY1990" s="5" t="s">
        <v>238</v>
      </c>
      <c r="BZ1990" s="5" t="s">
        <v>238</v>
      </c>
      <c r="CD1990" s="5" t="s">
        <v>273</v>
      </c>
      <c r="CE1990" s="5" t="s">
        <v>256</v>
      </c>
      <c r="CF1990" s="5" t="s">
        <v>238</v>
      </c>
      <c r="CI1990" s="6" t="s">
        <v>257</v>
      </c>
      <c r="CJ1990" s="5" t="s">
        <v>238</v>
      </c>
      <c r="CK1990" s="5" t="s">
        <v>258</v>
      </c>
      <c r="CL1990" s="5" t="s">
        <v>238</v>
      </c>
      <c r="CM1990" s="5" t="s">
        <v>238</v>
      </c>
      <c r="CN1990" s="5">
        <v>0</v>
      </c>
      <c r="CO1990" s="5" t="s">
        <v>259</v>
      </c>
      <c r="CP1990" s="5" t="s">
        <v>260</v>
      </c>
      <c r="CQ1990" s="5" t="s">
        <v>260</v>
      </c>
      <c r="CR1990" s="5" t="s">
        <v>261</v>
      </c>
      <c r="CU1990" s="8">
        <f>1</f>
        <v>1</v>
      </c>
      <c r="CV1990" s="8">
        <f>0</f>
        <v>0</v>
      </c>
      <c r="CX1990" s="8">
        <f>0</f>
        <v>0</v>
      </c>
      <c r="CY1990" s="8">
        <f>1</f>
        <v>1</v>
      </c>
      <c r="DA1990" s="5" t="s">
        <v>274</v>
      </c>
      <c r="DB1990" s="5" t="s">
        <v>238</v>
      </c>
      <c r="DD1990" s="5" t="s">
        <v>274</v>
      </c>
      <c r="DE1990" s="8">
        <f>164</f>
        <v>164</v>
      </c>
      <c r="DG1990" s="5" t="s">
        <v>238</v>
      </c>
      <c r="DH1990" s="5" t="s">
        <v>238</v>
      </c>
      <c r="DI1990" s="5" t="s">
        <v>238</v>
      </c>
      <c r="DJ1990" s="5" t="s">
        <v>238</v>
      </c>
      <c r="DN1990" s="5" t="s">
        <v>238</v>
      </c>
      <c r="DO1990" s="5" t="s">
        <v>238</v>
      </c>
      <c r="DP1990" s="5" t="s">
        <v>238</v>
      </c>
      <c r="DQ1990" s="5" t="s">
        <v>238</v>
      </c>
      <c r="DT1990" s="5" t="s">
        <v>275</v>
      </c>
      <c r="DU1990" s="5" t="s">
        <v>1142</v>
      </c>
      <c r="HM1990" s="5" t="s">
        <v>264</v>
      </c>
    </row>
    <row r="1991" spans="1:221" x14ac:dyDescent="0.4">
      <c r="A1991" s="5">
        <v>3695</v>
      </c>
      <c r="B1991" s="5">
        <v>1</v>
      </c>
      <c r="C1991" s="5">
        <v>1</v>
      </c>
      <c r="D1991" s="5" t="s">
        <v>269</v>
      </c>
      <c r="E1991" s="5" t="s">
        <v>271</v>
      </c>
      <c r="F1991" s="5" t="s">
        <v>248</v>
      </c>
      <c r="G1991" s="5" t="s">
        <v>266</v>
      </c>
      <c r="H1991" s="6" t="s">
        <v>1138</v>
      </c>
      <c r="I1991" s="7">
        <f>1256</f>
        <v>1256</v>
      </c>
      <c r="J1991" s="5" t="s">
        <v>262</v>
      </c>
      <c r="K1991" s="8">
        <f>1</f>
        <v>1</v>
      </c>
      <c r="L1991" s="6" t="s">
        <v>242</v>
      </c>
      <c r="M1991" s="5" t="s">
        <v>267</v>
      </c>
      <c r="N1991" s="5" t="s">
        <v>265</v>
      </c>
      <c r="O1991" s="5" t="s">
        <v>238</v>
      </c>
      <c r="P1991" s="5" t="s">
        <v>238</v>
      </c>
      <c r="Q1991" s="5" t="s">
        <v>268</v>
      </c>
      <c r="R1991" s="5" t="s">
        <v>270</v>
      </c>
      <c r="S1991" s="5" t="s">
        <v>238</v>
      </c>
      <c r="V1991" s="5" t="s">
        <v>238</v>
      </c>
      <c r="X1991" s="6" t="s">
        <v>238</v>
      </c>
      <c r="AA1991" s="6" t="s">
        <v>243</v>
      </c>
      <c r="AB1991" s="5" t="s">
        <v>238</v>
      </c>
      <c r="AC1991" s="5" t="s">
        <v>244</v>
      </c>
      <c r="AD1991" s="5" t="s">
        <v>245</v>
      </c>
      <c r="AT1991" s="5" t="s">
        <v>246</v>
      </c>
      <c r="AU1991" s="5" t="s">
        <v>238</v>
      </c>
      <c r="AV1991" s="5" t="s">
        <v>247</v>
      </c>
      <c r="AW1991" s="5" t="s">
        <v>238</v>
      </c>
      <c r="AX1991" s="5" t="s">
        <v>249</v>
      </c>
      <c r="AY1991" s="5" t="s">
        <v>238</v>
      </c>
      <c r="BA1991" s="5" t="s">
        <v>238</v>
      </c>
      <c r="BC1991" s="5" t="s">
        <v>250</v>
      </c>
      <c r="BD1991" s="6" t="s">
        <v>243</v>
      </c>
      <c r="BE1991" s="5" t="s">
        <v>251</v>
      </c>
      <c r="BF1991" s="5" t="s">
        <v>252</v>
      </c>
      <c r="BG1991" s="5" t="s">
        <v>238</v>
      </c>
      <c r="BH1991" s="7">
        <f>0</f>
        <v>0</v>
      </c>
      <c r="BI1991" s="8">
        <f>0</f>
        <v>0</v>
      </c>
      <c r="BJ1991" s="5" t="s">
        <v>253</v>
      </c>
      <c r="BK1991" s="5" t="s">
        <v>254</v>
      </c>
      <c r="BY1991" s="5" t="s">
        <v>238</v>
      </c>
      <c r="BZ1991" s="5" t="s">
        <v>238</v>
      </c>
      <c r="CD1991" s="5" t="s">
        <v>273</v>
      </c>
      <c r="CE1991" s="5" t="s">
        <v>256</v>
      </c>
      <c r="CF1991" s="5" t="s">
        <v>238</v>
      </c>
      <c r="CI1991" s="6" t="s">
        <v>257</v>
      </c>
      <c r="CJ1991" s="5" t="s">
        <v>238</v>
      </c>
      <c r="CK1991" s="5" t="s">
        <v>258</v>
      </c>
      <c r="CL1991" s="5" t="s">
        <v>238</v>
      </c>
      <c r="CM1991" s="5" t="s">
        <v>238</v>
      </c>
      <c r="CN1991" s="5">
        <v>0</v>
      </c>
      <c r="CO1991" s="5" t="s">
        <v>259</v>
      </c>
      <c r="CP1991" s="5" t="s">
        <v>260</v>
      </c>
      <c r="CQ1991" s="5" t="s">
        <v>260</v>
      </c>
      <c r="CR1991" s="5" t="s">
        <v>261</v>
      </c>
      <c r="CU1991" s="8">
        <f>1</f>
        <v>1</v>
      </c>
      <c r="CV1991" s="8">
        <f>0</f>
        <v>0</v>
      </c>
      <c r="CX1991" s="8">
        <f>0</f>
        <v>0</v>
      </c>
      <c r="CY1991" s="8">
        <f>1</f>
        <v>1</v>
      </c>
      <c r="DA1991" s="5" t="s">
        <v>274</v>
      </c>
      <c r="DB1991" s="5" t="s">
        <v>238</v>
      </c>
      <c r="DD1991" s="5" t="s">
        <v>274</v>
      </c>
      <c r="DE1991" s="8">
        <f>1256</f>
        <v>1256</v>
      </c>
      <c r="DG1991" s="5" t="s">
        <v>238</v>
      </c>
      <c r="DH1991" s="5" t="s">
        <v>238</v>
      </c>
      <c r="DI1991" s="5" t="s">
        <v>238</v>
      </c>
      <c r="DJ1991" s="5" t="s">
        <v>238</v>
      </c>
      <c r="DN1991" s="5" t="s">
        <v>238</v>
      </c>
      <c r="DO1991" s="5" t="s">
        <v>238</v>
      </c>
      <c r="DP1991" s="5" t="s">
        <v>238</v>
      </c>
      <c r="DQ1991" s="5" t="s">
        <v>238</v>
      </c>
      <c r="DT1991" s="5" t="s">
        <v>275</v>
      </c>
      <c r="DU1991" s="5" t="s">
        <v>390</v>
      </c>
      <c r="HM1991" s="5" t="s">
        <v>264</v>
      </c>
    </row>
    <row r="1992" spans="1:221" x14ac:dyDescent="0.4">
      <c r="A1992" s="5">
        <v>3696</v>
      </c>
      <c r="B1992" s="5">
        <v>1</v>
      </c>
      <c r="C1992" s="5">
        <v>1</v>
      </c>
      <c r="D1992" s="5" t="s">
        <v>269</v>
      </c>
      <c r="E1992" s="5" t="s">
        <v>271</v>
      </c>
      <c r="F1992" s="5" t="s">
        <v>248</v>
      </c>
      <c r="G1992" s="5" t="s">
        <v>266</v>
      </c>
      <c r="H1992" s="6" t="s">
        <v>1136</v>
      </c>
      <c r="I1992" s="7">
        <f>413</f>
        <v>413</v>
      </c>
      <c r="J1992" s="5" t="s">
        <v>262</v>
      </c>
      <c r="K1992" s="8">
        <f>1</f>
        <v>1</v>
      </c>
      <c r="L1992" s="6" t="s">
        <v>242</v>
      </c>
      <c r="M1992" s="5" t="s">
        <v>267</v>
      </c>
      <c r="N1992" s="5" t="s">
        <v>265</v>
      </c>
      <c r="O1992" s="5" t="s">
        <v>238</v>
      </c>
      <c r="P1992" s="5" t="s">
        <v>238</v>
      </c>
      <c r="Q1992" s="5" t="s">
        <v>268</v>
      </c>
      <c r="R1992" s="5" t="s">
        <v>270</v>
      </c>
      <c r="S1992" s="5" t="s">
        <v>238</v>
      </c>
      <c r="V1992" s="5" t="s">
        <v>238</v>
      </c>
      <c r="X1992" s="6" t="s">
        <v>238</v>
      </c>
      <c r="AA1992" s="6" t="s">
        <v>243</v>
      </c>
      <c r="AB1992" s="5" t="s">
        <v>238</v>
      </c>
      <c r="AC1992" s="5" t="s">
        <v>244</v>
      </c>
      <c r="AD1992" s="5" t="s">
        <v>245</v>
      </c>
      <c r="AT1992" s="5" t="s">
        <v>246</v>
      </c>
      <c r="AU1992" s="5" t="s">
        <v>238</v>
      </c>
      <c r="AV1992" s="5" t="s">
        <v>247</v>
      </c>
      <c r="AW1992" s="5" t="s">
        <v>238</v>
      </c>
      <c r="AX1992" s="5" t="s">
        <v>249</v>
      </c>
      <c r="AY1992" s="5" t="s">
        <v>238</v>
      </c>
      <c r="BA1992" s="5" t="s">
        <v>238</v>
      </c>
      <c r="BC1992" s="5" t="s">
        <v>250</v>
      </c>
      <c r="BD1992" s="6" t="s">
        <v>243</v>
      </c>
      <c r="BE1992" s="5" t="s">
        <v>251</v>
      </c>
      <c r="BF1992" s="5" t="s">
        <v>252</v>
      </c>
      <c r="BG1992" s="5" t="s">
        <v>238</v>
      </c>
      <c r="BH1992" s="7">
        <f>0</f>
        <v>0</v>
      </c>
      <c r="BI1992" s="8">
        <f>0</f>
        <v>0</v>
      </c>
      <c r="BJ1992" s="5" t="s">
        <v>253</v>
      </c>
      <c r="BK1992" s="5" t="s">
        <v>254</v>
      </c>
      <c r="BY1992" s="5" t="s">
        <v>238</v>
      </c>
      <c r="BZ1992" s="5" t="s">
        <v>238</v>
      </c>
      <c r="CD1992" s="5" t="s">
        <v>273</v>
      </c>
      <c r="CE1992" s="5" t="s">
        <v>256</v>
      </c>
      <c r="CF1992" s="5" t="s">
        <v>238</v>
      </c>
      <c r="CI1992" s="6" t="s">
        <v>257</v>
      </c>
      <c r="CJ1992" s="5" t="s">
        <v>238</v>
      </c>
      <c r="CK1992" s="5" t="s">
        <v>258</v>
      </c>
      <c r="CL1992" s="5" t="s">
        <v>238</v>
      </c>
      <c r="CM1992" s="5" t="s">
        <v>238</v>
      </c>
      <c r="CN1992" s="5">
        <v>0</v>
      </c>
      <c r="CO1992" s="5" t="s">
        <v>259</v>
      </c>
      <c r="CP1992" s="5" t="s">
        <v>260</v>
      </c>
      <c r="CQ1992" s="5" t="s">
        <v>260</v>
      </c>
      <c r="CR1992" s="5" t="s">
        <v>261</v>
      </c>
      <c r="CU1992" s="8">
        <f>1</f>
        <v>1</v>
      </c>
      <c r="CV1992" s="8">
        <f>0</f>
        <v>0</v>
      </c>
      <c r="CX1992" s="8">
        <f>0</f>
        <v>0</v>
      </c>
      <c r="CY1992" s="8">
        <f>1</f>
        <v>1</v>
      </c>
      <c r="DA1992" s="5" t="s">
        <v>274</v>
      </c>
      <c r="DB1992" s="5" t="s">
        <v>238</v>
      </c>
      <c r="DD1992" s="5" t="s">
        <v>274</v>
      </c>
      <c r="DE1992" s="8">
        <f>413</f>
        <v>413</v>
      </c>
      <c r="DG1992" s="5" t="s">
        <v>238</v>
      </c>
      <c r="DH1992" s="5" t="s">
        <v>238</v>
      </c>
      <c r="DI1992" s="5" t="s">
        <v>238</v>
      </c>
      <c r="DJ1992" s="5" t="s">
        <v>238</v>
      </c>
      <c r="DN1992" s="5" t="s">
        <v>238</v>
      </c>
      <c r="DO1992" s="5" t="s">
        <v>238</v>
      </c>
      <c r="DP1992" s="5" t="s">
        <v>238</v>
      </c>
      <c r="DQ1992" s="5" t="s">
        <v>238</v>
      </c>
      <c r="DT1992" s="5" t="s">
        <v>275</v>
      </c>
      <c r="DU1992" s="5" t="s">
        <v>1137</v>
      </c>
      <c r="HM1992" s="5" t="s">
        <v>264</v>
      </c>
    </row>
    <row r="1993" spans="1:221" x14ac:dyDescent="0.4">
      <c r="A1993" s="5">
        <v>3697</v>
      </c>
      <c r="B1993" s="5">
        <v>1</v>
      </c>
      <c r="C1993" s="5">
        <v>1</v>
      </c>
      <c r="D1993" s="5" t="s">
        <v>269</v>
      </c>
      <c r="E1993" s="5" t="s">
        <v>271</v>
      </c>
      <c r="F1993" s="5" t="s">
        <v>248</v>
      </c>
      <c r="G1993" s="5" t="s">
        <v>266</v>
      </c>
      <c r="H1993" s="6" t="s">
        <v>1134</v>
      </c>
      <c r="I1993" s="7">
        <f>762</f>
        <v>762</v>
      </c>
      <c r="J1993" s="5" t="s">
        <v>262</v>
      </c>
      <c r="K1993" s="8">
        <f>1</f>
        <v>1</v>
      </c>
      <c r="L1993" s="6" t="s">
        <v>242</v>
      </c>
      <c r="M1993" s="5" t="s">
        <v>267</v>
      </c>
      <c r="N1993" s="5" t="s">
        <v>265</v>
      </c>
      <c r="O1993" s="5" t="s">
        <v>238</v>
      </c>
      <c r="P1993" s="5" t="s">
        <v>238</v>
      </c>
      <c r="Q1993" s="5" t="s">
        <v>268</v>
      </c>
      <c r="R1993" s="5" t="s">
        <v>270</v>
      </c>
      <c r="S1993" s="5" t="s">
        <v>238</v>
      </c>
      <c r="V1993" s="5" t="s">
        <v>238</v>
      </c>
      <c r="X1993" s="6" t="s">
        <v>238</v>
      </c>
      <c r="AA1993" s="6" t="s">
        <v>243</v>
      </c>
      <c r="AB1993" s="5" t="s">
        <v>238</v>
      </c>
      <c r="AC1993" s="5" t="s">
        <v>244</v>
      </c>
      <c r="AD1993" s="5" t="s">
        <v>245</v>
      </c>
      <c r="AT1993" s="5" t="s">
        <v>246</v>
      </c>
      <c r="AU1993" s="5" t="s">
        <v>238</v>
      </c>
      <c r="AV1993" s="5" t="s">
        <v>247</v>
      </c>
      <c r="AW1993" s="5" t="s">
        <v>238</v>
      </c>
      <c r="AX1993" s="5" t="s">
        <v>249</v>
      </c>
      <c r="AY1993" s="5" t="s">
        <v>238</v>
      </c>
      <c r="BA1993" s="5" t="s">
        <v>238</v>
      </c>
      <c r="BC1993" s="5" t="s">
        <v>250</v>
      </c>
      <c r="BD1993" s="6" t="s">
        <v>243</v>
      </c>
      <c r="BE1993" s="5" t="s">
        <v>251</v>
      </c>
      <c r="BF1993" s="5" t="s">
        <v>252</v>
      </c>
      <c r="BG1993" s="5" t="s">
        <v>238</v>
      </c>
      <c r="BH1993" s="7">
        <f>0</f>
        <v>0</v>
      </c>
      <c r="BI1993" s="8">
        <f>0</f>
        <v>0</v>
      </c>
      <c r="BJ1993" s="5" t="s">
        <v>253</v>
      </c>
      <c r="BK1993" s="5" t="s">
        <v>254</v>
      </c>
      <c r="BY1993" s="5" t="s">
        <v>238</v>
      </c>
      <c r="BZ1993" s="5" t="s">
        <v>238</v>
      </c>
      <c r="CD1993" s="5" t="s">
        <v>273</v>
      </c>
      <c r="CE1993" s="5" t="s">
        <v>256</v>
      </c>
      <c r="CF1993" s="5" t="s">
        <v>238</v>
      </c>
      <c r="CI1993" s="6" t="s">
        <v>257</v>
      </c>
      <c r="CJ1993" s="5" t="s">
        <v>238</v>
      </c>
      <c r="CK1993" s="5" t="s">
        <v>258</v>
      </c>
      <c r="CL1993" s="5" t="s">
        <v>238</v>
      </c>
      <c r="CM1993" s="5" t="s">
        <v>238</v>
      </c>
      <c r="CN1993" s="5">
        <v>0</v>
      </c>
      <c r="CO1993" s="5" t="s">
        <v>259</v>
      </c>
      <c r="CP1993" s="5" t="s">
        <v>260</v>
      </c>
      <c r="CQ1993" s="5" t="s">
        <v>260</v>
      </c>
      <c r="CR1993" s="5" t="s">
        <v>261</v>
      </c>
      <c r="CU1993" s="8">
        <f>1</f>
        <v>1</v>
      </c>
      <c r="CV1993" s="8">
        <f>0</f>
        <v>0</v>
      </c>
      <c r="CX1993" s="8">
        <f>0</f>
        <v>0</v>
      </c>
      <c r="CY1993" s="8">
        <f>1</f>
        <v>1</v>
      </c>
      <c r="DA1993" s="5" t="s">
        <v>274</v>
      </c>
      <c r="DB1993" s="5" t="s">
        <v>238</v>
      </c>
      <c r="DD1993" s="5" t="s">
        <v>274</v>
      </c>
      <c r="DE1993" s="8">
        <f>762</f>
        <v>762</v>
      </c>
      <c r="DG1993" s="5" t="s">
        <v>238</v>
      </c>
      <c r="DH1993" s="5" t="s">
        <v>238</v>
      </c>
      <c r="DI1993" s="5" t="s">
        <v>238</v>
      </c>
      <c r="DJ1993" s="5" t="s">
        <v>238</v>
      </c>
      <c r="DN1993" s="5" t="s">
        <v>238</v>
      </c>
      <c r="DO1993" s="5" t="s">
        <v>238</v>
      </c>
      <c r="DP1993" s="5" t="s">
        <v>238</v>
      </c>
      <c r="DQ1993" s="5" t="s">
        <v>238</v>
      </c>
      <c r="DT1993" s="5" t="s">
        <v>275</v>
      </c>
      <c r="DU1993" s="5" t="s">
        <v>1135</v>
      </c>
      <c r="HM1993" s="5" t="s">
        <v>264</v>
      </c>
    </row>
    <row r="1994" spans="1:221" x14ac:dyDescent="0.4">
      <c r="A1994" s="5">
        <v>3698</v>
      </c>
      <c r="B1994" s="5">
        <v>1</v>
      </c>
      <c r="C1994" s="5">
        <v>1</v>
      </c>
      <c r="D1994" s="5" t="s">
        <v>269</v>
      </c>
      <c r="E1994" s="5" t="s">
        <v>271</v>
      </c>
      <c r="F1994" s="5" t="s">
        <v>248</v>
      </c>
      <c r="G1994" s="5" t="s">
        <v>266</v>
      </c>
      <c r="H1994" s="6" t="s">
        <v>1131</v>
      </c>
      <c r="I1994" s="7">
        <f>1215</f>
        <v>1215</v>
      </c>
      <c r="J1994" s="5" t="s">
        <v>262</v>
      </c>
      <c r="K1994" s="8">
        <f>1</f>
        <v>1</v>
      </c>
      <c r="L1994" s="6" t="s">
        <v>242</v>
      </c>
      <c r="M1994" s="5" t="s">
        <v>267</v>
      </c>
      <c r="N1994" s="5" t="s">
        <v>265</v>
      </c>
      <c r="O1994" s="5" t="s">
        <v>238</v>
      </c>
      <c r="P1994" s="5" t="s">
        <v>238</v>
      </c>
      <c r="Q1994" s="5" t="s">
        <v>268</v>
      </c>
      <c r="R1994" s="5" t="s">
        <v>270</v>
      </c>
      <c r="S1994" s="5" t="s">
        <v>238</v>
      </c>
      <c r="V1994" s="5" t="s">
        <v>238</v>
      </c>
      <c r="X1994" s="6" t="s">
        <v>238</v>
      </c>
      <c r="AA1994" s="6" t="s">
        <v>243</v>
      </c>
      <c r="AB1994" s="5" t="s">
        <v>238</v>
      </c>
      <c r="AC1994" s="5" t="s">
        <v>244</v>
      </c>
      <c r="AD1994" s="5" t="s">
        <v>245</v>
      </c>
      <c r="AT1994" s="5" t="s">
        <v>246</v>
      </c>
      <c r="AU1994" s="5" t="s">
        <v>238</v>
      </c>
      <c r="AV1994" s="5" t="s">
        <v>247</v>
      </c>
      <c r="AW1994" s="5" t="s">
        <v>238</v>
      </c>
      <c r="AX1994" s="5" t="s">
        <v>249</v>
      </c>
      <c r="AY1994" s="5" t="s">
        <v>238</v>
      </c>
      <c r="BA1994" s="5" t="s">
        <v>238</v>
      </c>
      <c r="BC1994" s="5" t="s">
        <v>250</v>
      </c>
      <c r="BD1994" s="6" t="s">
        <v>243</v>
      </c>
      <c r="BE1994" s="5" t="s">
        <v>251</v>
      </c>
      <c r="BF1994" s="5" t="s">
        <v>252</v>
      </c>
      <c r="BG1994" s="5" t="s">
        <v>238</v>
      </c>
      <c r="BH1994" s="7">
        <f>0</f>
        <v>0</v>
      </c>
      <c r="BI1994" s="8">
        <f>0</f>
        <v>0</v>
      </c>
      <c r="BJ1994" s="5" t="s">
        <v>253</v>
      </c>
      <c r="BK1994" s="5" t="s">
        <v>254</v>
      </c>
      <c r="BY1994" s="5" t="s">
        <v>238</v>
      </c>
      <c r="BZ1994" s="5" t="s">
        <v>238</v>
      </c>
      <c r="CD1994" s="5" t="s">
        <v>273</v>
      </c>
      <c r="CE1994" s="5" t="s">
        <v>256</v>
      </c>
      <c r="CF1994" s="5" t="s">
        <v>238</v>
      </c>
      <c r="CI1994" s="6" t="s">
        <v>257</v>
      </c>
      <c r="CJ1994" s="5" t="s">
        <v>238</v>
      </c>
      <c r="CK1994" s="5" t="s">
        <v>258</v>
      </c>
      <c r="CL1994" s="5" t="s">
        <v>238</v>
      </c>
      <c r="CM1994" s="5" t="s">
        <v>238</v>
      </c>
      <c r="CN1994" s="5">
        <v>0</v>
      </c>
      <c r="CO1994" s="5" t="s">
        <v>259</v>
      </c>
      <c r="CP1994" s="5" t="s">
        <v>260</v>
      </c>
      <c r="CQ1994" s="5" t="s">
        <v>260</v>
      </c>
      <c r="CR1994" s="5" t="s">
        <v>261</v>
      </c>
      <c r="CU1994" s="8">
        <f>1</f>
        <v>1</v>
      </c>
      <c r="CV1994" s="8">
        <f>0</f>
        <v>0</v>
      </c>
      <c r="CX1994" s="8">
        <f>0</f>
        <v>0</v>
      </c>
      <c r="CY1994" s="8">
        <f>1</f>
        <v>1</v>
      </c>
      <c r="DA1994" s="5" t="s">
        <v>274</v>
      </c>
      <c r="DB1994" s="5" t="s">
        <v>238</v>
      </c>
      <c r="DD1994" s="5" t="s">
        <v>274</v>
      </c>
      <c r="DE1994" s="8">
        <f>1215</f>
        <v>1215</v>
      </c>
      <c r="DG1994" s="5" t="s">
        <v>238</v>
      </c>
      <c r="DH1994" s="5" t="s">
        <v>238</v>
      </c>
      <c r="DI1994" s="5" t="s">
        <v>238</v>
      </c>
      <c r="DJ1994" s="5" t="s">
        <v>238</v>
      </c>
      <c r="DN1994" s="5" t="s">
        <v>238</v>
      </c>
      <c r="DO1994" s="5" t="s">
        <v>238</v>
      </c>
      <c r="DP1994" s="5" t="s">
        <v>238</v>
      </c>
      <c r="DQ1994" s="5" t="s">
        <v>238</v>
      </c>
      <c r="DT1994" s="5" t="s">
        <v>275</v>
      </c>
      <c r="DU1994" s="5" t="s">
        <v>422</v>
      </c>
      <c r="HM1994" s="5" t="s">
        <v>264</v>
      </c>
    </row>
    <row r="1995" spans="1:221" x14ac:dyDescent="0.4">
      <c r="A1995" s="5">
        <v>3699</v>
      </c>
      <c r="B1995" s="5">
        <v>1</v>
      </c>
      <c r="C1995" s="5">
        <v>1</v>
      </c>
      <c r="D1995" s="5" t="s">
        <v>269</v>
      </c>
      <c r="E1995" s="5" t="s">
        <v>271</v>
      </c>
      <c r="F1995" s="5" t="s">
        <v>248</v>
      </c>
      <c r="G1995" s="5" t="s">
        <v>266</v>
      </c>
      <c r="H1995" s="6" t="s">
        <v>1127</v>
      </c>
      <c r="I1995" s="7">
        <f>892</f>
        <v>892</v>
      </c>
      <c r="J1995" s="5" t="s">
        <v>262</v>
      </c>
      <c r="K1995" s="8">
        <f>1</f>
        <v>1</v>
      </c>
      <c r="L1995" s="6" t="s">
        <v>242</v>
      </c>
      <c r="M1995" s="5" t="s">
        <v>267</v>
      </c>
      <c r="N1995" s="5" t="s">
        <v>265</v>
      </c>
      <c r="O1995" s="5" t="s">
        <v>238</v>
      </c>
      <c r="P1995" s="5" t="s">
        <v>238</v>
      </c>
      <c r="Q1995" s="5" t="s">
        <v>268</v>
      </c>
      <c r="R1995" s="5" t="s">
        <v>270</v>
      </c>
      <c r="S1995" s="5" t="s">
        <v>238</v>
      </c>
      <c r="V1995" s="5" t="s">
        <v>238</v>
      </c>
      <c r="X1995" s="6" t="s">
        <v>238</v>
      </c>
      <c r="AA1995" s="6" t="s">
        <v>243</v>
      </c>
      <c r="AB1995" s="5" t="s">
        <v>238</v>
      </c>
      <c r="AC1995" s="5" t="s">
        <v>244</v>
      </c>
      <c r="AD1995" s="5" t="s">
        <v>245</v>
      </c>
      <c r="AT1995" s="5" t="s">
        <v>246</v>
      </c>
      <c r="AU1995" s="5" t="s">
        <v>238</v>
      </c>
      <c r="AV1995" s="5" t="s">
        <v>247</v>
      </c>
      <c r="AW1995" s="5" t="s">
        <v>238</v>
      </c>
      <c r="AX1995" s="5" t="s">
        <v>249</v>
      </c>
      <c r="AY1995" s="5" t="s">
        <v>238</v>
      </c>
      <c r="BA1995" s="5" t="s">
        <v>238</v>
      </c>
      <c r="BC1995" s="5" t="s">
        <v>250</v>
      </c>
      <c r="BD1995" s="6" t="s">
        <v>243</v>
      </c>
      <c r="BE1995" s="5" t="s">
        <v>251</v>
      </c>
      <c r="BF1995" s="5" t="s">
        <v>252</v>
      </c>
      <c r="BG1995" s="5" t="s">
        <v>238</v>
      </c>
      <c r="BH1995" s="7">
        <f>0</f>
        <v>0</v>
      </c>
      <c r="BI1995" s="8">
        <f>0</f>
        <v>0</v>
      </c>
      <c r="BJ1995" s="5" t="s">
        <v>253</v>
      </c>
      <c r="BK1995" s="5" t="s">
        <v>254</v>
      </c>
      <c r="BY1995" s="5" t="s">
        <v>238</v>
      </c>
      <c r="BZ1995" s="5" t="s">
        <v>238</v>
      </c>
      <c r="CD1995" s="5" t="s">
        <v>273</v>
      </c>
      <c r="CE1995" s="5" t="s">
        <v>256</v>
      </c>
      <c r="CF1995" s="5" t="s">
        <v>238</v>
      </c>
      <c r="CI1995" s="6" t="s">
        <v>257</v>
      </c>
      <c r="CJ1995" s="5" t="s">
        <v>238</v>
      </c>
      <c r="CK1995" s="5" t="s">
        <v>258</v>
      </c>
      <c r="CL1995" s="5" t="s">
        <v>238</v>
      </c>
      <c r="CM1995" s="5" t="s">
        <v>238</v>
      </c>
      <c r="CN1995" s="5">
        <v>0</v>
      </c>
      <c r="CO1995" s="5" t="s">
        <v>259</v>
      </c>
      <c r="CP1995" s="5" t="s">
        <v>260</v>
      </c>
      <c r="CQ1995" s="5" t="s">
        <v>260</v>
      </c>
      <c r="CR1995" s="5" t="s">
        <v>261</v>
      </c>
      <c r="CU1995" s="8">
        <f>1</f>
        <v>1</v>
      </c>
      <c r="CV1995" s="8">
        <f>0</f>
        <v>0</v>
      </c>
      <c r="CX1995" s="8">
        <f>0</f>
        <v>0</v>
      </c>
      <c r="CY1995" s="8">
        <f>1</f>
        <v>1</v>
      </c>
      <c r="DA1995" s="5" t="s">
        <v>274</v>
      </c>
      <c r="DB1995" s="5" t="s">
        <v>238</v>
      </c>
      <c r="DD1995" s="5" t="s">
        <v>274</v>
      </c>
      <c r="DE1995" s="8">
        <f>892</f>
        <v>892</v>
      </c>
      <c r="DG1995" s="5" t="s">
        <v>238</v>
      </c>
      <c r="DH1995" s="5" t="s">
        <v>238</v>
      </c>
      <c r="DI1995" s="5" t="s">
        <v>238</v>
      </c>
      <c r="DJ1995" s="5" t="s">
        <v>238</v>
      </c>
      <c r="DN1995" s="5" t="s">
        <v>238</v>
      </c>
      <c r="DO1995" s="5" t="s">
        <v>238</v>
      </c>
      <c r="DP1995" s="5" t="s">
        <v>238</v>
      </c>
      <c r="DQ1995" s="5" t="s">
        <v>238</v>
      </c>
      <c r="DT1995" s="5" t="s">
        <v>275</v>
      </c>
      <c r="DU1995" s="5" t="s">
        <v>1128</v>
      </c>
      <c r="HM1995" s="5" t="s">
        <v>264</v>
      </c>
    </row>
    <row r="1996" spans="1:221" x14ac:dyDescent="0.4">
      <c r="A1996" s="5">
        <v>3700</v>
      </c>
      <c r="B1996" s="5">
        <v>1</v>
      </c>
      <c r="C1996" s="5">
        <v>1</v>
      </c>
      <c r="D1996" s="5" t="s">
        <v>269</v>
      </c>
      <c r="E1996" s="5" t="s">
        <v>271</v>
      </c>
      <c r="F1996" s="5" t="s">
        <v>248</v>
      </c>
      <c r="G1996" s="5" t="s">
        <v>266</v>
      </c>
      <c r="H1996" s="6" t="s">
        <v>1125</v>
      </c>
      <c r="I1996" s="7">
        <f>739</f>
        <v>739</v>
      </c>
      <c r="J1996" s="5" t="s">
        <v>262</v>
      </c>
      <c r="K1996" s="8">
        <f>1</f>
        <v>1</v>
      </c>
      <c r="L1996" s="6" t="s">
        <v>242</v>
      </c>
      <c r="M1996" s="5" t="s">
        <v>267</v>
      </c>
      <c r="N1996" s="5" t="s">
        <v>265</v>
      </c>
      <c r="O1996" s="5" t="s">
        <v>238</v>
      </c>
      <c r="P1996" s="5" t="s">
        <v>238</v>
      </c>
      <c r="Q1996" s="5" t="s">
        <v>268</v>
      </c>
      <c r="R1996" s="5" t="s">
        <v>270</v>
      </c>
      <c r="S1996" s="5" t="s">
        <v>238</v>
      </c>
      <c r="V1996" s="5" t="s">
        <v>238</v>
      </c>
      <c r="X1996" s="6" t="s">
        <v>238</v>
      </c>
      <c r="AA1996" s="6" t="s">
        <v>243</v>
      </c>
      <c r="AB1996" s="5" t="s">
        <v>238</v>
      </c>
      <c r="AC1996" s="5" t="s">
        <v>244</v>
      </c>
      <c r="AD1996" s="5" t="s">
        <v>245</v>
      </c>
      <c r="AT1996" s="5" t="s">
        <v>246</v>
      </c>
      <c r="AU1996" s="5" t="s">
        <v>238</v>
      </c>
      <c r="AV1996" s="5" t="s">
        <v>247</v>
      </c>
      <c r="AW1996" s="5" t="s">
        <v>238</v>
      </c>
      <c r="AX1996" s="5" t="s">
        <v>249</v>
      </c>
      <c r="AY1996" s="5" t="s">
        <v>238</v>
      </c>
      <c r="BA1996" s="5" t="s">
        <v>238</v>
      </c>
      <c r="BC1996" s="5" t="s">
        <v>250</v>
      </c>
      <c r="BD1996" s="6" t="s">
        <v>243</v>
      </c>
      <c r="BE1996" s="5" t="s">
        <v>251</v>
      </c>
      <c r="BF1996" s="5" t="s">
        <v>252</v>
      </c>
      <c r="BG1996" s="5" t="s">
        <v>238</v>
      </c>
      <c r="BH1996" s="7">
        <f>0</f>
        <v>0</v>
      </c>
      <c r="BI1996" s="8">
        <f>0</f>
        <v>0</v>
      </c>
      <c r="BJ1996" s="5" t="s">
        <v>253</v>
      </c>
      <c r="BK1996" s="5" t="s">
        <v>254</v>
      </c>
      <c r="BY1996" s="5" t="s">
        <v>238</v>
      </c>
      <c r="BZ1996" s="5" t="s">
        <v>238</v>
      </c>
      <c r="CD1996" s="5" t="s">
        <v>273</v>
      </c>
      <c r="CE1996" s="5" t="s">
        <v>256</v>
      </c>
      <c r="CF1996" s="5" t="s">
        <v>238</v>
      </c>
      <c r="CI1996" s="6" t="s">
        <v>257</v>
      </c>
      <c r="CJ1996" s="5" t="s">
        <v>238</v>
      </c>
      <c r="CK1996" s="5" t="s">
        <v>258</v>
      </c>
      <c r="CL1996" s="5" t="s">
        <v>238</v>
      </c>
      <c r="CM1996" s="5" t="s">
        <v>238</v>
      </c>
      <c r="CN1996" s="5">
        <v>0</v>
      </c>
      <c r="CO1996" s="5" t="s">
        <v>259</v>
      </c>
      <c r="CP1996" s="5" t="s">
        <v>260</v>
      </c>
      <c r="CQ1996" s="5" t="s">
        <v>260</v>
      </c>
      <c r="CR1996" s="5" t="s">
        <v>261</v>
      </c>
      <c r="CU1996" s="8">
        <f>1</f>
        <v>1</v>
      </c>
      <c r="CV1996" s="8">
        <f>0</f>
        <v>0</v>
      </c>
      <c r="CX1996" s="8">
        <f>0</f>
        <v>0</v>
      </c>
      <c r="CY1996" s="8">
        <f>1</f>
        <v>1</v>
      </c>
      <c r="DA1996" s="5" t="s">
        <v>274</v>
      </c>
      <c r="DB1996" s="5" t="s">
        <v>238</v>
      </c>
      <c r="DD1996" s="5" t="s">
        <v>274</v>
      </c>
      <c r="DE1996" s="8">
        <f>739</f>
        <v>739</v>
      </c>
      <c r="DG1996" s="5" t="s">
        <v>238</v>
      </c>
      <c r="DH1996" s="5" t="s">
        <v>238</v>
      </c>
      <c r="DI1996" s="5" t="s">
        <v>238</v>
      </c>
      <c r="DJ1996" s="5" t="s">
        <v>238</v>
      </c>
      <c r="DN1996" s="5" t="s">
        <v>238</v>
      </c>
      <c r="DO1996" s="5" t="s">
        <v>238</v>
      </c>
      <c r="DP1996" s="5" t="s">
        <v>238</v>
      </c>
      <c r="DQ1996" s="5" t="s">
        <v>238</v>
      </c>
      <c r="DT1996" s="5" t="s">
        <v>275</v>
      </c>
      <c r="DU1996" s="5" t="s">
        <v>1126</v>
      </c>
      <c r="HM1996" s="5" t="s">
        <v>264</v>
      </c>
    </row>
    <row r="1997" spans="1:221" x14ac:dyDescent="0.4">
      <c r="A1997" s="5">
        <v>3701</v>
      </c>
      <c r="B1997" s="5">
        <v>1</v>
      </c>
      <c r="C1997" s="5">
        <v>1</v>
      </c>
      <c r="D1997" s="5" t="s">
        <v>269</v>
      </c>
      <c r="E1997" s="5" t="s">
        <v>271</v>
      </c>
      <c r="F1997" s="5" t="s">
        <v>248</v>
      </c>
      <c r="G1997" s="5" t="s">
        <v>266</v>
      </c>
      <c r="H1997" s="6" t="s">
        <v>1121</v>
      </c>
      <c r="I1997" s="7">
        <f>158</f>
        <v>158</v>
      </c>
      <c r="J1997" s="5" t="s">
        <v>262</v>
      </c>
      <c r="K1997" s="8">
        <f>1</f>
        <v>1</v>
      </c>
      <c r="L1997" s="6" t="s">
        <v>242</v>
      </c>
      <c r="M1997" s="5" t="s">
        <v>267</v>
      </c>
      <c r="N1997" s="5" t="s">
        <v>265</v>
      </c>
      <c r="O1997" s="5" t="s">
        <v>238</v>
      </c>
      <c r="P1997" s="5" t="s">
        <v>238</v>
      </c>
      <c r="Q1997" s="5" t="s">
        <v>268</v>
      </c>
      <c r="R1997" s="5" t="s">
        <v>270</v>
      </c>
      <c r="S1997" s="5" t="s">
        <v>238</v>
      </c>
      <c r="V1997" s="5" t="s">
        <v>238</v>
      </c>
      <c r="X1997" s="6" t="s">
        <v>238</v>
      </c>
      <c r="AA1997" s="6" t="s">
        <v>243</v>
      </c>
      <c r="AB1997" s="5" t="s">
        <v>238</v>
      </c>
      <c r="AC1997" s="5" t="s">
        <v>244</v>
      </c>
      <c r="AD1997" s="5" t="s">
        <v>245</v>
      </c>
      <c r="AT1997" s="5" t="s">
        <v>246</v>
      </c>
      <c r="AU1997" s="5" t="s">
        <v>238</v>
      </c>
      <c r="AV1997" s="5" t="s">
        <v>247</v>
      </c>
      <c r="AW1997" s="5" t="s">
        <v>238</v>
      </c>
      <c r="AX1997" s="5" t="s">
        <v>249</v>
      </c>
      <c r="AY1997" s="5" t="s">
        <v>238</v>
      </c>
      <c r="BA1997" s="5" t="s">
        <v>238</v>
      </c>
      <c r="BC1997" s="5" t="s">
        <v>250</v>
      </c>
      <c r="BD1997" s="6" t="s">
        <v>243</v>
      </c>
      <c r="BE1997" s="5" t="s">
        <v>251</v>
      </c>
      <c r="BF1997" s="5" t="s">
        <v>252</v>
      </c>
      <c r="BG1997" s="5" t="s">
        <v>238</v>
      </c>
      <c r="BH1997" s="7">
        <f>0</f>
        <v>0</v>
      </c>
      <c r="BI1997" s="8">
        <f>0</f>
        <v>0</v>
      </c>
      <c r="BJ1997" s="5" t="s">
        <v>253</v>
      </c>
      <c r="BK1997" s="5" t="s">
        <v>254</v>
      </c>
      <c r="BY1997" s="5" t="s">
        <v>238</v>
      </c>
      <c r="BZ1997" s="5" t="s">
        <v>238</v>
      </c>
      <c r="CD1997" s="5" t="s">
        <v>273</v>
      </c>
      <c r="CE1997" s="5" t="s">
        <v>256</v>
      </c>
      <c r="CF1997" s="5" t="s">
        <v>238</v>
      </c>
      <c r="CI1997" s="6" t="s">
        <v>257</v>
      </c>
      <c r="CJ1997" s="5" t="s">
        <v>238</v>
      </c>
      <c r="CK1997" s="5" t="s">
        <v>258</v>
      </c>
      <c r="CL1997" s="5" t="s">
        <v>238</v>
      </c>
      <c r="CM1997" s="5" t="s">
        <v>238</v>
      </c>
      <c r="CN1997" s="5">
        <v>0</v>
      </c>
      <c r="CO1997" s="5" t="s">
        <v>259</v>
      </c>
      <c r="CP1997" s="5" t="s">
        <v>260</v>
      </c>
      <c r="CQ1997" s="5" t="s">
        <v>260</v>
      </c>
      <c r="CR1997" s="5" t="s">
        <v>261</v>
      </c>
      <c r="CU1997" s="8">
        <f>1</f>
        <v>1</v>
      </c>
      <c r="CV1997" s="8">
        <f>0</f>
        <v>0</v>
      </c>
      <c r="CX1997" s="8">
        <f>0</f>
        <v>0</v>
      </c>
      <c r="CY1997" s="8">
        <f>1</f>
        <v>1</v>
      </c>
      <c r="DA1997" s="5" t="s">
        <v>274</v>
      </c>
      <c r="DB1997" s="5" t="s">
        <v>238</v>
      </c>
      <c r="DD1997" s="5" t="s">
        <v>274</v>
      </c>
      <c r="DE1997" s="8">
        <f>158</f>
        <v>158</v>
      </c>
      <c r="DG1997" s="5" t="s">
        <v>238</v>
      </c>
      <c r="DH1997" s="5" t="s">
        <v>238</v>
      </c>
      <c r="DI1997" s="5" t="s">
        <v>238</v>
      </c>
      <c r="DJ1997" s="5" t="s">
        <v>238</v>
      </c>
      <c r="DN1997" s="5" t="s">
        <v>238</v>
      </c>
      <c r="DO1997" s="5" t="s">
        <v>238</v>
      </c>
      <c r="DP1997" s="5" t="s">
        <v>238</v>
      </c>
      <c r="DQ1997" s="5" t="s">
        <v>238</v>
      </c>
      <c r="DT1997" s="5" t="s">
        <v>275</v>
      </c>
      <c r="DU1997" s="5" t="s">
        <v>1122</v>
      </c>
      <c r="HM1997" s="5" t="s">
        <v>264</v>
      </c>
    </row>
    <row r="1998" spans="1:221" x14ac:dyDescent="0.4">
      <c r="A1998" s="5">
        <v>3702</v>
      </c>
      <c r="B1998" s="5">
        <v>1</v>
      </c>
      <c r="C1998" s="5">
        <v>1</v>
      </c>
      <c r="D1998" s="5" t="s">
        <v>269</v>
      </c>
      <c r="E1998" s="5" t="s">
        <v>271</v>
      </c>
      <c r="F1998" s="5" t="s">
        <v>248</v>
      </c>
      <c r="G1998" s="5" t="s">
        <v>266</v>
      </c>
      <c r="H1998" s="6" t="s">
        <v>1119</v>
      </c>
      <c r="I1998" s="7">
        <f>752</f>
        <v>752</v>
      </c>
      <c r="J1998" s="5" t="s">
        <v>262</v>
      </c>
      <c r="K1998" s="8">
        <f>1</f>
        <v>1</v>
      </c>
      <c r="L1998" s="6" t="s">
        <v>242</v>
      </c>
      <c r="M1998" s="5" t="s">
        <v>267</v>
      </c>
      <c r="N1998" s="5" t="s">
        <v>265</v>
      </c>
      <c r="O1998" s="5" t="s">
        <v>238</v>
      </c>
      <c r="P1998" s="5" t="s">
        <v>238</v>
      </c>
      <c r="Q1998" s="5" t="s">
        <v>268</v>
      </c>
      <c r="R1998" s="5" t="s">
        <v>270</v>
      </c>
      <c r="S1998" s="5" t="s">
        <v>238</v>
      </c>
      <c r="V1998" s="5" t="s">
        <v>238</v>
      </c>
      <c r="X1998" s="6" t="s">
        <v>238</v>
      </c>
      <c r="AA1998" s="6" t="s">
        <v>243</v>
      </c>
      <c r="AB1998" s="5" t="s">
        <v>238</v>
      </c>
      <c r="AC1998" s="5" t="s">
        <v>244</v>
      </c>
      <c r="AD1998" s="5" t="s">
        <v>245</v>
      </c>
      <c r="AT1998" s="5" t="s">
        <v>246</v>
      </c>
      <c r="AU1998" s="5" t="s">
        <v>238</v>
      </c>
      <c r="AV1998" s="5" t="s">
        <v>247</v>
      </c>
      <c r="AW1998" s="5" t="s">
        <v>238</v>
      </c>
      <c r="AX1998" s="5" t="s">
        <v>249</v>
      </c>
      <c r="AY1998" s="5" t="s">
        <v>238</v>
      </c>
      <c r="BA1998" s="5" t="s">
        <v>238</v>
      </c>
      <c r="BC1998" s="5" t="s">
        <v>250</v>
      </c>
      <c r="BD1998" s="6" t="s">
        <v>243</v>
      </c>
      <c r="BE1998" s="5" t="s">
        <v>251</v>
      </c>
      <c r="BF1998" s="5" t="s">
        <v>252</v>
      </c>
      <c r="BG1998" s="5" t="s">
        <v>238</v>
      </c>
      <c r="BH1998" s="7">
        <f>0</f>
        <v>0</v>
      </c>
      <c r="BI1998" s="8">
        <f>0</f>
        <v>0</v>
      </c>
      <c r="BJ1998" s="5" t="s">
        <v>253</v>
      </c>
      <c r="BK1998" s="5" t="s">
        <v>254</v>
      </c>
      <c r="BY1998" s="5" t="s">
        <v>238</v>
      </c>
      <c r="BZ1998" s="5" t="s">
        <v>238</v>
      </c>
      <c r="CD1998" s="5" t="s">
        <v>273</v>
      </c>
      <c r="CE1998" s="5" t="s">
        <v>256</v>
      </c>
      <c r="CF1998" s="5" t="s">
        <v>238</v>
      </c>
      <c r="CI1998" s="6" t="s">
        <v>257</v>
      </c>
      <c r="CJ1998" s="5" t="s">
        <v>238</v>
      </c>
      <c r="CK1998" s="5" t="s">
        <v>258</v>
      </c>
      <c r="CL1998" s="5" t="s">
        <v>238</v>
      </c>
      <c r="CM1998" s="5" t="s">
        <v>238</v>
      </c>
      <c r="CN1998" s="5">
        <v>0</v>
      </c>
      <c r="CO1998" s="5" t="s">
        <v>259</v>
      </c>
      <c r="CP1998" s="5" t="s">
        <v>260</v>
      </c>
      <c r="CQ1998" s="5" t="s">
        <v>260</v>
      </c>
      <c r="CR1998" s="5" t="s">
        <v>261</v>
      </c>
      <c r="CU1998" s="8">
        <f>1</f>
        <v>1</v>
      </c>
      <c r="CV1998" s="8">
        <f>0</f>
        <v>0</v>
      </c>
      <c r="CX1998" s="8">
        <f>0</f>
        <v>0</v>
      </c>
      <c r="CY1998" s="8">
        <f>1</f>
        <v>1</v>
      </c>
      <c r="DA1998" s="5" t="s">
        <v>274</v>
      </c>
      <c r="DB1998" s="5" t="s">
        <v>238</v>
      </c>
      <c r="DD1998" s="5" t="s">
        <v>274</v>
      </c>
      <c r="DE1998" s="8">
        <f>752</f>
        <v>752</v>
      </c>
      <c r="DG1998" s="5" t="s">
        <v>238</v>
      </c>
      <c r="DH1998" s="5" t="s">
        <v>238</v>
      </c>
      <c r="DI1998" s="5" t="s">
        <v>238</v>
      </c>
      <c r="DJ1998" s="5" t="s">
        <v>238</v>
      </c>
      <c r="DN1998" s="5" t="s">
        <v>238</v>
      </c>
      <c r="DO1998" s="5" t="s">
        <v>238</v>
      </c>
      <c r="DP1998" s="5" t="s">
        <v>238</v>
      </c>
      <c r="DQ1998" s="5" t="s">
        <v>238</v>
      </c>
      <c r="DT1998" s="5" t="s">
        <v>275</v>
      </c>
      <c r="DU1998" s="5" t="s">
        <v>1120</v>
      </c>
      <c r="HM1998" s="5" t="s">
        <v>264</v>
      </c>
    </row>
    <row r="1999" spans="1:221" x14ac:dyDescent="0.4">
      <c r="A1999" s="5">
        <v>3703</v>
      </c>
      <c r="B1999" s="5">
        <v>1</v>
      </c>
      <c r="C1999" s="5">
        <v>1</v>
      </c>
      <c r="D1999" s="5" t="s">
        <v>269</v>
      </c>
      <c r="E1999" s="5" t="s">
        <v>271</v>
      </c>
      <c r="F1999" s="5" t="s">
        <v>248</v>
      </c>
      <c r="G1999" s="5" t="s">
        <v>266</v>
      </c>
      <c r="H1999" s="6" t="s">
        <v>1115</v>
      </c>
      <c r="I1999" s="7">
        <f>790</f>
        <v>790</v>
      </c>
      <c r="J1999" s="5" t="s">
        <v>262</v>
      </c>
      <c r="K1999" s="8">
        <f>1</f>
        <v>1</v>
      </c>
      <c r="L1999" s="6" t="s">
        <v>242</v>
      </c>
      <c r="M1999" s="5" t="s">
        <v>267</v>
      </c>
      <c r="N1999" s="5" t="s">
        <v>265</v>
      </c>
      <c r="O1999" s="5" t="s">
        <v>238</v>
      </c>
      <c r="P1999" s="5" t="s">
        <v>238</v>
      </c>
      <c r="Q1999" s="5" t="s">
        <v>268</v>
      </c>
      <c r="R1999" s="5" t="s">
        <v>270</v>
      </c>
      <c r="S1999" s="5" t="s">
        <v>238</v>
      </c>
      <c r="V1999" s="5" t="s">
        <v>238</v>
      </c>
      <c r="X1999" s="6" t="s">
        <v>238</v>
      </c>
      <c r="AA1999" s="6" t="s">
        <v>243</v>
      </c>
      <c r="AB1999" s="5" t="s">
        <v>238</v>
      </c>
      <c r="AC1999" s="5" t="s">
        <v>244</v>
      </c>
      <c r="AD1999" s="5" t="s">
        <v>245</v>
      </c>
      <c r="AT1999" s="5" t="s">
        <v>246</v>
      </c>
      <c r="AU1999" s="5" t="s">
        <v>238</v>
      </c>
      <c r="AV1999" s="5" t="s">
        <v>247</v>
      </c>
      <c r="AW1999" s="5" t="s">
        <v>238</v>
      </c>
      <c r="AX1999" s="5" t="s">
        <v>249</v>
      </c>
      <c r="AY1999" s="5" t="s">
        <v>238</v>
      </c>
      <c r="BA1999" s="5" t="s">
        <v>238</v>
      </c>
      <c r="BC1999" s="5" t="s">
        <v>250</v>
      </c>
      <c r="BD1999" s="6" t="s">
        <v>243</v>
      </c>
      <c r="BE1999" s="5" t="s">
        <v>251</v>
      </c>
      <c r="BF1999" s="5" t="s">
        <v>252</v>
      </c>
      <c r="BG1999" s="5" t="s">
        <v>238</v>
      </c>
      <c r="BH1999" s="7">
        <f>0</f>
        <v>0</v>
      </c>
      <c r="BI1999" s="8">
        <f>0</f>
        <v>0</v>
      </c>
      <c r="BJ1999" s="5" t="s">
        <v>253</v>
      </c>
      <c r="BK1999" s="5" t="s">
        <v>254</v>
      </c>
      <c r="BY1999" s="5" t="s">
        <v>238</v>
      </c>
      <c r="BZ1999" s="5" t="s">
        <v>238</v>
      </c>
      <c r="CD1999" s="5" t="s">
        <v>273</v>
      </c>
      <c r="CE1999" s="5" t="s">
        <v>256</v>
      </c>
      <c r="CF1999" s="5" t="s">
        <v>238</v>
      </c>
      <c r="CI1999" s="6" t="s">
        <v>257</v>
      </c>
      <c r="CJ1999" s="5" t="s">
        <v>238</v>
      </c>
      <c r="CK1999" s="5" t="s">
        <v>258</v>
      </c>
      <c r="CL1999" s="5" t="s">
        <v>238</v>
      </c>
      <c r="CM1999" s="5" t="s">
        <v>238</v>
      </c>
      <c r="CN1999" s="5">
        <v>0</v>
      </c>
      <c r="CO1999" s="5" t="s">
        <v>259</v>
      </c>
      <c r="CP1999" s="5" t="s">
        <v>260</v>
      </c>
      <c r="CQ1999" s="5" t="s">
        <v>260</v>
      </c>
      <c r="CR1999" s="5" t="s">
        <v>261</v>
      </c>
      <c r="CU1999" s="8">
        <f>1</f>
        <v>1</v>
      </c>
      <c r="CV1999" s="8">
        <f>0</f>
        <v>0</v>
      </c>
      <c r="CX1999" s="8">
        <f>0</f>
        <v>0</v>
      </c>
      <c r="CY1999" s="8">
        <f>1</f>
        <v>1</v>
      </c>
      <c r="DA1999" s="5" t="s">
        <v>274</v>
      </c>
      <c r="DB1999" s="5" t="s">
        <v>238</v>
      </c>
      <c r="DD1999" s="5" t="s">
        <v>274</v>
      </c>
      <c r="DE1999" s="8">
        <f>790</f>
        <v>790</v>
      </c>
      <c r="DG1999" s="5" t="s">
        <v>238</v>
      </c>
      <c r="DH1999" s="5" t="s">
        <v>238</v>
      </c>
      <c r="DI1999" s="5" t="s">
        <v>238</v>
      </c>
      <c r="DJ1999" s="5" t="s">
        <v>238</v>
      </c>
      <c r="DN1999" s="5" t="s">
        <v>238</v>
      </c>
      <c r="DO1999" s="5" t="s">
        <v>238</v>
      </c>
      <c r="DP1999" s="5" t="s">
        <v>238</v>
      </c>
      <c r="DQ1999" s="5" t="s">
        <v>238</v>
      </c>
      <c r="DT1999" s="5" t="s">
        <v>275</v>
      </c>
      <c r="DU1999" s="5" t="s">
        <v>1116</v>
      </c>
      <c r="HM1999" s="5" t="s">
        <v>264</v>
      </c>
    </row>
    <row r="2000" spans="1:221" x14ac:dyDescent="0.4">
      <c r="A2000" s="5">
        <v>3704</v>
      </c>
      <c r="B2000" s="5">
        <v>1</v>
      </c>
      <c r="C2000" s="5">
        <v>1</v>
      </c>
      <c r="D2000" s="5" t="s">
        <v>269</v>
      </c>
      <c r="E2000" s="5" t="s">
        <v>271</v>
      </c>
      <c r="F2000" s="5" t="s">
        <v>248</v>
      </c>
      <c r="G2000" s="5" t="s">
        <v>266</v>
      </c>
      <c r="H2000" s="6" t="s">
        <v>1111</v>
      </c>
      <c r="I2000" s="7">
        <f>1642</f>
        <v>1642</v>
      </c>
      <c r="J2000" s="5" t="s">
        <v>262</v>
      </c>
      <c r="K2000" s="8">
        <f>1</f>
        <v>1</v>
      </c>
      <c r="L2000" s="6" t="s">
        <v>242</v>
      </c>
      <c r="M2000" s="5" t="s">
        <v>267</v>
      </c>
      <c r="N2000" s="5" t="s">
        <v>265</v>
      </c>
      <c r="O2000" s="5" t="s">
        <v>238</v>
      </c>
      <c r="P2000" s="5" t="s">
        <v>238</v>
      </c>
      <c r="Q2000" s="5" t="s">
        <v>268</v>
      </c>
      <c r="R2000" s="5" t="s">
        <v>270</v>
      </c>
      <c r="S2000" s="5" t="s">
        <v>238</v>
      </c>
      <c r="V2000" s="5" t="s">
        <v>238</v>
      </c>
      <c r="X2000" s="6" t="s">
        <v>238</v>
      </c>
      <c r="AA2000" s="6" t="s">
        <v>243</v>
      </c>
      <c r="AB2000" s="5" t="s">
        <v>238</v>
      </c>
      <c r="AC2000" s="5" t="s">
        <v>244</v>
      </c>
      <c r="AD2000" s="5" t="s">
        <v>245</v>
      </c>
      <c r="AT2000" s="5" t="s">
        <v>246</v>
      </c>
      <c r="AU2000" s="5" t="s">
        <v>238</v>
      </c>
      <c r="AV2000" s="5" t="s">
        <v>247</v>
      </c>
      <c r="AW2000" s="5" t="s">
        <v>238</v>
      </c>
      <c r="AX2000" s="5" t="s">
        <v>249</v>
      </c>
      <c r="AY2000" s="5" t="s">
        <v>238</v>
      </c>
      <c r="BA2000" s="5" t="s">
        <v>238</v>
      </c>
      <c r="BC2000" s="5" t="s">
        <v>250</v>
      </c>
      <c r="BD2000" s="6" t="s">
        <v>243</v>
      </c>
      <c r="BE2000" s="5" t="s">
        <v>251</v>
      </c>
      <c r="BF2000" s="5" t="s">
        <v>252</v>
      </c>
      <c r="BG2000" s="5" t="s">
        <v>238</v>
      </c>
      <c r="BH2000" s="7">
        <f>0</f>
        <v>0</v>
      </c>
      <c r="BI2000" s="8">
        <f>0</f>
        <v>0</v>
      </c>
      <c r="BJ2000" s="5" t="s">
        <v>253</v>
      </c>
      <c r="BK2000" s="5" t="s">
        <v>254</v>
      </c>
      <c r="BY2000" s="5" t="s">
        <v>238</v>
      </c>
      <c r="BZ2000" s="5" t="s">
        <v>238</v>
      </c>
      <c r="CD2000" s="5" t="s">
        <v>273</v>
      </c>
      <c r="CE2000" s="5" t="s">
        <v>256</v>
      </c>
      <c r="CF2000" s="5" t="s">
        <v>238</v>
      </c>
      <c r="CI2000" s="6" t="s">
        <v>257</v>
      </c>
      <c r="CJ2000" s="5" t="s">
        <v>238</v>
      </c>
      <c r="CK2000" s="5" t="s">
        <v>258</v>
      </c>
      <c r="CL2000" s="5" t="s">
        <v>238</v>
      </c>
      <c r="CM2000" s="5" t="s">
        <v>238</v>
      </c>
      <c r="CN2000" s="5">
        <v>0</v>
      </c>
      <c r="CO2000" s="5" t="s">
        <v>259</v>
      </c>
      <c r="CP2000" s="5" t="s">
        <v>260</v>
      </c>
      <c r="CQ2000" s="5" t="s">
        <v>260</v>
      </c>
      <c r="CR2000" s="5" t="s">
        <v>261</v>
      </c>
      <c r="CU2000" s="8">
        <f>1</f>
        <v>1</v>
      </c>
      <c r="CV2000" s="8">
        <f>0</f>
        <v>0</v>
      </c>
      <c r="CX2000" s="8">
        <f>0</f>
        <v>0</v>
      </c>
      <c r="CY2000" s="8">
        <f>1</f>
        <v>1</v>
      </c>
      <c r="DA2000" s="5" t="s">
        <v>274</v>
      </c>
      <c r="DB2000" s="5" t="s">
        <v>238</v>
      </c>
      <c r="DD2000" s="5" t="s">
        <v>274</v>
      </c>
      <c r="DE2000" s="8">
        <f>1642</f>
        <v>1642</v>
      </c>
      <c r="DG2000" s="5" t="s">
        <v>238</v>
      </c>
      <c r="DH2000" s="5" t="s">
        <v>238</v>
      </c>
      <c r="DI2000" s="5" t="s">
        <v>238</v>
      </c>
      <c r="DJ2000" s="5" t="s">
        <v>238</v>
      </c>
      <c r="DN2000" s="5" t="s">
        <v>238</v>
      </c>
      <c r="DO2000" s="5" t="s">
        <v>238</v>
      </c>
      <c r="DP2000" s="5" t="s">
        <v>238</v>
      </c>
      <c r="DQ2000" s="5" t="s">
        <v>238</v>
      </c>
      <c r="DT2000" s="5" t="s">
        <v>275</v>
      </c>
      <c r="DU2000" s="5" t="s">
        <v>1112</v>
      </c>
      <c r="HM2000" s="5" t="s">
        <v>264</v>
      </c>
    </row>
    <row r="2001" spans="1:221" x14ac:dyDescent="0.4">
      <c r="A2001" s="5">
        <v>3705</v>
      </c>
      <c r="B2001" s="5">
        <v>1</v>
      </c>
      <c r="C2001" s="5">
        <v>1</v>
      </c>
      <c r="D2001" s="5" t="s">
        <v>269</v>
      </c>
      <c r="E2001" s="5" t="s">
        <v>271</v>
      </c>
      <c r="F2001" s="5" t="s">
        <v>248</v>
      </c>
      <c r="G2001" s="5" t="s">
        <v>266</v>
      </c>
      <c r="H2001" s="6" t="s">
        <v>1107</v>
      </c>
      <c r="I2001" s="7">
        <f>2508</f>
        <v>2508</v>
      </c>
      <c r="J2001" s="5" t="s">
        <v>262</v>
      </c>
      <c r="K2001" s="8">
        <f>1</f>
        <v>1</v>
      </c>
      <c r="L2001" s="6" t="s">
        <v>242</v>
      </c>
      <c r="M2001" s="5" t="s">
        <v>267</v>
      </c>
      <c r="N2001" s="5" t="s">
        <v>265</v>
      </c>
      <c r="O2001" s="5" t="s">
        <v>238</v>
      </c>
      <c r="P2001" s="5" t="s">
        <v>238</v>
      </c>
      <c r="Q2001" s="5" t="s">
        <v>268</v>
      </c>
      <c r="R2001" s="5" t="s">
        <v>270</v>
      </c>
      <c r="S2001" s="5" t="s">
        <v>238</v>
      </c>
      <c r="V2001" s="5" t="s">
        <v>238</v>
      </c>
      <c r="X2001" s="6" t="s">
        <v>238</v>
      </c>
      <c r="AA2001" s="6" t="s">
        <v>243</v>
      </c>
      <c r="AB2001" s="5" t="s">
        <v>238</v>
      </c>
      <c r="AC2001" s="5" t="s">
        <v>244</v>
      </c>
      <c r="AD2001" s="5" t="s">
        <v>245</v>
      </c>
      <c r="AT2001" s="5" t="s">
        <v>246</v>
      </c>
      <c r="AU2001" s="5" t="s">
        <v>238</v>
      </c>
      <c r="AV2001" s="5" t="s">
        <v>247</v>
      </c>
      <c r="AW2001" s="5" t="s">
        <v>238</v>
      </c>
      <c r="AX2001" s="5" t="s">
        <v>249</v>
      </c>
      <c r="AY2001" s="5" t="s">
        <v>238</v>
      </c>
      <c r="BA2001" s="5" t="s">
        <v>238</v>
      </c>
      <c r="BC2001" s="5" t="s">
        <v>250</v>
      </c>
      <c r="BD2001" s="6" t="s">
        <v>243</v>
      </c>
      <c r="BE2001" s="5" t="s">
        <v>251</v>
      </c>
      <c r="BF2001" s="5" t="s">
        <v>252</v>
      </c>
      <c r="BG2001" s="5" t="s">
        <v>238</v>
      </c>
      <c r="BH2001" s="7">
        <f>0</f>
        <v>0</v>
      </c>
      <c r="BI2001" s="8">
        <f>0</f>
        <v>0</v>
      </c>
      <c r="BJ2001" s="5" t="s">
        <v>253</v>
      </c>
      <c r="BK2001" s="5" t="s">
        <v>254</v>
      </c>
      <c r="BY2001" s="5" t="s">
        <v>238</v>
      </c>
      <c r="BZ2001" s="5" t="s">
        <v>238</v>
      </c>
      <c r="CD2001" s="5" t="s">
        <v>273</v>
      </c>
      <c r="CE2001" s="5" t="s">
        <v>256</v>
      </c>
      <c r="CF2001" s="5" t="s">
        <v>238</v>
      </c>
      <c r="CI2001" s="6" t="s">
        <v>257</v>
      </c>
      <c r="CJ2001" s="5" t="s">
        <v>238</v>
      </c>
      <c r="CK2001" s="5" t="s">
        <v>258</v>
      </c>
      <c r="CL2001" s="5" t="s">
        <v>238</v>
      </c>
      <c r="CM2001" s="5" t="s">
        <v>238</v>
      </c>
      <c r="CN2001" s="5">
        <v>0</v>
      </c>
      <c r="CO2001" s="5" t="s">
        <v>259</v>
      </c>
      <c r="CP2001" s="5" t="s">
        <v>260</v>
      </c>
      <c r="CQ2001" s="5" t="s">
        <v>260</v>
      </c>
      <c r="CR2001" s="5" t="s">
        <v>261</v>
      </c>
      <c r="CU2001" s="8">
        <f>1</f>
        <v>1</v>
      </c>
      <c r="CV2001" s="8">
        <f>0</f>
        <v>0</v>
      </c>
      <c r="CX2001" s="8">
        <f>0</f>
        <v>0</v>
      </c>
      <c r="CY2001" s="8">
        <f>1</f>
        <v>1</v>
      </c>
      <c r="DA2001" s="5" t="s">
        <v>274</v>
      </c>
      <c r="DB2001" s="5" t="s">
        <v>238</v>
      </c>
      <c r="DD2001" s="5" t="s">
        <v>274</v>
      </c>
      <c r="DE2001" s="8">
        <f>2508</f>
        <v>2508</v>
      </c>
      <c r="DG2001" s="5" t="s">
        <v>238</v>
      </c>
      <c r="DH2001" s="5" t="s">
        <v>238</v>
      </c>
      <c r="DI2001" s="5" t="s">
        <v>238</v>
      </c>
      <c r="DJ2001" s="5" t="s">
        <v>238</v>
      </c>
      <c r="DN2001" s="5" t="s">
        <v>238</v>
      </c>
      <c r="DO2001" s="5" t="s">
        <v>238</v>
      </c>
      <c r="DP2001" s="5" t="s">
        <v>238</v>
      </c>
      <c r="DQ2001" s="5" t="s">
        <v>238</v>
      </c>
      <c r="DT2001" s="5" t="s">
        <v>275</v>
      </c>
      <c r="DU2001" s="5" t="s">
        <v>1108</v>
      </c>
      <c r="HM2001" s="5" t="s">
        <v>264</v>
      </c>
    </row>
    <row r="2002" spans="1:221" x14ac:dyDescent="0.4">
      <c r="A2002" s="5">
        <v>3706</v>
      </c>
      <c r="B2002" s="5">
        <v>1</v>
      </c>
      <c r="C2002" s="5">
        <v>1</v>
      </c>
      <c r="D2002" s="5" t="s">
        <v>269</v>
      </c>
      <c r="E2002" s="5" t="s">
        <v>271</v>
      </c>
      <c r="F2002" s="5" t="s">
        <v>248</v>
      </c>
      <c r="G2002" s="5" t="s">
        <v>266</v>
      </c>
      <c r="H2002" s="6" t="s">
        <v>1103</v>
      </c>
      <c r="I2002" s="7">
        <f>716</f>
        <v>716</v>
      </c>
      <c r="J2002" s="5" t="s">
        <v>262</v>
      </c>
      <c r="K2002" s="8">
        <f>1</f>
        <v>1</v>
      </c>
      <c r="L2002" s="6" t="s">
        <v>242</v>
      </c>
      <c r="M2002" s="5" t="s">
        <v>267</v>
      </c>
      <c r="N2002" s="5" t="s">
        <v>265</v>
      </c>
      <c r="O2002" s="5" t="s">
        <v>238</v>
      </c>
      <c r="P2002" s="5" t="s">
        <v>238</v>
      </c>
      <c r="Q2002" s="5" t="s">
        <v>268</v>
      </c>
      <c r="R2002" s="5" t="s">
        <v>270</v>
      </c>
      <c r="S2002" s="5" t="s">
        <v>238</v>
      </c>
      <c r="V2002" s="5" t="s">
        <v>238</v>
      </c>
      <c r="X2002" s="6" t="s">
        <v>238</v>
      </c>
      <c r="AA2002" s="6" t="s">
        <v>243</v>
      </c>
      <c r="AB2002" s="5" t="s">
        <v>238</v>
      </c>
      <c r="AC2002" s="5" t="s">
        <v>244</v>
      </c>
      <c r="AD2002" s="5" t="s">
        <v>245</v>
      </c>
      <c r="AT2002" s="5" t="s">
        <v>246</v>
      </c>
      <c r="AU2002" s="5" t="s">
        <v>238</v>
      </c>
      <c r="AV2002" s="5" t="s">
        <v>247</v>
      </c>
      <c r="AW2002" s="5" t="s">
        <v>238</v>
      </c>
      <c r="AX2002" s="5" t="s">
        <v>249</v>
      </c>
      <c r="AY2002" s="5" t="s">
        <v>238</v>
      </c>
      <c r="BA2002" s="5" t="s">
        <v>238</v>
      </c>
      <c r="BC2002" s="5" t="s">
        <v>250</v>
      </c>
      <c r="BD2002" s="6" t="s">
        <v>243</v>
      </c>
      <c r="BE2002" s="5" t="s">
        <v>251</v>
      </c>
      <c r="BF2002" s="5" t="s">
        <v>252</v>
      </c>
      <c r="BG2002" s="5" t="s">
        <v>238</v>
      </c>
      <c r="BH2002" s="7">
        <f>0</f>
        <v>0</v>
      </c>
      <c r="BI2002" s="8">
        <f>0</f>
        <v>0</v>
      </c>
      <c r="BJ2002" s="5" t="s">
        <v>253</v>
      </c>
      <c r="BK2002" s="5" t="s">
        <v>254</v>
      </c>
      <c r="BY2002" s="5" t="s">
        <v>238</v>
      </c>
      <c r="BZ2002" s="5" t="s">
        <v>238</v>
      </c>
      <c r="CD2002" s="5" t="s">
        <v>273</v>
      </c>
      <c r="CE2002" s="5" t="s">
        <v>256</v>
      </c>
      <c r="CF2002" s="5" t="s">
        <v>238</v>
      </c>
      <c r="CI2002" s="6" t="s">
        <v>257</v>
      </c>
      <c r="CJ2002" s="5" t="s">
        <v>238</v>
      </c>
      <c r="CK2002" s="5" t="s">
        <v>258</v>
      </c>
      <c r="CL2002" s="5" t="s">
        <v>238</v>
      </c>
      <c r="CM2002" s="5" t="s">
        <v>238</v>
      </c>
      <c r="CN2002" s="5">
        <v>0</v>
      </c>
      <c r="CO2002" s="5" t="s">
        <v>259</v>
      </c>
      <c r="CP2002" s="5" t="s">
        <v>260</v>
      </c>
      <c r="CQ2002" s="5" t="s">
        <v>260</v>
      </c>
      <c r="CR2002" s="5" t="s">
        <v>261</v>
      </c>
      <c r="CU2002" s="8">
        <f>1</f>
        <v>1</v>
      </c>
      <c r="CV2002" s="8">
        <f>0</f>
        <v>0</v>
      </c>
      <c r="CX2002" s="8">
        <f>0</f>
        <v>0</v>
      </c>
      <c r="CY2002" s="8">
        <f>1</f>
        <v>1</v>
      </c>
      <c r="DA2002" s="5" t="s">
        <v>274</v>
      </c>
      <c r="DB2002" s="5" t="s">
        <v>238</v>
      </c>
      <c r="DD2002" s="5" t="s">
        <v>274</v>
      </c>
      <c r="DE2002" s="8">
        <f>716</f>
        <v>716</v>
      </c>
      <c r="DG2002" s="5" t="s">
        <v>238</v>
      </c>
      <c r="DH2002" s="5" t="s">
        <v>238</v>
      </c>
      <c r="DI2002" s="5" t="s">
        <v>238</v>
      </c>
      <c r="DJ2002" s="5" t="s">
        <v>238</v>
      </c>
      <c r="DN2002" s="5" t="s">
        <v>238</v>
      </c>
      <c r="DO2002" s="5" t="s">
        <v>238</v>
      </c>
      <c r="DP2002" s="5" t="s">
        <v>238</v>
      </c>
      <c r="DQ2002" s="5" t="s">
        <v>238</v>
      </c>
      <c r="DT2002" s="5" t="s">
        <v>275</v>
      </c>
      <c r="DU2002" s="5" t="s">
        <v>1104</v>
      </c>
      <c r="HM2002" s="5" t="s">
        <v>264</v>
      </c>
    </row>
    <row r="2003" spans="1:221" x14ac:dyDescent="0.4">
      <c r="A2003" s="5">
        <v>3707</v>
      </c>
      <c r="B2003" s="5">
        <v>1</v>
      </c>
      <c r="C2003" s="5">
        <v>1</v>
      </c>
      <c r="D2003" s="5" t="s">
        <v>269</v>
      </c>
      <c r="E2003" s="5" t="s">
        <v>271</v>
      </c>
      <c r="F2003" s="5" t="s">
        <v>248</v>
      </c>
      <c r="G2003" s="5" t="s">
        <v>266</v>
      </c>
      <c r="H2003" s="6" t="s">
        <v>1101</v>
      </c>
      <c r="I2003" s="7">
        <f>1568</f>
        <v>1568</v>
      </c>
      <c r="J2003" s="5" t="s">
        <v>262</v>
      </c>
      <c r="K2003" s="8">
        <f>1</f>
        <v>1</v>
      </c>
      <c r="L2003" s="6" t="s">
        <v>242</v>
      </c>
      <c r="M2003" s="5" t="s">
        <v>267</v>
      </c>
      <c r="N2003" s="5" t="s">
        <v>265</v>
      </c>
      <c r="O2003" s="5" t="s">
        <v>238</v>
      </c>
      <c r="P2003" s="5" t="s">
        <v>238</v>
      </c>
      <c r="Q2003" s="5" t="s">
        <v>268</v>
      </c>
      <c r="R2003" s="5" t="s">
        <v>270</v>
      </c>
      <c r="S2003" s="5" t="s">
        <v>238</v>
      </c>
      <c r="V2003" s="5" t="s">
        <v>238</v>
      </c>
      <c r="X2003" s="6" t="s">
        <v>238</v>
      </c>
      <c r="AA2003" s="6" t="s">
        <v>243</v>
      </c>
      <c r="AB2003" s="5" t="s">
        <v>238</v>
      </c>
      <c r="AC2003" s="5" t="s">
        <v>244</v>
      </c>
      <c r="AD2003" s="5" t="s">
        <v>245</v>
      </c>
      <c r="AT2003" s="5" t="s">
        <v>246</v>
      </c>
      <c r="AU2003" s="5" t="s">
        <v>238</v>
      </c>
      <c r="AV2003" s="5" t="s">
        <v>247</v>
      </c>
      <c r="AW2003" s="5" t="s">
        <v>238</v>
      </c>
      <c r="AX2003" s="5" t="s">
        <v>249</v>
      </c>
      <c r="AY2003" s="5" t="s">
        <v>238</v>
      </c>
      <c r="BA2003" s="5" t="s">
        <v>238</v>
      </c>
      <c r="BC2003" s="5" t="s">
        <v>250</v>
      </c>
      <c r="BD2003" s="6" t="s">
        <v>243</v>
      </c>
      <c r="BE2003" s="5" t="s">
        <v>251</v>
      </c>
      <c r="BF2003" s="5" t="s">
        <v>252</v>
      </c>
      <c r="BG2003" s="5" t="s">
        <v>238</v>
      </c>
      <c r="BH2003" s="7">
        <f>0</f>
        <v>0</v>
      </c>
      <c r="BI2003" s="8">
        <f>0</f>
        <v>0</v>
      </c>
      <c r="BJ2003" s="5" t="s">
        <v>253</v>
      </c>
      <c r="BK2003" s="5" t="s">
        <v>254</v>
      </c>
      <c r="BY2003" s="5" t="s">
        <v>238</v>
      </c>
      <c r="BZ2003" s="5" t="s">
        <v>238</v>
      </c>
      <c r="CD2003" s="5" t="s">
        <v>273</v>
      </c>
      <c r="CE2003" s="5" t="s">
        <v>256</v>
      </c>
      <c r="CF2003" s="5" t="s">
        <v>238</v>
      </c>
      <c r="CI2003" s="6" t="s">
        <v>257</v>
      </c>
      <c r="CJ2003" s="5" t="s">
        <v>238</v>
      </c>
      <c r="CK2003" s="5" t="s">
        <v>258</v>
      </c>
      <c r="CL2003" s="5" t="s">
        <v>238</v>
      </c>
      <c r="CM2003" s="5" t="s">
        <v>238</v>
      </c>
      <c r="CN2003" s="5">
        <v>0</v>
      </c>
      <c r="CO2003" s="5" t="s">
        <v>259</v>
      </c>
      <c r="CP2003" s="5" t="s">
        <v>260</v>
      </c>
      <c r="CQ2003" s="5" t="s">
        <v>260</v>
      </c>
      <c r="CR2003" s="5" t="s">
        <v>261</v>
      </c>
      <c r="CU2003" s="8">
        <f>1</f>
        <v>1</v>
      </c>
      <c r="CV2003" s="8">
        <f>0</f>
        <v>0</v>
      </c>
      <c r="CX2003" s="8">
        <f>0</f>
        <v>0</v>
      </c>
      <c r="CY2003" s="8">
        <f>1</f>
        <v>1</v>
      </c>
      <c r="DA2003" s="5" t="s">
        <v>274</v>
      </c>
      <c r="DB2003" s="5" t="s">
        <v>238</v>
      </c>
      <c r="DD2003" s="5" t="s">
        <v>274</v>
      </c>
      <c r="DE2003" s="8">
        <f>1568</f>
        <v>1568</v>
      </c>
      <c r="DG2003" s="5" t="s">
        <v>238</v>
      </c>
      <c r="DH2003" s="5" t="s">
        <v>238</v>
      </c>
      <c r="DI2003" s="5" t="s">
        <v>238</v>
      </c>
      <c r="DJ2003" s="5" t="s">
        <v>238</v>
      </c>
      <c r="DN2003" s="5" t="s">
        <v>238</v>
      </c>
      <c r="DO2003" s="5" t="s">
        <v>238</v>
      </c>
      <c r="DP2003" s="5" t="s">
        <v>238</v>
      </c>
      <c r="DQ2003" s="5" t="s">
        <v>238</v>
      </c>
      <c r="DT2003" s="5" t="s">
        <v>275</v>
      </c>
      <c r="DU2003" s="5" t="s">
        <v>1102</v>
      </c>
      <c r="HM2003" s="5" t="s">
        <v>264</v>
      </c>
    </row>
    <row r="2004" spans="1:221" x14ac:dyDescent="0.4">
      <c r="A2004" s="5">
        <v>3708</v>
      </c>
      <c r="B2004" s="5">
        <v>1</v>
      </c>
      <c r="C2004" s="5">
        <v>1</v>
      </c>
      <c r="D2004" s="5" t="s">
        <v>269</v>
      </c>
      <c r="E2004" s="5" t="s">
        <v>271</v>
      </c>
      <c r="F2004" s="5" t="s">
        <v>248</v>
      </c>
      <c r="G2004" s="5" t="s">
        <v>266</v>
      </c>
      <c r="H2004" s="6" t="s">
        <v>1097</v>
      </c>
      <c r="I2004" s="7">
        <f>1936</f>
        <v>1936</v>
      </c>
      <c r="J2004" s="5" t="s">
        <v>262</v>
      </c>
      <c r="K2004" s="8">
        <f>1</f>
        <v>1</v>
      </c>
      <c r="L2004" s="6" t="s">
        <v>242</v>
      </c>
      <c r="M2004" s="5" t="s">
        <v>267</v>
      </c>
      <c r="N2004" s="5" t="s">
        <v>265</v>
      </c>
      <c r="O2004" s="5" t="s">
        <v>238</v>
      </c>
      <c r="P2004" s="5" t="s">
        <v>238</v>
      </c>
      <c r="Q2004" s="5" t="s">
        <v>268</v>
      </c>
      <c r="R2004" s="5" t="s">
        <v>270</v>
      </c>
      <c r="S2004" s="5" t="s">
        <v>238</v>
      </c>
      <c r="V2004" s="5" t="s">
        <v>238</v>
      </c>
      <c r="X2004" s="6" t="s">
        <v>238</v>
      </c>
      <c r="AA2004" s="6" t="s">
        <v>243</v>
      </c>
      <c r="AB2004" s="5" t="s">
        <v>238</v>
      </c>
      <c r="AC2004" s="5" t="s">
        <v>244</v>
      </c>
      <c r="AD2004" s="5" t="s">
        <v>245</v>
      </c>
      <c r="AT2004" s="5" t="s">
        <v>246</v>
      </c>
      <c r="AU2004" s="5" t="s">
        <v>238</v>
      </c>
      <c r="AV2004" s="5" t="s">
        <v>247</v>
      </c>
      <c r="AW2004" s="5" t="s">
        <v>238</v>
      </c>
      <c r="AX2004" s="5" t="s">
        <v>249</v>
      </c>
      <c r="AY2004" s="5" t="s">
        <v>238</v>
      </c>
      <c r="BA2004" s="5" t="s">
        <v>238</v>
      </c>
      <c r="BC2004" s="5" t="s">
        <v>250</v>
      </c>
      <c r="BD2004" s="6" t="s">
        <v>243</v>
      </c>
      <c r="BE2004" s="5" t="s">
        <v>251</v>
      </c>
      <c r="BF2004" s="5" t="s">
        <v>252</v>
      </c>
      <c r="BG2004" s="5" t="s">
        <v>238</v>
      </c>
      <c r="BH2004" s="7">
        <f>0</f>
        <v>0</v>
      </c>
      <c r="BI2004" s="8">
        <f>0</f>
        <v>0</v>
      </c>
      <c r="BJ2004" s="5" t="s">
        <v>253</v>
      </c>
      <c r="BK2004" s="5" t="s">
        <v>254</v>
      </c>
      <c r="BY2004" s="5" t="s">
        <v>238</v>
      </c>
      <c r="BZ2004" s="5" t="s">
        <v>238</v>
      </c>
      <c r="CD2004" s="5" t="s">
        <v>273</v>
      </c>
      <c r="CE2004" s="5" t="s">
        <v>256</v>
      </c>
      <c r="CF2004" s="5" t="s">
        <v>238</v>
      </c>
      <c r="CI2004" s="6" t="s">
        <v>257</v>
      </c>
      <c r="CJ2004" s="5" t="s">
        <v>238</v>
      </c>
      <c r="CK2004" s="5" t="s">
        <v>258</v>
      </c>
      <c r="CL2004" s="5" t="s">
        <v>238</v>
      </c>
      <c r="CM2004" s="5" t="s">
        <v>238</v>
      </c>
      <c r="CN2004" s="5">
        <v>0</v>
      </c>
      <c r="CO2004" s="5" t="s">
        <v>259</v>
      </c>
      <c r="CP2004" s="5" t="s">
        <v>260</v>
      </c>
      <c r="CQ2004" s="5" t="s">
        <v>260</v>
      </c>
      <c r="CR2004" s="5" t="s">
        <v>261</v>
      </c>
      <c r="CU2004" s="8">
        <f>1</f>
        <v>1</v>
      </c>
      <c r="CV2004" s="8">
        <f>0</f>
        <v>0</v>
      </c>
      <c r="CX2004" s="8">
        <f>0</f>
        <v>0</v>
      </c>
      <c r="CY2004" s="8">
        <f>1</f>
        <v>1</v>
      </c>
      <c r="DA2004" s="5" t="s">
        <v>274</v>
      </c>
      <c r="DB2004" s="5" t="s">
        <v>238</v>
      </c>
      <c r="DD2004" s="5" t="s">
        <v>274</v>
      </c>
      <c r="DE2004" s="8">
        <f>1936</f>
        <v>1936</v>
      </c>
      <c r="DG2004" s="5" t="s">
        <v>238</v>
      </c>
      <c r="DH2004" s="5" t="s">
        <v>238</v>
      </c>
      <c r="DI2004" s="5" t="s">
        <v>238</v>
      </c>
      <c r="DJ2004" s="5" t="s">
        <v>238</v>
      </c>
      <c r="DN2004" s="5" t="s">
        <v>238</v>
      </c>
      <c r="DO2004" s="5" t="s">
        <v>238</v>
      </c>
      <c r="DP2004" s="5" t="s">
        <v>238</v>
      </c>
      <c r="DQ2004" s="5" t="s">
        <v>238</v>
      </c>
      <c r="DT2004" s="5" t="s">
        <v>275</v>
      </c>
      <c r="DU2004" s="5" t="s">
        <v>1098</v>
      </c>
      <c r="HM2004" s="5" t="s">
        <v>264</v>
      </c>
    </row>
    <row r="2005" spans="1:221" x14ac:dyDescent="0.4">
      <c r="A2005" s="5">
        <v>3709</v>
      </c>
      <c r="B2005" s="5">
        <v>1</v>
      </c>
      <c r="C2005" s="5">
        <v>1</v>
      </c>
      <c r="D2005" s="5" t="s">
        <v>269</v>
      </c>
      <c r="E2005" s="5" t="s">
        <v>271</v>
      </c>
      <c r="F2005" s="5" t="s">
        <v>248</v>
      </c>
      <c r="G2005" s="5" t="s">
        <v>266</v>
      </c>
      <c r="H2005" s="6" t="s">
        <v>1093</v>
      </c>
      <c r="I2005" s="7">
        <f>760</f>
        <v>760</v>
      </c>
      <c r="J2005" s="5" t="s">
        <v>262</v>
      </c>
      <c r="K2005" s="8">
        <f>1</f>
        <v>1</v>
      </c>
      <c r="L2005" s="6" t="s">
        <v>242</v>
      </c>
      <c r="M2005" s="5" t="s">
        <v>267</v>
      </c>
      <c r="N2005" s="5" t="s">
        <v>265</v>
      </c>
      <c r="O2005" s="5" t="s">
        <v>238</v>
      </c>
      <c r="P2005" s="5" t="s">
        <v>238</v>
      </c>
      <c r="Q2005" s="5" t="s">
        <v>268</v>
      </c>
      <c r="R2005" s="5" t="s">
        <v>270</v>
      </c>
      <c r="S2005" s="5" t="s">
        <v>238</v>
      </c>
      <c r="V2005" s="5" t="s">
        <v>238</v>
      </c>
      <c r="X2005" s="6" t="s">
        <v>238</v>
      </c>
      <c r="AA2005" s="6" t="s">
        <v>243</v>
      </c>
      <c r="AB2005" s="5" t="s">
        <v>238</v>
      </c>
      <c r="AC2005" s="5" t="s">
        <v>244</v>
      </c>
      <c r="AD2005" s="5" t="s">
        <v>245</v>
      </c>
      <c r="AT2005" s="5" t="s">
        <v>246</v>
      </c>
      <c r="AU2005" s="5" t="s">
        <v>238</v>
      </c>
      <c r="AV2005" s="5" t="s">
        <v>247</v>
      </c>
      <c r="AW2005" s="5" t="s">
        <v>238</v>
      </c>
      <c r="AX2005" s="5" t="s">
        <v>249</v>
      </c>
      <c r="AY2005" s="5" t="s">
        <v>238</v>
      </c>
      <c r="BA2005" s="5" t="s">
        <v>238</v>
      </c>
      <c r="BC2005" s="5" t="s">
        <v>250</v>
      </c>
      <c r="BD2005" s="6" t="s">
        <v>243</v>
      </c>
      <c r="BE2005" s="5" t="s">
        <v>251</v>
      </c>
      <c r="BF2005" s="5" t="s">
        <v>252</v>
      </c>
      <c r="BG2005" s="5" t="s">
        <v>238</v>
      </c>
      <c r="BH2005" s="7">
        <f>0</f>
        <v>0</v>
      </c>
      <c r="BI2005" s="8">
        <f>0</f>
        <v>0</v>
      </c>
      <c r="BJ2005" s="5" t="s">
        <v>253</v>
      </c>
      <c r="BK2005" s="5" t="s">
        <v>254</v>
      </c>
      <c r="BY2005" s="5" t="s">
        <v>238</v>
      </c>
      <c r="BZ2005" s="5" t="s">
        <v>238</v>
      </c>
      <c r="CD2005" s="5" t="s">
        <v>273</v>
      </c>
      <c r="CE2005" s="5" t="s">
        <v>256</v>
      </c>
      <c r="CF2005" s="5" t="s">
        <v>238</v>
      </c>
      <c r="CI2005" s="6" t="s">
        <v>257</v>
      </c>
      <c r="CJ2005" s="5" t="s">
        <v>238</v>
      </c>
      <c r="CK2005" s="5" t="s">
        <v>258</v>
      </c>
      <c r="CL2005" s="5" t="s">
        <v>238</v>
      </c>
      <c r="CM2005" s="5" t="s">
        <v>238</v>
      </c>
      <c r="CN2005" s="5">
        <v>0</v>
      </c>
      <c r="CO2005" s="5" t="s">
        <v>259</v>
      </c>
      <c r="CP2005" s="5" t="s">
        <v>260</v>
      </c>
      <c r="CQ2005" s="5" t="s">
        <v>260</v>
      </c>
      <c r="CR2005" s="5" t="s">
        <v>261</v>
      </c>
      <c r="CU2005" s="8">
        <f>1</f>
        <v>1</v>
      </c>
      <c r="CV2005" s="8">
        <f>0</f>
        <v>0</v>
      </c>
      <c r="CX2005" s="8">
        <f>0</f>
        <v>0</v>
      </c>
      <c r="CY2005" s="8">
        <f>1</f>
        <v>1</v>
      </c>
      <c r="DA2005" s="5" t="s">
        <v>274</v>
      </c>
      <c r="DB2005" s="5" t="s">
        <v>238</v>
      </c>
      <c r="DD2005" s="5" t="s">
        <v>274</v>
      </c>
      <c r="DE2005" s="8">
        <f>760</f>
        <v>760</v>
      </c>
      <c r="DG2005" s="5" t="s">
        <v>238</v>
      </c>
      <c r="DH2005" s="5" t="s">
        <v>238</v>
      </c>
      <c r="DI2005" s="5" t="s">
        <v>238</v>
      </c>
      <c r="DJ2005" s="5" t="s">
        <v>238</v>
      </c>
      <c r="DN2005" s="5" t="s">
        <v>238</v>
      </c>
      <c r="DO2005" s="5" t="s">
        <v>238</v>
      </c>
      <c r="DP2005" s="5" t="s">
        <v>238</v>
      </c>
      <c r="DQ2005" s="5" t="s">
        <v>238</v>
      </c>
      <c r="DT2005" s="5" t="s">
        <v>275</v>
      </c>
      <c r="DU2005" s="5" t="s">
        <v>1094</v>
      </c>
      <c r="HM2005" s="5" t="s">
        <v>264</v>
      </c>
    </row>
    <row r="2006" spans="1:221" x14ac:dyDescent="0.4">
      <c r="A2006" s="5">
        <v>3710</v>
      </c>
      <c r="B2006" s="5">
        <v>1</v>
      </c>
      <c r="C2006" s="5">
        <v>1</v>
      </c>
      <c r="D2006" s="5" t="s">
        <v>269</v>
      </c>
      <c r="E2006" s="5" t="s">
        <v>271</v>
      </c>
      <c r="F2006" s="5" t="s">
        <v>248</v>
      </c>
      <c r="G2006" s="5" t="s">
        <v>266</v>
      </c>
      <c r="H2006" s="6" t="s">
        <v>1089</v>
      </c>
      <c r="I2006" s="7">
        <f>3198</f>
        <v>3198</v>
      </c>
      <c r="J2006" s="5" t="s">
        <v>262</v>
      </c>
      <c r="K2006" s="8">
        <f>1</f>
        <v>1</v>
      </c>
      <c r="L2006" s="6" t="s">
        <v>242</v>
      </c>
      <c r="M2006" s="5" t="s">
        <v>267</v>
      </c>
      <c r="N2006" s="5" t="s">
        <v>265</v>
      </c>
      <c r="O2006" s="5" t="s">
        <v>238</v>
      </c>
      <c r="P2006" s="5" t="s">
        <v>238</v>
      </c>
      <c r="Q2006" s="5" t="s">
        <v>268</v>
      </c>
      <c r="R2006" s="5" t="s">
        <v>270</v>
      </c>
      <c r="S2006" s="5" t="s">
        <v>238</v>
      </c>
      <c r="V2006" s="5" t="s">
        <v>238</v>
      </c>
      <c r="X2006" s="6" t="s">
        <v>238</v>
      </c>
      <c r="AA2006" s="6" t="s">
        <v>243</v>
      </c>
      <c r="AB2006" s="5" t="s">
        <v>238</v>
      </c>
      <c r="AC2006" s="5" t="s">
        <v>244</v>
      </c>
      <c r="AD2006" s="5" t="s">
        <v>245</v>
      </c>
      <c r="AT2006" s="5" t="s">
        <v>246</v>
      </c>
      <c r="AU2006" s="5" t="s">
        <v>238</v>
      </c>
      <c r="AV2006" s="5" t="s">
        <v>247</v>
      </c>
      <c r="AW2006" s="5" t="s">
        <v>238</v>
      </c>
      <c r="AX2006" s="5" t="s">
        <v>249</v>
      </c>
      <c r="AY2006" s="5" t="s">
        <v>238</v>
      </c>
      <c r="BA2006" s="5" t="s">
        <v>238</v>
      </c>
      <c r="BC2006" s="5" t="s">
        <v>250</v>
      </c>
      <c r="BD2006" s="6" t="s">
        <v>243</v>
      </c>
      <c r="BE2006" s="5" t="s">
        <v>251</v>
      </c>
      <c r="BF2006" s="5" t="s">
        <v>252</v>
      </c>
      <c r="BG2006" s="5" t="s">
        <v>238</v>
      </c>
      <c r="BH2006" s="7">
        <f>0</f>
        <v>0</v>
      </c>
      <c r="BI2006" s="8">
        <f>0</f>
        <v>0</v>
      </c>
      <c r="BJ2006" s="5" t="s">
        <v>253</v>
      </c>
      <c r="BK2006" s="5" t="s">
        <v>254</v>
      </c>
      <c r="BY2006" s="5" t="s">
        <v>238</v>
      </c>
      <c r="BZ2006" s="5" t="s">
        <v>238</v>
      </c>
      <c r="CD2006" s="5" t="s">
        <v>273</v>
      </c>
      <c r="CE2006" s="5" t="s">
        <v>256</v>
      </c>
      <c r="CF2006" s="5" t="s">
        <v>238</v>
      </c>
      <c r="CI2006" s="6" t="s">
        <v>257</v>
      </c>
      <c r="CJ2006" s="5" t="s">
        <v>238</v>
      </c>
      <c r="CK2006" s="5" t="s">
        <v>258</v>
      </c>
      <c r="CL2006" s="5" t="s">
        <v>238</v>
      </c>
      <c r="CM2006" s="5" t="s">
        <v>238</v>
      </c>
      <c r="CN2006" s="5">
        <v>0</v>
      </c>
      <c r="CO2006" s="5" t="s">
        <v>259</v>
      </c>
      <c r="CP2006" s="5" t="s">
        <v>260</v>
      </c>
      <c r="CQ2006" s="5" t="s">
        <v>260</v>
      </c>
      <c r="CR2006" s="5" t="s">
        <v>261</v>
      </c>
      <c r="CU2006" s="8">
        <f>1</f>
        <v>1</v>
      </c>
      <c r="CV2006" s="8">
        <f>0</f>
        <v>0</v>
      </c>
      <c r="CX2006" s="8">
        <f>0</f>
        <v>0</v>
      </c>
      <c r="CY2006" s="8">
        <f>1</f>
        <v>1</v>
      </c>
      <c r="DA2006" s="5" t="s">
        <v>274</v>
      </c>
      <c r="DB2006" s="5" t="s">
        <v>238</v>
      </c>
      <c r="DD2006" s="5" t="s">
        <v>274</v>
      </c>
      <c r="DE2006" s="8">
        <f>3198</f>
        <v>3198</v>
      </c>
      <c r="DG2006" s="5" t="s">
        <v>238</v>
      </c>
      <c r="DH2006" s="5" t="s">
        <v>238</v>
      </c>
      <c r="DI2006" s="5" t="s">
        <v>238</v>
      </c>
      <c r="DJ2006" s="5" t="s">
        <v>238</v>
      </c>
      <c r="DN2006" s="5" t="s">
        <v>238</v>
      </c>
      <c r="DO2006" s="5" t="s">
        <v>238</v>
      </c>
      <c r="DP2006" s="5" t="s">
        <v>238</v>
      </c>
      <c r="DQ2006" s="5" t="s">
        <v>238</v>
      </c>
      <c r="DT2006" s="5" t="s">
        <v>275</v>
      </c>
      <c r="DU2006" s="5" t="s">
        <v>1090</v>
      </c>
      <c r="HM2006" s="5" t="s">
        <v>264</v>
      </c>
    </row>
    <row r="2007" spans="1:221" x14ac:dyDescent="0.4">
      <c r="A2007" s="5">
        <v>3711</v>
      </c>
      <c r="B2007" s="5">
        <v>1</v>
      </c>
      <c r="C2007" s="5">
        <v>1</v>
      </c>
      <c r="D2007" s="5" t="s">
        <v>269</v>
      </c>
      <c r="E2007" s="5" t="s">
        <v>271</v>
      </c>
      <c r="F2007" s="5" t="s">
        <v>248</v>
      </c>
      <c r="G2007" s="5" t="s">
        <v>266</v>
      </c>
      <c r="H2007" s="6" t="s">
        <v>1083</v>
      </c>
      <c r="I2007" s="7">
        <f>597</f>
        <v>597</v>
      </c>
      <c r="J2007" s="5" t="s">
        <v>262</v>
      </c>
      <c r="K2007" s="8">
        <f>1</f>
        <v>1</v>
      </c>
      <c r="L2007" s="6" t="s">
        <v>242</v>
      </c>
      <c r="M2007" s="5" t="s">
        <v>267</v>
      </c>
      <c r="N2007" s="5" t="s">
        <v>265</v>
      </c>
      <c r="O2007" s="5" t="s">
        <v>238</v>
      </c>
      <c r="P2007" s="5" t="s">
        <v>238</v>
      </c>
      <c r="Q2007" s="5" t="s">
        <v>268</v>
      </c>
      <c r="R2007" s="5" t="s">
        <v>270</v>
      </c>
      <c r="S2007" s="5" t="s">
        <v>238</v>
      </c>
      <c r="V2007" s="5" t="s">
        <v>238</v>
      </c>
      <c r="X2007" s="6" t="s">
        <v>238</v>
      </c>
      <c r="AA2007" s="6" t="s">
        <v>243</v>
      </c>
      <c r="AB2007" s="5" t="s">
        <v>238</v>
      </c>
      <c r="AC2007" s="5" t="s">
        <v>244</v>
      </c>
      <c r="AD2007" s="5" t="s">
        <v>245</v>
      </c>
      <c r="AT2007" s="5" t="s">
        <v>246</v>
      </c>
      <c r="AU2007" s="5" t="s">
        <v>238</v>
      </c>
      <c r="AV2007" s="5" t="s">
        <v>247</v>
      </c>
      <c r="AW2007" s="5" t="s">
        <v>238</v>
      </c>
      <c r="AX2007" s="5" t="s">
        <v>249</v>
      </c>
      <c r="AY2007" s="5" t="s">
        <v>238</v>
      </c>
      <c r="BA2007" s="5" t="s">
        <v>238</v>
      </c>
      <c r="BC2007" s="5" t="s">
        <v>250</v>
      </c>
      <c r="BD2007" s="6" t="s">
        <v>243</v>
      </c>
      <c r="BE2007" s="5" t="s">
        <v>251</v>
      </c>
      <c r="BF2007" s="5" t="s">
        <v>252</v>
      </c>
      <c r="BG2007" s="5" t="s">
        <v>238</v>
      </c>
      <c r="BH2007" s="7">
        <f>0</f>
        <v>0</v>
      </c>
      <c r="BI2007" s="8">
        <f>0</f>
        <v>0</v>
      </c>
      <c r="BJ2007" s="5" t="s">
        <v>253</v>
      </c>
      <c r="BK2007" s="5" t="s">
        <v>254</v>
      </c>
      <c r="BY2007" s="5" t="s">
        <v>238</v>
      </c>
      <c r="BZ2007" s="5" t="s">
        <v>238</v>
      </c>
      <c r="CD2007" s="5" t="s">
        <v>273</v>
      </c>
      <c r="CE2007" s="5" t="s">
        <v>256</v>
      </c>
      <c r="CF2007" s="5" t="s">
        <v>238</v>
      </c>
      <c r="CI2007" s="6" t="s">
        <v>257</v>
      </c>
      <c r="CJ2007" s="5" t="s">
        <v>238</v>
      </c>
      <c r="CK2007" s="5" t="s">
        <v>258</v>
      </c>
      <c r="CL2007" s="5" t="s">
        <v>238</v>
      </c>
      <c r="CM2007" s="5" t="s">
        <v>238</v>
      </c>
      <c r="CN2007" s="5">
        <v>0</v>
      </c>
      <c r="CO2007" s="5" t="s">
        <v>259</v>
      </c>
      <c r="CP2007" s="5" t="s">
        <v>260</v>
      </c>
      <c r="CQ2007" s="5" t="s">
        <v>260</v>
      </c>
      <c r="CR2007" s="5" t="s">
        <v>261</v>
      </c>
      <c r="CU2007" s="8">
        <f>1</f>
        <v>1</v>
      </c>
      <c r="CV2007" s="8">
        <f>0</f>
        <v>0</v>
      </c>
      <c r="CX2007" s="8">
        <f>0</f>
        <v>0</v>
      </c>
      <c r="CY2007" s="8">
        <f>1</f>
        <v>1</v>
      </c>
      <c r="DA2007" s="5" t="s">
        <v>274</v>
      </c>
      <c r="DB2007" s="5" t="s">
        <v>238</v>
      </c>
      <c r="DD2007" s="5" t="s">
        <v>274</v>
      </c>
      <c r="DE2007" s="8">
        <f>597</f>
        <v>597</v>
      </c>
      <c r="DG2007" s="5" t="s">
        <v>238</v>
      </c>
      <c r="DH2007" s="5" t="s">
        <v>238</v>
      </c>
      <c r="DI2007" s="5" t="s">
        <v>238</v>
      </c>
      <c r="DJ2007" s="5" t="s">
        <v>238</v>
      </c>
      <c r="DN2007" s="5" t="s">
        <v>238</v>
      </c>
      <c r="DO2007" s="5" t="s">
        <v>238</v>
      </c>
      <c r="DP2007" s="5" t="s">
        <v>238</v>
      </c>
      <c r="DQ2007" s="5" t="s">
        <v>238</v>
      </c>
      <c r="DT2007" s="5" t="s">
        <v>275</v>
      </c>
      <c r="DU2007" s="5" t="s">
        <v>1084</v>
      </c>
      <c r="HM2007" s="5" t="s">
        <v>264</v>
      </c>
    </row>
    <row r="2008" spans="1:221" x14ac:dyDescent="0.4">
      <c r="A2008" s="5">
        <v>3712</v>
      </c>
      <c r="B2008" s="5">
        <v>1</v>
      </c>
      <c r="C2008" s="5">
        <v>1</v>
      </c>
      <c r="D2008" s="5" t="s">
        <v>269</v>
      </c>
      <c r="E2008" s="5" t="s">
        <v>271</v>
      </c>
      <c r="F2008" s="5" t="s">
        <v>248</v>
      </c>
      <c r="G2008" s="5" t="s">
        <v>266</v>
      </c>
      <c r="H2008" s="6" t="s">
        <v>1081</v>
      </c>
      <c r="I2008" s="7">
        <f>1539</f>
        <v>1539</v>
      </c>
      <c r="J2008" s="5" t="s">
        <v>262</v>
      </c>
      <c r="K2008" s="8">
        <f>1</f>
        <v>1</v>
      </c>
      <c r="L2008" s="6" t="s">
        <v>242</v>
      </c>
      <c r="M2008" s="5" t="s">
        <v>267</v>
      </c>
      <c r="N2008" s="5" t="s">
        <v>265</v>
      </c>
      <c r="O2008" s="5" t="s">
        <v>238</v>
      </c>
      <c r="P2008" s="5" t="s">
        <v>238</v>
      </c>
      <c r="Q2008" s="5" t="s">
        <v>268</v>
      </c>
      <c r="R2008" s="5" t="s">
        <v>270</v>
      </c>
      <c r="S2008" s="5" t="s">
        <v>238</v>
      </c>
      <c r="V2008" s="5" t="s">
        <v>238</v>
      </c>
      <c r="X2008" s="6" t="s">
        <v>238</v>
      </c>
      <c r="AA2008" s="6" t="s">
        <v>243</v>
      </c>
      <c r="AB2008" s="5" t="s">
        <v>238</v>
      </c>
      <c r="AC2008" s="5" t="s">
        <v>244</v>
      </c>
      <c r="AD2008" s="5" t="s">
        <v>245</v>
      </c>
      <c r="AT2008" s="5" t="s">
        <v>246</v>
      </c>
      <c r="AU2008" s="5" t="s">
        <v>238</v>
      </c>
      <c r="AV2008" s="5" t="s">
        <v>247</v>
      </c>
      <c r="AW2008" s="5" t="s">
        <v>238</v>
      </c>
      <c r="AX2008" s="5" t="s">
        <v>249</v>
      </c>
      <c r="AY2008" s="5" t="s">
        <v>238</v>
      </c>
      <c r="BA2008" s="5" t="s">
        <v>238</v>
      </c>
      <c r="BC2008" s="5" t="s">
        <v>250</v>
      </c>
      <c r="BD2008" s="6" t="s">
        <v>243</v>
      </c>
      <c r="BE2008" s="5" t="s">
        <v>251</v>
      </c>
      <c r="BF2008" s="5" t="s">
        <v>252</v>
      </c>
      <c r="BG2008" s="5" t="s">
        <v>238</v>
      </c>
      <c r="BH2008" s="7">
        <f>0</f>
        <v>0</v>
      </c>
      <c r="BI2008" s="8">
        <f>0</f>
        <v>0</v>
      </c>
      <c r="BJ2008" s="5" t="s">
        <v>253</v>
      </c>
      <c r="BK2008" s="5" t="s">
        <v>254</v>
      </c>
      <c r="BY2008" s="5" t="s">
        <v>238</v>
      </c>
      <c r="BZ2008" s="5" t="s">
        <v>238</v>
      </c>
      <c r="CD2008" s="5" t="s">
        <v>273</v>
      </c>
      <c r="CE2008" s="5" t="s">
        <v>256</v>
      </c>
      <c r="CF2008" s="5" t="s">
        <v>238</v>
      </c>
      <c r="CI2008" s="6" t="s">
        <v>257</v>
      </c>
      <c r="CJ2008" s="5" t="s">
        <v>238</v>
      </c>
      <c r="CK2008" s="5" t="s">
        <v>258</v>
      </c>
      <c r="CL2008" s="5" t="s">
        <v>238</v>
      </c>
      <c r="CM2008" s="5" t="s">
        <v>238</v>
      </c>
      <c r="CN2008" s="5">
        <v>0</v>
      </c>
      <c r="CO2008" s="5" t="s">
        <v>259</v>
      </c>
      <c r="CP2008" s="5" t="s">
        <v>260</v>
      </c>
      <c r="CQ2008" s="5" t="s">
        <v>260</v>
      </c>
      <c r="CR2008" s="5" t="s">
        <v>261</v>
      </c>
      <c r="CU2008" s="8">
        <f>1</f>
        <v>1</v>
      </c>
      <c r="CV2008" s="8">
        <f>0</f>
        <v>0</v>
      </c>
      <c r="CX2008" s="8">
        <f>0</f>
        <v>0</v>
      </c>
      <c r="CY2008" s="8">
        <f>1</f>
        <v>1</v>
      </c>
      <c r="DA2008" s="5" t="s">
        <v>274</v>
      </c>
      <c r="DB2008" s="5" t="s">
        <v>238</v>
      </c>
      <c r="DD2008" s="5" t="s">
        <v>274</v>
      </c>
      <c r="DE2008" s="8">
        <f>1539</f>
        <v>1539</v>
      </c>
      <c r="DG2008" s="5" t="s">
        <v>238</v>
      </c>
      <c r="DH2008" s="5" t="s">
        <v>238</v>
      </c>
      <c r="DI2008" s="5" t="s">
        <v>238</v>
      </c>
      <c r="DJ2008" s="5" t="s">
        <v>238</v>
      </c>
      <c r="DN2008" s="5" t="s">
        <v>238</v>
      </c>
      <c r="DO2008" s="5" t="s">
        <v>238</v>
      </c>
      <c r="DP2008" s="5" t="s">
        <v>238</v>
      </c>
      <c r="DQ2008" s="5" t="s">
        <v>238</v>
      </c>
      <c r="DT2008" s="5" t="s">
        <v>275</v>
      </c>
      <c r="DU2008" s="5" t="s">
        <v>1082</v>
      </c>
      <c r="HM2008" s="5" t="s">
        <v>264</v>
      </c>
    </row>
    <row r="2009" spans="1:221" x14ac:dyDescent="0.4">
      <c r="A2009" s="5">
        <v>3713</v>
      </c>
      <c r="B2009" s="5">
        <v>1</v>
      </c>
      <c r="C2009" s="5">
        <v>1</v>
      </c>
      <c r="D2009" s="5" t="s">
        <v>269</v>
      </c>
      <c r="E2009" s="5" t="s">
        <v>271</v>
      </c>
      <c r="F2009" s="5" t="s">
        <v>248</v>
      </c>
      <c r="G2009" s="5" t="s">
        <v>266</v>
      </c>
      <c r="H2009" s="6" t="s">
        <v>1077</v>
      </c>
      <c r="I2009" s="7">
        <f>274</f>
        <v>274</v>
      </c>
      <c r="J2009" s="5" t="s">
        <v>262</v>
      </c>
      <c r="K2009" s="8">
        <f>1</f>
        <v>1</v>
      </c>
      <c r="L2009" s="6" t="s">
        <v>242</v>
      </c>
      <c r="M2009" s="5" t="s">
        <v>267</v>
      </c>
      <c r="N2009" s="5" t="s">
        <v>265</v>
      </c>
      <c r="O2009" s="5" t="s">
        <v>238</v>
      </c>
      <c r="P2009" s="5" t="s">
        <v>238</v>
      </c>
      <c r="Q2009" s="5" t="s">
        <v>268</v>
      </c>
      <c r="R2009" s="5" t="s">
        <v>270</v>
      </c>
      <c r="S2009" s="5" t="s">
        <v>238</v>
      </c>
      <c r="V2009" s="5" t="s">
        <v>238</v>
      </c>
      <c r="X2009" s="6" t="s">
        <v>238</v>
      </c>
      <c r="AA2009" s="6" t="s">
        <v>243</v>
      </c>
      <c r="AB2009" s="5" t="s">
        <v>238</v>
      </c>
      <c r="AC2009" s="5" t="s">
        <v>244</v>
      </c>
      <c r="AD2009" s="5" t="s">
        <v>245</v>
      </c>
      <c r="AT2009" s="5" t="s">
        <v>246</v>
      </c>
      <c r="AU2009" s="5" t="s">
        <v>238</v>
      </c>
      <c r="AV2009" s="5" t="s">
        <v>247</v>
      </c>
      <c r="AW2009" s="5" t="s">
        <v>238</v>
      </c>
      <c r="AX2009" s="5" t="s">
        <v>249</v>
      </c>
      <c r="AY2009" s="5" t="s">
        <v>238</v>
      </c>
      <c r="BA2009" s="5" t="s">
        <v>238</v>
      </c>
      <c r="BC2009" s="5" t="s">
        <v>250</v>
      </c>
      <c r="BD2009" s="6" t="s">
        <v>243</v>
      </c>
      <c r="BE2009" s="5" t="s">
        <v>251</v>
      </c>
      <c r="BF2009" s="5" t="s">
        <v>252</v>
      </c>
      <c r="BG2009" s="5" t="s">
        <v>238</v>
      </c>
      <c r="BH2009" s="7">
        <f>0</f>
        <v>0</v>
      </c>
      <c r="BI2009" s="8">
        <f>0</f>
        <v>0</v>
      </c>
      <c r="BJ2009" s="5" t="s">
        <v>253</v>
      </c>
      <c r="BK2009" s="5" t="s">
        <v>254</v>
      </c>
      <c r="BY2009" s="5" t="s">
        <v>238</v>
      </c>
      <c r="BZ2009" s="5" t="s">
        <v>238</v>
      </c>
      <c r="CD2009" s="5" t="s">
        <v>273</v>
      </c>
      <c r="CE2009" s="5" t="s">
        <v>256</v>
      </c>
      <c r="CF2009" s="5" t="s">
        <v>238</v>
      </c>
      <c r="CI2009" s="6" t="s">
        <v>257</v>
      </c>
      <c r="CJ2009" s="5" t="s">
        <v>238</v>
      </c>
      <c r="CK2009" s="5" t="s">
        <v>258</v>
      </c>
      <c r="CL2009" s="5" t="s">
        <v>238</v>
      </c>
      <c r="CM2009" s="5" t="s">
        <v>238</v>
      </c>
      <c r="CN2009" s="5">
        <v>0</v>
      </c>
      <c r="CO2009" s="5" t="s">
        <v>259</v>
      </c>
      <c r="CP2009" s="5" t="s">
        <v>260</v>
      </c>
      <c r="CQ2009" s="5" t="s">
        <v>260</v>
      </c>
      <c r="CR2009" s="5" t="s">
        <v>261</v>
      </c>
      <c r="CU2009" s="8">
        <f>1</f>
        <v>1</v>
      </c>
      <c r="CV2009" s="8">
        <f>0</f>
        <v>0</v>
      </c>
      <c r="CX2009" s="8">
        <f>0</f>
        <v>0</v>
      </c>
      <c r="CY2009" s="8">
        <f>1</f>
        <v>1</v>
      </c>
      <c r="DA2009" s="5" t="s">
        <v>274</v>
      </c>
      <c r="DB2009" s="5" t="s">
        <v>238</v>
      </c>
      <c r="DD2009" s="5" t="s">
        <v>274</v>
      </c>
      <c r="DE2009" s="8">
        <f>274</f>
        <v>274</v>
      </c>
      <c r="DG2009" s="5" t="s">
        <v>238</v>
      </c>
      <c r="DH2009" s="5" t="s">
        <v>238</v>
      </c>
      <c r="DI2009" s="5" t="s">
        <v>238</v>
      </c>
      <c r="DJ2009" s="5" t="s">
        <v>238</v>
      </c>
      <c r="DN2009" s="5" t="s">
        <v>238</v>
      </c>
      <c r="DO2009" s="5" t="s">
        <v>238</v>
      </c>
      <c r="DP2009" s="5" t="s">
        <v>238</v>
      </c>
      <c r="DQ2009" s="5" t="s">
        <v>238</v>
      </c>
      <c r="DT2009" s="5" t="s">
        <v>275</v>
      </c>
      <c r="DU2009" s="5" t="s">
        <v>1078</v>
      </c>
      <c r="HM2009" s="5" t="s">
        <v>264</v>
      </c>
    </row>
    <row r="2010" spans="1:221" x14ac:dyDescent="0.4">
      <c r="A2010" s="5">
        <v>3714</v>
      </c>
      <c r="B2010" s="5">
        <v>1</v>
      </c>
      <c r="C2010" s="5">
        <v>1</v>
      </c>
      <c r="D2010" s="5" t="s">
        <v>269</v>
      </c>
      <c r="E2010" s="5" t="s">
        <v>271</v>
      </c>
      <c r="F2010" s="5" t="s">
        <v>248</v>
      </c>
      <c r="G2010" s="5" t="s">
        <v>266</v>
      </c>
      <c r="H2010" s="6" t="s">
        <v>1075</v>
      </c>
      <c r="I2010" s="7">
        <f>1298</f>
        <v>1298</v>
      </c>
      <c r="J2010" s="5" t="s">
        <v>262</v>
      </c>
      <c r="K2010" s="8">
        <f>1</f>
        <v>1</v>
      </c>
      <c r="L2010" s="6" t="s">
        <v>242</v>
      </c>
      <c r="M2010" s="5" t="s">
        <v>267</v>
      </c>
      <c r="N2010" s="5" t="s">
        <v>265</v>
      </c>
      <c r="O2010" s="5" t="s">
        <v>238</v>
      </c>
      <c r="P2010" s="5" t="s">
        <v>238</v>
      </c>
      <c r="Q2010" s="5" t="s">
        <v>268</v>
      </c>
      <c r="R2010" s="5" t="s">
        <v>270</v>
      </c>
      <c r="S2010" s="5" t="s">
        <v>238</v>
      </c>
      <c r="V2010" s="5" t="s">
        <v>238</v>
      </c>
      <c r="X2010" s="6" t="s">
        <v>238</v>
      </c>
      <c r="AA2010" s="6" t="s">
        <v>243</v>
      </c>
      <c r="AB2010" s="5" t="s">
        <v>238</v>
      </c>
      <c r="AC2010" s="5" t="s">
        <v>244</v>
      </c>
      <c r="AD2010" s="5" t="s">
        <v>245</v>
      </c>
      <c r="AT2010" s="5" t="s">
        <v>246</v>
      </c>
      <c r="AU2010" s="5" t="s">
        <v>238</v>
      </c>
      <c r="AV2010" s="5" t="s">
        <v>247</v>
      </c>
      <c r="AW2010" s="5" t="s">
        <v>238</v>
      </c>
      <c r="AX2010" s="5" t="s">
        <v>249</v>
      </c>
      <c r="AY2010" s="5" t="s">
        <v>238</v>
      </c>
      <c r="BA2010" s="5" t="s">
        <v>238</v>
      </c>
      <c r="BC2010" s="5" t="s">
        <v>250</v>
      </c>
      <c r="BD2010" s="6" t="s">
        <v>243</v>
      </c>
      <c r="BE2010" s="5" t="s">
        <v>251</v>
      </c>
      <c r="BF2010" s="5" t="s">
        <v>252</v>
      </c>
      <c r="BG2010" s="5" t="s">
        <v>238</v>
      </c>
      <c r="BH2010" s="7">
        <f>0</f>
        <v>0</v>
      </c>
      <c r="BI2010" s="8">
        <f>0</f>
        <v>0</v>
      </c>
      <c r="BJ2010" s="5" t="s">
        <v>253</v>
      </c>
      <c r="BK2010" s="5" t="s">
        <v>254</v>
      </c>
      <c r="BY2010" s="5" t="s">
        <v>238</v>
      </c>
      <c r="BZ2010" s="5" t="s">
        <v>238</v>
      </c>
      <c r="CD2010" s="5" t="s">
        <v>273</v>
      </c>
      <c r="CE2010" s="5" t="s">
        <v>256</v>
      </c>
      <c r="CF2010" s="5" t="s">
        <v>238</v>
      </c>
      <c r="CI2010" s="6" t="s">
        <v>257</v>
      </c>
      <c r="CJ2010" s="5" t="s">
        <v>238</v>
      </c>
      <c r="CK2010" s="5" t="s">
        <v>258</v>
      </c>
      <c r="CL2010" s="5" t="s">
        <v>238</v>
      </c>
      <c r="CM2010" s="5" t="s">
        <v>238</v>
      </c>
      <c r="CN2010" s="5">
        <v>0</v>
      </c>
      <c r="CO2010" s="5" t="s">
        <v>259</v>
      </c>
      <c r="CP2010" s="5" t="s">
        <v>260</v>
      </c>
      <c r="CQ2010" s="5" t="s">
        <v>260</v>
      </c>
      <c r="CR2010" s="5" t="s">
        <v>261</v>
      </c>
      <c r="CU2010" s="8">
        <f>1</f>
        <v>1</v>
      </c>
      <c r="CV2010" s="8">
        <f>0</f>
        <v>0</v>
      </c>
      <c r="CX2010" s="8">
        <f>0</f>
        <v>0</v>
      </c>
      <c r="CY2010" s="8">
        <f>1</f>
        <v>1</v>
      </c>
      <c r="DA2010" s="5" t="s">
        <v>274</v>
      </c>
      <c r="DB2010" s="5" t="s">
        <v>238</v>
      </c>
      <c r="DD2010" s="5" t="s">
        <v>274</v>
      </c>
      <c r="DE2010" s="8">
        <f>1298</f>
        <v>1298</v>
      </c>
      <c r="DG2010" s="5" t="s">
        <v>238</v>
      </c>
      <c r="DH2010" s="5" t="s">
        <v>238</v>
      </c>
      <c r="DI2010" s="5" t="s">
        <v>238</v>
      </c>
      <c r="DJ2010" s="5" t="s">
        <v>238</v>
      </c>
      <c r="DN2010" s="5" t="s">
        <v>238</v>
      </c>
      <c r="DO2010" s="5" t="s">
        <v>238</v>
      </c>
      <c r="DP2010" s="5" t="s">
        <v>238</v>
      </c>
      <c r="DQ2010" s="5" t="s">
        <v>238</v>
      </c>
      <c r="DT2010" s="5" t="s">
        <v>275</v>
      </c>
      <c r="DU2010" s="5" t="s">
        <v>1076</v>
      </c>
      <c r="HM2010" s="5" t="s">
        <v>264</v>
      </c>
    </row>
    <row r="2011" spans="1:221" x14ac:dyDescent="0.4">
      <c r="A2011" s="5">
        <v>3715</v>
      </c>
      <c r="B2011" s="5">
        <v>1</v>
      </c>
      <c r="C2011" s="5">
        <v>1</v>
      </c>
      <c r="D2011" s="5" t="s">
        <v>269</v>
      </c>
      <c r="E2011" s="5" t="s">
        <v>271</v>
      </c>
      <c r="F2011" s="5" t="s">
        <v>248</v>
      </c>
      <c r="G2011" s="5" t="s">
        <v>266</v>
      </c>
      <c r="H2011" s="6" t="s">
        <v>1069</v>
      </c>
      <c r="I2011" s="7">
        <f>2410</f>
        <v>2410</v>
      </c>
      <c r="J2011" s="5" t="s">
        <v>262</v>
      </c>
      <c r="K2011" s="8">
        <f>1</f>
        <v>1</v>
      </c>
      <c r="L2011" s="6" t="s">
        <v>242</v>
      </c>
      <c r="M2011" s="5" t="s">
        <v>267</v>
      </c>
      <c r="N2011" s="5" t="s">
        <v>265</v>
      </c>
      <c r="O2011" s="5" t="s">
        <v>238</v>
      </c>
      <c r="P2011" s="5" t="s">
        <v>238</v>
      </c>
      <c r="Q2011" s="5" t="s">
        <v>268</v>
      </c>
      <c r="R2011" s="5" t="s">
        <v>270</v>
      </c>
      <c r="S2011" s="5" t="s">
        <v>238</v>
      </c>
      <c r="V2011" s="5" t="s">
        <v>238</v>
      </c>
      <c r="X2011" s="6" t="s">
        <v>238</v>
      </c>
      <c r="AA2011" s="6" t="s">
        <v>243</v>
      </c>
      <c r="AB2011" s="5" t="s">
        <v>238</v>
      </c>
      <c r="AC2011" s="5" t="s">
        <v>244</v>
      </c>
      <c r="AD2011" s="5" t="s">
        <v>245</v>
      </c>
      <c r="AT2011" s="5" t="s">
        <v>246</v>
      </c>
      <c r="AU2011" s="5" t="s">
        <v>238</v>
      </c>
      <c r="AV2011" s="5" t="s">
        <v>247</v>
      </c>
      <c r="AW2011" s="5" t="s">
        <v>238</v>
      </c>
      <c r="AX2011" s="5" t="s">
        <v>249</v>
      </c>
      <c r="AY2011" s="5" t="s">
        <v>238</v>
      </c>
      <c r="BA2011" s="5" t="s">
        <v>238</v>
      </c>
      <c r="BC2011" s="5" t="s">
        <v>250</v>
      </c>
      <c r="BD2011" s="6" t="s">
        <v>243</v>
      </c>
      <c r="BE2011" s="5" t="s">
        <v>251</v>
      </c>
      <c r="BF2011" s="5" t="s">
        <v>252</v>
      </c>
      <c r="BG2011" s="5" t="s">
        <v>238</v>
      </c>
      <c r="BH2011" s="7">
        <f>0</f>
        <v>0</v>
      </c>
      <c r="BI2011" s="8">
        <f>0</f>
        <v>0</v>
      </c>
      <c r="BJ2011" s="5" t="s">
        <v>253</v>
      </c>
      <c r="BK2011" s="5" t="s">
        <v>254</v>
      </c>
      <c r="BY2011" s="5" t="s">
        <v>238</v>
      </c>
      <c r="BZ2011" s="5" t="s">
        <v>238</v>
      </c>
      <c r="CD2011" s="5" t="s">
        <v>273</v>
      </c>
      <c r="CE2011" s="5" t="s">
        <v>256</v>
      </c>
      <c r="CF2011" s="5" t="s">
        <v>238</v>
      </c>
      <c r="CI2011" s="6" t="s">
        <v>257</v>
      </c>
      <c r="CJ2011" s="5" t="s">
        <v>238</v>
      </c>
      <c r="CK2011" s="5" t="s">
        <v>258</v>
      </c>
      <c r="CL2011" s="5" t="s">
        <v>238</v>
      </c>
      <c r="CM2011" s="5" t="s">
        <v>238</v>
      </c>
      <c r="CN2011" s="5">
        <v>0</v>
      </c>
      <c r="CO2011" s="5" t="s">
        <v>259</v>
      </c>
      <c r="CP2011" s="5" t="s">
        <v>260</v>
      </c>
      <c r="CQ2011" s="5" t="s">
        <v>260</v>
      </c>
      <c r="CR2011" s="5" t="s">
        <v>261</v>
      </c>
      <c r="CU2011" s="8">
        <f>1</f>
        <v>1</v>
      </c>
      <c r="CV2011" s="8">
        <f>0</f>
        <v>0</v>
      </c>
      <c r="CX2011" s="8">
        <f>0</f>
        <v>0</v>
      </c>
      <c r="CY2011" s="8">
        <f>1</f>
        <v>1</v>
      </c>
      <c r="DA2011" s="5" t="s">
        <v>274</v>
      </c>
      <c r="DB2011" s="5" t="s">
        <v>238</v>
      </c>
      <c r="DD2011" s="5" t="s">
        <v>274</v>
      </c>
      <c r="DE2011" s="8">
        <f>2410</f>
        <v>2410</v>
      </c>
      <c r="DG2011" s="5" t="s">
        <v>238</v>
      </c>
      <c r="DH2011" s="5" t="s">
        <v>238</v>
      </c>
      <c r="DI2011" s="5" t="s">
        <v>238</v>
      </c>
      <c r="DJ2011" s="5" t="s">
        <v>238</v>
      </c>
      <c r="DN2011" s="5" t="s">
        <v>238</v>
      </c>
      <c r="DO2011" s="5" t="s">
        <v>238</v>
      </c>
      <c r="DP2011" s="5" t="s">
        <v>238</v>
      </c>
      <c r="DQ2011" s="5" t="s">
        <v>238</v>
      </c>
      <c r="DT2011" s="5" t="s">
        <v>275</v>
      </c>
      <c r="DU2011" s="5" t="s">
        <v>1070</v>
      </c>
      <c r="HM2011" s="5" t="s">
        <v>264</v>
      </c>
    </row>
    <row r="2012" spans="1:221" x14ac:dyDescent="0.4">
      <c r="A2012" s="5">
        <v>3716</v>
      </c>
      <c r="B2012" s="5">
        <v>1</v>
      </c>
      <c r="C2012" s="5">
        <v>1</v>
      </c>
      <c r="D2012" s="5" t="s">
        <v>269</v>
      </c>
      <c r="E2012" s="5" t="s">
        <v>271</v>
      </c>
      <c r="F2012" s="5" t="s">
        <v>248</v>
      </c>
      <c r="G2012" s="5" t="s">
        <v>266</v>
      </c>
      <c r="H2012" s="6" t="s">
        <v>1067</v>
      </c>
      <c r="I2012" s="7">
        <f>1598</f>
        <v>1598</v>
      </c>
      <c r="J2012" s="5" t="s">
        <v>262</v>
      </c>
      <c r="K2012" s="8">
        <f>1</f>
        <v>1</v>
      </c>
      <c r="L2012" s="6" t="s">
        <v>242</v>
      </c>
      <c r="M2012" s="5" t="s">
        <v>267</v>
      </c>
      <c r="N2012" s="5" t="s">
        <v>265</v>
      </c>
      <c r="O2012" s="5" t="s">
        <v>238</v>
      </c>
      <c r="P2012" s="5" t="s">
        <v>238</v>
      </c>
      <c r="Q2012" s="5" t="s">
        <v>268</v>
      </c>
      <c r="R2012" s="5" t="s">
        <v>270</v>
      </c>
      <c r="S2012" s="5" t="s">
        <v>238</v>
      </c>
      <c r="V2012" s="5" t="s">
        <v>238</v>
      </c>
      <c r="X2012" s="6" t="s">
        <v>238</v>
      </c>
      <c r="AA2012" s="6" t="s">
        <v>243</v>
      </c>
      <c r="AB2012" s="5" t="s">
        <v>238</v>
      </c>
      <c r="AC2012" s="5" t="s">
        <v>244</v>
      </c>
      <c r="AD2012" s="5" t="s">
        <v>245</v>
      </c>
      <c r="AT2012" s="5" t="s">
        <v>246</v>
      </c>
      <c r="AU2012" s="5" t="s">
        <v>238</v>
      </c>
      <c r="AV2012" s="5" t="s">
        <v>247</v>
      </c>
      <c r="AW2012" s="5" t="s">
        <v>238</v>
      </c>
      <c r="AX2012" s="5" t="s">
        <v>249</v>
      </c>
      <c r="AY2012" s="5" t="s">
        <v>238</v>
      </c>
      <c r="BA2012" s="5" t="s">
        <v>238</v>
      </c>
      <c r="BC2012" s="5" t="s">
        <v>250</v>
      </c>
      <c r="BD2012" s="6" t="s">
        <v>243</v>
      </c>
      <c r="BE2012" s="5" t="s">
        <v>251</v>
      </c>
      <c r="BF2012" s="5" t="s">
        <v>252</v>
      </c>
      <c r="BG2012" s="5" t="s">
        <v>238</v>
      </c>
      <c r="BH2012" s="7">
        <f>0</f>
        <v>0</v>
      </c>
      <c r="BI2012" s="8">
        <f>0</f>
        <v>0</v>
      </c>
      <c r="BJ2012" s="5" t="s">
        <v>253</v>
      </c>
      <c r="BK2012" s="5" t="s">
        <v>254</v>
      </c>
      <c r="BY2012" s="5" t="s">
        <v>238</v>
      </c>
      <c r="BZ2012" s="5" t="s">
        <v>238</v>
      </c>
      <c r="CD2012" s="5" t="s">
        <v>273</v>
      </c>
      <c r="CE2012" s="5" t="s">
        <v>256</v>
      </c>
      <c r="CF2012" s="5" t="s">
        <v>238</v>
      </c>
      <c r="CI2012" s="6" t="s">
        <v>257</v>
      </c>
      <c r="CJ2012" s="5" t="s">
        <v>238</v>
      </c>
      <c r="CK2012" s="5" t="s">
        <v>258</v>
      </c>
      <c r="CL2012" s="5" t="s">
        <v>238</v>
      </c>
      <c r="CM2012" s="5" t="s">
        <v>238</v>
      </c>
      <c r="CN2012" s="5">
        <v>0</v>
      </c>
      <c r="CO2012" s="5" t="s">
        <v>259</v>
      </c>
      <c r="CP2012" s="5" t="s">
        <v>260</v>
      </c>
      <c r="CQ2012" s="5" t="s">
        <v>260</v>
      </c>
      <c r="CR2012" s="5" t="s">
        <v>261</v>
      </c>
      <c r="CU2012" s="8">
        <f>1</f>
        <v>1</v>
      </c>
      <c r="CV2012" s="8">
        <f>0</f>
        <v>0</v>
      </c>
      <c r="CX2012" s="8">
        <f>0</f>
        <v>0</v>
      </c>
      <c r="CY2012" s="8">
        <f>1</f>
        <v>1</v>
      </c>
      <c r="DA2012" s="5" t="s">
        <v>274</v>
      </c>
      <c r="DB2012" s="5" t="s">
        <v>238</v>
      </c>
      <c r="DD2012" s="5" t="s">
        <v>274</v>
      </c>
      <c r="DE2012" s="8">
        <f>1598</f>
        <v>1598</v>
      </c>
      <c r="DG2012" s="5" t="s">
        <v>238</v>
      </c>
      <c r="DH2012" s="5" t="s">
        <v>238</v>
      </c>
      <c r="DI2012" s="5" t="s">
        <v>238</v>
      </c>
      <c r="DJ2012" s="5" t="s">
        <v>238</v>
      </c>
      <c r="DN2012" s="5" t="s">
        <v>238</v>
      </c>
      <c r="DO2012" s="5" t="s">
        <v>238</v>
      </c>
      <c r="DP2012" s="5" t="s">
        <v>238</v>
      </c>
      <c r="DQ2012" s="5" t="s">
        <v>238</v>
      </c>
      <c r="DT2012" s="5" t="s">
        <v>275</v>
      </c>
      <c r="DU2012" s="5" t="s">
        <v>1068</v>
      </c>
      <c r="HM2012" s="5" t="s">
        <v>264</v>
      </c>
    </row>
    <row r="2013" spans="1:221" x14ac:dyDescent="0.4">
      <c r="A2013" s="5">
        <v>3717</v>
      </c>
      <c r="B2013" s="5">
        <v>1</v>
      </c>
      <c r="C2013" s="5">
        <v>1</v>
      </c>
      <c r="D2013" s="5" t="s">
        <v>269</v>
      </c>
      <c r="E2013" s="5" t="s">
        <v>271</v>
      </c>
      <c r="F2013" s="5" t="s">
        <v>248</v>
      </c>
      <c r="G2013" s="5" t="s">
        <v>266</v>
      </c>
      <c r="H2013" s="6" t="s">
        <v>1063</v>
      </c>
      <c r="I2013" s="7">
        <f>1160</f>
        <v>1160</v>
      </c>
      <c r="J2013" s="5" t="s">
        <v>262</v>
      </c>
      <c r="K2013" s="8">
        <f>1</f>
        <v>1</v>
      </c>
      <c r="L2013" s="6" t="s">
        <v>242</v>
      </c>
      <c r="M2013" s="5" t="s">
        <v>267</v>
      </c>
      <c r="N2013" s="5" t="s">
        <v>265</v>
      </c>
      <c r="O2013" s="5" t="s">
        <v>238</v>
      </c>
      <c r="P2013" s="5" t="s">
        <v>238</v>
      </c>
      <c r="Q2013" s="5" t="s">
        <v>268</v>
      </c>
      <c r="R2013" s="5" t="s">
        <v>270</v>
      </c>
      <c r="S2013" s="5" t="s">
        <v>238</v>
      </c>
      <c r="V2013" s="5" t="s">
        <v>238</v>
      </c>
      <c r="X2013" s="6" t="s">
        <v>238</v>
      </c>
      <c r="AA2013" s="6" t="s">
        <v>243</v>
      </c>
      <c r="AB2013" s="5" t="s">
        <v>238</v>
      </c>
      <c r="AC2013" s="5" t="s">
        <v>244</v>
      </c>
      <c r="AD2013" s="5" t="s">
        <v>245</v>
      </c>
      <c r="AT2013" s="5" t="s">
        <v>246</v>
      </c>
      <c r="AU2013" s="5" t="s">
        <v>238</v>
      </c>
      <c r="AV2013" s="5" t="s">
        <v>247</v>
      </c>
      <c r="AW2013" s="5" t="s">
        <v>238</v>
      </c>
      <c r="AX2013" s="5" t="s">
        <v>249</v>
      </c>
      <c r="AY2013" s="5" t="s">
        <v>238</v>
      </c>
      <c r="BA2013" s="5" t="s">
        <v>238</v>
      </c>
      <c r="BC2013" s="5" t="s">
        <v>250</v>
      </c>
      <c r="BD2013" s="6" t="s">
        <v>243</v>
      </c>
      <c r="BE2013" s="5" t="s">
        <v>251</v>
      </c>
      <c r="BF2013" s="5" t="s">
        <v>252</v>
      </c>
      <c r="BG2013" s="5" t="s">
        <v>238</v>
      </c>
      <c r="BH2013" s="7">
        <f>0</f>
        <v>0</v>
      </c>
      <c r="BI2013" s="8">
        <f>0</f>
        <v>0</v>
      </c>
      <c r="BJ2013" s="5" t="s">
        <v>253</v>
      </c>
      <c r="BK2013" s="5" t="s">
        <v>254</v>
      </c>
      <c r="BY2013" s="5" t="s">
        <v>238</v>
      </c>
      <c r="BZ2013" s="5" t="s">
        <v>238</v>
      </c>
      <c r="CD2013" s="5" t="s">
        <v>273</v>
      </c>
      <c r="CE2013" s="5" t="s">
        <v>256</v>
      </c>
      <c r="CF2013" s="5" t="s">
        <v>238</v>
      </c>
      <c r="CI2013" s="6" t="s">
        <v>257</v>
      </c>
      <c r="CJ2013" s="5" t="s">
        <v>238</v>
      </c>
      <c r="CK2013" s="5" t="s">
        <v>258</v>
      </c>
      <c r="CL2013" s="5" t="s">
        <v>238</v>
      </c>
      <c r="CM2013" s="5" t="s">
        <v>238</v>
      </c>
      <c r="CN2013" s="5">
        <v>0</v>
      </c>
      <c r="CO2013" s="5" t="s">
        <v>259</v>
      </c>
      <c r="CP2013" s="5" t="s">
        <v>260</v>
      </c>
      <c r="CQ2013" s="5" t="s">
        <v>260</v>
      </c>
      <c r="CR2013" s="5" t="s">
        <v>261</v>
      </c>
      <c r="CU2013" s="8">
        <f>1</f>
        <v>1</v>
      </c>
      <c r="CV2013" s="8">
        <f>0</f>
        <v>0</v>
      </c>
      <c r="CX2013" s="8">
        <f>0</f>
        <v>0</v>
      </c>
      <c r="CY2013" s="8">
        <f>1</f>
        <v>1</v>
      </c>
      <c r="DA2013" s="5" t="s">
        <v>274</v>
      </c>
      <c r="DB2013" s="5" t="s">
        <v>238</v>
      </c>
      <c r="DD2013" s="5" t="s">
        <v>274</v>
      </c>
      <c r="DE2013" s="8">
        <f>1160</f>
        <v>1160</v>
      </c>
      <c r="DG2013" s="5" t="s">
        <v>238</v>
      </c>
      <c r="DH2013" s="5" t="s">
        <v>238</v>
      </c>
      <c r="DI2013" s="5" t="s">
        <v>238</v>
      </c>
      <c r="DJ2013" s="5" t="s">
        <v>238</v>
      </c>
      <c r="DN2013" s="5" t="s">
        <v>238</v>
      </c>
      <c r="DO2013" s="5" t="s">
        <v>238</v>
      </c>
      <c r="DP2013" s="5" t="s">
        <v>238</v>
      </c>
      <c r="DQ2013" s="5" t="s">
        <v>238</v>
      </c>
      <c r="DT2013" s="5" t="s">
        <v>275</v>
      </c>
      <c r="DU2013" s="5" t="s">
        <v>1064</v>
      </c>
      <c r="HM2013" s="5" t="s">
        <v>264</v>
      </c>
    </row>
    <row r="2014" spans="1:221" x14ac:dyDescent="0.4">
      <c r="A2014" s="5">
        <v>3718</v>
      </c>
      <c r="B2014" s="5">
        <v>1</v>
      </c>
      <c r="C2014" s="5">
        <v>1</v>
      </c>
      <c r="D2014" s="5" t="s">
        <v>269</v>
      </c>
      <c r="E2014" s="5" t="s">
        <v>271</v>
      </c>
      <c r="F2014" s="5" t="s">
        <v>248</v>
      </c>
      <c r="G2014" s="5" t="s">
        <v>266</v>
      </c>
      <c r="H2014" s="6" t="s">
        <v>1059</v>
      </c>
      <c r="I2014" s="7">
        <f>3258</f>
        <v>3258</v>
      </c>
      <c r="J2014" s="5" t="s">
        <v>262</v>
      </c>
      <c r="K2014" s="8">
        <f>1</f>
        <v>1</v>
      </c>
      <c r="L2014" s="6" t="s">
        <v>242</v>
      </c>
      <c r="M2014" s="5" t="s">
        <v>267</v>
      </c>
      <c r="N2014" s="5" t="s">
        <v>265</v>
      </c>
      <c r="O2014" s="5" t="s">
        <v>238</v>
      </c>
      <c r="P2014" s="5" t="s">
        <v>238</v>
      </c>
      <c r="Q2014" s="5" t="s">
        <v>268</v>
      </c>
      <c r="R2014" s="5" t="s">
        <v>270</v>
      </c>
      <c r="S2014" s="5" t="s">
        <v>238</v>
      </c>
      <c r="V2014" s="5" t="s">
        <v>238</v>
      </c>
      <c r="X2014" s="6" t="s">
        <v>238</v>
      </c>
      <c r="AA2014" s="6" t="s">
        <v>243</v>
      </c>
      <c r="AB2014" s="5" t="s">
        <v>238</v>
      </c>
      <c r="AC2014" s="5" t="s">
        <v>244</v>
      </c>
      <c r="AD2014" s="5" t="s">
        <v>245</v>
      </c>
      <c r="AT2014" s="5" t="s">
        <v>246</v>
      </c>
      <c r="AU2014" s="5" t="s">
        <v>238</v>
      </c>
      <c r="AV2014" s="5" t="s">
        <v>247</v>
      </c>
      <c r="AW2014" s="5" t="s">
        <v>238</v>
      </c>
      <c r="AX2014" s="5" t="s">
        <v>249</v>
      </c>
      <c r="AY2014" s="5" t="s">
        <v>238</v>
      </c>
      <c r="BA2014" s="5" t="s">
        <v>238</v>
      </c>
      <c r="BC2014" s="5" t="s">
        <v>250</v>
      </c>
      <c r="BD2014" s="6" t="s">
        <v>243</v>
      </c>
      <c r="BE2014" s="5" t="s">
        <v>251</v>
      </c>
      <c r="BF2014" s="5" t="s">
        <v>252</v>
      </c>
      <c r="BG2014" s="5" t="s">
        <v>238</v>
      </c>
      <c r="BH2014" s="7">
        <f>0</f>
        <v>0</v>
      </c>
      <c r="BI2014" s="8">
        <f>0</f>
        <v>0</v>
      </c>
      <c r="BJ2014" s="5" t="s">
        <v>253</v>
      </c>
      <c r="BK2014" s="5" t="s">
        <v>254</v>
      </c>
      <c r="BY2014" s="5" t="s">
        <v>238</v>
      </c>
      <c r="BZ2014" s="5" t="s">
        <v>238</v>
      </c>
      <c r="CD2014" s="5" t="s">
        <v>273</v>
      </c>
      <c r="CE2014" s="5" t="s">
        <v>256</v>
      </c>
      <c r="CF2014" s="5" t="s">
        <v>238</v>
      </c>
      <c r="CI2014" s="6" t="s">
        <v>257</v>
      </c>
      <c r="CJ2014" s="5" t="s">
        <v>238</v>
      </c>
      <c r="CK2014" s="5" t="s">
        <v>258</v>
      </c>
      <c r="CL2014" s="5" t="s">
        <v>238</v>
      </c>
      <c r="CM2014" s="5" t="s">
        <v>238</v>
      </c>
      <c r="CN2014" s="5">
        <v>0</v>
      </c>
      <c r="CO2014" s="5" t="s">
        <v>259</v>
      </c>
      <c r="CP2014" s="5" t="s">
        <v>260</v>
      </c>
      <c r="CQ2014" s="5" t="s">
        <v>260</v>
      </c>
      <c r="CR2014" s="5" t="s">
        <v>261</v>
      </c>
      <c r="CU2014" s="8">
        <f>1</f>
        <v>1</v>
      </c>
      <c r="CV2014" s="8">
        <f>0</f>
        <v>0</v>
      </c>
      <c r="CX2014" s="8">
        <f>0</f>
        <v>0</v>
      </c>
      <c r="CY2014" s="8">
        <f>1</f>
        <v>1</v>
      </c>
      <c r="DA2014" s="5" t="s">
        <v>274</v>
      </c>
      <c r="DB2014" s="5" t="s">
        <v>238</v>
      </c>
      <c r="DD2014" s="5" t="s">
        <v>274</v>
      </c>
      <c r="DE2014" s="8">
        <f>3258</f>
        <v>3258</v>
      </c>
      <c r="DG2014" s="5" t="s">
        <v>238</v>
      </c>
      <c r="DH2014" s="5" t="s">
        <v>238</v>
      </c>
      <c r="DI2014" s="5" t="s">
        <v>238</v>
      </c>
      <c r="DJ2014" s="5" t="s">
        <v>238</v>
      </c>
      <c r="DN2014" s="5" t="s">
        <v>238</v>
      </c>
      <c r="DO2014" s="5" t="s">
        <v>238</v>
      </c>
      <c r="DP2014" s="5" t="s">
        <v>238</v>
      </c>
      <c r="DQ2014" s="5" t="s">
        <v>238</v>
      </c>
      <c r="DT2014" s="5" t="s">
        <v>275</v>
      </c>
      <c r="DU2014" s="5" t="s">
        <v>1060</v>
      </c>
      <c r="HM2014" s="5" t="s">
        <v>264</v>
      </c>
    </row>
    <row r="2015" spans="1:221" x14ac:dyDescent="0.4">
      <c r="A2015" s="5">
        <v>3719</v>
      </c>
      <c r="B2015" s="5">
        <v>1</v>
      </c>
      <c r="C2015" s="5">
        <v>1</v>
      </c>
      <c r="D2015" s="5" t="s">
        <v>269</v>
      </c>
      <c r="E2015" s="5" t="s">
        <v>271</v>
      </c>
      <c r="F2015" s="5" t="s">
        <v>248</v>
      </c>
      <c r="G2015" s="5" t="s">
        <v>266</v>
      </c>
      <c r="H2015" s="6" t="s">
        <v>1055</v>
      </c>
      <c r="I2015" s="7">
        <f>2479</f>
        <v>2479</v>
      </c>
      <c r="J2015" s="5" t="s">
        <v>262</v>
      </c>
      <c r="K2015" s="8">
        <f>1</f>
        <v>1</v>
      </c>
      <c r="L2015" s="6" t="s">
        <v>242</v>
      </c>
      <c r="M2015" s="5" t="s">
        <v>267</v>
      </c>
      <c r="N2015" s="5" t="s">
        <v>265</v>
      </c>
      <c r="O2015" s="5" t="s">
        <v>238</v>
      </c>
      <c r="P2015" s="5" t="s">
        <v>238</v>
      </c>
      <c r="Q2015" s="5" t="s">
        <v>268</v>
      </c>
      <c r="R2015" s="5" t="s">
        <v>270</v>
      </c>
      <c r="S2015" s="5" t="s">
        <v>238</v>
      </c>
      <c r="V2015" s="5" t="s">
        <v>238</v>
      </c>
      <c r="X2015" s="6" t="s">
        <v>238</v>
      </c>
      <c r="AA2015" s="6" t="s">
        <v>243</v>
      </c>
      <c r="AB2015" s="5" t="s">
        <v>238</v>
      </c>
      <c r="AC2015" s="5" t="s">
        <v>244</v>
      </c>
      <c r="AD2015" s="5" t="s">
        <v>245</v>
      </c>
      <c r="AT2015" s="5" t="s">
        <v>246</v>
      </c>
      <c r="AU2015" s="5" t="s">
        <v>238</v>
      </c>
      <c r="AV2015" s="5" t="s">
        <v>247</v>
      </c>
      <c r="AW2015" s="5" t="s">
        <v>238</v>
      </c>
      <c r="AX2015" s="5" t="s">
        <v>249</v>
      </c>
      <c r="AY2015" s="5" t="s">
        <v>238</v>
      </c>
      <c r="BA2015" s="5" t="s">
        <v>238</v>
      </c>
      <c r="BC2015" s="5" t="s">
        <v>250</v>
      </c>
      <c r="BD2015" s="6" t="s">
        <v>243</v>
      </c>
      <c r="BE2015" s="5" t="s">
        <v>251</v>
      </c>
      <c r="BF2015" s="5" t="s">
        <v>252</v>
      </c>
      <c r="BG2015" s="5" t="s">
        <v>238</v>
      </c>
      <c r="BH2015" s="7">
        <f>0</f>
        <v>0</v>
      </c>
      <c r="BI2015" s="8">
        <f>0</f>
        <v>0</v>
      </c>
      <c r="BJ2015" s="5" t="s">
        <v>253</v>
      </c>
      <c r="BK2015" s="5" t="s">
        <v>254</v>
      </c>
      <c r="BY2015" s="5" t="s">
        <v>238</v>
      </c>
      <c r="BZ2015" s="5" t="s">
        <v>238</v>
      </c>
      <c r="CD2015" s="5" t="s">
        <v>273</v>
      </c>
      <c r="CE2015" s="5" t="s">
        <v>256</v>
      </c>
      <c r="CF2015" s="5" t="s">
        <v>238</v>
      </c>
      <c r="CI2015" s="6" t="s">
        <v>257</v>
      </c>
      <c r="CJ2015" s="5" t="s">
        <v>238</v>
      </c>
      <c r="CK2015" s="5" t="s">
        <v>258</v>
      </c>
      <c r="CL2015" s="5" t="s">
        <v>238</v>
      </c>
      <c r="CM2015" s="5" t="s">
        <v>238</v>
      </c>
      <c r="CN2015" s="5">
        <v>0</v>
      </c>
      <c r="CO2015" s="5" t="s">
        <v>259</v>
      </c>
      <c r="CP2015" s="5" t="s">
        <v>260</v>
      </c>
      <c r="CQ2015" s="5" t="s">
        <v>260</v>
      </c>
      <c r="CR2015" s="5" t="s">
        <v>261</v>
      </c>
      <c r="CU2015" s="8">
        <f>1</f>
        <v>1</v>
      </c>
      <c r="CV2015" s="8">
        <f>0</f>
        <v>0</v>
      </c>
      <c r="CX2015" s="8">
        <f>0</f>
        <v>0</v>
      </c>
      <c r="CY2015" s="8">
        <f>1</f>
        <v>1</v>
      </c>
      <c r="DA2015" s="5" t="s">
        <v>274</v>
      </c>
      <c r="DB2015" s="5" t="s">
        <v>238</v>
      </c>
      <c r="DD2015" s="5" t="s">
        <v>274</v>
      </c>
      <c r="DE2015" s="8">
        <f>2479</f>
        <v>2479</v>
      </c>
      <c r="DG2015" s="5" t="s">
        <v>238</v>
      </c>
      <c r="DH2015" s="5" t="s">
        <v>238</v>
      </c>
      <c r="DI2015" s="5" t="s">
        <v>238</v>
      </c>
      <c r="DJ2015" s="5" t="s">
        <v>238</v>
      </c>
      <c r="DN2015" s="5" t="s">
        <v>238</v>
      </c>
      <c r="DO2015" s="5" t="s">
        <v>238</v>
      </c>
      <c r="DP2015" s="5" t="s">
        <v>238</v>
      </c>
      <c r="DQ2015" s="5" t="s">
        <v>238</v>
      </c>
      <c r="DT2015" s="5" t="s">
        <v>275</v>
      </c>
      <c r="DU2015" s="5" t="s">
        <v>1056</v>
      </c>
      <c r="HM2015" s="5" t="s">
        <v>264</v>
      </c>
    </row>
    <row r="2016" spans="1:221" x14ac:dyDescent="0.4">
      <c r="A2016" s="5">
        <v>3720</v>
      </c>
      <c r="B2016" s="5">
        <v>1</v>
      </c>
      <c r="C2016" s="5">
        <v>1</v>
      </c>
      <c r="D2016" s="5" t="s">
        <v>269</v>
      </c>
      <c r="E2016" s="5" t="s">
        <v>271</v>
      </c>
      <c r="F2016" s="5" t="s">
        <v>248</v>
      </c>
      <c r="G2016" s="5" t="s">
        <v>266</v>
      </c>
      <c r="H2016" s="6" t="s">
        <v>1054</v>
      </c>
      <c r="I2016" s="7">
        <f>787</f>
        <v>787</v>
      </c>
      <c r="J2016" s="5" t="s">
        <v>262</v>
      </c>
      <c r="K2016" s="8">
        <f>1</f>
        <v>1</v>
      </c>
      <c r="L2016" s="6" t="s">
        <v>242</v>
      </c>
      <c r="M2016" s="5" t="s">
        <v>267</v>
      </c>
      <c r="N2016" s="5" t="s">
        <v>265</v>
      </c>
      <c r="O2016" s="5" t="s">
        <v>238</v>
      </c>
      <c r="P2016" s="5" t="s">
        <v>238</v>
      </c>
      <c r="Q2016" s="5" t="s">
        <v>268</v>
      </c>
      <c r="R2016" s="5" t="s">
        <v>270</v>
      </c>
      <c r="S2016" s="5" t="s">
        <v>238</v>
      </c>
      <c r="V2016" s="5" t="s">
        <v>238</v>
      </c>
      <c r="X2016" s="6" t="s">
        <v>238</v>
      </c>
      <c r="AA2016" s="6" t="s">
        <v>243</v>
      </c>
      <c r="AB2016" s="5" t="s">
        <v>238</v>
      </c>
      <c r="AC2016" s="5" t="s">
        <v>244</v>
      </c>
      <c r="AD2016" s="5" t="s">
        <v>245</v>
      </c>
      <c r="AT2016" s="5" t="s">
        <v>246</v>
      </c>
      <c r="AU2016" s="5" t="s">
        <v>238</v>
      </c>
      <c r="AV2016" s="5" t="s">
        <v>247</v>
      </c>
      <c r="AW2016" s="5" t="s">
        <v>238</v>
      </c>
      <c r="AX2016" s="5" t="s">
        <v>249</v>
      </c>
      <c r="AY2016" s="5" t="s">
        <v>238</v>
      </c>
      <c r="BA2016" s="5" t="s">
        <v>238</v>
      </c>
      <c r="BC2016" s="5" t="s">
        <v>250</v>
      </c>
      <c r="BD2016" s="6" t="s">
        <v>243</v>
      </c>
      <c r="BE2016" s="5" t="s">
        <v>251</v>
      </c>
      <c r="BF2016" s="5" t="s">
        <v>252</v>
      </c>
      <c r="BG2016" s="5" t="s">
        <v>238</v>
      </c>
      <c r="BH2016" s="7">
        <f>0</f>
        <v>0</v>
      </c>
      <c r="BI2016" s="8">
        <f>0</f>
        <v>0</v>
      </c>
      <c r="BJ2016" s="5" t="s">
        <v>253</v>
      </c>
      <c r="BK2016" s="5" t="s">
        <v>254</v>
      </c>
      <c r="BY2016" s="5" t="s">
        <v>238</v>
      </c>
      <c r="BZ2016" s="5" t="s">
        <v>238</v>
      </c>
      <c r="CD2016" s="5" t="s">
        <v>273</v>
      </c>
      <c r="CE2016" s="5" t="s">
        <v>256</v>
      </c>
      <c r="CF2016" s="5" t="s">
        <v>238</v>
      </c>
      <c r="CI2016" s="6" t="s">
        <v>257</v>
      </c>
      <c r="CJ2016" s="5" t="s">
        <v>238</v>
      </c>
      <c r="CK2016" s="5" t="s">
        <v>258</v>
      </c>
      <c r="CL2016" s="5" t="s">
        <v>238</v>
      </c>
      <c r="CM2016" s="5" t="s">
        <v>238</v>
      </c>
      <c r="CN2016" s="5">
        <v>0</v>
      </c>
      <c r="CO2016" s="5" t="s">
        <v>259</v>
      </c>
      <c r="CP2016" s="5" t="s">
        <v>260</v>
      </c>
      <c r="CQ2016" s="5" t="s">
        <v>260</v>
      </c>
      <c r="CR2016" s="5" t="s">
        <v>261</v>
      </c>
      <c r="CU2016" s="8">
        <f>1</f>
        <v>1</v>
      </c>
      <c r="CV2016" s="8">
        <f>0</f>
        <v>0</v>
      </c>
      <c r="CX2016" s="8">
        <f>0</f>
        <v>0</v>
      </c>
      <c r="CY2016" s="8">
        <f>1</f>
        <v>1</v>
      </c>
      <c r="DA2016" s="5" t="s">
        <v>274</v>
      </c>
      <c r="DB2016" s="5" t="s">
        <v>238</v>
      </c>
      <c r="DD2016" s="5" t="s">
        <v>274</v>
      </c>
      <c r="DE2016" s="8">
        <f>787</f>
        <v>787</v>
      </c>
      <c r="DG2016" s="5" t="s">
        <v>238</v>
      </c>
      <c r="DH2016" s="5" t="s">
        <v>238</v>
      </c>
      <c r="DI2016" s="5" t="s">
        <v>238</v>
      </c>
      <c r="DJ2016" s="5" t="s">
        <v>238</v>
      </c>
      <c r="DN2016" s="5" t="s">
        <v>238</v>
      </c>
      <c r="DO2016" s="5" t="s">
        <v>238</v>
      </c>
      <c r="DP2016" s="5" t="s">
        <v>238</v>
      </c>
      <c r="DQ2016" s="5" t="s">
        <v>238</v>
      </c>
      <c r="DT2016" s="5" t="s">
        <v>275</v>
      </c>
      <c r="DU2016" s="5" t="s">
        <v>245</v>
      </c>
      <c r="HM2016" s="5" t="s">
        <v>264</v>
      </c>
    </row>
    <row r="2017" spans="1:221" x14ac:dyDescent="0.4">
      <c r="A2017" s="5">
        <v>3721</v>
      </c>
      <c r="B2017" s="5">
        <v>1</v>
      </c>
      <c r="C2017" s="5">
        <v>1</v>
      </c>
      <c r="D2017" s="5" t="s">
        <v>269</v>
      </c>
      <c r="E2017" s="5" t="s">
        <v>271</v>
      </c>
      <c r="F2017" s="5" t="s">
        <v>248</v>
      </c>
      <c r="G2017" s="5" t="s">
        <v>266</v>
      </c>
      <c r="H2017" s="6" t="s">
        <v>1048</v>
      </c>
      <c r="I2017" s="7">
        <f>639</f>
        <v>639</v>
      </c>
      <c r="J2017" s="5" t="s">
        <v>262</v>
      </c>
      <c r="K2017" s="8">
        <f>1</f>
        <v>1</v>
      </c>
      <c r="L2017" s="6" t="s">
        <v>242</v>
      </c>
      <c r="M2017" s="5" t="s">
        <v>267</v>
      </c>
      <c r="N2017" s="5" t="s">
        <v>265</v>
      </c>
      <c r="O2017" s="5" t="s">
        <v>238</v>
      </c>
      <c r="P2017" s="5" t="s">
        <v>238</v>
      </c>
      <c r="Q2017" s="5" t="s">
        <v>268</v>
      </c>
      <c r="R2017" s="5" t="s">
        <v>270</v>
      </c>
      <c r="S2017" s="5" t="s">
        <v>238</v>
      </c>
      <c r="V2017" s="5" t="s">
        <v>238</v>
      </c>
      <c r="X2017" s="6" t="s">
        <v>238</v>
      </c>
      <c r="AA2017" s="6" t="s">
        <v>243</v>
      </c>
      <c r="AB2017" s="5" t="s">
        <v>238</v>
      </c>
      <c r="AC2017" s="5" t="s">
        <v>244</v>
      </c>
      <c r="AD2017" s="5" t="s">
        <v>245</v>
      </c>
      <c r="AT2017" s="5" t="s">
        <v>246</v>
      </c>
      <c r="AU2017" s="5" t="s">
        <v>238</v>
      </c>
      <c r="AV2017" s="5" t="s">
        <v>247</v>
      </c>
      <c r="AW2017" s="5" t="s">
        <v>238</v>
      </c>
      <c r="AX2017" s="5" t="s">
        <v>249</v>
      </c>
      <c r="AY2017" s="5" t="s">
        <v>238</v>
      </c>
      <c r="BA2017" s="5" t="s">
        <v>238</v>
      </c>
      <c r="BC2017" s="5" t="s">
        <v>250</v>
      </c>
      <c r="BD2017" s="6" t="s">
        <v>243</v>
      </c>
      <c r="BE2017" s="5" t="s">
        <v>251</v>
      </c>
      <c r="BF2017" s="5" t="s">
        <v>252</v>
      </c>
      <c r="BG2017" s="5" t="s">
        <v>238</v>
      </c>
      <c r="BH2017" s="7">
        <f>0</f>
        <v>0</v>
      </c>
      <c r="BI2017" s="8">
        <f>0</f>
        <v>0</v>
      </c>
      <c r="BJ2017" s="5" t="s">
        <v>253</v>
      </c>
      <c r="BK2017" s="5" t="s">
        <v>254</v>
      </c>
      <c r="BY2017" s="5" t="s">
        <v>238</v>
      </c>
      <c r="BZ2017" s="5" t="s">
        <v>238</v>
      </c>
      <c r="CD2017" s="5" t="s">
        <v>273</v>
      </c>
      <c r="CE2017" s="5" t="s">
        <v>256</v>
      </c>
      <c r="CF2017" s="5" t="s">
        <v>238</v>
      </c>
      <c r="CI2017" s="6" t="s">
        <v>257</v>
      </c>
      <c r="CJ2017" s="5" t="s">
        <v>238</v>
      </c>
      <c r="CK2017" s="5" t="s">
        <v>258</v>
      </c>
      <c r="CL2017" s="5" t="s">
        <v>238</v>
      </c>
      <c r="CM2017" s="5" t="s">
        <v>238</v>
      </c>
      <c r="CN2017" s="5">
        <v>0</v>
      </c>
      <c r="CO2017" s="5" t="s">
        <v>259</v>
      </c>
      <c r="CP2017" s="5" t="s">
        <v>260</v>
      </c>
      <c r="CQ2017" s="5" t="s">
        <v>260</v>
      </c>
      <c r="CR2017" s="5" t="s">
        <v>261</v>
      </c>
      <c r="CU2017" s="8">
        <f>1</f>
        <v>1</v>
      </c>
      <c r="CV2017" s="8">
        <f>0</f>
        <v>0</v>
      </c>
      <c r="CX2017" s="8">
        <f>0</f>
        <v>0</v>
      </c>
      <c r="CY2017" s="8">
        <f>1</f>
        <v>1</v>
      </c>
      <c r="DA2017" s="5" t="s">
        <v>274</v>
      </c>
      <c r="DB2017" s="5" t="s">
        <v>238</v>
      </c>
      <c r="DD2017" s="5" t="s">
        <v>274</v>
      </c>
      <c r="DE2017" s="8">
        <f>639</f>
        <v>639</v>
      </c>
      <c r="DG2017" s="5" t="s">
        <v>238</v>
      </c>
      <c r="DH2017" s="5" t="s">
        <v>238</v>
      </c>
      <c r="DI2017" s="5" t="s">
        <v>238</v>
      </c>
      <c r="DJ2017" s="5" t="s">
        <v>238</v>
      </c>
      <c r="DN2017" s="5" t="s">
        <v>238</v>
      </c>
      <c r="DO2017" s="5" t="s">
        <v>238</v>
      </c>
      <c r="DP2017" s="5" t="s">
        <v>238</v>
      </c>
      <c r="DQ2017" s="5" t="s">
        <v>238</v>
      </c>
      <c r="DT2017" s="5" t="s">
        <v>275</v>
      </c>
      <c r="DU2017" s="5" t="s">
        <v>1049</v>
      </c>
      <c r="HM2017" s="5" t="s">
        <v>264</v>
      </c>
    </row>
    <row r="2018" spans="1:221" x14ac:dyDescent="0.4">
      <c r="A2018" s="5">
        <v>3722</v>
      </c>
      <c r="B2018" s="5">
        <v>1</v>
      </c>
      <c r="C2018" s="5">
        <v>1</v>
      </c>
      <c r="D2018" s="5" t="s">
        <v>269</v>
      </c>
      <c r="E2018" s="5" t="s">
        <v>271</v>
      </c>
      <c r="F2018" s="5" t="s">
        <v>248</v>
      </c>
      <c r="G2018" s="5" t="s">
        <v>266</v>
      </c>
      <c r="H2018" s="6" t="s">
        <v>1044</v>
      </c>
      <c r="I2018" s="7">
        <f>2010</f>
        <v>2010</v>
      </c>
      <c r="J2018" s="5" t="s">
        <v>262</v>
      </c>
      <c r="K2018" s="8">
        <f>1</f>
        <v>1</v>
      </c>
      <c r="L2018" s="6" t="s">
        <v>242</v>
      </c>
      <c r="M2018" s="5" t="s">
        <v>267</v>
      </c>
      <c r="N2018" s="5" t="s">
        <v>265</v>
      </c>
      <c r="O2018" s="5" t="s">
        <v>238</v>
      </c>
      <c r="P2018" s="5" t="s">
        <v>238</v>
      </c>
      <c r="Q2018" s="5" t="s">
        <v>268</v>
      </c>
      <c r="R2018" s="5" t="s">
        <v>270</v>
      </c>
      <c r="S2018" s="5" t="s">
        <v>238</v>
      </c>
      <c r="V2018" s="5" t="s">
        <v>238</v>
      </c>
      <c r="X2018" s="6" t="s">
        <v>238</v>
      </c>
      <c r="AA2018" s="6" t="s">
        <v>243</v>
      </c>
      <c r="AB2018" s="5" t="s">
        <v>238</v>
      </c>
      <c r="AC2018" s="5" t="s">
        <v>244</v>
      </c>
      <c r="AD2018" s="5" t="s">
        <v>245</v>
      </c>
      <c r="AT2018" s="5" t="s">
        <v>246</v>
      </c>
      <c r="AU2018" s="5" t="s">
        <v>238</v>
      </c>
      <c r="AV2018" s="5" t="s">
        <v>247</v>
      </c>
      <c r="AW2018" s="5" t="s">
        <v>238</v>
      </c>
      <c r="AX2018" s="5" t="s">
        <v>249</v>
      </c>
      <c r="AY2018" s="5" t="s">
        <v>238</v>
      </c>
      <c r="BA2018" s="5" t="s">
        <v>238</v>
      </c>
      <c r="BC2018" s="5" t="s">
        <v>250</v>
      </c>
      <c r="BD2018" s="6" t="s">
        <v>243</v>
      </c>
      <c r="BE2018" s="5" t="s">
        <v>251</v>
      </c>
      <c r="BF2018" s="5" t="s">
        <v>252</v>
      </c>
      <c r="BG2018" s="5" t="s">
        <v>238</v>
      </c>
      <c r="BH2018" s="7">
        <f>0</f>
        <v>0</v>
      </c>
      <c r="BI2018" s="8">
        <f>0</f>
        <v>0</v>
      </c>
      <c r="BJ2018" s="5" t="s">
        <v>253</v>
      </c>
      <c r="BK2018" s="5" t="s">
        <v>254</v>
      </c>
      <c r="BY2018" s="5" t="s">
        <v>238</v>
      </c>
      <c r="BZ2018" s="5" t="s">
        <v>238</v>
      </c>
      <c r="CD2018" s="5" t="s">
        <v>273</v>
      </c>
      <c r="CE2018" s="5" t="s">
        <v>256</v>
      </c>
      <c r="CF2018" s="5" t="s">
        <v>238</v>
      </c>
      <c r="CI2018" s="6" t="s">
        <v>257</v>
      </c>
      <c r="CJ2018" s="5" t="s">
        <v>238</v>
      </c>
      <c r="CK2018" s="5" t="s">
        <v>258</v>
      </c>
      <c r="CL2018" s="5" t="s">
        <v>238</v>
      </c>
      <c r="CM2018" s="5" t="s">
        <v>238</v>
      </c>
      <c r="CN2018" s="5">
        <v>0</v>
      </c>
      <c r="CO2018" s="5" t="s">
        <v>259</v>
      </c>
      <c r="CP2018" s="5" t="s">
        <v>260</v>
      </c>
      <c r="CQ2018" s="5" t="s">
        <v>260</v>
      </c>
      <c r="CR2018" s="5" t="s">
        <v>261</v>
      </c>
      <c r="CU2018" s="8">
        <f>1</f>
        <v>1</v>
      </c>
      <c r="CV2018" s="8">
        <f>0</f>
        <v>0</v>
      </c>
      <c r="CX2018" s="8">
        <f>0</f>
        <v>0</v>
      </c>
      <c r="CY2018" s="8">
        <f>1</f>
        <v>1</v>
      </c>
      <c r="DA2018" s="5" t="s">
        <v>274</v>
      </c>
      <c r="DB2018" s="5" t="s">
        <v>238</v>
      </c>
      <c r="DD2018" s="5" t="s">
        <v>274</v>
      </c>
      <c r="DE2018" s="8">
        <f>2010</f>
        <v>2010</v>
      </c>
      <c r="DG2018" s="5" t="s">
        <v>238</v>
      </c>
      <c r="DH2018" s="5" t="s">
        <v>238</v>
      </c>
      <c r="DI2018" s="5" t="s">
        <v>238</v>
      </c>
      <c r="DJ2018" s="5" t="s">
        <v>238</v>
      </c>
      <c r="DN2018" s="5" t="s">
        <v>238</v>
      </c>
      <c r="DO2018" s="5" t="s">
        <v>238</v>
      </c>
      <c r="DP2018" s="5" t="s">
        <v>238</v>
      </c>
      <c r="DQ2018" s="5" t="s">
        <v>238</v>
      </c>
      <c r="DT2018" s="5" t="s">
        <v>275</v>
      </c>
      <c r="DU2018" s="5" t="s">
        <v>1045</v>
      </c>
      <c r="HM2018" s="5" t="s">
        <v>264</v>
      </c>
    </row>
    <row r="2019" spans="1:221" x14ac:dyDescent="0.4">
      <c r="A2019" s="5">
        <v>3723</v>
      </c>
      <c r="B2019" s="5">
        <v>1</v>
      </c>
      <c r="C2019" s="5">
        <v>1</v>
      </c>
      <c r="D2019" s="5" t="s">
        <v>269</v>
      </c>
      <c r="E2019" s="5" t="s">
        <v>271</v>
      </c>
      <c r="F2019" s="5" t="s">
        <v>248</v>
      </c>
      <c r="G2019" s="5" t="s">
        <v>266</v>
      </c>
      <c r="H2019" s="6" t="s">
        <v>1042</v>
      </c>
      <c r="I2019" s="7">
        <f>115</f>
        <v>115</v>
      </c>
      <c r="J2019" s="5" t="s">
        <v>262</v>
      </c>
      <c r="K2019" s="8">
        <f>1</f>
        <v>1</v>
      </c>
      <c r="L2019" s="6" t="s">
        <v>242</v>
      </c>
      <c r="M2019" s="5" t="s">
        <v>267</v>
      </c>
      <c r="N2019" s="5" t="s">
        <v>265</v>
      </c>
      <c r="O2019" s="5" t="s">
        <v>238</v>
      </c>
      <c r="P2019" s="5" t="s">
        <v>238</v>
      </c>
      <c r="Q2019" s="5" t="s">
        <v>268</v>
      </c>
      <c r="R2019" s="5" t="s">
        <v>270</v>
      </c>
      <c r="S2019" s="5" t="s">
        <v>238</v>
      </c>
      <c r="V2019" s="5" t="s">
        <v>238</v>
      </c>
      <c r="X2019" s="6" t="s">
        <v>238</v>
      </c>
      <c r="AA2019" s="6" t="s">
        <v>243</v>
      </c>
      <c r="AB2019" s="5" t="s">
        <v>238</v>
      </c>
      <c r="AC2019" s="5" t="s">
        <v>244</v>
      </c>
      <c r="AD2019" s="5" t="s">
        <v>245</v>
      </c>
      <c r="AT2019" s="5" t="s">
        <v>246</v>
      </c>
      <c r="AU2019" s="5" t="s">
        <v>238</v>
      </c>
      <c r="AV2019" s="5" t="s">
        <v>247</v>
      </c>
      <c r="AW2019" s="5" t="s">
        <v>238</v>
      </c>
      <c r="AX2019" s="5" t="s">
        <v>249</v>
      </c>
      <c r="AY2019" s="5" t="s">
        <v>238</v>
      </c>
      <c r="BA2019" s="5" t="s">
        <v>238</v>
      </c>
      <c r="BC2019" s="5" t="s">
        <v>250</v>
      </c>
      <c r="BD2019" s="6" t="s">
        <v>243</v>
      </c>
      <c r="BE2019" s="5" t="s">
        <v>251</v>
      </c>
      <c r="BF2019" s="5" t="s">
        <v>252</v>
      </c>
      <c r="BG2019" s="5" t="s">
        <v>238</v>
      </c>
      <c r="BH2019" s="7">
        <f>0</f>
        <v>0</v>
      </c>
      <c r="BI2019" s="8">
        <f>0</f>
        <v>0</v>
      </c>
      <c r="BJ2019" s="5" t="s">
        <v>253</v>
      </c>
      <c r="BK2019" s="5" t="s">
        <v>254</v>
      </c>
      <c r="BY2019" s="5" t="s">
        <v>238</v>
      </c>
      <c r="BZ2019" s="5" t="s">
        <v>238</v>
      </c>
      <c r="CD2019" s="5" t="s">
        <v>273</v>
      </c>
      <c r="CE2019" s="5" t="s">
        <v>256</v>
      </c>
      <c r="CF2019" s="5" t="s">
        <v>238</v>
      </c>
      <c r="CI2019" s="6" t="s">
        <v>257</v>
      </c>
      <c r="CJ2019" s="5" t="s">
        <v>238</v>
      </c>
      <c r="CK2019" s="5" t="s">
        <v>258</v>
      </c>
      <c r="CL2019" s="5" t="s">
        <v>238</v>
      </c>
      <c r="CM2019" s="5" t="s">
        <v>238</v>
      </c>
      <c r="CN2019" s="5">
        <v>0</v>
      </c>
      <c r="CO2019" s="5" t="s">
        <v>259</v>
      </c>
      <c r="CP2019" s="5" t="s">
        <v>260</v>
      </c>
      <c r="CQ2019" s="5" t="s">
        <v>260</v>
      </c>
      <c r="CR2019" s="5" t="s">
        <v>261</v>
      </c>
      <c r="CU2019" s="8">
        <f>1</f>
        <v>1</v>
      </c>
      <c r="CV2019" s="8">
        <f>0</f>
        <v>0</v>
      </c>
      <c r="CX2019" s="8">
        <f>0</f>
        <v>0</v>
      </c>
      <c r="CY2019" s="8">
        <f>1</f>
        <v>1</v>
      </c>
      <c r="DA2019" s="5" t="s">
        <v>274</v>
      </c>
      <c r="DB2019" s="5" t="s">
        <v>238</v>
      </c>
      <c r="DD2019" s="5" t="s">
        <v>274</v>
      </c>
      <c r="DE2019" s="8">
        <f>115</f>
        <v>115</v>
      </c>
      <c r="DG2019" s="5" t="s">
        <v>238</v>
      </c>
      <c r="DH2019" s="5" t="s">
        <v>238</v>
      </c>
      <c r="DI2019" s="5" t="s">
        <v>238</v>
      </c>
      <c r="DJ2019" s="5" t="s">
        <v>238</v>
      </c>
      <c r="DN2019" s="5" t="s">
        <v>238</v>
      </c>
      <c r="DO2019" s="5" t="s">
        <v>238</v>
      </c>
      <c r="DP2019" s="5" t="s">
        <v>238</v>
      </c>
      <c r="DQ2019" s="5" t="s">
        <v>238</v>
      </c>
      <c r="DT2019" s="5" t="s">
        <v>275</v>
      </c>
      <c r="DU2019" s="5" t="s">
        <v>1043</v>
      </c>
      <c r="HM2019" s="5" t="s">
        <v>264</v>
      </c>
    </row>
    <row r="2020" spans="1:221" x14ac:dyDescent="0.4">
      <c r="A2020" s="5">
        <v>3724</v>
      </c>
      <c r="B2020" s="5">
        <v>1</v>
      </c>
      <c r="C2020" s="5">
        <v>1</v>
      </c>
      <c r="D2020" s="5" t="s">
        <v>269</v>
      </c>
      <c r="E2020" s="5" t="s">
        <v>271</v>
      </c>
      <c r="F2020" s="5" t="s">
        <v>248</v>
      </c>
      <c r="G2020" s="5" t="s">
        <v>266</v>
      </c>
      <c r="H2020" s="6" t="s">
        <v>1040</v>
      </c>
      <c r="I2020" s="7">
        <f>233</f>
        <v>233</v>
      </c>
      <c r="J2020" s="5" t="s">
        <v>262</v>
      </c>
      <c r="K2020" s="8">
        <f>1</f>
        <v>1</v>
      </c>
      <c r="L2020" s="6" t="s">
        <v>242</v>
      </c>
      <c r="M2020" s="5" t="s">
        <v>267</v>
      </c>
      <c r="N2020" s="5" t="s">
        <v>265</v>
      </c>
      <c r="O2020" s="5" t="s">
        <v>238</v>
      </c>
      <c r="P2020" s="5" t="s">
        <v>238</v>
      </c>
      <c r="Q2020" s="5" t="s">
        <v>268</v>
      </c>
      <c r="R2020" s="5" t="s">
        <v>270</v>
      </c>
      <c r="S2020" s="5" t="s">
        <v>238</v>
      </c>
      <c r="V2020" s="5" t="s">
        <v>238</v>
      </c>
      <c r="X2020" s="6" t="s">
        <v>238</v>
      </c>
      <c r="AA2020" s="6" t="s">
        <v>243</v>
      </c>
      <c r="AB2020" s="5" t="s">
        <v>238</v>
      </c>
      <c r="AC2020" s="5" t="s">
        <v>244</v>
      </c>
      <c r="AD2020" s="5" t="s">
        <v>245</v>
      </c>
      <c r="AT2020" s="5" t="s">
        <v>246</v>
      </c>
      <c r="AU2020" s="5" t="s">
        <v>238</v>
      </c>
      <c r="AV2020" s="5" t="s">
        <v>247</v>
      </c>
      <c r="AW2020" s="5" t="s">
        <v>238</v>
      </c>
      <c r="AX2020" s="5" t="s">
        <v>249</v>
      </c>
      <c r="AY2020" s="5" t="s">
        <v>238</v>
      </c>
      <c r="BA2020" s="5" t="s">
        <v>238</v>
      </c>
      <c r="BC2020" s="5" t="s">
        <v>250</v>
      </c>
      <c r="BD2020" s="6" t="s">
        <v>243</v>
      </c>
      <c r="BE2020" s="5" t="s">
        <v>251</v>
      </c>
      <c r="BF2020" s="5" t="s">
        <v>252</v>
      </c>
      <c r="BG2020" s="5" t="s">
        <v>238</v>
      </c>
      <c r="BH2020" s="7">
        <f>0</f>
        <v>0</v>
      </c>
      <c r="BI2020" s="8">
        <f>0</f>
        <v>0</v>
      </c>
      <c r="BJ2020" s="5" t="s">
        <v>253</v>
      </c>
      <c r="BK2020" s="5" t="s">
        <v>254</v>
      </c>
      <c r="BY2020" s="5" t="s">
        <v>238</v>
      </c>
      <c r="BZ2020" s="5" t="s">
        <v>238</v>
      </c>
      <c r="CD2020" s="5" t="s">
        <v>273</v>
      </c>
      <c r="CE2020" s="5" t="s">
        <v>256</v>
      </c>
      <c r="CF2020" s="5" t="s">
        <v>238</v>
      </c>
      <c r="CI2020" s="6" t="s">
        <v>257</v>
      </c>
      <c r="CJ2020" s="5" t="s">
        <v>238</v>
      </c>
      <c r="CK2020" s="5" t="s">
        <v>258</v>
      </c>
      <c r="CL2020" s="5" t="s">
        <v>238</v>
      </c>
      <c r="CM2020" s="5" t="s">
        <v>238</v>
      </c>
      <c r="CN2020" s="5">
        <v>0</v>
      </c>
      <c r="CO2020" s="5" t="s">
        <v>259</v>
      </c>
      <c r="CP2020" s="5" t="s">
        <v>260</v>
      </c>
      <c r="CQ2020" s="5" t="s">
        <v>260</v>
      </c>
      <c r="CR2020" s="5" t="s">
        <v>261</v>
      </c>
      <c r="CU2020" s="8">
        <f>1</f>
        <v>1</v>
      </c>
      <c r="CV2020" s="8">
        <f>0</f>
        <v>0</v>
      </c>
      <c r="CX2020" s="8">
        <f>0</f>
        <v>0</v>
      </c>
      <c r="CY2020" s="8">
        <f>1</f>
        <v>1</v>
      </c>
      <c r="DA2020" s="5" t="s">
        <v>274</v>
      </c>
      <c r="DB2020" s="5" t="s">
        <v>238</v>
      </c>
      <c r="DD2020" s="5" t="s">
        <v>274</v>
      </c>
      <c r="DE2020" s="8">
        <f>233</f>
        <v>233</v>
      </c>
      <c r="DG2020" s="5" t="s">
        <v>238</v>
      </c>
      <c r="DH2020" s="5" t="s">
        <v>238</v>
      </c>
      <c r="DI2020" s="5" t="s">
        <v>238</v>
      </c>
      <c r="DJ2020" s="5" t="s">
        <v>238</v>
      </c>
      <c r="DN2020" s="5" t="s">
        <v>238</v>
      </c>
      <c r="DO2020" s="5" t="s">
        <v>238</v>
      </c>
      <c r="DP2020" s="5" t="s">
        <v>238</v>
      </c>
      <c r="DQ2020" s="5" t="s">
        <v>238</v>
      </c>
      <c r="DT2020" s="5" t="s">
        <v>275</v>
      </c>
      <c r="DU2020" s="5" t="s">
        <v>1041</v>
      </c>
      <c r="HM2020" s="5" t="s">
        <v>264</v>
      </c>
    </row>
    <row r="2021" spans="1:221" x14ac:dyDescent="0.4">
      <c r="A2021" s="5">
        <v>3725</v>
      </c>
      <c r="B2021" s="5">
        <v>1</v>
      </c>
      <c r="C2021" s="5">
        <v>1</v>
      </c>
      <c r="D2021" s="5" t="s">
        <v>269</v>
      </c>
      <c r="E2021" s="5" t="s">
        <v>271</v>
      </c>
      <c r="F2021" s="5" t="s">
        <v>248</v>
      </c>
      <c r="G2021" s="5" t="s">
        <v>266</v>
      </c>
      <c r="H2021" s="6" t="s">
        <v>1036</v>
      </c>
      <c r="I2021" s="7">
        <f>268</f>
        <v>268</v>
      </c>
      <c r="J2021" s="5" t="s">
        <v>262</v>
      </c>
      <c r="K2021" s="8">
        <f>1</f>
        <v>1</v>
      </c>
      <c r="L2021" s="6" t="s">
        <v>242</v>
      </c>
      <c r="M2021" s="5" t="s">
        <v>267</v>
      </c>
      <c r="N2021" s="5" t="s">
        <v>265</v>
      </c>
      <c r="O2021" s="5" t="s">
        <v>238</v>
      </c>
      <c r="P2021" s="5" t="s">
        <v>238</v>
      </c>
      <c r="Q2021" s="5" t="s">
        <v>268</v>
      </c>
      <c r="R2021" s="5" t="s">
        <v>270</v>
      </c>
      <c r="S2021" s="5" t="s">
        <v>238</v>
      </c>
      <c r="V2021" s="5" t="s">
        <v>238</v>
      </c>
      <c r="X2021" s="6" t="s">
        <v>238</v>
      </c>
      <c r="AA2021" s="6" t="s">
        <v>243</v>
      </c>
      <c r="AB2021" s="5" t="s">
        <v>238</v>
      </c>
      <c r="AC2021" s="5" t="s">
        <v>244</v>
      </c>
      <c r="AD2021" s="5" t="s">
        <v>245</v>
      </c>
      <c r="AT2021" s="5" t="s">
        <v>246</v>
      </c>
      <c r="AU2021" s="5" t="s">
        <v>238</v>
      </c>
      <c r="AV2021" s="5" t="s">
        <v>247</v>
      </c>
      <c r="AW2021" s="5" t="s">
        <v>238</v>
      </c>
      <c r="AX2021" s="5" t="s">
        <v>249</v>
      </c>
      <c r="AY2021" s="5" t="s">
        <v>238</v>
      </c>
      <c r="BA2021" s="5" t="s">
        <v>238</v>
      </c>
      <c r="BC2021" s="5" t="s">
        <v>250</v>
      </c>
      <c r="BD2021" s="6" t="s">
        <v>243</v>
      </c>
      <c r="BE2021" s="5" t="s">
        <v>251</v>
      </c>
      <c r="BF2021" s="5" t="s">
        <v>252</v>
      </c>
      <c r="BG2021" s="5" t="s">
        <v>238</v>
      </c>
      <c r="BH2021" s="7">
        <f>0</f>
        <v>0</v>
      </c>
      <c r="BI2021" s="8">
        <f>0</f>
        <v>0</v>
      </c>
      <c r="BJ2021" s="5" t="s">
        <v>253</v>
      </c>
      <c r="BK2021" s="5" t="s">
        <v>254</v>
      </c>
      <c r="BY2021" s="5" t="s">
        <v>238</v>
      </c>
      <c r="BZ2021" s="5" t="s">
        <v>238</v>
      </c>
      <c r="CD2021" s="5" t="s">
        <v>273</v>
      </c>
      <c r="CE2021" s="5" t="s">
        <v>256</v>
      </c>
      <c r="CF2021" s="5" t="s">
        <v>238</v>
      </c>
      <c r="CI2021" s="6" t="s">
        <v>257</v>
      </c>
      <c r="CJ2021" s="5" t="s">
        <v>238</v>
      </c>
      <c r="CK2021" s="5" t="s">
        <v>258</v>
      </c>
      <c r="CL2021" s="5" t="s">
        <v>238</v>
      </c>
      <c r="CM2021" s="5" t="s">
        <v>238</v>
      </c>
      <c r="CN2021" s="5">
        <v>0</v>
      </c>
      <c r="CO2021" s="5" t="s">
        <v>259</v>
      </c>
      <c r="CP2021" s="5" t="s">
        <v>260</v>
      </c>
      <c r="CQ2021" s="5" t="s">
        <v>260</v>
      </c>
      <c r="CR2021" s="5" t="s">
        <v>261</v>
      </c>
      <c r="CU2021" s="8">
        <f>1</f>
        <v>1</v>
      </c>
      <c r="CV2021" s="8">
        <f>0</f>
        <v>0</v>
      </c>
      <c r="CX2021" s="8">
        <f>0</f>
        <v>0</v>
      </c>
      <c r="CY2021" s="8">
        <f>1</f>
        <v>1</v>
      </c>
      <c r="DA2021" s="5" t="s">
        <v>274</v>
      </c>
      <c r="DB2021" s="5" t="s">
        <v>238</v>
      </c>
      <c r="DD2021" s="5" t="s">
        <v>274</v>
      </c>
      <c r="DE2021" s="8">
        <f>268</f>
        <v>268</v>
      </c>
      <c r="DG2021" s="5" t="s">
        <v>238</v>
      </c>
      <c r="DH2021" s="5" t="s">
        <v>238</v>
      </c>
      <c r="DI2021" s="5" t="s">
        <v>238</v>
      </c>
      <c r="DJ2021" s="5" t="s">
        <v>238</v>
      </c>
      <c r="DN2021" s="5" t="s">
        <v>238</v>
      </c>
      <c r="DO2021" s="5" t="s">
        <v>238</v>
      </c>
      <c r="DP2021" s="5" t="s">
        <v>238</v>
      </c>
      <c r="DQ2021" s="5" t="s">
        <v>238</v>
      </c>
      <c r="DT2021" s="5" t="s">
        <v>275</v>
      </c>
      <c r="DU2021" s="5" t="s">
        <v>1037</v>
      </c>
      <c r="HM2021" s="5" t="s">
        <v>264</v>
      </c>
    </row>
    <row r="2022" spans="1:221" x14ac:dyDescent="0.4">
      <c r="A2022" s="5">
        <v>3726</v>
      </c>
      <c r="B2022" s="5">
        <v>1</v>
      </c>
      <c r="C2022" s="5">
        <v>1</v>
      </c>
      <c r="D2022" s="5" t="s">
        <v>269</v>
      </c>
      <c r="E2022" s="5" t="s">
        <v>271</v>
      </c>
      <c r="F2022" s="5" t="s">
        <v>248</v>
      </c>
      <c r="G2022" s="5" t="s">
        <v>266</v>
      </c>
      <c r="H2022" s="6" t="s">
        <v>1032</v>
      </c>
      <c r="I2022" s="7">
        <f>232</f>
        <v>232</v>
      </c>
      <c r="J2022" s="5" t="s">
        <v>262</v>
      </c>
      <c r="K2022" s="8">
        <f>1</f>
        <v>1</v>
      </c>
      <c r="L2022" s="6" t="s">
        <v>242</v>
      </c>
      <c r="M2022" s="5" t="s">
        <v>267</v>
      </c>
      <c r="N2022" s="5" t="s">
        <v>265</v>
      </c>
      <c r="O2022" s="5" t="s">
        <v>238</v>
      </c>
      <c r="P2022" s="5" t="s">
        <v>238</v>
      </c>
      <c r="Q2022" s="5" t="s">
        <v>268</v>
      </c>
      <c r="R2022" s="5" t="s">
        <v>270</v>
      </c>
      <c r="S2022" s="5" t="s">
        <v>238</v>
      </c>
      <c r="V2022" s="5" t="s">
        <v>238</v>
      </c>
      <c r="X2022" s="6" t="s">
        <v>238</v>
      </c>
      <c r="AA2022" s="6" t="s">
        <v>243</v>
      </c>
      <c r="AB2022" s="5" t="s">
        <v>238</v>
      </c>
      <c r="AC2022" s="5" t="s">
        <v>244</v>
      </c>
      <c r="AD2022" s="5" t="s">
        <v>245</v>
      </c>
      <c r="AT2022" s="5" t="s">
        <v>246</v>
      </c>
      <c r="AU2022" s="5" t="s">
        <v>238</v>
      </c>
      <c r="AV2022" s="5" t="s">
        <v>247</v>
      </c>
      <c r="AW2022" s="5" t="s">
        <v>238</v>
      </c>
      <c r="AX2022" s="5" t="s">
        <v>249</v>
      </c>
      <c r="AY2022" s="5" t="s">
        <v>238</v>
      </c>
      <c r="BA2022" s="5" t="s">
        <v>238</v>
      </c>
      <c r="BC2022" s="5" t="s">
        <v>250</v>
      </c>
      <c r="BD2022" s="6" t="s">
        <v>243</v>
      </c>
      <c r="BE2022" s="5" t="s">
        <v>251</v>
      </c>
      <c r="BF2022" s="5" t="s">
        <v>252</v>
      </c>
      <c r="BG2022" s="5" t="s">
        <v>238</v>
      </c>
      <c r="BH2022" s="7">
        <f>0</f>
        <v>0</v>
      </c>
      <c r="BI2022" s="8">
        <f>0</f>
        <v>0</v>
      </c>
      <c r="BJ2022" s="5" t="s">
        <v>253</v>
      </c>
      <c r="BK2022" s="5" t="s">
        <v>254</v>
      </c>
      <c r="BY2022" s="5" t="s">
        <v>238</v>
      </c>
      <c r="BZ2022" s="5" t="s">
        <v>238</v>
      </c>
      <c r="CD2022" s="5" t="s">
        <v>273</v>
      </c>
      <c r="CE2022" s="5" t="s">
        <v>256</v>
      </c>
      <c r="CF2022" s="5" t="s">
        <v>238</v>
      </c>
      <c r="CI2022" s="6" t="s">
        <v>257</v>
      </c>
      <c r="CJ2022" s="5" t="s">
        <v>238</v>
      </c>
      <c r="CK2022" s="5" t="s">
        <v>258</v>
      </c>
      <c r="CL2022" s="5" t="s">
        <v>238</v>
      </c>
      <c r="CM2022" s="5" t="s">
        <v>238</v>
      </c>
      <c r="CN2022" s="5">
        <v>0</v>
      </c>
      <c r="CO2022" s="5" t="s">
        <v>259</v>
      </c>
      <c r="CP2022" s="5" t="s">
        <v>260</v>
      </c>
      <c r="CQ2022" s="5" t="s">
        <v>260</v>
      </c>
      <c r="CR2022" s="5" t="s">
        <v>261</v>
      </c>
      <c r="CU2022" s="8">
        <f>1</f>
        <v>1</v>
      </c>
      <c r="CV2022" s="8">
        <f>0</f>
        <v>0</v>
      </c>
      <c r="CX2022" s="8">
        <f>0</f>
        <v>0</v>
      </c>
      <c r="CY2022" s="8">
        <f>1</f>
        <v>1</v>
      </c>
      <c r="DA2022" s="5" t="s">
        <v>274</v>
      </c>
      <c r="DB2022" s="5" t="s">
        <v>238</v>
      </c>
      <c r="DD2022" s="5" t="s">
        <v>274</v>
      </c>
      <c r="DE2022" s="8">
        <f>232</f>
        <v>232</v>
      </c>
      <c r="DG2022" s="5" t="s">
        <v>238</v>
      </c>
      <c r="DH2022" s="5" t="s">
        <v>238</v>
      </c>
      <c r="DI2022" s="5" t="s">
        <v>238</v>
      </c>
      <c r="DJ2022" s="5" t="s">
        <v>238</v>
      </c>
      <c r="DN2022" s="5" t="s">
        <v>238</v>
      </c>
      <c r="DO2022" s="5" t="s">
        <v>238</v>
      </c>
      <c r="DP2022" s="5" t="s">
        <v>238</v>
      </c>
      <c r="DQ2022" s="5" t="s">
        <v>238</v>
      </c>
      <c r="DT2022" s="5" t="s">
        <v>275</v>
      </c>
      <c r="DU2022" s="5" t="s">
        <v>1033</v>
      </c>
      <c r="HM2022" s="5" t="s">
        <v>264</v>
      </c>
    </row>
    <row r="2023" spans="1:221" x14ac:dyDescent="0.4">
      <c r="A2023" s="5">
        <v>3727</v>
      </c>
      <c r="B2023" s="5">
        <v>1</v>
      </c>
      <c r="C2023" s="5">
        <v>1</v>
      </c>
      <c r="D2023" s="5" t="s">
        <v>269</v>
      </c>
      <c r="E2023" s="5" t="s">
        <v>271</v>
      </c>
      <c r="F2023" s="5" t="s">
        <v>248</v>
      </c>
      <c r="G2023" s="5" t="s">
        <v>266</v>
      </c>
      <c r="H2023" s="6" t="s">
        <v>1030</v>
      </c>
      <c r="I2023" s="7">
        <f>61</f>
        <v>61</v>
      </c>
      <c r="J2023" s="5" t="s">
        <v>262</v>
      </c>
      <c r="K2023" s="8">
        <f>1</f>
        <v>1</v>
      </c>
      <c r="L2023" s="6" t="s">
        <v>242</v>
      </c>
      <c r="M2023" s="5" t="s">
        <v>267</v>
      </c>
      <c r="N2023" s="5" t="s">
        <v>265</v>
      </c>
      <c r="O2023" s="5" t="s">
        <v>238</v>
      </c>
      <c r="P2023" s="5" t="s">
        <v>238</v>
      </c>
      <c r="Q2023" s="5" t="s">
        <v>268</v>
      </c>
      <c r="R2023" s="5" t="s">
        <v>270</v>
      </c>
      <c r="S2023" s="5" t="s">
        <v>238</v>
      </c>
      <c r="V2023" s="5" t="s">
        <v>238</v>
      </c>
      <c r="X2023" s="6" t="s">
        <v>238</v>
      </c>
      <c r="AA2023" s="6" t="s">
        <v>243</v>
      </c>
      <c r="AB2023" s="5" t="s">
        <v>238</v>
      </c>
      <c r="AC2023" s="5" t="s">
        <v>244</v>
      </c>
      <c r="AD2023" s="5" t="s">
        <v>245</v>
      </c>
      <c r="AT2023" s="5" t="s">
        <v>246</v>
      </c>
      <c r="AU2023" s="5" t="s">
        <v>238</v>
      </c>
      <c r="AV2023" s="5" t="s">
        <v>247</v>
      </c>
      <c r="AW2023" s="5" t="s">
        <v>238</v>
      </c>
      <c r="AX2023" s="5" t="s">
        <v>249</v>
      </c>
      <c r="AY2023" s="5" t="s">
        <v>238</v>
      </c>
      <c r="BA2023" s="5" t="s">
        <v>238</v>
      </c>
      <c r="BC2023" s="5" t="s">
        <v>250</v>
      </c>
      <c r="BD2023" s="6" t="s">
        <v>243</v>
      </c>
      <c r="BE2023" s="5" t="s">
        <v>251</v>
      </c>
      <c r="BF2023" s="5" t="s">
        <v>252</v>
      </c>
      <c r="BG2023" s="5" t="s">
        <v>238</v>
      </c>
      <c r="BH2023" s="7">
        <f>0</f>
        <v>0</v>
      </c>
      <c r="BI2023" s="8">
        <f>0</f>
        <v>0</v>
      </c>
      <c r="BJ2023" s="5" t="s">
        <v>253</v>
      </c>
      <c r="BK2023" s="5" t="s">
        <v>254</v>
      </c>
      <c r="BY2023" s="5" t="s">
        <v>238</v>
      </c>
      <c r="BZ2023" s="5" t="s">
        <v>238</v>
      </c>
      <c r="CD2023" s="5" t="s">
        <v>273</v>
      </c>
      <c r="CE2023" s="5" t="s">
        <v>256</v>
      </c>
      <c r="CF2023" s="5" t="s">
        <v>238</v>
      </c>
      <c r="CI2023" s="6" t="s">
        <v>257</v>
      </c>
      <c r="CJ2023" s="5" t="s">
        <v>238</v>
      </c>
      <c r="CK2023" s="5" t="s">
        <v>258</v>
      </c>
      <c r="CL2023" s="5" t="s">
        <v>238</v>
      </c>
      <c r="CM2023" s="5" t="s">
        <v>238</v>
      </c>
      <c r="CN2023" s="5">
        <v>0</v>
      </c>
      <c r="CO2023" s="5" t="s">
        <v>259</v>
      </c>
      <c r="CP2023" s="5" t="s">
        <v>260</v>
      </c>
      <c r="CQ2023" s="5" t="s">
        <v>260</v>
      </c>
      <c r="CR2023" s="5" t="s">
        <v>261</v>
      </c>
      <c r="CU2023" s="8">
        <f>1</f>
        <v>1</v>
      </c>
      <c r="CV2023" s="8">
        <f>0</f>
        <v>0</v>
      </c>
      <c r="CX2023" s="8">
        <f>0</f>
        <v>0</v>
      </c>
      <c r="CY2023" s="8">
        <f>1</f>
        <v>1</v>
      </c>
      <c r="DA2023" s="5" t="s">
        <v>274</v>
      </c>
      <c r="DB2023" s="5" t="s">
        <v>238</v>
      </c>
      <c r="DD2023" s="5" t="s">
        <v>274</v>
      </c>
      <c r="DE2023" s="8">
        <f>61</f>
        <v>61</v>
      </c>
      <c r="DG2023" s="5" t="s">
        <v>238</v>
      </c>
      <c r="DH2023" s="5" t="s">
        <v>238</v>
      </c>
      <c r="DI2023" s="5" t="s">
        <v>238</v>
      </c>
      <c r="DJ2023" s="5" t="s">
        <v>238</v>
      </c>
      <c r="DN2023" s="5" t="s">
        <v>238</v>
      </c>
      <c r="DO2023" s="5" t="s">
        <v>238</v>
      </c>
      <c r="DP2023" s="5" t="s">
        <v>238</v>
      </c>
      <c r="DQ2023" s="5" t="s">
        <v>238</v>
      </c>
      <c r="DT2023" s="5" t="s">
        <v>275</v>
      </c>
      <c r="DU2023" s="5" t="s">
        <v>1031</v>
      </c>
      <c r="HM2023" s="5" t="s">
        <v>264</v>
      </c>
    </row>
    <row r="2024" spans="1:221" x14ac:dyDescent="0.4">
      <c r="A2024" s="5">
        <v>3728</v>
      </c>
      <c r="B2024" s="5">
        <v>1</v>
      </c>
      <c r="C2024" s="5">
        <v>1</v>
      </c>
      <c r="D2024" s="5" t="s">
        <v>269</v>
      </c>
      <c r="E2024" s="5" t="s">
        <v>271</v>
      </c>
      <c r="F2024" s="5" t="s">
        <v>248</v>
      </c>
      <c r="G2024" s="5" t="s">
        <v>266</v>
      </c>
      <c r="H2024" s="6" t="s">
        <v>1028</v>
      </c>
      <c r="I2024" s="7">
        <f>394</f>
        <v>394</v>
      </c>
      <c r="J2024" s="5" t="s">
        <v>262</v>
      </c>
      <c r="K2024" s="8">
        <f>1</f>
        <v>1</v>
      </c>
      <c r="L2024" s="6" t="s">
        <v>242</v>
      </c>
      <c r="M2024" s="5" t="s">
        <v>267</v>
      </c>
      <c r="N2024" s="5" t="s">
        <v>265</v>
      </c>
      <c r="O2024" s="5" t="s">
        <v>238</v>
      </c>
      <c r="P2024" s="5" t="s">
        <v>238</v>
      </c>
      <c r="Q2024" s="5" t="s">
        <v>268</v>
      </c>
      <c r="R2024" s="5" t="s">
        <v>270</v>
      </c>
      <c r="S2024" s="5" t="s">
        <v>238</v>
      </c>
      <c r="V2024" s="5" t="s">
        <v>238</v>
      </c>
      <c r="X2024" s="6" t="s">
        <v>238</v>
      </c>
      <c r="AA2024" s="6" t="s">
        <v>243</v>
      </c>
      <c r="AB2024" s="5" t="s">
        <v>238</v>
      </c>
      <c r="AC2024" s="5" t="s">
        <v>244</v>
      </c>
      <c r="AD2024" s="5" t="s">
        <v>245</v>
      </c>
      <c r="AT2024" s="5" t="s">
        <v>246</v>
      </c>
      <c r="AU2024" s="5" t="s">
        <v>238</v>
      </c>
      <c r="AV2024" s="5" t="s">
        <v>247</v>
      </c>
      <c r="AW2024" s="5" t="s">
        <v>238</v>
      </c>
      <c r="AX2024" s="5" t="s">
        <v>249</v>
      </c>
      <c r="AY2024" s="5" t="s">
        <v>238</v>
      </c>
      <c r="BA2024" s="5" t="s">
        <v>238</v>
      </c>
      <c r="BC2024" s="5" t="s">
        <v>250</v>
      </c>
      <c r="BD2024" s="6" t="s">
        <v>243</v>
      </c>
      <c r="BE2024" s="5" t="s">
        <v>251</v>
      </c>
      <c r="BF2024" s="5" t="s">
        <v>252</v>
      </c>
      <c r="BG2024" s="5" t="s">
        <v>238</v>
      </c>
      <c r="BH2024" s="7">
        <f>0</f>
        <v>0</v>
      </c>
      <c r="BI2024" s="8">
        <f>0</f>
        <v>0</v>
      </c>
      <c r="BJ2024" s="5" t="s">
        <v>253</v>
      </c>
      <c r="BK2024" s="5" t="s">
        <v>254</v>
      </c>
      <c r="BY2024" s="5" t="s">
        <v>238</v>
      </c>
      <c r="BZ2024" s="5" t="s">
        <v>238</v>
      </c>
      <c r="CD2024" s="5" t="s">
        <v>273</v>
      </c>
      <c r="CE2024" s="5" t="s">
        <v>256</v>
      </c>
      <c r="CF2024" s="5" t="s">
        <v>238</v>
      </c>
      <c r="CI2024" s="6" t="s">
        <v>257</v>
      </c>
      <c r="CJ2024" s="5" t="s">
        <v>238</v>
      </c>
      <c r="CK2024" s="5" t="s">
        <v>258</v>
      </c>
      <c r="CL2024" s="5" t="s">
        <v>238</v>
      </c>
      <c r="CM2024" s="5" t="s">
        <v>238</v>
      </c>
      <c r="CN2024" s="5">
        <v>0</v>
      </c>
      <c r="CO2024" s="5" t="s">
        <v>259</v>
      </c>
      <c r="CP2024" s="5" t="s">
        <v>260</v>
      </c>
      <c r="CQ2024" s="5" t="s">
        <v>260</v>
      </c>
      <c r="CR2024" s="5" t="s">
        <v>261</v>
      </c>
      <c r="CU2024" s="8">
        <f>1</f>
        <v>1</v>
      </c>
      <c r="CV2024" s="8">
        <f>0</f>
        <v>0</v>
      </c>
      <c r="CX2024" s="8">
        <f>0</f>
        <v>0</v>
      </c>
      <c r="CY2024" s="8">
        <f>1</f>
        <v>1</v>
      </c>
      <c r="DA2024" s="5" t="s">
        <v>274</v>
      </c>
      <c r="DB2024" s="5" t="s">
        <v>238</v>
      </c>
      <c r="DD2024" s="5" t="s">
        <v>274</v>
      </c>
      <c r="DE2024" s="8">
        <f>394</f>
        <v>394</v>
      </c>
      <c r="DG2024" s="5" t="s">
        <v>238</v>
      </c>
      <c r="DH2024" s="5" t="s">
        <v>238</v>
      </c>
      <c r="DI2024" s="5" t="s">
        <v>238</v>
      </c>
      <c r="DJ2024" s="5" t="s">
        <v>238</v>
      </c>
      <c r="DN2024" s="5" t="s">
        <v>238</v>
      </c>
      <c r="DO2024" s="5" t="s">
        <v>238</v>
      </c>
      <c r="DP2024" s="5" t="s">
        <v>238</v>
      </c>
      <c r="DQ2024" s="5" t="s">
        <v>238</v>
      </c>
      <c r="DT2024" s="5" t="s">
        <v>275</v>
      </c>
      <c r="DU2024" s="5" t="s">
        <v>1029</v>
      </c>
      <c r="HM2024" s="5" t="s">
        <v>264</v>
      </c>
    </row>
    <row r="2025" spans="1:221" x14ac:dyDescent="0.4">
      <c r="A2025" s="5">
        <v>3729</v>
      </c>
      <c r="B2025" s="5">
        <v>1</v>
      </c>
      <c r="C2025" s="5">
        <v>1</v>
      </c>
      <c r="D2025" s="5" t="s">
        <v>269</v>
      </c>
      <c r="E2025" s="5" t="s">
        <v>271</v>
      </c>
      <c r="F2025" s="5" t="s">
        <v>248</v>
      </c>
      <c r="G2025" s="5" t="s">
        <v>266</v>
      </c>
      <c r="H2025" s="6" t="s">
        <v>1024</v>
      </c>
      <c r="I2025" s="7">
        <f>138</f>
        <v>138</v>
      </c>
      <c r="J2025" s="5" t="s">
        <v>262</v>
      </c>
      <c r="K2025" s="8">
        <f>1</f>
        <v>1</v>
      </c>
      <c r="L2025" s="6" t="s">
        <v>242</v>
      </c>
      <c r="M2025" s="5" t="s">
        <v>267</v>
      </c>
      <c r="N2025" s="5" t="s">
        <v>265</v>
      </c>
      <c r="O2025" s="5" t="s">
        <v>238</v>
      </c>
      <c r="P2025" s="5" t="s">
        <v>238</v>
      </c>
      <c r="Q2025" s="5" t="s">
        <v>268</v>
      </c>
      <c r="R2025" s="5" t="s">
        <v>270</v>
      </c>
      <c r="S2025" s="5" t="s">
        <v>238</v>
      </c>
      <c r="V2025" s="5" t="s">
        <v>238</v>
      </c>
      <c r="X2025" s="6" t="s">
        <v>238</v>
      </c>
      <c r="AA2025" s="6" t="s">
        <v>243</v>
      </c>
      <c r="AB2025" s="5" t="s">
        <v>238</v>
      </c>
      <c r="AC2025" s="5" t="s">
        <v>244</v>
      </c>
      <c r="AD2025" s="5" t="s">
        <v>245</v>
      </c>
      <c r="AT2025" s="5" t="s">
        <v>246</v>
      </c>
      <c r="AU2025" s="5" t="s">
        <v>238</v>
      </c>
      <c r="AV2025" s="5" t="s">
        <v>247</v>
      </c>
      <c r="AW2025" s="5" t="s">
        <v>238</v>
      </c>
      <c r="AX2025" s="5" t="s">
        <v>249</v>
      </c>
      <c r="AY2025" s="5" t="s">
        <v>238</v>
      </c>
      <c r="BA2025" s="5" t="s">
        <v>238</v>
      </c>
      <c r="BC2025" s="5" t="s">
        <v>250</v>
      </c>
      <c r="BD2025" s="6" t="s">
        <v>243</v>
      </c>
      <c r="BE2025" s="5" t="s">
        <v>251</v>
      </c>
      <c r="BF2025" s="5" t="s">
        <v>252</v>
      </c>
      <c r="BG2025" s="5" t="s">
        <v>238</v>
      </c>
      <c r="BH2025" s="7">
        <f>0</f>
        <v>0</v>
      </c>
      <c r="BI2025" s="8">
        <f>0</f>
        <v>0</v>
      </c>
      <c r="BJ2025" s="5" t="s">
        <v>253</v>
      </c>
      <c r="BK2025" s="5" t="s">
        <v>254</v>
      </c>
      <c r="BY2025" s="5" t="s">
        <v>238</v>
      </c>
      <c r="BZ2025" s="5" t="s">
        <v>238</v>
      </c>
      <c r="CD2025" s="5" t="s">
        <v>273</v>
      </c>
      <c r="CE2025" s="5" t="s">
        <v>256</v>
      </c>
      <c r="CF2025" s="5" t="s">
        <v>238</v>
      </c>
      <c r="CI2025" s="6" t="s">
        <v>257</v>
      </c>
      <c r="CJ2025" s="5" t="s">
        <v>238</v>
      </c>
      <c r="CK2025" s="5" t="s">
        <v>258</v>
      </c>
      <c r="CL2025" s="5" t="s">
        <v>238</v>
      </c>
      <c r="CM2025" s="5" t="s">
        <v>238</v>
      </c>
      <c r="CN2025" s="5">
        <v>0</v>
      </c>
      <c r="CO2025" s="5" t="s">
        <v>259</v>
      </c>
      <c r="CP2025" s="5" t="s">
        <v>260</v>
      </c>
      <c r="CQ2025" s="5" t="s">
        <v>260</v>
      </c>
      <c r="CR2025" s="5" t="s">
        <v>261</v>
      </c>
      <c r="CU2025" s="8">
        <f>1</f>
        <v>1</v>
      </c>
      <c r="CV2025" s="8">
        <f>0</f>
        <v>0</v>
      </c>
      <c r="CX2025" s="8">
        <f>0</f>
        <v>0</v>
      </c>
      <c r="CY2025" s="8">
        <f>1</f>
        <v>1</v>
      </c>
      <c r="DA2025" s="5" t="s">
        <v>274</v>
      </c>
      <c r="DB2025" s="5" t="s">
        <v>238</v>
      </c>
      <c r="DD2025" s="5" t="s">
        <v>274</v>
      </c>
      <c r="DE2025" s="8">
        <f>138</f>
        <v>138</v>
      </c>
      <c r="DG2025" s="5" t="s">
        <v>238</v>
      </c>
      <c r="DH2025" s="5" t="s">
        <v>238</v>
      </c>
      <c r="DI2025" s="5" t="s">
        <v>238</v>
      </c>
      <c r="DJ2025" s="5" t="s">
        <v>238</v>
      </c>
      <c r="DN2025" s="5" t="s">
        <v>238</v>
      </c>
      <c r="DO2025" s="5" t="s">
        <v>238</v>
      </c>
      <c r="DP2025" s="5" t="s">
        <v>238</v>
      </c>
      <c r="DQ2025" s="5" t="s">
        <v>238</v>
      </c>
      <c r="DT2025" s="5" t="s">
        <v>275</v>
      </c>
      <c r="DU2025" s="5" t="s">
        <v>1025</v>
      </c>
      <c r="HM2025" s="5" t="s">
        <v>264</v>
      </c>
    </row>
    <row r="2026" spans="1:221" x14ac:dyDescent="0.4">
      <c r="A2026" s="5">
        <v>3730</v>
      </c>
      <c r="B2026" s="5">
        <v>1</v>
      </c>
      <c r="C2026" s="5">
        <v>1</v>
      </c>
      <c r="D2026" s="5" t="s">
        <v>269</v>
      </c>
      <c r="E2026" s="5" t="s">
        <v>271</v>
      </c>
      <c r="F2026" s="5" t="s">
        <v>248</v>
      </c>
      <c r="G2026" s="5" t="s">
        <v>266</v>
      </c>
      <c r="H2026" s="6" t="s">
        <v>1020</v>
      </c>
      <c r="I2026" s="7">
        <f>298</f>
        <v>298</v>
      </c>
      <c r="J2026" s="5" t="s">
        <v>262</v>
      </c>
      <c r="K2026" s="8">
        <f>1</f>
        <v>1</v>
      </c>
      <c r="L2026" s="6" t="s">
        <v>242</v>
      </c>
      <c r="M2026" s="5" t="s">
        <v>267</v>
      </c>
      <c r="N2026" s="5" t="s">
        <v>265</v>
      </c>
      <c r="O2026" s="5" t="s">
        <v>238</v>
      </c>
      <c r="P2026" s="5" t="s">
        <v>238</v>
      </c>
      <c r="Q2026" s="5" t="s">
        <v>268</v>
      </c>
      <c r="R2026" s="5" t="s">
        <v>270</v>
      </c>
      <c r="S2026" s="5" t="s">
        <v>238</v>
      </c>
      <c r="V2026" s="5" t="s">
        <v>238</v>
      </c>
      <c r="X2026" s="6" t="s">
        <v>238</v>
      </c>
      <c r="AA2026" s="6" t="s">
        <v>243</v>
      </c>
      <c r="AB2026" s="5" t="s">
        <v>238</v>
      </c>
      <c r="AC2026" s="5" t="s">
        <v>244</v>
      </c>
      <c r="AD2026" s="5" t="s">
        <v>245</v>
      </c>
      <c r="AT2026" s="5" t="s">
        <v>246</v>
      </c>
      <c r="AU2026" s="5" t="s">
        <v>238</v>
      </c>
      <c r="AV2026" s="5" t="s">
        <v>247</v>
      </c>
      <c r="AW2026" s="5" t="s">
        <v>238</v>
      </c>
      <c r="AX2026" s="5" t="s">
        <v>249</v>
      </c>
      <c r="AY2026" s="5" t="s">
        <v>238</v>
      </c>
      <c r="BA2026" s="5" t="s">
        <v>238</v>
      </c>
      <c r="BC2026" s="5" t="s">
        <v>250</v>
      </c>
      <c r="BD2026" s="6" t="s">
        <v>243</v>
      </c>
      <c r="BE2026" s="5" t="s">
        <v>251</v>
      </c>
      <c r="BF2026" s="5" t="s">
        <v>252</v>
      </c>
      <c r="BG2026" s="5" t="s">
        <v>238</v>
      </c>
      <c r="BH2026" s="7">
        <f>0</f>
        <v>0</v>
      </c>
      <c r="BI2026" s="8">
        <f>0</f>
        <v>0</v>
      </c>
      <c r="BJ2026" s="5" t="s">
        <v>253</v>
      </c>
      <c r="BK2026" s="5" t="s">
        <v>254</v>
      </c>
      <c r="BY2026" s="5" t="s">
        <v>238</v>
      </c>
      <c r="BZ2026" s="5" t="s">
        <v>238</v>
      </c>
      <c r="CD2026" s="5" t="s">
        <v>273</v>
      </c>
      <c r="CE2026" s="5" t="s">
        <v>256</v>
      </c>
      <c r="CF2026" s="5" t="s">
        <v>238</v>
      </c>
      <c r="CI2026" s="6" t="s">
        <v>257</v>
      </c>
      <c r="CJ2026" s="5" t="s">
        <v>238</v>
      </c>
      <c r="CK2026" s="5" t="s">
        <v>258</v>
      </c>
      <c r="CL2026" s="5" t="s">
        <v>238</v>
      </c>
      <c r="CM2026" s="5" t="s">
        <v>238</v>
      </c>
      <c r="CN2026" s="5">
        <v>0</v>
      </c>
      <c r="CO2026" s="5" t="s">
        <v>259</v>
      </c>
      <c r="CP2026" s="5" t="s">
        <v>260</v>
      </c>
      <c r="CQ2026" s="5" t="s">
        <v>260</v>
      </c>
      <c r="CR2026" s="5" t="s">
        <v>261</v>
      </c>
      <c r="CU2026" s="8">
        <f>1</f>
        <v>1</v>
      </c>
      <c r="CV2026" s="8">
        <f>0</f>
        <v>0</v>
      </c>
      <c r="CX2026" s="8">
        <f>0</f>
        <v>0</v>
      </c>
      <c r="CY2026" s="8">
        <f>1</f>
        <v>1</v>
      </c>
      <c r="DA2026" s="5" t="s">
        <v>274</v>
      </c>
      <c r="DB2026" s="5" t="s">
        <v>238</v>
      </c>
      <c r="DD2026" s="5" t="s">
        <v>274</v>
      </c>
      <c r="DE2026" s="8">
        <f>298</f>
        <v>298</v>
      </c>
      <c r="DG2026" s="5" t="s">
        <v>238</v>
      </c>
      <c r="DH2026" s="5" t="s">
        <v>238</v>
      </c>
      <c r="DI2026" s="5" t="s">
        <v>238</v>
      </c>
      <c r="DJ2026" s="5" t="s">
        <v>238</v>
      </c>
      <c r="DN2026" s="5" t="s">
        <v>238</v>
      </c>
      <c r="DO2026" s="5" t="s">
        <v>238</v>
      </c>
      <c r="DP2026" s="5" t="s">
        <v>238</v>
      </c>
      <c r="DQ2026" s="5" t="s">
        <v>238</v>
      </c>
      <c r="DT2026" s="5" t="s">
        <v>275</v>
      </c>
      <c r="DU2026" s="5" t="s">
        <v>1021</v>
      </c>
      <c r="HM2026" s="5" t="s">
        <v>264</v>
      </c>
    </row>
    <row r="2027" spans="1:221" x14ac:dyDescent="0.4">
      <c r="A2027" s="5">
        <v>3731</v>
      </c>
      <c r="B2027" s="5">
        <v>1</v>
      </c>
      <c r="C2027" s="5">
        <v>1</v>
      </c>
      <c r="D2027" s="5" t="s">
        <v>269</v>
      </c>
      <c r="E2027" s="5" t="s">
        <v>271</v>
      </c>
      <c r="F2027" s="5" t="s">
        <v>248</v>
      </c>
      <c r="G2027" s="5" t="s">
        <v>266</v>
      </c>
      <c r="H2027" s="6" t="s">
        <v>1018</v>
      </c>
      <c r="I2027" s="7">
        <f>14273</f>
        <v>14273</v>
      </c>
      <c r="J2027" s="5" t="s">
        <v>262</v>
      </c>
      <c r="K2027" s="8">
        <f>1</f>
        <v>1</v>
      </c>
      <c r="L2027" s="6" t="s">
        <v>242</v>
      </c>
      <c r="M2027" s="5" t="s">
        <v>267</v>
      </c>
      <c r="N2027" s="5" t="s">
        <v>265</v>
      </c>
      <c r="O2027" s="5" t="s">
        <v>238</v>
      </c>
      <c r="P2027" s="5" t="s">
        <v>238</v>
      </c>
      <c r="Q2027" s="5" t="s">
        <v>268</v>
      </c>
      <c r="R2027" s="5" t="s">
        <v>270</v>
      </c>
      <c r="S2027" s="5" t="s">
        <v>238</v>
      </c>
      <c r="V2027" s="5" t="s">
        <v>238</v>
      </c>
      <c r="X2027" s="6" t="s">
        <v>238</v>
      </c>
      <c r="AA2027" s="6" t="s">
        <v>243</v>
      </c>
      <c r="AB2027" s="5" t="s">
        <v>238</v>
      </c>
      <c r="AC2027" s="5" t="s">
        <v>244</v>
      </c>
      <c r="AD2027" s="5" t="s">
        <v>245</v>
      </c>
      <c r="AT2027" s="5" t="s">
        <v>246</v>
      </c>
      <c r="AU2027" s="5" t="s">
        <v>238</v>
      </c>
      <c r="AV2027" s="5" t="s">
        <v>247</v>
      </c>
      <c r="AW2027" s="5" t="s">
        <v>238</v>
      </c>
      <c r="AX2027" s="5" t="s">
        <v>249</v>
      </c>
      <c r="AY2027" s="5" t="s">
        <v>238</v>
      </c>
      <c r="BA2027" s="5" t="s">
        <v>238</v>
      </c>
      <c r="BC2027" s="5" t="s">
        <v>250</v>
      </c>
      <c r="BD2027" s="6" t="s">
        <v>243</v>
      </c>
      <c r="BE2027" s="5" t="s">
        <v>251</v>
      </c>
      <c r="BF2027" s="5" t="s">
        <v>252</v>
      </c>
      <c r="BG2027" s="5" t="s">
        <v>238</v>
      </c>
      <c r="BH2027" s="7">
        <f>0</f>
        <v>0</v>
      </c>
      <c r="BI2027" s="8">
        <f>0</f>
        <v>0</v>
      </c>
      <c r="BJ2027" s="5" t="s">
        <v>253</v>
      </c>
      <c r="BK2027" s="5" t="s">
        <v>254</v>
      </c>
      <c r="BY2027" s="5" t="s">
        <v>238</v>
      </c>
      <c r="BZ2027" s="5" t="s">
        <v>238</v>
      </c>
      <c r="CD2027" s="5" t="s">
        <v>273</v>
      </c>
      <c r="CE2027" s="5" t="s">
        <v>256</v>
      </c>
      <c r="CF2027" s="5" t="s">
        <v>238</v>
      </c>
      <c r="CI2027" s="6" t="s">
        <v>257</v>
      </c>
      <c r="CJ2027" s="5" t="s">
        <v>238</v>
      </c>
      <c r="CK2027" s="5" t="s">
        <v>258</v>
      </c>
      <c r="CL2027" s="5" t="s">
        <v>238</v>
      </c>
      <c r="CM2027" s="5" t="s">
        <v>238</v>
      </c>
      <c r="CN2027" s="5">
        <v>0</v>
      </c>
      <c r="CO2027" s="5" t="s">
        <v>259</v>
      </c>
      <c r="CP2027" s="5" t="s">
        <v>260</v>
      </c>
      <c r="CQ2027" s="5" t="s">
        <v>260</v>
      </c>
      <c r="CR2027" s="5" t="s">
        <v>261</v>
      </c>
      <c r="CU2027" s="8">
        <f>1</f>
        <v>1</v>
      </c>
      <c r="CV2027" s="8">
        <f>0</f>
        <v>0</v>
      </c>
      <c r="CX2027" s="8">
        <f>0</f>
        <v>0</v>
      </c>
      <c r="CY2027" s="8">
        <f>1</f>
        <v>1</v>
      </c>
      <c r="DA2027" s="5" t="s">
        <v>274</v>
      </c>
      <c r="DB2027" s="5" t="s">
        <v>238</v>
      </c>
      <c r="DD2027" s="5" t="s">
        <v>274</v>
      </c>
      <c r="DE2027" s="8">
        <f>14273</f>
        <v>14273</v>
      </c>
      <c r="DG2027" s="5" t="s">
        <v>238</v>
      </c>
      <c r="DH2027" s="5" t="s">
        <v>238</v>
      </c>
      <c r="DI2027" s="5" t="s">
        <v>238</v>
      </c>
      <c r="DJ2027" s="5" t="s">
        <v>238</v>
      </c>
      <c r="DN2027" s="5" t="s">
        <v>238</v>
      </c>
      <c r="DO2027" s="5" t="s">
        <v>238</v>
      </c>
      <c r="DP2027" s="5" t="s">
        <v>238</v>
      </c>
      <c r="DQ2027" s="5" t="s">
        <v>238</v>
      </c>
      <c r="DT2027" s="5" t="s">
        <v>275</v>
      </c>
      <c r="DU2027" s="5" t="s">
        <v>1019</v>
      </c>
      <c r="HM2027" s="5" t="s">
        <v>264</v>
      </c>
    </row>
    <row r="2028" spans="1:221" x14ac:dyDescent="0.4">
      <c r="A2028" s="5">
        <v>3732</v>
      </c>
      <c r="B2028" s="5">
        <v>1</v>
      </c>
      <c r="C2028" s="5">
        <v>1</v>
      </c>
      <c r="D2028" s="5" t="s">
        <v>269</v>
      </c>
      <c r="E2028" s="5" t="s">
        <v>271</v>
      </c>
      <c r="F2028" s="5" t="s">
        <v>248</v>
      </c>
      <c r="G2028" s="5" t="s">
        <v>266</v>
      </c>
      <c r="H2028" s="6" t="s">
        <v>1016</v>
      </c>
      <c r="I2028" s="7">
        <f>1762</f>
        <v>1762</v>
      </c>
      <c r="J2028" s="5" t="s">
        <v>262</v>
      </c>
      <c r="K2028" s="8">
        <f>1</f>
        <v>1</v>
      </c>
      <c r="L2028" s="6" t="s">
        <v>242</v>
      </c>
      <c r="M2028" s="5" t="s">
        <v>267</v>
      </c>
      <c r="N2028" s="5" t="s">
        <v>265</v>
      </c>
      <c r="O2028" s="5" t="s">
        <v>238</v>
      </c>
      <c r="P2028" s="5" t="s">
        <v>238</v>
      </c>
      <c r="Q2028" s="5" t="s">
        <v>268</v>
      </c>
      <c r="R2028" s="5" t="s">
        <v>270</v>
      </c>
      <c r="S2028" s="5" t="s">
        <v>238</v>
      </c>
      <c r="V2028" s="5" t="s">
        <v>238</v>
      </c>
      <c r="X2028" s="6" t="s">
        <v>238</v>
      </c>
      <c r="AA2028" s="6" t="s">
        <v>243</v>
      </c>
      <c r="AB2028" s="5" t="s">
        <v>238</v>
      </c>
      <c r="AC2028" s="5" t="s">
        <v>244</v>
      </c>
      <c r="AD2028" s="5" t="s">
        <v>245</v>
      </c>
      <c r="AT2028" s="5" t="s">
        <v>246</v>
      </c>
      <c r="AU2028" s="5" t="s">
        <v>238</v>
      </c>
      <c r="AV2028" s="5" t="s">
        <v>247</v>
      </c>
      <c r="AW2028" s="5" t="s">
        <v>238</v>
      </c>
      <c r="AX2028" s="5" t="s">
        <v>249</v>
      </c>
      <c r="AY2028" s="5" t="s">
        <v>238</v>
      </c>
      <c r="BA2028" s="5" t="s">
        <v>238</v>
      </c>
      <c r="BC2028" s="5" t="s">
        <v>250</v>
      </c>
      <c r="BD2028" s="6" t="s">
        <v>243</v>
      </c>
      <c r="BE2028" s="5" t="s">
        <v>251</v>
      </c>
      <c r="BF2028" s="5" t="s">
        <v>252</v>
      </c>
      <c r="BG2028" s="5" t="s">
        <v>238</v>
      </c>
      <c r="BH2028" s="7">
        <f>0</f>
        <v>0</v>
      </c>
      <c r="BI2028" s="8">
        <f>0</f>
        <v>0</v>
      </c>
      <c r="BJ2028" s="5" t="s">
        <v>253</v>
      </c>
      <c r="BK2028" s="5" t="s">
        <v>254</v>
      </c>
      <c r="BY2028" s="5" t="s">
        <v>238</v>
      </c>
      <c r="BZ2028" s="5" t="s">
        <v>238</v>
      </c>
      <c r="CD2028" s="5" t="s">
        <v>273</v>
      </c>
      <c r="CE2028" s="5" t="s">
        <v>256</v>
      </c>
      <c r="CF2028" s="5" t="s">
        <v>238</v>
      </c>
      <c r="CI2028" s="6" t="s">
        <v>257</v>
      </c>
      <c r="CJ2028" s="5" t="s">
        <v>238</v>
      </c>
      <c r="CK2028" s="5" t="s">
        <v>258</v>
      </c>
      <c r="CL2028" s="5" t="s">
        <v>238</v>
      </c>
      <c r="CM2028" s="5" t="s">
        <v>238</v>
      </c>
      <c r="CN2028" s="5">
        <v>0</v>
      </c>
      <c r="CO2028" s="5" t="s">
        <v>259</v>
      </c>
      <c r="CP2028" s="5" t="s">
        <v>260</v>
      </c>
      <c r="CQ2028" s="5" t="s">
        <v>260</v>
      </c>
      <c r="CR2028" s="5" t="s">
        <v>261</v>
      </c>
      <c r="CU2028" s="8">
        <f>1</f>
        <v>1</v>
      </c>
      <c r="CV2028" s="8">
        <f>0</f>
        <v>0</v>
      </c>
      <c r="CX2028" s="8">
        <f>0</f>
        <v>0</v>
      </c>
      <c r="CY2028" s="8">
        <f>1</f>
        <v>1</v>
      </c>
      <c r="DA2028" s="5" t="s">
        <v>274</v>
      </c>
      <c r="DB2028" s="5" t="s">
        <v>238</v>
      </c>
      <c r="DD2028" s="5" t="s">
        <v>274</v>
      </c>
      <c r="DE2028" s="8">
        <f>1762</f>
        <v>1762</v>
      </c>
      <c r="DG2028" s="5" t="s">
        <v>238</v>
      </c>
      <c r="DH2028" s="5" t="s">
        <v>238</v>
      </c>
      <c r="DI2028" s="5" t="s">
        <v>238</v>
      </c>
      <c r="DJ2028" s="5" t="s">
        <v>238</v>
      </c>
      <c r="DN2028" s="5" t="s">
        <v>238</v>
      </c>
      <c r="DO2028" s="5" t="s">
        <v>238</v>
      </c>
      <c r="DP2028" s="5" t="s">
        <v>238</v>
      </c>
      <c r="DQ2028" s="5" t="s">
        <v>238</v>
      </c>
      <c r="DT2028" s="5" t="s">
        <v>275</v>
      </c>
      <c r="DU2028" s="5" t="s">
        <v>1017</v>
      </c>
      <c r="HM2028" s="5" t="s">
        <v>264</v>
      </c>
    </row>
    <row r="2029" spans="1:221" x14ac:dyDescent="0.4">
      <c r="A2029" s="5">
        <v>3733</v>
      </c>
      <c r="B2029" s="5">
        <v>1</v>
      </c>
      <c r="C2029" s="5">
        <v>1</v>
      </c>
      <c r="D2029" s="5" t="s">
        <v>269</v>
      </c>
      <c r="E2029" s="5" t="s">
        <v>271</v>
      </c>
      <c r="F2029" s="5" t="s">
        <v>248</v>
      </c>
      <c r="G2029" s="5" t="s">
        <v>266</v>
      </c>
      <c r="H2029" s="6" t="s">
        <v>1012</v>
      </c>
      <c r="I2029" s="7">
        <f>1606</f>
        <v>1606</v>
      </c>
      <c r="J2029" s="5" t="s">
        <v>262</v>
      </c>
      <c r="K2029" s="8">
        <f>1</f>
        <v>1</v>
      </c>
      <c r="L2029" s="6" t="s">
        <v>242</v>
      </c>
      <c r="M2029" s="5" t="s">
        <v>267</v>
      </c>
      <c r="N2029" s="5" t="s">
        <v>265</v>
      </c>
      <c r="O2029" s="5" t="s">
        <v>238</v>
      </c>
      <c r="P2029" s="5" t="s">
        <v>238</v>
      </c>
      <c r="Q2029" s="5" t="s">
        <v>268</v>
      </c>
      <c r="R2029" s="5" t="s">
        <v>270</v>
      </c>
      <c r="S2029" s="5" t="s">
        <v>238</v>
      </c>
      <c r="V2029" s="5" t="s">
        <v>238</v>
      </c>
      <c r="X2029" s="6" t="s">
        <v>238</v>
      </c>
      <c r="AA2029" s="6" t="s">
        <v>243</v>
      </c>
      <c r="AB2029" s="5" t="s">
        <v>238</v>
      </c>
      <c r="AC2029" s="5" t="s">
        <v>244</v>
      </c>
      <c r="AD2029" s="5" t="s">
        <v>245</v>
      </c>
      <c r="AT2029" s="5" t="s">
        <v>246</v>
      </c>
      <c r="AU2029" s="5" t="s">
        <v>238</v>
      </c>
      <c r="AV2029" s="5" t="s">
        <v>247</v>
      </c>
      <c r="AW2029" s="5" t="s">
        <v>238</v>
      </c>
      <c r="AX2029" s="5" t="s">
        <v>249</v>
      </c>
      <c r="AY2029" s="5" t="s">
        <v>238</v>
      </c>
      <c r="BA2029" s="5" t="s">
        <v>238</v>
      </c>
      <c r="BC2029" s="5" t="s">
        <v>250</v>
      </c>
      <c r="BD2029" s="6" t="s">
        <v>243</v>
      </c>
      <c r="BE2029" s="5" t="s">
        <v>251</v>
      </c>
      <c r="BF2029" s="5" t="s">
        <v>252</v>
      </c>
      <c r="BG2029" s="5" t="s">
        <v>238</v>
      </c>
      <c r="BH2029" s="7">
        <f>0</f>
        <v>0</v>
      </c>
      <c r="BI2029" s="8">
        <f>0</f>
        <v>0</v>
      </c>
      <c r="BJ2029" s="5" t="s">
        <v>253</v>
      </c>
      <c r="BK2029" s="5" t="s">
        <v>254</v>
      </c>
      <c r="BY2029" s="5" t="s">
        <v>238</v>
      </c>
      <c r="BZ2029" s="5" t="s">
        <v>238</v>
      </c>
      <c r="CD2029" s="5" t="s">
        <v>273</v>
      </c>
      <c r="CE2029" s="5" t="s">
        <v>256</v>
      </c>
      <c r="CF2029" s="5" t="s">
        <v>238</v>
      </c>
      <c r="CI2029" s="6" t="s">
        <v>257</v>
      </c>
      <c r="CJ2029" s="5" t="s">
        <v>238</v>
      </c>
      <c r="CK2029" s="5" t="s">
        <v>258</v>
      </c>
      <c r="CL2029" s="5" t="s">
        <v>238</v>
      </c>
      <c r="CM2029" s="5" t="s">
        <v>238</v>
      </c>
      <c r="CN2029" s="5">
        <v>0</v>
      </c>
      <c r="CO2029" s="5" t="s">
        <v>259</v>
      </c>
      <c r="CP2029" s="5" t="s">
        <v>260</v>
      </c>
      <c r="CQ2029" s="5" t="s">
        <v>260</v>
      </c>
      <c r="CR2029" s="5" t="s">
        <v>261</v>
      </c>
      <c r="CU2029" s="8">
        <f>1</f>
        <v>1</v>
      </c>
      <c r="CV2029" s="8">
        <f>0</f>
        <v>0</v>
      </c>
      <c r="CX2029" s="8">
        <f>0</f>
        <v>0</v>
      </c>
      <c r="CY2029" s="8">
        <f>1</f>
        <v>1</v>
      </c>
      <c r="DA2029" s="5" t="s">
        <v>274</v>
      </c>
      <c r="DB2029" s="5" t="s">
        <v>238</v>
      </c>
      <c r="DD2029" s="5" t="s">
        <v>274</v>
      </c>
      <c r="DE2029" s="8">
        <f>1606</f>
        <v>1606</v>
      </c>
      <c r="DG2029" s="5" t="s">
        <v>238</v>
      </c>
      <c r="DH2029" s="5" t="s">
        <v>238</v>
      </c>
      <c r="DI2029" s="5" t="s">
        <v>238</v>
      </c>
      <c r="DJ2029" s="5" t="s">
        <v>238</v>
      </c>
      <c r="DN2029" s="5" t="s">
        <v>238</v>
      </c>
      <c r="DO2029" s="5" t="s">
        <v>238</v>
      </c>
      <c r="DP2029" s="5" t="s">
        <v>238</v>
      </c>
      <c r="DQ2029" s="5" t="s">
        <v>238</v>
      </c>
      <c r="DT2029" s="5" t="s">
        <v>275</v>
      </c>
      <c r="DU2029" s="5" t="s">
        <v>1013</v>
      </c>
      <c r="HM2029" s="5" t="s">
        <v>264</v>
      </c>
    </row>
    <row r="2030" spans="1:221" x14ac:dyDescent="0.4">
      <c r="A2030" s="5">
        <v>3734</v>
      </c>
      <c r="B2030" s="5">
        <v>1</v>
      </c>
      <c r="C2030" s="5">
        <v>1</v>
      </c>
      <c r="D2030" s="5" t="s">
        <v>269</v>
      </c>
      <c r="E2030" s="5" t="s">
        <v>271</v>
      </c>
      <c r="F2030" s="5" t="s">
        <v>248</v>
      </c>
      <c r="G2030" s="5" t="s">
        <v>266</v>
      </c>
      <c r="H2030" s="6" t="s">
        <v>1008</v>
      </c>
      <c r="I2030" s="7">
        <f>1804</f>
        <v>1804</v>
      </c>
      <c r="J2030" s="5" t="s">
        <v>262</v>
      </c>
      <c r="K2030" s="8">
        <f>1</f>
        <v>1</v>
      </c>
      <c r="L2030" s="6" t="s">
        <v>242</v>
      </c>
      <c r="M2030" s="5" t="s">
        <v>267</v>
      </c>
      <c r="N2030" s="5" t="s">
        <v>265</v>
      </c>
      <c r="O2030" s="5" t="s">
        <v>238</v>
      </c>
      <c r="P2030" s="5" t="s">
        <v>238</v>
      </c>
      <c r="Q2030" s="5" t="s">
        <v>268</v>
      </c>
      <c r="R2030" s="5" t="s">
        <v>270</v>
      </c>
      <c r="S2030" s="5" t="s">
        <v>238</v>
      </c>
      <c r="V2030" s="5" t="s">
        <v>238</v>
      </c>
      <c r="X2030" s="6" t="s">
        <v>238</v>
      </c>
      <c r="AA2030" s="6" t="s">
        <v>243</v>
      </c>
      <c r="AB2030" s="5" t="s">
        <v>238</v>
      </c>
      <c r="AC2030" s="5" t="s">
        <v>244</v>
      </c>
      <c r="AD2030" s="5" t="s">
        <v>245</v>
      </c>
      <c r="AT2030" s="5" t="s">
        <v>246</v>
      </c>
      <c r="AU2030" s="5" t="s">
        <v>238</v>
      </c>
      <c r="AV2030" s="5" t="s">
        <v>247</v>
      </c>
      <c r="AW2030" s="5" t="s">
        <v>238</v>
      </c>
      <c r="AX2030" s="5" t="s">
        <v>249</v>
      </c>
      <c r="AY2030" s="5" t="s">
        <v>238</v>
      </c>
      <c r="BA2030" s="5" t="s">
        <v>238</v>
      </c>
      <c r="BC2030" s="5" t="s">
        <v>250</v>
      </c>
      <c r="BD2030" s="6" t="s">
        <v>243</v>
      </c>
      <c r="BE2030" s="5" t="s">
        <v>251</v>
      </c>
      <c r="BF2030" s="5" t="s">
        <v>252</v>
      </c>
      <c r="BG2030" s="5" t="s">
        <v>238</v>
      </c>
      <c r="BH2030" s="7">
        <f>0</f>
        <v>0</v>
      </c>
      <c r="BI2030" s="8">
        <f>0</f>
        <v>0</v>
      </c>
      <c r="BJ2030" s="5" t="s">
        <v>253</v>
      </c>
      <c r="BK2030" s="5" t="s">
        <v>254</v>
      </c>
      <c r="BY2030" s="5" t="s">
        <v>238</v>
      </c>
      <c r="BZ2030" s="5" t="s">
        <v>238</v>
      </c>
      <c r="CD2030" s="5" t="s">
        <v>273</v>
      </c>
      <c r="CE2030" s="5" t="s">
        <v>256</v>
      </c>
      <c r="CF2030" s="5" t="s">
        <v>238</v>
      </c>
      <c r="CI2030" s="6" t="s">
        <v>257</v>
      </c>
      <c r="CJ2030" s="5" t="s">
        <v>238</v>
      </c>
      <c r="CK2030" s="5" t="s">
        <v>258</v>
      </c>
      <c r="CL2030" s="5" t="s">
        <v>238</v>
      </c>
      <c r="CM2030" s="5" t="s">
        <v>238</v>
      </c>
      <c r="CN2030" s="5">
        <v>0</v>
      </c>
      <c r="CO2030" s="5" t="s">
        <v>259</v>
      </c>
      <c r="CP2030" s="5" t="s">
        <v>260</v>
      </c>
      <c r="CQ2030" s="5" t="s">
        <v>260</v>
      </c>
      <c r="CR2030" s="5" t="s">
        <v>261</v>
      </c>
      <c r="CU2030" s="8">
        <f>1</f>
        <v>1</v>
      </c>
      <c r="CV2030" s="8">
        <f>0</f>
        <v>0</v>
      </c>
      <c r="CX2030" s="8">
        <f>0</f>
        <v>0</v>
      </c>
      <c r="CY2030" s="8">
        <f>1</f>
        <v>1</v>
      </c>
      <c r="DA2030" s="5" t="s">
        <v>274</v>
      </c>
      <c r="DB2030" s="5" t="s">
        <v>238</v>
      </c>
      <c r="DD2030" s="5" t="s">
        <v>274</v>
      </c>
      <c r="DE2030" s="8">
        <f>1804</f>
        <v>1804</v>
      </c>
      <c r="DG2030" s="5" t="s">
        <v>238</v>
      </c>
      <c r="DH2030" s="5" t="s">
        <v>238</v>
      </c>
      <c r="DI2030" s="5" t="s">
        <v>238</v>
      </c>
      <c r="DJ2030" s="5" t="s">
        <v>238</v>
      </c>
      <c r="DN2030" s="5" t="s">
        <v>238</v>
      </c>
      <c r="DO2030" s="5" t="s">
        <v>238</v>
      </c>
      <c r="DP2030" s="5" t="s">
        <v>238</v>
      </c>
      <c r="DQ2030" s="5" t="s">
        <v>238</v>
      </c>
      <c r="DT2030" s="5" t="s">
        <v>275</v>
      </c>
      <c r="DU2030" s="5" t="s">
        <v>1009</v>
      </c>
      <c r="HM2030" s="5" t="s">
        <v>264</v>
      </c>
    </row>
    <row r="2031" spans="1:221" x14ac:dyDescent="0.4">
      <c r="A2031" s="5">
        <v>3735</v>
      </c>
      <c r="B2031" s="5">
        <v>1</v>
      </c>
      <c r="C2031" s="5">
        <v>1</v>
      </c>
      <c r="D2031" s="5" t="s">
        <v>269</v>
      </c>
      <c r="E2031" s="5" t="s">
        <v>271</v>
      </c>
      <c r="F2031" s="5" t="s">
        <v>248</v>
      </c>
      <c r="G2031" s="5" t="s">
        <v>266</v>
      </c>
      <c r="H2031" s="6" t="s">
        <v>1006</v>
      </c>
      <c r="I2031" s="7">
        <f>2052</f>
        <v>2052</v>
      </c>
      <c r="J2031" s="5" t="s">
        <v>262</v>
      </c>
      <c r="K2031" s="8">
        <f>1</f>
        <v>1</v>
      </c>
      <c r="L2031" s="6" t="s">
        <v>242</v>
      </c>
      <c r="M2031" s="5" t="s">
        <v>267</v>
      </c>
      <c r="N2031" s="5" t="s">
        <v>265</v>
      </c>
      <c r="O2031" s="5" t="s">
        <v>238</v>
      </c>
      <c r="P2031" s="5" t="s">
        <v>238</v>
      </c>
      <c r="Q2031" s="5" t="s">
        <v>268</v>
      </c>
      <c r="R2031" s="5" t="s">
        <v>270</v>
      </c>
      <c r="S2031" s="5" t="s">
        <v>238</v>
      </c>
      <c r="V2031" s="5" t="s">
        <v>238</v>
      </c>
      <c r="X2031" s="6" t="s">
        <v>238</v>
      </c>
      <c r="AA2031" s="6" t="s">
        <v>243</v>
      </c>
      <c r="AB2031" s="5" t="s">
        <v>238</v>
      </c>
      <c r="AC2031" s="5" t="s">
        <v>244</v>
      </c>
      <c r="AD2031" s="5" t="s">
        <v>245</v>
      </c>
      <c r="AT2031" s="5" t="s">
        <v>246</v>
      </c>
      <c r="AU2031" s="5" t="s">
        <v>238</v>
      </c>
      <c r="AV2031" s="5" t="s">
        <v>247</v>
      </c>
      <c r="AW2031" s="5" t="s">
        <v>238</v>
      </c>
      <c r="AX2031" s="5" t="s">
        <v>249</v>
      </c>
      <c r="AY2031" s="5" t="s">
        <v>238</v>
      </c>
      <c r="BA2031" s="5" t="s">
        <v>238</v>
      </c>
      <c r="BC2031" s="5" t="s">
        <v>250</v>
      </c>
      <c r="BD2031" s="6" t="s">
        <v>243</v>
      </c>
      <c r="BE2031" s="5" t="s">
        <v>251</v>
      </c>
      <c r="BF2031" s="5" t="s">
        <v>252</v>
      </c>
      <c r="BG2031" s="5" t="s">
        <v>238</v>
      </c>
      <c r="BH2031" s="7">
        <f>0</f>
        <v>0</v>
      </c>
      <c r="BI2031" s="8">
        <f>0</f>
        <v>0</v>
      </c>
      <c r="BJ2031" s="5" t="s">
        <v>253</v>
      </c>
      <c r="BK2031" s="5" t="s">
        <v>254</v>
      </c>
      <c r="BY2031" s="5" t="s">
        <v>238</v>
      </c>
      <c r="BZ2031" s="5" t="s">
        <v>238</v>
      </c>
      <c r="CD2031" s="5" t="s">
        <v>273</v>
      </c>
      <c r="CE2031" s="5" t="s">
        <v>256</v>
      </c>
      <c r="CF2031" s="5" t="s">
        <v>238</v>
      </c>
      <c r="CI2031" s="6" t="s">
        <v>257</v>
      </c>
      <c r="CJ2031" s="5" t="s">
        <v>238</v>
      </c>
      <c r="CK2031" s="5" t="s">
        <v>258</v>
      </c>
      <c r="CL2031" s="5" t="s">
        <v>238</v>
      </c>
      <c r="CM2031" s="5" t="s">
        <v>238</v>
      </c>
      <c r="CN2031" s="5">
        <v>0</v>
      </c>
      <c r="CO2031" s="5" t="s">
        <v>259</v>
      </c>
      <c r="CP2031" s="5" t="s">
        <v>260</v>
      </c>
      <c r="CQ2031" s="5" t="s">
        <v>260</v>
      </c>
      <c r="CR2031" s="5" t="s">
        <v>261</v>
      </c>
      <c r="CU2031" s="8">
        <f>1</f>
        <v>1</v>
      </c>
      <c r="CV2031" s="8">
        <f>0</f>
        <v>0</v>
      </c>
      <c r="CX2031" s="8">
        <f>0</f>
        <v>0</v>
      </c>
      <c r="CY2031" s="8">
        <f>1</f>
        <v>1</v>
      </c>
      <c r="DA2031" s="5" t="s">
        <v>274</v>
      </c>
      <c r="DB2031" s="5" t="s">
        <v>238</v>
      </c>
      <c r="DD2031" s="5" t="s">
        <v>274</v>
      </c>
      <c r="DE2031" s="8">
        <f>2052</f>
        <v>2052</v>
      </c>
      <c r="DG2031" s="5" t="s">
        <v>238</v>
      </c>
      <c r="DH2031" s="5" t="s">
        <v>238</v>
      </c>
      <c r="DI2031" s="5" t="s">
        <v>238</v>
      </c>
      <c r="DJ2031" s="5" t="s">
        <v>238</v>
      </c>
      <c r="DN2031" s="5" t="s">
        <v>238</v>
      </c>
      <c r="DO2031" s="5" t="s">
        <v>238</v>
      </c>
      <c r="DP2031" s="5" t="s">
        <v>238</v>
      </c>
      <c r="DQ2031" s="5" t="s">
        <v>238</v>
      </c>
      <c r="DT2031" s="5" t="s">
        <v>275</v>
      </c>
      <c r="DU2031" s="5" t="s">
        <v>1007</v>
      </c>
      <c r="HM2031" s="5" t="s">
        <v>264</v>
      </c>
    </row>
    <row r="2032" spans="1:221" x14ac:dyDescent="0.4">
      <c r="A2032" s="5">
        <v>3736</v>
      </c>
      <c r="B2032" s="5">
        <v>1</v>
      </c>
      <c r="C2032" s="5">
        <v>1</v>
      </c>
      <c r="D2032" s="5" t="s">
        <v>269</v>
      </c>
      <c r="E2032" s="5" t="s">
        <v>271</v>
      </c>
      <c r="F2032" s="5" t="s">
        <v>248</v>
      </c>
      <c r="G2032" s="5" t="s">
        <v>266</v>
      </c>
      <c r="H2032" s="6" t="s">
        <v>1003</v>
      </c>
      <c r="I2032" s="7">
        <f>1242</f>
        <v>1242</v>
      </c>
      <c r="J2032" s="5" t="s">
        <v>262</v>
      </c>
      <c r="K2032" s="8">
        <f>1</f>
        <v>1</v>
      </c>
      <c r="L2032" s="6" t="s">
        <v>242</v>
      </c>
      <c r="M2032" s="5" t="s">
        <v>267</v>
      </c>
      <c r="N2032" s="5" t="s">
        <v>265</v>
      </c>
      <c r="O2032" s="5" t="s">
        <v>238</v>
      </c>
      <c r="P2032" s="5" t="s">
        <v>238</v>
      </c>
      <c r="Q2032" s="5" t="s">
        <v>268</v>
      </c>
      <c r="R2032" s="5" t="s">
        <v>270</v>
      </c>
      <c r="S2032" s="5" t="s">
        <v>238</v>
      </c>
      <c r="V2032" s="5" t="s">
        <v>238</v>
      </c>
      <c r="X2032" s="6" t="s">
        <v>238</v>
      </c>
      <c r="AA2032" s="6" t="s">
        <v>243</v>
      </c>
      <c r="AB2032" s="5" t="s">
        <v>238</v>
      </c>
      <c r="AC2032" s="5" t="s">
        <v>244</v>
      </c>
      <c r="AD2032" s="5" t="s">
        <v>245</v>
      </c>
      <c r="AT2032" s="5" t="s">
        <v>246</v>
      </c>
      <c r="AU2032" s="5" t="s">
        <v>238</v>
      </c>
      <c r="AV2032" s="5" t="s">
        <v>247</v>
      </c>
      <c r="AW2032" s="5" t="s">
        <v>238</v>
      </c>
      <c r="AX2032" s="5" t="s">
        <v>249</v>
      </c>
      <c r="AY2032" s="5" t="s">
        <v>238</v>
      </c>
      <c r="BA2032" s="5" t="s">
        <v>238</v>
      </c>
      <c r="BC2032" s="5" t="s">
        <v>250</v>
      </c>
      <c r="BD2032" s="6" t="s">
        <v>243</v>
      </c>
      <c r="BE2032" s="5" t="s">
        <v>251</v>
      </c>
      <c r="BF2032" s="5" t="s">
        <v>252</v>
      </c>
      <c r="BG2032" s="5" t="s">
        <v>238</v>
      </c>
      <c r="BH2032" s="7">
        <f>0</f>
        <v>0</v>
      </c>
      <c r="BI2032" s="8">
        <f>0</f>
        <v>0</v>
      </c>
      <c r="BJ2032" s="5" t="s">
        <v>253</v>
      </c>
      <c r="BK2032" s="5" t="s">
        <v>254</v>
      </c>
      <c r="BY2032" s="5" t="s">
        <v>238</v>
      </c>
      <c r="BZ2032" s="5" t="s">
        <v>238</v>
      </c>
      <c r="CD2032" s="5" t="s">
        <v>273</v>
      </c>
      <c r="CE2032" s="5" t="s">
        <v>256</v>
      </c>
      <c r="CF2032" s="5" t="s">
        <v>238</v>
      </c>
      <c r="CI2032" s="6" t="s">
        <v>257</v>
      </c>
      <c r="CJ2032" s="5" t="s">
        <v>238</v>
      </c>
      <c r="CK2032" s="5" t="s">
        <v>258</v>
      </c>
      <c r="CL2032" s="5" t="s">
        <v>238</v>
      </c>
      <c r="CM2032" s="5" t="s">
        <v>238</v>
      </c>
      <c r="CN2032" s="5">
        <v>0</v>
      </c>
      <c r="CO2032" s="5" t="s">
        <v>259</v>
      </c>
      <c r="CP2032" s="5" t="s">
        <v>260</v>
      </c>
      <c r="CQ2032" s="5" t="s">
        <v>260</v>
      </c>
      <c r="CR2032" s="5" t="s">
        <v>261</v>
      </c>
      <c r="CU2032" s="8">
        <f>1</f>
        <v>1</v>
      </c>
      <c r="CV2032" s="8">
        <f>0</f>
        <v>0</v>
      </c>
      <c r="CX2032" s="8">
        <f>0</f>
        <v>0</v>
      </c>
      <c r="CY2032" s="8">
        <f>1</f>
        <v>1</v>
      </c>
      <c r="DA2032" s="5" t="s">
        <v>274</v>
      </c>
      <c r="DB2032" s="5" t="s">
        <v>238</v>
      </c>
      <c r="DD2032" s="5" t="s">
        <v>274</v>
      </c>
      <c r="DE2032" s="8">
        <f>1242</f>
        <v>1242</v>
      </c>
      <c r="DG2032" s="5" t="s">
        <v>238</v>
      </c>
      <c r="DH2032" s="5" t="s">
        <v>238</v>
      </c>
      <c r="DI2032" s="5" t="s">
        <v>238</v>
      </c>
      <c r="DJ2032" s="5" t="s">
        <v>238</v>
      </c>
      <c r="DN2032" s="5" t="s">
        <v>238</v>
      </c>
      <c r="DO2032" s="5" t="s">
        <v>238</v>
      </c>
      <c r="DP2032" s="5" t="s">
        <v>238</v>
      </c>
      <c r="DQ2032" s="5" t="s">
        <v>238</v>
      </c>
      <c r="DT2032" s="5" t="s">
        <v>275</v>
      </c>
      <c r="DU2032" s="5" t="s">
        <v>498</v>
      </c>
      <c r="HM2032" s="5" t="s">
        <v>264</v>
      </c>
    </row>
    <row r="2033" spans="1:221" x14ac:dyDescent="0.4">
      <c r="A2033" s="5">
        <v>3737</v>
      </c>
      <c r="B2033" s="5">
        <v>1</v>
      </c>
      <c r="C2033" s="5">
        <v>1</v>
      </c>
      <c r="D2033" s="5" t="s">
        <v>269</v>
      </c>
      <c r="E2033" s="5" t="s">
        <v>271</v>
      </c>
      <c r="F2033" s="5" t="s">
        <v>248</v>
      </c>
      <c r="G2033" s="5" t="s">
        <v>266</v>
      </c>
      <c r="H2033" s="6" t="s">
        <v>999</v>
      </c>
      <c r="I2033" s="7">
        <f>1308</f>
        <v>1308</v>
      </c>
      <c r="J2033" s="5" t="s">
        <v>262</v>
      </c>
      <c r="K2033" s="8">
        <f>1</f>
        <v>1</v>
      </c>
      <c r="L2033" s="6" t="s">
        <v>242</v>
      </c>
      <c r="M2033" s="5" t="s">
        <v>267</v>
      </c>
      <c r="N2033" s="5" t="s">
        <v>265</v>
      </c>
      <c r="O2033" s="5" t="s">
        <v>238</v>
      </c>
      <c r="P2033" s="5" t="s">
        <v>238</v>
      </c>
      <c r="Q2033" s="5" t="s">
        <v>268</v>
      </c>
      <c r="R2033" s="5" t="s">
        <v>270</v>
      </c>
      <c r="S2033" s="5" t="s">
        <v>238</v>
      </c>
      <c r="V2033" s="5" t="s">
        <v>238</v>
      </c>
      <c r="X2033" s="6" t="s">
        <v>238</v>
      </c>
      <c r="AA2033" s="6" t="s">
        <v>243</v>
      </c>
      <c r="AB2033" s="5" t="s">
        <v>238</v>
      </c>
      <c r="AC2033" s="5" t="s">
        <v>244</v>
      </c>
      <c r="AD2033" s="5" t="s">
        <v>245</v>
      </c>
      <c r="AT2033" s="5" t="s">
        <v>246</v>
      </c>
      <c r="AU2033" s="5" t="s">
        <v>238</v>
      </c>
      <c r="AV2033" s="5" t="s">
        <v>247</v>
      </c>
      <c r="AW2033" s="5" t="s">
        <v>238</v>
      </c>
      <c r="AX2033" s="5" t="s">
        <v>249</v>
      </c>
      <c r="AY2033" s="5" t="s">
        <v>238</v>
      </c>
      <c r="BA2033" s="5" t="s">
        <v>238</v>
      </c>
      <c r="BC2033" s="5" t="s">
        <v>250</v>
      </c>
      <c r="BD2033" s="6" t="s">
        <v>243</v>
      </c>
      <c r="BE2033" s="5" t="s">
        <v>251</v>
      </c>
      <c r="BF2033" s="5" t="s">
        <v>252</v>
      </c>
      <c r="BG2033" s="5" t="s">
        <v>238</v>
      </c>
      <c r="BH2033" s="7">
        <f>0</f>
        <v>0</v>
      </c>
      <c r="BI2033" s="8">
        <f>0</f>
        <v>0</v>
      </c>
      <c r="BJ2033" s="5" t="s">
        <v>253</v>
      </c>
      <c r="BK2033" s="5" t="s">
        <v>254</v>
      </c>
      <c r="BY2033" s="5" t="s">
        <v>238</v>
      </c>
      <c r="BZ2033" s="5" t="s">
        <v>238</v>
      </c>
      <c r="CD2033" s="5" t="s">
        <v>273</v>
      </c>
      <c r="CE2033" s="5" t="s">
        <v>256</v>
      </c>
      <c r="CF2033" s="5" t="s">
        <v>238</v>
      </c>
      <c r="CI2033" s="6" t="s">
        <v>257</v>
      </c>
      <c r="CJ2033" s="5" t="s">
        <v>238</v>
      </c>
      <c r="CK2033" s="5" t="s">
        <v>258</v>
      </c>
      <c r="CL2033" s="5" t="s">
        <v>238</v>
      </c>
      <c r="CM2033" s="5" t="s">
        <v>238</v>
      </c>
      <c r="CN2033" s="5">
        <v>0</v>
      </c>
      <c r="CO2033" s="5" t="s">
        <v>259</v>
      </c>
      <c r="CP2033" s="5" t="s">
        <v>260</v>
      </c>
      <c r="CQ2033" s="5" t="s">
        <v>260</v>
      </c>
      <c r="CR2033" s="5" t="s">
        <v>261</v>
      </c>
      <c r="CU2033" s="8">
        <f>1</f>
        <v>1</v>
      </c>
      <c r="CV2033" s="8">
        <f>0</f>
        <v>0</v>
      </c>
      <c r="CX2033" s="8">
        <f>0</f>
        <v>0</v>
      </c>
      <c r="CY2033" s="8">
        <f>1</f>
        <v>1</v>
      </c>
      <c r="DA2033" s="5" t="s">
        <v>274</v>
      </c>
      <c r="DB2033" s="5" t="s">
        <v>238</v>
      </c>
      <c r="DD2033" s="5" t="s">
        <v>274</v>
      </c>
      <c r="DE2033" s="8">
        <f>1308</f>
        <v>1308</v>
      </c>
      <c r="DG2033" s="5" t="s">
        <v>238</v>
      </c>
      <c r="DH2033" s="5" t="s">
        <v>238</v>
      </c>
      <c r="DI2033" s="5" t="s">
        <v>238</v>
      </c>
      <c r="DJ2033" s="5" t="s">
        <v>238</v>
      </c>
      <c r="DN2033" s="5" t="s">
        <v>238</v>
      </c>
      <c r="DO2033" s="5" t="s">
        <v>238</v>
      </c>
      <c r="DP2033" s="5" t="s">
        <v>238</v>
      </c>
      <c r="DQ2033" s="5" t="s">
        <v>238</v>
      </c>
      <c r="DT2033" s="5" t="s">
        <v>275</v>
      </c>
      <c r="DU2033" s="5" t="s">
        <v>1000</v>
      </c>
      <c r="HM2033" s="5" t="s">
        <v>264</v>
      </c>
    </row>
    <row r="2034" spans="1:221" x14ac:dyDescent="0.4">
      <c r="A2034" s="5">
        <v>3738</v>
      </c>
      <c r="B2034" s="5">
        <v>1</v>
      </c>
      <c r="C2034" s="5">
        <v>1</v>
      </c>
      <c r="D2034" s="5" t="s">
        <v>269</v>
      </c>
      <c r="E2034" s="5" t="s">
        <v>271</v>
      </c>
      <c r="F2034" s="5" t="s">
        <v>248</v>
      </c>
      <c r="G2034" s="5" t="s">
        <v>266</v>
      </c>
      <c r="H2034" s="6" t="s">
        <v>995</v>
      </c>
      <c r="I2034" s="7">
        <f>1239</f>
        <v>1239</v>
      </c>
      <c r="J2034" s="5" t="s">
        <v>262</v>
      </c>
      <c r="K2034" s="8">
        <f>1</f>
        <v>1</v>
      </c>
      <c r="L2034" s="6" t="s">
        <v>242</v>
      </c>
      <c r="M2034" s="5" t="s">
        <v>267</v>
      </c>
      <c r="N2034" s="5" t="s">
        <v>265</v>
      </c>
      <c r="O2034" s="5" t="s">
        <v>238</v>
      </c>
      <c r="P2034" s="5" t="s">
        <v>238</v>
      </c>
      <c r="Q2034" s="5" t="s">
        <v>268</v>
      </c>
      <c r="R2034" s="5" t="s">
        <v>270</v>
      </c>
      <c r="S2034" s="5" t="s">
        <v>238</v>
      </c>
      <c r="V2034" s="5" t="s">
        <v>238</v>
      </c>
      <c r="X2034" s="6" t="s">
        <v>238</v>
      </c>
      <c r="AA2034" s="6" t="s">
        <v>243</v>
      </c>
      <c r="AB2034" s="5" t="s">
        <v>238</v>
      </c>
      <c r="AC2034" s="5" t="s">
        <v>244</v>
      </c>
      <c r="AD2034" s="5" t="s">
        <v>245</v>
      </c>
      <c r="AT2034" s="5" t="s">
        <v>246</v>
      </c>
      <c r="AU2034" s="5" t="s">
        <v>238</v>
      </c>
      <c r="AV2034" s="5" t="s">
        <v>247</v>
      </c>
      <c r="AW2034" s="5" t="s">
        <v>238</v>
      </c>
      <c r="AX2034" s="5" t="s">
        <v>249</v>
      </c>
      <c r="AY2034" s="5" t="s">
        <v>238</v>
      </c>
      <c r="BA2034" s="5" t="s">
        <v>238</v>
      </c>
      <c r="BC2034" s="5" t="s">
        <v>250</v>
      </c>
      <c r="BD2034" s="6" t="s">
        <v>243</v>
      </c>
      <c r="BE2034" s="5" t="s">
        <v>251</v>
      </c>
      <c r="BF2034" s="5" t="s">
        <v>252</v>
      </c>
      <c r="BG2034" s="5" t="s">
        <v>238</v>
      </c>
      <c r="BH2034" s="7">
        <f>0</f>
        <v>0</v>
      </c>
      <c r="BI2034" s="8">
        <f>0</f>
        <v>0</v>
      </c>
      <c r="BJ2034" s="5" t="s">
        <v>253</v>
      </c>
      <c r="BK2034" s="5" t="s">
        <v>254</v>
      </c>
      <c r="BY2034" s="5" t="s">
        <v>238</v>
      </c>
      <c r="BZ2034" s="5" t="s">
        <v>238</v>
      </c>
      <c r="CD2034" s="5" t="s">
        <v>273</v>
      </c>
      <c r="CE2034" s="5" t="s">
        <v>256</v>
      </c>
      <c r="CF2034" s="5" t="s">
        <v>238</v>
      </c>
      <c r="CI2034" s="6" t="s">
        <v>257</v>
      </c>
      <c r="CJ2034" s="5" t="s">
        <v>238</v>
      </c>
      <c r="CK2034" s="5" t="s">
        <v>258</v>
      </c>
      <c r="CL2034" s="5" t="s">
        <v>238</v>
      </c>
      <c r="CM2034" s="5" t="s">
        <v>238</v>
      </c>
      <c r="CN2034" s="5">
        <v>0</v>
      </c>
      <c r="CO2034" s="5" t="s">
        <v>259</v>
      </c>
      <c r="CP2034" s="5" t="s">
        <v>260</v>
      </c>
      <c r="CQ2034" s="5" t="s">
        <v>260</v>
      </c>
      <c r="CR2034" s="5" t="s">
        <v>261</v>
      </c>
      <c r="CU2034" s="8">
        <f>1</f>
        <v>1</v>
      </c>
      <c r="CV2034" s="8">
        <f>0</f>
        <v>0</v>
      </c>
      <c r="CX2034" s="8">
        <f>0</f>
        <v>0</v>
      </c>
      <c r="CY2034" s="8">
        <f>1</f>
        <v>1</v>
      </c>
      <c r="DA2034" s="5" t="s">
        <v>274</v>
      </c>
      <c r="DB2034" s="5" t="s">
        <v>238</v>
      </c>
      <c r="DD2034" s="5" t="s">
        <v>274</v>
      </c>
      <c r="DE2034" s="8">
        <f>1239</f>
        <v>1239</v>
      </c>
      <c r="DG2034" s="5" t="s">
        <v>238</v>
      </c>
      <c r="DH2034" s="5" t="s">
        <v>238</v>
      </c>
      <c r="DI2034" s="5" t="s">
        <v>238</v>
      </c>
      <c r="DJ2034" s="5" t="s">
        <v>238</v>
      </c>
      <c r="DN2034" s="5" t="s">
        <v>238</v>
      </c>
      <c r="DO2034" s="5" t="s">
        <v>238</v>
      </c>
      <c r="DP2034" s="5" t="s">
        <v>238</v>
      </c>
      <c r="DQ2034" s="5" t="s">
        <v>238</v>
      </c>
      <c r="DT2034" s="5" t="s">
        <v>275</v>
      </c>
      <c r="DU2034" s="5" t="s">
        <v>996</v>
      </c>
      <c r="HM2034" s="5" t="s">
        <v>264</v>
      </c>
    </row>
    <row r="2035" spans="1:221" x14ac:dyDescent="0.4">
      <c r="A2035" s="5">
        <v>3739</v>
      </c>
      <c r="B2035" s="5">
        <v>1</v>
      </c>
      <c r="C2035" s="5">
        <v>1</v>
      </c>
      <c r="D2035" s="5" t="s">
        <v>269</v>
      </c>
      <c r="E2035" s="5" t="s">
        <v>271</v>
      </c>
      <c r="F2035" s="5" t="s">
        <v>248</v>
      </c>
      <c r="G2035" s="5" t="s">
        <v>266</v>
      </c>
      <c r="H2035" s="6" t="s">
        <v>993</v>
      </c>
      <c r="I2035" s="7">
        <f>1882</f>
        <v>1882</v>
      </c>
      <c r="J2035" s="5" t="s">
        <v>262</v>
      </c>
      <c r="K2035" s="8">
        <f>1</f>
        <v>1</v>
      </c>
      <c r="L2035" s="6" t="s">
        <v>242</v>
      </c>
      <c r="M2035" s="5" t="s">
        <v>267</v>
      </c>
      <c r="N2035" s="5" t="s">
        <v>265</v>
      </c>
      <c r="O2035" s="5" t="s">
        <v>238</v>
      </c>
      <c r="P2035" s="5" t="s">
        <v>238</v>
      </c>
      <c r="Q2035" s="5" t="s">
        <v>268</v>
      </c>
      <c r="R2035" s="5" t="s">
        <v>270</v>
      </c>
      <c r="S2035" s="5" t="s">
        <v>238</v>
      </c>
      <c r="V2035" s="5" t="s">
        <v>238</v>
      </c>
      <c r="X2035" s="6" t="s">
        <v>238</v>
      </c>
      <c r="AA2035" s="6" t="s">
        <v>243</v>
      </c>
      <c r="AB2035" s="5" t="s">
        <v>238</v>
      </c>
      <c r="AC2035" s="5" t="s">
        <v>244</v>
      </c>
      <c r="AD2035" s="5" t="s">
        <v>245</v>
      </c>
      <c r="AT2035" s="5" t="s">
        <v>246</v>
      </c>
      <c r="AU2035" s="5" t="s">
        <v>238</v>
      </c>
      <c r="AV2035" s="5" t="s">
        <v>247</v>
      </c>
      <c r="AW2035" s="5" t="s">
        <v>238</v>
      </c>
      <c r="AX2035" s="5" t="s">
        <v>249</v>
      </c>
      <c r="AY2035" s="5" t="s">
        <v>238</v>
      </c>
      <c r="BA2035" s="5" t="s">
        <v>238</v>
      </c>
      <c r="BC2035" s="5" t="s">
        <v>250</v>
      </c>
      <c r="BD2035" s="6" t="s">
        <v>243</v>
      </c>
      <c r="BE2035" s="5" t="s">
        <v>251</v>
      </c>
      <c r="BF2035" s="5" t="s">
        <v>252</v>
      </c>
      <c r="BG2035" s="5" t="s">
        <v>238</v>
      </c>
      <c r="BH2035" s="7">
        <f>0</f>
        <v>0</v>
      </c>
      <c r="BI2035" s="8">
        <f>0</f>
        <v>0</v>
      </c>
      <c r="BJ2035" s="5" t="s">
        <v>253</v>
      </c>
      <c r="BK2035" s="5" t="s">
        <v>254</v>
      </c>
      <c r="BY2035" s="5" t="s">
        <v>238</v>
      </c>
      <c r="BZ2035" s="5" t="s">
        <v>238</v>
      </c>
      <c r="CD2035" s="5" t="s">
        <v>273</v>
      </c>
      <c r="CE2035" s="5" t="s">
        <v>256</v>
      </c>
      <c r="CF2035" s="5" t="s">
        <v>238</v>
      </c>
      <c r="CI2035" s="6" t="s">
        <v>257</v>
      </c>
      <c r="CJ2035" s="5" t="s">
        <v>238</v>
      </c>
      <c r="CK2035" s="5" t="s">
        <v>258</v>
      </c>
      <c r="CL2035" s="5" t="s">
        <v>238</v>
      </c>
      <c r="CM2035" s="5" t="s">
        <v>238</v>
      </c>
      <c r="CN2035" s="5">
        <v>0</v>
      </c>
      <c r="CO2035" s="5" t="s">
        <v>259</v>
      </c>
      <c r="CP2035" s="5" t="s">
        <v>260</v>
      </c>
      <c r="CQ2035" s="5" t="s">
        <v>260</v>
      </c>
      <c r="CR2035" s="5" t="s">
        <v>261</v>
      </c>
      <c r="CU2035" s="8">
        <f>1</f>
        <v>1</v>
      </c>
      <c r="CV2035" s="8">
        <f>0</f>
        <v>0</v>
      </c>
      <c r="CX2035" s="8">
        <f>0</f>
        <v>0</v>
      </c>
      <c r="CY2035" s="8">
        <f>1</f>
        <v>1</v>
      </c>
      <c r="DA2035" s="5" t="s">
        <v>274</v>
      </c>
      <c r="DB2035" s="5" t="s">
        <v>238</v>
      </c>
      <c r="DD2035" s="5" t="s">
        <v>274</v>
      </c>
      <c r="DE2035" s="8">
        <f>1882</f>
        <v>1882</v>
      </c>
      <c r="DG2035" s="5" t="s">
        <v>238</v>
      </c>
      <c r="DH2035" s="5" t="s">
        <v>238</v>
      </c>
      <c r="DI2035" s="5" t="s">
        <v>238</v>
      </c>
      <c r="DJ2035" s="5" t="s">
        <v>238</v>
      </c>
      <c r="DN2035" s="5" t="s">
        <v>238</v>
      </c>
      <c r="DO2035" s="5" t="s">
        <v>238</v>
      </c>
      <c r="DP2035" s="5" t="s">
        <v>238</v>
      </c>
      <c r="DQ2035" s="5" t="s">
        <v>238</v>
      </c>
      <c r="DT2035" s="5" t="s">
        <v>275</v>
      </c>
      <c r="DU2035" s="5" t="s">
        <v>994</v>
      </c>
      <c r="HM2035" s="5" t="s">
        <v>264</v>
      </c>
    </row>
    <row r="2036" spans="1:221" x14ac:dyDescent="0.4">
      <c r="A2036" s="5">
        <v>3740</v>
      </c>
      <c r="B2036" s="5">
        <v>1</v>
      </c>
      <c r="C2036" s="5">
        <v>1</v>
      </c>
      <c r="D2036" s="5" t="s">
        <v>269</v>
      </c>
      <c r="E2036" s="5" t="s">
        <v>271</v>
      </c>
      <c r="F2036" s="5" t="s">
        <v>248</v>
      </c>
      <c r="G2036" s="5" t="s">
        <v>266</v>
      </c>
      <c r="H2036" s="6" t="s">
        <v>272</v>
      </c>
      <c r="I2036" s="7">
        <f>1140</f>
        <v>1140</v>
      </c>
      <c r="J2036" s="5" t="s">
        <v>262</v>
      </c>
      <c r="K2036" s="8">
        <f>1</f>
        <v>1</v>
      </c>
      <c r="L2036" s="6" t="s">
        <v>242</v>
      </c>
      <c r="M2036" s="5" t="s">
        <v>267</v>
      </c>
      <c r="N2036" s="5" t="s">
        <v>265</v>
      </c>
      <c r="O2036" s="5" t="s">
        <v>238</v>
      </c>
      <c r="P2036" s="5" t="s">
        <v>238</v>
      </c>
      <c r="Q2036" s="5" t="s">
        <v>268</v>
      </c>
      <c r="R2036" s="5" t="s">
        <v>270</v>
      </c>
      <c r="S2036" s="5" t="s">
        <v>238</v>
      </c>
      <c r="V2036" s="5" t="s">
        <v>238</v>
      </c>
      <c r="X2036" s="6" t="s">
        <v>238</v>
      </c>
      <c r="AA2036" s="6" t="s">
        <v>243</v>
      </c>
      <c r="AB2036" s="5" t="s">
        <v>238</v>
      </c>
      <c r="AC2036" s="5" t="s">
        <v>244</v>
      </c>
      <c r="AD2036" s="5" t="s">
        <v>245</v>
      </c>
      <c r="AT2036" s="5" t="s">
        <v>246</v>
      </c>
      <c r="AU2036" s="5" t="s">
        <v>238</v>
      </c>
      <c r="AV2036" s="5" t="s">
        <v>247</v>
      </c>
      <c r="AW2036" s="5" t="s">
        <v>238</v>
      </c>
      <c r="AX2036" s="5" t="s">
        <v>249</v>
      </c>
      <c r="AY2036" s="5" t="s">
        <v>238</v>
      </c>
      <c r="BA2036" s="5" t="s">
        <v>238</v>
      </c>
      <c r="BC2036" s="5" t="s">
        <v>250</v>
      </c>
      <c r="BD2036" s="6" t="s">
        <v>243</v>
      </c>
      <c r="BE2036" s="5" t="s">
        <v>251</v>
      </c>
      <c r="BF2036" s="5" t="s">
        <v>252</v>
      </c>
      <c r="BG2036" s="5" t="s">
        <v>238</v>
      </c>
      <c r="BH2036" s="7">
        <f>0</f>
        <v>0</v>
      </c>
      <c r="BI2036" s="8">
        <f>0</f>
        <v>0</v>
      </c>
      <c r="BJ2036" s="5" t="s">
        <v>253</v>
      </c>
      <c r="BK2036" s="5" t="s">
        <v>254</v>
      </c>
      <c r="BY2036" s="5" t="s">
        <v>238</v>
      </c>
      <c r="BZ2036" s="5" t="s">
        <v>238</v>
      </c>
      <c r="CD2036" s="5" t="s">
        <v>273</v>
      </c>
      <c r="CE2036" s="5" t="s">
        <v>256</v>
      </c>
      <c r="CF2036" s="5" t="s">
        <v>238</v>
      </c>
      <c r="CI2036" s="6" t="s">
        <v>257</v>
      </c>
      <c r="CJ2036" s="5" t="s">
        <v>238</v>
      </c>
      <c r="CK2036" s="5" t="s">
        <v>258</v>
      </c>
      <c r="CL2036" s="5" t="s">
        <v>238</v>
      </c>
      <c r="CM2036" s="5" t="s">
        <v>238</v>
      </c>
      <c r="CN2036" s="5">
        <v>0</v>
      </c>
      <c r="CO2036" s="5" t="s">
        <v>259</v>
      </c>
      <c r="CP2036" s="5" t="s">
        <v>260</v>
      </c>
      <c r="CQ2036" s="5" t="s">
        <v>260</v>
      </c>
      <c r="CR2036" s="5" t="s">
        <v>261</v>
      </c>
      <c r="CU2036" s="8">
        <f>1</f>
        <v>1</v>
      </c>
      <c r="CV2036" s="8">
        <f>0</f>
        <v>0</v>
      </c>
      <c r="CX2036" s="8">
        <f>0</f>
        <v>0</v>
      </c>
      <c r="CY2036" s="8">
        <f>1</f>
        <v>1</v>
      </c>
      <c r="DA2036" s="5" t="s">
        <v>274</v>
      </c>
      <c r="DB2036" s="5" t="s">
        <v>238</v>
      </c>
      <c r="DD2036" s="5" t="s">
        <v>274</v>
      </c>
      <c r="DE2036" s="8">
        <f>1140</f>
        <v>1140</v>
      </c>
      <c r="DG2036" s="5" t="s">
        <v>238</v>
      </c>
      <c r="DH2036" s="5" t="s">
        <v>238</v>
      </c>
      <c r="DI2036" s="5" t="s">
        <v>238</v>
      </c>
      <c r="DJ2036" s="5" t="s">
        <v>238</v>
      </c>
      <c r="DN2036" s="5" t="s">
        <v>238</v>
      </c>
      <c r="DO2036" s="5" t="s">
        <v>238</v>
      </c>
      <c r="DP2036" s="5" t="s">
        <v>238</v>
      </c>
      <c r="DQ2036" s="5" t="s">
        <v>238</v>
      </c>
      <c r="DT2036" s="5" t="s">
        <v>275</v>
      </c>
      <c r="DU2036" s="5" t="s">
        <v>276</v>
      </c>
      <c r="HM2036" s="5" t="s">
        <v>264</v>
      </c>
    </row>
    <row r="2037" spans="1:221" x14ac:dyDescent="0.4">
      <c r="A2037" s="5">
        <v>3741</v>
      </c>
      <c r="B2037" s="5">
        <v>1</v>
      </c>
      <c r="C2037" s="5">
        <v>1</v>
      </c>
      <c r="D2037" s="5" t="s">
        <v>269</v>
      </c>
      <c r="E2037" s="5" t="s">
        <v>271</v>
      </c>
      <c r="F2037" s="5" t="s">
        <v>248</v>
      </c>
      <c r="G2037" s="5" t="s">
        <v>266</v>
      </c>
      <c r="H2037" s="6" t="s">
        <v>277</v>
      </c>
      <c r="I2037" s="7">
        <f>161</f>
        <v>161</v>
      </c>
      <c r="J2037" s="5" t="s">
        <v>262</v>
      </c>
      <c r="K2037" s="8">
        <f>1</f>
        <v>1</v>
      </c>
      <c r="L2037" s="6" t="s">
        <v>242</v>
      </c>
      <c r="M2037" s="5" t="s">
        <v>267</v>
      </c>
      <c r="N2037" s="5" t="s">
        <v>265</v>
      </c>
      <c r="O2037" s="5" t="s">
        <v>238</v>
      </c>
      <c r="P2037" s="5" t="s">
        <v>238</v>
      </c>
      <c r="Q2037" s="5" t="s">
        <v>268</v>
      </c>
      <c r="R2037" s="5" t="s">
        <v>270</v>
      </c>
      <c r="S2037" s="5" t="s">
        <v>238</v>
      </c>
      <c r="V2037" s="5" t="s">
        <v>238</v>
      </c>
      <c r="X2037" s="6" t="s">
        <v>238</v>
      </c>
      <c r="AA2037" s="6" t="s">
        <v>243</v>
      </c>
      <c r="AB2037" s="5" t="s">
        <v>238</v>
      </c>
      <c r="AC2037" s="5" t="s">
        <v>244</v>
      </c>
      <c r="AD2037" s="5" t="s">
        <v>245</v>
      </c>
      <c r="AT2037" s="5" t="s">
        <v>246</v>
      </c>
      <c r="AU2037" s="5" t="s">
        <v>238</v>
      </c>
      <c r="AV2037" s="5" t="s">
        <v>247</v>
      </c>
      <c r="AW2037" s="5" t="s">
        <v>238</v>
      </c>
      <c r="AX2037" s="5" t="s">
        <v>249</v>
      </c>
      <c r="AY2037" s="5" t="s">
        <v>238</v>
      </c>
      <c r="BA2037" s="5" t="s">
        <v>238</v>
      </c>
      <c r="BC2037" s="5" t="s">
        <v>250</v>
      </c>
      <c r="BD2037" s="6" t="s">
        <v>243</v>
      </c>
      <c r="BE2037" s="5" t="s">
        <v>251</v>
      </c>
      <c r="BF2037" s="5" t="s">
        <v>252</v>
      </c>
      <c r="BG2037" s="5" t="s">
        <v>238</v>
      </c>
      <c r="BH2037" s="7">
        <f>0</f>
        <v>0</v>
      </c>
      <c r="BI2037" s="8">
        <f>0</f>
        <v>0</v>
      </c>
      <c r="BJ2037" s="5" t="s">
        <v>253</v>
      </c>
      <c r="BK2037" s="5" t="s">
        <v>254</v>
      </c>
      <c r="BY2037" s="5" t="s">
        <v>238</v>
      </c>
      <c r="BZ2037" s="5" t="s">
        <v>238</v>
      </c>
      <c r="CD2037" s="5" t="s">
        <v>273</v>
      </c>
      <c r="CE2037" s="5" t="s">
        <v>256</v>
      </c>
      <c r="CF2037" s="5" t="s">
        <v>238</v>
      </c>
      <c r="CI2037" s="6" t="s">
        <v>257</v>
      </c>
      <c r="CJ2037" s="5" t="s">
        <v>238</v>
      </c>
      <c r="CK2037" s="5" t="s">
        <v>258</v>
      </c>
      <c r="CL2037" s="5" t="s">
        <v>238</v>
      </c>
      <c r="CM2037" s="5" t="s">
        <v>238</v>
      </c>
      <c r="CN2037" s="5">
        <v>0</v>
      </c>
      <c r="CO2037" s="5" t="s">
        <v>259</v>
      </c>
      <c r="CP2037" s="5" t="s">
        <v>260</v>
      </c>
      <c r="CQ2037" s="5" t="s">
        <v>260</v>
      </c>
      <c r="CR2037" s="5" t="s">
        <v>261</v>
      </c>
      <c r="CU2037" s="8">
        <f>1</f>
        <v>1</v>
      </c>
      <c r="CV2037" s="8">
        <f>0</f>
        <v>0</v>
      </c>
      <c r="CX2037" s="8">
        <f>0</f>
        <v>0</v>
      </c>
      <c r="CY2037" s="8">
        <f>1</f>
        <v>1</v>
      </c>
      <c r="DA2037" s="5" t="s">
        <v>274</v>
      </c>
      <c r="DB2037" s="5" t="s">
        <v>238</v>
      </c>
      <c r="DD2037" s="5" t="s">
        <v>274</v>
      </c>
      <c r="DE2037" s="8">
        <f>161</f>
        <v>161</v>
      </c>
      <c r="DG2037" s="5" t="s">
        <v>238</v>
      </c>
      <c r="DH2037" s="5" t="s">
        <v>238</v>
      </c>
      <c r="DI2037" s="5" t="s">
        <v>238</v>
      </c>
      <c r="DJ2037" s="5" t="s">
        <v>238</v>
      </c>
      <c r="DN2037" s="5" t="s">
        <v>238</v>
      </c>
      <c r="DO2037" s="5" t="s">
        <v>238</v>
      </c>
      <c r="DP2037" s="5" t="s">
        <v>238</v>
      </c>
      <c r="DQ2037" s="5" t="s">
        <v>238</v>
      </c>
      <c r="DT2037" s="5" t="s">
        <v>275</v>
      </c>
      <c r="DU2037" s="5" t="s">
        <v>278</v>
      </c>
      <c r="HM2037" s="5" t="s">
        <v>264</v>
      </c>
    </row>
    <row r="2038" spans="1:221" x14ac:dyDescent="0.4">
      <c r="A2038" s="5">
        <v>3742</v>
      </c>
      <c r="B2038" s="5">
        <v>1</v>
      </c>
      <c r="C2038" s="5">
        <v>1</v>
      </c>
      <c r="D2038" s="5" t="s">
        <v>269</v>
      </c>
      <c r="E2038" s="5" t="s">
        <v>271</v>
      </c>
      <c r="F2038" s="5" t="s">
        <v>248</v>
      </c>
      <c r="G2038" s="5" t="s">
        <v>266</v>
      </c>
      <c r="H2038" s="6" t="s">
        <v>281</v>
      </c>
      <c r="I2038" s="7">
        <f>539</f>
        <v>539</v>
      </c>
      <c r="J2038" s="5" t="s">
        <v>262</v>
      </c>
      <c r="K2038" s="8">
        <f>1</f>
        <v>1</v>
      </c>
      <c r="L2038" s="6" t="s">
        <v>242</v>
      </c>
      <c r="M2038" s="5" t="s">
        <v>267</v>
      </c>
      <c r="N2038" s="5" t="s">
        <v>265</v>
      </c>
      <c r="O2038" s="5" t="s">
        <v>238</v>
      </c>
      <c r="P2038" s="5" t="s">
        <v>238</v>
      </c>
      <c r="Q2038" s="5" t="s">
        <v>268</v>
      </c>
      <c r="R2038" s="5" t="s">
        <v>270</v>
      </c>
      <c r="S2038" s="5" t="s">
        <v>238</v>
      </c>
      <c r="V2038" s="5" t="s">
        <v>238</v>
      </c>
      <c r="X2038" s="6" t="s">
        <v>238</v>
      </c>
      <c r="AA2038" s="6" t="s">
        <v>243</v>
      </c>
      <c r="AB2038" s="5" t="s">
        <v>238</v>
      </c>
      <c r="AC2038" s="5" t="s">
        <v>244</v>
      </c>
      <c r="AD2038" s="5" t="s">
        <v>245</v>
      </c>
      <c r="AT2038" s="5" t="s">
        <v>246</v>
      </c>
      <c r="AU2038" s="5" t="s">
        <v>238</v>
      </c>
      <c r="AV2038" s="5" t="s">
        <v>247</v>
      </c>
      <c r="AW2038" s="5" t="s">
        <v>238</v>
      </c>
      <c r="AX2038" s="5" t="s">
        <v>249</v>
      </c>
      <c r="AY2038" s="5" t="s">
        <v>238</v>
      </c>
      <c r="BA2038" s="5" t="s">
        <v>238</v>
      </c>
      <c r="BC2038" s="5" t="s">
        <v>250</v>
      </c>
      <c r="BD2038" s="6" t="s">
        <v>243</v>
      </c>
      <c r="BE2038" s="5" t="s">
        <v>251</v>
      </c>
      <c r="BF2038" s="5" t="s">
        <v>252</v>
      </c>
      <c r="BG2038" s="5" t="s">
        <v>238</v>
      </c>
      <c r="BH2038" s="7">
        <f>0</f>
        <v>0</v>
      </c>
      <c r="BI2038" s="8">
        <f>0</f>
        <v>0</v>
      </c>
      <c r="BJ2038" s="5" t="s">
        <v>253</v>
      </c>
      <c r="BK2038" s="5" t="s">
        <v>254</v>
      </c>
      <c r="BY2038" s="5" t="s">
        <v>238</v>
      </c>
      <c r="BZ2038" s="5" t="s">
        <v>238</v>
      </c>
      <c r="CD2038" s="5" t="s">
        <v>273</v>
      </c>
      <c r="CE2038" s="5" t="s">
        <v>256</v>
      </c>
      <c r="CF2038" s="5" t="s">
        <v>238</v>
      </c>
      <c r="CI2038" s="6" t="s">
        <v>257</v>
      </c>
      <c r="CJ2038" s="5" t="s">
        <v>238</v>
      </c>
      <c r="CK2038" s="5" t="s">
        <v>258</v>
      </c>
      <c r="CL2038" s="5" t="s">
        <v>238</v>
      </c>
      <c r="CM2038" s="5" t="s">
        <v>238</v>
      </c>
      <c r="CN2038" s="5">
        <v>0</v>
      </c>
      <c r="CO2038" s="5" t="s">
        <v>259</v>
      </c>
      <c r="CP2038" s="5" t="s">
        <v>260</v>
      </c>
      <c r="CQ2038" s="5" t="s">
        <v>260</v>
      </c>
      <c r="CR2038" s="5" t="s">
        <v>261</v>
      </c>
      <c r="CU2038" s="8">
        <f>1</f>
        <v>1</v>
      </c>
      <c r="CV2038" s="8">
        <f>0</f>
        <v>0</v>
      </c>
      <c r="CX2038" s="8">
        <f>0</f>
        <v>0</v>
      </c>
      <c r="CY2038" s="8">
        <f>1</f>
        <v>1</v>
      </c>
      <c r="DA2038" s="5" t="s">
        <v>274</v>
      </c>
      <c r="DB2038" s="5" t="s">
        <v>238</v>
      </c>
      <c r="DD2038" s="5" t="s">
        <v>274</v>
      </c>
      <c r="DE2038" s="8">
        <f>539</f>
        <v>539</v>
      </c>
      <c r="DG2038" s="5" t="s">
        <v>238</v>
      </c>
      <c r="DH2038" s="5" t="s">
        <v>238</v>
      </c>
      <c r="DI2038" s="5" t="s">
        <v>238</v>
      </c>
      <c r="DJ2038" s="5" t="s">
        <v>238</v>
      </c>
      <c r="DN2038" s="5" t="s">
        <v>238</v>
      </c>
      <c r="DO2038" s="5" t="s">
        <v>238</v>
      </c>
      <c r="DP2038" s="5" t="s">
        <v>238</v>
      </c>
      <c r="DQ2038" s="5" t="s">
        <v>238</v>
      </c>
      <c r="DT2038" s="5" t="s">
        <v>275</v>
      </c>
      <c r="DU2038" s="5" t="s">
        <v>282</v>
      </c>
      <c r="HM2038" s="5" t="s">
        <v>264</v>
      </c>
    </row>
    <row r="2039" spans="1:221" x14ac:dyDescent="0.4">
      <c r="A2039" s="5">
        <v>3743</v>
      </c>
      <c r="B2039" s="5">
        <v>1</v>
      </c>
      <c r="C2039" s="5">
        <v>1</v>
      </c>
      <c r="D2039" s="5" t="s">
        <v>269</v>
      </c>
      <c r="E2039" s="5" t="s">
        <v>271</v>
      </c>
      <c r="F2039" s="5" t="s">
        <v>248</v>
      </c>
      <c r="G2039" s="5" t="s">
        <v>266</v>
      </c>
      <c r="H2039" s="6" t="s">
        <v>283</v>
      </c>
      <c r="I2039" s="7">
        <f>71</f>
        <v>71</v>
      </c>
      <c r="J2039" s="5" t="s">
        <v>262</v>
      </c>
      <c r="K2039" s="8">
        <f>1</f>
        <v>1</v>
      </c>
      <c r="L2039" s="6" t="s">
        <v>242</v>
      </c>
      <c r="M2039" s="5" t="s">
        <v>267</v>
      </c>
      <c r="N2039" s="5" t="s">
        <v>265</v>
      </c>
      <c r="O2039" s="5" t="s">
        <v>238</v>
      </c>
      <c r="P2039" s="5" t="s">
        <v>238</v>
      </c>
      <c r="Q2039" s="5" t="s">
        <v>268</v>
      </c>
      <c r="R2039" s="5" t="s">
        <v>270</v>
      </c>
      <c r="S2039" s="5" t="s">
        <v>238</v>
      </c>
      <c r="V2039" s="5" t="s">
        <v>238</v>
      </c>
      <c r="X2039" s="6" t="s">
        <v>238</v>
      </c>
      <c r="AA2039" s="6" t="s">
        <v>243</v>
      </c>
      <c r="AB2039" s="5" t="s">
        <v>238</v>
      </c>
      <c r="AC2039" s="5" t="s">
        <v>244</v>
      </c>
      <c r="AD2039" s="5" t="s">
        <v>245</v>
      </c>
      <c r="AT2039" s="5" t="s">
        <v>246</v>
      </c>
      <c r="AU2039" s="5" t="s">
        <v>238</v>
      </c>
      <c r="AV2039" s="5" t="s">
        <v>247</v>
      </c>
      <c r="AW2039" s="5" t="s">
        <v>238</v>
      </c>
      <c r="AX2039" s="5" t="s">
        <v>249</v>
      </c>
      <c r="AY2039" s="5" t="s">
        <v>238</v>
      </c>
      <c r="BA2039" s="5" t="s">
        <v>238</v>
      </c>
      <c r="BC2039" s="5" t="s">
        <v>250</v>
      </c>
      <c r="BD2039" s="6" t="s">
        <v>243</v>
      </c>
      <c r="BE2039" s="5" t="s">
        <v>251</v>
      </c>
      <c r="BF2039" s="5" t="s">
        <v>252</v>
      </c>
      <c r="BG2039" s="5" t="s">
        <v>238</v>
      </c>
      <c r="BH2039" s="7">
        <f>0</f>
        <v>0</v>
      </c>
      <c r="BI2039" s="8">
        <f>0</f>
        <v>0</v>
      </c>
      <c r="BJ2039" s="5" t="s">
        <v>253</v>
      </c>
      <c r="BK2039" s="5" t="s">
        <v>254</v>
      </c>
      <c r="BY2039" s="5" t="s">
        <v>238</v>
      </c>
      <c r="BZ2039" s="5" t="s">
        <v>238</v>
      </c>
      <c r="CD2039" s="5" t="s">
        <v>273</v>
      </c>
      <c r="CE2039" s="5" t="s">
        <v>256</v>
      </c>
      <c r="CF2039" s="5" t="s">
        <v>238</v>
      </c>
      <c r="CI2039" s="6" t="s">
        <v>257</v>
      </c>
      <c r="CJ2039" s="5" t="s">
        <v>238</v>
      </c>
      <c r="CK2039" s="5" t="s">
        <v>258</v>
      </c>
      <c r="CL2039" s="5" t="s">
        <v>238</v>
      </c>
      <c r="CM2039" s="5" t="s">
        <v>238</v>
      </c>
      <c r="CN2039" s="5">
        <v>0</v>
      </c>
      <c r="CO2039" s="5" t="s">
        <v>259</v>
      </c>
      <c r="CP2039" s="5" t="s">
        <v>260</v>
      </c>
      <c r="CQ2039" s="5" t="s">
        <v>260</v>
      </c>
      <c r="CR2039" s="5" t="s">
        <v>261</v>
      </c>
      <c r="CU2039" s="8">
        <f>1</f>
        <v>1</v>
      </c>
      <c r="CV2039" s="8">
        <f>0</f>
        <v>0</v>
      </c>
      <c r="CX2039" s="8">
        <f>0</f>
        <v>0</v>
      </c>
      <c r="CY2039" s="8">
        <f>1</f>
        <v>1</v>
      </c>
      <c r="DA2039" s="5" t="s">
        <v>274</v>
      </c>
      <c r="DB2039" s="5" t="s">
        <v>238</v>
      </c>
      <c r="DD2039" s="5" t="s">
        <v>274</v>
      </c>
      <c r="DE2039" s="8">
        <f>71</f>
        <v>71</v>
      </c>
      <c r="DG2039" s="5" t="s">
        <v>238</v>
      </c>
      <c r="DH2039" s="5" t="s">
        <v>238</v>
      </c>
      <c r="DI2039" s="5" t="s">
        <v>238</v>
      </c>
      <c r="DJ2039" s="5" t="s">
        <v>238</v>
      </c>
      <c r="DN2039" s="5" t="s">
        <v>238</v>
      </c>
      <c r="DO2039" s="5" t="s">
        <v>238</v>
      </c>
      <c r="DP2039" s="5" t="s">
        <v>238</v>
      </c>
      <c r="DQ2039" s="5" t="s">
        <v>238</v>
      </c>
      <c r="DT2039" s="5" t="s">
        <v>275</v>
      </c>
      <c r="DU2039" s="5" t="s">
        <v>284</v>
      </c>
      <c r="HM2039" s="5" t="s">
        <v>264</v>
      </c>
    </row>
    <row r="2040" spans="1:221" x14ac:dyDescent="0.4">
      <c r="A2040" s="5">
        <v>3744</v>
      </c>
      <c r="B2040" s="5">
        <v>1</v>
      </c>
      <c r="C2040" s="5">
        <v>1</v>
      </c>
      <c r="D2040" s="5" t="s">
        <v>269</v>
      </c>
      <c r="E2040" s="5" t="s">
        <v>271</v>
      </c>
      <c r="F2040" s="5" t="s">
        <v>248</v>
      </c>
      <c r="G2040" s="5" t="s">
        <v>266</v>
      </c>
      <c r="H2040" s="6" t="s">
        <v>287</v>
      </c>
      <c r="I2040" s="7">
        <f>1860</f>
        <v>1860</v>
      </c>
      <c r="J2040" s="5" t="s">
        <v>262</v>
      </c>
      <c r="K2040" s="8">
        <f>1</f>
        <v>1</v>
      </c>
      <c r="L2040" s="6" t="s">
        <v>242</v>
      </c>
      <c r="M2040" s="5" t="s">
        <v>267</v>
      </c>
      <c r="N2040" s="5" t="s">
        <v>265</v>
      </c>
      <c r="O2040" s="5" t="s">
        <v>238</v>
      </c>
      <c r="P2040" s="5" t="s">
        <v>238</v>
      </c>
      <c r="Q2040" s="5" t="s">
        <v>268</v>
      </c>
      <c r="R2040" s="5" t="s">
        <v>270</v>
      </c>
      <c r="S2040" s="5" t="s">
        <v>238</v>
      </c>
      <c r="V2040" s="5" t="s">
        <v>238</v>
      </c>
      <c r="X2040" s="6" t="s">
        <v>238</v>
      </c>
      <c r="AA2040" s="6" t="s">
        <v>243</v>
      </c>
      <c r="AB2040" s="5" t="s">
        <v>238</v>
      </c>
      <c r="AC2040" s="5" t="s">
        <v>244</v>
      </c>
      <c r="AD2040" s="5" t="s">
        <v>245</v>
      </c>
      <c r="AT2040" s="5" t="s">
        <v>246</v>
      </c>
      <c r="AU2040" s="5" t="s">
        <v>238</v>
      </c>
      <c r="AV2040" s="5" t="s">
        <v>247</v>
      </c>
      <c r="AW2040" s="5" t="s">
        <v>238</v>
      </c>
      <c r="AX2040" s="5" t="s">
        <v>249</v>
      </c>
      <c r="AY2040" s="5" t="s">
        <v>238</v>
      </c>
      <c r="BA2040" s="5" t="s">
        <v>238</v>
      </c>
      <c r="BC2040" s="5" t="s">
        <v>250</v>
      </c>
      <c r="BD2040" s="6" t="s">
        <v>243</v>
      </c>
      <c r="BE2040" s="5" t="s">
        <v>251</v>
      </c>
      <c r="BF2040" s="5" t="s">
        <v>252</v>
      </c>
      <c r="BG2040" s="5" t="s">
        <v>238</v>
      </c>
      <c r="BH2040" s="7">
        <f>0</f>
        <v>0</v>
      </c>
      <c r="BI2040" s="8">
        <f>0</f>
        <v>0</v>
      </c>
      <c r="BJ2040" s="5" t="s">
        <v>253</v>
      </c>
      <c r="BK2040" s="5" t="s">
        <v>254</v>
      </c>
      <c r="BY2040" s="5" t="s">
        <v>238</v>
      </c>
      <c r="BZ2040" s="5" t="s">
        <v>238</v>
      </c>
      <c r="CD2040" s="5" t="s">
        <v>273</v>
      </c>
      <c r="CE2040" s="5" t="s">
        <v>256</v>
      </c>
      <c r="CF2040" s="5" t="s">
        <v>238</v>
      </c>
      <c r="CI2040" s="6" t="s">
        <v>257</v>
      </c>
      <c r="CJ2040" s="5" t="s">
        <v>238</v>
      </c>
      <c r="CK2040" s="5" t="s">
        <v>258</v>
      </c>
      <c r="CL2040" s="5" t="s">
        <v>238</v>
      </c>
      <c r="CM2040" s="5" t="s">
        <v>238</v>
      </c>
      <c r="CN2040" s="5">
        <v>0</v>
      </c>
      <c r="CO2040" s="5" t="s">
        <v>259</v>
      </c>
      <c r="CP2040" s="5" t="s">
        <v>260</v>
      </c>
      <c r="CQ2040" s="5" t="s">
        <v>260</v>
      </c>
      <c r="CR2040" s="5" t="s">
        <v>261</v>
      </c>
      <c r="CU2040" s="8">
        <f>1</f>
        <v>1</v>
      </c>
      <c r="CV2040" s="8">
        <f>0</f>
        <v>0</v>
      </c>
      <c r="CX2040" s="8">
        <f>0</f>
        <v>0</v>
      </c>
      <c r="CY2040" s="8">
        <f>1</f>
        <v>1</v>
      </c>
      <c r="DA2040" s="5" t="s">
        <v>274</v>
      </c>
      <c r="DB2040" s="5" t="s">
        <v>238</v>
      </c>
      <c r="DD2040" s="5" t="s">
        <v>274</v>
      </c>
      <c r="DE2040" s="8">
        <f>1860</f>
        <v>1860</v>
      </c>
      <c r="DG2040" s="5" t="s">
        <v>238</v>
      </c>
      <c r="DH2040" s="5" t="s">
        <v>238</v>
      </c>
      <c r="DI2040" s="5" t="s">
        <v>238</v>
      </c>
      <c r="DJ2040" s="5" t="s">
        <v>238</v>
      </c>
      <c r="DN2040" s="5" t="s">
        <v>238</v>
      </c>
      <c r="DO2040" s="5" t="s">
        <v>238</v>
      </c>
      <c r="DP2040" s="5" t="s">
        <v>238</v>
      </c>
      <c r="DQ2040" s="5" t="s">
        <v>238</v>
      </c>
      <c r="DT2040" s="5" t="s">
        <v>275</v>
      </c>
      <c r="DU2040" s="5" t="s">
        <v>288</v>
      </c>
      <c r="HM2040" s="5" t="s">
        <v>264</v>
      </c>
    </row>
    <row r="2041" spans="1:221" x14ac:dyDescent="0.4">
      <c r="A2041" s="5">
        <v>3745</v>
      </c>
      <c r="B2041" s="5">
        <v>1</v>
      </c>
      <c r="C2041" s="5">
        <v>1</v>
      </c>
      <c r="D2041" s="5" t="s">
        <v>269</v>
      </c>
      <c r="E2041" s="5" t="s">
        <v>271</v>
      </c>
      <c r="F2041" s="5" t="s">
        <v>248</v>
      </c>
      <c r="G2041" s="5" t="s">
        <v>266</v>
      </c>
      <c r="H2041" s="6" t="s">
        <v>291</v>
      </c>
      <c r="I2041" s="7">
        <f>2484</f>
        <v>2484</v>
      </c>
      <c r="J2041" s="5" t="s">
        <v>262</v>
      </c>
      <c r="K2041" s="8">
        <f>1</f>
        <v>1</v>
      </c>
      <c r="L2041" s="6" t="s">
        <v>242</v>
      </c>
      <c r="M2041" s="5" t="s">
        <v>267</v>
      </c>
      <c r="N2041" s="5" t="s">
        <v>265</v>
      </c>
      <c r="O2041" s="5" t="s">
        <v>238</v>
      </c>
      <c r="P2041" s="5" t="s">
        <v>238</v>
      </c>
      <c r="Q2041" s="5" t="s">
        <v>268</v>
      </c>
      <c r="R2041" s="5" t="s">
        <v>270</v>
      </c>
      <c r="S2041" s="5" t="s">
        <v>238</v>
      </c>
      <c r="V2041" s="5" t="s">
        <v>238</v>
      </c>
      <c r="X2041" s="6" t="s">
        <v>238</v>
      </c>
      <c r="AA2041" s="6" t="s">
        <v>243</v>
      </c>
      <c r="AB2041" s="5" t="s">
        <v>238</v>
      </c>
      <c r="AC2041" s="5" t="s">
        <v>244</v>
      </c>
      <c r="AD2041" s="5" t="s">
        <v>245</v>
      </c>
      <c r="AT2041" s="5" t="s">
        <v>246</v>
      </c>
      <c r="AU2041" s="5" t="s">
        <v>238</v>
      </c>
      <c r="AV2041" s="5" t="s">
        <v>247</v>
      </c>
      <c r="AW2041" s="5" t="s">
        <v>238</v>
      </c>
      <c r="AX2041" s="5" t="s">
        <v>249</v>
      </c>
      <c r="AY2041" s="5" t="s">
        <v>238</v>
      </c>
      <c r="BA2041" s="5" t="s">
        <v>238</v>
      </c>
      <c r="BC2041" s="5" t="s">
        <v>250</v>
      </c>
      <c r="BD2041" s="6" t="s">
        <v>243</v>
      </c>
      <c r="BE2041" s="5" t="s">
        <v>251</v>
      </c>
      <c r="BF2041" s="5" t="s">
        <v>252</v>
      </c>
      <c r="BG2041" s="5" t="s">
        <v>238</v>
      </c>
      <c r="BH2041" s="7">
        <f>0</f>
        <v>0</v>
      </c>
      <c r="BI2041" s="8">
        <f>0</f>
        <v>0</v>
      </c>
      <c r="BJ2041" s="5" t="s">
        <v>253</v>
      </c>
      <c r="BK2041" s="5" t="s">
        <v>254</v>
      </c>
      <c r="BY2041" s="5" t="s">
        <v>238</v>
      </c>
      <c r="BZ2041" s="5" t="s">
        <v>238</v>
      </c>
      <c r="CD2041" s="5" t="s">
        <v>273</v>
      </c>
      <c r="CE2041" s="5" t="s">
        <v>256</v>
      </c>
      <c r="CF2041" s="5" t="s">
        <v>238</v>
      </c>
      <c r="CI2041" s="6" t="s">
        <v>257</v>
      </c>
      <c r="CJ2041" s="5" t="s">
        <v>238</v>
      </c>
      <c r="CK2041" s="5" t="s">
        <v>258</v>
      </c>
      <c r="CL2041" s="5" t="s">
        <v>238</v>
      </c>
      <c r="CM2041" s="5" t="s">
        <v>238</v>
      </c>
      <c r="CN2041" s="5">
        <v>0</v>
      </c>
      <c r="CO2041" s="5" t="s">
        <v>259</v>
      </c>
      <c r="CP2041" s="5" t="s">
        <v>260</v>
      </c>
      <c r="CQ2041" s="5" t="s">
        <v>260</v>
      </c>
      <c r="CR2041" s="5" t="s">
        <v>261</v>
      </c>
      <c r="CU2041" s="8">
        <f>1</f>
        <v>1</v>
      </c>
      <c r="CV2041" s="8">
        <f>0</f>
        <v>0</v>
      </c>
      <c r="CX2041" s="8">
        <f>0</f>
        <v>0</v>
      </c>
      <c r="CY2041" s="8">
        <f>1</f>
        <v>1</v>
      </c>
      <c r="DA2041" s="5" t="s">
        <v>274</v>
      </c>
      <c r="DB2041" s="5" t="s">
        <v>238</v>
      </c>
      <c r="DD2041" s="5" t="s">
        <v>274</v>
      </c>
      <c r="DE2041" s="8">
        <f>2484</f>
        <v>2484</v>
      </c>
      <c r="DG2041" s="5" t="s">
        <v>238</v>
      </c>
      <c r="DH2041" s="5" t="s">
        <v>238</v>
      </c>
      <c r="DI2041" s="5" t="s">
        <v>238</v>
      </c>
      <c r="DJ2041" s="5" t="s">
        <v>238</v>
      </c>
      <c r="DN2041" s="5" t="s">
        <v>238</v>
      </c>
      <c r="DO2041" s="5" t="s">
        <v>238</v>
      </c>
      <c r="DP2041" s="5" t="s">
        <v>238</v>
      </c>
      <c r="DQ2041" s="5" t="s">
        <v>238</v>
      </c>
      <c r="DT2041" s="5" t="s">
        <v>275</v>
      </c>
      <c r="DU2041" s="5" t="s">
        <v>292</v>
      </c>
      <c r="HM2041" s="5" t="s">
        <v>264</v>
      </c>
    </row>
    <row r="2042" spans="1:221" x14ac:dyDescent="0.4">
      <c r="A2042" s="5">
        <v>3746</v>
      </c>
      <c r="B2042" s="5">
        <v>1</v>
      </c>
      <c r="C2042" s="5">
        <v>1</v>
      </c>
      <c r="D2042" s="5" t="s">
        <v>269</v>
      </c>
      <c r="E2042" s="5" t="s">
        <v>271</v>
      </c>
      <c r="F2042" s="5" t="s">
        <v>248</v>
      </c>
      <c r="G2042" s="5" t="s">
        <v>266</v>
      </c>
      <c r="H2042" s="6" t="s">
        <v>297</v>
      </c>
      <c r="I2042" s="7">
        <f>1299</f>
        <v>1299</v>
      </c>
      <c r="J2042" s="5" t="s">
        <v>262</v>
      </c>
      <c r="K2042" s="8">
        <f>1</f>
        <v>1</v>
      </c>
      <c r="L2042" s="6" t="s">
        <v>242</v>
      </c>
      <c r="M2042" s="5" t="s">
        <v>267</v>
      </c>
      <c r="N2042" s="5" t="s">
        <v>265</v>
      </c>
      <c r="O2042" s="5" t="s">
        <v>238</v>
      </c>
      <c r="P2042" s="5" t="s">
        <v>238</v>
      </c>
      <c r="Q2042" s="5" t="s">
        <v>268</v>
      </c>
      <c r="R2042" s="5" t="s">
        <v>270</v>
      </c>
      <c r="S2042" s="5" t="s">
        <v>238</v>
      </c>
      <c r="V2042" s="5" t="s">
        <v>238</v>
      </c>
      <c r="X2042" s="6" t="s">
        <v>238</v>
      </c>
      <c r="AA2042" s="6" t="s">
        <v>243</v>
      </c>
      <c r="AB2042" s="5" t="s">
        <v>238</v>
      </c>
      <c r="AC2042" s="5" t="s">
        <v>244</v>
      </c>
      <c r="AD2042" s="5" t="s">
        <v>245</v>
      </c>
      <c r="AT2042" s="5" t="s">
        <v>246</v>
      </c>
      <c r="AU2042" s="5" t="s">
        <v>238</v>
      </c>
      <c r="AV2042" s="5" t="s">
        <v>247</v>
      </c>
      <c r="AW2042" s="5" t="s">
        <v>238</v>
      </c>
      <c r="AX2042" s="5" t="s">
        <v>249</v>
      </c>
      <c r="AY2042" s="5" t="s">
        <v>238</v>
      </c>
      <c r="BA2042" s="5" t="s">
        <v>238</v>
      </c>
      <c r="BC2042" s="5" t="s">
        <v>250</v>
      </c>
      <c r="BD2042" s="6" t="s">
        <v>243</v>
      </c>
      <c r="BE2042" s="5" t="s">
        <v>251</v>
      </c>
      <c r="BF2042" s="5" t="s">
        <v>252</v>
      </c>
      <c r="BG2042" s="5" t="s">
        <v>238</v>
      </c>
      <c r="BH2042" s="7">
        <f>0</f>
        <v>0</v>
      </c>
      <c r="BI2042" s="8">
        <f>0</f>
        <v>0</v>
      </c>
      <c r="BJ2042" s="5" t="s">
        <v>253</v>
      </c>
      <c r="BK2042" s="5" t="s">
        <v>254</v>
      </c>
      <c r="BY2042" s="5" t="s">
        <v>238</v>
      </c>
      <c r="BZ2042" s="5" t="s">
        <v>238</v>
      </c>
      <c r="CD2042" s="5" t="s">
        <v>273</v>
      </c>
      <c r="CE2042" s="5" t="s">
        <v>256</v>
      </c>
      <c r="CF2042" s="5" t="s">
        <v>238</v>
      </c>
      <c r="CI2042" s="6" t="s">
        <v>257</v>
      </c>
      <c r="CJ2042" s="5" t="s">
        <v>238</v>
      </c>
      <c r="CK2042" s="5" t="s">
        <v>258</v>
      </c>
      <c r="CL2042" s="5" t="s">
        <v>238</v>
      </c>
      <c r="CM2042" s="5" t="s">
        <v>238</v>
      </c>
      <c r="CN2042" s="5">
        <v>0</v>
      </c>
      <c r="CO2042" s="5" t="s">
        <v>259</v>
      </c>
      <c r="CP2042" s="5" t="s">
        <v>260</v>
      </c>
      <c r="CQ2042" s="5" t="s">
        <v>260</v>
      </c>
      <c r="CR2042" s="5" t="s">
        <v>261</v>
      </c>
      <c r="CU2042" s="8">
        <f>1</f>
        <v>1</v>
      </c>
      <c r="CV2042" s="8">
        <f>0</f>
        <v>0</v>
      </c>
      <c r="CX2042" s="8">
        <f>0</f>
        <v>0</v>
      </c>
      <c r="CY2042" s="8">
        <f>1</f>
        <v>1</v>
      </c>
      <c r="DA2042" s="5" t="s">
        <v>274</v>
      </c>
      <c r="DB2042" s="5" t="s">
        <v>238</v>
      </c>
      <c r="DD2042" s="5" t="s">
        <v>274</v>
      </c>
      <c r="DE2042" s="8">
        <f>1299</f>
        <v>1299</v>
      </c>
      <c r="DG2042" s="5" t="s">
        <v>238</v>
      </c>
      <c r="DH2042" s="5" t="s">
        <v>238</v>
      </c>
      <c r="DI2042" s="5" t="s">
        <v>238</v>
      </c>
      <c r="DJ2042" s="5" t="s">
        <v>238</v>
      </c>
      <c r="DN2042" s="5" t="s">
        <v>238</v>
      </c>
      <c r="DO2042" s="5" t="s">
        <v>238</v>
      </c>
      <c r="DP2042" s="5" t="s">
        <v>238</v>
      </c>
      <c r="DQ2042" s="5" t="s">
        <v>238</v>
      </c>
      <c r="DT2042" s="5" t="s">
        <v>275</v>
      </c>
      <c r="DU2042" s="5" t="s">
        <v>298</v>
      </c>
      <c r="HM2042" s="5" t="s">
        <v>264</v>
      </c>
    </row>
    <row r="2043" spans="1:221" x14ac:dyDescent="0.4">
      <c r="A2043" s="5">
        <v>3747</v>
      </c>
      <c r="B2043" s="5">
        <v>1</v>
      </c>
      <c r="C2043" s="5">
        <v>1</v>
      </c>
      <c r="D2043" s="5" t="s">
        <v>269</v>
      </c>
      <c r="E2043" s="5" t="s">
        <v>271</v>
      </c>
      <c r="F2043" s="5" t="s">
        <v>248</v>
      </c>
      <c r="G2043" s="5" t="s">
        <v>266</v>
      </c>
      <c r="H2043" s="6" t="s">
        <v>299</v>
      </c>
      <c r="I2043" s="7">
        <f>2004</f>
        <v>2004</v>
      </c>
      <c r="J2043" s="5" t="s">
        <v>262</v>
      </c>
      <c r="K2043" s="8">
        <f>1</f>
        <v>1</v>
      </c>
      <c r="L2043" s="6" t="s">
        <v>242</v>
      </c>
      <c r="M2043" s="5" t="s">
        <v>267</v>
      </c>
      <c r="N2043" s="5" t="s">
        <v>265</v>
      </c>
      <c r="O2043" s="5" t="s">
        <v>238</v>
      </c>
      <c r="P2043" s="5" t="s">
        <v>238</v>
      </c>
      <c r="Q2043" s="5" t="s">
        <v>268</v>
      </c>
      <c r="R2043" s="5" t="s">
        <v>270</v>
      </c>
      <c r="S2043" s="5" t="s">
        <v>238</v>
      </c>
      <c r="V2043" s="5" t="s">
        <v>238</v>
      </c>
      <c r="X2043" s="6" t="s">
        <v>238</v>
      </c>
      <c r="AA2043" s="6" t="s">
        <v>243</v>
      </c>
      <c r="AB2043" s="5" t="s">
        <v>238</v>
      </c>
      <c r="AC2043" s="5" t="s">
        <v>244</v>
      </c>
      <c r="AD2043" s="5" t="s">
        <v>245</v>
      </c>
      <c r="AT2043" s="5" t="s">
        <v>246</v>
      </c>
      <c r="AU2043" s="5" t="s">
        <v>238</v>
      </c>
      <c r="AV2043" s="5" t="s">
        <v>247</v>
      </c>
      <c r="AW2043" s="5" t="s">
        <v>238</v>
      </c>
      <c r="AX2043" s="5" t="s">
        <v>249</v>
      </c>
      <c r="AY2043" s="5" t="s">
        <v>238</v>
      </c>
      <c r="BA2043" s="5" t="s">
        <v>238</v>
      </c>
      <c r="BC2043" s="5" t="s">
        <v>250</v>
      </c>
      <c r="BD2043" s="6" t="s">
        <v>243</v>
      </c>
      <c r="BE2043" s="5" t="s">
        <v>251</v>
      </c>
      <c r="BF2043" s="5" t="s">
        <v>252</v>
      </c>
      <c r="BG2043" s="5" t="s">
        <v>238</v>
      </c>
      <c r="BH2043" s="7">
        <f>0</f>
        <v>0</v>
      </c>
      <c r="BI2043" s="8">
        <f>0</f>
        <v>0</v>
      </c>
      <c r="BJ2043" s="5" t="s">
        <v>253</v>
      </c>
      <c r="BK2043" s="5" t="s">
        <v>254</v>
      </c>
      <c r="BY2043" s="5" t="s">
        <v>238</v>
      </c>
      <c r="BZ2043" s="5" t="s">
        <v>238</v>
      </c>
      <c r="CD2043" s="5" t="s">
        <v>273</v>
      </c>
      <c r="CE2043" s="5" t="s">
        <v>256</v>
      </c>
      <c r="CF2043" s="5" t="s">
        <v>238</v>
      </c>
      <c r="CI2043" s="6" t="s">
        <v>257</v>
      </c>
      <c r="CJ2043" s="5" t="s">
        <v>238</v>
      </c>
      <c r="CK2043" s="5" t="s">
        <v>258</v>
      </c>
      <c r="CL2043" s="5" t="s">
        <v>238</v>
      </c>
      <c r="CM2043" s="5" t="s">
        <v>238</v>
      </c>
      <c r="CN2043" s="5">
        <v>0</v>
      </c>
      <c r="CO2043" s="5" t="s">
        <v>259</v>
      </c>
      <c r="CP2043" s="5" t="s">
        <v>260</v>
      </c>
      <c r="CQ2043" s="5" t="s">
        <v>260</v>
      </c>
      <c r="CR2043" s="5" t="s">
        <v>261</v>
      </c>
      <c r="CU2043" s="8">
        <f>1</f>
        <v>1</v>
      </c>
      <c r="CV2043" s="8">
        <f>0</f>
        <v>0</v>
      </c>
      <c r="CX2043" s="8">
        <f>0</f>
        <v>0</v>
      </c>
      <c r="CY2043" s="8">
        <f>1</f>
        <v>1</v>
      </c>
      <c r="DA2043" s="5" t="s">
        <v>274</v>
      </c>
      <c r="DB2043" s="5" t="s">
        <v>238</v>
      </c>
      <c r="DD2043" s="5" t="s">
        <v>274</v>
      </c>
      <c r="DE2043" s="8">
        <f>2004</f>
        <v>2004</v>
      </c>
      <c r="DG2043" s="5" t="s">
        <v>238</v>
      </c>
      <c r="DH2043" s="5" t="s">
        <v>238</v>
      </c>
      <c r="DI2043" s="5" t="s">
        <v>238</v>
      </c>
      <c r="DJ2043" s="5" t="s">
        <v>238</v>
      </c>
      <c r="DN2043" s="5" t="s">
        <v>238</v>
      </c>
      <c r="DO2043" s="5" t="s">
        <v>238</v>
      </c>
      <c r="DP2043" s="5" t="s">
        <v>238</v>
      </c>
      <c r="DQ2043" s="5" t="s">
        <v>238</v>
      </c>
      <c r="DT2043" s="5" t="s">
        <v>275</v>
      </c>
      <c r="DU2043" s="5" t="s">
        <v>300</v>
      </c>
      <c r="HM2043" s="5" t="s">
        <v>264</v>
      </c>
    </row>
    <row r="2044" spans="1:221" x14ac:dyDescent="0.4">
      <c r="A2044" s="5">
        <v>3748</v>
      </c>
      <c r="B2044" s="5">
        <v>1</v>
      </c>
      <c r="C2044" s="5">
        <v>1</v>
      </c>
      <c r="D2044" s="5" t="s">
        <v>269</v>
      </c>
      <c r="E2044" s="5" t="s">
        <v>271</v>
      </c>
      <c r="F2044" s="5" t="s">
        <v>248</v>
      </c>
      <c r="G2044" s="5" t="s">
        <v>266</v>
      </c>
      <c r="H2044" s="6" t="s">
        <v>303</v>
      </c>
      <c r="I2044" s="7">
        <f>133</f>
        <v>133</v>
      </c>
      <c r="J2044" s="5" t="s">
        <v>262</v>
      </c>
      <c r="K2044" s="8">
        <f>1</f>
        <v>1</v>
      </c>
      <c r="L2044" s="6" t="s">
        <v>242</v>
      </c>
      <c r="M2044" s="5" t="s">
        <v>267</v>
      </c>
      <c r="N2044" s="5" t="s">
        <v>265</v>
      </c>
      <c r="O2044" s="5" t="s">
        <v>238</v>
      </c>
      <c r="P2044" s="5" t="s">
        <v>238</v>
      </c>
      <c r="Q2044" s="5" t="s">
        <v>268</v>
      </c>
      <c r="R2044" s="5" t="s">
        <v>270</v>
      </c>
      <c r="S2044" s="5" t="s">
        <v>238</v>
      </c>
      <c r="V2044" s="5" t="s">
        <v>238</v>
      </c>
      <c r="X2044" s="6" t="s">
        <v>238</v>
      </c>
      <c r="AA2044" s="6" t="s">
        <v>243</v>
      </c>
      <c r="AB2044" s="5" t="s">
        <v>238</v>
      </c>
      <c r="AC2044" s="5" t="s">
        <v>244</v>
      </c>
      <c r="AD2044" s="5" t="s">
        <v>245</v>
      </c>
      <c r="AT2044" s="5" t="s">
        <v>246</v>
      </c>
      <c r="AU2044" s="5" t="s">
        <v>238</v>
      </c>
      <c r="AV2044" s="5" t="s">
        <v>247</v>
      </c>
      <c r="AW2044" s="5" t="s">
        <v>238</v>
      </c>
      <c r="AX2044" s="5" t="s">
        <v>249</v>
      </c>
      <c r="AY2044" s="5" t="s">
        <v>238</v>
      </c>
      <c r="BA2044" s="5" t="s">
        <v>238</v>
      </c>
      <c r="BC2044" s="5" t="s">
        <v>250</v>
      </c>
      <c r="BD2044" s="6" t="s">
        <v>243</v>
      </c>
      <c r="BE2044" s="5" t="s">
        <v>251</v>
      </c>
      <c r="BF2044" s="5" t="s">
        <v>252</v>
      </c>
      <c r="BG2044" s="5" t="s">
        <v>238</v>
      </c>
      <c r="BH2044" s="7">
        <f>0</f>
        <v>0</v>
      </c>
      <c r="BI2044" s="8">
        <f>0</f>
        <v>0</v>
      </c>
      <c r="BJ2044" s="5" t="s">
        <v>253</v>
      </c>
      <c r="BK2044" s="5" t="s">
        <v>254</v>
      </c>
      <c r="BY2044" s="5" t="s">
        <v>238</v>
      </c>
      <c r="BZ2044" s="5" t="s">
        <v>238</v>
      </c>
      <c r="CD2044" s="5" t="s">
        <v>273</v>
      </c>
      <c r="CE2044" s="5" t="s">
        <v>256</v>
      </c>
      <c r="CF2044" s="5" t="s">
        <v>238</v>
      </c>
      <c r="CI2044" s="6" t="s">
        <v>257</v>
      </c>
      <c r="CJ2044" s="5" t="s">
        <v>238</v>
      </c>
      <c r="CK2044" s="5" t="s">
        <v>258</v>
      </c>
      <c r="CL2044" s="5" t="s">
        <v>238</v>
      </c>
      <c r="CM2044" s="5" t="s">
        <v>238</v>
      </c>
      <c r="CN2044" s="5">
        <v>0</v>
      </c>
      <c r="CO2044" s="5" t="s">
        <v>259</v>
      </c>
      <c r="CP2044" s="5" t="s">
        <v>260</v>
      </c>
      <c r="CQ2044" s="5" t="s">
        <v>260</v>
      </c>
      <c r="CR2044" s="5" t="s">
        <v>261</v>
      </c>
      <c r="CU2044" s="8">
        <f>1</f>
        <v>1</v>
      </c>
      <c r="CV2044" s="8">
        <f>0</f>
        <v>0</v>
      </c>
      <c r="CX2044" s="8">
        <f>0</f>
        <v>0</v>
      </c>
      <c r="CY2044" s="8">
        <f>1</f>
        <v>1</v>
      </c>
      <c r="DA2044" s="5" t="s">
        <v>274</v>
      </c>
      <c r="DB2044" s="5" t="s">
        <v>238</v>
      </c>
      <c r="DD2044" s="5" t="s">
        <v>274</v>
      </c>
      <c r="DE2044" s="8">
        <f>133</f>
        <v>133</v>
      </c>
      <c r="DG2044" s="5" t="s">
        <v>238</v>
      </c>
      <c r="DH2044" s="5" t="s">
        <v>238</v>
      </c>
      <c r="DI2044" s="5" t="s">
        <v>238</v>
      </c>
      <c r="DJ2044" s="5" t="s">
        <v>238</v>
      </c>
      <c r="DN2044" s="5" t="s">
        <v>238</v>
      </c>
      <c r="DO2044" s="5" t="s">
        <v>238</v>
      </c>
      <c r="DP2044" s="5" t="s">
        <v>238</v>
      </c>
      <c r="DQ2044" s="5" t="s">
        <v>238</v>
      </c>
      <c r="DT2044" s="5" t="s">
        <v>275</v>
      </c>
      <c r="DU2044" s="5" t="s">
        <v>304</v>
      </c>
      <c r="HM2044" s="5" t="s">
        <v>264</v>
      </c>
    </row>
    <row r="2045" spans="1:221" x14ac:dyDescent="0.4">
      <c r="A2045" s="5">
        <v>3749</v>
      </c>
      <c r="B2045" s="5">
        <v>1</v>
      </c>
      <c r="C2045" s="5">
        <v>1</v>
      </c>
      <c r="D2045" s="5" t="s">
        <v>269</v>
      </c>
      <c r="E2045" s="5" t="s">
        <v>271</v>
      </c>
      <c r="F2045" s="5" t="s">
        <v>248</v>
      </c>
      <c r="G2045" s="5" t="s">
        <v>266</v>
      </c>
      <c r="H2045" s="6" t="s">
        <v>307</v>
      </c>
      <c r="I2045" s="7">
        <f>264</f>
        <v>264</v>
      </c>
      <c r="J2045" s="5" t="s">
        <v>262</v>
      </c>
      <c r="K2045" s="8">
        <f>1</f>
        <v>1</v>
      </c>
      <c r="L2045" s="6" t="s">
        <v>242</v>
      </c>
      <c r="M2045" s="5" t="s">
        <v>267</v>
      </c>
      <c r="N2045" s="5" t="s">
        <v>265</v>
      </c>
      <c r="O2045" s="5" t="s">
        <v>238</v>
      </c>
      <c r="P2045" s="5" t="s">
        <v>238</v>
      </c>
      <c r="Q2045" s="5" t="s">
        <v>268</v>
      </c>
      <c r="R2045" s="5" t="s">
        <v>270</v>
      </c>
      <c r="S2045" s="5" t="s">
        <v>238</v>
      </c>
      <c r="V2045" s="5" t="s">
        <v>238</v>
      </c>
      <c r="X2045" s="6" t="s">
        <v>238</v>
      </c>
      <c r="AA2045" s="6" t="s">
        <v>243</v>
      </c>
      <c r="AB2045" s="5" t="s">
        <v>238</v>
      </c>
      <c r="AC2045" s="5" t="s">
        <v>244</v>
      </c>
      <c r="AD2045" s="5" t="s">
        <v>245</v>
      </c>
      <c r="AT2045" s="5" t="s">
        <v>246</v>
      </c>
      <c r="AU2045" s="5" t="s">
        <v>238</v>
      </c>
      <c r="AV2045" s="5" t="s">
        <v>247</v>
      </c>
      <c r="AW2045" s="5" t="s">
        <v>238</v>
      </c>
      <c r="AX2045" s="5" t="s">
        <v>249</v>
      </c>
      <c r="AY2045" s="5" t="s">
        <v>238</v>
      </c>
      <c r="BA2045" s="5" t="s">
        <v>238</v>
      </c>
      <c r="BC2045" s="5" t="s">
        <v>250</v>
      </c>
      <c r="BD2045" s="6" t="s">
        <v>243</v>
      </c>
      <c r="BE2045" s="5" t="s">
        <v>251</v>
      </c>
      <c r="BF2045" s="5" t="s">
        <v>252</v>
      </c>
      <c r="BG2045" s="5" t="s">
        <v>238</v>
      </c>
      <c r="BH2045" s="7">
        <f>0</f>
        <v>0</v>
      </c>
      <c r="BI2045" s="8">
        <f>0</f>
        <v>0</v>
      </c>
      <c r="BJ2045" s="5" t="s">
        <v>253</v>
      </c>
      <c r="BK2045" s="5" t="s">
        <v>254</v>
      </c>
      <c r="BY2045" s="5" t="s">
        <v>238</v>
      </c>
      <c r="BZ2045" s="5" t="s">
        <v>238</v>
      </c>
      <c r="CD2045" s="5" t="s">
        <v>273</v>
      </c>
      <c r="CE2045" s="5" t="s">
        <v>256</v>
      </c>
      <c r="CF2045" s="5" t="s">
        <v>238</v>
      </c>
      <c r="CI2045" s="6" t="s">
        <v>257</v>
      </c>
      <c r="CJ2045" s="5" t="s">
        <v>238</v>
      </c>
      <c r="CK2045" s="5" t="s">
        <v>258</v>
      </c>
      <c r="CL2045" s="5" t="s">
        <v>238</v>
      </c>
      <c r="CM2045" s="5" t="s">
        <v>238</v>
      </c>
      <c r="CN2045" s="5">
        <v>0</v>
      </c>
      <c r="CO2045" s="5" t="s">
        <v>259</v>
      </c>
      <c r="CP2045" s="5" t="s">
        <v>260</v>
      </c>
      <c r="CQ2045" s="5" t="s">
        <v>260</v>
      </c>
      <c r="CR2045" s="5" t="s">
        <v>261</v>
      </c>
      <c r="CU2045" s="8">
        <f>1</f>
        <v>1</v>
      </c>
      <c r="CV2045" s="8">
        <f>0</f>
        <v>0</v>
      </c>
      <c r="CX2045" s="8">
        <f>0</f>
        <v>0</v>
      </c>
      <c r="CY2045" s="8">
        <f>1</f>
        <v>1</v>
      </c>
      <c r="DA2045" s="5" t="s">
        <v>274</v>
      </c>
      <c r="DB2045" s="5" t="s">
        <v>238</v>
      </c>
      <c r="DD2045" s="5" t="s">
        <v>274</v>
      </c>
      <c r="DE2045" s="8">
        <f>264</f>
        <v>264</v>
      </c>
      <c r="DG2045" s="5" t="s">
        <v>238</v>
      </c>
      <c r="DH2045" s="5" t="s">
        <v>238</v>
      </c>
      <c r="DI2045" s="5" t="s">
        <v>238</v>
      </c>
      <c r="DJ2045" s="5" t="s">
        <v>238</v>
      </c>
      <c r="DN2045" s="5" t="s">
        <v>238</v>
      </c>
      <c r="DO2045" s="5" t="s">
        <v>238</v>
      </c>
      <c r="DP2045" s="5" t="s">
        <v>238</v>
      </c>
      <c r="DQ2045" s="5" t="s">
        <v>238</v>
      </c>
      <c r="DT2045" s="5" t="s">
        <v>275</v>
      </c>
      <c r="DU2045" s="5" t="s">
        <v>308</v>
      </c>
      <c r="HM2045" s="5" t="s">
        <v>264</v>
      </c>
    </row>
    <row r="2046" spans="1:221" x14ac:dyDescent="0.4">
      <c r="A2046" s="5">
        <v>3750</v>
      </c>
      <c r="B2046" s="5">
        <v>1</v>
      </c>
      <c r="C2046" s="5">
        <v>1</v>
      </c>
      <c r="D2046" s="5" t="s">
        <v>269</v>
      </c>
      <c r="E2046" s="5" t="s">
        <v>271</v>
      </c>
      <c r="F2046" s="5" t="s">
        <v>248</v>
      </c>
      <c r="G2046" s="5" t="s">
        <v>266</v>
      </c>
      <c r="H2046" s="6" t="s">
        <v>311</v>
      </c>
      <c r="I2046" s="7">
        <f>462</f>
        <v>462</v>
      </c>
      <c r="J2046" s="5" t="s">
        <v>262</v>
      </c>
      <c r="K2046" s="8">
        <f>1</f>
        <v>1</v>
      </c>
      <c r="L2046" s="6" t="s">
        <v>242</v>
      </c>
      <c r="M2046" s="5" t="s">
        <v>267</v>
      </c>
      <c r="N2046" s="5" t="s">
        <v>265</v>
      </c>
      <c r="O2046" s="5" t="s">
        <v>238</v>
      </c>
      <c r="P2046" s="5" t="s">
        <v>238</v>
      </c>
      <c r="Q2046" s="5" t="s">
        <v>268</v>
      </c>
      <c r="R2046" s="5" t="s">
        <v>270</v>
      </c>
      <c r="S2046" s="5" t="s">
        <v>238</v>
      </c>
      <c r="V2046" s="5" t="s">
        <v>238</v>
      </c>
      <c r="X2046" s="6" t="s">
        <v>238</v>
      </c>
      <c r="AA2046" s="6" t="s">
        <v>243</v>
      </c>
      <c r="AB2046" s="5" t="s">
        <v>238</v>
      </c>
      <c r="AC2046" s="5" t="s">
        <v>244</v>
      </c>
      <c r="AD2046" s="5" t="s">
        <v>245</v>
      </c>
      <c r="AT2046" s="5" t="s">
        <v>246</v>
      </c>
      <c r="AU2046" s="5" t="s">
        <v>238</v>
      </c>
      <c r="AV2046" s="5" t="s">
        <v>247</v>
      </c>
      <c r="AW2046" s="5" t="s">
        <v>238</v>
      </c>
      <c r="AX2046" s="5" t="s">
        <v>249</v>
      </c>
      <c r="AY2046" s="5" t="s">
        <v>238</v>
      </c>
      <c r="BA2046" s="5" t="s">
        <v>238</v>
      </c>
      <c r="BC2046" s="5" t="s">
        <v>250</v>
      </c>
      <c r="BD2046" s="6" t="s">
        <v>243</v>
      </c>
      <c r="BE2046" s="5" t="s">
        <v>251</v>
      </c>
      <c r="BF2046" s="5" t="s">
        <v>252</v>
      </c>
      <c r="BG2046" s="5" t="s">
        <v>238</v>
      </c>
      <c r="BH2046" s="7">
        <f>0</f>
        <v>0</v>
      </c>
      <c r="BI2046" s="8">
        <f>0</f>
        <v>0</v>
      </c>
      <c r="BJ2046" s="5" t="s">
        <v>253</v>
      </c>
      <c r="BK2046" s="5" t="s">
        <v>254</v>
      </c>
      <c r="BY2046" s="5" t="s">
        <v>238</v>
      </c>
      <c r="BZ2046" s="5" t="s">
        <v>238</v>
      </c>
      <c r="CD2046" s="5" t="s">
        <v>273</v>
      </c>
      <c r="CE2046" s="5" t="s">
        <v>256</v>
      </c>
      <c r="CF2046" s="5" t="s">
        <v>238</v>
      </c>
      <c r="CI2046" s="6" t="s">
        <v>257</v>
      </c>
      <c r="CJ2046" s="5" t="s">
        <v>238</v>
      </c>
      <c r="CK2046" s="5" t="s">
        <v>258</v>
      </c>
      <c r="CL2046" s="5" t="s">
        <v>238</v>
      </c>
      <c r="CM2046" s="5" t="s">
        <v>238</v>
      </c>
      <c r="CN2046" s="5">
        <v>0</v>
      </c>
      <c r="CO2046" s="5" t="s">
        <v>259</v>
      </c>
      <c r="CP2046" s="5" t="s">
        <v>260</v>
      </c>
      <c r="CQ2046" s="5" t="s">
        <v>260</v>
      </c>
      <c r="CR2046" s="5" t="s">
        <v>261</v>
      </c>
      <c r="CU2046" s="8">
        <f>1</f>
        <v>1</v>
      </c>
      <c r="CV2046" s="8">
        <f>0</f>
        <v>0</v>
      </c>
      <c r="CX2046" s="8">
        <f>0</f>
        <v>0</v>
      </c>
      <c r="CY2046" s="8">
        <f>1</f>
        <v>1</v>
      </c>
      <c r="DA2046" s="5" t="s">
        <v>274</v>
      </c>
      <c r="DB2046" s="5" t="s">
        <v>238</v>
      </c>
      <c r="DD2046" s="5" t="s">
        <v>274</v>
      </c>
      <c r="DE2046" s="8">
        <f>462</f>
        <v>462</v>
      </c>
      <c r="DG2046" s="5" t="s">
        <v>238</v>
      </c>
      <c r="DH2046" s="5" t="s">
        <v>238</v>
      </c>
      <c r="DI2046" s="5" t="s">
        <v>238</v>
      </c>
      <c r="DJ2046" s="5" t="s">
        <v>238</v>
      </c>
      <c r="DN2046" s="5" t="s">
        <v>238</v>
      </c>
      <c r="DO2046" s="5" t="s">
        <v>238</v>
      </c>
      <c r="DP2046" s="5" t="s">
        <v>238</v>
      </c>
      <c r="DQ2046" s="5" t="s">
        <v>238</v>
      </c>
      <c r="DT2046" s="5" t="s">
        <v>275</v>
      </c>
      <c r="DU2046" s="5" t="s">
        <v>312</v>
      </c>
      <c r="HM2046" s="5" t="s">
        <v>264</v>
      </c>
    </row>
    <row r="2047" spans="1:221" x14ac:dyDescent="0.4">
      <c r="A2047" s="5">
        <v>3751</v>
      </c>
      <c r="B2047" s="5">
        <v>1</v>
      </c>
      <c r="C2047" s="5">
        <v>1</v>
      </c>
      <c r="D2047" s="5" t="s">
        <v>269</v>
      </c>
      <c r="E2047" s="5" t="s">
        <v>271</v>
      </c>
      <c r="F2047" s="5" t="s">
        <v>248</v>
      </c>
      <c r="G2047" s="5" t="s">
        <v>266</v>
      </c>
      <c r="H2047" s="6" t="s">
        <v>313</v>
      </c>
      <c r="I2047" s="7">
        <f>415</f>
        <v>415</v>
      </c>
      <c r="J2047" s="5" t="s">
        <v>262</v>
      </c>
      <c r="K2047" s="8">
        <f>1</f>
        <v>1</v>
      </c>
      <c r="L2047" s="6" t="s">
        <v>242</v>
      </c>
      <c r="M2047" s="5" t="s">
        <v>267</v>
      </c>
      <c r="N2047" s="5" t="s">
        <v>265</v>
      </c>
      <c r="O2047" s="5" t="s">
        <v>238</v>
      </c>
      <c r="P2047" s="5" t="s">
        <v>238</v>
      </c>
      <c r="Q2047" s="5" t="s">
        <v>268</v>
      </c>
      <c r="R2047" s="5" t="s">
        <v>270</v>
      </c>
      <c r="S2047" s="5" t="s">
        <v>238</v>
      </c>
      <c r="V2047" s="5" t="s">
        <v>238</v>
      </c>
      <c r="X2047" s="6" t="s">
        <v>238</v>
      </c>
      <c r="AA2047" s="6" t="s">
        <v>243</v>
      </c>
      <c r="AB2047" s="5" t="s">
        <v>238</v>
      </c>
      <c r="AC2047" s="5" t="s">
        <v>244</v>
      </c>
      <c r="AD2047" s="5" t="s">
        <v>245</v>
      </c>
      <c r="AT2047" s="5" t="s">
        <v>246</v>
      </c>
      <c r="AU2047" s="5" t="s">
        <v>238</v>
      </c>
      <c r="AV2047" s="5" t="s">
        <v>247</v>
      </c>
      <c r="AW2047" s="5" t="s">
        <v>238</v>
      </c>
      <c r="AX2047" s="5" t="s">
        <v>249</v>
      </c>
      <c r="AY2047" s="5" t="s">
        <v>238</v>
      </c>
      <c r="BA2047" s="5" t="s">
        <v>238</v>
      </c>
      <c r="BC2047" s="5" t="s">
        <v>250</v>
      </c>
      <c r="BD2047" s="6" t="s">
        <v>243</v>
      </c>
      <c r="BE2047" s="5" t="s">
        <v>251</v>
      </c>
      <c r="BF2047" s="5" t="s">
        <v>252</v>
      </c>
      <c r="BG2047" s="5" t="s">
        <v>238</v>
      </c>
      <c r="BH2047" s="7">
        <f>0</f>
        <v>0</v>
      </c>
      <c r="BI2047" s="8">
        <f>0</f>
        <v>0</v>
      </c>
      <c r="BJ2047" s="5" t="s">
        <v>253</v>
      </c>
      <c r="BK2047" s="5" t="s">
        <v>254</v>
      </c>
      <c r="BY2047" s="5" t="s">
        <v>238</v>
      </c>
      <c r="BZ2047" s="5" t="s">
        <v>238</v>
      </c>
      <c r="CD2047" s="5" t="s">
        <v>273</v>
      </c>
      <c r="CE2047" s="5" t="s">
        <v>256</v>
      </c>
      <c r="CF2047" s="5" t="s">
        <v>238</v>
      </c>
      <c r="CI2047" s="6" t="s">
        <v>257</v>
      </c>
      <c r="CJ2047" s="5" t="s">
        <v>238</v>
      </c>
      <c r="CK2047" s="5" t="s">
        <v>258</v>
      </c>
      <c r="CL2047" s="5" t="s">
        <v>238</v>
      </c>
      <c r="CM2047" s="5" t="s">
        <v>238</v>
      </c>
      <c r="CN2047" s="5">
        <v>0</v>
      </c>
      <c r="CO2047" s="5" t="s">
        <v>259</v>
      </c>
      <c r="CP2047" s="5" t="s">
        <v>260</v>
      </c>
      <c r="CQ2047" s="5" t="s">
        <v>260</v>
      </c>
      <c r="CR2047" s="5" t="s">
        <v>261</v>
      </c>
      <c r="CU2047" s="8">
        <f>1</f>
        <v>1</v>
      </c>
      <c r="CV2047" s="8">
        <f>0</f>
        <v>0</v>
      </c>
      <c r="CX2047" s="8">
        <f>0</f>
        <v>0</v>
      </c>
      <c r="CY2047" s="8">
        <f>1</f>
        <v>1</v>
      </c>
      <c r="DA2047" s="5" t="s">
        <v>274</v>
      </c>
      <c r="DB2047" s="5" t="s">
        <v>238</v>
      </c>
      <c r="DD2047" s="5" t="s">
        <v>274</v>
      </c>
      <c r="DE2047" s="8">
        <f>415</f>
        <v>415</v>
      </c>
      <c r="DG2047" s="5" t="s">
        <v>238</v>
      </c>
      <c r="DH2047" s="5" t="s">
        <v>238</v>
      </c>
      <c r="DI2047" s="5" t="s">
        <v>238</v>
      </c>
      <c r="DJ2047" s="5" t="s">
        <v>238</v>
      </c>
      <c r="DN2047" s="5" t="s">
        <v>238</v>
      </c>
      <c r="DO2047" s="5" t="s">
        <v>238</v>
      </c>
      <c r="DP2047" s="5" t="s">
        <v>238</v>
      </c>
      <c r="DQ2047" s="5" t="s">
        <v>238</v>
      </c>
      <c r="DT2047" s="5" t="s">
        <v>275</v>
      </c>
      <c r="DU2047" s="5" t="s">
        <v>314</v>
      </c>
      <c r="HM2047" s="5" t="s">
        <v>264</v>
      </c>
    </row>
    <row r="2048" spans="1:221" x14ac:dyDescent="0.4">
      <c r="A2048" s="5">
        <v>3752</v>
      </c>
      <c r="B2048" s="5">
        <v>1</v>
      </c>
      <c r="C2048" s="5">
        <v>1</v>
      </c>
      <c r="D2048" s="5" t="s">
        <v>269</v>
      </c>
      <c r="E2048" s="5" t="s">
        <v>271</v>
      </c>
      <c r="F2048" s="5" t="s">
        <v>248</v>
      </c>
      <c r="G2048" s="5" t="s">
        <v>266</v>
      </c>
      <c r="H2048" s="6" t="s">
        <v>315</v>
      </c>
      <c r="I2048" s="7">
        <f>339</f>
        <v>339</v>
      </c>
      <c r="J2048" s="5" t="s">
        <v>262</v>
      </c>
      <c r="K2048" s="8">
        <f>1</f>
        <v>1</v>
      </c>
      <c r="L2048" s="6" t="s">
        <v>242</v>
      </c>
      <c r="M2048" s="5" t="s">
        <v>267</v>
      </c>
      <c r="N2048" s="5" t="s">
        <v>265</v>
      </c>
      <c r="O2048" s="5" t="s">
        <v>238</v>
      </c>
      <c r="P2048" s="5" t="s">
        <v>238</v>
      </c>
      <c r="Q2048" s="5" t="s">
        <v>268</v>
      </c>
      <c r="R2048" s="5" t="s">
        <v>270</v>
      </c>
      <c r="S2048" s="5" t="s">
        <v>238</v>
      </c>
      <c r="V2048" s="5" t="s">
        <v>238</v>
      </c>
      <c r="X2048" s="6" t="s">
        <v>238</v>
      </c>
      <c r="AA2048" s="6" t="s">
        <v>243</v>
      </c>
      <c r="AB2048" s="5" t="s">
        <v>238</v>
      </c>
      <c r="AC2048" s="5" t="s">
        <v>244</v>
      </c>
      <c r="AD2048" s="5" t="s">
        <v>245</v>
      </c>
      <c r="AT2048" s="5" t="s">
        <v>246</v>
      </c>
      <c r="AU2048" s="5" t="s">
        <v>238</v>
      </c>
      <c r="AV2048" s="5" t="s">
        <v>247</v>
      </c>
      <c r="AW2048" s="5" t="s">
        <v>238</v>
      </c>
      <c r="AX2048" s="5" t="s">
        <v>249</v>
      </c>
      <c r="AY2048" s="5" t="s">
        <v>238</v>
      </c>
      <c r="BA2048" s="5" t="s">
        <v>238</v>
      </c>
      <c r="BC2048" s="5" t="s">
        <v>250</v>
      </c>
      <c r="BD2048" s="6" t="s">
        <v>243</v>
      </c>
      <c r="BE2048" s="5" t="s">
        <v>251</v>
      </c>
      <c r="BF2048" s="5" t="s">
        <v>252</v>
      </c>
      <c r="BG2048" s="5" t="s">
        <v>238</v>
      </c>
      <c r="BH2048" s="7">
        <f>0</f>
        <v>0</v>
      </c>
      <c r="BI2048" s="8">
        <f>0</f>
        <v>0</v>
      </c>
      <c r="BJ2048" s="5" t="s">
        <v>253</v>
      </c>
      <c r="BK2048" s="5" t="s">
        <v>254</v>
      </c>
      <c r="BY2048" s="5" t="s">
        <v>238</v>
      </c>
      <c r="BZ2048" s="5" t="s">
        <v>238</v>
      </c>
      <c r="CD2048" s="5" t="s">
        <v>273</v>
      </c>
      <c r="CE2048" s="5" t="s">
        <v>256</v>
      </c>
      <c r="CF2048" s="5" t="s">
        <v>238</v>
      </c>
      <c r="CI2048" s="6" t="s">
        <v>257</v>
      </c>
      <c r="CJ2048" s="5" t="s">
        <v>238</v>
      </c>
      <c r="CK2048" s="5" t="s">
        <v>258</v>
      </c>
      <c r="CL2048" s="5" t="s">
        <v>238</v>
      </c>
      <c r="CM2048" s="5" t="s">
        <v>238</v>
      </c>
      <c r="CN2048" s="5">
        <v>0</v>
      </c>
      <c r="CO2048" s="5" t="s">
        <v>259</v>
      </c>
      <c r="CP2048" s="5" t="s">
        <v>260</v>
      </c>
      <c r="CQ2048" s="5" t="s">
        <v>260</v>
      </c>
      <c r="CR2048" s="5" t="s">
        <v>261</v>
      </c>
      <c r="CU2048" s="8">
        <f>1</f>
        <v>1</v>
      </c>
      <c r="CV2048" s="8">
        <f>0</f>
        <v>0</v>
      </c>
      <c r="CX2048" s="8">
        <f>0</f>
        <v>0</v>
      </c>
      <c r="CY2048" s="8">
        <f>1</f>
        <v>1</v>
      </c>
      <c r="DA2048" s="5" t="s">
        <v>274</v>
      </c>
      <c r="DB2048" s="5" t="s">
        <v>238</v>
      </c>
      <c r="DD2048" s="5" t="s">
        <v>274</v>
      </c>
      <c r="DE2048" s="8">
        <f>339</f>
        <v>339</v>
      </c>
      <c r="DG2048" s="5" t="s">
        <v>238</v>
      </c>
      <c r="DH2048" s="5" t="s">
        <v>238</v>
      </c>
      <c r="DI2048" s="5" t="s">
        <v>238</v>
      </c>
      <c r="DJ2048" s="5" t="s">
        <v>238</v>
      </c>
      <c r="DN2048" s="5" t="s">
        <v>238</v>
      </c>
      <c r="DO2048" s="5" t="s">
        <v>238</v>
      </c>
      <c r="DP2048" s="5" t="s">
        <v>238</v>
      </c>
      <c r="DQ2048" s="5" t="s">
        <v>238</v>
      </c>
      <c r="DT2048" s="5" t="s">
        <v>275</v>
      </c>
      <c r="DU2048" s="5" t="s">
        <v>316</v>
      </c>
      <c r="HM2048" s="5" t="s">
        <v>264</v>
      </c>
    </row>
    <row r="2049" spans="1:221" x14ac:dyDescent="0.4">
      <c r="A2049" s="5">
        <v>3753</v>
      </c>
      <c r="B2049" s="5">
        <v>1</v>
      </c>
      <c r="C2049" s="5">
        <v>1</v>
      </c>
      <c r="D2049" s="5" t="s">
        <v>269</v>
      </c>
      <c r="E2049" s="5" t="s">
        <v>271</v>
      </c>
      <c r="F2049" s="5" t="s">
        <v>248</v>
      </c>
      <c r="G2049" s="5" t="s">
        <v>266</v>
      </c>
      <c r="H2049" s="6" t="s">
        <v>319</v>
      </c>
      <c r="I2049" s="7">
        <f>1721</f>
        <v>1721</v>
      </c>
      <c r="J2049" s="5" t="s">
        <v>262</v>
      </c>
      <c r="K2049" s="8">
        <f>1</f>
        <v>1</v>
      </c>
      <c r="L2049" s="6" t="s">
        <v>242</v>
      </c>
      <c r="M2049" s="5" t="s">
        <v>267</v>
      </c>
      <c r="N2049" s="5" t="s">
        <v>265</v>
      </c>
      <c r="O2049" s="5" t="s">
        <v>238</v>
      </c>
      <c r="P2049" s="5" t="s">
        <v>238</v>
      </c>
      <c r="Q2049" s="5" t="s">
        <v>268</v>
      </c>
      <c r="R2049" s="5" t="s">
        <v>270</v>
      </c>
      <c r="S2049" s="5" t="s">
        <v>238</v>
      </c>
      <c r="V2049" s="5" t="s">
        <v>238</v>
      </c>
      <c r="X2049" s="6" t="s">
        <v>238</v>
      </c>
      <c r="AA2049" s="6" t="s">
        <v>243</v>
      </c>
      <c r="AB2049" s="5" t="s">
        <v>238</v>
      </c>
      <c r="AC2049" s="5" t="s">
        <v>244</v>
      </c>
      <c r="AD2049" s="5" t="s">
        <v>245</v>
      </c>
      <c r="AT2049" s="5" t="s">
        <v>246</v>
      </c>
      <c r="AU2049" s="5" t="s">
        <v>238</v>
      </c>
      <c r="AV2049" s="5" t="s">
        <v>247</v>
      </c>
      <c r="AW2049" s="5" t="s">
        <v>238</v>
      </c>
      <c r="AX2049" s="5" t="s">
        <v>249</v>
      </c>
      <c r="AY2049" s="5" t="s">
        <v>238</v>
      </c>
      <c r="BA2049" s="5" t="s">
        <v>238</v>
      </c>
      <c r="BC2049" s="5" t="s">
        <v>250</v>
      </c>
      <c r="BD2049" s="6" t="s">
        <v>243</v>
      </c>
      <c r="BE2049" s="5" t="s">
        <v>251</v>
      </c>
      <c r="BF2049" s="5" t="s">
        <v>252</v>
      </c>
      <c r="BG2049" s="5" t="s">
        <v>238</v>
      </c>
      <c r="BH2049" s="7">
        <f>0</f>
        <v>0</v>
      </c>
      <c r="BI2049" s="8">
        <f>0</f>
        <v>0</v>
      </c>
      <c r="BJ2049" s="5" t="s">
        <v>253</v>
      </c>
      <c r="BK2049" s="5" t="s">
        <v>254</v>
      </c>
      <c r="BY2049" s="5" t="s">
        <v>238</v>
      </c>
      <c r="BZ2049" s="5" t="s">
        <v>238</v>
      </c>
      <c r="CD2049" s="5" t="s">
        <v>273</v>
      </c>
      <c r="CE2049" s="5" t="s">
        <v>256</v>
      </c>
      <c r="CF2049" s="5" t="s">
        <v>238</v>
      </c>
      <c r="CI2049" s="6" t="s">
        <v>257</v>
      </c>
      <c r="CJ2049" s="5" t="s">
        <v>238</v>
      </c>
      <c r="CK2049" s="5" t="s">
        <v>258</v>
      </c>
      <c r="CL2049" s="5" t="s">
        <v>238</v>
      </c>
      <c r="CM2049" s="5" t="s">
        <v>238</v>
      </c>
      <c r="CN2049" s="5">
        <v>0</v>
      </c>
      <c r="CO2049" s="5" t="s">
        <v>259</v>
      </c>
      <c r="CP2049" s="5" t="s">
        <v>260</v>
      </c>
      <c r="CQ2049" s="5" t="s">
        <v>260</v>
      </c>
      <c r="CR2049" s="5" t="s">
        <v>261</v>
      </c>
      <c r="CU2049" s="8">
        <f>1</f>
        <v>1</v>
      </c>
      <c r="CV2049" s="8">
        <f>0</f>
        <v>0</v>
      </c>
      <c r="CX2049" s="8">
        <f>0</f>
        <v>0</v>
      </c>
      <c r="CY2049" s="8">
        <f>1</f>
        <v>1</v>
      </c>
      <c r="DA2049" s="5" t="s">
        <v>274</v>
      </c>
      <c r="DB2049" s="5" t="s">
        <v>238</v>
      </c>
      <c r="DD2049" s="5" t="s">
        <v>274</v>
      </c>
      <c r="DE2049" s="8">
        <f>1721</f>
        <v>1721</v>
      </c>
      <c r="DG2049" s="5" t="s">
        <v>238</v>
      </c>
      <c r="DH2049" s="5" t="s">
        <v>238</v>
      </c>
      <c r="DI2049" s="5" t="s">
        <v>238</v>
      </c>
      <c r="DJ2049" s="5" t="s">
        <v>238</v>
      </c>
      <c r="DN2049" s="5" t="s">
        <v>238</v>
      </c>
      <c r="DO2049" s="5" t="s">
        <v>238</v>
      </c>
      <c r="DP2049" s="5" t="s">
        <v>238</v>
      </c>
      <c r="DQ2049" s="5" t="s">
        <v>238</v>
      </c>
      <c r="DT2049" s="5" t="s">
        <v>275</v>
      </c>
      <c r="DU2049" s="5" t="s">
        <v>320</v>
      </c>
      <c r="HM2049" s="5" t="s">
        <v>264</v>
      </c>
    </row>
    <row r="2050" spans="1:221" x14ac:dyDescent="0.4">
      <c r="A2050" s="5">
        <v>3754</v>
      </c>
      <c r="B2050" s="5">
        <v>1</v>
      </c>
      <c r="C2050" s="5">
        <v>1</v>
      </c>
      <c r="D2050" s="5" t="s">
        <v>269</v>
      </c>
      <c r="E2050" s="5" t="s">
        <v>271</v>
      </c>
      <c r="F2050" s="5" t="s">
        <v>248</v>
      </c>
      <c r="G2050" s="5" t="s">
        <v>266</v>
      </c>
      <c r="H2050" s="6" t="s">
        <v>323</v>
      </c>
      <c r="I2050" s="7">
        <f>1786</f>
        <v>1786</v>
      </c>
      <c r="J2050" s="5" t="s">
        <v>262</v>
      </c>
      <c r="K2050" s="8">
        <f>1</f>
        <v>1</v>
      </c>
      <c r="L2050" s="6" t="s">
        <v>242</v>
      </c>
      <c r="M2050" s="5" t="s">
        <v>267</v>
      </c>
      <c r="N2050" s="5" t="s">
        <v>265</v>
      </c>
      <c r="O2050" s="5" t="s">
        <v>238</v>
      </c>
      <c r="P2050" s="5" t="s">
        <v>238</v>
      </c>
      <c r="Q2050" s="5" t="s">
        <v>268</v>
      </c>
      <c r="R2050" s="5" t="s">
        <v>270</v>
      </c>
      <c r="S2050" s="5" t="s">
        <v>238</v>
      </c>
      <c r="V2050" s="5" t="s">
        <v>238</v>
      </c>
      <c r="X2050" s="6" t="s">
        <v>238</v>
      </c>
      <c r="AA2050" s="6" t="s">
        <v>243</v>
      </c>
      <c r="AB2050" s="5" t="s">
        <v>238</v>
      </c>
      <c r="AC2050" s="5" t="s">
        <v>244</v>
      </c>
      <c r="AD2050" s="5" t="s">
        <v>245</v>
      </c>
      <c r="AT2050" s="5" t="s">
        <v>246</v>
      </c>
      <c r="AU2050" s="5" t="s">
        <v>238</v>
      </c>
      <c r="AV2050" s="5" t="s">
        <v>247</v>
      </c>
      <c r="AW2050" s="5" t="s">
        <v>238</v>
      </c>
      <c r="AX2050" s="5" t="s">
        <v>249</v>
      </c>
      <c r="AY2050" s="5" t="s">
        <v>238</v>
      </c>
      <c r="BA2050" s="5" t="s">
        <v>238</v>
      </c>
      <c r="BC2050" s="5" t="s">
        <v>250</v>
      </c>
      <c r="BD2050" s="6" t="s">
        <v>243</v>
      </c>
      <c r="BE2050" s="5" t="s">
        <v>251</v>
      </c>
      <c r="BF2050" s="5" t="s">
        <v>252</v>
      </c>
      <c r="BG2050" s="5" t="s">
        <v>238</v>
      </c>
      <c r="BH2050" s="7">
        <f>0</f>
        <v>0</v>
      </c>
      <c r="BI2050" s="8">
        <f>0</f>
        <v>0</v>
      </c>
      <c r="BJ2050" s="5" t="s">
        <v>253</v>
      </c>
      <c r="BK2050" s="5" t="s">
        <v>254</v>
      </c>
      <c r="BY2050" s="5" t="s">
        <v>238</v>
      </c>
      <c r="BZ2050" s="5" t="s">
        <v>238</v>
      </c>
      <c r="CD2050" s="5" t="s">
        <v>273</v>
      </c>
      <c r="CE2050" s="5" t="s">
        <v>256</v>
      </c>
      <c r="CF2050" s="5" t="s">
        <v>238</v>
      </c>
      <c r="CI2050" s="6" t="s">
        <v>257</v>
      </c>
      <c r="CJ2050" s="5" t="s">
        <v>238</v>
      </c>
      <c r="CK2050" s="5" t="s">
        <v>258</v>
      </c>
      <c r="CL2050" s="5" t="s">
        <v>238</v>
      </c>
      <c r="CM2050" s="5" t="s">
        <v>238</v>
      </c>
      <c r="CN2050" s="5">
        <v>0</v>
      </c>
      <c r="CO2050" s="5" t="s">
        <v>259</v>
      </c>
      <c r="CP2050" s="5" t="s">
        <v>260</v>
      </c>
      <c r="CQ2050" s="5" t="s">
        <v>260</v>
      </c>
      <c r="CR2050" s="5" t="s">
        <v>261</v>
      </c>
      <c r="CU2050" s="8">
        <f>1</f>
        <v>1</v>
      </c>
      <c r="CV2050" s="8">
        <f>0</f>
        <v>0</v>
      </c>
      <c r="CX2050" s="8">
        <f>0</f>
        <v>0</v>
      </c>
      <c r="CY2050" s="8">
        <f>1</f>
        <v>1</v>
      </c>
      <c r="DA2050" s="5" t="s">
        <v>274</v>
      </c>
      <c r="DB2050" s="5" t="s">
        <v>238</v>
      </c>
      <c r="DD2050" s="5" t="s">
        <v>274</v>
      </c>
      <c r="DE2050" s="8">
        <f>1786</f>
        <v>1786</v>
      </c>
      <c r="DG2050" s="5" t="s">
        <v>238</v>
      </c>
      <c r="DH2050" s="5" t="s">
        <v>238</v>
      </c>
      <c r="DI2050" s="5" t="s">
        <v>238</v>
      </c>
      <c r="DJ2050" s="5" t="s">
        <v>238</v>
      </c>
      <c r="DN2050" s="5" t="s">
        <v>238</v>
      </c>
      <c r="DO2050" s="5" t="s">
        <v>238</v>
      </c>
      <c r="DP2050" s="5" t="s">
        <v>238</v>
      </c>
      <c r="DQ2050" s="5" t="s">
        <v>238</v>
      </c>
      <c r="DT2050" s="5" t="s">
        <v>275</v>
      </c>
      <c r="DU2050" s="5" t="s">
        <v>324</v>
      </c>
      <c r="HM2050" s="5" t="s">
        <v>264</v>
      </c>
    </row>
    <row r="2051" spans="1:221" x14ac:dyDescent="0.4">
      <c r="A2051" s="5">
        <v>3755</v>
      </c>
      <c r="B2051" s="5">
        <v>1</v>
      </c>
      <c r="C2051" s="5">
        <v>1</v>
      </c>
      <c r="D2051" s="5" t="s">
        <v>269</v>
      </c>
      <c r="E2051" s="5" t="s">
        <v>271</v>
      </c>
      <c r="F2051" s="5" t="s">
        <v>248</v>
      </c>
      <c r="G2051" s="5" t="s">
        <v>266</v>
      </c>
      <c r="H2051" s="6" t="s">
        <v>5380</v>
      </c>
      <c r="I2051" s="7">
        <f>88</f>
        <v>88</v>
      </c>
      <c r="J2051" s="5" t="s">
        <v>262</v>
      </c>
      <c r="K2051" s="8">
        <f>1</f>
        <v>1</v>
      </c>
      <c r="L2051" s="6" t="s">
        <v>242</v>
      </c>
      <c r="M2051" s="5" t="s">
        <v>267</v>
      </c>
      <c r="N2051" s="5" t="s">
        <v>265</v>
      </c>
      <c r="O2051" s="5" t="s">
        <v>238</v>
      </c>
      <c r="P2051" s="5" t="s">
        <v>238</v>
      </c>
      <c r="Q2051" s="5" t="s">
        <v>268</v>
      </c>
      <c r="R2051" s="5" t="s">
        <v>270</v>
      </c>
      <c r="S2051" s="5" t="s">
        <v>238</v>
      </c>
      <c r="V2051" s="5" t="s">
        <v>238</v>
      </c>
      <c r="X2051" s="6" t="s">
        <v>238</v>
      </c>
      <c r="AA2051" s="6" t="s">
        <v>243</v>
      </c>
      <c r="AB2051" s="5" t="s">
        <v>238</v>
      </c>
      <c r="AC2051" s="5" t="s">
        <v>244</v>
      </c>
      <c r="AD2051" s="5" t="s">
        <v>245</v>
      </c>
      <c r="AT2051" s="5" t="s">
        <v>246</v>
      </c>
      <c r="AU2051" s="5" t="s">
        <v>238</v>
      </c>
      <c r="AV2051" s="5" t="s">
        <v>247</v>
      </c>
      <c r="AW2051" s="5" t="s">
        <v>238</v>
      </c>
      <c r="AX2051" s="5" t="s">
        <v>249</v>
      </c>
      <c r="AY2051" s="5" t="s">
        <v>238</v>
      </c>
      <c r="BA2051" s="5" t="s">
        <v>238</v>
      </c>
      <c r="BC2051" s="5" t="s">
        <v>250</v>
      </c>
      <c r="BD2051" s="6" t="s">
        <v>243</v>
      </c>
      <c r="BE2051" s="5" t="s">
        <v>251</v>
      </c>
      <c r="BF2051" s="5" t="s">
        <v>252</v>
      </c>
      <c r="BG2051" s="5" t="s">
        <v>238</v>
      </c>
      <c r="BH2051" s="7">
        <f>0</f>
        <v>0</v>
      </c>
      <c r="BI2051" s="8">
        <f>0</f>
        <v>0</v>
      </c>
      <c r="BJ2051" s="5" t="s">
        <v>253</v>
      </c>
      <c r="BK2051" s="5" t="s">
        <v>254</v>
      </c>
      <c r="BY2051" s="5" t="s">
        <v>238</v>
      </c>
      <c r="BZ2051" s="5" t="s">
        <v>238</v>
      </c>
      <c r="CD2051" s="5" t="s">
        <v>273</v>
      </c>
      <c r="CE2051" s="5" t="s">
        <v>256</v>
      </c>
      <c r="CF2051" s="5" t="s">
        <v>238</v>
      </c>
      <c r="CI2051" s="6" t="s">
        <v>257</v>
      </c>
      <c r="CJ2051" s="5" t="s">
        <v>238</v>
      </c>
      <c r="CK2051" s="5" t="s">
        <v>258</v>
      </c>
      <c r="CL2051" s="5" t="s">
        <v>238</v>
      </c>
      <c r="CM2051" s="5" t="s">
        <v>238</v>
      </c>
      <c r="CN2051" s="5">
        <v>0</v>
      </c>
      <c r="CO2051" s="5" t="s">
        <v>259</v>
      </c>
      <c r="CP2051" s="5" t="s">
        <v>260</v>
      </c>
      <c r="CQ2051" s="5" t="s">
        <v>260</v>
      </c>
      <c r="CR2051" s="5" t="s">
        <v>261</v>
      </c>
      <c r="CU2051" s="8">
        <f>1</f>
        <v>1</v>
      </c>
      <c r="CV2051" s="8">
        <f>0</f>
        <v>0</v>
      </c>
      <c r="CX2051" s="8">
        <f>0</f>
        <v>0</v>
      </c>
      <c r="CY2051" s="8">
        <f>1</f>
        <v>1</v>
      </c>
      <c r="DA2051" s="5" t="s">
        <v>274</v>
      </c>
      <c r="DB2051" s="5" t="s">
        <v>238</v>
      </c>
      <c r="DD2051" s="5" t="s">
        <v>274</v>
      </c>
      <c r="DE2051" s="8">
        <f>88</f>
        <v>88</v>
      </c>
      <c r="DG2051" s="5" t="s">
        <v>238</v>
      </c>
      <c r="DH2051" s="5" t="s">
        <v>238</v>
      </c>
      <c r="DI2051" s="5" t="s">
        <v>238</v>
      </c>
      <c r="DJ2051" s="5" t="s">
        <v>238</v>
      </c>
      <c r="DN2051" s="5" t="s">
        <v>238</v>
      </c>
      <c r="DO2051" s="5" t="s">
        <v>238</v>
      </c>
      <c r="DP2051" s="5" t="s">
        <v>238</v>
      </c>
      <c r="DQ2051" s="5" t="s">
        <v>238</v>
      </c>
      <c r="DT2051" s="5" t="s">
        <v>275</v>
      </c>
      <c r="DU2051" s="5" t="s">
        <v>3355</v>
      </c>
      <c r="HM2051" s="5" t="s">
        <v>264</v>
      </c>
    </row>
    <row r="2052" spans="1:221" x14ac:dyDescent="0.4">
      <c r="A2052" s="5">
        <v>3756</v>
      </c>
      <c r="B2052" s="5">
        <v>1</v>
      </c>
      <c r="C2052" s="5">
        <v>1</v>
      </c>
      <c r="D2052" s="5" t="s">
        <v>269</v>
      </c>
      <c r="E2052" s="5" t="s">
        <v>271</v>
      </c>
      <c r="F2052" s="5" t="s">
        <v>248</v>
      </c>
      <c r="G2052" s="5" t="s">
        <v>266</v>
      </c>
      <c r="H2052" s="6" t="s">
        <v>325</v>
      </c>
      <c r="I2052" s="7">
        <f>375</f>
        <v>375</v>
      </c>
      <c r="J2052" s="5" t="s">
        <v>262</v>
      </c>
      <c r="K2052" s="8">
        <f>1</f>
        <v>1</v>
      </c>
      <c r="L2052" s="6" t="s">
        <v>242</v>
      </c>
      <c r="M2052" s="5" t="s">
        <v>267</v>
      </c>
      <c r="N2052" s="5" t="s">
        <v>265</v>
      </c>
      <c r="O2052" s="5" t="s">
        <v>238</v>
      </c>
      <c r="P2052" s="5" t="s">
        <v>238</v>
      </c>
      <c r="Q2052" s="5" t="s">
        <v>268</v>
      </c>
      <c r="R2052" s="5" t="s">
        <v>270</v>
      </c>
      <c r="S2052" s="5" t="s">
        <v>238</v>
      </c>
      <c r="V2052" s="5" t="s">
        <v>238</v>
      </c>
      <c r="X2052" s="6" t="s">
        <v>238</v>
      </c>
      <c r="AA2052" s="6" t="s">
        <v>243</v>
      </c>
      <c r="AB2052" s="5" t="s">
        <v>238</v>
      </c>
      <c r="AC2052" s="5" t="s">
        <v>244</v>
      </c>
      <c r="AD2052" s="5" t="s">
        <v>245</v>
      </c>
      <c r="AT2052" s="5" t="s">
        <v>246</v>
      </c>
      <c r="AU2052" s="5" t="s">
        <v>238</v>
      </c>
      <c r="AV2052" s="5" t="s">
        <v>247</v>
      </c>
      <c r="AW2052" s="5" t="s">
        <v>238</v>
      </c>
      <c r="AX2052" s="5" t="s">
        <v>249</v>
      </c>
      <c r="AY2052" s="5" t="s">
        <v>238</v>
      </c>
      <c r="BA2052" s="5" t="s">
        <v>238</v>
      </c>
      <c r="BC2052" s="5" t="s">
        <v>250</v>
      </c>
      <c r="BD2052" s="6" t="s">
        <v>243</v>
      </c>
      <c r="BE2052" s="5" t="s">
        <v>251</v>
      </c>
      <c r="BF2052" s="5" t="s">
        <v>252</v>
      </c>
      <c r="BG2052" s="5" t="s">
        <v>238</v>
      </c>
      <c r="BH2052" s="7">
        <f>0</f>
        <v>0</v>
      </c>
      <c r="BI2052" s="8">
        <f>0</f>
        <v>0</v>
      </c>
      <c r="BJ2052" s="5" t="s">
        <v>253</v>
      </c>
      <c r="BK2052" s="5" t="s">
        <v>254</v>
      </c>
      <c r="BY2052" s="5" t="s">
        <v>238</v>
      </c>
      <c r="BZ2052" s="5" t="s">
        <v>238</v>
      </c>
      <c r="CD2052" s="5" t="s">
        <v>273</v>
      </c>
      <c r="CE2052" s="5" t="s">
        <v>256</v>
      </c>
      <c r="CF2052" s="5" t="s">
        <v>238</v>
      </c>
      <c r="CI2052" s="6" t="s">
        <v>257</v>
      </c>
      <c r="CJ2052" s="5" t="s">
        <v>238</v>
      </c>
      <c r="CK2052" s="5" t="s">
        <v>258</v>
      </c>
      <c r="CL2052" s="5" t="s">
        <v>238</v>
      </c>
      <c r="CM2052" s="5" t="s">
        <v>238</v>
      </c>
      <c r="CN2052" s="5">
        <v>0</v>
      </c>
      <c r="CO2052" s="5" t="s">
        <v>259</v>
      </c>
      <c r="CP2052" s="5" t="s">
        <v>260</v>
      </c>
      <c r="CQ2052" s="5" t="s">
        <v>260</v>
      </c>
      <c r="CR2052" s="5" t="s">
        <v>261</v>
      </c>
      <c r="CU2052" s="8">
        <f>1</f>
        <v>1</v>
      </c>
      <c r="CV2052" s="8">
        <f>0</f>
        <v>0</v>
      </c>
      <c r="CX2052" s="8">
        <f>0</f>
        <v>0</v>
      </c>
      <c r="CY2052" s="8">
        <f>1</f>
        <v>1</v>
      </c>
      <c r="DA2052" s="5" t="s">
        <v>274</v>
      </c>
      <c r="DB2052" s="5" t="s">
        <v>238</v>
      </c>
      <c r="DD2052" s="5" t="s">
        <v>274</v>
      </c>
      <c r="DE2052" s="8">
        <f>375</f>
        <v>375</v>
      </c>
      <c r="DG2052" s="5" t="s">
        <v>238</v>
      </c>
      <c r="DH2052" s="5" t="s">
        <v>238</v>
      </c>
      <c r="DI2052" s="5" t="s">
        <v>238</v>
      </c>
      <c r="DJ2052" s="5" t="s">
        <v>238</v>
      </c>
      <c r="DN2052" s="5" t="s">
        <v>238</v>
      </c>
      <c r="DO2052" s="5" t="s">
        <v>238</v>
      </c>
      <c r="DP2052" s="5" t="s">
        <v>238</v>
      </c>
      <c r="DQ2052" s="5" t="s">
        <v>238</v>
      </c>
      <c r="DT2052" s="5" t="s">
        <v>275</v>
      </c>
      <c r="DU2052" s="5" t="s">
        <v>326</v>
      </c>
      <c r="HM2052" s="5" t="s">
        <v>264</v>
      </c>
    </row>
    <row r="2053" spans="1:221" x14ac:dyDescent="0.4">
      <c r="A2053" s="5">
        <v>3757</v>
      </c>
      <c r="B2053" s="5">
        <v>1</v>
      </c>
      <c r="C2053" s="5">
        <v>1</v>
      </c>
      <c r="D2053" s="5" t="s">
        <v>269</v>
      </c>
      <c r="E2053" s="5" t="s">
        <v>271</v>
      </c>
      <c r="F2053" s="5" t="s">
        <v>248</v>
      </c>
      <c r="G2053" s="5" t="s">
        <v>266</v>
      </c>
      <c r="H2053" s="6" t="s">
        <v>329</v>
      </c>
      <c r="I2053" s="7">
        <f>393</f>
        <v>393</v>
      </c>
      <c r="J2053" s="5" t="s">
        <v>262</v>
      </c>
      <c r="K2053" s="8">
        <f>1</f>
        <v>1</v>
      </c>
      <c r="L2053" s="6" t="s">
        <v>242</v>
      </c>
      <c r="M2053" s="5" t="s">
        <v>267</v>
      </c>
      <c r="N2053" s="5" t="s">
        <v>265</v>
      </c>
      <c r="O2053" s="5" t="s">
        <v>238</v>
      </c>
      <c r="P2053" s="5" t="s">
        <v>238</v>
      </c>
      <c r="Q2053" s="5" t="s">
        <v>268</v>
      </c>
      <c r="R2053" s="5" t="s">
        <v>270</v>
      </c>
      <c r="S2053" s="5" t="s">
        <v>238</v>
      </c>
      <c r="V2053" s="5" t="s">
        <v>238</v>
      </c>
      <c r="X2053" s="6" t="s">
        <v>238</v>
      </c>
      <c r="AA2053" s="6" t="s">
        <v>243</v>
      </c>
      <c r="AB2053" s="5" t="s">
        <v>238</v>
      </c>
      <c r="AC2053" s="5" t="s">
        <v>244</v>
      </c>
      <c r="AD2053" s="5" t="s">
        <v>245</v>
      </c>
      <c r="AT2053" s="5" t="s">
        <v>246</v>
      </c>
      <c r="AU2053" s="5" t="s">
        <v>238</v>
      </c>
      <c r="AV2053" s="5" t="s">
        <v>247</v>
      </c>
      <c r="AW2053" s="5" t="s">
        <v>238</v>
      </c>
      <c r="AX2053" s="5" t="s">
        <v>249</v>
      </c>
      <c r="AY2053" s="5" t="s">
        <v>238</v>
      </c>
      <c r="BA2053" s="5" t="s">
        <v>238</v>
      </c>
      <c r="BC2053" s="5" t="s">
        <v>250</v>
      </c>
      <c r="BD2053" s="6" t="s">
        <v>243</v>
      </c>
      <c r="BE2053" s="5" t="s">
        <v>251</v>
      </c>
      <c r="BF2053" s="5" t="s">
        <v>252</v>
      </c>
      <c r="BG2053" s="5" t="s">
        <v>238</v>
      </c>
      <c r="BH2053" s="7">
        <f>0</f>
        <v>0</v>
      </c>
      <c r="BI2053" s="8">
        <f>0</f>
        <v>0</v>
      </c>
      <c r="BJ2053" s="5" t="s">
        <v>253</v>
      </c>
      <c r="BK2053" s="5" t="s">
        <v>254</v>
      </c>
      <c r="BY2053" s="5" t="s">
        <v>238</v>
      </c>
      <c r="BZ2053" s="5" t="s">
        <v>238</v>
      </c>
      <c r="CD2053" s="5" t="s">
        <v>273</v>
      </c>
      <c r="CE2053" s="5" t="s">
        <v>256</v>
      </c>
      <c r="CF2053" s="5" t="s">
        <v>238</v>
      </c>
      <c r="CI2053" s="6" t="s">
        <v>257</v>
      </c>
      <c r="CJ2053" s="5" t="s">
        <v>238</v>
      </c>
      <c r="CK2053" s="5" t="s">
        <v>258</v>
      </c>
      <c r="CL2053" s="5" t="s">
        <v>238</v>
      </c>
      <c r="CM2053" s="5" t="s">
        <v>238</v>
      </c>
      <c r="CN2053" s="5">
        <v>0</v>
      </c>
      <c r="CO2053" s="5" t="s">
        <v>259</v>
      </c>
      <c r="CP2053" s="5" t="s">
        <v>260</v>
      </c>
      <c r="CQ2053" s="5" t="s">
        <v>260</v>
      </c>
      <c r="CR2053" s="5" t="s">
        <v>261</v>
      </c>
      <c r="CU2053" s="8">
        <f>1</f>
        <v>1</v>
      </c>
      <c r="CV2053" s="8">
        <f>0</f>
        <v>0</v>
      </c>
      <c r="CX2053" s="8">
        <f>0</f>
        <v>0</v>
      </c>
      <c r="CY2053" s="8">
        <f>1</f>
        <v>1</v>
      </c>
      <c r="DA2053" s="5" t="s">
        <v>274</v>
      </c>
      <c r="DB2053" s="5" t="s">
        <v>238</v>
      </c>
      <c r="DD2053" s="5" t="s">
        <v>274</v>
      </c>
      <c r="DE2053" s="8">
        <f>393</f>
        <v>393</v>
      </c>
      <c r="DG2053" s="5" t="s">
        <v>238</v>
      </c>
      <c r="DH2053" s="5" t="s">
        <v>238</v>
      </c>
      <c r="DI2053" s="5" t="s">
        <v>238</v>
      </c>
      <c r="DJ2053" s="5" t="s">
        <v>238</v>
      </c>
      <c r="DN2053" s="5" t="s">
        <v>238</v>
      </c>
      <c r="DO2053" s="5" t="s">
        <v>238</v>
      </c>
      <c r="DP2053" s="5" t="s">
        <v>238</v>
      </c>
      <c r="DQ2053" s="5" t="s">
        <v>238</v>
      </c>
      <c r="DT2053" s="5" t="s">
        <v>275</v>
      </c>
      <c r="DU2053" s="5" t="s">
        <v>330</v>
      </c>
      <c r="HM2053" s="5" t="s">
        <v>264</v>
      </c>
    </row>
    <row r="2054" spans="1:221" x14ac:dyDescent="0.4">
      <c r="A2054" s="5">
        <v>3758</v>
      </c>
      <c r="B2054" s="5">
        <v>1</v>
      </c>
      <c r="C2054" s="5">
        <v>1</v>
      </c>
      <c r="D2054" s="5" t="s">
        <v>269</v>
      </c>
      <c r="E2054" s="5" t="s">
        <v>271</v>
      </c>
      <c r="F2054" s="5" t="s">
        <v>248</v>
      </c>
      <c r="G2054" s="5" t="s">
        <v>266</v>
      </c>
      <c r="H2054" s="6" t="s">
        <v>331</v>
      </c>
      <c r="I2054" s="7">
        <f>71</f>
        <v>71</v>
      </c>
      <c r="J2054" s="5" t="s">
        <v>262</v>
      </c>
      <c r="K2054" s="8">
        <f>1</f>
        <v>1</v>
      </c>
      <c r="L2054" s="6" t="s">
        <v>242</v>
      </c>
      <c r="M2054" s="5" t="s">
        <v>267</v>
      </c>
      <c r="N2054" s="5" t="s">
        <v>265</v>
      </c>
      <c r="O2054" s="5" t="s">
        <v>238</v>
      </c>
      <c r="P2054" s="5" t="s">
        <v>238</v>
      </c>
      <c r="Q2054" s="5" t="s">
        <v>268</v>
      </c>
      <c r="R2054" s="5" t="s">
        <v>270</v>
      </c>
      <c r="S2054" s="5" t="s">
        <v>238</v>
      </c>
      <c r="V2054" s="5" t="s">
        <v>238</v>
      </c>
      <c r="X2054" s="6" t="s">
        <v>238</v>
      </c>
      <c r="AA2054" s="6" t="s">
        <v>243</v>
      </c>
      <c r="AB2054" s="5" t="s">
        <v>238</v>
      </c>
      <c r="AC2054" s="5" t="s">
        <v>244</v>
      </c>
      <c r="AD2054" s="5" t="s">
        <v>245</v>
      </c>
      <c r="AT2054" s="5" t="s">
        <v>246</v>
      </c>
      <c r="AU2054" s="5" t="s">
        <v>238</v>
      </c>
      <c r="AV2054" s="5" t="s">
        <v>247</v>
      </c>
      <c r="AW2054" s="5" t="s">
        <v>238</v>
      </c>
      <c r="AX2054" s="5" t="s">
        <v>249</v>
      </c>
      <c r="AY2054" s="5" t="s">
        <v>238</v>
      </c>
      <c r="BA2054" s="5" t="s">
        <v>238</v>
      </c>
      <c r="BC2054" s="5" t="s">
        <v>250</v>
      </c>
      <c r="BD2054" s="6" t="s">
        <v>243</v>
      </c>
      <c r="BE2054" s="5" t="s">
        <v>251</v>
      </c>
      <c r="BF2054" s="5" t="s">
        <v>252</v>
      </c>
      <c r="BG2054" s="5" t="s">
        <v>238</v>
      </c>
      <c r="BH2054" s="7">
        <f>0</f>
        <v>0</v>
      </c>
      <c r="BI2054" s="8">
        <f>0</f>
        <v>0</v>
      </c>
      <c r="BJ2054" s="5" t="s">
        <v>253</v>
      </c>
      <c r="BK2054" s="5" t="s">
        <v>254</v>
      </c>
      <c r="BY2054" s="5" t="s">
        <v>238</v>
      </c>
      <c r="BZ2054" s="5" t="s">
        <v>238</v>
      </c>
      <c r="CD2054" s="5" t="s">
        <v>273</v>
      </c>
      <c r="CE2054" s="5" t="s">
        <v>256</v>
      </c>
      <c r="CF2054" s="5" t="s">
        <v>238</v>
      </c>
      <c r="CI2054" s="6" t="s">
        <v>257</v>
      </c>
      <c r="CJ2054" s="5" t="s">
        <v>238</v>
      </c>
      <c r="CK2054" s="5" t="s">
        <v>258</v>
      </c>
      <c r="CL2054" s="5" t="s">
        <v>238</v>
      </c>
      <c r="CM2054" s="5" t="s">
        <v>238</v>
      </c>
      <c r="CN2054" s="5">
        <v>0</v>
      </c>
      <c r="CO2054" s="5" t="s">
        <v>259</v>
      </c>
      <c r="CP2054" s="5" t="s">
        <v>260</v>
      </c>
      <c r="CQ2054" s="5" t="s">
        <v>260</v>
      </c>
      <c r="CR2054" s="5" t="s">
        <v>261</v>
      </c>
      <c r="CU2054" s="8">
        <f>1</f>
        <v>1</v>
      </c>
      <c r="CV2054" s="8">
        <f>0</f>
        <v>0</v>
      </c>
      <c r="CX2054" s="8">
        <f>0</f>
        <v>0</v>
      </c>
      <c r="CY2054" s="8">
        <f>1</f>
        <v>1</v>
      </c>
      <c r="DA2054" s="5" t="s">
        <v>274</v>
      </c>
      <c r="DB2054" s="5" t="s">
        <v>238</v>
      </c>
      <c r="DD2054" s="5" t="s">
        <v>274</v>
      </c>
      <c r="DE2054" s="8">
        <f>71</f>
        <v>71</v>
      </c>
      <c r="DG2054" s="5" t="s">
        <v>238</v>
      </c>
      <c r="DH2054" s="5" t="s">
        <v>238</v>
      </c>
      <c r="DI2054" s="5" t="s">
        <v>238</v>
      </c>
      <c r="DJ2054" s="5" t="s">
        <v>238</v>
      </c>
      <c r="DN2054" s="5" t="s">
        <v>238</v>
      </c>
      <c r="DO2054" s="5" t="s">
        <v>238</v>
      </c>
      <c r="DP2054" s="5" t="s">
        <v>238</v>
      </c>
      <c r="DQ2054" s="5" t="s">
        <v>238</v>
      </c>
      <c r="DT2054" s="5" t="s">
        <v>275</v>
      </c>
      <c r="DU2054" s="5" t="s">
        <v>332</v>
      </c>
      <c r="HM2054" s="5" t="s">
        <v>264</v>
      </c>
    </row>
    <row r="2055" spans="1:221" x14ac:dyDescent="0.4">
      <c r="A2055" s="5">
        <v>3759</v>
      </c>
      <c r="B2055" s="5">
        <v>1</v>
      </c>
      <c r="C2055" s="5">
        <v>1</v>
      </c>
      <c r="D2055" s="5" t="s">
        <v>269</v>
      </c>
      <c r="E2055" s="5" t="s">
        <v>271</v>
      </c>
      <c r="F2055" s="5" t="s">
        <v>248</v>
      </c>
      <c r="G2055" s="5" t="s">
        <v>266</v>
      </c>
      <c r="H2055" s="6" t="s">
        <v>335</v>
      </c>
      <c r="I2055" s="7">
        <f>288</f>
        <v>288</v>
      </c>
      <c r="J2055" s="5" t="s">
        <v>262</v>
      </c>
      <c r="K2055" s="8">
        <f>1</f>
        <v>1</v>
      </c>
      <c r="L2055" s="6" t="s">
        <v>242</v>
      </c>
      <c r="M2055" s="5" t="s">
        <v>267</v>
      </c>
      <c r="N2055" s="5" t="s">
        <v>265</v>
      </c>
      <c r="O2055" s="5" t="s">
        <v>238</v>
      </c>
      <c r="P2055" s="5" t="s">
        <v>238</v>
      </c>
      <c r="Q2055" s="5" t="s">
        <v>268</v>
      </c>
      <c r="R2055" s="5" t="s">
        <v>270</v>
      </c>
      <c r="S2055" s="5" t="s">
        <v>238</v>
      </c>
      <c r="V2055" s="5" t="s">
        <v>238</v>
      </c>
      <c r="X2055" s="6" t="s">
        <v>238</v>
      </c>
      <c r="AA2055" s="6" t="s">
        <v>243</v>
      </c>
      <c r="AB2055" s="5" t="s">
        <v>238</v>
      </c>
      <c r="AC2055" s="5" t="s">
        <v>244</v>
      </c>
      <c r="AD2055" s="5" t="s">
        <v>245</v>
      </c>
      <c r="AT2055" s="5" t="s">
        <v>246</v>
      </c>
      <c r="AU2055" s="5" t="s">
        <v>238</v>
      </c>
      <c r="AV2055" s="5" t="s">
        <v>247</v>
      </c>
      <c r="AW2055" s="5" t="s">
        <v>238</v>
      </c>
      <c r="AX2055" s="5" t="s">
        <v>249</v>
      </c>
      <c r="AY2055" s="5" t="s">
        <v>238</v>
      </c>
      <c r="BA2055" s="5" t="s">
        <v>238</v>
      </c>
      <c r="BC2055" s="5" t="s">
        <v>250</v>
      </c>
      <c r="BD2055" s="6" t="s">
        <v>243</v>
      </c>
      <c r="BE2055" s="5" t="s">
        <v>251</v>
      </c>
      <c r="BF2055" s="5" t="s">
        <v>252</v>
      </c>
      <c r="BG2055" s="5" t="s">
        <v>238</v>
      </c>
      <c r="BH2055" s="7">
        <f>0</f>
        <v>0</v>
      </c>
      <c r="BI2055" s="8">
        <f>0</f>
        <v>0</v>
      </c>
      <c r="BJ2055" s="5" t="s">
        <v>253</v>
      </c>
      <c r="BK2055" s="5" t="s">
        <v>254</v>
      </c>
      <c r="BY2055" s="5" t="s">
        <v>238</v>
      </c>
      <c r="BZ2055" s="5" t="s">
        <v>238</v>
      </c>
      <c r="CD2055" s="5" t="s">
        <v>273</v>
      </c>
      <c r="CE2055" s="5" t="s">
        <v>256</v>
      </c>
      <c r="CF2055" s="5" t="s">
        <v>238</v>
      </c>
      <c r="CI2055" s="6" t="s">
        <v>257</v>
      </c>
      <c r="CJ2055" s="5" t="s">
        <v>238</v>
      </c>
      <c r="CK2055" s="5" t="s">
        <v>258</v>
      </c>
      <c r="CL2055" s="5" t="s">
        <v>238</v>
      </c>
      <c r="CM2055" s="5" t="s">
        <v>238</v>
      </c>
      <c r="CN2055" s="5">
        <v>0</v>
      </c>
      <c r="CO2055" s="5" t="s">
        <v>259</v>
      </c>
      <c r="CP2055" s="5" t="s">
        <v>260</v>
      </c>
      <c r="CQ2055" s="5" t="s">
        <v>260</v>
      </c>
      <c r="CR2055" s="5" t="s">
        <v>261</v>
      </c>
      <c r="CU2055" s="8">
        <f>1</f>
        <v>1</v>
      </c>
      <c r="CV2055" s="8">
        <f>0</f>
        <v>0</v>
      </c>
      <c r="CX2055" s="8">
        <f>0</f>
        <v>0</v>
      </c>
      <c r="CY2055" s="8">
        <f>1</f>
        <v>1</v>
      </c>
      <c r="DA2055" s="5" t="s">
        <v>274</v>
      </c>
      <c r="DB2055" s="5" t="s">
        <v>238</v>
      </c>
      <c r="DD2055" s="5" t="s">
        <v>274</v>
      </c>
      <c r="DE2055" s="8">
        <f>288</f>
        <v>288</v>
      </c>
      <c r="DG2055" s="5" t="s">
        <v>238</v>
      </c>
      <c r="DH2055" s="5" t="s">
        <v>238</v>
      </c>
      <c r="DI2055" s="5" t="s">
        <v>238</v>
      </c>
      <c r="DJ2055" s="5" t="s">
        <v>238</v>
      </c>
      <c r="DN2055" s="5" t="s">
        <v>238</v>
      </c>
      <c r="DO2055" s="5" t="s">
        <v>238</v>
      </c>
      <c r="DP2055" s="5" t="s">
        <v>238</v>
      </c>
      <c r="DQ2055" s="5" t="s">
        <v>238</v>
      </c>
      <c r="DT2055" s="5" t="s">
        <v>275</v>
      </c>
      <c r="DU2055" s="5" t="s">
        <v>336</v>
      </c>
      <c r="HM2055" s="5" t="s">
        <v>264</v>
      </c>
    </row>
    <row r="2056" spans="1:221" x14ac:dyDescent="0.4">
      <c r="A2056" s="5">
        <v>3760</v>
      </c>
      <c r="B2056" s="5">
        <v>1</v>
      </c>
      <c r="C2056" s="5">
        <v>1</v>
      </c>
      <c r="D2056" s="5" t="s">
        <v>269</v>
      </c>
      <c r="E2056" s="5" t="s">
        <v>271</v>
      </c>
      <c r="F2056" s="5" t="s">
        <v>248</v>
      </c>
      <c r="G2056" s="5" t="s">
        <v>266</v>
      </c>
      <c r="H2056" s="6" t="s">
        <v>339</v>
      </c>
      <c r="I2056" s="7">
        <f>1359</f>
        <v>1359</v>
      </c>
      <c r="J2056" s="5" t="s">
        <v>262</v>
      </c>
      <c r="K2056" s="8">
        <f>1</f>
        <v>1</v>
      </c>
      <c r="L2056" s="6" t="s">
        <v>242</v>
      </c>
      <c r="M2056" s="5" t="s">
        <v>267</v>
      </c>
      <c r="N2056" s="5" t="s">
        <v>265</v>
      </c>
      <c r="O2056" s="5" t="s">
        <v>238</v>
      </c>
      <c r="P2056" s="5" t="s">
        <v>238</v>
      </c>
      <c r="Q2056" s="5" t="s">
        <v>268</v>
      </c>
      <c r="R2056" s="5" t="s">
        <v>270</v>
      </c>
      <c r="S2056" s="5" t="s">
        <v>238</v>
      </c>
      <c r="V2056" s="5" t="s">
        <v>238</v>
      </c>
      <c r="X2056" s="6" t="s">
        <v>238</v>
      </c>
      <c r="AA2056" s="6" t="s">
        <v>243</v>
      </c>
      <c r="AB2056" s="5" t="s">
        <v>238</v>
      </c>
      <c r="AC2056" s="5" t="s">
        <v>244</v>
      </c>
      <c r="AD2056" s="5" t="s">
        <v>245</v>
      </c>
      <c r="AT2056" s="5" t="s">
        <v>246</v>
      </c>
      <c r="AU2056" s="5" t="s">
        <v>238</v>
      </c>
      <c r="AV2056" s="5" t="s">
        <v>247</v>
      </c>
      <c r="AW2056" s="5" t="s">
        <v>238</v>
      </c>
      <c r="AX2056" s="5" t="s">
        <v>249</v>
      </c>
      <c r="AY2056" s="5" t="s">
        <v>238</v>
      </c>
      <c r="BA2056" s="5" t="s">
        <v>238</v>
      </c>
      <c r="BC2056" s="5" t="s">
        <v>250</v>
      </c>
      <c r="BD2056" s="6" t="s">
        <v>243</v>
      </c>
      <c r="BE2056" s="5" t="s">
        <v>251</v>
      </c>
      <c r="BF2056" s="5" t="s">
        <v>252</v>
      </c>
      <c r="BG2056" s="5" t="s">
        <v>238</v>
      </c>
      <c r="BH2056" s="7">
        <f>0</f>
        <v>0</v>
      </c>
      <c r="BI2056" s="8">
        <f>0</f>
        <v>0</v>
      </c>
      <c r="BJ2056" s="5" t="s">
        <v>253</v>
      </c>
      <c r="BK2056" s="5" t="s">
        <v>254</v>
      </c>
      <c r="BY2056" s="5" t="s">
        <v>238</v>
      </c>
      <c r="BZ2056" s="5" t="s">
        <v>238</v>
      </c>
      <c r="CD2056" s="5" t="s">
        <v>273</v>
      </c>
      <c r="CE2056" s="5" t="s">
        <v>256</v>
      </c>
      <c r="CF2056" s="5" t="s">
        <v>238</v>
      </c>
      <c r="CI2056" s="6" t="s">
        <v>257</v>
      </c>
      <c r="CJ2056" s="5" t="s">
        <v>238</v>
      </c>
      <c r="CK2056" s="5" t="s">
        <v>258</v>
      </c>
      <c r="CL2056" s="5" t="s">
        <v>238</v>
      </c>
      <c r="CM2056" s="5" t="s">
        <v>238</v>
      </c>
      <c r="CN2056" s="5">
        <v>0</v>
      </c>
      <c r="CO2056" s="5" t="s">
        <v>259</v>
      </c>
      <c r="CP2056" s="5" t="s">
        <v>260</v>
      </c>
      <c r="CQ2056" s="5" t="s">
        <v>260</v>
      </c>
      <c r="CR2056" s="5" t="s">
        <v>261</v>
      </c>
      <c r="CU2056" s="8">
        <f>1</f>
        <v>1</v>
      </c>
      <c r="CV2056" s="8">
        <f>0</f>
        <v>0</v>
      </c>
      <c r="CX2056" s="8">
        <f>0</f>
        <v>0</v>
      </c>
      <c r="CY2056" s="8">
        <f>1</f>
        <v>1</v>
      </c>
      <c r="DA2056" s="5" t="s">
        <v>274</v>
      </c>
      <c r="DB2056" s="5" t="s">
        <v>238</v>
      </c>
      <c r="DD2056" s="5" t="s">
        <v>274</v>
      </c>
      <c r="DE2056" s="8">
        <f>1359</f>
        <v>1359</v>
      </c>
      <c r="DG2056" s="5" t="s">
        <v>238</v>
      </c>
      <c r="DH2056" s="5" t="s">
        <v>238</v>
      </c>
      <c r="DI2056" s="5" t="s">
        <v>238</v>
      </c>
      <c r="DJ2056" s="5" t="s">
        <v>238</v>
      </c>
      <c r="DN2056" s="5" t="s">
        <v>238</v>
      </c>
      <c r="DO2056" s="5" t="s">
        <v>238</v>
      </c>
      <c r="DP2056" s="5" t="s">
        <v>238</v>
      </c>
      <c r="DQ2056" s="5" t="s">
        <v>238</v>
      </c>
      <c r="DT2056" s="5" t="s">
        <v>275</v>
      </c>
      <c r="DU2056" s="5" t="s">
        <v>340</v>
      </c>
      <c r="HM2056" s="5" t="s">
        <v>264</v>
      </c>
    </row>
    <row r="2057" spans="1:221" x14ac:dyDescent="0.4">
      <c r="A2057" s="5">
        <v>3761</v>
      </c>
      <c r="B2057" s="5">
        <v>1</v>
      </c>
      <c r="C2057" s="5">
        <v>1</v>
      </c>
      <c r="D2057" s="5" t="s">
        <v>269</v>
      </c>
      <c r="E2057" s="5" t="s">
        <v>271</v>
      </c>
      <c r="F2057" s="5" t="s">
        <v>248</v>
      </c>
      <c r="G2057" s="5" t="s">
        <v>266</v>
      </c>
      <c r="H2057" s="6" t="s">
        <v>341</v>
      </c>
      <c r="I2057" s="7">
        <f>3777</f>
        <v>3777</v>
      </c>
      <c r="J2057" s="5" t="s">
        <v>262</v>
      </c>
      <c r="K2057" s="8">
        <f>1</f>
        <v>1</v>
      </c>
      <c r="L2057" s="6" t="s">
        <v>242</v>
      </c>
      <c r="M2057" s="5" t="s">
        <v>267</v>
      </c>
      <c r="N2057" s="5" t="s">
        <v>265</v>
      </c>
      <c r="O2057" s="5" t="s">
        <v>238</v>
      </c>
      <c r="P2057" s="5" t="s">
        <v>238</v>
      </c>
      <c r="Q2057" s="5" t="s">
        <v>268</v>
      </c>
      <c r="R2057" s="5" t="s">
        <v>270</v>
      </c>
      <c r="S2057" s="5" t="s">
        <v>238</v>
      </c>
      <c r="V2057" s="5" t="s">
        <v>238</v>
      </c>
      <c r="X2057" s="6" t="s">
        <v>238</v>
      </c>
      <c r="AA2057" s="6" t="s">
        <v>243</v>
      </c>
      <c r="AB2057" s="5" t="s">
        <v>238</v>
      </c>
      <c r="AC2057" s="5" t="s">
        <v>244</v>
      </c>
      <c r="AD2057" s="5" t="s">
        <v>245</v>
      </c>
      <c r="AT2057" s="5" t="s">
        <v>246</v>
      </c>
      <c r="AU2057" s="5" t="s">
        <v>238</v>
      </c>
      <c r="AV2057" s="5" t="s">
        <v>247</v>
      </c>
      <c r="AW2057" s="5" t="s">
        <v>238</v>
      </c>
      <c r="AX2057" s="5" t="s">
        <v>249</v>
      </c>
      <c r="AY2057" s="5" t="s">
        <v>238</v>
      </c>
      <c r="BA2057" s="5" t="s">
        <v>238</v>
      </c>
      <c r="BC2057" s="5" t="s">
        <v>250</v>
      </c>
      <c r="BD2057" s="6" t="s">
        <v>243</v>
      </c>
      <c r="BE2057" s="5" t="s">
        <v>251</v>
      </c>
      <c r="BF2057" s="5" t="s">
        <v>252</v>
      </c>
      <c r="BG2057" s="5" t="s">
        <v>238</v>
      </c>
      <c r="BH2057" s="7">
        <f>0</f>
        <v>0</v>
      </c>
      <c r="BI2057" s="8">
        <f>0</f>
        <v>0</v>
      </c>
      <c r="BJ2057" s="5" t="s">
        <v>253</v>
      </c>
      <c r="BK2057" s="5" t="s">
        <v>254</v>
      </c>
      <c r="BY2057" s="5" t="s">
        <v>238</v>
      </c>
      <c r="BZ2057" s="5" t="s">
        <v>238</v>
      </c>
      <c r="CD2057" s="5" t="s">
        <v>273</v>
      </c>
      <c r="CE2057" s="5" t="s">
        <v>256</v>
      </c>
      <c r="CF2057" s="5" t="s">
        <v>238</v>
      </c>
      <c r="CI2057" s="6" t="s">
        <v>257</v>
      </c>
      <c r="CJ2057" s="5" t="s">
        <v>238</v>
      </c>
      <c r="CK2057" s="5" t="s">
        <v>258</v>
      </c>
      <c r="CL2057" s="5" t="s">
        <v>238</v>
      </c>
      <c r="CM2057" s="5" t="s">
        <v>238</v>
      </c>
      <c r="CN2057" s="5">
        <v>0</v>
      </c>
      <c r="CO2057" s="5" t="s">
        <v>259</v>
      </c>
      <c r="CP2057" s="5" t="s">
        <v>260</v>
      </c>
      <c r="CQ2057" s="5" t="s">
        <v>260</v>
      </c>
      <c r="CR2057" s="5" t="s">
        <v>261</v>
      </c>
      <c r="CU2057" s="8">
        <f>1</f>
        <v>1</v>
      </c>
      <c r="CV2057" s="8">
        <f>0</f>
        <v>0</v>
      </c>
      <c r="CX2057" s="8">
        <f>0</f>
        <v>0</v>
      </c>
      <c r="CY2057" s="8">
        <f>1</f>
        <v>1</v>
      </c>
      <c r="DA2057" s="5" t="s">
        <v>274</v>
      </c>
      <c r="DB2057" s="5" t="s">
        <v>238</v>
      </c>
      <c r="DD2057" s="5" t="s">
        <v>274</v>
      </c>
      <c r="DE2057" s="8">
        <f>3777</f>
        <v>3777</v>
      </c>
      <c r="DG2057" s="5" t="s">
        <v>238</v>
      </c>
      <c r="DH2057" s="5" t="s">
        <v>238</v>
      </c>
      <c r="DI2057" s="5" t="s">
        <v>238</v>
      </c>
      <c r="DJ2057" s="5" t="s">
        <v>238</v>
      </c>
      <c r="DN2057" s="5" t="s">
        <v>238</v>
      </c>
      <c r="DO2057" s="5" t="s">
        <v>238</v>
      </c>
      <c r="DP2057" s="5" t="s">
        <v>238</v>
      </c>
      <c r="DQ2057" s="5" t="s">
        <v>238</v>
      </c>
      <c r="DT2057" s="5" t="s">
        <v>275</v>
      </c>
      <c r="DU2057" s="5" t="s">
        <v>342</v>
      </c>
      <c r="HM2057" s="5" t="s">
        <v>264</v>
      </c>
    </row>
    <row r="2058" spans="1:221" x14ac:dyDescent="0.4">
      <c r="A2058" s="5">
        <v>3762</v>
      </c>
      <c r="B2058" s="5">
        <v>1</v>
      </c>
      <c r="C2058" s="5">
        <v>1</v>
      </c>
      <c r="D2058" s="5" t="s">
        <v>269</v>
      </c>
      <c r="E2058" s="5" t="s">
        <v>271</v>
      </c>
      <c r="F2058" s="5" t="s">
        <v>248</v>
      </c>
      <c r="G2058" s="5" t="s">
        <v>266</v>
      </c>
      <c r="H2058" s="6" t="s">
        <v>345</v>
      </c>
      <c r="I2058" s="7">
        <f>1568</f>
        <v>1568</v>
      </c>
      <c r="J2058" s="5" t="s">
        <v>262</v>
      </c>
      <c r="K2058" s="8">
        <f>1</f>
        <v>1</v>
      </c>
      <c r="L2058" s="6" t="s">
        <v>242</v>
      </c>
      <c r="M2058" s="5" t="s">
        <v>267</v>
      </c>
      <c r="N2058" s="5" t="s">
        <v>265</v>
      </c>
      <c r="O2058" s="5" t="s">
        <v>238</v>
      </c>
      <c r="P2058" s="5" t="s">
        <v>238</v>
      </c>
      <c r="Q2058" s="5" t="s">
        <v>268</v>
      </c>
      <c r="R2058" s="5" t="s">
        <v>270</v>
      </c>
      <c r="S2058" s="5" t="s">
        <v>238</v>
      </c>
      <c r="V2058" s="5" t="s">
        <v>238</v>
      </c>
      <c r="X2058" s="6" t="s">
        <v>238</v>
      </c>
      <c r="AA2058" s="6" t="s">
        <v>243</v>
      </c>
      <c r="AB2058" s="5" t="s">
        <v>238</v>
      </c>
      <c r="AC2058" s="5" t="s">
        <v>244</v>
      </c>
      <c r="AD2058" s="5" t="s">
        <v>245</v>
      </c>
      <c r="AT2058" s="5" t="s">
        <v>246</v>
      </c>
      <c r="AU2058" s="5" t="s">
        <v>238</v>
      </c>
      <c r="AV2058" s="5" t="s">
        <v>247</v>
      </c>
      <c r="AW2058" s="5" t="s">
        <v>238</v>
      </c>
      <c r="AX2058" s="5" t="s">
        <v>249</v>
      </c>
      <c r="AY2058" s="5" t="s">
        <v>238</v>
      </c>
      <c r="BA2058" s="5" t="s">
        <v>238</v>
      </c>
      <c r="BC2058" s="5" t="s">
        <v>250</v>
      </c>
      <c r="BD2058" s="6" t="s">
        <v>243</v>
      </c>
      <c r="BE2058" s="5" t="s">
        <v>251</v>
      </c>
      <c r="BF2058" s="5" t="s">
        <v>252</v>
      </c>
      <c r="BG2058" s="5" t="s">
        <v>238</v>
      </c>
      <c r="BH2058" s="7">
        <f>0</f>
        <v>0</v>
      </c>
      <c r="BI2058" s="8">
        <f>0</f>
        <v>0</v>
      </c>
      <c r="BJ2058" s="5" t="s">
        <v>253</v>
      </c>
      <c r="BK2058" s="5" t="s">
        <v>254</v>
      </c>
      <c r="BY2058" s="5" t="s">
        <v>238</v>
      </c>
      <c r="BZ2058" s="5" t="s">
        <v>238</v>
      </c>
      <c r="CD2058" s="5" t="s">
        <v>273</v>
      </c>
      <c r="CE2058" s="5" t="s">
        <v>256</v>
      </c>
      <c r="CF2058" s="5" t="s">
        <v>238</v>
      </c>
      <c r="CI2058" s="6" t="s">
        <v>257</v>
      </c>
      <c r="CJ2058" s="5" t="s">
        <v>238</v>
      </c>
      <c r="CK2058" s="5" t="s">
        <v>258</v>
      </c>
      <c r="CL2058" s="5" t="s">
        <v>238</v>
      </c>
      <c r="CM2058" s="5" t="s">
        <v>238</v>
      </c>
      <c r="CN2058" s="5">
        <v>0</v>
      </c>
      <c r="CO2058" s="5" t="s">
        <v>259</v>
      </c>
      <c r="CP2058" s="5" t="s">
        <v>260</v>
      </c>
      <c r="CQ2058" s="5" t="s">
        <v>260</v>
      </c>
      <c r="CR2058" s="5" t="s">
        <v>261</v>
      </c>
      <c r="CU2058" s="8">
        <f>1</f>
        <v>1</v>
      </c>
      <c r="CV2058" s="8">
        <f>0</f>
        <v>0</v>
      </c>
      <c r="CX2058" s="8">
        <f>0</f>
        <v>0</v>
      </c>
      <c r="CY2058" s="8">
        <f>1</f>
        <v>1</v>
      </c>
      <c r="DA2058" s="5" t="s">
        <v>274</v>
      </c>
      <c r="DB2058" s="5" t="s">
        <v>238</v>
      </c>
      <c r="DD2058" s="5" t="s">
        <v>274</v>
      </c>
      <c r="DE2058" s="8">
        <f>1568</f>
        <v>1568</v>
      </c>
      <c r="DG2058" s="5" t="s">
        <v>238</v>
      </c>
      <c r="DH2058" s="5" t="s">
        <v>238</v>
      </c>
      <c r="DI2058" s="5" t="s">
        <v>238</v>
      </c>
      <c r="DJ2058" s="5" t="s">
        <v>238</v>
      </c>
      <c r="DN2058" s="5" t="s">
        <v>238</v>
      </c>
      <c r="DO2058" s="5" t="s">
        <v>238</v>
      </c>
      <c r="DP2058" s="5" t="s">
        <v>238</v>
      </c>
      <c r="DQ2058" s="5" t="s">
        <v>238</v>
      </c>
      <c r="DT2058" s="5" t="s">
        <v>275</v>
      </c>
      <c r="DU2058" s="5" t="s">
        <v>346</v>
      </c>
      <c r="HM2058" s="5" t="s">
        <v>264</v>
      </c>
    </row>
    <row r="2059" spans="1:221" x14ac:dyDescent="0.4">
      <c r="A2059" s="5">
        <v>3763</v>
      </c>
      <c r="B2059" s="5">
        <v>1</v>
      </c>
      <c r="C2059" s="5">
        <v>1</v>
      </c>
      <c r="D2059" s="5" t="s">
        <v>269</v>
      </c>
      <c r="E2059" s="5" t="s">
        <v>271</v>
      </c>
      <c r="F2059" s="5" t="s">
        <v>248</v>
      </c>
      <c r="G2059" s="5" t="s">
        <v>266</v>
      </c>
      <c r="H2059" s="6" t="s">
        <v>351</v>
      </c>
      <c r="I2059" s="7">
        <f>530</f>
        <v>530</v>
      </c>
      <c r="J2059" s="5" t="s">
        <v>262</v>
      </c>
      <c r="K2059" s="8">
        <f>1</f>
        <v>1</v>
      </c>
      <c r="L2059" s="6" t="s">
        <v>242</v>
      </c>
      <c r="M2059" s="5" t="s">
        <v>267</v>
      </c>
      <c r="N2059" s="5" t="s">
        <v>265</v>
      </c>
      <c r="O2059" s="5" t="s">
        <v>238</v>
      </c>
      <c r="P2059" s="5" t="s">
        <v>238</v>
      </c>
      <c r="Q2059" s="5" t="s">
        <v>268</v>
      </c>
      <c r="R2059" s="5" t="s">
        <v>270</v>
      </c>
      <c r="S2059" s="5" t="s">
        <v>238</v>
      </c>
      <c r="V2059" s="5" t="s">
        <v>238</v>
      </c>
      <c r="X2059" s="6" t="s">
        <v>238</v>
      </c>
      <c r="AA2059" s="6" t="s">
        <v>243</v>
      </c>
      <c r="AB2059" s="5" t="s">
        <v>238</v>
      </c>
      <c r="AC2059" s="5" t="s">
        <v>244</v>
      </c>
      <c r="AD2059" s="5" t="s">
        <v>245</v>
      </c>
      <c r="AT2059" s="5" t="s">
        <v>246</v>
      </c>
      <c r="AU2059" s="5" t="s">
        <v>238</v>
      </c>
      <c r="AV2059" s="5" t="s">
        <v>247</v>
      </c>
      <c r="AW2059" s="5" t="s">
        <v>238</v>
      </c>
      <c r="AX2059" s="5" t="s">
        <v>249</v>
      </c>
      <c r="AY2059" s="5" t="s">
        <v>238</v>
      </c>
      <c r="BA2059" s="5" t="s">
        <v>238</v>
      </c>
      <c r="BC2059" s="5" t="s">
        <v>250</v>
      </c>
      <c r="BD2059" s="6" t="s">
        <v>243</v>
      </c>
      <c r="BE2059" s="5" t="s">
        <v>251</v>
      </c>
      <c r="BF2059" s="5" t="s">
        <v>252</v>
      </c>
      <c r="BG2059" s="5" t="s">
        <v>238</v>
      </c>
      <c r="BH2059" s="7">
        <f>0</f>
        <v>0</v>
      </c>
      <c r="BI2059" s="8">
        <f>0</f>
        <v>0</v>
      </c>
      <c r="BJ2059" s="5" t="s">
        <v>253</v>
      </c>
      <c r="BK2059" s="5" t="s">
        <v>254</v>
      </c>
      <c r="BY2059" s="5" t="s">
        <v>238</v>
      </c>
      <c r="BZ2059" s="5" t="s">
        <v>238</v>
      </c>
      <c r="CD2059" s="5" t="s">
        <v>273</v>
      </c>
      <c r="CE2059" s="5" t="s">
        <v>256</v>
      </c>
      <c r="CF2059" s="5" t="s">
        <v>238</v>
      </c>
      <c r="CI2059" s="6" t="s">
        <v>257</v>
      </c>
      <c r="CJ2059" s="5" t="s">
        <v>238</v>
      </c>
      <c r="CK2059" s="5" t="s">
        <v>258</v>
      </c>
      <c r="CL2059" s="5" t="s">
        <v>238</v>
      </c>
      <c r="CM2059" s="5" t="s">
        <v>238</v>
      </c>
      <c r="CN2059" s="5">
        <v>0</v>
      </c>
      <c r="CO2059" s="5" t="s">
        <v>259</v>
      </c>
      <c r="CP2059" s="5" t="s">
        <v>260</v>
      </c>
      <c r="CQ2059" s="5" t="s">
        <v>260</v>
      </c>
      <c r="CR2059" s="5" t="s">
        <v>261</v>
      </c>
      <c r="CU2059" s="8">
        <f>1</f>
        <v>1</v>
      </c>
      <c r="CV2059" s="8">
        <f>0</f>
        <v>0</v>
      </c>
      <c r="CX2059" s="8">
        <f>0</f>
        <v>0</v>
      </c>
      <c r="CY2059" s="8">
        <f>1</f>
        <v>1</v>
      </c>
      <c r="DA2059" s="5" t="s">
        <v>274</v>
      </c>
      <c r="DB2059" s="5" t="s">
        <v>238</v>
      </c>
      <c r="DD2059" s="5" t="s">
        <v>274</v>
      </c>
      <c r="DE2059" s="8">
        <f>530</f>
        <v>530</v>
      </c>
      <c r="DG2059" s="5" t="s">
        <v>238</v>
      </c>
      <c r="DH2059" s="5" t="s">
        <v>238</v>
      </c>
      <c r="DI2059" s="5" t="s">
        <v>238</v>
      </c>
      <c r="DJ2059" s="5" t="s">
        <v>238</v>
      </c>
      <c r="DN2059" s="5" t="s">
        <v>238</v>
      </c>
      <c r="DO2059" s="5" t="s">
        <v>238</v>
      </c>
      <c r="DP2059" s="5" t="s">
        <v>238</v>
      </c>
      <c r="DQ2059" s="5" t="s">
        <v>238</v>
      </c>
      <c r="DT2059" s="5" t="s">
        <v>275</v>
      </c>
      <c r="DU2059" s="5" t="s">
        <v>352</v>
      </c>
      <c r="HM2059" s="5" t="s">
        <v>264</v>
      </c>
    </row>
    <row r="2060" spans="1:221" x14ac:dyDescent="0.4">
      <c r="A2060" s="5">
        <v>3764</v>
      </c>
      <c r="B2060" s="5">
        <v>1</v>
      </c>
      <c r="C2060" s="5">
        <v>1</v>
      </c>
      <c r="D2060" s="5" t="s">
        <v>269</v>
      </c>
      <c r="E2060" s="5" t="s">
        <v>271</v>
      </c>
      <c r="F2060" s="5" t="s">
        <v>248</v>
      </c>
      <c r="G2060" s="5" t="s">
        <v>266</v>
      </c>
      <c r="H2060" s="6" t="s">
        <v>5392</v>
      </c>
      <c r="I2060" s="7">
        <f>548</f>
        <v>548</v>
      </c>
      <c r="J2060" s="5" t="s">
        <v>262</v>
      </c>
      <c r="K2060" s="8">
        <f>1</f>
        <v>1</v>
      </c>
      <c r="L2060" s="6" t="s">
        <v>242</v>
      </c>
      <c r="M2060" s="5" t="s">
        <v>267</v>
      </c>
      <c r="N2060" s="5" t="s">
        <v>265</v>
      </c>
      <c r="O2060" s="5" t="s">
        <v>238</v>
      </c>
      <c r="P2060" s="5" t="s">
        <v>238</v>
      </c>
      <c r="Q2060" s="5" t="s">
        <v>268</v>
      </c>
      <c r="R2060" s="5" t="s">
        <v>270</v>
      </c>
      <c r="S2060" s="5" t="s">
        <v>238</v>
      </c>
      <c r="V2060" s="5" t="s">
        <v>238</v>
      </c>
      <c r="X2060" s="6" t="s">
        <v>238</v>
      </c>
      <c r="AA2060" s="6" t="s">
        <v>243</v>
      </c>
      <c r="AB2060" s="5" t="s">
        <v>238</v>
      </c>
      <c r="AC2060" s="5" t="s">
        <v>244</v>
      </c>
      <c r="AD2060" s="5" t="s">
        <v>245</v>
      </c>
      <c r="AT2060" s="5" t="s">
        <v>246</v>
      </c>
      <c r="AU2060" s="5" t="s">
        <v>238</v>
      </c>
      <c r="AV2060" s="5" t="s">
        <v>247</v>
      </c>
      <c r="AW2060" s="5" t="s">
        <v>238</v>
      </c>
      <c r="AX2060" s="5" t="s">
        <v>249</v>
      </c>
      <c r="AY2060" s="5" t="s">
        <v>238</v>
      </c>
      <c r="BA2060" s="5" t="s">
        <v>238</v>
      </c>
      <c r="BC2060" s="5" t="s">
        <v>250</v>
      </c>
      <c r="BD2060" s="6" t="s">
        <v>243</v>
      </c>
      <c r="BE2060" s="5" t="s">
        <v>251</v>
      </c>
      <c r="BF2060" s="5" t="s">
        <v>252</v>
      </c>
      <c r="BG2060" s="5" t="s">
        <v>238</v>
      </c>
      <c r="BH2060" s="7">
        <f>0</f>
        <v>0</v>
      </c>
      <c r="BI2060" s="8">
        <f>0</f>
        <v>0</v>
      </c>
      <c r="BJ2060" s="5" t="s">
        <v>253</v>
      </c>
      <c r="BK2060" s="5" t="s">
        <v>254</v>
      </c>
      <c r="BY2060" s="5" t="s">
        <v>238</v>
      </c>
      <c r="BZ2060" s="5" t="s">
        <v>238</v>
      </c>
      <c r="CD2060" s="5" t="s">
        <v>273</v>
      </c>
      <c r="CE2060" s="5" t="s">
        <v>256</v>
      </c>
      <c r="CF2060" s="5" t="s">
        <v>238</v>
      </c>
      <c r="CI2060" s="6" t="s">
        <v>257</v>
      </c>
      <c r="CJ2060" s="5" t="s">
        <v>238</v>
      </c>
      <c r="CK2060" s="5" t="s">
        <v>258</v>
      </c>
      <c r="CL2060" s="5" t="s">
        <v>238</v>
      </c>
      <c r="CM2060" s="5" t="s">
        <v>238</v>
      </c>
      <c r="CN2060" s="5">
        <v>0</v>
      </c>
      <c r="CO2060" s="5" t="s">
        <v>259</v>
      </c>
      <c r="CP2060" s="5" t="s">
        <v>260</v>
      </c>
      <c r="CQ2060" s="5" t="s">
        <v>260</v>
      </c>
      <c r="CR2060" s="5" t="s">
        <v>261</v>
      </c>
      <c r="CU2060" s="8">
        <f>1</f>
        <v>1</v>
      </c>
      <c r="CV2060" s="8">
        <f>0</f>
        <v>0</v>
      </c>
      <c r="CX2060" s="8">
        <f>0</f>
        <v>0</v>
      </c>
      <c r="CY2060" s="8">
        <f>1</f>
        <v>1</v>
      </c>
      <c r="DA2060" s="5" t="s">
        <v>274</v>
      </c>
      <c r="DB2060" s="5" t="s">
        <v>238</v>
      </c>
      <c r="DD2060" s="5" t="s">
        <v>274</v>
      </c>
      <c r="DE2060" s="8">
        <f>548</f>
        <v>548</v>
      </c>
      <c r="DG2060" s="5" t="s">
        <v>238</v>
      </c>
      <c r="DH2060" s="5" t="s">
        <v>238</v>
      </c>
      <c r="DI2060" s="5" t="s">
        <v>238</v>
      </c>
      <c r="DJ2060" s="5" t="s">
        <v>238</v>
      </c>
      <c r="DN2060" s="5" t="s">
        <v>238</v>
      </c>
      <c r="DO2060" s="5" t="s">
        <v>238</v>
      </c>
      <c r="DP2060" s="5" t="s">
        <v>238</v>
      </c>
      <c r="DQ2060" s="5" t="s">
        <v>238</v>
      </c>
      <c r="DT2060" s="5" t="s">
        <v>275</v>
      </c>
      <c r="DU2060" s="5" t="s">
        <v>3343</v>
      </c>
      <c r="HM2060" s="5" t="s">
        <v>264</v>
      </c>
    </row>
    <row r="2061" spans="1:221" x14ac:dyDescent="0.4">
      <c r="A2061" s="5">
        <v>3765</v>
      </c>
      <c r="B2061" s="5">
        <v>1</v>
      </c>
      <c r="C2061" s="5">
        <v>1</v>
      </c>
      <c r="D2061" s="5" t="s">
        <v>269</v>
      </c>
      <c r="E2061" s="5" t="s">
        <v>271</v>
      </c>
      <c r="F2061" s="5" t="s">
        <v>248</v>
      </c>
      <c r="G2061" s="5" t="s">
        <v>266</v>
      </c>
      <c r="H2061" s="6" t="s">
        <v>361</v>
      </c>
      <c r="I2061" s="7">
        <f>540</f>
        <v>540</v>
      </c>
      <c r="J2061" s="5" t="s">
        <v>262</v>
      </c>
      <c r="K2061" s="8">
        <f>1</f>
        <v>1</v>
      </c>
      <c r="L2061" s="6" t="s">
        <v>242</v>
      </c>
      <c r="M2061" s="5" t="s">
        <v>267</v>
      </c>
      <c r="N2061" s="5" t="s">
        <v>265</v>
      </c>
      <c r="O2061" s="5" t="s">
        <v>238</v>
      </c>
      <c r="P2061" s="5" t="s">
        <v>238</v>
      </c>
      <c r="Q2061" s="5" t="s">
        <v>268</v>
      </c>
      <c r="R2061" s="5" t="s">
        <v>270</v>
      </c>
      <c r="S2061" s="5" t="s">
        <v>238</v>
      </c>
      <c r="V2061" s="5" t="s">
        <v>238</v>
      </c>
      <c r="X2061" s="6" t="s">
        <v>238</v>
      </c>
      <c r="AA2061" s="6" t="s">
        <v>243</v>
      </c>
      <c r="AB2061" s="5" t="s">
        <v>238</v>
      </c>
      <c r="AC2061" s="5" t="s">
        <v>244</v>
      </c>
      <c r="AD2061" s="5" t="s">
        <v>245</v>
      </c>
      <c r="AT2061" s="5" t="s">
        <v>246</v>
      </c>
      <c r="AU2061" s="5" t="s">
        <v>238</v>
      </c>
      <c r="AV2061" s="5" t="s">
        <v>247</v>
      </c>
      <c r="AW2061" s="5" t="s">
        <v>238</v>
      </c>
      <c r="AX2061" s="5" t="s">
        <v>249</v>
      </c>
      <c r="AY2061" s="5" t="s">
        <v>238</v>
      </c>
      <c r="BA2061" s="5" t="s">
        <v>238</v>
      </c>
      <c r="BC2061" s="5" t="s">
        <v>250</v>
      </c>
      <c r="BD2061" s="6" t="s">
        <v>243</v>
      </c>
      <c r="BE2061" s="5" t="s">
        <v>251</v>
      </c>
      <c r="BF2061" s="5" t="s">
        <v>252</v>
      </c>
      <c r="BG2061" s="5" t="s">
        <v>238</v>
      </c>
      <c r="BH2061" s="7">
        <f>0</f>
        <v>0</v>
      </c>
      <c r="BI2061" s="8">
        <f>0</f>
        <v>0</v>
      </c>
      <c r="BJ2061" s="5" t="s">
        <v>253</v>
      </c>
      <c r="BK2061" s="5" t="s">
        <v>254</v>
      </c>
      <c r="BY2061" s="5" t="s">
        <v>238</v>
      </c>
      <c r="BZ2061" s="5" t="s">
        <v>238</v>
      </c>
      <c r="CD2061" s="5" t="s">
        <v>273</v>
      </c>
      <c r="CE2061" s="5" t="s">
        <v>256</v>
      </c>
      <c r="CF2061" s="5" t="s">
        <v>238</v>
      </c>
      <c r="CI2061" s="6" t="s">
        <v>257</v>
      </c>
      <c r="CJ2061" s="5" t="s">
        <v>238</v>
      </c>
      <c r="CK2061" s="5" t="s">
        <v>258</v>
      </c>
      <c r="CL2061" s="5" t="s">
        <v>238</v>
      </c>
      <c r="CM2061" s="5" t="s">
        <v>238</v>
      </c>
      <c r="CN2061" s="5">
        <v>0</v>
      </c>
      <c r="CO2061" s="5" t="s">
        <v>259</v>
      </c>
      <c r="CP2061" s="5" t="s">
        <v>260</v>
      </c>
      <c r="CQ2061" s="5" t="s">
        <v>260</v>
      </c>
      <c r="CR2061" s="5" t="s">
        <v>261</v>
      </c>
      <c r="CU2061" s="8">
        <f>1</f>
        <v>1</v>
      </c>
      <c r="CV2061" s="8">
        <f>0</f>
        <v>0</v>
      </c>
      <c r="CX2061" s="8">
        <f>0</f>
        <v>0</v>
      </c>
      <c r="CY2061" s="8">
        <f>1</f>
        <v>1</v>
      </c>
      <c r="DA2061" s="5" t="s">
        <v>274</v>
      </c>
      <c r="DB2061" s="5" t="s">
        <v>238</v>
      </c>
      <c r="DD2061" s="5" t="s">
        <v>274</v>
      </c>
      <c r="DE2061" s="8">
        <f>540</f>
        <v>540</v>
      </c>
      <c r="DG2061" s="5" t="s">
        <v>238</v>
      </c>
      <c r="DH2061" s="5" t="s">
        <v>238</v>
      </c>
      <c r="DI2061" s="5" t="s">
        <v>238</v>
      </c>
      <c r="DJ2061" s="5" t="s">
        <v>238</v>
      </c>
      <c r="DN2061" s="5" t="s">
        <v>238</v>
      </c>
      <c r="DO2061" s="5" t="s">
        <v>238</v>
      </c>
      <c r="DP2061" s="5" t="s">
        <v>238</v>
      </c>
      <c r="DQ2061" s="5" t="s">
        <v>238</v>
      </c>
      <c r="DT2061" s="5" t="s">
        <v>275</v>
      </c>
      <c r="DU2061" s="5" t="s">
        <v>362</v>
      </c>
      <c r="HM2061" s="5" t="s">
        <v>264</v>
      </c>
    </row>
    <row r="2062" spans="1:221" x14ac:dyDescent="0.4">
      <c r="A2062" s="5">
        <v>3766</v>
      </c>
      <c r="B2062" s="5">
        <v>1</v>
      </c>
      <c r="C2062" s="5">
        <v>1</v>
      </c>
      <c r="D2062" s="5" t="s">
        <v>269</v>
      </c>
      <c r="E2062" s="5" t="s">
        <v>271</v>
      </c>
      <c r="F2062" s="5" t="s">
        <v>248</v>
      </c>
      <c r="G2062" s="5" t="s">
        <v>266</v>
      </c>
      <c r="H2062" s="6" t="s">
        <v>365</v>
      </c>
      <c r="I2062" s="7">
        <f>1410</f>
        <v>1410</v>
      </c>
      <c r="J2062" s="5" t="s">
        <v>262</v>
      </c>
      <c r="K2062" s="8">
        <f>1</f>
        <v>1</v>
      </c>
      <c r="L2062" s="6" t="s">
        <v>242</v>
      </c>
      <c r="M2062" s="5" t="s">
        <v>267</v>
      </c>
      <c r="N2062" s="5" t="s">
        <v>265</v>
      </c>
      <c r="O2062" s="5" t="s">
        <v>238</v>
      </c>
      <c r="P2062" s="5" t="s">
        <v>238</v>
      </c>
      <c r="Q2062" s="5" t="s">
        <v>268</v>
      </c>
      <c r="R2062" s="5" t="s">
        <v>270</v>
      </c>
      <c r="S2062" s="5" t="s">
        <v>238</v>
      </c>
      <c r="V2062" s="5" t="s">
        <v>238</v>
      </c>
      <c r="X2062" s="6" t="s">
        <v>238</v>
      </c>
      <c r="AA2062" s="6" t="s">
        <v>243</v>
      </c>
      <c r="AB2062" s="5" t="s">
        <v>238</v>
      </c>
      <c r="AC2062" s="5" t="s">
        <v>244</v>
      </c>
      <c r="AD2062" s="5" t="s">
        <v>245</v>
      </c>
      <c r="AT2062" s="5" t="s">
        <v>246</v>
      </c>
      <c r="AU2062" s="5" t="s">
        <v>238</v>
      </c>
      <c r="AV2062" s="5" t="s">
        <v>247</v>
      </c>
      <c r="AW2062" s="5" t="s">
        <v>238</v>
      </c>
      <c r="AX2062" s="5" t="s">
        <v>249</v>
      </c>
      <c r="AY2062" s="5" t="s">
        <v>238</v>
      </c>
      <c r="BA2062" s="5" t="s">
        <v>238</v>
      </c>
      <c r="BC2062" s="5" t="s">
        <v>250</v>
      </c>
      <c r="BD2062" s="6" t="s">
        <v>243</v>
      </c>
      <c r="BE2062" s="5" t="s">
        <v>251</v>
      </c>
      <c r="BF2062" s="5" t="s">
        <v>252</v>
      </c>
      <c r="BG2062" s="5" t="s">
        <v>238</v>
      </c>
      <c r="BH2062" s="7">
        <f>0</f>
        <v>0</v>
      </c>
      <c r="BI2062" s="8">
        <f>0</f>
        <v>0</v>
      </c>
      <c r="BJ2062" s="5" t="s">
        <v>253</v>
      </c>
      <c r="BK2062" s="5" t="s">
        <v>254</v>
      </c>
      <c r="BY2062" s="5" t="s">
        <v>238</v>
      </c>
      <c r="BZ2062" s="5" t="s">
        <v>238</v>
      </c>
      <c r="CD2062" s="5" t="s">
        <v>273</v>
      </c>
      <c r="CE2062" s="5" t="s">
        <v>256</v>
      </c>
      <c r="CF2062" s="5" t="s">
        <v>238</v>
      </c>
      <c r="CI2062" s="6" t="s">
        <v>257</v>
      </c>
      <c r="CJ2062" s="5" t="s">
        <v>238</v>
      </c>
      <c r="CK2062" s="5" t="s">
        <v>258</v>
      </c>
      <c r="CL2062" s="5" t="s">
        <v>238</v>
      </c>
      <c r="CM2062" s="5" t="s">
        <v>238</v>
      </c>
      <c r="CN2062" s="5">
        <v>0</v>
      </c>
      <c r="CO2062" s="5" t="s">
        <v>259</v>
      </c>
      <c r="CP2062" s="5" t="s">
        <v>260</v>
      </c>
      <c r="CQ2062" s="5" t="s">
        <v>260</v>
      </c>
      <c r="CR2062" s="5" t="s">
        <v>261</v>
      </c>
      <c r="CU2062" s="8">
        <f>1</f>
        <v>1</v>
      </c>
      <c r="CV2062" s="8">
        <f>0</f>
        <v>0</v>
      </c>
      <c r="CX2062" s="8">
        <f>0</f>
        <v>0</v>
      </c>
      <c r="CY2062" s="8">
        <f>1</f>
        <v>1</v>
      </c>
      <c r="DA2062" s="5" t="s">
        <v>274</v>
      </c>
      <c r="DB2062" s="5" t="s">
        <v>238</v>
      </c>
      <c r="DD2062" s="5" t="s">
        <v>274</v>
      </c>
      <c r="DE2062" s="8">
        <f>1410</f>
        <v>1410</v>
      </c>
      <c r="DG2062" s="5" t="s">
        <v>238</v>
      </c>
      <c r="DH2062" s="5" t="s">
        <v>238</v>
      </c>
      <c r="DI2062" s="5" t="s">
        <v>238</v>
      </c>
      <c r="DJ2062" s="5" t="s">
        <v>238</v>
      </c>
      <c r="DN2062" s="5" t="s">
        <v>238</v>
      </c>
      <c r="DO2062" s="5" t="s">
        <v>238</v>
      </c>
      <c r="DP2062" s="5" t="s">
        <v>238</v>
      </c>
      <c r="DQ2062" s="5" t="s">
        <v>238</v>
      </c>
      <c r="DT2062" s="5" t="s">
        <v>275</v>
      </c>
      <c r="DU2062" s="5" t="s">
        <v>366</v>
      </c>
      <c r="HM2062" s="5" t="s">
        <v>264</v>
      </c>
    </row>
    <row r="2063" spans="1:221" x14ac:dyDescent="0.4">
      <c r="A2063" s="5">
        <v>3767</v>
      </c>
      <c r="B2063" s="5">
        <v>1</v>
      </c>
      <c r="C2063" s="5">
        <v>1</v>
      </c>
      <c r="D2063" s="5" t="s">
        <v>269</v>
      </c>
      <c r="E2063" s="5" t="s">
        <v>271</v>
      </c>
      <c r="F2063" s="5" t="s">
        <v>248</v>
      </c>
      <c r="G2063" s="5" t="s">
        <v>266</v>
      </c>
      <c r="H2063" s="6" t="s">
        <v>367</v>
      </c>
      <c r="I2063" s="7">
        <f>1238</f>
        <v>1238</v>
      </c>
      <c r="J2063" s="5" t="s">
        <v>262</v>
      </c>
      <c r="K2063" s="8">
        <f>1</f>
        <v>1</v>
      </c>
      <c r="L2063" s="6" t="s">
        <v>242</v>
      </c>
      <c r="M2063" s="5" t="s">
        <v>267</v>
      </c>
      <c r="N2063" s="5" t="s">
        <v>265</v>
      </c>
      <c r="O2063" s="5" t="s">
        <v>238</v>
      </c>
      <c r="P2063" s="5" t="s">
        <v>238</v>
      </c>
      <c r="Q2063" s="5" t="s">
        <v>268</v>
      </c>
      <c r="R2063" s="5" t="s">
        <v>270</v>
      </c>
      <c r="S2063" s="5" t="s">
        <v>238</v>
      </c>
      <c r="V2063" s="5" t="s">
        <v>238</v>
      </c>
      <c r="X2063" s="6" t="s">
        <v>238</v>
      </c>
      <c r="AA2063" s="6" t="s">
        <v>243</v>
      </c>
      <c r="AB2063" s="5" t="s">
        <v>238</v>
      </c>
      <c r="AC2063" s="5" t="s">
        <v>244</v>
      </c>
      <c r="AD2063" s="5" t="s">
        <v>245</v>
      </c>
      <c r="AT2063" s="5" t="s">
        <v>246</v>
      </c>
      <c r="AU2063" s="5" t="s">
        <v>238</v>
      </c>
      <c r="AV2063" s="5" t="s">
        <v>247</v>
      </c>
      <c r="AW2063" s="5" t="s">
        <v>238</v>
      </c>
      <c r="AX2063" s="5" t="s">
        <v>249</v>
      </c>
      <c r="AY2063" s="5" t="s">
        <v>238</v>
      </c>
      <c r="BA2063" s="5" t="s">
        <v>238</v>
      </c>
      <c r="BC2063" s="5" t="s">
        <v>250</v>
      </c>
      <c r="BD2063" s="6" t="s">
        <v>243</v>
      </c>
      <c r="BE2063" s="5" t="s">
        <v>251</v>
      </c>
      <c r="BF2063" s="5" t="s">
        <v>252</v>
      </c>
      <c r="BG2063" s="5" t="s">
        <v>238</v>
      </c>
      <c r="BH2063" s="7">
        <f>0</f>
        <v>0</v>
      </c>
      <c r="BI2063" s="8">
        <f>0</f>
        <v>0</v>
      </c>
      <c r="BJ2063" s="5" t="s">
        <v>253</v>
      </c>
      <c r="BK2063" s="5" t="s">
        <v>254</v>
      </c>
      <c r="BY2063" s="5" t="s">
        <v>238</v>
      </c>
      <c r="BZ2063" s="5" t="s">
        <v>238</v>
      </c>
      <c r="CD2063" s="5" t="s">
        <v>273</v>
      </c>
      <c r="CE2063" s="5" t="s">
        <v>256</v>
      </c>
      <c r="CF2063" s="5" t="s">
        <v>238</v>
      </c>
      <c r="CI2063" s="6" t="s">
        <v>257</v>
      </c>
      <c r="CJ2063" s="5" t="s">
        <v>238</v>
      </c>
      <c r="CK2063" s="5" t="s">
        <v>258</v>
      </c>
      <c r="CL2063" s="5" t="s">
        <v>238</v>
      </c>
      <c r="CM2063" s="5" t="s">
        <v>238</v>
      </c>
      <c r="CN2063" s="5">
        <v>0</v>
      </c>
      <c r="CO2063" s="5" t="s">
        <v>259</v>
      </c>
      <c r="CP2063" s="5" t="s">
        <v>260</v>
      </c>
      <c r="CQ2063" s="5" t="s">
        <v>260</v>
      </c>
      <c r="CR2063" s="5" t="s">
        <v>261</v>
      </c>
      <c r="CU2063" s="8">
        <f>1</f>
        <v>1</v>
      </c>
      <c r="CV2063" s="8">
        <f>0</f>
        <v>0</v>
      </c>
      <c r="CX2063" s="8">
        <f>0</f>
        <v>0</v>
      </c>
      <c r="CY2063" s="8">
        <f>1</f>
        <v>1</v>
      </c>
      <c r="DA2063" s="5" t="s">
        <v>274</v>
      </c>
      <c r="DB2063" s="5" t="s">
        <v>238</v>
      </c>
      <c r="DD2063" s="5" t="s">
        <v>274</v>
      </c>
      <c r="DE2063" s="8">
        <f>1238</f>
        <v>1238</v>
      </c>
      <c r="DG2063" s="5" t="s">
        <v>238</v>
      </c>
      <c r="DH2063" s="5" t="s">
        <v>238</v>
      </c>
      <c r="DI2063" s="5" t="s">
        <v>238</v>
      </c>
      <c r="DJ2063" s="5" t="s">
        <v>238</v>
      </c>
      <c r="DN2063" s="5" t="s">
        <v>238</v>
      </c>
      <c r="DO2063" s="5" t="s">
        <v>238</v>
      </c>
      <c r="DP2063" s="5" t="s">
        <v>238</v>
      </c>
      <c r="DQ2063" s="5" t="s">
        <v>238</v>
      </c>
      <c r="DT2063" s="5" t="s">
        <v>275</v>
      </c>
      <c r="DU2063" s="5" t="s">
        <v>368</v>
      </c>
      <c r="HM2063" s="5" t="s">
        <v>264</v>
      </c>
    </row>
    <row r="2064" spans="1:221" x14ac:dyDescent="0.4">
      <c r="A2064" s="5">
        <v>3768</v>
      </c>
      <c r="B2064" s="5">
        <v>1</v>
      </c>
      <c r="C2064" s="5">
        <v>1</v>
      </c>
      <c r="D2064" s="5" t="s">
        <v>269</v>
      </c>
      <c r="E2064" s="5" t="s">
        <v>271</v>
      </c>
      <c r="F2064" s="5" t="s">
        <v>248</v>
      </c>
      <c r="G2064" s="5" t="s">
        <v>266</v>
      </c>
      <c r="H2064" s="6" t="s">
        <v>371</v>
      </c>
      <c r="I2064" s="7">
        <f>1018</f>
        <v>1018</v>
      </c>
      <c r="J2064" s="5" t="s">
        <v>262</v>
      </c>
      <c r="K2064" s="8">
        <f>1</f>
        <v>1</v>
      </c>
      <c r="L2064" s="6" t="s">
        <v>242</v>
      </c>
      <c r="M2064" s="5" t="s">
        <v>267</v>
      </c>
      <c r="N2064" s="5" t="s">
        <v>265</v>
      </c>
      <c r="O2064" s="5" t="s">
        <v>238</v>
      </c>
      <c r="P2064" s="5" t="s">
        <v>238</v>
      </c>
      <c r="Q2064" s="5" t="s">
        <v>268</v>
      </c>
      <c r="R2064" s="5" t="s">
        <v>270</v>
      </c>
      <c r="S2064" s="5" t="s">
        <v>238</v>
      </c>
      <c r="V2064" s="5" t="s">
        <v>238</v>
      </c>
      <c r="X2064" s="6" t="s">
        <v>238</v>
      </c>
      <c r="AA2064" s="6" t="s">
        <v>243</v>
      </c>
      <c r="AB2064" s="5" t="s">
        <v>238</v>
      </c>
      <c r="AC2064" s="5" t="s">
        <v>244</v>
      </c>
      <c r="AD2064" s="5" t="s">
        <v>245</v>
      </c>
      <c r="AT2064" s="5" t="s">
        <v>246</v>
      </c>
      <c r="AU2064" s="5" t="s">
        <v>238</v>
      </c>
      <c r="AV2064" s="5" t="s">
        <v>247</v>
      </c>
      <c r="AW2064" s="5" t="s">
        <v>238</v>
      </c>
      <c r="AX2064" s="5" t="s">
        <v>249</v>
      </c>
      <c r="AY2064" s="5" t="s">
        <v>238</v>
      </c>
      <c r="BA2064" s="5" t="s">
        <v>238</v>
      </c>
      <c r="BC2064" s="5" t="s">
        <v>250</v>
      </c>
      <c r="BD2064" s="6" t="s">
        <v>243</v>
      </c>
      <c r="BE2064" s="5" t="s">
        <v>251</v>
      </c>
      <c r="BF2064" s="5" t="s">
        <v>252</v>
      </c>
      <c r="BG2064" s="5" t="s">
        <v>238</v>
      </c>
      <c r="BH2064" s="7">
        <f>0</f>
        <v>0</v>
      </c>
      <c r="BI2064" s="8">
        <f>0</f>
        <v>0</v>
      </c>
      <c r="BJ2064" s="5" t="s">
        <v>253</v>
      </c>
      <c r="BK2064" s="5" t="s">
        <v>254</v>
      </c>
      <c r="BY2064" s="5" t="s">
        <v>238</v>
      </c>
      <c r="BZ2064" s="5" t="s">
        <v>238</v>
      </c>
      <c r="CD2064" s="5" t="s">
        <v>273</v>
      </c>
      <c r="CE2064" s="5" t="s">
        <v>256</v>
      </c>
      <c r="CF2064" s="5" t="s">
        <v>238</v>
      </c>
      <c r="CI2064" s="6" t="s">
        <v>257</v>
      </c>
      <c r="CJ2064" s="5" t="s">
        <v>238</v>
      </c>
      <c r="CK2064" s="5" t="s">
        <v>258</v>
      </c>
      <c r="CL2064" s="5" t="s">
        <v>238</v>
      </c>
      <c r="CM2064" s="5" t="s">
        <v>238</v>
      </c>
      <c r="CN2064" s="5">
        <v>0</v>
      </c>
      <c r="CO2064" s="5" t="s">
        <v>259</v>
      </c>
      <c r="CP2064" s="5" t="s">
        <v>260</v>
      </c>
      <c r="CQ2064" s="5" t="s">
        <v>260</v>
      </c>
      <c r="CR2064" s="5" t="s">
        <v>261</v>
      </c>
      <c r="CU2064" s="8">
        <f>1</f>
        <v>1</v>
      </c>
      <c r="CV2064" s="8">
        <f>0</f>
        <v>0</v>
      </c>
      <c r="CX2064" s="8">
        <f>0</f>
        <v>0</v>
      </c>
      <c r="CY2064" s="8">
        <f>1</f>
        <v>1</v>
      </c>
      <c r="DA2064" s="5" t="s">
        <v>274</v>
      </c>
      <c r="DB2064" s="5" t="s">
        <v>238</v>
      </c>
      <c r="DD2064" s="5" t="s">
        <v>274</v>
      </c>
      <c r="DE2064" s="8">
        <f>1018</f>
        <v>1018</v>
      </c>
      <c r="DG2064" s="5" t="s">
        <v>238</v>
      </c>
      <c r="DH2064" s="5" t="s">
        <v>238</v>
      </c>
      <c r="DI2064" s="5" t="s">
        <v>238</v>
      </c>
      <c r="DJ2064" s="5" t="s">
        <v>238</v>
      </c>
      <c r="DN2064" s="5" t="s">
        <v>238</v>
      </c>
      <c r="DO2064" s="5" t="s">
        <v>238</v>
      </c>
      <c r="DP2064" s="5" t="s">
        <v>238</v>
      </c>
      <c r="DQ2064" s="5" t="s">
        <v>238</v>
      </c>
      <c r="DT2064" s="5" t="s">
        <v>275</v>
      </c>
      <c r="DU2064" s="5" t="s">
        <v>372</v>
      </c>
      <c r="HM2064" s="5" t="s">
        <v>264</v>
      </c>
    </row>
    <row r="2065" spans="1:221" x14ac:dyDescent="0.4">
      <c r="A2065" s="5">
        <v>3769</v>
      </c>
      <c r="B2065" s="5">
        <v>1</v>
      </c>
      <c r="C2065" s="5">
        <v>1</v>
      </c>
      <c r="D2065" s="5" t="s">
        <v>269</v>
      </c>
      <c r="E2065" s="5" t="s">
        <v>271</v>
      </c>
      <c r="F2065" s="5" t="s">
        <v>248</v>
      </c>
      <c r="G2065" s="5" t="s">
        <v>266</v>
      </c>
      <c r="H2065" s="6" t="s">
        <v>375</v>
      </c>
      <c r="I2065" s="7">
        <f>3680</f>
        <v>3680</v>
      </c>
      <c r="J2065" s="5" t="s">
        <v>262</v>
      </c>
      <c r="K2065" s="8">
        <f>1</f>
        <v>1</v>
      </c>
      <c r="L2065" s="6" t="s">
        <v>242</v>
      </c>
      <c r="M2065" s="5" t="s">
        <v>267</v>
      </c>
      <c r="N2065" s="5" t="s">
        <v>265</v>
      </c>
      <c r="O2065" s="5" t="s">
        <v>238</v>
      </c>
      <c r="P2065" s="5" t="s">
        <v>238</v>
      </c>
      <c r="Q2065" s="5" t="s">
        <v>268</v>
      </c>
      <c r="R2065" s="5" t="s">
        <v>270</v>
      </c>
      <c r="S2065" s="5" t="s">
        <v>238</v>
      </c>
      <c r="V2065" s="5" t="s">
        <v>238</v>
      </c>
      <c r="X2065" s="6" t="s">
        <v>238</v>
      </c>
      <c r="AA2065" s="6" t="s">
        <v>243</v>
      </c>
      <c r="AB2065" s="5" t="s">
        <v>238</v>
      </c>
      <c r="AC2065" s="5" t="s">
        <v>244</v>
      </c>
      <c r="AD2065" s="5" t="s">
        <v>245</v>
      </c>
      <c r="AT2065" s="5" t="s">
        <v>246</v>
      </c>
      <c r="AU2065" s="5" t="s">
        <v>238</v>
      </c>
      <c r="AV2065" s="5" t="s">
        <v>247</v>
      </c>
      <c r="AW2065" s="5" t="s">
        <v>238</v>
      </c>
      <c r="AX2065" s="5" t="s">
        <v>249</v>
      </c>
      <c r="AY2065" s="5" t="s">
        <v>238</v>
      </c>
      <c r="BA2065" s="5" t="s">
        <v>238</v>
      </c>
      <c r="BC2065" s="5" t="s">
        <v>250</v>
      </c>
      <c r="BD2065" s="6" t="s">
        <v>243</v>
      </c>
      <c r="BE2065" s="5" t="s">
        <v>251</v>
      </c>
      <c r="BF2065" s="5" t="s">
        <v>252</v>
      </c>
      <c r="BG2065" s="5" t="s">
        <v>238</v>
      </c>
      <c r="BH2065" s="7">
        <f>0</f>
        <v>0</v>
      </c>
      <c r="BI2065" s="8">
        <f>0</f>
        <v>0</v>
      </c>
      <c r="BJ2065" s="5" t="s">
        <v>253</v>
      </c>
      <c r="BK2065" s="5" t="s">
        <v>254</v>
      </c>
      <c r="BY2065" s="5" t="s">
        <v>238</v>
      </c>
      <c r="BZ2065" s="5" t="s">
        <v>238</v>
      </c>
      <c r="CD2065" s="5" t="s">
        <v>273</v>
      </c>
      <c r="CE2065" s="5" t="s">
        <v>256</v>
      </c>
      <c r="CF2065" s="5" t="s">
        <v>238</v>
      </c>
      <c r="CI2065" s="6" t="s">
        <v>257</v>
      </c>
      <c r="CJ2065" s="5" t="s">
        <v>238</v>
      </c>
      <c r="CK2065" s="5" t="s">
        <v>258</v>
      </c>
      <c r="CL2065" s="5" t="s">
        <v>238</v>
      </c>
      <c r="CM2065" s="5" t="s">
        <v>238</v>
      </c>
      <c r="CN2065" s="5">
        <v>0</v>
      </c>
      <c r="CO2065" s="5" t="s">
        <v>259</v>
      </c>
      <c r="CP2065" s="5" t="s">
        <v>260</v>
      </c>
      <c r="CQ2065" s="5" t="s">
        <v>260</v>
      </c>
      <c r="CR2065" s="5" t="s">
        <v>261</v>
      </c>
      <c r="CU2065" s="8">
        <f>1</f>
        <v>1</v>
      </c>
      <c r="CV2065" s="8">
        <f>0</f>
        <v>0</v>
      </c>
      <c r="CX2065" s="8">
        <f>0</f>
        <v>0</v>
      </c>
      <c r="CY2065" s="8">
        <f>1</f>
        <v>1</v>
      </c>
      <c r="DA2065" s="5" t="s">
        <v>274</v>
      </c>
      <c r="DB2065" s="5" t="s">
        <v>238</v>
      </c>
      <c r="DD2065" s="5" t="s">
        <v>274</v>
      </c>
      <c r="DE2065" s="8">
        <f>3680</f>
        <v>3680</v>
      </c>
      <c r="DG2065" s="5" t="s">
        <v>238</v>
      </c>
      <c r="DH2065" s="5" t="s">
        <v>238</v>
      </c>
      <c r="DI2065" s="5" t="s">
        <v>238</v>
      </c>
      <c r="DJ2065" s="5" t="s">
        <v>238</v>
      </c>
      <c r="DN2065" s="5" t="s">
        <v>238</v>
      </c>
      <c r="DO2065" s="5" t="s">
        <v>238</v>
      </c>
      <c r="DP2065" s="5" t="s">
        <v>238</v>
      </c>
      <c r="DQ2065" s="5" t="s">
        <v>238</v>
      </c>
      <c r="DT2065" s="5" t="s">
        <v>275</v>
      </c>
      <c r="DU2065" s="5" t="s">
        <v>376</v>
      </c>
      <c r="HM2065" s="5" t="s">
        <v>264</v>
      </c>
    </row>
    <row r="2066" spans="1:221" x14ac:dyDescent="0.4">
      <c r="A2066" s="5">
        <v>3770</v>
      </c>
      <c r="B2066" s="5">
        <v>1</v>
      </c>
      <c r="C2066" s="5">
        <v>1</v>
      </c>
      <c r="D2066" s="5" t="s">
        <v>269</v>
      </c>
      <c r="E2066" s="5" t="s">
        <v>271</v>
      </c>
      <c r="F2066" s="5" t="s">
        <v>248</v>
      </c>
      <c r="G2066" s="5" t="s">
        <v>266</v>
      </c>
      <c r="H2066" s="6" t="s">
        <v>379</v>
      </c>
      <c r="I2066" s="7">
        <f>267</f>
        <v>267</v>
      </c>
      <c r="J2066" s="5" t="s">
        <v>262</v>
      </c>
      <c r="K2066" s="8">
        <f>1</f>
        <v>1</v>
      </c>
      <c r="L2066" s="6" t="s">
        <v>242</v>
      </c>
      <c r="M2066" s="5" t="s">
        <v>267</v>
      </c>
      <c r="N2066" s="5" t="s">
        <v>265</v>
      </c>
      <c r="O2066" s="5" t="s">
        <v>238</v>
      </c>
      <c r="P2066" s="5" t="s">
        <v>238</v>
      </c>
      <c r="Q2066" s="5" t="s">
        <v>268</v>
      </c>
      <c r="R2066" s="5" t="s">
        <v>270</v>
      </c>
      <c r="S2066" s="5" t="s">
        <v>238</v>
      </c>
      <c r="V2066" s="5" t="s">
        <v>238</v>
      </c>
      <c r="X2066" s="6" t="s">
        <v>238</v>
      </c>
      <c r="AA2066" s="6" t="s">
        <v>243</v>
      </c>
      <c r="AB2066" s="5" t="s">
        <v>238</v>
      </c>
      <c r="AC2066" s="5" t="s">
        <v>244</v>
      </c>
      <c r="AD2066" s="5" t="s">
        <v>245</v>
      </c>
      <c r="AT2066" s="5" t="s">
        <v>246</v>
      </c>
      <c r="AU2066" s="5" t="s">
        <v>238</v>
      </c>
      <c r="AV2066" s="5" t="s">
        <v>247</v>
      </c>
      <c r="AW2066" s="5" t="s">
        <v>238</v>
      </c>
      <c r="AX2066" s="5" t="s">
        <v>249</v>
      </c>
      <c r="AY2066" s="5" t="s">
        <v>238</v>
      </c>
      <c r="BA2066" s="5" t="s">
        <v>238</v>
      </c>
      <c r="BC2066" s="5" t="s">
        <v>250</v>
      </c>
      <c r="BD2066" s="6" t="s">
        <v>243</v>
      </c>
      <c r="BE2066" s="5" t="s">
        <v>251</v>
      </c>
      <c r="BF2066" s="5" t="s">
        <v>252</v>
      </c>
      <c r="BG2066" s="5" t="s">
        <v>238</v>
      </c>
      <c r="BH2066" s="7">
        <f>0</f>
        <v>0</v>
      </c>
      <c r="BI2066" s="8">
        <f>0</f>
        <v>0</v>
      </c>
      <c r="BJ2066" s="5" t="s">
        <v>253</v>
      </c>
      <c r="BK2066" s="5" t="s">
        <v>254</v>
      </c>
      <c r="BY2066" s="5" t="s">
        <v>238</v>
      </c>
      <c r="BZ2066" s="5" t="s">
        <v>238</v>
      </c>
      <c r="CD2066" s="5" t="s">
        <v>273</v>
      </c>
      <c r="CE2066" s="5" t="s">
        <v>256</v>
      </c>
      <c r="CF2066" s="5" t="s">
        <v>238</v>
      </c>
      <c r="CI2066" s="6" t="s">
        <v>257</v>
      </c>
      <c r="CJ2066" s="5" t="s">
        <v>238</v>
      </c>
      <c r="CK2066" s="5" t="s">
        <v>258</v>
      </c>
      <c r="CL2066" s="5" t="s">
        <v>238</v>
      </c>
      <c r="CM2066" s="5" t="s">
        <v>238</v>
      </c>
      <c r="CN2066" s="5">
        <v>0</v>
      </c>
      <c r="CO2066" s="5" t="s">
        <v>259</v>
      </c>
      <c r="CP2066" s="5" t="s">
        <v>260</v>
      </c>
      <c r="CQ2066" s="5" t="s">
        <v>260</v>
      </c>
      <c r="CR2066" s="5" t="s">
        <v>261</v>
      </c>
      <c r="CU2066" s="8">
        <f>1</f>
        <v>1</v>
      </c>
      <c r="CV2066" s="8">
        <f>0</f>
        <v>0</v>
      </c>
      <c r="CX2066" s="8">
        <f>0</f>
        <v>0</v>
      </c>
      <c r="CY2066" s="8">
        <f>1</f>
        <v>1</v>
      </c>
      <c r="DA2066" s="5" t="s">
        <v>274</v>
      </c>
      <c r="DB2066" s="5" t="s">
        <v>238</v>
      </c>
      <c r="DD2066" s="5" t="s">
        <v>274</v>
      </c>
      <c r="DE2066" s="8">
        <f>267</f>
        <v>267</v>
      </c>
      <c r="DG2066" s="5" t="s">
        <v>238</v>
      </c>
      <c r="DH2066" s="5" t="s">
        <v>238</v>
      </c>
      <c r="DI2066" s="5" t="s">
        <v>238</v>
      </c>
      <c r="DJ2066" s="5" t="s">
        <v>238</v>
      </c>
      <c r="DN2066" s="5" t="s">
        <v>238</v>
      </c>
      <c r="DO2066" s="5" t="s">
        <v>238</v>
      </c>
      <c r="DP2066" s="5" t="s">
        <v>238</v>
      </c>
      <c r="DQ2066" s="5" t="s">
        <v>238</v>
      </c>
      <c r="DT2066" s="5" t="s">
        <v>275</v>
      </c>
      <c r="DU2066" s="5" t="s">
        <v>380</v>
      </c>
      <c r="HM2066" s="5" t="s">
        <v>264</v>
      </c>
    </row>
    <row r="2067" spans="1:221" x14ac:dyDescent="0.4">
      <c r="A2067" s="5">
        <v>3771</v>
      </c>
      <c r="B2067" s="5">
        <v>1</v>
      </c>
      <c r="C2067" s="5">
        <v>1</v>
      </c>
      <c r="D2067" s="5" t="s">
        <v>269</v>
      </c>
      <c r="E2067" s="5" t="s">
        <v>271</v>
      </c>
      <c r="F2067" s="5" t="s">
        <v>248</v>
      </c>
      <c r="G2067" s="5" t="s">
        <v>266</v>
      </c>
      <c r="H2067" s="6" t="s">
        <v>381</v>
      </c>
      <c r="I2067" s="7">
        <f>436</f>
        <v>436</v>
      </c>
      <c r="J2067" s="5" t="s">
        <v>262</v>
      </c>
      <c r="K2067" s="8">
        <f>1</f>
        <v>1</v>
      </c>
      <c r="L2067" s="6" t="s">
        <v>242</v>
      </c>
      <c r="M2067" s="5" t="s">
        <v>267</v>
      </c>
      <c r="N2067" s="5" t="s">
        <v>265</v>
      </c>
      <c r="O2067" s="5" t="s">
        <v>238</v>
      </c>
      <c r="P2067" s="5" t="s">
        <v>238</v>
      </c>
      <c r="Q2067" s="5" t="s">
        <v>268</v>
      </c>
      <c r="R2067" s="5" t="s">
        <v>270</v>
      </c>
      <c r="S2067" s="5" t="s">
        <v>238</v>
      </c>
      <c r="V2067" s="5" t="s">
        <v>238</v>
      </c>
      <c r="X2067" s="6" t="s">
        <v>238</v>
      </c>
      <c r="AA2067" s="6" t="s">
        <v>243</v>
      </c>
      <c r="AB2067" s="5" t="s">
        <v>238</v>
      </c>
      <c r="AC2067" s="5" t="s">
        <v>244</v>
      </c>
      <c r="AD2067" s="5" t="s">
        <v>245</v>
      </c>
      <c r="AT2067" s="5" t="s">
        <v>246</v>
      </c>
      <c r="AU2067" s="5" t="s">
        <v>238</v>
      </c>
      <c r="AV2067" s="5" t="s">
        <v>247</v>
      </c>
      <c r="AW2067" s="5" t="s">
        <v>238</v>
      </c>
      <c r="AX2067" s="5" t="s">
        <v>249</v>
      </c>
      <c r="AY2067" s="5" t="s">
        <v>238</v>
      </c>
      <c r="BA2067" s="5" t="s">
        <v>238</v>
      </c>
      <c r="BC2067" s="5" t="s">
        <v>250</v>
      </c>
      <c r="BD2067" s="6" t="s">
        <v>243</v>
      </c>
      <c r="BE2067" s="5" t="s">
        <v>251</v>
      </c>
      <c r="BF2067" s="5" t="s">
        <v>252</v>
      </c>
      <c r="BG2067" s="5" t="s">
        <v>238</v>
      </c>
      <c r="BH2067" s="7">
        <f>0</f>
        <v>0</v>
      </c>
      <c r="BI2067" s="8">
        <f>0</f>
        <v>0</v>
      </c>
      <c r="BJ2067" s="5" t="s">
        <v>253</v>
      </c>
      <c r="BK2067" s="5" t="s">
        <v>254</v>
      </c>
      <c r="BY2067" s="5" t="s">
        <v>238</v>
      </c>
      <c r="BZ2067" s="5" t="s">
        <v>238</v>
      </c>
      <c r="CD2067" s="5" t="s">
        <v>273</v>
      </c>
      <c r="CE2067" s="5" t="s">
        <v>256</v>
      </c>
      <c r="CF2067" s="5" t="s">
        <v>238</v>
      </c>
      <c r="CI2067" s="6" t="s">
        <v>257</v>
      </c>
      <c r="CJ2067" s="5" t="s">
        <v>238</v>
      </c>
      <c r="CK2067" s="5" t="s">
        <v>258</v>
      </c>
      <c r="CL2067" s="5" t="s">
        <v>238</v>
      </c>
      <c r="CM2067" s="5" t="s">
        <v>238</v>
      </c>
      <c r="CN2067" s="5">
        <v>0</v>
      </c>
      <c r="CO2067" s="5" t="s">
        <v>259</v>
      </c>
      <c r="CP2067" s="5" t="s">
        <v>260</v>
      </c>
      <c r="CQ2067" s="5" t="s">
        <v>260</v>
      </c>
      <c r="CR2067" s="5" t="s">
        <v>261</v>
      </c>
      <c r="CU2067" s="8">
        <f>1</f>
        <v>1</v>
      </c>
      <c r="CV2067" s="8">
        <f>0</f>
        <v>0</v>
      </c>
      <c r="CX2067" s="8">
        <f>0</f>
        <v>0</v>
      </c>
      <c r="CY2067" s="8">
        <f>1</f>
        <v>1</v>
      </c>
      <c r="DA2067" s="5" t="s">
        <v>274</v>
      </c>
      <c r="DB2067" s="5" t="s">
        <v>238</v>
      </c>
      <c r="DD2067" s="5" t="s">
        <v>274</v>
      </c>
      <c r="DE2067" s="8">
        <f>436</f>
        <v>436</v>
      </c>
      <c r="DG2067" s="5" t="s">
        <v>238</v>
      </c>
      <c r="DH2067" s="5" t="s">
        <v>238</v>
      </c>
      <c r="DI2067" s="5" t="s">
        <v>238</v>
      </c>
      <c r="DJ2067" s="5" t="s">
        <v>238</v>
      </c>
      <c r="DN2067" s="5" t="s">
        <v>238</v>
      </c>
      <c r="DO2067" s="5" t="s">
        <v>238</v>
      </c>
      <c r="DP2067" s="5" t="s">
        <v>238</v>
      </c>
      <c r="DQ2067" s="5" t="s">
        <v>238</v>
      </c>
      <c r="DT2067" s="5" t="s">
        <v>275</v>
      </c>
      <c r="DU2067" s="5" t="s">
        <v>382</v>
      </c>
      <c r="HM2067" s="5" t="s">
        <v>264</v>
      </c>
    </row>
    <row r="2068" spans="1:221" x14ac:dyDescent="0.4">
      <c r="A2068" s="5">
        <v>3772</v>
      </c>
      <c r="B2068" s="5">
        <v>1</v>
      </c>
      <c r="C2068" s="5">
        <v>1</v>
      </c>
      <c r="D2068" s="5" t="s">
        <v>269</v>
      </c>
      <c r="E2068" s="5" t="s">
        <v>271</v>
      </c>
      <c r="F2068" s="5" t="s">
        <v>248</v>
      </c>
      <c r="G2068" s="5" t="s">
        <v>266</v>
      </c>
      <c r="H2068" s="6" t="s">
        <v>385</v>
      </c>
      <c r="I2068" s="7">
        <f>325</f>
        <v>325</v>
      </c>
      <c r="J2068" s="5" t="s">
        <v>262</v>
      </c>
      <c r="K2068" s="8">
        <f>1</f>
        <v>1</v>
      </c>
      <c r="L2068" s="6" t="s">
        <v>242</v>
      </c>
      <c r="M2068" s="5" t="s">
        <v>267</v>
      </c>
      <c r="N2068" s="5" t="s">
        <v>265</v>
      </c>
      <c r="O2068" s="5" t="s">
        <v>238</v>
      </c>
      <c r="P2068" s="5" t="s">
        <v>238</v>
      </c>
      <c r="Q2068" s="5" t="s">
        <v>268</v>
      </c>
      <c r="R2068" s="5" t="s">
        <v>270</v>
      </c>
      <c r="S2068" s="5" t="s">
        <v>238</v>
      </c>
      <c r="V2068" s="5" t="s">
        <v>238</v>
      </c>
      <c r="X2068" s="6" t="s">
        <v>238</v>
      </c>
      <c r="AA2068" s="6" t="s">
        <v>243</v>
      </c>
      <c r="AB2068" s="5" t="s">
        <v>238</v>
      </c>
      <c r="AC2068" s="5" t="s">
        <v>244</v>
      </c>
      <c r="AD2068" s="5" t="s">
        <v>245</v>
      </c>
      <c r="AT2068" s="5" t="s">
        <v>246</v>
      </c>
      <c r="AU2068" s="5" t="s">
        <v>238</v>
      </c>
      <c r="AV2068" s="5" t="s">
        <v>247</v>
      </c>
      <c r="AW2068" s="5" t="s">
        <v>238</v>
      </c>
      <c r="AX2068" s="5" t="s">
        <v>249</v>
      </c>
      <c r="AY2068" s="5" t="s">
        <v>238</v>
      </c>
      <c r="BA2068" s="5" t="s">
        <v>238</v>
      </c>
      <c r="BC2068" s="5" t="s">
        <v>250</v>
      </c>
      <c r="BD2068" s="6" t="s">
        <v>243</v>
      </c>
      <c r="BE2068" s="5" t="s">
        <v>251</v>
      </c>
      <c r="BF2068" s="5" t="s">
        <v>252</v>
      </c>
      <c r="BG2068" s="5" t="s">
        <v>238</v>
      </c>
      <c r="BH2068" s="7">
        <f>0</f>
        <v>0</v>
      </c>
      <c r="BI2068" s="8">
        <f>0</f>
        <v>0</v>
      </c>
      <c r="BJ2068" s="5" t="s">
        <v>253</v>
      </c>
      <c r="BK2068" s="5" t="s">
        <v>254</v>
      </c>
      <c r="BY2068" s="5" t="s">
        <v>238</v>
      </c>
      <c r="BZ2068" s="5" t="s">
        <v>238</v>
      </c>
      <c r="CD2068" s="5" t="s">
        <v>273</v>
      </c>
      <c r="CE2068" s="5" t="s">
        <v>256</v>
      </c>
      <c r="CF2068" s="5" t="s">
        <v>238</v>
      </c>
      <c r="CI2068" s="6" t="s">
        <v>257</v>
      </c>
      <c r="CJ2068" s="5" t="s">
        <v>238</v>
      </c>
      <c r="CK2068" s="5" t="s">
        <v>258</v>
      </c>
      <c r="CL2068" s="5" t="s">
        <v>238</v>
      </c>
      <c r="CM2068" s="5" t="s">
        <v>238</v>
      </c>
      <c r="CN2068" s="5">
        <v>0</v>
      </c>
      <c r="CO2068" s="5" t="s">
        <v>259</v>
      </c>
      <c r="CP2068" s="5" t="s">
        <v>260</v>
      </c>
      <c r="CQ2068" s="5" t="s">
        <v>260</v>
      </c>
      <c r="CR2068" s="5" t="s">
        <v>261</v>
      </c>
      <c r="CU2068" s="8">
        <f>1</f>
        <v>1</v>
      </c>
      <c r="CV2068" s="8">
        <f>0</f>
        <v>0</v>
      </c>
      <c r="CX2068" s="8">
        <f>0</f>
        <v>0</v>
      </c>
      <c r="CY2068" s="8">
        <f>1</f>
        <v>1</v>
      </c>
      <c r="DA2068" s="5" t="s">
        <v>274</v>
      </c>
      <c r="DB2068" s="5" t="s">
        <v>238</v>
      </c>
      <c r="DD2068" s="5" t="s">
        <v>274</v>
      </c>
      <c r="DE2068" s="8">
        <f>325</f>
        <v>325</v>
      </c>
      <c r="DG2068" s="5" t="s">
        <v>238</v>
      </c>
      <c r="DH2068" s="5" t="s">
        <v>238</v>
      </c>
      <c r="DI2068" s="5" t="s">
        <v>238</v>
      </c>
      <c r="DJ2068" s="5" t="s">
        <v>238</v>
      </c>
      <c r="DN2068" s="5" t="s">
        <v>238</v>
      </c>
      <c r="DO2068" s="5" t="s">
        <v>238</v>
      </c>
      <c r="DP2068" s="5" t="s">
        <v>238</v>
      </c>
      <c r="DQ2068" s="5" t="s">
        <v>238</v>
      </c>
      <c r="DT2068" s="5" t="s">
        <v>275</v>
      </c>
      <c r="DU2068" s="5" t="s">
        <v>386</v>
      </c>
      <c r="HM2068" s="5" t="s">
        <v>264</v>
      </c>
    </row>
    <row r="2069" spans="1:221" x14ac:dyDescent="0.4">
      <c r="A2069" s="5">
        <v>3773</v>
      </c>
      <c r="B2069" s="5">
        <v>1</v>
      </c>
      <c r="C2069" s="5">
        <v>1</v>
      </c>
      <c r="D2069" s="5" t="s">
        <v>269</v>
      </c>
      <c r="E2069" s="5" t="s">
        <v>271</v>
      </c>
      <c r="F2069" s="5" t="s">
        <v>248</v>
      </c>
      <c r="G2069" s="5" t="s">
        <v>266</v>
      </c>
      <c r="H2069" s="6" t="s">
        <v>5405</v>
      </c>
      <c r="I2069" s="7">
        <f>1754</f>
        <v>1754</v>
      </c>
      <c r="J2069" s="5" t="s">
        <v>262</v>
      </c>
      <c r="K2069" s="8">
        <f>1</f>
        <v>1</v>
      </c>
      <c r="L2069" s="6" t="s">
        <v>242</v>
      </c>
      <c r="M2069" s="5" t="s">
        <v>267</v>
      </c>
      <c r="N2069" s="5" t="s">
        <v>265</v>
      </c>
      <c r="O2069" s="5" t="s">
        <v>238</v>
      </c>
      <c r="P2069" s="5" t="s">
        <v>238</v>
      </c>
      <c r="Q2069" s="5" t="s">
        <v>268</v>
      </c>
      <c r="R2069" s="5" t="s">
        <v>270</v>
      </c>
      <c r="S2069" s="5" t="s">
        <v>238</v>
      </c>
      <c r="V2069" s="5" t="s">
        <v>238</v>
      </c>
      <c r="X2069" s="6" t="s">
        <v>238</v>
      </c>
      <c r="AA2069" s="6" t="s">
        <v>243</v>
      </c>
      <c r="AB2069" s="5" t="s">
        <v>238</v>
      </c>
      <c r="AC2069" s="5" t="s">
        <v>244</v>
      </c>
      <c r="AD2069" s="5" t="s">
        <v>245</v>
      </c>
      <c r="AT2069" s="5" t="s">
        <v>246</v>
      </c>
      <c r="AU2069" s="5" t="s">
        <v>238</v>
      </c>
      <c r="AV2069" s="5" t="s">
        <v>247</v>
      </c>
      <c r="AW2069" s="5" t="s">
        <v>238</v>
      </c>
      <c r="AX2069" s="5" t="s">
        <v>249</v>
      </c>
      <c r="AY2069" s="5" t="s">
        <v>238</v>
      </c>
      <c r="BA2069" s="5" t="s">
        <v>238</v>
      </c>
      <c r="BC2069" s="5" t="s">
        <v>250</v>
      </c>
      <c r="BD2069" s="6" t="s">
        <v>243</v>
      </c>
      <c r="BE2069" s="5" t="s">
        <v>251</v>
      </c>
      <c r="BF2069" s="5" t="s">
        <v>252</v>
      </c>
      <c r="BG2069" s="5" t="s">
        <v>238</v>
      </c>
      <c r="BH2069" s="7">
        <f>0</f>
        <v>0</v>
      </c>
      <c r="BI2069" s="8">
        <f>0</f>
        <v>0</v>
      </c>
      <c r="BJ2069" s="5" t="s">
        <v>253</v>
      </c>
      <c r="BK2069" s="5" t="s">
        <v>254</v>
      </c>
      <c r="BY2069" s="5" t="s">
        <v>238</v>
      </c>
      <c r="BZ2069" s="5" t="s">
        <v>238</v>
      </c>
      <c r="CD2069" s="5" t="s">
        <v>273</v>
      </c>
      <c r="CE2069" s="5" t="s">
        <v>256</v>
      </c>
      <c r="CF2069" s="5" t="s">
        <v>238</v>
      </c>
      <c r="CI2069" s="6" t="s">
        <v>257</v>
      </c>
      <c r="CJ2069" s="5" t="s">
        <v>238</v>
      </c>
      <c r="CK2069" s="5" t="s">
        <v>258</v>
      </c>
      <c r="CL2069" s="5" t="s">
        <v>238</v>
      </c>
      <c r="CM2069" s="5" t="s">
        <v>238</v>
      </c>
      <c r="CN2069" s="5">
        <v>0</v>
      </c>
      <c r="CO2069" s="5" t="s">
        <v>259</v>
      </c>
      <c r="CP2069" s="5" t="s">
        <v>260</v>
      </c>
      <c r="CQ2069" s="5" t="s">
        <v>260</v>
      </c>
      <c r="CR2069" s="5" t="s">
        <v>261</v>
      </c>
      <c r="CU2069" s="8">
        <f>1</f>
        <v>1</v>
      </c>
      <c r="CV2069" s="8">
        <f>0</f>
        <v>0</v>
      </c>
      <c r="CX2069" s="8">
        <f>0</f>
        <v>0</v>
      </c>
      <c r="CY2069" s="8">
        <f>1</f>
        <v>1</v>
      </c>
      <c r="DA2069" s="5" t="s">
        <v>274</v>
      </c>
      <c r="DB2069" s="5" t="s">
        <v>238</v>
      </c>
      <c r="DD2069" s="5" t="s">
        <v>274</v>
      </c>
      <c r="DE2069" s="8">
        <f>1754</f>
        <v>1754</v>
      </c>
      <c r="DG2069" s="5" t="s">
        <v>238</v>
      </c>
      <c r="DH2069" s="5" t="s">
        <v>238</v>
      </c>
      <c r="DI2069" s="5" t="s">
        <v>238</v>
      </c>
      <c r="DJ2069" s="5" t="s">
        <v>238</v>
      </c>
      <c r="DN2069" s="5" t="s">
        <v>238</v>
      </c>
      <c r="DO2069" s="5" t="s">
        <v>238</v>
      </c>
      <c r="DP2069" s="5" t="s">
        <v>238</v>
      </c>
      <c r="DQ2069" s="5" t="s">
        <v>238</v>
      </c>
      <c r="DT2069" s="5" t="s">
        <v>275</v>
      </c>
      <c r="DU2069" s="5" t="s">
        <v>3332</v>
      </c>
      <c r="HM2069" s="5" t="s">
        <v>264</v>
      </c>
    </row>
    <row r="2070" spans="1:221" x14ac:dyDescent="0.4">
      <c r="A2070" s="5">
        <v>3774</v>
      </c>
      <c r="B2070" s="5">
        <v>1</v>
      </c>
      <c r="C2070" s="5">
        <v>1</v>
      </c>
      <c r="D2070" s="5" t="s">
        <v>269</v>
      </c>
      <c r="E2070" s="5" t="s">
        <v>271</v>
      </c>
      <c r="F2070" s="5" t="s">
        <v>248</v>
      </c>
      <c r="G2070" s="5" t="s">
        <v>266</v>
      </c>
      <c r="H2070" s="6" t="s">
        <v>391</v>
      </c>
      <c r="I2070" s="7">
        <f>424</f>
        <v>424</v>
      </c>
      <c r="J2070" s="5" t="s">
        <v>262</v>
      </c>
      <c r="K2070" s="8">
        <f>1</f>
        <v>1</v>
      </c>
      <c r="L2070" s="6" t="s">
        <v>242</v>
      </c>
      <c r="M2070" s="5" t="s">
        <v>267</v>
      </c>
      <c r="N2070" s="5" t="s">
        <v>265</v>
      </c>
      <c r="O2070" s="5" t="s">
        <v>238</v>
      </c>
      <c r="P2070" s="5" t="s">
        <v>238</v>
      </c>
      <c r="Q2070" s="5" t="s">
        <v>268</v>
      </c>
      <c r="R2070" s="5" t="s">
        <v>270</v>
      </c>
      <c r="S2070" s="5" t="s">
        <v>238</v>
      </c>
      <c r="V2070" s="5" t="s">
        <v>238</v>
      </c>
      <c r="X2070" s="6" t="s">
        <v>238</v>
      </c>
      <c r="AA2070" s="6" t="s">
        <v>243</v>
      </c>
      <c r="AB2070" s="5" t="s">
        <v>238</v>
      </c>
      <c r="AC2070" s="5" t="s">
        <v>244</v>
      </c>
      <c r="AD2070" s="5" t="s">
        <v>245</v>
      </c>
      <c r="AT2070" s="5" t="s">
        <v>246</v>
      </c>
      <c r="AU2070" s="5" t="s">
        <v>238</v>
      </c>
      <c r="AV2070" s="5" t="s">
        <v>247</v>
      </c>
      <c r="AW2070" s="5" t="s">
        <v>238</v>
      </c>
      <c r="AX2070" s="5" t="s">
        <v>249</v>
      </c>
      <c r="AY2070" s="5" t="s">
        <v>238</v>
      </c>
      <c r="BA2070" s="5" t="s">
        <v>238</v>
      </c>
      <c r="BC2070" s="5" t="s">
        <v>250</v>
      </c>
      <c r="BD2070" s="6" t="s">
        <v>243</v>
      </c>
      <c r="BE2070" s="5" t="s">
        <v>251</v>
      </c>
      <c r="BF2070" s="5" t="s">
        <v>252</v>
      </c>
      <c r="BG2070" s="5" t="s">
        <v>238</v>
      </c>
      <c r="BH2070" s="7">
        <f>0</f>
        <v>0</v>
      </c>
      <c r="BI2070" s="8">
        <f>0</f>
        <v>0</v>
      </c>
      <c r="BJ2070" s="5" t="s">
        <v>253</v>
      </c>
      <c r="BK2070" s="5" t="s">
        <v>254</v>
      </c>
      <c r="BY2070" s="5" t="s">
        <v>238</v>
      </c>
      <c r="BZ2070" s="5" t="s">
        <v>238</v>
      </c>
      <c r="CD2070" s="5" t="s">
        <v>273</v>
      </c>
      <c r="CE2070" s="5" t="s">
        <v>256</v>
      </c>
      <c r="CF2070" s="5" t="s">
        <v>238</v>
      </c>
      <c r="CI2070" s="6" t="s">
        <v>257</v>
      </c>
      <c r="CJ2070" s="5" t="s">
        <v>238</v>
      </c>
      <c r="CK2070" s="5" t="s">
        <v>258</v>
      </c>
      <c r="CL2070" s="5" t="s">
        <v>238</v>
      </c>
      <c r="CM2070" s="5" t="s">
        <v>238</v>
      </c>
      <c r="CN2070" s="5">
        <v>0</v>
      </c>
      <c r="CO2070" s="5" t="s">
        <v>259</v>
      </c>
      <c r="CP2070" s="5" t="s">
        <v>260</v>
      </c>
      <c r="CQ2070" s="5" t="s">
        <v>260</v>
      </c>
      <c r="CR2070" s="5" t="s">
        <v>261</v>
      </c>
      <c r="CU2070" s="8">
        <f>1</f>
        <v>1</v>
      </c>
      <c r="CV2070" s="8">
        <f>0</f>
        <v>0</v>
      </c>
      <c r="CX2070" s="8">
        <f>0</f>
        <v>0</v>
      </c>
      <c r="CY2070" s="8">
        <f>1</f>
        <v>1</v>
      </c>
      <c r="DA2070" s="5" t="s">
        <v>274</v>
      </c>
      <c r="DB2070" s="5" t="s">
        <v>238</v>
      </c>
      <c r="DD2070" s="5" t="s">
        <v>274</v>
      </c>
      <c r="DE2070" s="8">
        <f>424</f>
        <v>424</v>
      </c>
      <c r="DG2070" s="5" t="s">
        <v>238</v>
      </c>
      <c r="DH2070" s="5" t="s">
        <v>238</v>
      </c>
      <c r="DI2070" s="5" t="s">
        <v>238</v>
      </c>
      <c r="DJ2070" s="5" t="s">
        <v>238</v>
      </c>
      <c r="DN2070" s="5" t="s">
        <v>238</v>
      </c>
      <c r="DO2070" s="5" t="s">
        <v>238</v>
      </c>
      <c r="DP2070" s="5" t="s">
        <v>238</v>
      </c>
      <c r="DQ2070" s="5" t="s">
        <v>238</v>
      </c>
      <c r="DT2070" s="5" t="s">
        <v>275</v>
      </c>
      <c r="DU2070" s="5" t="s">
        <v>392</v>
      </c>
      <c r="HM2070" s="5" t="s">
        <v>264</v>
      </c>
    </row>
    <row r="2071" spans="1:221" x14ac:dyDescent="0.4">
      <c r="A2071" s="5">
        <v>3775</v>
      </c>
      <c r="B2071" s="5">
        <v>1</v>
      </c>
      <c r="C2071" s="5">
        <v>1</v>
      </c>
      <c r="D2071" s="5" t="s">
        <v>269</v>
      </c>
      <c r="E2071" s="5" t="s">
        <v>271</v>
      </c>
      <c r="F2071" s="5" t="s">
        <v>248</v>
      </c>
      <c r="G2071" s="5" t="s">
        <v>266</v>
      </c>
      <c r="H2071" s="6" t="s">
        <v>393</v>
      </c>
      <c r="I2071" s="7">
        <f>1826</f>
        <v>1826</v>
      </c>
      <c r="J2071" s="5" t="s">
        <v>262</v>
      </c>
      <c r="K2071" s="8">
        <f>1</f>
        <v>1</v>
      </c>
      <c r="L2071" s="6" t="s">
        <v>242</v>
      </c>
      <c r="M2071" s="5" t="s">
        <v>267</v>
      </c>
      <c r="N2071" s="5" t="s">
        <v>265</v>
      </c>
      <c r="O2071" s="5" t="s">
        <v>238</v>
      </c>
      <c r="P2071" s="5" t="s">
        <v>238</v>
      </c>
      <c r="Q2071" s="5" t="s">
        <v>268</v>
      </c>
      <c r="R2071" s="5" t="s">
        <v>270</v>
      </c>
      <c r="S2071" s="5" t="s">
        <v>238</v>
      </c>
      <c r="V2071" s="5" t="s">
        <v>238</v>
      </c>
      <c r="X2071" s="6" t="s">
        <v>238</v>
      </c>
      <c r="AA2071" s="6" t="s">
        <v>243</v>
      </c>
      <c r="AB2071" s="5" t="s">
        <v>238</v>
      </c>
      <c r="AC2071" s="5" t="s">
        <v>244</v>
      </c>
      <c r="AD2071" s="5" t="s">
        <v>245</v>
      </c>
      <c r="AT2071" s="5" t="s">
        <v>246</v>
      </c>
      <c r="AU2071" s="5" t="s">
        <v>238</v>
      </c>
      <c r="AV2071" s="5" t="s">
        <v>247</v>
      </c>
      <c r="AW2071" s="5" t="s">
        <v>238</v>
      </c>
      <c r="AX2071" s="5" t="s">
        <v>249</v>
      </c>
      <c r="AY2071" s="5" t="s">
        <v>238</v>
      </c>
      <c r="BA2071" s="5" t="s">
        <v>238</v>
      </c>
      <c r="BC2071" s="5" t="s">
        <v>250</v>
      </c>
      <c r="BD2071" s="6" t="s">
        <v>243</v>
      </c>
      <c r="BE2071" s="5" t="s">
        <v>251</v>
      </c>
      <c r="BF2071" s="5" t="s">
        <v>252</v>
      </c>
      <c r="BG2071" s="5" t="s">
        <v>238</v>
      </c>
      <c r="BH2071" s="7">
        <f>0</f>
        <v>0</v>
      </c>
      <c r="BI2071" s="8">
        <f>0</f>
        <v>0</v>
      </c>
      <c r="BJ2071" s="5" t="s">
        <v>253</v>
      </c>
      <c r="BK2071" s="5" t="s">
        <v>254</v>
      </c>
      <c r="BY2071" s="5" t="s">
        <v>238</v>
      </c>
      <c r="BZ2071" s="5" t="s">
        <v>238</v>
      </c>
      <c r="CD2071" s="5" t="s">
        <v>273</v>
      </c>
      <c r="CE2071" s="5" t="s">
        <v>256</v>
      </c>
      <c r="CF2071" s="5" t="s">
        <v>238</v>
      </c>
      <c r="CI2071" s="6" t="s">
        <v>257</v>
      </c>
      <c r="CJ2071" s="5" t="s">
        <v>238</v>
      </c>
      <c r="CK2071" s="5" t="s">
        <v>258</v>
      </c>
      <c r="CL2071" s="5" t="s">
        <v>238</v>
      </c>
      <c r="CM2071" s="5" t="s">
        <v>238</v>
      </c>
      <c r="CN2071" s="5">
        <v>0</v>
      </c>
      <c r="CO2071" s="5" t="s">
        <v>259</v>
      </c>
      <c r="CP2071" s="5" t="s">
        <v>260</v>
      </c>
      <c r="CQ2071" s="5" t="s">
        <v>260</v>
      </c>
      <c r="CR2071" s="5" t="s">
        <v>261</v>
      </c>
      <c r="CU2071" s="8">
        <f>1</f>
        <v>1</v>
      </c>
      <c r="CV2071" s="8">
        <f>0</f>
        <v>0</v>
      </c>
      <c r="CX2071" s="8">
        <f>0</f>
        <v>0</v>
      </c>
      <c r="CY2071" s="8">
        <f>1</f>
        <v>1</v>
      </c>
      <c r="DA2071" s="5" t="s">
        <v>274</v>
      </c>
      <c r="DB2071" s="5" t="s">
        <v>238</v>
      </c>
      <c r="DD2071" s="5" t="s">
        <v>274</v>
      </c>
      <c r="DE2071" s="8">
        <f>1826</f>
        <v>1826</v>
      </c>
      <c r="DG2071" s="5" t="s">
        <v>238</v>
      </c>
      <c r="DH2071" s="5" t="s">
        <v>238</v>
      </c>
      <c r="DI2071" s="5" t="s">
        <v>238</v>
      </c>
      <c r="DJ2071" s="5" t="s">
        <v>238</v>
      </c>
      <c r="DN2071" s="5" t="s">
        <v>238</v>
      </c>
      <c r="DO2071" s="5" t="s">
        <v>238</v>
      </c>
      <c r="DP2071" s="5" t="s">
        <v>238</v>
      </c>
      <c r="DQ2071" s="5" t="s">
        <v>238</v>
      </c>
      <c r="DT2071" s="5" t="s">
        <v>275</v>
      </c>
      <c r="DU2071" s="5" t="s">
        <v>394</v>
      </c>
      <c r="HM2071" s="5" t="s">
        <v>264</v>
      </c>
    </row>
    <row r="2072" spans="1:221" x14ac:dyDescent="0.4">
      <c r="A2072" s="5">
        <v>3776</v>
      </c>
      <c r="B2072" s="5">
        <v>1</v>
      </c>
      <c r="C2072" s="5">
        <v>1</v>
      </c>
      <c r="D2072" s="5" t="s">
        <v>269</v>
      </c>
      <c r="E2072" s="5" t="s">
        <v>271</v>
      </c>
      <c r="F2072" s="5" t="s">
        <v>248</v>
      </c>
      <c r="G2072" s="5" t="s">
        <v>266</v>
      </c>
      <c r="H2072" s="6" t="s">
        <v>397</v>
      </c>
      <c r="I2072" s="7">
        <f>69</f>
        <v>69</v>
      </c>
      <c r="J2072" s="5" t="s">
        <v>262</v>
      </c>
      <c r="K2072" s="8">
        <f>1</f>
        <v>1</v>
      </c>
      <c r="L2072" s="6" t="s">
        <v>242</v>
      </c>
      <c r="M2072" s="5" t="s">
        <v>267</v>
      </c>
      <c r="N2072" s="5" t="s">
        <v>265</v>
      </c>
      <c r="O2072" s="5" t="s">
        <v>238</v>
      </c>
      <c r="P2072" s="5" t="s">
        <v>238</v>
      </c>
      <c r="Q2072" s="5" t="s">
        <v>268</v>
      </c>
      <c r="R2072" s="5" t="s">
        <v>270</v>
      </c>
      <c r="S2072" s="5" t="s">
        <v>238</v>
      </c>
      <c r="V2072" s="5" t="s">
        <v>238</v>
      </c>
      <c r="X2072" s="6" t="s">
        <v>238</v>
      </c>
      <c r="AA2072" s="6" t="s">
        <v>243</v>
      </c>
      <c r="AB2072" s="5" t="s">
        <v>238</v>
      </c>
      <c r="AC2072" s="5" t="s">
        <v>244</v>
      </c>
      <c r="AD2072" s="5" t="s">
        <v>245</v>
      </c>
      <c r="AT2072" s="5" t="s">
        <v>246</v>
      </c>
      <c r="AU2072" s="5" t="s">
        <v>238</v>
      </c>
      <c r="AV2072" s="5" t="s">
        <v>247</v>
      </c>
      <c r="AW2072" s="5" t="s">
        <v>238</v>
      </c>
      <c r="AX2072" s="5" t="s">
        <v>249</v>
      </c>
      <c r="AY2072" s="5" t="s">
        <v>238</v>
      </c>
      <c r="BA2072" s="5" t="s">
        <v>238</v>
      </c>
      <c r="BC2072" s="5" t="s">
        <v>250</v>
      </c>
      <c r="BD2072" s="6" t="s">
        <v>243</v>
      </c>
      <c r="BE2072" s="5" t="s">
        <v>251</v>
      </c>
      <c r="BF2072" s="5" t="s">
        <v>252</v>
      </c>
      <c r="BG2072" s="5" t="s">
        <v>238</v>
      </c>
      <c r="BH2072" s="7">
        <f>0</f>
        <v>0</v>
      </c>
      <c r="BI2072" s="8">
        <f>0</f>
        <v>0</v>
      </c>
      <c r="BJ2072" s="5" t="s">
        <v>253</v>
      </c>
      <c r="BK2072" s="5" t="s">
        <v>254</v>
      </c>
      <c r="BY2072" s="5" t="s">
        <v>238</v>
      </c>
      <c r="BZ2072" s="5" t="s">
        <v>238</v>
      </c>
      <c r="CD2072" s="5" t="s">
        <v>273</v>
      </c>
      <c r="CE2072" s="5" t="s">
        <v>256</v>
      </c>
      <c r="CF2072" s="5" t="s">
        <v>238</v>
      </c>
      <c r="CI2072" s="6" t="s">
        <v>257</v>
      </c>
      <c r="CJ2072" s="5" t="s">
        <v>238</v>
      </c>
      <c r="CK2072" s="5" t="s">
        <v>258</v>
      </c>
      <c r="CL2072" s="5" t="s">
        <v>238</v>
      </c>
      <c r="CM2072" s="5" t="s">
        <v>238</v>
      </c>
      <c r="CN2072" s="5">
        <v>0</v>
      </c>
      <c r="CO2072" s="5" t="s">
        <v>259</v>
      </c>
      <c r="CP2072" s="5" t="s">
        <v>260</v>
      </c>
      <c r="CQ2072" s="5" t="s">
        <v>260</v>
      </c>
      <c r="CR2072" s="5" t="s">
        <v>261</v>
      </c>
      <c r="CU2072" s="8">
        <f>1</f>
        <v>1</v>
      </c>
      <c r="CV2072" s="8">
        <f>0</f>
        <v>0</v>
      </c>
      <c r="CX2072" s="8">
        <f>0</f>
        <v>0</v>
      </c>
      <c r="CY2072" s="8">
        <f>1</f>
        <v>1</v>
      </c>
      <c r="DA2072" s="5" t="s">
        <v>274</v>
      </c>
      <c r="DB2072" s="5" t="s">
        <v>238</v>
      </c>
      <c r="DD2072" s="5" t="s">
        <v>274</v>
      </c>
      <c r="DE2072" s="8">
        <f>69</f>
        <v>69</v>
      </c>
      <c r="DG2072" s="5" t="s">
        <v>238</v>
      </c>
      <c r="DH2072" s="5" t="s">
        <v>238</v>
      </c>
      <c r="DI2072" s="5" t="s">
        <v>238</v>
      </c>
      <c r="DJ2072" s="5" t="s">
        <v>238</v>
      </c>
      <c r="DN2072" s="5" t="s">
        <v>238</v>
      </c>
      <c r="DO2072" s="5" t="s">
        <v>238</v>
      </c>
      <c r="DP2072" s="5" t="s">
        <v>238</v>
      </c>
      <c r="DQ2072" s="5" t="s">
        <v>238</v>
      </c>
      <c r="DT2072" s="5" t="s">
        <v>275</v>
      </c>
      <c r="DU2072" s="5" t="s">
        <v>398</v>
      </c>
      <c r="HM2072" s="5" t="s">
        <v>264</v>
      </c>
    </row>
    <row r="2073" spans="1:221" x14ac:dyDescent="0.4">
      <c r="A2073" s="5">
        <v>3777</v>
      </c>
      <c r="B2073" s="5">
        <v>1</v>
      </c>
      <c r="C2073" s="5">
        <v>1</v>
      </c>
      <c r="D2073" s="5" t="s">
        <v>269</v>
      </c>
      <c r="E2073" s="5" t="s">
        <v>271</v>
      </c>
      <c r="F2073" s="5" t="s">
        <v>248</v>
      </c>
      <c r="G2073" s="5" t="s">
        <v>266</v>
      </c>
      <c r="H2073" s="6" t="s">
        <v>401</v>
      </c>
      <c r="I2073" s="7">
        <f>922</f>
        <v>922</v>
      </c>
      <c r="J2073" s="5" t="s">
        <v>262</v>
      </c>
      <c r="K2073" s="8">
        <f>1</f>
        <v>1</v>
      </c>
      <c r="L2073" s="6" t="s">
        <v>242</v>
      </c>
      <c r="M2073" s="5" t="s">
        <v>267</v>
      </c>
      <c r="N2073" s="5" t="s">
        <v>265</v>
      </c>
      <c r="O2073" s="5" t="s">
        <v>238</v>
      </c>
      <c r="P2073" s="5" t="s">
        <v>238</v>
      </c>
      <c r="Q2073" s="5" t="s">
        <v>268</v>
      </c>
      <c r="R2073" s="5" t="s">
        <v>270</v>
      </c>
      <c r="S2073" s="5" t="s">
        <v>238</v>
      </c>
      <c r="V2073" s="5" t="s">
        <v>238</v>
      </c>
      <c r="X2073" s="6" t="s">
        <v>238</v>
      </c>
      <c r="AA2073" s="6" t="s">
        <v>243</v>
      </c>
      <c r="AB2073" s="5" t="s">
        <v>238</v>
      </c>
      <c r="AC2073" s="5" t="s">
        <v>244</v>
      </c>
      <c r="AD2073" s="5" t="s">
        <v>245</v>
      </c>
      <c r="AT2073" s="5" t="s">
        <v>246</v>
      </c>
      <c r="AU2073" s="5" t="s">
        <v>238</v>
      </c>
      <c r="AV2073" s="5" t="s">
        <v>247</v>
      </c>
      <c r="AW2073" s="5" t="s">
        <v>238</v>
      </c>
      <c r="AX2073" s="5" t="s">
        <v>249</v>
      </c>
      <c r="AY2073" s="5" t="s">
        <v>238</v>
      </c>
      <c r="BA2073" s="5" t="s">
        <v>238</v>
      </c>
      <c r="BC2073" s="5" t="s">
        <v>250</v>
      </c>
      <c r="BD2073" s="6" t="s">
        <v>243</v>
      </c>
      <c r="BE2073" s="5" t="s">
        <v>251</v>
      </c>
      <c r="BF2073" s="5" t="s">
        <v>252</v>
      </c>
      <c r="BG2073" s="5" t="s">
        <v>238</v>
      </c>
      <c r="BH2073" s="7">
        <f>0</f>
        <v>0</v>
      </c>
      <c r="BI2073" s="8">
        <f>0</f>
        <v>0</v>
      </c>
      <c r="BJ2073" s="5" t="s">
        <v>253</v>
      </c>
      <c r="BK2073" s="5" t="s">
        <v>254</v>
      </c>
      <c r="BY2073" s="5" t="s">
        <v>238</v>
      </c>
      <c r="BZ2073" s="5" t="s">
        <v>238</v>
      </c>
      <c r="CD2073" s="5" t="s">
        <v>273</v>
      </c>
      <c r="CE2073" s="5" t="s">
        <v>256</v>
      </c>
      <c r="CF2073" s="5" t="s">
        <v>238</v>
      </c>
      <c r="CI2073" s="6" t="s">
        <v>257</v>
      </c>
      <c r="CJ2073" s="5" t="s">
        <v>238</v>
      </c>
      <c r="CK2073" s="5" t="s">
        <v>258</v>
      </c>
      <c r="CL2073" s="5" t="s">
        <v>238</v>
      </c>
      <c r="CM2073" s="5" t="s">
        <v>238</v>
      </c>
      <c r="CN2073" s="5">
        <v>0</v>
      </c>
      <c r="CO2073" s="5" t="s">
        <v>259</v>
      </c>
      <c r="CP2073" s="5" t="s">
        <v>260</v>
      </c>
      <c r="CQ2073" s="5" t="s">
        <v>260</v>
      </c>
      <c r="CR2073" s="5" t="s">
        <v>261</v>
      </c>
      <c r="CU2073" s="8">
        <f>1</f>
        <v>1</v>
      </c>
      <c r="CV2073" s="8">
        <f>0</f>
        <v>0</v>
      </c>
      <c r="CX2073" s="8">
        <f>0</f>
        <v>0</v>
      </c>
      <c r="CY2073" s="8">
        <f>1</f>
        <v>1</v>
      </c>
      <c r="DA2073" s="5" t="s">
        <v>274</v>
      </c>
      <c r="DB2073" s="5" t="s">
        <v>238</v>
      </c>
      <c r="DD2073" s="5" t="s">
        <v>274</v>
      </c>
      <c r="DE2073" s="8">
        <f>922</f>
        <v>922</v>
      </c>
      <c r="DG2073" s="5" t="s">
        <v>238</v>
      </c>
      <c r="DH2073" s="5" t="s">
        <v>238</v>
      </c>
      <c r="DI2073" s="5" t="s">
        <v>238</v>
      </c>
      <c r="DJ2073" s="5" t="s">
        <v>238</v>
      </c>
      <c r="DN2073" s="5" t="s">
        <v>238</v>
      </c>
      <c r="DO2073" s="5" t="s">
        <v>238</v>
      </c>
      <c r="DP2073" s="5" t="s">
        <v>238</v>
      </c>
      <c r="DQ2073" s="5" t="s">
        <v>238</v>
      </c>
      <c r="DT2073" s="5" t="s">
        <v>275</v>
      </c>
      <c r="DU2073" s="5" t="s">
        <v>402</v>
      </c>
      <c r="HM2073" s="5" t="s">
        <v>264</v>
      </c>
    </row>
    <row r="2074" spans="1:221" x14ac:dyDescent="0.4">
      <c r="A2074" s="5">
        <v>3778</v>
      </c>
      <c r="B2074" s="5">
        <v>1</v>
      </c>
      <c r="C2074" s="5">
        <v>1</v>
      </c>
      <c r="D2074" s="5" t="s">
        <v>269</v>
      </c>
      <c r="E2074" s="5" t="s">
        <v>271</v>
      </c>
      <c r="F2074" s="5" t="s">
        <v>248</v>
      </c>
      <c r="G2074" s="5" t="s">
        <v>266</v>
      </c>
      <c r="H2074" s="6" t="s">
        <v>405</v>
      </c>
      <c r="I2074" s="7">
        <f>1401</f>
        <v>1401</v>
      </c>
      <c r="J2074" s="5" t="s">
        <v>262</v>
      </c>
      <c r="K2074" s="8">
        <f>1</f>
        <v>1</v>
      </c>
      <c r="L2074" s="6" t="s">
        <v>242</v>
      </c>
      <c r="M2074" s="5" t="s">
        <v>267</v>
      </c>
      <c r="N2074" s="5" t="s">
        <v>265</v>
      </c>
      <c r="O2074" s="5" t="s">
        <v>238</v>
      </c>
      <c r="P2074" s="5" t="s">
        <v>238</v>
      </c>
      <c r="Q2074" s="5" t="s">
        <v>268</v>
      </c>
      <c r="R2074" s="5" t="s">
        <v>270</v>
      </c>
      <c r="S2074" s="5" t="s">
        <v>238</v>
      </c>
      <c r="V2074" s="5" t="s">
        <v>238</v>
      </c>
      <c r="X2074" s="6" t="s">
        <v>238</v>
      </c>
      <c r="AA2074" s="6" t="s">
        <v>243</v>
      </c>
      <c r="AB2074" s="5" t="s">
        <v>238</v>
      </c>
      <c r="AC2074" s="5" t="s">
        <v>244</v>
      </c>
      <c r="AD2074" s="5" t="s">
        <v>245</v>
      </c>
      <c r="AT2074" s="5" t="s">
        <v>246</v>
      </c>
      <c r="AU2074" s="5" t="s">
        <v>238</v>
      </c>
      <c r="AV2074" s="5" t="s">
        <v>247</v>
      </c>
      <c r="AW2074" s="5" t="s">
        <v>238</v>
      </c>
      <c r="AX2074" s="5" t="s">
        <v>249</v>
      </c>
      <c r="AY2074" s="5" t="s">
        <v>238</v>
      </c>
      <c r="BA2074" s="5" t="s">
        <v>238</v>
      </c>
      <c r="BC2074" s="5" t="s">
        <v>250</v>
      </c>
      <c r="BD2074" s="6" t="s">
        <v>243</v>
      </c>
      <c r="BE2074" s="5" t="s">
        <v>251</v>
      </c>
      <c r="BF2074" s="5" t="s">
        <v>252</v>
      </c>
      <c r="BG2074" s="5" t="s">
        <v>238</v>
      </c>
      <c r="BH2074" s="7">
        <f>0</f>
        <v>0</v>
      </c>
      <c r="BI2074" s="8">
        <f>0</f>
        <v>0</v>
      </c>
      <c r="BJ2074" s="5" t="s">
        <v>253</v>
      </c>
      <c r="BK2074" s="5" t="s">
        <v>254</v>
      </c>
      <c r="BY2074" s="5" t="s">
        <v>238</v>
      </c>
      <c r="BZ2074" s="5" t="s">
        <v>238</v>
      </c>
      <c r="CD2074" s="5" t="s">
        <v>273</v>
      </c>
      <c r="CE2074" s="5" t="s">
        <v>256</v>
      </c>
      <c r="CF2074" s="5" t="s">
        <v>238</v>
      </c>
      <c r="CI2074" s="6" t="s">
        <v>257</v>
      </c>
      <c r="CJ2074" s="5" t="s">
        <v>238</v>
      </c>
      <c r="CK2074" s="5" t="s">
        <v>258</v>
      </c>
      <c r="CL2074" s="5" t="s">
        <v>238</v>
      </c>
      <c r="CM2074" s="5" t="s">
        <v>238</v>
      </c>
      <c r="CN2074" s="5">
        <v>0</v>
      </c>
      <c r="CO2074" s="5" t="s">
        <v>259</v>
      </c>
      <c r="CP2074" s="5" t="s">
        <v>260</v>
      </c>
      <c r="CQ2074" s="5" t="s">
        <v>260</v>
      </c>
      <c r="CR2074" s="5" t="s">
        <v>261</v>
      </c>
      <c r="CU2074" s="8">
        <f>1</f>
        <v>1</v>
      </c>
      <c r="CV2074" s="8">
        <f>0</f>
        <v>0</v>
      </c>
      <c r="CX2074" s="8">
        <f>0</f>
        <v>0</v>
      </c>
      <c r="CY2074" s="8">
        <f>1</f>
        <v>1</v>
      </c>
      <c r="DA2074" s="5" t="s">
        <v>274</v>
      </c>
      <c r="DB2074" s="5" t="s">
        <v>238</v>
      </c>
      <c r="DD2074" s="5" t="s">
        <v>274</v>
      </c>
      <c r="DE2074" s="8">
        <f>1401</f>
        <v>1401</v>
      </c>
      <c r="DG2074" s="5" t="s">
        <v>238</v>
      </c>
      <c r="DH2074" s="5" t="s">
        <v>238</v>
      </c>
      <c r="DI2074" s="5" t="s">
        <v>238</v>
      </c>
      <c r="DJ2074" s="5" t="s">
        <v>238</v>
      </c>
      <c r="DN2074" s="5" t="s">
        <v>238</v>
      </c>
      <c r="DO2074" s="5" t="s">
        <v>238</v>
      </c>
      <c r="DP2074" s="5" t="s">
        <v>238</v>
      </c>
      <c r="DQ2074" s="5" t="s">
        <v>238</v>
      </c>
      <c r="DT2074" s="5" t="s">
        <v>275</v>
      </c>
      <c r="DU2074" s="5" t="s">
        <v>406</v>
      </c>
      <c r="HM2074" s="5" t="s">
        <v>264</v>
      </c>
    </row>
    <row r="2075" spans="1:221" x14ac:dyDescent="0.4">
      <c r="A2075" s="5">
        <v>3779</v>
      </c>
      <c r="B2075" s="5">
        <v>1</v>
      </c>
      <c r="C2075" s="5">
        <v>1</v>
      </c>
      <c r="D2075" s="5" t="s">
        <v>269</v>
      </c>
      <c r="E2075" s="5" t="s">
        <v>271</v>
      </c>
      <c r="F2075" s="5" t="s">
        <v>248</v>
      </c>
      <c r="G2075" s="5" t="s">
        <v>266</v>
      </c>
      <c r="H2075" s="6" t="s">
        <v>407</v>
      </c>
      <c r="I2075" s="7">
        <f>526</f>
        <v>526</v>
      </c>
      <c r="J2075" s="5" t="s">
        <v>262</v>
      </c>
      <c r="K2075" s="8">
        <f>1</f>
        <v>1</v>
      </c>
      <c r="L2075" s="6" t="s">
        <v>242</v>
      </c>
      <c r="M2075" s="5" t="s">
        <v>267</v>
      </c>
      <c r="N2075" s="5" t="s">
        <v>265</v>
      </c>
      <c r="O2075" s="5" t="s">
        <v>238</v>
      </c>
      <c r="P2075" s="5" t="s">
        <v>238</v>
      </c>
      <c r="Q2075" s="5" t="s">
        <v>268</v>
      </c>
      <c r="R2075" s="5" t="s">
        <v>270</v>
      </c>
      <c r="S2075" s="5" t="s">
        <v>238</v>
      </c>
      <c r="V2075" s="5" t="s">
        <v>238</v>
      </c>
      <c r="X2075" s="6" t="s">
        <v>238</v>
      </c>
      <c r="AA2075" s="6" t="s">
        <v>243</v>
      </c>
      <c r="AB2075" s="5" t="s">
        <v>238</v>
      </c>
      <c r="AC2075" s="5" t="s">
        <v>244</v>
      </c>
      <c r="AD2075" s="5" t="s">
        <v>245</v>
      </c>
      <c r="AT2075" s="5" t="s">
        <v>246</v>
      </c>
      <c r="AU2075" s="5" t="s">
        <v>238</v>
      </c>
      <c r="AV2075" s="5" t="s">
        <v>247</v>
      </c>
      <c r="AW2075" s="5" t="s">
        <v>238</v>
      </c>
      <c r="AX2075" s="5" t="s">
        <v>249</v>
      </c>
      <c r="AY2075" s="5" t="s">
        <v>238</v>
      </c>
      <c r="BA2075" s="5" t="s">
        <v>238</v>
      </c>
      <c r="BC2075" s="5" t="s">
        <v>250</v>
      </c>
      <c r="BD2075" s="6" t="s">
        <v>243</v>
      </c>
      <c r="BE2075" s="5" t="s">
        <v>251</v>
      </c>
      <c r="BF2075" s="5" t="s">
        <v>252</v>
      </c>
      <c r="BG2075" s="5" t="s">
        <v>238</v>
      </c>
      <c r="BH2075" s="7">
        <f>0</f>
        <v>0</v>
      </c>
      <c r="BI2075" s="8">
        <f>0</f>
        <v>0</v>
      </c>
      <c r="BJ2075" s="5" t="s">
        <v>253</v>
      </c>
      <c r="BK2075" s="5" t="s">
        <v>254</v>
      </c>
      <c r="BY2075" s="5" t="s">
        <v>238</v>
      </c>
      <c r="BZ2075" s="5" t="s">
        <v>238</v>
      </c>
      <c r="CD2075" s="5" t="s">
        <v>273</v>
      </c>
      <c r="CE2075" s="5" t="s">
        <v>256</v>
      </c>
      <c r="CF2075" s="5" t="s">
        <v>238</v>
      </c>
      <c r="CI2075" s="6" t="s">
        <v>257</v>
      </c>
      <c r="CJ2075" s="5" t="s">
        <v>238</v>
      </c>
      <c r="CK2075" s="5" t="s">
        <v>258</v>
      </c>
      <c r="CL2075" s="5" t="s">
        <v>238</v>
      </c>
      <c r="CM2075" s="5" t="s">
        <v>238</v>
      </c>
      <c r="CN2075" s="5">
        <v>0</v>
      </c>
      <c r="CO2075" s="5" t="s">
        <v>259</v>
      </c>
      <c r="CP2075" s="5" t="s">
        <v>260</v>
      </c>
      <c r="CQ2075" s="5" t="s">
        <v>260</v>
      </c>
      <c r="CR2075" s="5" t="s">
        <v>261</v>
      </c>
      <c r="CU2075" s="8">
        <f>1</f>
        <v>1</v>
      </c>
      <c r="CV2075" s="8">
        <f>0</f>
        <v>0</v>
      </c>
      <c r="CX2075" s="8">
        <f>0</f>
        <v>0</v>
      </c>
      <c r="CY2075" s="8">
        <f>1</f>
        <v>1</v>
      </c>
      <c r="DA2075" s="5" t="s">
        <v>274</v>
      </c>
      <c r="DB2075" s="5" t="s">
        <v>238</v>
      </c>
      <c r="DD2075" s="5" t="s">
        <v>274</v>
      </c>
      <c r="DE2075" s="8">
        <f>526</f>
        <v>526</v>
      </c>
      <c r="DG2075" s="5" t="s">
        <v>238</v>
      </c>
      <c r="DH2075" s="5" t="s">
        <v>238</v>
      </c>
      <c r="DI2075" s="5" t="s">
        <v>238</v>
      </c>
      <c r="DJ2075" s="5" t="s">
        <v>238</v>
      </c>
      <c r="DN2075" s="5" t="s">
        <v>238</v>
      </c>
      <c r="DO2075" s="5" t="s">
        <v>238</v>
      </c>
      <c r="DP2075" s="5" t="s">
        <v>238</v>
      </c>
      <c r="DQ2075" s="5" t="s">
        <v>238</v>
      </c>
      <c r="DT2075" s="5" t="s">
        <v>275</v>
      </c>
      <c r="DU2075" s="5" t="s">
        <v>408</v>
      </c>
      <c r="HM2075" s="5" t="s">
        <v>264</v>
      </c>
    </row>
    <row r="2076" spans="1:221" x14ac:dyDescent="0.4">
      <c r="A2076" s="5">
        <v>3780</v>
      </c>
      <c r="B2076" s="5">
        <v>1</v>
      </c>
      <c r="C2076" s="5">
        <v>1</v>
      </c>
      <c r="D2076" s="5" t="s">
        <v>269</v>
      </c>
      <c r="E2076" s="5" t="s">
        <v>271</v>
      </c>
      <c r="F2076" s="5" t="s">
        <v>248</v>
      </c>
      <c r="G2076" s="5" t="s">
        <v>266</v>
      </c>
      <c r="H2076" s="6" t="s">
        <v>409</v>
      </c>
      <c r="I2076" s="7">
        <f>545</f>
        <v>545</v>
      </c>
      <c r="J2076" s="5" t="s">
        <v>262</v>
      </c>
      <c r="K2076" s="8">
        <f>1</f>
        <v>1</v>
      </c>
      <c r="L2076" s="6" t="s">
        <v>242</v>
      </c>
      <c r="M2076" s="5" t="s">
        <v>267</v>
      </c>
      <c r="N2076" s="5" t="s">
        <v>265</v>
      </c>
      <c r="O2076" s="5" t="s">
        <v>238</v>
      </c>
      <c r="P2076" s="5" t="s">
        <v>238</v>
      </c>
      <c r="Q2076" s="5" t="s">
        <v>268</v>
      </c>
      <c r="R2076" s="5" t="s">
        <v>270</v>
      </c>
      <c r="S2076" s="5" t="s">
        <v>238</v>
      </c>
      <c r="V2076" s="5" t="s">
        <v>238</v>
      </c>
      <c r="X2076" s="6" t="s">
        <v>238</v>
      </c>
      <c r="AA2076" s="6" t="s">
        <v>243</v>
      </c>
      <c r="AB2076" s="5" t="s">
        <v>238</v>
      </c>
      <c r="AC2076" s="5" t="s">
        <v>244</v>
      </c>
      <c r="AD2076" s="5" t="s">
        <v>245</v>
      </c>
      <c r="AT2076" s="5" t="s">
        <v>246</v>
      </c>
      <c r="AU2076" s="5" t="s">
        <v>238</v>
      </c>
      <c r="AV2076" s="5" t="s">
        <v>247</v>
      </c>
      <c r="AW2076" s="5" t="s">
        <v>238</v>
      </c>
      <c r="AX2076" s="5" t="s">
        <v>249</v>
      </c>
      <c r="AY2076" s="5" t="s">
        <v>238</v>
      </c>
      <c r="BA2076" s="5" t="s">
        <v>238</v>
      </c>
      <c r="BC2076" s="5" t="s">
        <v>250</v>
      </c>
      <c r="BD2076" s="6" t="s">
        <v>243</v>
      </c>
      <c r="BE2076" s="5" t="s">
        <v>251</v>
      </c>
      <c r="BF2076" s="5" t="s">
        <v>252</v>
      </c>
      <c r="BG2076" s="5" t="s">
        <v>238</v>
      </c>
      <c r="BH2076" s="7">
        <f>0</f>
        <v>0</v>
      </c>
      <c r="BI2076" s="8">
        <f>0</f>
        <v>0</v>
      </c>
      <c r="BJ2076" s="5" t="s">
        <v>253</v>
      </c>
      <c r="BK2076" s="5" t="s">
        <v>254</v>
      </c>
      <c r="BY2076" s="5" t="s">
        <v>238</v>
      </c>
      <c r="BZ2076" s="5" t="s">
        <v>238</v>
      </c>
      <c r="CD2076" s="5" t="s">
        <v>273</v>
      </c>
      <c r="CE2076" s="5" t="s">
        <v>256</v>
      </c>
      <c r="CF2076" s="5" t="s">
        <v>238</v>
      </c>
      <c r="CI2076" s="6" t="s">
        <v>257</v>
      </c>
      <c r="CJ2076" s="5" t="s">
        <v>238</v>
      </c>
      <c r="CK2076" s="5" t="s">
        <v>258</v>
      </c>
      <c r="CL2076" s="5" t="s">
        <v>238</v>
      </c>
      <c r="CM2076" s="5" t="s">
        <v>238</v>
      </c>
      <c r="CN2076" s="5">
        <v>0</v>
      </c>
      <c r="CO2076" s="5" t="s">
        <v>259</v>
      </c>
      <c r="CP2076" s="5" t="s">
        <v>260</v>
      </c>
      <c r="CQ2076" s="5" t="s">
        <v>260</v>
      </c>
      <c r="CR2076" s="5" t="s">
        <v>261</v>
      </c>
      <c r="CU2076" s="8">
        <f>1</f>
        <v>1</v>
      </c>
      <c r="CV2076" s="8">
        <f>0</f>
        <v>0</v>
      </c>
      <c r="CX2076" s="8">
        <f>0</f>
        <v>0</v>
      </c>
      <c r="CY2076" s="8">
        <f>1</f>
        <v>1</v>
      </c>
      <c r="DA2076" s="5" t="s">
        <v>274</v>
      </c>
      <c r="DB2076" s="5" t="s">
        <v>238</v>
      </c>
      <c r="DD2076" s="5" t="s">
        <v>274</v>
      </c>
      <c r="DE2076" s="8">
        <f>545</f>
        <v>545</v>
      </c>
      <c r="DG2076" s="5" t="s">
        <v>238</v>
      </c>
      <c r="DH2076" s="5" t="s">
        <v>238</v>
      </c>
      <c r="DI2076" s="5" t="s">
        <v>238</v>
      </c>
      <c r="DJ2076" s="5" t="s">
        <v>238</v>
      </c>
      <c r="DN2076" s="5" t="s">
        <v>238</v>
      </c>
      <c r="DO2076" s="5" t="s">
        <v>238</v>
      </c>
      <c r="DP2076" s="5" t="s">
        <v>238</v>
      </c>
      <c r="DQ2076" s="5" t="s">
        <v>238</v>
      </c>
      <c r="DT2076" s="5" t="s">
        <v>275</v>
      </c>
      <c r="DU2076" s="5" t="s">
        <v>410</v>
      </c>
      <c r="HM2076" s="5" t="s">
        <v>264</v>
      </c>
    </row>
    <row r="2077" spans="1:221" x14ac:dyDescent="0.4">
      <c r="A2077" s="5">
        <v>3781</v>
      </c>
      <c r="B2077" s="5">
        <v>1</v>
      </c>
      <c r="C2077" s="5">
        <v>1</v>
      </c>
      <c r="D2077" s="5" t="s">
        <v>269</v>
      </c>
      <c r="E2077" s="5" t="s">
        <v>271</v>
      </c>
      <c r="F2077" s="5" t="s">
        <v>248</v>
      </c>
      <c r="G2077" s="5" t="s">
        <v>266</v>
      </c>
      <c r="H2077" s="6" t="s">
        <v>413</v>
      </c>
      <c r="I2077" s="7">
        <f>1486</f>
        <v>1486</v>
      </c>
      <c r="J2077" s="5" t="s">
        <v>262</v>
      </c>
      <c r="K2077" s="8">
        <f>1</f>
        <v>1</v>
      </c>
      <c r="L2077" s="6" t="s">
        <v>242</v>
      </c>
      <c r="M2077" s="5" t="s">
        <v>267</v>
      </c>
      <c r="N2077" s="5" t="s">
        <v>265</v>
      </c>
      <c r="O2077" s="5" t="s">
        <v>238</v>
      </c>
      <c r="P2077" s="5" t="s">
        <v>238</v>
      </c>
      <c r="Q2077" s="5" t="s">
        <v>268</v>
      </c>
      <c r="R2077" s="5" t="s">
        <v>270</v>
      </c>
      <c r="S2077" s="5" t="s">
        <v>238</v>
      </c>
      <c r="V2077" s="5" t="s">
        <v>238</v>
      </c>
      <c r="X2077" s="6" t="s">
        <v>238</v>
      </c>
      <c r="AA2077" s="6" t="s">
        <v>243</v>
      </c>
      <c r="AB2077" s="5" t="s">
        <v>238</v>
      </c>
      <c r="AC2077" s="5" t="s">
        <v>244</v>
      </c>
      <c r="AD2077" s="5" t="s">
        <v>245</v>
      </c>
      <c r="AT2077" s="5" t="s">
        <v>246</v>
      </c>
      <c r="AU2077" s="5" t="s">
        <v>238</v>
      </c>
      <c r="AV2077" s="5" t="s">
        <v>247</v>
      </c>
      <c r="AW2077" s="5" t="s">
        <v>238</v>
      </c>
      <c r="AX2077" s="5" t="s">
        <v>249</v>
      </c>
      <c r="AY2077" s="5" t="s">
        <v>238</v>
      </c>
      <c r="BA2077" s="5" t="s">
        <v>238</v>
      </c>
      <c r="BC2077" s="5" t="s">
        <v>250</v>
      </c>
      <c r="BD2077" s="6" t="s">
        <v>243</v>
      </c>
      <c r="BE2077" s="5" t="s">
        <v>251</v>
      </c>
      <c r="BF2077" s="5" t="s">
        <v>252</v>
      </c>
      <c r="BG2077" s="5" t="s">
        <v>238</v>
      </c>
      <c r="BH2077" s="7">
        <f>0</f>
        <v>0</v>
      </c>
      <c r="BI2077" s="8">
        <f>0</f>
        <v>0</v>
      </c>
      <c r="BJ2077" s="5" t="s">
        <v>253</v>
      </c>
      <c r="BK2077" s="5" t="s">
        <v>254</v>
      </c>
      <c r="BY2077" s="5" t="s">
        <v>238</v>
      </c>
      <c r="BZ2077" s="5" t="s">
        <v>238</v>
      </c>
      <c r="CD2077" s="5" t="s">
        <v>273</v>
      </c>
      <c r="CE2077" s="5" t="s">
        <v>256</v>
      </c>
      <c r="CF2077" s="5" t="s">
        <v>238</v>
      </c>
      <c r="CI2077" s="6" t="s">
        <v>257</v>
      </c>
      <c r="CJ2077" s="5" t="s">
        <v>238</v>
      </c>
      <c r="CK2077" s="5" t="s">
        <v>258</v>
      </c>
      <c r="CL2077" s="5" t="s">
        <v>238</v>
      </c>
      <c r="CM2077" s="5" t="s">
        <v>238</v>
      </c>
      <c r="CN2077" s="5">
        <v>0</v>
      </c>
      <c r="CO2077" s="5" t="s">
        <v>259</v>
      </c>
      <c r="CP2077" s="5" t="s">
        <v>260</v>
      </c>
      <c r="CQ2077" s="5" t="s">
        <v>260</v>
      </c>
      <c r="CR2077" s="5" t="s">
        <v>261</v>
      </c>
      <c r="CU2077" s="8">
        <f>1</f>
        <v>1</v>
      </c>
      <c r="CV2077" s="8">
        <f>0</f>
        <v>0</v>
      </c>
      <c r="CX2077" s="8">
        <f>0</f>
        <v>0</v>
      </c>
      <c r="CY2077" s="8">
        <f>1</f>
        <v>1</v>
      </c>
      <c r="DA2077" s="5" t="s">
        <v>274</v>
      </c>
      <c r="DB2077" s="5" t="s">
        <v>238</v>
      </c>
      <c r="DD2077" s="5" t="s">
        <v>274</v>
      </c>
      <c r="DE2077" s="8">
        <f>1486</f>
        <v>1486</v>
      </c>
      <c r="DG2077" s="5" t="s">
        <v>238</v>
      </c>
      <c r="DH2077" s="5" t="s">
        <v>238</v>
      </c>
      <c r="DI2077" s="5" t="s">
        <v>238</v>
      </c>
      <c r="DJ2077" s="5" t="s">
        <v>238</v>
      </c>
      <c r="DN2077" s="5" t="s">
        <v>238</v>
      </c>
      <c r="DO2077" s="5" t="s">
        <v>238</v>
      </c>
      <c r="DP2077" s="5" t="s">
        <v>238</v>
      </c>
      <c r="DQ2077" s="5" t="s">
        <v>238</v>
      </c>
      <c r="DT2077" s="5" t="s">
        <v>275</v>
      </c>
      <c r="DU2077" s="5" t="s">
        <v>414</v>
      </c>
      <c r="HM2077" s="5" t="s">
        <v>264</v>
      </c>
    </row>
    <row r="2078" spans="1:221" x14ac:dyDescent="0.4">
      <c r="A2078" s="5">
        <v>3782</v>
      </c>
      <c r="B2078" s="5">
        <v>1</v>
      </c>
      <c r="C2078" s="5">
        <v>1</v>
      </c>
      <c r="D2078" s="5" t="s">
        <v>269</v>
      </c>
      <c r="E2078" s="5" t="s">
        <v>271</v>
      </c>
      <c r="F2078" s="5" t="s">
        <v>248</v>
      </c>
      <c r="G2078" s="5" t="s">
        <v>266</v>
      </c>
      <c r="H2078" s="6" t="s">
        <v>417</v>
      </c>
      <c r="I2078" s="7">
        <f>698</f>
        <v>698</v>
      </c>
      <c r="J2078" s="5" t="s">
        <v>262</v>
      </c>
      <c r="K2078" s="8">
        <f>1</f>
        <v>1</v>
      </c>
      <c r="L2078" s="6" t="s">
        <v>242</v>
      </c>
      <c r="M2078" s="5" t="s">
        <v>267</v>
      </c>
      <c r="N2078" s="5" t="s">
        <v>265</v>
      </c>
      <c r="O2078" s="5" t="s">
        <v>238</v>
      </c>
      <c r="P2078" s="5" t="s">
        <v>238</v>
      </c>
      <c r="Q2078" s="5" t="s">
        <v>268</v>
      </c>
      <c r="R2078" s="5" t="s">
        <v>270</v>
      </c>
      <c r="S2078" s="5" t="s">
        <v>238</v>
      </c>
      <c r="V2078" s="5" t="s">
        <v>238</v>
      </c>
      <c r="X2078" s="6" t="s">
        <v>238</v>
      </c>
      <c r="AA2078" s="6" t="s">
        <v>243</v>
      </c>
      <c r="AB2078" s="5" t="s">
        <v>238</v>
      </c>
      <c r="AC2078" s="5" t="s">
        <v>244</v>
      </c>
      <c r="AD2078" s="5" t="s">
        <v>245</v>
      </c>
      <c r="AT2078" s="5" t="s">
        <v>246</v>
      </c>
      <c r="AU2078" s="5" t="s">
        <v>238</v>
      </c>
      <c r="AV2078" s="5" t="s">
        <v>247</v>
      </c>
      <c r="AW2078" s="5" t="s">
        <v>238</v>
      </c>
      <c r="AX2078" s="5" t="s">
        <v>249</v>
      </c>
      <c r="AY2078" s="5" t="s">
        <v>238</v>
      </c>
      <c r="BA2078" s="5" t="s">
        <v>238</v>
      </c>
      <c r="BC2078" s="5" t="s">
        <v>250</v>
      </c>
      <c r="BD2078" s="6" t="s">
        <v>243</v>
      </c>
      <c r="BE2078" s="5" t="s">
        <v>251</v>
      </c>
      <c r="BF2078" s="5" t="s">
        <v>252</v>
      </c>
      <c r="BG2078" s="5" t="s">
        <v>238</v>
      </c>
      <c r="BH2078" s="7">
        <f>0</f>
        <v>0</v>
      </c>
      <c r="BI2078" s="8">
        <f>0</f>
        <v>0</v>
      </c>
      <c r="BJ2078" s="5" t="s">
        <v>253</v>
      </c>
      <c r="BK2078" s="5" t="s">
        <v>254</v>
      </c>
      <c r="BY2078" s="5" t="s">
        <v>238</v>
      </c>
      <c r="BZ2078" s="5" t="s">
        <v>238</v>
      </c>
      <c r="CD2078" s="5" t="s">
        <v>273</v>
      </c>
      <c r="CE2078" s="5" t="s">
        <v>256</v>
      </c>
      <c r="CF2078" s="5" t="s">
        <v>238</v>
      </c>
      <c r="CI2078" s="6" t="s">
        <v>257</v>
      </c>
      <c r="CJ2078" s="5" t="s">
        <v>238</v>
      </c>
      <c r="CK2078" s="5" t="s">
        <v>258</v>
      </c>
      <c r="CL2078" s="5" t="s">
        <v>238</v>
      </c>
      <c r="CM2078" s="5" t="s">
        <v>238</v>
      </c>
      <c r="CN2078" s="5">
        <v>0</v>
      </c>
      <c r="CO2078" s="5" t="s">
        <v>259</v>
      </c>
      <c r="CP2078" s="5" t="s">
        <v>260</v>
      </c>
      <c r="CQ2078" s="5" t="s">
        <v>260</v>
      </c>
      <c r="CR2078" s="5" t="s">
        <v>261</v>
      </c>
      <c r="CU2078" s="8">
        <f>1</f>
        <v>1</v>
      </c>
      <c r="CV2078" s="8">
        <f>0</f>
        <v>0</v>
      </c>
      <c r="CX2078" s="8">
        <f>0</f>
        <v>0</v>
      </c>
      <c r="CY2078" s="8">
        <f>1</f>
        <v>1</v>
      </c>
      <c r="DA2078" s="5" t="s">
        <v>274</v>
      </c>
      <c r="DB2078" s="5" t="s">
        <v>238</v>
      </c>
      <c r="DD2078" s="5" t="s">
        <v>274</v>
      </c>
      <c r="DE2078" s="8">
        <f>698</f>
        <v>698</v>
      </c>
      <c r="DG2078" s="5" t="s">
        <v>238</v>
      </c>
      <c r="DH2078" s="5" t="s">
        <v>238</v>
      </c>
      <c r="DI2078" s="5" t="s">
        <v>238</v>
      </c>
      <c r="DJ2078" s="5" t="s">
        <v>238</v>
      </c>
      <c r="DN2078" s="5" t="s">
        <v>238</v>
      </c>
      <c r="DO2078" s="5" t="s">
        <v>238</v>
      </c>
      <c r="DP2078" s="5" t="s">
        <v>238</v>
      </c>
      <c r="DQ2078" s="5" t="s">
        <v>238</v>
      </c>
      <c r="DT2078" s="5" t="s">
        <v>275</v>
      </c>
      <c r="DU2078" s="5" t="s">
        <v>418</v>
      </c>
      <c r="HM2078" s="5" t="s">
        <v>264</v>
      </c>
    </row>
    <row r="2079" spans="1:221" x14ac:dyDescent="0.4">
      <c r="A2079" s="5">
        <v>3783</v>
      </c>
      <c r="B2079" s="5">
        <v>1</v>
      </c>
      <c r="C2079" s="5">
        <v>1</v>
      </c>
      <c r="D2079" s="5" t="s">
        <v>269</v>
      </c>
      <c r="E2079" s="5" t="s">
        <v>271</v>
      </c>
      <c r="F2079" s="5" t="s">
        <v>248</v>
      </c>
      <c r="G2079" s="5" t="s">
        <v>266</v>
      </c>
      <c r="H2079" s="6" t="s">
        <v>419</v>
      </c>
      <c r="I2079" s="7">
        <f>44</f>
        <v>44</v>
      </c>
      <c r="J2079" s="5" t="s">
        <v>262</v>
      </c>
      <c r="K2079" s="8">
        <f>1</f>
        <v>1</v>
      </c>
      <c r="L2079" s="6" t="s">
        <v>242</v>
      </c>
      <c r="M2079" s="5" t="s">
        <v>267</v>
      </c>
      <c r="N2079" s="5" t="s">
        <v>265</v>
      </c>
      <c r="O2079" s="5" t="s">
        <v>238</v>
      </c>
      <c r="P2079" s="5" t="s">
        <v>238</v>
      </c>
      <c r="Q2079" s="5" t="s">
        <v>268</v>
      </c>
      <c r="R2079" s="5" t="s">
        <v>270</v>
      </c>
      <c r="S2079" s="5" t="s">
        <v>238</v>
      </c>
      <c r="V2079" s="5" t="s">
        <v>238</v>
      </c>
      <c r="X2079" s="6" t="s">
        <v>238</v>
      </c>
      <c r="AA2079" s="6" t="s">
        <v>243</v>
      </c>
      <c r="AB2079" s="5" t="s">
        <v>238</v>
      </c>
      <c r="AC2079" s="5" t="s">
        <v>244</v>
      </c>
      <c r="AD2079" s="5" t="s">
        <v>245</v>
      </c>
      <c r="AT2079" s="5" t="s">
        <v>246</v>
      </c>
      <c r="AU2079" s="5" t="s">
        <v>238</v>
      </c>
      <c r="AV2079" s="5" t="s">
        <v>247</v>
      </c>
      <c r="AW2079" s="5" t="s">
        <v>238</v>
      </c>
      <c r="AX2079" s="5" t="s">
        <v>249</v>
      </c>
      <c r="AY2079" s="5" t="s">
        <v>238</v>
      </c>
      <c r="BA2079" s="5" t="s">
        <v>238</v>
      </c>
      <c r="BC2079" s="5" t="s">
        <v>250</v>
      </c>
      <c r="BD2079" s="6" t="s">
        <v>243</v>
      </c>
      <c r="BE2079" s="5" t="s">
        <v>251</v>
      </c>
      <c r="BF2079" s="5" t="s">
        <v>252</v>
      </c>
      <c r="BG2079" s="5" t="s">
        <v>238</v>
      </c>
      <c r="BH2079" s="7">
        <f>0</f>
        <v>0</v>
      </c>
      <c r="BI2079" s="8">
        <f>0</f>
        <v>0</v>
      </c>
      <c r="BJ2079" s="5" t="s">
        <v>253</v>
      </c>
      <c r="BK2079" s="5" t="s">
        <v>254</v>
      </c>
      <c r="BY2079" s="5" t="s">
        <v>238</v>
      </c>
      <c r="BZ2079" s="5" t="s">
        <v>238</v>
      </c>
      <c r="CD2079" s="5" t="s">
        <v>273</v>
      </c>
      <c r="CE2079" s="5" t="s">
        <v>256</v>
      </c>
      <c r="CF2079" s="5" t="s">
        <v>238</v>
      </c>
      <c r="CI2079" s="6" t="s">
        <v>257</v>
      </c>
      <c r="CJ2079" s="5" t="s">
        <v>238</v>
      </c>
      <c r="CK2079" s="5" t="s">
        <v>258</v>
      </c>
      <c r="CL2079" s="5" t="s">
        <v>238</v>
      </c>
      <c r="CM2079" s="5" t="s">
        <v>238</v>
      </c>
      <c r="CN2079" s="5">
        <v>0</v>
      </c>
      <c r="CO2079" s="5" t="s">
        <v>259</v>
      </c>
      <c r="CP2079" s="5" t="s">
        <v>260</v>
      </c>
      <c r="CQ2079" s="5" t="s">
        <v>260</v>
      </c>
      <c r="CR2079" s="5" t="s">
        <v>261</v>
      </c>
      <c r="CU2079" s="8">
        <f>1</f>
        <v>1</v>
      </c>
      <c r="CV2079" s="8">
        <f>0</f>
        <v>0</v>
      </c>
      <c r="CX2079" s="8">
        <f>0</f>
        <v>0</v>
      </c>
      <c r="CY2079" s="8">
        <f>1</f>
        <v>1</v>
      </c>
      <c r="DA2079" s="5" t="s">
        <v>274</v>
      </c>
      <c r="DB2079" s="5" t="s">
        <v>238</v>
      </c>
      <c r="DD2079" s="5" t="s">
        <v>274</v>
      </c>
      <c r="DE2079" s="8">
        <f>44</f>
        <v>44</v>
      </c>
      <c r="DG2079" s="5" t="s">
        <v>238</v>
      </c>
      <c r="DH2079" s="5" t="s">
        <v>238</v>
      </c>
      <c r="DI2079" s="5" t="s">
        <v>238</v>
      </c>
      <c r="DJ2079" s="5" t="s">
        <v>238</v>
      </c>
      <c r="DN2079" s="5" t="s">
        <v>238</v>
      </c>
      <c r="DO2079" s="5" t="s">
        <v>238</v>
      </c>
      <c r="DP2079" s="5" t="s">
        <v>238</v>
      </c>
      <c r="DQ2079" s="5" t="s">
        <v>238</v>
      </c>
      <c r="DT2079" s="5" t="s">
        <v>275</v>
      </c>
      <c r="DU2079" s="5" t="s">
        <v>420</v>
      </c>
      <c r="HM2079" s="5" t="s">
        <v>264</v>
      </c>
    </row>
    <row r="2080" spans="1:221" x14ac:dyDescent="0.4">
      <c r="A2080" s="5">
        <v>3784</v>
      </c>
      <c r="B2080" s="5">
        <v>1</v>
      </c>
      <c r="C2080" s="5">
        <v>1</v>
      </c>
      <c r="D2080" s="5" t="s">
        <v>269</v>
      </c>
      <c r="E2080" s="5" t="s">
        <v>271</v>
      </c>
      <c r="F2080" s="5" t="s">
        <v>248</v>
      </c>
      <c r="G2080" s="5" t="s">
        <v>266</v>
      </c>
      <c r="H2080" s="6" t="s">
        <v>5416</v>
      </c>
      <c r="I2080" s="7">
        <f>302</f>
        <v>302</v>
      </c>
      <c r="J2080" s="5" t="s">
        <v>262</v>
      </c>
      <c r="K2080" s="8">
        <f>1</f>
        <v>1</v>
      </c>
      <c r="L2080" s="6" t="s">
        <v>242</v>
      </c>
      <c r="M2080" s="5" t="s">
        <v>267</v>
      </c>
      <c r="N2080" s="5" t="s">
        <v>265</v>
      </c>
      <c r="O2080" s="5" t="s">
        <v>238</v>
      </c>
      <c r="P2080" s="5" t="s">
        <v>238</v>
      </c>
      <c r="Q2080" s="5" t="s">
        <v>268</v>
      </c>
      <c r="R2080" s="5" t="s">
        <v>270</v>
      </c>
      <c r="S2080" s="5" t="s">
        <v>238</v>
      </c>
      <c r="V2080" s="5" t="s">
        <v>238</v>
      </c>
      <c r="X2080" s="6" t="s">
        <v>238</v>
      </c>
      <c r="AA2080" s="6" t="s">
        <v>243</v>
      </c>
      <c r="AB2080" s="5" t="s">
        <v>238</v>
      </c>
      <c r="AC2080" s="5" t="s">
        <v>244</v>
      </c>
      <c r="AD2080" s="5" t="s">
        <v>245</v>
      </c>
      <c r="AT2080" s="5" t="s">
        <v>246</v>
      </c>
      <c r="AU2080" s="5" t="s">
        <v>238</v>
      </c>
      <c r="AV2080" s="5" t="s">
        <v>247</v>
      </c>
      <c r="AW2080" s="5" t="s">
        <v>238</v>
      </c>
      <c r="AX2080" s="5" t="s">
        <v>249</v>
      </c>
      <c r="AY2080" s="5" t="s">
        <v>238</v>
      </c>
      <c r="BA2080" s="5" t="s">
        <v>238</v>
      </c>
      <c r="BC2080" s="5" t="s">
        <v>250</v>
      </c>
      <c r="BD2080" s="6" t="s">
        <v>243</v>
      </c>
      <c r="BE2080" s="5" t="s">
        <v>251</v>
      </c>
      <c r="BF2080" s="5" t="s">
        <v>252</v>
      </c>
      <c r="BG2080" s="5" t="s">
        <v>238</v>
      </c>
      <c r="BH2080" s="7">
        <f>0</f>
        <v>0</v>
      </c>
      <c r="BI2080" s="8">
        <f>0</f>
        <v>0</v>
      </c>
      <c r="BJ2080" s="5" t="s">
        <v>253</v>
      </c>
      <c r="BK2080" s="5" t="s">
        <v>254</v>
      </c>
      <c r="BY2080" s="5" t="s">
        <v>238</v>
      </c>
      <c r="BZ2080" s="5" t="s">
        <v>238</v>
      </c>
      <c r="CD2080" s="5" t="s">
        <v>273</v>
      </c>
      <c r="CE2080" s="5" t="s">
        <v>256</v>
      </c>
      <c r="CF2080" s="5" t="s">
        <v>238</v>
      </c>
      <c r="CI2080" s="6" t="s">
        <v>257</v>
      </c>
      <c r="CJ2080" s="5" t="s">
        <v>238</v>
      </c>
      <c r="CK2080" s="5" t="s">
        <v>258</v>
      </c>
      <c r="CL2080" s="5" t="s">
        <v>238</v>
      </c>
      <c r="CM2080" s="5" t="s">
        <v>238</v>
      </c>
      <c r="CN2080" s="5">
        <v>0</v>
      </c>
      <c r="CO2080" s="5" t="s">
        <v>259</v>
      </c>
      <c r="CP2080" s="5" t="s">
        <v>260</v>
      </c>
      <c r="CQ2080" s="5" t="s">
        <v>260</v>
      </c>
      <c r="CR2080" s="5" t="s">
        <v>261</v>
      </c>
      <c r="CU2080" s="8">
        <f>1</f>
        <v>1</v>
      </c>
      <c r="CV2080" s="8">
        <f>0</f>
        <v>0</v>
      </c>
      <c r="CX2080" s="8">
        <f>0</f>
        <v>0</v>
      </c>
      <c r="CY2080" s="8">
        <f>1</f>
        <v>1</v>
      </c>
      <c r="DA2080" s="5" t="s">
        <v>274</v>
      </c>
      <c r="DB2080" s="5" t="s">
        <v>238</v>
      </c>
      <c r="DD2080" s="5" t="s">
        <v>274</v>
      </c>
      <c r="DE2080" s="8">
        <f>302</f>
        <v>302</v>
      </c>
      <c r="DG2080" s="5" t="s">
        <v>238</v>
      </c>
      <c r="DH2080" s="5" t="s">
        <v>238</v>
      </c>
      <c r="DI2080" s="5" t="s">
        <v>238</v>
      </c>
      <c r="DJ2080" s="5" t="s">
        <v>238</v>
      </c>
      <c r="DN2080" s="5" t="s">
        <v>238</v>
      </c>
      <c r="DO2080" s="5" t="s">
        <v>238</v>
      </c>
      <c r="DP2080" s="5" t="s">
        <v>238</v>
      </c>
      <c r="DQ2080" s="5" t="s">
        <v>238</v>
      </c>
      <c r="DT2080" s="5" t="s">
        <v>275</v>
      </c>
      <c r="DU2080" s="5" t="s">
        <v>3318</v>
      </c>
      <c r="HM2080" s="5" t="s">
        <v>264</v>
      </c>
    </row>
    <row r="2081" spans="1:221" x14ac:dyDescent="0.4">
      <c r="A2081" s="5">
        <v>3785</v>
      </c>
      <c r="B2081" s="5">
        <v>1</v>
      </c>
      <c r="C2081" s="5">
        <v>1</v>
      </c>
      <c r="D2081" s="5" t="s">
        <v>269</v>
      </c>
      <c r="E2081" s="5" t="s">
        <v>271</v>
      </c>
      <c r="F2081" s="5" t="s">
        <v>248</v>
      </c>
      <c r="G2081" s="5" t="s">
        <v>266</v>
      </c>
      <c r="H2081" s="6" t="s">
        <v>425</v>
      </c>
      <c r="I2081" s="7">
        <f>1046</f>
        <v>1046</v>
      </c>
      <c r="J2081" s="5" t="s">
        <v>262</v>
      </c>
      <c r="K2081" s="8">
        <f>1</f>
        <v>1</v>
      </c>
      <c r="L2081" s="6" t="s">
        <v>242</v>
      </c>
      <c r="M2081" s="5" t="s">
        <v>267</v>
      </c>
      <c r="N2081" s="5" t="s">
        <v>265</v>
      </c>
      <c r="O2081" s="5" t="s">
        <v>238</v>
      </c>
      <c r="P2081" s="5" t="s">
        <v>238</v>
      </c>
      <c r="Q2081" s="5" t="s">
        <v>268</v>
      </c>
      <c r="R2081" s="5" t="s">
        <v>270</v>
      </c>
      <c r="S2081" s="5" t="s">
        <v>238</v>
      </c>
      <c r="V2081" s="5" t="s">
        <v>238</v>
      </c>
      <c r="X2081" s="6" t="s">
        <v>238</v>
      </c>
      <c r="AA2081" s="6" t="s">
        <v>243</v>
      </c>
      <c r="AB2081" s="5" t="s">
        <v>238</v>
      </c>
      <c r="AC2081" s="5" t="s">
        <v>244</v>
      </c>
      <c r="AD2081" s="5" t="s">
        <v>245</v>
      </c>
      <c r="AT2081" s="5" t="s">
        <v>246</v>
      </c>
      <c r="AU2081" s="5" t="s">
        <v>238</v>
      </c>
      <c r="AV2081" s="5" t="s">
        <v>247</v>
      </c>
      <c r="AW2081" s="5" t="s">
        <v>238</v>
      </c>
      <c r="AX2081" s="5" t="s">
        <v>249</v>
      </c>
      <c r="AY2081" s="5" t="s">
        <v>238</v>
      </c>
      <c r="BA2081" s="5" t="s">
        <v>238</v>
      </c>
      <c r="BC2081" s="5" t="s">
        <v>250</v>
      </c>
      <c r="BD2081" s="6" t="s">
        <v>243</v>
      </c>
      <c r="BE2081" s="5" t="s">
        <v>251</v>
      </c>
      <c r="BF2081" s="5" t="s">
        <v>252</v>
      </c>
      <c r="BG2081" s="5" t="s">
        <v>238</v>
      </c>
      <c r="BH2081" s="7">
        <f>0</f>
        <v>0</v>
      </c>
      <c r="BI2081" s="8">
        <f>0</f>
        <v>0</v>
      </c>
      <c r="BJ2081" s="5" t="s">
        <v>253</v>
      </c>
      <c r="BK2081" s="5" t="s">
        <v>254</v>
      </c>
      <c r="BY2081" s="5" t="s">
        <v>238</v>
      </c>
      <c r="BZ2081" s="5" t="s">
        <v>238</v>
      </c>
      <c r="CD2081" s="5" t="s">
        <v>273</v>
      </c>
      <c r="CE2081" s="5" t="s">
        <v>256</v>
      </c>
      <c r="CF2081" s="5" t="s">
        <v>238</v>
      </c>
      <c r="CI2081" s="6" t="s">
        <v>257</v>
      </c>
      <c r="CJ2081" s="5" t="s">
        <v>238</v>
      </c>
      <c r="CK2081" s="5" t="s">
        <v>258</v>
      </c>
      <c r="CL2081" s="5" t="s">
        <v>238</v>
      </c>
      <c r="CM2081" s="5" t="s">
        <v>238</v>
      </c>
      <c r="CN2081" s="5">
        <v>0</v>
      </c>
      <c r="CO2081" s="5" t="s">
        <v>259</v>
      </c>
      <c r="CP2081" s="5" t="s">
        <v>260</v>
      </c>
      <c r="CQ2081" s="5" t="s">
        <v>260</v>
      </c>
      <c r="CR2081" s="5" t="s">
        <v>261</v>
      </c>
      <c r="CU2081" s="8">
        <f>1</f>
        <v>1</v>
      </c>
      <c r="CV2081" s="8">
        <f>0</f>
        <v>0</v>
      </c>
      <c r="CX2081" s="8">
        <f>0</f>
        <v>0</v>
      </c>
      <c r="CY2081" s="8">
        <f>1</f>
        <v>1</v>
      </c>
      <c r="DA2081" s="5" t="s">
        <v>274</v>
      </c>
      <c r="DB2081" s="5" t="s">
        <v>238</v>
      </c>
      <c r="DD2081" s="5" t="s">
        <v>274</v>
      </c>
      <c r="DE2081" s="8">
        <f>1046</f>
        <v>1046</v>
      </c>
      <c r="DG2081" s="5" t="s">
        <v>238</v>
      </c>
      <c r="DH2081" s="5" t="s">
        <v>238</v>
      </c>
      <c r="DI2081" s="5" t="s">
        <v>238</v>
      </c>
      <c r="DJ2081" s="5" t="s">
        <v>238</v>
      </c>
      <c r="DN2081" s="5" t="s">
        <v>238</v>
      </c>
      <c r="DO2081" s="5" t="s">
        <v>238</v>
      </c>
      <c r="DP2081" s="5" t="s">
        <v>238</v>
      </c>
      <c r="DQ2081" s="5" t="s">
        <v>238</v>
      </c>
      <c r="DT2081" s="5" t="s">
        <v>275</v>
      </c>
      <c r="DU2081" s="5" t="s">
        <v>426</v>
      </c>
      <c r="HM2081" s="5" t="s">
        <v>264</v>
      </c>
    </row>
    <row r="2082" spans="1:221" x14ac:dyDescent="0.4">
      <c r="A2082" s="5">
        <v>3786</v>
      </c>
      <c r="B2082" s="5">
        <v>1</v>
      </c>
      <c r="C2082" s="5">
        <v>1</v>
      </c>
      <c r="D2082" s="5" t="s">
        <v>269</v>
      </c>
      <c r="E2082" s="5" t="s">
        <v>271</v>
      </c>
      <c r="F2082" s="5" t="s">
        <v>248</v>
      </c>
      <c r="G2082" s="5" t="s">
        <v>266</v>
      </c>
      <c r="H2082" s="6" t="s">
        <v>429</v>
      </c>
      <c r="I2082" s="7">
        <f>424</f>
        <v>424</v>
      </c>
      <c r="J2082" s="5" t="s">
        <v>262</v>
      </c>
      <c r="K2082" s="8">
        <f>1</f>
        <v>1</v>
      </c>
      <c r="L2082" s="6" t="s">
        <v>242</v>
      </c>
      <c r="M2082" s="5" t="s">
        <v>267</v>
      </c>
      <c r="N2082" s="5" t="s">
        <v>265</v>
      </c>
      <c r="O2082" s="5" t="s">
        <v>238</v>
      </c>
      <c r="P2082" s="5" t="s">
        <v>238</v>
      </c>
      <c r="Q2082" s="5" t="s">
        <v>268</v>
      </c>
      <c r="R2082" s="5" t="s">
        <v>270</v>
      </c>
      <c r="S2082" s="5" t="s">
        <v>238</v>
      </c>
      <c r="V2082" s="5" t="s">
        <v>238</v>
      </c>
      <c r="X2082" s="6" t="s">
        <v>238</v>
      </c>
      <c r="AA2082" s="6" t="s">
        <v>243</v>
      </c>
      <c r="AB2082" s="5" t="s">
        <v>238</v>
      </c>
      <c r="AC2082" s="5" t="s">
        <v>244</v>
      </c>
      <c r="AD2082" s="5" t="s">
        <v>245</v>
      </c>
      <c r="AT2082" s="5" t="s">
        <v>246</v>
      </c>
      <c r="AU2082" s="5" t="s">
        <v>238</v>
      </c>
      <c r="AV2082" s="5" t="s">
        <v>247</v>
      </c>
      <c r="AW2082" s="5" t="s">
        <v>238</v>
      </c>
      <c r="AX2082" s="5" t="s">
        <v>249</v>
      </c>
      <c r="AY2082" s="5" t="s">
        <v>238</v>
      </c>
      <c r="BA2082" s="5" t="s">
        <v>238</v>
      </c>
      <c r="BC2082" s="5" t="s">
        <v>250</v>
      </c>
      <c r="BD2082" s="6" t="s">
        <v>243</v>
      </c>
      <c r="BE2082" s="5" t="s">
        <v>251</v>
      </c>
      <c r="BF2082" s="5" t="s">
        <v>252</v>
      </c>
      <c r="BG2082" s="5" t="s">
        <v>238</v>
      </c>
      <c r="BH2082" s="7">
        <f>0</f>
        <v>0</v>
      </c>
      <c r="BI2082" s="8">
        <f>0</f>
        <v>0</v>
      </c>
      <c r="BJ2082" s="5" t="s">
        <v>253</v>
      </c>
      <c r="BK2082" s="5" t="s">
        <v>254</v>
      </c>
      <c r="BY2082" s="5" t="s">
        <v>238</v>
      </c>
      <c r="BZ2082" s="5" t="s">
        <v>238</v>
      </c>
      <c r="CD2082" s="5" t="s">
        <v>273</v>
      </c>
      <c r="CE2082" s="5" t="s">
        <v>256</v>
      </c>
      <c r="CF2082" s="5" t="s">
        <v>238</v>
      </c>
      <c r="CI2082" s="6" t="s">
        <v>257</v>
      </c>
      <c r="CJ2082" s="5" t="s">
        <v>238</v>
      </c>
      <c r="CK2082" s="5" t="s">
        <v>258</v>
      </c>
      <c r="CL2082" s="5" t="s">
        <v>238</v>
      </c>
      <c r="CM2082" s="5" t="s">
        <v>238</v>
      </c>
      <c r="CN2082" s="5">
        <v>0</v>
      </c>
      <c r="CO2082" s="5" t="s">
        <v>259</v>
      </c>
      <c r="CP2082" s="5" t="s">
        <v>260</v>
      </c>
      <c r="CQ2082" s="5" t="s">
        <v>260</v>
      </c>
      <c r="CR2082" s="5" t="s">
        <v>261</v>
      </c>
      <c r="CU2082" s="8">
        <f>1</f>
        <v>1</v>
      </c>
      <c r="CV2082" s="8">
        <f>0</f>
        <v>0</v>
      </c>
      <c r="CX2082" s="8">
        <f>0</f>
        <v>0</v>
      </c>
      <c r="CY2082" s="8">
        <f>1</f>
        <v>1</v>
      </c>
      <c r="DA2082" s="5" t="s">
        <v>274</v>
      </c>
      <c r="DB2082" s="5" t="s">
        <v>238</v>
      </c>
      <c r="DD2082" s="5" t="s">
        <v>274</v>
      </c>
      <c r="DE2082" s="8">
        <f>424</f>
        <v>424</v>
      </c>
      <c r="DG2082" s="5" t="s">
        <v>238</v>
      </c>
      <c r="DH2082" s="5" t="s">
        <v>238</v>
      </c>
      <c r="DI2082" s="5" t="s">
        <v>238</v>
      </c>
      <c r="DJ2082" s="5" t="s">
        <v>238</v>
      </c>
      <c r="DN2082" s="5" t="s">
        <v>238</v>
      </c>
      <c r="DO2082" s="5" t="s">
        <v>238</v>
      </c>
      <c r="DP2082" s="5" t="s">
        <v>238</v>
      </c>
      <c r="DQ2082" s="5" t="s">
        <v>238</v>
      </c>
      <c r="DT2082" s="5" t="s">
        <v>275</v>
      </c>
      <c r="DU2082" s="5" t="s">
        <v>430</v>
      </c>
      <c r="HM2082" s="5" t="s">
        <v>264</v>
      </c>
    </row>
    <row r="2083" spans="1:221" x14ac:dyDescent="0.4">
      <c r="A2083" s="5">
        <v>3787</v>
      </c>
      <c r="B2083" s="5">
        <v>1</v>
      </c>
      <c r="C2083" s="5">
        <v>1</v>
      </c>
      <c r="D2083" s="5" t="s">
        <v>269</v>
      </c>
      <c r="E2083" s="5" t="s">
        <v>271</v>
      </c>
      <c r="F2083" s="5" t="s">
        <v>248</v>
      </c>
      <c r="G2083" s="5" t="s">
        <v>266</v>
      </c>
      <c r="H2083" s="6" t="s">
        <v>431</v>
      </c>
      <c r="I2083" s="7">
        <f>593</f>
        <v>593</v>
      </c>
      <c r="J2083" s="5" t="s">
        <v>262</v>
      </c>
      <c r="K2083" s="8">
        <f>1</f>
        <v>1</v>
      </c>
      <c r="L2083" s="6" t="s">
        <v>242</v>
      </c>
      <c r="M2083" s="5" t="s">
        <v>267</v>
      </c>
      <c r="N2083" s="5" t="s">
        <v>265</v>
      </c>
      <c r="O2083" s="5" t="s">
        <v>238</v>
      </c>
      <c r="P2083" s="5" t="s">
        <v>238</v>
      </c>
      <c r="Q2083" s="5" t="s">
        <v>268</v>
      </c>
      <c r="R2083" s="5" t="s">
        <v>270</v>
      </c>
      <c r="S2083" s="5" t="s">
        <v>238</v>
      </c>
      <c r="V2083" s="5" t="s">
        <v>238</v>
      </c>
      <c r="X2083" s="6" t="s">
        <v>238</v>
      </c>
      <c r="AA2083" s="6" t="s">
        <v>243</v>
      </c>
      <c r="AB2083" s="5" t="s">
        <v>238</v>
      </c>
      <c r="AC2083" s="5" t="s">
        <v>244</v>
      </c>
      <c r="AD2083" s="5" t="s">
        <v>245</v>
      </c>
      <c r="AT2083" s="5" t="s">
        <v>246</v>
      </c>
      <c r="AU2083" s="5" t="s">
        <v>238</v>
      </c>
      <c r="AV2083" s="5" t="s">
        <v>247</v>
      </c>
      <c r="AW2083" s="5" t="s">
        <v>238</v>
      </c>
      <c r="AX2083" s="5" t="s">
        <v>249</v>
      </c>
      <c r="AY2083" s="5" t="s">
        <v>238</v>
      </c>
      <c r="BA2083" s="5" t="s">
        <v>238</v>
      </c>
      <c r="BC2083" s="5" t="s">
        <v>250</v>
      </c>
      <c r="BD2083" s="6" t="s">
        <v>243</v>
      </c>
      <c r="BE2083" s="5" t="s">
        <v>251</v>
      </c>
      <c r="BF2083" s="5" t="s">
        <v>252</v>
      </c>
      <c r="BG2083" s="5" t="s">
        <v>238</v>
      </c>
      <c r="BH2083" s="7">
        <f>0</f>
        <v>0</v>
      </c>
      <c r="BI2083" s="8">
        <f>0</f>
        <v>0</v>
      </c>
      <c r="BJ2083" s="5" t="s">
        <v>253</v>
      </c>
      <c r="BK2083" s="5" t="s">
        <v>254</v>
      </c>
      <c r="BY2083" s="5" t="s">
        <v>238</v>
      </c>
      <c r="BZ2083" s="5" t="s">
        <v>238</v>
      </c>
      <c r="CD2083" s="5" t="s">
        <v>273</v>
      </c>
      <c r="CE2083" s="5" t="s">
        <v>256</v>
      </c>
      <c r="CF2083" s="5" t="s">
        <v>238</v>
      </c>
      <c r="CI2083" s="6" t="s">
        <v>257</v>
      </c>
      <c r="CJ2083" s="5" t="s">
        <v>238</v>
      </c>
      <c r="CK2083" s="5" t="s">
        <v>258</v>
      </c>
      <c r="CL2083" s="5" t="s">
        <v>238</v>
      </c>
      <c r="CM2083" s="5" t="s">
        <v>238</v>
      </c>
      <c r="CN2083" s="5">
        <v>0</v>
      </c>
      <c r="CO2083" s="5" t="s">
        <v>259</v>
      </c>
      <c r="CP2083" s="5" t="s">
        <v>260</v>
      </c>
      <c r="CQ2083" s="5" t="s">
        <v>260</v>
      </c>
      <c r="CR2083" s="5" t="s">
        <v>261</v>
      </c>
      <c r="CU2083" s="8">
        <f>1</f>
        <v>1</v>
      </c>
      <c r="CV2083" s="8">
        <f>0</f>
        <v>0</v>
      </c>
      <c r="CX2083" s="8">
        <f>0</f>
        <v>0</v>
      </c>
      <c r="CY2083" s="8">
        <f>1</f>
        <v>1</v>
      </c>
      <c r="DA2083" s="5" t="s">
        <v>274</v>
      </c>
      <c r="DB2083" s="5" t="s">
        <v>238</v>
      </c>
      <c r="DD2083" s="5" t="s">
        <v>274</v>
      </c>
      <c r="DE2083" s="8">
        <f>593</f>
        <v>593</v>
      </c>
      <c r="DG2083" s="5" t="s">
        <v>238</v>
      </c>
      <c r="DH2083" s="5" t="s">
        <v>238</v>
      </c>
      <c r="DI2083" s="5" t="s">
        <v>238</v>
      </c>
      <c r="DJ2083" s="5" t="s">
        <v>238</v>
      </c>
      <c r="DN2083" s="5" t="s">
        <v>238</v>
      </c>
      <c r="DO2083" s="5" t="s">
        <v>238</v>
      </c>
      <c r="DP2083" s="5" t="s">
        <v>238</v>
      </c>
      <c r="DQ2083" s="5" t="s">
        <v>238</v>
      </c>
      <c r="DT2083" s="5" t="s">
        <v>275</v>
      </c>
      <c r="DU2083" s="5" t="s">
        <v>432</v>
      </c>
      <c r="HM2083" s="5" t="s">
        <v>264</v>
      </c>
    </row>
    <row r="2084" spans="1:221" x14ac:dyDescent="0.4">
      <c r="A2084" s="5">
        <v>3788</v>
      </c>
      <c r="B2084" s="5">
        <v>1</v>
      </c>
      <c r="C2084" s="5">
        <v>1</v>
      </c>
      <c r="D2084" s="5" t="s">
        <v>269</v>
      </c>
      <c r="E2084" s="5" t="s">
        <v>271</v>
      </c>
      <c r="F2084" s="5" t="s">
        <v>248</v>
      </c>
      <c r="G2084" s="5" t="s">
        <v>266</v>
      </c>
      <c r="H2084" s="6" t="s">
        <v>433</v>
      </c>
      <c r="I2084" s="7">
        <f>1663</f>
        <v>1663</v>
      </c>
      <c r="J2084" s="5" t="s">
        <v>262</v>
      </c>
      <c r="K2084" s="8">
        <f>1</f>
        <v>1</v>
      </c>
      <c r="L2084" s="6" t="s">
        <v>242</v>
      </c>
      <c r="M2084" s="5" t="s">
        <v>267</v>
      </c>
      <c r="N2084" s="5" t="s">
        <v>265</v>
      </c>
      <c r="O2084" s="5" t="s">
        <v>238</v>
      </c>
      <c r="P2084" s="5" t="s">
        <v>238</v>
      </c>
      <c r="Q2084" s="5" t="s">
        <v>268</v>
      </c>
      <c r="R2084" s="5" t="s">
        <v>270</v>
      </c>
      <c r="S2084" s="5" t="s">
        <v>238</v>
      </c>
      <c r="V2084" s="5" t="s">
        <v>238</v>
      </c>
      <c r="X2084" s="6" t="s">
        <v>238</v>
      </c>
      <c r="AA2084" s="6" t="s">
        <v>243</v>
      </c>
      <c r="AB2084" s="5" t="s">
        <v>238</v>
      </c>
      <c r="AC2084" s="5" t="s">
        <v>244</v>
      </c>
      <c r="AD2084" s="5" t="s">
        <v>245</v>
      </c>
      <c r="AT2084" s="5" t="s">
        <v>246</v>
      </c>
      <c r="AU2084" s="5" t="s">
        <v>238</v>
      </c>
      <c r="AV2084" s="5" t="s">
        <v>247</v>
      </c>
      <c r="AW2084" s="5" t="s">
        <v>238</v>
      </c>
      <c r="AX2084" s="5" t="s">
        <v>249</v>
      </c>
      <c r="AY2084" s="5" t="s">
        <v>238</v>
      </c>
      <c r="BA2084" s="5" t="s">
        <v>238</v>
      </c>
      <c r="BC2084" s="5" t="s">
        <v>250</v>
      </c>
      <c r="BD2084" s="6" t="s">
        <v>243</v>
      </c>
      <c r="BE2084" s="5" t="s">
        <v>251</v>
      </c>
      <c r="BF2084" s="5" t="s">
        <v>252</v>
      </c>
      <c r="BG2084" s="5" t="s">
        <v>238</v>
      </c>
      <c r="BH2084" s="7">
        <f>0</f>
        <v>0</v>
      </c>
      <c r="BI2084" s="8">
        <f>0</f>
        <v>0</v>
      </c>
      <c r="BJ2084" s="5" t="s">
        <v>253</v>
      </c>
      <c r="BK2084" s="5" t="s">
        <v>254</v>
      </c>
      <c r="BY2084" s="5" t="s">
        <v>238</v>
      </c>
      <c r="BZ2084" s="5" t="s">
        <v>238</v>
      </c>
      <c r="CD2084" s="5" t="s">
        <v>273</v>
      </c>
      <c r="CE2084" s="5" t="s">
        <v>256</v>
      </c>
      <c r="CF2084" s="5" t="s">
        <v>238</v>
      </c>
      <c r="CI2084" s="6" t="s">
        <v>257</v>
      </c>
      <c r="CJ2084" s="5" t="s">
        <v>238</v>
      </c>
      <c r="CK2084" s="5" t="s">
        <v>258</v>
      </c>
      <c r="CL2084" s="5" t="s">
        <v>238</v>
      </c>
      <c r="CM2084" s="5" t="s">
        <v>238</v>
      </c>
      <c r="CN2084" s="5">
        <v>0</v>
      </c>
      <c r="CO2084" s="5" t="s">
        <v>259</v>
      </c>
      <c r="CP2084" s="5" t="s">
        <v>260</v>
      </c>
      <c r="CQ2084" s="5" t="s">
        <v>260</v>
      </c>
      <c r="CR2084" s="5" t="s">
        <v>261</v>
      </c>
      <c r="CU2084" s="8">
        <f>1</f>
        <v>1</v>
      </c>
      <c r="CV2084" s="8">
        <f>0</f>
        <v>0</v>
      </c>
      <c r="CX2084" s="8">
        <f>0</f>
        <v>0</v>
      </c>
      <c r="CY2084" s="8">
        <f>1</f>
        <v>1</v>
      </c>
      <c r="DA2084" s="5" t="s">
        <v>274</v>
      </c>
      <c r="DB2084" s="5" t="s">
        <v>238</v>
      </c>
      <c r="DD2084" s="5" t="s">
        <v>274</v>
      </c>
      <c r="DE2084" s="8">
        <f>1663</f>
        <v>1663</v>
      </c>
      <c r="DG2084" s="5" t="s">
        <v>238</v>
      </c>
      <c r="DH2084" s="5" t="s">
        <v>238</v>
      </c>
      <c r="DI2084" s="5" t="s">
        <v>238</v>
      </c>
      <c r="DJ2084" s="5" t="s">
        <v>238</v>
      </c>
      <c r="DN2084" s="5" t="s">
        <v>238</v>
      </c>
      <c r="DO2084" s="5" t="s">
        <v>238</v>
      </c>
      <c r="DP2084" s="5" t="s">
        <v>238</v>
      </c>
      <c r="DQ2084" s="5" t="s">
        <v>238</v>
      </c>
      <c r="DT2084" s="5" t="s">
        <v>275</v>
      </c>
      <c r="DU2084" s="5" t="s">
        <v>434</v>
      </c>
      <c r="HM2084" s="5" t="s">
        <v>264</v>
      </c>
    </row>
    <row r="2085" spans="1:221" x14ac:dyDescent="0.4">
      <c r="A2085" s="5">
        <v>3789</v>
      </c>
      <c r="B2085" s="5">
        <v>1</v>
      </c>
      <c r="C2085" s="5">
        <v>1</v>
      </c>
      <c r="D2085" s="5" t="s">
        <v>269</v>
      </c>
      <c r="E2085" s="5" t="s">
        <v>271</v>
      </c>
      <c r="F2085" s="5" t="s">
        <v>248</v>
      </c>
      <c r="G2085" s="5" t="s">
        <v>266</v>
      </c>
      <c r="H2085" s="6" t="s">
        <v>5421</v>
      </c>
      <c r="I2085" s="7">
        <f>620</f>
        <v>620</v>
      </c>
      <c r="J2085" s="5" t="s">
        <v>262</v>
      </c>
      <c r="K2085" s="8">
        <f>1</f>
        <v>1</v>
      </c>
      <c r="L2085" s="6" t="s">
        <v>242</v>
      </c>
      <c r="M2085" s="5" t="s">
        <v>267</v>
      </c>
      <c r="N2085" s="5" t="s">
        <v>265</v>
      </c>
      <c r="O2085" s="5" t="s">
        <v>238</v>
      </c>
      <c r="P2085" s="5" t="s">
        <v>238</v>
      </c>
      <c r="Q2085" s="5" t="s">
        <v>268</v>
      </c>
      <c r="R2085" s="5" t="s">
        <v>270</v>
      </c>
      <c r="S2085" s="5" t="s">
        <v>238</v>
      </c>
      <c r="V2085" s="5" t="s">
        <v>238</v>
      </c>
      <c r="X2085" s="6" t="s">
        <v>238</v>
      </c>
      <c r="AA2085" s="6" t="s">
        <v>243</v>
      </c>
      <c r="AB2085" s="5" t="s">
        <v>238</v>
      </c>
      <c r="AC2085" s="5" t="s">
        <v>244</v>
      </c>
      <c r="AD2085" s="5" t="s">
        <v>245</v>
      </c>
      <c r="AT2085" s="5" t="s">
        <v>246</v>
      </c>
      <c r="AU2085" s="5" t="s">
        <v>238</v>
      </c>
      <c r="AV2085" s="5" t="s">
        <v>247</v>
      </c>
      <c r="AW2085" s="5" t="s">
        <v>238</v>
      </c>
      <c r="AX2085" s="5" t="s">
        <v>249</v>
      </c>
      <c r="AY2085" s="5" t="s">
        <v>238</v>
      </c>
      <c r="BA2085" s="5" t="s">
        <v>238</v>
      </c>
      <c r="BC2085" s="5" t="s">
        <v>250</v>
      </c>
      <c r="BD2085" s="6" t="s">
        <v>243</v>
      </c>
      <c r="BE2085" s="5" t="s">
        <v>251</v>
      </c>
      <c r="BF2085" s="5" t="s">
        <v>252</v>
      </c>
      <c r="BG2085" s="5" t="s">
        <v>238</v>
      </c>
      <c r="BH2085" s="7">
        <f>0</f>
        <v>0</v>
      </c>
      <c r="BI2085" s="8">
        <f>0</f>
        <v>0</v>
      </c>
      <c r="BJ2085" s="5" t="s">
        <v>253</v>
      </c>
      <c r="BK2085" s="5" t="s">
        <v>254</v>
      </c>
      <c r="BY2085" s="5" t="s">
        <v>238</v>
      </c>
      <c r="BZ2085" s="5" t="s">
        <v>238</v>
      </c>
      <c r="CD2085" s="5" t="s">
        <v>273</v>
      </c>
      <c r="CE2085" s="5" t="s">
        <v>256</v>
      </c>
      <c r="CF2085" s="5" t="s">
        <v>238</v>
      </c>
      <c r="CI2085" s="6" t="s">
        <v>257</v>
      </c>
      <c r="CJ2085" s="5" t="s">
        <v>238</v>
      </c>
      <c r="CK2085" s="5" t="s">
        <v>258</v>
      </c>
      <c r="CL2085" s="5" t="s">
        <v>238</v>
      </c>
      <c r="CM2085" s="5" t="s">
        <v>238</v>
      </c>
      <c r="CN2085" s="5">
        <v>0</v>
      </c>
      <c r="CO2085" s="5" t="s">
        <v>259</v>
      </c>
      <c r="CP2085" s="5" t="s">
        <v>260</v>
      </c>
      <c r="CQ2085" s="5" t="s">
        <v>260</v>
      </c>
      <c r="CR2085" s="5" t="s">
        <v>261</v>
      </c>
      <c r="CU2085" s="8">
        <f>1</f>
        <v>1</v>
      </c>
      <c r="CV2085" s="8">
        <f>0</f>
        <v>0</v>
      </c>
      <c r="CX2085" s="8">
        <f>0</f>
        <v>0</v>
      </c>
      <c r="CY2085" s="8">
        <f>1</f>
        <v>1</v>
      </c>
      <c r="DA2085" s="5" t="s">
        <v>274</v>
      </c>
      <c r="DB2085" s="5" t="s">
        <v>238</v>
      </c>
      <c r="DD2085" s="5" t="s">
        <v>274</v>
      </c>
      <c r="DE2085" s="8">
        <f>620</f>
        <v>620</v>
      </c>
      <c r="DG2085" s="5" t="s">
        <v>238</v>
      </c>
      <c r="DH2085" s="5" t="s">
        <v>238</v>
      </c>
      <c r="DI2085" s="5" t="s">
        <v>238</v>
      </c>
      <c r="DJ2085" s="5" t="s">
        <v>238</v>
      </c>
      <c r="DN2085" s="5" t="s">
        <v>238</v>
      </c>
      <c r="DO2085" s="5" t="s">
        <v>238</v>
      </c>
      <c r="DP2085" s="5" t="s">
        <v>238</v>
      </c>
      <c r="DQ2085" s="5" t="s">
        <v>238</v>
      </c>
      <c r="DT2085" s="5" t="s">
        <v>275</v>
      </c>
      <c r="DU2085" s="5" t="s">
        <v>3312</v>
      </c>
      <c r="HM2085" s="5" t="s">
        <v>264</v>
      </c>
    </row>
    <row r="2086" spans="1:221" x14ac:dyDescent="0.4">
      <c r="A2086" s="5">
        <v>3790</v>
      </c>
      <c r="B2086" s="5">
        <v>1</v>
      </c>
      <c r="C2086" s="5">
        <v>1</v>
      </c>
      <c r="D2086" s="5" t="s">
        <v>269</v>
      </c>
      <c r="E2086" s="5" t="s">
        <v>271</v>
      </c>
      <c r="F2086" s="5" t="s">
        <v>248</v>
      </c>
      <c r="G2086" s="5" t="s">
        <v>266</v>
      </c>
      <c r="H2086" s="6" t="s">
        <v>439</v>
      </c>
      <c r="I2086" s="7">
        <f>1356</f>
        <v>1356</v>
      </c>
      <c r="J2086" s="5" t="s">
        <v>262</v>
      </c>
      <c r="K2086" s="8">
        <f>1</f>
        <v>1</v>
      </c>
      <c r="L2086" s="6" t="s">
        <v>242</v>
      </c>
      <c r="M2086" s="5" t="s">
        <v>267</v>
      </c>
      <c r="N2086" s="5" t="s">
        <v>265</v>
      </c>
      <c r="O2086" s="5" t="s">
        <v>238</v>
      </c>
      <c r="P2086" s="5" t="s">
        <v>238</v>
      </c>
      <c r="Q2086" s="5" t="s">
        <v>268</v>
      </c>
      <c r="R2086" s="5" t="s">
        <v>270</v>
      </c>
      <c r="S2086" s="5" t="s">
        <v>238</v>
      </c>
      <c r="V2086" s="5" t="s">
        <v>238</v>
      </c>
      <c r="X2086" s="6" t="s">
        <v>238</v>
      </c>
      <c r="AA2086" s="6" t="s">
        <v>243</v>
      </c>
      <c r="AB2086" s="5" t="s">
        <v>238</v>
      </c>
      <c r="AC2086" s="5" t="s">
        <v>244</v>
      </c>
      <c r="AD2086" s="5" t="s">
        <v>245</v>
      </c>
      <c r="AT2086" s="5" t="s">
        <v>246</v>
      </c>
      <c r="AU2086" s="5" t="s">
        <v>238</v>
      </c>
      <c r="AV2086" s="5" t="s">
        <v>247</v>
      </c>
      <c r="AW2086" s="5" t="s">
        <v>238</v>
      </c>
      <c r="AX2086" s="5" t="s">
        <v>249</v>
      </c>
      <c r="AY2086" s="5" t="s">
        <v>238</v>
      </c>
      <c r="BA2086" s="5" t="s">
        <v>238</v>
      </c>
      <c r="BC2086" s="5" t="s">
        <v>250</v>
      </c>
      <c r="BD2086" s="6" t="s">
        <v>243</v>
      </c>
      <c r="BE2086" s="5" t="s">
        <v>251</v>
      </c>
      <c r="BF2086" s="5" t="s">
        <v>252</v>
      </c>
      <c r="BG2086" s="5" t="s">
        <v>238</v>
      </c>
      <c r="BH2086" s="7">
        <f>0</f>
        <v>0</v>
      </c>
      <c r="BI2086" s="8">
        <f>0</f>
        <v>0</v>
      </c>
      <c r="BJ2086" s="5" t="s">
        <v>253</v>
      </c>
      <c r="BK2086" s="5" t="s">
        <v>254</v>
      </c>
      <c r="BY2086" s="5" t="s">
        <v>238</v>
      </c>
      <c r="BZ2086" s="5" t="s">
        <v>238</v>
      </c>
      <c r="CD2086" s="5" t="s">
        <v>273</v>
      </c>
      <c r="CE2086" s="5" t="s">
        <v>256</v>
      </c>
      <c r="CF2086" s="5" t="s">
        <v>238</v>
      </c>
      <c r="CI2086" s="6" t="s">
        <v>257</v>
      </c>
      <c r="CJ2086" s="5" t="s">
        <v>238</v>
      </c>
      <c r="CK2086" s="5" t="s">
        <v>258</v>
      </c>
      <c r="CL2086" s="5" t="s">
        <v>238</v>
      </c>
      <c r="CM2086" s="5" t="s">
        <v>238</v>
      </c>
      <c r="CN2086" s="5">
        <v>0</v>
      </c>
      <c r="CO2086" s="5" t="s">
        <v>259</v>
      </c>
      <c r="CP2086" s="5" t="s">
        <v>260</v>
      </c>
      <c r="CQ2086" s="5" t="s">
        <v>260</v>
      </c>
      <c r="CR2086" s="5" t="s">
        <v>261</v>
      </c>
      <c r="CU2086" s="8">
        <f>1</f>
        <v>1</v>
      </c>
      <c r="CV2086" s="8">
        <f>0</f>
        <v>0</v>
      </c>
      <c r="CX2086" s="8">
        <f>0</f>
        <v>0</v>
      </c>
      <c r="CY2086" s="8">
        <f>1</f>
        <v>1</v>
      </c>
      <c r="DA2086" s="5" t="s">
        <v>274</v>
      </c>
      <c r="DB2086" s="5" t="s">
        <v>238</v>
      </c>
      <c r="DD2086" s="5" t="s">
        <v>274</v>
      </c>
      <c r="DE2086" s="8">
        <f>1356</f>
        <v>1356</v>
      </c>
      <c r="DG2086" s="5" t="s">
        <v>238</v>
      </c>
      <c r="DH2086" s="5" t="s">
        <v>238</v>
      </c>
      <c r="DI2086" s="5" t="s">
        <v>238</v>
      </c>
      <c r="DJ2086" s="5" t="s">
        <v>238</v>
      </c>
      <c r="DN2086" s="5" t="s">
        <v>238</v>
      </c>
      <c r="DO2086" s="5" t="s">
        <v>238</v>
      </c>
      <c r="DP2086" s="5" t="s">
        <v>238</v>
      </c>
      <c r="DQ2086" s="5" t="s">
        <v>238</v>
      </c>
      <c r="DT2086" s="5" t="s">
        <v>275</v>
      </c>
      <c r="DU2086" s="5" t="s">
        <v>440</v>
      </c>
      <c r="HM2086" s="5" t="s">
        <v>264</v>
      </c>
    </row>
    <row r="2087" spans="1:221" x14ac:dyDescent="0.4">
      <c r="A2087" s="5">
        <v>3791</v>
      </c>
      <c r="B2087" s="5">
        <v>1</v>
      </c>
      <c r="C2087" s="5">
        <v>1</v>
      </c>
      <c r="D2087" s="5" t="s">
        <v>269</v>
      </c>
      <c r="E2087" s="5" t="s">
        <v>271</v>
      </c>
      <c r="F2087" s="5" t="s">
        <v>248</v>
      </c>
      <c r="G2087" s="5" t="s">
        <v>266</v>
      </c>
      <c r="H2087" s="6" t="s">
        <v>443</v>
      </c>
      <c r="I2087" s="7">
        <f>61</f>
        <v>61</v>
      </c>
      <c r="J2087" s="5" t="s">
        <v>262</v>
      </c>
      <c r="K2087" s="8">
        <f>1</f>
        <v>1</v>
      </c>
      <c r="L2087" s="6" t="s">
        <v>242</v>
      </c>
      <c r="M2087" s="5" t="s">
        <v>267</v>
      </c>
      <c r="N2087" s="5" t="s">
        <v>265</v>
      </c>
      <c r="O2087" s="5" t="s">
        <v>238</v>
      </c>
      <c r="P2087" s="5" t="s">
        <v>238</v>
      </c>
      <c r="Q2087" s="5" t="s">
        <v>268</v>
      </c>
      <c r="R2087" s="5" t="s">
        <v>270</v>
      </c>
      <c r="S2087" s="5" t="s">
        <v>238</v>
      </c>
      <c r="V2087" s="5" t="s">
        <v>238</v>
      </c>
      <c r="X2087" s="6" t="s">
        <v>238</v>
      </c>
      <c r="AA2087" s="6" t="s">
        <v>243</v>
      </c>
      <c r="AB2087" s="5" t="s">
        <v>238</v>
      </c>
      <c r="AC2087" s="5" t="s">
        <v>244</v>
      </c>
      <c r="AD2087" s="5" t="s">
        <v>245</v>
      </c>
      <c r="AT2087" s="5" t="s">
        <v>246</v>
      </c>
      <c r="AU2087" s="5" t="s">
        <v>238</v>
      </c>
      <c r="AV2087" s="5" t="s">
        <v>247</v>
      </c>
      <c r="AW2087" s="5" t="s">
        <v>238</v>
      </c>
      <c r="AX2087" s="5" t="s">
        <v>249</v>
      </c>
      <c r="AY2087" s="5" t="s">
        <v>238</v>
      </c>
      <c r="BA2087" s="5" t="s">
        <v>238</v>
      </c>
      <c r="BC2087" s="5" t="s">
        <v>250</v>
      </c>
      <c r="BD2087" s="6" t="s">
        <v>243</v>
      </c>
      <c r="BE2087" s="5" t="s">
        <v>251</v>
      </c>
      <c r="BF2087" s="5" t="s">
        <v>252</v>
      </c>
      <c r="BG2087" s="5" t="s">
        <v>238</v>
      </c>
      <c r="BH2087" s="7">
        <f>0</f>
        <v>0</v>
      </c>
      <c r="BI2087" s="8">
        <f>0</f>
        <v>0</v>
      </c>
      <c r="BJ2087" s="5" t="s">
        <v>253</v>
      </c>
      <c r="BK2087" s="5" t="s">
        <v>254</v>
      </c>
      <c r="BY2087" s="5" t="s">
        <v>238</v>
      </c>
      <c r="BZ2087" s="5" t="s">
        <v>238</v>
      </c>
      <c r="CD2087" s="5" t="s">
        <v>273</v>
      </c>
      <c r="CE2087" s="5" t="s">
        <v>256</v>
      </c>
      <c r="CF2087" s="5" t="s">
        <v>238</v>
      </c>
      <c r="CI2087" s="6" t="s">
        <v>257</v>
      </c>
      <c r="CJ2087" s="5" t="s">
        <v>238</v>
      </c>
      <c r="CK2087" s="5" t="s">
        <v>258</v>
      </c>
      <c r="CL2087" s="5" t="s">
        <v>238</v>
      </c>
      <c r="CM2087" s="5" t="s">
        <v>238</v>
      </c>
      <c r="CN2087" s="5">
        <v>0</v>
      </c>
      <c r="CO2087" s="5" t="s">
        <v>259</v>
      </c>
      <c r="CP2087" s="5" t="s">
        <v>260</v>
      </c>
      <c r="CQ2087" s="5" t="s">
        <v>260</v>
      </c>
      <c r="CR2087" s="5" t="s">
        <v>261</v>
      </c>
      <c r="CU2087" s="8">
        <f>1</f>
        <v>1</v>
      </c>
      <c r="CV2087" s="8">
        <f>0</f>
        <v>0</v>
      </c>
      <c r="CX2087" s="8">
        <f>0</f>
        <v>0</v>
      </c>
      <c r="CY2087" s="8">
        <f>1</f>
        <v>1</v>
      </c>
      <c r="DA2087" s="5" t="s">
        <v>274</v>
      </c>
      <c r="DB2087" s="5" t="s">
        <v>238</v>
      </c>
      <c r="DD2087" s="5" t="s">
        <v>274</v>
      </c>
      <c r="DE2087" s="8">
        <f>61</f>
        <v>61</v>
      </c>
      <c r="DG2087" s="5" t="s">
        <v>238</v>
      </c>
      <c r="DH2087" s="5" t="s">
        <v>238</v>
      </c>
      <c r="DI2087" s="5" t="s">
        <v>238</v>
      </c>
      <c r="DJ2087" s="5" t="s">
        <v>238</v>
      </c>
      <c r="DN2087" s="5" t="s">
        <v>238</v>
      </c>
      <c r="DO2087" s="5" t="s">
        <v>238</v>
      </c>
      <c r="DP2087" s="5" t="s">
        <v>238</v>
      </c>
      <c r="DQ2087" s="5" t="s">
        <v>238</v>
      </c>
      <c r="DT2087" s="5" t="s">
        <v>275</v>
      </c>
      <c r="DU2087" s="5" t="s">
        <v>444</v>
      </c>
      <c r="HM2087" s="5" t="s">
        <v>264</v>
      </c>
    </row>
    <row r="2088" spans="1:221" x14ac:dyDescent="0.4">
      <c r="A2088" s="5">
        <v>3792</v>
      </c>
      <c r="B2088" s="5">
        <v>1</v>
      </c>
      <c r="C2088" s="5">
        <v>1</v>
      </c>
      <c r="D2088" s="5" t="s">
        <v>269</v>
      </c>
      <c r="E2088" s="5" t="s">
        <v>271</v>
      </c>
      <c r="F2088" s="5" t="s">
        <v>248</v>
      </c>
      <c r="G2088" s="5" t="s">
        <v>266</v>
      </c>
      <c r="H2088" s="6" t="s">
        <v>445</v>
      </c>
      <c r="I2088" s="7">
        <f>5.55</f>
        <v>5.55</v>
      </c>
      <c r="J2088" s="5" t="s">
        <v>262</v>
      </c>
      <c r="K2088" s="8">
        <f>1</f>
        <v>1</v>
      </c>
      <c r="L2088" s="6" t="s">
        <v>242</v>
      </c>
      <c r="M2088" s="5" t="s">
        <v>267</v>
      </c>
      <c r="N2088" s="5" t="s">
        <v>265</v>
      </c>
      <c r="O2088" s="5" t="s">
        <v>238</v>
      </c>
      <c r="P2088" s="5" t="s">
        <v>238</v>
      </c>
      <c r="Q2088" s="5" t="s">
        <v>268</v>
      </c>
      <c r="R2088" s="5" t="s">
        <v>270</v>
      </c>
      <c r="S2088" s="5" t="s">
        <v>238</v>
      </c>
      <c r="V2088" s="5" t="s">
        <v>238</v>
      </c>
      <c r="X2088" s="6" t="s">
        <v>238</v>
      </c>
      <c r="AA2088" s="6" t="s">
        <v>243</v>
      </c>
      <c r="AB2088" s="5" t="s">
        <v>238</v>
      </c>
      <c r="AC2088" s="5" t="s">
        <v>244</v>
      </c>
      <c r="AD2088" s="5" t="s">
        <v>245</v>
      </c>
      <c r="AT2088" s="5" t="s">
        <v>246</v>
      </c>
      <c r="AU2088" s="5" t="s">
        <v>238</v>
      </c>
      <c r="AV2088" s="5" t="s">
        <v>247</v>
      </c>
      <c r="AW2088" s="5" t="s">
        <v>238</v>
      </c>
      <c r="AX2088" s="5" t="s">
        <v>249</v>
      </c>
      <c r="AY2088" s="5" t="s">
        <v>238</v>
      </c>
      <c r="BA2088" s="5" t="s">
        <v>238</v>
      </c>
      <c r="BC2088" s="5" t="s">
        <v>250</v>
      </c>
      <c r="BD2088" s="6" t="s">
        <v>243</v>
      </c>
      <c r="BE2088" s="5" t="s">
        <v>251</v>
      </c>
      <c r="BF2088" s="5" t="s">
        <v>252</v>
      </c>
      <c r="BG2088" s="5" t="s">
        <v>238</v>
      </c>
      <c r="BH2088" s="7">
        <f>0</f>
        <v>0</v>
      </c>
      <c r="BI2088" s="8">
        <f>0</f>
        <v>0</v>
      </c>
      <c r="BJ2088" s="5" t="s">
        <v>253</v>
      </c>
      <c r="BK2088" s="5" t="s">
        <v>254</v>
      </c>
      <c r="BY2088" s="5" t="s">
        <v>238</v>
      </c>
      <c r="BZ2088" s="5" t="s">
        <v>238</v>
      </c>
      <c r="CD2088" s="5" t="s">
        <v>273</v>
      </c>
      <c r="CE2088" s="5" t="s">
        <v>256</v>
      </c>
      <c r="CF2088" s="5" t="s">
        <v>238</v>
      </c>
      <c r="CI2088" s="6" t="s">
        <v>257</v>
      </c>
      <c r="CJ2088" s="5" t="s">
        <v>238</v>
      </c>
      <c r="CK2088" s="5" t="s">
        <v>258</v>
      </c>
      <c r="CL2088" s="5" t="s">
        <v>238</v>
      </c>
      <c r="CM2088" s="5" t="s">
        <v>238</v>
      </c>
      <c r="CN2088" s="5">
        <v>0</v>
      </c>
      <c r="CO2088" s="5" t="s">
        <v>259</v>
      </c>
      <c r="CP2088" s="5" t="s">
        <v>260</v>
      </c>
      <c r="CQ2088" s="5" t="s">
        <v>260</v>
      </c>
      <c r="CR2088" s="5" t="s">
        <v>261</v>
      </c>
      <c r="CU2088" s="8">
        <f>1</f>
        <v>1</v>
      </c>
      <c r="CV2088" s="8">
        <f>0</f>
        <v>0</v>
      </c>
      <c r="CX2088" s="8">
        <f>0</f>
        <v>0</v>
      </c>
      <c r="CY2088" s="8">
        <f>1</f>
        <v>1</v>
      </c>
      <c r="DA2088" s="5" t="s">
        <v>274</v>
      </c>
      <c r="DB2088" s="5" t="s">
        <v>238</v>
      </c>
      <c r="DD2088" s="5" t="s">
        <v>274</v>
      </c>
      <c r="DE2088" s="8">
        <f>5.55</f>
        <v>5.55</v>
      </c>
      <c r="DG2088" s="5" t="s">
        <v>238</v>
      </c>
      <c r="DH2088" s="5" t="s">
        <v>238</v>
      </c>
      <c r="DI2088" s="5" t="s">
        <v>238</v>
      </c>
      <c r="DJ2088" s="5" t="s">
        <v>238</v>
      </c>
      <c r="DN2088" s="5" t="s">
        <v>238</v>
      </c>
      <c r="DO2088" s="5" t="s">
        <v>238</v>
      </c>
      <c r="DP2088" s="5" t="s">
        <v>238</v>
      </c>
      <c r="DQ2088" s="5" t="s">
        <v>238</v>
      </c>
      <c r="DT2088" s="5" t="s">
        <v>275</v>
      </c>
      <c r="DU2088" s="5" t="s">
        <v>446</v>
      </c>
      <c r="HM2088" s="5" t="s">
        <v>264</v>
      </c>
    </row>
    <row r="2089" spans="1:221" x14ac:dyDescent="0.4">
      <c r="A2089" s="5">
        <v>3793</v>
      </c>
      <c r="B2089" s="5">
        <v>1</v>
      </c>
      <c r="C2089" s="5">
        <v>1</v>
      </c>
      <c r="D2089" s="5" t="s">
        <v>269</v>
      </c>
      <c r="E2089" s="5" t="s">
        <v>271</v>
      </c>
      <c r="F2089" s="5" t="s">
        <v>248</v>
      </c>
      <c r="G2089" s="5" t="s">
        <v>266</v>
      </c>
      <c r="H2089" s="6" t="s">
        <v>449</v>
      </c>
      <c r="I2089" s="7">
        <f>1001</f>
        <v>1001</v>
      </c>
      <c r="J2089" s="5" t="s">
        <v>262</v>
      </c>
      <c r="K2089" s="8">
        <f>1</f>
        <v>1</v>
      </c>
      <c r="L2089" s="6" t="s">
        <v>242</v>
      </c>
      <c r="M2089" s="5" t="s">
        <v>267</v>
      </c>
      <c r="N2089" s="5" t="s">
        <v>265</v>
      </c>
      <c r="O2089" s="5" t="s">
        <v>238</v>
      </c>
      <c r="P2089" s="5" t="s">
        <v>238</v>
      </c>
      <c r="Q2089" s="5" t="s">
        <v>268</v>
      </c>
      <c r="R2089" s="5" t="s">
        <v>270</v>
      </c>
      <c r="S2089" s="5" t="s">
        <v>238</v>
      </c>
      <c r="V2089" s="5" t="s">
        <v>238</v>
      </c>
      <c r="X2089" s="6" t="s">
        <v>238</v>
      </c>
      <c r="AA2089" s="6" t="s">
        <v>243</v>
      </c>
      <c r="AB2089" s="5" t="s">
        <v>238</v>
      </c>
      <c r="AC2089" s="5" t="s">
        <v>244</v>
      </c>
      <c r="AD2089" s="5" t="s">
        <v>245</v>
      </c>
      <c r="AT2089" s="5" t="s">
        <v>246</v>
      </c>
      <c r="AU2089" s="5" t="s">
        <v>238</v>
      </c>
      <c r="AV2089" s="5" t="s">
        <v>247</v>
      </c>
      <c r="AW2089" s="5" t="s">
        <v>238</v>
      </c>
      <c r="AX2089" s="5" t="s">
        <v>249</v>
      </c>
      <c r="AY2089" s="5" t="s">
        <v>238</v>
      </c>
      <c r="BA2089" s="5" t="s">
        <v>238</v>
      </c>
      <c r="BC2089" s="5" t="s">
        <v>250</v>
      </c>
      <c r="BD2089" s="6" t="s">
        <v>243</v>
      </c>
      <c r="BE2089" s="5" t="s">
        <v>251</v>
      </c>
      <c r="BF2089" s="5" t="s">
        <v>252</v>
      </c>
      <c r="BG2089" s="5" t="s">
        <v>238</v>
      </c>
      <c r="BH2089" s="7">
        <f>0</f>
        <v>0</v>
      </c>
      <c r="BI2089" s="8">
        <f>0</f>
        <v>0</v>
      </c>
      <c r="BJ2089" s="5" t="s">
        <v>253</v>
      </c>
      <c r="BK2089" s="5" t="s">
        <v>254</v>
      </c>
      <c r="BY2089" s="5" t="s">
        <v>238</v>
      </c>
      <c r="BZ2089" s="5" t="s">
        <v>238</v>
      </c>
      <c r="CD2089" s="5" t="s">
        <v>273</v>
      </c>
      <c r="CE2089" s="5" t="s">
        <v>256</v>
      </c>
      <c r="CF2089" s="5" t="s">
        <v>238</v>
      </c>
      <c r="CI2089" s="6" t="s">
        <v>257</v>
      </c>
      <c r="CJ2089" s="5" t="s">
        <v>238</v>
      </c>
      <c r="CK2089" s="5" t="s">
        <v>258</v>
      </c>
      <c r="CL2089" s="5" t="s">
        <v>238</v>
      </c>
      <c r="CM2089" s="5" t="s">
        <v>238</v>
      </c>
      <c r="CN2089" s="5">
        <v>0</v>
      </c>
      <c r="CO2089" s="5" t="s">
        <v>259</v>
      </c>
      <c r="CP2089" s="5" t="s">
        <v>260</v>
      </c>
      <c r="CQ2089" s="5" t="s">
        <v>260</v>
      </c>
      <c r="CR2089" s="5" t="s">
        <v>261</v>
      </c>
      <c r="CU2089" s="8">
        <f>1</f>
        <v>1</v>
      </c>
      <c r="CV2089" s="8">
        <f>0</f>
        <v>0</v>
      </c>
      <c r="CX2089" s="8">
        <f>0</f>
        <v>0</v>
      </c>
      <c r="CY2089" s="8">
        <f>1</f>
        <v>1</v>
      </c>
      <c r="DA2089" s="5" t="s">
        <v>274</v>
      </c>
      <c r="DB2089" s="5" t="s">
        <v>238</v>
      </c>
      <c r="DD2089" s="5" t="s">
        <v>274</v>
      </c>
      <c r="DE2089" s="8">
        <f>1001</f>
        <v>1001</v>
      </c>
      <c r="DG2089" s="5" t="s">
        <v>238</v>
      </c>
      <c r="DH2089" s="5" t="s">
        <v>238</v>
      </c>
      <c r="DI2089" s="5" t="s">
        <v>238</v>
      </c>
      <c r="DJ2089" s="5" t="s">
        <v>238</v>
      </c>
      <c r="DN2089" s="5" t="s">
        <v>238</v>
      </c>
      <c r="DO2089" s="5" t="s">
        <v>238</v>
      </c>
      <c r="DP2089" s="5" t="s">
        <v>238</v>
      </c>
      <c r="DQ2089" s="5" t="s">
        <v>238</v>
      </c>
      <c r="DT2089" s="5" t="s">
        <v>275</v>
      </c>
      <c r="DU2089" s="5" t="s">
        <v>450</v>
      </c>
      <c r="HM2089" s="5" t="s">
        <v>264</v>
      </c>
    </row>
    <row r="2090" spans="1:221" x14ac:dyDescent="0.4">
      <c r="A2090" s="5">
        <v>3794</v>
      </c>
      <c r="B2090" s="5">
        <v>1</v>
      </c>
      <c r="C2090" s="5">
        <v>1</v>
      </c>
      <c r="D2090" s="5" t="s">
        <v>269</v>
      </c>
      <c r="E2090" s="5" t="s">
        <v>271</v>
      </c>
      <c r="F2090" s="5" t="s">
        <v>248</v>
      </c>
      <c r="G2090" s="5" t="s">
        <v>266</v>
      </c>
      <c r="H2090" s="6" t="s">
        <v>5426</v>
      </c>
      <c r="I2090" s="7">
        <f>1715</f>
        <v>1715</v>
      </c>
      <c r="J2090" s="5" t="s">
        <v>262</v>
      </c>
      <c r="K2090" s="8">
        <f>1</f>
        <v>1</v>
      </c>
      <c r="L2090" s="6" t="s">
        <v>242</v>
      </c>
      <c r="M2090" s="5" t="s">
        <v>267</v>
      </c>
      <c r="N2090" s="5" t="s">
        <v>265</v>
      </c>
      <c r="O2090" s="5" t="s">
        <v>238</v>
      </c>
      <c r="P2090" s="5" t="s">
        <v>238</v>
      </c>
      <c r="Q2090" s="5" t="s">
        <v>268</v>
      </c>
      <c r="R2090" s="5" t="s">
        <v>270</v>
      </c>
      <c r="S2090" s="5" t="s">
        <v>238</v>
      </c>
      <c r="V2090" s="5" t="s">
        <v>238</v>
      </c>
      <c r="X2090" s="6" t="s">
        <v>238</v>
      </c>
      <c r="AA2090" s="6" t="s">
        <v>243</v>
      </c>
      <c r="AB2090" s="5" t="s">
        <v>238</v>
      </c>
      <c r="AC2090" s="5" t="s">
        <v>244</v>
      </c>
      <c r="AD2090" s="5" t="s">
        <v>245</v>
      </c>
      <c r="AT2090" s="5" t="s">
        <v>246</v>
      </c>
      <c r="AU2090" s="5" t="s">
        <v>238</v>
      </c>
      <c r="AV2090" s="5" t="s">
        <v>247</v>
      </c>
      <c r="AW2090" s="5" t="s">
        <v>238</v>
      </c>
      <c r="AX2090" s="5" t="s">
        <v>249</v>
      </c>
      <c r="AY2090" s="5" t="s">
        <v>238</v>
      </c>
      <c r="BA2090" s="5" t="s">
        <v>238</v>
      </c>
      <c r="BC2090" s="5" t="s">
        <v>250</v>
      </c>
      <c r="BD2090" s="6" t="s">
        <v>243</v>
      </c>
      <c r="BE2090" s="5" t="s">
        <v>251</v>
      </c>
      <c r="BF2090" s="5" t="s">
        <v>252</v>
      </c>
      <c r="BG2090" s="5" t="s">
        <v>238</v>
      </c>
      <c r="BH2090" s="7">
        <f>0</f>
        <v>0</v>
      </c>
      <c r="BI2090" s="8">
        <f>0</f>
        <v>0</v>
      </c>
      <c r="BJ2090" s="5" t="s">
        <v>253</v>
      </c>
      <c r="BK2090" s="5" t="s">
        <v>254</v>
      </c>
      <c r="BY2090" s="5" t="s">
        <v>238</v>
      </c>
      <c r="BZ2090" s="5" t="s">
        <v>238</v>
      </c>
      <c r="CD2090" s="5" t="s">
        <v>273</v>
      </c>
      <c r="CE2090" s="5" t="s">
        <v>256</v>
      </c>
      <c r="CF2090" s="5" t="s">
        <v>238</v>
      </c>
      <c r="CI2090" s="6" t="s">
        <v>257</v>
      </c>
      <c r="CJ2090" s="5" t="s">
        <v>238</v>
      </c>
      <c r="CK2090" s="5" t="s">
        <v>258</v>
      </c>
      <c r="CL2090" s="5" t="s">
        <v>238</v>
      </c>
      <c r="CM2090" s="5" t="s">
        <v>238</v>
      </c>
      <c r="CN2090" s="5">
        <v>0</v>
      </c>
      <c r="CO2090" s="5" t="s">
        <v>259</v>
      </c>
      <c r="CP2090" s="5" t="s">
        <v>260</v>
      </c>
      <c r="CQ2090" s="5" t="s">
        <v>260</v>
      </c>
      <c r="CR2090" s="5" t="s">
        <v>261</v>
      </c>
      <c r="CU2090" s="8">
        <f>1</f>
        <v>1</v>
      </c>
      <c r="CV2090" s="8">
        <f>0</f>
        <v>0</v>
      </c>
      <c r="CX2090" s="8">
        <f>0</f>
        <v>0</v>
      </c>
      <c r="CY2090" s="8">
        <f>1</f>
        <v>1</v>
      </c>
      <c r="DA2090" s="5" t="s">
        <v>274</v>
      </c>
      <c r="DB2090" s="5" t="s">
        <v>238</v>
      </c>
      <c r="DD2090" s="5" t="s">
        <v>274</v>
      </c>
      <c r="DE2090" s="8">
        <f>1715</f>
        <v>1715</v>
      </c>
      <c r="DG2090" s="5" t="s">
        <v>238</v>
      </c>
      <c r="DH2090" s="5" t="s">
        <v>238</v>
      </c>
      <c r="DI2090" s="5" t="s">
        <v>238</v>
      </c>
      <c r="DJ2090" s="5" t="s">
        <v>238</v>
      </c>
      <c r="DN2090" s="5" t="s">
        <v>238</v>
      </c>
      <c r="DO2090" s="5" t="s">
        <v>238</v>
      </c>
      <c r="DP2090" s="5" t="s">
        <v>238</v>
      </c>
      <c r="DQ2090" s="5" t="s">
        <v>238</v>
      </c>
      <c r="DT2090" s="5" t="s">
        <v>275</v>
      </c>
      <c r="DU2090" s="5" t="s">
        <v>3306</v>
      </c>
      <c r="HM2090" s="5" t="s">
        <v>264</v>
      </c>
    </row>
    <row r="2091" spans="1:221" x14ac:dyDescent="0.4">
      <c r="A2091" s="5">
        <v>3795</v>
      </c>
      <c r="B2091" s="5">
        <v>1</v>
      </c>
      <c r="C2091" s="5">
        <v>1</v>
      </c>
      <c r="D2091" s="5" t="s">
        <v>269</v>
      </c>
      <c r="E2091" s="5" t="s">
        <v>271</v>
      </c>
      <c r="F2091" s="5" t="s">
        <v>248</v>
      </c>
      <c r="G2091" s="5" t="s">
        <v>266</v>
      </c>
      <c r="H2091" s="6" t="s">
        <v>453</v>
      </c>
      <c r="I2091" s="7">
        <f>510</f>
        <v>510</v>
      </c>
      <c r="J2091" s="5" t="s">
        <v>262</v>
      </c>
      <c r="K2091" s="8">
        <f>1</f>
        <v>1</v>
      </c>
      <c r="L2091" s="6" t="s">
        <v>242</v>
      </c>
      <c r="M2091" s="5" t="s">
        <v>267</v>
      </c>
      <c r="N2091" s="5" t="s">
        <v>265</v>
      </c>
      <c r="O2091" s="5" t="s">
        <v>238</v>
      </c>
      <c r="P2091" s="5" t="s">
        <v>238</v>
      </c>
      <c r="Q2091" s="5" t="s">
        <v>268</v>
      </c>
      <c r="R2091" s="5" t="s">
        <v>270</v>
      </c>
      <c r="S2091" s="5" t="s">
        <v>238</v>
      </c>
      <c r="V2091" s="5" t="s">
        <v>238</v>
      </c>
      <c r="X2091" s="6" t="s">
        <v>238</v>
      </c>
      <c r="AA2091" s="6" t="s">
        <v>243</v>
      </c>
      <c r="AB2091" s="5" t="s">
        <v>238</v>
      </c>
      <c r="AC2091" s="5" t="s">
        <v>244</v>
      </c>
      <c r="AD2091" s="5" t="s">
        <v>245</v>
      </c>
      <c r="AT2091" s="5" t="s">
        <v>246</v>
      </c>
      <c r="AU2091" s="5" t="s">
        <v>238</v>
      </c>
      <c r="AV2091" s="5" t="s">
        <v>247</v>
      </c>
      <c r="AW2091" s="5" t="s">
        <v>238</v>
      </c>
      <c r="AX2091" s="5" t="s">
        <v>249</v>
      </c>
      <c r="AY2091" s="5" t="s">
        <v>238</v>
      </c>
      <c r="BA2091" s="5" t="s">
        <v>238</v>
      </c>
      <c r="BC2091" s="5" t="s">
        <v>250</v>
      </c>
      <c r="BD2091" s="6" t="s">
        <v>243</v>
      </c>
      <c r="BE2091" s="5" t="s">
        <v>251</v>
      </c>
      <c r="BF2091" s="5" t="s">
        <v>252</v>
      </c>
      <c r="BG2091" s="5" t="s">
        <v>238</v>
      </c>
      <c r="BH2091" s="7">
        <f>0</f>
        <v>0</v>
      </c>
      <c r="BI2091" s="8">
        <f>0</f>
        <v>0</v>
      </c>
      <c r="BJ2091" s="5" t="s">
        <v>253</v>
      </c>
      <c r="BK2091" s="5" t="s">
        <v>254</v>
      </c>
      <c r="BY2091" s="5" t="s">
        <v>238</v>
      </c>
      <c r="BZ2091" s="5" t="s">
        <v>238</v>
      </c>
      <c r="CD2091" s="5" t="s">
        <v>273</v>
      </c>
      <c r="CE2091" s="5" t="s">
        <v>256</v>
      </c>
      <c r="CF2091" s="5" t="s">
        <v>238</v>
      </c>
      <c r="CI2091" s="6" t="s">
        <v>257</v>
      </c>
      <c r="CJ2091" s="5" t="s">
        <v>238</v>
      </c>
      <c r="CK2091" s="5" t="s">
        <v>258</v>
      </c>
      <c r="CL2091" s="5" t="s">
        <v>238</v>
      </c>
      <c r="CM2091" s="5" t="s">
        <v>238</v>
      </c>
      <c r="CN2091" s="5">
        <v>0</v>
      </c>
      <c r="CO2091" s="5" t="s">
        <v>259</v>
      </c>
      <c r="CP2091" s="5" t="s">
        <v>260</v>
      </c>
      <c r="CQ2091" s="5" t="s">
        <v>260</v>
      </c>
      <c r="CR2091" s="5" t="s">
        <v>261</v>
      </c>
      <c r="CU2091" s="8">
        <f>1</f>
        <v>1</v>
      </c>
      <c r="CV2091" s="8">
        <f>0</f>
        <v>0</v>
      </c>
      <c r="CX2091" s="8">
        <f>0</f>
        <v>0</v>
      </c>
      <c r="CY2091" s="8">
        <f>1</f>
        <v>1</v>
      </c>
      <c r="DA2091" s="5" t="s">
        <v>274</v>
      </c>
      <c r="DB2091" s="5" t="s">
        <v>238</v>
      </c>
      <c r="DD2091" s="5" t="s">
        <v>274</v>
      </c>
      <c r="DE2091" s="8">
        <f>510</f>
        <v>510</v>
      </c>
      <c r="DG2091" s="5" t="s">
        <v>238</v>
      </c>
      <c r="DH2091" s="5" t="s">
        <v>238</v>
      </c>
      <c r="DI2091" s="5" t="s">
        <v>238</v>
      </c>
      <c r="DJ2091" s="5" t="s">
        <v>238</v>
      </c>
      <c r="DN2091" s="5" t="s">
        <v>238</v>
      </c>
      <c r="DO2091" s="5" t="s">
        <v>238</v>
      </c>
      <c r="DP2091" s="5" t="s">
        <v>238</v>
      </c>
      <c r="DQ2091" s="5" t="s">
        <v>238</v>
      </c>
      <c r="DT2091" s="5" t="s">
        <v>275</v>
      </c>
      <c r="DU2091" s="5" t="s">
        <v>454</v>
      </c>
      <c r="HM2091" s="5" t="s">
        <v>264</v>
      </c>
    </row>
    <row r="2092" spans="1:221" x14ac:dyDescent="0.4">
      <c r="A2092" s="5">
        <v>3796</v>
      </c>
      <c r="B2092" s="5">
        <v>1</v>
      </c>
      <c r="C2092" s="5">
        <v>1</v>
      </c>
      <c r="D2092" s="5" t="s">
        <v>269</v>
      </c>
      <c r="E2092" s="5" t="s">
        <v>271</v>
      </c>
      <c r="F2092" s="5" t="s">
        <v>248</v>
      </c>
      <c r="G2092" s="5" t="s">
        <v>266</v>
      </c>
      <c r="H2092" s="6" t="s">
        <v>455</v>
      </c>
      <c r="I2092" s="7">
        <f>301</f>
        <v>301</v>
      </c>
      <c r="J2092" s="5" t="s">
        <v>262</v>
      </c>
      <c r="K2092" s="8">
        <f>1</f>
        <v>1</v>
      </c>
      <c r="L2092" s="6" t="s">
        <v>242</v>
      </c>
      <c r="M2092" s="5" t="s">
        <v>267</v>
      </c>
      <c r="N2092" s="5" t="s">
        <v>265</v>
      </c>
      <c r="O2092" s="5" t="s">
        <v>238</v>
      </c>
      <c r="P2092" s="5" t="s">
        <v>238</v>
      </c>
      <c r="Q2092" s="5" t="s">
        <v>268</v>
      </c>
      <c r="R2092" s="5" t="s">
        <v>270</v>
      </c>
      <c r="S2092" s="5" t="s">
        <v>238</v>
      </c>
      <c r="V2092" s="5" t="s">
        <v>238</v>
      </c>
      <c r="X2092" s="6" t="s">
        <v>238</v>
      </c>
      <c r="AA2092" s="6" t="s">
        <v>243</v>
      </c>
      <c r="AB2092" s="5" t="s">
        <v>238</v>
      </c>
      <c r="AC2092" s="5" t="s">
        <v>244</v>
      </c>
      <c r="AD2092" s="5" t="s">
        <v>245</v>
      </c>
      <c r="AT2092" s="5" t="s">
        <v>246</v>
      </c>
      <c r="AU2092" s="5" t="s">
        <v>238</v>
      </c>
      <c r="AV2092" s="5" t="s">
        <v>247</v>
      </c>
      <c r="AW2092" s="5" t="s">
        <v>238</v>
      </c>
      <c r="AX2092" s="5" t="s">
        <v>249</v>
      </c>
      <c r="AY2092" s="5" t="s">
        <v>238</v>
      </c>
      <c r="BA2092" s="5" t="s">
        <v>238</v>
      </c>
      <c r="BC2092" s="5" t="s">
        <v>250</v>
      </c>
      <c r="BD2092" s="6" t="s">
        <v>243</v>
      </c>
      <c r="BE2092" s="5" t="s">
        <v>251</v>
      </c>
      <c r="BF2092" s="5" t="s">
        <v>252</v>
      </c>
      <c r="BG2092" s="5" t="s">
        <v>238</v>
      </c>
      <c r="BH2092" s="7">
        <f>0</f>
        <v>0</v>
      </c>
      <c r="BI2092" s="8">
        <f>0</f>
        <v>0</v>
      </c>
      <c r="BJ2092" s="5" t="s">
        <v>253</v>
      </c>
      <c r="BK2092" s="5" t="s">
        <v>254</v>
      </c>
      <c r="BY2092" s="5" t="s">
        <v>238</v>
      </c>
      <c r="BZ2092" s="5" t="s">
        <v>238</v>
      </c>
      <c r="CD2092" s="5" t="s">
        <v>273</v>
      </c>
      <c r="CE2092" s="5" t="s">
        <v>256</v>
      </c>
      <c r="CF2092" s="5" t="s">
        <v>238</v>
      </c>
      <c r="CI2092" s="6" t="s">
        <v>257</v>
      </c>
      <c r="CJ2092" s="5" t="s">
        <v>238</v>
      </c>
      <c r="CK2092" s="5" t="s">
        <v>258</v>
      </c>
      <c r="CL2092" s="5" t="s">
        <v>238</v>
      </c>
      <c r="CM2092" s="5" t="s">
        <v>238</v>
      </c>
      <c r="CN2092" s="5">
        <v>0</v>
      </c>
      <c r="CO2092" s="5" t="s">
        <v>259</v>
      </c>
      <c r="CP2092" s="5" t="s">
        <v>260</v>
      </c>
      <c r="CQ2092" s="5" t="s">
        <v>260</v>
      </c>
      <c r="CR2092" s="5" t="s">
        <v>261</v>
      </c>
      <c r="CU2092" s="8">
        <f>1</f>
        <v>1</v>
      </c>
      <c r="CV2092" s="8">
        <f>0</f>
        <v>0</v>
      </c>
      <c r="CX2092" s="8">
        <f>0</f>
        <v>0</v>
      </c>
      <c r="CY2092" s="8">
        <f>1</f>
        <v>1</v>
      </c>
      <c r="DA2092" s="5" t="s">
        <v>274</v>
      </c>
      <c r="DB2092" s="5" t="s">
        <v>238</v>
      </c>
      <c r="DD2092" s="5" t="s">
        <v>274</v>
      </c>
      <c r="DE2092" s="8">
        <f>301</f>
        <v>301</v>
      </c>
      <c r="DG2092" s="5" t="s">
        <v>238</v>
      </c>
      <c r="DH2092" s="5" t="s">
        <v>238</v>
      </c>
      <c r="DI2092" s="5" t="s">
        <v>238</v>
      </c>
      <c r="DJ2092" s="5" t="s">
        <v>238</v>
      </c>
      <c r="DN2092" s="5" t="s">
        <v>238</v>
      </c>
      <c r="DO2092" s="5" t="s">
        <v>238</v>
      </c>
      <c r="DP2092" s="5" t="s">
        <v>238</v>
      </c>
      <c r="DQ2092" s="5" t="s">
        <v>238</v>
      </c>
      <c r="DT2092" s="5" t="s">
        <v>275</v>
      </c>
      <c r="DU2092" s="5" t="s">
        <v>456</v>
      </c>
      <c r="HM2092" s="5" t="s">
        <v>264</v>
      </c>
    </row>
    <row r="2093" spans="1:221" x14ac:dyDescent="0.4">
      <c r="A2093" s="5">
        <v>3797</v>
      </c>
      <c r="B2093" s="5">
        <v>1</v>
      </c>
      <c r="C2093" s="5">
        <v>1</v>
      </c>
      <c r="D2093" s="5" t="s">
        <v>269</v>
      </c>
      <c r="E2093" s="5" t="s">
        <v>271</v>
      </c>
      <c r="F2093" s="5" t="s">
        <v>248</v>
      </c>
      <c r="G2093" s="5" t="s">
        <v>266</v>
      </c>
      <c r="H2093" s="6" t="s">
        <v>459</v>
      </c>
      <c r="I2093" s="7">
        <f>609</f>
        <v>609</v>
      </c>
      <c r="J2093" s="5" t="s">
        <v>262</v>
      </c>
      <c r="K2093" s="8">
        <f>1</f>
        <v>1</v>
      </c>
      <c r="L2093" s="6" t="s">
        <v>242</v>
      </c>
      <c r="M2093" s="5" t="s">
        <v>267</v>
      </c>
      <c r="N2093" s="5" t="s">
        <v>265</v>
      </c>
      <c r="O2093" s="5" t="s">
        <v>238</v>
      </c>
      <c r="P2093" s="5" t="s">
        <v>238</v>
      </c>
      <c r="Q2093" s="5" t="s">
        <v>268</v>
      </c>
      <c r="R2093" s="5" t="s">
        <v>270</v>
      </c>
      <c r="S2093" s="5" t="s">
        <v>238</v>
      </c>
      <c r="V2093" s="5" t="s">
        <v>238</v>
      </c>
      <c r="X2093" s="6" t="s">
        <v>238</v>
      </c>
      <c r="AA2093" s="6" t="s">
        <v>243</v>
      </c>
      <c r="AB2093" s="5" t="s">
        <v>238</v>
      </c>
      <c r="AC2093" s="5" t="s">
        <v>244</v>
      </c>
      <c r="AD2093" s="5" t="s">
        <v>245</v>
      </c>
      <c r="AT2093" s="5" t="s">
        <v>246</v>
      </c>
      <c r="AU2093" s="5" t="s">
        <v>238</v>
      </c>
      <c r="AV2093" s="5" t="s">
        <v>247</v>
      </c>
      <c r="AW2093" s="5" t="s">
        <v>238</v>
      </c>
      <c r="AX2093" s="5" t="s">
        <v>249</v>
      </c>
      <c r="AY2093" s="5" t="s">
        <v>238</v>
      </c>
      <c r="BA2093" s="5" t="s">
        <v>238</v>
      </c>
      <c r="BC2093" s="5" t="s">
        <v>250</v>
      </c>
      <c r="BD2093" s="6" t="s">
        <v>243</v>
      </c>
      <c r="BE2093" s="5" t="s">
        <v>251</v>
      </c>
      <c r="BF2093" s="5" t="s">
        <v>252</v>
      </c>
      <c r="BG2093" s="5" t="s">
        <v>238</v>
      </c>
      <c r="BH2093" s="7">
        <f>0</f>
        <v>0</v>
      </c>
      <c r="BI2093" s="8">
        <f>0</f>
        <v>0</v>
      </c>
      <c r="BJ2093" s="5" t="s">
        <v>253</v>
      </c>
      <c r="BK2093" s="5" t="s">
        <v>254</v>
      </c>
      <c r="BY2093" s="5" t="s">
        <v>238</v>
      </c>
      <c r="BZ2093" s="5" t="s">
        <v>238</v>
      </c>
      <c r="CD2093" s="5" t="s">
        <v>273</v>
      </c>
      <c r="CE2093" s="5" t="s">
        <v>256</v>
      </c>
      <c r="CF2093" s="5" t="s">
        <v>238</v>
      </c>
      <c r="CI2093" s="6" t="s">
        <v>257</v>
      </c>
      <c r="CJ2093" s="5" t="s">
        <v>238</v>
      </c>
      <c r="CK2093" s="5" t="s">
        <v>258</v>
      </c>
      <c r="CL2093" s="5" t="s">
        <v>238</v>
      </c>
      <c r="CM2093" s="5" t="s">
        <v>238</v>
      </c>
      <c r="CN2093" s="5">
        <v>0</v>
      </c>
      <c r="CO2093" s="5" t="s">
        <v>259</v>
      </c>
      <c r="CP2093" s="5" t="s">
        <v>260</v>
      </c>
      <c r="CQ2093" s="5" t="s">
        <v>260</v>
      </c>
      <c r="CR2093" s="5" t="s">
        <v>261</v>
      </c>
      <c r="CU2093" s="8">
        <f>1</f>
        <v>1</v>
      </c>
      <c r="CV2093" s="8">
        <f>0</f>
        <v>0</v>
      </c>
      <c r="CX2093" s="8">
        <f>0</f>
        <v>0</v>
      </c>
      <c r="CY2093" s="8">
        <f>1</f>
        <v>1</v>
      </c>
      <c r="DA2093" s="5" t="s">
        <v>274</v>
      </c>
      <c r="DB2093" s="5" t="s">
        <v>238</v>
      </c>
      <c r="DD2093" s="5" t="s">
        <v>274</v>
      </c>
      <c r="DE2093" s="8">
        <f>609</f>
        <v>609</v>
      </c>
      <c r="DG2093" s="5" t="s">
        <v>238</v>
      </c>
      <c r="DH2093" s="5" t="s">
        <v>238</v>
      </c>
      <c r="DI2093" s="5" t="s">
        <v>238</v>
      </c>
      <c r="DJ2093" s="5" t="s">
        <v>238</v>
      </c>
      <c r="DN2093" s="5" t="s">
        <v>238</v>
      </c>
      <c r="DO2093" s="5" t="s">
        <v>238</v>
      </c>
      <c r="DP2093" s="5" t="s">
        <v>238</v>
      </c>
      <c r="DQ2093" s="5" t="s">
        <v>238</v>
      </c>
      <c r="DT2093" s="5" t="s">
        <v>275</v>
      </c>
      <c r="DU2093" s="5" t="s">
        <v>460</v>
      </c>
      <c r="HM2093" s="5" t="s">
        <v>264</v>
      </c>
    </row>
    <row r="2094" spans="1:221" x14ac:dyDescent="0.4">
      <c r="A2094" s="5">
        <v>3798</v>
      </c>
      <c r="B2094" s="5">
        <v>1</v>
      </c>
      <c r="C2094" s="5">
        <v>1</v>
      </c>
      <c r="D2094" s="5" t="s">
        <v>269</v>
      </c>
      <c r="E2094" s="5" t="s">
        <v>271</v>
      </c>
      <c r="F2094" s="5" t="s">
        <v>248</v>
      </c>
      <c r="G2094" s="5" t="s">
        <v>266</v>
      </c>
      <c r="H2094" s="6" t="s">
        <v>461</v>
      </c>
      <c r="I2094" s="7">
        <f>435</f>
        <v>435</v>
      </c>
      <c r="J2094" s="5" t="s">
        <v>262</v>
      </c>
      <c r="K2094" s="8">
        <f>1</f>
        <v>1</v>
      </c>
      <c r="L2094" s="6" t="s">
        <v>242</v>
      </c>
      <c r="M2094" s="5" t="s">
        <v>267</v>
      </c>
      <c r="N2094" s="5" t="s">
        <v>265</v>
      </c>
      <c r="O2094" s="5" t="s">
        <v>238</v>
      </c>
      <c r="P2094" s="5" t="s">
        <v>238</v>
      </c>
      <c r="Q2094" s="5" t="s">
        <v>268</v>
      </c>
      <c r="R2094" s="5" t="s">
        <v>270</v>
      </c>
      <c r="S2094" s="5" t="s">
        <v>238</v>
      </c>
      <c r="V2094" s="5" t="s">
        <v>238</v>
      </c>
      <c r="X2094" s="6" t="s">
        <v>238</v>
      </c>
      <c r="AA2094" s="6" t="s">
        <v>243</v>
      </c>
      <c r="AB2094" s="5" t="s">
        <v>238</v>
      </c>
      <c r="AC2094" s="5" t="s">
        <v>244</v>
      </c>
      <c r="AD2094" s="5" t="s">
        <v>245</v>
      </c>
      <c r="AT2094" s="5" t="s">
        <v>246</v>
      </c>
      <c r="AU2094" s="5" t="s">
        <v>238</v>
      </c>
      <c r="AV2094" s="5" t="s">
        <v>247</v>
      </c>
      <c r="AW2094" s="5" t="s">
        <v>238</v>
      </c>
      <c r="AX2094" s="5" t="s">
        <v>249</v>
      </c>
      <c r="AY2094" s="5" t="s">
        <v>238</v>
      </c>
      <c r="BA2094" s="5" t="s">
        <v>238</v>
      </c>
      <c r="BC2094" s="5" t="s">
        <v>250</v>
      </c>
      <c r="BD2094" s="6" t="s">
        <v>243</v>
      </c>
      <c r="BE2094" s="5" t="s">
        <v>251</v>
      </c>
      <c r="BF2094" s="5" t="s">
        <v>252</v>
      </c>
      <c r="BG2094" s="5" t="s">
        <v>238</v>
      </c>
      <c r="BH2094" s="7">
        <f>0</f>
        <v>0</v>
      </c>
      <c r="BI2094" s="8">
        <f>0</f>
        <v>0</v>
      </c>
      <c r="BJ2094" s="5" t="s">
        <v>253</v>
      </c>
      <c r="BK2094" s="5" t="s">
        <v>254</v>
      </c>
      <c r="BY2094" s="5" t="s">
        <v>238</v>
      </c>
      <c r="BZ2094" s="5" t="s">
        <v>238</v>
      </c>
      <c r="CD2094" s="5" t="s">
        <v>273</v>
      </c>
      <c r="CE2094" s="5" t="s">
        <v>256</v>
      </c>
      <c r="CF2094" s="5" t="s">
        <v>238</v>
      </c>
      <c r="CI2094" s="6" t="s">
        <v>257</v>
      </c>
      <c r="CJ2094" s="5" t="s">
        <v>238</v>
      </c>
      <c r="CK2094" s="5" t="s">
        <v>258</v>
      </c>
      <c r="CL2094" s="5" t="s">
        <v>238</v>
      </c>
      <c r="CM2094" s="5" t="s">
        <v>238</v>
      </c>
      <c r="CN2094" s="5">
        <v>0</v>
      </c>
      <c r="CO2094" s="5" t="s">
        <v>259</v>
      </c>
      <c r="CP2094" s="5" t="s">
        <v>260</v>
      </c>
      <c r="CQ2094" s="5" t="s">
        <v>260</v>
      </c>
      <c r="CR2094" s="5" t="s">
        <v>261</v>
      </c>
      <c r="CU2094" s="8">
        <f>1</f>
        <v>1</v>
      </c>
      <c r="CV2094" s="8">
        <f>0</f>
        <v>0</v>
      </c>
      <c r="CX2094" s="8">
        <f>0</f>
        <v>0</v>
      </c>
      <c r="CY2094" s="8">
        <f>1</f>
        <v>1</v>
      </c>
      <c r="DA2094" s="5" t="s">
        <v>274</v>
      </c>
      <c r="DB2094" s="5" t="s">
        <v>238</v>
      </c>
      <c r="DD2094" s="5" t="s">
        <v>274</v>
      </c>
      <c r="DE2094" s="8">
        <f>435</f>
        <v>435</v>
      </c>
      <c r="DG2094" s="5" t="s">
        <v>238</v>
      </c>
      <c r="DH2094" s="5" t="s">
        <v>238</v>
      </c>
      <c r="DI2094" s="5" t="s">
        <v>238</v>
      </c>
      <c r="DJ2094" s="5" t="s">
        <v>238</v>
      </c>
      <c r="DN2094" s="5" t="s">
        <v>238</v>
      </c>
      <c r="DO2094" s="5" t="s">
        <v>238</v>
      </c>
      <c r="DP2094" s="5" t="s">
        <v>238</v>
      </c>
      <c r="DQ2094" s="5" t="s">
        <v>238</v>
      </c>
      <c r="DT2094" s="5" t="s">
        <v>275</v>
      </c>
      <c r="DU2094" s="5" t="s">
        <v>462</v>
      </c>
      <c r="HM2094" s="5" t="s">
        <v>264</v>
      </c>
    </row>
    <row r="2095" spans="1:221" x14ac:dyDescent="0.4">
      <c r="A2095" s="5">
        <v>3799</v>
      </c>
      <c r="B2095" s="5">
        <v>1</v>
      </c>
      <c r="C2095" s="5">
        <v>1</v>
      </c>
      <c r="D2095" s="5" t="s">
        <v>269</v>
      </c>
      <c r="E2095" s="5" t="s">
        <v>271</v>
      </c>
      <c r="F2095" s="5" t="s">
        <v>248</v>
      </c>
      <c r="G2095" s="5" t="s">
        <v>266</v>
      </c>
      <c r="H2095" s="6" t="s">
        <v>465</v>
      </c>
      <c r="I2095" s="7">
        <f>1405</f>
        <v>1405</v>
      </c>
      <c r="J2095" s="5" t="s">
        <v>262</v>
      </c>
      <c r="K2095" s="8">
        <f>1</f>
        <v>1</v>
      </c>
      <c r="L2095" s="6" t="s">
        <v>242</v>
      </c>
      <c r="M2095" s="5" t="s">
        <v>267</v>
      </c>
      <c r="N2095" s="5" t="s">
        <v>265</v>
      </c>
      <c r="O2095" s="5" t="s">
        <v>238</v>
      </c>
      <c r="P2095" s="5" t="s">
        <v>238</v>
      </c>
      <c r="Q2095" s="5" t="s">
        <v>268</v>
      </c>
      <c r="R2095" s="5" t="s">
        <v>270</v>
      </c>
      <c r="S2095" s="5" t="s">
        <v>238</v>
      </c>
      <c r="V2095" s="5" t="s">
        <v>238</v>
      </c>
      <c r="X2095" s="6" t="s">
        <v>238</v>
      </c>
      <c r="AA2095" s="6" t="s">
        <v>243</v>
      </c>
      <c r="AB2095" s="5" t="s">
        <v>238</v>
      </c>
      <c r="AC2095" s="5" t="s">
        <v>244</v>
      </c>
      <c r="AD2095" s="5" t="s">
        <v>245</v>
      </c>
      <c r="AT2095" s="5" t="s">
        <v>246</v>
      </c>
      <c r="AU2095" s="5" t="s">
        <v>238</v>
      </c>
      <c r="AV2095" s="5" t="s">
        <v>247</v>
      </c>
      <c r="AW2095" s="5" t="s">
        <v>238</v>
      </c>
      <c r="AX2095" s="5" t="s">
        <v>249</v>
      </c>
      <c r="AY2095" s="5" t="s">
        <v>238</v>
      </c>
      <c r="BA2095" s="5" t="s">
        <v>238</v>
      </c>
      <c r="BC2095" s="5" t="s">
        <v>250</v>
      </c>
      <c r="BD2095" s="6" t="s">
        <v>243</v>
      </c>
      <c r="BE2095" s="5" t="s">
        <v>251</v>
      </c>
      <c r="BF2095" s="5" t="s">
        <v>252</v>
      </c>
      <c r="BG2095" s="5" t="s">
        <v>238</v>
      </c>
      <c r="BH2095" s="7">
        <f>0</f>
        <v>0</v>
      </c>
      <c r="BI2095" s="8">
        <f>0</f>
        <v>0</v>
      </c>
      <c r="BJ2095" s="5" t="s">
        <v>253</v>
      </c>
      <c r="BK2095" s="5" t="s">
        <v>254</v>
      </c>
      <c r="BY2095" s="5" t="s">
        <v>238</v>
      </c>
      <c r="BZ2095" s="5" t="s">
        <v>238</v>
      </c>
      <c r="CD2095" s="5" t="s">
        <v>273</v>
      </c>
      <c r="CE2095" s="5" t="s">
        <v>256</v>
      </c>
      <c r="CF2095" s="5" t="s">
        <v>238</v>
      </c>
      <c r="CI2095" s="6" t="s">
        <v>257</v>
      </c>
      <c r="CJ2095" s="5" t="s">
        <v>238</v>
      </c>
      <c r="CK2095" s="5" t="s">
        <v>258</v>
      </c>
      <c r="CL2095" s="5" t="s">
        <v>238</v>
      </c>
      <c r="CM2095" s="5" t="s">
        <v>238</v>
      </c>
      <c r="CN2095" s="5">
        <v>0</v>
      </c>
      <c r="CO2095" s="5" t="s">
        <v>259</v>
      </c>
      <c r="CP2095" s="5" t="s">
        <v>260</v>
      </c>
      <c r="CQ2095" s="5" t="s">
        <v>260</v>
      </c>
      <c r="CR2095" s="5" t="s">
        <v>261</v>
      </c>
      <c r="CU2095" s="8">
        <f>1</f>
        <v>1</v>
      </c>
      <c r="CV2095" s="8">
        <f>0</f>
        <v>0</v>
      </c>
      <c r="CX2095" s="8">
        <f>0</f>
        <v>0</v>
      </c>
      <c r="CY2095" s="8">
        <f>1</f>
        <v>1</v>
      </c>
      <c r="DA2095" s="5" t="s">
        <v>274</v>
      </c>
      <c r="DB2095" s="5" t="s">
        <v>238</v>
      </c>
      <c r="DD2095" s="5" t="s">
        <v>274</v>
      </c>
      <c r="DE2095" s="8">
        <f>1405</f>
        <v>1405</v>
      </c>
      <c r="DG2095" s="5" t="s">
        <v>238</v>
      </c>
      <c r="DH2095" s="5" t="s">
        <v>238</v>
      </c>
      <c r="DI2095" s="5" t="s">
        <v>238</v>
      </c>
      <c r="DJ2095" s="5" t="s">
        <v>238</v>
      </c>
      <c r="DN2095" s="5" t="s">
        <v>238</v>
      </c>
      <c r="DO2095" s="5" t="s">
        <v>238</v>
      </c>
      <c r="DP2095" s="5" t="s">
        <v>238</v>
      </c>
      <c r="DQ2095" s="5" t="s">
        <v>238</v>
      </c>
      <c r="DT2095" s="5" t="s">
        <v>275</v>
      </c>
      <c r="DU2095" s="5" t="s">
        <v>466</v>
      </c>
      <c r="HM2095" s="5" t="s">
        <v>264</v>
      </c>
    </row>
    <row r="2096" spans="1:221" x14ac:dyDescent="0.4">
      <c r="A2096" s="5">
        <v>3800</v>
      </c>
      <c r="B2096" s="5">
        <v>1</v>
      </c>
      <c r="C2096" s="5">
        <v>1</v>
      </c>
      <c r="D2096" s="5" t="s">
        <v>269</v>
      </c>
      <c r="E2096" s="5" t="s">
        <v>271</v>
      </c>
      <c r="F2096" s="5" t="s">
        <v>248</v>
      </c>
      <c r="G2096" s="5" t="s">
        <v>266</v>
      </c>
      <c r="H2096" s="6" t="s">
        <v>467</v>
      </c>
      <c r="I2096" s="7">
        <f>96</f>
        <v>96</v>
      </c>
      <c r="J2096" s="5" t="s">
        <v>262</v>
      </c>
      <c r="K2096" s="8">
        <f>1</f>
        <v>1</v>
      </c>
      <c r="L2096" s="6" t="s">
        <v>242</v>
      </c>
      <c r="M2096" s="5" t="s">
        <v>267</v>
      </c>
      <c r="N2096" s="5" t="s">
        <v>265</v>
      </c>
      <c r="O2096" s="5" t="s">
        <v>238</v>
      </c>
      <c r="P2096" s="5" t="s">
        <v>238</v>
      </c>
      <c r="Q2096" s="5" t="s">
        <v>268</v>
      </c>
      <c r="R2096" s="5" t="s">
        <v>270</v>
      </c>
      <c r="S2096" s="5" t="s">
        <v>238</v>
      </c>
      <c r="V2096" s="5" t="s">
        <v>238</v>
      </c>
      <c r="X2096" s="6" t="s">
        <v>238</v>
      </c>
      <c r="AA2096" s="6" t="s">
        <v>243</v>
      </c>
      <c r="AB2096" s="5" t="s">
        <v>238</v>
      </c>
      <c r="AC2096" s="5" t="s">
        <v>244</v>
      </c>
      <c r="AD2096" s="5" t="s">
        <v>245</v>
      </c>
      <c r="AT2096" s="5" t="s">
        <v>246</v>
      </c>
      <c r="AU2096" s="5" t="s">
        <v>238</v>
      </c>
      <c r="AV2096" s="5" t="s">
        <v>247</v>
      </c>
      <c r="AW2096" s="5" t="s">
        <v>238</v>
      </c>
      <c r="AX2096" s="5" t="s">
        <v>249</v>
      </c>
      <c r="AY2096" s="5" t="s">
        <v>238</v>
      </c>
      <c r="BA2096" s="5" t="s">
        <v>238</v>
      </c>
      <c r="BC2096" s="5" t="s">
        <v>250</v>
      </c>
      <c r="BD2096" s="6" t="s">
        <v>243</v>
      </c>
      <c r="BE2096" s="5" t="s">
        <v>251</v>
      </c>
      <c r="BF2096" s="5" t="s">
        <v>252</v>
      </c>
      <c r="BG2096" s="5" t="s">
        <v>238</v>
      </c>
      <c r="BH2096" s="7">
        <f>0</f>
        <v>0</v>
      </c>
      <c r="BI2096" s="8">
        <f>0</f>
        <v>0</v>
      </c>
      <c r="BJ2096" s="5" t="s">
        <v>253</v>
      </c>
      <c r="BK2096" s="5" t="s">
        <v>254</v>
      </c>
      <c r="BY2096" s="5" t="s">
        <v>238</v>
      </c>
      <c r="BZ2096" s="5" t="s">
        <v>238</v>
      </c>
      <c r="CD2096" s="5" t="s">
        <v>273</v>
      </c>
      <c r="CE2096" s="5" t="s">
        <v>256</v>
      </c>
      <c r="CF2096" s="5" t="s">
        <v>238</v>
      </c>
      <c r="CI2096" s="6" t="s">
        <v>257</v>
      </c>
      <c r="CJ2096" s="5" t="s">
        <v>238</v>
      </c>
      <c r="CK2096" s="5" t="s">
        <v>258</v>
      </c>
      <c r="CL2096" s="5" t="s">
        <v>238</v>
      </c>
      <c r="CM2096" s="5" t="s">
        <v>238</v>
      </c>
      <c r="CN2096" s="5">
        <v>0</v>
      </c>
      <c r="CO2096" s="5" t="s">
        <v>259</v>
      </c>
      <c r="CP2096" s="5" t="s">
        <v>260</v>
      </c>
      <c r="CQ2096" s="5" t="s">
        <v>260</v>
      </c>
      <c r="CR2096" s="5" t="s">
        <v>261</v>
      </c>
      <c r="CU2096" s="8">
        <f>1</f>
        <v>1</v>
      </c>
      <c r="CV2096" s="8">
        <f>0</f>
        <v>0</v>
      </c>
      <c r="CX2096" s="8">
        <f>0</f>
        <v>0</v>
      </c>
      <c r="CY2096" s="8">
        <f>1</f>
        <v>1</v>
      </c>
      <c r="DA2096" s="5" t="s">
        <v>274</v>
      </c>
      <c r="DB2096" s="5" t="s">
        <v>238</v>
      </c>
      <c r="DD2096" s="5" t="s">
        <v>274</v>
      </c>
      <c r="DE2096" s="8">
        <f>96</f>
        <v>96</v>
      </c>
      <c r="DG2096" s="5" t="s">
        <v>238</v>
      </c>
      <c r="DH2096" s="5" t="s">
        <v>238</v>
      </c>
      <c r="DI2096" s="5" t="s">
        <v>238</v>
      </c>
      <c r="DJ2096" s="5" t="s">
        <v>238</v>
      </c>
      <c r="DN2096" s="5" t="s">
        <v>238</v>
      </c>
      <c r="DO2096" s="5" t="s">
        <v>238</v>
      </c>
      <c r="DP2096" s="5" t="s">
        <v>238</v>
      </c>
      <c r="DQ2096" s="5" t="s">
        <v>238</v>
      </c>
      <c r="DT2096" s="5" t="s">
        <v>275</v>
      </c>
      <c r="DU2096" s="5" t="s">
        <v>468</v>
      </c>
      <c r="HM2096" s="5" t="s">
        <v>264</v>
      </c>
    </row>
    <row r="2097" spans="1:221" x14ac:dyDescent="0.4">
      <c r="A2097" s="5">
        <v>3801</v>
      </c>
      <c r="B2097" s="5">
        <v>1</v>
      </c>
      <c r="C2097" s="5">
        <v>1</v>
      </c>
      <c r="D2097" s="5" t="s">
        <v>269</v>
      </c>
      <c r="E2097" s="5" t="s">
        <v>271</v>
      </c>
      <c r="F2097" s="5" t="s">
        <v>248</v>
      </c>
      <c r="G2097" s="5" t="s">
        <v>266</v>
      </c>
      <c r="H2097" s="6" t="s">
        <v>471</v>
      </c>
      <c r="I2097" s="7">
        <f>72</f>
        <v>72</v>
      </c>
      <c r="J2097" s="5" t="s">
        <v>262</v>
      </c>
      <c r="K2097" s="8">
        <f>1</f>
        <v>1</v>
      </c>
      <c r="L2097" s="6" t="s">
        <v>242</v>
      </c>
      <c r="M2097" s="5" t="s">
        <v>267</v>
      </c>
      <c r="N2097" s="5" t="s">
        <v>265</v>
      </c>
      <c r="O2097" s="5" t="s">
        <v>238</v>
      </c>
      <c r="P2097" s="5" t="s">
        <v>238</v>
      </c>
      <c r="Q2097" s="5" t="s">
        <v>268</v>
      </c>
      <c r="R2097" s="5" t="s">
        <v>270</v>
      </c>
      <c r="S2097" s="5" t="s">
        <v>238</v>
      </c>
      <c r="V2097" s="5" t="s">
        <v>238</v>
      </c>
      <c r="X2097" s="6" t="s">
        <v>238</v>
      </c>
      <c r="AA2097" s="6" t="s">
        <v>243</v>
      </c>
      <c r="AB2097" s="5" t="s">
        <v>238</v>
      </c>
      <c r="AC2097" s="5" t="s">
        <v>244</v>
      </c>
      <c r="AD2097" s="5" t="s">
        <v>245</v>
      </c>
      <c r="AT2097" s="5" t="s">
        <v>246</v>
      </c>
      <c r="AU2097" s="5" t="s">
        <v>238</v>
      </c>
      <c r="AV2097" s="5" t="s">
        <v>247</v>
      </c>
      <c r="AW2097" s="5" t="s">
        <v>238</v>
      </c>
      <c r="AX2097" s="5" t="s">
        <v>249</v>
      </c>
      <c r="AY2097" s="5" t="s">
        <v>238</v>
      </c>
      <c r="BA2097" s="5" t="s">
        <v>238</v>
      </c>
      <c r="BC2097" s="5" t="s">
        <v>250</v>
      </c>
      <c r="BD2097" s="6" t="s">
        <v>243</v>
      </c>
      <c r="BE2097" s="5" t="s">
        <v>251</v>
      </c>
      <c r="BF2097" s="5" t="s">
        <v>252</v>
      </c>
      <c r="BG2097" s="5" t="s">
        <v>238</v>
      </c>
      <c r="BH2097" s="7">
        <f>0</f>
        <v>0</v>
      </c>
      <c r="BI2097" s="8">
        <f>0</f>
        <v>0</v>
      </c>
      <c r="BJ2097" s="5" t="s">
        <v>253</v>
      </c>
      <c r="BK2097" s="5" t="s">
        <v>254</v>
      </c>
      <c r="BY2097" s="5" t="s">
        <v>238</v>
      </c>
      <c r="BZ2097" s="5" t="s">
        <v>238</v>
      </c>
      <c r="CD2097" s="5" t="s">
        <v>273</v>
      </c>
      <c r="CE2097" s="5" t="s">
        <v>256</v>
      </c>
      <c r="CF2097" s="5" t="s">
        <v>238</v>
      </c>
      <c r="CI2097" s="6" t="s">
        <v>257</v>
      </c>
      <c r="CJ2097" s="5" t="s">
        <v>238</v>
      </c>
      <c r="CK2097" s="5" t="s">
        <v>258</v>
      </c>
      <c r="CL2097" s="5" t="s">
        <v>238</v>
      </c>
      <c r="CM2097" s="5" t="s">
        <v>238</v>
      </c>
      <c r="CN2097" s="5">
        <v>0</v>
      </c>
      <c r="CO2097" s="5" t="s">
        <v>259</v>
      </c>
      <c r="CP2097" s="5" t="s">
        <v>260</v>
      </c>
      <c r="CQ2097" s="5" t="s">
        <v>260</v>
      </c>
      <c r="CR2097" s="5" t="s">
        <v>261</v>
      </c>
      <c r="CU2097" s="8">
        <f>1</f>
        <v>1</v>
      </c>
      <c r="CV2097" s="8">
        <f>0</f>
        <v>0</v>
      </c>
      <c r="CX2097" s="8">
        <f>0</f>
        <v>0</v>
      </c>
      <c r="CY2097" s="8">
        <f>1</f>
        <v>1</v>
      </c>
      <c r="DA2097" s="5" t="s">
        <v>274</v>
      </c>
      <c r="DB2097" s="5" t="s">
        <v>238</v>
      </c>
      <c r="DD2097" s="5" t="s">
        <v>274</v>
      </c>
      <c r="DE2097" s="8">
        <f>72</f>
        <v>72</v>
      </c>
      <c r="DG2097" s="5" t="s">
        <v>238</v>
      </c>
      <c r="DH2097" s="5" t="s">
        <v>238</v>
      </c>
      <c r="DI2097" s="5" t="s">
        <v>238</v>
      </c>
      <c r="DJ2097" s="5" t="s">
        <v>238</v>
      </c>
      <c r="DN2097" s="5" t="s">
        <v>238</v>
      </c>
      <c r="DO2097" s="5" t="s">
        <v>238</v>
      </c>
      <c r="DP2097" s="5" t="s">
        <v>238</v>
      </c>
      <c r="DQ2097" s="5" t="s">
        <v>238</v>
      </c>
      <c r="DT2097" s="5" t="s">
        <v>275</v>
      </c>
      <c r="DU2097" s="5" t="s">
        <v>472</v>
      </c>
      <c r="HM2097" s="5" t="s">
        <v>264</v>
      </c>
    </row>
    <row r="2098" spans="1:221" x14ac:dyDescent="0.4">
      <c r="A2098" s="5">
        <v>3802</v>
      </c>
      <c r="B2098" s="5">
        <v>1</v>
      </c>
      <c r="C2098" s="5">
        <v>1</v>
      </c>
      <c r="D2098" s="5" t="s">
        <v>269</v>
      </c>
      <c r="E2098" s="5" t="s">
        <v>271</v>
      </c>
      <c r="F2098" s="5" t="s">
        <v>248</v>
      </c>
      <c r="G2098" s="5" t="s">
        <v>266</v>
      </c>
      <c r="H2098" s="6" t="s">
        <v>5434</v>
      </c>
      <c r="I2098" s="7">
        <f>177</f>
        <v>177</v>
      </c>
      <c r="J2098" s="5" t="s">
        <v>262</v>
      </c>
      <c r="K2098" s="8">
        <f>1</f>
        <v>1</v>
      </c>
      <c r="L2098" s="6" t="s">
        <v>242</v>
      </c>
      <c r="M2098" s="5" t="s">
        <v>267</v>
      </c>
      <c r="N2098" s="5" t="s">
        <v>265</v>
      </c>
      <c r="O2098" s="5" t="s">
        <v>238</v>
      </c>
      <c r="P2098" s="5" t="s">
        <v>238</v>
      </c>
      <c r="Q2098" s="5" t="s">
        <v>268</v>
      </c>
      <c r="R2098" s="5" t="s">
        <v>270</v>
      </c>
      <c r="S2098" s="5" t="s">
        <v>238</v>
      </c>
      <c r="V2098" s="5" t="s">
        <v>238</v>
      </c>
      <c r="X2098" s="6" t="s">
        <v>238</v>
      </c>
      <c r="AA2098" s="6" t="s">
        <v>243</v>
      </c>
      <c r="AB2098" s="5" t="s">
        <v>238</v>
      </c>
      <c r="AC2098" s="5" t="s">
        <v>244</v>
      </c>
      <c r="AD2098" s="5" t="s">
        <v>245</v>
      </c>
      <c r="AT2098" s="5" t="s">
        <v>246</v>
      </c>
      <c r="AU2098" s="5" t="s">
        <v>238</v>
      </c>
      <c r="AV2098" s="5" t="s">
        <v>247</v>
      </c>
      <c r="AW2098" s="5" t="s">
        <v>238</v>
      </c>
      <c r="AX2098" s="5" t="s">
        <v>249</v>
      </c>
      <c r="AY2098" s="5" t="s">
        <v>238</v>
      </c>
      <c r="BA2098" s="5" t="s">
        <v>238</v>
      </c>
      <c r="BC2098" s="5" t="s">
        <v>250</v>
      </c>
      <c r="BD2098" s="6" t="s">
        <v>243</v>
      </c>
      <c r="BE2098" s="5" t="s">
        <v>251</v>
      </c>
      <c r="BF2098" s="5" t="s">
        <v>252</v>
      </c>
      <c r="BG2098" s="5" t="s">
        <v>238</v>
      </c>
      <c r="BH2098" s="7">
        <f>0</f>
        <v>0</v>
      </c>
      <c r="BI2098" s="8">
        <f>0</f>
        <v>0</v>
      </c>
      <c r="BJ2098" s="5" t="s">
        <v>253</v>
      </c>
      <c r="BK2098" s="5" t="s">
        <v>254</v>
      </c>
      <c r="BY2098" s="5" t="s">
        <v>238</v>
      </c>
      <c r="BZ2098" s="5" t="s">
        <v>238</v>
      </c>
      <c r="CD2098" s="5" t="s">
        <v>273</v>
      </c>
      <c r="CE2098" s="5" t="s">
        <v>256</v>
      </c>
      <c r="CF2098" s="5" t="s">
        <v>238</v>
      </c>
      <c r="CI2098" s="6" t="s">
        <v>257</v>
      </c>
      <c r="CJ2098" s="5" t="s">
        <v>238</v>
      </c>
      <c r="CK2098" s="5" t="s">
        <v>258</v>
      </c>
      <c r="CL2098" s="5" t="s">
        <v>238</v>
      </c>
      <c r="CM2098" s="5" t="s">
        <v>238</v>
      </c>
      <c r="CN2098" s="5">
        <v>0</v>
      </c>
      <c r="CO2098" s="5" t="s">
        <v>259</v>
      </c>
      <c r="CP2098" s="5" t="s">
        <v>260</v>
      </c>
      <c r="CQ2098" s="5" t="s">
        <v>260</v>
      </c>
      <c r="CR2098" s="5" t="s">
        <v>261</v>
      </c>
      <c r="CU2098" s="8">
        <f>1</f>
        <v>1</v>
      </c>
      <c r="CV2098" s="8">
        <f>0</f>
        <v>0</v>
      </c>
      <c r="CX2098" s="8">
        <f>0</f>
        <v>0</v>
      </c>
      <c r="CY2098" s="8">
        <f>1</f>
        <v>1</v>
      </c>
      <c r="DA2098" s="5" t="s">
        <v>274</v>
      </c>
      <c r="DB2098" s="5" t="s">
        <v>238</v>
      </c>
      <c r="DD2098" s="5" t="s">
        <v>274</v>
      </c>
      <c r="DE2098" s="8">
        <f>177</f>
        <v>177</v>
      </c>
      <c r="DG2098" s="5" t="s">
        <v>238</v>
      </c>
      <c r="DH2098" s="5" t="s">
        <v>238</v>
      </c>
      <c r="DI2098" s="5" t="s">
        <v>238</v>
      </c>
      <c r="DJ2098" s="5" t="s">
        <v>238</v>
      </c>
      <c r="DN2098" s="5" t="s">
        <v>238</v>
      </c>
      <c r="DO2098" s="5" t="s">
        <v>238</v>
      </c>
      <c r="DP2098" s="5" t="s">
        <v>238</v>
      </c>
      <c r="DQ2098" s="5" t="s">
        <v>238</v>
      </c>
      <c r="DT2098" s="5" t="s">
        <v>275</v>
      </c>
      <c r="DU2098" s="5" t="s">
        <v>3296</v>
      </c>
      <c r="HM2098" s="5" t="s">
        <v>264</v>
      </c>
    </row>
    <row r="2099" spans="1:221" x14ac:dyDescent="0.4">
      <c r="A2099" s="5">
        <v>3803</v>
      </c>
      <c r="B2099" s="5">
        <v>1</v>
      </c>
      <c r="C2099" s="5">
        <v>1</v>
      </c>
      <c r="D2099" s="5" t="s">
        <v>269</v>
      </c>
      <c r="E2099" s="5" t="s">
        <v>271</v>
      </c>
      <c r="F2099" s="5" t="s">
        <v>248</v>
      </c>
      <c r="G2099" s="5" t="s">
        <v>266</v>
      </c>
      <c r="H2099" s="6" t="s">
        <v>476</v>
      </c>
      <c r="I2099" s="7">
        <f>776</f>
        <v>776</v>
      </c>
      <c r="J2099" s="5" t="s">
        <v>262</v>
      </c>
      <c r="K2099" s="8">
        <f>1</f>
        <v>1</v>
      </c>
      <c r="L2099" s="6" t="s">
        <v>242</v>
      </c>
      <c r="M2099" s="5" t="s">
        <v>267</v>
      </c>
      <c r="N2099" s="5" t="s">
        <v>265</v>
      </c>
      <c r="O2099" s="5" t="s">
        <v>238</v>
      </c>
      <c r="P2099" s="5" t="s">
        <v>238</v>
      </c>
      <c r="Q2099" s="5" t="s">
        <v>268</v>
      </c>
      <c r="R2099" s="5" t="s">
        <v>270</v>
      </c>
      <c r="S2099" s="5" t="s">
        <v>238</v>
      </c>
      <c r="V2099" s="5" t="s">
        <v>238</v>
      </c>
      <c r="X2099" s="6" t="s">
        <v>238</v>
      </c>
      <c r="AA2099" s="6" t="s">
        <v>243</v>
      </c>
      <c r="AB2099" s="5" t="s">
        <v>238</v>
      </c>
      <c r="AC2099" s="5" t="s">
        <v>244</v>
      </c>
      <c r="AD2099" s="5" t="s">
        <v>245</v>
      </c>
      <c r="AT2099" s="5" t="s">
        <v>246</v>
      </c>
      <c r="AU2099" s="5" t="s">
        <v>238</v>
      </c>
      <c r="AV2099" s="5" t="s">
        <v>247</v>
      </c>
      <c r="AW2099" s="5" t="s">
        <v>238</v>
      </c>
      <c r="AX2099" s="5" t="s">
        <v>249</v>
      </c>
      <c r="AY2099" s="5" t="s">
        <v>238</v>
      </c>
      <c r="BA2099" s="5" t="s">
        <v>238</v>
      </c>
      <c r="BC2099" s="5" t="s">
        <v>250</v>
      </c>
      <c r="BD2099" s="6" t="s">
        <v>243</v>
      </c>
      <c r="BE2099" s="5" t="s">
        <v>251</v>
      </c>
      <c r="BF2099" s="5" t="s">
        <v>252</v>
      </c>
      <c r="BG2099" s="5" t="s">
        <v>238</v>
      </c>
      <c r="BH2099" s="7">
        <f>0</f>
        <v>0</v>
      </c>
      <c r="BI2099" s="8">
        <f>0</f>
        <v>0</v>
      </c>
      <c r="BJ2099" s="5" t="s">
        <v>253</v>
      </c>
      <c r="BK2099" s="5" t="s">
        <v>254</v>
      </c>
      <c r="BY2099" s="5" t="s">
        <v>238</v>
      </c>
      <c r="BZ2099" s="5" t="s">
        <v>238</v>
      </c>
      <c r="CD2099" s="5" t="s">
        <v>273</v>
      </c>
      <c r="CE2099" s="5" t="s">
        <v>256</v>
      </c>
      <c r="CF2099" s="5" t="s">
        <v>238</v>
      </c>
      <c r="CI2099" s="6" t="s">
        <v>257</v>
      </c>
      <c r="CJ2099" s="5" t="s">
        <v>238</v>
      </c>
      <c r="CK2099" s="5" t="s">
        <v>258</v>
      </c>
      <c r="CL2099" s="5" t="s">
        <v>238</v>
      </c>
      <c r="CM2099" s="5" t="s">
        <v>238</v>
      </c>
      <c r="CN2099" s="5">
        <v>0</v>
      </c>
      <c r="CO2099" s="5" t="s">
        <v>259</v>
      </c>
      <c r="CP2099" s="5" t="s">
        <v>260</v>
      </c>
      <c r="CQ2099" s="5" t="s">
        <v>260</v>
      </c>
      <c r="CR2099" s="5" t="s">
        <v>261</v>
      </c>
      <c r="CU2099" s="8">
        <f>1</f>
        <v>1</v>
      </c>
      <c r="CV2099" s="8">
        <f>0</f>
        <v>0</v>
      </c>
      <c r="CX2099" s="8">
        <f>0</f>
        <v>0</v>
      </c>
      <c r="CY2099" s="8">
        <f>1</f>
        <v>1</v>
      </c>
      <c r="DA2099" s="5" t="s">
        <v>274</v>
      </c>
      <c r="DB2099" s="5" t="s">
        <v>238</v>
      </c>
      <c r="DD2099" s="5" t="s">
        <v>274</v>
      </c>
      <c r="DE2099" s="8">
        <f>776</f>
        <v>776</v>
      </c>
      <c r="DG2099" s="5" t="s">
        <v>238</v>
      </c>
      <c r="DH2099" s="5" t="s">
        <v>238</v>
      </c>
      <c r="DI2099" s="5" t="s">
        <v>238</v>
      </c>
      <c r="DJ2099" s="5" t="s">
        <v>238</v>
      </c>
      <c r="DN2099" s="5" t="s">
        <v>238</v>
      </c>
      <c r="DO2099" s="5" t="s">
        <v>238</v>
      </c>
      <c r="DP2099" s="5" t="s">
        <v>238</v>
      </c>
      <c r="DQ2099" s="5" t="s">
        <v>238</v>
      </c>
      <c r="DT2099" s="5" t="s">
        <v>275</v>
      </c>
      <c r="DU2099" s="5" t="s">
        <v>477</v>
      </c>
      <c r="HM2099" s="5" t="s">
        <v>264</v>
      </c>
    </row>
    <row r="2100" spans="1:221" x14ac:dyDescent="0.4">
      <c r="A2100" s="5">
        <v>3804</v>
      </c>
      <c r="B2100" s="5">
        <v>1</v>
      </c>
      <c r="C2100" s="5">
        <v>1</v>
      </c>
      <c r="D2100" s="5" t="s">
        <v>269</v>
      </c>
      <c r="E2100" s="5" t="s">
        <v>271</v>
      </c>
      <c r="F2100" s="5" t="s">
        <v>248</v>
      </c>
      <c r="G2100" s="5" t="s">
        <v>266</v>
      </c>
      <c r="H2100" s="6" t="s">
        <v>478</v>
      </c>
      <c r="I2100" s="7">
        <f>178</f>
        <v>178</v>
      </c>
      <c r="J2100" s="5" t="s">
        <v>262</v>
      </c>
      <c r="K2100" s="8">
        <f>1</f>
        <v>1</v>
      </c>
      <c r="L2100" s="6" t="s">
        <v>242</v>
      </c>
      <c r="M2100" s="5" t="s">
        <v>267</v>
      </c>
      <c r="N2100" s="5" t="s">
        <v>265</v>
      </c>
      <c r="O2100" s="5" t="s">
        <v>238</v>
      </c>
      <c r="P2100" s="5" t="s">
        <v>238</v>
      </c>
      <c r="Q2100" s="5" t="s">
        <v>268</v>
      </c>
      <c r="R2100" s="5" t="s">
        <v>270</v>
      </c>
      <c r="S2100" s="5" t="s">
        <v>238</v>
      </c>
      <c r="V2100" s="5" t="s">
        <v>238</v>
      </c>
      <c r="X2100" s="6" t="s">
        <v>238</v>
      </c>
      <c r="AA2100" s="6" t="s">
        <v>243</v>
      </c>
      <c r="AB2100" s="5" t="s">
        <v>238</v>
      </c>
      <c r="AC2100" s="5" t="s">
        <v>244</v>
      </c>
      <c r="AD2100" s="5" t="s">
        <v>245</v>
      </c>
      <c r="AT2100" s="5" t="s">
        <v>246</v>
      </c>
      <c r="AU2100" s="5" t="s">
        <v>238</v>
      </c>
      <c r="AV2100" s="5" t="s">
        <v>247</v>
      </c>
      <c r="AW2100" s="5" t="s">
        <v>238</v>
      </c>
      <c r="AX2100" s="5" t="s">
        <v>249</v>
      </c>
      <c r="AY2100" s="5" t="s">
        <v>238</v>
      </c>
      <c r="BA2100" s="5" t="s">
        <v>238</v>
      </c>
      <c r="BC2100" s="5" t="s">
        <v>250</v>
      </c>
      <c r="BD2100" s="6" t="s">
        <v>243</v>
      </c>
      <c r="BE2100" s="5" t="s">
        <v>251</v>
      </c>
      <c r="BF2100" s="5" t="s">
        <v>252</v>
      </c>
      <c r="BG2100" s="5" t="s">
        <v>238</v>
      </c>
      <c r="BH2100" s="7">
        <f>0</f>
        <v>0</v>
      </c>
      <c r="BI2100" s="8">
        <f>0</f>
        <v>0</v>
      </c>
      <c r="BJ2100" s="5" t="s">
        <v>253</v>
      </c>
      <c r="BK2100" s="5" t="s">
        <v>254</v>
      </c>
      <c r="BY2100" s="5" t="s">
        <v>238</v>
      </c>
      <c r="BZ2100" s="5" t="s">
        <v>238</v>
      </c>
      <c r="CD2100" s="5" t="s">
        <v>273</v>
      </c>
      <c r="CE2100" s="5" t="s">
        <v>256</v>
      </c>
      <c r="CF2100" s="5" t="s">
        <v>238</v>
      </c>
      <c r="CI2100" s="6" t="s">
        <v>257</v>
      </c>
      <c r="CJ2100" s="5" t="s">
        <v>238</v>
      </c>
      <c r="CK2100" s="5" t="s">
        <v>258</v>
      </c>
      <c r="CL2100" s="5" t="s">
        <v>238</v>
      </c>
      <c r="CM2100" s="5" t="s">
        <v>238</v>
      </c>
      <c r="CN2100" s="5">
        <v>0</v>
      </c>
      <c r="CO2100" s="5" t="s">
        <v>259</v>
      </c>
      <c r="CP2100" s="5" t="s">
        <v>260</v>
      </c>
      <c r="CQ2100" s="5" t="s">
        <v>260</v>
      </c>
      <c r="CR2100" s="5" t="s">
        <v>261</v>
      </c>
      <c r="CU2100" s="8">
        <f>1</f>
        <v>1</v>
      </c>
      <c r="CV2100" s="8">
        <f>0</f>
        <v>0</v>
      </c>
      <c r="CX2100" s="8">
        <f>0</f>
        <v>0</v>
      </c>
      <c r="CY2100" s="8">
        <f>1</f>
        <v>1</v>
      </c>
      <c r="DA2100" s="5" t="s">
        <v>274</v>
      </c>
      <c r="DB2100" s="5" t="s">
        <v>238</v>
      </c>
      <c r="DD2100" s="5" t="s">
        <v>274</v>
      </c>
      <c r="DE2100" s="8">
        <f>178</f>
        <v>178</v>
      </c>
      <c r="DG2100" s="5" t="s">
        <v>238</v>
      </c>
      <c r="DH2100" s="5" t="s">
        <v>238</v>
      </c>
      <c r="DI2100" s="5" t="s">
        <v>238</v>
      </c>
      <c r="DJ2100" s="5" t="s">
        <v>238</v>
      </c>
      <c r="DN2100" s="5" t="s">
        <v>238</v>
      </c>
      <c r="DO2100" s="5" t="s">
        <v>238</v>
      </c>
      <c r="DP2100" s="5" t="s">
        <v>238</v>
      </c>
      <c r="DQ2100" s="5" t="s">
        <v>238</v>
      </c>
      <c r="DT2100" s="5" t="s">
        <v>275</v>
      </c>
      <c r="DU2100" s="5" t="s">
        <v>479</v>
      </c>
      <c r="HM2100" s="5" t="s">
        <v>264</v>
      </c>
    </row>
    <row r="2101" spans="1:221" x14ac:dyDescent="0.4">
      <c r="A2101" s="5">
        <v>3805</v>
      </c>
      <c r="B2101" s="5">
        <v>1</v>
      </c>
      <c r="C2101" s="5">
        <v>1</v>
      </c>
      <c r="D2101" s="5" t="s">
        <v>269</v>
      </c>
      <c r="E2101" s="5" t="s">
        <v>271</v>
      </c>
      <c r="F2101" s="5" t="s">
        <v>248</v>
      </c>
      <c r="G2101" s="5" t="s">
        <v>266</v>
      </c>
      <c r="H2101" s="6" t="s">
        <v>5436</v>
      </c>
      <c r="I2101" s="7">
        <f>108</f>
        <v>108</v>
      </c>
      <c r="J2101" s="5" t="s">
        <v>262</v>
      </c>
      <c r="K2101" s="8">
        <f>1</f>
        <v>1</v>
      </c>
      <c r="L2101" s="6" t="s">
        <v>242</v>
      </c>
      <c r="M2101" s="5" t="s">
        <v>267</v>
      </c>
      <c r="N2101" s="5" t="s">
        <v>265</v>
      </c>
      <c r="O2101" s="5" t="s">
        <v>238</v>
      </c>
      <c r="P2101" s="5" t="s">
        <v>238</v>
      </c>
      <c r="Q2101" s="5" t="s">
        <v>268</v>
      </c>
      <c r="R2101" s="5" t="s">
        <v>270</v>
      </c>
      <c r="S2101" s="5" t="s">
        <v>238</v>
      </c>
      <c r="V2101" s="5" t="s">
        <v>238</v>
      </c>
      <c r="X2101" s="6" t="s">
        <v>238</v>
      </c>
      <c r="AA2101" s="6" t="s">
        <v>243</v>
      </c>
      <c r="AB2101" s="5" t="s">
        <v>238</v>
      </c>
      <c r="AC2101" s="5" t="s">
        <v>244</v>
      </c>
      <c r="AD2101" s="5" t="s">
        <v>245</v>
      </c>
      <c r="AT2101" s="5" t="s">
        <v>246</v>
      </c>
      <c r="AU2101" s="5" t="s">
        <v>238</v>
      </c>
      <c r="AV2101" s="5" t="s">
        <v>247</v>
      </c>
      <c r="AW2101" s="5" t="s">
        <v>238</v>
      </c>
      <c r="AX2101" s="5" t="s">
        <v>249</v>
      </c>
      <c r="AY2101" s="5" t="s">
        <v>238</v>
      </c>
      <c r="BA2101" s="5" t="s">
        <v>238</v>
      </c>
      <c r="BC2101" s="5" t="s">
        <v>250</v>
      </c>
      <c r="BD2101" s="6" t="s">
        <v>243</v>
      </c>
      <c r="BE2101" s="5" t="s">
        <v>251</v>
      </c>
      <c r="BF2101" s="5" t="s">
        <v>252</v>
      </c>
      <c r="BG2101" s="5" t="s">
        <v>238</v>
      </c>
      <c r="BH2101" s="7">
        <f>0</f>
        <v>0</v>
      </c>
      <c r="BI2101" s="8">
        <f>0</f>
        <v>0</v>
      </c>
      <c r="BJ2101" s="5" t="s">
        <v>253</v>
      </c>
      <c r="BK2101" s="5" t="s">
        <v>254</v>
      </c>
      <c r="BY2101" s="5" t="s">
        <v>238</v>
      </c>
      <c r="BZ2101" s="5" t="s">
        <v>238</v>
      </c>
      <c r="CD2101" s="5" t="s">
        <v>273</v>
      </c>
      <c r="CE2101" s="5" t="s">
        <v>256</v>
      </c>
      <c r="CF2101" s="5" t="s">
        <v>238</v>
      </c>
      <c r="CI2101" s="6" t="s">
        <v>257</v>
      </c>
      <c r="CJ2101" s="5" t="s">
        <v>238</v>
      </c>
      <c r="CK2101" s="5" t="s">
        <v>258</v>
      </c>
      <c r="CL2101" s="5" t="s">
        <v>238</v>
      </c>
      <c r="CM2101" s="5" t="s">
        <v>238</v>
      </c>
      <c r="CN2101" s="5">
        <v>0</v>
      </c>
      <c r="CO2101" s="5" t="s">
        <v>259</v>
      </c>
      <c r="CP2101" s="5" t="s">
        <v>260</v>
      </c>
      <c r="CQ2101" s="5" t="s">
        <v>260</v>
      </c>
      <c r="CR2101" s="5" t="s">
        <v>261</v>
      </c>
      <c r="CU2101" s="8">
        <f>1</f>
        <v>1</v>
      </c>
      <c r="CV2101" s="8">
        <f>0</f>
        <v>0</v>
      </c>
      <c r="CX2101" s="8">
        <f>0</f>
        <v>0</v>
      </c>
      <c r="CY2101" s="8">
        <f>1</f>
        <v>1</v>
      </c>
      <c r="DA2101" s="5" t="s">
        <v>274</v>
      </c>
      <c r="DB2101" s="5" t="s">
        <v>238</v>
      </c>
      <c r="DD2101" s="5" t="s">
        <v>274</v>
      </c>
      <c r="DE2101" s="8">
        <f>108</f>
        <v>108</v>
      </c>
      <c r="DG2101" s="5" t="s">
        <v>238</v>
      </c>
      <c r="DH2101" s="5" t="s">
        <v>238</v>
      </c>
      <c r="DI2101" s="5" t="s">
        <v>238</v>
      </c>
      <c r="DJ2101" s="5" t="s">
        <v>238</v>
      </c>
      <c r="DN2101" s="5" t="s">
        <v>238</v>
      </c>
      <c r="DO2101" s="5" t="s">
        <v>238</v>
      </c>
      <c r="DP2101" s="5" t="s">
        <v>238</v>
      </c>
      <c r="DQ2101" s="5" t="s">
        <v>238</v>
      </c>
      <c r="DT2101" s="5" t="s">
        <v>275</v>
      </c>
      <c r="DU2101" s="5" t="s">
        <v>3291</v>
      </c>
      <c r="HM2101" s="5" t="s">
        <v>264</v>
      </c>
    </row>
    <row r="2102" spans="1:221" x14ac:dyDescent="0.4">
      <c r="A2102" s="5">
        <v>3806</v>
      </c>
      <c r="B2102" s="5">
        <v>1</v>
      </c>
      <c r="C2102" s="5">
        <v>1</v>
      </c>
      <c r="D2102" s="5" t="s">
        <v>269</v>
      </c>
      <c r="E2102" s="5" t="s">
        <v>271</v>
      </c>
      <c r="F2102" s="5" t="s">
        <v>248</v>
      </c>
      <c r="G2102" s="5" t="s">
        <v>266</v>
      </c>
      <c r="H2102" s="6" t="s">
        <v>501</v>
      </c>
      <c r="I2102" s="7">
        <f>167</f>
        <v>167</v>
      </c>
      <c r="J2102" s="5" t="s">
        <v>262</v>
      </c>
      <c r="K2102" s="8">
        <f>1</f>
        <v>1</v>
      </c>
      <c r="L2102" s="6" t="s">
        <v>242</v>
      </c>
      <c r="M2102" s="5" t="s">
        <v>267</v>
      </c>
      <c r="N2102" s="5" t="s">
        <v>265</v>
      </c>
      <c r="O2102" s="5" t="s">
        <v>238</v>
      </c>
      <c r="P2102" s="5" t="s">
        <v>238</v>
      </c>
      <c r="Q2102" s="5" t="s">
        <v>268</v>
      </c>
      <c r="R2102" s="5" t="s">
        <v>270</v>
      </c>
      <c r="S2102" s="5" t="s">
        <v>238</v>
      </c>
      <c r="V2102" s="5" t="s">
        <v>238</v>
      </c>
      <c r="X2102" s="6" t="s">
        <v>238</v>
      </c>
      <c r="AA2102" s="6" t="s">
        <v>243</v>
      </c>
      <c r="AB2102" s="5" t="s">
        <v>238</v>
      </c>
      <c r="AC2102" s="5" t="s">
        <v>244</v>
      </c>
      <c r="AD2102" s="5" t="s">
        <v>245</v>
      </c>
      <c r="AT2102" s="5" t="s">
        <v>246</v>
      </c>
      <c r="AU2102" s="5" t="s">
        <v>238</v>
      </c>
      <c r="AV2102" s="5" t="s">
        <v>247</v>
      </c>
      <c r="AW2102" s="5" t="s">
        <v>238</v>
      </c>
      <c r="AX2102" s="5" t="s">
        <v>249</v>
      </c>
      <c r="AY2102" s="5" t="s">
        <v>238</v>
      </c>
      <c r="BA2102" s="5" t="s">
        <v>238</v>
      </c>
      <c r="BC2102" s="5" t="s">
        <v>250</v>
      </c>
      <c r="BD2102" s="6" t="s">
        <v>243</v>
      </c>
      <c r="BE2102" s="5" t="s">
        <v>251</v>
      </c>
      <c r="BF2102" s="5" t="s">
        <v>252</v>
      </c>
      <c r="BG2102" s="5" t="s">
        <v>238</v>
      </c>
      <c r="BH2102" s="7">
        <f>0</f>
        <v>0</v>
      </c>
      <c r="BI2102" s="8">
        <f>0</f>
        <v>0</v>
      </c>
      <c r="BJ2102" s="5" t="s">
        <v>253</v>
      </c>
      <c r="BK2102" s="5" t="s">
        <v>254</v>
      </c>
      <c r="BY2102" s="5" t="s">
        <v>238</v>
      </c>
      <c r="BZ2102" s="5" t="s">
        <v>238</v>
      </c>
      <c r="CD2102" s="5" t="s">
        <v>273</v>
      </c>
      <c r="CE2102" s="5" t="s">
        <v>256</v>
      </c>
      <c r="CF2102" s="5" t="s">
        <v>238</v>
      </c>
      <c r="CI2102" s="6" t="s">
        <v>257</v>
      </c>
      <c r="CJ2102" s="5" t="s">
        <v>238</v>
      </c>
      <c r="CK2102" s="5" t="s">
        <v>258</v>
      </c>
      <c r="CL2102" s="5" t="s">
        <v>238</v>
      </c>
      <c r="CM2102" s="5" t="s">
        <v>238</v>
      </c>
      <c r="CN2102" s="5">
        <v>0</v>
      </c>
      <c r="CO2102" s="5" t="s">
        <v>259</v>
      </c>
      <c r="CP2102" s="5" t="s">
        <v>260</v>
      </c>
      <c r="CQ2102" s="5" t="s">
        <v>260</v>
      </c>
      <c r="CR2102" s="5" t="s">
        <v>261</v>
      </c>
      <c r="CU2102" s="8">
        <f>1</f>
        <v>1</v>
      </c>
      <c r="CV2102" s="8">
        <f>0</f>
        <v>0</v>
      </c>
      <c r="CX2102" s="8">
        <f>0</f>
        <v>0</v>
      </c>
      <c r="CY2102" s="8">
        <f>1</f>
        <v>1</v>
      </c>
      <c r="DA2102" s="5" t="s">
        <v>274</v>
      </c>
      <c r="DB2102" s="5" t="s">
        <v>238</v>
      </c>
      <c r="DD2102" s="5" t="s">
        <v>274</v>
      </c>
      <c r="DE2102" s="8">
        <f>167</f>
        <v>167</v>
      </c>
      <c r="DG2102" s="5" t="s">
        <v>238</v>
      </c>
      <c r="DH2102" s="5" t="s">
        <v>238</v>
      </c>
      <c r="DI2102" s="5" t="s">
        <v>238</v>
      </c>
      <c r="DJ2102" s="5" t="s">
        <v>238</v>
      </c>
      <c r="DN2102" s="5" t="s">
        <v>238</v>
      </c>
      <c r="DO2102" s="5" t="s">
        <v>238</v>
      </c>
      <c r="DP2102" s="5" t="s">
        <v>238</v>
      </c>
      <c r="DQ2102" s="5" t="s">
        <v>238</v>
      </c>
      <c r="DT2102" s="5" t="s">
        <v>275</v>
      </c>
      <c r="DU2102" s="5" t="s">
        <v>502</v>
      </c>
      <c r="HM2102" s="5" t="s">
        <v>264</v>
      </c>
    </row>
    <row r="2103" spans="1:221" x14ac:dyDescent="0.4">
      <c r="A2103" s="5">
        <v>3807</v>
      </c>
      <c r="B2103" s="5">
        <v>1</v>
      </c>
      <c r="C2103" s="5">
        <v>1</v>
      </c>
      <c r="D2103" s="5" t="s">
        <v>269</v>
      </c>
      <c r="E2103" s="5" t="s">
        <v>271</v>
      </c>
      <c r="F2103" s="5" t="s">
        <v>248</v>
      </c>
      <c r="G2103" s="5" t="s">
        <v>266</v>
      </c>
      <c r="H2103" s="6" t="s">
        <v>505</v>
      </c>
      <c r="I2103" s="7">
        <f>1238</f>
        <v>1238</v>
      </c>
      <c r="J2103" s="5" t="s">
        <v>262</v>
      </c>
      <c r="K2103" s="8">
        <f>1</f>
        <v>1</v>
      </c>
      <c r="L2103" s="6" t="s">
        <v>242</v>
      </c>
      <c r="M2103" s="5" t="s">
        <v>267</v>
      </c>
      <c r="N2103" s="5" t="s">
        <v>265</v>
      </c>
      <c r="O2103" s="5" t="s">
        <v>238</v>
      </c>
      <c r="P2103" s="5" t="s">
        <v>238</v>
      </c>
      <c r="Q2103" s="5" t="s">
        <v>268</v>
      </c>
      <c r="R2103" s="5" t="s">
        <v>270</v>
      </c>
      <c r="S2103" s="5" t="s">
        <v>238</v>
      </c>
      <c r="V2103" s="5" t="s">
        <v>238</v>
      </c>
      <c r="X2103" s="6" t="s">
        <v>238</v>
      </c>
      <c r="AA2103" s="6" t="s">
        <v>243</v>
      </c>
      <c r="AB2103" s="5" t="s">
        <v>238</v>
      </c>
      <c r="AC2103" s="5" t="s">
        <v>244</v>
      </c>
      <c r="AD2103" s="5" t="s">
        <v>245</v>
      </c>
      <c r="AT2103" s="5" t="s">
        <v>246</v>
      </c>
      <c r="AU2103" s="5" t="s">
        <v>238</v>
      </c>
      <c r="AV2103" s="5" t="s">
        <v>247</v>
      </c>
      <c r="AW2103" s="5" t="s">
        <v>238</v>
      </c>
      <c r="AX2103" s="5" t="s">
        <v>249</v>
      </c>
      <c r="AY2103" s="5" t="s">
        <v>238</v>
      </c>
      <c r="BA2103" s="5" t="s">
        <v>238</v>
      </c>
      <c r="BC2103" s="5" t="s">
        <v>250</v>
      </c>
      <c r="BD2103" s="6" t="s">
        <v>243</v>
      </c>
      <c r="BE2103" s="5" t="s">
        <v>251</v>
      </c>
      <c r="BF2103" s="5" t="s">
        <v>252</v>
      </c>
      <c r="BG2103" s="5" t="s">
        <v>238</v>
      </c>
      <c r="BH2103" s="7">
        <f>0</f>
        <v>0</v>
      </c>
      <c r="BI2103" s="8">
        <f>0</f>
        <v>0</v>
      </c>
      <c r="BJ2103" s="5" t="s">
        <v>253</v>
      </c>
      <c r="BK2103" s="5" t="s">
        <v>254</v>
      </c>
      <c r="BY2103" s="5" t="s">
        <v>238</v>
      </c>
      <c r="BZ2103" s="5" t="s">
        <v>238</v>
      </c>
      <c r="CD2103" s="5" t="s">
        <v>273</v>
      </c>
      <c r="CE2103" s="5" t="s">
        <v>256</v>
      </c>
      <c r="CF2103" s="5" t="s">
        <v>238</v>
      </c>
      <c r="CI2103" s="6" t="s">
        <v>257</v>
      </c>
      <c r="CJ2103" s="5" t="s">
        <v>238</v>
      </c>
      <c r="CK2103" s="5" t="s">
        <v>258</v>
      </c>
      <c r="CL2103" s="5" t="s">
        <v>238</v>
      </c>
      <c r="CM2103" s="5" t="s">
        <v>238</v>
      </c>
      <c r="CN2103" s="5">
        <v>0</v>
      </c>
      <c r="CO2103" s="5" t="s">
        <v>259</v>
      </c>
      <c r="CP2103" s="5" t="s">
        <v>260</v>
      </c>
      <c r="CQ2103" s="5" t="s">
        <v>260</v>
      </c>
      <c r="CR2103" s="5" t="s">
        <v>261</v>
      </c>
      <c r="CU2103" s="8">
        <f>1</f>
        <v>1</v>
      </c>
      <c r="CV2103" s="8">
        <f>0</f>
        <v>0</v>
      </c>
      <c r="CX2103" s="8">
        <f>0</f>
        <v>0</v>
      </c>
      <c r="CY2103" s="8">
        <f>1</f>
        <v>1</v>
      </c>
      <c r="DA2103" s="5" t="s">
        <v>274</v>
      </c>
      <c r="DB2103" s="5" t="s">
        <v>238</v>
      </c>
      <c r="DD2103" s="5" t="s">
        <v>274</v>
      </c>
      <c r="DE2103" s="8">
        <f>1238</f>
        <v>1238</v>
      </c>
      <c r="DG2103" s="5" t="s">
        <v>238</v>
      </c>
      <c r="DH2103" s="5" t="s">
        <v>238</v>
      </c>
      <c r="DI2103" s="5" t="s">
        <v>238</v>
      </c>
      <c r="DJ2103" s="5" t="s">
        <v>238</v>
      </c>
      <c r="DN2103" s="5" t="s">
        <v>238</v>
      </c>
      <c r="DO2103" s="5" t="s">
        <v>238</v>
      </c>
      <c r="DP2103" s="5" t="s">
        <v>238</v>
      </c>
      <c r="DQ2103" s="5" t="s">
        <v>238</v>
      </c>
      <c r="DT2103" s="5" t="s">
        <v>275</v>
      </c>
      <c r="DU2103" s="5" t="s">
        <v>506</v>
      </c>
      <c r="HM2103" s="5" t="s">
        <v>264</v>
      </c>
    </row>
    <row r="2104" spans="1:221" x14ac:dyDescent="0.4">
      <c r="A2104" s="5">
        <v>3808</v>
      </c>
      <c r="B2104" s="5">
        <v>1</v>
      </c>
      <c r="C2104" s="5">
        <v>1</v>
      </c>
      <c r="D2104" s="5" t="s">
        <v>269</v>
      </c>
      <c r="E2104" s="5" t="s">
        <v>271</v>
      </c>
      <c r="F2104" s="5" t="s">
        <v>248</v>
      </c>
      <c r="G2104" s="5" t="s">
        <v>266</v>
      </c>
      <c r="H2104" s="6" t="s">
        <v>507</v>
      </c>
      <c r="I2104" s="7">
        <f>329</f>
        <v>329</v>
      </c>
      <c r="J2104" s="5" t="s">
        <v>262</v>
      </c>
      <c r="K2104" s="8">
        <f>1</f>
        <v>1</v>
      </c>
      <c r="L2104" s="6" t="s">
        <v>242</v>
      </c>
      <c r="M2104" s="5" t="s">
        <v>267</v>
      </c>
      <c r="N2104" s="5" t="s">
        <v>265</v>
      </c>
      <c r="O2104" s="5" t="s">
        <v>238</v>
      </c>
      <c r="P2104" s="5" t="s">
        <v>238</v>
      </c>
      <c r="Q2104" s="5" t="s">
        <v>268</v>
      </c>
      <c r="R2104" s="5" t="s">
        <v>270</v>
      </c>
      <c r="S2104" s="5" t="s">
        <v>238</v>
      </c>
      <c r="V2104" s="5" t="s">
        <v>238</v>
      </c>
      <c r="X2104" s="6" t="s">
        <v>238</v>
      </c>
      <c r="AA2104" s="6" t="s">
        <v>243</v>
      </c>
      <c r="AB2104" s="5" t="s">
        <v>238</v>
      </c>
      <c r="AC2104" s="5" t="s">
        <v>244</v>
      </c>
      <c r="AD2104" s="5" t="s">
        <v>245</v>
      </c>
      <c r="AT2104" s="5" t="s">
        <v>246</v>
      </c>
      <c r="AU2104" s="5" t="s">
        <v>238</v>
      </c>
      <c r="AV2104" s="5" t="s">
        <v>247</v>
      </c>
      <c r="AW2104" s="5" t="s">
        <v>238</v>
      </c>
      <c r="AX2104" s="5" t="s">
        <v>249</v>
      </c>
      <c r="AY2104" s="5" t="s">
        <v>238</v>
      </c>
      <c r="BA2104" s="5" t="s">
        <v>238</v>
      </c>
      <c r="BC2104" s="5" t="s">
        <v>250</v>
      </c>
      <c r="BD2104" s="6" t="s">
        <v>243</v>
      </c>
      <c r="BE2104" s="5" t="s">
        <v>251</v>
      </c>
      <c r="BF2104" s="5" t="s">
        <v>252</v>
      </c>
      <c r="BG2104" s="5" t="s">
        <v>238</v>
      </c>
      <c r="BH2104" s="7">
        <f>0</f>
        <v>0</v>
      </c>
      <c r="BI2104" s="8">
        <f>0</f>
        <v>0</v>
      </c>
      <c r="BJ2104" s="5" t="s">
        <v>253</v>
      </c>
      <c r="BK2104" s="5" t="s">
        <v>254</v>
      </c>
      <c r="BY2104" s="5" t="s">
        <v>238</v>
      </c>
      <c r="BZ2104" s="5" t="s">
        <v>238</v>
      </c>
      <c r="CD2104" s="5" t="s">
        <v>273</v>
      </c>
      <c r="CE2104" s="5" t="s">
        <v>256</v>
      </c>
      <c r="CF2104" s="5" t="s">
        <v>238</v>
      </c>
      <c r="CI2104" s="6" t="s">
        <v>257</v>
      </c>
      <c r="CJ2104" s="5" t="s">
        <v>238</v>
      </c>
      <c r="CK2104" s="5" t="s">
        <v>258</v>
      </c>
      <c r="CL2104" s="5" t="s">
        <v>238</v>
      </c>
      <c r="CM2104" s="5" t="s">
        <v>238</v>
      </c>
      <c r="CN2104" s="5">
        <v>0</v>
      </c>
      <c r="CO2104" s="5" t="s">
        <v>259</v>
      </c>
      <c r="CP2104" s="5" t="s">
        <v>260</v>
      </c>
      <c r="CQ2104" s="5" t="s">
        <v>260</v>
      </c>
      <c r="CR2104" s="5" t="s">
        <v>261</v>
      </c>
      <c r="CU2104" s="8">
        <f>1</f>
        <v>1</v>
      </c>
      <c r="CV2104" s="8">
        <f>0</f>
        <v>0</v>
      </c>
      <c r="CX2104" s="8">
        <f>0</f>
        <v>0</v>
      </c>
      <c r="CY2104" s="8">
        <f>1</f>
        <v>1</v>
      </c>
      <c r="DA2104" s="5" t="s">
        <v>274</v>
      </c>
      <c r="DB2104" s="5" t="s">
        <v>238</v>
      </c>
      <c r="DD2104" s="5" t="s">
        <v>274</v>
      </c>
      <c r="DE2104" s="8">
        <f>329</f>
        <v>329</v>
      </c>
      <c r="DG2104" s="5" t="s">
        <v>238</v>
      </c>
      <c r="DH2104" s="5" t="s">
        <v>238</v>
      </c>
      <c r="DI2104" s="5" t="s">
        <v>238</v>
      </c>
      <c r="DJ2104" s="5" t="s">
        <v>238</v>
      </c>
      <c r="DN2104" s="5" t="s">
        <v>238</v>
      </c>
      <c r="DO2104" s="5" t="s">
        <v>238</v>
      </c>
      <c r="DP2104" s="5" t="s">
        <v>238</v>
      </c>
      <c r="DQ2104" s="5" t="s">
        <v>238</v>
      </c>
      <c r="DT2104" s="5" t="s">
        <v>275</v>
      </c>
      <c r="DU2104" s="5" t="s">
        <v>508</v>
      </c>
      <c r="HM2104" s="5" t="s">
        <v>264</v>
      </c>
    </row>
    <row r="2105" spans="1:221" x14ac:dyDescent="0.4">
      <c r="A2105" s="5">
        <v>3809</v>
      </c>
      <c r="B2105" s="5">
        <v>1</v>
      </c>
      <c r="C2105" s="5">
        <v>1</v>
      </c>
      <c r="D2105" s="5" t="s">
        <v>269</v>
      </c>
      <c r="E2105" s="5" t="s">
        <v>271</v>
      </c>
      <c r="F2105" s="5" t="s">
        <v>248</v>
      </c>
      <c r="G2105" s="5" t="s">
        <v>266</v>
      </c>
      <c r="H2105" s="6" t="s">
        <v>511</v>
      </c>
      <c r="I2105" s="7">
        <f>45</f>
        <v>45</v>
      </c>
      <c r="J2105" s="5" t="s">
        <v>262</v>
      </c>
      <c r="K2105" s="8">
        <f>1</f>
        <v>1</v>
      </c>
      <c r="L2105" s="6" t="s">
        <v>242</v>
      </c>
      <c r="M2105" s="5" t="s">
        <v>267</v>
      </c>
      <c r="N2105" s="5" t="s">
        <v>265</v>
      </c>
      <c r="O2105" s="5" t="s">
        <v>238</v>
      </c>
      <c r="P2105" s="5" t="s">
        <v>238</v>
      </c>
      <c r="Q2105" s="5" t="s">
        <v>268</v>
      </c>
      <c r="R2105" s="5" t="s">
        <v>270</v>
      </c>
      <c r="S2105" s="5" t="s">
        <v>238</v>
      </c>
      <c r="V2105" s="5" t="s">
        <v>238</v>
      </c>
      <c r="X2105" s="6" t="s">
        <v>238</v>
      </c>
      <c r="AA2105" s="6" t="s">
        <v>243</v>
      </c>
      <c r="AB2105" s="5" t="s">
        <v>238</v>
      </c>
      <c r="AC2105" s="5" t="s">
        <v>244</v>
      </c>
      <c r="AD2105" s="5" t="s">
        <v>245</v>
      </c>
      <c r="AT2105" s="5" t="s">
        <v>246</v>
      </c>
      <c r="AU2105" s="5" t="s">
        <v>238</v>
      </c>
      <c r="AV2105" s="5" t="s">
        <v>247</v>
      </c>
      <c r="AW2105" s="5" t="s">
        <v>238</v>
      </c>
      <c r="AX2105" s="5" t="s">
        <v>249</v>
      </c>
      <c r="AY2105" s="5" t="s">
        <v>238</v>
      </c>
      <c r="BA2105" s="5" t="s">
        <v>238</v>
      </c>
      <c r="BC2105" s="5" t="s">
        <v>250</v>
      </c>
      <c r="BD2105" s="6" t="s">
        <v>243</v>
      </c>
      <c r="BE2105" s="5" t="s">
        <v>251</v>
      </c>
      <c r="BF2105" s="5" t="s">
        <v>252</v>
      </c>
      <c r="BG2105" s="5" t="s">
        <v>238</v>
      </c>
      <c r="BH2105" s="7">
        <f>0</f>
        <v>0</v>
      </c>
      <c r="BI2105" s="8">
        <f>0</f>
        <v>0</v>
      </c>
      <c r="BJ2105" s="5" t="s">
        <v>253</v>
      </c>
      <c r="BK2105" s="5" t="s">
        <v>254</v>
      </c>
      <c r="BY2105" s="5" t="s">
        <v>238</v>
      </c>
      <c r="BZ2105" s="5" t="s">
        <v>238</v>
      </c>
      <c r="CD2105" s="5" t="s">
        <v>273</v>
      </c>
      <c r="CE2105" s="5" t="s">
        <v>256</v>
      </c>
      <c r="CF2105" s="5" t="s">
        <v>238</v>
      </c>
      <c r="CI2105" s="6" t="s">
        <v>257</v>
      </c>
      <c r="CJ2105" s="5" t="s">
        <v>238</v>
      </c>
      <c r="CK2105" s="5" t="s">
        <v>258</v>
      </c>
      <c r="CL2105" s="5" t="s">
        <v>238</v>
      </c>
      <c r="CM2105" s="5" t="s">
        <v>238</v>
      </c>
      <c r="CN2105" s="5">
        <v>0</v>
      </c>
      <c r="CO2105" s="5" t="s">
        <v>259</v>
      </c>
      <c r="CP2105" s="5" t="s">
        <v>260</v>
      </c>
      <c r="CQ2105" s="5" t="s">
        <v>260</v>
      </c>
      <c r="CR2105" s="5" t="s">
        <v>261</v>
      </c>
      <c r="CU2105" s="8">
        <f>1</f>
        <v>1</v>
      </c>
      <c r="CV2105" s="8">
        <f>0</f>
        <v>0</v>
      </c>
      <c r="CX2105" s="8">
        <f>0</f>
        <v>0</v>
      </c>
      <c r="CY2105" s="8">
        <f>1</f>
        <v>1</v>
      </c>
      <c r="DA2105" s="5" t="s">
        <v>274</v>
      </c>
      <c r="DB2105" s="5" t="s">
        <v>238</v>
      </c>
      <c r="DD2105" s="5" t="s">
        <v>274</v>
      </c>
      <c r="DE2105" s="8">
        <f>45</f>
        <v>45</v>
      </c>
      <c r="DG2105" s="5" t="s">
        <v>238</v>
      </c>
      <c r="DH2105" s="5" t="s">
        <v>238</v>
      </c>
      <c r="DI2105" s="5" t="s">
        <v>238</v>
      </c>
      <c r="DJ2105" s="5" t="s">
        <v>238</v>
      </c>
      <c r="DN2105" s="5" t="s">
        <v>238</v>
      </c>
      <c r="DO2105" s="5" t="s">
        <v>238</v>
      </c>
      <c r="DP2105" s="5" t="s">
        <v>238</v>
      </c>
      <c r="DQ2105" s="5" t="s">
        <v>238</v>
      </c>
      <c r="DT2105" s="5" t="s">
        <v>275</v>
      </c>
      <c r="DU2105" s="5" t="s">
        <v>512</v>
      </c>
      <c r="HM2105" s="5" t="s">
        <v>264</v>
      </c>
    </row>
    <row r="2106" spans="1:221" x14ac:dyDescent="0.4">
      <c r="A2106" s="5">
        <v>3810</v>
      </c>
      <c r="B2106" s="5">
        <v>1</v>
      </c>
      <c r="C2106" s="5">
        <v>1</v>
      </c>
      <c r="D2106" s="5" t="s">
        <v>269</v>
      </c>
      <c r="E2106" s="5" t="s">
        <v>271</v>
      </c>
      <c r="F2106" s="5" t="s">
        <v>248</v>
      </c>
      <c r="G2106" s="5" t="s">
        <v>266</v>
      </c>
      <c r="H2106" s="6" t="s">
        <v>515</v>
      </c>
      <c r="I2106" s="7">
        <f>5.98</f>
        <v>5.98</v>
      </c>
      <c r="J2106" s="5" t="s">
        <v>262</v>
      </c>
      <c r="K2106" s="8">
        <f>1</f>
        <v>1</v>
      </c>
      <c r="L2106" s="6" t="s">
        <v>242</v>
      </c>
      <c r="M2106" s="5" t="s">
        <v>267</v>
      </c>
      <c r="N2106" s="5" t="s">
        <v>265</v>
      </c>
      <c r="O2106" s="5" t="s">
        <v>238</v>
      </c>
      <c r="P2106" s="5" t="s">
        <v>238</v>
      </c>
      <c r="Q2106" s="5" t="s">
        <v>268</v>
      </c>
      <c r="R2106" s="5" t="s">
        <v>270</v>
      </c>
      <c r="S2106" s="5" t="s">
        <v>238</v>
      </c>
      <c r="V2106" s="5" t="s">
        <v>238</v>
      </c>
      <c r="X2106" s="6" t="s">
        <v>238</v>
      </c>
      <c r="AA2106" s="6" t="s">
        <v>243</v>
      </c>
      <c r="AB2106" s="5" t="s">
        <v>238</v>
      </c>
      <c r="AC2106" s="5" t="s">
        <v>244</v>
      </c>
      <c r="AD2106" s="5" t="s">
        <v>245</v>
      </c>
      <c r="AT2106" s="5" t="s">
        <v>246</v>
      </c>
      <c r="AU2106" s="5" t="s">
        <v>238</v>
      </c>
      <c r="AV2106" s="5" t="s">
        <v>247</v>
      </c>
      <c r="AW2106" s="5" t="s">
        <v>238</v>
      </c>
      <c r="AX2106" s="5" t="s">
        <v>249</v>
      </c>
      <c r="AY2106" s="5" t="s">
        <v>238</v>
      </c>
      <c r="BA2106" s="5" t="s">
        <v>238</v>
      </c>
      <c r="BC2106" s="5" t="s">
        <v>250</v>
      </c>
      <c r="BD2106" s="6" t="s">
        <v>243</v>
      </c>
      <c r="BE2106" s="5" t="s">
        <v>251</v>
      </c>
      <c r="BF2106" s="5" t="s">
        <v>252</v>
      </c>
      <c r="BG2106" s="5" t="s">
        <v>238</v>
      </c>
      <c r="BH2106" s="7">
        <f>0</f>
        <v>0</v>
      </c>
      <c r="BI2106" s="8">
        <f>0</f>
        <v>0</v>
      </c>
      <c r="BJ2106" s="5" t="s">
        <v>253</v>
      </c>
      <c r="BK2106" s="5" t="s">
        <v>254</v>
      </c>
      <c r="BY2106" s="5" t="s">
        <v>238</v>
      </c>
      <c r="BZ2106" s="5" t="s">
        <v>238</v>
      </c>
      <c r="CD2106" s="5" t="s">
        <v>273</v>
      </c>
      <c r="CE2106" s="5" t="s">
        <v>256</v>
      </c>
      <c r="CF2106" s="5" t="s">
        <v>238</v>
      </c>
      <c r="CI2106" s="6" t="s">
        <v>257</v>
      </c>
      <c r="CJ2106" s="5" t="s">
        <v>238</v>
      </c>
      <c r="CK2106" s="5" t="s">
        <v>258</v>
      </c>
      <c r="CL2106" s="5" t="s">
        <v>238</v>
      </c>
      <c r="CM2106" s="5" t="s">
        <v>238</v>
      </c>
      <c r="CN2106" s="5">
        <v>0</v>
      </c>
      <c r="CO2106" s="5" t="s">
        <v>259</v>
      </c>
      <c r="CP2106" s="5" t="s">
        <v>260</v>
      </c>
      <c r="CQ2106" s="5" t="s">
        <v>260</v>
      </c>
      <c r="CR2106" s="5" t="s">
        <v>261</v>
      </c>
      <c r="CU2106" s="8">
        <f>1</f>
        <v>1</v>
      </c>
      <c r="CV2106" s="8">
        <f>0</f>
        <v>0</v>
      </c>
      <c r="CX2106" s="8">
        <f>0</f>
        <v>0</v>
      </c>
      <c r="CY2106" s="8">
        <f>1</f>
        <v>1</v>
      </c>
      <c r="DA2106" s="5" t="s">
        <v>274</v>
      </c>
      <c r="DB2106" s="5" t="s">
        <v>238</v>
      </c>
      <c r="DD2106" s="5" t="s">
        <v>274</v>
      </c>
      <c r="DE2106" s="8">
        <f>5.98</f>
        <v>5.98</v>
      </c>
      <c r="DG2106" s="5" t="s">
        <v>238</v>
      </c>
      <c r="DH2106" s="5" t="s">
        <v>238</v>
      </c>
      <c r="DI2106" s="5" t="s">
        <v>238</v>
      </c>
      <c r="DJ2106" s="5" t="s">
        <v>238</v>
      </c>
      <c r="DN2106" s="5" t="s">
        <v>238</v>
      </c>
      <c r="DO2106" s="5" t="s">
        <v>238</v>
      </c>
      <c r="DP2106" s="5" t="s">
        <v>238</v>
      </c>
      <c r="DQ2106" s="5" t="s">
        <v>238</v>
      </c>
      <c r="DT2106" s="5" t="s">
        <v>275</v>
      </c>
      <c r="DU2106" s="5" t="s">
        <v>516</v>
      </c>
      <c r="HM2106" s="5" t="s">
        <v>264</v>
      </c>
    </row>
    <row r="2107" spans="1:221" x14ac:dyDescent="0.4">
      <c r="A2107" s="5">
        <v>3811</v>
      </c>
      <c r="B2107" s="5">
        <v>1</v>
      </c>
      <c r="C2107" s="5">
        <v>1</v>
      </c>
      <c r="D2107" s="5" t="s">
        <v>269</v>
      </c>
      <c r="E2107" s="5" t="s">
        <v>271</v>
      </c>
      <c r="F2107" s="5" t="s">
        <v>248</v>
      </c>
      <c r="G2107" s="5" t="s">
        <v>266</v>
      </c>
      <c r="H2107" s="6" t="s">
        <v>517</v>
      </c>
      <c r="I2107" s="7">
        <f>434</f>
        <v>434</v>
      </c>
      <c r="J2107" s="5" t="s">
        <v>262</v>
      </c>
      <c r="K2107" s="8">
        <f>1</f>
        <v>1</v>
      </c>
      <c r="L2107" s="6" t="s">
        <v>242</v>
      </c>
      <c r="M2107" s="5" t="s">
        <v>267</v>
      </c>
      <c r="N2107" s="5" t="s">
        <v>265</v>
      </c>
      <c r="O2107" s="5" t="s">
        <v>238</v>
      </c>
      <c r="P2107" s="5" t="s">
        <v>238</v>
      </c>
      <c r="Q2107" s="5" t="s">
        <v>268</v>
      </c>
      <c r="R2107" s="5" t="s">
        <v>270</v>
      </c>
      <c r="S2107" s="5" t="s">
        <v>238</v>
      </c>
      <c r="V2107" s="5" t="s">
        <v>238</v>
      </c>
      <c r="X2107" s="6" t="s">
        <v>238</v>
      </c>
      <c r="AA2107" s="6" t="s">
        <v>243</v>
      </c>
      <c r="AB2107" s="5" t="s">
        <v>238</v>
      </c>
      <c r="AC2107" s="5" t="s">
        <v>244</v>
      </c>
      <c r="AD2107" s="5" t="s">
        <v>245</v>
      </c>
      <c r="AT2107" s="5" t="s">
        <v>246</v>
      </c>
      <c r="AU2107" s="5" t="s">
        <v>238</v>
      </c>
      <c r="AV2107" s="5" t="s">
        <v>247</v>
      </c>
      <c r="AW2107" s="5" t="s">
        <v>238</v>
      </c>
      <c r="AX2107" s="5" t="s">
        <v>249</v>
      </c>
      <c r="AY2107" s="5" t="s">
        <v>238</v>
      </c>
      <c r="BA2107" s="5" t="s">
        <v>238</v>
      </c>
      <c r="BC2107" s="5" t="s">
        <v>250</v>
      </c>
      <c r="BD2107" s="6" t="s">
        <v>243</v>
      </c>
      <c r="BE2107" s="5" t="s">
        <v>251</v>
      </c>
      <c r="BF2107" s="5" t="s">
        <v>252</v>
      </c>
      <c r="BG2107" s="5" t="s">
        <v>238</v>
      </c>
      <c r="BH2107" s="7">
        <f>0</f>
        <v>0</v>
      </c>
      <c r="BI2107" s="8">
        <f>0</f>
        <v>0</v>
      </c>
      <c r="BJ2107" s="5" t="s">
        <v>253</v>
      </c>
      <c r="BK2107" s="5" t="s">
        <v>254</v>
      </c>
      <c r="BY2107" s="5" t="s">
        <v>238</v>
      </c>
      <c r="BZ2107" s="5" t="s">
        <v>238</v>
      </c>
      <c r="CD2107" s="5" t="s">
        <v>273</v>
      </c>
      <c r="CE2107" s="5" t="s">
        <v>256</v>
      </c>
      <c r="CF2107" s="5" t="s">
        <v>238</v>
      </c>
      <c r="CI2107" s="6" t="s">
        <v>257</v>
      </c>
      <c r="CJ2107" s="5" t="s">
        <v>238</v>
      </c>
      <c r="CK2107" s="5" t="s">
        <v>258</v>
      </c>
      <c r="CL2107" s="5" t="s">
        <v>238</v>
      </c>
      <c r="CM2107" s="5" t="s">
        <v>238</v>
      </c>
      <c r="CN2107" s="5">
        <v>0</v>
      </c>
      <c r="CO2107" s="5" t="s">
        <v>259</v>
      </c>
      <c r="CP2107" s="5" t="s">
        <v>260</v>
      </c>
      <c r="CQ2107" s="5" t="s">
        <v>260</v>
      </c>
      <c r="CR2107" s="5" t="s">
        <v>261</v>
      </c>
      <c r="CU2107" s="8">
        <f>1</f>
        <v>1</v>
      </c>
      <c r="CV2107" s="8">
        <f>0</f>
        <v>0</v>
      </c>
      <c r="CX2107" s="8">
        <f>0</f>
        <v>0</v>
      </c>
      <c r="CY2107" s="8">
        <f>1</f>
        <v>1</v>
      </c>
      <c r="DA2107" s="5" t="s">
        <v>274</v>
      </c>
      <c r="DB2107" s="5" t="s">
        <v>238</v>
      </c>
      <c r="DD2107" s="5" t="s">
        <v>274</v>
      </c>
      <c r="DE2107" s="8">
        <f>434</f>
        <v>434</v>
      </c>
      <c r="DG2107" s="5" t="s">
        <v>238</v>
      </c>
      <c r="DH2107" s="5" t="s">
        <v>238</v>
      </c>
      <c r="DI2107" s="5" t="s">
        <v>238</v>
      </c>
      <c r="DJ2107" s="5" t="s">
        <v>238</v>
      </c>
      <c r="DN2107" s="5" t="s">
        <v>238</v>
      </c>
      <c r="DO2107" s="5" t="s">
        <v>238</v>
      </c>
      <c r="DP2107" s="5" t="s">
        <v>238</v>
      </c>
      <c r="DQ2107" s="5" t="s">
        <v>238</v>
      </c>
      <c r="DT2107" s="5" t="s">
        <v>275</v>
      </c>
      <c r="DU2107" s="5" t="s">
        <v>518</v>
      </c>
      <c r="HM2107" s="5" t="s">
        <v>264</v>
      </c>
    </row>
    <row r="2108" spans="1:221" x14ac:dyDescent="0.4">
      <c r="A2108" s="5">
        <v>3812</v>
      </c>
      <c r="B2108" s="5">
        <v>1</v>
      </c>
      <c r="C2108" s="5">
        <v>1</v>
      </c>
      <c r="D2108" s="5" t="s">
        <v>269</v>
      </c>
      <c r="E2108" s="5" t="s">
        <v>271</v>
      </c>
      <c r="F2108" s="5" t="s">
        <v>248</v>
      </c>
      <c r="G2108" s="5" t="s">
        <v>266</v>
      </c>
      <c r="H2108" s="6" t="s">
        <v>519</v>
      </c>
      <c r="I2108" s="7">
        <f>1013</f>
        <v>1013</v>
      </c>
      <c r="J2108" s="5" t="s">
        <v>262</v>
      </c>
      <c r="K2108" s="8">
        <f>1</f>
        <v>1</v>
      </c>
      <c r="L2108" s="6" t="s">
        <v>242</v>
      </c>
      <c r="M2108" s="5" t="s">
        <v>267</v>
      </c>
      <c r="N2108" s="5" t="s">
        <v>265</v>
      </c>
      <c r="O2108" s="5" t="s">
        <v>238</v>
      </c>
      <c r="P2108" s="5" t="s">
        <v>238</v>
      </c>
      <c r="Q2108" s="5" t="s">
        <v>268</v>
      </c>
      <c r="R2108" s="5" t="s">
        <v>270</v>
      </c>
      <c r="S2108" s="5" t="s">
        <v>238</v>
      </c>
      <c r="V2108" s="5" t="s">
        <v>238</v>
      </c>
      <c r="X2108" s="6" t="s">
        <v>238</v>
      </c>
      <c r="AA2108" s="6" t="s">
        <v>243</v>
      </c>
      <c r="AB2108" s="5" t="s">
        <v>238</v>
      </c>
      <c r="AC2108" s="5" t="s">
        <v>244</v>
      </c>
      <c r="AD2108" s="5" t="s">
        <v>245</v>
      </c>
      <c r="AT2108" s="5" t="s">
        <v>246</v>
      </c>
      <c r="AU2108" s="5" t="s">
        <v>238</v>
      </c>
      <c r="AV2108" s="5" t="s">
        <v>247</v>
      </c>
      <c r="AW2108" s="5" t="s">
        <v>238</v>
      </c>
      <c r="AX2108" s="5" t="s">
        <v>249</v>
      </c>
      <c r="AY2108" s="5" t="s">
        <v>238</v>
      </c>
      <c r="BA2108" s="5" t="s">
        <v>238</v>
      </c>
      <c r="BC2108" s="5" t="s">
        <v>250</v>
      </c>
      <c r="BD2108" s="6" t="s">
        <v>243</v>
      </c>
      <c r="BE2108" s="5" t="s">
        <v>251</v>
      </c>
      <c r="BF2108" s="5" t="s">
        <v>252</v>
      </c>
      <c r="BG2108" s="5" t="s">
        <v>238</v>
      </c>
      <c r="BH2108" s="7">
        <f>0</f>
        <v>0</v>
      </c>
      <c r="BI2108" s="8">
        <f>0</f>
        <v>0</v>
      </c>
      <c r="BJ2108" s="5" t="s">
        <v>253</v>
      </c>
      <c r="BK2108" s="5" t="s">
        <v>254</v>
      </c>
      <c r="BY2108" s="5" t="s">
        <v>238</v>
      </c>
      <c r="BZ2108" s="5" t="s">
        <v>238</v>
      </c>
      <c r="CD2108" s="5" t="s">
        <v>273</v>
      </c>
      <c r="CE2108" s="5" t="s">
        <v>256</v>
      </c>
      <c r="CF2108" s="5" t="s">
        <v>238</v>
      </c>
      <c r="CI2108" s="6" t="s">
        <v>257</v>
      </c>
      <c r="CJ2108" s="5" t="s">
        <v>238</v>
      </c>
      <c r="CK2108" s="5" t="s">
        <v>258</v>
      </c>
      <c r="CL2108" s="5" t="s">
        <v>238</v>
      </c>
      <c r="CM2108" s="5" t="s">
        <v>238</v>
      </c>
      <c r="CN2108" s="5">
        <v>0</v>
      </c>
      <c r="CO2108" s="5" t="s">
        <v>259</v>
      </c>
      <c r="CP2108" s="5" t="s">
        <v>260</v>
      </c>
      <c r="CQ2108" s="5" t="s">
        <v>260</v>
      </c>
      <c r="CR2108" s="5" t="s">
        <v>261</v>
      </c>
      <c r="CU2108" s="8">
        <f>1</f>
        <v>1</v>
      </c>
      <c r="CV2108" s="8">
        <f>0</f>
        <v>0</v>
      </c>
      <c r="CX2108" s="8">
        <f>0</f>
        <v>0</v>
      </c>
      <c r="CY2108" s="8">
        <f>1</f>
        <v>1</v>
      </c>
      <c r="DA2108" s="5" t="s">
        <v>274</v>
      </c>
      <c r="DB2108" s="5" t="s">
        <v>238</v>
      </c>
      <c r="DD2108" s="5" t="s">
        <v>274</v>
      </c>
      <c r="DE2108" s="8">
        <f>1013</f>
        <v>1013</v>
      </c>
      <c r="DG2108" s="5" t="s">
        <v>238</v>
      </c>
      <c r="DH2108" s="5" t="s">
        <v>238</v>
      </c>
      <c r="DI2108" s="5" t="s">
        <v>238</v>
      </c>
      <c r="DJ2108" s="5" t="s">
        <v>238</v>
      </c>
      <c r="DN2108" s="5" t="s">
        <v>238</v>
      </c>
      <c r="DO2108" s="5" t="s">
        <v>238</v>
      </c>
      <c r="DP2108" s="5" t="s">
        <v>238</v>
      </c>
      <c r="DQ2108" s="5" t="s">
        <v>238</v>
      </c>
      <c r="DT2108" s="5" t="s">
        <v>275</v>
      </c>
      <c r="DU2108" s="5" t="s">
        <v>520</v>
      </c>
      <c r="HM2108" s="5" t="s">
        <v>264</v>
      </c>
    </row>
    <row r="2109" spans="1:221" x14ac:dyDescent="0.4">
      <c r="A2109" s="5">
        <v>3813</v>
      </c>
      <c r="B2109" s="5">
        <v>1</v>
      </c>
      <c r="C2109" s="5">
        <v>1</v>
      </c>
      <c r="D2109" s="5" t="s">
        <v>269</v>
      </c>
      <c r="E2109" s="5" t="s">
        <v>271</v>
      </c>
      <c r="F2109" s="5" t="s">
        <v>248</v>
      </c>
      <c r="G2109" s="5" t="s">
        <v>266</v>
      </c>
      <c r="H2109" s="6" t="s">
        <v>521</v>
      </c>
      <c r="I2109" s="7">
        <f>322</f>
        <v>322</v>
      </c>
      <c r="J2109" s="5" t="s">
        <v>262</v>
      </c>
      <c r="K2109" s="8">
        <f>1</f>
        <v>1</v>
      </c>
      <c r="L2109" s="6" t="s">
        <v>242</v>
      </c>
      <c r="M2109" s="5" t="s">
        <v>267</v>
      </c>
      <c r="N2109" s="5" t="s">
        <v>265</v>
      </c>
      <c r="O2109" s="5" t="s">
        <v>238</v>
      </c>
      <c r="P2109" s="5" t="s">
        <v>238</v>
      </c>
      <c r="Q2109" s="5" t="s">
        <v>268</v>
      </c>
      <c r="R2109" s="5" t="s">
        <v>270</v>
      </c>
      <c r="S2109" s="5" t="s">
        <v>238</v>
      </c>
      <c r="V2109" s="5" t="s">
        <v>238</v>
      </c>
      <c r="X2109" s="6" t="s">
        <v>238</v>
      </c>
      <c r="AA2109" s="6" t="s">
        <v>243</v>
      </c>
      <c r="AB2109" s="5" t="s">
        <v>238</v>
      </c>
      <c r="AC2109" s="5" t="s">
        <v>244</v>
      </c>
      <c r="AD2109" s="5" t="s">
        <v>245</v>
      </c>
      <c r="AT2109" s="5" t="s">
        <v>246</v>
      </c>
      <c r="AU2109" s="5" t="s">
        <v>238</v>
      </c>
      <c r="AV2109" s="5" t="s">
        <v>247</v>
      </c>
      <c r="AW2109" s="5" t="s">
        <v>238</v>
      </c>
      <c r="AX2109" s="5" t="s">
        <v>249</v>
      </c>
      <c r="AY2109" s="5" t="s">
        <v>238</v>
      </c>
      <c r="BA2109" s="5" t="s">
        <v>238</v>
      </c>
      <c r="BC2109" s="5" t="s">
        <v>250</v>
      </c>
      <c r="BD2109" s="6" t="s">
        <v>243</v>
      </c>
      <c r="BE2109" s="5" t="s">
        <v>251</v>
      </c>
      <c r="BF2109" s="5" t="s">
        <v>252</v>
      </c>
      <c r="BG2109" s="5" t="s">
        <v>238</v>
      </c>
      <c r="BH2109" s="7">
        <f>0</f>
        <v>0</v>
      </c>
      <c r="BI2109" s="8">
        <f>0</f>
        <v>0</v>
      </c>
      <c r="BJ2109" s="5" t="s">
        <v>253</v>
      </c>
      <c r="BK2109" s="5" t="s">
        <v>254</v>
      </c>
      <c r="BY2109" s="5" t="s">
        <v>238</v>
      </c>
      <c r="BZ2109" s="5" t="s">
        <v>238</v>
      </c>
      <c r="CD2109" s="5" t="s">
        <v>273</v>
      </c>
      <c r="CE2109" s="5" t="s">
        <v>256</v>
      </c>
      <c r="CF2109" s="5" t="s">
        <v>238</v>
      </c>
      <c r="CI2109" s="6" t="s">
        <v>257</v>
      </c>
      <c r="CJ2109" s="5" t="s">
        <v>238</v>
      </c>
      <c r="CK2109" s="5" t="s">
        <v>258</v>
      </c>
      <c r="CL2109" s="5" t="s">
        <v>238</v>
      </c>
      <c r="CM2109" s="5" t="s">
        <v>238</v>
      </c>
      <c r="CN2109" s="5">
        <v>0</v>
      </c>
      <c r="CO2109" s="5" t="s">
        <v>259</v>
      </c>
      <c r="CP2109" s="5" t="s">
        <v>260</v>
      </c>
      <c r="CQ2109" s="5" t="s">
        <v>260</v>
      </c>
      <c r="CR2109" s="5" t="s">
        <v>261</v>
      </c>
      <c r="CU2109" s="8">
        <f>1</f>
        <v>1</v>
      </c>
      <c r="CV2109" s="8">
        <f>0</f>
        <v>0</v>
      </c>
      <c r="CX2109" s="8">
        <f>0</f>
        <v>0</v>
      </c>
      <c r="CY2109" s="8">
        <f>1</f>
        <v>1</v>
      </c>
      <c r="DA2109" s="5" t="s">
        <v>274</v>
      </c>
      <c r="DB2109" s="5" t="s">
        <v>238</v>
      </c>
      <c r="DD2109" s="5" t="s">
        <v>274</v>
      </c>
      <c r="DE2109" s="8">
        <f>322</f>
        <v>322</v>
      </c>
      <c r="DG2109" s="5" t="s">
        <v>238</v>
      </c>
      <c r="DH2109" s="5" t="s">
        <v>238</v>
      </c>
      <c r="DI2109" s="5" t="s">
        <v>238</v>
      </c>
      <c r="DJ2109" s="5" t="s">
        <v>238</v>
      </c>
      <c r="DN2109" s="5" t="s">
        <v>238</v>
      </c>
      <c r="DO2109" s="5" t="s">
        <v>238</v>
      </c>
      <c r="DP2109" s="5" t="s">
        <v>238</v>
      </c>
      <c r="DQ2109" s="5" t="s">
        <v>238</v>
      </c>
      <c r="DT2109" s="5" t="s">
        <v>275</v>
      </c>
      <c r="DU2109" s="5" t="s">
        <v>522</v>
      </c>
      <c r="HM2109" s="5" t="s">
        <v>264</v>
      </c>
    </row>
    <row r="2110" spans="1:221" x14ac:dyDescent="0.4">
      <c r="A2110" s="5">
        <v>3814</v>
      </c>
      <c r="B2110" s="5">
        <v>1</v>
      </c>
      <c r="C2110" s="5">
        <v>1</v>
      </c>
      <c r="D2110" s="5" t="s">
        <v>269</v>
      </c>
      <c r="E2110" s="5" t="s">
        <v>271</v>
      </c>
      <c r="F2110" s="5" t="s">
        <v>248</v>
      </c>
      <c r="G2110" s="5" t="s">
        <v>266</v>
      </c>
      <c r="H2110" s="6" t="s">
        <v>525</v>
      </c>
      <c r="I2110" s="7">
        <f>527</f>
        <v>527</v>
      </c>
      <c r="J2110" s="5" t="s">
        <v>262</v>
      </c>
      <c r="K2110" s="8">
        <f>1</f>
        <v>1</v>
      </c>
      <c r="L2110" s="6" t="s">
        <v>242</v>
      </c>
      <c r="M2110" s="5" t="s">
        <v>267</v>
      </c>
      <c r="N2110" s="5" t="s">
        <v>265</v>
      </c>
      <c r="O2110" s="5" t="s">
        <v>238</v>
      </c>
      <c r="P2110" s="5" t="s">
        <v>238</v>
      </c>
      <c r="Q2110" s="5" t="s">
        <v>268</v>
      </c>
      <c r="R2110" s="5" t="s">
        <v>270</v>
      </c>
      <c r="S2110" s="5" t="s">
        <v>238</v>
      </c>
      <c r="V2110" s="5" t="s">
        <v>238</v>
      </c>
      <c r="X2110" s="6" t="s">
        <v>238</v>
      </c>
      <c r="AA2110" s="6" t="s">
        <v>243</v>
      </c>
      <c r="AB2110" s="5" t="s">
        <v>238</v>
      </c>
      <c r="AC2110" s="5" t="s">
        <v>244</v>
      </c>
      <c r="AD2110" s="5" t="s">
        <v>245</v>
      </c>
      <c r="AT2110" s="5" t="s">
        <v>246</v>
      </c>
      <c r="AU2110" s="5" t="s">
        <v>238</v>
      </c>
      <c r="AV2110" s="5" t="s">
        <v>247</v>
      </c>
      <c r="AW2110" s="5" t="s">
        <v>238</v>
      </c>
      <c r="AX2110" s="5" t="s">
        <v>249</v>
      </c>
      <c r="AY2110" s="5" t="s">
        <v>238</v>
      </c>
      <c r="BA2110" s="5" t="s">
        <v>238</v>
      </c>
      <c r="BC2110" s="5" t="s">
        <v>250</v>
      </c>
      <c r="BD2110" s="6" t="s">
        <v>243</v>
      </c>
      <c r="BE2110" s="5" t="s">
        <v>251</v>
      </c>
      <c r="BF2110" s="5" t="s">
        <v>252</v>
      </c>
      <c r="BG2110" s="5" t="s">
        <v>238</v>
      </c>
      <c r="BH2110" s="7">
        <f>0</f>
        <v>0</v>
      </c>
      <c r="BI2110" s="8">
        <f>0</f>
        <v>0</v>
      </c>
      <c r="BJ2110" s="5" t="s">
        <v>253</v>
      </c>
      <c r="BK2110" s="5" t="s">
        <v>254</v>
      </c>
      <c r="BY2110" s="5" t="s">
        <v>238</v>
      </c>
      <c r="BZ2110" s="5" t="s">
        <v>238</v>
      </c>
      <c r="CD2110" s="5" t="s">
        <v>273</v>
      </c>
      <c r="CE2110" s="5" t="s">
        <v>256</v>
      </c>
      <c r="CF2110" s="5" t="s">
        <v>238</v>
      </c>
      <c r="CI2110" s="6" t="s">
        <v>257</v>
      </c>
      <c r="CJ2110" s="5" t="s">
        <v>238</v>
      </c>
      <c r="CK2110" s="5" t="s">
        <v>258</v>
      </c>
      <c r="CL2110" s="5" t="s">
        <v>238</v>
      </c>
      <c r="CM2110" s="5" t="s">
        <v>238</v>
      </c>
      <c r="CN2110" s="5">
        <v>0</v>
      </c>
      <c r="CO2110" s="5" t="s">
        <v>259</v>
      </c>
      <c r="CP2110" s="5" t="s">
        <v>260</v>
      </c>
      <c r="CQ2110" s="5" t="s">
        <v>260</v>
      </c>
      <c r="CR2110" s="5" t="s">
        <v>261</v>
      </c>
      <c r="CU2110" s="8">
        <f>1</f>
        <v>1</v>
      </c>
      <c r="CV2110" s="8">
        <f>0</f>
        <v>0</v>
      </c>
      <c r="CX2110" s="8">
        <f>0</f>
        <v>0</v>
      </c>
      <c r="CY2110" s="8">
        <f>1</f>
        <v>1</v>
      </c>
      <c r="DA2110" s="5" t="s">
        <v>274</v>
      </c>
      <c r="DB2110" s="5" t="s">
        <v>238</v>
      </c>
      <c r="DD2110" s="5" t="s">
        <v>274</v>
      </c>
      <c r="DE2110" s="8">
        <f>527</f>
        <v>527</v>
      </c>
      <c r="DG2110" s="5" t="s">
        <v>238</v>
      </c>
      <c r="DH2110" s="5" t="s">
        <v>238</v>
      </c>
      <c r="DI2110" s="5" t="s">
        <v>238</v>
      </c>
      <c r="DJ2110" s="5" t="s">
        <v>238</v>
      </c>
      <c r="DN2110" s="5" t="s">
        <v>238</v>
      </c>
      <c r="DO2110" s="5" t="s">
        <v>238</v>
      </c>
      <c r="DP2110" s="5" t="s">
        <v>238</v>
      </c>
      <c r="DQ2110" s="5" t="s">
        <v>238</v>
      </c>
      <c r="DT2110" s="5" t="s">
        <v>275</v>
      </c>
      <c r="DU2110" s="5" t="s">
        <v>526</v>
      </c>
      <c r="HM2110" s="5" t="s">
        <v>264</v>
      </c>
    </row>
    <row r="2111" spans="1:221" x14ac:dyDescent="0.4">
      <c r="A2111" s="5">
        <v>3815</v>
      </c>
      <c r="B2111" s="5">
        <v>1</v>
      </c>
      <c r="C2111" s="5">
        <v>1</v>
      </c>
      <c r="D2111" s="5" t="s">
        <v>269</v>
      </c>
      <c r="E2111" s="5" t="s">
        <v>271</v>
      </c>
      <c r="F2111" s="5" t="s">
        <v>248</v>
      </c>
      <c r="G2111" s="5" t="s">
        <v>266</v>
      </c>
      <c r="H2111" s="6" t="s">
        <v>527</v>
      </c>
      <c r="I2111" s="7">
        <f>205</f>
        <v>205</v>
      </c>
      <c r="J2111" s="5" t="s">
        <v>262</v>
      </c>
      <c r="K2111" s="8">
        <f>1</f>
        <v>1</v>
      </c>
      <c r="L2111" s="6" t="s">
        <v>242</v>
      </c>
      <c r="M2111" s="5" t="s">
        <v>267</v>
      </c>
      <c r="N2111" s="5" t="s">
        <v>265</v>
      </c>
      <c r="O2111" s="5" t="s">
        <v>238</v>
      </c>
      <c r="P2111" s="5" t="s">
        <v>238</v>
      </c>
      <c r="Q2111" s="5" t="s">
        <v>268</v>
      </c>
      <c r="R2111" s="5" t="s">
        <v>270</v>
      </c>
      <c r="S2111" s="5" t="s">
        <v>238</v>
      </c>
      <c r="V2111" s="5" t="s">
        <v>238</v>
      </c>
      <c r="X2111" s="6" t="s">
        <v>238</v>
      </c>
      <c r="AA2111" s="6" t="s">
        <v>243</v>
      </c>
      <c r="AB2111" s="5" t="s">
        <v>238</v>
      </c>
      <c r="AC2111" s="5" t="s">
        <v>244</v>
      </c>
      <c r="AD2111" s="5" t="s">
        <v>245</v>
      </c>
      <c r="AT2111" s="5" t="s">
        <v>246</v>
      </c>
      <c r="AU2111" s="5" t="s">
        <v>238</v>
      </c>
      <c r="AV2111" s="5" t="s">
        <v>247</v>
      </c>
      <c r="AW2111" s="5" t="s">
        <v>238</v>
      </c>
      <c r="AX2111" s="5" t="s">
        <v>249</v>
      </c>
      <c r="AY2111" s="5" t="s">
        <v>238</v>
      </c>
      <c r="BA2111" s="5" t="s">
        <v>238</v>
      </c>
      <c r="BC2111" s="5" t="s">
        <v>250</v>
      </c>
      <c r="BD2111" s="6" t="s">
        <v>243</v>
      </c>
      <c r="BE2111" s="5" t="s">
        <v>251</v>
      </c>
      <c r="BF2111" s="5" t="s">
        <v>252</v>
      </c>
      <c r="BG2111" s="5" t="s">
        <v>238</v>
      </c>
      <c r="BH2111" s="7">
        <f>0</f>
        <v>0</v>
      </c>
      <c r="BI2111" s="8">
        <f>0</f>
        <v>0</v>
      </c>
      <c r="BJ2111" s="5" t="s">
        <v>253</v>
      </c>
      <c r="BK2111" s="5" t="s">
        <v>254</v>
      </c>
      <c r="BY2111" s="5" t="s">
        <v>238</v>
      </c>
      <c r="BZ2111" s="5" t="s">
        <v>238</v>
      </c>
      <c r="CD2111" s="5" t="s">
        <v>273</v>
      </c>
      <c r="CE2111" s="5" t="s">
        <v>256</v>
      </c>
      <c r="CF2111" s="5" t="s">
        <v>238</v>
      </c>
      <c r="CI2111" s="6" t="s">
        <v>257</v>
      </c>
      <c r="CJ2111" s="5" t="s">
        <v>238</v>
      </c>
      <c r="CK2111" s="5" t="s">
        <v>258</v>
      </c>
      <c r="CL2111" s="5" t="s">
        <v>238</v>
      </c>
      <c r="CM2111" s="5" t="s">
        <v>238</v>
      </c>
      <c r="CN2111" s="5">
        <v>0</v>
      </c>
      <c r="CO2111" s="5" t="s">
        <v>259</v>
      </c>
      <c r="CP2111" s="5" t="s">
        <v>260</v>
      </c>
      <c r="CQ2111" s="5" t="s">
        <v>260</v>
      </c>
      <c r="CR2111" s="5" t="s">
        <v>261</v>
      </c>
      <c r="CU2111" s="8">
        <f>1</f>
        <v>1</v>
      </c>
      <c r="CV2111" s="8">
        <f>0</f>
        <v>0</v>
      </c>
      <c r="CX2111" s="8">
        <f>0</f>
        <v>0</v>
      </c>
      <c r="CY2111" s="8">
        <f>1</f>
        <v>1</v>
      </c>
      <c r="DA2111" s="5" t="s">
        <v>274</v>
      </c>
      <c r="DB2111" s="5" t="s">
        <v>238</v>
      </c>
      <c r="DD2111" s="5" t="s">
        <v>274</v>
      </c>
      <c r="DE2111" s="8">
        <f>205</f>
        <v>205</v>
      </c>
      <c r="DG2111" s="5" t="s">
        <v>238</v>
      </c>
      <c r="DH2111" s="5" t="s">
        <v>238</v>
      </c>
      <c r="DI2111" s="5" t="s">
        <v>238</v>
      </c>
      <c r="DJ2111" s="5" t="s">
        <v>238</v>
      </c>
      <c r="DN2111" s="5" t="s">
        <v>238</v>
      </c>
      <c r="DO2111" s="5" t="s">
        <v>238</v>
      </c>
      <c r="DP2111" s="5" t="s">
        <v>238</v>
      </c>
      <c r="DQ2111" s="5" t="s">
        <v>238</v>
      </c>
      <c r="DT2111" s="5" t="s">
        <v>275</v>
      </c>
      <c r="DU2111" s="5" t="s">
        <v>528</v>
      </c>
      <c r="HM2111" s="5" t="s">
        <v>264</v>
      </c>
    </row>
    <row r="2112" spans="1:221" x14ac:dyDescent="0.4">
      <c r="A2112" s="5">
        <v>3816</v>
      </c>
      <c r="B2112" s="5">
        <v>1</v>
      </c>
      <c r="C2112" s="5">
        <v>1</v>
      </c>
      <c r="D2112" s="5" t="s">
        <v>269</v>
      </c>
      <c r="E2112" s="5" t="s">
        <v>271</v>
      </c>
      <c r="F2112" s="5" t="s">
        <v>248</v>
      </c>
      <c r="G2112" s="5" t="s">
        <v>266</v>
      </c>
      <c r="H2112" s="6" t="s">
        <v>529</v>
      </c>
      <c r="I2112" s="7">
        <f>1331</f>
        <v>1331</v>
      </c>
      <c r="J2112" s="5" t="s">
        <v>262</v>
      </c>
      <c r="K2112" s="8">
        <f>1</f>
        <v>1</v>
      </c>
      <c r="L2112" s="6" t="s">
        <v>242</v>
      </c>
      <c r="M2112" s="5" t="s">
        <v>267</v>
      </c>
      <c r="N2112" s="5" t="s">
        <v>265</v>
      </c>
      <c r="O2112" s="5" t="s">
        <v>238</v>
      </c>
      <c r="P2112" s="5" t="s">
        <v>238</v>
      </c>
      <c r="Q2112" s="5" t="s">
        <v>268</v>
      </c>
      <c r="R2112" s="5" t="s">
        <v>270</v>
      </c>
      <c r="S2112" s="5" t="s">
        <v>238</v>
      </c>
      <c r="V2112" s="5" t="s">
        <v>238</v>
      </c>
      <c r="X2112" s="6" t="s">
        <v>238</v>
      </c>
      <c r="AA2112" s="6" t="s">
        <v>243</v>
      </c>
      <c r="AB2112" s="5" t="s">
        <v>238</v>
      </c>
      <c r="AC2112" s="5" t="s">
        <v>244</v>
      </c>
      <c r="AD2112" s="5" t="s">
        <v>245</v>
      </c>
      <c r="AT2112" s="5" t="s">
        <v>246</v>
      </c>
      <c r="AU2112" s="5" t="s">
        <v>238</v>
      </c>
      <c r="AV2112" s="5" t="s">
        <v>247</v>
      </c>
      <c r="AW2112" s="5" t="s">
        <v>238</v>
      </c>
      <c r="AX2112" s="5" t="s">
        <v>249</v>
      </c>
      <c r="AY2112" s="5" t="s">
        <v>238</v>
      </c>
      <c r="BA2112" s="5" t="s">
        <v>238</v>
      </c>
      <c r="BC2112" s="5" t="s">
        <v>250</v>
      </c>
      <c r="BD2112" s="6" t="s">
        <v>243</v>
      </c>
      <c r="BE2112" s="5" t="s">
        <v>251</v>
      </c>
      <c r="BF2112" s="5" t="s">
        <v>252</v>
      </c>
      <c r="BG2112" s="5" t="s">
        <v>238</v>
      </c>
      <c r="BH2112" s="7">
        <f>0</f>
        <v>0</v>
      </c>
      <c r="BI2112" s="8">
        <f>0</f>
        <v>0</v>
      </c>
      <c r="BJ2112" s="5" t="s">
        <v>253</v>
      </c>
      <c r="BK2112" s="5" t="s">
        <v>254</v>
      </c>
      <c r="BY2112" s="5" t="s">
        <v>238</v>
      </c>
      <c r="BZ2112" s="5" t="s">
        <v>238</v>
      </c>
      <c r="CD2112" s="5" t="s">
        <v>273</v>
      </c>
      <c r="CE2112" s="5" t="s">
        <v>256</v>
      </c>
      <c r="CF2112" s="5" t="s">
        <v>238</v>
      </c>
      <c r="CI2112" s="6" t="s">
        <v>257</v>
      </c>
      <c r="CJ2112" s="5" t="s">
        <v>238</v>
      </c>
      <c r="CK2112" s="5" t="s">
        <v>258</v>
      </c>
      <c r="CL2112" s="5" t="s">
        <v>238</v>
      </c>
      <c r="CM2112" s="5" t="s">
        <v>238</v>
      </c>
      <c r="CN2112" s="5">
        <v>0</v>
      </c>
      <c r="CO2112" s="5" t="s">
        <v>259</v>
      </c>
      <c r="CP2112" s="5" t="s">
        <v>260</v>
      </c>
      <c r="CQ2112" s="5" t="s">
        <v>260</v>
      </c>
      <c r="CR2112" s="5" t="s">
        <v>261</v>
      </c>
      <c r="CU2112" s="8">
        <f>1</f>
        <v>1</v>
      </c>
      <c r="CV2112" s="8">
        <f>0</f>
        <v>0</v>
      </c>
      <c r="CX2112" s="8">
        <f>0</f>
        <v>0</v>
      </c>
      <c r="CY2112" s="8">
        <f>1</f>
        <v>1</v>
      </c>
      <c r="DA2112" s="5" t="s">
        <v>274</v>
      </c>
      <c r="DB2112" s="5" t="s">
        <v>238</v>
      </c>
      <c r="DD2112" s="5" t="s">
        <v>274</v>
      </c>
      <c r="DE2112" s="8">
        <f>1331</f>
        <v>1331</v>
      </c>
      <c r="DG2112" s="5" t="s">
        <v>238</v>
      </c>
      <c r="DH2112" s="5" t="s">
        <v>238</v>
      </c>
      <c r="DI2112" s="5" t="s">
        <v>238</v>
      </c>
      <c r="DJ2112" s="5" t="s">
        <v>238</v>
      </c>
      <c r="DN2112" s="5" t="s">
        <v>238</v>
      </c>
      <c r="DO2112" s="5" t="s">
        <v>238</v>
      </c>
      <c r="DP2112" s="5" t="s">
        <v>238</v>
      </c>
      <c r="DQ2112" s="5" t="s">
        <v>238</v>
      </c>
      <c r="DT2112" s="5" t="s">
        <v>275</v>
      </c>
      <c r="DU2112" s="5" t="s">
        <v>530</v>
      </c>
      <c r="HM2112" s="5" t="s">
        <v>264</v>
      </c>
    </row>
    <row r="2113" spans="1:221" x14ac:dyDescent="0.4">
      <c r="A2113" s="5">
        <v>3817</v>
      </c>
      <c r="B2113" s="5">
        <v>1</v>
      </c>
      <c r="C2113" s="5">
        <v>1</v>
      </c>
      <c r="D2113" s="5" t="s">
        <v>269</v>
      </c>
      <c r="E2113" s="5" t="s">
        <v>271</v>
      </c>
      <c r="F2113" s="5" t="s">
        <v>248</v>
      </c>
      <c r="G2113" s="5" t="s">
        <v>266</v>
      </c>
      <c r="H2113" s="6" t="s">
        <v>537</v>
      </c>
      <c r="I2113" s="7">
        <f>359</f>
        <v>359</v>
      </c>
      <c r="J2113" s="5" t="s">
        <v>262</v>
      </c>
      <c r="K2113" s="8">
        <f>1</f>
        <v>1</v>
      </c>
      <c r="L2113" s="6" t="s">
        <v>242</v>
      </c>
      <c r="M2113" s="5" t="s">
        <v>267</v>
      </c>
      <c r="N2113" s="5" t="s">
        <v>265</v>
      </c>
      <c r="O2113" s="5" t="s">
        <v>238</v>
      </c>
      <c r="P2113" s="5" t="s">
        <v>238</v>
      </c>
      <c r="Q2113" s="5" t="s">
        <v>268</v>
      </c>
      <c r="R2113" s="5" t="s">
        <v>270</v>
      </c>
      <c r="S2113" s="5" t="s">
        <v>238</v>
      </c>
      <c r="V2113" s="5" t="s">
        <v>238</v>
      </c>
      <c r="X2113" s="6" t="s">
        <v>238</v>
      </c>
      <c r="AA2113" s="6" t="s">
        <v>243</v>
      </c>
      <c r="AB2113" s="5" t="s">
        <v>238</v>
      </c>
      <c r="AC2113" s="5" t="s">
        <v>244</v>
      </c>
      <c r="AD2113" s="5" t="s">
        <v>245</v>
      </c>
      <c r="AT2113" s="5" t="s">
        <v>246</v>
      </c>
      <c r="AU2113" s="5" t="s">
        <v>238</v>
      </c>
      <c r="AV2113" s="5" t="s">
        <v>247</v>
      </c>
      <c r="AW2113" s="5" t="s">
        <v>238</v>
      </c>
      <c r="AX2113" s="5" t="s">
        <v>249</v>
      </c>
      <c r="AY2113" s="5" t="s">
        <v>238</v>
      </c>
      <c r="BA2113" s="5" t="s">
        <v>238</v>
      </c>
      <c r="BC2113" s="5" t="s">
        <v>250</v>
      </c>
      <c r="BD2113" s="6" t="s">
        <v>243</v>
      </c>
      <c r="BE2113" s="5" t="s">
        <v>251</v>
      </c>
      <c r="BF2113" s="5" t="s">
        <v>252</v>
      </c>
      <c r="BG2113" s="5" t="s">
        <v>238</v>
      </c>
      <c r="BH2113" s="7">
        <f>0</f>
        <v>0</v>
      </c>
      <c r="BI2113" s="8">
        <f>0</f>
        <v>0</v>
      </c>
      <c r="BJ2113" s="5" t="s">
        <v>253</v>
      </c>
      <c r="BK2113" s="5" t="s">
        <v>254</v>
      </c>
      <c r="BY2113" s="5" t="s">
        <v>238</v>
      </c>
      <c r="BZ2113" s="5" t="s">
        <v>238</v>
      </c>
      <c r="CD2113" s="5" t="s">
        <v>273</v>
      </c>
      <c r="CE2113" s="5" t="s">
        <v>256</v>
      </c>
      <c r="CF2113" s="5" t="s">
        <v>238</v>
      </c>
      <c r="CI2113" s="6" t="s">
        <v>257</v>
      </c>
      <c r="CJ2113" s="5" t="s">
        <v>238</v>
      </c>
      <c r="CK2113" s="5" t="s">
        <v>258</v>
      </c>
      <c r="CL2113" s="5" t="s">
        <v>238</v>
      </c>
      <c r="CM2113" s="5" t="s">
        <v>238</v>
      </c>
      <c r="CN2113" s="5">
        <v>0</v>
      </c>
      <c r="CO2113" s="5" t="s">
        <v>259</v>
      </c>
      <c r="CP2113" s="5" t="s">
        <v>260</v>
      </c>
      <c r="CQ2113" s="5" t="s">
        <v>260</v>
      </c>
      <c r="CR2113" s="5" t="s">
        <v>261</v>
      </c>
      <c r="CU2113" s="8">
        <f>1</f>
        <v>1</v>
      </c>
      <c r="CV2113" s="8">
        <f>0</f>
        <v>0</v>
      </c>
      <c r="CX2113" s="8">
        <f>0</f>
        <v>0</v>
      </c>
      <c r="CY2113" s="8">
        <f>1</f>
        <v>1</v>
      </c>
      <c r="DA2113" s="5" t="s">
        <v>274</v>
      </c>
      <c r="DB2113" s="5" t="s">
        <v>238</v>
      </c>
      <c r="DD2113" s="5" t="s">
        <v>274</v>
      </c>
      <c r="DE2113" s="8">
        <f>359</f>
        <v>359</v>
      </c>
      <c r="DG2113" s="5" t="s">
        <v>238</v>
      </c>
      <c r="DH2113" s="5" t="s">
        <v>238</v>
      </c>
      <c r="DI2113" s="5" t="s">
        <v>238</v>
      </c>
      <c r="DJ2113" s="5" t="s">
        <v>238</v>
      </c>
      <c r="DN2113" s="5" t="s">
        <v>238</v>
      </c>
      <c r="DO2113" s="5" t="s">
        <v>238</v>
      </c>
      <c r="DP2113" s="5" t="s">
        <v>238</v>
      </c>
      <c r="DQ2113" s="5" t="s">
        <v>238</v>
      </c>
      <c r="DT2113" s="5" t="s">
        <v>275</v>
      </c>
      <c r="DU2113" s="5" t="s">
        <v>538</v>
      </c>
      <c r="HM2113" s="5" t="s">
        <v>264</v>
      </c>
    </row>
    <row r="2114" spans="1:221" x14ac:dyDescent="0.4">
      <c r="A2114" s="5">
        <v>3818</v>
      </c>
      <c r="B2114" s="5">
        <v>1</v>
      </c>
      <c r="C2114" s="5">
        <v>1</v>
      </c>
      <c r="D2114" s="5" t="s">
        <v>269</v>
      </c>
      <c r="E2114" s="5" t="s">
        <v>271</v>
      </c>
      <c r="F2114" s="5" t="s">
        <v>248</v>
      </c>
      <c r="G2114" s="5" t="s">
        <v>266</v>
      </c>
      <c r="H2114" s="6" t="s">
        <v>541</v>
      </c>
      <c r="I2114" s="7">
        <f>445</f>
        <v>445</v>
      </c>
      <c r="J2114" s="5" t="s">
        <v>262</v>
      </c>
      <c r="K2114" s="8">
        <f>1</f>
        <v>1</v>
      </c>
      <c r="L2114" s="6" t="s">
        <v>242</v>
      </c>
      <c r="M2114" s="5" t="s">
        <v>267</v>
      </c>
      <c r="N2114" s="5" t="s">
        <v>265</v>
      </c>
      <c r="O2114" s="5" t="s">
        <v>238</v>
      </c>
      <c r="P2114" s="5" t="s">
        <v>238</v>
      </c>
      <c r="Q2114" s="5" t="s">
        <v>268</v>
      </c>
      <c r="R2114" s="5" t="s">
        <v>270</v>
      </c>
      <c r="S2114" s="5" t="s">
        <v>238</v>
      </c>
      <c r="V2114" s="5" t="s">
        <v>238</v>
      </c>
      <c r="X2114" s="6" t="s">
        <v>238</v>
      </c>
      <c r="AA2114" s="6" t="s">
        <v>243</v>
      </c>
      <c r="AB2114" s="5" t="s">
        <v>238</v>
      </c>
      <c r="AC2114" s="5" t="s">
        <v>244</v>
      </c>
      <c r="AD2114" s="5" t="s">
        <v>245</v>
      </c>
      <c r="AT2114" s="5" t="s">
        <v>246</v>
      </c>
      <c r="AU2114" s="5" t="s">
        <v>238</v>
      </c>
      <c r="AV2114" s="5" t="s">
        <v>247</v>
      </c>
      <c r="AW2114" s="5" t="s">
        <v>238</v>
      </c>
      <c r="AX2114" s="5" t="s">
        <v>249</v>
      </c>
      <c r="AY2114" s="5" t="s">
        <v>238</v>
      </c>
      <c r="BA2114" s="5" t="s">
        <v>238</v>
      </c>
      <c r="BC2114" s="5" t="s">
        <v>250</v>
      </c>
      <c r="BD2114" s="6" t="s">
        <v>243</v>
      </c>
      <c r="BE2114" s="5" t="s">
        <v>251</v>
      </c>
      <c r="BF2114" s="5" t="s">
        <v>252</v>
      </c>
      <c r="BG2114" s="5" t="s">
        <v>238</v>
      </c>
      <c r="BH2114" s="7">
        <f>0</f>
        <v>0</v>
      </c>
      <c r="BI2114" s="8">
        <f>0</f>
        <v>0</v>
      </c>
      <c r="BJ2114" s="5" t="s">
        <v>253</v>
      </c>
      <c r="BK2114" s="5" t="s">
        <v>254</v>
      </c>
      <c r="BY2114" s="5" t="s">
        <v>238</v>
      </c>
      <c r="BZ2114" s="5" t="s">
        <v>238</v>
      </c>
      <c r="CD2114" s="5" t="s">
        <v>273</v>
      </c>
      <c r="CE2114" s="5" t="s">
        <v>256</v>
      </c>
      <c r="CF2114" s="5" t="s">
        <v>238</v>
      </c>
      <c r="CI2114" s="6" t="s">
        <v>257</v>
      </c>
      <c r="CJ2114" s="5" t="s">
        <v>238</v>
      </c>
      <c r="CK2114" s="5" t="s">
        <v>258</v>
      </c>
      <c r="CL2114" s="5" t="s">
        <v>238</v>
      </c>
      <c r="CM2114" s="5" t="s">
        <v>238</v>
      </c>
      <c r="CN2114" s="5">
        <v>0</v>
      </c>
      <c r="CO2114" s="5" t="s">
        <v>259</v>
      </c>
      <c r="CP2114" s="5" t="s">
        <v>260</v>
      </c>
      <c r="CQ2114" s="5" t="s">
        <v>260</v>
      </c>
      <c r="CR2114" s="5" t="s">
        <v>261</v>
      </c>
      <c r="CU2114" s="8">
        <f>1</f>
        <v>1</v>
      </c>
      <c r="CV2114" s="8">
        <f>0</f>
        <v>0</v>
      </c>
      <c r="CX2114" s="8">
        <f>0</f>
        <v>0</v>
      </c>
      <c r="CY2114" s="8">
        <f>1</f>
        <v>1</v>
      </c>
      <c r="DA2114" s="5" t="s">
        <v>274</v>
      </c>
      <c r="DB2114" s="5" t="s">
        <v>238</v>
      </c>
      <c r="DD2114" s="5" t="s">
        <v>274</v>
      </c>
      <c r="DE2114" s="8">
        <f>445</f>
        <v>445</v>
      </c>
      <c r="DG2114" s="5" t="s">
        <v>238</v>
      </c>
      <c r="DH2114" s="5" t="s">
        <v>238</v>
      </c>
      <c r="DI2114" s="5" t="s">
        <v>238</v>
      </c>
      <c r="DJ2114" s="5" t="s">
        <v>238</v>
      </c>
      <c r="DN2114" s="5" t="s">
        <v>238</v>
      </c>
      <c r="DO2114" s="5" t="s">
        <v>238</v>
      </c>
      <c r="DP2114" s="5" t="s">
        <v>238</v>
      </c>
      <c r="DQ2114" s="5" t="s">
        <v>238</v>
      </c>
      <c r="DT2114" s="5" t="s">
        <v>275</v>
      </c>
      <c r="DU2114" s="5" t="s">
        <v>542</v>
      </c>
      <c r="HM2114" s="5" t="s">
        <v>264</v>
      </c>
    </row>
    <row r="2115" spans="1:221" x14ac:dyDescent="0.4">
      <c r="A2115" s="5">
        <v>3819</v>
      </c>
      <c r="B2115" s="5">
        <v>1</v>
      </c>
      <c r="C2115" s="5">
        <v>1</v>
      </c>
      <c r="D2115" s="5" t="s">
        <v>269</v>
      </c>
      <c r="E2115" s="5" t="s">
        <v>271</v>
      </c>
      <c r="F2115" s="5" t="s">
        <v>248</v>
      </c>
      <c r="G2115" s="5" t="s">
        <v>266</v>
      </c>
      <c r="H2115" s="6" t="s">
        <v>545</v>
      </c>
      <c r="I2115" s="7">
        <f>272</f>
        <v>272</v>
      </c>
      <c r="J2115" s="5" t="s">
        <v>262</v>
      </c>
      <c r="K2115" s="8">
        <f>1</f>
        <v>1</v>
      </c>
      <c r="L2115" s="6" t="s">
        <v>242</v>
      </c>
      <c r="M2115" s="5" t="s">
        <v>267</v>
      </c>
      <c r="N2115" s="5" t="s">
        <v>265</v>
      </c>
      <c r="O2115" s="5" t="s">
        <v>238</v>
      </c>
      <c r="P2115" s="5" t="s">
        <v>238</v>
      </c>
      <c r="Q2115" s="5" t="s">
        <v>268</v>
      </c>
      <c r="R2115" s="5" t="s">
        <v>270</v>
      </c>
      <c r="S2115" s="5" t="s">
        <v>238</v>
      </c>
      <c r="V2115" s="5" t="s">
        <v>238</v>
      </c>
      <c r="X2115" s="6" t="s">
        <v>238</v>
      </c>
      <c r="AA2115" s="6" t="s">
        <v>243</v>
      </c>
      <c r="AB2115" s="5" t="s">
        <v>238</v>
      </c>
      <c r="AC2115" s="5" t="s">
        <v>244</v>
      </c>
      <c r="AD2115" s="5" t="s">
        <v>245</v>
      </c>
      <c r="AT2115" s="5" t="s">
        <v>246</v>
      </c>
      <c r="AU2115" s="5" t="s">
        <v>238</v>
      </c>
      <c r="AV2115" s="5" t="s">
        <v>247</v>
      </c>
      <c r="AW2115" s="5" t="s">
        <v>238</v>
      </c>
      <c r="AX2115" s="5" t="s">
        <v>249</v>
      </c>
      <c r="AY2115" s="5" t="s">
        <v>238</v>
      </c>
      <c r="BA2115" s="5" t="s">
        <v>238</v>
      </c>
      <c r="BC2115" s="5" t="s">
        <v>250</v>
      </c>
      <c r="BD2115" s="6" t="s">
        <v>243</v>
      </c>
      <c r="BE2115" s="5" t="s">
        <v>251</v>
      </c>
      <c r="BF2115" s="5" t="s">
        <v>252</v>
      </c>
      <c r="BG2115" s="5" t="s">
        <v>238</v>
      </c>
      <c r="BH2115" s="7">
        <f>0</f>
        <v>0</v>
      </c>
      <c r="BI2115" s="8">
        <f>0</f>
        <v>0</v>
      </c>
      <c r="BJ2115" s="5" t="s">
        <v>253</v>
      </c>
      <c r="BK2115" s="5" t="s">
        <v>254</v>
      </c>
      <c r="BY2115" s="5" t="s">
        <v>238</v>
      </c>
      <c r="BZ2115" s="5" t="s">
        <v>238</v>
      </c>
      <c r="CD2115" s="5" t="s">
        <v>273</v>
      </c>
      <c r="CE2115" s="5" t="s">
        <v>256</v>
      </c>
      <c r="CF2115" s="5" t="s">
        <v>238</v>
      </c>
      <c r="CI2115" s="6" t="s">
        <v>257</v>
      </c>
      <c r="CJ2115" s="5" t="s">
        <v>238</v>
      </c>
      <c r="CK2115" s="5" t="s">
        <v>258</v>
      </c>
      <c r="CL2115" s="5" t="s">
        <v>238</v>
      </c>
      <c r="CM2115" s="5" t="s">
        <v>238</v>
      </c>
      <c r="CN2115" s="5">
        <v>0</v>
      </c>
      <c r="CO2115" s="5" t="s">
        <v>259</v>
      </c>
      <c r="CP2115" s="5" t="s">
        <v>260</v>
      </c>
      <c r="CQ2115" s="5" t="s">
        <v>260</v>
      </c>
      <c r="CR2115" s="5" t="s">
        <v>261</v>
      </c>
      <c r="CU2115" s="8">
        <f>1</f>
        <v>1</v>
      </c>
      <c r="CV2115" s="8">
        <f>0</f>
        <v>0</v>
      </c>
      <c r="CX2115" s="8">
        <f>0</f>
        <v>0</v>
      </c>
      <c r="CY2115" s="8">
        <f>1</f>
        <v>1</v>
      </c>
      <c r="DA2115" s="5" t="s">
        <v>274</v>
      </c>
      <c r="DB2115" s="5" t="s">
        <v>238</v>
      </c>
      <c r="DD2115" s="5" t="s">
        <v>274</v>
      </c>
      <c r="DE2115" s="8">
        <f>272</f>
        <v>272</v>
      </c>
      <c r="DG2115" s="5" t="s">
        <v>238</v>
      </c>
      <c r="DH2115" s="5" t="s">
        <v>238</v>
      </c>
      <c r="DI2115" s="5" t="s">
        <v>238</v>
      </c>
      <c r="DJ2115" s="5" t="s">
        <v>238</v>
      </c>
      <c r="DN2115" s="5" t="s">
        <v>238</v>
      </c>
      <c r="DO2115" s="5" t="s">
        <v>238</v>
      </c>
      <c r="DP2115" s="5" t="s">
        <v>238</v>
      </c>
      <c r="DQ2115" s="5" t="s">
        <v>238</v>
      </c>
      <c r="DT2115" s="5" t="s">
        <v>275</v>
      </c>
      <c r="DU2115" s="5" t="s">
        <v>546</v>
      </c>
      <c r="HM2115" s="5" t="s">
        <v>264</v>
      </c>
    </row>
    <row r="2116" spans="1:221" x14ac:dyDescent="0.4">
      <c r="A2116" s="5">
        <v>3820</v>
      </c>
      <c r="B2116" s="5">
        <v>1</v>
      </c>
      <c r="C2116" s="5">
        <v>1</v>
      </c>
      <c r="D2116" s="5" t="s">
        <v>269</v>
      </c>
      <c r="E2116" s="5" t="s">
        <v>271</v>
      </c>
      <c r="F2116" s="5" t="s">
        <v>248</v>
      </c>
      <c r="G2116" s="5" t="s">
        <v>266</v>
      </c>
      <c r="H2116" s="6" t="s">
        <v>549</v>
      </c>
      <c r="I2116" s="7">
        <f>967</f>
        <v>967</v>
      </c>
      <c r="J2116" s="5" t="s">
        <v>262</v>
      </c>
      <c r="K2116" s="8">
        <f>1</f>
        <v>1</v>
      </c>
      <c r="L2116" s="6" t="s">
        <v>242</v>
      </c>
      <c r="M2116" s="5" t="s">
        <v>267</v>
      </c>
      <c r="N2116" s="5" t="s">
        <v>265</v>
      </c>
      <c r="O2116" s="5" t="s">
        <v>238</v>
      </c>
      <c r="P2116" s="5" t="s">
        <v>238</v>
      </c>
      <c r="Q2116" s="5" t="s">
        <v>268</v>
      </c>
      <c r="R2116" s="5" t="s">
        <v>270</v>
      </c>
      <c r="S2116" s="5" t="s">
        <v>238</v>
      </c>
      <c r="V2116" s="5" t="s">
        <v>238</v>
      </c>
      <c r="X2116" s="6" t="s">
        <v>238</v>
      </c>
      <c r="AA2116" s="6" t="s">
        <v>243</v>
      </c>
      <c r="AB2116" s="5" t="s">
        <v>238</v>
      </c>
      <c r="AC2116" s="5" t="s">
        <v>244</v>
      </c>
      <c r="AD2116" s="5" t="s">
        <v>245</v>
      </c>
      <c r="AT2116" s="5" t="s">
        <v>246</v>
      </c>
      <c r="AU2116" s="5" t="s">
        <v>238</v>
      </c>
      <c r="AV2116" s="5" t="s">
        <v>247</v>
      </c>
      <c r="AW2116" s="5" t="s">
        <v>238</v>
      </c>
      <c r="AX2116" s="5" t="s">
        <v>249</v>
      </c>
      <c r="AY2116" s="5" t="s">
        <v>238</v>
      </c>
      <c r="BA2116" s="5" t="s">
        <v>238</v>
      </c>
      <c r="BC2116" s="5" t="s">
        <v>250</v>
      </c>
      <c r="BD2116" s="6" t="s">
        <v>243</v>
      </c>
      <c r="BE2116" s="5" t="s">
        <v>251</v>
      </c>
      <c r="BF2116" s="5" t="s">
        <v>252</v>
      </c>
      <c r="BG2116" s="5" t="s">
        <v>238</v>
      </c>
      <c r="BH2116" s="7">
        <f>0</f>
        <v>0</v>
      </c>
      <c r="BI2116" s="8">
        <f>0</f>
        <v>0</v>
      </c>
      <c r="BJ2116" s="5" t="s">
        <v>253</v>
      </c>
      <c r="BK2116" s="5" t="s">
        <v>254</v>
      </c>
      <c r="BY2116" s="5" t="s">
        <v>238</v>
      </c>
      <c r="BZ2116" s="5" t="s">
        <v>238</v>
      </c>
      <c r="CD2116" s="5" t="s">
        <v>273</v>
      </c>
      <c r="CE2116" s="5" t="s">
        <v>256</v>
      </c>
      <c r="CF2116" s="5" t="s">
        <v>238</v>
      </c>
      <c r="CI2116" s="6" t="s">
        <v>257</v>
      </c>
      <c r="CJ2116" s="5" t="s">
        <v>238</v>
      </c>
      <c r="CK2116" s="5" t="s">
        <v>258</v>
      </c>
      <c r="CL2116" s="5" t="s">
        <v>238</v>
      </c>
      <c r="CM2116" s="5" t="s">
        <v>238</v>
      </c>
      <c r="CN2116" s="5">
        <v>0</v>
      </c>
      <c r="CO2116" s="5" t="s">
        <v>259</v>
      </c>
      <c r="CP2116" s="5" t="s">
        <v>260</v>
      </c>
      <c r="CQ2116" s="5" t="s">
        <v>260</v>
      </c>
      <c r="CR2116" s="5" t="s">
        <v>261</v>
      </c>
      <c r="CU2116" s="8">
        <f>1</f>
        <v>1</v>
      </c>
      <c r="CV2116" s="8">
        <f>0</f>
        <v>0</v>
      </c>
      <c r="CX2116" s="8">
        <f>0</f>
        <v>0</v>
      </c>
      <c r="CY2116" s="8">
        <f>1</f>
        <v>1</v>
      </c>
      <c r="DA2116" s="5" t="s">
        <v>274</v>
      </c>
      <c r="DB2116" s="5" t="s">
        <v>238</v>
      </c>
      <c r="DD2116" s="5" t="s">
        <v>274</v>
      </c>
      <c r="DE2116" s="8">
        <f>967</f>
        <v>967</v>
      </c>
      <c r="DG2116" s="5" t="s">
        <v>238</v>
      </c>
      <c r="DH2116" s="5" t="s">
        <v>238</v>
      </c>
      <c r="DI2116" s="5" t="s">
        <v>238</v>
      </c>
      <c r="DJ2116" s="5" t="s">
        <v>238</v>
      </c>
      <c r="DN2116" s="5" t="s">
        <v>238</v>
      </c>
      <c r="DO2116" s="5" t="s">
        <v>238</v>
      </c>
      <c r="DP2116" s="5" t="s">
        <v>238</v>
      </c>
      <c r="DQ2116" s="5" t="s">
        <v>238</v>
      </c>
      <c r="DT2116" s="5" t="s">
        <v>275</v>
      </c>
      <c r="DU2116" s="5" t="s">
        <v>550</v>
      </c>
      <c r="HM2116" s="5" t="s">
        <v>264</v>
      </c>
    </row>
    <row r="2117" spans="1:221" x14ac:dyDescent="0.4">
      <c r="A2117" s="5">
        <v>3821</v>
      </c>
      <c r="B2117" s="5">
        <v>1</v>
      </c>
      <c r="C2117" s="5">
        <v>1</v>
      </c>
      <c r="D2117" s="5" t="s">
        <v>269</v>
      </c>
      <c r="E2117" s="5" t="s">
        <v>271</v>
      </c>
      <c r="F2117" s="5" t="s">
        <v>248</v>
      </c>
      <c r="G2117" s="5" t="s">
        <v>266</v>
      </c>
      <c r="H2117" s="6" t="s">
        <v>553</v>
      </c>
      <c r="I2117" s="7">
        <f>1254</f>
        <v>1254</v>
      </c>
      <c r="J2117" s="5" t="s">
        <v>262</v>
      </c>
      <c r="K2117" s="8">
        <f>1</f>
        <v>1</v>
      </c>
      <c r="L2117" s="6" t="s">
        <v>242</v>
      </c>
      <c r="M2117" s="5" t="s">
        <v>267</v>
      </c>
      <c r="N2117" s="5" t="s">
        <v>265</v>
      </c>
      <c r="O2117" s="5" t="s">
        <v>238</v>
      </c>
      <c r="P2117" s="5" t="s">
        <v>238</v>
      </c>
      <c r="Q2117" s="5" t="s">
        <v>268</v>
      </c>
      <c r="R2117" s="5" t="s">
        <v>270</v>
      </c>
      <c r="S2117" s="5" t="s">
        <v>238</v>
      </c>
      <c r="V2117" s="5" t="s">
        <v>238</v>
      </c>
      <c r="X2117" s="6" t="s">
        <v>238</v>
      </c>
      <c r="AA2117" s="6" t="s">
        <v>243</v>
      </c>
      <c r="AB2117" s="5" t="s">
        <v>238</v>
      </c>
      <c r="AC2117" s="5" t="s">
        <v>244</v>
      </c>
      <c r="AD2117" s="5" t="s">
        <v>245</v>
      </c>
      <c r="AT2117" s="5" t="s">
        <v>246</v>
      </c>
      <c r="AU2117" s="5" t="s">
        <v>238</v>
      </c>
      <c r="AV2117" s="5" t="s">
        <v>247</v>
      </c>
      <c r="AW2117" s="5" t="s">
        <v>238</v>
      </c>
      <c r="AX2117" s="5" t="s">
        <v>249</v>
      </c>
      <c r="AY2117" s="5" t="s">
        <v>238</v>
      </c>
      <c r="BA2117" s="5" t="s">
        <v>238</v>
      </c>
      <c r="BC2117" s="5" t="s">
        <v>250</v>
      </c>
      <c r="BD2117" s="6" t="s">
        <v>243</v>
      </c>
      <c r="BE2117" s="5" t="s">
        <v>251</v>
      </c>
      <c r="BF2117" s="5" t="s">
        <v>252</v>
      </c>
      <c r="BG2117" s="5" t="s">
        <v>238</v>
      </c>
      <c r="BH2117" s="7">
        <f>0</f>
        <v>0</v>
      </c>
      <c r="BI2117" s="8">
        <f>0</f>
        <v>0</v>
      </c>
      <c r="BJ2117" s="5" t="s">
        <v>253</v>
      </c>
      <c r="BK2117" s="5" t="s">
        <v>254</v>
      </c>
      <c r="BY2117" s="5" t="s">
        <v>238</v>
      </c>
      <c r="BZ2117" s="5" t="s">
        <v>238</v>
      </c>
      <c r="CD2117" s="5" t="s">
        <v>273</v>
      </c>
      <c r="CE2117" s="5" t="s">
        <v>256</v>
      </c>
      <c r="CF2117" s="5" t="s">
        <v>238</v>
      </c>
      <c r="CI2117" s="6" t="s">
        <v>257</v>
      </c>
      <c r="CJ2117" s="5" t="s">
        <v>238</v>
      </c>
      <c r="CK2117" s="5" t="s">
        <v>258</v>
      </c>
      <c r="CL2117" s="5" t="s">
        <v>238</v>
      </c>
      <c r="CM2117" s="5" t="s">
        <v>238</v>
      </c>
      <c r="CN2117" s="5">
        <v>0</v>
      </c>
      <c r="CO2117" s="5" t="s">
        <v>259</v>
      </c>
      <c r="CP2117" s="5" t="s">
        <v>260</v>
      </c>
      <c r="CQ2117" s="5" t="s">
        <v>260</v>
      </c>
      <c r="CR2117" s="5" t="s">
        <v>261</v>
      </c>
      <c r="CU2117" s="8">
        <f>1</f>
        <v>1</v>
      </c>
      <c r="CV2117" s="8">
        <f>0</f>
        <v>0</v>
      </c>
      <c r="CX2117" s="8">
        <f>0</f>
        <v>0</v>
      </c>
      <c r="CY2117" s="8">
        <f>1</f>
        <v>1</v>
      </c>
      <c r="DA2117" s="5" t="s">
        <v>274</v>
      </c>
      <c r="DB2117" s="5" t="s">
        <v>238</v>
      </c>
      <c r="DD2117" s="5" t="s">
        <v>274</v>
      </c>
      <c r="DE2117" s="8">
        <f>1254</f>
        <v>1254</v>
      </c>
      <c r="DG2117" s="5" t="s">
        <v>238</v>
      </c>
      <c r="DH2117" s="5" t="s">
        <v>238</v>
      </c>
      <c r="DI2117" s="5" t="s">
        <v>238</v>
      </c>
      <c r="DJ2117" s="5" t="s">
        <v>238</v>
      </c>
      <c r="DN2117" s="5" t="s">
        <v>238</v>
      </c>
      <c r="DO2117" s="5" t="s">
        <v>238</v>
      </c>
      <c r="DP2117" s="5" t="s">
        <v>238</v>
      </c>
      <c r="DQ2117" s="5" t="s">
        <v>238</v>
      </c>
      <c r="DT2117" s="5" t="s">
        <v>275</v>
      </c>
      <c r="DU2117" s="5" t="s">
        <v>554</v>
      </c>
      <c r="HM2117" s="5" t="s">
        <v>264</v>
      </c>
    </row>
    <row r="2118" spans="1:221" x14ac:dyDescent="0.4">
      <c r="A2118" s="5">
        <v>3822</v>
      </c>
      <c r="B2118" s="5">
        <v>1</v>
      </c>
      <c r="C2118" s="5">
        <v>1</v>
      </c>
      <c r="D2118" s="5" t="s">
        <v>269</v>
      </c>
      <c r="E2118" s="5" t="s">
        <v>271</v>
      </c>
      <c r="F2118" s="5" t="s">
        <v>248</v>
      </c>
      <c r="G2118" s="5" t="s">
        <v>266</v>
      </c>
      <c r="H2118" s="6" t="s">
        <v>557</v>
      </c>
      <c r="I2118" s="7">
        <f>806</f>
        <v>806</v>
      </c>
      <c r="J2118" s="5" t="s">
        <v>262</v>
      </c>
      <c r="K2118" s="8">
        <f>1</f>
        <v>1</v>
      </c>
      <c r="L2118" s="6" t="s">
        <v>242</v>
      </c>
      <c r="M2118" s="5" t="s">
        <v>267</v>
      </c>
      <c r="N2118" s="5" t="s">
        <v>265</v>
      </c>
      <c r="O2118" s="5" t="s">
        <v>238</v>
      </c>
      <c r="P2118" s="5" t="s">
        <v>238</v>
      </c>
      <c r="Q2118" s="5" t="s">
        <v>268</v>
      </c>
      <c r="R2118" s="5" t="s">
        <v>270</v>
      </c>
      <c r="S2118" s="5" t="s">
        <v>238</v>
      </c>
      <c r="V2118" s="5" t="s">
        <v>238</v>
      </c>
      <c r="X2118" s="6" t="s">
        <v>238</v>
      </c>
      <c r="AA2118" s="6" t="s">
        <v>243</v>
      </c>
      <c r="AB2118" s="5" t="s">
        <v>238</v>
      </c>
      <c r="AC2118" s="5" t="s">
        <v>244</v>
      </c>
      <c r="AD2118" s="5" t="s">
        <v>245</v>
      </c>
      <c r="AT2118" s="5" t="s">
        <v>246</v>
      </c>
      <c r="AU2118" s="5" t="s">
        <v>238</v>
      </c>
      <c r="AV2118" s="5" t="s">
        <v>247</v>
      </c>
      <c r="AW2118" s="5" t="s">
        <v>238</v>
      </c>
      <c r="AX2118" s="5" t="s">
        <v>249</v>
      </c>
      <c r="AY2118" s="5" t="s">
        <v>238</v>
      </c>
      <c r="BA2118" s="5" t="s">
        <v>238</v>
      </c>
      <c r="BC2118" s="5" t="s">
        <v>250</v>
      </c>
      <c r="BD2118" s="6" t="s">
        <v>243</v>
      </c>
      <c r="BE2118" s="5" t="s">
        <v>251</v>
      </c>
      <c r="BF2118" s="5" t="s">
        <v>252</v>
      </c>
      <c r="BG2118" s="5" t="s">
        <v>238</v>
      </c>
      <c r="BH2118" s="7">
        <f>0</f>
        <v>0</v>
      </c>
      <c r="BI2118" s="8">
        <f>0</f>
        <v>0</v>
      </c>
      <c r="BJ2118" s="5" t="s">
        <v>253</v>
      </c>
      <c r="BK2118" s="5" t="s">
        <v>254</v>
      </c>
      <c r="BY2118" s="5" t="s">
        <v>238</v>
      </c>
      <c r="BZ2118" s="5" t="s">
        <v>238</v>
      </c>
      <c r="CD2118" s="5" t="s">
        <v>273</v>
      </c>
      <c r="CE2118" s="5" t="s">
        <v>256</v>
      </c>
      <c r="CF2118" s="5" t="s">
        <v>238</v>
      </c>
      <c r="CI2118" s="6" t="s">
        <v>257</v>
      </c>
      <c r="CJ2118" s="5" t="s">
        <v>238</v>
      </c>
      <c r="CK2118" s="5" t="s">
        <v>258</v>
      </c>
      <c r="CL2118" s="5" t="s">
        <v>238</v>
      </c>
      <c r="CM2118" s="5" t="s">
        <v>238</v>
      </c>
      <c r="CN2118" s="5">
        <v>0</v>
      </c>
      <c r="CO2118" s="5" t="s">
        <v>259</v>
      </c>
      <c r="CP2118" s="5" t="s">
        <v>260</v>
      </c>
      <c r="CQ2118" s="5" t="s">
        <v>260</v>
      </c>
      <c r="CR2118" s="5" t="s">
        <v>261</v>
      </c>
      <c r="CU2118" s="8">
        <f>1</f>
        <v>1</v>
      </c>
      <c r="CV2118" s="8">
        <f>0</f>
        <v>0</v>
      </c>
      <c r="CX2118" s="8">
        <f>0</f>
        <v>0</v>
      </c>
      <c r="CY2118" s="8">
        <f>1</f>
        <v>1</v>
      </c>
      <c r="DA2118" s="5" t="s">
        <v>274</v>
      </c>
      <c r="DB2118" s="5" t="s">
        <v>238</v>
      </c>
      <c r="DD2118" s="5" t="s">
        <v>274</v>
      </c>
      <c r="DE2118" s="8">
        <f>806</f>
        <v>806</v>
      </c>
      <c r="DG2118" s="5" t="s">
        <v>238</v>
      </c>
      <c r="DH2118" s="5" t="s">
        <v>238</v>
      </c>
      <c r="DI2118" s="5" t="s">
        <v>238</v>
      </c>
      <c r="DJ2118" s="5" t="s">
        <v>238</v>
      </c>
      <c r="DN2118" s="5" t="s">
        <v>238</v>
      </c>
      <c r="DO2118" s="5" t="s">
        <v>238</v>
      </c>
      <c r="DP2118" s="5" t="s">
        <v>238</v>
      </c>
      <c r="DQ2118" s="5" t="s">
        <v>238</v>
      </c>
      <c r="DT2118" s="5" t="s">
        <v>275</v>
      </c>
      <c r="DU2118" s="5" t="s">
        <v>558</v>
      </c>
      <c r="HM2118" s="5" t="s">
        <v>264</v>
      </c>
    </row>
    <row r="2119" spans="1:221" x14ac:dyDescent="0.4">
      <c r="A2119" s="5">
        <v>3823</v>
      </c>
      <c r="B2119" s="5">
        <v>1</v>
      </c>
      <c r="C2119" s="5">
        <v>1</v>
      </c>
      <c r="D2119" s="5" t="s">
        <v>269</v>
      </c>
      <c r="E2119" s="5" t="s">
        <v>271</v>
      </c>
      <c r="F2119" s="5" t="s">
        <v>248</v>
      </c>
      <c r="G2119" s="5" t="s">
        <v>266</v>
      </c>
      <c r="H2119" s="6" t="s">
        <v>559</v>
      </c>
      <c r="I2119" s="7">
        <f>559</f>
        <v>559</v>
      </c>
      <c r="J2119" s="5" t="s">
        <v>262</v>
      </c>
      <c r="K2119" s="8">
        <f>1</f>
        <v>1</v>
      </c>
      <c r="L2119" s="6" t="s">
        <v>242</v>
      </c>
      <c r="M2119" s="5" t="s">
        <v>267</v>
      </c>
      <c r="N2119" s="5" t="s">
        <v>265</v>
      </c>
      <c r="O2119" s="5" t="s">
        <v>238</v>
      </c>
      <c r="P2119" s="5" t="s">
        <v>238</v>
      </c>
      <c r="Q2119" s="5" t="s">
        <v>268</v>
      </c>
      <c r="R2119" s="5" t="s">
        <v>270</v>
      </c>
      <c r="S2119" s="5" t="s">
        <v>238</v>
      </c>
      <c r="V2119" s="5" t="s">
        <v>238</v>
      </c>
      <c r="X2119" s="6" t="s">
        <v>238</v>
      </c>
      <c r="AA2119" s="6" t="s">
        <v>243</v>
      </c>
      <c r="AB2119" s="5" t="s">
        <v>238</v>
      </c>
      <c r="AC2119" s="5" t="s">
        <v>244</v>
      </c>
      <c r="AD2119" s="5" t="s">
        <v>245</v>
      </c>
      <c r="AT2119" s="5" t="s">
        <v>246</v>
      </c>
      <c r="AU2119" s="5" t="s">
        <v>238</v>
      </c>
      <c r="AV2119" s="5" t="s">
        <v>247</v>
      </c>
      <c r="AW2119" s="5" t="s">
        <v>238</v>
      </c>
      <c r="AX2119" s="5" t="s">
        <v>249</v>
      </c>
      <c r="AY2119" s="5" t="s">
        <v>238</v>
      </c>
      <c r="BA2119" s="5" t="s">
        <v>238</v>
      </c>
      <c r="BC2119" s="5" t="s">
        <v>250</v>
      </c>
      <c r="BD2119" s="6" t="s">
        <v>243</v>
      </c>
      <c r="BE2119" s="5" t="s">
        <v>251</v>
      </c>
      <c r="BF2119" s="5" t="s">
        <v>252</v>
      </c>
      <c r="BG2119" s="5" t="s">
        <v>238</v>
      </c>
      <c r="BH2119" s="7">
        <f>0</f>
        <v>0</v>
      </c>
      <c r="BI2119" s="8">
        <f>0</f>
        <v>0</v>
      </c>
      <c r="BJ2119" s="5" t="s">
        <v>253</v>
      </c>
      <c r="BK2119" s="5" t="s">
        <v>254</v>
      </c>
      <c r="BY2119" s="5" t="s">
        <v>238</v>
      </c>
      <c r="BZ2119" s="5" t="s">
        <v>238</v>
      </c>
      <c r="CD2119" s="5" t="s">
        <v>273</v>
      </c>
      <c r="CE2119" s="5" t="s">
        <v>256</v>
      </c>
      <c r="CF2119" s="5" t="s">
        <v>238</v>
      </c>
      <c r="CI2119" s="6" t="s">
        <v>257</v>
      </c>
      <c r="CJ2119" s="5" t="s">
        <v>238</v>
      </c>
      <c r="CK2119" s="5" t="s">
        <v>258</v>
      </c>
      <c r="CL2119" s="5" t="s">
        <v>238</v>
      </c>
      <c r="CM2119" s="5" t="s">
        <v>238</v>
      </c>
      <c r="CN2119" s="5">
        <v>0</v>
      </c>
      <c r="CO2119" s="5" t="s">
        <v>259</v>
      </c>
      <c r="CP2119" s="5" t="s">
        <v>260</v>
      </c>
      <c r="CQ2119" s="5" t="s">
        <v>260</v>
      </c>
      <c r="CR2119" s="5" t="s">
        <v>261</v>
      </c>
      <c r="CU2119" s="8">
        <f>1</f>
        <v>1</v>
      </c>
      <c r="CV2119" s="8">
        <f>0</f>
        <v>0</v>
      </c>
      <c r="CX2119" s="8">
        <f>0</f>
        <v>0</v>
      </c>
      <c r="CY2119" s="8">
        <f>1</f>
        <v>1</v>
      </c>
      <c r="DA2119" s="5" t="s">
        <v>274</v>
      </c>
      <c r="DB2119" s="5" t="s">
        <v>238</v>
      </c>
      <c r="DD2119" s="5" t="s">
        <v>274</v>
      </c>
      <c r="DE2119" s="8">
        <f>559</f>
        <v>559</v>
      </c>
      <c r="DG2119" s="5" t="s">
        <v>238</v>
      </c>
      <c r="DH2119" s="5" t="s">
        <v>238</v>
      </c>
      <c r="DI2119" s="5" t="s">
        <v>238</v>
      </c>
      <c r="DJ2119" s="5" t="s">
        <v>238</v>
      </c>
      <c r="DN2119" s="5" t="s">
        <v>238</v>
      </c>
      <c r="DO2119" s="5" t="s">
        <v>238</v>
      </c>
      <c r="DP2119" s="5" t="s">
        <v>238</v>
      </c>
      <c r="DQ2119" s="5" t="s">
        <v>238</v>
      </c>
      <c r="DT2119" s="5" t="s">
        <v>275</v>
      </c>
      <c r="DU2119" s="5" t="s">
        <v>560</v>
      </c>
      <c r="HM2119" s="5" t="s">
        <v>264</v>
      </c>
    </row>
    <row r="2120" spans="1:221" x14ac:dyDescent="0.4">
      <c r="A2120" s="5">
        <v>3824</v>
      </c>
      <c r="B2120" s="5">
        <v>1</v>
      </c>
      <c r="C2120" s="5">
        <v>1</v>
      </c>
      <c r="D2120" s="5" t="s">
        <v>269</v>
      </c>
      <c r="E2120" s="5" t="s">
        <v>271</v>
      </c>
      <c r="F2120" s="5" t="s">
        <v>248</v>
      </c>
      <c r="G2120" s="5" t="s">
        <v>266</v>
      </c>
      <c r="H2120" s="6" t="s">
        <v>561</v>
      </c>
      <c r="I2120" s="7">
        <f>148</f>
        <v>148</v>
      </c>
      <c r="J2120" s="5" t="s">
        <v>262</v>
      </c>
      <c r="K2120" s="8">
        <f>1</f>
        <v>1</v>
      </c>
      <c r="L2120" s="6" t="s">
        <v>242</v>
      </c>
      <c r="M2120" s="5" t="s">
        <v>267</v>
      </c>
      <c r="N2120" s="5" t="s">
        <v>265</v>
      </c>
      <c r="O2120" s="5" t="s">
        <v>238</v>
      </c>
      <c r="P2120" s="5" t="s">
        <v>238</v>
      </c>
      <c r="Q2120" s="5" t="s">
        <v>268</v>
      </c>
      <c r="R2120" s="5" t="s">
        <v>270</v>
      </c>
      <c r="S2120" s="5" t="s">
        <v>238</v>
      </c>
      <c r="V2120" s="5" t="s">
        <v>238</v>
      </c>
      <c r="X2120" s="6" t="s">
        <v>238</v>
      </c>
      <c r="AA2120" s="6" t="s">
        <v>243</v>
      </c>
      <c r="AB2120" s="5" t="s">
        <v>238</v>
      </c>
      <c r="AC2120" s="5" t="s">
        <v>244</v>
      </c>
      <c r="AD2120" s="5" t="s">
        <v>245</v>
      </c>
      <c r="AT2120" s="5" t="s">
        <v>246</v>
      </c>
      <c r="AU2120" s="5" t="s">
        <v>238</v>
      </c>
      <c r="AV2120" s="5" t="s">
        <v>247</v>
      </c>
      <c r="AW2120" s="5" t="s">
        <v>238</v>
      </c>
      <c r="AX2120" s="5" t="s">
        <v>249</v>
      </c>
      <c r="AY2120" s="5" t="s">
        <v>238</v>
      </c>
      <c r="BA2120" s="5" t="s">
        <v>238</v>
      </c>
      <c r="BC2120" s="5" t="s">
        <v>250</v>
      </c>
      <c r="BD2120" s="6" t="s">
        <v>243</v>
      </c>
      <c r="BE2120" s="5" t="s">
        <v>251</v>
      </c>
      <c r="BF2120" s="5" t="s">
        <v>252</v>
      </c>
      <c r="BG2120" s="5" t="s">
        <v>238</v>
      </c>
      <c r="BH2120" s="7">
        <f>0</f>
        <v>0</v>
      </c>
      <c r="BI2120" s="8">
        <f>0</f>
        <v>0</v>
      </c>
      <c r="BJ2120" s="5" t="s">
        <v>253</v>
      </c>
      <c r="BK2120" s="5" t="s">
        <v>254</v>
      </c>
      <c r="BY2120" s="5" t="s">
        <v>238</v>
      </c>
      <c r="BZ2120" s="5" t="s">
        <v>238</v>
      </c>
      <c r="CD2120" s="5" t="s">
        <v>273</v>
      </c>
      <c r="CE2120" s="5" t="s">
        <v>256</v>
      </c>
      <c r="CF2120" s="5" t="s">
        <v>238</v>
      </c>
      <c r="CI2120" s="6" t="s">
        <v>257</v>
      </c>
      <c r="CJ2120" s="5" t="s">
        <v>238</v>
      </c>
      <c r="CK2120" s="5" t="s">
        <v>258</v>
      </c>
      <c r="CL2120" s="5" t="s">
        <v>238</v>
      </c>
      <c r="CM2120" s="5" t="s">
        <v>238</v>
      </c>
      <c r="CN2120" s="5">
        <v>0</v>
      </c>
      <c r="CO2120" s="5" t="s">
        <v>259</v>
      </c>
      <c r="CP2120" s="5" t="s">
        <v>260</v>
      </c>
      <c r="CQ2120" s="5" t="s">
        <v>260</v>
      </c>
      <c r="CR2120" s="5" t="s">
        <v>261</v>
      </c>
      <c r="CU2120" s="8">
        <f>1</f>
        <v>1</v>
      </c>
      <c r="CV2120" s="8">
        <f>0</f>
        <v>0</v>
      </c>
      <c r="CX2120" s="8">
        <f>0</f>
        <v>0</v>
      </c>
      <c r="CY2120" s="8">
        <f>1</f>
        <v>1</v>
      </c>
      <c r="DA2120" s="5" t="s">
        <v>274</v>
      </c>
      <c r="DB2120" s="5" t="s">
        <v>238</v>
      </c>
      <c r="DD2120" s="5" t="s">
        <v>274</v>
      </c>
      <c r="DE2120" s="8">
        <f>148</f>
        <v>148</v>
      </c>
      <c r="DG2120" s="5" t="s">
        <v>238</v>
      </c>
      <c r="DH2120" s="5" t="s">
        <v>238</v>
      </c>
      <c r="DI2120" s="5" t="s">
        <v>238</v>
      </c>
      <c r="DJ2120" s="5" t="s">
        <v>238</v>
      </c>
      <c r="DN2120" s="5" t="s">
        <v>238</v>
      </c>
      <c r="DO2120" s="5" t="s">
        <v>238</v>
      </c>
      <c r="DP2120" s="5" t="s">
        <v>238</v>
      </c>
      <c r="DQ2120" s="5" t="s">
        <v>238</v>
      </c>
      <c r="DT2120" s="5" t="s">
        <v>275</v>
      </c>
      <c r="DU2120" s="5" t="s">
        <v>562</v>
      </c>
      <c r="HM2120" s="5" t="s">
        <v>264</v>
      </c>
    </row>
    <row r="2121" spans="1:221" x14ac:dyDescent="0.4">
      <c r="A2121" s="5">
        <v>3825</v>
      </c>
      <c r="B2121" s="5">
        <v>1</v>
      </c>
      <c r="C2121" s="5">
        <v>1</v>
      </c>
      <c r="D2121" s="5" t="s">
        <v>269</v>
      </c>
      <c r="E2121" s="5" t="s">
        <v>271</v>
      </c>
      <c r="F2121" s="5" t="s">
        <v>248</v>
      </c>
      <c r="G2121" s="5" t="s">
        <v>266</v>
      </c>
      <c r="H2121" s="6" t="s">
        <v>565</v>
      </c>
      <c r="I2121" s="7">
        <f>407</f>
        <v>407</v>
      </c>
      <c r="J2121" s="5" t="s">
        <v>262</v>
      </c>
      <c r="K2121" s="8">
        <f>1</f>
        <v>1</v>
      </c>
      <c r="L2121" s="6" t="s">
        <v>242</v>
      </c>
      <c r="M2121" s="5" t="s">
        <v>267</v>
      </c>
      <c r="N2121" s="5" t="s">
        <v>265</v>
      </c>
      <c r="O2121" s="5" t="s">
        <v>238</v>
      </c>
      <c r="P2121" s="5" t="s">
        <v>238</v>
      </c>
      <c r="Q2121" s="5" t="s">
        <v>268</v>
      </c>
      <c r="R2121" s="5" t="s">
        <v>270</v>
      </c>
      <c r="S2121" s="5" t="s">
        <v>238</v>
      </c>
      <c r="V2121" s="5" t="s">
        <v>238</v>
      </c>
      <c r="X2121" s="6" t="s">
        <v>238</v>
      </c>
      <c r="AA2121" s="6" t="s">
        <v>243</v>
      </c>
      <c r="AB2121" s="5" t="s">
        <v>238</v>
      </c>
      <c r="AC2121" s="5" t="s">
        <v>244</v>
      </c>
      <c r="AD2121" s="5" t="s">
        <v>245</v>
      </c>
      <c r="AT2121" s="5" t="s">
        <v>246</v>
      </c>
      <c r="AU2121" s="5" t="s">
        <v>238</v>
      </c>
      <c r="AV2121" s="5" t="s">
        <v>247</v>
      </c>
      <c r="AW2121" s="5" t="s">
        <v>238</v>
      </c>
      <c r="AX2121" s="5" t="s">
        <v>249</v>
      </c>
      <c r="AY2121" s="5" t="s">
        <v>238</v>
      </c>
      <c r="BA2121" s="5" t="s">
        <v>238</v>
      </c>
      <c r="BC2121" s="5" t="s">
        <v>250</v>
      </c>
      <c r="BD2121" s="6" t="s">
        <v>243</v>
      </c>
      <c r="BE2121" s="5" t="s">
        <v>251</v>
      </c>
      <c r="BF2121" s="5" t="s">
        <v>252</v>
      </c>
      <c r="BG2121" s="5" t="s">
        <v>238</v>
      </c>
      <c r="BH2121" s="7">
        <f>0</f>
        <v>0</v>
      </c>
      <c r="BI2121" s="8">
        <f>0</f>
        <v>0</v>
      </c>
      <c r="BJ2121" s="5" t="s">
        <v>253</v>
      </c>
      <c r="BK2121" s="5" t="s">
        <v>254</v>
      </c>
      <c r="BY2121" s="5" t="s">
        <v>238</v>
      </c>
      <c r="BZ2121" s="5" t="s">
        <v>238</v>
      </c>
      <c r="CD2121" s="5" t="s">
        <v>273</v>
      </c>
      <c r="CE2121" s="5" t="s">
        <v>256</v>
      </c>
      <c r="CF2121" s="5" t="s">
        <v>238</v>
      </c>
      <c r="CI2121" s="6" t="s">
        <v>257</v>
      </c>
      <c r="CJ2121" s="5" t="s">
        <v>238</v>
      </c>
      <c r="CK2121" s="5" t="s">
        <v>258</v>
      </c>
      <c r="CL2121" s="5" t="s">
        <v>238</v>
      </c>
      <c r="CM2121" s="5" t="s">
        <v>238</v>
      </c>
      <c r="CN2121" s="5">
        <v>0</v>
      </c>
      <c r="CO2121" s="5" t="s">
        <v>259</v>
      </c>
      <c r="CP2121" s="5" t="s">
        <v>260</v>
      </c>
      <c r="CQ2121" s="5" t="s">
        <v>260</v>
      </c>
      <c r="CR2121" s="5" t="s">
        <v>261</v>
      </c>
      <c r="CU2121" s="8">
        <f>1</f>
        <v>1</v>
      </c>
      <c r="CV2121" s="8">
        <f>0</f>
        <v>0</v>
      </c>
      <c r="CX2121" s="8">
        <f>0</f>
        <v>0</v>
      </c>
      <c r="CY2121" s="8">
        <f>1</f>
        <v>1</v>
      </c>
      <c r="DA2121" s="5" t="s">
        <v>274</v>
      </c>
      <c r="DB2121" s="5" t="s">
        <v>238</v>
      </c>
      <c r="DD2121" s="5" t="s">
        <v>274</v>
      </c>
      <c r="DE2121" s="8">
        <f>407</f>
        <v>407</v>
      </c>
      <c r="DG2121" s="5" t="s">
        <v>238</v>
      </c>
      <c r="DH2121" s="5" t="s">
        <v>238</v>
      </c>
      <c r="DI2121" s="5" t="s">
        <v>238</v>
      </c>
      <c r="DJ2121" s="5" t="s">
        <v>238</v>
      </c>
      <c r="DN2121" s="5" t="s">
        <v>238</v>
      </c>
      <c r="DO2121" s="5" t="s">
        <v>238</v>
      </c>
      <c r="DP2121" s="5" t="s">
        <v>238</v>
      </c>
      <c r="DQ2121" s="5" t="s">
        <v>238</v>
      </c>
      <c r="DT2121" s="5" t="s">
        <v>275</v>
      </c>
      <c r="DU2121" s="5" t="s">
        <v>566</v>
      </c>
      <c r="HM2121" s="5" t="s">
        <v>264</v>
      </c>
    </row>
    <row r="2122" spans="1:221" x14ac:dyDescent="0.4">
      <c r="A2122" s="5">
        <v>3826</v>
      </c>
      <c r="B2122" s="5">
        <v>1</v>
      </c>
      <c r="C2122" s="5">
        <v>1</v>
      </c>
      <c r="D2122" s="5" t="s">
        <v>269</v>
      </c>
      <c r="E2122" s="5" t="s">
        <v>271</v>
      </c>
      <c r="F2122" s="5" t="s">
        <v>248</v>
      </c>
      <c r="G2122" s="5" t="s">
        <v>266</v>
      </c>
      <c r="H2122" s="6" t="s">
        <v>567</v>
      </c>
      <c r="I2122" s="7">
        <f>394</f>
        <v>394</v>
      </c>
      <c r="J2122" s="5" t="s">
        <v>262</v>
      </c>
      <c r="K2122" s="8">
        <f>1</f>
        <v>1</v>
      </c>
      <c r="L2122" s="6" t="s">
        <v>242</v>
      </c>
      <c r="M2122" s="5" t="s">
        <v>267</v>
      </c>
      <c r="N2122" s="5" t="s">
        <v>265</v>
      </c>
      <c r="O2122" s="5" t="s">
        <v>238</v>
      </c>
      <c r="P2122" s="5" t="s">
        <v>238</v>
      </c>
      <c r="Q2122" s="5" t="s">
        <v>268</v>
      </c>
      <c r="R2122" s="5" t="s">
        <v>270</v>
      </c>
      <c r="S2122" s="5" t="s">
        <v>238</v>
      </c>
      <c r="V2122" s="5" t="s">
        <v>238</v>
      </c>
      <c r="X2122" s="6" t="s">
        <v>238</v>
      </c>
      <c r="AA2122" s="6" t="s">
        <v>243</v>
      </c>
      <c r="AB2122" s="5" t="s">
        <v>238</v>
      </c>
      <c r="AC2122" s="5" t="s">
        <v>244</v>
      </c>
      <c r="AD2122" s="5" t="s">
        <v>245</v>
      </c>
      <c r="AT2122" s="5" t="s">
        <v>246</v>
      </c>
      <c r="AU2122" s="5" t="s">
        <v>238</v>
      </c>
      <c r="AV2122" s="5" t="s">
        <v>247</v>
      </c>
      <c r="AW2122" s="5" t="s">
        <v>238</v>
      </c>
      <c r="AX2122" s="5" t="s">
        <v>249</v>
      </c>
      <c r="AY2122" s="5" t="s">
        <v>238</v>
      </c>
      <c r="BA2122" s="5" t="s">
        <v>238</v>
      </c>
      <c r="BC2122" s="5" t="s">
        <v>250</v>
      </c>
      <c r="BD2122" s="6" t="s">
        <v>243</v>
      </c>
      <c r="BE2122" s="5" t="s">
        <v>251</v>
      </c>
      <c r="BF2122" s="5" t="s">
        <v>252</v>
      </c>
      <c r="BG2122" s="5" t="s">
        <v>238</v>
      </c>
      <c r="BH2122" s="7">
        <f>0</f>
        <v>0</v>
      </c>
      <c r="BI2122" s="8">
        <f>0</f>
        <v>0</v>
      </c>
      <c r="BJ2122" s="5" t="s">
        <v>253</v>
      </c>
      <c r="BK2122" s="5" t="s">
        <v>254</v>
      </c>
      <c r="BY2122" s="5" t="s">
        <v>238</v>
      </c>
      <c r="BZ2122" s="5" t="s">
        <v>238</v>
      </c>
      <c r="CD2122" s="5" t="s">
        <v>273</v>
      </c>
      <c r="CE2122" s="5" t="s">
        <v>256</v>
      </c>
      <c r="CF2122" s="5" t="s">
        <v>238</v>
      </c>
      <c r="CI2122" s="6" t="s">
        <v>257</v>
      </c>
      <c r="CJ2122" s="5" t="s">
        <v>238</v>
      </c>
      <c r="CK2122" s="5" t="s">
        <v>258</v>
      </c>
      <c r="CL2122" s="5" t="s">
        <v>238</v>
      </c>
      <c r="CM2122" s="5" t="s">
        <v>238</v>
      </c>
      <c r="CN2122" s="5">
        <v>0</v>
      </c>
      <c r="CO2122" s="5" t="s">
        <v>259</v>
      </c>
      <c r="CP2122" s="5" t="s">
        <v>260</v>
      </c>
      <c r="CQ2122" s="5" t="s">
        <v>260</v>
      </c>
      <c r="CR2122" s="5" t="s">
        <v>261</v>
      </c>
      <c r="CU2122" s="8">
        <f>1</f>
        <v>1</v>
      </c>
      <c r="CV2122" s="8">
        <f>0</f>
        <v>0</v>
      </c>
      <c r="CX2122" s="8">
        <f>0</f>
        <v>0</v>
      </c>
      <c r="CY2122" s="8">
        <f>1</f>
        <v>1</v>
      </c>
      <c r="DA2122" s="5" t="s">
        <v>274</v>
      </c>
      <c r="DB2122" s="5" t="s">
        <v>238</v>
      </c>
      <c r="DD2122" s="5" t="s">
        <v>274</v>
      </c>
      <c r="DE2122" s="8">
        <f>394</f>
        <v>394</v>
      </c>
      <c r="DG2122" s="5" t="s">
        <v>238</v>
      </c>
      <c r="DH2122" s="5" t="s">
        <v>238</v>
      </c>
      <c r="DI2122" s="5" t="s">
        <v>238</v>
      </c>
      <c r="DJ2122" s="5" t="s">
        <v>238</v>
      </c>
      <c r="DN2122" s="5" t="s">
        <v>238</v>
      </c>
      <c r="DO2122" s="5" t="s">
        <v>238</v>
      </c>
      <c r="DP2122" s="5" t="s">
        <v>238</v>
      </c>
      <c r="DQ2122" s="5" t="s">
        <v>238</v>
      </c>
      <c r="DT2122" s="5" t="s">
        <v>275</v>
      </c>
      <c r="DU2122" s="5" t="s">
        <v>568</v>
      </c>
      <c r="HM2122" s="5" t="s">
        <v>264</v>
      </c>
    </row>
    <row r="2123" spans="1:221" x14ac:dyDescent="0.4">
      <c r="A2123" s="5">
        <v>3827</v>
      </c>
      <c r="B2123" s="5">
        <v>1</v>
      </c>
      <c r="C2123" s="5">
        <v>1</v>
      </c>
      <c r="D2123" s="5" t="s">
        <v>269</v>
      </c>
      <c r="E2123" s="5" t="s">
        <v>271</v>
      </c>
      <c r="F2123" s="5" t="s">
        <v>248</v>
      </c>
      <c r="G2123" s="5" t="s">
        <v>266</v>
      </c>
      <c r="H2123" s="6" t="s">
        <v>569</v>
      </c>
      <c r="I2123" s="7">
        <f>198</f>
        <v>198</v>
      </c>
      <c r="J2123" s="5" t="s">
        <v>262</v>
      </c>
      <c r="K2123" s="8">
        <f>1</f>
        <v>1</v>
      </c>
      <c r="L2123" s="6" t="s">
        <v>242</v>
      </c>
      <c r="M2123" s="5" t="s">
        <v>267</v>
      </c>
      <c r="N2123" s="5" t="s">
        <v>265</v>
      </c>
      <c r="O2123" s="5" t="s">
        <v>238</v>
      </c>
      <c r="P2123" s="5" t="s">
        <v>238</v>
      </c>
      <c r="Q2123" s="5" t="s">
        <v>268</v>
      </c>
      <c r="R2123" s="5" t="s">
        <v>270</v>
      </c>
      <c r="S2123" s="5" t="s">
        <v>238</v>
      </c>
      <c r="V2123" s="5" t="s">
        <v>238</v>
      </c>
      <c r="X2123" s="6" t="s">
        <v>238</v>
      </c>
      <c r="AA2123" s="6" t="s">
        <v>243</v>
      </c>
      <c r="AB2123" s="5" t="s">
        <v>238</v>
      </c>
      <c r="AC2123" s="5" t="s">
        <v>244</v>
      </c>
      <c r="AD2123" s="5" t="s">
        <v>245</v>
      </c>
      <c r="AT2123" s="5" t="s">
        <v>246</v>
      </c>
      <c r="AU2123" s="5" t="s">
        <v>238</v>
      </c>
      <c r="AV2123" s="5" t="s">
        <v>247</v>
      </c>
      <c r="AW2123" s="5" t="s">
        <v>238</v>
      </c>
      <c r="AX2123" s="5" t="s">
        <v>249</v>
      </c>
      <c r="AY2123" s="5" t="s">
        <v>238</v>
      </c>
      <c r="BA2123" s="5" t="s">
        <v>238</v>
      </c>
      <c r="BC2123" s="5" t="s">
        <v>250</v>
      </c>
      <c r="BD2123" s="6" t="s">
        <v>243</v>
      </c>
      <c r="BE2123" s="5" t="s">
        <v>251</v>
      </c>
      <c r="BF2123" s="5" t="s">
        <v>252</v>
      </c>
      <c r="BG2123" s="5" t="s">
        <v>238</v>
      </c>
      <c r="BH2123" s="7">
        <f>0</f>
        <v>0</v>
      </c>
      <c r="BI2123" s="8">
        <f>0</f>
        <v>0</v>
      </c>
      <c r="BJ2123" s="5" t="s">
        <v>253</v>
      </c>
      <c r="BK2123" s="5" t="s">
        <v>254</v>
      </c>
      <c r="BY2123" s="5" t="s">
        <v>238</v>
      </c>
      <c r="BZ2123" s="5" t="s">
        <v>238</v>
      </c>
      <c r="CD2123" s="5" t="s">
        <v>273</v>
      </c>
      <c r="CE2123" s="5" t="s">
        <v>256</v>
      </c>
      <c r="CF2123" s="5" t="s">
        <v>238</v>
      </c>
      <c r="CI2123" s="6" t="s">
        <v>257</v>
      </c>
      <c r="CJ2123" s="5" t="s">
        <v>238</v>
      </c>
      <c r="CK2123" s="5" t="s">
        <v>258</v>
      </c>
      <c r="CL2123" s="5" t="s">
        <v>238</v>
      </c>
      <c r="CM2123" s="5" t="s">
        <v>238</v>
      </c>
      <c r="CN2123" s="5">
        <v>0</v>
      </c>
      <c r="CO2123" s="5" t="s">
        <v>259</v>
      </c>
      <c r="CP2123" s="5" t="s">
        <v>260</v>
      </c>
      <c r="CQ2123" s="5" t="s">
        <v>260</v>
      </c>
      <c r="CR2123" s="5" t="s">
        <v>261</v>
      </c>
      <c r="CU2123" s="8">
        <f>1</f>
        <v>1</v>
      </c>
      <c r="CV2123" s="8">
        <f>0</f>
        <v>0</v>
      </c>
      <c r="CX2123" s="8">
        <f>0</f>
        <v>0</v>
      </c>
      <c r="CY2123" s="8">
        <f>1</f>
        <v>1</v>
      </c>
      <c r="DA2123" s="5" t="s">
        <v>274</v>
      </c>
      <c r="DB2123" s="5" t="s">
        <v>238</v>
      </c>
      <c r="DD2123" s="5" t="s">
        <v>274</v>
      </c>
      <c r="DE2123" s="8">
        <f>198</f>
        <v>198</v>
      </c>
      <c r="DG2123" s="5" t="s">
        <v>238</v>
      </c>
      <c r="DH2123" s="5" t="s">
        <v>238</v>
      </c>
      <c r="DI2123" s="5" t="s">
        <v>238</v>
      </c>
      <c r="DJ2123" s="5" t="s">
        <v>238</v>
      </c>
      <c r="DN2123" s="5" t="s">
        <v>238</v>
      </c>
      <c r="DO2123" s="5" t="s">
        <v>238</v>
      </c>
      <c r="DP2123" s="5" t="s">
        <v>238</v>
      </c>
      <c r="DQ2123" s="5" t="s">
        <v>238</v>
      </c>
      <c r="DT2123" s="5" t="s">
        <v>275</v>
      </c>
      <c r="DU2123" s="5" t="s">
        <v>570</v>
      </c>
      <c r="HM2123" s="5" t="s">
        <v>264</v>
      </c>
    </row>
    <row r="2124" spans="1:221" x14ac:dyDescent="0.4">
      <c r="A2124" s="5">
        <v>3828</v>
      </c>
      <c r="B2124" s="5">
        <v>1</v>
      </c>
      <c r="C2124" s="5">
        <v>1</v>
      </c>
      <c r="D2124" s="5" t="s">
        <v>269</v>
      </c>
      <c r="E2124" s="5" t="s">
        <v>271</v>
      </c>
      <c r="F2124" s="5" t="s">
        <v>248</v>
      </c>
      <c r="G2124" s="5" t="s">
        <v>266</v>
      </c>
      <c r="H2124" s="6" t="s">
        <v>573</v>
      </c>
      <c r="I2124" s="7">
        <f>544</f>
        <v>544</v>
      </c>
      <c r="J2124" s="5" t="s">
        <v>262</v>
      </c>
      <c r="K2124" s="8">
        <f>1</f>
        <v>1</v>
      </c>
      <c r="L2124" s="6" t="s">
        <v>242</v>
      </c>
      <c r="M2124" s="5" t="s">
        <v>267</v>
      </c>
      <c r="N2124" s="5" t="s">
        <v>265</v>
      </c>
      <c r="O2124" s="5" t="s">
        <v>238</v>
      </c>
      <c r="P2124" s="5" t="s">
        <v>238</v>
      </c>
      <c r="Q2124" s="5" t="s">
        <v>268</v>
      </c>
      <c r="R2124" s="5" t="s">
        <v>270</v>
      </c>
      <c r="S2124" s="5" t="s">
        <v>238</v>
      </c>
      <c r="V2124" s="5" t="s">
        <v>238</v>
      </c>
      <c r="X2124" s="6" t="s">
        <v>238</v>
      </c>
      <c r="AA2124" s="6" t="s">
        <v>243</v>
      </c>
      <c r="AB2124" s="5" t="s">
        <v>238</v>
      </c>
      <c r="AC2124" s="5" t="s">
        <v>244</v>
      </c>
      <c r="AD2124" s="5" t="s">
        <v>245</v>
      </c>
      <c r="AT2124" s="5" t="s">
        <v>246</v>
      </c>
      <c r="AU2124" s="5" t="s">
        <v>238</v>
      </c>
      <c r="AV2124" s="5" t="s">
        <v>247</v>
      </c>
      <c r="AW2124" s="5" t="s">
        <v>238</v>
      </c>
      <c r="AX2124" s="5" t="s">
        <v>249</v>
      </c>
      <c r="AY2124" s="5" t="s">
        <v>238</v>
      </c>
      <c r="BA2124" s="5" t="s">
        <v>238</v>
      </c>
      <c r="BC2124" s="5" t="s">
        <v>250</v>
      </c>
      <c r="BD2124" s="6" t="s">
        <v>243</v>
      </c>
      <c r="BE2124" s="5" t="s">
        <v>251</v>
      </c>
      <c r="BF2124" s="5" t="s">
        <v>252</v>
      </c>
      <c r="BG2124" s="5" t="s">
        <v>238</v>
      </c>
      <c r="BH2124" s="7">
        <f>0</f>
        <v>0</v>
      </c>
      <c r="BI2124" s="8">
        <f>0</f>
        <v>0</v>
      </c>
      <c r="BJ2124" s="5" t="s">
        <v>253</v>
      </c>
      <c r="BK2124" s="5" t="s">
        <v>254</v>
      </c>
      <c r="BY2124" s="5" t="s">
        <v>238</v>
      </c>
      <c r="BZ2124" s="5" t="s">
        <v>238</v>
      </c>
      <c r="CD2124" s="5" t="s">
        <v>273</v>
      </c>
      <c r="CE2124" s="5" t="s">
        <v>256</v>
      </c>
      <c r="CF2124" s="5" t="s">
        <v>238</v>
      </c>
      <c r="CI2124" s="6" t="s">
        <v>257</v>
      </c>
      <c r="CJ2124" s="5" t="s">
        <v>238</v>
      </c>
      <c r="CK2124" s="5" t="s">
        <v>258</v>
      </c>
      <c r="CL2124" s="5" t="s">
        <v>238</v>
      </c>
      <c r="CM2124" s="5" t="s">
        <v>238</v>
      </c>
      <c r="CN2124" s="5">
        <v>0</v>
      </c>
      <c r="CO2124" s="5" t="s">
        <v>259</v>
      </c>
      <c r="CP2124" s="5" t="s">
        <v>260</v>
      </c>
      <c r="CQ2124" s="5" t="s">
        <v>260</v>
      </c>
      <c r="CR2124" s="5" t="s">
        <v>261</v>
      </c>
      <c r="CU2124" s="8">
        <f>1</f>
        <v>1</v>
      </c>
      <c r="CV2124" s="8">
        <f>0</f>
        <v>0</v>
      </c>
      <c r="CX2124" s="8">
        <f>0</f>
        <v>0</v>
      </c>
      <c r="CY2124" s="8">
        <f>1</f>
        <v>1</v>
      </c>
      <c r="DA2124" s="5" t="s">
        <v>274</v>
      </c>
      <c r="DB2124" s="5" t="s">
        <v>238</v>
      </c>
      <c r="DD2124" s="5" t="s">
        <v>274</v>
      </c>
      <c r="DE2124" s="8">
        <f>544</f>
        <v>544</v>
      </c>
      <c r="DG2124" s="5" t="s">
        <v>238</v>
      </c>
      <c r="DH2124" s="5" t="s">
        <v>238</v>
      </c>
      <c r="DI2124" s="5" t="s">
        <v>238</v>
      </c>
      <c r="DJ2124" s="5" t="s">
        <v>238</v>
      </c>
      <c r="DN2124" s="5" t="s">
        <v>238</v>
      </c>
      <c r="DO2124" s="5" t="s">
        <v>238</v>
      </c>
      <c r="DP2124" s="5" t="s">
        <v>238</v>
      </c>
      <c r="DQ2124" s="5" t="s">
        <v>238</v>
      </c>
      <c r="DT2124" s="5" t="s">
        <v>275</v>
      </c>
      <c r="DU2124" s="5" t="s">
        <v>574</v>
      </c>
      <c r="HM2124" s="5" t="s">
        <v>264</v>
      </c>
    </row>
    <row r="2125" spans="1:221" x14ac:dyDescent="0.4">
      <c r="A2125" s="5">
        <v>3829</v>
      </c>
      <c r="B2125" s="5">
        <v>1</v>
      </c>
      <c r="C2125" s="5">
        <v>1</v>
      </c>
      <c r="D2125" s="5" t="s">
        <v>269</v>
      </c>
      <c r="E2125" s="5" t="s">
        <v>271</v>
      </c>
      <c r="F2125" s="5" t="s">
        <v>248</v>
      </c>
      <c r="G2125" s="5" t="s">
        <v>266</v>
      </c>
      <c r="H2125" s="6" t="s">
        <v>575</v>
      </c>
      <c r="I2125" s="7">
        <f>4.16</f>
        <v>4.16</v>
      </c>
      <c r="J2125" s="5" t="s">
        <v>262</v>
      </c>
      <c r="K2125" s="8">
        <f>1</f>
        <v>1</v>
      </c>
      <c r="L2125" s="6" t="s">
        <v>242</v>
      </c>
      <c r="M2125" s="5" t="s">
        <v>267</v>
      </c>
      <c r="N2125" s="5" t="s">
        <v>265</v>
      </c>
      <c r="O2125" s="5" t="s">
        <v>238</v>
      </c>
      <c r="P2125" s="5" t="s">
        <v>238</v>
      </c>
      <c r="Q2125" s="5" t="s">
        <v>268</v>
      </c>
      <c r="R2125" s="5" t="s">
        <v>270</v>
      </c>
      <c r="S2125" s="5" t="s">
        <v>238</v>
      </c>
      <c r="V2125" s="5" t="s">
        <v>238</v>
      </c>
      <c r="X2125" s="6" t="s">
        <v>238</v>
      </c>
      <c r="AA2125" s="6" t="s">
        <v>243</v>
      </c>
      <c r="AB2125" s="5" t="s">
        <v>238</v>
      </c>
      <c r="AC2125" s="5" t="s">
        <v>244</v>
      </c>
      <c r="AD2125" s="5" t="s">
        <v>245</v>
      </c>
      <c r="AT2125" s="5" t="s">
        <v>246</v>
      </c>
      <c r="AU2125" s="5" t="s">
        <v>238</v>
      </c>
      <c r="AV2125" s="5" t="s">
        <v>247</v>
      </c>
      <c r="AW2125" s="5" t="s">
        <v>238</v>
      </c>
      <c r="AX2125" s="5" t="s">
        <v>249</v>
      </c>
      <c r="AY2125" s="5" t="s">
        <v>238</v>
      </c>
      <c r="BA2125" s="5" t="s">
        <v>238</v>
      </c>
      <c r="BC2125" s="5" t="s">
        <v>250</v>
      </c>
      <c r="BD2125" s="6" t="s">
        <v>243</v>
      </c>
      <c r="BE2125" s="5" t="s">
        <v>251</v>
      </c>
      <c r="BF2125" s="5" t="s">
        <v>252</v>
      </c>
      <c r="BG2125" s="5" t="s">
        <v>238</v>
      </c>
      <c r="BH2125" s="7">
        <f>0</f>
        <v>0</v>
      </c>
      <c r="BI2125" s="8">
        <f>0</f>
        <v>0</v>
      </c>
      <c r="BJ2125" s="5" t="s">
        <v>253</v>
      </c>
      <c r="BK2125" s="5" t="s">
        <v>254</v>
      </c>
      <c r="BY2125" s="5" t="s">
        <v>238</v>
      </c>
      <c r="BZ2125" s="5" t="s">
        <v>238</v>
      </c>
      <c r="CD2125" s="5" t="s">
        <v>273</v>
      </c>
      <c r="CE2125" s="5" t="s">
        <v>256</v>
      </c>
      <c r="CF2125" s="5" t="s">
        <v>238</v>
      </c>
      <c r="CI2125" s="6" t="s">
        <v>257</v>
      </c>
      <c r="CJ2125" s="5" t="s">
        <v>238</v>
      </c>
      <c r="CK2125" s="5" t="s">
        <v>258</v>
      </c>
      <c r="CL2125" s="5" t="s">
        <v>238</v>
      </c>
      <c r="CM2125" s="5" t="s">
        <v>238</v>
      </c>
      <c r="CN2125" s="5">
        <v>0</v>
      </c>
      <c r="CO2125" s="5" t="s">
        <v>259</v>
      </c>
      <c r="CP2125" s="5" t="s">
        <v>260</v>
      </c>
      <c r="CQ2125" s="5" t="s">
        <v>260</v>
      </c>
      <c r="CR2125" s="5" t="s">
        <v>261</v>
      </c>
      <c r="CU2125" s="8">
        <f>1</f>
        <v>1</v>
      </c>
      <c r="CV2125" s="8">
        <f>0</f>
        <v>0</v>
      </c>
      <c r="CX2125" s="8">
        <f>0</f>
        <v>0</v>
      </c>
      <c r="CY2125" s="8">
        <f>1</f>
        <v>1</v>
      </c>
      <c r="DA2125" s="5" t="s">
        <v>274</v>
      </c>
      <c r="DB2125" s="5" t="s">
        <v>238</v>
      </c>
      <c r="DD2125" s="5" t="s">
        <v>274</v>
      </c>
      <c r="DE2125" s="8">
        <f>4.16</f>
        <v>4.16</v>
      </c>
      <c r="DG2125" s="5" t="s">
        <v>238</v>
      </c>
      <c r="DH2125" s="5" t="s">
        <v>238</v>
      </c>
      <c r="DI2125" s="5" t="s">
        <v>238</v>
      </c>
      <c r="DJ2125" s="5" t="s">
        <v>238</v>
      </c>
      <c r="DN2125" s="5" t="s">
        <v>238</v>
      </c>
      <c r="DO2125" s="5" t="s">
        <v>238</v>
      </c>
      <c r="DP2125" s="5" t="s">
        <v>238</v>
      </c>
      <c r="DQ2125" s="5" t="s">
        <v>238</v>
      </c>
      <c r="DT2125" s="5" t="s">
        <v>275</v>
      </c>
      <c r="DU2125" s="5" t="s">
        <v>576</v>
      </c>
      <c r="HM2125" s="5" t="s">
        <v>264</v>
      </c>
    </row>
    <row r="2126" spans="1:221" x14ac:dyDescent="0.4">
      <c r="A2126" s="5">
        <v>3830</v>
      </c>
      <c r="B2126" s="5">
        <v>1</v>
      </c>
      <c r="C2126" s="5">
        <v>1</v>
      </c>
      <c r="D2126" s="5" t="s">
        <v>269</v>
      </c>
      <c r="E2126" s="5" t="s">
        <v>271</v>
      </c>
      <c r="F2126" s="5" t="s">
        <v>248</v>
      </c>
      <c r="G2126" s="5" t="s">
        <v>266</v>
      </c>
      <c r="H2126" s="6" t="s">
        <v>579</v>
      </c>
      <c r="I2126" s="7">
        <f>46</f>
        <v>46</v>
      </c>
      <c r="J2126" s="5" t="s">
        <v>262</v>
      </c>
      <c r="K2126" s="8">
        <f>1</f>
        <v>1</v>
      </c>
      <c r="L2126" s="6" t="s">
        <v>242</v>
      </c>
      <c r="M2126" s="5" t="s">
        <v>267</v>
      </c>
      <c r="N2126" s="5" t="s">
        <v>265</v>
      </c>
      <c r="O2126" s="5" t="s">
        <v>238</v>
      </c>
      <c r="P2126" s="5" t="s">
        <v>238</v>
      </c>
      <c r="Q2126" s="5" t="s">
        <v>268</v>
      </c>
      <c r="R2126" s="5" t="s">
        <v>270</v>
      </c>
      <c r="S2126" s="5" t="s">
        <v>238</v>
      </c>
      <c r="V2126" s="5" t="s">
        <v>238</v>
      </c>
      <c r="X2126" s="6" t="s">
        <v>238</v>
      </c>
      <c r="AA2126" s="6" t="s">
        <v>243</v>
      </c>
      <c r="AB2126" s="5" t="s">
        <v>238</v>
      </c>
      <c r="AC2126" s="5" t="s">
        <v>244</v>
      </c>
      <c r="AD2126" s="5" t="s">
        <v>245</v>
      </c>
      <c r="AT2126" s="5" t="s">
        <v>246</v>
      </c>
      <c r="AU2126" s="5" t="s">
        <v>238</v>
      </c>
      <c r="AV2126" s="5" t="s">
        <v>247</v>
      </c>
      <c r="AW2126" s="5" t="s">
        <v>238</v>
      </c>
      <c r="AX2126" s="5" t="s">
        <v>249</v>
      </c>
      <c r="AY2126" s="5" t="s">
        <v>238</v>
      </c>
      <c r="BA2126" s="5" t="s">
        <v>238</v>
      </c>
      <c r="BC2126" s="5" t="s">
        <v>250</v>
      </c>
      <c r="BD2126" s="6" t="s">
        <v>243</v>
      </c>
      <c r="BE2126" s="5" t="s">
        <v>251</v>
      </c>
      <c r="BF2126" s="5" t="s">
        <v>252</v>
      </c>
      <c r="BG2126" s="5" t="s">
        <v>238</v>
      </c>
      <c r="BH2126" s="7">
        <f>0</f>
        <v>0</v>
      </c>
      <c r="BI2126" s="8">
        <f>0</f>
        <v>0</v>
      </c>
      <c r="BJ2126" s="5" t="s">
        <v>253</v>
      </c>
      <c r="BK2126" s="5" t="s">
        <v>254</v>
      </c>
      <c r="BY2126" s="5" t="s">
        <v>238</v>
      </c>
      <c r="BZ2126" s="5" t="s">
        <v>238</v>
      </c>
      <c r="CD2126" s="5" t="s">
        <v>273</v>
      </c>
      <c r="CE2126" s="5" t="s">
        <v>256</v>
      </c>
      <c r="CF2126" s="5" t="s">
        <v>238</v>
      </c>
      <c r="CI2126" s="6" t="s">
        <v>257</v>
      </c>
      <c r="CJ2126" s="5" t="s">
        <v>238</v>
      </c>
      <c r="CK2126" s="5" t="s">
        <v>258</v>
      </c>
      <c r="CL2126" s="5" t="s">
        <v>238</v>
      </c>
      <c r="CM2126" s="5" t="s">
        <v>238</v>
      </c>
      <c r="CN2126" s="5">
        <v>0</v>
      </c>
      <c r="CO2126" s="5" t="s">
        <v>259</v>
      </c>
      <c r="CP2126" s="5" t="s">
        <v>260</v>
      </c>
      <c r="CQ2126" s="5" t="s">
        <v>260</v>
      </c>
      <c r="CR2126" s="5" t="s">
        <v>261</v>
      </c>
      <c r="CU2126" s="8">
        <f>1</f>
        <v>1</v>
      </c>
      <c r="CV2126" s="8">
        <f>0</f>
        <v>0</v>
      </c>
      <c r="CX2126" s="8">
        <f>0</f>
        <v>0</v>
      </c>
      <c r="CY2126" s="8">
        <f>1</f>
        <v>1</v>
      </c>
      <c r="DA2126" s="5" t="s">
        <v>274</v>
      </c>
      <c r="DB2126" s="5" t="s">
        <v>238</v>
      </c>
      <c r="DD2126" s="5" t="s">
        <v>274</v>
      </c>
      <c r="DE2126" s="8">
        <f>46</f>
        <v>46</v>
      </c>
      <c r="DG2126" s="5" t="s">
        <v>238</v>
      </c>
      <c r="DH2126" s="5" t="s">
        <v>238</v>
      </c>
      <c r="DI2126" s="5" t="s">
        <v>238</v>
      </c>
      <c r="DJ2126" s="5" t="s">
        <v>238</v>
      </c>
      <c r="DN2126" s="5" t="s">
        <v>238</v>
      </c>
      <c r="DO2126" s="5" t="s">
        <v>238</v>
      </c>
      <c r="DP2126" s="5" t="s">
        <v>238</v>
      </c>
      <c r="DQ2126" s="5" t="s">
        <v>238</v>
      </c>
      <c r="DT2126" s="5" t="s">
        <v>275</v>
      </c>
      <c r="DU2126" s="5" t="s">
        <v>580</v>
      </c>
      <c r="HM2126" s="5" t="s">
        <v>264</v>
      </c>
    </row>
    <row r="2127" spans="1:221" x14ac:dyDescent="0.4">
      <c r="A2127" s="5">
        <v>3831</v>
      </c>
      <c r="B2127" s="5">
        <v>1</v>
      </c>
      <c r="C2127" s="5">
        <v>1</v>
      </c>
      <c r="D2127" s="5" t="s">
        <v>269</v>
      </c>
      <c r="E2127" s="5" t="s">
        <v>271</v>
      </c>
      <c r="F2127" s="5" t="s">
        <v>248</v>
      </c>
      <c r="G2127" s="5" t="s">
        <v>266</v>
      </c>
      <c r="H2127" s="6" t="s">
        <v>583</v>
      </c>
      <c r="I2127" s="7">
        <f>1409</f>
        <v>1409</v>
      </c>
      <c r="J2127" s="5" t="s">
        <v>262</v>
      </c>
      <c r="K2127" s="8">
        <f>1</f>
        <v>1</v>
      </c>
      <c r="L2127" s="6" t="s">
        <v>242</v>
      </c>
      <c r="M2127" s="5" t="s">
        <v>267</v>
      </c>
      <c r="N2127" s="5" t="s">
        <v>265</v>
      </c>
      <c r="O2127" s="5" t="s">
        <v>238</v>
      </c>
      <c r="P2127" s="5" t="s">
        <v>238</v>
      </c>
      <c r="Q2127" s="5" t="s">
        <v>268</v>
      </c>
      <c r="R2127" s="5" t="s">
        <v>270</v>
      </c>
      <c r="S2127" s="5" t="s">
        <v>238</v>
      </c>
      <c r="V2127" s="5" t="s">
        <v>238</v>
      </c>
      <c r="X2127" s="6" t="s">
        <v>238</v>
      </c>
      <c r="AA2127" s="6" t="s">
        <v>243</v>
      </c>
      <c r="AB2127" s="5" t="s">
        <v>238</v>
      </c>
      <c r="AC2127" s="5" t="s">
        <v>244</v>
      </c>
      <c r="AD2127" s="5" t="s">
        <v>245</v>
      </c>
      <c r="AT2127" s="5" t="s">
        <v>246</v>
      </c>
      <c r="AU2127" s="5" t="s">
        <v>238</v>
      </c>
      <c r="AV2127" s="5" t="s">
        <v>247</v>
      </c>
      <c r="AW2127" s="5" t="s">
        <v>238</v>
      </c>
      <c r="AX2127" s="5" t="s">
        <v>249</v>
      </c>
      <c r="AY2127" s="5" t="s">
        <v>238</v>
      </c>
      <c r="BA2127" s="5" t="s">
        <v>238</v>
      </c>
      <c r="BC2127" s="5" t="s">
        <v>250</v>
      </c>
      <c r="BD2127" s="6" t="s">
        <v>243</v>
      </c>
      <c r="BE2127" s="5" t="s">
        <v>251</v>
      </c>
      <c r="BF2127" s="5" t="s">
        <v>252</v>
      </c>
      <c r="BG2127" s="5" t="s">
        <v>238</v>
      </c>
      <c r="BH2127" s="7">
        <f>0</f>
        <v>0</v>
      </c>
      <c r="BI2127" s="8">
        <f>0</f>
        <v>0</v>
      </c>
      <c r="BJ2127" s="5" t="s">
        <v>253</v>
      </c>
      <c r="BK2127" s="5" t="s">
        <v>254</v>
      </c>
      <c r="BY2127" s="5" t="s">
        <v>238</v>
      </c>
      <c r="BZ2127" s="5" t="s">
        <v>238</v>
      </c>
      <c r="CD2127" s="5" t="s">
        <v>273</v>
      </c>
      <c r="CE2127" s="5" t="s">
        <v>256</v>
      </c>
      <c r="CF2127" s="5" t="s">
        <v>238</v>
      </c>
      <c r="CI2127" s="6" t="s">
        <v>257</v>
      </c>
      <c r="CJ2127" s="5" t="s">
        <v>238</v>
      </c>
      <c r="CK2127" s="5" t="s">
        <v>258</v>
      </c>
      <c r="CL2127" s="5" t="s">
        <v>238</v>
      </c>
      <c r="CM2127" s="5" t="s">
        <v>238</v>
      </c>
      <c r="CN2127" s="5">
        <v>0</v>
      </c>
      <c r="CO2127" s="5" t="s">
        <v>259</v>
      </c>
      <c r="CP2127" s="5" t="s">
        <v>260</v>
      </c>
      <c r="CQ2127" s="5" t="s">
        <v>260</v>
      </c>
      <c r="CR2127" s="5" t="s">
        <v>261</v>
      </c>
      <c r="CU2127" s="8">
        <f>1</f>
        <v>1</v>
      </c>
      <c r="CV2127" s="8">
        <f>0</f>
        <v>0</v>
      </c>
      <c r="CX2127" s="8">
        <f>0</f>
        <v>0</v>
      </c>
      <c r="CY2127" s="8">
        <f>1</f>
        <v>1</v>
      </c>
      <c r="DA2127" s="5" t="s">
        <v>274</v>
      </c>
      <c r="DB2127" s="5" t="s">
        <v>238</v>
      </c>
      <c r="DD2127" s="5" t="s">
        <v>274</v>
      </c>
      <c r="DE2127" s="8">
        <f>1409</f>
        <v>1409</v>
      </c>
      <c r="DG2127" s="5" t="s">
        <v>238</v>
      </c>
      <c r="DH2127" s="5" t="s">
        <v>238</v>
      </c>
      <c r="DI2127" s="5" t="s">
        <v>238</v>
      </c>
      <c r="DJ2127" s="5" t="s">
        <v>238</v>
      </c>
      <c r="DN2127" s="5" t="s">
        <v>238</v>
      </c>
      <c r="DO2127" s="5" t="s">
        <v>238</v>
      </c>
      <c r="DP2127" s="5" t="s">
        <v>238</v>
      </c>
      <c r="DQ2127" s="5" t="s">
        <v>238</v>
      </c>
      <c r="DT2127" s="5" t="s">
        <v>275</v>
      </c>
      <c r="DU2127" s="5" t="s">
        <v>584</v>
      </c>
      <c r="HM2127" s="5" t="s">
        <v>264</v>
      </c>
    </row>
    <row r="2128" spans="1:221" x14ac:dyDescent="0.4">
      <c r="A2128" s="5">
        <v>3832</v>
      </c>
      <c r="B2128" s="5">
        <v>1</v>
      </c>
      <c r="C2128" s="5">
        <v>1</v>
      </c>
      <c r="D2128" s="5" t="s">
        <v>269</v>
      </c>
      <c r="E2128" s="5" t="s">
        <v>271</v>
      </c>
      <c r="F2128" s="5" t="s">
        <v>248</v>
      </c>
      <c r="G2128" s="5" t="s">
        <v>266</v>
      </c>
      <c r="H2128" s="6" t="s">
        <v>585</v>
      </c>
      <c r="I2128" s="7">
        <f>996</f>
        <v>996</v>
      </c>
      <c r="J2128" s="5" t="s">
        <v>262</v>
      </c>
      <c r="K2128" s="8">
        <f>1</f>
        <v>1</v>
      </c>
      <c r="L2128" s="6" t="s">
        <v>242</v>
      </c>
      <c r="M2128" s="5" t="s">
        <v>267</v>
      </c>
      <c r="N2128" s="5" t="s">
        <v>265</v>
      </c>
      <c r="O2128" s="5" t="s">
        <v>238</v>
      </c>
      <c r="P2128" s="5" t="s">
        <v>238</v>
      </c>
      <c r="Q2128" s="5" t="s">
        <v>268</v>
      </c>
      <c r="R2128" s="5" t="s">
        <v>270</v>
      </c>
      <c r="S2128" s="5" t="s">
        <v>238</v>
      </c>
      <c r="V2128" s="5" t="s">
        <v>238</v>
      </c>
      <c r="X2128" s="6" t="s">
        <v>238</v>
      </c>
      <c r="AA2128" s="6" t="s">
        <v>243</v>
      </c>
      <c r="AB2128" s="5" t="s">
        <v>238</v>
      </c>
      <c r="AC2128" s="5" t="s">
        <v>244</v>
      </c>
      <c r="AD2128" s="5" t="s">
        <v>245</v>
      </c>
      <c r="AT2128" s="5" t="s">
        <v>246</v>
      </c>
      <c r="AU2128" s="5" t="s">
        <v>238</v>
      </c>
      <c r="AV2128" s="5" t="s">
        <v>247</v>
      </c>
      <c r="AW2128" s="5" t="s">
        <v>238</v>
      </c>
      <c r="AX2128" s="5" t="s">
        <v>249</v>
      </c>
      <c r="AY2128" s="5" t="s">
        <v>238</v>
      </c>
      <c r="BA2128" s="5" t="s">
        <v>238</v>
      </c>
      <c r="BC2128" s="5" t="s">
        <v>250</v>
      </c>
      <c r="BD2128" s="6" t="s">
        <v>243</v>
      </c>
      <c r="BE2128" s="5" t="s">
        <v>251</v>
      </c>
      <c r="BF2128" s="5" t="s">
        <v>252</v>
      </c>
      <c r="BG2128" s="5" t="s">
        <v>238</v>
      </c>
      <c r="BH2128" s="7">
        <f>0</f>
        <v>0</v>
      </c>
      <c r="BI2128" s="8">
        <f>0</f>
        <v>0</v>
      </c>
      <c r="BJ2128" s="5" t="s">
        <v>253</v>
      </c>
      <c r="BK2128" s="5" t="s">
        <v>254</v>
      </c>
      <c r="BY2128" s="5" t="s">
        <v>238</v>
      </c>
      <c r="BZ2128" s="5" t="s">
        <v>238</v>
      </c>
      <c r="CD2128" s="5" t="s">
        <v>273</v>
      </c>
      <c r="CE2128" s="5" t="s">
        <v>256</v>
      </c>
      <c r="CF2128" s="5" t="s">
        <v>238</v>
      </c>
      <c r="CI2128" s="6" t="s">
        <v>257</v>
      </c>
      <c r="CJ2128" s="5" t="s">
        <v>238</v>
      </c>
      <c r="CK2128" s="5" t="s">
        <v>258</v>
      </c>
      <c r="CL2128" s="5" t="s">
        <v>238</v>
      </c>
      <c r="CM2128" s="5" t="s">
        <v>238</v>
      </c>
      <c r="CN2128" s="5">
        <v>0</v>
      </c>
      <c r="CO2128" s="5" t="s">
        <v>259</v>
      </c>
      <c r="CP2128" s="5" t="s">
        <v>260</v>
      </c>
      <c r="CQ2128" s="5" t="s">
        <v>260</v>
      </c>
      <c r="CR2128" s="5" t="s">
        <v>261</v>
      </c>
      <c r="CU2128" s="8">
        <f>1</f>
        <v>1</v>
      </c>
      <c r="CV2128" s="8">
        <f>0</f>
        <v>0</v>
      </c>
      <c r="CX2128" s="8">
        <f>0</f>
        <v>0</v>
      </c>
      <c r="CY2128" s="8">
        <f>1</f>
        <v>1</v>
      </c>
      <c r="DA2128" s="5" t="s">
        <v>274</v>
      </c>
      <c r="DB2128" s="5" t="s">
        <v>238</v>
      </c>
      <c r="DD2128" s="5" t="s">
        <v>274</v>
      </c>
      <c r="DE2128" s="8">
        <f>996</f>
        <v>996</v>
      </c>
      <c r="DG2128" s="5" t="s">
        <v>238</v>
      </c>
      <c r="DH2128" s="5" t="s">
        <v>238</v>
      </c>
      <c r="DI2128" s="5" t="s">
        <v>238</v>
      </c>
      <c r="DJ2128" s="5" t="s">
        <v>238</v>
      </c>
      <c r="DN2128" s="5" t="s">
        <v>238</v>
      </c>
      <c r="DO2128" s="5" t="s">
        <v>238</v>
      </c>
      <c r="DP2128" s="5" t="s">
        <v>238</v>
      </c>
      <c r="DQ2128" s="5" t="s">
        <v>238</v>
      </c>
      <c r="DT2128" s="5" t="s">
        <v>275</v>
      </c>
      <c r="DU2128" s="5" t="s">
        <v>586</v>
      </c>
      <c r="HM2128" s="5" t="s">
        <v>264</v>
      </c>
    </row>
    <row r="2129" spans="1:221" x14ac:dyDescent="0.4">
      <c r="A2129" s="5">
        <v>3833</v>
      </c>
      <c r="B2129" s="5">
        <v>1</v>
      </c>
      <c r="C2129" s="5">
        <v>1</v>
      </c>
      <c r="D2129" s="5" t="s">
        <v>269</v>
      </c>
      <c r="E2129" s="5" t="s">
        <v>271</v>
      </c>
      <c r="F2129" s="5" t="s">
        <v>248</v>
      </c>
      <c r="G2129" s="5" t="s">
        <v>266</v>
      </c>
      <c r="H2129" s="6" t="s">
        <v>589</v>
      </c>
      <c r="I2129" s="7">
        <f>93</f>
        <v>93</v>
      </c>
      <c r="J2129" s="5" t="s">
        <v>262</v>
      </c>
      <c r="K2129" s="8">
        <f>1</f>
        <v>1</v>
      </c>
      <c r="L2129" s="6" t="s">
        <v>242</v>
      </c>
      <c r="M2129" s="5" t="s">
        <v>267</v>
      </c>
      <c r="N2129" s="5" t="s">
        <v>265</v>
      </c>
      <c r="O2129" s="5" t="s">
        <v>238</v>
      </c>
      <c r="P2129" s="5" t="s">
        <v>238</v>
      </c>
      <c r="Q2129" s="5" t="s">
        <v>268</v>
      </c>
      <c r="R2129" s="5" t="s">
        <v>270</v>
      </c>
      <c r="S2129" s="5" t="s">
        <v>238</v>
      </c>
      <c r="V2129" s="5" t="s">
        <v>238</v>
      </c>
      <c r="X2129" s="6" t="s">
        <v>238</v>
      </c>
      <c r="AA2129" s="6" t="s">
        <v>243</v>
      </c>
      <c r="AB2129" s="5" t="s">
        <v>238</v>
      </c>
      <c r="AC2129" s="5" t="s">
        <v>244</v>
      </c>
      <c r="AD2129" s="5" t="s">
        <v>245</v>
      </c>
      <c r="AT2129" s="5" t="s">
        <v>246</v>
      </c>
      <c r="AU2129" s="5" t="s">
        <v>238</v>
      </c>
      <c r="AV2129" s="5" t="s">
        <v>247</v>
      </c>
      <c r="AW2129" s="5" t="s">
        <v>238</v>
      </c>
      <c r="AX2129" s="5" t="s">
        <v>249</v>
      </c>
      <c r="AY2129" s="5" t="s">
        <v>238</v>
      </c>
      <c r="BA2129" s="5" t="s">
        <v>238</v>
      </c>
      <c r="BC2129" s="5" t="s">
        <v>250</v>
      </c>
      <c r="BD2129" s="6" t="s">
        <v>243</v>
      </c>
      <c r="BE2129" s="5" t="s">
        <v>251</v>
      </c>
      <c r="BF2129" s="5" t="s">
        <v>252</v>
      </c>
      <c r="BG2129" s="5" t="s">
        <v>238</v>
      </c>
      <c r="BH2129" s="7">
        <f>0</f>
        <v>0</v>
      </c>
      <c r="BI2129" s="8">
        <f>0</f>
        <v>0</v>
      </c>
      <c r="BJ2129" s="5" t="s">
        <v>253</v>
      </c>
      <c r="BK2129" s="5" t="s">
        <v>254</v>
      </c>
      <c r="BY2129" s="5" t="s">
        <v>238</v>
      </c>
      <c r="BZ2129" s="5" t="s">
        <v>238</v>
      </c>
      <c r="CD2129" s="5" t="s">
        <v>273</v>
      </c>
      <c r="CE2129" s="5" t="s">
        <v>256</v>
      </c>
      <c r="CF2129" s="5" t="s">
        <v>238</v>
      </c>
      <c r="CI2129" s="6" t="s">
        <v>257</v>
      </c>
      <c r="CJ2129" s="5" t="s">
        <v>238</v>
      </c>
      <c r="CK2129" s="5" t="s">
        <v>258</v>
      </c>
      <c r="CL2129" s="5" t="s">
        <v>238</v>
      </c>
      <c r="CM2129" s="5" t="s">
        <v>238</v>
      </c>
      <c r="CN2129" s="5">
        <v>0</v>
      </c>
      <c r="CO2129" s="5" t="s">
        <v>259</v>
      </c>
      <c r="CP2129" s="5" t="s">
        <v>260</v>
      </c>
      <c r="CQ2129" s="5" t="s">
        <v>260</v>
      </c>
      <c r="CR2129" s="5" t="s">
        <v>261</v>
      </c>
      <c r="CU2129" s="8">
        <f>1</f>
        <v>1</v>
      </c>
      <c r="CV2129" s="8">
        <f>0</f>
        <v>0</v>
      </c>
      <c r="CX2129" s="8">
        <f>0</f>
        <v>0</v>
      </c>
      <c r="CY2129" s="8">
        <f>1</f>
        <v>1</v>
      </c>
      <c r="DA2129" s="5" t="s">
        <v>274</v>
      </c>
      <c r="DB2129" s="5" t="s">
        <v>238</v>
      </c>
      <c r="DD2129" s="5" t="s">
        <v>274</v>
      </c>
      <c r="DE2129" s="8">
        <f>93</f>
        <v>93</v>
      </c>
      <c r="DG2129" s="5" t="s">
        <v>238</v>
      </c>
      <c r="DH2129" s="5" t="s">
        <v>238</v>
      </c>
      <c r="DI2129" s="5" t="s">
        <v>238</v>
      </c>
      <c r="DJ2129" s="5" t="s">
        <v>238</v>
      </c>
      <c r="DN2129" s="5" t="s">
        <v>238</v>
      </c>
      <c r="DO2129" s="5" t="s">
        <v>238</v>
      </c>
      <c r="DP2129" s="5" t="s">
        <v>238</v>
      </c>
      <c r="DQ2129" s="5" t="s">
        <v>238</v>
      </c>
      <c r="DT2129" s="5" t="s">
        <v>275</v>
      </c>
      <c r="DU2129" s="5" t="s">
        <v>590</v>
      </c>
      <c r="HM2129" s="5" t="s">
        <v>264</v>
      </c>
    </row>
    <row r="2130" spans="1:221" x14ac:dyDescent="0.4">
      <c r="A2130" s="5">
        <v>3834</v>
      </c>
      <c r="B2130" s="5">
        <v>1</v>
      </c>
      <c r="C2130" s="5">
        <v>1</v>
      </c>
      <c r="D2130" s="5" t="s">
        <v>269</v>
      </c>
      <c r="E2130" s="5" t="s">
        <v>271</v>
      </c>
      <c r="F2130" s="5" t="s">
        <v>248</v>
      </c>
      <c r="G2130" s="5" t="s">
        <v>266</v>
      </c>
      <c r="H2130" s="6" t="s">
        <v>591</v>
      </c>
      <c r="I2130" s="7">
        <f>623</f>
        <v>623</v>
      </c>
      <c r="J2130" s="5" t="s">
        <v>262</v>
      </c>
      <c r="K2130" s="8">
        <f>1</f>
        <v>1</v>
      </c>
      <c r="L2130" s="6" t="s">
        <v>242</v>
      </c>
      <c r="M2130" s="5" t="s">
        <v>267</v>
      </c>
      <c r="N2130" s="5" t="s">
        <v>265</v>
      </c>
      <c r="O2130" s="5" t="s">
        <v>238</v>
      </c>
      <c r="P2130" s="5" t="s">
        <v>238</v>
      </c>
      <c r="Q2130" s="5" t="s">
        <v>268</v>
      </c>
      <c r="R2130" s="5" t="s">
        <v>270</v>
      </c>
      <c r="S2130" s="5" t="s">
        <v>238</v>
      </c>
      <c r="V2130" s="5" t="s">
        <v>238</v>
      </c>
      <c r="X2130" s="6" t="s">
        <v>238</v>
      </c>
      <c r="AA2130" s="6" t="s">
        <v>243</v>
      </c>
      <c r="AB2130" s="5" t="s">
        <v>238</v>
      </c>
      <c r="AC2130" s="5" t="s">
        <v>244</v>
      </c>
      <c r="AD2130" s="5" t="s">
        <v>245</v>
      </c>
      <c r="AT2130" s="5" t="s">
        <v>246</v>
      </c>
      <c r="AU2130" s="5" t="s">
        <v>238</v>
      </c>
      <c r="AV2130" s="5" t="s">
        <v>247</v>
      </c>
      <c r="AW2130" s="5" t="s">
        <v>238</v>
      </c>
      <c r="AX2130" s="5" t="s">
        <v>249</v>
      </c>
      <c r="AY2130" s="5" t="s">
        <v>238</v>
      </c>
      <c r="BA2130" s="5" t="s">
        <v>238</v>
      </c>
      <c r="BC2130" s="5" t="s">
        <v>250</v>
      </c>
      <c r="BD2130" s="6" t="s">
        <v>243</v>
      </c>
      <c r="BE2130" s="5" t="s">
        <v>251</v>
      </c>
      <c r="BF2130" s="5" t="s">
        <v>252</v>
      </c>
      <c r="BG2130" s="5" t="s">
        <v>238</v>
      </c>
      <c r="BH2130" s="7">
        <f>0</f>
        <v>0</v>
      </c>
      <c r="BI2130" s="8">
        <f>0</f>
        <v>0</v>
      </c>
      <c r="BJ2130" s="5" t="s">
        <v>253</v>
      </c>
      <c r="BK2130" s="5" t="s">
        <v>254</v>
      </c>
      <c r="BY2130" s="5" t="s">
        <v>238</v>
      </c>
      <c r="BZ2130" s="5" t="s">
        <v>238</v>
      </c>
      <c r="CD2130" s="5" t="s">
        <v>273</v>
      </c>
      <c r="CE2130" s="5" t="s">
        <v>256</v>
      </c>
      <c r="CF2130" s="5" t="s">
        <v>238</v>
      </c>
      <c r="CI2130" s="6" t="s">
        <v>257</v>
      </c>
      <c r="CJ2130" s="5" t="s">
        <v>238</v>
      </c>
      <c r="CK2130" s="5" t="s">
        <v>258</v>
      </c>
      <c r="CL2130" s="5" t="s">
        <v>238</v>
      </c>
      <c r="CM2130" s="5" t="s">
        <v>238</v>
      </c>
      <c r="CN2130" s="5">
        <v>0</v>
      </c>
      <c r="CO2130" s="5" t="s">
        <v>259</v>
      </c>
      <c r="CP2130" s="5" t="s">
        <v>260</v>
      </c>
      <c r="CQ2130" s="5" t="s">
        <v>260</v>
      </c>
      <c r="CR2130" s="5" t="s">
        <v>261</v>
      </c>
      <c r="CU2130" s="8">
        <f>1</f>
        <v>1</v>
      </c>
      <c r="CV2130" s="8">
        <f>0</f>
        <v>0</v>
      </c>
      <c r="CX2130" s="8">
        <f>0</f>
        <v>0</v>
      </c>
      <c r="CY2130" s="8">
        <f>1</f>
        <v>1</v>
      </c>
      <c r="DA2130" s="5" t="s">
        <v>274</v>
      </c>
      <c r="DB2130" s="5" t="s">
        <v>238</v>
      </c>
      <c r="DD2130" s="5" t="s">
        <v>274</v>
      </c>
      <c r="DE2130" s="8">
        <f>623</f>
        <v>623</v>
      </c>
      <c r="DG2130" s="5" t="s">
        <v>238</v>
      </c>
      <c r="DH2130" s="5" t="s">
        <v>238</v>
      </c>
      <c r="DI2130" s="5" t="s">
        <v>238</v>
      </c>
      <c r="DJ2130" s="5" t="s">
        <v>238</v>
      </c>
      <c r="DN2130" s="5" t="s">
        <v>238</v>
      </c>
      <c r="DO2130" s="5" t="s">
        <v>238</v>
      </c>
      <c r="DP2130" s="5" t="s">
        <v>238</v>
      </c>
      <c r="DQ2130" s="5" t="s">
        <v>238</v>
      </c>
      <c r="DT2130" s="5" t="s">
        <v>275</v>
      </c>
      <c r="DU2130" s="5" t="s">
        <v>592</v>
      </c>
      <c r="HM2130" s="5" t="s">
        <v>264</v>
      </c>
    </row>
    <row r="2131" spans="1:221" x14ac:dyDescent="0.4">
      <c r="A2131" s="5">
        <v>3835</v>
      </c>
      <c r="B2131" s="5">
        <v>1</v>
      </c>
      <c r="C2131" s="5">
        <v>1</v>
      </c>
      <c r="D2131" s="5" t="s">
        <v>269</v>
      </c>
      <c r="E2131" s="5" t="s">
        <v>271</v>
      </c>
      <c r="F2131" s="5" t="s">
        <v>248</v>
      </c>
      <c r="G2131" s="5" t="s">
        <v>266</v>
      </c>
      <c r="H2131" s="6" t="s">
        <v>595</v>
      </c>
      <c r="I2131" s="7">
        <f>336</f>
        <v>336</v>
      </c>
      <c r="J2131" s="5" t="s">
        <v>262</v>
      </c>
      <c r="K2131" s="8">
        <f>1</f>
        <v>1</v>
      </c>
      <c r="L2131" s="6" t="s">
        <v>242</v>
      </c>
      <c r="M2131" s="5" t="s">
        <v>267</v>
      </c>
      <c r="N2131" s="5" t="s">
        <v>265</v>
      </c>
      <c r="O2131" s="5" t="s">
        <v>238</v>
      </c>
      <c r="P2131" s="5" t="s">
        <v>238</v>
      </c>
      <c r="Q2131" s="5" t="s">
        <v>268</v>
      </c>
      <c r="R2131" s="5" t="s">
        <v>270</v>
      </c>
      <c r="S2131" s="5" t="s">
        <v>238</v>
      </c>
      <c r="V2131" s="5" t="s">
        <v>238</v>
      </c>
      <c r="X2131" s="6" t="s">
        <v>238</v>
      </c>
      <c r="AA2131" s="6" t="s">
        <v>243</v>
      </c>
      <c r="AB2131" s="5" t="s">
        <v>238</v>
      </c>
      <c r="AC2131" s="5" t="s">
        <v>244</v>
      </c>
      <c r="AD2131" s="5" t="s">
        <v>245</v>
      </c>
      <c r="AT2131" s="5" t="s">
        <v>246</v>
      </c>
      <c r="AU2131" s="5" t="s">
        <v>238</v>
      </c>
      <c r="AV2131" s="5" t="s">
        <v>247</v>
      </c>
      <c r="AW2131" s="5" t="s">
        <v>238</v>
      </c>
      <c r="AX2131" s="5" t="s">
        <v>249</v>
      </c>
      <c r="AY2131" s="5" t="s">
        <v>238</v>
      </c>
      <c r="BA2131" s="5" t="s">
        <v>238</v>
      </c>
      <c r="BC2131" s="5" t="s">
        <v>250</v>
      </c>
      <c r="BD2131" s="6" t="s">
        <v>243</v>
      </c>
      <c r="BE2131" s="5" t="s">
        <v>251</v>
      </c>
      <c r="BF2131" s="5" t="s">
        <v>252</v>
      </c>
      <c r="BG2131" s="5" t="s">
        <v>238</v>
      </c>
      <c r="BH2131" s="7">
        <f>0</f>
        <v>0</v>
      </c>
      <c r="BI2131" s="8">
        <f>0</f>
        <v>0</v>
      </c>
      <c r="BJ2131" s="5" t="s">
        <v>253</v>
      </c>
      <c r="BK2131" s="5" t="s">
        <v>254</v>
      </c>
      <c r="BY2131" s="5" t="s">
        <v>238</v>
      </c>
      <c r="BZ2131" s="5" t="s">
        <v>238</v>
      </c>
      <c r="CD2131" s="5" t="s">
        <v>273</v>
      </c>
      <c r="CE2131" s="5" t="s">
        <v>256</v>
      </c>
      <c r="CF2131" s="5" t="s">
        <v>238</v>
      </c>
      <c r="CI2131" s="6" t="s">
        <v>257</v>
      </c>
      <c r="CJ2131" s="5" t="s">
        <v>238</v>
      </c>
      <c r="CK2131" s="5" t="s">
        <v>258</v>
      </c>
      <c r="CL2131" s="5" t="s">
        <v>238</v>
      </c>
      <c r="CM2131" s="5" t="s">
        <v>238</v>
      </c>
      <c r="CN2131" s="5">
        <v>0</v>
      </c>
      <c r="CO2131" s="5" t="s">
        <v>259</v>
      </c>
      <c r="CP2131" s="5" t="s">
        <v>260</v>
      </c>
      <c r="CQ2131" s="5" t="s">
        <v>260</v>
      </c>
      <c r="CR2131" s="5" t="s">
        <v>261</v>
      </c>
      <c r="CU2131" s="8">
        <f>1</f>
        <v>1</v>
      </c>
      <c r="CV2131" s="8">
        <f>0</f>
        <v>0</v>
      </c>
      <c r="CX2131" s="8">
        <f>0</f>
        <v>0</v>
      </c>
      <c r="CY2131" s="8">
        <f>1</f>
        <v>1</v>
      </c>
      <c r="DA2131" s="5" t="s">
        <v>274</v>
      </c>
      <c r="DB2131" s="5" t="s">
        <v>238</v>
      </c>
      <c r="DD2131" s="5" t="s">
        <v>274</v>
      </c>
      <c r="DE2131" s="8">
        <f>336</f>
        <v>336</v>
      </c>
      <c r="DG2131" s="5" t="s">
        <v>238</v>
      </c>
      <c r="DH2131" s="5" t="s">
        <v>238</v>
      </c>
      <c r="DI2131" s="5" t="s">
        <v>238</v>
      </c>
      <c r="DJ2131" s="5" t="s">
        <v>238</v>
      </c>
      <c r="DN2131" s="5" t="s">
        <v>238</v>
      </c>
      <c r="DO2131" s="5" t="s">
        <v>238</v>
      </c>
      <c r="DP2131" s="5" t="s">
        <v>238</v>
      </c>
      <c r="DQ2131" s="5" t="s">
        <v>238</v>
      </c>
      <c r="DT2131" s="5" t="s">
        <v>275</v>
      </c>
      <c r="DU2131" s="5" t="s">
        <v>596</v>
      </c>
      <c r="HM2131" s="5" t="s">
        <v>264</v>
      </c>
    </row>
    <row r="2132" spans="1:221" x14ac:dyDescent="0.4">
      <c r="A2132" s="5">
        <v>3836</v>
      </c>
      <c r="B2132" s="5">
        <v>1</v>
      </c>
      <c r="C2132" s="5">
        <v>1</v>
      </c>
      <c r="D2132" s="5" t="s">
        <v>269</v>
      </c>
      <c r="E2132" s="5" t="s">
        <v>271</v>
      </c>
      <c r="F2132" s="5" t="s">
        <v>248</v>
      </c>
      <c r="G2132" s="5" t="s">
        <v>266</v>
      </c>
      <c r="H2132" s="6" t="s">
        <v>603</v>
      </c>
      <c r="I2132" s="7">
        <f>92</f>
        <v>92</v>
      </c>
      <c r="J2132" s="5" t="s">
        <v>262</v>
      </c>
      <c r="K2132" s="8">
        <f>1</f>
        <v>1</v>
      </c>
      <c r="L2132" s="6" t="s">
        <v>242</v>
      </c>
      <c r="M2132" s="5" t="s">
        <v>267</v>
      </c>
      <c r="N2132" s="5" t="s">
        <v>265</v>
      </c>
      <c r="O2132" s="5" t="s">
        <v>238</v>
      </c>
      <c r="P2132" s="5" t="s">
        <v>238</v>
      </c>
      <c r="Q2132" s="5" t="s">
        <v>268</v>
      </c>
      <c r="R2132" s="5" t="s">
        <v>270</v>
      </c>
      <c r="S2132" s="5" t="s">
        <v>238</v>
      </c>
      <c r="V2132" s="5" t="s">
        <v>238</v>
      </c>
      <c r="X2132" s="6" t="s">
        <v>238</v>
      </c>
      <c r="AA2132" s="6" t="s">
        <v>243</v>
      </c>
      <c r="AB2132" s="5" t="s">
        <v>238</v>
      </c>
      <c r="AC2132" s="5" t="s">
        <v>244</v>
      </c>
      <c r="AD2132" s="5" t="s">
        <v>245</v>
      </c>
      <c r="AT2132" s="5" t="s">
        <v>246</v>
      </c>
      <c r="AU2132" s="5" t="s">
        <v>238</v>
      </c>
      <c r="AV2132" s="5" t="s">
        <v>247</v>
      </c>
      <c r="AW2132" s="5" t="s">
        <v>238</v>
      </c>
      <c r="AX2132" s="5" t="s">
        <v>249</v>
      </c>
      <c r="AY2132" s="5" t="s">
        <v>238</v>
      </c>
      <c r="BA2132" s="5" t="s">
        <v>238</v>
      </c>
      <c r="BC2132" s="5" t="s">
        <v>250</v>
      </c>
      <c r="BD2132" s="6" t="s">
        <v>243</v>
      </c>
      <c r="BE2132" s="5" t="s">
        <v>251</v>
      </c>
      <c r="BF2132" s="5" t="s">
        <v>252</v>
      </c>
      <c r="BG2132" s="5" t="s">
        <v>238</v>
      </c>
      <c r="BH2132" s="7">
        <f>0</f>
        <v>0</v>
      </c>
      <c r="BI2132" s="8">
        <f>0</f>
        <v>0</v>
      </c>
      <c r="BJ2132" s="5" t="s">
        <v>253</v>
      </c>
      <c r="BK2132" s="5" t="s">
        <v>254</v>
      </c>
      <c r="BY2132" s="5" t="s">
        <v>238</v>
      </c>
      <c r="BZ2132" s="5" t="s">
        <v>238</v>
      </c>
      <c r="CD2132" s="5" t="s">
        <v>273</v>
      </c>
      <c r="CE2132" s="5" t="s">
        <v>256</v>
      </c>
      <c r="CF2132" s="5" t="s">
        <v>238</v>
      </c>
      <c r="CI2132" s="6" t="s">
        <v>257</v>
      </c>
      <c r="CJ2132" s="5" t="s">
        <v>238</v>
      </c>
      <c r="CK2132" s="5" t="s">
        <v>258</v>
      </c>
      <c r="CL2132" s="5" t="s">
        <v>238</v>
      </c>
      <c r="CM2132" s="5" t="s">
        <v>238</v>
      </c>
      <c r="CN2132" s="5">
        <v>0</v>
      </c>
      <c r="CO2132" s="5" t="s">
        <v>259</v>
      </c>
      <c r="CP2132" s="5" t="s">
        <v>260</v>
      </c>
      <c r="CQ2132" s="5" t="s">
        <v>260</v>
      </c>
      <c r="CR2132" s="5" t="s">
        <v>261</v>
      </c>
      <c r="CU2132" s="8">
        <f>1</f>
        <v>1</v>
      </c>
      <c r="CV2132" s="8">
        <f>0</f>
        <v>0</v>
      </c>
      <c r="CX2132" s="8">
        <f>0</f>
        <v>0</v>
      </c>
      <c r="CY2132" s="8">
        <f>1</f>
        <v>1</v>
      </c>
      <c r="DA2132" s="5" t="s">
        <v>274</v>
      </c>
      <c r="DB2132" s="5" t="s">
        <v>238</v>
      </c>
      <c r="DD2132" s="5" t="s">
        <v>274</v>
      </c>
      <c r="DE2132" s="8">
        <f>92</f>
        <v>92</v>
      </c>
      <c r="DG2132" s="5" t="s">
        <v>238</v>
      </c>
      <c r="DH2132" s="5" t="s">
        <v>238</v>
      </c>
      <c r="DI2132" s="5" t="s">
        <v>238</v>
      </c>
      <c r="DJ2132" s="5" t="s">
        <v>238</v>
      </c>
      <c r="DN2132" s="5" t="s">
        <v>238</v>
      </c>
      <c r="DO2132" s="5" t="s">
        <v>238</v>
      </c>
      <c r="DP2132" s="5" t="s">
        <v>238</v>
      </c>
      <c r="DQ2132" s="5" t="s">
        <v>238</v>
      </c>
      <c r="DT2132" s="5" t="s">
        <v>275</v>
      </c>
      <c r="DU2132" s="5" t="s">
        <v>604</v>
      </c>
      <c r="HM2132" s="5" t="s">
        <v>264</v>
      </c>
    </row>
    <row r="2133" spans="1:221" x14ac:dyDescent="0.4">
      <c r="A2133" s="5">
        <v>3837</v>
      </c>
      <c r="B2133" s="5">
        <v>1</v>
      </c>
      <c r="C2133" s="5">
        <v>1</v>
      </c>
      <c r="D2133" s="5" t="s">
        <v>269</v>
      </c>
      <c r="E2133" s="5" t="s">
        <v>271</v>
      </c>
      <c r="F2133" s="5" t="s">
        <v>248</v>
      </c>
      <c r="G2133" s="5" t="s">
        <v>266</v>
      </c>
      <c r="H2133" s="6" t="s">
        <v>605</v>
      </c>
      <c r="I2133" s="7">
        <f>99</f>
        <v>99</v>
      </c>
      <c r="J2133" s="5" t="s">
        <v>262</v>
      </c>
      <c r="K2133" s="8">
        <f>1</f>
        <v>1</v>
      </c>
      <c r="L2133" s="6" t="s">
        <v>242</v>
      </c>
      <c r="M2133" s="5" t="s">
        <v>267</v>
      </c>
      <c r="N2133" s="5" t="s">
        <v>265</v>
      </c>
      <c r="O2133" s="5" t="s">
        <v>238</v>
      </c>
      <c r="P2133" s="5" t="s">
        <v>238</v>
      </c>
      <c r="Q2133" s="5" t="s">
        <v>268</v>
      </c>
      <c r="R2133" s="5" t="s">
        <v>270</v>
      </c>
      <c r="S2133" s="5" t="s">
        <v>238</v>
      </c>
      <c r="V2133" s="5" t="s">
        <v>238</v>
      </c>
      <c r="X2133" s="6" t="s">
        <v>238</v>
      </c>
      <c r="AA2133" s="6" t="s">
        <v>243</v>
      </c>
      <c r="AB2133" s="5" t="s">
        <v>238</v>
      </c>
      <c r="AC2133" s="5" t="s">
        <v>244</v>
      </c>
      <c r="AD2133" s="5" t="s">
        <v>245</v>
      </c>
      <c r="AT2133" s="5" t="s">
        <v>246</v>
      </c>
      <c r="AU2133" s="5" t="s">
        <v>238</v>
      </c>
      <c r="AV2133" s="5" t="s">
        <v>247</v>
      </c>
      <c r="AW2133" s="5" t="s">
        <v>238</v>
      </c>
      <c r="AX2133" s="5" t="s">
        <v>249</v>
      </c>
      <c r="AY2133" s="5" t="s">
        <v>238</v>
      </c>
      <c r="BA2133" s="5" t="s">
        <v>238</v>
      </c>
      <c r="BC2133" s="5" t="s">
        <v>250</v>
      </c>
      <c r="BD2133" s="6" t="s">
        <v>243</v>
      </c>
      <c r="BE2133" s="5" t="s">
        <v>251</v>
      </c>
      <c r="BF2133" s="5" t="s">
        <v>252</v>
      </c>
      <c r="BG2133" s="5" t="s">
        <v>238</v>
      </c>
      <c r="BH2133" s="7">
        <f>0</f>
        <v>0</v>
      </c>
      <c r="BI2133" s="8">
        <f>0</f>
        <v>0</v>
      </c>
      <c r="BJ2133" s="5" t="s">
        <v>253</v>
      </c>
      <c r="BK2133" s="5" t="s">
        <v>254</v>
      </c>
      <c r="BY2133" s="5" t="s">
        <v>238</v>
      </c>
      <c r="BZ2133" s="5" t="s">
        <v>238</v>
      </c>
      <c r="CD2133" s="5" t="s">
        <v>273</v>
      </c>
      <c r="CE2133" s="5" t="s">
        <v>256</v>
      </c>
      <c r="CF2133" s="5" t="s">
        <v>238</v>
      </c>
      <c r="CI2133" s="6" t="s">
        <v>257</v>
      </c>
      <c r="CJ2133" s="5" t="s">
        <v>238</v>
      </c>
      <c r="CK2133" s="5" t="s">
        <v>258</v>
      </c>
      <c r="CL2133" s="5" t="s">
        <v>238</v>
      </c>
      <c r="CM2133" s="5" t="s">
        <v>238</v>
      </c>
      <c r="CN2133" s="5">
        <v>0</v>
      </c>
      <c r="CO2133" s="5" t="s">
        <v>259</v>
      </c>
      <c r="CP2133" s="5" t="s">
        <v>260</v>
      </c>
      <c r="CQ2133" s="5" t="s">
        <v>260</v>
      </c>
      <c r="CR2133" s="5" t="s">
        <v>261</v>
      </c>
      <c r="CU2133" s="8">
        <f>1</f>
        <v>1</v>
      </c>
      <c r="CV2133" s="8">
        <f>0</f>
        <v>0</v>
      </c>
      <c r="CX2133" s="8">
        <f>0</f>
        <v>0</v>
      </c>
      <c r="CY2133" s="8">
        <f>1</f>
        <v>1</v>
      </c>
      <c r="DA2133" s="5" t="s">
        <v>274</v>
      </c>
      <c r="DB2133" s="5" t="s">
        <v>238</v>
      </c>
      <c r="DD2133" s="5" t="s">
        <v>274</v>
      </c>
      <c r="DE2133" s="8">
        <f>99</f>
        <v>99</v>
      </c>
      <c r="DG2133" s="5" t="s">
        <v>238</v>
      </c>
      <c r="DH2133" s="5" t="s">
        <v>238</v>
      </c>
      <c r="DI2133" s="5" t="s">
        <v>238</v>
      </c>
      <c r="DJ2133" s="5" t="s">
        <v>238</v>
      </c>
      <c r="DN2133" s="5" t="s">
        <v>238</v>
      </c>
      <c r="DO2133" s="5" t="s">
        <v>238</v>
      </c>
      <c r="DP2133" s="5" t="s">
        <v>238</v>
      </c>
      <c r="DQ2133" s="5" t="s">
        <v>238</v>
      </c>
      <c r="DT2133" s="5" t="s">
        <v>275</v>
      </c>
      <c r="DU2133" s="5" t="s">
        <v>606</v>
      </c>
      <c r="HM2133" s="5" t="s">
        <v>264</v>
      </c>
    </row>
    <row r="2134" spans="1:221" x14ac:dyDescent="0.4">
      <c r="A2134" s="5">
        <v>3838</v>
      </c>
      <c r="B2134" s="5">
        <v>1</v>
      </c>
      <c r="C2134" s="5">
        <v>1</v>
      </c>
      <c r="D2134" s="5" t="s">
        <v>269</v>
      </c>
      <c r="E2134" s="5" t="s">
        <v>271</v>
      </c>
      <c r="F2134" s="5" t="s">
        <v>248</v>
      </c>
      <c r="G2134" s="5" t="s">
        <v>266</v>
      </c>
      <c r="H2134" s="6" t="s">
        <v>609</v>
      </c>
      <c r="I2134" s="7">
        <f>10</f>
        <v>10</v>
      </c>
      <c r="J2134" s="5" t="s">
        <v>262</v>
      </c>
      <c r="K2134" s="8">
        <f>1</f>
        <v>1</v>
      </c>
      <c r="L2134" s="6" t="s">
        <v>242</v>
      </c>
      <c r="M2134" s="5" t="s">
        <v>267</v>
      </c>
      <c r="N2134" s="5" t="s">
        <v>265</v>
      </c>
      <c r="O2134" s="5" t="s">
        <v>238</v>
      </c>
      <c r="P2134" s="5" t="s">
        <v>238</v>
      </c>
      <c r="Q2134" s="5" t="s">
        <v>268</v>
      </c>
      <c r="R2134" s="5" t="s">
        <v>270</v>
      </c>
      <c r="S2134" s="5" t="s">
        <v>238</v>
      </c>
      <c r="V2134" s="5" t="s">
        <v>238</v>
      </c>
      <c r="X2134" s="6" t="s">
        <v>238</v>
      </c>
      <c r="AA2134" s="6" t="s">
        <v>243</v>
      </c>
      <c r="AB2134" s="5" t="s">
        <v>238</v>
      </c>
      <c r="AC2134" s="5" t="s">
        <v>244</v>
      </c>
      <c r="AD2134" s="5" t="s">
        <v>245</v>
      </c>
      <c r="AT2134" s="5" t="s">
        <v>246</v>
      </c>
      <c r="AU2134" s="5" t="s">
        <v>238</v>
      </c>
      <c r="AV2134" s="5" t="s">
        <v>247</v>
      </c>
      <c r="AW2134" s="5" t="s">
        <v>238</v>
      </c>
      <c r="AX2134" s="5" t="s">
        <v>249</v>
      </c>
      <c r="AY2134" s="5" t="s">
        <v>238</v>
      </c>
      <c r="BA2134" s="5" t="s">
        <v>238</v>
      </c>
      <c r="BC2134" s="5" t="s">
        <v>250</v>
      </c>
      <c r="BD2134" s="6" t="s">
        <v>243</v>
      </c>
      <c r="BE2134" s="5" t="s">
        <v>251</v>
      </c>
      <c r="BF2134" s="5" t="s">
        <v>252</v>
      </c>
      <c r="BG2134" s="5" t="s">
        <v>238</v>
      </c>
      <c r="BH2134" s="7">
        <f>0</f>
        <v>0</v>
      </c>
      <c r="BI2134" s="8">
        <f>0</f>
        <v>0</v>
      </c>
      <c r="BJ2134" s="5" t="s">
        <v>253</v>
      </c>
      <c r="BK2134" s="5" t="s">
        <v>254</v>
      </c>
      <c r="BY2134" s="5" t="s">
        <v>238</v>
      </c>
      <c r="BZ2134" s="5" t="s">
        <v>238</v>
      </c>
      <c r="CD2134" s="5" t="s">
        <v>273</v>
      </c>
      <c r="CE2134" s="5" t="s">
        <v>256</v>
      </c>
      <c r="CF2134" s="5" t="s">
        <v>238</v>
      </c>
      <c r="CI2134" s="6" t="s">
        <v>257</v>
      </c>
      <c r="CJ2134" s="5" t="s">
        <v>238</v>
      </c>
      <c r="CK2134" s="5" t="s">
        <v>258</v>
      </c>
      <c r="CL2134" s="5" t="s">
        <v>238</v>
      </c>
      <c r="CM2134" s="5" t="s">
        <v>238</v>
      </c>
      <c r="CN2134" s="5">
        <v>0</v>
      </c>
      <c r="CO2134" s="5" t="s">
        <v>259</v>
      </c>
      <c r="CP2134" s="5" t="s">
        <v>260</v>
      </c>
      <c r="CQ2134" s="5" t="s">
        <v>260</v>
      </c>
      <c r="CR2134" s="5" t="s">
        <v>261</v>
      </c>
      <c r="CU2134" s="8">
        <f>1</f>
        <v>1</v>
      </c>
      <c r="CV2134" s="8">
        <f>0</f>
        <v>0</v>
      </c>
      <c r="CX2134" s="8">
        <f>0</f>
        <v>0</v>
      </c>
      <c r="CY2134" s="8">
        <f>1</f>
        <v>1</v>
      </c>
      <c r="DA2134" s="5" t="s">
        <v>274</v>
      </c>
      <c r="DB2134" s="5" t="s">
        <v>238</v>
      </c>
      <c r="DD2134" s="5" t="s">
        <v>274</v>
      </c>
      <c r="DE2134" s="8">
        <f>10</f>
        <v>10</v>
      </c>
      <c r="DG2134" s="5" t="s">
        <v>238</v>
      </c>
      <c r="DH2134" s="5" t="s">
        <v>238</v>
      </c>
      <c r="DI2134" s="5" t="s">
        <v>238</v>
      </c>
      <c r="DJ2134" s="5" t="s">
        <v>238</v>
      </c>
      <c r="DN2134" s="5" t="s">
        <v>238</v>
      </c>
      <c r="DO2134" s="5" t="s">
        <v>238</v>
      </c>
      <c r="DP2134" s="5" t="s">
        <v>238</v>
      </c>
      <c r="DQ2134" s="5" t="s">
        <v>238</v>
      </c>
      <c r="DT2134" s="5" t="s">
        <v>275</v>
      </c>
      <c r="DU2134" s="5" t="s">
        <v>610</v>
      </c>
      <c r="HM2134" s="5" t="s">
        <v>264</v>
      </c>
    </row>
    <row r="2135" spans="1:221" x14ac:dyDescent="0.4">
      <c r="A2135" s="5">
        <v>3839</v>
      </c>
      <c r="B2135" s="5">
        <v>1</v>
      </c>
      <c r="C2135" s="5">
        <v>1</v>
      </c>
      <c r="D2135" s="5" t="s">
        <v>269</v>
      </c>
      <c r="E2135" s="5" t="s">
        <v>271</v>
      </c>
      <c r="F2135" s="5" t="s">
        <v>248</v>
      </c>
      <c r="G2135" s="5" t="s">
        <v>266</v>
      </c>
      <c r="H2135" s="6" t="s">
        <v>611</v>
      </c>
      <c r="I2135" s="7">
        <f>897</f>
        <v>897</v>
      </c>
      <c r="J2135" s="5" t="s">
        <v>262</v>
      </c>
      <c r="K2135" s="8">
        <f>1</f>
        <v>1</v>
      </c>
      <c r="L2135" s="6" t="s">
        <v>242</v>
      </c>
      <c r="M2135" s="5" t="s">
        <v>267</v>
      </c>
      <c r="N2135" s="5" t="s">
        <v>265</v>
      </c>
      <c r="O2135" s="5" t="s">
        <v>238</v>
      </c>
      <c r="P2135" s="5" t="s">
        <v>238</v>
      </c>
      <c r="Q2135" s="5" t="s">
        <v>268</v>
      </c>
      <c r="R2135" s="5" t="s">
        <v>270</v>
      </c>
      <c r="S2135" s="5" t="s">
        <v>238</v>
      </c>
      <c r="V2135" s="5" t="s">
        <v>238</v>
      </c>
      <c r="X2135" s="6" t="s">
        <v>238</v>
      </c>
      <c r="AA2135" s="6" t="s">
        <v>243</v>
      </c>
      <c r="AB2135" s="5" t="s">
        <v>238</v>
      </c>
      <c r="AC2135" s="5" t="s">
        <v>244</v>
      </c>
      <c r="AD2135" s="5" t="s">
        <v>245</v>
      </c>
      <c r="AT2135" s="5" t="s">
        <v>246</v>
      </c>
      <c r="AU2135" s="5" t="s">
        <v>238</v>
      </c>
      <c r="AV2135" s="5" t="s">
        <v>247</v>
      </c>
      <c r="AW2135" s="5" t="s">
        <v>238</v>
      </c>
      <c r="AX2135" s="5" t="s">
        <v>249</v>
      </c>
      <c r="AY2135" s="5" t="s">
        <v>238</v>
      </c>
      <c r="BA2135" s="5" t="s">
        <v>238</v>
      </c>
      <c r="BC2135" s="5" t="s">
        <v>250</v>
      </c>
      <c r="BD2135" s="6" t="s">
        <v>243</v>
      </c>
      <c r="BE2135" s="5" t="s">
        <v>251</v>
      </c>
      <c r="BF2135" s="5" t="s">
        <v>252</v>
      </c>
      <c r="BG2135" s="5" t="s">
        <v>238</v>
      </c>
      <c r="BH2135" s="7">
        <f>0</f>
        <v>0</v>
      </c>
      <c r="BI2135" s="8">
        <f>0</f>
        <v>0</v>
      </c>
      <c r="BJ2135" s="5" t="s">
        <v>253</v>
      </c>
      <c r="BK2135" s="5" t="s">
        <v>254</v>
      </c>
      <c r="BY2135" s="5" t="s">
        <v>238</v>
      </c>
      <c r="BZ2135" s="5" t="s">
        <v>238</v>
      </c>
      <c r="CD2135" s="5" t="s">
        <v>273</v>
      </c>
      <c r="CE2135" s="5" t="s">
        <v>256</v>
      </c>
      <c r="CF2135" s="5" t="s">
        <v>238</v>
      </c>
      <c r="CI2135" s="6" t="s">
        <v>257</v>
      </c>
      <c r="CJ2135" s="5" t="s">
        <v>238</v>
      </c>
      <c r="CK2135" s="5" t="s">
        <v>258</v>
      </c>
      <c r="CL2135" s="5" t="s">
        <v>238</v>
      </c>
      <c r="CM2135" s="5" t="s">
        <v>238</v>
      </c>
      <c r="CN2135" s="5">
        <v>0</v>
      </c>
      <c r="CO2135" s="5" t="s">
        <v>259</v>
      </c>
      <c r="CP2135" s="5" t="s">
        <v>260</v>
      </c>
      <c r="CQ2135" s="5" t="s">
        <v>260</v>
      </c>
      <c r="CR2135" s="5" t="s">
        <v>261</v>
      </c>
      <c r="CU2135" s="8">
        <f>1</f>
        <v>1</v>
      </c>
      <c r="CV2135" s="8">
        <f>0</f>
        <v>0</v>
      </c>
      <c r="CX2135" s="8">
        <f>0</f>
        <v>0</v>
      </c>
      <c r="CY2135" s="8">
        <f>1</f>
        <v>1</v>
      </c>
      <c r="DA2135" s="5" t="s">
        <v>274</v>
      </c>
      <c r="DB2135" s="5" t="s">
        <v>238</v>
      </c>
      <c r="DD2135" s="5" t="s">
        <v>274</v>
      </c>
      <c r="DE2135" s="8">
        <f>897</f>
        <v>897</v>
      </c>
      <c r="DG2135" s="5" t="s">
        <v>238</v>
      </c>
      <c r="DH2135" s="5" t="s">
        <v>238</v>
      </c>
      <c r="DI2135" s="5" t="s">
        <v>238</v>
      </c>
      <c r="DJ2135" s="5" t="s">
        <v>238</v>
      </c>
      <c r="DN2135" s="5" t="s">
        <v>238</v>
      </c>
      <c r="DO2135" s="5" t="s">
        <v>238</v>
      </c>
      <c r="DP2135" s="5" t="s">
        <v>238</v>
      </c>
      <c r="DQ2135" s="5" t="s">
        <v>238</v>
      </c>
      <c r="DT2135" s="5" t="s">
        <v>275</v>
      </c>
      <c r="DU2135" s="5" t="s">
        <v>612</v>
      </c>
      <c r="HM2135" s="5" t="s">
        <v>264</v>
      </c>
    </row>
    <row r="2136" spans="1:221" x14ac:dyDescent="0.4">
      <c r="A2136" s="5">
        <v>3840</v>
      </c>
      <c r="B2136" s="5">
        <v>1</v>
      </c>
      <c r="C2136" s="5">
        <v>1</v>
      </c>
      <c r="D2136" s="5" t="s">
        <v>269</v>
      </c>
      <c r="E2136" s="5" t="s">
        <v>271</v>
      </c>
      <c r="F2136" s="5" t="s">
        <v>248</v>
      </c>
      <c r="G2136" s="5" t="s">
        <v>266</v>
      </c>
      <c r="H2136" s="6" t="s">
        <v>613</v>
      </c>
      <c r="I2136" s="7">
        <f>77</f>
        <v>77</v>
      </c>
      <c r="J2136" s="5" t="s">
        <v>262</v>
      </c>
      <c r="K2136" s="8">
        <f>1</f>
        <v>1</v>
      </c>
      <c r="L2136" s="6" t="s">
        <v>242</v>
      </c>
      <c r="M2136" s="5" t="s">
        <v>267</v>
      </c>
      <c r="N2136" s="5" t="s">
        <v>265</v>
      </c>
      <c r="O2136" s="5" t="s">
        <v>238</v>
      </c>
      <c r="P2136" s="5" t="s">
        <v>238</v>
      </c>
      <c r="Q2136" s="5" t="s">
        <v>268</v>
      </c>
      <c r="R2136" s="5" t="s">
        <v>270</v>
      </c>
      <c r="S2136" s="5" t="s">
        <v>238</v>
      </c>
      <c r="V2136" s="5" t="s">
        <v>238</v>
      </c>
      <c r="X2136" s="6" t="s">
        <v>238</v>
      </c>
      <c r="AA2136" s="6" t="s">
        <v>243</v>
      </c>
      <c r="AB2136" s="5" t="s">
        <v>238</v>
      </c>
      <c r="AC2136" s="5" t="s">
        <v>244</v>
      </c>
      <c r="AD2136" s="5" t="s">
        <v>245</v>
      </c>
      <c r="AT2136" s="5" t="s">
        <v>246</v>
      </c>
      <c r="AU2136" s="5" t="s">
        <v>238</v>
      </c>
      <c r="AV2136" s="5" t="s">
        <v>247</v>
      </c>
      <c r="AW2136" s="5" t="s">
        <v>238</v>
      </c>
      <c r="AX2136" s="5" t="s">
        <v>249</v>
      </c>
      <c r="AY2136" s="5" t="s">
        <v>238</v>
      </c>
      <c r="BA2136" s="5" t="s">
        <v>238</v>
      </c>
      <c r="BC2136" s="5" t="s">
        <v>250</v>
      </c>
      <c r="BD2136" s="6" t="s">
        <v>243</v>
      </c>
      <c r="BE2136" s="5" t="s">
        <v>251</v>
      </c>
      <c r="BF2136" s="5" t="s">
        <v>252</v>
      </c>
      <c r="BG2136" s="5" t="s">
        <v>238</v>
      </c>
      <c r="BH2136" s="7">
        <f>0</f>
        <v>0</v>
      </c>
      <c r="BI2136" s="8">
        <f>0</f>
        <v>0</v>
      </c>
      <c r="BJ2136" s="5" t="s">
        <v>253</v>
      </c>
      <c r="BK2136" s="5" t="s">
        <v>254</v>
      </c>
      <c r="BY2136" s="5" t="s">
        <v>238</v>
      </c>
      <c r="BZ2136" s="5" t="s">
        <v>238</v>
      </c>
      <c r="CD2136" s="5" t="s">
        <v>273</v>
      </c>
      <c r="CE2136" s="5" t="s">
        <v>256</v>
      </c>
      <c r="CF2136" s="5" t="s">
        <v>238</v>
      </c>
      <c r="CI2136" s="6" t="s">
        <v>257</v>
      </c>
      <c r="CJ2136" s="5" t="s">
        <v>238</v>
      </c>
      <c r="CK2136" s="5" t="s">
        <v>258</v>
      </c>
      <c r="CL2136" s="5" t="s">
        <v>238</v>
      </c>
      <c r="CM2136" s="5" t="s">
        <v>238</v>
      </c>
      <c r="CN2136" s="5">
        <v>0</v>
      </c>
      <c r="CO2136" s="5" t="s">
        <v>259</v>
      </c>
      <c r="CP2136" s="5" t="s">
        <v>260</v>
      </c>
      <c r="CQ2136" s="5" t="s">
        <v>260</v>
      </c>
      <c r="CR2136" s="5" t="s">
        <v>261</v>
      </c>
      <c r="CU2136" s="8">
        <f>1</f>
        <v>1</v>
      </c>
      <c r="CV2136" s="8">
        <f>0</f>
        <v>0</v>
      </c>
      <c r="CX2136" s="8">
        <f>0</f>
        <v>0</v>
      </c>
      <c r="CY2136" s="8">
        <f>1</f>
        <v>1</v>
      </c>
      <c r="DA2136" s="5" t="s">
        <v>274</v>
      </c>
      <c r="DB2136" s="5" t="s">
        <v>238</v>
      </c>
      <c r="DD2136" s="5" t="s">
        <v>274</v>
      </c>
      <c r="DE2136" s="8">
        <f>77</f>
        <v>77</v>
      </c>
      <c r="DG2136" s="5" t="s">
        <v>238</v>
      </c>
      <c r="DH2136" s="5" t="s">
        <v>238</v>
      </c>
      <c r="DI2136" s="5" t="s">
        <v>238</v>
      </c>
      <c r="DJ2136" s="5" t="s">
        <v>238</v>
      </c>
      <c r="DN2136" s="5" t="s">
        <v>238</v>
      </c>
      <c r="DO2136" s="5" t="s">
        <v>238</v>
      </c>
      <c r="DP2136" s="5" t="s">
        <v>238</v>
      </c>
      <c r="DQ2136" s="5" t="s">
        <v>238</v>
      </c>
      <c r="DT2136" s="5" t="s">
        <v>275</v>
      </c>
      <c r="DU2136" s="5" t="s">
        <v>614</v>
      </c>
      <c r="HM2136" s="5" t="s">
        <v>264</v>
      </c>
    </row>
    <row r="2137" spans="1:221" x14ac:dyDescent="0.4">
      <c r="A2137" s="5">
        <v>3841</v>
      </c>
      <c r="B2137" s="5">
        <v>1</v>
      </c>
      <c r="C2137" s="5">
        <v>1</v>
      </c>
      <c r="D2137" s="5" t="s">
        <v>269</v>
      </c>
      <c r="E2137" s="5" t="s">
        <v>271</v>
      </c>
      <c r="F2137" s="5" t="s">
        <v>248</v>
      </c>
      <c r="G2137" s="5" t="s">
        <v>266</v>
      </c>
      <c r="H2137" s="6" t="s">
        <v>617</v>
      </c>
      <c r="I2137" s="7">
        <f>1181</f>
        <v>1181</v>
      </c>
      <c r="J2137" s="5" t="s">
        <v>262</v>
      </c>
      <c r="K2137" s="8">
        <f>1</f>
        <v>1</v>
      </c>
      <c r="L2137" s="6" t="s">
        <v>242</v>
      </c>
      <c r="M2137" s="5" t="s">
        <v>267</v>
      </c>
      <c r="N2137" s="5" t="s">
        <v>265</v>
      </c>
      <c r="O2137" s="5" t="s">
        <v>238</v>
      </c>
      <c r="P2137" s="5" t="s">
        <v>238</v>
      </c>
      <c r="Q2137" s="5" t="s">
        <v>268</v>
      </c>
      <c r="R2137" s="5" t="s">
        <v>270</v>
      </c>
      <c r="S2137" s="5" t="s">
        <v>238</v>
      </c>
      <c r="V2137" s="5" t="s">
        <v>238</v>
      </c>
      <c r="X2137" s="6" t="s">
        <v>238</v>
      </c>
      <c r="AA2137" s="6" t="s">
        <v>243</v>
      </c>
      <c r="AB2137" s="5" t="s">
        <v>238</v>
      </c>
      <c r="AC2137" s="5" t="s">
        <v>244</v>
      </c>
      <c r="AD2137" s="5" t="s">
        <v>245</v>
      </c>
      <c r="AT2137" s="5" t="s">
        <v>246</v>
      </c>
      <c r="AU2137" s="5" t="s">
        <v>238</v>
      </c>
      <c r="AV2137" s="5" t="s">
        <v>247</v>
      </c>
      <c r="AW2137" s="5" t="s">
        <v>238</v>
      </c>
      <c r="AX2137" s="5" t="s">
        <v>249</v>
      </c>
      <c r="AY2137" s="5" t="s">
        <v>238</v>
      </c>
      <c r="BA2137" s="5" t="s">
        <v>238</v>
      </c>
      <c r="BC2137" s="5" t="s">
        <v>250</v>
      </c>
      <c r="BD2137" s="6" t="s">
        <v>243</v>
      </c>
      <c r="BE2137" s="5" t="s">
        <v>251</v>
      </c>
      <c r="BF2137" s="5" t="s">
        <v>252</v>
      </c>
      <c r="BG2137" s="5" t="s">
        <v>238</v>
      </c>
      <c r="BH2137" s="7">
        <f>0</f>
        <v>0</v>
      </c>
      <c r="BI2137" s="8">
        <f>0</f>
        <v>0</v>
      </c>
      <c r="BJ2137" s="5" t="s">
        <v>253</v>
      </c>
      <c r="BK2137" s="5" t="s">
        <v>254</v>
      </c>
      <c r="BY2137" s="5" t="s">
        <v>238</v>
      </c>
      <c r="BZ2137" s="5" t="s">
        <v>238</v>
      </c>
      <c r="CD2137" s="5" t="s">
        <v>273</v>
      </c>
      <c r="CE2137" s="5" t="s">
        <v>256</v>
      </c>
      <c r="CF2137" s="5" t="s">
        <v>238</v>
      </c>
      <c r="CI2137" s="6" t="s">
        <v>257</v>
      </c>
      <c r="CJ2137" s="5" t="s">
        <v>238</v>
      </c>
      <c r="CK2137" s="5" t="s">
        <v>258</v>
      </c>
      <c r="CL2137" s="5" t="s">
        <v>238</v>
      </c>
      <c r="CM2137" s="5" t="s">
        <v>238</v>
      </c>
      <c r="CN2137" s="5">
        <v>0</v>
      </c>
      <c r="CO2137" s="5" t="s">
        <v>259</v>
      </c>
      <c r="CP2137" s="5" t="s">
        <v>260</v>
      </c>
      <c r="CQ2137" s="5" t="s">
        <v>260</v>
      </c>
      <c r="CR2137" s="5" t="s">
        <v>261</v>
      </c>
      <c r="CU2137" s="8">
        <f>1</f>
        <v>1</v>
      </c>
      <c r="CV2137" s="8">
        <f>0</f>
        <v>0</v>
      </c>
      <c r="CX2137" s="8">
        <f>0</f>
        <v>0</v>
      </c>
      <c r="CY2137" s="8">
        <f>1</f>
        <v>1</v>
      </c>
      <c r="DA2137" s="5" t="s">
        <v>274</v>
      </c>
      <c r="DB2137" s="5" t="s">
        <v>238</v>
      </c>
      <c r="DD2137" s="5" t="s">
        <v>274</v>
      </c>
      <c r="DE2137" s="8">
        <f>1181</f>
        <v>1181</v>
      </c>
      <c r="DG2137" s="5" t="s">
        <v>238</v>
      </c>
      <c r="DH2137" s="5" t="s">
        <v>238</v>
      </c>
      <c r="DI2137" s="5" t="s">
        <v>238</v>
      </c>
      <c r="DJ2137" s="5" t="s">
        <v>238</v>
      </c>
      <c r="DN2137" s="5" t="s">
        <v>238</v>
      </c>
      <c r="DO2137" s="5" t="s">
        <v>238</v>
      </c>
      <c r="DP2137" s="5" t="s">
        <v>238</v>
      </c>
      <c r="DQ2137" s="5" t="s">
        <v>238</v>
      </c>
      <c r="DT2137" s="5" t="s">
        <v>275</v>
      </c>
      <c r="DU2137" s="5" t="s">
        <v>618</v>
      </c>
      <c r="HM2137" s="5" t="s">
        <v>264</v>
      </c>
    </row>
    <row r="2138" spans="1:221" x14ac:dyDescent="0.4">
      <c r="A2138" s="5">
        <v>3842</v>
      </c>
      <c r="B2138" s="5">
        <v>1</v>
      </c>
      <c r="C2138" s="5">
        <v>1</v>
      </c>
      <c r="D2138" s="5" t="s">
        <v>269</v>
      </c>
      <c r="E2138" s="5" t="s">
        <v>271</v>
      </c>
      <c r="F2138" s="5" t="s">
        <v>248</v>
      </c>
      <c r="G2138" s="5" t="s">
        <v>266</v>
      </c>
      <c r="H2138" s="6" t="s">
        <v>621</v>
      </c>
      <c r="I2138" s="7">
        <f>188</f>
        <v>188</v>
      </c>
      <c r="J2138" s="5" t="s">
        <v>262</v>
      </c>
      <c r="K2138" s="8">
        <f>1</f>
        <v>1</v>
      </c>
      <c r="L2138" s="6" t="s">
        <v>242</v>
      </c>
      <c r="M2138" s="5" t="s">
        <v>267</v>
      </c>
      <c r="N2138" s="5" t="s">
        <v>265</v>
      </c>
      <c r="O2138" s="5" t="s">
        <v>238</v>
      </c>
      <c r="P2138" s="5" t="s">
        <v>238</v>
      </c>
      <c r="Q2138" s="5" t="s">
        <v>268</v>
      </c>
      <c r="R2138" s="5" t="s">
        <v>270</v>
      </c>
      <c r="S2138" s="5" t="s">
        <v>238</v>
      </c>
      <c r="V2138" s="5" t="s">
        <v>238</v>
      </c>
      <c r="X2138" s="6" t="s">
        <v>238</v>
      </c>
      <c r="AA2138" s="6" t="s">
        <v>243</v>
      </c>
      <c r="AB2138" s="5" t="s">
        <v>238</v>
      </c>
      <c r="AC2138" s="5" t="s">
        <v>244</v>
      </c>
      <c r="AD2138" s="5" t="s">
        <v>245</v>
      </c>
      <c r="AT2138" s="5" t="s">
        <v>246</v>
      </c>
      <c r="AU2138" s="5" t="s">
        <v>238</v>
      </c>
      <c r="AV2138" s="5" t="s">
        <v>247</v>
      </c>
      <c r="AW2138" s="5" t="s">
        <v>238</v>
      </c>
      <c r="AX2138" s="5" t="s">
        <v>249</v>
      </c>
      <c r="AY2138" s="5" t="s">
        <v>238</v>
      </c>
      <c r="BA2138" s="5" t="s">
        <v>238</v>
      </c>
      <c r="BC2138" s="5" t="s">
        <v>250</v>
      </c>
      <c r="BD2138" s="6" t="s">
        <v>243</v>
      </c>
      <c r="BE2138" s="5" t="s">
        <v>251</v>
      </c>
      <c r="BF2138" s="5" t="s">
        <v>252</v>
      </c>
      <c r="BG2138" s="5" t="s">
        <v>238</v>
      </c>
      <c r="BH2138" s="7">
        <f>0</f>
        <v>0</v>
      </c>
      <c r="BI2138" s="8">
        <f>0</f>
        <v>0</v>
      </c>
      <c r="BJ2138" s="5" t="s">
        <v>253</v>
      </c>
      <c r="BK2138" s="5" t="s">
        <v>254</v>
      </c>
      <c r="BY2138" s="5" t="s">
        <v>238</v>
      </c>
      <c r="BZ2138" s="5" t="s">
        <v>238</v>
      </c>
      <c r="CD2138" s="5" t="s">
        <v>273</v>
      </c>
      <c r="CE2138" s="5" t="s">
        <v>256</v>
      </c>
      <c r="CF2138" s="5" t="s">
        <v>238</v>
      </c>
      <c r="CI2138" s="6" t="s">
        <v>257</v>
      </c>
      <c r="CJ2138" s="5" t="s">
        <v>238</v>
      </c>
      <c r="CK2138" s="5" t="s">
        <v>258</v>
      </c>
      <c r="CL2138" s="5" t="s">
        <v>238</v>
      </c>
      <c r="CM2138" s="5" t="s">
        <v>238</v>
      </c>
      <c r="CN2138" s="5">
        <v>0</v>
      </c>
      <c r="CO2138" s="5" t="s">
        <v>259</v>
      </c>
      <c r="CP2138" s="5" t="s">
        <v>260</v>
      </c>
      <c r="CQ2138" s="5" t="s">
        <v>260</v>
      </c>
      <c r="CR2138" s="5" t="s">
        <v>261</v>
      </c>
      <c r="CU2138" s="8">
        <f>1</f>
        <v>1</v>
      </c>
      <c r="CV2138" s="8">
        <f>0</f>
        <v>0</v>
      </c>
      <c r="CX2138" s="8">
        <f>0</f>
        <v>0</v>
      </c>
      <c r="CY2138" s="8">
        <f>1</f>
        <v>1</v>
      </c>
      <c r="DA2138" s="5" t="s">
        <v>274</v>
      </c>
      <c r="DB2138" s="5" t="s">
        <v>238</v>
      </c>
      <c r="DD2138" s="5" t="s">
        <v>274</v>
      </c>
      <c r="DE2138" s="8">
        <f>188</f>
        <v>188</v>
      </c>
      <c r="DG2138" s="5" t="s">
        <v>238</v>
      </c>
      <c r="DH2138" s="5" t="s">
        <v>238</v>
      </c>
      <c r="DI2138" s="5" t="s">
        <v>238</v>
      </c>
      <c r="DJ2138" s="5" t="s">
        <v>238</v>
      </c>
      <c r="DN2138" s="5" t="s">
        <v>238</v>
      </c>
      <c r="DO2138" s="5" t="s">
        <v>238</v>
      </c>
      <c r="DP2138" s="5" t="s">
        <v>238</v>
      </c>
      <c r="DQ2138" s="5" t="s">
        <v>238</v>
      </c>
      <c r="DT2138" s="5" t="s">
        <v>275</v>
      </c>
      <c r="DU2138" s="5" t="s">
        <v>622</v>
      </c>
      <c r="HM2138" s="5" t="s">
        <v>264</v>
      </c>
    </row>
    <row r="2139" spans="1:221" x14ac:dyDescent="0.4">
      <c r="A2139" s="5">
        <v>3843</v>
      </c>
      <c r="B2139" s="5">
        <v>1</v>
      </c>
      <c r="C2139" s="5">
        <v>1</v>
      </c>
      <c r="D2139" s="5" t="s">
        <v>269</v>
      </c>
      <c r="E2139" s="5" t="s">
        <v>271</v>
      </c>
      <c r="F2139" s="5" t="s">
        <v>248</v>
      </c>
      <c r="G2139" s="5" t="s">
        <v>266</v>
      </c>
      <c r="H2139" s="6" t="s">
        <v>623</v>
      </c>
      <c r="I2139" s="7">
        <f>850</f>
        <v>850</v>
      </c>
      <c r="J2139" s="5" t="s">
        <v>262</v>
      </c>
      <c r="K2139" s="8">
        <f>1</f>
        <v>1</v>
      </c>
      <c r="L2139" s="6" t="s">
        <v>242</v>
      </c>
      <c r="M2139" s="5" t="s">
        <v>267</v>
      </c>
      <c r="N2139" s="5" t="s">
        <v>265</v>
      </c>
      <c r="O2139" s="5" t="s">
        <v>238</v>
      </c>
      <c r="P2139" s="5" t="s">
        <v>238</v>
      </c>
      <c r="Q2139" s="5" t="s">
        <v>268</v>
      </c>
      <c r="R2139" s="5" t="s">
        <v>270</v>
      </c>
      <c r="S2139" s="5" t="s">
        <v>238</v>
      </c>
      <c r="V2139" s="5" t="s">
        <v>238</v>
      </c>
      <c r="X2139" s="6" t="s">
        <v>238</v>
      </c>
      <c r="AA2139" s="6" t="s">
        <v>243</v>
      </c>
      <c r="AB2139" s="5" t="s">
        <v>238</v>
      </c>
      <c r="AC2139" s="5" t="s">
        <v>244</v>
      </c>
      <c r="AD2139" s="5" t="s">
        <v>245</v>
      </c>
      <c r="AT2139" s="5" t="s">
        <v>246</v>
      </c>
      <c r="AU2139" s="5" t="s">
        <v>238</v>
      </c>
      <c r="AV2139" s="5" t="s">
        <v>247</v>
      </c>
      <c r="AW2139" s="5" t="s">
        <v>238</v>
      </c>
      <c r="AX2139" s="5" t="s">
        <v>249</v>
      </c>
      <c r="AY2139" s="5" t="s">
        <v>238</v>
      </c>
      <c r="BA2139" s="5" t="s">
        <v>238</v>
      </c>
      <c r="BC2139" s="5" t="s">
        <v>250</v>
      </c>
      <c r="BD2139" s="6" t="s">
        <v>243</v>
      </c>
      <c r="BE2139" s="5" t="s">
        <v>251</v>
      </c>
      <c r="BF2139" s="5" t="s">
        <v>252</v>
      </c>
      <c r="BG2139" s="5" t="s">
        <v>238</v>
      </c>
      <c r="BH2139" s="7">
        <f>0</f>
        <v>0</v>
      </c>
      <c r="BI2139" s="8">
        <f>0</f>
        <v>0</v>
      </c>
      <c r="BJ2139" s="5" t="s">
        <v>253</v>
      </c>
      <c r="BK2139" s="5" t="s">
        <v>254</v>
      </c>
      <c r="BY2139" s="5" t="s">
        <v>238</v>
      </c>
      <c r="BZ2139" s="5" t="s">
        <v>238</v>
      </c>
      <c r="CD2139" s="5" t="s">
        <v>273</v>
      </c>
      <c r="CE2139" s="5" t="s">
        <v>256</v>
      </c>
      <c r="CF2139" s="5" t="s">
        <v>238</v>
      </c>
      <c r="CI2139" s="6" t="s">
        <v>257</v>
      </c>
      <c r="CJ2139" s="5" t="s">
        <v>238</v>
      </c>
      <c r="CK2139" s="5" t="s">
        <v>258</v>
      </c>
      <c r="CL2139" s="5" t="s">
        <v>238</v>
      </c>
      <c r="CM2139" s="5" t="s">
        <v>238</v>
      </c>
      <c r="CN2139" s="5">
        <v>0</v>
      </c>
      <c r="CO2139" s="5" t="s">
        <v>259</v>
      </c>
      <c r="CP2139" s="5" t="s">
        <v>260</v>
      </c>
      <c r="CQ2139" s="5" t="s">
        <v>260</v>
      </c>
      <c r="CR2139" s="5" t="s">
        <v>261</v>
      </c>
      <c r="CU2139" s="8">
        <f>1</f>
        <v>1</v>
      </c>
      <c r="CV2139" s="8">
        <f>0</f>
        <v>0</v>
      </c>
      <c r="CX2139" s="8">
        <f>0</f>
        <v>0</v>
      </c>
      <c r="CY2139" s="8">
        <f>1</f>
        <v>1</v>
      </c>
      <c r="DA2139" s="5" t="s">
        <v>274</v>
      </c>
      <c r="DB2139" s="5" t="s">
        <v>238</v>
      </c>
      <c r="DD2139" s="5" t="s">
        <v>274</v>
      </c>
      <c r="DE2139" s="8">
        <f>850</f>
        <v>850</v>
      </c>
      <c r="DG2139" s="5" t="s">
        <v>238</v>
      </c>
      <c r="DH2139" s="5" t="s">
        <v>238</v>
      </c>
      <c r="DI2139" s="5" t="s">
        <v>238</v>
      </c>
      <c r="DJ2139" s="5" t="s">
        <v>238</v>
      </c>
      <c r="DN2139" s="5" t="s">
        <v>238</v>
      </c>
      <c r="DO2139" s="5" t="s">
        <v>238</v>
      </c>
      <c r="DP2139" s="5" t="s">
        <v>238</v>
      </c>
      <c r="DQ2139" s="5" t="s">
        <v>238</v>
      </c>
      <c r="DT2139" s="5" t="s">
        <v>275</v>
      </c>
      <c r="DU2139" s="5" t="s">
        <v>624</v>
      </c>
      <c r="HM2139" s="5" t="s">
        <v>264</v>
      </c>
    </row>
    <row r="2140" spans="1:221" x14ac:dyDescent="0.4">
      <c r="A2140" s="5">
        <v>3844</v>
      </c>
      <c r="B2140" s="5">
        <v>1</v>
      </c>
      <c r="C2140" s="5">
        <v>1</v>
      </c>
      <c r="D2140" s="5" t="s">
        <v>269</v>
      </c>
      <c r="E2140" s="5" t="s">
        <v>271</v>
      </c>
      <c r="F2140" s="5" t="s">
        <v>248</v>
      </c>
      <c r="G2140" s="5" t="s">
        <v>266</v>
      </c>
      <c r="H2140" s="6" t="s">
        <v>629</v>
      </c>
      <c r="I2140" s="7">
        <f>155</f>
        <v>155</v>
      </c>
      <c r="J2140" s="5" t="s">
        <v>262</v>
      </c>
      <c r="K2140" s="8">
        <f>1</f>
        <v>1</v>
      </c>
      <c r="L2140" s="6" t="s">
        <v>242</v>
      </c>
      <c r="M2140" s="5" t="s">
        <v>267</v>
      </c>
      <c r="N2140" s="5" t="s">
        <v>265</v>
      </c>
      <c r="O2140" s="5" t="s">
        <v>238</v>
      </c>
      <c r="P2140" s="5" t="s">
        <v>238</v>
      </c>
      <c r="Q2140" s="5" t="s">
        <v>268</v>
      </c>
      <c r="R2140" s="5" t="s">
        <v>270</v>
      </c>
      <c r="S2140" s="5" t="s">
        <v>238</v>
      </c>
      <c r="V2140" s="5" t="s">
        <v>238</v>
      </c>
      <c r="X2140" s="6" t="s">
        <v>238</v>
      </c>
      <c r="AA2140" s="6" t="s">
        <v>243</v>
      </c>
      <c r="AB2140" s="5" t="s">
        <v>238</v>
      </c>
      <c r="AC2140" s="5" t="s">
        <v>244</v>
      </c>
      <c r="AD2140" s="5" t="s">
        <v>245</v>
      </c>
      <c r="AT2140" s="5" t="s">
        <v>246</v>
      </c>
      <c r="AU2140" s="5" t="s">
        <v>238</v>
      </c>
      <c r="AV2140" s="5" t="s">
        <v>247</v>
      </c>
      <c r="AW2140" s="5" t="s">
        <v>238</v>
      </c>
      <c r="AX2140" s="5" t="s">
        <v>249</v>
      </c>
      <c r="AY2140" s="5" t="s">
        <v>238</v>
      </c>
      <c r="BA2140" s="5" t="s">
        <v>238</v>
      </c>
      <c r="BC2140" s="5" t="s">
        <v>250</v>
      </c>
      <c r="BD2140" s="6" t="s">
        <v>243</v>
      </c>
      <c r="BE2140" s="5" t="s">
        <v>251</v>
      </c>
      <c r="BF2140" s="5" t="s">
        <v>252</v>
      </c>
      <c r="BG2140" s="5" t="s">
        <v>238</v>
      </c>
      <c r="BH2140" s="7">
        <f>0</f>
        <v>0</v>
      </c>
      <c r="BI2140" s="8">
        <f>0</f>
        <v>0</v>
      </c>
      <c r="BJ2140" s="5" t="s">
        <v>253</v>
      </c>
      <c r="BK2140" s="5" t="s">
        <v>254</v>
      </c>
      <c r="BY2140" s="5" t="s">
        <v>238</v>
      </c>
      <c r="BZ2140" s="5" t="s">
        <v>238</v>
      </c>
      <c r="CD2140" s="5" t="s">
        <v>273</v>
      </c>
      <c r="CE2140" s="5" t="s">
        <v>256</v>
      </c>
      <c r="CF2140" s="5" t="s">
        <v>238</v>
      </c>
      <c r="CI2140" s="6" t="s">
        <v>257</v>
      </c>
      <c r="CJ2140" s="5" t="s">
        <v>238</v>
      </c>
      <c r="CK2140" s="5" t="s">
        <v>258</v>
      </c>
      <c r="CL2140" s="5" t="s">
        <v>238</v>
      </c>
      <c r="CM2140" s="5" t="s">
        <v>238</v>
      </c>
      <c r="CN2140" s="5">
        <v>0</v>
      </c>
      <c r="CO2140" s="5" t="s">
        <v>259</v>
      </c>
      <c r="CP2140" s="5" t="s">
        <v>260</v>
      </c>
      <c r="CQ2140" s="5" t="s">
        <v>260</v>
      </c>
      <c r="CR2140" s="5" t="s">
        <v>261</v>
      </c>
      <c r="CU2140" s="8">
        <f>1</f>
        <v>1</v>
      </c>
      <c r="CV2140" s="8">
        <f>0</f>
        <v>0</v>
      </c>
      <c r="CX2140" s="8">
        <f>0</f>
        <v>0</v>
      </c>
      <c r="CY2140" s="8">
        <f>1</f>
        <v>1</v>
      </c>
      <c r="DA2140" s="5" t="s">
        <v>274</v>
      </c>
      <c r="DB2140" s="5" t="s">
        <v>238</v>
      </c>
      <c r="DD2140" s="5" t="s">
        <v>274</v>
      </c>
      <c r="DE2140" s="8">
        <f>155</f>
        <v>155</v>
      </c>
      <c r="DG2140" s="5" t="s">
        <v>238</v>
      </c>
      <c r="DH2140" s="5" t="s">
        <v>238</v>
      </c>
      <c r="DI2140" s="5" t="s">
        <v>238</v>
      </c>
      <c r="DJ2140" s="5" t="s">
        <v>238</v>
      </c>
      <c r="DN2140" s="5" t="s">
        <v>238</v>
      </c>
      <c r="DO2140" s="5" t="s">
        <v>238</v>
      </c>
      <c r="DP2140" s="5" t="s">
        <v>238</v>
      </c>
      <c r="DQ2140" s="5" t="s">
        <v>238</v>
      </c>
      <c r="DT2140" s="5" t="s">
        <v>275</v>
      </c>
      <c r="DU2140" s="5" t="s">
        <v>630</v>
      </c>
      <c r="HM2140" s="5" t="s">
        <v>264</v>
      </c>
    </row>
    <row r="2141" spans="1:221" x14ac:dyDescent="0.4">
      <c r="A2141" s="5">
        <v>3845</v>
      </c>
      <c r="B2141" s="5">
        <v>1</v>
      </c>
      <c r="C2141" s="5">
        <v>1</v>
      </c>
      <c r="D2141" s="5" t="s">
        <v>269</v>
      </c>
      <c r="E2141" s="5" t="s">
        <v>271</v>
      </c>
      <c r="F2141" s="5" t="s">
        <v>248</v>
      </c>
      <c r="G2141" s="5" t="s">
        <v>266</v>
      </c>
      <c r="H2141" s="6" t="s">
        <v>631</v>
      </c>
      <c r="I2141" s="7">
        <f>534</f>
        <v>534</v>
      </c>
      <c r="J2141" s="5" t="s">
        <v>262</v>
      </c>
      <c r="K2141" s="8">
        <f>1</f>
        <v>1</v>
      </c>
      <c r="L2141" s="6" t="s">
        <v>242</v>
      </c>
      <c r="M2141" s="5" t="s">
        <v>267</v>
      </c>
      <c r="N2141" s="5" t="s">
        <v>265</v>
      </c>
      <c r="O2141" s="5" t="s">
        <v>238</v>
      </c>
      <c r="P2141" s="5" t="s">
        <v>238</v>
      </c>
      <c r="Q2141" s="5" t="s">
        <v>268</v>
      </c>
      <c r="R2141" s="5" t="s">
        <v>270</v>
      </c>
      <c r="S2141" s="5" t="s">
        <v>238</v>
      </c>
      <c r="V2141" s="5" t="s">
        <v>238</v>
      </c>
      <c r="X2141" s="6" t="s">
        <v>238</v>
      </c>
      <c r="AA2141" s="6" t="s">
        <v>243</v>
      </c>
      <c r="AB2141" s="5" t="s">
        <v>238</v>
      </c>
      <c r="AC2141" s="5" t="s">
        <v>244</v>
      </c>
      <c r="AD2141" s="5" t="s">
        <v>245</v>
      </c>
      <c r="AT2141" s="5" t="s">
        <v>246</v>
      </c>
      <c r="AU2141" s="5" t="s">
        <v>238</v>
      </c>
      <c r="AV2141" s="5" t="s">
        <v>247</v>
      </c>
      <c r="AW2141" s="5" t="s">
        <v>238</v>
      </c>
      <c r="AX2141" s="5" t="s">
        <v>249</v>
      </c>
      <c r="AY2141" s="5" t="s">
        <v>238</v>
      </c>
      <c r="BA2141" s="5" t="s">
        <v>238</v>
      </c>
      <c r="BC2141" s="5" t="s">
        <v>250</v>
      </c>
      <c r="BD2141" s="6" t="s">
        <v>243</v>
      </c>
      <c r="BE2141" s="5" t="s">
        <v>251</v>
      </c>
      <c r="BF2141" s="5" t="s">
        <v>252</v>
      </c>
      <c r="BG2141" s="5" t="s">
        <v>238</v>
      </c>
      <c r="BH2141" s="7">
        <f>0</f>
        <v>0</v>
      </c>
      <c r="BI2141" s="8">
        <f>0</f>
        <v>0</v>
      </c>
      <c r="BJ2141" s="5" t="s">
        <v>253</v>
      </c>
      <c r="BK2141" s="5" t="s">
        <v>254</v>
      </c>
      <c r="BY2141" s="5" t="s">
        <v>238</v>
      </c>
      <c r="BZ2141" s="5" t="s">
        <v>238</v>
      </c>
      <c r="CD2141" s="5" t="s">
        <v>273</v>
      </c>
      <c r="CE2141" s="5" t="s">
        <v>256</v>
      </c>
      <c r="CF2141" s="5" t="s">
        <v>238</v>
      </c>
      <c r="CI2141" s="6" t="s">
        <v>257</v>
      </c>
      <c r="CJ2141" s="5" t="s">
        <v>238</v>
      </c>
      <c r="CK2141" s="5" t="s">
        <v>258</v>
      </c>
      <c r="CL2141" s="5" t="s">
        <v>238</v>
      </c>
      <c r="CM2141" s="5" t="s">
        <v>238</v>
      </c>
      <c r="CN2141" s="5">
        <v>0</v>
      </c>
      <c r="CO2141" s="5" t="s">
        <v>259</v>
      </c>
      <c r="CP2141" s="5" t="s">
        <v>260</v>
      </c>
      <c r="CQ2141" s="5" t="s">
        <v>260</v>
      </c>
      <c r="CR2141" s="5" t="s">
        <v>261</v>
      </c>
      <c r="CU2141" s="8">
        <f>1</f>
        <v>1</v>
      </c>
      <c r="CV2141" s="8">
        <f>0</f>
        <v>0</v>
      </c>
      <c r="CX2141" s="8">
        <f>0</f>
        <v>0</v>
      </c>
      <c r="CY2141" s="8">
        <f>1</f>
        <v>1</v>
      </c>
      <c r="DA2141" s="5" t="s">
        <v>274</v>
      </c>
      <c r="DB2141" s="5" t="s">
        <v>238</v>
      </c>
      <c r="DD2141" s="5" t="s">
        <v>274</v>
      </c>
      <c r="DE2141" s="8">
        <f>534</f>
        <v>534</v>
      </c>
      <c r="DG2141" s="5" t="s">
        <v>238</v>
      </c>
      <c r="DH2141" s="5" t="s">
        <v>238</v>
      </c>
      <c r="DI2141" s="5" t="s">
        <v>238</v>
      </c>
      <c r="DJ2141" s="5" t="s">
        <v>238</v>
      </c>
      <c r="DN2141" s="5" t="s">
        <v>238</v>
      </c>
      <c r="DO2141" s="5" t="s">
        <v>238</v>
      </c>
      <c r="DP2141" s="5" t="s">
        <v>238</v>
      </c>
      <c r="DQ2141" s="5" t="s">
        <v>238</v>
      </c>
      <c r="DT2141" s="5" t="s">
        <v>275</v>
      </c>
      <c r="DU2141" s="5" t="s">
        <v>632</v>
      </c>
      <c r="HM2141" s="5" t="s">
        <v>264</v>
      </c>
    </row>
    <row r="2142" spans="1:221" x14ac:dyDescent="0.4">
      <c r="A2142" s="5">
        <v>3846</v>
      </c>
      <c r="B2142" s="5">
        <v>1</v>
      </c>
      <c r="C2142" s="5">
        <v>1</v>
      </c>
      <c r="D2142" s="5" t="s">
        <v>269</v>
      </c>
      <c r="E2142" s="5" t="s">
        <v>271</v>
      </c>
      <c r="F2142" s="5" t="s">
        <v>248</v>
      </c>
      <c r="G2142" s="5" t="s">
        <v>266</v>
      </c>
      <c r="H2142" s="6" t="s">
        <v>635</v>
      </c>
      <c r="I2142" s="7">
        <f>123</f>
        <v>123</v>
      </c>
      <c r="J2142" s="5" t="s">
        <v>262</v>
      </c>
      <c r="K2142" s="8">
        <f>1</f>
        <v>1</v>
      </c>
      <c r="L2142" s="6" t="s">
        <v>242</v>
      </c>
      <c r="M2142" s="5" t="s">
        <v>267</v>
      </c>
      <c r="N2142" s="5" t="s">
        <v>265</v>
      </c>
      <c r="O2142" s="5" t="s">
        <v>238</v>
      </c>
      <c r="P2142" s="5" t="s">
        <v>238</v>
      </c>
      <c r="Q2142" s="5" t="s">
        <v>268</v>
      </c>
      <c r="R2142" s="5" t="s">
        <v>270</v>
      </c>
      <c r="S2142" s="5" t="s">
        <v>238</v>
      </c>
      <c r="V2142" s="5" t="s">
        <v>238</v>
      </c>
      <c r="X2142" s="6" t="s">
        <v>238</v>
      </c>
      <c r="AA2142" s="6" t="s">
        <v>243</v>
      </c>
      <c r="AB2142" s="5" t="s">
        <v>238</v>
      </c>
      <c r="AC2142" s="5" t="s">
        <v>244</v>
      </c>
      <c r="AD2142" s="5" t="s">
        <v>245</v>
      </c>
      <c r="AT2142" s="5" t="s">
        <v>246</v>
      </c>
      <c r="AU2142" s="5" t="s">
        <v>238</v>
      </c>
      <c r="AV2142" s="5" t="s">
        <v>247</v>
      </c>
      <c r="AW2142" s="5" t="s">
        <v>238</v>
      </c>
      <c r="AX2142" s="5" t="s">
        <v>249</v>
      </c>
      <c r="AY2142" s="5" t="s">
        <v>238</v>
      </c>
      <c r="BA2142" s="5" t="s">
        <v>238</v>
      </c>
      <c r="BC2142" s="5" t="s">
        <v>250</v>
      </c>
      <c r="BD2142" s="6" t="s">
        <v>243</v>
      </c>
      <c r="BE2142" s="5" t="s">
        <v>251</v>
      </c>
      <c r="BF2142" s="5" t="s">
        <v>252</v>
      </c>
      <c r="BG2142" s="5" t="s">
        <v>238</v>
      </c>
      <c r="BH2142" s="7">
        <f>0</f>
        <v>0</v>
      </c>
      <c r="BI2142" s="8">
        <f>0</f>
        <v>0</v>
      </c>
      <c r="BJ2142" s="5" t="s">
        <v>253</v>
      </c>
      <c r="BK2142" s="5" t="s">
        <v>254</v>
      </c>
      <c r="BY2142" s="5" t="s">
        <v>238</v>
      </c>
      <c r="BZ2142" s="5" t="s">
        <v>238</v>
      </c>
      <c r="CD2142" s="5" t="s">
        <v>273</v>
      </c>
      <c r="CE2142" s="5" t="s">
        <v>256</v>
      </c>
      <c r="CF2142" s="5" t="s">
        <v>238</v>
      </c>
      <c r="CI2142" s="6" t="s">
        <v>257</v>
      </c>
      <c r="CJ2142" s="5" t="s">
        <v>238</v>
      </c>
      <c r="CK2142" s="5" t="s">
        <v>258</v>
      </c>
      <c r="CL2142" s="5" t="s">
        <v>238</v>
      </c>
      <c r="CM2142" s="5" t="s">
        <v>238</v>
      </c>
      <c r="CN2142" s="5">
        <v>0</v>
      </c>
      <c r="CO2142" s="5" t="s">
        <v>259</v>
      </c>
      <c r="CP2142" s="5" t="s">
        <v>260</v>
      </c>
      <c r="CQ2142" s="5" t="s">
        <v>260</v>
      </c>
      <c r="CR2142" s="5" t="s">
        <v>261</v>
      </c>
      <c r="CU2142" s="8">
        <f>1</f>
        <v>1</v>
      </c>
      <c r="CV2142" s="8">
        <f>0</f>
        <v>0</v>
      </c>
      <c r="CX2142" s="8">
        <f>0</f>
        <v>0</v>
      </c>
      <c r="CY2142" s="8">
        <f>1</f>
        <v>1</v>
      </c>
      <c r="DA2142" s="5" t="s">
        <v>274</v>
      </c>
      <c r="DB2142" s="5" t="s">
        <v>238</v>
      </c>
      <c r="DD2142" s="5" t="s">
        <v>274</v>
      </c>
      <c r="DE2142" s="8">
        <f>123</f>
        <v>123</v>
      </c>
      <c r="DG2142" s="5" t="s">
        <v>238</v>
      </c>
      <c r="DH2142" s="5" t="s">
        <v>238</v>
      </c>
      <c r="DI2142" s="5" t="s">
        <v>238</v>
      </c>
      <c r="DJ2142" s="5" t="s">
        <v>238</v>
      </c>
      <c r="DN2142" s="5" t="s">
        <v>238</v>
      </c>
      <c r="DO2142" s="5" t="s">
        <v>238</v>
      </c>
      <c r="DP2142" s="5" t="s">
        <v>238</v>
      </c>
      <c r="DQ2142" s="5" t="s">
        <v>238</v>
      </c>
      <c r="DT2142" s="5" t="s">
        <v>275</v>
      </c>
      <c r="DU2142" s="5" t="s">
        <v>636</v>
      </c>
      <c r="HM2142" s="5" t="s">
        <v>264</v>
      </c>
    </row>
    <row r="2143" spans="1:221" x14ac:dyDescent="0.4">
      <c r="A2143" s="5">
        <v>3847</v>
      </c>
      <c r="B2143" s="5">
        <v>1</v>
      </c>
      <c r="C2143" s="5">
        <v>1</v>
      </c>
      <c r="D2143" s="5" t="s">
        <v>269</v>
      </c>
      <c r="E2143" s="5" t="s">
        <v>271</v>
      </c>
      <c r="F2143" s="5" t="s">
        <v>248</v>
      </c>
      <c r="G2143" s="5" t="s">
        <v>266</v>
      </c>
      <c r="H2143" s="6" t="s">
        <v>637</v>
      </c>
      <c r="I2143" s="7">
        <f>424</f>
        <v>424</v>
      </c>
      <c r="J2143" s="5" t="s">
        <v>262</v>
      </c>
      <c r="K2143" s="8">
        <f>1</f>
        <v>1</v>
      </c>
      <c r="L2143" s="6" t="s">
        <v>242</v>
      </c>
      <c r="M2143" s="5" t="s">
        <v>267</v>
      </c>
      <c r="N2143" s="5" t="s">
        <v>265</v>
      </c>
      <c r="O2143" s="5" t="s">
        <v>238</v>
      </c>
      <c r="P2143" s="5" t="s">
        <v>238</v>
      </c>
      <c r="Q2143" s="5" t="s">
        <v>268</v>
      </c>
      <c r="R2143" s="5" t="s">
        <v>270</v>
      </c>
      <c r="S2143" s="5" t="s">
        <v>238</v>
      </c>
      <c r="V2143" s="5" t="s">
        <v>238</v>
      </c>
      <c r="X2143" s="6" t="s">
        <v>238</v>
      </c>
      <c r="AA2143" s="6" t="s">
        <v>243</v>
      </c>
      <c r="AB2143" s="5" t="s">
        <v>238</v>
      </c>
      <c r="AC2143" s="5" t="s">
        <v>244</v>
      </c>
      <c r="AD2143" s="5" t="s">
        <v>245</v>
      </c>
      <c r="AT2143" s="5" t="s">
        <v>246</v>
      </c>
      <c r="AU2143" s="5" t="s">
        <v>238</v>
      </c>
      <c r="AV2143" s="5" t="s">
        <v>247</v>
      </c>
      <c r="AW2143" s="5" t="s">
        <v>238</v>
      </c>
      <c r="AX2143" s="5" t="s">
        <v>249</v>
      </c>
      <c r="AY2143" s="5" t="s">
        <v>238</v>
      </c>
      <c r="BA2143" s="5" t="s">
        <v>238</v>
      </c>
      <c r="BC2143" s="5" t="s">
        <v>250</v>
      </c>
      <c r="BD2143" s="6" t="s">
        <v>243</v>
      </c>
      <c r="BE2143" s="5" t="s">
        <v>251</v>
      </c>
      <c r="BF2143" s="5" t="s">
        <v>252</v>
      </c>
      <c r="BG2143" s="5" t="s">
        <v>238</v>
      </c>
      <c r="BH2143" s="7">
        <f>0</f>
        <v>0</v>
      </c>
      <c r="BI2143" s="8">
        <f>0</f>
        <v>0</v>
      </c>
      <c r="BJ2143" s="5" t="s">
        <v>253</v>
      </c>
      <c r="BK2143" s="5" t="s">
        <v>254</v>
      </c>
      <c r="BY2143" s="5" t="s">
        <v>238</v>
      </c>
      <c r="BZ2143" s="5" t="s">
        <v>238</v>
      </c>
      <c r="CD2143" s="5" t="s">
        <v>273</v>
      </c>
      <c r="CE2143" s="5" t="s">
        <v>256</v>
      </c>
      <c r="CF2143" s="5" t="s">
        <v>238</v>
      </c>
      <c r="CI2143" s="6" t="s">
        <v>257</v>
      </c>
      <c r="CJ2143" s="5" t="s">
        <v>238</v>
      </c>
      <c r="CK2143" s="5" t="s">
        <v>258</v>
      </c>
      <c r="CL2143" s="5" t="s">
        <v>238</v>
      </c>
      <c r="CM2143" s="5" t="s">
        <v>238</v>
      </c>
      <c r="CN2143" s="5">
        <v>0</v>
      </c>
      <c r="CO2143" s="5" t="s">
        <v>259</v>
      </c>
      <c r="CP2143" s="5" t="s">
        <v>260</v>
      </c>
      <c r="CQ2143" s="5" t="s">
        <v>260</v>
      </c>
      <c r="CR2143" s="5" t="s">
        <v>261</v>
      </c>
      <c r="CU2143" s="8">
        <f>1</f>
        <v>1</v>
      </c>
      <c r="CV2143" s="8">
        <f>0</f>
        <v>0</v>
      </c>
      <c r="CX2143" s="8">
        <f>0</f>
        <v>0</v>
      </c>
      <c r="CY2143" s="8">
        <f>1</f>
        <v>1</v>
      </c>
      <c r="DA2143" s="5" t="s">
        <v>274</v>
      </c>
      <c r="DB2143" s="5" t="s">
        <v>238</v>
      </c>
      <c r="DD2143" s="5" t="s">
        <v>274</v>
      </c>
      <c r="DE2143" s="8">
        <f>424</f>
        <v>424</v>
      </c>
      <c r="DG2143" s="5" t="s">
        <v>238</v>
      </c>
      <c r="DH2143" s="5" t="s">
        <v>238</v>
      </c>
      <c r="DI2143" s="5" t="s">
        <v>238</v>
      </c>
      <c r="DJ2143" s="5" t="s">
        <v>238</v>
      </c>
      <c r="DN2143" s="5" t="s">
        <v>238</v>
      </c>
      <c r="DO2143" s="5" t="s">
        <v>238</v>
      </c>
      <c r="DP2143" s="5" t="s">
        <v>238</v>
      </c>
      <c r="DQ2143" s="5" t="s">
        <v>238</v>
      </c>
      <c r="DT2143" s="5" t="s">
        <v>275</v>
      </c>
      <c r="DU2143" s="5" t="s">
        <v>638</v>
      </c>
      <c r="HM2143" s="5" t="s">
        <v>264</v>
      </c>
    </row>
    <row r="2144" spans="1:221" x14ac:dyDescent="0.4">
      <c r="A2144" s="5">
        <v>3848</v>
      </c>
      <c r="B2144" s="5">
        <v>1</v>
      </c>
      <c r="C2144" s="5">
        <v>1</v>
      </c>
      <c r="D2144" s="5" t="s">
        <v>269</v>
      </c>
      <c r="E2144" s="5" t="s">
        <v>271</v>
      </c>
      <c r="F2144" s="5" t="s">
        <v>248</v>
      </c>
      <c r="G2144" s="5" t="s">
        <v>266</v>
      </c>
      <c r="H2144" s="6" t="s">
        <v>643</v>
      </c>
      <c r="I2144" s="7">
        <f>434</f>
        <v>434</v>
      </c>
      <c r="J2144" s="5" t="s">
        <v>262</v>
      </c>
      <c r="K2144" s="8">
        <f>1</f>
        <v>1</v>
      </c>
      <c r="L2144" s="6" t="s">
        <v>242</v>
      </c>
      <c r="M2144" s="5" t="s">
        <v>267</v>
      </c>
      <c r="N2144" s="5" t="s">
        <v>265</v>
      </c>
      <c r="O2144" s="5" t="s">
        <v>238</v>
      </c>
      <c r="P2144" s="5" t="s">
        <v>238</v>
      </c>
      <c r="Q2144" s="5" t="s">
        <v>268</v>
      </c>
      <c r="R2144" s="5" t="s">
        <v>270</v>
      </c>
      <c r="S2144" s="5" t="s">
        <v>238</v>
      </c>
      <c r="V2144" s="5" t="s">
        <v>238</v>
      </c>
      <c r="X2144" s="6" t="s">
        <v>238</v>
      </c>
      <c r="AA2144" s="6" t="s">
        <v>243</v>
      </c>
      <c r="AB2144" s="5" t="s">
        <v>238</v>
      </c>
      <c r="AC2144" s="5" t="s">
        <v>244</v>
      </c>
      <c r="AD2144" s="5" t="s">
        <v>245</v>
      </c>
      <c r="AT2144" s="5" t="s">
        <v>246</v>
      </c>
      <c r="AU2144" s="5" t="s">
        <v>238</v>
      </c>
      <c r="AV2144" s="5" t="s">
        <v>247</v>
      </c>
      <c r="AW2144" s="5" t="s">
        <v>238</v>
      </c>
      <c r="AX2144" s="5" t="s">
        <v>249</v>
      </c>
      <c r="AY2144" s="5" t="s">
        <v>238</v>
      </c>
      <c r="BA2144" s="5" t="s">
        <v>238</v>
      </c>
      <c r="BC2144" s="5" t="s">
        <v>250</v>
      </c>
      <c r="BD2144" s="6" t="s">
        <v>243</v>
      </c>
      <c r="BE2144" s="5" t="s">
        <v>251</v>
      </c>
      <c r="BF2144" s="5" t="s">
        <v>252</v>
      </c>
      <c r="BG2144" s="5" t="s">
        <v>238</v>
      </c>
      <c r="BH2144" s="7">
        <f>0</f>
        <v>0</v>
      </c>
      <c r="BI2144" s="8">
        <f>0</f>
        <v>0</v>
      </c>
      <c r="BJ2144" s="5" t="s">
        <v>253</v>
      </c>
      <c r="BK2144" s="5" t="s">
        <v>254</v>
      </c>
      <c r="BY2144" s="5" t="s">
        <v>238</v>
      </c>
      <c r="BZ2144" s="5" t="s">
        <v>238</v>
      </c>
      <c r="CD2144" s="5" t="s">
        <v>273</v>
      </c>
      <c r="CE2144" s="5" t="s">
        <v>256</v>
      </c>
      <c r="CF2144" s="5" t="s">
        <v>238</v>
      </c>
      <c r="CI2144" s="6" t="s">
        <v>257</v>
      </c>
      <c r="CJ2144" s="5" t="s">
        <v>238</v>
      </c>
      <c r="CK2144" s="5" t="s">
        <v>258</v>
      </c>
      <c r="CL2144" s="5" t="s">
        <v>238</v>
      </c>
      <c r="CM2144" s="5" t="s">
        <v>238</v>
      </c>
      <c r="CN2144" s="5">
        <v>0</v>
      </c>
      <c r="CO2144" s="5" t="s">
        <v>259</v>
      </c>
      <c r="CP2144" s="5" t="s">
        <v>260</v>
      </c>
      <c r="CQ2144" s="5" t="s">
        <v>260</v>
      </c>
      <c r="CR2144" s="5" t="s">
        <v>261</v>
      </c>
      <c r="CU2144" s="8">
        <f>1</f>
        <v>1</v>
      </c>
      <c r="CV2144" s="8">
        <f>0</f>
        <v>0</v>
      </c>
      <c r="CX2144" s="8">
        <f>0</f>
        <v>0</v>
      </c>
      <c r="CY2144" s="8">
        <f>1</f>
        <v>1</v>
      </c>
      <c r="DA2144" s="5" t="s">
        <v>274</v>
      </c>
      <c r="DB2144" s="5" t="s">
        <v>238</v>
      </c>
      <c r="DD2144" s="5" t="s">
        <v>274</v>
      </c>
      <c r="DE2144" s="8">
        <f>434</f>
        <v>434</v>
      </c>
      <c r="DG2144" s="5" t="s">
        <v>238</v>
      </c>
      <c r="DH2144" s="5" t="s">
        <v>238</v>
      </c>
      <c r="DI2144" s="5" t="s">
        <v>238</v>
      </c>
      <c r="DJ2144" s="5" t="s">
        <v>238</v>
      </c>
      <c r="DN2144" s="5" t="s">
        <v>238</v>
      </c>
      <c r="DO2144" s="5" t="s">
        <v>238</v>
      </c>
      <c r="DP2144" s="5" t="s">
        <v>238</v>
      </c>
      <c r="DQ2144" s="5" t="s">
        <v>238</v>
      </c>
      <c r="DT2144" s="5" t="s">
        <v>275</v>
      </c>
      <c r="DU2144" s="5" t="s">
        <v>644</v>
      </c>
      <c r="HM2144" s="5" t="s">
        <v>264</v>
      </c>
    </row>
    <row r="2145" spans="1:221" x14ac:dyDescent="0.4">
      <c r="A2145" s="5">
        <v>3849</v>
      </c>
      <c r="B2145" s="5">
        <v>1</v>
      </c>
      <c r="C2145" s="5">
        <v>1</v>
      </c>
      <c r="D2145" s="5" t="s">
        <v>269</v>
      </c>
      <c r="E2145" s="5" t="s">
        <v>271</v>
      </c>
      <c r="F2145" s="5" t="s">
        <v>248</v>
      </c>
      <c r="G2145" s="5" t="s">
        <v>266</v>
      </c>
      <c r="H2145" s="6" t="s">
        <v>647</v>
      </c>
      <c r="I2145" s="7">
        <f>357</f>
        <v>357</v>
      </c>
      <c r="J2145" s="5" t="s">
        <v>262</v>
      </c>
      <c r="K2145" s="8">
        <f>1</f>
        <v>1</v>
      </c>
      <c r="L2145" s="6" t="s">
        <v>242</v>
      </c>
      <c r="M2145" s="5" t="s">
        <v>267</v>
      </c>
      <c r="N2145" s="5" t="s">
        <v>265</v>
      </c>
      <c r="O2145" s="5" t="s">
        <v>238</v>
      </c>
      <c r="P2145" s="5" t="s">
        <v>238</v>
      </c>
      <c r="Q2145" s="5" t="s">
        <v>268</v>
      </c>
      <c r="R2145" s="5" t="s">
        <v>270</v>
      </c>
      <c r="S2145" s="5" t="s">
        <v>238</v>
      </c>
      <c r="V2145" s="5" t="s">
        <v>238</v>
      </c>
      <c r="X2145" s="6" t="s">
        <v>238</v>
      </c>
      <c r="AA2145" s="6" t="s">
        <v>243</v>
      </c>
      <c r="AB2145" s="5" t="s">
        <v>238</v>
      </c>
      <c r="AC2145" s="5" t="s">
        <v>244</v>
      </c>
      <c r="AD2145" s="5" t="s">
        <v>245</v>
      </c>
      <c r="AT2145" s="5" t="s">
        <v>246</v>
      </c>
      <c r="AU2145" s="5" t="s">
        <v>238</v>
      </c>
      <c r="AV2145" s="5" t="s">
        <v>247</v>
      </c>
      <c r="AW2145" s="5" t="s">
        <v>238</v>
      </c>
      <c r="AX2145" s="5" t="s">
        <v>249</v>
      </c>
      <c r="AY2145" s="5" t="s">
        <v>238</v>
      </c>
      <c r="BA2145" s="5" t="s">
        <v>238</v>
      </c>
      <c r="BC2145" s="5" t="s">
        <v>250</v>
      </c>
      <c r="BD2145" s="6" t="s">
        <v>243</v>
      </c>
      <c r="BE2145" s="5" t="s">
        <v>251</v>
      </c>
      <c r="BF2145" s="5" t="s">
        <v>252</v>
      </c>
      <c r="BG2145" s="5" t="s">
        <v>238</v>
      </c>
      <c r="BH2145" s="7">
        <f>0</f>
        <v>0</v>
      </c>
      <c r="BI2145" s="8">
        <f>0</f>
        <v>0</v>
      </c>
      <c r="BJ2145" s="5" t="s">
        <v>253</v>
      </c>
      <c r="BK2145" s="5" t="s">
        <v>254</v>
      </c>
      <c r="BY2145" s="5" t="s">
        <v>238</v>
      </c>
      <c r="BZ2145" s="5" t="s">
        <v>238</v>
      </c>
      <c r="CD2145" s="5" t="s">
        <v>273</v>
      </c>
      <c r="CE2145" s="5" t="s">
        <v>256</v>
      </c>
      <c r="CF2145" s="5" t="s">
        <v>238</v>
      </c>
      <c r="CI2145" s="6" t="s">
        <v>257</v>
      </c>
      <c r="CJ2145" s="5" t="s">
        <v>238</v>
      </c>
      <c r="CK2145" s="5" t="s">
        <v>258</v>
      </c>
      <c r="CL2145" s="5" t="s">
        <v>238</v>
      </c>
      <c r="CM2145" s="5" t="s">
        <v>238</v>
      </c>
      <c r="CN2145" s="5">
        <v>0</v>
      </c>
      <c r="CO2145" s="5" t="s">
        <v>259</v>
      </c>
      <c r="CP2145" s="5" t="s">
        <v>260</v>
      </c>
      <c r="CQ2145" s="5" t="s">
        <v>260</v>
      </c>
      <c r="CR2145" s="5" t="s">
        <v>261</v>
      </c>
      <c r="CU2145" s="8">
        <f>1</f>
        <v>1</v>
      </c>
      <c r="CV2145" s="8">
        <f>0</f>
        <v>0</v>
      </c>
      <c r="CX2145" s="8">
        <f>0</f>
        <v>0</v>
      </c>
      <c r="CY2145" s="8">
        <f>1</f>
        <v>1</v>
      </c>
      <c r="DA2145" s="5" t="s">
        <v>274</v>
      </c>
      <c r="DB2145" s="5" t="s">
        <v>238</v>
      </c>
      <c r="DD2145" s="5" t="s">
        <v>274</v>
      </c>
      <c r="DE2145" s="8">
        <f>357</f>
        <v>357</v>
      </c>
      <c r="DG2145" s="5" t="s">
        <v>238</v>
      </c>
      <c r="DH2145" s="5" t="s">
        <v>238</v>
      </c>
      <c r="DI2145" s="5" t="s">
        <v>238</v>
      </c>
      <c r="DJ2145" s="5" t="s">
        <v>238</v>
      </c>
      <c r="DN2145" s="5" t="s">
        <v>238</v>
      </c>
      <c r="DO2145" s="5" t="s">
        <v>238</v>
      </c>
      <c r="DP2145" s="5" t="s">
        <v>238</v>
      </c>
      <c r="DQ2145" s="5" t="s">
        <v>238</v>
      </c>
      <c r="DT2145" s="5" t="s">
        <v>275</v>
      </c>
      <c r="DU2145" s="5" t="s">
        <v>648</v>
      </c>
      <c r="HM2145" s="5" t="s">
        <v>264</v>
      </c>
    </row>
    <row r="2146" spans="1:221" x14ac:dyDescent="0.4">
      <c r="A2146" s="5">
        <v>3850</v>
      </c>
      <c r="B2146" s="5">
        <v>1</v>
      </c>
      <c r="C2146" s="5">
        <v>1</v>
      </c>
      <c r="D2146" s="5" t="s">
        <v>269</v>
      </c>
      <c r="E2146" s="5" t="s">
        <v>271</v>
      </c>
      <c r="F2146" s="5" t="s">
        <v>248</v>
      </c>
      <c r="G2146" s="5" t="s">
        <v>266</v>
      </c>
      <c r="H2146" s="6" t="s">
        <v>651</v>
      </c>
      <c r="I2146" s="7">
        <f>304</f>
        <v>304</v>
      </c>
      <c r="J2146" s="5" t="s">
        <v>262</v>
      </c>
      <c r="K2146" s="8">
        <f>1</f>
        <v>1</v>
      </c>
      <c r="L2146" s="6" t="s">
        <v>242</v>
      </c>
      <c r="M2146" s="5" t="s">
        <v>267</v>
      </c>
      <c r="N2146" s="5" t="s">
        <v>265</v>
      </c>
      <c r="O2146" s="5" t="s">
        <v>238</v>
      </c>
      <c r="P2146" s="5" t="s">
        <v>238</v>
      </c>
      <c r="Q2146" s="5" t="s">
        <v>268</v>
      </c>
      <c r="R2146" s="5" t="s">
        <v>270</v>
      </c>
      <c r="S2146" s="5" t="s">
        <v>238</v>
      </c>
      <c r="V2146" s="5" t="s">
        <v>238</v>
      </c>
      <c r="X2146" s="6" t="s">
        <v>238</v>
      </c>
      <c r="AA2146" s="6" t="s">
        <v>243</v>
      </c>
      <c r="AB2146" s="5" t="s">
        <v>238</v>
      </c>
      <c r="AC2146" s="5" t="s">
        <v>244</v>
      </c>
      <c r="AD2146" s="5" t="s">
        <v>245</v>
      </c>
      <c r="AT2146" s="5" t="s">
        <v>246</v>
      </c>
      <c r="AU2146" s="5" t="s">
        <v>238</v>
      </c>
      <c r="AV2146" s="5" t="s">
        <v>247</v>
      </c>
      <c r="AW2146" s="5" t="s">
        <v>238</v>
      </c>
      <c r="AX2146" s="5" t="s">
        <v>249</v>
      </c>
      <c r="AY2146" s="5" t="s">
        <v>238</v>
      </c>
      <c r="BA2146" s="5" t="s">
        <v>238</v>
      </c>
      <c r="BC2146" s="5" t="s">
        <v>250</v>
      </c>
      <c r="BD2146" s="6" t="s">
        <v>243</v>
      </c>
      <c r="BE2146" s="5" t="s">
        <v>251</v>
      </c>
      <c r="BF2146" s="5" t="s">
        <v>252</v>
      </c>
      <c r="BG2146" s="5" t="s">
        <v>238</v>
      </c>
      <c r="BH2146" s="7">
        <f>0</f>
        <v>0</v>
      </c>
      <c r="BI2146" s="8">
        <f>0</f>
        <v>0</v>
      </c>
      <c r="BJ2146" s="5" t="s">
        <v>253</v>
      </c>
      <c r="BK2146" s="5" t="s">
        <v>254</v>
      </c>
      <c r="BY2146" s="5" t="s">
        <v>238</v>
      </c>
      <c r="BZ2146" s="5" t="s">
        <v>238</v>
      </c>
      <c r="CD2146" s="5" t="s">
        <v>273</v>
      </c>
      <c r="CE2146" s="5" t="s">
        <v>256</v>
      </c>
      <c r="CF2146" s="5" t="s">
        <v>238</v>
      </c>
      <c r="CI2146" s="6" t="s">
        <v>257</v>
      </c>
      <c r="CJ2146" s="5" t="s">
        <v>238</v>
      </c>
      <c r="CK2146" s="5" t="s">
        <v>258</v>
      </c>
      <c r="CL2146" s="5" t="s">
        <v>238</v>
      </c>
      <c r="CM2146" s="5" t="s">
        <v>238</v>
      </c>
      <c r="CN2146" s="5">
        <v>0</v>
      </c>
      <c r="CO2146" s="5" t="s">
        <v>259</v>
      </c>
      <c r="CP2146" s="5" t="s">
        <v>260</v>
      </c>
      <c r="CQ2146" s="5" t="s">
        <v>260</v>
      </c>
      <c r="CR2146" s="5" t="s">
        <v>261</v>
      </c>
      <c r="CU2146" s="8">
        <f>1</f>
        <v>1</v>
      </c>
      <c r="CV2146" s="8">
        <f>0</f>
        <v>0</v>
      </c>
      <c r="CX2146" s="8">
        <f>0</f>
        <v>0</v>
      </c>
      <c r="CY2146" s="8">
        <f>1</f>
        <v>1</v>
      </c>
      <c r="DA2146" s="5" t="s">
        <v>274</v>
      </c>
      <c r="DB2146" s="5" t="s">
        <v>238</v>
      </c>
      <c r="DD2146" s="5" t="s">
        <v>274</v>
      </c>
      <c r="DE2146" s="8">
        <f>304</f>
        <v>304</v>
      </c>
      <c r="DG2146" s="5" t="s">
        <v>238</v>
      </c>
      <c r="DH2146" s="5" t="s">
        <v>238</v>
      </c>
      <c r="DI2146" s="5" t="s">
        <v>238</v>
      </c>
      <c r="DJ2146" s="5" t="s">
        <v>238</v>
      </c>
      <c r="DN2146" s="5" t="s">
        <v>238</v>
      </c>
      <c r="DO2146" s="5" t="s">
        <v>238</v>
      </c>
      <c r="DP2146" s="5" t="s">
        <v>238</v>
      </c>
      <c r="DQ2146" s="5" t="s">
        <v>238</v>
      </c>
      <c r="DT2146" s="5" t="s">
        <v>275</v>
      </c>
      <c r="DU2146" s="5" t="s">
        <v>652</v>
      </c>
      <c r="HM2146" s="5" t="s">
        <v>264</v>
      </c>
    </row>
    <row r="2147" spans="1:221" x14ac:dyDescent="0.4">
      <c r="A2147" s="5">
        <v>3851</v>
      </c>
      <c r="B2147" s="5">
        <v>1</v>
      </c>
      <c r="C2147" s="5">
        <v>1</v>
      </c>
      <c r="D2147" s="5" t="s">
        <v>269</v>
      </c>
      <c r="E2147" s="5" t="s">
        <v>271</v>
      </c>
      <c r="F2147" s="5" t="s">
        <v>248</v>
      </c>
      <c r="G2147" s="5" t="s">
        <v>266</v>
      </c>
      <c r="H2147" s="6" t="s">
        <v>653</v>
      </c>
      <c r="I2147" s="7">
        <f>774</f>
        <v>774</v>
      </c>
      <c r="J2147" s="5" t="s">
        <v>262</v>
      </c>
      <c r="K2147" s="8">
        <f>1</f>
        <v>1</v>
      </c>
      <c r="L2147" s="6" t="s">
        <v>242</v>
      </c>
      <c r="M2147" s="5" t="s">
        <v>267</v>
      </c>
      <c r="N2147" s="5" t="s">
        <v>265</v>
      </c>
      <c r="O2147" s="5" t="s">
        <v>238</v>
      </c>
      <c r="P2147" s="5" t="s">
        <v>238</v>
      </c>
      <c r="Q2147" s="5" t="s">
        <v>268</v>
      </c>
      <c r="R2147" s="5" t="s">
        <v>270</v>
      </c>
      <c r="S2147" s="5" t="s">
        <v>238</v>
      </c>
      <c r="V2147" s="5" t="s">
        <v>238</v>
      </c>
      <c r="X2147" s="6" t="s">
        <v>238</v>
      </c>
      <c r="AA2147" s="6" t="s">
        <v>243</v>
      </c>
      <c r="AB2147" s="5" t="s">
        <v>238</v>
      </c>
      <c r="AC2147" s="5" t="s">
        <v>244</v>
      </c>
      <c r="AD2147" s="5" t="s">
        <v>245</v>
      </c>
      <c r="AT2147" s="5" t="s">
        <v>246</v>
      </c>
      <c r="AU2147" s="5" t="s">
        <v>238</v>
      </c>
      <c r="AV2147" s="5" t="s">
        <v>247</v>
      </c>
      <c r="AW2147" s="5" t="s">
        <v>238</v>
      </c>
      <c r="AX2147" s="5" t="s">
        <v>249</v>
      </c>
      <c r="AY2147" s="5" t="s">
        <v>238</v>
      </c>
      <c r="BA2147" s="5" t="s">
        <v>238</v>
      </c>
      <c r="BC2147" s="5" t="s">
        <v>250</v>
      </c>
      <c r="BD2147" s="6" t="s">
        <v>243</v>
      </c>
      <c r="BE2147" s="5" t="s">
        <v>251</v>
      </c>
      <c r="BF2147" s="5" t="s">
        <v>252</v>
      </c>
      <c r="BG2147" s="5" t="s">
        <v>238</v>
      </c>
      <c r="BH2147" s="7">
        <f>0</f>
        <v>0</v>
      </c>
      <c r="BI2147" s="8">
        <f>0</f>
        <v>0</v>
      </c>
      <c r="BJ2147" s="5" t="s">
        <v>253</v>
      </c>
      <c r="BK2147" s="5" t="s">
        <v>254</v>
      </c>
      <c r="BY2147" s="5" t="s">
        <v>238</v>
      </c>
      <c r="BZ2147" s="5" t="s">
        <v>238</v>
      </c>
      <c r="CD2147" s="5" t="s">
        <v>273</v>
      </c>
      <c r="CE2147" s="5" t="s">
        <v>256</v>
      </c>
      <c r="CF2147" s="5" t="s">
        <v>238</v>
      </c>
      <c r="CI2147" s="6" t="s">
        <v>257</v>
      </c>
      <c r="CJ2147" s="5" t="s">
        <v>238</v>
      </c>
      <c r="CK2147" s="5" t="s">
        <v>258</v>
      </c>
      <c r="CL2147" s="5" t="s">
        <v>238</v>
      </c>
      <c r="CM2147" s="5" t="s">
        <v>238</v>
      </c>
      <c r="CN2147" s="5">
        <v>0</v>
      </c>
      <c r="CO2147" s="5" t="s">
        <v>259</v>
      </c>
      <c r="CP2147" s="5" t="s">
        <v>260</v>
      </c>
      <c r="CQ2147" s="5" t="s">
        <v>260</v>
      </c>
      <c r="CR2147" s="5" t="s">
        <v>261</v>
      </c>
      <c r="CU2147" s="8">
        <f>1</f>
        <v>1</v>
      </c>
      <c r="CV2147" s="8">
        <f>0</f>
        <v>0</v>
      </c>
      <c r="CX2147" s="8">
        <f>0</f>
        <v>0</v>
      </c>
      <c r="CY2147" s="8">
        <f>1</f>
        <v>1</v>
      </c>
      <c r="DA2147" s="5" t="s">
        <v>274</v>
      </c>
      <c r="DB2147" s="5" t="s">
        <v>238</v>
      </c>
      <c r="DD2147" s="5" t="s">
        <v>274</v>
      </c>
      <c r="DE2147" s="8">
        <f>774</f>
        <v>774</v>
      </c>
      <c r="DG2147" s="5" t="s">
        <v>238</v>
      </c>
      <c r="DH2147" s="5" t="s">
        <v>238</v>
      </c>
      <c r="DI2147" s="5" t="s">
        <v>238</v>
      </c>
      <c r="DJ2147" s="5" t="s">
        <v>238</v>
      </c>
      <c r="DN2147" s="5" t="s">
        <v>238</v>
      </c>
      <c r="DO2147" s="5" t="s">
        <v>238</v>
      </c>
      <c r="DP2147" s="5" t="s">
        <v>238</v>
      </c>
      <c r="DQ2147" s="5" t="s">
        <v>238</v>
      </c>
      <c r="DT2147" s="5" t="s">
        <v>275</v>
      </c>
      <c r="DU2147" s="5" t="s">
        <v>654</v>
      </c>
      <c r="HM2147" s="5" t="s">
        <v>264</v>
      </c>
    </row>
    <row r="2148" spans="1:221" x14ac:dyDescent="0.4">
      <c r="A2148" s="5">
        <v>3852</v>
      </c>
      <c r="B2148" s="5">
        <v>1</v>
      </c>
      <c r="C2148" s="5">
        <v>1</v>
      </c>
      <c r="D2148" s="5" t="s">
        <v>269</v>
      </c>
      <c r="E2148" s="5" t="s">
        <v>271</v>
      </c>
      <c r="F2148" s="5" t="s">
        <v>248</v>
      </c>
      <c r="G2148" s="5" t="s">
        <v>266</v>
      </c>
      <c r="H2148" s="6" t="s">
        <v>657</v>
      </c>
      <c r="I2148" s="7">
        <f>204</f>
        <v>204</v>
      </c>
      <c r="J2148" s="5" t="s">
        <v>262</v>
      </c>
      <c r="K2148" s="8">
        <f>1</f>
        <v>1</v>
      </c>
      <c r="L2148" s="6" t="s">
        <v>242</v>
      </c>
      <c r="M2148" s="5" t="s">
        <v>267</v>
      </c>
      <c r="N2148" s="5" t="s">
        <v>265</v>
      </c>
      <c r="O2148" s="5" t="s">
        <v>238</v>
      </c>
      <c r="P2148" s="5" t="s">
        <v>238</v>
      </c>
      <c r="Q2148" s="5" t="s">
        <v>268</v>
      </c>
      <c r="R2148" s="5" t="s">
        <v>270</v>
      </c>
      <c r="S2148" s="5" t="s">
        <v>238</v>
      </c>
      <c r="V2148" s="5" t="s">
        <v>238</v>
      </c>
      <c r="X2148" s="6" t="s">
        <v>238</v>
      </c>
      <c r="AA2148" s="6" t="s">
        <v>243</v>
      </c>
      <c r="AB2148" s="5" t="s">
        <v>238</v>
      </c>
      <c r="AC2148" s="5" t="s">
        <v>244</v>
      </c>
      <c r="AD2148" s="5" t="s">
        <v>245</v>
      </c>
      <c r="AT2148" s="5" t="s">
        <v>246</v>
      </c>
      <c r="AU2148" s="5" t="s">
        <v>238</v>
      </c>
      <c r="AV2148" s="5" t="s">
        <v>247</v>
      </c>
      <c r="AW2148" s="5" t="s">
        <v>238</v>
      </c>
      <c r="AX2148" s="5" t="s">
        <v>249</v>
      </c>
      <c r="AY2148" s="5" t="s">
        <v>238</v>
      </c>
      <c r="BA2148" s="5" t="s">
        <v>238</v>
      </c>
      <c r="BC2148" s="5" t="s">
        <v>250</v>
      </c>
      <c r="BD2148" s="6" t="s">
        <v>243</v>
      </c>
      <c r="BE2148" s="5" t="s">
        <v>251</v>
      </c>
      <c r="BF2148" s="5" t="s">
        <v>252</v>
      </c>
      <c r="BG2148" s="5" t="s">
        <v>238</v>
      </c>
      <c r="BH2148" s="7">
        <f>0</f>
        <v>0</v>
      </c>
      <c r="BI2148" s="8">
        <f>0</f>
        <v>0</v>
      </c>
      <c r="BJ2148" s="5" t="s">
        <v>253</v>
      </c>
      <c r="BK2148" s="5" t="s">
        <v>254</v>
      </c>
      <c r="BY2148" s="5" t="s">
        <v>238</v>
      </c>
      <c r="BZ2148" s="5" t="s">
        <v>238</v>
      </c>
      <c r="CD2148" s="5" t="s">
        <v>273</v>
      </c>
      <c r="CE2148" s="5" t="s">
        <v>256</v>
      </c>
      <c r="CF2148" s="5" t="s">
        <v>238</v>
      </c>
      <c r="CI2148" s="6" t="s">
        <v>257</v>
      </c>
      <c r="CJ2148" s="5" t="s">
        <v>238</v>
      </c>
      <c r="CK2148" s="5" t="s">
        <v>258</v>
      </c>
      <c r="CL2148" s="5" t="s">
        <v>238</v>
      </c>
      <c r="CM2148" s="5" t="s">
        <v>238</v>
      </c>
      <c r="CN2148" s="5">
        <v>0</v>
      </c>
      <c r="CO2148" s="5" t="s">
        <v>259</v>
      </c>
      <c r="CP2148" s="5" t="s">
        <v>260</v>
      </c>
      <c r="CQ2148" s="5" t="s">
        <v>260</v>
      </c>
      <c r="CR2148" s="5" t="s">
        <v>261</v>
      </c>
      <c r="CU2148" s="8">
        <f>1</f>
        <v>1</v>
      </c>
      <c r="CV2148" s="8">
        <f>0</f>
        <v>0</v>
      </c>
      <c r="CX2148" s="8">
        <f>0</f>
        <v>0</v>
      </c>
      <c r="CY2148" s="8">
        <f>1</f>
        <v>1</v>
      </c>
      <c r="DA2148" s="5" t="s">
        <v>274</v>
      </c>
      <c r="DB2148" s="5" t="s">
        <v>238</v>
      </c>
      <c r="DD2148" s="5" t="s">
        <v>274</v>
      </c>
      <c r="DE2148" s="8">
        <f>204</f>
        <v>204</v>
      </c>
      <c r="DG2148" s="5" t="s">
        <v>238</v>
      </c>
      <c r="DH2148" s="5" t="s">
        <v>238</v>
      </c>
      <c r="DI2148" s="5" t="s">
        <v>238</v>
      </c>
      <c r="DJ2148" s="5" t="s">
        <v>238</v>
      </c>
      <c r="DN2148" s="5" t="s">
        <v>238</v>
      </c>
      <c r="DO2148" s="5" t="s">
        <v>238</v>
      </c>
      <c r="DP2148" s="5" t="s">
        <v>238</v>
      </c>
      <c r="DQ2148" s="5" t="s">
        <v>238</v>
      </c>
      <c r="DT2148" s="5" t="s">
        <v>275</v>
      </c>
      <c r="DU2148" s="5" t="s">
        <v>658</v>
      </c>
      <c r="HM2148" s="5" t="s">
        <v>264</v>
      </c>
    </row>
    <row r="2149" spans="1:221" x14ac:dyDescent="0.4">
      <c r="A2149" s="5">
        <v>3853</v>
      </c>
      <c r="B2149" s="5">
        <v>1</v>
      </c>
      <c r="C2149" s="5">
        <v>1</v>
      </c>
      <c r="D2149" s="5" t="s">
        <v>269</v>
      </c>
      <c r="E2149" s="5" t="s">
        <v>271</v>
      </c>
      <c r="F2149" s="5" t="s">
        <v>248</v>
      </c>
      <c r="G2149" s="5" t="s">
        <v>266</v>
      </c>
      <c r="H2149" s="6" t="s">
        <v>659</v>
      </c>
      <c r="I2149" s="7">
        <f>1500</f>
        <v>1500</v>
      </c>
      <c r="J2149" s="5" t="s">
        <v>262</v>
      </c>
      <c r="K2149" s="8">
        <f>1</f>
        <v>1</v>
      </c>
      <c r="L2149" s="6" t="s">
        <v>242</v>
      </c>
      <c r="M2149" s="5" t="s">
        <v>267</v>
      </c>
      <c r="N2149" s="5" t="s">
        <v>265</v>
      </c>
      <c r="O2149" s="5" t="s">
        <v>238</v>
      </c>
      <c r="P2149" s="5" t="s">
        <v>238</v>
      </c>
      <c r="Q2149" s="5" t="s">
        <v>268</v>
      </c>
      <c r="R2149" s="5" t="s">
        <v>270</v>
      </c>
      <c r="S2149" s="5" t="s">
        <v>238</v>
      </c>
      <c r="V2149" s="5" t="s">
        <v>238</v>
      </c>
      <c r="X2149" s="6" t="s">
        <v>238</v>
      </c>
      <c r="AA2149" s="6" t="s">
        <v>243</v>
      </c>
      <c r="AB2149" s="5" t="s">
        <v>238</v>
      </c>
      <c r="AC2149" s="5" t="s">
        <v>244</v>
      </c>
      <c r="AD2149" s="5" t="s">
        <v>245</v>
      </c>
      <c r="AT2149" s="5" t="s">
        <v>246</v>
      </c>
      <c r="AU2149" s="5" t="s">
        <v>238</v>
      </c>
      <c r="AV2149" s="5" t="s">
        <v>247</v>
      </c>
      <c r="AW2149" s="5" t="s">
        <v>238</v>
      </c>
      <c r="AX2149" s="5" t="s">
        <v>249</v>
      </c>
      <c r="AY2149" s="5" t="s">
        <v>238</v>
      </c>
      <c r="BA2149" s="5" t="s">
        <v>238</v>
      </c>
      <c r="BC2149" s="5" t="s">
        <v>250</v>
      </c>
      <c r="BD2149" s="6" t="s">
        <v>243</v>
      </c>
      <c r="BE2149" s="5" t="s">
        <v>251</v>
      </c>
      <c r="BF2149" s="5" t="s">
        <v>252</v>
      </c>
      <c r="BG2149" s="5" t="s">
        <v>238</v>
      </c>
      <c r="BH2149" s="7">
        <f>0</f>
        <v>0</v>
      </c>
      <c r="BI2149" s="8">
        <f>0</f>
        <v>0</v>
      </c>
      <c r="BJ2149" s="5" t="s">
        <v>253</v>
      </c>
      <c r="BK2149" s="5" t="s">
        <v>254</v>
      </c>
      <c r="BY2149" s="5" t="s">
        <v>238</v>
      </c>
      <c r="BZ2149" s="5" t="s">
        <v>238</v>
      </c>
      <c r="CD2149" s="5" t="s">
        <v>273</v>
      </c>
      <c r="CE2149" s="5" t="s">
        <v>256</v>
      </c>
      <c r="CF2149" s="5" t="s">
        <v>238</v>
      </c>
      <c r="CI2149" s="6" t="s">
        <v>257</v>
      </c>
      <c r="CJ2149" s="5" t="s">
        <v>238</v>
      </c>
      <c r="CK2149" s="5" t="s">
        <v>258</v>
      </c>
      <c r="CL2149" s="5" t="s">
        <v>238</v>
      </c>
      <c r="CM2149" s="5" t="s">
        <v>238</v>
      </c>
      <c r="CN2149" s="5">
        <v>0</v>
      </c>
      <c r="CO2149" s="5" t="s">
        <v>259</v>
      </c>
      <c r="CP2149" s="5" t="s">
        <v>260</v>
      </c>
      <c r="CQ2149" s="5" t="s">
        <v>260</v>
      </c>
      <c r="CR2149" s="5" t="s">
        <v>261</v>
      </c>
      <c r="CU2149" s="8">
        <f>1</f>
        <v>1</v>
      </c>
      <c r="CV2149" s="8">
        <f>0</f>
        <v>0</v>
      </c>
      <c r="CX2149" s="8">
        <f>0</f>
        <v>0</v>
      </c>
      <c r="CY2149" s="8">
        <f>1</f>
        <v>1</v>
      </c>
      <c r="DA2149" s="5" t="s">
        <v>274</v>
      </c>
      <c r="DB2149" s="5" t="s">
        <v>238</v>
      </c>
      <c r="DD2149" s="5" t="s">
        <v>274</v>
      </c>
      <c r="DE2149" s="8">
        <f>1500</f>
        <v>1500</v>
      </c>
      <c r="DG2149" s="5" t="s">
        <v>238</v>
      </c>
      <c r="DH2149" s="5" t="s">
        <v>238</v>
      </c>
      <c r="DI2149" s="5" t="s">
        <v>238</v>
      </c>
      <c r="DJ2149" s="5" t="s">
        <v>238</v>
      </c>
      <c r="DN2149" s="5" t="s">
        <v>238</v>
      </c>
      <c r="DO2149" s="5" t="s">
        <v>238</v>
      </c>
      <c r="DP2149" s="5" t="s">
        <v>238</v>
      </c>
      <c r="DQ2149" s="5" t="s">
        <v>238</v>
      </c>
      <c r="DT2149" s="5" t="s">
        <v>275</v>
      </c>
      <c r="DU2149" s="5" t="s">
        <v>660</v>
      </c>
      <c r="HM2149" s="5" t="s">
        <v>264</v>
      </c>
    </row>
    <row r="2150" spans="1:221" x14ac:dyDescent="0.4">
      <c r="A2150" s="5">
        <v>3854</v>
      </c>
      <c r="B2150" s="5">
        <v>1</v>
      </c>
      <c r="C2150" s="5">
        <v>1</v>
      </c>
      <c r="D2150" s="5" t="s">
        <v>269</v>
      </c>
      <c r="E2150" s="5" t="s">
        <v>271</v>
      </c>
      <c r="F2150" s="5" t="s">
        <v>248</v>
      </c>
      <c r="G2150" s="5" t="s">
        <v>266</v>
      </c>
      <c r="H2150" s="6" t="s">
        <v>663</v>
      </c>
      <c r="I2150" s="7">
        <f>1646</f>
        <v>1646</v>
      </c>
      <c r="J2150" s="5" t="s">
        <v>262</v>
      </c>
      <c r="K2150" s="8">
        <f>1</f>
        <v>1</v>
      </c>
      <c r="L2150" s="6" t="s">
        <v>242</v>
      </c>
      <c r="M2150" s="5" t="s">
        <v>267</v>
      </c>
      <c r="N2150" s="5" t="s">
        <v>265</v>
      </c>
      <c r="O2150" s="5" t="s">
        <v>238</v>
      </c>
      <c r="P2150" s="5" t="s">
        <v>238</v>
      </c>
      <c r="Q2150" s="5" t="s">
        <v>268</v>
      </c>
      <c r="R2150" s="5" t="s">
        <v>270</v>
      </c>
      <c r="S2150" s="5" t="s">
        <v>238</v>
      </c>
      <c r="V2150" s="5" t="s">
        <v>238</v>
      </c>
      <c r="X2150" s="6" t="s">
        <v>238</v>
      </c>
      <c r="AA2150" s="6" t="s">
        <v>243</v>
      </c>
      <c r="AB2150" s="5" t="s">
        <v>238</v>
      </c>
      <c r="AC2150" s="5" t="s">
        <v>244</v>
      </c>
      <c r="AD2150" s="5" t="s">
        <v>245</v>
      </c>
      <c r="AT2150" s="5" t="s">
        <v>246</v>
      </c>
      <c r="AU2150" s="5" t="s">
        <v>238</v>
      </c>
      <c r="AV2150" s="5" t="s">
        <v>247</v>
      </c>
      <c r="AW2150" s="5" t="s">
        <v>238</v>
      </c>
      <c r="AX2150" s="5" t="s">
        <v>249</v>
      </c>
      <c r="AY2150" s="5" t="s">
        <v>238</v>
      </c>
      <c r="BA2150" s="5" t="s">
        <v>238</v>
      </c>
      <c r="BC2150" s="5" t="s">
        <v>250</v>
      </c>
      <c r="BD2150" s="6" t="s">
        <v>243</v>
      </c>
      <c r="BE2150" s="5" t="s">
        <v>251</v>
      </c>
      <c r="BF2150" s="5" t="s">
        <v>252</v>
      </c>
      <c r="BG2150" s="5" t="s">
        <v>238</v>
      </c>
      <c r="BH2150" s="7">
        <f>0</f>
        <v>0</v>
      </c>
      <c r="BI2150" s="8">
        <f>0</f>
        <v>0</v>
      </c>
      <c r="BJ2150" s="5" t="s">
        <v>253</v>
      </c>
      <c r="BK2150" s="5" t="s">
        <v>254</v>
      </c>
      <c r="BY2150" s="5" t="s">
        <v>238</v>
      </c>
      <c r="BZ2150" s="5" t="s">
        <v>238</v>
      </c>
      <c r="CD2150" s="5" t="s">
        <v>273</v>
      </c>
      <c r="CE2150" s="5" t="s">
        <v>256</v>
      </c>
      <c r="CF2150" s="5" t="s">
        <v>238</v>
      </c>
      <c r="CI2150" s="6" t="s">
        <v>257</v>
      </c>
      <c r="CJ2150" s="5" t="s">
        <v>238</v>
      </c>
      <c r="CK2150" s="5" t="s">
        <v>258</v>
      </c>
      <c r="CL2150" s="5" t="s">
        <v>238</v>
      </c>
      <c r="CM2150" s="5" t="s">
        <v>238</v>
      </c>
      <c r="CN2150" s="5">
        <v>0</v>
      </c>
      <c r="CO2150" s="5" t="s">
        <v>259</v>
      </c>
      <c r="CP2150" s="5" t="s">
        <v>260</v>
      </c>
      <c r="CQ2150" s="5" t="s">
        <v>260</v>
      </c>
      <c r="CR2150" s="5" t="s">
        <v>261</v>
      </c>
      <c r="CU2150" s="8">
        <f>1</f>
        <v>1</v>
      </c>
      <c r="CV2150" s="8">
        <f>0</f>
        <v>0</v>
      </c>
      <c r="CX2150" s="8">
        <f>0</f>
        <v>0</v>
      </c>
      <c r="CY2150" s="8">
        <f>1</f>
        <v>1</v>
      </c>
      <c r="DA2150" s="5" t="s">
        <v>274</v>
      </c>
      <c r="DB2150" s="5" t="s">
        <v>238</v>
      </c>
      <c r="DD2150" s="5" t="s">
        <v>274</v>
      </c>
      <c r="DE2150" s="8">
        <f>1646</f>
        <v>1646</v>
      </c>
      <c r="DG2150" s="5" t="s">
        <v>238</v>
      </c>
      <c r="DH2150" s="5" t="s">
        <v>238</v>
      </c>
      <c r="DI2150" s="5" t="s">
        <v>238</v>
      </c>
      <c r="DJ2150" s="5" t="s">
        <v>238</v>
      </c>
      <c r="DN2150" s="5" t="s">
        <v>238</v>
      </c>
      <c r="DO2150" s="5" t="s">
        <v>238</v>
      </c>
      <c r="DP2150" s="5" t="s">
        <v>238</v>
      </c>
      <c r="DQ2150" s="5" t="s">
        <v>238</v>
      </c>
      <c r="DT2150" s="5" t="s">
        <v>275</v>
      </c>
      <c r="DU2150" s="5" t="s">
        <v>664</v>
      </c>
      <c r="HM2150" s="5" t="s">
        <v>264</v>
      </c>
    </row>
    <row r="2151" spans="1:221" x14ac:dyDescent="0.4">
      <c r="A2151" s="5">
        <v>3855</v>
      </c>
      <c r="B2151" s="5">
        <v>1</v>
      </c>
      <c r="C2151" s="5">
        <v>1</v>
      </c>
      <c r="D2151" s="5" t="s">
        <v>269</v>
      </c>
      <c r="E2151" s="5" t="s">
        <v>271</v>
      </c>
      <c r="F2151" s="5" t="s">
        <v>248</v>
      </c>
      <c r="G2151" s="5" t="s">
        <v>266</v>
      </c>
      <c r="H2151" s="6" t="s">
        <v>5520</v>
      </c>
      <c r="I2151" s="7">
        <f>284</f>
        <v>284</v>
      </c>
      <c r="J2151" s="5" t="s">
        <v>262</v>
      </c>
      <c r="K2151" s="8">
        <f>1</f>
        <v>1</v>
      </c>
      <c r="L2151" s="6" t="s">
        <v>242</v>
      </c>
      <c r="M2151" s="5" t="s">
        <v>267</v>
      </c>
      <c r="N2151" s="5" t="s">
        <v>265</v>
      </c>
      <c r="O2151" s="5" t="s">
        <v>238</v>
      </c>
      <c r="P2151" s="5" t="s">
        <v>238</v>
      </c>
      <c r="Q2151" s="5" t="s">
        <v>268</v>
      </c>
      <c r="R2151" s="5" t="s">
        <v>270</v>
      </c>
      <c r="S2151" s="5" t="s">
        <v>238</v>
      </c>
      <c r="V2151" s="5" t="s">
        <v>238</v>
      </c>
      <c r="X2151" s="6" t="s">
        <v>238</v>
      </c>
      <c r="AA2151" s="6" t="s">
        <v>243</v>
      </c>
      <c r="AB2151" s="5" t="s">
        <v>238</v>
      </c>
      <c r="AC2151" s="5" t="s">
        <v>244</v>
      </c>
      <c r="AD2151" s="5" t="s">
        <v>245</v>
      </c>
      <c r="AT2151" s="5" t="s">
        <v>246</v>
      </c>
      <c r="AU2151" s="5" t="s">
        <v>238</v>
      </c>
      <c r="AV2151" s="5" t="s">
        <v>247</v>
      </c>
      <c r="AW2151" s="5" t="s">
        <v>238</v>
      </c>
      <c r="AX2151" s="5" t="s">
        <v>249</v>
      </c>
      <c r="AY2151" s="5" t="s">
        <v>238</v>
      </c>
      <c r="BA2151" s="5" t="s">
        <v>238</v>
      </c>
      <c r="BC2151" s="5" t="s">
        <v>250</v>
      </c>
      <c r="BD2151" s="6" t="s">
        <v>243</v>
      </c>
      <c r="BE2151" s="5" t="s">
        <v>251</v>
      </c>
      <c r="BF2151" s="5" t="s">
        <v>252</v>
      </c>
      <c r="BG2151" s="5" t="s">
        <v>238</v>
      </c>
      <c r="BH2151" s="7">
        <f>0</f>
        <v>0</v>
      </c>
      <c r="BI2151" s="8">
        <f>0</f>
        <v>0</v>
      </c>
      <c r="BJ2151" s="5" t="s">
        <v>253</v>
      </c>
      <c r="BK2151" s="5" t="s">
        <v>254</v>
      </c>
      <c r="BY2151" s="5" t="s">
        <v>238</v>
      </c>
      <c r="BZ2151" s="5" t="s">
        <v>238</v>
      </c>
      <c r="CD2151" s="5" t="s">
        <v>273</v>
      </c>
      <c r="CE2151" s="5" t="s">
        <v>256</v>
      </c>
      <c r="CF2151" s="5" t="s">
        <v>238</v>
      </c>
      <c r="CI2151" s="6" t="s">
        <v>257</v>
      </c>
      <c r="CJ2151" s="5" t="s">
        <v>238</v>
      </c>
      <c r="CK2151" s="5" t="s">
        <v>258</v>
      </c>
      <c r="CL2151" s="5" t="s">
        <v>238</v>
      </c>
      <c r="CM2151" s="5" t="s">
        <v>238</v>
      </c>
      <c r="CN2151" s="5">
        <v>0</v>
      </c>
      <c r="CO2151" s="5" t="s">
        <v>259</v>
      </c>
      <c r="CP2151" s="5" t="s">
        <v>260</v>
      </c>
      <c r="CQ2151" s="5" t="s">
        <v>260</v>
      </c>
      <c r="CR2151" s="5" t="s">
        <v>261</v>
      </c>
      <c r="CU2151" s="8">
        <f>1</f>
        <v>1</v>
      </c>
      <c r="CV2151" s="8">
        <f>0</f>
        <v>0</v>
      </c>
      <c r="CX2151" s="8">
        <f>0</f>
        <v>0</v>
      </c>
      <c r="CY2151" s="8">
        <f>1</f>
        <v>1</v>
      </c>
      <c r="DA2151" s="5" t="s">
        <v>274</v>
      </c>
      <c r="DB2151" s="5" t="s">
        <v>238</v>
      </c>
      <c r="DD2151" s="5" t="s">
        <v>274</v>
      </c>
      <c r="DE2151" s="8">
        <f>284</f>
        <v>284</v>
      </c>
      <c r="DG2151" s="5" t="s">
        <v>238</v>
      </c>
      <c r="DH2151" s="5" t="s">
        <v>238</v>
      </c>
      <c r="DI2151" s="5" t="s">
        <v>238</v>
      </c>
      <c r="DJ2151" s="5" t="s">
        <v>238</v>
      </c>
      <c r="DN2151" s="5" t="s">
        <v>238</v>
      </c>
      <c r="DO2151" s="5" t="s">
        <v>238</v>
      </c>
      <c r="DP2151" s="5" t="s">
        <v>238</v>
      </c>
      <c r="DQ2151" s="5" t="s">
        <v>238</v>
      </c>
      <c r="DT2151" s="5" t="s">
        <v>275</v>
      </c>
      <c r="DU2151" s="5" t="s">
        <v>3171</v>
      </c>
      <c r="HM2151" s="5" t="s">
        <v>264</v>
      </c>
    </row>
    <row r="2152" spans="1:221" x14ac:dyDescent="0.4">
      <c r="A2152" s="5">
        <v>3856</v>
      </c>
      <c r="B2152" s="5">
        <v>1</v>
      </c>
      <c r="C2152" s="5">
        <v>1</v>
      </c>
      <c r="D2152" s="5" t="s">
        <v>269</v>
      </c>
      <c r="E2152" s="5" t="s">
        <v>271</v>
      </c>
      <c r="F2152" s="5" t="s">
        <v>248</v>
      </c>
      <c r="G2152" s="5" t="s">
        <v>266</v>
      </c>
      <c r="H2152" s="6" t="s">
        <v>1522</v>
      </c>
      <c r="I2152" s="7">
        <f>145</f>
        <v>145</v>
      </c>
      <c r="J2152" s="5" t="s">
        <v>262</v>
      </c>
      <c r="K2152" s="8">
        <f>1</f>
        <v>1</v>
      </c>
      <c r="L2152" s="6" t="s">
        <v>242</v>
      </c>
      <c r="M2152" s="5" t="s">
        <v>267</v>
      </c>
      <c r="N2152" s="5" t="s">
        <v>265</v>
      </c>
      <c r="O2152" s="5" t="s">
        <v>238</v>
      </c>
      <c r="P2152" s="5" t="s">
        <v>238</v>
      </c>
      <c r="Q2152" s="5" t="s">
        <v>268</v>
      </c>
      <c r="R2152" s="5" t="s">
        <v>270</v>
      </c>
      <c r="S2152" s="5" t="s">
        <v>238</v>
      </c>
      <c r="V2152" s="5" t="s">
        <v>238</v>
      </c>
      <c r="X2152" s="6" t="s">
        <v>238</v>
      </c>
      <c r="AA2152" s="6" t="s">
        <v>243</v>
      </c>
      <c r="AB2152" s="5" t="s">
        <v>238</v>
      </c>
      <c r="AC2152" s="5" t="s">
        <v>244</v>
      </c>
      <c r="AD2152" s="5" t="s">
        <v>245</v>
      </c>
      <c r="AT2152" s="5" t="s">
        <v>246</v>
      </c>
      <c r="AU2152" s="5" t="s">
        <v>238</v>
      </c>
      <c r="AV2152" s="5" t="s">
        <v>247</v>
      </c>
      <c r="AW2152" s="5" t="s">
        <v>238</v>
      </c>
      <c r="AX2152" s="5" t="s">
        <v>249</v>
      </c>
      <c r="AY2152" s="5" t="s">
        <v>238</v>
      </c>
      <c r="BA2152" s="5" t="s">
        <v>238</v>
      </c>
      <c r="BC2152" s="5" t="s">
        <v>250</v>
      </c>
      <c r="BD2152" s="6" t="s">
        <v>243</v>
      </c>
      <c r="BE2152" s="5" t="s">
        <v>251</v>
      </c>
      <c r="BF2152" s="5" t="s">
        <v>252</v>
      </c>
      <c r="BG2152" s="5" t="s">
        <v>238</v>
      </c>
      <c r="BH2152" s="7">
        <f>0</f>
        <v>0</v>
      </c>
      <c r="BI2152" s="8">
        <f>0</f>
        <v>0</v>
      </c>
      <c r="BJ2152" s="5" t="s">
        <v>253</v>
      </c>
      <c r="BK2152" s="5" t="s">
        <v>254</v>
      </c>
      <c r="BY2152" s="5" t="s">
        <v>238</v>
      </c>
      <c r="BZ2152" s="5" t="s">
        <v>238</v>
      </c>
      <c r="CD2152" s="5" t="s">
        <v>273</v>
      </c>
      <c r="CE2152" s="5" t="s">
        <v>256</v>
      </c>
      <c r="CF2152" s="5" t="s">
        <v>238</v>
      </c>
      <c r="CI2152" s="6" t="s">
        <v>257</v>
      </c>
      <c r="CJ2152" s="5" t="s">
        <v>238</v>
      </c>
      <c r="CK2152" s="5" t="s">
        <v>258</v>
      </c>
      <c r="CL2152" s="5" t="s">
        <v>238</v>
      </c>
      <c r="CM2152" s="5" t="s">
        <v>238</v>
      </c>
      <c r="CN2152" s="5">
        <v>0</v>
      </c>
      <c r="CO2152" s="5" t="s">
        <v>259</v>
      </c>
      <c r="CP2152" s="5" t="s">
        <v>260</v>
      </c>
      <c r="CQ2152" s="5" t="s">
        <v>260</v>
      </c>
      <c r="CR2152" s="5" t="s">
        <v>261</v>
      </c>
      <c r="CU2152" s="8">
        <f>1</f>
        <v>1</v>
      </c>
      <c r="CV2152" s="8">
        <f>0</f>
        <v>0</v>
      </c>
      <c r="CX2152" s="8">
        <f>0</f>
        <v>0</v>
      </c>
      <c r="CY2152" s="8">
        <f>1</f>
        <v>1</v>
      </c>
      <c r="DA2152" s="5" t="s">
        <v>274</v>
      </c>
      <c r="DB2152" s="5" t="s">
        <v>238</v>
      </c>
      <c r="DD2152" s="5" t="s">
        <v>274</v>
      </c>
      <c r="DE2152" s="8">
        <f>145</f>
        <v>145</v>
      </c>
      <c r="DG2152" s="5" t="s">
        <v>238</v>
      </c>
      <c r="DH2152" s="5" t="s">
        <v>238</v>
      </c>
      <c r="DI2152" s="5" t="s">
        <v>238</v>
      </c>
      <c r="DJ2152" s="5" t="s">
        <v>238</v>
      </c>
      <c r="DN2152" s="5" t="s">
        <v>238</v>
      </c>
      <c r="DO2152" s="5" t="s">
        <v>238</v>
      </c>
      <c r="DP2152" s="5" t="s">
        <v>238</v>
      </c>
      <c r="DQ2152" s="5" t="s">
        <v>238</v>
      </c>
      <c r="DT2152" s="5" t="s">
        <v>275</v>
      </c>
      <c r="DU2152" s="5" t="s">
        <v>1523</v>
      </c>
      <c r="HM2152" s="5" t="s">
        <v>264</v>
      </c>
    </row>
    <row r="2153" spans="1:221" x14ac:dyDescent="0.4">
      <c r="A2153" s="5">
        <v>3857</v>
      </c>
      <c r="B2153" s="5">
        <v>1</v>
      </c>
      <c r="C2153" s="5">
        <v>1</v>
      </c>
      <c r="D2153" s="5" t="s">
        <v>269</v>
      </c>
      <c r="E2153" s="5" t="s">
        <v>271</v>
      </c>
      <c r="F2153" s="5" t="s">
        <v>248</v>
      </c>
      <c r="G2153" s="5" t="s">
        <v>266</v>
      </c>
      <c r="H2153" s="6" t="s">
        <v>671</v>
      </c>
      <c r="I2153" s="7">
        <f>52</f>
        <v>52</v>
      </c>
      <c r="J2153" s="5" t="s">
        <v>262</v>
      </c>
      <c r="K2153" s="8">
        <f>1</f>
        <v>1</v>
      </c>
      <c r="L2153" s="6" t="s">
        <v>242</v>
      </c>
      <c r="M2153" s="5" t="s">
        <v>267</v>
      </c>
      <c r="N2153" s="5" t="s">
        <v>265</v>
      </c>
      <c r="O2153" s="5" t="s">
        <v>238</v>
      </c>
      <c r="P2153" s="5" t="s">
        <v>238</v>
      </c>
      <c r="Q2153" s="5" t="s">
        <v>268</v>
      </c>
      <c r="R2153" s="5" t="s">
        <v>270</v>
      </c>
      <c r="S2153" s="5" t="s">
        <v>238</v>
      </c>
      <c r="V2153" s="5" t="s">
        <v>238</v>
      </c>
      <c r="X2153" s="6" t="s">
        <v>238</v>
      </c>
      <c r="AA2153" s="6" t="s">
        <v>243</v>
      </c>
      <c r="AB2153" s="5" t="s">
        <v>238</v>
      </c>
      <c r="AC2153" s="5" t="s">
        <v>244</v>
      </c>
      <c r="AD2153" s="5" t="s">
        <v>245</v>
      </c>
      <c r="AT2153" s="5" t="s">
        <v>246</v>
      </c>
      <c r="AU2153" s="5" t="s">
        <v>238</v>
      </c>
      <c r="AV2153" s="5" t="s">
        <v>247</v>
      </c>
      <c r="AW2153" s="5" t="s">
        <v>238</v>
      </c>
      <c r="AX2153" s="5" t="s">
        <v>249</v>
      </c>
      <c r="AY2153" s="5" t="s">
        <v>238</v>
      </c>
      <c r="BA2153" s="5" t="s">
        <v>238</v>
      </c>
      <c r="BC2153" s="5" t="s">
        <v>250</v>
      </c>
      <c r="BD2153" s="6" t="s">
        <v>243</v>
      </c>
      <c r="BE2153" s="5" t="s">
        <v>251</v>
      </c>
      <c r="BF2153" s="5" t="s">
        <v>252</v>
      </c>
      <c r="BG2153" s="5" t="s">
        <v>238</v>
      </c>
      <c r="BH2153" s="7">
        <f>0</f>
        <v>0</v>
      </c>
      <c r="BI2153" s="8">
        <f>0</f>
        <v>0</v>
      </c>
      <c r="BJ2153" s="5" t="s">
        <v>253</v>
      </c>
      <c r="BK2153" s="5" t="s">
        <v>254</v>
      </c>
      <c r="BY2153" s="5" t="s">
        <v>238</v>
      </c>
      <c r="BZ2153" s="5" t="s">
        <v>238</v>
      </c>
      <c r="CD2153" s="5" t="s">
        <v>273</v>
      </c>
      <c r="CE2153" s="5" t="s">
        <v>256</v>
      </c>
      <c r="CF2153" s="5" t="s">
        <v>238</v>
      </c>
      <c r="CI2153" s="6" t="s">
        <v>257</v>
      </c>
      <c r="CJ2153" s="5" t="s">
        <v>238</v>
      </c>
      <c r="CK2153" s="5" t="s">
        <v>258</v>
      </c>
      <c r="CL2153" s="5" t="s">
        <v>238</v>
      </c>
      <c r="CM2153" s="5" t="s">
        <v>238</v>
      </c>
      <c r="CN2153" s="5">
        <v>0</v>
      </c>
      <c r="CO2153" s="5" t="s">
        <v>259</v>
      </c>
      <c r="CP2153" s="5" t="s">
        <v>260</v>
      </c>
      <c r="CQ2153" s="5" t="s">
        <v>260</v>
      </c>
      <c r="CR2153" s="5" t="s">
        <v>261</v>
      </c>
      <c r="CU2153" s="8">
        <f>1</f>
        <v>1</v>
      </c>
      <c r="CV2153" s="8">
        <f>0</f>
        <v>0</v>
      </c>
      <c r="CX2153" s="8">
        <f>0</f>
        <v>0</v>
      </c>
      <c r="CY2153" s="8">
        <f>1</f>
        <v>1</v>
      </c>
      <c r="DA2153" s="5" t="s">
        <v>274</v>
      </c>
      <c r="DB2153" s="5" t="s">
        <v>238</v>
      </c>
      <c r="DD2153" s="5" t="s">
        <v>274</v>
      </c>
      <c r="DE2153" s="8">
        <f>52</f>
        <v>52</v>
      </c>
      <c r="DG2153" s="5" t="s">
        <v>238</v>
      </c>
      <c r="DH2153" s="5" t="s">
        <v>238</v>
      </c>
      <c r="DI2153" s="5" t="s">
        <v>238</v>
      </c>
      <c r="DJ2153" s="5" t="s">
        <v>238</v>
      </c>
      <c r="DN2153" s="5" t="s">
        <v>238</v>
      </c>
      <c r="DO2153" s="5" t="s">
        <v>238</v>
      </c>
      <c r="DP2153" s="5" t="s">
        <v>238</v>
      </c>
      <c r="DQ2153" s="5" t="s">
        <v>238</v>
      </c>
      <c r="DT2153" s="5" t="s">
        <v>275</v>
      </c>
      <c r="DU2153" s="5" t="s">
        <v>672</v>
      </c>
      <c r="HM2153" s="5" t="s">
        <v>264</v>
      </c>
    </row>
    <row r="2154" spans="1:221" x14ac:dyDescent="0.4">
      <c r="A2154" s="5">
        <v>3858</v>
      </c>
      <c r="B2154" s="5">
        <v>1</v>
      </c>
      <c r="C2154" s="5">
        <v>1</v>
      </c>
      <c r="D2154" s="5" t="s">
        <v>269</v>
      </c>
      <c r="E2154" s="5" t="s">
        <v>271</v>
      </c>
      <c r="F2154" s="5" t="s">
        <v>248</v>
      </c>
      <c r="G2154" s="5" t="s">
        <v>266</v>
      </c>
      <c r="H2154" s="6" t="s">
        <v>674</v>
      </c>
      <c r="I2154" s="7">
        <f>108</f>
        <v>108</v>
      </c>
      <c r="J2154" s="5" t="s">
        <v>262</v>
      </c>
      <c r="K2154" s="8">
        <f>1</f>
        <v>1</v>
      </c>
      <c r="L2154" s="6" t="s">
        <v>242</v>
      </c>
      <c r="M2154" s="5" t="s">
        <v>267</v>
      </c>
      <c r="N2154" s="5" t="s">
        <v>265</v>
      </c>
      <c r="O2154" s="5" t="s">
        <v>238</v>
      </c>
      <c r="P2154" s="5" t="s">
        <v>238</v>
      </c>
      <c r="Q2154" s="5" t="s">
        <v>268</v>
      </c>
      <c r="R2154" s="5" t="s">
        <v>270</v>
      </c>
      <c r="S2154" s="5" t="s">
        <v>238</v>
      </c>
      <c r="V2154" s="5" t="s">
        <v>238</v>
      </c>
      <c r="X2154" s="6" t="s">
        <v>238</v>
      </c>
      <c r="AA2154" s="6" t="s">
        <v>243</v>
      </c>
      <c r="AB2154" s="5" t="s">
        <v>238</v>
      </c>
      <c r="AC2154" s="5" t="s">
        <v>244</v>
      </c>
      <c r="AD2154" s="5" t="s">
        <v>245</v>
      </c>
      <c r="AT2154" s="5" t="s">
        <v>246</v>
      </c>
      <c r="AU2154" s="5" t="s">
        <v>238</v>
      </c>
      <c r="AV2154" s="5" t="s">
        <v>247</v>
      </c>
      <c r="AW2154" s="5" t="s">
        <v>238</v>
      </c>
      <c r="AX2154" s="5" t="s">
        <v>249</v>
      </c>
      <c r="AY2154" s="5" t="s">
        <v>238</v>
      </c>
      <c r="BA2154" s="5" t="s">
        <v>238</v>
      </c>
      <c r="BC2154" s="5" t="s">
        <v>250</v>
      </c>
      <c r="BD2154" s="6" t="s">
        <v>243</v>
      </c>
      <c r="BE2154" s="5" t="s">
        <v>251</v>
      </c>
      <c r="BF2154" s="5" t="s">
        <v>252</v>
      </c>
      <c r="BG2154" s="5" t="s">
        <v>238</v>
      </c>
      <c r="BH2154" s="7">
        <f>0</f>
        <v>0</v>
      </c>
      <c r="BI2154" s="8">
        <f>0</f>
        <v>0</v>
      </c>
      <c r="BJ2154" s="5" t="s">
        <v>253</v>
      </c>
      <c r="BK2154" s="5" t="s">
        <v>254</v>
      </c>
      <c r="BY2154" s="5" t="s">
        <v>238</v>
      </c>
      <c r="BZ2154" s="5" t="s">
        <v>238</v>
      </c>
      <c r="CD2154" s="5" t="s">
        <v>273</v>
      </c>
      <c r="CE2154" s="5" t="s">
        <v>256</v>
      </c>
      <c r="CF2154" s="5" t="s">
        <v>238</v>
      </c>
      <c r="CI2154" s="6" t="s">
        <v>257</v>
      </c>
      <c r="CJ2154" s="5" t="s">
        <v>238</v>
      </c>
      <c r="CK2154" s="5" t="s">
        <v>258</v>
      </c>
      <c r="CL2154" s="5" t="s">
        <v>238</v>
      </c>
      <c r="CM2154" s="5" t="s">
        <v>238</v>
      </c>
      <c r="CN2154" s="5">
        <v>0</v>
      </c>
      <c r="CO2154" s="5" t="s">
        <v>259</v>
      </c>
      <c r="CP2154" s="5" t="s">
        <v>260</v>
      </c>
      <c r="CQ2154" s="5" t="s">
        <v>260</v>
      </c>
      <c r="CR2154" s="5" t="s">
        <v>261</v>
      </c>
      <c r="CU2154" s="8">
        <f>1</f>
        <v>1</v>
      </c>
      <c r="CV2154" s="8">
        <f>0</f>
        <v>0</v>
      </c>
      <c r="CX2154" s="8">
        <f>0</f>
        <v>0</v>
      </c>
      <c r="CY2154" s="8">
        <f>1</f>
        <v>1</v>
      </c>
      <c r="DA2154" s="5" t="s">
        <v>274</v>
      </c>
      <c r="DB2154" s="5" t="s">
        <v>238</v>
      </c>
      <c r="DD2154" s="5" t="s">
        <v>274</v>
      </c>
      <c r="DE2154" s="8">
        <f>108</f>
        <v>108</v>
      </c>
      <c r="DG2154" s="5" t="s">
        <v>238</v>
      </c>
      <c r="DH2154" s="5" t="s">
        <v>238</v>
      </c>
      <c r="DI2154" s="5" t="s">
        <v>238</v>
      </c>
      <c r="DJ2154" s="5" t="s">
        <v>238</v>
      </c>
      <c r="DN2154" s="5" t="s">
        <v>238</v>
      </c>
      <c r="DO2154" s="5" t="s">
        <v>238</v>
      </c>
      <c r="DP2154" s="5" t="s">
        <v>238</v>
      </c>
      <c r="DQ2154" s="5" t="s">
        <v>238</v>
      </c>
      <c r="DT2154" s="5" t="s">
        <v>275</v>
      </c>
      <c r="DU2154" s="5" t="s">
        <v>675</v>
      </c>
      <c r="HM2154" s="5" t="s">
        <v>264</v>
      </c>
    </row>
    <row r="2155" spans="1:221" x14ac:dyDescent="0.4">
      <c r="A2155" s="5">
        <v>3859</v>
      </c>
      <c r="B2155" s="5">
        <v>1</v>
      </c>
      <c r="C2155" s="5">
        <v>1</v>
      </c>
      <c r="D2155" s="5" t="s">
        <v>269</v>
      </c>
      <c r="E2155" s="5" t="s">
        <v>271</v>
      </c>
      <c r="F2155" s="5" t="s">
        <v>248</v>
      </c>
      <c r="G2155" s="5" t="s">
        <v>266</v>
      </c>
      <c r="H2155" s="6" t="s">
        <v>676</v>
      </c>
      <c r="I2155" s="7">
        <f>465</f>
        <v>465</v>
      </c>
      <c r="J2155" s="5" t="s">
        <v>262</v>
      </c>
      <c r="K2155" s="8">
        <f>1</f>
        <v>1</v>
      </c>
      <c r="L2155" s="6" t="s">
        <v>242</v>
      </c>
      <c r="M2155" s="5" t="s">
        <v>267</v>
      </c>
      <c r="N2155" s="5" t="s">
        <v>265</v>
      </c>
      <c r="O2155" s="5" t="s">
        <v>238</v>
      </c>
      <c r="P2155" s="5" t="s">
        <v>238</v>
      </c>
      <c r="Q2155" s="5" t="s">
        <v>268</v>
      </c>
      <c r="R2155" s="5" t="s">
        <v>270</v>
      </c>
      <c r="S2155" s="5" t="s">
        <v>238</v>
      </c>
      <c r="V2155" s="5" t="s">
        <v>238</v>
      </c>
      <c r="X2155" s="6" t="s">
        <v>238</v>
      </c>
      <c r="AA2155" s="6" t="s">
        <v>243</v>
      </c>
      <c r="AB2155" s="5" t="s">
        <v>238</v>
      </c>
      <c r="AC2155" s="5" t="s">
        <v>244</v>
      </c>
      <c r="AD2155" s="5" t="s">
        <v>245</v>
      </c>
      <c r="AT2155" s="5" t="s">
        <v>246</v>
      </c>
      <c r="AU2155" s="5" t="s">
        <v>238</v>
      </c>
      <c r="AV2155" s="5" t="s">
        <v>247</v>
      </c>
      <c r="AW2155" s="5" t="s">
        <v>238</v>
      </c>
      <c r="AX2155" s="5" t="s">
        <v>249</v>
      </c>
      <c r="AY2155" s="5" t="s">
        <v>238</v>
      </c>
      <c r="BA2155" s="5" t="s">
        <v>238</v>
      </c>
      <c r="BC2155" s="5" t="s">
        <v>250</v>
      </c>
      <c r="BD2155" s="6" t="s">
        <v>243</v>
      </c>
      <c r="BE2155" s="5" t="s">
        <v>251</v>
      </c>
      <c r="BF2155" s="5" t="s">
        <v>252</v>
      </c>
      <c r="BG2155" s="5" t="s">
        <v>238</v>
      </c>
      <c r="BH2155" s="7">
        <f>0</f>
        <v>0</v>
      </c>
      <c r="BI2155" s="8">
        <f>0</f>
        <v>0</v>
      </c>
      <c r="BJ2155" s="5" t="s">
        <v>253</v>
      </c>
      <c r="BK2155" s="5" t="s">
        <v>254</v>
      </c>
      <c r="BY2155" s="5" t="s">
        <v>238</v>
      </c>
      <c r="BZ2155" s="5" t="s">
        <v>238</v>
      </c>
      <c r="CD2155" s="5" t="s">
        <v>273</v>
      </c>
      <c r="CE2155" s="5" t="s">
        <v>256</v>
      </c>
      <c r="CF2155" s="5" t="s">
        <v>238</v>
      </c>
      <c r="CI2155" s="6" t="s">
        <v>257</v>
      </c>
      <c r="CJ2155" s="5" t="s">
        <v>238</v>
      </c>
      <c r="CK2155" s="5" t="s">
        <v>258</v>
      </c>
      <c r="CL2155" s="5" t="s">
        <v>238</v>
      </c>
      <c r="CM2155" s="5" t="s">
        <v>238</v>
      </c>
      <c r="CN2155" s="5">
        <v>0</v>
      </c>
      <c r="CO2155" s="5" t="s">
        <v>259</v>
      </c>
      <c r="CP2155" s="5" t="s">
        <v>260</v>
      </c>
      <c r="CQ2155" s="5" t="s">
        <v>260</v>
      </c>
      <c r="CR2155" s="5" t="s">
        <v>261</v>
      </c>
      <c r="CU2155" s="8">
        <f>1</f>
        <v>1</v>
      </c>
      <c r="CV2155" s="8">
        <f>0</f>
        <v>0</v>
      </c>
      <c r="CX2155" s="8">
        <f>0</f>
        <v>0</v>
      </c>
      <c r="CY2155" s="8">
        <f>1</f>
        <v>1</v>
      </c>
      <c r="DA2155" s="5" t="s">
        <v>274</v>
      </c>
      <c r="DB2155" s="5" t="s">
        <v>238</v>
      </c>
      <c r="DD2155" s="5" t="s">
        <v>274</v>
      </c>
      <c r="DE2155" s="8">
        <f>465</f>
        <v>465</v>
      </c>
      <c r="DG2155" s="5" t="s">
        <v>238</v>
      </c>
      <c r="DH2155" s="5" t="s">
        <v>238</v>
      </c>
      <c r="DI2155" s="5" t="s">
        <v>238</v>
      </c>
      <c r="DJ2155" s="5" t="s">
        <v>238</v>
      </c>
      <c r="DN2155" s="5" t="s">
        <v>238</v>
      </c>
      <c r="DO2155" s="5" t="s">
        <v>238</v>
      </c>
      <c r="DP2155" s="5" t="s">
        <v>238</v>
      </c>
      <c r="DQ2155" s="5" t="s">
        <v>238</v>
      </c>
      <c r="DT2155" s="5" t="s">
        <v>275</v>
      </c>
      <c r="DU2155" s="5" t="s">
        <v>677</v>
      </c>
      <c r="HM2155" s="5" t="s">
        <v>264</v>
      </c>
    </row>
    <row r="2156" spans="1:221" x14ac:dyDescent="0.4">
      <c r="A2156" s="5">
        <v>3860</v>
      </c>
      <c r="B2156" s="5">
        <v>1</v>
      </c>
      <c r="C2156" s="5">
        <v>1</v>
      </c>
      <c r="D2156" s="5" t="s">
        <v>269</v>
      </c>
      <c r="E2156" s="5" t="s">
        <v>271</v>
      </c>
      <c r="F2156" s="5" t="s">
        <v>248</v>
      </c>
      <c r="G2156" s="5" t="s">
        <v>266</v>
      </c>
      <c r="H2156" s="6" t="s">
        <v>680</v>
      </c>
      <c r="I2156" s="7">
        <f>936</f>
        <v>936</v>
      </c>
      <c r="J2156" s="5" t="s">
        <v>262</v>
      </c>
      <c r="K2156" s="8">
        <f>1</f>
        <v>1</v>
      </c>
      <c r="L2156" s="6" t="s">
        <v>242</v>
      </c>
      <c r="M2156" s="5" t="s">
        <v>267</v>
      </c>
      <c r="N2156" s="5" t="s">
        <v>265</v>
      </c>
      <c r="O2156" s="5" t="s">
        <v>238</v>
      </c>
      <c r="P2156" s="5" t="s">
        <v>238</v>
      </c>
      <c r="Q2156" s="5" t="s">
        <v>268</v>
      </c>
      <c r="R2156" s="5" t="s">
        <v>270</v>
      </c>
      <c r="S2156" s="5" t="s">
        <v>238</v>
      </c>
      <c r="V2156" s="5" t="s">
        <v>238</v>
      </c>
      <c r="X2156" s="6" t="s">
        <v>238</v>
      </c>
      <c r="AA2156" s="6" t="s">
        <v>243</v>
      </c>
      <c r="AB2156" s="5" t="s">
        <v>238</v>
      </c>
      <c r="AC2156" s="5" t="s">
        <v>244</v>
      </c>
      <c r="AD2156" s="5" t="s">
        <v>245</v>
      </c>
      <c r="AT2156" s="5" t="s">
        <v>246</v>
      </c>
      <c r="AU2156" s="5" t="s">
        <v>238</v>
      </c>
      <c r="AV2156" s="5" t="s">
        <v>247</v>
      </c>
      <c r="AW2156" s="5" t="s">
        <v>238</v>
      </c>
      <c r="AX2156" s="5" t="s">
        <v>249</v>
      </c>
      <c r="AY2156" s="5" t="s">
        <v>238</v>
      </c>
      <c r="BA2156" s="5" t="s">
        <v>238</v>
      </c>
      <c r="BC2156" s="5" t="s">
        <v>250</v>
      </c>
      <c r="BD2156" s="6" t="s">
        <v>243</v>
      </c>
      <c r="BE2156" s="5" t="s">
        <v>251</v>
      </c>
      <c r="BF2156" s="5" t="s">
        <v>252</v>
      </c>
      <c r="BG2156" s="5" t="s">
        <v>238</v>
      </c>
      <c r="BH2156" s="7">
        <f>0</f>
        <v>0</v>
      </c>
      <c r="BI2156" s="8">
        <f>0</f>
        <v>0</v>
      </c>
      <c r="BJ2156" s="5" t="s">
        <v>253</v>
      </c>
      <c r="BK2156" s="5" t="s">
        <v>254</v>
      </c>
      <c r="BY2156" s="5" t="s">
        <v>238</v>
      </c>
      <c r="BZ2156" s="5" t="s">
        <v>238</v>
      </c>
      <c r="CD2156" s="5" t="s">
        <v>273</v>
      </c>
      <c r="CE2156" s="5" t="s">
        <v>256</v>
      </c>
      <c r="CF2156" s="5" t="s">
        <v>238</v>
      </c>
      <c r="CI2156" s="6" t="s">
        <v>257</v>
      </c>
      <c r="CJ2156" s="5" t="s">
        <v>238</v>
      </c>
      <c r="CK2156" s="5" t="s">
        <v>258</v>
      </c>
      <c r="CL2156" s="5" t="s">
        <v>238</v>
      </c>
      <c r="CM2156" s="5" t="s">
        <v>238</v>
      </c>
      <c r="CN2156" s="5">
        <v>0</v>
      </c>
      <c r="CO2156" s="5" t="s">
        <v>259</v>
      </c>
      <c r="CP2156" s="5" t="s">
        <v>260</v>
      </c>
      <c r="CQ2156" s="5" t="s">
        <v>260</v>
      </c>
      <c r="CR2156" s="5" t="s">
        <v>261</v>
      </c>
      <c r="CU2156" s="8">
        <f>1</f>
        <v>1</v>
      </c>
      <c r="CV2156" s="8">
        <f>0</f>
        <v>0</v>
      </c>
      <c r="CX2156" s="8">
        <f>0</f>
        <v>0</v>
      </c>
      <c r="CY2156" s="8">
        <f>1</f>
        <v>1</v>
      </c>
      <c r="DA2156" s="5" t="s">
        <v>274</v>
      </c>
      <c r="DB2156" s="5" t="s">
        <v>238</v>
      </c>
      <c r="DD2156" s="5" t="s">
        <v>274</v>
      </c>
      <c r="DE2156" s="8">
        <f>936</f>
        <v>936</v>
      </c>
      <c r="DG2156" s="5" t="s">
        <v>238</v>
      </c>
      <c r="DH2156" s="5" t="s">
        <v>238</v>
      </c>
      <c r="DI2156" s="5" t="s">
        <v>238</v>
      </c>
      <c r="DJ2156" s="5" t="s">
        <v>238</v>
      </c>
      <c r="DN2156" s="5" t="s">
        <v>238</v>
      </c>
      <c r="DO2156" s="5" t="s">
        <v>238</v>
      </c>
      <c r="DP2156" s="5" t="s">
        <v>238</v>
      </c>
      <c r="DQ2156" s="5" t="s">
        <v>238</v>
      </c>
      <c r="DT2156" s="5" t="s">
        <v>275</v>
      </c>
      <c r="DU2156" s="5" t="s">
        <v>681</v>
      </c>
      <c r="HM2156" s="5" t="s">
        <v>264</v>
      </c>
    </row>
    <row r="2157" spans="1:221" x14ac:dyDescent="0.4">
      <c r="A2157" s="5">
        <v>3861</v>
      </c>
      <c r="B2157" s="5">
        <v>1</v>
      </c>
      <c r="C2157" s="5">
        <v>1</v>
      </c>
      <c r="D2157" s="5" t="s">
        <v>269</v>
      </c>
      <c r="E2157" s="5" t="s">
        <v>271</v>
      </c>
      <c r="F2157" s="5" t="s">
        <v>248</v>
      </c>
      <c r="G2157" s="5" t="s">
        <v>266</v>
      </c>
      <c r="H2157" s="6" t="s">
        <v>684</v>
      </c>
      <c r="I2157" s="7">
        <f>1091</f>
        <v>1091</v>
      </c>
      <c r="J2157" s="5" t="s">
        <v>262</v>
      </c>
      <c r="K2157" s="8">
        <f>1</f>
        <v>1</v>
      </c>
      <c r="L2157" s="6" t="s">
        <v>242</v>
      </c>
      <c r="M2157" s="5" t="s">
        <v>267</v>
      </c>
      <c r="N2157" s="5" t="s">
        <v>265</v>
      </c>
      <c r="O2157" s="5" t="s">
        <v>238</v>
      </c>
      <c r="P2157" s="5" t="s">
        <v>238</v>
      </c>
      <c r="Q2157" s="5" t="s">
        <v>268</v>
      </c>
      <c r="R2157" s="5" t="s">
        <v>270</v>
      </c>
      <c r="S2157" s="5" t="s">
        <v>238</v>
      </c>
      <c r="V2157" s="5" t="s">
        <v>238</v>
      </c>
      <c r="X2157" s="6" t="s">
        <v>238</v>
      </c>
      <c r="AA2157" s="6" t="s">
        <v>243</v>
      </c>
      <c r="AB2157" s="5" t="s">
        <v>238</v>
      </c>
      <c r="AC2157" s="5" t="s">
        <v>244</v>
      </c>
      <c r="AD2157" s="5" t="s">
        <v>245</v>
      </c>
      <c r="AT2157" s="5" t="s">
        <v>246</v>
      </c>
      <c r="AU2157" s="5" t="s">
        <v>238</v>
      </c>
      <c r="AV2157" s="5" t="s">
        <v>247</v>
      </c>
      <c r="AW2157" s="5" t="s">
        <v>238</v>
      </c>
      <c r="AX2157" s="5" t="s">
        <v>249</v>
      </c>
      <c r="AY2157" s="5" t="s">
        <v>238</v>
      </c>
      <c r="BA2157" s="5" t="s">
        <v>238</v>
      </c>
      <c r="BC2157" s="5" t="s">
        <v>250</v>
      </c>
      <c r="BD2157" s="6" t="s">
        <v>243</v>
      </c>
      <c r="BE2157" s="5" t="s">
        <v>251</v>
      </c>
      <c r="BF2157" s="5" t="s">
        <v>252</v>
      </c>
      <c r="BG2157" s="5" t="s">
        <v>238</v>
      </c>
      <c r="BH2157" s="7">
        <f>0</f>
        <v>0</v>
      </c>
      <c r="BI2157" s="8">
        <f>0</f>
        <v>0</v>
      </c>
      <c r="BJ2157" s="5" t="s">
        <v>253</v>
      </c>
      <c r="BK2157" s="5" t="s">
        <v>254</v>
      </c>
      <c r="BY2157" s="5" t="s">
        <v>238</v>
      </c>
      <c r="BZ2157" s="5" t="s">
        <v>238</v>
      </c>
      <c r="CD2157" s="5" t="s">
        <v>273</v>
      </c>
      <c r="CE2157" s="5" t="s">
        <v>256</v>
      </c>
      <c r="CF2157" s="5" t="s">
        <v>238</v>
      </c>
      <c r="CI2157" s="6" t="s">
        <v>257</v>
      </c>
      <c r="CJ2157" s="5" t="s">
        <v>238</v>
      </c>
      <c r="CK2157" s="5" t="s">
        <v>258</v>
      </c>
      <c r="CL2157" s="5" t="s">
        <v>238</v>
      </c>
      <c r="CM2157" s="5" t="s">
        <v>238</v>
      </c>
      <c r="CN2157" s="5">
        <v>0</v>
      </c>
      <c r="CO2157" s="5" t="s">
        <v>259</v>
      </c>
      <c r="CP2157" s="5" t="s">
        <v>260</v>
      </c>
      <c r="CQ2157" s="5" t="s">
        <v>260</v>
      </c>
      <c r="CR2157" s="5" t="s">
        <v>261</v>
      </c>
      <c r="CU2157" s="8">
        <f>1</f>
        <v>1</v>
      </c>
      <c r="CV2157" s="8">
        <f>0</f>
        <v>0</v>
      </c>
      <c r="CX2157" s="8">
        <f>0</f>
        <v>0</v>
      </c>
      <c r="CY2157" s="8">
        <f>1</f>
        <v>1</v>
      </c>
      <c r="DA2157" s="5" t="s">
        <v>274</v>
      </c>
      <c r="DB2157" s="5" t="s">
        <v>238</v>
      </c>
      <c r="DD2157" s="5" t="s">
        <v>274</v>
      </c>
      <c r="DE2157" s="8">
        <f>1091</f>
        <v>1091</v>
      </c>
      <c r="DG2157" s="5" t="s">
        <v>238</v>
      </c>
      <c r="DH2157" s="5" t="s">
        <v>238</v>
      </c>
      <c r="DI2157" s="5" t="s">
        <v>238</v>
      </c>
      <c r="DJ2157" s="5" t="s">
        <v>238</v>
      </c>
      <c r="DN2157" s="5" t="s">
        <v>238</v>
      </c>
      <c r="DO2157" s="5" t="s">
        <v>238</v>
      </c>
      <c r="DP2157" s="5" t="s">
        <v>238</v>
      </c>
      <c r="DQ2157" s="5" t="s">
        <v>238</v>
      </c>
      <c r="DT2157" s="5" t="s">
        <v>275</v>
      </c>
      <c r="DU2157" s="5" t="s">
        <v>685</v>
      </c>
      <c r="HM2157" s="5" t="s">
        <v>264</v>
      </c>
    </row>
    <row r="2158" spans="1:221" x14ac:dyDescent="0.4">
      <c r="A2158" s="5">
        <v>3862</v>
      </c>
      <c r="B2158" s="5">
        <v>1</v>
      </c>
      <c r="C2158" s="5">
        <v>1</v>
      </c>
      <c r="D2158" s="5" t="s">
        <v>269</v>
      </c>
      <c r="E2158" s="5" t="s">
        <v>271</v>
      </c>
      <c r="F2158" s="5" t="s">
        <v>248</v>
      </c>
      <c r="G2158" s="5" t="s">
        <v>266</v>
      </c>
      <c r="H2158" s="6" t="s">
        <v>688</v>
      </c>
      <c r="I2158" s="7">
        <f>824</f>
        <v>824</v>
      </c>
      <c r="J2158" s="5" t="s">
        <v>262</v>
      </c>
      <c r="K2158" s="8">
        <f>1</f>
        <v>1</v>
      </c>
      <c r="L2158" s="6" t="s">
        <v>242</v>
      </c>
      <c r="M2158" s="5" t="s">
        <v>267</v>
      </c>
      <c r="N2158" s="5" t="s">
        <v>265</v>
      </c>
      <c r="O2158" s="5" t="s">
        <v>238</v>
      </c>
      <c r="P2158" s="5" t="s">
        <v>238</v>
      </c>
      <c r="Q2158" s="5" t="s">
        <v>268</v>
      </c>
      <c r="R2158" s="5" t="s">
        <v>270</v>
      </c>
      <c r="S2158" s="5" t="s">
        <v>238</v>
      </c>
      <c r="V2158" s="5" t="s">
        <v>238</v>
      </c>
      <c r="X2158" s="6" t="s">
        <v>238</v>
      </c>
      <c r="AA2158" s="6" t="s">
        <v>243</v>
      </c>
      <c r="AB2158" s="5" t="s">
        <v>238</v>
      </c>
      <c r="AC2158" s="5" t="s">
        <v>244</v>
      </c>
      <c r="AD2158" s="5" t="s">
        <v>245</v>
      </c>
      <c r="AT2158" s="5" t="s">
        <v>246</v>
      </c>
      <c r="AU2158" s="5" t="s">
        <v>238</v>
      </c>
      <c r="AV2158" s="5" t="s">
        <v>247</v>
      </c>
      <c r="AW2158" s="5" t="s">
        <v>238</v>
      </c>
      <c r="AX2158" s="5" t="s">
        <v>249</v>
      </c>
      <c r="AY2158" s="5" t="s">
        <v>238</v>
      </c>
      <c r="BA2158" s="5" t="s">
        <v>238</v>
      </c>
      <c r="BC2158" s="5" t="s">
        <v>250</v>
      </c>
      <c r="BD2158" s="6" t="s">
        <v>243</v>
      </c>
      <c r="BE2158" s="5" t="s">
        <v>251</v>
      </c>
      <c r="BF2158" s="5" t="s">
        <v>252</v>
      </c>
      <c r="BG2158" s="5" t="s">
        <v>238</v>
      </c>
      <c r="BH2158" s="7">
        <f>0</f>
        <v>0</v>
      </c>
      <c r="BI2158" s="8">
        <f>0</f>
        <v>0</v>
      </c>
      <c r="BJ2158" s="5" t="s">
        <v>253</v>
      </c>
      <c r="BK2158" s="5" t="s">
        <v>254</v>
      </c>
      <c r="BY2158" s="5" t="s">
        <v>238</v>
      </c>
      <c r="BZ2158" s="5" t="s">
        <v>238</v>
      </c>
      <c r="CD2158" s="5" t="s">
        <v>273</v>
      </c>
      <c r="CE2158" s="5" t="s">
        <v>256</v>
      </c>
      <c r="CF2158" s="5" t="s">
        <v>238</v>
      </c>
      <c r="CI2158" s="6" t="s">
        <v>257</v>
      </c>
      <c r="CJ2158" s="5" t="s">
        <v>238</v>
      </c>
      <c r="CK2158" s="5" t="s">
        <v>258</v>
      </c>
      <c r="CL2158" s="5" t="s">
        <v>238</v>
      </c>
      <c r="CM2158" s="5" t="s">
        <v>238</v>
      </c>
      <c r="CN2158" s="5">
        <v>0</v>
      </c>
      <c r="CO2158" s="5" t="s">
        <v>259</v>
      </c>
      <c r="CP2158" s="5" t="s">
        <v>260</v>
      </c>
      <c r="CQ2158" s="5" t="s">
        <v>260</v>
      </c>
      <c r="CR2158" s="5" t="s">
        <v>261</v>
      </c>
      <c r="CU2158" s="8">
        <f>1</f>
        <v>1</v>
      </c>
      <c r="CV2158" s="8">
        <f>0</f>
        <v>0</v>
      </c>
      <c r="CX2158" s="8">
        <f>0</f>
        <v>0</v>
      </c>
      <c r="CY2158" s="8">
        <f>1</f>
        <v>1</v>
      </c>
      <c r="DA2158" s="5" t="s">
        <v>274</v>
      </c>
      <c r="DB2158" s="5" t="s">
        <v>238</v>
      </c>
      <c r="DD2158" s="5" t="s">
        <v>274</v>
      </c>
      <c r="DE2158" s="8">
        <f>824</f>
        <v>824</v>
      </c>
      <c r="DG2158" s="5" t="s">
        <v>238</v>
      </c>
      <c r="DH2158" s="5" t="s">
        <v>238</v>
      </c>
      <c r="DI2158" s="5" t="s">
        <v>238</v>
      </c>
      <c r="DJ2158" s="5" t="s">
        <v>238</v>
      </c>
      <c r="DN2158" s="5" t="s">
        <v>238</v>
      </c>
      <c r="DO2158" s="5" t="s">
        <v>238</v>
      </c>
      <c r="DP2158" s="5" t="s">
        <v>238</v>
      </c>
      <c r="DQ2158" s="5" t="s">
        <v>238</v>
      </c>
      <c r="DT2158" s="5" t="s">
        <v>275</v>
      </c>
      <c r="DU2158" s="5" t="s">
        <v>689</v>
      </c>
      <c r="HM2158" s="5" t="s">
        <v>264</v>
      </c>
    </row>
    <row r="2159" spans="1:221" x14ac:dyDescent="0.4">
      <c r="A2159" s="5">
        <v>3863</v>
      </c>
      <c r="B2159" s="5">
        <v>1</v>
      </c>
      <c r="C2159" s="5">
        <v>1</v>
      </c>
      <c r="D2159" s="5" t="s">
        <v>269</v>
      </c>
      <c r="E2159" s="5" t="s">
        <v>271</v>
      </c>
      <c r="F2159" s="5" t="s">
        <v>248</v>
      </c>
      <c r="G2159" s="5" t="s">
        <v>266</v>
      </c>
      <c r="H2159" s="6" t="s">
        <v>690</v>
      </c>
      <c r="I2159" s="7">
        <f>269</f>
        <v>269</v>
      </c>
      <c r="J2159" s="5" t="s">
        <v>262</v>
      </c>
      <c r="K2159" s="8">
        <f>1</f>
        <v>1</v>
      </c>
      <c r="L2159" s="6" t="s">
        <v>242</v>
      </c>
      <c r="M2159" s="5" t="s">
        <v>267</v>
      </c>
      <c r="N2159" s="5" t="s">
        <v>265</v>
      </c>
      <c r="O2159" s="5" t="s">
        <v>238</v>
      </c>
      <c r="P2159" s="5" t="s">
        <v>238</v>
      </c>
      <c r="Q2159" s="5" t="s">
        <v>268</v>
      </c>
      <c r="R2159" s="5" t="s">
        <v>270</v>
      </c>
      <c r="S2159" s="5" t="s">
        <v>238</v>
      </c>
      <c r="V2159" s="5" t="s">
        <v>238</v>
      </c>
      <c r="X2159" s="6" t="s">
        <v>238</v>
      </c>
      <c r="AA2159" s="6" t="s">
        <v>243</v>
      </c>
      <c r="AB2159" s="5" t="s">
        <v>238</v>
      </c>
      <c r="AC2159" s="5" t="s">
        <v>244</v>
      </c>
      <c r="AD2159" s="5" t="s">
        <v>245</v>
      </c>
      <c r="AT2159" s="5" t="s">
        <v>246</v>
      </c>
      <c r="AU2159" s="5" t="s">
        <v>238</v>
      </c>
      <c r="AV2159" s="5" t="s">
        <v>247</v>
      </c>
      <c r="AW2159" s="5" t="s">
        <v>238</v>
      </c>
      <c r="AX2159" s="5" t="s">
        <v>249</v>
      </c>
      <c r="AY2159" s="5" t="s">
        <v>238</v>
      </c>
      <c r="BA2159" s="5" t="s">
        <v>238</v>
      </c>
      <c r="BC2159" s="5" t="s">
        <v>250</v>
      </c>
      <c r="BD2159" s="6" t="s">
        <v>243</v>
      </c>
      <c r="BE2159" s="5" t="s">
        <v>251</v>
      </c>
      <c r="BF2159" s="5" t="s">
        <v>252</v>
      </c>
      <c r="BG2159" s="5" t="s">
        <v>238</v>
      </c>
      <c r="BH2159" s="7">
        <f>0</f>
        <v>0</v>
      </c>
      <c r="BI2159" s="8">
        <f>0</f>
        <v>0</v>
      </c>
      <c r="BJ2159" s="5" t="s">
        <v>253</v>
      </c>
      <c r="BK2159" s="5" t="s">
        <v>254</v>
      </c>
      <c r="BY2159" s="5" t="s">
        <v>238</v>
      </c>
      <c r="BZ2159" s="5" t="s">
        <v>238</v>
      </c>
      <c r="CD2159" s="5" t="s">
        <v>273</v>
      </c>
      <c r="CE2159" s="5" t="s">
        <v>256</v>
      </c>
      <c r="CF2159" s="5" t="s">
        <v>238</v>
      </c>
      <c r="CI2159" s="6" t="s">
        <v>257</v>
      </c>
      <c r="CJ2159" s="5" t="s">
        <v>238</v>
      </c>
      <c r="CK2159" s="5" t="s">
        <v>258</v>
      </c>
      <c r="CL2159" s="5" t="s">
        <v>238</v>
      </c>
      <c r="CM2159" s="5" t="s">
        <v>238</v>
      </c>
      <c r="CN2159" s="5">
        <v>0</v>
      </c>
      <c r="CO2159" s="5" t="s">
        <v>259</v>
      </c>
      <c r="CP2159" s="5" t="s">
        <v>260</v>
      </c>
      <c r="CQ2159" s="5" t="s">
        <v>260</v>
      </c>
      <c r="CR2159" s="5" t="s">
        <v>261</v>
      </c>
      <c r="CU2159" s="8">
        <f>1</f>
        <v>1</v>
      </c>
      <c r="CV2159" s="8">
        <f>0</f>
        <v>0</v>
      </c>
      <c r="CX2159" s="8">
        <f>0</f>
        <v>0</v>
      </c>
      <c r="CY2159" s="8">
        <f>1</f>
        <v>1</v>
      </c>
      <c r="DA2159" s="5" t="s">
        <v>274</v>
      </c>
      <c r="DB2159" s="5" t="s">
        <v>238</v>
      </c>
      <c r="DD2159" s="5" t="s">
        <v>274</v>
      </c>
      <c r="DE2159" s="8">
        <f>269</f>
        <v>269</v>
      </c>
      <c r="DG2159" s="5" t="s">
        <v>238</v>
      </c>
      <c r="DH2159" s="5" t="s">
        <v>238</v>
      </c>
      <c r="DI2159" s="5" t="s">
        <v>238</v>
      </c>
      <c r="DJ2159" s="5" t="s">
        <v>238</v>
      </c>
      <c r="DN2159" s="5" t="s">
        <v>238</v>
      </c>
      <c r="DO2159" s="5" t="s">
        <v>238</v>
      </c>
      <c r="DP2159" s="5" t="s">
        <v>238</v>
      </c>
      <c r="DQ2159" s="5" t="s">
        <v>238</v>
      </c>
      <c r="DT2159" s="5" t="s">
        <v>275</v>
      </c>
      <c r="DU2159" s="5" t="s">
        <v>691</v>
      </c>
      <c r="HM2159" s="5" t="s">
        <v>264</v>
      </c>
    </row>
    <row r="2160" spans="1:221" x14ac:dyDescent="0.4">
      <c r="A2160" s="5">
        <v>3864</v>
      </c>
      <c r="B2160" s="5">
        <v>1</v>
      </c>
      <c r="C2160" s="5">
        <v>1</v>
      </c>
      <c r="D2160" s="5" t="s">
        <v>269</v>
      </c>
      <c r="E2160" s="5" t="s">
        <v>271</v>
      </c>
      <c r="F2160" s="5" t="s">
        <v>248</v>
      </c>
      <c r="G2160" s="5" t="s">
        <v>266</v>
      </c>
      <c r="H2160" s="6" t="s">
        <v>692</v>
      </c>
      <c r="I2160" s="7">
        <f>888</f>
        <v>888</v>
      </c>
      <c r="J2160" s="5" t="s">
        <v>262</v>
      </c>
      <c r="K2160" s="8">
        <f>1</f>
        <v>1</v>
      </c>
      <c r="L2160" s="6" t="s">
        <v>242</v>
      </c>
      <c r="M2160" s="5" t="s">
        <v>267</v>
      </c>
      <c r="N2160" s="5" t="s">
        <v>265</v>
      </c>
      <c r="O2160" s="5" t="s">
        <v>238</v>
      </c>
      <c r="P2160" s="5" t="s">
        <v>238</v>
      </c>
      <c r="Q2160" s="5" t="s">
        <v>268</v>
      </c>
      <c r="R2160" s="5" t="s">
        <v>270</v>
      </c>
      <c r="S2160" s="5" t="s">
        <v>238</v>
      </c>
      <c r="V2160" s="5" t="s">
        <v>238</v>
      </c>
      <c r="X2160" s="6" t="s">
        <v>238</v>
      </c>
      <c r="AA2160" s="6" t="s">
        <v>243</v>
      </c>
      <c r="AB2160" s="5" t="s">
        <v>238</v>
      </c>
      <c r="AC2160" s="5" t="s">
        <v>244</v>
      </c>
      <c r="AD2160" s="5" t="s">
        <v>245</v>
      </c>
      <c r="AT2160" s="5" t="s">
        <v>246</v>
      </c>
      <c r="AU2160" s="5" t="s">
        <v>238</v>
      </c>
      <c r="AV2160" s="5" t="s">
        <v>247</v>
      </c>
      <c r="AW2160" s="5" t="s">
        <v>238</v>
      </c>
      <c r="AX2160" s="5" t="s">
        <v>249</v>
      </c>
      <c r="AY2160" s="5" t="s">
        <v>238</v>
      </c>
      <c r="BA2160" s="5" t="s">
        <v>238</v>
      </c>
      <c r="BC2160" s="5" t="s">
        <v>250</v>
      </c>
      <c r="BD2160" s="6" t="s">
        <v>243</v>
      </c>
      <c r="BE2160" s="5" t="s">
        <v>251</v>
      </c>
      <c r="BF2160" s="5" t="s">
        <v>252</v>
      </c>
      <c r="BG2160" s="5" t="s">
        <v>238</v>
      </c>
      <c r="BH2160" s="7">
        <f>0</f>
        <v>0</v>
      </c>
      <c r="BI2160" s="8">
        <f>0</f>
        <v>0</v>
      </c>
      <c r="BJ2160" s="5" t="s">
        <v>253</v>
      </c>
      <c r="BK2160" s="5" t="s">
        <v>254</v>
      </c>
      <c r="BY2160" s="5" t="s">
        <v>238</v>
      </c>
      <c r="BZ2160" s="5" t="s">
        <v>238</v>
      </c>
      <c r="CD2160" s="5" t="s">
        <v>273</v>
      </c>
      <c r="CE2160" s="5" t="s">
        <v>256</v>
      </c>
      <c r="CF2160" s="5" t="s">
        <v>238</v>
      </c>
      <c r="CI2160" s="6" t="s">
        <v>257</v>
      </c>
      <c r="CJ2160" s="5" t="s">
        <v>238</v>
      </c>
      <c r="CK2160" s="5" t="s">
        <v>258</v>
      </c>
      <c r="CL2160" s="5" t="s">
        <v>238</v>
      </c>
      <c r="CM2160" s="5" t="s">
        <v>238</v>
      </c>
      <c r="CN2160" s="5">
        <v>0</v>
      </c>
      <c r="CO2160" s="5" t="s">
        <v>259</v>
      </c>
      <c r="CP2160" s="5" t="s">
        <v>260</v>
      </c>
      <c r="CQ2160" s="5" t="s">
        <v>260</v>
      </c>
      <c r="CR2160" s="5" t="s">
        <v>261</v>
      </c>
      <c r="CU2160" s="8">
        <f>1</f>
        <v>1</v>
      </c>
      <c r="CV2160" s="8">
        <f>0</f>
        <v>0</v>
      </c>
      <c r="CX2160" s="8">
        <f>0</f>
        <v>0</v>
      </c>
      <c r="CY2160" s="8">
        <f>1</f>
        <v>1</v>
      </c>
      <c r="DA2160" s="5" t="s">
        <v>274</v>
      </c>
      <c r="DB2160" s="5" t="s">
        <v>238</v>
      </c>
      <c r="DD2160" s="5" t="s">
        <v>274</v>
      </c>
      <c r="DE2160" s="8">
        <f>888</f>
        <v>888</v>
      </c>
      <c r="DG2160" s="5" t="s">
        <v>238</v>
      </c>
      <c r="DH2160" s="5" t="s">
        <v>238</v>
      </c>
      <c r="DI2160" s="5" t="s">
        <v>238</v>
      </c>
      <c r="DJ2160" s="5" t="s">
        <v>238</v>
      </c>
      <c r="DN2160" s="5" t="s">
        <v>238</v>
      </c>
      <c r="DO2160" s="5" t="s">
        <v>238</v>
      </c>
      <c r="DP2160" s="5" t="s">
        <v>238</v>
      </c>
      <c r="DQ2160" s="5" t="s">
        <v>238</v>
      </c>
      <c r="DT2160" s="5" t="s">
        <v>275</v>
      </c>
      <c r="DU2160" s="5" t="s">
        <v>693</v>
      </c>
      <c r="HM2160" s="5" t="s">
        <v>264</v>
      </c>
    </row>
    <row r="2161" spans="1:221" x14ac:dyDescent="0.4">
      <c r="A2161" s="5">
        <v>3865</v>
      </c>
      <c r="B2161" s="5">
        <v>1</v>
      </c>
      <c r="C2161" s="5">
        <v>1</v>
      </c>
      <c r="D2161" s="5" t="s">
        <v>269</v>
      </c>
      <c r="E2161" s="5" t="s">
        <v>271</v>
      </c>
      <c r="F2161" s="5" t="s">
        <v>248</v>
      </c>
      <c r="G2161" s="5" t="s">
        <v>266</v>
      </c>
      <c r="H2161" s="6" t="s">
        <v>699</v>
      </c>
      <c r="I2161" s="7">
        <f>1978</f>
        <v>1978</v>
      </c>
      <c r="J2161" s="5" t="s">
        <v>262</v>
      </c>
      <c r="K2161" s="8">
        <f>1</f>
        <v>1</v>
      </c>
      <c r="L2161" s="6" t="s">
        <v>242</v>
      </c>
      <c r="M2161" s="5" t="s">
        <v>267</v>
      </c>
      <c r="N2161" s="5" t="s">
        <v>265</v>
      </c>
      <c r="O2161" s="5" t="s">
        <v>238</v>
      </c>
      <c r="P2161" s="5" t="s">
        <v>238</v>
      </c>
      <c r="Q2161" s="5" t="s">
        <v>268</v>
      </c>
      <c r="R2161" s="5" t="s">
        <v>270</v>
      </c>
      <c r="S2161" s="5" t="s">
        <v>238</v>
      </c>
      <c r="V2161" s="5" t="s">
        <v>238</v>
      </c>
      <c r="X2161" s="6" t="s">
        <v>238</v>
      </c>
      <c r="AA2161" s="6" t="s">
        <v>243</v>
      </c>
      <c r="AB2161" s="5" t="s">
        <v>238</v>
      </c>
      <c r="AC2161" s="5" t="s">
        <v>244</v>
      </c>
      <c r="AD2161" s="5" t="s">
        <v>245</v>
      </c>
      <c r="AT2161" s="5" t="s">
        <v>246</v>
      </c>
      <c r="AU2161" s="5" t="s">
        <v>238</v>
      </c>
      <c r="AV2161" s="5" t="s">
        <v>247</v>
      </c>
      <c r="AW2161" s="5" t="s">
        <v>238</v>
      </c>
      <c r="AX2161" s="5" t="s">
        <v>249</v>
      </c>
      <c r="AY2161" s="5" t="s">
        <v>238</v>
      </c>
      <c r="BA2161" s="5" t="s">
        <v>238</v>
      </c>
      <c r="BC2161" s="5" t="s">
        <v>250</v>
      </c>
      <c r="BD2161" s="6" t="s">
        <v>243</v>
      </c>
      <c r="BE2161" s="5" t="s">
        <v>251</v>
      </c>
      <c r="BF2161" s="5" t="s">
        <v>252</v>
      </c>
      <c r="BG2161" s="5" t="s">
        <v>238</v>
      </c>
      <c r="BH2161" s="7">
        <f>0</f>
        <v>0</v>
      </c>
      <c r="BI2161" s="8">
        <f>0</f>
        <v>0</v>
      </c>
      <c r="BJ2161" s="5" t="s">
        <v>253</v>
      </c>
      <c r="BK2161" s="5" t="s">
        <v>254</v>
      </c>
      <c r="BY2161" s="5" t="s">
        <v>238</v>
      </c>
      <c r="BZ2161" s="5" t="s">
        <v>238</v>
      </c>
      <c r="CD2161" s="5" t="s">
        <v>273</v>
      </c>
      <c r="CE2161" s="5" t="s">
        <v>256</v>
      </c>
      <c r="CF2161" s="5" t="s">
        <v>238</v>
      </c>
      <c r="CI2161" s="6" t="s">
        <v>257</v>
      </c>
      <c r="CJ2161" s="5" t="s">
        <v>238</v>
      </c>
      <c r="CK2161" s="5" t="s">
        <v>258</v>
      </c>
      <c r="CL2161" s="5" t="s">
        <v>238</v>
      </c>
      <c r="CM2161" s="5" t="s">
        <v>238</v>
      </c>
      <c r="CN2161" s="5">
        <v>0</v>
      </c>
      <c r="CO2161" s="5" t="s">
        <v>259</v>
      </c>
      <c r="CP2161" s="5" t="s">
        <v>260</v>
      </c>
      <c r="CQ2161" s="5" t="s">
        <v>260</v>
      </c>
      <c r="CR2161" s="5" t="s">
        <v>261</v>
      </c>
      <c r="CU2161" s="8">
        <f>1</f>
        <v>1</v>
      </c>
      <c r="CV2161" s="8">
        <f>0</f>
        <v>0</v>
      </c>
      <c r="CX2161" s="8">
        <f>0</f>
        <v>0</v>
      </c>
      <c r="CY2161" s="8">
        <f>1</f>
        <v>1</v>
      </c>
      <c r="DA2161" s="5" t="s">
        <v>274</v>
      </c>
      <c r="DB2161" s="5" t="s">
        <v>238</v>
      </c>
      <c r="DD2161" s="5" t="s">
        <v>274</v>
      </c>
      <c r="DE2161" s="8">
        <f>1978</f>
        <v>1978</v>
      </c>
      <c r="DG2161" s="5" t="s">
        <v>238</v>
      </c>
      <c r="DH2161" s="5" t="s">
        <v>238</v>
      </c>
      <c r="DI2161" s="5" t="s">
        <v>238</v>
      </c>
      <c r="DJ2161" s="5" t="s">
        <v>238</v>
      </c>
      <c r="DN2161" s="5" t="s">
        <v>238</v>
      </c>
      <c r="DO2161" s="5" t="s">
        <v>238</v>
      </c>
      <c r="DP2161" s="5" t="s">
        <v>238</v>
      </c>
      <c r="DQ2161" s="5" t="s">
        <v>238</v>
      </c>
      <c r="DT2161" s="5" t="s">
        <v>275</v>
      </c>
      <c r="DU2161" s="5" t="s">
        <v>700</v>
      </c>
      <c r="HM2161" s="5" t="s">
        <v>264</v>
      </c>
    </row>
    <row r="2162" spans="1:221" x14ac:dyDescent="0.4">
      <c r="A2162" s="5">
        <v>3866</v>
      </c>
      <c r="B2162" s="5">
        <v>1</v>
      </c>
      <c r="C2162" s="5">
        <v>1</v>
      </c>
      <c r="D2162" s="5" t="s">
        <v>269</v>
      </c>
      <c r="E2162" s="5" t="s">
        <v>271</v>
      </c>
      <c r="F2162" s="5" t="s">
        <v>248</v>
      </c>
      <c r="G2162" s="5" t="s">
        <v>266</v>
      </c>
      <c r="H2162" s="6" t="s">
        <v>703</v>
      </c>
      <c r="I2162" s="7">
        <f>73</f>
        <v>73</v>
      </c>
      <c r="J2162" s="5" t="s">
        <v>262</v>
      </c>
      <c r="K2162" s="8">
        <f>1</f>
        <v>1</v>
      </c>
      <c r="L2162" s="6" t="s">
        <v>242</v>
      </c>
      <c r="M2162" s="5" t="s">
        <v>267</v>
      </c>
      <c r="N2162" s="5" t="s">
        <v>265</v>
      </c>
      <c r="O2162" s="5" t="s">
        <v>238</v>
      </c>
      <c r="P2162" s="5" t="s">
        <v>238</v>
      </c>
      <c r="Q2162" s="5" t="s">
        <v>268</v>
      </c>
      <c r="R2162" s="5" t="s">
        <v>270</v>
      </c>
      <c r="S2162" s="5" t="s">
        <v>238</v>
      </c>
      <c r="V2162" s="5" t="s">
        <v>238</v>
      </c>
      <c r="X2162" s="6" t="s">
        <v>238</v>
      </c>
      <c r="AA2162" s="6" t="s">
        <v>243</v>
      </c>
      <c r="AB2162" s="5" t="s">
        <v>238</v>
      </c>
      <c r="AC2162" s="5" t="s">
        <v>244</v>
      </c>
      <c r="AD2162" s="5" t="s">
        <v>245</v>
      </c>
      <c r="AT2162" s="5" t="s">
        <v>246</v>
      </c>
      <c r="AU2162" s="5" t="s">
        <v>238</v>
      </c>
      <c r="AV2162" s="5" t="s">
        <v>247</v>
      </c>
      <c r="AW2162" s="5" t="s">
        <v>238</v>
      </c>
      <c r="AX2162" s="5" t="s">
        <v>249</v>
      </c>
      <c r="AY2162" s="5" t="s">
        <v>238</v>
      </c>
      <c r="BA2162" s="5" t="s">
        <v>238</v>
      </c>
      <c r="BC2162" s="5" t="s">
        <v>250</v>
      </c>
      <c r="BD2162" s="6" t="s">
        <v>243</v>
      </c>
      <c r="BE2162" s="5" t="s">
        <v>251</v>
      </c>
      <c r="BF2162" s="5" t="s">
        <v>252</v>
      </c>
      <c r="BG2162" s="5" t="s">
        <v>238</v>
      </c>
      <c r="BH2162" s="7">
        <f>0</f>
        <v>0</v>
      </c>
      <c r="BI2162" s="8">
        <f>0</f>
        <v>0</v>
      </c>
      <c r="BJ2162" s="5" t="s">
        <v>253</v>
      </c>
      <c r="BK2162" s="5" t="s">
        <v>254</v>
      </c>
      <c r="BY2162" s="5" t="s">
        <v>238</v>
      </c>
      <c r="BZ2162" s="5" t="s">
        <v>238</v>
      </c>
      <c r="CD2162" s="5" t="s">
        <v>273</v>
      </c>
      <c r="CE2162" s="5" t="s">
        <v>256</v>
      </c>
      <c r="CF2162" s="5" t="s">
        <v>238</v>
      </c>
      <c r="CI2162" s="6" t="s">
        <v>257</v>
      </c>
      <c r="CJ2162" s="5" t="s">
        <v>238</v>
      </c>
      <c r="CK2162" s="5" t="s">
        <v>258</v>
      </c>
      <c r="CL2162" s="5" t="s">
        <v>238</v>
      </c>
      <c r="CM2162" s="5" t="s">
        <v>238</v>
      </c>
      <c r="CN2162" s="5">
        <v>0</v>
      </c>
      <c r="CO2162" s="5" t="s">
        <v>259</v>
      </c>
      <c r="CP2162" s="5" t="s">
        <v>260</v>
      </c>
      <c r="CQ2162" s="5" t="s">
        <v>260</v>
      </c>
      <c r="CR2162" s="5" t="s">
        <v>261</v>
      </c>
      <c r="CU2162" s="8">
        <f>1</f>
        <v>1</v>
      </c>
      <c r="CV2162" s="8">
        <f>0</f>
        <v>0</v>
      </c>
      <c r="CX2162" s="8">
        <f>0</f>
        <v>0</v>
      </c>
      <c r="CY2162" s="8">
        <f>1</f>
        <v>1</v>
      </c>
      <c r="DA2162" s="5" t="s">
        <v>274</v>
      </c>
      <c r="DB2162" s="5" t="s">
        <v>238</v>
      </c>
      <c r="DD2162" s="5" t="s">
        <v>274</v>
      </c>
      <c r="DE2162" s="8">
        <f>73</f>
        <v>73</v>
      </c>
      <c r="DG2162" s="5" t="s">
        <v>238</v>
      </c>
      <c r="DH2162" s="5" t="s">
        <v>238</v>
      </c>
      <c r="DI2162" s="5" t="s">
        <v>238</v>
      </c>
      <c r="DJ2162" s="5" t="s">
        <v>238</v>
      </c>
      <c r="DN2162" s="5" t="s">
        <v>238</v>
      </c>
      <c r="DO2162" s="5" t="s">
        <v>238</v>
      </c>
      <c r="DP2162" s="5" t="s">
        <v>238</v>
      </c>
      <c r="DQ2162" s="5" t="s">
        <v>238</v>
      </c>
      <c r="DT2162" s="5" t="s">
        <v>275</v>
      </c>
      <c r="DU2162" s="5" t="s">
        <v>704</v>
      </c>
      <c r="HM2162" s="5" t="s">
        <v>264</v>
      </c>
    </row>
    <row r="2163" spans="1:221" x14ac:dyDescent="0.4">
      <c r="A2163" s="5">
        <v>3867</v>
      </c>
      <c r="B2163" s="5">
        <v>1</v>
      </c>
      <c r="C2163" s="5">
        <v>1</v>
      </c>
      <c r="D2163" s="5" t="s">
        <v>269</v>
      </c>
      <c r="E2163" s="5" t="s">
        <v>271</v>
      </c>
      <c r="F2163" s="5" t="s">
        <v>248</v>
      </c>
      <c r="G2163" s="5" t="s">
        <v>266</v>
      </c>
      <c r="H2163" s="6" t="s">
        <v>707</v>
      </c>
      <c r="I2163" s="7">
        <f>514</f>
        <v>514</v>
      </c>
      <c r="J2163" s="5" t="s">
        <v>262</v>
      </c>
      <c r="K2163" s="8">
        <f>1</f>
        <v>1</v>
      </c>
      <c r="L2163" s="6" t="s">
        <v>242</v>
      </c>
      <c r="M2163" s="5" t="s">
        <v>267</v>
      </c>
      <c r="N2163" s="5" t="s">
        <v>265</v>
      </c>
      <c r="O2163" s="5" t="s">
        <v>238</v>
      </c>
      <c r="P2163" s="5" t="s">
        <v>238</v>
      </c>
      <c r="Q2163" s="5" t="s">
        <v>268</v>
      </c>
      <c r="R2163" s="5" t="s">
        <v>270</v>
      </c>
      <c r="S2163" s="5" t="s">
        <v>238</v>
      </c>
      <c r="V2163" s="5" t="s">
        <v>238</v>
      </c>
      <c r="X2163" s="6" t="s">
        <v>238</v>
      </c>
      <c r="AA2163" s="6" t="s">
        <v>243</v>
      </c>
      <c r="AB2163" s="5" t="s">
        <v>238</v>
      </c>
      <c r="AC2163" s="5" t="s">
        <v>244</v>
      </c>
      <c r="AD2163" s="5" t="s">
        <v>245</v>
      </c>
      <c r="AT2163" s="5" t="s">
        <v>246</v>
      </c>
      <c r="AU2163" s="5" t="s">
        <v>238</v>
      </c>
      <c r="AV2163" s="5" t="s">
        <v>247</v>
      </c>
      <c r="AW2163" s="5" t="s">
        <v>238</v>
      </c>
      <c r="AX2163" s="5" t="s">
        <v>249</v>
      </c>
      <c r="AY2163" s="5" t="s">
        <v>238</v>
      </c>
      <c r="BA2163" s="5" t="s">
        <v>238</v>
      </c>
      <c r="BC2163" s="5" t="s">
        <v>250</v>
      </c>
      <c r="BD2163" s="6" t="s">
        <v>243</v>
      </c>
      <c r="BE2163" s="5" t="s">
        <v>251</v>
      </c>
      <c r="BF2163" s="5" t="s">
        <v>252</v>
      </c>
      <c r="BG2163" s="5" t="s">
        <v>238</v>
      </c>
      <c r="BH2163" s="7">
        <f>0</f>
        <v>0</v>
      </c>
      <c r="BI2163" s="8">
        <f>0</f>
        <v>0</v>
      </c>
      <c r="BJ2163" s="5" t="s">
        <v>253</v>
      </c>
      <c r="BK2163" s="5" t="s">
        <v>254</v>
      </c>
      <c r="BY2163" s="5" t="s">
        <v>238</v>
      </c>
      <c r="BZ2163" s="5" t="s">
        <v>238</v>
      </c>
      <c r="CD2163" s="5" t="s">
        <v>273</v>
      </c>
      <c r="CE2163" s="5" t="s">
        <v>256</v>
      </c>
      <c r="CF2163" s="5" t="s">
        <v>238</v>
      </c>
      <c r="CI2163" s="6" t="s">
        <v>257</v>
      </c>
      <c r="CJ2163" s="5" t="s">
        <v>238</v>
      </c>
      <c r="CK2163" s="5" t="s">
        <v>258</v>
      </c>
      <c r="CL2163" s="5" t="s">
        <v>238</v>
      </c>
      <c r="CM2163" s="5" t="s">
        <v>238</v>
      </c>
      <c r="CN2163" s="5">
        <v>0</v>
      </c>
      <c r="CO2163" s="5" t="s">
        <v>259</v>
      </c>
      <c r="CP2163" s="5" t="s">
        <v>260</v>
      </c>
      <c r="CQ2163" s="5" t="s">
        <v>260</v>
      </c>
      <c r="CR2163" s="5" t="s">
        <v>261</v>
      </c>
      <c r="CU2163" s="8">
        <f>1</f>
        <v>1</v>
      </c>
      <c r="CV2163" s="8">
        <f>0</f>
        <v>0</v>
      </c>
      <c r="CX2163" s="8">
        <f>0</f>
        <v>0</v>
      </c>
      <c r="CY2163" s="8">
        <f>1</f>
        <v>1</v>
      </c>
      <c r="DA2163" s="5" t="s">
        <v>274</v>
      </c>
      <c r="DB2163" s="5" t="s">
        <v>238</v>
      </c>
      <c r="DD2163" s="5" t="s">
        <v>274</v>
      </c>
      <c r="DE2163" s="8">
        <f>514</f>
        <v>514</v>
      </c>
      <c r="DG2163" s="5" t="s">
        <v>238</v>
      </c>
      <c r="DH2163" s="5" t="s">
        <v>238</v>
      </c>
      <c r="DI2163" s="5" t="s">
        <v>238</v>
      </c>
      <c r="DJ2163" s="5" t="s">
        <v>238</v>
      </c>
      <c r="DN2163" s="5" t="s">
        <v>238</v>
      </c>
      <c r="DO2163" s="5" t="s">
        <v>238</v>
      </c>
      <c r="DP2163" s="5" t="s">
        <v>238</v>
      </c>
      <c r="DQ2163" s="5" t="s">
        <v>238</v>
      </c>
      <c r="DT2163" s="5" t="s">
        <v>275</v>
      </c>
      <c r="DU2163" s="5" t="s">
        <v>708</v>
      </c>
      <c r="HM2163" s="5" t="s">
        <v>264</v>
      </c>
    </row>
    <row r="2164" spans="1:221" x14ac:dyDescent="0.4">
      <c r="A2164" s="5">
        <v>3868</v>
      </c>
      <c r="B2164" s="5">
        <v>1</v>
      </c>
      <c r="C2164" s="5">
        <v>1</v>
      </c>
      <c r="D2164" s="5" t="s">
        <v>269</v>
      </c>
      <c r="E2164" s="5" t="s">
        <v>271</v>
      </c>
      <c r="F2164" s="5" t="s">
        <v>248</v>
      </c>
      <c r="G2164" s="5" t="s">
        <v>266</v>
      </c>
      <c r="H2164" s="6" t="s">
        <v>709</v>
      </c>
      <c r="I2164" s="7">
        <f>10</f>
        <v>10</v>
      </c>
      <c r="J2164" s="5" t="s">
        <v>262</v>
      </c>
      <c r="K2164" s="8">
        <f>1</f>
        <v>1</v>
      </c>
      <c r="L2164" s="6" t="s">
        <v>242</v>
      </c>
      <c r="M2164" s="5" t="s">
        <v>267</v>
      </c>
      <c r="N2164" s="5" t="s">
        <v>265</v>
      </c>
      <c r="O2164" s="5" t="s">
        <v>238</v>
      </c>
      <c r="P2164" s="5" t="s">
        <v>238</v>
      </c>
      <c r="Q2164" s="5" t="s">
        <v>268</v>
      </c>
      <c r="R2164" s="5" t="s">
        <v>270</v>
      </c>
      <c r="S2164" s="5" t="s">
        <v>238</v>
      </c>
      <c r="V2164" s="5" t="s">
        <v>238</v>
      </c>
      <c r="X2164" s="6" t="s">
        <v>238</v>
      </c>
      <c r="AA2164" s="6" t="s">
        <v>243</v>
      </c>
      <c r="AB2164" s="5" t="s">
        <v>238</v>
      </c>
      <c r="AC2164" s="5" t="s">
        <v>244</v>
      </c>
      <c r="AD2164" s="5" t="s">
        <v>245</v>
      </c>
      <c r="AT2164" s="5" t="s">
        <v>246</v>
      </c>
      <c r="AU2164" s="5" t="s">
        <v>238</v>
      </c>
      <c r="AV2164" s="5" t="s">
        <v>247</v>
      </c>
      <c r="AW2164" s="5" t="s">
        <v>238</v>
      </c>
      <c r="AX2164" s="5" t="s">
        <v>249</v>
      </c>
      <c r="AY2164" s="5" t="s">
        <v>238</v>
      </c>
      <c r="BA2164" s="5" t="s">
        <v>238</v>
      </c>
      <c r="BC2164" s="5" t="s">
        <v>250</v>
      </c>
      <c r="BD2164" s="6" t="s">
        <v>243</v>
      </c>
      <c r="BE2164" s="5" t="s">
        <v>251</v>
      </c>
      <c r="BF2164" s="5" t="s">
        <v>252</v>
      </c>
      <c r="BG2164" s="5" t="s">
        <v>238</v>
      </c>
      <c r="BH2164" s="7">
        <f>0</f>
        <v>0</v>
      </c>
      <c r="BI2164" s="8">
        <f>0</f>
        <v>0</v>
      </c>
      <c r="BJ2164" s="5" t="s">
        <v>253</v>
      </c>
      <c r="BK2164" s="5" t="s">
        <v>254</v>
      </c>
      <c r="BY2164" s="5" t="s">
        <v>238</v>
      </c>
      <c r="BZ2164" s="5" t="s">
        <v>238</v>
      </c>
      <c r="CD2164" s="5" t="s">
        <v>273</v>
      </c>
      <c r="CE2164" s="5" t="s">
        <v>256</v>
      </c>
      <c r="CF2164" s="5" t="s">
        <v>238</v>
      </c>
      <c r="CI2164" s="6" t="s">
        <v>257</v>
      </c>
      <c r="CJ2164" s="5" t="s">
        <v>238</v>
      </c>
      <c r="CK2164" s="5" t="s">
        <v>258</v>
      </c>
      <c r="CL2164" s="5" t="s">
        <v>238</v>
      </c>
      <c r="CM2164" s="5" t="s">
        <v>238</v>
      </c>
      <c r="CN2164" s="5">
        <v>0</v>
      </c>
      <c r="CO2164" s="5" t="s">
        <v>259</v>
      </c>
      <c r="CP2164" s="5" t="s">
        <v>260</v>
      </c>
      <c r="CQ2164" s="5" t="s">
        <v>260</v>
      </c>
      <c r="CR2164" s="5" t="s">
        <v>261</v>
      </c>
      <c r="CU2164" s="8">
        <f>1</f>
        <v>1</v>
      </c>
      <c r="CV2164" s="8">
        <f>0</f>
        <v>0</v>
      </c>
      <c r="CX2164" s="8">
        <f>0</f>
        <v>0</v>
      </c>
      <c r="CY2164" s="8">
        <f>1</f>
        <v>1</v>
      </c>
      <c r="DA2164" s="5" t="s">
        <v>274</v>
      </c>
      <c r="DB2164" s="5" t="s">
        <v>238</v>
      </c>
      <c r="DD2164" s="5" t="s">
        <v>274</v>
      </c>
      <c r="DE2164" s="8">
        <f>10</f>
        <v>10</v>
      </c>
      <c r="DG2164" s="5" t="s">
        <v>238</v>
      </c>
      <c r="DH2164" s="5" t="s">
        <v>238</v>
      </c>
      <c r="DI2164" s="5" t="s">
        <v>238</v>
      </c>
      <c r="DJ2164" s="5" t="s">
        <v>238</v>
      </c>
      <c r="DN2164" s="5" t="s">
        <v>238</v>
      </c>
      <c r="DO2164" s="5" t="s">
        <v>238</v>
      </c>
      <c r="DP2164" s="5" t="s">
        <v>238</v>
      </c>
      <c r="DQ2164" s="5" t="s">
        <v>238</v>
      </c>
      <c r="DT2164" s="5" t="s">
        <v>275</v>
      </c>
      <c r="DU2164" s="5" t="s">
        <v>710</v>
      </c>
      <c r="HM2164" s="5" t="s">
        <v>264</v>
      </c>
    </row>
    <row r="2165" spans="1:221" x14ac:dyDescent="0.4">
      <c r="A2165" s="5">
        <v>3869</v>
      </c>
      <c r="B2165" s="5">
        <v>1</v>
      </c>
      <c r="C2165" s="5">
        <v>1</v>
      </c>
      <c r="D2165" s="5" t="s">
        <v>269</v>
      </c>
      <c r="E2165" s="5" t="s">
        <v>271</v>
      </c>
      <c r="F2165" s="5" t="s">
        <v>248</v>
      </c>
      <c r="G2165" s="5" t="s">
        <v>266</v>
      </c>
      <c r="H2165" s="6" t="s">
        <v>711</v>
      </c>
      <c r="I2165" s="7">
        <f>23</f>
        <v>23</v>
      </c>
      <c r="J2165" s="5" t="s">
        <v>262</v>
      </c>
      <c r="K2165" s="8">
        <f>1</f>
        <v>1</v>
      </c>
      <c r="L2165" s="6" t="s">
        <v>242</v>
      </c>
      <c r="M2165" s="5" t="s">
        <v>267</v>
      </c>
      <c r="N2165" s="5" t="s">
        <v>265</v>
      </c>
      <c r="O2165" s="5" t="s">
        <v>238</v>
      </c>
      <c r="P2165" s="5" t="s">
        <v>238</v>
      </c>
      <c r="Q2165" s="5" t="s">
        <v>268</v>
      </c>
      <c r="R2165" s="5" t="s">
        <v>270</v>
      </c>
      <c r="S2165" s="5" t="s">
        <v>238</v>
      </c>
      <c r="V2165" s="5" t="s">
        <v>238</v>
      </c>
      <c r="X2165" s="6" t="s">
        <v>238</v>
      </c>
      <c r="AA2165" s="6" t="s">
        <v>243</v>
      </c>
      <c r="AB2165" s="5" t="s">
        <v>238</v>
      </c>
      <c r="AC2165" s="5" t="s">
        <v>244</v>
      </c>
      <c r="AD2165" s="5" t="s">
        <v>245</v>
      </c>
      <c r="AT2165" s="5" t="s">
        <v>246</v>
      </c>
      <c r="AU2165" s="5" t="s">
        <v>238</v>
      </c>
      <c r="AV2165" s="5" t="s">
        <v>247</v>
      </c>
      <c r="AW2165" s="5" t="s">
        <v>238</v>
      </c>
      <c r="AX2165" s="5" t="s">
        <v>249</v>
      </c>
      <c r="AY2165" s="5" t="s">
        <v>238</v>
      </c>
      <c r="BA2165" s="5" t="s">
        <v>238</v>
      </c>
      <c r="BC2165" s="5" t="s">
        <v>250</v>
      </c>
      <c r="BD2165" s="6" t="s">
        <v>243</v>
      </c>
      <c r="BE2165" s="5" t="s">
        <v>251</v>
      </c>
      <c r="BF2165" s="5" t="s">
        <v>252</v>
      </c>
      <c r="BG2165" s="5" t="s">
        <v>238</v>
      </c>
      <c r="BH2165" s="7">
        <f>0</f>
        <v>0</v>
      </c>
      <c r="BI2165" s="8">
        <f>0</f>
        <v>0</v>
      </c>
      <c r="BJ2165" s="5" t="s">
        <v>253</v>
      </c>
      <c r="BK2165" s="5" t="s">
        <v>254</v>
      </c>
      <c r="BY2165" s="5" t="s">
        <v>238</v>
      </c>
      <c r="BZ2165" s="5" t="s">
        <v>238</v>
      </c>
      <c r="CD2165" s="5" t="s">
        <v>273</v>
      </c>
      <c r="CE2165" s="5" t="s">
        <v>256</v>
      </c>
      <c r="CF2165" s="5" t="s">
        <v>238</v>
      </c>
      <c r="CI2165" s="6" t="s">
        <v>257</v>
      </c>
      <c r="CJ2165" s="5" t="s">
        <v>238</v>
      </c>
      <c r="CK2165" s="5" t="s">
        <v>258</v>
      </c>
      <c r="CL2165" s="5" t="s">
        <v>238</v>
      </c>
      <c r="CM2165" s="5" t="s">
        <v>238</v>
      </c>
      <c r="CN2165" s="5">
        <v>0</v>
      </c>
      <c r="CO2165" s="5" t="s">
        <v>259</v>
      </c>
      <c r="CP2165" s="5" t="s">
        <v>260</v>
      </c>
      <c r="CQ2165" s="5" t="s">
        <v>260</v>
      </c>
      <c r="CR2165" s="5" t="s">
        <v>261</v>
      </c>
      <c r="CU2165" s="8">
        <f>1</f>
        <v>1</v>
      </c>
      <c r="CV2165" s="8">
        <f>0</f>
        <v>0</v>
      </c>
      <c r="CX2165" s="8">
        <f>0</f>
        <v>0</v>
      </c>
      <c r="CY2165" s="8">
        <f>1</f>
        <v>1</v>
      </c>
      <c r="DA2165" s="5" t="s">
        <v>274</v>
      </c>
      <c r="DB2165" s="5" t="s">
        <v>238</v>
      </c>
      <c r="DD2165" s="5" t="s">
        <v>274</v>
      </c>
      <c r="DE2165" s="8">
        <f>23</f>
        <v>23</v>
      </c>
      <c r="DG2165" s="5" t="s">
        <v>238</v>
      </c>
      <c r="DH2165" s="5" t="s">
        <v>238</v>
      </c>
      <c r="DI2165" s="5" t="s">
        <v>238</v>
      </c>
      <c r="DJ2165" s="5" t="s">
        <v>238</v>
      </c>
      <c r="DN2165" s="5" t="s">
        <v>238</v>
      </c>
      <c r="DO2165" s="5" t="s">
        <v>238</v>
      </c>
      <c r="DP2165" s="5" t="s">
        <v>238</v>
      </c>
      <c r="DQ2165" s="5" t="s">
        <v>238</v>
      </c>
      <c r="DT2165" s="5" t="s">
        <v>275</v>
      </c>
      <c r="DU2165" s="5" t="s">
        <v>712</v>
      </c>
      <c r="HM2165" s="5" t="s">
        <v>264</v>
      </c>
    </row>
    <row r="2166" spans="1:221" x14ac:dyDescent="0.4">
      <c r="A2166" s="5">
        <v>3870</v>
      </c>
      <c r="B2166" s="5">
        <v>1</v>
      </c>
      <c r="C2166" s="5">
        <v>1</v>
      </c>
      <c r="D2166" s="5" t="s">
        <v>269</v>
      </c>
      <c r="E2166" s="5" t="s">
        <v>271</v>
      </c>
      <c r="F2166" s="5" t="s">
        <v>248</v>
      </c>
      <c r="G2166" s="5" t="s">
        <v>266</v>
      </c>
      <c r="H2166" s="6" t="s">
        <v>715</v>
      </c>
      <c r="I2166" s="7">
        <f>759</f>
        <v>759</v>
      </c>
      <c r="J2166" s="5" t="s">
        <v>262</v>
      </c>
      <c r="K2166" s="8">
        <f>1</f>
        <v>1</v>
      </c>
      <c r="L2166" s="6" t="s">
        <v>242</v>
      </c>
      <c r="M2166" s="5" t="s">
        <v>267</v>
      </c>
      <c r="N2166" s="5" t="s">
        <v>265</v>
      </c>
      <c r="O2166" s="5" t="s">
        <v>238</v>
      </c>
      <c r="P2166" s="5" t="s">
        <v>238</v>
      </c>
      <c r="Q2166" s="5" t="s">
        <v>268</v>
      </c>
      <c r="R2166" s="5" t="s">
        <v>270</v>
      </c>
      <c r="S2166" s="5" t="s">
        <v>238</v>
      </c>
      <c r="V2166" s="5" t="s">
        <v>238</v>
      </c>
      <c r="X2166" s="6" t="s">
        <v>238</v>
      </c>
      <c r="AA2166" s="6" t="s">
        <v>243</v>
      </c>
      <c r="AB2166" s="5" t="s">
        <v>238</v>
      </c>
      <c r="AC2166" s="5" t="s">
        <v>244</v>
      </c>
      <c r="AD2166" s="5" t="s">
        <v>245</v>
      </c>
      <c r="AT2166" s="5" t="s">
        <v>246</v>
      </c>
      <c r="AU2166" s="5" t="s">
        <v>238</v>
      </c>
      <c r="AV2166" s="5" t="s">
        <v>247</v>
      </c>
      <c r="AW2166" s="5" t="s">
        <v>238</v>
      </c>
      <c r="AX2166" s="5" t="s">
        <v>249</v>
      </c>
      <c r="AY2166" s="5" t="s">
        <v>238</v>
      </c>
      <c r="BA2166" s="5" t="s">
        <v>238</v>
      </c>
      <c r="BC2166" s="5" t="s">
        <v>250</v>
      </c>
      <c r="BD2166" s="6" t="s">
        <v>243</v>
      </c>
      <c r="BE2166" s="5" t="s">
        <v>251</v>
      </c>
      <c r="BF2166" s="5" t="s">
        <v>252</v>
      </c>
      <c r="BG2166" s="5" t="s">
        <v>238</v>
      </c>
      <c r="BH2166" s="7">
        <f>0</f>
        <v>0</v>
      </c>
      <c r="BI2166" s="8">
        <f>0</f>
        <v>0</v>
      </c>
      <c r="BJ2166" s="5" t="s">
        <v>253</v>
      </c>
      <c r="BK2166" s="5" t="s">
        <v>254</v>
      </c>
      <c r="BY2166" s="5" t="s">
        <v>238</v>
      </c>
      <c r="BZ2166" s="5" t="s">
        <v>238</v>
      </c>
      <c r="CD2166" s="5" t="s">
        <v>273</v>
      </c>
      <c r="CE2166" s="5" t="s">
        <v>256</v>
      </c>
      <c r="CF2166" s="5" t="s">
        <v>238</v>
      </c>
      <c r="CI2166" s="6" t="s">
        <v>257</v>
      </c>
      <c r="CJ2166" s="5" t="s">
        <v>238</v>
      </c>
      <c r="CK2166" s="5" t="s">
        <v>258</v>
      </c>
      <c r="CL2166" s="5" t="s">
        <v>238</v>
      </c>
      <c r="CM2166" s="5" t="s">
        <v>238</v>
      </c>
      <c r="CN2166" s="5">
        <v>0</v>
      </c>
      <c r="CO2166" s="5" t="s">
        <v>259</v>
      </c>
      <c r="CP2166" s="5" t="s">
        <v>260</v>
      </c>
      <c r="CQ2166" s="5" t="s">
        <v>260</v>
      </c>
      <c r="CR2166" s="5" t="s">
        <v>261</v>
      </c>
      <c r="CU2166" s="8">
        <f>1</f>
        <v>1</v>
      </c>
      <c r="CV2166" s="8">
        <f>0</f>
        <v>0</v>
      </c>
      <c r="CX2166" s="8">
        <f>0</f>
        <v>0</v>
      </c>
      <c r="CY2166" s="8">
        <f>1</f>
        <v>1</v>
      </c>
      <c r="DA2166" s="5" t="s">
        <v>274</v>
      </c>
      <c r="DB2166" s="5" t="s">
        <v>238</v>
      </c>
      <c r="DD2166" s="5" t="s">
        <v>274</v>
      </c>
      <c r="DE2166" s="8">
        <f>759</f>
        <v>759</v>
      </c>
      <c r="DG2166" s="5" t="s">
        <v>238</v>
      </c>
      <c r="DH2166" s="5" t="s">
        <v>238</v>
      </c>
      <c r="DI2166" s="5" t="s">
        <v>238</v>
      </c>
      <c r="DJ2166" s="5" t="s">
        <v>238</v>
      </c>
      <c r="DN2166" s="5" t="s">
        <v>238</v>
      </c>
      <c r="DO2166" s="5" t="s">
        <v>238</v>
      </c>
      <c r="DP2166" s="5" t="s">
        <v>238</v>
      </c>
      <c r="DQ2166" s="5" t="s">
        <v>238</v>
      </c>
      <c r="DT2166" s="5" t="s">
        <v>275</v>
      </c>
      <c r="DU2166" s="5" t="s">
        <v>716</v>
      </c>
      <c r="HM2166" s="5" t="s">
        <v>264</v>
      </c>
    </row>
    <row r="2167" spans="1:221" x14ac:dyDescent="0.4">
      <c r="A2167" s="5">
        <v>3871</v>
      </c>
      <c r="B2167" s="5">
        <v>1</v>
      </c>
      <c r="C2167" s="5">
        <v>1</v>
      </c>
      <c r="D2167" s="5" t="s">
        <v>269</v>
      </c>
      <c r="E2167" s="5" t="s">
        <v>271</v>
      </c>
      <c r="F2167" s="5" t="s">
        <v>248</v>
      </c>
      <c r="G2167" s="5" t="s">
        <v>266</v>
      </c>
      <c r="H2167" s="6" t="s">
        <v>719</v>
      </c>
      <c r="I2167" s="7">
        <f>1238</f>
        <v>1238</v>
      </c>
      <c r="J2167" s="5" t="s">
        <v>262</v>
      </c>
      <c r="K2167" s="8">
        <f>1</f>
        <v>1</v>
      </c>
      <c r="L2167" s="6" t="s">
        <v>242</v>
      </c>
      <c r="M2167" s="5" t="s">
        <v>267</v>
      </c>
      <c r="N2167" s="5" t="s">
        <v>265</v>
      </c>
      <c r="O2167" s="5" t="s">
        <v>238</v>
      </c>
      <c r="P2167" s="5" t="s">
        <v>238</v>
      </c>
      <c r="Q2167" s="5" t="s">
        <v>268</v>
      </c>
      <c r="R2167" s="5" t="s">
        <v>270</v>
      </c>
      <c r="S2167" s="5" t="s">
        <v>238</v>
      </c>
      <c r="V2167" s="5" t="s">
        <v>238</v>
      </c>
      <c r="X2167" s="6" t="s">
        <v>238</v>
      </c>
      <c r="AA2167" s="6" t="s">
        <v>243</v>
      </c>
      <c r="AB2167" s="5" t="s">
        <v>238</v>
      </c>
      <c r="AC2167" s="5" t="s">
        <v>244</v>
      </c>
      <c r="AD2167" s="5" t="s">
        <v>245</v>
      </c>
      <c r="AT2167" s="5" t="s">
        <v>246</v>
      </c>
      <c r="AU2167" s="5" t="s">
        <v>238</v>
      </c>
      <c r="AV2167" s="5" t="s">
        <v>247</v>
      </c>
      <c r="AW2167" s="5" t="s">
        <v>238</v>
      </c>
      <c r="AX2167" s="5" t="s">
        <v>249</v>
      </c>
      <c r="AY2167" s="5" t="s">
        <v>238</v>
      </c>
      <c r="BA2167" s="5" t="s">
        <v>238</v>
      </c>
      <c r="BC2167" s="5" t="s">
        <v>250</v>
      </c>
      <c r="BD2167" s="6" t="s">
        <v>243</v>
      </c>
      <c r="BE2167" s="5" t="s">
        <v>251</v>
      </c>
      <c r="BF2167" s="5" t="s">
        <v>252</v>
      </c>
      <c r="BG2167" s="5" t="s">
        <v>238</v>
      </c>
      <c r="BH2167" s="7">
        <f>0</f>
        <v>0</v>
      </c>
      <c r="BI2167" s="8">
        <f>0</f>
        <v>0</v>
      </c>
      <c r="BJ2167" s="5" t="s">
        <v>253</v>
      </c>
      <c r="BK2167" s="5" t="s">
        <v>254</v>
      </c>
      <c r="BY2167" s="5" t="s">
        <v>238</v>
      </c>
      <c r="BZ2167" s="5" t="s">
        <v>238</v>
      </c>
      <c r="CD2167" s="5" t="s">
        <v>273</v>
      </c>
      <c r="CE2167" s="5" t="s">
        <v>256</v>
      </c>
      <c r="CF2167" s="5" t="s">
        <v>238</v>
      </c>
      <c r="CI2167" s="6" t="s">
        <v>257</v>
      </c>
      <c r="CJ2167" s="5" t="s">
        <v>238</v>
      </c>
      <c r="CK2167" s="5" t="s">
        <v>258</v>
      </c>
      <c r="CL2167" s="5" t="s">
        <v>238</v>
      </c>
      <c r="CM2167" s="5" t="s">
        <v>238</v>
      </c>
      <c r="CN2167" s="5">
        <v>0</v>
      </c>
      <c r="CO2167" s="5" t="s">
        <v>259</v>
      </c>
      <c r="CP2167" s="5" t="s">
        <v>260</v>
      </c>
      <c r="CQ2167" s="5" t="s">
        <v>260</v>
      </c>
      <c r="CR2167" s="5" t="s">
        <v>261</v>
      </c>
      <c r="CU2167" s="8">
        <f>1</f>
        <v>1</v>
      </c>
      <c r="CV2167" s="8">
        <f>0</f>
        <v>0</v>
      </c>
      <c r="CX2167" s="8">
        <f>0</f>
        <v>0</v>
      </c>
      <c r="CY2167" s="8">
        <f>1</f>
        <v>1</v>
      </c>
      <c r="DA2167" s="5" t="s">
        <v>274</v>
      </c>
      <c r="DB2167" s="5" t="s">
        <v>238</v>
      </c>
      <c r="DD2167" s="5" t="s">
        <v>274</v>
      </c>
      <c r="DE2167" s="8">
        <f>1238</f>
        <v>1238</v>
      </c>
      <c r="DG2167" s="5" t="s">
        <v>238</v>
      </c>
      <c r="DH2167" s="5" t="s">
        <v>238</v>
      </c>
      <c r="DI2167" s="5" t="s">
        <v>238</v>
      </c>
      <c r="DJ2167" s="5" t="s">
        <v>238</v>
      </c>
      <c r="DN2167" s="5" t="s">
        <v>238</v>
      </c>
      <c r="DO2167" s="5" t="s">
        <v>238</v>
      </c>
      <c r="DP2167" s="5" t="s">
        <v>238</v>
      </c>
      <c r="DQ2167" s="5" t="s">
        <v>238</v>
      </c>
      <c r="DT2167" s="5" t="s">
        <v>275</v>
      </c>
      <c r="DU2167" s="5" t="s">
        <v>720</v>
      </c>
      <c r="HM2167" s="5" t="s">
        <v>264</v>
      </c>
    </row>
    <row r="2168" spans="1:221" x14ac:dyDescent="0.4">
      <c r="A2168" s="5">
        <v>3872</v>
      </c>
      <c r="B2168" s="5">
        <v>1</v>
      </c>
      <c r="C2168" s="5">
        <v>1</v>
      </c>
      <c r="D2168" s="5" t="s">
        <v>269</v>
      </c>
      <c r="E2168" s="5" t="s">
        <v>271</v>
      </c>
      <c r="F2168" s="5" t="s">
        <v>248</v>
      </c>
      <c r="G2168" s="5" t="s">
        <v>266</v>
      </c>
      <c r="H2168" s="6" t="s">
        <v>721</v>
      </c>
      <c r="I2168" s="7">
        <f>2061</f>
        <v>2061</v>
      </c>
      <c r="J2168" s="5" t="s">
        <v>262</v>
      </c>
      <c r="K2168" s="8">
        <f>1</f>
        <v>1</v>
      </c>
      <c r="L2168" s="6" t="s">
        <v>242</v>
      </c>
      <c r="M2168" s="5" t="s">
        <v>267</v>
      </c>
      <c r="N2168" s="5" t="s">
        <v>265</v>
      </c>
      <c r="O2168" s="5" t="s">
        <v>238</v>
      </c>
      <c r="P2168" s="5" t="s">
        <v>238</v>
      </c>
      <c r="Q2168" s="5" t="s">
        <v>268</v>
      </c>
      <c r="R2168" s="5" t="s">
        <v>270</v>
      </c>
      <c r="S2168" s="5" t="s">
        <v>238</v>
      </c>
      <c r="V2168" s="5" t="s">
        <v>238</v>
      </c>
      <c r="X2168" s="6" t="s">
        <v>238</v>
      </c>
      <c r="AA2168" s="6" t="s">
        <v>243</v>
      </c>
      <c r="AB2168" s="5" t="s">
        <v>238</v>
      </c>
      <c r="AC2168" s="5" t="s">
        <v>244</v>
      </c>
      <c r="AD2168" s="5" t="s">
        <v>245</v>
      </c>
      <c r="AT2168" s="5" t="s">
        <v>246</v>
      </c>
      <c r="AU2168" s="5" t="s">
        <v>238</v>
      </c>
      <c r="AV2168" s="5" t="s">
        <v>247</v>
      </c>
      <c r="AW2168" s="5" t="s">
        <v>238</v>
      </c>
      <c r="AX2168" s="5" t="s">
        <v>249</v>
      </c>
      <c r="AY2168" s="5" t="s">
        <v>238</v>
      </c>
      <c r="BA2168" s="5" t="s">
        <v>238</v>
      </c>
      <c r="BC2168" s="5" t="s">
        <v>250</v>
      </c>
      <c r="BD2168" s="6" t="s">
        <v>243</v>
      </c>
      <c r="BE2168" s="5" t="s">
        <v>251</v>
      </c>
      <c r="BF2168" s="5" t="s">
        <v>252</v>
      </c>
      <c r="BG2168" s="5" t="s">
        <v>238</v>
      </c>
      <c r="BH2168" s="7">
        <f>0</f>
        <v>0</v>
      </c>
      <c r="BI2168" s="8">
        <f>0</f>
        <v>0</v>
      </c>
      <c r="BJ2168" s="5" t="s">
        <v>253</v>
      </c>
      <c r="BK2168" s="5" t="s">
        <v>254</v>
      </c>
      <c r="BY2168" s="5" t="s">
        <v>238</v>
      </c>
      <c r="BZ2168" s="5" t="s">
        <v>238</v>
      </c>
      <c r="CD2168" s="5" t="s">
        <v>273</v>
      </c>
      <c r="CE2168" s="5" t="s">
        <v>256</v>
      </c>
      <c r="CF2168" s="5" t="s">
        <v>238</v>
      </c>
      <c r="CI2168" s="6" t="s">
        <v>257</v>
      </c>
      <c r="CJ2168" s="5" t="s">
        <v>238</v>
      </c>
      <c r="CK2168" s="5" t="s">
        <v>258</v>
      </c>
      <c r="CL2168" s="5" t="s">
        <v>238</v>
      </c>
      <c r="CM2168" s="5" t="s">
        <v>238</v>
      </c>
      <c r="CN2168" s="5">
        <v>0</v>
      </c>
      <c r="CO2168" s="5" t="s">
        <v>259</v>
      </c>
      <c r="CP2168" s="5" t="s">
        <v>260</v>
      </c>
      <c r="CQ2168" s="5" t="s">
        <v>260</v>
      </c>
      <c r="CR2168" s="5" t="s">
        <v>261</v>
      </c>
      <c r="CU2168" s="8">
        <f>1</f>
        <v>1</v>
      </c>
      <c r="CV2168" s="8">
        <f>0</f>
        <v>0</v>
      </c>
      <c r="CX2168" s="8">
        <f>0</f>
        <v>0</v>
      </c>
      <c r="CY2168" s="8">
        <f>1</f>
        <v>1</v>
      </c>
      <c r="DA2168" s="5" t="s">
        <v>274</v>
      </c>
      <c r="DB2168" s="5" t="s">
        <v>238</v>
      </c>
      <c r="DD2168" s="5" t="s">
        <v>274</v>
      </c>
      <c r="DE2168" s="8">
        <f>2061</f>
        <v>2061</v>
      </c>
      <c r="DG2168" s="5" t="s">
        <v>238</v>
      </c>
      <c r="DH2168" s="5" t="s">
        <v>238</v>
      </c>
      <c r="DI2168" s="5" t="s">
        <v>238</v>
      </c>
      <c r="DJ2168" s="5" t="s">
        <v>238</v>
      </c>
      <c r="DN2168" s="5" t="s">
        <v>238</v>
      </c>
      <c r="DO2168" s="5" t="s">
        <v>238</v>
      </c>
      <c r="DP2168" s="5" t="s">
        <v>238</v>
      </c>
      <c r="DQ2168" s="5" t="s">
        <v>238</v>
      </c>
      <c r="DT2168" s="5" t="s">
        <v>275</v>
      </c>
      <c r="DU2168" s="5" t="s">
        <v>722</v>
      </c>
      <c r="HM2168" s="5" t="s">
        <v>264</v>
      </c>
    </row>
    <row r="2169" spans="1:221" x14ac:dyDescent="0.4">
      <c r="A2169" s="5">
        <v>3873</v>
      </c>
      <c r="B2169" s="5">
        <v>1</v>
      </c>
      <c r="C2169" s="5">
        <v>1</v>
      </c>
      <c r="D2169" s="5" t="s">
        <v>269</v>
      </c>
      <c r="E2169" s="5" t="s">
        <v>271</v>
      </c>
      <c r="F2169" s="5" t="s">
        <v>248</v>
      </c>
      <c r="G2169" s="5" t="s">
        <v>266</v>
      </c>
      <c r="H2169" s="6" t="s">
        <v>727</v>
      </c>
      <c r="I2169" s="7">
        <f>2277</f>
        <v>2277</v>
      </c>
      <c r="J2169" s="5" t="s">
        <v>262</v>
      </c>
      <c r="K2169" s="8">
        <f>1</f>
        <v>1</v>
      </c>
      <c r="L2169" s="6" t="s">
        <v>242</v>
      </c>
      <c r="M2169" s="5" t="s">
        <v>267</v>
      </c>
      <c r="N2169" s="5" t="s">
        <v>265</v>
      </c>
      <c r="O2169" s="5" t="s">
        <v>238</v>
      </c>
      <c r="P2169" s="5" t="s">
        <v>238</v>
      </c>
      <c r="Q2169" s="5" t="s">
        <v>268</v>
      </c>
      <c r="R2169" s="5" t="s">
        <v>270</v>
      </c>
      <c r="S2169" s="5" t="s">
        <v>238</v>
      </c>
      <c r="V2169" s="5" t="s">
        <v>238</v>
      </c>
      <c r="X2169" s="6" t="s">
        <v>238</v>
      </c>
      <c r="AA2169" s="6" t="s">
        <v>243</v>
      </c>
      <c r="AB2169" s="5" t="s">
        <v>238</v>
      </c>
      <c r="AC2169" s="5" t="s">
        <v>244</v>
      </c>
      <c r="AD2169" s="5" t="s">
        <v>245</v>
      </c>
      <c r="AT2169" s="5" t="s">
        <v>246</v>
      </c>
      <c r="AU2169" s="5" t="s">
        <v>238</v>
      </c>
      <c r="AV2169" s="5" t="s">
        <v>247</v>
      </c>
      <c r="AW2169" s="5" t="s">
        <v>238</v>
      </c>
      <c r="AX2169" s="5" t="s">
        <v>249</v>
      </c>
      <c r="AY2169" s="5" t="s">
        <v>238</v>
      </c>
      <c r="BA2169" s="5" t="s">
        <v>238</v>
      </c>
      <c r="BC2169" s="5" t="s">
        <v>250</v>
      </c>
      <c r="BD2169" s="6" t="s">
        <v>243</v>
      </c>
      <c r="BE2169" s="5" t="s">
        <v>251</v>
      </c>
      <c r="BF2169" s="5" t="s">
        <v>252</v>
      </c>
      <c r="BG2169" s="5" t="s">
        <v>238</v>
      </c>
      <c r="BH2169" s="7">
        <f>0</f>
        <v>0</v>
      </c>
      <c r="BI2169" s="8">
        <f>0</f>
        <v>0</v>
      </c>
      <c r="BJ2169" s="5" t="s">
        <v>253</v>
      </c>
      <c r="BK2169" s="5" t="s">
        <v>254</v>
      </c>
      <c r="BY2169" s="5" t="s">
        <v>238</v>
      </c>
      <c r="BZ2169" s="5" t="s">
        <v>238</v>
      </c>
      <c r="CD2169" s="5" t="s">
        <v>273</v>
      </c>
      <c r="CE2169" s="5" t="s">
        <v>256</v>
      </c>
      <c r="CF2169" s="5" t="s">
        <v>238</v>
      </c>
      <c r="CI2169" s="6" t="s">
        <v>257</v>
      </c>
      <c r="CJ2169" s="5" t="s">
        <v>238</v>
      </c>
      <c r="CK2169" s="5" t="s">
        <v>258</v>
      </c>
      <c r="CL2169" s="5" t="s">
        <v>238</v>
      </c>
      <c r="CM2169" s="5" t="s">
        <v>238</v>
      </c>
      <c r="CN2169" s="5">
        <v>0</v>
      </c>
      <c r="CO2169" s="5" t="s">
        <v>259</v>
      </c>
      <c r="CP2169" s="5" t="s">
        <v>260</v>
      </c>
      <c r="CQ2169" s="5" t="s">
        <v>260</v>
      </c>
      <c r="CR2169" s="5" t="s">
        <v>261</v>
      </c>
      <c r="CU2169" s="8">
        <f>1</f>
        <v>1</v>
      </c>
      <c r="CV2169" s="8">
        <f>0</f>
        <v>0</v>
      </c>
      <c r="CX2169" s="8">
        <f>0</f>
        <v>0</v>
      </c>
      <c r="CY2169" s="8">
        <f>1</f>
        <v>1</v>
      </c>
      <c r="DA2169" s="5" t="s">
        <v>274</v>
      </c>
      <c r="DB2169" s="5" t="s">
        <v>238</v>
      </c>
      <c r="DD2169" s="5" t="s">
        <v>274</v>
      </c>
      <c r="DE2169" s="8">
        <f>2277</f>
        <v>2277</v>
      </c>
      <c r="DG2169" s="5" t="s">
        <v>238</v>
      </c>
      <c r="DH2169" s="5" t="s">
        <v>238</v>
      </c>
      <c r="DI2169" s="5" t="s">
        <v>238</v>
      </c>
      <c r="DJ2169" s="5" t="s">
        <v>238</v>
      </c>
      <c r="DN2169" s="5" t="s">
        <v>238</v>
      </c>
      <c r="DO2169" s="5" t="s">
        <v>238</v>
      </c>
      <c r="DP2169" s="5" t="s">
        <v>238</v>
      </c>
      <c r="DQ2169" s="5" t="s">
        <v>238</v>
      </c>
      <c r="DT2169" s="5" t="s">
        <v>275</v>
      </c>
      <c r="DU2169" s="5" t="s">
        <v>728</v>
      </c>
      <c r="HM2169" s="5" t="s">
        <v>264</v>
      </c>
    </row>
    <row r="2170" spans="1:221" x14ac:dyDescent="0.4">
      <c r="A2170" s="5">
        <v>3874</v>
      </c>
      <c r="B2170" s="5">
        <v>1</v>
      </c>
      <c r="C2170" s="5">
        <v>1</v>
      </c>
      <c r="D2170" s="5" t="s">
        <v>269</v>
      </c>
      <c r="E2170" s="5" t="s">
        <v>271</v>
      </c>
      <c r="F2170" s="5" t="s">
        <v>248</v>
      </c>
      <c r="G2170" s="5" t="s">
        <v>266</v>
      </c>
      <c r="H2170" s="6" t="s">
        <v>731</v>
      </c>
      <c r="I2170" s="7">
        <f>2690</f>
        <v>2690</v>
      </c>
      <c r="J2170" s="5" t="s">
        <v>262</v>
      </c>
      <c r="K2170" s="8">
        <f>1</f>
        <v>1</v>
      </c>
      <c r="L2170" s="6" t="s">
        <v>242</v>
      </c>
      <c r="M2170" s="5" t="s">
        <v>267</v>
      </c>
      <c r="N2170" s="5" t="s">
        <v>265</v>
      </c>
      <c r="O2170" s="5" t="s">
        <v>238</v>
      </c>
      <c r="P2170" s="5" t="s">
        <v>238</v>
      </c>
      <c r="Q2170" s="5" t="s">
        <v>268</v>
      </c>
      <c r="R2170" s="5" t="s">
        <v>270</v>
      </c>
      <c r="S2170" s="5" t="s">
        <v>238</v>
      </c>
      <c r="V2170" s="5" t="s">
        <v>238</v>
      </c>
      <c r="X2170" s="6" t="s">
        <v>238</v>
      </c>
      <c r="AA2170" s="6" t="s">
        <v>243</v>
      </c>
      <c r="AB2170" s="5" t="s">
        <v>238</v>
      </c>
      <c r="AC2170" s="5" t="s">
        <v>244</v>
      </c>
      <c r="AD2170" s="5" t="s">
        <v>245</v>
      </c>
      <c r="AT2170" s="5" t="s">
        <v>246</v>
      </c>
      <c r="AU2170" s="5" t="s">
        <v>238</v>
      </c>
      <c r="AV2170" s="5" t="s">
        <v>247</v>
      </c>
      <c r="AW2170" s="5" t="s">
        <v>238</v>
      </c>
      <c r="AX2170" s="5" t="s">
        <v>249</v>
      </c>
      <c r="AY2170" s="5" t="s">
        <v>238</v>
      </c>
      <c r="BA2170" s="5" t="s">
        <v>238</v>
      </c>
      <c r="BC2170" s="5" t="s">
        <v>250</v>
      </c>
      <c r="BD2170" s="6" t="s">
        <v>243</v>
      </c>
      <c r="BE2170" s="5" t="s">
        <v>251</v>
      </c>
      <c r="BF2170" s="5" t="s">
        <v>252</v>
      </c>
      <c r="BG2170" s="5" t="s">
        <v>238</v>
      </c>
      <c r="BH2170" s="7">
        <f>0</f>
        <v>0</v>
      </c>
      <c r="BI2170" s="8">
        <f>0</f>
        <v>0</v>
      </c>
      <c r="BJ2170" s="5" t="s">
        <v>253</v>
      </c>
      <c r="BK2170" s="5" t="s">
        <v>254</v>
      </c>
      <c r="BY2170" s="5" t="s">
        <v>238</v>
      </c>
      <c r="BZ2170" s="5" t="s">
        <v>238</v>
      </c>
      <c r="CD2170" s="5" t="s">
        <v>273</v>
      </c>
      <c r="CE2170" s="5" t="s">
        <v>256</v>
      </c>
      <c r="CF2170" s="5" t="s">
        <v>238</v>
      </c>
      <c r="CI2170" s="6" t="s">
        <v>257</v>
      </c>
      <c r="CJ2170" s="5" t="s">
        <v>238</v>
      </c>
      <c r="CK2170" s="5" t="s">
        <v>258</v>
      </c>
      <c r="CL2170" s="5" t="s">
        <v>238</v>
      </c>
      <c r="CM2170" s="5" t="s">
        <v>238</v>
      </c>
      <c r="CN2170" s="5">
        <v>0</v>
      </c>
      <c r="CO2170" s="5" t="s">
        <v>259</v>
      </c>
      <c r="CP2170" s="5" t="s">
        <v>260</v>
      </c>
      <c r="CQ2170" s="5" t="s">
        <v>260</v>
      </c>
      <c r="CR2170" s="5" t="s">
        <v>261</v>
      </c>
      <c r="CU2170" s="8">
        <f>1</f>
        <v>1</v>
      </c>
      <c r="CV2170" s="8">
        <f>0</f>
        <v>0</v>
      </c>
      <c r="CX2170" s="8">
        <f>0</f>
        <v>0</v>
      </c>
      <c r="CY2170" s="8">
        <f>1</f>
        <v>1</v>
      </c>
      <c r="DA2170" s="5" t="s">
        <v>274</v>
      </c>
      <c r="DB2170" s="5" t="s">
        <v>238</v>
      </c>
      <c r="DD2170" s="5" t="s">
        <v>274</v>
      </c>
      <c r="DE2170" s="8">
        <f>2690</f>
        <v>2690</v>
      </c>
      <c r="DG2170" s="5" t="s">
        <v>238</v>
      </c>
      <c r="DH2170" s="5" t="s">
        <v>238</v>
      </c>
      <c r="DI2170" s="5" t="s">
        <v>238</v>
      </c>
      <c r="DJ2170" s="5" t="s">
        <v>238</v>
      </c>
      <c r="DN2170" s="5" t="s">
        <v>238</v>
      </c>
      <c r="DO2170" s="5" t="s">
        <v>238</v>
      </c>
      <c r="DP2170" s="5" t="s">
        <v>238</v>
      </c>
      <c r="DQ2170" s="5" t="s">
        <v>238</v>
      </c>
      <c r="DT2170" s="5" t="s">
        <v>275</v>
      </c>
      <c r="DU2170" s="5" t="s">
        <v>732</v>
      </c>
      <c r="HM2170" s="5" t="s">
        <v>264</v>
      </c>
    </row>
    <row r="2171" spans="1:221" x14ac:dyDescent="0.4">
      <c r="A2171" s="5">
        <v>3875</v>
      </c>
      <c r="B2171" s="5">
        <v>1</v>
      </c>
      <c r="C2171" s="5">
        <v>1</v>
      </c>
      <c r="D2171" s="5" t="s">
        <v>269</v>
      </c>
      <c r="E2171" s="5" t="s">
        <v>271</v>
      </c>
      <c r="F2171" s="5" t="s">
        <v>248</v>
      </c>
      <c r="G2171" s="5" t="s">
        <v>266</v>
      </c>
      <c r="H2171" s="6" t="s">
        <v>733</v>
      </c>
      <c r="I2171" s="7">
        <f>331</f>
        <v>331</v>
      </c>
      <c r="J2171" s="5" t="s">
        <v>262</v>
      </c>
      <c r="K2171" s="8">
        <f>1</f>
        <v>1</v>
      </c>
      <c r="L2171" s="6" t="s">
        <v>242</v>
      </c>
      <c r="M2171" s="5" t="s">
        <v>267</v>
      </c>
      <c r="N2171" s="5" t="s">
        <v>265</v>
      </c>
      <c r="O2171" s="5" t="s">
        <v>238</v>
      </c>
      <c r="P2171" s="5" t="s">
        <v>238</v>
      </c>
      <c r="Q2171" s="5" t="s">
        <v>268</v>
      </c>
      <c r="R2171" s="5" t="s">
        <v>270</v>
      </c>
      <c r="S2171" s="5" t="s">
        <v>238</v>
      </c>
      <c r="V2171" s="5" t="s">
        <v>238</v>
      </c>
      <c r="X2171" s="6" t="s">
        <v>238</v>
      </c>
      <c r="AA2171" s="6" t="s">
        <v>243</v>
      </c>
      <c r="AB2171" s="5" t="s">
        <v>238</v>
      </c>
      <c r="AC2171" s="5" t="s">
        <v>244</v>
      </c>
      <c r="AD2171" s="5" t="s">
        <v>245</v>
      </c>
      <c r="AT2171" s="5" t="s">
        <v>246</v>
      </c>
      <c r="AU2171" s="5" t="s">
        <v>238</v>
      </c>
      <c r="AV2171" s="5" t="s">
        <v>247</v>
      </c>
      <c r="AW2171" s="5" t="s">
        <v>238</v>
      </c>
      <c r="AX2171" s="5" t="s">
        <v>249</v>
      </c>
      <c r="AY2171" s="5" t="s">
        <v>238</v>
      </c>
      <c r="BA2171" s="5" t="s">
        <v>238</v>
      </c>
      <c r="BC2171" s="5" t="s">
        <v>250</v>
      </c>
      <c r="BD2171" s="6" t="s">
        <v>243</v>
      </c>
      <c r="BE2171" s="5" t="s">
        <v>251</v>
      </c>
      <c r="BF2171" s="5" t="s">
        <v>252</v>
      </c>
      <c r="BG2171" s="5" t="s">
        <v>238</v>
      </c>
      <c r="BH2171" s="7">
        <f>0</f>
        <v>0</v>
      </c>
      <c r="BI2171" s="8">
        <f>0</f>
        <v>0</v>
      </c>
      <c r="BJ2171" s="5" t="s">
        <v>253</v>
      </c>
      <c r="BK2171" s="5" t="s">
        <v>254</v>
      </c>
      <c r="BY2171" s="5" t="s">
        <v>238</v>
      </c>
      <c r="BZ2171" s="5" t="s">
        <v>238</v>
      </c>
      <c r="CD2171" s="5" t="s">
        <v>273</v>
      </c>
      <c r="CE2171" s="5" t="s">
        <v>256</v>
      </c>
      <c r="CF2171" s="5" t="s">
        <v>238</v>
      </c>
      <c r="CI2171" s="6" t="s">
        <v>257</v>
      </c>
      <c r="CJ2171" s="5" t="s">
        <v>238</v>
      </c>
      <c r="CK2171" s="5" t="s">
        <v>258</v>
      </c>
      <c r="CL2171" s="5" t="s">
        <v>238</v>
      </c>
      <c r="CM2171" s="5" t="s">
        <v>238</v>
      </c>
      <c r="CN2171" s="5">
        <v>0</v>
      </c>
      <c r="CO2171" s="5" t="s">
        <v>259</v>
      </c>
      <c r="CP2171" s="5" t="s">
        <v>260</v>
      </c>
      <c r="CQ2171" s="5" t="s">
        <v>260</v>
      </c>
      <c r="CR2171" s="5" t="s">
        <v>261</v>
      </c>
      <c r="CU2171" s="8">
        <f>1</f>
        <v>1</v>
      </c>
      <c r="CV2171" s="8">
        <f>0</f>
        <v>0</v>
      </c>
      <c r="CX2171" s="8">
        <f>0</f>
        <v>0</v>
      </c>
      <c r="CY2171" s="8">
        <f>1</f>
        <v>1</v>
      </c>
      <c r="DA2171" s="5" t="s">
        <v>274</v>
      </c>
      <c r="DB2171" s="5" t="s">
        <v>238</v>
      </c>
      <c r="DD2171" s="5" t="s">
        <v>274</v>
      </c>
      <c r="DE2171" s="8">
        <f>331</f>
        <v>331</v>
      </c>
      <c r="DG2171" s="5" t="s">
        <v>238</v>
      </c>
      <c r="DH2171" s="5" t="s">
        <v>238</v>
      </c>
      <c r="DI2171" s="5" t="s">
        <v>238</v>
      </c>
      <c r="DJ2171" s="5" t="s">
        <v>238</v>
      </c>
      <c r="DN2171" s="5" t="s">
        <v>238</v>
      </c>
      <c r="DO2171" s="5" t="s">
        <v>238</v>
      </c>
      <c r="DP2171" s="5" t="s">
        <v>238</v>
      </c>
      <c r="DQ2171" s="5" t="s">
        <v>238</v>
      </c>
      <c r="DT2171" s="5" t="s">
        <v>275</v>
      </c>
      <c r="DU2171" s="5" t="s">
        <v>734</v>
      </c>
      <c r="HM2171" s="5" t="s">
        <v>264</v>
      </c>
    </row>
    <row r="2172" spans="1:221" x14ac:dyDescent="0.4">
      <c r="A2172" s="5">
        <v>3876</v>
      </c>
      <c r="B2172" s="5">
        <v>1</v>
      </c>
      <c r="C2172" s="5">
        <v>1</v>
      </c>
      <c r="D2172" s="5" t="s">
        <v>269</v>
      </c>
      <c r="E2172" s="5" t="s">
        <v>271</v>
      </c>
      <c r="F2172" s="5" t="s">
        <v>248</v>
      </c>
      <c r="G2172" s="5" t="s">
        <v>266</v>
      </c>
      <c r="H2172" s="6" t="s">
        <v>735</v>
      </c>
      <c r="I2172" s="7">
        <f>90</f>
        <v>90</v>
      </c>
      <c r="J2172" s="5" t="s">
        <v>262</v>
      </c>
      <c r="K2172" s="8">
        <f>1</f>
        <v>1</v>
      </c>
      <c r="L2172" s="6" t="s">
        <v>242</v>
      </c>
      <c r="M2172" s="5" t="s">
        <v>267</v>
      </c>
      <c r="N2172" s="5" t="s">
        <v>265</v>
      </c>
      <c r="O2172" s="5" t="s">
        <v>238</v>
      </c>
      <c r="P2172" s="5" t="s">
        <v>238</v>
      </c>
      <c r="Q2172" s="5" t="s">
        <v>268</v>
      </c>
      <c r="R2172" s="5" t="s">
        <v>270</v>
      </c>
      <c r="S2172" s="5" t="s">
        <v>238</v>
      </c>
      <c r="V2172" s="5" t="s">
        <v>238</v>
      </c>
      <c r="X2172" s="6" t="s">
        <v>238</v>
      </c>
      <c r="AA2172" s="6" t="s">
        <v>243</v>
      </c>
      <c r="AB2172" s="5" t="s">
        <v>238</v>
      </c>
      <c r="AC2172" s="5" t="s">
        <v>244</v>
      </c>
      <c r="AD2172" s="5" t="s">
        <v>245</v>
      </c>
      <c r="AT2172" s="5" t="s">
        <v>246</v>
      </c>
      <c r="AU2172" s="5" t="s">
        <v>238</v>
      </c>
      <c r="AV2172" s="5" t="s">
        <v>247</v>
      </c>
      <c r="AW2172" s="5" t="s">
        <v>238</v>
      </c>
      <c r="AX2172" s="5" t="s">
        <v>249</v>
      </c>
      <c r="AY2172" s="5" t="s">
        <v>238</v>
      </c>
      <c r="BA2172" s="5" t="s">
        <v>238</v>
      </c>
      <c r="BC2172" s="5" t="s">
        <v>250</v>
      </c>
      <c r="BD2172" s="6" t="s">
        <v>243</v>
      </c>
      <c r="BE2172" s="5" t="s">
        <v>251</v>
      </c>
      <c r="BF2172" s="5" t="s">
        <v>252</v>
      </c>
      <c r="BG2172" s="5" t="s">
        <v>238</v>
      </c>
      <c r="BH2172" s="7">
        <f>0</f>
        <v>0</v>
      </c>
      <c r="BI2172" s="8">
        <f>0</f>
        <v>0</v>
      </c>
      <c r="BJ2172" s="5" t="s">
        <v>253</v>
      </c>
      <c r="BK2172" s="5" t="s">
        <v>254</v>
      </c>
      <c r="BY2172" s="5" t="s">
        <v>238</v>
      </c>
      <c r="BZ2172" s="5" t="s">
        <v>238</v>
      </c>
      <c r="CD2172" s="5" t="s">
        <v>273</v>
      </c>
      <c r="CE2172" s="5" t="s">
        <v>256</v>
      </c>
      <c r="CF2172" s="5" t="s">
        <v>238</v>
      </c>
      <c r="CI2172" s="6" t="s">
        <v>257</v>
      </c>
      <c r="CJ2172" s="5" t="s">
        <v>238</v>
      </c>
      <c r="CK2172" s="5" t="s">
        <v>258</v>
      </c>
      <c r="CL2172" s="5" t="s">
        <v>238</v>
      </c>
      <c r="CM2172" s="5" t="s">
        <v>238</v>
      </c>
      <c r="CN2172" s="5">
        <v>0</v>
      </c>
      <c r="CO2172" s="5" t="s">
        <v>259</v>
      </c>
      <c r="CP2172" s="5" t="s">
        <v>260</v>
      </c>
      <c r="CQ2172" s="5" t="s">
        <v>260</v>
      </c>
      <c r="CR2172" s="5" t="s">
        <v>261</v>
      </c>
      <c r="CU2172" s="8">
        <f>1</f>
        <v>1</v>
      </c>
      <c r="CV2172" s="8">
        <f>0</f>
        <v>0</v>
      </c>
      <c r="CX2172" s="8">
        <f>0</f>
        <v>0</v>
      </c>
      <c r="CY2172" s="8">
        <f>1</f>
        <v>1</v>
      </c>
      <c r="DA2172" s="5" t="s">
        <v>274</v>
      </c>
      <c r="DB2172" s="5" t="s">
        <v>238</v>
      </c>
      <c r="DD2172" s="5" t="s">
        <v>274</v>
      </c>
      <c r="DE2172" s="8">
        <f>90</f>
        <v>90</v>
      </c>
      <c r="DG2172" s="5" t="s">
        <v>238</v>
      </c>
      <c r="DH2172" s="5" t="s">
        <v>238</v>
      </c>
      <c r="DI2172" s="5" t="s">
        <v>238</v>
      </c>
      <c r="DJ2172" s="5" t="s">
        <v>238</v>
      </c>
      <c r="DN2172" s="5" t="s">
        <v>238</v>
      </c>
      <c r="DO2172" s="5" t="s">
        <v>238</v>
      </c>
      <c r="DP2172" s="5" t="s">
        <v>238</v>
      </c>
      <c r="DQ2172" s="5" t="s">
        <v>238</v>
      </c>
      <c r="DT2172" s="5" t="s">
        <v>275</v>
      </c>
      <c r="DU2172" s="5" t="s">
        <v>736</v>
      </c>
      <c r="HM2172" s="5" t="s">
        <v>264</v>
      </c>
    </row>
    <row r="2173" spans="1:221" x14ac:dyDescent="0.4">
      <c r="A2173" s="5">
        <v>3877</v>
      </c>
      <c r="B2173" s="5">
        <v>1</v>
      </c>
      <c r="C2173" s="5">
        <v>1</v>
      </c>
      <c r="D2173" s="5" t="s">
        <v>269</v>
      </c>
      <c r="E2173" s="5" t="s">
        <v>271</v>
      </c>
      <c r="F2173" s="5" t="s">
        <v>248</v>
      </c>
      <c r="G2173" s="5" t="s">
        <v>266</v>
      </c>
      <c r="H2173" s="6" t="s">
        <v>739</v>
      </c>
      <c r="I2173" s="7">
        <f>92</f>
        <v>92</v>
      </c>
      <c r="J2173" s="5" t="s">
        <v>262</v>
      </c>
      <c r="K2173" s="8">
        <f>1</f>
        <v>1</v>
      </c>
      <c r="L2173" s="6" t="s">
        <v>242</v>
      </c>
      <c r="M2173" s="5" t="s">
        <v>267</v>
      </c>
      <c r="N2173" s="5" t="s">
        <v>265</v>
      </c>
      <c r="O2173" s="5" t="s">
        <v>238</v>
      </c>
      <c r="P2173" s="5" t="s">
        <v>238</v>
      </c>
      <c r="Q2173" s="5" t="s">
        <v>268</v>
      </c>
      <c r="R2173" s="5" t="s">
        <v>270</v>
      </c>
      <c r="S2173" s="5" t="s">
        <v>238</v>
      </c>
      <c r="V2173" s="5" t="s">
        <v>238</v>
      </c>
      <c r="X2173" s="6" t="s">
        <v>238</v>
      </c>
      <c r="AA2173" s="6" t="s">
        <v>243</v>
      </c>
      <c r="AB2173" s="5" t="s">
        <v>238</v>
      </c>
      <c r="AC2173" s="5" t="s">
        <v>244</v>
      </c>
      <c r="AD2173" s="5" t="s">
        <v>245</v>
      </c>
      <c r="AT2173" s="5" t="s">
        <v>246</v>
      </c>
      <c r="AU2173" s="5" t="s">
        <v>238</v>
      </c>
      <c r="AV2173" s="5" t="s">
        <v>247</v>
      </c>
      <c r="AW2173" s="5" t="s">
        <v>238</v>
      </c>
      <c r="AX2173" s="5" t="s">
        <v>249</v>
      </c>
      <c r="AY2173" s="5" t="s">
        <v>238</v>
      </c>
      <c r="BA2173" s="5" t="s">
        <v>238</v>
      </c>
      <c r="BC2173" s="5" t="s">
        <v>250</v>
      </c>
      <c r="BD2173" s="6" t="s">
        <v>243</v>
      </c>
      <c r="BE2173" s="5" t="s">
        <v>251</v>
      </c>
      <c r="BF2173" s="5" t="s">
        <v>252</v>
      </c>
      <c r="BG2173" s="5" t="s">
        <v>238</v>
      </c>
      <c r="BH2173" s="7">
        <f>0</f>
        <v>0</v>
      </c>
      <c r="BI2173" s="8">
        <f>0</f>
        <v>0</v>
      </c>
      <c r="BJ2173" s="5" t="s">
        <v>253</v>
      </c>
      <c r="BK2173" s="5" t="s">
        <v>254</v>
      </c>
      <c r="BY2173" s="5" t="s">
        <v>238</v>
      </c>
      <c r="BZ2173" s="5" t="s">
        <v>238</v>
      </c>
      <c r="CD2173" s="5" t="s">
        <v>273</v>
      </c>
      <c r="CE2173" s="5" t="s">
        <v>256</v>
      </c>
      <c r="CF2173" s="5" t="s">
        <v>238</v>
      </c>
      <c r="CI2173" s="6" t="s">
        <v>257</v>
      </c>
      <c r="CJ2173" s="5" t="s">
        <v>238</v>
      </c>
      <c r="CK2173" s="5" t="s">
        <v>258</v>
      </c>
      <c r="CL2173" s="5" t="s">
        <v>238</v>
      </c>
      <c r="CM2173" s="5" t="s">
        <v>238</v>
      </c>
      <c r="CN2173" s="5">
        <v>0</v>
      </c>
      <c r="CO2173" s="5" t="s">
        <v>259</v>
      </c>
      <c r="CP2173" s="5" t="s">
        <v>260</v>
      </c>
      <c r="CQ2173" s="5" t="s">
        <v>260</v>
      </c>
      <c r="CR2173" s="5" t="s">
        <v>261</v>
      </c>
      <c r="CU2173" s="8">
        <f>1</f>
        <v>1</v>
      </c>
      <c r="CV2173" s="8">
        <f>0</f>
        <v>0</v>
      </c>
      <c r="CX2173" s="8">
        <f>0</f>
        <v>0</v>
      </c>
      <c r="CY2173" s="8">
        <f>1</f>
        <v>1</v>
      </c>
      <c r="DA2173" s="5" t="s">
        <v>274</v>
      </c>
      <c r="DB2173" s="5" t="s">
        <v>238</v>
      </c>
      <c r="DD2173" s="5" t="s">
        <v>274</v>
      </c>
      <c r="DE2173" s="8">
        <f>92</f>
        <v>92</v>
      </c>
      <c r="DG2173" s="5" t="s">
        <v>238</v>
      </c>
      <c r="DH2173" s="5" t="s">
        <v>238</v>
      </c>
      <c r="DI2173" s="5" t="s">
        <v>238</v>
      </c>
      <c r="DJ2173" s="5" t="s">
        <v>238</v>
      </c>
      <c r="DN2173" s="5" t="s">
        <v>238</v>
      </c>
      <c r="DO2173" s="5" t="s">
        <v>238</v>
      </c>
      <c r="DP2173" s="5" t="s">
        <v>238</v>
      </c>
      <c r="DQ2173" s="5" t="s">
        <v>238</v>
      </c>
      <c r="DT2173" s="5" t="s">
        <v>275</v>
      </c>
      <c r="DU2173" s="5" t="s">
        <v>740</v>
      </c>
      <c r="HM2173" s="5" t="s">
        <v>264</v>
      </c>
    </row>
    <row r="2174" spans="1:221" x14ac:dyDescent="0.4">
      <c r="A2174" s="5">
        <v>3878</v>
      </c>
      <c r="B2174" s="5">
        <v>1</v>
      </c>
      <c r="C2174" s="5">
        <v>1</v>
      </c>
      <c r="D2174" s="5" t="s">
        <v>269</v>
      </c>
      <c r="E2174" s="5" t="s">
        <v>271</v>
      </c>
      <c r="F2174" s="5" t="s">
        <v>248</v>
      </c>
      <c r="G2174" s="5" t="s">
        <v>266</v>
      </c>
      <c r="H2174" s="6" t="s">
        <v>741</v>
      </c>
      <c r="I2174" s="7">
        <f>895</f>
        <v>895</v>
      </c>
      <c r="J2174" s="5" t="s">
        <v>262</v>
      </c>
      <c r="K2174" s="8">
        <f>1</f>
        <v>1</v>
      </c>
      <c r="L2174" s="6" t="s">
        <v>242</v>
      </c>
      <c r="M2174" s="5" t="s">
        <v>267</v>
      </c>
      <c r="N2174" s="5" t="s">
        <v>265</v>
      </c>
      <c r="O2174" s="5" t="s">
        <v>238</v>
      </c>
      <c r="P2174" s="5" t="s">
        <v>238</v>
      </c>
      <c r="Q2174" s="5" t="s">
        <v>268</v>
      </c>
      <c r="R2174" s="5" t="s">
        <v>270</v>
      </c>
      <c r="S2174" s="5" t="s">
        <v>238</v>
      </c>
      <c r="V2174" s="5" t="s">
        <v>238</v>
      </c>
      <c r="X2174" s="6" t="s">
        <v>238</v>
      </c>
      <c r="AA2174" s="6" t="s">
        <v>243</v>
      </c>
      <c r="AB2174" s="5" t="s">
        <v>238</v>
      </c>
      <c r="AC2174" s="5" t="s">
        <v>244</v>
      </c>
      <c r="AD2174" s="5" t="s">
        <v>245</v>
      </c>
      <c r="AT2174" s="5" t="s">
        <v>246</v>
      </c>
      <c r="AU2174" s="5" t="s">
        <v>238</v>
      </c>
      <c r="AV2174" s="5" t="s">
        <v>247</v>
      </c>
      <c r="AW2174" s="5" t="s">
        <v>238</v>
      </c>
      <c r="AX2174" s="5" t="s">
        <v>249</v>
      </c>
      <c r="AY2174" s="5" t="s">
        <v>238</v>
      </c>
      <c r="BA2174" s="5" t="s">
        <v>238</v>
      </c>
      <c r="BC2174" s="5" t="s">
        <v>250</v>
      </c>
      <c r="BD2174" s="6" t="s">
        <v>243</v>
      </c>
      <c r="BE2174" s="5" t="s">
        <v>251</v>
      </c>
      <c r="BF2174" s="5" t="s">
        <v>252</v>
      </c>
      <c r="BG2174" s="5" t="s">
        <v>238</v>
      </c>
      <c r="BH2174" s="7">
        <f>0</f>
        <v>0</v>
      </c>
      <c r="BI2174" s="8">
        <f>0</f>
        <v>0</v>
      </c>
      <c r="BJ2174" s="5" t="s">
        <v>253</v>
      </c>
      <c r="BK2174" s="5" t="s">
        <v>254</v>
      </c>
      <c r="BY2174" s="5" t="s">
        <v>238</v>
      </c>
      <c r="BZ2174" s="5" t="s">
        <v>238</v>
      </c>
      <c r="CD2174" s="5" t="s">
        <v>273</v>
      </c>
      <c r="CE2174" s="5" t="s">
        <v>256</v>
      </c>
      <c r="CF2174" s="5" t="s">
        <v>238</v>
      </c>
      <c r="CI2174" s="6" t="s">
        <v>257</v>
      </c>
      <c r="CJ2174" s="5" t="s">
        <v>238</v>
      </c>
      <c r="CK2174" s="5" t="s">
        <v>258</v>
      </c>
      <c r="CL2174" s="5" t="s">
        <v>238</v>
      </c>
      <c r="CM2174" s="5" t="s">
        <v>238</v>
      </c>
      <c r="CN2174" s="5">
        <v>0</v>
      </c>
      <c r="CO2174" s="5" t="s">
        <v>259</v>
      </c>
      <c r="CP2174" s="5" t="s">
        <v>260</v>
      </c>
      <c r="CQ2174" s="5" t="s">
        <v>260</v>
      </c>
      <c r="CR2174" s="5" t="s">
        <v>261</v>
      </c>
      <c r="CU2174" s="8">
        <f>1</f>
        <v>1</v>
      </c>
      <c r="CV2174" s="8">
        <f>0</f>
        <v>0</v>
      </c>
      <c r="CX2174" s="8">
        <f>0</f>
        <v>0</v>
      </c>
      <c r="CY2174" s="8">
        <f>1</f>
        <v>1</v>
      </c>
      <c r="DA2174" s="5" t="s">
        <v>274</v>
      </c>
      <c r="DB2174" s="5" t="s">
        <v>238</v>
      </c>
      <c r="DD2174" s="5" t="s">
        <v>274</v>
      </c>
      <c r="DE2174" s="8">
        <f>895</f>
        <v>895</v>
      </c>
      <c r="DG2174" s="5" t="s">
        <v>238</v>
      </c>
      <c r="DH2174" s="5" t="s">
        <v>238</v>
      </c>
      <c r="DI2174" s="5" t="s">
        <v>238</v>
      </c>
      <c r="DJ2174" s="5" t="s">
        <v>238</v>
      </c>
      <c r="DN2174" s="5" t="s">
        <v>238</v>
      </c>
      <c r="DO2174" s="5" t="s">
        <v>238</v>
      </c>
      <c r="DP2174" s="5" t="s">
        <v>238</v>
      </c>
      <c r="DQ2174" s="5" t="s">
        <v>238</v>
      </c>
      <c r="DT2174" s="5" t="s">
        <v>275</v>
      </c>
      <c r="DU2174" s="5" t="s">
        <v>742</v>
      </c>
      <c r="HM2174" s="5" t="s">
        <v>264</v>
      </c>
    </row>
    <row r="2175" spans="1:221" x14ac:dyDescent="0.4">
      <c r="A2175" s="5">
        <v>3879</v>
      </c>
      <c r="B2175" s="5">
        <v>1</v>
      </c>
      <c r="C2175" s="5">
        <v>1</v>
      </c>
      <c r="D2175" s="5" t="s">
        <v>269</v>
      </c>
      <c r="E2175" s="5" t="s">
        <v>271</v>
      </c>
      <c r="F2175" s="5" t="s">
        <v>248</v>
      </c>
      <c r="G2175" s="5" t="s">
        <v>266</v>
      </c>
      <c r="H2175" s="6" t="s">
        <v>745</v>
      </c>
      <c r="I2175" s="7">
        <f>656</f>
        <v>656</v>
      </c>
      <c r="J2175" s="5" t="s">
        <v>262</v>
      </c>
      <c r="K2175" s="8">
        <f>1</f>
        <v>1</v>
      </c>
      <c r="L2175" s="6" t="s">
        <v>242</v>
      </c>
      <c r="M2175" s="5" t="s">
        <v>267</v>
      </c>
      <c r="N2175" s="5" t="s">
        <v>265</v>
      </c>
      <c r="O2175" s="5" t="s">
        <v>238</v>
      </c>
      <c r="P2175" s="5" t="s">
        <v>238</v>
      </c>
      <c r="Q2175" s="5" t="s">
        <v>268</v>
      </c>
      <c r="R2175" s="5" t="s">
        <v>270</v>
      </c>
      <c r="S2175" s="5" t="s">
        <v>238</v>
      </c>
      <c r="V2175" s="5" t="s">
        <v>238</v>
      </c>
      <c r="X2175" s="6" t="s">
        <v>238</v>
      </c>
      <c r="AA2175" s="6" t="s">
        <v>243</v>
      </c>
      <c r="AB2175" s="5" t="s">
        <v>238</v>
      </c>
      <c r="AC2175" s="5" t="s">
        <v>244</v>
      </c>
      <c r="AD2175" s="5" t="s">
        <v>245</v>
      </c>
      <c r="AT2175" s="5" t="s">
        <v>246</v>
      </c>
      <c r="AU2175" s="5" t="s">
        <v>238</v>
      </c>
      <c r="AV2175" s="5" t="s">
        <v>247</v>
      </c>
      <c r="AW2175" s="5" t="s">
        <v>238</v>
      </c>
      <c r="AX2175" s="5" t="s">
        <v>249</v>
      </c>
      <c r="AY2175" s="5" t="s">
        <v>238</v>
      </c>
      <c r="BA2175" s="5" t="s">
        <v>238</v>
      </c>
      <c r="BC2175" s="5" t="s">
        <v>250</v>
      </c>
      <c r="BD2175" s="6" t="s">
        <v>243</v>
      </c>
      <c r="BE2175" s="5" t="s">
        <v>251</v>
      </c>
      <c r="BF2175" s="5" t="s">
        <v>252</v>
      </c>
      <c r="BG2175" s="5" t="s">
        <v>238</v>
      </c>
      <c r="BH2175" s="7">
        <f>0</f>
        <v>0</v>
      </c>
      <c r="BI2175" s="8">
        <f>0</f>
        <v>0</v>
      </c>
      <c r="BJ2175" s="5" t="s">
        <v>253</v>
      </c>
      <c r="BK2175" s="5" t="s">
        <v>254</v>
      </c>
      <c r="BY2175" s="5" t="s">
        <v>238</v>
      </c>
      <c r="BZ2175" s="5" t="s">
        <v>238</v>
      </c>
      <c r="CD2175" s="5" t="s">
        <v>273</v>
      </c>
      <c r="CE2175" s="5" t="s">
        <v>256</v>
      </c>
      <c r="CF2175" s="5" t="s">
        <v>238</v>
      </c>
      <c r="CI2175" s="6" t="s">
        <v>257</v>
      </c>
      <c r="CJ2175" s="5" t="s">
        <v>238</v>
      </c>
      <c r="CK2175" s="5" t="s">
        <v>258</v>
      </c>
      <c r="CL2175" s="5" t="s">
        <v>238</v>
      </c>
      <c r="CM2175" s="5" t="s">
        <v>238</v>
      </c>
      <c r="CN2175" s="5">
        <v>0</v>
      </c>
      <c r="CO2175" s="5" t="s">
        <v>259</v>
      </c>
      <c r="CP2175" s="5" t="s">
        <v>260</v>
      </c>
      <c r="CQ2175" s="5" t="s">
        <v>260</v>
      </c>
      <c r="CR2175" s="5" t="s">
        <v>261</v>
      </c>
      <c r="CU2175" s="8">
        <f>1</f>
        <v>1</v>
      </c>
      <c r="CV2175" s="8">
        <f>0</f>
        <v>0</v>
      </c>
      <c r="CX2175" s="8">
        <f>0</f>
        <v>0</v>
      </c>
      <c r="CY2175" s="8">
        <f>1</f>
        <v>1</v>
      </c>
      <c r="DA2175" s="5" t="s">
        <v>274</v>
      </c>
      <c r="DB2175" s="5" t="s">
        <v>238</v>
      </c>
      <c r="DD2175" s="5" t="s">
        <v>274</v>
      </c>
      <c r="DE2175" s="8">
        <f>656</f>
        <v>656</v>
      </c>
      <c r="DG2175" s="5" t="s">
        <v>238</v>
      </c>
      <c r="DH2175" s="5" t="s">
        <v>238</v>
      </c>
      <c r="DI2175" s="5" t="s">
        <v>238</v>
      </c>
      <c r="DJ2175" s="5" t="s">
        <v>238</v>
      </c>
      <c r="DN2175" s="5" t="s">
        <v>238</v>
      </c>
      <c r="DO2175" s="5" t="s">
        <v>238</v>
      </c>
      <c r="DP2175" s="5" t="s">
        <v>238</v>
      </c>
      <c r="DQ2175" s="5" t="s">
        <v>238</v>
      </c>
      <c r="DT2175" s="5" t="s">
        <v>275</v>
      </c>
      <c r="DU2175" s="5" t="s">
        <v>746</v>
      </c>
      <c r="HM2175" s="5" t="s">
        <v>264</v>
      </c>
    </row>
    <row r="2176" spans="1:221" x14ac:dyDescent="0.4">
      <c r="A2176" s="5">
        <v>3880</v>
      </c>
      <c r="B2176" s="5">
        <v>1</v>
      </c>
      <c r="C2176" s="5">
        <v>1</v>
      </c>
      <c r="D2176" s="5" t="s">
        <v>269</v>
      </c>
      <c r="E2176" s="5" t="s">
        <v>271</v>
      </c>
      <c r="F2176" s="5" t="s">
        <v>248</v>
      </c>
      <c r="G2176" s="5" t="s">
        <v>266</v>
      </c>
      <c r="H2176" s="6" t="s">
        <v>747</v>
      </c>
      <c r="I2176" s="7">
        <f>324</f>
        <v>324</v>
      </c>
      <c r="J2176" s="5" t="s">
        <v>262</v>
      </c>
      <c r="K2176" s="8">
        <f>1</f>
        <v>1</v>
      </c>
      <c r="L2176" s="6" t="s">
        <v>242</v>
      </c>
      <c r="M2176" s="5" t="s">
        <v>267</v>
      </c>
      <c r="N2176" s="5" t="s">
        <v>265</v>
      </c>
      <c r="O2176" s="5" t="s">
        <v>238</v>
      </c>
      <c r="P2176" s="5" t="s">
        <v>238</v>
      </c>
      <c r="Q2176" s="5" t="s">
        <v>268</v>
      </c>
      <c r="R2176" s="5" t="s">
        <v>270</v>
      </c>
      <c r="S2176" s="5" t="s">
        <v>238</v>
      </c>
      <c r="V2176" s="5" t="s">
        <v>238</v>
      </c>
      <c r="X2176" s="6" t="s">
        <v>238</v>
      </c>
      <c r="AA2176" s="6" t="s">
        <v>243</v>
      </c>
      <c r="AB2176" s="5" t="s">
        <v>238</v>
      </c>
      <c r="AC2176" s="5" t="s">
        <v>244</v>
      </c>
      <c r="AD2176" s="5" t="s">
        <v>245</v>
      </c>
      <c r="AT2176" s="5" t="s">
        <v>246</v>
      </c>
      <c r="AU2176" s="5" t="s">
        <v>238</v>
      </c>
      <c r="AV2176" s="5" t="s">
        <v>247</v>
      </c>
      <c r="AW2176" s="5" t="s">
        <v>238</v>
      </c>
      <c r="AX2176" s="5" t="s">
        <v>249</v>
      </c>
      <c r="AY2176" s="5" t="s">
        <v>238</v>
      </c>
      <c r="BA2176" s="5" t="s">
        <v>238</v>
      </c>
      <c r="BC2176" s="5" t="s">
        <v>250</v>
      </c>
      <c r="BD2176" s="6" t="s">
        <v>243</v>
      </c>
      <c r="BE2176" s="5" t="s">
        <v>251</v>
      </c>
      <c r="BF2176" s="5" t="s">
        <v>252</v>
      </c>
      <c r="BG2176" s="5" t="s">
        <v>238</v>
      </c>
      <c r="BH2176" s="7">
        <f>0</f>
        <v>0</v>
      </c>
      <c r="BI2176" s="8">
        <f>0</f>
        <v>0</v>
      </c>
      <c r="BJ2176" s="5" t="s">
        <v>253</v>
      </c>
      <c r="BK2176" s="5" t="s">
        <v>254</v>
      </c>
      <c r="BY2176" s="5" t="s">
        <v>238</v>
      </c>
      <c r="BZ2176" s="5" t="s">
        <v>238</v>
      </c>
      <c r="CD2176" s="5" t="s">
        <v>273</v>
      </c>
      <c r="CE2176" s="5" t="s">
        <v>256</v>
      </c>
      <c r="CF2176" s="5" t="s">
        <v>238</v>
      </c>
      <c r="CI2176" s="6" t="s">
        <v>257</v>
      </c>
      <c r="CJ2176" s="5" t="s">
        <v>238</v>
      </c>
      <c r="CK2176" s="5" t="s">
        <v>258</v>
      </c>
      <c r="CL2176" s="5" t="s">
        <v>238</v>
      </c>
      <c r="CM2176" s="5" t="s">
        <v>238</v>
      </c>
      <c r="CN2176" s="5">
        <v>0</v>
      </c>
      <c r="CO2176" s="5" t="s">
        <v>259</v>
      </c>
      <c r="CP2176" s="5" t="s">
        <v>260</v>
      </c>
      <c r="CQ2176" s="5" t="s">
        <v>260</v>
      </c>
      <c r="CR2176" s="5" t="s">
        <v>261</v>
      </c>
      <c r="CU2176" s="8">
        <f>1</f>
        <v>1</v>
      </c>
      <c r="CV2176" s="8">
        <f>0</f>
        <v>0</v>
      </c>
      <c r="CX2176" s="8">
        <f>0</f>
        <v>0</v>
      </c>
      <c r="CY2176" s="8">
        <f>1</f>
        <v>1</v>
      </c>
      <c r="DA2176" s="5" t="s">
        <v>274</v>
      </c>
      <c r="DB2176" s="5" t="s">
        <v>238</v>
      </c>
      <c r="DD2176" s="5" t="s">
        <v>274</v>
      </c>
      <c r="DE2176" s="8">
        <f>324</f>
        <v>324</v>
      </c>
      <c r="DG2176" s="5" t="s">
        <v>238</v>
      </c>
      <c r="DH2176" s="5" t="s">
        <v>238</v>
      </c>
      <c r="DI2176" s="5" t="s">
        <v>238</v>
      </c>
      <c r="DJ2176" s="5" t="s">
        <v>238</v>
      </c>
      <c r="DN2176" s="5" t="s">
        <v>238</v>
      </c>
      <c r="DO2176" s="5" t="s">
        <v>238</v>
      </c>
      <c r="DP2176" s="5" t="s">
        <v>238</v>
      </c>
      <c r="DQ2176" s="5" t="s">
        <v>238</v>
      </c>
      <c r="DT2176" s="5" t="s">
        <v>275</v>
      </c>
      <c r="DU2176" s="5" t="s">
        <v>748</v>
      </c>
      <c r="HM2176" s="5" t="s">
        <v>264</v>
      </c>
    </row>
    <row r="2177" spans="1:221" x14ac:dyDescent="0.4">
      <c r="A2177" s="5">
        <v>3881</v>
      </c>
      <c r="B2177" s="5">
        <v>1</v>
      </c>
      <c r="C2177" s="5">
        <v>1</v>
      </c>
      <c r="D2177" s="5" t="s">
        <v>269</v>
      </c>
      <c r="E2177" s="5" t="s">
        <v>271</v>
      </c>
      <c r="F2177" s="5" t="s">
        <v>248</v>
      </c>
      <c r="G2177" s="5" t="s">
        <v>266</v>
      </c>
      <c r="H2177" s="6" t="s">
        <v>751</v>
      </c>
      <c r="I2177" s="7">
        <f>658</f>
        <v>658</v>
      </c>
      <c r="J2177" s="5" t="s">
        <v>262</v>
      </c>
      <c r="K2177" s="8">
        <f>1</f>
        <v>1</v>
      </c>
      <c r="L2177" s="6" t="s">
        <v>242</v>
      </c>
      <c r="M2177" s="5" t="s">
        <v>267</v>
      </c>
      <c r="N2177" s="5" t="s">
        <v>265</v>
      </c>
      <c r="O2177" s="5" t="s">
        <v>238</v>
      </c>
      <c r="P2177" s="5" t="s">
        <v>238</v>
      </c>
      <c r="Q2177" s="5" t="s">
        <v>268</v>
      </c>
      <c r="R2177" s="5" t="s">
        <v>270</v>
      </c>
      <c r="S2177" s="5" t="s">
        <v>238</v>
      </c>
      <c r="V2177" s="5" t="s">
        <v>238</v>
      </c>
      <c r="X2177" s="6" t="s">
        <v>238</v>
      </c>
      <c r="AA2177" s="6" t="s">
        <v>243</v>
      </c>
      <c r="AB2177" s="5" t="s">
        <v>238</v>
      </c>
      <c r="AC2177" s="5" t="s">
        <v>244</v>
      </c>
      <c r="AD2177" s="5" t="s">
        <v>245</v>
      </c>
      <c r="AT2177" s="5" t="s">
        <v>246</v>
      </c>
      <c r="AU2177" s="5" t="s">
        <v>238</v>
      </c>
      <c r="AV2177" s="5" t="s">
        <v>247</v>
      </c>
      <c r="AW2177" s="5" t="s">
        <v>238</v>
      </c>
      <c r="AX2177" s="5" t="s">
        <v>249</v>
      </c>
      <c r="AY2177" s="5" t="s">
        <v>238</v>
      </c>
      <c r="BA2177" s="5" t="s">
        <v>238</v>
      </c>
      <c r="BC2177" s="5" t="s">
        <v>250</v>
      </c>
      <c r="BD2177" s="6" t="s">
        <v>243</v>
      </c>
      <c r="BE2177" s="5" t="s">
        <v>251</v>
      </c>
      <c r="BF2177" s="5" t="s">
        <v>252</v>
      </c>
      <c r="BG2177" s="5" t="s">
        <v>238</v>
      </c>
      <c r="BH2177" s="7">
        <f>0</f>
        <v>0</v>
      </c>
      <c r="BI2177" s="8">
        <f>0</f>
        <v>0</v>
      </c>
      <c r="BJ2177" s="5" t="s">
        <v>253</v>
      </c>
      <c r="BK2177" s="5" t="s">
        <v>254</v>
      </c>
      <c r="BY2177" s="5" t="s">
        <v>238</v>
      </c>
      <c r="BZ2177" s="5" t="s">
        <v>238</v>
      </c>
      <c r="CD2177" s="5" t="s">
        <v>273</v>
      </c>
      <c r="CE2177" s="5" t="s">
        <v>256</v>
      </c>
      <c r="CF2177" s="5" t="s">
        <v>238</v>
      </c>
      <c r="CI2177" s="6" t="s">
        <v>257</v>
      </c>
      <c r="CJ2177" s="5" t="s">
        <v>238</v>
      </c>
      <c r="CK2177" s="5" t="s">
        <v>258</v>
      </c>
      <c r="CL2177" s="5" t="s">
        <v>238</v>
      </c>
      <c r="CM2177" s="5" t="s">
        <v>238</v>
      </c>
      <c r="CN2177" s="5">
        <v>0</v>
      </c>
      <c r="CO2177" s="5" t="s">
        <v>259</v>
      </c>
      <c r="CP2177" s="5" t="s">
        <v>260</v>
      </c>
      <c r="CQ2177" s="5" t="s">
        <v>260</v>
      </c>
      <c r="CR2177" s="5" t="s">
        <v>261</v>
      </c>
      <c r="CU2177" s="8">
        <f>1</f>
        <v>1</v>
      </c>
      <c r="CV2177" s="8">
        <f>0</f>
        <v>0</v>
      </c>
      <c r="CX2177" s="8">
        <f>0</f>
        <v>0</v>
      </c>
      <c r="CY2177" s="8">
        <f>1</f>
        <v>1</v>
      </c>
      <c r="DA2177" s="5" t="s">
        <v>274</v>
      </c>
      <c r="DB2177" s="5" t="s">
        <v>238</v>
      </c>
      <c r="DD2177" s="5" t="s">
        <v>274</v>
      </c>
      <c r="DE2177" s="8">
        <f>658</f>
        <v>658</v>
      </c>
      <c r="DG2177" s="5" t="s">
        <v>238</v>
      </c>
      <c r="DH2177" s="5" t="s">
        <v>238</v>
      </c>
      <c r="DI2177" s="5" t="s">
        <v>238</v>
      </c>
      <c r="DJ2177" s="5" t="s">
        <v>238</v>
      </c>
      <c r="DN2177" s="5" t="s">
        <v>238</v>
      </c>
      <c r="DO2177" s="5" t="s">
        <v>238</v>
      </c>
      <c r="DP2177" s="5" t="s">
        <v>238</v>
      </c>
      <c r="DQ2177" s="5" t="s">
        <v>238</v>
      </c>
      <c r="DT2177" s="5" t="s">
        <v>275</v>
      </c>
      <c r="DU2177" s="5" t="s">
        <v>752</v>
      </c>
      <c r="HM2177" s="5" t="s">
        <v>264</v>
      </c>
    </row>
    <row r="2178" spans="1:221" x14ac:dyDescent="0.4">
      <c r="A2178" s="5">
        <v>3882</v>
      </c>
      <c r="B2178" s="5">
        <v>1</v>
      </c>
      <c r="C2178" s="5">
        <v>1</v>
      </c>
      <c r="D2178" s="5" t="s">
        <v>269</v>
      </c>
      <c r="E2178" s="5" t="s">
        <v>271</v>
      </c>
      <c r="F2178" s="5" t="s">
        <v>248</v>
      </c>
      <c r="G2178" s="5" t="s">
        <v>266</v>
      </c>
      <c r="H2178" s="6" t="s">
        <v>753</v>
      </c>
      <c r="I2178" s="7">
        <f>75</f>
        <v>75</v>
      </c>
      <c r="J2178" s="5" t="s">
        <v>262</v>
      </c>
      <c r="K2178" s="8">
        <f>1</f>
        <v>1</v>
      </c>
      <c r="L2178" s="6" t="s">
        <v>242</v>
      </c>
      <c r="M2178" s="5" t="s">
        <v>267</v>
      </c>
      <c r="N2178" s="5" t="s">
        <v>265</v>
      </c>
      <c r="O2178" s="5" t="s">
        <v>238</v>
      </c>
      <c r="P2178" s="5" t="s">
        <v>238</v>
      </c>
      <c r="Q2178" s="5" t="s">
        <v>268</v>
      </c>
      <c r="R2178" s="5" t="s">
        <v>270</v>
      </c>
      <c r="S2178" s="5" t="s">
        <v>238</v>
      </c>
      <c r="V2178" s="5" t="s">
        <v>238</v>
      </c>
      <c r="X2178" s="6" t="s">
        <v>238</v>
      </c>
      <c r="AA2178" s="6" t="s">
        <v>243</v>
      </c>
      <c r="AB2178" s="5" t="s">
        <v>238</v>
      </c>
      <c r="AC2178" s="5" t="s">
        <v>244</v>
      </c>
      <c r="AD2178" s="5" t="s">
        <v>245</v>
      </c>
      <c r="AT2178" s="5" t="s">
        <v>246</v>
      </c>
      <c r="AU2178" s="5" t="s">
        <v>238</v>
      </c>
      <c r="AV2178" s="5" t="s">
        <v>247</v>
      </c>
      <c r="AW2178" s="5" t="s">
        <v>238</v>
      </c>
      <c r="AX2178" s="5" t="s">
        <v>249</v>
      </c>
      <c r="AY2178" s="5" t="s">
        <v>238</v>
      </c>
      <c r="BA2178" s="5" t="s">
        <v>238</v>
      </c>
      <c r="BC2178" s="5" t="s">
        <v>250</v>
      </c>
      <c r="BD2178" s="6" t="s">
        <v>243</v>
      </c>
      <c r="BE2178" s="5" t="s">
        <v>251</v>
      </c>
      <c r="BF2178" s="5" t="s">
        <v>252</v>
      </c>
      <c r="BG2178" s="5" t="s">
        <v>238</v>
      </c>
      <c r="BH2178" s="7">
        <f>0</f>
        <v>0</v>
      </c>
      <c r="BI2178" s="8">
        <f>0</f>
        <v>0</v>
      </c>
      <c r="BJ2178" s="5" t="s">
        <v>253</v>
      </c>
      <c r="BK2178" s="5" t="s">
        <v>254</v>
      </c>
      <c r="BY2178" s="5" t="s">
        <v>238</v>
      </c>
      <c r="BZ2178" s="5" t="s">
        <v>238</v>
      </c>
      <c r="CD2178" s="5" t="s">
        <v>273</v>
      </c>
      <c r="CE2178" s="5" t="s">
        <v>256</v>
      </c>
      <c r="CF2178" s="5" t="s">
        <v>238</v>
      </c>
      <c r="CI2178" s="6" t="s">
        <v>257</v>
      </c>
      <c r="CJ2178" s="5" t="s">
        <v>238</v>
      </c>
      <c r="CK2178" s="5" t="s">
        <v>258</v>
      </c>
      <c r="CL2178" s="5" t="s">
        <v>238</v>
      </c>
      <c r="CM2178" s="5" t="s">
        <v>238</v>
      </c>
      <c r="CN2178" s="5">
        <v>0</v>
      </c>
      <c r="CO2178" s="5" t="s">
        <v>259</v>
      </c>
      <c r="CP2178" s="5" t="s">
        <v>260</v>
      </c>
      <c r="CQ2178" s="5" t="s">
        <v>260</v>
      </c>
      <c r="CR2178" s="5" t="s">
        <v>261</v>
      </c>
      <c r="CU2178" s="8">
        <f>1</f>
        <v>1</v>
      </c>
      <c r="CV2178" s="8">
        <f>0</f>
        <v>0</v>
      </c>
      <c r="CX2178" s="8">
        <f>0</f>
        <v>0</v>
      </c>
      <c r="CY2178" s="8">
        <f>1</f>
        <v>1</v>
      </c>
      <c r="DA2178" s="5" t="s">
        <v>274</v>
      </c>
      <c r="DB2178" s="5" t="s">
        <v>238</v>
      </c>
      <c r="DD2178" s="5" t="s">
        <v>274</v>
      </c>
      <c r="DE2178" s="8">
        <f>75</f>
        <v>75</v>
      </c>
      <c r="DG2178" s="5" t="s">
        <v>238</v>
      </c>
      <c r="DH2178" s="5" t="s">
        <v>238</v>
      </c>
      <c r="DI2178" s="5" t="s">
        <v>238</v>
      </c>
      <c r="DJ2178" s="5" t="s">
        <v>238</v>
      </c>
      <c r="DN2178" s="5" t="s">
        <v>238</v>
      </c>
      <c r="DO2178" s="5" t="s">
        <v>238</v>
      </c>
      <c r="DP2178" s="5" t="s">
        <v>238</v>
      </c>
      <c r="DQ2178" s="5" t="s">
        <v>238</v>
      </c>
      <c r="DT2178" s="5" t="s">
        <v>275</v>
      </c>
      <c r="DU2178" s="5" t="s">
        <v>754</v>
      </c>
      <c r="HM2178" s="5" t="s">
        <v>264</v>
      </c>
    </row>
    <row r="2179" spans="1:221" x14ac:dyDescent="0.4">
      <c r="A2179" s="5">
        <v>3883</v>
      </c>
      <c r="B2179" s="5">
        <v>1</v>
      </c>
      <c r="C2179" s="5">
        <v>1</v>
      </c>
      <c r="D2179" s="5" t="s">
        <v>269</v>
      </c>
      <c r="E2179" s="5" t="s">
        <v>271</v>
      </c>
      <c r="F2179" s="5" t="s">
        <v>248</v>
      </c>
      <c r="G2179" s="5" t="s">
        <v>266</v>
      </c>
      <c r="H2179" s="6" t="s">
        <v>757</v>
      </c>
      <c r="I2179" s="7">
        <f>2691</f>
        <v>2691</v>
      </c>
      <c r="J2179" s="5" t="s">
        <v>262</v>
      </c>
      <c r="K2179" s="8">
        <f>1</f>
        <v>1</v>
      </c>
      <c r="L2179" s="6" t="s">
        <v>242</v>
      </c>
      <c r="M2179" s="5" t="s">
        <v>267</v>
      </c>
      <c r="N2179" s="5" t="s">
        <v>265</v>
      </c>
      <c r="O2179" s="5" t="s">
        <v>238</v>
      </c>
      <c r="P2179" s="5" t="s">
        <v>238</v>
      </c>
      <c r="Q2179" s="5" t="s">
        <v>268</v>
      </c>
      <c r="R2179" s="5" t="s">
        <v>270</v>
      </c>
      <c r="S2179" s="5" t="s">
        <v>238</v>
      </c>
      <c r="V2179" s="5" t="s">
        <v>238</v>
      </c>
      <c r="X2179" s="6" t="s">
        <v>238</v>
      </c>
      <c r="AA2179" s="6" t="s">
        <v>243</v>
      </c>
      <c r="AB2179" s="5" t="s">
        <v>238</v>
      </c>
      <c r="AC2179" s="5" t="s">
        <v>244</v>
      </c>
      <c r="AD2179" s="5" t="s">
        <v>245</v>
      </c>
      <c r="AT2179" s="5" t="s">
        <v>246</v>
      </c>
      <c r="AU2179" s="5" t="s">
        <v>238</v>
      </c>
      <c r="AV2179" s="5" t="s">
        <v>247</v>
      </c>
      <c r="AW2179" s="5" t="s">
        <v>238</v>
      </c>
      <c r="AX2179" s="5" t="s">
        <v>249</v>
      </c>
      <c r="AY2179" s="5" t="s">
        <v>238</v>
      </c>
      <c r="BA2179" s="5" t="s">
        <v>238</v>
      </c>
      <c r="BC2179" s="5" t="s">
        <v>250</v>
      </c>
      <c r="BD2179" s="6" t="s">
        <v>243</v>
      </c>
      <c r="BE2179" s="5" t="s">
        <v>251</v>
      </c>
      <c r="BF2179" s="5" t="s">
        <v>252</v>
      </c>
      <c r="BG2179" s="5" t="s">
        <v>238</v>
      </c>
      <c r="BH2179" s="7">
        <f>0</f>
        <v>0</v>
      </c>
      <c r="BI2179" s="8">
        <f>0</f>
        <v>0</v>
      </c>
      <c r="BJ2179" s="5" t="s">
        <v>253</v>
      </c>
      <c r="BK2179" s="5" t="s">
        <v>254</v>
      </c>
      <c r="BY2179" s="5" t="s">
        <v>238</v>
      </c>
      <c r="BZ2179" s="5" t="s">
        <v>238</v>
      </c>
      <c r="CD2179" s="5" t="s">
        <v>273</v>
      </c>
      <c r="CE2179" s="5" t="s">
        <v>256</v>
      </c>
      <c r="CF2179" s="5" t="s">
        <v>238</v>
      </c>
      <c r="CI2179" s="6" t="s">
        <v>257</v>
      </c>
      <c r="CJ2179" s="5" t="s">
        <v>238</v>
      </c>
      <c r="CK2179" s="5" t="s">
        <v>258</v>
      </c>
      <c r="CL2179" s="5" t="s">
        <v>238</v>
      </c>
      <c r="CM2179" s="5" t="s">
        <v>238</v>
      </c>
      <c r="CN2179" s="5">
        <v>0</v>
      </c>
      <c r="CO2179" s="5" t="s">
        <v>259</v>
      </c>
      <c r="CP2179" s="5" t="s">
        <v>260</v>
      </c>
      <c r="CQ2179" s="5" t="s">
        <v>260</v>
      </c>
      <c r="CR2179" s="5" t="s">
        <v>261</v>
      </c>
      <c r="CU2179" s="8">
        <f>1</f>
        <v>1</v>
      </c>
      <c r="CV2179" s="8">
        <f>0</f>
        <v>0</v>
      </c>
      <c r="CX2179" s="8">
        <f>0</f>
        <v>0</v>
      </c>
      <c r="CY2179" s="8">
        <f>1</f>
        <v>1</v>
      </c>
      <c r="DA2179" s="5" t="s">
        <v>274</v>
      </c>
      <c r="DB2179" s="5" t="s">
        <v>238</v>
      </c>
      <c r="DD2179" s="5" t="s">
        <v>274</v>
      </c>
      <c r="DE2179" s="8">
        <f>2691</f>
        <v>2691</v>
      </c>
      <c r="DG2179" s="5" t="s">
        <v>238</v>
      </c>
      <c r="DH2179" s="5" t="s">
        <v>238</v>
      </c>
      <c r="DI2179" s="5" t="s">
        <v>238</v>
      </c>
      <c r="DJ2179" s="5" t="s">
        <v>238</v>
      </c>
      <c r="DN2179" s="5" t="s">
        <v>238</v>
      </c>
      <c r="DO2179" s="5" t="s">
        <v>238</v>
      </c>
      <c r="DP2179" s="5" t="s">
        <v>238</v>
      </c>
      <c r="DQ2179" s="5" t="s">
        <v>238</v>
      </c>
      <c r="DT2179" s="5" t="s">
        <v>275</v>
      </c>
      <c r="DU2179" s="5" t="s">
        <v>758</v>
      </c>
      <c r="HM2179" s="5" t="s">
        <v>264</v>
      </c>
    </row>
    <row r="2180" spans="1:221" x14ac:dyDescent="0.4">
      <c r="A2180" s="5">
        <v>3884</v>
      </c>
      <c r="B2180" s="5">
        <v>1</v>
      </c>
      <c r="C2180" s="5">
        <v>1</v>
      </c>
      <c r="D2180" s="5" t="s">
        <v>269</v>
      </c>
      <c r="E2180" s="5" t="s">
        <v>271</v>
      </c>
      <c r="F2180" s="5" t="s">
        <v>248</v>
      </c>
      <c r="G2180" s="5" t="s">
        <v>266</v>
      </c>
      <c r="H2180" s="6" t="s">
        <v>5565</v>
      </c>
      <c r="I2180" s="7">
        <f>132</f>
        <v>132</v>
      </c>
      <c r="J2180" s="5" t="s">
        <v>262</v>
      </c>
      <c r="K2180" s="8">
        <f>1</f>
        <v>1</v>
      </c>
      <c r="L2180" s="6" t="s">
        <v>242</v>
      </c>
      <c r="M2180" s="5" t="s">
        <v>267</v>
      </c>
      <c r="N2180" s="5" t="s">
        <v>265</v>
      </c>
      <c r="O2180" s="5" t="s">
        <v>238</v>
      </c>
      <c r="P2180" s="5" t="s">
        <v>238</v>
      </c>
      <c r="Q2180" s="5" t="s">
        <v>268</v>
      </c>
      <c r="R2180" s="5" t="s">
        <v>270</v>
      </c>
      <c r="S2180" s="5" t="s">
        <v>238</v>
      </c>
      <c r="V2180" s="5" t="s">
        <v>238</v>
      </c>
      <c r="X2180" s="6" t="s">
        <v>238</v>
      </c>
      <c r="AA2180" s="6" t="s">
        <v>243</v>
      </c>
      <c r="AB2180" s="5" t="s">
        <v>238</v>
      </c>
      <c r="AC2180" s="5" t="s">
        <v>244</v>
      </c>
      <c r="AD2180" s="5" t="s">
        <v>245</v>
      </c>
      <c r="AT2180" s="5" t="s">
        <v>246</v>
      </c>
      <c r="AU2180" s="5" t="s">
        <v>238</v>
      </c>
      <c r="AV2180" s="5" t="s">
        <v>247</v>
      </c>
      <c r="AW2180" s="5" t="s">
        <v>238</v>
      </c>
      <c r="AX2180" s="5" t="s">
        <v>249</v>
      </c>
      <c r="AY2180" s="5" t="s">
        <v>238</v>
      </c>
      <c r="BA2180" s="5" t="s">
        <v>238</v>
      </c>
      <c r="BC2180" s="5" t="s">
        <v>250</v>
      </c>
      <c r="BD2180" s="6" t="s">
        <v>243</v>
      </c>
      <c r="BE2180" s="5" t="s">
        <v>251</v>
      </c>
      <c r="BF2180" s="5" t="s">
        <v>252</v>
      </c>
      <c r="BG2180" s="5" t="s">
        <v>238</v>
      </c>
      <c r="BH2180" s="7">
        <f>0</f>
        <v>0</v>
      </c>
      <c r="BI2180" s="8">
        <f>0</f>
        <v>0</v>
      </c>
      <c r="BJ2180" s="5" t="s">
        <v>253</v>
      </c>
      <c r="BK2180" s="5" t="s">
        <v>254</v>
      </c>
      <c r="BY2180" s="5" t="s">
        <v>238</v>
      </c>
      <c r="BZ2180" s="5" t="s">
        <v>238</v>
      </c>
      <c r="CD2180" s="5" t="s">
        <v>273</v>
      </c>
      <c r="CE2180" s="5" t="s">
        <v>256</v>
      </c>
      <c r="CF2180" s="5" t="s">
        <v>238</v>
      </c>
      <c r="CI2180" s="6" t="s">
        <v>257</v>
      </c>
      <c r="CJ2180" s="5" t="s">
        <v>238</v>
      </c>
      <c r="CK2180" s="5" t="s">
        <v>258</v>
      </c>
      <c r="CL2180" s="5" t="s">
        <v>238</v>
      </c>
      <c r="CM2180" s="5" t="s">
        <v>238</v>
      </c>
      <c r="CN2180" s="5">
        <v>0</v>
      </c>
      <c r="CO2180" s="5" t="s">
        <v>259</v>
      </c>
      <c r="CP2180" s="5" t="s">
        <v>260</v>
      </c>
      <c r="CQ2180" s="5" t="s">
        <v>260</v>
      </c>
      <c r="CR2180" s="5" t="s">
        <v>261</v>
      </c>
      <c r="CU2180" s="8">
        <f>1</f>
        <v>1</v>
      </c>
      <c r="CV2180" s="8">
        <f>0</f>
        <v>0</v>
      </c>
      <c r="CX2180" s="8">
        <f>0</f>
        <v>0</v>
      </c>
      <c r="CY2180" s="8">
        <f>1</f>
        <v>1</v>
      </c>
      <c r="DA2180" s="5" t="s">
        <v>274</v>
      </c>
      <c r="DB2180" s="5" t="s">
        <v>238</v>
      </c>
      <c r="DD2180" s="5" t="s">
        <v>274</v>
      </c>
      <c r="DE2180" s="8">
        <f>132</f>
        <v>132</v>
      </c>
      <c r="DG2180" s="5" t="s">
        <v>238</v>
      </c>
      <c r="DH2180" s="5" t="s">
        <v>238</v>
      </c>
      <c r="DI2180" s="5" t="s">
        <v>238</v>
      </c>
      <c r="DJ2180" s="5" t="s">
        <v>238</v>
      </c>
      <c r="DN2180" s="5" t="s">
        <v>238</v>
      </c>
      <c r="DO2180" s="5" t="s">
        <v>238</v>
      </c>
      <c r="DP2180" s="5" t="s">
        <v>238</v>
      </c>
      <c r="DQ2180" s="5" t="s">
        <v>238</v>
      </c>
      <c r="DT2180" s="5" t="s">
        <v>275</v>
      </c>
      <c r="DU2180" s="5" t="s">
        <v>3235</v>
      </c>
      <c r="HM2180" s="5" t="s">
        <v>264</v>
      </c>
    </row>
    <row r="2181" spans="1:221" x14ac:dyDescent="0.4">
      <c r="A2181" s="5">
        <v>3885</v>
      </c>
      <c r="B2181" s="5">
        <v>1</v>
      </c>
      <c r="C2181" s="5">
        <v>1</v>
      </c>
      <c r="D2181" s="5" t="s">
        <v>269</v>
      </c>
      <c r="E2181" s="5" t="s">
        <v>271</v>
      </c>
      <c r="F2181" s="5" t="s">
        <v>248</v>
      </c>
      <c r="G2181" s="5" t="s">
        <v>266</v>
      </c>
      <c r="H2181" s="6" t="s">
        <v>765</v>
      </c>
      <c r="I2181" s="7">
        <f>208</f>
        <v>208</v>
      </c>
      <c r="J2181" s="5" t="s">
        <v>262</v>
      </c>
      <c r="K2181" s="8">
        <f>1</f>
        <v>1</v>
      </c>
      <c r="L2181" s="6" t="s">
        <v>242</v>
      </c>
      <c r="M2181" s="5" t="s">
        <v>267</v>
      </c>
      <c r="N2181" s="5" t="s">
        <v>265</v>
      </c>
      <c r="O2181" s="5" t="s">
        <v>238</v>
      </c>
      <c r="P2181" s="5" t="s">
        <v>238</v>
      </c>
      <c r="Q2181" s="5" t="s">
        <v>268</v>
      </c>
      <c r="R2181" s="5" t="s">
        <v>270</v>
      </c>
      <c r="S2181" s="5" t="s">
        <v>238</v>
      </c>
      <c r="V2181" s="5" t="s">
        <v>238</v>
      </c>
      <c r="X2181" s="6" t="s">
        <v>238</v>
      </c>
      <c r="AA2181" s="6" t="s">
        <v>243</v>
      </c>
      <c r="AB2181" s="5" t="s">
        <v>238</v>
      </c>
      <c r="AC2181" s="5" t="s">
        <v>244</v>
      </c>
      <c r="AD2181" s="5" t="s">
        <v>245</v>
      </c>
      <c r="AT2181" s="5" t="s">
        <v>246</v>
      </c>
      <c r="AU2181" s="5" t="s">
        <v>238</v>
      </c>
      <c r="AV2181" s="5" t="s">
        <v>247</v>
      </c>
      <c r="AW2181" s="5" t="s">
        <v>238</v>
      </c>
      <c r="AX2181" s="5" t="s">
        <v>249</v>
      </c>
      <c r="AY2181" s="5" t="s">
        <v>238</v>
      </c>
      <c r="BA2181" s="5" t="s">
        <v>238</v>
      </c>
      <c r="BC2181" s="5" t="s">
        <v>250</v>
      </c>
      <c r="BD2181" s="6" t="s">
        <v>243</v>
      </c>
      <c r="BE2181" s="5" t="s">
        <v>251</v>
      </c>
      <c r="BF2181" s="5" t="s">
        <v>252</v>
      </c>
      <c r="BG2181" s="5" t="s">
        <v>238</v>
      </c>
      <c r="BH2181" s="7">
        <f>0</f>
        <v>0</v>
      </c>
      <c r="BI2181" s="8">
        <f>0</f>
        <v>0</v>
      </c>
      <c r="BJ2181" s="5" t="s">
        <v>253</v>
      </c>
      <c r="BK2181" s="5" t="s">
        <v>254</v>
      </c>
      <c r="BY2181" s="5" t="s">
        <v>238</v>
      </c>
      <c r="BZ2181" s="5" t="s">
        <v>238</v>
      </c>
      <c r="CD2181" s="5" t="s">
        <v>273</v>
      </c>
      <c r="CE2181" s="5" t="s">
        <v>256</v>
      </c>
      <c r="CF2181" s="5" t="s">
        <v>238</v>
      </c>
      <c r="CI2181" s="6" t="s">
        <v>257</v>
      </c>
      <c r="CJ2181" s="5" t="s">
        <v>238</v>
      </c>
      <c r="CK2181" s="5" t="s">
        <v>258</v>
      </c>
      <c r="CL2181" s="5" t="s">
        <v>238</v>
      </c>
      <c r="CM2181" s="5" t="s">
        <v>238</v>
      </c>
      <c r="CN2181" s="5">
        <v>0</v>
      </c>
      <c r="CO2181" s="5" t="s">
        <v>259</v>
      </c>
      <c r="CP2181" s="5" t="s">
        <v>260</v>
      </c>
      <c r="CQ2181" s="5" t="s">
        <v>260</v>
      </c>
      <c r="CR2181" s="5" t="s">
        <v>261</v>
      </c>
      <c r="CU2181" s="8">
        <f>1</f>
        <v>1</v>
      </c>
      <c r="CV2181" s="8">
        <f>0</f>
        <v>0</v>
      </c>
      <c r="CX2181" s="8">
        <f>0</f>
        <v>0</v>
      </c>
      <c r="CY2181" s="8">
        <f>1</f>
        <v>1</v>
      </c>
      <c r="DA2181" s="5" t="s">
        <v>274</v>
      </c>
      <c r="DB2181" s="5" t="s">
        <v>238</v>
      </c>
      <c r="DD2181" s="5" t="s">
        <v>274</v>
      </c>
      <c r="DE2181" s="8">
        <f>208</f>
        <v>208</v>
      </c>
      <c r="DG2181" s="5" t="s">
        <v>238</v>
      </c>
      <c r="DH2181" s="5" t="s">
        <v>238</v>
      </c>
      <c r="DI2181" s="5" t="s">
        <v>238</v>
      </c>
      <c r="DJ2181" s="5" t="s">
        <v>238</v>
      </c>
      <c r="DN2181" s="5" t="s">
        <v>238</v>
      </c>
      <c r="DO2181" s="5" t="s">
        <v>238</v>
      </c>
      <c r="DP2181" s="5" t="s">
        <v>238</v>
      </c>
      <c r="DQ2181" s="5" t="s">
        <v>238</v>
      </c>
      <c r="DT2181" s="5" t="s">
        <v>275</v>
      </c>
      <c r="DU2181" s="5" t="s">
        <v>766</v>
      </c>
      <c r="HM2181" s="5" t="s">
        <v>264</v>
      </c>
    </row>
    <row r="2182" spans="1:221" x14ac:dyDescent="0.4">
      <c r="A2182" s="5">
        <v>3886</v>
      </c>
      <c r="B2182" s="5">
        <v>1</v>
      </c>
      <c r="C2182" s="5">
        <v>1</v>
      </c>
      <c r="D2182" s="5" t="s">
        <v>269</v>
      </c>
      <c r="E2182" s="5" t="s">
        <v>271</v>
      </c>
      <c r="F2182" s="5" t="s">
        <v>248</v>
      </c>
      <c r="G2182" s="5" t="s">
        <v>266</v>
      </c>
      <c r="H2182" s="6" t="s">
        <v>771</v>
      </c>
      <c r="I2182" s="7">
        <f>117</f>
        <v>117</v>
      </c>
      <c r="J2182" s="5" t="s">
        <v>262</v>
      </c>
      <c r="K2182" s="8">
        <f>1</f>
        <v>1</v>
      </c>
      <c r="L2182" s="6" t="s">
        <v>242</v>
      </c>
      <c r="M2182" s="5" t="s">
        <v>267</v>
      </c>
      <c r="N2182" s="5" t="s">
        <v>265</v>
      </c>
      <c r="O2182" s="5" t="s">
        <v>238</v>
      </c>
      <c r="P2182" s="5" t="s">
        <v>238</v>
      </c>
      <c r="Q2182" s="5" t="s">
        <v>268</v>
      </c>
      <c r="R2182" s="5" t="s">
        <v>270</v>
      </c>
      <c r="S2182" s="5" t="s">
        <v>238</v>
      </c>
      <c r="V2182" s="5" t="s">
        <v>238</v>
      </c>
      <c r="X2182" s="6" t="s">
        <v>238</v>
      </c>
      <c r="AA2182" s="6" t="s">
        <v>243</v>
      </c>
      <c r="AB2182" s="5" t="s">
        <v>238</v>
      </c>
      <c r="AC2182" s="5" t="s">
        <v>244</v>
      </c>
      <c r="AD2182" s="5" t="s">
        <v>245</v>
      </c>
      <c r="AT2182" s="5" t="s">
        <v>246</v>
      </c>
      <c r="AU2182" s="5" t="s">
        <v>238</v>
      </c>
      <c r="AV2182" s="5" t="s">
        <v>247</v>
      </c>
      <c r="AW2182" s="5" t="s">
        <v>238</v>
      </c>
      <c r="AX2182" s="5" t="s">
        <v>249</v>
      </c>
      <c r="AY2182" s="5" t="s">
        <v>238</v>
      </c>
      <c r="BA2182" s="5" t="s">
        <v>238</v>
      </c>
      <c r="BC2182" s="5" t="s">
        <v>250</v>
      </c>
      <c r="BD2182" s="6" t="s">
        <v>243</v>
      </c>
      <c r="BE2182" s="5" t="s">
        <v>251</v>
      </c>
      <c r="BF2182" s="5" t="s">
        <v>252</v>
      </c>
      <c r="BG2182" s="5" t="s">
        <v>238</v>
      </c>
      <c r="BH2182" s="7">
        <f>0</f>
        <v>0</v>
      </c>
      <c r="BI2182" s="8">
        <f>0</f>
        <v>0</v>
      </c>
      <c r="BJ2182" s="5" t="s">
        <v>253</v>
      </c>
      <c r="BK2182" s="5" t="s">
        <v>254</v>
      </c>
      <c r="BY2182" s="5" t="s">
        <v>238</v>
      </c>
      <c r="BZ2182" s="5" t="s">
        <v>238</v>
      </c>
      <c r="CD2182" s="5" t="s">
        <v>273</v>
      </c>
      <c r="CE2182" s="5" t="s">
        <v>256</v>
      </c>
      <c r="CF2182" s="5" t="s">
        <v>238</v>
      </c>
      <c r="CI2182" s="6" t="s">
        <v>257</v>
      </c>
      <c r="CJ2182" s="5" t="s">
        <v>238</v>
      </c>
      <c r="CK2182" s="5" t="s">
        <v>258</v>
      </c>
      <c r="CL2182" s="5" t="s">
        <v>238</v>
      </c>
      <c r="CM2182" s="5" t="s">
        <v>238</v>
      </c>
      <c r="CN2182" s="5">
        <v>0</v>
      </c>
      <c r="CO2182" s="5" t="s">
        <v>259</v>
      </c>
      <c r="CP2182" s="5" t="s">
        <v>260</v>
      </c>
      <c r="CQ2182" s="5" t="s">
        <v>260</v>
      </c>
      <c r="CR2182" s="5" t="s">
        <v>261</v>
      </c>
      <c r="CU2182" s="8">
        <f>1</f>
        <v>1</v>
      </c>
      <c r="CV2182" s="8">
        <f>0</f>
        <v>0</v>
      </c>
      <c r="CX2182" s="8">
        <f>0</f>
        <v>0</v>
      </c>
      <c r="CY2182" s="8">
        <f>1</f>
        <v>1</v>
      </c>
      <c r="DA2182" s="5" t="s">
        <v>274</v>
      </c>
      <c r="DB2182" s="5" t="s">
        <v>238</v>
      </c>
      <c r="DD2182" s="5" t="s">
        <v>274</v>
      </c>
      <c r="DE2182" s="8">
        <f>117</f>
        <v>117</v>
      </c>
      <c r="DG2182" s="5" t="s">
        <v>238</v>
      </c>
      <c r="DH2182" s="5" t="s">
        <v>238</v>
      </c>
      <c r="DI2182" s="5" t="s">
        <v>238</v>
      </c>
      <c r="DJ2182" s="5" t="s">
        <v>238</v>
      </c>
      <c r="DN2182" s="5" t="s">
        <v>238</v>
      </c>
      <c r="DO2182" s="5" t="s">
        <v>238</v>
      </c>
      <c r="DP2182" s="5" t="s">
        <v>238</v>
      </c>
      <c r="DQ2182" s="5" t="s">
        <v>238</v>
      </c>
      <c r="DT2182" s="5" t="s">
        <v>275</v>
      </c>
      <c r="DU2182" s="5" t="s">
        <v>772</v>
      </c>
      <c r="HM2182" s="5" t="s">
        <v>264</v>
      </c>
    </row>
    <row r="2183" spans="1:221" x14ac:dyDescent="0.4">
      <c r="A2183" s="5">
        <v>3887</v>
      </c>
      <c r="B2183" s="5">
        <v>1</v>
      </c>
      <c r="C2183" s="5">
        <v>1</v>
      </c>
      <c r="D2183" s="5" t="s">
        <v>269</v>
      </c>
      <c r="E2183" s="5" t="s">
        <v>271</v>
      </c>
      <c r="F2183" s="5" t="s">
        <v>248</v>
      </c>
      <c r="G2183" s="5" t="s">
        <v>266</v>
      </c>
      <c r="H2183" s="6" t="s">
        <v>773</v>
      </c>
      <c r="I2183" s="7">
        <f>20</f>
        <v>20</v>
      </c>
      <c r="J2183" s="5" t="s">
        <v>262</v>
      </c>
      <c r="K2183" s="8">
        <f>1</f>
        <v>1</v>
      </c>
      <c r="L2183" s="6" t="s">
        <v>242</v>
      </c>
      <c r="M2183" s="5" t="s">
        <v>267</v>
      </c>
      <c r="N2183" s="5" t="s">
        <v>265</v>
      </c>
      <c r="O2183" s="5" t="s">
        <v>238</v>
      </c>
      <c r="P2183" s="5" t="s">
        <v>238</v>
      </c>
      <c r="Q2183" s="5" t="s">
        <v>268</v>
      </c>
      <c r="R2183" s="5" t="s">
        <v>270</v>
      </c>
      <c r="S2183" s="5" t="s">
        <v>238</v>
      </c>
      <c r="V2183" s="5" t="s">
        <v>238</v>
      </c>
      <c r="X2183" s="6" t="s">
        <v>238</v>
      </c>
      <c r="AA2183" s="6" t="s">
        <v>243</v>
      </c>
      <c r="AB2183" s="5" t="s">
        <v>238</v>
      </c>
      <c r="AC2183" s="5" t="s">
        <v>244</v>
      </c>
      <c r="AD2183" s="5" t="s">
        <v>245</v>
      </c>
      <c r="AT2183" s="5" t="s">
        <v>246</v>
      </c>
      <c r="AU2183" s="5" t="s">
        <v>238</v>
      </c>
      <c r="AV2183" s="5" t="s">
        <v>247</v>
      </c>
      <c r="AW2183" s="5" t="s">
        <v>238</v>
      </c>
      <c r="AX2183" s="5" t="s">
        <v>249</v>
      </c>
      <c r="AY2183" s="5" t="s">
        <v>238</v>
      </c>
      <c r="BA2183" s="5" t="s">
        <v>238</v>
      </c>
      <c r="BC2183" s="5" t="s">
        <v>250</v>
      </c>
      <c r="BD2183" s="6" t="s">
        <v>243</v>
      </c>
      <c r="BE2183" s="5" t="s">
        <v>251</v>
      </c>
      <c r="BF2183" s="5" t="s">
        <v>252</v>
      </c>
      <c r="BG2183" s="5" t="s">
        <v>238</v>
      </c>
      <c r="BH2183" s="7">
        <f>0</f>
        <v>0</v>
      </c>
      <c r="BI2183" s="8">
        <f>0</f>
        <v>0</v>
      </c>
      <c r="BJ2183" s="5" t="s">
        <v>253</v>
      </c>
      <c r="BK2183" s="5" t="s">
        <v>254</v>
      </c>
      <c r="BY2183" s="5" t="s">
        <v>238</v>
      </c>
      <c r="BZ2183" s="5" t="s">
        <v>238</v>
      </c>
      <c r="CD2183" s="5" t="s">
        <v>273</v>
      </c>
      <c r="CE2183" s="5" t="s">
        <v>256</v>
      </c>
      <c r="CF2183" s="5" t="s">
        <v>238</v>
      </c>
      <c r="CI2183" s="6" t="s">
        <v>257</v>
      </c>
      <c r="CJ2183" s="5" t="s">
        <v>238</v>
      </c>
      <c r="CK2183" s="5" t="s">
        <v>258</v>
      </c>
      <c r="CL2183" s="5" t="s">
        <v>238</v>
      </c>
      <c r="CM2183" s="5" t="s">
        <v>238</v>
      </c>
      <c r="CN2183" s="5">
        <v>0</v>
      </c>
      <c r="CO2183" s="5" t="s">
        <v>259</v>
      </c>
      <c r="CP2183" s="5" t="s">
        <v>260</v>
      </c>
      <c r="CQ2183" s="5" t="s">
        <v>260</v>
      </c>
      <c r="CR2183" s="5" t="s">
        <v>261</v>
      </c>
      <c r="CU2183" s="8">
        <f>1</f>
        <v>1</v>
      </c>
      <c r="CV2183" s="8">
        <f>0</f>
        <v>0</v>
      </c>
      <c r="CX2183" s="8">
        <f>0</f>
        <v>0</v>
      </c>
      <c r="CY2183" s="8">
        <f>1</f>
        <v>1</v>
      </c>
      <c r="DA2183" s="5" t="s">
        <v>274</v>
      </c>
      <c r="DB2183" s="5" t="s">
        <v>238</v>
      </c>
      <c r="DD2183" s="5" t="s">
        <v>274</v>
      </c>
      <c r="DE2183" s="8">
        <f>20</f>
        <v>20</v>
      </c>
      <c r="DG2183" s="5" t="s">
        <v>238</v>
      </c>
      <c r="DH2183" s="5" t="s">
        <v>238</v>
      </c>
      <c r="DI2183" s="5" t="s">
        <v>238</v>
      </c>
      <c r="DJ2183" s="5" t="s">
        <v>238</v>
      </c>
      <c r="DN2183" s="5" t="s">
        <v>238</v>
      </c>
      <c r="DO2183" s="5" t="s">
        <v>238</v>
      </c>
      <c r="DP2183" s="5" t="s">
        <v>238</v>
      </c>
      <c r="DQ2183" s="5" t="s">
        <v>238</v>
      </c>
      <c r="DT2183" s="5" t="s">
        <v>275</v>
      </c>
      <c r="DU2183" s="5" t="s">
        <v>774</v>
      </c>
      <c r="HM2183" s="5" t="s">
        <v>264</v>
      </c>
    </row>
    <row r="2184" spans="1:221" x14ac:dyDescent="0.4">
      <c r="A2184" s="5">
        <v>3888</v>
      </c>
      <c r="B2184" s="5">
        <v>1</v>
      </c>
      <c r="C2184" s="5">
        <v>1</v>
      </c>
      <c r="D2184" s="5" t="s">
        <v>269</v>
      </c>
      <c r="E2184" s="5" t="s">
        <v>271</v>
      </c>
      <c r="F2184" s="5" t="s">
        <v>248</v>
      </c>
      <c r="G2184" s="5" t="s">
        <v>266</v>
      </c>
      <c r="H2184" s="6" t="s">
        <v>5571</v>
      </c>
      <c r="I2184" s="7">
        <f>103</f>
        <v>103</v>
      </c>
      <c r="J2184" s="5" t="s">
        <v>262</v>
      </c>
      <c r="K2184" s="8">
        <f>1</f>
        <v>1</v>
      </c>
      <c r="L2184" s="6" t="s">
        <v>242</v>
      </c>
      <c r="M2184" s="5" t="s">
        <v>267</v>
      </c>
      <c r="N2184" s="5" t="s">
        <v>265</v>
      </c>
      <c r="O2184" s="5" t="s">
        <v>238</v>
      </c>
      <c r="P2184" s="5" t="s">
        <v>238</v>
      </c>
      <c r="Q2184" s="5" t="s">
        <v>268</v>
      </c>
      <c r="R2184" s="5" t="s">
        <v>270</v>
      </c>
      <c r="S2184" s="5" t="s">
        <v>238</v>
      </c>
      <c r="V2184" s="5" t="s">
        <v>238</v>
      </c>
      <c r="X2184" s="6" t="s">
        <v>238</v>
      </c>
      <c r="AA2184" s="6" t="s">
        <v>243</v>
      </c>
      <c r="AB2184" s="5" t="s">
        <v>238</v>
      </c>
      <c r="AC2184" s="5" t="s">
        <v>244</v>
      </c>
      <c r="AD2184" s="5" t="s">
        <v>245</v>
      </c>
      <c r="AT2184" s="5" t="s">
        <v>246</v>
      </c>
      <c r="AU2184" s="5" t="s">
        <v>238</v>
      </c>
      <c r="AV2184" s="5" t="s">
        <v>247</v>
      </c>
      <c r="AW2184" s="5" t="s">
        <v>238</v>
      </c>
      <c r="AX2184" s="5" t="s">
        <v>249</v>
      </c>
      <c r="AY2184" s="5" t="s">
        <v>238</v>
      </c>
      <c r="BA2184" s="5" t="s">
        <v>238</v>
      </c>
      <c r="BC2184" s="5" t="s">
        <v>250</v>
      </c>
      <c r="BD2184" s="6" t="s">
        <v>243</v>
      </c>
      <c r="BE2184" s="5" t="s">
        <v>251</v>
      </c>
      <c r="BF2184" s="5" t="s">
        <v>252</v>
      </c>
      <c r="BG2184" s="5" t="s">
        <v>238</v>
      </c>
      <c r="BH2184" s="7">
        <f>0</f>
        <v>0</v>
      </c>
      <c r="BI2184" s="8">
        <f>0</f>
        <v>0</v>
      </c>
      <c r="BJ2184" s="5" t="s">
        <v>253</v>
      </c>
      <c r="BK2184" s="5" t="s">
        <v>254</v>
      </c>
      <c r="BY2184" s="5" t="s">
        <v>238</v>
      </c>
      <c r="BZ2184" s="5" t="s">
        <v>238</v>
      </c>
      <c r="CD2184" s="5" t="s">
        <v>273</v>
      </c>
      <c r="CE2184" s="5" t="s">
        <v>256</v>
      </c>
      <c r="CF2184" s="5" t="s">
        <v>238</v>
      </c>
      <c r="CI2184" s="6" t="s">
        <v>257</v>
      </c>
      <c r="CJ2184" s="5" t="s">
        <v>238</v>
      </c>
      <c r="CK2184" s="5" t="s">
        <v>258</v>
      </c>
      <c r="CL2184" s="5" t="s">
        <v>238</v>
      </c>
      <c r="CM2184" s="5" t="s">
        <v>238</v>
      </c>
      <c r="CN2184" s="5">
        <v>0</v>
      </c>
      <c r="CO2184" s="5" t="s">
        <v>259</v>
      </c>
      <c r="CP2184" s="5" t="s">
        <v>260</v>
      </c>
      <c r="CQ2184" s="5" t="s">
        <v>260</v>
      </c>
      <c r="CR2184" s="5" t="s">
        <v>261</v>
      </c>
      <c r="CU2184" s="8">
        <f>1</f>
        <v>1</v>
      </c>
      <c r="CV2184" s="8">
        <f>0</f>
        <v>0</v>
      </c>
      <c r="CX2184" s="8">
        <f>0</f>
        <v>0</v>
      </c>
      <c r="CY2184" s="8">
        <f>1</f>
        <v>1</v>
      </c>
      <c r="DA2184" s="5" t="s">
        <v>274</v>
      </c>
      <c r="DB2184" s="5" t="s">
        <v>238</v>
      </c>
      <c r="DD2184" s="5" t="s">
        <v>274</v>
      </c>
      <c r="DE2184" s="8">
        <f>103</f>
        <v>103</v>
      </c>
      <c r="DG2184" s="5" t="s">
        <v>238</v>
      </c>
      <c r="DH2184" s="5" t="s">
        <v>238</v>
      </c>
      <c r="DI2184" s="5" t="s">
        <v>238</v>
      </c>
      <c r="DJ2184" s="5" t="s">
        <v>238</v>
      </c>
      <c r="DN2184" s="5" t="s">
        <v>238</v>
      </c>
      <c r="DO2184" s="5" t="s">
        <v>238</v>
      </c>
      <c r="DP2184" s="5" t="s">
        <v>238</v>
      </c>
      <c r="DQ2184" s="5" t="s">
        <v>238</v>
      </c>
      <c r="DT2184" s="5" t="s">
        <v>275</v>
      </c>
      <c r="DU2184" s="5" t="s">
        <v>698</v>
      </c>
      <c r="HM2184" s="5" t="s">
        <v>264</v>
      </c>
    </row>
    <row r="2185" spans="1:221" x14ac:dyDescent="0.4">
      <c r="A2185" s="5">
        <v>3889</v>
      </c>
      <c r="B2185" s="5">
        <v>1</v>
      </c>
      <c r="C2185" s="5">
        <v>1</v>
      </c>
      <c r="D2185" s="5" t="s">
        <v>269</v>
      </c>
      <c r="E2185" s="5" t="s">
        <v>271</v>
      </c>
      <c r="F2185" s="5" t="s">
        <v>248</v>
      </c>
      <c r="G2185" s="5" t="s">
        <v>266</v>
      </c>
      <c r="H2185" s="6" t="s">
        <v>777</v>
      </c>
      <c r="I2185" s="7">
        <f>488</f>
        <v>488</v>
      </c>
      <c r="J2185" s="5" t="s">
        <v>262</v>
      </c>
      <c r="K2185" s="8">
        <f>1</f>
        <v>1</v>
      </c>
      <c r="L2185" s="6" t="s">
        <v>242</v>
      </c>
      <c r="M2185" s="5" t="s">
        <v>267</v>
      </c>
      <c r="N2185" s="5" t="s">
        <v>265</v>
      </c>
      <c r="O2185" s="5" t="s">
        <v>238</v>
      </c>
      <c r="P2185" s="5" t="s">
        <v>238</v>
      </c>
      <c r="Q2185" s="5" t="s">
        <v>268</v>
      </c>
      <c r="R2185" s="5" t="s">
        <v>270</v>
      </c>
      <c r="S2185" s="5" t="s">
        <v>238</v>
      </c>
      <c r="V2185" s="5" t="s">
        <v>238</v>
      </c>
      <c r="X2185" s="6" t="s">
        <v>238</v>
      </c>
      <c r="AA2185" s="6" t="s">
        <v>243</v>
      </c>
      <c r="AB2185" s="5" t="s">
        <v>238</v>
      </c>
      <c r="AC2185" s="5" t="s">
        <v>244</v>
      </c>
      <c r="AD2185" s="5" t="s">
        <v>245</v>
      </c>
      <c r="AT2185" s="5" t="s">
        <v>246</v>
      </c>
      <c r="AU2185" s="5" t="s">
        <v>238</v>
      </c>
      <c r="AV2185" s="5" t="s">
        <v>247</v>
      </c>
      <c r="AW2185" s="5" t="s">
        <v>238</v>
      </c>
      <c r="AX2185" s="5" t="s">
        <v>249</v>
      </c>
      <c r="AY2185" s="5" t="s">
        <v>238</v>
      </c>
      <c r="BA2185" s="5" t="s">
        <v>238</v>
      </c>
      <c r="BC2185" s="5" t="s">
        <v>250</v>
      </c>
      <c r="BD2185" s="6" t="s">
        <v>243</v>
      </c>
      <c r="BE2185" s="5" t="s">
        <v>251</v>
      </c>
      <c r="BF2185" s="5" t="s">
        <v>252</v>
      </c>
      <c r="BG2185" s="5" t="s">
        <v>238</v>
      </c>
      <c r="BH2185" s="7">
        <f>0</f>
        <v>0</v>
      </c>
      <c r="BI2185" s="8">
        <f>0</f>
        <v>0</v>
      </c>
      <c r="BJ2185" s="5" t="s">
        <v>253</v>
      </c>
      <c r="BK2185" s="5" t="s">
        <v>254</v>
      </c>
      <c r="BY2185" s="5" t="s">
        <v>238</v>
      </c>
      <c r="BZ2185" s="5" t="s">
        <v>238</v>
      </c>
      <c r="CD2185" s="5" t="s">
        <v>273</v>
      </c>
      <c r="CE2185" s="5" t="s">
        <v>256</v>
      </c>
      <c r="CF2185" s="5" t="s">
        <v>238</v>
      </c>
      <c r="CI2185" s="6" t="s">
        <v>257</v>
      </c>
      <c r="CJ2185" s="5" t="s">
        <v>238</v>
      </c>
      <c r="CK2185" s="5" t="s">
        <v>258</v>
      </c>
      <c r="CL2185" s="5" t="s">
        <v>238</v>
      </c>
      <c r="CM2185" s="5" t="s">
        <v>238</v>
      </c>
      <c r="CN2185" s="5">
        <v>0</v>
      </c>
      <c r="CO2185" s="5" t="s">
        <v>259</v>
      </c>
      <c r="CP2185" s="5" t="s">
        <v>260</v>
      </c>
      <c r="CQ2185" s="5" t="s">
        <v>260</v>
      </c>
      <c r="CR2185" s="5" t="s">
        <v>261</v>
      </c>
      <c r="CU2185" s="8">
        <f>1</f>
        <v>1</v>
      </c>
      <c r="CV2185" s="8">
        <f>0</f>
        <v>0</v>
      </c>
      <c r="CX2185" s="8">
        <f>0</f>
        <v>0</v>
      </c>
      <c r="CY2185" s="8">
        <f>1</f>
        <v>1</v>
      </c>
      <c r="DA2185" s="5" t="s">
        <v>274</v>
      </c>
      <c r="DB2185" s="5" t="s">
        <v>238</v>
      </c>
      <c r="DD2185" s="5" t="s">
        <v>274</v>
      </c>
      <c r="DE2185" s="8">
        <f>488</f>
        <v>488</v>
      </c>
      <c r="DG2185" s="5" t="s">
        <v>238</v>
      </c>
      <c r="DH2185" s="5" t="s">
        <v>238</v>
      </c>
      <c r="DI2185" s="5" t="s">
        <v>238</v>
      </c>
      <c r="DJ2185" s="5" t="s">
        <v>238</v>
      </c>
      <c r="DN2185" s="5" t="s">
        <v>238</v>
      </c>
      <c r="DO2185" s="5" t="s">
        <v>238</v>
      </c>
      <c r="DP2185" s="5" t="s">
        <v>238</v>
      </c>
      <c r="DQ2185" s="5" t="s">
        <v>238</v>
      </c>
      <c r="DT2185" s="5" t="s">
        <v>275</v>
      </c>
      <c r="DU2185" s="5" t="s">
        <v>778</v>
      </c>
      <c r="HM2185" s="5" t="s">
        <v>264</v>
      </c>
    </row>
    <row r="2186" spans="1:221" x14ac:dyDescent="0.4">
      <c r="A2186" s="5">
        <v>3890</v>
      </c>
      <c r="B2186" s="5">
        <v>1</v>
      </c>
      <c r="C2186" s="5">
        <v>1</v>
      </c>
      <c r="D2186" s="5" t="s">
        <v>269</v>
      </c>
      <c r="E2186" s="5" t="s">
        <v>271</v>
      </c>
      <c r="F2186" s="5" t="s">
        <v>248</v>
      </c>
      <c r="G2186" s="5" t="s">
        <v>266</v>
      </c>
      <c r="H2186" s="6" t="s">
        <v>779</v>
      </c>
      <c r="I2186" s="7">
        <f>1303</f>
        <v>1303</v>
      </c>
      <c r="J2186" s="5" t="s">
        <v>262</v>
      </c>
      <c r="K2186" s="8">
        <f>1</f>
        <v>1</v>
      </c>
      <c r="L2186" s="6" t="s">
        <v>242</v>
      </c>
      <c r="M2186" s="5" t="s">
        <v>267</v>
      </c>
      <c r="N2186" s="5" t="s">
        <v>265</v>
      </c>
      <c r="O2186" s="5" t="s">
        <v>238</v>
      </c>
      <c r="P2186" s="5" t="s">
        <v>238</v>
      </c>
      <c r="Q2186" s="5" t="s">
        <v>268</v>
      </c>
      <c r="R2186" s="5" t="s">
        <v>270</v>
      </c>
      <c r="S2186" s="5" t="s">
        <v>238</v>
      </c>
      <c r="V2186" s="5" t="s">
        <v>238</v>
      </c>
      <c r="X2186" s="6" t="s">
        <v>238</v>
      </c>
      <c r="AA2186" s="6" t="s">
        <v>243</v>
      </c>
      <c r="AB2186" s="5" t="s">
        <v>238</v>
      </c>
      <c r="AC2186" s="5" t="s">
        <v>244</v>
      </c>
      <c r="AD2186" s="5" t="s">
        <v>245</v>
      </c>
      <c r="AT2186" s="5" t="s">
        <v>246</v>
      </c>
      <c r="AU2186" s="5" t="s">
        <v>238</v>
      </c>
      <c r="AV2186" s="5" t="s">
        <v>247</v>
      </c>
      <c r="AW2186" s="5" t="s">
        <v>238</v>
      </c>
      <c r="AX2186" s="5" t="s">
        <v>249</v>
      </c>
      <c r="AY2186" s="5" t="s">
        <v>238</v>
      </c>
      <c r="BA2186" s="5" t="s">
        <v>238</v>
      </c>
      <c r="BC2186" s="5" t="s">
        <v>250</v>
      </c>
      <c r="BD2186" s="6" t="s">
        <v>243</v>
      </c>
      <c r="BE2186" s="5" t="s">
        <v>251</v>
      </c>
      <c r="BF2186" s="5" t="s">
        <v>252</v>
      </c>
      <c r="BG2186" s="5" t="s">
        <v>238</v>
      </c>
      <c r="BH2186" s="7">
        <f>0</f>
        <v>0</v>
      </c>
      <c r="BI2186" s="8">
        <f>0</f>
        <v>0</v>
      </c>
      <c r="BJ2186" s="5" t="s">
        <v>253</v>
      </c>
      <c r="BK2186" s="5" t="s">
        <v>254</v>
      </c>
      <c r="BY2186" s="5" t="s">
        <v>238</v>
      </c>
      <c r="BZ2186" s="5" t="s">
        <v>238</v>
      </c>
      <c r="CD2186" s="5" t="s">
        <v>273</v>
      </c>
      <c r="CE2186" s="5" t="s">
        <v>256</v>
      </c>
      <c r="CF2186" s="5" t="s">
        <v>238</v>
      </c>
      <c r="CI2186" s="6" t="s">
        <v>257</v>
      </c>
      <c r="CJ2186" s="5" t="s">
        <v>238</v>
      </c>
      <c r="CK2186" s="5" t="s">
        <v>258</v>
      </c>
      <c r="CL2186" s="5" t="s">
        <v>238</v>
      </c>
      <c r="CM2186" s="5" t="s">
        <v>238</v>
      </c>
      <c r="CN2186" s="5">
        <v>0</v>
      </c>
      <c r="CO2186" s="5" t="s">
        <v>259</v>
      </c>
      <c r="CP2186" s="5" t="s">
        <v>260</v>
      </c>
      <c r="CQ2186" s="5" t="s">
        <v>260</v>
      </c>
      <c r="CR2186" s="5" t="s">
        <v>261</v>
      </c>
      <c r="CU2186" s="8">
        <f>1</f>
        <v>1</v>
      </c>
      <c r="CV2186" s="8">
        <f>0</f>
        <v>0</v>
      </c>
      <c r="CX2186" s="8">
        <f>0</f>
        <v>0</v>
      </c>
      <c r="CY2186" s="8">
        <f>1</f>
        <v>1</v>
      </c>
      <c r="DA2186" s="5" t="s">
        <v>274</v>
      </c>
      <c r="DB2186" s="5" t="s">
        <v>238</v>
      </c>
      <c r="DD2186" s="5" t="s">
        <v>274</v>
      </c>
      <c r="DE2186" s="8">
        <f>1303</f>
        <v>1303</v>
      </c>
      <c r="DG2186" s="5" t="s">
        <v>238</v>
      </c>
      <c r="DH2186" s="5" t="s">
        <v>238</v>
      </c>
      <c r="DI2186" s="5" t="s">
        <v>238</v>
      </c>
      <c r="DJ2186" s="5" t="s">
        <v>238</v>
      </c>
      <c r="DN2186" s="5" t="s">
        <v>238</v>
      </c>
      <c r="DO2186" s="5" t="s">
        <v>238</v>
      </c>
      <c r="DP2186" s="5" t="s">
        <v>238</v>
      </c>
      <c r="DQ2186" s="5" t="s">
        <v>238</v>
      </c>
      <c r="DT2186" s="5" t="s">
        <v>275</v>
      </c>
      <c r="DU2186" s="5" t="s">
        <v>780</v>
      </c>
      <c r="HM2186" s="5" t="s">
        <v>264</v>
      </c>
    </row>
    <row r="2187" spans="1:221" x14ac:dyDescent="0.4">
      <c r="A2187" s="5">
        <v>3891</v>
      </c>
      <c r="B2187" s="5">
        <v>1</v>
      </c>
      <c r="C2187" s="5">
        <v>1</v>
      </c>
      <c r="D2187" s="5" t="s">
        <v>269</v>
      </c>
      <c r="E2187" s="5" t="s">
        <v>271</v>
      </c>
      <c r="F2187" s="5" t="s">
        <v>248</v>
      </c>
      <c r="G2187" s="5" t="s">
        <v>266</v>
      </c>
      <c r="H2187" s="6" t="s">
        <v>783</v>
      </c>
      <c r="I2187" s="7">
        <f>110</f>
        <v>110</v>
      </c>
      <c r="J2187" s="5" t="s">
        <v>262</v>
      </c>
      <c r="K2187" s="8">
        <f>1</f>
        <v>1</v>
      </c>
      <c r="L2187" s="6" t="s">
        <v>242</v>
      </c>
      <c r="M2187" s="5" t="s">
        <v>267</v>
      </c>
      <c r="N2187" s="5" t="s">
        <v>265</v>
      </c>
      <c r="O2187" s="5" t="s">
        <v>238</v>
      </c>
      <c r="P2187" s="5" t="s">
        <v>238</v>
      </c>
      <c r="Q2187" s="5" t="s">
        <v>268</v>
      </c>
      <c r="R2187" s="5" t="s">
        <v>270</v>
      </c>
      <c r="S2187" s="5" t="s">
        <v>238</v>
      </c>
      <c r="V2187" s="5" t="s">
        <v>238</v>
      </c>
      <c r="X2187" s="6" t="s">
        <v>238</v>
      </c>
      <c r="AA2187" s="6" t="s">
        <v>243</v>
      </c>
      <c r="AB2187" s="5" t="s">
        <v>238</v>
      </c>
      <c r="AC2187" s="5" t="s">
        <v>244</v>
      </c>
      <c r="AD2187" s="5" t="s">
        <v>245</v>
      </c>
      <c r="AT2187" s="5" t="s">
        <v>246</v>
      </c>
      <c r="AU2187" s="5" t="s">
        <v>238</v>
      </c>
      <c r="AV2187" s="5" t="s">
        <v>247</v>
      </c>
      <c r="AW2187" s="5" t="s">
        <v>238</v>
      </c>
      <c r="AX2187" s="5" t="s">
        <v>249</v>
      </c>
      <c r="AY2187" s="5" t="s">
        <v>238</v>
      </c>
      <c r="BA2187" s="5" t="s">
        <v>238</v>
      </c>
      <c r="BC2187" s="5" t="s">
        <v>250</v>
      </c>
      <c r="BD2187" s="6" t="s">
        <v>243</v>
      </c>
      <c r="BE2187" s="5" t="s">
        <v>251</v>
      </c>
      <c r="BF2187" s="5" t="s">
        <v>252</v>
      </c>
      <c r="BG2187" s="5" t="s">
        <v>238</v>
      </c>
      <c r="BH2187" s="7">
        <f>0</f>
        <v>0</v>
      </c>
      <c r="BI2187" s="8">
        <f>0</f>
        <v>0</v>
      </c>
      <c r="BJ2187" s="5" t="s">
        <v>253</v>
      </c>
      <c r="BK2187" s="5" t="s">
        <v>254</v>
      </c>
      <c r="BY2187" s="5" t="s">
        <v>238</v>
      </c>
      <c r="BZ2187" s="5" t="s">
        <v>238</v>
      </c>
      <c r="CD2187" s="5" t="s">
        <v>273</v>
      </c>
      <c r="CE2187" s="5" t="s">
        <v>256</v>
      </c>
      <c r="CF2187" s="5" t="s">
        <v>238</v>
      </c>
      <c r="CI2187" s="6" t="s">
        <v>257</v>
      </c>
      <c r="CJ2187" s="5" t="s">
        <v>238</v>
      </c>
      <c r="CK2187" s="5" t="s">
        <v>258</v>
      </c>
      <c r="CL2187" s="5" t="s">
        <v>238</v>
      </c>
      <c r="CM2187" s="5" t="s">
        <v>238</v>
      </c>
      <c r="CN2187" s="5">
        <v>0</v>
      </c>
      <c r="CO2187" s="5" t="s">
        <v>259</v>
      </c>
      <c r="CP2187" s="5" t="s">
        <v>260</v>
      </c>
      <c r="CQ2187" s="5" t="s">
        <v>260</v>
      </c>
      <c r="CR2187" s="5" t="s">
        <v>261</v>
      </c>
      <c r="CU2187" s="8">
        <f>1</f>
        <v>1</v>
      </c>
      <c r="CV2187" s="8">
        <f>0</f>
        <v>0</v>
      </c>
      <c r="CX2187" s="8">
        <f>0</f>
        <v>0</v>
      </c>
      <c r="CY2187" s="8">
        <f>1</f>
        <v>1</v>
      </c>
      <c r="DA2187" s="5" t="s">
        <v>274</v>
      </c>
      <c r="DB2187" s="5" t="s">
        <v>238</v>
      </c>
      <c r="DD2187" s="5" t="s">
        <v>274</v>
      </c>
      <c r="DE2187" s="8">
        <f>110</f>
        <v>110</v>
      </c>
      <c r="DG2187" s="5" t="s">
        <v>238</v>
      </c>
      <c r="DH2187" s="5" t="s">
        <v>238</v>
      </c>
      <c r="DI2187" s="5" t="s">
        <v>238</v>
      </c>
      <c r="DJ2187" s="5" t="s">
        <v>238</v>
      </c>
      <c r="DN2187" s="5" t="s">
        <v>238</v>
      </c>
      <c r="DO2187" s="5" t="s">
        <v>238</v>
      </c>
      <c r="DP2187" s="5" t="s">
        <v>238</v>
      </c>
      <c r="DQ2187" s="5" t="s">
        <v>238</v>
      </c>
      <c r="DT2187" s="5" t="s">
        <v>275</v>
      </c>
      <c r="DU2187" s="5" t="s">
        <v>784</v>
      </c>
      <c r="HM2187" s="5" t="s">
        <v>264</v>
      </c>
    </row>
    <row r="2188" spans="1:221" x14ac:dyDescent="0.4">
      <c r="A2188" s="5">
        <v>3892</v>
      </c>
      <c r="B2188" s="5">
        <v>1</v>
      </c>
      <c r="C2188" s="5">
        <v>1</v>
      </c>
      <c r="D2188" s="5" t="s">
        <v>269</v>
      </c>
      <c r="E2188" s="5" t="s">
        <v>271</v>
      </c>
      <c r="F2188" s="5" t="s">
        <v>248</v>
      </c>
      <c r="G2188" s="5" t="s">
        <v>266</v>
      </c>
      <c r="H2188" s="6" t="s">
        <v>785</v>
      </c>
      <c r="I2188" s="7">
        <f>704</f>
        <v>704</v>
      </c>
      <c r="J2188" s="5" t="s">
        <v>262</v>
      </c>
      <c r="K2188" s="8">
        <f>1</f>
        <v>1</v>
      </c>
      <c r="L2188" s="6" t="s">
        <v>242</v>
      </c>
      <c r="M2188" s="5" t="s">
        <v>267</v>
      </c>
      <c r="N2188" s="5" t="s">
        <v>265</v>
      </c>
      <c r="O2188" s="5" t="s">
        <v>238</v>
      </c>
      <c r="P2188" s="5" t="s">
        <v>238</v>
      </c>
      <c r="Q2188" s="5" t="s">
        <v>268</v>
      </c>
      <c r="R2188" s="5" t="s">
        <v>270</v>
      </c>
      <c r="S2188" s="5" t="s">
        <v>238</v>
      </c>
      <c r="V2188" s="5" t="s">
        <v>238</v>
      </c>
      <c r="X2188" s="6" t="s">
        <v>238</v>
      </c>
      <c r="AA2188" s="6" t="s">
        <v>243</v>
      </c>
      <c r="AB2188" s="5" t="s">
        <v>238</v>
      </c>
      <c r="AC2188" s="5" t="s">
        <v>244</v>
      </c>
      <c r="AD2188" s="5" t="s">
        <v>245</v>
      </c>
      <c r="AT2188" s="5" t="s">
        <v>246</v>
      </c>
      <c r="AU2188" s="5" t="s">
        <v>238</v>
      </c>
      <c r="AV2188" s="5" t="s">
        <v>247</v>
      </c>
      <c r="AW2188" s="5" t="s">
        <v>238</v>
      </c>
      <c r="AX2188" s="5" t="s">
        <v>249</v>
      </c>
      <c r="AY2188" s="5" t="s">
        <v>238</v>
      </c>
      <c r="BA2188" s="5" t="s">
        <v>238</v>
      </c>
      <c r="BC2188" s="5" t="s">
        <v>250</v>
      </c>
      <c r="BD2188" s="6" t="s">
        <v>243</v>
      </c>
      <c r="BE2188" s="5" t="s">
        <v>251</v>
      </c>
      <c r="BF2188" s="5" t="s">
        <v>252</v>
      </c>
      <c r="BG2188" s="5" t="s">
        <v>238</v>
      </c>
      <c r="BH2188" s="7">
        <f>0</f>
        <v>0</v>
      </c>
      <c r="BI2188" s="8">
        <f>0</f>
        <v>0</v>
      </c>
      <c r="BJ2188" s="5" t="s">
        <v>253</v>
      </c>
      <c r="BK2188" s="5" t="s">
        <v>254</v>
      </c>
      <c r="BY2188" s="5" t="s">
        <v>238</v>
      </c>
      <c r="BZ2188" s="5" t="s">
        <v>238</v>
      </c>
      <c r="CD2188" s="5" t="s">
        <v>273</v>
      </c>
      <c r="CE2188" s="5" t="s">
        <v>256</v>
      </c>
      <c r="CF2188" s="5" t="s">
        <v>238</v>
      </c>
      <c r="CI2188" s="6" t="s">
        <v>257</v>
      </c>
      <c r="CJ2188" s="5" t="s">
        <v>238</v>
      </c>
      <c r="CK2188" s="5" t="s">
        <v>258</v>
      </c>
      <c r="CL2188" s="5" t="s">
        <v>238</v>
      </c>
      <c r="CM2188" s="5" t="s">
        <v>238</v>
      </c>
      <c r="CN2188" s="5">
        <v>0</v>
      </c>
      <c r="CO2188" s="5" t="s">
        <v>259</v>
      </c>
      <c r="CP2188" s="5" t="s">
        <v>260</v>
      </c>
      <c r="CQ2188" s="5" t="s">
        <v>260</v>
      </c>
      <c r="CR2188" s="5" t="s">
        <v>261</v>
      </c>
      <c r="CU2188" s="8">
        <f>1</f>
        <v>1</v>
      </c>
      <c r="CV2188" s="8">
        <f>0</f>
        <v>0</v>
      </c>
      <c r="CX2188" s="8">
        <f>0</f>
        <v>0</v>
      </c>
      <c r="CY2188" s="8">
        <f>1</f>
        <v>1</v>
      </c>
      <c r="DA2188" s="5" t="s">
        <v>274</v>
      </c>
      <c r="DB2188" s="5" t="s">
        <v>238</v>
      </c>
      <c r="DD2188" s="5" t="s">
        <v>274</v>
      </c>
      <c r="DE2188" s="8">
        <f>704</f>
        <v>704</v>
      </c>
      <c r="DG2188" s="5" t="s">
        <v>238</v>
      </c>
      <c r="DH2188" s="5" t="s">
        <v>238</v>
      </c>
      <c r="DI2188" s="5" t="s">
        <v>238</v>
      </c>
      <c r="DJ2188" s="5" t="s">
        <v>238</v>
      </c>
      <c r="DN2188" s="5" t="s">
        <v>238</v>
      </c>
      <c r="DO2188" s="5" t="s">
        <v>238</v>
      </c>
      <c r="DP2188" s="5" t="s">
        <v>238</v>
      </c>
      <c r="DQ2188" s="5" t="s">
        <v>238</v>
      </c>
      <c r="DT2188" s="5" t="s">
        <v>275</v>
      </c>
      <c r="DU2188" s="5" t="s">
        <v>786</v>
      </c>
      <c r="HM2188" s="5" t="s">
        <v>264</v>
      </c>
    </row>
    <row r="2189" spans="1:221" x14ac:dyDescent="0.4">
      <c r="A2189" s="5">
        <v>3893</v>
      </c>
      <c r="B2189" s="5">
        <v>1</v>
      </c>
      <c r="C2189" s="5">
        <v>1</v>
      </c>
      <c r="D2189" s="5" t="s">
        <v>269</v>
      </c>
      <c r="E2189" s="5" t="s">
        <v>271</v>
      </c>
      <c r="F2189" s="5" t="s">
        <v>248</v>
      </c>
      <c r="G2189" s="5" t="s">
        <v>266</v>
      </c>
      <c r="H2189" s="6" t="s">
        <v>789</v>
      </c>
      <c r="I2189" s="7">
        <f>308</f>
        <v>308</v>
      </c>
      <c r="J2189" s="5" t="s">
        <v>262</v>
      </c>
      <c r="K2189" s="8">
        <f>1</f>
        <v>1</v>
      </c>
      <c r="L2189" s="6" t="s">
        <v>242</v>
      </c>
      <c r="M2189" s="5" t="s">
        <v>267</v>
      </c>
      <c r="N2189" s="5" t="s">
        <v>265</v>
      </c>
      <c r="O2189" s="5" t="s">
        <v>238</v>
      </c>
      <c r="P2189" s="5" t="s">
        <v>238</v>
      </c>
      <c r="Q2189" s="5" t="s">
        <v>268</v>
      </c>
      <c r="R2189" s="5" t="s">
        <v>270</v>
      </c>
      <c r="S2189" s="5" t="s">
        <v>238</v>
      </c>
      <c r="V2189" s="5" t="s">
        <v>238</v>
      </c>
      <c r="X2189" s="6" t="s">
        <v>238</v>
      </c>
      <c r="AA2189" s="6" t="s">
        <v>243</v>
      </c>
      <c r="AB2189" s="5" t="s">
        <v>238</v>
      </c>
      <c r="AC2189" s="5" t="s">
        <v>244</v>
      </c>
      <c r="AD2189" s="5" t="s">
        <v>245</v>
      </c>
      <c r="AT2189" s="5" t="s">
        <v>246</v>
      </c>
      <c r="AU2189" s="5" t="s">
        <v>238</v>
      </c>
      <c r="AV2189" s="5" t="s">
        <v>247</v>
      </c>
      <c r="AW2189" s="5" t="s">
        <v>238</v>
      </c>
      <c r="AX2189" s="5" t="s">
        <v>249</v>
      </c>
      <c r="AY2189" s="5" t="s">
        <v>238</v>
      </c>
      <c r="BA2189" s="5" t="s">
        <v>238</v>
      </c>
      <c r="BC2189" s="5" t="s">
        <v>250</v>
      </c>
      <c r="BD2189" s="6" t="s">
        <v>243</v>
      </c>
      <c r="BE2189" s="5" t="s">
        <v>251</v>
      </c>
      <c r="BF2189" s="5" t="s">
        <v>252</v>
      </c>
      <c r="BG2189" s="5" t="s">
        <v>238</v>
      </c>
      <c r="BH2189" s="7">
        <f>0</f>
        <v>0</v>
      </c>
      <c r="BI2189" s="8">
        <f>0</f>
        <v>0</v>
      </c>
      <c r="BJ2189" s="5" t="s">
        <v>253</v>
      </c>
      <c r="BK2189" s="5" t="s">
        <v>254</v>
      </c>
      <c r="BY2189" s="5" t="s">
        <v>238</v>
      </c>
      <c r="BZ2189" s="5" t="s">
        <v>238</v>
      </c>
      <c r="CD2189" s="5" t="s">
        <v>273</v>
      </c>
      <c r="CE2189" s="5" t="s">
        <v>256</v>
      </c>
      <c r="CF2189" s="5" t="s">
        <v>238</v>
      </c>
      <c r="CI2189" s="6" t="s">
        <v>257</v>
      </c>
      <c r="CJ2189" s="5" t="s">
        <v>238</v>
      </c>
      <c r="CK2189" s="5" t="s">
        <v>258</v>
      </c>
      <c r="CL2189" s="5" t="s">
        <v>238</v>
      </c>
      <c r="CM2189" s="5" t="s">
        <v>238</v>
      </c>
      <c r="CN2189" s="5">
        <v>0</v>
      </c>
      <c r="CO2189" s="5" t="s">
        <v>259</v>
      </c>
      <c r="CP2189" s="5" t="s">
        <v>260</v>
      </c>
      <c r="CQ2189" s="5" t="s">
        <v>260</v>
      </c>
      <c r="CR2189" s="5" t="s">
        <v>261</v>
      </c>
      <c r="CU2189" s="8">
        <f>1</f>
        <v>1</v>
      </c>
      <c r="CV2189" s="8">
        <f>0</f>
        <v>0</v>
      </c>
      <c r="CX2189" s="8">
        <f>0</f>
        <v>0</v>
      </c>
      <c r="CY2189" s="8">
        <f>1</f>
        <v>1</v>
      </c>
      <c r="DA2189" s="5" t="s">
        <v>274</v>
      </c>
      <c r="DB2189" s="5" t="s">
        <v>238</v>
      </c>
      <c r="DD2189" s="5" t="s">
        <v>274</v>
      </c>
      <c r="DE2189" s="8">
        <f>308</f>
        <v>308</v>
      </c>
      <c r="DG2189" s="5" t="s">
        <v>238</v>
      </c>
      <c r="DH2189" s="5" t="s">
        <v>238</v>
      </c>
      <c r="DI2189" s="5" t="s">
        <v>238</v>
      </c>
      <c r="DJ2189" s="5" t="s">
        <v>238</v>
      </c>
      <c r="DN2189" s="5" t="s">
        <v>238</v>
      </c>
      <c r="DO2189" s="5" t="s">
        <v>238</v>
      </c>
      <c r="DP2189" s="5" t="s">
        <v>238</v>
      </c>
      <c r="DQ2189" s="5" t="s">
        <v>238</v>
      </c>
      <c r="DT2189" s="5" t="s">
        <v>275</v>
      </c>
      <c r="DU2189" s="5" t="s">
        <v>790</v>
      </c>
      <c r="HM2189" s="5" t="s">
        <v>264</v>
      </c>
    </row>
    <row r="2190" spans="1:221" x14ac:dyDescent="0.4">
      <c r="A2190" s="5">
        <v>3894</v>
      </c>
      <c r="B2190" s="5">
        <v>1</v>
      </c>
      <c r="C2190" s="5">
        <v>1</v>
      </c>
      <c r="D2190" s="5" t="s">
        <v>269</v>
      </c>
      <c r="E2190" s="5" t="s">
        <v>271</v>
      </c>
      <c r="F2190" s="5" t="s">
        <v>248</v>
      </c>
      <c r="G2190" s="5" t="s">
        <v>266</v>
      </c>
      <c r="H2190" s="6" t="s">
        <v>792</v>
      </c>
      <c r="I2190" s="7">
        <f>29</f>
        <v>29</v>
      </c>
      <c r="J2190" s="5" t="s">
        <v>262</v>
      </c>
      <c r="K2190" s="8">
        <f>1</f>
        <v>1</v>
      </c>
      <c r="L2190" s="6" t="s">
        <v>242</v>
      </c>
      <c r="M2190" s="5" t="s">
        <v>267</v>
      </c>
      <c r="N2190" s="5" t="s">
        <v>265</v>
      </c>
      <c r="O2190" s="5" t="s">
        <v>238</v>
      </c>
      <c r="P2190" s="5" t="s">
        <v>238</v>
      </c>
      <c r="Q2190" s="5" t="s">
        <v>268</v>
      </c>
      <c r="R2190" s="5" t="s">
        <v>270</v>
      </c>
      <c r="S2190" s="5" t="s">
        <v>238</v>
      </c>
      <c r="V2190" s="5" t="s">
        <v>238</v>
      </c>
      <c r="X2190" s="6" t="s">
        <v>238</v>
      </c>
      <c r="AA2190" s="6" t="s">
        <v>243</v>
      </c>
      <c r="AB2190" s="5" t="s">
        <v>238</v>
      </c>
      <c r="AC2190" s="5" t="s">
        <v>244</v>
      </c>
      <c r="AD2190" s="5" t="s">
        <v>245</v>
      </c>
      <c r="AT2190" s="5" t="s">
        <v>246</v>
      </c>
      <c r="AU2190" s="5" t="s">
        <v>238</v>
      </c>
      <c r="AV2190" s="5" t="s">
        <v>247</v>
      </c>
      <c r="AW2190" s="5" t="s">
        <v>238</v>
      </c>
      <c r="AX2190" s="5" t="s">
        <v>249</v>
      </c>
      <c r="AY2190" s="5" t="s">
        <v>238</v>
      </c>
      <c r="BA2190" s="5" t="s">
        <v>238</v>
      </c>
      <c r="BC2190" s="5" t="s">
        <v>250</v>
      </c>
      <c r="BD2190" s="6" t="s">
        <v>243</v>
      </c>
      <c r="BE2190" s="5" t="s">
        <v>251</v>
      </c>
      <c r="BF2190" s="5" t="s">
        <v>252</v>
      </c>
      <c r="BG2190" s="5" t="s">
        <v>238</v>
      </c>
      <c r="BH2190" s="7">
        <f>0</f>
        <v>0</v>
      </c>
      <c r="BI2190" s="8">
        <f>0</f>
        <v>0</v>
      </c>
      <c r="BJ2190" s="5" t="s">
        <v>253</v>
      </c>
      <c r="BK2190" s="5" t="s">
        <v>254</v>
      </c>
      <c r="BY2190" s="5" t="s">
        <v>238</v>
      </c>
      <c r="BZ2190" s="5" t="s">
        <v>238</v>
      </c>
      <c r="CD2190" s="5" t="s">
        <v>273</v>
      </c>
      <c r="CE2190" s="5" t="s">
        <v>256</v>
      </c>
      <c r="CF2190" s="5" t="s">
        <v>238</v>
      </c>
      <c r="CI2190" s="6" t="s">
        <v>257</v>
      </c>
      <c r="CJ2190" s="5" t="s">
        <v>238</v>
      </c>
      <c r="CK2190" s="5" t="s">
        <v>258</v>
      </c>
      <c r="CL2190" s="5" t="s">
        <v>238</v>
      </c>
      <c r="CM2190" s="5" t="s">
        <v>238</v>
      </c>
      <c r="CN2190" s="5">
        <v>0</v>
      </c>
      <c r="CO2190" s="5" t="s">
        <v>259</v>
      </c>
      <c r="CP2190" s="5" t="s">
        <v>260</v>
      </c>
      <c r="CQ2190" s="5" t="s">
        <v>260</v>
      </c>
      <c r="CR2190" s="5" t="s">
        <v>261</v>
      </c>
      <c r="CU2190" s="8">
        <f>1</f>
        <v>1</v>
      </c>
      <c r="CV2190" s="8">
        <f>0</f>
        <v>0</v>
      </c>
      <c r="CX2190" s="8">
        <f>0</f>
        <v>0</v>
      </c>
      <c r="CY2190" s="8">
        <f>1</f>
        <v>1</v>
      </c>
      <c r="DA2190" s="5" t="s">
        <v>274</v>
      </c>
      <c r="DB2190" s="5" t="s">
        <v>238</v>
      </c>
      <c r="DD2190" s="5" t="s">
        <v>274</v>
      </c>
      <c r="DE2190" s="8">
        <f>29</f>
        <v>29</v>
      </c>
      <c r="DG2190" s="5" t="s">
        <v>238</v>
      </c>
      <c r="DH2190" s="5" t="s">
        <v>238</v>
      </c>
      <c r="DI2190" s="5" t="s">
        <v>238</v>
      </c>
      <c r="DJ2190" s="5" t="s">
        <v>238</v>
      </c>
      <c r="DN2190" s="5" t="s">
        <v>238</v>
      </c>
      <c r="DO2190" s="5" t="s">
        <v>238</v>
      </c>
      <c r="DP2190" s="5" t="s">
        <v>238</v>
      </c>
      <c r="DQ2190" s="5" t="s">
        <v>238</v>
      </c>
      <c r="DT2190" s="5" t="s">
        <v>275</v>
      </c>
      <c r="DU2190" s="5" t="s">
        <v>793</v>
      </c>
      <c r="HM2190" s="5" t="s">
        <v>264</v>
      </c>
    </row>
    <row r="2191" spans="1:221" x14ac:dyDescent="0.4">
      <c r="A2191" s="5">
        <v>3895</v>
      </c>
      <c r="B2191" s="5">
        <v>1</v>
      </c>
      <c r="C2191" s="5">
        <v>1</v>
      </c>
      <c r="D2191" s="5" t="s">
        <v>269</v>
      </c>
      <c r="E2191" s="5" t="s">
        <v>271</v>
      </c>
      <c r="F2191" s="5" t="s">
        <v>248</v>
      </c>
      <c r="G2191" s="5" t="s">
        <v>266</v>
      </c>
      <c r="H2191" s="6" t="s">
        <v>794</v>
      </c>
      <c r="I2191" s="7">
        <f>143</f>
        <v>143</v>
      </c>
      <c r="J2191" s="5" t="s">
        <v>262</v>
      </c>
      <c r="K2191" s="8">
        <f>1</f>
        <v>1</v>
      </c>
      <c r="L2191" s="6" t="s">
        <v>242</v>
      </c>
      <c r="M2191" s="5" t="s">
        <v>267</v>
      </c>
      <c r="N2191" s="5" t="s">
        <v>265</v>
      </c>
      <c r="O2191" s="5" t="s">
        <v>238</v>
      </c>
      <c r="P2191" s="5" t="s">
        <v>238</v>
      </c>
      <c r="Q2191" s="5" t="s">
        <v>268</v>
      </c>
      <c r="R2191" s="5" t="s">
        <v>270</v>
      </c>
      <c r="S2191" s="5" t="s">
        <v>238</v>
      </c>
      <c r="V2191" s="5" t="s">
        <v>238</v>
      </c>
      <c r="X2191" s="6" t="s">
        <v>238</v>
      </c>
      <c r="AA2191" s="6" t="s">
        <v>243</v>
      </c>
      <c r="AB2191" s="5" t="s">
        <v>238</v>
      </c>
      <c r="AC2191" s="5" t="s">
        <v>244</v>
      </c>
      <c r="AD2191" s="5" t="s">
        <v>245</v>
      </c>
      <c r="AT2191" s="5" t="s">
        <v>246</v>
      </c>
      <c r="AU2191" s="5" t="s">
        <v>238</v>
      </c>
      <c r="AV2191" s="5" t="s">
        <v>247</v>
      </c>
      <c r="AW2191" s="5" t="s">
        <v>238</v>
      </c>
      <c r="AX2191" s="5" t="s">
        <v>249</v>
      </c>
      <c r="AY2191" s="5" t="s">
        <v>238</v>
      </c>
      <c r="BA2191" s="5" t="s">
        <v>238</v>
      </c>
      <c r="BC2191" s="5" t="s">
        <v>250</v>
      </c>
      <c r="BD2191" s="6" t="s">
        <v>243</v>
      </c>
      <c r="BE2191" s="5" t="s">
        <v>251</v>
      </c>
      <c r="BF2191" s="5" t="s">
        <v>252</v>
      </c>
      <c r="BG2191" s="5" t="s">
        <v>238</v>
      </c>
      <c r="BH2191" s="7">
        <f>0</f>
        <v>0</v>
      </c>
      <c r="BI2191" s="8">
        <f>0</f>
        <v>0</v>
      </c>
      <c r="BJ2191" s="5" t="s">
        <v>253</v>
      </c>
      <c r="BK2191" s="5" t="s">
        <v>254</v>
      </c>
      <c r="BY2191" s="5" t="s">
        <v>238</v>
      </c>
      <c r="BZ2191" s="5" t="s">
        <v>238</v>
      </c>
      <c r="CD2191" s="5" t="s">
        <v>273</v>
      </c>
      <c r="CE2191" s="5" t="s">
        <v>256</v>
      </c>
      <c r="CF2191" s="5" t="s">
        <v>238</v>
      </c>
      <c r="CI2191" s="6" t="s">
        <v>257</v>
      </c>
      <c r="CJ2191" s="5" t="s">
        <v>238</v>
      </c>
      <c r="CK2191" s="5" t="s">
        <v>258</v>
      </c>
      <c r="CL2191" s="5" t="s">
        <v>238</v>
      </c>
      <c r="CM2191" s="5" t="s">
        <v>238</v>
      </c>
      <c r="CN2191" s="5">
        <v>0</v>
      </c>
      <c r="CO2191" s="5" t="s">
        <v>259</v>
      </c>
      <c r="CP2191" s="5" t="s">
        <v>260</v>
      </c>
      <c r="CQ2191" s="5" t="s">
        <v>260</v>
      </c>
      <c r="CR2191" s="5" t="s">
        <v>261</v>
      </c>
      <c r="CU2191" s="8">
        <f>1</f>
        <v>1</v>
      </c>
      <c r="CV2191" s="8">
        <f>0</f>
        <v>0</v>
      </c>
      <c r="CX2191" s="8">
        <f>0</f>
        <v>0</v>
      </c>
      <c r="CY2191" s="8">
        <f>1</f>
        <v>1</v>
      </c>
      <c r="DA2191" s="5" t="s">
        <v>274</v>
      </c>
      <c r="DB2191" s="5" t="s">
        <v>238</v>
      </c>
      <c r="DD2191" s="5" t="s">
        <v>274</v>
      </c>
      <c r="DE2191" s="8">
        <f>143</f>
        <v>143</v>
      </c>
      <c r="DG2191" s="5" t="s">
        <v>238</v>
      </c>
      <c r="DH2191" s="5" t="s">
        <v>238</v>
      </c>
      <c r="DI2191" s="5" t="s">
        <v>238</v>
      </c>
      <c r="DJ2191" s="5" t="s">
        <v>238</v>
      </c>
      <c r="DN2191" s="5" t="s">
        <v>238</v>
      </c>
      <c r="DO2191" s="5" t="s">
        <v>238</v>
      </c>
      <c r="DP2191" s="5" t="s">
        <v>238</v>
      </c>
      <c r="DQ2191" s="5" t="s">
        <v>238</v>
      </c>
      <c r="DT2191" s="5" t="s">
        <v>275</v>
      </c>
      <c r="DU2191" s="5" t="s">
        <v>795</v>
      </c>
      <c r="HM2191" s="5" t="s">
        <v>264</v>
      </c>
    </row>
    <row r="2192" spans="1:221" x14ac:dyDescent="0.4">
      <c r="A2192" s="5">
        <v>3896</v>
      </c>
      <c r="B2192" s="5">
        <v>1</v>
      </c>
      <c r="C2192" s="5">
        <v>1</v>
      </c>
      <c r="D2192" s="5" t="s">
        <v>269</v>
      </c>
      <c r="E2192" s="5" t="s">
        <v>271</v>
      </c>
      <c r="F2192" s="5" t="s">
        <v>248</v>
      </c>
      <c r="G2192" s="5" t="s">
        <v>266</v>
      </c>
      <c r="H2192" s="6" t="s">
        <v>796</v>
      </c>
      <c r="I2192" s="7">
        <f>696</f>
        <v>696</v>
      </c>
      <c r="J2192" s="5" t="s">
        <v>262</v>
      </c>
      <c r="K2192" s="8">
        <f>1</f>
        <v>1</v>
      </c>
      <c r="L2192" s="6" t="s">
        <v>242</v>
      </c>
      <c r="M2192" s="5" t="s">
        <v>267</v>
      </c>
      <c r="N2192" s="5" t="s">
        <v>265</v>
      </c>
      <c r="O2192" s="5" t="s">
        <v>238</v>
      </c>
      <c r="P2192" s="5" t="s">
        <v>238</v>
      </c>
      <c r="Q2192" s="5" t="s">
        <v>268</v>
      </c>
      <c r="R2192" s="5" t="s">
        <v>270</v>
      </c>
      <c r="S2192" s="5" t="s">
        <v>238</v>
      </c>
      <c r="V2192" s="5" t="s">
        <v>238</v>
      </c>
      <c r="X2192" s="6" t="s">
        <v>238</v>
      </c>
      <c r="AA2192" s="6" t="s">
        <v>243</v>
      </c>
      <c r="AB2192" s="5" t="s">
        <v>238</v>
      </c>
      <c r="AC2192" s="5" t="s">
        <v>244</v>
      </c>
      <c r="AD2192" s="5" t="s">
        <v>245</v>
      </c>
      <c r="AT2192" s="5" t="s">
        <v>246</v>
      </c>
      <c r="AU2192" s="5" t="s">
        <v>238</v>
      </c>
      <c r="AV2192" s="5" t="s">
        <v>247</v>
      </c>
      <c r="AW2192" s="5" t="s">
        <v>238</v>
      </c>
      <c r="AX2192" s="5" t="s">
        <v>249</v>
      </c>
      <c r="AY2192" s="5" t="s">
        <v>238</v>
      </c>
      <c r="BA2192" s="5" t="s">
        <v>238</v>
      </c>
      <c r="BC2192" s="5" t="s">
        <v>250</v>
      </c>
      <c r="BD2192" s="6" t="s">
        <v>243</v>
      </c>
      <c r="BE2192" s="5" t="s">
        <v>251</v>
      </c>
      <c r="BF2192" s="5" t="s">
        <v>252</v>
      </c>
      <c r="BG2192" s="5" t="s">
        <v>238</v>
      </c>
      <c r="BH2192" s="7">
        <f>0</f>
        <v>0</v>
      </c>
      <c r="BI2192" s="8">
        <f>0</f>
        <v>0</v>
      </c>
      <c r="BJ2192" s="5" t="s">
        <v>253</v>
      </c>
      <c r="BK2192" s="5" t="s">
        <v>254</v>
      </c>
      <c r="BY2192" s="5" t="s">
        <v>238</v>
      </c>
      <c r="BZ2192" s="5" t="s">
        <v>238</v>
      </c>
      <c r="CD2192" s="5" t="s">
        <v>273</v>
      </c>
      <c r="CE2192" s="5" t="s">
        <v>256</v>
      </c>
      <c r="CF2192" s="5" t="s">
        <v>238</v>
      </c>
      <c r="CI2192" s="6" t="s">
        <v>257</v>
      </c>
      <c r="CJ2192" s="5" t="s">
        <v>238</v>
      </c>
      <c r="CK2192" s="5" t="s">
        <v>258</v>
      </c>
      <c r="CL2192" s="5" t="s">
        <v>238</v>
      </c>
      <c r="CM2192" s="5" t="s">
        <v>238</v>
      </c>
      <c r="CN2192" s="5">
        <v>0</v>
      </c>
      <c r="CO2192" s="5" t="s">
        <v>259</v>
      </c>
      <c r="CP2192" s="5" t="s">
        <v>260</v>
      </c>
      <c r="CQ2192" s="5" t="s">
        <v>260</v>
      </c>
      <c r="CR2192" s="5" t="s">
        <v>261</v>
      </c>
      <c r="CU2192" s="8">
        <f>1</f>
        <v>1</v>
      </c>
      <c r="CV2192" s="8">
        <f>0</f>
        <v>0</v>
      </c>
      <c r="CX2192" s="8">
        <f>0</f>
        <v>0</v>
      </c>
      <c r="CY2192" s="8">
        <f>1</f>
        <v>1</v>
      </c>
      <c r="DA2192" s="5" t="s">
        <v>274</v>
      </c>
      <c r="DB2192" s="5" t="s">
        <v>238</v>
      </c>
      <c r="DD2192" s="5" t="s">
        <v>274</v>
      </c>
      <c r="DE2192" s="8">
        <f>696</f>
        <v>696</v>
      </c>
      <c r="DG2192" s="5" t="s">
        <v>238</v>
      </c>
      <c r="DH2192" s="5" t="s">
        <v>238</v>
      </c>
      <c r="DI2192" s="5" t="s">
        <v>238</v>
      </c>
      <c r="DJ2192" s="5" t="s">
        <v>238</v>
      </c>
      <c r="DN2192" s="5" t="s">
        <v>238</v>
      </c>
      <c r="DO2192" s="5" t="s">
        <v>238</v>
      </c>
      <c r="DP2192" s="5" t="s">
        <v>238</v>
      </c>
      <c r="DQ2192" s="5" t="s">
        <v>238</v>
      </c>
      <c r="DT2192" s="5" t="s">
        <v>275</v>
      </c>
      <c r="DU2192" s="5" t="s">
        <v>797</v>
      </c>
      <c r="HM2192" s="5" t="s">
        <v>264</v>
      </c>
    </row>
    <row r="2193" spans="1:221" x14ac:dyDescent="0.4">
      <c r="A2193" s="5">
        <v>3897</v>
      </c>
      <c r="B2193" s="5">
        <v>1</v>
      </c>
      <c r="C2193" s="5">
        <v>1</v>
      </c>
      <c r="D2193" s="5" t="s">
        <v>269</v>
      </c>
      <c r="E2193" s="5" t="s">
        <v>271</v>
      </c>
      <c r="F2193" s="5" t="s">
        <v>248</v>
      </c>
      <c r="G2193" s="5" t="s">
        <v>266</v>
      </c>
      <c r="H2193" s="6" t="s">
        <v>802</v>
      </c>
      <c r="I2193" s="7">
        <f>428</f>
        <v>428</v>
      </c>
      <c r="J2193" s="5" t="s">
        <v>262</v>
      </c>
      <c r="K2193" s="8">
        <f>1</f>
        <v>1</v>
      </c>
      <c r="L2193" s="6" t="s">
        <v>242</v>
      </c>
      <c r="M2193" s="5" t="s">
        <v>267</v>
      </c>
      <c r="N2193" s="5" t="s">
        <v>265</v>
      </c>
      <c r="O2193" s="5" t="s">
        <v>238</v>
      </c>
      <c r="P2193" s="5" t="s">
        <v>238</v>
      </c>
      <c r="Q2193" s="5" t="s">
        <v>268</v>
      </c>
      <c r="R2193" s="5" t="s">
        <v>270</v>
      </c>
      <c r="S2193" s="5" t="s">
        <v>238</v>
      </c>
      <c r="V2193" s="5" t="s">
        <v>238</v>
      </c>
      <c r="X2193" s="6" t="s">
        <v>238</v>
      </c>
      <c r="AA2193" s="6" t="s">
        <v>243</v>
      </c>
      <c r="AB2193" s="5" t="s">
        <v>238</v>
      </c>
      <c r="AC2193" s="5" t="s">
        <v>244</v>
      </c>
      <c r="AD2193" s="5" t="s">
        <v>245</v>
      </c>
      <c r="AT2193" s="5" t="s">
        <v>246</v>
      </c>
      <c r="AU2193" s="5" t="s">
        <v>238</v>
      </c>
      <c r="AV2193" s="5" t="s">
        <v>247</v>
      </c>
      <c r="AW2193" s="5" t="s">
        <v>238</v>
      </c>
      <c r="AX2193" s="5" t="s">
        <v>249</v>
      </c>
      <c r="AY2193" s="5" t="s">
        <v>238</v>
      </c>
      <c r="BA2193" s="5" t="s">
        <v>238</v>
      </c>
      <c r="BC2193" s="5" t="s">
        <v>250</v>
      </c>
      <c r="BD2193" s="6" t="s">
        <v>243</v>
      </c>
      <c r="BE2193" s="5" t="s">
        <v>251</v>
      </c>
      <c r="BF2193" s="5" t="s">
        <v>252</v>
      </c>
      <c r="BG2193" s="5" t="s">
        <v>238</v>
      </c>
      <c r="BH2193" s="7">
        <f>0</f>
        <v>0</v>
      </c>
      <c r="BI2193" s="8">
        <f>0</f>
        <v>0</v>
      </c>
      <c r="BJ2193" s="5" t="s">
        <v>253</v>
      </c>
      <c r="BK2193" s="5" t="s">
        <v>254</v>
      </c>
      <c r="BY2193" s="5" t="s">
        <v>238</v>
      </c>
      <c r="BZ2193" s="5" t="s">
        <v>238</v>
      </c>
      <c r="CD2193" s="5" t="s">
        <v>273</v>
      </c>
      <c r="CE2193" s="5" t="s">
        <v>256</v>
      </c>
      <c r="CF2193" s="5" t="s">
        <v>238</v>
      </c>
      <c r="CI2193" s="6" t="s">
        <v>257</v>
      </c>
      <c r="CJ2193" s="5" t="s">
        <v>238</v>
      </c>
      <c r="CK2193" s="5" t="s">
        <v>258</v>
      </c>
      <c r="CL2193" s="5" t="s">
        <v>238</v>
      </c>
      <c r="CM2193" s="5" t="s">
        <v>238</v>
      </c>
      <c r="CN2193" s="5">
        <v>0</v>
      </c>
      <c r="CO2193" s="5" t="s">
        <v>259</v>
      </c>
      <c r="CP2193" s="5" t="s">
        <v>260</v>
      </c>
      <c r="CQ2193" s="5" t="s">
        <v>260</v>
      </c>
      <c r="CR2193" s="5" t="s">
        <v>261</v>
      </c>
      <c r="CU2193" s="8">
        <f>1</f>
        <v>1</v>
      </c>
      <c r="CV2193" s="8">
        <f>0</f>
        <v>0</v>
      </c>
      <c r="CX2193" s="8">
        <f>0</f>
        <v>0</v>
      </c>
      <c r="CY2193" s="8">
        <f>1</f>
        <v>1</v>
      </c>
      <c r="DA2193" s="5" t="s">
        <v>274</v>
      </c>
      <c r="DB2193" s="5" t="s">
        <v>238</v>
      </c>
      <c r="DD2193" s="5" t="s">
        <v>274</v>
      </c>
      <c r="DE2193" s="8">
        <f>428</f>
        <v>428</v>
      </c>
      <c r="DG2193" s="5" t="s">
        <v>238</v>
      </c>
      <c r="DH2193" s="5" t="s">
        <v>238</v>
      </c>
      <c r="DI2193" s="5" t="s">
        <v>238</v>
      </c>
      <c r="DJ2193" s="5" t="s">
        <v>238</v>
      </c>
      <c r="DN2193" s="5" t="s">
        <v>238</v>
      </c>
      <c r="DO2193" s="5" t="s">
        <v>238</v>
      </c>
      <c r="DP2193" s="5" t="s">
        <v>238</v>
      </c>
      <c r="DQ2193" s="5" t="s">
        <v>238</v>
      </c>
      <c r="DT2193" s="5" t="s">
        <v>275</v>
      </c>
      <c r="DU2193" s="5" t="s">
        <v>803</v>
      </c>
      <c r="HM2193" s="5" t="s">
        <v>264</v>
      </c>
    </row>
    <row r="2194" spans="1:221" x14ac:dyDescent="0.4">
      <c r="A2194" s="5">
        <v>3898</v>
      </c>
      <c r="B2194" s="5">
        <v>1</v>
      </c>
      <c r="C2194" s="5">
        <v>1</v>
      </c>
      <c r="D2194" s="5" t="s">
        <v>269</v>
      </c>
      <c r="E2194" s="5" t="s">
        <v>271</v>
      </c>
      <c r="F2194" s="5" t="s">
        <v>248</v>
      </c>
      <c r="G2194" s="5" t="s">
        <v>266</v>
      </c>
      <c r="H2194" s="6" t="s">
        <v>804</v>
      </c>
      <c r="I2194" s="7">
        <f>113</f>
        <v>113</v>
      </c>
      <c r="J2194" s="5" t="s">
        <v>262</v>
      </c>
      <c r="K2194" s="8">
        <f>1</f>
        <v>1</v>
      </c>
      <c r="L2194" s="6" t="s">
        <v>242</v>
      </c>
      <c r="M2194" s="5" t="s">
        <v>267</v>
      </c>
      <c r="N2194" s="5" t="s">
        <v>265</v>
      </c>
      <c r="O2194" s="5" t="s">
        <v>238</v>
      </c>
      <c r="P2194" s="5" t="s">
        <v>238</v>
      </c>
      <c r="Q2194" s="5" t="s">
        <v>268</v>
      </c>
      <c r="R2194" s="5" t="s">
        <v>270</v>
      </c>
      <c r="S2194" s="5" t="s">
        <v>238</v>
      </c>
      <c r="V2194" s="5" t="s">
        <v>238</v>
      </c>
      <c r="X2194" s="6" t="s">
        <v>238</v>
      </c>
      <c r="AA2194" s="6" t="s">
        <v>243</v>
      </c>
      <c r="AB2194" s="5" t="s">
        <v>238</v>
      </c>
      <c r="AC2194" s="5" t="s">
        <v>244</v>
      </c>
      <c r="AD2194" s="5" t="s">
        <v>245</v>
      </c>
      <c r="AT2194" s="5" t="s">
        <v>246</v>
      </c>
      <c r="AU2194" s="5" t="s">
        <v>238</v>
      </c>
      <c r="AV2194" s="5" t="s">
        <v>247</v>
      </c>
      <c r="AW2194" s="5" t="s">
        <v>238</v>
      </c>
      <c r="AX2194" s="5" t="s">
        <v>249</v>
      </c>
      <c r="AY2194" s="5" t="s">
        <v>238</v>
      </c>
      <c r="BA2194" s="5" t="s">
        <v>238</v>
      </c>
      <c r="BC2194" s="5" t="s">
        <v>250</v>
      </c>
      <c r="BD2194" s="6" t="s">
        <v>243</v>
      </c>
      <c r="BE2194" s="5" t="s">
        <v>251</v>
      </c>
      <c r="BF2194" s="5" t="s">
        <v>252</v>
      </c>
      <c r="BG2194" s="5" t="s">
        <v>238</v>
      </c>
      <c r="BH2194" s="7">
        <f>0</f>
        <v>0</v>
      </c>
      <c r="BI2194" s="8">
        <f>0</f>
        <v>0</v>
      </c>
      <c r="BJ2194" s="5" t="s">
        <v>253</v>
      </c>
      <c r="BK2194" s="5" t="s">
        <v>254</v>
      </c>
      <c r="BY2194" s="5" t="s">
        <v>238</v>
      </c>
      <c r="BZ2194" s="5" t="s">
        <v>238</v>
      </c>
      <c r="CD2194" s="5" t="s">
        <v>273</v>
      </c>
      <c r="CE2194" s="5" t="s">
        <v>256</v>
      </c>
      <c r="CF2194" s="5" t="s">
        <v>238</v>
      </c>
      <c r="CI2194" s="6" t="s">
        <v>257</v>
      </c>
      <c r="CJ2194" s="5" t="s">
        <v>238</v>
      </c>
      <c r="CK2194" s="5" t="s">
        <v>258</v>
      </c>
      <c r="CL2194" s="5" t="s">
        <v>238</v>
      </c>
      <c r="CM2194" s="5" t="s">
        <v>238</v>
      </c>
      <c r="CN2194" s="5">
        <v>0</v>
      </c>
      <c r="CO2194" s="5" t="s">
        <v>259</v>
      </c>
      <c r="CP2194" s="5" t="s">
        <v>260</v>
      </c>
      <c r="CQ2194" s="5" t="s">
        <v>260</v>
      </c>
      <c r="CR2194" s="5" t="s">
        <v>261</v>
      </c>
      <c r="CU2194" s="8">
        <f>1</f>
        <v>1</v>
      </c>
      <c r="CV2194" s="8">
        <f>0</f>
        <v>0</v>
      </c>
      <c r="CX2194" s="8">
        <f>0</f>
        <v>0</v>
      </c>
      <c r="CY2194" s="8">
        <f>1</f>
        <v>1</v>
      </c>
      <c r="DA2194" s="5" t="s">
        <v>274</v>
      </c>
      <c r="DB2194" s="5" t="s">
        <v>238</v>
      </c>
      <c r="DD2194" s="5" t="s">
        <v>274</v>
      </c>
      <c r="DE2194" s="8">
        <f>113</f>
        <v>113</v>
      </c>
      <c r="DG2194" s="5" t="s">
        <v>238</v>
      </c>
      <c r="DH2194" s="5" t="s">
        <v>238</v>
      </c>
      <c r="DI2194" s="5" t="s">
        <v>238</v>
      </c>
      <c r="DJ2194" s="5" t="s">
        <v>238</v>
      </c>
      <c r="DN2194" s="5" t="s">
        <v>238</v>
      </c>
      <c r="DO2194" s="5" t="s">
        <v>238</v>
      </c>
      <c r="DP2194" s="5" t="s">
        <v>238</v>
      </c>
      <c r="DQ2194" s="5" t="s">
        <v>238</v>
      </c>
      <c r="DT2194" s="5" t="s">
        <v>275</v>
      </c>
      <c r="DU2194" s="5" t="s">
        <v>805</v>
      </c>
      <c r="HM2194" s="5" t="s">
        <v>264</v>
      </c>
    </row>
    <row r="2195" spans="1:221" x14ac:dyDescent="0.4">
      <c r="A2195" s="5">
        <v>3899</v>
      </c>
      <c r="B2195" s="5">
        <v>1</v>
      </c>
      <c r="C2195" s="5">
        <v>1</v>
      </c>
      <c r="D2195" s="5" t="s">
        <v>269</v>
      </c>
      <c r="E2195" s="5" t="s">
        <v>271</v>
      </c>
      <c r="F2195" s="5" t="s">
        <v>248</v>
      </c>
      <c r="G2195" s="5" t="s">
        <v>266</v>
      </c>
      <c r="H2195" s="6" t="s">
        <v>807</v>
      </c>
      <c r="I2195" s="7">
        <f>688</f>
        <v>688</v>
      </c>
      <c r="J2195" s="5" t="s">
        <v>262</v>
      </c>
      <c r="K2195" s="8">
        <f>1</f>
        <v>1</v>
      </c>
      <c r="L2195" s="6" t="s">
        <v>242</v>
      </c>
      <c r="M2195" s="5" t="s">
        <v>267</v>
      </c>
      <c r="N2195" s="5" t="s">
        <v>265</v>
      </c>
      <c r="O2195" s="5" t="s">
        <v>238</v>
      </c>
      <c r="P2195" s="5" t="s">
        <v>238</v>
      </c>
      <c r="Q2195" s="5" t="s">
        <v>268</v>
      </c>
      <c r="R2195" s="5" t="s">
        <v>270</v>
      </c>
      <c r="S2195" s="5" t="s">
        <v>238</v>
      </c>
      <c r="V2195" s="5" t="s">
        <v>238</v>
      </c>
      <c r="X2195" s="6" t="s">
        <v>238</v>
      </c>
      <c r="AA2195" s="6" t="s">
        <v>243</v>
      </c>
      <c r="AB2195" s="5" t="s">
        <v>238</v>
      </c>
      <c r="AC2195" s="5" t="s">
        <v>244</v>
      </c>
      <c r="AD2195" s="5" t="s">
        <v>245</v>
      </c>
      <c r="AT2195" s="5" t="s">
        <v>246</v>
      </c>
      <c r="AU2195" s="5" t="s">
        <v>238</v>
      </c>
      <c r="AV2195" s="5" t="s">
        <v>247</v>
      </c>
      <c r="AW2195" s="5" t="s">
        <v>238</v>
      </c>
      <c r="AX2195" s="5" t="s">
        <v>249</v>
      </c>
      <c r="AY2195" s="5" t="s">
        <v>238</v>
      </c>
      <c r="BA2195" s="5" t="s">
        <v>238</v>
      </c>
      <c r="BC2195" s="5" t="s">
        <v>250</v>
      </c>
      <c r="BD2195" s="6" t="s">
        <v>243</v>
      </c>
      <c r="BE2195" s="5" t="s">
        <v>251</v>
      </c>
      <c r="BF2195" s="5" t="s">
        <v>252</v>
      </c>
      <c r="BG2195" s="5" t="s">
        <v>238</v>
      </c>
      <c r="BH2195" s="7">
        <f>0</f>
        <v>0</v>
      </c>
      <c r="BI2195" s="8">
        <f>0</f>
        <v>0</v>
      </c>
      <c r="BJ2195" s="5" t="s">
        <v>253</v>
      </c>
      <c r="BK2195" s="5" t="s">
        <v>254</v>
      </c>
      <c r="BY2195" s="5" t="s">
        <v>238</v>
      </c>
      <c r="BZ2195" s="5" t="s">
        <v>238</v>
      </c>
      <c r="CD2195" s="5" t="s">
        <v>273</v>
      </c>
      <c r="CE2195" s="5" t="s">
        <v>256</v>
      </c>
      <c r="CF2195" s="5" t="s">
        <v>238</v>
      </c>
      <c r="CI2195" s="6" t="s">
        <v>257</v>
      </c>
      <c r="CJ2195" s="5" t="s">
        <v>238</v>
      </c>
      <c r="CK2195" s="5" t="s">
        <v>258</v>
      </c>
      <c r="CL2195" s="5" t="s">
        <v>238</v>
      </c>
      <c r="CM2195" s="5" t="s">
        <v>238</v>
      </c>
      <c r="CN2195" s="5">
        <v>0</v>
      </c>
      <c r="CO2195" s="5" t="s">
        <v>259</v>
      </c>
      <c r="CP2195" s="5" t="s">
        <v>260</v>
      </c>
      <c r="CQ2195" s="5" t="s">
        <v>260</v>
      </c>
      <c r="CR2195" s="5" t="s">
        <v>261</v>
      </c>
      <c r="CU2195" s="8">
        <f>1</f>
        <v>1</v>
      </c>
      <c r="CV2195" s="8">
        <f>0</f>
        <v>0</v>
      </c>
      <c r="CX2195" s="8">
        <f>0</f>
        <v>0</v>
      </c>
      <c r="CY2195" s="8">
        <f>1</f>
        <v>1</v>
      </c>
      <c r="DA2195" s="5" t="s">
        <v>274</v>
      </c>
      <c r="DB2195" s="5" t="s">
        <v>238</v>
      </c>
      <c r="DD2195" s="5" t="s">
        <v>274</v>
      </c>
      <c r="DE2195" s="8">
        <f>688</f>
        <v>688</v>
      </c>
      <c r="DG2195" s="5" t="s">
        <v>238</v>
      </c>
      <c r="DH2195" s="5" t="s">
        <v>238</v>
      </c>
      <c r="DI2195" s="5" t="s">
        <v>238</v>
      </c>
      <c r="DJ2195" s="5" t="s">
        <v>238</v>
      </c>
      <c r="DN2195" s="5" t="s">
        <v>238</v>
      </c>
      <c r="DO2195" s="5" t="s">
        <v>238</v>
      </c>
      <c r="DP2195" s="5" t="s">
        <v>238</v>
      </c>
      <c r="DQ2195" s="5" t="s">
        <v>238</v>
      </c>
      <c r="DT2195" s="5" t="s">
        <v>275</v>
      </c>
      <c r="DU2195" s="5" t="s">
        <v>808</v>
      </c>
      <c r="HM2195" s="5" t="s">
        <v>264</v>
      </c>
    </row>
    <row r="2196" spans="1:221" x14ac:dyDescent="0.4">
      <c r="A2196" s="5">
        <v>3900</v>
      </c>
      <c r="B2196" s="5">
        <v>1</v>
      </c>
      <c r="C2196" s="5">
        <v>1</v>
      </c>
      <c r="D2196" s="5" t="s">
        <v>269</v>
      </c>
      <c r="E2196" s="5" t="s">
        <v>271</v>
      </c>
      <c r="F2196" s="5" t="s">
        <v>248</v>
      </c>
      <c r="G2196" s="5" t="s">
        <v>266</v>
      </c>
      <c r="H2196" s="6" t="s">
        <v>809</v>
      </c>
      <c r="I2196" s="7">
        <f>130</f>
        <v>130</v>
      </c>
      <c r="J2196" s="5" t="s">
        <v>262</v>
      </c>
      <c r="K2196" s="8">
        <f>1</f>
        <v>1</v>
      </c>
      <c r="L2196" s="6" t="s">
        <v>242</v>
      </c>
      <c r="M2196" s="5" t="s">
        <v>267</v>
      </c>
      <c r="N2196" s="5" t="s">
        <v>265</v>
      </c>
      <c r="O2196" s="5" t="s">
        <v>238</v>
      </c>
      <c r="P2196" s="5" t="s">
        <v>238</v>
      </c>
      <c r="Q2196" s="5" t="s">
        <v>268</v>
      </c>
      <c r="R2196" s="5" t="s">
        <v>270</v>
      </c>
      <c r="S2196" s="5" t="s">
        <v>238</v>
      </c>
      <c r="V2196" s="5" t="s">
        <v>238</v>
      </c>
      <c r="X2196" s="6" t="s">
        <v>238</v>
      </c>
      <c r="AA2196" s="6" t="s">
        <v>243</v>
      </c>
      <c r="AB2196" s="5" t="s">
        <v>238</v>
      </c>
      <c r="AC2196" s="5" t="s">
        <v>244</v>
      </c>
      <c r="AD2196" s="5" t="s">
        <v>245</v>
      </c>
      <c r="AT2196" s="5" t="s">
        <v>246</v>
      </c>
      <c r="AU2196" s="5" t="s">
        <v>238</v>
      </c>
      <c r="AV2196" s="5" t="s">
        <v>247</v>
      </c>
      <c r="AW2196" s="5" t="s">
        <v>238</v>
      </c>
      <c r="AX2196" s="5" t="s">
        <v>249</v>
      </c>
      <c r="AY2196" s="5" t="s">
        <v>238</v>
      </c>
      <c r="BA2196" s="5" t="s">
        <v>238</v>
      </c>
      <c r="BC2196" s="5" t="s">
        <v>250</v>
      </c>
      <c r="BD2196" s="6" t="s">
        <v>243</v>
      </c>
      <c r="BE2196" s="5" t="s">
        <v>251</v>
      </c>
      <c r="BF2196" s="5" t="s">
        <v>252</v>
      </c>
      <c r="BG2196" s="5" t="s">
        <v>238</v>
      </c>
      <c r="BH2196" s="7">
        <f>0</f>
        <v>0</v>
      </c>
      <c r="BI2196" s="8">
        <f>0</f>
        <v>0</v>
      </c>
      <c r="BJ2196" s="5" t="s">
        <v>253</v>
      </c>
      <c r="BK2196" s="5" t="s">
        <v>254</v>
      </c>
      <c r="BY2196" s="5" t="s">
        <v>238</v>
      </c>
      <c r="BZ2196" s="5" t="s">
        <v>238</v>
      </c>
      <c r="CD2196" s="5" t="s">
        <v>273</v>
      </c>
      <c r="CE2196" s="5" t="s">
        <v>256</v>
      </c>
      <c r="CF2196" s="5" t="s">
        <v>238</v>
      </c>
      <c r="CI2196" s="6" t="s">
        <v>257</v>
      </c>
      <c r="CJ2196" s="5" t="s">
        <v>238</v>
      </c>
      <c r="CK2196" s="5" t="s">
        <v>258</v>
      </c>
      <c r="CL2196" s="5" t="s">
        <v>238</v>
      </c>
      <c r="CM2196" s="5" t="s">
        <v>238</v>
      </c>
      <c r="CN2196" s="5">
        <v>0</v>
      </c>
      <c r="CO2196" s="5" t="s">
        <v>259</v>
      </c>
      <c r="CP2196" s="5" t="s">
        <v>260</v>
      </c>
      <c r="CQ2196" s="5" t="s">
        <v>260</v>
      </c>
      <c r="CR2196" s="5" t="s">
        <v>261</v>
      </c>
      <c r="CU2196" s="8">
        <f>1</f>
        <v>1</v>
      </c>
      <c r="CV2196" s="8">
        <f>0</f>
        <v>0</v>
      </c>
      <c r="CX2196" s="8">
        <f>0</f>
        <v>0</v>
      </c>
      <c r="CY2196" s="8">
        <f>1</f>
        <v>1</v>
      </c>
      <c r="DA2196" s="5" t="s">
        <v>274</v>
      </c>
      <c r="DB2196" s="5" t="s">
        <v>238</v>
      </c>
      <c r="DD2196" s="5" t="s">
        <v>274</v>
      </c>
      <c r="DE2196" s="8">
        <f>130</f>
        <v>130</v>
      </c>
      <c r="DG2196" s="5" t="s">
        <v>238</v>
      </c>
      <c r="DH2196" s="5" t="s">
        <v>238</v>
      </c>
      <c r="DI2196" s="5" t="s">
        <v>238</v>
      </c>
      <c r="DJ2196" s="5" t="s">
        <v>238</v>
      </c>
      <c r="DN2196" s="5" t="s">
        <v>238</v>
      </c>
      <c r="DO2196" s="5" t="s">
        <v>238</v>
      </c>
      <c r="DP2196" s="5" t="s">
        <v>238</v>
      </c>
      <c r="DQ2196" s="5" t="s">
        <v>238</v>
      </c>
      <c r="DT2196" s="5" t="s">
        <v>275</v>
      </c>
      <c r="DU2196" s="5" t="s">
        <v>810</v>
      </c>
      <c r="HM2196" s="5" t="s">
        <v>264</v>
      </c>
    </row>
    <row r="2197" spans="1:221" x14ac:dyDescent="0.4">
      <c r="A2197" s="5">
        <v>3901</v>
      </c>
      <c r="B2197" s="5">
        <v>1</v>
      </c>
      <c r="C2197" s="5">
        <v>1</v>
      </c>
      <c r="D2197" s="5" t="s">
        <v>269</v>
      </c>
      <c r="E2197" s="5" t="s">
        <v>271</v>
      </c>
      <c r="F2197" s="5" t="s">
        <v>248</v>
      </c>
      <c r="G2197" s="5" t="s">
        <v>266</v>
      </c>
      <c r="H2197" s="6" t="s">
        <v>813</v>
      </c>
      <c r="I2197" s="7">
        <f>1170</f>
        <v>1170</v>
      </c>
      <c r="J2197" s="5" t="s">
        <v>262</v>
      </c>
      <c r="K2197" s="8">
        <f>1</f>
        <v>1</v>
      </c>
      <c r="L2197" s="6" t="s">
        <v>242</v>
      </c>
      <c r="M2197" s="5" t="s">
        <v>267</v>
      </c>
      <c r="N2197" s="5" t="s">
        <v>265</v>
      </c>
      <c r="O2197" s="5" t="s">
        <v>238</v>
      </c>
      <c r="P2197" s="5" t="s">
        <v>238</v>
      </c>
      <c r="Q2197" s="5" t="s">
        <v>268</v>
      </c>
      <c r="R2197" s="5" t="s">
        <v>270</v>
      </c>
      <c r="S2197" s="5" t="s">
        <v>238</v>
      </c>
      <c r="V2197" s="5" t="s">
        <v>238</v>
      </c>
      <c r="X2197" s="6" t="s">
        <v>238</v>
      </c>
      <c r="AA2197" s="6" t="s">
        <v>243</v>
      </c>
      <c r="AB2197" s="5" t="s">
        <v>238</v>
      </c>
      <c r="AC2197" s="5" t="s">
        <v>244</v>
      </c>
      <c r="AD2197" s="5" t="s">
        <v>245</v>
      </c>
      <c r="AT2197" s="5" t="s">
        <v>246</v>
      </c>
      <c r="AU2197" s="5" t="s">
        <v>238</v>
      </c>
      <c r="AV2197" s="5" t="s">
        <v>247</v>
      </c>
      <c r="AW2197" s="5" t="s">
        <v>238</v>
      </c>
      <c r="AX2197" s="5" t="s">
        <v>249</v>
      </c>
      <c r="AY2197" s="5" t="s">
        <v>238</v>
      </c>
      <c r="BA2197" s="5" t="s">
        <v>238</v>
      </c>
      <c r="BC2197" s="5" t="s">
        <v>250</v>
      </c>
      <c r="BD2197" s="6" t="s">
        <v>243</v>
      </c>
      <c r="BE2197" s="5" t="s">
        <v>251</v>
      </c>
      <c r="BF2197" s="5" t="s">
        <v>252</v>
      </c>
      <c r="BG2197" s="5" t="s">
        <v>238</v>
      </c>
      <c r="BH2197" s="7">
        <f>0</f>
        <v>0</v>
      </c>
      <c r="BI2197" s="8">
        <f>0</f>
        <v>0</v>
      </c>
      <c r="BJ2197" s="5" t="s">
        <v>253</v>
      </c>
      <c r="BK2197" s="5" t="s">
        <v>254</v>
      </c>
      <c r="BY2197" s="5" t="s">
        <v>238</v>
      </c>
      <c r="BZ2197" s="5" t="s">
        <v>238</v>
      </c>
      <c r="CD2197" s="5" t="s">
        <v>273</v>
      </c>
      <c r="CE2197" s="5" t="s">
        <v>256</v>
      </c>
      <c r="CF2197" s="5" t="s">
        <v>238</v>
      </c>
      <c r="CI2197" s="6" t="s">
        <v>257</v>
      </c>
      <c r="CJ2197" s="5" t="s">
        <v>238</v>
      </c>
      <c r="CK2197" s="5" t="s">
        <v>258</v>
      </c>
      <c r="CL2197" s="5" t="s">
        <v>238</v>
      </c>
      <c r="CM2197" s="5" t="s">
        <v>238</v>
      </c>
      <c r="CN2197" s="5">
        <v>0</v>
      </c>
      <c r="CO2197" s="5" t="s">
        <v>259</v>
      </c>
      <c r="CP2197" s="5" t="s">
        <v>260</v>
      </c>
      <c r="CQ2197" s="5" t="s">
        <v>260</v>
      </c>
      <c r="CR2197" s="5" t="s">
        <v>261</v>
      </c>
      <c r="CU2197" s="8">
        <f>1</f>
        <v>1</v>
      </c>
      <c r="CV2197" s="8">
        <f>0</f>
        <v>0</v>
      </c>
      <c r="CX2197" s="8">
        <f>0</f>
        <v>0</v>
      </c>
      <c r="CY2197" s="8">
        <f>1</f>
        <v>1</v>
      </c>
      <c r="DA2197" s="5" t="s">
        <v>274</v>
      </c>
      <c r="DB2197" s="5" t="s">
        <v>238</v>
      </c>
      <c r="DD2197" s="5" t="s">
        <v>274</v>
      </c>
      <c r="DE2197" s="8">
        <f>1170</f>
        <v>1170</v>
      </c>
      <c r="DG2197" s="5" t="s">
        <v>238</v>
      </c>
      <c r="DH2197" s="5" t="s">
        <v>238</v>
      </c>
      <c r="DI2197" s="5" t="s">
        <v>238</v>
      </c>
      <c r="DJ2197" s="5" t="s">
        <v>238</v>
      </c>
      <c r="DN2197" s="5" t="s">
        <v>238</v>
      </c>
      <c r="DO2197" s="5" t="s">
        <v>238</v>
      </c>
      <c r="DP2197" s="5" t="s">
        <v>238</v>
      </c>
      <c r="DQ2197" s="5" t="s">
        <v>238</v>
      </c>
      <c r="DT2197" s="5" t="s">
        <v>275</v>
      </c>
      <c r="DU2197" s="5" t="s">
        <v>814</v>
      </c>
      <c r="HM2197" s="5" t="s">
        <v>264</v>
      </c>
    </row>
    <row r="2198" spans="1:221" x14ac:dyDescent="0.4">
      <c r="A2198" s="5">
        <v>3902</v>
      </c>
      <c r="B2198" s="5">
        <v>1</v>
      </c>
      <c r="C2198" s="5">
        <v>1</v>
      </c>
      <c r="D2198" s="5" t="s">
        <v>269</v>
      </c>
      <c r="E2198" s="5" t="s">
        <v>271</v>
      </c>
      <c r="F2198" s="5" t="s">
        <v>248</v>
      </c>
      <c r="G2198" s="5" t="s">
        <v>266</v>
      </c>
      <c r="H2198" s="6" t="s">
        <v>815</v>
      </c>
      <c r="I2198" s="7">
        <f>363</f>
        <v>363</v>
      </c>
      <c r="J2198" s="5" t="s">
        <v>262</v>
      </c>
      <c r="K2198" s="8">
        <f>1</f>
        <v>1</v>
      </c>
      <c r="L2198" s="6" t="s">
        <v>242</v>
      </c>
      <c r="M2198" s="5" t="s">
        <v>267</v>
      </c>
      <c r="N2198" s="5" t="s">
        <v>265</v>
      </c>
      <c r="O2198" s="5" t="s">
        <v>238</v>
      </c>
      <c r="P2198" s="5" t="s">
        <v>238</v>
      </c>
      <c r="Q2198" s="5" t="s">
        <v>268</v>
      </c>
      <c r="R2198" s="5" t="s">
        <v>270</v>
      </c>
      <c r="S2198" s="5" t="s">
        <v>238</v>
      </c>
      <c r="V2198" s="5" t="s">
        <v>238</v>
      </c>
      <c r="X2198" s="6" t="s">
        <v>238</v>
      </c>
      <c r="AA2198" s="6" t="s">
        <v>243</v>
      </c>
      <c r="AB2198" s="5" t="s">
        <v>238</v>
      </c>
      <c r="AC2198" s="5" t="s">
        <v>244</v>
      </c>
      <c r="AD2198" s="5" t="s">
        <v>245</v>
      </c>
      <c r="AT2198" s="5" t="s">
        <v>246</v>
      </c>
      <c r="AU2198" s="5" t="s">
        <v>238</v>
      </c>
      <c r="AV2198" s="5" t="s">
        <v>247</v>
      </c>
      <c r="AW2198" s="5" t="s">
        <v>238</v>
      </c>
      <c r="AX2198" s="5" t="s">
        <v>249</v>
      </c>
      <c r="AY2198" s="5" t="s">
        <v>238</v>
      </c>
      <c r="BA2198" s="5" t="s">
        <v>238</v>
      </c>
      <c r="BC2198" s="5" t="s">
        <v>250</v>
      </c>
      <c r="BD2198" s="6" t="s">
        <v>243</v>
      </c>
      <c r="BE2198" s="5" t="s">
        <v>251</v>
      </c>
      <c r="BF2198" s="5" t="s">
        <v>252</v>
      </c>
      <c r="BG2198" s="5" t="s">
        <v>238</v>
      </c>
      <c r="BH2198" s="7">
        <f>0</f>
        <v>0</v>
      </c>
      <c r="BI2198" s="8">
        <f>0</f>
        <v>0</v>
      </c>
      <c r="BJ2198" s="5" t="s">
        <v>253</v>
      </c>
      <c r="BK2198" s="5" t="s">
        <v>254</v>
      </c>
      <c r="BY2198" s="5" t="s">
        <v>238</v>
      </c>
      <c r="BZ2198" s="5" t="s">
        <v>238</v>
      </c>
      <c r="CD2198" s="5" t="s">
        <v>273</v>
      </c>
      <c r="CE2198" s="5" t="s">
        <v>256</v>
      </c>
      <c r="CF2198" s="5" t="s">
        <v>238</v>
      </c>
      <c r="CI2198" s="6" t="s">
        <v>257</v>
      </c>
      <c r="CJ2198" s="5" t="s">
        <v>238</v>
      </c>
      <c r="CK2198" s="5" t="s">
        <v>258</v>
      </c>
      <c r="CL2198" s="5" t="s">
        <v>238</v>
      </c>
      <c r="CM2198" s="5" t="s">
        <v>238</v>
      </c>
      <c r="CN2198" s="5">
        <v>0</v>
      </c>
      <c r="CO2198" s="5" t="s">
        <v>259</v>
      </c>
      <c r="CP2198" s="5" t="s">
        <v>260</v>
      </c>
      <c r="CQ2198" s="5" t="s">
        <v>260</v>
      </c>
      <c r="CR2198" s="5" t="s">
        <v>261</v>
      </c>
      <c r="CU2198" s="8">
        <f>1</f>
        <v>1</v>
      </c>
      <c r="CV2198" s="8">
        <f>0</f>
        <v>0</v>
      </c>
      <c r="CX2198" s="8">
        <f>0</f>
        <v>0</v>
      </c>
      <c r="CY2198" s="8">
        <f>1</f>
        <v>1</v>
      </c>
      <c r="DA2198" s="5" t="s">
        <v>274</v>
      </c>
      <c r="DB2198" s="5" t="s">
        <v>238</v>
      </c>
      <c r="DD2198" s="5" t="s">
        <v>274</v>
      </c>
      <c r="DE2198" s="8">
        <f>363</f>
        <v>363</v>
      </c>
      <c r="DG2198" s="5" t="s">
        <v>238</v>
      </c>
      <c r="DH2198" s="5" t="s">
        <v>238</v>
      </c>
      <c r="DI2198" s="5" t="s">
        <v>238</v>
      </c>
      <c r="DJ2198" s="5" t="s">
        <v>238</v>
      </c>
      <c r="DN2198" s="5" t="s">
        <v>238</v>
      </c>
      <c r="DO2198" s="5" t="s">
        <v>238</v>
      </c>
      <c r="DP2198" s="5" t="s">
        <v>238</v>
      </c>
      <c r="DQ2198" s="5" t="s">
        <v>238</v>
      </c>
      <c r="DT2198" s="5" t="s">
        <v>275</v>
      </c>
      <c r="DU2198" s="5" t="s">
        <v>816</v>
      </c>
      <c r="HM2198" s="5" t="s">
        <v>264</v>
      </c>
    </row>
    <row r="2199" spans="1:221" x14ac:dyDescent="0.4">
      <c r="A2199" s="5">
        <v>3903</v>
      </c>
      <c r="B2199" s="5">
        <v>1</v>
      </c>
      <c r="C2199" s="5">
        <v>1</v>
      </c>
      <c r="D2199" s="5" t="s">
        <v>269</v>
      </c>
      <c r="E2199" s="5" t="s">
        <v>271</v>
      </c>
      <c r="F2199" s="5" t="s">
        <v>248</v>
      </c>
      <c r="G2199" s="5" t="s">
        <v>266</v>
      </c>
      <c r="H2199" s="6" t="s">
        <v>819</v>
      </c>
      <c r="I2199" s="7">
        <f>88</f>
        <v>88</v>
      </c>
      <c r="J2199" s="5" t="s">
        <v>262</v>
      </c>
      <c r="K2199" s="8">
        <f>1</f>
        <v>1</v>
      </c>
      <c r="L2199" s="6" t="s">
        <v>242</v>
      </c>
      <c r="M2199" s="5" t="s">
        <v>267</v>
      </c>
      <c r="N2199" s="5" t="s">
        <v>265</v>
      </c>
      <c r="O2199" s="5" t="s">
        <v>238</v>
      </c>
      <c r="P2199" s="5" t="s">
        <v>238</v>
      </c>
      <c r="Q2199" s="5" t="s">
        <v>268</v>
      </c>
      <c r="R2199" s="5" t="s">
        <v>270</v>
      </c>
      <c r="S2199" s="5" t="s">
        <v>238</v>
      </c>
      <c r="V2199" s="5" t="s">
        <v>238</v>
      </c>
      <c r="X2199" s="6" t="s">
        <v>238</v>
      </c>
      <c r="AA2199" s="6" t="s">
        <v>243</v>
      </c>
      <c r="AB2199" s="5" t="s">
        <v>238</v>
      </c>
      <c r="AC2199" s="5" t="s">
        <v>244</v>
      </c>
      <c r="AD2199" s="5" t="s">
        <v>245</v>
      </c>
      <c r="AT2199" s="5" t="s">
        <v>246</v>
      </c>
      <c r="AU2199" s="5" t="s">
        <v>238</v>
      </c>
      <c r="AV2199" s="5" t="s">
        <v>247</v>
      </c>
      <c r="AW2199" s="5" t="s">
        <v>238</v>
      </c>
      <c r="AX2199" s="5" t="s">
        <v>249</v>
      </c>
      <c r="AY2199" s="5" t="s">
        <v>238</v>
      </c>
      <c r="BA2199" s="5" t="s">
        <v>238</v>
      </c>
      <c r="BC2199" s="5" t="s">
        <v>250</v>
      </c>
      <c r="BD2199" s="6" t="s">
        <v>243</v>
      </c>
      <c r="BE2199" s="5" t="s">
        <v>251</v>
      </c>
      <c r="BF2199" s="5" t="s">
        <v>252</v>
      </c>
      <c r="BG2199" s="5" t="s">
        <v>238</v>
      </c>
      <c r="BH2199" s="7">
        <f>0</f>
        <v>0</v>
      </c>
      <c r="BI2199" s="8">
        <f>0</f>
        <v>0</v>
      </c>
      <c r="BJ2199" s="5" t="s">
        <v>253</v>
      </c>
      <c r="BK2199" s="5" t="s">
        <v>254</v>
      </c>
      <c r="BY2199" s="5" t="s">
        <v>238</v>
      </c>
      <c r="BZ2199" s="5" t="s">
        <v>238</v>
      </c>
      <c r="CD2199" s="5" t="s">
        <v>273</v>
      </c>
      <c r="CE2199" s="5" t="s">
        <v>256</v>
      </c>
      <c r="CF2199" s="5" t="s">
        <v>238</v>
      </c>
      <c r="CI2199" s="6" t="s">
        <v>257</v>
      </c>
      <c r="CJ2199" s="5" t="s">
        <v>238</v>
      </c>
      <c r="CK2199" s="5" t="s">
        <v>258</v>
      </c>
      <c r="CL2199" s="5" t="s">
        <v>238</v>
      </c>
      <c r="CM2199" s="5" t="s">
        <v>238</v>
      </c>
      <c r="CN2199" s="5">
        <v>0</v>
      </c>
      <c r="CO2199" s="5" t="s">
        <v>259</v>
      </c>
      <c r="CP2199" s="5" t="s">
        <v>260</v>
      </c>
      <c r="CQ2199" s="5" t="s">
        <v>260</v>
      </c>
      <c r="CR2199" s="5" t="s">
        <v>261</v>
      </c>
      <c r="CU2199" s="8">
        <f>1</f>
        <v>1</v>
      </c>
      <c r="CV2199" s="8">
        <f>0</f>
        <v>0</v>
      </c>
      <c r="CX2199" s="8">
        <f>0</f>
        <v>0</v>
      </c>
      <c r="CY2199" s="8">
        <f>1</f>
        <v>1</v>
      </c>
      <c r="DA2199" s="5" t="s">
        <v>274</v>
      </c>
      <c r="DB2199" s="5" t="s">
        <v>238</v>
      </c>
      <c r="DD2199" s="5" t="s">
        <v>274</v>
      </c>
      <c r="DE2199" s="8">
        <f>88</f>
        <v>88</v>
      </c>
      <c r="DG2199" s="5" t="s">
        <v>238</v>
      </c>
      <c r="DH2199" s="5" t="s">
        <v>238</v>
      </c>
      <c r="DI2199" s="5" t="s">
        <v>238</v>
      </c>
      <c r="DJ2199" s="5" t="s">
        <v>238</v>
      </c>
      <c r="DN2199" s="5" t="s">
        <v>238</v>
      </c>
      <c r="DO2199" s="5" t="s">
        <v>238</v>
      </c>
      <c r="DP2199" s="5" t="s">
        <v>238</v>
      </c>
      <c r="DQ2199" s="5" t="s">
        <v>238</v>
      </c>
      <c r="DT2199" s="5" t="s">
        <v>275</v>
      </c>
      <c r="DU2199" s="5" t="s">
        <v>820</v>
      </c>
      <c r="HM2199" s="5" t="s">
        <v>264</v>
      </c>
    </row>
    <row r="2200" spans="1:221" x14ac:dyDescent="0.4">
      <c r="A2200" s="5">
        <v>3904</v>
      </c>
      <c r="B2200" s="5">
        <v>1</v>
      </c>
      <c r="C2200" s="5">
        <v>1</v>
      </c>
      <c r="D2200" s="5" t="s">
        <v>269</v>
      </c>
      <c r="E2200" s="5" t="s">
        <v>271</v>
      </c>
      <c r="F2200" s="5" t="s">
        <v>248</v>
      </c>
      <c r="G2200" s="5" t="s">
        <v>266</v>
      </c>
      <c r="H2200" s="6" t="s">
        <v>5591</v>
      </c>
      <c r="I2200" s="7">
        <f>1056</f>
        <v>1056</v>
      </c>
      <c r="J2200" s="5" t="s">
        <v>262</v>
      </c>
      <c r="K2200" s="8">
        <f>1</f>
        <v>1</v>
      </c>
      <c r="L2200" s="6" t="s">
        <v>242</v>
      </c>
      <c r="M2200" s="5" t="s">
        <v>267</v>
      </c>
      <c r="N2200" s="5" t="s">
        <v>265</v>
      </c>
      <c r="O2200" s="5" t="s">
        <v>238</v>
      </c>
      <c r="P2200" s="5" t="s">
        <v>238</v>
      </c>
      <c r="Q2200" s="5" t="s">
        <v>268</v>
      </c>
      <c r="R2200" s="5" t="s">
        <v>270</v>
      </c>
      <c r="S2200" s="5" t="s">
        <v>238</v>
      </c>
      <c r="V2200" s="5" t="s">
        <v>238</v>
      </c>
      <c r="X2200" s="6" t="s">
        <v>238</v>
      </c>
      <c r="AA2200" s="6" t="s">
        <v>243</v>
      </c>
      <c r="AB2200" s="5" t="s">
        <v>238</v>
      </c>
      <c r="AC2200" s="5" t="s">
        <v>244</v>
      </c>
      <c r="AD2200" s="5" t="s">
        <v>245</v>
      </c>
      <c r="AT2200" s="5" t="s">
        <v>246</v>
      </c>
      <c r="AU2200" s="5" t="s">
        <v>238</v>
      </c>
      <c r="AV2200" s="5" t="s">
        <v>247</v>
      </c>
      <c r="AW2200" s="5" t="s">
        <v>238</v>
      </c>
      <c r="AX2200" s="5" t="s">
        <v>249</v>
      </c>
      <c r="AY2200" s="5" t="s">
        <v>238</v>
      </c>
      <c r="BA2200" s="5" t="s">
        <v>238</v>
      </c>
      <c r="BC2200" s="5" t="s">
        <v>250</v>
      </c>
      <c r="BD2200" s="6" t="s">
        <v>243</v>
      </c>
      <c r="BE2200" s="5" t="s">
        <v>251</v>
      </c>
      <c r="BF2200" s="5" t="s">
        <v>252</v>
      </c>
      <c r="BG2200" s="5" t="s">
        <v>238</v>
      </c>
      <c r="BH2200" s="7">
        <f>0</f>
        <v>0</v>
      </c>
      <c r="BI2200" s="8">
        <f>0</f>
        <v>0</v>
      </c>
      <c r="BJ2200" s="5" t="s">
        <v>253</v>
      </c>
      <c r="BK2200" s="5" t="s">
        <v>254</v>
      </c>
      <c r="BY2200" s="5" t="s">
        <v>238</v>
      </c>
      <c r="BZ2200" s="5" t="s">
        <v>238</v>
      </c>
      <c r="CD2200" s="5" t="s">
        <v>273</v>
      </c>
      <c r="CE2200" s="5" t="s">
        <v>256</v>
      </c>
      <c r="CF2200" s="5" t="s">
        <v>238</v>
      </c>
      <c r="CI2200" s="6" t="s">
        <v>257</v>
      </c>
      <c r="CJ2200" s="5" t="s">
        <v>238</v>
      </c>
      <c r="CK2200" s="5" t="s">
        <v>258</v>
      </c>
      <c r="CL2200" s="5" t="s">
        <v>238</v>
      </c>
      <c r="CM2200" s="5" t="s">
        <v>238</v>
      </c>
      <c r="CN2200" s="5">
        <v>0</v>
      </c>
      <c r="CO2200" s="5" t="s">
        <v>259</v>
      </c>
      <c r="CP2200" s="5" t="s">
        <v>260</v>
      </c>
      <c r="CQ2200" s="5" t="s">
        <v>260</v>
      </c>
      <c r="CR2200" s="5" t="s">
        <v>261</v>
      </c>
      <c r="CU2200" s="8">
        <f>1</f>
        <v>1</v>
      </c>
      <c r="CV2200" s="8">
        <f>0</f>
        <v>0</v>
      </c>
      <c r="CX2200" s="8">
        <f>0</f>
        <v>0</v>
      </c>
      <c r="CY2200" s="8">
        <f>1</f>
        <v>1</v>
      </c>
      <c r="DA2200" s="5" t="s">
        <v>274</v>
      </c>
      <c r="DB2200" s="5" t="s">
        <v>238</v>
      </c>
      <c r="DD2200" s="5" t="s">
        <v>274</v>
      </c>
      <c r="DE2200" s="8">
        <f>1056</f>
        <v>1056</v>
      </c>
      <c r="DG2200" s="5" t="s">
        <v>238</v>
      </c>
      <c r="DH2200" s="5" t="s">
        <v>238</v>
      </c>
      <c r="DI2200" s="5" t="s">
        <v>238</v>
      </c>
      <c r="DJ2200" s="5" t="s">
        <v>238</v>
      </c>
      <c r="DN2200" s="5" t="s">
        <v>238</v>
      </c>
      <c r="DO2200" s="5" t="s">
        <v>238</v>
      </c>
      <c r="DP2200" s="5" t="s">
        <v>238</v>
      </c>
      <c r="DQ2200" s="5" t="s">
        <v>238</v>
      </c>
      <c r="DT2200" s="5" t="s">
        <v>275</v>
      </c>
      <c r="DU2200" s="5" t="s">
        <v>3212</v>
      </c>
      <c r="HM2200" s="5" t="s">
        <v>264</v>
      </c>
    </row>
    <row r="2201" spans="1:221" x14ac:dyDescent="0.4">
      <c r="A2201" s="5">
        <v>3905</v>
      </c>
      <c r="B2201" s="5">
        <v>1</v>
      </c>
      <c r="C2201" s="5">
        <v>1</v>
      </c>
      <c r="D2201" s="5" t="s">
        <v>269</v>
      </c>
      <c r="E2201" s="5" t="s">
        <v>271</v>
      </c>
      <c r="F2201" s="5" t="s">
        <v>248</v>
      </c>
      <c r="G2201" s="5" t="s">
        <v>266</v>
      </c>
      <c r="H2201" s="6" t="s">
        <v>830</v>
      </c>
      <c r="I2201" s="7">
        <f>300</f>
        <v>300</v>
      </c>
      <c r="J2201" s="5" t="s">
        <v>262</v>
      </c>
      <c r="K2201" s="8">
        <f>1</f>
        <v>1</v>
      </c>
      <c r="L2201" s="6" t="s">
        <v>242</v>
      </c>
      <c r="M2201" s="5" t="s">
        <v>267</v>
      </c>
      <c r="N2201" s="5" t="s">
        <v>265</v>
      </c>
      <c r="O2201" s="5" t="s">
        <v>238</v>
      </c>
      <c r="P2201" s="5" t="s">
        <v>238</v>
      </c>
      <c r="Q2201" s="5" t="s">
        <v>268</v>
      </c>
      <c r="R2201" s="5" t="s">
        <v>270</v>
      </c>
      <c r="S2201" s="5" t="s">
        <v>238</v>
      </c>
      <c r="V2201" s="5" t="s">
        <v>238</v>
      </c>
      <c r="X2201" s="6" t="s">
        <v>238</v>
      </c>
      <c r="AA2201" s="6" t="s">
        <v>243</v>
      </c>
      <c r="AB2201" s="5" t="s">
        <v>238</v>
      </c>
      <c r="AC2201" s="5" t="s">
        <v>244</v>
      </c>
      <c r="AD2201" s="5" t="s">
        <v>245</v>
      </c>
      <c r="AT2201" s="5" t="s">
        <v>246</v>
      </c>
      <c r="AU2201" s="5" t="s">
        <v>238</v>
      </c>
      <c r="AV2201" s="5" t="s">
        <v>247</v>
      </c>
      <c r="AW2201" s="5" t="s">
        <v>238</v>
      </c>
      <c r="AX2201" s="5" t="s">
        <v>249</v>
      </c>
      <c r="AY2201" s="5" t="s">
        <v>238</v>
      </c>
      <c r="BA2201" s="5" t="s">
        <v>238</v>
      </c>
      <c r="BC2201" s="5" t="s">
        <v>250</v>
      </c>
      <c r="BD2201" s="6" t="s">
        <v>243</v>
      </c>
      <c r="BE2201" s="5" t="s">
        <v>251</v>
      </c>
      <c r="BF2201" s="5" t="s">
        <v>252</v>
      </c>
      <c r="BG2201" s="5" t="s">
        <v>238</v>
      </c>
      <c r="BH2201" s="7">
        <f>0</f>
        <v>0</v>
      </c>
      <c r="BI2201" s="8">
        <f>0</f>
        <v>0</v>
      </c>
      <c r="BJ2201" s="5" t="s">
        <v>253</v>
      </c>
      <c r="BK2201" s="5" t="s">
        <v>254</v>
      </c>
      <c r="BY2201" s="5" t="s">
        <v>238</v>
      </c>
      <c r="BZ2201" s="5" t="s">
        <v>238</v>
      </c>
      <c r="CD2201" s="5" t="s">
        <v>273</v>
      </c>
      <c r="CE2201" s="5" t="s">
        <v>256</v>
      </c>
      <c r="CF2201" s="5" t="s">
        <v>238</v>
      </c>
      <c r="CI2201" s="6" t="s">
        <v>257</v>
      </c>
      <c r="CJ2201" s="5" t="s">
        <v>238</v>
      </c>
      <c r="CK2201" s="5" t="s">
        <v>258</v>
      </c>
      <c r="CL2201" s="5" t="s">
        <v>238</v>
      </c>
      <c r="CM2201" s="5" t="s">
        <v>238</v>
      </c>
      <c r="CN2201" s="5">
        <v>0</v>
      </c>
      <c r="CO2201" s="5" t="s">
        <v>259</v>
      </c>
      <c r="CP2201" s="5" t="s">
        <v>260</v>
      </c>
      <c r="CQ2201" s="5" t="s">
        <v>260</v>
      </c>
      <c r="CR2201" s="5" t="s">
        <v>261</v>
      </c>
      <c r="CU2201" s="8">
        <f>1</f>
        <v>1</v>
      </c>
      <c r="CV2201" s="8">
        <f>0</f>
        <v>0</v>
      </c>
      <c r="CX2201" s="8">
        <f>0</f>
        <v>0</v>
      </c>
      <c r="CY2201" s="8">
        <f>1</f>
        <v>1</v>
      </c>
      <c r="DA2201" s="5" t="s">
        <v>274</v>
      </c>
      <c r="DB2201" s="5" t="s">
        <v>238</v>
      </c>
      <c r="DD2201" s="5" t="s">
        <v>274</v>
      </c>
      <c r="DE2201" s="8">
        <f>300</f>
        <v>300</v>
      </c>
      <c r="DG2201" s="5" t="s">
        <v>238</v>
      </c>
      <c r="DH2201" s="5" t="s">
        <v>238</v>
      </c>
      <c r="DI2201" s="5" t="s">
        <v>238</v>
      </c>
      <c r="DJ2201" s="5" t="s">
        <v>238</v>
      </c>
      <c r="DN2201" s="5" t="s">
        <v>238</v>
      </c>
      <c r="DO2201" s="5" t="s">
        <v>238</v>
      </c>
      <c r="DP2201" s="5" t="s">
        <v>238</v>
      </c>
      <c r="DQ2201" s="5" t="s">
        <v>238</v>
      </c>
      <c r="DT2201" s="5" t="s">
        <v>275</v>
      </c>
      <c r="DU2201" s="5" t="s">
        <v>831</v>
      </c>
      <c r="HM2201" s="5" t="s">
        <v>264</v>
      </c>
    </row>
    <row r="2202" spans="1:221" x14ac:dyDescent="0.4">
      <c r="A2202" s="5">
        <v>3906</v>
      </c>
      <c r="B2202" s="5">
        <v>1</v>
      </c>
      <c r="C2202" s="5">
        <v>1</v>
      </c>
      <c r="D2202" s="5" t="s">
        <v>269</v>
      </c>
      <c r="E2202" s="5" t="s">
        <v>271</v>
      </c>
      <c r="F2202" s="5" t="s">
        <v>248</v>
      </c>
      <c r="G2202" s="5" t="s">
        <v>266</v>
      </c>
      <c r="H2202" s="6" t="s">
        <v>832</v>
      </c>
      <c r="I2202" s="7">
        <f>1262</f>
        <v>1262</v>
      </c>
      <c r="J2202" s="5" t="s">
        <v>262</v>
      </c>
      <c r="K2202" s="8">
        <f>1</f>
        <v>1</v>
      </c>
      <c r="L2202" s="6" t="s">
        <v>242</v>
      </c>
      <c r="M2202" s="5" t="s">
        <v>267</v>
      </c>
      <c r="N2202" s="5" t="s">
        <v>265</v>
      </c>
      <c r="O2202" s="5" t="s">
        <v>238</v>
      </c>
      <c r="P2202" s="5" t="s">
        <v>238</v>
      </c>
      <c r="Q2202" s="5" t="s">
        <v>268</v>
      </c>
      <c r="R2202" s="5" t="s">
        <v>270</v>
      </c>
      <c r="S2202" s="5" t="s">
        <v>238</v>
      </c>
      <c r="V2202" s="5" t="s">
        <v>238</v>
      </c>
      <c r="X2202" s="6" t="s">
        <v>238</v>
      </c>
      <c r="AA2202" s="6" t="s">
        <v>243</v>
      </c>
      <c r="AB2202" s="5" t="s">
        <v>238</v>
      </c>
      <c r="AC2202" s="5" t="s">
        <v>244</v>
      </c>
      <c r="AD2202" s="5" t="s">
        <v>245</v>
      </c>
      <c r="AT2202" s="5" t="s">
        <v>246</v>
      </c>
      <c r="AU2202" s="5" t="s">
        <v>238</v>
      </c>
      <c r="AV2202" s="5" t="s">
        <v>247</v>
      </c>
      <c r="AW2202" s="5" t="s">
        <v>238</v>
      </c>
      <c r="AX2202" s="5" t="s">
        <v>249</v>
      </c>
      <c r="AY2202" s="5" t="s">
        <v>238</v>
      </c>
      <c r="BA2202" s="5" t="s">
        <v>238</v>
      </c>
      <c r="BC2202" s="5" t="s">
        <v>250</v>
      </c>
      <c r="BD2202" s="6" t="s">
        <v>243</v>
      </c>
      <c r="BE2202" s="5" t="s">
        <v>251</v>
      </c>
      <c r="BF2202" s="5" t="s">
        <v>252</v>
      </c>
      <c r="BG2202" s="5" t="s">
        <v>238</v>
      </c>
      <c r="BH2202" s="7">
        <f>0</f>
        <v>0</v>
      </c>
      <c r="BI2202" s="8">
        <f>0</f>
        <v>0</v>
      </c>
      <c r="BJ2202" s="5" t="s">
        <v>253</v>
      </c>
      <c r="BK2202" s="5" t="s">
        <v>254</v>
      </c>
      <c r="BY2202" s="5" t="s">
        <v>238</v>
      </c>
      <c r="BZ2202" s="5" t="s">
        <v>238</v>
      </c>
      <c r="CD2202" s="5" t="s">
        <v>273</v>
      </c>
      <c r="CE2202" s="5" t="s">
        <v>256</v>
      </c>
      <c r="CF2202" s="5" t="s">
        <v>238</v>
      </c>
      <c r="CI2202" s="6" t="s">
        <v>257</v>
      </c>
      <c r="CJ2202" s="5" t="s">
        <v>238</v>
      </c>
      <c r="CK2202" s="5" t="s">
        <v>258</v>
      </c>
      <c r="CL2202" s="5" t="s">
        <v>238</v>
      </c>
      <c r="CM2202" s="5" t="s">
        <v>238</v>
      </c>
      <c r="CN2202" s="5">
        <v>0</v>
      </c>
      <c r="CO2202" s="5" t="s">
        <v>259</v>
      </c>
      <c r="CP2202" s="5" t="s">
        <v>260</v>
      </c>
      <c r="CQ2202" s="5" t="s">
        <v>260</v>
      </c>
      <c r="CR2202" s="5" t="s">
        <v>261</v>
      </c>
      <c r="CU2202" s="8">
        <f>1</f>
        <v>1</v>
      </c>
      <c r="CV2202" s="8">
        <f>0</f>
        <v>0</v>
      </c>
      <c r="CX2202" s="8">
        <f>0</f>
        <v>0</v>
      </c>
      <c r="CY2202" s="8">
        <f>1</f>
        <v>1</v>
      </c>
      <c r="DA2202" s="5" t="s">
        <v>274</v>
      </c>
      <c r="DB2202" s="5" t="s">
        <v>238</v>
      </c>
      <c r="DD2202" s="5" t="s">
        <v>274</v>
      </c>
      <c r="DE2202" s="8">
        <f>1262</f>
        <v>1262</v>
      </c>
      <c r="DG2202" s="5" t="s">
        <v>238</v>
      </c>
      <c r="DH2202" s="5" t="s">
        <v>238</v>
      </c>
      <c r="DI2202" s="5" t="s">
        <v>238</v>
      </c>
      <c r="DJ2202" s="5" t="s">
        <v>238</v>
      </c>
      <c r="DN2202" s="5" t="s">
        <v>238</v>
      </c>
      <c r="DO2202" s="5" t="s">
        <v>238</v>
      </c>
      <c r="DP2202" s="5" t="s">
        <v>238</v>
      </c>
      <c r="DQ2202" s="5" t="s">
        <v>238</v>
      </c>
      <c r="DT2202" s="5" t="s">
        <v>275</v>
      </c>
      <c r="DU2202" s="5" t="s">
        <v>833</v>
      </c>
      <c r="HM2202" s="5" t="s">
        <v>264</v>
      </c>
    </row>
    <row r="2203" spans="1:221" x14ac:dyDescent="0.4">
      <c r="A2203" s="5">
        <v>3907</v>
      </c>
      <c r="B2203" s="5">
        <v>1</v>
      </c>
      <c r="C2203" s="5">
        <v>1</v>
      </c>
      <c r="D2203" s="5" t="s">
        <v>269</v>
      </c>
      <c r="E2203" s="5" t="s">
        <v>271</v>
      </c>
      <c r="F2203" s="5" t="s">
        <v>248</v>
      </c>
      <c r="G2203" s="5" t="s">
        <v>266</v>
      </c>
      <c r="H2203" s="6" t="s">
        <v>836</v>
      </c>
      <c r="I2203" s="7">
        <f>1895</f>
        <v>1895</v>
      </c>
      <c r="J2203" s="5" t="s">
        <v>262</v>
      </c>
      <c r="K2203" s="8">
        <f>1</f>
        <v>1</v>
      </c>
      <c r="L2203" s="6" t="s">
        <v>242</v>
      </c>
      <c r="M2203" s="5" t="s">
        <v>267</v>
      </c>
      <c r="N2203" s="5" t="s">
        <v>265</v>
      </c>
      <c r="O2203" s="5" t="s">
        <v>238</v>
      </c>
      <c r="P2203" s="5" t="s">
        <v>238</v>
      </c>
      <c r="Q2203" s="5" t="s">
        <v>268</v>
      </c>
      <c r="R2203" s="5" t="s">
        <v>270</v>
      </c>
      <c r="S2203" s="5" t="s">
        <v>238</v>
      </c>
      <c r="V2203" s="5" t="s">
        <v>238</v>
      </c>
      <c r="X2203" s="6" t="s">
        <v>238</v>
      </c>
      <c r="AA2203" s="6" t="s">
        <v>243</v>
      </c>
      <c r="AB2203" s="5" t="s">
        <v>238</v>
      </c>
      <c r="AC2203" s="5" t="s">
        <v>244</v>
      </c>
      <c r="AD2203" s="5" t="s">
        <v>245</v>
      </c>
      <c r="AT2203" s="5" t="s">
        <v>246</v>
      </c>
      <c r="AU2203" s="5" t="s">
        <v>238</v>
      </c>
      <c r="AV2203" s="5" t="s">
        <v>247</v>
      </c>
      <c r="AW2203" s="5" t="s">
        <v>238</v>
      </c>
      <c r="AX2203" s="5" t="s">
        <v>249</v>
      </c>
      <c r="AY2203" s="5" t="s">
        <v>238</v>
      </c>
      <c r="BA2203" s="5" t="s">
        <v>238</v>
      </c>
      <c r="BC2203" s="5" t="s">
        <v>250</v>
      </c>
      <c r="BD2203" s="6" t="s">
        <v>243</v>
      </c>
      <c r="BE2203" s="5" t="s">
        <v>251</v>
      </c>
      <c r="BF2203" s="5" t="s">
        <v>252</v>
      </c>
      <c r="BG2203" s="5" t="s">
        <v>238</v>
      </c>
      <c r="BH2203" s="7">
        <f>0</f>
        <v>0</v>
      </c>
      <c r="BI2203" s="8">
        <f>0</f>
        <v>0</v>
      </c>
      <c r="BJ2203" s="5" t="s">
        <v>253</v>
      </c>
      <c r="BK2203" s="5" t="s">
        <v>254</v>
      </c>
      <c r="BY2203" s="5" t="s">
        <v>238</v>
      </c>
      <c r="BZ2203" s="5" t="s">
        <v>238</v>
      </c>
      <c r="CD2203" s="5" t="s">
        <v>273</v>
      </c>
      <c r="CE2203" s="5" t="s">
        <v>256</v>
      </c>
      <c r="CF2203" s="5" t="s">
        <v>238</v>
      </c>
      <c r="CI2203" s="6" t="s">
        <v>257</v>
      </c>
      <c r="CJ2203" s="5" t="s">
        <v>238</v>
      </c>
      <c r="CK2203" s="5" t="s">
        <v>258</v>
      </c>
      <c r="CL2203" s="5" t="s">
        <v>238</v>
      </c>
      <c r="CM2203" s="5" t="s">
        <v>238</v>
      </c>
      <c r="CN2203" s="5">
        <v>0</v>
      </c>
      <c r="CO2203" s="5" t="s">
        <v>259</v>
      </c>
      <c r="CP2203" s="5" t="s">
        <v>260</v>
      </c>
      <c r="CQ2203" s="5" t="s">
        <v>260</v>
      </c>
      <c r="CR2203" s="5" t="s">
        <v>261</v>
      </c>
      <c r="CU2203" s="8">
        <f>1</f>
        <v>1</v>
      </c>
      <c r="CV2203" s="8">
        <f>0</f>
        <v>0</v>
      </c>
      <c r="CX2203" s="8">
        <f>0</f>
        <v>0</v>
      </c>
      <c r="CY2203" s="8">
        <f>1</f>
        <v>1</v>
      </c>
      <c r="DA2203" s="5" t="s">
        <v>274</v>
      </c>
      <c r="DB2203" s="5" t="s">
        <v>238</v>
      </c>
      <c r="DD2203" s="5" t="s">
        <v>274</v>
      </c>
      <c r="DE2203" s="8">
        <f>1895</f>
        <v>1895</v>
      </c>
      <c r="DG2203" s="5" t="s">
        <v>238</v>
      </c>
      <c r="DH2203" s="5" t="s">
        <v>238</v>
      </c>
      <c r="DI2203" s="5" t="s">
        <v>238</v>
      </c>
      <c r="DJ2203" s="5" t="s">
        <v>238</v>
      </c>
      <c r="DN2203" s="5" t="s">
        <v>238</v>
      </c>
      <c r="DO2203" s="5" t="s">
        <v>238</v>
      </c>
      <c r="DP2203" s="5" t="s">
        <v>238</v>
      </c>
      <c r="DQ2203" s="5" t="s">
        <v>238</v>
      </c>
      <c r="DT2203" s="5" t="s">
        <v>275</v>
      </c>
      <c r="DU2203" s="5" t="s">
        <v>837</v>
      </c>
      <c r="HM2203" s="5" t="s">
        <v>264</v>
      </c>
    </row>
    <row r="2204" spans="1:221" x14ac:dyDescent="0.4">
      <c r="A2204" s="5">
        <v>3908</v>
      </c>
      <c r="B2204" s="5">
        <v>1</v>
      </c>
      <c r="C2204" s="5">
        <v>1</v>
      </c>
      <c r="D2204" s="5" t="s">
        <v>269</v>
      </c>
      <c r="E2204" s="5" t="s">
        <v>271</v>
      </c>
      <c r="F2204" s="5" t="s">
        <v>248</v>
      </c>
      <c r="G2204" s="5" t="s">
        <v>266</v>
      </c>
      <c r="H2204" s="6" t="s">
        <v>5596</v>
      </c>
      <c r="I2204" s="7">
        <f>342</f>
        <v>342</v>
      </c>
      <c r="J2204" s="5" t="s">
        <v>262</v>
      </c>
      <c r="K2204" s="8">
        <f>1</f>
        <v>1</v>
      </c>
      <c r="L2204" s="6" t="s">
        <v>242</v>
      </c>
      <c r="M2204" s="5" t="s">
        <v>267</v>
      </c>
      <c r="N2204" s="5" t="s">
        <v>265</v>
      </c>
      <c r="O2204" s="5" t="s">
        <v>238</v>
      </c>
      <c r="P2204" s="5" t="s">
        <v>238</v>
      </c>
      <c r="Q2204" s="5" t="s">
        <v>268</v>
      </c>
      <c r="R2204" s="5" t="s">
        <v>270</v>
      </c>
      <c r="S2204" s="5" t="s">
        <v>238</v>
      </c>
      <c r="V2204" s="5" t="s">
        <v>238</v>
      </c>
      <c r="X2204" s="6" t="s">
        <v>238</v>
      </c>
      <c r="AA2204" s="6" t="s">
        <v>243</v>
      </c>
      <c r="AB2204" s="5" t="s">
        <v>238</v>
      </c>
      <c r="AC2204" s="5" t="s">
        <v>244</v>
      </c>
      <c r="AD2204" s="5" t="s">
        <v>245</v>
      </c>
      <c r="AT2204" s="5" t="s">
        <v>246</v>
      </c>
      <c r="AU2204" s="5" t="s">
        <v>238</v>
      </c>
      <c r="AV2204" s="5" t="s">
        <v>247</v>
      </c>
      <c r="AW2204" s="5" t="s">
        <v>238</v>
      </c>
      <c r="AX2204" s="5" t="s">
        <v>249</v>
      </c>
      <c r="AY2204" s="5" t="s">
        <v>238</v>
      </c>
      <c r="BA2204" s="5" t="s">
        <v>238</v>
      </c>
      <c r="BC2204" s="5" t="s">
        <v>250</v>
      </c>
      <c r="BD2204" s="6" t="s">
        <v>243</v>
      </c>
      <c r="BE2204" s="5" t="s">
        <v>251</v>
      </c>
      <c r="BF2204" s="5" t="s">
        <v>252</v>
      </c>
      <c r="BG2204" s="5" t="s">
        <v>238</v>
      </c>
      <c r="BH2204" s="7">
        <f>0</f>
        <v>0</v>
      </c>
      <c r="BI2204" s="8">
        <f>0</f>
        <v>0</v>
      </c>
      <c r="BJ2204" s="5" t="s">
        <v>253</v>
      </c>
      <c r="BK2204" s="5" t="s">
        <v>254</v>
      </c>
      <c r="BY2204" s="5" t="s">
        <v>238</v>
      </c>
      <c r="BZ2204" s="5" t="s">
        <v>238</v>
      </c>
      <c r="CD2204" s="5" t="s">
        <v>273</v>
      </c>
      <c r="CE2204" s="5" t="s">
        <v>256</v>
      </c>
      <c r="CF2204" s="5" t="s">
        <v>238</v>
      </c>
      <c r="CI2204" s="6" t="s">
        <v>257</v>
      </c>
      <c r="CJ2204" s="5" t="s">
        <v>238</v>
      </c>
      <c r="CK2204" s="5" t="s">
        <v>258</v>
      </c>
      <c r="CL2204" s="5" t="s">
        <v>238</v>
      </c>
      <c r="CM2204" s="5" t="s">
        <v>238</v>
      </c>
      <c r="CN2204" s="5">
        <v>0</v>
      </c>
      <c r="CO2204" s="5" t="s">
        <v>259</v>
      </c>
      <c r="CP2204" s="5" t="s">
        <v>260</v>
      </c>
      <c r="CQ2204" s="5" t="s">
        <v>260</v>
      </c>
      <c r="CR2204" s="5" t="s">
        <v>261</v>
      </c>
      <c r="CU2204" s="8">
        <f>1</f>
        <v>1</v>
      </c>
      <c r="CV2204" s="8">
        <f>0</f>
        <v>0</v>
      </c>
      <c r="CX2204" s="8">
        <f>0</f>
        <v>0</v>
      </c>
      <c r="CY2204" s="8">
        <f>1</f>
        <v>1</v>
      </c>
      <c r="DA2204" s="5" t="s">
        <v>274</v>
      </c>
      <c r="DB2204" s="5" t="s">
        <v>238</v>
      </c>
      <c r="DD2204" s="5" t="s">
        <v>274</v>
      </c>
      <c r="DE2204" s="8">
        <f>342</f>
        <v>342</v>
      </c>
      <c r="DG2204" s="5" t="s">
        <v>238</v>
      </c>
      <c r="DH2204" s="5" t="s">
        <v>238</v>
      </c>
      <c r="DI2204" s="5" t="s">
        <v>238</v>
      </c>
      <c r="DJ2204" s="5" t="s">
        <v>238</v>
      </c>
      <c r="DN2204" s="5" t="s">
        <v>238</v>
      </c>
      <c r="DO2204" s="5" t="s">
        <v>238</v>
      </c>
      <c r="DP2204" s="5" t="s">
        <v>238</v>
      </c>
      <c r="DQ2204" s="5" t="s">
        <v>238</v>
      </c>
      <c r="DT2204" s="5" t="s">
        <v>275</v>
      </c>
      <c r="DU2204" s="5" t="s">
        <v>3206</v>
      </c>
      <c r="HM2204" s="5" t="s">
        <v>264</v>
      </c>
    </row>
    <row r="2205" spans="1:221" x14ac:dyDescent="0.4">
      <c r="A2205" s="5">
        <v>3909</v>
      </c>
      <c r="B2205" s="5">
        <v>1</v>
      </c>
      <c r="C2205" s="5">
        <v>1</v>
      </c>
      <c r="D2205" s="5" t="s">
        <v>269</v>
      </c>
      <c r="E2205" s="5" t="s">
        <v>271</v>
      </c>
      <c r="F2205" s="5" t="s">
        <v>248</v>
      </c>
      <c r="G2205" s="5" t="s">
        <v>266</v>
      </c>
      <c r="H2205" s="6" t="s">
        <v>844</v>
      </c>
      <c r="I2205" s="7">
        <f>155</f>
        <v>155</v>
      </c>
      <c r="J2205" s="5" t="s">
        <v>262</v>
      </c>
      <c r="K2205" s="8">
        <f>1</f>
        <v>1</v>
      </c>
      <c r="L2205" s="6" t="s">
        <v>242</v>
      </c>
      <c r="M2205" s="5" t="s">
        <v>267</v>
      </c>
      <c r="N2205" s="5" t="s">
        <v>265</v>
      </c>
      <c r="O2205" s="5" t="s">
        <v>238</v>
      </c>
      <c r="P2205" s="5" t="s">
        <v>238</v>
      </c>
      <c r="Q2205" s="5" t="s">
        <v>268</v>
      </c>
      <c r="R2205" s="5" t="s">
        <v>270</v>
      </c>
      <c r="S2205" s="5" t="s">
        <v>238</v>
      </c>
      <c r="V2205" s="5" t="s">
        <v>238</v>
      </c>
      <c r="X2205" s="6" t="s">
        <v>238</v>
      </c>
      <c r="AA2205" s="6" t="s">
        <v>243</v>
      </c>
      <c r="AB2205" s="5" t="s">
        <v>238</v>
      </c>
      <c r="AC2205" s="5" t="s">
        <v>244</v>
      </c>
      <c r="AD2205" s="5" t="s">
        <v>245</v>
      </c>
      <c r="AT2205" s="5" t="s">
        <v>246</v>
      </c>
      <c r="AU2205" s="5" t="s">
        <v>238</v>
      </c>
      <c r="AV2205" s="5" t="s">
        <v>247</v>
      </c>
      <c r="AW2205" s="5" t="s">
        <v>238</v>
      </c>
      <c r="AX2205" s="5" t="s">
        <v>249</v>
      </c>
      <c r="AY2205" s="5" t="s">
        <v>238</v>
      </c>
      <c r="BA2205" s="5" t="s">
        <v>238</v>
      </c>
      <c r="BC2205" s="5" t="s">
        <v>250</v>
      </c>
      <c r="BD2205" s="6" t="s">
        <v>243</v>
      </c>
      <c r="BE2205" s="5" t="s">
        <v>251</v>
      </c>
      <c r="BF2205" s="5" t="s">
        <v>252</v>
      </c>
      <c r="BG2205" s="5" t="s">
        <v>238</v>
      </c>
      <c r="BH2205" s="7">
        <f>0</f>
        <v>0</v>
      </c>
      <c r="BI2205" s="8">
        <f>0</f>
        <v>0</v>
      </c>
      <c r="BJ2205" s="5" t="s">
        <v>253</v>
      </c>
      <c r="BK2205" s="5" t="s">
        <v>254</v>
      </c>
      <c r="BY2205" s="5" t="s">
        <v>238</v>
      </c>
      <c r="BZ2205" s="5" t="s">
        <v>238</v>
      </c>
      <c r="CD2205" s="5" t="s">
        <v>273</v>
      </c>
      <c r="CE2205" s="5" t="s">
        <v>256</v>
      </c>
      <c r="CF2205" s="5" t="s">
        <v>238</v>
      </c>
      <c r="CI2205" s="6" t="s">
        <v>257</v>
      </c>
      <c r="CJ2205" s="5" t="s">
        <v>238</v>
      </c>
      <c r="CK2205" s="5" t="s">
        <v>258</v>
      </c>
      <c r="CL2205" s="5" t="s">
        <v>238</v>
      </c>
      <c r="CM2205" s="5" t="s">
        <v>238</v>
      </c>
      <c r="CN2205" s="5">
        <v>0</v>
      </c>
      <c r="CO2205" s="5" t="s">
        <v>259</v>
      </c>
      <c r="CP2205" s="5" t="s">
        <v>260</v>
      </c>
      <c r="CQ2205" s="5" t="s">
        <v>260</v>
      </c>
      <c r="CR2205" s="5" t="s">
        <v>261</v>
      </c>
      <c r="CU2205" s="8">
        <f>1</f>
        <v>1</v>
      </c>
      <c r="CV2205" s="8">
        <f>0</f>
        <v>0</v>
      </c>
      <c r="CX2205" s="8">
        <f>0</f>
        <v>0</v>
      </c>
      <c r="CY2205" s="8">
        <f>1</f>
        <v>1</v>
      </c>
      <c r="DA2205" s="5" t="s">
        <v>274</v>
      </c>
      <c r="DB2205" s="5" t="s">
        <v>238</v>
      </c>
      <c r="DD2205" s="5" t="s">
        <v>274</v>
      </c>
      <c r="DE2205" s="8">
        <f>155</f>
        <v>155</v>
      </c>
      <c r="DG2205" s="5" t="s">
        <v>238</v>
      </c>
      <c r="DH2205" s="5" t="s">
        <v>238</v>
      </c>
      <c r="DI2205" s="5" t="s">
        <v>238</v>
      </c>
      <c r="DJ2205" s="5" t="s">
        <v>238</v>
      </c>
      <c r="DN2205" s="5" t="s">
        <v>238</v>
      </c>
      <c r="DO2205" s="5" t="s">
        <v>238</v>
      </c>
      <c r="DP2205" s="5" t="s">
        <v>238</v>
      </c>
      <c r="DQ2205" s="5" t="s">
        <v>238</v>
      </c>
      <c r="DT2205" s="5" t="s">
        <v>275</v>
      </c>
      <c r="DU2205" s="5" t="s">
        <v>845</v>
      </c>
      <c r="HM2205" s="5" t="s">
        <v>264</v>
      </c>
    </row>
    <row r="2206" spans="1:221" x14ac:dyDescent="0.4">
      <c r="A2206" s="5">
        <v>3910</v>
      </c>
      <c r="B2206" s="5">
        <v>1</v>
      </c>
      <c r="C2206" s="5">
        <v>1</v>
      </c>
      <c r="D2206" s="5" t="s">
        <v>269</v>
      </c>
      <c r="E2206" s="5" t="s">
        <v>271</v>
      </c>
      <c r="F2206" s="5" t="s">
        <v>248</v>
      </c>
      <c r="G2206" s="5" t="s">
        <v>266</v>
      </c>
      <c r="H2206" s="6" t="s">
        <v>846</v>
      </c>
      <c r="I2206" s="7">
        <f>1260</f>
        <v>1260</v>
      </c>
      <c r="J2206" s="5" t="s">
        <v>262</v>
      </c>
      <c r="K2206" s="8">
        <f>1</f>
        <v>1</v>
      </c>
      <c r="L2206" s="6" t="s">
        <v>242</v>
      </c>
      <c r="M2206" s="5" t="s">
        <v>267</v>
      </c>
      <c r="N2206" s="5" t="s">
        <v>265</v>
      </c>
      <c r="O2206" s="5" t="s">
        <v>238</v>
      </c>
      <c r="P2206" s="5" t="s">
        <v>238</v>
      </c>
      <c r="Q2206" s="5" t="s">
        <v>268</v>
      </c>
      <c r="R2206" s="5" t="s">
        <v>270</v>
      </c>
      <c r="S2206" s="5" t="s">
        <v>238</v>
      </c>
      <c r="V2206" s="5" t="s">
        <v>238</v>
      </c>
      <c r="X2206" s="6" t="s">
        <v>238</v>
      </c>
      <c r="AA2206" s="6" t="s">
        <v>243</v>
      </c>
      <c r="AB2206" s="5" t="s">
        <v>238</v>
      </c>
      <c r="AC2206" s="5" t="s">
        <v>244</v>
      </c>
      <c r="AD2206" s="5" t="s">
        <v>245</v>
      </c>
      <c r="AT2206" s="5" t="s">
        <v>246</v>
      </c>
      <c r="AU2206" s="5" t="s">
        <v>238</v>
      </c>
      <c r="AV2206" s="5" t="s">
        <v>247</v>
      </c>
      <c r="AW2206" s="5" t="s">
        <v>238</v>
      </c>
      <c r="AX2206" s="5" t="s">
        <v>249</v>
      </c>
      <c r="AY2206" s="5" t="s">
        <v>238</v>
      </c>
      <c r="BA2206" s="5" t="s">
        <v>238</v>
      </c>
      <c r="BC2206" s="5" t="s">
        <v>250</v>
      </c>
      <c r="BD2206" s="6" t="s">
        <v>243</v>
      </c>
      <c r="BE2206" s="5" t="s">
        <v>251</v>
      </c>
      <c r="BF2206" s="5" t="s">
        <v>252</v>
      </c>
      <c r="BG2206" s="5" t="s">
        <v>238</v>
      </c>
      <c r="BH2206" s="7">
        <f>0</f>
        <v>0</v>
      </c>
      <c r="BI2206" s="8">
        <f>0</f>
        <v>0</v>
      </c>
      <c r="BJ2206" s="5" t="s">
        <v>253</v>
      </c>
      <c r="BK2206" s="5" t="s">
        <v>254</v>
      </c>
      <c r="BY2206" s="5" t="s">
        <v>238</v>
      </c>
      <c r="BZ2206" s="5" t="s">
        <v>238</v>
      </c>
      <c r="CD2206" s="5" t="s">
        <v>273</v>
      </c>
      <c r="CE2206" s="5" t="s">
        <v>256</v>
      </c>
      <c r="CF2206" s="5" t="s">
        <v>238</v>
      </c>
      <c r="CI2206" s="6" t="s">
        <v>257</v>
      </c>
      <c r="CJ2206" s="5" t="s">
        <v>238</v>
      </c>
      <c r="CK2206" s="5" t="s">
        <v>258</v>
      </c>
      <c r="CL2206" s="5" t="s">
        <v>238</v>
      </c>
      <c r="CM2206" s="5" t="s">
        <v>238</v>
      </c>
      <c r="CN2206" s="5">
        <v>0</v>
      </c>
      <c r="CO2206" s="5" t="s">
        <v>259</v>
      </c>
      <c r="CP2206" s="5" t="s">
        <v>260</v>
      </c>
      <c r="CQ2206" s="5" t="s">
        <v>260</v>
      </c>
      <c r="CR2206" s="5" t="s">
        <v>261</v>
      </c>
      <c r="CU2206" s="8">
        <f>1</f>
        <v>1</v>
      </c>
      <c r="CV2206" s="8">
        <f>0</f>
        <v>0</v>
      </c>
      <c r="CX2206" s="8">
        <f>0</f>
        <v>0</v>
      </c>
      <c r="CY2206" s="8">
        <f>1</f>
        <v>1</v>
      </c>
      <c r="DA2206" s="5" t="s">
        <v>274</v>
      </c>
      <c r="DB2206" s="5" t="s">
        <v>238</v>
      </c>
      <c r="DD2206" s="5" t="s">
        <v>274</v>
      </c>
      <c r="DE2206" s="8">
        <f>1260</f>
        <v>1260</v>
      </c>
      <c r="DG2206" s="5" t="s">
        <v>238</v>
      </c>
      <c r="DH2206" s="5" t="s">
        <v>238</v>
      </c>
      <c r="DI2206" s="5" t="s">
        <v>238</v>
      </c>
      <c r="DJ2206" s="5" t="s">
        <v>238</v>
      </c>
      <c r="DN2206" s="5" t="s">
        <v>238</v>
      </c>
      <c r="DO2206" s="5" t="s">
        <v>238</v>
      </c>
      <c r="DP2206" s="5" t="s">
        <v>238</v>
      </c>
      <c r="DQ2206" s="5" t="s">
        <v>238</v>
      </c>
      <c r="DT2206" s="5" t="s">
        <v>275</v>
      </c>
      <c r="DU2206" s="5" t="s">
        <v>847</v>
      </c>
      <c r="HM2206" s="5" t="s">
        <v>264</v>
      </c>
    </row>
    <row r="2207" spans="1:221" x14ac:dyDescent="0.4">
      <c r="A2207" s="5">
        <v>3911</v>
      </c>
      <c r="B2207" s="5">
        <v>1</v>
      </c>
      <c r="C2207" s="5">
        <v>1</v>
      </c>
      <c r="D2207" s="5" t="s">
        <v>269</v>
      </c>
      <c r="E2207" s="5" t="s">
        <v>271</v>
      </c>
      <c r="F2207" s="5" t="s">
        <v>248</v>
      </c>
      <c r="G2207" s="5" t="s">
        <v>266</v>
      </c>
      <c r="H2207" s="6" t="s">
        <v>848</v>
      </c>
      <c r="I2207" s="7">
        <f>788</f>
        <v>788</v>
      </c>
      <c r="J2207" s="5" t="s">
        <v>262</v>
      </c>
      <c r="K2207" s="8">
        <f>1</f>
        <v>1</v>
      </c>
      <c r="L2207" s="6" t="s">
        <v>242</v>
      </c>
      <c r="M2207" s="5" t="s">
        <v>267</v>
      </c>
      <c r="N2207" s="5" t="s">
        <v>265</v>
      </c>
      <c r="O2207" s="5" t="s">
        <v>238</v>
      </c>
      <c r="P2207" s="5" t="s">
        <v>238</v>
      </c>
      <c r="Q2207" s="5" t="s">
        <v>268</v>
      </c>
      <c r="R2207" s="5" t="s">
        <v>270</v>
      </c>
      <c r="S2207" s="5" t="s">
        <v>238</v>
      </c>
      <c r="V2207" s="5" t="s">
        <v>238</v>
      </c>
      <c r="X2207" s="6" t="s">
        <v>238</v>
      </c>
      <c r="AA2207" s="6" t="s">
        <v>243</v>
      </c>
      <c r="AB2207" s="5" t="s">
        <v>238</v>
      </c>
      <c r="AC2207" s="5" t="s">
        <v>244</v>
      </c>
      <c r="AD2207" s="5" t="s">
        <v>245</v>
      </c>
      <c r="AT2207" s="5" t="s">
        <v>246</v>
      </c>
      <c r="AU2207" s="5" t="s">
        <v>238</v>
      </c>
      <c r="AV2207" s="5" t="s">
        <v>247</v>
      </c>
      <c r="AW2207" s="5" t="s">
        <v>238</v>
      </c>
      <c r="AX2207" s="5" t="s">
        <v>249</v>
      </c>
      <c r="AY2207" s="5" t="s">
        <v>238</v>
      </c>
      <c r="BA2207" s="5" t="s">
        <v>238</v>
      </c>
      <c r="BC2207" s="5" t="s">
        <v>250</v>
      </c>
      <c r="BD2207" s="6" t="s">
        <v>243</v>
      </c>
      <c r="BE2207" s="5" t="s">
        <v>251</v>
      </c>
      <c r="BF2207" s="5" t="s">
        <v>252</v>
      </c>
      <c r="BG2207" s="5" t="s">
        <v>238</v>
      </c>
      <c r="BH2207" s="7">
        <f>0</f>
        <v>0</v>
      </c>
      <c r="BI2207" s="8">
        <f>0</f>
        <v>0</v>
      </c>
      <c r="BJ2207" s="5" t="s">
        <v>253</v>
      </c>
      <c r="BK2207" s="5" t="s">
        <v>254</v>
      </c>
      <c r="BY2207" s="5" t="s">
        <v>238</v>
      </c>
      <c r="BZ2207" s="5" t="s">
        <v>238</v>
      </c>
      <c r="CD2207" s="5" t="s">
        <v>273</v>
      </c>
      <c r="CE2207" s="5" t="s">
        <v>256</v>
      </c>
      <c r="CF2207" s="5" t="s">
        <v>238</v>
      </c>
      <c r="CI2207" s="6" t="s">
        <v>257</v>
      </c>
      <c r="CJ2207" s="5" t="s">
        <v>238</v>
      </c>
      <c r="CK2207" s="5" t="s">
        <v>258</v>
      </c>
      <c r="CL2207" s="5" t="s">
        <v>238</v>
      </c>
      <c r="CM2207" s="5" t="s">
        <v>238</v>
      </c>
      <c r="CN2207" s="5">
        <v>0</v>
      </c>
      <c r="CO2207" s="5" t="s">
        <v>259</v>
      </c>
      <c r="CP2207" s="5" t="s">
        <v>260</v>
      </c>
      <c r="CQ2207" s="5" t="s">
        <v>260</v>
      </c>
      <c r="CR2207" s="5" t="s">
        <v>261</v>
      </c>
      <c r="CU2207" s="8">
        <f>1</f>
        <v>1</v>
      </c>
      <c r="CV2207" s="8">
        <f>0</f>
        <v>0</v>
      </c>
      <c r="CX2207" s="8">
        <f>0</f>
        <v>0</v>
      </c>
      <c r="CY2207" s="8">
        <f>1</f>
        <v>1</v>
      </c>
      <c r="DA2207" s="5" t="s">
        <v>274</v>
      </c>
      <c r="DB2207" s="5" t="s">
        <v>238</v>
      </c>
      <c r="DD2207" s="5" t="s">
        <v>274</v>
      </c>
      <c r="DE2207" s="8">
        <f>788</f>
        <v>788</v>
      </c>
      <c r="DG2207" s="5" t="s">
        <v>238</v>
      </c>
      <c r="DH2207" s="5" t="s">
        <v>238</v>
      </c>
      <c r="DI2207" s="5" t="s">
        <v>238</v>
      </c>
      <c r="DJ2207" s="5" t="s">
        <v>238</v>
      </c>
      <c r="DN2207" s="5" t="s">
        <v>238</v>
      </c>
      <c r="DO2207" s="5" t="s">
        <v>238</v>
      </c>
      <c r="DP2207" s="5" t="s">
        <v>238</v>
      </c>
      <c r="DQ2207" s="5" t="s">
        <v>238</v>
      </c>
      <c r="DT2207" s="5" t="s">
        <v>275</v>
      </c>
      <c r="DU2207" s="5" t="s">
        <v>849</v>
      </c>
      <c r="HM2207" s="5" t="s">
        <v>264</v>
      </c>
    </row>
    <row r="2208" spans="1:221" x14ac:dyDescent="0.4">
      <c r="A2208" s="5">
        <v>3912</v>
      </c>
      <c r="B2208" s="5">
        <v>1</v>
      </c>
      <c r="C2208" s="5">
        <v>1</v>
      </c>
      <c r="D2208" s="5" t="s">
        <v>269</v>
      </c>
      <c r="E2208" s="5" t="s">
        <v>271</v>
      </c>
      <c r="F2208" s="5" t="s">
        <v>248</v>
      </c>
      <c r="G2208" s="5" t="s">
        <v>266</v>
      </c>
      <c r="H2208" s="6" t="s">
        <v>850</v>
      </c>
      <c r="I2208" s="7">
        <f>653</f>
        <v>653</v>
      </c>
      <c r="J2208" s="5" t="s">
        <v>262</v>
      </c>
      <c r="K2208" s="8">
        <f>1</f>
        <v>1</v>
      </c>
      <c r="L2208" s="6" t="s">
        <v>242</v>
      </c>
      <c r="M2208" s="5" t="s">
        <v>267</v>
      </c>
      <c r="N2208" s="5" t="s">
        <v>265</v>
      </c>
      <c r="O2208" s="5" t="s">
        <v>238</v>
      </c>
      <c r="P2208" s="5" t="s">
        <v>238</v>
      </c>
      <c r="Q2208" s="5" t="s">
        <v>268</v>
      </c>
      <c r="R2208" s="5" t="s">
        <v>270</v>
      </c>
      <c r="S2208" s="5" t="s">
        <v>238</v>
      </c>
      <c r="V2208" s="5" t="s">
        <v>238</v>
      </c>
      <c r="X2208" s="6" t="s">
        <v>238</v>
      </c>
      <c r="AA2208" s="6" t="s">
        <v>243</v>
      </c>
      <c r="AB2208" s="5" t="s">
        <v>238</v>
      </c>
      <c r="AC2208" s="5" t="s">
        <v>244</v>
      </c>
      <c r="AD2208" s="5" t="s">
        <v>245</v>
      </c>
      <c r="AT2208" s="5" t="s">
        <v>246</v>
      </c>
      <c r="AU2208" s="5" t="s">
        <v>238</v>
      </c>
      <c r="AV2208" s="5" t="s">
        <v>247</v>
      </c>
      <c r="AW2208" s="5" t="s">
        <v>238</v>
      </c>
      <c r="AX2208" s="5" t="s">
        <v>249</v>
      </c>
      <c r="AY2208" s="5" t="s">
        <v>238</v>
      </c>
      <c r="BA2208" s="5" t="s">
        <v>238</v>
      </c>
      <c r="BC2208" s="5" t="s">
        <v>250</v>
      </c>
      <c r="BD2208" s="6" t="s">
        <v>243</v>
      </c>
      <c r="BE2208" s="5" t="s">
        <v>251</v>
      </c>
      <c r="BF2208" s="5" t="s">
        <v>252</v>
      </c>
      <c r="BG2208" s="5" t="s">
        <v>238</v>
      </c>
      <c r="BH2208" s="7">
        <f>0</f>
        <v>0</v>
      </c>
      <c r="BI2208" s="8">
        <f>0</f>
        <v>0</v>
      </c>
      <c r="BJ2208" s="5" t="s">
        <v>253</v>
      </c>
      <c r="BK2208" s="5" t="s">
        <v>254</v>
      </c>
      <c r="BY2208" s="5" t="s">
        <v>238</v>
      </c>
      <c r="BZ2208" s="5" t="s">
        <v>238</v>
      </c>
      <c r="CD2208" s="5" t="s">
        <v>273</v>
      </c>
      <c r="CE2208" s="5" t="s">
        <v>256</v>
      </c>
      <c r="CF2208" s="5" t="s">
        <v>238</v>
      </c>
      <c r="CI2208" s="6" t="s">
        <v>257</v>
      </c>
      <c r="CJ2208" s="5" t="s">
        <v>238</v>
      </c>
      <c r="CK2208" s="5" t="s">
        <v>258</v>
      </c>
      <c r="CL2208" s="5" t="s">
        <v>238</v>
      </c>
      <c r="CM2208" s="5" t="s">
        <v>238</v>
      </c>
      <c r="CN2208" s="5">
        <v>0</v>
      </c>
      <c r="CO2208" s="5" t="s">
        <v>259</v>
      </c>
      <c r="CP2208" s="5" t="s">
        <v>260</v>
      </c>
      <c r="CQ2208" s="5" t="s">
        <v>260</v>
      </c>
      <c r="CR2208" s="5" t="s">
        <v>261</v>
      </c>
      <c r="CU2208" s="8">
        <f>1</f>
        <v>1</v>
      </c>
      <c r="CV2208" s="8">
        <f>0</f>
        <v>0</v>
      </c>
      <c r="CX2208" s="8">
        <f>0</f>
        <v>0</v>
      </c>
      <c r="CY2208" s="8">
        <f>1</f>
        <v>1</v>
      </c>
      <c r="DA2208" s="5" t="s">
        <v>274</v>
      </c>
      <c r="DB2208" s="5" t="s">
        <v>238</v>
      </c>
      <c r="DD2208" s="5" t="s">
        <v>274</v>
      </c>
      <c r="DE2208" s="8">
        <f>653</f>
        <v>653</v>
      </c>
      <c r="DG2208" s="5" t="s">
        <v>238</v>
      </c>
      <c r="DH2208" s="5" t="s">
        <v>238</v>
      </c>
      <c r="DI2208" s="5" t="s">
        <v>238</v>
      </c>
      <c r="DJ2208" s="5" t="s">
        <v>238</v>
      </c>
      <c r="DN2208" s="5" t="s">
        <v>238</v>
      </c>
      <c r="DO2208" s="5" t="s">
        <v>238</v>
      </c>
      <c r="DP2208" s="5" t="s">
        <v>238</v>
      </c>
      <c r="DQ2208" s="5" t="s">
        <v>238</v>
      </c>
      <c r="DT2208" s="5" t="s">
        <v>275</v>
      </c>
      <c r="DU2208" s="5" t="s">
        <v>851</v>
      </c>
      <c r="HM2208" s="5" t="s">
        <v>264</v>
      </c>
    </row>
    <row r="2209" spans="1:221" x14ac:dyDescent="0.4">
      <c r="A2209" s="5">
        <v>3913</v>
      </c>
      <c r="B2209" s="5">
        <v>1</v>
      </c>
      <c r="C2209" s="5">
        <v>1</v>
      </c>
      <c r="D2209" s="5" t="s">
        <v>269</v>
      </c>
      <c r="E2209" s="5" t="s">
        <v>271</v>
      </c>
      <c r="F2209" s="5" t="s">
        <v>248</v>
      </c>
      <c r="G2209" s="5" t="s">
        <v>266</v>
      </c>
      <c r="H2209" s="6" t="s">
        <v>855</v>
      </c>
      <c r="I2209" s="7">
        <f>1916</f>
        <v>1916</v>
      </c>
      <c r="J2209" s="5" t="s">
        <v>262</v>
      </c>
      <c r="K2209" s="8">
        <f>1</f>
        <v>1</v>
      </c>
      <c r="L2209" s="6" t="s">
        <v>242</v>
      </c>
      <c r="M2209" s="5" t="s">
        <v>267</v>
      </c>
      <c r="N2209" s="5" t="s">
        <v>265</v>
      </c>
      <c r="O2209" s="5" t="s">
        <v>238</v>
      </c>
      <c r="P2209" s="5" t="s">
        <v>238</v>
      </c>
      <c r="Q2209" s="5" t="s">
        <v>268</v>
      </c>
      <c r="R2209" s="5" t="s">
        <v>270</v>
      </c>
      <c r="S2209" s="5" t="s">
        <v>238</v>
      </c>
      <c r="V2209" s="5" t="s">
        <v>238</v>
      </c>
      <c r="X2209" s="6" t="s">
        <v>238</v>
      </c>
      <c r="AA2209" s="6" t="s">
        <v>243</v>
      </c>
      <c r="AB2209" s="5" t="s">
        <v>238</v>
      </c>
      <c r="AC2209" s="5" t="s">
        <v>244</v>
      </c>
      <c r="AD2209" s="5" t="s">
        <v>245</v>
      </c>
      <c r="AT2209" s="5" t="s">
        <v>246</v>
      </c>
      <c r="AU2209" s="5" t="s">
        <v>238</v>
      </c>
      <c r="AV2209" s="5" t="s">
        <v>247</v>
      </c>
      <c r="AW2209" s="5" t="s">
        <v>238</v>
      </c>
      <c r="AX2209" s="5" t="s">
        <v>249</v>
      </c>
      <c r="AY2209" s="5" t="s">
        <v>238</v>
      </c>
      <c r="BA2209" s="5" t="s">
        <v>238</v>
      </c>
      <c r="BC2209" s="5" t="s">
        <v>250</v>
      </c>
      <c r="BD2209" s="6" t="s">
        <v>243</v>
      </c>
      <c r="BE2209" s="5" t="s">
        <v>251</v>
      </c>
      <c r="BF2209" s="5" t="s">
        <v>252</v>
      </c>
      <c r="BG2209" s="5" t="s">
        <v>238</v>
      </c>
      <c r="BH2209" s="7">
        <f>0</f>
        <v>0</v>
      </c>
      <c r="BI2209" s="8">
        <f>0</f>
        <v>0</v>
      </c>
      <c r="BJ2209" s="5" t="s">
        <v>253</v>
      </c>
      <c r="BK2209" s="5" t="s">
        <v>254</v>
      </c>
      <c r="BY2209" s="5" t="s">
        <v>238</v>
      </c>
      <c r="BZ2209" s="5" t="s">
        <v>238</v>
      </c>
      <c r="CD2209" s="5" t="s">
        <v>273</v>
      </c>
      <c r="CE2209" s="5" t="s">
        <v>256</v>
      </c>
      <c r="CF2209" s="5" t="s">
        <v>238</v>
      </c>
      <c r="CI2209" s="6" t="s">
        <v>257</v>
      </c>
      <c r="CJ2209" s="5" t="s">
        <v>238</v>
      </c>
      <c r="CK2209" s="5" t="s">
        <v>258</v>
      </c>
      <c r="CL2209" s="5" t="s">
        <v>238</v>
      </c>
      <c r="CM2209" s="5" t="s">
        <v>238</v>
      </c>
      <c r="CN2209" s="5">
        <v>0</v>
      </c>
      <c r="CO2209" s="5" t="s">
        <v>259</v>
      </c>
      <c r="CP2209" s="5" t="s">
        <v>260</v>
      </c>
      <c r="CQ2209" s="5" t="s">
        <v>260</v>
      </c>
      <c r="CR2209" s="5" t="s">
        <v>261</v>
      </c>
      <c r="CU2209" s="8">
        <f>1</f>
        <v>1</v>
      </c>
      <c r="CV2209" s="8">
        <f>0</f>
        <v>0</v>
      </c>
      <c r="CX2209" s="8">
        <f>0</f>
        <v>0</v>
      </c>
      <c r="CY2209" s="8">
        <f>1</f>
        <v>1</v>
      </c>
      <c r="DA2209" s="5" t="s">
        <v>274</v>
      </c>
      <c r="DB2209" s="5" t="s">
        <v>238</v>
      </c>
      <c r="DD2209" s="5" t="s">
        <v>274</v>
      </c>
      <c r="DE2209" s="8">
        <f>1916</f>
        <v>1916</v>
      </c>
      <c r="DG2209" s="5" t="s">
        <v>238</v>
      </c>
      <c r="DH2209" s="5" t="s">
        <v>238</v>
      </c>
      <c r="DI2209" s="5" t="s">
        <v>238</v>
      </c>
      <c r="DJ2209" s="5" t="s">
        <v>238</v>
      </c>
      <c r="DN2209" s="5" t="s">
        <v>238</v>
      </c>
      <c r="DO2209" s="5" t="s">
        <v>238</v>
      </c>
      <c r="DP2209" s="5" t="s">
        <v>238</v>
      </c>
      <c r="DQ2209" s="5" t="s">
        <v>238</v>
      </c>
      <c r="DT2209" s="5" t="s">
        <v>275</v>
      </c>
      <c r="DU2209" s="5" t="s">
        <v>856</v>
      </c>
      <c r="HM2209" s="5" t="s">
        <v>264</v>
      </c>
    </row>
    <row r="2210" spans="1:221" x14ac:dyDescent="0.4">
      <c r="A2210" s="5">
        <v>3914</v>
      </c>
      <c r="B2210" s="5">
        <v>1</v>
      </c>
      <c r="C2210" s="5">
        <v>1</v>
      </c>
      <c r="D2210" s="5" t="s">
        <v>269</v>
      </c>
      <c r="E2210" s="5" t="s">
        <v>271</v>
      </c>
      <c r="F2210" s="5" t="s">
        <v>248</v>
      </c>
      <c r="G2210" s="5" t="s">
        <v>266</v>
      </c>
      <c r="H2210" s="6" t="s">
        <v>857</v>
      </c>
      <c r="I2210" s="7">
        <f>1430</f>
        <v>1430</v>
      </c>
      <c r="J2210" s="5" t="s">
        <v>262</v>
      </c>
      <c r="K2210" s="8">
        <f>1</f>
        <v>1</v>
      </c>
      <c r="L2210" s="6" t="s">
        <v>242</v>
      </c>
      <c r="M2210" s="5" t="s">
        <v>267</v>
      </c>
      <c r="N2210" s="5" t="s">
        <v>265</v>
      </c>
      <c r="O2210" s="5" t="s">
        <v>238</v>
      </c>
      <c r="P2210" s="5" t="s">
        <v>238</v>
      </c>
      <c r="Q2210" s="5" t="s">
        <v>268</v>
      </c>
      <c r="R2210" s="5" t="s">
        <v>270</v>
      </c>
      <c r="S2210" s="5" t="s">
        <v>238</v>
      </c>
      <c r="V2210" s="5" t="s">
        <v>238</v>
      </c>
      <c r="X2210" s="6" t="s">
        <v>238</v>
      </c>
      <c r="AA2210" s="6" t="s">
        <v>243</v>
      </c>
      <c r="AB2210" s="5" t="s">
        <v>238</v>
      </c>
      <c r="AC2210" s="5" t="s">
        <v>244</v>
      </c>
      <c r="AD2210" s="5" t="s">
        <v>245</v>
      </c>
      <c r="AT2210" s="5" t="s">
        <v>246</v>
      </c>
      <c r="AU2210" s="5" t="s">
        <v>238</v>
      </c>
      <c r="AV2210" s="5" t="s">
        <v>247</v>
      </c>
      <c r="AW2210" s="5" t="s">
        <v>238</v>
      </c>
      <c r="AX2210" s="5" t="s">
        <v>249</v>
      </c>
      <c r="AY2210" s="5" t="s">
        <v>238</v>
      </c>
      <c r="BA2210" s="5" t="s">
        <v>238</v>
      </c>
      <c r="BC2210" s="5" t="s">
        <v>250</v>
      </c>
      <c r="BD2210" s="6" t="s">
        <v>243</v>
      </c>
      <c r="BE2210" s="5" t="s">
        <v>251</v>
      </c>
      <c r="BF2210" s="5" t="s">
        <v>252</v>
      </c>
      <c r="BG2210" s="5" t="s">
        <v>238</v>
      </c>
      <c r="BH2210" s="7">
        <f>0</f>
        <v>0</v>
      </c>
      <c r="BI2210" s="8">
        <f>0</f>
        <v>0</v>
      </c>
      <c r="BJ2210" s="5" t="s">
        <v>253</v>
      </c>
      <c r="BK2210" s="5" t="s">
        <v>254</v>
      </c>
      <c r="BY2210" s="5" t="s">
        <v>238</v>
      </c>
      <c r="BZ2210" s="5" t="s">
        <v>238</v>
      </c>
      <c r="CD2210" s="5" t="s">
        <v>273</v>
      </c>
      <c r="CE2210" s="5" t="s">
        <v>256</v>
      </c>
      <c r="CF2210" s="5" t="s">
        <v>238</v>
      </c>
      <c r="CI2210" s="6" t="s">
        <v>257</v>
      </c>
      <c r="CJ2210" s="5" t="s">
        <v>238</v>
      </c>
      <c r="CK2210" s="5" t="s">
        <v>258</v>
      </c>
      <c r="CL2210" s="5" t="s">
        <v>238</v>
      </c>
      <c r="CM2210" s="5" t="s">
        <v>238</v>
      </c>
      <c r="CN2210" s="5">
        <v>0</v>
      </c>
      <c r="CO2210" s="5" t="s">
        <v>259</v>
      </c>
      <c r="CP2210" s="5" t="s">
        <v>260</v>
      </c>
      <c r="CQ2210" s="5" t="s">
        <v>260</v>
      </c>
      <c r="CR2210" s="5" t="s">
        <v>261</v>
      </c>
      <c r="CU2210" s="8">
        <f>1</f>
        <v>1</v>
      </c>
      <c r="CV2210" s="8">
        <f>0</f>
        <v>0</v>
      </c>
      <c r="CX2210" s="8">
        <f>0</f>
        <v>0</v>
      </c>
      <c r="CY2210" s="8">
        <f>1</f>
        <v>1</v>
      </c>
      <c r="DA2210" s="5" t="s">
        <v>274</v>
      </c>
      <c r="DB2210" s="5" t="s">
        <v>238</v>
      </c>
      <c r="DD2210" s="5" t="s">
        <v>274</v>
      </c>
      <c r="DE2210" s="8">
        <f>1430</f>
        <v>1430</v>
      </c>
      <c r="DG2210" s="5" t="s">
        <v>238</v>
      </c>
      <c r="DH2210" s="5" t="s">
        <v>238</v>
      </c>
      <c r="DI2210" s="5" t="s">
        <v>238</v>
      </c>
      <c r="DJ2210" s="5" t="s">
        <v>238</v>
      </c>
      <c r="DN2210" s="5" t="s">
        <v>238</v>
      </c>
      <c r="DO2210" s="5" t="s">
        <v>238</v>
      </c>
      <c r="DP2210" s="5" t="s">
        <v>238</v>
      </c>
      <c r="DQ2210" s="5" t="s">
        <v>238</v>
      </c>
      <c r="DT2210" s="5" t="s">
        <v>275</v>
      </c>
      <c r="DU2210" s="5" t="s">
        <v>858</v>
      </c>
      <c r="HM2210" s="5" t="s">
        <v>264</v>
      </c>
    </row>
    <row r="2211" spans="1:221" x14ac:dyDescent="0.4">
      <c r="A2211" s="5">
        <v>3915</v>
      </c>
      <c r="B2211" s="5">
        <v>1</v>
      </c>
      <c r="C2211" s="5">
        <v>1</v>
      </c>
      <c r="D2211" s="5" t="s">
        <v>269</v>
      </c>
      <c r="E2211" s="5" t="s">
        <v>271</v>
      </c>
      <c r="F2211" s="5" t="s">
        <v>248</v>
      </c>
      <c r="G2211" s="5" t="s">
        <v>266</v>
      </c>
      <c r="H2211" s="6" t="s">
        <v>861</v>
      </c>
      <c r="I2211" s="7">
        <f>407</f>
        <v>407</v>
      </c>
      <c r="J2211" s="5" t="s">
        <v>262</v>
      </c>
      <c r="K2211" s="8">
        <f>1</f>
        <v>1</v>
      </c>
      <c r="L2211" s="6" t="s">
        <v>242</v>
      </c>
      <c r="M2211" s="5" t="s">
        <v>267</v>
      </c>
      <c r="N2211" s="5" t="s">
        <v>265</v>
      </c>
      <c r="O2211" s="5" t="s">
        <v>238</v>
      </c>
      <c r="P2211" s="5" t="s">
        <v>238</v>
      </c>
      <c r="Q2211" s="5" t="s">
        <v>268</v>
      </c>
      <c r="R2211" s="5" t="s">
        <v>270</v>
      </c>
      <c r="S2211" s="5" t="s">
        <v>238</v>
      </c>
      <c r="V2211" s="5" t="s">
        <v>238</v>
      </c>
      <c r="X2211" s="6" t="s">
        <v>238</v>
      </c>
      <c r="AA2211" s="6" t="s">
        <v>243</v>
      </c>
      <c r="AB2211" s="5" t="s">
        <v>238</v>
      </c>
      <c r="AC2211" s="5" t="s">
        <v>244</v>
      </c>
      <c r="AD2211" s="5" t="s">
        <v>245</v>
      </c>
      <c r="AT2211" s="5" t="s">
        <v>246</v>
      </c>
      <c r="AU2211" s="5" t="s">
        <v>238</v>
      </c>
      <c r="AV2211" s="5" t="s">
        <v>247</v>
      </c>
      <c r="AW2211" s="5" t="s">
        <v>238</v>
      </c>
      <c r="AX2211" s="5" t="s">
        <v>249</v>
      </c>
      <c r="AY2211" s="5" t="s">
        <v>238</v>
      </c>
      <c r="BA2211" s="5" t="s">
        <v>238</v>
      </c>
      <c r="BC2211" s="5" t="s">
        <v>250</v>
      </c>
      <c r="BD2211" s="6" t="s">
        <v>243</v>
      </c>
      <c r="BE2211" s="5" t="s">
        <v>251</v>
      </c>
      <c r="BF2211" s="5" t="s">
        <v>252</v>
      </c>
      <c r="BG2211" s="5" t="s">
        <v>238</v>
      </c>
      <c r="BH2211" s="7">
        <f>0</f>
        <v>0</v>
      </c>
      <c r="BI2211" s="8">
        <f>0</f>
        <v>0</v>
      </c>
      <c r="BJ2211" s="5" t="s">
        <v>253</v>
      </c>
      <c r="BK2211" s="5" t="s">
        <v>254</v>
      </c>
      <c r="BY2211" s="5" t="s">
        <v>238</v>
      </c>
      <c r="BZ2211" s="5" t="s">
        <v>238</v>
      </c>
      <c r="CD2211" s="5" t="s">
        <v>273</v>
      </c>
      <c r="CE2211" s="5" t="s">
        <v>256</v>
      </c>
      <c r="CF2211" s="5" t="s">
        <v>238</v>
      </c>
      <c r="CI2211" s="6" t="s">
        <v>257</v>
      </c>
      <c r="CJ2211" s="5" t="s">
        <v>238</v>
      </c>
      <c r="CK2211" s="5" t="s">
        <v>258</v>
      </c>
      <c r="CL2211" s="5" t="s">
        <v>238</v>
      </c>
      <c r="CM2211" s="5" t="s">
        <v>238</v>
      </c>
      <c r="CN2211" s="5">
        <v>0</v>
      </c>
      <c r="CO2211" s="5" t="s">
        <v>259</v>
      </c>
      <c r="CP2211" s="5" t="s">
        <v>260</v>
      </c>
      <c r="CQ2211" s="5" t="s">
        <v>260</v>
      </c>
      <c r="CR2211" s="5" t="s">
        <v>261</v>
      </c>
      <c r="CU2211" s="8">
        <f>1</f>
        <v>1</v>
      </c>
      <c r="CV2211" s="8">
        <f>0</f>
        <v>0</v>
      </c>
      <c r="CX2211" s="8">
        <f>0</f>
        <v>0</v>
      </c>
      <c r="CY2211" s="8">
        <f>1</f>
        <v>1</v>
      </c>
      <c r="DA2211" s="5" t="s">
        <v>274</v>
      </c>
      <c r="DB2211" s="5" t="s">
        <v>238</v>
      </c>
      <c r="DD2211" s="5" t="s">
        <v>274</v>
      </c>
      <c r="DE2211" s="8">
        <f>407</f>
        <v>407</v>
      </c>
      <c r="DG2211" s="5" t="s">
        <v>238</v>
      </c>
      <c r="DH2211" s="5" t="s">
        <v>238</v>
      </c>
      <c r="DI2211" s="5" t="s">
        <v>238</v>
      </c>
      <c r="DJ2211" s="5" t="s">
        <v>238</v>
      </c>
      <c r="DN2211" s="5" t="s">
        <v>238</v>
      </c>
      <c r="DO2211" s="5" t="s">
        <v>238</v>
      </c>
      <c r="DP2211" s="5" t="s">
        <v>238</v>
      </c>
      <c r="DQ2211" s="5" t="s">
        <v>238</v>
      </c>
      <c r="DT2211" s="5" t="s">
        <v>275</v>
      </c>
      <c r="DU2211" s="5" t="s">
        <v>862</v>
      </c>
      <c r="HM2211" s="5" t="s">
        <v>264</v>
      </c>
    </row>
    <row r="2212" spans="1:221" x14ac:dyDescent="0.4">
      <c r="A2212" s="5">
        <v>3916</v>
      </c>
      <c r="B2212" s="5">
        <v>1</v>
      </c>
      <c r="C2212" s="5">
        <v>1</v>
      </c>
      <c r="D2212" s="5" t="s">
        <v>269</v>
      </c>
      <c r="E2212" s="5" t="s">
        <v>271</v>
      </c>
      <c r="F2212" s="5" t="s">
        <v>248</v>
      </c>
      <c r="G2212" s="5" t="s">
        <v>266</v>
      </c>
      <c r="H2212" s="6" t="s">
        <v>863</v>
      </c>
      <c r="I2212" s="7">
        <f>305</f>
        <v>305</v>
      </c>
      <c r="J2212" s="5" t="s">
        <v>262</v>
      </c>
      <c r="K2212" s="8">
        <f>1</f>
        <v>1</v>
      </c>
      <c r="L2212" s="6" t="s">
        <v>242</v>
      </c>
      <c r="M2212" s="5" t="s">
        <v>267</v>
      </c>
      <c r="N2212" s="5" t="s">
        <v>265</v>
      </c>
      <c r="O2212" s="5" t="s">
        <v>238</v>
      </c>
      <c r="P2212" s="5" t="s">
        <v>238</v>
      </c>
      <c r="Q2212" s="5" t="s">
        <v>268</v>
      </c>
      <c r="R2212" s="5" t="s">
        <v>270</v>
      </c>
      <c r="S2212" s="5" t="s">
        <v>238</v>
      </c>
      <c r="V2212" s="5" t="s">
        <v>238</v>
      </c>
      <c r="X2212" s="6" t="s">
        <v>238</v>
      </c>
      <c r="AA2212" s="6" t="s">
        <v>243</v>
      </c>
      <c r="AB2212" s="5" t="s">
        <v>238</v>
      </c>
      <c r="AC2212" s="5" t="s">
        <v>244</v>
      </c>
      <c r="AD2212" s="5" t="s">
        <v>245</v>
      </c>
      <c r="AT2212" s="5" t="s">
        <v>246</v>
      </c>
      <c r="AU2212" s="5" t="s">
        <v>238</v>
      </c>
      <c r="AV2212" s="5" t="s">
        <v>247</v>
      </c>
      <c r="AW2212" s="5" t="s">
        <v>238</v>
      </c>
      <c r="AX2212" s="5" t="s">
        <v>249</v>
      </c>
      <c r="AY2212" s="5" t="s">
        <v>238</v>
      </c>
      <c r="BA2212" s="5" t="s">
        <v>238</v>
      </c>
      <c r="BC2212" s="5" t="s">
        <v>250</v>
      </c>
      <c r="BD2212" s="6" t="s">
        <v>243</v>
      </c>
      <c r="BE2212" s="5" t="s">
        <v>251</v>
      </c>
      <c r="BF2212" s="5" t="s">
        <v>252</v>
      </c>
      <c r="BG2212" s="5" t="s">
        <v>238</v>
      </c>
      <c r="BH2212" s="7">
        <f>0</f>
        <v>0</v>
      </c>
      <c r="BI2212" s="8">
        <f>0</f>
        <v>0</v>
      </c>
      <c r="BJ2212" s="5" t="s">
        <v>253</v>
      </c>
      <c r="BK2212" s="5" t="s">
        <v>254</v>
      </c>
      <c r="BY2212" s="5" t="s">
        <v>238</v>
      </c>
      <c r="BZ2212" s="5" t="s">
        <v>238</v>
      </c>
      <c r="CD2212" s="5" t="s">
        <v>273</v>
      </c>
      <c r="CE2212" s="5" t="s">
        <v>256</v>
      </c>
      <c r="CF2212" s="5" t="s">
        <v>238</v>
      </c>
      <c r="CI2212" s="6" t="s">
        <v>257</v>
      </c>
      <c r="CJ2212" s="5" t="s">
        <v>238</v>
      </c>
      <c r="CK2212" s="5" t="s">
        <v>258</v>
      </c>
      <c r="CL2212" s="5" t="s">
        <v>238</v>
      </c>
      <c r="CM2212" s="5" t="s">
        <v>238</v>
      </c>
      <c r="CN2212" s="5">
        <v>0</v>
      </c>
      <c r="CO2212" s="5" t="s">
        <v>259</v>
      </c>
      <c r="CP2212" s="5" t="s">
        <v>260</v>
      </c>
      <c r="CQ2212" s="5" t="s">
        <v>260</v>
      </c>
      <c r="CR2212" s="5" t="s">
        <v>261</v>
      </c>
      <c r="CU2212" s="8">
        <f>1</f>
        <v>1</v>
      </c>
      <c r="CV2212" s="8">
        <f>0</f>
        <v>0</v>
      </c>
      <c r="CX2212" s="8">
        <f>0</f>
        <v>0</v>
      </c>
      <c r="CY2212" s="8">
        <f>1</f>
        <v>1</v>
      </c>
      <c r="DA2212" s="5" t="s">
        <v>274</v>
      </c>
      <c r="DB2212" s="5" t="s">
        <v>238</v>
      </c>
      <c r="DD2212" s="5" t="s">
        <v>274</v>
      </c>
      <c r="DE2212" s="8">
        <f>305</f>
        <v>305</v>
      </c>
      <c r="DG2212" s="5" t="s">
        <v>238</v>
      </c>
      <c r="DH2212" s="5" t="s">
        <v>238</v>
      </c>
      <c r="DI2212" s="5" t="s">
        <v>238</v>
      </c>
      <c r="DJ2212" s="5" t="s">
        <v>238</v>
      </c>
      <c r="DN2212" s="5" t="s">
        <v>238</v>
      </c>
      <c r="DO2212" s="5" t="s">
        <v>238</v>
      </c>
      <c r="DP2212" s="5" t="s">
        <v>238</v>
      </c>
      <c r="DQ2212" s="5" t="s">
        <v>238</v>
      </c>
      <c r="DT2212" s="5" t="s">
        <v>275</v>
      </c>
      <c r="DU2212" s="5" t="s">
        <v>864</v>
      </c>
      <c r="HM2212" s="5" t="s">
        <v>264</v>
      </c>
    </row>
    <row r="2213" spans="1:221" x14ac:dyDescent="0.4">
      <c r="A2213" s="5">
        <v>3917</v>
      </c>
      <c r="B2213" s="5">
        <v>1</v>
      </c>
      <c r="C2213" s="5">
        <v>1</v>
      </c>
      <c r="D2213" s="5" t="s">
        <v>269</v>
      </c>
      <c r="E2213" s="5" t="s">
        <v>271</v>
      </c>
      <c r="F2213" s="5" t="s">
        <v>248</v>
      </c>
      <c r="G2213" s="5" t="s">
        <v>266</v>
      </c>
      <c r="H2213" s="6" t="s">
        <v>867</v>
      </c>
      <c r="I2213" s="7">
        <f>78</f>
        <v>78</v>
      </c>
      <c r="J2213" s="5" t="s">
        <v>262</v>
      </c>
      <c r="K2213" s="8">
        <f>1</f>
        <v>1</v>
      </c>
      <c r="L2213" s="6" t="s">
        <v>242</v>
      </c>
      <c r="M2213" s="5" t="s">
        <v>267</v>
      </c>
      <c r="N2213" s="5" t="s">
        <v>265</v>
      </c>
      <c r="O2213" s="5" t="s">
        <v>238</v>
      </c>
      <c r="P2213" s="5" t="s">
        <v>238</v>
      </c>
      <c r="Q2213" s="5" t="s">
        <v>268</v>
      </c>
      <c r="R2213" s="5" t="s">
        <v>270</v>
      </c>
      <c r="S2213" s="5" t="s">
        <v>238</v>
      </c>
      <c r="V2213" s="5" t="s">
        <v>238</v>
      </c>
      <c r="X2213" s="6" t="s">
        <v>238</v>
      </c>
      <c r="AA2213" s="6" t="s">
        <v>243</v>
      </c>
      <c r="AB2213" s="5" t="s">
        <v>238</v>
      </c>
      <c r="AC2213" s="5" t="s">
        <v>244</v>
      </c>
      <c r="AD2213" s="5" t="s">
        <v>245</v>
      </c>
      <c r="AT2213" s="5" t="s">
        <v>246</v>
      </c>
      <c r="AU2213" s="5" t="s">
        <v>238</v>
      </c>
      <c r="AV2213" s="5" t="s">
        <v>247</v>
      </c>
      <c r="AW2213" s="5" t="s">
        <v>238</v>
      </c>
      <c r="AX2213" s="5" t="s">
        <v>249</v>
      </c>
      <c r="AY2213" s="5" t="s">
        <v>238</v>
      </c>
      <c r="BA2213" s="5" t="s">
        <v>238</v>
      </c>
      <c r="BC2213" s="5" t="s">
        <v>250</v>
      </c>
      <c r="BD2213" s="6" t="s">
        <v>243</v>
      </c>
      <c r="BE2213" s="5" t="s">
        <v>251</v>
      </c>
      <c r="BF2213" s="5" t="s">
        <v>252</v>
      </c>
      <c r="BG2213" s="5" t="s">
        <v>238</v>
      </c>
      <c r="BH2213" s="7">
        <f>0</f>
        <v>0</v>
      </c>
      <c r="BI2213" s="8">
        <f>0</f>
        <v>0</v>
      </c>
      <c r="BJ2213" s="5" t="s">
        <v>253</v>
      </c>
      <c r="BK2213" s="5" t="s">
        <v>254</v>
      </c>
      <c r="BY2213" s="5" t="s">
        <v>238</v>
      </c>
      <c r="BZ2213" s="5" t="s">
        <v>238</v>
      </c>
      <c r="CD2213" s="5" t="s">
        <v>273</v>
      </c>
      <c r="CE2213" s="5" t="s">
        <v>256</v>
      </c>
      <c r="CF2213" s="5" t="s">
        <v>238</v>
      </c>
      <c r="CI2213" s="6" t="s">
        <v>257</v>
      </c>
      <c r="CJ2213" s="5" t="s">
        <v>238</v>
      </c>
      <c r="CK2213" s="5" t="s">
        <v>258</v>
      </c>
      <c r="CL2213" s="5" t="s">
        <v>238</v>
      </c>
      <c r="CM2213" s="5" t="s">
        <v>238</v>
      </c>
      <c r="CN2213" s="5">
        <v>0</v>
      </c>
      <c r="CO2213" s="5" t="s">
        <v>259</v>
      </c>
      <c r="CP2213" s="5" t="s">
        <v>260</v>
      </c>
      <c r="CQ2213" s="5" t="s">
        <v>260</v>
      </c>
      <c r="CR2213" s="5" t="s">
        <v>261</v>
      </c>
      <c r="CU2213" s="8">
        <f>1</f>
        <v>1</v>
      </c>
      <c r="CV2213" s="8">
        <f>0</f>
        <v>0</v>
      </c>
      <c r="CX2213" s="8">
        <f>0</f>
        <v>0</v>
      </c>
      <c r="CY2213" s="8">
        <f>1</f>
        <v>1</v>
      </c>
      <c r="DA2213" s="5" t="s">
        <v>274</v>
      </c>
      <c r="DB2213" s="5" t="s">
        <v>238</v>
      </c>
      <c r="DD2213" s="5" t="s">
        <v>274</v>
      </c>
      <c r="DE2213" s="8">
        <f>78</f>
        <v>78</v>
      </c>
      <c r="DG2213" s="5" t="s">
        <v>238</v>
      </c>
      <c r="DH2213" s="5" t="s">
        <v>238</v>
      </c>
      <c r="DI2213" s="5" t="s">
        <v>238</v>
      </c>
      <c r="DJ2213" s="5" t="s">
        <v>238</v>
      </c>
      <c r="DN2213" s="5" t="s">
        <v>238</v>
      </c>
      <c r="DO2213" s="5" t="s">
        <v>238</v>
      </c>
      <c r="DP2213" s="5" t="s">
        <v>238</v>
      </c>
      <c r="DQ2213" s="5" t="s">
        <v>238</v>
      </c>
      <c r="DT2213" s="5" t="s">
        <v>275</v>
      </c>
      <c r="DU2213" s="5" t="s">
        <v>868</v>
      </c>
      <c r="HM2213" s="5" t="s">
        <v>264</v>
      </c>
    </row>
    <row r="2214" spans="1:221" x14ac:dyDescent="0.4">
      <c r="A2214" s="5">
        <v>3918</v>
      </c>
      <c r="B2214" s="5">
        <v>1</v>
      </c>
      <c r="C2214" s="5">
        <v>1</v>
      </c>
      <c r="D2214" s="5" t="s">
        <v>269</v>
      </c>
      <c r="E2214" s="5" t="s">
        <v>271</v>
      </c>
      <c r="F2214" s="5" t="s">
        <v>248</v>
      </c>
      <c r="G2214" s="5" t="s">
        <v>266</v>
      </c>
      <c r="H2214" s="6" t="s">
        <v>871</v>
      </c>
      <c r="I2214" s="7">
        <f>1309</f>
        <v>1309</v>
      </c>
      <c r="J2214" s="5" t="s">
        <v>262</v>
      </c>
      <c r="K2214" s="8">
        <f>1</f>
        <v>1</v>
      </c>
      <c r="L2214" s="6" t="s">
        <v>242</v>
      </c>
      <c r="M2214" s="5" t="s">
        <v>267</v>
      </c>
      <c r="N2214" s="5" t="s">
        <v>265</v>
      </c>
      <c r="O2214" s="5" t="s">
        <v>238</v>
      </c>
      <c r="P2214" s="5" t="s">
        <v>238</v>
      </c>
      <c r="Q2214" s="5" t="s">
        <v>268</v>
      </c>
      <c r="R2214" s="5" t="s">
        <v>270</v>
      </c>
      <c r="S2214" s="5" t="s">
        <v>238</v>
      </c>
      <c r="V2214" s="5" t="s">
        <v>238</v>
      </c>
      <c r="X2214" s="6" t="s">
        <v>238</v>
      </c>
      <c r="AA2214" s="6" t="s">
        <v>243</v>
      </c>
      <c r="AB2214" s="5" t="s">
        <v>238</v>
      </c>
      <c r="AC2214" s="5" t="s">
        <v>244</v>
      </c>
      <c r="AD2214" s="5" t="s">
        <v>245</v>
      </c>
      <c r="AT2214" s="5" t="s">
        <v>246</v>
      </c>
      <c r="AU2214" s="5" t="s">
        <v>238</v>
      </c>
      <c r="AV2214" s="5" t="s">
        <v>247</v>
      </c>
      <c r="AW2214" s="5" t="s">
        <v>238</v>
      </c>
      <c r="AX2214" s="5" t="s">
        <v>249</v>
      </c>
      <c r="AY2214" s="5" t="s">
        <v>238</v>
      </c>
      <c r="BA2214" s="5" t="s">
        <v>238</v>
      </c>
      <c r="BC2214" s="5" t="s">
        <v>250</v>
      </c>
      <c r="BD2214" s="6" t="s">
        <v>243</v>
      </c>
      <c r="BE2214" s="5" t="s">
        <v>251</v>
      </c>
      <c r="BF2214" s="5" t="s">
        <v>252</v>
      </c>
      <c r="BG2214" s="5" t="s">
        <v>238</v>
      </c>
      <c r="BH2214" s="7">
        <f>0</f>
        <v>0</v>
      </c>
      <c r="BI2214" s="8">
        <f>0</f>
        <v>0</v>
      </c>
      <c r="BJ2214" s="5" t="s">
        <v>253</v>
      </c>
      <c r="BK2214" s="5" t="s">
        <v>254</v>
      </c>
      <c r="BY2214" s="5" t="s">
        <v>238</v>
      </c>
      <c r="BZ2214" s="5" t="s">
        <v>238</v>
      </c>
      <c r="CD2214" s="5" t="s">
        <v>273</v>
      </c>
      <c r="CE2214" s="5" t="s">
        <v>256</v>
      </c>
      <c r="CF2214" s="5" t="s">
        <v>238</v>
      </c>
      <c r="CI2214" s="6" t="s">
        <v>257</v>
      </c>
      <c r="CJ2214" s="5" t="s">
        <v>238</v>
      </c>
      <c r="CK2214" s="5" t="s">
        <v>258</v>
      </c>
      <c r="CL2214" s="5" t="s">
        <v>238</v>
      </c>
      <c r="CM2214" s="5" t="s">
        <v>238</v>
      </c>
      <c r="CN2214" s="5">
        <v>0</v>
      </c>
      <c r="CO2214" s="5" t="s">
        <v>259</v>
      </c>
      <c r="CP2214" s="5" t="s">
        <v>260</v>
      </c>
      <c r="CQ2214" s="5" t="s">
        <v>260</v>
      </c>
      <c r="CR2214" s="5" t="s">
        <v>261</v>
      </c>
      <c r="CU2214" s="8">
        <f>1</f>
        <v>1</v>
      </c>
      <c r="CV2214" s="8">
        <f>0</f>
        <v>0</v>
      </c>
      <c r="CX2214" s="8">
        <f>0</f>
        <v>0</v>
      </c>
      <c r="CY2214" s="8">
        <f>1</f>
        <v>1</v>
      </c>
      <c r="DA2214" s="5" t="s">
        <v>274</v>
      </c>
      <c r="DB2214" s="5" t="s">
        <v>238</v>
      </c>
      <c r="DD2214" s="5" t="s">
        <v>274</v>
      </c>
      <c r="DE2214" s="8">
        <f>1309</f>
        <v>1309</v>
      </c>
      <c r="DG2214" s="5" t="s">
        <v>238</v>
      </c>
      <c r="DH2214" s="5" t="s">
        <v>238</v>
      </c>
      <c r="DI2214" s="5" t="s">
        <v>238</v>
      </c>
      <c r="DJ2214" s="5" t="s">
        <v>238</v>
      </c>
      <c r="DN2214" s="5" t="s">
        <v>238</v>
      </c>
      <c r="DO2214" s="5" t="s">
        <v>238</v>
      </c>
      <c r="DP2214" s="5" t="s">
        <v>238</v>
      </c>
      <c r="DQ2214" s="5" t="s">
        <v>238</v>
      </c>
      <c r="DT2214" s="5" t="s">
        <v>275</v>
      </c>
      <c r="DU2214" s="5" t="s">
        <v>872</v>
      </c>
      <c r="HM2214" s="5" t="s">
        <v>264</v>
      </c>
    </row>
    <row r="2215" spans="1:221" x14ac:dyDescent="0.4">
      <c r="A2215" s="5">
        <v>3919</v>
      </c>
      <c r="B2215" s="5">
        <v>1</v>
      </c>
      <c r="C2215" s="5">
        <v>1</v>
      </c>
      <c r="D2215" s="5" t="s">
        <v>269</v>
      </c>
      <c r="E2215" s="5" t="s">
        <v>271</v>
      </c>
      <c r="F2215" s="5" t="s">
        <v>248</v>
      </c>
      <c r="G2215" s="5" t="s">
        <v>266</v>
      </c>
      <c r="H2215" s="6" t="s">
        <v>873</v>
      </c>
      <c r="I2215" s="7">
        <f>825</f>
        <v>825</v>
      </c>
      <c r="J2215" s="5" t="s">
        <v>262</v>
      </c>
      <c r="K2215" s="8">
        <f>1</f>
        <v>1</v>
      </c>
      <c r="L2215" s="6" t="s">
        <v>242</v>
      </c>
      <c r="M2215" s="5" t="s">
        <v>267</v>
      </c>
      <c r="N2215" s="5" t="s">
        <v>265</v>
      </c>
      <c r="O2215" s="5" t="s">
        <v>238</v>
      </c>
      <c r="P2215" s="5" t="s">
        <v>238</v>
      </c>
      <c r="Q2215" s="5" t="s">
        <v>268</v>
      </c>
      <c r="R2215" s="5" t="s">
        <v>270</v>
      </c>
      <c r="S2215" s="5" t="s">
        <v>238</v>
      </c>
      <c r="V2215" s="5" t="s">
        <v>238</v>
      </c>
      <c r="X2215" s="6" t="s">
        <v>238</v>
      </c>
      <c r="AA2215" s="6" t="s">
        <v>243</v>
      </c>
      <c r="AB2215" s="5" t="s">
        <v>238</v>
      </c>
      <c r="AC2215" s="5" t="s">
        <v>244</v>
      </c>
      <c r="AD2215" s="5" t="s">
        <v>245</v>
      </c>
      <c r="AT2215" s="5" t="s">
        <v>246</v>
      </c>
      <c r="AU2215" s="5" t="s">
        <v>238</v>
      </c>
      <c r="AV2215" s="5" t="s">
        <v>247</v>
      </c>
      <c r="AW2215" s="5" t="s">
        <v>238</v>
      </c>
      <c r="AX2215" s="5" t="s">
        <v>249</v>
      </c>
      <c r="AY2215" s="5" t="s">
        <v>238</v>
      </c>
      <c r="BA2215" s="5" t="s">
        <v>238</v>
      </c>
      <c r="BC2215" s="5" t="s">
        <v>250</v>
      </c>
      <c r="BD2215" s="6" t="s">
        <v>243</v>
      </c>
      <c r="BE2215" s="5" t="s">
        <v>251</v>
      </c>
      <c r="BF2215" s="5" t="s">
        <v>252</v>
      </c>
      <c r="BG2215" s="5" t="s">
        <v>238</v>
      </c>
      <c r="BH2215" s="7">
        <f>0</f>
        <v>0</v>
      </c>
      <c r="BI2215" s="8">
        <f>0</f>
        <v>0</v>
      </c>
      <c r="BJ2215" s="5" t="s">
        <v>253</v>
      </c>
      <c r="BK2215" s="5" t="s">
        <v>254</v>
      </c>
      <c r="BY2215" s="5" t="s">
        <v>238</v>
      </c>
      <c r="BZ2215" s="5" t="s">
        <v>238</v>
      </c>
      <c r="CD2215" s="5" t="s">
        <v>273</v>
      </c>
      <c r="CE2215" s="5" t="s">
        <v>256</v>
      </c>
      <c r="CF2215" s="5" t="s">
        <v>238</v>
      </c>
      <c r="CI2215" s="6" t="s">
        <v>257</v>
      </c>
      <c r="CJ2215" s="5" t="s">
        <v>238</v>
      </c>
      <c r="CK2215" s="5" t="s">
        <v>258</v>
      </c>
      <c r="CL2215" s="5" t="s">
        <v>238</v>
      </c>
      <c r="CM2215" s="5" t="s">
        <v>238</v>
      </c>
      <c r="CN2215" s="5">
        <v>0</v>
      </c>
      <c r="CO2215" s="5" t="s">
        <v>259</v>
      </c>
      <c r="CP2215" s="5" t="s">
        <v>260</v>
      </c>
      <c r="CQ2215" s="5" t="s">
        <v>260</v>
      </c>
      <c r="CR2215" s="5" t="s">
        <v>261</v>
      </c>
      <c r="CU2215" s="8">
        <f>1</f>
        <v>1</v>
      </c>
      <c r="CV2215" s="8">
        <f>0</f>
        <v>0</v>
      </c>
      <c r="CX2215" s="8">
        <f>0</f>
        <v>0</v>
      </c>
      <c r="CY2215" s="8">
        <f>1</f>
        <v>1</v>
      </c>
      <c r="DA2215" s="5" t="s">
        <v>274</v>
      </c>
      <c r="DB2215" s="5" t="s">
        <v>238</v>
      </c>
      <c r="DD2215" s="5" t="s">
        <v>274</v>
      </c>
      <c r="DE2215" s="8">
        <f>825</f>
        <v>825</v>
      </c>
      <c r="DG2215" s="5" t="s">
        <v>238</v>
      </c>
      <c r="DH2215" s="5" t="s">
        <v>238</v>
      </c>
      <c r="DI2215" s="5" t="s">
        <v>238</v>
      </c>
      <c r="DJ2215" s="5" t="s">
        <v>238</v>
      </c>
      <c r="DN2215" s="5" t="s">
        <v>238</v>
      </c>
      <c r="DO2215" s="5" t="s">
        <v>238</v>
      </c>
      <c r="DP2215" s="5" t="s">
        <v>238</v>
      </c>
      <c r="DQ2215" s="5" t="s">
        <v>238</v>
      </c>
      <c r="DT2215" s="5" t="s">
        <v>275</v>
      </c>
      <c r="DU2215" s="5" t="s">
        <v>874</v>
      </c>
      <c r="HM2215" s="5" t="s">
        <v>264</v>
      </c>
    </row>
    <row r="2216" spans="1:221" x14ac:dyDescent="0.4">
      <c r="A2216" s="5">
        <v>3920</v>
      </c>
      <c r="B2216" s="5">
        <v>1</v>
      </c>
      <c r="C2216" s="5">
        <v>1</v>
      </c>
      <c r="D2216" s="5" t="s">
        <v>269</v>
      </c>
      <c r="E2216" s="5" t="s">
        <v>271</v>
      </c>
      <c r="F2216" s="5" t="s">
        <v>248</v>
      </c>
      <c r="G2216" s="5" t="s">
        <v>266</v>
      </c>
      <c r="H2216" s="6" t="s">
        <v>875</v>
      </c>
      <c r="I2216" s="7">
        <f>517</f>
        <v>517</v>
      </c>
      <c r="J2216" s="5" t="s">
        <v>262</v>
      </c>
      <c r="K2216" s="8">
        <f>1</f>
        <v>1</v>
      </c>
      <c r="L2216" s="6" t="s">
        <v>242</v>
      </c>
      <c r="M2216" s="5" t="s">
        <v>267</v>
      </c>
      <c r="N2216" s="5" t="s">
        <v>265</v>
      </c>
      <c r="O2216" s="5" t="s">
        <v>238</v>
      </c>
      <c r="P2216" s="5" t="s">
        <v>238</v>
      </c>
      <c r="Q2216" s="5" t="s">
        <v>268</v>
      </c>
      <c r="R2216" s="5" t="s">
        <v>270</v>
      </c>
      <c r="S2216" s="5" t="s">
        <v>238</v>
      </c>
      <c r="V2216" s="5" t="s">
        <v>238</v>
      </c>
      <c r="X2216" s="6" t="s">
        <v>238</v>
      </c>
      <c r="AA2216" s="6" t="s">
        <v>243</v>
      </c>
      <c r="AB2216" s="5" t="s">
        <v>238</v>
      </c>
      <c r="AC2216" s="5" t="s">
        <v>244</v>
      </c>
      <c r="AD2216" s="5" t="s">
        <v>245</v>
      </c>
      <c r="AT2216" s="5" t="s">
        <v>246</v>
      </c>
      <c r="AU2216" s="5" t="s">
        <v>238</v>
      </c>
      <c r="AV2216" s="5" t="s">
        <v>247</v>
      </c>
      <c r="AW2216" s="5" t="s">
        <v>238</v>
      </c>
      <c r="AX2216" s="5" t="s">
        <v>249</v>
      </c>
      <c r="AY2216" s="5" t="s">
        <v>238</v>
      </c>
      <c r="BA2216" s="5" t="s">
        <v>238</v>
      </c>
      <c r="BC2216" s="5" t="s">
        <v>250</v>
      </c>
      <c r="BD2216" s="6" t="s">
        <v>243</v>
      </c>
      <c r="BE2216" s="5" t="s">
        <v>251</v>
      </c>
      <c r="BF2216" s="5" t="s">
        <v>252</v>
      </c>
      <c r="BG2216" s="5" t="s">
        <v>238</v>
      </c>
      <c r="BH2216" s="7">
        <f>0</f>
        <v>0</v>
      </c>
      <c r="BI2216" s="8">
        <f>0</f>
        <v>0</v>
      </c>
      <c r="BJ2216" s="5" t="s">
        <v>253</v>
      </c>
      <c r="BK2216" s="5" t="s">
        <v>254</v>
      </c>
      <c r="BY2216" s="5" t="s">
        <v>238</v>
      </c>
      <c r="BZ2216" s="5" t="s">
        <v>238</v>
      </c>
      <c r="CD2216" s="5" t="s">
        <v>273</v>
      </c>
      <c r="CE2216" s="5" t="s">
        <v>256</v>
      </c>
      <c r="CF2216" s="5" t="s">
        <v>238</v>
      </c>
      <c r="CI2216" s="6" t="s">
        <v>257</v>
      </c>
      <c r="CJ2216" s="5" t="s">
        <v>238</v>
      </c>
      <c r="CK2216" s="5" t="s">
        <v>258</v>
      </c>
      <c r="CL2216" s="5" t="s">
        <v>238</v>
      </c>
      <c r="CM2216" s="5" t="s">
        <v>238</v>
      </c>
      <c r="CN2216" s="5">
        <v>0</v>
      </c>
      <c r="CO2216" s="5" t="s">
        <v>259</v>
      </c>
      <c r="CP2216" s="5" t="s">
        <v>260</v>
      </c>
      <c r="CQ2216" s="5" t="s">
        <v>260</v>
      </c>
      <c r="CR2216" s="5" t="s">
        <v>261</v>
      </c>
      <c r="CU2216" s="8">
        <f>1</f>
        <v>1</v>
      </c>
      <c r="CV2216" s="8">
        <f>0</f>
        <v>0</v>
      </c>
      <c r="CX2216" s="8">
        <f>0</f>
        <v>0</v>
      </c>
      <c r="CY2216" s="8">
        <f>1</f>
        <v>1</v>
      </c>
      <c r="DA2216" s="5" t="s">
        <v>274</v>
      </c>
      <c r="DB2216" s="5" t="s">
        <v>238</v>
      </c>
      <c r="DD2216" s="5" t="s">
        <v>274</v>
      </c>
      <c r="DE2216" s="8">
        <f>517</f>
        <v>517</v>
      </c>
      <c r="DG2216" s="5" t="s">
        <v>238</v>
      </c>
      <c r="DH2216" s="5" t="s">
        <v>238</v>
      </c>
      <c r="DI2216" s="5" t="s">
        <v>238</v>
      </c>
      <c r="DJ2216" s="5" t="s">
        <v>238</v>
      </c>
      <c r="DN2216" s="5" t="s">
        <v>238</v>
      </c>
      <c r="DO2216" s="5" t="s">
        <v>238</v>
      </c>
      <c r="DP2216" s="5" t="s">
        <v>238</v>
      </c>
      <c r="DQ2216" s="5" t="s">
        <v>238</v>
      </c>
      <c r="DT2216" s="5" t="s">
        <v>275</v>
      </c>
      <c r="DU2216" s="5" t="s">
        <v>876</v>
      </c>
      <c r="HM2216" s="5" t="s">
        <v>264</v>
      </c>
    </row>
    <row r="2217" spans="1:221" x14ac:dyDescent="0.4">
      <c r="A2217" s="5">
        <v>3921</v>
      </c>
      <c r="B2217" s="5">
        <v>1</v>
      </c>
      <c r="C2217" s="5">
        <v>1</v>
      </c>
      <c r="D2217" s="5" t="s">
        <v>269</v>
      </c>
      <c r="E2217" s="5" t="s">
        <v>271</v>
      </c>
      <c r="F2217" s="5" t="s">
        <v>248</v>
      </c>
      <c r="G2217" s="5" t="s">
        <v>266</v>
      </c>
      <c r="H2217" s="6" t="s">
        <v>883</v>
      </c>
      <c r="I2217" s="7">
        <f>27</f>
        <v>27</v>
      </c>
      <c r="J2217" s="5" t="s">
        <v>262</v>
      </c>
      <c r="K2217" s="8">
        <f>1</f>
        <v>1</v>
      </c>
      <c r="L2217" s="6" t="s">
        <v>242</v>
      </c>
      <c r="M2217" s="5" t="s">
        <v>267</v>
      </c>
      <c r="N2217" s="5" t="s">
        <v>265</v>
      </c>
      <c r="O2217" s="5" t="s">
        <v>238</v>
      </c>
      <c r="P2217" s="5" t="s">
        <v>238</v>
      </c>
      <c r="Q2217" s="5" t="s">
        <v>268</v>
      </c>
      <c r="R2217" s="5" t="s">
        <v>270</v>
      </c>
      <c r="S2217" s="5" t="s">
        <v>238</v>
      </c>
      <c r="V2217" s="5" t="s">
        <v>238</v>
      </c>
      <c r="X2217" s="6" t="s">
        <v>238</v>
      </c>
      <c r="AA2217" s="6" t="s">
        <v>243</v>
      </c>
      <c r="AB2217" s="5" t="s">
        <v>238</v>
      </c>
      <c r="AC2217" s="5" t="s">
        <v>244</v>
      </c>
      <c r="AD2217" s="5" t="s">
        <v>245</v>
      </c>
      <c r="AT2217" s="5" t="s">
        <v>246</v>
      </c>
      <c r="AU2217" s="5" t="s">
        <v>238</v>
      </c>
      <c r="AV2217" s="5" t="s">
        <v>247</v>
      </c>
      <c r="AW2217" s="5" t="s">
        <v>238</v>
      </c>
      <c r="AX2217" s="5" t="s">
        <v>249</v>
      </c>
      <c r="AY2217" s="5" t="s">
        <v>238</v>
      </c>
      <c r="BA2217" s="5" t="s">
        <v>238</v>
      </c>
      <c r="BC2217" s="5" t="s">
        <v>250</v>
      </c>
      <c r="BD2217" s="6" t="s">
        <v>243</v>
      </c>
      <c r="BE2217" s="5" t="s">
        <v>251</v>
      </c>
      <c r="BF2217" s="5" t="s">
        <v>252</v>
      </c>
      <c r="BG2217" s="5" t="s">
        <v>238</v>
      </c>
      <c r="BH2217" s="7">
        <f>0</f>
        <v>0</v>
      </c>
      <c r="BI2217" s="8">
        <f>0</f>
        <v>0</v>
      </c>
      <c r="BJ2217" s="5" t="s">
        <v>253</v>
      </c>
      <c r="BK2217" s="5" t="s">
        <v>254</v>
      </c>
      <c r="BY2217" s="5" t="s">
        <v>238</v>
      </c>
      <c r="BZ2217" s="5" t="s">
        <v>238</v>
      </c>
      <c r="CD2217" s="5" t="s">
        <v>273</v>
      </c>
      <c r="CE2217" s="5" t="s">
        <v>256</v>
      </c>
      <c r="CF2217" s="5" t="s">
        <v>238</v>
      </c>
      <c r="CI2217" s="6" t="s">
        <v>257</v>
      </c>
      <c r="CJ2217" s="5" t="s">
        <v>238</v>
      </c>
      <c r="CK2217" s="5" t="s">
        <v>258</v>
      </c>
      <c r="CL2217" s="5" t="s">
        <v>238</v>
      </c>
      <c r="CM2217" s="5" t="s">
        <v>238</v>
      </c>
      <c r="CN2217" s="5">
        <v>0</v>
      </c>
      <c r="CO2217" s="5" t="s">
        <v>259</v>
      </c>
      <c r="CP2217" s="5" t="s">
        <v>260</v>
      </c>
      <c r="CQ2217" s="5" t="s">
        <v>260</v>
      </c>
      <c r="CR2217" s="5" t="s">
        <v>261</v>
      </c>
      <c r="CU2217" s="8">
        <f>1</f>
        <v>1</v>
      </c>
      <c r="CV2217" s="8">
        <f>0</f>
        <v>0</v>
      </c>
      <c r="CX2217" s="8">
        <f>0</f>
        <v>0</v>
      </c>
      <c r="CY2217" s="8">
        <f>1</f>
        <v>1</v>
      </c>
      <c r="DA2217" s="5" t="s">
        <v>274</v>
      </c>
      <c r="DB2217" s="5" t="s">
        <v>238</v>
      </c>
      <c r="DD2217" s="5" t="s">
        <v>274</v>
      </c>
      <c r="DE2217" s="8">
        <f>27</f>
        <v>27</v>
      </c>
      <c r="DG2217" s="5" t="s">
        <v>238</v>
      </c>
      <c r="DH2217" s="5" t="s">
        <v>238</v>
      </c>
      <c r="DI2217" s="5" t="s">
        <v>238</v>
      </c>
      <c r="DJ2217" s="5" t="s">
        <v>238</v>
      </c>
      <c r="DN2217" s="5" t="s">
        <v>238</v>
      </c>
      <c r="DO2217" s="5" t="s">
        <v>238</v>
      </c>
      <c r="DP2217" s="5" t="s">
        <v>238</v>
      </c>
      <c r="DQ2217" s="5" t="s">
        <v>238</v>
      </c>
      <c r="DT2217" s="5" t="s">
        <v>275</v>
      </c>
      <c r="DU2217" s="5" t="s">
        <v>884</v>
      </c>
      <c r="HM2217" s="5" t="s">
        <v>264</v>
      </c>
    </row>
    <row r="2218" spans="1:221" x14ac:dyDescent="0.4">
      <c r="A2218" s="5">
        <v>3922</v>
      </c>
      <c r="B2218" s="5">
        <v>1</v>
      </c>
      <c r="C2218" s="5">
        <v>1</v>
      </c>
      <c r="D2218" s="5" t="s">
        <v>269</v>
      </c>
      <c r="E2218" s="5" t="s">
        <v>271</v>
      </c>
      <c r="F2218" s="5" t="s">
        <v>248</v>
      </c>
      <c r="G2218" s="5" t="s">
        <v>266</v>
      </c>
      <c r="H2218" s="6" t="s">
        <v>885</v>
      </c>
      <c r="I2218" s="7">
        <f>1576</f>
        <v>1576</v>
      </c>
      <c r="J2218" s="5" t="s">
        <v>262</v>
      </c>
      <c r="K2218" s="8">
        <f>1</f>
        <v>1</v>
      </c>
      <c r="L2218" s="6" t="s">
        <v>242</v>
      </c>
      <c r="M2218" s="5" t="s">
        <v>267</v>
      </c>
      <c r="N2218" s="5" t="s">
        <v>265</v>
      </c>
      <c r="O2218" s="5" t="s">
        <v>238</v>
      </c>
      <c r="P2218" s="5" t="s">
        <v>238</v>
      </c>
      <c r="Q2218" s="5" t="s">
        <v>268</v>
      </c>
      <c r="R2218" s="5" t="s">
        <v>270</v>
      </c>
      <c r="S2218" s="5" t="s">
        <v>238</v>
      </c>
      <c r="V2218" s="5" t="s">
        <v>238</v>
      </c>
      <c r="X2218" s="6" t="s">
        <v>238</v>
      </c>
      <c r="AA2218" s="6" t="s">
        <v>243</v>
      </c>
      <c r="AB2218" s="5" t="s">
        <v>238</v>
      </c>
      <c r="AC2218" s="5" t="s">
        <v>244</v>
      </c>
      <c r="AD2218" s="5" t="s">
        <v>245</v>
      </c>
      <c r="AT2218" s="5" t="s">
        <v>246</v>
      </c>
      <c r="AU2218" s="5" t="s">
        <v>238</v>
      </c>
      <c r="AV2218" s="5" t="s">
        <v>247</v>
      </c>
      <c r="AW2218" s="5" t="s">
        <v>238</v>
      </c>
      <c r="AX2218" s="5" t="s">
        <v>249</v>
      </c>
      <c r="AY2218" s="5" t="s">
        <v>238</v>
      </c>
      <c r="BA2218" s="5" t="s">
        <v>238</v>
      </c>
      <c r="BC2218" s="5" t="s">
        <v>250</v>
      </c>
      <c r="BD2218" s="6" t="s">
        <v>243</v>
      </c>
      <c r="BE2218" s="5" t="s">
        <v>251</v>
      </c>
      <c r="BF2218" s="5" t="s">
        <v>252</v>
      </c>
      <c r="BG2218" s="5" t="s">
        <v>238</v>
      </c>
      <c r="BH2218" s="7">
        <f>0</f>
        <v>0</v>
      </c>
      <c r="BI2218" s="8">
        <f>0</f>
        <v>0</v>
      </c>
      <c r="BJ2218" s="5" t="s">
        <v>253</v>
      </c>
      <c r="BK2218" s="5" t="s">
        <v>254</v>
      </c>
      <c r="BY2218" s="5" t="s">
        <v>238</v>
      </c>
      <c r="BZ2218" s="5" t="s">
        <v>238</v>
      </c>
      <c r="CD2218" s="5" t="s">
        <v>273</v>
      </c>
      <c r="CE2218" s="5" t="s">
        <v>256</v>
      </c>
      <c r="CF2218" s="5" t="s">
        <v>238</v>
      </c>
      <c r="CI2218" s="6" t="s">
        <v>257</v>
      </c>
      <c r="CJ2218" s="5" t="s">
        <v>238</v>
      </c>
      <c r="CK2218" s="5" t="s">
        <v>258</v>
      </c>
      <c r="CL2218" s="5" t="s">
        <v>238</v>
      </c>
      <c r="CM2218" s="5" t="s">
        <v>238</v>
      </c>
      <c r="CN2218" s="5">
        <v>0</v>
      </c>
      <c r="CO2218" s="5" t="s">
        <v>259</v>
      </c>
      <c r="CP2218" s="5" t="s">
        <v>260</v>
      </c>
      <c r="CQ2218" s="5" t="s">
        <v>260</v>
      </c>
      <c r="CR2218" s="5" t="s">
        <v>261</v>
      </c>
      <c r="CU2218" s="8">
        <f>1</f>
        <v>1</v>
      </c>
      <c r="CV2218" s="8">
        <f>0</f>
        <v>0</v>
      </c>
      <c r="CX2218" s="8">
        <f>0</f>
        <v>0</v>
      </c>
      <c r="CY2218" s="8">
        <f>1</f>
        <v>1</v>
      </c>
      <c r="DA2218" s="5" t="s">
        <v>274</v>
      </c>
      <c r="DB2218" s="5" t="s">
        <v>238</v>
      </c>
      <c r="DD2218" s="5" t="s">
        <v>274</v>
      </c>
      <c r="DE2218" s="8">
        <f>1576</f>
        <v>1576</v>
      </c>
      <c r="DG2218" s="5" t="s">
        <v>238</v>
      </c>
      <c r="DH2218" s="5" t="s">
        <v>238</v>
      </c>
      <c r="DI2218" s="5" t="s">
        <v>238</v>
      </c>
      <c r="DJ2218" s="5" t="s">
        <v>238</v>
      </c>
      <c r="DN2218" s="5" t="s">
        <v>238</v>
      </c>
      <c r="DO2218" s="5" t="s">
        <v>238</v>
      </c>
      <c r="DP2218" s="5" t="s">
        <v>238</v>
      </c>
      <c r="DQ2218" s="5" t="s">
        <v>238</v>
      </c>
      <c r="DT2218" s="5" t="s">
        <v>275</v>
      </c>
      <c r="DU2218" s="5" t="s">
        <v>886</v>
      </c>
      <c r="HM2218" s="5" t="s">
        <v>264</v>
      </c>
    </row>
    <row r="2219" spans="1:221" x14ac:dyDescent="0.4">
      <c r="A2219" s="5">
        <v>3923</v>
      </c>
      <c r="B2219" s="5">
        <v>1</v>
      </c>
      <c r="C2219" s="5">
        <v>1</v>
      </c>
      <c r="D2219" s="5" t="s">
        <v>269</v>
      </c>
      <c r="E2219" s="5" t="s">
        <v>271</v>
      </c>
      <c r="F2219" s="5" t="s">
        <v>248</v>
      </c>
      <c r="G2219" s="5" t="s">
        <v>266</v>
      </c>
      <c r="H2219" s="6" t="s">
        <v>891</v>
      </c>
      <c r="I2219" s="7">
        <f>266</f>
        <v>266</v>
      </c>
      <c r="J2219" s="5" t="s">
        <v>262</v>
      </c>
      <c r="K2219" s="8">
        <f>1</f>
        <v>1</v>
      </c>
      <c r="L2219" s="6" t="s">
        <v>242</v>
      </c>
      <c r="M2219" s="5" t="s">
        <v>267</v>
      </c>
      <c r="N2219" s="5" t="s">
        <v>265</v>
      </c>
      <c r="O2219" s="5" t="s">
        <v>238</v>
      </c>
      <c r="P2219" s="5" t="s">
        <v>238</v>
      </c>
      <c r="Q2219" s="5" t="s">
        <v>268</v>
      </c>
      <c r="R2219" s="5" t="s">
        <v>270</v>
      </c>
      <c r="S2219" s="5" t="s">
        <v>238</v>
      </c>
      <c r="V2219" s="5" t="s">
        <v>238</v>
      </c>
      <c r="X2219" s="6" t="s">
        <v>238</v>
      </c>
      <c r="AA2219" s="6" t="s">
        <v>243</v>
      </c>
      <c r="AB2219" s="5" t="s">
        <v>238</v>
      </c>
      <c r="AC2219" s="5" t="s">
        <v>244</v>
      </c>
      <c r="AD2219" s="5" t="s">
        <v>245</v>
      </c>
      <c r="AT2219" s="5" t="s">
        <v>246</v>
      </c>
      <c r="AU2219" s="5" t="s">
        <v>238</v>
      </c>
      <c r="AV2219" s="5" t="s">
        <v>247</v>
      </c>
      <c r="AW2219" s="5" t="s">
        <v>238</v>
      </c>
      <c r="AX2219" s="5" t="s">
        <v>249</v>
      </c>
      <c r="AY2219" s="5" t="s">
        <v>238</v>
      </c>
      <c r="BA2219" s="5" t="s">
        <v>238</v>
      </c>
      <c r="BC2219" s="5" t="s">
        <v>250</v>
      </c>
      <c r="BD2219" s="6" t="s">
        <v>243</v>
      </c>
      <c r="BE2219" s="5" t="s">
        <v>251</v>
      </c>
      <c r="BF2219" s="5" t="s">
        <v>252</v>
      </c>
      <c r="BG2219" s="5" t="s">
        <v>238</v>
      </c>
      <c r="BH2219" s="7">
        <f>0</f>
        <v>0</v>
      </c>
      <c r="BI2219" s="8">
        <f>0</f>
        <v>0</v>
      </c>
      <c r="BJ2219" s="5" t="s">
        <v>253</v>
      </c>
      <c r="BK2219" s="5" t="s">
        <v>254</v>
      </c>
      <c r="BY2219" s="5" t="s">
        <v>238</v>
      </c>
      <c r="BZ2219" s="5" t="s">
        <v>238</v>
      </c>
      <c r="CD2219" s="5" t="s">
        <v>273</v>
      </c>
      <c r="CE2219" s="5" t="s">
        <v>256</v>
      </c>
      <c r="CF2219" s="5" t="s">
        <v>238</v>
      </c>
      <c r="CI2219" s="6" t="s">
        <v>257</v>
      </c>
      <c r="CJ2219" s="5" t="s">
        <v>238</v>
      </c>
      <c r="CK2219" s="5" t="s">
        <v>258</v>
      </c>
      <c r="CL2219" s="5" t="s">
        <v>238</v>
      </c>
      <c r="CM2219" s="5" t="s">
        <v>238</v>
      </c>
      <c r="CN2219" s="5">
        <v>0</v>
      </c>
      <c r="CO2219" s="5" t="s">
        <v>259</v>
      </c>
      <c r="CP2219" s="5" t="s">
        <v>260</v>
      </c>
      <c r="CQ2219" s="5" t="s">
        <v>260</v>
      </c>
      <c r="CR2219" s="5" t="s">
        <v>261</v>
      </c>
      <c r="CU2219" s="8">
        <f>1</f>
        <v>1</v>
      </c>
      <c r="CV2219" s="8">
        <f>0</f>
        <v>0</v>
      </c>
      <c r="CX2219" s="8">
        <f>0</f>
        <v>0</v>
      </c>
      <c r="CY2219" s="8">
        <f>1</f>
        <v>1</v>
      </c>
      <c r="DA2219" s="5" t="s">
        <v>274</v>
      </c>
      <c r="DB2219" s="5" t="s">
        <v>238</v>
      </c>
      <c r="DD2219" s="5" t="s">
        <v>274</v>
      </c>
      <c r="DE2219" s="8">
        <f>266</f>
        <v>266</v>
      </c>
      <c r="DG2219" s="5" t="s">
        <v>238</v>
      </c>
      <c r="DH2219" s="5" t="s">
        <v>238</v>
      </c>
      <c r="DI2219" s="5" t="s">
        <v>238</v>
      </c>
      <c r="DJ2219" s="5" t="s">
        <v>238</v>
      </c>
      <c r="DN2219" s="5" t="s">
        <v>238</v>
      </c>
      <c r="DO2219" s="5" t="s">
        <v>238</v>
      </c>
      <c r="DP2219" s="5" t="s">
        <v>238</v>
      </c>
      <c r="DQ2219" s="5" t="s">
        <v>238</v>
      </c>
      <c r="DT2219" s="5" t="s">
        <v>275</v>
      </c>
      <c r="DU2219" s="5" t="s">
        <v>892</v>
      </c>
      <c r="HM2219" s="5" t="s">
        <v>264</v>
      </c>
    </row>
    <row r="2220" spans="1:221" x14ac:dyDescent="0.4">
      <c r="A2220" s="5">
        <v>3924</v>
      </c>
      <c r="B2220" s="5">
        <v>1</v>
      </c>
      <c r="C2220" s="5">
        <v>1</v>
      </c>
      <c r="D2220" s="5" t="s">
        <v>269</v>
      </c>
      <c r="E2220" s="5" t="s">
        <v>271</v>
      </c>
      <c r="F2220" s="5" t="s">
        <v>248</v>
      </c>
      <c r="G2220" s="5" t="s">
        <v>266</v>
      </c>
      <c r="H2220" s="6" t="s">
        <v>893</v>
      </c>
      <c r="I2220" s="7">
        <f>1619</f>
        <v>1619</v>
      </c>
      <c r="J2220" s="5" t="s">
        <v>262</v>
      </c>
      <c r="K2220" s="8">
        <f>1</f>
        <v>1</v>
      </c>
      <c r="L2220" s="6" t="s">
        <v>242</v>
      </c>
      <c r="M2220" s="5" t="s">
        <v>267</v>
      </c>
      <c r="N2220" s="5" t="s">
        <v>265</v>
      </c>
      <c r="O2220" s="5" t="s">
        <v>238</v>
      </c>
      <c r="P2220" s="5" t="s">
        <v>238</v>
      </c>
      <c r="Q2220" s="5" t="s">
        <v>268</v>
      </c>
      <c r="R2220" s="5" t="s">
        <v>270</v>
      </c>
      <c r="S2220" s="5" t="s">
        <v>238</v>
      </c>
      <c r="V2220" s="5" t="s">
        <v>238</v>
      </c>
      <c r="X2220" s="6" t="s">
        <v>238</v>
      </c>
      <c r="AA2220" s="6" t="s">
        <v>243</v>
      </c>
      <c r="AB2220" s="5" t="s">
        <v>238</v>
      </c>
      <c r="AC2220" s="5" t="s">
        <v>244</v>
      </c>
      <c r="AD2220" s="5" t="s">
        <v>245</v>
      </c>
      <c r="AT2220" s="5" t="s">
        <v>246</v>
      </c>
      <c r="AU2220" s="5" t="s">
        <v>238</v>
      </c>
      <c r="AV2220" s="5" t="s">
        <v>247</v>
      </c>
      <c r="AW2220" s="5" t="s">
        <v>238</v>
      </c>
      <c r="AX2220" s="5" t="s">
        <v>249</v>
      </c>
      <c r="AY2220" s="5" t="s">
        <v>238</v>
      </c>
      <c r="BA2220" s="5" t="s">
        <v>238</v>
      </c>
      <c r="BC2220" s="5" t="s">
        <v>250</v>
      </c>
      <c r="BD2220" s="6" t="s">
        <v>243</v>
      </c>
      <c r="BE2220" s="5" t="s">
        <v>251</v>
      </c>
      <c r="BF2220" s="5" t="s">
        <v>252</v>
      </c>
      <c r="BG2220" s="5" t="s">
        <v>238</v>
      </c>
      <c r="BH2220" s="7">
        <f>0</f>
        <v>0</v>
      </c>
      <c r="BI2220" s="8">
        <f>0</f>
        <v>0</v>
      </c>
      <c r="BJ2220" s="5" t="s">
        <v>253</v>
      </c>
      <c r="BK2220" s="5" t="s">
        <v>254</v>
      </c>
      <c r="BY2220" s="5" t="s">
        <v>238</v>
      </c>
      <c r="BZ2220" s="5" t="s">
        <v>238</v>
      </c>
      <c r="CD2220" s="5" t="s">
        <v>273</v>
      </c>
      <c r="CE2220" s="5" t="s">
        <v>256</v>
      </c>
      <c r="CF2220" s="5" t="s">
        <v>238</v>
      </c>
      <c r="CI2220" s="6" t="s">
        <v>257</v>
      </c>
      <c r="CJ2220" s="5" t="s">
        <v>238</v>
      </c>
      <c r="CK2220" s="5" t="s">
        <v>258</v>
      </c>
      <c r="CL2220" s="5" t="s">
        <v>238</v>
      </c>
      <c r="CM2220" s="5" t="s">
        <v>238</v>
      </c>
      <c r="CN2220" s="5">
        <v>0</v>
      </c>
      <c r="CO2220" s="5" t="s">
        <v>259</v>
      </c>
      <c r="CP2220" s="5" t="s">
        <v>260</v>
      </c>
      <c r="CQ2220" s="5" t="s">
        <v>260</v>
      </c>
      <c r="CR2220" s="5" t="s">
        <v>261</v>
      </c>
      <c r="CU2220" s="8">
        <f>1</f>
        <v>1</v>
      </c>
      <c r="CV2220" s="8">
        <f>0</f>
        <v>0</v>
      </c>
      <c r="CX2220" s="8">
        <f>0</f>
        <v>0</v>
      </c>
      <c r="CY2220" s="8">
        <f>1</f>
        <v>1</v>
      </c>
      <c r="DA2220" s="5" t="s">
        <v>274</v>
      </c>
      <c r="DB2220" s="5" t="s">
        <v>238</v>
      </c>
      <c r="DD2220" s="5" t="s">
        <v>274</v>
      </c>
      <c r="DE2220" s="8">
        <f>1619</f>
        <v>1619</v>
      </c>
      <c r="DG2220" s="5" t="s">
        <v>238</v>
      </c>
      <c r="DH2220" s="5" t="s">
        <v>238</v>
      </c>
      <c r="DI2220" s="5" t="s">
        <v>238</v>
      </c>
      <c r="DJ2220" s="5" t="s">
        <v>238</v>
      </c>
      <c r="DN2220" s="5" t="s">
        <v>238</v>
      </c>
      <c r="DO2220" s="5" t="s">
        <v>238</v>
      </c>
      <c r="DP2220" s="5" t="s">
        <v>238</v>
      </c>
      <c r="DQ2220" s="5" t="s">
        <v>238</v>
      </c>
      <c r="DT2220" s="5" t="s">
        <v>275</v>
      </c>
      <c r="DU2220" s="5" t="s">
        <v>894</v>
      </c>
      <c r="HM2220" s="5" t="s">
        <v>264</v>
      </c>
    </row>
    <row r="2221" spans="1:221" x14ac:dyDescent="0.4">
      <c r="A2221" s="5">
        <v>3925</v>
      </c>
      <c r="B2221" s="5">
        <v>1</v>
      </c>
      <c r="C2221" s="5">
        <v>1</v>
      </c>
      <c r="D2221" s="5" t="s">
        <v>269</v>
      </c>
      <c r="E2221" s="5" t="s">
        <v>271</v>
      </c>
      <c r="F2221" s="5" t="s">
        <v>248</v>
      </c>
      <c r="G2221" s="5" t="s">
        <v>266</v>
      </c>
      <c r="H2221" s="6" t="s">
        <v>899</v>
      </c>
      <c r="I2221" s="7">
        <f>1064</f>
        <v>1064</v>
      </c>
      <c r="J2221" s="5" t="s">
        <v>262</v>
      </c>
      <c r="K2221" s="8">
        <f>1</f>
        <v>1</v>
      </c>
      <c r="L2221" s="6" t="s">
        <v>242</v>
      </c>
      <c r="M2221" s="5" t="s">
        <v>267</v>
      </c>
      <c r="N2221" s="5" t="s">
        <v>265</v>
      </c>
      <c r="O2221" s="5" t="s">
        <v>238</v>
      </c>
      <c r="P2221" s="5" t="s">
        <v>238</v>
      </c>
      <c r="Q2221" s="5" t="s">
        <v>268</v>
      </c>
      <c r="R2221" s="5" t="s">
        <v>270</v>
      </c>
      <c r="S2221" s="5" t="s">
        <v>238</v>
      </c>
      <c r="V2221" s="5" t="s">
        <v>238</v>
      </c>
      <c r="X2221" s="6" t="s">
        <v>238</v>
      </c>
      <c r="AA2221" s="6" t="s">
        <v>243</v>
      </c>
      <c r="AB2221" s="5" t="s">
        <v>238</v>
      </c>
      <c r="AC2221" s="5" t="s">
        <v>244</v>
      </c>
      <c r="AD2221" s="5" t="s">
        <v>245</v>
      </c>
      <c r="AT2221" s="5" t="s">
        <v>246</v>
      </c>
      <c r="AU2221" s="5" t="s">
        <v>238</v>
      </c>
      <c r="AV2221" s="5" t="s">
        <v>247</v>
      </c>
      <c r="AW2221" s="5" t="s">
        <v>238</v>
      </c>
      <c r="AX2221" s="5" t="s">
        <v>249</v>
      </c>
      <c r="AY2221" s="5" t="s">
        <v>238</v>
      </c>
      <c r="BA2221" s="5" t="s">
        <v>238</v>
      </c>
      <c r="BC2221" s="5" t="s">
        <v>250</v>
      </c>
      <c r="BD2221" s="6" t="s">
        <v>243</v>
      </c>
      <c r="BE2221" s="5" t="s">
        <v>251</v>
      </c>
      <c r="BF2221" s="5" t="s">
        <v>252</v>
      </c>
      <c r="BG2221" s="5" t="s">
        <v>238</v>
      </c>
      <c r="BH2221" s="7">
        <f>0</f>
        <v>0</v>
      </c>
      <c r="BI2221" s="8">
        <f>0</f>
        <v>0</v>
      </c>
      <c r="BJ2221" s="5" t="s">
        <v>253</v>
      </c>
      <c r="BK2221" s="5" t="s">
        <v>254</v>
      </c>
      <c r="BY2221" s="5" t="s">
        <v>238</v>
      </c>
      <c r="BZ2221" s="5" t="s">
        <v>238</v>
      </c>
      <c r="CD2221" s="5" t="s">
        <v>273</v>
      </c>
      <c r="CE2221" s="5" t="s">
        <v>256</v>
      </c>
      <c r="CF2221" s="5" t="s">
        <v>238</v>
      </c>
      <c r="CI2221" s="6" t="s">
        <v>257</v>
      </c>
      <c r="CJ2221" s="5" t="s">
        <v>238</v>
      </c>
      <c r="CK2221" s="5" t="s">
        <v>258</v>
      </c>
      <c r="CL2221" s="5" t="s">
        <v>238</v>
      </c>
      <c r="CM2221" s="5" t="s">
        <v>238</v>
      </c>
      <c r="CN2221" s="5">
        <v>0</v>
      </c>
      <c r="CO2221" s="5" t="s">
        <v>259</v>
      </c>
      <c r="CP2221" s="5" t="s">
        <v>260</v>
      </c>
      <c r="CQ2221" s="5" t="s">
        <v>260</v>
      </c>
      <c r="CR2221" s="5" t="s">
        <v>261</v>
      </c>
      <c r="CU2221" s="8">
        <f>1</f>
        <v>1</v>
      </c>
      <c r="CV2221" s="8">
        <f>0</f>
        <v>0</v>
      </c>
      <c r="CX2221" s="8">
        <f>0</f>
        <v>0</v>
      </c>
      <c r="CY2221" s="8">
        <f>1</f>
        <v>1</v>
      </c>
      <c r="DA2221" s="5" t="s">
        <v>274</v>
      </c>
      <c r="DB2221" s="5" t="s">
        <v>238</v>
      </c>
      <c r="DD2221" s="5" t="s">
        <v>274</v>
      </c>
      <c r="DE2221" s="8">
        <f>1064</f>
        <v>1064</v>
      </c>
      <c r="DG2221" s="5" t="s">
        <v>238</v>
      </c>
      <c r="DH2221" s="5" t="s">
        <v>238</v>
      </c>
      <c r="DI2221" s="5" t="s">
        <v>238</v>
      </c>
      <c r="DJ2221" s="5" t="s">
        <v>238</v>
      </c>
      <c r="DN2221" s="5" t="s">
        <v>238</v>
      </c>
      <c r="DO2221" s="5" t="s">
        <v>238</v>
      </c>
      <c r="DP2221" s="5" t="s">
        <v>238</v>
      </c>
      <c r="DQ2221" s="5" t="s">
        <v>238</v>
      </c>
      <c r="DT2221" s="5" t="s">
        <v>275</v>
      </c>
      <c r="DU2221" s="5" t="s">
        <v>900</v>
      </c>
      <c r="HM2221" s="5" t="s">
        <v>264</v>
      </c>
    </row>
    <row r="2222" spans="1:221" x14ac:dyDescent="0.4">
      <c r="A2222" s="5">
        <v>3926</v>
      </c>
      <c r="B2222" s="5">
        <v>1</v>
      </c>
      <c r="C2222" s="5">
        <v>1</v>
      </c>
      <c r="D2222" s="5" t="s">
        <v>269</v>
      </c>
      <c r="E2222" s="5" t="s">
        <v>271</v>
      </c>
      <c r="F2222" s="5" t="s">
        <v>248</v>
      </c>
      <c r="G2222" s="5" t="s">
        <v>266</v>
      </c>
      <c r="H2222" s="6" t="s">
        <v>1486</v>
      </c>
      <c r="I2222" s="7">
        <f>1665</f>
        <v>1665</v>
      </c>
      <c r="J2222" s="5" t="s">
        <v>262</v>
      </c>
      <c r="K2222" s="8">
        <f>1</f>
        <v>1</v>
      </c>
      <c r="L2222" s="6" t="s">
        <v>242</v>
      </c>
      <c r="M2222" s="5" t="s">
        <v>267</v>
      </c>
      <c r="N2222" s="5" t="s">
        <v>265</v>
      </c>
      <c r="O2222" s="5" t="s">
        <v>238</v>
      </c>
      <c r="P2222" s="5" t="s">
        <v>238</v>
      </c>
      <c r="Q2222" s="5" t="s">
        <v>268</v>
      </c>
      <c r="R2222" s="5" t="s">
        <v>270</v>
      </c>
      <c r="S2222" s="5" t="s">
        <v>238</v>
      </c>
      <c r="V2222" s="5" t="s">
        <v>238</v>
      </c>
      <c r="X2222" s="6" t="s">
        <v>238</v>
      </c>
      <c r="AA2222" s="6" t="s">
        <v>243</v>
      </c>
      <c r="AB2222" s="5" t="s">
        <v>238</v>
      </c>
      <c r="AC2222" s="5" t="s">
        <v>244</v>
      </c>
      <c r="AD2222" s="5" t="s">
        <v>245</v>
      </c>
      <c r="AT2222" s="5" t="s">
        <v>246</v>
      </c>
      <c r="AU2222" s="5" t="s">
        <v>238</v>
      </c>
      <c r="AV2222" s="5" t="s">
        <v>247</v>
      </c>
      <c r="AW2222" s="5" t="s">
        <v>238</v>
      </c>
      <c r="AX2222" s="5" t="s">
        <v>249</v>
      </c>
      <c r="AY2222" s="5" t="s">
        <v>238</v>
      </c>
      <c r="BA2222" s="5" t="s">
        <v>238</v>
      </c>
      <c r="BC2222" s="5" t="s">
        <v>250</v>
      </c>
      <c r="BD2222" s="6" t="s">
        <v>243</v>
      </c>
      <c r="BE2222" s="5" t="s">
        <v>251</v>
      </c>
      <c r="BF2222" s="5" t="s">
        <v>252</v>
      </c>
      <c r="BG2222" s="5" t="s">
        <v>238</v>
      </c>
      <c r="BH2222" s="7">
        <f>0</f>
        <v>0</v>
      </c>
      <c r="BI2222" s="8">
        <f>0</f>
        <v>0</v>
      </c>
      <c r="BJ2222" s="5" t="s">
        <v>253</v>
      </c>
      <c r="BK2222" s="5" t="s">
        <v>254</v>
      </c>
      <c r="BY2222" s="5" t="s">
        <v>238</v>
      </c>
      <c r="BZ2222" s="5" t="s">
        <v>238</v>
      </c>
      <c r="CD2222" s="5" t="s">
        <v>273</v>
      </c>
      <c r="CE2222" s="5" t="s">
        <v>256</v>
      </c>
      <c r="CF2222" s="5" t="s">
        <v>238</v>
      </c>
      <c r="CI2222" s="6" t="s">
        <v>257</v>
      </c>
      <c r="CJ2222" s="5" t="s">
        <v>238</v>
      </c>
      <c r="CK2222" s="5" t="s">
        <v>258</v>
      </c>
      <c r="CL2222" s="5" t="s">
        <v>238</v>
      </c>
      <c r="CM2222" s="5" t="s">
        <v>238</v>
      </c>
      <c r="CN2222" s="5">
        <v>0</v>
      </c>
      <c r="CO2222" s="5" t="s">
        <v>259</v>
      </c>
      <c r="CP2222" s="5" t="s">
        <v>260</v>
      </c>
      <c r="CQ2222" s="5" t="s">
        <v>260</v>
      </c>
      <c r="CR2222" s="5" t="s">
        <v>261</v>
      </c>
      <c r="CU2222" s="8">
        <f>1</f>
        <v>1</v>
      </c>
      <c r="CV2222" s="8">
        <f>0</f>
        <v>0</v>
      </c>
      <c r="CX2222" s="8">
        <f>0</f>
        <v>0</v>
      </c>
      <c r="CY2222" s="8">
        <f>1</f>
        <v>1</v>
      </c>
      <c r="DA2222" s="5" t="s">
        <v>274</v>
      </c>
      <c r="DB2222" s="5" t="s">
        <v>238</v>
      </c>
      <c r="DD2222" s="5" t="s">
        <v>274</v>
      </c>
      <c r="DE2222" s="8">
        <f>1665</f>
        <v>1665</v>
      </c>
      <c r="DG2222" s="5" t="s">
        <v>238</v>
      </c>
      <c r="DH2222" s="5" t="s">
        <v>238</v>
      </c>
      <c r="DI2222" s="5" t="s">
        <v>238</v>
      </c>
      <c r="DJ2222" s="5" t="s">
        <v>238</v>
      </c>
      <c r="DN2222" s="5" t="s">
        <v>238</v>
      </c>
      <c r="DO2222" s="5" t="s">
        <v>238</v>
      </c>
      <c r="DP2222" s="5" t="s">
        <v>238</v>
      </c>
      <c r="DQ2222" s="5" t="s">
        <v>238</v>
      </c>
      <c r="DT2222" s="5" t="s">
        <v>275</v>
      </c>
      <c r="DU2222" s="5" t="s">
        <v>1487</v>
      </c>
      <c r="HM2222" s="5" t="s">
        <v>264</v>
      </c>
    </row>
    <row r="2223" spans="1:221" x14ac:dyDescent="0.4">
      <c r="A2223" s="5">
        <v>3927</v>
      </c>
      <c r="B2223" s="5">
        <v>1</v>
      </c>
      <c r="C2223" s="5">
        <v>1</v>
      </c>
      <c r="D2223" s="5" t="s">
        <v>269</v>
      </c>
      <c r="E2223" s="5" t="s">
        <v>271</v>
      </c>
      <c r="F2223" s="5" t="s">
        <v>248</v>
      </c>
      <c r="G2223" s="5" t="s">
        <v>266</v>
      </c>
      <c r="H2223" s="6" t="s">
        <v>5617</v>
      </c>
      <c r="I2223" s="7">
        <f>522</f>
        <v>522</v>
      </c>
      <c r="J2223" s="5" t="s">
        <v>262</v>
      </c>
      <c r="K2223" s="8">
        <f>1</f>
        <v>1</v>
      </c>
      <c r="L2223" s="6" t="s">
        <v>242</v>
      </c>
      <c r="M2223" s="5" t="s">
        <v>267</v>
      </c>
      <c r="N2223" s="5" t="s">
        <v>265</v>
      </c>
      <c r="O2223" s="5" t="s">
        <v>238</v>
      </c>
      <c r="P2223" s="5" t="s">
        <v>238</v>
      </c>
      <c r="Q2223" s="5" t="s">
        <v>268</v>
      </c>
      <c r="R2223" s="5" t="s">
        <v>270</v>
      </c>
      <c r="S2223" s="5" t="s">
        <v>238</v>
      </c>
      <c r="V2223" s="5" t="s">
        <v>238</v>
      </c>
      <c r="X2223" s="6" t="s">
        <v>238</v>
      </c>
      <c r="AA2223" s="6" t="s">
        <v>243</v>
      </c>
      <c r="AB2223" s="5" t="s">
        <v>238</v>
      </c>
      <c r="AC2223" s="5" t="s">
        <v>244</v>
      </c>
      <c r="AD2223" s="5" t="s">
        <v>245</v>
      </c>
      <c r="AT2223" s="5" t="s">
        <v>246</v>
      </c>
      <c r="AU2223" s="5" t="s">
        <v>238</v>
      </c>
      <c r="AV2223" s="5" t="s">
        <v>247</v>
      </c>
      <c r="AW2223" s="5" t="s">
        <v>238</v>
      </c>
      <c r="AX2223" s="5" t="s">
        <v>249</v>
      </c>
      <c r="AY2223" s="5" t="s">
        <v>238</v>
      </c>
      <c r="BA2223" s="5" t="s">
        <v>238</v>
      </c>
      <c r="BC2223" s="5" t="s">
        <v>250</v>
      </c>
      <c r="BD2223" s="6" t="s">
        <v>243</v>
      </c>
      <c r="BE2223" s="5" t="s">
        <v>251</v>
      </c>
      <c r="BF2223" s="5" t="s">
        <v>252</v>
      </c>
      <c r="BG2223" s="5" t="s">
        <v>238</v>
      </c>
      <c r="BH2223" s="7">
        <f>0</f>
        <v>0</v>
      </c>
      <c r="BI2223" s="8">
        <f>0</f>
        <v>0</v>
      </c>
      <c r="BJ2223" s="5" t="s">
        <v>253</v>
      </c>
      <c r="BK2223" s="5" t="s">
        <v>254</v>
      </c>
      <c r="BY2223" s="5" t="s">
        <v>238</v>
      </c>
      <c r="BZ2223" s="5" t="s">
        <v>238</v>
      </c>
      <c r="CD2223" s="5" t="s">
        <v>273</v>
      </c>
      <c r="CE2223" s="5" t="s">
        <v>256</v>
      </c>
      <c r="CF2223" s="5" t="s">
        <v>238</v>
      </c>
      <c r="CI2223" s="6" t="s">
        <v>257</v>
      </c>
      <c r="CJ2223" s="5" t="s">
        <v>238</v>
      </c>
      <c r="CK2223" s="5" t="s">
        <v>258</v>
      </c>
      <c r="CL2223" s="5" t="s">
        <v>238</v>
      </c>
      <c r="CM2223" s="5" t="s">
        <v>238</v>
      </c>
      <c r="CN2223" s="5">
        <v>0</v>
      </c>
      <c r="CO2223" s="5" t="s">
        <v>259</v>
      </c>
      <c r="CP2223" s="5" t="s">
        <v>260</v>
      </c>
      <c r="CQ2223" s="5" t="s">
        <v>260</v>
      </c>
      <c r="CR2223" s="5" t="s">
        <v>261</v>
      </c>
      <c r="CU2223" s="8">
        <f>1</f>
        <v>1</v>
      </c>
      <c r="CV2223" s="8">
        <f>0</f>
        <v>0</v>
      </c>
      <c r="CX2223" s="8">
        <f>0</f>
        <v>0</v>
      </c>
      <c r="CY2223" s="8">
        <f>1</f>
        <v>1</v>
      </c>
      <c r="DA2223" s="5" t="s">
        <v>274</v>
      </c>
      <c r="DB2223" s="5" t="s">
        <v>238</v>
      </c>
      <c r="DD2223" s="5" t="s">
        <v>274</v>
      </c>
      <c r="DE2223" s="8">
        <f>522</f>
        <v>522</v>
      </c>
      <c r="DG2223" s="5" t="s">
        <v>238</v>
      </c>
      <c r="DH2223" s="5" t="s">
        <v>238</v>
      </c>
      <c r="DI2223" s="5" t="s">
        <v>238</v>
      </c>
      <c r="DJ2223" s="5" t="s">
        <v>238</v>
      </c>
      <c r="DN2223" s="5" t="s">
        <v>238</v>
      </c>
      <c r="DO2223" s="5" t="s">
        <v>238</v>
      </c>
      <c r="DP2223" s="5" t="s">
        <v>238</v>
      </c>
      <c r="DQ2223" s="5" t="s">
        <v>238</v>
      </c>
      <c r="DT2223" s="5" t="s">
        <v>275</v>
      </c>
      <c r="DU2223" s="5" t="s">
        <v>3186</v>
      </c>
      <c r="HM2223" s="5" t="s">
        <v>264</v>
      </c>
    </row>
    <row r="2224" spans="1:221" x14ac:dyDescent="0.4">
      <c r="A2224" s="5">
        <v>3928</v>
      </c>
      <c r="B2224" s="5">
        <v>1</v>
      </c>
      <c r="C2224" s="5">
        <v>1</v>
      </c>
      <c r="D2224" s="5" t="s">
        <v>269</v>
      </c>
      <c r="E2224" s="5" t="s">
        <v>271</v>
      </c>
      <c r="F2224" s="5" t="s">
        <v>248</v>
      </c>
      <c r="G2224" s="5" t="s">
        <v>266</v>
      </c>
      <c r="H2224" s="6" t="s">
        <v>905</v>
      </c>
      <c r="I2224" s="7">
        <f>182</f>
        <v>182</v>
      </c>
      <c r="J2224" s="5" t="s">
        <v>262</v>
      </c>
      <c r="K2224" s="8">
        <f>1</f>
        <v>1</v>
      </c>
      <c r="L2224" s="6" t="s">
        <v>242</v>
      </c>
      <c r="M2224" s="5" t="s">
        <v>267</v>
      </c>
      <c r="N2224" s="5" t="s">
        <v>265</v>
      </c>
      <c r="O2224" s="5" t="s">
        <v>238</v>
      </c>
      <c r="P2224" s="5" t="s">
        <v>238</v>
      </c>
      <c r="Q2224" s="5" t="s">
        <v>268</v>
      </c>
      <c r="R2224" s="5" t="s">
        <v>270</v>
      </c>
      <c r="S2224" s="5" t="s">
        <v>238</v>
      </c>
      <c r="V2224" s="5" t="s">
        <v>238</v>
      </c>
      <c r="X2224" s="6" t="s">
        <v>238</v>
      </c>
      <c r="AA2224" s="6" t="s">
        <v>243</v>
      </c>
      <c r="AB2224" s="5" t="s">
        <v>238</v>
      </c>
      <c r="AC2224" s="5" t="s">
        <v>244</v>
      </c>
      <c r="AD2224" s="5" t="s">
        <v>245</v>
      </c>
      <c r="AT2224" s="5" t="s">
        <v>246</v>
      </c>
      <c r="AU2224" s="5" t="s">
        <v>238</v>
      </c>
      <c r="AV2224" s="5" t="s">
        <v>247</v>
      </c>
      <c r="AW2224" s="5" t="s">
        <v>238</v>
      </c>
      <c r="AX2224" s="5" t="s">
        <v>249</v>
      </c>
      <c r="AY2224" s="5" t="s">
        <v>238</v>
      </c>
      <c r="BA2224" s="5" t="s">
        <v>238</v>
      </c>
      <c r="BC2224" s="5" t="s">
        <v>250</v>
      </c>
      <c r="BD2224" s="6" t="s">
        <v>243</v>
      </c>
      <c r="BE2224" s="5" t="s">
        <v>251</v>
      </c>
      <c r="BF2224" s="5" t="s">
        <v>252</v>
      </c>
      <c r="BG2224" s="5" t="s">
        <v>238</v>
      </c>
      <c r="BH2224" s="7">
        <f>0</f>
        <v>0</v>
      </c>
      <c r="BI2224" s="8">
        <f>0</f>
        <v>0</v>
      </c>
      <c r="BJ2224" s="5" t="s">
        <v>253</v>
      </c>
      <c r="BK2224" s="5" t="s">
        <v>254</v>
      </c>
      <c r="BY2224" s="5" t="s">
        <v>238</v>
      </c>
      <c r="BZ2224" s="5" t="s">
        <v>238</v>
      </c>
      <c r="CD2224" s="5" t="s">
        <v>273</v>
      </c>
      <c r="CE2224" s="5" t="s">
        <v>256</v>
      </c>
      <c r="CF2224" s="5" t="s">
        <v>238</v>
      </c>
      <c r="CI2224" s="6" t="s">
        <v>257</v>
      </c>
      <c r="CJ2224" s="5" t="s">
        <v>238</v>
      </c>
      <c r="CK2224" s="5" t="s">
        <v>258</v>
      </c>
      <c r="CL2224" s="5" t="s">
        <v>238</v>
      </c>
      <c r="CM2224" s="5" t="s">
        <v>238</v>
      </c>
      <c r="CN2224" s="5">
        <v>0</v>
      </c>
      <c r="CO2224" s="5" t="s">
        <v>259</v>
      </c>
      <c r="CP2224" s="5" t="s">
        <v>260</v>
      </c>
      <c r="CQ2224" s="5" t="s">
        <v>260</v>
      </c>
      <c r="CR2224" s="5" t="s">
        <v>261</v>
      </c>
      <c r="CU2224" s="8">
        <f>1</f>
        <v>1</v>
      </c>
      <c r="CV2224" s="8">
        <f>0</f>
        <v>0</v>
      </c>
      <c r="CX2224" s="8">
        <f>0</f>
        <v>0</v>
      </c>
      <c r="CY2224" s="8">
        <f>1</f>
        <v>1</v>
      </c>
      <c r="DA2224" s="5" t="s">
        <v>274</v>
      </c>
      <c r="DB2224" s="5" t="s">
        <v>238</v>
      </c>
      <c r="DD2224" s="5" t="s">
        <v>274</v>
      </c>
      <c r="DE2224" s="8">
        <f>182</f>
        <v>182</v>
      </c>
      <c r="DG2224" s="5" t="s">
        <v>238</v>
      </c>
      <c r="DH2224" s="5" t="s">
        <v>238</v>
      </c>
      <c r="DI2224" s="5" t="s">
        <v>238</v>
      </c>
      <c r="DJ2224" s="5" t="s">
        <v>238</v>
      </c>
      <c r="DN2224" s="5" t="s">
        <v>238</v>
      </c>
      <c r="DO2224" s="5" t="s">
        <v>238</v>
      </c>
      <c r="DP2224" s="5" t="s">
        <v>238</v>
      </c>
      <c r="DQ2224" s="5" t="s">
        <v>238</v>
      </c>
      <c r="DT2224" s="5" t="s">
        <v>275</v>
      </c>
      <c r="DU2224" s="5" t="s">
        <v>906</v>
      </c>
      <c r="HM2224" s="5" t="s">
        <v>264</v>
      </c>
    </row>
    <row r="2225" spans="1:221" x14ac:dyDescent="0.4">
      <c r="A2225" s="5">
        <v>3929</v>
      </c>
      <c r="B2225" s="5">
        <v>1</v>
      </c>
      <c r="C2225" s="5">
        <v>1</v>
      </c>
      <c r="D2225" s="5" t="s">
        <v>269</v>
      </c>
      <c r="E2225" s="5" t="s">
        <v>271</v>
      </c>
      <c r="F2225" s="5" t="s">
        <v>248</v>
      </c>
      <c r="G2225" s="5" t="s">
        <v>266</v>
      </c>
      <c r="H2225" s="6" t="s">
        <v>5619</v>
      </c>
      <c r="I2225" s="7">
        <f>145</f>
        <v>145</v>
      </c>
      <c r="J2225" s="5" t="s">
        <v>262</v>
      </c>
      <c r="K2225" s="8">
        <f>1</f>
        <v>1</v>
      </c>
      <c r="L2225" s="6" t="s">
        <v>242</v>
      </c>
      <c r="M2225" s="5" t="s">
        <v>267</v>
      </c>
      <c r="N2225" s="5" t="s">
        <v>265</v>
      </c>
      <c r="O2225" s="5" t="s">
        <v>238</v>
      </c>
      <c r="P2225" s="5" t="s">
        <v>238</v>
      </c>
      <c r="Q2225" s="5" t="s">
        <v>268</v>
      </c>
      <c r="R2225" s="5" t="s">
        <v>270</v>
      </c>
      <c r="S2225" s="5" t="s">
        <v>238</v>
      </c>
      <c r="V2225" s="5" t="s">
        <v>238</v>
      </c>
      <c r="X2225" s="6" t="s">
        <v>238</v>
      </c>
      <c r="AA2225" s="6" t="s">
        <v>243</v>
      </c>
      <c r="AB2225" s="5" t="s">
        <v>238</v>
      </c>
      <c r="AC2225" s="5" t="s">
        <v>244</v>
      </c>
      <c r="AD2225" s="5" t="s">
        <v>245</v>
      </c>
      <c r="AT2225" s="5" t="s">
        <v>246</v>
      </c>
      <c r="AU2225" s="5" t="s">
        <v>238</v>
      </c>
      <c r="AV2225" s="5" t="s">
        <v>247</v>
      </c>
      <c r="AW2225" s="5" t="s">
        <v>238</v>
      </c>
      <c r="AX2225" s="5" t="s">
        <v>249</v>
      </c>
      <c r="AY2225" s="5" t="s">
        <v>238</v>
      </c>
      <c r="BA2225" s="5" t="s">
        <v>238</v>
      </c>
      <c r="BC2225" s="5" t="s">
        <v>250</v>
      </c>
      <c r="BD2225" s="6" t="s">
        <v>243</v>
      </c>
      <c r="BE2225" s="5" t="s">
        <v>251</v>
      </c>
      <c r="BF2225" s="5" t="s">
        <v>252</v>
      </c>
      <c r="BG2225" s="5" t="s">
        <v>238</v>
      </c>
      <c r="BH2225" s="7">
        <f>0</f>
        <v>0</v>
      </c>
      <c r="BI2225" s="8">
        <f>0</f>
        <v>0</v>
      </c>
      <c r="BJ2225" s="5" t="s">
        <v>253</v>
      </c>
      <c r="BK2225" s="5" t="s">
        <v>254</v>
      </c>
      <c r="BY2225" s="5" t="s">
        <v>238</v>
      </c>
      <c r="BZ2225" s="5" t="s">
        <v>238</v>
      </c>
      <c r="CD2225" s="5" t="s">
        <v>273</v>
      </c>
      <c r="CE2225" s="5" t="s">
        <v>256</v>
      </c>
      <c r="CF2225" s="5" t="s">
        <v>238</v>
      </c>
      <c r="CI2225" s="6" t="s">
        <v>257</v>
      </c>
      <c r="CJ2225" s="5" t="s">
        <v>238</v>
      </c>
      <c r="CK2225" s="5" t="s">
        <v>258</v>
      </c>
      <c r="CL2225" s="5" t="s">
        <v>238</v>
      </c>
      <c r="CM2225" s="5" t="s">
        <v>238</v>
      </c>
      <c r="CN2225" s="5">
        <v>0</v>
      </c>
      <c r="CO2225" s="5" t="s">
        <v>259</v>
      </c>
      <c r="CP2225" s="5" t="s">
        <v>260</v>
      </c>
      <c r="CQ2225" s="5" t="s">
        <v>260</v>
      </c>
      <c r="CR2225" s="5" t="s">
        <v>261</v>
      </c>
      <c r="CU2225" s="8">
        <f>1</f>
        <v>1</v>
      </c>
      <c r="CV2225" s="8">
        <f>0</f>
        <v>0</v>
      </c>
      <c r="CX2225" s="8">
        <f>0</f>
        <v>0</v>
      </c>
      <c r="CY2225" s="8">
        <f>1</f>
        <v>1</v>
      </c>
      <c r="DA2225" s="5" t="s">
        <v>274</v>
      </c>
      <c r="DB2225" s="5" t="s">
        <v>238</v>
      </c>
      <c r="DD2225" s="5" t="s">
        <v>274</v>
      </c>
      <c r="DE2225" s="8">
        <f>145</f>
        <v>145</v>
      </c>
      <c r="DG2225" s="5" t="s">
        <v>238</v>
      </c>
      <c r="DH2225" s="5" t="s">
        <v>238</v>
      </c>
      <c r="DI2225" s="5" t="s">
        <v>238</v>
      </c>
      <c r="DJ2225" s="5" t="s">
        <v>238</v>
      </c>
      <c r="DN2225" s="5" t="s">
        <v>238</v>
      </c>
      <c r="DO2225" s="5" t="s">
        <v>238</v>
      </c>
      <c r="DP2225" s="5" t="s">
        <v>238</v>
      </c>
      <c r="DQ2225" s="5" t="s">
        <v>238</v>
      </c>
      <c r="DT2225" s="5" t="s">
        <v>275</v>
      </c>
      <c r="DU2225" s="5" t="s">
        <v>2131</v>
      </c>
      <c r="HM2225" s="5" t="s">
        <v>264</v>
      </c>
    </row>
    <row r="2226" spans="1:221" x14ac:dyDescent="0.4">
      <c r="A2226" s="5">
        <v>3930</v>
      </c>
      <c r="B2226" s="5">
        <v>1</v>
      </c>
      <c r="C2226" s="5">
        <v>1</v>
      </c>
      <c r="D2226" s="5" t="s">
        <v>269</v>
      </c>
      <c r="E2226" s="5" t="s">
        <v>271</v>
      </c>
      <c r="F2226" s="5" t="s">
        <v>248</v>
      </c>
      <c r="G2226" s="5" t="s">
        <v>266</v>
      </c>
      <c r="H2226" s="6" t="s">
        <v>912</v>
      </c>
      <c r="I2226" s="7">
        <f>32</f>
        <v>32</v>
      </c>
      <c r="J2226" s="5" t="s">
        <v>262</v>
      </c>
      <c r="K2226" s="8">
        <f>1</f>
        <v>1</v>
      </c>
      <c r="L2226" s="6" t="s">
        <v>242</v>
      </c>
      <c r="M2226" s="5" t="s">
        <v>267</v>
      </c>
      <c r="N2226" s="5" t="s">
        <v>265</v>
      </c>
      <c r="O2226" s="5" t="s">
        <v>238</v>
      </c>
      <c r="P2226" s="5" t="s">
        <v>238</v>
      </c>
      <c r="Q2226" s="5" t="s">
        <v>268</v>
      </c>
      <c r="R2226" s="5" t="s">
        <v>270</v>
      </c>
      <c r="S2226" s="5" t="s">
        <v>238</v>
      </c>
      <c r="V2226" s="5" t="s">
        <v>238</v>
      </c>
      <c r="X2226" s="6" t="s">
        <v>238</v>
      </c>
      <c r="AA2226" s="6" t="s">
        <v>243</v>
      </c>
      <c r="AB2226" s="5" t="s">
        <v>238</v>
      </c>
      <c r="AC2226" s="5" t="s">
        <v>244</v>
      </c>
      <c r="AD2226" s="5" t="s">
        <v>245</v>
      </c>
      <c r="AT2226" s="5" t="s">
        <v>246</v>
      </c>
      <c r="AU2226" s="5" t="s">
        <v>238</v>
      </c>
      <c r="AV2226" s="5" t="s">
        <v>247</v>
      </c>
      <c r="AW2226" s="5" t="s">
        <v>238</v>
      </c>
      <c r="AX2226" s="5" t="s">
        <v>249</v>
      </c>
      <c r="AY2226" s="5" t="s">
        <v>238</v>
      </c>
      <c r="BA2226" s="5" t="s">
        <v>238</v>
      </c>
      <c r="BC2226" s="5" t="s">
        <v>250</v>
      </c>
      <c r="BD2226" s="6" t="s">
        <v>243</v>
      </c>
      <c r="BE2226" s="5" t="s">
        <v>251</v>
      </c>
      <c r="BF2226" s="5" t="s">
        <v>252</v>
      </c>
      <c r="BG2226" s="5" t="s">
        <v>238</v>
      </c>
      <c r="BH2226" s="7">
        <f>0</f>
        <v>0</v>
      </c>
      <c r="BI2226" s="8">
        <f>0</f>
        <v>0</v>
      </c>
      <c r="BJ2226" s="5" t="s">
        <v>253</v>
      </c>
      <c r="BK2226" s="5" t="s">
        <v>254</v>
      </c>
      <c r="BY2226" s="5" t="s">
        <v>238</v>
      </c>
      <c r="BZ2226" s="5" t="s">
        <v>238</v>
      </c>
      <c r="CD2226" s="5" t="s">
        <v>273</v>
      </c>
      <c r="CE2226" s="5" t="s">
        <v>256</v>
      </c>
      <c r="CF2226" s="5" t="s">
        <v>238</v>
      </c>
      <c r="CI2226" s="6" t="s">
        <v>257</v>
      </c>
      <c r="CJ2226" s="5" t="s">
        <v>238</v>
      </c>
      <c r="CK2226" s="5" t="s">
        <v>258</v>
      </c>
      <c r="CL2226" s="5" t="s">
        <v>238</v>
      </c>
      <c r="CM2226" s="5" t="s">
        <v>238</v>
      </c>
      <c r="CN2226" s="5">
        <v>0</v>
      </c>
      <c r="CO2226" s="5" t="s">
        <v>259</v>
      </c>
      <c r="CP2226" s="5" t="s">
        <v>260</v>
      </c>
      <c r="CQ2226" s="5" t="s">
        <v>260</v>
      </c>
      <c r="CR2226" s="5" t="s">
        <v>261</v>
      </c>
      <c r="CU2226" s="8">
        <f>1</f>
        <v>1</v>
      </c>
      <c r="CV2226" s="8">
        <f>0</f>
        <v>0</v>
      </c>
      <c r="CX2226" s="8">
        <f>0</f>
        <v>0</v>
      </c>
      <c r="CY2226" s="8">
        <f>1</f>
        <v>1</v>
      </c>
      <c r="DA2226" s="5" t="s">
        <v>274</v>
      </c>
      <c r="DB2226" s="5" t="s">
        <v>238</v>
      </c>
      <c r="DD2226" s="5" t="s">
        <v>274</v>
      </c>
      <c r="DE2226" s="8">
        <f>32</f>
        <v>32</v>
      </c>
      <c r="DG2226" s="5" t="s">
        <v>238</v>
      </c>
      <c r="DH2226" s="5" t="s">
        <v>238</v>
      </c>
      <c r="DI2226" s="5" t="s">
        <v>238</v>
      </c>
      <c r="DJ2226" s="5" t="s">
        <v>238</v>
      </c>
      <c r="DN2226" s="5" t="s">
        <v>238</v>
      </c>
      <c r="DO2226" s="5" t="s">
        <v>238</v>
      </c>
      <c r="DP2226" s="5" t="s">
        <v>238</v>
      </c>
      <c r="DQ2226" s="5" t="s">
        <v>238</v>
      </c>
      <c r="DT2226" s="5" t="s">
        <v>275</v>
      </c>
      <c r="DU2226" s="5" t="s">
        <v>913</v>
      </c>
      <c r="HM2226" s="5" t="s">
        <v>264</v>
      </c>
    </row>
    <row r="2227" spans="1:221" x14ac:dyDescent="0.4">
      <c r="A2227" s="5">
        <v>3931</v>
      </c>
      <c r="B2227" s="5">
        <v>1</v>
      </c>
      <c r="C2227" s="5">
        <v>1</v>
      </c>
      <c r="D2227" s="5" t="s">
        <v>269</v>
      </c>
      <c r="E2227" s="5" t="s">
        <v>271</v>
      </c>
      <c r="F2227" s="5" t="s">
        <v>248</v>
      </c>
      <c r="G2227" s="5" t="s">
        <v>266</v>
      </c>
      <c r="H2227" s="6" t="s">
        <v>916</v>
      </c>
      <c r="I2227" s="7">
        <f>1584</f>
        <v>1584</v>
      </c>
      <c r="J2227" s="5" t="s">
        <v>262</v>
      </c>
      <c r="K2227" s="8">
        <f>1</f>
        <v>1</v>
      </c>
      <c r="L2227" s="6" t="s">
        <v>242</v>
      </c>
      <c r="M2227" s="5" t="s">
        <v>267</v>
      </c>
      <c r="N2227" s="5" t="s">
        <v>265</v>
      </c>
      <c r="O2227" s="5" t="s">
        <v>238</v>
      </c>
      <c r="P2227" s="5" t="s">
        <v>238</v>
      </c>
      <c r="Q2227" s="5" t="s">
        <v>268</v>
      </c>
      <c r="R2227" s="5" t="s">
        <v>270</v>
      </c>
      <c r="S2227" s="5" t="s">
        <v>238</v>
      </c>
      <c r="V2227" s="5" t="s">
        <v>238</v>
      </c>
      <c r="X2227" s="6" t="s">
        <v>238</v>
      </c>
      <c r="AA2227" s="6" t="s">
        <v>243</v>
      </c>
      <c r="AB2227" s="5" t="s">
        <v>238</v>
      </c>
      <c r="AC2227" s="5" t="s">
        <v>244</v>
      </c>
      <c r="AD2227" s="5" t="s">
        <v>245</v>
      </c>
      <c r="AT2227" s="5" t="s">
        <v>246</v>
      </c>
      <c r="AU2227" s="5" t="s">
        <v>238</v>
      </c>
      <c r="AV2227" s="5" t="s">
        <v>247</v>
      </c>
      <c r="AW2227" s="5" t="s">
        <v>238</v>
      </c>
      <c r="AX2227" s="5" t="s">
        <v>249</v>
      </c>
      <c r="AY2227" s="5" t="s">
        <v>238</v>
      </c>
      <c r="BA2227" s="5" t="s">
        <v>238</v>
      </c>
      <c r="BC2227" s="5" t="s">
        <v>250</v>
      </c>
      <c r="BD2227" s="6" t="s">
        <v>243</v>
      </c>
      <c r="BE2227" s="5" t="s">
        <v>251</v>
      </c>
      <c r="BF2227" s="5" t="s">
        <v>252</v>
      </c>
      <c r="BG2227" s="5" t="s">
        <v>238</v>
      </c>
      <c r="BH2227" s="7">
        <f>0</f>
        <v>0</v>
      </c>
      <c r="BI2227" s="8">
        <f>0</f>
        <v>0</v>
      </c>
      <c r="BJ2227" s="5" t="s">
        <v>253</v>
      </c>
      <c r="BK2227" s="5" t="s">
        <v>254</v>
      </c>
      <c r="BY2227" s="5" t="s">
        <v>238</v>
      </c>
      <c r="BZ2227" s="5" t="s">
        <v>238</v>
      </c>
      <c r="CD2227" s="5" t="s">
        <v>273</v>
      </c>
      <c r="CE2227" s="5" t="s">
        <v>256</v>
      </c>
      <c r="CF2227" s="5" t="s">
        <v>238</v>
      </c>
      <c r="CI2227" s="6" t="s">
        <v>257</v>
      </c>
      <c r="CJ2227" s="5" t="s">
        <v>238</v>
      </c>
      <c r="CK2227" s="5" t="s">
        <v>258</v>
      </c>
      <c r="CL2227" s="5" t="s">
        <v>238</v>
      </c>
      <c r="CM2227" s="5" t="s">
        <v>238</v>
      </c>
      <c r="CN2227" s="5">
        <v>0</v>
      </c>
      <c r="CO2227" s="5" t="s">
        <v>259</v>
      </c>
      <c r="CP2227" s="5" t="s">
        <v>260</v>
      </c>
      <c r="CQ2227" s="5" t="s">
        <v>260</v>
      </c>
      <c r="CR2227" s="5" t="s">
        <v>261</v>
      </c>
      <c r="CU2227" s="8">
        <f>1</f>
        <v>1</v>
      </c>
      <c r="CV2227" s="8">
        <f>0</f>
        <v>0</v>
      </c>
      <c r="CX2227" s="8">
        <f>0</f>
        <v>0</v>
      </c>
      <c r="CY2227" s="8">
        <f>1</f>
        <v>1</v>
      </c>
      <c r="DA2227" s="5" t="s">
        <v>274</v>
      </c>
      <c r="DB2227" s="5" t="s">
        <v>238</v>
      </c>
      <c r="DD2227" s="5" t="s">
        <v>274</v>
      </c>
      <c r="DE2227" s="8">
        <f>1584</f>
        <v>1584</v>
      </c>
      <c r="DG2227" s="5" t="s">
        <v>238</v>
      </c>
      <c r="DH2227" s="5" t="s">
        <v>238</v>
      </c>
      <c r="DI2227" s="5" t="s">
        <v>238</v>
      </c>
      <c r="DJ2227" s="5" t="s">
        <v>238</v>
      </c>
      <c r="DN2227" s="5" t="s">
        <v>238</v>
      </c>
      <c r="DO2227" s="5" t="s">
        <v>238</v>
      </c>
      <c r="DP2227" s="5" t="s">
        <v>238</v>
      </c>
      <c r="DQ2227" s="5" t="s">
        <v>238</v>
      </c>
      <c r="DT2227" s="5" t="s">
        <v>275</v>
      </c>
      <c r="DU2227" s="5" t="s">
        <v>917</v>
      </c>
      <c r="HM2227" s="5" t="s">
        <v>264</v>
      </c>
    </row>
    <row r="2228" spans="1:221" x14ac:dyDescent="0.4">
      <c r="A2228" s="5">
        <v>3932</v>
      </c>
      <c r="B2228" s="5">
        <v>1</v>
      </c>
      <c r="C2228" s="5">
        <v>1</v>
      </c>
      <c r="D2228" s="5" t="s">
        <v>269</v>
      </c>
      <c r="E2228" s="5" t="s">
        <v>271</v>
      </c>
      <c r="F2228" s="5" t="s">
        <v>248</v>
      </c>
      <c r="G2228" s="5" t="s">
        <v>266</v>
      </c>
      <c r="H2228" s="6" t="s">
        <v>5621</v>
      </c>
      <c r="I2228" s="7">
        <f>1219</f>
        <v>1219</v>
      </c>
      <c r="J2228" s="5" t="s">
        <v>262</v>
      </c>
      <c r="K2228" s="8">
        <f>1</f>
        <v>1</v>
      </c>
      <c r="L2228" s="6" t="s">
        <v>242</v>
      </c>
      <c r="M2228" s="5" t="s">
        <v>267</v>
      </c>
      <c r="N2228" s="5" t="s">
        <v>265</v>
      </c>
      <c r="O2228" s="5" t="s">
        <v>238</v>
      </c>
      <c r="P2228" s="5" t="s">
        <v>238</v>
      </c>
      <c r="Q2228" s="5" t="s">
        <v>268</v>
      </c>
      <c r="R2228" s="5" t="s">
        <v>270</v>
      </c>
      <c r="S2228" s="5" t="s">
        <v>238</v>
      </c>
      <c r="V2228" s="5" t="s">
        <v>238</v>
      </c>
      <c r="X2228" s="6" t="s">
        <v>238</v>
      </c>
      <c r="AA2228" s="6" t="s">
        <v>243</v>
      </c>
      <c r="AB2228" s="5" t="s">
        <v>238</v>
      </c>
      <c r="AC2228" s="5" t="s">
        <v>244</v>
      </c>
      <c r="AD2228" s="5" t="s">
        <v>245</v>
      </c>
      <c r="AT2228" s="5" t="s">
        <v>246</v>
      </c>
      <c r="AU2228" s="5" t="s">
        <v>238</v>
      </c>
      <c r="AV2228" s="5" t="s">
        <v>247</v>
      </c>
      <c r="AW2228" s="5" t="s">
        <v>238</v>
      </c>
      <c r="AX2228" s="5" t="s">
        <v>249</v>
      </c>
      <c r="AY2228" s="5" t="s">
        <v>238</v>
      </c>
      <c r="BA2228" s="5" t="s">
        <v>238</v>
      </c>
      <c r="BC2228" s="5" t="s">
        <v>250</v>
      </c>
      <c r="BD2228" s="6" t="s">
        <v>243</v>
      </c>
      <c r="BE2228" s="5" t="s">
        <v>251</v>
      </c>
      <c r="BF2228" s="5" t="s">
        <v>252</v>
      </c>
      <c r="BG2228" s="5" t="s">
        <v>238</v>
      </c>
      <c r="BH2228" s="7">
        <f>0</f>
        <v>0</v>
      </c>
      <c r="BI2228" s="8">
        <f>0</f>
        <v>0</v>
      </c>
      <c r="BJ2228" s="5" t="s">
        <v>253</v>
      </c>
      <c r="BK2228" s="5" t="s">
        <v>254</v>
      </c>
      <c r="BY2228" s="5" t="s">
        <v>238</v>
      </c>
      <c r="BZ2228" s="5" t="s">
        <v>238</v>
      </c>
      <c r="CD2228" s="5" t="s">
        <v>273</v>
      </c>
      <c r="CE2228" s="5" t="s">
        <v>256</v>
      </c>
      <c r="CF2228" s="5" t="s">
        <v>238</v>
      </c>
      <c r="CI2228" s="6" t="s">
        <v>257</v>
      </c>
      <c r="CJ2228" s="5" t="s">
        <v>238</v>
      </c>
      <c r="CK2228" s="5" t="s">
        <v>258</v>
      </c>
      <c r="CL2228" s="5" t="s">
        <v>238</v>
      </c>
      <c r="CM2228" s="5" t="s">
        <v>238</v>
      </c>
      <c r="CN2228" s="5">
        <v>0</v>
      </c>
      <c r="CO2228" s="5" t="s">
        <v>259</v>
      </c>
      <c r="CP2228" s="5" t="s">
        <v>260</v>
      </c>
      <c r="CQ2228" s="5" t="s">
        <v>260</v>
      </c>
      <c r="CR2228" s="5" t="s">
        <v>261</v>
      </c>
      <c r="CU2228" s="8">
        <f>1</f>
        <v>1</v>
      </c>
      <c r="CV2228" s="8">
        <f>0</f>
        <v>0</v>
      </c>
      <c r="CX2228" s="8">
        <f>0</f>
        <v>0</v>
      </c>
      <c r="CY2228" s="8">
        <f>1</f>
        <v>1</v>
      </c>
      <c r="DA2228" s="5" t="s">
        <v>274</v>
      </c>
      <c r="DB2228" s="5" t="s">
        <v>238</v>
      </c>
      <c r="DD2228" s="5" t="s">
        <v>274</v>
      </c>
      <c r="DE2228" s="8">
        <f>1219</f>
        <v>1219</v>
      </c>
      <c r="DG2228" s="5" t="s">
        <v>238</v>
      </c>
      <c r="DH2228" s="5" t="s">
        <v>238</v>
      </c>
      <c r="DI2228" s="5" t="s">
        <v>238</v>
      </c>
      <c r="DJ2228" s="5" t="s">
        <v>238</v>
      </c>
      <c r="DN2228" s="5" t="s">
        <v>238</v>
      </c>
      <c r="DO2228" s="5" t="s">
        <v>238</v>
      </c>
      <c r="DP2228" s="5" t="s">
        <v>238</v>
      </c>
      <c r="DQ2228" s="5" t="s">
        <v>238</v>
      </c>
      <c r="DT2228" s="5" t="s">
        <v>275</v>
      </c>
      <c r="DU2228" s="5" t="s">
        <v>3176</v>
      </c>
      <c r="HM2228" s="5" t="s">
        <v>264</v>
      </c>
    </row>
    <row r="2229" spans="1:221" x14ac:dyDescent="0.4">
      <c r="A2229" s="5">
        <v>3933</v>
      </c>
      <c r="B2229" s="5">
        <v>1</v>
      </c>
      <c r="C2229" s="5">
        <v>1</v>
      </c>
      <c r="D2229" s="5" t="s">
        <v>269</v>
      </c>
      <c r="E2229" s="5" t="s">
        <v>271</v>
      </c>
      <c r="F2229" s="5" t="s">
        <v>248</v>
      </c>
      <c r="G2229" s="5" t="s">
        <v>266</v>
      </c>
      <c r="H2229" s="6" t="s">
        <v>923</v>
      </c>
      <c r="I2229" s="7">
        <f>1481</f>
        <v>1481</v>
      </c>
      <c r="J2229" s="5" t="s">
        <v>262</v>
      </c>
      <c r="K2229" s="8">
        <f>1</f>
        <v>1</v>
      </c>
      <c r="L2229" s="6" t="s">
        <v>242</v>
      </c>
      <c r="M2229" s="5" t="s">
        <v>267</v>
      </c>
      <c r="N2229" s="5" t="s">
        <v>265</v>
      </c>
      <c r="O2229" s="5" t="s">
        <v>238</v>
      </c>
      <c r="P2229" s="5" t="s">
        <v>238</v>
      </c>
      <c r="Q2229" s="5" t="s">
        <v>268</v>
      </c>
      <c r="R2229" s="5" t="s">
        <v>270</v>
      </c>
      <c r="S2229" s="5" t="s">
        <v>238</v>
      </c>
      <c r="V2229" s="5" t="s">
        <v>238</v>
      </c>
      <c r="X2229" s="6" t="s">
        <v>238</v>
      </c>
      <c r="AA2229" s="6" t="s">
        <v>243</v>
      </c>
      <c r="AB2229" s="5" t="s">
        <v>238</v>
      </c>
      <c r="AC2229" s="5" t="s">
        <v>244</v>
      </c>
      <c r="AD2229" s="5" t="s">
        <v>245</v>
      </c>
      <c r="AT2229" s="5" t="s">
        <v>246</v>
      </c>
      <c r="AU2229" s="5" t="s">
        <v>238</v>
      </c>
      <c r="AV2229" s="5" t="s">
        <v>247</v>
      </c>
      <c r="AW2229" s="5" t="s">
        <v>238</v>
      </c>
      <c r="AX2229" s="5" t="s">
        <v>249</v>
      </c>
      <c r="AY2229" s="5" t="s">
        <v>238</v>
      </c>
      <c r="BA2229" s="5" t="s">
        <v>238</v>
      </c>
      <c r="BC2229" s="5" t="s">
        <v>250</v>
      </c>
      <c r="BD2229" s="6" t="s">
        <v>243</v>
      </c>
      <c r="BE2229" s="5" t="s">
        <v>251</v>
      </c>
      <c r="BF2229" s="5" t="s">
        <v>252</v>
      </c>
      <c r="BG2229" s="5" t="s">
        <v>238</v>
      </c>
      <c r="BH2229" s="7">
        <f>0</f>
        <v>0</v>
      </c>
      <c r="BI2229" s="8">
        <f>0</f>
        <v>0</v>
      </c>
      <c r="BJ2229" s="5" t="s">
        <v>253</v>
      </c>
      <c r="BK2229" s="5" t="s">
        <v>254</v>
      </c>
      <c r="BY2229" s="5" t="s">
        <v>238</v>
      </c>
      <c r="BZ2229" s="5" t="s">
        <v>238</v>
      </c>
      <c r="CD2229" s="5" t="s">
        <v>273</v>
      </c>
      <c r="CE2229" s="5" t="s">
        <v>256</v>
      </c>
      <c r="CF2229" s="5" t="s">
        <v>238</v>
      </c>
      <c r="CI2229" s="6" t="s">
        <v>257</v>
      </c>
      <c r="CJ2229" s="5" t="s">
        <v>238</v>
      </c>
      <c r="CK2229" s="5" t="s">
        <v>258</v>
      </c>
      <c r="CL2229" s="5" t="s">
        <v>238</v>
      </c>
      <c r="CM2229" s="5" t="s">
        <v>238</v>
      </c>
      <c r="CN2229" s="5">
        <v>0</v>
      </c>
      <c r="CO2229" s="5" t="s">
        <v>259</v>
      </c>
      <c r="CP2229" s="5" t="s">
        <v>260</v>
      </c>
      <c r="CQ2229" s="5" t="s">
        <v>260</v>
      </c>
      <c r="CR2229" s="5" t="s">
        <v>261</v>
      </c>
      <c r="CU2229" s="8">
        <f>1</f>
        <v>1</v>
      </c>
      <c r="CV2229" s="8">
        <f>0</f>
        <v>0</v>
      </c>
      <c r="CX2229" s="8">
        <f>0</f>
        <v>0</v>
      </c>
      <c r="CY2229" s="8">
        <f>1</f>
        <v>1</v>
      </c>
      <c r="DA2229" s="5" t="s">
        <v>274</v>
      </c>
      <c r="DB2229" s="5" t="s">
        <v>238</v>
      </c>
      <c r="DD2229" s="5" t="s">
        <v>274</v>
      </c>
      <c r="DE2229" s="8">
        <f>1481</f>
        <v>1481</v>
      </c>
      <c r="DG2229" s="5" t="s">
        <v>238</v>
      </c>
      <c r="DH2229" s="5" t="s">
        <v>238</v>
      </c>
      <c r="DI2229" s="5" t="s">
        <v>238</v>
      </c>
      <c r="DJ2229" s="5" t="s">
        <v>238</v>
      </c>
      <c r="DN2229" s="5" t="s">
        <v>238</v>
      </c>
      <c r="DO2229" s="5" t="s">
        <v>238</v>
      </c>
      <c r="DP2229" s="5" t="s">
        <v>238</v>
      </c>
      <c r="DQ2229" s="5" t="s">
        <v>238</v>
      </c>
      <c r="DT2229" s="5" t="s">
        <v>275</v>
      </c>
      <c r="DU2229" s="5" t="s">
        <v>924</v>
      </c>
      <c r="HM2229" s="5" t="s">
        <v>264</v>
      </c>
    </row>
    <row r="2230" spans="1:221" x14ac:dyDescent="0.4">
      <c r="A2230" s="5">
        <v>3934</v>
      </c>
      <c r="B2230" s="5">
        <v>1</v>
      </c>
      <c r="C2230" s="5">
        <v>1</v>
      </c>
      <c r="D2230" s="5" t="s">
        <v>269</v>
      </c>
      <c r="E2230" s="5" t="s">
        <v>271</v>
      </c>
      <c r="F2230" s="5" t="s">
        <v>248</v>
      </c>
      <c r="G2230" s="5" t="s">
        <v>266</v>
      </c>
      <c r="H2230" s="6" t="s">
        <v>925</v>
      </c>
      <c r="I2230" s="7">
        <f>1628</f>
        <v>1628</v>
      </c>
      <c r="J2230" s="5" t="s">
        <v>262</v>
      </c>
      <c r="K2230" s="8">
        <f>1</f>
        <v>1</v>
      </c>
      <c r="L2230" s="6" t="s">
        <v>242</v>
      </c>
      <c r="M2230" s="5" t="s">
        <v>267</v>
      </c>
      <c r="N2230" s="5" t="s">
        <v>265</v>
      </c>
      <c r="O2230" s="5" t="s">
        <v>238</v>
      </c>
      <c r="P2230" s="5" t="s">
        <v>238</v>
      </c>
      <c r="Q2230" s="5" t="s">
        <v>268</v>
      </c>
      <c r="R2230" s="5" t="s">
        <v>270</v>
      </c>
      <c r="S2230" s="5" t="s">
        <v>238</v>
      </c>
      <c r="V2230" s="5" t="s">
        <v>238</v>
      </c>
      <c r="X2230" s="6" t="s">
        <v>238</v>
      </c>
      <c r="AA2230" s="6" t="s">
        <v>243</v>
      </c>
      <c r="AB2230" s="5" t="s">
        <v>238</v>
      </c>
      <c r="AC2230" s="5" t="s">
        <v>244</v>
      </c>
      <c r="AD2230" s="5" t="s">
        <v>245</v>
      </c>
      <c r="AT2230" s="5" t="s">
        <v>246</v>
      </c>
      <c r="AU2230" s="5" t="s">
        <v>238</v>
      </c>
      <c r="AV2230" s="5" t="s">
        <v>247</v>
      </c>
      <c r="AW2230" s="5" t="s">
        <v>238</v>
      </c>
      <c r="AX2230" s="5" t="s">
        <v>249</v>
      </c>
      <c r="AY2230" s="5" t="s">
        <v>238</v>
      </c>
      <c r="BA2230" s="5" t="s">
        <v>238</v>
      </c>
      <c r="BC2230" s="5" t="s">
        <v>250</v>
      </c>
      <c r="BD2230" s="6" t="s">
        <v>243</v>
      </c>
      <c r="BE2230" s="5" t="s">
        <v>251</v>
      </c>
      <c r="BF2230" s="5" t="s">
        <v>252</v>
      </c>
      <c r="BG2230" s="5" t="s">
        <v>238</v>
      </c>
      <c r="BH2230" s="7">
        <f>0</f>
        <v>0</v>
      </c>
      <c r="BI2230" s="8">
        <f>0</f>
        <v>0</v>
      </c>
      <c r="BJ2230" s="5" t="s">
        <v>253</v>
      </c>
      <c r="BK2230" s="5" t="s">
        <v>254</v>
      </c>
      <c r="BY2230" s="5" t="s">
        <v>238</v>
      </c>
      <c r="BZ2230" s="5" t="s">
        <v>238</v>
      </c>
      <c r="CD2230" s="5" t="s">
        <v>273</v>
      </c>
      <c r="CE2230" s="5" t="s">
        <v>256</v>
      </c>
      <c r="CF2230" s="5" t="s">
        <v>238</v>
      </c>
      <c r="CI2230" s="6" t="s">
        <v>257</v>
      </c>
      <c r="CJ2230" s="5" t="s">
        <v>238</v>
      </c>
      <c r="CK2230" s="5" t="s">
        <v>258</v>
      </c>
      <c r="CL2230" s="5" t="s">
        <v>238</v>
      </c>
      <c r="CM2230" s="5" t="s">
        <v>238</v>
      </c>
      <c r="CN2230" s="5">
        <v>0</v>
      </c>
      <c r="CO2230" s="5" t="s">
        <v>259</v>
      </c>
      <c r="CP2230" s="5" t="s">
        <v>260</v>
      </c>
      <c r="CQ2230" s="5" t="s">
        <v>260</v>
      </c>
      <c r="CR2230" s="5" t="s">
        <v>261</v>
      </c>
      <c r="CU2230" s="8">
        <f>1</f>
        <v>1</v>
      </c>
      <c r="CV2230" s="8">
        <f>0</f>
        <v>0</v>
      </c>
      <c r="CX2230" s="8">
        <f>0</f>
        <v>0</v>
      </c>
      <c r="CY2230" s="8">
        <f>1</f>
        <v>1</v>
      </c>
      <c r="DA2230" s="5" t="s">
        <v>274</v>
      </c>
      <c r="DB2230" s="5" t="s">
        <v>238</v>
      </c>
      <c r="DD2230" s="5" t="s">
        <v>274</v>
      </c>
      <c r="DE2230" s="8">
        <f>1628</f>
        <v>1628</v>
      </c>
      <c r="DG2230" s="5" t="s">
        <v>238</v>
      </c>
      <c r="DH2230" s="5" t="s">
        <v>238</v>
      </c>
      <c r="DI2230" s="5" t="s">
        <v>238</v>
      </c>
      <c r="DJ2230" s="5" t="s">
        <v>238</v>
      </c>
      <c r="DN2230" s="5" t="s">
        <v>238</v>
      </c>
      <c r="DO2230" s="5" t="s">
        <v>238</v>
      </c>
      <c r="DP2230" s="5" t="s">
        <v>238</v>
      </c>
      <c r="DQ2230" s="5" t="s">
        <v>238</v>
      </c>
      <c r="DT2230" s="5" t="s">
        <v>275</v>
      </c>
      <c r="DU2230" s="5" t="s">
        <v>926</v>
      </c>
      <c r="HM2230" s="5" t="s">
        <v>264</v>
      </c>
    </row>
    <row r="2231" spans="1:221" x14ac:dyDescent="0.4">
      <c r="A2231" s="5">
        <v>3935</v>
      </c>
      <c r="B2231" s="5">
        <v>1</v>
      </c>
      <c r="C2231" s="5">
        <v>1</v>
      </c>
      <c r="D2231" s="5" t="s">
        <v>269</v>
      </c>
      <c r="E2231" s="5" t="s">
        <v>271</v>
      </c>
      <c r="F2231" s="5" t="s">
        <v>248</v>
      </c>
      <c r="G2231" s="5" t="s">
        <v>266</v>
      </c>
      <c r="H2231" s="6" t="s">
        <v>927</v>
      </c>
      <c r="I2231" s="7">
        <f>408</f>
        <v>408</v>
      </c>
      <c r="J2231" s="5" t="s">
        <v>262</v>
      </c>
      <c r="K2231" s="8">
        <f>1</f>
        <v>1</v>
      </c>
      <c r="L2231" s="6" t="s">
        <v>242</v>
      </c>
      <c r="M2231" s="5" t="s">
        <v>267</v>
      </c>
      <c r="N2231" s="5" t="s">
        <v>265</v>
      </c>
      <c r="O2231" s="5" t="s">
        <v>238</v>
      </c>
      <c r="P2231" s="5" t="s">
        <v>238</v>
      </c>
      <c r="Q2231" s="5" t="s">
        <v>268</v>
      </c>
      <c r="R2231" s="5" t="s">
        <v>270</v>
      </c>
      <c r="S2231" s="5" t="s">
        <v>238</v>
      </c>
      <c r="V2231" s="5" t="s">
        <v>238</v>
      </c>
      <c r="X2231" s="6" t="s">
        <v>238</v>
      </c>
      <c r="AA2231" s="6" t="s">
        <v>243</v>
      </c>
      <c r="AB2231" s="5" t="s">
        <v>238</v>
      </c>
      <c r="AC2231" s="5" t="s">
        <v>244</v>
      </c>
      <c r="AD2231" s="5" t="s">
        <v>245</v>
      </c>
      <c r="AT2231" s="5" t="s">
        <v>246</v>
      </c>
      <c r="AU2231" s="5" t="s">
        <v>238</v>
      </c>
      <c r="AV2231" s="5" t="s">
        <v>247</v>
      </c>
      <c r="AW2231" s="5" t="s">
        <v>238</v>
      </c>
      <c r="AX2231" s="5" t="s">
        <v>249</v>
      </c>
      <c r="AY2231" s="5" t="s">
        <v>238</v>
      </c>
      <c r="BA2231" s="5" t="s">
        <v>238</v>
      </c>
      <c r="BC2231" s="5" t="s">
        <v>250</v>
      </c>
      <c r="BD2231" s="6" t="s">
        <v>243</v>
      </c>
      <c r="BE2231" s="5" t="s">
        <v>251</v>
      </c>
      <c r="BF2231" s="5" t="s">
        <v>252</v>
      </c>
      <c r="BG2231" s="5" t="s">
        <v>238</v>
      </c>
      <c r="BH2231" s="7">
        <f>0</f>
        <v>0</v>
      </c>
      <c r="BI2231" s="8">
        <f>0</f>
        <v>0</v>
      </c>
      <c r="BJ2231" s="5" t="s">
        <v>253</v>
      </c>
      <c r="BK2231" s="5" t="s">
        <v>254</v>
      </c>
      <c r="BY2231" s="5" t="s">
        <v>238</v>
      </c>
      <c r="BZ2231" s="5" t="s">
        <v>238</v>
      </c>
      <c r="CD2231" s="5" t="s">
        <v>273</v>
      </c>
      <c r="CE2231" s="5" t="s">
        <v>256</v>
      </c>
      <c r="CF2231" s="5" t="s">
        <v>238</v>
      </c>
      <c r="CI2231" s="6" t="s">
        <v>257</v>
      </c>
      <c r="CJ2231" s="5" t="s">
        <v>238</v>
      </c>
      <c r="CK2231" s="5" t="s">
        <v>258</v>
      </c>
      <c r="CL2231" s="5" t="s">
        <v>238</v>
      </c>
      <c r="CM2231" s="5" t="s">
        <v>238</v>
      </c>
      <c r="CN2231" s="5">
        <v>0</v>
      </c>
      <c r="CO2231" s="5" t="s">
        <v>259</v>
      </c>
      <c r="CP2231" s="5" t="s">
        <v>260</v>
      </c>
      <c r="CQ2231" s="5" t="s">
        <v>260</v>
      </c>
      <c r="CR2231" s="5" t="s">
        <v>261</v>
      </c>
      <c r="CU2231" s="8">
        <f>1</f>
        <v>1</v>
      </c>
      <c r="CV2231" s="8">
        <f>0</f>
        <v>0</v>
      </c>
      <c r="CX2231" s="8">
        <f>0</f>
        <v>0</v>
      </c>
      <c r="CY2231" s="8">
        <f>1</f>
        <v>1</v>
      </c>
      <c r="DA2231" s="5" t="s">
        <v>274</v>
      </c>
      <c r="DB2231" s="5" t="s">
        <v>238</v>
      </c>
      <c r="DD2231" s="5" t="s">
        <v>274</v>
      </c>
      <c r="DE2231" s="8">
        <f>408</f>
        <v>408</v>
      </c>
      <c r="DG2231" s="5" t="s">
        <v>238</v>
      </c>
      <c r="DH2231" s="5" t="s">
        <v>238</v>
      </c>
      <c r="DI2231" s="5" t="s">
        <v>238</v>
      </c>
      <c r="DJ2231" s="5" t="s">
        <v>238</v>
      </c>
      <c r="DN2231" s="5" t="s">
        <v>238</v>
      </c>
      <c r="DO2231" s="5" t="s">
        <v>238</v>
      </c>
      <c r="DP2231" s="5" t="s">
        <v>238</v>
      </c>
      <c r="DQ2231" s="5" t="s">
        <v>238</v>
      </c>
      <c r="DT2231" s="5" t="s">
        <v>275</v>
      </c>
      <c r="DU2231" s="5" t="s">
        <v>928</v>
      </c>
      <c r="HM2231" s="5" t="s">
        <v>264</v>
      </c>
    </row>
    <row r="2232" spans="1:221" x14ac:dyDescent="0.4">
      <c r="A2232" s="5">
        <v>3936</v>
      </c>
      <c r="B2232" s="5">
        <v>1</v>
      </c>
      <c r="C2232" s="5">
        <v>1</v>
      </c>
      <c r="D2232" s="5" t="s">
        <v>269</v>
      </c>
      <c r="E2232" s="5" t="s">
        <v>271</v>
      </c>
      <c r="F2232" s="5" t="s">
        <v>248</v>
      </c>
      <c r="G2232" s="5" t="s">
        <v>266</v>
      </c>
      <c r="H2232" s="6" t="s">
        <v>929</v>
      </c>
      <c r="I2232" s="7">
        <f>1040</f>
        <v>1040</v>
      </c>
      <c r="J2232" s="5" t="s">
        <v>262</v>
      </c>
      <c r="K2232" s="8">
        <f>1</f>
        <v>1</v>
      </c>
      <c r="L2232" s="6" t="s">
        <v>242</v>
      </c>
      <c r="M2232" s="5" t="s">
        <v>267</v>
      </c>
      <c r="N2232" s="5" t="s">
        <v>265</v>
      </c>
      <c r="O2232" s="5" t="s">
        <v>238</v>
      </c>
      <c r="P2232" s="5" t="s">
        <v>238</v>
      </c>
      <c r="Q2232" s="5" t="s">
        <v>268</v>
      </c>
      <c r="R2232" s="5" t="s">
        <v>270</v>
      </c>
      <c r="S2232" s="5" t="s">
        <v>238</v>
      </c>
      <c r="V2232" s="5" t="s">
        <v>238</v>
      </c>
      <c r="X2232" s="6" t="s">
        <v>238</v>
      </c>
      <c r="AA2232" s="6" t="s">
        <v>243</v>
      </c>
      <c r="AB2232" s="5" t="s">
        <v>238</v>
      </c>
      <c r="AC2232" s="5" t="s">
        <v>244</v>
      </c>
      <c r="AD2232" s="5" t="s">
        <v>245</v>
      </c>
      <c r="AT2232" s="5" t="s">
        <v>246</v>
      </c>
      <c r="AU2232" s="5" t="s">
        <v>238</v>
      </c>
      <c r="AV2232" s="5" t="s">
        <v>247</v>
      </c>
      <c r="AW2232" s="5" t="s">
        <v>238</v>
      </c>
      <c r="AX2232" s="5" t="s">
        <v>249</v>
      </c>
      <c r="AY2232" s="5" t="s">
        <v>238</v>
      </c>
      <c r="BA2232" s="5" t="s">
        <v>238</v>
      </c>
      <c r="BC2232" s="5" t="s">
        <v>250</v>
      </c>
      <c r="BD2232" s="6" t="s">
        <v>243</v>
      </c>
      <c r="BE2232" s="5" t="s">
        <v>251</v>
      </c>
      <c r="BF2232" s="5" t="s">
        <v>252</v>
      </c>
      <c r="BG2232" s="5" t="s">
        <v>238</v>
      </c>
      <c r="BH2232" s="7">
        <f>0</f>
        <v>0</v>
      </c>
      <c r="BI2232" s="8">
        <f>0</f>
        <v>0</v>
      </c>
      <c r="BJ2232" s="5" t="s">
        <v>253</v>
      </c>
      <c r="BK2232" s="5" t="s">
        <v>254</v>
      </c>
      <c r="BY2232" s="5" t="s">
        <v>238</v>
      </c>
      <c r="BZ2232" s="5" t="s">
        <v>238</v>
      </c>
      <c r="CD2232" s="5" t="s">
        <v>273</v>
      </c>
      <c r="CE2232" s="5" t="s">
        <v>256</v>
      </c>
      <c r="CF2232" s="5" t="s">
        <v>238</v>
      </c>
      <c r="CI2232" s="6" t="s">
        <v>257</v>
      </c>
      <c r="CJ2232" s="5" t="s">
        <v>238</v>
      </c>
      <c r="CK2232" s="5" t="s">
        <v>258</v>
      </c>
      <c r="CL2232" s="5" t="s">
        <v>238</v>
      </c>
      <c r="CM2232" s="5" t="s">
        <v>238</v>
      </c>
      <c r="CN2232" s="5">
        <v>0</v>
      </c>
      <c r="CO2232" s="5" t="s">
        <v>259</v>
      </c>
      <c r="CP2232" s="5" t="s">
        <v>260</v>
      </c>
      <c r="CQ2232" s="5" t="s">
        <v>260</v>
      </c>
      <c r="CR2232" s="5" t="s">
        <v>261</v>
      </c>
      <c r="CU2232" s="8">
        <f>1</f>
        <v>1</v>
      </c>
      <c r="CV2232" s="8">
        <f>0</f>
        <v>0</v>
      </c>
      <c r="CX2232" s="8">
        <f>0</f>
        <v>0</v>
      </c>
      <c r="CY2232" s="8">
        <f>1</f>
        <v>1</v>
      </c>
      <c r="DA2232" s="5" t="s">
        <v>274</v>
      </c>
      <c r="DB2232" s="5" t="s">
        <v>238</v>
      </c>
      <c r="DD2232" s="5" t="s">
        <v>274</v>
      </c>
      <c r="DE2232" s="8">
        <f>1040</f>
        <v>1040</v>
      </c>
      <c r="DG2232" s="5" t="s">
        <v>238</v>
      </c>
      <c r="DH2232" s="5" t="s">
        <v>238</v>
      </c>
      <c r="DI2232" s="5" t="s">
        <v>238</v>
      </c>
      <c r="DJ2232" s="5" t="s">
        <v>238</v>
      </c>
      <c r="DN2232" s="5" t="s">
        <v>238</v>
      </c>
      <c r="DO2232" s="5" t="s">
        <v>238</v>
      </c>
      <c r="DP2232" s="5" t="s">
        <v>238</v>
      </c>
      <c r="DQ2232" s="5" t="s">
        <v>238</v>
      </c>
      <c r="DT2232" s="5" t="s">
        <v>275</v>
      </c>
      <c r="DU2232" s="5" t="s">
        <v>930</v>
      </c>
      <c r="HM2232" s="5" t="s">
        <v>264</v>
      </c>
    </row>
    <row r="2233" spans="1:221" x14ac:dyDescent="0.4">
      <c r="A2233" s="5">
        <v>3937</v>
      </c>
      <c r="B2233" s="5">
        <v>1</v>
      </c>
      <c r="C2233" s="5">
        <v>1</v>
      </c>
      <c r="D2233" s="5" t="s">
        <v>269</v>
      </c>
      <c r="E2233" s="5" t="s">
        <v>271</v>
      </c>
      <c r="F2233" s="5" t="s">
        <v>248</v>
      </c>
      <c r="G2233" s="5" t="s">
        <v>266</v>
      </c>
      <c r="H2233" s="6" t="s">
        <v>937</v>
      </c>
      <c r="I2233" s="7">
        <f>961</f>
        <v>961</v>
      </c>
      <c r="J2233" s="5" t="s">
        <v>262</v>
      </c>
      <c r="K2233" s="8">
        <f>1</f>
        <v>1</v>
      </c>
      <c r="L2233" s="6" t="s">
        <v>242</v>
      </c>
      <c r="M2233" s="5" t="s">
        <v>267</v>
      </c>
      <c r="N2233" s="5" t="s">
        <v>265</v>
      </c>
      <c r="O2233" s="5" t="s">
        <v>238</v>
      </c>
      <c r="P2233" s="5" t="s">
        <v>238</v>
      </c>
      <c r="Q2233" s="5" t="s">
        <v>268</v>
      </c>
      <c r="R2233" s="5" t="s">
        <v>270</v>
      </c>
      <c r="S2233" s="5" t="s">
        <v>238</v>
      </c>
      <c r="V2233" s="5" t="s">
        <v>238</v>
      </c>
      <c r="X2233" s="6" t="s">
        <v>238</v>
      </c>
      <c r="AA2233" s="6" t="s">
        <v>243</v>
      </c>
      <c r="AB2233" s="5" t="s">
        <v>238</v>
      </c>
      <c r="AC2233" s="5" t="s">
        <v>244</v>
      </c>
      <c r="AD2233" s="5" t="s">
        <v>245</v>
      </c>
      <c r="AT2233" s="5" t="s">
        <v>246</v>
      </c>
      <c r="AU2233" s="5" t="s">
        <v>238</v>
      </c>
      <c r="AV2233" s="5" t="s">
        <v>247</v>
      </c>
      <c r="AW2233" s="5" t="s">
        <v>238</v>
      </c>
      <c r="AX2233" s="5" t="s">
        <v>249</v>
      </c>
      <c r="AY2233" s="5" t="s">
        <v>238</v>
      </c>
      <c r="BA2233" s="5" t="s">
        <v>238</v>
      </c>
      <c r="BC2233" s="5" t="s">
        <v>250</v>
      </c>
      <c r="BD2233" s="6" t="s">
        <v>243</v>
      </c>
      <c r="BE2233" s="5" t="s">
        <v>251</v>
      </c>
      <c r="BF2233" s="5" t="s">
        <v>252</v>
      </c>
      <c r="BG2233" s="5" t="s">
        <v>238</v>
      </c>
      <c r="BH2233" s="7">
        <f>0</f>
        <v>0</v>
      </c>
      <c r="BI2233" s="8">
        <f>0</f>
        <v>0</v>
      </c>
      <c r="BJ2233" s="5" t="s">
        <v>253</v>
      </c>
      <c r="BK2233" s="5" t="s">
        <v>254</v>
      </c>
      <c r="BY2233" s="5" t="s">
        <v>238</v>
      </c>
      <c r="BZ2233" s="5" t="s">
        <v>238</v>
      </c>
      <c r="CD2233" s="5" t="s">
        <v>273</v>
      </c>
      <c r="CE2233" s="5" t="s">
        <v>256</v>
      </c>
      <c r="CF2233" s="5" t="s">
        <v>238</v>
      </c>
      <c r="CI2233" s="6" t="s">
        <v>257</v>
      </c>
      <c r="CJ2233" s="5" t="s">
        <v>238</v>
      </c>
      <c r="CK2233" s="5" t="s">
        <v>258</v>
      </c>
      <c r="CL2233" s="5" t="s">
        <v>238</v>
      </c>
      <c r="CM2233" s="5" t="s">
        <v>238</v>
      </c>
      <c r="CN2233" s="5">
        <v>0</v>
      </c>
      <c r="CO2233" s="5" t="s">
        <v>259</v>
      </c>
      <c r="CP2233" s="5" t="s">
        <v>260</v>
      </c>
      <c r="CQ2233" s="5" t="s">
        <v>260</v>
      </c>
      <c r="CR2233" s="5" t="s">
        <v>261</v>
      </c>
      <c r="CU2233" s="8">
        <f>1</f>
        <v>1</v>
      </c>
      <c r="CV2233" s="8">
        <f>0</f>
        <v>0</v>
      </c>
      <c r="CX2233" s="8">
        <f>0</f>
        <v>0</v>
      </c>
      <c r="CY2233" s="8">
        <f>1</f>
        <v>1</v>
      </c>
      <c r="DA2233" s="5" t="s">
        <v>274</v>
      </c>
      <c r="DB2233" s="5" t="s">
        <v>238</v>
      </c>
      <c r="DD2233" s="5" t="s">
        <v>274</v>
      </c>
      <c r="DE2233" s="8">
        <f>961</f>
        <v>961</v>
      </c>
      <c r="DG2233" s="5" t="s">
        <v>238</v>
      </c>
      <c r="DH2233" s="5" t="s">
        <v>238</v>
      </c>
      <c r="DI2233" s="5" t="s">
        <v>238</v>
      </c>
      <c r="DJ2233" s="5" t="s">
        <v>238</v>
      </c>
      <c r="DN2233" s="5" t="s">
        <v>238</v>
      </c>
      <c r="DO2233" s="5" t="s">
        <v>238</v>
      </c>
      <c r="DP2233" s="5" t="s">
        <v>238</v>
      </c>
      <c r="DQ2233" s="5" t="s">
        <v>238</v>
      </c>
      <c r="DT2233" s="5" t="s">
        <v>275</v>
      </c>
      <c r="DU2233" s="5" t="s">
        <v>938</v>
      </c>
      <c r="HM2233" s="5" t="s">
        <v>264</v>
      </c>
    </row>
    <row r="2234" spans="1:221" x14ac:dyDescent="0.4">
      <c r="A2234" s="5">
        <v>3938</v>
      </c>
      <c r="B2234" s="5">
        <v>1</v>
      </c>
      <c r="C2234" s="5">
        <v>1</v>
      </c>
      <c r="D2234" s="5" t="s">
        <v>269</v>
      </c>
      <c r="E2234" s="5" t="s">
        <v>271</v>
      </c>
      <c r="F2234" s="5" t="s">
        <v>248</v>
      </c>
      <c r="G2234" s="5" t="s">
        <v>266</v>
      </c>
      <c r="H2234" s="6" t="s">
        <v>4184</v>
      </c>
      <c r="I2234" s="7">
        <f>1162</f>
        <v>1162</v>
      </c>
      <c r="J2234" s="5" t="s">
        <v>262</v>
      </c>
      <c r="K2234" s="8">
        <f>1</f>
        <v>1</v>
      </c>
      <c r="L2234" s="6" t="s">
        <v>242</v>
      </c>
      <c r="M2234" s="5" t="s">
        <v>267</v>
      </c>
      <c r="N2234" s="5" t="s">
        <v>265</v>
      </c>
      <c r="O2234" s="5" t="s">
        <v>238</v>
      </c>
      <c r="P2234" s="5" t="s">
        <v>238</v>
      </c>
      <c r="Q2234" s="5" t="s">
        <v>268</v>
      </c>
      <c r="R2234" s="5" t="s">
        <v>270</v>
      </c>
      <c r="S2234" s="5" t="s">
        <v>238</v>
      </c>
      <c r="V2234" s="5" t="s">
        <v>238</v>
      </c>
      <c r="X2234" s="6" t="s">
        <v>238</v>
      </c>
      <c r="AA2234" s="6" t="s">
        <v>243</v>
      </c>
      <c r="AB2234" s="5" t="s">
        <v>238</v>
      </c>
      <c r="AC2234" s="5" t="s">
        <v>244</v>
      </c>
      <c r="AD2234" s="5" t="s">
        <v>245</v>
      </c>
      <c r="AT2234" s="5" t="s">
        <v>246</v>
      </c>
      <c r="AU2234" s="5" t="s">
        <v>238</v>
      </c>
      <c r="AV2234" s="5" t="s">
        <v>247</v>
      </c>
      <c r="AW2234" s="5" t="s">
        <v>238</v>
      </c>
      <c r="AX2234" s="5" t="s">
        <v>249</v>
      </c>
      <c r="AY2234" s="5" t="s">
        <v>238</v>
      </c>
      <c r="BA2234" s="5" t="s">
        <v>238</v>
      </c>
      <c r="BC2234" s="5" t="s">
        <v>250</v>
      </c>
      <c r="BD2234" s="6" t="s">
        <v>243</v>
      </c>
      <c r="BE2234" s="5" t="s">
        <v>251</v>
      </c>
      <c r="BF2234" s="5" t="s">
        <v>252</v>
      </c>
      <c r="BG2234" s="5" t="s">
        <v>238</v>
      </c>
      <c r="BH2234" s="7">
        <f>0</f>
        <v>0</v>
      </c>
      <c r="BI2234" s="8">
        <f>0</f>
        <v>0</v>
      </c>
      <c r="BJ2234" s="5" t="s">
        <v>253</v>
      </c>
      <c r="BK2234" s="5" t="s">
        <v>254</v>
      </c>
      <c r="BY2234" s="5" t="s">
        <v>238</v>
      </c>
      <c r="BZ2234" s="5" t="s">
        <v>238</v>
      </c>
      <c r="CD2234" s="5" t="s">
        <v>273</v>
      </c>
      <c r="CE2234" s="5" t="s">
        <v>256</v>
      </c>
      <c r="CF2234" s="5" t="s">
        <v>238</v>
      </c>
      <c r="CI2234" s="6" t="s">
        <v>257</v>
      </c>
      <c r="CJ2234" s="5" t="s">
        <v>238</v>
      </c>
      <c r="CK2234" s="5" t="s">
        <v>258</v>
      </c>
      <c r="CL2234" s="5" t="s">
        <v>238</v>
      </c>
      <c r="CM2234" s="5" t="s">
        <v>238</v>
      </c>
      <c r="CN2234" s="5">
        <v>0</v>
      </c>
      <c r="CO2234" s="5" t="s">
        <v>259</v>
      </c>
      <c r="CP2234" s="5" t="s">
        <v>260</v>
      </c>
      <c r="CQ2234" s="5" t="s">
        <v>260</v>
      </c>
      <c r="CR2234" s="5" t="s">
        <v>261</v>
      </c>
      <c r="CU2234" s="8">
        <f>1</f>
        <v>1</v>
      </c>
      <c r="CV2234" s="8">
        <f>0</f>
        <v>0</v>
      </c>
      <c r="CX2234" s="8">
        <f>0</f>
        <v>0</v>
      </c>
      <c r="CY2234" s="8">
        <f>1</f>
        <v>1</v>
      </c>
      <c r="DA2234" s="5" t="s">
        <v>274</v>
      </c>
      <c r="DB2234" s="5" t="s">
        <v>238</v>
      </c>
      <c r="DD2234" s="5" t="s">
        <v>274</v>
      </c>
      <c r="DE2234" s="8">
        <f>1162</f>
        <v>1162</v>
      </c>
      <c r="DG2234" s="5" t="s">
        <v>238</v>
      </c>
      <c r="DH2234" s="5" t="s">
        <v>238</v>
      </c>
      <c r="DI2234" s="5" t="s">
        <v>238</v>
      </c>
      <c r="DJ2234" s="5" t="s">
        <v>238</v>
      </c>
      <c r="DN2234" s="5" t="s">
        <v>238</v>
      </c>
      <c r="DO2234" s="5" t="s">
        <v>238</v>
      </c>
      <c r="DP2234" s="5" t="s">
        <v>238</v>
      </c>
      <c r="DQ2234" s="5" t="s">
        <v>238</v>
      </c>
      <c r="DT2234" s="5" t="s">
        <v>275</v>
      </c>
      <c r="DU2234" s="5" t="s">
        <v>3157</v>
      </c>
      <c r="HM2234" s="5" t="s">
        <v>264</v>
      </c>
    </row>
    <row r="2235" spans="1:221" x14ac:dyDescent="0.4">
      <c r="A2235" s="5">
        <v>3939</v>
      </c>
      <c r="B2235" s="5">
        <v>1</v>
      </c>
      <c r="C2235" s="5">
        <v>1</v>
      </c>
      <c r="D2235" s="5" t="s">
        <v>269</v>
      </c>
      <c r="E2235" s="5" t="s">
        <v>271</v>
      </c>
      <c r="F2235" s="5" t="s">
        <v>248</v>
      </c>
      <c r="G2235" s="5" t="s">
        <v>266</v>
      </c>
      <c r="H2235" s="6" t="s">
        <v>4229</v>
      </c>
      <c r="I2235" s="7">
        <f>2147</f>
        <v>2147</v>
      </c>
      <c r="J2235" s="5" t="s">
        <v>262</v>
      </c>
      <c r="K2235" s="8">
        <f>1</f>
        <v>1</v>
      </c>
      <c r="L2235" s="6" t="s">
        <v>242</v>
      </c>
      <c r="M2235" s="5" t="s">
        <v>267</v>
      </c>
      <c r="N2235" s="5" t="s">
        <v>265</v>
      </c>
      <c r="O2235" s="5" t="s">
        <v>238</v>
      </c>
      <c r="P2235" s="5" t="s">
        <v>238</v>
      </c>
      <c r="Q2235" s="5" t="s">
        <v>268</v>
      </c>
      <c r="R2235" s="5" t="s">
        <v>270</v>
      </c>
      <c r="S2235" s="5" t="s">
        <v>238</v>
      </c>
      <c r="V2235" s="5" t="s">
        <v>238</v>
      </c>
      <c r="X2235" s="6" t="s">
        <v>238</v>
      </c>
      <c r="AA2235" s="6" t="s">
        <v>243</v>
      </c>
      <c r="AB2235" s="5" t="s">
        <v>238</v>
      </c>
      <c r="AC2235" s="5" t="s">
        <v>244</v>
      </c>
      <c r="AD2235" s="5" t="s">
        <v>245</v>
      </c>
      <c r="AT2235" s="5" t="s">
        <v>246</v>
      </c>
      <c r="AU2235" s="5" t="s">
        <v>238</v>
      </c>
      <c r="AV2235" s="5" t="s">
        <v>247</v>
      </c>
      <c r="AW2235" s="5" t="s">
        <v>238</v>
      </c>
      <c r="AX2235" s="5" t="s">
        <v>249</v>
      </c>
      <c r="AY2235" s="5" t="s">
        <v>238</v>
      </c>
      <c r="BA2235" s="5" t="s">
        <v>238</v>
      </c>
      <c r="BC2235" s="5" t="s">
        <v>250</v>
      </c>
      <c r="BD2235" s="6" t="s">
        <v>243</v>
      </c>
      <c r="BE2235" s="5" t="s">
        <v>251</v>
      </c>
      <c r="BF2235" s="5" t="s">
        <v>252</v>
      </c>
      <c r="BG2235" s="5" t="s">
        <v>238</v>
      </c>
      <c r="BH2235" s="7">
        <f>0</f>
        <v>0</v>
      </c>
      <c r="BI2235" s="8">
        <f>0</f>
        <v>0</v>
      </c>
      <c r="BJ2235" s="5" t="s">
        <v>253</v>
      </c>
      <c r="BK2235" s="5" t="s">
        <v>254</v>
      </c>
      <c r="BY2235" s="5" t="s">
        <v>238</v>
      </c>
      <c r="BZ2235" s="5" t="s">
        <v>238</v>
      </c>
      <c r="CD2235" s="5" t="s">
        <v>273</v>
      </c>
      <c r="CE2235" s="5" t="s">
        <v>256</v>
      </c>
      <c r="CF2235" s="5" t="s">
        <v>238</v>
      </c>
      <c r="CI2235" s="6" t="s">
        <v>257</v>
      </c>
      <c r="CJ2235" s="5" t="s">
        <v>238</v>
      </c>
      <c r="CK2235" s="5" t="s">
        <v>258</v>
      </c>
      <c r="CL2235" s="5" t="s">
        <v>238</v>
      </c>
      <c r="CM2235" s="5" t="s">
        <v>238</v>
      </c>
      <c r="CN2235" s="5">
        <v>0</v>
      </c>
      <c r="CO2235" s="5" t="s">
        <v>259</v>
      </c>
      <c r="CP2235" s="5" t="s">
        <v>260</v>
      </c>
      <c r="CQ2235" s="5" t="s">
        <v>260</v>
      </c>
      <c r="CR2235" s="5" t="s">
        <v>261</v>
      </c>
      <c r="CU2235" s="8">
        <f>1</f>
        <v>1</v>
      </c>
      <c r="CV2235" s="8">
        <f>0</f>
        <v>0</v>
      </c>
      <c r="CX2235" s="8">
        <f>0</f>
        <v>0</v>
      </c>
      <c r="CY2235" s="8">
        <f>1</f>
        <v>1</v>
      </c>
      <c r="DA2235" s="5" t="s">
        <v>274</v>
      </c>
      <c r="DB2235" s="5" t="s">
        <v>238</v>
      </c>
      <c r="DD2235" s="5" t="s">
        <v>274</v>
      </c>
      <c r="DE2235" s="8">
        <f>2147</f>
        <v>2147</v>
      </c>
      <c r="DG2235" s="5" t="s">
        <v>238</v>
      </c>
      <c r="DH2235" s="5" t="s">
        <v>238</v>
      </c>
      <c r="DI2235" s="5" t="s">
        <v>238</v>
      </c>
      <c r="DJ2235" s="5" t="s">
        <v>238</v>
      </c>
      <c r="DN2235" s="5" t="s">
        <v>238</v>
      </c>
      <c r="DO2235" s="5" t="s">
        <v>238</v>
      </c>
      <c r="DP2235" s="5" t="s">
        <v>238</v>
      </c>
      <c r="DQ2235" s="5" t="s">
        <v>238</v>
      </c>
      <c r="DT2235" s="5" t="s">
        <v>275</v>
      </c>
      <c r="DU2235" s="5" t="s">
        <v>3154</v>
      </c>
      <c r="HM2235" s="5" t="s">
        <v>264</v>
      </c>
    </row>
    <row r="2236" spans="1:221" x14ac:dyDescent="0.4">
      <c r="A2236" s="5">
        <v>3940</v>
      </c>
      <c r="B2236" s="5">
        <v>1</v>
      </c>
      <c r="C2236" s="5">
        <v>1</v>
      </c>
      <c r="D2236" s="5" t="s">
        <v>269</v>
      </c>
      <c r="E2236" s="5" t="s">
        <v>271</v>
      </c>
      <c r="F2236" s="5" t="s">
        <v>248</v>
      </c>
      <c r="G2236" s="5" t="s">
        <v>266</v>
      </c>
      <c r="H2236" s="6" t="s">
        <v>4336</v>
      </c>
      <c r="I2236" s="7">
        <f>29</f>
        <v>29</v>
      </c>
      <c r="J2236" s="5" t="s">
        <v>262</v>
      </c>
      <c r="K2236" s="8">
        <f>1</f>
        <v>1</v>
      </c>
      <c r="L2236" s="6" t="s">
        <v>242</v>
      </c>
      <c r="M2236" s="5" t="s">
        <v>267</v>
      </c>
      <c r="N2236" s="5" t="s">
        <v>265</v>
      </c>
      <c r="O2236" s="5" t="s">
        <v>238</v>
      </c>
      <c r="P2236" s="5" t="s">
        <v>238</v>
      </c>
      <c r="Q2236" s="5" t="s">
        <v>268</v>
      </c>
      <c r="R2236" s="5" t="s">
        <v>270</v>
      </c>
      <c r="S2236" s="5" t="s">
        <v>238</v>
      </c>
      <c r="V2236" s="5" t="s">
        <v>238</v>
      </c>
      <c r="X2236" s="6" t="s">
        <v>238</v>
      </c>
      <c r="AA2236" s="6" t="s">
        <v>243</v>
      </c>
      <c r="AB2236" s="5" t="s">
        <v>238</v>
      </c>
      <c r="AC2236" s="5" t="s">
        <v>244</v>
      </c>
      <c r="AD2236" s="5" t="s">
        <v>245</v>
      </c>
      <c r="AT2236" s="5" t="s">
        <v>246</v>
      </c>
      <c r="AU2236" s="5" t="s">
        <v>238</v>
      </c>
      <c r="AV2236" s="5" t="s">
        <v>247</v>
      </c>
      <c r="AW2236" s="5" t="s">
        <v>238</v>
      </c>
      <c r="AX2236" s="5" t="s">
        <v>249</v>
      </c>
      <c r="AY2236" s="5" t="s">
        <v>238</v>
      </c>
      <c r="BA2236" s="5" t="s">
        <v>238</v>
      </c>
      <c r="BC2236" s="5" t="s">
        <v>250</v>
      </c>
      <c r="BD2236" s="6" t="s">
        <v>243</v>
      </c>
      <c r="BE2236" s="5" t="s">
        <v>251</v>
      </c>
      <c r="BF2236" s="5" t="s">
        <v>252</v>
      </c>
      <c r="BG2236" s="5" t="s">
        <v>238</v>
      </c>
      <c r="BH2236" s="7">
        <f>0</f>
        <v>0</v>
      </c>
      <c r="BI2236" s="8">
        <f>0</f>
        <v>0</v>
      </c>
      <c r="BJ2236" s="5" t="s">
        <v>253</v>
      </c>
      <c r="BK2236" s="5" t="s">
        <v>254</v>
      </c>
      <c r="BY2236" s="5" t="s">
        <v>238</v>
      </c>
      <c r="BZ2236" s="5" t="s">
        <v>238</v>
      </c>
      <c r="CD2236" s="5" t="s">
        <v>273</v>
      </c>
      <c r="CE2236" s="5" t="s">
        <v>256</v>
      </c>
      <c r="CF2236" s="5" t="s">
        <v>238</v>
      </c>
      <c r="CI2236" s="6" t="s">
        <v>257</v>
      </c>
      <c r="CJ2236" s="5" t="s">
        <v>238</v>
      </c>
      <c r="CK2236" s="5" t="s">
        <v>258</v>
      </c>
      <c r="CL2236" s="5" t="s">
        <v>238</v>
      </c>
      <c r="CM2236" s="5" t="s">
        <v>238</v>
      </c>
      <c r="CN2236" s="5">
        <v>0</v>
      </c>
      <c r="CO2236" s="5" t="s">
        <v>259</v>
      </c>
      <c r="CP2236" s="5" t="s">
        <v>260</v>
      </c>
      <c r="CQ2236" s="5" t="s">
        <v>260</v>
      </c>
      <c r="CR2236" s="5" t="s">
        <v>261</v>
      </c>
      <c r="CU2236" s="8">
        <f>1</f>
        <v>1</v>
      </c>
      <c r="CV2236" s="8">
        <f>0</f>
        <v>0</v>
      </c>
      <c r="CX2236" s="8">
        <f>0</f>
        <v>0</v>
      </c>
      <c r="CY2236" s="8">
        <f>1</f>
        <v>1</v>
      </c>
      <c r="DA2236" s="5" t="s">
        <v>274</v>
      </c>
      <c r="DB2236" s="5" t="s">
        <v>238</v>
      </c>
      <c r="DD2236" s="5" t="s">
        <v>274</v>
      </c>
      <c r="DE2236" s="8">
        <f>29</f>
        <v>29</v>
      </c>
      <c r="DG2236" s="5" t="s">
        <v>238</v>
      </c>
      <c r="DH2236" s="5" t="s">
        <v>238</v>
      </c>
      <c r="DI2236" s="5" t="s">
        <v>238</v>
      </c>
      <c r="DJ2236" s="5" t="s">
        <v>238</v>
      </c>
      <c r="DN2236" s="5" t="s">
        <v>238</v>
      </c>
      <c r="DO2236" s="5" t="s">
        <v>238</v>
      </c>
      <c r="DP2236" s="5" t="s">
        <v>238</v>
      </c>
      <c r="DQ2236" s="5" t="s">
        <v>238</v>
      </c>
      <c r="DT2236" s="5" t="s">
        <v>275</v>
      </c>
      <c r="DU2236" s="5" t="s">
        <v>3148</v>
      </c>
      <c r="HM2236" s="5" t="s">
        <v>264</v>
      </c>
    </row>
    <row r="2237" spans="1:221" x14ac:dyDescent="0.4">
      <c r="A2237" s="5">
        <v>3941</v>
      </c>
      <c r="B2237" s="5">
        <v>1</v>
      </c>
      <c r="C2237" s="5">
        <v>1</v>
      </c>
      <c r="D2237" s="5" t="s">
        <v>269</v>
      </c>
      <c r="E2237" s="5" t="s">
        <v>271</v>
      </c>
      <c r="F2237" s="5" t="s">
        <v>248</v>
      </c>
      <c r="G2237" s="5" t="s">
        <v>266</v>
      </c>
      <c r="H2237" s="6" t="s">
        <v>4282</v>
      </c>
      <c r="I2237" s="7">
        <f>1020</f>
        <v>1020</v>
      </c>
      <c r="J2237" s="5" t="s">
        <v>262</v>
      </c>
      <c r="K2237" s="8">
        <f>1</f>
        <v>1</v>
      </c>
      <c r="L2237" s="6" t="s">
        <v>242</v>
      </c>
      <c r="M2237" s="5" t="s">
        <v>267</v>
      </c>
      <c r="N2237" s="5" t="s">
        <v>265</v>
      </c>
      <c r="O2237" s="5" t="s">
        <v>238</v>
      </c>
      <c r="P2237" s="5" t="s">
        <v>238</v>
      </c>
      <c r="Q2237" s="5" t="s">
        <v>268</v>
      </c>
      <c r="R2237" s="5" t="s">
        <v>270</v>
      </c>
      <c r="S2237" s="5" t="s">
        <v>238</v>
      </c>
      <c r="V2237" s="5" t="s">
        <v>238</v>
      </c>
      <c r="X2237" s="6" t="s">
        <v>238</v>
      </c>
      <c r="AA2237" s="6" t="s">
        <v>243</v>
      </c>
      <c r="AB2237" s="5" t="s">
        <v>238</v>
      </c>
      <c r="AC2237" s="5" t="s">
        <v>244</v>
      </c>
      <c r="AD2237" s="5" t="s">
        <v>245</v>
      </c>
      <c r="AT2237" s="5" t="s">
        <v>246</v>
      </c>
      <c r="AU2237" s="5" t="s">
        <v>238</v>
      </c>
      <c r="AV2237" s="5" t="s">
        <v>247</v>
      </c>
      <c r="AW2237" s="5" t="s">
        <v>238</v>
      </c>
      <c r="AX2237" s="5" t="s">
        <v>249</v>
      </c>
      <c r="AY2237" s="5" t="s">
        <v>238</v>
      </c>
      <c r="BA2237" s="5" t="s">
        <v>238</v>
      </c>
      <c r="BC2237" s="5" t="s">
        <v>250</v>
      </c>
      <c r="BD2237" s="6" t="s">
        <v>243</v>
      </c>
      <c r="BE2237" s="5" t="s">
        <v>251</v>
      </c>
      <c r="BF2237" s="5" t="s">
        <v>252</v>
      </c>
      <c r="BG2237" s="5" t="s">
        <v>238</v>
      </c>
      <c r="BH2237" s="7">
        <f>0</f>
        <v>0</v>
      </c>
      <c r="BI2237" s="8">
        <f>0</f>
        <v>0</v>
      </c>
      <c r="BJ2237" s="5" t="s">
        <v>253</v>
      </c>
      <c r="BK2237" s="5" t="s">
        <v>254</v>
      </c>
      <c r="BY2237" s="5" t="s">
        <v>238</v>
      </c>
      <c r="BZ2237" s="5" t="s">
        <v>238</v>
      </c>
      <c r="CD2237" s="5" t="s">
        <v>273</v>
      </c>
      <c r="CE2237" s="5" t="s">
        <v>256</v>
      </c>
      <c r="CF2237" s="5" t="s">
        <v>238</v>
      </c>
      <c r="CI2237" s="6" t="s">
        <v>257</v>
      </c>
      <c r="CJ2237" s="5" t="s">
        <v>238</v>
      </c>
      <c r="CK2237" s="5" t="s">
        <v>258</v>
      </c>
      <c r="CL2237" s="5" t="s">
        <v>238</v>
      </c>
      <c r="CM2237" s="5" t="s">
        <v>238</v>
      </c>
      <c r="CN2237" s="5">
        <v>0</v>
      </c>
      <c r="CO2237" s="5" t="s">
        <v>259</v>
      </c>
      <c r="CP2237" s="5" t="s">
        <v>260</v>
      </c>
      <c r="CQ2237" s="5" t="s">
        <v>260</v>
      </c>
      <c r="CR2237" s="5" t="s">
        <v>261</v>
      </c>
      <c r="CU2237" s="8">
        <f>1</f>
        <v>1</v>
      </c>
      <c r="CV2237" s="8">
        <f>0</f>
        <v>0</v>
      </c>
      <c r="CX2237" s="8">
        <f>0</f>
        <v>0</v>
      </c>
      <c r="CY2237" s="8">
        <f>1</f>
        <v>1</v>
      </c>
      <c r="DA2237" s="5" t="s">
        <v>274</v>
      </c>
      <c r="DB2237" s="5" t="s">
        <v>238</v>
      </c>
      <c r="DD2237" s="5" t="s">
        <v>274</v>
      </c>
      <c r="DE2237" s="8">
        <f>1020</f>
        <v>1020</v>
      </c>
      <c r="DG2237" s="5" t="s">
        <v>238</v>
      </c>
      <c r="DH2237" s="5" t="s">
        <v>238</v>
      </c>
      <c r="DI2237" s="5" t="s">
        <v>238</v>
      </c>
      <c r="DJ2237" s="5" t="s">
        <v>238</v>
      </c>
      <c r="DN2237" s="5" t="s">
        <v>238</v>
      </c>
      <c r="DO2237" s="5" t="s">
        <v>238</v>
      </c>
      <c r="DP2237" s="5" t="s">
        <v>238</v>
      </c>
      <c r="DQ2237" s="5" t="s">
        <v>238</v>
      </c>
      <c r="DT2237" s="5" t="s">
        <v>275</v>
      </c>
      <c r="DU2237" s="5" t="s">
        <v>920</v>
      </c>
      <c r="HM2237" s="5" t="s">
        <v>264</v>
      </c>
    </row>
    <row r="2238" spans="1:221" x14ac:dyDescent="0.4">
      <c r="A2238" s="5">
        <v>3942</v>
      </c>
      <c r="B2238" s="5">
        <v>1</v>
      </c>
      <c r="C2238" s="5">
        <v>1</v>
      </c>
      <c r="D2238" s="5" t="s">
        <v>269</v>
      </c>
      <c r="E2238" s="5" t="s">
        <v>271</v>
      </c>
      <c r="F2238" s="5" t="s">
        <v>248</v>
      </c>
      <c r="G2238" s="5" t="s">
        <v>266</v>
      </c>
      <c r="H2238" s="6" t="s">
        <v>5793</v>
      </c>
      <c r="I2238" s="7">
        <f>9.41</f>
        <v>9.41</v>
      </c>
      <c r="J2238" s="5" t="s">
        <v>262</v>
      </c>
      <c r="K2238" s="8">
        <f>1</f>
        <v>1</v>
      </c>
      <c r="L2238" s="6" t="s">
        <v>242</v>
      </c>
      <c r="M2238" s="5" t="s">
        <v>267</v>
      </c>
      <c r="N2238" s="5" t="s">
        <v>265</v>
      </c>
      <c r="O2238" s="5" t="s">
        <v>238</v>
      </c>
      <c r="P2238" s="5" t="s">
        <v>238</v>
      </c>
      <c r="Q2238" s="5" t="s">
        <v>268</v>
      </c>
      <c r="R2238" s="5" t="s">
        <v>270</v>
      </c>
      <c r="S2238" s="5" t="s">
        <v>238</v>
      </c>
      <c r="V2238" s="5" t="s">
        <v>238</v>
      </c>
      <c r="X2238" s="6" t="s">
        <v>238</v>
      </c>
      <c r="AA2238" s="6" t="s">
        <v>243</v>
      </c>
      <c r="AB2238" s="5" t="s">
        <v>238</v>
      </c>
      <c r="AC2238" s="5" t="s">
        <v>244</v>
      </c>
      <c r="AD2238" s="5" t="s">
        <v>245</v>
      </c>
      <c r="AT2238" s="5" t="s">
        <v>246</v>
      </c>
      <c r="AU2238" s="5" t="s">
        <v>238</v>
      </c>
      <c r="AV2238" s="5" t="s">
        <v>247</v>
      </c>
      <c r="AW2238" s="5" t="s">
        <v>238</v>
      </c>
      <c r="AX2238" s="5" t="s">
        <v>249</v>
      </c>
      <c r="AY2238" s="5" t="s">
        <v>238</v>
      </c>
      <c r="BA2238" s="5" t="s">
        <v>238</v>
      </c>
      <c r="BC2238" s="5" t="s">
        <v>250</v>
      </c>
      <c r="BD2238" s="6" t="s">
        <v>243</v>
      </c>
      <c r="BE2238" s="5" t="s">
        <v>251</v>
      </c>
      <c r="BF2238" s="5" t="s">
        <v>252</v>
      </c>
      <c r="BG2238" s="5" t="s">
        <v>238</v>
      </c>
      <c r="BH2238" s="7">
        <f>0</f>
        <v>0</v>
      </c>
      <c r="BI2238" s="8">
        <f>0</f>
        <v>0</v>
      </c>
      <c r="BJ2238" s="5" t="s">
        <v>253</v>
      </c>
      <c r="BK2238" s="5" t="s">
        <v>254</v>
      </c>
      <c r="BY2238" s="5" t="s">
        <v>238</v>
      </c>
      <c r="BZ2238" s="5" t="s">
        <v>238</v>
      </c>
      <c r="CD2238" s="5" t="s">
        <v>273</v>
      </c>
      <c r="CE2238" s="5" t="s">
        <v>256</v>
      </c>
      <c r="CF2238" s="5" t="s">
        <v>238</v>
      </c>
      <c r="CI2238" s="6" t="s">
        <v>257</v>
      </c>
      <c r="CJ2238" s="5" t="s">
        <v>238</v>
      </c>
      <c r="CK2238" s="5" t="s">
        <v>258</v>
      </c>
      <c r="CL2238" s="5" t="s">
        <v>238</v>
      </c>
      <c r="CM2238" s="5" t="s">
        <v>238</v>
      </c>
      <c r="CN2238" s="5">
        <v>0</v>
      </c>
      <c r="CO2238" s="5" t="s">
        <v>259</v>
      </c>
      <c r="CP2238" s="5" t="s">
        <v>260</v>
      </c>
      <c r="CQ2238" s="5" t="s">
        <v>260</v>
      </c>
      <c r="CR2238" s="5" t="s">
        <v>261</v>
      </c>
      <c r="CU2238" s="8">
        <f>1</f>
        <v>1</v>
      </c>
      <c r="CV2238" s="8">
        <f>0</f>
        <v>0</v>
      </c>
      <c r="CX2238" s="8">
        <f>0</f>
        <v>0</v>
      </c>
      <c r="CY2238" s="8">
        <f>1</f>
        <v>1</v>
      </c>
      <c r="DA2238" s="5" t="s">
        <v>274</v>
      </c>
      <c r="DB2238" s="5" t="s">
        <v>238</v>
      </c>
      <c r="DD2238" s="5" t="s">
        <v>274</v>
      </c>
      <c r="DE2238" s="8">
        <f>9.41</f>
        <v>9.41</v>
      </c>
      <c r="DG2238" s="5" t="s">
        <v>238</v>
      </c>
      <c r="DH2238" s="5" t="s">
        <v>238</v>
      </c>
      <c r="DI2238" s="5" t="s">
        <v>238</v>
      </c>
      <c r="DJ2238" s="5" t="s">
        <v>238</v>
      </c>
      <c r="DN2238" s="5" t="s">
        <v>238</v>
      </c>
      <c r="DO2238" s="5" t="s">
        <v>238</v>
      </c>
      <c r="DP2238" s="5" t="s">
        <v>238</v>
      </c>
      <c r="DQ2238" s="5" t="s">
        <v>238</v>
      </c>
      <c r="DT2238" s="5" t="s">
        <v>275</v>
      </c>
      <c r="DU2238" s="5" t="s">
        <v>3144</v>
      </c>
      <c r="HM2238" s="5" t="s">
        <v>264</v>
      </c>
    </row>
    <row r="2239" spans="1:221" x14ac:dyDescent="0.4">
      <c r="A2239" s="5">
        <v>3943</v>
      </c>
      <c r="B2239" s="5">
        <v>1</v>
      </c>
      <c r="C2239" s="5">
        <v>1</v>
      </c>
      <c r="D2239" s="5" t="s">
        <v>269</v>
      </c>
      <c r="E2239" s="5" t="s">
        <v>271</v>
      </c>
      <c r="F2239" s="5" t="s">
        <v>248</v>
      </c>
      <c r="G2239" s="5" t="s">
        <v>266</v>
      </c>
      <c r="H2239" s="6" t="s">
        <v>4241</v>
      </c>
      <c r="I2239" s="7">
        <f>1271</f>
        <v>1271</v>
      </c>
      <c r="J2239" s="5" t="s">
        <v>262</v>
      </c>
      <c r="K2239" s="8">
        <f>1</f>
        <v>1</v>
      </c>
      <c r="L2239" s="6" t="s">
        <v>242</v>
      </c>
      <c r="M2239" s="5" t="s">
        <v>267</v>
      </c>
      <c r="N2239" s="5" t="s">
        <v>265</v>
      </c>
      <c r="O2239" s="5" t="s">
        <v>238</v>
      </c>
      <c r="P2239" s="5" t="s">
        <v>238</v>
      </c>
      <c r="Q2239" s="5" t="s">
        <v>268</v>
      </c>
      <c r="R2239" s="5" t="s">
        <v>270</v>
      </c>
      <c r="S2239" s="5" t="s">
        <v>238</v>
      </c>
      <c r="V2239" s="5" t="s">
        <v>238</v>
      </c>
      <c r="X2239" s="6" t="s">
        <v>238</v>
      </c>
      <c r="AA2239" s="6" t="s">
        <v>243</v>
      </c>
      <c r="AB2239" s="5" t="s">
        <v>238</v>
      </c>
      <c r="AC2239" s="5" t="s">
        <v>244</v>
      </c>
      <c r="AD2239" s="5" t="s">
        <v>245</v>
      </c>
      <c r="AT2239" s="5" t="s">
        <v>246</v>
      </c>
      <c r="AU2239" s="5" t="s">
        <v>238</v>
      </c>
      <c r="AV2239" s="5" t="s">
        <v>247</v>
      </c>
      <c r="AW2239" s="5" t="s">
        <v>238</v>
      </c>
      <c r="AX2239" s="5" t="s">
        <v>249</v>
      </c>
      <c r="AY2239" s="5" t="s">
        <v>238</v>
      </c>
      <c r="BA2239" s="5" t="s">
        <v>238</v>
      </c>
      <c r="BC2239" s="5" t="s">
        <v>250</v>
      </c>
      <c r="BD2239" s="6" t="s">
        <v>243</v>
      </c>
      <c r="BE2239" s="5" t="s">
        <v>251</v>
      </c>
      <c r="BF2239" s="5" t="s">
        <v>252</v>
      </c>
      <c r="BG2239" s="5" t="s">
        <v>238</v>
      </c>
      <c r="BH2239" s="7">
        <f>0</f>
        <v>0</v>
      </c>
      <c r="BI2239" s="8">
        <f>0</f>
        <v>0</v>
      </c>
      <c r="BJ2239" s="5" t="s">
        <v>253</v>
      </c>
      <c r="BK2239" s="5" t="s">
        <v>254</v>
      </c>
      <c r="BY2239" s="5" t="s">
        <v>238</v>
      </c>
      <c r="BZ2239" s="5" t="s">
        <v>238</v>
      </c>
      <c r="CD2239" s="5" t="s">
        <v>273</v>
      </c>
      <c r="CE2239" s="5" t="s">
        <v>256</v>
      </c>
      <c r="CF2239" s="5" t="s">
        <v>238</v>
      </c>
      <c r="CI2239" s="6" t="s">
        <v>257</v>
      </c>
      <c r="CJ2239" s="5" t="s">
        <v>238</v>
      </c>
      <c r="CK2239" s="5" t="s">
        <v>258</v>
      </c>
      <c r="CL2239" s="5" t="s">
        <v>238</v>
      </c>
      <c r="CM2239" s="5" t="s">
        <v>238</v>
      </c>
      <c r="CN2239" s="5">
        <v>0</v>
      </c>
      <c r="CO2239" s="5" t="s">
        <v>259</v>
      </c>
      <c r="CP2239" s="5" t="s">
        <v>260</v>
      </c>
      <c r="CQ2239" s="5" t="s">
        <v>260</v>
      </c>
      <c r="CR2239" s="5" t="s">
        <v>261</v>
      </c>
      <c r="CU2239" s="8">
        <f>1</f>
        <v>1</v>
      </c>
      <c r="CV2239" s="8">
        <f>0</f>
        <v>0</v>
      </c>
      <c r="CX2239" s="8">
        <f>0</f>
        <v>0</v>
      </c>
      <c r="CY2239" s="8">
        <f>1</f>
        <v>1</v>
      </c>
      <c r="DA2239" s="5" t="s">
        <v>274</v>
      </c>
      <c r="DB2239" s="5" t="s">
        <v>238</v>
      </c>
      <c r="DD2239" s="5" t="s">
        <v>274</v>
      </c>
      <c r="DE2239" s="8">
        <f>1271</f>
        <v>1271</v>
      </c>
      <c r="DG2239" s="5" t="s">
        <v>238</v>
      </c>
      <c r="DH2239" s="5" t="s">
        <v>238</v>
      </c>
      <c r="DI2239" s="5" t="s">
        <v>238</v>
      </c>
      <c r="DJ2239" s="5" t="s">
        <v>238</v>
      </c>
      <c r="DN2239" s="5" t="s">
        <v>238</v>
      </c>
      <c r="DO2239" s="5" t="s">
        <v>238</v>
      </c>
      <c r="DP2239" s="5" t="s">
        <v>238</v>
      </c>
      <c r="DQ2239" s="5" t="s">
        <v>238</v>
      </c>
      <c r="DT2239" s="5" t="s">
        <v>275</v>
      </c>
      <c r="DU2239" s="5" t="s">
        <v>3142</v>
      </c>
      <c r="HM2239" s="5" t="s">
        <v>264</v>
      </c>
    </row>
    <row r="2240" spans="1:221" x14ac:dyDescent="0.4">
      <c r="A2240" s="5">
        <v>3944</v>
      </c>
      <c r="B2240" s="5">
        <v>1</v>
      </c>
      <c r="C2240" s="5">
        <v>1</v>
      </c>
      <c r="D2240" s="5" t="s">
        <v>269</v>
      </c>
      <c r="E2240" s="5" t="s">
        <v>271</v>
      </c>
      <c r="F2240" s="5" t="s">
        <v>248</v>
      </c>
      <c r="G2240" s="5" t="s">
        <v>266</v>
      </c>
      <c r="H2240" s="6" t="s">
        <v>4215</v>
      </c>
      <c r="I2240" s="7">
        <f>295</f>
        <v>295</v>
      </c>
      <c r="J2240" s="5" t="s">
        <v>262</v>
      </c>
      <c r="K2240" s="8">
        <f>1</f>
        <v>1</v>
      </c>
      <c r="L2240" s="6" t="s">
        <v>242</v>
      </c>
      <c r="M2240" s="5" t="s">
        <v>267</v>
      </c>
      <c r="N2240" s="5" t="s">
        <v>265</v>
      </c>
      <c r="O2240" s="5" t="s">
        <v>238</v>
      </c>
      <c r="P2240" s="5" t="s">
        <v>238</v>
      </c>
      <c r="Q2240" s="5" t="s">
        <v>268</v>
      </c>
      <c r="R2240" s="5" t="s">
        <v>270</v>
      </c>
      <c r="S2240" s="5" t="s">
        <v>238</v>
      </c>
      <c r="V2240" s="5" t="s">
        <v>238</v>
      </c>
      <c r="X2240" s="6" t="s">
        <v>238</v>
      </c>
      <c r="AA2240" s="6" t="s">
        <v>243</v>
      </c>
      <c r="AB2240" s="5" t="s">
        <v>238</v>
      </c>
      <c r="AC2240" s="5" t="s">
        <v>244</v>
      </c>
      <c r="AD2240" s="5" t="s">
        <v>245</v>
      </c>
      <c r="AT2240" s="5" t="s">
        <v>246</v>
      </c>
      <c r="AU2240" s="5" t="s">
        <v>238</v>
      </c>
      <c r="AV2240" s="5" t="s">
        <v>247</v>
      </c>
      <c r="AW2240" s="5" t="s">
        <v>238</v>
      </c>
      <c r="AX2240" s="5" t="s">
        <v>249</v>
      </c>
      <c r="AY2240" s="5" t="s">
        <v>238</v>
      </c>
      <c r="BA2240" s="5" t="s">
        <v>238</v>
      </c>
      <c r="BC2240" s="5" t="s">
        <v>250</v>
      </c>
      <c r="BD2240" s="6" t="s">
        <v>243</v>
      </c>
      <c r="BE2240" s="5" t="s">
        <v>251</v>
      </c>
      <c r="BF2240" s="5" t="s">
        <v>252</v>
      </c>
      <c r="BG2240" s="5" t="s">
        <v>238</v>
      </c>
      <c r="BH2240" s="7">
        <f>0</f>
        <v>0</v>
      </c>
      <c r="BI2240" s="8">
        <f>0</f>
        <v>0</v>
      </c>
      <c r="BJ2240" s="5" t="s">
        <v>253</v>
      </c>
      <c r="BK2240" s="5" t="s">
        <v>254</v>
      </c>
      <c r="BY2240" s="5" t="s">
        <v>238</v>
      </c>
      <c r="BZ2240" s="5" t="s">
        <v>238</v>
      </c>
      <c r="CD2240" s="5" t="s">
        <v>273</v>
      </c>
      <c r="CE2240" s="5" t="s">
        <v>256</v>
      </c>
      <c r="CF2240" s="5" t="s">
        <v>238</v>
      </c>
      <c r="CI2240" s="6" t="s">
        <v>257</v>
      </c>
      <c r="CJ2240" s="5" t="s">
        <v>238</v>
      </c>
      <c r="CK2240" s="5" t="s">
        <v>258</v>
      </c>
      <c r="CL2240" s="5" t="s">
        <v>238</v>
      </c>
      <c r="CM2240" s="5" t="s">
        <v>238</v>
      </c>
      <c r="CN2240" s="5">
        <v>0</v>
      </c>
      <c r="CO2240" s="5" t="s">
        <v>259</v>
      </c>
      <c r="CP2240" s="5" t="s">
        <v>260</v>
      </c>
      <c r="CQ2240" s="5" t="s">
        <v>260</v>
      </c>
      <c r="CR2240" s="5" t="s">
        <v>261</v>
      </c>
      <c r="CU2240" s="8">
        <f>1</f>
        <v>1</v>
      </c>
      <c r="CV2240" s="8">
        <f>0</f>
        <v>0</v>
      </c>
      <c r="CX2240" s="8">
        <f>0</f>
        <v>0</v>
      </c>
      <c r="CY2240" s="8">
        <f>1</f>
        <v>1</v>
      </c>
      <c r="DA2240" s="5" t="s">
        <v>274</v>
      </c>
      <c r="DB2240" s="5" t="s">
        <v>238</v>
      </c>
      <c r="DD2240" s="5" t="s">
        <v>274</v>
      </c>
      <c r="DE2240" s="8">
        <f>295</f>
        <v>295</v>
      </c>
      <c r="DG2240" s="5" t="s">
        <v>238</v>
      </c>
      <c r="DH2240" s="5" t="s">
        <v>238</v>
      </c>
      <c r="DI2240" s="5" t="s">
        <v>238</v>
      </c>
      <c r="DJ2240" s="5" t="s">
        <v>238</v>
      </c>
      <c r="DN2240" s="5" t="s">
        <v>238</v>
      </c>
      <c r="DO2240" s="5" t="s">
        <v>238</v>
      </c>
      <c r="DP2240" s="5" t="s">
        <v>238</v>
      </c>
      <c r="DQ2240" s="5" t="s">
        <v>238</v>
      </c>
      <c r="DT2240" s="5" t="s">
        <v>275</v>
      </c>
      <c r="DU2240" s="5" t="s">
        <v>2208</v>
      </c>
      <c r="HM2240" s="5" t="s">
        <v>264</v>
      </c>
    </row>
    <row r="2241" spans="1:221" x14ac:dyDescent="0.4">
      <c r="A2241" s="5">
        <v>3945</v>
      </c>
      <c r="B2241" s="5">
        <v>1</v>
      </c>
      <c r="C2241" s="5">
        <v>1</v>
      </c>
      <c r="D2241" s="5" t="s">
        <v>269</v>
      </c>
      <c r="E2241" s="5" t="s">
        <v>271</v>
      </c>
      <c r="F2241" s="5" t="s">
        <v>248</v>
      </c>
      <c r="G2241" s="5" t="s">
        <v>266</v>
      </c>
      <c r="H2241" s="6" t="s">
        <v>4196</v>
      </c>
      <c r="I2241" s="7">
        <f>305</f>
        <v>305</v>
      </c>
      <c r="J2241" s="5" t="s">
        <v>262</v>
      </c>
      <c r="K2241" s="8">
        <f>1</f>
        <v>1</v>
      </c>
      <c r="L2241" s="6" t="s">
        <v>242</v>
      </c>
      <c r="M2241" s="5" t="s">
        <v>267</v>
      </c>
      <c r="N2241" s="5" t="s">
        <v>265</v>
      </c>
      <c r="O2241" s="5" t="s">
        <v>238</v>
      </c>
      <c r="P2241" s="5" t="s">
        <v>238</v>
      </c>
      <c r="Q2241" s="5" t="s">
        <v>268</v>
      </c>
      <c r="R2241" s="5" t="s">
        <v>270</v>
      </c>
      <c r="S2241" s="5" t="s">
        <v>238</v>
      </c>
      <c r="V2241" s="5" t="s">
        <v>238</v>
      </c>
      <c r="X2241" s="6" t="s">
        <v>238</v>
      </c>
      <c r="AA2241" s="6" t="s">
        <v>243</v>
      </c>
      <c r="AB2241" s="5" t="s">
        <v>238</v>
      </c>
      <c r="AC2241" s="5" t="s">
        <v>244</v>
      </c>
      <c r="AD2241" s="5" t="s">
        <v>245</v>
      </c>
      <c r="AT2241" s="5" t="s">
        <v>246</v>
      </c>
      <c r="AU2241" s="5" t="s">
        <v>238</v>
      </c>
      <c r="AV2241" s="5" t="s">
        <v>247</v>
      </c>
      <c r="AW2241" s="5" t="s">
        <v>238</v>
      </c>
      <c r="AX2241" s="5" t="s">
        <v>249</v>
      </c>
      <c r="AY2241" s="5" t="s">
        <v>238</v>
      </c>
      <c r="BA2241" s="5" t="s">
        <v>238</v>
      </c>
      <c r="BC2241" s="5" t="s">
        <v>250</v>
      </c>
      <c r="BD2241" s="6" t="s">
        <v>243</v>
      </c>
      <c r="BE2241" s="5" t="s">
        <v>251</v>
      </c>
      <c r="BF2241" s="5" t="s">
        <v>252</v>
      </c>
      <c r="BG2241" s="5" t="s">
        <v>238</v>
      </c>
      <c r="BH2241" s="7">
        <f>0</f>
        <v>0</v>
      </c>
      <c r="BI2241" s="8">
        <f>0</f>
        <v>0</v>
      </c>
      <c r="BJ2241" s="5" t="s">
        <v>253</v>
      </c>
      <c r="BK2241" s="5" t="s">
        <v>254</v>
      </c>
      <c r="BY2241" s="5" t="s">
        <v>238</v>
      </c>
      <c r="BZ2241" s="5" t="s">
        <v>238</v>
      </c>
      <c r="CD2241" s="5" t="s">
        <v>273</v>
      </c>
      <c r="CE2241" s="5" t="s">
        <v>256</v>
      </c>
      <c r="CF2241" s="5" t="s">
        <v>238</v>
      </c>
      <c r="CI2241" s="6" t="s">
        <v>257</v>
      </c>
      <c r="CJ2241" s="5" t="s">
        <v>238</v>
      </c>
      <c r="CK2241" s="5" t="s">
        <v>258</v>
      </c>
      <c r="CL2241" s="5" t="s">
        <v>238</v>
      </c>
      <c r="CM2241" s="5" t="s">
        <v>238</v>
      </c>
      <c r="CN2241" s="5">
        <v>0</v>
      </c>
      <c r="CO2241" s="5" t="s">
        <v>259</v>
      </c>
      <c r="CP2241" s="5" t="s">
        <v>260</v>
      </c>
      <c r="CQ2241" s="5" t="s">
        <v>260</v>
      </c>
      <c r="CR2241" s="5" t="s">
        <v>261</v>
      </c>
      <c r="CU2241" s="8">
        <f>1</f>
        <v>1</v>
      </c>
      <c r="CV2241" s="8">
        <f>0</f>
        <v>0</v>
      </c>
      <c r="CX2241" s="8">
        <f>0</f>
        <v>0</v>
      </c>
      <c r="CY2241" s="8">
        <f>1</f>
        <v>1</v>
      </c>
      <c r="DA2241" s="5" t="s">
        <v>274</v>
      </c>
      <c r="DB2241" s="5" t="s">
        <v>238</v>
      </c>
      <c r="DD2241" s="5" t="s">
        <v>274</v>
      </c>
      <c r="DE2241" s="8">
        <f>305</f>
        <v>305</v>
      </c>
      <c r="DG2241" s="5" t="s">
        <v>238</v>
      </c>
      <c r="DH2241" s="5" t="s">
        <v>238</v>
      </c>
      <c r="DI2241" s="5" t="s">
        <v>238</v>
      </c>
      <c r="DJ2241" s="5" t="s">
        <v>238</v>
      </c>
      <c r="DN2241" s="5" t="s">
        <v>238</v>
      </c>
      <c r="DO2241" s="5" t="s">
        <v>238</v>
      </c>
      <c r="DP2241" s="5" t="s">
        <v>238</v>
      </c>
      <c r="DQ2241" s="5" t="s">
        <v>238</v>
      </c>
      <c r="DT2241" s="5" t="s">
        <v>275</v>
      </c>
      <c r="DU2241" s="5" t="s">
        <v>3139</v>
      </c>
      <c r="HM2241" s="5" t="s">
        <v>264</v>
      </c>
    </row>
    <row r="2242" spans="1:221" x14ac:dyDescent="0.4">
      <c r="A2242" s="5">
        <v>3946</v>
      </c>
      <c r="B2242" s="5">
        <v>1</v>
      </c>
      <c r="C2242" s="5">
        <v>1</v>
      </c>
      <c r="D2242" s="5" t="s">
        <v>269</v>
      </c>
      <c r="E2242" s="5" t="s">
        <v>271</v>
      </c>
      <c r="F2242" s="5" t="s">
        <v>248</v>
      </c>
      <c r="G2242" s="5" t="s">
        <v>266</v>
      </c>
      <c r="H2242" s="6" t="s">
        <v>4163</v>
      </c>
      <c r="I2242" s="7">
        <f>695</f>
        <v>695</v>
      </c>
      <c r="J2242" s="5" t="s">
        <v>262</v>
      </c>
      <c r="K2242" s="8">
        <f>1</f>
        <v>1</v>
      </c>
      <c r="L2242" s="6" t="s">
        <v>242</v>
      </c>
      <c r="M2242" s="5" t="s">
        <v>267</v>
      </c>
      <c r="N2242" s="5" t="s">
        <v>265</v>
      </c>
      <c r="O2242" s="5" t="s">
        <v>238</v>
      </c>
      <c r="P2242" s="5" t="s">
        <v>238</v>
      </c>
      <c r="Q2242" s="5" t="s">
        <v>268</v>
      </c>
      <c r="R2242" s="5" t="s">
        <v>270</v>
      </c>
      <c r="S2242" s="5" t="s">
        <v>238</v>
      </c>
      <c r="V2242" s="5" t="s">
        <v>238</v>
      </c>
      <c r="X2242" s="6" t="s">
        <v>238</v>
      </c>
      <c r="AA2242" s="6" t="s">
        <v>243</v>
      </c>
      <c r="AB2242" s="5" t="s">
        <v>238</v>
      </c>
      <c r="AC2242" s="5" t="s">
        <v>244</v>
      </c>
      <c r="AD2242" s="5" t="s">
        <v>245</v>
      </c>
      <c r="AT2242" s="5" t="s">
        <v>246</v>
      </c>
      <c r="AU2242" s="5" t="s">
        <v>238</v>
      </c>
      <c r="AV2242" s="5" t="s">
        <v>247</v>
      </c>
      <c r="AW2242" s="5" t="s">
        <v>238</v>
      </c>
      <c r="AX2242" s="5" t="s">
        <v>249</v>
      </c>
      <c r="AY2242" s="5" t="s">
        <v>238</v>
      </c>
      <c r="BA2242" s="5" t="s">
        <v>238</v>
      </c>
      <c r="BC2242" s="5" t="s">
        <v>250</v>
      </c>
      <c r="BD2242" s="6" t="s">
        <v>243</v>
      </c>
      <c r="BE2242" s="5" t="s">
        <v>251</v>
      </c>
      <c r="BF2242" s="5" t="s">
        <v>252</v>
      </c>
      <c r="BG2242" s="5" t="s">
        <v>238</v>
      </c>
      <c r="BH2242" s="7">
        <f>0</f>
        <v>0</v>
      </c>
      <c r="BI2242" s="8">
        <f>0</f>
        <v>0</v>
      </c>
      <c r="BJ2242" s="5" t="s">
        <v>253</v>
      </c>
      <c r="BK2242" s="5" t="s">
        <v>254</v>
      </c>
      <c r="BY2242" s="5" t="s">
        <v>238</v>
      </c>
      <c r="BZ2242" s="5" t="s">
        <v>238</v>
      </c>
      <c r="CD2242" s="5" t="s">
        <v>273</v>
      </c>
      <c r="CE2242" s="5" t="s">
        <v>256</v>
      </c>
      <c r="CF2242" s="5" t="s">
        <v>238</v>
      </c>
      <c r="CI2242" s="6" t="s">
        <v>257</v>
      </c>
      <c r="CJ2242" s="5" t="s">
        <v>238</v>
      </c>
      <c r="CK2242" s="5" t="s">
        <v>258</v>
      </c>
      <c r="CL2242" s="5" t="s">
        <v>238</v>
      </c>
      <c r="CM2242" s="5" t="s">
        <v>238</v>
      </c>
      <c r="CN2242" s="5">
        <v>0</v>
      </c>
      <c r="CO2242" s="5" t="s">
        <v>259</v>
      </c>
      <c r="CP2242" s="5" t="s">
        <v>260</v>
      </c>
      <c r="CQ2242" s="5" t="s">
        <v>260</v>
      </c>
      <c r="CR2242" s="5" t="s">
        <v>261</v>
      </c>
      <c r="CU2242" s="8">
        <f>1</f>
        <v>1</v>
      </c>
      <c r="CV2242" s="8">
        <f>0</f>
        <v>0</v>
      </c>
      <c r="CX2242" s="8">
        <f>0</f>
        <v>0</v>
      </c>
      <c r="CY2242" s="8">
        <f>1</f>
        <v>1</v>
      </c>
      <c r="DA2242" s="5" t="s">
        <v>274</v>
      </c>
      <c r="DB2242" s="5" t="s">
        <v>238</v>
      </c>
      <c r="DD2242" s="5" t="s">
        <v>274</v>
      </c>
      <c r="DE2242" s="8">
        <f>695</f>
        <v>695</v>
      </c>
      <c r="DG2242" s="5" t="s">
        <v>238</v>
      </c>
      <c r="DH2242" s="5" t="s">
        <v>238</v>
      </c>
      <c r="DI2242" s="5" t="s">
        <v>238</v>
      </c>
      <c r="DJ2242" s="5" t="s">
        <v>238</v>
      </c>
      <c r="DN2242" s="5" t="s">
        <v>238</v>
      </c>
      <c r="DO2242" s="5" t="s">
        <v>238</v>
      </c>
      <c r="DP2242" s="5" t="s">
        <v>238</v>
      </c>
      <c r="DQ2242" s="5" t="s">
        <v>238</v>
      </c>
      <c r="DT2242" s="5" t="s">
        <v>275</v>
      </c>
      <c r="DU2242" s="5" t="s">
        <v>3137</v>
      </c>
      <c r="HM2242" s="5" t="s">
        <v>264</v>
      </c>
    </row>
    <row r="2243" spans="1:221" x14ac:dyDescent="0.4">
      <c r="A2243" s="5">
        <v>3947</v>
      </c>
      <c r="B2243" s="5">
        <v>1</v>
      </c>
      <c r="C2243" s="5">
        <v>1</v>
      </c>
      <c r="D2243" s="5" t="s">
        <v>269</v>
      </c>
      <c r="E2243" s="5" t="s">
        <v>271</v>
      </c>
      <c r="F2243" s="5" t="s">
        <v>248</v>
      </c>
      <c r="G2243" s="5" t="s">
        <v>266</v>
      </c>
      <c r="H2243" s="6" t="s">
        <v>4132</v>
      </c>
      <c r="I2243" s="7">
        <f>311</f>
        <v>311</v>
      </c>
      <c r="J2243" s="5" t="s">
        <v>262</v>
      </c>
      <c r="K2243" s="8">
        <f>1</f>
        <v>1</v>
      </c>
      <c r="L2243" s="6" t="s">
        <v>242</v>
      </c>
      <c r="M2243" s="5" t="s">
        <v>267</v>
      </c>
      <c r="N2243" s="5" t="s">
        <v>265</v>
      </c>
      <c r="O2243" s="5" t="s">
        <v>238</v>
      </c>
      <c r="P2243" s="5" t="s">
        <v>238</v>
      </c>
      <c r="Q2243" s="5" t="s">
        <v>268</v>
      </c>
      <c r="R2243" s="5" t="s">
        <v>270</v>
      </c>
      <c r="S2243" s="5" t="s">
        <v>238</v>
      </c>
      <c r="V2243" s="5" t="s">
        <v>238</v>
      </c>
      <c r="X2243" s="6" t="s">
        <v>238</v>
      </c>
      <c r="AA2243" s="6" t="s">
        <v>243</v>
      </c>
      <c r="AB2243" s="5" t="s">
        <v>238</v>
      </c>
      <c r="AC2243" s="5" t="s">
        <v>244</v>
      </c>
      <c r="AD2243" s="5" t="s">
        <v>245</v>
      </c>
      <c r="AT2243" s="5" t="s">
        <v>246</v>
      </c>
      <c r="AU2243" s="5" t="s">
        <v>238</v>
      </c>
      <c r="AV2243" s="5" t="s">
        <v>247</v>
      </c>
      <c r="AW2243" s="5" t="s">
        <v>238</v>
      </c>
      <c r="AX2243" s="5" t="s">
        <v>249</v>
      </c>
      <c r="AY2243" s="5" t="s">
        <v>238</v>
      </c>
      <c r="BA2243" s="5" t="s">
        <v>238</v>
      </c>
      <c r="BC2243" s="5" t="s">
        <v>250</v>
      </c>
      <c r="BD2243" s="6" t="s">
        <v>243</v>
      </c>
      <c r="BE2243" s="5" t="s">
        <v>251</v>
      </c>
      <c r="BF2243" s="5" t="s">
        <v>252</v>
      </c>
      <c r="BG2243" s="5" t="s">
        <v>238</v>
      </c>
      <c r="BH2243" s="7">
        <f>0</f>
        <v>0</v>
      </c>
      <c r="BI2243" s="8">
        <f>0</f>
        <v>0</v>
      </c>
      <c r="BJ2243" s="5" t="s">
        <v>253</v>
      </c>
      <c r="BK2243" s="5" t="s">
        <v>254</v>
      </c>
      <c r="BY2243" s="5" t="s">
        <v>238</v>
      </c>
      <c r="BZ2243" s="5" t="s">
        <v>238</v>
      </c>
      <c r="CD2243" s="5" t="s">
        <v>273</v>
      </c>
      <c r="CE2243" s="5" t="s">
        <v>256</v>
      </c>
      <c r="CF2243" s="5" t="s">
        <v>238</v>
      </c>
      <c r="CI2243" s="6" t="s">
        <v>257</v>
      </c>
      <c r="CJ2243" s="5" t="s">
        <v>238</v>
      </c>
      <c r="CK2243" s="5" t="s">
        <v>258</v>
      </c>
      <c r="CL2243" s="5" t="s">
        <v>238</v>
      </c>
      <c r="CM2243" s="5" t="s">
        <v>238</v>
      </c>
      <c r="CN2243" s="5">
        <v>0</v>
      </c>
      <c r="CO2243" s="5" t="s">
        <v>259</v>
      </c>
      <c r="CP2243" s="5" t="s">
        <v>260</v>
      </c>
      <c r="CQ2243" s="5" t="s">
        <v>260</v>
      </c>
      <c r="CR2243" s="5" t="s">
        <v>261</v>
      </c>
      <c r="CU2243" s="8">
        <f>1</f>
        <v>1</v>
      </c>
      <c r="CV2243" s="8">
        <f>0</f>
        <v>0</v>
      </c>
      <c r="CX2243" s="8">
        <f>0</f>
        <v>0</v>
      </c>
      <c r="CY2243" s="8">
        <f>1</f>
        <v>1</v>
      </c>
      <c r="DA2243" s="5" t="s">
        <v>274</v>
      </c>
      <c r="DB2243" s="5" t="s">
        <v>238</v>
      </c>
      <c r="DD2243" s="5" t="s">
        <v>274</v>
      </c>
      <c r="DE2243" s="8">
        <f>311</f>
        <v>311</v>
      </c>
      <c r="DG2243" s="5" t="s">
        <v>238</v>
      </c>
      <c r="DH2243" s="5" t="s">
        <v>238</v>
      </c>
      <c r="DI2243" s="5" t="s">
        <v>238</v>
      </c>
      <c r="DJ2243" s="5" t="s">
        <v>238</v>
      </c>
      <c r="DN2243" s="5" t="s">
        <v>238</v>
      </c>
      <c r="DO2243" s="5" t="s">
        <v>238</v>
      </c>
      <c r="DP2243" s="5" t="s">
        <v>238</v>
      </c>
      <c r="DQ2243" s="5" t="s">
        <v>238</v>
      </c>
      <c r="DT2243" s="5" t="s">
        <v>275</v>
      </c>
      <c r="DU2243" s="5" t="s">
        <v>3135</v>
      </c>
      <c r="HM2243" s="5" t="s">
        <v>264</v>
      </c>
    </row>
    <row r="2244" spans="1:221" x14ac:dyDescent="0.4">
      <c r="A2244" s="5">
        <v>3948</v>
      </c>
      <c r="B2244" s="5">
        <v>1</v>
      </c>
      <c r="C2244" s="5">
        <v>1</v>
      </c>
      <c r="D2244" s="5" t="s">
        <v>269</v>
      </c>
      <c r="E2244" s="5" t="s">
        <v>271</v>
      </c>
      <c r="F2244" s="5" t="s">
        <v>248</v>
      </c>
      <c r="G2244" s="5" t="s">
        <v>266</v>
      </c>
      <c r="H2244" s="6" t="s">
        <v>4150</v>
      </c>
      <c r="I2244" s="7">
        <f>1747</f>
        <v>1747</v>
      </c>
      <c r="J2244" s="5" t="s">
        <v>262</v>
      </c>
      <c r="K2244" s="8">
        <f>1</f>
        <v>1</v>
      </c>
      <c r="L2244" s="6" t="s">
        <v>242</v>
      </c>
      <c r="M2244" s="5" t="s">
        <v>267</v>
      </c>
      <c r="N2244" s="5" t="s">
        <v>265</v>
      </c>
      <c r="O2244" s="5" t="s">
        <v>238</v>
      </c>
      <c r="P2244" s="5" t="s">
        <v>238</v>
      </c>
      <c r="Q2244" s="5" t="s">
        <v>268</v>
      </c>
      <c r="R2244" s="5" t="s">
        <v>270</v>
      </c>
      <c r="S2244" s="5" t="s">
        <v>238</v>
      </c>
      <c r="V2244" s="5" t="s">
        <v>238</v>
      </c>
      <c r="X2244" s="6" t="s">
        <v>238</v>
      </c>
      <c r="AA2244" s="6" t="s">
        <v>243</v>
      </c>
      <c r="AB2244" s="5" t="s">
        <v>238</v>
      </c>
      <c r="AC2244" s="5" t="s">
        <v>244</v>
      </c>
      <c r="AD2244" s="5" t="s">
        <v>245</v>
      </c>
      <c r="AT2244" s="5" t="s">
        <v>246</v>
      </c>
      <c r="AU2244" s="5" t="s">
        <v>238</v>
      </c>
      <c r="AV2244" s="5" t="s">
        <v>247</v>
      </c>
      <c r="AW2244" s="5" t="s">
        <v>238</v>
      </c>
      <c r="AX2244" s="5" t="s">
        <v>249</v>
      </c>
      <c r="AY2244" s="5" t="s">
        <v>238</v>
      </c>
      <c r="BA2244" s="5" t="s">
        <v>238</v>
      </c>
      <c r="BC2244" s="5" t="s">
        <v>250</v>
      </c>
      <c r="BD2244" s="6" t="s">
        <v>243</v>
      </c>
      <c r="BE2244" s="5" t="s">
        <v>251</v>
      </c>
      <c r="BF2244" s="5" t="s">
        <v>252</v>
      </c>
      <c r="BG2244" s="5" t="s">
        <v>238</v>
      </c>
      <c r="BH2244" s="7">
        <f>0</f>
        <v>0</v>
      </c>
      <c r="BI2244" s="8">
        <f>0</f>
        <v>0</v>
      </c>
      <c r="BJ2244" s="5" t="s">
        <v>253</v>
      </c>
      <c r="BK2244" s="5" t="s">
        <v>254</v>
      </c>
      <c r="BY2244" s="5" t="s">
        <v>238</v>
      </c>
      <c r="BZ2244" s="5" t="s">
        <v>238</v>
      </c>
      <c r="CD2244" s="5" t="s">
        <v>273</v>
      </c>
      <c r="CE2244" s="5" t="s">
        <v>256</v>
      </c>
      <c r="CF2244" s="5" t="s">
        <v>238</v>
      </c>
      <c r="CI2244" s="6" t="s">
        <v>257</v>
      </c>
      <c r="CJ2244" s="5" t="s">
        <v>238</v>
      </c>
      <c r="CK2244" s="5" t="s">
        <v>258</v>
      </c>
      <c r="CL2244" s="5" t="s">
        <v>238</v>
      </c>
      <c r="CM2244" s="5" t="s">
        <v>238</v>
      </c>
      <c r="CN2244" s="5">
        <v>0</v>
      </c>
      <c r="CO2244" s="5" t="s">
        <v>259</v>
      </c>
      <c r="CP2244" s="5" t="s">
        <v>260</v>
      </c>
      <c r="CQ2244" s="5" t="s">
        <v>260</v>
      </c>
      <c r="CR2244" s="5" t="s">
        <v>261</v>
      </c>
      <c r="CU2244" s="8">
        <f>1</f>
        <v>1</v>
      </c>
      <c r="CV2244" s="8">
        <f>0</f>
        <v>0</v>
      </c>
      <c r="CX2244" s="8">
        <f>0</f>
        <v>0</v>
      </c>
      <c r="CY2244" s="8">
        <f>1</f>
        <v>1</v>
      </c>
      <c r="DA2244" s="5" t="s">
        <v>274</v>
      </c>
      <c r="DB2244" s="5" t="s">
        <v>238</v>
      </c>
      <c r="DD2244" s="5" t="s">
        <v>274</v>
      </c>
      <c r="DE2244" s="8">
        <f>1747</f>
        <v>1747</v>
      </c>
      <c r="DG2244" s="5" t="s">
        <v>238</v>
      </c>
      <c r="DH2244" s="5" t="s">
        <v>238</v>
      </c>
      <c r="DI2244" s="5" t="s">
        <v>238</v>
      </c>
      <c r="DJ2244" s="5" t="s">
        <v>238</v>
      </c>
      <c r="DN2244" s="5" t="s">
        <v>238</v>
      </c>
      <c r="DO2244" s="5" t="s">
        <v>238</v>
      </c>
      <c r="DP2244" s="5" t="s">
        <v>238</v>
      </c>
      <c r="DQ2244" s="5" t="s">
        <v>238</v>
      </c>
      <c r="DT2244" s="5" t="s">
        <v>275</v>
      </c>
      <c r="DU2244" s="5" t="s">
        <v>3131</v>
      </c>
      <c r="HM2244" s="5" t="s">
        <v>264</v>
      </c>
    </row>
    <row r="2245" spans="1:221" x14ac:dyDescent="0.4">
      <c r="A2245" s="5">
        <v>3949</v>
      </c>
      <c r="B2245" s="5">
        <v>1</v>
      </c>
      <c r="C2245" s="5">
        <v>1</v>
      </c>
      <c r="D2245" s="5" t="s">
        <v>269</v>
      </c>
      <c r="E2245" s="5" t="s">
        <v>271</v>
      </c>
      <c r="F2245" s="5" t="s">
        <v>248</v>
      </c>
      <c r="G2245" s="5" t="s">
        <v>266</v>
      </c>
      <c r="H2245" s="6" t="s">
        <v>4243</v>
      </c>
      <c r="I2245" s="7">
        <f>3534</f>
        <v>3534</v>
      </c>
      <c r="J2245" s="5" t="s">
        <v>262</v>
      </c>
      <c r="K2245" s="8">
        <f>1</f>
        <v>1</v>
      </c>
      <c r="L2245" s="6" t="s">
        <v>242</v>
      </c>
      <c r="M2245" s="5" t="s">
        <v>267</v>
      </c>
      <c r="N2245" s="5" t="s">
        <v>265</v>
      </c>
      <c r="O2245" s="5" t="s">
        <v>238</v>
      </c>
      <c r="P2245" s="5" t="s">
        <v>238</v>
      </c>
      <c r="Q2245" s="5" t="s">
        <v>268</v>
      </c>
      <c r="R2245" s="5" t="s">
        <v>270</v>
      </c>
      <c r="S2245" s="5" t="s">
        <v>238</v>
      </c>
      <c r="V2245" s="5" t="s">
        <v>238</v>
      </c>
      <c r="X2245" s="6" t="s">
        <v>238</v>
      </c>
      <c r="AA2245" s="6" t="s">
        <v>243</v>
      </c>
      <c r="AB2245" s="5" t="s">
        <v>238</v>
      </c>
      <c r="AC2245" s="5" t="s">
        <v>244</v>
      </c>
      <c r="AD2245" s="5" t="s">
        <v>245</v>
      </c>
      <c r="AT2245" s="5" t="s">
        <v>246</v>
      </c>
      <c r="AU2245" s="5" t="s">
        <v>238</v>
      </c>
      <c r="AV2245" s="5" t="s">
        <v>247</v>
      </c>
      <c r="AW2245" s="5" t="s">
        <v>238</v>
      </c>
      <c r="AX2245" s="5" t="s">
        <v>249</v>
      </c>
      <c r="AY2245" s="5" t="s">
        <v>238</v>
      </c>
      <c r="BA2245" s="5" t="s">
        <v>238</v>
      </c>
      <c r="BC2245" s="5" t="s">
        <v>250</v>
      </c>
      <c r="BD2245" s="6" t="s">
        <v>243</v>
      </c>
      <c r="BE2245" s="5" t="s">
        <v>251</v>
      </c>
      <c r="BF2245" s="5" t="s">
        <v>252</v>
      </c>
      <c r="BG2245" s="5" t="s">
        <v>238</v>
      </c>
      <c r="BH2245" s="7">
        <f>0</f>
        <v>0</v>
      </c>
      <c r="BI2245" s="8">
        <f>0</f>
        <v>0</v>
      </c>
      <c r="BJ2245" s="5" t="s">
        <v>253</v>
      </c>
      <c r="BK2245" s="5" t="s">
        <v>254</v>
      </c>
      <c r="BY2245" s="5" t="s">
        <v>238</v>
      </c>
      <c r="BZ2245" s="5" t="s">
        <v>238</v>
      </c>
      <c r="CD2245" s="5" t="s">
        <v>273</v>
      </c>
      <c r="CE2245" s="5" t="s">
        <v>256</v>
      </c>
      <c r="CF2245" s="5" t="s">
        <v>238</v>
      </c>
      <c r="CI2245" s="6" t="s">
        <v>257</v>
      </c>
      <c r="CJ2245" s="5" t="s">
        <v>238</v>
      </c>
      <c r="CK2245" s="5" t="s">
        <v>258</v>
      </c>
      <c r="CL2245" s="5" t="s">
        <v>238</v>
      </c>
      <c r="CM2245" s="5" t="s">
        <v>238</v>
      </c>
      <c r="CN2245" s="5">
        <v>0</v>
      </c>
      <c r="CO2245" s="5" t="s">
        <v>259</v>
      </c>
      <c r="CP2245" s="5" t="s">
        <v>260</v>
      </c>
      <c r="CQ2245" s="5" t="s">
        <v>260</v>
      </c>
      <c r="CR2245" s="5" t="s">
        <v>261</v>
      </c>
      <c r="CU2245" s="8">
        <f>1</f>
        <v>1</v>
      </c>
      <c r="CV2245" s="8">
        <f>0</f>
        <v>0</v>
      </c>
      <c r="CX2245" s="8">
        <f>0</f>
        <v>0</v>
      </c>
      <c r="CY2245" s="8">
        <f>1</f>
        <v>1</v>
      </c>
      <c r="DA2245" s="5" t="s">
        <v>274</v>
      </c>
      <c r="DB2245" s="5" t="s">
        <v>238</v>
      </c>
      <c r="DD2245" s="5" t="s">
        <v>274</v>
      </c>
      <c r="DE2245" s="8">
        <f>3534</f>
        <v>3534</v>
      </c>
      <c r="DG2245" s="5" t="s">
        <v>238</v>
      </c>
      <c r="DH2245" s="5" t="s">
        <v>238</v>
      </c>
      <c r="DI2245" s="5" t="s">
        <v>238</v>
      </c>
      <c r="DJ2245" s="5" t="s">
        <v>238</v>
      </c>
      <c r="DN2245" s="5" t="s">
        <v>238</v>
      </c>
      <c r="DO2245" s="5" t="s">
        <v>238</v>
      </c>
      <c r="DP2245" s="5" t="s">
        <v>238</v>
      </c>
      <c r="DQ2245" s="5" t="s">
        <v>238</v>
      </c>
      <c r="DT2245" s="5" t="s">
        <v>275</v>
      </c>
      <c r="DU2245" s="5" t="s">
        <v>3129</v>
      </c>
      <c r="HM2245" s="5" t="s">
        <v>264</v>
      </c>
    </row>
    <row r="2246" spans="1:221" x14ac:dyDescent="0.4">
      <c r="A2246" s="5">
        <v>3950</v>
      </c>
      <c r="B2246" s="5">
        <v>1</v>
      </c>
      <c r="C2246" s="5">
        <v>1</v>
      </c>
      <c r="D2246" s="5" t="s">
        <v>269</v>
      </c>
      <c r="E2246" s="5" t="s">
        <v>271</v>
      </c>
      <c r="F2246" s="5" t="s">
        <v>248</v>
      </c>
      <c r="G2246" s="5" t="s">
        <v>266</v>
      </c>
      <c r="H2246" s="6" t="s">
        <v>5955</v>
      </c>
      <c r="I2246" s="7">
        <f>2548</f>
        <v>2548</v>
      </c>
      <c r="J2246" s="5" t="s">
        <v>262</v>
      </c>
      <c r="K2246" s="8">
        <f>1</f>
        <v>1</v>
      </c>
      <c r="L2246" s="6" t="s">
        <v>242</v>
      </c>
      <c r="M2246" s="5" t="s">
        <v>267</v>
      </c>
      <c r="N2246" s="5" t="s">
        <v>265</v>
      </c>
      <c r="O2246" s="5" t="s">
        <v>238</v>
      </c>
      <c r="P2246" s="5" t="s">
        <v>238</v>
      </c>
      <c r="Q2246" s="5" t="s">
        <v>268</v>
      </c>
      <c r="R2246" s="5" t="s">
        <v>270</v>
      </c>
      <c r="S2246" s="5" t="s">
        <v>238</v>
      </c>
      <c r="V2246" s="5" t="s">
        <v>238</v>
      </c>
      <c r="X2246" s="6" t="s">
        <v>238</v>
      </c>
      <c r="AA2246" s="6" t="s">
        <v>243</v>
      </c>
      <c r="AB2246" s="5" t="s">
        <v>238</v>
      </c>
      <c r="AC2246" s="5" t="s">
        <v>244</v>
      </c>
      <c r="AD2246" s="5" t="s">
        <v>245</v>
      </c>
      <c r="AT2246" s="5" t="s">
        <v>246</v>
      </c>
      <c r="AU2246" s="5" t="s">
        <v>238</v>
      </c>
      <c r="AV2246" s="5" t="s">
        <v>247</v>
      </c>
      <c r="AW2246" s="5" t="s">
        <v>238</v>
      </c>
      <c r="AX2246" s="5" t="s">
        <v>249</v>
      </c>
      <c r="AY2246" s="5" t="s">
        <v>238</v>
      </c>
      <c r="BA2246" s="5" t="s">
        <v>238</v>
      </c>
      <c r="BC2246" s="5" t="s">
        <v>250</v>
      </c>
      <c r="BD2246" s="6" t="s">
        <v>243</v>
      </c>
      <c r="BE2246" s="5" t="s">
        <v>251</v>
      </c>
      <c r="BF2246" s="5" t="s">
        <v>252</v>
      </c>
      <c r="BG2246" s="5" t="s">
        <v>238</v>
      </c>
      <c r="BH2246" s="7">
        <f>0</f>
        <v>0</v>
      </c>
      <c r="BI2246" s="8">
        <f>0</f>
        <v>0</v>
      </c>
      <c r="BJ2246" s="5" t="s">
        <v>253</v>
      </c>
      <c r="BK2246" s="5" t="s">
        <v>254</v>
      </c>
      <c r="BY2246" s="5" t="s">
        <v>238</v>
      </c>
      <c r="BZ2246" s="5" t="s">
        <v>238</v>
      </c>
      <c r="CD2246" s="5" t="s">
        <v>273</v>
      </c>
      <c r="CE2246" s="5" t="s">
        <v>256</v>
      </c>
      <c r="CF2246" s="5" t="s">
        <v>238</v>
      </c>
      <c r="CI2246" s="6" t="s">
        <v>257</v>
      </c>
      <c r="CJ2246" s="5" t="s">
        <v>238</v>
      </c>
      <c r="CK2246" s="5" t="s">
        <v>258</v>
      </c>
      <c r="CL2246" s="5" t="s">
        <v>238</v>
      </c>
      <c r="CM2246" s="5" t="s">
        <v>238</v>
      </c>
      <c r="CN2246" s="5">
        <v>0</v>
      </c>
      <c r="CO2246" s="5" t="s">
        <v>259</v>
      </c>
      <c r="CP2246" s="5" t="s">
        <v>260</v>
      </c>
      <c r="CQ2246" s="5" t="s">
        <v>260</v>
      </c>
      <c r="CR2246" s="5" t="s">
        <v>261</v>
      </c>
      <c r="CU2246" s="8">
        <f>1</f>
        <v>1</v>
      </c>
      <c r="CV2246" s="8">
        <f>0</f>
        <v>0</v>
      </c>
      <c r="CX2246" s="8">
        <f>0</f>
        <v>0</v>
      </c>
      <c r="CY2246" s="8">
        <f>1</f>
        <v>1</v>
      </c>
      <c r="DA2246" s="5" t="s">
        <v>274</v>
      </c>
      <c r="DB2246" s="5" t="s">
        <v>238</v>
      </c>
      <c r="DD2246" s="5" t="s">
        <v>274</v>
      </c>
      <c r="DE2246" s="8">
        <f>2548</f>
        <v>2548</v>
      </c>
      <c r="DG2246" s="5" t="s">
        <v>238</v>
      </c>
      <c r="DH2246" s="5" t="s">
        <v>238</v>
      </c>
      <c r="DI2246" s="5" t="s">
        <v>238</v>
      </c>
      <c r="DJ2246" s="5" t="s">
        <v>238</v>
      </c>
      <c r="DN2246" s="5" t="s">
        <v>238</v>
      </c>
      <c r="DO2246" s="5" t="s">
        <v>238</v>
      </c>
      <c r="DP2246" s="5" t="s">
        <v>238</v>
      </c>
      <c r="DQ2246" s="5" t="s">
        <v>238</v>
      </c>
      <c r="DT2246" s="5" t="s">
        <v>275</v>
      </c>
      <c r="DU2246" s="5" t="s">
        <v>3127</v>
      </c>
      <c r="HM2246" s="5" t="s">
        <v>264</v>
      </c>
    </row>
    <row r="2247" spans="1:221" x14ac:dyDescent="0.4">
      <c r="A2247" s="5">
        <v>3951</v>
      </c>
      <c r="B2247" s="5">
        <v>1</v>
      </c>
      <c r="C2247" s="5">
        <v>1</v>
      </c>
      <c r="D2247" s="5" t="s">
        <v>269</v>
      </c>
      <c r="E2247" s="5" t="s">
        <v>271</v>
      </c>
      <c r="F2247" s="5" t="s">
        <v>248</v>
      </c>
      <c r="G2247" s="5" t="s">
        <v>266</v>
      </c>
      <c r="H2247" s="6" t="s">
        <v>5959</v>
      </c>
      <c r="I2247" s="7">
        <f>700</f>
        <v>700</v>
      </c>
      <c r="J2247" s="5" t="s">
        <v>262</v>
      </c>
      <c r="K2247" s="8">
        <f>1</f>
        <v>1</v>
      </c>
      <c r="L2247" s="6" t="s">
        <v>242</v>
      </c>
      <c r="M2247" s="5" t="s">
        <v>267</v>
      </c>
      <c r="N2247" s="5" t="s">
        <v>265</v>
      </c>
      <c r="O2247" s="5" t="s">
        <v>238</v>
      </c>
      <c r="P2247" s="5" t="s">
        <v>238</v>
      </c>
      <c r="Q2247" s="5" t="s">
        <v>268</v>
      </c>
      <c r="R2247" s="5" t="s">
        <v>270</v>
      </c>
      <c r="S2247" s="5" t="s">
        <v>238</v>
      </c>
      <c r="V2247" s="5" t="s">
        <v>238</v>
      </c>
      <c r="X2247" s="6" t="s">
        <v>238</v>
      </c>
      <c r="AA2247" s="6" t="s">
        <v>243</v>
      </c>
      <c r="AB2247" s="5" t="s">
        <v>238</v>
      </c>
      <c r="AC2247" s="5" t="s">
        <v>244</v>
      </c>
      <c r="AD2247" s="5" t="s">
        <v>245</v>
      </c>
      <c r="AT2247" s="5" t="s">
        <v>246</v>
      </c>
      <c r="AU2247" s="5" t="s">
        <v>238</v>
      </c>
      <c r="AV2247" s="5" t="s">
        <v>247</v>
      </c>
      <c r="AW2247" s="5" t="s">
        <v>238</v>
      </c>
      <c r="AX2247" s="5" t="s">
        <v>249</v>
      </c>
      <c r="AY2247" s="5" t="s">
        <v>238</v>
      </c>
      <c r="BA2247" s="5" t="s">
        <v>238</v>
      </c>
      <c r="BC2247" s="5" t="s">
        <v>250</v>
      </c>
      <c r="BD2247" s="6" t="s">
        <v>243</v>
      </c>
      <c r="BE2247" s="5" t="s">
        <v>251</v>
      </c>
      <c r="BF2247" s="5" t="s">
        <v>252</v>
      </c>
      <c r="BG2247" s="5" t="s">
        <v>238</v>
      </c>
      <c r="BH2247" s="7">
        <f>0</f>
        <v>0</v>
      </c>
      <c r="BI2247" s="8">
        <f>0</f>
        <v>0</v>
      </c>
      <c r="BJ2247" s="5" t="s">
        <v>253</v>
      </c>
      <c r="BK2247" s="5" t="s">
        <v>254</v>
      </c>
      <c r="BY2247" s="5" t="s">
        <v>238</v>
      </c>
      <c r="BZ2247" s="5" t="s">
        <v>238</v>
      </c>
      <c r="CD2247" s="5" t="s">
        <v>273</v>
      </c>
      <c r="CE2247" s="5" t="s">
        <v>256</v>
      </c>
      <c r="CF2247" s="5" t="s">
        <v>238</v>
      </c>
      <c r="CI2247" s="6" t="s">
        <v>257</v>
      </c>
      <c r="CJ2247" s="5" t="s">
        <v>238</v>
      </c>
      <c r="CK2247" s="5" t="s">
        <v>258</v>
      </c>
      <c r="CL2247" s="5" t="s">
        <v>238</v>
      </c>
      <c r="CM2247" s="5" t="s">
        <v>238</v>
      </c>
      <c r="CN2247" s="5">
        <v>0</v>
      </c>
      <c r="CO2247" s="5" t="s">
        <v>259</v>
      </c>
      <c r="CP2247" s="5" t="s">
        <v>260</v>
      </c>
      <c r="CQ2247" s="5" t="s">
        <v>260</v>
      </c>
      <c r="CR2247" s="5" t="s">
        <v>261</v>
      </c>
      <c r="CU2247" s="8">
        <f>1</f>
        <v>1</v>
      </c>
      <c r="CV2247" s="8">
        <f>0</f>
        <v>0</v>
      </c>
      <c r="CX2247" s="8">
        <f>0</f>
        <v>0</v>
      </c>
      <c r="CY2247" s="8">
        <f>1</f>
        <v>1</v>
      </c>
      <c r="DA2247" s="5" t="s">
        <v>274</v>
      </c>
      <c r="DB2247" s="5" t="s">
        <v>238</v>
      </c>
      <c r="DD2247" s="5" t="s">
        <v>274</v>
      </c>
      <c r="DE2247" s="8">
        <f>700</f>
        <v>700</v>
      </c>
      <c r="DG2247" s="5" t="s">
        <v>238</v>
      </c>
      <c r="DH2247" s="5" t="s">
        <v>238</v>
      </c>
      <c r="DI2247" s="5" t="s">
        <v>238</v>
      </c>
      <c r="DJ2247" s="5" t="s">
        <v>238</v>
      </c>
      <c r="DN2247" s="5" t="s">
        <v>238</v>
      </c>
      <c r="DO2247" s="5" t="s">
        <v>238</v>
      </c>
      <c r="DP2247" s="5" t="s">
        <v>238</v>
      </c>
      <c r="DQ2247" s="5" t="s">
        <v>238</v>
      </c>
      <c r="DT2247" s="5" t="s">
        <v>275</v>
      </c>
      <c r="DU2247" s="5" t="s">
        <v>3125</v>
      </c>
      <c r="HM2247" s="5" t="s">
        <v>264</v>
      </c>
    </row>
    <row r="2248" spans="1:221" x14ac:dyDescent="0.4">
      <c r="A2248" s="5">
        <v>3952</v>
      </c>
      <c r="B2248" s="5">
        <v>1</v>
      </c>
      <c r="C2248" s="5">
        <v>1</v>
      </c>
      <c r="D2248" s="5" t="s">
        <v>269</v>
      </c>
      <c r="E2248" s="5" t="s">
        <v>271</v>
      </c>
      <c r="F2248" s="5" t="s">
        <v>248</v>
      </c>
      <c r="G2248" s="5" t="s">
        <v>266</v>
      </c>
      <c r="H2248" s="6" t="s">
        <v>4225</v>
      </c>
      <c r="I2248" s="7">
        <f>144</f>
        <v>144</v>
      </c>
      <c r="J2248" s="5" t="s">
        <v>262</v>
      </c>
      <c r="K2248" s="8">
        <f>1</f>
        <v>1</v>
      </c>
      <c r="L2248" s="6" t="s">
        <v>242</v>
      </c>
      <c r="M2248" s="5" t="s">
        <v>267</v>
      </c>
      <c r="N2248" s="5" t="s">
        <v>265</v>
      </c>
      <c r="O2248" s="5" t="s">
        <v>238</v>
      </c>
      <c r="P2248" s="5" t="s">
        <v>238</v>
      </c>
      <c r="Q2248" s="5" t="s">
        <v>268</v>
      </c>
      <c r="R2248" s="5" t="s">
        <v>270</v>
      </c>
      <c r="S2248" s="5" t="s">
        <v>238</v>
      </c>
      <c r="V2248" s="5" t="s">
        <v>238</v>
      </c>
      <c r="X2248" s="6" t="s">
        <v>238</v>
      </c>
      <c r="AA2248" s="6" t="s">
        <v>243</v>
      </c>
      <c r="AB2248" s="5" t="s">
        <v>238</v>
      </c>
      <c r="AC2248" s="5" t="s">
        <v>244</v>
      </c>
      <c r="AD2248" s="5" t="s">
        <v>245</v>
      </c>
      <c r="AT2248" s="5" t="s">
        <v>246</v>
      </c>
      <c r="AU2248" s="5" t="s">
        <v>238</v>
      </c>
      <c r="AV2248" s="5" t="s">
        <v>247</v>
      </c>
      <c r="AW2248" s="5" t="s">
        <v>238</v>
      </c>
      <c r="AX2248" s="5" t="s">
        <v>249</v>
      </c>
      <c r="AY2248" s="5" t="s">
        <v>238</v>
      </c>
      <c r="BA2248" s="5" t="s">
        <v>238</v>
      </c>
      <c r="BC2248" s="5" t="s">
        <v>250</v>
      </c>
      <c r="BD2248" s="6" t="s">
        <v>243</v>
      </c>
      <c r="BE2248" s="5" t="s">
        <v>251</v>
      </c>
      <c r="BF2248" s="5" t="s">
        <v>252</v>
      </c>
      <c r="BG2248" s="5" t="s">
        <v>238</v>
      </c>
      <c r="BH2248" s="7">
        <f>0</f>
        <v>0</v>
      </c>
      <c r="BI2248" s="8">
        <f>0</f>
        <v>0</v>
      </c>
      <c r="BJ2248" s="5" t="s">
        <v>253</v>
      </c>
      <c r="BK2248" s="5" t="s">
        <v>254</v>
      </c>
      <c r="BY2248" s="5" t="s">
        <v>238</v>
      </c>
      <c r="BZ2248" s="5" t="s">
        <v>238</v>
      </c>
      <c r="CD2248" s="5" t="s">
        <v>273</v>
      </c>
      <c r="CE2248" s="5" t="s">
        <v>256</v>
      </c>
      <c r="CF2248" s="5" t="s">
        <v>238</v>
      </c>
      <c r="CI2248" s="6" t="s">
        <v>257</v>
      </c>
      <c r="CJ2248" s="5" t="s">
        <v>238</v>
      </c>
      <c r="CK2248" s="5" t="s">
        <v>258</v>
      </c>
      <c r="CL2248" s="5" t="s">
        <v>238</v>
      </c>
      <c r="CM2248" s="5" t="s">
        <v>238</v>
      </c>
      <c r="CN2248" s="5">
        <v>0</v>
      </c>
      <c r="CO2248" s="5" t="s">
        <v>259</v>
      </c>
      <c r="CP2248" s="5" t="s">
        <v>260</v>
      </c>
      <c r="CQ2248" s="5" t="s">
        <v>260</v>
      </c>
      <c r="CR2248" s="5" t="s">
        <v>261</v>
      </c>
      <c r="CU2248" s="8">
        <f>1</f>
        <v>1</v>
      </c>
      <c r="CV2248" s="8">
        <f>0</f>
        <v>0</v>
      </c>
      <c r="CX2248" s="8">
        <f>0</f>
        <v>0</v>
      </c>
      <c r="CY2248" s="8">
        <f>1</f>
        <v>1</v>
      </c>
      <c r="DA2248" s="5" t="s">
        <v>274</v>
      </c>
      <c r="DB2248" s="5" t="s">
        <v>238</v>
      </c>
      <c r="DD2248" s="5" t="s">
        <v>274</v>
      </c>
      <c r="DE2248" s="8">
        <f>144</f>
        <v>144</v>
      </c>
      <c r="DG2248" s="5" t="s">
        <v>238</v>
      </c>
      <c r="DH2248" s="5" t="s">
        <v>238</v>
      </c>
      <c r="DI2248" s="5" t="s">
        <v>238</v>
      </c>
      <c r="DJ2248" s="5" t="s">
        <v>238</v>
      </c>
      <c r="DN2248" s="5" t="s">
        <v>238</v>
      </c>
      <c r="DO2248" s="5" t="s">
        <v>238</v>
      </c>
      <c r="DP2248" s="5" t="s">
        <v>238</v>
      </c>
      <c r="DQ2248" s="5" t="s">
        <v>238</v>
      </c>
      <c r="DT2248" s="5" t="s">
        <v>275</v>
      </c>
      <c r="DU2248" s="5" t="s">
        <v>3123</v>
      </c>
      <c r="HM2248" s="5" t="s">
        <v>264</v>
      </c>
    </row>
    <row r="2249" spans="1:221" x14ac:dyDescent="0.4">
      <c r="A2249" s="5">
        <v>3953</v>
      </c>
      <c r="B2249" s="5">
        <v>1</v>
      </c>
      <c r="C2249" s="5">
        <v>1</v>
      </c>
      <c r="D2249" s="5" t="s">
        <v>269</v>
      </c>
      <c r="E2249" s="5" t="s">
        <v>271</v>
      </c>
      <c r="F2249" s="5" t="s">
        <v>248</v>
      </c>
      <c r="G2249" s="5" t="s">
        <v>266</v>
      </c>
      <c r="H2249" s="6" t="s">
        <v>4268</v>
      </c>
      <c r="I2249" s="7">
        <f>3795</f>
        <v>3795</v>
      </c>
      <c r="J2249" s="5" t="s">
        <v>262</v>
      </c>
      <c r="K2249" s="8">
        <f>1</f>
        <v>1</v>
      </c>
      <c r="L2249" s="6" t="s">
        <v>242</v>
      </c>
      <c r="M2249" s="5" t="s">
        <v>267</v>
      </c>
      <c r="N2249" s="5" t="s">
        <v>265</v>
      </c>
      <c r="O2249" s="5" t="s">
        <v>238</v>
      </c>
      <c r="P2249" s="5" t="s">
        <v>238</v>
      </c>
      <c r="Q2249" s="5" t="s">
        <v>268</v>
      </c>
      <c r="R2249" s="5" t="s">
        <v>270</v>
      </c>
      <c r="S2249" s="5" t="s">
        <v>238</v>
      </c>
      <c r="V2249" s="5" t="s">
        <v>238</v>
      </c>
      <c r="X2249" s="6" t="s">
        <v>238</v>
      </c>
      <c r="AA2249" s="6" t="s">
        <v>243</v>
      </c>
      <c r="AB2249" s="5" t="s">
        <v>238</v>
      </c>
      <c r="AC2249" s="5" t="s">
        <v>244</v>
      </c>
      <c r="AD2249" s="5" t="s">
        <v>245</v>
      </c>
      <c r="AT2249" s="5" t="s">
        <v>246</v>
      </c>
      <c r="AU2249" s="5" t="s">
        <v>238</v>
      </c>
      <c r="AV2249" s="5" t="s">
        <v>247</v>
      </c>
      <c r="AW2249" s="5" t="s">
        <v>238</v>
      </c>
      <c r="AX2249" s="5" t="s">
        <v>249</v>
      </c>
      <c r="AY2249" s="5" t="s">
        <v>238</v>
      </c>
      <c r="BA2249" s="5" t="s">
        <v>238</v>
      </c>
      <c r="BC2249" s="5" t="s">
        <v>250</v>
      </c>
      <c r="BD2249" s="6" t="s">
        <v>243</v>
      </c>
      <c r="BE2249" s="5" t="s">
        <v>251</v>
      </c>
      <c r="BF2249" s="5" t="s">
        <v>252</v>
      </c>
      <c r="BG2249" s="5" t="s">
        <v>238</v>
      </c>
      <c r="BH2249" s="7">
        <f>0</f>
        <v>0</v>
      </c>
      <c r="BI2249" s="8">
        <f>0</f>
        <v>0</v>
      </c>
      <c r="BJ2249" s="5" t="s">
        <v>253</v>
      </c>
      <c r="BK2249" s="5" t="s">
        <v>254</v>
      </c>
      <c r="BY2249" s="5" t="s">
        <v>238</v>
      </c>
      <c r="BZ2249" s="5" t="s">
        <v>238</v>
      </c>
      <c r="CD2249" s="5" t="s">
        <v>273</v>
      </c>
      <c r="CE2249" s="5" t="s">
        <v>256</v>
      </c>
      <c r="CF2249" s="5" t="s">
        <v>238</v>
      </c>
      <c r="CI2249" s="6" t="s">
        <v>257</v>
      </c>
      <c r="CJ2249" s="5" t="s">
        <v>238</v>
      </c>
      <c r="CK2249" s="5" t="s">
        <v>258</v>
      </c>
      <c r="CL2249" s="5" t="s">
        <v>238</v>
      </c>
      <c r="CM2249" s="5" t="s">
        <v>238</v>
      </c>
      <c r="CN2249" s="5">
        <v>0</v>
      </c>
      <c r="CO2249" s="5" t="s">
        <v>259</v>
      </c>
      <c r="CP2249" s="5" t="s">
        <v>260</v>
      </c>
      <c r="CQ2249" s="5" t="s">
        <v>260</v>
      </c>
      <c r="CR2249" s="5" t="s">
        <v>261</v>
      </c>
      <c r="CU2249" s="8">
        <f>1</f>
        <v>1</v>
      </c>
      <c r="CV2249" s="8">
        <f>0</f>
        <v>0</v>
      </c>
      <c r="CX2249" s="8">
        <f>0</f>
        <v>0</v>
      </c>
      <c r="CY2249" s="8">
        <f>1</f>
        <v>1</v>
      </c>
      <c r="DA2249" s="5" t="s">
        <v>274</v>
      </c>
      <c r="DB2249" s="5" t="s">
        <v>238</v>
      </c>
      <c r="DD2249" s="5" t="s">
        <v>274</v>
      </c>
      <c r="DE2249" s="8">
        <f>3795</f>
        <v>3795</v>
      </c>
      <c r="DG2249" s="5" t="s">
        <v>238</v>
      </c>
      <c r="DH2249" s="5" t="s">
        <v>238</v>
      </c>
      <c r="DI2249" s="5" t="s">
        <v>238</v>
      </c>
      <c r="DJ2249" s="5" t="s">
        <v>238</v>
      </c>
      <c r="DN2249" s="5" t="s">
        <v>238</v>
      </c>
      <c r="DO2249" s="5" t="s">
        <v>238</v>
      </c>
      <c r="DP2249" s="5" t="s">
        <v>238</v>
      </c>
      <c r="DQ2249" s="5" t="s">
        <v>238</v>
      </c>
      <c r="DT2249" s="5" t="s">
        <v>275</v>
      </c>
      <c r="DU2249" s="5" t="s">
        <v>3121</v>
      </c>
      <c r="HM2249" s="5" t="s">
        <v>264</v>
      </c>
    </row>
    <row r="2250" spans="1:221" x14ac:dyDescent="0.4">
      <c r="A2250" s="5">
        <v>3954</v>
      </c>
      <c r="B2250" s="5">
        <v>1</v>
      </c>
      <c r="C2250" s="5">
        <v>1</v>
      </c>
      <c r="D2250" s="5" t="s">
        <v>269</v>
      </c>
      <c r="E2250" s="5" t="s">
        <v>271</v>
      </c>
      <c r="F2250" s="5" t="s">
        <v>248</v>
      </c>
      <c r="G2250" s="5" t="s">
        <v>266</v>
      </c>
      <c r="H2250" s="6" t="s">
        <v>4314</v>
      </c>
      <c r="I2250" s="7">
        <f>32</f>
        <v>32</v>
      </c>
      <c r="J2250" s="5" t="s">
        <v>262</v>
      </c>
      <c r="K2250" s="8">
        <f>1</f>
        <v>1</v>
      </c>
      <c r="L2250" s="6" t="s">
        <v>242</v>
      </c>
      <c r="M2250" s="5" t="s">
        <v>267</v>
      </c>
      <c r="N2250" s="5" t="s">
        <v>265</v>
      </c>
      <c r="O2250" s="5" t="s">
        <v>238</v>
      </c>
      <c r="P2250" s="5" t="s">
        <v>238</v>
      </c>
      <c r="Q2250" s="5" t="s">
        <v>268</v>
      </c>
      <c r="R2250" s="5" t="s">
        <v>270</v>
      </c>
      <c r="S2250" s="5" t="s">
        <v>238</v>
      </c>
      <c r="V2250" s="5" t="s">
        <v>238</v>
      </c>
      <c r="X2250" s="6" t="s">
        <v>238</v>
      </c>
      <c r="AA2250" s="6" t="s">
        <v>243</v>
      </c>
      <c r="AB2250" s="5" t="s">
        <v>238</v>
      </c>
      <c r="AC2250" s="5" t="s">
        <v>244</v>
      </c>
      <c r="AD2250" s="5" t="s">
        <v>245</v>
      </c>
      <c r="AT2250" s="5" t="s">
        <v>246</v>
      </c>
      <c r="AU2250" s="5" t="s">
        <v>238</v>
      </c>
      <c r="AV2250" s="5" t="s">
        <v>247</v>
      </c>
      <c r="AW2250" s="5" t="s">
        <v>238</v>
      </c>
      <c r="AX2250" s="5" t="s">
        <v>249</v>
      </c>
      <c r="AY2250" s="5" t="s">
        <v>238</v>
      </c>
      <c r="BA2250" s="5" t="s">
        <v>238</v>
      </c>
      <c r="BC2250" s="5" t="s">
        <v>250</v>
      </c>
      <c r="BD2250" s="6" t="s">
        <v>243</v>
      </c>
      <c r="BE2250" s="5" t="s">
        <v>251</v>
      </c>
      <c r="BF2250" s="5" t="s">
        <v>252</v>
      </c>
      <c r="BG2250" s="5" t="s">
        <v>238</v>
      </c>
      <c r="BH2250" s="7">
        <f>0</f>
        <v>0</v>
      </c>
      <c r="BI2250" s="8">
        <f>0</f>
        <v>0</v>
      </c>
      <c r="BJ2250" s="5" t="s">
        <v>253</v>
      </c>
      <c r="BK2250" s="5" t="s">
        <v>254</v>
      </c>
      <c r="BY2250" s="5" t="s">
        <v>238</v>
      </c>
      <c r="BZ2250" s="5" t="s">
        <v>238</v>
      </c>
      <c r="CD2250" s="5" t="s">
        <v>273</v>
      </c>
      <c r="CE2250" s="5" t="s">
        <v>256</v>
      </c>
      <c r="CF2250" s="5" t="s">
        <v>238</v>
      </c>
      <c r="CI2250" s="6" t="s">
        <v>257</v>
      </c>
      <c r="CJ2250" s="5" t="s">
        <v>238</v>
      </c>
      <c r="CK2250" s="5" t="s">
        <v>258</v>
      </c>
      <c r="CL2250" s="5" t="s">
        <v>238</v>
      </c>
      <c r="CM2250" s="5" t="s">
        <v>238</v>
      </c>
      <c r="CN2250" s="5">
        <v>0</v>
      </c>
      <c r="CO2250" s="5" t="s">
        <v>259</v>
      </c>
      <c r="CP2250" s="5" t="s">
        <v>260</v>
      </c>
      <c r="CQ2250" s="5" t="s">
        <v>260</v>
      </c>
      <c r="CR2250" s="5" t="s">
        <v>261</v>
      </c>
      <c r="CU2250" s="8">
        <f>1</f>
        <v>1</v>
      </c>
      <c r="CV2250" s="8">
        <f>0</f>
        <v>0</v>
      </c>
      <c r="CX2250" s="8">
        <f>0</f>
        <v>0</v>
      </c>
      <c r="CY2250" s="8">
        <f>1</f>
        <v>1</v>
      </c>
      <c r="DA2250" s="5" t="s">
        <v>274</v>
      </c>
      <c r="DB2250" s="5" t="s">
        <v>238</v>
      </c>
      <c r="DD2250" s="5" t="s">
        <v>274</v>
      </c>
      <c r="DE2250" s="8">
        <f>32</f>
        <v>32</v>
      </c>
      <c r="DG2250" s="5" t="s">
        <v>238</v>
      </c>
      <c r="DH2250" s="5" t="s">
        <v>238</v>
      </c>
      <c r="DI2250" s="5" t="s">
        <v>238</v>
      </c>
      <c r="DJ2250" s="5" t="s">
        <v>238</v>
      </c>
      <c r="DN2250" s="5" t="s">
        <v>238</v>
      </c>
      <c r="DO2250" s="5" t="s">
        <v>238</v>
      </c>
      <c r="DP2250" s="5" t="s">
        <v>238</v>
      </c>
      <c r="DQ2250" s="5" t="s">
        <v>238</v>
      </c>
      <c r="DT2250" s="5" t="s">
        <v>275</v>
      </c>
      <c r="DU2250" s="5" t="s">
        <v>3119</v>
      </c>
      <c r="HM2250" s="5" t="s">
        <v>264</v>
      </c>
    </row>
    <row r="2251" spans="1:221" x14ac:dyDescent="0.4">
      <c r="A2251" s="5">
        <v>3955</v>
      </c>
      <c r="B2251" s="5">
        <v>1</v>
      </c>
      <c r="C2251" s="5">
        <v>1</v>
      </c>
      <c r="D2251" s="5" t="s">
        <v>269</v>
      </c>
      <c r="E2251" s="5" t="s">
        <v>271</v>
      </c>
      <c r="F2251" s="5" t="s">
        <v>248</v>
      </c>
      <c r="G2251" s="5" t="s">
        <v>266</v>
      </c>
      <c r="H2251" s="6" t="s">
        <v>4209</v>
      </c>
      <c r="I2251" s="7">
        <f>597</f>
        <v>597</v>
      </c>
      <c r="J2251" s="5" t="s">
        <v>262</v>
      </c>
      <c r="K2251" s="8">
        <f>1</f>
        <v>1</v>
      </c>
      <c r="L2251" s="6" t="s">
        <v>242</v>
      </c>
      <c r="M2251" s="5" t="s">
        <v>267</v>
      </c>
      <c r="N2251" s="5" t="s">
        <v>265</v>
      </c>
      <c r="O2251" s="5" t="s">
        <v>238</v>
      </c>
      <c r="P2251" s="5" t="s">
        <v>238</v>
      </c>
      <c r="Q2251" s="5" t="s">
        <v>268</v>
      </c>
      <c r="R2251" s="5" t="s">
        <v>270</v>
      </c>
      <c r="S2251" s="5" t="s">
        <v>238</v>
      </c>
      <c r="V2251" s="5" t="s">
        <v>238</v>
      </c>
      <c r="X2251" s="6" t="s">
        <v>238</v>
      </c>
      <c r="AA2251" s="6" t="s">
        <v>243</v>
      </c>
      <c r="AB2251" s="5" t="s">
        <v>238</v>
      </c>
      <c r="AC2251" s="5" t="s">
        <v>244</v>
      </c>
      <c r="AD2251" s="5" t="s">
        <v>245</v>
      </c>
      <c r="AT2251" s="5" t="s">
        <v>246</v>
      </c>
      <c r="AU2251" s="5" t="s">
        <v>238</v>
      </c>
      <c r="AV2251" s="5" t="s">
        <v>247</v>
      </c>
      <c r="AW2251" s="5" t="s">
        <v>238</v>
      </c>
      <c r="AX2251" s="5" t="s">
        <v>249</v>
      </c>
      <c r="AY2251" s="5" t="s">
        <v>238</v>
      </c>
      <c r="BA2251" s="5" t="s">
        <v>238</v>
      </c>
      <c r="BC2251" s="5" t="s">
        <v>250</v>
      </c>
      <c r="BD2251" s="6" t="s">
        <v>243</v>
      </c>
      <c r="BE2251" s="5" t="s">
        <v>251</v>
      </c>
      <c r="BF2251" s="5" t="s">
        <v>252</v>
      </c>
      <c r="BG2251" s="5" t="s">
        <v>238</v>
      </c>
      <c r="BH2251" s="7">
        <f>0</f>
        <v>0</v>
      </c>
      <c r="BI2251" s="8">
        <f>0</f>
        <v>0</v>
      </c>
      <c r="BJ2251" s="5" t="s">
        <v>253</v>
      </c>
      <c r="BK2251" s="5" t="s">
        <v>254</v>
      </c>
      <c r="BY2251" s="5" t="s">
        <v>238</v>
      </c>
      <c r="BZ2251" s="5" t="s">
        <v>238</v>
      </c>
      <c r="CD2251" s="5" t="s">
        <v>273</v>
      </c>
      <c r="CE2251" s="5" t="s">
        <v>256</v>
      </c>
      <c r="CF2251" s="5" t="s">
        <v>238</v>
      </c>
      <c r="CI2251" s="6" t="s">
        <v>257</v>
      </c>
      <c r="CJ2251" s="5" t="s">
        <v>238</v>
      </c>
      <c r="CK2251" s="5" t="s">
        <v>258</v>
      </c>
      <c r="CL2251" s="5" t="s">
        <v>238</v>
      </c>
      <c r="CM2251" s="5" t="s">
        <v>238</v>
      </c>
      <c r="CN2251" s="5">
        <v>0</v>
      </c>
      <c r="CO2251" s="5" t="s">
        <v>259</v>
      </c>
      <c r="CP2251" s="5" t="s">
        <v>260</v>
      </c>
      <c r="CQ2251" s="5" t="s">
        <v>260</v>
      </c>
      <c r="CR2251" s="5" t="s">
        <v>261</v>
      </c>
      <c r="CU2251" s="8">
        <f>1</f>
        <v>1</v>
      </c>
      <c r="CV2251" s="8">
        <f>0</f>
        <v>0</v>
      </c>
      <c r="CX2251" s="8">
        <f>0</f>
        <v>0</v>
      </c>
      <c r="CY2251" s="8">
        <f>1</f>
        <v>1</v>
      </c>
      <c r="DA2251" s="5" t="s">
        <v>274</v>
      </c>
      <c r="DB2251" s="5" t="s">
        <v>238</v>
      </c>
      <c r="DD2251" s="5" t="s">
        <v>274</v>
      </c>
      <c r="DE2251" s="8">
        <f>597</f>
        <v>597</v>
      </c>
      <c r="DG2251" s="5" t="s">
        <v>238</v>
      </c>
      <c r="DH2251" s="5" t="s">
        <v>238</v>
      </c>
      <c r="DI2251" s="5" t="s">
        <v>238</v>
      </c>
      <c r="DJ2251" s="5" t="s">
        <v>238</v>
      </c>
      <c r="DN2251" s="5" t="s">
        <v>238</v>
      </c>
      <c r="DO2251" s="5" t="s">
        <v>238</v>
      </c>
      <c r="DP2251" s="5" t="s">
        <v>238</v>
      </c>
      <c r="DQ2251" s="5" t="s">
        <v>238</v>
      </c>
      <c r="DT2251" s="5" t="s">
        <v>275</v>
      </c>
      <c r="DU2251" s="5" t="s">
        <v>3117</v>
      </c>
      <c r="HM2251" s="5" t="s">
        <v>264</v>
      </c>
    </row>
    <row r="2252" spans="1:221" x14ac:dyDescent="0.4">
      <c r="A2252" s="5">
        <v>3956</v>
      </c>
      <c r="B2252" s="5">
        <v>1</v>
      </c>
      <c r="C2252" s="5">
        <v>1</v>
      </c>
      <c r="D2252" s="5" t="s">
        <v>269</v>
      </c>
      <c r="E2252" s="5" t="s">
        <v>271</v>
      </c>
      <c r="F2252" s="5" t="s">
        <v>248</v>
      </c>
      <c r="G2252" s="5" t="s">
        <v>266</v>
      </c>
      <c r="H2252" s="6" t="s">
        <v>5798</v>
      </c>
      <c r="I2252" s="7">
        <f>468</f>
        <v>468</v>
      </c>
      <c r="J2252" s="5" t="s">
        <v>262</v>
      </c>
      <c r="K2252" s="8">
        <f>1</f>
        <v>1</v>
      </c>
      <c r="L2252" s="6" t="s">
        <v>242</v>
      </c>
      <c r="M2252" s="5" t="s">
        <v>267</v>
      </c>
      <c r="N2252" s="5" t="s">
        <v>265</v>
      </c>
      <c r="O2252" s="5" t="s">
        <v>238</v>
      </c>
      <c r="P2252" s="5" t="s">
        <v>238</v>
      </c>
      <c r="Q2252" s="5" t="s">
        <v>268</v>
      </c>
      <c r="R2252" s="5" t="s">
        <v>270</v>
      </c>
      <c r="S2252" s="5" t="s">
        <v>238</v>
      </c>
      <c r="V2252" s="5" t="s">
        <v>238</v>
      </c>
      <c r="X2252" s="6" t="s">
        <v>238</v>
      </c>
      <c r="AA2252" s="6" t="s">
        <v>243</v>
      </c>
      <c r="AB2252" s="5" t="s">
        <v>238</v>
      </c>
      <c r="AC2252" s="5" t="s">
        <v>244</v>
      </c>
      <c r="AD2252" s="5" t="s">
        <v>245</v>
      </c>
      <c r="AT2252" s="5" t="s">
        <v>246</v>
      </c>
      <c r="AU2252" s="5" t="s">
        <v>238</v>
      </c>
      <c r="AV2252" s="5" t="s">
        <v>247</v>
      </c>
      <c r="AW2252" s="5" t="s">
        <v>238</v>
      </c>
      <c r="AX2252" s="5" t="s">
        <v>249</v>
      </c>
      <c r="AY2252" s="5" t="s">
        <v>238</v>
      </c>
      <c r="BA2252" s="5" t="s">
        <v>238</v>
      </c>
      <c r="BC2252" s="5" t="s">
        <v>250</v>
      </c>
      <c r="BD2252" s="6" t="s">
        <v>243</v>
      </c>
      <c r="BE2252" s="5" t="s">
        <v>251</v>
      </c>
      <c r="BF2252" s="5" t="s">
        <v>252</v>
      </c>
      <c r="BG2252" s="5" t="s">
        <v>238</v>
      </c>
      <c r="BH2252" s="7">
        <f>0</f>
        <v>0</v>
      </c>
      <c r="BI2252" s="8">
        <f>0</f>
        <v>0</v>
      </c>
      <c r="BJ2252" s="5" t="s">
        <v>253</v>
      </c>
      <c r="BK2252" s="5" t="s">
        <v>254</v>
      </c>
      <c r="BY2252" s="5" t="s">
        <v>238</v>
      </c>
      <c r="BZ2252" s="5" t="s">
        <v>238</v>
      </c>
      <c r="CD2252" s="5" t="s">
        <v>273</v>
      </c>
      <c r="CE2252" s="5" t="s">
        <v>256</v>
      </c>
      <c r="CF2252" s="5" t="s">
        <v>238</v>
      </c>
      <c r="CI2252" s="6" t="s">
        <v>257</v>
      </c>
      <c r="CJ2252" s="5" t="s">
        <v>238</v>
      </c>
      <c r="CK2252" s="5" t="s">
        <v>258</v>
      </c>
      <c r="CL2252" s="5" t="s">
        <v>238</v>
      </c>
      <c r="CM2252" s="5" t="s">
        <v>238</v>
      </c>
      <c r="CN2252" s="5">
        <v>0</v>
      </c>
      <c r="CO2252" s="5" t="s">
        <v>259</v>
      </c>
      <c r="CP2252" s="5" t="s">
        <v>260</v>
      </c>
      <c r="CQ2252" s="5" t="s">
        <v>260</v>
      </c>
      <c r="CR2252" s="5" t="s">
        <v>261</v>
      </c>
      <c r="CU2252" s="8">
        <f>1</f>
        <v>1</v>
      </c>
      <c r="CV2252" s="8">
        <f>0</f>
        <v>0</v>
      </c>
      <c r="CX2252" s="8">
        <f>0</f>
        <v>0</v>
      </c>
      <c r="CY2252" s="8">
        <f>1</f>
        <v>1</v>
      </c>
      <c r="DA2252" s="5" t="s">
        <v>274</v>
      </c>
      <c r="DB2252" s="5" t="s">
        <v>238</v>
      </c>
      <c r="DD2252" s="5" t="s">
        <v>274</v>
      </c>
      <c r="DE2252" s="8">
        <f>468</f>
        <v>468</v>
      </c>
      <c r="DG2252" s="5" t="s">
        <v>238</v>
      </c>
      <c r="DH2252" s="5" t="s">
        <v>238</v>
      </c>
      <c r="DI2252" s="5" t="s">
        <v>238</v>
      </c>
      <c r="DJ2252" s="5" t="s">
        <v>238</v>
      </c>
      <c r="DN2252" s="5" t="s">
        <v>238</v>
      </c>
      <c r="DO2252" s="5" t="s">
        <v>238</v>
      </c>
      <c r="DP2252" s="5" t="s">
        <v>238</v>
      </c>
      <c r="DQ2252" s="5" t="s">
        <v>238</v>
      </c>
      <c r="DT2252" s="5" t="s">
        <v>275</v>
      </c>
      <c r="DU2252" s="5" t="s">
        <v>3115</v>
      </c>
      <c r="HM2252" s="5" t="s">
        <v>264</v>
      </c>
    </row>
    <row r="2253" spans="1:221" x14ac:dyDescent="0.4">
      <c r="A2253" s="5">
        <v>3957</v>
      </c>
      <c r="B2253" s="5">
        <v>1</v>
      </c>
      <c r="C2253" s="5">
        <v>1</v>
      </c>
      <c r="D2253" s="5" t="s">
        <v>269</v>
      </c>
      <c r="E2253" s="5" t="s">
        <v>271</v>
      </c>
      <c r="F2253" s="5" t="s">
        <v>248</v>
      </c>
      <c r="G2253" s="5" t="s">
        <v>266</v>
      </c>
      <c r="H2253" s="6" t="s">
        <v>5825</v>
      </c>
      <c r="I2253" s="7">
        <f>747</f>
        <v>747</v>
      </c>
      <c r="J2253" s="5" t="s">
        <v>262</v>
      </c>
      <c r="K2253" s="8">
        <f>1</f>
        <v>1</v>
      </c>
      <c r="L2253" s="6" t="s">
        <v>242</v>
      </c>
      <c r="M2253" s="5" t="s">
        <v>267</v>
      </c>
      <c r="N2253" s="5" t="s">
        <v>265</v>
      </c>
      <c r="O2253" s="5" t="s">
        <v>238</v>
      </c>
      <c r="P2253" s="5" t="s">
        <v>238</v>
      </c>
      <c r="Q2253" s="5" t="s">
        <v>268</v>
      </c>
      <c r="R2253" s="5" t="s">
        <v>270</v>
      </c>
      <c r="S2253" s="5" t="s">
        <v>238</v>
      </c>
      <c r="V2253" s="5" t="s">
        <v>238</v>
      </c>
      <c r="X2253" s="6" t="s">
        <v>238</v>
      </c>
      <c r="AA2253" s="6" t="s">
        <v>243</v>
      </c>
      <c r="AB2253" s="5" t="s">
        <v>238</v>
      </c>
      <c r="AC2253" s="5" t="s">
        <v>244</v>
      </c>
      <c r="AD2253" s="5" t="s">
        <v>245</v>
      </c>
      <c r="AT2253" s="5" t="s">
        <v>246</v>
      </c>
      <c r="AU2253" s="5" t="s">
        <v>238</v>
      </c>
      <c r="AV2253" s="5" t="s">
        <v>247</v>
      </c>
      <c r="AW2253" s="5" t="s">
        <v>238</v>
      </c>
      <c r="AX2253" s="5" t="s">
        <v>249</v>
      </c>
      <c r="AY2253" s="5" t="s">
        <v>238</v>
      </c>
      <c r="BA2253" s="5" t="s">
        <v>238</v>
      </c>
      <c r="BC2253" s="5" t="s">
        <v>250</v>
      </c>
      <c r="BD2253" s="6" t="s">
        <v>243</v>
      </c>
      <c r="BE2253" s="5" t="s">
        <v>251</v>
      </c>
      <c r="BF2253" s="5" t="s">
        <v>252</v>
      </c>
      <c r="BG2253" s="5" t="s">
        <v>238</v>
      </c>
      <c r="BH2253" s="7">
        <f>0</f>
        <v>0</v>
      </c>
      <c r="BI2253" s="8">
        <f>0</f>
        <v>0</v>
      </c>
      <c r="BJ2253" s="5" t="s">
        <v>253</v>
      </c>
      <c r="BK2253" s="5" t="s">
        <v>254</v>
      </c>
      <c r="BY2253" s="5" t="s">
        <v>238</v>
      </c>
      <c r="BZ2253" s="5" t="s">
        <v>238</v>
      </c>
      <c r="CD2253" s="5" t="s">
        <v>273</v>
      </c>
      <c r="CE2253" s="5" t="s">
        <v>256</v>
      </c>
      <c r="CF2253" s="5" t="s">
        <v>238</v>
      </c>
      <c r="CI2253" s="6" t="s">
        <v>257</v>
      </c>
      <c r="CJ2253" s="5" t="s">
        <v>238</v>
      </c>
      <c r="CK2253" s="5" t="s">
        <v>258</v>
      </c>
      <c r="CL2253" s="5" t="s">
        <v>238</v>
      </c>
      <c r="CM2253" s="5" t="s">
        <v>238</v>
      </c>
      <c r="CN2253" s="5">
        <v>0</v>
      </c>
      <c r="CO2253" s="5" t="s">
        <v>259</v>
      </c>
      <c r="CP2253" s="5" t="s">
        <v>260</v>
      </c>
      <c r="CQ2253" s="5" t="s">
        <v>260</v>
      </c>
      <c r="CR2253" s="5" t="s">
        <v>261</v>
      </c>
      <c r="CU2253" s="8">
        <f>1</f>
        <v>1</v>
      </c>
      <c r="CV2253" s="8">
        <f>0</f>
        <v>0</v>
      </c>
      <c r="CX2253" s="8">
        <f>0</f>
        <v>0</v>
      </c>
      <c r="CY2253" s="8">
        <f>1</f>
        <v>1</v>
      </c>
      <c r="DA2253" s="5" t="s">
        <v>274</v>
      </c>
      <c r="DB2253" s="5" t="s">
        <v>238</v>
      </c>
      <c r="DD2253" s="5" t="s">
        <v>274</v>
      </c>
      <c r="DE2253" s="8">
        <f>747</f>
        <v>747</v>
      </c>
      <c r="DG2253" s="5" t="s">
        <v>238</v>
      </c>
      <c r="DH2253" s="5" t="s">
        <v>238</v>
      </c>
      <c r="DI2253" s="5" t="s">
        <v>238</v>
      </c>
      <c r="DJ2253" s="5" t="s">
        <v>238</v>
      </c>
      <c r="DN2253" s="5" t="s">
        <v>238</v>
      </c>
      <c r="DO2253" s="5" t="s">
        <v>238</v>
      </c>
      <c r="DP2253" s="5" t="s">
        <v>238</v>
      </c>
      <c r="DQ2253" s="5" t="s">
        <v>238</v>
      </c>
      <c r="DT2253" s="5" t="s">
        <v>275</v>
      </c>
      <c r="DU2253" s="5" t="s">
        <v>3113</v>
      </c>
      <c r="HM2253" s="5" t="s">
        <v>264</v>
      </c>
    </row>
    <row r="2254" spans="1:221" x14ac:dyDescent="0.4">
      <c r="A2254" s="5">
        <v>3958</v>
      </c>
      <c r="B2254" s="5">
        <v>1</v>
      </c>
      <c r="C2254" s="5">
        <v>1</v>
      </c>
      <c r="D2254" s="5" t="s">
        <v>269</v>
      </c>
      <c r="E2254" s="5" t="s">
        <v>271</v>
      </c>
      <c r="F2254" s="5" t="s">
        <v>248</v>
      </c>
      <c r="G2254" s="5" t="s">
        <v>266</v>
      </c>
      <c r="H2254" s="6" t="s">
        <v>4311</v>
      </c>
      <c r="I2254" s="7">
        <f>330</f>
        <v>330</v>
      </c>
      <c r="J2254" s="5" t="s">
        <v>262</v>
      </c>
      <c r="K2254" s="8">
        <f>1</f>
        <v>1</v>
      </c>
      <c r="L2254" s="6" t="s">
        <v>242</v>
      </c>
      <c r="M2254" s="5" t="s">
        <v>267</v>
      </c>
      <c r="N2254" s="5" t="s">
        <v>265</v>
      </c>
      <c r="O2254" s="5" t="s">
        <v>238</v>
      </c>
      <c r="P2254" s="5" t="s">
        <v>238</v>
      </c>
      <c r="Q2254" s="5" t="s">
        <v>268</v>
      </c>
      <c r="R2254" s="5" t="s">
        <v>270</v>
      </c>
      <c r="S2254" s="5" t="s">
        <v>238</v>
      </c>
      <c r="V2254" s="5" t="s">
        <v>238</v>
      </c>
      <c r="X2254" s="6" t="s">
        <v>238</v>
      </c>
      <c r="AA2254" s="6" t="s">
        <v>243</v>
      </c>
      <c r="AB2254" s="5" t="s">
        <v>238</v>
      </c>
      <c r="AC2254" s="5" t="s">
        <v>244</v>
      </c>
      <c r="AD2254" s="5" t="s">
        <v>245</v>
      </c>
      <c r="AT2254" s="5" t="s">
        <v>246</v>
      </c>
      <c r="AU2254" s="5" t="s">
        <v>238</v>
      </c>
      <c r="AV2254" s="5" t="s">
        <v>247</v>
      </c>
      <c r="AW2254" s="5" t="s">
        <v>238</v>
      </c>
      <c r="AX2254" s="5" t="s">
        <v>249</v>
      </c>
      <c r="AY2254" s="5" t="s">
        <v>238</v>
      </c>
      <c r="BA2254" s="5" t="s">
        <v>238</v>
      </c>
      <c r="BC2254" s="5" t="s">
        <v>250</v>
      </c>
      <c r="BD2254" s="6" t="s">
        <v>243</v>
      </c>
      <c r="BE2254" s="5" t="s">
        <v>251</v>
      </c>
      <c r="BF2254" s="5" t="s">
        <v>252</v>
      </c>
      <c r="BG2254" s="5" t="s">
        <v>238</v>
      </c>
      <c r="BH2254" s="7">
        <f>0</f>
        <v>0</v>
      </c>
      <c r="BI2254" s="8">
        <f>0</f>
        <v>0</v>
      </c>
      <c r="BJ2254" s="5" t="s">
        <v>253</v>
      </c>
      <c r="BK2254" s="5" t="s">
        <v>254</v>
      </c>
      <c r="BY2254" s="5" t="s">
        <v>238</v>
      </c>
      <c r="BZ2254" s="5" t="s">
        <v>238</v>
      </c>
      <c r="CD2254" s="5" t="s">
        <v>273</v>
      </c>
      <c r="CE2254" s="5" t="s">
        <v>256</v>
      </c>
      <c r="CF2254" s="5" t="s">
        <v>238</v>
      </c>
      <c r="CI2254" s="6" t="s">
        <v>257</v>
      </c>
      <c r="CJ2254" s="5" t="s">
        <v>238</v>
      </c>
      <c r="CK2254" s="5" t="s">
        <v>258</v>
      </c>
      <c r="CL2254" s="5" t="s">
        <v>238</v>
      </c>
      <c r="CM2254" s="5" t="s">
        <v>238</v>
      </c>
      <c r="CN2254" s="5">
        <v>0</v>
      </c>
      <c r="CO2254" s="5" t="s">
        <v>259</v>
      </c>
      <c r="CP2254" s="5" t="s">
        <v>260</v>
      </c>
      <c r="CQ2254" s="5" t="s">
        <v>260</v>
      </c>
      <c r="CR2254" s="5" t="s">
        <v>261</v>
      </c>
      <c r="CU2254" s="8">
        <f>1</f>
        <v>1</v>
      </c>
      <c r="CV2254" s="8">
        <f>0</f>
        <v>0</v>
      </c>
      <c r="CX2254" s="8">
        <f>0</f>
        <v>0</v>
      </c>
      <c r="CY2254" s="8">
        <f>1</f>
        <v>1</v>
      </c>
      <c r="DA2254" s="5" t="s">
        <v>274</v>
      </c>
      <c r="DB2254" s="5" t="s">
        <v>238</v>
      </c>
      <c r="DD2254" s="5" t="s">
        <v>274</v>
      </c>
      <c r="DE2254" s="8">
        <f>330</f>
        <v>330</v>
      </c>
      <c r="DG2254" s="5" t="s">
        <v>238</v>
      </c>
      <c r="DH2254" s="5" t="s">
        <v>238</v>
      </c>
      <c r="DI2254" s="5" t="s">
        <v>238</v>
      </c>
      <c r="DJ2254" s="5" t="s">
        <v>238</v>
      </c>
      <c r="DN2254" s="5" t="s">
        <v>238</v>
      </c>
      <c r="DO2254" s="5" t="s">
        <v>238</v>
      </c>
      <c r="DP2254" s="5" t="s">
        <v>238</v>
      </c>
      <c r="DQ2254" s="5" t="s">
        <v>238</v>
      </c>
      <c r="DT2254" s="5" t="s">
        <v>275</v>
      </c>
      <c r="DU2254" s="5" t="s">
        <v>3111</v>
      </c>
      <c r="HM2254" s="5" t="s">
        <v>264</v>
      </c>
    </row>
    <row r="2255" spans="1:221" x14ac:dyDescent="0.4">
      <c r="A2255" s="5">
        <v>3959</v>
      </c>
      <c r="B2255" s="5">
        <v>1</v>
      </c>
      <c r="C2255" s="5">
        <v>1</v>
      </c>
      <c r="D2255" s="5" t="s">
        <v>269</v>
      </c>
      <c r="E2255" s="5" t="s">
        <v>271</v>
      </c>
      <c r="F2255" s="5" t="s">
        <v>248</v>
      </c>
      <c r="G2255" s="5" t="s">
        <v>266</v>
      </c>
      <c r="H2255" s="6" t="s">
        <v>4249</v>
      </c>
      <c r="I2255" s="7">
        <f>611</f>
        <v>611</v>
      </c>
      <c r="J2255" s="5" t="s">
        <v>262</v>
      </c>
      <c r="K2255" s="8">
        <f>1</f>
        <v>1</v>
      </c>
      <c r="L2255" s="6" t="s">
        <v>242</v>
      </c>
      <c r="M2255" s="5" t="s">
        <v>267</v>
      </c>
      <c r="N2255" s="5" t="s">
        <v>265</v>
      </c>
      <c r="O2255" s="5" t="s">
        <v>238</v>
      </c>
      <c r="P2255" s="5" t="s">
        <v>238</v>
      </c>
      <c r="Q2255" s="5" t="s">
        <v>268</v>
      </c>
      <c r="R2255" s="5" t="s">
        <v>270</v>
      </c>
      <c r="S2255" s="5" t="s">
        <v>238</v>
      </c>
      <c r="V2255" s="5" t="s">
        <v>238</v>
      </c>
      <c r="X2255" s="6" t="s">
        <v>238</v>
      </c>
      <c r="AA2255" s="6" t="s">
        <v>243</v>
      </c>
      <c r="AB2255" s="5" t="s">
        <v>238</v>
      </c>
      <c r="AC2255" s="5" t="s">
        <v>244</v>
      </c>
      <c r="AD2255" s="5" t="s">
        <v>245</v>
      </c>
      <c r="AT2255" s="5" t="s">
        <v>246</v>
      </c>
      <c r="AU2255" s="5" t="s">
        <v>238</v>
      </c>
      <c r="AV2255" s="5" t="s">
        <v>247</v>
      </c>
      <c r="AW2255" s="5" t="s">
        <v>238</v>
      </c>
      <c r="AX2255" s="5" t="s">
        <v>249</v>
      </c>
      <c r="AY2255" s="5" t="s">
        <v>238</v>
      </c>
      <c r="BA2255" s="5" t="s">
        <v>238</v>
      </c>
      <c r="BC2255" s="5" t="s">
        <v>250</v>
      </c>
      <c r="BD2255" s="6" t="s">
        <v>243</v>
      </c>
      <c r="BE2255" s="5" t="s">
        <v>251</v>
      </c>
      <c r="BF2255" s="5" t="s">
        <v>252</v>
      </c>
      <c r="BG2255" s="5" t="s">
        <v>238</v>
      </c>
      <c r="BH2255" s="7">
        <f>0</f>
        <v>0</v>
      </c>
      <c r="BI2255" s="8">
        <f>0</f>
        <v>0</v>
      </c>
      <c r="BJ2255" s="5" t="s">
        <v>253</v>
      </c>
      <c r="BK2255" s="5" t="s">
        <v>254</v>
      </c>
      <c r="BY2255" s="5" t="s">
        <v>238</v>
      </c>
      <c r="BZ2255" s="5" t="s">
        <v>238</v>
      </c>
      <c r="CD2255" s="5" t="s">
        <v>273</v>
      </c>
      <c r="CE2255" s="5" t="s">
        <v>256</v>
      </c>
      <c r="CF2255" s="5" t="s">
        <v>238</v>
      </c>
      <c r="CI2255" s="6" t="s">
        <v>257</v>
      </c>
      <c r="CJ2255" s="5" t="s">
        <v>238</v>
      </c>
      <c r="CK2255" s="5" t="s">
        <v>258</v>
      </c>
      <c r="CL2255" s="5" t="s">
        <v>238</v>
      </c>
      <c r="CM2255" s="5" t="s">
        <v>238</v>
      </c>
      <c r="CN2255" s="5">
        <v>0</v>
      </c>
      <c r="CO2255" s="5" t="s">
        <v>259</v>
      </c>
      <c r="CP2255" s="5" t="s">
        <v>260</v>
      </c>
      <c r="CQ2255" s="5" t="s">
        <v>260</v>
      </c>
      <c r="CR2255" s="5" t="s">
        <v>261</v>
      </c>
      <c r="CU2255" s="8">
        <f>1</f>
        <v>1</v>
      </c>
      <c r="CV2255" s="8">
        <f>0</f>
        <v>0</v>
      </c>
      <c r="CX2255" s="8">
        <f>0</f>
        <v>0</v>
      </c>
      <c r="CY2255" s="8">
        <f>1</f>
        <v>1</v>
      </c>
      <c r="DA2255" s="5" t="s">
        <v>274</v>
      </c>
      <c r="DB2255" s="5" t="s">
        <v>238</v>
      </c>
      <c r="DD2255" s="5" t="s">
        <v>274</v>
      </c>
      <c r="DE2255" s="8">
        <f>611</f>
        <v>611</v>
      </c>
      <c r="DG2255" s="5" t="s">
        <v>238</v>
      </c>
      <c r="DH2255" s="5" t="s">
        <v>238</v>
      </c>
      <c r="DI2255" s="5" t="s">
        <v>238</v>
      </c>
      <c r="DJ2255" s="5" t="s">
        <v>238</v>
      </c>
      <c r="DN2255" s="5" t="s">
        <v>238</v>
      </c>
      <c r="DO2255" s="5" t="s">
        <v>238</v>
      </c>
      <c r="DP2255" s="5" t="s">
        <v>238</v>
      </c>
      <c r="DQ2255" s="5" t="s">
        <v>238</v>
      </c>
      <c r="DT2255" s="5" t="s">
        <v>275</v>
      </c>
      <c r="DU2255" s="5" t="s">
        <v>3109</v>
      </c>
      <c r="HM2255" s="5" t="s">
        <v>264</v>
      </c>
    </row>
    <row r="2256" spans="1:221" x14ac:dyDescent="0.4">
      <c r="A2256" s="5">
        <v>3960</v>
      </c>
      <c r="B2256" s="5">
        <v>1</v>
      </c>
      <c r="C2256" s="5">
        <v>1</v>
      </c>
      <c r="D2256" s="5" t="s">
        <v>269</v>
      </c>
      <c r="E2256" s="5" t="s">
        <v>271</v>
      </c>
      <c r="F2256" s="5" t="s">
        <v>248</v>
      </c>
      <c r="G2256" s="5" t="s">
        <v>266</v>
      </c>
      <c r="H2256" s="6" t="s">
        <v>4205</v>
      </c>
      <c r="I2256" s="7">
        <f>663</f>
        <v>663</v>
      </c>
      <c r="J2256" s="5" t="s">
        <v>262</v>
      </c>
      <c r="K2256" s="8">
        <f>1</f>
        <v>1</v>
      </c>
      <c r="L2256" s="6" t="s">
        <v>242</v>
      </c>
      <c r="M2256" s="5" t="s">
        <v>267</v>
      </c>
      <c r="N2256" s="5" t="s">
        <v>265</v>
      </c>
      <c r="O2256" s="5" t="s">
        <v>238</v>
      </c>
      <c r="P2256" s="5" t="s">
        <v>238</v>
      </c>
      <c r="Q2256" s="5" t="s">
        <v>268</v>
      </c>
      <c r="R2256" s="5" t="s">
        <v>270</v>
      </c>
      <c r="S2256" s="5" t="s">
        <v>238</v>
      </c>
      <c r="V2256" s="5" t="s">
        <v>238</v>
      </c>
      <c r="X2256" s="6" t="s">
        <v>238</v>
      </c>
      <c r="AA2256" s="6" t="s">
        <v>243</v>
      </c>
      <c r="AB2256" s="5" t="s">
        <v>238</v>
      </c>
      <c r="AC2256" s="5" t="s">
        <v>244</v>
      </c>
      <c r="AD2256" s="5" t="s">
        <v>245</v>
      </c>
      <c r="AT2256" s="5" t="s">
        <v>246</v>
      </c>
      <c r="AU2256" s="5" t="s">
        <v>238</v>
      </c>
      <c r="AV2256" s="5" t="s">
        <v>247</v>
      </c>
      <c r="AW2256" s="5" t="s">
        <v>238</v>
      </c>
      <c r="AX2256" s="5" t="s">
        <v>249</v>
      </c>
      <c r="AY2256" s="5" t="s">
        <v>238</v>
      </c>
      <c r="BA2256" s="5" t="s">
        <v>238</v>
      </c>
      <c r="BC2256" s="5" t="s">
        <v>250</v>
      </c>
      <c r="BD2256" s="6" t="s">
        <v>243</v>
      </c>
      <c r="BE2256" s="5" t="s">
        <v>251</v>
      </c>
      <c r="BF2256" s="5" t="s">
        <v>252</v>
      </c>
      <c r="BG2256" s="5" t="s">
        <v>238</v>
      </c>
      <c r="BH2256" s="7">
        <f>0</f>
        <v>0</v>
      </c>
      <c r="BI2256" s="8">
        <f>0</f>
        <v>0</v>
      </c>
      <c r="BJ2256" s="5" t="s">
        <v>253</v>
      </c>
      <c r="BK2256" s="5" t="s">
        <v>254</v>
      </c>
      <c r="BY2256" s="5" t="s">
        <v>238</v>
      </c>
      <c r="BZ2256" s="5" t="s">
        <v>238</v>
      </c>
      <c r="CD2256" s="5" t="s">
        <v>273</v>
      </c>
      <c r="CE2256" s="5" t="s">
        <v>256</v>
      </c>
      <c r="CF2256" s="5" t="s">
        <v>238</v>
      </c>
      <c r="CI2256" s="6" t="s">
        <v>257</v>
      </c>
      <c r="CJ2256" s="5" t="s">
        <v>238</v>
      </c>
      <c r="CK2256" s="5" t="s">
        <v>258</v>
      </c>
      <c r="CL2256" s="5" t="s">
        <v>238</v>
      </c>
      <c r="CM2256" s="5" t="s">
        <v>238</v>
      </c>
      <c r="CN2256" s="5">
        <v>0</v>
      </c>
      <c r="CO2256" s="5" t="s">
        <v>259</v>
      </c>
      <c r="CP2256" s="5" t="s">
        <v>260</v>
      </c>
      <c r="CQ2256" s="5" t="s">
        <v>260</v>
      </c>
      <c r="CR2256" s="5" t="s">
        <v>261</v>
      </c>
      <c r="CU2256" s="8">
        <f>1</f>
        <v>1</v>
      </c>
      <c r="CV2256" s="8">
        <f>0</f>
        <v>0</v>
      </c>
      <c r="CX2256" s="8">
        <f>0</f>
        <v>0</v>
      </c>
      <c r="CY2256" s="8">
        <f>1</f>
        <v>1</v>
      </c>
      <c r="DA2256" s="5" t="s">
        <v>274</v>
      </c>
      <c r="DB2256" s="5" t="s">
        <v>238</v>
      </c>
      <c r="DD2256" s="5" t="s">
        <v>274</v>
      </c>
      <c r="DE2256" s="8">
        <f>663</f>
        <v>663</v>
      </c>
      <c r="DG2256" s="5" t="s">
        <v>238</v>
      </c>
      <c r="DH2256" s="5" t="s">
        <v>238</v>
      </c>
      <c r="DI2256" s="5" t="s">
        <v>238</v>
      </c>
      <c r="DJ2256" s="5" t="s">
        <v>238</v>
      </c>
      <c r="DN2256" s="5" t="s">
        <v>238</v>
      </c>
      <c r="DO2256" s="5" t="s">
        <v>238</v>
      </c>
      <c r="DP2256" s="5" t="s">
        <v>238</v>
      </c>
      <c r="DQ2256" s="5" t="s">
        <v>238</v>
      </c>
      <c r="DT2256" s="5" t="s">
        <v>275</v>
      </c>
      <c r="DU2256" s="5" t="s">
        <v>3107</v>
      </c>
      <c r="HM2256" s="5" t="s">
        <v>264</v>
      </c>
    </row>
    <row r="2257" spans="1:221" x14ac:dyDescent="0.4">
      <c r="A2257" s="5">
        <v>3961</v>
      </c>
      <c r="B2257" s="5">
        <v>1</v>
      </c>
      <c r="C2257" s="5">
        <v>1</v>
      </c>
      <c r="D2257" s="5" t="s">
        <v>269</v>
      </c>
      <c r="E2257" s="5" t="s">
        <v>271</v>
      </c>
      <c r="F2257" s="5" t="s">
        <v>248</v>
      </c>
      <c r="G2257" s="5" t="s">
        <v>266</v>
      </c>
      <c r="H2257" s="6" t="s">
        <v>5830</v>
      </c>
      <c r="I2257" s="7">
        <f>417</f>
        <v>417</v>
      </c>
      <c r="J2257" s="5" t="s">
        <v>262</v>
      </c>
      <c r="K2257" s="8">
        <f>1</f>
        <v>1</v>
      </c>
      <c r="L2257" s="6" t="s">
        <v>242</v>
      </c>
      <c r="M2257" s="5" t="s">
        <v>267</v>
      </c>
      <c r="N2257" s="5" t="s">
        <v>265</v>
      </c>
      <c r="O2257" s="5" t="s">
        <v>238</v>
      </c>
      <c r="P2257" s="5" t="s">
        <v>238</v>
      </c>
      <c r="Q2257" s="5" t="s">
        <v>268</v>
      </c>
      <c r="R2257" s="5" t="s">
        <v>270</v>
      </c>
      <c r="S2257" s="5" t="s">
        <v>238</v>
      </c>
      <c r="V2257" s="5" t="s">
        <v>238</v>
      </c>
      <c r="X2257" s="6" t="s">
        <v>238</v>
      </c>
      <c r="AA2257" s="6" t="s">
        <v>243</v>
      </c>
      <c r="AB2257" s="5" t="s">
        <v>238</v>
      </c>
      <c r="AC2257" s="5" t="s">
        <v>244</v>
      </c>
      <c r="AD2257" s="5" t="s">
        <v>245</v>
      </c>
      <c r="AT2257" s="5" t="s">
        <v>246</v>
      </c>
      <c r="AU2257" s="5" t="s">
        <v>238</v>
      </c>
      <c r="AV2257" s="5" t="s">
        <v>247</v>
      </c>
      <c r="AW2257" s="5" t="s">
        <v>238</v>
      </c>
      <c r="AX2257" s="5" t="s">
        <v>249</v>
      </c>
      <c r="AY2257" s="5" t="s">
        <v>238</v>
      </c>
      <c r="BA2257" s="5" t="s">
        <v>238</v>
      </c>
      <c r="BC2257" s="5" t="s">
        <v>250</v>
      </c>
      <c r="BD2257" s="6" t="s">
        <v>243</v>
      </c>
      <c r="BE2257" s="5" t="s">
        <v>251</v>
      </c>
      <c r="BF2257" s="5" t="s">
        <v>252</v>
      </c>
      <c r="BG2257" s="5" t="s">
        <v>238</v>
      </c>
      <c r="BH2257" s="7">
        <f>0</f>
        <v>0</v>
      </c>
      <c r="BI2257" s="8">
        <f>0</f>
        <v>0</v>
      </c>
      <c r="BJ2257" s="5" t="s">
        <v>253</v>
      </c>
      <c r="BK2257" s="5" t="s">
        <v>254</v>
      </c>
      <c r="BY2257" s="5" t="s">
        <v>238</v>
      </c>
      <c r="BZ2257" s="5" t="s">
        <v>238</v>
      </c>
      <c r="CD2257" s="5" t="s">
        <v>273</v>
      </c>
      <c r="CE2257" s="5" t="s">
        <v>256</v>
      </c>
      <c r="CF2257" s="5" t="s">
        <v>238</v>
      </c>
      <c r="CI2257" s="6" t="s">
        <v>257</v>
      </c>
      <c r="CJ2257" s="5" t="s">
        <v>238</v>
      </c>
      <c r="CK2257" s="5" t="s">
        <v>258</v>
      </c>
      <c r="CL2257" s="5" t="s">
        <v>238</v>
      </c>
      <c r="CM2257" s="5" t="s">
        <v>238</v>
      </c>
      <c r="CN2257" s="5">
        <v>0</v>
      </c>
      <c r="CO2257" s="5" t="s">
        <v>259</v>
      </c>
      <c r="CP2257" s="5" t="s">
        <v>260</v>
      </c>
      <c r="CQ2257" s="5" t="s">
        <v>260</v>
      </c>
      <c r="CR2257" s="5" t="s">
        <v>261</v>
      </c>
      <c r="CU2257" s="8">
        <f>1</f>
        <v>1</v>
      </c>
      <c r="CV2257" s="8">
        <f>0</f>
        <v>0</v>
      </c>
      <c r="CX2257" s="8">
        <f>0</f>
        <v>0</v>
      </c>
      <c r="CY2257" s="8">
        <f>1</f>
        <v>1</v>
      </c>
      <c r="DA2257" s="5" t="s">
        <v>274</v>
      </c>
      <c r="DB2257" s="5" t="s">
        <v>238</v>
      </c>
      <c r="DD2257" s="5" t="s">
        <v>274</v>
      </c>
      <c r="DE2257" s="8">
        <f>417</f>
        <v>417</v>
      </c>
      <c r="DG2257" s="5" t="s">
        <v>238</v>
      </c>
      <c r="DH2257" s="5" t="s">
        <v>238</v>
      </c>
      <c r="DI2257" s="5" t="s">
        <v>238</v>
      </c>
      <c r="DJ2257" s="5" t="s">
        <v>238</v>
      </c>
      <c r="DN2257" s="5" t="s">
        <v>238</v>
      </c>
      <c r="DO2257" s="5" t="s">
        <v>238</v>
      </c>
      <c r="DP2257" s="5" t="s">
        <v>238</v>
      </c>
      <c r="DQ2257" s="5" t="s">
        <v>238</v>
      </c>
      <c r="DT2257" s="5" t="s">
        <v>275</v>
      </c>
      <c r="DU2257" s="5" t="s">
        <v>3105</v>
      </c>
      <c r="HM2257" s="5" t="s">
        <v>264</v>
      </c>
    </row>
    <row r="2258" spans="1:221" x14ac:dyDescent="0.4">
      <c r="A2258" s="5">
        <v>3962</v>
      </c>
      <c r="B2258" s="5">
        <v>1</v>
      </c>
      <c r="C2258" s="5">
        <v>1</v>
      </c>
      <c r="D2258" s="5" t="s">
        <v>269</v>
      </c>
      <c r="E2258" s="5" t="s">
        <v>271</v>
      </c>
      <c r="F2258" s="5" t="s">
        <v>248</v>
      </c>
      <c r="G2258" s="5" t="s">
        <v>266</v>
      </c>
      <c r="H2258" s="6" t="s">
        <v>4211</v>
      </c>
      <c r="I2258" s="7">
        <f>210</f>
        <v>210</v>
      </c>
      <c r="J2258" s="5" t="s">
        <v>262</v>
      </c>
      <c r="K2258" s="8">
        <f>1</f>
        <v>1</v>
      </c>
      <c r="L2258" s="6" t="s">
        <v>242</v>
      </c>
      <c r="M2258" s="5" t="s">
        <v>267</v>
      </c>
      <c r="N2258" s="5" t="s">
        <v>265</v>
      </c>
      <c r="O2258" s="5" t="s">
        <v>238</v>
      </c>
      <c r="P2258" s="5" t="s">
        <v>238</v>
      </c>
      <c r="Q2258" s="5" t="s">
        <v>268</v>
      </c>
      <c r="R2258" s="5" t="s">
        <v>270</v>
      </c>
      <c r="S2258" s="5" t="s">
        <v>238</v>
      </c>
      <c r="V2258" s="5" t="s">
        <v>238</v>
      </c>
      <c r="X2258" s="6" t="s">
        <v>238</v>
      </c>
      <c r="AA2258" s="6" t="s">
        <v>243</v>
      </c>
      <c r="AB2258" s="5" t="s">
        <v>238</v>
      </c>
      <c r="AC2258" s="5" t="s">
        <v>244</v>
      </c>
      <c r="AD2258" s="5" t="s">
        <v>245</v>
      </c>
      <c r="AT2258" s="5" t="s">
        <v>246</v>
      </c>
      <c r="AU2258" s="5" t="s">
        <v>238</v>
      </c>
      <c r="AV2258" s="5" t="s">
        <v>247</v>
      </c>
      <c r="AW2258" s="5" t="s">
        <v>238</v>
      </c>
      <c r="AX2258" s="5" t="s">
        <v>249</v>
      </c>
      <c r="AY2258" s="5" t="s">
        <v>238</v>
      </c>
      <c r="BA2258" s="5" t="s">
        <v>238</v>
      </c>
      <c r="BC2258" s="5" t="s">
        <v>250</v>
      </c>
      <c r="BD2258" s="6" t="s">
        <v>243</v>
      </c>
      <c r="BE2258" s="5" t="s">
        <v>251</v>
      </c>
      <c r="BF2258" s="5" t="s">
        <v>252</v>
      </c>
      <c r="BG2258" s="5" t="s">
        <v>238</v>
      </c>
      <c r="BH2258" s="7">
        <f>0</f>
        <v>0</v>
      </c>
      <c r="BI2258" s="8">
        <f>0</f>
        <v>0</v>
      </c>
      <c r="BJ2258" s="5" t="s">
        <v>253</v>
      </c>
      <c r="BK2258" s="5" t="s">
        <v>254</v>
      </c>
      <c r="BY2258" s="5" t="s">
        <v>238</v>
      </c>
      <c r="BZ2258" s="5" t="s">
        <v>238</v>
      </c>
      <c r="CD2258" s="5" t="s">
        <v>273</v>
      </c>
      <c r="CE2258" s="5" t="s">
        <v>256</v>
      </c>
      <c r="CF2258" s="5" t="s">
        <v>238</v>
      </c>
      <c r="CI2258" s="6" t="s">
        <v>257</v>
      </c>
      <c r="CJ2258" s="5" t="s">
        <v>238</v>
      </c>
      <c r="CK2258" s="5" t="s">
        <v>258</v>
      </c>
      <c r="CL2258" s="5" t="s">
        <v>238</v>
      </c>
      <c r="CM2258" s="5" t="s">
        <v>238</v>
      </c>
      <c r="CN2258" s="5">
        <v>0</v>
      </c>
      <c r="CO2258" s="5" t="s">
        <v>259</v>
      </c>
      <c r="CP2258" s="5" t="s">
        <v>260</v>
      </c>
      <c r="CQ2258" s="5" t="s">
        <v>260</v>
      </c>
      <c r="CR2258" s="5" t="s">
        <v>261</v>
      </c>
      <c r="CU2258" s="8">
        <f>1</f>
        <v>1</v>
      </c>
      <c r="CV2258" s="8">
        <f>0</f>
        <v>0</v>
      </c>
      <c r="CX2258" s="8">
        <f>0</f>
        <v>0</v>
      </c>
      <c r="CY2258" s="8">
        <f>1</f>
        <v>1</v>
      </c>
      <c r="DA2258" s="5" t="s">
        <v>274</v>
      </c>
      <c r="DB2258" s="5" t="s">
        <v>238</v>
      </c>
      <c r="DD2258" s="5" t="s">
        <v>274</v>
      </c>
      <c r="DE2258" s="8">
        <f>210</f>
        <v>210</v>
      </c>
      <c r="DG2258" s="5" t="s">
        <v>238</v>
      </c>
      <c r="DH2258" s="5" t="s">
        <v>238</v>
      </c>
      <c r="DI2258" s="5" t="s">
        <v>238</v>
      </c>
      <c r="DJ2258" s="5" t="s">
        <v>238</v>
      </c>
      <c r="DN2258" s="5" t="s">
        <v>238</v>
      </c>
      <c r="DO2258" s="5" t="s">
        <v>238</v>
      </c>
      <c r="DP2258" s="5" t="s">
        <v>238</v>
      </c>
      <c r="DQ2258" s="5" t="s">
        <v>238</v>
      </c>
      <c r="DT2258" s="5" t="s">
        <v>275</v>
      </c>
      <c r="DU2258" s="5" t="s">
        <v>3103</v>
      </c>
      <c r="HM2258" s="5" t="s">
        <v>264</v>
      </c>
    </row>
    <row r="2259" spans="1:221" x14ac:dyDescent="0.4">
      <c r="A2259" s="5">
        <v>3963</v>
      </c>
      <c r="B2259" s="5">
        <v>1</v>
      </c>
      <c r="C2259" s="5">
        <v>1</v>
      </c>
      <c r="D2259" s="5" t="s">
        <v>269</v>
      </c>
      <c r="E2259" s="5" t="s">
        <v>271</v>
      </c>
      <c r="F2259" s="5" t="s">
        <v>248</v>
      </c>
      <c r="G2259" s="5" t="s">
        <v>266</v>
      </c>
      <c r="H2259" s="6" t="s">
        <v>4227</v>
      </c>
      <c r="I2259" s="7">
        <f>754</f>
        <v>754</v>
      </c>
      <c r="J2259" s="5" t="s">
        <v>262</v>
      </c>
      <c r="K2259" s="8">
        <f>1</f>
        <v>1</v>
      </c>
      <c r="L2259" s="6" t="s">
        <v>242</v>
      </c>
      <c r="M2259" s="5" t="s">
        <v>267</v>
      </c>
      <c r="N2259" s="5" t="s">
        <v>265</v>
      </c>
      <c r="O2259" s="5" t="s">
        <v>238</v>
      </c>
      <c r="P2259" s="5" t="s">
        <v>238</v>
      </c>
      <c r="Q2259" s="5" t="s">
        <v>268</v>
      </c>
      <c r="R2259" s="5" t="s">
        <v>270</v>
      </c>
      <c r="S2259" s="5" t="s">
        <v>238</v>
      </c>
      <c r="V2259" s="5" t="s">
        <v>238</v>
      </c>
      <c r="X2259" s="6" t="s">
        <v>238</v>
      </c>
      <c r="AA2259" s="6" t="s">
        <v>243</v>
      </c>
      <c r="AB2259" s="5" t="s">
        <v>238</v>
      </c>
      <c r="AC2259" s="5" t="s">
        <v>244</v>
      </c>
      <c r="AD2259" s="5" t="s">
        <v>245</v>
      </c>
      <c r="AT2259" s="5" t="s">
        <v>246</v>
      </c>
      <c r="AU2259" s="5" t="s">
        <v>238</v>
      </c>
      <c r="AV2259" s="5" t="s">
        <v>247</v>
      </c>
      <c r="AW2259" s="5" t="s">
        <v>238</v>
      </c>
      <c r="AX2259" s="5" t="s">
        <v>249</v>
      </c>
      <c r="AY2259" s="5" t="s">
        <v>238</v>
      </c>
      <c r="BA2259" s="5" t="s">
        <v>238</v>
      </c>
      <c r="BC2259" s="5" t="s">
        <v>250</v>
      </c>
      <c r="BD2259" s="6" t="s">
        <v>243</v>
      </c>
      <c r="BE2259" s="5" t="s">
        <v>251</v>
      </c>
      <c r="BF2259" s="5" t="s">
        <v>252</v>
      </c>
      <c r="BG2259" s="5" t="s">
        <v>238</v>
      </c>
      <c r="BH2259" s="7">
        <f>0</f>
        <v>0</v>
      </c>
      <c r="BI2259" s="8">
        <f>0</f>
        <v>0</v>
      </c>
      <c r="BJ2259" s="5" t="s">
        <v>253</v>
      </c>
      <c r="BK2259" s="5" t="s">
        <v>254</v>
      </c>
      <c r="BY2259" s="5" t="s">
        <v>238</v>
      </c>
      <c r="BZ2259" s="5" t="s">
        <v>238</v>
      </c>
      <c r="CD2259" s="5" t="s">
        <v>273</v>
      </c>
      <c r="CE2259" s="5" t="s">
        <v>256</v>
      </c>
      <c r="CF2259" s="5" t="s">
        <v>238</v>
      </c>
      <c r="CI2259" s="6" t="s">
        <v>257</v>
      </c>
      <c r="CJ2259" s="5" t="s">
        <v>238</v>
      </c>
      <c r="CK2259" s="5" t="s">
        <v>258</v>
      </c>
      <c r="CL2259" s="5" t="s">
        <v>238</v>
      </c>
      <c r="CM2259" s="5" t="s">
        <v>238</v>
      </c>
      <c r="CN2259" s="5">
        <v>0</v>
      </c>
      <c r="CO2259" s="5" t="s">
        <v>259</v>
      </c>
      <c r="CP2259" s="5" t="s">
        <v>260</v>
      </c>
      <c r="CQ2259" s="5" t="s">
        <v>260</v>
      </c>
      <c r="CR2259" s="5" t="s">
        <v>261</v>
      </c>
      <c r="CU2259" s="8">
        <f>1</f>
        <v>1</v>
      </c>
      <c r="CV2259" s="8">
        <f>0</f>
        <v>0</v>
      </c>
      <c r="CX2259" s="8">
        <f>0</f>
        <v>0</v>
      </c>
      <c r="CY2259" s="8">
        <f>1</f>
        <v>1</v>
      </c>
      <c r="DA2259" s="5" t="s">
        <v>274</v>
      </c>
      <c r="DB2259" s="5" t="s">
        <v>238</v>
      </c>
      <c r="DD2259" s="5" t="s">
        <v>274</v>
      </c>
      <c r="DE2259" s="8">
        <f>754</f>
        <v>754</v>
      </c>
      <c r="DG2259" s="5" t="s">
        <v>238</v>
      </c>
      <c r="DH2259" s="5" t="s">
        <v>238</v>
      </c>
      <c r="DI2259" s="5" t="s">
        <v>238</v>
      </c>
      <c r="DJ2259" s="5" t="s">
        <v>238</v>
      </c>
      <c r="DN2259" s="5" t="s">
        <v>238</v>
      </c>
      <c r="DO2259" s="5" t="s">
        <v>238</v>
      </c>
      <c r="DP2259" s="5" t="s">
        <v>238</v>
      </c>
      <c r="DQ2259" s="5" t="s">
        <v>238</v>
      </c>
      <c r="DT2259" s="5" t="s">
        <v>275</v>
      </c>
      <c r="DU2259" s="5" t="s">
        <v>3101</v>
      </c>
      <c r="HM2259" s="5" t="s">
        <v>264</v>
      </c>
    </row>
    <row r="2260" spans="1:221" x14ac:dyDescent="0.4">
      <c r="A2260" s="5">
        <v>3964</v>
      </c>
      <c r="B2260" s="5">
        <v>1</v>
      </c>
      <c r="C2260" s="5">
        <v>1</v>
      </c>
      <c r="D2260" s="5" t="s">
        <v>269</v>
      </c>
      <c r="E2260" s="5" t="s">
        <v>271</v>
      </c>
      <c r="F2260" s="5" t="s">
        <v>248</v>
      </c>
      <c r="G2260" s="5" t="s">
        <v>266</v>
      </c>
      <c r="H2260" s="6" t="s">
        <v>4303</v>
      </c>
      <c r="I2260" s="7">
        <f>52</f>
        <v>52</v>
      </c>
      <c r="J2260" s="5" t="s">
        <v>262</v>
      </c>
      <c r="K2260" s="8">
        <f>1</f>
        <v>1</v>
      </c>
      <c r="L2260" s="6" t="s">
        <v>242</v>
      </c>
      <c r="M2260" s="5" t="s">
        <v>267</v>
      </c>
      <c r="N2260" s="5" t="s">
        <v>265</v>
      </c>
      <c r="O2260" s="5" t="s">
        <v>238</v>
      </c>
      <c r="P2260" s="5" t="s">
        <v>238</v>
      </c>
      <c r="Q2260" s="5" t="s">
        <v>268</v>
      </c>
      <c r="R2260" s="5" t="s">
        <v>270</v>
      </c>
      <c r="S2260" s="5" t="s">
        <v>238</v>
      </c>
      <c r="V2260" s="5" t="s">
        <v>238</v>
      </c>
      <c r="X2260" s="6" t="s">
        <v>238</v>
      </c>
      <c r="AA2260" s="6" t="s">
        <v>243</v>
      </c>
      <c r="AB2260" s="5" t="s">
        <v>238</v>
      </c>
      <c r="AC2260" s="5" t="s">
        <v>244</v>
      </c>
      <c r="AD2260" s="5" t="s">
        <v>245</v>
      </c>
      <c r="AT2260" s="5" t="s">
        <v>246</v>
      </c>
      <c r="AU2260" s="5" t="s">
        <v>238</v>
      </c>
      <c r="AV2260" s="5" t="s">
        <v>247</v>
      </c>
      <c r="AW2260" s="5" t="s">
        <v>238</v>
      </c>
      <c r="AX2260" s="5" t="s">
        <v>249</v>
      </c>
      <c r="AY2260" s="5" t="s">
        <v>238</v>
      </c>
      <c r="BA2260" s="5" t="s">
        <v>238</v>
      </c>
      <c r="BC2260" s="5" t="s">
        <v>250</v>
      </c>
      <c r="BD2260" s="6" t="s">
        <v>243</v>
      </c>
      <c r="BE2260" s="5" t="s">
        <v>251</v>
      </c>
      <c r="BF2260" s="5" t="s">
        <v>252</v>
      </c>
      <c r="BG2260" s="5" t="s">
        <v>238</v>
      </c>
      <c r="BH2260" s="7">
        <f>0</f>
        <v>0</v>
      </c>
      <c r="BI2260" s="8">
        <f>0</f>
        <v>0</v>
      </c>
      <c r="BJ2260" s="5" t="s">
        <v>253</v>
      </c>
      <c r="BK2260" s="5" t="s">
        <v>254</v>
      </c>
      <c r="BY2260" s="5" t="s">
        <v>238</v>
      </c>
      <c r="BZ2260" s="5" t="s">
        <v>238</v>
      </c>
      <c r="CD2260" s="5" t="s">
        <v>273</v>
      </c>
      <c r="CE2260" s="5" t="s">
        <v>256</v>
      </c>
      <c r="CF2260" s="5" t="s">
        <v>238</v>
      </c>
      <c r="CI2260" s="6" t="s">
        <v>257</v>
      </c>
      <c r="CJ2260" s="5" t="s">
        <v>238</v>
      </c>
      <c r="CK2260" s="5" t="s">
        <v>258</v>
      </c>
      <c r="CL2260" s="5" t="s">
        <v>238</v>
      </c>
      <c r="CM2260" s="5" t="s">
        <v>238</v>
      </c>
      <c r="CN2260" s="5">
        <v>0</v>
      </c>
      <c r="CO2260" s="5" t="s">
        <v>259</v>
      </c>
      <c r="CP2260" s="5" t="s">
        <v>260</v>
      </c>
      <c r="CQ2260" s="5" t="s">
        <v>260</v>
      </c>
      <c r="CR2260" s="5" t="s">
        <v>261</v>
      </c>
      <c r="CU2260" s="8">
        <f>1</f>
        <v>1</v>
      </c>
      <c r="CV2260" s="8">
        <f>0</f>
        <v>0</v>
      </c>
      <c r="CX2260" s="8">
        <f>0</f>
        <v>0</v>
      </c>
      <c r="CY2260" s="8">
        <f>1</f>
        <v>1</v>
      </c>
      <c r="DA2260" s="5" t="s">
        <v>274</v>
      </c>
      <c r="DB2260" s="5" t="s">
        <v>238</v>
      </c>
      <c r="DD2260" s="5" t="s">
        <v>274</v>
      </c>
      <c r="DE2260" s="8">
        <f>52</f>
        <v>52</v>
      </c>
      <c r="DG2260" s="5" t="s">
        <v>238</v>
      </c>
      <c r="DH2260" s="5" t="s">
        <v>238</v>
      </c>
      <c r="DI2260" s="5" t="s">
        <v>238</v>
      </c>
      <c r="DJ2260" s="5" t="s">
        <v>238</v>
      </c>
      <c r="DN2260" s="5" t="s">
        <v>238</v>
      </c>
      <c r="DO2260" s="5" t="s">
        <v>238</v>
      </c>
      <c r="DP2260" s="5" t="s">
        <v>238</v>
      </c>
      <c r="DQ2260" s="5" t="s">
        <v>238</v>
      </c>
      <c r="DT2260" s="5" t="s">
        <v>275</v>
      </c>
      <c r="DU2260" s="5" t="s">
        <v>3099</v>
      </c>
      <c r="HM2260" s="5" t="s">
        <v>264</v>
      </c>
    </row>
    <row r="2261" spans="1:221" x14ac:dyDescent="0.4">
      <c r="A2261" s="5">
        <v>3965</v>
      </c>
      <c r="B2261" s="5">
        <v>1</v>
      </c>
      <c r="C2261" s="5">
        <v>1</v>
      </c>
      <c r="D2261" s="5" t="s">
        <v>269</v>
      </c>
      <c r="E2261" s="5" t="s">
        <v>271</v>
      </c>
      <c r="F2261" s="5" t="s">
        <v>248</v>
      </c>
      <c r="G2261" s="5" t="s">
        <v>266</v>
      </c>
      <c r="H2261" s="6" t="s">
        <v>4207</v>
      </c>
      <c r="I2261" s="7">
        <f>296</f>
        <v>296</v>
      </c>
      <c r="J2261" s="5" t="s">
        <v>262</v>
      </c>
      <c r="K2261" s="8">
        <f>1</f>
        <v>1</v>
      </c>
      <c r="L2261" s="6" t="s">
        <v>242</v>
      </c>
      <c r="M2261" s="5" t="s">
        <v>267</v>
      </c>
      <c r="N2261" s="5" t="s">
        <v>265</v>
      </c>
      <c r="O2261" s="5" t="s">
        <v>238</v>
      </c>
      <c r="P2261" s="5" t="s">
        <v>238</v>
      </c>
      <c r="Q2261" s="5" t="s">
        <v>268</v>
      </c>
      <c r="R2261" s="5" t="s">
        <v>270</v>
      </c>
      <c r="S2261" s="5" t="s">
        <v>238</v>
      </c>
      <c r="V2261" s="5" t="s">
        <v>238</v>
      </c>
      <c r="X2261" s="6" t="s">
        <v>238</v>
      </c>
      <c r="AA2261" s="6" t="s">
        <v>243</v>
      </c>
      <c r="AB2261" s="5" t="s">
        <v>238</v>
      </c>
      <c r="AC2261" s="5" t="s">
        <v>244</v>
      </c>
      <c r="AD2261" s="5" t="s">
        <v>245</v>
      </c>
      <c r="AT2261" s="5" t="s">
        <v>246</v>
      </c>
      <c r="AU2261" s="5" t="s">
        <v>238</v>
      </c>
      <c r="AV2261" s="5" t="s">
        <v>247</v>
      </c>
      <c r="AW2261" s="5" t="s">
        <v>238</v>
      </c>
      <c r="AX2261" s="5" t="s">
        <v>249</v>
      </c>
      <c r="AY2261" s="5" t="s">
        <v>238</v>
      </c>
      <c r="BA2261" s="5" t="s">
        <v>238</v>
      </c>
      <c r="BC2261" s="5" t="s">
        <v>250</v>
      </c>
      <c r="BD2261" s="6" t="s">
        <v>243</v>
      </c>
      <c r="BE2261" s="5" t="s">
        <v>251</v>
      </c>
      <c r="BF2261" s="5" t="s">
        <v>252</v>
      </c>
      <c r="BG2261" s="5" t="s">
        <v>238</v>
      </c>
      <c r="BH2261" s="7">
        <f>0</f>
        <v>0</v>
      </c>
      <c r="BI2261" s="8">
        <f>0</f>
        <v>0</v>
      </c>
      <c r="BJ2261" s="5" t="s">
        <v>253</v>
      </c>
      <c r="BK2261" s="5" t="s">
        <v>254</v>
      </c>
      <c r="BY2261" s="5" t="s">
        <v>238</v>
      </c>
      <c r="BZ2261" s="5" t="s">
        <v>238</v>
      </c>
      <c r="CD2261" s="5" t="s">
        <v>273</v>
      </c>
      <c r="CE2261" s="5" t="s">
        <v>256</v>
      </c>
      <c r="CF2261" s="5" t="s">
        <v>238</v>
      </c>
      <c r="CI2261" s="6" t="s">
        <v>257</v>
      </c>
      <c r="CJ2261" s="5" t="s">
        <v>238</v>
      </c>
      <c r="CK2261" s="5" t="s">
        <v>258</v>
      </c>
      <c r="CL2261" s="5" t="s">
        <v>238</v>
      </c>
      <c r="CM2261" s="5" t="s">
        <v>238</v>
      </c>
      <c r="CN2261" s="5">
        <v>0</v>
      </c>
      <c r="CO2261" s="5" t="s">
        <v>259</v>
      </c>
      <c r="CP2261" s="5" t="s">
        <v>260</v>
      </c>
      <c r="CQ2261" s="5" t="s">
        <v>260</v>
      </c>
      <c r="CR2261" s="5" t="s">
        <v>261</v>
      </c>
      <c r="CU2261" s="8">
        <f>1</f>
        <v>1</v>
      </c>
      <c r="CV2261" s="8">
        <f>0</f>
        <v>0</v>
      </c>
      <c r="CX2261" s="8">
        <f>0</f>
        <v>0</v>
      </c>
      <c r="CY2261" s="8">
        <f>1</f>
        <v>1</v>
      </c>
      <c r="DA2261" s="5" t="s">
        <v>274</v>
      </c>
      <c r="DB2261" s="5" t="s">
        <v>238</v>
      </c>
      <c r="DD2261" s="5" t="s">
        <v>274</v>
      </c>
      <c r="DE2261" s="8">
        <f>296</f>
        <v>296</v>
      </c>
      <c r="DG2261" s="5" t="s">
        <v>238</v>
      </c>
      <c r="DH2261" s="5" t="s">
        <v>238</v>
      </c>
      <c r="DI2261" s="5" t="s">
        <v>238</v>
      </c>
      <c r="DJ2261" s="5" t="s">
        <v>238</v>
      </c>
      <c r="DN2261" s="5" t="s">
        <v>238</v>
      </c>
      <c r="DO2261" s="5" t="s">
        <v>238</v>
      </c>
      <c r="DP2261" s="5" t="s">
        <v>238</v>
      </c>
      <c r="DQ2261" s="5" t="s">
        <v>238</v>
      </c>
      <c r="DT2261" s="5" t="s">
        <v>275</v>
      </c>
      <c r="DU2261" s="5" t="s">
        <v>3097</v>
      </c>
      <c r="HM2261" s="5" t="s">
        <v>264</v>
      </c>
    </row>
    <row r="2262" spans="1:221" x14ac:dyDescent="0.4">
      <c r="A2262" s="5">
        <v>3966</v>
      </c>
      <c r="B2262" s="5">
        <v>1</v>
      </c>
      <c r="C2262" s="5">
        <v>1</v>
      </c>
      <c r="D2262" s="5" t="s">
        <v>269</v>
      </c>
      <c r="E2262" s="5" t="s">
        <v>271</v>
      </c>
      <c r="F2262" s="5" t="s">
        <v>248</v>
      </c>
      <c r="G2262" s="5" t="s">
        <v>266</v>
      </c>
      <c r="H2262" s="6" t="s">
        <v>4237</v>
      </c>
      <c r="I2262" s="7">
        <f>168</f>
        <v>168</v>
      </c>
      <c r="J2262" s="5" t="s">
        <v>262</v>
      </c>
      <c r="K2262" s="8">
        <f>1</f>
        <v>1</v>
      </c>
      <c r="L2262" s="6" t="s">
        <v>242</v>
      </c>
      <c r="M2262" s="5" t="s">
        <v>267</v>
      </c>
      <c r="N2262" s="5" t="s">
        <v>265</v>
      </c>
      <c r="O2262" s="5" t="s">
        <v>238</v>
      </c>
      <c r="P2262" s="5" t="s">
        <v>238</v>
      </c>
      <c r="Q2262" s="5" t="s">
        <v>268</v>
      </c>
      <c r="R2262" s="5" t="s">
        <v>270</v>
      </c>
      <c r="S2262" s="5" t="s">
        <v>238</v>
      </c>
      <c r="V2262" s="5" t="s">
        <v>238</v>
      </c>
      <c r="X2262" s="6" t="s">
        <v>238</v>
      </c>
      <c r="AA2262" s="6" t="s">
        <v>243</v>
      </c>
      <c r="AB2262" s="5" t="s">
        <v>238</v>
      </c>
      <c r="AC2262" s="5" t="s">
        <v>244</v>
      </c>
      <c r="AD2262" s="5" t="s">
        <v>245</v>
      </c>
      <c r="AT2262" s="5" t="s">
        <v>246</v>
      </c>
      <c r="AU2262" s="5" t="s">
        <v>238</v>
      </c>
      <c r="AV2262" s="5" t="s">
        <v>247</v>
      </c>
      <c r="AW2262" s="5" t="s">
        <v>238</v>
      </c>
      <c r="AX2262" s="5" t="s">
        <v>249</v>
      </c>
      <c r="AY2262" s="5" t="s">
        <v>238</v>
      </c>
      <c r="BA2262" s="5" t="s">
        <v>238</v>
      </c>
      <c r="BC2262" s="5" t="s">
        <v>250</v>
      </c>
      <c r="BD2262" s="6" t="s">
        <v>243</v>
      </c>
      <c r="BE2262" s="5" t="s">
        <v>251</v>
      </c>
      <c r="BF2262" s="5" t="s">
        <v>252</v>
      </c>
      <c r="BG2262" s="5" t="s">
        <v>238</v>
      </c>
      <c r="BH2262" s="7">
        <f>0</f>
        <v>0</v>
      </c>
      <c r="BI2262" s="8">
        <f>0</f>
        <v>0</v>
      </c>
      <c r="BJ2262" s="5" t="s">
        <v>253</v>
      </c>
      <c r="BK2262" s="5" t="s">
        <v>254</v>
      </c>
      <c r="BY2262" s="5" t="s">
        <v>238</v>
      </c>
      <c r="BZ2262" s="5" t="s">
        <v>238</v>
      </c>
      <c r="CD2262" s="5" t="s">
        <v>273</v>
      </c>
      <c r="CE2262" s="5" t="s">
        <v>256</v>
      </c>
      <c r="CF2262" s="5" t="s">
        <v>238</v>
      </c>
      <c r="CI2262" s="6" t="s">
        <v>257</v>
      </c>
      <c r="CJ2262" s="5" t="s">
        <v>238</v>
      </c>
      <c r="CK2262" s="5" t="s">
        <v>258</v>
      </c>
      <c r="CL2262" s="5" t="s">
        <v>238</v>
      </c>
      <c r="CM2262" s="5" t="s">
        <v>238</v>
      </c>
      <c r="CN2262" s="5">
        <v>0</v>
      </c>
      <c r="CO2262" s="5" t="s">
        <v>259</v>
      </c>
      <c r="CP2262" s="5" t="s">
        <v>260</v>
      </c>
      <c r="CQ2262" s="5" t="s">
        <v>260</v>
      </c>
      <c r="CR2262" s="5" t="s">
        <v>261</v>
      </c>
      <c r="CU2262" s="8">
        <f>1</f>
        <v>1</v>
      </c>
      <c r="CV2262" s="8">
        <f>0</f>
        <v>0</v>
      </c>
      <c r="CX2262" s="8">
        <f>0</f>
        <v>0</v>
      </c>
      <c r="CY2262" s="8">
        <f>1</f>
        <v>1</v>
      </c>
      <c r="DA2262" s="5" t="s">
        <v>274</v>
      </c>
      <c r="DB2262" s="5" t="s">
        <v>238</v>
      </c>
      <c r="DD2262" s="5" t="s">
        <v>274</v>
      </c>
      <c r="DE2262" s="8">
        <f>168</f>
        <v>168</v>
      </c>
      <c r="DG2262" s="5" t="s">
        <v>238</v>
      </c>
      <c r="DH2262" s="5" t="s">
        <v>238</v>
      </c>
      <c r="DI2262" s="5" t="s">
        <v>238</v>
      </c>
      <c r="DJ2262" s="5" t="s">
        <v>238</v>
      </c>
      <c r="DN2262" s="5" t="s">
        <v>238</v>
      </c>
      <c r="DO2262" s="5" t="s">
        <v>238</v>
      </c>
      <c r="DP2262" s="5" t="s">
        <v>238</v>
      </c>
      <c r="DQ2262" s="5" t="s">
        <v>238</v>
      </c>
      <c r="DT2262" s="5" t="s">
        <v>275</v>
      </c>
      <c r="DU2262" s="5" t="s">
        <v>3095</v>
      </c>
      <c r="HM2262" s="5" t="s">
        <v>264</v>
      </c>
    </row>
    <row r="2263" spans="1:221" x14ac:dyDescent="0.4">
      <c r="A2263" s="5">
        <v>3967</v>
      </c>
      <c r="B2263" s="5">
        <v>1</v>
      </c>
      <c r="C2263" s="5">
        <v>1</v>
      </c>
      <c r="D2263" s="5" t="s">
        <v>269</v>
      </c>
      <c r="E2263" s="5" t="s">
        <v>271</v>
      </c>
      <c r="F2263" s="5" t="s">
        <v>248</v>
      </c>
      <c r="G2263" s="5" t="s">
        <v>266</v>
      </c>
      <c r="H2263" s="6" t="s">
        <v>4309</v>
      </c>
      <c r="I2263" s="7">
        <f>1224</f>
        <v>1224</v>
      </c>
      <c r="J2263" s="5" t="s">
        <v>262</v>
      </c>
      <c r="K2263" s="8">
        <f>1</f>
        <v>1</v>
      </c>
      <c r="L2263" s="6" t="s">
        <v>242</v>
      </c>
      <c r="M2263" s="5" t="s">
        <v>267</v>
      </c>
      <c r="N2263" s="5" t="s">
        <v>265</v>
      </c>
      <c r="O2263" s="5" t="s">
        <v>238</v>
      </c>
      <c r="P2263" s="5" t="s">
        <v>238</v>
      </c>
      <c r="Q2263" s="5" t="s">
        <v>268</v>
      </c>
      <c r="R2263" s="5" t="s">
        <v>270</v>
      </c>
      <c r="S2263" s="5" t="s">
        <v>238</v>
      </c>
      <c r="V2263" s="5" t="s">
        <v>238</v>
      </c>
      <c r="X2263" s="6" t="s">
        <v>238</v>
      </c>
      <c r="AA2263" s="6" t="s">
        <v>243</v>
      </c>
      <c r="AB2263" s="5" t="s">
        <v>238</v>
      </c>
      <c r="AC2263" s="5" t="s">
        <v>244</v>
      </c>
      <c r="AD2263" s="5" t="s">
        <v>245</v>
      </c>
      <c r="AT2263" s="5" t="s">
        <v>246</v>
      </c>
      <c r="AU2263" s="5" t="s">
        <v>238</v>
      </c>
      <c r="AV2263" s="5" t="s">
        <v>247</v>
      </c>
      <c r="AW2263" s="5" t="s">
        <v>238</v>
      </c>
      <c r="AX2263" s="5" t="s">
        <v>249</v>
      </c>
      <c r="AY2263" s="5" t="s">
        <v>238</v>
      </c>
      <c r="BA2263" s="5" t="s">
        <v>238</v>
      </c>
      <c r="BC2263" s="5" t="s">
        <v>250</v>
      </c>
      <c r="BD2263" s="6" t="s">
        <v>243</v>
      </c>
      <c r="BE2263" s="5" t="s">
        <v>251</v>
      </c>
      <c r="BF2263" s="5" t="s">
        <v>252</v>
      </c>
      <c r="BG2263" s="5" t="s">
        <v>238</v>
      </c>
      <c r="BH2263" s="7">
        <f>0</f>
        <v>0</v>
      </c>
      <c r="BI2263" s="8">
        <f>0</f>
        <v>0</v>
      </c>
      <c r="BJ2263" s="5" t="s">
        <v>253</v>
      </c>
      <c r="BK2263" s="5" t="s">
        <v>254</v>
      </c>
      <c r="BY2263" s="5" t="s">
        <v>238</v>
      </c>
      <c r="BZ2263" s="5" t="s">
        <v>238</v>
      </c>
      <c r="CD2263" s="5" t="s">
        <v>273</v>
      </c>
      <c r="CE2263" s="5" t="s">
        <v>256</v>
      </c>
      <c r="CF2263" s="5" t="s">
        <v>238</v>
      </c>
      <c r="CI2263" s="6" t="s">
        <v>257</v>
      </c>
      <c r="CJ2263" s="5" t="s">
        <v>238</v>
      </c>
      <c r="CK2263" s="5" t="s">
        <v>258</v>
      </c>
      <c r="CL2263" s="5" t="s">
        <v>238</v>
      </c>
      <c r="CM2263" s="5" t="s">
        <v>238</v>
      </c>
      <c r="CN2263" s="5">
        <v>0</v>
      </c>
      <c r="CO2263" s="5" t="s">
        <v>259</v>
      </c>
      <c r="CP2263" s="5" t="s">
        <v>260</v>
      </c>
      <c r="CQ2263" s="5" t="s">
        <v>260</v>
      </c>
      <c r="CR2263" s="5" t="s">
        <v>261</v>
      </c>
      <c r="CU2263" s="8">
        <f>1</f>
        <v>1</v>
      </c>
      <c r="CV2263" s="8">
        <f>0</f>
        <v>0</v>
      </c>
      <c r="CX2263" s="8">
        <f>0</f>
        <v>0</v>
      </c>
      <c r="CY2263" s="8">
        <f>1</f>
        <v>1</v>
      </c>
      <c r="DA2263" s="5" t="s">
        <v>274</v>
      </c>
      <c r="DB2263" s="5" t="s">
        <v>238</v>
      </c>
      <c r="DD2263" s="5" t="s">
        <v>274</v>
      </c>
      <c r="DE2263" s="8">
        <f>1224</f>
        <v>1224</v>
      </c>
      <c r="DG2263" s="5" t="s">
        <v>238</v>
      </c>
      <c r="DH2263" s="5" t="s">
        <v>238</v>
      </c>
      <c r="DI2263" s="5" t="s">
        <v>238</v>
      </c>
      <c r="DJ2263" s="5" t="s">
        <v>238</v>
      </c>
      <c r="DN2263" s="5" t="s">
        <v>238</v>
      </c>
      <c r="DO2263" s="5" t="s">
        <v>238</v>
      </c>
      <c r="DP2263" s="5" t="s">
        <v>238</v>
      </c>
      <c r="DQ2263" s="5" t="s">
        <v>238</v>
      </c>
      <c r="DT2263" s="5" t="s">
        <v>275</v>
      </c>
      <c r="DU2263" s="5" t="s">
        <v>3093</v>
      </c>
      <c r="HM2263" s="5" t="s">
        <v>264</v>
      </c>
    </row>
    <row r="2264" spans="1:221" x14ac:dyDescent="0.4">
      <c r="A2264" s="5">
        <v>3968</v>
      </c>
      <c r="B2264" s="5">
        <v>1</v>
      </c>
      <c r="C2264" s="5">
        <v>1</v>
      </c>
      <c r="D2264" s="5" t="s">
        <v>269</v>
      </c>
      <c r="E2264" s="5" t="s">
        <v>271</v>
      </c>
      <c r="F2264" s="5" t="s">
        <v>248</v>
      </c>
      <c r="G2264" s="5" t="s">
        <v>266</v>
      </c>
      <c r="H2264" s="6" t="s">
        <v>5895</v>
      </c>
      <c r="I2264" s="7">
        <f>1565</f>
        <v>1565</v>
      </c>
      <c r="J2264" s="5" t="s">
        <v>262</v>
      </c>
      <c r="K2264" s="8">
        <f>1</f>
        <v>1</v>
      </c>
      <c r="L2264" s="6" t="s">
        <v>242</v>
      </c>
      <c r="M2264" s="5" t="s">
        <v>267</v>
      </c>
      <c r="N2264" s="5" t="s">
        <v>265</v>
      </c>
      <c r="O2264" s="5" t="s">
        <v>238</v>
      </c>
      <c r="P2264" s="5" t="s">
        <v>238</v>
      </c>
      <c r="Q2264" s="5" t="s">
        <v>268</v>
      </c>
      <c r="R2264" s="5" t="s">
        <v>270</v>
      </c>
      <c r="S2264" s="5" t="s">
        <v>238</v>
      </c>
      <c r="V2264" s="5" t="s">
        <v>238</v>
      </c>
      <c r="X2264" s="6" t="s">
        <v>238</v>
      </c>
      <c r="AA2264" s="6" t="s">
        <v>243</v>
      </c>
      <c r="AB2264" s="5" t="s">
        <v>238</v>
      </c>
      <c r="AC2264" s="5" t="s">
        <v>244</v>
      </c>
      <c r="AD2264" s="5" t="s">
        <v>245</v>
      </c>
      <c r="AT2264" s="5" t="s">
        <v>246</v>
      </c>
      <c r="AU2264" s="5" t="s">
        <v>238</v>
      </c>
      <c r="AV2264" s="5" t="s">
        <v>247</v>
      </c>
      <c r="AW2264" s="5" t="s">
        <v>238</v>
      </c>
      <c r="AX2264" s="5" t="s">
        <v>249</v>
      </c>
      <c r="AY2264" s="5" t="s">
        <v>238</v>
      </c>
      <c r="BA2264" s="5" t="s">
        <v>238</v>
      </c>
      <c r="BC2264" s="5" t="s">
        <v>250</v>
      </c>
      <c r="BD2264" s="6" t="s">
        <v>243</v>
      </c>
      <c r="BE2264" s="5" t="s">
        <v>251</v>
      </c>
      <c r="BF2264" s="5" t="s">
        <v>252</v>
      </c>
      <c r="BG2264" s="5" t="s">
        <v>238</v>
      </c>
      <c r="BH2264" s="7">
        <f>0</f>
        <v>0</v>
      </c>
      <c r="BI2264" s="8">
        <f>0</f>
        <v>0</v>
      </c>
      <c r="BJ2264" s="5" t="s">
        <v>253</v>
      </c>
      <c r="BK2264" s="5" t="s">
        <v>254</v>
      </c>
      <c r="BY2264" s="5" t="s">
        <v>238</v>
      </c>
      <c r="BZ2264" s="5" t="s">
        <v>238</v>
      </c>
      <c r="CD2264" s="5" t="s">
        <v>273</v>
      </c>
      <c r="CE2264" s="5" t="s">
        <v>256</v>
      </c>
      <c r="CF2264" s="5" t="s">
        <v>238</v>
      </c>
      <c r="CI2264" s="6" t="s">
        <v>257</v>
      </c>
      <c r="CJ2264" s="5" t="s">
        <v>238</v>
      </c>
      <c r="CK2264" s="5" t="s">
        <v>258</v>
      </c>
      <c r="CL2264" s="5" t="s">
        <v>238</v>
      </c>
      <c r="CM2264" s="5" t="s">
        <v>238</v>
      </c>
      <c r="CN2264" s="5">
        <v>0</v>
      </c>
      <c r="CO2264" s="5" t="s">
        <v>259</v>
      </c>
      <c r="CP2264" s="5" t="s">
        <v>260</v>
      </c>
      <c r="CQ2264" s="5" t="s">
        <v>260</v>
      </c>
      <c r="CR2264" s="5" t="s">
        <v>261</v>
      </c>
      <c r="CU2264" s="8">
        <f>1</f>
        <v>1</v>
      </c>
      <c r="CV2264" s="8">
        <f>0</f>
        <v>0</v>
      </c>
      <c r="CX2264" s="8">
        <f>0</f>
        <v>0</v>
      </c>
      <c r="CY2264" s="8">
        <f>1</f>
        <v>1</v>
      </c>
      <c r="DA2264" s="5" t="s">
        <v>274</v>
      </c>
      <c r="DB2264" s="5" t="s">
        <v>238</v>
      </c>
      <c r="DD2264" s="5" t="s">
        <v>274</v>
      </c>
      <c r="DE2264" s="8">
        <f>1565</f>
        <v>1565</v>
      </c>
      <c r="DG2264" s="5" t="s">
        <v>238</v>
      </c>
      <c r="DH2264" s="5" t="s">
        <v>238</v>
      </c>
      <c r="DI2264" s="5" t="s">
        <v>238</v>
      </c>
      <c r="DJ2264" s="5" t="s">
        <v>238</v>
      </c>
      <c r="DN2264" s="5" t="s">
        <v>238</v>
      </c>
      <c r="DO2264" s="5" t="s">
        <v>238</v>
      </c>
      <c r="DP2264" s="5" t="s">
        <v>238</v>
      </c>
      <c r="DQ2264" s="5" t="s">
        <v>238</v>
      </c>
      <c r="DT2264" s="5" t="s">
        <v>275</v>
      </c>
      <c r="DU2264" s="5" t="s">
        <v>3091</v>
      </c>
      <c r="HM2264" s="5" t="s">
        <v>264</v>
      </c>
    </row>
    <row r="2265" spans="1:221" x14ac:dyDescent="0.4">
      <c r="A2265" s="5">
        <v>3969</v>
      </c>
      <c r="B2265" s="5">
        <v>1</v>
      </c>
      <c r="C2265" s="5">
        <v>1</v>
      </c>
      <c r="D2265" s="5" t="s">
        <v>269</v>
      </c>
      <c r="E2265" s="5" t="s">
        <v>271</v>
      </c>
      <c r="F2265" s="5" t="s">
        <v>248</v>
      </c>
      <c r="G2265" s="5" t="s">
        <v>266</v>
      </c>
      <c r="H2265" s="6" t="s">
        <v>4338</v>
      </c>
      <c r="I2265" s="7">
        <f>702</f>
        <v>702</v>
      </c>
      <c r="J2265" s="5" t="s">
        <v>262</v>
      </c>
      <c r="K2265" s="8">
        <f>1</f>
        <v>1</v>
      </c>
      <c r="L2265" s="6" t="s">
        <v>242</v>
      </c>
      <c r="M2265" s="5" t="s">
        <v>267</v>
      </c>
      <c r="N2265" s="5" t="s">
        <v>265</v>
      </c>
      <c r="O2265" s="5" t="s">
        <v>238</v>
      </c>
      <c r="P2265" s="5" t="s">
        <v>238</v>
      </c>
      <c r="Q2265" s="5" t="s">
        <v>268</v>
      </c>
      <c r="R2265" s="5" t="s">
        <v>270</v>
      </c>
      <c r="S2265" s="5" t="s">
        <v>238</v>
      </c>
      <c r="V2265" s="5" t="s">
        <v>238</v>
      </c>
      <c r="X2265" s="6" t="s">
        <v>238</v>
      </c>
      <c r="AA2265" s="6" t="s">
        <v>243</v>
      </c>
      <c r="AB2265" s="5" t="s">
        <v>238</v>
      </c>
      <c r="AC2265" s="5" t="s">
        <v>244</v>
      </c>
      <c r="AD2265" s="5" t="s">
        <v>245</v>
      </c>
      <c r="AT2265" s="5" t="s">
        <v>246</v>
      </c>
      <c r="AU2265" s="5" t="s">
        <v>238</v>
      </c>
      <c r="AV2265" s="5" t="s">
        <v>247</v>
      </c>
      <c r="AW2265" s="5" t="s">
        <v>238</v>
      </c>
      <c r="AX2265" s="5" t="s">
        <v>249</v>
      </c>
      <c r="AY2265" s="5" t="s">
        <v>238</v>
      </c>
      <c r="BA2265" s="5" t="s">
        <v>238</v>
      </c>
      <c r="BC2265" s="5" t="s">
        <v>250</v>
      </c>
      <c r="BD2265" s="6" t="s">
        <v>243</v>
      </c>
      <c r="BE2265" s="5" t="s">
        <v>251</v>
      </c>
      <c r="BF2265" s="5" t="s">
        <v>252</v>
      </c>
      <c r="BG2265" s="5" t="s">
        <v>238</v>
      </c>
      <c r="BH2265" s="7">
        <f>0</f>
        <v>0</v>
      </c>
      <c r="BI2265" s="8">
        <f>0</f>
        <v>0</v>
      </c>
      <c r="BJ2265" s="5" t="s">
        <v>253</v>
      </c>
      <c r="BK2265" s="5" t="s">
        <v>254</v>
      </c>
      <c r="BY2265" s="5" t="s">
        <v>238</v>
      </c>
      <c r="BZ2265" s="5" t="s">
        <v>238</v>
      </c>
      <c r="CD2265" s="5" t="s">
        <v>273</v>
      </c>
      <c r="CE2265" s="5" t="s">
        <v>256</v>
      </c>
      <c r="CF2265" s="5" t="s">
        <v>238</v>
      </c>
      <c r="CI2265" s="6" t="s">
        <v>257</v>
      </c>
      <c r="CJ2265" s="5" t="s">
        <v>238</v>
      </c>
      <c r="CK2265" s="5" t="s">
        <v>258</v>
      </c>
      <c r="CL2265" s="5" t="s">
        <v>238</v>
      </c>
      <c r="CM2265" s="5" t="s">
        <v>238</v>
      </c>
      <c r="CN2265" s="5">
        <v>0</v>
      </c>
      <c r="CO2265" s="5" t="s">
        <v>259</v>
      </c>
      <c r="CP2265" s="5" t="s">
        <v>260</v>
      </c>
      <c r="CQ2265" s="5" t="s">
        <v>260</v>
      </c>
      <c r="CR2265" s="5" t="s">
        <v>261</v>
      </c>
      <c r="CU2265" s="8">
        <f>1</f>
        <v>1</v>
      </c>
      <c r="CV2265" s="8">
        <f>0</f>
        <v>0</v>
      </c>
      <c r="CX2265" s="8">
        <f>0</f>
        <v>0</v>
      </c>
      <c r="CY2265" s="8">
        <f>1</f>
        <v>1</v>
      </c>
      <c r="DA2265" s="5" t="s">
        <v>274</v>
      </c>
      <c r="DB2265" s="5" t="s">
        <v>238</v>
      </c>
      <c r="DD2265" s="5" t="s">
        <v>274</v>
      </c>
      <c r="DE2265" s="8">
        <f>702</f>
        <v>702</v>
      </c>
      <c r="DG2265" s="5" t="s">
        <v>238</v>
      </c>
      <c r="DH2265" s="5" t="s">
        <v>238</v>
      </c>
      <c r="DI2265" s="5" t="s">
        <v>238</v>
      </c>
      <c r="DJ2265" s="5" t="s">
        <v>238</v>
      </c>
      <c r="DN2265" s="5" t="s">
        <v>238</v>
      </c>
      <c r="DO2265" s="5" t="s">
        <v>238</v>
      </c>
      <c r="DP2265" s="5" t="s">
        <v>238</v>
      </c>
      <c r="DQ2265" s="5" t="s">
        <v>238</v>
      </c>
      <c r="DT2265" s="5" t="s">
        <v>275</v>
      </c>
      <c r="DU2265" s="5" t="s">
        <v>3089</v>
      </c>
      <c r="HM2265" s="5" t="s">
        <v>264</v>
      </c>
    </row>
    <row r="2266" spans="1:221" x14ac:dyDescent="0.4">
      <c r="A2266" s="5">
        <v>3970</v>
      </c>
      <c r="B2266" s="5">
        <v>1</v>
      </c>
      <c r="C2266" s="5">
        <v>1</v>
      </c>
      <c r="D2266" s="5" t="s">
        <v>269</v>
      </c>
      <c r="E2266" s="5" t="s">
        <v>271</v>
      </c>
      <c r="F2266" s="5" t="s">
        <v>248</v>
      </c>
      <c r="G2266" s="5" t="s">
        <v>266</v>
      </c>
      <c r="H2266" s="6" t="s">
        <v>4223</v>
      </c>
      <c r="I2266" s="7">
        <f>879</f>
        <v>879</v>
      </c>
      <c r="J2266" s="5" t="s">
        <v>262</v>
      </c>
      <c r="K2266" s="8">
        <f>1</f>
        <v>1</v>
      </c>
      <c r="L2266" s="6" t="s">
        <v>242</v>
      </c>
      <c r="M2266" s="5" t="s">
        <v>267</v>
      </c>
      <c r="N2266" s="5" t="s">
        <v>265</v>
      </c>
      <c r="O2266" s="5" t="s">
        <v>238</v>
      </c>
      <c r="P2266" s="5" t="s">
        <v>238</v>
      </c>
      <c r="Q2266" s="5" t="s">
        <v>268</v>
      </c>
      <c r="R2266" s="5" t="s">
        <v>270</v>
      </c>
      <c r="S2266" s="5" t="s">
        <v>238</v>
      </c>
      <c r="V2266" s="5" t="s">
        <v>238</v>
      </c>
      <c r="X2266" s="6" t="s">
        <v>238</v>
      </c>
      <c r="AA2266" s="6" t="s">
        <v>243</v>
      </c>
      <c r="AB2266" s="5" t="s">
        <v>238</v>
      </c>
      <c r="AC2266" s="5" t="s">
        <v>244</v>
      </c>
      <c r="AD2266" s="5" t="s">
        <v>245</v>
      </c>
      <c r="AT2266" s="5" t="s">
        <v>246</v>
      </c>
      <c r="AU2266" s="5" t="s">
        <v>238</v>
      </c>
      <c r="AV2266" s="5" t="s">
        <v>247</v>
      </c>
      <c r="AW2266" s="5" t="s">
        <v>238</v>
      </c>
      <c r="AX2266" s="5" t="s">
        <v>249</v>
      </c>
      <c r="AY2266" s="5" t="s">
        <v>238</v>
      </c>
      <c r="BA2266" s="5" t="s">
        <v>238</v>
      </c>
      <c r="BC2266" s="5" t="s">
        <v>250</v>
      </c>
      <c r="BD2266" s="6" t="s">
        <v>243</v>
      </c>
      <c r="BE2266" s="5" t="s">
        <v>251</v>
      </c>
      <c r="BF2266" s="5" t="s">
        <v>252</v>
      </c>
      <c r="BG2266" s="5" t="s">
        <v>238</v>
      </c>
      <c r="BH2266" s="7">
        <f>0</f>
        <v>0</v>
      </c>
      <c r="BI2266" s="8">
        <f>0</f>
        <v>0</v>
      </c>
      <c r="BJ2266" s="5" t="s">
        <v>253</v>
      </c>
      <c r="BK2266" s="5" t="s">
        <v>254</v>
      </c>
      <c r="BY2266" s="5" t="s">
        <v>238</v>
      </c>
      <c r="BZ2266" s="5" t="s">
        <v>238</v>
      </c>
      <c r="CD2266" s="5" t="s">
        <v>273</v>
      </c>
      <c r="CE2266" s="5" t="s">
        <v>256</v>
      </c>
      <c r="CF2266" s="5" t="s">
        <v>238</v>
      </c>
      <c r="CI2266" s="6" t="s">
        <v>257</v>
      </c>
      <c r="CJ2266" s="5" t="s">
        <v>238</v>
      </c>
      <c r="CK2266" s="5" t="s">
        <v>258</v>
      </c>
      <c r="CL2266" s="5" t="s">
        <v>238</v>
      </c>
      <c r="CM2266" s="5" t="s">
        <v>238</v>
      </c>
      <c r="CN2266" s="5">
        <v>0</v>
      </c>
      <c r="CO2266" s="5" t="s">
        <v>259</v>
      </c>
      <c r="CP2266" s="5" t="s">
        <v>260</v>
      </c>
      <c r="CQ2266" s="5" t="s">
        <v>260</v>
      </c>
      <c r="CR2266" s="5" t="s">
        <v>261</v>
      </c>
      <c r="CU2266" s="8">
        <f>1</f>
        <v>1</v>
      </c>
      <c r="CV2266" s="8">
        <f>0</f>
        <v>0</v>
      </c>
      <c r="CX2266" s="8">
        <f>0</f>
        <v>0</v>
      </c>
      <c r="CY2266" s="8">
        <f>1</f>
        <v>1</v>
      </c>
      <c r="DA2266" s="5" t="s">
        <v>274</v>
      </c>
      <c r="DB2266" s="5" t="s">
        <v>238</v>
      </c>
      <c r="DD2266" s="5" t="s">
        <v>274</v>
      </c>
      <c r="DE2266" s="8">
        <f>879</f>
        <v>879</v>
      </c>
      <c r="DG2266" s="5" t="s">
        <v>238</v>
      </c>
      <c r="DH2266" s="5" t="s">
        <v>238</v>
      </c>
      <c r="DI2266" s="5" t="s">
        <v>238</v>
      </c>
      <c r="DJ2266" s="5" t="s">
        <v>238</v>
      </c>
      <c r="DN2266" s="5" t="s">
        <v>238</v>
      </c>
      <c r="DO2266" s="5" t="s">
        <v>238</v>
      </c>
      <c r="DP2266" s="5" t="s">
        <v>238</v>
      </c>
      <c r="DQ2266" s="5" t="s">
        <v>238</v>
      </c>
      <c r="DT2266" s="5" t="s">
        <v>275</v>
      </c>
      <c r="DU2266" s="5" t="s">
        <v>3087</v>
      </c>
      <c r="HM2266" s="5" t="s">
        <v>264</v>
      </c>
    </row>
    <row r="2267" spans="1:221" x14ac:dyDescent="0.4">
      <c r="A2267" s="5">
        <v>3971</v>
      </c>
      <c r="B2267" s="5">
        <v>1</v>
      </c>
      <c r="C2267" s="5">
        <v>1</v>
      </c>
      <c r="D2267" s="5" t="s">
        <v>269</v>
      </c>
      <c r="E2267" s="5" t="s">
        <v>271</v>
      </c>
      <c r="F2267" s="5" t="s">
        <v>248</v>
      </c>
      <c r="G2267" s="5" t="s">
        <v>266</v>
      </c>
      <c r="H2267" s="6" t="s">
        <v>4266</v>
      </c>
      <c r="I2267" s="7">
        <f>934</f>
        <v>934</v>
      </c>
      <c r="J2267" s="5" t="s">
        <v>262</v>
      </c>
      <c r="K2267" s="8">
        <f>1</f>
        <v>1</v>
      </c>
      <c r="L2267" s="6" t="s">
        <v>242</v>
      </c>
      <c r="M2267" s="5" t="s">
        <v>267</v>
      </c>
      <c r="N2267" s="5" t="s">
        <v>265</v>
      </c>
      <c r="O2267" s="5" t="s">
        <v>238</v>
      </c>
      <c r="P2267" s="5" t="s">
        <v>238</v>
      </c>
      <c r="Q2267" s="5" t="s">
        <v>268</v>
      </c>
      <c r="R2267" s="5" t="s">
        <v>270</v>
      </c>
      <c r="S2267" s="5" t="s">
        <v>238</v>
      </c>
      <c r="V2267" s="5" t="s">
        <v>238</v>
      </c>
      <c r="X2267" s="6" t="s">
        <v>238</v>
      </c>
      <c r="AA2267" s="6" t="s">
        <v>243</v>
      </c>
      <c r="AB2267" s="5" t="s">
        <v>238</v>
      </c>
      <c r="AC2267" s="5" t="s">
        <v>244</v>
      </c>
      <c r="AD2267" s="5" t="s">
        <v>245</v>
      </c>
      <c r="AT2267" s="5" t="s">
        <v>246</v>
      </c>
      <c r="AU2267" s="5" t="s">
        <v>238</v>
      </c>
      <c r="AV2267" s="5" t="s">
        <v>247</v>
      </c>
      <c r="AW2267" s="5" t="s">
        <v>238</v>
      </c>
      <c r="AX2267" s="5" t="s">
        <v>249</v>
      </c>
      <c r="AY2267" s="5" t="s">
        <v>238</v>
      </c>
      <c r="BA2267" s="5" t="s">
        <v>238</v>
      </c>
      <c r="BC2267" s="5" t="s">
        <v>250</v>
      </c>
      <c r="BD2267" s="6" t="s">
        <v>243</v>
      </c>
      <c r="BE2267" s="5" t="s">
        <v>251</v>
      </c>
      <c r="BF2267" s="5" t="s">
        <v>252</v>
      </c>
      <c r="BG2267" s="5" t="s">
        <v>238</v>
      </c>
      <c r="BH2267" s="7">
        <f>0</f>
        <v>0</v>
      </c>
      <c r="BI2267" s="8">
        <f>0</f>
        <v>0</v>
      </c>
      <c r="BJ2267" s="5" t="s">
        <v>253</v>
      </c>
      <c r="BK2267" s="5" t="s">
        <v>254</v>
      </c>
      <c r="BY2267" s="5" t="s">
        <v>238</v>
      </c>
      <c r="BZ2267" s="5" t="s">
        <v>238</v>
      </c>
      <c r="CD2267" s="5" t="s">
        <v>273</v>
      </c>
      <c r="CE2267" s="5" t="s">
        <v>256</v>
      </c>
      <c r="CF2267" s="5" t="s">
        <v>238</v>
      </c>
      <c r="CI2267" s="6" t="s">
        <v>257</v>
      </c>
      <c r="CJ2267" s="5" t="s">
        <v>238</v>
      </c>
      <c r="CK2267" s="5" t="s">
        <v>258</v>
      </c>
      <c r="CL2267" s="5" t="s">
        <v>238</v>
      </c>
      <c r="CM2267" s="5" t="s">
        <v>238</v>
      </c>
      <c r="CN2267" s="5">
        <v>0</v>
      </c>
      <c r="CO2267" s="5" t="s">
        <v>259</v>
      </c>
      <c r="CP2267" s="5" t="s">
        <v>260</v>
      </c>
      <c r="CQ2267" s="5" t="s">
        <v>260</v>
      </c>
      <c r="CR2267" s="5" t="s">
        <v>261</v>
      </c>
      <c r="CU2267" s="8">
        <f>1</f>
        <v>1</v>
      </c>
      <c r="CV2267" s="8">
        <f>0</f>
        <v>0</v>
      </c>
      <c r="CX2267" s="8">
        <f>0</f>
        <v>0</v>
      </c>
      <c r="CY2267" s="8">
        <f>1</f>
        <v>1</v>
      </c>
      <c r="DA2267" s="5" t="s">
        <v>274</v>
      </c>
      <c r="DB2267" s="5" t="s">
        <v>238</v>
      </c>
      <c r="DD2267" s="5" t="s">
        <v>274</v>
      </c>
      <c r="DE2267" s="8">
        <f>934</f>
        <v>934</v>
      </c>
      <c r="DG2267" s="5" t="s">
        <v>238</v>
      </c>
      <c r="DH2267" s="5" t="s">
        <v>238</v>
      </c>
      <c r="DI2267" s="5" t="s">
        <v>238</v>
      </c>
      <c r="DJ2267" s="5" t="s">
        <v>238</v>
      </c>
      <c r="DN2267" s="5" t="s">
        <v>238</v>
      </c>
      <c r="DO2267" s="5" t="s">
        <v>238</v>
      </c>
      <c r="DP2267" s="5" t="s">
        <v>238</v>
      </c>
      <c r="DQ2267" s="5" t="s">
        <v>238</v>
      </c>
      <c r="DT2267" s="5" t="s">
        <v>275</v>
      </c>
      <c r="DU2267" s="5" t="s">
        <v>3085</v>
      </c>
      <c r="HM2267" s="5" t="s">
        <v>264</v>
      </c>
    </row>
    <row r="2268" spans="1:221" x14ac:dyDescent="0.4">
      <c r="A2268" s="5">
        <v>3972</v>
      </c>
      <c r="B2268" s="5">
        <v>1</v>
      </c>
      <c r="C2268" s="5">
        <v>1</v>
      </c>
      <c r="D2268" s="5" t="s">
        <v>269</v>
      </c>
      <c r="E2268" s="5" t="s">
        <v>271</v>
      </c>
      <c r="F2268" s="5" t="s">
        <v>248</v>
      </c>
      <c r="G2268" s="5" t="s">
        <v>266</v>
      </c>
      <c r="H2268" s="6" t="s">
        <v>5835</v>
      </c>
      <c r="I2268" s="7">
        <f>2319</f>
        <v>2319</v>
      </c>
      <c r="J2268" s="5" t="s">
        <v>262</v>
      </c>
      <c r="K2268" s="8">
        <f>1</f>
        <v>1</v>
      </c>
      <c r="L2268" s="6" t="s">
        <v>242</v>
      </c>
      <c r="M2268" s="5" t="s">
        <v>267</v>
      </c>
      <c r="N2268" s="5" t="s">
        <v>265</v>
      </c>
      <c r="O2268" s="5" t="s">
        <v>238</v>
      </c>
      <c r="P2268" s="5" t="s">
        <v>238</v>
      </c>
      <c r="Q2268" s="5" t="s">
        <v>268</v>
      </c>
      <c r="R2268" s="5" t="s">
        <v>270</v>
      </c>
      <c r="S2268" s="5" t="s">
        <v>238</v>
      </c>
      <c r="V2268" s="5" t="s">
        <v>238</v>
      </c>
      <c r="X2268" s="6" t="s">
        <v>238</v>
      </c>
      <c r="AA2268" s="6" t="s">
        <v>243</v>
      </c>
      <c r="AB2268" s="5" t="s">
        <v>238</v>
      </c>
      <c r="AC2268" s="5" t="s">
        <v>244</v>
      </c>
      <c r="AD2268" s="5" t="s">
        <v>245</v>
      </c>
      <c r="AT2268" s="5" t="s">
        <v>246</v>
      </c>
      <c r="AU2268" s="5" t="s">
        <v>238</v>
      </c>
      <c r="AV2268" s="5" t="s">
        <v>247</v>
      </c>
      <c r="AW2268" s="5" t="s">
        <v>238</v>
      </c>
      <c r="AX2268" s="5" t="s">
        <v>249</v>
      </c>
      <c r="AY2268" s="5" t="s">
        <v>238</v>
      </c>
      <c r="BA2268" s="5" t="s">
        <v>238</v>
      </c>
      <c r="BC2268" s="5" t="s">
        <v>250</v>
      </c>
      <c r="BD2268" s="6" t="s">
        <v>243</v>
      </c>
      <c r="BE2268" s="5" t="s">
        <v>251</v>
      </c>
      <c r="BF2268" s="5" t="s">
        <v>252</v>
      </c>
      <c r="BG2268" s="5" t="s">
        <v>238</v>
      </c>
      <c r="BH2268" s="7">
        <f>0</f>
        <v>0</v>
      </c>
      <c r="BI2268" s="8">
        <f>0</f>
        <v>0</v>
      </c>
      <c r="BJ2268" s="5" t="s">
        <v>253</v>
      </c>
      <c r="BK2268" s="5" t="s">
        <v>254</v>
      </c>
      <c r="BY2268" s="5" t="s">
        <v>238</v>
      </c>
      <c r="BZ2268" s="5" t="s">
        <v>238</v>
      </c>
      <c r="CD2268" s="5" t="s">
        <v>273</v>
      </c>
      <c r="CE2268" s="5" t="s">
        <v>256</v>
      </c>
      <c r="CF2268" s="5" t="s">
        <v>238</v>
      </c>
      <c r="CI2268" s="6" t="s">
        <v>257</v>
      </c>
      <c r="CJ2268" s="5" t="s">
        <v>238</v>
      </c>
      <c r="CK2268" s="5" t="s">
        <v>258</v>
      </c>
      <c r="CL2268" s="5" t="s">
        <v>238</v>
      </c>
      <c r="CM2268" s="5" t="s">
        <v>238</v>
      </c>
      <c r="CN2268" s="5">
        <v>0</v>
      </c>
      <c r="CO2268" s="5" t="s">
        <v>259</v>
      </c>
      <c r="CP2268" s="5" t="s">
        <v>260</v>
      </c>
      <c r="CQ2268" s="5" t="s">
        <v>260</v>
      </c>
      <c r="CR2268" s="5" t="s">
        <v>261</v>
      </c>
      <c r="CU2268" s="8">
        <f>1</f>
        <v>1</v>
      </c>
      <c r="CV2268" s="8">
        <f>0</f>
        <v>0</v>
      </c>
      <c r="CX2268" s="8">
        <f>0</f>
        <v>0</v>
      </c>
      <c r="CY2268" s="8">
        <f>1</f>
        <v>1</v>
      </c>
      <c r="DA2268" s="5" t="s">
        <v>274</v>
      </c>
      <c r="DB2268" s="5" t="s">
        <v>238</v>
      </c>
      <c r="DD2268" s="5" t="s">
        <v>274</v>
      </c>
      <c r="DE2268" s="8">
        <f>2319</f>
        <v>2319</v>
      </c>
      <c r="DG2268" s="5" t="s">
        <v>238</v>
      </c>
      <c r="DH2268" s="5" t="s">
        <v>238</v>
      </c>
      <c r="DI2268" s="5" t="s">
        <v>238</v>
      </c>
      <c r="DJ2268" s="5" t="s">
        <v>238</v>
      </c>
      <c r="DN2268" s="5" t="s">
        <v>238</v>
      </c>
      <c r="DO2268" s="5" t="s">
        <v>238</v>
      </c>
      <c r="DP2268" s="5" t="s">
        <v>238</v>
      </c>
      <c r="DQ2268" s="5" t="s">
        <v>238</v>
      </c>
      <c r="DT2268" s="5" t="s">
        <v>275</v>
      </c>
      <c r="DU2268" s="5" t="s">
        <v>3081</v>
      </c>
      <c r="HM2268" s="5" t="s">
        <v>264</v>
      </c>
    </row>
    <row r="2269" spans="1:221" x14ac:dyDescent="0.4">
      <c r="A2269" s="5">
        <v>3973</v>
      </c>
      <c r="B2269" s="5">
        <v>1</v>
      </c>
      <c r="C2269" s="5">
        <v>1</v>
      </c>
      <c r="D2269" s="5" t="s">
        <v>269</v>
      </c>
      <c r="E2269" s="5" t="s">
        <v>271</v>
      </c>
      <c r="F2269" s="5" t="s">
        <v>248</v>
      </c>
      <c r="G2269" s="5" t="s">
        <v>266</v>
      </c>
      <c r="H2269" s="6" t="s">
        <v>5902</v>
      </c>
      <c r="I2269" s="7">
        <f>240</f>
        <v>240</v>
      </c>
      <c r="J2269" s="5" t="s">
        <v>262</v>
      </c>
      <c r="K2269" s="8">
        <f>1</f>
        <v>1</v>
      </c>
      <c r="L2269" s="6" t="s">
        <v>242</v>
      </c>
      <c r="M2269" s="5" t="s">
        <v>267</v>
      </c>
      <c r="N2269" s="5" t="s">
        <v>265</v>
      </c>
      <c r="O2269" s="5" t="s">
        <v>238</v>
      </c>
      <c r="P2269" s="5" t="s">
        <v>238</v>
      </c>
      <c r="Q2269" s="5" t="s">
        <v>268</v>
      </c>
      <c r="R2269" s="5" t="s">
        <v>270</v>
      </c>
      <c r="S2269" s="5" t="s">
        <v>238</v>
      </c>
      <c r="V2269" s="5" t="s">
        <v>238</v>
      </c>
      <c r="X2269" s="6" t="s">
        <v>238</v>
      </c>
      <c r="AA2269" s="6" t="s">
        <v>243</v>
      </c>
      <c r="AB2269" s="5" t="s">
        <v>238</v>
      </c>
      <c r="AC2269" s="5" t="s">
        <v>244</v>
      </c>
      <c r="AD2269" s="5" t="s">
        <v>245</v>
      </c>
      <c r="AT2269" s="5" t="s">
        <v>246</v>
      </c>
      <c r="AU2269" s="5" t="s">
        <v>238</v>
      </c>
      <c r="AV2269" s="5" t="s">
        <v>247</v>
      </c>
      <c r="AW2269" s="5" t="s">
        <v>238</v>
      </c>
      <c r="AX2269" s="5" t="s">
        <v>249</v>
      </c>
      <c r="AY2269" s="5" t="s">
        <v>238</v>
      </c>
      <c r="BA2269" s="5" t="s">
        <v>238</v>
      </c>
      <c r="BC2269" s="5" t="s">
        <v>250</v>
      </c>
      <c r="BD2269" s="6" t="s">
        <v>243</v>
      </c>
      <c r="BE2269" s="5" t="s">
        <v>251</v>
      </c>
      <c r="BF2269" s="5" t="s">
        <v>252</v>
      </c>
      <c r="BG2269" s="5" t="s">
        <v>238</v>
      </c>
      <c r="BH2269" s="7">
        <f>0</f>
        <v>0</v>
      </c>
      <c r="BI2269" s="8">
        <f>0</f>
        <v>0</v>
      </c>
      <c r="BJ2269" s="5" t="s">
        <v>253</v>
      </c>
      <c r="BK2269" s="5" t="s">
        <v>254</v>
      </c>
      <c r="BY2269" s="5" t="s">
        <v>238</v>
      </c>
      <c r="BZ2269" s="5" t="s">
        <v>238</v>
      </c>
      <c r="CD2269" s="5" t="s">
        <v>273</v>
      </c>
      <c r="CE2269" s="5" t="s">
        <v>256</v>
      </c>
      <c r="CF2269" s="5" t="s">
        <v>238</v>
      </c>
      <c r="CI2269" s="6" t="s">
        <v>257</v>
      </c>
      <c r="CJ2269" s="5" t="s">
        <v>238</v>
      </c>
      <c r="CK2269" s="5" t="s">
        <v>258</v>
      </c>
      <c r="CL2269" s="5" t="s">
        <v>238</v>
      </c>
      <c r="CM2269" s="5" t="s">
        <v>238</v>
      </c>
      <c r="CN2269" s="5">
        <v>0</v>
      </c>
      <c r="CO2269" s="5" t="s">
        <v>259</v>
      </c>
      <c r="CP2269" s="5" t="s">
        <v>260</v>
      </c>
      <c r="CQ2269" s="5" t="s">
        <v>260</v>
      </c>
      <c r="CR2269" s="5" t="s">
        <v>261</v>
      </c>
      <c r="CU2269" s="8">
        <f>1</f>
        <v>1</v>
      </c>
      <c r="CV2269" s="8">
        <f>0</f>
        <v>0</v>
      </c>
      <c r="CX2269" s="8">
        <f>0</f>
        <v>0</v>
      </c>
      <c r="CY2269" s="8">
        <f>1</f>
        <v>1</v>
      </c>
      <c r="DA2269" s="5" t="s">
        <v>274</v>
      </c>
      <c r="DB2269" s="5" t="s">
        <v>238</v>
      </c>
      <c r="DD2269" s="5" t="s">
        <v>274</v>
      </c>
      <c r="DE2269" s="8">
        <f>240</f>
        <v>240</v>
      </c>
      <c r="DG2269" s="5" t="s">
        <v>238</v>
      </c>
      <c r="DH2269" s="5" t="s">
        <v>238</v>
      </c>
      <c r="DI2269" s="5" t="s">
        <v>238</v>
      </c>
      <c r="DJ2269" s="5" t="s">
        <v>238</v>
      </c>
      <c r="DN2269" s="5" t="s">
        <v>238</v>
      </c>
      <c r="DO2269" s="5" t="s">
        <v>238</v>
      </c>
      <c r="DP2269" s="5" t="s">
        <v>238</v>
      </c>
      <c r="DQ2269" s="5" t="s">
        <v>238</v>
      </c>
      <c r="DT2269" s="5" t="s">
        <v>275</v>
      </c>
      <c r="DU2269" s="5" t="s">
        <v>3079</v>
      </c>
      <c r="HM2269" s="5" t="s">
        <v>264</v>
      </c>
    </row>
    <row r="2270" spans="1:221" x14ac:dyDescent="0.4">
      <c r="A2270" s="5">
        <v>3974</v>
      </c>
      <c r="B2270" s="5">
        <v>1</v>
      </c>
      <c r="C2270" s="5">
        <v>1</v>
      </c>
      <c r="D2270" s="5" t="s">
        <v>269</v>
      </c>
      <c r="E2270" s="5" t="s">
        <v>271</v>
      </c>
      <c r="F2270" s="5" t="s">
        <v>248</v>
      </c>
      <c r="G2270" s="5" t="s">
        <v>266</v>
      </c>
      <c r="H2270" s="6" t="s">
        <v>4148</v>
      </c>
      <c r="I2270" s="7">
        <f>2142</f>
        <v>2142</v>
      </c>
      <c r="J2270" s="5" t="s">
        <v>262</v>
      </c>
      <c r="K2270" s="8">
        <f>1</f>
        <v>1</v>
      </c>
      <c r="L2270" s="6" t="s">
        <v>242</v>
      </c>
      <c r="M2270" s="5" t="s">
        <v>267</v>
      </c>
      <c r="N2270" s="5" t="s">
        <v>265</v>
      </c>
      <c r="O2270" s="5" t="s">
        <v>238</v>
      </c>
      <c r="P2270" s="5" t="s">
        <v>238</v>
      </c>
      <c r="Q2270" s="5" t="s">
        <v>268</v>
      </c>
      <c r="R2270" s="5" t="s">
        <v>270</v>
      </c>
      <c r="S2270" s="5" t="s">
        <v>238</v>
      </c>
      <c r="V2270" s="5" t="s">
        <v>238</v>
      </c>
      <c r="X2270" s="6" t="s">
        <v>238</v>
      </c>
      <c r="AA2270" s="6" t="s">
        <v>243</v>
      </c>
      <c r="AB2270" s="5" t="s">
        <v>238</v>
      </c>
      <c r="AC2270" s="5" t="s">
        <v>244</v>
      </c>
      <c r="AD2270" s="5" t="s">
        <v>245</v>
      </c>
      <c r="AT2270" s="5" t="s">
        <v>246</v>
      </c>
      <c r="AU2270" s="5" t="s">
        <v>238</v>
      </c>
      <c r="AV2270" s="5" t="s">
        <v>247</v>
      </c>
      <c r="AW2270" s="5" t="s">
        <v>238</v>
      </c>
      <c r="AX2270" s="5" t="s">
        <v>249</v>
      </c>
      <c r="AY2270" s="5" t="s">
        <v>238</v>
      </c>
      <c r="BA2270" s="5" t="s">
        <v>238</v>
      </c>
      <c r="BC2270" s="5" t="s">
        <v>250</v>
      </c>
      <c r="BD2270" s="6" t="s">
        <v>243</v>
      </c>
      <c r="BE2270" s="5" t="s">
        <v>251</v>
      </c>
      <c r="BF2270" s="5" t="s">
        <v>252</v>
      </c>
      <c r="BG2270" s="5" t="s">
        <v>238</v>
      </c>
      <c r="BH2270" s="7">
        <f>0</f>
        <v>0</v>
      </c>
      <c r="BI2270" s="8">
        <f>0</f>
        <v>0</v>
      </c>
      <c r="BJ2270" s="5" t="s">
        <v>253</v>
      </c>
      <c r="BK2270" s="5" t="s">
        <v>254</v>
      </c>
      <c r="BY2270" s="5" t="s">
        <v>238</v>
      </c>
      <c r="BZ2270" s="5" t="s">
        <v>238</v>
      </c>
      <c r="CD2270" s="5" t="s">
        <v>273</v>
      </c>
      <c r="CE2270" s="5" t="s">
        <v>256</v>
      </c>
      <c r="CF2270" s="5" t="s">
        <v>238</v>
      </c>
      <c r="CI2270" s="6" t="s">
        <v>257</v>
      </c>
      <c r="CJ2270" s="5" t="s">
        <v>238</v>
      </c>
      <c r="CK2270" s="5" t="s">
        <v>258</v>
      </c>
      <c r="CL2270" s="5" t="s">
        <v>238</v>
      </c>
      <c r="CM2270" s="5" t="s">
        <v>238</v>
      </c>
      <c r="CN2270" s="5">
        <v>0</v>
      </c>
      <c r="CO2270" s="5" t="s">
        <v>259</v>
      </c>
      <c r="CP2270" s="5" t="s">
        <v>260</v>
      </c>
      <c r="CQ2270" s="5" t="s">
        <v>260</v>
      </c>
      <c r="CR2270" s="5" t="s">
        <v>261</v>
      </c>
      <c r="CU2270" s="8">
        <f>1</f>
        <v>1</v>
      </c>
      <c r="CV2270" s="8">
        <f>0</f>
        <v>0</v>
      </c>
      <c r="CX2270" s="8">
        <f>0</f>
        <v>0</v>
      </c>
      <c r="CY2270" s="8">
        <f>1</f>
        <v>1</v>
      </c>
      <c r="DA2270" s="5" t="s">
        <v>274</v>
      </c>
      <c r="DB2270" s="5" t="s">
        <v>238</v>
      </c>
      <c r="DD2270" s="5" t="s">
        <v>274</v>
      </c>
      <c r="DE2270" s="8">
        <f>2142</f>
        <v>2142</v>
      </c>
      <c r="DG2270" s="5" t="s">
        <v>238</v>
      </c>
      <c r="DH2270" s="5" t="s">
        <v>238</v>
      </c>
      <c r="DI2270" s="5" t="s">
        <v>238</v>
      </c>
      <c r="DJ2270" s="5" t="s">
        <v>238</v>
      </c>
      <c r="DN2270" s="5" t="s">
        <v>238</v>
      </c>
      <c r="DO2270" s="5" t="s">
        <v>238</v>
      </c>
      <c r="DP2270" s="5" t="s">
        <v>238</v>
      </c>
      <c r="DQ2270" s="5" t="s">
        <v>238</v>
      </c>
      <c r="DT2270" s="5" t="s">
        <v>275</v>
      </c>
      <c r="DU2270" s="5" t="s">
        <v>3077</v>
      </c>
      <c r="HM2270" s="5" t="s">
        <v>264</v>
      </c>
    </row>
    <row r="2271" spans="1:221" x14ac:dyDescent="0.4">
      <c r="A2271" s="5">
        <v>3975</v>
      </c>
      <c r="B2271" s="5">
        <v>1</v>
      </c>
      <c r="C2271" s="5">
        <v>1</v>
      </c>
      <c r="D2271" s="5" t="s">
        <v>269</v>
      </c>
      <c r="E2271" s="5" t="s">
        <v>271</v>
      </c>
      <c r="F2271" s="5" t="s">
        <v>248</v>
      </c>
      <c r="G2271" s="5" t="s">
        <v>266</v>
      </c>
      <c r="H2271" s="6" t="s">
        <v>4261</v>
      </c>
      <c r="I2271" s="7">
        <f>905</f>
        <v>905</v>
      </c>
      <c r="J2271" s="5" t="s">
        <v>262</v>
      </c>
      <c r="K2271" s="8">
        <f>1</f>
        <v>1</v>
      </c>
      <c r="L2271" s="6" t="s">
        <v>242</v>
      </c>
      <c r="M2271" s="5" t="s">
        <v>267</v>
      </c>
      <c r="N2271" s="5" t="s">
        <v>265</v>
      </c>
      <c r="O2271" s="5" t="s">
        <v>238</v>
      </c>
      <c r="P2271" s="5" t="s">
        <v>238</v>
      </c>
      <c r="Q2271" s="5" t="s">
        <v>268</v>
      </c>
      <c r="R2271" s="5" t="s">
        <v>270</v>
      </c>
      <c r="S2271" s="5" t="s">
        <v>238</v>
      </c>
      <c r="V2271" s="5" t="s">
        <v>238</v>
      </c>
      <c r="X2271" s="6" t="s">
        <v>238</v>
      </c>
      <c r="AA2271" s="6" t="s">
        <v>243</v>
      </c>
      <c r="AB2271" s="5" t="s">
        <v>238</v>
      </c>
      <c r="AC2271" s="5" t="s">
        <v>244</v>
      </c>
      <c r="AD2271" s="5" t="s">
        <v>245</v>
      </c>
      <c r="AT2271" s="5" t="s">
        <v>246</v>
      </c>
      <c r="AU2271" s="5" t="s">
        <v>238</v>
      </c>
      <c r="AV2271" s="5" t="s">
        <v>247</v>
      </c>
      <c r="AW2271" s="5" t="s">
        <v>238</v>
      </c>
      <c r="AX2271" s="5" t="s">
        <v>249</v>
      </c>
      <c r="AY2271" s="5" t="s">
        <v>238</v>
      </c>
      <c r="BA2271" s="5" t="s">
        <v>238</v>
      </c>
      <c r="BC2271" s="5" t="s">
        <v>250</v>
      </c>
      <c r="BD2271" s="6" t="s">
        <v>243</v>
      </c>
      <c r="BE2271" s="5" t="s">
        <v>251</v>
      </c>
      <c r="BF2271" s="5" t="s">
        <v>252</v>
      </c>
      <c r="BG2271" s="5" t="s">
        <v>238</v>
      </c>
      <c r="BH2271" s="7">
        <f>0</f>
        <v>0</v>
      </c>
      <c r="BI2271" s="8">
        <f>0</f>
        <v>0</v>
      </c>
      <c r="BJ2271" s="5" t="s">
        <v>253</v>
      </c>
      <c r="BK2271" s="5" t="s">
        <v>254</v>
      </c>
      <c r="BY2271" s="5" t="s">
        <v>238</v>
      </c>
      <c r="BZ2271" s="5" t="s">
        <v>238</v>
      </c>
      <c r="CD2271" s="5" t="s">
        <v>273</v>
      </c>
      <c r="CE2271" s="5" t="s">
        <v>256</v>
      </c>
      <c r="CF2271" s="5" t="s">
        <v>238</v>
      </c>
      <c r="CI2271" s="6" t="s">
        <v>257</v>
      </c>
      <c r="CJ2271" s="5" t="s">
        <v>238</v>
      </c>
      <c r="CK2271" s="5" t="s">
        <v>258</v>
      </c>
      <c r="CL2271" s="5" t="s">
        <v>238</v>
      </c>
      <c r="CM2271" s="5" t="s">
        <v>238</v>
      </c>
      <c r="CN2271" s="5">
        <v>0</v>
      </c>
      <c r="CO2271" s="5" t="s">
        <v>259</v>
      </c>
      <c r="CP2271" s="5" t="s">
        <v>260</v>
      </c>
      <c r="CQ2271" s="5" t="s">
        <v>260</v>
      </c>
      <c r="CR2271" s="5" t="s">
        <v>261</v>
      </c>
      <c r="CU2271" s="8">
        <f>1</f>
        <v>1</v>
      </c>
      <c r="CV2271" s="8">
        <f>0</f>
        <v>0</v>
      </c>
      <c r="CX2271" s="8">
        <f>0</f>
        <v>0</v>
      </c>
      <c r="CY2271" s="8">
        <f>1</f>
        <v>1</v>
      </c>
      <c r="DA2271" s="5" t="s">
        <v>274</v>
      </c>
      <c r="DB2271" s="5" t="s">
        <v>238</v>
      </c>
      <c r="DD2271" s="5" t="s">
        <v>274</v>
      </c>
      <c r="DE2271" s="8">
        <f>905</f>
        <v>905</v>
      </c>
      <c r="DG2271" s="5" t="s">
        <v>238</v>
      </c>
      <c r="DH2271" s="5" t="s">
        <v>238</v>
      </c>
      <c r="DI2271" s="5" t="s">
        <v>238</v>
      </c>
      <c r="DJ2271" s="5" t="s">
        <v>238</v>
      </c>
      <c r="DN2271" s="5" t="s">
        <v>238</v>
      </c>
      <c r="DO2271" s="5" t="s">
        <v>238</v>
      </c>
      <c r="DP2271" s="5" t="s">
        <v>238</v>
      </c>
      <c r="DQ2271" s="5" t="s">
        <v>238</v>
      </c>
      <c r="DT2271" s="5" t="s">
        <v>275</v>
      </c>
      <c r="DU2271" s="5" t="s">
        <v>3075</v>
      </c>
      <c r="HM2271" s="5" t="s">
        <v>264</v>
      </c>
    </row>
    <row r="2272" spans="1:221" x14ac:dyDescent="0.4">
      <c r="A2272" s="5">
        <v>3976</v>
      </c>
      <c r="B2272" s="5">
        <v>1</v>
      </c>
      <c r="C2272" s="5">
        <v>1</v>
      </c>
      <c r="D2272" s="5" t="s">
        <v>269</v>
      </c>
      <c r="E2272" s="5" t="s">
        <v>271</v>
      </c>
      <c r="F2272" s="5" t="s">
        <v>248</v>
      </c>
      <c r="G2272" s="5" t="s">
        <v>266</v>
      </c>
      <c r="H2272" s="6" t="s">
        <v>5814</v>
      </c>
      <c r="I2272" s="7">
        <f>92</f>
        <v>92</v>
      </c>
      <c r="J2272" s="5" t="s">
        <v>262</v>
      </c>
      <c r="K2272" s="8">
        <f>1</f>
        <v>1</v>
      </c>
      <c r="L2272" s="6" t="s">
        <v>242</v>
      </c>
      <c r="M2272" s="5" t="s">
        <v>267</v>
      </c>
      <c r="N2272" s="5" t="s">
        <v>265</v>
      </c>
      <c r="O2272" s="5" t="s">
        <v>238</v>
      </c>
      <c r="P2272" s="5" t="s">
        <v>238</v>
      </c>
      <c r="Q2272" s="5" t="s">
        <v>268</v>
      </c>
      <c r="R2272" s="5" t="s">
        <v>270</v>
      </c>
      <c r="S2272" s="5" t="s">
        <v>238</v>
      </c>
      <c r="V2272" s="5" t="s">
        <v>238</v>
      </c>
      <c r="X2272" s="6" t="s">
        <v>238</v>
      </c>
      <c r="AA2272" s="6" t="s">
        <v>243</v>
      </c>
      <c r="AB2272" s="5" t="s">
        <v>238</v>
      </c>
      <c r="AC2272" s="5" t="s">
        <v>244</v>
      </c>
      <c r="AD2272" s="5" t="s">
        <v>245</v>
      </c>
      <c r="AT2272" s="5" t="s">
        <v>246</v>
      </c>
      <c r="AU2272" s="5" t="s">
        <v>238</v>
      </c>
      <c r="AV2272" s="5" t="s">
        <v>247</v>
      </c>
      <c r="AW2272" s="5" t="s">
        <v>238</v>
      </c>
      <c r="AX2272" s="5" t="s">
        <v>249</v>
      </c>
      <c r="AY2272" s="5" t="s">
        <v>238</v>
      </c>
      <c r="BA2272" s="5" t="s">
        <v>238</v>
      </c>
      <c r="BC2272" s="5" t="s">
        <v>250</v>
      </c>
      <c r="BD2272" s="6" t="s">
        <v>243</v>
      </c>
      <c r="BE2272" s="5" t="s">
        <v>251</v>
      </c>
      <c r="BF2272" s="5" t="s">
        <v>252</v>
      </c>
      <c r="BG2272" s="5" t="s">
        <v>238</v>
      </c>
      <c r="BH2272" s="7">
        <f>0</f>
        <v>0</v>
      </c>
      <c r="BI2272" s="8">
        <f>0</f>
        <v>0</v>
      </c>
      <c r="BJ2272" s="5" t="s">
        <v>253</v>
      </c>
      <c r="BK2272" s="5" t="s">
        <v>254</v>
      </c>
      <c r="BY2272" s="5" t="s">
        <v>238</v>
      </c>
      <c r="BZ2272" s="5" t="s">
        <v>238</v>
      </c>
      <c r="CD2272" s="5" t="s">
        <v>273</v>
      </c>
      <c r="CE2272" s="5" t="s">
        <v>256</v>
      </c>
      <c r="CF2272" s="5" t="s">
        <v>238</v>
      </c>
      <c r="CI2272" s="6" t="s">
        <v>257</v>
      </c>
      <c r="CJ2272" s="5" t="s">
        <v>238</v>
      </c>
      <c r="CK2272" s="5" t="s">
        <v>258</v>
      </c>
      <c r="CL2272" s="5" t="s">
        <v>238</v>
      </c>
      <c r="CM2272" s="5" t="s">
        <v>238</v>
      </c>
      <c r="CN2272" s="5">
        <v>0</v>
      </c>
      <c r="CO2272" s="5" t="s">
        <v>259</v>
      </c>
      <c r="CP2272" s="5" t="s">
        <v>260</v>
      </c>
      <c r="CQ2272" s="5" t="s">
        <v>260</v>
      </c>
      <c r="CR2272" s="5" t="s">
        <v>261</v>
      </c>
      <c r="CU2272" s="8">
        <f>1</f>
        <v>1</v>
      </c>
      <c r="CV2272" s="8">
        <f>0</f>
        <v>0</v>
      </c>
      <c r="CX2272" s="8">
        <f>0</f>
        <v>0</v>
      </c>
      <c r="CY2272" s="8">
        <f>1</f>
        <v>1</v>
      </c>
      <c r="DA2272" s="5" t="s">
        <v>274</v>
      </c>
      <c r="DB2272" s="5" t="s">
        <v>238</v>
      </c>
      <c r="DD2272" s="5" t="s">
        <v>274</v>
      </c>
      <c r="DE2272" s="8">
        <f>92</f>
        <v>92</v>
      </c>
      <c r="DG2272" s="5" t="s">
        <v>238</v>
      </c>
      <c r="DH2272" s="5" t="s">
        <v>238</v>
      </c>
      <c r="DI2272" s="5" t="s">
        <v>238</v>
      </c>
      <c r="DJ2272" s="5" t="s">
        <v>238</v>
      </c>
      <c r="DN2272" s="5" t="s">
        <v>238</v>
      </c>
      <c r="DO2272" s="5" t="s">
        <v>238</v>
      </c>
      <c r="DP2272" s="5" t="s">
        <v>238</v>
      </c>
      <c r="DQ2272" s="5" t="s">
        <v>238</v>
      </c>
      <c r="DT2272" s="5" t="s">
        <v>275</v>
      </c>
      <c r="DU2272" s="5" t="s">
        <v>3072</v>
      </c>
      <c r="HM2272" s="5" t="s">
        <v>264</v>
      </c>
    </row>
    <row r="2273" spans="1:221" x14ac:dyDescent="0.4">
      <c r="A2273" s="5">
        <v>3977</v>
      </c>
      <c r="B2273" s="5">
        <v>1</v>
      </c>
      <c r="C2273" s="5">
        <v>1</v>
      </c>
      <c r="D2273" s="5" t="s">
        <v>269</v>
      </c>
      <c r="E2273" s="5" t="s">
        <v>271</v>
      </c>
      <c r="F2273" s="5" t="s">
        <v>248</v>
      </c>
      <c r="G2273" s="5" t="s">
        <v>266</v>
      </c>
      <c r="H2273" s="6" t="s">
        <v>5936</v>
      </c>
      <c r="I2273" s="7">
        <f>2099</f>
        <v>2099</v>
      </c>
      <c r="J2273" s="5" t="s">
        <v>262</v>
      </c>
      <c r="K2273" s="8">
        <f>1</f>
        <v>1</v>
      </c>
      <c r="L2273" s="6" t="s">
        <v>242</v>
      </c>
      <c r="M2273" s="5" t="s">
        <v>267</v>
      </c>
      <c r="N2273" s="5" t="s">
        <v>265</v>
      </c>
      <c r="O2273" s="5" t="s">
        <v>238</v>
      </c>
      <c r="P2273" s="5" t="s">
        <v>238</v>
      </c>
      <c r="Q2273" s="5" t="s">
        <v>268</v>
      </c>
      <c r="R2273" s="5" t="s">
        <v>270</v>
      </c>
      <c r="S2273" s="5" t="s">
        <v>238</v>
      </c>
      <c r="V2273" s="5" t="s">
        <v>238</v>
      </c>
      <c r="X2273" s="6" t="s">
        <v>238</v>
      </c>
      <c r="AA2273" s="6" t="s">
        <v>243</v>
      </c>
      <c r="AB2273" s="5" t="s">
        <v>238</v>
      </c>
      <c r="AC2273" s="5" t="s">
        <v>244</v>
      </c>
      <c r="AD2273" s="5" t="s">
        <v>245</v>
      </c>
      <c r="AT2273" s="5" t="s">
        <v>246</v>
      </c>
      <c r="AU2273" s="5" t="s">
        <v>238</v>
      </c>
      <c r="AV2273" s="5" t="s">
        <v>247</v>
      </c>
      <c r="AW2273" s="5" t="s">
        <v>238</v>
      </c>
      <c r="AX2273" s="5" t="s">
        <v>249</v>
      </c>
      <c r="AY2273" s="5" t="s">
        <v>238</v>
      </c>
      <c r="BA2273" s="5" t="s">
        <v>238</v>
      </c>
      <c r="BC2273" s="5" t="s">
        <v>250</v>
      </c>
      <c r="BD2273" s="6" t="s">
        <v>243</v>
      </c>
      <c r="BE2273" s="5" t="s">
        <v>251</v>
      </c>
      <c r="BF2273" s="5" t="s">
        <v>252</v>
      </c>
      <c r="BG2273" s="5" t="s">
        <v>238</v>
      </c>
      <c r="BH2273" s="7">
        <f>0</f>
        <v>0</v>
      </c>
      <c r="BI2273" s="8">
        <f>0</f>
        <v>0</v>
      </c>
      <c r="BJ2273" s="5" t="s">
        <v>253</v>
      </c>
      <c r="BK2273" s="5" t="s">
        <v>254</v>
      </c>
      <c r="BY2273" s="5" t="s">
        <v>238</v>
      </c>
      <c r="BZ2273" s="5" t="s">
        <v>238</v>
      </c>
      <c r="CD2273" s="5" t="s">
        <v>273</v>
      </c>
      <c r="CE2273" s="5" t="s">
        <v>256</v>
      </c>
      <c r="CF2273" s="5" t="s">
        <v>238</v>
      </c>
      <c r="CI2273" s="6" t="s">
        <v>257</v>
      </c>
      <c r="CJ2273" s="5" t="s">
        <v>238</v>
      </c>
      <c r="CK2273" s="5" t="s">
        <v>258</v>
      </c>
      <c r="CL2273" s="5" t="s">
        <v>238</v>
      </c>
      <c r="CM2273" s="5" t="s">
        <v>238</v>
      </c>
      <c r="CN2273" s="5">
        <v>0</v>
      </c>
      <c r="CO2273" s="5" t="s">
        <v>259</v>
      </c>
      <c r="CP2273" s="5" t="s">
        <v>260</v>
      </c>
      <c r="CQ2273" s="5" t="s">
        <v>260</v>
      </c>
      <c r="CR2273" s="5" t="s">
        <v>261</v>
      </c>
      <c r="CU2273" s="8">
        <f>1</f>
        <v>1</v>
      </c>
      <c r="CV2273" s="8">
        <f>0</f>
        <v>0</v>
      </c>
      <c r="CX2273" s="8">
        <f>0</f>
        <v>0</v>
      </c>
      <c r="CY2273" s="8">
        <f>1</f>
        <v>1</v>
      </c>
      <c r="DA2273" s="5" t="s">
        <v>274</v>
      </c>
      <c r="DB2273" s="5" t="s">
        <v>238</v>
      </c>
      <c r="DD2273" s="5" t="s">
        <v>274</v>
      </c>
      <c r="DE2273" s="8">
        <f>2099</f>
        <v>2099</v>
      </c>
      <c r="DG2273" s="5" t="s">
        <v>238</v>
      </c>
      <c r="DH2273" s="5" t="s">
        <v>238</v>
      </c>
      <c r="DI2273" s="5" t="s">
        <v>238</v>
      </c>
      <c r="DJ2273" s="5" t="s">
        <v>238</v>
      </c>
      <c r="DN2273" s="5" t="s">
        <v>238</v>
      </c>
      <c r="DO2273" s="5" t="s">
        <v>238</v>
      </c>
      <c r="DP2273" s="5" t="s">
        <v>238</v>
      </c>
      <c r="DQ2273" s="5" t="s">
        <v>238</v>
      </c>
      <c r="DT2273" s="5" t="s">
        <v>275</v>
      </c>
      <c r="DU2273" s="5" t="s">
        <v>3070</v>
      </c>
      <c r="HM2273" s="5" t="s">
        <v>264</v>
      </c>
    </row>
    <row r="2274" spans="1:221" x14ac:dyDescent="0.4">
      <c r="A2274" s="5">
        <v>3978</v>
      </c>
      <c r="B2274" s="5">
        <v>1</v>
      </c>
      <c r="C2274" s="5">
        <v>1</v>
      </c>
      <c r="D2274" s="5" t="s">
        <v>269</v>
      </c>
      <c r="E2274" s="5" t="s">
        <v>271</v>
      </c>
      <c r="F2274" s="5" t="s">
        <v>248</v>
      </c>
      <c r="G2274" s="5" t="s">
        <v>266</v>
      </c>
      <c r="H2274" s="6" t="s">
        <v>4142</v>
      </c>
      <c r="I2274" s="7">
        <f>1232</f>
        <v>1232</v>
      </c>
      <c r="J2274" s="5" t="s">
        <v>262</v>
      </c>
      <c r="K2274" s="8">
        <f>1</f>
        <v>1</v>
      </c>
      <c r="L2274" s="6" t="s">
        <v>242</v>
      </c>
      <c r="M2274" s="5" t="s">
        <v>267</v>
      </c>
      <c r="N2274" s="5" t="s">
        <v>265</v>
      </c>
      <c r="O2274" s="5" t="s">
        <v>238</v>
      </c>
      <c r="P2274" s="5" t="s">
        <v>238</v>
      </c>
      <c r="Q2274" s="5" t="s">
        <v>268</v>
      </c>
      <c r="R2274" s="5" t="s">
        <v>270</v>
      </c>
      <c r="S2274" s="5" t="s">
        <v>238</v>
      </c>
      <c r="V2274" s="5" t="s">
        <v>238</v>
      </c>
      <c r="X2274" s="6" t="s">
        <v>238</v>
      </c>
      <c r="AA2274" s="6" t="s">
        <v>243</v>
      </c>
      <c r="AB2274" s="5" t="s">
        <v>238</v>
      </c>
      <c r="AC2274" s="5" t="s">
        <v>244</v>
      </c>
      <c r="AD2274" s="5" t="s">
        <v>245</v>
      </c>
      <c r="AT2274" s="5" t="s">
        <v>246</v>
      </c>
      <c r="AU2274" s="5" t="s">
        <v>238</v>
      </c>
      <c r="AV2274" s="5" t="s">
        <v>247</v>
      </c>
      <c r="AW2274" s="5" t="s">
        <v>238</v>
      </c>
      <c r="AX2274" s="5" t="s">
        <v>249</v>
      </c>
      <c r="AY2274" s="5" t="s">
        <v>238</v>
      </c>
      <c r="BA2274" s="5" t="s">
        <v>238</v>
      </c>
      <c r="BC2274" s="5" t="s">
        <v>250</v>
      </c>
      <c r="BD2274" s="6" t="s">
        <v>243</v>
      </c>
      <c r="BE2274" s="5" t="s">
        <v>251</v>
      </c>
      <c r="BF2274" s="5" t="s">
        <v>252</v>
      </c>
      <c r="BG2274" s="5" t="s">
        <v>238</v>
      </c>
      <c r="BH2274" s="7">
        <f>0</f>
        <v>0</v>
      </c>
      <c r="BI2274" s="8">
        <f>0</f>
        <v>0</v>
      </c>
      <c r="BJ2274" s="5" t="s">
        <v>253</v>
      </c>
      <c r="BK2274" s="5" t="s">
        <v>254</v>
      </c>
      <c r="BY2274" s="5" t="s">
        <v>238</v>
      </c>
      <c r="BZ2274" s="5" t="s">
        <v>238</v>
      </c>
      <c r="CD2274" s="5" t="s">
        <v>273</v>
      </c>
      <c r="CE2274" s="5" t="s">
        <v>256</v>
      </c>
      <c r="CF2274" s="5" t="s">
        <v>238</v>
      </c>
      <c r="CI2274" s="6" t="s">
        <v>257</v>
      </c>
      <c r="CJ2274" s="5" t="s">
        <v>238</v>
      </c>
      <c r="CK2274" s="5" t="s">
        <v>258</v>
      </c>
      <c r="CL2274" s="5" t="s">
        <v>238</v>
      </c>
      <c r="CM2274" s="5" t="s">
        <v>238</v>
      </c>
      <c r="CN2274" s="5">
        <v>0</v>
      </c>
      <c r="CO2274" s="5" t="s">
        <v>259</v>
      </c>
      <c r="CP2274" s="5" t="s">
        <v>260</v>
      </c>
      <c r="CQ2274" s="5" t="s">
        <v>260</v>
      </c>
      <c r="CR2274" s="5" t="s">
        <v>261</v>
      </c>
      <c r="CU2274" s="8">
        <f>1</f>
        <v>1</v>
      </c>
      <c r="CV2274" s="8">
        <f>0</f>
        <v>0</v>
      </c>
      <c r="CX2274" s="8">
        <f>0</f>
        <v>0</v>
      </c>
      <c r="CY2274" s="8">
        <f>1</f>
        <v>1</v>
      </c>
      <c r="DA2274" s="5" t="s">
        <v>274</v>
      </c>
      <c r="DB2274" s="5" t="s">
        <v>238</v>
      </c>
      <c r="DD2274" s="5" t="s">
        <v>274</v>
      </c>
      <c r="DE2274" s="8">
        <f>1232</f>
        <v>1232</v>
      </c>
      <c r="DG2274" s="5" t="s">
        <v>238</v>
      </c>
      <c r="DH2274" s="5" t="s">
        <v>238</v>
      </c>
      <c r="DI2274" s="5" t="s">
        <v>238</v>
      </c>
      <c r="DJ2274" s="5" t="s">
        <v>238</v>
      </c>
      <c r="DN2274" s="5" t="s">
        <v>238</v>
      </c>
      <c r="DO2274" s="5" t="s">
        <v>238</v>
      </c>
      <c r="DP2274" s="5" t="s">
        <v>238</v>
      </c>
      <c r="DQ2274" s="5" t="s">
        <v>238</v>
      </c>
      <c r="DT2274" s="5" t="s">
        <v>275</v>
      </c>
      <c r="DU2274" s="5" t="s">
        <v>3068</v>
      </c>
      <c r="HM2274" s="5" t="s">
        <v>264</v>
      </c>
    </row>
    <row r="2275" spans="1:221" x14ac:dyDescent="0.4">
      <c r="A2275" s="5">
        <v>3979</v>
      </c>
      <c r="B2275" s="5">
        <v>1</v>
      </c>
      <c r="C2275" s="5">
        <v>1</v>
      </c>
      <c r="D2275" s="5" t="s">
        <v>269</v>
      </c>
      <c r="E2275" s="5" t="s">
        <v>271</v>
      </c>
      <c r="F2275" s="5" t="s">
        <v>248</v>
      </c>
      <c r="G2275" s="5" t="s">
        <v>266</v>
      </c>
      <c r="H2275" s="6" t="s">
        <v>4239</v>
      </c>
      <c r="I2275" s="7">
        <f>866</f>
        <v>866</v>
      </c>
      <c r="J2275" s="5" t="s">
        <v>262</v>
      </c>
      <c r="K2275" s="8">
        <f>1</f>
        <v>1</v>
      </c>
      <c r="L2275" s="6" t="s">
        <v>242</v>
      </c>
      <c r="M2275" s="5" t="s">
        <v>267</v>
      </c>
      <c r="N2275" s="5" t="s">
        <v>265</v>
      </c>
      <c r="O2275" s="5" t="s">
        <v>238</v>
      </c>
      <c r="P2275" s="5" t="s">
        <v>238</v>
      </c>
      <c r="Q2275" s="5" t="s">
        <v>268</v>
      </c>
      <c r="R2275" s="5" t="s">
        <v>270</v>
      </c>
      <c r="S2275" s="5" t="s">
        <v>238</v>
      </c>
      <c r="V2275" s="5" t="s">
        <v>238</v>
      </c>
      <c r="X2275" s="6" t="s">
        <v>238</v>
      </c>
      <c r="AA2275" s="6" t="s">
        <v>243</v>
      </c>
      <c r="AB2275" s="5" t="s">
        <v>238</v>
      </c>
      <c r="AC2275" s="5" t="s">
        <v>244</v>
      </c>
      <c r="AD2275" s="5" t="s">
        <v>245</v>
      </c>
      <c r="AT2275" s="5" t="s">
        <v>246</v>
      </c>
      <c r="AU2275" s="5" t="s">
        <v>238</v>
      </c>
      <c r="AV2275" s="5" t="s">
        <v>247</v>
      </c>
      <c r="AW2275" s="5" t="s">
        <v>238</v>
      </c>
      <c r="AX2275" s="5" t="s">
        <v>249</v>
      </c>
      <c r="AY2275" s="5" t="s">
        <v>238</v>
      </c>
      <c r="BA2275" s="5" t="s">
        <v>238</v>
      </c>
      <c r="BC2275" s="5" t="s">
        <v>250</v>
      </c>
      <c r="BD2275" s="6" t="s">
        <v>243</v>
      </c>
      <c r="BE2275" s="5" t="s">
        <v>251</v>
      </c>
      <c r="BF2275" s="5" t="s">
        <v>252</v>
      </c>
      <c r="BG2275" s="5" t="s">
        <v>238</v>
      </c>
      <c r="BH2275" s="7">
        <f>0</f>
        <v>0</v>
      </c>
      <c r="BI2275" s="8">
        <f>0</f>
        <v>0</v>
      </c>
      <c r="BJ2275" s="5" t="s">
        <v>253</v>
      </c>
      <c r="BK2275" s="5" t="s">
        <v>254</v>
      </c>
      <c r="BY2275" s="5" t="s">
        <v>238</v>
      </c>
      <c r="BZ2275" s="5" t="s">
        <v>238</v>
      </c>
      <c r="CD2275" s="5" t="s">
        <v>273</v>
      </c>
      <c r="CE2275" s="5" t="s">
        <v>256</v>
      </c>
      <c r="CF2275" s="5" t="s">
        <v>238</v>
      </c>
      <c r="CI2275" s="6" t="s">
        <v>257</v>
      </c>
      <c r="CJ2275" s="5" t="s">
        <v>238</v>
      </c>
      <c r="CK2275" s="5" t="s">
        <v>258</v>
      </c>
      <c r="CL2275" s="5" t="s">
        <v>238</v>
      </c>
      <c r="CM2275" s="5" t="s">
        <v>238</v>
      </c>
      <c r="CN2275" s="5">
        <v>0</v>
      </c>
      <c r="CO2275" s="5" t="s">
        <v>259</v>
      </c>
      <c r="CP2275" s="5" t="s">
        <v>260</v>
      </c>
      <c r="CQ2275" s="5" t="s">
        <v>260</v>
      </c>
      <c r="CR2275" s="5" t="s">
        <v>261</v>
      </c>
      <c r="CU2275" s="8">
        <f>1</f>
        <v>1</v>
      </c>
      <c r="CV2275" s="8">
        <f>0</f>
        <v>0</v>
      </c>
      <c r="CX2275" s="8">
        <f>0</f>
        <v>0</v>
      </c>
      <c r="CY2275" s="8">
        <f>1</f>
        <v>1</v>
      </c>
      <c r="DA2275" s="5" t="s">
        <v>274</v>
      </c>
      <c r="DB2275" s="5" t="s">
        <v>238</v>
      </c>
      <c r="DD2275" s="5" t="s">
        <v>274</v>
      </c>
      <c r="DE2275" s="8">
        <f>866</f>
        <v>866</v>
      </c>
      <c r="DG2275" s="5" t="s">
        <v>238</v>
      </c>
      <c r="DH2275" s="5" t="s">
        <v>238</v>
      </c>
      <c r="DI2275" s="5" t="s">
        <v>238</v>
      </c>
      <c r="DJ2275" s="5" t="s">
        <v>238</v>
      </c>
      <c r="DN2275" s="5" t="s">
        <v>238</v>
      </c>
      <c r="DO2275" s="5" t="s">
        <v>238</v>
      </c>
      <c r="DP2275" s="5" t="s">
        <v>238</v>
      </c>
      <c r="DQ2275" s="5" t="s">
        <v>238</v>
      </c>
      <c r="DT2275" s="5" t="s">
        <v>275</v>
      </c>
      <c r="DU2275" s="5" t="s">
        <v>3066</v>
      </c>
      <c r="HM2275" s="5" t="s">
        <v>264</v>
      </c>
    </row>
    <row r="2276" spans="1:221" x14ac:dyDescent="0.4">
      <c r="A2276" s="5">
        <v>3980</v>
      </c>
      <c r="B2276" s="5">
        <v>1</v>
      </c>
      <c r="C2276" s="5">
        <v>1</v>
      </c>
      <c r="D2276" s="5" t="s">
        <v>269</v>
      </c>
      <c r="E2276" s="5" t="s">
        <v>271</v>
      </c>
      <c r="F2276" s="5" t="s">
        <v>248</v>
      </c>
      <c r="G2276" s="5" t="s">
        <v>266</v>
      </c>
      <c r="H2276" s="6" t="s">
        <v>4278</v>
      </c>
      <c r="I2276" s="7">
        <f>2279</f>
        <v>2279</v>
      </c>
      <c r="J2276" s="5" t="s">
        <v>262</v>
      </c>
      <c r="K2276" s="8">
        <f>1</f>
        <v>1</v>
      </c>
      <c r="L2276" s="6" t="s">
        <v>242</v>
      </c>
      <c r="M2276" s="5" t="s">
        <v>267</v>
      </c>
      <c r="N2276" s="5" t="s">
        <v>265</v>
      </c>
      <c r="O2276" s="5" t="s">
        <v>238</v>
      </c>
      <c r="P2276" s="5" t="s">
        <v>238</v>
      </c>
      <c r="Q2276" s="5" t="s">
        <v>268</v>
      </c>
      <c r="R2276" s="5" t="s">
        <v>270</v>
      </c>
      <c r="S2276" s="5" t="s">
        <v>238</v>
      </c>
      <c r="V2276" s="5" t="s">
        <v>238</v>
      </c>
      <c r="X2276" s="6" t="s">
        <v>238</v>
      </c>
      <c r="AA2276" s="6" t="s">
        <v>243</v>
      </c>
      <c r="AB2276" s="5" t="s">
        <v>238</v>
      </c>
      <c r="AC2276" s="5" t="s">
        <v>244</v>
      </c>
      <c r="AD2276" s="5" t="s">
        <v>245</v>
      </c>
      <c r="AT2276" s="5" t="s">
        <v>246</v>
      </c>
      <c r="AU2276" s="5" t="s">
        <v>238</v>
      </c>
      <c r="AV2276" s="5" t="s">
        <v>247</v>
      </c>
      <c r="AW2276" s="5" t="s">
        <v>238</v>
      </c>
      <c r="AX2276" s="5" t="s">
        <v>249</v>
      </c>
      <c r="AY2276" s="5" t="s">
        <v>238</v>
      </c>
      <c r="BA2276" s="5" t="s">
        <v>238</v>
      </c>
      <c r="BC2276" s="5" t="s">
        <v>250</v>
      </c>
      <c r="BD2276" s="6" t="s">
        <v>243</v>
      </c>
      <c r="BE2276" s="5" t="s">
        <v>251</v>
      </c>
      <c r="BF2276" s="5" t="s">
        <v>252</v>
      </c>
      <c r="BG2276" s="5" t="s">
        <v>238</v>
      </c>
      <c r="BH2276" s="7">
        <f>0</f>
        <v>0</v>
      </c>
      <c r="BI2276" s="8">
        <f>0</f>
        <v>0</v>
      </c>
      <c r="BJ2276" s="5" t="s">
        <v>253</v>
      </c>
      <c r="BK2276" s="5" t="s">
        <v>254</v>
      </c>
      <c r="BY2276" s="5" t="s">
        <v>238</v>
      </c>
      <c r="BZ2276" s="5" t="s">
        <v>238</v>
      </c>
      <c r="CD2276" s="5" t="s">
        <v>273</v>
      </c>
      <c r="CE2276" s="5" t="s">
        <v>256</v>
      </c>
      <c r="CF2276" s="5" t="s">
        <v>238</v>
      </c>
      <c r="CI2276" s="6" t="s">
        <v>257</v>
      </c>
      <c r="CJ2276" s="5" t="s">
        <v>238</v>
      </c>
      <c r="CK2276" s="5" t="s">
        <v>258</v>
      </c>
      <c r="CL2276" s="5" t="s">
        <v>238</v>
      </c>
      <c r="CM2276" s="5" t="s">
        <v>238</v>
      </c>
      <c r="CN2276" s="5">
        <v>0</v>
      </c>
      <c r="CO2276" s="5" t="s">
        <v>259</v>
      </c>
      <c r="CP2276" s="5" t="s">
        <v>260</v>
      </c>
      <c r="CQ2276" s="5" t="s">
        <v>260</v>
      </c>
      <c r="CR2276" s="5" t="s">
        <v>261</v>
      </c>
      <c r="CU2276" s="8">
        <f>1</f>
        <v>1</v>
      </c>
      <c r="CV2276" s="8">
        <f>0</f>
        <v>0</v>
      </c>
      <c r="CX2276" s="8">
        <f>0</f>
        <v>0</v>
      </c>
      <c r="CY2276" s="8">
        <f>1</f>
        <v>1</v>
      </c>
      <c r="DA2276" s="5" t="s">
        <v>274</v>
      </c>
      <c r="DB2276" s="5" t="s">
        <v>238</v>
      </c>
      <c r="DD2276" s="5" t="s">
        <v>274</v>
      </c>
      <c r="DE2276" s="8">
        <f>2279</f>
        <v>2279</v>
      </c>
      <c r="DG2276" s="5" t="s">
        <v>238</v>
      </c>
      <c r="DH2276" s="5" t="s">
        <v>238</v>
      </c>
      <c r="DI2276" s="5" t="s">
        <v>238</v>
      </c>
      <c r="DJ2276" s="5" t="s">
        <v>238</v>
      </c>
      <c r="DN2276" s="5" t="s">
        <v>238</v>
      </c>
      <c r="DO2276" s="5" t="s">
        <v>238</v>
      </c>
      <c r="DP2276" s="5" t="s">
        <v>238</v>
      </c>
      <c r="DQ2276" s="5" t="s">
        <v>238</v>
      </c>
      <c r="DT2276" s="5" t="s">
        <v>275</v>
      </c>
      <c r="DU2276" s="5" t="s">
        <v>3064</v>
      </c>
      <c r="HM2276" s="5" t="s">
        <v>264</v>
      </c>
    </row>
    <row r="2277" spans="1:221" x14ac:dyDescent="0.4">
      <c r="A2277" s="5">
        <v>3981</v>
      </c>
      <c r="B2277" s="5">
        <v>1</v>
      </c>
      <c r="C2277" s="5">
        <v>1</v>
      </c>
      <c r="D2277" s="5" t="s">
        <v>269</v>
      </c>
      <c r="E2277" s="5" t="s">
        <v>271</v>
      </c>
      <c r="F2277" s="5" t="s">
        <v>248</v>
      </c>
      <c r="G2277" s="5" t="s">
        <v>266</v>
      </c>
      <c r="H2277" s="6" t="s">
        <v>4305</v>
      </c>
      <c r="I2277" s="7">
        <f>1333</f>
        <v>1333</v>
      </c>
      <c r="J2277" s="5" t="s">
        <v>262</v>
      </c>
      <c r="K2277" s="8">
        <f>1</f>
        <v>1</v>
      </c>
      <c r="L2277" s="6" t="s">
        <v>242</v>
      </c>
      <c r="M2277" s="5" t="s">
        <v>267</v>
      </c>
      <c r="N2277" s="5" t="s">
        <v>265</v>
      </c>
      <c r="O2277" s="5" t="s">
        <v>238</v>
      </c>
      <c r="P2277" s="5" t="s">
        <v>238</v>
      </c>
      <c r="Q2277" s="5" t="s">
        <v>268</v>
      </c>
      <c r="R2277" s="5" t="s">
        <v>270</v>
      </c>
      <c r="S2277" s="5" t="s">
        <v>238</v>
      </c>
      <c r="V2277" s="5" t="s">
        <v>238</v>
      </c>
      <c r="X2277" s="6" t="s">
        <v>238</v>
      </c>
      <c r="AA2277" s="6" t="s">
        <v>243</v>
      </c>
      <c r="AB2277" s="5" t="s">
        <v>238</v>
      </c>
      <c r="AC2277" s="5" t="s">
        <v>244</v>
      </c>
      <c r="AD2277" s="5" t="s">
        <v>245</v>
      </c>
      <c r="AT2277" s="5" t="s">
        <v>246</v>
      </c>
      <c r="AU2277" s="5" t="s">
        <v>238</v>
      </c>
      <c r="AV2277" s="5" t="s">
        <v>247</v>
      </c>
      <c r="AW2277" s="5" t="s">
        <v>238</v>
      </c>
      <c r="AX2277" s="5" t="s">
        <v>249</v>
      </c>
      <c r="AY2277" s="5" t="s">
        <v>238</v>
      </c>
      <c r="BA2277" s="5" t="s">
        <v>238</v>
      </c>
      <c r="BC2277" s="5" t="s">
        <v>250</v>
      </c>
      <c r="BD2277" s="6" t="s">
        <v>243</v>
      </c>
      <c r="BE2277" s="5" t="s">
        <v>251</v>
      </c>
      <c r="BF2277" s="5" t="s">
        <v>252</v>
      </c>
      <c r="BG2277" s="5" t="s">
        <v>238</v>
      </c>
      <c r="BH2277" s="7">
        <f>0</f>
        <v>0</v>
      </c>
      <c r="BI2277" s="8">
        <f>0</f>
        <v>0</v>
      </c>
      <c r="BJ2277" s="5" t="s">
        <v>253</v>
      </c>
      <c r="BK2277" s="5" t="s">
        <v>254</v>
      </c>
      <c r="BY2277" s="5" t="s">
        <v>238</v>
      </c>
      <c r="BZ2277" s="5" t="s">
        <v>238</v>
      </c>
      <c r="CD2277" s="5" t="s">
        <v>273</v>
      </c>
      <c r="CE2277" s="5" t="s">
        <v>256</v>
      </c>
      <c r="CF2277" s="5" t="s">
        <v>238</v>
      </c>
      <c r="CI2277" s="6" t="s">
        <v>257</v>
      </c>
      <c r="CJ2277" s="5" t="s">
        <v>238</v>
      </c>
      <c r="CK2277" s="5" t="s">
        <v>258</v>
      </c>
      <c r="CL2277" s="5" t="s">
        <v>238</v>
      </c>
      <c r="CM2277" s="5" t="s">
        <v>238</v>
      </c>
      <c r="CN2277" s="5">
        <v>0</v>
      </c>
      <c r="CO2277" s="5" t="s">
        <v>259</v>
      </c>
      <c r="CP2277" s="5" t="s">
        <v>260</v>
      </c>
      <c r="CQ2277" s="5" t="s">
        <v>260</v>
      </c>
      <c r="CR2277" s="5" t="s">
        <v>261</v>
      </c>
      <c r="CU2277" s="8">
        <f>1</f>
        <v>1</v>
      </c>
      <c r="CV2277" s="8">
        <f>0</f>
        <v>0</v>
      </c>
      <c r="CX2277" s="8">
        <f>0</f>
        <v>0</v>
      </c>
      <c r="CY2277" s="8">
        <f>1</f>
        <v>1</v>
      </c>
      <c r="DA2277" s="5" t="s">
        <v>274</v>
      </c>
      <c r="DB2277" s="5" t="s">
        <v>238</v>
      </c>
      <c r="DD2277" s="5" t="s">
        <v>274</v>
      </c>
      <c r="DE2277" s="8">
        <f>1333</f>
        <v>1333</v>
      </c>
      <c r="DG2277" s="5" t="s">
        <v>238</v>
      </c>
      <c r="DH2277" s="5" t="s">
        <v>238</v>
      </c>
      <c r="DI2277" s="5" t="s">
        <v>238</v>
      </c>
      <c r="DJ2277" s="5" t="s">
        <v>238</v>
      </c>
      <c r="DN2277" s="5" t="s">
        <v>238</v>
      </c>
      <c r="DO2277" s="5" t="s">
        <v>238</v>
      </c>
      <c r="DP2277" s="5" t="s">
        <v>238</v>
      </c>
      <c r="DQ2277" s="5" t="s">
        <v>238</v>
      </c>
      <c r="DT2277" s="5" t="s">
        <v>275</v>
      </c>
      <c r="DU2277" s="5" t="s">
        <v>3062</v>
      </c>
      <c r="HM2277" s="5" t="s">
        <v>264</v>
      </c>
    </row>
    <row r="2278" spans="1:221" x14ac:dyDescent="0.4">
      <c r="A2278" s="5">
        <v>3982</v>
      </c>
      <c r="B2278" s="5">
        <v>1</v>
      </c>
      <c r="C2278" s="5">
        <v>1</v>
      </c>
      <c r="D2278" s="5" t="s">
        <v>269</v>
      </c>
      <c r="E2278" s="5" t="s">
        <v>271</v>
      </c>
      <c r="F2278" s="5" t="s">
        <v>248</v>
      </c>
      <c r="G2278" s="5" t="s">
        <v>266</v>
      </c>
      <c r="H2278" s="6" t="s">
        <v>5819</v>
      </c>
      <c r="I2278" s="7">
        <f>567</f>
        <v>567</v>
      </c>
      <c r="J2278" s="5" t="s">
        <v>262</v>
      </c>
      <c r="K2278" s="8">
        <f>1</f>
        <v>1</v>
      </c>
      <c r="L2278" s="6" t="s">
        <v>242</v>
      </c>
      <c r="M2278" s="5" t="s">
        <v>267</v>
      </c>
      <c r="N2278" s="5" t="s">
        <v>265</v>
      </c>
      <c r="O2278" s="5" t="s">
        <v>238</v>
      </c>
      <c r="P2278" s="5" t="s">
        <v>238</v>
      </c>
      <c r="Q2278" s="5" t="s">
        <v>268</v>
      </c>
      <c r="R2278" s="5" t="s">
        <v>270</v>
      </c>
      <c r="S2278" s="5" t="s">
        <v>238</v>
      </c>
      <c r="V2278" s="5" t="s">
        <v>238</v>
      </c>
      <c r="X2278" s="6" t="s">
        <v>238</v>
      </c>
      <c r="AA2278" s="6" t="s">
        <v>243</v>
      </c>
      <c r="AB2278" s="5" t="s">
        <v>238</v>
      </c>
      <c r="AC2278" s="5" t="s">
        <v>244</v>
      </c>
      <c r="AD2278" s="5" t="s">
        <v>245</v>
      </c>
      <c r="AT2278" s="5" t="s">
        <v>246</v>
      </c>
      <c r="AU2278" s="5" t="s">
        <v>238</v>
      </c>
      <c r="AV2278" s="5" t="s">
        <v>247</v>
      </c>
      <c r="AW2278" s="5" t="s">
        <v>238</v>
      </c>
      <c r="AX2278" s="5" t="s">
        <v>249</v>
      </c>
      <c r="AY2278" s="5" t="s">
        <v>238</v>
      </c>
      <c r="BA2278" s="5" t="s">
        <v>238</v>
      </c>
      <c r="BC2278" s="5" t="s">
        <v>250</v>
      </c>
      <c r="BD2278" s="6" t="s">
        <v>243</v>
      </c>
      <c r="BE2278" s="5" t="s">
        <v>251</v>
      </c>
      <c r="BF2278" s="5" t="s">
        <v>252</v>
      </c>
      <c r="BG2278" s="5" t="s">
        <v>238</v>
      </c>
      <c r="BH2278" s="7">
        <f>0</f>
        <v>0</v>
      </c>
      <c r="BI2278" s="8">
        <f>0</f>
        <v>0</v>
      </c>
      <c r="BJ2278" s="5" t="s">
        <v>253</v>
      </c>
      <c r="BK2278" s="5" t="s">
        <v>254</v>
      </c>
      <c r="BY2278" s="5" t="s">
        <v>238</v>
      </c>
      <c r="BZ2278" s="5" t="s">
        <v>238</v>
      </c>
      <c r="CD2278" s="5" t="s">
        <v>273</v>
      </c>
      <c r="CE2278" s="5" t="s">
        <v>256</v>
      </c>
      <c r="CF2278" s="5" t="s">
        <v>238</v>
      </c>
      <c r="CI2278" s="6" t="s">
        <v>257</v>
      </c>
      <c r="CJ2278" s="5" t="s">
        <v>238</v>
      </c>
      <c r="CK2278" s="5" t="s">
        <v>258</v>
      </c>
      <c r="CL2278" s="5" t="s">
        <v>238</v>
      </c>
      <c r="CM2278" s="5" t="s">
        <v>238</v>
      </c>
      <c r="CN2278" s="5">
        <v>0</v>
      </c>
      <c r="CO2278" s="5" t="s">
        <v>259</v>
      </c>
      <c r="CP2278" s="5" t="s">
        <v>260</v>
      </c>
      <c r="CQ2278" s="5" t="s">
        <v>260</v>
      </c>
      <c r="CR2278" s="5" t="s">
        <v>261</v>
      </c>
      <c r="CU2278" s="8">
        <f>1</f>
        <v>1</v>
      </c>
      <c r="CV2278" s="8">
        <f>0</f>
        <v>0</v>
      </c>
      <c r="CX2278" s="8">
        <f>0</f>
        <v>0</v>
      </c>
      <c r="CY2278" s="8">
        <f>1</f>
        <v>1</v>
      </c>
      <c r="DA2278" s="5" t="s">
        <v>274</v>
      </c>
      <c r="DB2278" s="5" t="s">
        <v>238</v>
      </c>
      <c r="DD2278" s="5" t="s">
        <v>274</v>
      </c>
      <c r="DE2278" s="8">
        <f>567</f>
        <v>567</v>
      </c>
      <c r="DG2278" s="5" t="s">
        <v>238</v>
      </c>
      <c r="DH2278" s="5" t="s">
        <v>238</v>
      </c>
      <c r="DI2278" s="5" t="s">
        <v>238</v>
      </c>
      <c r="DJ2278" s="5" t="s">
        <v>238</v>
      </c>
      <c r="DN2278" s="5" t="s">
        <v>238</v>
      </c>
      <c r="DO2278" s="5" t="s">
        <v>238</v>
      </c>
      <c r="DP2278" s="5" t="s">
        <v>238</v>
      </c>
      <c r="DQ2278" s="5" t="s">
        <v>238</v>
      </c>
      <c r="DT2278" s="5" t="s">
        <v>275</v>
      </c>
      <c r="DU2278" s="5" t="s">
        <v>3060</v>
      </c>
      <c r="HM2278" s="5" t="s">
        <v>264</v>
      </c>
    </row>
    <row r="2279" spans="1:221" x14ac:dyDescent="0.4">
      <c r="A2279" s="5">
        <v>3983</v>
      </c>
      <c r="B2279" s="5">
        <v>1</v>
      </c>
      <c r="C2279" s="5">
        <v>1</v>
      </c>
      <c r="D2279" s="5" t="s">
        <v>269</v>
      </c>
      <c r="E2279" s="5" t="s">
        <v>271</v>
      </c>
      <c r="F2279" s="5" t="s">
        <v>248</v>
      </c>
      <c r="G2279" s="5" t="s">
        <v>266</v>
      </c>
      <c r="H2279" s="6" t="s">
        <v>4159</v>
      </c>
      <c r="I2279" s="7">
        <f>152</f>
        <v>152</v>
      </c>
      <c r="J2279" s="5" t="s">
        <v>262</v>
      </c>
      <c r="K2279" s="8">
        <f>1</f>
        <v>1</v>
      </c>
      <c r="L2279" s="6" t="s">
        <v>242</v>
      </c>
      <c r="M2279" s="5" t="s">
        <v>267</v>
      </c>
      <c r="N2279" s="5" t="s">
        <v>265</v>
      </c>
      <c r="O2279" s="5" t="s">
        <v>238</v>
      </c>
      <c r="P2279" s="5" t="s">
        <v>238</v>
      </c>
      <c r="Q2279" s="5" t="s">
        <v>268</v>
      </c>
      <c r="R2279" s="5" t="s">
        <v>270</v>
      </c>
      <c r="S2279" s="5" t="s">
        <v>238</v>
      </c>
      <c r="V2279" s="5" t="s">
        <v>238</v>
      </c>
      <c r="X2279" s="6" t="s">
        <v>238</v>
      </c>
      <c r="AA2279" s="6" t="s">
        <v>243</v>
      </c>
      <c r="AB2279" s="5" t="s">
        <v>238</v>
      </c>
      <c r="AC2279" s="5" t="s">
        <v>244</v>
      </c>
      <c r="AD2279" s="5" t="s">
        <v>245</v>
      </c>
      <c r="AT2279" s="5" t="s">
        <v>246</v>
      </c>
      <c r="AU2279" s="5" t="s">
        <v>238</v>
      </c>
      <c r="AV2279" s="5" t="s">
        <v>247</v>
      </c>
      <c r="AW2279" s="5" t="s">
        <v>238</v>
      </c>
      <c r="AX2279" s="5" t="s">
        <v>249</v>
      </c>
      <c r="AY2279" s="5" t="s">
        <v>238</v>
      </c>
      <c r="BA2279" s="5" t="s">
        <v>238</v>
      </c>
      <c r="BC2279" s="5" t="s">
        <v>250</v>
      </c>
      <c r="BD2279" s="6" t="s">
        <v>243</v>
      </c>
      <c r="BE2279" s="5" t="s">
        <v>251</v>
      </c>
      <c r="BF2279" s="5" t="s">
        <v>252</v>
      </c>
      <c r="BG2279" s="5" t="s">
        <v>238</v>
      </c>
      <c r="BH2279" s="7">
        <f>0</f>
        <v>0</v>
      </c>
      <c r="BI2279" s="8">
        <f>0</f>
        <v>0</v>
      </c>
      <c r="BJ2279" s="5" t="s">
        <v>253</v>
      </c>
      <c r="BK2279" s="5" t="s">
        <v>254</v>
      </c>
      <c r="BY2279" s="5" t="s">
        <v>238</v>
      </c>
      <c r="BZ2279" s="5" t="s">
        <v>238</v>
      </c>
      <c r="CD2279" s="5" t="s">
        <v>273</v>
      </c>
      <c r="CE2279" s="5" t="s">
        <v>256</v>
      </c>
      <c r="CF2279" s="5" t="s">
        <v>238</v>
      </c>
      <c r="CI2279" s="6" t="s">
        <v>257</v>
      </c>
      <c r="CJ2279" s="5" t="s">
        <v>238</v>
      </c>
      <c r="CK2279" s="5" t="s">
        <v>258</v>
      </c>
      <c r="CL2279" s="5" t="s">
        <v>238</v>
      </c>
      <c r="CM2279" s="5" t="s">
        <v>238</v>
      </c>
      <c r="CN2279" s="5">
        <v>0</v>
      </c>
      <c r="CO2279" s="5" t="s">
        <v>259</v>
      </c>
      <c r="CP2279" s="5" t="s">
        <v>260</v>
      </c>
      <c r="CQ2279" s="5" t="s">
        <v>260</v>
      </c>
      <c r="CR2279" s="5" t="s">
        <v>261</v>
      </c>
      <c r="CU2279" s="8">
        <f>1</f>
        <v>1</v>
      </c>
      <c r="CV2279" s="8">
        <f>0</f>
        <v>0</v>
      </c>
      <c r="CX2279" s="8">
        <f>0</f>
        <v>0</v>
      </c>
      <c r="CY2279" s="8">
        <f>1</f>
        <v>1</v>
      </c>
      <c r="DA2279" s="5" t="s">
        <v>274</v>
      </c>
      <c r="DB2279" s="5" t="s">
        <v>238</v>
      </c>
      <c r="DD2279" s="5" t="s">
        <v>274</v>
      </c>
      <c r="DE2279" s="8">
        <f>152</f>
        <v>152</v>
      </c>
      <c r="DG2279" s="5" t="s">
        <v>238</v>
      </c>
      <c r="DH2279" s="5" t="s">
        <v>238</v>
      </c>
      <c r="DI2279" s="5" t="s">
        <v>238</v>
      </c>
      <c r="DJ2279" s="5" t="s">
        <v>238</v>
      </c>
      <c r="DN2279" s="5" t="s">
        <v>238</v>
      </c>
      <c r="DO2279" s="5" t="s">
        <v>238</v>
      </c>
      <c r="DP2279" s="5" t="s">
        <v>238</v>
      </c>
      <c r="DQ2279" s="5" t="s">
        <v>238</v>
      </c>
      <c r="DT2279" s="5" t="s">
        <v>275</v>
      </c>
      <c r="DU2279" s="5" t="s">
        <v>3058</v>
      </c>
      <c r="HM2279" s="5" t="s">
        <v>264</v>
      </c>
    </row>
    <row r="2280" spans="1:221" x14ac:dyDescent="0.4">
      <c r="A2280" s="5">
        <v>3984</v>
      </c>
      <c r="B2280" s="5">
        <v>1</v>
      </c>
      <c r="C2280" s="5">
        <v>1</v>
      </c>
      <c r="D2280" s="5" t="s">
        <v>269</v>
      </c>
      <c r="E2280" s="5" t="s">
        <v>271</v>
      </c>
      <c r="F2280" s="5" t="s">
        <v>248</v>
      </c>
      <c r="G2280" s="5" t="s">
        <v>266</v>
      </c>
      <c r="H2280" s="6" t="s">
        <v>4200</v>
      </c>
      <c r="I2280" s="7">
        <f>156</f>
        <v>156</v>
      </c>
      <c r="J2280" s="5" t="s">
        <v>262</v>
      </c>
      <c r="K2280" s="8">
        <f>1</f>
        <v>1</v>
      </c>
      <c r="L2280" s="6" t="s">
        <v>242</v>
      </c>
      <c r="M2280" s="5" t="s">
        <v>267</v>
      </c>
      <c r="N2280" s="5" t="s">
        <v>265</v>
      </c>
      <c r="O2280" s="5" t="s">
        <v>238</v>
      </c>
      <c r="P2280" s="5" t="s">
        <v>238</v>
      </c>
      <c r="Q2280" s="5" t="s">
        <v>268</v>
      </c>
      <c r="R2280" s="5" t="s">
        <v>270</v>
      </c>
      <c r="S2280" s="5" t="s">
        <v>238</v>
      </c>
      <c r="V2280" s="5" t="s">
        <v>238</v>
      </c>
      <c r="X2280" s="6" t="s">
        <v>238</v>
      </c>
      <c r="AA2280" s="6" t="s">
        <v>243</v>
      </c>
      <c r="AB2280" s="5" t="s">
        <v>238</v>
      </c>
      <c r="AC2280" s="5" t="s">
        <v>244</v>
      </c>
      <c r="AD2280" s="5" t="s">
        <v>245</v>
      </c>
      <c r="AT2280" s="5" t="s">
        <v>246</v>
      </c>
      <c r="AU2280" s="5" t="s">
        <v>238</v>
      </c>
      <c r="AV2280" s="5" t="s">
        <v>247</v>
      </c>
      <c r="AW2280" s="5" t="s">
        <v>238</v>
      </c>
      <c r="AX2280" s="5" t="s">
        <v>249</v>
      </c>
      <c r="AY2280" s="5" t="s">
        <v>238</v>
      </c>
      <c r="BA2280" s="5" t="s">
        <v>238</v>
      </c>
      <c r="BC2280" s="5" t="s">
        <v>250</v>
      </c>
      <c r="BD2280" s="6" t="s">
        <v>243</v>
      </c>
      <c r="BE2280" s="5" t="s">
        <v>251</v>
      </c>
      <c r="BF2280" s="5" t="s">
        <v>252</v>
      </c>
      <c r="BG2280" s="5" t="s">
        <v>238</v>
      </c>
      <c r="BH2280" s="7">
        <f>0</f>
        <v>0</v>
      </c>
      <c r="BI2280" s="8">
        <f>0</f>
        <v>0</v>
      </c>
      <c r="BJ2280" s="5" t="s">
        <v>253</v>
      </c>
      <c r="BK2280" s="5" t="s">
        <v>254</v>
      </c>
      <c r="BY2280" s="5" t="s">
        <v>238</v>
      </c>
      <c r="BZ2280" s="5" t="s">
        <v>238</v>
      </c>
      <c r="CD2280" s="5" t="s">
        <v>273</v>
      </c>
      <c r="CE2280" s="5" t="s">
        <v>256</v>
      </c>
      <c r="CF2280" s="5" t="s">
        <v>238</v>
      </c>
      <c r="CI2280" s="6" t="s">
        <v>257</v>
      </c>
      <c r="CJ2280" s="5" t="s">
        <v>238</v>
      </c>
      <c r="CK2280" s="5" t="s">
        <v>258</v>
      </c>
      <c r="CL2280" s="5" t="s">
        <v>238</v>
      </c>
      <c r="CM2280" s="5" t="s">
        <v>238</v>
      </c>
      <c r="CN2280" s="5">
        <v>0</v>
      </c>
      <c r="CO2280" s="5" t="s">
        <v>259</v>
      </c>
      <c r="CP2280" s="5" t="s">
        <v>260</v>
      </c>
      <c r="CQ2280" s="5" t="s">
        <v>260</v>
      </c>
      <c r="CR2280" s="5" t="s">
        <v>261</v>
      </c>
      <c r="CU2280" s="8">
        <f>1</f>
        <v>1</v>
      </c>
      <c r="CV2280" s="8">
        <f>0</f>
        <v>0</v>
      </c>
      <c r="CX2280" s="8">
        <f>0</f>
        <v>0</v>
      </c>
      <c r="CY2280" s="8">
        <f>1</f>
        <v>1</v>
      </c>
      <c r="DA2280" s="5" t="s">
        <v>274</v>
      </c>
      <c r="DB2280" s="5" t="s">
        <v>238</v>
      </c>
      <c r="DD2280" s="5" t="s">
        <v>274</v>
      </c>
      <c r="DE2280" s="8">
        <f>156</f>
        <v>156</v>
      </c>
      <c r="DG2280" s="5" t="s">
        <v>238</v>
      </c>
      <c r="DH2280" s="5" t="s">
        <v>238</v>
      </c>
      <c r="DI2280" s="5" t="s">
        <v>238</v>
      </c>
      <c r="DJ2280" s="5" t="s">
        <v>238</v>
      </c>
      <c r="DN2280" s="5" t="s">
        <v>238</v>
      </c>
      <c r="DO2280" s="5" t="s">
        <v>238</v>
      </c>
      <c r="DP2280" s="5" t="s">
        <v>238</v>
      </c>
      <c r="DQ2280" s="5" t="s">
        <v>238</v>
      </c>
      <c r="DT2280" s="5" t="s">
        <v>275</v>
      </c>
      <c r="DU2280" s="5" t="s">
        <v>3056</v>
      </c>
      <c r="HM2280" s="5" t="s">
        <v>264</v>
      </c>
    </row>
    <row r="2281" spans="1:221" x14ac:dyDescent="0.4">
      <c r="A2281" s="5">
        <v>3985</v>
      </c>
      <c r="B2281" s="5">
        <v>1</v>
      </c>
      <c r="C2281" s="5">
        <v>1</v>
      </c>
      <c r="D2281" s="5" t="s">
        <v>269</v>
      </c>
      <c r="E2281" s="5" t="s">
        <v>271</v>
      </c>
      <c r="F2281" s="5" t="s">
        <v>248</v>
      </c>
      <c r="G2281" s="5" t="s">
        <v>266</v>
      </c>
      <c r="H2281" s="6" t="s">
        <v>4297</v>
      </c>
      <c r="I2281" s="7">
        <f>92</f>
        <v>92</v>
      </c>
      <c r="J2281" s="5" t="s">
        <v>262</v>
      </c>
      <c r="K2281" s="8">
        <f>1</f>
        <v>1</v>
      </c>
      <c r="L2281" s="6" t="s">
        <v>242</v>
      </c>
      <c r="M2281" s="5" t="s">
        <v>267</v>
      </c>
      <c r="N2281" s="5" t="s">
        <v>265</v>
      </c>
      <c r="O2281" s="5" t="s">
        <v>238</v>
      </c>
      <c r="P2281" s="5" t="s">
        <v>238</v>
      </c>
      <c r="Q2281" s="5" t="s">
        <v>268</v>
      </c>
      <c r="R2281" s="5" t="s">
        <v>270</v>
      </c>
      <c r="S2281" s="5" t="s">
        <v>238</v>
      </c>
      <c r="V2281" s="5" t="s">
        <v>238</v>
      </c>
      <c r="X2281" s="6" t="s">
        <v>238</v>
      </c>
      <c r="AA2281" s="6" t="s">
        <v>243</v>
      </c>
      <c r="AB2281" s="5" t="s">
        <v>238</v>
      </c>
      <c r="AC2281" s="5" t="s">
        <v>244</v>
      </c>
      <c r="AD2281" s="5" t="s">
        <v>245</v>
      </c>
      <c r="AT2281" s="5" t="s">
        <v>246</v>
      </c>
      <c r="AU2281" s="5" t="s">
        <v>238</v>
      </c>
      <c r="AV2281" s="5" t="s">
        <v>247</v>
      </c>
      <c r="AW2281" s="5" t="s">
        <v>238</v>
      </c>
      <c r="AX2281" s="5" t="s">
        <v>249</v>
      </c>
      <c r="AY2281" s="5" t="s">
        <v>238</v>
      </c>
      <c r="BA2281" s="5" t="s">
        <v>238</v>
      </c>
      <c r="BC2281" s="5" t="s">
        <v>250</v>
      </c>
      <c r="BD2281" s="6" t="s">
        <v>243</v>
      </c>
      <c r="BE2281" s="5" t="s">
        <v>251</v>
      </c>
      <c r="BF2281" s="5" t="s">
        <v>252</v>
      </c>
      <c r="BG2281" s="5" t="s">
        <v>238</v>
      </c>
      <c r="BH2281" s="7">
        <f>0</f>
        <v>0</v>
      </c>
      <c r="BI2281" s="8">
        <f>0</f>
        <v>0</v>
      </c>
      <c r="BJ2281" s="5" t="s">
        <v>253</v>
      </c>
      <c r="BK2281" s="5" t="s">
        <v>254</v>
      </c>
      <c r="BY2281" s="5" t="s">
        <v>238</v>
      </c>
      <c r="BZ2281" s="5" t="s">
        <v>238</v>
      </c>
      <c r="CD2281" s="5" t="s">
        <v>273</v>
      </c>
      <c r="CE2281" s="5" t="s">
        <v>256</v>
      </c>
      <c r="CF2281" s="5" t="s">
        <v>238</v>
      </c>
      <c r="CI2281" s="6" t="s">
        <v>257</v>
      </c>
      <c r="CJ2281" s="5" t="s">
        <v>238</v>
      </c>
      <c r="CK2281" s="5" t="s">
        <v>258</v>
      </c>
      <c r="CL2281" s="5" t="s">
        <v>238</v>
      </c>
      <c r="CM2281" s="5" t="s">
        <v>238</v>
      </c>
      <c r="CN2281" s="5">
        <v>0</v>
      </c>
      <c r="CO2281" s="5" t="s">
        <v>259</v>
      </c>
      <c r="CP2281" s="5" t="s">
        <v>260</v>
      </c>
      <c r="CQ2281" s="5" t="s">
        <v>260</v>
      </c>
      <c r="CR2281" s="5" t="s">
        <v>261</v>
      </c>
      <c r="CU2281" s="8">
        <f>1</f>
        <v>1</v>
      </c>
      <c r="CV2281" s="8">
        <f>0</f>
        <v>0</v>
      </c>
      <c r="CX2281" s="8">
        <f>0</f>
        <v>0</v>
      </c>
      <c r="CY2281" s="8">
        <f>1</f>
        <v>1</v>
      </c>
      <c r="DA2281" s="5" t="s">
        <v>274</v>
      </c>
      <c r="DB2281" s="5" t="s">
        <v>238</v>
      </c>
      <c r="DD2281" s="5" t="s">
        <v>274</v>
      </c>
      <c r="DE2281" s="8">
        <f>92</f>
        <v>92</v>
      </c>
      <c r="DG2281" s="5" t="s">
        <v>238</v>
      </c>
      <c r="DH2281" s="5" t="s">
        <v>238</v>
      </c>
      <c r="DI2281" s="5" t="s">
        <v>238</v>
      </c>
      <c r="DJ2281" s="5" t="s">
        <v>238</v>
      </c>
      <c r="DN2281" s="5" t="s">
        <v>238</v>
      </c>
      <c r="DO2281" s="5" t="s">
        <v>238</v>
      </c>
      <c r="DP2281" s="5" t="s">
        <v>238</v>
      </c>
      <c r="DQ2281" s="5" t="s">
        <v>238</v>
      </c>
      <c r="DT2281" s="5" t="s">
        <v>275</v>
      </c>
      <c r="DU2281" s="5" t="s">
        <v>3054</v>
      </c>
      <c r="HM2281" s="5" t="s">
        <v>264</v>
      </c>
    </row>
    <row r="2282" spans="1:221" x14ac:dyDescent="0.4">
      <c r="A2282" s="5">
        <v>3986</v>
      </c>
      <c r="B2282" s="5">
        <v>1</v>
      </c>
      <c r="C2282" s="5">
        <v>1</v>
      </c>
      <c r="D2282" s="5" t="s">
        <v>269</v>
      </c>
      <c r="E2282" s="5" t="s">
        <v>271</v>
      </c>
      <c r="F2282" s="5" t="s">
        <v>248</v>
      </c>
      <c r="G2282" s="5" t="s">
        <v>266</v>
      </c>
      <c r="H2282" s="6" t="s">
        <v>4135</v>
      </c>
      <c r="I2282" s="7">
        <f>335</f>
        <v>335</v>
      </c>
      <c r="J2282" s="5" t="s">
        <v>262</v>
      </c>
      <c r="K2282" s="8">
        <f>1</f>
        <v>1</v>
      </c>
      <c r="L2282" s="6" t="s">
        <v>242</v>
      </c>
      <c r="M2282" s="5" t="s">
        <v>267</v>
      </c>
      <c r="N2282" s="5" t="s">
        <v>265</v>
      </c>
      <c r="O2282" s="5" t="s">
        <v>238</v>
      </c>
      <c r="P2282" s="5" t="s">
        <v>238</v>
      </c>
      <c r="Q2282" s="5" t="s">
        <v>268</v>
      </c>
      <c r="R2282" s="5" t="s">
        <v>270</v>
      </c>
      <c r="S2282" s="5" t="s">
        <v>238</v>
      </c>
      <c r="V2282" s="5" t="s">
        <v>238</v>
      </c>
      <c r="X2282" s="6" t="s">
        <v>238</v>
      </c>
      <c r="AA2282" s="6" t="s">
        <v>243</v>
      </c>
      <c r="AB2282" s="5" t="s">
        <v>238</v>
      </c>
      <c r="AC2282" s="5" t="s">
        <v>244</v>
      </c>
      <c r="AD2282" s="5" t="s">
        <v>245</v>
      </c>
      <c r="AT2282" s="5" t="s">
        <v>246</v>
      </c>
      <c r="AU2282" s="5" t="s">
        <v>238</v>
      </c>
      <c r="AV2282" s="5" t="s">
        <v>247</v>
      </c>
      <c r="AW2282" s="5" t="s">
        <v>238</v>
      </c>
      <c r="AX2282" s="5" t="s">
        <v>249</v>
      </c>
      <c r="AY2282" s="5" t="s">
        <v>238</v>
      </c>
      <c r="BA2282" s="5" t="s">
        <v>238</v>
      </c>
      <c r="BC2282" s="5" t="s">
        <v>250</v>
      </c>
      <c r="BD2282" s="6" t="s">
        <v>243</v>
      </c>
      <c r="BE2282" s="5" t="s">
        <v>251</v>
      </c>
      <c r="BF2282" s="5" t="s">
        <v>252</v>
      </c>
      <c r="BG2282" s="5" t="s">
        <v>238</v>
      </c>
      <c r="BH2282" s="7">
        <f>0</f>
        <v>0</v>
      </c>
      <c r="BI2282" s="8">
        <f>0</f>
        <v>0</v>
      </c>
      <c r="BJ2282" s="5" t="s">
        <v>253</v>
      </c>
      <c r="BK2282" s="5" t="s">
        <v>254</v>
      </c>
      <c r="BY2282" s="5" t="s">
        <v>238</v>
      </c>
      <c r="BZ2282" s="5" t="s">
        <v>238</v>
      </c>
      <c r="CD2282" s="5" t="s">
        <v>273</v>
      </c>
      <c r="CE2282" s="5" t="s">
        <v>256</v>
      </c>
      <c r="CF2282" s="5" t="s">
        <v>238</v>
      </c>
      <c r="CI2282" s="6" t="s">
        <v>257</v>
      </c>
      <c r="CJ2282" s="5" t="s">
        <v>238</v>
      </c>
      <c r="CK2282" s="5" t="s">
        <v>258</v>
      </c>
      <c r="CL2282" s="5" t="s">
        <v>238</v>
      </c>
      <c r="CM2282" s="5" t="s">
        <v>238</v>
      </c>
      <c r="CN2282" s="5">
        <v>0</v>
      </c>
      <c r="CO2282" s="5" t="s">
        <v>259</v>
      </c>
      <c r="CP2282" s="5" t="s">
        <v>260</v>
      </c>
      <c r="CQ2282" s="5" t="s">
        <v>260</v>
      </c>
      <c r="CR2282" s="5" t="s">
        <v>261</v>
      </c>
      <c r="CU2282" s="8">
        <f>1</f>
        <v>1</v>
      </c>
      <c r="CV2282" s="8">
        <f>0</f>
        <v>0</v>
      </c>
      <c r="CX2282" s="8">
        <f>0</f>
        <v>0</v>
      </c>
      <c r="CY2282" s="8">
        <f>1</f>
        <v>1</v>
      </c>
      <c r="DA2282" s="5" t="s">
        <v>274</v>
      </c>
      <c r="DB2282" s="5" t="s">
        <v>238</v>
      </c>
      <c r="DD2282" s="5" t="s">
        <v>274</v>
      </c>
      <c r="DE2282" s="8">
        <f>335</f>
        <v>335</v>
      </c>
      <c r="DG2282" s="5" t="s">
        <v>238</v>
      </c>
      <c r="DH2282" s="5" t="s">
        <v>238</v>
      </c>
      <c r="DI2282" s="5" t="s">
        <v>238</v>
      </c>
      <c r="DJ2282" s="5" t="s">
        <v>238</v>
      </c>
      <c r="DN2282" s="5" t="s">
        <v>238</v>
      </c>
      <c r="DO2282" s="5" t="s">
        <v>238</v>
      </c>
      <c r="DP2282" s="5" t="s">
        <v>238</v>
      </c>
      <c r="DQ2282" s="5" t="s">
        <v>238</v>
      </c>
      <c r="DT2282" s="5" t="s">
        <v>275</v>
      </c>
      <c r="DU2282" s="5" t="s">
        <v>3052</v>
      </c>
      <c r="HM2282" s="5" t="s">
        <v>264</v>
      </c>
    </row>
    <row r="2283" spans="1:221" x14ac:dyDescent="0.4">
      <c r="A2283" s="5">
        <v>3987</v>
      </c>
      <c r="B2283" s="5">
        <v>1</v>
      </c>
      <c r="C2283" s="5">
        <v>1</v>
      </c>
      <c r="D2283" s="5" t="s">
        <v>269</v>
      </c>
      <c r="E2283" s="5" t="s">
        <v>271</v>
      </c>
      <c r="F2283" s="5" t="s">
        <v>248</v>
      </c>
      <c r="G2283" s="5" t="s">
        <v>266</v>
      </c>
      <c r="H2283" s="6" t="s">
        <v>4354</v>
      </c>
      <c r="I2283" s="7">
        <f>2223</f>
        <v>2223</v>
      </c>
      <c r="J2283" s="5" t="s">
        <v>262</v>
      </c>
      <c r="K2283" s="8">
        <f>1</f>
        <v>1</v>
      </c>
      <c r="L2283" s="6" t="s">
        <v>242</v>
      </c>
      <c r="M2283" s="5" t="s">
        <v>267</v>
      </c>
      <c r="N2283" s="5" t="s">
        <v>265</v>
      </c>
      <c r="O2283" s="5" t="s">
        <v>238</v>
      </c>
      <c r="P2283" s="5" t="s">
        <v>238</v>
      </c>
      <c r="Q2283" s="5" t="s">
        <v>268</v>
      </c>
      <c r="R2283" s="5" t="s">
        <v>270</v>
      </c>
      <c r="S2283" s="5" t="s">
        <v>238</v>
      </c>
      <c r="V2283" s="5" t="s">
        <v>238</v>
      </c>
      <c r="X2283" s="6" t="s">
        <v>238</v>
      </c>
      <c r="AA2283" s="6" t="s">
        <v>243</v>
      </c>
      <c r="AB2283" s="5" t="s">
        <v>238</v>
      </c>
      <c r="AC2283" s="5" t="s">
        <v>244</v>
      </c>
      <c r="AD2283" s="5" t="s">
        <v>245</v>
      </c>
      <c r="AT2283" s="5" t="s">
        <v>246</v>
      </c>
      <c r="AU2283" s="5" t="s">
        <v>238</v>
      </c>
      <c r="AV2283" s="5" t="s">
        <v>247</v>
      </c>
      <c r="AW2283" s="5" t="s">
        <v>238</v>
      </c>
      <c r="AX2283" s="5" t="s">
        <v>249</v>
      </c>
      <c r="AY2283" s="5" t="s">
        <v>238</v>
      </c>
      <c r="BA2283" s="5" t="s">
        <v>238</v>
      </c>
      <c r="BC2283" s="5" t="s">
        <v>250</v>
      </c>
      <c r="BD2283" s="6" t="s">
        <v>243</v>
      </c>
      <c r="BE2283" s="5" t="s">
        <v>251</v>
      </c>
      <c r="BF2283" s="5" t="s">
        <v>252</v>
      </c>
      <c r="BG2283" s="5" t="s">
        <v>238</v>
      </c>
      <c r="BH2283" s="7">
        <f>0</f>
        <v>0</v>
      </c>
      <c r="BI2283" s="8">
        <f>0</f>
        <v>0</v>
      </c>
      <c r="BJ2283" s="5" t="s">
        <v>253</v>
      </c>
      <c r="BK2283" s="5" t="s">
        <v>254</v>
      </c>
      <c r="BY2283" s="5" t="s">
        <v>238</v>
      </c>
      <c r="BZ2283" s="5" t="s">
        <v>238</v>
      </c>
      <c r="CD2283" s="5" t="s">
        <v>273</v>
      </c>
      <c r="CE2283" s="5" t="s">
        <v>256</v>
      </c>
      <c r="CF2283" s="5" t="s">
        <v>238</v>
      </c>
      <c r="CI2283" s="6" t="s">
        <v>257</v>
      </c>
      <c r="CJ2283" s="5" t="s">
        <v>238</v>
      </c>
      <c r="CK2283" s="5" t="s">
        <v>258</v>
      </c>
      <c r="CL2283" s="5" t="s">
        <v>238</v>
      </c>
      <c r="CM2283" s="5" t="s">
        <v>238</v>
      </c>
      <c r="CN2283" s="5">
        <v>0</v>
      </c>
      <c r="CO2283" s="5" t="s">
        <v>259</v>
      </c>
      <c r="CP2283" s="5" t="s">
        <v>260</v>
      </c>
      <c r="CQ2283" s="5" t="s">
        <v>260</v>
      </c>
      <c r="CR2283" s="5" t="s">
        <v>261</v>
      </c>
      <c r="CU2283" s="8">
        <f>1</f>
        <v>1</v>
      </c>
      <c r="CV2283" s="8">
        <f>0</f>
        <v>0</v>
      </c>
      <c r="CX2283" s="8">
        <f>0</f>
        <v>0</v>
      </c>
      <c r="CY2283" s="8">
        <f>1</f>
        <v>1</v>
      </c>
      <c r="DA2283" s="5" t="s">
        <v>274</v>
      </c>
      <c r="DB2283" s="5" t="s">
        <v>238</v>
      </c>
      <c r="DD2283" s="5" t="s">
        <v>274</v>
      </c>
      <c r="DE2283" s="8">
        <f>2223</f>
        <v>2223</v>
      </c>
      <c r="DG2283" s="5" t="s">
        <v>238</v>
      </c>
      <c r="DH2283" s="5" t="s">
        <v>238</v>
      </c>
      <c r="DI2283" s="5" t="s">
        <v>238</v>
      </c>
      <c r="DJ2283" s="5" t="s">
        <v>238</v>
      </c>
      <c r="DN2283" s="5" t="s">
        <v>238</v>
      </c>
      <c r="DO2283" s="5" t="s">
        <v>238</v>
      </c>
      <c r="DP2283" s="5" t="s">
        <v>238</v>
      </c>
      <c r="DQ2283" s="5" t="s">
        <v>238</v>
      </c>
      <c r="DT2283" s="5" t="s">
        <v>275</v>
      </c>
      <c r="DU2283" s="5" t="s">
        <v>3050</v>
      </c>
      <c r="HM2283" s="5" t="s">
        <v>264</v>
      </c>
    </row>
    <row r="2284" spans="1:221" x14ac:dyDescent="0.4">
      <c r="A2284" s="5">
        <v>3988</v>
      </c>
      <c r="B2284" s="5">
        <v>1</v>
      </c>
      <c r="C2284" s="5">
        <v>1</v>
      </c>
      <c r="D2284" s="5" t="s">
        <v>269</v>
      </c>
      <c r="E2284" s="5" t="s">
        <v>271</v>
      </c>
      <c r="F2284" s="5" t="s">
        <v>248</v>
      </c>
      <c r="G2284" s="5" t="s">
        <v>266</v>
      </c>
      <c r="H2284" s="6" t="s">
        <v>4219</v>
      </c>
      <c r="I2284" s="7">
        <f>306</f>
        <v>306</v>
      </c>
      <c r="J2284" s="5" t="s">
        <v>262</v>
      </c>
      <c r="K2284" s="8">
        <f>1</f>
        <v>1</v>
      </c>
      <c r="L2284" s="6" t="s">
        <v>242</v>
      </c>
      <c r="M2284" s="5" t="s">
        <v>267</v>
      </c>
      <c r="N2284" s="5" t="s">
        <v>265</v>
      </c>
      <c r="O2284" s="5" t="s">
        <v>238</v>
      </c>
      <c r="P2284" s="5" t="s">
        <v>238</v>
      </c>
      <c r="Q2284" s="5" t="s">
        <v>268</v>
      </c>
      <c r="R2284" s="5" t="s">
        <v>270</v>
      </c>
      <c r="S2284" s="5" t="s">
        <v>238</v>
      </c>
      <c r="V2284" s="5" t="s">
        <v>238</v>
      </c>
      <c r="X2284" s="6" t="s">
        <v>238</v>
      </c>
      <c r="AA2284" s="6" t="s">
        <v>243</v>
      </c>
      <c r="AB2284" s="5" t="s">
        <v>238</v>
      </c>
      <c r="AC2284" s="5" t="s">
        <v>244</v>
      </c>
      <c r="AD2284" s="5" t="s">
        <v>245</v>
      </c>
      <c r="AT2284" s="5" t="s">
        <v>246</v>
      </c>
      <c r="AU2284" s="5" t="s">
        <v>238</v>
      </c>
      <c r="AV2284" s="5" t="s">
        <v>247</v>
      </c>
      <c r="AW2284" s="5" t="s">
        <v>238</v>
      </c>
      <c r="AX2284" s="5" t="s">
        <v>249</v>
      </c>
      <c r="AY2284" s="5" t="s">
        <v>238</v>
      </c>
      <c r="BA2284" s="5" t="s">
        <v>238</v>
      </c>
      <c r="BC2284" s="5" t="s">
        <v>250</v>
      </c>
      <c r="BD2284" s="6" t="s">
        <v>243</v>
      </c>
      <c r="BE2284" s="5" t="s">
        <v>251</v>
      </c>
      <c r="BF2284" s="5" t="s">
        <v>252</v>
      </c>
      <c r="BG2284" s="5" t="s">
        <v>238</v>
      </c>
      <c r="BH2284" s="7">
        <f>0</f>
        <v>0</v>
      </c>
      <c r="BI2284" s="8">
        <f>0</f>
        <v>0</v>
      </c>
      <c r="BJ2284" s="5" t="s">
        <v>253</v>
      </c>
      <c r="BK2284" s="5" t="s">
        <v>254</v>
      </c>
      <c r="BY2284" s="5" t="s">
        <v>238</v>
      </c>
      <c r="BZ2284" s="5" t="s">
        <v>238</v>
      </c>
      <c r="CD2284" s="5" t="s">
        <v>273</v>
      </c>
      <c r="CE2284" s="5" t="s">
        <v>256</v>
      </c>
      <c r="CF2284" s="5" t="s">
        <v>238</v>
      </c>
      <c r="CI2284" s="6" t="s">
        <v>257</v>
      </c>
      <c r="CJ2284" s="5" t="s">
        <v>238</v>
      </c>
      <c r="CK2284" s="5" t="s">
        <v>258</v>
      </c>
      <c r="CL2284" s="5" t="s">
        <v>238</v>
      </c>
      <c r="CM2284" s="5" t="s">
        <v>238</v>
      </c>
      <c r="CN2284" s="5">
        <v>0</v>
      </c>
      <c r="CO2284" s="5" t="s">
        <v>259</v>
      </c>
      <c r="CP2284" s="5" t="s">
        <v>260</v>
      </c>
      <c r="CQ2284" s="5" t="s">
        <v>260</v>
      </c>
      <c r="CR2284" s="5" t="s">
        <v>261</v>
      </c>
      <c r="CU2284" s="8">
        <f>1</f>
        <v>1</v>
      </c>
      <c r="CV2284" s="8">
        <f>0</f>
        <v>0</v>
      </c>
      <c r="CX2284" s="8">
        <f>0</f>
        <v>0</v>
      </c>
      <c r="CY2284" s="8">
        <f>1</f>
        <v>1</v>
      </c>
      <c r="DA2284" s="5" t="s">
        <v>274</v>
      </c>
      <c r="DB2284" s="5" t="s">
        <v>238</v>
      </c>
      <c r="DD2284" s="5" t="s">
        <v>274</v>
      </c>
      <c r="DE2284" s="8">
        <f>306</f>
        <v>306</v>
      </c>
      <c r="DG2284" s="5" t="s">
        <v>238</v>
      </c>
      <c r="DH2284" s="5" t="s">
        <v>238</v>
      </c>
      <c r="DI2284" s="5" t="s">
        <v>238</v>
      </c>
      <c r="DJ2284" s="5" t="s">
        <v>238</v>
      </c>
      <c r="DN2284" s="5" t="s">
        <v>238</v>
      </c>
      <c r="DO2284" s="5" t="s">
        <v>238</v>
      </c>
      <c r="DP2284" s="5" t="s">
        <v>238</v>
      </c>
      <c r="DQ2284" s="5" t="s">
        <v>238</v>
      </c>
      <c r="DT2284" s="5" t="s">
        <v>275</v>
      </c>
      <c r="DU2284" s="5" t="s">
        <v>3047</v>
      </c>
      <c r="HM2284" s="5" t="s">
        <v>264</v>
      </c>
    </row>
    <row r="2285" spans="1:221" x14ac:dyDescent="0.4">
      <c r="A2285" s="5">
        <v>3989</v>
      </c>
      <c r="B2285" s="5">
        <v>1</v>
      </c>
      <c r="C2285" s="5">
        <v>1</v>
      </c>
      <c r="D2285" s="5" t="s">
        <v>269</v>
      </c>
      <c r="E2285" s="5" t="s">
        <v>271</v>
      </c>
      <c r="F2285" s="5" t="s">
        <v>248</v>
      </c>
      <c r="G2285" s="5" t="s">
        <v>266</v>
      </c>
      <c r="H2285" s="6" t="s">
        <v>4186</v>
      </c>
      <c r="I2285" s="7">
        <f>242</f>
        <v>242</v>
      </c>
      <c r="J2285" s="5" t="s">
        <v>262</v>
      </c>
      <c r="K2285" s="8">
        <f>1</f>
        <v>1</v>
      </c>
      <c r="L2285" s="6" t="s">
        <v>242</v>
      </c>
      <c r="M2285" s="5" t="s">
        <v>267</v>
      </c>
      <c r="N2285" s="5" t="s">
        <v>265</v>
      </c>
      <c r="O2285" s="5" t="s">
        <v>238</v>
      </c>
      <c r="P2285" s="5" t="s">
        <v>238</v>
      </c>
      <c r="Q2285" s="5" t="s">
        <v>268</v>
      </c>
      <c r="R2285" s="5" t="s">
        <v>270</v>
      </c>
      <c r="S2285" s="5" t="s">
        <v>238</v>
      </c>
      <c r="V2285" s="5" t="s">
        <v>238</v>
      </c>
      <c r="X2285" s="6" t="s">
        <v>238</v>
      </c>
      <c r="AA2285" s="6" t="s">
        <v>243</v>
      </c>
      <c r="AB2285" s="5" t="s">
        <v>238</v>
      </c>
      <c r="AC2285" s="5" t="s">
        <v>244</v>
      </c>
      <c r="AD2285" s="5" t="s">
        <v>245</v>
      </c>
      <c r="AT2285" s="5" t="s">
        <v>246</v>
      </c>
      <c r="AU2285" s="5" t="s">
        <v>238</v>
      </c>
      <c r="AV2285" s="5" t="s">
        <v>247</v>
      </c>
      <c r="AW2285" s="5" t="s">
        <v>238</v>
      </c>
      <c r="AX2285" s="5" t="s">
        <v>249</v>
      </c>
      <c r="AY2285" s="5" t="s">
        <v>238</v>
      </c>
      <c r="BA2285" s="5" t="s">
        <v>238</v>
      </c>
      <c r="BC2285" s="5" t="s">
        <v>250</v>
      </c>
      <c r="BD2285" s="6" t="s">
        <v>243</v>
      </c>
      <c r="BE2285" s="5" t="s">
        <v>251</v>
      </c>
      <c r="BF2285" s="5" t="s">
        <v>252</v>
      </c>
      <c r="BG2285" s="5" t="s">
        <v>238</v>
      </c>
      <c r="BH2285" s="7">
        <f>0</f>
        <v>0</v>
      </c>
      <c r="BI2285" s="8">
        <f>0</f>
        <v>0</v>
      </c>
      <c r="BJ2285" s="5" t="s">
        <v>253</v>
      </c>
      <c r="BK2285" s="5" t="s">
        <v>254</v>
      </c>
      <c r="BY2285" s="5" t="s">
        <v>238</v>
      </c>
      <c r="BZ2285" s="5" t="s">
        <v>238</v>
      </c>
      <c r="CD2285" s="5" t="s">
        <v>273</v>
      </c>
      <c r="CE2285" s="5" t="s">
        <v>256</v>
      </c>
      <c r="CF2285" s="5" t="s">
        <v>238</v>
      </c>
      <c r="CI2285" s="6" t="s">
        <v>257</v>
      </c>
      <c r="CJ2285" s="5" t="s">
        <v>238</v>
      </c>
      <c r="CK2285" s="5" t="s">
        <v>258</v>
      </c>
      <c r="CL2285" s="5" t="s">
        <v>238</v>
      </c>
      <c r="CM2285" s="5" t="s">
        <v>238</v>
      </c>
      <c r="CN2285" s="5">
        <v>0</v>
      </c>
      <c r="CO2285" s="5" t="s">
        <v>259</v>
      </c>
      <c r="CP2285" s="5" t="s">
        <v>260</v>
      </c>
      <c r="CQ2285" s="5" t="s">
        <v>260</v>
      </c>
      <c r="CR2285" s="5" t="s">
        <v>261</v>
      </c>
      <c r="CU2285" s="8">
        <f>1</f>
        <v>1</v>
      </c>
      <c r="CV2285" s="8">
        <f>0</f>
        <v>0</v>
      </c>
      <c r="CX2285" s="8">
        <f>0</f>
        <v>0</v>
      </c>
      <c r="CY2285" s="8">
        <f>1</f>
        <v>1</v>
      </c>
      <c r="DA2285" s="5" t="s">
        <v>274</v>
      </c>
      <c r="DB2285" s="5" t="s">
        <v>238</v>
      </c>
      <c r="DD2285" s="5" t="s">
        <v>274</v>
      </c>
      <c r="DE2285" s="8">
        <f>242</f>
        <v>242</v>
      </c>
      <c r="DG2285" s="5" t="s">
        <v>238</v>
      </c>
      <c r="DH2285" s="5" t="s">
        <v>238</v>
      </c>
      <c r="DI2285" s="5" t="s">
        <v>238</v>
      </c>
      <c r="DJ2285" s="5" t="s">
        <v>238</v>
      </c>
      <c r="DN2285" s="5" t="s">
        <v>238</v>
      </c>
      <c r="DO2285" s="5" t="s">
        <v>238</v>
      </c>
      <c r="DP2285" s="5" t="s">
        <v>238</v>
      </c>
      <c r="DQ2285" s="5" t="s">
        <v>238</v>
      </c>
      <c r="DT2285" s="5" t="s">
        <v>275</v>
      </c>
      <c r="DU2285" s="5" t="s">
        <v>3045</v>
      </c>
      <c r="HM2285" s="5" t="s">
        <v>264</v>
      </c>
    </row>
    <row r="2286" spans="1:221" x14ac:dyDescent="0.4">
      <c r="A2286" s="5">
        <v>3990</v>
      </c>
      <c r="B2286" s="5">
        <v>1</v>
      </c>
      <c r="C2286" s="5">
        <v>1</v>
      </c>
      <c r="D2286" s="5" t="s">
        <v>269</v>
      </c>
      <c r="E2286" s="5" t="s">
        <v>271</v>
      </c>
      <c r="F2286" s="5" t="s">
        <v>248</v>
      </c>
      <c r="G2286" s="5" t="s">
        <v>266</v>
      </c>
      <c r="H2286" s="6" t="s">
        <v>4319</v>
      </c>
      <c r="I2286" s="7">
        <f>467</f>
        <v>467</v>
      </c>
      <c r="J2286" s="5" t="s">
        <v>262</v>
      </c>
      <c r="K2286" s="8">
        <f>1</f>
        <v>1</v>
      </c>
      <c r="L2286" s="6" t="s">
        <v>242</v>
      </c>
      <c r="M2286" s="5" t="s">
        <v>267</v>
      </c>
      <c r="N2286" s="5" t="s">
        <v>265</v>
      </c>
      <c r="O2286" s="5" t="s">
        <v>238</v>
      </c>
      <c r="P2286" s="5" t="s">
        <v>238</v>
      </c>
      <c r="Q2286" s="5" t="s">
        <v>268</v>
      </c>
      <c r="R2286" s="5" t="s">
        <v>270</v>
      </c>
      <c r="S2286" s="5" t="s">
        <v>238</v>
      </c>
      <c r="V2286" s="5" t="s">
        <v>238</v>
      </c>
      <c r="X2286" s="6" t="s">
        <v>238</v>
      </c>
      <c r="AA2286" s="6" t="s">
        <v>243</v>
      </c>
      <c r="AB2286" s="5" t="s">
        <v>238</v>
      </c>
      <c r="AC2286" s="5" t="s">
        <v>244</v>
      </c>
      <c r="AD2286" s="5" t="s">
        <v>245</v>
      </c>
      <c r="AT2286" s="5" t="s">
        <v>246</v>
      </c>
      <c r="AU2286" s="5" t="s">
        <v>238</v>
      </c>
      <c r="AV2286" s="5" t="s">
        <v>247</v>
      </c>
      <c r="AW2286" s="5" t="s">
        <v>238</v>
      </c>
      <c r="AX2286" s="5" t="s">
        <v>249</v>
      </c>
      <c r="AY2286" s="5" t="s">
        <v>238</v>
      </c>
      <c r="BA2286" s="5" t="s">
        <v>238</v>
      </c>
      <c r="BC2286" s="5" t="s">
        <v>250</v>
      </c>
      <c r="BD2286" s="6" t="s">
        <v>243</v>
      </c>
      <c r="BE2286" s="5" t="s">
        <v>251</v>
      </c>
      <c r="BF2286" s="5" t="s">
        <v>252</v>
      </c>
      <c r="BG2286" s="5" t="s">
        <v>238</v>
      </c>
      <c r="BH2286" s="7">
        <f>0</f>
        <v>0</v>
      </c>
      <c r="BI2286" s="8">
        <f>0</f>
        <v>0</v>
      </c>
      <c r="BJ2286" s="5" t="s">
        <v>253</v>
      </c>
      <c r="BK2286" s="5" t="s">
        <v>254</v>
      </c>
      <c r="BY2286" s="5" t="s">
        <v>238</v>
      </c>
      <c r="BZ2286" s="5" t="s">
        <v>238</v>
      </c>
      <c r="CD2286" s="5" t="s">
        <v>273</v>
      </c>
      <c r="CE2286" s="5" t="s">
        <v>256</v>
      </c>
      <c r="CF2286" s="5" t="s">
        <v>238</v>
      </c>
      <c r="CI2286" s="6" t="s">
        <v>257</v>
      </c>
      <c r="CJ2286" s="5" t="s">
        <v>238</v>
      </c>
      <c r="CK2286" s="5" t="s">
        <v>258</v>
      </c>
      <c r="CL2286" s="5" t="s">
        <v>238</v>
      </c>
      <c r="CM2286" s="5" t="s">
        <v>238</v>
      </c>
      <c r="CN2286" s="5">
        <v>0</v>
      </c>
      <c r="CO2286" s="5" t="s">
        <v>259</v>
      </c>
      <c r="CP2286" s="5" t="s">
        <v>260</v>
      </c>
      <c r="CQ2286" s="5" t="s">
        <v>260</v>
      </c>
      <c r="CR2286" s="5" t="s">
        <v>261</v>
      </c>
      <c r="CU2286" s="8">
        <f>1</f>
        <v>1</v>
      </c>
      <c r="CV2286" s="8">
        <f>0</f>
        <v>0</v>
      </c>
      <c r="CX2286" s="8">
        <f>0</f>
        <v>0</v>
      </c>
      <c r="CY2286" s="8">
        <f>1</f>
        <v>1</v>
      </c>
      <c r="DA2286" s="5" t="s">
        <v>274</v>
      </c>
      <c r="DB2286" s="5" t="s">
        <v>238</v>
      </c>
      <c r="DD2286" s="5" t="s">
        <v>274</v>
      </c>
      <c r="DE2286" s="8">
        <f>467</f>
        <v>467</v>
      </c>
      <c r="DG2286" s="5" t="s">
        <v>238</v>
      </c>
      <c r="DH2286" s="5" t="s">
        <v>238</v>
      </c>
      <c r="DI2286" s="5" t="s">
        <v>238</v>
      </c>
      <c r="DJ2286" s="5" t="s">
        <v>238</v>
      </c>
      <c r="DN2286" s="5" t="s">
        <v>238</v>
      </c>
      <c r="DO2286" s="5" t="s">
        <v>238</v>
      </c>
      <c r="DP2286" s="5" t="s">
        <v>238</v>
      </c>
      <c r="DQ2286" s="5" t="s">
        <v>238</v>
      </c>
      <c r="DT2286" s="5" t="s">
        <v>275</v>
      </c>
      <c r="DU2286" s="5" t="s">
        <v>3043</v>
      </c>
      <c r="HM2286" s="5" t="s">
        <v>264</v>
      </c>
    </row>
    <row r="2287" spans="1:221" x14ac:dyDescent="0.4">
      <c r="A2287" s="5">
        <v>3991</v>
      </c>
      <c r="B2287" s="5">
        <v>1</v>
      </c>
      <c r="C2287" s="5">
        <v>1</v>
      </c>
      <c r="D2287" s="5" t="s">
        <v>269</v>
      </c>
      <c r="E2287" s="5" t="s">
        <v>271</v>
      </c>
      <c r="F2287" s="5" t="s">
        <v>248</v>
      </c>
      <c r="G2287" s="5" t="s">
        <v>266</v>
      </c>
      <c r="H2287" s="6" t="s">
        <v>4361</v>
      </c>
      <c r="I2287" s="7">
        <f>151</f>
        <v>151</v>
      </c>
      <c r="J2287" s="5" t="s">
        <v>262</v>
      </c>
      <c r="K2287" s="8">
        <f>1</f>
        <v>1</v>
      </c>
      <c r="L2287" s="6" t="s">
        <v>242</v>
      </c>
      <c r="M2287" s="5" t="s">
        <v>267</v>
      </c>
      <c r="N2287" s="5" t="s">
        <v>265</v>
      </c>
      <c r="O2287" s="5" t="s">
        <v>238</v>
      </c>
      <c r="P2287" s="5" t="s">
        <v>238</v>
      </c>
      <c r="Q2287" s="5" t="s">
        <v>268</v>
      </c>
      <c r="R2287" s="5" t="s">
        <v>270</v>
      </c>
      <c r="S2287" s="5" t="s">
        <v>238</v>
      </c>
      <c r="V2287" s="5" t="s">
        <v>238</v>
      </c>
      <c r="X2287" s="6" t="s">
        <v>238</v>
      </c>
      <c r="AA2287" s="6" t="s">
        <v>243</v>
      </c>
      <c r="AB2287" s="5" t="s">
        <v>238</v>
      </c>
      <c r="AC2287" s="5" t="s">
        <v>244</v>
      </c>
      <c r="AD2287" s="5" t="s">
        <v>245</v>
      </c>
      <c r="AT2287" s="5" t="s">
        <v>246</v>
      </c>
      <c r="AU2287" s="5" t="s">
        <v>238</v>
      </c>
      <c r="AV2287" s="5" t="s">
        <v>247</v>
      </c>
      <c r="AW2287" s="5" t="s">
        <v>238</v>
      </c>
      <c r="AX2287" s="5" t="s">
        <v>249</v>
      </c>
      <c r="AY2287" s="5" t="s">
        <v>238</v>
      </c>
      <c r="BA2287" s="5" t="s">
        <v>238</v>
      </c>
      <c r="BC2287" s="5" t="s">
        <v>250</v>
      </c>
      <c r="BD2287" s="6" t="s">
        <v>243</v>
      </c>
      <c r="BE2287" s="5" t="s">
        <v>251</v>
      </c>
      <c r="BF2287" s="5" t="s">
        <v>252</v>
      </c>
      <c r="BG2287" s="5" t="s">
        <v>238</v>
      </c>
      <c r="BH2287" s="7">
        <f>0</f>
        <v>0</v>
      </c>
      <c r="BI2287" s="8">
        <f>0</f>
        <v>0</v>
      </c>
      <c r="BJ2287" s="5" t="s">
        <v>253</v>
      </c>
      <c r="BK2287" s="5" t="s">
        <v>254</v>
      </c>
      <c r="BY2287" s="5" t="s">
        <v>238</v>
      </c>
      <c r="BZ2287" s="5" t="s">
        <v>238</v>
      </c>
      <c r="CD2287" s="5" t="s">
        <v>273</v>
      </c>
      <c r="CE2287" s="5" t="s">
        <v>256</v>
      </c>
      <c r="CF2287" s="5" t="s">
        <v>238</v>
      </c>
      <c r="CI2287" s="6" t="s">
        <v>257</v>
      </c>
      <c r="CJ2287" s="5" t="s">
        <v>238</v>
      </c>
      <c r="CK2287" s="5" t="s">
        <v>258</v>
      </c>
      <c r="CL2287" s="5" t="s">
        <v>238</v>
      </c>
      <c r="CM2287" s="5" t="s">
        <v>238</v>
      </c>
      <c r="CN2287" s="5">
        <v>0</v>
      </c>
      <c r="CO2287" s="5" t="s">
        <v>259</v>
      </c>
      <c r="CP2287" s="5" t="s">
        <v>260</v>
      </c>
      <c r="CQ2287" s="5" t="s">
        <v>260</v>
      </c>
      <c r="CR2287" s="5" t="s">
        <v>261</v>
      </c>
      <c r="CU2287" s="8">
        <f>1</f>
        <v>1</v>
      </c>
      <c r="CV2287" s="8">
        <f>0</f>
        <v>0</v>
      </c>
      <c r="CX2287" s="8">
        <f>0</f>
        <v>0</v>
      </c>
      <c r="CY2287" s="8">
        <f>1</f>
        <v>1</v>
      </c>
      <c r="DA2287" s="5" t="s">
        <v>274</v>
      </c>
      <c r="DB2287" s="5" t="s">
        <v>238</v>
      </c>
      <c r="DD2287" s="5" t="s">
        <v>274</v>
      </c>
      <c r="DE2287" s="8">
        <f>151</f>
        <v>151</v>
      </c>
      <c r="DG2287" s="5" t="s">
        <v>238</v>
      </c>
      <c r="DH2287" s="5" t="s">
        <v>238</v>
      </c>
      <c r="DI2287" s="5" t="s">
        <v>238</v>
      </c>
      <c r="DJ2287" s="5" t="s">
        <v>238</v>
      </c>
      <c r="DN2287" s="5" t="s">
        <v>238</v>
      </c>
      <c r="DO2287" s="5" t="s">
        <v>238</v>
      </c>
      <c r="DP2287" s="5" t="s">
        <v>238</v>
      </c>
      <c r="DQ2287" s="5" t="s">
        <v>238</v>
      </c>
      <c r="DT2287" s="5" t="s">
        <v>275</v>
      </c>
      <c r="DU2287" s="5" t="s">
        <v>3041</v>
      </c>
      <c r="HM2287" s="5" t="s">
        <v>264</v>
      </c>
    </row>
    <row r="2288" spans="1:221" x14ac:dyDescent="0.4">
      <c r="A2288" s="5">
        <v>3992</v>
      </c>
      <c r="B2288" s="5">
        <v>1</v>
      </c>
      <c r="C2288" s="5">
        <v>1</v>
      </c>
      <c r="D2288" s="5" t="s">
        <v>269</v>
      </c>
      <c r="E2288" s="5" t="s">
        <v>271</v>
      </c>
      <c r="F2288" s="5" t="s">
        <v>248</v>
      </c>
      <c r="G2288" s="5" t="s">
        <v>266</v>
      </c>
      <c r="H2288" s="6" t="s">
        <v>5928</v>
      </c>
      <c r="I2288" s="7">
        <f>782</f>
        <v>782</v>
      </c>
      <c r="J2288" s="5" t="s">
        <v>262</v>
      </c>
      <c r="K2288" s="8">
        <f>1</f>
        <v>1</v>
      </c>
      <c r="L2288" s="6" t="s">
        <v>242</v>
      </c>
      <c r="M2288" s="5" t="s">
        <v>267</v>
      </c>
      <c r="N2288" s="5" t="s">
        <v>265</v>
      </c>
      <c r="O2288" s="5" t="s">
        <v>238</v>
      </c>
      <c r="P2288" s="5" t="s">
        <v>238</v>
      </c>
      <c r="Q2288" s="5" t="s">
        <v>268</v>
      </c>
      <c r="R2288" s="5" t="s">
        <v>270</v>
      </c>
      <c r="S2288" s="5" t="s">
        <v>238</v>
      </c>
      <c r="V2288" s="5" t="s">
        <v>238</v>
      </c>
      <c r="X2288" s="6" t="s">
        <v>238</v>
      </c>
      <c r="AA2288" s="6" t="s">
        <v>243</v>
      </c>
      <c r="AB2288" s="5" t="s">
        <v>238</v>
      </c>
      <c r="AC2288" s="5" t="s">
        <v>244</v>
      </c>
      <c r="AD2288" s="5" t="s">
        <v>245</v>
      </c>
      <c r="AT2288" s="5" t="s">
        <v>246</v>
      </c>
      <c r="AU2288" s="5" t="s">
        <v>238</v>
      </c>
      <c r="AV2288" s="5" t="s">
        <v>247</v>
      </c>
      <c r="AW2288" s="5" t="s">
        <v>238</v>
      </c>
      <c r="AX2288" s="5" t="s">
        <v>249</v>
      </c>
      <c r="AY2288" s="5" t="s">
        <v>238</v>
      </c>
      <c r="BA2288" s="5" t="s">
        <v>238</v>
      </c>
      <c r="BC2288" s="5" t="s">
        <v>250</v>
      </c>
      <c r="BD2288" s="6" t="s">
        <v>243</v>
      </c>
      <c r="BE2288" s="5" t="s">
        <v>251</v>
      </c>
      <c r="BF2288" s="5" t="s">
        <v>252</v>
      </c>
      <c r="BG2288" s="5" t="s">
        <v>238</v>
      </c>
      <c r="BH2288" s="7">
        <f>0</f>
        <v>0</v>
      </c>
      <c r="BI2288" s="8">
        <f>0</f>
        <v>0</v>
      </c>
      <c r="BJ2288" s="5" t="s">
        <v>253</v>
      </c>
      <c r="BK2288" s="5" t="s">
        <v>254</v>
      </c>
      <c r="BY2288" s="5" t="s">
        <v>238</v>
      </c>
      <c r="BZ2288" s="5" t="s">
        <v>238</v>
      </c>
      <c r="CD2288" s="5" t="s">
        <v>273</v>
      </c>
      <c r="CE2288" s="5" t="s">
        <v>256</v>
      </c>
      <c r="CF2288" s="5" t="s">
        <v>238</v>
      </c>
      <c r="CI2288" s="6" t="s">
        <v>257</v>
      </c>
      <c r="CJ2288" s="5" t="s">
        <v>238</v>
      </c>
      <c r="CK2288" s="5" t="s">
        <v>258</v>
      </c>
      <c r="CL2288" s="5" t="s">
        <v>238</v>
      </c>
      <c r="CM2288" s="5" t="s">
        <v>238</v>
      </c>
      <c r="CN2288" s="5">
        <v>0</v>
      </c>
      <c r="CO2288" s="5" t="s">
        <v>259</v>
      </c>
      <c r="CP2288" s="5" t="s">
        <v>260</v>
      </c>
      <c r="CQ2288" s="5" t="s">
        <v>260</v>
      </c>
      <c r="CR2288" s="5" t="s">
        <v>261</v>
      </c>
      <c r="CU2288" s="8">
        <f>1</f>
        <v>1</v>
      </c>
      <c r="CV2288" s="8">
        <f>0</f>
        <v>0</v>
      </c>
      <c r="CX2288" s="8">
        <f>0</f>
        <v>0</v>
      </c>
      <c r="CY2288" s="8">
        <f>1</f>
        <v>1</v>
      </c>
      <c r="DA2288" s="5" t="s">
        <v>274</v>
      </c>
      <c r="DB2288" s="5" t="s">
        <v>238</v>
      </c>
      <c r="DD2288" s="5" t="s">
        <v>274</v>
      </c>
      <c r="DE2288" s="8">
        <f>782</f>
        <v>782</v>
      </c>
      <c r="DG2288" s="5" t="s">
        <v>238</v>
      </c>
      <c r="DH2288" s="5" t="s">
        <v>238</v>
      </c>
      <c r="DI2288" s="5" t="s">
        <v>238</v>
      </c>
      <c r="DJ2288" s="5" t="s">
        <v>238</v>
      </c>
      <c r="DN2288" s="5" t="s">
        <v>238</v>
      </c>
      <c r="DO2288" s="5" t="s">
        <v>238</v>
      </c>
      <c r="DP2288" s="5" t="s">
        <v>238</v>
      </c>
      <c r="DQ2288" s="5" t="s">
        <v>238</v>
      </c>
      <c r="DT2288" s="5" t="s">
        <v>275</v>
      </c>
      <c r="DU2288" s="5" t="s">
        <v>3038</v>
      </c>
      <c r="HM2288" s="5" t="s">
        <v>264</v>
      </c>
    </row>
    <row r="2289" spans="1:221" x14ac:dyDescent="0.4">
      <c r="A2289" s="5">
        <v>3993</v>
      </c>
      <c r="B2289" s="5">
        <v>1</v>
      </c>
      <c r="C2289" s="5">
        <v>1</v>
      </c>
      <c r="D2289" s="5" t="s">
        <v>269</v>
      </c>
      <c r="E2289" s="5" t="s">
        <v>271</v>
      </c>
      <c r="F2289" s="5" t="s">
        <v>248</v>
      </c>
      <c r="G2289" s="5" t="s">
        <v>266</v>
      </c>
      <c r="H2289" s="6" t="s">
        <v>4276</v>
      </c>
      <c r="I2289" s="7">
        <f>309</f>
        <v>309</v>
      </c>
      <c r="J2289" s="5" t="s">
        <v>262</v>
      </c>
      <c r="K2289" s="8">
        <f>1</f>
        <v>1</v>
      </c>
      <c r="L2289" s="6" t="s">
        <v>242</v>
      </c>
      <c r="M2289" s="5" t="s">
        <v>267</v>
      </c>
      <c r="N2289" s="5" t="s">
        <v>265</v>
      </c>
      <c r="O2289" s="5" t="s">
        <v>238</v>
      </c>
      <c r="P2289" s="5" t="s">
        <v>238</v>
      </c>
      <c r="Q2289" s="5" t="s">
        <v>268</v>
      </c>
      <c r="R2289" s="5" t="s">
        <v>270</v>
      </c>
      <c r="S2289" s="5" t="s">
        <v>238</v>
      </c>
      <c r="V2289" s="5" t="s">
        <v>238</v>
      </c>
      <c r="X2289" s="6" t="s">
        <v>238</v>
      </c>
      <c r="AA2289" s="6" t="s">
        <v>243</v>
      </c>
      <c r="AB2289" s="5" t="s">
        <v>238</v>
      </c>
      <c r="AC2289" s="5" t="s">
        <v>244</v>
      </c>
      <c r="AD2289" s="5" t="s">
        <v>245</v>
      </c>
      <c r="AT2289" s="5" t="s">
        <v>246</v>
      </c>
      <c r="AU2289" s="5" t="s">
        <v>238</v>
      </c>
      <c r="AV2289" s="5" t="s">
        <v>247</v>
      </c>
      <c r="AW2289" s="5" t="s">
        <v>238</v>
      </c>
      <c r="AX2289" s="5" t="s">
        <v>249</v>
      </c>
      <c r="AY2289" s="5" t="s">
        <v>238</v>
      </c>
      <c r="BA2289" s="5" t="s">
        <v>238</v>
      </c>
      <c r="BC2289" s="5" t="s">
        <v>250</v>
      </c>
      <c r="BD2289" s="6" t="s">
        <v>243</v>
      </c>
      <c r="BE2289" s="5" t="s">
        <v>251</v>
      </c>
      <c r="BF2289" s="5" t="s">
        <v>252</v>
      </c>
      <c r="BG2289" s="5" t="s">
        <v>238</v>
      </c>
      <c r="BH2289" s="7">
        <f>0</f>
        <v>0</v>
      </c>
      <c r="BI2289" s="8">
        <f>0</f>
        <v>0</v>
      </c>
      <c r="BJ2289" s="5" t="s">
        <v>253</v>
      </c>
      <c r="BK2289" s="5" t="s">
        <v>254</v>
      </c>
      <c r="BY2289" s="5" t="s">
        <v>238</v>
      </c>
      <c r="BZ2289" s="5" t="s">
        <v>238</v>
      </c>
      <c r="CD2289" s="5" t="s">
        <v>273</v>
      </c>
      <c r="CE2289" s="5" t="s">
        <v>256</v>
      </c>
      <c r="CF2289" s="5" t="s">
        <v>238</v>
      </c>
      <c r="CI2289" s="6" t="s">
        <v>257</v>
      </c>
      <c r="CJ2289" s="5" t="s">
        <v>238</v>
      </c>
      <c r="CK2289" s="5" t="s">
        <v>258</v>
      </c>
      <c r="CL2289" s="5" t="s">
        <v>238</v>
      </c>
      <c r="CM2289" s="5" t="s">
        <v>238</v>
      </c>
      <c r="CN2289" s="5">
        <v>0</v>
      </c>
      <c r="CO2289" s="5" t="s">
        <v>259</v>
      </c>
      <c r="CP2289" s="5" t="s">
        <v>260</v>
      </c>
      <c r="CQ2289" s="5" t="s">
        <v>260</v>
      </c>
      <c r="CR2289" s="5" t="s">
        <v>261</v>
      </c>
      <c r="CU2289" s="8">
        <f>1</f>
        <v>1</v>
      </c>
      <c r="CV2289" s="8">
        <f>0</f>
        <v>0</v>
      </c>
      <c r="CX2289" s="8">
        <f>0</f>
        <v>0</v>
      </c>
      <c r="CY2289" s="8">
        <f>1</f>
        <v>1</v>
      </c>
      <c r="DA2289" s="5" t="s">
        <v>274</v>
      </c>
      <c r="DB2289" s="5" t="s">
        <v>238</v>
      </c>
      <c r="DD2289" s="5" t="s">
        <v>274</v>
      </c>
      <c r="DE2289" s="8">
        <f>309</f>
        <v>309</v>
      </c>
      <c r="DG2289" s="5" t="s">
        <v>238</v>
      </c>
      <c r="DH2289" s="5" t="s">
        <v>238</v>
      </c>
      <c r="DI2289" s="5" t="s">
        <v>238</v>
      </c>
      <c r="DJ2289" s="5" t="s">
        <v>238</v>
      </c>
      <c r="DN2289" s="5" t="s">
        <v>238</v>
      </c>
      <c r="DO2289" s="5" t="s">
        <v>238</v>
      </c>
      <c r="DP2289" s="5" t="s">
        <v>238</v>
      </c>
      <c r="DQ2289" s="5" t="s">
        <v>238</v>
      </c>
      <c r="DT2289" s="5" t="s">
        <v>275</v>
      </c>
      <c r="DU2289" s="5" t="s">
        <v>3036</v>
      </c>
      <c r="HM2289" s="5" t="s">
        <v>264</v>
      </c>
    </row>
    <row r="2290" spans="1:221" x14ac:dyDescent="0.4">
      <c r="A2290" s="5">
        <v>3994</v>
      </c>
      <c r="B2290" s="5">
        <v>1</v>
      </c>
      <c r="C2290" s="5">
        <v>1</v>
      </c>
      <c r="D2290" s="5" t="s">
        <v>269</v>
      </c>
      <c r="E2290" s="5" t="s">
        <v>271</v>
      </c>
      <c r="F2290" s="5" t="s">
        <v>248</v>
      </c>
      <c r="G2290" s="5" t="s">
        <v>266</v>
      </c>
      <c r="H2290" s="6" t="s">
        <v>5940</v>
      </c>
      <c r="I2290" s="7">
        <f>814</f>
        <v>814</v>
      </c>
      <c r="J2290" s="5" t="s">
        <v>262</v>
      </c>
      <c r="K2290" s="8">
        <f>1</f>
        <v>1</v>
      </c>
      <c r="L2290" s="6" t="s">
        <v>242</v>
      </c>
      <c r="M2290" s="5" t="s">
        <v>267</v>
      </c>
      <c r="N2290" s="5" t="s">
        <v>265</v>
      </c>
      <c r="O2290" s="5" t="s">
        <v>238</v>
      </c>
      <c r="P2290" s="5" t="s">
        <v>238</v>
      </c>
      <c r="Q2290" s="5" t="s">
        <v>268</v>
      </c>
      <c r="R2290" s="5" t="s">
        <v>270</v>
      </c>
      <c r="S2290" s="5" t="s">
        <v>238</v>
      </c>
      <c r="V2290" s="5" t="s">
        <v>238</v>
      </c>
      <c r="X2290" s="6" t="s">
        <v>238</v>
      </c>
      <c r="AA2290" s="6" t="s">
        <v>243</v>
      </c>
      <c r="AB2290" s="5" t="s">
        <v>238</v>
      </c>
      <c r="AC2290" s="5" t="s">
        <v>244</v>
      </c>
      <c r="AD2290" s="5" t="s">
        <v>245</v>
      </c>
      <c r="AT2290" s="5" t="s">
        <v>246</v>
      </c>
      <c r="AU2290" s="5" t="s">
        <v>238</v>
      </c>
      <c r="AV2290" s="5" t="s">
        <v>247</v>
      </c>
      <c r="AW2290" s="5" t="s">
        <v>238</v>
      </c>
      <c r="AX2290" s="5" t="s">
        <v>249</v>
      </c>
      <c r="AY2290" s="5" t="s">
        <v>238</v>
      </c>
      <c r="BA2290" s="5" t="s">
        <v>238</v>
      </c>
      <c r="BC2290" s="5" t="s">
        <v>250</v>
      </c>
      <c r="BD2290" s="6" t="s">
        <v>243</v>
      </c>
      <c r="BE2290" s="5" t="s">
        <v>251</v>
      </c>
      <c r="BF2290" s="5" t="s">
        <v>252</v>
      </c>
      <c r="BG2290" s="5" t="s">
        <v>238</v>
      </c>
      <c r="BH2290" s="7">
        <f>0</f>
        <v>0</v>
      </c>
      <c r="BI2290" s="8">
        <f>0</f>
        <v>0</v>
      </c>
      <c r="BJ2290" s="5" t="s">
        <v>253</v>
      </c>
      <c r="BK2290" s="5" t="s">
        <v>254</v>
      </c>
      <c r="BY2290" s="5" t="s">
        <v>238</v>
      </c>
      <c r="BZ2290" s="5" t="s">
        <v>238</v>
      </c>
      <c r="CD2290" s="5" t="s">
        <v>273</v>
      </c>
      <c r="CE2290" s="5" t="s">
        <v>256</v>
      </c>
      <c r="CF2290" s="5" t="s">
        <v>238</v>
      </c>
      <c r="CI2290" s="6" t="s">
        <v>257</v>
      </c>
      <c r="CJ2290" s="5" t="s">
        <v>238</v>
      </c>
      <c r="CK2290" s="5" t="s">
        <v>258</v>
      </c>
      <c r="CL2290" s="5" t="s">
        <v>238</v>
      </c>
      <c r="CM2290" s="5" t="s">
        <v>238</v>
      </c>
      <c r="CN2290" s="5">
        <v>0</v>
      </c>
      <c r="CO2290" s="5" t="s">
        <v>259</v>
      </c>
      <c r="CP2290" s="5" t="s">
        <v>260</v>
      </c>
      <c r="CQ2290" s="5" t="s">
        <v>260</v>
      </c>
      <c r="CR2290" s="5" t="s">
        <v>261</v>
      </c>
      <c r="CU2290" s="8">
        <f>1</f>
        <v>1</v>
      </c>
      <c r="CV2290" s="8">
        <f>0</f>
        <v>0</v>
      </c>
      <c r="CX2290" s="8">
        <f>0</f>
        <v>0</v>
      </c>
      <c r="CY2290" s="8">
        <f>1</f>
        <v>1</v>
      </c>
      <c r="DA2290" s="5" t="s">
        <v>274</v>
      </c>
      <c r="DB2290" s="5" t="s">
        <v>238</v>
      </c>
      <c r="DD2290" s="5" t="s">
        <v>274</v>
      </c>
      <c r="DE2290" s="8">
        <f>814</f>
        <v>814</v>
      </c>
      <c r="DG2290" s="5" t="s">
        <v>238</v>
      </c>
      <c r="DH2290" s="5" t="s">
        <v>238</v>
      </c>
      <c r="DI2290" s="5" t="s">
        <v>238</v>
      </c>
      <c r="DJ2290" s="5" t="s">
        <v>238</v>
      </c>
      <c r="DN2290" s="5" t="s">
        <v>238</v>
      </c>
      <c r="DO2290" s="5" t="s">
        <v>238</v>
      </c>
      <c r="DP2290" s="5" t="s">
        <v>238</v>
      </c>
      <c r="DQ2290" s="5" t="s">
        <v>238</v>
      </c>
      <c r="DT2290" s="5" t="s">
        <v>275</v>
      </c>
      <c r="DU2290" s="5" t="s">
        <v>3032</v>
      </c>
      <c r="HM2290" s="5" t="s">
        <v>264</v>
      </c>
    </row>
    <row r="2291" spans="1:221" x14ac:dyDescent="0.4">
      <c r="A2291" s="5">
        <v>3995</v>
      </c>
      <c r="B2291" s="5">
        <v>1</v>
      </c>
      <c r="C2291" s="5">
        <v>1</v>
      </c>
      <c r="D2291" s="5" t="s">
        <v>269</v>
      </c>
      <c r="E2291" s="5" t="s">
        <v>271</v>
      </c>
      <c r="F2291" s="5" t="s">
        <v>248</v>
      </c>
      <c r="G2291" s="5" t="s">
        <v>266</v>
      </c>
      <c r="H2291" s="6" t="s">
        <v>4357</v>
      </c>
      <c r="I2291" s="7">
        <f>189</f>
        <v>189</v>
      </c>
      <c r="J2291" s="5" t="s">
        <v>262</v>
      </c>
      <c r="K2291" s="8">
        <f>1</f>
        <v>1</v>
      </c>
      <c r="L2291" s="6" t="s">
        <v>242</v>
      </c>
      <c r="M2291" s="5" t="s">
        <v>267</v>
      </c>
      <c r="N2291" s="5" t="s">
        <v>265</v>
      </c>
      <c r="O2291" s="5" t="s">
        <v>238</v>
      </c>
      <c r="P2291" s="5" t="s">
        <v>238</v>
      </c>
      <c r="Q2291" s="5" t="s">
        <v>268</v>
      </c>
      <c r="R2291" s="5" t="s">
        <v>270</v>
      </c>
      <c r="S2291" s="5" t="s">
        <v>238</v>
      </c>
      <c r="V2291" s="5" t="s">
        <v>238</v>
      </c>
      <c r="X2291" s="6" t="s">
        <v>238</v>
      </c>
      <c r="AA2291" s="6" t="s">
        <v>243</v>
      </c>
      <c r="AB2291" s="5" t="s">
        <v>238</v>
      </c>
      <c r="AC2291" s="5" t="s">
        <v>244</v>
      </c>
      <c r="AD2291" s="5" t="s">
        <v>245</v>
      </c>
      <c r="AT2291" s="5" t="s">
        <v>246</v>
      </c>
      <c r="AU2291" s="5" t="s">
        <v>238</v>
      </c>
      <c r="AV2291" s="5" t="s">
        <v>247</v>
      </c>
      <c r="AW2291" s="5" t="s">
        <v>238</v>
      </c>
      <c r="AX2291" s="5" t="s">
        <v>249</v>
      </c>
      <c r="AY2291" s="5" t="s">
        <v>238</v>
      </c>
      <c r="BA2291" s="5" t="s">
        <v>238</v>
      </c>
      <c r="BC2291" s="5" t="s">
        <v>250</v>
      </c>
      <c r="BD2291" s="6" t="s">
        <v>243</v>
      </c>
      <c r="BE2291" s="5" t="s">
        <v>251</v>
      </c>
      <c r="BF2291" s="5" t="s">
        <v>252</v>
      </c>
      <c r="BG2291" s="5" t="s">
        <v>238</v>
      </c>
      <c r="BH2291" s="7">
        <f>0</f>
        <v>0</v>
      </c>
      <c r="BI2291" s="8">
        <f>0</f>
        <v>0</v>
      </c>
      <c r="BJ2291" s="5" t="s">
        <v>253</v>
      </c>
      <c r="BK2291" s="5" t="s">
        <v>254</v>
      </c>
      <c r="BY2291" s="5" t="s">
        <v>238</v>
      </c>
      <c r="BZ2291" s="5" t="s">
        <v>238</v>
      </c>
      <c r="CD2291" s="5" t="s">
        <v>273</v>
      </c>
      <c r="CE2291" s="5" t="s">
        <v>256</v>
      </c>
      <c r="CF2291" s="5" t="s">
        <v>238</v>
      </c>
      <c r="CI2291" s="6" t="s">
        <v>257</v>
      </c>
      <c r="CJ2291" s="5" t="s">
        <v>238</v>
      </c>
      <c r="CK2291" s="5" t="s">
        <v>258</v>
      </c>
      <c r="CL2291" s="5" t="s">
        <v>238</v>
      </c>
      <c r="CM2291" s="5" t="s">
        <v>238</v>
      </c>
      <c r="CN2291" s="5">
        <v>0</v>
      </c>
      <c r="CO2291" s="5" t="s">
        <v>259</v>
      </c>
      <c r="CP2291" s="5" t="s">
        <v>260</v>
      </c>
      <c r="CQ2291" s="5" t="s">
        <v>260</v>
      </c>
      <c r="CR2291" s="5" t="s">
        <v>261</v>
      </c>
      <c r="CU2291" s="8">
        <f>1</f>
        <v>1</v>
      </c>
      <c r="CV2291" s="8">
        <f>0</f>
        <v>0</v>
      </c>
      <c r="CX2291" s="8">
        <f>0</f>
        <v>0</v>
      </c>
      <c r="CY2291" s="8">
        <f>1</f>
        <v>1</v>
      </c>
      <c r="DA2291" s="5" t="s">
        <v>274</v>
      </c>
      <c r="DB2291" s="5" t="s">
        <v>238</v>
      </c>
      <c r="DD2291" s="5" t="s">
        <v>274</v>
      </c>
      <c r="DE2291" s="8">
        <f>189</f>
        <v>189</v>
      </c>
      <c r="DG2291" s="5" t="s">
        <v>238</v>
      </c>
      <c r="DH2291" s="5" t="s">
        <v>238</v>
      </c>
      <c r="DI2291" s="5" t="s">
        <v>238</v>
      </c>
      <c r="DJ2291" s="5" t="s">
        <v>238</v>
      </c>
      <c r="DN2291" s="5" t="s">
        <v>238</v>
      </c>
      <c r="DO2291" s="5" t="s">
        <v>238</v>
      </c>
      <c r="DP2291" s="5" t="s">
        <v>238</v>
      </c>
      <c r="DQ2291" s="5" t="s">
        <v>238</v>
      </c>
      <c r="DT2291" s="5" t="s">
        <v>275</v>
      </c>
      <c r="DU2291" s="5" t="s">
        <v>3030</v>
      </c>
      <c r="HM2291" s="5" t="s">
        <v>264</v>
      </c>
    </row>
    <row r="2292" spans="1:221" x14ac:dyDescent="0.4">
      <c r="A2292" s="5">
        <v>3996</v>
      </c>
      <c r="B2292" s="5">
        <v>1</v>
      </c>
      <c r="C2292" s="5">
        <v>1</v>
      </c>
      <c r="D2292" s="5" t="s">
        <v>269</v>
      </c>
      <c r="E2292" s="5" t="s">
        <v>271</v>
      </c>
      <c r="F2292" s="5" t="s">
        <v>248</v>
      </c>
      <c r="G2292" s="5" t="s">
        <v>266</v>
      </c>
      <c r="H2292" s="6" t="s">
        <v>5944</v>
      </c>
      <c r="I2292" s="7">
        <f>464</f>
        <v>464</v>
      </c>
      <c r="J2292" s="5" t="s">
        <v>262</v>
      </c>
      <c r="K2292" s="8">
        <f>1</f>
        <v>1</v>
      </c>
      <c r="L2292" s="6" t="s">
        <v>242</v>
      </c>
      <c r="M2292" s="5" t="s">
        <v>267</v>
      </c>
      <c r="N2292" s="5" t="s">
        <v>265</v>
      </c>
      <c r="O2292" s="5" t="s">
        <v>238</v>
      </c>
      <c r="P2292" s="5" t="s">
        <v>238</v>
      </c>
      <c r="Q2292" s="5" t="s">
        <v>268</v>
      </c>
      <c r="R2292" s="5" t="s">
        <v>270</v>
      </c>
      <c r="S2292" s="5" t="s">
        <v>238</v>
      </c>
      <c r="V2292" s="5" t="s">
        <v>238</v>
      </c>
      <c r="X2292" s="6" t="s">
        <v>238</v>
      </c>
      <c r="AA2292" s="6" t="s">
        <v>243</v>
      </c>
      <c r="AB2292" s="5" t="s">
        <v>238</v>
      </c>
      <c r="AC2292" s="5" t="s">
        <v>244</v>
      </c>
      <c r="AD2292" s="5" t="s">
        <v>245</v>
      </c>
      <c r="AT2292" s="5" t="s">
        <v>246</v>
      </c>
      <c r="AU2292" s="5" t="s">
        <v>238</v>
      </c>
      <c r="AV2292" s="5" t="s">
        <v>247</v>
      </c>
      <c r="AW2292" s="5" t="s">
        <v>238</v>
      </c>
      <c r="AX2292" s="5" t="s">
        <v>249</v>
      </c>
      <c r="AY2292" s="5" t="s">
        <v>238</v>
      </c>
      <c r="BA2292" s="5" t="s">
        <v>238</v>
      </c>
      <c r="BC2292" s="5" t="s">
        <v>250</v>
      </c>
      <c r="BD2292" s="6" t="s">
        <v>243</v>
      </c>
      <c r="BE2292" s="5" t="s">
        <v>251</v>
      </c>
      <c r="BF2292" s="5" t="s">
        <v>252</v>
      </c>
      <c r="BG2292" s="5" t="s">
        <v>238</v>
      </c>
      <c r="BH2292" s="7">
        <f>0</f>
        <v>0</v>
      </c>
      <c r="BI2292" s="8">
        <f>0</f>
        <v>0</v>
      </c>
      <c r="BJ2292" s="5" t="s">
        <v>253</v>
      </c>
      <c r="BK2292" s="5" t="s">
        <v>254</v>
      </c>
      <c r="BY2292" s="5" t="s">
        <v>238</v>
      </c>
      <c r="BZ2292" s="5" t="s">
        <v>238</v>
      </c>
      <c r="CD2292" s="5" t="s">
        <v>273</v>
      </c>
      <c r="CE2292" s="5" t="s">
        <v>256</v>
      </c>
      <c r="CF2292" s="5" t="s">
        <v>238</v>
      </c>
      <c r="CI2292" s="6" t="s">
        <v>257</v>
      </c>
      <c r="CJ2292" s="5" t="s">
        <v>238</v>
      </c>
      <c r="CK2292" s="5" t="s">
        <v>258</v>
      </c>
      <c r="CL2292" s="5" t="s">
        <v>238</v>
      </c>
      <c r="CM2292" s="5" t="s">
        <v>238</v>
      </c>
      <c r="CN2292" s="5">
        <v>0</v>
      </c>
      <c r="CO2292" s="5" t="s">
        <v>259</v>
      </c>
      <c r="CP2292" s="5" t="s">
        <v>260</v>
      </c>
      <c r="CQ2292" s="5" t="s">
        <v>260</v>
      </c>
      <c r="CR2292" s="5" t="s">
        <v>261</v>
      </c>
      <c r="CU2292" s="8">
        <f>1</f>
        <v>1</v>
      </c>
      <c r="CV2292" s="8">
        <f>0</f>
        <v>0</v>
      </c>
      <c r="CX2292" s="8">
        <f>0</f>
        <v>0</v>
      </c>
      <c r="CY2292" s="8">
        <f>1</f>
        <v>1</v>
      </c>
      <c r="DA2292" s="5" t="s">
        <v>274</v>
      </c>
      <c r="DB2292" s="5" t="s">
        <v>238</v>
      </c>
      <c r="DD2292" s="5" t="s">
        <v>274</v>
      </c>
      <c r="DE2292" s="8">
        <f>464</f>
        <v>464</v>
      </c>
      <c r="DG2292" s="5" t="s">
        <v>238</v>
      </c>
      <c r="DH2292" s="5" t="s">
        <v>238</v>
      </c>
      <c r="DI2292" s="5" t="s">
        <v>238</v>
      </c>
      <c r="DJ2292" s="5" t="s">
        <v>238</v>
      </c>
      <c r="DN2292" s="5" t="s">
        <v>238</v>
      </c>
      <c r="DO2292" s="5" t="s">
        <v>238</v>
      </c>
      <c r="DP2292" s="5" t="s">
        <v>238</v>
      </c>
      <c r="DQ2292" s="5" t="s">
        <v>238</v>
      </c>
      <c r="DT2292" s="5" t="s">
        <v>275</v>
      </c>
      <c r="DU2292" s="5" t="s">
        <v>3028</v>
      </c>
      <c r="HM2292" s="5" t="s">
        <v>264</v>
      </c>
    </row>
    <row r="2293" spans="1:221" x14ac:dyDescent="0.4">
      <c r="A2293" s="5">
        <v>3997</v>
      </c>
      <c r="B2293" s="5">
        <v>1</v>
      </c>
      <c r="C2293" s="5">
        <v>1</v>
      </c>
      <c r="D2293" s="5" t="s">
        <v>269</v>
      </c>
      <c r="E2293" s="5" t="s">
        <v>271</v>
      </c>
      <c r="F2293" s="5" t="s">
        <v>248</v>
      </c>
      <c r="G2293" s="5" t="s">
        <v>266</v>
      </c>
      <c r="H2293" s="6" t="s">
        <v>4144</v>
      </c>
      <c r="I2293" s="7">
        <f>97</f>
        <v>97</v>
      </c>
      <c r="J2293" s="5" t="s">
        <v>262</v>
      </c>
      <c r="K2293" s="8">
        <f>1</f>
        <v>1</v>
      </c>
      <c r="L2293" s="6" t="s">
        <v>242</v>
      </c>
      <c r="M2293" s="5" t="s">
        <v>267</v>
      </c>
      <c r="N2293" s="5" t="s">
        <v>265</v>
      </c>
      <c r="O2293" s="5" t="s">
        <v>238</v>
      </c>
      <c r="P2293" s="5" t="s">
        <v>238</v>
      </c>
      <c r="Q2293" s="5" t="s">
        <v>268</v>
      </c>
      <c r="R2293" s="5" t="s">
        <v>270</v>
      </c>
      <c r="S2293" s="5" t="s">
        <v>238</v>
      </c>
      <c r="V2293" s="5" t="s">
        <v>238</v>
      </c>
      <c r="X2293" s="6" t="s">
        <v>238</v>
      </c>
      <c r="AA2293" s="6" t="s">
        <v>243</v>
      </c>
      <c r="AB2293" s="5" t="s">
        <v>238</v>
      </c>
      <c r="AC2293" s="5" t="s">
        <v>244</v>
      </c>
      <c r="AD2293" s="5" t="s">
        <v>245</v>
      </c>
      <c r="AT2293" s="5" t="s">
        <v>246</v>
      </c>
      <c r="AU2293" s="5" t="s">
        <v>238</v>
      </c>
      <c r="AV2293" s="5" t="s">
        <v>247</v>
      </c>
      <c r="AW2293" s="5" t="s">
        <v>238</v>
      </c>
      <c r="AX2293" s="5" t="s">
        <v>249</v>
      </c>
      <c r="AY2293" s="5" t="s">
        <v>238</v>
      </c>
      <c r="BA2293" s="5" t="s">
        <v>238</v>
      </c>
      <c r="BC2293" s="5" t="s">
        <v>250</v>
      </c>
      <c r="BD2293" s="6" t="s">
        <v>243</v>
      </c>
      <c r="BE2293" s="5" t="s">
        <v>251</v>
      </c>
      <c r="BF2293" s="5" t="s">
        <v>252</v>
      </c>
      <c r="BG2293" s="5" t="s">
        <v>238</v>
      </c>
      <c r="BH2293" s="7">
        <f>0</f>
        <v>0</v>
      </c>
      <c r="BI2293" s="8">
        <f>0</f>
        <v>0</v>
      </c>
      <c r="BJ2293" s="5" t="s">
        <v>253</v>
      </c>
      <c r="BK2293" s="5" t="s">
        <v>254</v>
      </c>
      <c r="BY2293" s="5" t="s">
        <v>238</v>
      </c>
      <c r="BZ2293" s="5" t="s">
        <v>238</v>
      </c>
      <c r="CD2293" s="5" t="s">
        <v>273</v>
      </c>
      <c r="CE2293" s="5" t="s">
        <v>256</v>
      </c>
      <c r="CF2293" s="5" t="s">
        <v>238</v>
      </c>
      <c r="CI2293" s="6" t="s">
        <v>257</v>
      </c>
      <c r="CJ2293" s="5" t="s">
        <v>238</v>
      </c>
      <c r="CK2293" s="5" t="s">
        <v>258</v>
      </c>
      <c r="CL2293" s="5" t="s">
        <v>238</v>
      </c>
      <c r="CM2293" s="5" t="s">
        <v>238</v>
      </c>
      <c r="CN2293" s="5">
        <v>0</v>
      </c>
      <c r="CO2293" s="5" t="s">
        <v>259</v>
      </c>
      <c r="CP2293" s="5" t="s">
        <v>260</v>
      </c>
      <c r="CQ2293" s="5" t="s">
        <v>260</v>
      </c>
      <c r="CR2293" s="5" t="s">
        <v>261</v>
      </c>
      <c r="CU2293" s="8">
        <f>1</f>
        <v>1</v>
      </c>
      <c r="CV2293" s="8">
        <f>0</f>
        <v>0</v>
      </c>
      <c r="CX2293" s="8">
        <f>0</f>
        <v>0</v>
      </c>
      <c r="CY2293" s="8">
        <f>1</f>
        <v>1</v>
      </c>
      <c r="DA2293" s="5" t="s">
        <v>274</v>
      </c>
      <c r="DB2293" s="5" t="s">
        <v>238</v>
      </c>
      <c r="DD2293" s="5" t="s">
        <v>274</v>
      </c>
      <c r="DE2293" s="8">
        <f>97</f>
        <v>97</v>
      </c>
      <c r="DG2293" s="5" t="s">
        <v>238</v>
      </c>
      <c r="DH2293" s="5" t="s">
        <v>238</v>
      </c>
      <c r="DI2293" s="5" t="s">
        <v>238</v>
      </c>
      <c r="DJ2293" s="5" t="s">
        <v>238</v>
      </c>
      <c r="DN2293" s="5" t="s">
        <v>238</v>
      </c>
      <c r="DO2293" s="5" t="s">
        <v>238</v>
      </c>
      <c r="DP2293" s="5" t="s">
        <v>238</v>
      </c>
      <c r="DQ2293" s="5" t="s">
        <v>238</v>
      </c>
      <c r="DT2293" s="5" t="s">
        <v>275</v>
      </c>
      <c r="DU2293" s="5" t="s">
        <v>3026</v>
      </c>
      <c r="HM2293" s="5" t="s">
        <v>264</v>
      </c>
    </row>
    <row r="2294" spans="1:221" x14ac:dyDescent="0.4">
      <c r="A2294" s="5">
        <v>3998</v>
      </c>
      <c r="B2294" s="5">
        <v>1</v>
      </c>
      <c r="C2294" s="5">
        <v>1</v>
      </c>
      <c r="D2294" s="5" t="s">
        <v>269</v>
      </c>
      <c r="E2294" s="5" t="s">
        <v>271</v>
      </c>
      <c r="F2294" s="5" t="s">
        <v>248</v>
      </c>
      <c r="G2294" s="5" t="s">
        <v>266</v>
      </c>
      <c r="H2294" s="6" t="s">
        <v>4256</v>
      </c>
      <c r="I2294" s="7">
        <f>741</f>
        <v>741</v>
      </c>
      <c r="J2294" s="5" t="s">
        <v>262</v>
      </c>
      <c r="K2294" s="8">
        <f>1</f>
        <v>1</v>
      </c>
      <c r="L2294" s="6" t="s">
        <v>242</v>
      </c>
      <c r="M2294" s="5" t="s">
        <v>267</v>
      </c>
      <c r="N2294" s="5" t="s">
        <v>265</v>
      </c>
      <c r="O2294" s="5" t="s">
        <v>238</v>
      </c>
      <c r="P2294" s="5" t="s">
        <v>238</v>
      </c>
      <c r="Q2294" s="5" t="s">
        <v>268</v>
      </c>
      <c r="R2294" s="5" t="s">
        <v>270</v>
      </c>
      <c r="S2294" s="5" t="s">
        <v>238</v>
      </c>
      <c r="V2294" s="5" t="s">
        <v>238</v>
      </c>
      <c r="X2294" s="6" t="s">
        <v>238</v>
      </c>
      <c r="AA2294" s="6" t="s">
        <v>243</v>
      </c>
      <c r="AB2294" s="5" t="s">
        <v>238</v>
      </c>
      <c r="AC2294" s="5" t="s">
        <v>244</v>
      </c>
      <c r="AD2294" s="5" t="s">
        <v>245</v>
      </c>
      <c r="AT2294" s="5" t="s">
        <v>246</v>
      </c>
      <c r="AU2294" s="5" t="s">
        <v>238</v>
      </c>
      <c r="AV2294" s="5" t="s">
        <v>247</v>
      </c>
      <c r="AW2294" s="5" t="s">
        <v>238</v>
      </c>
      <c r="AX2294" s="5" t="s">
        <v>249</v>
      </c>
      <c r="AY2294" s="5" t="s">
        <v>238</v>
      </c>
      <c r="BA2294" s="5" t="s">
        <v>238</v>
      </c>
      <c r="BC2294" s="5" t="s">
        <v>250</v>
      </c>
      <c r="BD2294" s="6" t="s">
        <v>243</v>
      </c>
      <c r="BE2294" s="5" t="s">
        <v>251</v>
      </c>
      <c r="BF2294" s="5" t="s">
        <v>252</v>
      </c>
      <c r="BG2294" s="5" t="s">
        <v>238</v>
      </c>
      <c r="BH2294" s="7">
        <f>0</f>
        <v>0</v>
      </c>
      <c r="BI2294" s="8">
        <f>0</f>
        <v>0</v>
      </c>
      <c r="BJ2294" s="5" t="s">
        <v>253</v>
      </c>
      <c r="BK2294" s="5" t="s">
        <v>254</v>
      </c>
      <c r="BY2294" s="5" t="s">
        <v>238</v>
      </c>
      <c r="BZ2294" s="5" t="s">
        <v>238</v>
      </c>
      <c r="CD2294" s="5" t="s">
        <v>273</v>
      </c>
      <c r="CE2294" s="5" t="s">
        <v>256</v>
      </c>
      <c r="CF2294" s="5" t="s">
        <v>238</v>
      </c>
      <c r="CI2294" s="6" t="s">
        <v>257</v>
      </c>
      <c r="CJ2294" s="5" t="s">
        <v>238</v>
      </c>
      <c r="CK2294" s="5" t="s">
        <v>258</v>
      </c>
      <c r="CL2294" s="5" t="s">
        <v>238</v>
      </c>
      <c r="CM2294" s="5" t="s">
        <v>238</v>
      </c>
      <c r="CN2294" s="5">
        <v>0</v>
      </c>
      <c r="CO2294" s="5" t="s">
        <v>259</v>
      </c>
      <c r="CP2294" s="5" t="s">
        <v>260</v>
      </c>
      <c r="CQ2294" s="5" t="s">
        <v>260</v>
      </c>
      <c r="CR2294" s="5" t="s">
        <v>261</v>
      </c>
      <c r="CU2294" s="8">
        <f>1</f>
        <v>1</v>
      </c>
      <c r="CV2294" s="8">
        <f>0</f>
        <v>0</v>
      </c>
      <c r="CX2294" s="8">
        <f>0</f>
        <v>0</v>
      </c>
      <c r="CY2294" s="8">
        <f>1</f>
        <v>1</v>
      </c>
      <c r="DA2294" s="5" t="s">
        <v>274</v>
      </c>
      <c r="DB2294" s="5" t="s">
        <v>238</v>
      </c>
      <c r="DD2294" s="5" t="s">
        <v>274</v>
      </c>
      <c r="DE2294" s="8">
        <f>741</f>
        <v>741</v>
      </c>
      <c r="DG2294" s="5" t="s">
        <v>238</v>
      </c>
      <c r="DH2294" s="5" t="s">
        <v>238</v>
      </c>
      <c r="DI2294" s="5" t="s">
        <v>238</v>
      </c>
      <c r="DJ2294" s="5" t="s">
        <v>238</v>
      </c>
      <c r="DN2294" s="5" t="s">
        <v>238</v>
      </c>
      <c r="DO2294" s="5" t="s">
        <v>238</v>
      </c>
      <c r="DP2294" s="5" t="s">
        <v>238</v>
      </c>
      <c r="DQ2294" s="5" t="s">
        <v>238</v>
      </c>
      <c r="DT2294" s="5" t="s">
        <v>275</v>
      </c>
      <c r="DU2294" s="5" t="s">
        <v>3024</v>
      </c>
      <c r="HM2294" s="5" t="s">
        <v>264</v>
      </c>
    </row>
    <row r="2295" spans="1:221" x14ac:dyDescent="0.4">
      <c r="A2295" s="5">
        <v>3999</v>
      </c>
      <c r="B2295" s="5">
        <v>1</v>
      </c>
      <c r="C2295" s="5">
        <v>1</v>
      </c>
      <c r="D2295" s="5" t="s">
        <v>269</v>
      </c>
      <c r="E2295" s="5" t="s">
        <v>271</v>
      </c>
      <c r="F2295" s="5" t="s">
        <v>248</v>
      </c>
      <c r="G2295" s="5" t="s">
        <v>266</v>
      </c>
      <c r="H2295" s="6" t="s">
        <v>4221</v>
      </c>
      <c r="I2295" s="7">
        <f>237</f>
        <v>237</v>
      </c>
      <c r="J2295" s="5" t="s">
        <v>262</v>
      </c>
      <c r="K2295" s="8">
        <f>1</f>
        <v>1</v>
      </c>
      <c r="L2295" s="6" t="s">
        <v>242</v>
      </c>
      <c r="M2295" s="5" t="s">
        <v>267</v>
      </c>
      <c r="N2295" s="5" t="s">
        <v>265</v>
      </c>
      <c r="O2295" s="5" t="s">
        <v>238</v>
      </c>
      <c r="P2295" s="5" t="s">
        <v>238</v>
      </c>
      <c r="Q2295" s="5" t="s">
        <v>268</v>
      </c>
      <c r="R2295" s="5" t="s">
        <v>270</v>
      </c>
      <c r="S2295" s="5" t="s">
        <v>238</v>
      </c>
      <c r="V2295" s="5" t="s">
        <v>238</v>
      </c>
      <c r="X2295" s="6" t="s">
        <v>238</v>
      </c>
      <c r="AA2295" s="6" t="s">
        <v>243</v>
      </c>
      <c r="AB2295" s="5" t="s">
        <v>238</v>
      </c>
      <c r="AC2295" s="5" t="s">
        <v>244</v>
      </c>
      <c r="AD2295" s="5" t="s">
        <v>245</v>
      </c>
      <c r="AT2295" s="5" t="s">
        <v>246</v>
      </c>
      <c r="AU2295" s="5" t="s">
        <v>238</v>
      </c>
      <c r="AV2295" s="5" t="s">
        <v>247</v>
      </c>
      <c r="AW2295" s="5" t="s">
        <v>238</v>
      </c>
      <c r="AX2295" s="5" t="s">
        <v>249</v>
      </c>
      <c r="AY2295" s="5" t="s">
        <v>238</v>
      </c>
      <c r="BA2295" s="5" t="s">
        <v>238</v>
      </c>
      <c r="BC2295" s="5" t="s">
        <v>250</v>
      </c>
      <c r="BD2295" s="6" t="s">
        <v>243</v>
      </c>
      <c r="BE2295" s="5" t="s">
        <v>251</v>
      </c>
      <c r="BF2295" s="5" t="s">
        <v>252</v>
      </c>
      <c r="BG2295" s="5" t="s">
        <v>238</v>
      </c>
      <c r="BH2295" s="7">
        <f>0</f>
        <v>0</v>
      </c>
      <c r="BI2295" s="8">
        <f>0</f>
        <v>0</v>
      </c>
      <c r="BJ2295" s="5" t="s">
        <v>253</v>
      </c>
      <c r="BK2295" s="5" t="s">
        <v>254</v>
      </c>
      <c r="BY2295" s="5" t="s">
        <v>238</v>
      </c>
      <c r="BZ2295" s="5" t="s">
        <v>238</v>
      </c>
      <c r="CD2295" s="5" t="s">
        <v>273</v>
      </c>
      <c r="CE2295" s="5" t="s">
        <v>256</v>
      </c>
      <c r="CF2295" s="5" t="s">
        <v>238</v>
      </c>
      <c r="CI2295" s="6" t="s">
        <v>257</v>
      </c>
      <c r="CJ2295" s="5" t="s">
        <v>238</v>
      </c>
      <c r="CK2295" s="5" t="s">
        <v>258</v>
      </c>
      <c r="CL2295" s="5" t="s">
        <v>238</v>
      </c>
      <c r="CM2295" s="5" t="s">
        <v>238</v>
      </c>
      <c r="CN2295" s="5">
        <v>0</v>
      </c>
      <c r="CO2295" s="5" t="s">
        <v>259</v>
      </c>
      <c r="CP2295" s="5" t="s">
        <v>260</v>
      </c>
      <c r="CQ2295" s="5" t="s">
        <v>260</v>
      </c>
      <c r="CR2295" s="5" t="s">
        <v>261</v>
      </c>
      <c r="CU2295" s="8">
        <f>1</f>
        <v>1</v>
      </c>
      <c r="CV2295" s="8">
        <f>0</f>
        <v>0</v>
      </c>
      <c r="CX2295" s="8">
        <f>0</f>
        <v>0</v>
      </c>
      <c r="CY2295" s="8">
        <f>1</f>
        <v>1</v>
      </c>
      <c r="DA2295" s="5" t="s">
        <v>274</v>
      </c>
      <c r="DB2295" s="5" t="s">
        <v>238</v>
      </c>
      <c r="DD2295" s="5" t="s">
        <v>274</v>
      </c>
      <c r="DE2295" s="8">
        <f>237</f>
        <v>237</v>
      </c>
      <c r="DG2295" s="5" t="s">
        <v>238</v>
      </c>
      <c r="DH2295" s="5" t="s">
        <v>238</v>
      </c>
      <c r="DI2295" s="5" t="s">
        <v>238</v>
      </c>
      <c r="DJ2295" s="5" t="s">
        <v>238</v>
      </c>
      <c r="DN2295" s="5" t="s">
        <v>238</v>
      </c>
      <c r="DO2295" s="5" t="s">
        <v>238</v>
      </c>
      <c r="DP2295" s="5" t="s">
        <v>238</v>
      </c>
      <c r="DQ2295" s="5" t="s">
        <v>238</v>
      </c>
      <c r="DT2295" s="5" t="s">
        <v>275</v>
      </c>
      <c r="DU2295" s="5" t="s">
        <v>3022</v>
      </c>
      <c r="HM2295" s="5" t="s">
        <v>264</v>
      </c>
    </row>
    <row r="2296" spans="1:221" x14ac:dyDescent="0.4">
      <c r="A2296" s="5">
        <v>4000</v>
      </c>
      <c r="B2296" s="5">
        <v>1</v>
      </c>
      <c r="C2296" s="5">
        <v>1</v>
      </c>
      <c r="D2296" s="5" t="s">
        <v>269</v>
      </c>
      <c r="E2296" s="5" t="s">
        <v>271</v>
      </c>
      <c r="F2296" s="5" t="s">
        <v>248</v>
      </c>
      <c r="G2296" s="5" t="s">
        <v>266</v>
      </c>
      <c r="H2296" s="6" t="s">
        <v>4213</v>
      </c>
      <c r="I2296" s="7">
        <f>311</f>
        <v>311</v>
      </c>
      <c r="J2296" s="5" t="s">
        <v>262</v>
      </c>
      <c r="K2296" s="8">
        <f>1</f>
        <v>1</v>
      </c>
      <c r="L2296" s="6" t="s">
        <v>242</v>
      </c>
      <c r="M2296" s="5" t="s">
        <v>267</v>
      </c>
      <c r="N2296" s="5" t="s">
        <v>265</v>
      </c>
      <c r="O2296" s="5" t="s">
        <v>238</v>
      </c>
      <c r="P2296" s="5" t="s">
        <v>238</v>
      </c>
      <c r="Q2296" s="5" t="s">
        <v>268</v>
      </c>
      <c r="R2296" s="5" t="s">
        <v>270</v>
      </c>
      <c r="S2296" s="5" t="s">
        <v>238</v>
      </c>
      <c r="V2296" s="5" t="s">
        <v>238</v>
      </c>
      <c r="X2296" s="6" t="s">
        <v>238</v>
      </c>
      <c r="AA2296" s="6" t="s">
        <v>243</v>
      </c>
      <c r="AB2296" s="5" t="s">
        <v>238</v>
      </c>
      <c r="AC2296" s="5" t="s">
        <v>244</v>
      </c>
      <c r="AD2296" s="5" t="s">
        <v>245</v>
      </c>
      <c r="AT2296" s="5" t="s">
        <v>246</v>
      </c>
      <c r="AU2296" s="5" t="s">
        <v>238</v>
      </c>
      <c r="AV2296" s="5" t="s">
        <v>247</v>
      </c>
      <c r="AW2296" s="5" t="s">
        <v>238</v>
      </c>
      <c r="AX2296" s="5" t="s">
        <v>249</v>
      </c>
      <c r="AY2296" s="5" t="s">
        <v>238</v>
      </c>
      <c r="BA2296" s="5" t="s">
        <v>238</v>
      </c>
      <c r="BC2296" s="5" t="s">
        <v>250</v>
      </c>
      <c r="BD2296" s="6" t="s">
        <v>243</v>
      </c>
      <c r="BE2296" s="5" t="s">
        <v>251</v>
      </c>
      <c r="BF2296" s="5" t="s">
        <v>252</v>
      </c>
      <c r="BG2296" s="5" t="s">
        <v>238</v>
      </c>
      <c r="BH2296" s="7">
        <f>0</f>
        <v>0</v>
      </c>
      <c r="BI2296" s="8">
        <f>0</f>
        <v>0</v>
      </c>
      <c r="BJ2296" s="5" t="s">
        <v>253</v>
      </c>
      <c r="BK2296" s="5" t="s">
        <v>254</v>
      </c>
      <c r="BY2296" s="5" t="s">
        <v>238</v>
      </c>
      <c r="BZ2296" s="5" t="s">
        <v>238</v>
      </c>
      <c r="CD2296" s="5" t="s">
        <v>273</v>
      </c>
      <c r="CE2296" s="5" t="s">
        <v>256</v>
      </c>
      <c r="CF2296" s="5" t="s">
        <v>238</v>
      </c>
      <c r="CI2296" s="6" t="s">
        <v>257</v>
      </c>
      <c r="CJ2296" s="5" t="s">
        <v>238</v>
      </c>
      <c r="CK2296" s="5" t="s">
        <v>258</v>
      </c>
      <c r="CL2296" s="5" t="s">
        <v>238</v>
      </c>
      <c r="CM2296" s="5" t="s">
        <v>238</v>
      </c>
      <c r="CN2296" s="5">
        <v>0</v>
      </c>
      <c r="CO2296" s="5" t="s">
        <v>259</v>
      </c>
      <c r="CP2296" s="5" t="s">
        <v>260</v>
      </c>
      <c r="CQ2296" s="5" t="s">
        <v>260</v>
      </c>
      <c r="CR2296" s="5" t="s">
        <v>261</v>
      </c>
      <c r="CU2296" s="8">
        <f>1</f>
        <v>1</v>
      </c>
      <c r="CV2296" s="8">
        <f>0</f>
        <v>0</v>
      </c>
      <c r="CX2296" s="8">
        <f>0</f>
        <v>0</v>
      </c>
      <c r="CY2296" s="8">
        <f>1</f>
        <v>1</v>
      </c>
      <c r="DA2296" s="5" t="s">
        <v>274</v>
      </c>
      <c r="DB2296" s="5" t="s">
        <v>238</v>
      </c>
      <c r="DD2296" s="5" t="s">
        <v>274</v>
      </c>
      <c r="DE2296" s="8">
        <f>311</f>
        <v>311</v>
      </c>
      <c r="DG2296" s="5" t="s">
        <v>238</v>
      </c>
      <c r="DH2296" s="5" t="s">
        <v>238</v>
      </c>
      <c r="DI2296" s="5" t="s">
        <v>238</v>
      </c>
      <c r="DJ2296" s="5" t="s">
        <v>238</v>
      </c>
      <c r="DN2296" s="5" t="s">
        <v>238</v>
      </c>
      <c r="DO2296" s="5" t="s">
        <v>238</v>
      </c>
      <c r="DP2296" s="5" t="s">
        <v>238</v>
      </c>
      <c r="DQ2296" s="5" t="s">
        <v>238</v>
      </c>
      <c r="DT2296" s="5" t="s">
        <v>275</v>
      </c>
      <c r="DU2296" s="5" t="s">
        <v>3020</v>
      </c>
      <c r="HM2296" s="5" t="s">
        <v>264</v>
      </c>
    </row>
    <row r="2297" spans="1:221" x14ac:dyDescent="0.4">
      <c r="A2297" s="5">
        <v>4001</v>
      </c>
      <c r="B2297" s="5">
        <v>1</v>
      </c>
      <c r="C2297" s="5">
        <v>1</v>
      </c>
      <c r="D2297" s="5" t="s">
        <v>269</v>
      </c>
      <c r="E2297" s="5" t="s">
        <v>271</v>
      </c>
      <c r="F2297" s="5" t="s">
        <v>248</v>
      </c>
      <c r="G2297" s="5" t="s">
        <v>266</v>
      </c>
      <c r="H2297" s="6" t="s">
        <v>5912</v>
      </c>
      <c r="I2297" s="7">
        <f>757</f>
        <v>757</v>
      </c>
      <c r="J2297" s="5" t="s">
        <v>262</v>
      </c>
      <c r="K2297" s="8">
        <f>1</f>
        <v>1</v>
      </c>
      <c r="L2297" s="6" t="s">
        <v>242</v>
      </c>
      <c r="M2297" s="5" t="s">
        <v>267</v>
      </c>
      <c r="N2297" s="5" t="s">
        <v>265</v>
      </c>
      <c r="O2297" s="5" t="s">
        <v>238</v>
      </c>
      <c r="P2297" s="5" t="s">
        <v>238</v>
      </c>
      <c r="Q2297" s="5" t="s">
        <v>268</v>
      </c>
      <c r="R2297" s="5" t="s">
        <v>270</v>
      </c>
      <c r="S2297" s="5" t="s">
        <v>238</v>
      </c>
      <c r="V2297" s="5" t="s">
        <v>238</v>
      </c>
      <c r="X2297" s="6" t="s">
        <v>238</v>
      </c>
      <c r="AA2297" s="6" t="s">
        <v>243</v>
      </c>
      <c r="AB2297" s="5" t="s">
        <v>238</v>
      </c>
      <c r="AC2297" s="5" t="s">
        <v>244</v>
      </c>
      <c r="AD2297" s="5" t="s">
        <v>245</v>
      </c>
      <c r="AT2297" s="5" t="s">
        <v>246</v>
      </c>
      <c r="AU2297" s="5" t="s">
        <v>238</v>
      </c>
      <c r="AV2297" s="5" t="s">
        <v>247</v>
      </c>
      <c r="AW2297" s="5" t="s">
        <v>238</v>
      </c>
      <c r="AX2297" s="5" t="s">
        <v>249</v>
      </c>
      <c r="AY2297" s="5" t="s">
        <v>238</v>
      </c>
      <c r="BA2297" s="5" t="s">
        <v>238</v>
      </c>
      <c r="BC2297" s="5" t="s">
        <v>250</v>
      </c>
      <c r="BD2297" s="6" t="s">
        <v>243</v>
      </c>
      <c r="BE2297" s="5" t="s">
        <v>251</v>
      </c>
      <c r="BF2297" s="5" t="s">
        <v>252</v>
      </c>
      <c r="BG2297" s="5" t="s">
        <v>238</v>
      </c>
      <c r="BH2297" s="7">
        <f>0</f>
        <v>0</v>
      </c>
      <c r="BI2297" s="8">
        <f>0</f>
        <v>0</v>
      </c>
      <c r="BJ2297" s="5" t="s">
        <v>253</v>
      </c>
      <c r="BK2297" s="5" t="s">
        <v>254</v>
      </c>
      <c r="BY2297" s="5" t="s">
        <v>238</v>
      </c>
      <c r="BZ2297" s="5" t="s">
        <v>238</v>
      </c>
      <c r="CD2297" s="5" t="s">
        <v>273</v>
      </c>
      <c r="CE2297" s="5" t="s">
        <v>256</v>
      </c>
      <c r="CF2297" s="5" t="s">
        <v>238</v>
      </c>
      <c r="CI2297" s="6" t="s">
        <v>257</v>
      </c>
      <c r="CJ2297" s="5" t="s">
        <v>238</v>
      </c>
      <c r="CK2297" s="5" t="s">
        <v>258</v>
      </c>
      <c r="CL2297" s="5" t="s">
        <v>238</v>
      </c>
      <c r="CM2297" s="5" t="s">
        <v>238</v>
      </c>
      <c r="CN2297" s="5">
        <v>0</v>
      </c>
      <c r="CO2297" s="5" t="s">
        <v>259</v>
      </c>
      <c r="CP2297" s="5" t="s">
        <v>260</v>
      </c>
      <c r="CQ2297" s="5" t="s">
        <v>260</v>
      </c>
      <c r="CR2297" s="5" t="s">
        <v>261</v>
      </c>
      <c r="CU2297" s="8">
        <f>1</f>
        <v>1</v>
      </c>
      <c r="CV2297" s="8">
        <f>0</f>
        <v>0</v>
      </c>
      <c r="CX2297" s="8">
        <f>0</f>
        <v>0</v>
      </c>
      <c r="CY2297" s="8">
        <f>1</f>
        <v>1</v>
      </c>
      <c r="DA2297" s="5" t="s">
        <v>274</v>
      </c>
      <c r="DB2297" s="5" t="s">
        <v>238</v>
      </c>
      <c r="DD2297" s="5" t="s">
        <v>274</v>
      </c>
      <c r="DE2297" s="8">
        <f>757</f>
        <v>757</v>
      </c>
      <c r="DG2297" s="5" t="s">
        <v>238</v>
      </c>
      <c r="DH2297" s="5" t="s">
        <v>238</v>
      </c>
      <c r="DI2297" s="5" t="s">
        <v>238</v>
      </c>
      <c r="DJ2297" s="5" t="s">
        <v>238</v>
      </c>
      <c r="DN2297" s="5" t="s">
        <v>238</v>
      </c>
      <c r="DO2297" s="5" t="s">
        <v>238</v>
      </c>
      <c r="DP2297" s="5" t="s">
        <v>238</v>
      </c>
      <c r="DQ2297" s="5" t="s">
        <v>238</v>
      </c>
      <c r="DT2297" s="5" t="s">
        <v>275</v>
      </c>
      <c r="DU2297" s="5" t="s">
        <v>3018</v>
      </c>
      <c r="HM2297" s="5" t="s">
        <v>264</v>
      </c>
    </row>
    <row r="2298" spans="1:221" x14ac:dyDescent="0.4">
      <c r="A2298" s="5">
        <v>4002</v>
      </c>
      <c r="B2298" s="5">
        <v>1</v>
      </c>
      <c r="C2298" s="5">
        <v>1</v>
      </c>
      <c r="D2298" s="5" t="s">
        <v>269</v>
      </c>
      <c r="E2298" s="5" t="s">
        <v>271</v>
      </c>
      <c r="F2298" s="5" t="s">
        <v>248</v>
      </c>
      <c r="G2298" s="5" t="s">
        <v>266</v>
      </c>
      <c r="H2298" s="6" t="s">
        <v>4345</v>
      </c>
      <c r="I2298" s="7">
        <f>294</f>
        <v>294</v>
      </c>
      <c r="J2298" s="5" t="s">
        <v>262</v>
      </c>
      <c r="K2298" s="8">
        <f>1</f>
        <v>1</v>
      </c>
      <c r="L2298" s="6" t="s">
        <v>242</v>
      </c>
      <c r="M2298" s="5" t="s">
        <v>267</v>
      </c>
      <c r="N2298" s="5" t="s">
        <v>265</v>
      </c>
      <c r="O2298" s="5" t="s">
        <v>238</v>
      </c>
      <c r="P2298" s="5" t="s">
        <v>238</v>
      </c>
      <c r="Q2298" s="5" t="s">
        <v>268</v>
      </c>
      <c r="R2298" s="5" t="s">
        <v>270</v>
      </c>
      <c r="S2298" s="5" t="s">
        <v>238</v>
      </c>
      <c r="V2298" s="5" t="s">
        <v>238</v>
      </c>
      <c r="X2298" s="6" t="s">
        <v>238</v>
      </c>
      <c r="AA2298" s="6" t="s">
        <v>243</v>
      </c>
      <c r="AB2298" s="5" t="s">
        <v>238</v>
      </c>
      <c r="AC2298" s="5" t="s">
        <v>244</v>
      </c>
      <c r="AD2298" s="5" t="s">
        <v>245</v>
      </c>
      <c r="AT2298" s="5" t="s">
        <v>246</v>
      </c>
      <c r="AU2298" s="5" t="s">
        <v>238</v>
      </c>
      <c r="AV2298" s="5" t="s">
        <v>247</v>
      </c>
      <c r="AW2298" s="5" t="s">
        <v>238</v>
      </c>
      <c r="AX2298" s="5" t="s">
        <v>249</v>
      </c>
      <c r="AY2298" s="5" t="s">
        <v>238</v>
      </c>
      <c r="BA2298" s="5" t="s">
        <v>238</v>
      </c>
      <c r="BC2298" s="5" t="s">
        <v>250</v>
      </c>
      <c r="BD2298" s="6" t="s">
        <v>243</v>
      </c>
      <c r="BE2298" s="5" t="s">
        <v>251</v>
      </c>
      <c r="BF2298" s="5" t="s">
        <v>252</v>
      </c>
      <c r="BG2298" s="5" t="s">
        <v>238</v>
      </c>
      <c r="BH2298" s="7">
        <f>0</f>
        <v>0</v>
      </c>
      <c r="BI2298" s="8">
        <f>0</f>
        <v>0</v>
      </c>
      <c r="BJ2298" s="5" t="s">
        <v>253</v>
      </c>
      <c r="BK2298" s="5" t="s">
        <v>254</v>
      </c>
      <c r="BY2298" s="5" t="s">
        <v>238</v>
      </c>
      <c r="BZ2298" s="5" t="s">
        <v>238</v>
      </c>
      <c r="CD2298" s="5" t="s">
        <v>273</v>
      </c>
      <c r="CE2298" s="5" t="s">
        <v>256</v>
      </c>
      <c r="CF2298" s="5" t="s">
        <v>238</v>
      </c>
      <c r="CI2298" s="6" t="s">
        <v>257</v>
      </c>
      <c r="CJ2298" s="5" t="s">
        <v>238</v>
      </c>
      <c r="CK2298" s="5" t="s">
        <v>258</v>
      </c>
      <c r="CL2298" s="5" t="s">
        <v>238</v>
      </c>
      <c r="CM2298" s="5" t="s">
        <v>238</v>
      </c>
      <c r="CN2298" s="5">
        <v>0</v>
      </c>
      <c r="CO2298" s="5" t="s">
        <v>259</v>
      </c>
      <c r="CP2298" s="5" t="s">
        <v>260</v>
      </c>
      <c r="CQ2298" s="5" t="s">
        <v>260</v>
      </c>
      <c r="CR2298" s="5" t="s">
        <v>261</v>
      </c>
      <c r="CU2298" s="8">
        <f>1</f>
        <v>1</v>
      </c>
      <c r="CV2298" s="8">
        <f>0</f>
        <v>0</v>
      </c>
      <c r="CX2298" s="8">
        <f>0</f>
        <v>0</v>
      </c>
      <c r="CY2298" s="8">
        <f>1</f>
        <v>1</v>
      </c>
      <c r="DA2298" s="5" t="s">
        <v>274</v>
      </c>
      <c r="DB2298" s="5" t="s">
        <v>238</v>
      </c>
      <c r="DD2298" s="5" t="s">
        <v>274</v>
      </c>
      <c r="DE2298" s="8">
        <f>294</f>
        <v>294</v>
      </c>
      <c r="DG2298" s="5" t="s">
        <v>238</v>
      </c>
      <c r="DH2298" s="5" t="s">
        <v>238</v>
      </c>
      <c r="DI2298" s="5" t="s">
        <v>238</v>
      </c>
      <c r="DJ2298" s="5" t="s">
        <v>238</v>
      </c>
      <c r="DN2298" s="5" t="s">
        <v>238</v>
      </c>
      <c r="DO2298" s="5" t="s">
        <v>238</v>
      </c>
      <c r="DP2298" s="5" t="s">
        <v>238</v>
      </c>
      <c r="DQ2298" s="5" t="s">
        <v>238</v>
      </c>
      <c r="DT2298" s="5" t="s">
        <v>275</v>
      </c>
      <c r="DU2298" s="5" t="s">
        <v>3016</v>
      </c>
      <c r="HM2298" s="5" t="s">
        <v>264</v>
      </c>
    </row>
    <row r="2299" spans="1:221" x14ac:dyDescent="0.4">
      <c r="A2299" s="5">
        <v>4003</v>
      </c>
      <c r="B2299" s="5">
        <v>1</v>
      </c>
      <c r="C2299" s="5">
        <v>1</v>
      </c>
      <c r="D2299" s="5" t="s">
        <v>269</v>
      </c>
      <c r="E2299" s="5" t="s">
        <v>271</v>
      </c>
      <c r="F2299" s="5" t="s">
        <v>248</v>
      </c>
      <c r="G2299" s="5" t="s">
        <v>266</v>
      </c>
      <c r="H2299" s="6" t="s">
        <v>4254</v>
      </c>
      <c r="I2299" s="7">
        <f>756</f>
        <v>756</v>
      </c>
      <c r="J2299" s="5" t="s">
        <v>262</v>
      </c>
      <c r="K2299" s="8">
        <f>1</f>
        <v>1</v>
      </c>
      <c r="L2299" s="6" t="s">
        <v>242</v>
      </c>
      <c r="M2299" s="5" t="s">
        <v>267</v>
      </c>
      <c r="N2299" s="5" t="s">
        <v>265</v>
      </c>
      <c r="O2299" s="5" t="s">
        <v>238</v>
      </c>
      <c r="P2299" s="5" t="s">
        <v>238</v>
      </c>
      <c r="Q2299" s="5" t="s">
        <v>268</v>
      </c>
      <c r="R2299" s="5" t="s">
        <v>270</v>
      </c>
      <c r="S2299" s="5" t="s">
        <v>238</v>
      </c>
      <c r="V2299" s="5" t="s">
        <v>238</v>
      </c>
      <c r="X2299" s="6" t="s">
        <v>238</v>
      </c>
      <c r="AA2299" s="6" t="s">
        <v>243</v>
      </c>
      <c r="AB2299" s="5" t="s">
        <v>238</v>
      </c>
      <c r="AC2299" s="5" t="s">
        <v>244</v>
      </c>
      <c r="AD2299" s="5" t="s">
        <v>245</v>
      </c>
      <c r="AT2299" s="5" t="s">
        <v>246</v>
      </c>
      <c r="AU2299" s="5" t="s">
        <v>238</v>
      </c>
      <c r="AV2299" s="5" t="s">
        <v>247</v>
      </c>
      <c r="AW2299" s="5" t="s">
        <v>238</v>
      </c>
      <c r="AX2299" s="5" t="s">
        <v>249</v>
      </c>
      <c r="AY2299" s="5" t="s">
        <v>238</v>
      </c>
      <c r="BA2299" s="5" t="s">
        <v>238</v>
      </c>
      <c r="BC2299" s="5" t="s">
        <v>250</v>
      </c>
      <c r="BD2299" s="6" t="s">
        <v>243</v>
      </c>
      <c r="BE2299" s="5" t="s">
        <v>251</v>
      </c>
      <c r="BF2299" s="5" t="s">
        <v>252</v>
      </c>
      <c r="BG2299" s="5" t="s">
        <v>238</v>
      </c>
      <c r="BH2299" s="7">
        <f>0</f>
        <v>0</v>
      </c>
      <c r="BI2299" s="8">
        <f>0</f>
        <v>0</v>
      </c>
      <c r="BJ2299" s="5" t="s">
        <v>253</v>
      </c>
      <c r="BK2299" s="5" t="s">
        <v>254</v>
      </c>
      <c r="BY2299" s="5" t="s">
        <v>238</v>
      </c>
      <c r="BZ2299" s="5" t="s">
        <v>238</v>
      </c>
      <c r="CD2299" s="5" t="s">
        <v>273</v>
      </c>
      <c r="CE2299" s="5" t="s">
        <v>256</v>
      </c>
      <c r="CF2299" s="5" t="s">
        <v>238</v>
      </c>
      <c r="CI2299" s="6" t="s">
        <v>257</v>
      </c>
      <c r="CJ2299" s="5" t="s">
        <v>238</v>
      </c>
      <c r="CK2299" s="5" t="s">
        <v>258</v>
      </c>
      <c r="CL2299" s="5" t="s">
        <v>238</v>
      </c>
      <c r="CM2299" s="5" t="s">
        <v>238</v>
      </c>
      <c r="CN2299" s="5">
        <v>0</v>
      </c>
      <c r="CO2299" s="5" t="s">
        <v>259</v>
      </c>
      <c r="CP2299" s="5" t="s">
        <v>260</v>
      </c>
      <c r="CQ2299" s="5" t="s">
        <v>260</v>
      </c>
      <c r="CR2299" s="5" t="s">
        <v>261</v>
      </c>
      <c r="CU2299" s="8">
        <f>1</f>
        <v>1</v>
      </c>
      <c r="CV2299" s="8">
        <f>0</f>
        <v>0</v>
      </c>
      <c r="CX2299" s="8">
        <f>0</f>
        <v>0</v>
      </c>
      <c r="CY2299" s="8">
        <f>1</f>
        <v>1</v>
      </c>
      <c r="DA2299" s="5" t="s">
        <v>274</v>
      </c>
      <c r="DB2299" s="5" t="s">
        <v>238</v>
      </c>
      <c r="DD2299" s="5" t="s">
        <v>274</v>
      </c>
      <c r="DE2299" s="8">
        <f>756</f>
        <v>756</v>
      </c>
      <c r="DG2299" s="5" t="s">
        <v>238</v>
      </c>
      <c r="DH2299" s="5" t="s">
        <v>238</v>
      </c>
      <c r="DI2299" s="5" t="s">
        <v>238</v>
      </c>
      <c r="DJ2299" s="5" t="s">
        <v>238</v>
      </c>
      <c r="DN2299" s="5" t="s">
        <v>238</v>
      </c>
      <c r="DO2299" s="5" t="s">
        <v>238</v>
      </c>
      <c r="DP2299" s="5" t="s">
        <v>238</v>
      </c>
      <c r="DQ2299" s="5" t="s">
        <v>238</v>
      </c>
      <c r="DT2299" s="5" t="s">
        <v>275</v>
      </c>
      <c r="DU2299" s="5" t="s">
        <v>3014</v>
      </c>
      <c r="HM2299" s="5" t="s">
        <v>264</v>
      </c>
    </row>
    <row r="2300" spans="1:221" x14ac:dyDescent="0.4">
      <c r="A2300" s="5">
        <v>4004</v>
      </c>
      <c r="B2300" s="5">
        <v>1</v>
      </c>
      <c r="C2300" s="5">
        <v>1</v>
      </c>
      <c r="D2300" s="5" t="s">
        <v>269</v>
      </c>
      <c r="E2300" s="5" t="s">
        <v>271</v>
      </c>
      <c r="F2300" s="5" t="s">
        <v>248</v>
      </c>
      <c r="G2300" s="5" t="s">
        <v>266</v>
      </c>
      <c r="H2300" s="6" t="s">
        <v>4270</v>
      </c>
      <c r="I2300" s="7">
        <f>352</f>
        <v>352</v>
      </c>
      <c r="J2300" s="5" t="s">
        <v>262</v>
      </c>
      <c r="K2300" s="8">
        <f>1</f>
        <v>1</v>
      </c>
      <c r="L2300" s="6" t="s">
        <v>242</v>
      </c>
      <c r="M2300" s="5" t="s">
        <v>267</v>
      </c>
      <c r="N2300" s="5" t="s">
        <v>265</v>
      </c>
      <c r="O2300" s="5" t="s">
        <v>238</v>
      </c>
      <c r="P2300" s="5" t="s">
        <v>238</v>
      </c>
      <c r="Q2300" s="5" t="s">
        <v>268</v>
      </c>
      <c r="R2300" s="5" t="s">
        <v>270</v>
      </c>
      <c r="S2300" s="5" t="s">
        <v>238</v>
      </c>
      <c r="V2300" s="5" t="s">
        <v>238</v>
      </c>
      <c r="X2300" s="6" t="s">
        <v>238</v>
      </c>
      <c r="AA2300" s="6" t="s">
        <v>243</v>
      </c>
      <c r="AB2300" s="5" t="s">
        <v>238</v>
      </c>
      <c r="AC2300" s="5" t="s">
        <v>244</v>
      </c>
      <c r="AD2300" s="5" t="s">
        <v>245</v>
      </c>
      <c r="AT2300" s="5" t="s">
        <v>246</v>
      </c>
      <c r="AU2300" s="5" t="s">
        <v>238</v>
      </c>
      <c r="AV2300" s="5" t="s">
        <v>247</v>
      </c>
      <c r="AW2300" s="5" t="s">
        <v>238</v>
      </c>
      <c r="AX2300" s="5" t="s">
        <v>249</v>
      </c>
      <c r="AY2300" s="5" t="s">
        <v>238</v>
      </c>
      <c r="BA2300" s="5" t="s">
        <v>238</v>
      </c>
      <c r="BC2300" s="5" t="s">
        <v>250</v>
      </c>
      <c r="BD2300" s="6" t="s">
        <v>243</v>
      </c>
      <c r="BE2300" s="5" t="s">
        <v>251</v>
      </c>
      <c r="BF2300" s="5" t="s">
        <v>252</v>
      </c>
      <c r="BG2300" s="5" t="s">
        <v>238</v>
      </c>
      <c r="BH2300" s="7">
        <f>0</f>
        <v>0</v>
      </c>
      <c r="BI2300" s="8">
        <f>0</f>
        <v>0</v>
      </c>
      <c r="BJ2300" s="5" t="s">
        <v>253</v>
      </c>
      <c r="BK2300" s="5" t="s">
        <v>254</v>
      </c>
      <c r="BY2300" s="5" t="s">
        <v>238</v>
      </c>
      <c r="BZ2300" s="5" t="s">
        <v>238</v>
      </c>
      <c r="CD2300" s="5" t="s">
        <v>273</v>
      </c>
      <c r="CE2300" s="5" t="s">
        <v>256</v>
      </c>
      <c r="CF2300" s="5" t="s">
        <v>238</v>
      </c>
      <c r="CI2300" s="6" t="s">
        <v>257</v>
      </c>
      <c r="CJ2300" s="5" t="s">
        <v>238</v>
      </c>
      <c r="CK2300" s="5" t="s">
        <v>258</v>
      </c>
      <c r="CL2300" s="5" t="s">
        <v>238</v>
      </c>
      <c r="CM2300" s="5" t="s">
        <v>238</v>
      </c>
      <c r="CN2300" s="5">
        <v>0</v>
      </c>
      <c r="CO2300" s="5" t="s">
        <v>259</v>
      </c>
      <c r="CP2300" s="5" t="s">
        <v>260</v>
      </c>
      <c r="CQ2300" s="5" t="s">
        <v>260</v>
      </c>
      <c r="CR2300" s="5" t="s">
        <v>261</v>
      </c>
      <c r="CU2300" s="8">
        <f>1</f>
        <v>1</v>
      </c>
      <c r="CV2300" s="8">
        <f>0</f>
        <v>0</v>
      </c>
      <c r="CX2300" s="8">
        <f>0</f>
        <v>0</v>
      </c>
      <c r="CY2300" s="8">
        <f>1</f>
        <v>1</v>
      </c>
      <c r="DA2300" s="5" t="s">
        <v>274</v>
      </c>
      <c r="DB2300" s="5" t="s">
        <v>238</v>
      </c>
      <c r="DD2300" s="5" t="s">
        <v>274</v>
      </c>
      <c r="DE2300" s="8">
        <f>352</f>
        <v>352</v>
      </c>
      <c r="DG2300" s="5" t="s">
        <v>238</v>
      </c>
      <c r="DH2300" s="5" t="s">
        <v>238</v>
      </c>
      <c r="DI2300" s="5" t="s">
        <v>238</v>
      </c>
      <c r="DJ2300" s="5" t="s">
        <v>238</v>
      </c>
      <c r="DN2300" s="5" t="s">
        <v>238</v>
      </c>
      <c r="DO2300" s="5" t="s">
        <v>238</v>
      </c>
      <c r="DP2300" s="5" t="s">
        <v>238</v>
      </c>
      <c r="DQ2300" s="5" t="s">
        <v>238</v>
      </c>
      <c r="DT2300" s="5" t="s">
        <v>275</v>
      </c>
      <c r="DU2300" s="5" t="s">
        <v>3012</v>
      </c>
      <c r="HM2300" s="5" t="s">
        <v>264</v>
      </c>
    </row>
    <row r="2301" spans="1:221" x14ac:dyDescent="0.4">
      <c r="A2301" s="5">
        <v>4005</v>
      </c>
      <c r="B2301" s="5">
        <v>1</v>
      </c>
      <c r="C2301" s="5">
        <v>1</v>
      </c>
      <c r="D2301" s="5" t="s">
        <v>269</v>
      </c>
      <c r="E2301" s="5" t="s">
        <v>271</v>
      </c>
      <c r="F2301" s="5" t="s">
        <v>248</v>
      </c>
      <c r="G2301" s="5" t="s">
        <v>266</v>
      </c>
      <c r="H2301" s="6" t="s">
        <v>5803</v>
      </c>
      <c r="I2301" s="7">
        <f>409</f>
        <v>409</v>
      </c>
      <c r="J2301" s="5" t="s">
        <v>262</v>
      </c>
      <c r="K2301" s="8">
        <f>1</f>
        <v>1</v>
      </c>
      <c r="L2301" s="6" t="s">
        <v>242</v>
      </c>
      <c r="M2301" s="5" t="s">
        <v>267</v>
      </c>
      <c r="N2301" s="5" t="s">
        <v>265</v>
      </c>
      <c r="O2301" s="5" t="s">
        <v>238</v>
      </c>
      <c r="P2301" s="5" t="s">
        <v>238</v>
      </c>
      <c r="Q2301" s="5" t="s">
        <v>268</v>
      </c>
      <c r="R2301" s="5" t="s">
        <v>270</v>
      </c>
      <c r="S2301" s="5" t="s">
        <v>238</v>
      </c>
      <c r="V2301" s="5" t="s">
        <v>238</v>
      </c>
      <c r="X2301" s="6" t="s">
        <v>238</v>
      </c>
      <c r="AA2301" s="6" t="s">
        <v>243</v>
      </c>
      <c r="AB2301" s="5" t="s">
        <v>238</v>
      </c>
      <c r="AC2301" s="5" t="s">
        <v>244</v>
      </c>
      <c r="AD2301" s="5" t="s">
        <v>245</v>
      </c>
      <c r="AT2301" s="5" t="s">
        <v>246</v>
      </c>
      <c r="AU2301" s="5" t="s">
        <v>238</v>
      </c>
      <c r="AV2301" s="5" t="s">
        <v>247</v>
      </c>
      <c r="AW2301" s="5" t="s">
        <v>238</v>
      </c>
      <c r="AX2301" s="5" t="s">
        <v>249</v>
      </c>
      <c r="AY2301" s="5" t="s">
        <v>238</v>
      </c>
      <c r="BA2301" s="5" t="s">
        <v>238</v>
      </c>
      <c r="BC2301" s="5" t="s">
        <v>250</v>
      </c>
      <c r="BD2301" s="6" t="s">
        <v>243</v>
      </c>
      <c r="BE2301" s="5" t="s">
        <v>251</v>
      </c>
      <c r="BF2301" s="5" t="s">
        <v>252</v>
      </c>
      <c r="BG2301" s="5" t="s">
        <v>238</v>
      </c>
      <c r="BH2301" s="7">
        <f>0</f>
        <v>0</v>
      </c>
      <c r="BI2301" s="8">
        <f>0</f>
        <v>0</v>
      </c>
      <c r="BJ2301" s="5" t="s">
        <v>253</v>
      </c>
      <c r="BK2301" s="5" t="s">
        <v>254</v>
      </c>
      <c r="BY2301" s="5" t="s">
        <v>238</v>
      </c>
      <c r="BZ2301" s="5" t="s">
        <v>238</v>
      </c>
      <c r="CD2301" s="5" t="s">
        <v>273</v>
      </c>
      <c r="CE2301" s="5" t="s">
        <v>256</v>
      </c>
      <c r="CF2301" s="5" t="s">
        <v>238</v>
      </c>
      <c r="CI2301" s="6" t="s">
        <v>257</v>
      </c>
      <c r="CJ2301" s="5" t="s">
        <v>238</v>
      </c>
      <c r="CK2301" s="5" t="s">
        <v>258</v>
      </c>
      <c r="CL2301" s="5" t="s">
        <v>238</v>
      </c>
      <c r="CM2301" s="5" t="s">
        <v>238</v>
      </c>
      <c r="CN2301" s="5">
        <v>0</v>
      </c>
      <c r="CO2301" s="5" t="s">
        <v>259</v>
      </c>
      <c r="CP2301" s="5" t="s">
        <v>260</v>
      </c>
      <c r="CQ2301" s="5" t="s">
        <v>260</v>
      </c>
      <c r="CR2301" s="5" t="s">
        <v>261</v>
      </c>
      <c r="CU2301" s="8">
        <f>1</f>
        <v>1</v>
      </c>
      <c r="CV2301" s="8">
        <f>0</f>
        <v>0</v>
      </c>
      <c r="CX2301" s="8">
        <f>0</f>
        <v>0</v>
      </c>
      <c r="CY2301" s="8">
        <f>1</f>
        <v>1</v>
      </c>
      <c r="DA2301" s="5" t="s">
        <v>274</v>
      </c>
      <c r="DB2301" s="5" t="s">
        <v>238</v>
      </c>
      <c r="DD2301" s="5" t="s">
        <v>274</v>
      </c>
      <c r="DE2301" s="8">
        <f>409</f>
        <v>409</v>
      </c>
      <c r="DG2301" s="5" t="s">
        <v>238</v>
      </c>
      <c r="DH2301" s="5" t="s">
        <v>238</v>
      </c>
      <c r="DI2301" s="5" t="s">
        <v>238</v>
      </c>
      <c r="DJ2301" s="5" t="s">
        <v>238</v>
      </c>
      <c r="DN2301" s="5" t="s">
        <v>238</v>
      </c>
      <c r="DO2301" s="5" t="s">
        <v>238</v>
      </c>
      <c r="DP2301" s="5" t="s">
        <v>238</v>
      </c>
      <c r="DQ2301" s="5" t="s">
        <v>238</v>
      </c>
      <c r="DT2301" s="5" t="s">
        <v>275</v>
      </c>
      <c r="DU2301" s="5" t="s">
        <v>3010</v>
      </c>
      <c r="HM2301" s="5" t="s">
        <v>264</v>
      </c>
    </row>
    <row r="2302" spans="1:221" x14ac:dyDescent="0.4">
      <c r="A2302" s="5">
        <v>4006</v>
      </c>
      <c r="B2302" s="5">
        <v>1</v>
      </c>
      <c r="C2302" s="5">
        <v>1</v>
      </c>
      <c r="D2302" s="5" t="s">
        <v>269</v>
      </c>
      <c r="E2302" s="5" t="s">
        <v>271</v>
      </c>
      <c r="F2302" s="5" t="s">
        <v>248</v>
      </c>
      <c r="G2302" s="5" t="s">
        <v>266</v>
      </c>
      <c r="H2302" s="6" t="s">
        <v>4247</v>
      </c>
      <c r="I2302" s="7">
        <f>432</f>
        <v>432</v>
      </c>
      <c r="J2302" s="5" t="s">
        <v>262</v>
      </c>
      <c r="K2302" s="8">
        <f>1</f>
        <v>1</v>
      </c>
      <c r="L2302" s="6" t="s">
        <v>242</v>
      </c>
      <c r="M2302" s="5" t="s">
        <v>267</v>
      </c>
      <c r="N2302" s="5" t="s">
        <v>265</v>
      </c>
      <c r="O2302" s="5" t="s">
        <v>238</v>
      </c>
      <c r="P2302" s="5" t="s">
        <v>238</v>
      </c>
      <c r="Q2302" s="5" t="s">
        <v>268</v>
      </c>
      <c r="R2302" s="5" t="s">
        <v>270</v>
      </c>
      <c r="S2302" s="5" t="s">
        <v>238</v>
      </c>
      <c r="V2302" s="5" t="s">
        <v>238</v>
      </c>
      <c r="X2302" s="6" t="s">
        <v>238</v>
      </c>
      <c r="AA2302" s="6" t="s">
        <v>243</v>
      </c>
      <c r="AB2302" s="5" t="s">
        <v>238</v>
      </c>
      <c r="AC2302" s="5" t="s">
        <v>244</v>
      </c>
      <c r="AD2302" s="5" t="s">
        <v>245</v>
      </c>
      <c r="AT2302" s="5" t="s">
        <v>246</v>
      </c>
      <c r="AU2302" s="5" t="s">
        <v>238</v>
      </c>
      <c r="AV2302" s="5" t="s">
        <v>247</v>
      </c>
      <c r="AW2302" s="5" t="s">
        <v>238</v>
      </c>
      <c r="AX2302" s="5" t="s">
        <v>249</v>
      </c>
      <c r="AY2302" s="5" t="s">
        <v>238</v>
      </c>
      <c r="BA2302" s="5" t="s">
        <v>238</v>
      </c>
      <c r="BC2302" s="5" t="s">
        <v>250</v>
      </c>
      <c r="BD2302" s="6" t="s">
        <v>243</v>
      </c>
      <c r="BE2302" s="5" t="s">
        <v>251</v>
      </c>
      <c r="BF2302" s="5" t="s">
        <v>252</v>
      </c>
      <c r="BG2302" s="5" t="s">
        <v>238</v>
      </c>
      <c r="BH2302" s="7">
        <f>0</f>
        <v>0</v>
      </c>
      <c r="BI2302" s="8">
        <f>0</f>
        <v>0</v>
      </c>
      <c r="BJ2302" s="5" t="s">
        <v>253</v>
      </c>
      <c r="BK2302" s="5" t="s">
        <v>254</v>
      </c>
      <c r="BY2302" s="5" t="s">
        <v>238</v>
      </c>
      <c r="BZ2302" s="5" t="s">
        <v>238</v>
      </c>
      <c r="CD2302" s="5" t="s">
        <v>273</v>
      </c>
      <c r="CE2302" s="5" t="s">
        <v>256</v>
      </c>
      <c r="CF2302" s="5" t="s">
        <v>238</v>
      </c>
      <c r="CI2302" s="6" t="s">
        <v>257</v>
      </c>
      <c r="CJ2302" s="5" t="s">
        <v>238</v>
      </c>
      <c r="CK2302" s="5" t="s">
        <v>258</v>
      </c>
      <c r="CL2302" s="5" t="s">
        <v>238</v>
      </c>
      <c r="CM2302" s="5" t="s">
        <v>238</v>
      </c>
      <c r="CN2302" s="5">
        <v>0</v>
      </c>
      <c r="CO2302" s="5" t="s">
        <v>259</v>
      </c>
      <c r="CP2302" s="5" t="s">
        <v>260</v>
      </c>
      <c r="CQ2302" s="5" t="s">
        <v>260</v>
      </c>
      <c r="CR2302" s="5" t="s">
        <v>261</v>
      </c>
      <c r="CU2302" s="8">
        <f>1</f>
        <v>1</v>
      </c>
      <c r="CV2302" s="8">
        <f>0</f>
        <v>0</v>
      </c>
      <c r="CX2302" s="8">
        <f>0</f>
        <v>0</v>
      </c>
      <c r="CY2302" s="8">
        <f>1</f>
        <v>1</v>
      </c>
      <c r="DA2302" s="5" t="s">
        <v>274</v>
      </c>
      <c r="DB2302" s="5" t="s">
        <v>238</v>
      </c>
      <c r="DD2302" s="5" t="s">
        <v>274</v>
      </c>
      <c r="DE2302" s="8">
        <f>432</f>
        <v>432</v>
      </c>
      <c r="DG2302" s="5" t="s">
        <v>238</v>
      </c>
      <c r="DH2302" s="5" t="s">
        <v>238</v>
      </c>
      <c r="DI2302" s="5" t="s">
        <v>238</v>
      </c>
      <c r="DJ2302" s="5" t="s">
        <v>238</v>
      </c>
      <c r="DN2302" s="5" t="s">
        <v>238</v>
      </c>
      <c r="DO2302" s="5" t="s">
        <v>238</v>
      </c>
      <c r="DP2302" s="5" t="s">
        <v>238</v>
      </c>
      <c r="DQ2302" s="5" t="s">
        <v>238</v>
      </c>
      <c r="DT2302" s="5" t="s">
        <v>275</v>
      </c>
      <c r="DU2302" s="5" t="s">
        <v>3008</v>
      </c>
      <c r="HM2302" s="5" t="s">
        <v>264</v>
      </c>
    </row>
    <row r="2303" spans="1:221" x14ac:dyDescent="0.4">
      <c r="A2303" s="5">
        <v>4007</v>
      </c>
      <c r="B2303" s="5">
        <v>1</v>
      </c>
      <c r="C2303" s="5">
        <v>1</v>
      </c>
      <c r="D2303" s="5" t="s">
        <v>269</v>
      </c>
      <c r="E2303" s="5" t="s">
        <v>271</v>
      </c>
      <c r="F2303" s="5" t="s">
        <v>248</v>
      </c>
      <c r="G2303" s="5" t="s">
        <v>266</v>
      </c>
      <c r="H2303" s="6" t="s">
        <v>4167</v>
      </c>
      <c r="I2303" s="7">
        <f>829</f>
        <v>829</v>
      </c>
      <c r="J2303" s="5" t="s">
        <v>262</v>
      </c>
      <c r="K2303" s="8">
        <f>1</f>
        <v>1</v>
      </c>
      <c r="L2303" s="6" t="s">
        <v>242</v>
      </c>
      <c r="M2303" s="5" t="s">
        <v>267</v>
      </c>
      <c r="N2303" s="5" t="s">
        <v>265</v>
      </c>
      <c r="O2303" s="5" t="s">
        <v>238</v>
      </c>
      <c r="P2303" s="5" t="s">
        <v>238</v>
      </c>
      <c r="Q2303" s="5" t="s">
        <v>268</v>
      </c>
      <c r="R2303" s="5" t="s">
        <v>270</v>
      </c>
      <c r="S2303" s="5" t="s">
        <v>238</v>
      </c>
      <c r="V2303" s="5" t="s">
        <v>238</v>
      </c>
      <c r="X2303" s="6" t="s">
        <v>238</v>
      </c>
      <c r="AA2303" s="6" t="s">
        <v>243</v>
      </c>
      <c r="AB2303" s="5" t="s">
        <v>238</v>
      </c>
      <c r="AC2303" s="5" t="s">
        <v>244</v>
      </c>
      <c r="AD2303" s="5" t="s">
        <v>245</v>
      </c>
      <c r="AT2303" s="5" t="s">
        <v>246</v>
      </c>
      <c r="AU2303" s="5" t="s">
        <v>238</v>
      </c>
      <c r="AV2303" s="5" t="s">
        <v>247</v>
      </c>
      <c r="AW2303" s="5" t="s">
        <v>238</v>
      </c>
      <c r="AX2303" s="5" t="s">
        <v>249</v>
      </c>
      <c r="AY2303" s="5" t="s">
        <v>238</v>
      </c>
      <c r="BA2303" s="5" t="s">
        <v>238</v>
      </c>
      <c r="BC2303" s="5" t="s">
        <v>250</v>
      </c>
      <c r="BD2303" s="6" t="s">
        <v>243</v>
      </c>
      <c r="BE2303" s="5" t="s">
        <v>251</v>
      </c>
      <c r="BF2303" s="5" t="s">
        <v>252</v>
      </c>
      <c r="BG2303" s="5" t="s">
        <v>238</v>
      </c>
      <c r="BH2303" s="7">
        <f>0</f>
        <v>0</v>
      </c>
      <c r="BI2303" s="8">
        <f>0</f>
        <v>0</v>
      </c>
      <c r="BJ2303" s="5" t="s">
        <v>253</v>
      </c>
      <c r="BK2303" s="5" t="s">
        <v>254</v>
      </c>
      <c r="BY2303" s="5" t="s">
        <v>238</v>
      </c>
      <c r="BZ2303" s="5" t="s">
        <v>238</v>
      </c>
      <c r="CD2303" s="5" t="s">
        <v>273</v>
      </c>
      <c r="CE2303" s="5" t="s">
        <v>256</v>
      </c>
      <c r="CF2303" s="5" t="s">
        <v>238</v>
      </c>
      <c r="CI2303" s="6" t="s">
        <v>257</v>
      </c>
      <c r="CJ2303" s="5" t="s">
        <v>238</v>
      </c>
      <c r="CK2303" s="5" t="s">
        <v>258</v>
      </c>
      <c r="CL2303" s="5" t="s">
        <v>238</v>
      </c>
      <c r="CM2303" s="5" t="s">
        <v>238</v>
      </c>
      <c r="CN2303" s="5">
        <v>0</v>
      </c>
      <c r="CO2303" s="5" t="s">
        <v>259</v>
      </c>
      <c r="CP2303" s="5" t="s">
        <v>260</v>
      </c>
      <c r="CQ2303" s="5" t="s">
        <v>260</v>
      </c>
      <c r="CR2303" s="5" t="s">
        <v>261</v>
      </c>
      <c r="CU2303" s="8">
        <f>1</f>
        <v>1</v>
      </c>
      <c r="CV2303" s="8">
        <f>0</f>
        <v>0</v>
      </c>
      <c r="CX2303" s="8">
        <f>0</f>
        <v>0</v>
      </c>
      <c r="CY2303" s="8">
        <f>1</f>
        <v>1</v>
      </c>
      <c r="DA2303" s="5" t="s">
        <v>274</v>
      </c>
      <c r="DB2303" s="5" t="s">
        <v>238</v>
      </c>
      <c r="DD2303" s="5" t="s">
        <v>274</v>
      </c>
      <c r="DE2303" s="8">
        <f>829</f>
        <v>829</v>
      </c>
      <c r="DG2303" s="5" t="s">
        <v>238</v>
      </c>
      <c r="DH2303" s="5" t="s">
        <v>238</v>
      </c>
      <c r="DI2303" s="5" t="s">
        <v>238</v>
      </c>
      <c r="DJ2303" s="5" t="s">
        <v>238</v>
      </c>
      <c r="DN2303" s="5" t="s">
        <v>238</v>
      </c>
      <c r="DO2303" s="5" t="s">
        <v>238</v>
      </c>
      <c r="DP2303" s="5" t="s">
        <v>238</v>
      </c>
      <c r="DQ2303" s="5" t="s">
        <v>238</v>
      </c>
      <c r="DT2303" s="5" t="s">
        <v>275</v>
      </c>
      <c r="DU2303" s="5" t="s">
        <v>3006</v>
      </c>
      <c r="HM2303" s="5" t="s">
        <v>264</v>
      </c>
    </row>
    <row r="2304" spans="1:221" x14ac:dyDescent="0.4">
      <c r="A2304" s="5">
        <v>4008</v>
      </c>
      <c r="B2304" s="5">
        <v>1</v>
      </c>
      <c r="C2304" s="5">
        <v>1</v>
      </c>
      <c r="D2304" s="5" t="s">
        <v>269</v>
      </c>
      <c r="E2304" s="5" t="s">
        <v>271</v>
      </c>
      <c r="F2304" s="5" t="s">
        <v>248</v>
      </c>
      <c r="G2304" s="5" t="s">
        <v>266</v>
      </c>
      <c r="H2304" s="6" t="s">
        <v>4259</v>
      </c>
      <c r="I2304" s="7">
        <f>640</f>
        <v>640</v>
      </c>
      <c r="J2304" s="5" t="s">
        <v>262</v>
      </c>
      <c r="K2304" s="8">
        <f>1</f>
        <v>1</v>
      </c>
      <c r="L2304" s="6" t="s">
        <v>242</v>
      </c>
      <c r="M2304" s="5" t="s">
        <v>267</v>
      </c>
      <c r="N2304" s="5" t="s">
        <v>265</v>
      </c>
      <c r="O2304" s="5" t="s">
        <v>238</v>
      </c>
      <c r="P2304" s="5" t="s">
        <v>238</v>
      </c>
      <c r="Q2304" s="5" t="s">
        <v>268</v>
      </c>
      <c r="R2304" s="5" t="s">
        <v>270</v>
      </c>
      <c r="S2304" s="5" t="s">
        <v>238</v>
      </c>
      <c r="V2304" s="5" t="s">
        <v>238</v>
      </c>
      <c r="X2304" s="6" t="s">
        <v>238</v>
      </c>
      <c r="AA2304" s="6" t="s">
        <v>243</v>
      </c>
      <c r="AB2304" s="5" t="s">
        <v>238</v>
      </c>
      <c r="AC2304" s="5" t="s">
        <v>244</v>
      </c>
      <c r="AD2304" s="5" t="s">
        <v>245</v>
      </c>
      <c r="AT2304" s="5" t="s">
        <v>246</v>
      </c>
      <c r="AU2304" s="5" t="s">
        <v>238</v>
      </c>
      <c r="AV2304" s="5" t="s">
        <v>247</v>
      </c>
      <c r="AW2304" s="5" t="s">
        <v>238</v>
      </c>
      <c r="AX2304" s="5" t="s">
        <v>249</v>
      </c>
      <c r="AY2304" s="5" t="s">
        <v>238</v>
      </c>
      <c r="BA2304" s="5" t="s">
        <v>238</v>
      </c>
      <c r="BC2304" s="5" t="s">
        <v>250</v>
      </c>
      <c r="BD2304" s="6" t="s">
        <v>243</v>
      </c>
      <c r="BE2304" s="5" t="s">
        <v>251</v>
      </c>
      <c r="BF2304" s="5" t="s">
        <v>252</v>
      </c>
      <c r="BG2304" s="5" t="s">
        <v>238</v>
      </c>
      <c r="BH2304" s="7">
        <f>0</f>
        <v>0</v>
      </c>
      <c r="BI2304" s="8">
        <f>0</f>
        <v>0</v>
      </c>
      <c r="BJ2304" s="5" t="s">
        <v>253</v>
      </c>
      <c r="BK2304" s="5" t="s">
        <v>254</v>
      </c>
      <c r="BY2304" s="5" t="s">
        <v>238</v>
      </c>
      <c r="BZ2304" s="5" t="s">
        <v>238</v>
      </c>
      <c r="CD2304" s="5" t="s">
        <v>273</v>
      </c>
      <c r="CE2304" s="5" t="s">
        <v>256</v>
      </c>
      <c r="CF2304" s="5" t="s">
        <v>238</v>
      </c>
      <c r="CI2304" s="6" t="s">
        <v>257</v>
      </c>
      <c r="CJ2304" s="5" t="s">
        <v>238</v>
      </c>
      <c r="CK2304" s="5" t="s">
        <v>258</v>
      </c>
      <c r="CL2304" s="5" t="s">
        <v>238</v>
      </c>
      <c r="CM2304" s="5" t="s">
        <v>238</v>
      </c>
      <c r="CN2304" s="5">
        <v>0</v>
      </c>
      <c r="CO2304" s="5" t="s">
        <v>259</v>
      </c>
      <c r="CP2304" s="5" t="s">
        <v>260</v>
      </c>
      <c r="CQ2304" s="5" t="s">
        <v>260</v>
      </c>
      <c r="CR2304" s="5" t="s">
        <v>261</v>
      </c>
      <c r="CU2304" s="8">
        <f>1</f>
        <v>1</v>
      </c>
      <c r="CV2304" s="8">
        <f>0</f>
        <v>0</v>
      </c>
      <c r="CX2304" s="8">
        <f>0</f>
        <v>0</v>
      </c>
      <c r="CY2304" s="8">
        <f>1</f>
        <v>1</v>
      </c>
      <c r="DA2304" s="5" t="s">
        <v>274</v>
      </c>
      <c r="DB2304" s="5" t="s">
        <v>238</v>
      </c>
      <c r="DD2304" s="5" t="s">
        <v>274</v>
      </c>
      <c r="DE2304" s="8">
        <f>640</f>
        <v>640</v>
      </c>
      <c r="DG2304" s="5" t="s">
        <v>238</v>
      </c>
      <c r="DH2304" s="5" t="s">
        <v>238</v>
      </c>
      <c r="DI2304" s="5" t="s">
        <v>238</v>
      </c>
      <c r="DJ2304" s="5" t="s">
        <v>238</v>
      </c>
      <c r="DN2304" s="5" t="s">
        <v>238</v>
      </c>
      <c r="DO2304" s="5" t="s">
        <v>238</v>
      </c>
      <c r="DP2304" s="5" t="s">
        <v>238</v>
      </c>
      <c r="DQ2304" s="5" t="s">
        <v>238</v>
      </c>
      <c r="DT2304" s="5" t="s">
        <v>275</v>
      </c>
      <c r="DU2304" s="5" t="s">
        <v>3003</v>
      </c>
      <c r="HM2304" s="5" t="s">
        <v>264</v>
      </c>
    </row>
    <row r="2305" spans="1:221" x14ac:dyDescent="0.4">
      <c r="A2305" s="5">
        <v>4009</v>
      </c>
      <c r="B2305" s="5">
        <v>1</v>
      </c>
      <c r="C2305" s="5">
        <v>1</v>
      </c>
      <c r="D2305" s="5" t="s">
        <v>269</v>
      </c>
      <c r="E2305" s="5" t="s">
        <v>271</v>
      </c>
      <c r="F2305" s="5" t="s">
        <v>248</v>
      </c>
      <c r="G2305" s="5" t="s">
        <v>266</v>
      </c>
      <c r="H2305" s="6" t="s">
        <v>4274</v>
      </c>
      <c r="I2305" s="7">
        <f>349</f>
        <v>349</v>
      </c>
      <c r="J2305" s="5" t="s">
        <v>262</v>
      </c>
      <c r="K2305" s="8">
        <f>1</f>
        <v>1</v>
      </c>
      <c r="L2305" s="6" t="s">
        <v>242</v>
      </c>
      <c r="M2305" s="5" t="s">
        <v>267</v>
      </c>
      <c r="N2305" s="5" t="s">
        <v>265</v>
      </c>
      <c r="O2305" s="5" t="s">
        <v>238</v>
      </c>
      <c r="P2305" s="5" t="s">
        <v>238</v>
      </c>
      <c r="Q2305" s="5" t="s">
        <v>268</v>
      </c>
      <c r="R2305" s="5" t="s">
        <v>270</v>
      </c>
      <c r="S2305" s="5" t="s">
        <v>238</v>
      </c>
      <c r="V2305" s="5" t="s">
        <v>238</v>
      </c>
      <c r="X2305" s="6" t="s">
        <v>238</v>
      </c>
      <c r="AA2305" s="6" t="s">
        <v>243</v>
      </c>
      <c r="AB2305" s="5" t="s">
        <v>238</v>
      </c>
      <c r="AC2305" s="5" t="s">
        <v>244</v>
      </c>
      <c r="AD2305" s="5" t="s">
        <v>245</v>
      </c>
      <c r="AT2305" s="5" t="s">
        <v>246</v>
      </c>
      <c r="AU2305" s="5" t="s">
        <v>238</v>
      </c>
      <c r="AV2305" s="5" t="s">
        <v>247</v>
      </c>
      <c r="AW2305" s="5" t="s">
        <v>238</v>
      </c>
      <c r="AX2305" s="5" t="s">
        <v>249</v>
      </c>
      <c r="AY2305" s="5" t="s">
        <v>238</v>
      </c>
      <c r="BA2305" s="5" t="s">
        <v>238</v>
      </c>
      <c r="BC2305" s="5" t="s">
        <v>250</v>
      </c>
      <c r="BD2305" s="6" t="s">
        <v>243</v>
      </c>
      <c r="BE2305" s="5" t="s">
        <v>251</v>
      </c>
      <c r="BF2305" s="5" t="s">
        <v>252</v>
      </c>
      <c r="BG2305" s="5" t="s">
        <v>238</v>
      </c>
      <c r="BH2305" s="7">
        <f>0</f>
        <v>0</v>
      </c>
      <c r="BI2305" s="8">
        <f>0</f>
        <v>0</v>
      </c>
      <c r="BJ2305" s="5" t="s">
        <v>253</v>
      </c>
      <c r="BK2305" s="5" t="s">
        <v>254</v>
      </c>
      <c r="BY2305" s="5" t="s">
        <v>238</v>
      </c>
      <c r="BZ2305" s="5" t="s">
        <v>238</v>
      </c>
      <c r="CD2305" s="5" t="s">
        <v>273</v>
      </c>
      <c r="CE2305" s="5" t="s">
        <v>256</v>
      </c>
      <c r="CF2305" s="5" t="s">
        <v>238</v>
      </c>
      <c r="CI2305" s="6" t="s">
        <v>257</v>
      </c>
      <c r="CJ2305" s="5" t="s">
        <v>238</v>
      </c>
      <c r="CK2305" s="5" t="s">
        <v>258</v>
      </c>
      <c r="CL2305" s="5" t="s">
        <v>238</v>
      </c>
      <c r="CM2305" s="5" t="s">
        <v>238</v>
      </c>
      <c r="CN2305" s="5">
        <v>0</v>
      </c>
      <c r="CO2305" s="5" t="s">
        <v>259</v>
      </c>
      <c r="CP2305" s="5" t="s">
        <v>260</v>
      </c>
      <c r="CQ2305" s="5" t="s">
        <v>260</v>
      </c>
      <c r="CR2305" s="5" t="s">
        <v>261</v>
      </c>
      <c r="CU2305" s="8">
        <f>1</f>
        <v>1</v>
      </c>
      <c r="CV2305" s="8">
        <f>0</f>
        <v>0</v>
      </c>
      <c r="CX2305" s="8">
        <f>0</f>
        <v>0</v>
      </c>
      <c r="CY2305" s="8">
        <f>1</f>
        <v>1</v>
      </c>
      <c r="DA2305" s="5" t="s">
        <v>274</v>
      </c>
      <c r="DB2305" s="5" t="s">
        <v>238</v>
      </c>
      <c r="DD2305" s="5" t="s">
        <v>274</v>
      </c>
      <c r="DE2305" s="8">
        <f>349</f>
        <v>349</v>
      </c>
      <c r="DG2305" s="5" t="s">
        <v>238</v>
      </c>
      <c r="DH2305" s="5" t="s">
        <v>238</v>
      </c>
      <c r="DI2305" s="5" t="s">
        <v>238</v>
      </c>
      <c r="DJ2305" s="5" t="s">
        <v>238</v>
      </c>
      <c r="DN2305" s="5" t="s">
        <v>238</v>
      </c>
      <c r="DO2305" s="5" t="s">
        <v>238</v>
      </c>
      <c r="DP2305" s="5" t="s">
        <v>238</v>
      </c>
      <c r="DQ2305" s="5" t="s">
        <v>238</v>
      </c>
      <c r="DT2305" s="5" t="s">
        <v>275</v>
      </c>
      <c r="DU2305" s="5" t="s">
        <v>3001</v>
      </c>
      <c r="HM2305" s="5" t="s">
        <v>264</v>
      </c>
    </row>
    <row r="2306" spans="1:221" x14ac:dyDescent="0.4">
      <c r="A2306" s="5">
        <v>4010</v>
      </c>
      <c r="B2306" s="5">
        <v>1</v>
      </c>
      <c r="C2306" s="5">
        <v>1</v>
      </c>
      <c r="D2306" s="5" t="s">
        <v>269</v>
      </c>
      <c r="E2306" s="5" t="s">
        <v>271</v>
      </c>
      <c r="F2306" s="5" t="s">
        <v>248</v>
      </c>
      <c r="G2306" s="5" t="s">
        <v>266</v>
      </c>
      <c r="H2306" s="6" t="s">
        <v>4272</v>
      </c>
      <c r="I2306" s="7">
        <f>767</f>
        <v>767</v>
      </c>
      <c r="J2306" s="5" t="s">
        <v>262</v>
      </c>
      <c r="K2306" s="8">
        <f>1</f>
        <v>1</v>
      </c>
      <c r="L2306" s="6" t="s">
        <v>242</v>
      </c>
      <c r="M2306" s="5" t="s">
        <v>267</v>
      </c>
      <c r="N2306" s="5" t="s">
        <v>265</v>
      </c>
      <c r="O2306" s="5" t="s">
        <v>238</v>
      </c>
      <c r="P2306" s="5" t="s">
        <v>238</v>
      </c>
      <c r="Q2306" s="5" t="s">
        <v>268</v>
      </c>
      <c r="R2306" s="5" t="s">
        <v>270</v>
      </c>
      <c r="S2306" s="5" t="s">
        <v>238</v>
      </c>
      <c r="V2306" s="5" t="s">
        <v>238</v>
      </c>
      <c r="X2306" s="6" t="s">
        <v>238</v>
      </c>
      <c r="AA2306" s="6" t="s">
        <v>243</v>
      </c>
      <c r="AB2306" s="5" t="s">
        <v>238</v>
      </c>
      <c r="AC2306" s="5" t="s">
        <v>244</v>
      </c>
      <c r="AD2306" s="5" t="s">
        <v>245</v>
      </c>
      <c r="AT2306" s="5" t="s">
        <v>246</v>
      </c>
      <c r="AU2306" s="5" t="s">
        <v>238</v>
      </c>
      <c r="AV2306" s="5" t="s">
        <v>247</v>
      </c>
      <c r="AW2306" s="5" t="s">
        <v>238</v>
      </c>
      <c r="AX2306" s="5" t="s">
        <v>249</v>
      </c>
      <c r="AY2306" s="5" t="s">
        <v>238</v>
      </c>
      <c r="BA2306" s="5" t="s">
        <v>238</v>
      </c>
      <c r="BC2306" s="5" t="s">
        <v>250</v>
      </c>
      <c r="BD2306" s="6" t="s">
        <v>243</v>
      </c>
      <c r="BE2306" s="5" t="s">
        <v>251</v>
      </c>
      <c r="BF2306" s="5" t="s">
        <v>252</v>
      </c>
      <c r="BG2306" s="5" t="s">
        <v>238</v>
      </c>
      <c r="BH2306" s="7">
        <f>0</f>
        <v>0</v>
      </c>
      <c r="BI2306" s="8">
        <f>0</f>
        <v>0</v>
      </c>
      <c r="BJ2306" s="5" t="s">
        <v>253</v>
      </c>
      <c r="BK2306" s="5" t="s">
        <v>254</v>
      </c>
      <c r="BY2306" s="5" t="s">
        <v>238</v>
      </c>
      <c r="BZ2306" s="5" t="s">
        <v>238</v>
      </c>
      <c r="CD2306" s="5" t="s">
        <v>273</v>
      </c>
      <c r="CE2306" s="5" t="s">
        <v>256</v>
      </c>
      <c r="CF2306" s="5" t="s">
        <v>238</v>
      </c>
      <c r="CI2306" s="6" t="s">
        <v>257</v>
      </c>
      <c r="CJ2306" s="5" t="s">
        <v>238</v>
      </c>
      <c r="CK2306" s="5" t="s">
        <v>258</v>
      </c>
      <c r="CL2306" s="5" t="s">
        <v>238</v>
      </c>
      <c r="CM2306" s="5" t="s">
        <v>238</v>
      </c>
      <c r="CN2306" s="5">
        <v>0</v>
      </c>
      <c r="CO2306" s="5" t="s">
        <v>259</v>
      </c>
      <c r="CP2306" s="5" t="s">
        <v>260</v>
      </c>
      <c r="CQ2306" s="5" t="s">
        <v>260</v>
      </c>
      <c r="CR2306" s="5" t="s">
        <v>261</v>
      </c>
      <c r="CU2306" s="8">
        <f>1</f>
        <v>1</v>
      </c>
      <c r="CV2306" s="8">
        <f>0</f>
        <v>0</v>
      </c>
      <c r="CX2306" s="8">
        <f>0</f>
        <v>0</v>
      </c>
      <c r="CY2306" s="8">
        <f>1</f>
        <v>1</v>
      </c>
      <c r="DA2306" s="5" t="s">
        <v>274</v>
      </c>
      <c r="DB2306" s="5" t="s">
        <v>238</v>
      </c>
      <c r="DD2306" s="5" t="s">
        <v>274</v>
      </c>
      <c r="DE2306" s="8">
        <f>767</f>
        <v>767</v>
      </c>
      <c r="DG2306" s="5" t="s">
        <v>238</v>
      </c>
      <c r="DH2306" s="5" t="s">
        <v>238</v>
      </c>
      <c r="DI2306" s="5" t="s">
        <v>238</v>
      </c>
      <c r="DJ2306" s="5" t="s">
        <v>238</v>
      </c>
      <c r="DN2306" s="5" t="s">
        <v>238</v>
      </c>
      <c r="DO2306" s="5" t="s">
        <v>238</v>
      </c>
      <c r="DP2306" s="5" t="s">
        <v>238</v>
      </c>
      <c r="DQ2306" s="5" t="s">
        <v>238</v>
      </c>
      <c r="DT2306" s="5" t="s">
        <v>275</v>
      </c>
      <c r="DU2306" s="5" t="s">
        <v>2999</v>
      </c>
      <c r="HM2306" s="5" t="s">
        <v>264</v>
      </c>
    </row>
    <row r="2307" spans="1:221" x14ac:dyDescent="0.4">
      <c r="A2307" s="5">
        <v>4011</v>
      </c>
      <c r="B2307" s="5">
        <v>1</v>
      </c>
      <c r="C2307" s="5">
        <v>1</v>
      </c>
      <c r="D2307" s="5" t="s">
        <v>269</v>
      </c>
      <c r="E2307" s="5" t="s">
        <v>271</v>
      </c>
      <c r="F2307" s="5" t="s">
        <v>248</v>
      </c>
      <c r="G2307" s="5" t="s">
        <v>266</v>
      </c>
      <c r="H2307" s="6" t="s">
        <v>4301</v>
      </c>
      <c r="I2307" s="7">
        <f>2666</f>
        <v>2666</v>
      </c>
      <c r="J2307" s="5" t="s">
        <v>262</v>
      </c>
      <c r="K2307" s="8">
        <f>1</f>
        <v>1</v>
      </c>
      <c r="L2307" s="6" t="s">
        <v>242</v>
      </c>
      <c r="M2307" s="5" t="s">
        <v>267</v>
      </c>
      <c r="N2307" s="5" t="s">
        <v>265</v>
      </c>
      <c r="O2307" s="5" t="s">
        <v>238</v>
      </c>
      <c r="P2307" s="5" t="s">
        <v>238</v>
      </c>
      <c r="Q2307" s="5" t="s">
        <v>268</v>
      </c>
      <c r="R2307" s="5" t="s">
        <v>270</v>
      </c>
      <c r="S2307" s="5" t="s">
        <v>238</v>
      </c>
      <c r="V2307" s="5" t="s">
        <v>238</v>
      </c>
      <c r="X2307" s="6" t="s">
        <v>238</v>
      </c>
      <c r="AA2307" s="6" t="s">
        <v>243</v>
      </c>
      <c r="AB2307" s="5" t="s">
        <v>238</v>
      </c>
      <c r="AC2307" s="5" t="s">
        <v>244</v>
      </c>
      <c r="AD2307" s="5" t="s">
        <v>245</v>
      </c>
      <c r="AT2307" s="5" t="s">
        <v>246</v>
      </c>
      <c r="AU2307" s="5" t="s">
        <v>238</v>
      </c>
      <c r="AV2307" s="5" t="s">
        <v>247</v>
      </c>
      <c r="AW2307" s="5" t="s">
        <v>238</v>
      </c>
      <c r="AX2307" s="5" t="s">
        <v>249</v>
      </c>
      <c r="AY2307" s="5" t="s">
        <v>238</v>
      </c>
      <c r="BA2307" s="5" t="s">
        <v>238</v>
      </c>
      <c r="BC2307" s="5" t="s">
        <v>250</v>
      </c>
      <c r="BD2307" s="6" t="s">
        <v>243</v>
      </c>
      <c r="BE2307" s="5" t="s">
        <v>251</v>
      </c>
      <c r="BF2307" s="5" t="s">
        <v>252</v>
      </c>
      <c r="BG2307" s="5" t="s">
        <v>238</v>
      </c>
      <c r="BH2307" s="7">
        <f>0</f>
        <v>0</v>
      </c>
      <c r="BI2307" s="8">
        <f>0</f>
        <v>0</v>
      </c>
      <c r="BJ2307" s="5" t="s">
        <v>253</v>
      </c>
      <c r="BK2307" s="5" t="s">
        <v>254</v>
      </c>
      <c r="BY2307" s="5" t="s">
        <v>238</v>
      </c>
      <c r="BZ2307" s="5" t="s">
        <v>238</v>
      </c>
      <c r="CD2307" s="5" t="s">
        <v>273</v>
      </c>
      <c r="CE2307" s="5" t="s">
        <v>256</v>
      </c>
      <c r="CF2307" s="5" t="s">
        <v>238</v>
      </c>
      <c r="CI2307" s="6" t="s">
        <v>257</v>
      </c>
      <c r="CJ2307" s="5" t="s">
        <v>238</v>
      </c>
      <c r="CK2307" s="5" t="s">
        <v>258</v>
      </c>
      <c r="CL2307" s="5" t="s">
        <v>238</v>
      </c>
      <c r="CM2307" s="5" t="s">
        <v>238</v>
      </c>
      <c r="CN2307" s="5">
        <v>0</v>
      </c>
      <c r="CO2307" s="5" t="s">
        <v>259</v>
      </c>
      <c r="CP2307" s="5" t="s">
        <v>260</v>
      </c>
      <c r="CQ2307" s="5" t="s">
        <v>260</v>
      </c>
      <c r="CR2307" s="5" t="s">
        <v>261</v>
      </c>
      <c r="CU2307" s="8">
        <f>1</f>
        <v>1</v>
      </c>
      <c r="CV2307" s="8">
        <f>0</f>
        <v>0</v>
      </c>
      <c r="CX2307" s="8">
        <f>0</f>
        <v>0</v>
      </c>
      <c r="CY2307" s="8">
        <f>1</f>
        <v>1</v>
      </c>
      <c r="DA2307" s="5" t="s">
        <v>274</v>
      </c>
      <c r="DB2307" s="5" t="s">
        <v>238</v>
      </c>
      <c r="DD2307" s="5" t="s">
        <v>274</v>
      </c>
      <c r="DE2307" s="8">
        <f>2666</f>
        <v>2666</v>
      </c>
      <c r="DG2307" s="5" t="s">
        <v>238</v>
      </c>
      <c r="DH2307" s="5" t="s">
        <v>238</v>
      </c>
      <c r="DI2307" s="5" t="s">
        <v>238</v>
      </c>
      <c r="DJ2307" s="5" t="s">
        <v>238</v>
      </c>
      <c r="DN2307" s="5" t="s">
        <v>238</v>
      </c>
      <c r="DO2307" s="5" t="s">
        <v>238</v>
      </c>
      <c r="DP2307" s="5" t="s">
        <v>238</v>
      </c>
      <c r="DQ2307" s="5" t="s">
        <v>238</v>
      </c>
      <c r="DT2307" s="5" t="s">
        <v>275</v>
      </c>
      <c r="DU2307" s="5" t="s">
        <v>2997</v>
      </c>
      <c r="HM2307" s="5" t="s">
        <v>264</v>
      </c>
    </row>
    <row r="2308" spans="1:221" x14ac:dyDescent="0.4">
      <c r="A2308" s="5">
        <v>4012</v>
      </c>
      <c r="B2308" s="5">
        <v>1</v>
      </c>
      <c r="C2308" s="5">
        <v>1</v>
      </c>
      <c r="D2308" s="5" t="s">
        <v>269</v>
      </c>
      <c r="E2308" s="5" t="s">
        <v>271</v>
      </c>
      <c r="F2308" s="5" t="s">
        <v>248</v>
      </c>
      <c r="G2308" s="5" t="s">
        <v>266</v>
      </c>
      <c r="H2308" s="6" t="s">
        <v>4190</v>
      </c>
      <c r="I2308" s="7">
        <f>2812</f>
        <v>2812</v>
      </c>
      <c r="J2308" s="5" t="s">
        <v>262</v>
      </c>
      <c r="K2308" s="8">
        <f>1</f>
        <v>1</v>
      </c>
      <c r="L2308" s="6" t="s">
        <v>242</v>
      </c>
      <c r="M2308" s="5" t="s">
        <v>267</v>
      </c>
      <c r="N2308" s="5" t="s">
        <v>265</v>
      </c>
      <c r="O2308" s="5" t="s">
        <v>238</v>
      </c>
      <c r="P2308" s="5" t="s">
        <v>238</v>
      </c>
      <c r="Q2308" s="5" t="s">
        <v>268</v>
      </c>
      <c r="R2308" s="5" t="s">
        <v>270</v>
      </c>
      <c r="S2308" s="5" t="s">
        <v>238</v>
      </c>
      <c r="V2308" s="5" t="s">
        <v>238</v>
      </c>
      <c r="X2308" s="6" t="s">
        <v>238</v>
      </c>
      <c r="AA2308" s="6" t="s">
        <v>243</v>
      </c>
      <c r="AB2308" s="5" t="s">
        <v>238</v>
      </c>
      <c r="AC2308" s="5" t="s">
        <v>244</v>
      </c>
      <c r="AD2308" s="5" t="s">
        <v>245</v>
      </c>
      <c r="AT2308" s="5" t="s">
        <v>246</v>
      </c>
      <c r="AU2308" s="5" t="s">
        <v>238</v>
      </c>
      <c r="AV2308" s="5" t="s">
        <v>247</v>
      </c>
      <c r="AW2308" s="5" t="s">
        <v>238</v>
      </c>
      <c r="AX2308" s="5" t="s">
        <v>249</v>
      </c>
      <c r="AY2308" s="5" t="s">
        <v>238</v>
      </c>
      <c r="BA2308" s="5" t="s">
        <v>238</v>
      </c>
      <c r="BC2308" s="5" t="s">
        <v>250</v>
      </c>
      <c r="BD2308" s="6" t="s">
        <v>243</v>
      </c>
      <c r="BE2308" s="5" t="s">
        <v>251</v>
      </c>
      <c r="BF2308" s="5" t="s">
        <v>252</v>
      </c>
      <c r="BG2308" s="5" t="s">
        <v>238</v>
      </c>
      <c r="BH2308" s="7">
        <f>0</f>
        <v>0</v>
      </c>
      <c r="BI2308" s="8">
        <f>0</f>
        <v>0</v>
      </c>
      <c r="BJ2308" s="5" t="s">
        <v>253</v>
      </c>
      <c r="BK2308" s="5" t="s">
        <v>254</v>
      </c>
      <c r="BY2308" s="5" t="s">
        <v>238</v>
      </c>
      <c r="BZ2308" s="5" t="s">
        <v>238</v>
      </c>
      <c r="CD2308" s="5" t="s">
        <v>273</v>
      </c>
      <c r="CE2308" s="5" t="s">
        <v>256</v>
      </c>
      <c r="CF2308" s="5" t="s">
        <v>238</v>
      </c>
      <c r="CI2308" s="6" t="s">
        <v>257</v>
      </c>
      <c r="CJ2308" s="5" t="s">
        <v>238</v>
      </c>
      <c r="CK2308" s="5" t="s">
        <v>258</v>
      </c>
      <c r="CL2308" s="5" t="s">
        <v>238</v>
      </c>
      <c r="CM2308" s="5" t="s">
        <v>238</v>
      </c>
      <c r="CN2308" s="5">
        <v>0</v>
      </c>
      <c r="CO2308" s="5" t="s">
        <v>259</v>
      </c>
      <c r="CP2308" s="5" t="s">
        <v>260</v>
      </c>
      <c r="CQ2308" s="5" t="s">
        <v>260</v>
      </c>
      <c r="CR2308" s="5" t="s">
        <v>261</v>
      </c>
      <c r="CU2308" s="8">
        <f>1</f>
        <v>1</v>
      </c>
      <c r="CV2308" s="8">
        <f>0</f>
        <v>0</v>
      </c>
      <c r="CX2308" s="8">
        <f>0</f>
        <v>0</v>
      </c>
      <c r="CY2308" s="8">
        <f>1</f>
        <v>1</v>
      </c>
      <c r="DA2308" s="5" t="s">
        <v>274</v>
      </c>
      <c r="DB2308" s="5" t="s">
        <v>238</v>
      </c>
      <c r="DD2308" s="5" t="s">
        <v>274</v>
      </c>
      <c r="DE2308" s="8">
        <f>2812</f>
        <v>2812</v>
      </c>
      <c r="DG2308" s="5" t="s">
        <v>238</v>
      </c>
      <c r="DH2308" s="5" t="s">
        <v>238</v>
      </c>
      <c r="DI2308" s="5" t="s">
        <v>238</v>
      </c>
      <c r="DJ2308" s="5" t="s">
        <v>238</v>
      </c>
      <c r="DN2308" s="5" t="s">
        <v>238</v>
      </c>
      <c r="DO2308" s="5" t="s">
        <v>238</v>
      </c>
      <c r="DP2308" s="5" t="s">
        <v>238</v>
      </c>
      <c r="DQ2308" s="5" t="s">
        <v>238</v>
      </c>
      <c r="DT2308" s="5" t="s">
        <v>275</v>
      </c>
      <c r="DU2308" s="5" t="s">
        <v>2995</v>
      </c>
      <c r="HM2308" s="5" t="s">
        <v>264</v>
      </c>
    </row>
    <row r="2309" spans="1:221" x14ac:dyDescent="0.4">
      <c r="A2309" s="5">
        <v>4013</v>
      </c>
      <c r="B2309" s="5">
        <v>1</v>
      </c>
      <c r="C2309" s="5">
        <v>1</v>
      </c>
      <c r="D2309" s="5" t="s">
        <v>269</v>
      </c>
      <c r="E2309" s="5" t="s">
        <v>271</v>
      </c>
      <c r="F2309" s="5" t="s">
        <v>248</v>
      </c>
      <c r="G2309" s="5" t="s">
        <v>266</v>
      </c>
      <c r="H2309" s="6" t="s">
        <v>4165</v>
      </c>
      <c r="I2309" s="7">
        <f>477</f>
        <v>477</v>
      </c>
      <c r="J2309" s="5" t="s">
        <v>262</v>
      </c>
      <c r="K2309" s="8">
        <f>1</f>
        <v>1</v>
      </c>
      <c r="L2309" s="6" t="s">
        <v>242</v>
      </c>
      <c r="M2309" s="5" t="s">
        <v>267</v>
      </c>
      <c r="N2309" s="5" t="s">
        <v>265</v>
      </c>
      <c r="O2309" s="5" t="s">
        <v>238</v>
      </c>
      <c r="P2309" s="5" t="s">
        <v>238</v>
      </c>
      <c r="Q2309" s="5" t="s">
        <v>268</v>
      </c>
      <c r="R2309" s="5" t="s">
        <v>270</v>
      </c>
      <c r="S2309" s="5" t="s">
        <v>238</v>
      </c>
      <c r="V2309" s="5" t="s">
        <v>238</v>
      </c>
      <c r="X2309" s="6" t="s">
        <v>238</v>
      </c>
      <c r="AA2309" s="6" t="s">
        <v>243</v>
      </c>
      <c r="AB2309" s="5" t="s">
        <v>238</v>
      </c>
      <c r="AC2309" s="5" t="s">
        <v>244</v>
      </c>
      <c r="AD2309" s="5" t="s">
        <v>245</v>
      </c>
      <c r="AT2309" s="5" t="s">
        <v>246</v>
      </c>
      <c r="AU2309" s="5" t="s">
        <v>238</v>
      </c>
      <c r="AV2309" s="5" t="s">
        <v>247</v>
      </c>
      <c r="AW2309" s="5" t="s">
        <v>238</v>
      </c>
      <c r="AX2309" s="5" t="s">
        <v>249</v>
      </c>
      <c r="AY2309" s="5" t="s">
        <v>238</v>
      </c>
      <c r="BA2309" s="5" t="s">
        <v>238</v>
      </c>
      <c r="BC2309" s="5" t="s">
        <v>250</v>
      </c>
      <c r="BD2309" s="6" t="s">
        <v>243</v>
      </c>
      <c r="BE2309" s="5" t="s">
        <v>251</v>
      </c>
      <c r="BF2309" s="5" t="s">
        <v>252</v>
      </c>
      <c r="BG2309" s="5" t="s">
        <v>238</v>
      </c>
      <c r="BH2309" s="7">
        <f>0</f>
        <v>0</v>
      </c>
      <c r="BI2309" s="8">
        <f>0</f>
        <v>0</v>
      </c>
      <c r="BJ2309" s="5" t="s">
        <v>253</v>
      </c>
      <c r="BK2309" s="5" t="s">
        <v>254</v>
      </c>
      <c r="BY2309" s="5" t="s">
        <v>238</v>
      </c>
      <c r="BZ2309" s="5" t="s">
        <v>238</v>
      </c>
      <c r="CD2309" s="5" t="s">
        <v>273</v>
      </c>
      <c r="CE2309" s="5" t="s">
        <v>256</v>
      </c>
      <c r="CF2309" s="5" t="s">
        <v>238</v>
      </c>
      <c r="CI2309" s="6" t="s">
        <v>257</v>
      </c>
      <c r="CJ2309" s="5" t="s">
        <v>238</v>
      </c>
      <c r="CK2309" s="5" t="s">
        <v>258</v>
      </c>
      <c r="CL2309" s="5" t="s">
        <v>238</v>
      </c>
      <c r="CM2309" s="5" t="s">
        <v>238</v>
      </c>
      <c r="CN2309" s="5">
        <v>0</v>
      </c>
      <c r="CO2309" s="5" t="s">
        <v>259</v>
      </c>
      <c r="CP2309" s="5" t="s">
        <v>260</v>
      </c>
      <c r="CQ2309" s="5" t="s">
        <v>260</v>
      </c>
      <c r="CR2309" s="5" t="s">
        <v>261</v>
      </c>
      <c r="CU2309" s="8">
        <f>1</f>
        <v>1</v>
      </c>
      <c r="CV2309" s="8">
        <f>0</f>
        <v>0</v>
      </c>
      <c r="CX2309" s="8">
        <f>0</f>
        <v>0</v>
      </c>
      <c r="CY2309" s="8">
        <f>1</f>
        <v>1</v>
      </c>
      <c r="DA2309" s="5" t="s">
        <v>274</v>
      </c>
      <c r="DB2309" s="5" t="s">
        <v>238</v>
      </c>
      <c r="DD2309" s="5" t="s">
        <v>274</v>
      </c>
      <c r="DE2309" s="8">
        <f>477</f>
        <v>477</v>
      </c>
      <c r="DG2309" s="5" t="s">
        <v>238</v>
      </c>
      <c r="DH2309" s="5" t="s">
        <v>238</v>
      </c>
      <c r="DI2309" s="5" t="s">
        <v>238</v>
      </c>
      <c r="DJ2309" s="5" t="s">
        <v>238</v>
      </c>
      <c r="DN2309" s="5" t="s">
        <v>238</v>
      </c>
      <c r="DO2309" s="5" t="s">
        <v>238</v>
      </c>
      <c r="DP2309" s="5" t="s">
        <v>238</v>
      </c>
      <c r="DQ2309" s="5" t="s">
        <v>238</v>
      </c>
      <c r="DT2309" s="5" t="s">
        <v>275</v>
      </c>
      <c r="DU2309" s="5" t="s">
        <v>2993</v>
      </c>
      <c r="HM2309" s="5" t="s">
        <v>264</v>
      </c>
    </row>
    <row r="2310" spans="1:221" x14ac:dyDescent="0.4">
      <c r="A2310" s="5">
        <v>4014</v>
      </c>
      <c r="B2310" s="5">
        <v>1</v>
      </c>
      <c r="C2310" s="5">
        <v>1</v>
      </c>
      <c r="D2310" s="5" t="s">
        <v>269</v>
      </c>
      <c r="E2310" s="5" t="s">
        <v>271</v>
      </c>
      <c r="F2310" s="5" t="s">
        <v>248</v>
      </c>
      <c r="G2310" s="5" t="s">
        <v>266</v>
      </c>
      <c r="H2310" s="6" t="s">
        <v>4169</v>
      </c>
      <c r="I2310" s="7">
        <f>170</f>
        <v>170</v>
      </c>
      <c r="J2310" s="5" t="s">
        <v>262</v>
      </c>
      <c r="K2310" s="8">
        <f>1</f>
        <v>1</v>
      </c>
      <c r="L2310" s="6" t="s">
        <v>242</v>
      </c>
      <c r="M2310" s="5" t="s">
        <v>267</v>
      </c>
      <c r="N2310" s="5" t="s">
        <v>265</v>
      </c>
      <c r="O2310" s="5" t="s">
        <v>238</v>
      </c>
      <c r="P2310" s="5" t="s">
        <v>238</v>
      </c>
      <c r="Q2310" s="5" t="s">
        <v>268</v>
      </c>
      <c r="R2310" s="5" t="s">
        <v>270</v>
      </c>
      <c r="S2310" s="5" t="s">
        <v>238</v>
      </c>
      <c r="V2310" s="5" t="s">
        <v>238</v>
      </c>
      <c r="X2310" s="6" t="s">
        <v>238</v>
      </c>
      <c r="AA2310" s="6" t="s">
        <v>243</v>
      </c>
      <c r="AB2310" s="5" t="s">
        <v>238</v>
      </c>
      <c r="AC2310" s="5" t="s">
        <v>244</v>
      </c>
      <c r="AD2310" s="5" t="s">
        <v>245</v>
      </c>
      <c r="AT2310" s="5" t="s">
        <v>246</v>
      </c>
      <c r="AU2310" s="5" t="s">
        <v>238</v>
      </c>
      <c r="AV2310" s="5" t="s">
        <v>247</v>
      </c>
      <c r="AW2310" s="5" t="s">
        <v>238</v>
      </c>
      <c r="AX2310" s="5" t="s">
        <v>249</v>
      </c>
      <c r="AY2310" s="5" t="s">
        <v>238</v>
      </c>
      <c r="BA2310" s="5" t="s">
        <v>238</v>
      </c>
      <c r="BC2310" s="5" t="s">
        <v>250</v>
      </c>
      <c r="BD2310" s="6" t="s">
        <v>243</v>
      </c>
      <c r="BE2310" s="5" t="s">
        <v>251</v>
      </c>
      <c r="BF2310" s="5" t="s">
        <v>252</v>
      </c>
      <c r="BG2310" s="5" t="s">
        <v>238</v>
      </c>
      <c r="BH2310" s="7">
        <f>0</f>
        <v>0</v>
      </c>
      <c r="BI2310" s="8">
        <f>0</f>
        <v>0</v>
      </c>
      <c r="BJ2310" s="5" t="s">
        <v>253</v>
      </c>
      <c r="BK2310" s="5" t="s">
        <v>254</v>
      </c>
      <c r="BY2310" s="5" t="s">
        <v>238</v>
      </c>
      <c r="BZ2310" s="5" t="s">
        <v>238</v>
      </c>
      <c r="CD2310" s="5" t="s">
        <v>273</v>
      </c>
      <c r="CE2310" s="5" t="s">
        <v>256</v>
      </c>
      <c r="CF2310" s="5" t="s">
        <v>238</v>
      </c>
      <c r="CI2310" s="6" t="s">
        <v>257</v>
      </c>
      <c r="CJ2310" s="5" t="s">
        <v>238</v>
      </c>
      <c r="CK2310" s="5" t="s">
        <v>258</v>
      </c>
      <c r="CL2310" s="5" t="s">
        <v>238</v>
      </c>
      <c r="CM2310" s="5" t="s">
        <v>238</v>
      </c>
      <c r="CN2310" s="5">
        <v>0</v>
      </c>
      <c r="CO2310" s="5" t="s">
        <v>259</v>
      </c>
      <c r="CP2310" s="5" t="s">
        <v>260</v>
      </c>
      <c r="CQ2310" s="5" t="s">
        <v>260</v>
      </c>
      <c r="CR2310" s="5" t="s">
        <v>261</v>
      </c>
      <c r="CU2310" s="8">
        <f>1</f>
        <v>1</v>
      </c>
      <c r="CV2310" s="8">
        <f>0</f>
        <v>0</v>
      </c>
      <c r="CX2310" s="8">
        <f>0</f>
        <v>0</v>
      </c>
      <c r="CY2310" s="8">
        <f>1</f>
        <v>1</v>
      </c>
      <c r="DA2310" s="5" t="s">
        <v>274</v>
      </c>
      <c r="DB2310" s="5" t="s">
        <v>238</v>
      </c>
      <c r="DD2310" s="5" t="s">
        <v>274</v>
      </c>
      <c r="DE2310" s="8">
        <f>170</f>
        <v>170</v>
      </c>
      <c r="DG2310" s="5" t="s">
        <v>238</v>
      </c>
      <c r="DH2310" s="5" t="s">
        <v>238</v>
      </c>
      <c r="DI2310" s="5" t="s">
        <v>238</v>
      </c>
      <c r="DJ2310" s="5" t="s">
        <v>238</v>
      </c>
      <c r="DN2310" s="5" t="s">
        <v>238</v>
      </c>
      <c r="DO2310" s="5" t="s">
        <v>238</v>
      </c>
      <c r="DP2310" s="5" t="s">
        <v>238</v>
      </c>
      <c r="DQ2310" s="5" t="s">
        <v>238</v>
      </c>
      <c r="DT2310" s="5" t="s">
        <v>275</v>
      </c>
      <c r="DU2310" s="5" t="s">
        <v>2991</v>
      </c>
      <c r="HM2310" s="5" t="s">
        <v>264</v>
      </c>
    </row>
    <row r="2311" spans="1:221" x14ac:dyDescent="0.4">
      <c r="A2311" s="5">
        <v>4015</v>
      </c>
      <c r="B2311" s="5">
        <v>1</v>
      </c>
      <c r="C2311" s="5">
        <v>1</v>
      </c>
      <c r="D2311" s="5" t="s">
        <v>269</v>
      </c>
      <c r="E2311" s="5" t="s">
        <v>271</v>
      </c>
      <c r="F2311" s="5" t="s">
        <v>248</v>
      </c>
      <c r="G2311" s="5" t="s">
        <v>266</v>
      </c>
      <c r="H2311" s="6" t="s">
        <v>4280</v>
      </c>
      <c r="I2311" s="7">
        <f>233</f>
        <v>233</v>
      </c>
      <c r="J2311" s="5" t="s">
        <v>262</v>
      </c>
      <c r="K2311" s="8">
        <f>1</f>
        <v>1</v>
      </c>
      <c r="L2311" s="6" t="s">
        <v>242</v>
      </c>
      <c r="M2311" s="5" t="s">
        <v>267</v>
      </c>
      <c r="N2311" s="5" t="s">
        <v>265</v>
      </c>
      <c r="O2311" s="5" t="s">
        <v>238</v>
      </c>
      <c r="P2311" s="5" t="s">
        <v>238</v>
      </c>
      <c r="Q2311" s="5" t="s">
        <v>268</v>
      </c>
      <c r="R2311" s="5" t="s">
        <v>270</v>
      </c>
      <c r="S2311" s="5" t="s">
        <v>238</v>
      </c>
      <c r="V2311" s="5" t="s">
        <v>238</v>
      </c>
      <c r="X2311" s="6" t="s">
        <v>238</v>
      </c>
      <c r="AA2311" s="6" t="s">
        <v>243</v>
      </c>
      <c r="AB2311" s="5" t="s">
        <v>238</v>
      </c>
      <c r="AC2311" s="5" t="s">
        <v>244</v>
      </c>
      <c r="AD2311" s="5" t="s">
        <v>245</v>
      </c>
      <c r="AT2311" s="5" t="s">
        <v>246</v>
      </c>
      <c r="AU2311" s="5" t="s">
        <v>238</v>
      </c>
      <c r="AV2311" s="5" t="s">
        <v>247</v>
      </c>
      <c r="AW2311" s="5" t="s">
        <v>238</v>
      </c>
      <c r="AX2311" s="5" t="s">
        <v>249</v>
      </c>
      <c r="AY2311" s="5" t="s">
        <v>238</v>
      </c>
      <c r="BA2311" s="5" t="s">
        <v>238</v>
      </c>
      <c r="BC2311" s="5" t="s">
        <v>250</v>
      </c>
      <c r="BD2311" s="6" t="s">
        <v>243</v>
      </c>
      <c r="BE2311" s="5" t="s">
        <v>251</v>
      </c>
      <c r="BF2311" s="5" t="s">
        <v>252</v>
      </c>
      <c r="BG2311" s="5" t="s">
        <v>238</v>
      </c>
      <c r="BH2311" s="7">
        <f>0</f>
        <v>0</v>
      </c>
      <c r="BI2311" s="8">
        <f>0</f>
        <v>0</v>
      </c>
      <c r="BJ2311" s="5" t="s">
        <v>253</v>
      </c>
      <c r="BK2311" s="5" t="s">
        <v>254</v>
      </c>
      <c r="BY2311" s="5" t="s">
        <v>238</v>
      </c>
      <c r="BZ2311" s="5" t="s">
        <v>238</v>
      </c>
      <c r="CD2311" s="5" t="s">
        <v>273</v>
      </c>
      <c r="CE2311" s="5" t="s">
        <v>256</v>
      </c>
      <c r="CF2311" s="5" t="s">
        <v>238</v>
      </c>
      <c r="CI2311" s="6" t="s">
        <v>257</v>
      </c>
      <c r="CJ2311" s="5" t="s">
        <v>238</v>
      </c>
      <c r="CK2311" s="5" t="s">
        <v>258</v>
      </c>
      <c r="CL2311" s="5" t="s">
        <v>238</v>
      </c>
      <c r="CM2311" s="5" t="s">
        <v>238</v>
      </c>
      <c r="CN2311" s="5">
        <v>0</v>
      </c>
      <c r="CO2311" s="5" t="s">
        <v>259</v>
      </c>
      <c r="CP2311" s="5" t="s">
        <v>260</v>
      </c>
      <c r="CQ2311" s="5" t="s">
        <v>260</v>
      </c>
      <c r="CR2311" s="5" t="s">
        <v>261</v>
      </c>
      <c r="CU2311" s="8">
        <f>1</f>
        <v>1</v>
      </c>
      <c r="CV2311" s="8">
        <f>0</f>
        <v>0</v>
      </c>
      <c r="CX2311" s="8">
        <f>0</f>
        <v>0</v>
      </c>
      <c r="CY2311" s="8">
        <f>1</f>
        <v>1</v>
      </c>
      <c r="DA2311" s="5" t="s">
        <v>274</v>
      </c>
      <c r="DB2311" s="5" t="s">
        <v>238</v>
      </c>
      <c r="DD2311" s="5" t="s">
        <v>274</v>
      </c>
      <c r="DE2311" s="8">
        <f>233</f>
        <v>233</v>
      </c>
      <c r="DG2311" s="5" t="s">
        <v>238</v>
      </c>
      <c r="DH2311" s="5" t="s">
        <v>238</v>
      </c>
      <c r="DI2311" s="5" t="s">
        <v>238</v>
      </c>
      <c r="DJ2311" s="5" t="s">
        <v>238</v>
      </c>
      <c r="DN2311" s="5" t="s">
        <v>238</v>
      </c>
      <c r="DO2311" s="5" t="s">
        <v>238</v>
      </c>
      <c r="DP2311" s="5" t="s">
        <v>238</v>
      </c>
      <c r="DQ2311" s="5" t="s">
        <v>238</v>
      </c>
      <c r="DT2311" s="5" t="s">
        <v>275</v>
      </c>
      <c r="DU2311" s="5" t="s">
        <v>2989</v>
      </c>
      <c r="HM2311" s="5" t="s">
        <v>264</v>
      </c>
    </row>
    <row r="2312" spans="1:221" x14ac:dyDescent="0.4">
      <c r="A2312" s="5">
        <v>4016</v>
      </c>
      <c r="B2312" s="5">
        <v>1</v>
      </c>
      <c r="C2312" s="5">
        <v>1</v>
      </c>
      <c r="D2312" s="5" t="s">
        <v>269</v>
      </c>
      <c r="E2312" s="5" t="s">
        <v>271</v>
      </c>
      <c r="F2312" s="5" t="s">
        <v>248</v>
      </c>
      <c r="G2312" s="5" t="s">
        <v>266</v>
      </c>
      <c r="H2312" s="6" t="s">
        <v>4326</v>
      </c>
      <c r="I2312" s="7">
        <f>357</f>
        <v>357</v>
      </c>
      <c r="J2312" s="5" t="s">
        <v>262</v>
      </c>
      <c r="K2312" s="8">
        <f>1</f>
        <v>1</v>
      </c>
      <c r="L2312" s="6" t="s">
        <v>242</v>
      </c>
      <c r="M2312" s="5" t="s">
        <v>267</v>
      </c>
      <c r="N2312" s="5" t="s">
        <v>265</v>
      </c>
      <c r="O2312" s="5" t="s">
        <v>238</v>
      </c>
      <c r="P2312" s="5" t="s">
        <v>238</v>
      </c>
      <c r="Q2312" s="5" t="s">
        <v>268</v>
      </c>
      <c r="R2312" s="5" t="s">
        <v>270</v>
      </c>
      <c r="S2312" s="5" t="s">
        <v>238</v>
      </c>
      <c r="V2312" s="5" t="s">
        <v>238</v>
      </c>
      <c r="X2312" s="6" t="s">
        <v>238</v>
      </c>
      <c r="AA2312" s="6" t="s">
        <v>243</v>
      </c>
      <c r="AB2312" s="5" t="s">
        <v>238</v>
      </c>
      <c r="AC2312" s="5" t="s">
        <v>244</v>
      </c>
      <c r="AD2312" s="5" t="s">
        <v>245</v>
      </c>
      <c r="AT2312" s="5" t="s">
        <v>246</v>
      </c>
      <c r="AU2312" s="5" t="s">
        <v>238</v>
      </c>
      <c r="AV2312" s="5" t="s">
        <v>247</v>
      </c>
      <c r="AW2312" s="5" t="s">
        <v>238</v>
      </c>
      <c r="AX2312" s="5" t="s">
        <v>249</v>
      </c>
      <c r="AY2312" s="5" t="s">
        <v>238</v>
      </c>
      <c r="BA2312" s="5" t="s">
        <v>238</v>
      </c>
      <c r="BC2312" s="5" t="s">
        <v>250</v>
      </c>
      <c r="BD2312" s="6" t="s">
        <v>243</v>
      </c>
      <c r="BE2312" s="5" t="s">
        <v>251</v>
      </c>
      <c r="BF2312" s="5" t="s">
        <v>252</v>
      </c>
      <c r="BG2312" s="5" t="s">
        <v>238</v>
      </c>
      <c r="BH2312" s="7">
        <f>0</f>
        <v>0</v>
      </c>
      <c r="BI2312" s="8">
        <f>0</f>
        <v>0</v>
      </c>
      <c r="BJ2312" s="5" t="s">
        <v>253</v>
      </c>
      <c r="BK2312" s="5" t="s">
        <v>254</v>
      </c>
      <c r="BY2312" s="5" t="s">
        <v>238</v>
      </c>
      <c r="BZ2312" s="5" t="s">
        <v>238</v>
      </c>
      <c r="CD2312" s="5" t="s">
        <v>273</v>
      </c>
      <c r="CE2312" s="5" t="s">
        <v>256</v>
      </c>
      <c r="CF2312" s="5" t="s">
        <v>238</v>
      </c>
      <c r="CI2312" s="6" t="s">
        <v>257</v>
      </c>
      <c r="CJ2312" s="5" t="s">
        <v>238</v>
      </c>
      <c r="CK2312" s="5" t="s">
        <v>258</v>
      </c>
      <c r="CL2312" s="5" t="s">
        <v>238</v>
      </c>
      <c r="CM2312" s="5" t="s">
        <v>238</v>
      </c>
      <c r="CN2312" s="5">
        <v>0</v>
      </c>
      <c r="CO2312" s="5" t="s">
        <v>259</v>
      </c>
      <c r="CP2312" s="5" t="s">
        <v>260</v>
      </c>
      <c r="CQ2312" s="5" t="s">
        <v>260</v>
      </c>
      <c r="CR2312" s="5" t="s">
        <v>261</v>
      </c>
      <c r="CU2312" s="8">
        <f>1</f>
        <v>1</v>
      </c>
      <c r="CV2312" s="8">
        <f>0</f>
        <v>0</v>
      </c>
      <c r="CX2312" s="8">
        <f>0</f>
        <v>0</v>
      </c>
      <c r="CY2312" s="8">
        <f>1</f>
        <v>1</v>
      </c>
      <c r="DA2312" s="5" t="s">
        <v>274</v>
      </c>
      <c r="DB2312" s="5" t="s">
        <v>238</v>
      </c>
      <c r="DD2312" s="5" t="s">
        <v>274</v>
      </c>
      <c r="DE2312" s="8">
        <f>357</f>
        <v>357</v>
      </c>
      <c r="DG2312" s="5" t="s">
        <v>238</v>
      </c>
      <c r="DH2312" s="5" t="s">
        <v>238</v>
      </c>
      <c r="DI2312" s="5" t="s">
        <v>238</v>
      </c>
      <c r="DJ2312" s="5" t="s">
        <v>238</v>
      </c>
      <c r="DN2312" s="5" t="s">
        <v>238</v>
      </c>
      <c r="DO2312" s="5" t="s">
        <v>238</v>
      </c>
      <c r="DP2312" s="5" t="s">
        <v>238</v>
      </c>
      <c r="DQ2312" s="5" t="s">
        <v>238</v>
      </c>
      <c r="DT2312" s="5" t="s">
        <v>275</v>
      </c>
      <c r="DU2312" s="5" t="s">
        <v>2987</v>
      </c>
      <c r="HM2312" s="5" t="s">
        <v>264</v>
      </c>
    </row>
    <row r="2313" spans="1:221" x14ac:dyDescent="0.4">
      <c r="A2313" s="5">
        <v>4017</v>
      </c>
      <c r="B2313" s="5">
        <v>1</v>
      </c>
      <c r="C2313" s="5">
        <v>1</v>
      </c>
      <c r="D2313" s="5" t="s">
        <v>269</v>
      </c>
      <c r="E2313" s="5" t="s">
        <v>271</v>
      </c>
      <c r="F2313" s="5" t="s">
        <v>248</v>
      </c>
      <c r="G2313" s="5" t="s">
        <v>266</v>
      </c>
      <c r="H2313" s="6" t="s">
        <v>4174</v>
      </c>
      <c r="I2313" s="7">
        <f>1852</f>
        <v>1852</v>
      </c>
      <c r="J2313" s="5" t="s">
        <v>262</v>
      </c>
      <c r="K2313" s="8">
        <f>1</f>
        <v>1</v>
      </c>
      <c r="L2313" s="6" t="s">
        <v>242</v>
      </c>
      <c r="M2313" s="5" t="s">
        <v>267</v>
      </c>
      <c r="N2313" s="5" t="s">
        <v>265</v>
      </c>
      <c r="O2313" s="5" t="s">
        <v>238</v>
      </c>
      <c r="P2313" s="5" t="s">
        <v>238</v>
      </c>
      <c r="Q2313" s="5" t="s">
        <v>268</v>
      </c>
      <c r="R2313" s="5" t="s">
        <v>270</v>
      </c>
      <c r="S2313" s="5" t="s">
        <v>238</v>
      </c>
      <c r="V2313" s="5" t="s">
        <v>238</v>
      </c>
      <c r="X2313" s="6" t="s">
        <v>238</v>
      </c>
      <c r="AA2313" s="6" t="s">
        <v>243</v>
      </c>
      <c r="AB2313" s="5" t="s">
        <v>238</v>
      </c>
      <c r="AC2313" s="5" t="s">
        <v>244</v>
      </c>
      <c r="AD2313" s="5" t="s">
        <v>245</v>
      </c>
      <c r="AT2313" s="5" t="s">
        <v>246</v>
      </c>
      <c r="AU2313" s="5" t="s">
        <v>238</v>
      </c>
      <c r="AV2313" s="5" t="s">
        <v>247</v>
      </c>
      <c r="AW2313" s="5" t="s">
        <v>238</v>
      </c>
      <c r="AX2313" s="5" t="s">
        <v>249</v>
      </c>
      <c r="AY2313" s="5" t="s">
        <v>238</v>
      </c>
      <c r="BA2313" s="5" t="s">
        <v>238</v>
      </c>
      <c r="BC2313" s="5" t="s">
        <v>250</v>
      </c>
      <c r="BD2313" s="6" t="s">
        <v>243</v>
      </c>
      <c r="BE2313" s="5" t="s">
        <v>251</v>
      </c>
      <c r="BF2313" s="5" t="s">
        <v>252</v>
      </c>
      <c r="BG2313" s="5" t="s">
        <v>238</v>
      </c>
      <c r="BH2313" s="7">
        <f>0</f>
        <v>0</v>
      </c>
      <c r="BI2313" s="8">
        <f>0</f>
        <v>0</v>
      </c>
      <c r="BJ2313" s="5" t="s">
        <v>253</v>
      </c>
      <c r="BK2313" s="5" t="s">
        <v>254</v>
      </c>
      <c r="BY2313" s="5" t="s">
        <v>238</v>
      </c>
      <c r="BZ2313" s="5" t="s">
        <v>238</v>
      </c>
      <c r="CD2313" s="5" t="s">
        <v>273</v>
      </c>
      <c r="CE2313" s="5" t="s">
        <v>256</v>
      </c>
      <c r="CF2313" s="5" t="s">
        <v>238</v>
      </c>
      <c r="CI2313" s="6" t="s">
        <v>257</v>
      </c>
      <c r="CJ2313" s="5" t="s">
        <v>238</v>
      </c>
      <c r="CK2313" s="5" t="s">
        <v>258</v>
      </c>
      <c r="CL2313" s="5" t="s">
        <v>238</v>
      </c>
      <c r="CM2313" s="5" t="s">
        <v>238</v>
      </c>
      <c r="CN2313" s="5">
        <v>0</v>
      </c>
      <c r="CO2313" s="5" t="s">
        <v>259</v>
      </c>
      <c r="CP2313" s="5" t="s">
        <v>260</v>
      </c>
      <c r="CQ2313" s="5" t="s">
        <v>260</v>
      </c>
      <c r="CR2313" s="5" t="s">
        <v>261</v>
      </c>
      <c r="CU2313" s="8">
        <f>1</f>
        <v>1</v>
      </c>
      <c r="CV2313" s="8">
        <f>0</f>
        <v>0</v>
      </c>
      <c r="CX2313" s="8">
        <f>0</f>
        <v>0</v>
      </c>
      <c r="CY2313" s="8">
        <f>1</f>
        <v>1</v>
      </c>
      <c r="DA2313" s="5" t="s">
        <v>274</v>
      </c>
      <c r="DB2313" s="5" t="s">
        <v>238</v>
      </c>
      <c r="DD2313" s="5" t="s">
        <v>274</v>
      </c>
      <c r="DE2313" s="8">
        <f>1852</f>
        <v>1852</v>
      </c>
      <c r="DG2313" s="5" t="s">
        <v>238</v>
      </c>
      <c r="DH2313" s="5" t="s">
        <v>238</v>
      </c>
      <c r="DI2313" s="5" t="s">
        <v>238</v>
      </c>
      <c r="DJ2313" s="5" t="s">
        <v>238</v>
      </c>
      <c r="DN2313" s="5" t="s">
        <v>238</v>
      </c>
      <c r="DO2313" s="5" t="s">
        <v>238</v>
      </c>
      <c r="DP2313" s="5" t="s">
        <v>238</v>
      </c>
      <c r="DQ2313" s="5" t="s">
        <v>238</v>
      </c>
      <c r="DT2313" s="5" t="s">
        <v>275</v>
      </c>
      <c r="DU2313" s="5" t="s">
        <v>2985</v>
      </c>
      <c r="HM2313" s="5" t="s">
        <v>264</v>
      </c>
    </row>
    <row r="2314" spans="1:221" x14ac:dyDescent="0.4">
      <c r="A2314" s="5">
        <v>4018</v>
      </c>
      <c r="B2314" s="5">
        <v>1</v>
      </c>
      <c r="C2314" s="5">
        <v>1</v>
      </c>
      <c r="D2314" s="5" t="s">
        <v>269</v>
      </c>
      <c r="E2314" s="5" t="s">
        <v>271</v>
      </c>
      <c r="F2314" s="5" t="s">
        <v>248</v>
      </c>
      <c r="G2314" s="5" t="s">
        <v>266</v>
      </c>
      <c r="H2314" s="6" t="s">
        <v>4334</v>
      </c>
      <c r="I2314" s="7">
        <f>1028</f>
        <v>1028</v>
      </c>
      <c r="J2314" s="5" t="s">
        <v>262</v>
      </c>
      <c r="K2314" s="8">
        <f>1</f>
        <v>1</v>
      </c>
      <c r="L2314" s="6" t="s">
        <v>242</v>
      </c>
      <c r="M2314" s="5" t="s">
        <v>267</v>
      </c>
      <c r="N2314" s="5" t="s">
        <v>265</v>
      </c>
      <c r="O2314" s="5" t="s">
        <v>238</v>
      </c>
      <c r="P2314" s="5" t="s">
        <v>238</v>
      </c>
      <c r="Q2314" s="5" t="s">
        <v>268</v>
      </c>
      <c r="R2314" s="5" t="s">
        <v>270</v>
      </c>
      <c r="S2314" s="5" t="s">
        <v>238</v>
      </c>
      <c r="V2314" s="5" t="s">
        <v>238</v>
      </c>
      <c r="X2314" s="6" t="s">
        <v>238</v>
      </c>
      <c r="AA2314" s="6" t="s">
        <v>243</v>
      </c>
      <c r="AB2314" s="5" t="s">
        <v>238</v>
      </c>
      <c r="AC2314" s="5" t="s">
        <v>244</v>
      </c>
      <c r="AD2314" s="5" t="s">
        <v>245</v>
      </c>
      <c r="AT2314" s="5" t="s">
        <v>246</v>
      </c>
      <c r="AU2314" s="5" t="s">
        <v>238</v>
      </c>
      <c r="AV2314" s="5" t="s">
        <v>247</v>
      </c>
      <c r="AW2314" s="5" t="s">
        <v>238</v>
      </c>
      <c r="AX2314" s="5" t="s">
        <v>249</v>
      </c>
      <c r="AY2314" s="5" t="s">
        <v>238</v>
      </c>
      <c r="BA2314" s="5" t="s">
        <v>238</v>
      </c>
      <c r="BC2314" s="5" t="s">
        <v>250</v>
      </c>
      <c r="BD2314" s="6" t="s">
        <v>243</v>
      </c>
      <c r="BE2314" s="5" t="s">
        <v>251</v>
      </c>
      <c r="BF2314" s="5" t="s">
        <v>252</v>
      </c>
      <c r="BG2314" s="5" t="s">
        <v>238</v>
      </c>
      <c r="BH2314" s="7">
        <f>0</f>
        <v>0</v>
      </c>
      <c r="BI2314" s="8">
        <f>0</f>
        <v>0</v>
      </c>
      <c r="BJ2314" s="5" t="s">
        <v>253</v>
      </c>
      <c r="BK2314" s="5" t="s">
        <v>254</v>
      </c>
      <c r="BY2314" s="5" t="s">
        <v>238</v>
      </c>
      <c r="BZ2314" s="5" t="s">
        <v>238</v>
      </c>
      <c r="CD2314" s="5" t="s">
        <v>273</v>
      </c>
      <c r="CE2314" s="5" t="s">
        <v>256</v>
      </c>
      <c r="CF2314" s="5" t="s">
        <v>238</v>
      </c>
      <c r="CI2314" s="6" t="s">
        <v>257</v>
      </c>
      <c r="CJ2314" s="5" t="s">
        <v>238</v>
      </c>
      <c r="CK2314" s="5" t="s">
        <v>258</v>
      </c>
      <c r="CL2314" s="5" t="s">
        <v>238</v>
      </c>
      <c r="CM2314" s="5" t="s">
        <v>238</v>
      </c>
      <c r="CN2314" s="5">
        <v>0</v>
      </c>
      <c r="CO2314" s="5" t="s">
        <v>259</v>
      </c>
      <c r="CP2314" s="5" t="s">
        <v>260</v>
      </c>
      <c r="CQ2314" s="5" t="s">
        <v>260</v>
      </c>
      <c r="CR2314" s="5" t="s">
        <v>261</v>
      </c>
      <c r="CU2314" s="8">
        <f>1</f>
        <v>1</v>
      </c>
      <c r="CV2314" s="8">
        <f>0</f>
        <v>0</v>
      </c>
      <c r="CX2314" s="8">
        <f>0</f>
        <v>0</v>
      </c>
      <c r="CY2314" s="8">
        <f>1</f>
        <v>1</v>
      </c>
      <c r="DA2314" s="5" t="s">
        <v>274</v>
      </c>
      <c r="DB2314" s="5" t="s">
        <v>238</v>
      </c>
      <c r="DD2314" s="5" t="s">
        <v>274</v>
      </c>
      <c r="DE2314" s="8">
        <f>1028</f>
        <v>1028</v>
      </c>
      <c r="DG2314" s="5" t="s">
        <v>238</v>
      </c>
      <c r="DH2314" s="5" t="s">
        <v>238</v>
      </c>
      <c r="DI2314" s="5" t="s">
        <v>238</v>
      </c>
      <c r="DJ2314" s="5" t="s">
        <v>238</v>
      </c>
      <c r="DN2314" s="5" t="s">
        <v>238</v>
      </c>
      <c r="DO2314" s="5" t="s">
        <v>238</v>
      </c>
      <c r="DP2314" s="5" t="s">
        <v>238</v>
      </c>
      <c r="DQ2314" s="5" t="s">
        <v>238</v>
      </c>
      <c r="DT2314" s="5" t="s">
        <v>275</v>
      </c>
      <c r="DU2314" s="5" t="s">
        <v>2982</v>
      </c>
      <c r="HM2314" s="5" t="s">
        <v>264</v>
      </c>
    </row>
    <row r="2315" spans="1:221" x14ac:dyDescent="0.4">
      <c r="A2315" s="5">
        <v>4019</v>
      </c>
      <c r="B2315" s="5">
        <v>1</v>
      </c>
      <c r="C2315" s="5">
        <v>1</v>
      </c>
      <c r="D2315" s="5" t="s">
        <v>269</v>
      </c>
      <c r="E2315" s="5" t="s">
        <v>271</v>
      </c>
      <c r="F2315" s="5" t="s">
        <v>248</v>
      </c>
      <c r="G2315" s="5" t="s">
        <v>266</v>
      </c>
      <c r="H2315" s="6" t="s">
        <v>4343</v>
      </c>
      <c r="I2315" s="7">
        <f>2098</f>
        <v>2098</v>
      </c>
      <c r="J2315" s="5" t="s">
        <v>262</v>
      </c>
      <c r="K2315" s="8">
        <f>1</f>
        <v>1</v>
      </c>
      <c r="L2315" s="6" t="s">
        <v>242</v>
      </c>
      <c r="M2315" s="5" t="s">
        <v>267</v>
      </c>
      <c r="N2315" s="5" t="s">
        <v>265</v>
      </c>
      <c r="O2315" s="5" t="s">
        <v>238</v>
      </c>
      <c r="P2315" s="5" t="s">
        <v>238</v>
      </c>
      <c r="Q2315" s="5" t="s">
        <v>268</v>
      </c>
      <c r="R2315" s="5" t="s">
        <v>270</v>
      </c>
      <c r="S2315" s="5" t="s">
        <v>238</v>
      </c>
      <c r="V2315" s="5" t="s">
        <v>238</v>
      </c>
      <c r="X2315" s="6" t="s">
        <v>238</v>
      </c>
      <c r="AA2315" s="6" t="s">
        <v>243</v>
      </c>
      <c r="AB2315" s="5" t="s">
        <v>238</v>
      </c>
      <c r="AC2315" s="5" t="s">
        <v>244</v>
      </c>
      <c r="AD2315" s="5" t="s">
        <v>245</v>
      </c>
      <c r="AT2315" s="5" t="s">
        <v>246</v>
      </c>
      <c r="AU2315" s="5" t="s">
        <v>238</v>
      </c>
      <c r="AV2315" s="5" t="s">
        <v>247</v>
      </c>
      <c r="AW2315" s="5" t="s">
        <v>238</v>
      </c>
      <c r="AX2315" s="5" t="s">
        <v>249</v>
      </c>
      <c r="AY2315" s="5" t="s">
        <v>238</v>
      </c>
      <c r="BA2315" s="5" t="s">
        <v>238</v>
      </c>
      <c r="BC2315" s="5" t="s">
        <v>250</v>
      </c>
      <c r="BD2315" s="6" t="s">
        <v>243</v>
      </c>
      <c r="BE2315" s="5" t="s">
        <v>251</v>
      </c>
      <c r="BF2315" s="5" t="s">
        <v>252</v>
      </c>
      <c r="BG2315" s="5" t="s">
        <v>238</v>
      </c>
      <c r="BH2315" s="7">
        <f>0</f>
        <v>0</v>
      </c>
      <c r="BI2315" s="8">
        <f>0</f>
        <v>0</v>
      </c>
      <c r="BJ2315" s="5" t="s">
        <v>253</v>
      </c>
      <c r="BK2315" s="5" t="s">
        <v>254</v>
      </c>
      <c r="BY2315" s="5" t="s">
        <v>238</v>
      </c>
      <c r="BZ2315" s="5" t="s">
        <v>238</v>
      </c>
      <c r="CD2315" s="5" t="s">
        <v>273</v>
      </c>
      <c r="CE2315" s="5" t="s">
        <v>256</v>
      </c>
      <c r="CF2315" s="5" t="s">
        <v>238</v>
      </c>
      <c r="CI2315" s="6" t="s">
        <v>257</v>
      </c>
      <c r="CJ2315" s="5" t="s">
        <v>238</v>
      </c>
      <c r="CK2315" s="5" t="s">
        <v>258</v>
      </c>
      <c r="CL2315" s="5" t="s">
        <v>238</v>
      </c>
      <c r="CM2315" s="5" t="s">
        <v>238</v>
      </c>
      <c r="CN2315" s="5">
        <v>0</v>
      </c>
      <c r="CO2315" s="5" t="s">
        <v>259</v>
      </c>
      <c r="CP2315" s="5" t="s">
        <v>260</v>
      </c>
      <c r="CQ2315" s="5" t="s">
        <v>260</v>
      </c>
      <c r="CR2315" s="5" t="s">
        <v>261</v>
      </c>
      <c r="CU2315" s="8">
        <f>1</f>
        <v>1</v>
      </c>
      <c r="CV2315" s="8">
        <f>0</f>
        <v>0</v>
      </c>
      <c r="CX2315" s="8">
        <f>0</f>
        <v>0</v>
      </c>
      <c r="CY2315" s="8">
        <f>1</f>
        <v>1</v>
      </c>
      <c r="DA2315" s="5" t="s">
        <v>274</v>
      </c>
      <c r="DB2315" s="5" t="s">
        <v>238</v>
      </c>
      <c r="DD2315" s="5" t="s">
        <v>274</v>
      </c>
      <c r="DE2315" s="8">
        <f>2098</f>
        <v>2098</v>
      </c>
      <c r="DG2315" s="5" t="s">
        <v>238</v>
      </c>
      <c r="DH2315" s="5" t="s">
        <v>238</v>
      </c>
      <c r="DI2315" s="5" t="s">
        <v>238</v>
      </c>
      <c r="DJ2315" s="5" t="s">
        <v>238</v>
      </c>
      <c r="DN2315" s="5" t="s">
        <v>238</v>
      </c>
      <c r="DO2315" s="5" t="s">
        <v>238</v>
      </c>
      <c r="DP2315" s="5" t="s">
        <v>238</v>
      </c>
      <c r="DQ2315" s="5" t="s">
        <v>238</v>
      </c>
      <c r="DT2315" s="5" t="s">
        <v>275</v>
      </c>
      <c r="DU2315" s="5" t="s">
        <v>2980</v>
      </c>
      <c r="HM2315" s="5" t="s">
        <v>264</v>
      </c>
    </row>
    <row r="2316" spans="1:221" x14ac:dyDescent="0.4">
      <c r="A2316" s="5">
        <v>4020</v>
      </c>
      <c r="B2316" s="5">
        <v>1</v>
      </c>
      <c r="C2316" s="5">
        <v>1</v>
      </c>
      <c r="D2316" s="5" t="s">
        <v>269</v>
      </c>
      <c r="E2316" s="5" t="s">
        <v>271</v>
      </c>
      <c r="F2316" s="5" t="s">
        <v>248</v>
      </c>
      <c r="G2316" s="5" t="s">
        <v>266</v>
      </c>
      <c r="H2316" s="6" t="s">
        <v>4331</v>
      </c>
      <c r="I2316" s="7">
        <f>319</f>
        <v>319</v>
      </c>
      <c r="J2316" s="5" t="s">
        <v>262</v>
      </c>
      <c r="K2316" s="8">
        <f>1</f>
        <v>1</v>
      </c>
      <c r="L2316" s="6" t="s">
        <v>242</v>
      </c>
      <c r="M2316" s="5" t="s">
        <v>267</v>
      </c>
      <c r="N2316" s="5" t="s">
        <v>265</v>
      </c>
      <c r="O2316" s="5" t="s">
        <v>238</v>
      </c>
      <c r="P2316" s="5" t="s">
        <v>238</v>
      </c>
      <c r="Q2316" s="5" t="s">
        <v>268</v>
      </c>
      <c r="R2316" s="5" t="s">
        <v>270</v>
      </c>
      <c r="S2316" s="5" t="s">
        <v>238</v>
      </c>
      <c r="V2316" s="5" t="s">
        <v>238</v>
      </c>
      <c r="X2316" s="6" t="s">
        <v>238</v>
      </c>
      <c r="AA2316" s="6" t="s">
        <v>243</v>
      </c>
      <c r="AB2316" s="5" t="s">
        <v>238</v>
      </c>
      <c r="AC2316" s="5" t="s">
        <v>244</v>
      </c>
      <c r="AD2316" s="5" t="s">
        <v>245</v>
      </c>
      <c r="AT2316" s="5" t="s">
        <v>246</v>
      </c>
      <c r="AU2316" s="5" t="s">
        <v>238</v>
      </c>
      <c r="AV2316" s="5" t="s">
        <v>247</v>
      </c>
      <c r="AW2316" s="5" t="s">
        <v>238</v>
      </c>
      <c r="AX2316" s="5" t="s">
        <v>249</v>
      </c>
      <c r="AY2316" s="5" t="s">
        <v>238</v>
      </c>
      <c r="BA2316" s="5" t="s">
        <v>238</v>
      </c>
      <c r="BC2316" s="5" t="s">
        <v>250</v>
      </c>
      <c r="BD2316" s="6" t="s">
        <v>243</v>
      </c>
      <c r="BE2316" s="5" t="s">
        <v>251</v>
      </c>
      <c r="BF2316" s="5" t="s">
        <v>252</v>
      </c>
      <c r="BG2316" s="5" t="s">
        <v>238</v>
      </c>
      <c r="BH2316" s="7">
        <f>0</f>
        <v>0</v>
      </c>
      <c r="BI2316" s="8">
        <f>0</f>
        <v>0</v>
      </c>
      <c r="BJ2316" s="5" t="s">
        <v>253</v>
      </c>
      <c r="BK2316" s="5" t="s">
        <v>254</v>
      </c>
      <c r="BY2316" s="5" t="s">
        <v>238</v>
      </c>
      <c r="BZ2316" s="5" t="s">
        <v>238</v>
      </c>
      <c r="CD2316" s="5" t="s">
        <v>273</v>
      </c>
      <c r="CE2316" s="5" t="s">
        <v>256</v>
      </c>
      <c r="CF2316" s="5" t="s">
        <v>238</v>
      </c>
      <c r="CI2316" s="6" t="s">
        <v>257</v>
      </c>
      <c r="CJ2316" s="5" t="s">
        <v>238</v>
      </c>
      <c r="CK2316" s="5" t="s">
        <v>258</v>
      </c>
      <c r="CL2316" s="5" t="s">
        <v>238</v>
      </c>
      <c r="CM2316" s="5" t="s">
        <v>238</v>
      </c>
      <c r="CN2316" s="5">
        <v>0</v>
      </c>
      <c r="CO2316" s="5" t="s">
        <v>259</v>
      </c>
      <c r="CP2316" s="5" t="s">
        <v>260</v>
      </c>
      <c r="CQ2316" s="5" t="s">
        <v>260</v>
      </c>
      <c r="CR2316" s="5" t="s">
        <v>261</v>
      </c>
      <c r="CU2316" s="8">
        <f>1</f>
        <v>1</v>
      </c>
      <c r="CV2316" s="8">
        <f>0</f>
        <v>0</v>
      </c>
      <c r="CX2316" s="8">
        <f>0</f>
        <v>0</v>
      </c>
      <c r="CY2316" s="8">
        <f>1</f>
        <v>1</v>
      </c>
      <c r="DA2316" s="5" t="s">
        <v>274</v>
      </c>
      <c r="DB2316" s="5" t="s">
        <v>238</v>
      </c>
      <c r="DD2316" s="5" t="s">
        <v>274</v>
      </c>
      <c r="DE2316" s="8">
        <f>319</f>
        <v>319</v>
      </c>
      <c r="DG2316" s="5" t="s">
        <v>238</v>
      </c>
      <c r="DH2316" s="5" t="s">
        <v>238</v>
      </c>
      <c r="DI2316" s="5" t="s">
        <v>238</v>
      </c>
      <c r="DJ2316" s="5" t="s">
        <v>238</v>
      </c>
      <c r="DN2316" s="5" t="s">
        <v>238</v>
      </c>
      <c r="DO2316" s="5" t="s">
        <v>238</v>
      </c>
      <c r="DP2316" s="5" t="s">
        <v>238</v>
      </c>
      <c r="DQ2316" s="5" t="s">
        <v>238</v>
      </c>
      <c r="DT2316" s="5" t="s">
        <v>275</v>
      </c>
      <c r="DU2316" s="5" t="s">
        <v>2977</v>
      </c>
      <c r="HM2316" s="5" t="s">
        <v>264</v>
      </c>
    </row>
    <row r="2317" spans="1:221" x14ac:dyDescent="0.4">
      <c r="A2317" s="5">
        <v>4021</v>
      </c>
      <c r="B2317" s="5">
        <v>1</v>
      </c>
      <c r="C2317" s="5">
        <v>1</v>
      </c>
      <c r="D2317" s="5" t="s">
        <v>269</v>
      </c>
      <c r="E2317" s="5" t="s">
        <v>271</v>
      </c>
      <c r="F2317" s="5" t="s">
        <v>248</v>
      </c>
      <c r="G2317" s="5" t="s">
        <v>266</v>
      </c>
      <c r="H2317" s="6" t="s">
        <v>4217</v>
      </c>
      <c r="I2317" s="7">
        <f>253</f>
        <v>253</v>
      </c>
      <c r="J2317" s="5" t="s">
        <v>262</v>
      </c>
      <c r="K2317" s="8">
        <f>1</f>
        <v>1</v>
      </c>
      <c r="L2317" s="6" t="s">
        <v>242</v>
      </c>
      <c r="M2317" s="5" t="s">
        <v>267</v>
      </c>
      <c r="N2317" s="5" t="s">
        <v>265</v>
      </c>
      <c r="O2317" s="5" t="s">
        <v>238</v>
      </c>
      <c r="P2317" s="5" t="s">
        <v>238</v>
      </c>
      <c r="Q2317" s="5" t="s">
        <v>268</v>
      </c>
      <c r="R2317" s="5" t="s">
        <v>270</v>
      </c>
      <c r="S2317" s="5" t="s">
        <v>238</v>
      </c>
      <c r="V2317" s="5" t="s">
        <v>238</v>
      </c>
      <c r="X2317" s="6" t="s">
        <v>238</v>
      </c>
      <c r="AA2317" s="6" t="s">
        <v>243</v>
      </c>
      <c r="AB2317" s="5" t="s">
        <v>238</v>
      </c>
      <c r="AC2317" s="5" t="s">
        <v>244</v>
      </c>
      <c r="AD2317" s="5" t="s">
        <v>245</v>
      </c>
      <c r="AT2317" s="5" t="s">
        <v>246</v>
      </c>
      <c r="AU2317" s="5" t="s">
        <v>238</v>
      </c>
      <c r="AV2317" s="5" t="s">
        <v>247</v>
      </c>
      <c r="AW2317" s="5" t="s">
        <v>238</v>
      </c>
      <c r="AX2317" s="5" t="s">
        <v>249</v>
      </c>
      <c r="AY2317" s="5" t="s">
        <v>238</v>
      </c>
      <c r="BA2317" s="5" t="s">
        <v>238</v>
      </c>
      <c r="BC2317" s="5" t="s">
        <v>250</v>
      </c>
      <c r="BD2317" s="6" t="s">
        <v>243</v>
      </c>
      <c r="BE2317" s="5" t="s">
        <v>251</v>
      </c>
      <c r="BF2317" s="5" t="s">
        <v>252</v>
      </c>
      <c r="BG2317" s="5" t="s">
        <v>238</v>
      </c>
      <c r="BH2317" s="7">
        <f>0</f>
        <v>0</v>
      </c>
      <c r="BI2317" s="8">
        <f>0</f>
        <v>0</v>
      </c>
      <c r="BJ2317" s="5" t="s">
        <v>253</v>
      </c>
      <c r="BK2317" s="5" t="s">
        <v>254</v>
      </c>
      <c r="BY2317" s="5" t="s">
        <v>238</v>
      </c>
      <c r="BZ2317" s="5" t="s">
        <v>238</v>
      </c>
      <c r="CD2317" s="5" t="s">
        <v>273</v>
      </c>
      <c r="CE2317" s="5" t="s">
        <v>256</v>
      </c>
      <c r="CF2317" s="5" t="s">
        <v>238</v>
      </c>
      <c r="CI2317" s="6" t="s">
        <v>257</v>
      </c>
      <c r="CJ2317" s="5" t="s">
        <v>238</v>
      </c>
      <c r="CK2317" s="5" t="s">
        <v>258</v>
      </c>
      <c r="CL2317" s="5" t="s">
        <v>238</v>
      </c>
      <c r="CM2317" s="5" t="s">
        <v>238</v>
      </c>
      <c r="CN2317" s="5">
        <v>0</v>
      </c>
      <c r="CO2317" s="5" t="s">
        <v>259</v>
      </c>
      <c r="CP2317" s="5" t="s">
        <v>260</v>
      </c>
      <c r="CQ2317" s="5" t="s">
        <v>260</v>
      </c>
      <c r="CR2317" s="5" t="s">
        <v>261</v>
      </c>
      <c r="CU2317" s="8">
        <f>1</f>
        <v>1</v>
      </c>
      <c r="CV2317" s="8">
        <f>0</f>
        <v>0</v>
      </c>
      <c r="CX2317" s="8">
        <f>0</f>
        <v>0</v>
      </c>
      <c r="CY2317" s="8">
        <f>1</f>
        <v>1</v>
      </c>
      <c r="DA2317" s="5" t="s">
        <v>274</v>
      </c>
      <c r="DB2317" s="5" t="s">
        <v>238</v>
      </c>
      <c r="DD2317" s="5" t="s">
        <v>274</v>
      </c>
      <c r="DE2317" s="8">
        <f>253</f>
        <v>253</v>
      </c>
      <c r="DG2317" s="5" t="s">
        <v>238</v>
      </c>
      <c r="DH2317" s="5" t="s">
        <v>238</v>
      </c>
      <c r="DI2317" s="5" t="s">
        <v>238</v>
      </c>
      <c r="DJ2317" s="5" t="s">
        <v>238</v>
      </c>
      <c r="DN2317" s="5" t="s">
        <v>238</v>
      </c>
      <c r="DO2317" s="5" t="s">
        <v>238</v>
      </c>
      <c r="DP2317" s="5" t="s">
        <v>238</v>
      </c>
      <c r="DQ2317" s="5" t="s">
        <v>238</v>
      </c>
      <c r="DT2317" s="5" t="s">
        <v>275</v>
      </c>
      <c r="DU2317" s="5" t="s">
        <v>2975</v>
      </c>
      <c r="HM2317" s="5" t="s">
        <v>264</v>
      </c>
    </row>
    <row r="2318" spans="1:221" x14ac:dyDescent="0.4">
      <c r="A2318" s="5">
        <v>4022</v>
      </c>
      <c r="B2318" s="5">
        <v>1</v>
      </c>
      <c r="C2318" s="5">
        <v>1</v>
      </c>
      <c r="D2318" s="5" t="s">
        <v>269</v>
      </c>
      <c r="E2318" s="5" t="s">
        <v>271</v>
      </c>
      <c r="F2318" s="5" t="s">
        <v>248</v>
      </c>
      <c r="G2318" s="5" t="s">
        <v>266</v>
      </c>
      <c r="H2318" s="6" t="s">
        <v>4347</v>
      </c>
      <c r="I2318" s="7">
        <f>48</f>
        <v>48</v>
      </c>
      <c r="J2318" s="5" t="s">
        <v>262</v>
      </c>
      <c r="K2318" s="8">
        <f>1</f>
        <v>1</v>
      </c>
      <c r="L2318" s="6" t="s">
        <v>242</v>
      </c>
      <c r="M2318" s="5" t="s">
        <v>267</v>
      </c>
      <c r="N2318" s="5" t="s">
        <v>265</v>
      </c>
      <c r="O2318" s="5" t="s">
        <v>238</v>
      </c>
      <c r="P2318" s="5" t="s">
        <v>238</v>
      </c>
      <c r="Q2318" s="5" t="s">
        <v>268</v>
      </c>
      <c r="R2318" s="5" t="s">
        <v>270</v>
      </c>
      <c r="S2318" s="5" t="s">
        <v>238</v>
      </c>
      <c r="V2318" s="5" t="s">
        <v>238</v>
      </c>
      <c r="X2318" s="6" t="s">
        <v>238</v>
      </c>
      <c r="AA2318" s="6" t="s">
        <v>243</v>
      </c>
      <c r="AB2318" s="5" t="s">
        <v>238</v>
      </c>
      <c r="AC2318" s="5" t="s">
        <v>244</v>
      </c>
      <c r="AD2318" s="5" t="s">
        <v>245</v>
      </c>
      <c r="AT2318" s="5" t="s">
        <v>246</v>
      </c>
      <c r="AU2318" s="5" t="s">
        <v>238</v>
      </c>
      <c r="AV2318" s="5" t="s">
        <v>247</v>
      </c>
      <c r="AW2318" s="5" t="s">
        <v>238</v>
      </c>
      <c r="AX2318" s="5" t="s">
        <v>249</v>
      </c>
      <c r="AY2318" s="5" t="s">
        <v>238</v>
      </c>
      <c r="BA2318" s="5" t="s">
        <v>238</v>
      </c>
      <c r="BC2318" s="5" t="s">
        <v>250</v>
      </c>
      <c r="BD2318" s="6" t="s">
        <v>243</v>
      </c>
      <c r="BE2318" s="5" t="s">
        <v>251</v>
      </c>
      <c r="BF2318" s="5" t="s">
        <v>252</v>
      </c>
      <c r="BG2318" s="5" t="s">
        <v>238</v>
      </c>
      <c r="BH2318" s="7">
        <f>0</f>
        <v>0</v>
      </c>
      <c r="BI2318" s="8">
        <f>0</f>
        <v>0</v>
      </c>
      <c r="BJ2318" s="5" t="s">
        <v>253</v>
      </c>
      <c r="BK2318" s="5" t="s">
        <v>254</v>
      </c>
      <c r="BY2318" s="5" t="s">
        <v>238</v>
      </c>
      <c r="BZ2318" s="5" t="s">
        <v>238</v>
      </c>
      <c r="CD2318" s="5" t="s">
        <v>273</v>
      </c>
      <c r="CE2318" s="5" t="s">
        <v>256</v>
      </c>
      <c r="CF2318" s="5" t="s">
        <v>238</v>
      </c>
      <c r="CI2318" s="6" t="s">
        <v>257</v>
      </c>
      <c r="CJ2318" s="5" t="s">
        <v>238</v>
      </c>
      <c r="CK2318" s="5" t="s">
        <v>258</v>
      </c>
      <c r="CL2318" s="5" t="s">
        <v>238</v>
      </c>
      <c r="CM2318" s="5" t="s">
        <v>238</v>
      </c>
      <c r="CN2318" s="5">
        <v>0</v>
      </c>
      <c r="CO2318" s="5" t="s">
        <v>259</v>
      </c>
      <c r="CP2318" s="5" t="s">
        <v>260</v>
      </c>
      <c r="CQ2318" s="5" t="s">
        <v>260</v>
      </c>
      <c r="CR2318" s="5" t="s">
        <v>261</v>
      </c>
      <c r="CU2318" s="8">
        <f>1</f>
        <v>1</v>
      </c>
      <c r="CV2318" s="8">
        <f>0</f>
        <v>0</v>
      </c>
      <c r="CX2318" s="8">
        <f>0</f>
        <v>0</v>
      </c>
      <c r="CY2318" s="8">
        <f>1</f>
        <v>1</v>
      </c>
      <c r="DA2318" s="5" t="s">
        <v>274</v>
      </c>
      <c r="DB2318" s="5" t="s">
        <v>238</v>
      </c>
      <c r="DD2318" s="5" t="s">
        <v>274</v>
      </c>
      <c r="DE2318" s="8">
        <f>48</f>
        <v>48</v>
      </c>
      <c r="DG2318" s="5" t="s">
        <v>238</v>
      </c>
      <c r="DH2318" s="5" t="s">
        <v>238</v>
      </c>
      <c r="DI2318" s="5" t="s">
        <v>238</v>
      </c>
      <c r="DJ2318" s="5" t="s">
        <v>238</v>
      </c>
      <c r="DN2318" s="5" t="s">
        <v>238</v>
      </c>
      <c r="DO2318" s="5" t="s">
        <v>238</v>
      </c>
      <c r="DP2318" s="5" t="s">
        <v>238</v>
      </c>
      <c r="DQ2318" s="5" t="s">
        <v>238</v>
      </c>
      <c r="DT2318" s="5" t="s">
        <v>275</v>
      </c>
      <c r="DU2318" s="5" t="s">
        <v>2973</v>
      </c>
      <c r="HM2318" s="5" t="s">
        <v>264</v>
      </c>
    </row>
    <row r="2319" spans="1:221" x14ac:dyDescent="0.4">
      <c r="A2319" s="5">
        <v>4023</v>
      </c>
      <c r="B2319" s="5">
        <v>1</v>
      </c>
      <c r="C2319" s="5">
        <v>1</v>
      </c>
      <c r="D2319" s="5" t="s">
        <v>269</v>
      </c>
      <c r="E2319" s="5" t="s">
        <v>271</v>
      </c>
      <c r="F2319" s="5" t="s">
        <v>248</v>
      </c>
      <c r="G2319" s="5" t="s">
        <v>266</v>
      </c>
      <c r="H2319" s="6" t="s">
        <v>4263</v>
      </c>
      <c r="I2319" s="7">
        <f>553</f>
        <v>553</v>
      </c>
      <c r="J2319" s="5" t="s">
        <v>262</v>
      </c>
      <c r="K2319" s="8">
        <f>1</f>
        <v>1</v>
      </c>
      <c r="L2319" s="6" t="s">
        <v>242</v>
      </c>
      <c r="M2319" s="5" t="s">
        <v>267</v>
      </c>
      <c r="N2319" s="5" t="s">
        <v>265</v>
      </c>
      <c r="O2319" s="5" t="s">
        <v>238</v>
      </c>
      <c r="P2319" s="5" t="s">
        <v>238</v>
      </c>
      <c r="Q2319" s="5" t="s">
        <v>268</v>
      </c>
      <c r="R2319" s="5" t="s">
        <v>270</v>
      </c>
      <c r="S2319" s="5" t="s">
        <v>238</v>
      </c>
      <c r="V2319" s="5" t="s">
        <v>238</v>
      </c>
      <c r="X2319" s="6" t="s">
        <v>238</v>
      </c>
      <c r="AA2319" s="6" t="s">
        <v>243</v>
      </c>
      <c r="AB2319" s="5" t="s">
        <v>238</v>
      </c>
      <c r="AC2319" s="5" t="s">
        <v>244</v>
      </c>
      <c r="AD2319" s="5" t="s">
        <v>245</v>
      </c>
      <c r="AT2319" s="5" t="s">
        <v>246</v>
      </c>
      <c r="AU2319" s="5" t="s">
        <v>238</v>
      </c>
      <c r="AV2319" s="5" t="s">
        <v>247</v>
      </c>
      <c r="AW2319" s="5" t="s">
        <v>238</v>
      </c>
      <c r="AX2319" s="5" t="s">
        <v>249</v>
      </c>
      <c r="AY2319" s="5" t="s">
        <v>238</v>
      </c>
      <c r="BA2319" s="5" t="s">
        <v>238</v>
      </c>
      <c r="BC2319" s="5" t="s">
        <v>250</v>
      </c>
      <c r="BD2319" s="6" t="s">
        <v>243</v>
      </c>
      <c r="BE2319" s="5" t="s">
        <v>251</v>
      </c>
      <c r="BF2319" s="5" t="s">
        <v>252</v>
      </c>
      <c r="BG2319" s="5" t="s">
        <v>238</v>
      </c>
      <c r="BH2319" s="7">
        <f>0</f>
        <v>0</v>
      </c>
      <c r="BI2319" s="8">
        <f>0</f>
        <v>0</v>
      </c>
      <c r="BJ2319" s="5" t="s">
        <v>253</v>
      </c>
      <c r="BK2319" s="5" t="s">
        <v>254</v>
      </c>
      <c r="BY2319" s="5" t="s">
        <v>238</v>
      </c>
      <c r="BZ2319" s="5" t="s">
        <v>238</v>
      </c>
      <c r="CD2319" s="5" t="s">
        <v>273</v>
      </c>
      <c r="CE2319" s="5" t="s">
        <v>256</v>
      </c>
      <c r="CF2319" s="5" t="s">
        <v>238</v>
      </c>
      <c r="CI2319" s="6" t="s">
        <v>257</v>
      </c>
      <c r="CJ2319" s="5" t="s">
        <v>238</v>
      </c>
      <c r="CK2319" s="5" t="s">
        <v>258</v>
      </c>
      <c r="CL2319" s="5" t="s">
        <v>238</v>
      </c>
      <c r="CM2319" s="5" t="s">
        <v>238</v>
      </c>
      <c r="CN2319" s="5">
        <v>0</v>
      </c>
      <c r="CO2319" s="5" t="s">
        <v>259</v>
      </c>
      <c r="CP2319" s="5" t="s">
        <v>260</v>
      </c>
      <c r="CQ2319" s="5" t="s">
        <v>260</v>
      </c>
      <c r="CR2319" s="5" t="s">
        <v>261</v>
      </c>
      <c r="CU2319" s="8">
        <f>1</f>
        <v>1</v>
      </c>
      <c r="CV2319" s="8">
        <f>0</f>
        <v>0</v>
      </c>
      <c r="CX2319" s="8">
        <f>0</f>
        <v>0</v>
      </c>
      <c r="CY2319" s="8">
        <f>1</f>
        <v>1</v>
      </c>
      <c r="DA2319" s="5" t="s">
        <v>274</v>
      </c>
      <c r="DB2319" s="5" t="s">
        <v>238</v>
      </c>
      <c r="DD2319" s="5" t="s">
        <v>274</v>
      </c>
      <c r="DE2319" s="8">
        <f>553</f>
        <v>553</v>
      </c>
      <c r="DG2319" s="5" t="s">
        <v>238</v>
      </c>
      <c r="DH2319" s="5" t="s">
        <v>238</v>
      </c>
      <c r="DI2319" s="5" t="s">
        <v>238</v>
      </c>
      <c r="DJ2319" s="5" t="s">
        <v>238</v>
      </c>
      <c r="DN2319" s="5" t="s">
        <v>238</v>
      </c>
      <c r="DO2319" s="5" t="s">
        <v>238</v>
      </c>
      <c r="DP2319" s="5" t="s">
        <v>238</v>
      </c>
      <c r="DQ2319" s="5" t="s">
        <v>238</v>
      </c>
      <c r="DT2319" s="5" t="s">
        <v>275</v>
      </c>
      <c r="DU2319" s="5" t="s">
        <v>2971</v>
      </c>
      <c r="HM2319" s="5" t="s">
        <v>264</v>
      </c>
    </row>
    <row r="2320" spans="1:221" x14ac:dyDescent="0.4">
      <c r="A2320" s="5">
        <v>4024</v>
      </c>
      <c r="B2320" s="5">
        <v>1</v>
      </c>
      <c r="C2320" s="5">
        <v>1</v>
      </c>
      <c r="D2320" s="5" t="s">
        <v>269</v>
      </c>
      <c r="E2320" s="5" t="s">
        <v>271</v>
      </c>
      <c r="F2320" s="5" t="s">
        <v>248</v>
      </c>
      <c r="G2320" s="5" t="s">
        <v>266</v>
      </c>
      <c r="H2320" s="6" t="s">
        <v>4352</v>
      </c>
      <c r="I2320" s="7">
        <f>2119</f>
        <v>2119</v>
      </c>
      <c r="J2320" s="5" t="s">
        <v>262</v>
      </c>
      <c r="K2320" s="8">
        <f>1</f>
        <v>1</v>
      </c>
      <c r="L2320" s="6" t="s">
        <v>242</v>
      </c>
      <c r="M2320" s="5" t="s">
        <v>267</v>
      </c>
      <c r="N2320" s="5" t="s">
        <v>265</v>
      </c>
      <c r="O2320" s="5" t="s">
        <v>238</v>
      </c>
      <c r="P2320" s="5" t="s">
        <v>238</v>
      </c>
      <c r="Q2320" s="5" t="s">
        <v>268</v>
      </c>
      <c r="R2320" s="5" t="s">
        <v>270</v>
      </c>
      <c r="S2320" s="5" t="s">
        <v>238</v>
      </c>
      <c r="V2320" s="5" t="s">
        <v>238</v>
      </c>
      <c r="X2320" s="6" t="s">
        <v>238</v>
      </c>
      <c r="AA2320" s="6" t="s">
        <v>243</v>
      </c>
      <c r="AB2320" s="5" t="s">
        <v>238</v>
      </c>
      <c r="AC2320" s="5" t="s">
        <v>244</v>
      </c>
      <c r="AD2320" s="5" t="s">
        <v>245</v>
      </c>
      <c r="AT2320" s="5" t="s">
        <v>246</v>
      </c>
      <c r="AU2320" s="5" t="s">
        <v>238</v>
      </c>
      <c r="AV2320" s="5" t="s">
        <v>247</v>
      </c>
      <c r="AW2320" s="5" t="s">
        <v>238</v>
      </c>
      <c r="AX2320" s="5" t="s">
        <v>249</v>
      </c>
      <c r="AY2320" s="5" t="s">
        <v>238</v>
      </c>
      <c r="BA2320" s="5" t="s">
        <v>238</v>
      </c>
      <c r="BC2320" s="5" t="s">
        <v>250</v>
      </c>
      <c r="BD2320" s="6" t="s">
        <v>243</v>
      </c>
      <c r="BE2320" s="5" t="s">
        <v>251</v>
      </c>
      <c r="BF2320" s="5" t="s">
        <v>252</v>
      </c>
      <c r="BG2320" s="5" t="s">
        <v>238</v>
      </c>
      <c r="BH2320" s="7">
        <f>0</f>
        <v>0</v>
      </c>
      <c r="BI2320" s="8">
        <f>0</f>
        <v>0</v>
      </c>
      <c r="BJ2320" s="5" t="s">
        <v>253</v>
      </c>
      <c r="BK2320" s="5" t="s">
        <v>254</v>
      </c>
      <c r="BY2320" s="5" t="s">
        <v>238</v>
      </c>
      <c r="BZ2320" s="5" t="s">
        <v>238</v>
      </c>
      <c r="CD2320" s="5" t="s">
        <v>273</v>
      </c>
      <c r="CE2320" s="5" t="s">
        <v>256</v>
      </c>
      <c r="CF2320" s="5" t="s">
        <v>238</v>
      </c>
      <c r="CI2320" s="6" t="s">
        <v>257</v>
      </c>
      <c r="CJ2320" s="5" t="s">
        <v>238</v>
      </c>
      <c r="CK2320" s="5" t="s">
        <v>258</v>
      </c>
      <c r="CL2320" s="5" t="s">
        <v>238</v>
      </c>
      <c r="CM2320" s="5" t="s">
        <v>238</v>
      </c>
      <c r="CN2320" s="5">
        <v>0</v>
      </c>
      <c r="CO2320" s="5" t="s">
        <v>259</v>
      </c>
      <c r="CP2320" s="5" t="s">
        <v>260</v>
      </c>
      <c r="CQ2320" s="5" t="s">
        <v>260</v>
      </c>
      <c r="CR2320" s="5" t="s">
        <v>261</v>
      </c>
      <c r="CU2320" s="8">
        <f>1</f>
        <v>1</v>
      </c>
      <c r="CV2320" s="8">
        <f>0</f>
        <v>0</v>
      </c>
      <c r="CX2320" s="8">
        <f>0</f>
        <v>0</v>
      </c>
      <c r="CY2320" s="8">
        <f>1</f>
        <v>1</v>
      </c>
      <c r="DA2320" s="5" t="s">
        <v>274</v>
      </c>
      <c r="DB2320" s="5" t="s">
        <v>238</v>
      </c>
      <c r="DD2320" s="5" t="s">
        <v>274</v>
      </c>
      <c r="DE2320" s="8">
        <f>2119</f>
        <v>2119</v>
      </c>
      <c r="DG2320" s="5" t="s">
        <v>238</v>
      </c>
      <c r="DH2320" s="5" t="s">
        <v>238</v>
      </c>
      <c r="DI2320" s="5" t="s">
        <v>238</v>
      </c>
      <c r="DJ2320" s="5" t="s">
        <v>238</v>
      </c>
      <c r="DN2320" s="5" t="s">
        <v>238</v>
      </c>
      <c r="DO2320" s="5" t="s">
        <v>238</v>
      </c>
      <c r="DP2320" s="5" t="s">
        <v>238</v>
      </c>
      <c r="DQ2320" s="5" t="s">
        <v>238</v>
      </c>
      <c r="DT2320" s="5" t="s">
        <v>275</v>
      </c>
      <c r="DU2320" s="5" t="s">
        <v>2967</v>
      </c>
      <c r="HM2320" s="5" t="s">
        <v>264</v>
      </c>
    </row>
    <row r="2321" spans="1:221" x14ac:dyDescent="0.4">
      <c r="A2321" s="5">
        <v>4025</v>
      </c>
      <c r="B2321" s="5">
        <v>1</v>
      </c>
      <c r="C2321" s="5">
        <v>1</v>
      </c>
      <c r="D2321" s="5" t="s">
        <v>269</v>
      </c>
      <c r="E2321" s="5" t="s">
        <v>271</v>
      </c>
      <c r="F2321" s="5" t="s">
        <v>248</v>
      </c>
      <c r="G2321" s="5" t="s">
        <v>266</v>
      </c>
      <c r="H2321" s="6" t="s">
        <v>4140</v>
      </c>
      <c r="I2321" s="7">
        <f>1400</f>
        <v>1400</v>
      </c>
      <c r="J2321" s="5" t="s">
        <v>262</v>
      </c>
      <c r="K2321" s="8">
        <f>1</f>
        <v>1</v>
      </c>
      <c r="L2321" s="6" t="s">
        <v>242</v>
      </c>
      <c r="M2321" s="5" t="s">
        <v>267</v>
      </c>
      <c r="N2321" s="5" t="s">
        <v>265</v>
      </c>
      <c r="O2321" s="5" t="s">
        <v>238</v>
      </c>
      <c r="P2321" s="5" t="s">
        <v>238</v>
      </c>
      <c r="Q2321" s="5" t="s">
        <v>268</v>
      </c>
      <c r="R2321" s="5" t="s">
        <v>270</v>
      </c>
      <c r="S2321" s="5" t="s">
        <v>238</v>
      </c>
      <c r="V2321" s="5" t="s">
        <v>238</v>
      </c>
      <c r="X2321" s="6" t="s">
        <v>238</v>
      </c>
      <c r="AA2321" s="6" t="s">
        <v>243</v>
      </c>
      <c r="AB2321" s="5" t="s">
        <v>238</v>
      </c>
      <c r="AC2321" s="5" t="s">
        <v>244</v>
      </c>
      <c r="AD2321" s="5" t="s">
        <v>245</v>
      </c>
      <c r="AT2321" s="5" t="s">
        <v>246</v>
      </c>
      <c r="AU2321" s="5" t="s">
        <v>238</v>
      </c>
      <c r="AV2321" s="5" t="s">
        <v>247</v>
      </c>
      <c r="AW2321" s="5" t="s">
        <v>238</v>
      </c>
      <c r="AX2321" s="5" t="s">
        <v>249</v>
      </c>
      <c r="AY2321" s="5" t="s">
        <v>238</v>
      </c>
      <c r="BA2321" s="5" t="s">
        <v>238</v>
      </c>
      <c r="BC2321" s="5" t="s">
        <v>250</v>
      </c>
      <c r="BD2321" s="6" t="s">
        <v>243</v>
      </c>
      <c r="BE2321" s="5" t="s">
        <v>251</v>
      </c>
      <c r="BF2321" s="5" t="s">
        <v>252</v>
      </c>
      <c r="BG2321" s="5" t="s">
        <v>238</v>
      </c>
      <c r="BH2321" s="7">
        <f>0</f>
        <v>0</v>
      </c>
      <c r="BI2321" s="8">
        <f>0</f>
        <v>0</v>
      </c>
      <c r="BJ2321" s="5" t="s">
        <v>253</v>
      </c>
      <c r="BK2321" s="5" t="s">
        <v>254</v>
      </c>
      <c r="BY2321" s="5" t="s">
        <v>238</v>
      </c>
      <c r="BZ2321" s="5" t="s">
        <v>238</v>
      </c>
      <c r="CD2321" s="5" t="s">
        <v>273</v>
      </c>
      <c r="CE2321" s="5" t="s">
        <v>256</v>
      </c>
      <c r="CF2321" s="5" t="s">
        <v>238</v>
      </c>
      <c r="CI2321" s="6" t="s">
        <v>257</v>
      </c>
      <c r="CJ2321" s="5" t="s">
        <v>238</v>
      </c>
      <c r="CK2321" s="5" t="s">
        <v>258</v>
      </c>
      <c r="CL2321" s="5" t="s">
        <v>238</v>
      </c>
      <c r="CM2321" s="5" t="s">
        <v>238</v>
      </c>
      <c r="CN2321" s="5">
        <v>0</v>
      </c>
      <c r="CO2321" s="5" t="s">
        <v>259</v>
      </c>
      <c r="CP2321" s="5" t="s">
        <v>260</v>
      </c>
      <c r="CQ2321" s="5" t="s">
        <v>260</v>
      </c>
      <c r="CR2321" s="5" t="s">
        <v>261</v>
      </c>
      <c r="CU2321" s="8">
        <f>1</f>
        <v>1</v>
      </c>
      <c r="CV2321" s="8">
        <f>0</f>
        <v>0</v>
      </c>
      <c r="CX2321" s="8">
        <f>0</f>
        <v>0</v>
      </c>
      <c r="CY2321" s="8">
        <f>1</f>
        <v>1</v>
      </c>
      <c r="DA2321" s="5" t="s">
        <v>274</v>
      </c>
      <c r="DB2321" s="5" t="s">
        <v>238</v>
      </c>
      <c r="DD2321" s="5" t="s">
        <v>274</v>
      </c>
      <c r="DE2321" s="8">
        <f>1400</f>
        <v>1400</v>
      </c>
      <c r="DG2321" s="5" t="s">
        <v>238</v>
      </c>
      <c r="DH2321" s="5" t="s">
        <v>238</v>
      </c>
      <c r="DI2321" s="5" t="s">
        <v>238</v>
      </c>
      <c r="DJ2321" s="5" t="s">
        <v>238</v>
      </c>
      <c r="DN2321" s="5" t="s">
        <v>238</v>
      </c>
      <c r="DO2321" s="5" t="s">
        <v>238</v>
      </c>
      <c r="DP2321" s="5" t="s">
        <v>238</v>
      </c>
      <c r="DQ2321" s="5" t="s">
        <v>238</v>
      </c>
      <c r="DT2321" s="5" t="s">
        <v>275</v>
      </c>
      <c r="DU2321" s="5" t="s">
        <v>2965</v>
      </c>
      <c r="HM2321" s="5" t="s">
        <v>264</v>
      </c>
    </row>
    <row r="2322" spans="1:221" x14ac:dyDescent="0.4">
      <c r="A2322" s="5">
        <v>4026</v>
      </c>
      <c r="B2322" s="5">
        <v>1</v>
      </c>
      <c r="C2322" s="5">
        <v>1</v>
      </c>
      <c r="D2322" s="5" t="s">
        <v>269</v>
      </c>
      <c r="E2322" s="5" t="s">
        <v>271</v>
      </c>
      <c r="F2322" s="5" t="s">
        <v>248</v>
      </c>
      <c r="G2322" s="5" t="s">
        <v>266</v>
      </c>
      <c r="H2322" s="6" t="s">
        <v>5948</v>
      </c>
      <c r="I2322" s="7">
        <f>626</f>
        <v>626</v>
      </c>
      <c r="J2322" s="5" t="s">
        <v>262</v>
      </c>
      <c r="K2322" s="8">
        <f>1</f>
        <v>1</v>
      </c>
      <c r="L2322" s="6" t="s">
        <v>242</v>
      </c>
      <c r="M2322" s="5" t="s">
        <v>267</v>
      </c>
      <c r="N2322" s="5" t="s">
        <v>265</v>
      </c>
      <c r="O2322" s="5" t="s">
        <v>238</v>
      </c>
      <c r="P2322" s="5" t="s">
        <v>238</v>
      </c>
      <c r="Q2322" s="5" t="s">
        <v>268</v>
      </c>
      <c r="R2322" s="5" t="s">
        <v>270</v>
      </c>
      <c r="S2322" s="5" t="s">
        <v>238</v>
      </c>
      <c r="V2322" s="5" t="s">
        <v>238</v>
      </c>
      <c r="X2322" s="6" t="s">
        <v>238</v>
      </c>
      <c r="AA2322" s="6" t="s">
        <v>243</v>
      </c>
      <c r="AB2322" s="5" t="s">
        <v>238</v>
      </c>
      <c r="AC2322" s="5" t="s">
        <v>244</v>
      </c>
      <c r="AD2322" s="5" t="s">
        <v>245</v>
      </c>
      <c r="AT2322" s="5" t="s">
        <v>246</v>
      </c>
      <c r="AU2322" s="5" t="s">
        <v>238</v>
      </c>
      <c r="AV2322" s="5" t="s">
        <v>247</v>
      </c>
      <c r="AW2322" s="5" t="s">
        <v>238</v>
      </c>
      <c r="AX2322" s="5" t="s">
        <v>249</v>
      </c>
      <c r="AY2322" s="5" t="s">
        <v>238</v>
      </c>
      <c r="BA2322" s="5" t="s">
        <v>238</v>
      </c>
      <c r="BC2322" s="5" t="s">
        <v>250</v>
      </c>
      <c r="BD2322" s="6" t="s">
        <v>243</v>
      </c>
      <c r="BE2322" s="5" t="s">
        <v>251</v>
      </c>
      <c r="BF2322" s="5" t="s">
        <v>252</v>
      </c>
      <c r="BG2322" s="5" t="s">
        <v>238</v>
      </c>
      <c r="BH2322" s="7">
        <f>0</f>
        <v>0</v>
      </c>
      <c r="BI2322" s="8">
        <f>0</f>
        <v>0</v>
      </c>
      <c r="BJ2322" s="5" t="s">
        <v>253</v>
      </c>
      <c r="BK2322" s="5" t="s">
        <v>254</v>
      </c>
      <c r="BY2322" s="5" t="s">
        <v>238</v>
      </c>
      <c r="BZ2322" s="5" t="s">
        <v>238</v>
      </c>
      <c r="CD2322" s="5" t="s">
        <v>273</v>
      </c>
      <c r="CE2322" s="5" t="s">
        <v>256</v>
      </c>
      <c r="CF2322" s="5" t="s">
        <v>238</v>
      </c>
      <c r="CI2322" s="6" t="s">
        <v>257</v>
      </c>
      <c r="CJ2322" s="5" t="s">
        <v>238</v>
      </c>
      <c r="CK2322" s="5" t="s">
        <v>258</v>
      </c>
      <c r="CL2322" s="5" t="s">
        <v>238</v>
      </c>
      <c r="CM2322" s="5" t="s">
        <v>238</v>
      </c>
      <c r="CN2322" s="5">
        <v>0</v>
      </c>
      <c r="CO2322" s="5" t="s">
        <v>259</v>
      </c>
      <c r="CP2322" s="5" t="s">
        <v>260</v>
      </c>
      <c r="CQ2322" s="5" t="s">
        <v>260</v>
      </c>
      <c r="CR2322" s="5" t="s">
        <v>261</v>
      </c>
      <c r="CU2322" s="8">
        <f>1</f>
        <v>1</v>
      </c>
      <c r="CV2322" s="8">
        <f>0</f>
        <v>0</v>
      </c>
      <c r="CX2322" s="8">
        <f>0</f>
        <v>0</v>
      </c>
      <c r="CY2322" s="8">
        <f>1</f>
        <v>1</v>
      </c>
      <c r="DA2322" s="5" t="s">
        <v>274</v>
      </c>
      <c r="DB2322" s="5" t="s">
        <v>238</v>
      </c>
      <c r="DD2322" s="5" t="s">
        <v>274</v>
      </c>
      <c r="DE2322" s="8">
        <f>626</f>
        <v>626</v>
      </c>
      <c r="DG2322" s="5" t="s">
        <v>238</v>
      </c>
      <c r="DH2322" s="5" t="s">
        <v>238</v>
      </c>
      <c r="DI2322" s="5" t="s">
        <v>238</v>
      </c>
      <c r="DJ2322" s="5" t="s">
        <v>238</v>
      </c>
      <c r="DN2322" s="5" t="s">
        <v>238</v>
      </c>
      <c r="DO2322" s="5" t="s">
        <v>238</v>
      </c>
      <c r="DP2322" s="5" t="s">
        <v>238</v>
      </c>
      <c r="DQ2322" s="5" t="s">
        <v>238</v>
      </c>
      <c r="DT2322" s="5" t="s">
        <v>275</v>
      </c>
      <c r="DU2322" s="5" t="s">
        <v>2963</v>
      </c>
      <c r="HM2322" s="5" t="s">
        <v>264</v>
      </c>
    </row>
    <row r="2323" spans="1:221" x14ac:dyDescent="0.4">
      <c r="A2323" s="5">
        <v>4027</v>
      </c>
      <c r="B2323" s="5">
        <v>1</v>
      </c>
      <c r="C2323" s="5">
        <v>1</v>
      </c>
      <c r="D2323" s="5" t="s">
        <v>269</v>
      </c>
      <c r="E2323" s="5" t="s">
        <v>271</v>
      </c>
      <c r="F2323" s="5" t="s">
        <v>248</v>
      </c>
      <c r="G2323" s="5" t="s">
        <v>266</v>
      </c>
      <c r="H2323" s="6" t="s">
        <v>4198</v>
      </c>
      <c r="I2323" s="7">
        <f>1091</f>
        <v>1091</v>
      </c>
      <c r="J2323" s="5" t="s">
        <v>262</v>
      </c>
      <c r="K2323" s="8">
        <f>1</f>
        <v>1</v>
      </c>
      <c r="L2323" s="6" t="s">
        <v>242</v>
      </c>
      <c r="M2323" s="5" t="s">
        <v>267</v>
      </c>
      <c r="N2323" s="5" t="s">
        <v>265</v>
      </c>
      <c r="O2323" s="5" t="s">
        <v>238</v>
      </c>
      <c r="P2323" s="5" t="s">
        <v>238</v>
      </c>
      <c r="Q2323" s="5" t="s">
        <v>268</v>
      </c>
      <c r="R2323" s="5" t="s">
        <v>270</v>
      </c>
      <c r="S2323" s="5" t="s">
        <v>238</v>
      </c>
      <c r="V2323" s="5" t="s">
        <v>238</v>
      </c>
      <c r="X2323" s="6" t="s">
        <v>238</v>
      </c>
      <c r="AA2323" s="6" t="s">
        <v>243</v>
      </c>
      <c r="AB2323" s="5" t="s">
        <v>238</v>
      </c>
      <c r="AC2323" s="5" t="s">
        <v>244</v>
      </c>
      <c r="AD2323" s="5" t="s">
        <v>245</v>
      </c>
      <c r="AT2323" s="5" t="s">
        <v>246</v>
      </c>
      <c r="AU2323" s="5" t="s">
        <v>238</v>
      </c>
      <c r="AV2323" s="5" t="s">
        <v>247</v>
      </c>
      <c r="AW2323" s="5" t="s">
        <v>238</v>
      </c>
      <c r="AX2323" s="5" t="s">
        <v>249</v>
      </c>
      <c r="AY2323" s="5" t="s">
        <v>238</v>
      </c>
      <c r="BA2323" s="5" t="s">
        <v>238</v>
      </c>
      <c r="BC2323" s="5" t="s">
        <v>250</v>
      </c>
      <c r="BD2323" s="6" t="s">
        <v>243</v>
      </c>
      <c r="BE2323" s="5" t="s">
        <v>251</v>
      </c>
      <c r="BF2323" s="5" t="s">
        <v>252</v>
      </c>
      <c r="BG2323" s="5" t="s">
        <v>238</v>
      </c>
      <c r="BH2323" s="7">
        <f>0</f>
        <v>0</v>
      </c>
      <c r="BI2323" s="8">
        <f>0</f>
        <v>0</v>
      </c>
      <c r="BJ2323" s="5" t="s">
        <v>253</v>
      </c>
      <c r="BK2323" s="5" t="s">
        <v>254</v>
      </c>
      <c r="BY2323" s="5" t="s">
        <v>238</v>
      </c>
      <c r="BZ2323" s="5" t="s">
        <v>238</v>
      </c>
      <c r="CD2323" s="5" t="s">
        <v>273</v>
      </c>
      <c r="CE2323" s="5" t="s">
        <v>256</v>
      </c>
      <c r="CF2323" s="5" t="s">
        <v>238</v>
      </c>
      <c r="CI2323" s="6" t="s">
        <v>257</v>
      </c>
      <c r="CJ2323" s="5" t="s">
        <v>238</v>
      </c>
      <c r="CK2323" s="5" t="s">
        <v>258</v>
      </c>
      <c r="CL2323" s="5" t="s">
        <v>238</v>
      </c>
      <c r="CM2323" s="5" t="s">
        <v>238</v>
      </c>
      <c r="CN2323" s="5">
        <v>0</v>
      </c>
      <c r="CO2323" s="5" t="s">
        <v>259</v>
      </c>
      <c r="CP2323" s="5" t="s">
        <v>260</v>
      </c>
      <c r="CQ2323" s="5" t="s">
        <v>260</v>
      </c>
      <c r="CR2323" s="5" t="s">
        <v>261</v>
      </c>
      <c r="CU2323" s="8">
        <f>1</f>
        <v>1</v>
      </c>
      <c r="CV2323" s="8">
        <f>0</f>
        <v>0</v>
      </c>
      <c r="CX2323" s="8">
        <f>0</f>
        <v>0</v>
      </c>
      <c r="CY2323" s="8">
        <f>1</f>
        <v>1</v>
      </c>
      <c r="DA2323" s="5" t="s">
        <v>274</v>
      </c>
      <c r="DB2323" s="5" t="s">
        <v>238</v>
      </c>
      <c r="DD2323" s="5" t="s">
        <v>274</v>
      </c>
      <c r="DE2323" s="8">
        <f>1091</f>
        <v>1091</v>
      </c>
      <c r="DG2323" s="5" t="s">
        <v>238</v>
      </c>
      <c r="DH2323" s="5" t="s">
        <v>238</v>
      </c>
      <c r="DI2323" s="5" t="s">
        <v>238</v>
      </c>
      <c r="DJ2323" s="5" t="s">
        <v>238</v>
      </c>
      <c r="DN2323" s="5" t="s">
        <v>238</v>
      </c>
      <c r="DO2323" s="5" t="s">
        <v>238</v>
      </c>
      <c r="DP2323" s="5" t="s">
        <v>238</v>
      </c>
      <c r="DQ2323" s="5" t="s">
        <v>238</v>
      </c>
      <c r="DT2323" s="5" t="s">
        <v>275</v>
      </c>
      <c r="DU2323" s="5" t="s">
        <v>2961</v>
      </c>
      <c r="HM2323" s="5" t="s">
        <v>264</v>
      </c>
    </row>
    <row r="2324" spans="1:221" x14ac:dyDescent="0.4">
      <c r="A2324" s="5">
        <v>4028</v>
      </c>
      <c r="B2324" s="5">
        <v>1</v>
      </c>
      <c r="C2324" s="5">
        <v>1</v>
      </c>
      <c r="D2324" s="5" t="s">
        <v>269</v>
      </c>
      <c r="E2324" s="5" t="s">
        <v>271</v>
      </c>
      <c r="F2324" s="5" t="s">
        <v>248</v>
      </c>
      <c r="G2324" s="5" t="s">
        <v>266</v>
      </c>
      <c r="H2324" s="6" t="s">
        <v>5887</v>
      </c>
      <c r="I2324" s="7">
        <f>174</f>
        <v>174</v>
      </c>
      <c r="J2324" s="5" t="s">
        <v>262</v>
      </c>
      <c r="K2324" s="8">
        <f>1</f>
        <v>1</v>
      </c>
      <c r="L2324" s="6" t="s">
        <v>242</v>
      </c>
      <c r="M2324" s="5" t="s">
        <v>267</v>
      </c>
      <c r="N2324" s="5" t="s">
        <v>265</v>
      </c>
      <c r="O2324" s="5" t="s">
        <v>238</v>
      </c>
      <c r="P2324" s="5" t="s">
        <v>238</v>
      </c>
      <c r="Q2324" s="5" t="s">
        <v>268</v>
      </c>
      <c r="R2324" s="5" t="s">
        <v>270</v>
      </c>
      <c r="S2324" s="5" t="s">
        <v>238</v>
      </c>
      <c r="V2324" s="5" t="s">
        <v>238</v>
      </c>
      <c r="X2324" s="6" t="s">
        <v>238</v>
      </c>
      <c r="AA2324" s="6" t="s">
        <v>243</v>
      </c>
      <c r="AB2324" s="5" t="s">
        <v>238</v>
      </c>
      <c r="AC2324" s="5" t="s">
        <v>244</v>
      </c>
      <c r="AD2324" s="5" t="s">
        <v>245</v>
      </c>
      <c r="AT2324" s="5" t="s">
        <v>246</v>
      </c>
      <c r="AU2324" s="5" t="s">
        <v>238</v>
      </c>
      <c r="AV2324" s="5" t="s">
        <v>247</v>
      </c>
      <c r="AW2324" s="5" t="s">
        <v>238</v>
      </c>
      <c r="AX2324" s="5" t="s">
        <v>249</v>
      </c>
      <c r="AY2324" s="5" t="s">
        <v>238</v>
      </c>
      <c r="BA2324" s="5" t="s">
        <v>238</v>
      </c>
      <c r="BC2324" s="5" t="s">
        <v>250</v>
      </c>
      <c r="BD2324" s="6" t="s">
        <v>243</v>
      </c>
      <c r="BE2324" s="5" t="s">
        <v>251</v>
      </c>
      <c r="BF2324" s="5" t="s">
        <v>252</v>
      </c>
      <c r="BG2324" s="5" t="s">
        <v>238</v>
      </c>
      <c r="BH2324" s="7">
        <f>0</f>
        <v>0</v>
      </c>
      <c r="BI2324" s="8">
        <f>0</f>
        <v>0</v>
      </c>
      <c r="BJ2324" s="5" t="s">
        <v>253</v>
      </c>
      <c r="BK2324" s="5" t="s">
        <v>254</v>
      </c>
      <c r="BY2324" s="5" t="s">
        <v>238</v>
      </c>
      <c r="BZ2324" s="5" t="s">
        <v>238</v>
      </c>
      <c r="CD2324" s="5" t="s">
        <v>273</v>
      </c>
      <c r="CE2324" s="5" t="s">
        <v>256</v>
      </c>
      <c r="CF2324" s="5" t="s">
        <v>238</v>
      </c>
      <c r="CI2324" s="6" t="s">
        <v>257</v>
      </c>
      <c r="CJ2324" s="5" t="s">
        <v>238</v>
      </c>
      <c r="CK2324" s="5" t="s">
        <v>258</v>
      </c>
      <c r="CL2324" s="5" t="s">
        <v>238</v>
      </c>
      <c r="CM2324" s="5" t="s">
        <v>238</v>
      </c>
      <c r="CN2324" s="5">
        <v>0</v>
      </c>
      <c r="CO2324" s="5" t="s">
        <v>259</v>
      </c>
      <c r="CP2324" s="5" t="s">
        <v>260</v>
      </c>
      <c r="CQ2324" s="5" t="s">
        <v>260</v>
      </c>
      <c r="CR2324" s="5" t="s">
        <v>261</v>
      </c>
      <c r="CU2324" s="8">
        <f>1</f>
        <v>1</v>
      </c>
      <c r="CV2324" s="8">
        <f>0</f>
        <v>0</v>
      </c>
      <c r="CX2324" s="8">
        <f>0</f>
        <v>0</v>
      </c>
      <c r="CY2324" s="8">
        <f>1</f>
        <v>1</v>
      </c>
      <c r="DA2324" s="5" t="s">
        <v>274</v>
      </c>
      <c r="DB2324" s="5" t="s">
        <v>238</v>
      </c>
      <c r="DD2324" s="5" t="s">
        <v>274</v>
      </c>
      <c r="DE2324" s="8">
        <f>174</f>
        <v>174</v>
      </c>
      <c r="DG2324" s="5" t="s">
        <v>238</v>
      </c>
      <c r="DH2324" s="5" t="s">
        <v>238</v>
      </c>
      <c r="DI2324" s="5" t="s">
        <v>238</v>
      </c>
      <c r="DJ2324" s="5" t="s">
        <v>238</v>
      </c>
      <c r="DN2324" s="5" t="s">
        <v>238</v>
      </c>
      <c r="DO2324" s="5" t="s">
        <v>238</v>
      </c>
      <c r="DP2324" s="5" t="s">
        <v>238</v>
      </c>
      <c r="DQ2324" s="5" t="s">
        <v>238</v>
      </c>
      <c r="DT2324" s="5" t="s">
        <v>275</v>
      </c>
      <c r="DU2324" s="5" t="s">
        <v>2957</v>
      </c>
      <c r="HM2324" s="5" t="s">
        <v>264</v>
      </c>
    </row>
    <row r="2325" spans="1:221" x14ac:dyDescent="0.4">
      <c r="A2325" s="5">
        <v>4029</v>
      </c>
      <c r="B2325" s="5">
        <v>1</v>
      </c>
      <c r="C2325" s="5">
        <v>1</v>
      </c>
      <c r="D2325" s="5" t="s">
        <v>269</v>
      </c>
      <c r="E2325" s="5" t="s">
        <v>271</v>
      </c>
      <c r="F2325" s="5" t="s">
        <v>248</v>
      </c>
      <c r="G2325" s="5" t="s">
        <v>266</v>
      </c>
      <c r="H2325" s="6" t="s">
        <v>4181</v>
      </c>
      <c r="I2325" s="7">
        <f>726</f>
        <v>726</v>
      </c>
      <c r="J2325" s="5" t="s">
        <v>262</v>
      </c>
      <c r="K2325" s="8">
        <f>1</f>
        <v>1</v>
      </c>
      <c r="L2325" s="6" t="s">
        <v>242</v>
      </c>
      <c r="M2325" s="5" t="s">
        <v>267</v>
      </c>
      <c r="N2325" s="5" t="s">
        <v>265</v>
      </c>
      <c r="O2325" s="5" t="s">
        <v>238</v>
      </c>
      <c r="P2325" s="5" t="s">
        <v>238</v>
      </c>
      <c r="Q2325" s="5" t="s">
        <v>268</v>
      </c>
      <c r="R2325" s="5" t="s">
        <v>270</v>
      </c>
      <c r="S2325" s="5" t="s">
        <v>238</v>
      </c>
      <c r="V2325" s="5" t="s">
        <v>238</v>
      </c>
      <c r="X2325" s="6" t="s">
        <v>238</v>
      </c>
      <c r="AA2325" s="6" t="s">
        <v>243</v>
      </c>
      <c r="AB2325" s="5" t="s">
        <v>238</v>
      </c>
      <c r="AC2325" s="5" t="s">
        <v>244</v>
      </c>
      <c r="AD2325" s="5" t="s">
        <v>245</v>
      </c>
      <c r="AT2325" s="5" t="s">
        <v>246</v>
      </c>
      <c r="AU2325" s="5" t="s">
        <v>238</v>
      </c>
      <c r="AV2325" s="5" t="s">
        <v>247</v>
      </c>
      <c r="AW2325" s="5" t="s">
        <v>238</v>
      </c>
      <c r="AX2325" s="5" t="s">
        <v>249</v>
      </c>
      <c r="AY2325" s="5" t="s">
        <v>238</v>
      </c>
      <c r="BA2325" s="5" t="s">
        <v>238</v>
      </c>
      <c r="BC2325" s="5" t="s">
        <v>250</v>
      </c>
      <c r="BD2325" s="6" t="s">
        <v>243</v>
      </c>
      <c r="BE2325" s="5" t="s">
        <v>251</v>
      </c>
      <c r="BF2325" s="5" t="s">
        <v>252</v>
      </c>
      <c r="BG2325" s="5" t="s">
        <v>238</v>
      </c>
      <c r="BH2325" s="7">
        <f>0</f>
        <v>0</v>
      </c>
      <c r="BI2325" s="8">
        <f>0</f>
        <v>0</v>
      </c>
      <c r="BJ2325" s="5" t="s">
        <v>253</v>
      </c>
      <c r="BK2325" s="5" t="s">
        <v>254</v>
      </c>
      <c r="BY2325" s="5" t="s">
        <v>238</v>
      </c>
      <c r="BZ2325" s="5" t="s">
        <v>238</v>
      </c>
      <c r="CD2325" s="5" t="s">
        <v>273</v>
      </c>
      <c r="CE2325" s="5" t="s">
        <v>256</v>
      </c>
      <c r="CF2325" s="5" t="s">
        <v>238</v>
      </c>
      <c r="CI2325" s="6" t="s">
        <v>257</v>
      </c>
      <c r="CJ2325" s="5" t="s">
        <v>238</v>
      </c>
      <c r="CK2325" s="5" t="s">
        <v>258</v>
      </c>
      <c r="CL2325" s="5" t="s">
        <v>238</v>
      </c>
      <c r="CM2325" s="5" t="s">
        <v>238</v>
      </c>
      <c r="CN2325" s="5">
        <v>0</v>
      </c>
      <c r="CO2325" s="5" t="s">
        <v>259</v>
      </c>
      <c r="CP2325" s="5" t="s">
        <v>260</v>
      </c>
      <c r="CQ2325" s="5" t="s">
        <v>260</v>
      </c>
      <c r="CR2325" s="5" t="s">
        <v>261</v>
      </c>
      <c r="CU2325" s="8">
        <f>1</f>
        <v>1</v>
      </c>
      <c r="CV2325" s="8">
        <f>0</f>
        <v>0</v>
      </c>
      <c r="CX2325" s="8">
        <f>0</f>
        <v>0</v>
      </c>
      <c r="CY2325" s="8">
        <f>1</f>
        <v>1</v>
      </c>
      <c r="DA2325" s="5" t="s">
        <v>274</v>
      </c>
      <c r="DB2325" s="5" t="s">
        <v>238</v>
      </c>
      <c r="DD2325" s="5" t="s">
        <v>274</v>
      </c>
      <c r="DE2325" s="8">
        <f>726</f>
        <v>726</v>
      </c>
      <c r="DG2325" s="5" t="s">
        <v>238</v>
      </c>
      <c r="DH2325" s="5" t="s">
        <v>238</v>
      </c>
      <c r="DI2325" s="5" t="s">
        <v>238</v>
      </c>
      <c r="DJ2325" s="5" t="s">
        <v>238</v>
      </c>
      <c r="DN2325" s="5" t="s">
        <v>238</v>
      </c>
      <c r="DO2325" s="5" t="s">
        <v>238</v>
      </c>
      <c r="DP2325" s="5" t="s">
        <v>238</v>
      </c>
      <c r="DQ2325" s="5" t="s">
        <v>238</v>
      </c>
      <c r="DT2325" s="5" t="s">
        <v>275</v>
      </c>
      <c r="DU2325" s="5" t="s">
        <v>2955</v>
      </c>
      <c r="HM2325" s="5" t="s">
        <v>264</v>
      </c>
    </row>
    <row r="2326" spans="1:221" x14ac:dyDescent="0.4">
      <c r="A2326" s="5">
        <v>4030</v>
      </c>
      <c r="B2326" s="5">
        <v>1</v>
      </c>
      <c r="C2326" s="5">
        <v>1</v>
      </c>
      <c r="D2326" s="5" t="s">
        <v>269</v>
      </c>
      <c r="E2326" s="5" t="s">
        <v>271</v>
      </c>
      <c r="F2326" s="5" t="s">
        <v>248</v>
      </c>
      <c r="G2326" s="5" t="s">
        <v>266</v>
      </c>
      <c r="H2326" s="6" t="s">
        <v>349</v>
      </c>
      <c r="I2326" s="7">
        <f>570</f>
        <v>570</v>
      </c>
      <c r="J2326" s="5" t="s">
        <v>262</v>
      </c>
      <c r="K2326" s="8">
        <f>1</f>
        <v>1</v>
      </c>
      <c r="L2326" s="6" t="s">
        <v>242</v>
      </c>
      <c r="M2326" s="5" t="s">
        <v>267</v>
      </c>
      <c r="N2326" s="5" t="s">
        <v>265</v>
      </c>
      <c r="O2326" s="5" t="s">
        <v>238</v>
      </c>
      <c r="P2326" s="5" t="s">
        <v>238</v>
      </c>
      <c r="Q2326" s="5" t="s">
        <v>268</v>
      </c>
      <c r="R2326" s="5" t="s">
        <v>270</v>
      </c>
      <c r="S2326" s="5" t="s">
        <v>238</v>
      </c>
      <c r="V2326" s="5" t="s">
        <v>238</v>
      </c>
      <c r="X2326" s="6" t="s">
        <v>238</v>
      </c>
      <c r="AA2326" s="6" t="s">
        <v>243</v>
      </c>
      <c r="AB2326" s="5" t="s">
        <v>238</v>
      </c>
      <c r="AC2326" s="5" t="s">
        <v>244</v>
      </c>
      <c r="AD2326" s="5" t="s">
        <v>245</v>
      </c>
      <c r="AT2326" s="5" t="s">
        <v>246</v>
      </c>
      <c r="AU2326" s="5" t="s">
        <v>238</v>
      </c>
      <c r="AV2326" s="5" t="s">
        <v>247</v>
      </c>
      <c r="AW2326" s="5" t="s">
        <v>238</v>
      </c>
      <c r="AX2326" s="5" t="s">
        <v>249</v>
      </c>
      <c r="AY2326" s="5" t="s">
        <v>238</v>
      </c>
      <c r="BA2326" s="5" t="s">
        <v>238</v>
      </c>
      <c r="BC2326" s="5" t="s">
        <v>250</v>
      </c>
      <c r="BD2326" s="6" t="s">
        <v>243</v>
      </c>
      <c r="BE2326" s="5" t="s">
        <v>251</v>
      </c>
      <c r="BF2326" s="5" t="s">
        <v>252</v>
      </c>
      <c r="BG2326" s="5" t="s">
        <v>238</v>
      </c>
      <c r="BH2326" s="7">
        <f>0</f>
        <v>0</v>
      </c>
      <c r="BI2326" s="8">
        <f>0</f>
        <v>0</v>
      </c>
      <c r="BJ2326" s="5" t="s">
        <v>253</v>
      </c>
      <c r="BK2326" s="5" t="s">
        <v>254</v>
      </c>
      <c r="BY2326" s="5" t="s">
        <v>238</v>
      </c>
      <c r="BZ2326" s="5" t="s">
        <v>238</v>
      </c>
      <c r="CD2326" s="5" t="s">
        <v>273</v>
      </c>
      <c r="CE2326" s="5" t="s">
        <v>256</v>
      </c>
      <c r="CF2326" s="5" t="s">
        <v>238</v>
      </c>
      <c r="CI2326" s="6" t="s">
        <v>257</v>
      </c>
      <c r="CJ2326" s="5" t="s">
        <v>238</v>
      </c>
      <c r="CK2326" s="5" t="s">
        <v>258</v>
      </c>
      <c r="CL2326" s="5" t="s">
        <v>238</v>
      </c>
      <c r="CM2326" s="5" t="s">
        <v>238</v>
      </c>
      <c r="CN2326" s="5">
        <v>0</v>
      </c>
      <c r="CO2326" s="5" t="s">
        <v>259</v>
      </c>
      <c r="CP2326" s="5" t="s">
        <v>260</v>
      </c>
      <c r="CQ2326" s="5" t="s">
        <v>260</v>
      </c>
      <c r="CR2326" s="5" t="s">
        <v>261</v>
      </c>
      <c r="CU2326" s="8">
        <f>1</f>
        <v>1</v>
      </c>
      <c r="CV2326" s="8">
        <f>0</f>
        <v>0</v>
      </c>
      <c r="CX2326" s="8">
        <f>0</f>
        <v>0</v>
      </c>
      <c r="CY2326" s="8">
        <f>1</f>
        <v>1</v>
      </c>
      <c r="DA2326" s="5" t="s">
        <v>274</v>
      </c>
      <c r="DB2326" s="5" t="s">
        <v>238</v>
      </c>
      <c r="DD2326" s="5" t="s">
        <v>274</v>
      </c>
      <c r="DE2326" s="8">
        <f>570</f>
        <v>570</v>
      </c>
      <c r="DG2326" s="5" t="s">
        <v>238</v>
      </c>
      <c r="DH2326" s="5" t="s">
        <v>238</v>
      </c>
      <c r="DI2326" s="5" t="s">
        <v>238</v>
      </c>
      <c r="DJ2326" s="5" t="s">
        <v>238</v>
      </c>
      <c r="DN2326" s="5" t="s">
        <v>238</v>
      </c>
      <c r="DO2326" s="5" t="s">
        <v>238</v>
      </c>
      <c r="DP2326" s="5" t="s">
        <v>238</v>
      </c>
      <c r="DQ2326" s="5" t="s">
        <v>238</v>
      </c>
      <c r="DT2326" s="5" t="s">
        <v>275</v>
      </c>
      <c r="DU2326" s="5" t="s">
        <v>350</v>
      </c>
      <c r="HM2326" s="5" t="s">
        <v>264</v>
      </c>
    </row>
    <row r="2327" spans="1:221" x14ac:dyDescent="0.4">
      <c r="A2327" s="5">
        <v>4031</v>
      </c>
      <c r="B2327" s="5">
        <v>1</v>
      </c>
      <c r="C2327" s="5">
        <v>1</v>
      </c>
      <c r="D2327" s="5" t="s">
        <v>269</v>
      </c>
      <c r="E2327" s="5" t="s">
        <v>271</v>
      </c>
      <c r="F2327" s="5" t="s">
        <v>248</v>
      </c>
      <c r="G2327" s="5" t="s">
        <v>266</v>
      </c>
      <c r="H2327" s="6" t="s">
        <v>1961</v>
      </c>
      <c r="I2327" s="7">
        <f>263</f>
        <v>263</v>
      </c>
      <c r="J2327" s="5" t="s">
        <v>262</v>
      </c>
      <c r="K2327" s="8">
        <f>1</f>
        <v>1</v>
      </c>
      <c r="L2327" s="6" t="s">
        <v>242</v>
      </c>
      <c r="M2327" s="5" t="s">
        <v>267</v>
      </c>
      <c r="N2327" s="5" t="s">
        <v>265</v>
      </c>
      <c r="O2327" s="5" t="s">
        <v>238</v>
      </c>
      <c r="P2327" s="5" t="s">
        <v>238</v>
      </c>
      <c r="Q2327" s="5" t="s">
        <v>268</v>
      </c>
      <c r="R2327" s="5" t="s">
        <v>270</v>
      </c>
      <c r="S2327" s="5" t="s">
        <v>238</v>
      </c>
      <c r="V2327" s="5" t="s">
        <v>238</v>
      </c>
      <c r="X2327" s="6" t="s">
        <v>238</v>
      </c>
      <c r="AA2327" s="6" t="s">
        <v>243</v>
      </c>
      <c r="AB2327" s="5" t="s">
        <v>238</v>
      </c>
      <c r="AC2327" s="5" t="s">
        <v>244</v>
      </c>
      <c r="AD2327" s="5" t="s">
        <v>245</v>
      </c>
      <c r="AT2327" s="5" t="s">
        <v>246</v>
      </c>
      <c r="AU2327" s="5" t="s">
        <v>238</v>
      </c>
      <c r="AV2327" s="5" t="s">
        <v>247</v>
      </c>
      <c r="AW2327" s="5" t="s">
        <v>238</v>
      </c>
      <c r="AX2327" s="5" t="s">
        <v>249</v>
      </c>
      <c r="AY2327" s="5" t="s">
        <v>238</v>
      </c>
      <c r="BA2327" s="5" t="s">
        <v>238</v>
      </c>
      <c r="BC2327" s="5" t="s">
        <v>250</v>
      </c>
      <c r="BD2327" s="6" t="s">
        <v>243</v>
      </c>
      <c r="BE2327" s="5" t="s">
        <v>251</v>
      </c>
      <c r="BF2327" s="5" t="s">
        <v>252</v>
      </c>
      <c r="BG2327" s="5" t="s">
        <v>238</v>
      </c>
      <c r="BH2327" s="7">
        <f>0</f>
        <v>0</v>
      </c>
      <c r="BI2327" s="8">
        <f>0</f>
        <v>0</v>
      </c>
      <c r="BJ2327" s="5" t="s">
        <v>253</v>
      </c>
      <c r="BK2327" s="5" t="s">
        <v>254</v>
      </c>
      <c r="BY2327" s="5" t="s">
        <v>238</v>
      </c>
      <c r="BZ2327" s="5" t="s">
        <v>238</v>
      </c>
      <c r="CD2327" s="5" t="s">
        <v>273</v>
      </c>
      <c r="CE2327" s="5" t="s">
        <v>256</v>
      </c>
      <c r="CF2327" s="5" t="s">
        <v>238</v>
      </c>
      <c r="CI2327" s="6" t="s">
        <v>257</v>
      </c>
      <c r="CJ2327" s="5" t="s">
        <v>238</v>
      </c>
      <c r="CK2327" s="5" t="s">
        <v>258</v>
      </c>
      <c r="CL2327" s="5" t="s">
        <v>238</v>
      </c>
      <c r="CM2327" s="5" t="s">
        <v>238</v>
      </c>
      <c r="CN2327" s="5">
        <v>0</v>
      </c>
      <c r="CO2327" s="5" t="s">
        <v>259</v>
      </c>
      <c r="CP2327" s="5" t="s">
        <v>260</v>
      </c>
      <c r="CQ2327" s="5" t="s">
        <v>260</v>
      </c>
      <c r="CR2327" s="5" t="s">
        <v>261</v>
      </c>
      <c r="CU2327" s="8">
        <f>1</f>
        <v>1</v>
      </c>
      <c r="CV2327" s="8">
        <f>0</f>
        <v>0</v>
      </c>
      <c r="CX2327" s="8">
        <f>0</f>
        <v>0</v>
      </c>
      <c r="CY2327" s="8">
        <f>1</f>
        <v>1</v>
      </c>
      <c r="DA2327" s="5" t="s">
        <v>274</v>
      </c>
      <c r="DB2327" s="5" t="s">
        <v>238</v>
      </c>
      <c r="DD2327" s="5" t="s">
        <v>274</v>
      </c>
      <c r="DE2327" s="8">
        <f>263</f>
        <v>263</v>
      </c>
      <c r="DG2327" s="5" t="s">
        <v>238</v>
      </c>
      <c r="DH2327" s="5" t="s">
        <v>238</v>
      </c>
      <c r="DI2327" s="5" t="s">
        <v>238</v>
      </c>
      <c r="DJ2327" s="5" t="s">
        <v>238</v>
      </c>
      <c r="DN2327" s="5" t="s">
        <v>238</v>
      </c>
      <c r="DO2327" s="5" t="s">
        <v>238</v>
      </c>
      <c r="DP2327" s="5" t="s">
        <v>238</v>
      </c>
      <c r="DQ2327" s="5" t="s">
        <v>238</v>
      </c>
      <c r="DT2327" s="5" t="s">
        <v>275</v>
      </c>
      <c r="DU2327" s="5" t="s">
        <v>1962</v>
      </c>
      <c r="HM2327" s="5" t="s">
        <v>264</v>
      </c>
    </row>
    <row r="2328" spans="1:221" x14ac:dyDescent="0.4">
      <c r="A2328" s="5">
        <v>4032</v>
      </c>
      <c r="B2328" s="5">
        <v>1</v>
      </c>
      <c r="C2328" s="5">
        <v>1</v>
      </c>
      <c r="D2328" s="5" t="s">
        <v>269</v>
      </c>
      <c r="E2328" s="5" t="s">
        <v>271</v>
      </c>
      <c r="F2328" s="5" t="s">
        <v>248</v>
      </c>
      <c r="G2328" s="5" t="s">
        <v>266</v>
      </c>
      <c r="H2328" s="6" t="s">
        <v>3985</v>
      </c>
      <c r="I2328" s="7">
        <f>2201</f>
        <v>2201</v>
      </c>
      <c r="J2328" s="5" t="s">
        <v>262</v>
      </c>
      <c r="K2328" s="8">
        <f>1</f>
        <v>1</v>
      </c>
      <c r="L2328" s="6" t="s">
        <v>242</v>
      </c>
      <c r="M2328" s="5" t="s">
        <v>267</v>
      </c>
      <c r="N2328" s="5" t="s">
        <v>265</v>
      </c>
      <c r="O2328" s="5" t="s">
        <v>238</v>
      </c>
      <c r="P2328" s="5" t="s">
        <v>238</v>
      </c>
      <c r="Q2328" s="5" t="s">
        <v>268</v>
      </c>
      <c r="R2328" s="5" t="s">
        <v>270</v>
      </c>
      <c r="S2328" s="5" t="s">
        <v>238</v>
      </c>
      <c r="V2328" s="5" t="s">
        <v>238</v>
      </c>
      <c r="X2328" s="6" t="s">
        <v>238</v>
      </c>
      <c r="AA2328" s="6" t="s">
        <v>243</v>
      </c>
      <c r="AB2328" s="5" t="s">
        <v>238</v>
      </c>
      <c r="AC2328" s="5" t="s">
        <v>244</v>
      </c>
      <c r="AD2328" s="5" t="s">
        <v>245</v>
      </c>
      <c r="AT2328" s="5" t="s">
        <v>246</v>
      </c>
      <c r="AU2328" s="5" t="s">
        <v>238</v>
      </c>
      <c r="AV2328" s="5" t="s">
        <v>247</v>
      </c>
      <c r="AW2328" s="5" t="s">
        <v>238</v>
      </c>
      <c r="AX2328" s="5" t="s">
        <v>249</v>
      </c>
      <c r="AY2328" s="5" t="s">
        <v>238</v>
      </c>
      <c r="BA2328" s="5" t="s">
        <v>238</v>
      </c>
      <c r="BC2328" s="5" t="s">
        <v>250</v>
      </c>
      <c r="BD2328" s="6" t="s">
        <v>243</v>
      </c>
      <c r="BE2328" s="5" t="s">
        <v>251</v>
      </c>
      <c r="BF2328" s="5" t="s">
        <v>252</v>
      </c>
      <c r="BG2328" s="5" t="s">
        <v>238</v>
      </c>
      <c r="BH2328" s="7">
        <f>0</f>
        <v>0</v>
      </c>
      <c r="BI2328" s="8">
        <f>0</f>
        <v>0</v>
      </c>
      <c r="BJ2328" s="5" t="s">
        <v>253</v>
      </c>
      <c r="BK2328" s="5" t="s">
        <v>254</v>
      </c>
      <c r="BY2328" s="5" t="s">
        <v>238</v>
      </c>
      <c r="BZ2328" s="5" t="s">
        <v>238</v>
      </c>
      <c r="CD2328" s="5" t="s">
        <v>273</v>
      </c>
      <c r="CE2328" s="5" t="s">
        <v>256</v>
      </c>
      <c r="CF2328" s="5" t="s">
        <v>238</v>
      </c>
      <c r="CI2328" s="6" t="s">
        <v>257</v>
      </c>
      <c r="CJ2328" s="5" t="s">
        <v>238</v>
      </c>
      <c r="CK2328" s="5" t="s">
        <v>258</v>
      </c>
      <c r="CL2328" s="5" t="s">
        <v>238</v>
      </c>
      <c r="CM2328" s="5" t="s">
        <v>238</v>
      </c>
      <c r="CN2328" s="5">
        <v>0</v>
      </c>
      <c r="CO2328" s="5" t="s">
        <v>259</v>
      </c>
      <c r="CP2328" s="5" t="s">
        <v>260</v>
      </c>
      <c r="CQ2328" s="5" t="s">
        <v>260</v>
      </c>
      <c r="CR2328" s="5" t="s">
        <v>261</v>
      </c>
      <c r="CU2328" s="8">
        <f>1</f>
        <v>1</v>
      </c>
      <c r="CV2328" s="8">
        <f>0</f>
        <v>0</v>
      </c>
      <c r="CX2328" s="8">
        <f>0</f>
        <v>0</v>
      </c>
      <c r="CY2328" s="8">
        <f>1</f>
        <v>1</v>
      </c>
      <c r="DA2328" s="5" t="s">
        <v>274</v>
      </c>
      <c r="DB2328" s="5" t="s">
        <v>238</v>
      </c>
      <c r="DD2328" s="5" t="s">
        <v>274</v>
      </c>
      <c r="DE2328" s="8">
        <f>2201</f>
        <v>2201</v>
      </c>
      <c r="DG2328" s="5" t="s">
        <v>238</v>
      </c>
      <c r="DH2328" s="5" t="s">
        <v>238</v>
      </c>
      <c r="DI2328" s="5" t="s">
        <v>238</v>
      </c>
      <c r="DJ2328" s="5" t="s">
        <v>238</v>
      </c>
      <c r="DN2328" s="5" t="s">
        <v>238</v>
      </c>
      <c r="DO2328" s="5" t="s">
        <v>238</v>
      </c>
      <c r="DP2328" s="5" t="s">
        <v>238</v>
      </c>
      <c r="DQ2328" s="5" t="s">
        <v>238</v>
      </c>
      <c r="DT2328" s="5" t="s">
        <v>275</v>
      </c>
      <c r="DU2328" s="5" t="s">
        <v>2951</v>
      </c>
      <c r="HM2328" s="5" t="s">
        <v>264</v>
      </c>
    </row>
    <row r="2329" spans="1:221" x14ac:dyDescent="0.4">
      <c r="A2329" s="5">
        <v>4033</v>
      </c>
      <c r="B2329" s="5">
        <v>1</v>
      </c>
      <c r="C2329" s="5">
        <v>1</v>
      </c>
      <c r="D2329" s="5" t="s">
        <v>269</v>
      </c>
      <c r="E2329" s="5" t="s">
        <v>271</v>
      </c>
      <c r="F2329" s="5" t="s">
        <v>248</v>
      </c>
      <c r="G2329" s="5" t="s">
        <v>266</v>
      </c>
      <c r="H2329" s="6" t="s">
        <v>828</v>
      </c>
      <c r="I2329" s="7">
        <f>3099</f>
        <v>3099</v>
      </c>
      <c r="J2329" s="5" t="s">
        <v>262</v>
      </c>
      <c r="K2329" s="8">
        <f>1</f>
        <v>1</v>
      </c>
      <c r="L2329" s="6" t="s">
        <v>242</v>
      </c>
      <c r="M2329" s="5" t="s">
        <v>267</v>
      </c>
      <c r="N2329" s="5" t="s">
        <v>265</v>
      </c>
      <c r="O2329" s="5" t="s">
        <v>238</v>
      </c>
      <c r="P2329" s="5" t="s">
        <v>238</v>
      </c>
      <c r="Q2329" s="5" t="s">
        <v>268</v>
      </c>
      <c r="R2329" s="5" t="s">
        <v>270</v>
      </c>
      <c r="S2329" s="5" t="s">
        <v>238</v>
      </c>
      <c r="V2329" s="5" t="s">
        <v>238</v>
      </c>
      <c r="X2329" s="6" t="s">
        <v>238</v>
      </c>
      <c r="AA2329" s="6" t="s">
        <v>243</v>
      </c>
      <c r="AB2329" s="5" t="s">
        <v>238</v>
      </c>
      <c r="AC2329" s="5" t="s">
        <v>244</v>
      </c>
      <c r="AD2329" s="5" t="s">
        <v>245</v>
      </c>
      <c r="AT2329" s="5" t="s">
        <v>246</v>
      </c>
      <c r="AU2329" s="5" t="s">
        <v>238</v>
      </c>
      <c r="AV2329" s="5" t="s">
        <v>247</v>
      </c>
      <c r="AW2329" s="5" t="s">
        <v>238</v>
      </c>
      <c r="AX2329" s="5" t="s">
        <v>249</v>
      </c>
      <c r="AY2329" s="5" t="s">
        <v>238</v>
      </c>
      <c r="BA2329" s="5" t="s">
        <v>238</v>
      </c>
      <c r="BC2329" s="5" t="s">
        <v>250</v>
      </c>
      <c r="BD2329" s="6" t="s">
        <v>243</v>
      </c>
      <c r="BE2329" s="5" t="s">
        <v>251</v>
      </c>
      <c r="BF2329" s="5" t="s">
        <v>252</v>
      </c>
      <c r="BG2329" s="5" t="s">
        <v>238</v>
      </c>
      <c r="BH2329" s="7">
        <f>0</f>
        <v>0</v>
      </c>
      <c r="BI2329" s="8">
        <f>0</f>
        <v>0</v>
      </c>
      <c r="BJ2329" s="5" t="s">
        <v>253</v>
      </c>
      <c r="BK2329" s="5" t="s">
        <v>254</v>
      </c>
      <c r="BY2329" s="5" t="s">
        <v>238</v>
      </c>
      <c r="BZ2329" s="5" t="s">
        <v>238</v>
      </c>
      <c r="CD2329" s="5" t="s">
        <v>273</v>
      </c>
      <c r="CE2329" s="5" t="s">
        <v>256</v>
      </c>
      <c r="CF2329" s="5" t="s">
        <v>238</v>
      </c>
      <c r="CI2329" s="6" t="s">
        <v>257</v>
      </c>
      <c r="CJ2329" s="5" t="s">
        <v>238</v>
      </c>
      <c r="CK2329" s="5" t="s">
        <v>258</v>
      </c>
      <c r="CL2329" s="5" t="s">
        <v>238</v>
      </c>
      <c r="CM2329" s="5" t="s">
        <v>238</v>
      </c>
      <c r="CN2329" s="5">
        <v>0</v>
      </c>
      <c r="CO2329" s="5" t="s">
        <v>259</v>
      </c>
      <c r="CP2329" s="5" t="s">
        <v>260</v>
      </c>
      <c r="CQ2329" s="5" t="s">
        <v>260</v>
      </c>
      <c r="CR2329" s="5" t="s">
        <v>261</v>
      </c>
      <c r="CU2329" s="8">
        <f>1</f>
        <v>1</v>
      </c>
      <c r="CV2329" s="8">
        <f>0</f>
        <v>0</v>
      </c>
      <c r="CX2329" s="8">
        <f>0</f>
        <v>0</v>
      </c>
      <c r="CY2329" s="8">
        <f>1</f>
        <v>1</v>
      </c>
      <c r="DA2329" s="5" t="s">
        <v>274</v>
      </c>
      <c r="DB2329" s="5" t="s">
        <v>238</v>
      </c>
      <c r="DD2329" s="5" t="s">
        <v>274</v>
      </c>
      <c r="DE2329" s="8">
        <f>3099</f>
        <v>3099</v>
      </c>
      <c r="DG2329" s="5" t="s">
        <v>238</v>
      </c>
      <c r="DH2329" s="5" t="s">
        <v>238</v>
      </c>
      <c r="DI2329" s="5" t="s">
        <v>238</v>
      </c>
      <c r="DJ2329" s="5" t="s">
        <v>238</v>
      </c>
      <c r="DN2329" s="5" t="s">
        <v>238</v>
      </c>
      <c r="DO2329" s="5" t="s">
        <v>238</v>
      </c>
      <c r="DP2329" s="5" t="s">
        <v>238</v>
      </c>
      <c r="DQ2329" s="5" t="s">
        <v>238</v>
      </c>
      <c r="DT2329" s="5" t="s">
        <v>275</v>
      </c>
      <c r="DU2329" s="5" t="s">
        <v>829</v>
      </c>
      <c r="HM2329" s="5" t="s">
        <v>264</v>
      </c>
    </row>
    <row r="2330" spans="1:221" x14ac:dyDescent="0.4">
      <c r="A2330" s="5">
        <v>4034</v>
      </c>
      <c r="B2330" s="5">
        <v>1</v>
      </c>
      <c r="C2330" s="5">
        <v>1</v>
      </c>
      <c r="D2330" s="5" t="s">
        <v>269</v>
      </c>
      <c r="E2330" s="5" t="s">
        <v>271</v>
      </c>
      <c r="F2330" s="5" t="s">
        <v>248</v>
      </c>
      <c r="G2330" s="5" t="s">
        <v>266</v>
      </c>
      <c r="H2330" s="6" t="s">
        <v>4298</v>
      </c>
      <c r="I2330" s="7">
        <f>2765</f>
        <v>2765</v>
      </c>
      <c r="J2330" s="5" t="s">
        <v>262</v>
      </c>
      <c r="K2330" s="8">
        <f>1</f>
        <v>1</v>
      </c>
      <c r="L2330" s="6" t="s">
        <v>242</v>
      </c>
      <c r="M2330" s="5" t="s">
        <v>267</v>
      </c>
      <c r="N2330" s="5" t="s">
        <v>265</v>
      </c>
      <c r="O2330" s="5" t="s">
        <v>238</v>
      </c>
      <c r="P2330" s="5" t="s">
        <v>238</v>
      </c>
      <c r="Q2330" s="5" t="s">
        <v>268</v>
      </c>
      <c r="R2330" s="5" t="s">
        <v>270</v>
      </c>
      <c r="S2330" s="5" t="s">
        <v>238</v>
      </c>
      <c r="V2330" s="5" t="s">
        <v>238</v>
      </c>
      <c r="X2330" s="6" t="s">
        <v>238</v>
      </c>
      <c r="AA2330" s="6" t="s">
        <v>243</v>
      </c>
      <c r="AB2330" s="5" t="s">
        <v>238</v>
      </c>
      <c r="AC2330" s="5" t="s">
        <v>244</v>
      </c>
      <c r="AD2330" s="5" t="s">
        <v>245</v>
      </c>
      <c r="AT2330" s="5" t="s">
        <v>246</v>
      </c>
      <c r="AU2330" s="5" t="s">
        <v>238</v>
      </c>
      <c r="AV2330" s="5" t="s">
        <v>247</v>
      </c>
      <c r="AW2330" s="5" t="s">
        <v>238</v>
      </c>
      <c r="AX2330" s="5" t="s">
        <v>249</v>
      </c>
      <c r="AY2330" s="5" t="s">
        <v>238</v>
      </c>
      <c r="BA2330" s="5" t="s">
        <v>238</v>
      </c>
      <c r="BC2330" s="5" t="s">
        <v>250</v>
      </c>
      <c r="BD2330" s="6" t="s">
        <v>243</v>
      </c>
      <c r="BE2330" s="5" t="s">
        <v>251</v>
      </c>
      <c r="BF2330" s="5" t="s">
        <v>252</v>
      </c>
      <c r="BG2330" s="5" t="s">
        <v>238</v>
      </c>
      <c r="BH2330" s="7">
        <f>0</f>
        <v>0</v>
      </c>
      <c r="BI2330" s="8">
        <f>0</f>
        <v>0</v>
      </c>
      <c r="BJ2330" s="5" t="s">
        <v>253</v>
      </c>
      <c r="BK2330" s="5" t="s">
        <v>254</v>
      </c>
      <c r="BY2330" s="5" t="s">
        <v>238</v>
      </c>
      <c r="BZ2330" s="5" t="s">
        <v>238</v>
      </c>
      <c r="CD2330" s="5" t="s">
        <v>273</v>
      </c>
      <c r="CE2330" s="5" t="s">
        <v>256</v>
      </c>
      <c r="CF2330" s="5" t="s">
        <v>238</v>
      </c>
      <c r="CI2330" s="6" t="s">
        <v>257</v>
      </c>
      <c r="CJ2330" s="5" t="s">
        <v>238</v>
      </c>
      <c r="CK2330" s="5" t="s">
        <v>258</v>
      </c>
      <c r="CL2330" s="5" t="s">
        <v>238</v>
      </c>
      <c r="CM2330" s="5" t="s">
        <v>238</v>
      </c>
      <c r="CN2330" s="5">
        <v>0</v>
      </c>
      <c r="CO2330" s="5" t="s">
        <v>259</v>
      </c>
      <c r="CP2330" s="5" t="s">
        <v>260</v>
      </c>
      <c r="CQ2330" s="5" t="s">
        <v>260</v>
      </c>
      <c r="CR2330" s="5" t="s">
        <v>261</v>
      </c>
      <c r="CU2330" s="8">
        <f>1</f>
        <v>1</v>
      </c>
      <c r="CV2330" s="8">
        <f>0</f>
        <v>0</v>
      </c>
      <c r="CX2330" s="8">
        <f>0</f>
        <v>0</v>
      </c>
      <c r="CY2330" s="8">
        <f>1</f>
        <v>1</v>
      </c>
      <c r="DA2330" s="5" t="s">
        <v>274</v>
      </c>
      <c r="DB2330" s="5" t="s">
        <v>238</v>
      </c>
      <c r="DD2330" s="5" t="s">
        <v>274</v>
      </c>
      <c r="DE2330" s="8">
        <f>2765</f>
        <v>2765</v>
      </c>
      <c r="DG2330" s="5" t="s">
        <v>238</v>
      </c>
      <c r="DH2330" s="5" t="s">
        <v>238</v>
      </c>
      <c r="DI2330" s="5" t="s">
        <v>238</v>
      </c>
      <c r="DJ2330" s="5" t="s">
        <v>238</v>
      </c>
      <c r="DN2330" s="5" t="s">
        <v>238</v>
      </c>
      <c r="DO2330" s="5" t="s">
        <v>238</v>
      </c>
      <c r="DP2330" s="5" t="s">
        <v>238</v>
      </c>
      <c r="DQ2330" s="5" t="s">
        <v>238</v>
      </c>
      <c r="DT2330" s="5" t="s">
        <v>275</v>
      </c>
      <c r="DU2330" s="5" t="s">
        <v>2948</v>
      </c>
      <c r="HM2330" s="5" t="s">
        <v>264</v>
      </c>
    </row>
    <row r="2331" spans="1:221" x14ac:dyDescent="0.4">
      <c r="A2331" s="5">
        <v>4035</v>
      </c>
      <c r="B2331" s="5">
        <v>1</v>
      </c>
      <c r="C2331" s="5">
        <v>1</v>
      </c>
      <c r="D2331" s="5" t="s">
        <v>269</v>
      </c>
      <c r="E2331" s="5" t="s">
        <v>271</v>
      </c>
      <c r="F2331" s="5" t="s">
        <v>248</v>
      </c>
      <c r="G2331" s="5" t="s">
        <v>266</v>
      </c>
      <c r="H2331" s="6" t="s">
        <v>4043</v>
      </c>
      <c r="I2331" s="7">
        <f>1781</f>
        <v>1781</v>
      </c>
      <c r="J2331" s="5" t="s">
        <v>262</v>
      </c>
      <c r="K2331" s="8">
        <f>1</f>
        <v>1</v>
      </c>
      <c r="L2331" s="6" t="s">
        <v>242</v>
      </c>
      <c r="M2331" s="5" t="s">
        <v>267</v>
      </c>
      <c r="N2331" s="5" t="s">
        <v>265</v>
      </c>
      <c r="O2331" s="5" t="s">
        <v>238</v>
      </c>
      <c r="P2331" s="5" t="s">
        <v>238</v>
      </c>
      <c r="Q2331" s="5" t="s">
        <v>268</v>
      </c>
      <c r="R2331" s="5" t="s">
        <v>270</v>
      </c>
      <c r="S2331" s="5" t="s">
        <v>238</v>
      </c>
      <c r="V2331" s="5" t="s">
        <v>238</v>
      </c>
      <c r="X2331" s="6" t="s">
        <v>238</v>
      </c>
      <c r="AA2331" s="6" t="s">
        <v>243</v>
      </c>
      <c r="AB2331" s="5" t="s">
        <v>238</v>
      </c>
      <c r="AC2331" s="5" t="s">
        <v>244</v>
      </c>
      <c r="AD2331" s="5" t="s">
        <v>245</v>
      </c>
      <c r="AT2331" s="5" t="s">
        <v>246</v>
      </c>
      <c r="AU2331" s="5" t="s">
        <v>238</v>
      </c>
      <c r="AV2331" s="5" t="s">
        <v>247</v>
      </c>
      <c r="AW2331" s="5" t="s">
        <v>238</v>
      </c>
      <c r="AX2331" s="5" t="s">
        <v>249</v>
      </c>
      <c r="AY2331" s="5" t="s">
        <v>238</v>
      </c>
      <c r="BA2331" s="5" t="s">
        <v>238</v>
      </c>
      <c r="BC2331" s="5" t="s">
        <v>250</v>
      </c>
      <c r="BD2331" s="6" t="s">
        <v>243</v>
      </c>
      <c r="BE2331" s="5" t="s">
        <v>251</v>
      </c>
      <c r="BF2331" s="5" t="s">
        <v>252</v>
      </c>
      <c r="BG2331" s="5" t="s">
        <v>238</v>
      </c>
      <c r="BH2331" s="7">
        <f>0</f>
        <v>0</v>
      </c>
      <c r="BI2331" s="8">
        <f>0</f>
        <v>0</v>
      </c>
      <c r="BJ2331" s="5" t="s">
        <v>253</v>
      </c>
      <c r="BK2331" s="5" t="s">
        <v>254</v>
      </c>
      <c r="BY2331" s="5" t="s">
        <v>238</v>
      </c>
      <c r="BZ2331" s="5" t="s">
        <v>238</v>
      </c>
      <c r="CD2331" s="5" t="s">
        <v>273</v>
      </c>
      <c r="CE2331" s="5" t="s">
        <v>256</v>
      </c>
      <c r="CF2331" s="5" t="s">
        <v>238</v>
      </c>
      <c r="CI2331" s="6" t="s">
        <v>257</v>
      </c>
      <c r="CJ2331" s="5" t="s">
        <v>238</v>
      </c>
      <c r="CK2331" s="5" t="s">
        <v>258</v>
      </c>
      <c r="CL2331" s="5" t="s">
        <v>238</v>
      </c>
      <c r="CM2331" s="5" t="s">
        <v>238</v>
      </c>
      <c r="CN2331" s="5">
        <v>0</v>
      </c>
      <c r="CO2331" s="5" t="s">
        <v>259</v>
      </c>
      <c r="CP2331" s="5" t="s">
        <v>260</v>
      </c>
      <c r="CQ2331" s="5" t="s">
        <v>260</v>
      </c>
      <c r="CR2331" s="5" t="s">
        <v>261</v>
      </c>
      <c r="CU2331" s="8">
        <f>1</f>
        <v>1</v>
      </c>
      <c r="CV2331" s="8">
        <f>0</f>
        <v>0</v>
      </c>
      <c r="CX2331" s="8">
        <f>0</f>
        <v>0</v>
      </c>
      <c r="CY2331" s="8">
        <f>1</f>
        <v>1</v>
      </c>
      <c r="DA2331" s="5" t="s">
        <v>274</v>
      </c>
      <c r="DB2331" s="5" t="s">
        <v>238</v>
      </c>
      <c r="DD2331" s="5" t="s">
        <v>274</v>
      </c>
      <c r="DE2331" s="8">
        <f>1781</f>
        <v>1781</v>
      </c>
      <c r="DG2331" s="5" t="s">
        <v>238</v>
      </c>
      <c r="DH2331" s="5" t="s">
        <v>238</v>
      </c>
      <c r="DI2331" s="5" t="s">
        <v>238</v>
      </c>
      <c r="DJ2331" s="5" t="s">
        <v>238</v>
      </c>
      <c r="DN2331" s="5" t="s">
        <v>238</v>
      </c>
      <c r="DO2331" s="5" t="s">
        <v>238</v>
      </c>
      <c r="DP2331" s="5" t="s">
        <v>238</v>
      </c>
      <c r="DQ2331" s="5" t="s">
        <v>238</v>
      </c>
      <c r="DT2331" s="5" t="s">
        <v>275</v>
      </c>
      <c r="DU2331" s="5" t="s">
        <v>2946</v>
      </c>
      <c r="HM2331" s="5" t="s">
        <v>264</v>
      </c>
    </row>
    <row r="2332" spans="1:221" x14ac:dyDescent="0.4">
      <c r="A2332" s="5">
        <v>4036</v>
      </c>
      <c r="B2332" s="5">
        <v>1</v>
      </c>
      <c r="C2332" s="5">
        <v>1</v>
      </c>
      <c r="D2332" s="5" t="s">
        <v>269</v>
      </c>
      <c r="E2332" s="5" t="s">
        <v>271</v>
      </c>
      <c r="F2332" s="5" t="s">
        <v>248</v>
      </c>
      <c r="G2332" s="5" t="s">
        <v>266</v>
      </c>
      <c r="H2332" s="6" t="s">
        <v>826</v>
      </c>
      <c r="I2332" s="7">
        <f>592</f>
        <v>592</v>
      </c>
      <c r="J2332" s="5" t="s">
        <v>262</v>
      </c>
      <c r="K2332" s="8">
        <f>1</f>
        <v>1</v>
      </c>
      <c r="L2332" s="6" t="s">
        <v>242</v>
      </c>
      <c r="M2332" s="5" t="s">
        <v>267</v>
      </c>
      <c r="N2332" s="5" t="s">
        <v>265</v>
      </c>
      <c r="O2332" s="5" t="s">
        <v>238</v>
      </c>
      <c r="P2332" s="5" t="s">
        <v>238</v>
      </c>
      <c r="Q2332" s="5" t="s">
        <v>268</v>
      </c>
      <c r="R2332" s="5" t="s">
        <v>270</v>
      </c>
      <c r="S2332" s="5" t="s">
        <v>238</v>
      </c>
      <c r="V2332" s="5" t="s">
        <v>238</v>
      </c>
      <c r="X2332" s="6" t="s">
        <v>238</v>
      </c>
      <c r="AA2332" s="6" t="s">
        <v>243</v>
      </c>
      <c r="AB2332" s="5" t="s">
        <v>238</v>
      </c>
      <c r="AC2332" s="5" t="s">
        <v>244</v>
      </c>
      <c r="AD2332" s="5" t="s">
        <v>245</v>
      </c>
      <c r="AT2332" s="5" t="s">
        <v>246</v>
      </c>
      <c r="AU2332" s="5" t="s">
        <v>238</v>
      </c>
      <c r="AV2332" s="5" t="s">
        <v>247</v>
      </c>
      <c r="AW2332" s="5" t="s">
        <v>238</v>
      </c>
      <c r="AX2332" s="5" t="s">
        <v>249</v>
      </c>
      <c r="AY2332" s="5" t="s">
        <v>238</v>
      </c>
      <c r="BA2332" s="5" t="s">
        <v>238</v>
      </c>
      <c r="BC2332" s="5" t="s">
        <v>250</v>
      </c>
      <c r="BD2332" s="6" t="s">
        <v>243</v>
      </c>
      <c r="BE2332" s="5" t="s">
        <v>251</v>
      </c>
      <c r="BF2332" s="5" t="s">
        <v>252</v>
      </c>
      <c r="BG2332" s="5" t="s">
        <v>238</v>
      </c>
      <c r="BH2332" s="7">
        <f>0</f>
        <v>0</v>
      </c>
      <c r="BI2332" s="8">
        <f>0</f>
        <v>0</v>
      </c>
      <c r="BJ2332" s="5" t="s">
        <v>253</v>
      </c>
      <c r="BK2332" s="5" t="s">
        <v>254</v>
      </c>
      <c r="BY2332" s="5" t="s">
        <v>238</v>
      </c>
      <c r="BZ2332" s="5" t="s">
        <v>238</v>
      </c>
      <c r="CD2332" s="5" t="s">
        <v>273</v>
      </c>
      <c r="CE2332" s="5" t="s">
        <v>256</v>
      </c>
      <c r="CF2332" s="5" t="s">
        <v>238</v>
      </c>
      <c r="CI2332" s="6" t="s">
        <v>257</v>
      </c>
      <c r="CJ2332" s="5" t="s">
        <v>238</v>
      </c>
      <c r="CK2332" s="5" t="s">
        <v>258</v>
      </c>
      <c r="CL2332" s="5" t="s">
        <v>238</v>
      </c>
      <c r="CM2332" s="5" t="s">
        <v>238</v>
      </c>
      <c r="CN2332" s="5">
        <v>0</v>
      </c>
      <c r="CO2332" s="5" t="s">
        <v>259</v>
      </c>
      <c r="CP2332" s="5" t="s">
        <v>260</v>
      </c>
      <c r="CQ2332" s="5" t="s">
        <v>260</v>
      </c>
      <c r="CR2332" s="5" t="s">
        <v>261</v>
      </c>
      <c r="CU2332" s="8">
        <f>1</f>
        <v>1</v>
      </c>
      <c r="CV2332" s="8">
        <f>0</f>
        <v>0</v>
      </c>
      <c r="CX2332" s="8">
        <f>0</f>
        <v>0</v>
      </c>
      <c r="CY2332" s="8">
        <f>1</f>
        <v>1</v>
      </c>
      <c r="DA2332" s="5" t="s">
        <v>274</v>
      </c>
      <c r="DB2332" s="5" t="s">
        <v>238</v>
      </c>
      <c r="DD2332" s="5" t="s">
        <v>274</v>
      </c>
      <c r="DE2332" s="8">
        <f>592</f>
        <v>592</v>
      </c>
      <c r="DG2332" s="5" t="s">
        <v>238</v>
      </c>
      <c r="DH2332" s="5" t="s">
        <v>238</v>
      </c>
      <c r="DI2332" s="5" t="s">
        <v>238</v>
      </c>
      <c r="DJ2332" s="5" t="s">
        <v>238</v>
      </c>
      <c r="DN2332" s="5" t="s">
        <v>238</v>
      </c>
      <c r="DO2332" s="5" t="s">
        <v>238</v>
      </c>
      <c r="DP2332" s="5" t="s">
        <v>238</v>
      </c>
      <c r="DQ2332" s="5" t="s">
        <v>238</v>
      </c>
      <c r="DT2332" s="5" t="s">
        <v>275</v>
      </c>
      <c r="DU2332" s="5" t="s">
        <v>827</v>
      </c>
      <c r="HM2332" s="5" t="s">
        <v>264</v>
      </c>
    </row>
    <row r="2333" spans="1:221" x14ac:dyDescent="0.4">
      <c r="A2333" s="5">
        <v>4037</v>
      </c>
      <c r="B2333" s="5">
        <v>1</v>
      </c>
      <c r="C2333" s="5">
        <v>1</v>
      </c>
      <c r="D2333" s="5" t="s">
        <v>269</v>
      </c>
      <c r="E2333" s="5" t="s">
        <v>271</v>
      </c>
      <c r="F2333" s="5" t="s">
        <v>248</v>
      </c>
      <c r="G2333" s="5" t="s">
        <v>266</v>
      </c>
      <c r="H2333" s="6" t="s">
        <v>682</v>
      </c>
      <c r="I2333" s="7">
        <f>155</f>
        <v>155</v>
      </c>
      <c r="J2333" s="5" t="s">
        <v>262</v>
      </c>
      <c r="K2333" s="8">
        <f>1</f>
        <v>1</v>
      </c>
      <c r="L2333" s="6" t="s">
        <v>242</v>
      </c>
      <c r="M2333" s="5" t="s">
        <v>267</v>
      </c>
      <c r="N2333" s="5" t="s">
        <v>265</v>
      </c>
      <c r="O2333" s="5" t="s">
        <v>238</v>
      </c>
      <c r="P2333" s="5" t="s">
        <v>238</v>
      </c>
      <c r="Q2333" s="5" t="s">
        <v>268</v>
      </c>
      <c r="R2333" s="5" t="s">
        <v>270</v>
      </c>
      <c r="S2333" s="5" t="s">
        <v>238</v>
      </c>
      <c r="V2333" s="5" t="s">
        <v>238</v>
      </c>
      <c r="X2333" s="6" t="s">
        <v>238</v>
      </c>
      <c r="AA2333" s="6" t="s">
        <v>243</v>
      </c>
      <c r="AB2333" s="5" t="s">
        <v>238</v>
      </c>
      <c r="AC2333" s="5" t="s">
        <v>244</v>
      </c>
      <c r="AD2333" s="5" t="s">
        <v>245</v>
      </c>
      <c r="AT2333" s="5" t="s">
        <v>246</v>
      </c>
      <c r="AU2333" s="5" t="s">
        <v>238</v>
      </c>
      <c r="AV2333" s="5" t="s">
        <v>247</v>
      </c>
      <c r="AW2333" s="5" t="s">
        <v>238</v>
      </c>
      <c r="AX2333" s="5" t="s">
        <v>249</v>
      </c>
      <c r="AY2333" s="5" t="s">
        <v>238</v>
      </c>
      <c r="BA2333" s="5" t="s">
        <v>238</v>
      </c>
      <c r="BC2333" s="5" t="s">
        <v>250</v>
      </c>
      <c r="BD2333" s="6" t="s">
        <v>243</v>
      </c>
      <c r="BE2333" s="5" t="s">
        <v>251</v>
      </c>
      <c r="BF2333" s="5" t="s">
        <v>252</v>
      </c>
      <c r="BG2333" s="5" t="s">
        <v>238</v>
      </c>
      <c r="BH2333" s="7">
        <f>0</f>
        <v>0</v>
      </c>
      <c r="BI2333" s="8">
        <f>0</f>
        <v>0</v>
      </c>
      <c r="BJ2333" s="5" t="s">
        <v>253</v>
      </c>
      <c r="BK2333" s="5" t="s">
        <v>254</v>
      </c>
      <c r="BY2333" s="5" t="s">
        <v>238</v>
      </c>
      <c r="BZ2333" s="5" t="s">
        <v>238</v>
      </c>
      <c r="CD2333" s="5" t="s">
        <v>273</v>
      </c>
      <c r="CE2333" s="5" t="s">
        <v>256</v>
      </c>
      <c r="CF2333" s="5" t="s">
        <v>238</v>
      </c>
      <c r="CI2333" s="6" t="s">
        <v>257</v>
      </c>
      <c r="CJ2333" s="5" t="s">
        <v>238</v>
      </c>
      <c r="CK2333" s="5" t="s">
        <v>258</v>
      </c>
      <c r="CL2333" s="5" t="s">
        <v>238</v>
      </c>
      <c r="CM2333" s="5" t="s">
        <v>238</v>
      </c>
      <c r="CN2333" s="5">
        <v>0</v>
      </c>
      <c r="CO2333" s="5" t="s">
        <v>259</v>
      </c>
      <c r="CP2333" s="5" t="s">
        <v>260</v>
      </c>
      <c r="CQ2333" s="5" t="s">
        <v>260</v>
      </c>
      <c r="CR2333" s="5" t="s">
        <v>261</v>
      </c>
      <c r="CU2333" s="8">
        <f>1</f>
        <v>1</v>
      </c>
      <c r="CV2333" s="8">
        <f>0</f>
        <v>0</v>
      </c>
      <c r="CX2333" s="8">
        <f>0</f>
        <v>0</v>
      </c>
      <c r="CY2333" s="8">
        <f>1</f>
        <v>1</v>
      </c>
      <c r="DA2333" s="5" t="s">
        <v>274</v>
      </c>
      <c r="DB2333" s="5" t="s">
        <v>238</v>
      </c>
      <c r="DD2333" s="5" t="s">
        <v>274</v>
      </c>
      <c r="DE2333" s="8">
        <f>155</f>
        <v>155</v>
      </c>
      <c r="DG2333" s="5" t="s">
        <v>238</v>
      </c>
      <c r="DH2333" s="5" t="s">
        <v>238</v>
      </c>
      <c r="DI2333" s="5" t="s">
        <v>238</v>
      </c>
      <c r="DJ2333" s="5" t="s">
        <v>238</v>
      </c>
      <c r="DN2333" s="5" t="s">
        <v>238</v>
      </c>
      <c r="DO2333" s="5" t="s">
        <v>238</v>
      </c>
      <c r="DP2333" s="5" t="s">
        <v>238</v>
      </c>
      <c r="DQ2333" s="5" t="s">
        <v>238</v>
      </c>
      <c r="DT2333" s="5" t="s">
        <v>275</v>
      </c>
      <c r="DU2333" s="5" t="s">
        <v>683</v>
      </c>
      <c r="HM2333" s="5" t="s">
        <v>264</v>
      </c>
    </row>
    <row r="2334" spans="1:221" x14ac:dyDescent="0.4">
      <c r="A2334" s="5">
        <v>4038</v>
      </c>
      <c r="B2334" s="5">
        <v>1</v>
      </c>
      <c r="C2334" s="5">
        <v>1</v>
      </c>
      <c r="D2334" s="5" t="s">
        <v>269</v>
      </c>
      <c r="E2334" s="5" t="s">
        <v>271</v>
      </c>
      <c r="F2334" s="5" t="s">
        <v>248</v>
      </c>
      <c r="G2334" s="5" t="s">
        <v>266</v>
      </c>
      <c r="H2334" s="6" t="s">
        <v>1577</v>
      </c>
      <c r="I2334" s="7">
        <f>385</f>
        <v>385</v>
      </c>
      <c r="J2334" s="5" t="s">
        <v>262</v>
      </c>
      <c r="K2334" s="8">
        <f>1</f>
        <v>1</v>
      </c>
      <c r="L2334" s="6" t="s">
        <v>242</v>
      </c>
      <c r="M2334" s="5" t="s">
        <v>267</v>
      </c>
      <c r="N2334" s="5" t="s">
        <v>265</v>
      </c>
      <c r="O2334" s="5" t="s">
        <v>238</v>
      </c>
      <c r="P2334" s="5" t="s">
        <v>238</v>
      </c>
      <c r="Q2334" s="5" t="s">
        <v>268</v>
      </c>
      <c r="R2334" s="5" t="s">
        <v>270</v>
      </c>
      <c r="S2334" s="5" t="s">
        <v>238</v>
      </c>
      <c r="V2334" s="5" t="s">
        <v>238</v>
      </c>
      <c r="X2334" s="6" t="s">
        <v>238</v>
      </c>
      <c r="AA2334" s="6" t="s">
        <v>243</v>
      </c>
      <c r="AB2334" s="5" t="s">
        <v>238</v>
      </c>
      <c r="AC2334" s="5" t="s">
        <v>244</v>
      </c>
      <c r="AD2334" s="5" t="s">
        <v>245</v>
      </c>
      <c r="AT2334" s="5" t="s">
        <v>246</v>
      </c>
      <c r="AU2334" s="5" t="s">
        <v>238</v>
      </c>
      <c r="AV2334" s="5" t="s">
        <v>247</v>
      </c>
      <c r="AW2334" s="5" t="s">
        <v>238</v>
      </c>
      <c r="AX2334" s="5" t="s">
        <v>249</v>
      </c>
      <c r="AY2334" s="5" t="s">
        <v>238</v>
      </c>
      <c r="BA2334" s="5" t="s">
        <v>238</v>
      </c>
      <c r="BC2334" s="5" t="s">
        <v>250</v>
      </c>
      <c r="BD2334" s="6" t="s">
        <v>243</v>
      </c>
      <c r="BE2334" s="5" t="s">
        <v>251</v>
      </c>
      <c r="BF2334" s="5" t="s">
        <v>252</v>
      </c>
      <c r="BG2334" s="5" t="s">
        <v>238</v>
      </c>
      <c r="BH2334" s="7">
        <f>0</f>
        <v>0</v>
      </c>
      <c r="BI2334" s="8">
        <f>0</f>
        <v>0</v>
      </c>
      <c r="BJ2334" s="5" t="s">
        <v>253</v>
      </c>
      <c r="BK2334" s="5" t="s">
        <v>254</v>
      </c>
      <c r="BY2334" s="5" t="s">
        <v>238</v>
      </c>
      <c r="BZ2334" s="5" t="s">
        <v>238</v>
      </c>
      <c r="CD2334" s="5" t="s">
        <v>273</v>
      </c>
      <c r="CE2334" s="5" t="s">
        <v>256</v>
      </c>
      <c r="CF2334" s="5" t="s">
        <v>238</v>
      </c>
      <c r="CI2334" s="6" t="s">
        <v>257</v>
      </c>
      <c r="CJ2334" s="5" t="s">
        <v>238</v>
      </c>
      <c r="CK2334" s="5" t="s">
        <v>258</v>
      </c>
      <c r="CL2334" s="5" t="s">
        <v>238</v>
      </c>
      <c r="CM2334" s="5" t="s">
        <v>238</v>
      </c>
      <c r="CN2334" s="5">
        <v>0</v>
      </c>
      <c r="CO2334" s="5" t="s">
        <v>259</v>
      </c>
      <c r="CP2334" s="5" t="s">
        <v>260</v>
      </c>
      <c r="CQ2334" s="5" t="s">
        <v>260</v>
      </c>
      <c r="CR2334" s="5" t="s">
        <v>261</v>
      </c>
      <c r="CU2334" s="8">
        <f>1</f>
        <v>1</v>
      </c>
      <c r="CV2334" s="8">
        <f>0</f>
        <v>0</v>
      </c>
      <c r="CX2334" s="8">
        <f>0</f>
        <v>0</v>
      </c>
      <c r="CY2334" s="8">
        <f>1</f>
        <v>1</v>
      </c>
      <c r="DA2334" s="5" t="s">
        <v>274</v>
      </c>
      <c r="DB2334" s="5" t="s">
        <v>238</v>
      </c>
      <c r="DD2334" s="5" t="s">
        <v>274</v>
      </c>
      <c r="DE2334" s="8">
        <f>385</f>
        <v>385</v>
      </c>
      <c r="DG2334" s="5" t="s">
        <v>238</v>
      </c>
      <c r="DH2334" s="5" t="s">
        <v>238</v>
      </c>
      <c r="DI2334" s="5" t="s">
        <v>238</v>
      </c>
      <c r="DJ2334" s="5" t="s">
        <v>238</v>
      </c>
      <c r="DN2334" s="5" t="s">
        <v>238</v>
      </c>
      <c r="DO2334" s="5" t="s">
        <v>238</v>
      </c>
      <c r="DP2334" s="5" t="s">
        <v>238</v>
      </c>
      <c r="DQ2334" s="5" t="s">
        <v>238</v>
      </c>
      <c r="DT2334" s="5" t="s">
        <v>275</v>
      </c>
      <c r="DU2334" s="5" t="s">
        <v>1578</v>
      </c>
      <c r="HM2334" s="5" t="s">
        <v>264</v>
      </c>
    </row>
    <row r="2335" spans="1:221" x14ac:dyDescent="0.4">
      <c r="A2335" s="5">
        <v>4039</v>
      </c>
      <c r="B2335" s="5">
        <v>1</v>
      </c>
      <c r="C2335" s="5">
        <v>1</v>
      </c>
      <c r="D2335" s="5" t="s">
        <v>269</v>
      </c>
      <c r="E2335" s="5" t="s">
        <v>271</v>
      </c>
      <c r="F2335" s="5" t="s">
        <v>248</v>
      </c>
      <c r="G2335" s="5" t="s">
        <v>266</v>
      </c>
      <c r="H2335" s="6" t="s">
        <v>1729</v>
      </c>
      <c r="I2335" s="7">
        <f>1725</f>
        <v>1725</v>
      </c>
      <c r="J2335" s="5" t="s">
        <v>262</v>
      </c>
      <c r="K2335" s="8">
        <f>1</f>
        <v>1</v>
      </c>
      <c r="L2335" s="6" t="s">
        <v>242</v>
      </c>
      <c r="M2335" s="5" t="s">
        <v>267</v>
      </c>
      <c r="N2335" s="5" t="s">
        <v>265</v>
      </c>
      <c r="O2335" s="5" t="s">
        <v>238</v>
      </c>
      <c r="P2335" s="5" t="s">
        <v>238</v>
      </c>
      <c r="Q2335" s="5" t="s">
        <v>268</v>
      </c>
      <c r="R2335" s="5" t="s">
        <v>270</v>
      </c>
      <c r="S2335" s="5" t="s">
        <v>238</v>
      </c>
      <c r="V2335" s="5" t="s">
        <v>238</v>
      </c>
      <c r="X2335" s="6" t="s">
        <v>238</v>
      </c>
      <c r="AA2335" s="6" t="s">
        <v>243</v>
      </c>
      <c r="AB2335" s="5" t="s">
        <v>238</v>
      </c>
      <c r="AC2335" s="5" t="s">
        <v>244</v>
      </c>
      <c r="AD2335" s="5" t="s">
        <v>245</v>
      </c>
      <c r="AT2335" s="5" t="s">
        <v>246</v>
      </c>
      <c r="AU2335" s="5" t="s">
        <v>238</v>
      </c>
      <c r="AV2335" s="5" t="s">
        <v>247</v>
      </c>
      <c r="AW2335" s="5" t="s">
        <v>238</v>
      </c>
      <c r="AX2335" s="5" t="s">
        <v>249</v>
      </c>
      <c r="AY2335" s="5" t="s">
        <v>238</v>
      </c>
      <c r="BA2335" s="5" t="s">
        <v>238</v>
      </c>
      <c r="BC2335" s="5" t="s">
        <v>250</v>
      </c>
      <c r="BD2335" s="6" t="s">
        <v>243</v>
      </c>
      <c r="BE2335" s="5" t="s">
        <v>251</v>
      </c>
      <c r="BF2335" s="5" t="s">
        <v>252</v>
      </c>
      <c r="BG2335" s="5" t="s">
        <v>238</v>
      </c>
      <c r="BH2335" s="7">
        <f>0</f>
        <v>0</v>
      </c>
      <c r="BI2335" s="8">
        <f>0</f>
        <v>0</v>
      </c>
      <c r="BJ2335" s="5" t="s">
        <v>253</v>
      </c>
      <c r="BK2335" s="5" t="s">
        <v>254</v>
      </c>
      <c r="BY2335" s="5" t="s">
        <v>238</v>
      </c>
      <c r="BZ2335" s="5" t="s">
        <v>238</v>
      </c>
      <c r="CD2335" s="5" t="s">
        <v>273</v>
      </c>
      <c r="CE2335" s="5" t="s">
        <v>256</v>
      </c>
      <c r="CF2335" s="5" t="s">
        <v>238</v>
      </c>
      <c r="CI2335" s="6" t="s">
        <v>257</v>
      </c>
      <c r="CJ2335" s="5" t="s">
        <v>238</v>
      </c>
      <c r="CK2335" s="5" t="s">
        <v>258</v>
      </c>
      <c r="CL2335" s="5" t="s">
        <v>238</v>
      </c>
      <c r="CM2335" s="5" t="s">
        <v>238</v>
      </c>
      <c r="CN2335" s="5">
        <v>0</v>
      </c>
      <c r="CO2335" s="5" t="s">
        <v>259</v>
      </c>
      <c r="CP2335" s="5" t="s">
        <v>260</v>
      </c>
      <c r="CQ2335" s="5" t="s">
        <v>260</v>
      </c>
      <c r="CR2335" s="5" t="s">
        <v>261</v>
      </c>
      <c r="CU2335" s="8">
        <f>1</f>
        <v>1</v>
      </c>
      <c r="CV2335" s="8">
        <f>0</f>
        <v>0</v>
      </c>
      <c r="CX2335" s="8">
        <f>0</f>
        <v>0</v>
      </c>
      <c r="CY2335" s="8">
        <f>1</f>
        <v>1</v>
      </c>
      <c r="DA2335" s="5" t="s">
        <v>274</v>
      </c>
      <c r="DB2335" s="5" t="s">
        <v>238</v>
      </c>
      <c r="DD2335" s="5" t="s">
        <v>274</v>
      </c>
      <c r="DE2335" s="8">
        <f>1725</f>
        <v>1725</v>
      </c>
      <c r="DG2335" s="5" t="s">
        <v>238</v>
      </c>
      <c r="DH2335" s="5" t="s">
        <v>238</v>
      </c>
      <c r="DI2335" s="5" t="s">
        <v>238</v>
      </c>
      <c r="DJ2335" s="5" t="s">
        <v>238</v>
      </c>
      <c r="DN2335" s="5" t="s">
        <v>238</v>
      </c>
      <c r="DO2335" s="5" t="s">
        <v>238</v>
      </c>
      <c r="DP2335" s="5" t="s">
        <v>238</v>
      </c>
      <c r="DQ2335" s="5" t="s">
        <v>238</v>
      </c>
      <c r="DT2335" s="5" t="s">
        <v>275</v>
      </c>
      <c r="DU2335" s="5" t="s">
        <v>1730</v>
      </c>
      <c r="HM2335" s="5" t="s">
        <v>264</v>
      </c>
    </row>
    <row r="2336" spans="1:221" x14ac:dyDescent="0.4">
      <c r="A2336" s="5">
        <v>4040</v>
      </c>
      <c r="B2336" s="5">
        <v>1</v>
      </c>
      <c r="C2336" s="5">
        <v>1</v>
      </c>
      <c r="D2336" s="5" t="s">
        <v>269</v>
      </c>
      <c r="E2336" s="5" t="s">
        <v>271</v>
      </c>
      <c r="F2336" s="5" t="s">
        <v>248</v>
      </c>
      <c r="G2336" s="5" t="s">
        <v>266</v>
      </c>
      <c r="H2336" s="6" t="s">
        <v>1885</v>
      </c>
      <c r="I2336" s="7">
        <f>640</f>
        <v>640</v>
      </c>
      <c r="J2336" s="5" t="s">
        <v>262</v>
      </c>
      <c r="K2336" s="8">
        <f>1</f>
        <v>1</v>
      </c>
      <c r="L2336" s="6" t="s">
        <v>242</v>
      </c>
      <c r="M2336" s="5" t="s">
        <v>267</v>
      </c>
      <c r="N2336" s="5" t="s">
        <v>265</v>
      </c>
      <c r="O2336" s="5" t="s">
        <v>238</v>
      </c>
      <c r="P2336" s="5" t="s">
        <v>238</v>
      </c>
      <c r="Q2336" s="5" t="s">
        <v>268</v>
      </c>
      <c r="R2336" s="5" t="s">
        <v>270</v>
      </c>
      <c r="S2336" s="5" t="s">
        <v>238</v>
      </c>
      <c r="V2336" s="5" t="s">
        <v>238</v>
      </c>
      <c r="X2336" s="6" t="s">
        <v>238</v>
      </c>
      <c r="AA2336" s="6" t="s">
        <v>243</v>
      </c>
      <c r="AB2336" s="5" t="s">
        <v>238</v>
      </c>
      <c r="AC2336" s="5" t="s">
        <v>244</v>
      </c>
      <c r="AD2336" s="5" t="s">
        <v>245</v>
      </c>
      <c r="AT2336" s="5" t="s">
        <v>246</v>
      </c>
      <c r="AU2336" s="5" t="s">
        <v>238</v>
      </c>
      <c r="AV2336" s="5" t="s">
        <v>247</v>
      </c>
      <c r="AW2336" s="5" t="s">
        <v>238</v>
      </c>
      <c r="AX2336" s="5" t="s">
        <v>249</v>
      </c>
      <c r="AY2336" s="5" t="s">
        <v>238</v>
      </c>
      <c r="BA2336" s="5" t="s">
        <v>238</v>
      </c>
      <c r="BC2336" s="5" t="s">
        <v>250</v>
      </c>
      <c r="BD2336" s="6" t="s">
        <v>243</v>
      </c>
      <c r="BE2336" s="5" t="s">
        <v>251</v>
      </c>
      <c r="BF2336" s="5" t="s">
        <v>252</v>
      </c>
      <c r="BG2336" s="5" t="s">
        <v>238</v>
      </c>
      <c r="BH2336" s="7">
        <f>0</f>
        <v>0</v>
      </c>
      <c r="BI2336" s="8">
        <f>0</f>
        <v>0</v>
      </c>
      <c r="BJ2336" s="5" t="s">
        <v>253</v>
      </c>
      <c r="BK2336" s="5" t="s">
        <v>254</v>
      </c>
      <c r="BY2336" s="5" t="s">
        <v>238</v>
      </c>
      <c r="BZ2336" s="5" t="s">
        <v>238</v>
      </c>
      <c r="CD2336" s="5" t="s">
        <v>273</v>
      </c>
      <c r="CE2336" s="5" t="s">
        <v>256</v>
      </c>
      <c r="CF2336" s="5" t="s">
        <v>238</v>
      </c>
      <c r="CI2336" s="6" t="s">
        <v>257</v>
      </c>
      <c r="CJ2336" s="5" t="s">
        <v>238</v>
      </c>
      <c r="CK2336" s="5" t="s">
        <v>258</v>
      </c>
      <c r="CL2336" s="5" t="s">
        <v>238</v>
      </c>
      <c r="CM2336" s="5" t="s">
        <v>238</v>
      </c>
      <c r="CN2336" s="5">
        <v>0</v>
      </c>
      <c r="CO2336" s="5" t="s">
        <v>259</v>
      </c>
      <c r="CP2336" s="5" t="s">
        <v>260</v>
      </c>
      <c r="CQ2336" s="5" t="s">
        <v>260</v>
      </c>
      <c r="CR2336" s="5" t="s">
        <v>261</v>
      </c>
      <c r="CU2336" s="8">
        <f>1</f>
        <v>1</v>
      </c>
      <c r="CV2336" s="8">
        <f>0</f>
        <v>0</v>
      </c>
      <c r="CX2336" s="8">
        <f>0</f>
        <v>0</v>
      </c>
      <c r="CY2336" s="8">
        <f>1</f>
        <v>1</v>
      </c>
      <c r="DA2336" s="5" t="s">
        <v>274</v>
      </c>
      <c r="DB2336" s="5" t="s">
        <v>238</v>
      </c>
      <c r="DD2336" s="5" t="s">
        <v>274</v>
      </c>
      <c r="DE2336" s="8">
        <f>640</f>
        <v>640</v>
      </c>
      <c r="DG2336" s="5" t="s">
        <v>238</v>
      </c>
      <c r="DH2336" s="5" t="s">
        <v>238</v>
      </c>
      <c r="DI2336" s="5" t="s">
        <v>238</v>
      </c>
      <c r="DJ2336" s="5" t="s">
        <v>238</v>
      </c>
      <c r="DN2336" s="5" t="s">
        <v>238</v>
      </c>
      <c r="DO2336" s="5" t="s">
        <v>238</v>
      </c>
      <c r="DP2336" s="5" t="s">
        <v>238</v>
      </c>
      <c r="DQ2336" s="5" t="s">
        <v>238</v>
      </c>
      <c r="DT2336" s="5" t="s">
        <v>275</v>
      </c>
      <c r="DU2336" s="5" t="s">
        <v>1886</v>
      </c>
      <c r="HM2336" s="5" t="s">
        <v>264</v>
      </c>
    </row>
    <row r="2337" spans="1:221" x14ac:dyDescent="0.4">
      <c r="A2337" s="5">
        <v>4041</v>
      </c>
      <c r="B2337" s="5">
        <v>1</v>
      </c>
      <c r="C2337" s="5">
        <v>1</v>
      </c>
      <c r="D2337" s="5" t="s">
        <v>269</v>
      </c>
      <c r="E2337" s="5" t="s">
        <v>271</v>
      </c>
      <c r="F2337" s="5" t="s">
        <v>248</v>
      </c>
      <c r="G2337" s="5" t="s">
        <v>266</v>
      </c>
      <c r="H2337" s="6" t="s">
        <v>4327</v>
      </c>
      <c r="I2337" s="7">
        <f>743</f>
        <v>743</v>
      </c>
      <c r="J2337" s="5" t="s">
        <v>262</v>
      </c>
      <c r="K2337" s="8">
        <f>1</f>
        <v>1</v>
      </c>
      <c r="L2337" s="6" t="s">
        <v>242</v>
      </c>
      <c r="M2337" s="5" t="s">
        <v>267</v>
      </c>
      <c r="N2337" s="5" t="s">
        <v>265</v>
      </c>
      <c r="O2337" s="5" t="s">
        <v>238</v>
      </c>
      <c r="P2337" s="5" t="s">
        <v>238</v>
      </c>
      <c r="Q2337" s="5" t="s">
        <v>268</v>
      </c>
      <c r="R2337" s="5" t="s">
        <v>270</v>
      </c>
      <c r="S2337" s="5" t="s">
        <v>238</v>
      </c>
      <c r="V2337" s="5" t="s">
        <v>238</v>
      </c>
      <c r="X2337" s="6" t="s">
        <v>238</v>
      </c>
      <c r="AA2337" s="6" t="s">
        <v>243</v>
      </c>
      <c r="AB2337" s="5" t="s">
        <v>238</v>
      </c>
      <c r="AC2337" s="5" t="s">
        <v>244</v>
      </c>
      <c r="AD2337" s="5" t="s">
        <v>245</v>
      </c>
      <c r="AT2337" s="5" t="s">
        <v>246</v>
      </c>
      <c r="AU2337" s="5" t="s">
        <v>238</v>
      </c>
      <c r="AV2337" s="5" t="s">
        <v>247</v>
      </c>
      <c r="AW2337" s="5" t="s">
        <v>238</v>
      </c>
      <c r="AX2337" s="5" t="s">
        <v>249</v>
      </c>
      <c r="AY2337" s="5" t="s">
        <v>238</v>
      </c>
      <c r="BA2337" s="5" t="s">
        <v>238</v>
      </c>
      <c r="BC2337" s="5" t="s">
        <v>250</v>
      </c>
      <c r="BD2337" s="6" t="s">
        <v>243</v>
      </c>
      <c r="BE2337" s="5" t="s">
        <v>251</v>
      </c>
      <c r="BF2337" s="5" t="s">
        <v>252</v>
      </c>
      <c r="BG2337" s="5" t="s">
        <v>238</v>
      </c>
      <c r="BH2337" s="7">
        <f>0</f>
        <v>0</v>
      </c>
      <c r="BI2337" s="8">
        <f>0</f>
        <v>0</v>
      </c>
      <c r="BJ2337" s="5" t="s">
        <v>253</v>
      </c>
      <c r="BK2337" s="5" t="s">
        <v>254</v>
      </c>
      <c r="BY2337" s="5" t="s">
        <v>238</v>
      </c>
      <c r="BZ2337" s="5" t="s">
        <v>238</v>
      </c>
      <c r="CD2337" s="5" t="s">
        <v>273</v>
      </c>
      <c r="CE2337" s="5" t="s">
        <v>256</v>
      </c>
      <c r="CF2337" s="5" t="s">
        <v>238</v>
      </c>
      <c r="CI2337" s="6" t="s">
        <v>257</v>
      </c>
      <c r="CJ2337" s="5" t="s">
        <v>238</v>
      </c>
      <c r="CK2337" s="5" t="s">
        <v>258</v>
      </c>
      <c r="CL2337" s="5" t="s">
        <v>238</v>
      </c>
      <c r="CM2337" s="5" t="s">
        <v>238</v>
      </c>
      <c r="CN2337" s="5">
        <v>0</v>
      </c>
      <c r="CO2337" s="5" t="s">
        <v>259</v>
      </c>
      <c r="CP2337" s="5" t="s">
        <v>260</v>
      </c>
      <c r="CQ2337" s="5" t="s">
        <v>260</v>
      </c>
      <c r="CR2337" s="5" t="s">
        <v>261</v>
      </c>
      <c r="CU2337" s="8">
        <f>1</f>
        <v>1</v>
      </c>
      <c r="CV2337" s="8">
        <f>0</f>
        <v>0</v>
      </c>
      <c r="CX2337" s="8">
        <f>0</f>
        <v>0</v>
      </c>
      <c r="CY2337" s="8">
        <f>1</f>
        <v>1</v>
      </c>
      <c r="DA2337" s="5" t="s">
        <v>274</v>
      </c>
      <c r="DB2337" s="5" t="s">
        <v>238</v>
      </c>
      <c r="DD2337" s="5" t="s">
        <v>274</v>
      </c>
      <c r="DE2337" s="8">
        <f>743</f>
        <v>743</v>
      </c>
      <c r="DG2337" s="5" t="s">
        <v>238</v>
      </c>
      <c r="DH2337" s="5" t="s">
        <v>238</v>
      </c>
      <c r="DI2337" s="5" t="s">
        <v>238</v>
      </c>
      <c r="DJ2337" s="5" t="s">
        <v>238</v>
      </c>
      <c r="DN2337" s="5" t="s">
        <v>238</v>
      </c>
      <c r="DO2337" s="5" t="s">
        <v>238</v>
      </c>
      <c r="DP2337" s="5" t="s">
        <v>238</v>
      </c>
      <c r="DQ2337" s="5" t="s">
        <v>238</v>
      </c>
      <c r="DT2337" s="5" t="s">
        <v>275</v>
      </c>
      <c r="DU2337" s="5" t="s">
        <v>2938</v>
      </c>
      <c r="HM2337" s="5" t="s">
        <v>264</v>
      </c>
    </row>
    <row r="2338" spans="1:221" x14ac:dyDescent="0.4">
      <c r="A2338" s="5">
        <v>4042</v>
      </c>
      <c r="B2338" s="5">
        <v>1</v>
      </c>
      <c r="C2338" s="5">
        <v>1</v>
      </c>
      <c r="D2338" s="5" t="s">
        <v>269</v>
      </c>
      <c r="E2338" s="5" t="s">
        <v>271</v>
      </c>
      <c r="F2338" s="5" t="s">
        <v>248</v>
      </c>
      <c r="G2338" s="5" t="s">
        <v>266</v>
      </c>
      <c r="H2338" s="6" t="s">
        <v>4008</v>
      </c>
      <c r="I2338" s="7">
        <f>3889</f>
        <v>3889</v>
      </c>
      <c r="J2338" s="5" t="s">
        <v>262</v>
      </c>
      <c r="K2338" s="8">
        <f>1</f>
        <v>1</v>
      </c>
      <c r="L2338" s="6" t="s">
        <v>242</v>
      </c>
      <c r="M2338" s="5" t="s">
        <v>267</v>
      </c>
      <c r="N2338" s="5" t="s">
        <v>265</v>
      </c>
      <c r="O2338" s="5" t="s">
        <v>238</v>
      </c>
      <c r="P2338" s="5" t="s">
        <v>238</v>
      </c>
      <c r="Q2338" s="5" t="s">
        <v>268</v>
      </c>
      <c r="R2338" s="5" t="s">
        <v>270</v>
      </c>
      <c r="S2338" s="5" t="s">
        <v>238</v>
      </c>
      <c r="V2338" s="5" t="s">
        <v>238</v>
      </c>
      <c r="X2338" s="6" t="s">
        <v>238</v>
      </c>
      <c r="AA2338" s="6" t="s">
        <v>243</v>
      </c>
      <c r="AB2338" s="5" t="s">
        <v>238</v>
      </c>
      <c r="AC2338" s="5" t="s">
        <v>244</v>
      </c>
      <c r="AD2338" s="5" t="s">
        <v>245</v>
      </c>
      <c r="AT2338" s="5" t="s">
        <v>246</v>
      </c>
      <c r="AU2338" s="5" t="s">
        <v>238</v>
      </c>
      <c r="AV2338" s="5" t="s">
        <v>247</v>
      </c>
      <c r="AW2338" s="5" t="s">
        <v>238</v>
      </c>
      <c r="AX2338" s="5" t="s">
        <v>249</v>
      </c>
      <c r="AY2338" s="5" t="s">
        <v>238</v>
      </c>
      <c r="BA2338" s="5" t="s">
        <v>238</v>
      </c>
      <c r="BC2338" s="5" t="s">
        <v>250</v>
      </c>
      <c r="BD2338" s="6" t="s">
        <v>243</v>
      </c>
      <c r="BE2338" s="5" t="s">
        <v>251</v>
      </c>
      <c r="BF2338" s="5" t="s">
        <v>252</v>
      </c>
      <c r="BG2338" s="5" t="s">
        <v>238</v>
      </c>
      <c r="BH2338" s="7">
        <f>0</f>
        <v>0</v>
      </c>
      <c r="BI2338" s="8">
        <f>0</f>
        <v>0</v>
      </c>
      <c r="BJ2338" s="5" t="s">
        <v>253</v>
      </c>
      <c r="BK2338" s="5" t="s">
        <v>254</v>
      </c>
      <c r="BY2338" s="5" t="s">
        <v>238</v>
      </c>
      <c r="BZ2338" s="5" t="s">
        <v>238</v>
      </c>
      <c r="CD2338" s="5" t="s">
        <v>273</v>
      </c>
      <c r="CE2338" s="5" t="s">
        <v>256</v>
      </c>
      <c r="CF2338" s="5" t="s">
        <v>238</v>
      </c>
      <c r="CI2338" s="6" t="s">
        <v>257</v>
      </c>
      <c r="CJ2338" s="5" t="s">
        <v>238</v>
      </c>
      <c r="CK2338" s="5" t="s">
        <v>258</v>
      </c>
      <c r="CL2338" s="5" t="s">
        <v>238</v>
      </c>
      <c r="CM2338" s="5" t="s">
        <v>238</v>
      </c>
      <c r="CN2338" s="5">
        <v>0</v>
      </c>
      <c r="CO2338" s="5" t="s">
        <v>259</v>
      </c>
      <c r="CP2338" s="5" t="s">
        <v>260</v>
      </c>
      <c r="CQ2338" s="5" t="s">
        <v>260</v>
      </c>
      <c r="CR2338" s="5" t="s">
        <v>261</v>
      </c>
      <c r="CU2338" s="8">
        <f>1</f>
        <v>1</v>
      </c>
      <c r="CV2338" s="8">
        <f>0</f>
        <v>0</v>
      </c>
      <c r="CX2338" s="8">
        <f>0</f>
        <v>0</v>
      </c>
      <c r="CY2338" s="8">
        <f>1</f>
        <v>1</v>
      </c>
      <c r="DA2338" s="5" t="s">
        <v>274</v>
      </c>
      <c r="DB2338" s="5" t="s">
        <v>238</v>
      </c>
      <c r="DD2338" s="5" t="s">
        <v>274</v>
      </c>
      <c r="DE2338" s="8">
        <f>3889</f>
        <v>3889</v>
      </c>
      <c r="DG2338" s="5" t="s">
        <v>238</v>
      </c>
      <c r="DH2338" s="5" t="s">
        <v>238</v>
      </c>
      <c r="DI2338" s="5" t="s">
        <v>238</v>
      </c>
      <c r="DJ2338" s="5" t="s">
        <v>238</v>
      </c>
      <c r="DN2338" s="5" t="s">
        <v>238</v>
      </c>
      <c r="DO2338" s="5" t="s">
        <v>238</v>
      </c>
      <c r="DP2338" s="5" t="s">
        <v>238</v>
      </c>
      <c r="DQ2338" s="5" t="s">
        <v>238</v>
      </c>
      <c r="DT2338" s="5" t="s">
        <v>275</v>
      </c>
      <c r="DU2338" s="5" t="s">
        <v>2934</v>
      </c>
      <c r="HM2338" s="5" t="s">
        <v>264</v>
      </c>
    </row>
    <row r="2339" spans="1:221" x14ac:dyDescent="0.4">
      <c r="A2339" s="5">
        <v>4043</v>
      </c>
      <c r="B2339" s="5">
        <v>1</v>
      </c>
      <c r="C2339" s="5">
        <v>1</v>
      </c>
      <c r="D2339" s="5" t="s">
        <v>269</v>
      </c>
      <c r="E2339" s="5" t="s">
        <v>271</v>
      </c>
      <c r="F2339" s="5" t="s">
        <v>248</v>
      </c>
      <c r="G2339" s="5" t="s">
        <v>266</v>
      </c>
      <c r="H2339" s="6" t="s">
        <v>3995</v>
      </c>
      <c r="I2339" s="7">
        <f>2525</f>
        <v>2525</v>
      </c>
      <c r="J2339" s="5" t="s">
        <v>262</v>
      </c>
      <c r="K2339" s="8">
        <f>1</f>
        <v>1</v>
      </c>
      <c r="L2339" s="6" t="s">
        <v>242</v>
      </c>
      <c r="M2339" s="5" t="s">
        <v>267</v>
      </c>
      <c r="N2339" s="5" t="s">
        <v>265</v>
      </c>
      <c r="O2339" s="5" t="s">
        <v>238</v>
      </c>
      <c r="P2339" s="5" t="s">
        <v>238</v>
      </c>
      <c r="Q2339" s="5" t="s">
        <v>268</v>
      </c>
      <c r="R2339" s="5" t="s">
        <v>270</v>
      </c>
      <c r="S2339" s="5" t="s">
        <v>238</v>
      </c>
      <c r="V2339" s="5" t="s">
        <v>238</v>
      </c>
      <c r="X2339" s="6" t="s">
        <v>238</v>
      </c>
      <c r="AA2339" s="6" t="s">
        <v>243</v>
      </c>
      <c r="AB2339" s="5" t="s">
        <v>238</v>
      </c>
      <c r="AC2339" s="5" t="s">
        <v>244</v>
      </c>
      <c r="AD2339" s="5" t="s">
        <v>245</v>
      </c>
      <c r="AT2339" s="5" t="s">
        <v>246</v>
      </c>
      <c r="AU2339" s="5" t="s">
        <v>238</v>
      </c>
      <c r="AV2339" s="5" t="s">
        <v>247</v>
      </c>
      <c r="AW2339" s="5" t="s">
        <v>238</v>
      </c>
      <c r="AX2339" s="5" t="s">
        <v>249</v>
      </c>
      <c r="AY2339" s="5" t="s">
        <v>238</v>
      </c>
      <c r="BA2339" s="5" t="s">
        <v>238</v>
      </c>
      <c r="BC2339" s="5" t="s">
        <v>250</v>
      </c>
      <c r="BD2339" s="6" t="s">
        <v>243</v>
      </c>
      <c r="BE2339" s="5" t="s">
        <v>251</v>
      </c>
      <c r="BF2339" s="5" t="s">
        <v>252</v>
      </c>
      <c r="BG2339" s="5" t="s">
        <v>238</v>
      </c>
      <c r="BH2339" s="7">
        <f>0</f>
        <v>0</v>
      </c>
      <c r="BI2339" s="8">
        <f>0</f>
        <v>0</v>
      </c>
      <c r="BJ2339" s="5" t="s">
        <v>253</v>
      </c>
      <c r="BK2339" s="5" t="s">
        <v>254</v>
      </c>
      <c r="BY2339" s="5" t="s">
        <v>238</v>
      </c>
      <c r="BZ2339" s="5" t="s">
        <v>238</v>
      </c>
      <c r="CD2339" s="5" t="s">
        <v>273</v>
      </c>
      <c r="CE2339" s="5" t="s">
        <v>256</v>
      </c>
      <c r="CF2339" s="5" t="s">
        <v>238</v>
      </c>
      <c r="CI2339" s="6" t="s">
        <v>257</v>
      </c>
      <c r="CJ2339" s="5" t="s">
        <v>238</v>
      </c>
      <c r="CK2339" s="5" t="s">
        <v>258</v>
      </c>
      <c r="CL2339" s="5" t="s">
        <v>238</v>
      </c>
      <c r="CM2339" s="5" t="s">
        <v>238</v>
      </c>
      <c r="CN2339" s="5">
        <v>0</v>
      </c>
      <c r="CO2339" s="5" t="s">
        <v>259</v>
      </c>
      <c r="CP2339" s="5" t="s">
        <v>260</v>
      </c>
      <c r="CQ2339" s="5" t="s">
        <v>260</v>
      </c>
      <c r="CR2339" s="5" t="s">
        <v>261</v>
      </c>
      <c r="CU2339" s="8">
        <f>1</f>
        <v>1</v>
      </c>
      <c r="CV2339" s="8">
        <f>0</f>
        <v>0</v>
      </c>
      <c r="CX2339" s="8">
        <f>0</f>
        <v>0</v>
      </c>
      <c r="CY2339" s="8">
        <f>1</f>
        <v>1</v>
      </c>
      <c r="DA2339" s="5" t="s">
        <v>274</v>
      </c>
      <c r="DB2339" s="5" t="s">
        <v>238</v>
      </c>
      <c r="DD2339" s="5" t="s">
        <v>274</v>
      </c>
      <c r="DE2339" s="8">
        <f>2525</f>
        <v>2525</v>
      </c>
      <c r="DG2339" s="5" t="s">
        <v>238</v>
      </c>
      <c r="DH2339" s="5" t="s">
        <v>238</v>
      </c>
      <c r="DI2339" s="5" t="s">
        <v>238</v>
      </c>
      <c r="DJ2339" s="5" t="s">
        <v>238</v>
      </c>
      <c r="DN2339" s="5" t="s">
        <v>238</v>
      </c>
      <c r="DO2339" s="5" t="s">
        <v>238</v>
      </c>
      <c r="DP2339" s="5" t="s">
        <v>238</v>
      </c>
      <c r="DQ2339" s="5" t="s">
        <v>238</v>
      </c>
      <c r="DT2339" s="5" t="s">
        <v>275</v>
      </c>
      <c r="DU2339" s="5" t="s">
        <v>2932</v>
      </c>
      <c r="HM2339" s="5" t="s">
        <v>264</v>
      </c>
    </row>
    <row r="2340" spans="1:221" x14ac:dyDescent="0.4">
      <c r="A2340" s="5">
        <v>4044</v>
      </c>
      <c r="B2340" s="5">
        <v>1</v>
      </c>
      <c r="C2340" s="5">
        <v>1</v>
      </c>
      <c r="D2340" s="5" t="s">
        <v>269</v>
      </c>
      <c r="E2340" s="5" t="s">
        <v>271</v>
      </c>
      <c r="F2340" s="5" t="s">
        <v>248</v>
      </c>
      <c r="G2340" s="5" t="s">
        <v>266</v>
      </c>
      <c r="H2340" s="6" t="s">
        <v>977</v>
      </c>
      <c r="I2340" s="7">
        <f>638</f>
        <v>638</v>
      </c>
      <c r="J2340" s="5" t="s">
        <v>262</v>
      </c>
      <c r="K2340" s="8">
        <f>1</f>
        <v>1</v>
      </c>
      <c r="L2340" s="6" t="s">
        <v>242</v>
      </c>
      <c r="M2340" s="5" t="s">
        <v>267</v>
      </c>
      <c r="N2340" s="5" t="s">
        <v>265</v>
      </c>
      <c r="O2340" s="5" t="s">
        <v>238</v>
      </c>
      <c r="P2340" s="5" t="s">
        <v>238</v>
      </c>
      <c r="Q2340" s="5" t="s">
        <v>268</v>
      </c>
      <c r="R2340" s="5" t="s">
        <v>270</v>
      </c>
      <c r="S2340" s="5" t="s">
        <v>238</v>
      </c>
      <c r="V2340" s="5" t="s">
        <v>238</v>
      </c>
      <c r="X2340" s="6" t="s">
        <v>238</v>
      </c>
      <c r="AA2340" s="6" t="s">
        <v>243</v>
      </c>
      <c r="AB2340" s="5" t="s">
        <v>238</v>
      </c>
      <c r="AC2340" s="5" t="s">
        <v>244</v>
      </c>
      <c r="AD2340" s="5" t="s">
        <v>245</v>
      </c>
      <c r="AT2340" s="5" t="s">
        <v>246</v>
      </c>
      <c r="AU2340" s="5" t="s">
        <v>238</v>
      </c>
      <c r="AV2340" s="5" t="s">
        <v>247</v>
      </c>
      <c r="AW2340" s="5" t="s">
        <v>238</v>
      </c>
      <c r="AX2340" s="5" t="s">
        <v>249</v>
      </c>
      <c r="AY2340" s="5" t="s">
        <v>238</v>
      </c>
      <c r="BA2340" s="5" t="s">
        <v>238</v>
      </c>
      <c r="BC2340" s="5" t="s">
        <v>250</v>
      </c>
      <c r="BD2340" s="6" t="s">
        <v>243</v>
      </c>
      <c r="BE2340" s="5" t="s">
        <v>251</v>
      </c>
      <c r="BF2340" s="5" t="s">
        <v>252</v>
      </c>
      <c r="BG2340" s="5" t="s">
        <v>238</v>
      </c>
      <c r="BH2340" s="7">
        <f>0</f>
        <v>0</v>
      </c>
      <c r="BI2340" s="8">
        <f>0</f>
        <v>0</v>
      </c>
      <c r="BJ2340" s="5" t="s">
        <v>253</v>
      </c>
      <c r="BK2340" s="5" t="s">
        <v>254</v>
      </c>
      <c r="BY2340" s="5" t="s">
        <v>238</v>
      </c>
      <c r="BZ2340" s="5" t="s">
        <v>238</v>
      </c>
      <c r="CD2340" s="5" t="s">
        <v>273</v>
      </c>
      <c r="CE2340" s="5" t="s">
        <v>256</v>
      </c>
      <c r="CF2340" s="5" t="s">
        <v>238</v>
      </c>
      <c r="CI2340" s="6" t="s">
        <v>257</v>
      </c>
      <c r="CJ2340" s="5" t="s">
        <v>238</v>
      </c>
      <c r="CK2340" s="5" t="s">
        <v>258</v>
      </c>
      <c r="CL2340" s="5" t="s">
        <v>238</v>
      </c>
      <c r="CM2340" s="5" t="s">
        <v>238</v>
      </c>
      <c r="CN2340" s="5">
        <v>0</v>
      </c>
      <c r="CO2340" s="5" t="s">
        <v>259</v>
      </c>
      <c r="CP2340" s="5" t="s">
        <v>260</v>
      </c>
      <c r="CQ2340" s="5" t="s">
        <v>260</v>
      </c>
      <c r="CR2340" s="5" t="s">
        <v>261</v>
      </c>
      <c r="CU2340" s="8">
        <f>1</f>
        <v>1</v>
      </c>
      <c r="CV2340" s="8">
        <f>0</f>
        <v>0</v>
      </c>
      <c r="CX2340" s="8">
        <f>0</f>
        <v>0</v>
      </c>
      <c r="CY2340" s="8">
        <f>1</f>
        <v>1</v>
      </c>
      <c r="DA2340" s="5" t="s">
        <v>274</v>
      </c>
      <c r="DB2340" s="5" t="s">
        <v>238</v>
      </c>
      <c r="DD2340" s="5" t="s">
        <v>274</v>
      </c>
      <c r="DE2340" s="8">
        <f>638</f>
        <v>638</v>
      </c>
      <c r="DG2340" s="5" t="s">
        <v>238</v>
      </c>
      <c r="DH2340" s="5" t="s">
        <v>238</v>
      </c>
      <c r="DI2340" s="5" t="s">
        <v>238</v>
      </c>
      <c r="DJ2340" s="5" t="s">
        <v>238</v>
      </c>
      <c r="DN2340" s="5" t="s">
        <v>238</v>
      </c>
      <c r="DO2340" s="5" t="s">
        <v>238</v>
      </c>
      <c r="DP2340" s="5" t="s">
        <v>238</v>
      </c>
      <c r="DQ2340" s="5" t="s">
        <v>238</v>
      </c>
      <c r="DT2340" s="5" t="s">
        <v>275</v>
      </c>
      <c r="DU2340" s="5" t="s">
        <v>978</v>
      </c>
      <c r="HM2340" s="5" t="s">
        <v>264</v>
      </c>
    </row>
    <row r="2341" spans="1:221" x14ac:dyDescent="0.4">
      <c r="A2341" s="5">
        <v>4045</v>
      </c>
      <c r="B2341" s="5">
        <v>1</v>
      </c>
      <c r="C2341" s="5">
        <v>1</v>
      </c>
      <c r="D2341" s="5" t="s">
        <v>269</v>
      </c>
      <c r="E2341" s="5" t="s">
        <v>271</v>
      </c>
      <c r="F2341" s="5" t="s">
        <v>248</v>
      </c>
      <c r="G2341" s="5" t="s">
        <v>266</v>
      </c>
      <c r="H2341" s="6" t="s">
        <v>907</v>
      </c>
      <c r="I2341" s="7">
        <f>211</f>
        <v>211</v>
      </c>
      <c r="J2341" s="5" t="s">
        <v>262</v>
      </c>
      <c r="K2341" s="8">
        <f>1</f>
        <v>1</v>
      </c>
      <c r="L2341" s="6" t="s">
        <v>242</v>
      </c>
      <c r="M2341" s="5" t="s">
        <v>267</v>
      </c>
      <c r="N2341" s="5" t="s">
        <v>265</v>
      </c>
      <c r="O2341" s="5" t="s">
        <v>238</v>
      </c>
      <c r="P2341" s="5" t="s">
        <v>238</v>
      </c>
      <c r="Q2341" s="5" t="s">
        <v>268</v>
      </c>
      <c r="R2341" s="5" t="s">
        <v>270</v>
      </c>
      <c r="S2341" s="5" t="s">
        <v>238</v>
      </c>
      <c r="V2341" s="5" t="s">
        <v>238</v>
      </c>
      <c r="X2341" s="6" t="s">
        <v>238</v>
      </c>
      <c r="AA2341" s="6" t="s">
        <v>243</v>
      </c>
      <c r="AB2341" s="5" t="s">
        <v>238</v>
      </c>
      <c r="AC2341" s="5" t="s">
        <v>244</v>
      </c>
      <c r="AD2341" s="5" t="s">
        <v>245</v>
      </c>
      <c r="AT2341" s="5" t="s">
        <v>246</v>
      </c>
      <c r="AU2341" s="5" t="s">
        <v>238</v>
      </c>
      <c r="AV2341" s="5" t="s">
        <v>247</v>
      </c>
      <c r="AW2341" s="5" t="s">
        <v>238</v>
      </c>
      <c r="AX2341" s="5" t="s">
        <v>249</v>
      </c>
      <c r="AY2341" s="5" t="s">
        <v>238</v>
      </c>
      <c r="BA2341" s="5" t="s">
        <v>238</v>
      </c>
      <c r="BC2341" s="5" t="s">
        <v>250</v>
      </c>
      <c r="BD2341" s="6" t="s">
        <v>243</v>
      </c>
      <c r="BE2341" s="5" t="s">
        <v>251</v>
      </c>
      <c r="BF2341" s="5" t="s">
        <v>252</v>
      </c>
      <c r="BG2341" s="5" t="s">
        <v>238</v>
      </c>
      <c r="BH2341" s="7">
        <f>0</f>
        <v>0</v>
      </c>
      <c r="BI2341" s="8">
        <f>0</f>
        <v>0</v>
      </c>
      <c r="BJ2341" s="5" t="s">
        <v>253</v>
      </c>
      <c r="BK2341" s="5" t="s">
        <v>254</v>
      </c>
      <c r="BY2341" s="5" t="s">
        <v>238</v>
      </c>
      <c r="BZ2341" s="5" t="s">
        <v>238</v>
      </c>
      <c r="CD2341" s="5" t="s">
        <v>273</v>
      </c>
      <c r="CE2341" s="5" t="s">
        <v>256</v>
      </c>
      <c r="CF2341" s="5" t="s">
        <v>238</v>
      </c>
      <c r="CI2341" s="6" t="s">
        <v>257</v>
      </c>
      <c r="CJ2341" s="5" t="s">
        <v>238</v>
      </c>
      <c r="CK2341" s="5" t="s">
        <v>258</v>
      </c>
      <c r="CL2341" s="5" t="s">
        <v>238</v>
      </c>
      <c r="CM2341" s="5" t="s">
        <v>238</v>
      </c>
      <c r="CN2341" s="5">
        <v>0</v>
      </c>
      <c r="CO2341" s="5" t="s">
        <v>259</v>
      </c>
      <c r="CP2341" s="5" t="s">
        <v>260</v>
      </c>
      <c r="CQ2341" s="5" t="s">
        <v>260</v>
      </c>
      <c r="CR2341" s="5" t="s">
        <v>261</v>
      </c>
      <c r="CU2341" s="8">
        <f>1</f>
        <v>1</v>
      </c>
      <c r="CV2341" s="8">
        <f>0</f>
        <v>0</v>
      </c>
      <c r="CX2341" s="8">
        <f>0</f>
        <v>0</v>
      </c>
      <c r="CY2341" s="8">
        <f>1</f>
        <v>1</v>
      </c>
      <c r="DA2341" s="5" t="s">
        <v>274</v>
      </c>
      <c r="DB2341" s="5" t="s">
        <v>238</v>
      </c>
      <c r="DD2341" s="5" t="s">
        <v>274</v>
      </c>
      <c r="DE2341" s="8">
        <f>211</f>
        <v>211</v>
      </c>
      <c r="DG2341" s="5" t="s">
        <v>238</v>
      </c>
      <c r="DH2341" s="5" t="s">
        <v>238</v>
      </c>
      <c r="DI2341" s="5" t="s">
        <v>238</v>
      </c>
      <c r="DJ2341" s="5" t="s">
        <v>238</v>
      </c>
      <c r="DN2341" s="5" t="s">
        <v>238</v>
      </c>
      <c r="DO2341" s="5" t="s">
        <v>238</v>
      </c>
      <c r="DP2341" s="5" t="s">
        <v>238</v>
      </c>
      <c r="DQ2341" s="5" t="s">
        <v>238</v>
      </c>
      <c r="DT2341" s="5" t="s">
        <v>275</v>
      </c>
      <c r="DU2341" s="5" t="s">
        <v>908</v>
      </c>
      <c r="HM2341" s="5" t="s">
        <v>264</v>
      </c>
    </row>
    <row r="2342" spans="1:221" x14ac:dyDescent="0.4">
      <c r="A2342" s="5">
        <v>4046</v>
      </c>
      <c r="B2342" s="5">
        <v>1</v>
      </c>
      <c r="C2342" s="5">
        <v>1</v>
      </c>
      <c r="D2342" s="5" t="s">
        <v>269</v>
      </c>
      <c r="E2342" s="5" t="s">
        <v>271</v>
      </c>
      <c r="F2342" s="5" t="s">
        <v>248</v>
      </c>
      <c r="G2342" s="5" t="s">
        <v>266</v>
      </c>
      <c r="H2342" s="6" t="s">
        <v>1442</v>
      </c>
      <c r="I2342" s="7">
        <f>861</f>
        <v>861</v>
      </c>
      <c r="J2342" s="5" t="s">
        <v>262</v>
      </c>
      <c r="K2342" s="8">
        <f>1</f>
        <v>1</v>
      </c>
      <c r="L2342" s="6" t="s">
        <v>242</v>
      </c>
      <c r="M2342" s="5" t="s">
        <v>267</v>
      </c>
      <c r="N2342" s="5" t="s">
        <v>265</v>
      </c>
      <c r="O2342" s="5" t="s">
        <v>238</v>
      </c>
      <c r="P2342" s="5" t="s">
        <v>238</v>
      </c>
      <c r="Q2342" s="5" t="s">
        <v>268</v>
      </c>
      <c r="R2342" s="5" t="s">
        <v>270</v>
      </c>
      <c r="S2342" s="5" t="s">
        <v>238</v>
      </c>
      <c r="V2342" s="5" t="s">
        <v>238</v>
      </c>
      <c r="X2342" s="6" t="s">
        <v>238</v>
      </c>
      <c r="AA2342" s="6" t="s">
        <v>243</v>
      </c>
      <c r="AB2342" s="5" t="s">
        <v>238</v>
      </c>
      <c r="AC2342" s="5" t="s">
        <v>244</v>
      </c>
      <c r="AD2342" s="5" t="s">
        <v>245</v>
      </c>
      <c r="AT2342" s="5" t="s">
        <v>246</v>
      </c>
      <c r="AU2342" s="5" t="s">
        <v>238</v>
      </c>
      <c r="AV2342" s="5" t="s">
        <v>247</v>
      </c>
      <c r="AW2342" s="5" t="s">
        <v>238</v>
      </c>
      <c r="AX2342" s="5" t="s">
        <v>249</v>
      </c>
      <c r="AY2342" s="5" t="s">
        <v>238</v>
      </c>
      <c r="BA2342" s="5" t="s">
        <v>238</v>
      </c>
      <c r="BC2342" s="5" t="s">
        <v>250</v>
      </c>
      <c r="BD2342" s="6" t="s">
        <v>243</v>
      </c>
      <c r="BE2342" s="5" t="s">
        <v>251</v>
      </c>
      <c r="BF2342" s="5" t="s">
        <v>252</v>
      </c>
      <c r="BG2342" s="5" t="s">
        <v>238</v>
      </c>
      <c r="BH2342" s="7">
        <f>0</f>
        <v>0</v>
      </c>
      <c r="BI2342" s="8">
        <f>0</f>
        <v>0</v>
      </c>
      <c r="BJ2342" s="5" t="s">
        <v>253</v>
      </c>
      <c r="BK2342" s="5" t="s">
        <v>254</v>
      </c>
      <c r="BY2342" s="5" t="s">
        <v>238</v>
      </c>
      <c r="BZ2342" s="5" t="s">
        <v>238</v>
      </c>
      <c r="CD2342" s="5" t="s">
        <v>273</v>
      </c>
      <c r="CE2342" s="5" t="s">
        <v>256</v>
      </c>
      <c r="CF2342" s="5" t="s">
        <v>238</v>
      </c>
      <c r="CI2342" s="6" t="s">
        <v>257</v>
      </c>
      <c r="CJ2342" s="5" t="s">
        <v>238</v>
      </c>
      <c r="CK2342" s="5" t="s">
        <v>258</v>
      </c>
      <c r="CL2342" s="5" t="s">
        <v>238</v>
      </c>
      <c r="CM2342" s="5" t="s">
        <v>238</v>
      </c>
      <c r="CN2342" s="5">
        <v>0</v>
      </c>
      <c r="CO2342" s="5" t="s">
        <v>259</v>
      </c>
      <c r="CP2342" s="5" t="s">
        <v>260</v>
      </c>
      <c r="CQ2342" s="5" t="s">
        <v>260</v>
      </c>
      <c r="CR2342" s="5" t="s">
        <v>261</v>
      </c>
      <c r="CU2342" s="8">
        <f>1</f>
        <v>1</v>
      </c>
      <c r="CV2342" s="8">
        <f>0</f>
        <v>0</v>
      </c>
      <c r="CX2342" s="8">
        <f>0</f>
        <v>0</v>
      </c>
      <c r="CY2342" s="8">
        <f>1</f>
        <v>1</v>
      </c>
      <c r="DA2342" s="5" t="s">
        <v>274</v>
      </c>
      <c r="DB2342" s="5" t="s">
        <v>238</v>
      </c>
      <c r="DD2342" s="5" t="s">
        <v>274</v>
      </c>
      <c r="DE2342" s="8">
        <f>861</f>
        <v>861</v>
      </c>
      <c r="DG2342" s="5" t="s">
        <v>238</v>
      </c>
      <c r="DH2342" s="5" t="s">
        <v>238</v>
      </c>
      <c r="DI2342" s="5" t="s">
        <v>238</v>
      </c>
      <c r="DJ2342" s="5" t="s">
        <v>238</v>
      </c>
      <c r="DN2342" s="5" t="s">
        <v>238</v>
      </c>
      <c r="DO2342" s="5" t="s">
        <v>238</v>
      </c>
      <c r="DP2342" s="5" t="s">
        <v>238</v>
      </c>
      <c r="DQ2342" s="5" t="s">
        <v>238</v>
      </c>
      <c r="DT2342" s="5" t="s">
        <v>275</v>
      </c>
      <c r="DU2342" s="5" t="s">
        <v>1443</v>
      </c>
      <c r="HM2342" s="5" t="s">
        <v>264</v>
      </c>
    </row>
    <row r="2343" spans="1:221" x14ac:dyDescent="0.4">
      <c r="A2343" s="5">
        <v>4047</v>
      </c>
      <c r="B2343" s="5">
        <v>1</v>
      </c>
      <c r="C2343" s="5">
        <v>1</v>
      </c>
      <c r="D2343" s="5" t="s">
        <v>269</v>
      </c>
      <c r="E2343" s="5" t="s">
        <v>271</v>
      </c>
      <c r="F2343" s="5" t="s">
        <v>248</v>
      </c>
      <c r="G2343" s="5" t="s">
        <v>266</v>
      </c>
      <c r="H2343" s="6" t="s">
        <v>1444</v>
      </c>
      <c r="I2343" s="7">
        <f>596</f>
        <v>596</v>
      </c>
      <c r="J2343" s="5" t="s">
        <v>262</v>
      </c>
      <c r="K2343" s="8">
        <f>1</f>
        <v>1</v>
      </c>
      <c r="L2343" s="6" t="s">
        <v>242</v>
      </c>
      <c r="M2343" s="5" t="s">
        <v>267</v>
      </c>
      <c r="N2343" s="5" t="s">
        <v>265</v>
      </c>
      <c r="O2343" s="5" t="s">
        <v>238</v>
      </c>
      <c r="P2343" s="5" t="s">
        <v>238</v>
      </c>
      <c r="Q2343" s="5" t="s">
        <v>268</v>
      </c>
      <c r="R2343" s="5" t="s">
        <v>270</v>
      </c>
      <c r="S2343" s="5" t="s">
        <v>238</v>
      </c>
      <c r="V2343" s="5" t="s">
        <v>238</v>
      </c>
      <c r="X2343" s="6" t="s">
        <v>238</v>
      </c>
      <c r="AA2343" s="6" t="s">
        <v>243</v>
      </c>
      <c r="AB2343" s="5" t="s">
        <v>238</v>
      </c>
      <c r="AC2343" s="5" t="s">
        <v>244</v>
      </c>
      <c r="AD2343" s="5" t="s">
        <v>245</v>
      </c>
      <c r="AT2343" s="5" t="s">
        <v>246</v>
      </c>
      <c r="AU2343" s="5" t="s">
        <v>238</v>
      </c>
      <c r="AV2343" s="5" t="s">
        <v>247</v>
      </c>
      <c r="AW2343" s="5" t="s">
        <v>238</v>
      </c>
      <c r="AX2343" s="5" t="s">
        <v>249</v>
      </c>
      <c r="AY2343" s="5" t="s">
        <v>238</v>
      </c>
      <c r="BA2343" s="5" t="s">
        <v>238</v>
      </c>
      <c r="BC2343" s="5" t="s">
        <v>250</v>
      </c>
      <c r="BD2343" s="6" t="s">
        <v>243</v>
      </c>
      <c r="BE2343" s="5" t="s">
        <v>251</v>
      </c>
      <c r="BF2343" s="5" t="s">
        <v>252</v>
      </c>
      <c r="BG2343" s="5" t="s">
        <v>238</v>
      </c>
      <c r="BH2343" s="7">
        <f>0</f>
        <v>0</v>
      </c>
      <c r="BI2343" s="8">
        <f>0</f>
        <v>0</v>
      </c>
      <c r="BJ2343" s="5" t="s">
        <v>253</v>
      </c>
      <c r="BK2343" s="5" t="s">
        <v>254</v>
      </c>
      <c r="BY2343" s="5" t="s">
        <v>238</v>
      </c>
      <c r="BZ2343" s="5" t="s">
        <v>238</v>
      </c>
      <c r="CD2343" s="5" t="s">
        <v>273</v>
      </c>
      <c r="CE2343" s="5" t="s">
        <v>256</v>
      </c>
      <c r="CF2343" s="5" t="s">
        <v>238</v>
      </c>
      <c r="CI2343" s="6" t="s">
        <v>257</v>
      </c>
      <c r="CJ2343" s="5" t="s">
        <v>238</v>
      </c>
      <c r="CK2343" s="5" t="s">
        <v>258</v>
      </c>
      <c r="CL2343" s="5" t="s">
        <v>238</v>
      </c>
      <c r="CM2343" s="5" t="s">
        <v>238</v>
      </c>
      <c r="CN2343" s="5">
        <v>0</v>
      </c>
      <c r="CO2343" s="5" t="s">
        <v>259</v>
      </c>
      <c r="CP2343" s="5" t="s">
        <v>260</v>
      </c>
      <c r="CQ2343" s="5" t="s">
        <v>260</v>
      </c>
      <c r="CR2343" s="5" t="s">
        <v>261</v>
      </c>
      <c r="CU2343" s="8">
        <f>1</f>
        <v>1</v>
      </c>
      <c r="CV2343" s="8">
        <f>0</f>
        <v>0</v>
      </c>
      <c r="CX2343" s="8">
        <f>0</f>
        <v>0</v>
      </c>
      <c r="CY2343" s="8">
        <f>1</f>
        <v>1</v>
      </c>
      <c r="DA2343" s="5" t="s">
        <v>274</v>
      </c>
      <c r="DB2343" s="5" t="s">
        <v>238</v>
      </c>
      <c r="DD2343" s="5" t="s">
        <v>274</v>
      </c>
      <c r="DE2343" s="8">
        <f>596</f>
        <v>596</v>
      </c>
      <c r="DG2343" s="5" t="s">
        <v>238</v>
      </c>
      <c r="DH2343" s="5" t="s">
        <v>238</v>
      </c>
      <c r="DI2343" s="5" t="s">
        <v>238</v>
      </c>
      <c r="DJ2343" s="5" t="s">
        <v>238</v>
      </c>
      <c r="DN2343" s="5" t="s">
        <v>238</v>
      </c>
      <c r="DO2343" s="5" t="s">
        <v>238</v>
      </c>
      <c r="DP2343" s="5" t="s">
        <v>238</v>
      </c>
      <c r="DQ2343" s="5" t="s">
        <v>238</v>
      </c>
      <c r="DT2343" s="5" t="s">
        <v>275</v>
      </c>
      <c r="DU2343" s="5" t="s">
        <v>1445</v>
      </c>
      <c r="HM2343" s="5" t="s">
        <v>264</v>
      </c>
    </row>
    <row r="2344" spans="1:221" x14ac:dyDescent="0.4">
      <c r="A2344" s="5">
        <v>4048</v>
      </c>
      <c r="B2344" s="5">
        <v>1</v>
      </c>
      <c r="C2344" s="5">
        <v>1</v>
      </c>
      <c r="D2344" s="5" t="s">
        <v>269</v>
      </c>
      <c r="E2344" s="5" t="s">
        <v>271</v>
      </c>
      <c r="F2344" s="5" t="s">
        <v>248</v>
      </c>
      <c r="G2344" s="5" t="s">
        <v>266</v>
      </c>
      <c r="H2344" s="6" t="s">
        <v>1421</v>
      </c>
      <c r="I2344" s="7">
        <f>1496</f>
        <v>1496</v>
      </c>
      <c r="J2344" s="5" t="s">
        <v>262</v>
      </c>
      <c r="K2344" s="8">
        <f>1</f>
        <v>1</v>
      </c>
      <c r="L2344" s="6" t="s">
        <v>242</v>
      </c>
      <c r="M2344" s="5" t="s">
        <v>267</v>
      </c>
      <c r="N2344" s="5" t="s">
        <v>265</v>
      </c>
      <c r="O2344" s="5" t="s">
        <v>238</v>
      </c>
      <c r="P2344" s="5" t="s">
        <v>238</v>
      </c>
      <c r="Q2344" s="5" t="s">
        <v>268</v>
      </c>
      <c r="R2344" s="5" t="s">
        <v>270</v>
      </c>
      <c r="S2344" s="5" t="s">
        <v>238</v>
      </c>
      <c r="V2344" s="5" t="s">
        <v>238</v>
      </c>
      <c r="X2344" s="6" t="s">
        <v>238</v>
      </c>
      <c r="AA2344" s="6" t="s">
        <v>243</v>
      </c>
      <c r="AB2344" s="5" t="s">
        <v>238</v>
      </c>
      <c r="AC2344" s="5" t="s">
        <v>244</v>
      </c>
      <c r="AD2344" s="5" t="s">
        <v>245</v>
      </c>
      <c r="AT2344" s="5" t="s">
        <v>246</v>
      </c>
      <c r="AU2344" s="5" t="s">
        <v>238</v>
      </c>
      <c r="AV2344" s="5" t="s">
        <v>247</v>
      </c>
      <c r="AW2344" s="5" t="s">
        <v>238</v>
      </c>
      <c r="AX2344" s="5" t="s">
        <v>249</v>
      </c>
      <c r="AY2344" s="5" t="s">
        <v>238</v>
      </c>
      <c r="BA2344" s="5" t="s">
        <v>238</v>
      </c>
      <c r="BC2344" s="5" t="s">
        <v>250</v>
      </c>
      <c r="BD2344" s="6" t="s">
        <v>243</v>
      </c>
      <c r="BE2344" s="5" t="s">
        <v>251</v>
      </c>
      <c r="BF2344" s="5" t="s">
        <v>252</v>
      </c>
      <c r="BG2344" s="5" t="s">
        <v>238</v>
      </c>
      <c r="BH2344" s="7">
        <f>0</f>
        <v>0</v>
      </c>
      <c r="BI2344" s="8">
        <f>0</f>
        <v>0</v>
      </c>
      <c r="BJ2344" s="5" t="s">
        <v>253</v>
      </c>
      <c r="BK2344" s="5" t="s">
        <v>254</v>
      </c>
      <c r="BY2344" s="5" t="s">
        <v>238</v>
      </c>
      <c r="BZ2344" s="5" t="s">
        <v>238</v>
      </c>
      <c r="CD2344" s="5" t="s">
        <v>273</v>
      </c>
      <c r="CE2344" s="5" t="s">
        <v>256</v>
      </c>
      <c r="CF2344" s="5" t="s">
        <v>238</v>
      </c>
      <c r="CI2344" s="6" t="s">
        <v>257</v>
      </c>
      <c r="CJ2344" s="5" t="s">
        <v>238</v>
      </c>
      <c r="CK2344" s="5" t="s">
        <v>258</v>
      </c>
      <c r="CL2344" s="5" t="s">
        <v>238</v>
      </c>
      <c r="CM2344" s="5" t="s">
        <v>238</v>
      </c>
      <c r="CN2344" s="5">
        <v>0</v>
      </c>
      <c r="CO2344" s="5" t="s">
        <v>259</v>
      </c>
      <c r="CP2344" s="5" t="s">
        <v>260</v>
      </c>
      <c r="CQ2344" s="5" t="s">
        <v>260</v>
      </c>
      <c r="CR2344" s="5" t="s">
        <v>261</v>
      </c>
      <c r="CU2344" s="8">
        <f>1</f>
        <v>1</v>
      </c>
      <c r="CV2344" s="8">
        <f>0</f>
        <v>0</v>
      </c>
      <c r="CX2344" s="8">
        <f>0</f>
        <v>0</v>
      </c>
      <c r="CY2344" s="8">
        <f>1</f>
        <v>1</v>
      </c>
      <c r="DA2344" s="5" t="s">
        <v>274</v>
      </c>
      <c r="DB2344" s="5" t="s">
        <v>238</v>
      </c>
      <c r="DD2344" s="5" t="s">
        <v>274</v>
      </c>
      <c r="DE2344" s="8">
        <f>1496</f>
        <v>1496</v>
      </c>
      <c r="DG2344" s="5" t="s">
        <v>238</v>
      </c>
      <c r="DH2344" s="5" t="s">
        <v>238</v>
      </c>
      <c r="DI2344" s="5" t="s">
        <v>238</v>
      </c>
      <c r="DJ2344" s="5" t="s">
        <v>238</v>
      </c>
      <c r="DN2344" s="5" t="s">
        <v>238</v>
      </c>
      <c r="DO2344" s="5" t="s">
        <v>238</v>
      </c>
      <c r="DP2344" s="5" t="s">
        <v>238</v>
      </c>
      <c r="DQ2344" s="5" t="s">
        <v>238</v>
      </c>
      <c r="DT2344" s="5" t="s">
        <v>275</v>
      </c>
      <c r="DU2344" s="5" t="s">
        <v>1422</v>
      </c>
      <c r="HM2344" s="5" t="s">
        <v>264</v>
      </c>
    </row>
    <row r="2345" spans="1:221" x14ac:dyDescent="0.4">
      <c r="A2345" s="5">
        <v>4049</v>
      </c>
      <c r="B2345" s="5">
        <v>1</v>
      </c>
      <c r="C2345" s="5">
        <v>1</v>
      </c>
      <c r="D2345" s="5" t="s">
        <v>269</v>
      </c>
      <c r="E2345" s="5" t="s">
        <v>271</v>
      </c>
      <c r="F2345" s="5" t="s">
        <v>248</v>
      </c>
      <c r="G2345" s="5" t="s">
        <v>266</v>
      </c>
      <c r="H2345" s="6" t="s">
        <v>1471</v>
      </c>
      <c r="I2345" s="7">
        <f>2969</f>
        <v>2969</v>
      </c>
      <c r="J2345" s="5" t="s">
        <v>262</v>
      </c>
      <c r="K2345" s="8">
        <f>1</f>
        <v>1</v>
      </c>
      <c r="L2345" s="6" t="s">
        <v>242</v>
      </c>
      <c r="M2345" s="5" t="s">
        <v>267</v>
      </c>
      <c r="N2345" s="5" t="s">
        <v>265</v>
      </c>
      <c r="O2345" s="5" t="s">
        <v>238</v>
      </c>
      <c r="P2345" s="5" t="s">
        <v>238</v>
      </c>
      <c r="Q2345" s="5" t="s">
        <v>268</v>
      </c>
      <c r="R2345" s="5" t="s">
        <v>270</v>
      </c>
      <c r="S2345" s="5" t="s">
        <v>238</v>
      </c>
      <c r="V2345" s="5" t="s">
        <v>238</v>
      </c>
      <c r="X2345" s="6" t="s">
        <v>238</v>
      </c>
      <c r="AA2345" s="6" t="s">
        <v>243</v>
      </c>
      <c r="AB2345" s="5" t="s">
        <v>238</v>
      </c>
      <c r="AC2345" s="5" t="s">
        <v>244</v>
      </c>
      <c r="AD2345" s="5" t="s">
        <v>245</v>
      </c>
      <c r="AT2345" s="5" t="s">
        <v>246</v>
      </c>
      <c r="AU2345" s="5" t="s">
        <v>238</v>
      </c>
      <c r="AV2345" s="5" t="s">
        <v>247</v>
      </c>
      <c r="AW2345" s="5" t="s">
        <v>238</v>
      </c>
      <c r="AX2345" s="5" t="s">
        <v>249</v>
      </c>
      <c r="AY2345" s="5" t="s">
        <v>238</v>
      </c>
      <c r="BA2345" s="5" t="s">
        <v>238</v>
      </c>
      <c r="BC2345" s="5" t="s">
        <v>250</v>
      </c>
      <c r="BD2345" s="6" t="s">
        <v>243</v>
      </c>
      <c r="BE2345" s="5" t="s">
        <v>251</v>
      </c>
      <c r="BF2345" s="5" t="s">
        <v>252</v>
      </c>
      <c r="BG2345" s="5" t="s">
        <v>238</v>
      </c>
      <c r="BH2345" s="7">
        <f>0</f>
        <v>0</v>
      </c>
      <c r="BI2345" s="8">
        <f>0</f>
        <v>0</v>
      </c>
      <c r="BJ2345" s="5" t="s">
        <v>253</v>
      </c>
      <c r="BK2345" s="5" t="s">
        <v>254</v>
      </c>
      <c r="BY2345" s="5" t="s">
        <v>238</v>
      </c>
      <c r="BZ2345" s="5" t="s">
        <v>238</v>
      </c>
      <c r="CD2345" s="5" t="s">
        <v>273</v>
      </c>
      <c r="CE2345" s="5" t="s">
        <v>256</v>
      </c>
      <c r="CF2345" s="5" t="s">
        <v>238</v>
      </c>
      <c r="CI2345" s="6" t="s">
        <v>257</v>
      </c>
      <c r="CJ2345" s="5" t="s">
        <v>238</v>
      </c>
      <c r="CK2345" s="5" t="s">
        <v>258</v>
      </c>
      <c r="CL2345" s="5" t="s">
        <v>238</v>
      </c>
      <c r="CM2345" s="5" t="s">
        <v>238</v>
      </c>
      <c r="CN2345" s="5">
        <v>0</v>
      </c>
      <c r="CO2345" s="5" t="s">
        <v>259</v>
      </c>
      <c r="CP2345" s="5" t="s">
        <v>260</v>
      </c>
      <c r="CQ2345" s="5" t="s">
        <v>260</v>
      </c>
      <c r="CR2345" s="5" t="s">
        <v>261</v>
      </c>
      <c r="CU2345" s="8">
        <f>1</f>
        <v>1</v>
      </c>
      <c r="CV2345" s="8">
        <f>0</f>
        <v>0</v>
      </c>
      <c r="CX2345" s="8">
        <f>0</f>
        <v>0</v>
      </c>
      <c r="CY2345" s="8">
        <f>1</f>
        <v>1</v>
      </c>
      <c r="DA2345" s="5" t="s">
        <v>274</v>
      </c>
      <c r="DB2345" s="5" t="s">
        <v>238</v>
      </c>
      <c r="DD2345" s="5" t="s">
        <v>274</v>
      </c>
      <c r="DE2345" s="8">
        <f>2969</f>
        <v>2969</v>
      </c>
      <c r="DG2345" s="5" t="s">
        <v>238</v>
      </c>
      <c r="DH2345" s="5" t="s">
        <v>238</v>
      </c>
      <c r="DI2345" s="5" t="s">
        <v>238</v>
      </c>
      <c r="DJ2345" s="5" t="s">
        <v>238</v>
      </c>
      <c r="DN2345" s="5" t="s">
        <v>238</v>
      </c>
      <c r="DO2345" s="5" t="s">
        <v>238</v>
      </c>
      <c r="DP2345" s="5" t="s">
        <v>238</v>
      </c>
      <c r="DQ2345" s="5" t="s">
        <v>238</v>
      </c>
      <c r="DT2345" s="5" t="s">
        <v>275</v>
      </c>
      <c r="DU2345" s="5" t="s">
        <v>1472</v>
      </c>
      <c r="HM2345" s="5" t="s">
        <v>264</v>
      </c>
    </row>
    <row r="2346" spans="1:221" x14ac:dyDescent="0.4">
      <c r="A2346" s="5">
        <v>4050</v>
      </c>
      <c r="B2346" s="5">
        <v>1</v>
      </c>
      <c r="C2346" s="5">
        <v>1</v>
      </c>
      <c r="D2346" s="5" t="s">
        <v>269</v>
      </c>
      <c r="E2346" s="5" t="s">
        <v>271</v>
      </c>
      <c r="F2346" s="5" t="s">
        <v>248</v>
      </c>
      <c r="G2346" s="5" t="s">
        <v>266</v>
      </c>
      <c r="H2346" s="6" t="s">
        <v>1530</v>
      </c>
      <c r="I2346" s="7">
        <f>1665</f>
        <v>1665</v>
      </c>
      <c r="J2346" s="5" t="s">
        <v>262</v>
      </c>
      <c r="K2346" s="8">
        <f>1</f>
        <v>1</v>
      </c>
      <c r="L2346" s="6" t="s">
        <v>242</v>
      </c>
      <c r="M2346" s="5" t="s">
        <v>267</v>
      </c>
      <c r="N2346" s="5" t="s">
        <v>265</v>
      </c>
      <c r="O2346" s="5" t="s">
        <v>238</v>
      </c>
      <c r="P2346" s="5" t="s">
        <v>238</v>
      </c>
      <c r="Q2346" s="5" t="s">
        <v>268</v>
      </c>
      <c r="R2346" s="5" t="s">
        <v>270</v>
      </c>
      <c r="S2346" s="5" t="s">
        <v>238</v>
      </c>
      <c r="V2346" s="5" t="s">
        <v>238</v>
      </c>
      <c r="X2346" s="6" t="s">
        <v>238</v>
      </c>
      <c r="AA2346" s="6" t="s">
        <v>243</v>
      </c>
      <c r="AB2346" s="5" t="s">
        <v>238</v>
      </c>
      <c r="AC2346" s="5" t="s">
        <v>244</v>
      </c>
      <c r="AD2346" s="5" t="s">
        <v>245</v>
      </c>
      <c r="AT2346" s="5" t="s">
        <v>246</v>
      </c>
      <c r="AU2346" s="5" t="s">
        <v>238</v>
      </c>
      <c r="AV2346" s="5" t="s">
        <v>247</v>
      </c>
      <c r="AW2346" s="5" t="s">
        <v>238</v>
      </c>
      <c r="AX2346" s="5" t="s">
        <v>249</v>
      </c>
      <c r="AY2346" s="5" t="s">
        <v>238</v>
      </c>
      <c r="BA2346" s="5" t="s">
        <v>238</v>
      </c>
      <c r="BC2346" s="5" t="s">
        <v>250</v>
      </c>
      <c r="BD2346" s="6" t="s">
        <v>243</v>
      </c>
      <c r="BE2346" s="5" t="s">
        <v>251</v>
      </c>
      <c r="BF2346" s="5" t="s">
        <v>252</v>
      </c>
      <c r="BG2346" s="5" t="s">
        <v>238</v>
      </c>
      <c r="BH2346" s="7">
        <f>0</f>
        <v>0</v>
      </c>
      <c r="BI2346" s="8">
        <f>0</f>
        <v>0</v>
      </c>
      <c r="BJ2346" s="5" t="s">
        <v>253</v>
      </c>
      <c r="BK2346" s="5" t="s">
        <v>254</v>
      </c>
      <c r="BY2346" s="5" t="s">
        <v>238</v>
      </c>
      <c r="BZ2346" s="5" t="s">
        <v>238</v>
      </c>
      <c r="CD2346" s="5" t="s">
        <v>273</v>
      </c>
      <c r="CE2346" s="5" t="s">
        <v>256</v>
      </c>
      <c r="CF2346" s="5" t="s">
        <v>238</v>
      </c>
      <c r="CI2346" s="6" t="s">
        <v>257</v>
      </c>
      <c r="CJ2346" s="5" t="s">
        <v>238</v>
      </c>
      <c r="CK2346" s="5" t="s">
        <v>258</v>
      </c>
      <c r="CL2346" s="5" t="s">
        <v>238</v>
      </c>
      <c r="CM2346" s="5" t="s">
        <v>238</v>
      </c>
      <c r="CN2346" s="5">
        <v>0</v>
      </c>
      <c r="CO2346" s="5" t="s">
        <v>259</v>
      </c>
      <c r="CP2346" s="5" t="s">
        <v>260</v>
      </c>
      <c r="CQ2346" s="5" t="s">
        <v>260</v>
      </c>
      <c r="CR2346" s="5" t="s">
        <v>261</v>
      </c>
      <c r="CU2346" s="8">
        <f>1</f>
        <v>1</v>
      </c>
      <c r="CV2346" s="8">
        <f>0</f>
        <v>0</v>
      </c>
      <c r="CX2346" s="8">
        <f>0</f>
        <v>0</v>
      </c>
      <c r="CY2346" s="8">
        <f>1</f>
        <v>1</v>
      </c>
      <c r="DA2346" s="5" t="s">
        <v>274</v>
      </c>
      <c r="DB2346" s="5" t="s">
        <v>238</v>
      </c>
      <c r="DD2346" s="5" t="s">
        <v>274</v>
      </c>
      <c r="DE2346" s="8">
        <f>1665</f>
        <v>1665</v>
      </c>
      <c r="DG2346" s="5" t="s">
        <v>238</v>
      </c>
      <c r="DH2346" s="5" t="s">
        <v>238</v>
      </c>
      <c r="DI2346" s="5" t="s">
        <v>238</v>
      </c>
      <c r="DJ2346" s="5" t="s">
        <v>238</v>
      </c>
      <c r="DN2346" s="5" t="s">
        <v>238</v>
      </c>
      <c r="DO2346" s="5" t="s">
        <v>238</v>
      </c>
      <c r="DP2346" s="5" t="s">
        <v>238</v>
      </c>
      <c r="DQ2346" s="5" t="s">
        <v>238</v>
      </c>
      <c r="DT2346" s="5" t="s">
        <v>275</v>
      </c>
      <c r="DU2346" s="5" t="s">
        <v>1531</v>
      </c>
      <c r="HM2346" s="5" t="s">
        <v>264</v>
      </c>
    </row>
    <row r="2347" spans="1:221" x14ac:dyDescent="0.4">
      <c r="A2347" s="5">
        <v>4051</v>
      </c>
      <c r="B2347" s="5">
        <v>1</v>
      </c>
      <c r="C2347" s="5">
        <v>1</v>
      </c>
      <c r="D2347" s="5" t="s">
        <v>269</v>
      </c>
      <c r="E2347" s="5" t="s">
        <v>271</v>
      </c>
      <c r="F2347" s="5" t="s">
        <v>248</v>
      </c>
      <c r="G2347" s="5" t="s">
        <v>266</v>
      </c>
      <c r="H2347" s="6" t="s">
        <v>1655</v>
      </c>
      <c r="I2347" s="7">
        <f>777</f>
        <v>777</v>
      </c>
      <c r="J2347" s="5" t="s">
        <v>262</v>
      </c>
      <c r="K2347" s="8">
        <f>1</f>
        <v>1</v>
      </c>
      <c r="L2347" s="6" t="s">
        <v>242</v>
      </c>
      <c r="M2347" s="5" t="s">
        <v>267</v>
      </c>
      <c r="N2347" s="5" t="s">
        <v>265</v>
      </c>
      <c r="O2347" s="5" t="s">
        <v>238</v>
      </c>
      <c r="P2347" s="5" t="s">
        <v>238</v>
      </c>
      <c r="Q2347" s="5" t="s">
        <v>268</v>
      </c>
      <c r="R2347" s="5" t="s">
        <v>270</v>
      </c>
      <c r="S2347" s="5" t="s">
        <v>238</v>
      </c>
      <c r="V2347" s="5" t="s">
        <v>238</v>
      </c>
      <c r="X2347" s="6" t="s">
        <v>238</v>
      </c>
      <c r="AA2347" s="6" t="s">
        <v>243</v>
      </c>
      <c r="AB2347" s="5" t="s">
        <v>238</v>
      </c>
      <c r="AC2347" s="5" t="s">
        <v>244</v>
      </c>
      <c r="AD2347" s="5" t="s">
        <v>245</v>
      </c>
      <c r="AT2347" s="5" t="s">
        <v>246</v>
      </c>
      <c r="AU2347" s="5" t="s">
        <v>238</v>
      </c>
      <c r="AV2347" s="5" t="s">
        <v>247</v>
      </c>
      <c r="AW2347" s="5" t="s">
        <v>238</v>
      </c>
      <c r="AX2347" s="5" t="s">
        <v>249</v>
      </c>
      <c r="AY2347" s="5" t="s">
        <v>238</v>
      </c>
      <c r="BA2347" s="5" t="s">
        <v>238</v>
      </c>
      <c r="BC2347" s="5" t="s">
        <v>250</v>
      </c>
      <c r="BD2347" s="6" t="s">
        <v>243</v>
      </c>
      <c r="BE2347" s="5" t="s">
        <v>251</v>
      </c>
      <c r="BF2347" s="5" t="s">
        <v>252</v>
      </c>
      <c r="BG2347" s="5" t="s">
        <v>238</v>
      </c>
      <c r="BH2347" s="7">
        <f>0</f>
        <v>0</v>
      </c>
      <c r="BI2347" s="8">
        <f>0</f>
        <v>0</v>
      </c>
      <c r="BJ2347" s="5" t="s">
        <v>253</v>
      </c>
      <c r="BK2347" s="5" t="s">
        <v>254</v>
      </c>
      <c r="BY2347" s="5" t="s">
        <v>238</v>
      </c>
      <c r="BZ2347" s="5" t="s">
        <v>238</v>
      </c>
      <c r="CD2347" s="5" t="s">
        <v>273</v>
      </c>
      <c r="CE2347" s="5" t="s">
        <v>256</v>
      </c>
      <c r="CF2347" s="5" t="s">
        <v>238</v>
      </c>
      <c r="CI2347" s="6" t="s">
        <v>257</v>
      </c>
      <c r="CJ2347" s="5" t="s">
        <v>238</v>
      </c>
      <c r="CK2347" s="5" t="s">
        <v>258</v>
      </c>
      <c r="CL2347" s="5" t="s">
        <v>238</v>
      </c>
      <c r="CM2347" s="5" t="s">
        <v>238</v>
      </c>
      <c r="CN2347" s="5">
        <v>0</v>
      </c>
      <c r="CO2347" s="5" t="s">
        <v>259</v>
      </c>
      <c r="CP2347" s="5" t="s">
        <v>260</v>
      </c>
      <c r="CQ2347" s="5" t="s">
        <v>260</v>
      </c>
      <c r="CR2347" s="5" t="s">
        <v>261</v>
      </c>
      <c r="CU2347" s="8">
        <f>1</f>
        <v>1</v>
      </c>
      <c r="CV2347" s="8">
        <f>0</f>
        <v>0</v>
      </c>
      <c r="CX2347" s="8">
        <f>0</f>
        <v>0</v>
      </c>
      <c r="CY2347" s="8">
        <f>1</f>
        <v>1</v>
      </c>
      <c r="DA2347" s="5" t="s">
        <v>274</v>
      </c>
      <c r="DB2347" s="5" t="s">
        <v>238</v>
      </c>
      <c r="DD2347" s="5" t="s">
        <v>274</v>
      </c>
      <c r="DE2347" s="8">
        <f>777</f>
        <v>777</v>
      </c>
      <c r="DG2347" s="5" t="s">
        <v>238</v>
      </c>
      <c r="DH2347" s="5" t="s">
        <v>238</v>
      </c>
      <c r="DI2347" s="5" t="s">
        <v>238</v>
      </c>
      <c r="DJ2347" s="5" t="s">
        <v>238</v>
      </c>
      <c r="DN2347" s="5" t="s">
        <v>238</v>
      </c>
      <c r="DO2347" s="5" t="s">
        <v>238</v>
      </c>
      <c r="DP2347" s="5" t="s">
        <v>238</v>
      </c>
      <c r="DQ2347" s="5" t="s">
        <v>238</v>
      </c>
      <c r="DT2347" s="5" t="s">
        <v>275</v>
      </c>
      <c r="DU2347" s="5" t="s">
        <v>1656</v>
      </c>
      <c r="HM2347" s="5" t="s">
        <v>264</v>
      </c>
    </row>
    <row r="2348" spans="1:221" x14ac:dyDescent="0.4">
      <c r="A2348" s="5">
        <v>4052</v>
      </c>
      <c r="B2348" s="5">
        <v>1</v>
      </c>
      <c r="C2348" s="5">
        <v>1</v>
      </c>
      <c r="D2348" s="5" t="s">
        <v>269</v>
      </c>
      <c r="E2348" s="5" t="s">
        <v>271</v>
      </c>
      <c r="F2348" s="5" t="s">
        <v>248</v>
      </c>
      <c r="G2348" s="5" t="s">
        <v>266</v>
      </c>
      <c r="H2348" s="6" t="s">
        <v>1678</v>
      </c>
      <c r="I2348" s="7">
        <f>1530</f>
        <v>1530</v>
      </c>
      <c r="J2348" s="5" t="s">
        <v>262</v>
      </c>
      <c r="K2348" s="8">
        <f>1</f>
        <v>1</v>
      </c>
      <c r="L2348" s="6" t="s">
        <v>242</v>
      </c>
      <c r="M2348" s="5" t="s">
        <v>267</v>
      </c>
      <c r="N2348" s="5" t="s">
        <v>265</v>
      </c>
      <c r="O2348" s="5" t="s">
        <v>238</v>
      </c>
      <c r="P2348" s="5" t="s">
        <v>238</v>
      </c>
      <c r="Q2348" s="5" t="s">
        <v>268</v>
      </c>
      <c r="R2348" s="5" t="s">
        <v>270</v>
      </c>
      <c r="S2348" s="5" t="s">
        <v>238</v>
      </c>
      <c r="V2348" s="5" t="s">
        <v>238</v>
      </c>
      <c r="X2348" s="6" t="s">
        <v>238</v>
      </c>
      <c r="AA2348" s="6" t="s">
        <v>243</v>
      </c>
      <c r="AB2348" s="5" t="s">
        <v>238</v>
      </c>
      <c r="AC2348" s="5" t="s">
        <v>244</v>
      </c>
      <c r="AD2348" s="5" t="s">
        <v>245</v>
      </c>
      <c r="AT2348" s="5" t="s">
        <v>246</v>
      </c>
      <c r="AU2348" s="5" t="s">
        <v>238</v>
      </c>
      <c r="AV2348" s="5" t="s">
        <v>247</v>
      </c>
      <c r="AW2348" s="5" t="s">
        <v>238</v>
      </c>
      <c r="AX2348" s="5" t="s">
        <v>249</v>
      </c>
      <c r="AY2348" s="5" t="s">
        <v>238</v>
      </c>
      <c r="BA2348" s="5" t="s">
        <v>238</v>
      </c>
      <c r="BC2348" s="5" t="s">
        <v>250</v>
      </c>
      <c r="BD2348" s="6" t="s">
        <v>243</v>
      </c>
      <c r="BE2348" s="5" t="s">
        <v>251</v>
      </c>
      <c r="BF2348" s="5" t="s">
        <v>252</v>
      </c>
      <c r="BG2348" s="5" t="s">
        <v>238</v>
      </c>
      <c r="BH2348" s="7">
        <f>0</f>
        <v>0</v>
      </c>
      <c r="BI2348" s="8">
        <f>0</f>
        <v>0</v>
      </c>
      <c r="BJ2348" s="5" t="s">
        <v>253</v>
      </c>
      <c r="BK2348" s="5" t="s">
        <v>254</v>
      </c>
      <c r="BY2348" s="5" t="s">
        <v>238</v>
      </c>
      <c r="BZ2348" s="5" t="s">
        <v>238</v>
      </c>
      <c r="CD2348" s="5" t="s">
        <v>273</v>
      </c>
      <c r="CE2348" s="5" t="s">
        <v>256</v>
      </c>
      <c r="CF2348" s="5" t="s">
        <v>238</v>
      </c>
      <c r="CI2348" s="6" t="s">
        <v>257</v>
      </c>
      <c r="CJ2348" s="5" t="s">
        <v>238</v>
      </c>
      <c r="CK2348" s="5" t="s">
        <v>258</v>
      </c>
      <c r="CL2348" s="5" t="s">
        <v>238</v>
      </c>
      <c r="CM2348" s="5" t="s">
        <v>238</v>
      </c>
      <c r="CN2348" s="5">
        <v>0</v>
      </c>
      <c r="CO2348" s="5" t="s">
        <v>259</v>
      </c>
      <c r="CP2348" s="5" t="s">
        <v>260</v>
      </c>
      <c r="CQ2348" s="5" t="s">
        <v>260</v>
      </c>
      <c r="CR2348" s="5" t="s">
        <v>261</v>
      </c>
      <c r="CU2348" s="8">
        <f>1</f>
        <v>1</v>
      </c>
      <c r="CV2348" s="8">
        <f>0</f>
        <v>0</v>
      </c>
      <c r="CX2348" s="8">
        <f>0</f>
        <v>0</v>
      </c>
      <c r="CY2348" s="8">
        <f>1</f>
        <v>1</v>
      </c>
      <c r="DA2348" s="5" t="s">
        <v>274</v>
      </c>
      <c r="DB2348" s="5" t="s">
        <v>238</v>
      </c>
      <c r="DD2348" s="5" t="s">
        <v>274</v>
      </c>
      <c r="DE2348" s="8">
        <f>1530</f>
        <v>1530</v>
      </c>
      <c r="DG2348" s="5" t="s">
        <v>238</v>
      </c>
      <c r="DH2348" s="5" t="s">
        <v>238</v>
      </c>
      <c r="DI2348" s="5" t="s">
        <v>238</v>
      </c>
      <c r="DJ2348" s="5" t="s">
        <v>238</v>
      </c>
      <c r="DN2348" s="5" t="s">
        <v>238</v>
      </c>
      <c r="DO2348" s="5" t="s">
        <v>238</v>
      </c>
      <c r="DP2348" s="5" t="s">
        <v>238</v>
      </c>
      <c r="DQ2348" s="5" t="s">
        <v>238</v>
      </c>
      <c r="DT2348" s="5" t="s">
        <v>275</v>
      </c>
      <c r="DU2348" s="5" t="s">
        <v>1679</v>
      </c>
      <c r="HM2348" s="5" t="s">
        <v>264</v>
      </c>
    </row>
    <row r="2349" spans="1:221" x14ac:dyDescent="0.4">
      <c r="A2349" s="5">
        <v>4053</v>
      </c>
      <c r="B2349" s="5">
        <v>1</v>
      </c>
      <c r="C2349" s="5">
        <v>1</v>
      </c>
      <c r="D2349" s="5" t="s">
        <v>269</v>
      </c>
      <c r="E2349" s="5" t="s">
        <v>271</v>
      </c>
      <c r="F2349" s="5" t="s">
        <v>248</v>
      </c>
      <c r="G2349" s="5" t="s">
        <v>266</v>
      </c>
      <c r="H2349" s="6" t="s">
        <v>1685</v>
      </c>
      <c r="I2349" s="7">
        <f>1600</f>
        <v>1600</v>
      </c>
      <c r="J2349" s="5" t="s">
        <v>262</v>
      </c>
      <c r="K2349" s="8">
        <f>1</f>
        <v>1</v>
      </c>
      <c r="L2349" s="6" t="s">
        <v>242</v>
      </c>
      <c r="M2349" s="5" t="s">
        <v>267</v>
      </c>
      <c r="N2349" s="5" t="s">
        <v>265</v>
      </c>
      <c r="O2349" s="5" t="s">
        <v>238</v>
      </c>
      <c r="P2349" s="5" t="s">
        <v>238</v>
      </c>
      <c r="Q2349" s="5" t="s">
        <v>268</v>
      </c>
      <c r="R2349" s="5" t="s">
        <v>270</v>
      </c>
      <c r="S2349" s="5" t="s">
        <v>238</v>
      </c>
      <c r="V2349" s="5" t="s">
        <v>238</v>
      </c>
      <c r="X2349" s="6" t="s">
        <v>238</v>
      </c>
      <c r="AA2349" s="6" t="s">
        <v>243</v>
      </c>
      <c r="AB2349" s="5" t="s">
        <v>238</v>
      </c>
      <c r="AC2349" s="5" t="s">
        <v>244</v>
      </c>
      <c r="AD2349" s="5" t="s">
        <v>245</v>
      </c>
      <c r="AT2349" s="5" t="s">
        <v>246</v>
      </c>
      <c r="AU2349" s="5" t="s">
        <v>238</v>
      </c>
      <c r="AV2349" s="5" t="s">
        <v>247</v>
      </c>
      <c r="AW2349" s="5" t="s">
        <v>238</v>
      </c>
      <c r="AX2349" s="5" t="s">
        <v>249</v>
      </c>
      <c r="AY2349" s="5" t="s">
        <v>238</v>
      </c>
      <c r="BA2349" s="5" t="s">
        <v>238</v>
      </c>
      <c r="BC2349" s="5" t="s">
        <v>250</v>
      </c>
      <c r="BD2349" s="6" t="s">
        <v>243</v>
      </c>
      <c r="BE2349" s="5" t="s">
        <v>251</v>
      </c>
      <c r="BF2349" s="5" t="s">
        <v>252</v>
      </c>
      <c r="BG2349" s="5" t="s">
        <v>238</v>
      </c>
      <c r="BH2349" s="7">
        <f>0</f>
        <v>0</v>
      </c>
      <c r="BI2349" s="8">
        <f>0</f>
        <v>0</v>
      </c>
      <c r="BJ2349" s="5" t="s">
        <v>253</v>
      </c>
      <c r="BK2349" s="5" t="s">
        <v>254</v>
      </c>
      <c r="BY2349" s="5" t="s">
        <v>238</v>
      </c>
      <c r="BZ2349" s="5" t="s">
        <v>238</v>
      </c>
      <c r="CD2349" s="5" t="s">
        <v>273</v>
      </c>
      <c r="CE2349" s="5" t="s">
        <v>256</v>
      </c>
      <c r="CF2349" s="5" t="s">
        <v>238</v>
      </c>
      <c r="CI2349" s="6" t="s">
        <v>257</v>
      </c>
      <c r="CJ2349" s="5" t="s">
        <v>238</v>
      </c>
      <c r="CK2349" s="5" t="s">
        <v>258</v>
      </c>
      <c r="CL2349" s="5" t="s">
        <v>238</v>
      </c>
      <c r="CM2349" s="5" t="s">
        <v>238</v>
      </c>
      <c r="CN2349" s="5">
        <v>0</v>
      </c>
      <c r="CO2349" s="5" t="s">
        <v>259</v>
      </c>
      <c r="CP2349" s="5" t="s">
        <v>260</v>
      </c>
      <c r="CQ2349" s="5" t="s">
        <v>260</v>
      </c>
      <c r="CR2349" s="5" t="s">
        <v>261</v>
      </c>
      <c r="CU2349" s="8">
        <f>1</f>
        <v>1</v>
      </c>
      <c r="CV2349" s="8">
        <f>0</f>
        <v>0</v>
      </c>
      <c r="CX2349" s="8">
        <f>0</f>
        <v>0</v>
      </c>
      <c r="CY2349" s="8">
        <f>1</f>
        <v>1</v>
      </c>
      <c r="DA2349" s="5" t="s">
        <v>274</v>
      </c>
      <c r="DB2349" s="5" t="s">
        <v>238</v>
      </c>
      <c r="DD2349" s="5" t="s">
        <v>274</v>
      </c>
      <c r="DE2349" s="8">
        <f>1600</f>
        <v>1600</v>
      </c>
      <c r="DG2349" s="5" t="s">
        <v>238</v>
      </c>
      <c r="DH2349" s="5" t="s">
        <v>238</v>
      </c>
      <c r="DI2349" s="5" t="s">
        <v>238</v>
      </c>
      <c r="DJ2349" s="5" t="s">
        <v>238</v>
      </c>
      <c r="DN2349" s="5" t="s">
        <v>238</v>
      </c>
      <c r="DO2349" s="5" t="s">
        <v>238</v>
      </c>
      <c r="DP2349" s="5" t="s">
        <v>238</v>
      </c>
      <c r="DQ2349" s="5" t="s">
        <v>238</v>
      </c>
      <c r="DT2349" s="5" t="s">
        <v>275</v>
      </c>
      <c r="DU2349" s="5" t="s">
        <v>1686</v>
      </c>
      <c r="HM2349" s="5" t="s">
        <v>264</v>
      </c>
    </row>
    <row r="2350" spans="1:221" x14ac:dyDescent="0.4">
      <c r="A2350" s="5">
        <v>4054</v>
      </c>
      <c r="B2350" s="5">
        <v>1</v>
      </c>
      <c r="C2350" s="5">
        <v>1</v>
      </c>
      <c r="D2350" s="5" t="s">
        <v>269</v>
      </c>
      <c r="E2350" s="5" t="s">
        <v>271</v>
      </c>
      <c r="F2350" s="5" t="s">
        <v>248</v>
      </c>
      <c r="G2350" s="5" t="s">
        <v>266</v>
      </c>
      <c r="H2350" s="6" t="s">
        <v>1687</v>
      </c>
      <c r="I2350" s="7">
        <f>549</f>
        <v>549</v>
      </c>
      <c r="J2350" s="5" t="s">
        <v>262</v>
      </c>
      <c r="K2350" s="8">
        <f>1</f>
        <v>1</v>
      </c>
      <c r="L2350" s="6" t="s">
        <v>242</v>
      </c>
      <c r="M2350" s="5" t="s">
        <v>267</v>
      </c>
      <c r="N2350" s="5" t="s">
        <v>265</v>
      </c>
      <c r="O2350" s="5" t="s">
        <v>238</v>
      </c>
      <c r="P2350" s="5" t="s">
        <v>238</v>
      </c>
      <c r="Q2350" s="5" t="s">
        <v>268</v>
      </c>
      <c r="R2350" s="5" t="s">
        <v>270</v>
      </c>
      <c r="S2350" s="5" t="s">
        <v>238</v>
      </c>
      <c r="V2350" s="5" t="s">
        <v>238</v>
      </c>
      <c r="X2350" s="6" t="s">
        <v>238</v>
      </c>
      <c r="AA2350" s="6" t="s">
        <v>243</v>
      </c>
      <c r="AB2350" s="5" t="s">
        <v>238</v>
      </c>
      <c r="AC2350" s="5" t="s">
        <v>244</v>
      </c>
      <c r="AD2350" s="5" t="s">
        <v>245</v>
      </c>
      <c r="AT2350" s="5" t="s">
        <v>246</v>
      </c>
      <c r="AU2350" s="5" t="s">
        <v>238</v>
      </c>
      <c r="AV2350" s="5" t="s">
        <v>247</v>
      </c>
      <c r="AW2350" s="5" t="s">
        <v>238</v>
      </c>
      <c r="AX2350" s="5" t="s">
        <v>249</v>
      </c>
      <c r="AY2350" s="5" t="s">
        <v>238</v>
      </c>
      <c r="BA2350" s="5" t="s">
        <v>238</v>
      </c>
      <c r="BC2350" s="5" t="s">
        <v>250</v>
      </c>
      <c r="BD2350" s="6" t="s">
        <v>243</v>
      </c>
      <c r="BE2350" s="5" t="s">
        <v>251</v>
      </c>
      <c r="BF2350" s="5" t="s">
        <v>252</v>
      </c>
      <c r="BG2350" s="5" t="s">
        <v>238</v>
      </c>
      <c r="BH2350" s="7">
        <f>0</f>
        <v>0</v>
      </c>
      <c r="BI2350" s="8">
        <f>0</f>
        <v>0</v>
      </c>
      <c r="BJ2350" s="5" t="s">
        <v>253</v>
      </c>
      <c r="BK2350" s="5" t="s">
        <v>254</v>
      </c>
      <c r="BY2350" s="5" t="s">
        <v>238</v>
      </c>
      <c r="BZ2350" s="5" t="s">
        <v>238</v>
      </c>
      <c r="CD2350" s="5" t="s">
        <v>273</v>
      </c>
      <c r="CE2350" s="5" t="s">
        <v>256</v>
      </c>
      <c r="CF2350" s="5" t="s">
        <v>238</v>
      </c>
      <c r="CI2350" s="6" t="s">
        <v>257</v>
      </c>
      <c r="CJ2350" s="5" t="s">
        <v>238</v>
      </c>
      <c r="CK2350" s="5" t="s">
        <v>258</v>
      </c>
      <c r="CL2350" s="5" t="s">
        <v>238</v>
      </c>
      <c r="CM2350" s="5" t="s">
        <v>238</v>
      </c>
      <c r="CN2350" s="5">
        <v>0</v>
      </c>
      <c r="CO2350" s="5" t="s">
        <v>259</v>
      </c>
      <c r="CP2350" s="5" t="s">
        <v>260</v>
      </c>
      <c r="CQ2350" s="5" t="s">
        <v>260</v>
      </c>
      <c r="CR2350" s="5" t="s">
        <v>261</v>
      </c>
      <c r="CU2350" s="8">
        <f>1</f>
        <v>1</v>
      </c>
      <c r="CV2350" s="8">
        <f>0</f>
        <v>0</v>
      </c>
      <c r="CX2350" s="8">
        <f>0</f>
        <v>0</v>
      </c>
      <c r="CY2350" s="8">
        <f>1</f>
        <v>1</v>
      </c>
      <c r="DA2350" s="5" t="s">
        <v>274</v>
      </c>
      <c r="DB2350" s="5" t="s">
        <v>238</v>
      </c>
      <c r="DD2350" s="5" t="s">
        <v>274</v>
      </c>
      <c r="DE2350" s="8">
        <f>549</f>
        <v>549</v>
      </c>
      <c r="DG2350" s="5" t="s">
        <v>238</v>
      </c>
      <c r="DH2350" s="5" t="s">
        <v>238</v>
      </c>
      <c r="DI2350" s="5" t="s">
        <v>238</v>
      </c>
      <c r="DJ2350" s="5" t="s">
        <v>238</v>
      </c>
      <c r="DN2350" s="5" t="s">
        <v>238</v>
      </c>
      <c r="DO2350" s="5" t="s">
        <v>238</v>
      </c>
      <c r="DP2350" s="5" t="s">
        <v>238</v>
      </c>
      <c r="DQ2350" s="5" t="s">
        <v>238</v>
      </c>
      <c r="DT2350" s="5" t="s">
        <v>275</v>
      </c>
      <c r="DU2350" s="5" t="s">
        <v>1688</v>
      </c>
      <c r="HM2350" s="5" t="s">
        <v>264</v>
      </c>
    </row>
    <row r="2351" spans="1:221" x14ac:dyDescent="0.4">
      <c r="A2351" s="5">
        <v>4055</v>
      </c>
      <c r="B2351" s="5">
        <v>1</v>
      </c>
      <c r="C2351" s="5">
        <v>1</v>
      </c>
      <c r="D2351" s="5" t="s">
        <v>269</v>
      </c>
      <c r="E2351" s="5" t="s">
        <v>271</v>
      </c>
      <c r="F2351" s="5" t="s">
        <v>248</v>
      </c>
      <c r="G2351" s="5" t="s">
        <v>266</v>
      </c>
      <c r="H2351" s="6" t="s">
        <v>1689</v>
      </c>
      <c r="I2351" s="7">
        <f>307</f>
        <v>307</v>
      </c>
      <c r="J2351" s="5" t="s">
        <v>262</v>
      </c>
      <c r="K2351" s="8">
        <f>1</f>
        <v>1</v>
      </c>
      <c r="L2351" s="6" t="s">
        <v>242</v>
      </c>
      <c r="M2351" s="5" t="s">
        <v>267</v>
      </c>
      <c r="N2351" s="5" t="s">
        <v>265</v>
      </c>
      <c r="O2351" s="5" t="s">
        <v>238</v>
      </c>
      <c r="P2351" s="5" t="s">
        <v>238</v>
      </c>
      <c r="Q2351" s="5" t="s">
        <v>268</v>
      </c>
      <c r="R2351" s="5" t="s">
        <v>270</v>
      </c>
      <c r="S2351" s="5" t="s">
        <v>238</v>
      </c>
      <c r="V2351" s="5" t="s">
        <v>238</v>
      </c>
      <c r="X2351" s="6" t="s">
        <v>238</v>
      </c>
      <c r="AA2351" s="6" t="s">
        <v>243</v>
      </c>
      <c r="AB2351" s="5" t="s">
        <v>238</v>
      </c>
      <c r="AC2351" s="5" t="s">
        <v>244</v>
      </c>
      <c r="AD2351" s="5" t="s">
        <v>245</v>
      </c>
      <c r="AT2351" s="5" t="s">
        <v>246</v>
      </c>
      <c r="AU2351" s="5" t="s">
        <v>238</v>
      </c>
      <c r="AV2351" s="5" t="s">
        <v>247</v>
      </c>
      <c r="AW2351" s="5" t="s">
        <v>238</v>
      </c>
      <c r="AX2351" s="5" t="s">
        <v>249</v>
      </c>
      <c r="AY2351" s="5" t="s">
        <v>238</v>
      </c>
      <c r="BA2351" s="5" t="s">
        <v>238</v>
      </c>
      <c r="BC2351" s="5" t="s">
        <v>250</v>
      </c>
      <c r="BD2351" s="6" t="s">
        <v>243</v>
      </c>
      <c r="BE2351" s="5" t="s">
        <v>251</v>
      </c>
      <c r="BF2351" s="5" t="s">
        <v>252</v>
      </c>
      <c r="BG2351" s="5" t="s">
        <v>238</v>
      </c>
      <c r="BH2351" s="7">
        <f>0</f>
        <v>0</v>
      </c>
      <c r="BI2351" s="8">
        <f>0</f>
        <v>0</v>
      </c>
      <c r="BJ2351" s="5" t="s">
        <v>253</v>
      </c>
      <c r="BK2351" s="5" t="s">
        <v>254</v>
      </c>
      <c r="BY2351" s="5" t="s">
        <v>238</v>
      </c>
      <c r="BZ2351" s="5" t="s">
        <v>238</v>
      </c>
      <c r="CD2351" s="5" t="s">
        <v>273</v>
      </c>
      <c r="CE2351" s="5" t="s">
        <v>256</v>
      </c>
      <c r="CF2351" s="5" t="s">
        <v>238</v>
      </c>
      <c r="CI2351" s="6" t="s">
        <v>257</v>
      </c>
      <c r="CJ2351" s="5" t="s">
        <v>238</v>
      </c>
      <c r="CK2351" s="5" t="s">
        <v>258</v>
      </c>
      <c r="CL2351" s="5" t="s">
        <v>238</v>
      </c>
      <c r="CM2351" s="5" t="s">
        <v>238</v>
      </c>
      <c r="CN2351" s="5">
        <v>0</v>
      </c>
      <c r="CO2351" s="5" t="s">
        <v>259</v>
      </c>
      <c r="CP2351" s="5" t="s">
        <v>260</v>
      </c>
      <c r="CQ2351" s="5" t="s">
        <v>260</v>
      </c>
      <c r="CR2351" s="5" t="s">
        <v>261</v>
      </c>
      <c r="CU2351" s="8">
        <f>1</f>
        <v>1</v>
      </c>
      <c r="CV2351" s="8">
        <f>0</f>
        <v>0</v>
      </c>
      <c r="CX2351" s="8">
        <f>0</f>
        <v>0</v>
      </c>
      <c r="CY2351" s="8">
        <f>1</f>
        <v>1</v>
      </c>
      <c r="DA2351" s="5" t="s">
        <v>274</v>
      </c>
      <c r="DB2351" s="5" t="s">
        <v>238</v>
      </c>
      <c r="DD2351" s="5" t="s">
        <v>274</v>
      </c>
      <c r="DE2351" s="8">
        <f>307</f>
        <v>307</v>
      </c>
      <c r="DG2351" s="5" t="s">
        <v>238</v>
      </c>
      <c r="DH2351" s="5" t="s">
        <v>238</v>
      </c>
      <c r="DI2351" s="5" t="s">
        <v>238</v>
      </c>
      <c r="DJ2351" s="5" t="s">
        <v>238</v>
      </c>
      <c r="DN2351" s="5" t="s">
        <v>238</v>
      </c>
      <c r="DO2351" s="5" t="s">
        <v>238</v>
      </c>
      <c r="DP2351" s="5" t="s">
        <v>238</v>
      </c>
      <c r="DQ2351" s="5" t="s">
        <v>238</v>
      </c>
      <c r="DT2351" s="5" t="s">
        <v>275</v>
      </c>
      <c r="DU2351" s="5" t="s">
        <v>1690</v>
      </c>
      <c r="HM2351" s="5" t="s">
        <v>264</v>
      </c>
    </row>
    <row r="2352" spans="1:221" x14ac:dyDescent="0.4">
      <c r="A2352" s="5">
        <v>4056</v>
      </c>
      <c r="B2352" s="5">
        <v>1</v>
      </c>
      <c r="C2352" s="5">
        <v>1</v>
      </c>
      <c r="D2352" s="5" t="s">
        <v>269</v>
      </c>
      <c r="E2352" s="5" t="s">
        <v>271</v>
      </c>
      <c r="F2352" s="5" t="s">
        <v>248</v>
      </c>
      <c r="G2352" s="5" t="s">
        <v>266</v>
      </c>
      <c r="H2352" s="6" t="s">
        <v>725</v>
      </c>
      <c r="I2352" s="7">
        <f>212</f>
        <v>212</v>
      </c>
      <c r="J2352" s="5" t="s">
        <v>262</v>
      </c>
      <c r="K2352" s="8">
        <f>1</f>
        <v>1</v>
      </c>
      <c r="L2352" s="6" t="s">
        <v>242</v>
      </c>
      <c r="M2352" s="5" t="s">
        <v>267</v>
      </c>
      <c r="N2352" s="5" t="s">
        <v>265</v>
      </c>
      <c r="O2352" s="5" t="s">
        <v>238</v>
      </c>
      <c r="P2352" s="5" t="s">
        <v>238</v>
      </c>
      <c r="Q2352" s="5" t="s">
        <v>268</v>
      </c>
      <c r="R2352" s="5" t="s">
        <v>270</v>
      </c>
      <c r="S2352" s="5" t="s">
        <v>238</v>
      </c>
      <c r="V2352" s="5" t="s">
        <v>238</v>
      </c>
      <c r="X2352" s="6" t="s">
        <v>238</v>
      </c>
      <c r="AA2352" s="6" t="s">
        <v>243</v>
      </c>
      <c r="AB2352" s="5" t="s">
        <v>238</v>
      </c>
      <c r="AC2352" s="5" t="s">
        <v>244</v>
      </c>
      <c r="AD2352" s="5" t="s">
        <v>245</v>
      </c>
      <c r="AT2352" s="5" t="s">
        <v>246</v>
      </c>
      <c r="AU2352" s="5" t="s">
        <v>238</v>
      </c>
      <c r="AV2352" s="5" t="s">
        <v>247</v>
      </c>
      <c r="AW2352" s="5" t="s">
        <v>238</v>
      </c>
      <c r="AX2352" s="5" t="s">
        <v>249</v>
      </c>
      <c r="AY2352" s="5" t="s">
        <v>238</v>
      </c>
      <c r="BA2352" s="5" t="s">
        <v>238</v>
      </c>
      <c r="BC2352" s="5" t="s">
        <v>250</v>
      </c>
      <c r="BD2352" s="6" t="s">
        <v>243</v>
      </c>
      <c r="BE2352" s="5" t="s">
        <v>251</v>
      </c>
      <c r="BF2352" s="5" t="s">
        <v>252</v>
      </c>
      <c r="BG2352" s="5" t="s">
        <v>238</v>
      </c>
      <c r="BH2352" s="7">
        <f>0</f>
        <v>0</v>
      </c>
      <c r="BI2352" s="8">
        <f>0</f>
        <v>0</v>
      </c>
      <c r="BJ2352" s="5" t="s">
        <v>253</v>
      </c>
      <c r="BK2352" s="5" t="s">
        <v>254</v>
      </c>
      <c r="BY2352" s="5" t="s">
        <v>238</v>
      </c>
      <c r="BZ2352" s="5" t="s">
        <v>238</v>
      </c>
      <c r="CD2352" s="5" t="s">
        <v>273</v>
      </c>
      <c r="CE2352" s="5" t="s">
        <v>256</v>
      </c>
      <c r="CF2352" s="5" t="s">
        <v>238</v>
      </c>
      <c r="CI2352" s="6" t="s">
        <v>257</v>
      </c>
      <c r="CJ2352" s="5" t="s">
        <v>238</v>
      </c>
      <c r="CK2352" s="5" t="s">
        <v>258</v>
      </c>
      <c r="CL2352" s="5" t="s">
        <v>238</v>
      </c>
      <c r="CM2352" s="5" t="s">
        <v>238</v>
      </c>
      <c r="CN2352" s="5">
        <v>0</v>
      </c>
      <c r="CO2352" s="5" t="s">
        <v>259</v>
      </c>
      <c r="CP2352" s="5" t="s">
        <v>260</v>
      </c>
      <c r="CQ2352" s="5" t="s">
        <v>260</v>
      </c>
      <c r="CR2352" s="5" t="s">
        <v>261</v>
      </c>
      <c r="CU2352" s="8">
        <f>1</f>
        <v>1</v>
      </c>
      <c r="CV2352" s="8">
        <f>0</f>
        <v>0</v>
      </c>
      <c r="CX2352" s="8">
        <f>0</f>
        <v>0</v>
      </c>
      <c r="CY2352" s="8">
        <f>1</f>
        <v>1</v>
      </c>
      <c r="DA2352" s="5" t="s">
        <v>274</v>
      </c>
      <c r="DB2352" s="5" t="s">
        <v>238</v>
      </c>
      <c r="DD2352" s="5" t="s">
        <v>274</v>
      </c>
      <c r="DE2352" s="8">
        <f>212</f>
        <v>212</v>
      </c>
      <c r="DG2352" s="5" t="s">
        <v>238</v>
      </c>
      <c r="DH2352" s="5" t="s">
        <v>238</v>
      </c>
      <c r="DI2352" s="5" t="s">
        <v>238</v>
      </c>
      <c r="DJ2352" s="5" t="s">
        <v>238</v>
      </c>
      <c r="DN2352" s="5" t="s">
        <v>238</v>
      </c>
      <c r="DO2352" s="5" t="s">
        <v>238</v>
      </c>
      <c r="DP2352" s="5" t="s">
        <v>238</v>
      </c>
      <c r="DQ2352" s="5" t="s">
        <v>238</v>
      </c>
      <c r="DT2352" s="5" t="s">
        <v>275</v>
      </c>
      <c r="DU2352" s="5" t="s">
        <v>726</v>
      </c>
      <c r="HM2352" s="5" t="s">
        <v>264</v>
      </c>
    </row>
    <row r="2353" spans="1:221" x14ac:dyDescent="0.4">
      <c r="A2353" s="5">
        <v>4057</v>
      </c>
      <c r="B2353" s="5">
        <v>1</v>
      </c>
      <c r="C2353" s="5">
        <v>1</v>
      </c>
      <c r="D2353" s="5" t="s">
        <v>269</v>
      </c>
      <c r="E2353" s="5" t="s">
        <v>271</v>
      </c>
      <c r="F2353" s="5" t="s">
        <v>248</v>
      </c>
      <c r="G2353" s="5" t="s">
        <v>266</v>
      </c>
      <c r="H2353" s="6" t="s">
        <v>4351</v>
      </c>
      <c r="I2353" s="7">
        <f>321</f>
        <v>321</v>
      </c>
      <c r="J2353" s="5" t="s">
        <v>262</v>
      </c>
      <c r="K2353" s="8">
        <f>1</f>
        <v>1</v>
      </c>
      <c r="L2353" s="6" t="s">
        <v>242</v>
      </c>
      <c r="M2353" s="5" t="s">
        <v>267</v>
      </c>
      <c r="N2353" s="5" t="s">
        <v>265</v>
      </c>
      <c r="O2353" s="5" t="s">
        <v>238</v>
      </c>
      <c r="P2353" s="5" t="s">
        <v>238</v>
      </c>
      <c r="Q2353" s="5" t="s">
        <v>268</v>
      </c>
      <c r="R2353" s="5" t="s">
        <v>270</v>
      </c>
      <c r="S2353" s="5" t="s">
        <v>238</v>
      </c>
      <c r="V2353" s="5" t="s">
        <v>238</v>
      </c>
      <c r="X2353" s="6" t="s">
        <v>238</v>
      </c>
      <c r="AA2353" s="6" t="s">
        <v>243</v>
      </c>
      <c r="AB2353" s="5" t="s">
        <v>238</v>
      </c>
      <c r="AC2353" s="5" t="s">
        <v>244</v>
      </c>
      <c r="AD2353" s="5" t="s">
        <v>245</v>
      </c>
      <c r="AT2353" s="5" t="s">
        <v>246</v>
      </c>
      <c r="AU2353" s="5" t="s">
        <v>238</v>
      </c>
      <c r="AV2353" s="5" t="s">
        <v>247</v>
      </c>
      <c r="AW2353" s="5" t="s">
        <v>238</v>
      </c>
      <c r="AX2353" s="5" t="s">
        <v>249</v>
      </c>
      <c r="AY2353" s="5" t="s">
        <v>238</v>
      </c>
      <c r="BA2353" s="5" t="s">
        <v>238</v>
      </c>
      <c r="BC2353" s="5" t="s">
        <v>250</v>
      </c>
      <c r="BD2353" s="6" t="s">
        <v>243</v>
      </c>
      <c r="BE2353" s="5" t="s">
        <v>251</v>
      </c>
      <c r="BF2353" s="5" t="s">
        <v>252</v>
      </c>
      <c r="BG2353" s="5" t="s">
        <v>238</v>
      </c>
      <c r="BH2353" s="7">
        <f>0</f>
        <v>0</v>
      </c>
      <c r="BI2353" s="8">
        <f>0</f>
        <v>0</v>
      </c>
      <c r="BJ2353" s="5" t="s">
        <v>253</v>
      </c>
      <c r="BK2353" s="5" t="s">
        <v>254</v>
      </c>
      <c r="BY2353" s="5" t="s">
        <v>238</v>
      </c>
      <c r="BZ2353" s="5" t="s">
        <v>238</v>
      </c>
      <c r="CD2353" s="5" t="s">
        <v>273</v>
      </c>
      <c r="CE2353" s="5" t="s">
        <v>256</v>
      </c>
      <c r="CF2353" s="5" t="s">
        <v>238</v>
      </c>
      <c r="CI2353" s="6" t="s">
        <v>257</v>
      </c>
      <c r="CJ2353" s="5" t="s">
        <v>238</v>
      </c>
      <c r="CK2353" s="5" t="s">
        <v>258</v>
      </c>
      <c r="CL2353" s="5" t="s">
        <v>238</v>
      </c>
      <c r="CM2353" s="5" t="s">
        <v>238</v>
      </c>
      <c r="CN2353" s="5">
        <v>0</v>
      </c>
      <c r="CO2353" s="5" t="s">
        <v>259</v>
      </c>
      <c r="CP2353" s="5" t="s">
        <v>260</v>
      </c>
      <c r="CQ2353" s="5" t="s">
        <v>260</v>
      </c>
      <c r="CR2353" s="5" t="s">
        <v>261</v>
      </c>
      <c r="CU2353" s="8">
        <f>1</f>
        <v>1</v>
      </c>
      <c r="CV2353" s="8">
        <f>0</f>
        <v>0</v>
      </c>
      <c r="CX2353" s="8">
        <f>0</f>
        <v>0</v>
      </c>
      <c r="CY2353" s="8">
        <f>1</f>
        <v>1</v>
      </c>
      <c r="DA2353" s="5" t="s">
        <v>274</v>
      </c>
      <c r="DB2353" s="5" t="s">
        <v>238</v>
      </c>
      <c r="DD2353" s="5" t="s">
        <v>274</v>
      </c>
      <c r="DE2353" s="8">
        <f>321</f>
        <v>321</v>
      </c>
      <c r="DG2353" s="5" t="s">
        <v>238</v>
      </c>
      <c r="DH2353" s="5" t="s">
        <v>238</v>
      </c>
      <c r="DI2353" s="5" t="s">
        <v>238</v>
      </c>
      <c r="DJ2353" s="5" t="s">
        <v>238</v>
      </c>
      <c r="DN2353" s="5" t="s">
        <v>238</v>
      </c>
      <c r="DO2353" s="5" t="s">
        <v>238</v>
      </c>
      <c r="DP2353" s="5" t="s">
        <v>238</v>
      </c>
      <c r="DQ2353" s="5" t="s">
        <v>238</v>
      </c>
      <c r="DT2353" s="5" t="s">
        <v>275</v>
      </c>
      <c r="DU2353" s="5" t="s">
        <v>2916</v>
      </c>
      <c r="HM2353" s="5" t="s">
        <v>264</v>
      </c>
    </row>
    <row r="2354" spans="1:221" x14ac:dyDescent="0.4">
      <c r="A2354" s="5">
        <v>4058</v>
      </c>
      <c r="B2354" s="5">
        <v>1</v>
      </c>
      <c r="C2354" s="5">
        <v>1</v>
      </c>
      <c r="D2354" s="5" t="s">
        <v>269</v>
      </c>
      <c r="E2354" s="5" t="s">
        <v>271</v>
      </c>
      <c r="F2354" s="5" t="s">
        <v>248</v>
      </c>
      <c r="G2354" s="5" t="s">
        <v>266</v>
      </c>
      <c r="H2354" s="6" t="s">
        <v>4257</v>
      </c>
      <c r="I2354" s="7">
        <f>1112</f>
        <v>1112</v>
      </c>
      <c r="J2354" s="5" t="s">
        <v>262</v>
      </c>
      <c r="K2354" s="8">
        <f>1</f>
        <v>1</v>
      </c>
      <c r="L2354" s="6" t="s">
        <v>242</v>
      </c>
      <c r="M2354" s="5" t="s">
        <v>267</v>
      </c>
      <c r="N2354" s="5" t="s">
        <v>265</v>
      </c>
      <c r="O2354" s="5" t="s">
        <v>238</v>
      </c>
      <c r="P2354" s="5" t="s">
        <v>238</v>
      </c>
      <c r="Q2354" s="5" t="s">
        <v>268</v>
      </c>
      <c r="R2354" s="5" t="s">
        <v>270</v>
      </c>
      <c r="S2354" s="5" t="s">
        <v>238</v>
      </c>
      <c r="V2354" s="5" t="s">
        <v>238</v>
      </c>
      <c r="X2354" s="6" t="s">
        <v>238</v>
      </c>
      <c r="AA2354" s="6" t="s">
        <v>243</v>
      </c>
      <c r="AB2354" s="5" t="s">
        <v>238</v>
      </c>
      <c r="AC2354" s="5" t="s">
        <v>244</v>
      </c>
      <c r="AD2354" s="5" t="s">
        <v>245</v>
      </c>
      <c r="AT2354" s="5" t="s">
        <v>246</v>
      </c>
      <c r="AU2354" s="5" t="s">
        <v>238</v>
      </c>
      <c r="AV2354" s="5" t="s">
        <v>247</v>
      </c>
      <c r="AW2354" s="5" t="s">
        <v>238</v>
      </c>
      <c r="AX2354" s="5" t="s">
        <v>249</v>
      </c>
      <c r="AY2354" s="5" t="s">
        <v>238</v>
      </c>
      <c r="BA2354" s="5" t="s">
        <v>238</v>
      </c>
      <c r="BC2354" s="5" t="s">
        <v>250</v>
      </c>
      <c r="BD2354" s="6" t="s">
        <v>243</v>
      </c>
      <c r="BE2354" s="5" t="s">
        <v>251</v>
      </c>
      <c r="BF2354" s="5" t="s">
        <v>252</v>
      </c>
      <c r="BG2354" s="5" t="s">
        <v>238</v>
      </c>
      <c r="BH2354" s="7">
        <f>0</f>
        <v>0</v>
      </c>
      <c r="BI2354" s="8">
        <f>0</f>
        <v>0</v>
      </c>
      <c r="BJ2354" s="5" t="s">
        <v>253</v>
      </c>
      <c r="BK2354" s="5" t="s">
        <v>254</v>
      </c>
      <c r="BY2354" s="5" t="s">
        <v>238</v>
      </c>
      <c r="BZ2354" s="5" t="s">
        <v>238</v>
      </c>
      <c r="CD2354" s="5" t="s">
        <v>273</v>
      </c>
      <c r="CE2354" s="5" t="s">
        <v>256</v>
      </c>
      <c r="CF2354" s="5" t="s">
        <v>238</v>
      </c>
      <c r="CI2354" s="6" t="s">
        <v>257</v>
      </c>
      <c r="CJ2354" s="5" t="s">
        <v>238</v>
      </c>
      <c r="CK2354" s="5" t="s">
        <v>258</v>
      </c>
      <c r="CL2354" s="5" t="s">
        <v>238</v>
      </c>
      <c r="CM2354" s="5" t="s">
        <v>238</v>
      </c>
      <c r="CN2354" s="5">
        <v>0</v>
      </c>
      <c r="CO2354" s="5" t="s">
        <v>259</v>
      </c>
      <c r="CP2354" s="5" t="s">
        <v>260</v>
      </c>
      <c r="CQ2354" s="5" t="s">
        <v>260</v>
      </c>
      <c r="CR2354" s="5" t="s">
        <v>261</v>
      </c>
      <c r="CU2354" s="8">
        <f>1</f>
        <v>1</v>
      </c>
      <c r="CV2354" s="8">
        <f>0</f>
        <v>0</v>
      </c>
      <c r="CX2354" s="8">
        <f>0</f>
        <v>0</v>
      </c>
      <c r="CY2354" s="8">
        <f>1</f>
        <v>1</v>
      </c>
      <c r="DA2354" s="5" t="s">
        <v>274</v>
      </c>
      <c r="DB2354" s="5" t="s">
        <v>238</v>
      </c>
      <c r="DD2354" s="5" t="s">
        <v>274</v>
      </c>
      <c r="DE2354" s="8">
        <f>1112</f>
        <v>1112</v>
      </c>
      <c r="DG2354" s="5" t="s">
        <v>238</v>
      </c>
      <c r="DH2354" s="5" t="s">
        <v>238</v>
      </c>
      <c r="DI2354" s="5" t="s">
        <v>238</v>
      </c>
      <c r="DJ2354" s="5" t="s">
        <v>238</v>
      </c>
      <c r="DN2354" s="5" t="s">
        <v>238</v>
      </c>
      <c r="DO2354" s="5" t="s">
        <v>238</v>
      </c>
      <c r="DP2354" s="5" t="s">
        <v>238</v>
      </c>
      <c r="DQ2354" s="5" t="s">
        <v>238</v>
      </c>
      <c r="DT2354" s="5" t="s">
        <v>275</v>
      </c>
      <c r="DU2354" s="5" t="s">
        <v>2914</v>
      </c>
      <c r="HM2354" s="5" t="s">
        <v>264</v>
      </c>
    </row>
    <row r="2355" spans="1:221" x14ac:dyDescent="0.4">
      <c r="A2355" s="5">
        <v>4059</v>
      </c>
      <c r="B2355" s="5">
        <v>1</v>
      </c>
      <c r="C2355" s="5">
        <v>1</v>
      </c>
      <c r="D2355" s="5" t="s">
        <v>269</v>
      </c>
      <c r="E2355" s="5" t="s">
        <v>271</v>
      </c>
      <c r="F2355" s="5" t="s">
        <v>248</v>
      </c>
      <c r="G2355" s="5" t="s">
        <v>266</v>
      </c>
      <c r="H2355" s="6" t="s">
        <v>4242</v>
      </c>
      <c r="I2355" s="7">
        <f>287</f>
        <v>287</v>
      </c>
      <c r="J2355" s="5" t="s">
        <v>262</v>
      </c>
      <c r="K2355" s="8">
        <f>1</f>
        <v>1</v>
      </c>
      <c r="L2355" s="6" t="s">
        <v>242</v>
      </c>
      <c r="M2355" s="5" t="s">
        <v>267</v>
      </c>
      <c r="N2355" s="5" t="s">
        <v>265</v>
      </c>
      <c r="O2355" s="5" t="s">
        <v>238</v>
      </c>
      <c r="P2355" s="5" t="s">
        <v>238</v>
      </c>
      <c r="Q2355" s="5" t="s">
        <v>268</v>
      </c>
      <c r="R2355" s="5" t="s">
        <v>270</v>
      </c>
      <c r="S2355" s="5" t="s">
        <v>238</v>
      </c>
      <c r="V2355" s="5" t="s">
        <v>238</v>
      </c>
      <c r="X2355" s="6" t="s">
        <v>238</v>
      </c>
      <c r="AA2355" s="6" t="s">
        <v>243</v>
      </c>
      <c r="AB2355" s="5" t="s">
        <v>238</v>
      </c>
      <c r="AC2355" s="5" t="s">
        <v>244</v>
      </c>
      <c r="AD2355" s="5" t="s">
        <v>245</v>
      </c>
      <c r="AT2355" s="5" t="s">
        <v>246</v>
      </c>
      <c r="AU2355" s="5" t="s">
        <v>238</v>
      </c>
      <c r="AV2355" s="5" t="s">
        <v>247</v>
      </c>
      <c r="AW2355" s="5" t="s">
        <v>238</v>
      </c>
      <c r="AX2355" s="5" t="s">
        <v>249</v>
      </c>
      <c r="AY2355" s="5" t="s">
        <v>238</v>
      </c>
      <c r="BA2355" s="5" t="s">
        <v>238</v>
      </c>
      <c r="BC2355" s="5" t="s">
        <v>250</v>
      </c>
      <c r="BD2355" s="6" t="s">
        <v>243</v>
      </c>
      <c r="BE2355" s="5" t="s">
        <v>251</v>
      </c>
      <c r="BF2355" s="5" t="s">
        <v>252</v>
      </c>
      <c r="BG2355" s="5" t="s">
        <v>238</v>
      </c>
      <c r="BH2355" s="7">
        <f>0</f>
        <v>0</v>
      </c>
      <c r="BI2355" s="8">
        <f>0</f>
        <v>0</v>
      </c>
      <c r="BJ2355" s="5" t="s">
        <v>253</v>
      </c>
      <c r="BK2355" s="5" t="s">
        <v>254</v>
      </c>
      <c r="BY2355" s="5" t="s">
        <v>238</v>
      </c>
      <c r="BZ2355" s="5" t="s">
        <v>238</v>
      </c>
      <c r="CD2355" s="5" t="s">
        <v>273</v>
      </c>
      <c r="CE2355" s="5" t="s">
        <v>256</v>
      </c>
      <c r="CF2355" s="5" t="s">
        <v>238</v>
      </c>
      <c r="CI2355" s="6" t="s">
        <v>257</v>
      </c>
      <c r="CJ2355" s="5" t="s">
        <v>238</v>
      </c>
      <c r="CK2355" s="5" t="s">
        <v>258</v>
      </c>
      <c r="CL2355" s="5" t="s">
        <v>238</v>
      </c>
      <c r="CM2355" s="5" t="s">
        <v>238</v>
      </c>
      <c r="CN2355" s="5">
        <v>0</v>
      </c>
      <c r="CO2355" s="5" t="s">
        <v>259</v>
      </c>
      <c r="CP2355" s="5" t="s">
        <v>260</v>
      </c>
      <c r="CQ2355" s="5" t="s">
        <v>260</v>
      </c>
      <c r="CR2355" s="5" t="s">
        <v>261</v>
      </c>
      <c r="CU2355" s="8">
        <f>1</f>
        <v>1</v>
      </c>
      <c r="CV2355" s="8">
        <f>0</f>
        <v>0</v>
      </c>
      <c r="CX2355" s="8">
        <f>0</f>
        <v>0</v>
      </c>
      <c r="CY2355" s="8">
        <f>1</f>
        <v>1</v>
      </c>
      <c r="DA2355" s="5" t="s">
        <v>274</v>
      </c>
      <c r="DB2355" s="5" t="s">
        <v>238</v>
      </c>
      <c r="DD2355" s="5" t="s">
        <v>274</v>
      </c>
      <c r="DE2355" s="8">
        <f>287</f>
        <v>287</v>
      </c>
      <c r="DG2355" s="5" t="s">
        <v>238</v>
      </c>
      <c r="DH2355" s="5" t="s">
        <v>238</v>
      </c>
      <c r="DI2355" s="5" t="s">
        <v>238</v>
      </c>
      <c r="DJ2355" s="5" t="s">
        <v>238</v>
      </c>
      <c r="DN2355" s="5" t="s">
        <v>238</v>
      </c>
      <c r="DO2355" s="5" t="s">
        <v>238</v>
      </c>
      <c r="DP2355" s="5" t="s">
        <v>238</v>
      </c>
      <c r="DQ2355" s="5" t="s">
        <v>238</v>
      </c>
      <c r="DT2355" s="5" t="s">
        <v>275</v>
      </c>
      <c r="DU2355" s="5" t="s">
        <v>2912</v>
      </c>
      <c r="HM2355" s="5" t="s">
        <v>264</v>
      </c>
    </row>
    <row r="2356" spans="1:221" x14ac:dyDescent="0.4">
      <c r="A2356" s="5">
        <v>4060</v>
      </c>
      <c r="B2356" s="5">
        <v>1</v>
      </c>
      <c r="C2356" s="5">
        <v>1</v>
      </c>
      <c r="D2356" s="5" t="s">
        <v>269</v>
      </c>
      <c r="E2356" s="5" t="s">
        <v>271</v>
      </c>
      <c r="F2356" s="5" t="s">
        <v>248</v>
      </c>
      <c r="G2356" s="5" t="s">
        <v>266</v>
      </c>
      <c r="H2356" s="6" t="s">
        <v>4210</v>
      </c>
      <c r="I2356" s="7">
        <f>1279</f>
        <v>1279</v>
      </c>
      <c r="J2356" s="5" t="s">
        <v>262</v>
      </c>
      <c r="K2356" s="8">
        <f>1</f>
        <v>1</v>
      </c>
      <c r="L2356" s="6" t="s">
        <v>242</v>
      </c>
      <c r="M2356" s="5" t="s">
        <v>267</v>
      </c>
      <c r="N2356" s="5" t="s">
        <v>265</v>
      </c>
      <c r="O2356" s="5" t="s">
        <v>238</v>
      </c>
      <c r="P2356" s="5" t="s">
        <v>238</v>
      </c>
      <c r="Q2356" s="5" t="s">
        <v>268</v>
      </c>
      <c r="R2356" s="5" t="s">
        <v>270</v>
      </c>
      <c r="S2356" s="5" t="s">
        <v>238</v>
      </c>
      <c r="V2356" s="5" t="s">
        <v>238</v>
      </c>
      <c r="X2356" s="6" t="s">
        <v>238</v>
      </c>
      <c r="AA2356" s="6" t="s">
        <v>243</v>
      </c>
      <c r="AB2356" s="5" t="s">
        <v>238</v>
      </c>
      <c r="AC2356" s="5" t="s">
        <v>244</v>
      </c>
      <c r="AD2356" s="5" t="s">
        <v>245</v>
      </c>
      <c r="AT2356" s="5" t="s">
        <v>246</v>
      </c>
      <c r="AU2356" s="5" t="s">
        <v>238</v>
      </c>
      <c r="AV2356" s="5" t="s">
        <v>247</v>
      </c>
      <c r="AW2356" s="5" t="s">
        <v>238</v>
      </c>
      <c r="AX2356" s="5" t="s">
        <v>249</v>
      </c>
      <c r="AY2356" s="5" t="s">
        <v>238</v>
      </c>
      <c r="BA2356" s="5" t="s">
        <v>238</v>
      </c>
      <c r="BC2356" s="5" t="s">
        <v>250</v>
      </c>
      <c r="BD2356" s="6" t="s">
        <v>243</v>
      </c>
      <c r="BE2356" s="5" t="s">
        <v>251</v>
      </c>
      <c r="BF2356" s="5" t="s">
        <v>252</v>
      </c>
      <c r="BG2356" s="5" t="s">
        <v>238</v>
      </c>
      <c r="BH2356" s="7">
        <f>0</f>
        <v>0</v>
      </c>
      <c r="BI2356" s="8">
        <f>0</f>
        <v>0</v>
      </c>
      <c r="BJ2356" s="5" t="s">
        <v>253</v>
      </c>
      <c r="BK2356" s="5" t="s">
        <v>254</v>
      </c>
      <c r="BY2356" s="5" t="s">
        <v>238</v>
      </c>
      <c r="BZ2356" s="5" t="s">
        <v>238</v>
      </c>
      <c r="CD2356" s="5" t="s">
        <v>273</v>
      </c>
      <c r="CE2356" s="5" t="s">
        <v>256</v>
      </c>
      <c r="CF2356" s="5" t="s">
        <v>238</v>
      </c>
      <c r="CI2356" s="6" t="s">
        <v>257</v>
      </c>
      <c r="CJ2356" s="5" t="s">
        <v>238</v>
      </c>
      <c r="CK2356" s="5" t="s">
        <v>258</v>
      </c>
      <c r="CL2356" s="5" t="s">
        <v>238</v>
      </c>
      <c r="CM2356" s="5" t="s">
        <v>238</v>
      </c>
      <c r="CN2356" s="5">
        <v>0</v>
      </c>
      <c r="CO2356" s="5" t="s">
        <v>259</v>
      </c>
      <c r="CP2356" s="5" t="s">
        <v>260</v>
      </c>
      <c r="CQ2356" s="5" t="s">
        <v>260</v>
      </c>
      <c r="CR2356" s="5" t="s">
        <v>261</v>
      </c>
      <c r="CU2356" s="8">
        <f>1</f>
        <v>1</v>
      </c>
      <c r="CV2356" s="8">
        <f>0</f>
        <v>0</v>
      </c>
      <c r="CX2356" s="8">
        <f>0</f>
        <v>0</v>
      </c>
      <c r="CY2356" s="8">
        <f>1</f>
        <v>1</v>
      </c>
      <c r="DA2356" s="5" t="s">
        <v>274</v>
      </c>
      <c r="DB2356" s="5" t="s">
        <v>238</v>
      </c>
      <c r="DD2356" s="5" t="s">
        <v>274</v>
      </c>
      <c r="DE2356" s="8">
        <f>1279</f>
        <v>1279</v>
      </c>
      <c r="DG2356" s="5" t="s">
        <v>238</v>
      </c>
      <c r="DH2356" s="5" t="s">
        <v>238</v>
      </c>
      <c r="DI2356" s="5" t="s">
        <v>238</v>
      </c>
      <c r="DJ2356" s="5" t="s">
        <v>238</v>
      </c>
      <c r="DN2356" s="5" t="s">
        <v>238</v>
      </c>
      <c r="DO2356" s="5" t="s">
        <v>238</v>
      </c>
      <c r="DP2356" s="5" t="s">
        <v>238</v>
      </c>
      <c r="DQ2356" s="5" t="s">
        <v>238</v>
      </c>
      <c r="DT2356" s="5" t="s">
        <v>275</v>
      </c>
      <c r="DU2356" s="5" t="s">
        <v>2910</v>
      </c>
      <c r="HM2356" s="5" t="s">
        <v>264</v>
      </c>
    </row>
    <row r="2357" spans="1:221" x14ac:dyDescent="0.4">
      <c r="A2357" s="5">
        <v>4061</v>
      </c>
      <c r="B2357" s="5">
        <v>1</v>
      </c>
      <c r="C2357" s="5">
        <v>1</v>
      </c>
      <c r="D2357" s="5" t="s">
        <v>269</v>
      </c>
      <c r="E2357" s="5" t="s">
        <v>271</v>
      </c>
      <c r="F2357" s="5" t="s">
        <v>248</v>
      </c>
      <c r="G2357" s="5" t="s">
        <v>266</v>
      </c>
      <c r="H2357" s="6" t="s">
        <v>4177</v>
      </c>
      <c r="I2357" s="7">
        <f>928</f>
        <v>928</v>
      </c>
      <c r="J2357" s="5" t="s">
        <v>262</v>
      </c>
      <c r="K2357" s="8">
        <f>1</f>
        <v>1</v>
      </c>
      <c r="L2357" s="6" t="s">
        <v>242</v>
      </c>
      <c r="M2357" s="5" t="s">
        <v>267</v>
      </c>
      <c r="N2357" s="5" t="s">
        <v>265</v>
      </c>
      <c r="O2357" s="5" t="s">
        <v>238</v>
      </c>
      <c r="P2357" s="5" t="s">
        <v>238</v>
      </c>
      <c r="Q2357" s="5" t="s">
        <v>268</v>
      </c>
      <c r="R2357" s="5" t="s">
        <v>270</v>
      </c>
      <c r="S2357" s="5" t="s">
        <v>238</v>
      </c>
      <c r="V2357" s="5" t="s">
        <v>238</v>
      </c>
      <c r="X2357" s="6" t="s">
        <v>238</v>
      </c>
      <c r="AA2357" s="6" t="s">
        <v>243</v>
      </c>
      <c r="AB2357" s="5" t="s">
        <v>238</v>
      </c>
      <c r="AC2357" s="5" t="s">
        <v>244</v>
      </c>
      <c r="AD2357" s="5" t="s">
        <v>245</v>
      </c>
      <c r="AT2357" s="5" t="s">
        <v>246</v>
      </c>
      <c r="AU2357" s="5" t="s">
        <v>238</v>
      </c>
      <c r="AV2357" s="5" t="s">
        <v>247</v>
      </c>
      <c r="AW2357" s="5" t="s">
        <v>238</v>
      </c>
      <c r="AX2357" s="5" t="s">
        <v>249</v>
      </c>
      <c r="AY2357" s="5" t="s">
        <v>238</v>
      </c>
      <c r="BA2357" s="5" t="s">
        <v>238</v>
      </c>
      <c r="BC2357" s="5" t="s">
        <v>250</v>
      </c>
      <c r="BD2357" s="6" t="s">
        <v>243</v>
      </c>
      <c r="BE2357" s="5" t="s">
        <v>251</v>
      </c>
      <c r="BF2357" s="5" t="s">
        <v>252</v>
      </c>
      <c r="BG2357" s="5" t="s">
        <v>238</v>
      </c>
      <c r="BH2357" s="7">
        <f>0</f>
        <v>0</v>
      </c>
      <c r="BI2357" s="8">
        <f>0</f>
        <v>0</v>
      </c>
      <c r="BJ2357" s="5" t="s">
        <v>253</v>
      </c>
      <c r="BK2357" s="5" t="s">
        <v>254</v>
      </c>
      <c r="BY2357" s="5" t="s">
        <v>238</v>
      </c>
      <c r="BZ2357" s="5" t="s">
        <v>238</v>
      </c>
      <c r="CD2357" s="5" t="s">
        <v>273</v>
      </c>
      <c r="CE2357" s="5" t="s">
        <v>256</v>
      </c>
      <c r="CF2357" s="5" t="s">
        <v>238</v>
      </c>
      <c r="CI2357" s="6" t="s">
        <v>257</v>
      </c>
      <c r="CJ2357" s="5" t="s">
        <v>238</v>
      </c>
      <c r="CK2357" s="5" t="s">
        <v>258</v>
      </c>
      <c r="CL2357" s="5" t="s">
        <v>238</v>
      </c>
      <c r="CM2357" s="5" t="s">
        <v>238</v>
      </c>
      <c r="CN2357" s="5">
        <v>0</v>
      </c>
      <c r="CO2357" s="5" t="s">
        <v>259</v>
      </c>
      <c r="CP2357" s="5" t="s">
        <v>260</v>
      </c>
      <c r="CQ2357" s="5" t="s">
        <v>260</v>
      </c>
      <c r="CR2357" s="5" t="s">
        <v>261</v>
      </c>
      <c r="CU2357" s="8">
        <f>1</f>
        <v>1</v>
      </c>
      <c r="CV2357" s="8">
        <f>0</f>
        <v>0</v>
      </c>
      <c r="CX2357" s="8">
        <f>0</f>
        <v>0</v>
      </c>
      <c r="CY2357" s="8">
        <f>1</f>
        <v>1</v>
      </c>
      <c r="DA2357" s="5" t="s">
        <v>274</v>
      </c>
      <c r="DB2357" s="5" t="s">
        <v>238</v>
      </c>
      <c r="DD2357" s="5" t="s">
        <v>274</v>
      </c>
      <c r="DE2357" s="8">
        <f>928</f>
        <v>928</v>
      </c>
      <c r="DG2357" s="5" t="s">
        <v>238</v>
      </c>
      <c r="DH2357" s="5" t="s">
        <v>238</v>
      </c>
      <c r="DI2357" s="5" t="s">
        <v>238</v>
      </c>
      <c r="DJ2357" s="5" t="s">
        <v>238</v>
      </c>
      <c r="DN2357" s="5" t="s">
        <v>238</v>
      </c>
      <c r="DO2357" s="5" t="s">
        <v>238</v>
      </c>
      <c r="DP2357" s="5" t="s">
        <v>238</v>
      </c>
      <c r="DQ2357" s="5" t="s">
        <v>238</v>
      </c>
      <c r="DT2357" s="5" t="s">
        <v>275</v>
      </c>
      <c r="DU2357" s="5" t="s">
        <v>2908</v>
      </c>
      <c r="HM2357" s="5" t="s">
        <v>264</v>
      </c>
    </row>
    <row r="2358" spans="1:221" x14ac:dyDescent="0.4">
      <c r="A2358" s="5">
        <v>4062</v>
      </c>
      <c r="B2358" s="5">
        <v>1</v>
      </c>
      <c r="C2358" s="5">
        <v>1</v>
      </c>
      <c r="D2358" s="5" t="s">
        <v>269</v>
      </c>
      <c r="E2358" s="5" t="s">
        <v>271</v>
      </c>
      <c r="F2358" s="5" t="s">
        <v>248</v>
      </c>
      <c r="G2358" s="5" t="s">
        <v>266</v>
      </c>
      <c r="H2358" s="6" t="s">
        <v>5790</v>
      </c>
      <c r="I2358" s="7">
        <f>1930</f>
        <v>1930</v>
      </c>
      <c r="J2358" s="5" t="s">
        <v>262</v>
      </c>
      <c r="K2358" s="8">
        <f>1</f>
        <v>1</v>
      </c>
      <c r="L2358" s="6" t="s">
        <v>242</v>
      </c>
      <c r="M2358" s="5" t="s">
        <v>267</v>
      </c>
      <c r="N2358" s="5" t="s">
        <v>265</v>
      </c>
      <c r="O2358" s="5" t="s">
        <v>238</v>
      </c>
      <c r="P2358" s="5" t="s">
        <v>238</v>
      </c>
      <c r="Q2358" s="5" t="s">
        <v>268</v>
      </c>
      <c r="R2358" s="5" t="s">
        <v>270</v>
      </c>
      <c r="S2358" s="5" t="s">
        <v>238</v>
      </c>
      <c r="V2358" s="5" t="s">
        <v>238</v>
      </c>
      <c r="X2358" s="6" t="s">
        <v>238</v>
      </c>
      <c r="AA2358" s="6" t="s">
        <v>243</v>
      </c>
      <c r="AB2358" s="5" t="s">
        <v>238</v>
      </c>
      <c r="AC2358" s="5" t="s">
        <v>244</v>
      </c>
      <c r="AD2358" s="5" t="s">
        <v>245</v>
      </c>
      <c r="AT2358" s="5" t="s">
        <v>246</v>
      </c>
      <c r="AU2358" s="5" t="s">
        <v>238</v>
      </c>
      <c r="AV2358" s="5" t="s">
        <v>247</v>
      </c>
      <c r="AW2358" s="5" t="s">
        <v>238</v>
      </c>
      <c r="AX2358" s="5" t="s">
        <v>249</v>
      </c>
      <c r="AY2358" s="5" t="s">
        <v>238</v>
      </c>
      <c r="BA2358" s="5" t="s">
        <v>238</v>
      </c>
      <c r="BC2358" s="5" t="s">
        <v>250</v>
      </c>
      <c r="BD2358" s="6" t="s">
        <v>243</v>
      </c>
      <c r="BE2358" s="5" t="s">
        <v>251</v>
      </c>
      <c r="BF2358" s="5" t="s">
        <v>252</v>
      </c>
      <c r="BG2358" s="5" t="s">
        <v>238</v>
      </c>
      <c r="BH2358" s="7">
        <f>0</f>
        <v>0</v>
      </c>
      <c r="BI2358" s="8">
        <f>0</f>
        <v>0</v>
      </c>
      <c r="BJ2358" s="5" t="s">
        <v>253</v>
      </c>
      <c r="BK2358" s="5" t="s">
        <v>254</v>
      </c>
      <c r="BY2358" s="5" t="s">
        <v>238</v>
      </c>
      <c r="BZ2358" s="5" t="s">
        <v>238</v>
      </c>
      <c r="CD2358" s="5" t="s">
        <v>273</v>
      </c>
      <c r="CE2358" s="5" t="s">
        <v>256</v>
      </c>
      <c r="CF2358" s="5" t="s">
        <v>238</v>
      </c>
      <c r="CI2358" s="6" t="s">
        <v>257</v>
      </c>
      <c r="CJ2358" s="5" t="s">
        <v>238</v>
      </c>
      <c r="CK2358" s="5" t="s">
        <v>258</v>
      </c>
      <c r="CL2358" s="5" t="s">
        <v>238</v>
      </c>
      <c r="CM2358" s="5" t="s">
        <v>238</v>
      </c>
      <c r="CN2358" s="5">
        <v>0</v>
      </c>
      <c r="CO2358" s="5" t="s">
        <v>259</v>
      </c>
      <c r="CP2358" s="5" t="s">
        <v>260</v>
      </c>
      <c r="CQ2358" s="5" t="s">
        <v>260</v>
      </c>
      <c r="CR2358" s="5" t="s">
        <v>261</v>
      </c>
      <c r="CU2358" s="8">
        <f>1</f>
        <v>1</v>
      </c>
      <c r="CV2358" s="8">
        <f>0</f>
        <v>0</v>
      </c>
      <c r="CX2358" s="8">
        <f>0</f>
        <v>0</v>
      </c>
      <c r="CY2358" s="8">
        <f>1</f>
        <v>1</v>
      </c>
      <c r="DA2358" s="5" t="s">
        <v>274</v>
      </c>
      <c r="DB2358" s="5" t="s">
        <v>238</v>
      </c>
      <c r="DD2358" s="5" t="s">
        <v>274</v>
      </c>
      <c r="DE2358" s="8">
        <f>1930</f>
        <v>1930</v>
      </c>
      <c r="DG2358" s="5" t="s">
        <v>238</v>
      </c>
      <c r="DH2358" s="5" t="s">
        <v>238</v>
      </c>
      <c r="DI2358" s="5" t="s">
        <v>238</v>
      </c>
      <c r="DJ2358" s="5" t="s">
        <v>238</v>
      </c>
      <c r="DN2358" s="5" t="s">
        <v>238</v>
      </c>
      <c r="DO2358" s="5" t="s">
        <v>238</v>
      </c>
      <c r="DP2358" s="5" t="s">
        <v>238</v>
      </c>
      <c r="DQ2358" s="5" t="s">
        <v>238</v>
      </c>
      <c r="DT2358" s="5" t="s">
        <v>275</v>
      </c>
      <c r="DU2358" s="5" t="s">
        <v>2906</v>
      </c>
      <c r="HM2358" s="5" t="s">
        <v>264</v>
      </c>
    </row>
    <row r="2359" spans="1:221" x14ac:dyDescent="0.4">
      <c r="A2359" s="5">
        <v>4063</v>
      </c>
      <c r="B2359" s="5">
        <v>1</v>
      </c>
      <c r="C2359" s="5">
        <v>1</v>
      </c>
      <c r="D2359" s="5" t="s">
        <v>269</v>
      </c>
      <c r="E2359" s="5" t="s">
        <v>271</v>
      </c>
      <c r="F2359" s="5" t="s">
        <v>248</v>
      </c>
      <c r="G2359" s="5" t="s">
        <v>266</v>
      </c>
      <c r="H2359" s="6" t="s">
        <v>5773</v>
      </c>
      <c r="I2359" s="7">
        <f>579</f>
        <v>579</v>
      </c>
      <c r="J2359" s="5" t="s">
        <v>262</v>
      </c>
      <c r="K2359" s="8">
        <f>1</f>
        <v>1</v>
      </c>
      <c r="L2359" s="6" t="s">
        <v>242</v>
      </c>
      <c r="M2359" s="5" t="s">
        <v>267</v>
      </c>
      <c r="N2359" s="5" t="s">
        <v>265</v>
      </c>
      <c r="O2359" s="5" t="s">
        <v>238</v>
      </c>
      <c r="P2359" s="5" t="s">
        <v>238</v>
      </c>
      <c r="Q2359" s="5" t="s">
        <v>268</v>
      </c>
      <c r="R2359" s="5" t="s">
        <v>270</v>
      </c>
      <c r="S2359" s="5" t="s">
        <v>238</v>
      </c>
      <c r="V2359" s="5" t="s">
        <v>238</v>
      </c>
      <c r="X2359" s="6" t="s">
        <v>238</v>
      </c>
      <c r="AA2359" s="6" t="s">
        <v>243</v>
      </c>
      <c r="AB2359" s="5" t="s">
        <v>238</v>
      </c>
      <c r="AC2359" s="5" t="s">
        <v>244</v>
      </c>
      <c r="AD2359" s="5" t="s">
        <v>245</v>
      </c>
      <c r="AT2359" s="5" t="s">
        <v>246</v>
      </c>
      <c r="AU2359" s="5" t="s">
        <v>238</v>
      </c>
      <c r="AV2359" s="5" t="s">
        <v>247</v>
      </c>
      <c r="AW2359" s="5" t="s">
        <v>238</v>
      </c>
      <c r="AX2359" s="5" t="s">
        <v>249</v>
      </c>
      <c r="AY2359" s="5" t="s">
        <v>238</v>
      </c>
      <c r="BA2359" s="5" t="s">
        <v>238</v>
      </c>
      <c r="BC2359" s="5" t="s">
        <v>250</v>
      </c>
      <c r="BD2359" s="6" t="s">
        <v>243</v>
      </c>
      <c r="BE2359" s="5" t="s">
        <v>251</v>
      </c>
      <c r="BF2359" s="5" t="s">
        <v>252</v>
      </c>
      <c r="BG2359" s="5" t="s">
        <v>238</v>
      </c>
      <c r="BH2359" s="7">
        <f>0</f>
        <v>0</v>
      </c>
      <c r="BI2359" s="8">
        <f>0</f>
        <v>0</v>
      </c>
      <c r="BJ2359" s="5" t="s">
        <v>253</v>
      </c>
      <c r="BK2359" s="5" t="s">
        <v>254</v>
      </c>
      <c r="BY2359" s="5" t="s">
        <v>238</v>
      </c>
      <c r="BZ2359" s="5" t="s">
        <v>238</v>
      </c>
      <c r="CD2359" s="5" t="s">
        <v>273</v>
      </c>
      <c r="CE2359" s="5" t="s">
        <v>256</v>
      </c>
      <c r="CF2359" s="5" t="s">
        <v>238</v>
      </c>
      <c r="CI2359" s="6" t="s">
        <v>257</v>
      </c>
      <c r="CJ2359" s="5" t="s">
        <v>238</v>
      </c>
      <c r="CK2359" s="5" t="s">
        <v>258</v>
      </c>
      <c r="CL2359" s="5" t="s">
        <v>238</v>
      </c>
      <c r="CM2359" s="5" t="s">
        <v>238</v>
      </c>
      <c r="CN2359" s="5">
        <v>0</v>
      </c>
      <c r="CO2359" s="5" t="s">
        <v>259</v>
      </c>
      <c r="CP2359" s="5" t="s">
        <v>260</v>
      </c>
      <c r="CQ2359" s="5" t="s">
        <v>260</v>
      </c>
      <c r="CR2359" s="5" t="s">
        <v>261</v>
      </c>
      <c r="CU2359" s="8">
        <f>1</f>
        <v>1</v>
      </c>
      <c r="CV2359" s="8">
        <f>0</f>
        <v>0</v>
      </c>
      <c r="CX2359" s="8">
        <f>0</f>
        <v>0</v>
      </c>
      <c r="CY2359" s="8">
        <f>1</f>
        <v>1</v>
      </c>
      <c r="DA2359" s="5" t="s">
        <v>274</v>
      </c>
      <c r="DB2359" s="5" t="s">
        <v>238</v>
      </c>
      <c r="DD2359" s="5" t="s">
        <v>274</v>
      </c>
      <c r="DE2359" s="8">
        <f>579</f>
        <v>579</v>
      </c>
      <c r="DG2359" s="5" t="s">
        <v>238</v>
      </c>
      <c r="DH2359" s="5" t="s">
        <v>238</v>
      </c>
      <c r="DI2359" s="5" t="s">
        <v>238</v>
      </c>
      <c r="DJ2359" s="5" t="s">
        <v>238</v>
      </c>
      <c r="DN2359" s="5" t="s">
        <v>238</v>
      </c>
      <c r="DO2359" s="5" t="s">
        <v>238</v>
      </c>
      <c r="DP2359" s="5" t="s">
        <v>238</v>
      </c>
      <c r="DQ2359" s="5" t="s">
        <v>238</v>
      </c>
      <c r="DT2359" s="5" t="s">
        <v>275</v>
      </c>
      <c r="DU2359" s="5" t="s">
        <v>2904</v>
      </c>
      <c r="HM2359" s="5" t="s">
        <v>264</v>
      </c>
    </row>
    <row r="2360" spans="1:221" x14ac:dyDescent="0.4">
      <c r="A2360" s="5">
        <v>4064</v>
      </c>
      <c r="B2360" s="5">
        <v>1</v>
      </c>
      <c r="C2360" s="5">
        <v>1</v>
      </c>
      <c r="D2360" s="5" t="s">
        <v>269</v>
      </c>
      <c r="E2360" s="5" t="s">
        <v>271</v>
      </c>
      <c r="F2360" s="5" t="s">
        <v>248</v>
      </c>
      <c r="G2360" s="5" t="s">
        <v>266</v>
      </c>
      <c r="H2360" s="6" t="s">
        <v>4086</v>
      </c>
      <c r="I2360" s="7">
        <f>2748</f>
        <v>2748</v>
      </c>
      <c r="J2360" s="5" t="s">
        <v>262</v>
      </c>
      <c r="K2360" s="8">
        <f>1</f>
        <v>1</v>
      </c>
      <c r="L2360" s="6" t="s">
        <v>242</v>
      </c>
      <c r="M2360" s="5" t="s">
        <v>267</v>
      </c>
      <c r="N2360" s="5" t="s">
        <v>265</v>
      </c>
      <c r="O2360" s="5" t="s">
        <v>238</v>
      </c>
      <c r="P2360" s="5" t="s">
        <v>238</v>
      </c>
      <c r="Q2360" s="5" t="s">
        <v>268</v>
      </c>
      <c r="R2360" s="5" t="s">
        <v>270</v>
      </c>
      <c r="S2360" s="5" t="s">
        <v>238</v>
      </c>
      <c r="V2360" s="5" t="s">
        <v>238</v>
      </c>
      <c r="X2360" s="6" t="s">
        <v>238</v>
      </c>
      <c r="AA2360" s="6" t="s">
        <v>243</v>
      </c>
      <c r="AB2360" s="5" t="s">
        <v>238</v>
      </c>
      <c r="AC2360" s="5" t="s">
        <v>244</v>
      </c>
      <c r="AD2360" s="5" t="s">
        <v>245</v>
      </c>
      <c r="AT2360" s="5" t="s">
        <v>246</v>
      </c>
      <c r="AU2360" s="5" t="s">
        <v>238</v>
      </c>
      <c r="AV2360" s="5" t="s">
        <v>247</v>
      </c>
      <c r="AW2360" s="5" t="s">
        <v>238</v>
      </c>
      <c r="AX2360" s="5" t="s">
        <v>249</v>
      </c>
      <c r="AY2360" s="5" t="s">
        <v>238</v>
      </c>
      <c r="BA2360" s="5" t="s">
        <v>238</v>
      </c>
      <c r="BC2360" s="5" t="s">
        <v>250</v>
      </c>
      <c r="BD2360" s="6" t="s">
        <v>243</v>
      </c>
      <c r="BE2360" s="5" t="s">
        <v>251</v>
      </c>
      <c r="BF2360" s="5" t="s">
        <v>252</v>
      </c>
      <c r="BG2360" s="5" t="s">
        <v>238</v>
      </c>
      <c r="BH2360" s="7">
        <f>0</f>
        <v>0</v>
      </c>
      <c r="BI2360" s="8">
        <f>0</f>
        <v>0</v>
      </c>
      <c r="BJ2360" s="5" t="s">
        <v>253</v>
      </c>
      <c r="BK2360" s="5" t="s">
        <v>254</v>
      </c>
      <c r="BY2360" s="5" t="s">
        <v>238</v>
      </c>
      <c r="BZ2360" s="5" t="s">
        <v>238</v>
      </c>
      <c r="CD2360" s="5" t="s">
        <v>273</v>
      </c>
      <c r="CE2360" s="5" t="s">
        <v>256</v>
      </c>
      <c r="CF2360" s="5" t="s">
        <v>238</v>
      </c>
      <c r="CI2360" s="6" t="s">
        <v>257</v>
      </c>
      <c r="CJ2360" s="5" t="s">
        <v>238</v>
      </c>
      <c r="CK2360" s="5" t="s">
        <v>258</v>
      </c>
      <c r="CL2360" s="5" t="s">
        <v>238</v>
      </c>
      <c r="CM2360" s="5" t="s">
        <v>238</v>
      </c>
      <c r="CN2360" s="5">
        <v>0</v>
      </c>
      <c r="CO2360" s="5" t="s">
        <v>259</v>
      </c>
      <c r="CP2360" s="5" t="s">
        <v>260</v>
      </c>
      <c r="CQ2360" s="5" t="s">
        <v>260</v>
      </c>
      <c r="CR2360" s="5" t="s">
        <v>261</v>
      </c>
      <c r="CU2360" s="8">
        <f>1</f>
        <v>1</v>
      </c>
      <c r="CV2360" s="8">
        <f>0</f>
        <v>0</v>
      </c>
      <c r="CX2360" s="8">
        <f>0</f>
        <v>0</v>
      </c>
      <c r="CY2360" s="8">
        <f>1</f>
        <v>1</v>
      </c>
      <c r="DA2360" s="5" t="s">
        <v>274</v>
      </c>
      <c r="DB2360" s="5" t="s">
        <v>238</v>
      </c>
      <c r="DD2360" s="5" t="s">
        <v>274</v>
      </c>
      <c r="DE2360" s="8">
        <f>2748</f>
        <v>2748</v>
      </c>
      <c r="DG2360" s="5" t="s">
        <v>238</v>
      </c>
      <c r="DH2360" s="5" t="s">
        <v>238</v>
      </c>
      <c r="DI2360" s="5" t="s">
        <v>238</v>
      </c>
      <c r="DJ2360" s="5" t="s">
        <v>238</v>
      </c>
      <c r="DN2360" s="5" t="s">
        <v>238</v>
      </c>
      <c r="DO2360" s="5" t="s">
        <v>238</v>
      </c>
      <c r="DP2360" s="5" t="s">
        <v>238</v>
      </c>
      <c r="DQ2360" s="5" t="s">
        <v>238</v>
      </c>
      <c r="DT2360" s="5" t="s">
        <v>275</v>
      </c>
      <c r="DU2360" s="5" t="s">
        <v>2902</v>
      </c>
      <c r="HM2360" s="5" t="s">
        <v>264</v>
      </c>
    </row>
    <row r="2361" spans="1:221" x14ac:dyDescent="0.4">
      <c r="A2361" s="5">
        <v>4065</v>
      </c>
      <c r="B2361" s="5">
        <v>1</v>
      </c>
      <c r="C2361" s="5">
        <v>1</v>
      </c>
      <c r="D2361" s="5" t="s">
        <v>269</v>
      </c>
      <c r="E2361" s="5" t="s">
        <v>271</v>
      </c>
      <c r="F2361" s="5" t="s">
        <v>248</v>
      </c>
      <c r="G2361" s="5" t="s">
        <v>266</v>
      </c>
      <c r="H2361" s="6" t="s">
        <v>4081</v>
      </c>
      <c r="I2361" s="7">
        <f>917</f>
        <v>917</v>
      </c>
      <c r="J2361" s="5" t="s">
        <v>262</v>
      </c>
      <c r="K2361" s="8">
        <f>1</f>
        <v>1</v>
      </c>
      <c r="L2361" s="6" t="s">
        <v>242</v>
      </c>
      <c r="M2361" s="5" t="s">
        <v>267</v>
      </c>
      <c r="N2361" s="5" t="s">
        <v>265</v>
      </c>
      <c r="O2361" s="5" t="s">
        <v>238</v>
      </c>
      <c r="P2361" s="5" t="s">
        <v>238</v>
      </c>
      <c r="Q2361" s="5" t="s">
        <v>268</v>
      </c>
      <c r="R2361" s="5" t="s">
        <v>270</v>
      </c>
      <c r="S2361" s="5" t="s">
        <v>238</v>
      </c>
      <c r="V2361" s="5" t="s">
        <v>238</v>
      </c>
      <c r="X2361" s="6" t="s">
        <v>238</v>
      </c>
      <c r="AA2361" s="6" t="s">
        <v>243</v>
      </c>
      <c r="AB2361" s="5" t="s">
        <v>238</v>
      </c>
      <c r="AC2361" s="5" t="s">
        <v>244</v>
      </c>
      <c r="AD2361" s="5" t="s">
        <v>245</v>
      </c>
      <c r="AT2361" s="5" t="s">
        <v>246</v>
      </c>
      <c r="AU2361" s="5" t="s">
        <v>238</v>
      </c>
      <c r="AV2361" s="5" t="s">
        <v>247</v>
      </c>
      <c r="AW2361" s="5" t="s">
        <v>238</v>
      </c>
      <c r="AX2361" s="5" t="s">
        <v>249</v>
      </c>
      <c r="AY2361" s="5" t="s">
        <v>238</v>
      </c>
      <c r="BA2361" s="5" t="s">
        <v>238</v>
      </c>
      <c r="BC2361" s="5" t="s">
        <v>250</v>
      </c>
      <c r="BD2361" s="6" t="s">
        <v>243</v>
      </c>
      <c r="BE2361" s="5" t="s">
        <v>251</v>
      </c>
      <c r="BF2361" s="5" t="s">
        <v>252</v>
      </c>
      <c r="BG2361" s="5" t="s">
        <v>238</v>
      </c>
      <c r="BH2361" s="7">
        <f>0</f>
        <v>0</v>
      </c>
      <c r="BI2361" s="8">
        <f>0</f>
        <v>0</v>
      </c>
      <c r="BJ2361" s="5" t="s">
        <v>253</v>
      </c>
      <c r="BK2361" s="5" t="s">
        <v>254</v>
      </c>
      <c r="BY2361" s="5" t="s">
        <v>238</v>
      </c>
      <c r="BZ2361" s="5" t="s">
        <v>238</v>
      </c>
      <c r="CD2361" s="5" t="s">
        <v>273</v>
      </c>
      <c r="CE2361" s="5" t="s">
        <v>256</v>
      </c>
      <c r="CF2361" s="5" t="s">
        <v>238</v>
      </c>
      <c r="CI2361" s="6" t="s">
        <v>257</v>
      </c>
      <c r="CJ2361" s="5" t="s">
        <v>238</v>
      </c>
      <c r="CK2361" s="5" t="s">
        <v>258</v>
      </c>
      <c r="CL2361" s="5" t="s">
        <v>238</v>
      </c>
      <c r="CM2361" s="5" t="s">
        <v>238</v>
      </c>
      <c r="CN2361" s="5">
        <v>0</v>
      </c>
      <c r="CO2361" s="5" t="s">
        <v>259</v>
      </c>
      <c r="CP2361" s="5" t="s">
        <v>260</v>
      </c>
      <c r="CQ2361" s="5" t="s">
        <v>260</v>
      </c>
      <c r="CR2361" s="5" t="s">
        <v>261</v>
      </c>
      <c r="CU2361" s="8">
        <f>1</f>
        <v>1</v>
      </c>
      <c r="CV2361" s="8">
        <f>0</f>
        <v>0</v>
      </c>
      <c r="CX2361" s="8">
        <f>0</f>
        <v>0</v>
      </c>
      <c r="CY2361" s="8">
        <f>1</f>
        <v>1</v>
      </c>
      <c r="DA2361" s="5" t="s">
        <v>274</v>
      </c>
      <c r="DB2361" s="5" t="s">
        <v>238</v>
      </c>
      <c r="DD2361" s="5" t="s">
        <v>274</v>
      </c>
      <c r="DE2361" s="8">
        <f>917</f>
        <v>917</v>
      </c>
      <c r="DG2361" s="5" t="s">
        <v>238</v>
      </c>
      <c r="DH2361" s="5" t="s">
        <v>238</v>
      </c>
      <c r="DI2361" s="5" t="s">
        <v>238</v>
      </c>
      <c r="DJ2361" s="5" t="s">
        <v>238</v>
      </c>
      <c r="DN2361" s="5" t="s">
        <v>238</v>
      </c>
      <c r="DO2361" s="5" t="s">
        <v>238</v>
      </c>
      <c r="DP2361" s="5" t="s">
        <v>238</v>
      </c>
      <c r="DQ2361" s="5" t="s">
        <v>238</v>
      </c>
      <c r="DT2361" s="5" t="s">
        <v>275</v>
      </c>
      <c r="DU2361" s="5" t="s">
        <v>2900</v>
      </c>
      <c r="HM2361" s="5" t="s">
        <v>264</v>
      </c>
    </row>
    <row r="2362" spans="1:221" x14ac:dyDescent="0.4">
      <c r="A2362" s="5">
        <v>4066</v>
      </c>
      <c r="B2362" s="5">
        <v>1</v>
      </c>
      <c r="C2362" s="5">
        <v>1</v>
      </c>
      <c r="D2362" s="5" t="s">
        <v>269</v>
      </c>
      <c r="E2362" s="5" t="s">
        <v>271</v>
      </c>
      <c r="F2362" s="5" t="s">
        <v>248</v>
      </c>
      <c r="G2362" s="5" t="s">
        <v>266</v>
      </c>
      <c r="H2362" s="6" t="s">
        <v>5676</v>
      </c>
      <c r="I2362" s="7">
        <f>854</f>
        <v>854</v>
      </c>
      <c r="J2362" s="5" t="s">
        <v>262</v>
      </c>
      <c r="K2362" s="8">
        <f>1</f>
        <v>1</v>
      </c>
      <c r="L2362" s="6" t="s">
        <v>242</v>
      </c>
      <c r="M2362" s="5" t="s">
        <v>267</v>
      </c>
      <c r="N2362" s="5" t="s">
        <v>265</v>
      </c>
      <c r="O2362" s="5" t="s">
        <v>238</v>
      </c>
      <c r="P2362" s="5" t="s">
        <v>238</v>
      </c>
      <c r="Q2362" s="5" t="s">
        <v>268</v>
      </c>
      <c r="R2362" s="5" t="s">
        <v>270</v>
      </c>
      <c r="S2362" s="5" t="s">
        <v>238</v>
      </c>
      <c r="V2362" s="5" t="s">
        <v>238</v>
      </c>
      <c r="X2362" s="6" t="s">
        <v>238</v>
      </c>
      <c r="AA2362" s="6" t="s">
        <v>243</v>
      </c>
      <c r="AB2362" s="5" t="s">
        <v>238</v>
      </c>
      <c r="AC2362" s="5" t="s">
        <v>244</v>
      </c>
      <c r="AD2362" s="5" t="s">
        <v>245</v>
      </c>
      <c r="AT2362" s="5" t="s">
        <v>246</v>
      </c>
      <c r="AU2362" s="5" t="s">
        <v>238</v>
      </c>
      <c r="AV2362" s="5" t="s">
        <v>247</v>
      </c>
      <c r="AW2362" s="5" t="s">
        <v>238</v>
      </c>
      <c r="AX2362" s="5" t="s">
        <v>249</v>
      </c>
      <c r="AY2362" s="5" t="s">
        <v>238</v>
      </c>
      <c r="BA2362" s="5" t="s">
        <v>238</v>
      </c>
      <c r="BC2362" s="5" t="s">
        <v>250</v>
      </c>
      <c r="BD2362" s="6" t="s">
        <v>243</v>
      </c>
      <c r="BE2362" s="5" t="s">
        <v>251</v>
      </c>
      <c r="BF2362" s="5" t="s">
        <v>252</v>
      </c>
      <c r="BG2362" s="5" t="s">
        <v>238</v>
      </c>
      <c r="BH2362" s="7">
        <f>0</f>
        <v>0</v>
      </c>
      <c r="BI2362" s="8">
        <f>0</f>
        <v>0</v>
      </c>
      <c r="BJ2362" s="5" t="s">
        <v>253</v>
      </c>
      <c r="BK2362" s="5" t="s">
        <v>254</v>
      </c>
      <c r="BY2362" s="5" t="s">
        <v>238</v>
      </c>
      <c r="BZ2362" s="5" t="s">
        <v>238</v>
      </c>
      <c r="CD2362" s="5" t="s">
        <v>273</v>
      </c>
      <c r="CE2362" s="5" t="s">
        <v>256</v>
      </c>
      <c r="CF2362" s="5" t="s">
        <v>238</v>
      </c>
      <c r="CI2362" s="6" t="s">
        <v>257</v>
      </c>
      <c r="CJ2362" s="5" t="s">
        <v>238</v>
      </c>
      <c r="CK2362" s="5" t="s">
        <v>258</v>
      </c>
      <c r="CL2362" s="5" t="s">
        <v>238</v>
      </c>
      <c r="CM2362" s="5" t="s">
        <v>238</v>
      </c>
      <c r="CN2362" s="5">
        <v>0</v>
      </c>
      <c r="CO2362" s="5" t="s">
        <v>259</v>
      </c>
      <c r="CP2362" s="5" t="s">
        <v>260</v>
      </c>
      <c r="CQ2362" s="5" t="s">
        <v>260</v>
      </c>
      <c r="CR2362" s="5" t="s">
        <v>261</v>
      </c>
      <c r="CU2362" s="8">
        <f>1</f>
        <v>1</v>
      </c>
      <c r="CV2362" s="8">
        <f>0</f>
        <v>0</v>
      </c>
      <c r="CX2362" s="8">
        <f>0</f>
        <v>0</v>
      </c>
      <c r="CY2362" s="8">
        <f>1</f>
        <v>1</v>
      </c>
      <c r="DA2362" s="5" t="s">
        <v>274</v>
      </c>
      <c r="DB2362" s="5" t="s">
        <v>238</v>
      </c>
      <c r="DD2362" s="5" t="s">
        <v>274</v>
      </c>
      <c r="DE2362" s="8">
        <f>854</f>
        <v>854</v>
      </c>
      <c r="DG2362" s="5" t="s">
        <v>238</v>
      </c>
      <c r="DH2362" s="5" t="s">
        <v>238</v>
      </c>
      <c r="DI2362" s="5" t="s">
        <v>238</v>
      </c>
      <c r="DJ2362" s="5" t="s">
        <v>238</v>
      </c>
      <c r="DN2362" s="5" t="s">
        <v>238</v>
      </c>
      <c r="DO2362" s="5" t="s">
        <v>238</v>
      </c>
      <c r="DP2362" s="5" t="s">
        <v>238</v>
      </c>
      <c r="DQ2362" s="5" t="s">
        <v>238</v>
      </c>
      <c r="DT2362" s="5" t="s">
        <v>275</v>
      </c>
      <c r="DU2362" s="5" t="s">
        <v>2898</v>
      </c>
      <c r="HM2362" s="5" t="s">
        <v>264</v>
      </c>
    </row>
    <row r="2363" spans="1:221" x14ac:dyDescent="0.4">
      <c r="A2363" s="5">
        <v>4067</v>
      </c>
      <c r="B2363" s="5">
        <v>1</v>
      </c>
      <c r="C2363" s="5">
        <v>1</v>
      </c>
      <c r="D2363" s="5" t="s">
        <v>269</v>
      </c>
      <c r="E2363" s="5" t="s">
        <v>271</v>
      </c>
      <c r="F2363" s="5" t="s">
        <v>248</v>
      </c>
      <c r="G2363" s="5" t="s">
        <v>266</v>
      </c>
      <c r="H2363" s="6" t="s">
        <v>3980</v>
      </c>
      <c r="I2363" s="7">
        <f>3005</f>
        <v>3005</v>
      </c>
      <c r="J2363" s="5" t="s">
        <v>262</v>
      </c>
      <c r="K2363" s="8">
        <f>1</f>
        <v>1</v>
      </c>
      <c r="L2363" s="6" t="s">
        <v>242</v>
      </c>
      <c r="M2363" s="5" t="s">
        <v>267</v>
      </c>
      <c r="N2363" s="5" t="s">
        <v>265</v>
      </c>
      <c r="O2363" s="5" t="s">
        <v>238</v>
      </c>
      <c r="P2363" s="5" t="s">
        <v>238</v>
      </c>
      <c r="Q2363" s="5" t="s">
        <v>268</v>
      </c>
      <c r="R2363" s="5" t="s">
        <v>270</v>
      </c>
      <c r="S2363" s="5" t="s">
        <v>238</v>
      </c>
      <c r="V2363" s="5" t="s">
        <v>238</v>
      </c>
      <c r="X2363" s="6" t="s">
        <v>238</v>
      </c>
      <c r="AA2363" s="6" t="s">
        <v>243</v>
      </c>
      <c r="AB2363" s="5" t="s">
        <v>238</v>
      </c>
      <c r="AC2363" s="5" t="s">
        <v>244</v>
      </c>
      <c r="AD2363" s="5" t="s">
        <v>245</v>
      </c>
      <c r="AT2363" s="5" t="s">
        <v>246</v>
      </c>
      <c r="AU2363" s="5" t="s">
        <v>238</v>
      </c>
      <c r="AV2363" s="5" t="s">
        <v>247</v>
      </c>
      <c r="AW2363" s="5" t="s">
        <v>238</v>
      </c>
      <c r="AX2363" s="5" t="s">
        <v>249</v>
      </c>
      <c r="AY2363" s="5" t="s">
        <v>238</v>
      </c>
      <c r="BA2363" s="5" t="s">
        <v>238</v>
      </c>
      <c r="BC2363" s="5" t="s">
        <v>250</v>
      </c>
      <c r="BD2363" s="6" t="s">
        <v>243</v>
      </c>
      <c r="BE2363" s="5" t="s">
        <v>251</v>
      </c>
      <c r="BF2363" s="5" t="s">
        <v>252</v>
      </c>
      <c r="BG2363" s="5" t="s">
        <v>238</v>
      </c>
      <c r="BH2363" s="7">
        <f>0</f>
        <v>0</v>
      </c>
      <c r="BI2363" s="8">
        <f>0</f>
        <v>0</v>
      </c>
      <c r="BJ2363" s="5" t="s">
        <v>253</v>
      </c>
      <c r="BK2363" s="5" t="s">
        <v>254</v>
      </c>
      <c r="BY2363" s="5" t="s">
        <v>238</v>
      </c>
      <c r="BZ2363" s="5" t="s">
        <v>238</v>
      </c>
      <c r="CD2363" s="5" t="s">
        <v>273</v>
      </c>
      <c r="CE2363" s="5" t="s">
        <v>256</v>
      </c>
      <c r="CF2363" s="5" t="s">
        <v>238</v>
      </c>
      <c r="CI2363" s="6" t="s">
        <v>257</v>
      </c>
      <c r="CJ2363" s="5" t="s">
        <v>238</v>
      </c>
      <c r="CK2363" s="5" t="s">
        <v>258</v>
      </c>
      <c r="CL2363" s="5" t="s">
        <v>238</v>
      </c>
      <c r="CM2363" s="5" t="s">
        <v>238</v>
      </c>
      <c r="CN2363" s="5">
        <v>0</v>
      </c>
      <c r="CO2363" s="5" t="s">
        <v>259</v>
      </c>
      <c r="CP2363" s="5" t="s">
        <v>260</v>
      </c>
      <c r="CQ2363" s="5" t="s">
        <v>260</v>
      </c>
      <c r="CR2363" s="5" t="s">
        <v>261</v>
      </c>
      <c r="CU2363" s="8">
        <f>1</f>
        <v>1</v>
      </c>
      <c r="CV2363" s="8">
        <f>0</f>
        <v>0</v>
      </c>
      <c r="CX2363" s="8">
        <f>0</f>
        <v>0</v>
      </c>
      <c r="CY2363" s="8">
        <f>1</f>
        <v>1</v>
      </c>
      <c r="DA2363" s="5" t="s">
        <v>274</v>
      </c>
      <c r="DB2363" s="5" t="s">
        <v>238</v>
      </c>
      <c r="DD2363" s="5" t="s">
        <v>274</v>
      </c>
      <c r="DE2363" s="8">
        <f>3005</f>
        <v>3005</v>
      </c>
      <c r="DG2363" s="5" t="s">
        <v>238</v>
      </c>
      <c r="DH2363" s="5" t="s">
        <v>238</v>
      </c>
      <c r="DI2363" s="5" t="s">
        <v>238</v>
      </c>
      <c r="DJ2363" s="5" t="s">
        <v>238</v>
      </c>
      <c r="DN2363" s="5" t="s">
        <v>238</v>
      </c>
      <c r="DO2363" s="5" t="s">
        <v>238</v>
      </c>
      <c r="DP2363" s="5" t="s">
        <v>238</v>
      </c>
      <c r="DQ2363" s="5" t="s">
        <v>238</v>
      </c>
      <c r="DT2363" s="5" t="s">
        <v>275</v>
      </c>
      <c r="DU2363" s="5" t="s">
        <v>2896</v>
      </c>
      <c r="HM2363" s="5" t="s">
        <v>264</v>
      </c>
    </row>
    <row r="2364" spans="1:221" x14ac:dyDescent="0.4">
      <c r="A2364" s="5">
        <v>4068</v>
      </c>
      <c r="B2364" s="5">
        <v>1</v>
      </c>
      <c r="C2364" s="5">
        <v>1</v>
      </c>
      <c r="D2364" s="5" t="s">
        <v>269</v>
      </c>
      <c r="E2364" s="5" t="s">
        <v>271</v>
      </c>
      <c r="F2364" s="5" t="s">
        <v>248</v>
      </c>
      <c r="G2364" s="5" t="s">
        <v>266</v>
      </c>
      <c r="H2364" s="6" t="s">
        <v>3971</v>
      </c>
      <c r="I2364" s="7">
        <f>778</f>
        <v>778</v>
      </c>
      <c r="J2364" s="5" t="s">
        <v>262</v>
      </c>
      <c r="K2364" s="8">
        <f>1</f>
        <v>1</v>
      </c>
      <c r="L2364" s="6" t="s">
        <v>242</v>
      </c>
      <c r="M2364" s="5" t="s">
        <v>267</v>
      </c>
      <c r="N2364" s="5" t="s">
        <v>265</v>
      </c>
      <c r="O2364" s="5" t="s">
        <v>238</v>
      </c>
      <c r="P2364" s="5" t="s">
        <v>238</v>
      </c>
      <c r="Q2364" s="5" t="s">
        <v>268</v>
      </c>
      <c r="R2364" s="5" t="s">
        <v>270</v>
      </c>
      <c r="S2364" s="5" t="s">
        <v>238</v>
      </c>
      <c r="V2364" s="5" t="s">
        <v>238</v>
      </c>
      <c r="X2364" s="6" t="s">
        <v>238</v>
      </c>
      <c r="AA2364" s="6" t="s">
        <v>243</v>
      </c>
      <c r="AB2364" s="5" t="s">
        <v>238</v>
      </c>
      <c r="AC2364" s="5" t="s">
        <v>244</v>
      </c>
      <c r="AD2364" s="5" t="s">
        <v>245</v>
      </c>
      <c r="AT2364" s="5" t="s">
        <v>246</v>
      </c>
      <c r="AU2364" s="5" t="s">
        <v>238</v>
      </c>
      <c r="AV2364" s="5" t="s">
        <v>247</v>
      </c>
      <c r="AW2364" s="5" t="s">
        <v>238</v>
      </c>
      <c r="AX2364" s="5" t="s">
        <v>249</v>
      </c>
      <c r="AY2364" s="5" t="s">
        <v>238</v>
      </c>
      <c r="BA2364" s="5" t="s">
        <v>238</v>
      </c>
      <c r="BC2364" s="5" t="s">
        <v>250</v>
      </c>
      <c r="BD2364" s="6" t="s">
        <v>243</v>
      </c>
      <c r="BE2364" s="5" t="s">
        <v>251</v>
      </c>
      <c r="BF2364" s="5" t="s">
        <v>252</v>
      </c>
      <c r="BG2364" s="5" t="s">
        <v>238</v>
      </c>
      <c r="BH2364" s="7">
        <f>0</f>
        <v>0</v>
      </c>
      <c r="BI2364" s="8">
        <f>0</f>
        <v>0</v>
      </c>
      <c r="BJ2364" s="5" t="s">
        <v>253</v>
      </c>
      <c r="BK2364" s="5" t="s">
        <v>254</v>
      </c>
      <c r="BY2364" s="5" t="s">
        <v>238</v>
      </c>
      <c r="BZ2364" s="5" t="s">
        <v>238</v>
      </c>
      <c r="CD2364" s="5" t="s">
        <v>273</v>
      </c>
      <c r="CE2364" s="5" t="s">
        <v>256</v>
      </c>
      <c r="CF2364" s="5" t="s">
        <v>238</v>
      </c>
      <c r="CI2364" s="6" t="s">
        <v>257</v>
      </c>
      <c r="CJ2364" s="5" t="s">
        <v>238</v>
      </c>
      <c r="CK2364" s="5" t="s">
        <v>258</v>
      </c>
      <c r="CL2364" s="5" t="s">
        <v>238</v>
      </c>
      <c r="CM2364" s="5" t="s">
        <v>238</v>
      </c>
      <c r="CN2364" s="5">
        <v>0</v>
      </c>
      <c r="CO2364" s="5" t="s">
        <v>259</v>
      </c>
      <c r="CP2364" s="5" t="s">
        <v>260</v>
      </c>
      <c r="CQ2364" s="5" t="s">
        <v>260</v>
      </c>
      <c r="CR2364" s="5" t="s">
        <v>261</v>
      </c>
      <c r="CU2364" s="8">
        <f>1</f>
        <v>1</v>
      </c>
      <c r="CV2364" s="8">
        <f>0</f>
        <v>0</v>
      </c>
      <c r="CX2364" s="8">
        <f>0</f>
        <v>0</v>
      </c>
      <c r="CY2364" s="8">
        <f>1</f>
        <v>1</v>
      </c>
      <c r="DA2364" s="5" t="s">
        <v>274</v>
      </c>
      <c r="DB2364" s="5" t="s">
        <v>238</v>
      </c>
      <c r="DD2364" s="5" t="s">
        <v>274</v>
      </c>
      <c r="DE2364" s="8">
        <f>778</f>
        <v>778</v>
      </c>
      <c r="DG2364" s="5" t="s">
        <v>238</v>
      </c>
      <c r="DH2364" s="5" t="s">
        <v>238</v>
      </c>
      <c r="DI2364" s="5" t="s">
        <v>238</v>
      </c>
      <c r="DJ2364" s="5" t="s">
        <v>238</v>
      </c>
      <c r="DN2364" s="5" t="s">
        <v>238</v>
      </c>
      <c r="DO2364" s="5" t="s">
        <v>238</v>
      </c>
      <c r="DP2364" s="5" t="s">
        <v>238</v>
      </c>
      <c r="DQ2364" s="5" t="s">
        <v>238</v>
      </c>
      <c r="DT2364" s="5" t="s">
        <v>275</v>
      </c>
      <c r="DU2364" s="5" t="s">
        <v>2894</v>
      </c>
      <c r="HM2364" s="5" t="s">
        <v>264</v>
      </c>
    </row>
    <row r="2365" spans="1:221" x14ac:dyDescent="0.4">
      <c r="A2365" s="5">
        <v>4069</v>
      </c>
      <c r="B2365" s="5">
        <v>1</v>
      </c>
      <c r="C2365" s="5">
        <v>1</v>
      </c>
      <c r="D2365" s="5" t="s">
        <v>269</v>
      </c>
      <c r="E2365" s="5" t="s">
        <v>271</v>
      </c>
      <c r="F2365" s="5" t="s">
        <v>248</v>
      </c>
      <c r="G2365" s="5" t="s">
        <v>266</v>
      </c>
      <c r="H2365" s="6" t="s">
        <v>3960</v>
      </c>
      <c r="I2365" s="7">
        <f>803</f>
        <v>803</v>
      </c>
      <c r="J2365" s="5" t="s">
        <v>262</v>
      </c>
      <c r="K2365" s="8">
        <f>1</f>
        <v>1</v>
      </c>
      <c r="L2365" s="6" t="s">
        <v>242</v>
      </c>
      <c r="M2365" s="5" t="s">
        <v>267</v>
      </c>
      <c r="N2365" s="5" t="s">
        <v>265</v>
      </c>
      <c r="O2365" s="5" t="s">
        <v>238</v>
      </c>
      <c r="P2365" s="5" t="s">
        <v>238</v>
      </c>
      <c r="Q2365" s="5" t="s">
        <v>268</v>
      </c>
      <c r="R2365" s="5" t="s">
        <v>270</v>
      </c>
      <c r="S2365" s="5" t="s">
        <v>238</v>
      </c>
      <c r="V2365" s="5" t="s">
        <v>238</v>
      </c>
      <c r="X2365" s="6" t="s">
        <v>238</v>
      </c>
      <c r="AA2365" s="6" t="s">
        <v>243</v>
      </c>
      <c r="AB2365" s="5" t="s">
        <v>238</v>
      </c>
      <c r="AC2365" s="5" t="s">
        <v>244</v>
      </c>
      <c r="AD2365" s="5" t="s">
        <v>245</v>
      </c>
      <c r="AT2365" s="5" t="s">
        <v>246</v>
      </c>
      <c r="AU2365" s="5" t="s">
        <v>238</v>
      </c>
      <c r="AV2365" s="5" t="s">
        <v>247</v>
      </c>
      <c r="AW2365" s="5" t="s">
        <v>238</v>
      </c>
      <c r="AX2365" s="5" t="s">
        <v>249</v>
      </c>
      <c r="AY2365" s="5" t="s">
        <v>238</v>
      </c>
      <c r="BA2365" s="5" t="s">
        <v>238</v>
      </c>
      <c r="BC2365" s="5" t="s">
        <v>250</v>
      </c>
      <c r="BD2365" s="6" t="s">
        <v>243</v>
      </c>
      <c r="BE2365" s="5" t="s">
        <v>251</v>
      </c>
      <c r="BF2365" s="5" t="s">
        <v>252</v>
      </c>
      <c r="BG2365" s="5" t="s">
        <v>238</v>
      </c>
      <c r="BH2365" s="7">
        <f>0</f>
        <v>0</v>
      </c>
      <c r="BI2365" s="8">
        <f>0</f>
        <v>0</v>
      </c>
      <c r="BJ2365" s="5" t="s">
        <v>253</v>
      </c>
      <c r="BK2365" s="5" t="s">
        <v>254</v>
      </c>
      <c r="BY2365" s="5" t="s">
        <v>238</v>
      </c>
      <c r="BZ2365" s="5" t="s">
        <v>238</v>
      </c>
      <c r="CD2365" s="5" t="s">
        <v>273</v>
      </c>
      <c r="CE2365" s="5" t="s">
        <v>256</v>
      </c>
      <c r="CF2365" s="5" t="s">
        <v>238</v>
      </c>
      <c r="CI2365" s="6" t="s">
        <v>257</v>
      </c>
      <c r="CJ2365" s="5" t="s">
        <v>238</v>
      </c>
      <c r="CK2365" s="5" t="s">
        <v>258</v>
      </c>
      <c r="CL2365" s="5" t="s">
        <v>238</v>
      </c>
      <c r="CM2365" s="5" t="s">
        <v>238</v>
      </c>
      <c r="CN2365" s="5">
        <v>0</v>
      </c>
      <c r="CO2365" s="5" t="s">
        <v>259</v>
      </c>
      <c r="CP2365" s="5" t="s">
        <v>260</v>
      </c>
      <c r="CQ2365" s="5" t="s">
        <v>260</v>
      </c>
      <c r="CR2365" s="5" t="s">
        <v>261</v>
      </c>
      <c r="CU2365" s="8">
        <f>1</f>
        <v>1</v>
      </c>
      <c r="CV2365" s="8">
        <f>0</f>
        <v>0</v>
      </c>
      <c r="CX2365" s="8">
        <f>0</f>
        <v>0</v>
      </c>
      <c r="CY2365" s="8">
        <f>1</f>
        <v>1</v>
      </c>
      <c r="DA2365" s="5" t="s">
        <v>274</v>
      </c>
      <c r="DB2365" s="5" t="s">
        <v>238</v>
      </c>
      <c r="DD2365" s="5" t="s">
        <v>274</v>
      </c>
      <c r="DE2365" s="8">
        <f>803</f>
        <v>803</v>
      </c>
      <c r="DG2365" s="5" t="s">
        <v>238</v>
      </c>
      <c r="DH2365" s="5" t="s">
        <v>238</v>
      </c>
      <c r="DI2365" s="5" t="s">
        <v>238</v>
      </c>
      <c r="DJ2365" s="5" t="s">
        <v>238</v>
      </c>
      <c r="DN2365" s="5" t="s">
        <v>238</v>
      </c>
      <c r="DO2365" s="5" t="s">
        <v>238</v>
      </c>
      <c r="DP2365" s="5" t="s">
        <v>238</v>
      </c>
      <c r="DQ2365" s="5" t="s">
        <v>238</v>
      </c>
      <c r="DT2365" s="5" t="s">
        <v>275</v>
      </c>
      <c r="DU2365" s="5" t="s">
        <v>2890</v>
      </c>
      <c r="HM2365" s="5" t="s">
        <v>264</v>
      </c>
    </row>
    <row r="2366" spans="1:221" x14ac:dyDescent="0.4">
      <c r="A2366" s="5">
        <v>4070</v>
      </c>
      <c r="B2366" s="5">
        <v>1</v>
      </c>
      <c r="C2366" s="5">
        <v>1</v>
      </c>
      <c r="D2366" s="5" t="s">
        <v>269</v>
      </c>
      <c r="E2366" s="5" t="s">
        <v>271</v>
      </c>
      <c r="F2366" s="5" t="s">
        <v>248</v>
      </c>
      <c r="G2366" s="5" t="s">
        <v>266</v>
      </c>
      <c r="H2366" s="6" t="s">
        <v>5632</v>
      </c>
      <c r="I2366" s="7">
        <f>2479</f>
        <v>2479</v>
      </c>
      <c r="J2366" s="5" t="s">
        <v>262</v>
      </c>
      <c r="K2366" s="8">
        <f>1</f>
        <v>1</v>
      </c>
      <c r="L2366" s="6" t="s">
        <v>242</v>
      </c>
      <c r="M2366" s="5" t="s">
        <v>267</v>
      </c>
      <c r="N2366" s="5" t="s">
        <v>265</v>
      </c>
      <c r="O2366" s="5" t="s">
        <v>238</v>
      </c>
      <c r="P2366" s="5" t="s">
        <v>238</v>
      </c>
      <c r="Q2366" s="5" t="s">
        <v>268</v>
      </c>
      <c r="R2366" s="5" t="s">
        <v>270</v>
      </c>
      <c r="S2366" s="5" t="s">
        <v>238</v>
      </c>
      <c r="V2366" s="5" t="s">
        <v>238</v>
      </c>
      <c r="X2366" s="6" t="s">
        <v>238</v>
      </c>
      <c r="AA2366" s="6" t="s">
        <v>243</v>
      </c>
      <c r="AB2366" s="5" t="s">
        <v>238</v>
      </c>
      <c r="AC2366" s="5" t="s">
        <v>244</v>
      </c>
      <c r="AD2366" s="5" t="s">
        <v>245</v>
      </c>
      <c r="AT2366" s="5" t="s">
        <v>246</v>
      </c>
      <c r="AU2366" s="5" t="s">
        <v>238</v>
      </c>
      <c r="AV2366" s="5" t="s">
        <v>247</v>
      </c>
      <c r="AW2366" s="5" t="s">
        <v>238</v>
      </c>
      <c r="AX2366" s="5" t="s">
        <v>249</v>
      </c>
      <c r="AY2366" s="5" t="s">
        <v>238</v>
      </c>
      <c r="BA2366" s="5" t="s">
        <v>238</v>
      </c>
      <c r="BC2366" s="5" t="s">
        <v>250</v>
      </c>
      <c r="BD2366" s="6" t="s">
        <v>243</v>
      </c>
      <c r="BE2366" s="5" t="s">
        <v>251</v>
      </c>
      <c r="BF2366" s="5" t="s">
        <v>252</v>
      </c>
      <c r="BG2366" s="5" t="s">
        <v>238</v>
      </c>
      <c r="BH2366" s="7">
        <f>0</f>
        <v>0</v>
      </c>
      <c r="BI2366" s="8">
        <f>0</f>
        <v>0</v>
      </c>
      <c r="BJ2366" s="5" t="s">
        <v>253</v>
      </c>
      <c r="BK2366" s="5" t="s">
        <v>254</v>
      </c>
      <c r="BY2366" s="5" t="s">
        <v>238</v>
      </c>
      <c r="BZ2366" s="5" t="s">
        <v>238</v>
      </c>
      <c r="CD2366" s="5" t="s">
        <v>273</v>
      </c>
      <c r="CE2366" s="5" t="s">
        <v>256</v>
      </c>
      <c r="CF2366" s="5" t="s">
        <v>238</v>
      </c>
      <c r="CI2366" s="6" t="s">
        <v>257</v>
      </c>
      <c r="CJ2366" s="5" t="s">
        <v>238</v>
      </c>
      <c r="CK2366" s="5" t="s">
        <v>258</v>
      </c>
      <c r="CL2366" s="5" t="s">
        <v>238</v>
      </c>
      <c r="CM2366" s="5" t="s">
        <v>238</v>
      </c>
      <c r="CN2366" s="5">
        <v>0</v>
      </c>
      <c r="CO2366" s="5" t="s">
        <v>259</v>
      </c>
      <c r="CP2366" s="5" t="s">
        <v>260</v>
      </c>
      <c r="CQ2366" s="5" t="s">
        <v>260</v>
      </c>
      <c r="CR2366" s="5" t="s">
        <v>261</v>
      </c>
      <c r="CU2366" s="8">
        <f>1</f>
        <v>1</v>
      </c>
      <c r="CV2366" s="8">
        <f>0</f>
        <v>0</v>
      </c>
      <c r="CX2366" s="8">
        <f>0</f>
        <v>0</v>
      </c>
      <c r="CY2366" s="8">
        <f>1</f>
        <v>1</v>
      </c>
      <c r="DA2366" s="5" t="s">
        <v>274</v>
      </c>
      <c r="DB2366" s="5" t="s">
        <v>238</v>
      </c>
      <c r="DD2366" s="5" t="s">
        <v>274</v>
      </c>
      <c r="DE2366" s="8">
        <f>2479</f>
        <v>2479</v>
      </c>
      <c r="DG2366" s="5" t="s">
        <v>238</v>
      </c>
      <c r="DH2366" s="5" t="s">
        <v>238</v>
      </c>
      <c r="DI2366" s="5" t="s">
        <v>238</v>
      </c>
      <c r="DJ2366" s="5" t="s">
        <v>238</v>
      </c>
      <c r="DN2366" s="5" t="s">
        <v>238</v>
      </c>
      <c r="DO2366" s="5" t="s">
        <v>238</v>
      </c>
      <c r="DP2366" s="5" t="s">
        <v>238</v>
      </c>
      <c r="DQ2366" s="5" t="s">
        <v>238</v>
      </c>
      <c r="DT2366" s="5" t="s">
        <v>275</v>
      </c>
      <c r="DU2366" s="5" t="s">
        <v>2888</v>
      </c>
      <c r="HM2366" s="5" t="s">
        <v>264</v>
      </c>
    </row>
    <row r="2367" spans="1:221" x14ac:dyDescent="0.4">
      <c r="A2367" s="5">
        <v>4071</v>
      </c>
      <c r="B2367" s="5">
        <v>1</v>
      </c>
      <c r="C2367" s="5">
        <v>1</v>
      </c>
      <c r="D2367" s="5" t="s">
        <v>269</v>
      </c>
      <c r="E2367" s="5" t="s">
        <v>271</v>
      </c>
      <c r="F2367" s="5" t="s">
        <v>248</v>
      </c>
      <c r="G2367" s="5" t="s">
        <v>266</v>
      </c>
      <c r="H2367" s="6" t="s">
        <v>931</v>
      </c>
      <c r="I2367" s="7">
        <f>916</f>
        <v>916</v>
      </c>
      <c r="J2367" s="5" t="s">
        <v>262</v>
      </c>
      <c r="K2367" s="8">
        <f>1</f>
        <v>1</v>
      </c>
      <c r="L2367" s="6" t="s">
        <v>242</v>
      </c>
      <c r="M2367" s="5" t="s">
        <v>267</v>
      </c>
      <c r="N2367" s="5" t="s">
        <v>265</v>
      </c>
      <c r="O2367" s="5" t="s">
        <v>238</v>
      </c>
      <c r="P2367" s="5" t="s">
        <v>238</v>
      </c>
      <c r="Q2367" s="5" t="s">
        <v>268</v>
      </c>
      <c r="R2367" s="5" t="s">
        <v>270</v>
      </c>
      <c r="S2367" s="5" t="s">
        <v>238</v>
      </c>
      <c r="V2367" s="5" t="s">
        <v>238</v>
      </c>
      <c r="X2367" s="6" t="s">
        <v>238</v>
      </c>
      <c r="AA2367" s="6" t="s">
        <v>243</v>
      </c>
      <c r="AB2367" s="5" t="s">
        <v>238</v>
      </c>
      <c r="AC2367" s="5" t="s">
        <v>244</v>
      </c>
      <c r="AD2367" s="5" t="s">
        <v>245</v>
      </c>
      <c r="AT2367" s="5" t="s">
        <v>246</v>
      </c>
      <c r="AU2367" s="5" t="s">
        <v>238</v>
      </c>
      <c r="AV2367" s="5" t="s">
        <v>247</v>
      </c>
      <c r="AW2367" s="5" t="s">
        <v>238</v>
      </c>
      <c r="AX2367" s="5" t="s">
        <v>249</v>
      </c>
      <c r="AY2367" s="5" t="s">
        <v>238</v>
      </c>
      <c r="BA2367" s="5" t="s">
        <v>238</v>
      </c>
      <c r="BC2367" s="5" t="s">
        <v>250</v>
      </c>
      <c r="BD2367" s="6" t="s">
        <v>243</v>
      </c>
      <c r="BE2367" s="5" t="s">
        <v>251</v>
      </c>
      <c r="BF2367" s="5" t="s">
        <v>252</v>
      </c>
      <c r="BG2367" s="5" t="s">
        <v>238</v>
      </c>
      <c r="BH2367" s="7">
        <f>0</f>
        <v>0</v>
      </c>
      <c r="BI2367" s="8">
        <f>0</f>
        <v>0</v>
      </c>
      <c r="BJ2367" s="5" t="s">
        <v>253</v>
      </c>
      <c r="BK2367" s="5" t="s">
        <v>254</v>
      </c>
      <c r="BY2367" s="5" t="s">
        <v>238</v>
      </c>
      <c r="BZ2367" s="5" t="s">
        <v>238</v>
      </c>
      <c r="CD2367" s="5" t="s">
        <v>273</v>
      </c>
      <c r="CE2367" s="5" t="s">
        <v>256</v>
      </c>
      <c r="CF2367" s="5" t="s">
        <v>238</v>
      </c>
      <c r="CI2367" s="6" t="s">
        <v>257</v>
      </c>
      <c r="CJ2367" s="5" t="s">
        <v>238</v>
      </c>
      <c r="CK2367" s="5" t="s">
        <v>258</v>
      </c>
      <c r="CL2367" s="5" t="s">
        <v>238</v>
      </c>
      <c r="CM2367" s="5" t="s">
        <v>238</v>
      </c>
      <c r="CN2367" s="5">
        <v>0</v>
      </c>
      <c r="CO2367" s="5" t="s">
        <v>259</v>
      </c>
      <c r="CP2367" s="5" t="s">
        <v>260</v>
      </c>
      <c r="CQ2367" s="5" t="s">
        <v>260</v>
      </c>
      <c r="CR2367" s="5" t="s">
        <v>261</v>
      </c>
      <c r="CU2367" s="8">
        <f>1</f>
        <v>1</v>
      </c>
      <c r="CV2367" s="8">
        <f>0</f>
        <v>0</v>
      </c>
      <c r="CX2367" s="8">
        <f>0</f>
        <v>0</v>
      </c>
      <c r="CY2367" s="8">
        <f>1</f>
        <v>1</v>
      </c>
      <c r="DA2367" s="5" t="s">
        <v>274</v>
      </c>
      <c r="DB2367" s="5" t="s">
        <v>238</v>
      </c>
      <c r="DD2367" s="5" t="s">
        <v>274</v>
      </c>
      <c r="DE2367" s="8">
        <f>916</f>
        <v>916</v>
      </c>
      <c r="DG2367" s="5" t="s">
        <v>238</v>
      </c>
      <c r="DH2367" s="5" t="s">
        <v>238</v>
      </c>
      <c r="DI2367" s="5" t="s">
        <v>238</v>
      </c>
      <c r="DJ2367" s="5" t="s">
        <v>238</v>
      </c>
      <c r="DN2367" s="5" t="s">
        <v>238</v>
      </c>
      <c r="DO2367" s="5" t="s">
        <v>238</v>
      </c>
      <c r="DP2367" s="5" t="s">
        <v>238</v>
      </c>
      <c r="DQ2367" s="5" t="s">
        <v>238</v>
      </c>
      <c r="DT2367" s="5" t="s">
        <v>275</v>
      </c>
      <c r="DU2367" s="5" t="s">
        <v>932</v>
      </c>
      <c r="HM2367" s="5" t="s">
        <v>264</v>
      </c>
    </row>
    <row r="2368" spans="1:221" x14ac:dyDescent="0.4">
      <c r="A2368" s="5">
        <v>4072</v>
      </c>
      <c r="B2368" s="5">
        <v>1</v>
      </c>
      <c r="C2368" s="5">
        <v>1</v>
      </c>
      <c r="D2368" s="5" t="s">
        <v>269</v>
      </c>
      <c r="E2368" s="5" t="s">
        <v>271</v>
      </c>
      <c r="F2368" s="5" t="s">
        <v>248</v>
      </c>
      <c r="G2368" s="5" t="s">
        <v>266</v>
      </c>
      <c r="H2368" s="6" t="s">
        <v>5611</v>
      </c>
      <c r="I2368" s="7">
        <f>946</f>
        <v>946</v>
      </c>
      <c r="J2368" s="5" t="s">
        <v>262</v>
      </c>
      <c r="K2368" s="8">
        <f>1</f>
        <v>1</v>
      </c>
      <c r="L2368" s="6" t="s">
        <v>242</v>
      </c>
      <c r="M2368" s="5" t="s">
        <v>267</v>
      </c>
      <c r="N2368" s="5" t="s">
        <v>265</v>
      </c>
      <c r="O2368" s="5" t="s">
        <v>238</v>
      </c>
      <c r="P2368" s="5" t="s">
        <v>238</v>
      </c>
      <c r="Q2368" s="5" t="s">
        <v>268</v>
      </c>
      <c r="R2368" s="5" t="s">
        <v>270</v>
      </c>
      <c r="S2368" s="5" t="s">
        <v>238</v>
      </c>
      <c r="V2368" s="5" t="s">
        <v>238</v>
      </c>
      <c r="X2368" s="6" t="s">
        <v>238</v>
      </c>
      <c r="AA2368" s="6" t="s">
        <v>243</v>
      </c>
      <c r="AB2368" s="5" t="s">
        <v>238</v>
      </c>
      <c r="AC2368" s="5" t="s">
        <v>244</v>
      </c>
      <c r="AD2368" s="5" t="s">
        <v>245</v>
      </c>
      <c r="AT2368" s="5" t="s">
        <v>246</v>
      </c>
      <c r="AU2368" s="5" t="s">
        <v>238</v>
      </c>
      <c r="AV2368" s="5" t="s">
        <v>247</v>
      </c>
      <c r="AW2368" s="5" t="s">
        <v>238</v>
      </c>
      <c r="AX2368" s="5" t="s">
        <v>249</v>
      </c>
      <c r="AY2368" s="5" t="s">
        <v>238</v>
      </c>
      <c r="BA2368" s="5" t="s">
        <v>238</v>
      </c>
      <c r="BC2368" s="5" t="s">
        <v>250</v>
      </c>
      <c r="BD2368" s="6" t="s">
        <v>243</v>
      </c>
      <c r="BE2368" s="5" t="s">
        <v>251</v>
      </c>
      <c r="BF2368" s="5" t="s">
        <v>252</v>
      </c>
      <c r="BG2368" s="5" t="s">
        <v>238</v>
      </c>
      <c r="BH2368" s="7">
        <f>0</f>
        <v>0</v>
      </c>
      <c r="BI2368" s="8">
        <f>0</f>
        <v>0</v>
      </c>
      <c r="BJ2368" s="5" t="s">
        <v>253</v>
      </c>
      <c r="BK2368" s="5" t="s">
        <v>254</v>
      </c>
      <c r="BY2368" s="5" t="s">
        <v>238</v>
      </c>
      <c r="BZ2368" s="5" t="s">
        <v>238</v>
      </c>
      <c r="CD2368" s="5" t="s">
        <v>273</v>
      </c>
      <c r="CE2368" s="5" t="s">
        <v>256</v>
      </c>
      <c r="CF2368" s="5" t="s">
        <v>238</v>
      </c>
      <c r="CI2368" s="6" t="s">
        <v>257</v>
      </c>
      <c r="CJ2368" s="5" t="s">
        <v>238</v>
      </c>
      <c r="CK2368" s="5" t="s">
        <v>258</v>
      </c>
      <c r="CL2368" s="5" t="s">
        <v>238</v>
      </c>
      <c r="CM2368" s="5" t="s">
        <v>238</v>
      </c>
      <c r="CN2368" s="5">
        <v>0</v>
      </c>
      <c r="CO2368" s="5" t="s">
        <v>259</v>
      </c>
      <c r="CP2368" s="5" t="s">
        <v>260</v>
      </c>
      <c r="CQ2368" s="5" t="s">
        <v>260</v>
      </c>
      <c r="CR2368" s="5" t="s">
        <v>261</v>
      </c>
      <c r="CU2368" s="8">
        <f>1</f>
        <v>1</v>
      </c>
      <c r="CV2368" s="8">
        <f>0</f>
        <v>0</v>
      </c>
      <c r="CX2368" s="8">
        <f>0</f>
        <v>0</v>
      </c>
      <c r="CY2368" s="8">
        <f>1</f>
        <v>1</v>
      </c>
      <c r="DA2368" s="5" t="s">
        <v>274</v>
      </c>
      <c r="DB2368" s="5" t="s">
        <v>238</v>
      </c>
      <c r="DD2368" s="5" t="s">
        <v>274</v>
      </c>
      <c r="DE2368" s="8">
        <f>946</f>
        <v>946</v>
      </c>
      <c r="DG2368" s="5" t="s">
        <v>238</v>
      </c>
      <c r="DH2368" s="5" t="s">
        <v>238</v>
      </c>
      <c r="DI2368" s="5" t="s">
        <v>238</v>
      </c>
      <c r="DJ2368" s="5" t="s">
        <v>238</v>
      </c>
      <c r="DN2368" s="5" t="s">
        <v>238</v>
      </c>
      <c r="DO2368" s="5" t="s">
        <v>238</v>
      </c>
      <c r="DP2368" s="5" t="s">
        <v>238</v>
      </c>
      <c r="DQ2368" s="5" t="s">
        <v>238</v>
      </c>
      <c r="DT2368" s="5" t="s">
        <v>275</v>
      </c>
      <c r="DU2368" s="5" t="s">
        <v>2885</v>
      </c>
      <c r="HM2368" s="5" t="s">
        <v>264</v>
      </c>
    </row>
    <row r="2369" spans="1:221" x14ac:dyDescent="0.4">
      <c r="A2369" s="5">
        <v>4073</v>
      </c>
      <c r="B2369" s="5">
        <v>1</v>
      </c>
      <c r="C2369" s="5">
        <v>1</v>
      </c>
      <c r="D2369" s="5" t="s">
        <v>269</v>
      </c>
      <c r="E2369" s="5" t="s">
        <v>271</v>
      </c>
      <c r="F2369" s="5" t="s">
        <v>248</v>
      </c>
      <c r="G2369" s="5" t="s">
        <v>266</v>
      </c>
      <c r="H2369" s="6" t="s">
        <v>869</v>
      </c>
      <c r="I2369" s="7">
        <f>2352</f>
        <v>2352</v>
      </c>
      <c r="J2369" s="5" t="s">
        <v>262</v>
      </c>
      <c r="K2369" s="8">
        <f>1</f>
        <v>1</v>
      </c>
      <c r="L2369" s="6" t="s">
        <v>242</v>
      </c>
      <c r="M2369" s="5" t="s">
        <v>267</v>
      </c>
      <c r="N2369" s="5" t="s">
        <v>265</v>
      </c>
      <c r="O2369" s="5" t="s">
        <v>238</v>
      </c>
      <c r="P2369" s="5" t="s">
        <v>238</v>
      </c>
      <c r="Q2369" s="5" t="s">
        <v>268</v>
      </c>
      <c r="R2369" s="5" t="s">
        <v>270</v>
      </c>
      <c r="S2369" s="5" t="s">
        <v>238</v>
      </c>
      <c r="V2369" s="5" t="s">
        <v>238</v>
      </c>
      <c r="X2369" s="6" t="s">
        <v>238</v>
      </c>
      <c r="AA2369" s="6" t="s">
        <v>243</v>
      </c>
      <c r="AB2369" s="5" t="s">
        <v>238</v>
      </c>
      <c r="AC2369" s="5" t="s">
        <v>244</v>
      </c>
      <c r="AD2369" s="5" t="s">
        <v>245</v>
      </c>
      <c r="AT2369" s="5" t="s">
        <v>246</v>
      </c>
      <c r="AU2369" s="5" t="s">
        <v>238</v>
      </c>
      <c r="AV2369" s="5" t="s">
        <v>247</v>
      </c>
      <c r="AW2369" s="5" t="s">
        <v>238</v>
      </c>
      <c r="AX2369" s="5" t="s">
        <v>249</v>
      </c>
      <c r="AY2369" s="5" t="s">
        <v>238</v>
      </c>
      <c r="BA2369" s="5" t="s">
        <v>238</v>
      </c>
      <c r="BC2369" s="5" t="s">
        <v>250</v>
      </c>
      <c r="BD2369" s="6" t="s">
        <v>243</v>
      </c>
      <c r="BE2369" s="5" t="s">
        <v>251</v>
      </c>
      <c r="BF2369" s="5" t="s">
        <v>252</v>
      </c>
      <c r="BG2369" s="5" t="s">
        <v>238</v>
      </c>
      <c r="BH2369" s="7">
        <f>0</f>
        <v>0</v>
      </c>
      <c r="BI2369" s="8">
        <f>0</f>
        <v>0</v>
      </c>
      <c r="BJ2369" s="5" t="s">
        <v>253</v>
      </c>
      <c r="BK2369" s="5" t="s">
        <v>254</v>
      </c>
      <c r="BY2369" s="5" t="s">
        <v>238</v>
      </c>
      <c r="BZ2369" s="5" t="s">
        <v>238</v>
      </c>
      <c r="CD2369" s="5" t="s">
        <v>273</v>
      </c>
      <c r="CE2369" s="5" t="s">
        <v>256</v>
      </c>
      <c r="CF2369" s="5" t="s">
        <v>238</v>
      </c>
      <c r="CI2369" s="6" t="s">
        <v>257</v>
      </c>
      <c r="CJ2369" s="5" t="s">
        <v>238</v>
      </c>
      <c r="CK2369" s="5" t="s">
        <v>258</v>
      </c>
      <c r="CL2369" s="5" t="s">
        <v>238</v>
      </c>
      <c r="CM2369" s="5" t="s">
        <v>238</v>
      </c>
      <c r="CN2369" s="5">
        <v>0</v>
      </c>
      <c r="CO2369" s="5" t="s">
        <v>259</v>
      </c>
      <c r="CP2369" s="5" t="s">
        <v>260</v>
      </c>
      <c r="CQ2369" s="5" t="s">
        <v>260</v>
      </c>
      <c r="CR2369" s="5" t="s">
        <v>261</v>
      </c>
      <c r="CU2369" s="8">
        <f>1</f>
        <v>1</v>
      </c>
      <c r="CV2369" s="8">
        <f>0</f>
        <v>0</v>
      </c>
      <c r="CX2369" s="8">
        <f>0</f>
        <v>0</v>
      </c>
      <c r="CY2369" s="8">
        <f>1</f>
        <v>1</v>
      </c>
      <c r="DA2369" s="5" t="s">
        <v>274</v>
      </c>
      <c r="DB2369" s="5" t="s">
        <v>238</v>
      </c>
      <c r="DD2369" s="5" t="s">
        <v>274</v>
      </c>
      <c r="DE2369" s="8">
        <f>2352</f>
        <v>2352</v>
      </c>
      <c r="DG2369" s="5" t="s">
        <v>238</v>
      </c>
      <c r="DH2369" s="5" t="s">
        <v>238</v>
      </c>
      <c r="DI2369" s="5" t="s">
        <v>238</v>
      </c>
      <c r="DJ2369" s="5" t="s">
        <v>238</v>
      </c>
      <c r="DN2369" s="5" t="s">
        <v>238</v>
      </c>
      <c r="DO2369" s="5" t="s">
        <v>238</v>
      </c>
      <c r="DP2369" s="5" t="s">
        <v>238</v>
      </c>
      <c r="DQ2369" s="5" t="s">
        <v>238</v>
      </c>
      <c r="DT2369" s="5" t="s">
        <v>275</v>
      </c>
      <c r="DU2369" s="5" t="s">
        <v>870</v>
      </c>
      <c r="HM2369" s="5" t="s">
        <v>264</v>
      </c>
    </row>
    <row r="2370" spans="1:221" x14ac:dyDescent="0.4">
      <c r="A2370" s="5">
        <v>4074</v>
      </c>
      <c r="B2370" s="5">
        <v>1</v>
      </c>
      <c r="C2370" s="5">
        <v>1</v>
      </c>
      <c r="D2370" s="5" t="s">
        <v>269</v>
      </c>
      <c r="E2370" s="5" t="s">
        <v>271</v>
      </c>
      <c r="F2370" s="5" t="s">
        <v>248</v>
      </c>
      <c r="G2370" s="5" t="s">
        <v>266</v>
      </c>
      <c r="H2370" s="6" t="s">
        <v>5580</v>
      </c>
      <c r="I2370" s="7">
        <f>494</f>
        <v>494</v>
      </c>
      <c r="J2370" s="5" t="s">
        <v>262</v>
      </c>
      <c r="K2370" s="8">
        <f>1</f>
        <v>1</v>
      </c>
      <c r="L2370" s="6" t="s">
        <v>242</v>
      </c>
      <c r="M2370" s="5" t="s">
        <v>267</v>
      </c>
      <c r="N2370" s="5" t="s">
        <v>265</v>
      </c>
      <c r="O2370" s="5" t="s">
        <v>238</v>
      </c>
      <c r="P2370" s="5" t="s">
        <v>238</v>
      </c>
      <c r="Q2370" s="5" t="s">
        <v>268</v>
      </c>
      <c r="R2370" s="5" t="s">
        <v>270</v>
      </c>
      <c r="S2370" s="5" t="s">
        <v>238</v>
      </c>
      <c r="V2370" s="5" t="s">
        <v>238</v>
      </c>
      <c r="X2370" s="6" t="s">
        <v>238</v>
      </c>
      <c r="AA2370" s="6" t="s">
        <v>243</v>
      </c>
      <c r="AB2370" s="5" t="s">
        <v>238</v>
      </c>
      <c r="AC2370" s="5" t="s">
        <v>244</v>
      </c>
      <c r="AD2370" s="5" t="s">
        <v>245</v>
      </c>
      <c r="AT2370" s="5" t="s">
        <v>246</v>
      </c>
      <c r="AU2370" s="5" t="s">
        <v>238</v>
      </c>
      <c r="AV2370" s="5" t="s">
        <v>247</v>
      </c>
      <c r="AW2370" s="5" t="s">
        <v>238</v>
      </c>
      <c r="AX2370" s="5" t="s">
        <v>249</v>
      </c>
      <c r="AY2370" s="5" t="s">
        <v>238</v>
      </c>
      <c r="BA2370" s="5" t="s">
        <v>238</v>
      </c>
      <c r="BC2370" s="5" t="s">
        <v>250</v>
      </c>
      <c r="BD2370" s="6" t="s">
        <v>243</v>
      </c>
      <c r="BE2370" s="5" t="s">
        <v>251</v>
      </c>
      <c r="BF2370" s="5" t="s">
        <v>252</v>
      </c>
      <c r="BG2370" s="5" t="s">
        <v>238</v>
      </c>
      <c r="BH2370" s="7">
        <f>0</f>
        <v>0</v>
      </c>
      <c r="BI2370" s="8">
        <f>0</f>
        <v>0</v>
      </c>
      <c r="BJ2370" s="5" t="s">
        <v>253</v>
      </c>
      <c r="BK2370" s="5" t="s">
        <v>254</v>
      </c>
      <c r="BY2370" s="5" t="s">
        <v>238</v>
      </c>
      <c r="BZ2370" s="5" t="s">
        <v>238</v>
      </c>
      <c r="CD2370" s="5" t="s">
        <v>273</v>
      </c>
      <c r="CE2370" s="5" t="s">
        <v>256</v>
      </c>
      <c r="CF2370" s="5" t="s">
        <v>238</v>
      </c>
      <c r="CI2370" s="6" t="s">
        <v>257</v>
      </c>
      <c r="CJ2370" s="5" t="s">
        <v>238</v>
      </c>
      <c r="CK2370" s="5" t="s">
        <v>258</v>
      </c>
      <c r="CL2370" s="5" t="s">
        <v>238</v>
      </c>
      <c r="CM2370" s="5" t="s">
        <v>238</v>
      </c>
      <c r="CN2370" s="5">
        <v>0</v>
      </c>
      <c r="CO2370" s="5" t="s">
        <v>259</v>
      </c>
      <c r="CP2370" s="5" t="s">
        <v>260</v>
      </c>
      <c r="CQ2370" s="5" t="s">
        <v>260</v>
      </c>
      <c r="CR2370" s="5" t="s">
        <v>261</v>
      </c>
      <c r="CU2370" s="8">
        <f>1</f>
        <v>1</v>
      </c>
      <c r="CV2370" s="8">
        <f>0</f>
        <v>0</v>
      </c>
      <c r="CX2370" s="8">
        <f>0</f>
        <v>0</v>
      </c>
      <c r="CY2370" s="8">
        <f>1</f>
        <v>1</v>
      </c>
      <c r="DA2370" s="5" t="s">
        <v>274</v>
      </c>
      <c r="DB2370" s="5" t="s">
        <v>238</v>
      </c>
      <c r="DD2370" s="5" t="s">
        <v>274</v>
      </c>
      <c r="DE2370" s="8">
        <f>494</f>
        <v>494</v>
      </c>
      <c r="DG2370" s="5" t="s">
        <v>238</v>
      </c>
      <c r="DH2370" s="5" t="s">
        <v>238</v>
      </c>
      <c r="DI2370" s="5" t="s">
        <v>238</v>
      </c>
      <c r="DJ2370" s="5" t="s">
        <v>238</v>
      </c>
      <c r="DN2370" s="5" t="s">
        <v>238</v>
      </c>
      <c r="DO2370" s="5" t="s">
        <v>238</v>
      </c>
      <c r="DP2370" s="5" t="s">
        <v>238</v>
      </c>
      <c r="DQ2370" s="5" t="s">
        <v>238</v>
      </c>
      <c r="DT2370" s="5" t="s">
        <v>275</v>
      </c>
      <c r="DU2370" s="5" t="s">
        <v>2882</v>
      </c>
      <c r="HM2370" s="5" t="s">
        <v>264</v>
      </c>
    </row>
    <row r="2371" spans="1:221" x14ac:dyDescent="0.4">
      <c r="A2371" s="5">
        <v>4075</v>
      </c>
      <c r="B2371" s="5">
        <v>1</v>
      </c>
      <c r="C2371" s="5">
        <v>1</v>
      </c>
      <c r="D2371" s="5" t="s">
        <v>269</v>
      </c>
      <c r="E2371" s="5" t="s">
        <v>271</v>
      </c>
      <c r="F2371" s="5" t="s">
        <v>248</v>
      </c>
      <c r="G2371" s="5" t="s">
        <v>266</v>
      </c>
      <c r="H2371" s="6" t="s">
        <v>767</v>
      </c>
      <c r="I2371" s="7">
        <f>82</f>
        <v>82</v>
      </c>
      <c r="J2371" s="5" t="s">
        <v>262</v>
      </c>
      <c r="K2371" s="8">
        <f>1</f>
        <v>1</v>
      </c>
      <c r="L2371" s="6" t="s">
        <v>242</v>
      </c>
      <c r="M2371" s="5" t="s">
        <v>267</v>
      </c>
      <c r="N2371" s="5" t="s">
        <v>265</v>
      </c>
      <c r="O2371" s="5" t="s">
        <v>238</v>
      </c>
      <c r="P2371" s="5" t="s">
        <v>238</v>
      </c>
      <c r="Q2371" s="5" t="s">
        <v>268</v>
      </c>
      <c r="R2371" s="5" t="s">
        <v>270</v>
      </c>
      <c r="S2371" s="5" t="s">
        <v>238</v>
      </c>
      <c r="V2371" s="5" t="s">
        <v>238</v>
      </c>
      <c r="X2371" s="6" t="s">
        <v>238</v>
      </c>
      <c r="AA2371" s="6" t="s">
        <v>243</v>
      </c>
      <c r="AB2371" s="5" t="s">
        <v>238</v>
      </c>
      <c r="AC2371" s="5" t="s">
        <v>244</v>
      </c>
      <c r="AD2371" s="5" t="s">
        <v>245</v>
      </c>
      <c r="AT2371" s="5" t="s">
        <v>246</v>
      </c>
      <c r="AU2371" s="5" t="s">
        <v>238</v>
      </c>
      <c r="AV2371" s="5" t="s">
        <v>247</v>
      </c>
      <c r="AW2371" s="5" t="s">
        <v>238</v>
      </c>
      <c r="AX2371" s="5" t="s">
        <v>249</v>
      </c>
      <c r="AY2371" s="5" t="s">
        <v>238</v>
      </c>
      <c r="BA2371" s="5" t="s">
        <v>238</v>
      </c>
      <c r="BC2371" s="5" t="s">
        <v>250</v>
      </c>
      <c r="BD2371" s="6" t="s">
        <v>243</v>
      </c>
      <c r="BE2371" s="5" t="s">
        <v>251</v>
      </c>
      <c r="BF2371" s="5" t="s">
        <v>252</v>
      </c>
      <c r="BG2371" s="5" t="s">
        <v>238</v>
      </c>
      <c r="BH2371" s="7">
        <f>0</f>
        <v>0</v>
      </c>
      <c r="BI2371" s="8">
        <f>0</f>
        <v>0</v>
      </c>
      <c r="BJ2371" s="5" t="s">
        <v>253</v>
      </c>
      <c r="BK2371" s="5" t="s">
        <v>254</v>
      </c>
      <c r="BY2371" s="5" t="s">
        <v>238</v>
      </c>
      <c r="BZ2371" s="5" t="s">
        <v>238</v>
      </c>
      <c r="CD2371" s="5" t="s">
        <v>273</v>
      </c>
      <c r="CE2371" s="5" t="s">
        <v>256</v>
      </c>
      <c r="CF2371" s="5" t="s">
        <v>238</v>
      </c>
      <c r="CI2371" s="6" t="s">
        <v>257</v>
      </c>
      <c r="CJ2371" s="5" t="s">
        <v>238</v>
      </c>
      <c r="CK2371" s="5" t="s">
        <v>258</v>
      </c>
      <c r="CL2371" s="5" t="s">
        <v>238</v>
      </c>
      <c r="CM2371" s="5" t="s">
        <v>238</v>
      </c>
      <c r="CN2371" s="5">
        <v>0</v>
      </c>
      <c r="CO2371" s="5" t="s">
        <v>259</v>
      </c>
      <c r="CP2371" s="5" t="s">
        <v>260</v>
      </c>
      <c r="CQ2371" s="5" t="s">
        <v>260</v>
      </c>
      <c r="CR2371" s="5" t="s">
        <v>261</v>
      </c>
      <c r="CU2371" s="8">
        <f>1</f>
        <v>1</v>
      </c>
      <c r="CV2371" s="8">
        <f>0</f>
        <v>0</v>
      </c>
      <c r="CX2371" s="8">
        <f>0</f>
        <v>0</v>
      </c>
      <c r="CY2371" s="8">
        <f>1</f>
        <v>1</v>
      </c>
      <c r="DA2371" s="5" t="s">
        <v>274</v>
      </c>
      <c r="DB2371" s="5" t="s">
        <v>238</v>
      </c>
      <c r="DD2371" s="5" t="s">
        <v>274</v>
      </c>
      <c r="DE2371" s="8">
        <f>82</f>
        <v>82</v>
      </c>
      <c r="DG2371" s="5" t="s">
        <v>238</v>
      </c>
      <c r="DH2371" s="5" t="s">
        <v>238</v>
      </c>
      <c r="DI2371" s="5" t="s">
        <v>238</v>
      </c>
      <c r="DJ2371" s="5" t="s">
        <v>238</v>
      </c>
      <c r="DN2371" s="5" t="s">
        <v>238</v>
      </c>
      <c r="DO2371" s="5" t="s">
        <v>238</v>
      </c>
      <c r="DP2371" s="5" t="s">
        <v>238</v>
      </c>
      <c r="DQ2371" s="5" t="s">
        <v>238</v>
      </c>
      <c r="DT2371" s="5" t="s">
        <v>275</v>
      </c>
      <c r="DU2371" s="5" t="s">
        <v>768</v>
      </c>
      <c r="HM2371" s="5" t="s">
        <v>264</v>
      </c>
    </row>
    <row r="2372" spans="1:221" x14ac:dyDescent="0.4">
      <c r="A2372" s="5">
        <v>4076</v>
      </c>
      <c r="B2372" s="5">
        <v>1</v>
      </c>
      <c r="C2372" s="5">
        <v>1</v>
      </c>
      <c r="D2372" s="5" t="s">
        <v>269</v>
      </c>
      <c r="E2372" s="5" t="s">
        <v>271</v>
      </c>
      <c r="F2372" s="5" t="s">
        <v>248</v>
      </c>
      <c r="G2372" s="5" t="s">
        <v>266</v>
      </c>
      <c r="H2372" s="6" t="s">
        <v>5551</v>
      </c>
      <c r="I2372" s="7">
        <f>2853</f>
        <v>2853</v>
      </c>
      <c r="J2372" s="5" t="s">
        <v>262</v>
      </c>
      <c r="K2372" s="8">
        <f>1</f>
        <v>1</v>
      </c>
      <c r="L2372" s="6" t="s">
        <v>242</v>
      </c>
      <c r="M2372" s="5" t="s">
        <v>267</v>
      </c>
      <c r="N2372" s="5" t="s">
        <v>265</v>
      </c>
      <c r="O2372" s="5" t="s">
        <v>238</v>
      </c>
      <c r="P2372" s="5" t="s">
        <v>238</v>
      </c>
      <c r="Q2372" s="5" t="s">
        <v>268</v>
      </c>
      <c r="R2372" s="5" t="s">
        <v>270</v>
      </c>
      <c r="S2372" s="5" t="s">
        <v>238</v>
      </c>
      <c r="V2372" s="5" t="s">
        <v>238</v>
      </c>
      <c r="X2372" s="6" t="s">
        <v>238</v>
      </c>
      <c r="AA2372" s="6" t="s">
        <v>243</v>
      </c>
      <c r="AB2372" s="5" t="s">
        <v>238</v>
      </c>
      <c r="AC2372" s="5" t="s">
        <v>244</v>
      </c>
      <c r="AD2372" s="5" t="s">
        <v>245</v>
      </c>
      <c r="AT2372" s="5" t="s">
        <v>246</v>
      </c>
      <c r="AU2372" s="5" t="s">
        <v>238</v>
      </c>
      <c r="AV2372" s="5" t="s">
        <v>247</v>
      </c>
      <c r="AW2372" s="5" t="s">
        <v>238</v>
      </c>
      <c r="AX2372" s="5" t="s">
        <v>249</v>
      </c>
      <c r="AY2372" s="5" t="s">
        <v>238</v>
      </c>
      <c r="BA2372" s="5" t="s">
        <v>238</v>
      </c>
      <c r="BC2372" s="5" t="s">
        <v>250</v>
      </c>
      <c r="BD2372" s="6" t="s">
        <v>243</v>
      </c>
      <c r="BE2372" s="5" t="s">
        <v>251</v>
      </c>
      <c r="BF2372" s="5" t="s">
        <v>252</v>
      </c>
      <c r="BG2372" s="5" t="s">
        <v>238</v>
      </c>
      <c r="BH2372" s="7">
        <f>0</f>
        <v>0</v>
      </c>
      <c r="BI2372" s="8">
        <f>0</f>
        <v>0</v>
      </c>
      <c r="BJ2372" s="5" t="s">
        <v>253</v>
      </c>
      <c r="BK2372" s="5" t="s">
        <v>254</v>
      </c>
      <c r="BY2372" s="5" t="s">
        <v>238</v>
      </c>
      <c r="BZ2372" s="5" t="s">
        <v>238</v>
      </c>
      <c r="CD2372" s="5" t="s">
        <v>273</v>
      </c>
      <c r="CE2372" s="5" t="s">
        <v>256</v>
      </c>
      <c r="CF2372" s="5" t="s">
        <v>238</v>
      </c>
      <c r="CI2372" s="6" t="s">
        <v>257</v>
      </c>
      <c r="CJ2372" s="5" t="s">
        <v>238</v>
      </c>
      <c r="CK2372" s="5" t="s">
        <v>258</v>
      </c>
      <c r="CL2372" s="5" t="s">
        <v>238</v>
      </c>
      <c r="CM2372" s="5" t="s">
        <v>238</v>
      </c>
      <c r="CN2372" s="5">
        <v>0</v>
      </c>
      <c r="CO2372" s="5" t="s">
        <v>259</v>
      </c>
      <c r="CP2372" s="5" t="s">
        <v>260</v>
      </c>
      <c r="CQ2372" s="5" t="s">
        <v>260</v>
      </c>
      <c r="CR2372" s="5" t="s">
        <v>261</v>
      </c>
      <c r="CU2372" s="8">
        <f>1</f>
        <v>1</v>
      </c>
      <c r="CV2372" s="8">
        <f>0</f>
        <v>0</v>
      </c>
      <c r="CX2372" s="8">
        <f>0</f>
        <v>0</v>
      </c>
      <c r="CY2372" s="8">
        <f>1</f>
        <v>1</v>
      </c>
      <c r="DA2372" s="5" t="s">
        <v>274</v>
      </c>
      <c r="DB2372" s="5" t="s">
        <v>238</v>
      </c>
      <c r="DD2372" s="5" t="s">
        <v>274</v>
      </c>
      <c r="DE2372" s="8">
        <f>2853</f>
        <v>2853</v>
      </c>
      <c r="DG2372" s="5" t="s">
        <v>238</v>
      </c>
      <c r="DH2372" s="5" t="s">
        <v>238</v>
      </c>
      <c r="DI2372" s="5" t="s">
        <v>238</v>
      </c>
      <c r="DJ2372" s="5" t="s">
        <v>238</v>
      </c>
      <c r="DN2372" s="5" t="s">
        <v>238</v>
      </c>
      <c r="DO2372" s="5" t="s">
        <v>238</v>
      </c>
      <c r="DP2372" s="5" t="s">
        <v>238</v>
      </c>
      <c r="DQ2372" s="5" t="s">
        <v>238</v>
      </c>
      <c r="DT2372" s="5" t="s">
        <v>275</v>
      </c>
      <c r="DU2372" s="5" t="s">
        <v>2879</v>
      </c>
      <c r="HM2372" s="5" t="s">
        <v>264</v>
      </c>
    </row>
    <row r="2373" spans="1:221" x14ac:dyDescent="0.4">
      <c r="A2373" s="5">
        <v>4077</v>
      </c>
      <c r="B2373" s="5">
        <v>1</v>
      </c>
      <c r="C2373" s="5">
        <v>1</v>
      </c>
      <c r="D2373" s="5" t="s">
        <v>269</v>
      </c>
      <c r="E2373" s="5" t="s">
        <v>271</v>
      </c>
      <c r="F2373" s="5" t="s">
        <v>248</v>
      </c>
      <c r="G2373" s="5" t="s">
        <v>266</v>
      </c>
      <c r="H2373" s="6" t="s">
        <v>5543</v>
      </c>
      <c r="I2373" s="7">
        <f>449</f>
        <v>449</v>
      </c>
      <c r="J2373" s="5" t="s">
        <v>262</v>
      </c>
      <c r="K2373" s="8">
        <f>1</f>
        <v>1</v>
      </c>
      <c r="L2373" s="6" t="s">
        <v>242</v>
      </c>
      <c r="M2373" s="5" t="s">
        <v>267</v>
      </c>
      <c r="N2373" s="5" t="s">
        <v>265</v>
      </c>
      <c r="O2373" s="5" t="s">
        <v>238</v>
      </c>
      <c r="P2373" s="5" t="s">
        <v>238</v>
      </c>
      <c r="Q2373" s="5" t="s">
        <v>268</v>
      </c>
      <c r="R2373" s="5" t="s">
        <v>270</v>
      </c>
      <c r="S2373" s="5" t="s">
        <v>238</v>
      </c>
      <c r="V2373" s="5" t="s">
        <v>238</v>
      </c>
      <c r="X2373" s="6" t="s">
        <v>238</v>
      </c>
      <c r="AA2373" s="6" t="s">
        <v>243</v>
      </c>
      <c r="AB2373" s="5" t="s">
        <v>238</v>
      </c>
      <c r="AC2373" s="5" t="s">
        <v>244</v>
      </c>
      <c r="AD2373" s="5" t="s">
        <v>245</v>
      </c>
      <c r="AT2373" s="5" t="s">
        <v>246</v>
      </c>
      <c r="AU2373" s="5" t="s">
        <v>238</v>
      </c>
      <c r="AV2373" s="5" t="s">
        <v>247</v>
      </c>
      <c r="AW2373" s="5" t="s">
        <v>238</v>
      </c>
      <c r="AX2373" s="5" t="s">
        <v>249</v>
      </c>
      <c r="AY2373" s="5" t="s">
        <v>238</v>
      </c>
      <c r="BA2373" s="5" t="s">
        <v>238</v>
      </c>
      <c r="BC2373" s="5" t="s">
        <v>250</v>
      </c>
      <c r="BD2373" s="6" t="s">
        <v>243</v>
      </c>
      <c r="BE2373" s="5" t="s">
        <v>251</v>
      </c>
      <c r="BF2373" s="5" t="s">
        <v>252</v>
      </c>
      <c r="BG2373" s="5" t="s">
        <v>238</v>
      </c>
      <c r="BH2373" s="7">
        <f>0</f>
        <v>0</v>
      </c>
      <c r="BI2373" s="8">
        <f>0</f>
        <v>0</v>
      </c>
      <c r="BJ2373" s="5" t="s">
        <v>253</v>
      </c>
      <c r="BK2373" s="5" t="s">
        <v>254</v>
      </c>
      <c r="BY2373" s="5" t="s">
        <v>238</v>
      </c>
      <c r="BZ2373" s="5" t="s">
        <v>238</v>
      </c>
      <c r="CD2373" s="5" t="s">
        <v>273</v>
      </c>
      <c r="CE2373" s="5" t="s">
        <v>256</v>
      </c>
      <c r="CF2373" s="5" t="s">
        <v>238</v>
      </c>
      <c r="CI2373" s="6" t="s">
        <v>257</v>
      </c>
      <c r="CJ2373" s="5" t="s">
        <v>238</v>
      </c>
      <c r="CK2373" s="5" t="s">
        <v>258</v>
      </c>
      <c r="CL2373" s="5" t="s">
        <v>238</v>
      </c>
      <c r="CM2373" s="5" t="s">
        <v>238</v>
      </c>
      <c r="CN2373" s="5">
        <v>0</v>
      </c>
      <c r="CO2373" s="5" t="s">
        <v>259</v>
      </c>
      <c r="CP2373" s="5" t="s">
        <v>260</v>
      </c>
      <c r="CQ2373" s="5" t="s">
        <v>260</v>
      </c>
      <c r="CR2373" s="5" t="s">
        <v>261</v>
      </c>
      <c r="CU2373" s="8">
        <f>1</f>
        <v>1</v>
      </c>
      <c r="CV2373" s="8">
        <f>0</f>
        <v>0</v>
      </c>
      <c r="CX2373" s="8">
        <f>0</f>
        <v>0</v>
      </c>
      <c r="CY2373" s="8">
        <f>1</f>
        <v>1</v>
      </c>
      <c r="DA2373" s="5" t="s">
        <v>274</v>
      </c>
      <c r="DB2373" s="5" t="s">
        <v>238</v>
      </c>
      <c r="DD2373" s="5" t="s">
        <v>274</v>
      </c>
      <c r="DE2373" s="8">
        <f>449</f>
        <v>449</v>
      </c>
      <c r="DG2373" s="5" t="s">
        <v>238</v>
      </c>
      <c r="DH2373" s="5" t="s">
        <v>238</v>
      </c>
      <c r="DI2373" s="5" t="s">
        <v>238</v>
      </c>
      <c r="DJ2373" s="5" t="s">
        <v>238</v>
      </c>
      <c r="DN2373" s="5" t="s">
        <v>238</v>
      </c>
      <c r="DO2373" s="5" t="s">
        <v>238</v>
      </c>
      <c r="DP2373" s="5" t="s">
        <v>238</v>
      </c>
      <c r="DQ2373" s="5" t="s">
        <v>238</v>
      </c>
      <c r="DT2373" s="5" t="s">
        <v>275</v>
      </c>
      <c r="DU2373" s="5" t="s">
        <v>2877</v>
      </c>
      <c r="HM2373" s="5" t="s">
        <v>264</v>
      </c>
    </row>
    <row r="2374" spans="1:221" x14ac:dyDescent="0.4">
      <c r="A2374" s="5">
        <v>4078</v>
      </c>
      <c r="B2374" s="5">
        <v>1</v>
      </c>
      <c r="C2374" s="5">
        <v>1</v>
      </c>
      <c r="D2374" s="5" t="s">
        <v>269</v>
      </c>
      <c r="E2374" s="5" t="s">
        <v>271</v>
      </c>
      <c r="F2374" s="5" t="s">
        <v>248</v>
      </c>
      <c r="G2374" s="5" t="s">
        <v>266</v>
      </c>
      <c r="H2374" s="6" t="s">
        <v>641</v>
      </c>
      <c r="I2374" s="7">
        <f>419</f>
        <v>419</v>
      </c>
      <c r="J2374" s="5" t="s">
        <v>262</v>
      </c>
      <c r="K2374" s="8">
        <f>1</f>
        <v>1</v>
      </c>
      <c r="L2374" s="6" t="s">
        <v>242</v>
      </c>
      <c r="M2374" s="5" t="s">
        <v>267</v>
      </c>
      <c r="N2374" s="5" t="s">
        <v>265</v>
      </c>
      <c r="O2374" s="5" t="s">
        <v>238</v>
      </c>
      <c r="P2374" s="5" t="s">
        <v>238</v>
      </c>
      <c r="Q2374" s="5" t="s">
        <v>268</v>
      </c>
      <c r="R2374" s="5" t="s">
        <v>270</v>
      </c>
      <c r="S2374" s="5" t="s">
        <v>238</v>
      </c>
      <c r="V2374" s="5" t="s">
        <v>238</v>
      </c>
      <c r="X2374" s="6" t="s">
        <v>238</v>
      </c>
      <c r="AA2374" s="6" t="s">
        <v>243</v>
      </c>
      <c r="AB2374" s="5" t="s">
        <v>238</v>
      </c>
      <c r="AC2374" s="5" t="s">
        <v>244</v>
      </c>
      <c r="AD2374" s="5" t="s">
        <v>245</v>
      </c>
      <c r="AT2374" s="5" t="s">
        <v>246</v>
      </c>
      <c r="AU2374" s="5" t="s">
        <v>238</v>
      </c>
      <c r="AV2374" s="5" t="s">
        <v>247</v>
      </c>
      <c r="AW2374" s="5" t="s">
        <v>238</v>
      </c>
      <c r="AX2374" s="5" t="s">
        <v>249</v>
      </c>
      <c r="AY2374" s="5" t="s">
        <v>238</v>
      </c>
      <c r="BA2374" s="5" t="s">
        <v>238</v>
      </c>
      <c r="BC2374" s="5" t="s">
        <v>250</v>
      </c>
      <c r="BD2374" s="6" t="s">
        <v>243</v>
      </c>
      <c r="BE2374" s="5" t="s">
        <v>251</v>
      </c>
      <c r="BF2374" s="5" t="s">
        <v>252</v>
      </c>
      <c r="BG2374" s="5" t="s">
        <v>238</v>
      </c>
      <c r="BH2374" s="7">
        <f>0</f>
        <v>0</v>
      </c>
      <c r="BI2374" s="8">
        <f>0</f>
        <v>0</v>
      </c>
      <c r="BJ2374" s="5" t="s">
        <v>253</v>
      </c>
      <c r="BK2374" s="5" t="s">
        <v>254</v>
      </c>
      <c r="BY2374" s="5" t="s">
        <v>238</v>
      </c>
      <c r="BZ2374" s="5" t="s">
        <v>238</v>
      </c>
      <c r="CD2374" s="5" t="s">
        <v>273</v>
      </c>
      <c r="CE2374" s="5" t="s">
        <v>256</v>
      </c>
      <c r="CF2374" s="5" t="s">
        <v>238</v>
      </c>
      <c r="CI2374" s="6" t="s">
        <v>257</v>
      </c>
      <c r="CJ2374" s="5" t="s">
        <v>238</v>
      </c>
      <c r="CK2374" s="5" t="s">
        <v>258</v>
      </c>
      <c r="CL2374" s="5" t="s">
        <v>238</v>
      </c>
      <c r="CM2374" s="5" t="s">
        <v>238</v>
      </c>
      <c r="CN2374" s="5">
        <v>0</v>
      </c>
      <c r="CO2374" s="5" t="s">
        <v>259</v>
      </c>
      <c r="CP2374" s="5" t="s">
        <v>260</v>
      </c>
      <c r="CQ2374" s="5" t="s">
        <v>260</v>
      </c>
      <c r="CR2374" s="5" t="s">
        <v>261</v>
      </c>
      <c r="CU2374" s="8">
        <f>1</f>
        <v>1</v>
      </c>
      <c r="CV2374" s="8">
        <f>0</f>
        <v>0</v>
      </c>
      <c r="CX2374" s="8">
        <f>0</f>
        <v>0</v>
      </c>
      <c r="CY2374" s="8">
        <f>1</f>
        <v>1</v>
      </c>
      <c r="DA2374" s="5" t="s">
        <v>274</v>
      </c>
      <c r="DB2374" s="5" t="s">
        <v>238</v>
      </c>
      <c r="DD2374" s="5" t="s">
        <v>274</v>
      </c>
      <c r="DE2374" s="8">
        <f>419</f>
        <v>419</v>
      </c>
      <c r="DG2374" s="5" t="s">
        <v>238</v>
      </c>
      <c r="DH2374" s="5" t="s">
        <v>238</v>
      </c>
      <c r="DI2374" s="5" t="s">
        <v>238</v>
      </c>
      <c r="DJ2374" s="5" t="s">
        <v>238</v>
      </c>
      <c r="DN2374" s="5" t="s">
        <v>238</v>
      </c>
      <c r="DO2374" s="5" t="s">
        <v>238</v>
      </c>
      <c r="DP2374" s="5" t="s">
        <v>238</v>
      </c>
      <c r="DQ2374" s="5" t="s">
        <v>238</v>
      </c>
      <c r="DT2374" s="5" t="s">
        <v>275</v>
      </c>
      <c r="DU2374" s="5" t="s">
        <v>642</v>
      </c>
      <c r="HM2374" s="5" t="s">
        <v>264</v>
      </c>
    </row>
    <row r="2375" spans="1:221" x14ac:dyDescent="0.4">
      <c r="A2375" s="5">
        <v>4079</v>
      </c>
      <c r="B2375" s="5">
        <v>1</v>
      </c>
      <c r="C2375" s="5">
        <v>1</v>
      </c>
      <c r="D2375" s="5" t="s">
        <v>269</v>
      </c>
      <c r="E2375" s="5" t="s">
        <v>271</v>
      </c>
      <c r="F2375" s="5" t="s">
        <v>248</v>
      </c>
      <c r="G2375" s="5" t="s">
        <v>266</v>
      </c>
      <c r="H2375" s="6" t="s">
        <v>625</v>
      </c>
      <c r="I2375" s="7">
        <f>97</f>
        <v>97</v>
      </c>
      <c r="J2375" s="5" t="s">
        <v>262</v>
      </c>
      <c r="K2375" s="8">
        <f>1</f>
        <v>1</v>
      </c>
      <c r="L2375" s="6" t="s">
        <v>242</v>
      </c>
      <c r="M2375" s="5" t="s">
        <v>267</v>
      </c>
      <c r="N2375" s="5" t="s">
        <v>265</v>
      </c>
      <c r="O2375" s="5" t="s">
        <v>238</v>
      </c>
      <c r="P2375" s="5" t="s">
        <v>238</v>
      </c>
      <c r="Q2375" s="5" t="s">
        <v>268</v>
      </c>
      <c r="R2375" s="5" t="s">
        <v>270</v>
      </c>
      <c r="S2375" s="5" t="s">
        <v>238</v>
      </c>
      <c r="V2375" s="5" t="s">
        <v>238</v>
      </c>
      <c r="X2375" s="6" t="s">
        <v>238</v>
      </c>
      <c r="AA2375" s="6" t="s">
        <v>243</v>
      </c>
      <c r="AB2375" s="5" t="s">
        <v>238</v>
      </c>
      <c r="AC2375" s="5" t="s">
        <v>244</v>
      </c>
      <c r="AD2375" s="5" t="s">
        <v>245</v>
      </c>
      <c r="AT2375" s="5" t="s">
        <v>246</v>
      </c>
      <c r="AU2375" s="5" t="s">
        <v>238</v>
      </c>
      <c r="AV2375" s="5" t="s">
        <v>247</v>
      </c>
      <c r="AW2375" s="5" t="s">
        <v>238</v>
      </c>
      <c r="AX2375" s="5" t="s">
        <v>249</v>
      </c>
      <c r="AY2375" s="5" t="s">
        <v>238</v>
      </c>
      <c r="BA2375" s="5" t="s">
        <v>238</v>
      </c>
      <c r="BC2375" s="5" t="s">
        <v>250</v>
      </c>
      <c r="BD2375" s="6" t="s">
        <v>243</v>
      </c>
      <c r="BE2375" s="5" t="s">
        <v>251</v>
      </c>
      <c r="BF2375" s="5" t="s">
        <v>252</v>
      </c>
      <c r="BG2375" s="5" t="s">
        <v>238</v>
      </c>
      <c r="BH2375" s="7">
        <f>0</f>
        <v>0</v>
      </c>
      <c r="BI2375" s="8">
        <f>0</f>
        <v>0</v>
      </c>
      <c r="BJ2375" s="5" t="s">
        <v>253</v>
      </c>
      <c r="BK2375" s="5" t="s">
        <v>254</v>
      </c>
      <c r="BY2375" s="5" t="s">
        <v>238</v>
      </c>
      <c r="BZ2375" s="5" t="s">
        <v>238</v>
      </c>
      <c r="CD2375" s="5" t="s">
        <v>273</v>
      </c>
      <c r="CE2375" s="5" t="s">
        <v>256</v>
      </c>
      <c r="CF2375" s="5" t="s">
        <v>238</v>
      </c>
      <c r="CI2375" s="6" t="s">
        <v>257</v>
      </c>
      <c r="CJ2375" s="5" t="s">
        <v>238</v>
      </c>
      <c r="CK2375" s="5" t="s">
        <v>258</v>
      </c>
      <c r="CL2375" s="5" t="s">
        <v>238</v>
      </c>
      <c r="CM2375" s="5" t="s">
        <v>238</v>
      </c>
      <c r="CN2375" s="5">
        <v>0</v>
      </c>
      <c r="CO2375" s="5" t="s">
        <v>259</v>
      </c>
      <c r="CP2375" s="5" t="s">
        <v>260</v>
      </c>
      <c r="CQ2375" s="5" t="s">
        <v>260</v>
      </c>
      <c r="CR2375" s="5" t="s">
        <v>261</v>
      </c>
      <c r="CU2375" s="8">
        <f>1</f>
        <v>1</v>
      </c>
      <c r="CV2375" s="8">
        <f>0</f>
        <v>0</v>
      </c>
      <c r="CX2375" s="8">
        <f>0</f>
        <v>0</v>
      </c>
      <c r="CY2375" s="8">
        <f>1</f>
        <v>1</v>
      </c>
      <c r="DA2375" s="5" t="s">
        <v>274</v>
      </c>
      <c r="DB2375" s="5" t="s">
        <v>238</v>
      </c>
      <c r="DD2375" s="5" t="s">
        <v>274</v>
      </c>
      <c r="DE2375" s="8">
        <f>97</f>
        <v>97</v>
      </c>
      <c r="DG2375" s="5" t="s">
        <v>238</v>
      </c>
      <c r="DH2375" s="5" t="s">
        <v>238</v>
      </c>
      <c r="DI2375" s="5" t="s">
        <v>238</v>
      </c>
      <c r="DJ2375" s="5" t="s">
        <v>238</v>
      </c>
      <c r="DN2375" s="5" t="s">
        <v>238</v>
      </c>
      <c r="DO2375" s="5" t="s">
        <v>238</v>
      </c>
      <c r="DP2375" s="5" t="s">
        <v>238</v>
      </c>
      <c r="DQ2375" s="5" t="s">
        <v>238</v>
      </c>
      <c r="DT2375" s="5" t="s">
        <v>275</v>
      </c>
      <c r="DU2375" s="5" t="s">
        <v>626</v>
      </c>
      <c r="HM2375" s="5" t="s">
        <v>264</v>
      </c>
    </row>
    <row r="2376" spans="1:221" x14ac:dyDescent="0.4">
      <c r="A2376" s="5">
        <v>4080</v>
      </c>
      <c r="B2376" s="5">
        <v>1</v>
      </c>
      <c r="C2376" s="5">
        <v>1</v>
      </c>
      <c r="D2376" s="5" t="s">
        <v>269</v>
      </c>
      <c r="E2376" s="5" t="s">
        <v>271</v>
      </c>
      <c r="F2376" s="5" t="s">
        <v>248</v>
      </c>
      <c r="G2376" s="5" t="s">
        <v>266</v>
      </c>
      <c r="H2376" s="6" t="s">
        <v>581</v>
      </c>
      <c r="I2376" s="7">
        <f>585</f>
        <v>585</v>
      </c>
      <c r="J2376" s="5" t="s">
        <v>262</v>
      </c>
      <c r="K2376" s="8">
        <f>1</f>
        <v>1</v>
      </c>
      <c r="L2376" s="6" t="s">
        <v>242</v>
      </c>
      <c r="M2376" s="5" t="s">
        <v>267</v>
      </c>
      <c r="N2376" s="5" t="s">
        <v>265</v>
      </c>
      <c r="O2376" s="5" t="s">
        <v>238</v>
      </c>
      <c r="P2376" s="5" t="s">
        <v>238</v>
      </c>
      <c r="Q2376" s="5" t="s">
        <v>268</v>
      </c>
      <c r="R2376" s="5" t="s">
        <v>270</v>
      </c>
      <c r="S2376" s="5" t="s">
        <v>238</v>
      </c>
      <c r="V2376" s="5" t="s">
        <v>238</v>
      </c>
      <c r="X2376" s="6" t="s">
        <v>238</v>
      </c>
      <c r="AA2376" s="6" t="s">
        <v>243</v>
      </c>
      <c r="AB2376" s="5" t="s">
        <v>238</v>
      </c>
      <c r="AC2376" s="5" t="s">
        <v>244</v>
      </c>
      <c r="AD2376" s="5" t="s">
        <v>245</v>
      </c>
      <c r="AT2376" s="5" t="s">
        <v>246</v>
      </c>
      <c r="AU2376" s="5" t="s">
        <v>238</v>
      </c>
      <c r="AV2376" s="5" t="s">
        <v>247</v>
      </c>
      <c r="AW2376" s="5" t="s">
        <v>238</v>
      </c>
      <c r="AX2376" s="5" t="s">
        <v>249</v>
      </c>
      <c r="AY2376" s="5" t="s">
        <v>238</v>
      </c>
      <c r="BA2376" s="5" t="s">
        <v>238</v>
      </c>
      <c r="BC2376" s="5" t="s">
        <v>250</v>
      </c>
      <c r="BD2376" s="6" t="s">
        <v>243</v>
      </c>
      <c r="BE2376" s="5" t="s">
        <v>251</v>
      </c>
      <c r="BF2376" s="5" t="s">
        <v>252</v>
      </c>
      <c r="BG2376" s="5" t="s">
        <v>238</v>
      </c>
      <c r="BH2376" s="7">
        <f>0</f>
        <v>0</v>
      </c>
      <c r="BI2376" s="8">
        <f>0</f>
        <v>0</v>
      </c>
      <c r="BJ2376" s="5" t="s">
        <v>253</v>
      </c>
      <c r="BK2376" s="5" t="s">
        <v>254</v>
      </c>
      <c r="BY2376" s="5" t="s">
        <v>238</v>
      </c>
      <c r="BZ2376" s="5" t="s">
        <v>238</v>
      </c>
      <c r="CD2376" s="5" t="s">
        <v>273</v>
      </c>
      <c r="CE2376" s="5" t="s">
        <v>256</v>
      </c>
      <c r="CF2376" s="5" t="s">
        <v>238</v>
      </c>
      <c r="CI2376" s="6" t="s">
        <v>257</v>
      </c>
      <c r="CJ2376" s="5" t="s">
        <v>238</v>
      </c>
      <c r="CK2376" s="5" t="s">
        <v>258</v>
      </c>
      <c r="CL2376" s="5" t="s">
        <v>238</v>
      </c>
      <c r="CM2376" s="5" t="s">
        <v>238</v>
      </c>
      <c r="CN2376" s="5">
        <v>0</v>
      </c>
      <c r="CO2376" s="5" t="s">
        <v>259</v>
      </c>
      <c r="CP2376" s="5" t="s">
        <v>260</v>
      </c>
      <c r="CQ2376" s="5" t="s">
        <v>260</v>
      </c>
      <c r="CR2376" s="5" t="s">
        <v>261</v>
      </c>
      <c r="CU2376" s="8">
        <f>1</f>
        <v>1</v>
      </c>
      <c r="CV2376" s="8">
        <f>0</f>
        <v>0</v>
      </c>
      <c r="CX2376" s="8">
        <f>0</f>
        <v>0</v>
      </c>
      <c r="CY2376" s="8">
        <f>1</f>
        <v>1</v>
      </c>
      <c r="DA2376" s="5" t="s">
        <v>274</v>
      </c>
      <c r="DB2376" s="5" t="s">
        <v>238</v>
      </c>
      <c r="DD2376" s="5" t="s">
        <v>274</v>
      </c>
      <c r="DE2376" s="8">
        <f>585</f>
        <v>585</v>
      </c>
      <c r="DG2376" s="5" t="s">
        <v>238</v>
      </c>
      <c r="DH2376" s="5" t="s">
        <v>238</v>
      </c>
      <c r="DI2376" s="5" t="s">
        <v>238</v>
      </c>
      <c r="DJ2376" s="5" t="s">
        <v>238</v>
      </c>
      <c r="DN2376" s="5" t="s">
        <v>238</v>
      </c>
      <c r="DO2376" s="5" t="s">
        <v>238</v>
      </c>
      <c r="DP2376" s="5" t="s">
        <v>238</v>
      </c>
      <c r="DQ2376" s="5" t="s">
        <v>238</v>
      </c>
      <c r="DT2376" s="5" t="s">
        <v>275</v>
      </c>
      <c r="DU2376" s="5" t="s">
        <v>582</v>
      </c>
      <c r="HM2376" s="5" t="s">
        <v>264</v>
      </c>
    </row>
    <row r="2377" spans="1:221" x14ac:dyDescent="0.4">
      <c r="A2377" s="5">
        <v>4081</v>
      </c>
      <c r="B2377" s="5">
        <v>1</v>
      </c>
      <c r="C2377" s="5">
        <v>1</v>
      </c>
      <c r="D2377" s="5" t="s">
        <v>269</v>
      </c>
      <c r="E2377" s="5" t="s">
        <v>271</v>
      </c>
      <c r="F2377" s="5" t="s">
        <v>248</v>
      </c>
      <c r="G2377" s="5" t="s">
        <v>266</v>
      </c>
      <c r="H2377" s="6" t="s">
        <v>551</v>
      </c>
      <c r="I2377" s="7">
        <f>3354</f>
        <v>3354</v>
      </c>
      <c r="J2377" s="5" t="s">
        <v>262</v>
      </c>
      <c r="K2377" s="8">
        <f>1</f>
        <v>1</v>
      </c>
      <c r="L2377" s="6" t="s">
        <v>242</v>
      </c>
      <c r="M2377" s="5" t="s">
        <v>267</v>
      </c>
      <c r="N2377" s="5" t="s">
        <v>265</v>
      </c>
      <c r="O2377" s="5" t="s">
        <v>238</v>
      </c>
      <c r="P2377" s="5" t="s">
        <v>238</v>
      </c>
      <c r="Q2377" s="5" t="s">
        <v>268</v>
      </c>
      <c r="R2377" s="5" t="s">
        <v>270</v>
      </c>
      <c r="S2377" s="5" t="s">
        <v>238</v>
      </c>
      <c r="V2377" s="5" t="s">
        <v>238</v>
      </c>
      <c r="X2377" s="6" t="s">
        <v>238</v>
      </c>
      <c r="AA2377" s="6" t="s">
        <v>243</v>
      </c>
      <c r="AB2377" s="5" t="s">
        <v>238</v>
      </c>
      <c r="AC2377" s="5" t="s">
        <v>244</v>
      </c>
      <c r="AD2377" s="5" t="s">
        <v>245</v>
      </c>
      <c r="AT2377" s="5" t="s">
        <v>246</v>
      </c>
      <c r="AU2377" s="5" t="s">
        <v>238</v>
      </c>
      <c r="AV2377" s="5" t="s">
        <v>247</v>
      </c>
      <c r="AW2377" s="5" t="s">
        <v>238</v>
      </c>
      <c r="AX2377" s="5" t="s">
        <v>249</v>
      </c>
      <c r="AY2377" s="5" t="s">
        <v>238</v>
      </c>
      <c r="BA2377" s="5" t="s">
        <v>238</v>
      </c>
      <c r="BC2377" s="5" t="s">
        <v>250</v>
      </c>
      <c r="BD2377" s="6" t="s">
        <v>243</v>
      </c>
      <c r="BE2377" s="5" t="s">
        <v>251</v>
      </c>
      <c r="BF2377" s="5" t="s">
        <v>252</v>
      </c>
      <c r="BG2377" s="5" t="s">
        <v>238</v>
      </c>
      <c r="BH2377" s="7">
        <f>0</f>
        <v>0</v>
      </c>
      <c r="BI2377" s="8">
        <f>0</f>
        <v>0</v>
      </c>
      <c r="BJ2377" s="5" t="s">
        <v>253</v>
      </c>
      <c r="BK2377" s="5" t="s">
        <v>254</v>
      </c>
      <c r="BY2377" s="5" t="s">
        <v>238</v>
      </c>
      <c r="BZ2377" s="5" t="s">
        <v>238</v>
      </c>
      <c r="CD2377" s="5" t="s">
        <v>273</v>
      </c>
      <c r="CE2377" s="5" t="s">
        <v>256</v>
      </c>
      <c r="CF2377" s="5" t="s">
        <v>238</v>
      </c>
      <c r="CI2377" s="6" t="s">
        <v>257</v>
      </c>
      <c r="CJ2377" s="5" t="s">
        <v>238</v>
      </c>
      <c r="CK2377" s="5" t="s">
        <v>258</v>
      </c>
      <c r="CL2377" s="5" t="s">
        <v>238</v>
      </c>
      <c r="CM2377" s="5" t="s">
        <v>238</v>
      </c>
      <c r="CN2377" s="5">
        <v>0</v>
      </c>
      <c r="CO2377" s="5" t="s">
        <v>259</v>
      </c>
      <c r="CP2377" s="5" t="s">
        <v>260</v>
      </c>
      <c r="CQ2377" s="5" t="s">
        <v>260</v>
      </c>
      <c r="CR2377" s="5" t="s">
        <v>261</v>
      </c>
      <c r="CU2377" s="8">
        <f>1</f>
        <v>1</v>
      </c>
      <c r="CV2377" s="8">
        <f>0</f>
        <v>0</v>
      </c>
      <c r="CX2377" s="8">
        <f>0</f>
        <v>0</v>
      </c>
      <c r="CY2377" s="8">
        <f>1</f>
        <v>1</v>
      </c>
      <c r="DA2377" s="5" t="s">
        <v>274</v>
      </c>
      <c r="DB2377" s="5" t="s">
        <v>238</v>
      </c>
      <c r="DD2377" s="5" t="s">
        <v>274</v>
      </c>
      <c r="DE2377" s="8">
        <f>3354</f>
        <v>3354</v>
      </c>
      <c r="DG2377" s="5" t="s">
        <v>238</v>
      </c>
      <c r="DH2377" s="5" t="s">
        <v>238</v>
      </c>
      <c r="DI2377" s="5" t="s">
        <v>238</v>
      </c>
      <c r="DJ2377" s="5" t="s">
        <v>238</v>
      </c>
      <c r="DN2377" s="5" t="s">
        <v>238</v>
      </c>
      <c r="DO2377" s="5" t="s">
        <v>238</v>
      </c>
      <c r="DP2377" s="5" t="s">
        <v>238</v>
      </c>
      <c r="DQ2377" s="5" t="s">
        <v>238</v>
      </c>
      <c r="DT2377" s="5" t="s">
        <v>275</v>
      </c>
      <c r="DU2377" s="5" t="s">
        <v>552</v>
      </c>
      <c r="HM2377" s="5" t="s">
        <v>264</v>
      </c>
    </row>
    <row r="2378" spans="1:221" x14ac:dyDescent="0.4">
      <c r="A2378" s="5">
        <v>4082</v>
      </c>
      <c r="B2378" s="5">
        <v>1</v>
      </c>
      <c r="C2378" s="5">
        <v>1</v>
      </c>
      <c r="D2378" s="5" t="s">
        <v>269</v>
      </c>
      <c r="E2378" s="5" t="s">
        <v>271</v>
      </c>
      <c r="F2378" s="5" t="s">
        <v>248</v>
      </c>
      <c r="G2378" s="5" t="s">
        <v>266</v>
      </c>
      <c r="H2378" s="6" t="s">
        <v>373</v>
      </c>
      <c r="I2378" s="7">
        <f>150</f>
        <v>150</v>
      </c>
      <c r="J2378" s="5" t="s">
        <v>262</v>
      </c>
      <c r="K2378" s="8">
        <f>1</f>
        <v>1</v>
      </c>
      <c r="L2378" s="6" t="s">
        <v>242</v>
      </c>
      <c r="M2378" s="5" t="s">
        <v>267</v>
      </c>
      <c r="N2378" s="5" t="s">
        <v>265</v>
      </c>
      <c r="O2378" s="5" t="s">
        <v>238</v>
      </c>
      <c r="P2378" s="5" t="s">
        <v>238</v>
      </c>
      <c r="Q2378" s="5" t="s">
        <v>268</v>
      </c>
      <c r="R2378" s="5" t="s">
        <v>270</v>
      </c>
      <c r="S2378" s="5" t="s">
        <v>238</v>
      </c>
      <c r="V2378" s="5" t="s">
        <v>238</v>
      </c>
      <c r="X2378" s="6" t="s">
        <v>238</v>
      </c>
      <c r="AA2378" s="6" t="s">
        <v>243</v>
      </c>
      <c r="AB2378" s="5" t="s">
        <v>238</v>
      </c>
      <c r="AC2378" s="5" t="s">
        <v>244</v>
      </c>
      <c r="AD2378" s="5" t="s">
        <v>245</v>
      </c>
      <c r="AT2378" s="5" t="s">
        <v>246</v>
      </c>
      <c r="AU2378" s="5" t="s">
        <v>238</v>
      </c>
      <c r="AV2378" s="5" t="s">
        <v>247</v>
      </c>
      <c r="AW2378" s="5" t="s">
        <v>238</v>
      </c>
      <c r="AX2378" s="5" t="s">
        <v>249</v>
      </c>
      <c r="AY2378" s="5" t="s">
        <v>238</v>
      </c>
      <c r="BA2378" s="5" t="s">
        <v>238</v>
      </c>
      <c r="BC2378" s="5" t="s">
        <v>250</v>
      </c>
      <c r="BD2378" s="6" t="s">
        <v>243</v>
      </c>
      <c r="BE2378" s="5" t="s">
        <v>251</v>
      </c>
      <c r="BF2378" s="5" t="s">
        <v>252</v>
      </c>
      <c r="BG2378" s="5" t="s">
        <v>238</v>
      </c>
      <c r="BH2378" s="7">
        <f>0</f>
        <v>0</v>
      </c>
      <c r="BI2378" s="8">
        <f>0</f>
        <v>0</v>
      </c>
      <c r="BJ2378" s="5" t="s">
        <v>253</v>
      </c>
      <c r="BK2378" s="5" t="s">
        <v>254</v>
      </c>
      <c r="BY2378" s="5" t="s">
        <v>238</v>
      </c>
      <c r="BZ2378" s="5" t="s">
        <v>238</v>
      </c>
      <c r="CD2378" s="5" t="s">
        <v>273</v>
      </c>
      <c r="CE2378" s="5" t="s">
        <v>256</v>
      </c>
      <c r="CF2378" s="5" t="s">
        <v>238</v>
      </c>
      <c r="CI2378" s="6" t="s">
        <v>257</v>
      </c>
      <c r="CJ2378" s="5" t="s">
        <v>238</v>
      </c>
      <c r="CK2378" s="5" t="s">
        <v>258</v>
      </c>
      <c r="CL2378" s="5" t="s">
        <v>238</v>
      </c>
      <c r="CM2378" s="5" t="s">
        <v>238</v>
      </c>
      <c r="CN2378" s="5">
        <v>0</v>
      </c>
      <c r="CO2378" s="5" t="s">
        <v>259</v>
      </c>
      <c r="CP2378" s="5" t="s">
        <v>260</v>
      </c>
      <c r="CQ2378" s="5" t="s">
        <v>260</v>
      </c>
      <c r="CR2378" s="5" t="s">
        <v>261</v>
      </c>
      <c r="CU2378" s="8">
        <f>1</f>
        <v>1</v>
      </c>
      <c r="CV2378" s="8">
        <f>0</f>
        <v>0</v>
      </c>
      <c r="CX2378" s="8">
        <f>0</f>
        <v>0</v>
      </c>
      <c r="CY2378" s="8">
        <f>1</f>
        <v>1</v>
      </c>
      <c r="DA2378" s="5" t="s">
        <v>274</v>
      </c>
      <c r="DB2378" s="5" t="s">
        <v>238</v>
      </c>
      <c r="DD2378" s="5" t="s">
        <v>274</v>
      </c>
      <c r="DE2378" s="8">
        <f>150</f>
        <v>150</v>
      </c>
      <c r="DG2378" s="5" t="s">
        <v>238</v>
      </c>
      <c r="DH2378" s="5" t="s">
        <v>238</v>
      </c>
      <c r="DI2378" s="5" t="s">
        <v>238</v>
      </c>
      <c r="DJ2378" s="5" t="s">
        <v>238</v>
      </c>
      <c r="DN2378" s="5" t="s">
        <v>238</v>
      </c>
      <c r="DO2378" s="5" t="s">
        <v>238</v>
      </c>
      <c r="DP2378" s="5" t="s">
        <v>238</v>
      </c>
      <c r="DQ2378" s="5" t="s">
        <v>238</v>
      </c>
      <c r="DT2378" s="5" t="s">
        <v>275</v>
      </c>
      <c r="DU2378" s="5" t="s">
        <v>374</v>
      </c>
      <c r="HM2378" s="5" t="s">
        <v>264</v>
      </c>
    </row>
    <row r="2379" spans="1:221" x14ac:dyDescent="0.4">
      <c r="A2379" s="5">
        <v>4083</v>
      </c>
      <c r="B2379" s="5">
        <v>1</v>
      </c>
      <c r="C2379" s="5">
        <v>1</v>
      </c>
      <c r="D2379" s="5" t="s">
        <v>269</v>
      </c>
      <c r="E2379" s="5" t="s">
        <v>271</v>
      </c>
      <c r="F2379" s="5" t="s">
        <v>248</v>
      </c>
      <c r="G2379" s="5" t="s">
        <v>266</v>
      </c>
      <c r="H2379" s="6" t="s">
        <v>347</v>
      </c>
      <c r="I2379" s="7">
        <f>308</f>
        <v>308</v>
      </c>
      <c r="J2379" s="5" t="s">
        <v>262</v>
      </c>
      <c r="K2379" s="8">
        <f>1</f>
        <v>1</v>
      </c>
      <c r="L2379" s="6" t="s">
        <v>242</v>
      </c>
      <c r="M2379" s="5" t="s">
        <v>267</v>
      </c>
      <c r="N2379" s="5" t="s">
        <v>265</v>
      </c>
      <c r="O2379" s="5" t="s">
        <v>238</v>
      </c>
      <c r="P2379" s="5" t="s">
        <v>238</v>
      </c>
      <c r="Q2379" s="5" t="s">
        <v>268</v>
      </c>
      <c r="R2379" s="5" t="s">
        <v>270</v>
      </c>
      <c r="S2379" s="5" t="s">
        <v>238</v>
      </c>
      <c r="V2379" s="5" t="s">
        <v>238</v>
      </c>
      <c r="X2379" s="6" t="s">
        <v>238</v>
      </c>
      <c r="AA2379" s="6" t="s">
        <v>243</v>
      </c>
      <c r="AB2379" s="5" t="s">
        <v>238</v>
      </c>
      <c r="AC2379" s="5" t="s">
        <v>244</v>
      </c>
      <c r="AD2379" s="5" t="s">
        <v>245</v>
      </c>
      <c r="AT2379" s="5" t="s">
        <v>246</v>
      </c>
      <c r="AU2379" s="5" t="s">
        <v>238</v>
      </c>
      <c r="AV2379" s="5" t="s">
        <v>247</v>
      </c>
      <c r="AW2379" s="5" t="s">
        <v>238</v>
      </c>
      <c r="AX2379" s="5" t="s">
        <v>249</v>
      </c>
      <c r="AY2379" s="5" t="s">
        <v>238</v>
      </c>
      <c r="BA2379" s="5" t="s">
        <v>238</v>
      </c>
      <c r="BC2379" s="5" t="s">
        <v>250</v>
      </c>
      <c r="BD2379" s="6" t="s">
        <v>243</v>
      </c>
      <c r="BE2379" s="5" t="s">
        <v>251</v>
      </c>
      <c r="BF2379" s="5" t="s">
        <v>252</v>
      </c>
      <c r="BG2379" s="5" t="s">
        <v>238</v>
      </c>
      <c r="BH2379" s="7">
        <f>0</f>
        <v>0</v>
      </c>
      <c r="BI2379" s="8">
        <f>0</f>
        <v>0</v>
      </c>
      <c r="BJ2379" s="5" t="s">
        <v>253</v>
      </c>
      <c r="BK2379" s="5" t="s">
        <v>254</v>
      </c>
      <c r="BY2379" s="5" t="s">
        <v>238</v>
      </c>
      <c r="BZ2379" s="5" t="s">
        <v>238</v>
      </c>
      <c r="CD2379" s="5" t="s">
        <v>273</v>
      </c>
      <c r="CE2379" s="5" t="s">
        <v>256</v>
      </c>
      <c r="CF2379" s="5" t="s">
        <v>238</v>
      </c>
      <c r="CI2379" s="6" t="s">
        <v>257</v>
      </c>
      <c r="CJ2379" s="5" t="s">
        <v>238</v>
      </c>
      <c r="CK2379" s="5" t="s">
        <v>258</v>
      </c>
      <c r="CL2379" s="5" t="s">
        <v>238</v>
      </c>
      <c r="CM2379" s="5" t="s">
        <v>238</v>
      </c>
      <c r="CN2379" s="5">
        <v>0</v>
      </c>
      <c r="CO2379" s="5" t="s">
        <v>259</v>
      </c>
      <c r="CP2379" s="5" t="s">
        <v>260</v>
      </c>
      <c r="CQ2379" s="5" t="s">
        <v>260</v>
      </c>
      <c r="CR2379" s="5" t="s">
        <v>261</v>
      </c>
      <c r="CU2379" s="8">
        <f>1</f>
        <v>1</v>
      </c>
      <c r="CV2379" s="8">
        <f>0</f>
        <v>0</v>
      </c>
      <c r="CX2379" s="8">
        <f>0</f>
        <v>0</v>
      </c>
      <c r="CY2379" s="8">
        <f>1</f>
        <v>1</v>
      </c>
      <c r="DA2379" s="5" t="s">
        <v>274</v>
      </c>
      <c r="DB2379" s="5" t="s">
        <v>238</v>
      </c>
      <c r="DD2379" s="5" t="s">
        <v>274</v>
      </c>
      <c r="DE2379" s="8">
        <f>308</f>
        <v>308</v>
      </c>
      <c r="DG2379" s="5" t="s">
        <v>238</v>
      </c>
      <c r="DH2379" s="5" t="s">
        <v>238</v>
      </c>
      <c r="DI2379" s="5" t="s">
        <v>238</v>
      </c>
      <c r="DJ2379" s="5" t="s">
        <v>238</v>
      </c>
      <c r="DN2379" s="5" t="s">
        <v>238</v>
      </c>
      <c r="DO2379" s="5" t="s">
        <v>238</v>
      </c>
      <c r="DP2379" s="5" t="s">
        <v>238</v>
      </c>
      <c r="DQ2379" s="5" t="s">
        <v>238</v>
      </c>
      <c r="DT2379" s="5" t="s">
        <v>275</v>
      </c>
      <c r="DU2379" s="5" t="s">
        <v>348</v>
      </c>
      <c r="HM2379" s="5" t="s">
        <v>264</v>
      </c>
    </row>
    <row r="2380" spans="1:221" x14ac:dyDescent="0.4">
      <c r="A2380" s="5">
        <v>4084</v>
      </c>
      <c r="B2380" s="5">
        <v>1</v>
      </c>
      <c r="C2380" s="5">
        <v>1</v>
      </c>
      <c r="D2380" s="5" t="s">
        <v>269</v>
      </c>
      <c r="E2380" s="5" t="s">
        <v>271</v>
      </c>
      <c r="F2380" s="5" t="s">
        <v>248</v>
      </c>
      <c r="G2380" s="5" t="s">
        <v>266</v>
      </c>
      <c r="H2380" s="6" t="s">
        <v>5368</v>
      </c>
      <c r="I2380" s="7">
        <f>2080</f>
        <v>2080</v>
      </c>
      <c r="J2380" s="5" t="s">
        <v>262</v>
      </c>
      <c r="K2380" s="8">
        <f>1</f>
        <v>1</v>
      </c>
      <c r="L2380" s="6" t="s">
        <v>242</v>
      </c>
      <c r="M2380" s="5" t="s">
        <v>267</v>
      </c>
      <c r="N2380" s="5" t="s">
        <v>265</v>
      </c>
      <c r="O2380" s="5" t="s">
        <v>238</v>
      </c>
      <c r="P2380" s="5" t="s">
        <v>238</v>
      </c>
      <c r="Q2380" s="5" t="s">
        <v>268</v>
      </c>
      <c r="R2380" s="5" t="s">
        <v>270</v>
      </c>
      <c r="S2380" s="5" t="s">
        <v>238</v>
      </c>
      <c r="V2380" s="5" t="s">
        <v>238</v>
      </c>
      <c r="X2380" s="6" t="s">
        <v>238</v>
      </c>
      <c r="AA2380" s="6" t="s">
        <v>243</v>
      </c>
      <c r="AB2380" s="5" t="s">
        <v>238</v>
      </c>
      <c r="AC2380" s="5" t="s">
        <v>244</v>
      </c>
      <c r="AD2380" s="5" t="s">
        <v>245</v>
      </c>
      <c r="AT2380" s="5" t="s">
        <v>246</v>
      </c>
      <c r="AU2380" s="5" t="s">
        <v>238</v>
      </c>
      <c r="AV2380" s="5" t="s">
        <v>247</v>
      </c>
      <c r="AW2380" s="5" t="s">
        <v>238</v>
      </c>
      <c r="AX2380" s="5" t="s">
        <v>249</v>
      </c>
      <c r="AY2380" s="5" t="s">
        <v>238</v>
      </c>
      <c r="BA2380" s="5" t="s">
        <v>238</v>
      </c>
      <c r="BC2380" s="5" t="s">
        <v>250</v>
      </c>
      <c r="BD2380" s="6" t="s">
        <v>243</v>
      </c>
      <c r="BE2380" s="5" t="s">
        <v>251</v>
      </c>
      <c r="BF2380" s="5" t="s">
        <v>252</v>
      </c>
      <c r="BG2380" s="5" t="s">
        <v>238</v>
      </c>
      <c r="BH2380" s="7">
        <f>0</f>
        <v>0</v>
      </c>
      <c r="BI2380" s="8">
        <f>0</f>
        <v>0</v>
      </c>
      <c r="BJ2380" s="5" t="s">
        <v>253</v>
      </c>
      <c r="BK2380" s="5" t="s">
        <v>254</v>
      </c>
      <c r="BY2380" s="5" t="s">
        <v>238</v>
      </c>
      <c r="BZ2380" s="5" t="s">
        <v>238</v>
      </c>
      <c r="CD2380" s="5" t="s">
        <v>273</v>
      </c>
      <c r="CE2380" s="5" t="s">
        <v>256</v>
      </c>
      <c r="CF2380" s="5" t="s">
        <v>238</v>
      </c>
      <c r="CI2380" s="6" t="s">
        <v>257</v>
      </c>
      <c r="CJ2380" s="5" t="s">
        <v>238</v>
      </c>
      <c r="CK2380" s="5" t="s">
        <v>258</v>
      </c>
      <c r="CL2380" s="5" t="s">
        <v>238</v>
      </c>
      <c r="CM2380" s="5" t="s">
        <v>238</v>
      </c>
      <c r="CN2380" s="5">
        <v>0</v>
      </c>
      <c r="CO2380" s="5" t="s">
        <v>259</v>
      </c>
      <c r="CP2380" s="5" t="s">
        <v>260</v>
      </c>
      <c r="CQ2380" s="5" t="s">
        <v>260</v>
      </c>
      <c r="CR2380" s="5" t="s">
        <v>261</v>
      </c>
      <c r="CU2380" s="8">
        <f>1</f>
        <v>1</v>
      </c>
      <c r="CV2380" s="8">
        <f>0</f>
        <v>0</v>
      </c>
      <c r="CX2380" s="8">
        <f>0</f>
        <v>0</v>
      </c>
      <c r="CY2380" s="8">
        <f>1</f>
        <v>1</v>
      </c>
      <c r="DA2380" s="5" t="s">
        <v>274</v>
      </c>
      <c r="DB2380" s="5" t="s">
        <v>238</v>
      </c>
      <c r="DD2380" s="5" t="s">
        <v>274</v>
      </c>
      <c r="DE2380" s="8">
        <f>2080</f>
        <v>2080</v>
      </c>
      <c r="DG2380" s="5" t="s">
        <v>238</v>
      </c>
      <c r="DH2380" s="5" t="s">
        <v>238</v>
      </c>
      <c r="DI2380" s="5" t="s">
        <v>238</v>
      </c>
      <c r="DJ2380" s="5" t="s">
        <v>238</v>
      </c>
      <c r="DN2380" s="5" t="s">
        <v>238</v>
      </c>
      <c r="DO2380" s="5" t="s">
        <v>238</v>
      </c>
      <c r="DP2380" s="5" t="s">
        <v>238</v>
      </c>
      <c r="DQ2380" s="5" t="s">
        <v>238</v>
      </c>
      <c r="DT2380" s="5" t="s">
        <v>275</v>
      </c>
      <c r="DU2380" s="5" t="s">
        <v>2869</v>
      </c>
      <c r="HM2380" s="5" t="s">
        <v>264</v>
      </c>
    </row>
    <row r="2381" spans="1:221" x14ac:dyDescent="0.4">
      <c r="A2381" s="5">
        <v>4085</v>
      </c>
      <c r="B2381" s="5">
        <v>1</v>
      </c>
      <c r="C2381" s="5">
        <v>1</v>
      </c>
      <c r="D2381" s="5" t="s">
        <v>269</v>
      </c>
      <c r="E2381" s="5" t="s">
        <v>271</v>
      </c>
      <c r="F2381" s="5" t="s">
        <v>248</v>
      </c>
      <c r="G2381" s="5" t="s">
        <v>266</v>
      </c>
      <c r="H2381" s="6" t="s">
        <v>285</v>
      </c>
      <c r="I2381" s="7">
        <f>132</f>
        <v>132</v>
      </c>
      <c r="J2381" s="5" t="s">
        <v>262</v>
      </c>
      <c r="K2381" s="8">
        <f>1</f>
        <v>1</v>
      </c>
      <c r="L2381" s="6" t="s">
        <v>242</v>
      </c>
      <c r="M2381" s="5" t="s">
        <v>267</v>
      </c>
      <c r="N2381" s="5" t="s">
        <v>265</v>
      </c>
      <c r="O2381" s="5" t="s">
        <v>238</v>
      </c>
      <c r="P2381" s="5" t="s">
        <v>238</v>
      </c>
      <c r="Q2381" s="5" t="s">
        <v>268</v>
      </c>
      <c r="R2381" s="5" t="s">
        <v>270</v>
      </c>
      <c r="S2381" s="5" t="s">
        <v>238</v>
      </c>
      <c r="V2381" s="5" t="s">
        <v>238</v>
      </c>
      <c r="X2381" s="6" t="s">
        <v>238</v>
      </c>
      <c r="AA2381" s="6" t="s">
        <v>243</v>
      </c>
      <c r="AB2381" s="5" t="s">
        <v>238</v>
      </c>
      <c r="AC2381" s="5" t="s">
        <v>244</v>
      </c>
      <c r="AD2381" s="5" t="s">
        <v>245</v>
      </c>
      <c r="AT2381" s="5" t="s">
        <v>246</v>
      </c>
      <c r="AU2381" s="5" t="s">
        <v>238</v>
      </c>
      <c r="AV2381" s="5" t="s">
        <v>247</v>
      </c>
      <c r="AW2381" s="5" t="s">
        <v>238</v>
      </c>
      <c r="AX2381" s="5" t="s">
        <v>249</v>
      </c>
      <c r="AY2381" s="5" t="s">
        <v>238</v>
      </c>
      <c r="BA2381" s="5" t="s">
        <v>238</v>
      </c>
      <c r="BC2381" s="5" t="s">
        <v>250</v>
      </c>
      <c r="BD2381" s="6" t="s">
        <v>243</v>
      </c>
      <c r="BE2381" s="5" t="s">
        <v>251</v>
      </c>
      <c r="BF2381" s="5" t="s">
        <v>252</v>
      </c>
      <c r="BG2381" s="5" t="s">
        <v>238</v>
      </c>
      <c r="BH2381" s="7">
        <f>0</f>
        <v>0</v>
      </c>
      <c r="BI2381" s="8">
        <f>0</f>
        <v>0</v>
      </c>
      <c r="BJ2381" s="5" t="s">
        <v>253</v>
      </c>
      <c r="BK2381" s="5" t="s">
        <v>254</v>
      </c>
      <c r="BY2381" s="5" t="s">
        <v>238</v>
      </c>
      <c r="BZ2381" s="5" t="s">
        <v>238</v>
      </c>
      <c r="CD2381" s="5" t="s">
        <v>273</v>
      </c>
      <c r="CE2381" s="5" t="s">
        <v>256</v>
      </c>
      <c r="CF2381" s="5" t="s">
        <v>238</v>
      </c>
      <c r="CI2381" s="6" t="s">
        <v>257</v>
      </c>
      <c r="CJ2381" s="5" t="s">
        <v>238</v>
      </c>
      <c r="CK2381" s="5" t="s">
        <v>258</v>
      </c>
      <c r="CL2381" s="5" t="s">
        <v>238</v>
      </c>
      <c r="CM2381" s="5" t="s">
        <v>238</v>
      </c>
      <c r="CN2381" s="5">
        <v>0</v>
      </c>
      <c r="CO2381" s="5" t="s">
        <v>259</v>
      </c>
      <c r="CP2381" s="5" t="s">
        <v>260</v>
      </c>
      <c r="CQ2381" s="5" t="s">
        <v>260</v>
      </c>
      <c r="CR2381" s="5" t="s">
        <v>261</v>
      </c>
      <c r="CU2381" s="8">
        <f>1</f>
        <v>1</v>
      </c>
      <c r="CV2381" s="8">
        <f>0</f>
        <v>0</v>
      </c>
      <c r="CX2381" s="8">
        <f>0</f>
        <v>0</v>
      </c>
      <c r="CY2381" s="8">
        <f>1</f>
        <v>1</v>
      </c>
      <c r="DA2381" s="5" t="s">
        <v>274</v>
      </c>
      <c r="DB2381" s="5" t="s">
        <v>238</v>
      </c>
      <c r="DD2381" s="5" t="s">
        <v>274</v>
      </c>
      <c r="DE2381" s="8">
        <f>132</f>
        <v>132</v>
      </c>
      <c r="DG2381" s="5" t="s">
        <v>238</v>
      </c>
      <c r="DH2381" s="5" t="s">
        <v>238</v>
      </c>
      <c r="DI2381" s="5" t="s">
        <v>238</v>
      </c>
      <c r="DJ2381" s="5" t="s">
        <v>238</v>
      </c>
      <c r="DN2381" s="5" t="s">
        <v>238</v>
      </c>
      <c r="DO2381" s="5" t="s">
        <v>238</v>
      </c>
      <c r="DP2381" s="5" t="s">
        <v>238</v>
      </c>
      <c r="DQ2381" s="5" t="s">
        <v>238</v>
      </c>
      <c r="DT2381" s="5" t="s">
        <v>275</v>
      </c>
      <c r="DU2381" s="5" t="s">
        <v>286</v>
      </c>
      <c r="HM2381" s="5" t="s">
        <v>264</v>
      </c>
    </row>
    <row r="2382" spans="1:221" x14ac:dyDescent="0.4">
      <c r="A2382" s="5">
        <v>4086</v>
      </c>
      <c r="B2382" s="5">
        <v>1</v>
      </c>
      <c r="C2382" s="5">
        <v>1</v>
      </c>
      <c r="D2382" s="5" t="s">
        <v>269</v>
      </c>
      <c r="E2382" s="5" t="s">
        <v>271</v>
      </c>
      <c r="F2382" s="5" t="s">
        <v>248</v>
      </c>
      <c r="G2382" s="5" t="s">
        <v>266</v>
      </c>
      <c r="H2382" s="6" t="s">
        <v>1050</v>
      </c>
      <c r="I2382" s="7">
        <f>915</f>
        <v>915</v>
      </c>
      <c r="J2382" s="5" t="s">
        <v>262</v>
      </c>
      <c r="K2382" s="8">
        <f>1</f>
        <v>1</v>
      </c>
      <c r="L2382" s="6" t="s">
        <v>242</v>
      </c>
      <c r="M2382" s="5" t="s">
        <v>267</v>
      </c>
      <c r="N2382" s="5" t="s">
        <v>265</v>
      </c>
      <c r="O2382" s="5" t="s">
        <v>238</v>
      </c>
      <c r="P2382" s="5" t="s">
        <v>238</v>
      </c>
      <c r="Q2382" s="5" t="s">
        <v>268</v>
      </c>
      <c r="R2382" s="5" t="s">
        <v>270</v>
      </c>
      <c r="S2382" s="5" t="s">
        <v>238</v>
      </c>
      <c r="V2382" s="5" t="s">
        <v>238</v>
      </c>
      <c r="X2382" s="6" t="s">
        <v>238</v>
      </c>
      <c r="AA2382" s="6" t="s">
        <v>243</v>
      </c>
      <c r="AB2382" s="5" t="s">
        <v>238</v>
      </c>
      <c r="AC2382" s="5" t="s">
        <v>244</v>
      </c>
      <c r="AD2382" s="5" t="s">
        <v>245</v>
      </c>
      <c r="AT2382" s="5" t="s">
        <v>246</v>
      </c>
      <c r="AU2382" s="5" t="s">
        <v>238</v>
      </c>
      <c r="AV2382" s="5" t="s">
        <v>247</v>
      </c>
      <c r="AW2382" s="5" t="s">
        <v>238</v>
      </c>
      <c r="AX2382" s="5" t="s">
        <v>249</v>
      </c>
      <c r="AY2382" s="5" t="s">
        <v>238</v>
      </c>
      <c r="BA2382" s="5" t="s">
        <v>238</v>
      </c>
      <c r="BC2382" s="5" t="s">
        <v>250</v>
      </c>
      <c r="BD2382" s="6" t="s">
        <v>243</v>
      </c>
      <c r="BE2382" s="5" t="s">
        <v>251</v>
      </c>
      <c r="BF2382" s="5" t="s">
        <v>252</v>
      </c>
      <c r="BG2382" s="5" t="s">
        <v>238</v>
      </c>
      <c r="BH2382" s="7">
        <f>0</f>
        <v>0</v>
      </c>
      <c r="BI2382" s="8">
        <f>0</f>
        <v>0</v>
      </c>
      <c r="BJ2382" s="5" t="s">
        <v>253</v>
      </c>
      <c r="BK2382" s="5" t="s">
        <v>254</v>
      </c>
      <c r="BY2382" s="5" t="s">
        <v>238</v>
      </c>
      <c r="BZ2382" s="5" t="s">
        <v>238</v>
      </c>
      <c r="CD2382" s="5" t="s">
        <v>273</v>
      </c>
      <c r="CE2382" s="5" t="s">
        <v>256</v>
      </c>
      <c r="CF2382" s="5" t="s">
        <v>238</v>
      </c>
      <c r="CI2382" s="6" t="s">
        <v>257</v>
      </c>
      <c r="CJ2382" s="5" t="s">
        <v>238</v>
      </c>
      <c r="CK2382" s="5" t="s">
        <v>258</v>
      </c>
      <c r="CL2382" s="5" t="s">
        <v>238</v>
      </c>
      <c r="CM2382" s="5" t="s">
        <v>238</v>
      </c>
      <c r="CN2382" s="5">
        <v>0</v>
      </c>
      <c r="CO2382" s="5" t="s">
        <v>259</v>
      </c>
      <c r="CP2382" s="5" t="s">
        <v>260</v>
      </c>
      <c r="CQ2382" s="5" t="s">
        <v>260</v>
      </c>
      <c r="CR2382" s="5" t="s">
        <v>261</v>
      </c>
      <c r="CU2382" s="8">
        <f>1</f>
        <v>1</v>
      </c>
      <c r="CV2382" s="8">
        <f>0</f>
        <v>0</v>
      </c>
      <c r="CX2382" s="8">
        <f>0</f>
        <v>0</v>
      </c>
      <c r="CY2382" s="8">
        <f>1</f>
        <v>1</v>
      </c>
      <c r="DA2382" s="5" t="s">
        <v>274</v>
      </c>
      <c r="DB2382" s="5" t="s">
        <v>238</v>
      </c>
      <c r="DD2382" s="5" t="s">
        <v>274</v>
      </c>
      <c r="DE2382" s="8">
        <f>915</f>
        <v>915</v>
      </c>
      <c r="DG2382" s="5" t="s">
        <v>238</v>
      </c>
      <c r="DH2382" s="5" t="s">
        <v>238</v>
      </c>
      <c r="DI2382" s="5" t="s">
        <v>238</v>
      </c>
      <c r="DJ2382" s="5" t="s">
        <v>238</v>
      </c>
      <c r="DN2382" s="5" t="s">
        <v>238</v>
      </c>
      <c r="DO2382" s="5" t="s">
        <v>238</v>
      </c>
      <c r="DP2382" s="5" t="s">
        <v>238</v>
      </c>
      <c r="DQ2382" s="5" t="s">
        <v>238</v>
      </c>
      <c r="DT2382" s="5" t="s">
        <v>275</v>
      </c>
      <c r="DU2382" s="5" t="s">
        <v>1051</v>
      </c>
      <c r="HM2382" s="5" t="s">
        <v>264</v>
      </c>
    </row>
    <row r="2383" spans="1:221" x14ac:dyDescent="0.4">
      <c r="A2383" s="5">
        <v>4087</v>
      </c>
      <c r="B2383" s="5">
        <v>1</v>
      </c>
      <c r="C2383" s="5">
        <v>1</v>
      </c>
      <c r="D2383" s="5" t="s">
        <v>269</v>
      </c>
      <c r="E2383" s="5" t="s">
        <v>271</v>
      </c>
      <c r="F2383" s="5" t="s">
        <v>248</v>
      </c>
      <c r="G2383" s="5" t="s">
        <v>266</v>
      </c>
      <c r="H2383" s="6" t="s">
        <v>1057</v>
      </c>
      <c r="I2383" s="7">
        <f>269</f>
        <v>269</v>
      </c>
      <c r="J2383" s="5" t="s">
        <v>262</v>
      </c>
      <c r="K2383" s="8">
        <f>1</f>
        <v>1</v>
      </c>
      <c r="L2383" s="6" t="s">
        <v>242</v>
      </c>
      <c r="M2383" s="5" t="s">
        <v>267</v>
      </c>
      <c r="N2383" s="5" t="s">
        <v>265</v>
      </c>
      <c r="O2383" s="5" t="s">
        <v>238</v>
      </c>
      <c r="P2383" s="5" t="s">
        <v>238</v>
      </c>
      <c r="Q2383" s="5" t="s">
        <v>268</v>
      </c>
      <c r="R2383" s="5" t="s">
        <v>270</v>
      </c>
      <c r="S2383" s="5" t="s">
        <v>238</v>
      </c>
      <c r="V2383" s="5" t="s">
        <v>238</v>
      </c>
      <c r="X2383" s="6" t="s">
        <v>238</v>
      </c>
      <c r="AA2383" s="6" t="s">
        <v>243</v>
      </c>
      <c r="AB2383" s="5" t="s">
        <v>238</v>
      </c>
      <c r="AC2383" s="5" t="s">
        <v>244</v>
      </c>
      <c r="AD2383" s="5" t="s">
        <v>245</v>
      </c>
      <c r="AT2383" s="5" t="s">
        <v>246</v>
      </c>
      <c r="AU2383" s="5" t="s">
        <v>238</v>
      </c>
      <c r="AV2383" s="5" t="s">
        <v>247</v>
      </c>
      <c r="AW2383" s="5" t="s">
        <v>238</v>
      </c>
      <c r="AX2383" s="5" t="s">
        <v>249</v>
      </c>
      <c r="AY2383" s="5" t="s">
        <v>238</v>
      </c>
      <c r="BA2383" s="5" t="s">
        <v>238</v>
      </c>
      <c r="BC2383" s="5" t="s">
        <v>250</v>
      </c>
      <c r="BD2383" s="6" t="s">
        <v>243</v>
      </c>
      <c r="BE2383" s="5" t="s">
        <v>251</v>
      </c>
      <c r="BF2383" s="5" t="s">
        <v>252</v>
      </c>
      <c r="BG2383" s="5" t="s">
        <v>238</v>
      </c>
      <c r="BH2383" s="7">
        <f>0</f>
        <v>0</v>
      </c>
      <c r="BI2383" s="8">
        <f>0</f>
        <v>0</v>
      </c>
      <c r="BJ2383" s="5" t="s">
        <v>253</v>
      </c>
      <c r="BK2383" s="5" t="s">
        <v>254</v>
      </c>
      <c r="BY2383" s="5" t="s">
        <v>238</v>
      </c>
      <c r="BZ2383" s="5" t="s">
        <v>238</v>
      </c>
      <c r="CD2383" s="5" t="s">
        <v>273</v>
      </c>
      <c r="CE2383" s="5" t="s">
        <v>256</v>
      </c>
      <c r="CF2383" s="5" t="s">
        <v>238</v>
      </c>
      <c r="CI2383" s="6" t="s">
        <v>257</v>
      </c>
      <c r="CJ2383" s="5" t="s">
        <v>238</v>
      </c>
      <c r="CK2383" s="5" t="s">
        <v>258</v>
      </c>
      <c r="CL2383" s="5" t="s">
        <v>238</v>
      </c>
      <c r="CM2383" s="5" t="s">
        <v>238</v>
      </c>
      <c r="CN2383" s="5">
        <v>0</v>
      </c>
      <c r="CO2383" s="5" t="s">
        <v>259</v>
      </c>
      <c r="CP2383" s="5" t="s">
        <v>260</v>
      </c>
      <c r="CQ2383" s="5" t="s">
        <v>260</v>
      </c>
      <c r="CR2383" s="5" t="s">
        <v>261</v>
      </c>
      <c r="CU2383" s="8">
        <f>1</f>
        <v>1</v>
      </c>
      <c r="CV2383" s="8">
        <f>0</f>
        <v>0</v>
      </c>
      <c r="CX2383" s="8">
        <f>0</f>
        <v>0</v>
      </c>
      <c r="CY2383" s="8">
        <f>1</f>
        <v>1</v>
      </c>
      <c r="DA2383" s="5" t="s">
        <v>274</v>
      </c>
      <c r="DB2383" s="5" t="s">
        <v>238</v>
      </c>
      <c r="DD2383" s="5" t="s">
        <v>274</v>
      </c>
      <c r="DE2383" s="8">
        <f>269</f>
        <v>269</v>
      </c>
      <c r="DG2383" s="5" t="s">
        <v>238</v>
      </c>
      <c r="DH2383" s="5" t="s">
        <v>238</v>
      </c>
      <c r="DI2383" s="5" t="s">
        <v>238</v>
      </c>
      <c r="DJ2383" s="5" t="s">
        <v>238</v>
      </c>
      <c r="DN2383" s="5" t="s">
        <v>238</v>
      </c>
      <c r="DO2383" s="5" t="s">
        <v>238</v>
      </c>
      <c r="DP2383" s="5" t="s">
        <v>238</v>
      </c>
      <c r="DQ2383" s="5" t="s">
        <v>238</v>
      </c>
      <c r="DT2383" s="5" t="s">
        <v>275</v>
      </c>
      <c r="DU2383" s="5" t="s">
        <v>1058</v>
      </c>
      <c r="HM2383" s="5" t="s">
        <v>264</v>
      </c>
    </row>
    <row r="2384" spans="1:221" x14ac:dyDescent="0.4">
      <c r="A2384" s="5">
        <v>4088</v>
      </c>
      <c r="B2384" s="5">
        <v>1</v>
      </c>
      <c r="C2384" s="5">
        <v>1</v>
      </c>
      <c r="D2384" s="5" t="s">
        <v>269</v>
      </c>
      <c r="E2384" s="5" t="s">
        <v>271</v>
      </c>
      <c r="F2384" s="5" t="s">
        <v>248</v>
      </c>
      <c r="G2384" s="5" t="s">
        <v>266</v>
      </c>
      <c r="H2384" s="6" t="s">
        <v>1085</v>
      </c>
      <c r="I2384" s="7">
        <f>1535</f>
        <v>1535</v>
      </c>
      <c r="J2384" s="5" t="s">
        <v>262</v>
      </c>
      <c r="K2384" s="8">
        <f>1</f>
        <v>1</v>
      </c>
      <c r="L2384" s="6" t="s">
        <v>242</v>
      </c>
      <c r="M2384" s="5" t="s">
        <v>267</v>
      </c>
      <c r="N2384" s="5" t="s">
        <v>265</v>
      </c>
      <c r="O2384" s="5" t="s">
        <v>238</v>
      </c>
      <c r="P2384" s="5" t="s">
        <v>238</v>
      </c>
      <c r="Q2384" s="5" t="s">
        <v>268</v>
      </c>
      <c r="R2384" s="5" t="s">
        <v>270</v>
      </c>
      <c r="S2384" s="5" t="s">
        <v>238</v>
      </c>
      <c r="V2384" s="5" t="s">
        <v>238</v>
      </c>
      <c r="X2384" s="6" t="s">
        <v>238</v>
      </c>
      <c r="AA2384" s="6" t="s">
        <v>243</v>
      </c>
      <c r="AB2384" s="5" t="s">
        <v>238</v>
      </c>
      <c r="AC2384" s="5" t="s">
        <v>244</v>
      </c>
      <c r="AD2384" s="5" t="s">
        <v>245</v>
      </c>
      <c r="AT2384" s="5" t="s">
        <v>246</v>
      </c>
      <c r="AU2384" s="5" t="s">
        <v>238</v>
      </c>
      <c r="AV2384" s="5" t="s">
        <v>247</v>
      </c>
      <c r="AW2384" s="5" t="s">
        <v>238</v>
      </c>
      <c r="AX2384" s="5" t="s">
        <v>249</v>
      </c>
      <c r="AY2384" s="5" t="s">
        <v>238</v>
      </c>
      <c r="BA2384" s="5" t="s">
        <v>238</v>
      </c>
      <c r="BC2384" s="5" t="s">
        <v>250</v>
      </c>
      <c r="BD2384" s="6" t="s">
        <v>243</v>
      </c>
      <c r="BE2384" s="5" t="s">
        <v>251</v>
      </c>
      <c r="BF2384" s="5" t="s">
        <v>252</v>
      </c>
      <c r="BG2384" s="5" t="s">
        <v>238</v>
      </c>
      <c r="BH2384" s="7">
        <f>0</f>
        <v>0</v>
      </c>
      <c r="BI2384" s="8">
        <f>0</f>
        <v>0</v>
      </c>
      <c r="BJ2384" s="5" t="s">
        <v>253</v>
      </c>
      <c r="BK2384" s="5" t="s">
        <v>254</v>
      </c>
      <c r="BY2384" s="5" t="s">
        <v>238</v>
      </c>
      <c r="BZ2384" s="5" t="s">
        <v>238</v>
      </c>
      <c r="CD2384" s="5" t="s">
        <v>273</v>
      </c>
      <c r="CE2384" s="5" t="s">
        <v>256</v>
      </c>
      <c r="CF2384" s="5" t="s">
        <v>238</v>
      </c>
      <c r="CI2384" s="6" t="s">
        <v>257</v>
      </c>
      <c r="CJ2384" s="5" t="s">
        <v>238</v>
      </c>
      <c r="CK2384" s="5" t="s">
        <v>258</v>
      </c>
      <c r="CL2384" s="5" t="s">
        <v>238</v>
      </c>
      <c r="CM2384" s="5" t="s">
        <v>238</v>
      </c>
      <c r="CN2384" s="5">
        <v>0</v>
      </c>
      <c r="CO2384" s="5" t="s">
        <v>259</v>
      </c>
      <c r="CP2384" s="5" t="s">
        <v>260</v>
      </c>
      <c r="CQ2384" s="5" t="s">
        <v>260</v>
      </c>
      <c r="CR2384" s="5" t="s">
        <v>261</v>
      </c>
      <c r="CU2384" s="8">
        <f>1</f>
        <v>1</v>
      </c>
      <c r="CV2384" s="8">
        <f>0</f>
        <v>0</v>
      </c>
      <c r="CX2384" s="8">
        <f>0</f>
        <v>0</v>
      </c>
      <c r="CY2384" s="8">
        <f>1</f>
        <v>1</v>
      </c>
      <c r="DA2384" s="5" t="s">
        <v>274</v>
      </c>
      <c r="DB2384" s="5" t="s">
        <v>238</v>
      </c>
      <c r="DD2384" s="5" t="s">
        <v>274</v>
      </c>
      <c r="DE2384" s="8">
        <f>1535</f>
        <v>1535</v>
      </c>
      <c r="DG2384" s="5" t="s">
        <v>238</v>
      </c>
      <c r="DH2384" s="5" t="s">
        <v>238</v>
      </c>
      <c r="DI2384" s="5" t="s">
        <v>238</v>
      </c>
      <c r="DJ2384" s="5" t="s">
        <v>238</v>
      </c>
      <c r="DN2384" s="5" t="s">
        <v>238</v>
      </c>
      <c r="DO2384" s="5" t="s">
        <v>238</v>
      </c>
      <c r="DP2384" s="5" t="s">
        <v>238</v>
      </c>
      <c r="DQ2384" s="5" t="s">
        <v>238</v>
      </c>
      <c r="DT2384" s="5" t="s">
        <v>275</v>
      </c>
      <c r="DU2384" s="5" t="s">
        <v>1086</v>
      </c>
      <c r="HM2384" s="5" t="s">
        <v>264</v>
      </c>
    </row>
    <row r="2385" spans="1:221" x14ac:dyDescent="0.4">
      <c r="A2385" s="5">
        <v>4089</v>
      </c>
      <c r="B2385" s="5">
        <v>1</v>
      </c>
      <c r="C2385" s="5">
        <v>1</v>
      </c>
      <c r="D2385" s="5" t="s">
        <v>269</v>
      </c>
      <c r="E2385" s="5" t="s">
        <v>271</v>
      </c>
      <c r="F2385" s="5" t="s">
        <v>248</v>
      </c>
      <c r="G2385" s="5" t="s">
        <v>266</v>
      </c>
      <c r="H2385" s="6" t="s">
        <v>1113</v>
      </c>
      <c r="I2385" s="7">
        <f>87</f>
        <v>87</v>
      </c>
      <c r="J2385" s="5" t="s">
        <v>262</v>
      </c>
      <c r="K2385" s="8">
        <f>1</f>
        <v>1</v>
      </c>
      <c r="L2385" s="6" t="s">
        <v>242</v>
      </c>
      <c r="M2385" s="5" t="s">
        <v>267</v>
      </c>
      <c r="N2385" s="5" t="s">
        <v>265</v>
      </c>
      <c r="O2385" s="5" t="s">
        <v>238</v>
      </c>
      <c r="P2385" s="5" t="s">
        <v>238</v>
      </c>
      <c r="Q2385" s="5" t="s">
        <v>268</v>
      </c>
      <c r="R2385" s="5" t="s">
        <v>270</v>
      </c>
      <c r="S2385" s="5" t="s">
        <v>238</v>
      </c>
      <c r="V2385" s="5" t="s">
        <v>238</v>
      </c>
      <c r="X2385" s="6" t="s">
        <v>238</v>
      </c>
      <c r="AA2385" s="6" t="s">
        <v>243</v>
      </c>
      <c r="AB2385" s="5" t="s">
        <v>238</v>
      </c>
      <c r="AC2385" s="5" t="s">
        <v>244</v>
      </c>
      <c r="AD2385" s="5" t="s">
        <v>245</v>
      </c>
      <c r="AT2385" s="5" t="s">
        <v>246</v>
      </c>
      <c r="AU2385" s="5" t="s">
        <v>238</v>
      </c>
      <c r="AV2385" s="5" t="s">
        <v>247</v>
      </c>
      <c r="AW2385" s="5" t="s">
        <v>238</v>
      </c>
      <c r="AX2385" s="5" t="s">
        <v>249</v>
      </c>
      <c r="AY2385" s="5" t="s">
        <v>238</v>
      </c>
      <c r="BA2385" s="5" t="s">
        <v>238</v>
      </c>
      <c r="BC2385" s="5" t="s">
        <v>250</v>
      </c>
      <c r="BD2385" s="6" t="s">
        <v>243</v>
      </c>
      <c r="BE2385" s="5" t="s">
        <v>251</v>
      </c>
      <c r="BF2385" s="5" t="s">
        <v>252</v>
      </c>
      <c r="BG2385" s="5" t="s">
        <v>238</v>
      </c>
      <c r="BH2385" s="7">
        <f>0</f>
        <v>0</v>
      </c>
      <c r="BI2385" s="8">
        <f>0</f>
        <v>0</v>
      </c>
      <c r="BJ2385" s="5" t="s">
        <v>253</v>
      </c>
      <c r="BK2385" s="5" t="s">
        <v>254</v>
      </c>
      <c r="BY2385" s="5" t="s">
        <v>238</v>
      </c>
      <c r="BZ2385" s="5" t="s">
        <v>238</v>
      </c>
      <c r="CD2385" s="5" t="s">
        <v>273</v>
      </c>
      <c r="CE2385" s="5" t="s">
        <v>256</v>
      </c>
      <c r="CF2385" s="5" t="s">
        <v>238</v>
      </c>
      <c r="CI2385" s="6" t="s">
        <v>257</v>
      </c>
      <c r="CJ2385" s="5" t="s">
        <v>238</v>
      </c>
      <c r="CK2385" s="5" t="s">
        <v>258</v>
      </c>
      <c r="CL2385" s="5" t="s">
        <v>238</v>
      </c>
      <c r="CM2385" s="5" t="s">
        <v>238</v>
      </c>
      <c r="CN2385" s="5">
        <v>0</v>
      </c>
      <c r="CO2385" s="5" t="s">
        <v>259</v>
      </c>
      <c r="CP2385" s="5" t="s">
        <v>260</v>
      </c>
      <c r="CQ2385" s="5" t="s">
        <v>260</v>
      </c>
      <c r="CR2385" s="5" t="s">
        <v>261</v>
      </c>
      <c r="CU2385" s="8">
        <f>1</f>
        <v>1</v>
      </c>
      <c r="CV2385" s="8">
        <f>0</f>
        <v>0</v>
      </c>
      <c r="CX2385" s="8">
        <f>0</f>
        <v>0</v>
      </c>
      <c r="CY2385" s="8">
        <f>1</f>
        <v>1</v>
      </c>
      <c r="DA2385" s="5" t="s">
        <v>274</v>
      </c>
      <c r="DB2385" s="5" t="s">
        <v>238</v>
      </c>
      <c r="DD2385" s="5" t="s">
        <v>274</v>
      </c>
      <c r="DE2385" s="8">
        <f>87</f>
        <v>87</v>
      </c>
      <c r="DG2385" s="5" t="s">
        <v>238</v>
      </c>
      <c r="DH2385" s="5" t="s">
        <v>238</v>
      </c>
      <c r="DI2385" s="5" t="s">
        <v>238</v>
      </c>
      <c r="DJ2385" s="5" t="s">
        <v>238</v>
      </c>
      <c r="DN2385" s="5" t="s">
        <v>238</v>
      </c>
      <c r="DO2385" s="5" t="s">
        <v>238</v>
      </c>
      <c r="DP2385" s="5" t="s">
        <v>238</v>
      </c>
      <c r="DQ2385" s="5" t="s">
        <v>238</v>
      </c>
      <c r="DT2385" s="5" t="s">
        <v>275</v>
      </c>
      <c r="DU2385" s="5" t="s">
        <v>1114</v>
      </c>
      <c r="HM2385" s="5" t="s">
        <v>264</v>
      </c>
    </row>
    <row r="2386" spans="1:221" x14ac:dyDescent="0.4">
      <c r="A2386" s="5">
        <v>4090</v>
      </c>
      <c r="B2386" s="5">
        <v>1</v>
      </c>
      <c r="C2386" s="5">
        <v>1</v>
      </c>
      <c r="D2386" s="5" t="s">
        <v>269</v>
      </c>
      <c r="E2386" s="5" t="s">
        <v>271</v>
      </c>
      <c r="F2386" s="5" t="s">
        <v>248</v>
      </c>
      <c r="G2386" s="5" t="s">
        <v>266</v>
      </c>
      <c r="H2386" s="6" t="s">
        <v>1181</v>
      </c>
      <c r="I2386" s="7">
        <f>1119</f>
        <v>1119</v>
      </c>
      <c r="J2386" s="5" t="s">
        <v>262</v>
      </c>
      <c r="K2386" s="8">
        <f>1</f>
        <v>1</v>
      </c>
      <c r="L2386" s="6" t="s">
        <v>242</v>
      </c>
      <c r="M2386" s="5" t="s">
        <v>267</v>
      </c>
      <c r="N2386" s="5" t="s">
        <v>265</v>
      </c>
      <c r="O2386" s="5" t="s">
        <v>238</v>
      </c>
      <c r="P2386" s="5" t="s">
        <v>238</v>
      </c>
      <c r="Q2386" s="5" t="s">
        <v>268</v>
      </c>
      <c r="R2386" s="5" t="s">
        <v>270</v>
      </c>
      <c r="S2386" s="5" t="s">
        <v>238</v>
      </c>
      <c r="V2386" s="5" t="s">
        <v>238</v>
      </c>
      <c r="X2386" s="6" t="s">
        <v>238</v>
      </c>
      <c r="AA2386" s="6" t="s">
        <v>243</v>
      </c>
      <c r="AB2386" s="5" t="s">
        <v>238</v>
      </c>
      <c r="AC2386" s="5" t="s">
        <v>244</v>
      </c>
      <c r="AD2386" s="5" t="s">
        <v>245</v>
      </c>
      <c r="AT2386" s="5" t="s">
        <v>246</v>
      </c>
      <c r="AU2386" s="5" t="s">
        <v>238</v>
      </c>
      <c r="AV2386" s="5" t="s">
        <v>247</v>
      </c>
      <c r="AW2386" s="5" t="s">
        <v>238</v>
      </c>
      <c r="AX2386" s="5" t="s">
        <v>249</v>
      </c>
      <c r="AY2386" s="5" t="s">
        <v>238</v>
      </c>
      <c r="BA2386" s="5" t="s">
        <v>238</v>
      </c>
      <c r="BC2386" s="5" t="s">
        <v>250</v>
      </c>
      <c r="BD2386" s="6" t="s">
        <v>243</v>
      </c>
      <c r="BE2386" s="5" t="s">
        <v>251</v>
      </c>
      <c r="BF2386" s="5" t="s">
        <v>252</v>
      </c>
      <c r="BG2386" s="5" t="s">
        <v>238</v>
      </c>
      <c r="BH2386" s="7">
        <f>0</f>
        <v>0</v>
      </c>
      <c r="BI2386" s="8">
        <f>0</f>
        <v>0</v>
      </c>
      <c r="BJ2386" s="5" t="s">
        <v>253</v>
      </c>
      <c r="BK2386" s="5" t="s">
        <v>254</v>
      </c>
      <c r="BY2386" s="5" t="s">
        <v>238</v>
      </c>
      <c r="BZ2386" s="5" t="s">
        <v>238</v>
      </c>
      <c r="CD2386" s="5" t="s">
        <v>273</v>
      </c>
      <c r="CE2386" s="5" t="s">
        <v>256</v>
      </c>
      <c r="CF2386" s="5" t="s">
        <v>238</v>
      </c>
      <c r="CI2386" s="6" t="s">
        <v>257</v>
      </c>
      <c r="CJ2386" s="5" t="s">
        <v>238</v>
      </c>
      <c r="CK2386" s="5" t="s">
        <v>258</v>
      </c>
      <c r="CL2386" s="5" t="s">
        <v>238</v>
      </c>
      <c r="CM2386" s="5" t="s">
        <v>238</v>
      </c>
      <c r="CN2386" s="5">
        <v>0</v>
      </c>
      <c r="CO2386" s="5" t="s">
        <v>259</v>
      </c>
      <c r="CP2386" s="5" t="s">
        <v>260</v>
      </c>
      <c r="CQ2386" s="5" t="s">
        <v>260</v>
      </c>
      <c r="CR2386" s="5" t="s">
        <v>261</v>
      </c>
      <c r="CU2386" s="8">
        <f>1</f>
        <v>1</v>
      </c>
      <c r="CV2386" s="8">
        <f>0</f>
        <v>0</v>
      </c>
      <c r="CX2386" s="8">
        <f>0</f>
        <v>0</v>
      </c>
      <c r="CY2386" s="8">
        <f>1</f>
        <v>1</v>
      </c>
      <c r="DA2386" s="5" t="s">
        <v>274</v>
      </c>
      <c r="DB2386" s="5" t="s">
        <v>238</v>
      </c>
      <c r="DD2386" s="5" t="s">
        <v>274</v>
      </c>
      <c r="DE2386" s="8">
        <f>1119</f>
        <v>1119</v>
      </c>
      <c r="DG2386" s="5" t="s">
        <v>238</v>
      </c>
      <c r="DH2386" s="5" t="s">
        <v>238</v>
      </c>
      <c r="DI2386" s="5" t="s">
        <v>238</v>
      </c>
      <c r="DJ2386" s="5" t="s">
        <v>238</v>
      </c>
      <c r="DN2386" s="5" t="s">
        <v>238</v>
      </c>
      <c r="DO2386" s="5" t="s">
        <v>238</v>
      </c>
      <c r="DP2386" s="5" t="s">
        <v>238</v>
      </c>
      <c r="DQ2386" s="5" t="s">
        <v>238</v>
      </c>
      <c r="DT2386" s="5" t="s">
        <v>275</v>
      </c>
      <c r="DU2386" s="5" t="s">
        <v>1182</v>
      </c>
      <c r="HM2386" s="5" t="s">
        <v>264</v>
      </c>
    </row>
    <row r="2387" spans="1:221" x14ac:dyDescent="0.4">
      <c r="A2387" s="5">
        <v>4091</v>
      </c>
      <c r="B2387" s="5">
        <v>1</v>
      </c>
      <c r="C2387" s="5">
        <v>1</v>
      </c>
      <c r="D2387" s="5" t="s">
        <v>269</v>
      </c>
      <c r="E2387" s="5" t="s">
        <v>271</v>
      </c>
      <c r="F2387" s="5" t="s">
        <v>248</v>
      </c>
      <c r="G2387" s="5" t="s">
        <v>266</v>
      </c>
      <c r="H2387" s="6" t="s">
        <v>1195</v>
      </c>
      <c r="I2387" s="7">
        <f>2382</f>
        <v>2382</v>
      </c>
      <c r="J2387" s="5" t="s">
        <v>262</v>
      </c>
      <c r="K2387" s="8">
        <f>1</f>
        <v>1</v>
      </c>
      <c r="L2387" s="6" t="s">
        <v>242</v>
      </c>
      <c r="M2387" s="5" t="s">
        <v>267</v>
      </c>
      <c r="N2387" s="5" t="s">
        <v>265</v>
      </c>
      <c r="O2387" s="5" t="s">
        <v>238</v>
      </c>
      <c r="P2387" s="5" t="s">
        <v>238</v>
      </c>
      <c r="Q2387" s="5" t="s">
        <v>268</v>
      </c>
      <c r="R2387" s="5" t="s">
        <v>270</v>
      </c>
      <c r="S2387" s="5" t="s">
        <v>238</v>
      </c>
      <c r="V2387" s="5" t="s">
        <v>238</v>
      </c>
      <c r="X2387" s="6" t="s">
        <v>238</v>
      </c>
      <c r="AA2387" s="6" t="s">
        <v>243</v>
      </c>
      <c r="AB2387" s="5" t="s">
        <v>238</v>
      </c>
      <c r="AC2387" s="5" t="s">
        <v>244</v>
      </c>
      <c r="AD2387" s="5" t="s">
        <v>245</v>
      </c>
      <c r="AT2387" s="5" t="s">
        <v>246</v>
      </c>
      <c r="AU2387" s="5" t="s">
        <v>238</v>
      </c>
      <c r="AV2387" s="5" t="s">
        <v>247</v>
      </c>
      <c r="AW2387" s="5" t="s">
        <v>238</v>
      </c>
      <c r="AX2387" s="5" t="s">
        <v>249</v>
      </c>
      <c r="AY2387" s="5" t="s">
        <v>238</v>
      </c>
      <c r="BA2387" s="5" t="s">
        <v>238</v>
      </c>
      <c r="BC2387" s="5" t="s">
        <v>250</v>
      </c>
      <c r="BD2387" s="6" t="s">
        <v>243</v>
      </c>
      <c r="BE2387" s="5" t="s">
        <v>251</v>
      </c>
      <c r="BF2387" s="5" t="s">
        <v>252</v>
      </c>
      <c r="BG2387" s="5" t="s">
        <v>238</v>
      </c>
      <c r="BH2387" s="7">
        <f>0</f>
        <v>0</v>
      </c>
      <c r="BI2387" s="8">
        <f>0</f>
        <v>0</v>
      </c>
      <c r="BJ2387" s="5" t="s">
        <v>253</v>
      </c>
      <c r="BK2387" s="5" t="s">
        <v>254</v>
      </c>
      <c r="BY2387" s="5" t="s">
        <v>238</v>
      </c>
      <c r="BZ2387" s="5" t="s">
        <v>238</v>
      </c>
      <c r="CD2387" s="5" t="s">
        <v>273</v>
      </c>
      <c r="CE2387" s="5" t="s">
        <v>256</v>
      </c>
      <c r="CF2387" s="5" t="s">
        <v>238</v>
      </c>
      <c r="CI2387" s="6" t="s">
        <v>257</v>
      </c>
      <c r="CJ2387" s="5" t="s">
        <v>238</v>
      </c>
      <c r="CK2387" s="5" t="s">
        <v>258</v>
      </c>
      <c r="CL2387" s="5" t="s">
        <v>238</v>
      </c>
      <c r="CM2387" s="5" t="s">
        <v>238</v>
      </c>
      <c r="CN2387" s="5">
        <v>0</v>
      </c>
      <c r="CO2387" s="5" t="s">
        <v>259</v>
      </c>
      <c r="CP2387" s="5" t="s">
        <v>260</v>
      </c>
      <c r="CQ2387" s="5" t="s">
        <v>260</v>
      </c>
      <c r="CR2387" s="5" t="s">
        <v>261</v>
      </c>
      <c r="CU2387" s="8">
        <f>1</f>
        <v>1</v>
      </c>
      <c r="CV2387" s="8">
        <f>0</f>
        <v>0</v>
      </c>
      <c r="CX2387" s="8">
        <f>0</f>
        <v>0</v>
      </c>
      <c r="CY2387" s="8">
        <f>1</f>
        <v>1</v>
      </c>
      <c r="DA2387" s="5" t="s">
        <v>274</v>
      </c>
      <c r="DB2387" s="5" t="s">
        <v>238</v>
      </c>
      <c r="DD2387" s="5" t="s">
        <v>274</v>
      </c>
      <c r="DE2387" s="8">
        <f>2382</f>
        <v>2382</v>
      </c>
      <c r="DG2387" s="5" t="s">
        <v>238</v>
      </c>
      <c r="DH2387" s="5" t="s">
        <v>238</v>
      </c>
      <c r="DI2387" s="5" t="s">
        <v>238</v>
      </c>
      <c r="DJ2387" s="5" t="s">
        <v>238</v>
      </c>
      <c r="DN2387" s="5" t="s">
        <v>238</v>
      </c>
      <c r="DO2387" s="5" t="s">
        <v>238</v>
      </c>
      <c r="DP2387" s="5" t="s">
        <v>238</v>
      </c>
      <c r="DQ2387" s="5" t="s">
        <v>238</v>
      </c>
      <c r="DT2387" s="5" t="s">
        <v>275</v>
      </c>
      <c r="DU2387" s="5" t="s">
        <v>1196</v>
      </c>
      <c r="HM2387" s="5" t="s">
        <v>264</v>
      </c>
    </row>
    <row r="2388" spans="1:221" x14ac:dyDescent="0.4">
      <c r="A2388" s="5">
        <v>4092</v>
      </c>
      <c r="B2388" s="5">
        <v>1</v>
      </c>
      <c r="C2388" s="5">
        <v>1</v>
      </c>
      <c r="D2388" s="5" t="s">
        <v>269</v>
      </c>
      <c r="E2388" s="5" t="s">
        <v>271</v>
      </c>
      <c r="F2388" s="5" t="s">
        <v>248</v>
      </c>
      <c r="G2388" s="5" t="s">
        <v>266</v>
      </c>
      <c r="H2388" s="6" t="s">
        <v>1236</v>
      </c>
      <c r="I2388" s="7">
        <f>3393</f>
        <v>3393</v>
      </c>
      <c r="J2388" s="5" t="s">
        <v>262</v>
      </c>
      <c r="K2388" s="8">
        <f>1</f>
        <v>1</v>
      </c>
      <c r="L2388" s="6" t="s">
        <v>242</v>
      </c>
      <c r="M2388" s="5" t="s">
        <v>267</v>
      </c>
      <c r="N2388" s="5" t="s">
        <v>265</v>
      </c>
      <c r="O2388" s="5" t="s">
        <v>238</v>
      </c>
      <c r="P2388" s="5" t="s">
        <v>238</v>
      </c>
      <c r="Q2388" s="5" t="s">
        <v>268</v>
      </c>
      <c r="R2388" s="5" t="s">
        <v>270</v>
      </c>
      <c r="S2388" s="5" t="s">
        <v>238</v>
      </c>
      <c r="V2388" s="5" t="s">
        <v>238</v>
      </c>
      <c r="X2388" s="6" t="s">
        <v>238</v>
      </c>
      <c r="AA2388" s="6" t="s">
        <v>243</v>
      </c>
      <c r="AB2388" s="5" t="s">
        <v>238</v>
      </c>
      <c r="AC2388" s="5" t="s">
        <v>244</v>
      </c>
      <c r="AD2388" s="5" t="s">
        <v>245</v>
      </c>
      <c r="AT2388" s="5" t="s">
        <v>246</v>
      </c>
      <c r="AU2388" s="5" t="s">
        <v>238</v>
      </c>
      <c r="AV2388" s="5" t="s">
        <v>247</v>
      </c>
      <c r="AW2388" s="5" t="s">
        <v>238</v>
      </c>
      <c r="AX2388" s="5" t="s">
        <v>249</v>
      </c>
      <c r="AY2388" s="5" t="s">
        <v>238</v>
      </c>
      <c r="BA2388" s="5" t="s">
        <v>238</v>
      </c>
      <c r="BC2388" s="5" t="s">
        <v>250</v>
      </c>
      <c r="BD2388" s="6" t="s">
        <v>243</v>
      </c>
      <c r="BE2388" s="5" t="s">
        <v>251</v>
      </c>
      <c r="BF2388" s="5" t="s">
        <v>252</v>
      </c>
      <c r="BG2388" s="5" t="s">
        <v>238</v>
      </c>
      <c r="BH2388" s="7">
        <f>0</f>
        <v>0</v>
      </c>
      <c r="BI2388" s="8">
        <f>0</f>
        <v>0</v>
      </c>
      <c r="BJ2388" s="5" t="s">
        <v>253</v>
      </c>
      <c r="BK2388" s="5" t="s">
        <v>254</v>
      </c>
      <c r="BY2388" s="5" t="s">
        <v>238</v>
      </c>
      <c r="BZ2388" s="5" t="s">
        <v>238</v>
      </c>
      <c r="CD2388" s="5" t="s">
        <v>273</v>
      </c>
      <c r="CE2388" s="5" t="s">
        <v>256</v>
      </c>
      <c r="CF2388" s="5" t="s">
        <v>238</v>
      </c>
      <c r="CI2388" s="6" t="s">
        <v>257</v>
      </c>
      <c r="CJ2388" s="5" t="s">
        <v>238</v>
      </c>
      <c r="CK2388" s="5" t="s">
        <v>258</v>
      </c>
      <c r="CL2388" s="5" t="s">
        <v>238</v>
      </c>
      <c r="CM2388" s="5" t="s">
        <v>238</v>
      </c>
      <c r="CN2388" s="5">
        <v>0</v>
      </c>
      <c r="CO2388" s="5" t="s">
        <v>259</v>
      </c>
      <c r="CP2388" s="5" t="s">
        <v>260</v>
      </c>
      <c r="CQ2388" s="5" t="s">
        <v>260</v>
      </c>
      <c r="CR2388" s="5" t="s">
        <v>261</v>
      </c>
      <c r="CU2388" s="8">
        <f>1</f>
        <v>1</v>
      </c>
      <c r="CV2388" s="8">
        <f>0</f>
        <v>0</v>
      </c>
      <c r="CX2388" s="8">
        <f>0</f>
        <v>0</v>
      </c>
      <c r="CY2388" s="8">
        <f>1</f>
        <v>1</v>
      </c>
      <c r="DA2388" s="5" t="s">
        <v>274</v>
      </c>
      <c r="DB2388" s="5" t="s">
        <v>238</v>
      </c>
      <c r="DD2388" s="5" t="s">
        <v>274</v>
      </c>
      <c r="DE2388" s="8">
        <f>3393</f>
        <v>3393</v>
      </c>
      <c r="DG2388" s="5" t="s">
        <v>238</v>
      </c>
      <c r="DH2388" s="5" t="s">
        <v>238</v>
      </c>
      <c r="DI2388" s="5" t="s">
        <v>238</v>
      </c>
      <c r="DJ2388" s="5" t="s">
        <v>238</v>
      </c>
      <c r="DN2388" s="5" t="s">
        <v>238</v>
      </c>
      <c r="DO2388" s="5" t="s">
        <v>238</v>
      </c>
      <c r="DP2388" s="5" t="s">
        <v>238</v>
      </c>
      <c r="DQ2388" s="5" t="s">
        <v>238</v>
      </c>
      <c r="DT2388" s="5" t="s">
        <v>275</v>
      </c>
      <c r="DU2388" s="5" t="s">
        <v>1237</v>
      </c>
      <c r="HM2388" s="5" t="s">
        <v>264</v>
      </c>
    </row>
    <row r="2389" spans="1:221" x14ac:dyDescent="0.4">
      <c r="A2389" s="5">
        <v>4093</v>
      </c>
      <c r="B2389" s="5">
        <v>1</v>
      </c>
      <c r="C2389" s="5">
        <v>1</v>
      </c>
      <c r="D2389" s="5" t="s">
        <v>269</v>
      </c>
      <c r="E2389" s="5" t="s">
        <v>271</v>
      </c>
      <c r="F2389" s="5" t="s">
        <v>248</v>
      </c>
      <c r="G2389" s="5" t="s">
        <v>266</v>
      </c>
      <c r="H2389" s="6" t="s">
        <v>1253</v>
      </c>
      <c r="I2389" s="7">
        <f>3242</f>
        <v>3242</v>
      </c>
      <c r="J2389" s="5" t="s">
        <v>262</v>
      </c>
      <c r="K2389" s="8">
        <f>1</f>
        <v>1</v>
      </c>
      <c r="L2389" s="6" t="s">
        <v>242</v>
      </c>
      <c r="M2389" s="5" t="s">
        <v>267</v>
      </c>
      <c r="N2389" s="5" t="s">
        <v>265</v>
      </c>
      <c r="O2389" s="5" t="s">
        <v>238</v>
      </c>
      <c r="P2389" s="5" t="s">
        <v>238</v>
      </c>
      <c r="Q2389" s="5" t="s">
        <v>268</v>
      </c>
      <c r="R2389" s="5" t="s">
        <v>270</v>
      </c>
      <c r="S2389" s="5" t="s">
        <v>238</v>
      </c>
      <c r="V2389" s="5" t="s">
        <v>238</v>
      </c>
      <c r="X2389" s="6" t="s">
        <v>238</v>
      </c>
      <c r="AA2389" s="6" t="s">
        <v>243</v>
      </c>
      <c r="AB2389" s="5" t="s">
        <v>238</v>
      </c>
      <c r="AC2389" s="5" t="s">
        <v>244</v>
      </c>
      <c r="AD2389" s="5" t="s">
        <v>245</v>
      </c>
      <c r="AT2389" s="5" t="s">
        <v>246</v>
      </c>
      <c r="AU2389" s="5" t="s">
        <v>238</v>
      </c>
      <c r="AV2389" s="5" t="s">
        <v>247</v>
      </c>
      <c r="AW2389" s="5" t="s">
        <v>238</v>
      </c>
      <c r="AX2389" s="5" t="s">
        <v>249</v>
      </c>
      <c r="AY2389" s="5" t="s">
        <v>238</v>
      </c>
      <c r="BA2389" s="5" t="s">
        <v>238</v>
      </c>
      <c r="BC2389" s="5" t="s">
        <v>250</v>
      </c>
      <c r="BD2389" s="6" t="s">
        <v>243</v>
      </c>
      <c r="BE2389" s="5" t="s">
        <v>251</v>
      </c>
      <c r="BF2389" s="5" t="s">
        <v>252</v>
      </c>
      <c r="BG2389" s="5" t="s">
        <v>238</v>
      </c>
      <c r="BH2389" s="7">
        <f>0</f>
        <v>0</v>
      </c>
      <c r="BI2389" s="8">
        <f>0</f>
        <v>0</v>
      </c>
      <c r="BJ2389" s="5" t="s">
        <v>253</v>
      </c>
      <c r="BK2389" s="5" t="s">
        <v>254</v>
      </c>
      <c r="BY2389" s="5" t="s">
        <v>238</v>
      </c>
      <c r="BZ2389" s="5" t="s">
        <v>238</v>
      </c>
      <c r="CD2389" s="5" t="s">
        <v>273</v>
      </c>
      <c r="CE2389" s="5" t="s">
        <v>256</v>
      </c>
      <c r="CF2389" s="5" t="s">
        <v>238</v>
      </c>
      <c r="CI2389" s="6" t="s">
        <v>257</v>
      </c>
      <c r="CJ2389" s="5" t="s">
        <v>238</v>
      </c>
      <c r="CK2389" s="5" t="s">
        <v>258</v>
      </c>
      <c r="CL2389" s="5" t="s">
        <v>238</v>
      </c>
      <c r="CM2389" s="5" t="s">
        <v>238</v>
      </c>
      <c r="CN2389" s="5">
        <v>0</v>
      </c>
      <c r="CO2389" s="5" t="s">
        <v>259</v>
      </c>
      <c r="CP2389" s="5" t="s">
        <v>260</v>
      </c>
      <c r="CQ2389" s="5" t="s">
        <v>260</v>
      </c>
      <c r="CR2389" s="5" t="s">
        <v>261</v>
      </c>
      <c r="CU2389" s="8">
        <f>1</f>
        <v>1</v>
      </c>
      <c r="CV2389" s="8">
        <f>0</f>
        <v>0</v>
      </c>
      <c r="CX2389" s="8">
        <f>0</f>
        <v>0</v>
      </c>
      <c r="CY2389" s="8">
        <f>1</f>
        <v>1</v>
      </c>
      <c r="DA2389" s="5" t="s">
        <v>274</v>
      </c>
      <c r="DB2389" s="5" t="s">
        <v>238</v>
      </c>
      <c r="DD2389" s="5" t="s">
        <v>274</v>
      </c>
      <c r="DE2389" s="8">
        <f>3242</f>
        <v>3242</v>
      </c>
      <c r="DG2389" s="5" t="s">
        <v>238</v>
      </c>
      <c r="DH2389" s="5" t="s">
        <v>238</v>
      </c>
      <c r="DI2389" s="5" t="s">
        <v>238</v>
      </c>
      <c r="DJ2389" s="5" t="s">
        <v>238</v>
      </c>
      <c r="DN2389" s="5" t="s">
        <v>238</v>
      </c>
      <c r="DO2389" s="5" t="s">
        <v>238</v>
      </c>
      <c r="DP2389" s="5" t="s">
        <v>238</v>
      </c>
      <c r="DQ2389" s="5" t="s">
        <v>238</v>
      </c>
      <c r="DT2389" s="5" t="s">
        <v>275</v>
      </c>
      <c r="DU2389" s="5" t="s">
        <v>1254</v>
      </c>
      <c r="HM2389" s="5" t="s">
        <v>264</v>
      </c>
    </row>
    <row r="2390" spans="1:221" x14ac:dyDescent="0.4">
      <c r="A2390" s="5">
        <v>4094</v>
      </c>
      <c r="B2390" s="5">
        <v>1</v>
      </c>
      <c r="C2390" s="5">
        <v>1</v>
      </c>
      <c r="D2390" s="5" t="s">
        <v>269</v>
      </c>
      <c r="E2390" s="5" t="s">
        <v>271</v>
      </c>
      <c r="F2390" s="5" t="s">
        <v>248</v>
      </c>
      <c r="G2390" s="5" t="s">
        <v>266</v>
      </c>
      <c r="H2390" s="6" t="s">
        <v>1292</v>
      </c>
      <c r="I2390" s="7">
        <f>1031</f>
        <v>1031</v>
      </c>
      <c r="J2390" s="5" t="s">
        <v>262</v>
      </c>
      <c r="K2390" s="8">
        <f>1</f>
        <v>1</v>
      </c>
      <c r="L2390" s="6" t="s">
        <v>242</v>
      </c>
      <c r="M2390" s="5" t="s">
        <v>267</v>
      </c>
      <c r="N2390" s="5" t="s">
        <v>265</v>
      </c>
      <c r="O2390" s="5" t="s">
        <v>238</v>
      </c>
      <c r="P2390" s="5" t="s">
        <v>238</v>
      </c>
      <c r="Q2390" s="5" t="s">
        <v>268</v>
      </c>
      <c r="R2390" s="5" t="s">
        <v>270</v>
      </c>
      <c r="S2390" s="5" t="s">
        <v>238</v>
      </c>
      <c r="V2390" s="5" t="s">
        <v>238</v>
      </c>
      <c r="X2390" s="6" t="s">
        <v>238</v>
      </c>
      <c r="AA2390" s="6" t="s">
        <v>243</v>
      </c>
      <c r="AB2390" s="5" t="s">
        <v>238</v>
      </c>
      <c r="AC2390" s="5" t="s">
        <v>244</v>
      </c>
      <c r="AD2390" s="5" t="s">
        <v>245</v>
      </c>
      <c r="AT2390" s="5" t="s">
        <v>246</v>
      </c>
      <c r="AU2390" s="5" t="s">
        <v>238</v>
      </c>
      <c r="AV2390" s="5" t="s">
        <v>247</v>
      </c>
      <c r="AW2390" s="5" t="s">
        <v>238</v>
      </c>
      <c r="AX2390" s="5" t="s">
        <v>249</v>
      </c>
      <c r="AY2390" s="5" t="s">
        <v>238</v>
      </c>
      <c r="BA2390" s="5" t="s">
        <v>238</v>
      </c>
      <c r="BC2390" s="5" t="s">
        <v>250</v>
      </c>
      <c r="BD2390" s="6" t="s">
        <v>243</v>
      </c>
      <c r="BE2390" s="5" t="s">
        <v>251</v>
      </c>
      <c r="BF2390" s="5" t="s">
        <v>252</v>
      </c>
      <c r="BG2390" s="5" t="s">
        <v>238</v>
      </c>
      <c r="BH2390" s="7">
        <f>0</f>
        <v>0</v>
      </c>
      <c r="BI2390" s="8">
        <f>0</f>
        <v>0</v>
      </c>
      <c r="BJ2390" s="5" t="s">
        <v>253</v>
      </c>
      <c r="BK2390" s="5" t="s">
        <v>254</v>
      </c>
      <c r="BY2390" s="5" t="s">
        <v>238</v>
      </c>
      <c r="BZ2390" s="5" t="s">
        <v>238</v>
      </c>
      <c r="CD2390" s="5" t="s">
        <v>273</v>
      </c>
      <c r="CE2390" s="5" t="s">
        <v>256</v>
      </c>
      <c r="CF2390" s="5" t="s">
        <v>238</v>
      </c>
      <c r="CI2390" s="6" t="s">
        <v>257</v>
      </c>
      <c r="CJ2390" s="5" t="s">
        <v>238</v>
      </c>
      <c r="CK2390" s="5" t="s">
        <v>258</v>
      </c>
      <c r="CL2390" s="5" t="s">
        <v>238</v>
      </c>
      <c r="CM2390" s="5" t="s">
        <v>238</v>
      </c>
      <c r="CN2390" s="5">
        <v>0</v>
      </c>
      <c r="CO2390" s="5" t="s">
        <v>259</v>
      </c>
      <c r="CP2390" s="5" t="s">
        <v>260</v>
      </c>
      <c r="CQ2390" s="5" t="s">
        <v>260</v>
      </c>
      <c r="CR2390" s="5" t="s">
        <v>261</v>
      </c>
      <c r="CU2390" s="8">
        <f>1</f>
        <v>1</v>
      </c>
      <c r="CV2390" s="8">
        <f>0</f>
        <v>0</v>
      </c>
      <c r="CX2390" s="8">
        <f>0</f>
        <v>0</v>
      </c>
      <c r="CY2390" s="8">
        <f>1</f>
        <v>1</v>
      </c>
      <c r="DA2390" s="5" t="s">
        <v>274</v>
      </c>
      <c r="DB2390" s="5" t="s">
        <v>238</v>
      </c>
      <c r="DD2390" s="5" t="s">
        <v>274</v>
      </c>
      <c r="DE2390" s="8">
        <f>1031</f>
        <v>1031</v>
      </c>
      <c r="DG2390" s="5" t="s">
        <v>238</v>
      </c>
      <c r="DH2390" s="5" t="s">
        <v>238</v>
      </c>
      <c r="DI2390" s="5" t="s">
        <v>238</v>
      </c>
      <c r="DJ2390" s="5" t="s">
        <v>238</v>
      </c>
      <c r="DN2390" s="5" t="s">
        <v>238</v>
      </c>
      <c r="DO2390" s="5" t="s">
        <v>238</v>
      </c>
      <c r="DP2390" s="5" t="s">
        <v>238</v>
      </c>
      <c r="DQ2390" s="5" t="s">
        <v>238</v>
      </c>
      <c r="DT2390" s="5" t="s">
        <v>275</v>
      </c>
      <c r="DU2390" s="5" t="s">
        <v>1293</v>
      </c>
      <c r="HM2390" s="5" t="s">
        <v>264</v>
      </c>
    </row>
    <row r="2391" spans="1:221" x14ac:dyDescent="0.4">
      <c r="A2391" s="5">
        <v>4095</v>
      </c>
      <c r="B2391" s="5">
        <v>1</v>
      </c>
      <c r="C2391" s="5">
        <v>1</v>
      </c>
      <c r="D2391" s="5" t="s">
        <v>269</v>
      </c>
      <c r="E2391" s="5" t="s">
        <v>271</v>
      </c>
      <c r="F2391" s="5" t="s">
        <v>248</v>
      </c>
      <c r="G2391" s="5" t="s">
        <v>266</v>
      </c>
      <c r="H2391" s="6" t="s">
        <v>1339</v>
      </c>
      <c r="I2391" s="7">
        <f>2164</f>
        <v>2164</v>
      </c>
      <c r="J2391" s="5" t="s">
        <v>262</v>
      </c>
      <c r="K2391" s="8">
        <f>1</f>
        <v>1</v>
      </c>
      <c r="L2391" s="6" t="s">
        <v>242</v>
      </c>
      <c r="M2391" s="5" t="s">
        <v>267</v>
      </c>
      <c r="N2391" s="5" t="s">
        <v>265</v>
      </c>
      <c r="O2391" s="5" t="s">
        <v>238</v>
      </c>
      <c r="P2391" s="5" t="s">
        <v>238</v>
      </c>
      <c r="Q2391" s="5" t="s">
        <v>268</v>
      </c>
      <c r="R2391" s="5" t="s">
        <v>270</v>
      </c>
      <c r="S2391" s="5" t="s">
        <v>238</v>
      </c>
      <c r="V2391" s="5" t="s">
        <v>238</v>
      </c>
      <c r="X2391" s="6" t="s">
        <v>238</v>
      </c>
      <c r="AA2391" s="6" t="s">
        <v>243</v>
      </c>
      <c r="AB2391" s="5" t="s">
        <v>238</v>
      </c>
      <c r="AC2391" s="5" t="s">
        <v>244</v>
      </c>
      <c r="AD2391" s="5" t="s">
        <v>245</v>
      </c>
      <c r="AT2391" s="5" t="s">
        <v>246</v>
      </c>
      <c r="AU2391" s="5" t="s">
        <v>238</v>
      </c>
      <c r="AV2391" s="5" t="s">
        <v>247</v>
      </c>
      <c r="AW2391" s="5" t="s">
        <v>238</v>
      </c>
      <c r="AX2391" s="5" t="s">
        <v>249</v>
      </c>
      <c r="AY2391" s="5" t="s">
        <v>238</v>
      </c>
      <c r="BA2391" s="5" t="s">
        <v>238</v>
      </c>
      <c r="BC2391" s="5" t="s">
        <v>250</v>
      </c>
      <c r="BD2391" s="6" t="s">
        <v>243</v>
      </c>
      <c r="BE2391" s="5" t="s">
        <v>251</v>
      </c>
      <c r="BF2391" s="5" t="s">
        <v>252</v>
      </c>
      <c r="BG2391" s="5" t="s">
        <v>238</v>
      </c>
      <c r="BH2391" s="7">
        <f>0</f>
        <v>0</v>
      </c>
      <c r="BI2391" s="8">
        <f>0</f>
        <v>0</v>
      </c>
      <c r="BJ2391" s="5" t="s">
        <v>253</v>
      </c>
      <c r="BK2391" s="5" t="s">
        <v>254</v>
      </c>
      <c r="BY2391" s="5" t="s">
        <v>238</v>
      </c>
      <c r="BZ2391" s="5" t="s">
        <v>238</v>
      </c>
      <c r="CD2391" s="5" t="s">
        <v>273</v>
      </c>
      <c r="CE2391" s="5" t="s">
        <v>256</v>
      </c>
      <c r="CF2391" s="5" t="s">
        <v>238</v>
      </c>
      <c r="CI2391" s="6" t="s">
        <v>257</v>
      </c>
      <c r="CJ2391" s="5" t="s">
        <v>238</v>
      </c>
      <c r="CK2391" s="5" t="s">
        <v>258</v>
      </c>
      <c r="CL2391" s="5" t="s">
        <v>238</v>
      </c>
      <c r="CM2391" s="5" t="s">
        <v>238</v>
      </c>
      <c r="CN2391" s="5">
        <v>0</v>
      </c>
      <c r="CO2391" s="5" t="s">
        <v>259</v>
      </c>
      <c r="CP2391" s="5" t="s">
        <v>260</v>
      </c>
      <c r="CQ2391" s="5" t="s">
        <v>260</v>
      </c>
      <c r="CR2391" s="5" t="s">
        <v>261</v>
      </c>
      <c r="CU2391" s="8">
        <f>1</f>
        <v>1</v>
      </c>
      <c r="CV2391" s="8">
        <f>0</f>
        <v>0</v>
      </c>
      <c r="CX2391" s="8">
        <f>0</f>
        <v>0</v>
      </c>
      <c r="CY2391" s="8">
        <f>1</f>
        <v>1</v>
      </c>
      <c r="DA2391" s="5" t="s">
        <v>274</v>
      </c>
      <c r="DB2391" s="5" t="s">
        <v>238</v>
      </c>
      <c r="DD2391" s="5" t="s">
        <v>274</v>
      </c>
      <c r="DE2391" s="8">
        <f>2164</f>
        <v>2164</v>
      </c>
      <c r="DG2391" s="5" t="s">
        <v>238</v>
      </c>
      <c r="DH2391" s="5" t="s">
        <v>238</v>
      </c>
      <c r="DI2391" s="5" t="s">
        <v>238</v>
      </c>
      <c r="DJ2391" s="5" t="s">
        <v>238</v>
      </c>
      <c r="DN2391" s="5" t="s">
        <v>238</v>
      </c>
      <c r="DO2391" s="5" t="s">
        <v>238</v>
      </c>
      <c r="DP2391" s="5" t="s">
        <v>238</v>
      </c>
      <c r="DQ2391" s="5" t="s">
        <v>238</v>
      </c>
      <c r="DT2391" s="5" t="s">
        <v>275</v>
      </c>
      <c r="DU2391" s="5" t="s">
        <v>1340</v>
      </c>
      <c r="HM2391" s="5" t="s">
        <v>264</v>
      </c>
    </row>
    <row r="2392" spans="1:221" x14ac:dyDescent="0.4">
      <c r="A2392" s="5">
        <v>4096</v>
      </c>
      <c r="B2392" s="5">
        <v>1</v>
      </c>
      <c r="C2392" s="5">
        <v>1</v>
      </c>
      <c r="D2392" s="5" t="s">
        <v>269</v>
      </c>
      <c r="E2392" s="5" t="s">
        <v>271</v>
      </c>
      <c r="F2392" s="5" t="s">
        <v>248</v>
      </c>
      <c r="G2392" s="5" t="s">
        <v>266</v>
      </c>
      <c r="H2392" s="6" t="s">
        <v>1367</v>
      </c>
      <c r="I2392" s="7">
        <f>784</f>
        <v>784</v>
      </c>
      <c r="J2392" s="5" t="s">
        <v>262</v>
      </c>
      <c r="K2392" s="8">
        <f>1</f>
        <v>1</v>
      </c>
      <c r="L2392" s="6" t="s">
        <v>242</v>
      </c>
      <c r="M2392" s="5" t="s">
        <v>267</v>
      </c>
      <c r="N2392" s="5" t="s">
        <v>265</v>
      </c>
      <c r="O2392" s="5" t="s">
        <v>238</v>
      </c>
      <c r="P2392" s="5" t="s">
        <v>238</v>
      </c>
      <c r="Q2392" s="5" t="s">
        <v>268</v>
      </c>
      <c r="R2392" s="5" t="s">
        <v>270</v>
      </c>
      <c r="S2392" s="5" t="s">
        <v>238</v>
      </c>
      <c r="V2392" s="5" t="s">
        <v>238</v>
      </c>
      <c r="X2392" s="6" t="s">
        <v>238</v>
      </c>
      <c r="AA2392" s="6" t="s">
        <v>243</v>
      </c>
      <c r="AB2392" s="5" t="s">
        <v>238</v>
      </c>
      <c r="AC2392" s="5" t="s">
        <v>244</v>
      </c>
      <c r="AD2392" s="5" t="s">
        <v>245</v>
      </c>
      <c r="AT2392" s="5" t="s">
        <v>246</v>
      </c>
      <c r="AU2392" s="5" t="s">
        <v>238</v>
      </c>
      <c r="AV2392" s="5" t="s">
        <v>247</v>
      </c>
      <c r="AW2392" s="5" t="s">
        <v>238</v>
      </c>
      <c r="AX2392" s="5" t="s">
        <v>249</v>
      </c>
      <c r="AY2392" s="5" t="s">
        <v>238</v>
      </c>
      <c r="BA2392" s="5" t="s">
        <v>238</v>
      </c>
      <c r="BC2392" s="5" t="s">
        <v>250</v>
      </c>
      <c r="BD2392" s="6" t="s">
        <v>243</v>
      </c>
      <c r="BE2392" s="5" t="s">
        <v>251</v>
      </c>
      <c r="BF2392" s="5" t="s">
        <v>252</v>
      </c>
      <c r="BG2392" s="5" t="s">
        <v>238</v>
      </c>
      <c r="BH2392" s="7">
        <f>0</f>
        <v>0</v>
      </c>
      <c r="BI2392" s="8">
        <f>0</f>
        <v>0</v>
      </c>
      <c r="BJ2392" s="5" t="s">
        <v>253</v>
      </c>
      <c r="BK2392" s="5" t="s">
        <v>254</v>
      </c>
      <c r="BY2392" s="5" t="s">
        <v>238</v>
      </c>
      <c r="BZ2392" s="5" t="s">
        <v>238</v>
      </c>
      <c r="CD2392" s="5" t="s">
        <v>273</v>
      </c>
      <c r="CE2392" s="5" t="s">
        <v>256</v>
      </c>
      <c r="CF2392" s="5" t="s">
        <v>238</v>
      </c>
      <c r="CI2392" s="6" t="s">
        <v>257</v>
      </c>
      <c r="CJ2392" s="5" t="s">
        <v>238</v>
      </c>
      <c r="CK2392" s="5" t="s">
        <v>258</v>
      </c>
      <c r="CL2392" s="5" t="s">
        <v>238</v>
      </c>
      <c r="CM2392" s="5" t="s">
        <v>238</v>
      </c>
      <c r="CN2392" s="5">
        <v>0</v>
      </c>
      <c r="CO2392" s="5" t="s">
        <v>259</v>
      </c>
      <c r="CP2392" s="5" t="s">
        <v>260</v>
      </c>
      <c r="CQ2392" s="5" t="s">
        <v>260</v>
      </c>
      <c r="CR2392" s="5" t="s">
        <v>261</v>
      </c>
      <c r="CU2392" s="8">
        <f>1</f>
        <v>1</v>
      </c>
      <c r="CV2392" s="8">
        <f>0</f>
        <v>0</v>
      </c>
      <c r="CX2392" s="8">
        <f>0</f>
        <v>0</v>
      </c>
      <c r="CY2392" s="8">
        <f>1</f>
        <v>1</v>
      </c>
      <c r="DA2392" s="5" t="s">
        <v>274</v>
      </c>
      <c r="DB2392" s="5" t="s">
        <v>238</v>
      </c>
      <c r="DD2392" s="5" t="s">
        <v>274</v>
      </c>
      <c r="DE2392" s="8">
        <f>784</f>
        <v>784</v>
      </c>
      <c r="DG2392" s="5" t="s">
        <v>238</v>
      </c>
      <c r="DH2392" s="5" t="s">
        <v>238</v>
      </c>
      <c r="DI2392" s="5" t="s">
        <v>238</v>
      </c>
      <c r="DJ2392" s="5" t="s">
        <v>238</v>
      </c>
      <c r="DN2392" s="5" t="s">
        <v>238</v>
      </c>
      <c r="DO2392" s="5" t="s">
        <v>238</v>
      </c>
      <c r="DP2392" s="5" t="s">
        <v>238</v>
      </c>
      <c r="DQ2392" s="5" t="s">
        <v>238</v>
      </c>
      <c r="DT2392" s="5" t="s">
        <v>275</v>
      </c>
      <c r="DU2392" s="5" t="s">
        <v>1368</v>
      </c>
      <c r="HM2392" s="5" t="s">
        <v>264</v>
      </c>
    </row>
    <row r="2393" spans="1:221" x14ac:dyDescent="0.4">
      <c r="A2393" s="5">
        <v>4097</v>
      </c>
      <c r="B2393" s="5">
        <v>1</v>
      </c>
      <c r="C2393" s="5">
        <v>1</v>
      </c>
      <c r="D2393" s="5" t="s">
        <v>269</v>
      </c>
      <c r="E2393" s="5" t="s">
        <v>271</v>
      </c>
      <c r="F2393" s="5" t="s">
        <v>248</v>
      </c>
      <c r="G2393" s="5" t="s">
        <v>266</v>
      </c>
      <c r="H2393" s="6" t="s">
        <v>1379</v>
      </c>
      <c r="I2393" s="7">
        <f>398</f>
        <v>398</v>
      </c>
      <c r="J2393" s="5" t="s">
        <v>262</v>
      </c>
      <c r="K2393" s="8">
        <f>1</f>
        <v>1</v>
      </c>
      <c r="L2393" s="6" t="s">
        <v>242</v>
      </c>
      <c r="M2393" s="5" t="s">
        <v>267</v>
      </c>
      <c r="N2393" s="5" t="s">
        <v>265</v>
      </c>
      <c r="O2393" s="5" t="s">
        <v>238</v>
      </c>
      <c r="P2393" s="5" t="s">
        <v>238</v>
      </c>
      <c r="Q2393" s="5" t="s">
        <v>268</v>
      </c>
      <c r="R2393" s="5" t="s">
        <v>270</v>
      </c>
      <c r="S2393" s="5" t="s">
        <v>238</v>
      </c>
      <c r="V2393" s="5" t="s">
        <v>238</v>
      </c>
      <c r="X2393" s="6" t="s">
        <v>238</v>
      </c>
      <c r="AA2393" s="6" t="s">
        <v>243</v>
      </c>
      <c r="AB2393" s="5" t="s">
        <v>238</v>
      </c>
      <c r="AC2393" s="5" t="s">
        <v>244</v>
      </c>
      <c r="AD2393" s="5" t="s">
        <v>245</v>
      </c>
      <c r="AT2393" s="5" t="s">
        <v>246</v>
      </c>
      <c r="AU2393" s="5" t="s">
        <v>238</v>
      </c>
      <c r="AV2393" s="5" t="s">
        <v>247</v>
      </c>
      <c r="AW2393" s="5" t="s">
        <v>238</v>
      </c>
      <c r="AX2393" s="5" t="s">
        <v>249</v>
      </c>
      <c r="AY2393" s="5" t="s">
        <v>238</v>
      </c>
      <c r="BA2393" s="5" t="s">
        <v>238</v>
      </c>
      <c r="BC2393" s="5" t="s">
        <v>250</v>
      </c>
      <c r="BD2393" s="6" t="s">
        <v>243</v>
      </c>
      <c r="BE2393" s="5" t="s">
        <v>251</v>
      </c>
      <c r="BF2393" s="5" t="s">
        <v>252</v>
      </c>
      <c r="BG2393" s="5" t="s">
        <v>238</v>
      </c>
      <c r="BH2393" s="7">
        <f>0</f>
        <v>0</v>
      </c>
      <c r="BI2393" s="8">
        <f>0</f>
        <v>0</v>
      </c>
      <c r="BJ2393" s="5" t="s">
        <v>253</v>
      </c>
      <c r="BK2393" s="5" t="s">
        <v>254</v>
      </c>
      <c r="BY2393" s="5" t="s">
        <v>238</v>
      </c>
      <c r="BZ2393" s="5" t="s">
        <v>238</v>
      </c>
      <c r="CD2393" s="5" t="s">
        <v>273</v>
      </c>
      <c r="CE2393" s="5" t="s">
        <v>256</v>
      </c>
      <c r="CF2393" s="5" t="s">
        <v>238</v>
      </c>
      <c r="CI2393" s="6" t="s">
        <v>257</v>
      </c>
      <c r="CJ2393" s="5" t="s">
        <v>238</v>
      </c>
      <c r="CK2393" s="5" t="s">
        <v>258</v>
      </c>
      <c r="CL2393" s="5" t="s">
        <v>238</v>
      </c>
      <c r="CM2393" s="5" t="s">
        <v>238</v>
      </c>
      <c r="CN2393" s="5">
        <v>0</v>
      </c>
      <c r="CO2393" s="5" t="s">
        <v>259</v>
      </c>
      <c r="CP2393" s="5" t="s">
        <v>260</v>
      </c>
      <c r="CQ2393" s="5" t="s">
        <v>260</v>
      </c>
      <c r="CR2393" s="5" t="s">
        <v>261</v>
      </c>
      <c r="CU2393" s="8">
        <f>1</f>
        <v>1</v>
      </c>
      <c r="CV2393" s="8">
        <f>0</f>
        <v>0</v>
      </c>
      <c r="CX2393" s="8">
        <f>0</f>
        <v>0</v>
      </c>
      <c r="CY2393" s="8">
        <f>1</f>
        <v>1</v>
      </c>
      <c r="DA2393" s="5" t="s">
        <v>274</v>
      </c>
      <c r="DB2393" s="5" t="s">
        <v>238</v>
      </c>
      <c r="DD2393" s="5" t="s">
        <v>274</v>
      </c>
      <c r="DE2393" s="8">
        <f>398</f>
        <v>398</v>
      </c>
      <c r="DG2393" s="5" t="s">
        <v>238</v>
      </c>
      <c r="DH2393" s="5" t="s">
        <v>238</v>
      </c>
      <c r="DI2393" s="5" t="s">
        <v>238</v>
      </c>
      <c r="DJ2393" s="5" t="s">
        <v>238</v>
      </c>
      <c r="DN2393" s="5" t="s">
        <v>238</v>
      </c>
      <c r="DO2393" s="5" t="s">
        <v>238</v>
      </c>
      <c r="DP2393" s="5" t="s">
        <v>238</v>
      </c>
      <c r="DQ2393" s="5" t="s">
        <v>238</v>
      </c>
      <c r="DT2393" s="5" t="s">
        <v>275</v>
      </c>
      <c r="DU2393" s="5" t="s">
        <v>1380</v>
      </c>
      <c r="HM2393" s="5" t="s">
        <v>264</v>
      </c>
    </row>
    <row r="2394" spans="1:221" x14ac:dyDescent="0.4">
      <c r="A2394" s="5">
        <v>4098</v>
      </c>
      <c r="B2394" s="5">
        <v>1</v>
      </c>
      <c r="C2394" s="5">
        <v>1</v>
      </c>
      <c r="D2394" s="5" t="s">
        <v>269</v>
      </c>
      <c r="E2394" s="5" t="s">
        <v>271</v>
      </c>
      <c r="F2394" s="5" t="s">
        <v>248</v>
      </c>
      <c r="G2394" s="5" t="s">
        <v>266</v>
      </c>
      <c r="H2394" s="6" t="s">
        <v>1479</v>
      </c>
      <c r="I2394" s="7">
        <f>222</f>
        <v>222</v>
      </c>
      <c r="J2394" s="5" t="s">
        <v>262</v>
      </c>
      <c r="K2394" s="8">
        <f>1</f>
        <v>1</v>
      </c>
      <c r="L2394" s="6" t="s">
        <v>242</v>
      </c>
      <c r="M2394" s="5" t="s">
        <v>267</v>
      </c>
      <c r="N2394" s="5" t="s">
        <v>265</v>
      </c>
      <c r="O2394" s="5" t="s">
        <v>238</v>
      </c>
      <c r="P2394" s="5" t="s">
        <v>238</v>
      </c>
      <c r="Q2394" s="5" t="s">
        <v>268</v>
      </c>
      <c r="R2394" s="5" t="s">
        <v>270</v>
      </c>
      <c r="S2394" s="5" t="s">
        <v>238</v>
      </c>
      <c r="V2394" s="5" t="s">
        <v>238</v>
      </c>
      <c r="X2394" s="6" t="s">
        <v>238</v>
      </c>
      <c r="AA2394" s="6" t="s">
        <v>243</v>
      </c>
      <c r="AB2394" s="5" t="s">
        <v>238</v>
      </c>
      <c r="AC2394" s="5" t="s">
        <v>244</v>
      </c>
      <c r="AD2394" s="5" t="s">
        <v>245</v>
      </c>
      <c r="AT2394" s="5" t="s">
        <v>246</v>
      </c>
      <c r="AU2394" s="5" t="s">
        <v>238</v>
      </c>
      <c r="AV2394" s="5" t="s">
        <v>247</v>
      </c>
      <c r="AW2394" s="5" t="s">
        <v>238</v>
      </c>
      <c r="AX2394" s="5" t="s">
        <v>249</v>
      </c>
      <c r="AY2394" s="5" t="s">
        <v>238</v>
      </c>
      <c r="BA2394" s="5" t="s">
        <v>238</v>
      </c>
      <c r="BC2394" s="5" t="s">
        <v>250</v>
      </c>
      <c r="BD2394" s="6" t="s">
        <v>243</v>
      </c>
      <c r="BE2394" s="5" t="s">
        <v>251</v>
      </c>
      <c r="BF2394" s="5" t="s">
        <v>252</v>
      </c>
      <c r="BG2394" s="5" t="s">
        <v>238</v>
      </c>
      <c r="BH2394" s="7">
        <f>0</f>
        <v>0</v>
      </c>
      <c r="BI2394" s="8">
        <f>0</f>
        <v>0</v>
      </c>
      <c r="BJ2394" s="5" t="s">
        <v>253</v>
      </c>
      <c r="BK2394" s="5" t="s">
        <v>254</v>
      </c>
      <c r="BY2394" s="5" t="s">
        <v>238</v>
      </c>
      <c r="BZ2394" s="5" t="s">
        <v>238</v>
      </c>
      <c r="CD2394" s="5" t="s">
        <v>273</v>
      </c>
      <c r="CE2394" s="5" t="s">
        <v>256</v>
      </c>
      <c r="CF2394" s="5" t="s">
        <v>238</v>
      </c>
      <c r="CI2394" s="6" t="s">
        <v>257</v>
      </c>
      <c r="CJ2394" s="5" t="s">
        <v>238</v>
      </c>
      <c r="CK2394" s="5" t="s">
        <v>258</v>
      </c>
      <c r="CL2394" s="5" t="s">
        <v>238</v>
      </c>
      <c r="CM2394" s="5" t="s">
        <v>238</v>
      </c>
      <c r="CN2394" s="5">
        <v>0</v>
      </c>
      <c r="CO2394" s="5" t="s">
        <v>259</v>
      </c>
      <c r="CP2394" s="5" t="s">
        <v>260</v>
      </c>
      <c r="CQ2394" s="5" t="s">
        <v>260</v>
      </c>
      <c r="CR2394" s="5" t="s">
        <v>261</v>
      </c>
      <c r="CU2394" s="8">
        <f>1</f>
        <v>1</v>
      </c>
      <c r="CV2394" s="8">
        <f>0</f>
        <v>0</v>
      </c>
      <c r="CX2394" s="8">
        <f>0</f>
        <v>0</v>
      </c>
      <c r="CY2394" s="8">
        <f>1</f>
        <v>1</v>
      </c>
      <c r="DA2394" s="5" t="s">
        <v>274</v>
      </c>
      <c r="DB2394" s="5" t="s">
        <v>238</v>
      </c>
      <c r="DD2394" s="5" t="s">
        <v>274</v>
      </c>
      <c r="DE2394" s="8">
        <f>222</f>
        <v>222</v>
      </c>
      <c r="DG2394" s="5" t="s">
        <v>238</v>
      </c>
      <c r="DH2394" s="5" t="s">
        <v>238</v>
      </c>
      <c r="DI2394" s="5" t="s">
        <v>238</v>
      </c>
      <c r="DJ2394" s="5" t="s">
        <v>238</v>
      </c>
      <c r="DN2394" s="5" t="s">
        <v>238</v>
      </c>
      <c r="DO2394" s="5" t="s">
        <v>238</v>
      </c>
      <c r="DP2394" s="5" t="s">
        <v>238</v>
      </c>
      <c r="DQ2394" s="5" t="s">
        <v>238</v>
      </c>
      <c r="DT2394" s="5" t="s">
        <v>275</v>
      </c>
      <c r="DU2394" s="5" t="s">
        <v>1480</v>
      </c>
      <c r="HM2394" s="5" t="s">
        <v>264</v>
      </c>
    </row>
    <row r="2395" spans="1:221" x14ac:dyDescent="0.4">
      <c r="A2395" s="5">
        <v>4099</v>
      </c>
      <c r="B2395" s="5">
        <v>1</v>
      </c>
      <c r="C2395" s="5">
        <v>1</v>
      </c>
      <c r="D2395" s="5" t="s">
        <v>269</v>
      </c>
      <c r="E2395" s="5" t="s">
        <v>271</v>
      </c>
      <c r="F2395" s="5" t="s">
        <v>248</v>
      </c>
      <c r="G2395" s="5" t="s">
        <v>266</v>
      </c>
      <c r="H2395" s="6" t="s">
        <v>1488</v>
      </c>
      <c r="I2395" s="7">
        <f>638</f>
        <v>638</v>
      </c>
      <c r="J2395" s="5" t="s">
        <v>262</v>
      </c>
      <c r="K2395" s="8">
        <f>1</f>
        <v>1</v>
      </c>
      <c r="L2395" s="6" t="s">
        <v>242</v>
      </c>
      <c r="M2395" s="5" t="s">
        <v>267</v>
      </c>
      <c r="N2395" s="5" t="s">
        <v>265</v>
      </c>
      <c r="O2395" s="5" t="s">
        <v>238</v>
      </c>
      <c r="P2395" s="5" t="s">
        <v>238</v>
      </c>
      <c r="Q2395" s="5" t="s">
        <v>268</v>
      </c>
      <c r="R2395" s="5" t="s">
        <v>270</v>
      </c>
      <c r="S2395" s="5" t="s">
        <v>238</v>
      </c>
      <c r="V2395" s="5" t="s">
        <v>238</v>
      </c>
      <c r="X2395" s="6" t="s">
        <v>238</v>
      </c>
      <c r="AA2395" s="6" t="s">
        <v>243</v>
      </c>
      <c r="AB2395" s="5" t="s">
        <v>238</v>
      </c>
      <c r="AC2395" s="5" t="s">
        <v>244</v>
      </c>
      <c r="AD2395" s="5" t="s">
        <v>245</v>
      </c>
      <c r="AT2395" s="5" t="s">
        <v>246</v>
      </c>
      <c r="AU2395" s="5" t="s">
        <v>238</v>
      </c>
      <c r="AV2395" s="5" t="s">
        <v>247</v>
      </c>
      <c r="AW2395" s="5" t="s">
        <v>238</v>
      </c>
      <c r="AX2395" s="5" t="s">
        <v>249</v>
      </c>
      <c r="AY2395" s="5" t="s">
        <v>238</v>
      </c>
      <c r="BA2395" s="5" t="s">
        <v>238</v>
      </c>
      <c r="BC2395" s="5" t="s">
        <v>250</v>
      </c>
      <c r="BD2395" s="6" t="s">
        <v>243</v>
      </c>
      <c r="BE2395" s="5" t="s">
        <v>251</v>
      </c>
      <c r="BF2395" s="5" t="s">
        <v>252</v>
      </c>
      <c r="BG2395" s="5" t="s">
        <v>238</v>
      </c>
      <c r="BH2395" s="7">
        <f>0</f>
        <v>0</v>
      </c>
      <c r="BI2395" s="8">
        <f>0</f>
        <v>0</v>
      </c>
      <c r="BJ2395" s="5" t="s">
        <v>253</v>
      </c>
      <c r="BK2395" s="5" t="s">
        <v>254</v>
      </c>
      <c r="BY2395" s="5" t="s">
        <v>238</v>
      </c>
      <c r="BZ2395" s="5" t="s">
        <v>238</v>
      </c>
      <c r="CD2395" s="5" t="s">
        <v>273</v>
      </c>
      <c r="CE2395" s="5" t="s">
        <v>256</v>
      </c>
      <c r="CF2395" s="5" t="s">
        <v>238</v>
      </c>
      <c r="CI2395" s="6" t="s">
        <v>257</v>
      </c>
      <c r="CJ2395" s="5" t="s">
        <v>238</v>
      </c>
      <c r="CK2395" s="5" t="s">
        <v>258</v>
      </c>
      <c r="CL2395" s="5" t="s">
        <v>238</v>
      </c>
      <c r="CM2395" s="5" t="s">
        <v>238</v>
      </c>
      <c r="CN2395" s="5">
        <v>0</v>
      </c>
      <c r="CO2395" s="5" t="s">
        <v>259</v>
      </c>
      <c r="CP2395" s="5" t="s">
        <v>260</v>
      </c>
      <c r="CQ2395" s="5" t="s">
        <v>260</v>
      </c>
      <c r="CR2395" s="5" t="s">
        <v>261</v>
      </c>
      <c r="CU2395" s="8">
        <f>1</f>
        <v>1</v>
      </c>
      <c r="CV2395" s="8">
        <f>0</f>
        <v>0</v>
      </c>
      <c r="CX2395" s="8">
        <f>0</f>
        <v>0</v>
      </c>
      <c r="CY2395" s="8">
        <f>1</f>
        <v>1</v>
      </c>
      <c r="DA2395" s="5" t="s">
        <v>274</v>
      </c>
      <c r="DB2395" s="5" t="s">
        <v>238</v>
      </c>
      <c r="DD2395" s="5" t="s">
        <v>274</v>
      </c>
      <c r="DE2395" s="8">
        <f>638</f>
        <v>638</v>
      </c>
      <c r="DG2395" s="5" t="s">
        <v>238</v>
      </c>
      <c r="DH2395" s="5" t="s">
        <v>238</v>
      </c>
      <c r="DI2395" s="5" t="s">
        <v>238</v>
      </c>
      <c r="DJ2395" s="5" t="s">
        <v>238</v>
      </c>
      <c r="DN2395" s="5" t="s">
        <v>238</v>
      </c>
      <c r="DO2395" s="5" t="s">
        <v>238</v>
      </c>
      <c r="DP2395" s="5" t="s">
        <v>238</v>
      </c>
      <c r="DQ2395" s="5" t="s">
        <v>238</v>
      </c>
      <c r="DT2395" s="5" t="s">
        <v>275</v>
      </c>
      <c r="DU2395" s="5" t="s">
        <v>1489</v>
      </c>
      <c r="HM2395" s="5" t="s">
        <v>264</v>
      </c>
    </row>
    <row r="2396" spans="1:221" x14ac:dyDescent="0.4">
      <c r="A2396" s="5">
        <v>4100</v>
      </c>
      <c r="B2396" s="5">
        <v>1</v>
      </c>
      <c r="C2396" s="5">
        <v>1</v>
      </c>
      <c r="D2396" s="5" t="s">
        <v>269</v>
      </c>
      <c r="E2396" s="5" t="s">
        <v>271</v>
      </c>
      <c r="F2396" s="5" t="s">
        <v>248</v>
      </c>
      <c r="G2396" s="5" t="s">
        <v>266</v>
      </c>
      <c r="H2396" s="6" t="s">
        <v>1512</v>
      </c>
      <c r="I2396" s="7">
        <f>1464</f>
        <v>1464</v>
      </c>
      <c r="J2396" s="5" t="s">
        <v>262</v>
      </c>
      <c r="K2396" s="8">
        <f>1</f>
        <v>1</v>
      </c>
      <c r="L2396" s="6" t="s">
        <v>242</v>
      </c>
      <c r="M2396" s="5" t="s">
        <v>267</v>
      </c>
      <c r="N2396" s="5" t="s">
        <v>265</v>
      </c>
      <c r="O2396" s="5" t="s">
        <v>238</v>
      </c>
      <c r="P2396" s="5" t="s">
        <v>238</v>
      </c>
      <c r="Q2396" s="5" t="s">
        <v>268</v>
      </c>
      <c r="R2396" s="5" t="s">
        <v>270</v>
      </c>
      <c r="S2396" s="5" t="s">
        <v>238</v>
      </c>
      <c r="V2396" s="5" t="s">
        <v>238</v>
      </c>
      <c r="X2396" s="6" t="s">
        <v>238</v>
      </c>
      <c r="AA2396" s="6" t="s">
        <v>243</v>
      </c>
      <c r="AB2396" s="5" t="s">
        <v>238</v>
      </c>
      <c r="AC2396" s="5" t="s">
        <v>244</v>
      </c>
      <c r="AD2396" s="5" t="s">
        <v>245</v>
      </c>
      <c r="AT2396" s="5" t="s">
        <v>246</v>
      </c>
      <c r="AU2396" s="5" t="s">
        <v>238</v>
      </c>
      <c r="AV2396" s="5" t="s">
        <v>247</v>
      </c>
      <c r="AW2396" s="5" t="s">
        <v>238</v>
      </c>
      <c r="AX2396" s="5" t="s">
        <v>249</v>
      </c>
      <c r="AY2396" s="5" t="s">
        <v>238</v>
      </c>
      <c r="BA2396" s="5" t="s">
        <v>238</v>
      </c>
      <c r="BC2396" s="5" t="s">
        <v>250</v>
      </c>
      <c r="BD2396" s="6" t="s">
        <v>243</v>
      </c>
      <c r="BE2396" s="5" t="s">
        <v>251</v>
      </c>
      <c r="BF2396" s="5" t="s">
        <v>252</v>
      </c>
      <c r="BG2396" s="5" t="s">
        <v>238</v>
      </c>
      <c r="BH2396" s="7">
        <f>0</f>
        <v>0</v>
      </c>
      <c r="BI2396" s="8">
        <f>0</f>
        <v>0</v>
      </c>
      <c r="BJ2396" s="5" t="s">
        <v>253</v>
      </c>
      <c r="BK2396" s="5" t="s">
        <v>254</v>
      </c>
      <c r="BY2396" s="5" t="s">
        <v>238</v>
      </c>
      <c r="BZ2396" s="5" t="s">
        <v>238</v>
      </c>
      <c r="CD2396" s="5" t="s">
        <v>273</v>
      </c>
      <c r="CE2396" s="5" t="s">
        <v>256</v>
      </c>
      <c r="CF2396" s="5" t="s">
        <v>238</v>
      </c>
      <c r="CI2396" s="6" t="s">
        <v>257</v>
      </c>
      <c r="CJ2396" s="5" t="s">
        <v>238</v>
      </c>
      <c r="CK2396" s="5" t="s">
        <v>258</v>
      </c>
      <c r="CL2396" s="5" t="s">
        <v>238</v>
      </c>
      <c r="CM2396" s="5" t="s">
        <v>238</v>
      </c>
      <c r="CN2396" s="5">
        <v>0</v>
      </c>
      <c r="CO2396" s="5" t="s">
        <v>259</v>
      </c>
      <c r="CP2396" s="5" t="s">
        <v>260</v>
      </c>
      <c r="CQ2396" s="5" t="s">
        <v>260</v>
      </c>
      <c r="CR2396" s="5" t="s">
        <v>261</v>
      </c>
      <c r="CU2396" s="8">
        <f>1</f>
        <v>1</v>
      </c>
      <c r="CV2396" s="8">
        <f>0</f>
        <v>0</v>
      </c>
      <c r="CX2396" s="8">
        <f>0</f>
        <v>0</v>
      </c>
      <c r="CY2396" s="8">
        <f>1</f>
        <v>1</v>
      </c>
      <c r="DA2396" s="5" t="s">
        <v>274</v>
      </c>
      <c r="DB2396" s="5" t="s">
        <v>238</v>
      </c>
      <c r="DD2396" s="5" t="s">
        <v>274</v>
      </c>
      <c r="DE2396" s="8">
        <f>1464</f>
        <v>1464</v>
      </c>
      <c r="DG2396" s="5" t="s">
        <v>238</v>
      </c>
      <c r="DH2396" s="5" t="s">
        <v>238</v>
      </c>
      <c r="DI2396" s="5" t="s">
        <v>238</v>
      </c>
      <c r="DJ2396" s="5" t="s">
        <v>238</v>
      </c>
      <c r="DN2396" s="5" t="s">
        <v>238</v>
      </c>
      <c r="DO2396" s="5" t="s">
        <v>238</v>
      </c>
      <c r="DP2396" s="5" t="s">
        <v>238</v>
      </c>
      <c r="DQ2396" s="5" t="s">
        <v>238</v>
      </c>
      <c r="DT2396" s="5" t="s">
        <v>275</v>
      </c>
      <c r="DU2396" s="5" t="s">
        <v>1513</v>
      </c>
      <c r="HM2396" s="5" t="s">
        <v>264</v>
      </c>
    </row>
    <row r="2397" spans="1:221" x14ac:dyDescent="0.4">
      <c r="A2397" s="5">
        <v>4101</v>
      </c>
      <c r="B2397" s="5">
        <v>1</v>
      </c>
      <c r="C2397" s="5">
        <v>1</v>
      </c>
      <c r="D2397" s="5" t="s">
        <v>269</v>
      </c>
      <c r="E2397" s="5" t="s">
        <v>271</v>
      </c>
      <c r="F2397" s="5" t="s">
        <v>248</v>
      </c>
      <c r="G2397" s="5" t="s">
        <v>266</v>
      </c>
      <c r="H2397" s="6" t="s">
        <v>1536</v>
      </c>
      <c r="I2397" s="7">
        <f>750</f>
        <v>750</v>
      </c>
      <c r="J2397" s="5" t="s">
        <v>262</v>
      </c>
      <c r="K2397" s="8">
        <f>1</f>
        <v>1</v>
      </c>
      <c r="L2397" s="6" t="s">
        <v>242</v>
      </c>
      <c r="M2397" s="5" t="s">
        <v>267</v>
      </c>
      <c r="N2397" s="5" t="s">
        <v>265</v>
      </c>
      <c r="O2397" s="5" t="s">
        <v>238</v>
      </c>
      <c r="P2397" s="5" t="s">
        <v>238</v>
      </c>
      <c r="Q2397" s="5" t="s">
        <v>268</v>
      </c>
      <c r="R2397" s="5" t="s">
        <v>270</v>
      </c>
      <c r="S2397" s="5" t="s">
        <v>238</v>
      </c>
      <c r="V2397" s="5" t="s">
        <v>238</v>
      </c>
      <c r="X2397" s="6" t="s">
        <v>238</v>
      </c>
      <c r="AA2397" s="6" t="s">
        <v>243</v>
      </c>
      <c r="AB2397" s="5" t="s">
        <v>238</v>
      </c>
      <c r="AC2397" s="5" t="s">
        <v>244</v>
      </c>
      <c r="AD2397" s="5" t="s">
        <v>245</v>
      </c>
      <c r="AT2397" s="5" t="s">
        <v>246</v>
      </c>
      <c r="AU2397" s="5" t="s">
        <v>238</v>
      </c>
      <c r="AV2397" s="5" t="s">
        <v>247</v>
      </c>
      <c r="AW2397" s="5" t="s">
        <v>238</v>
      </c>
      <c r="AX2397" s="5" t="s">
        <v>249</v>
      </c>
      <c r="AY2397" s="5" t="s">
        <v>238</v>
      </c>
      <c r="BA2397" s="5" t="s">
        <v>238</v>
      </c>
      <c r="BC2397" s="5" t="s">
        <v>250</v>
      </c>
      <c r="BD2397" s="6" t="s">
        <v>243</v>
      </c>
      <c r="BE2397" s="5" t="s">
        <v>251</v>
      </c>
      <c r="BF2397" s="5" t="s">
        <v>252</v>
      </c>
      <c r="BG2397" s="5" t="s">
        <v>238</v>
      </c>
      <c r="BH2397" s="7">
        <f>0</f>
        <v>0</v>
      </c>
      <c r="BI2397" s="8">
        <f>0</f>
        <v>0</v>
      </c>
      <c r="BJ2397" s="5" t="s">
        <v>253</v>
      </c>
      <c r="BK2397" s="5" t="s">
        <v>254</v>
      </c>
      <c r="BY2397" s="5" t="s">
        <v>238</v>
      </c>
      <c r="BZ2397" s="5" t="s">
        <v>238</v>
      </c>
      <c r="CD2397" s="5" t="s">
        <v>273</v>
      </c>
      <c r="CE2397" s="5" t="s">
        <v>256</v>
      </c>
      <c r="CF2397" s="5" t="s">
        <v>238</v>
      </c>
      <c r="CI2397" s="6" t="s">
        <v>257</v>
      </c>
      <c r="CJ2397" s="5" t="s">
        <v>238</v>
      </c>
      <c r="CK2397" s="5" t="s">
        <v>258</v>
      </c>
      <c r="CL2397" s="5" t="s">
        <v>238</v>
      </c>
      <c r="CM2397" s="5" t="s">
        <v>238</v>
      </c>
      <c r="CN2397" s="5">
        <v>0</v>
      </c>
      <c r="CO2397" s="5" t="s">
        <v>259</v>
      </c>
      <c r="CP2397" s="5" t="s">
        <v>260</v>
      </c>
      <c r="CQ2397" s="5" t="s">
        <v>260</v>
      </c>
      <c r="CR2397" s="5" t="s">
        <v>261</v>
      </c>
      <c r="CU2397" s="8">
        <f>1</f>
        <v>1</v>
      </c>
      <c r="CV2397" s="8">
        <f>0</f>
        <v>0</v>
      </c>
      <c r="CX2397" s="8">
        <f>0</f>
        <v>0</v>
      </c>
      <c r="CY2397" s="8">
        <f>1</f>
        <v>1</v>
      </c>
      <c r="DA2397" s="5" t="s">
        <v>274</v>
      </c>
      <c r="DB2397" s="5" t="s">
        <v>238</v>
      </c>
      <c r="DD2397" s="5" t="s">
        <v>274</v>
      </c>
      <c r="DE2397" s="8">
        <f>750</f>
        <v>750</v>
      </c>
      <c r="DG2397" s="5" t="s">
        <v>238</v>
      </c>
      <c r="DH2397" s="5" t="s">
        <v>238</v>
      </c>
      <c r="DI2397" s="5" t="s">
        <v>238</v>
      </c>
      <c r="DJ2397" s="5" t="s">
        <v>238</v>
      </c>
      <c r="DN2397" s="5" t="s">
        <v>238</v>
      </c>
      <c r="DO2397" s="5" t="s">
        <v>238</v>
      </c>
      <c r="DP2397" s="5" t="s">
        <v>238</v>
      </c>
      <c r="DQ2397" s="5" t="s">
        <v>238</v>
      </c>
      <c r="DT2397" s="5" t="s">
        <v>275</v>
      </c>
      <c r="DU2397" s="5" t="s">
        <v>1537</v>
      </c>
      <c r="HM2397" s="5" t="s">
        <v>264</v>
      </c>
    </row>
    <row r="2398" spans="1:221" x14ac:dyDescent="0.4">
      <c r="A2398" s="5">
        <v>4102</v>
      </c>
      <c r="B2398" s="5">
        <v>1</v>
      </c>
      <c r="C2398" s="5">
        <v>1</v>
      </c>
      <c r="D2398" s="5" t="s">
        <v>269</v>
      </c>
      <c r="E2398" s="5" t="s">
        <v>271</v>
      </c>
      <c r="F2398" s="5" t="s">
        <v>248</v>
      </c>
      <c r="G2398" s="5" t="s">
        <v>266</v>
      </c>
      <c r="H2398" s="6" t="s">
        <v>1575</v>
      </c>
      <c r="I2398" s="7">
        <f>868</f>
        <v>868</v>
      </c>
      <c r="J2398" s="5" t="s">
        <v>262</v>
      </c>
      <c r="K2398" s="8">
        <f>1</f>
        <v>1</v>
      </c>
      <c r="L2398" s="6" t="s">
        <v>242</v>
      </c>
      <c r="M2398" s="5" t="s">
        <v>267</v>
      </c>
      <c r="N2398" s="5" t="s">
        <v>265</v>
      </c>
      <c r="O2398" s="5" t="s">
        <v>238</v>
      </c>
      <c r="P2398" s="5" t="s">
        <v>238</v>
      </c>
      <c r="Q2398" s="5" t="s">
        <v>268</v>
      </c>
      <c r="R2398" s="5" t="s">
        <v>270</v>
      </c>
      <c r="S2398" s="5" t="s">
        <v>238</v>
      </c>
      <c r="V2398" s="5" t="s">
        <v>238</v>
      </c>
      <c r="X2398" s="6" t="s">
        <v>238</v>
      </c>
      <c r="AA2398" s="6" t="s">
        <v>243</v>
      </c>
      <c r="AB2398" s="5" t="s">
        <v>238</v>
      </c>
      <c r="AC2398" s="5" t="s">
        <v>244</v>
      </c>
      <c r="AD2398" s="5" t="s">
        <v>245</v>
      </c>
      <c r="AT2398" s="5" t="s">
        <v>246</v>
      </c>
      <c r="AU2398" s="5" t="s">
        <v>238</v>
      </c>
      <c r="AV2398" s="5" t="s">
        <v>247</v>
      </c>
      <c r="AW2398" s="5" t="s">
        <v>238</v>
      </c>
      <c r="AX2398" s="5" t="s">
        <v>249</v>
      </c>
      <c r="AY2398" s="5" t="s">
        <v>238</v>
      </c>
      <c r="BA2398" s="5" t="s">
        <v>238</v>
      </c>
      <c r="BC2398" s="5" t="s">
        <v>250</v>
      </c>
      <c r="BD2398" s="6" t="s">
        <v>243</v>
      </c>
      <c r="BE2398" s="5" t="s">
        <v>251</v>
      </c>
      <c r="BF2398" s="5" t="s">
        <v>252</v>
      </c>
      <c r="BG2398" s="5" t="s">
        <v>238</v>
      </c>
      <c r="BH2398" s="7">
        <f>0</f>
        <v>0</v>
      </c>
      <c r="BI2398" s="8">
        <f>0</f>
        <v>0</v>
      </c>
      <c r="BJ2398" s="5" t="s">
        <v>253</v>
      </c>
      <c r="BK2398" s="5" t="s">
        <v>254</v>
      </c>
      <c r="BY2398" s="5" t="s">
        <v>238</v>
      </c>
      <c r="BZ2398" s="5" t="s">
        <v>238</v>
      </c>
      <c r="CD2398" s="5" t="s">
        <v>273</v>
      </c>
      <c r="CE2398" s="5" t="s">
        <v>256</v>
      </c>
      <c r="CF2398" s="5" t="s">
        <v>238</v>
      </c>
      <c r="CI2398" s="6" t="s">
        <v>257</v>
      </c>
      <c r="CJ2398" s="5" t="s">
        <v>238</v>
      </c>
      <c r="CK2398" s="5" t="s">
        <v>258</v>
      </c>
      <c r="CL2398" s="5" t="s">
        <v>238</v>
      </c>
      <c r="CM2398" s="5" t="s">
        <v>238</v>
      </c>
      <c r="CN2398" s="5">
        <v>0</v>
      </c>
      <c r="CO2398" s="5" t="s">
        <v>259</v>
      </c>
      <c r="CP2398" s="5" t="s">
        <v>260</v>
      </c>
      <c r="CQ2398" s="5" t="s">
        <v>260</v>
      </c>
      <c r="CR2398" s="5" t="s">
        <v>261</v>
      </c>
      <c r="CU2398" s="8">
        <f>1</f>
        <v>1</v>
      </c>
      <c r="CV2398" s="8">
        <f>0</f>
        <v>0</v>
      </c>
      <c r="CX2398" s="8">
        <f>0</f>
        <v>0</v>
      </c>
      <c r="CY2398" s="8">
        <f>1</f>
        <v>1</v>
      </c>
      <c r="DA2398" s="5" t="s">
        <v>274</v>
      </c>
      <c r="DB2398" s="5" t="s">
        <v>238</v>
      </c>
      <c r="DD2398" s="5" t="s">
        <v>274</v>
      </c>
      <c r="DE2398" s="8">
        <f>868</f>
        <v>868</v>
      </c>
      <c r="DG2398" s="5" t="s">
        <v>238</v>
      </c>
      <c r="DH2398" s="5" t="s">
        <v>238</v>
      </c>
      <c r="DI2398" s="5" t="s">
        <v>238</v>
      </c>
      <c r="DJ2398" s="5" t="s">
        <v>238</v>
      </c>
      <c r="DN2398" s="5" t="s">
        <v>238</v>
      </c>
      <c r="DO2398" s="5" t="s">
        <v>238</v>
      </c>
      <c r="DP2398" s="5" t="s">
        <v>238</v>
      </c>
      <c r="DQ2398" s="5" t="s">
        <v>238</v>
      </c>
      <c r="DT2398" s="5" t="s">
        <v>275</v>
      </c>
      <c r="DU2398" s="5" t="s">
        <v>1576</v>
      </c>
      <c r="HM2398" s="5" t="s">
        <v>264</v>
      </c>
    </row>
    <row r="2399" spans="1:221" x14ac:dyDescent="0.4">
      <c r="A2399" s="5">
        <v>4103</v>
      </c>
      <c r="B2399" s="5">
        <v>1</v>
      </c>
      <c r="C2399" s="5">
        <v>1</v>
      </c>
      <c r="D2399" s="5" t="s">
        <v>269</v>
      </c>
      <c r="E2399" s="5" t="s">
        <v>271</v>
      </c>
      <c r="F2399" s="5" t="s">
        <v>248</v>
      </c>
      <c r="G2399" s="5" t="s">
        <v>266</v>
      </c>
      <c r="H2399" s="6" t="s">
        <v>1599</v>
      </c>
      <c r="I2399" s="7">
        <f>1006</f>
        <v>1006</v>
      </c>
      <c r="J2399" s="5" t="s">
        <v>262</v>
      </c>
      <c r="K2399" s="8">
        <f>1</f>
        <v>1</v>
      </c>
      <c r="L2399" s="6" t="s">
        <v>242</v>
      </c>
      <c r="M2399" s="5" t="s">
        <v>267</v>
      </c>
      <c r="N2399" s="5" t="s">
        <v>265</v>
      </c>
      <c r="O2399" s="5" t="s">
        <v>238</v>
      </c>
      <c r="P2399" s="5" t="s">
        <v>238</v>
      </c>
      <c r="Q2399" s="5" t="s">
        <v>268</v>
      </c>
      <c r="R2399" s="5" t="s">
        <v>270</v>
      </c>
      <c r="S2399" s="5" t="s">
        <v>238</v>
      </c>
      <c r="V2399" s="5" t="s">
        <v>238</v>
      </c>
      <c r="X2399" s="6" t="s">
        <v>238</v>
      </c>
      <c r="AA2399" s="6" t="s">
        <v>243</v>
      </c>
      <c r="AB2399" s="5" t="s">
        <v>238</v>
      </c>
      <c r="AC2399" s="5" t="s">
        <v>244</v>
      </c>
      <c r="AD2399" s="5" t="s">
        <v>245</v>
      </c>
      <c r="AT2399" s="5" t="s">
        <v>246</v>
      </c>
      <c r="AU2399" s="5" t="s">
        <v>238</v>
      </c>
      <c r="AV2399" s="5" t="s">
        <v>247</v>
      </c>
      <c r="AW2399" s="5" t="s">
        <v>238</v>
      </c>
      <c r="AX2399" s="5" t="s">
        <v>249</v>
      </c>
      <c r="AY2399" s="5" t="s">
        <v>238</v>
      </c>
      <c r="BA2399" s="5" t="s">
        <v>238</v>
      </c>
      <c r="BC2399" s="5" t="s">
        <v>250</v>
      </c>
      <c r="BD2399" s="6" t="s">
        <v>243</v>
      </c>
      <c r="BE2399" s="5" t="s">
        <v>251</v>
      </c>
      <c r="BF2399" s="5" t="s">
        <v>252</v>
      </c>
      <c r="BG2399" s="5" t="s">
        <v>238</v>
      </c>
      <c r="BH2399" s="7">
        <f>0</f>
        <v>0</v>
      </c>
      <c r="BI2399" s="8">
        <f>0</f>
        <v>0</v>
      </c>
      <c r="BJ2399" s="5" t="s">
        <v>253</v>
      </c>
      <c r="BK2399" s="5" t="s">
        <v>254</v>
      </c>
      <c r="BY2399" s="5" t="s">
        <v>238</v>
      </c>
      <c r="BZ2399" s="5" t="s">
        <v>238</v>
      </c>
      <c r="CD2399" s="5" t="s">
        <v>273</v>
      </c>
      <c r="CE2399" s="5" t="s">
        <v>256</v>
      </c>
      <c r="CF2399" s="5" t="s">
        <v>238</v>
      </c>
      <c r="CI2399" s="6" t="s">
        <v>257</v>
      </c>
      <c r="CJ2399" s="5" t="s">
        <v>238</v>
      </c>
      <c r="CK2399" s="5" t="s">
        <v>258</v>
      </c>
      <c r="CL2399" s="5" t="s">
        <v>238</v>
      </c>
      <c r="CM2399" s="5" t="s">
        <v>238</v>
      </c>
      <c r="CN2399" s="5">
        <v>0</v>
      </c>
      <c r="CO2399" s="5" t="s">
        <v>259</v>
      </c>
      <c r="CP2399" s="5" t="s">
        <v>260</v>
      </c>
      <c r="CQ2399" s="5" t="s">
        <v>260</v>
      </c>
      <c r="CR2399" s="5" t="s">
        <v>261</v>
      </c>
      <c r="CU2399" s="8">
        <f>1</f>
        <v>1</v>
      </c>
      <c r="CV2399" s="8">
        <f>0</f>
        <v>0</v>
      </c>
      <c r="CX2399" s="8">
        <f>0</f>
        <v>0</v>
      </c>
      <c r="CY2399" s="8">
        <f>1</f>
        <v>1</v>
      </c>
      <c r="DA2399" s="5" t="s">
        <v>274</v>
      </c>
      <c r="DB2399" s="5" t="s">
        <v>238</v>
      </c>
      <c r="DD2399" s="5" t="s">
        <v>274</v>
      </c>
      <c r="DE2399" s="8">
        <f>1006</f>
        <v>1006</v>
      </c>
      <c r="DG2399" s="5" t="s">
        <v>238</v>
      </c>
      <c r="DH2399" s="5" t="s">
        <v>238</v>
      </c>
      <c r="DI2399" s="5" t="s">
        <v>238</v>
      </c>
      <c r="DJ2399" s="5" t="s">
        <v>238</v>
      </c>
      <c r="DN2399" s="5" t="s">
        <v>238</v>
      </c>
      <c r="DO2399" s="5" t="s">
        <v>238</v>
      </c>
      <c r="DP2399" s="5" t="s">
        <v>238</v>
      </c>
      <c r="DQ2399" s="5" t="s">
        <v>238</v>
      </c>
      <c r="DT2399" s="5" t="s">
        <v>275</v>
      </c>
      <c r="DU2399" s="5" t="s">
        <v>1600</v>
      </c>
      <c r="HM2399" s="5" t="s">
        <v>264</v>
      </c>
    </row>
    <row r="2400" spans="1:221" x14ac:dyDescent="0.4">
      <c r="A2400" s="5">
        <v>4104</v>
      </c>
      <c r="B2400" s="5">
        <v>1</v>
      </c>
      <c r="C2400" s="5">
        <v>1</v>
      </c>
      <c r="D2400" s="5" t="s">
        <v>269</v>
      </c>
      <c r="E2400" s="5" t="s">
        <v>271</v>
      </c>
      <c r="F2400" s="5" t="s">
        <v>248</v>
      </c>
      <c r="G2400" s="5" t="s">
        <v>266</v>
      </c>
      <c r="H2400" s="6" t="s">
        <v>1627</v>
      </c>
      <c r="I2400" s="7">
        <f>20</f>
        <v>20</v>
      </c>
      <c r="J2400" s="5" t="s">
        <v>262</v>
      </c>
      <c r="K2400" s="8">
        <f>1</f>
        <v>1</v>
      </c>
      <c r="L2400" s="6" t="s">
        <v>242</v>
      </c>
      <c r="M2400" s="5" t="s">
        <v>267</v>
      </c>
      <c r="N2400" s="5" t="s">
        <v>265</v>
      </c>
      <c r="O2400" s="5" t="s">
        <v>238</v>
      </c>
      <c r="P2400" s="5" t="s">
        <v>238</v>
      </c>
      <c r="Q2400" s="5" t="s">
        <v>268</v>
      </c>
      <c r="R2400" s="5" t="s">
        <v>270</v>
      </c>
      <c r="S2400" s="5" t="s">
        <v>238</v>
      </c>
      <c r="V2400" s="5" t="s">
        <v>238</v>
      </c>
      <c r="X2400" s="6" t="s">
        <v>238</v>
      </c>
      <c r="AA2400" s="6" t="s">
        <v>243</v>
      </c>
      <c r="AB2400" s="5" t="s">
        <v>238</v>
      </c>
      <c r="AC2400" s="5" t="s">
        <v>244</v>
      </c>
      <c r="AD2400" s="5" t="s">
        <v>245</v>
      </c>
      <c r="AT2400" s="5" t="s">
        <v>246</v>
      </c>
      <c r="AU2400" s="5" t="s">
        <v>238</v>
      </c>
      <c r="AV2400" s="5" t="s">
        <v>247</v>
      </c>
      <c r="AW2400" s="5" t="s">
        <v>238</v>
      </c>
      <c r="AX2400" s="5" t="s">
        <v>249</v>
      </c>
      <c r="AY2400" s="5" t="s">
        <v>238</v>
      </c>
      <c r="BA2400" s="5" t="s">
        <v>238</v>
      </c>
      <c r="BC2400" s="5" t="s">
        <v>250</v>
      </c>
      <c r="BD2400" s="6" t="s">
        <v>243</v>
      </c>
      <c r="BE2400" s="5" t="s">
        <v>251</v>
      </c>
      <c r="BF2400" s="5" t="s">
        <v>252</v>
      </c>
      <c r="BG2400" s="5" t="s">
        <v>238</v>
      </c>
      <c r="BH2400" s="7">
        <f>0</f>
        <v>0</v>
      </c>
      <c r="BI2400" s="8">
        <f>0</f>
        <v>0</v>
      </c>
      <c r="BJ2400" s="5" t="s">
        <v>253</v>
      </c>
      <c r="BK2400" s="5" t="s">
        <v>254</v>
      </c>
      <c r="BY2400" s="5" t="s">
        <v>238</v>
      </c>
      <c r="BZ2400" s="5" t="s">
        <v>238</v>
      </c>
      <c r="CD2400" s="5" t="s">
        <v>273</v>
      </c>
      <c r="CE2400" s="5" t="s">
        <v>256</v>
      </c>
      <c r="CF2400" s="5" t="s">
        <v>238</v>
      </c>
      <c r="CI2400" s="6" t="s">
        <v>257</v>
      </c>
      <c r="CJ2400" s="5" t="s">
        <v>238</v>
      </c>
      <c r="CK2400" s="5" t="s">
        <v>258</v>
      </c>
      <c r="CL2400" s="5" t="s">
        <v>238</v>
      </c>
      <c r="CM2400" s="5" t="s">
        <v>238</v>
      </c>
      <c r="CN2400" s="5">
        <v>0</v>
      </c>
      <c r="CO2400" s="5" t="s">
        <v>259</v>
      </c>
      <c r="CP2400" s="5" t="s">
        <v>260</v>
      </c>
      <c r="CQ2400" s="5" t="s">
        <v>260</v>
      </c>
      <c r="CR2400" s="5" t="s">
        <v>261</v>
      </c>
      <c r="CU2400" s="8">
        <f>1</f>
        <v>1</v>
      </c>
      <c r="CV2400" s="8">
        <f>0</f>
        <v>0</v>
      </c>
      <c r="CX2400" s="8">
        <f>0</f>
        <v>0</v>
      </c>
      <c r="CY2400" s="8">
        <f>1</f>
        <v>1</v>
      </c>
      <c r="DA2400" s="5" t="s">
        <v>274</v>
      </c>
      <c r="DB2400" s="5" t="s">
        <v>238</v>
      </c>
      <c r="DD2400" s="5" t="s">
        <v>274</v>
      </c>
      <c r="DE2400" s="8">
        <f>20</f>
        <v>20</v>
      </c>
      <c r="DG2400" s="5" t="s">
        <v>238</v>
      </c>
      <c r="DH2400" s="5" t="s">
        <v>238</v>
      </c>
      <c r="DI2400" s="5" t="s">
        <v>238</v>
      </c>
      <c r="DJ2400" s="5" t="s">
        <v>238</v>
      </c>
      <c r="DN2400" s="5" t="s">
        <v>238</v>
      </c>
      <c r="DO2400" s="5" t="s">
        <v>238</v>
      </c>
      <c r="DP2400" s="5" t="s">
        <v>238</v>
      </c>
      <c r="DQ2400" s="5" t="s">
        <v>238</v>
      </c>
      <c r="DT2400" s="5" t="s">
        <v>275</v>
      </c>
      <c r="DU2400" s="5" t="s">
        <v>1628</v>
      </c>
      <c r="HM2400" s="5" t="s">
        <v>264</v>
      </c>
    </row>
    <row r="2401" spans="1:221" x14ac:dyDescent="0.4">
      <c r="A2401" s="5">
        <v>4105</v>
      </c>
      <c r="B2401" s="5">
        <v>1</v>
      </c>
      <c r="C2401" s="5">
        <v>1</v>
      </c>
      <c r="D2401" s="5" t="s">
        <v>269</v>
      </c>
      <c r="E2401" s="5" t="s">
        <v>271</v>
      </c>
      <c r="F2401" s="5" t="s">
        <v>248</v>
      </c>
      <c r="G2401" s="5" t="s">
        <v>266</v>
      </c>
      <c r="H2401" s="6" t="s">
        <v>1639</v>
      </c>
      <c r="I2401" s="7">
        <f>107</f>
        <v>107</v>
      </c>
      <c r="J2401" s="5" t="s">
        <v>262</v>
      </c>
      <c r="K2401" s="8">
        <f>1</f>
        <v>1</v>
      </c>
      <c r="L2401" s="6" t="s">
        <v>242</v>
      </c>
      <c r="M2401" s="5" t="s">
        <v>267</v>
      </c>
      <c r="N2401" s="5" t="s">
        <v>265</v>
      </c>
      <c r="O2401" s="5" t="s">
        <v>238</v>
      </c>
      <c r="P2401" s="5" t="s">
        <v>238</v>
      </c>
      <c r="Q2401" s="5" t="s">
        <v>268</v>
      </c>
      <c r="R2401" s="5" t="s">
        <v>270</v>
      </c>
      <c r="S2401" s="5" t="s">
        <v>238</v>
      </c>
      <c r="V2401" s="5" t="s">
        <v>238</v>
      </c>
      <c r="X2401" s="6" t="s">
        <v>238</v>
      </c>
      <c r="AA2401" s="6" t="s">
        <v>243</v>
      </c>
      <c r="AB2401" s="5" t="s">
        <v>238</v>
      </c>
      <c r="AC2401" s="5" t="s">
        <v>244</v>
      </c>
      <c r="AD2401" s="5" t="s">
        <v>245</v>
      </c>
      <c r="AT2401" s="5" t="s">
        <v>246</v>
      </c>
      <c r="AU2401" s="5" t="s">
        <v>238</v>
      </c>
      <c r="AV2401" s="5" t="s">
        <v>247</v>
      </c>
      <c r="AW2401" s="5" t="s">
        <v>238</v>
      </c>
      <c r="AX2401" s="5" t="s">
        <v>249</v>
      </c>
      <c r="AY2401" s="5" t="s">
        <v>238</v>
      </c>
      <c r="BA2401" s="5" t="s">
        <v>238</v>
      </c>
      <c r="BC2401" s="5" t="s">
        <v>250</v>
      </c>
      <c r="BD2401" s="6" t="s">
        <v>243</v>
      </c>
      <c r="BE2401" s="5" t="s">
        <v>251</v>
      </c>
      <c r="BF2401" s="5" t="s">
        <v>252</v>
      </c>
      <c r="BG2401" s="5" t="s">
        <v>238</v>
      </c>
      <c r="BH2401" s="7">
        <f>0</f>
        <v>0</v>
      </c>
      <c r="BI2401" s="8">
        <f>0</f>
        <v>0</v>
      </c>
      <c r="BJ2401" s="5" t="s">
        <v>253</v>
      </c>
      <c r="BK2401" s="5" t="s">
        <v>254</v>
      </c>
      <c r="BY2401" s="5" t="s">
        <v>238</v>
      </c>
      <c r="BZ2401" s="5" t="s">
        <v>238</v>
      </c>
      <c r="CD2401" s="5" t="s">
        <v>273</v>
      </c>
      <c r="CE2401" s="5" t="s">
        <v>256</v>
      </c>
      <c r="CF2401" s="5" t="s">
        <v>238</v>
      </c>
      <c r="CI2401" s="6" t="s">
        <v>257</v>
      </c>
      <c r="CJ2401" s="5" t="s">
        <v>238</v>
      </c>
      <c r="CK2401" s="5" t="s">
        <v>258</v>
      </c>
      <c r="CL2401" s="5" t="s">
        <v>238</v>
      </c>
      <c r="CM2401" s="5" t="s">
        <v>238</v>
      </c>
      <c r="CN2401" s="5">
        <v>0</v>
      </c>
      <c r="CO2401" s="5" t="s">
        <v>259</v>
      </c>
      <c r="CP2401" s="5" t="s">
        <v>260</v>
      </c>
      <c r="CQ2401" s="5" t="s">
        <v>260</v>
      </c>
      <c r="CR2401" s="5" t="s">
        <v>261</v>
      </c>
      <c r="CU2401" s="8">
        <f>1</f>
        <v>1</v>
      </c>
      <c r="CV2401" s="8">
        <f>0</f>
        <v>0</v>
      </c>
      <c r="CX2401" s="8">
        <f>0</f>
        <v>0</v>
      </c>
      <c r="CY2401" s="8">
        <f>1</f>
        <v>1</v>
      </c>
      <c r="DA2401" s="5" t="s">
        <v>274</v>
      </c>
      <c r="DB2401" s="5" t="s">
        <v>238</v>
      </c>
      <c r="DD2401" s="5" t="s">
        <v>274</v>
      </c>
      <c r="DE2401" s="8">
        <f>107</f>
        <v>107</v>
      </c>
      <c r="DG2401" s="5" t="s">
        <v>238</v>
      </c>
      <c r="DH2401" s="5" t="s">
        <v>238</v>
      </c>
      <c r="DI2401" s="5" t="s">
        <v>238</v>
      </c>
      <c r="DJ2401" s="5" t="s">
        <v>238</v>
      </c>
      <c r="DN2401" s="5" t="s">
        <v>238</v>
      </c>
      <c r="DO2401" s="5" t="s">
        <v>238</v>
      </c>
      <c r="DP2401" s="5" t="s">
        <v>238</v>
      </c>
      <c r="DQ2401" s="5" t="s">
        <v>238</v>
      </c>
      <c r="DT2401" s="5" t="s">
        <v>275</v>
      </c>
      <c r="DU2401" s="5" t="s">
        <v>1640</v>
      </c>
      <c r="HM2401" s="5" t="s">
        <v>264</v>
      </c>
    </row>
    <row r="2402" spans="1:221" x14ac:dyDescent="0.4">
      <c r="A2402" s="5">
        <v>4106</v>
      </c>
      <c r="B2402" s="5">
        <v>1</v>
      </c>
      <c r="C2402" s="5">
        <v>1</v>
      </c>
      <c r="D2402" s="5" t="s">
        <v>269</v>
      </c>
      <c r="E2402" s="5" t="s">
        <v>271</v>
      </c>
      <c r="F2402" s="5" t="s">
        <v>248</v>
      </c>
      <c r="G2402" s="5" t="s">
        <v>266</v>
      </c>
      <c r="H2402" s="6" t="s">
        <v>1721</v>
      </c>
      <c r="I2402" s="7">
        <f>957</f>
        <v>957</v>
      </c>
      <c r="J2402" s="5" t="s">
        <v>262</v>
      </c>
      <c r="K2402" s="8">
        <f>1</f>
        <v>1</v>
      </c>
      <c r="L2402" s="6" t="s">
        <v>242</v>
      </c>
      <c r="M2402" s="5" t="s">
        <v>267</v>
      </c>
      <c r="N2402" s="5" t="s">
        <v>265</v>
      </c>
      <c r="O2402" s="5" t="s">
        <v>238</v>
      </c>
      <c r="P2402" s="5" t="s">
        <v>238</v>
      </c>
      <c r="Q2402" s="5" t="s">
        <v>268</v>
      </c>
      <c r="R2402" s="5" t="s">
        <v>270</v>
      </c>
      <c r="S2402" s="5" t="s">
        <v>238</v>
      </c>
      <c r="V2402" s="5" t="s">
        <v>238</v>
      </c>
      <c r="X2402" s="6" t="s">
        <v>238</v>
      </c>
      <c r="AA2402" s="6" t="s">
        <v>243</v>
      </c>
      <c r="AB2402" s="5" t="s">
        <v>238</v>
      </c>
      <c r="AC2402" s="5" t="s">
        <v>244</v>
      </c>
      <c r="AD2402" s="5" t="s">
        <v>245</v>
      </c>
      <c r="AT2402" s="5" t="s">
        <v>246</v>
      </c>
      <c r="AU2402" s="5" t="s">
        <v>238</v>
      </c>
      <c r="AV2402" s="5" t="s">
        <v>247</v>
      </c>
      <c r="AW2402" s="5" t="s">
        <v>238</v>
      </c>
      <c r="AX2402" s="5" t="s">
        <v>249</v>
      </c>
      <c r="AY2402" s="5" t="s">
        <v>238</v>
      </c>
      <c r="BA2402" s="5" t="s">
        <v>238</v>
      </c>
      <c r="BC2402" s="5" t="s">
        <v>250</v>
      </c>
      <c r="BD2402" s="6" t="s">
        <v>243</v>
      </c>
      <c r="BE2402" s="5" t="s">
        <v>251</v>
      </c>
      <c r="BF2402" s="5" t="s">
        <v>252</v>
      </c>
      <c r="BG2402" s="5" t="s">
        <v>238</v>
      </c>
      <c r="BH2402" s="7">
        <f>0</f>
        <v>0</v>
      </c>
      <c r="BI2402" s="8">
        <f>0</f>
        <v>0</v>
      </c>
      <c r="BJ2402" s="5" t="s">
        <v>253</v>
      </c>
      <c r="BK2402" s="5" t="s">
        <v>254</v>
      </c>
      <c r="BY2402" s="5" t="s">
        <v>238</v>
      </c>
      <c r="BZ2402" s="5" t="s">
        <v>238</v>
      </c>
      <c r="CD2402" s="5" t="s">
        <v>273</v>
      </c>
      <c r="CE2402" s="5" t="s">
        <v>256</v>
      </c>
      <c r="CF2402" s="5" t="s">
        <v>238</v>
      </c>
      <c r="CI2402" s="6" t="s">
        <v>257</v>
      </c>
      <c r="CJ2402" s="5" t="s">
        <v>238</v>
      </c>
      <c r="CK2402" s="5" t="s">
        <v>258</v>
      </c>
      <c r="CL2402" s="5" t="s">
        <v>238</v>
      </c>
      <c r="CM2402" s="5" t="s">
        <v>238</v>
      </c>
      <c r="CN2402" s="5">
        <v>0</v>
      </c>
      <c r="CO2402" s="5" t="s">
        <v>259</v>
      </c>
      <c r="CP2402" s="5" t="s">
        <v>260</v>
      </c>
      <c r="CQ2402" s="5" t="s">
        <v>260</v>
      </c>
      <c r="CR2402" s="5" t="s">
        <v>261</v>
      </c>
      <c r="CU2402" s="8">
        <f>1</f>
        <v>1</v>
      </c>
      <c r="CV2402" s="8">
        <f>0</f>
        <v>0</v>
      </c>
      <c r="CX2402" s="8">
        <f>0</f>
        <v>0</v>
      </c>
      <c r="CY2402" s="8">
        <f>1</f>
        <v>1</v>
      </c>
      <c r="DA2402" s="5" t="s">
        <v>274</v>
      </c>
      <c r="DB2402" s="5" t="s">
        <v>238</v>
      </c>
      <c r="DD2402" s="5" t="s">
        <v>274</v>
      </c>
      <c r="DE2402" s="8">
        <f>957</f>
        <v>957</v>
      </c>
      <c r="DG2402" s="5" t="s">
        <v>238</v>
      </c>
      <c r="DH2402" s="5" t="s">
        <v>238</v>
      </c>
      <c r="DI2402" s="5" t="s">
        <v>238</v>
      </c>
      <c r="DJ2402" s="5" t="s">
        <v>238</v>
      </c>
      <c r="DN2402" s="5" t="s">
        <v>238</v>
      </c>
      <c r="DO2402" s="5" t="s">
        <v>238</v>
      </c>
      <c r="DP2402" s="5" t="s">
        <v>238</v>
      </c>
      <c r="DQ2402" s="5" t="s">
        <v>238</v>
      </c>
      <c r="DT2402" s="5" t="s">
        <v>275</v>
      </c>
      <c r="DU2402" s="5" t="s">
        <v>1722</v>
      </c>
      <c r="HM2402" s="5" t="s">
        <v>264</v>
      </c>
    </row>
    <row r="2403" spans="1:221" x14ac:dyDescent="0.4">
      <c r="A2403" s="5">
        <v>4107</v>
      </c>
      <c r="B2403" s="5">
        <v>1</v>
      </c>
      <c r="C2403" s="5">
        <v>1</v>
      </c>
      <c r="D2403" s="5" t="s">
        <v>269</v>
      </c>
      <c r="E2403" s="5" t="s">
        <v>271</v>
      </c>
      <c r="F2403" s="5" t="s">
        <v>248</v>
      </c>
      <c r="G2403" s="5" t="s">
        <v>266</v>
      </c>
      <c r="H2403" s="6" t="s">
        <v>1753</v>
      </c>
      <c r="I2403" s="7">
        <f>1893</f>
        <v>1893</v>
      </c>
      <c r="J2403" s="5" t="s">
        <v>262</v>
      </c>
      <c r="K2403" s="8">
        <f>1</f>
        <v>1</v>
      </c>
      <c r="L2403" s="6" t="s">
        <v>242</v>
      </c>
      <c r="M2403" s="5" t="s">
        <v>267</v>
      </c>
      <c r="N2403" s="5" t="s">
        <v>265</v>
      </c>
      <c r="O2403" s="5" t="s">
        <v>238</v>
      </c>
      <c r="P2403" s="5" t="s">
        <v>238</v>
      </c>
      <c r="Q2403" s="5" t="s">
        <v>268</v>
      </c>
      <c r="R2403" s="5" t="s">
        <v>270</v>
      </c>
      <c r="S2403" s="5" t="s">
        <v>238</v>
      </c>
      <c r="V2403" s="5" t="s">
        <v>238</v>
      </c>
      <c r="X2403" s="6" t="s">
        <v>238</v>
      </c>
      <c r="AA2403" s="6" t="s">
        <v>243</v>
      </c>
      <c r="AB2403" s="5" t="s">
        <v>238</v>
      </c>
      <c r="AC2403" s="5" t="s">
        <v>244</v>
      </c>
      <c r="AD2403" s="5" t="s">
        <v>245</v>
      </c>
      <c r="AT2403" s="5" t="s">
        <v>246</v>
      </c>
      <c r="AU2403" s="5" t="s">
        <v>238</v>
      </c>
      <c r="AV2403" s="5" t="s">
        <v>247</v>
      </c>
      <c r="AW2403" s="5" t="s">
        <v>238</v>
      </c>
      <c r="AX2403" s="5" t="s">
        <v>249</v>
      </c>
      <c r="AY2403" s="5" t="s">
        <v>238</v>
      </c>
      <c r="BA2403" s="5" t="s">
        <v>238</v>
      </c>
      <c r="BC2403" s="5" t="s">
        <v>250</v>
      </c>
      <c r="BD2403" s="6" t="s">
        <v>243</v>
      </c>
      <c r="BE2403" s="5" t="s">
        <v>251</v>
      </c>
      <c r="BF2403" s="5" t="s">
        <v>252</v>
      </c>
      <c r="BG2403" s="5" t="s">
        <v>238</v>
      </c>
      <c r="BH2403" s="7">
        <f>0</f>
        <v>0</v>
      </c>
      <c r="BI2403" s="8">
        <f>0</f>
        <v>0</v>
      </c>
      <c r="BJ2403" s="5" t="s">
        <v>253</v>
      </c>
      <c r="BK2403" s="5" t="s">
        <v>254</v>
      </c>
      <c r="BY2403" s="5" t="s">
        <v>238</v>
      </c>
      <c r="BZ2403" s="5" t="s">
        <v>238</v>
      </c>
      <c r="CD2403" s="5" t="s">
        <v>273</v>
      </c>
      <c r="CE2403" s="5" t="s">
        <v>256</v>
      </c>
      <c r="CF2403" s="5" t="s">
        <v>238</v>
      </c>
      <c r="CI2403" s="6" t="s">
        <v>257</v>
      </c>
      <c r="CJ2403" s="5" t="s">
        <v>238</v>
      </c>
      <c r="CK2403" s="5" t="s">
        <v>258</v>
      </c>
      <c r="CL2403" s="5" t="s">
        <v>238</v>
      </c>
      <c r="CM2403" s="5" t="s">
        <v>238</v>
      </c>
      <c r="CN2403" s="5">
        <v>0</v>
      </c>
      <c r="CO2403" s="5" t="s">
        <v>259</v>
      </c>
      <c r="CP2403" s="5" t="s">
        <v>260</v>
      </c>
      <c r="CQ2403" s="5" t="s">
        <v>260</v>
      </c>
      <c r="CR2403" s="5" t="s">
        <v>261</v>
      </c>
      <c r="CU2403" s="8">
        <f>1</f>
        <v>1</v>
      </c>
      <c r="CV2403" s="8">
        <f>0</f>
        <v>0</v>
      </c>
      <c r="CX2403" s="8">
        <f>0</f>
        <v>0</v>
      </c>
      <c r="CY2403" s="8">
        <f>1</f>
        <v>1</v>
      </c>
      <c r="DA2403" s="5" t="s">
        <v>274</v>
      </c>
      <c r="DB2403" s="5" t="s">
        <v>238</v>
      </c>
      <c r="DD2403" s="5" t="s">
        <v>274</v>
      </c>
      <c r="DE2403" s="8">
        <f>1893</f>
        <v>1893</v>
      </c>
      <c r="DG2403" s="5" t="s">
        <v>238</v>
      </c>
      <c r="DH2403" s="5" t="s">
        <v>238</v>
      </c>
      <c r="DI2403" s="5" t="s">
        <v>238</v>
      </c>
      <c r="DJ2403" s="5" t="s">
        <v>238</v>
      </c>
      <c r="DN2403" s="5" t="s">
        <v>238</v>
      </c>
      <c r="DO2403" s="5" t="s">
        <v>238</v>
      </c>
      <c r="DP2403" s="5" t="s">
        <v>238</v>
      </c>
      <c r="DQ2403" s="5" t="s">
        <v>238</v>
      </c>
      <c r="DT2403" s="5" t="s">
        <v>275</v>
      </c>
      <c r="DU2403" s="5" t="s">
        <v>1754</v>
      </c>
      <c r="HM2403" s="5" t="s">
        <v>264</v>
      </c>
    </row>
    <row r="2404" spans="1:221" x14ac:dyDescent="0.4">
      <c r="A2404" s="5">
        <v>4108</v>
      </c>
      <c r="B2404" s="5">
        <v>1</v>
      </c>
      <c r="C2404" s="5">
        <v>1</v>
      </c>
      <c r="D2404" s="5" t="s">
        <v>269</v>
      </c>
      <c r="E2404" s="5" t="s">
        <v>271</v>
      </c>
      <c r="F2404" s="5" t="s">
        <v>248</v>
      </c>
      <c r="G2404" s="5" t="s">
        <v>266</v>
      </c>
      <c r="H2404" s="6" t="s">
        <v>1781</v>
      </c>
      <c r="I2404" s="7">
        <f>1023</f>
        <v>1023</v>
      </c>
      <c r="J2404" s="5" t="s">
        <v>262</v>
      </c>
      <c r="K2404" s="8">
        <f>1</f>
        <v>1</v>
      </c>
      <c r="L2404" s="6" t="s">
        <v>242</v>
      </c>
      <c r="M2404" s="5" t="s">
        <v>267</v>
      </c>
      <c r="N2404" s="5" t="s">
        <v>265</v>
      </c>
      <c r="O2404" s="5" t="s">
        <v>238</v>
      </c>
      <c r="P2404" s="5" t="s">
        <v>238</v>
      </c>
      <c r="Q2404" s="5" t="s">
        <v>268</v>
      </c>
      <c r="R2404" s="5" t="s">
        <v>270</v>
      </c>
      <c r="S2404" s="5" t="s">
        <v>238</v>
      </c>
      <c r="V2404" s="5" t="s">
        <v>238</v>
      </c>
      <c r="X2404" s="6" t="s">
        <v>238</v>
      </c>
      <c r="AA2404" s="6" t="s">
        <v>243</v>
      </c>
      <c r="AB2404" s="5" t="s">
        <v>238</v>
      </c>
      <c r="AC2404" s="5" t="s">
        <v>244</v>
      </c>
      <c r="AD2404" s="5" t="s">
        <v>245</v>
      </c>
      <c r="AT2404" s="5" t="s">
        <v>246</v>
      </c>
      <c r="AU2404" s="5" t="s">
        <v>238</v>
      </c>
      <c r="AV2404" s="5" t="s">
        <v>247</v>
      </c>
      <c r="AW2404" s="5" t="s">
        <v>238</v>
      </c>
      <c r="AX2404" s="5" t="s">
        <v>249</v>
      </c>
      <c r="AY2404" s="5" t="s">
        <v>238</v>
      </c>
      <c r="BA2404" s="5" t="s">
        <v>238</v>
      </c>
      <c r="BC2404" s="5" t="s">
        <v>250</v>
      </c>
      <c r="BD2404" s="6" t="s">
        <v>243</v>
      </c>
      <c r="BE2404" s="5" t="s">
        <v>251</v>
      </c>
      <c r="BF2404" s="5" t="s">
        <v>252</v>
      </c>
      <c r="BG2404" s="5" t="s">
        <v>238</v>
      </c>
      <c r="BH2404" s="7">
        <f>0</f>
        <v>0</v>
      </c>
      <c r="BI2404" s="8">
        <f>0</f>
        <v>0</v>
      </c>
      <c r="BJ2404" s="5" t="s">
        <v>253</v>
      </c>
      <c r="BK2404" s="5" t="s">
        <v>254</v>
      </c>
      <c r="BY2404" s="5" t="s">
        <v>238</v>
      </c>
      <c r="BZ2404" s="5" t="s">
        <v>238</v>
      </c>
      <c r="CD2404" s="5" t="s">
        <v>273</v>
      </c>
      <c r="CE2404" s="5" t="s">
        <v>256</v>
      </c>
      <c r="CF2404" s="5" t="s">
        <v>238</v>
      </c>
      <c r="CI2404" s="6" t="s">
        <v>257</v>
      </c>
      <c r="CJ2404" s="5" t="s">
        <v>238</v>
      </c>
      <c r="CK2404" s="5" t="s">
        <v>258</v>
      </c>
      <c r="CL2404" s="5" t="s">
        <v>238</v>
      </c>
      <c r="CM2404" s="5" t="s">
        <v>238</v>
      </c>
      <c r="CN2404" s="5">
        <v>0</v>
      </c>
      <c r="CO2404" s="5" t="s">
        <v>259</v>
      </c>
      <c r="CP2404" s="5" t="s">
        <v>260</v>
      </c>
      <c r="CQ2404" s="5" t="s">
        <v>260</v>
      </c>
      <c r="CR2404" s="5" t="s">
        <v>261</v>
      </c>
      <c r="CU2404" s="8">
        <f>1</f>
        <v>1</v>
      </c>
      <c r="CV2404" s="8">
        <f>0</f>
        <v>0</v>
      </c>
      <c r="CX2404" s="8">
        <f>0</f>
        <v>0</v>
      </c>
      <c r="CY2404" s="8">
        <f>1</f>
        <v>1</v>
      </c>
      <c r="DA2404" s="5" t="s">
        <v>274</v>
      </c>
      <c r="DB2404" s="5" t="s">
        <v>238</v>
      </c>
      <c r="DD2404" s="5" t="s">
        <v>274</v>
      </c>
      <c r="DE2404" s="8">
        <f>1023</f>
        <v>1023</v>
      </c>
      <c r="DG2404" s="5" t="s">
        <v>238</v>
      </c>
      <c r="DH2404" s="5" t="s">
        <v>238</v>
      </c>
      <c r="DI2404" s="5" t="s">
        <v>238</v>
      </c>
      <c r="DJ2404" s="5" t="s">
        <v>238</v>
      </c>
      <c r="DN2404" s="5" t="s">
        <v>238</v>
      </c>
      <c r="DO2404" s="5" t="s">
        <v>238</v>
      </c>
      <c r="DP2404" s="5" t="s">
        <v>238</v>
      </c>
      <c r="DQ2404" s="5" t="s">
        <v>238</v>
      </c>
      <c r="DT2404" s="5" t="s">
        <v>275</v>
      </c>
      <c r="DU2404" s="5" t="s">
        <v>1782</v>
      </c>
      <c r="HM2404" s="5" t="s">
        <v>264</v>
      </c>
    </row>
    <row r="2405" spans="1:221" x14ac:dyDescent="0.4">
      <c r="A2405" s="5">
        <v>4109</v>
      </c>
      <c r="B2405" s="5">
        <v>1</v>
      </c>
      <c r="C2405" s="5">
        <v>1</v>
      </c>
      <c r="D2405" s="5" t="s">
        <v>269</v>
      </c>
      <c r="E2405" s="5" t="s">
        <v>271</v>
      </c>
      <c r="F2405" s="5" t="s">
        <v>248</v>
      </c>
      <c r="G2405" s="5" t="s">
        <v>266</v>
      </c>
      <c r="H2405" s="6" t="s">
        <v>1797</v>
      </c>
      <c r="I2405" s="7">
        <f>1038</f>
        <v>1038</v>
      </c>
      <c r="J2405" s="5" t="s">
        <v>262</v>
      </c>
      <c r="K2405" s="8">
        <f>1</f>
        <v>1</v>
      </c>
      <c r="L2405" s="6" t="s">
        <v>242</v>
      </c>
      <c r="M2405" s="5" t="s">
        <v>267</v>
      </c>
      <c r="N2405" s="5" t="s">
        <v>265</v>
      </c>
      <c r="O2405" s="5" t="s">
        <v>238</v>
      </c>
      <c r="P2405" s="5" t="s">
        <v>238</v>
      </c>
      <c r="Q2405" s="5" t="s">
        <v>268</v>
      </c>
      <c r="R2405" s="5" t="s">
        <v>270</v>
      </c>
      <c r="S2405" s="5" t="s">
        <v>238</v>
      </c>
      <c r="V2405" s="5" t="s">
        <v>238</v>
      </c>
      <c r="X2405" s="6" t="s">
        <v>238</v>
      </c>
      <c r="AA2405" s="6" t="s">
        <v>243</v>
      </c>
      <c r="AB2405" s="5" t="s">
        <v>238</v>
      </c>
      <c r="AC2405" s="5" t="s">
        <v>244</v>
      </c>
      <c r="AD2405" s="5" t="s">
        <v>245</v>
      </c>
      <c r="AT2405" s="5" t="s">
        <v>246</v>
      </c>
      <c r="AU2405" s="5" t="s">
        <v>238</v>
      </c>
      <c r="AV2405" s="5" t="s">
        <v>247</v>
      </c>
      <c r="AW2405" s="5" t="s">
        <v>238</v>
      </c>
      <c r="AX2405" s="5" t="s">
        <v>249</v>
      </c>
      <c r="AY2405" s="5" t="s">
        <v>238</v>
      </c>
      <c r="BA2405" s="5" t="s">
        <v>238</v>
      </c>
      <c r="BC2405" s="5" t="s">
        <v>250</v>
      </c>
      <c r="BD2405" s="6" t="s">
        <v>243</v>
      </c>
      <c r="BE2405" s="5" t="s">
        <v>251</v>
      </c>
      <c r="BF2405" s="5" t="s">
        <v>252</v>
      </c>
      <c r="BG2405" s="5" t="s">
        <v>238</v>
      </c>
      <c r="BH2405" s="7">
        <f>0</f>
        <v>0</v>
      </c>
      <c r="BI2405" s="8">
        <f>0</f>
        <v>0</v>
      </c>
      <c r="BJ2405" s="5" t="s">
        <v>253</v>
      </c>
      <c r="BK2405" s="5" t="s">
        <v>254</v>
      </c>
      <c r="BY2405" s="5" t="s">
        <v>238</v>
      </c>
      <c r="BZ2405" s="5" t="s">
        <v>238</v>
      </c>
      <c r="CD2405" s="5" t="s">
        <v>273</v>
      </c>
      <c r="CE2405" s="5" t="s">
        <v>256</v>
      </c>
      <c r="CF2405" s="5" t="s">
        <v>238</v>
      </c>
      <c r="CI2405" s="6" t="s">
        <v>257</v>
      </c>
      <c r="CJ2405" s="5" t="s">
        <v>238</v>
      </c>
      <c r="CK2405" s="5" t="s">
        <v>258</v>
      </c>
      <c r="CL2405" s="5" t="s">
        <v>238</v>
      </c>
      <c r="CM2405" s="5" t="s">
        <v>238</v>
      </c>
      <c r="CN2405" s="5">
        <v>0</v>
      </c>
      <c r="CO2405" s="5" t="s">
        <v>259</v>
      </c>
      <c r="CP2405" s="5" t="s">
        <v>260</v>
      </c>
      <c r="CQ2405" s="5" t="s">
        <v>260</v>
      </c>
      <c r="CR2405" s="5" t="s">
        <v>261</v>
      </c>
      <c r="CU2405" s="8">
        <f>1</f>
        <v>1</v>
      </c>
      <c r="CV2405" s="8">
        <f>0</f>
        <v>0</v>
      </c>
      <c r="CX2405" s="8">
        <f>0</f>
        <v>0</v>
      </c>
      <c r="CY2405" s="8">
        <f>1</f>
        <v>1</v>
      </c>
      <c r="DA2405" s="5" t="s">
        <v>274</v>
      </c>
      <c r="DB2405" s="5" t="s">
        <v>238</v>
      </c>
      <c r="DD2405" s="5" t="s">
        <v>274</v>
      </c>
      <c r="DE2405" s="8">
        <f>1038</f>
        <v>1038</v>
      </c>
      <c r="DG2405" s="5" t="s">
        <v>238</v>
      </c>
      <c r="DH2405" s="5" t="s">
        <v>238</v>
      </c>
      <c r="DI2405" s="5" t="s">
        <v>238</v>
      </c>
      <c r="DJ2405" s="5" t="s">
        <v>238</v>
      </c>
      <c r="DN2405" s="5" t="s">
        <v>238</v>
      </c>
      <c r="DO2405" s="5" t="s">
        <v>238</v>
      </c>
      <c r="DP2405" s="5" t="s">
        <v>238</v>
      </c>
      <c r="DQ2405" s="5" t="s">
        <v>238</v>
      </c>
      <c r="DT2405" s="5" t="s">
        <v>275</v>
      </c>
      <c r="DU2405" s="5" t="s">
        <v>1798</v>
      </c>
      <c r="HM2405" s="5" t="s">
        <v>264</v>
      </c>
    </row>
    <row r="2406" spans="1:221" x14ac:dyDescent="0.4">
      <c r="A2406" s="5">
        <v>4110</v>
      </c>
      <c r="B2406" s="5">
        <v>1</v>
      </c>
      <c r="C2406" s="5">
        <v>1</v>
      </c>
      <c r="D2406" s="5" t="s">
        <v>269</v>
      </c>
      <c r="E2406" s="5" t="s">
        <v>271</v>
      </c>
      <c r="F2406" s="5" t="s">
        <v>248</v>
      </c>
      <c r="G2406" s="5" t="s">
        <v>266</v>
      </c>
      <c r="H2406" s="6" t="s">
        <v>1843</v>
      </c>
      <c r="I2406" s="7">
        <f>1897</f>
        <v>1897</v>
      </c>
      <c r="J2406" s="5" t="s">
        <v>262</v>
      </c>
      <c r="K2406" s="8">
        <f>1</f>
        <v>1</v>
      </c>
      <c r="L2406" s="6" t="s">
        <v>242</v>
      </c>
      <c r="M2406" s="5" t="s">
        <v>267</v>
      </c>
      <c r="N2406" s="5" t="s">
        <v>265</v>
      </c>
      <c r="O2406" s="5" t="s">
        <v>238</v>
      </c>
      <c r="P2406" s="5" t="s">
        <v>238</v>
      </c>
      <c r="Q2406" s="5" t="s">
        <v>268</v>
      </c>
      <c r="R2406" s="5" t="s">
        <v>270</v>
      </c>
      <c r="S2406" s="5" t="s">
        <v>238</v>
      </c>
      <c r="V2406" s="5" t="s">
        <v>238</v>
      </c>
      <c r="X2406" s="6" t="s">
        <v>238</v>
      </c>
      <c r="AA2406" s="6" t="s">
        <v>243</v>
      </c>
      <c r="AB2406" s="5" t="s">
        <v>238</v>
      </c>
      <c r="AC2406" s="5" t="s">
        <v>244</v>
      </c>
      <c r="AD2406" s="5" t="s">
        <v>245</v>
      </c>
      <c r="AT2406" s="5" t="s">
        <v>246</v>
      </c>
      <c r="AU2406" s="5" t="s">
        <v>238</v>
      </c>
      <c r="AV2406" s="5" t="s">
        <v>247</v>
      </c>
      <c r="AW2406" s="5" t="s">
        <v>238</v>
      </c>
      <c r="AX2406" s="5" t="s">
        <v>249</v>
      </c>
      <c r="AY2406" s="5" t="s">
        <v>238</v>
      </c>
      <c r="BA2406" s="5" t="s">
        <v>238</v>
      </c>
      <c r="BC2406" s="5" t="s">
        <v>250</v>
      </c>
      <c r="BD2406" s="6" t="s">
        <v>243</v>
      </c>
      <c r="BE2406" s="5" t="s">
        <v>251</v>
      </c>
      <c r="BF2406" s="5" t="s">
        <v>252</v>
      </c>
      <c r="BG2406" s="5" t="s">
        <v>238</v>
      </c>
      <c r="BH2406" s="7">
        <f>0</f>
        <v>0</v>
      </c>
      <c r="BI2406" s="8">
        <f>0</f>
        <v>0</v>
      </c>
      <c r="BJ2406" s="5" t="s">
        <v>253</v>
      </c>
      <c r="BK2406" s="5" t="s">
        <v>254</v>
      </c>
      <c r="BY2406" s="5" t="s">
        <v>238</v>
      </c>
      <c r="BZ2406" s="5" t="s">
        <v>238</v>
      </c>
      <c r="CD2406" s="5" t="s">
        <v>273</v>
      </c>
      <c r="CE2406" s="5" t="s">
        <v>256</v>
      </c>
      <c r="CF2406" s="5" t="s">
        <v>238</v>
      </c>
      <c r="CI2406" s="6" t="s">
        <v>257</v>
      </c>
      <c r="CJ2406" s="5" t="s">
        <v>238</v>
      </c>
      <c r="CK2406" s="5" t="s">
        <v>258</v>
      </c>
      <c r="CL2406" s="5" t="s">
        <v>238</v>
      </c>
      <c r="CM2406" s="5" t="s">
        <v>238</v>
      </c>
      <c r="CN2406" s="5">
        <v>0</v>
      </c>
      <c r="CO2406" s="5" t="s">
        <v>259</v>
      </c>
      <c r="CP2406" s="5" t="s">
        <v>260</v>
      </c>
      <c r="CQ2406" s="5" t="s">
        <v>260</v>
      </c>
      <c r="CR2406" s="5" t="s">
        <v>261</v>
      </c>
      <c r="CU2406" s="8">
        <f>1</f>
        <v>1</v>
      </c>
      <c r="CV2406" s="8">
        <f>0</f>
        <v>0</v>
      </c>
      <c r="CX2406" s="8">
        <f>0</f>
        <v>0</v>
      </c>
      <c r="CY2406" s="8">
        <f>1</f>
        <v>1</v>
      </c>
      <c r="DA2406" s="5" t="s">
        <v>274</v>
      </c>
      <c r="DB2406" s="5" t="s">
        <v>238</v>
      </c>
      <c r="DD2406" s="5" t="s">
        <v>274</v>
      </c>
      <c r="DE2406" s="8">
        <f>1897</f>
        <v>1897</v>
      </c>
      <c r="DG2406" s="5" t="s">
        <v>238</v>
      </c>
      <c r="DH2406" s="5" t="s">
        <v>238</v>
      </c>
      <c r="DI2406" s="5" t="s">
        <v>238</v>
      </c>
      <c r="DJ2406" s="5" t="s">
        <v>238</v>
      </c>
      <c r="DN2406" s="5" t="s">
        <v>238</v>
      </c>
      <c r="DO2406" s="5" t="s">
        <v>238</v>
      </c>
      <c r="DP2406" s="5" t="s">
        <v>238</v>
      </c>
      <c r="DQ2406" s="5" t="s">
        <v>238</v>
      </c>
      <c r="DT2406" s="5" t="s">
        <v>275</v>
      </c>
      <c r="DU2406" s="5" t="s">
        <v>1844</v>
      </c>
      <c r="HM2406" s="5" t="s">
        <v>264</v>
      </c>
    </row>
    <row r="2407" spans="1:221" x14ac:dyDescent="0.4">
      <c r="A2407" s="5">
        <v>4111</v>
      </c>
      <c r="B2407" s="5">
        <v>1</v>
      </c>
      <c r="C2407" s="5">
        <v>1</v>
      </c>
      <c r="D2407" s="5" t="s">
        <v>269</v>
      </c>
      <c r="E2407" s="5" t="s">
        <v>271</v>
      </c>
      <c r="F2407" s="5" t="s">
        <v>248</v>
      </c>
      <c r="G2407" s="5" t="s">
        <v>266</v>
      </c>
      <c r="H2407" s="6" t="s">
        <v>1859</v>
      </c>
      <c r="I2407" s="7">
        <f>967</f>
        <v>967</v>
      </c>
      <c r="J2407" s="5" t="s">
        <v>262</v>
      </c>
      <c r="K2407" s="8">
        <f>1</f>
        <v>1</v>
      </c>
      <c r="L2407" s="6" t="s">
        <v>242</v>
      </c>
      <c r="M2407" s="5" t="s">
        <v>267</v>
      </c>
      <c r="N2407" s="5" t="s">
        <v>265</v>
      </c>
      <c r="O2407" s="5" t="s">
        <v>238</v>
      </c>
      <c r="P2407" s="5" t="s">
        <v>238</v>
      </c>
      <c r="Q2407" s="5" t="s">
        <v>268</v>
      </c>
      <c r="R2407" s="5" t="s">
        <v>270</v>
      </c>
      <c r="S2407" s="5" t="s">
        <v>238</v>
      </c>
      <c r="V2407" s="5" t="s">
        <v>238</v>
      </c>
      <c r="X2407" s="6" t="s">
        <v>238</v>
      </c>
      <c r="AA2407" s="6" t="s">
        <v>243</v>
      </c>
      <c r="AB2407" s="5" t="s">
        <v>238</v>
      </c>
      <c r="AC2407" s="5" t="s">
        <v>244</v>
      </c>
      <c r="AD2407" s="5" t="s">
        <v>245</v>
      </c>
      <c r="AT2407" s="5" t="s">
        <v>246</v>
      </c>
      <c r="AU2407" s="5" t="s">
        <v>238</v>
      </c>
      <c r="AV2407" s="5" t="s">
        <v>247</v>
      </c>
      <c r="AW2407" s="5" t="s">
        <v>238</v>
      </c>
      <c r="AX2407" s="5" t="s">
        <v>249</v>
      </c>
      <c r="AY2407" s="5" t="s">
        <v>238</v>
      </c>
      <c r="BA2407" s="5" t="s">
        <v>238</v>
      </c>
      <c r="BC2407" s="5" t="s">
        <v>250</v>
      </c>
      <c r="BD2407" s="6" t="s">
        <v>243</v>
      </c>
      <c r="BE2407" s="5" t="s">
        <v>251</v>
      </c>
      <c r="BF2407" s="5" t="s">
        <v>252</v>
      </c>
      <c r="BG2407" s="5" t="s">
        <v>238</v>
      </c>
      <c r="BH2407" s="7">
        <f>0</f>
        <v>0</v>
      </c>
      <c r="BI2407" s="8">
        <f>0</f>
        <v>0</v>
      </c>
      <c r="BJ2407" s="5" t="s">
        <v>253</v>
      </c>
      <c r="BK2407" s="5" t="s">
        <v>254</v>
      </c>
      <c r="BY2407" s="5" t="s">
        <v>238</v>
      </c>
      <c r="BZ2407" s="5" t="s">
        <v>238</v>
      </c>
      <c r="CD2407" s="5" t="s">
        <v>273</v>
      </c>
      <c r="CE2407" s="5" t="s">
        <v>256</v>
      </c>
      <c r="CF2407" s="5" t="s">
        <v>238</v>
      </c>
      <c r="CI2407" s="6" t="s">
        <v>257</v>
      </c>
      <c r="CJ2407" s="5" t="s">
        <v>238</v>
      </c>
      <c r="CK2407" s="5" t="s">
        <v>258</v>
      </c>
      <c r="CL2407" s="5" t="s">
        <v>238</v>
      </c>
      <c r="CM2407" s="5" t="s">
        <v>238</v>
      </c>
      <c r="CN2407" s="5">
        <v>0</v>
      </c>
      <c r="CO2407" s="5" t="s">
        <v>259</v>
      </c>
      <c r="CP2407" s="5" t="s">
        <v>260</v>
      </c>
      <c r="CQ2407" s="5" t="s">
        <v>260</v>
      </c>
      <c r="CR2407" s="5" t="s">
        <v>261</v>
      </c>
      <c r="CU2407" s="8">
        <f>1</f>
        <v>1</v>
      </c>
      <c r="CV2407" s="8">
        <f>0</f>
        <v>0</v>
      </c>
      <c r="CX2407" s="8">
        <f>0</f>
        <v>0</v>
      </c>
      <c r="CY2407" s="8">
        <f>1</f>
        <v>1</v>
      </c>
      <c r="DA2407" s="5" t="s">
        <v>274</v>
      </c>
      <c r="DB2407" s="5" t="s">
        <v>238</v>
      </c>
      <c r="DD2407" s="5" t="s">
        <v>274</v>
      </c>
      <c r="DE2407" s="8">
        <f>967</f>
        <v>967</v>
      </c>
      <c r="DG2407" s="5" t="s">
        <v>238</v>
      </c>
      <c r="DH2407" s="5" t="s">
        <v>238</v>
      </c>
      <c r="DI2407" s="5" t="s">
        <v>238</v>
      </c>
      <c r="DJ2407" s="5" t="s">
        <v>238</v>
      </c>
      <c r="DN2407" s="5" t="s">
        <v>238</v>
      </c>
      <c r="DO2407" s="5" t="s">
        <v>238</v>
      </c>
      <c r="DP2407" s="5" t="s">
        <v>238</v>
      </c>
      <c r="DQ2407" s="5" t="s">
        <v>238</v>
      </c>
      <c r="DT2407" s="5" t="s">
        <v>275</v>
      </c>
      <c r="DU2407" s="5" t="s">
        <v>1860</v>
      </c>
      <c r="HM2407" s="5" t="s">
        <v>264</v>
      </c>
    </row>
    <row r="2408" spans="1:221" x14ac:dyDescent="0.4">
      <c r="A2408" s="5">
        <v>4112</v>
      </c>
      <c r="B2408" s="5">
        <v>1</v>
      </c>
      <c r="C2408" s="5">
        <v>1</v>
      </c>
      <c r="D2408" s="5" t="s">
        <v>269</v>
      </c>
      <c r="E2408" s="5" t="s">
        <v>271</v>
      </c>
      <c r="F2408" s="5" t="s">
        <v>248</v>
      </c>
      <c r="G2408" s="5" t="s">
        <v>266</v>
      </c>
      <c r="H2408" s="6" t="s">
        <v>1905</v>
      </c>
      <c r="I2408" s="7">
        <f>284</f>
        <v>284</v>
      </c>
      <c r="J2408" s="5" t="s">
        <v>262</v>
      </c>
      <c r="K2408" s="8">
        <f>1</f>
        <v>1</v>
      </c>
      <c r="L2408" s="6" t="s">
        <v>242</v>
      </c>
      <c r="M2408" s="5" t="s">
        <v>267</v>
      </c>
      <c r="N2408" s="5" t="s">
        <v>265</v>
      </c>
      <c r="O2408" s="5" t="s">
        <v>238</v>
      </c>
      <c r="P2408" s="5" t="s">
        <v>238</v>
      </c>
      <c r="Q2408" s="5" t="s">
        <v>268</v>
      </c>
      <c r="R2408" s="5" t="s">
        <v>270</v>
      </c>
      <c r="S2408" s="5" t="s">
        <v>238</v>
      </c>
      <c r="V2408" s="5" t="s">
        <v>238</v>
      </c>
      <c r="X2408" s="6" t="s">
        <v>238</v>
      </c>
      <c r="AA2408" s="6" t="s">
        <v>243</v>
      </c>
      <c r="AB2408" s="5" t="s">
        <v>238</v>
      </c>
      <c r="AC2408" s="5" t="s">
        <v>244</v>
      </c>
      <c r="AD2408" s="5" t="s">
        <v>245</v>
      </c>
      <c r="AT2408" s="5" t="s">
        <v>246</v>
      </c>
      <c r="AU2408" s="5" t="s">
        <v>238</v>
      </c>
      <c r="AV2408" s="5" t="s">
        <v>247</v>
      </c>
      <c r="AW2408" s="5" t="s">
        <v>238</v>
      </c>
      <c r="AX2408" s="5" t="s">
        <v>249</v>
      </c>
      <c r="AY2408" s="5" t="s">
        <v>238</v>
      </c>
      <c r="BA2408" s="5" t="s">
        <v>238</v>
      </c>
      <c r="BC2408" s="5" t="s">
        <v>250</v>
      </c>
      <c r="BD2408" s="6" t="s">
        <v>243</v>
      </c>
      <c r="BE2408" s="5" t="s">
        <v>251</v>
      </c>
      <c r="BF2408" s="5" t="s">
        <v>252</v>
      </c>
      <c r="BG2408" s="5" t="s">
        <v>238</v>
      </c>
      <c r="BH2408" s="7">
        <f>0</f>
        <v>0</v>
      </c>
      <c r="BI2408" s="8">
        <f>0</f>
        <v>0</v>
      </c>
      <c r="BJ2408" s="5" t="s">
        <v>253</v>
      </c>
      <c r="BK2408" s="5" t="s">
        <v>254</v>
      </c>
      <c r="BY2408" s="5" t="s">
        <v>238</v>
      </c>
      <c r="BZ2408" s="5" t="s">
        <v>238</v>
      </c>
      <c r="CD2408" s="5" t="s">
        <v>273</v>
      </c>
      <c r="CE2408" s="5" t="s">
        <v>256</v>
      </c>
      <c r="CF2408" s="5" t="s">
        <v>238</v>
      </c>
      <c r="CI2408" s="6" t="s">
        <v>257</v>
      </c>
      <c r="CJ2408" s="5" t="s">
        <v>238</v>
      </c>
      <c r="CK2408" s="5" t="s">
        <v>258</v>
      </c>
      <c r="CL2408" s="5" t="s">
        <v>238</v>
      </c>
      <c r="CM2408" s="5" t="s">
        <v>238</v>
      </c>
      <c r="CN2408" s="5">
        <v>0</v>
      </c>
      <c r="CO2408" s="5" t="s">
        <v>259</v>
      </c>
      <c r="CP2408" s="5" t="s">
        <v>260</v>
      </c>
      <c r="CQ2408" s="5" t="s">
        <v>260</v>
      </c>
      <c r="CR2408" s="5" t="s">
        <v>261</v>
      </c>
      <c r="CU2408" s="8">
        <f>1</f>
        <v>1</v>
      </c>
      <c r="CV2408" s="8">
        <f>0</f>
        <v>0</v>
      </c>
      <c r="CX2408" s="8">
        <f>0</f>
        <v>0</v>
      </c>
      <c r="CY2408" s="8">
        <f>1</f>
        <v>1</v>
      </c>
      <c r="DA2408" s="5" t="s">
        <v>274</v>
      </c>
      <c r="DB2408" s="5" t="s">
        <v>238</v>
      </c>
      <c r="DD2408" s="5" t="s">
        <v>274</v>
      </c>
      <c r="DE2408" s="8">
        <f>284</f>
        <v>284</v>
      </c>
      <c r="DG2408" s="5" t="s">
        <v>238</v>
      </c>
      <c r="DH2408" s="5" t="s">
        <v>238</v>
      </c>
      <c r="DI2408" s="5" t="s">
        <v>238</v>
      </c>
      <c r="DJ2408" s="5" t="s">
        <v>238</v>
      </c>
      <c r="DN2408" s="5" t="s">
        <v>238</v>
      </c>
      <c r="DO2408" s="5" t="s">
        <v>238</v>
      </c>
      <c r="DP2408" s="5" t="s">
        <v>238</v>
      </c>
      <c r="DQ2408" s="5" t="s">
        <v>238</v>
      </c>
      <c r="DT2408" s="5" t="s">
        <v>275</v>
      </c>
      <c r="DU2408" s="5" t="s">
        <v>1906</v>
      </c>
      <c r="HM2408" s="5" t="s">
        <v>264</v>
      </c>
    </row>
    <row r="2409" spans="1:221" x14ac:dyDescent="0.4">
      <c r="A2409" s="5">
        <v>4113</v>
      </c>
      <c r="B2409" s="5">
        <v>1</v>
      </c>
      <c r="C2409" s="5">
        <v>1</v>
      </c>
      <c r="D2409" s="5" t="s">
        <v>269</v>
      </c>
      <c r="E2409" s="5" t="s">
        <v>271</v>
      </c>
      <c r="F2409" s="5" t="s">
        <v>248</v>
      </c>
      <c r="G2409" s="5" t="s">
        <v>266</v>
      </c>
      <c r="H2409" s="6" t="s">
        <v>1911</v>
      </c>
      <c r="I2409" s="7">
        <f>526</f>
        <v>526</v>
      </c>
      <c r="J2409" s="5" t="s">
        <v>262</v>
      </c>
      <c r="K2409" s="8">
        <f>1</f>
        <v>1</v>
      </c>
      <c r="L2409" s="6" t="s">
        <v>242</v>
      </c>
      <c r="M2409" s="5" t="s">
        <v>267</v>
      </c>
      <c r="N2409" s="5" t="s">
        <v>265</v>
      </c>
      <c r="O2409" s="5" t="s">
        <v>238</v>
      </c>
      <c r="P2409" s="5" t="s">
        <v>238</v>
      </c>
      <c r="Q2409" s="5" t="s">
        <v>268</v>
      </c>
      <c r="R2409" s="5" t="s">
        <v>270</v>
      </c>
      <c r="S2409" s="5" t="s">
        <v>238</v>
      </c>
      <c r="V2409" s="5" t="s">
        <v>238</v>
      </c>
      <c r="X2409" s="6" t="s">
        <v>238</v>
      </c>
      <c r="AA2409" s="6" t="s">
        <v>243</v>
      </c>
      <c r="AB2409" s="5" t="s">
        <v>238</v>
      </c>
      <c r="AC2409" s="5" t="s">
        <v>244</v>
      </c>
      <c r="AD2409" s="5" t="s">
        <v>245</v>
      </c>
      <c r="AT2409" s="5" t="s">
        <v>246</v>
      </c>
      <c r="AU2409" s="5" t="s">
        <v>238</v>
      </c>
      <c r="AV2409" s="5" t="s">
        <v>247</v>
      </c>
      <c r="AW2409" s="5" t="s">
        <v>238</v>
      </c>
      <c r="AX2409" s="5" t="s">
        <v>249</v>
      </c>
      <c r="AY2409" s="5" t="s">
        <v>238</v>
      </c>
      <c r="BA2409" s="5" t="s">
        <v>238</v>
      </c>
      <c r="BC2409" s="5" t="s">
        <v>250</v>
      </c>
      <c r="BD2409" s="6" t="s">
        <v>243</v>
      </c>
      <c r="BE2409" s="5" t="s">
        <v>251</v>
      </c>
      <c r="BF2409" s="5" t="s">
        <v>252</v>
      </c>
      <c r="BG2409" s="5" t="s">
        <v>238</v>
      </c>
      <c r="BH2409" s="7">
        <f>0</f>
        <v>0</v>
      </c>
      <c r="BI2409" s="8">
        <f>0</f>
        <v>0</v>
      </c>
      <c r="BJ2409" s="5" t="s">
        <v>253</v>
      </c>
      <c r="BK2409" s="5" t="s">
        <v>254</v>
      </c>
      <c r="BY2409" s="5" t="s">
        <v>238</v>
      </c>
      <c r="BZ2409" s="5" t="s">
        <v>238</v>
      </c>
      <c r="CD2409" s="5" t="s">
        <v>273</v>
      </c>
      <c r="CE2409" s="5" t="s">
        <v>256</v>
      </c>
      <c r="CF2409" s="5" t="s">
        <v>238</v>
      </c>
      <c r="CI2409" s="6" t="s">
        <v>257</v>
      </c>
      <c r="CJ2409" s="5" t="s">
        <v>238</v>
      </c>
      <c r="CK2409" s="5" t="s">
        <v>258</v>
      </c>
      <c r="CL2409" s="5" t="s">
        <v>238</v>
      </c>
      <c r="CM2409" s="5" t="s">
        <v>238</v>
      </c>
      <c r="CN2409" s="5">
        <v>0</v>
      </c>
      <c r="CO2409" s="5" t="s">
        <v>259</v>
      </c>
      <c r="CP2409" s="5" t="s">
        <v>260</v>
      </c>
      <c r="CQ2409" s="5" t="s">
        <v>260</v>
      </c>
      <c r="CR2409" s="5" t="s">
        <v>261</v>
      </c>
      <c r="CU2409" s="8">
        <f>1</f>
        <v>1</v>
      </c>
      <c r="CV2409" s="8">
        <f>0</f>
        <v>0</v>
      </c>
      <c r="CX2409" s="8">
        <f>0</f>
        <v>0</v>
      </c>
      <c r="CY2409" s="8">
        <f>1</f>
        <v>1</v>
      </c>
      <c r="DA2409" s="5" t="s">
        <v>274</v>
      </c>
      <c r="DB2409" s="5" t="s">
        <v>238</v>
      </c>
      <c r="DD2409" s="5" t="s">
        <v>274</v>
      </c>
      <c r="DE2409" s="8">
        <f>526</f>
        <v>526</v>
      </c>
      <c r="DG2409" s="5" t="s">
        <v>238</v>
      </c>
      <c r="DH2409" s="5" t="s">
        <v>238</v>
      </c>
      <c r="DI2409" s="5" t="s">
        <v>238</v>
      </c>
      <c r="DJ2409" s="5" t="s">
        <v>238</v>
      </c>
      <c r="DN2409" s="5" t="s">
        <v>238</v>
      </c>
      <c r="DO2409" s="5" t="s">
        <v>238</v>
      </c>
      <c r="DP2409" s="5" t="s">
        <v>238</v>
      </c>
      <c r="DQ2409" s="5" t="s">
        <v>238</v>
      </c>
      <c r="DT2409" s="5" t="s">
        <v>275</v>
      </c>
      <c r="DU2409" s="5" t="s">
        <v>1912</v>
      </c>
      <c r="HM2409" s="5" t="s">
        <v>264</v>
      </c>
    </row>
    <row r="2410" spans="1:221" x14ac:dyDescent="0.4">
      <c r="A2410" s="5">
        <v>4114</v>
      </c>
      <c r="B2410" s="5">
        <v>1</v>
      </c>
      <c r="C2410" s="5">
        <v>1</v>
      </c>
      <c r="D2410" s="5" t="s">
        <v>269</v>
      </c>
      <c r="E2410" s="5" t="s">
        <v>271</v>
      </c>
      <c r="F2410" s="5" t="s">
        <v>248</v>
      </c>
      <c r="G2410" s="5" t="s">
        <v>266</v>
      </c>
      <c r="H2410" s="6" t="s">
        <v>1939</v>
      </c>
      <c r="I2410" s="7">
        <f>596</f>
        <v>596</v>
      </c>
      <c r="J2410" s="5" t="s">
        <v>262</v>
      </c>
      <c r="K2410" s="8">
        <f>1</f>
        <v>1</v>
      </c>
      <c r="L2410" s="6" t="s">
        <v>242</v>
      </c>
      <c r="M2410" s="5" t="s">
        <v>267</v>
      </c>
      <c r="N2410" s="5" t="s">
        <v>265</v>
      </c>
      <c r="O2410" s="5" t="s">
        <v>238</v>
      </c>
      <c r="P2410" s="5" t="s">
        <v>238</v>
      </c>
      <c r="Q2410" s="5" t="s">
        <v>268</v>
      </c>
      <c r="R2410" s="5" t="s">
        <v>270</v>
      </c>
      <c r="S2410" s="5" t="s">
        <v>238</v>
      </c>
      <c r="V2410" s="5" t="s">
        <v>238</v>
      </c>
      <c r="X2410" s="6" t="s">
        <v>238</v>
      </c>
      <c r="AA2410" s="6" t="s">
        <v>243</v>
      </c>
      <c r="AB2410" s="5" t="s">
        <v>238</v>
      </c>
      <c r="AC2410" s="5" t="s">
        <v>244</v>
      </c>
      <c r="AD2410" s="5" t="s">
        <v>245</v>
      </c>
      <c r="AT2410" s="5" t="s">
        <v>246</v>
      </c>
      <c r="AU2410" s="5" t="s">
        <v>238</v>
      </c>
      <c r="AV2410" s="5" t="s">
        <v>247</v>
      </c>
      <c r="AW2410" s="5" t="s">
        <v>238</v>
      </c>
      <c r="AX2410" s="5" t="s">
        <v>249</v>
      </c>
      <c r="AY2410" s="5" t="s">
        <v>238</v>
      </c>
      <c r="BA2410" s="5" t="s">
        <v>238</v>
      </c>
      <c r="BC2410" s="5" t="s">
        <v>250</v>
      </c>
      <c r="BD2410" s="6" t="s">
        <v>243</v>
      </c>
      <c r="BE2410" s="5" t="s">
        <v>251</v>
      </c>
      <c r="BF2410" s="5" t="s">
        <v>252</v>
      </c>
      <c r="BG2410" s="5" t="s">
        <v>238</v>
      </c>
      <c r="BH2410" s="7">
        <f>0</f>
        <v>0</v>
      </c>
      <c r="BI2410" s="8">
        <f>0</f>
        <v>0</v>
      </c>
      <c r="BJ2410" s="5" t="s">
        <v>253</v>
      </c>
      <c r="BK2410" s="5" t="s">
        <v>254</v>
      </c>
      <c r="BY2410" s="5" t="s">
        <v>238</v>
      </c>
      <c r="BZ2410" s="5" t="s">
        <v>238</v>
      </c>
      <c r="CD2410" s="5" t="s">
        <v>273</v>
      </c>
      <c r="CE2410" s="5" t="s">
        <v>256</v>
      </c>
      <c r="CF2410" s="5" t="s">
        <v>238</v>
      </c>
      <c r="CI2410" s="6" t="s">
        <v>257</v>
      </c>
      <c r="CJ2410" s="5" t="s">
        <v>238</v>
      </c>
      <c r="CK2410" s="5" t="s">
        <v>258</v>
      </c>
      <c r="CL2410" s="5" t="s">
        <v>238</v>
      </c>
      <c r="CM2410" s="5" t="s">
        <v>238</v>
      </c>
      <c r="CN2410" s="5">
        <v>0</v>
      </c>
      <c r="CO2410" s="5" t="s">
        <v>259</v>
      </c>
      <c r="CP2410" s="5" t="s">
        <v>260</v>
      </c>
      <c r="CQ2410" s="5" t="s">
        <v>260</v>
      </c>
      <c r="CR2410" s="5" t="s">
        <v>261</v>
      </c>
      <c r="CU2410" s="8">
        <f>1</f>
        <v>1</v>
      </c>
      <c r="CV2410" s="8">
        <f>0</f>
        <v>0</v>
      </c>
      <c r="CX2410" s="8">
        <f>0</f>
        <v>0</v>
      </c>
      <c r="CY2410" s="8">
        <f>1</f>
        <v>1</v>
      </c>
      <c r="DA2410" s="5" t="s">
        <v>274</v>
      </c>
      <c r="DB2410" s="5" t="s">
        <v>238</v>
      </c>
      <c r="DD2410" s="5" t="s">
        <v>274</v>
      </c>
      <c r="DE2410" s="8">
        <f>596</f>
        <v>596</v>
      </c>
      <c r="DG2410" s="5" t="s">
        <v>238</v>
      </c>
      <c r="DH2410" s="5" t="s">
        <v>238</v>
      </c>
      <c r="DI2410" s="5" t="s">
        <v>238</v>
      </c>
      <c r="DJ2410" s="5" t="s">
        <v>238</v>
      </c>
      <c r="DN2410" s="5" t="s">
        <v>238</v>
      </c>
      <c r="DO2410" s="5" t="s">
        <v>238</v>
      </c>
      <c r="DP2410" s="5" t="s">
        <v>238</v>
      </c>
      <c r="DQ2410" s="5" t="s">
        <v>238</v>
      </c>
      <c r="DT2410" s="5" t="s">
        <v>275</v>
      </c>
      <c r="DU2410" s="5" t="s">
        <v>1940</v>
      </c>
      <c r="HM2410" s="5" t="s">
        <v>264</v>
      </c>
    </row>
    <row r="2411" spans="1:221" x14ac:dyDescent="0.4">
      <c r="A2411" s="5">
        <v>4115</v>
      </c>
      <c r="B2411" s="5">
        <v>1</v>
      </c>
      <c r="C2411" s="5">
        <v>1</v>
      </c>
      <c r="D2411" s="5" t="s">
        <v>269</v>
      </c>
      <c r="E2411" s="5" t="s">
        <v>271</v>
      </c>
      <c r="F2411" s="5" t="s">
        <v>248</v>
      </c>
      <c r="G2411" s="5" t="s">
        <v>266</v>
      </c>
      <c r="H2411" s="6" t="s">
        <v>1953</v>
      </c>
      <c r="I2411" s="7">
        <f>499</f>
        <v>499</v>
      </c>
      <c r="J2411" s="5" t="s">
        <v>262</v>
      </c>
      <c r="K2411" s="8">
        <f>1</f>
        <v>1</v>
      </c>
      <c r="L2411" s="6" t="s">
        <v>242</v>
      </c>
      <c r="M2411" s="5" t="s">
        <v>267</v>
      </c>
      <c r="N2411" s="5" t="s">
        <v>265</v>
      </c>
      <c r="O2411" s="5" t="s">
        <v>238</v>
      </c>
      <c r="P2411" s="5" t="s">
        <v>238</v>
      </c>
      <c r="Q2411" s="5" t="s">
        <v>268</v>
      </c>
      <c r="R2411" s="5" t="s">
        <v>270</v>
      </c>
      <c r="S2411" s="5" t="s">
        <v>238</v>
      </c>
      <c r="V2411" s="5" t="s">
        <v>238</v>
      </c>
      <c r="X2411" s="6" t="s">
        <v>238</v>
      </c>
      <c r="AA2411" s="6" t="s">
        <v>243</v>
      </c>
      <c r="AB2411" s="5" t="s">
        <v>238</v>
      </c>
      <c r="AC2411" s="5" t="s">
        <v>244</v>
      </c>
      <c r="AD2411" s="5" t="s">
        <v>245</v>
      </c>
      <c r="AT2411" s="5" t="s">
        <v>246</v>
      </c>
      <c r="AU2411" s="5" t="s">
        <v>238</v>
      </c>
      <c r="AV2411" s="5" t="s">
        <v>247</v>
      </c>
      <c r="AW2411" s="5" t="s">
        <v>238</v>
      </c>
      <c r="AX2411" s="5" t="s">
        <v>249</v>
      </c>
      <c r="AY2411" s="5" t="s">
        <v>238</v>
      </c>
      <c r="BA2411" s="5" t="s">
        <v>238</v>
      </c>
      <c r="BC2411" s="5" t="s">
        <v>250</v>
      </c>
      <c r="BD2411" s="6" t="s">
        <v>243</v>
      </c>
      <c r="BE2411" s="5" t="s">
        <v>251</v>
      </c>
      <c r="BF2411" s="5" t="s">
        <v>252</v>
      </c>
      <c r="BG2411" s="5" t="s">
        <v>238</v>
      </c>
      <c r="BH2411" s="7">
        <f>0</f>
        <v>0</v>
      </c>
      <c r="BI2411" s="8">
        <f>0</f>
        <v>0</v>
      </c>
      <c r="BJ2411" s="5" t="s">
        <v>253</v>
      </c>
      <c r="BK2411" s="5" t="s">
        <v>254</v>
      </c>
      <c r="BY2411" s="5" t="s">
        <v>238</v>
      </c>
      <c r="BZ2411" s="5" t="s">
        <v>238</v>
      </c>
      <c r="CD2411" s="5" t="s">
        <v>273</v>
      </c>
      <c r="CE2411" s="5" t="s">
        <v>256</v>
      </c>
      <c r="CF2411" s="5" t="s">
        <v>238</v>
      </c>
      <c r="CI2411" s="6" t="s">
        <v>257</v>
      </c>
      <c r="CJ2411" s="5" t="s">
        <v>238</v>
      </c>
      <c r="CK2411" s="5" t="s">
        <v>258</v>
      </c>
      <c r="CL2411" s="5" t="s">
        <v>238</v>
      </c>
      <c r="CM2411" s="5" t="s">
        <v>238</v>
      </c>
      <c r="CN2411" s="5">
        <v>0</v>
      </c>
      <c r="CO2411" s="5" t="s">
        <v>259</v>
      </c>
      <c r="CP2411" s="5" t="s">
        <v>260</v>
      </c>
      <c r="CQ2411" s="5" t="s">
        <v>260</v>
      </c>
      <c r="CR2411" s="5" t="s">
        <v>261</v>
      </c>
      <c r="CU2411" s="8">
        <f>1</f>
        <v>1</v>
      </c>
      <c r="CV2411" s="8">
        <f>0</f>
        <v>0</v>
      </c>
      <c r="CX2411" s="8">
        <f>0</f>
        <v>0</v>
      </c>
      <c r="CY2411" s="8">
        <f>1</f>
        <v>1</v>
      </c>
      <c r="DA2411" s="5" t="s">
        <v>274</v>
      </c>
      <c r="DB2411" s="5" t="s">
        <v>238</v>
      </c>
      <c r="DD2411" s="5" t="s">
        <v>274</v>
      </c>
      <c r="DE2411" s="8">
        <f>499</f>
        <v>499</v>
      </c>
      <c r="DG2411" s="5" t="s">
        <v>238</v>
      </c>
      <c r="DH2411" s="5" t="s">
        <v>238</v>
      </c>
      <c r="DI2411" s="5" t="s">
        <v>238</v>
      </c>
      <c r="DJ2411" s="5" t="s">
        <v>238</v>
      </c>
      <c r="DN2411" s="5" t="s">
        <v>238</v>
      </c>
      <c r="DO2411" s="5" t="s">
        <v>238</v>
      </c>
      <c r="DP2411" s="5" t="s">
        <v>238</v>
      </c>
      <c r="DQ2411" s="5" t="s">
        <v>238</v>
      </c>
      <c r="DT2411" s="5" t="s">
        <v>275</v>
      </c>
      <c r="DU2411" s="5" t="s">
        <v>1954</v>
      </c>
      <c r="HM2411" s="5" t="s">
        <v>264</v>
      </c>
    </row>
    <row r="2412" spans="1:221" x14ac:dyDescent="0.4">
      <c r="A2412" s="5">
        <v>4116</v>
      </c>
      <c r="B2412" s="5">
        <v>1</v>
      </c>
      <c r="C2412" s="5">
        <v>1</v>
      </c>
      <c r="D2412" s="5" t="s">
        <v>269</v>
      </c>
      <c r="E2412" s="5" t="s">
        <v>271</v>
      </c>
      <c r="F2412" s="5" t="s">
        <v>248</v>
      </c>
      <c r="G2412" s="5" t="s">
        <v>266</v>
      </c>
      <c r="H2412" s="6" t="s">
        <v>1963</v>
      </c>
      <c r="I2412" s="7">
        <f>2631</f>
        <v>2631</v>
      </c>
      <c r="J2412" s="5" t="s">
        <v>262</v>
      </c>
      <c r="K2412" s="8">
        <f>1</f>
        <v>1</v>
      </c>
      <c r="L2412" s="6" t="s">
        <v>242</v>
      </c>
      <c r="M2412" s="5" t="s">
        <v>267</v>
      </c>
      <c r="N2412" s="5" t="s">
        <v>265</v>
      </c>
      <c r="O2412" s="5" t="s">
        <v>238</v>
      </c>
      <c r="P2412" s="5" t="s">
        <v>238</v>
      </c>
      <c r="Q2412" s="5" t="s">
        <v>268</v>
      </c>
      <c r="R2412" s="5" t="s">
        <v>270</v>
      </c>
      <c r="S2412" s="5" t="s">
        <v>238</v>
      </c>
      <c r="V2412" s="5" t="s">
        <v>238</v>
      </c>
      <c r="X2412" s="6" t="s">
        <v>238</v>
      </c>
      <c r="AA2412" s="6" t="s">
        <v>243</v>
      </c>
      <c r="AB2412" s="5" t="s">
        <v>238</v>
      </c>
      <c r="AC2412" s="5" t="s">
        <v>244</v>
      </c>
      <c r="AD2412" s="5" t="s">
        <v>245</v>
      </c>
      <c r="AT2412" s="5" t="s">
        <v>246</v>
      </c>
      <c r="AU2412" s="5" t="s">
        <v>238</v>
      </c>
      <c r="AV2412" s="5" t="s">
        <v>247</v>
      </c>
      <c r="AW2412" s="5" t="s">
        <v>238</v>
      </c>
      <c r="AX2412" s="5" t="s">
        <v>249</v>
      </c>
      <c r="AY2412" s="5" t="s">
        <v>238</v>
      </c>
      <c r="BA2412" s="5" t="s">
        <v>238</v>
      </c>
      <c r="BC2412" s="5" t="s">
        <v>250</v>
      </c>
      <c r="BD2412" s="6" t="s">
        <v>243</v>
      </c>
      <c r="BE2412" s="5" t="s">
        <v>251</v>
      </c>
      <c r="BF2412" s="5" t="s">
        <v>252</v>
      </c>
      <c r="BG2412" s="5" t="s">
        <v>238</v>
      </c>
      <c r="BH2412" s="7">
        <f>0</f>
        <v>0</v>
      </c>
      <c r="BI2412" s="8">
        <f>0</f>
        <v>0</v>
      </c>
      <c r="BJ2412" s="5" t="s">
        <v>253</v>
      </c>
      <c r="BK2412" s="5" t="s">
        <v>254</v>
      </c>
      <c r="BY2412" s="5" t="s">
        <v>238</v>
      </c>
      <c r="BZ2412" s="5" t="s">
        <v>238</v>
      </c>
      <c r="CD2412" s="5" t="s">
        <v>273</v>
      </c>
      <c r="CE2412" s="5" t="s">
        <v>256</v>
      </c>
      <c r="CF2412" s="5" t="s">
        <v>238</v>
      </c>
      <c r="CI2412" s="6" t="s">
        <v>257</v>
      </c>
      <c r="CJ2412" s="5" t="s">
        <v>238</v>
      </c>
      <c r="CK2412" s="5" t="s">
        <v>258</v>
      </c>
      <c r="CL2412" s="5" t="s">
        <v>238</v>
      </c>
      <c r="CM2412" s="5" t="s">
        <v>238</v>
      </c>
      <c r="CN2412" s="5">
        <v>0</v>
      </c>
      <c r="CO2412" s="5" t="s">
        <v>259</v>
      </c>
      <c r="CP2412" s="5" t="s">
        <v>260</v>
      </c>
      <c r="CQ2412" s="5" t="s">
        <v>260</v>
      </c>
      <c r="CR2412" s="5" t="s">
        <v>261</v>
      </c>
      <c r="CU2412" s="8">
        <f>1</f>
        <v>1</v>
      </c>
      <c r="CV2412" s="8">
        <f>0</f>
        <v>0</v>
      </c>
      <c r="CX2412" s="8">
        <f>0</f>
        <v>0</v>
      </c>
      <c r="CY2412" s="8">
        <f>1</f>
        <v>1</v>
      </c>
      <c r="DA2412" s="5" t="s">
        <v>274</v>
      </c>
      <c r="DB2412" s="5" t="s">
        <v>238</v>
      </c>
      <c r="DD2412" s="5" t="s">
        <v>274</v>
      </c>
      <c r="DE2412" s="8">
        <f>2631</f>
        <v>2631</v>
      </c>
      <c r="DG2412" s="5" t="s">
        <v>238</v>
      </c>
      <c r="DH2412" s="5" t="s">
        <v>238</v>
      </c>
      <c r="DI2412" s="5" t="s">
        <v>238</v>
      </c>
      <c r="DJ2412" s="5" t="s">
        <v>238</v>
      </c>
      <c r="DN2412" s="5" t="s">
        <v>238</v>
      </c>
      <c r="DO2412" s="5" t="s">
        <v>238</v>
      </c>
      <c r="DP2412" s="5" t="s">
        <v>238</v>
      </c>
      <c r="DQ2412" s="5" t="s">
        <v>238</v>
      </c>
      <c r="DT2412" s="5" t="s">
        <v>275</v>
      </c>
      <c r="DU2412" s="5" t="s">
        <v>1964</v>
      </c>
      <c r="HM2412" s="5" t="s">
        <v>264</v>
      </c>
    </row>
    <row r="2413" spans="1:221" x14ac:dyDescent="0.4">
      <c r="A2413" s="5">
        <v>4117</v>
      </c>
      <c r="B2413" s="5">
        <v>1</v>
      </c>
      <c r="C2413" s="5">
        <v>1</v>
      </c>
      <c r="D2413" s="5" t="s">
        <v>269</v>
      </c>
      <c r="E2413" s="5" t="s">
        <v>271</v>
      </c>
      <c r="F2413" s="5" t="s">
        <v>248</v>
      </c>
      <c r="G2413" s="5" t="s">
        <v>266</v>
      </c>
      <c r="H2413" s="6" t="s">
        <v>1967</v>
      </c>
      <c r="I2413" s="7">
        <f>667</f>
        <v>667</v>
      </c>
      <c r="J2413" s="5" t="s">
        <v>262</v>
      </c>
      <c r="K2413" s="8">
        <f>1</f>
        <v>1</v>
      </c>
      <c r="L2413" s="6" t="s">
        <v>242</v>
      </c>
      <c r="M2413" s="5" t="s">
        <v>267</v>
      </c>
      <c r="N2413" s="5" t="s">
        <v>265</v>
      </c>
      <c r="O2413" s="5" t="s">
        <v>238</v>
      </c>
      <c r="P2413" s="5" t="s">
        <v>238</v>
      </c>
      <c r="Q2413" s="5" t="s">
        <v>268</v>
      </c>
      <c r="R2413" s="5" t="s">
        <v>270</v>
      </c>
      <c r="S2413" s="5" t="s">
        <v>238</v>
      </c>
      <c r="V2413" s="5" t="s">
        <v>238</v>
      </c>
      <c r="X2413" s="6" t="s">
        <v>238</v>
      </c>
      <c r="AA2413" s="6" t="s">
        <v>243</v>
      </c>
      <c r="AB2413" s="5" t="s">
        <v>238</v>
      </c>
      <c r="AC2413" s="5" t="s">
        <v>244</v>
      </c>
      <c r="AD2413" s="5" t="s">
        <v>245</v>
      </c>
      <c r="AT2413" s="5" t="s">
        <v>246</v>
      </c>
      <c r="AU2413" s="5" t="s">
        <v>238</v>
      </c>
      <c r="AV2413" s="5" t="s">
        <v>247</v>
      </c>
      <c r="AW2413" s="5" t="s">
        <v>238</v>
      </c>
      <c r="AX2413" s="5" t="s">
        <v>249</v>
      </c>
      <c r="AY2413" s="5" t="s">
        <v>238</v>
      </c>
      <c r="BA2413" s="5" t="s">
        <v>238</v>
      </c>
      <c r="BC2413" s="5" t="s">
        <v>250</v>
      </c>
      <c r="BD2413" s="6" t="s">
        <v>243</v>
      </c>
      <c r="BE2413" s="5" t="s">
        <v>251</v>
      </c>
      <c r="BF2413" s="5" t="s">
        <v>252</v>
      </c>
      <c r="BG2413" s="5" t="s">
        <v>238</v>
      </c>
      <c r="BH2413" s="7">
        <f>0</f>
        <v>0</v>
      </c>
      <c r="BI2413" s="8">
        <f>0</f>
        <v>0</v>
      </c>
      <c r="BJ2413" s="5" t="s">
        <v>253</v>
      </c>
      <c r="BK2413" s="5" t="s">
        <v>254</v>
      </c>
      <c r="BY2413" s="5" t="s">
        <v>238</v>
      </c>
      <c r="BZ2413" s="5" t="s">
        <v>238</v>
      </c>
      <c r="CD2413" s="5" t="s">
        <v>273</v>
      </c>
      <c r="CE2413" s="5" t="s">
        <v>256</v>
      </c>
      <c r="CF2413" s="5" t="s">
        <v>238</v>
      </c>
      <c r="CI2413" s="6" t="s">
        <v>257</v>
      </c>
      <c r="CJ2413" s="5" t="s">
        <v>238</v>
      </c>
      <c r="CK2413" s="5" t="s">
        <v>258</v>
      </c>
      <c r="CL2413" s="5" t="s">
        <v>238</v>
      </c>
      <c r="CM2413" s="5" t="s">
        <v>238</v>
      </c>
      <c r="CN2413" s="5">
        <v>0</v>
      </c>
      <c r="CO2413" s="5" t="s">
        <v>259</v>
      </c>
      <c r="CP2413" s="5" t="s">
        <v>260</v>
      </c>
      <c r="CQ2413" s="5" t="s">
        <v>260</v>
      </c>
      <c r="CR2413" s="5" t="s">
        <v>261</v>
      </c>
      <c r="CU2413" s="8">
        <f>1</f>
        <v>1</v>
      </c>
      <c r="CV2413" s="8">
        <f>0</f>
        <v>0</v>
      </c>
      <c r="CX2413" s="8">
        <f>0</f>
        <v>0</v>
      </c>
      <c r="CY2413" s="8">
        <f>1</f>
        <v>1</v>
      </c>
      <c r="DA2413" s="5" t="s">
        <v>274</v>
      </c>
      <c r="DB2413" s="5" t="s">
        <v>238</v>
      </c>
      <c r="DD2413" s="5" t="s">
        <v>274</v>
      </c>
      <c r="DE2413" s="8">
        <f>667</f>
        <v>667</v>
      </c>
      <c r="DG2413" s="5" t="s">
        <v>238</v>
      </c>
      <c r="DH2413" s="5" t="s">
        <v>238</v>
      </c>
      <c r="DI2413" s="5" t="s">
        <v>238</v>
      </c>
      <c r="DJ2413" s="5" t="s">
        <v>238</v>
      </c>
      <c r="DN2413" s="5" t="s">
        <v>238</v>
      </c>
      <c r="DO2413" s="5" t="s">
        <v>238</v>
      </c>
      <c r="DP2413" s="5" t="s">
        <v>238</v>
      </c>
      <c r="DQ2413" s="5" t="s">
        <v>238</v>
      </c>
      <c r="DT2413" s="5" t="s">
        <v>275</v>
      </c>
      <c r="DU2413" s="5" t="s">
        <v>1968</v>
      </c>
      <c r="HM2413" s="5" t="s">
        <v>264</v>
      </c>
    </row>
    <row r="2414" spans="1:221" x14ac:dyDescent="0.4">
      <c r="A2414" s="5">
        <v>4118</v>
      </c>
      <c r="B2414" s="5">
        <v>1</v>
      </c>
      <c r="C2414" s="5">
        <v>1</v>
      </c>
      <c r="D2414" s="5" t="s">
        <v>269</v>
      </c>
      <c r="E2414" s="5" t="s">
        <v>271</v>
      </c>
      <c r="F2414" s="5" t="s">
        <v>248</v>
      </c>
      <c r="G2414" s="5" t="s">
        <v>266</v>
      </c>
      <c r="H2414" s="6" t="s">
        <v>1980</v>
      </c>
      <c r="I2414" s="7">
        <f>215</f>
        <v>215</v>
      </c>
      <c r="J2414" s="5" t="s">
        <v>262</v>
      </c>
      <c r="K2414" s="8">
        <f>1</f>
        <v>1</v>
      </c>
      <c r="L2414" s="6" t="s">
        <v>242</v>
      </c>
      <c r="M2414" s="5" t="s">
        <v>267</v>
      </c>
      <c r="N2414" s="5" t="s">
        <v>265</v>
      </c>
      <c r="O2414" s="5" t="s">
        <v>238</v>
      </c>
      <c r="P2414" s="5" t="s">
        <v>238</v>
      </c>
      <c r="Q2414" s="5" t="s">
        <v>268</v>
      </c>
      <c r="R2414" s="5" t="s">
        <v>270</v>
      </c>
      <c r="S2414" s="5" t="s">
        <v>238</v>
      </c>
      <c r="V2414" s="5" t="s">
        <v>238</v>
      </c>
      <c r="X2414" s="6" t="s">
        <v>238</v>
      </c>
      <c r="AA2414" s="6" t="s">
        <v>243</v>
      </c>
      <c r="AB2414" s="5" t="s">
        <v>238</v>
      </c>
      <c r="AC2414" s="5" t="s">
        <v>244</v>
      </c>
      <c r="AD2414" s="5" t="s">
        <v>245</v>
      </c>
      <c r="AT2414" s="5" t="s">
        <v>246</v>
      </c>
      <c r="AU2414" s="5" t="s">
        <v>238</v>
      </c>
      <c r="AV2414" s="5" t="s">
        <v>247</v>
      </c>
      <c r="AW2414" s="5" t="s">
        <v>238</v>
      </c>
      <c r="AX2414" s="5" t="s">
        <v>249</v>
      </c>
      <c r="AY2414" s="5" t="s">
        <v>238</v>
      </c>
      <c r="BA2414" s="5" t="s">
        <v>238</v>
      </c>
      <c r="BC2414" s="5" t="s">
        <v>250</v>
      </c>
      <c r="BD2414" s="6" t="s">
        <v>243</v>
      </c>
      <c r="BE2414" s="5" t="s">
        <v>251</v>
      </c>
      <c r="BF2414" s="5" t="s">
        <v>252</v>
      </c>
      <c r="BG2414" s="5" t="s">
        <v>238</v>
      </c>
      <c r="BH2414" s="7">
        <f>0</f>
        <v>0</v>
      </c>
      <c r="BI2414" s="8">
        <f>0</f>
        <v>0</v>
      </c>
      <c r="BJ2414" s="5" t="s">
        <v>253</v>
      </c>
      <c r="BK2414" s="5" t="s">
        <v>254</v>
      </c>
      <c r="BY2414" s="5" t="s">
        <v>238</v>
      </c>
      <c r="BZ2414" s="5" t="s">
        <v>238</v>
      </c>
      <c r="CD2414" s="5" t="s">
        <v>273</v>
      </c>
      <c r="CE2414" s="5" t="s">
        <v>256</v>
      </c>
      <c r="CF2414" s="5" t="s">
        <v>238</v>
      </c>
      <c r="CI2414" s="6" t="s">
        <v>257</v>
      </c>
      <c r="CJ2414" s="5" t="s">
        <v>238</v>
      </c>
      <c r="CK2414" s="5" t="s">
        <v>258</v>
      </c>
      <c r="CL2414" s="5" t="s">
        <v>238</v>
      </c>
      <c r="CM2414" s="5" t="s">
        <v>238</v>
      </c>
      <c r="CN2414" s="5">
        <v>0</v>
      </c>
      <c r="CO2414" s="5" t="s">
        <v>259</v>
      </c>
      <c r="CP2414" s="5" t="s">
        <v>260</v>
      </c>
      <c r="CQ2414" s="5" t="s">
        <v>260</v>
      </c>
      <c r="CR2414" s="5" t="s">
        <v>261</v>
      </c>
      <c r="CU2414" s="8">
        <f>1</f>
        <v>1</v>
      </c>
      <c r="CV2414" s="8">
        <f>0</f>
        <v>0</v>
      </c>
      <c r="CX2414" s="8">
        <f>0</f>
        <v>0</v>
      </c>
      <c r="CY2414" s="8">
        <f>1</f>
        <v>1</v>
      </c>
      <c r="DA2414" s="5" t="s">
        <v>274</v>
      </c>
      <c r="DB2414" s="5" t="s">
        <v>238</v>
      </c>
      <c r="DD2414" s="5" t="s">
        <v>274</v>
      </c>
      <c r="DE2414" s="8">
        <f>215</f>
        <v>215</v>
      </c>
      <c r="DG2414" s="5" t="s">
        <v>238</v>
      </c>
      <c r="DH2414" s="5" t="s">
        <v>238</v>
      </c>
      <c r="DI2414" s="5" t="s">
        <v>238</v>
      </c>
      <c r="DJ2414" s="5" t="s">
        <v>238</v>
      </c>
      <c r="DN2414" s="5" t="s">
        <v>238</v>
      </c>
      <c r="DO2414" s="5" t="s">
        <v>238</v>
      </c>
      <c r="DP2414" s="5" t="s">
        <v>238</v>
      </c>
      <c r="DQ2414" s="5" t="s">
        <v>238</v>
      </c>
      <c r="DT2414" s="5" t="s">
        <v>275</v>
      </c>
      <c r="DU2414" s="5" t="s">
        <v>1981</v>
      </c>
      <c r="HM2414" s="5" t="s">
        <v>264</v>
      </c>
    </row>
    <row r="2415" spans="1:221" x14ac:dyDescent="0.4">
      <c r="A2415" s="5">
        <v>4119</v>
      </c>
      <c r="B2415" s="5">
        <v>1</v>
      </c>
      <c r="C2415" s="5">
        <v>1</v>
      </c>
      <c r="D2415" s="5" t="s">
        <v>269</v>
      </c>
      <c r="E2415" s="5" t="s">
        <v>271</v>
      </c>
      <c r="F2415" s="5" t="s">
        <v>248</v>
      </c>
      <c r="G2415" s="5" t="s">
        <v>266</v>
      </c>
      <c r="H2415" s="6" t="s">
        <v>1984</v>
      </c>
      <c r="I2415" s="7">
        <f>807</f>
        <v>807</v>
      </c>
      <c r="J2415" s="5" t="s">
        <v>262</v>
      </c>
      <c r="K2415" s="8">
        <f>1</f>
        <v>1</v>
      </c>
      <c r="L2415" s="6" t="s">
        <v>242</v>
      </c>
      <c r="M2415" s="5" t="s">
        <v>267</v>
      </c>
      <c r="N2415" s="5" t="s">
        <v>265</v>
      </c>
      <c r="O2415" s="5" t="s">
        <v>238</v>
      </c>
      <c r="P2415" s="5" t="s">
        <v>238</v>
      </c>
      <c r="Q2415" s="5" t="s">
        <v>268</v>
      </c>
      <c r="R2415" s="5" t="s">
        <v>270</v>
      </c>
      <c r="S2415" s="5" t="s">
        <v>238</v>
      </c>
      <c r="V2415" s="5" t="s">
        <v>238</v>
      </c>
      <c r="X2415" s="6" t="s">
        <v>238</v>
      </c>
      <c r="AA2415" s="6" t="s">
        <v>243</v>
      </c>
      <c r="AB2415" s="5" t="s">
        <v>238</v>
      </c>
      <c r="AC2415" s="5" t="s">
        <v>244</v>
      </c>
      <c r="AD2415" s="5" t="s">
        <v>245</v>
      </c>
      <c r="AT2415" s="5" t="s">
        <v>246</v>
      </c>
      <c r="AU2415" s="5" t="s">
        <v>238</v>
      </c>
      <c r="AV2415" s="5" t="s">
        <v>247</v>
      </c>
      <c r="AW2415" s="5" t="s">
        <v>238</v>
      </c>
      <c r="AX2415" s="5" t="s">
        <v>249</v>
      </c>
      <c r="AY2415" s="5" t="s">
        <v>238</v>
      </c>
      <c r="BA2415" s="5" t="s">
        <v>238</v>
      </c>
      <c r="BC2415" s="5" t="s">
        <v>250</v>
      </c>
      <c r="BD2415" s="6" t="s">
        <v>243</v>
      </c>
      <c r="BE2415" s="5" t="s">
        <v>251</v>
      </c>
      <c r="BF2415" s="5" t="s">
        <v>252</v>
      </c>
      <c r="BG2415" s="5" t="s">
        <v>238</v>
      </c>
      <c r="BH2415" s="7">
        <f>0</f>
        <v>0</v>
      </c>
      <c r="BI2415" s="8">
        <f>0</f>
        <v>0</v>
      </c>
      <c r="BJ2415" s="5" t="s">
        <v>253</v>
      </c>
      <c r="BK2415" s="5" t="s">
        <v>254</v>
      </c>
      <c r="BY2415" s="5" t="s">
        <v>238</v>
      </c>
      <c r="BZ2415" s="5" t="s">
        <v>238</v>
      </c>
      <c r="CD2415" s="5" t="s">
        <v>273</v>
      </c>
      <c r="CE2415" s="5" t="s">
        <v>256</v>
      </c>
      <c r="CF2415" s="5" t="s">
        <v>238</v>
      </c>
      <c r="CI2415" s="6" t="s">
        <v>257</v>
      </c>
      <c r="CJ2415" s="5" t="s">
        <v>238</v>
      </c>
      <c r="CK2415" s="5" t="s">
        <v>258</v>
      </c>
      <c r="CL2415" s="5" t="s">
        <v>238</v>
      </c>
      <c r="CM2415" s="5" t="s">
        <v>238</v>
      </c>
      <c r="CN2415" s="5">
        <v>0</v>
      </c>
      <c r="CO2415" s="5" t="s">
        <v>259</v>
      </c>
      <c r="CP2415" s="5" t="s">
        <v>260</v>
      </c>
      <c r="CQ2415" s="5" t="s">
        <v>260</v>
      </c>
      <c r="CR2415" s="5" t="s">
        <v>261</v>
      </c>
      <c r="CU2415" s="8">
        <f>1</f>
        <v>1</v>
      </c>
      <c r="CV2415" s="8">
        <f>0</f>
        <v>0</v>
      </c>
      <c r="CX2415" s="8">
        <f>0</f>
        <v>0</v>
      </c>
      <c r="CY2415" s="8">
        <f>1</f>
        <v>1</v>
      </c>
      <c r="DA2415" s="5" t="s">
        <v>274</v>
      </c>
      <c r="DB2415" s="5" t="s">
        <v>238</v>
      </c>
      <c r="DD2415" s="5" t="s">
        <v>274</v>
      </c>
      <c r="DE2415" s="8">
        <f>807</f>
        <v>807</v>
      </c>
      <c r="DG2415" s="5" t="s">
        <v>238</v>
      </c>
      <c r="DH2415" s="5" t="s">
        <v>238</v>
      </c>
      <c r="DI2415" s="5" t="s">
        <v>238</v>
      </c>
      <c r="DJ2415" s="5" t="s">
        <v>238</v>
      </c>
      <c r="DN2415" s="5" t="s">
        <v>238</v>
      </c>
      <c r="DO2415" s="5" t="s">
        <v>238</v>
      </c>
      <c r="DP2415" s="5" t="s">
        <v>238</v>
      </c>
      <c r="DQ2415" s="5" t="s">
        <v>238</v>
      </c>
      <c r="DT2415" s="5" t="s">
        <v>275</v>
      </c>
      <c r="DU2415" s="5" t="s">
        <v>1985</v>
      </c>
      <c r="HM2415" s="5" t="s">
        <v>264</v>
      </c>
    </row>
    <row r="2416" spans="1:221" x14ac:dyDescent="0.4">
      <c r="A2416" s="5">
        <v>4120</v>
      </c>
      <c r="B2416" s="5">
        <v>1</v>
      </c>
      <c r="C2416" s="5">
        <v>1</v>
      </c>
      <c r="D2416" s="5" t="s">
        <v>269</v>
      </c>
      <c r="E2416" s="5" t="s">
        <v>271</v>
      </c>
      <c r="F2416" s="5" t="s">
        <v>248</v>
      </c>
      <c r="G2416" s="5" t="s">
        <v>266</v>
      </c>
      <c r="H2416" s="6" t="s">
        <v>1994</v>
      </c>
      <c r="I2416" s="7">
        <f>808</f>
        <v>808</v>
      </c>
      <c r="J2416" s="5" t="s">
        <v>262</v>
      </c>
      <c r="K2416" s="8">
        <f>1</f>
        <v>1</v>
      </c>
      <c r="L2416" s="6" t="s">
        <v>242</v>
      </c>
      <c r="M2416" s="5" t="s">
        <v>267</v>
      </c>
      <c r="N2416" s="5" t="s">
        <v>265</v>
      </c>
      <c r="O2416" s="5" t="s">
        <v>238</v>
      </c>
      <c r="P2416" s="5" t="s">
        <v>238</v>
      </c>
      <c r="Q2416" s="5" t="s">
        <v>268</v>
      </c>
      <c r="R2416" s="5" t="s">
        <v>270</v>
      </c>
      <c r="S2416" s="5" t="s">
        <v>238</v>
      </c>
      <c r="V2416" s="5" t="s">
        <v>238</v>
      </c>
      <c r="X2416" s="6" t="s">
        <v>238</v>
      </c>
      <c r="AA2416" s="6" t="s">
        <v>243</v>
      </c>
      <c r="AB2416" s="5" t="s">
        <v>238</v>
      </c>
      <c r="AC2416" s="5" t="s">
        <v>244</v>
      </c>
      <c r="AD2416" s="5" t="s">
        <v>245</v>
      </c>
      <c r="AT2416" s="5" t="s">
        <v>246</v>
      </c>
      <c r="AU2416" s="5" t="s">
        <v>238</v>
      </c>
      <c r="AV2416" s="5" t="s">
        <v>247</v>
      </c>
      <c r="AW2416" s="5" t="s">
        <v>238</v>
      </c>
      <c r="AX2416" s="5" t="s">
        <v>249</v>
      </c>
      <c r="AY2416" s="5" t="s">
        <v>238</v>
      </c>
      <c r="BA2416" s="5" t="s">
        <v>238</v>
      </c>
      <c r="BC2416" s="5" t="s">
        <v>250</v>
      </c>
      <c r="BD2416" s="6" t="s">
        <v>243</v>
      </c>
      <c r="BE2416" s="5" t="s">
        <v>251</v>
      </c>
      <c r="BF2416" s="5" t="s">
        <v>252</v>
      </c>
      <c r="BG2416" s="5" t="s">
        <v>238</v>
      </c>
      <c r="BH2416" s="7">
        <f>0</f>
        <v>0</v>
      </c>
      <c r="BI2416" s="8">
        <f>0</f>
        <v>0</v>
      </c>
      <c r="BJ2416" s="5" t="s">
        <v>253</v>
      </c>
      <c r="BK2416" s="5" t="s">
        <v>254</v>
      </c>
      <c r="BY2416" s="5" t="s">
        <v>238</v>
      </c>
      <c r="BZ2416" s="5" t="s">
        <v>238</v>
      </c>
      <c r="CD2416" s="5" t="s">
        <v>273</v>
      </c>
      <c r="CE2416" s="5" t="s">
        <v>256</v>
      </c>
      <c r="CF2416" s="5" t="s">
        <v>238</v>
      </c>
      <c r="CI2416" s="6" t="s">
        <v>257</v>
      </c>
      <c r="CJ2416" s="5" t="s">
        <v>238</v>
      </c>
      <c r="CK2416" s="5" t="s">
        <v>258</v>
      </c>
      <c r="CL2416" s="5" t="s">
        <v>238</v>
      </c>
      <c r="CM2416" s="5" t="s">
        <v>238</v>
      </c>
      <c r="CN2416" s="5">
        <v>0</v>
      </c>
      <c r="CO2416" s="5" t="s">
        <v>259</v>
      </c>
      <c r="CP2416" s="5" t="s">
        <v>260</v>
      </c>
      <c r="CQ2416" s="5" t="s">
        <v>260</v>
      </c>
      <c r="CR2416" s="5" t="s">
        <v>261</v>
      </c>
      <c r="CU2416" s="8">
        <f>1</f>
        <v>1</v>
      </c>
      <c r="CV2416" s="8">
        <f>0</f>
        <v>0</v>
      </c>
      <c r="CX2416" s="8">
        <f>0</f>
        <v>0</v>
      </c>
      <c r="CY2416" s="8">
        <f>1</f>
        <v>1</v>
      </c>
      <c r="DA2416" s="5" t="s">
        <v>274</v>
      </c>
      <c r="DB2416" s="5" t="s">
        <v>238</v>
      </c>
      <c r="DD2416" s="5" t="s">
        <v>274</v>
      </c>
      <c r="DE2416" s="8">
        <f>808</f>
        <v>808</v>
      </c>
      <c r="DG2416" s="5" t="s">
        <v>238</v>
      </c>
      <c r="DH2416" s="5" t="s">
        <v>238</v>
      </c>
      <c r="DI2416" s="5" t="s">
        <v>238</v>
      </c>
      <c r="DJ2416" s="5" t="s">
        <v>238</v>
      </c>
      <c r="DN2416" s="5" t="s">
        <v>238</v>
      </c>
      <c r="DO2416" s="5" t="s">
        <v>238</v>
      </c>
      <c r="DP2416" s="5" t="s">
        <v>238</v>
      </c>
      <c r="DQ2416" s="5" t="s">
        <v>238</v>
      </c>
      <c r="DT2416" s="5" t="s">
        <v>275</v>
      </c>
      <c r="DU2416" s="5" t="s">
        <v>1995</v>
      </c>
      <c r="HM2416" s="5" t="s">
        <v>264</v>
      </c>
    </row>
    <row r="2417" spans="1:221" x14ac:dyDescent="0.4">
      <c r="A2417" s="5">
        <v>4121</v>
      </c>
      <c r="B2417" s="5">
        <v>1</v>
      </c>
      <c r="C2417" s="5">
        <v>1</v>
      </c>
      <c r="D2417" s="5" t="s">
        <v>269</v>
      </c>
      <c r="E2417" s="5" t="s">
        <v>271</v>
      </c>
      <c r="F2417" s="5" t="s">
        <v>248</v>
      </c>
      <c r="G2417" s="5" t="s">
        <v>266</v>
      </c>
      <c r="H2417" s="6" t="s">
        <v>1998</v>
      </c>
      <c r="I2417" s="7">
        <f>2368</f>
        <v>2368</v>
      </c>
      <c r="J2417" s="5" t="s">
        <v>262</v>
      </c>
      <c r="K2417" s="8">
        <f>1</f>
        <v>1</v>
      </c>
      <c r="L2417" s="6" t="s">
        <v>242</v>
      </c>
      <c r="M2417" s="5" t="s">
        <v>267</v>
      </c>
      <c r="N2417" s="5" t="s">
        <v>265</v>
      </c>
      <c r="O2417" s="5" t="s">
        <v>238</v>
      </c>
      <c r="P2417" s="5" t="s">
        <v>238</v>
      </c>
      <c r="Q2417" s="5" t="s">
        <v>268</v>
      </c>
      <c r="R2417" s="5" t="s">
        <v>270</v>
      </c>
      <c r="S2417" s="5" t="s">
        <v>238</v>
      </c>
      <c r="V2417" s="5" t="s">
        <v>238</v>
      </c>
      <c r="X2417" s="6" t="s">
        <v>238</v>
      </c>
      <c r="AA2417" s="6" t="s">
        <v>243</v>
      </c>
      <c r="AB2417" s="5" t="s">
        <v>238</v>
      </c>
      <c r="AC2417" s="5" t="s">
        <v>244</v>
      </c>
      <c r="AD2417" s="5" t="s">
        <v>245</v>
      </c>
      <c r="AT2417" s="5" t="s">
        <v>246</v>
      </c>
      <c r="AU2417" s="5" t="s">
        <v>238</v>
      </c>
      <c r="AV2417" s="5" t="s">
        <v>247</v>
      </c>
      <c r="AW2417" s="5" t="s">
        <v>238</v>
      </c>
      <c r="AX2417" s="5" t="s">
        <v>249</v>
      </c>
      <c r="AY2417" s="5" t="s">
        <v>238</v>
      </c>
      <c r="BA2417" s="5" t="s">
        <v>238</v>
      </c>
      <c r="BC2417" s="5" t="s">
        <v>250</v>
      </c>
      <c r="BD2417" s="6" t="s">
        <v>243</v>
      </c>
      <c r="BE2417" s="5" t="s">
        <v>251</v>
      </c>
      <c r="BF2417" s="5" t="s">
        <v>252</v>
      </c>
      <c r="BG2417" s="5" t="s">
        <v>238</v>
      </c>
      <c r="BH2417" s="7">
        <f>0</f>
        <v>0</v>
      </c>
      <c r="BI2417" s="8">
        <f>0</f>
        <v>0</v>
      </c>
      <c r="BJ2417" s="5" t="s">
        <v>253</v>
      </c>
      <c r="BK2417" s="5" t="s">
        <v>254</v>
      </c>
      <c r="BY2417" s="5" t="s">
        <v>238</v>
      </c>
      <c r="BZ2417" s="5" t="s">
        <v>238</v>
      </c>
      <c r="CD2417" s="5" t="s">
        <v>273</v>
      </c>
      <c r="CE2417" s="5" t="s">
        <v>256</v>
      </c>
      <c r="CF2417" s="5" t="s">
        <v>238</v>
      </c>
      <c r="CI2417" s="6" t="s">
        <v>257</v>
      </c>
      <c r="CJ2417" s="5" t="s">
        <v>238</v>
      </c>
      <c r="CK2417" s="5" t="s">
        <v>258</v>
      </c>
      <c r="CL2417" s="5" t="s">
        <v>238</v>
      </c>
      <c r="CM2417" s="5" t="s">
        <v>238</v>
      </c>
      <c r="CN2417" s="5">
        <v>0</v>
      </c>
      <c r="CO2417" s="5" t="s">
        <v>259</v>
      </c>
      <c r="CP2417" s="5" t="s">
        <v>260</v>
      </c>
      <c r="CQ2417" s="5" t="s">
        <v>260</v>
      </c>
      <c r="CR2417" s="5" t="s">
        <v>261</v>
      </c>
      <c r="CU2417" s="8">
        <f>1</f>
        <v>1</v>
      </c>
      <c r="CV2417" s="8">
        <f>0</f>
        <v>0</v>
      </c>
      <c r="CX2417" s="8">
        <f>0</f>
        <v>0</v>
      </c>
      <c r="CY2417" s="8">
        <f>1</f>
        <v>1</v>
      </c>
      <c r="DA2417" s="5" t="s">
        <v>274</v>
      </c>
      <c r="DB2417" s="5" t="s">
        <v>238</v>
      </c>
      <c r="DD2417" s="5" t="s">
        <v>274</v>
      </c>
      <c r="DE2417" s="8">
        <f>2368</f>
        <v>2368</v>
      </c>
      <c r="DG2417" s="5" t="s">
        <v>238</v>
      </c>
      <c r="DH2417" s="5" t="s">
        <v>238</v>
      </c>
      <c r="DI2417" s="5" t="s">
        <v>238</v>
      </c>
      <c r="DJ2417" s="5" t="s">
        <v>238</v>
      </c>
      <c r="DN2417" s="5" t="s">
        <v>238</v>
      </c>
      <c r="DO2417" s="5" t="s">
        <v>238</v>
      </c>
      <c r="DP2417" s="5" t="s">
        <v>238</v>
      </c>
      <c r="DQ2417" s="5" t="s">
        <v>238</v>
      </c>
      <c r="DT2417" s="5" t="s">
        <v>275</v>
      </c>
      <c r="DU2417" s="5" t="s">
        <v>1999</v>
      </c>
      <c r="HM2417" s="5" t="s">
        <v>264</v>
      </c>
    </row>
    <row r="2418" spans="1:221" x14ac:dyDescent="0.4">
      <c r="A2418" s="5">
        <v>4122</v>
      </c>
      <c r="B2418" s="5">
        <v>1</v>
      </c>
      <c r="C2418" s="5">
        <v>1</v>
      </c>
      <c r="D2418" s="5" t="s">
        <v>269</v>
      </c>
      <c r="E2418" s="5" t="s">
        <v>271</v>
      </c>
      <c r="F2418" s="5" t="s">
        <v>248</v>
      </c>
      <c r="G2418" s="5" t="s">
        <v>266</v>
      </c>
      <c r="H2418" s="6" t="s">
        <v>2012</v>
      </c>
      <c r="I2418" s="7">
        <f>245</f>
        <v>245</v>
      </c>
      <c r="J2418" s="5" t="s">
        <v>262</v>
      </c>
      <c r="K2418" s="8">
        <f>1</f>
        <v>1</v>
      </c>
      <c r="L2418" s="6" t="s">
        <v>242</v>
      </c>
      <c r="M2418" s="5" t="s">
        <v>267</v>
      </c>
      <c r="N2418" s="5" t="s">
        <v>265</v>
      </c>
      <c r="O2418" s="5" t="s">
        <v>238</v>
      </c>
      <c r="P2418" s="5" t="s">
        <v>238</v>
      </c>
      <c r="Q2418" s="5" t="s">
        <v>268</v>
      </c>
      <c r="R2418" s="5" t="s">
        <v>270</v>
      </c>
      <c r="S2418" s="5" t="s">
        <v>238</v>
      </c>
      <c r="V2418" s="5" t="s">
        <v>238</v>
      </c>
      <c r="X2418" s="6" t="s">
        <v>238</v>
      </c>
      <c r="AA2418" s="6" t="s">
        <v>243</v>
      </c>
      <c r="AB2418" s="5" t="s">
        <v>238</v>
      </c>
      <c r="AC2418" s="5" t="s">
        <v>244</v>
      </c>
      <c r="AD2418" s="5" t="s">
        <v>245</v>
      </c>
      <c r="AT2418" s="5" t="s">
        <v>246</v>
      </c>
      <c r="AU2418" s="5" t="s">
        <v>238</v>
      </c>
      <c r="AV2418" s="5" t="s">
        <v>247</v>
      </c>
      <c r="AW2418" s="5" t="s">
        <v>238</v>
      </c>
      <c r="AX2418" s="5" t="s">
        <v>249</v>
      </c>
      <c r="AY2418" s="5" t="s">
        <v>238</v>
      </c>
      <c r="BA2418" s="5" t="s">
        <v>238</v>
      </c>
      <c r="BC2418" s="5" t="s">
        <v>250</v>
      </c>
      <c r="BD2418" s="6" t="s">
        <v>243</v>
      </c>
      <c r="BE2418" s="5" t="s">
        <v>251</v>
      </c>
      <c r="BF2418" s="5" t="s">
        <v>252</v>
      </c>
      <c r="BG2418" s="5" t="s">
        <v>238</v>
      </c>
      <c r="BH2418" s="7">
        <f>0</f>
        <v>0</v>
      </c>
      <c r="BI2418" s="8">
        <f>0</f>
        <v>0</v>
      </c>
      <c r="BJ2418" s="5" t="s">
        <v>253</v>
      </c>
      <c r="BK2418" s="5" t="s">
        <v>254</v>
      </c>
      <c r="BY2418" s="5" t="s">
        <v>238</v>
      </c>
      <c r="BZ2418" s="5" t="s">
        <v>238</v>
      </c>
      <c r="CD2418" s="5" t="s">
        <v>273</v>
      </c>
      <c r="CE2418" s="5" t="s">
        <v>256</v>
      </c>
      <c r="CF2418" s="5" t="s">
        <v>238</v>
      </c>
      <c r="CI2418" s="6" t="s">
        <v>257</v>
      </c>
      <c r="CJ2418" s="5" t="s">
        <v>238</v>
      </c>
      <c r="CK2418" s="5" t="s">
        <v>258</v>
      </c>
      <c r="CL2418" s="5" t="s">
        <v>238</v>
      </c>
      <c r="CM2418" s="5" t="s">
        <v>238</v>
      </c>
      <c r="CN2418" s="5">
        <v>0</v>
      </c>
      <c r="CO2418" s="5" t="s">
        <v>259</v>
      </c>
      <c r="CP2418" s="5" t="s">
        <v>260</v>
      </c>
      <c r="CQ2418" s="5" t="s">
        <v>260</v>
      </c>
      <c r="CR2418" s="5" t="s">
        <v>261</v>
      </c>
      <c r="CU2418" s="8">
        <f>1</f>
        <v>1</v>
      </c>
      <c r="CV2418" s="8">
        <f>0</f>
        <v>0</v>
      </c>
      <c r="CX2418" s="8">
        <f>0</f>
        <v>0</v>
      </c>
      <c r="CY2418" s="8">
        <f>1</f>
        <v>1</v>
      </c>
      <c r="DA2418" s="5" t="s">
        <v>274</v>
      </c>
      <c r="DB2418" s="5" t="s">
        <v>238</v>
      </c>
      <c r="DD2418" s="5" t="s">
        <v>274</v>
      </c>
      <c r="DE2418" s="8">
        <f>245</f>
        <v>245</v>
      </c>
      <c r="DG2418" s="5" t="s">
        <v>238</v>
      </c>
      <c r="DH2418" s="5" t="s">
        <v>238</v>
      </c>
      <c r="DI2418" s="5" t="s">
        <v>238</v>
      </c>
      <c r="DJ2418" s="5" t="s">
        <v>238</v>
      </c>
      <c r="DN2418" s="5" t="s">
        <v>238</v>
      </c>
      <c r="DO2418" s="5" t="s">
        <v>238</v>
      </c>
      <c r="DP2418" s="5" t="s">
        <v>238</v>
      </c>
      <c r="DQ2418" s="5" t="s">
        <v>238</v>
      </c>
      <c r="DT2418" s="5" t="s">
        <v>275</v>
      </c>
      <c r="DU2418" s="5" t="s">
        <v>2013</v>
      </c>
      <c r="HM2418" s="5" t="s">
        <v>264</v>
      </c>
    </row>
    <row r="2419" spans="1:221" x14ac:dyDescent="0.4">
      <c r="A2419" s="5">
        <v>4123</v>
      </c>
      <c r="B2419" s="5">
        <v>1</v>
      </c>
      <c r="C2419" s="5">
        <v>1</v>
      </c>
      <c r="D2419" s="5" t="s">
        <v>269</v>
      </c>
      <c r="E2419" s="5" t="s">
        <v>271</v>
      </c>
      <c r="F2419" s="5" t="s">
        <v>248</v>
      </c>
      <c r="G2419" s="5" t="s">
        <v>266</v>
      </c>
      <c r="H2419" s="6" t="s">
        <v>2014</v>
      </c>
      <c r="I2419" s="7">
        <f>911</f>
        <v>911</v>
      </c>
      <c r="J2419" s="5" t="s">
        <v>262</v>
      </c>
      <c r="K2419" s="8">
        <f>1</f>
        <v>1</v>
      </c>
      <c r="L2419" s="6" t="s">
        <v>242</v>
      </c>
      <c r="M2419" s="5" t="s">
        <v>267</v>
      </c>
      <c r="N2419" s="5" t="s">
        <v>265</v>
      </c>
      <c r="O2419" s="5" t="s">
        <v>238</v>
      </c>
      <c r="P2419" s="5" t="s">
        <v>238</v>
      </c>
      <c r="Q2419" s="5" t="s">
        <v>268</v>
      </c>
      <c r="R2419" s="5" t="s">
        <v>270</v>
      </c>
      <c r="S2419" s="5" t="s">
        <v>238</v>
      </c>
      <c r="V2419" s="5" t="s">
        <v>238</v>
      </c>
      <c r="X2419" s="6" t="s">
        <v>238</v>
      </c>
      <c r="AA2419" s="6" t="s">
        <v>243</v>
      </c>
      <c r="AB2419" s="5" t="s">
        <v>238</v>
      </c>
      <c r="AC2419" s="5" t="s">
        <v>244</v>
      </c>
      <c r="AD2419" s="5" t="s">
        <v>245</v>
      </c>
      <c r="AT2419" s="5" t="s">
        <v>246</v>
      </c>
      <c r="AU2419" s="5" t="s">
        <v>238</v>
      </c>
      <c r="AV2419" s="5" t="s">
        <v>247</v>
      </c>
      <c r="AW2419" s="5" t="s">
        <v>238</v>
      </c>
      <c r="AX2419" s="5" t="s">
        <v>249</v>
      </c>
      <c r="AY2419" s="5" t="s">
        <v>238</v>
      </c>
      <c r="BA2419" s="5" t="s">
        <v>238</v>
      </c>
      <c r="BC2419" s="5" t="s">
        <v>250</v>
      </c>
      <c r="BD2419" s="6" t="s">
        <v>243</v>
      </c>
      <c r="BE2419" s="5" t="s">
        <v>251</v>
      </c>
      <c r="BF2419" s="5" t="s">
        <v>252</v>
      </c>
      <c r="BG2419" s="5" t="s">
        <v>238</v>
      </c>
      <c r="BH2419" s="7">
        <f>0</f>
        <v>0</v>
      </c>
      <c r="BI2419" s="8">
        <f>0</f>
        <v>0</v>
      </c>
      <c r="BJ2419" s="5" t="s">
        <v>253</v>
      </c>
      <c r="BK2419" s="5" t="s">
        <v>254</v>
      </c>
      <c r="BY2419" s="5" t="s">
        <v>238</v>
      </c>
      <c r="BZ2419" s="5" t="s">
        <v>238</v>
      </c>
      <c r="CD2419" s="5" t="s">
        <v>273</v>
      </c>
      <c r="CE2419" s="5" t="s">
        <v>256</v>
      </c>
      <c r="CF2419" s="5" t="s">
        <v>238</v>
      </c>
      <c r="CI2419" s="6" t="s">
        <v>257</v>
      </c>
      <c r="CJ2419" s="5" t="s">
        <v>238</v>
      </c>
      <c r="CK2419" s="5" t="s">
        <v>258</v>
      </c>
      <c r="CL2419" s="5" t="s">
        <v>238</v>
      </c>
      <c r="CM2419" s="5" t="s">
        <v>238</v>
      </c>
      <c r="CN2419" s="5">
        <v>0</v>
      </c>
      <c r="CO2419" s="5" t="s">
        <v>259</v>
      </c>
      <c r="CP2419" s="5" t="s">
        <v>260</v>
      </c>
      <c r="CQ2419" s="5" t="s">
        <v>260</v>
      </c>
      <c r="CR2419" s="5" t="s">
        <v>261</v>
      </c>
      <c r="CU2419" s="8">
        <f>1</f>
        <v>1</v>
      </c>
      <c r="CV2419" s="8">
        <f>0</f>
        <v>0</v>
      </c>
      <c r="CX2419" s="8">
        <f>0</f>
        <v>0</v>
      </c>
      <c r="CY2419" s="8">
        <f>1</f>
        <v>1</v>
      </c>
      <c r="DA2419" s="5" t="s">
        <v>274</v>
      </c>
      <c r="DB2419" s="5" t="s">
        <v>238</v>
      </c>
      <c r="DD2419" s="5" t="s">
        <v>274</v>
      </c>
      <c r="DE2419" s="8">
        <f>911</f>
        <v>911</v>
      </c>
      <c r="DG2419" s="5" t="s">
        <v>238</v>
      </c>
      <c r="DH2419" s="5" t="s">
        <v>238</v>
      </c>
      <c r="DI2419" s="5" t="s">
        <v>238</v>
      </c>
      <c r="DJ2419" s="5" t="s">
        <v>238</v>
      </c>
      <c r="DN2419" s="5" t="s">
        <v>238</v>
      </c>
      <c r="DO2419" s="5" t="s">
        <v>238</v>
      </c>
      <c r="DP2419" s="5" t="s">
        <v>238</v>
      </c>
      <c r="DQ2419" s="5" t="s">
        <v>238</v>
      </c>
      <c r="DT2419" s="5" t="s">
        <v>275</v>
      </c>
      <c r="DU2419" s="5" t="s">
        <v>2015</v>
      </c>
      <c r="HM2419" s="5" t="s">
        <v>264</v>
      </c>
    </row>
    <row r="2420" spans="1:221" x14ac:dyDescent="0.4">
      <c r="A2420" s="5">
        <v>4124</v>
      </c>
      <c r="B2420" s="5">
        <v>1</v>
      </c>
      <c r="C2420" s="5">
        <v>1</v>
      </c>
      <c r="D2420" s="5" t="s">
        <v>269</v>
      </c>
      <c r="E2420" s="5" t="s">
        <v>271</v>
      </c>
      <c r="F2420" s="5" t="s">
        <v>248</v>
      </c>
      <c r="G2420" s="5" t="s">
        <v>266</v>
      </c>
      <c r="H2420" s="6" t="s">
        <v>2024</v>
      </c>
      <c r="I2420" s="7">
        <f>75</f>
        <v>75</v>
      </c>
      <c r="J2420" s="5" t="s">
        <v>262</v>
      </c>
      <c r="K2420" s="8">
        <f>1</f>
        <v>1</v>
      </c>
      <c r="L2420" s="6" t="s">
        <v>242</v>
      </c>
      <c r="M2420" s="5" t="s">
        <v>267</v>
      </c>
      <c r="N2420" s="5" t="s">
        <v>265</v>
      </c>
      <c r="O2420" s="5" t="s">
        <v>238</v>
      </c>
      <c r="P2420" s="5" t="s">
        <v>238</v>
      </c>
      <c r="Q2420" s="5" t="s">
        <v>268</v>
      </c>
      <c r="R2420" s="5" t="s">
        <v>270</v>
      </c>
      <c r="S2420" s="5" t="s">
        <v>238</v>
      </c>
      <c r="V2420" s="5" t="s">
        <v>238</v>
      </c>
      <c r="X2420" s="6" t="s">
        <v>238</v>
      </c>
      <c r="AA2420" s="6" t="s">
        <v>243</v>
      </c>
      <c r="AB2420" s="5" t="s">
        <v>238</v>
      </c>
      <c r="AC2420" s="5" t="s">
        <v>244</v>
      </c>
      <c r="AD2420" s="5" t="s">
        <v>245</v>
      </c>
      <c r="AT2420" s="5" t="s">
        <v>246</v>
      </c>
      <c r="AU2420" s="5" t="s">
        <v>238</v>
      </c>
      <c r="AV2420" s="5" t="s">
        <v>247</v>
      </c>
      <c r="AW2420" s="5" t="s">
        <v>238</v>
      </c>
      <c r="AX2420" s="5" t="s">
        <v>249</v>
      </c>
      <c r="AY2420" s="5" t="s">
        <v>238</v>
      </c>
      <c r="BA2420" s="5" t="s">
        <v>238</v>
      </c>
      <c r="BC2420" s="5" t="s">
        <v>250</v>
      </c>
      <c r="BD2420" s="6" t="s">
        <v>243</v>
      </c>
      <c r="BE2420" s="5" t="s">
        <v>251</v>
      </c>
      <c r="BF2420" s="5" t="s">
        <v>252</v>
      </c>
      <c r="BG2420" s="5" t="s">
        <v>238</v>
      </c>
      <c r="BH2420" s="7">
        <f>0</f>
        <v>0</v>
      </c>
      <c r="BI2420" s="8">
        <f>0</f>
        <v>0</v>
      </c>
      <c r="BJ2420" s="5" t="s">
        <v>253</v>
      </c>
      <c r="BK2420" s="5" t="s">
        <v>254</v>
      </c>
      <c r="BY2420" s="5" t="s">
        <v>238</v>
      </c>
      <c r="BZ2420" s="5" t="s">
        <v>238</v>
      </c>
      <c r="CD2420" s="5" t="s">
        <v>273</v>
      </c>
      <c r="CE2420" s="5" t="s">
        <v>256</v>
      </c>
      <c r="CF2420" s="5" t="s">
        <v>238</v>
      </c>
      <c r="CI2420" s="6" t="s">
        <v>257</v>
      </c>
      <c r="CJ2420" s="5" t="s">
        <v>238</v>
      </c>
      <c r="CK2420" s="5" t="s">
        <v>258</v>
      </c>
      <c r="CL2420" s="5" t="s">
        <v>238</v>
      </c>
      <c r="CM2420" s="5" t="s">
        <v>238</v>
      </c>
      <c r="CN2420" s="5">
        <v>0</v>
      </c>
      <c r="CO2420" s="5" t="s">
        <v>259</v>
      </c>
      <c r="CP2420" s="5" t="s">
        <v>260</v>
      </c>
      <c r="CQ2420" s="5" t="s">
        <v>260</v>
      </c>
      <c r="CR2420" s="5" t="s">
        <v>261</v>
      </c>
      <c r="CU2420" s="8">
        <f>1</f>
        <v>1</v>
      </c>
      <c r="CV2420" s="8">
        <f>0</f>
        <v>0</v>
      </c>
      <c r="CX2420" s="8">
        <f>0</f>
        <v>0</v>
      </c>
      <c r="CY2420" s="8">
        <f>1</f>
        <v>1</v>
      </c>
      <c r="DA2420" s="5" t="s">
        <v>274</v>
      </c>
      <c r="DB2420" s="5" t="s">
        <v>238</v>
      </c>
      <c r="DD2420" s="5" t="s">
        <v>274</v>
      </c>
      <c r="DE2420" s="8">
        <f>75</f>
        <v>75</v>
      </c>
      <c r="DG2420" s="5" t="s">
        <v>238</v>
      </c>
      <c r="DH2420" s="5" t="s">
        <v>238</v>
      </c>
      <c r="DI2420" s="5" t="s">
        <v>238</v>
      </c>
      <c r="DJ2420" s="5" t="s">
        <v>238</v>
      </c>
      <c r="DN2420" s="5" t="s">
        <v>238</v>
      </c>
      <c r="DO2420" s="5" t="s">
        <v>238</v>
      </c>
      <c r="DP2420" s="5" t="s">
        <v>238</v>
      </c>
      <c r="DQ2420" s="5" t="s">
        <v>238</v>
      </c>
      <c r="DT2420" s="5" t="s">
        <v>275</v>
      </c>
      <c r="DU2420" s="5" t="s">
        <v>2025</v>
      </c>
      <c r="HM2420" s="5" t="s">
        <v>264</v>
      </c>
    </row>
    <row r="2421" spans="1:221" x14ac:dyDescent="0.4">
      <c r="A2421" s="5">
        <v>4125</v>
      </c>
      <c r="B2421" s="5">
        <v>1</v>
      </c>
      <c r="C2421" s="5">
        <v>1</v>
      </c>
      <c r="D2421" s="5" t="s">
        <v>269</v>
      </c>
      <c r="E2421" s="5" t="s">
        <v>271</v>
      </c>
      <c r="F2421" s="5" t="s">
        <v>248</v>
      </c>
      <c r="G2421" s="5" t="s">
        <v>266</v>
      </c>
      <c r="H2421" s="6" t="s">
        <v>2028</v>
      </c>
      <c r="I2421" s="7">
        <f>533</f>
        <v>533</v>
      </c>
      <c r="J2421" s="5" t="s">
        <v>262</v>
      </c>
      <c r="K2421" s="8">
        <f>1</f>
        <v>1</v>
      </c>
      <c r="L2421" s="6" t="s">
        <v>242</v>
      </c>
      <c r="M2421" s="5" t="s">
        <v>267</v>
      </c>
      <c r="N2421" s="5" t="s">
        <v>265</v>
      </c>
      <c r="O2421" s="5" t="s">
        <v>238</v>
      </c>
      <c r="P2421" s="5" t="s">
        <v>238</v>
      </c>
      <c r="Q2421" s="5" t="s">
        <v>268</v>
      </c>
      <c r="R2421" s="5" t="s">
        <v>270</v>
      </c>
      <c r="S2421" s="5" t="s">
        <v>238</v>
      </c>
      <c r="V2421" s="5" t="s">
        <v>238</v>
      </c>
      <c r="X2421" s="6" t="s">
        <v>238</v>
      </c>
      <c r="AA2421" s="6" t="s">
        <v>243</v>
      </c>
      <c r="AB2421" s="5" t="s">
        <v>238</v>
      </c>
      <c r="AC2421" s="5" t="s">
        <v>244</v>
      </c>
      <c r="AD2421" s="5" t="s">
        <v>245</v>
      </c>
      <c r="AT2421" s="5" t="s">
        <v>246</v>
      </c>
      <c r="AU2421" s="5" t="s">
        <v>238</v>
      </c>
      <c r="AV2421" s="5" t="s">
        <v>247</v>
      </c>
      <c r="AW2421" s="5" t="s">
        <v>238</v>
      </c>
      <c r="AX2421" s="5" t="s">
        <v>249</v>
      </c>
      <c r="AY2421" s="5" t="s">
        <v>238</v>
      </c>
      <c r="BA2421" s="5" t="s">
        <v>238</v>
      </c>
      <c r="BC2421" s="5" t="s">
        <v>250</v>
      </c>
      <c r="BD2421" s="6" t="s">
        <v>243</v>
      </c>
      <c r="BE2421" s="5" t="s">
        <v>251</v>
      </c>
      <c r="BF2421" s="5" t="s">
        <v>252</v>
      </c>
      <c r="BG2421" s="5" t="s">
        <v>238</v>
      </c>
      <c r="BH2421" s="7">
        <f>0</f>
        <v>0</v>
      </c>
      <c r="BI2421" s="8">
        <f>0</f>
        <v>0</v>
      </c>
      <c r="BJ2421" s="5" t="s">
        <v>253</v>
      </c>
      <c r="BK2421" s="5" t="s">
        <v>254</v>
      </c>
      <c r="BY2421" s="5" t="s">
        <v>238</v>
      </c>
      <c r="BZ2421" s="5" t="s">
        <v>238</v>
      </c>
      <c r="CD2421" s="5" t="s">
        <v>273</v>
      </c>
      <c r="CE2421" s="5" t="s">
        <v>256</v>
      </c>
      <c r="CF2421" s="5" t="s">
        <v>238</v>
      </c>
      <c r="CI2421" s="6" t="s">
        <v>257</v>
      </c>
      <c r="CJ2421" s="5" t="s">
        <v>238</v>
      </c>
      <c r="CK2421" s="5" t="s">
        <v>258</v>
      </c>
      <c r="CL2421" s="5" t="s">
        <v>238</v>
      </c>
      <c r="CM2421" s="5" t="s">
        <v>238</v>
      </c>
      <c r="CN2421" s="5">
        <v>0</v>
      </c>
      <c r="CO2421" s="5" t="s">
        <v>259</v>
      </c>
      <c r="CP2421" s="5" t="s">
        <v>260</v>
      </c>
      <c r="CQ2421" s="5" t="s">
        <v>260</v>
      </c>
      <c r="CR2421" s="5" t="s">
        <v>261</v>
      </c>
      <c r="CU2421" s="8">
        <f>1</f>
        <v>1</v>
      </c>
      <c r="CV2421" s="8">
        <f>0</f>
        <v>0</v>
      </c>
      <c r="CX2421" s="8">
        <f>0</f>
        <v>0</v>
      </c>
      <c r="CY2421" s="8">
        <f>1</f>
        <v>1</v>
      </c>
      <c r="DA2421" s="5" t="s">
        <v>274</v>
      </c>
      <c r="DB2421" s="5" t="s">
        <v>238</v>
      </c>
      <c r="DD2421" s="5" t="s">
        <v>274</v>
      </c>
      <c r="DE2421" s="8">
        <f>533</f>
        <v>533</v>
      </c>
      <c r="DG2421" s="5" t="s">
        <v>238</v>
      </c>
      <c r="DH2421" s="5" t="s">
        <v>238</v>
      </c>
      <c r="DI2421" s="5" t="s">
        <v>238</v>
      </c>
      <c r="DJ2421" s="5" t="s">
        <v>238</v>
      </c>
      <c r="DN2421" s="5" t="s">
        <v>238</v>
      </c>
      <c r="DO2421" s="5" t="s">
        <v>238</v>
      </c>
      <c r="DP2421" s="5" t="s">
        <v>238</v>
      </c>
      <c r="DQ2421" s="5" t="s">
        <v>238</v>
      </c>
      <c r="DT2421" s="5" t="s">
        <v>275</v>
      </c>
      <c r="DU2421" s="5" t="s">
        <v>2029</v>
      </c>
      <c r="HM2421" s="5" t="s">
        <v>264</v>
      </c>
    </row>
    <row r="2422" spans="1:221" x14ac:dyDescent="0.4">
      <c r="A2422" s="5">
        <v>4126</v>
      </c>
      <c r="B2422" s="5">
        <v>1</v>
      </c>
      <c r="C2422" s="5">
        <v>1</v>
      </c>
      <c r="D2422" s="5" t="s">
        <v>269</v>
      </c>
      <c r="E2422" s="5" t="s">
        <v>271</v>
      </c>
      <c r="F2422" s="5" t="s">
        <v>248</v>
      </c>
      <c r="G2422" s="5" t="s">
        <v>266</v>
      </c>
      <c r="H2422" s="6" t="s">
        <v>4365</v>
      </c>
      <c r="I2422" s="7">
        <f>3268</f>
        <v>3268</v>
      </c>
      <c r="J2422" s="5" t="s">
        <v>262</v>
      </c>
      <c r="K2422" s="8">
        <f>1</f>
        <v>1</v>
      </c>
      <c r="L2422" s="6" t="s">
        <v>242</v>
      </c>
      <c r="M2422" s="5" t="s">
        <v>267</v>
      </c>
      <c r="N2422" s="5" t="s">
        <v>265</v>
      </c>
      <c r="O2422" s="5" t="s">
        <v>238</v>
      </c>
      <c r="P2422" s="5" t="s">
        <v>238</v>
      </c>
      <c r="Q2422" s="5" t="s">
        <v>268</v>
      </c>
      <c r="R2422" s="5" t="s">
        <v>270</v>
      </c>
      <c r="S2422" s="5" t="s">
        <v>238</v>
      </c>
      <c r="V2422" s="5" t="s">
        <v>238</v>
      </c>
      <c r="X2422" s="6" t="s">
        <v>238</v>
      </c>
      <c r="AA2422" s="6" t="s">
        <v>243</v>
      </c>
      <c r="AB2422" s="5" t="s">
        <v>238</v>
      </c>
      <c r="AC2422" s="5" t="s">
        <v>244</v>
      </c>
      <c r="AD2422" s="5" t="s">
        <v>245</v>
      </c>
      <c r="AT2422" s="5" t="s">
        <v>246</v>
      </c>
      <c r="AU2422" s="5" t="s">
        <v>238</v>
      </c>
      <c r="AV2422" s="5" t="s">
        <v>247</v>
      </c>
      <c r="AW2422" s="5" t="s">
        <v>238</v>
      </c>
      <c r="AX2422" s="5" t="s">
        <v>249</v>
      </c>
      <c r="AY2422" s="5" t="s">
        <v>238</v>
      </c>
      <c r="BA2422" s="5" t="s">
        <v>238</v>
      </c>
      <c r="BC2422" s="5" t="s">
        <v>250</v>
      </c>
      <c r="BD2422" s="6" t="s">
        <v>243</v>
      </c>
      <c r="BE2422" s="5" t="s">
        <v>251</v>
      </c>
      <c r="BF2422" s="5" t="s">
        <v>252</v>
      </c>
      <c r="BG2422" s="5" t="s">
        <v>238</v>
      </c>
      <c r="BH2422" s="7">
        <f>0</f>
        <v>0</v>
      </c>
      <c r="BI2422" s="8">
        <f>0</f>
        <v>0</v>
      </c>
      <c r="BJ2422" s="5" t="s">
        <v>253</v>
      </c>
      <c r="BK2422" s="5" t="s">
        <v>254</v>
      </c>
      <c r="BY2422" s="5" t="s">
        <v>238</v>
      </c>
      <c r="BZ2422" s="5" t="s">
        <v>238</v>
      </c>
      <c r="CD2422" s="5" t="s">
        <v>273</v>
      </c>
      <c r="CE2422" s="5" t="s">
        <v>256</v>
      </c>
      <c r="CF2422" s="5" t="s">
        <v>238</v>
      </c>
      <c r="CI2422" s="6" t="s">
        <v>257</v>
      </c>
      <c r="CJ2422" s="5" t="s">
        <v>238</v>
      </c>
      <c r="CK2422" s="5" t="s">
        <v>258</v>
      </c>
      <c r="CL2422" s="5" t="s">
        <v>238</v>
      </c>
      <c r="CM2422" s="5" t="s">
        <v>238</v>
      </c>
      <c r="CN2422" s="5">
        <v>0</v>
      </c>
      <c r="CO2422" s="5" t="s">
        <v>259</v>
      </c>
      <c r="CP2422" s="5" t="s">
        <v>260</v>
      </c>
      <c r="CQ2422" s="5" t="s">
        <v>260</v>
      </c>
      <c r="CR2422" s="5" t="s">
        <v>261</v>
      </c>
      <c r="CU2422" s="8">
        <f>1</f>
        <v>1</v>
      </c>
      <c r="CV2422" s="8">
        <f>0</f>
        <v>0</v>
      </c>
      <c r="CX2422" s="8">
        <f>0</f>
        <v>0</v>
      </c>
      <c r="CY2422" s="8">
        <f>1</f>
        <v>1</v>
      </c>
      <c r="DA2422" s="5" t="s">
        <v>274</v>
      </c>
      <c r="DB2422" s="5" t="s">
        <v>238</v>
      </c>
      <c r="DD2422" s="5" t="s">
        <v>274</v>
      </c>
      <c r="DE2422" s="8">
        <f>3268</f>
        <v>3268</v>
      </c>
      <c r="DG2422" s="5" t="s">
        <v>238</v>
      </c>
      <c r="DH2422" s="5" t="s">
        <v>238</v>
      </c>
      <c r="DI2422" s="5" t="s">
        <v>238</v>
      </c>
      <c r="DJ2422" s="5" t="s">
        <v>238</v>
      </c>
      <c r="DN2422" s="5" t="s">
        <v>238</v>
      </c>
      <c r="DO2422" s="5" t="s">
        <v>238</v>
      </c>
      <c r="DP2422" s="5" t="s">
        <v>238</v>
      </c>
      <c r="DQ2422" s="5" t="s">
        <v>238</v>
      </c>
      <c r="DT2422" s="5" t="s">
        <v>275</v>
      </c>
      <c r="DU2422" s="5" t="s">
        <v>2814</v>
      </c>
      <c r="HM2422" s="5" t="s">
        <v>264</v>
      </c>
    </row>
    <row r="2423" spans="1:221" x14ac:dyDescent="0.4">
      <c r="A2423" s="5">
        <v>4127</v>
      </c>
      <c r="B2423" s="5">
        <v>1</v>
      </c>
      <c r="C2423" s="5">
        <v>1</v>
      </c>
      <c r="D2423" s="5" t="s">
        <v>269</v>
      </c>
      <c r="E2423" s="5" t="s">
        <v>271</v>
      </c>
      <c r="F2423" s="5" t="s">
        <v>248</v>
      </c>
      <c r="G2423" s="5" t="s">
        <v>266</v>
      </c>
      <c r="H2423" s="6" t="s">
        <v>4295</v>
      </c>
      <c r="I2423" s="7">
        <f>169</f>
        <v>169</v>
      </c>
      <c r="J2423" s="5" t="s">
        <v>262</v>
      </c>
      <c r="K2423" s="8">
        <f>1</f>
        <v>1</v>
      </c>
      <c r="L2423" s="6" t="s">
        <v>242</v>
      </c>
      <c r="M2423" s="5" t="s">
        <v>267</v>
      </c>
      <c r="N2423" s="5" t="s">
        <v>265</v>
      </c>
      <c r="O2423" s="5" t="s">
        <v>238</v>
      </c>
      <c r="P2423" s="5" t="s">
        <v>238</v>
      </c>
      <c r="Q2423" s="5" t="s">
        <v>268</v>
      </c>
      <c r="R2423" s="5" t="s">
        <v>270</v>
      </c>
      <c r="S2423" s="5" t="s">
        <v>238</v>
      </c>
      <c r="V2423" s="5" t="s">
        <v>238</v>
      </c>
      <c r="X2423" s="6" t="s">
        <v>238</v>
      </c>
      <c r="AA2423" s="6" t="s">
        <v>243</v>
      </c>
      <c r="AB2423" s="5" t="s">
        <v>238</v>
      </c>
      <c r="AC2423" s="5" t="s">
        <v>244</v>
      </c>
      <c r="AD2423" s="5" t="s">
        <v>245</v>
      </c>
      <c r="AT2423" s="5" t="s">
        <v>246</v>
      </c>
      <c r="AU2423" s="5" t="s">
        <v>238</v>
      </c>
      <c r="AV2423" s="5" t="s">
        <v>247</v>
      </c>
      <c r="AW2423" s="5" t="s">
        <v>238</v>
      </c>
      <c r="AX2423" s="5" t="s">
        <v>249</v>
      </c>
      <c r="AY2423" s="5" t="s">
        <v>238</v>
      </c>
      <c r="BA2423" s="5" t="s">
        <v>238</v>
      </c>
      <c r="BC2423" s="5" t="s">
        <v>250</v>
      </c>
      <c r="BD2423" s="6" t="s">
        <v>243</v>
      </c>
      <c r="BE2423" s="5" t="s">
        <v>251</v>
      </c>
      <c r="BF2423" s="5" t="s">
        <v>252</v>
      </c>
      <c r="BG2423" s="5" t="s">
        <v>238</v>
      </c>
      <c r="BH2423" s="7">
        <f>0</f>
        <v>0</v>
      </c>
      <c r="BI2423" s="8">
        <f>0</f>
        <v>0</v>
      </c>
      <c r="BJ2423" s="5" t="s">
        <v>253</v>
      </c>
      <c r="BK2423" s="5" t="s">
        <v>254</v>
      </c>
      <c r="BY2423" s="5" t="s">
        <v>238</v>
      </c>
      <c r="BZ2423" s="5" t="s">
        <v>238</v>
      </c>
      <c r="CD2423" s="5" t="s">
        <v>273</v>
      </c>
      <c r="CE2423" s="5" t="s">
        <v>256</v>
      </c>
      <c r="CF2423" s="5" t="s">
        <v>238</v>
      </c>
      <c r="CI2423" s="6" t="s">
        <v>257</v>
      </c>
      <c r="CJ2423" s="5" t="s">
        <v>238</v>
      </c>
      <c r="CK2423" s="5" t="s">
        <v>258</v>
      </c>
      <c r="CL2423" s="5" t="s">
        <v>238</v>
      </c>
      <c r="CM2423" s="5" t="s">
        <v>238</v>
      </c>
      <c r="CN2423" s="5">
        <v>0</v>
      </c>
      <c r="CO2423" s="5" t="s">
        <v>259</v>
      </c>
      <c r="CP2423" s="5" t="s">
        <v>260</v>
      </c>
      <c r="CQ2423" s="5" t="s">
        <v>260</v>
      </c>
      <c r="CR2423" s="5" t="s">
        <v>261</v>
      </c>
      <c r="CU2423" s="8">
        <f>1</f>
        <v>1</v>
      </c>
      <c r="CV2423" s="8">
        <f>0</f>
        <v>0</v>
      </c>
      <c r="CX2423" s="8">
        <f>0</f>
        <v>0</v>
      </c>
      <c r="CY2423" s="8">
        <f>1</f>
        <v>1</v>
      </c>
      <c r="DA2423" s="5" t="s">
        <v>274</v>
      </c>
      <c r="DB2423" s="5" t="s">
        <v>238</v>
      </c>
      <c r="DD2423" s="5" t="s">
        <v>274</v>
      </c>
      <c r="DE2423" s="8">
        <f>169</f>
        <v>169</v>
      </c>
      <c r="DG2423" s="5" t="s">
        <v>238</v>
      </c>
      <c r="DH2423" s="5" t="s">
        <v>238</v>
      </c>
      <c r="DI2423" s="5" t="s">
        <v>238</v>
      </c>
      <c r="DJ2423" s="5" t="s">
        <v>238</v>
      </c>
      <c r="DN2423" s="5" t="s">
        <v>238</v>
      </c>
      <c r="DO2423" s="5" t="s">
        <v>238</v>
      </c>
      <c r="DP2423" s="5" t="s">
        <v>238</v>
      </c>
      <c r="DQ2423" s="5" t="s">
        <v>238</v>
      </c>
      <c r="DT2423" s="5" t="s">
        <v>275</v>
      </c>
      <c r="DU2423" s="5" t="s">
        <v>2812</v>
      </c>
      <c r="HM2423" s="5" t="s">
        <v>264</v>
      </c>
    </row>
    <row r="2424" spans="1:221" x14ac:dyDescent="0.4">
      <c r="A2424" s="5">
        <v>4128</v>
      </c>
      <c r="B2424" s="5">
        <v>1</v>
      </c>
      <c r="C2424" s="5">
        <v>1</v>
      </c>
      <c r="D2424" s="5" t="s">
        <v>269</v>
      </c>
      <c r="E2424" s="5" t="s">
        <v>271</v>
      </c>
      <c r="F2424" s="5" t="s">
        <v>248</v>
      </c>
      <c r="G2424" s="5" t="s">
        <v>266</v>
      </c>
      <c r="H2424" s="6" t="s">
        <v>1895</v>
      </c>
      <c r="I2424" s="7">
        <f>436</f>
        <v>436</v>
      </c>
      <c r="J2424" s="5" t="s">
        <v>262</v>
      </c>
      <c r="K2424" s="8">
        <f>1</f>
        <v>1</v>
      </c>
      <c r="L2424" s="6" t="s">
        <v>242</v>
      </c>
      <c r="M2424" s="5" t="s">
        <v>267</v>
      </c>
      <c r="N2424" s="5" t="s">
        <v>265</v>
      </c>
      <c r="O2424" s="5" t="s">
        <v>238</v>
      </c>
      <c r="P2424" s="5" t="s">
        <v>238</v>
      </c>
      <c r="Q2424" s="5" t="s">
        <v>268</v>
      </c>
      <c r="R2424" s="5" t="s">
        <v>270</v>
      </c>
      <c r="S2424" s="5" t="s">
        <v>238</v>
      </c>
      <c r="V2424" s="5" t="s">
        <v>238</v>
      </c>
      <c r="X2424" s="6" t="s">
        <v>238</v>
      </c>
      <c r="AA2424" s="6" t="s">
        <v>243</v>
      </c>
      <c r="AB2424" s="5" t="s">
        <v>238</v>
      </c>
      <c r="AC2424" s="5" t="s">
        <v>244</v>
      </c>
      <c r="AD2424" s="5" t="s">
        <v>245</v>
      </c>
      <c r="AT2424" s="5" t="s">
        <v>246</v>
      </c>
      <c r="AU2424" s="5" t="s">
        <v>238</v>
      </c>
      <c r="AV2424" s="5" t="s">
        <v>247</v>
      </c>
      <c r="AW2424" s="5" t="s">
        <v>238</v>
      </c>
      <c r="AX2424" s="5" t="s">
        <v>249</v>
      </c>
      <c r="AY2424" s="5" t="s">
        <v>238</v>
      </c>
      <c r="BA2424" s="5" t="s">
        <v>238</v>
      </c>
      <c r="BC2424" s="5" t="s">
        <v>250</v>
      </c>
      <c r="BD2424" s="6" t="s">
        <v>243</v>
      </c>
      <c r="BE2424" s="5" t="s">
        <v>251</v>
      </c>
      <c r="BF2424" s="5" t="s">
        <v>252</v>
      </c>
      <c r="BG2424" s="5" t="s">
        <v>238</v>
      </c>
      <c r="BH2424" s="7">
        <f>0</f>
        <v>0</v>
      </c>
      <c r="BI2424" s="8">
        <f>0</f>
        <v>0</v>
      </c>
      <c r="BJ2424" s="5" t="s">
        <v>253</v>
      </c>
      <c r="BK2424" s="5" t="s">
        <v>254</v>
      </c>
      <c r="BY2424" s="5" t="s">
        <v>238</v>
      </c>
      <c r="BZ2424" s="5" t="s">
        <v>238</v>
      </c>
      <c r="CD2424" s="5" t="s">
        <v>273</v>
      </c>
      <c r="CE2424" s="5" t="s">
        <v>256</v>
      </c>
      <c r="CF2424" s="5" t="s">
        <v>238</v>
      </c>
      <c r="CI2424" s="6" t="s">
        <v>257</v>
      </c>
      <c r="CJ2424" s="5" t="s">
        <v>238</v>
      </c>
      <c r="CK2424" s="5" t="s">
        <v>258</v>
      </c>
      <c r="CL2424" s="5" t="s">
        <v>238</v>
      </c>
      <c r="CM2424" s="5" t="s">
        <v>238</v>
      </c>
      <c r="CN2424" s="5">
        <v>0</v>
      </c>
      <c r="CO2424" s="5" t="s">
        <v>259</v>
      </c>
      <c r="CP2424" s="5" t="s">
        <v>260</v>
      </c>
      <c r="CQ2424" s="5" t="s">
        <v>260</v>
      </c>
      <c r="CR2424" s="5" t="s">
        <v>261</v>
      </c>
      <c r="CU2424" s="8">
        <f>1</f>
        <v>1</v>
      </c>
      <c r="CV2424" s="8">
        <f>0</f>
        <v>0</v>
      </c>
      <c r="CX2424" s="8">
        <f>0</f>
        <v>0</v>
      </c>
      <c r="CY2424" s="8">
        <f>1</f>
        <v>1</v>
      </c>
      <c r="DA2424" s="5" t="s">
        <v>274</v>
      </c>
      <c r="DB2424" s="5" t="s">
        <v>238</v>
      </c>
      <c r="DD2424" s="5" t="s">
        <v>274</v>
      </c>
      <c r="DE2424" s="8">
        <f>436</f>
        <v>436</v>
      </c>
      <c r="DG2424" s="5" t="s">
        <v>238</v>
      </c>
      <c r="DH2424" s="5" t="s">
        <v>238</v>
      </c>
      <c r="DI2424" s="5" t="s">
        <v>238</v>
      </c>
      <c r="DJ2424" s="5" t="s">
        <v>238</v>
      </c>
      <c r="DN2424" s="5" t="s">
        <v>238</v>
      </c>
      <c r="DO2424" s="5" t="s">
        <v>238</v>
      </c>
      <c r="DP2424" s="5" t="s">
        <v>238</v>
      </c>
      <c r="DQ2424" s="5" t="s">
        <v>238</v>
      </c>
      <c r="DT2424" s="5" t="s">
        <v>275</v>
      </c>
      <c r="DU2424" s="5" t="s">
        <v>1896</v>
      </c>
      <c r="HM2424" s="5" t="s">
        <v>264</v>
      </c>
    </row>
    <row r="2425" spans="1:221" x14ac:dyDescent="0.4">
      <c r="A2425" s="5">
        <v>4129</v>
      </c>
      <c r="B2425" s="5">
        <v>1</v>
      </c>
      <c r="C2425" s="5">
        <v>1</v>
      </c>
      <c r="D2425" s="5" t="s">
        <v>269</v>
      </c>
      <c r="E2425" s="5" t="s">
        <v>271</v>
      </c>
      <c r="F2425" s="5" t="s">
        <v>248</v>
      </c>
      <c r="G2425" s="5" t="s">
        <v>266</v>
      </c>
      <c r="H2425" s="6" t="s">
        <v>4317</v>
      </c>
      <c r="I2425" s="7">
        <f>487</f>
        <v>487</v>
      </c>
      <c r="J2425" s="5" t="s">
        <v>262</v>
      </c>
      <c r="K2425" s="8">
        <f>1</f>
        <v>1</v>
      </c>
      <c r="L2425" s="6" t="s">
        <v>242</v>
      </c>
      <c r="M2425" s="5" t="s">
        <v>267</v>
      </c>
      <c r="N2425" s="5" t="s">
        <v>265</v>
      </c>
      <c r="O2425" s="5" t="s">
        <v>238</v>
      </c>
      <c r="P2425" s="5" t="s">
        <v>238</v>
      </c>
      <c r="Q2425" s="5" t="s">
        <v>268</v>
      </c>
      <c r="R2425" s="5" t="s">
        <v>270</v>
      </c>
      <c r="S2425" s="5" t="s">
        <v>238</v>
      </c>
      <c r="V2425" s="5" t="s">
        <v>238</v>
      </c>
      <c r="X2425" s="6" t="s">
        <v>238</v>
      </c>
      <c r="AA2425" s="6" t="s">
        <v>243</v>
      </c>
      <c r="AB2425" s="5" t="s">
        <v>238</v>
      </c>
      <c r="AC2425" s="5" t="s">
        <v>244</v>
      </c>
      <c r="AD2425" s="5" t="s">
        <v>245</v>
      </c>
      <c r="AT2425" s="5" t="s">
        <v>246</v>
      </c>
      <c r="AU2425" s="5" t="s">
        <v>238</v>
      </c>
      <c r="AV2425" s="5" t="s">
        <v>247</v>
      </c>
      <c r="AW2425" s="5" t="s">
        <v>238</v>
      </c>
      <c r="AX2425" s="5" t="s">
        <v>249</v>
      </c>
      <c r="AY2425" s="5" t="s">
        <v>238</v>
      </c>
      <c r="BA2425" s="5" t="s">
        <v>238</v>
      </c>
      <c r="BC2425" s="5" t="s">
        <v>250</v>
      </c>
      <c r="BD2425" s="6" t="s">
        <v>243</v>
      </c>
      <c r="BE2425" s="5" t="s">
        <v>251</v>
      </c>
      <c r="BF2425" s="5" t="s">
        <v>252</v>
      </c>
      <c r="BG2425" s="5" t="s">
        <v>238</v>
      </c>
      <c r="BH2425" s="7">
        <f>0</f>
        <v>0</v>
      </c>
      <c r="BI2425" s="8">
        <f>0</f>
        <v>0</v>
      </c>
      <c r="BJ2425" s="5" t="s">
        <v>253</v>
      </c>
      <c r="BK2425" s="5" t="s">
        <v>254</v>
      </c>
      <c r="BY2425" s="5" t="s">
        <v>238</v>
      </c>
      <c r="BZ2425" s="5" t="s">
        <v>238</v>
      </c>
      <c r="CD2425" s="5" t="s">
        <v>273</v>
      </c>
      <c r="CE2425" s="5" t="s">
        <v>256</v>
      </c>
      <c r="CF2425" s="5" t="s">
        <v>238</v>
      </c>
      <c r="CI2425" s="6" t="s">
        <v>257</v>
      </c>
      <c r="CJ2425" s="5" t="s">
        <v>238</v>
      </c>
      <c r="CK2425" s="5" t="s">
        <v>258</v>
      </c>
      <c r="CL2425" s="5" t="s">
        <v>238</v>
      </c>
      <c r="CM2425" s="5" t="s">
        <v>238</v>
      </c>
      <c r="CN2425" s="5">
        <v>0</v>
      </c>
      <c r="CO2425" s="5" t="s">
        <v>259</v>
      </c>
      <c r="CP2425" s="5" t="s">
        <v>260</v>
      </c>
      <c r="CQ2425" s="5" t="s">
        <v>260</v>
      </c>
      <c r="CR2425" s="5" t="s">
        <v>261</v>
      </c>
      <c r="CU2425" s="8">
        <f>1</f>
        <v>1</v>
      </c>
      <c r="CV2425" s="8">
        <f>0</f>
        <v>0</v>
      </c>
      <c r="CX2425" s="8">
        <f>0</f>
        <v>0</v>
      </c>
      <c r="CY2425" s="8">
        <f>1</f>
        <v>1</v>
      </c>
      <c r="DA2425" s="5" t="s">
        <v>274</v>
      </c>
      <c r="DB2425" s="5" t="s">
        <v>238</v>
      </c>
      <c r="DD2425" s="5" t="s">
        <v>274</v>
      </c>
      <c r="DE2425" s="8">
        <f>487</f>
        <v>487</v>
      </c>
      <c r="DG2425" s="5" t="s">
        <v>238</v>
      </c>
      <c r="DH2425" s="5" t="s">
        <v>238</v>
      </c>
      <c r="DI2425" s="5" t="s">
        <v>238</v>
      </c>
      <c r="DJ2425" s="5" t="s">
        <v>238</v>
      </c>
      <c r="DN2425" s="5" t="s">
        <v>238</v>
      </c>
      <c r="DO2425" s="5" t="s">
        <v>238</v>
      </c>
      <c r="DP2425" s="5" t="s">
        <v>238</v>
      </c>
      <c r="DQ2425" s="5" t="s">
        <v>238</v>
      </c>
      <c r="DT2425" s="5" t="s">
        <v>275</v>
      </c>
      <c r="DU2425" s="5" t="s">
        <v>2809</v>
      </c>
      <c r="HM2425" s="5" t="s">
        <v>264</v>
      </c>
    </row>
    <row r="2426" spans="1:221" x14ac:dyDescent="0.4">
      <c r="A2426" s="5">
        <v>4130</v>
      </c>
      <c r="B2426" s="5">
        <v>1</v>
      </c>
      <c r="C2426" s="5">
        <v>1</v>
      </c>
      <c r="D2426" s="5" t="s">
        <v>269</v>
      </c>
      <c r="E2426" s="5" t="s">
        <v>271</v>
      </c>
      <c r="F2426" s="5" t="s">
        <v>248</v>
      </c>
      <c r="G2426" s="5" t="s">
        <v>266</v>
      </c>
      <c r="H2426" s="6" t="s">
        <v>1865</v>
      </c>
      <c r="I2426" s="7">
        <f>44</f>
        <v>44</v>
      </c>
      <c r="J2426" s="5" t="s">
        <v>262</v>
      </c>
      <c r="K2426" s="8">
        <f>1</f>
        <v>1</v>
      </c>
      <c r="L2426" s="6" t="s">
        <v>242</v>
      </c>
      <c r="M2426" s="5" t="s">
        <v>267</v>
      </c>
      <c r="N2426" s="5" t="s">
        <v>265</v>
      </c>
      <c r="O2426" s="5" t="s">
        <v>238</v>
      </c>
      <c r="P2426" s="5" t="s">
        <v>238</v>
      </c>
      <c r="Q2426" s="5" t="s">
        <v>268</v>
      </c>
      <c r="R2426" s="5" t="s">
        <v>270</v>
      </c>
      <c r="S2426" s="5" t="s">
        <v>238</v>
      </c>
      <c r="V2426" s="5" t="s">
        <v>238</v>
      </c>
      <c r="X2426" s="6" t="s">
        <v>238</v>
      </c>
      <c r="AA2426" s="6" t="s">
        <v>243</v>
      </c>
      <c r="AB2426" s="5" t="s">
        <v>238</v>
      </c>
      <c r="AC2426" s="5" t="s">
        <v>244</v>
      </c>
      <c r="AD2426" s="5" t="s">
        <v>245</v>
      </c>
      <c r="AT2426" s="5" t="s">
        <v>246</v>
      </c>
      <c r="AU2426" s="5" t="s">
        <v>238</v>
      </c>
      <c r="AV2426" s="5" t="s">
        <v>247</v>
      </c>
      <c r="AW2426" s="5" t="s">
        <v>238</v>
      </c>
      <c r="AX2426" s="5" t="s">
        <v>249</v>
      </c>
      <c r="AY2426" s="5" t="s">
        <v>238</v>
      </c>
      <c r="BA2426" s="5" t="s">
        <v>238</v>
      </c>
      <c r="BC2426" s="5" t="s">
        <v>250</v>
      </c>
      <c r="BD2426" s="6" t="s">
        <v>243</v>
      </c>
      <c r="BE2426" s="5" t="s">
        <v>251</v>
      </c>
      <c r="BF2426" s="5" t="s">
        <v>252</v>
      </c>
      <c r="BG2426" s="5" t="s">
        <v>238</v>
      </c>
      <c r="BH2426" s="7">
        <f>0</f>
        <v>0</v>
      </c>
      <c r="BI2426" s="8">
        <f>0</f>
        <v>0</v>
      </c>
      <c r="BJ2426" s="5" t="s">
        <v>253</v>
      </c>
      <c r="BK2426" s="5" t="s">
        <v>254</v>
      </c>
      <c r="BY2426" s="5" t="s">
        <v>238</v>
      </c>
      <c r="BZ2426" s="5" t="s">
        <v>238</v>
      </c>
      <c r="CD2426" s="5" t="s">
        <v>273</v>
      </c>
      <c r="CE2426" s="5" t="s">
        <v>256</v>
      </c>
      <c r="CF2426" s="5" t="s">
        <v>238</v>
      </c>
      <c r="CI2426" s="6" t="s">
        <v>257</v>
      </c>
      <c r="CJ2426" s="5" t="s">
        <v>238</v>
      </c>
      <c r="CK2426" s="5" t="s">
        <v>258</v>
      </c>
      <c r="CL2426" s="5" t="s">
        <v>238</v>
      </c>
      <c r="CM2426" s="5" t="s">
        <v>238</v>
      </c>
      <c r="CN2426" s="5">
        <v>0</v>
      </c>
      <c r="CO2426" s="5" t="s">
        <v>259</v>
      </c>
      <c r="CP2426" s="5" t="s">
        <v>260</v>
      </c>
      <c r="CQ2426" s="5" t="s">
        <v>260</v>
      </c>
      <c r="CR2426" s="5" t="s">
        <v>261</v>
      </c>
      <c r="CU2426" s="8">
        <f>1</f>
        <v>1</v>
      </c>
      <c r="CV2426" s="8">
        <f>0</f>
        <v>0</v>
      </c>
      <c r="CX2426" s="8">
        <f>0</f>
        <v>0</v>
      </c>
      <c r="CY2426" s="8">
        <f>1</f>
        <v>1</v>
      </c>
      <c r="DA2426" s="5" t="s">
        <v>274</v>
      </c>
      <c r="DB2426" s="5" t="s">
        <v>238</v>
      </c>
      <c r="DD2426" s="5" t="s">
        <v>274</v>
      </c>
      <c r="DE2426" s="8">
        <f>44</f>
        <v>44</v>
      </c>
      <c r="DG2426" s="5" t="s">
        <v>238</v>
      </c>
      <c r="DH2426" s="5" t="s">
        <v>238</v>
      </c>
      <c r="DI2426" s="5" t="s">
        <v>238</v>
      </c>
      <c r="DJ2426" s="5" t="s">
        <v>238</v>
      </c>
      <c r="DN2426" s="5" t="s">
        <v>238</v>
      </c>
      <c r="DO2426" s="5" t="s">
        <v>238</v>
      </c>
      <c r="DP2426" s="5" t="s">
        <v>238</v>
      </c>
      <c r="DQ2426" s="5" t="s">
        <v>238</v>
      </c>
      <c r="DT2426" s="5" t="s">
        <v>275</v>
      </c>
      <c r="DU2426" s="5" t="s">
        <v>1866</v>
      </c>
      <c r="HM2426" s="5" t="s">
        <v>264</v>
      </c>
    </row>
    <row r="2427" spans="1:221" x14ac:dyDescent="0.4">
      <c r="A2427" s="5">
        <v>4131</v>
      </c>
      <c r="B2427" s="5">
        <v>1</v>
      </c>
      <c r="C2427" s="5">
        <v>1</v>
      </c>
      <c r="D2427" s="5" t="s">
        <v>269</v>
      </c>
      <c r="E2427" s="5" t="s">
        <v>271</v>
      </c>
      <c r="F2427" s="5" t="s">
        <v>248</v>
      </c>
      <c r="G2427" s="5" t="s">
        <v>266</v>
      </c>
      <c r="H2427" s="6" t="s">
        <v>1861</v>
      </c>
      <c r="I2427" s="7">
        <f>736</f>
        <v>736</v>
      </c>
      <c r="J2427" s="5" t="s">
        <v>262</v>
      </c>
      <c r="K2427" s="8">
        <f>1</f>
        <v>1</v>
      </c>
      <c r="L2427" s="6" t="s">
        <v>242</v>
      </c>
      <c r="M2427" s="5" t="s">
        <v>267</v>
      </c>
      <c r="N2427" s="5" t="s">
        <v>265</v>
      </c>
      <c r="O2427" s="5" t="s">
        <v>238</v>
      </c>
      <c r="P2427" s="5" t="s">
        <v>238</v>
      </c>
      <c r="Q2427" s="5" t="s">
        <v>268</v>
      </c>
      <c r="R2427" s="5" t="s">
        <v>270</v>
      </c>
      <c r="S2427" s="5" t="s">
        <v>238</v>
      </c>
      <c r="V2427" s="5" t="s">
        <v>238</v>
      </c>
      <c r="X2427" s="6" t="s">
        <v>238</v>
      </c>
      <c r="AA2427" s="6" t="s">
        <v>243</v>
      </c>
      <c r="AB2427" s="5" t="s">
        <v>238</v>
      </c>
      <c r="AC2427" s="5" t="s">
        <v>244</v>
      </c>
      <c r="AD2427" s="5" t="s">
        <v>245</v>
      </c>
      <c r="AT2427" s="5" t="s">
        <v>246</v>
      </c>
      <c r="AU2427" s="5" t="s">
        <v>238</v>
      </c>
      <c r="AV2427" s="5" t="s">
        <v>247</v>
      </c>
      <c r="AW2427" s="5" t="s">
        <v>238</v>
      </c>
      <c r="AX2427" s="5" t="s">
        <v>249</v>
      </c>
      <c r="AY2427" s="5" t="s">
        <v>238</v>
      </c>
      <c r="BA2427" s="5" t="s">
        <v>238</v>
      </c>
      <c r="BC2427" s="5" t="s">
        <v>250</v>
      </c>
      <c r="BD2427" s="6" t="s">
        <v>243</v>
      </c>
      <c r="BE2427" s="5" t="s">
        <v>251</v>
      </c>
      <c r="BF2427" s="5" t="s">
        <v>252</v>
      </c>
      <c r="BG2427" s="5" t="s">
        <v>238</v>
      </c>
      <c r="BH2427" s="7">
        <f>0</f>
        <v>0</v>
      </c>
      <c r="BI2427" s="8">
        <f>0</f>
        <v>0</v>
      </c>
      <c r="BJ2427" s="5" t="s">
        <v>253</v>
      </c>
      <c r="BK2427" s="5" t="s">
        <v>254</v>
      </c>
      <c r="BY2427" s="5" t="s">
        <v>238</v>
      </c>
      <c r="BZ2427" s="5" t="s">
        <v>238</v>
      </c>
      <c r="CD2427" s="5" t="s">
        <v>273</v>
      </c>
      <c r="CE2427" s="5" t="s">
        <v>256</v>
      </c>
      <c r="CF2427" s="5" t="s">
        <v>238</v>
      </c>
      <c r="CI2427" s="6" t="s">
        <v>257</v>
      </c>
      <c r="CJ2427" s="5" t="s">
        <v>238</v>
      </c>
      <c r="CK2427" s="5" t="s">
        <v>258</v>
      </c>
      <c r="CL2427" s="5" t="s">
        <v>238</v>
      </c>
      <c r="CM2427" s="5" t="s">
        <v>238</v>
      </c>
      <c r="CN2427" s="5">
        <v>0</v>
      </c>
      <c r="CO2427" s="5" t="s">
        <v>259</v>
      </c>
      <c r="CP2427" s="5" t="s">
        <v>260</v>
      </c>
      <c r="CQ2427" s="5" t="s">
        <v>260</v>
      </c>
      <c r="CR2427" s="5" t="s">
        <v>261</v>
      </c>
      <c r="CU2427" s="8">
        <f>1</f>
        <v>1</v>
      </c>
      <c r="CV2427" s="8">
        <f>0</f>
        <v>0</v>
      </c>
      <c r="CX2427" s="8">
        <f>0</f>
        <v>0</v>
      </c>
      <c r="CY2427" s="8">
        <f>1</f>
        <v>1</v>
      </c>
      <c r="DA2427" s="5" t="s">
        <v>274</v>
      </c>
      <c r="DB2427" s="5" t="s">
        <v>238</v>
      </c>
      <c r="DD2427" s="5" t="s">
        <v>274</v>
      </c>
      <c r="DE2427" s="8">
        <f>736</f>
        <v>736</v>
      </c>
      <c r="DG2427" s="5" t="s">
        <v>238</v>
      </c>
      <c r="DH2427" s="5" t="s">
        <v>238</v>
      </c>
      <c r="DI2427" s="5" t="s">
        <v>238</v>
      </c>
      <c r="DJ2427" s="5" t="s">
        <v>238</v>
      </c>
      <c r="DN2427" s="5" t="s">
        <v>238</v>
      </c>
      <c r="DO2427" s="5" t="s">
        <v>238</v>
      </c>
      <c r="DP2427" s="5" t="s">
        <v>238</v>
      </c>
      <c r="DQ2427" s="5" t="s">
        <v>238</v>
      </c>
      <c r="DT2427" s="5" t="s">
        <v>275</v>
      </c>
      <c r="DU2427" s="5" t="s">
        <v>1862</v>
      </c>
      <c r="HM2427" s="5" t="s">
        <v>264</v>
      </c>
    </row>
    <row r="2428" spans="1:221" x14ac:dyDescent="0.4">
      <c r="A2428" s="5">
        <v>4132</v>
      </c>
      <c r="B2428" s="5">
        <v>1</v>
      </c>
      <c r="C2428" s="5">
        <v>1</v>
      </c>
      <c r="D2428" s="5" t="s">
        <v>269</v>
      </c>
      <c r="E2428" s="5" t="s">
        <v>271</v>
      </c>
      <c r="F2428" s="5" t="s">
        <v>248</v>
      </c>
      <c r="G2428" s="5" t="s">
        <v>266</v>
      </c>
      <c r="H2428" s="6" t="s">
        <v>1853</v>
      </c>
      <c r="I2428" s="7">
        <f>1991</f>
        <v>1991</v>
      </c>
      <c r="J2428" s="5" t="s">
        <v>262</v>
      </c>
      <c r="K2428" s="8">
        <f>1</f>
        <v>1</v>
      </c>
      <c r="L2428" s="6" t="s">
        <v>242</v>
      </c>
      <c r="M2428" s="5" t="s">
        <v>267</v>
      </c>
      <c r="N2428" s="5" t="s">
        <v>265</v>
      </c>
      <c r="O2428" s="5" t="s">
        <v>238</v>
      </c>
      <c r="P2428" s="5" t="s">
        <v>238</v>
      </c>
      <c r="Q2428" s="5" t="s">
        <v>268</v>
      </c>
      <c r="R2428" s="5" t="s">
        <v>270</v>
      </c>
      <c r="S2428" s="5" t="s">
        <v>238</v>
      </c>
      <c r="V2428" s="5" t="s">
        <v>238</v>
      </c>
      <c r="X2428" s="6" t="s">
        <v>238</v>
      </c>
      <c r="AA2428" s="6" t="s">
        <v>243</v>
      </c>
      <c r="AB2428" s="5" t="s">
        <v>238</v>
      </c>
      <c r="AC2428" s="5" t="s">
        <v>244</v>
      </c>
      <c r="AD2428" s="5" t="s">
        <v>245</v>
      </c>
      <c r="AT2428" s="5" t="s">
        <v>246</v>
      </c>
      <c r="AU2428" s="5" t="s">
        <v>238</v>
      </c>
      <c r="AV2428" s="5" t="s">
        <v>247</v>
      </c>
      <c r="AW2428" s="5" t="s">
        <v>238</v>
      </c>
      <c r="AX2428" s="5" t="s">
        <v>249</v>
      </c>
      <c r="AY2428" s="5" t="s">
        <v>238</v>
      </c>
      <c r="BA2428" s="5" t="s">
        <v>238</v>
      </c>
      <c r="BC2428" s="5" t="s">
        <v>250</v>
      </c>
      <c r="BD2428" s="6" t="s">
        <v>243</v>
      </c>
      <c r="BE2428" s="5" t="s">
        <v>251</v>
      </c>
      <c r="BF2428" s="5" t="s">
        <v>252</v>
      </c>
      <c r="BG2428" s="5" t="s">
        <v>238</v>
      </c>
      <c r="BH2428" s="7">
        <f>0</f>
        <v>0</v>
      </c>
      <c r="BI2428" s="8">
        <f>0</f>
        <v>0</v>
      </c>
      <c r="BJ2428" s="5" t="s">
        <v>253</v>
      </c>
      <c r="BK2428" s="5" t="s">
        <v>254</v>
      </c>
      <c r="BY2428" s="5" t="s">
        <v>238</v>
      </c>
      <c r="BZ2428" s="5" t="s">
        <v>238</v>
      </c>
      <c r="CD2428" s="5" t="s">
        <v>273</v>
      </c>
      <c r="CE2428" s="5" t="s">
        <v>256</v>
      </c>
      <c r="CF2428" s="5" t="s">
        <v>238</v>
      </c>
      <c r="CI2428" s="6" t="s">
        <v>257</v>
      </c>
      <c r="CJ2428" s="5" t="s">
        <v>238</v>
      </c>
      <c r="CK2428" s="5" t="s">
        <v>258</v>
      </c>
      <c r="CL2428" s="5" t="s">
        <v>238</v>
      </c>
      <c r="CM2428" s="5" t="s">
        <v>238</v>
      </c>
      <c r="CN2428" s="5">
        <v>0</v>
      </c>
      <c r="CO2428" s="5" t="s">
        <v>259</v>
      </c>
      <c r="CP2428" s="5" t="s">
        <v>260</v>
      </c>
      <c r="CQ2428" s="5" t="s">
        <v>260</v>
      </c>
      <c r="CR2428" s="5" t="s">
        <v>261</v>
      </c>
      <c r="CU2428" s="8">
        <f>1</f>
        <v>1</v>
      </c>
      <c r="CV2428" s="8">
        <f>0</f>
        <v>0</v>
      </c>
      <c r="CX2428" s="8">
        <f>0</f>
        <v>0</v>
      </c>
      <c r="CY2428" s="8">
        <f>1</f>
        <v>1</v>
      </c>
      <c r="DA2428" s="5" t="s">
        <v>274</v>
      </c>
      <c r="DB2428" s="5" t="s">
        <v>238</v>
      </c>
      <c r="DD2428" s="5" t="s">
        <v>274</v>
      </c>
      <c r="DE2428" s="8">
        <f>1991</f>
        <v>1991</v>
      </c>
      <c r="DG2428" s="5" t="s">
        <v>238</v>
      </c>
      <c r="DH2428" s="5" t="s">
        <v>238</v>
      </c>
      <c r="DI2428" s="5" t="s">
        <v>238</v>
      </c>
      <c r="DJ2428" s="5" t="s">
        <v>238</v>
      </c>
      <c r="DN2428" s="5" t="s">
        <v>238</v>
      </c>
      <c r="DO2428" s="5" t="s">
        <v>238</v>
      </c>
      <c r="DP2428" s="5" t="s">
        <v>238</v>
      </c>
      <c r="DQ2428" s="5" t="s">
        <v>238</v>
      </c>
      <c r="DT2428" s="5" t="s">
        <v>275</v>
      </c>
      <c r="DU2428" s="5" t="s">
        <v>1854</v>
      </c>
      <c r="HM2428" s="5" t="s">
        <v>264</v>
      </c>
    </row>
    <row r="2429" spans="1:221" x14ac:dyDescent="0.4">
      <c r="A2429" s="5">
        <v>4133</v>
      </c>
      <c r="B2429" s="5">
        <v>1</v>
      </c>
      <c r="C2429" s="5">
        <v>1</v>
      </c>
      <c r="D2429" s="5" t="s">
        <v>269</v>
      </c>
      <c r="E2429" s="5" t="s">
        <v>271</v>
      </c>
      <c r="F2429" s="5" t="s">
        <v>248</v>
      </c>
      <c r="G2429" s="5" t="s">
        <v>266</v>
      </c>
      <c r="H2429" s="6" t="s">
        <v>1849</v>
      </c>
      <c r="I2429" s="7">
        <f>47</f>
        <v>47</v>
      </c>
      <c r="J2429" s="5" t="s">
        <v>262</v>
      </c>
      <c r="K2429" s="8">
        <f>1</f>
        <v>1</v>
      </c>
      <c r="L2429" s="6" t="s">
        <v>242</v>
      </c>
      <c r="M2429" s="5" t="s">
        <v>267</v>
      </c>
      <c r="N2429" s="5" t="s">
        <v>265</v>
      </c>
      <c r="O2429" s="5" t="s">
        <v>238</v>
      </c>
      <c r="P2429" s="5" t="s">
        <v>238</v>
      </c>
      <c r="Q2429" s="5" t="s">
        <v>268</v>
      </c>
      <c r="R2429" s="5" t="s">
        <v>270</v>
      </c>
      <c r="S2429" s="5" t="s">
        <v>238</v>
      </c>
      <c r="V2429" s="5" t="s">
        <v>238</v>
      </c>
      <c r="X2429" s="6" t="s">
        <v>238</v>
      </c>
      <c r="AA2429" s="6" t="s">
        <v>243</v>
      </c>
      <c r="AB2429" s="5" t="s">
        <v>238</v>
      </c>
      <c r="AC2429" s="5" t="s">
        <v>244</v>
      </c>
      <c r="AD2429" s="5" t="s">
        <v>245</v>
      </c>
      <c r="AT2429" s="5" t="s">
        <v>246</v>
      </c>
      <c r="AU2429" s="5" t="s">
        <v>238</v>
      </c>
      <c r="AV2429" s="5" t="s">
        <v>247</v>
      </c>
      <c r="AW2429" s="5" t="s">
        <v>238</v>
      </c>
      <c r="AX2429" s="5" t="s">
        <v>249</v>
      </c>
      <c r="AY2429" s="5" t="s">
        <v>238</v>
      </c>
      <c r="BA2429" s="5" t="s">
        <v>238</v>
      </c>
      <c r="BC2429" s="5" t="s">
        <v>250</v>
      </c>
      <c r="BD2429" s="6" t="s">
        <v>243</v>
      </c>
      <c r="BE2429" s="5" t="s">
        <v>251</v>
      </c>
      <c r="BF2429" s="5" t="s">
        <v>252</v>
      </c>
      <c r="BG2429" s="5" t="s">
        <v>238</v>
      </c>
      <c r="BH2429" s="7">
        <f>0</f>
        <v>0</v>
      </c>
      <c r="BI2429" s="8">
        <f>0</f>
        <v>0</v>
      </c>
      <c r="BJ2429" s="5" t="s">
        <v>253</v>
      </c>
      <c r="BK2429" s="5" t="s">
        <v>254</v>
      </c>
      <c r="BY2429" s="5" t="s">
        <v>238</v>
      </c>
      <c r="BZ2429" s="5" t="s">
        <v>238</v>
      </c>
      <c r="CD2429" s="5" t="s">
        <v>273</v>
      </c>
      <c r="CE2429" s="5" t="s">
        <v>256</v>
      </c>
      <c r="CF2429" s="5" t="s">
        <v>238</v>
      </c>
      <c r="CI2429" s="6" t="s">
        <v>257</v>
      </c>
      <c r="CJ2429" s="5" t="s">
        <v>238</v>
      </c>
      <c r="CK2429" s="5" t="s">
        <v>258</v>
      </c>
      <c r="CL2429" s="5" t="s">
        <v>238</v>
      </c>
      <c r="CM2429" s="5" t="s">
        <v>238</v>
      </c>
      <c r="CN2429" s="5">
        <v>0</v>
      </c>
      <c r="CO2429" s="5" t="s">
        <v>259</v>
      </c>
      <c r="CP2429" s="5" t="s">
        <v>260</v>
      </c>
      <c r="CQ2429" s="5" t="s">
        <v>260</v>
      </c>
      <c r="CR2429" s="5" t="s">
        <v>261</v>
      </c>
      <c r="CU2429" s="8">
        <f>1</f>
        <v>1</v>
      </c>
      <c r="CV2429" s="8">
        <f>0</f>
        <v>0</v>
      </c>
      <c r="CX2429" s="8">
        <f>0</f>
        <v>0</v>
      </c>
      <c r="CY2429" s="8">
        <f>1</f>
        <v>1</v>
      </c>
      <c r="DA2429" s="5" t="s">
        <v>274</v>
      </c>
      <c r="DB2429" s="5" t="s">
        <v>238</v>
      </c>
      <c r="DD2429" s="5" t="s">
        <v>274</v>
      </c>
      <c r="DE2429" s="8">
        <f>47</f>
        <v>47</v>
      </c>
      <c r="DG2429" s="5" t="s">
        <v>238</v>
      </c>
      <c r="DH2429" s="5" t="s">
        <v>238</v>
      </c>
      <c r="DI2429" s="5" t="s">
        <v>238</v>
      </c>
      <c r="DJ2429" s="5" t="s">
        <v>238</v>
      </c>
      <c r="DN2429" s="5" t="s">
        <v>238</v>
      </c>
      <c r="DO2429" s="5" t="s">
        <v>238</v>
      </c>
      <c r="DP2429" s="5" t="s">
        <v>238</v>
      </c>
      <c r="DQ2429" s="5" t="s">
        <v>238</v>
      </c>
      <c r="DT2429" s="5" t="s">
        <v>275</v>
      </c>
      <c r="DU2429" s="5" t="s">
        <v>1850</v>
      </c>
      <c r="HM2429" s="5" t="s">
        <v>264</v>
      </c>
    </row>
    <row r="2430" spans="1:221" x14ac:dyDescent="0.4">
      <c r="A2430" s="5">
        <v>4134</v>
      </c>
      <c r="B2430" s="5">
        <v>1</v>
      </c>
      <c r="C2430" s="5">
        <v>1</v>
      </c>
      <c r="D2430" s="5" t="s">
        <v>269</v>
      </c>
      <c r="E2430" s="5" t="s">
        <v>271</v>
      </c>
      <c r="F2430" s="5" t="s">
        <v>248</v>
      </c>
      <c r="G2430" s="5" t="s">
        <v>266</v>
      </c>
      <c r="H2430" s="6" t="s">
        <v>1837</v>
      </c>
      <c r="I2430" s="7">
        <f>2112</f>
        <v>2112</v>
      </c>
      <c r="J2430" s="5" t="s">
        <v>262</v>
      </c>
      <c r="K2430" s="8">
        <f>1</f>
        <v>1</v>
      </c>
      <c r="L2430" s="6" t="s">
        <v>242</v>
      </c>
      <c r="M2430" s="5" t="s">
        <v>267</v>
      </c>
      <c r="N2430" s="5" t="s">
        <v>265</v>
      </c>
      <c r="O2430" s="5" t="s">
        <v>238</v>
      </c>
      <c r="P2430" s="5" t="s">
        <v>238</v>
      </c>
      <c r="Q2430" s="5" t="s">
        <v>268</v>
      </c>
      <c r="R2430" s="5" t="s">
        <v>270</v>
      </c>
      <c r="S2430" s="5" t="s">
        <v>238</v>
      </c>
      <c r="V2430" s="5" t="s">
        <v>238</v>
      </c>
      <c r="X2430" s="6" t="s">
        <v>238</v>
      </c>
      <c r="AA2430" s="6" t="s">
        <v>243</v>
      </c>
      <c r="AB2430" s="5" t="s">
        <v>238</v>
      </c>
      <c r="AC2430" s="5" t="s">
        <v>244</v>
      </c>
      <c r="AD2430" s="5" t="s">
        <v>245</v>
      </c>
      <c r="AT2430" s="5" t="s">
        <v>246</v>
      </c>
      <c r="AU2430" s="5" t="s">
        <v>238</v>
      </c>
      <c r="AV2430" s="5" t="s">
        <v>247</v>
      </c>
      <c r="AW2430" s="5" t="s">
        <v>238</v>
      </c>
      <c r="AX2430" s="5" t="s">
        <v>249</v>
      </c>
      <c r="AY2430" s="5" t="s">
        <v>238</v>
      </c>
      <c r="BA2430" s="5" t="s">
        <v>238</v>
      </c>
      <c r="BC2430" s="5" t="s">
        <v>250</v>
      </c>
      <c r="BD2430" s="6" t="s">
        <v>243</v>
      </c>
      <c r="BE2430" s="5" t="s">
        <v>251</v>
      </c>
      <c r="BF2430" s="5" t="s">
        <v>252</v>
      </c>
      <c r="BG2430" s="5" t="s">
        <v>238</v>
      </c>
      <c r="BH2430" s="7">
        <f>0</f>
        <v>0</v>
      </c>
      <c r="BI2430" s="8">
        <f>0</f>
        <v>0</v>
      </c>
      <c r="BJ2430" s="5" t="s">
        <v>253</v>
      </c>
      <c r="BK2430" s="5" t="s">
        <v>254</v>
      </c>
      <c r="BY2430" s="5" t="s">
        <v>238</v>
      </c>
      <c r="BZ2430" s="5" t="s">
        <v>238</v>
      </c>
      <c r="CD2430" s="5" t="s">
        <v>273</v>
      </c>
      <c r="CE2430" s="5" t="s">
        <v>256</v>
      </c>
      <c r="CF2430" s="5" t="s">
        <v>238</v>
      </c>
      <c r="CI2430" s="6" t="s">
        <v>257</v>
      </c>
      <c r="CJ2430" s="5" t="s">
        <v>238</v>
      </c>
      <c r="CK2430" s="5" t="s">
        <v>258</v>
      </c>
      <c r="CL2430" s="5" t="s">
        <v>238</v>
      </c>
      <c r="CM2430" s="5" t="s">
        <v>238</v>
      </c>
      <c r="CN2430" s="5">
        <v>0</v>
      </c>
      <c r="CO2430" s="5" t="s">
        <v>259</v>
      </c>
      <c r="CP2430" s="5" t="s">
        <v>260</v>
      </c>
      <c r="CQ2430" s="5" t="s">
        <v>260</v>
      </c>
      <c r="CR2430" s="5" t="s">
        <v>261</v>
      </c>
      <c r="CU2430" s="8">
        <f>1</f>
        <v>1</v>
      </c>
      <c r="CV2430" s="8">
        <f>0</f>
        <v>0</v>
      </c>
      <c r="CX2430" s="8">
        <f>0</f>
        <v>0</v>
      </c>
      <c r="CY2430" s="8">
        <f>1</f>
        <v>1</v>
      </c>
      <c r="DA2430" s="5" t="s">
        <v>274</v>
      </c>
      <c r="DB2430" s="5" t="s">
        <v>238</v>
      </c>
      <c r="DD2430" s="5" t="s">
        <v>274</v>
      </c>
      <c r="DE2430" s="8">
        <f>2112</f>
        <v>2112</v>
      </c>
      <c r="DG2430" s="5" t="s">
        <v>238</v>
      </c>
      <c r="DH2430" s="5" t="s">
        <v>238</v>
      </c>
      <c r="DI2430" s="5" t="s">
        <v>238</v>
      </c>
      <c r="DJ2430" s="5" t="s">
        <v>238</v>
      </c>
      <c r="DN2430" s="5" t="s">
        <v>238</v>
      </c>
      <c r="DO2430" s="5" t="s">
        <v>238</v>
      </c>
      <c r="DP2430" s="5" t="s">
        <v>238</v>
      </c>
      <c r="DQ2430" s="5" t="s">
        <v>238</v>
      </c>
      <c r="DT2430" s="5" t="s">
        <v>275</v>
      </c>
      <c r="DU2430" s="5" t="s">
        <v>1838</v>
      </c>
      <c r="HM2430" s="5" t="s">
        <v>264</v>
      </c>
    </row>
    <row r="2431" spans="1:221" x14ac:dyDescent="0.4">
      <c r="A2431" s="5">
        <v>4135</v>
      </c>
      <c r="B2431" s="5">
        <v>1</v>
      </c>
      <c r="C2431" s="5">
        <v>1</v>
      </c>
      <c r="D2431" s="5" t="s">
        <v>269</v>
      </c>
      <c r="E2431" s="5" t="s">
        <v>271</v>
      </c>
      <c r="F2431" s="5" t="s">
        <v>248</v>
      </c>
      <c r="G2431" s="5" t="s">
        <v>266</v>
      </c>
      <c r="H2431" s="6" t="s">
        <v>1833</v>
      </c>
      <c r="I2431" s="7">
        <f>1161</f>
        <v>1161</v>
      </c>
      <c r="J2431" s="5" t="s">
        <v>262</v>
      </c>
      <c r="K2431" s="8">
        <f>1</f>
        <v>1</v>
      </c>
      <c r="L2431" s="6" t="s">
        <v>242</v>
      </c>
      <c r="M2431" s="5" t="s">
        <v>267</v>
      </c>
      <c r="N2431" s="5" t="s">
        <v>265</v>
      </c>
      <c r="O2431" s="5" t="s">
        <v>238</v>
      </c>
      <c r="P2431" s="5" t="s">
        <v>238</v>
      </c>
      <c r="Q2431" s="5" t="s">
        <v>268</v>
      </c>
      <c r="R2431" s="5" t="s">
        <v>270</v>
      </c>
      <c r="S2431" s="5" t="s">
        <v>238</v>
      </c>
      <c r="V2431" s="5" t="s">
        <v>238</v>
      </c>
      <c r="X2431" s="6" t="s">
        <v>238</v>
      </c>
      <c r="AA2431" s="6" t="s">
        <v>243</v>
      </c>
      <c r="AB2431" s="5" t="s">
        <v>238</v>
      </c>
      <c r="AC2431" s="5" t="s">
        <v>244</v>
      </c>
      <c r="AD2431" s="5" t="s">
        <v>245</v>
      </c>
      <c r="AT2431" s="5" t="s">
        <v>246</v>
      </c>
      <c r="AU2431" s="5" t="s">
        <v>238</v>
      </c>
      <c r="AV2431" s="5" t="s">
        <v>247</v>
      </c>
      <c r="AW2431" s="5" t="s">
        <v>238</v>
      </c>
      <c r="AX2431" s="5" t="s">
        <v>249</v>
      </c>
      <c r="AY2431" s="5" t="s">
        <v>238</v>
      </c>
      <c r="BA2431" s="5" t="s">
        <v>238</v>
      </c>
      <c r="BC2431" s="5" t="s">
        <v>250</v>
      </c>
      <c r="BD2431" s="6" t="s">
        <v>243</v>
      </c>
      <c r="BE2431" s="5" t="s">
        <v>251</v>
      </c>
      <c r="BF2431" s="5" t="s">
        <v>252</v>
      </c>
      <c r="BG2431" s="5" t="s">
        <v>238</v>
      </c>
      <c r="BH2431" s="7">
        <f>0</f>
        <v>0</v>
      </c>
      <c r="BI2431" s="8">
        <f>0</f>
        <v>0</v>
      </c>
      <c r="BJ2431" s="5" t="s">
        <v>253</v>
      </c>
      <c r="BK2431" s="5" t="s">
        <v>254</v>
      </c>
      <c r="BY2431" s="5" t="s">
        <v>238</v>
      </c>
      <c r="BZ2431" s="5" t="s">
        <v>238</v>
      </c>
      <c r="CD2431" s="5" t="s">
        <v>273</v>
      </c>
      <c r="CE2431" s="5" t="s">
        <v>256</v>
      </c>
      <c r="CF2431" s="5" t="s">
        <v>238</v>
      </c>
      <c r="CI2431" s="6" t="s">
        <v>257</v>
      </c>
      <c r="CJ2431" s="5" t="s">
        <v>238</v>
      </c>
      <c r="CK2431" s="5" t="s">
        <v>258</v>
      </c>
      <c r="CL2431" s="5" t="s">
        <v>238</v>
      </c>
      <c r="CM2431" s="5" t="s">
        <v>238</v>
      </c>
      <c r="CN2431" s="5">
        <v>0</v>
      </c>
      <c r="CO2431" s="5" t="s">
        <v>259</v>
      </c>
      <c r="CP2431" s="5" t="s">
        <v>260</v>
      </c>
      <c r="CQ2431" s="5" t="s">
        <v>260</v>
      </c>
      <c r="CR2431" s="5" t="s">
        <v>261</v>
      </c>
      <c r="CU2431" s="8">
        <f>1</f>
        <v>1</v>
      </c>
      <c r="CV2431" s="8">
        <f>0</f>
        <v>0</v>
      </c>
      <c r="CX2431" s="8">
        <f>0</f>
        <v>0</v>
      </c>
      <c r="CY2431" s="8">
        <f>1</f>
        <v>1</v>
      </c>
      <c r="DA2431" s="5" t="s">
        <v>274</v>
      </c>
      <c r="DB2431" s="5" t="s">
        <v>238</v>
      </c>
      <c r="DD2431" s="5" t="s">
        <v>274</v>
      </c>
      <c r="DE2431" s="8">
        <f>1161</f>
        <v>1161</v>
      </c>
      <c r="DG2431" s="5" t="s">
        <v>238</v>
      </c>
      <c r="DH2431" s="5" t="s">
        <v>238</v>
      </c>
      <c r="DI2431" s="5" t="s">
        <v>238</v>
      </c>
      <c r="DJ2431" s="5" t="s">
        <v>238</v>
      </c>
      <c r="DN2431" s="5" t="s">
        <v>238</v>
      </c>
      <c r="DO2431" s="5" t="s">
        <v>238</v>
      </c>
      <c r="DP2431" s="5" t="s">
        <v>238</v>
      </c>
      <c r="DQ2431" s="5" t="s">
        <v>238</v>
      </c>
      <c r="DT2431" s="5" t="s">
        <v>275</v>
      </c>
      <c r="DU2431" s="5" t="s">
        <v>1834</v>
      </c>
      <c r="HM2431" s="5" t="s">
        <v>264</v>
      </c>
    </row>
    <row r="2432" spans="1:221" x14ac:dyDescent="0.4">
      <c r="A2432" s="5">
        <v>4136</v>
      </c>
      <c r="B2432" s="5">
        <v>1</v>
      </c>
      <c r="C2432" s="5">
        <v>1</v>
      </c>
      <c r="D2432" s="5" t="s">
        <v>269</v>
      </c>
      <c r="E2432" s="5" t="s">
        <v>271</v>
      </c>
      <c r="F2432" s="5" t="s">
        <v>248</v>
      </c>
      <c r="G2432" s="5" t="s">
        <v>266</v>
      </c>
      <c r="H2432" s="6" t="s">
        <v>4192</v>
      </c>
      <c r="I2432" s="7">
        <f>134</f>
        <v>134</v>
      </c>
      <c r="J2432" s="5" t="s">
        <v>262</v>
      </c>
      <c r="K2432" s="8">
        <f>1</f>
        <v>1</v>
      </c>
      <c r="L2432" s="6" t="s">
        <v>242</v>
      </c>
      <c r="M2432" s="5" t="s">
        <v>267</v>
      </c>
      <c r="N2432" s="5" t="s">
        <v>265</v>
      </c>
      <c r="O2432" s="5" t="s">
        <v>238</v>
      </c>
      <c r="P2432" s="5" t="s">
        <v>238</v>
      </c>
      <c r="Q2432" s="5" t="s">
        <v>268</v>
      </c>
      <c r="R2432" s="5" t="s">
        <v>270</v>
      </c>
      <c r="S2432" s="5" t="s">
        <v>238</v>
      </c>
      <c r="V2432" s="5" t="s">
        <v>238</v>
      </c>
      <c r="X2432" s="6" t="s">
        <v>238</v>
      </c>
      <c r="AA2432" s="6" t="s">
        <v>243</v>
      </c>
      <c r="AB2432" s="5" t="s">
        <v>238</v>
      </c>
      <c r="AC2432" s="5" t="s">
        <v>244</v>
      </c>
      <c r="AD2432" s="5" t="s">
        <v>245</v>
      </c>
      <c r="AT2432" s="5" t="s">
        <v>246</v>
      </c>
      <c r="AU2432" s="5" t="s">
        <v>238</v>
      </c>
      <c r="AV2432" s="5" t="s">
        <v>247</v>
      </c>
      <c r="AW2432" s="5" t="s">
        <v>238</v>
      </c>
      <c r="AX2432" s="5" t="s">
        <v>249</v>
      </c>
      <c r="AY2432" s="5" t="s">
        <v>238</v>
      </c>
      <c r="BA2432" s="5" t="s">
        <v>238</v>
      </c>
      <c r="BC2432" s="5" t="s">
        <v>250</v>
      </c>
      <c r="BD2432" s="6" t="s">
        <v>243</v>
      </c>
      <c r="BE2432" s="5" t="s">
        <v>251</v>
      </c>
      <c r="BF2432" s="5" t="s">
        <v>252</v>
      </c>
      <c r="BG2432" s="5" t="s">
        <v>238</v>
      </c>
      <c r="BH2432" s="7">
        <f>0</f>
        <v>0</v>
      </c>
      <c r="BI2432" s="8">
        <f>0</f>
        <v>0</v>
      </c>
      <c r="BJ2432" s="5" t="s">
        <v>253</v>
      </c>
      <c r="BK2432" s="5" t="s">
        <v>254</v>
      </c>
      <c r="BY2432" s="5" t="s">
        <v>238</v>
      </c>
      <c r="BZ2432" s="5" t="s">
        <v>238</v>
      </c>
      <c r="CD2432" s="5" t="s">
        <v>273</v>
      </c>
      <c r="CE2432" s="5" t="s">
        <v>256</v>
      </c>
      <c r="CF2432" s="5" t="s">
        <v>238</v>
      </c>
      <c r="CI2432" s="6" t="s">
        <v>257</v>
      </c>
      <c r="CJ2432" s="5" t="s">
        <v>238</v>
      </c>
      <c r="CK2432" s="5" t="s">
        <v>258</v>
      </c>
      <c r="CL2432" s="5" t="s">
        <v>238</v>
      </c>
      <c r="CM2432" s="5" t="s">
        <v>238</v>
      </c>
      <c r="CN2432" s="5">
        <v>0</v>
      </c>
      <c r="CO2432" s="5" t="s">
        <v>259</v>
      </c>
      <c r="CP2432" s="5" t="s">
        <v>260</v>
      </c>
      <c r="CQ2432" s="5" t="s">
        <v>260</v>
      </c>
      <c r="CR2432" s="5" t="s">
        <v>261</v>
      </c>
      <c r="CU2432" s="8">
        <f>1</f>
        <v>1</v>
      </c>
      <c r="CV2432" s="8">
        <f>0</f>
        <v>0</v>
      </c>
      <c r="CX2432" s="8">
        <f>0</f>
        <v>0</v>
      </c>
      <c r="CY2432" s="8">
        <f>1</f>
        <v>1</v>
      </c>
      <c r="DA2432" s="5" t="s">
        <v>274</v>
      </c>
      <c r="DB2432" s="5" t="s">
        <v>238</v>
      </c>
      <c r="DD2432" s="5" t="s">
        <v>274</v>
      </c>
      <c r="DE2432" s="8">
        <f>134</f>
        <v>134</v>
      </c>
      <c r="DG2432" s="5" t="s">
        <v>238</v>
      </c>
      <c r="DH2432" s="5" t="s">
        <v>238</v>
      </c>
      <c r="DI2432" s="5" t="s">
        <v>238</v>
      </c>
      <c r="DJ2432" s="5" t="s">
        <v>238</v>
      </c>
      <c r="DN2432" s="5" t="s">
        <v>238</v>
      </c>
      <c r="DO2432" s="5" t="s">
        <v>238</v>
      </c>
      <c r="DP2432" s="5" t="s">
        <v>238</v>
      </c>
      <c r="DQ2432" s="5" t="s">
        <v>238</v>
      </c>
      <c r="DT2432" s="5" t="s">
        <v>275</v>
      </c>
      <c r="DU2432" s="5" t="s">
        <v>2799</v>
      </c>
      <c r="HM2432" s="5" t="s">
        <v>264</v>
      </c>
    </row>
    <row r="2433" spans="1:221" x14ac:dyDescent="0.4">
      <c r="A2433" s="5">
        <v>4137</v>
      </c>
      <c r="B2433" s="5">
        <v>1</v>
      </c>
      <c r="C2433" s="5">
        <v>1</v>
      </c>
      <c r="D2433" s="5" t="s">
        <v>269</v>
      </c>
      <c r="E2433" s="5" t="s">
        <v>271</v>
      </c>
      <c r="F2433" s="5" t="s">
        <v>248</v>
      </c>
      <c r="G2433" s="5" t="s">
        <v>266</v>
      </c>
      <c r="H2433" s="6" t="s">
        <v>4359</v>
      </c>
      <c r="I2433" s="7">
        <f>436</f>
        <v>436</v>
      </c>
      <c r="J2433" s="5" t="s">
        <v>262</v>
      </c>
      <c r="K2433" s="8">
        <f>1</f>
        <v>1</v>
      </c>
      <c r="L2433" s="6" t="s">
        <v>242</v>
      </c>
      <c r="M2433" s="5" t="s">
        <v>267</v>
      </c>
      <c r="N2433" s="5" t="s">
        <v>265</v>
      </c>
      <c r="O2433" s="5" t="s">
        <v>238</v>
      </c>
      <c r="P2433" s="5" t="s">
        <v>238</v>
      </c>
      <c r="Q2433" s="5" t="s">
        <v>268</v>
      </c>
      <c r="R2433" s="5" t="s">
        <v>270</v>
      </c>
      <c r="S2433" s="5" t="s">
        <v>238</v>
      </c>
      <c r="V2433" s="5" t="s">
        <v>238</v>
      </c>
      <c r="X2433" s="6" t="s">
        <v>238</v>
      </c>
      <c r="AA2433" s="6" t="s">
        <v>243</v>
      </c>
      <c r="AB2433" s="5" t="s">
        <v>238</v>
      </c>
      <c r="AC2433" s="5" t="s">
        <v>244</v>
      </c>
      <c r="AD2433" s="5" t="s">
        <v>245</v>
      </c>
      <c r="AT2433" s="5" t="s">
        <v>246</v>
      </c>
      <c r="AU2433" s="5" t="s">
        <v>238</v>
      </c>
      <c r="AV2433" s="5" t="s">
        <v>247</v>
      </c>
      <c r="AW2433" s="5" t="s">
        <v>238</v>
      </c>
      <c r="AX2433" s="5" t="s">
        <v>249</v>
      </c>
      <c r="AY2433" s="5" t="s">
        <v>238</v>
      </c>
      <c r="BA2433" s="5" t="s">
        <v>238</v>
      </c>
      <c r="BC2433" s="5" t="s">
        <v>250</v>
      </c>
      <c r="BD2433" s="6" t="s">
        <v>243</v>
      </c>
      <c r="BE2433" s="5" t="s">
        <v>251</v>
      </c>
      <c r="BF2433" s="5" t="s">
        <v>252</v>
      </c>
      <c r="BG2433" s="5" t="s">
        <v>238</v>
      </c>
      <c r="BH2433" s="7">
        <f>0</f>
        <v>0</v>
      </c>
      <c r="BI2433" s="8">
        <f>0</f>
        <v>0</v>
      </c>
      <c r="BJ2433" s="5" t="s">
        <v>253</v>
      </c>
      <c r="BK2433" s="5" t="s">
        <v>254</v>
      </c>
      <c r="BY2433" s="5" t="s">
        <v>238</v>
      </c>
      <c r="BZ2433" s="5" t="s">
        <v>238</v>
      </c>
      <c r="CD2433" s="5" t="s">
        <v>273</v>
      </c>
      <c r="CE2433" s="5" t="s">
        <v>256</v>
      </c>
      <c r="CF2433" s="5" t="s">
        <v>238</v>
      </c>
      <c r="CI2433" s="6" t="s">
        <v>257</v>
      </c>
      <c r="CJ2433" s="5" t="s">
        <v>238</v>
      </c>
      <c r="CK2433" s="5" t="s">
        <v>258</v>
      </c>
      <c r="CL2433" s="5" t="s">
        <v>238</v>
      </c>
      <c r="CM2433" s="5" t="s">
        <v>238</v>
      </c>
      <c r="CN2433" s="5">
        <v>0</v>
      </c>
      <c r="CO2433" s="5" t="s">
        <v>259</v>
      </c>
      <c r="CP2433" s="5" t="s">
        <v>260</v>
      </c>
      <c r="CQ2433" s="5" t="s">
        <v>260</v>
      </c>
      <c r="CR2433" s="5" t="s">
        <v>261</v>
      </c>
      <c r="CU2433" s="8">
        <f>1</f>
        <v>1</v>
      </c>
      <c r="CV2433" s="8">
        <f>0</f>
        <v>0</v>
      </c>
      <c r="CX2433" s="8">
        <f>0</f>
        <v>0</v>
      </c>
      <c r="CY2433" s="8">
        <f>1</f>
        <v>1</v>
      </c>
      <c r="DA2433" s="5" t="s">
        <v>274</v>
      </c>
      <c r="DB2433" s="5" t="s">
        <v>238</v>
      </c>
      <c r="DD2433" s="5" t="s">
        <v>274</v>
      </c>
      <c r="DE2433" s="8">
        <f>436</f>
        <v>436</v>
      </c>
      <c r="DG2433" s="5" t="s">
        <v>238</v>
      </c>
      <c r="DH2433" s="5" t="s">
        <v>238</v>
      </c>
      <c r="DI2433" s="5" t="s">
        <v>238</v>
      </c>
      <c r="DJ2433" s="5" t="s">
        <v>238</v>
      </c>
      <c r="DN2433" s="5" t="s">
        <v>238</v>
      </c>
      <c r="DO2433" s="5" t="s">
        <v>238</v>
      </c>
      <c r="DP2433" s="5" t="s">
        <v>238</v>
      </c>
      <c r="DQ2433" s="5" t="s">
        <v>238</v>
      </c>
      <c r="DT2433" s="5" t="s">
        <v>275</v>
      </c>
      <c r="DU2433" s="5" t="s">
        <v>2797</v>
      </c>
      <c r="HM2433" s="5" t="s">
        <v>264</v>
      </c>
    </row>
    <row r="2434" spans="1:221" x14ac:dyDescent="0.4">
      <c r="A2434" s="5">
        <v>4138</v>
      </c>
      <c r="B2434" s="5">
        <v>1</v>
      </c>
      <c r="C2434" s="5">
        <v>1</v>
      </c>
      <c r="D2434" s="5" t="s">
        <v>269</v>
      </c>
      <c r="E2434" s="5" t="s">
        <v>271</v>
      </c>
      <c r="F2434" s="5" t="s">
        <v>248</v>
      </c>
      <c r="G2434" s="5" t="s">
        <v>266</v>
      </c>
      <c r="H2434" s="6" t="s">
        <v>1809</v>
      </c>
      <c r="I2434" s="7">
        <f>219</f>
        <v>219</v>
      </c>
      <c r="J2434" s="5" t="s">
        <v>262</v>
      </c>
      <c r="K2434" s="8">
        <f>1</f>
        <v>1</v>
      </c>
      <c r="L2434" s="6" t="s">
        <v>242</v>
      </c>
      <c r="M2434" s="5" t="s">
        <v>267</v>
      </c>
      <c r="N2434" s="5" t="s">
        <v>265</v>
      </c>
      <c r="O2434" s="5" t="s">
        <v>238</v>
      </c>
      <c r="P2434" s="5" t="s">
        <v>238</v>
      </c>
      <c r="Q2434" s="5" t="s">
        <v>268</v>
      </c>
      <c r="R2434" s="5" t="s">
        <v>270</v>
      </c>
      <c r="S2434" s="5" t="s">
        <v>238</v>
      </c>
      <c r="V2434" s="5" t="s">
        <v>238</v>
      </c>
      <c r="X2434" s="6" t="s">
        <v>238</v>
      </c>
      <c r="AA2434" s="6" t="s">
        <v>243</v>
      </c>
      <c r="AB2434" s="5" t="s">
        <v>238</v>
      </c>
      <c r="AC2434" s="5" t="s">
        <v>244</v>
      </c>
      <c r="AD2434" s="5" t="s">
        <v>245</v>
      </c>
      <c r="AT2434" s="5" t="s">
        <v>246</v>
      </c>
      <c r="AU2434" s="5" t="s">
        <v>238</v>
      </c>
      <c r="AV2434" s="5" t="s">
        <v>247</v>
      </c>
      <c r="AW2434" s="5" t="s">
        <v>238</v>
      </c>
      <c r="AX2434" s="5" t="s">
        <v>249</v>
      </c>
      <c r="AY2434" s="5" t="s">
        <v>238</v>
      </c>
      <c r="BA2434" s="5" t="s">
        <v>238</v>
      </c>
      <c r="BC2434" s="5" t="s">
        <v>250</v>
      </c>
      <c r="BD2434" s="6" t="s">
        <v>243</v>
      </c>
      <c r="BE2434" s="5" t="s">
        <v>251</v>
      </c>
      <c r="BF2434" s="5" t="s">
        <v>252</v>
      </c>
      <c r="BG2434" s="5" t="s">
        <v>238</v>
      </c>
      <c r="BH2434" s="7">
        <f>0</f>
        <v>0</v>
      </c>
      <c r="BI2434" s="8">
        <f>0</f>
        <v>0</v>
      </c>
      <c r="BJ2434" s="5" t="s">
        <v>253</v>
      </c>
      <c r="BK2434" s="5" t="s">
        <v>254</v>
      </c>
      <c r="BY2434" s="5" t="s">
        <v>238</v>
      </c>
      <c r="BZ2434" s="5" t="s">
        <v>238</v>
      </c>
      <c r="CD2434" s="5" t="s">
        <v>273</v>
      </c>
      <c r="CE2434" s="5" t="s">
        <v>256</v>
      </c>
      <c r="CF2434" s="5" t="s">
        <v>238</v>
      </c>
      <c r="CI2434" s="6" t="s">
        <v>257</v>
      </c>
      <c r="CJ2434" s="5" t="s">
        <v>238</v>
      </c>
      <c r="CK2434" s="5" t="s">
        <v>258</v>
      </c>
      <c r="CL2434" s="5" t="s">
        <v>238</v>
      </c>
      <c r="CM2434" s="5" t="s">
        <v>238</v>
      </c>
      <c r="CN2434" s="5">
        <v>0</v>
      </c>
      <c r="CO2434" s="5" t="s">
        <v>259</v>
      </c>
      <c r="CP2434" s="5" t="s">
        <v>260</v>
      </c>
      <c r="CQ2434" s="5" t="s">
        <v>260</v>
      </c>
      <c r="CR2434" s="5" t="s">
        <v>261</v>
      </c>
      <c r="CU2434" s="8">
        <f>1</f>
        <v>1</v>
      </c>
      <c r="CV2434" s="8">
        <f>0</f>
        <v>0</v>
      </c>
      <c r="CX2434" s="8">
        <f>0</f>
        <v>0</v>
      </c>
      <c r="CY2434" s="8">
        <f>1</f>
        <v>1</v>
      </c>
      <c r="DA2434" s="5" t="s">
        <v>274</v>
      </c>
      <c r="DB2434" s="5" t="s">
        <v>238</v>
      </c>
      <c r="DD2434" s="5" t="s">
        <v>274</v>
      </c>
      <c r="DE2434" s="8">
        <f>219</f>
        <v>219</v>
      </c>
      <c r="DG2434" s="5" t="s">
        <v>238</v>
      </c>
      <c r="DH2434" s="5" t="s">
        <v>238</v>
      </c>
      <c r="DI2434" s="5" t="s">
        <v>238</v>
      </c>
      <c r="DJ2434" s="5" t="s">
        <v>238</v>
      </c>
      <c r="DN2434" s="5" t="s">
        <v>238</v>
      </c>
      <c r="DO2434" s="5" t="s">
        <v>238</v>
      </c>
      <c r="DP2434" s="5" t="s">
        <v>238</v>
      </c>
      <c r="DQ2434" s="5" t="s">
        <v>238</v>
      </c>
      <c r="DT2434" s="5" t="s">
        <v>275</v>
      </c>
      <c r="DU2434" s="5" t="s">
        <v>1810</v>
      </c>
      <c r="HM2434" s="5" t="s">
        <v>264</v>
      </c>
    </row>
    <row r="2435" spans="1:221" x14ac:dyDescent="0.4">
      <c r="A2435" s="5">
        <v>4139</v>
      </c>
      <c r="B2435" s="5">
        <v>1</v>
      </c>
      <c r="C2435" s="5">
        <v>1</v>
      </c>
      <c r="D2435" s="5" t="s">
        <v>269</v>
      </c>
      <c r="E2435" s="5" t="s">
        <v>271</v>
      </c>
      <c r="F2435" s="5" t="s">
        <v>248</v>
      </c>
      <c r="G2435" s="5" t="s">
        <v>266</v>
      </c>
      <c r="H2435" s="6" t="s">
        <v>4233</v>
      </c>
      <c r="I2435" s="7">
        <f>218</f>
        <v>218</v>
      </c>
      <c r="J2435" s="5" t="s">
        <v>262</v>
      </c>
      <c r="K2435" s="8">
        <f>1</f>
        <v>1</v>
      </c>
      <c r="L2435" s="6" t="s">
        <v>242</v>
      </c>
      <c r="M2435" s="5" t="s">
        <v>267</v>
      </c>
      <c r="N2435" s="5" t="s">
        <v>265</v>
      </c>
      <c r="O2435" s="5" t="s">
        <v>238</v>
      </c>
      <c r="P2435" s="5" t="s">
        <v>238</v>
      </c>
      <c r="Q2435" s="5" t="s">
        <v>268</v>
      </c>
      <c r="R2435" s="5" t="s">
        <v>270</v>
      </c>
      <c r="S2435" s="5" t="s">
        <v>238</v>
      </c>
      <c r="V2435" s="5" t="s">
        <v>238</v>
      </c>
      <c r="X2435" s="6" t="s">
        <v>238</v>
      </c>
      <c r="AA2435" s="6" t="s">
        <v>243</v>
      </c>
      <c r="AB2435" s="5" t="s">
        <v>238</v>
      </c>
      <c r="AC2435" s="5" t="s">
        <v>244</v>
      </c>
      <c r="AD2435" s="5" t="s">
        <v>245</v>
      </c>
      <c r="AT2435" s="5" t="s">
        <v>246</v>
      </c>
      <c r="AU2435" s="5" t="s">
        <v>238</v>
      </c>
      <c r="AV2435" s="5" t="s">
        <v>247</v>
      </c>
      <c r="AW2435" s="5" t="s">
        <v>238</v>
      </c>
      <c r="AX2435" s="5" t="s">
        <v>249</v>
      </c>
      <c r="AY2435" s="5" t="s">
        <v>238</v>
      </c>
      <c r="BA2435" s="5" t="s">
        <v>238</v>
      </c>
      <c r="BC2435" s="5" t="s">
        <v>250</v>
      </c>
      <c r="BD2435" s="6" t="s">
        <v>243</v>
      </c>
      <c r="BE2435" s="5" t="s">
        <v>251</v>
      </c>
      <c r="BF2435" s="5" t="s">
        <v>252</v>
      </c>
      <c r="BG2435" s="5" t="s">
        <v>238</v>
      </c>
      <c r="BH2435" s="7">
        <f>0</f>
        <v>0</v>
      </c>
      <c r="BI2435" s="8">
        <f>0</f>
        <v>0</v>
      </c>
      <c r="BJ2435" s="5" t="s">
        <v>253</v>
      </c>
      <c r="BK2435" s="5" t="s">
        <v>254</v>
      </c>
      <c r="BY2435" s="5" t="s">
        <v>238</v>
      </c>
      <c r="BZ2435" s="5" t="s">
        <v>238</v>
      </c>
      <c r="CD2435" s="5" t="s">
        <v>273</v>
      </c>
      <c r="CE2435" s="5" t="s">
        <v>256</v>
      </c>
      <c r="CF2435" s="5" t="s">
        <v>238</v>
      </c>
      <c r="CI2435" s="6" t="s">
        <v>257</v>
      </c>
      <c r="CJ2435" s="5" t="s">
        <v>238</v>
      </c>
      <c r="CK2435" s="5" t="s">
        <v>258</v>
      </c>
      <c r="CL2435" s="5" t="s">
        <v>238</v>
      </c>
      <c r="CM2435" s="5" t="s">
        <v>238</v>
      </c>
      <c r="CN2435" s="5">
        <v>0</v>
      </c>
      <c r="CO2435" s="5" t="s">
        <v>259</v>
      </c>
      <c r="CP2435" s="5" t="s">
        <v>260</v>
      </c>
      <c r="CQ2435" s="5" t="s">
        <v>260</v>
      </c>
      <c r="CR2435" s="5" t="s">
        <v>261</v>
      </c>
      <c r="CU2435" s="8">
        <f>1</f>
        <v>1</v>
      </c>
      <c r="CV2435" s="8">
        <f>0</f>
        <v>0</v>
      </c>
      <c r="CX2435" s="8">
        <f>0</f>
        <v>0</v>
      </c>
      <c r="CY2435" s="8">
        <f>1</f>
        <v>1</v>
      </c>
      <c r="DA2435" s="5" t="s">
        <v>274</v>
      </c>
      <c r="DB2435" s="5" t="s">
        <v>238</v>
      </c>
      <c r="DD2435" s="5" t="s">
        <v>274</v>
      </c>
      <c r="DE2435" s="8">
        <f>218</f>
        <v>218</v>
      </c>
      <c r="DG2435" s="5" t="s">
        <v>238</v>
      </c>
      <c r="DH2435" s="5" t="s">
        <v>238</v>
      </c>
      <c r="DI2435" s="5" t="s">
        <v>238</v>
      </c>
      <c r="DJ2435" s="5" t="s">
        <v>238</v>
      </c>
      <c r="DN2435" s="5" t="s">
        <v>238</v>
      </c>
      <c r="DO2435" s="5" t="s">
        <v>238</v>
      </c>
      <c r="DP2435" s="5" t="s">
        <v>238</v>
      </c>
      <c r="DQ2435" s="5" t="s">
        <v>238</v>
      </c>
      <c r="DT2435" s="5" t="s">
        <v>275</v>
      </c>
      <c r="DU2435" s="5" t="s">
        <v>2794</v>
      </c>
      <c r="HM2435" s="5" t="s">
        <v>264</v>
      </c>
    </row>
    <row r="2436" spans="1:221" x14ac:dyDescent="0.4">
      <c r="A2436" s="5">
        <v>4140</v>
      </c>
      <c r="B2436" s="5">
        <v>1</v>
      </c>
      <c r="C2436" s="5">
        <v>1</v>
      </c>
      <c r="D2436" s="5" t="s">
        <v>269</v>
      </c>
      <c r="E2436" s="5" t="s">
        <v>271</v>
      </c>
      <c r="F2436" s="5" t="s">
        <v>248</v>
      </c>
      <c r="G2436" s="5" t="s">
        <v>266</v>
      </c>
      <c r="H2436" s="6" t="s">
        <v>4157</v>
      </c>
      <c r="I2436" s="7">
        <f>1677</f>
        <v>1677</v>
      </c>
      <c r="J2436" s="5" t="s">
        <v>262</v>
      </c>
      <c r="K2436" s="8">
        <f>1</f>
        <v>1</v>
      </c>
      <c r="L2436" s="6" t="s">
        <v>242</v>
      </c>
      <c r="M2436" s="5" t="s">
        <v>267</v>
      </c>
      <c r="N2436" s="5" t="s">
        <v>265</v>
      </c>
      <c r="O2436" s="5" t="s">
        <v>238</v>
      </c>
      <c r="P2436" s="5" t="s">
        <v>238</v>
      </c>
      <c r="Q2436" s="5" t="s">
        <v>268</v>
      </c>
      <c r="R2436" s="5" t="s">
        <v>270</v>
      </c>
      <c r="S2436" s="5" t="s">
        <v>238</v>
      </c>
      <c r="V2436" s="5" t="s">
        <v>238</v>
      </c>
      <c r="X2436" s="6" t="s">
        <v>238</v>
      </c>
      <c r="AA2436" s="6" t="s">
        <v>243</v>
      </c>
      <c r="AB2436" s="5" t="s">
        <v>238</v>
      </c>
      <c r="AC2436" s="5" t="s">
        <v>244</v>
      </c>
      <c r="AD2436" s="5" t="s">
        <v>245</v>
      </c>
      <c r="AT2436" s="5" t="s">
        <v>246</v>
      </c>
      <c r="AU2436" s="5" t="s">
        <v>238</v>
      </c>
      <c r="AV2436" s="5" t="s">
        <v>247</v>
      </c>
      <c r="AW2436" s="5" t="s">
        <v>238</v>
      </c>
      <c r="AX2436" s="5" t="s">
        <v>249</v>
      </c>
      <c r="AY2436" s="5" t="s">
        <v>238</v>
      </c>
      <c r="BA2436" s="5" t="s">
        <v>238</v>
      </c>
      <c r="BC2436" s="5" t="s">
        <v>250</v>
      </c>
      <c r="BD2436" s="6" t="s">
        <v>243</v>
      </c>
      <c r="BE2436" s="5" t="s">
        <v>251</v>
      </c>
      <c r="BF2436" s="5" t="s">
        <v>252</v>
      </c>
      <c r="BG2436" s="5" t="s">
        <v>238</v>
      </c>
      <c r="BH2436" s="7">
        <f>0</f>
        <v>0</v>
      </c>
      <c r="BI2436" s="8">
        <f>0</f>
        <v>0</v>
      </c>
      <c r="BJ2436" s="5" t="s">
        <v>253</v>
      </c>
      <c r="BK2436" s="5" t="s">
        <v>254</v>
      </c>
      <c r="BY2436" s="5" t="s">
        <v>238</v>
      </c>
      <c r="BZ2436" s="5" t="s">
        <v>238</v>
      </c>
      <c r="CD2436" s="5" t="s">
        <v>273</v>
      </c>
      <c r="CE2436" s="5" t="s">
        <v>256</v>
      </c>
      <c r="CF2436" s="5" t="s">
        <v>238</v>
      </c>
      <c r="CI2436" s="6" t="s">
        <v>257</v>
      </c>
      <c r="CJ2436" s="5" t="s">
        <v>238</v>
      </c>
      <c r="CK2436" s="5" t="s">
        <v>258</v>
      </c>
      <c r="CL2436" s="5" t="s">
        <v>238</v>
      </c>
      <c r="CM2436" s="5" t="s">
        <v>238</v>
      </c>
      <c r="CN2436" s="5">
        <v>0</v>
      </c>
      <c r="CO2436" s="5" t="s">
        <v>259</v>
      </c>
      <c r="CP2436" s="5" t="s">
        <v>260</v>
      </c>
      <c r="CQ2436" s="5" t="s">
        <v>260</v>
      </c>
      <c r="CR2436" s="5" t="s">
        <v>261</v>
      </c>
      <c r="CU2436" s="8">
        <f>1</f>
        <v>1</v>
      </c>
      <c r="CV2436" s="8">
        <f>0</f>
        <v>0</v>
      </c>
      <c r="CX2436" s="8">
        <f>0</f>
        <v>0</v>
      </c>
      <c r="CY2436" s="8">
        <f>1</f>
        <v>1</v>
      </c>
      <c r="DA2436" s="5" t="s">
        <v>274</v>
      </c>
      <c r="DB2436" s="5" t="s">
        <v>238</v>
      </c>
      <c r="DD2436" s="5" t="s">
        <v>274</v>
      </c>
      <c r="DE2436" s="8">
        <f>1677</f>
        <v>1677</v>
      </c>
      <c r="DG2436" s="5" t="s">
        <v>238</v>
      </c>
      <c r="DH2436" s="5" t="s">
        <v>238</v>
      </c>
      <c r="DI2436" s="5" t="s">
        <v>238</v>
      </c>
      <c r="DJ2436" s="5" t="s">
        <v>238</v>
      </c>
      <c r="DN2436" s="5" t="s">
        <v>238</v>
      </c>
      <c r="DO2436" s="5" t="s">
        <v>238</v>
      </c>
      <c r="DP2436" s="5" t="s">
        <v>238</v>
      </c>
      <c r="DQ2436" s="5" t="s">
        <v>238</v>
      </c>
      <c r="DT2436" s="5" t="s">
        <v>275</v>
      </c>
      <c r="DU2436" s="5" t="s">
        <v>2792</v>
      </c>
      <c r="HM2436" s="5" t="s">
        <v>264</v>
      </c>
    </row>
    <row r="2437" spans="1:221" x14ac:dyDescent="0.4">
      <c r="A2437" s="5">
        <v>4141</v>
      </c>
      <c r="B2437" s="5">
        <v>1</v>
      </c>
      <c r="C2437" s="5">
        <v>1</v>
      </c>
      <c r="D2437" s="5" t="s">
        <v>269</v>
      </c>
      <c r="E2437" s="5" t="s">
        <v>271</v>
      </c>
      <c r="F2437" s="5" t="s">
        <v>248</v>
      </c>
      <c r="G2437" s="5" t="s">
        <v>266</v>
      </c>
      <c r="H2437" s="6" t="s">
        <v>1793</v>
      </c>
      <c r="I2437" s="7">
        <f>151</f>
        <v>151</v>
      </c>
      <c r="J2437" s="5" t="s">
        <v>262</v>
      </c>
      <c r="K2437" s="8">
        <f>1</f>
        <v>1</v>
      </c>
      <c r="L2437" s="6" t="s">
        <v>242</v>
      </c>
      <c r="M2437" s="5" t="s">
        <v>267</v>
      </c>
      <c r="N2437" s="5" t="s">
        <v>265</v>
      </c>
      <c r="O2437" s="5" t="s">
        <v>238</v>
      </c>
      <c r="P2437" s="5" t="s">
        <v>238</v>
      </c>
      <c r="Q2437" s="5" t="s">
        <v>268</v>
      </c>
      <c r="R2437" s="5" t="s">
        <v>270</v>
      </c>
      <c r="S2437" s="5" t="s">
        <v>238</v>
      </c>
      <c r="V2437" s="5" t="s">
        <v>238</v>
      </c>
      <c r="X2437" s="6" t="s">
        <v>238</v>
      </c>
      <c r="AA2437" s="6" t="s">
        <v>243</v>
      </c>
      <c r="AB2437" s="5" t="s">
        <v>238</v>
      </c>
      <c r="AC2437" s="5" t="s">
        <v>244</v>
      </c>
      <c r="AD2437" s="5" t="s">
        <v>245</v>
      </c>
      <c r="AT2437" s="5" t="s">
        <v>246</v>
      </c>
      <c r="AU2437" s="5" t="s">
        <v>238</v>
      </c>
      <c r="AV2437" s="5" t="s">
        <v>247</v>
      </c>
      <c r="AW2437" s="5" t="s">
        <v>238</v>
      </c>
      <c r="AX2437" s="5" t="s">
        <v>249</v>
      </c>
      <c r="AY2437" s="5" t="s">
        <v>238</v>
      </c>
      <c r="BA2437" s="5" t="s">
        <v>238</v>
      </c>
      <c r="BC2437" s="5" t="s">
        <v>250</v>
      </c>
      <c r="BD2437" s="6" t="s">
        <v>243</v>
      </c>
      <c r="BE2437" s="5" t="s">
        <v>251</v>
      </c>
      <c r="BF2437" s="5" t="s">
        <v>252</v>
      </c>
      <c r="BG2437" s="5" t="s">
        <v>238</v>
      </c>
      <c r="BH2437" s="7">
        <f>0</f>
        <v>0</v>
      </c>
      <c r="BI2437" s="8">
        <f>0</f>
        <v>0</v>
      </c>
      <c r="BJ2437" s="5" t="s">
        <v>253</v>
      </c>
      <c r="BK2437" s="5" t="s">
        <v>254</v>
      </c>
      <c r="BY2437" s="5" t="s">
        <v>238</v>
      </c>
      <c r="BZ2437" s="5" t="s">
        <v>238</v>
      </c>
      <c r="CD2437" s="5" t="s">
        <v>273</v>
      </c>
      <c r="CE2437" s="5" t="s">
        <v>256</v>
      </c>
      <c r="CF2437" s="5" t="s">
        <v>238</v>
      </c>
      <c r="CI2437" s="6" t="s">
        <v>257</v>
      </c>
      <c r="CJ2437" s="5" t="s">
        <v>238</v>
      </c>
      <c r="CK2437" s="5" t="s">
        <v>258</v>
      </c>
      <c r="CL2437" s="5" t="s">
        <v>238</v>
      </c>
      <c r="CM2437" s="5" t="s">
        <v>238</v>
      </c>
      <c r="CN2437" s="5">
        <v>0</v>
      </c>
      <c r="CO2437" s="5" t="s">
        <v>259</v>
      </c>
      <c r="CP2437" s="5" t="s">
        <v>260</v>
      </c>
      <c r="CQ2437" s="5" t="s">
        <v>260</v>
      </c>
      <c r="CR2437" s="5" t="s">
        <v>261</v>
      </c>
      <c r="CU2437" s="8">
        <f>1</f>
        <v>1</v>
      </c>
      <c r="CV2437" s="8">
        <f>0</f>
        <v>0</v>
      </c>
      <c r="CX2437" s="8">
        <f>0</f>
        <v>0</v>
      </c>
      <c r="CY2437" s="8">
        <f>1</f>
        <v>1</v>
      </c>
      <c r="DA2437" s="5" t="s">
        <v>274</v>
      </c>
      <c r="DB2437" s="5" t="s">
        <v>238</v>
      </c>
      <c r="DD2437" s="5" t="s">
        <v>274</v>
      </c>
      <c r="DE2437" s="8">
        <f>151</f>
        <v>151</v>
      </c>
      <c r="DG2437" s="5" t="s">
        <v>238</v>
      </c>
      <c r="DH2437" s="5" t="s">
        <v>238</v>
      </c>
      <c r="DI2437" s="5" t="s">
        <v>238</v>
      </c>
      <c r="DJ2437" s="5" t="s">
        <v>238</v>
      </c>
      <c r="DN2437" s="5" t="s">
        <v>238</v>
      </c>
      <c r="DO2437" s="5" t="s">
        <v>238</v>
      </c>
      <c r="DP2437" s="5" t="s">
        <v>238</v>
      </c>
      <c r="DQ2437" s="5" t="s">
        <v>238</v>
      </c>
      <c r="DT2437" s="5" t="s">
        <v>275</v>
      </c>
      <c r="DU2437" s="5" t="s">
        <v>1794</v>
      </c>
      <c r="HM2437" s="5" t="s">
        <v>264</v>
      </c>
    </row>
    <row r="2438" spans="1:221" x14ac:dyDescent="0.4">
      <c r="A2438" s="5">
        <v>4142</v>
      </c>
      <c r="B2438" s="5">
        <v>1</v>
      </c>
      <c r="C2438" s="5">
        <v>1</v>
      </c>
      <c r="D2438" s="5" t="s">
        <v>269</v>
      </c>
      <c r="E2438" s="5" t="s">
        <v>271</v>
      </c>
      <c r="F2438" s="5" t="s">
        <v>248</v>
      </c>
      <c r="G2438" s="5" t="s">
        <v>266</v>
      </c>
      <c r="H2438" s="6" t="s">
        <v>4231</v>
      </c>
      <c r="I2438" s="7">
        <f>65</f>
        <v>65</v>
      </c>
      <c r="J2438" s="5" t="s">
        <v>262</v>
      </c>
      <c r="K2438" s="8">
        <f>1</f>
        <v>1</v>
      </c>
      <c r="L2438" s="6" t="s">
        <v>242</v>
      </c>
      <c r="M2438" s="5" t="s">
        <v>267</v>
      </c>
      <c r="N2438" s="5" t="s">
        <v>265</v>
      </c>
      <c r="O2438" s="5" t="s">
        <v>238</v>
      </c>
      <c r="P2438" s="5" t="s">
        <v>238</v>
      </c>
      <c r="Q2438" s="5" t="s">
        <v>268</v>
      </c>
      <c r="R2438" s="5" t="s">
        <v>270</v>
      </c>
      <c r="S2438" s="5" t="s">
        <v>238</v>
      </c>
      <c r="V2438" s="5" t="s">
        <v>238</v>
      </c>
      <c r="X2438" s="6" t="s">
        <v>238</v>
      </c>
      <c r="AA2438" s="6" t="s">
        <v>243</v>
      </c>
      <c r="AB2438" s="5" t="s">
        <v>238</v>
      </c>
      <c r="AC2438" s="5" t="s">
        <v>244</v>
      </c>
      <c r="AD2438" s="5" t="s">
        <v>245</v>
      </c>
      <c r="AT2438" s="5" t="s">
        <v>246</v>
      </c>
      <c r="AU2438" s="5" t="s">
        <v>238</v>
      </c>
      <c r="AV2438" s="5" t="s">
        <v>247</v>
      </c>
      <c r="AW2438" s="5" t="s">
        <v>238</v>
      </c>
      <c r="AX2438" s="5" t="s">
        <v>249</v>
      </c>
      <c r="AY2438" s="5" t="s">
        <v>238</v>
      </c>
      <c r="BA2438" s="5" t="s">
        <v>238</v>
      </c>
      <c r="BC2438" s="5" t="s">
        <v>250</v>
      </c>
      <c r="BD2438" s="6" t="s">
        <v>243</v>
      </c>
      <c r="BE2438" s="5" t="s">
        <v>251</v>
      </c>
      <c r="BF2438" s="5" t="s">
        <v>252</v>
      </c>
      <c r="BG2438" s="5" t="s">
        <v>238</v>
      </c>
      <c r="BH2438" s="7">
        <f>0</f>
        <v>0</v>
      </c>
      <c r="BI2438" s="8">
        <f>0</f>
        <v>0</v>
      </c>
      <c r="BJ2438" s="5" t="s">
        <v>253</v>
      </c>
      <c r="BK2438" s="5" t="s">
        <v>254</v>
      </c>
      <c r="BY2438" s="5" t="s">
        <v>238</v>
      </c>
      <c r="BZ2438" s="5" t="s">
        <v>238</v>
      </c>
      <c r="CD2438" s="5" t="s">
        <v>273</v>
      </c>
      <c r="CE2438" s="5" t="s">
        <v>256</v>
      </c>
      <c r="CF2438" s="5" t="s">
        <v>238</v>
      </c>
      <c r="CI2438" s="6" t="s">
        <v>257</v>
      </c>
      <c r="CJ2438" s="5" t="s">
        <v>238</v>
      </c>
      <c r="CK2438" s="5" t="s">
        <v>258</v>
      </c>
      <c r="CL2438" s="5" t="s">
        <v>238</v>
      </c>
      <c r="CM2438" s="5" t="s">
        <v>238</v>
      </c>
      <c r="CN2438" s="5">
        <v>0</v>
      </c>
      <c r="CO2438" s="5" t="s">
        <v>259</v>
      </c>
      <c r="CP2438" s="5" t="s">
        <v>260</v>
      </c>
      <c r="CQ2438" s="5" t="s">
        <v>260</v>
      </c>
      <c r="CR2438" s="5" t="s">
        <v>261</v>
      </c>
      <c r="CU2438" s="8">
        <f>1</f>
        <v>1</v>
      </c>
      <c r="CV2438" s="8">
        <f>0</f>
        <v>0</v>
      </c>
      <c r="CX2438" s="8">
        <f>0</f>
        <v>0</v>
      </c>
      <c r="CY2438" s="8">
        <f>1</f>
        <v>1</v>
      </c>
      <c r="DA2438" s="5" t="s">
        <v>274</v>
      </c>
      <c r="DB2438" s="5" t="s">
        <v>238</v>
      </c>
      <c r="DD2438" s="5" t="s">
        <v>274</v>
      </c>
      <c r="DE2438" s="8">
        <f>65</f>
        <v>65</v>
      </c>
      <c r="DG2438" s="5" t="s">
        <v>238</v>
      </c>
      <c r="DH2438" s="5" t="s">
        <v>238</v>
      </c>
      <c r="DI2438" s="5" t="s">
        <v>238</v>
      </c>
      <c r="DJ2438" s="5" t="s">
        <v>238</v>
      </c>
      <c r="DN2438" s="5" t="s">
        <v>238</v>
      </c>
      <c r="DO2438" s="5" t="s">
        <v>238</v>
      </c>
      <c r="DP2438" s="5" t="s">
        <v>238</v>
      </c>
      <c r="DQ2438" s="5" t="s">
        <v>238</v>
      </c>
      <c r="DT2438" s="5" t="s">
        <v>275</v>
      </c>
      <c r="DU2438" s="5" t="s">
        <v>2789</v>
      </c>
      <c r="HM2438" s="5" t="s">
        <v>264</v>
      </c>
    </row>
    <row r="2439" spans="1:221" x14ac:dyDescent="0.4">
      <c r="A2439" s="5">
        <v>4143</v>
      </c>
      <c r="B2439" s="5">
        <v>1</v>
      </c>
      <c r="C2439" s="5">
        <v>1</v>
      </c>
      <c r="D2439" s="5" t="s">
        <v>269</v>
      </c>
      <c r="E2439" s="5" t="s">
        <v>271</v>
      </c>
      <c r="F2439" s="5" t="s">
        <v>248</v>
      </c>
      <c r="G2439" s="5" t="s">
        <v>266</v>
      </c>
      <c r="H2439" s="6" t="s">
        <v>1777</v>
      </c>
      <c r="I2439" s="7">
        <f>3358</f>
        <v>3358</v>
      </c>
      <c r="J2439" s="5" t="s">
        <v>262</v>
      </c>
      <c r="K2439" s="8">
        <f>1</f>
        <v>1</v>
      </c>
      <c r="L2439" s="6" t="s">
        <v>242</v>
      </c>
      <c r="M2439" s="5" t="s">
        <v>267</v>
      </c>
      <c r="N2439" s="5" t="s">
        <v>265</v>
      </c>
      <c r="O2439" s="5" t="s">
        <v>238</v>
      </c>
      <c r="P2439" s="5" t="s">
        <v>238</v>
      </c>
      <c r="Q2439" s="5" t="s">
        <v>268</v>
      </c>
      <c r="R2439" s="5" t="s">
        <v>270</v>
      </c>
      <c r="S2439" s="5" t="s">
        <v>238</v>
      </c>
      <c r="V2439" s="5" t="s">
        <v>238</v>
      </c>
      <c r="X2439" s="6" t="s">
        <v>238</v>
      </c>
      <c r="AA2439" s="6" t="s">
        <v>243</v>
      </c>
      <c r="AB2439" s="5" t="s">
        <v>238</v>
      </c>
      <c r="AC2439" s="5" t="s">
        <v>244</v>
      </c>
      <c r="AD2439" s="5" t="s">
        <v>245</v>
      </c>
      <c r="AT2439" s="5" t="s">
        <v>246</v>
      </c>
      <c r="AU2439" s="5" t="s">
        <v>238</v>
      </c>
      <c r="AV2439" s="5" t="s">
        <v>247</v>
      </c>
      <c r="AW2439" s="5" t="s">
        <v>238</v>
      </c>
      <c r="AX2439" s="5" t="s">
        <v>249</v>
      </c>
      <c r="AY2439" s="5" t="s">
        <v>238</v>
      </c>
      <c r="BA2439" s="5" t="s">
        <v>238</v>
      </c>
      <c r="BC2439" s="5" t="s">
        <v>250</v>
      </c>
      <c r="BD2439" s="6" t="s">
        <v>243</v>
      </c>
      <c r="BE2439" s="5" t="s">
        <v>251</v>
      </c>
      <c r="BF2439" s="5" t="s">
        <v>252</v>
      </c>
      <c r="BG2439" s="5" t="s">
        <v>238</v>
      </c>
      <c r="BH2439" s="7">
        <f>0</f>
        <v>0</v>
      </c>
      <c r="BI2439" s="8">
        <f>0</f>
        <v>0</v>
      </c>
      <c r="BJ2439" s="5" t="s">
        <v>253</v>
      </c>
      <c r="BK2439" s="5" t="s">
        <v>254</v>
      </c>
      <c r="BY2439" s="5" t="s">
        <v>238</v>
      </c>
      <c r="BZ2439" s="5" t="s">
        <v>238</v>
      </c>
      <c r="CD2439" s="5" t="s">
        <v>273</v>
      </c>
      <c r="CE2439" s="5" t="s">
        <v>256</v>
      </c>
      <c r="CF2439" s="5" t="s">
        <v>238</v>
      </c>
      <c r="CI2439" s="6" t="s">
        <v>257</v>
      </c>
      <c r="CJ2439" s="5" t="s">
        <v>238</v>
      </c>
      <c r="CK2439" s="5" t="s">
        <v>258</v>
      </c>
      <c r="CL2439" s="5" t="s">
        <v>238</v>
      </c>
      <c r="CM2439" s="5" t="s">
        <v>238</v>
      </c>
      <c r="CN2439" s="5">
        <v>0</v>
      </c>
      <c r="CO2439" s="5" t="s">
        <v>259</v>
      </c>
      <c r="CP2439" s="5" t="s">
        <v>260</v>
      </c>
      <c r="CQ2439" s="5" t="s">
        <v>260</v>
      </c>
      <c r="CR2439" s="5" t="s">
        <v>261</v>
      </c>
      <c r="CU2439" s="8">
        <f>1</f>
        <v>1</v>
      </c>
      <c r="CV2439" s="8">
        <f>0</f>
        <v>0</v>
      </c>
      <c r="CX2439" s="8">
        <f>0</f>
        <v>0</v>
      </c>
      <c r="CY2439" s="8">
        <f>1</f>
        <v>1</v>
      </c>
      <c r="DA2439" s="5" t="s">
        <v>274</v>
      </c>
      <c r="DB2439" s="5" t="s">
        <v>238</v>
      </c>
      <c r="DD2439" s="5" t="s">
        <v>274</v>
      </c>
      <c r="DE2439" s="8">
        <f>3358</f>
        <v>3358</v>
      </c>
      <c r="DG2439" s="5" t="s">
        <v>238</v>
      </c>
      <c r="DH2439" s="5" t="s">
        <v>238</v>
      </c>
      <c r="DI2439" s="5" t="s">
        <v>238</v>
      </c>
      <c r="DJ2439" s="5" t="s">
        <v>238</v>
      </c>
      <c r="DN2439" s="5" t="s">
        <v>238</v>
      </c>
      <c r="DO2439" s="5" t="s">
        <v>238</v>
      </c>
      <c r="DP2439" s="5" t="s">
        <v>238</v>
      </c>
      <c r="DQ2439" s="5" t="s">
        <v>238</v>
      </c>
      <c r="DT2439" s="5" t="s">
        <v>275</v>
      </c>
      <c r="DU2439" s="5" t="s">
        <v>1778</v>
      </c>
      <c r="HM2439" s="5" t="s">
        <v>264</v>
      </c>
    </row>
    <row r="2440" spans="1:221" x14ac:dyDescent="0.4">
      <c r="A2440" s="5">
        <v>4144</v>
      </c>
      <c r="B2440" s="5">
        <v>1</v>
      </c>
      <c r="C2440" s="5">
        <v>1</v>
      </c>
      <c r="D2440" s="5" t="s">
        <v>269</v>
      </c>
      <c r="E2440" s="5" t="s">
        <v>271</v>
      </c>
      <c r="F2440" s="5" t="s">
        <v>248</v>
      </c>
      <c r="G2440" s="5" t="s">
        <v>266</v>
      </c>
      <c r="H2440" s="6" t="s">
        <v>1771</v>
      </c>
      <c r="I2440" s="7">
        <f>177</f>
        <v>177</v>
      </c>
      <c r="J2440" s="5" t="s">
        <v>262</v>
      </c>
      <c r="K2440" s="8">
        <f>1</f>
        <v>1</v>
      </c>
      <c r="L2440" s="6" t="s">
        <v>242</v>
      </c>
      <c r="M2440" s="5" t="s">
        <v>267</v>
      </c>
      <c r="N2440" s="5" t="s">
        <v>265</v>
      </c>
      <c r="O2440" s="5" t="s">
        <v>238</v>
      </c>
      <c r="P2440" s="5" t="s">
        <v>238</v>
      </c>
      <c r="Q2440" s="5" t="s">
        <v>268</v>
      </c>
      <c r="R2440" s="5" t="s">
        <v>270</v>
      </c>
      <c r="S2440" s="5" t="s">
        <v>238</v>
      </c>
      <c r="V2440" s="5" t="s">
        <v>238</v>
      </c>
      <c r="X2440" s="6" t="s">
        <v>238</v>
      </c>
      <c r="AA2440" s="6" t="s">
        <v>243</v>
      </c>
      <c r="AB2440" s="5" t="s">
        <v>238</v>
      </c>
      <c r="AC2440" s="5" t="s">
        <v>244</v>
      </c>
      <c r="AD2440" s="5" t="s">
        <v>245</v>
      </c>
      <c r="AT2440" s="5" t="s">
        <v>246</v>
      </c>
      <c r="AU2440" s="5" t="s">
        <v>238</v>
      </c>
      <c r="AV2440" s="5" t="s">
        <v>247</v>
      </c>
      <c r="AW2440" s="5" t="s">
        <v>238</v>
      </c>
      <c r="AX2440" s="5" t="s">
        <v>249</v>
      </c>
      <c r="AY2440" s="5" t="s">
        <v>238</v>
      </c>
      <c r="BA2440" s="5" t="s">
        <v>238</v>
      </c>
      <c r="BC2440" s="5" t="s">
        <v>250</v>
      </c>
      <c r="BD2440" s="6" t="s">
        <v>243</v>
      </c>
      <c r="BE2440" s="5" t="s">
        <v>251</v>
      </c>
      <c r="BF2440" s="5" t="s">
        <v>252</v>
      </c>
      <c r="BG2440" s="5" t="s">
        <v>238</v>
      </c>
      <c r="BH2440" s="7">
        <f>0</f>
        <v>0</v>
      </c>
      <c r="BI2440" s="8">
        <f>0</f>
        <v>0</v>
      </c>
      <c r="BJ2440" s="5" t="s">
        <v>253</v>
      </c>
      <c r="BK2440" s="5" t="s">
        <v>254</v>
      </c>
      <c r="BY2440" s="5" t="s">
        <v>238</v>
      </c>
      <c r="BZ2440" s="5" t="s">
        <v>238</v>
      </c>
      <c r="CD2440" s="5" t="s">
        <v>273</v>
      </c>
      <c r="CE2440" s="5" t="s">
        <v>256</v>
      </c>
      <c r="CF2440" s="5" t="s">
        <v>238</v>
      </c>
      <c r="CI2440" s="6" t="s">
        <v>257</v>
      </c>
      <c r="CJ2440" s="5" t="s">
        <v>238</v>
      </c>
      <c r="CK2440" s="5" t="s">
        <v>258</v>
      </c>
      <c r="CL2440" s="5" t="s">
        <v>238</v>
      </c>
      <c r="CM2440" s="5" t="s">
        <v>238</v>
      </c>
      <c r="CN2440" s="5">
        <v>0</v>
      </c>
      <c r="CO2440" s="5" t="s">
        <v>259</v>
      </c>
      <c r="CP2440" s="5" t="s">
        <v>260</v>
      </c>
      <c r="CQ2440" s="5" t="s">
        <v>260</v>
      </c>
      <c r="CR2440" s="5" t="s">
        <v>261</v>
      </c>
      <c r="CU2440" s="8">
        <f>1</f>
        <v>1</v>
      </c>
      <c r="CV2440" s="8">
        <f>0</f>
        <v>0</v>
      </c>
      <c r="CX2440" s="8">
        <f>0</f>
        <v>0</v>
      </c>
      <c r="CY2440" s="8">
        <f>1</f>
        <v>1</v>
      </c>
      <c r="DA2440" s="5" t="s">
        <v>274</v>
      </c>
      <c r="DB2440" s="5" t="s">
        <v>238</v>
      </c>
      <c r="DD2440" s="5" t="s">
        <v>274</v>
      </c>
      <c r="DE2440" s="8">
        <f>177</f>
        <v>177</v>
      </c>
      <c r="DG2440" s="5" t="s">
        <v>238</v>
      </c>
      <c r="DH2440" s="5" t="s">
        <v>238</v>
      </c>
      <c r="DI2440" s="5" t="s">
        <v>238</v>
      </c>
      <c r="DJ2440" s="5" t="s">
        <v>238</v>
      </c>
      <c r="DN2440" s="5" t="s">
        <v>238</v>
      </c>
      <c r="DO2440" s="5" t="s">
        <v>238</v>
      </c>
      <c r="DP2440" s="5" t="s">
        <v>238</v>
      </c>
      <c r="DQ2440" s="5" t="s">
        <v>238</v>
      </c>
      <c r="DT2440" s="5" t="s">
        <v>275</v>
      </c>
      <c r="DU2440" s="5" t="s">
        <v>1772</v>
      </c>
      <c r="HM2440" s="5" t="s">
        <v>264</v>
      </c>
    </row>
    <row r="2441" spans="1:221" x14ac:dyDescent="0.4">
      <c r="A2441" s="5">
        <v>4145</v>
      </c>
      <c r="B2441" s="5">
        <v>1</v>
      </c>
      <c r="C2441" s="5">
        <v>1</v>
      </c>
      <c r="D2441" s="5" t="s">
        <v>269</v>
      </c>
      <c r="E2441" s="5" t="s">
        <v>271</v>
      </c>
      <c r="F2441" s="5" t="s">
        <v>248</v>
      </c>
      <c r="G2441" s="5" t="s">
        <v>266</v>
      </c>
      <c r="H2441" s="6" t="s">
        <v>4176</v>
      </c>
      <c r="I2441" s="7">
        <f>174</f>
        <v>174</v>
      </c>
      <c r="J2441" s="5" t="s">
        <v>262</v>
      </c>
      <c r="K2441" s="8">
        <f>1</f>
        <v>1</v>
      </c>
      <c r="L2441" s="6" t="s">
        <v>242</v>
      </c>
      <c r="M2441" s="5" t="s">
        <v>267</v>
      </c>
      <c r="N2441" s="5" t="s">
        <v>265</v>
      </c>
      <c r="O2441" s="5" t="s">
        <v>238</v>
      </c>
      <c r="P2441" s="5" t="s">
        <v>238</v>
      </c>
      <c r="Q2441" s="5" t="s">
        <v>268</v>
      </c>
      <c r="R2441" s="5" t="s">
        <v>270</v>
      </c>
      <c r="S2441" s="5" t="s">
        <v>238</v>
      </c>
      <c r="V2441" s="5" t="s">
        <v>238</v>
      </c>
      <c r="X2441" s="6" t="s">
        <v>238</v>
      </c>
      <c r="AA2441" s="6" t="s">
        <v>243</v>
      </c>
      <c r="AB2441" s="5" t="s">
        <v>238</v>
      </c>
      <c r="AC2441" s="5" t="s">
        <v>244</v>
      </c>
      <c r="AD2441" s="5" t="s">
        <v>245</v>
      </c>
      <c r="AT2441" s="5" t="s">
        <v>246</v>
      </c>
      <c r="AU2441" s="5" t="s">
        <v>238</v>
      </c>
      <c r="AV2441" s="5" t="s">
        <v>247</v>
      </c>
      <c r="AW2441" s="5" t="s">
        <v>238</v>
      </c>
      <c r="AX2441" s="5" t="s">
        <v>249</v>
      </c>
      <c r="AY2441" s="5" t="s">
        <v>238</v>
      </c>
      <c r="BA2441" s="5" t="s">
        <v>238</v>
      </c>
      <c r="BC2441" s="5" t="s">
        <v>250</v>
      </c>
      <c r="BD2441" s="6" t="s">
        <v>243</v>
      </c>
      <c r="BE2441" s="5" t="s">
        <v>251</v>
      </c>
      <c r="BF2441" s="5" t="s">
        <v>252</v>
      </c>
      <c r="BG2441" s="5" t="s">
        <v>238</v>
      </c>
      <c r="BH2441" s="7">
        <f>0</f>
        <v>0</v>
      </c>
      <c r="BI2441" s="8">
        <f>0</f>
        <v>0</v>
      </c>
      <c r="BJ2441" s="5" t="s">
        <v>253</v>
      </c>
      <c r="BK2441" s="5" t="s">
        <v>254</v>
      </c>
      <c r="BY2441" s="5" t="s">
        <v>238</v>
      </c>
      <c r="BZ2441" s="5" t="s">
        <v>238</v>
      </c>
      <c r="CD2441" s="5" t="s">
        <v>273</v>
      </c>
      <c r="CE2441" s="5" t="s">
        <v>256</v>
      </c>
      <c r="CF2441" s="5" t="s">
        <v>238</v>
      </c>
      <c r="CI2441" s="6" t="s">
        <v>257</v>
      </c>
      <c r="CJ2441" s="5" t="s">
        <v>238</v>
      </c>
      <c r="CK2441" s="5" t="s">
        <v>258</v>
      </c>
      <c r="CL2441" s="5" t="s">
        <v>238</v>
      </c>
      <c r="CM2441" s="5" t="s">
        <v>238</v>
      </c>
      <c r="CN2441" s="5">
        <v>0</v>
      </c>
      <c r="CO2441" s="5" t="s">
        <v>259</v>
      </c>
      <c r="CP2441" s="5" t="s">
        <v>260</v>
      </c>
      <c r="CQ2441" s="5" t="s">
        <v>260</v>
      </c>
      <c r="CR2441" s="5" t="s">
        <v>261</v>
      </c>
      <c r="CU2441" s="8">
        <f>1</f>
        <v>1</v>
      </c>
      <c r="CV2441" s="8">
        <f>0</f>
        <v>0</v>
      </c>
      <c r="CX2441" s="8">
        <f>0</f>
        <v>0</v>
      </c>
      <c r="CY2441" s="8">
        <f>1</f>
        <v>1</v>
      </c>
      <c r="DA2441" s="5" t="s">
        <v>274</v>
      </c>
      <c r="DB2441" s="5" t="s">
        <v>238</v>
      </c>
      <c r="DD2441" s="5" t="s">
        <v>274</v>
      </c>
      <c r="DE2441" s="8">
        <f>174</f>
        <v>174</v>
      </c>
      <c r="DG2441" s="5" t="s">
        <v>238</v>
      </c>
      <c r="DH2441" s="5" t="s">
        <v>238</v>
      </c>
      <c r="DI2441" s="5" t="s">
        <v>238</v>
      </c>
      <c r="DJ2441" s="5" t="s">
        <v>238</v>
      </c>
      <c r="DN2441" s="5" t="s">
        <v>238</v>
      </c>
      <c r="DO2441" s="5" t="s">
        <v>238</v>
      </c>
      <c r="DP2441" s="5" t="s">
        <v>238</v>
      </c>
      <c r="DQ2441" s="5" t="s">
        <v>238</v>
      </c>
      <c r="DT2441" s="5" t="s">
        <v>275</v>
      </c>
      <c r="DU2441" s="5" t="s">
        <v>2783</v>
      </c>
      <c r="HM2441" s="5" t="s">
        <v>264</v>
      </c>
    </row>
    <row r="2442" spans="1:221" x14ac:dyDescent="0.4">
      <c r="A2442" s="5">
        <v>4146</v>
      </c>
      <c r="B2442" s="5">
        <v>1</v>
      </c>
      <c r="C2442" s="5">
        <v>1</v>
      </c>
      <c r="D2442" s="5" t="s">
        <v>269</v>
      </c>
      <c r="E2442" s="5" t="s">
        <v>271</v>
      </c>
      <c r="F2442" s="5" t="s">
        <v>248</v>
      </c>
      <c r="G2442" s="5" t="s">
        <v>266</v>
      </c>
      <c r="H2442" s="6" t="s">
        <v>1751</v>
      </c>
      <c r="I2442" s="7">
        <f>218</f>
        <v>218</v>
      </c>
      <c r="J2442" s="5" t="s">
        <v>262</v>
      </c>
      <c r="K2442" s="8">
        <f>1</f>
        <v>1</v>
      </c>
      <c r="L2442" s="6" t="s">
        <v>242</v>
      </c>
      <c r="M2442" s="5" t="s">
        <v>267</v>
      </c>
      <c r="N2442" s="5" t="s">
        <v>265</v>
      </c>
      <c r="O2442" s="5" t="s">
        <v>238</v>
      </c>
      <c r="P2442" s="5" t="s">
        <v>238</v>
      </c>
      <c r="Q2442" s="5" t="s">
        <v>268</v>
      </c>
      <c r="R2442" s="5" t="s">
        <v>270</v>
      </c>
      <c r="S2442" s="5" t="s">
        <v>238</v>
      </c>
      <c r="V2442" s="5" t="s">
        <v>238</v>
      </c>
      <c r="X2442" s="6" t="s">
        <v>238</v>
      </c>
      <c r="AA2442" s="6" t="s">
        <v>243</v>
      </c>
      <c r="AB2442" s="5" t="s">
        <v>238</v>
      </c>
      <c r="AC2442" s="5" t="s">
        <v>244</v>
      </c>
      <c r="AD2442" s="5" t="s">
        <v>245</v>
      </c>
      <c r="AT2442" s="5" t="s">
        <v>246</v>
      </c>
      <c r="AU2442" s="5" t="s">
        <v>238</v>
      </c>
      <c r="AV2442" s="5" t="s">
        <v>247</v>
      </c>
      <c r="AW2442" s="5" t="s">
        <v>238</v>
      </c>
      <c r="AX2442" s="5" t="s">
        <v>249</v>
      </c>
      <c r="AY2442" s="5" t="s">
        <v>238</v>
      </c>
      <c r="BA2442" s="5" t="s">
        <v>238</v>
      </c>
      <c r="BC2442" s="5" t="s">
        <v>250</v>
      </c>
      <c r="BD2442" s="6" t="s">
        <v>243</v>
      </c>
      <c r="BE2442" s="5" t="s">
        <v>251</v>
      </c>
      <c r="BF2442" s="5" t="s">
        <v>252</v>
      </c>
      <c r="BG2442" s="5" t="s">
        <v>238</v>
      </c>
      <c r="BH2442" s="7">
        <f>0</f>
        <v>0</v>
      </c>
      <c r="BI2442" s="8">
        <f>0</f>
        <v>0</v>
      </c>
      <c r="BJ2442" s="5" t="s">
        <v>253</v>
      </c>
      <c r="BK2442" s="5" t="s">
        <v>254</v>
      </c>
      <c r="BY2442" s="5" t="s">
        <v>238</v>
      </c>
      <c r="BZ2442" s="5" t="s">
        <v>238</v>
      </c>
      <c r="CD2442" s="5" t="s">
        <v>273</v>
      </c>
      <c r="CE2442" s="5" t="s">
        <v>256</v>
      </c>
      <c r="CF2442" s="5" t="s">
        <v>238</v>
      </c>
      <c r="CI2442" s="6" t="s">
        <v>257</v>
      </c>
      <c r="CJ2442" s="5" t="s">
        <v>238</v>
      </c>
      <c r="CK2442" s="5" t="s">
        <v>258</v>
      </c>
      <c r="CL2442" s="5" t="s">
        <v>238</v>
      </c>
      <c r="CM2442" s="5" t="s">
        <v>238</v>
      </c>
      <c r="CN2442" s="5">
        <v>0</v>
      </c>
      <c r="CO2442" s="5" t="s">
        <v>259</v>
      </c>
      <c r="CP2442" s="5" t="s">
        <v>260</v>
      </c>
      <c r="CQ2442" s="5" t="s">
        <v>260</v>
      </c>
      <c r="CR2442" s="5" t="s">
        <v>261</v>
      </c>
      <c r="CU2442" s="8">
        <f>1</f>
        <v>1</v>
      </c>
      <c r="CV2442" s="8">
        <f>0</f>
        <v>0</v>
      </c>
      <c r="CX2442" s="8">
        <f>0</f>
        <v>0</v>
      </c>
      <c r="CY2442" s="8">
        <f>1</f>
        <v>1</v>
      </c>
      <c r="DA2442" s="5" t="s">
        <v>274</v>
      </c>
      <c r="DB2442" s="5" t="s">
        <v>238</v>
      </c>
      <c r="DD2442" s="5" t="s">
        <v>274</v>
      </c>
      <c r="DE2442" s="8">
        <f>218</f>
        <v>218</v>
      </c>
      <c r="DG2442" s="5" t="s">
        <v>238</v>
      </c>
      <c r="DH2442" s="5" t="s">
        <v>238</v>
      </c>
      <c r="DI2442" s="5" t="s">
        <v>238</v>
      </c>
      <c r="DJ2442" s="5" t="s">
        <v>238</v>
      </c>
      <c r="DN2442" s="5" t="s">
        <v>238</v>
      </c>
      <c r="DO2442" s="5" t="s">
        <v>238</v>
      </c>
      <c r="DP2442" s="5" t="s">
        <v>238</v>
      </c>
      <c r="DQ2442" s="5" t="s">
        <v>238</v>
      </c>
      <c r="DT2442" s="5" t="s">
        <v>275</v>
      </c>
      <c r="DU2442" s="5" t="s">
        <v>1752</v>
      </c>
      <c r="HM2442" s="5" t="s">
        <v>264</v>
      </c>
    </row>
    <row r="2443" spans="1:221" x14ac:dyDescent="0.4">
      <c r="A2443" s="5">
        <v>4147</v>
      </c>
      <c r="B2443" s="5">
        <v>1</v>
      </c>
      <c r="C2443" s="5">
        <v>1</v>
      </c>
      <c r="D2443" s="5" t="s">
        <v>269</v>
      </c>
      <c r="E2443" s="5" t="s">
        <v>271</v>
      </c>
      <c r="F2443" s="5" t="s">
        <v>248</v>
      </c>
      <c r="G2443" s="5" t="s">
        <v>266</v>
      </c>
      <c r="H2443" s="6" t="s">
        <v>1747</v>
      </c>
      <c r="I2443" s="7">
        <f>362</f>
        <v>362</v>
      </c>
      <c r="J2443" s="5" t="s">
        <v>262</v>
      </c>
      <c r="K2443" s="8">
        <f>1</f>
        <v>1</v>
      </c>
      <c r="L2443" s="6" t="s">
        <v>242</v>
      </c>
      <c r="M2443" s="5" t="s">
        <v>267</v>
      </c>
      <c r="N2443" s="5" t="s">
        <v>265</v>
      </c>
      <c r="O2443" s="5" t="s">
        <v>238</v>
      </c>
      <c r="P2443" s="5" t="s">
        <v>238</v>
      </c>
      <c r="Q2443" s="5" t="s">
        <v>268</v>
      </c>
      <c r="R2443" s="5" t="s">
        <v>270</v>
      </c>
      <c r="S2443" s="5" t="s">
        <v>238</v>
      </c>
      <c r="V2443" s="5" t="s">
        <v>238</v>
      </c>
      <c r="X2443" s="6" t="s">
        <v>238</v>
      </c>
      <c r="AA2443" s="6" t="s">
        <v>243</v>
      </c>
      <c r="AB2443" s="5" t="s">
        <v>238</v>
      </c>
      <c r="AC2443" s="5" t="s">
        <v>244</v>
      </c>
      <c r="AD2443" s="5" t="s">
        <v>245</v>
      </c>
      <c r="AT2443" s="5" t="s">
        <v>246</v>
      </c>
      <c r="AU2443" s="5" t="s">
        <v>238</v>
      </c>
      <c r="AV2443" s="5" t="s">
        <v>247</v>
      </c>
      <c r="AW2443" s="5" t="s">
        <v>238</v>
      </c>
      <c r="AX2443" s="5" t="s">
        <v>249</v>
      </c>
      <c r="AY2443" s="5" t="s">
        <v>238</v>
      </c>
      <c r="BA2443" s="5" t="s">
        <v>238</v>
      </c>
      <c r="BC2443" s="5" t="s">
        <v>250</v>
      </c>
      <c r="BD2443" s="6" t="s">
        <v>243</v>
      </c>
      <c r="BE2443" s="5" t="s">
        <v>251</v>
      </c>
      <c r="BF2443" s="5" t="s">
        <v>252</v>
      </c>
      <c r="BG2443" s="5" t="s">
        <v>238</v>
      </c>
      <c r="BH2443" s="7">
        <f>0</f>
        <v>0</v>
      </c>
      <c r="BI2443" s="8">
        <f>0</f>
        <v>0</v>
      </c>
      <c r="BJ2443" s="5" t="s">
        <v>253</v>
      </c>
      <c r="BK2443" s="5" t="s">
        <v>254</v>
      </c>
      <c r="BY2443" s="5" t="s">
        <v>238</v>
      </c>
      <c r="BZ2443" s="5" t="s">
        <v>238</v>
      </c>
      <c r="CD2443" s="5" t="s">
        <v>273</v>
      </c>
      <c r="CE2443" s="5" t="s">
        <v>256</v>
      </c>
      <c r="CF2443" s="5" t="s">
        <v>238</v>
      </c>
      <c r="CI2443" s="6" t="s">
        <v>257</v>
      </c>
      <c r="CJ2443" s="5" t="s">
        <v>238</v>
      </c>
      <c r="CK2443" s="5" t="s">
        <v>258</v>
      </c>
      <c r="CL2443" s="5" t="s">
        <v>238</v>
      </c>
      <c r="CM2443" s="5" t="s">
        <v>238</v>
      </c>
      <c r="CN2443" s="5">
        <v>0</v>
      </c>
      <c r="CO2443" s="5" t="s">
        <v>259</v>
      </c>
      <c r="CP2443" s="5" t="s">
        <v>260</v>
      </c>
      <c r="CQ2443" s="5" t="s">
        <v>260</v>
      </c>
      <c r="CR2443" s="5" t="s">
        <v>261</v>
      </c>
      <c r="CU2443" s="8">
        <f>1</f>
        <v>1</v>
      </c>
      <c r="CV2443" s="8">
        <f>0</f>
        <v>0</v>
      </c>
      <c r="CX2443" s="8">
        <f>0</f>
        <v>0</v>
      </c>
      <c r="CY2443" s="8">
        <f>1</f>
        <v>1</v>
      </c>
      <c r="DA2443" s="5" t="s">
        <v>274</v>
      </c>
      <c r="DB2443" s="5" t="s">
        <v>238</v>
      </c>
      <c r="DD2443" s="5" t="s">
        <v>274</v>
      </c>
      <c r="DE2443" s="8">
        <f>362</f>
        <v>362</v>
      </c>
      <c r="DG2443" s="5" t="s">
        <v>238</v>
      </c>
      <c r="DH2443" s="5" t="s">
        <v>238</v>
      </c>
      <c r="DI2443" s="5" t="s">
        <v>238</v>
      </c>
      <c r="DJ2443" s="5" t="s">
        <v>238</v>
      </c>
      <c r="DN2443" s="5" t="s">
        <v>238</v>
      </c>
      <c r="DO2443" s="5" t="s">
        <v>238</v>
      </c>
      <c r="DP2443" s="5" t="s">
        <v>238</v>
      </c>
      <c r="DQ2443" s="5" t="s">
        <v>238</v>
      </c>
      <c r="DT2443" s="5" t="s">
        <v>275</v>
      </c>
      <c r="DU2443" s="5" t="s">
        <v>1748</v>
      </c>
      <c r="HM2443" s="5" t="s">
        <v>264</v>
      </c>
    </row>
    <row r="2444" spans="1:221" x14ac:dyDescent="0.4">
      <c r="A2444" s="5">
        <v>4148</v>
      </c>
      <c r="B2444" s="5">
        <v>1</v>
      </c>
      <c r="C2444" s="5">
        <v>1</v>
      </c>
      <c r="D2444" s="5" t="s">
        <v>269</v>
      </c>
      <c r="E2444" s="5" t="s">
        <v>271</v>
      </c>
      <c r="F2444" s="5" t="s">
        <v>248</v>
      </c>
      <c r="G2444" s="5" t="s">
        <v>266</v>
      </c>
      <c r="H2444" s="6" t="s">
        <v>1739</v>
      </c>
      <c r="I2444" s="7">
        <f>1499</f>
        <v>1499</v>
      </c>
      <c r="J2444" s="5" t="s">
        <v>262</v>
      </c>
      <c r="K2444" s="8">
        <f>1</f>
        <v>1</v>
      </c>
      <c r="L2444" s="6" t="s">
        <v>242</v>
      </c>
      <c r="M2444" s="5" t="s">
        <v>267</v>
      </c>
      <c r="N2444" s="5" t="s">
        <v>265</v>
      </c>
      <c r="O2444" s="5" t="s">
        <v>238</v>
      </c>
      <c r="P2444" s="5" t="s">
        <v>238</v>
      </c>
      <c r="Q2444" s="5" t="s">
        <v>268</v>
      </c>
      <c r="R2444" s="5" t="s">
        <v>270</v>
      </c>
      <c r="S2444" s="5" t="s">
        <v>238</v>
      </c>
      <c r="V2444" s="5" t="s">
        <v>238</v>
      </c>
      <c r="X2444" s="6" t="s">
        <v>238</v>
      </c>
      <c r="AA2444" s="6" t="s">
        <v>243</v>
      </c>
      <c r="AB2444" s="5" t="s">
        <v>238</v>
      </c>
      <c r="AC2444" s="5" t="s">
        <v>244</v>
      </c>
      <c r="AD2444" s="5" t="s">
        <v>245</v>
      </c>
      <c r="AT2444" s="5" t="s">
        <v>246</v>
      </c>
      <c r="AU2444" s="5" t="s">
        <v>238</v>
      </c>
      <c r="AV2444" s="5" t="s">
        <v>247</v>
      </c>
      <c r="AW2444" s="5" t="s">
        <v>238</v>
      </c>
      <c r="AX2444" s="5" t="s">
        <v>249</v>
      </c>
      <c r="AY2444" s="5" t="s">
        <v>238</v>
      </c>
      <c r="BA2444" s="5" t="s">
        <v>238</v>
      </c>
      <c r="BC2444" s="5" t="s">
        <v>250</v>
      </c>
      <c r="BD2444" s="6" t="s">
        <v>243</v>
      </c>
      <c r="BE2444" s="5" t="s">
        <v>251</v>
      </c>
      <c r="BF2444" s="5" t="s">
        <v>252</v>
      </c>
      <c r="BG2444" s="5" t="s">
        <v>238</v>
      </c>
      <c r="BH2444" s="7">
        <f>0</f>
        <v>0</v>
      </c>
      <c r="BI2444" s="8">
        <f>0</f>
        <v>0</v>
      </c>
      <c r="BJ2444" s="5" t="s">
        <v>253</v>
      </c>
      <c r="BK2444" s="5" t="s">
        <v>254</v>
      </c>
      <c r="BY2444" s="5" t="s">
        <v>238</v>
      </c>
      <c r="BZ2444" s="5" t="s">
        <v>238</v>
      </c>
      <c r="CD2444" s="5" t="s">
        <v>273</v>
      </c>
      <c r="CE2444" s="5" t="s">
        <v>256</v>
      </c>
      <c r="CF2444" s="5" t="s">
        <v>238</v>
      </c>
      <c r="CI2444" s="6" t="s">
        <v>257</v>
      </c>
      <c r="CJ2444" s="5" t="s">
        <v>238</v>
      </c>
      <c r="CK2444" s="5" t="s">
        <v>258</v>
      </c>
      <c r="CL2444" s="5" t="s">
        <v>238</v>
      </c>
      <c r="CM2444" s="5" t="s">
        <v>238</v>
      </c>
      <c r="CN2444" s="5">
        <v>0</v>
      </c>
      <c r="CO2444" s="5" t="s">
        <v>259</v>
      </c>
      <c r="CP2444" s="5" t="s">
        <v>260</v>
      </c>
      <c r="CQ2444" s="5" t="s">
        <v>260</v>
      </c>
      <c r="CR2444" s="5" t="s">
        <v>261</v>
      </c>
      <c r="CU2444" s="8">
        <f>1</f>
        <v>1</v>
      </c>
      <c r="CV2444" s="8">
        <f>0</f>
        <v>0</v>
      </c>
      <c r="CX2444" s="8">
        <f>0</f>
        <v>0</v>
      </c>
      <c r="CY2444" s="8">
        <f>1</f>
        <v>1</v>
      </c>
      <c r="DA2444" s="5" t="s">
        <v>274</v>
      </c>
      <c r="DB2444" s="5" t="s">
        <v>238</v>
      </c>
      <c r="DD2444" s="5" t="s">
        <v>274</v>
      </c>
      <c r="DE2444" s="8">
        <f>1499</f>
        <v>1499</v>
      </c>
      <c r="DG2444" s="5" t="s">
        <v>238</v>
      </c>
      <c r="DH2444" s="5" t="s">
        <v>238</v>
      </c>
      <c r="DI2444" s="5" t="s">
        <v>238</v>
      </c>
      <c r="DJ2444" s="5" t="s">
        <v>238</v>
      </c>
      <c r="DN2444" s="5" t="s">
        <v>238</v>
      </c>
      <c r="DO2444" s="5" t="s">
        <v>238</v>
      </c>
      <c r="DP2444" s="5" t="s">
        <v>238</v>
      </c>
      <c r="DQ2444" s="5" t="s">
        <v>238</v>
      </c>
      <c r="DT2444" s="5" t="s">
        <v>275</v>
      </c>
      <c r="DU2444" s="5" t="s">
        <v>1740</v>
      </c>
      <c r="HM2444" s="5" t="s">
        <v>264</v>
      </c>
    </row>
    <row r="2445" spans="1:221" x14ac:dyDescent="0.4">
      <c r="A2445" s="5">
        <v>4149</v>
      </c>
      <c r="B2445" s="5">
        <v>1</v>
      </c>
      <c r="C2445" s="5">
        <v>1</v>
      </c>
      <c r="D2445" s="5" t="s">
        <v>269</v>
      </c>
      <c r="E2445" s="5" t="s">
        <v>271</v>
      </c>
      <c r="F2445" s="5" t="s">
        <v>248</v>
      </c>
      <c r="G2445" s="5" t="s">
        <v>266</v>
      </c>
      <c r="H2445" s="6" t="s">
        <v>1735</v>
      </c>
      <c r="I2445" s="7">
        <f>1664</f>
        <v>1664</v>
      </c>
      <c r="J2445" s="5" t="s">
        <v>262</v>
      </c>
      <c r="K2445" s="8">
        <f>1</f>
        <v>1</v>
      </c>
      <c r="L2445" s="6" t="s">
        <v>242</v>
      </c>
      <c r="M2445" s="5" t="s">
        <v>267</v>
      </c>
      <c r="N2445" s="5" t="s">
        <v>265</v>
      </c>
      <c r="O2445" s="5" t="s">
        <v>238</v>
      </c>
      <c r="P2445" s="5" t="s">
        <v>238</v>
      </c>
      <c r="Q2445" s="5" t="s">
        <v>268</v>
      </c>
      <c r="R2445" s="5" t="s">
        <v>270</v>
      </c>
      <c r="S2445" s="5" t="s">
        <v>238</v>
      </c>
      <c r="V2445" s="5" t="s">
        <v>238</v>
      </c>
      <c r="X2445" s="6" t="s">
        <v>238</v>
      </c>
      <c r="AA2445" s="6" t="s">
        <v>243</v>
      </c>
      <c r="AB2445" s="5" t="s">
        <v>238</v>
      </c>
      <c r="AC2445" s="5" t="s">
        <v>244</v>
      </c>
      <c r="AD2445" s="5" t="s">
        <v>245</v>
      </c>
      <c r="AT2445" s="5" t="s">
        <v>246</v>
      </c>
      <c r="AU2445" s="5" t="s">
        <v>238</v>
      </c>
      <c r="AV2445" s="5" t="s">
        <v>247</v>
      </c>
      <c r="AW2445" s="5" t="s">
        <v>238</v>
      </c>
      <c r="AX2445" s="5" t="s">
        <v>249</v>
      </c>
      <c r="AY2445" s="5" t="s">
        <v>238</v>
      </c>
      <c r="BA2445" s="5" t="s">
        <v>238</v>
      </c>
      <c r="BC2445" s="5" t="s">
        <v>250</v>
      </c>
      <c r="BD2445" s="6" t="s">
        <v>243</v>
      </c>
      <c r="BE2445" s="5" t="s">
        <v>251</v>
      </c>
      <c r="BF2445" s="5" t="s">
        <v>252</v>
      </c>
      <c r="BG2445" s="5" t="s">
        <v>238</v>
      </c>
      <c r="BH2445" s="7">
        <f>0</f>
        <v>0</v>
      </c>
      <c r="BI2445" s="8">
        <f>0</f>
        <v>0</v>
      </c>
      <c r="BJ2445" s="5" t="s">
        <v>253</v>
      </c>
      <c r="BK2445" s="5" t="s">
        <v>254</v>
      </c>
      <c r="BY2445" s="5" t="s">
        <v>238</v>
      </c>
      <c r="BZ2445" s="5" t="s">
        <v>238</v>
      </c>
      <c r="CD2445" s="5" t="s">
        <v>273</v>
      </c>
      <c r="CE2445" s="5" t="s">
        <v>256</v>
      </c>
      <c r="CF2445" s="5" t="s">
        <v>238</v>
      </c>
      <c r="CI2445" s="6" t="s">
        <v>257</v>
      </c>
      <c r="CJ2445" s="5" t="s">
        <v>238</v>
      </c>
      <c r="CK2445" s="5" t="s">
        <v>258</v>
      </c>
      <c r="CL2445" s="5" t="s">
        <v>238</v>
      </c>
      <c r="CM2445" s="5" t="s">
        <v>238</v>
      </c>
      <c r="CN2445" s="5">
        <v>0</v>
      </c>
      <c r="CO2445" s="5" t="s">
        <v>259</v>
      </c>
      <c r="CP2445" s="5" t="s">
        <v>260</v>
      </c>
      <c r="CQ2445" s="5" t="s">
        <v>260</v>
      </c>
      <c r="CR2445" s="5" t="s">
        <v>261</v>
      </c>
      <c r="CU2445" s="8">
        <f>1</f>
        <v>1</v>
      </c>
      <c r="CV2445" s="8">
        <f>0</f>
        <v>0</v>
      </c>
      <c r="CX2445" s="8">
        <f>0</f>
        <v>0</v>
      </c>
      <c r="CY2445" s="8">
        <f>1</f>
        <v>1</v>
      </c>
      <c r="DA2445" s="5" t="s">
        <v>274</v>
      </c>
      <c r="DB2445" s="5" t="s">
        <v>238</v>
      </c>
      <c r="DD2445" s="5" t="s">
        <v>274</v>
      </c>
      <c r="DE2445" s="8">
        <f>1664</f>
        <v>1664</v>
      </c>
      <c r="DG2445" s="5" t="s">
        <v>238</v>
      </c>
      <c r="DH2445" s="5" t="s">
        <v>238</v>
      </c>
      <c r="DI2445" s="5" t="s">
        <v>238</v>
      </c>
      <c r="DJ2445" s="5" t="s">
        <v>238</v>
      </c>
      <c r="DN2445" s="5" t="s">
        <v>238</v>
      </c>
      <c r="DO2445" s="5" t="s">
        <v>238</v>
      </c>
      <c r="DP2445" s="5" t="s">
        <v>238</v>
      </c>
      <c r="DQ2445" s="5" t="s">
        <v>238</v>
      </c>
      <c r="DT2445" s="5" t="s">
        <v>275</v>
      </c>
      <c r="DU2445" s="5" t="s">
        <v>1736</v>
      </c>
      <c r="HM2445" s="5" t="s">
        <v>264</v>
      </c>
    </row>
    <row r="2446" spans="1:221" x14ac:dyDescent="0.4">
      <c r="A2446" s="5">
        <v>4150</v>
      </c>
      <c r="B2446" s="5">
        <v>1</v>
      </c>
      <c r="C2446" s="5">
        <v>1</v>
      </c>
      <c r="D2446" s="5" t="s">
        <v>269</v>
      </c>
      <c r="E2446" s="5" t="s">
        <v>271</v>
      </c>
      <c r="F2446" s="5" t="s">
        <v>248</v>
      </c>
      <c r="G2446" s="5" t="s">
        <v>266</v>
      </c>
      <c r="H2446" s="6" t="s">
        <v>1723</v>
      </c>
      <c r="I2446" s="7">
        <f>2818</f>
        <v>2818</v>
      </c>
      <c r="J2446" s="5" t="s">
        <v>262</v>
      </c>
      <c r="K2446" s="8">
        <f>1</f>
        <v>1</v>
      </c>
      <c r="L2446" s="6" t="s">
        <v>242</v>
      </c>
      <c r="M2446" s="5" t="s">
        <v>267</v>
      </c>
      <c r="N2446" s="5" t="s">
        <v>265</v>
      </c>
      <c r="O2446" s="5" t="s">
        <v>238</v>
      </c>
      <c r="P2446" s="5" t="s">
        <v>238</v>
      </c>
      <c r="Q2446" s="5" t="s">
        <v>268</v>
      </c>
      <c r="R2446" s="5" t="s">
        <v>270</v>
      </c>
      <c r="S2446" s="5" t="s">
        <v>238</v>
      </c>
      <c r="V2446" s="5" t="s">
        <v>238</v>
      </c>
      <c r="X2446" s="6" t="s">
        <v>238</v>
      </c>
      <c r="AA2446" s="6" t="s">
        <v>243</v>
      </c>
      <c r="AB2446" s="5" t="s">
        <v>238</v>
      </c>
      <c r="AC2446" s="5" t="s">
        <v>244</v>
      </c>
      <c r="AD2446" s="5" t="s">
        <v>245</v>
      </c>
      <c r="AT2446" s="5" t="s">
        <v>246</v>
      </c>
      <c r="AU2446" s="5" t="s">
        <v>238</v>
      </c>
      <c r="AV2446" s="5" t="s">
        <v>247</v>
      </c>
      <c r="AW2446" s="5" t="s">
        <v>238</v>
      </c>
      <c r="AX2446" s="5" t="s">
        <v>249</v>
      </c>
      <c r="AY2446" s="5" t="s">
        <v>238</v>
      </c>
      <c r="BA2446" s="5" t="s">
        <v>238</v>
      </c>
      <c r="BC2446" s="5" t="s">
        <v>250</v>
      </c>
      <c r="BD2446" s="6" t="s">
        <v>243</v>
      </c>
      <c r="BE2446" s="5" t="s">
        <v>251</v>
      </c>
      <c r="BF2446" s="5" t="s">
        <v>252</v>
      </c>
      <c r="BG2446" s="5" t="s">
        <v>238</v>
      </c>
      <c r="BH2446" s="7">
        <f>0</f>
        <v>0</v>
      </c>
      <c r="BI2446" s="8">
        <f>0</f>
        <v>0</v>
      </c>
      <c r="BJ2446" s="5" t="s">
        <v>253</v>
      </c>
      <c r="BK2446" s="5" t="s">
        <v>254</v>
      </c>
      <c r="BY2446" s="5" t="s">
        <v>238</v>
      </c>
      <c r="BZ2446" s="5" t="s">
        <v>238</v>
      </c>
      <c r="CD2446" s="5" t="s">
        <v>273</v>
      </c>
      <c r="CE2446" s="5" t="s">
        <v>256</v>
      </c>
      <c r="CF2446" s="5" t="s">
        <v>238</v>
      </c>
      <c r="CI2446" s="6" t="s">
        <v>257</v>
      </c>
      <c r="CJ2446" s="5" t="s">
        <v>238</v>
      </c>
      <c r="CK2446" s="5" t="s">
        <v>258</v>
      </c>
      <c r="CL2446" s="5" t="s">
        <v>238</v>
      </c>
      <c r="CM2446" s="5" t="s">
        <v>238</v>
      </c>
      <c r="CN2446" s="5">
        <v>0</v>
      </c>
      <c r="CO2446" s="5" t="s">
        <v>259</v>
      </c>
      <c r="CP2446" s="5" t="s">
        <v>260</v>
      </c>
      <c r="CQ2446" s="5" t="s">
        <v>260</v>
      </c>
      <c r="CR2446" s="5" t="s">
        <v>261</v>
      </c>
      <c r="CU2446" s="8">
        <f>1</f>
        <v>1</v>
      </c>
      <c r="CV2446" s="8">
        <f>0</f>
        <v>0</v>
      </c>
      <c r="CX2446" s="8">
        <f>0</f>
        <v>0</v>
      </c>
      <c r="CY2446" s="8">
        <f>1</f>
        <v>1</v>
      </c>
      <c r="DA2446" s="5" t="s">
        <v>274</v>
      </c>
      <c r="DB2446" s="5" t="s">
        <v>238</v>
      </c>
      <c r="DD2446" s="5" t="s">
        <v>274</v>
      </c>
      <c r="DE2446" s="8">
        <f>2818</f>
        <v>2818</v>
      </c>
      <c r="DG2446" s="5" t="s">
        <v>238</v>
      </c>
      <c r="DH2446" s="5" t="s">
        <v>238</v>
      </c>
      <c r="DI2446" s="5" t="s">
        <v>238</v>
      </c>
      <c r="DJ2446" s="5" t="s">
        <v>238</v>
      </c>
      <c r="DN2446" s="5" t="s">
        <v>238</v>
      </c>
      <c r="DO2446" s="5" t="s">
        <v>238</v>
      </c>
      <c r="DP2446" s="5" t="s">
        <v>238</v>
      </c>
      <c r="DQ2446" s="5" t="s">
        <v>238</v>
      </c>
      <c r="DT2446" s="5" t="s">
        <v>275</v>
      </c>
      <c r="DU2446" s="5" t="s">
        <v>1724</v>
      </c>
      <c r="HM2446" s="5" t="s">
        <v>264</v>
      </c>
    </row>
    <row r="2447" spans="1:221" x14ac:dyDescent="0.4">
      <c r="A2447" s="5">
        <v>4151</v>
      </c>
      <c r="B2447" s="5">
        <v>1</v>
      </c>
      <c r="C2447" s="5">
        <v>1</v>
      </c>
      <c r="D2447" s="5" t="s">
        <v>269</v>
      </c>
      <c r="E2447" s="5" t="s">
        <v>271</v>
      </c>
      <c r="F2447" s="5" t="s">
        <v>248</v>
      </c>
      <c r="G2447" s="5" t="s">
        <v>266</v>
      </c>
      <c r="H2447" s="6" t="s">
        <v>1719</v>
      </c>
      <c r="I2447" s="7">
        <f>2429</f>
        <v>2429</v>
      </c>
      <c r="J2447" s="5" t="s">
        <v>262</v>
      </c>
      <c r="K2447" s="8">
        <f>1</f>
        <v>1</v>
      </c>
      <c r="L2447" s="6" t="s">
        <v>242</v>
      </c>
      <c r="M2447" s="5" t="s">
        <v>267</v>
      </c>
      <c r="N2447" s="5" t="s">
        <v>265</v>
      </c>
      <c r="O2447" s="5" t="s">
        <v>238</v>
      </c>
      <c r="P2447" s="5" t="s">
        <v>238</v>
      </c>
      <c r="Q2447" s="5" t="s">
        <v>268</v>
      </c>
      <c r="R2447" s="5" t="s">
        <v>270</v>
      </c>
      <c r="S2447" s="5" t="s">
        <v>238</v>
      </c>
      <c r="V2447" s="5" t="s">
        <v>238</v>
      </c>
      <c r="X2447" s="6" t="s">
        <v>238</v>
      </c>
      <c r="AA2447" s="6" t="s">
        <v>243</v>
      </c>
      <c r="AB2447" s="5" t="s">
        <v>238</v>
      </c>
      <c r="AC2447" s="5" t="s">
        <v>244</v>
      </c>
      <c r="AD2447" s="5" t="s">
        <v>245</v>
      </c>
      <c r="AT2447" s="5" t="s">
        <v>246</v>
      </c>
      <c r="AU2447" s="5" t="s">
        <v>238</v>
      </c>
      <c r="AV2447" s="5" t="s">
        <v>247</v>
      </c>
      <c r="AW2447" s="5" t="s">
        <v>238</v>
      </c>
      <c r="AX2447" s="5" t="s">
        <v>249</v>
      </c>
      <c r="AY2447" s="5" t="s">
        <v>238</v>
      </c>
      <c r="BA2447" s="5" t="s">
        <v>238</v>
      </c>
      <c r="BC2447" s="5" t="s">
        <v>250</v>
      </c>
      <c r="BD2447" s="6" t="s">
        <v>243</v>
      </c>
      <c r="BE2447" s="5" t="s">
        <v>251</v>
      </c>
      <c r="BF2447" s="5" t="s">
        <v>252</v>
      </c>
      <c r="BG2447" s="5" t="s">
        <v>238</v>
      </c>
      <c r="BH2447" s="7">
        <f>0</f>
        <v>0</v>
      </c>
      <c r="BI2447" s="8">
        <f>0</f>
        <v>0</v>
      </c>
      <c r="BJ2447" s="5" t="s">
        <v>253</v>
      </c>
      <c r="BK2447" s="5" t="s">
        <v>254</v>
      </c>
      <c r="BY2447" s="5" t="s">
        <v>238</v>
      </c>
      <c r="BZ2447" s="5" t="s">
        <v>238</v>
      </c>
      <c r="CD2447" s="5" t="s">
        <v>273</v>
      </c>
      <c r="CE2447" s="5" t="s">
        <v>256</v>
      </c>
      <c r="CF2447" s="5" t="s">
        <v>238</v>
      </c>
      <c r="CI2447" s="6" t="s">
        <v>257</v>
      </c>
      <c r="CJ2447" s="5" t="s">
        <v>238</v>
      </c>
      <c r="CK2447" s="5" t="s">
        <v>258</v>
      </c>
      <c r="CL2447" s="5" t="s">
        <v>238</v>
      </c>
      <c r="CM2447" s="5" t="s">
        <v>238</v>
      </c>
      <c r="CN2447" s="5">
        <v>0</v>
      </c>
      <c r="CO2447" s="5" t="s">
        <v>259</v>
      </c>
      <c r="CP2447" s="5" t="s">
        <v>260</v>
      </c>
      <c r="CQ2447" s="5" t="s">
        <v>260</v>
      </c>
      <c r="CR2447" s="5" t="s">
        <v>261</v>
      </c>
      <c r="CU2447" s="8">
        <f>1</f>
        <v>1</v>
      </c>
      <c r="CV2447" s="8">
        <f>0</f>
        <v>0</v>
      </c>
      <c r="CX2447" s="8">
        <f>0</f>
        <v>0</v>
      </c>
      <c r="CY2447" s="8">
        <f>1</f>
        <v>1</v>
      </c>
      <c r="DA2447" s="5" t="s">
        <v>274</v>
      </c>
      <c r="DB2447" s="5" t="s">
        <v>238</v>
      </c>
      <c r="DD2447" s="5" t="s">
        <v>274</v>
      </c>
      <c r="DE2447" s="8">
        <f>2429</f>
        <v>2429</v>
      </c>
      <c r="DG2447" s="5" t="s">
        <v>238</v>
      </c>
      <c r="DH2447" s="5" t="s">
        <v>238</v>
      </c>
      <c r="DI2447" s="5" t="s">
        <v>238</v>
      </c>
      <c r="DJ2447" s="5" t="s">
        <v>238</v>
      </c>
      <c r="DN2447" s="5" t="s">
        <v>238</v>
      </c>
      <c r="DO2447" s="5" t="s">
        <v>238</v>
      </c>
      <c r="DP2447" s="5" t="s">
        <v>238</v>
      </c>
      <c r="DQ2447" s="5" t="s">
        <v>238</v>
      </c>
      <c r="DT2447" s="5" t="s">
        <v>275</v>
      </c>
      <c r="DU2447" s="5" t="s">
        <v>1720</v>
      </c>
      <c r="HM2447" s="5" t="s">
        <v>264</v>
      </c>
    </row>
    <row r="2448" spans="1:221" x14ac:dyDescent="0.4">
      <c r="A2448" s="5">
        <v>4152</v>
      </c>
      <c r="B2448" s="5">
        <v>1</v>
      </c>
      <c r="C2448" s="5">
        <v>1</v>
      </c>
      <c r="D2448" s="5" t="s">
        <v>269</v>
      </c>
      <c r="E2448" s="5" t="s">
        <v>271</v>
      </c>
      <c r="F2448" s="5" t="s">
        <v>248</v>
      </c>
      <c r="G2448" s="5" t="s">
        <v>266</v>
      </c>
      <c r="H2448" s="6" t="s">
        <v>1711</v>
      </c>
      <c r="I2448" s="7">
        <f>1007</f>
        <v>1007</v>
      </c>
      <c r="J2448" s="5" t="s">
        <v>262</v>
      </c>
      <c r="K2448" s="8">
        <f>1</f>
        <v>1</v>
      </c>
      <c r="L2448" s="6" t="s">
        <v>242</v>
      </c>
      <c r="M2448" s="5" t="s">
        <v>267</v>
      </c>
      <c r="N2448" s="5" t="s">
        <v>265</v>
      </c>
      <c r="O2448" s="5" t="s">
        <v>238</v>
      </c>
      <c r="P2448" s="5" t="s">
        <v>238</v>
      </c>
      <c r="Q2448" s="5" t="s">
        <v>268</v>
      </c>
      <c r="R2448" s="5" t="s">
        <v>270</v>
      </c>
      <c r="S2448" s="5" t="s">
        <v>238</v>
      </c>
      <c r="V2448" s="5" t="s">
        <v>238</v>
      </c>
      <c r="X2448" s="6" t="s">
        <v>238</v>
      </c>
      <c r="AA2448" s="6" t="s">
        <v>243</v>
      </c>
      <c r="AB2448" s="5" t="s">
        <v>238</v>
      </c>
      <c r="AC2448" s="5" t="s">
        <v>244</v>
      </c>
      <c r="AD2448" s="5" t="s">
        <v>245</v>
      </c>
      <c r="AT2448" s="5" t="s">
        <v>246</v>
      </c>
      <c r="AU2448" s="5" t="s">
        <v>238</v>
      </c>
      <c r="AV2448" s="5" t="s">
        <v>247</v>
      </c>
      <c r="AW2448" s="5" t="s">
        <v>238</v>
      </c>
      <c r="AX2448" s="5" t="s">
        <v>249</v>
      </c>
      <c r="AY2448" s="5" t="s">
        <v>238</v>
      </c>
      <c r="BA2448" s="5" t="s">
        <v>238</v>
      </c>
      <c r="BC2448" s="5" t="s">
        <v>250</v>
      </c>
      <c r="BD2448" s="6" t="s">
        <v>243</v>
      </c>
      <c r="BE2448" s="5" t="s">
        <v>251</v>
      </c>
      <c r="BF2448" s="5" t="s">
        <v>252</v>
      </c>
      <c r="BG2448" s="5" t="s">
        <v>238</v>
      </c>
      <c r="BH2448" s="7">
        <f>0</f>
        <v>0</v>
      </c>
      <c r="BI2448" s="8">
        <f>0</f>
        <v>0</v>
      </c>
      <c r="BJ2448" s="5" t="s">
        <v>253</v>
      </c>
      <c r="BK2448" s="5" t="s">
        <v>254</v>
      </c>
      <c r="BY2448" s="5" t="s">
        <v>238</v>
      </c>
      <c r="BZ2448" s="5" t="s">
        <v>238</v>
      </c>
      <c r="CD2448" s="5" t="s">
        <v>273</v>
      </c>
      <c r="CE2448" s="5" t="s">
        <v>256</v>
      </c>
      <c r="CF2448" s="5" t="s">
        <v>238</v>
      </c>
      <c r="CI2448" s="6" t="s">
        <v>257</v>
      </c>
      <c r="CJ2448" s="5" t="s">
        <v>238</v>
      </c>
      <c r="CK2448" s="5" t="s">
        <v>258</v>
      </c>
      <c r="CL2448" s="5" t="s">
        <v>238</v>
      </c>
      <c r="CM2448" s="5" t="s">
        <v>238</v>
      </c>
      <c r="CN2448" s="5">
        <v>0</v>
      </c>
      <c r="CO2448" s="5" t="s">
        <v>259</v>
      </c>
      <c r="CP2448" s="5" t="s">
        <v>260</v>
      </c>
      <c r="CQ2448" s="5" t="s">
        <v>260</v>
      </c>
      <c r="CR2448" s="5" t="s">
        <v>261</v>
      </c>
      <c r="CU2448" s="8">
        <f>1</f>
        <v>1</v>
      </c>
      <c r="CV2448" s="8">
        <f>0</f>
        <v>0</v>
      </c>
      <c r="CX2448" s="8">
        <f>0</f>
        <v>0</v>
      </c>
      <c r="CY2448" s="8">
        <f>1</f>
        <v>1</v>
      </c>
      <c r="DA2448" s="5" t="s">
        <v>274</v>
      </c>
      <c r="DB2448" s="5" t="s">
        <v>238</v>
      </c>
      <c r="DD2448" s="5" t="s">
        <v>274</v>
      </c>
      <c r="DE2448" s="8">
        <f>1007</f>
        <v>1007</v>
      </c>
      <c r="DG2448" s="5" t="s">
        <v>238</v>
      </c>
      <c r="DH2448" s="5" t="s">
        <v>238</v>
      </c>
      <c r="DI2448" s="5" t="s">
        <v>238</v>
      </c>
      <c r="DJ2448" s="5" t="s">
        <v>238</v>
      </c>
      <c r="DN2448" s="5" t="s">
        <v>238</v>
      </c>
      <c r="DO2448" s="5" t="s">
        <v>238</v>
      </c>
      <c r="DP2448" s="5" t="s">
        <v>238</v>
      </c>
      <c r="DQ2448" s="5" t="s">
        <v>238</v>
      </c>
      <c r="DT2448" s="5" t="s">
        <v>275</v>
      </c>
      <c r="DU2448" s="5" t="s">
        <v>1712</v>
      </c>
      <c r="HM2448" s="5" t="s">
        <v>264</v>
      </c>
    </row>
    <row r="2449" spans="1:221" x14ac:dyDescent="0.4">
      <c r="A2449" s="5">
        <v>4153</v>
      </c>
      <c r="B2449" s="5">
        <v>1</v>
      </c>
      <c r="C2449" s="5">
        <v>1</v>
      </c>
      <c r="D2449" s="5" t="s">
        <v>269</v>
      </c>
      <c r="E2449" s="5" t="s">
        <v>271</v>
      </c>
      <c r="F2449" s="5" t="s">
        <v>248</v>
      </c>
      <c r="G2449" s="5" t="s">
        <v>266</v>
      </c>
      <c r="H2449" s="6" t="s">
        <v>1707</v>
      </c>
      <c r="I2449" s="7">
        <f>1661</f>
        <v>1661</v>
      </c>
      <c r="J2449" s="5" t="s">
        <v>262</v>
      </c>
      <c r="K2449" s="8">
        <f>1</f>
        <v>1</v>
      </c>
      <c r="L2449" s="6" t="s">
        <v>242</v>
      </c>
      <c r="M2449" s="5" t="s">
        <v>267</v>
      </c>
      <c r="N2449" s="5" t="s">
        <v>265</v>
      </c>
      <c r="O2449" s="5" t="s">
        <v>238</v>
      </c>
      <c r="P2449" s="5" t="s">
        <v>238</v>
      </c>
      <c r="Q2449" s="5" t="s">
        <v>268</v>
      </c>
      <c r="R2449" s="5" t="s">
        <v>270</v>
      </c>
      <c r="S2449" s="5" t="s">
        <v>238</v>
      </c>
      <c r="V2449" s="5" t="s">
        <v>238</v>
      </c>
      <c r="X2449" s="6" t="s">
        <v>238</v>
      </c>
      <c r="AA2449" s="6" t="s">
        <v>243</v>
      </c>
      <c r="AB2449" s="5" t="s">
        <v>238</v>
      </c>
      <c r="AC2449" s="5" t="s">
        <v>244</v>
      </c>
      <c r="AD2449" s="5" t="s">
        <v>245</v>
      </c>
      <c r="AT2449" s="5" t="s">
        <v>246</v>
      </c>
      <c r="AU2449" s="5" t="s">
        <v>238</v>
      </c>
      <c r="AV2449" s="5" t="s">
        <v>247</v>
      </c>
      <c r="AW2449" s="5" t="s">
        <v>238</v>
      </c>
      <c r="AX2449" s="5" t="s">
        <v>249</v>
      </c>
      <c r="AY2449" s="5" t="s">
        <v>238</v>
      </c>
      <c r="BA2449" s="5" t="s">
        <v>238</v>
      </c>
      <c r="BC2449" s="5" t="s">
        <v>250</v>
      </c>
      <c r="BD2449" s="6" t="s">
        <v>243</v>
      </c>
      <c r="BE2449" s="5" t="s">
        <v>251</v>
      </c>
      <c r="BF2449" s="5" t="s">
        <v>252</v>
      </c>
      <c r="BG2449" s="5" t="s">
        <v>238</v>
      </c>
      <c r="BH2449" s="7">
        <f>0</f>
        <v>0</v>
      </c>
      <c r="BI2449" s="8">
        <f>0</f>
        <v>0</v>
      </c>
      <c r="BJ2449" s="5" t="s">
        <v>253</v>
      </c>
      <c r="BK2449" s="5" t="s">
        <v>254</v>
      </c>
      <c r="BY2449" s="5" t="s">
        <v>238</v>
      </c>
      <c r="BZ2449" s="5" t="s">
        <v>238</v>
      </c>
      <c r="CD2449" s="5" t="s">
        <v>273</v>
      </c>
      <c r="CE2449" s="5" t="s">
        <v>256</v>
      </c>
      <c r="CF2449" s="5" t="s">
        <v>238</v>
      </c>
      <c r="CI2449" s="6" t="s">
        <v>257</v>
      </c>
      <c r="CJ2449" s="5" t="s">
        <v>238</v>
      </c>
      <c r="CK2449" s="5" t="s">
        <v>258</v>
      </c>
      <c r="CL2449" s="5" t="s">
        <v>238</v>
      </c>
      <c r="CM2449" s="5" t="s">
        <v>238</v>
      </c>
      <c r="CN2449" s="5">
        <v>0</v>
      </c>
      <c r="CO2449" s="5" t="s">
        <v>259</v>
      </c>
      <c r="CP2449" s="5" t="s">
        <v>260</v>
      </c>
      <c r="CQ2449" s="5" t="s">
        <v>260</v>
      </c>
      <c r="CR2449" s="5" t="s">
        <v>261</v>
      </c>
      <c r="CU2449" s="8">
        <f>1</f>
        <v>1</v>
      </c>
      <c r="CV2449" s="8">
        <f>0</f>
        <v>0</v>
      </c>
      <c r="CX2449" s="8">
        <f>0</f>
        <v>0</v>
      </c>
      <c r="CY2449" s="8">
        <f>1</f>
        <v>1</v>
      </c>
      <c r="DA2449" s="5" t="s">
        <v>274</v>
      </c>
      <c r="DB2449" s="5" t="s">
        <v>238</v>
      </c>
      <c r="DD2449" s="5" t="s">
        <v>274</v>
      </c>
      <c r="DE2449" s="8">
        <f>1661</f>
        <v>1661</v>
      </c>
      <c r="DG2449" s="5" t="s">
        <v>238</v>
      </c>
      <c r="DH2449" s="5" t="s">
        <v>238</v>
      </c>
      <c r="DI2449" s="5" t="s">
        <v>238</v>
      </c>
      <c r="DJ2449" s="5" t="s">
        <v>238</v>
      </c>
      <c r="DN2449" s="5" t="s">
        <v>238</v>
      </c>
      <c r="DO2449" s="5" t="s">
        <v>238</v>
      </c>
      <c r="DP2449" s="5" t="s">
        <v>238</v>
      </c>
      <c r="DQ2449" s="5" t="s">
        <v>238</v>
      </c>
      <c r="DT2449" s="5" t="s">
        <v>275</v>
      </c>
      <c r="DU2449" s="5" t="s">
        <v>1708</v>
      </c>
      <c r="HM2449" s="5" t="s">
        <v>264</v>
      </c>
    </row>
    <row r="2450" spans="1:221" x14ac:dyDescent="0.4">
      <c r="A2450" s="5">
        <v>4154</v>
      </c>
      <c r="B2450" s="5">
        <v>1</v>
      </c>
      <c r="C2450" s="5">
        <v>1</v>
      </c>
      <c r="D2450" s="5" t="s">
        <v>269</v>
      </c>
      <c r="E2450" s="5" t="s">
        <v>271</v>
      </c>
      <c r="F2450" s="5" t="s">
        <v>248</v>
      </c>
      <c r="G2450" s="5" t="s">
        <v>266</v>
      </c>
      <c r="H2450" s="6" t="s">
        <v>1695</v>
      </c>
      <c r="I2450" s="7">
        <f>1687</f>
        <v>1687</v>
      </c>
      <c r="J2450" s="5" t="s">
        <v>262</v>
      </c>
      <c r="K2450" s="8">
        <f>1</f>
        <v>1</v>
      </c>
      <c r="L2450" s="6" t="s">
        <v>242</v>
      </c>
      <c r="M2450" s="5" t="s">
        <v>267</v>
      </c>
      <c r="N2450" s="5" t="s">
        <v>265</v>
      </c>
      <c r="O2450" s="5" t="s">
        <v>238</v>
      </c>
      <c r="P2450" s="5" t="s">
        <v>238</v>
      </c>
      <c r="Q2450" s="5" t="s">
        <v>268</v>
      </c>
      <c r="R2450" s="5" t="s">
        <v>270</v>
      </c>
      <c r="S2450" s="5" t="s">
        <v>238</v>
      </c>
      <c r="V2450" s="5" t="s">
        <v>238</v>
      </c>
      <c r="X2450" s="6" t="s">
        <v>238</v>
      </c>
      <c r="AA2450" s="6" t="s">
        <v>243</v>
      </c>
      <c r="AB2450" s="5" t="s">
        <v>238</v>
      </c>
      <c r="AC2450" s="5" t="s">
        <v>244</v>
      </c>
      <c r="AD2450" s="5" t="s">
        <v>245</v>
      </c>
      <c r="AT2450" s="5" t="s">
        <v>246</v>
      </c>
      <c r="AU2450" s="5" t="s">
        <v>238</v>
      </c>
      <c r="AV2450" s="5" t="s">
        <v>247</v>
      </c>
      <c r="AW2450" s="5" t="s">
        <v>238</v>
      </c>
      <c r="AX2450" s="5" t="s">
        <v>249</v>
      </c>
      <c r="AY2450" s="5" t="s">
        <v>238</v>
      </c>
      <c r="BA2450" s="5" t="s">
        <v>238</v>
      </c>
      <c r="BC2450" s="5" t="s">
        <v>250</v>
      </c>
      <c r="BD2450" s="6" t="s">
        <v>243</v>
      </c>
      <c r="BE2450" s="5" t="s">
        <v>251</v>
      </c>
      <c r="BF2450" s="5" t="s">
        <v>252</v>
      </c>
      <c r="BG2450" s="5" t="s">
        <v>238</v>
      </c>
      <c r="BH2450" s="7">
        <f>0</f>
        <v>0</v>
      </c>
      <c r="BI2450" s="8">
        <f>0</f>
        <v>0</v>
      </c>
      <c r="BJ2450" s="5" t="s">
        <v>253</v>
      </c>
      <c r="BK2450" s="5" t="s">
        <v>254</v>
      </c>
      <c r="BY2450" s="5" t="s">
        <v>238</v>
      </c>
      <c r="BZ2450" s="5" t="s">
        <v>238</v>
      </c>
      <c r="CD2450" s="5" t="s">
        <v>273</v>
      </c>
      <c r="CE2450" s="5" t="s">
        <v>256</v>
      </c>
      <c r="CF2450" s="5" t="s">
        <v>238</v>
      </c>
      <c r="CI2450" s="6" t="s">
        <v>257</v>
      </c>
      <c r="CJ2450" s="5" t="s">
        <v>238</v>
      </c>
      <c r="CK2450" s="5" t="s">
        <v>258</v>
      </c>
      <c r="CL2450" s="5" t="s">
        <v>238</v>
      </c>
      <c r="CM2450" s="5" t="s">
        <v>238</v>
      </c>
      <c r="CN2450" s="5">
        <v>0</v>
      </c>
      <c r="CO2450" s="5" t="s">
        <v>259</v>
      </c>
      <c r="CP2450" s="5" t="s">
        <v>260</v>
      </c>
      <c r="CQ2450" s="5" t="s">
        <v>260</v>
      </c>
      <c r="CR2450" s="5" t="s">
        <v>261</v>
      </c>
      <c r="CU2450" s="8">
        <f>1</f>
        <v>1</v>
      </c>
      <c r="CV2450" s="8">
        <f>0</f>
        <v>0</v>
      </c>
      <c r="CX2450" s="8">
        <f>0</f>
        <v>0</v>
      </c>
      <c r="CY2450" s="8">
        <f>1</f>
        <v>1</v>
      </c>
      <c r="DA2450" s="5" t="s">
        <v>274</v>
      </c>
      <c r="DB2450" s="5" t="s">
        <v>238</v>
      </c>
      <c r="DD2450" s="5" t="s">
        <v>274</v>
      </c>
      <c r="DE2450" s="8">
        <f>1687</f>
        <v>1687</v>
      </c>
      <c r="DG2450" s="5" t="s">
        <v>238</v>
      </c>
      <c r="DH2450" s="5" t="s">
        <v>238</v>
      </c>
      <c r="DI2450" s="5" t="s">
        <v>238</v>
      </c>
      <c r="DJ2450" s="5" t="s">
        <v>238</v>
      </c>
      <c r="DN2450" s="5" t="s">
        <v>238</v>
      </c>
      <c r="DO2450" s="5" t="s">
        <v>238</v>
      </c>
      <c r="DP2450" s="5" t="s">
        <v>238</v>
      </c>
      <c r="DQ2450" s="5" t="s">
        <v>238</v>
      </c>
      <c r="DT2450" s="5" t="s">
        <v>275</v>
      </c>
      <c r="DU2450" s="5" t="s">
        <v>1696</v>
      </c>
      <c r="HM2450" s="5" t="s">
        <v>264</v>
      </c>
    </row>
    <row r="2451" spans="1:221" x14ac:dyDescent="0.4">
      <c r="A2451" s="5">
        <v>4155</v>
      </c>
      <c r="B2451" s="5">
        <v>1</v>
      </c>
      <c r="C2451" s="5">
        <v>1</v>
      </c>
      <c r="D2451" s="5" t="s">
        <v>269</v>
      </c>
      <c r="E2451" s="5" t="s">
        <v>271</v>
      </c>
      <c r="F2451" s="5" t="s">
        <v>248</v>
      </c>
      <c r="G2451" s="5" t="s">
        <v>266</v>
      </c>
      <c r="H2451" s="6" t="s">
        <v>4307</v>
      </c>
      <c r="I2451" s="7">
        <f>140</f>
        <v>140</v>
      </c>
      <c r="J2451" s="5" t="s">
        <v>262</v>
      </c>
      <c r="K2451" s="8">
        <f>1</f>
        <v>1</v>
      </c>
      <c r="L2451" s="6" t="s">
        <v>242</v>
      </c>
      <c r="M2451" s="5" t="s">
        <v>267</v>
      </c>
      <c r="N2451" s="5" t="s">
        <v>265</v>
      </c>
      <c r="O2451" s="5" t="s">
        <v>238</v>
      </c>
      <c r="P2451" s="5" t="s">
        <v>238</v>
      </c>
      <c r="Q2451" s="5" t="s">
        <v>268</v>
      </c>
      <c r="R2451" s="5" t="s">
        <v>270</v>
      </c>
      <c r="S2451" s="5" t="s">
        <v>238</v>
      </c>
      <c r="V2451" s="5" t="s">
        <v>238</v>
      </c>
      <c r="X2451" s="6" t="s">
        <v>238</v>
      </c>
      <c r="AA2451" s="6" t="s">
        <v>243</v>
      </c>
      <c r="AB2451" s="5" t="s">
        <v>238</v>
      </c>
      <c r="AC2451" s="5" t="s">
        <v>244</v>
      </c>
      <c r="AD2451" s="5" t="s">
        <v>245</v>
      </c>
      <c r="AT2451" s="5" t="s">
        <v>246</v>
      </c>
      <c r="AU2451" s="5" t="s">
        <v>238</v>
      </c>
      <c r="AV2451" s="5" t="s">
        <v>247</v>
      </c>
      <c r="AW2451" s="5" t="s">
        <v>238</v>
      </c>
      <c r="AX2451" s="5" t="s">
        <v>249</v>
      </c>
      <c r="AY2451" s="5" t="s">
        <v>238</v>
      </c>
      <c r="BA2451" s="5" t="s">
        <v>238</v>
      </c>
      <c r="BC2451" s="5" t="s">
        <v>250</v>
      </c>
      <c r="BD2451" s="6" t="s">
        <v>243</v>
      </c>
      <c r="BE2451" s="5" t="s">
        <v>251</v>
      </c>
      <c r="BF2451" s="5" t="s">
        <v>252</v>
      </c>
      <c r="BG2451" s="5" t="s">
        <v>238</v>
      </c>
      <c r="BH2451" s="7">
        <f>0</f>
        <v>0</v>
      </c>
      <c r="BI2451" s="8">
        <f>0</f>
        <v>0</v>
      </c>
      <c r="BJ2451" s="5" t="s">
        <v>253</v>
      </c>
      <c r="BK2451" s="5" t="s">
        <v>254</v>
      </c>
      <c r="BY2451" s="5" t="s">
        <v>238</v>
      </c>
      <c r="BZ2451" s="5" t="s">
        <v>238</v>
      </c>
      <c r="CD2451" s="5" t="s">
        <v>273</v>
      </c>
      <c r="CE2451" s="5" t="s">
        <v>256</v>
      </c>
      <c r="CF2451" s="5" t="s">
        <v>238</v>
      </c>
      <c r="CI2451" s="6" t="s">
        <v>257</v>
      </c>
      <c r="CJ2451" s="5" t="s">
        <v>238</v>
      </c>
      <c r="CK2451" s="5" t="s">
        <v>258</v>
      </c>
      <c r="CL2451" s="5" t="s">
        <v>238</v>
      </c>
      <c r="CM2451" s="5" t="s">
        <v>238</v>
      </c>
      <c r="CN2451" s="5">
        <v>0</v>
      </c>
      <c r="CO2451" s="5" t="s">
        <v>259</v>
      </c>
      <c r="CP2451" s="5" t="s">
        <v>260</v>
      </c>
      <c r="CQ2451" s="5" t="s">
        <v>260</v>
      </c>
      <c r="CR2451" s="5" t="s">
        <v>261</v>
      </c>
      <c r="CU2451" s="8">
        <f>1</f>
        <v>1</v>
      </c>
      <c r="CV2451" s="8">
        <f>0</f>
        <v>0</v>
      </c>
      <c r="CX2451" s="8">
        <f>0</f>
        <v>0</v>
      </c>
      <c r="CY2451" s="8">
        <f>1</f>
        <v>1</v>
      </c>
      <c r="DA2451" s="5" t="s">
        <v>274</v>
      </c>
      <c r="DB2451" s="5" t="s">
        <v>238</v>
      </c>
      <c r="DD2451" s="5" t="s">
        <v>274</v>
      </c>
      <c r="DE2451" s="8">
        <f>140</f>
        <v>140</v>
      </c>
      <c r="DG2451" s="5" t="s">
        <v>238</v>
      </c>
      <c r="DH2451" s="5" t="s">
        <v>238</v>
      </c>
      <c r="DI2451" s="5" t="s">
        <v>238</v>
      </c>
      <c r="DJ2451" s="5" t="s">
        <v>238</v>
      </c>
      <c r="DN2451" s="5" t="s">
        <v>238</v>
      </c>
      <c r="DO2451" s="5" t="s">
        <v>238</v>
      </c>
      <c r="DP2451" s="5" t="s">
        <v>238</v>
      </c>
      <c r="DQ2451" s="5" t="s">
        <v>238</v>
      </c>
      <c r="DT2451" s="5" t="s">
        <v>275</v>
      </c>
      <c r="DU2451" s="5" t="s">
        <v>2770</v>
      </c>
      <c r="HM2451" s="5" t="s">
        <v>264</v>
      </c>
    </row>
    <row r="2452" spans="1:221" x14ac:dyDescent="0.4">
      <c r="A2452" s="5">
        <v>4156</v>
      </c>
      <c r="B2452" s="5">
        <v>1</v>
      </c>
      <c r="C2452" s="5">
        <v>1</v>
      </c>
      <c r="D2452" s="5" t="s">
        <v>269</v>
      </c>
      <c r="E2452" s="5" t="s">
        <v>271</v>
      </c>
      <c r="F2452" s="5" t="s">
        <v>248</v>
      </c>
      <c r="G2452" s="5" t="s">
        <v>266</v>
      </c>
      <c r="H2452" s="6" t="s">
        <v>4252</v>
      </c>
      <c r="I2452" s="7">
        <f>1728</f>
        <v>1728</v>
      </c>
      <c r="J2452" s="5" t="s">
        <v>262</v>
      </c>
      <c r="K2452" s="8">
        <f>1</f>
        <v>1</v>
      </c>
      <c r="L2452" s="6" t="s">
        <v>242</v>
      </c>
      <c r="M2452" s="5" t="s">
        <v>267</v>
      </c>
      <c r="N2452" s="5" t="s">
        <v>265</v>
      </c>
      <c r="O2452" s="5" t="s">
        <v>238</v>
      </c>
      <c r="P2452" s="5" t="s">
        <v>238</v>
      </c>
      <c r="Q2452" s="5" t="s">
        <v>268</v>
      </c>
      <c r="R2452" s="5" t="s">
        <v>270</v>
      </c>
      <c r="S2452" s="5" t="s">
        <v>238</v>
      </c>
      <c r="V2452" s="5" t="s">
        <v>238</v>
      </c>
      <c r="X2452" s="6" t="s">
        <v>238</v>
      </c>
      <c r="AA2452" s="6" t="s">
        <v>243</v>
      </c>
      <c r="AB2452" s="5" t="s">
        <v>238</v>
      </c>
      <c r="AC2452" s="5" t="s">
        <v>244</v>
      </c>
      <c r="AD2452" s="5" t="s">
        <v>245</v>
      </c>
      <c r="AT2452" s="5" t="s">
        <v>246</v>
      </c>
      <c r="AU2452" s="5" t="s">
        <v>238</v>
      </c>
      <c r="AV2452" s="5" t="s">
        <v>247</v>
      </c>
      <c r="AW2452" s="5" t="s">
        <v>238</v>
      </c>
      <c r="AX2452" s="5" t="s">
        <v>249</v>
      </c>
      <c r="AY2452" s="5" t="s">
        <v>238</v>
      </c>
      <c r="BA2452" s="5" t="s">
        <v>238</v>
      </c>
      <c r="BC2452" s="5" t="s">
        <v>250</v>
      </c>
      <c r="BD2452" s="6" t="s">
        <v>243</v>
      </c>
      <c r="BE2452" s="5" t="s">
        <v>251</v>
      </c>
      <c r="BF2452" s="5" t="s">
        <v>252</v>
      </c>
      <c r="BG2452" s="5" t="s">
        <v>238</v>
      </c>
      <c r="BH2452" s="7">
        <f>0</f>
        <v>0</v>
      </c>
      <c r="BI2452" s="8">
        <f>0</f>
        <v>0</v>
      </c>
      <c r="BJ2452" s="5" t="s">
        <v>253</v>
      </c>
      <c r="BK2452" s="5" t="s">
        <v>254</v>
      </c>
      <c r="BY2452" s="5" t="s">
        <v>238</v>
      </c>
      <c r="BZ2452" s="5" t="s">
        <v>238</v>
      </c>
      <c r="CD2452" s="5" t="s">
        <v>273</v>
      </c>
      <c r="CE2452" s="5" t="s">
        <v>256</v>
      </c>
      <c r="CF2452" s="5" t="s">
        <v>238</v>
      </c>
      <c r="CI2452" s="6" t="s">
        <v>257</v>
      </c>
      <c r="CJ2452" s="5" t="s">
        <v>238</v>
      </c>
      <c r="CK2452" s="5" t="s">
        <v>258</v>
      </c>
      <c r="CL2452" s="5" t="s">
        <v>238</v>
      </c>
      <c r="CM2452" s="5" t="s">
        <v>238</v>
      </c>
      <c r="CN2452" s="5">
        <v>0</v>
      </c>
      <c r="CO2452" s="5" t="s">
        <v>259</v>
      </c>
      <c r="CP2452" s="5" t="s">
        <v>260</v>
      </c>
      <c r="CQ2452" s="5" t="s">
        <v>260</v>
      </c>
      <c r="CR2452" s="5" t="s">
        <v>261</v>
      </c>
      <c r="CU2452" s="8">
        <f>1</f>
        <v>1</v>
      </c>
      <c r="CV2452" s="8">
        <f>0</f>
        <v>0</v>
      </c>
      <c r="CX2452" s="8">
        <f>0</f>
        <v>0</v>
      </c>
      <c r="CY2452" s="8">
        <f>1</f>
        <v>1</v>
      </c>
      <c r="DA2452" s="5" t="s">
        <v>274</v>
      </c>
      <c r="DB2452" s="5" t="s">
        <v>238</v>
      </c>
      <c r="DD2452" s="5" t="s">
        <v>274</v>
      </c>
      <c r="DE2452" s="8">
        <f>1728</f>
        <v>1728</v>
      </c>
      <c r="DG2452" s="5" t="s">
        <v>238</v>
      </c>
      <c r="DH2452" s="5" t="s">
        <v>238</v>
      </c>
      <c r="DI2452" s="5" t="s">
        <v>238</v>
      </c>
      <c r="DJ2452" s="5" t="s">
        <v>238</v>
      </c>
      <c r="DN2452" s="5" t="s">
        <v>238</v>
      </c>
      <c r="DO2452" s="5" t="s">
        <v>238</v>
      </c>
      <c r="DP2452" s="5" t="s">
        <v>238</v>
      </c>
      <c r="DQ2452" s="5" t="s">
        <v>238</v>
      </c>
      <c r="DT2452" s="5" t="s">
        <v>275</v>
      </c>
      <c r="DU2452" s="5" t="s">
        <v>2768</v>
      </c>
      <c r="HM2452" s="5" t="s">
        <v>264</v>
      </c>
    </row>
    <row r="2453" spans="1:221" x14ac:dyDescent="0.4">
      <c r="A2453" s="5">
        <v>4157</v>
      </c>
      <c r="B2453" s="5">
        <v>1</v>
      </c>
      <c r="C2453" s="5">
        <v>1</v>
      </c>
      <c r="D2453" s="5" t="s">
        <v>269</v>
      </c>
      <c r="E2453" s="5" t="s">
        <v>271</v>
      </c>
      <c r="F2453" s="5" t="s">
        <v>248</v>
      </c>
      <c r="G2453" s="5" t="s">
        <v>266</v>
      </c>
      <c r="H2453" s="6" t="s">
        <v>1668</v>
      </c>
      <c r="I2453" s="7">
        <f>1667</f>
        <v>1667</v>
      </c>
      <c r="J2453" s="5" t="s">
        <v>262</v>
      </c>
      <c r="K2453" s="8">
        <f>1</f>
        <v>1</v>
      </c>
      <c r="L2453" s="6" t="s">
        <v>242</v>
      </c>
      <c r="M2453" s="5" t="s">
        <v>267</v>
      </c>
      <c r="N2453" s="5" t="s">
        <v>265</v>
      </c>
      <c r="O2453" s="5" t="s">
        <v>238</v>
      </c>
      <c r="P2453" s="5" t="s">
        <v>238</v>
      </c>
      <c r="Q2453" s="5" t="s">
        <v>268</v>
      </c>
      <c r="R2453" s="5" t="s">
        <v>270</v>
      </c>
      <c r="S2453" s="5" t="s">
        <v>238</v>
      </c>
      <c r="V2453" s="5" t="s">
        <v>238</v>
      </c>
      <c r="X2453" s="6" t="s">
        <v>238</v>
      </c>
      <c r="AA2453" s="6" t="s">
        <v>243</v>
      </c>
      <c r="AB2453" s="5" t="s">
        <v>238</v>
      </c>
      <c r="AC2453" s="5" t="s">
        <v>244</v>
      </c>
      <c r="AD2453" s="5" t="s">
        <v>245</v>
      </c>
      <c r="AT2453" s="5" t="s">
        <v>246</v>
      </c>
      <c r="AU2453" s="5" t="s">
        <v>238</v>
      </c>
      <c r="AV2453" s="5" t="s">
        <v>247</v>
      </c>
      <c r="AW2453" s="5" t="s">
        <v>238</v>
      </c>
      <c r="AX2453" s="5" t="s">
        <v>249</v>
      </c>
      <c r="AY2453" s="5" t="s">
        <v>238</v>
      </c>
      <c r="BA2453" s="5" t="s">
        <v>238</v>
      </c>
      <c r="BC2453" s="5" t="s">
        <v>250</v>
      </c>
      <c r="BD2453" s="6" t="s">
        <v>243</v>
      </c>
      <c r="BE2453" s="5" t="s">
        <v>251</v>
      </c>
      <c r="BF2453" s="5" t="s">
        <v>252</v>
      </c>
      <c r="BG2453" s="5" t="s">
        <v>238</v>
      </c>
      <c r="BH2453" s="7">
        <f>0</f>
        <v>0</v>
      </c>
      <c r="BI2453" s="8">
        <f>0</f>
        <v>0</v>
      </c>
      <c r="BJ2453" s="5" t="s">
        <v>253</v>
      </c>
      <c r="BK2453" s="5" t="s">
        <v>254</v>
      </c>
      <c r="BY2453" s="5" t="s">
        <v>238</v>
      </c>
      <c r="BZ2453" s="5" t="s">
        <v>238</v>
      </c>
      <c r="CD2453" s="5" t="s">
        <v>273</v>
      </c>
      <c r="CE2453" s="5" t="s">
        <v>256</v>
      </c>
      <c r="CF2453" s="5" t="s">
        <v>238</v>
      </c>
      <c r="CI2453" s="6" t="s">
        <v>257</v>
      </c>
      <c r="CJ2453" s="5" t="s">
        <v>238</v>
      </c>
      <c r="CK2453" s="5" t="s">
        <v>258</v>
      </c>
      <c r="CL2453" s="5" t="s">
        <v>238</v>
      </c>
      <c r="CM2453" s="5" t="s">
        <v>238</v>
      </c>
      <c r="CN2453" s="5">
        <v>0</v>
      </c>
      <c r="CO2453" s="5" t="s">
        <v>259</v>
      </c>
      <c r="CP2453" s="5" t="s">
        <v>260</v>
      </c>
      <c r="CQ2453" s="5" t="s">
        <v>260</v>
      </c>
      <c r="CR2453" s="5" t="s">
        <v>261</v>
      </c>
      <c r="CU2453" s="8">
        <f>1</f>
        <v>1</v>
      </c>
      <c r="CV2453" s="8">
        <f>0</f>
        <v>0</v>
      </c>
      <c r="CX2453" s="8">
        <f>0</f>
        <v>0</v>
      </c>
      <c r="CY2453" s="8">
        <f>1</f>
        <v>1</v>
      </c>
      <c r="DA2453" s="5" t="s">
        <v>274</v>
      </c>
      <c r="DB2453" s="5" t="s">
        <v>238</v>
      </c>
      <c r="DD2453" s="5" t="s">
        <v>274</v>
      </c>
      <c r="DE2453" s="8">
        <f>1667</f>
        <v>1667</v>
      </c>
      <c r="DG2453" s="5" t="s">
        <v>238</v>
      </c>
      <c r="DH2453" s="5" t="s">
        <v>238</v>
      </c>
      <c r="DI2453" s="5" t="s">
        <v>238</v>
      </c>
      <c r="DJ2453" s="5" t="s">
        <v>238</v>
      </c>
      <c r="DN2453" s="5" t="s">
        <v>238</v>
      </c>
      <c r="DO2453" s="5" t="s">
        <v>238</v>
      </c>
      <c r="DP2453" s="5" t="s">
        <v>238</v>
      </c>
      <c r="DQ2453" s="5" t="s">
        <v>238</v>
      </c>
      <c r="DT2453" s="5" t="s">
        <v>275</v>
      </c>
      <c r="DU2453" s="5" t="s">
        <v>1669</v>
      </c>
      <c r="HM2453" s="5" t="s">
        <v>264</v>
      </c>
    </row>
    <row r="2454" spans="1:221" x14ac:dyDescent="0.4">
      <c r="A2454" s="5">
        <v>4158</v>
      </c>
      <c r="B2454" s="5">
        <v>1</v>
      </c>
      <c r="C2454" s="5">
        <v>1</v>
      </c>
      <c r="D2454" s="5" t="s">
        <v>269</v>
      </c>
      <c r="E2454" s="5" t="s">
        <v>271</v>
      </c>
      <c r="F2454" s="5" t="s">
        <v>248</v>
      </c>
      <c r="G2454" s="5" t="s">
        <v>266</v>
      </c>
      <c r="H2454" s="6" t="s">
        <v>4172</v>
      </c>
      <c r="I2454" s="7">
        <f>1391</f>
        <v>1391</v>
      </c>
      <c r="J2454" s="5" t="s">
        <v>262</v>
      </c>
      <c r="K2454" s="8">
        <f>1</f>
        <v>1</v>
      </c>
      <c r="L2454" s="6" t="s">
        <v>242</v>
      </c>
      <c r="M2454" s="5" t="s">
        <v>267</v>
      </c>
      <c r="N2454" s="5" t="s">
        <v>265</v>
      </c>
      <c r="O2454" s="5" t="s">
        <v>238</v>
      </c>
      <c r="P2454" s="5" t="s">
        <v>238</v>
      </c>
      <c r="Q2454" s="5" t="s">
        <v>268</v>
      </c>
      <c r="R2454" s="5" t="s">
        <v>270</v>
      </c>
      <c r="S2454" s="5" t="s">
        <v>238</v>
      </c>
      <c r="V2454" s="5" t="s">
        <v>238</v>
      </c>
      <c r="X2454" s="6" t="s">
        <v>238</v>
      </c>
      <c r="AA2454" s="6" t="s">
        <v>243</v>
      </c>
      <c r="AB2454" s="5" t="s">
        <v>238</v>
      </c>
      <c r="AC2454" s="5" t="s">
        <v>244</v>
      </c>
      <c r="AD2454" s="5" t="s">
        <v>245</v>
      </c>
      <c r="AT2454" s="5" t="s">
        <v>246</v>
      </c>
      <c r="AU2454" s="5" t="s">
        <v>238</v>
      </c>
      <c r="AV2454" s="5" t="s">
        <v>247</v>
      </c>
      <c r="AW2454" s="5" t="s">
        <v>238</v>
      </c>
      <c r="AX2454" s="5" t="s">
        <v>249</v>
      </c>
      <c r="AY2454" s="5" t="s">
        <v>238</v>
      </c>
      <c r="BA2454" s="5" t="s">
        <v>238</v>
      </c>
      <c r="BC2454" s="5" t="s">
        <v>250</v>
      </c>
      <c r="BD2454" s="6" t="s">
        <v>243</v>
      </c>
      <c r="BE2454" s="5" t="s">
        <v>251</v>
      </c>
      <c r="BF2454" s="5" t="s">
        <v>252</v>
      </c>
      <c r="BG2454" s="5" t="s">
        <v>238</v>
      </c>
      <c r="BH2454" s="7">
        <f>0</f>
        <v>0</v>
      </c>
      <c r="BI2454" s="8">
        <f>0</f>
        <v>0</v>
      </c>
      <c r="BJ2454" s="5" t="s">
        <v>253</v>
      </c>
      <c r="BK2454" s="5" t="s">
        <v>254</v>
      </c>
      <c r="BY2454" s="5" t="s">
        <v>238</v>
      </c>
      <c r="BZ2454" s="5" t="s">
        <v>238</v>
      </c>
      <c r="CD2454" s="5" t="s">
        <v>273</v>
      </c>
      <c r="CE2454" s="5" t="s">
        <v>256</v>
      </c>
      <c r="CF2454" s="5" t="s">
        <v>238</v>
      </c>
      <c r="CI2454" s="6" t="s">
        <v>257</v>
      </c>
      <c r="CJ2454" s="5" t="s">
        <v>238</v>
      </c>
      <c r="CK2454" s="5" t="s">
        <v>258</v>
      </c>
      <c r="CL2454" s="5" t="s">
        <v>238</v>
      </c>
      <c r="CM2454" s="5" t="s">
        <v>238</v>
      </c>
      <c r="CN2454" s="5">
        <v>0</v>
      </c>
      <c r="CO2454" s="5" t="s">
        <v>259</v>
      </c>
      <c r="CP2454" s="5" t="s">
        <v>260</v>
      </c>
      <c r="CQ2454" s="5" t="s">
        <v>260</v>
      </c>
      <c r="CR2454" s="5" t="s">
        <v>261</v>
      </c>
      <c r="CU2454" s="8">
        <f>1</f>
        <v>1</v>
      </c>
      <c r="CV2454" s="8">
        <f>0</f>
        <v>0</v>
      </c>
      <c r="CX2454" s="8">
        <f>0</f>
        <v>0</v>
      </c>
      <c r="CY2454" s="8">
        <f>1</f>
        <v>1</v>
      </c>
      <c r="DA2454" s="5" t="s">
        <v>274</v>
      </c>
      <c r="DB2454" s="5" t="s">
        <v>238</v>
      </c>
      <c r="DD2454" s="5" t="s">
        <v>274</v>
      </c>
      <c r="DE2454" s="8">
        <f>1391</f>
        <v>1391</v>
      </c>
      <c r="DG2454" s="5" t="s">
        <v>238</v>
      </c>
      <c r="DH2454" s="5" t="s">
        <v>238</v>
      </c>
      <c r="DI2454" s="5" t="s">
        <v>238</v>
      </c>
      <c r="DJ2454" s="5" t="s">
        <v>238</v>
      </c>
      <c r="DN2454" s="5" t="s">
        <v>238</v>
      </c>
      <c r="DO2454" s="5" t="s">
        <v>238</v>
      </c>
      <c r="DP2454" s="5" t="s">
        <v>238</v>
      </c>
      <c r="DQ2454" s="5" t="s">
        <v>238</v>
      </c>
      <c r="DT2454" s="5" t="s">
        <v>275</v>
      </c>
      <c r="DU2454" s="5" t="s">
        <v>2765</v>
      </c>
      <c r="HM2454" s="5" t="s">
        <v>264</v>
      </c>
    </row>
    <row r="2455" spans="1:221" x14ac:dyDescent="0.4">
      <c r="A2455" s="5">
        <v>4159</v>
      </c>
      <c r="B2455" s="5">
        <v>1</v>
      </c>
      <c r="C2455" s="5">
        <v>1</v>
      </c>
      <c r="D2455" s="5" t="s">
        <v>269</v>
      </c>
      <c r="E2455" s="5" t="s">
        <v>271</v>
      </c>
      <c r="F2455" s="5" t="s">
        <v>248</v>
      </c>
      <c r="G2455" s="5" t="s">
        <v>266</v>
      </c>
      <c r="H2455" s="6" t="s">
        <v>1651</v>
      </c>
      <c r="I2455" s="7">
        <f>1050</f>
        <v>1050</v>
      </c>
      <c r="J2455" s="5" t="s">
        <v>262</v>
      </c>
      <c r="K2455" s="8">
        <f>1</f>
        <v>1</v>
      </c>
      <c r="L2455" s="6" t="s">
        <v>242</v>
      </c>
      <c r="M2455" s="5" t="s">
        <v>267</v>
      </c>
      <c r="N2455" s="5" t="s">
        <v>265</v>
      </c>
      <c r="O2455" s="5" t="s">
        <v>238</v>
      </c>
      <c r="P2455" s="5" t="s">
        <v>238</v>
      </c>
      <c r="Q2455" s="5" t="s">
        <v>268</v>
      </c>
      <c r="R2455" s="5" t="s">
        <v>270</v>
      </c>
      <c r="S2455" s="5" t="s">
        <v>238</v>
      </c>
      <c r="V2455" s="5" t="s">
        <v>238</v>
      </c>
      <c r="X2455" s="6" t="s">
        <v>238</v>
      </c>
      <c r="AA2455" s="6" t="s">
        <v>243</v>
      </c>
      <c r="AB2455" s="5" t="s">
        <v>238</v>
      </c>
      <c r="AC2455" s="5" t="s">
        <v>244</v>
      </c>
      <c r="AD2455" s="5" t="s">
        <v>245</v>
      </c>
      <c r="AT2455" s="5" t="s">
        <v>246</v>
      </c>
      <c r="AU2455" s="5" t="s">
        <v>238</v>
      </c>
      <c r="AV2455" s="5" t="s">
        <v>247</v>
      </c>
      <c r="AW2455" s="5" t="s">
        <v>238</v>
      </c>
      <c r="AX2455" s="5" t="s">
        <v>249</v>
      </c>
      <c r="AY2455" s="5" t="s">
        <v>238</v>
      </c>
      <c r="BA2455" s="5" t="s">
        <v>238</v>
      </c>
      <c r="BC2455" s="5" t="s">
        <v>250</v>
      </c>
      <c r="BD2455" s="6" t="s">
        <v>243</v>
      </c>
      <c r="BE2455" s="5" t="s">
        <v>251</v>
      </c>
      <c r="BF2455" s="5" t="s">
        <v>252</v>
      </c>
      <c r="BG2455" s="5" t="s">
        <v>238</v>
      </c>
      <c r="BH2455" s="7">
        <f>0</f>
        <v>0</v>
      </c>
      <c r="BI2455" s="8">
        <f>0</f>
        <v>0</v>
      </c>
      <c r="BJ2455" s="5" t="s">
        <v>253</v>
      </c>
      <c r="BK2455" s="5" t="s">
        <v>254</v>
      </c>
      <c r="BY2455" s="5" t="s">
        <v>238</v>
      </c>
      <c r="BZ2455" s="5" t="s">
        <v>238</v>
      </c>
      <c r="CD2455" s="5" t="s">
        <v>273</v>
      </c>
      <c r="CE2455" s="5" t="s">
        <v>256</v>
      </c>
      <c r="CF2455" s="5" t="s">
        <v>238</v>
      </c>
      <c r="CI2455" s="6" t="s">
        <v>257</v>
      </c>
      <c r="CJ2455" s="5" t="s">
        <v>238</v>
      </c>
      <c r="CK2455" s="5" t="s">
        <v>258</v>
      </c>
      <c r="CL2455" s="5" t="s">
        <v>238</v>
      </c>
      <c r="CM2455" s="5" t="s">
        <v>238</v>
      </c>
      <c r="CN2455" s="5">
        <v>0</v>
      </c>
      <c r="CO2455" s="5" t="s">
        <v>259</v>
      </c>
      <c r="CP2455" s="5" t="s">
        <v>260</v>
      </c>
      <c r="CQ2455" s="5" t="s">
        <v>260</v>
      </c>
      <c r="CR2455" s="5" t="s">
        <v>261</v>
      </c>
      <c r="CU2455" s="8">
        <f>1</f>
        <v>1</v>
      </c>
      <c r="CV2455" s="8">
        <f>0</f>
        <v>0</v>
      </c>
      <c r="CX2455" s="8">
        <f>0</f>
        <v>0</v>
      </c>
      <c r="CY2455" s="8">
        <f>1</f>
        <v>1</v>
      </c>
      <c r="DA2455" s="5" t="s">
        <v>274</v>
      </c>
      <c r="DB2455" s="5" t="s">
        <v>238</v>
      </c>
      <c r="DD2455" s="5" t="s">
        <v>274</v>
      </c>
      <c r="DE2455" s="8">
        <f>1050</f>
        <v>1050</v>
      </c>
      <c r="DG2455" s="5" t="s">
        <v>238</v>
      </c>
      <c r="DH2455" s="5" t="s">
        <v>238</v>
      </c>
      <c r="DI2455" s="5" t="s">
        <v>238</v>
      </c>
      <c r="DJ2455" s="5" t="s">
        <v>238</v>
      </c>
      <c r="DN2455" s="5" t="s">
        <v>238</v>
      </c>
      <c r="DO2455" s="5" t="s">
        <v>238</v>
      </c>
      <c r="DP2455" s="5" t="s">
        <v>238</v>
      </c>
      <c r="DQ2455" s="5" t="s">
        <v>238</v>
      </c>
      <c r="DT2455" s="5" t="s">
        <v>275</v>
      </c>
      <c r="DU2455" s="5" t="s">
        <v>1652</v>
      </c>
      <c r="HM2455" s="5" t="s">
        <v>264</v>
      </c>
    </row>
    <row r="2456" spans="1:221" x14ac:dyDescent="0.4">
      <c r="A2456" s="5">
        <v>4160</v>
      </c>
      <c r="B2456" s="5">
        <v>1</v>
      </c>
      <c r="C2456" s="5">
        <v>1</v>
      </c>
      <c r="D2456" s="5" t="s">
        <v>269</v>
      </c>
      <c r="E2456" s="5" t="s">
        <v>271</v>
      </c>
      <c r="F2456" s="5" t="s">
        <v>248</v>
      </c>
      <c r="G2456" s="5" t="s">
        <v>266</v>
      </c>
      <c r="H2456" s="6" t="s">
        <v>1643</v>
      </c>
      <c r="I2456" s="7">
        <f>1348</f>
        <v>1348</v>
      </c>
      <c r="J2456" s="5" t="s">
        <v>262</v>
      </c>
      <c r="K2456" s="8">
        <f>1</f>
        <v>1</v>
      </c>
      <c r="L2456" s="6" t="s">
        <v>242</v>
      </c>
      <c r="M2456" s="5" t="s">
        <v>267</v>
      </c>
      <c r="N2456" s="5" t="s">
        <v>265</v>
      </c>
      <c r="O2456" s="5" t="s">
        <v>238</v>
      </c>
      <c r="P2456" s="5" t="s">
        <v>238</v>
      </c>
      <c r="Q2456" s="5" t="s">
        <v>268</v>
      </c>
      <c r="R2456" s="5" t="s">
        <v>270</v>
      </c>
      <c r="S2456" s="5" t="s">
        <v>238</v>
      </c>
      <c r="V2456" s="5" t="s">
        <v>238</v>
      </c>
      <c r="X2456" s="6" t="s">
        <v>238</v>
      </c>
      <c r="AA2456" s="6" t="s">
        <v>243</v>
      </c>
      <c r="AB2456" s="5" t="s">
        <v>238</v>
      </c>
      <c r="AC2456" s="5" t="s">
        <v>244</v>
      </c>
      <c r="AD2456" s="5" t="s">
        <v>245</v>
      </c>
      <c r="AT2456" s="5" t="s">
        <v>246</v>
      </c>
      <c r="AU2456" s="5" t="s">
        <v>238</v>
      </c>
      <c r="AV2456" s="5" t="s">
        <v>247</v>
      </c>
      <c r="AW2456" s="5" t="s">
        <v>238</v>
      </c>
      <c r="AX2456" s="5" t="s">
        <v>249</v>
      </c>
      <c r="AY2456" s="5" t="s">
        <v>238</v>
      </c>
      <c r="BA2456" s="5" t="s">
        <v>238</v>
      </c>
      <c r="BC2456" s="5" t="s">
        <v>250</v>
      </c>
      <c r="BD2456" s="6" t="s">
        <v>243</v>
      </c>
      <c r="BE2456" s="5" t="s">
        <v>251</v>
      </c>
      <c r="BF2456" s="5" t="s">
        <v>252</v>
      </c>
      <c r="BG2456" s="5" t="s">
        <v>238</v>
      </c>
      <c r="BH2456" s="7">
        <f>0</f>
        <v>0</v>
      </c>
      <c r="BI2456" s="8">
        <f>0</f>
        <v>0</v>
      </c>
      <c r="BJ2456" s="5" t="s">
        <v>253</v>
      </c>
      <c r="BK2456" s="5" t="s">
        <v>254</v>
      </c>
      <c r="BY2456" s="5" t="s">
        <v>238</v>
      </c>
      <c r="BZ2456" s="5" t="s">
        <v>238</v>
      </c>
      <c r="CD2456" s="5" t="s">
        <v>273</v>
      </c>
      <c r="CE2456" s="5" t="s">
        <v>256</v>
      </c>
      <c r="CF2456" s="5" t="s">
        <v>238</v>
      </c>
      <c r="CI2456" s="6" t="s">
        <v>257</v>
      </c>
      <c r="CJ2456" s="5" t="s">
        <v>238</v>
      </c>
      <c r="CK2456" s="5" t="s">
        <v>258</v>
      </c>
      <c r="CL2456" s="5" t="s">
        <v>238</v>
      </c>
      <c r="CM2456" s="5" t="s">
        <v>238</v>
      </c>
      <c r="CN2456" s="5">
        <v>0</v>
      </c>
      <c r="CO2456" s="5" t="s">
        <v>259</v>
      </c>
      <c r="CP2456" s="5" t="s">
        <v>260</v>
      </c>
      <c r="CQ2456" s="5" t="s">
        <v>260</v>
      </c>
      <c r="CR2456" s="5" t="s">
        <v>261</v>
      </c>
      <c r="CU2456" s="8">
        <f>1</f>
        <v>1</v>
      </c>
      <c r="CV2456" s="8">
        <f>0</f>
        <v>0</v>
      </c>
      <c r="CX2456" s="8">
        <f>0</f>
        <v>0</v>
      </c>
      <c r="CY2456" s="8">
        <f>1</f>
        <v>1</v>
      </c>
      <c r="DA2456" s="5" t="s">
        <v>274</v>
      </c>
      <c r="DB2456" s="5" t="s">
        <v>238</v>
      </c>
      <c r="DD2456" s="5" t="s">
        <v>274</v>
      </c>
      <c r="DE2456" s="8">
        <f>1348</f>
        <v>1348</v>
      </c>
      <c r="DG2456" s="5" t="s">
        <v>238</v>
      </c>
      <c r="DH2456" s="5" t="s">
        <v>238</v>
      </c>
      <c r="DI2456" s="5" t="s">
        <v>238</v>
      </c>
      <c r="DJ2456" s="5" t="s">
        <v>238</v>
      </c>
      <c r="DN2456" s="5" t="s">
        <v>238</v>
      </c>
      <c r="DO2456" s="5" t="s">
        <v>238</v>
      </c>
      <c r="DP2456" s="5" t="s">
        <v>238</v>
      </c>
      <c r="DQ2456" s="5" t="s">
        <v>238</v>
      </c>
      <c r="DT2456" s="5" t="s">
        <v>275</v>
      </c>
      <c r="DU2456" s="5" t="s">
        <v>1644</v>
      </c>
      <c r="HM2456" s="5" t="s">
        <v>264</v>
      </c>
    </row>
    <row r="2457" spans="1:221" x14ac:dyDescent="0.4">
      <c r="A2457" s="5">
        <v>4161</v>
      </c>
      <c r="B2457" s="5">
        <v>1</v>
      </c>
      <c r="C2457" s="5">
        <v>1</v>
      </c>
      <c r="D2457" s="5" t="s">
        <v>269</v>
      </c>
      <c r="E2457" s="5" t="s">
        <v>271</v>
      </c>
      <c r="F2457" s="5" t="s">
        <v>248</v>
      </c>
      <c r="G2457" s="5" t="s">
        <v>266</v>
      </c>
      <c r="H2457" s="6" t="s">
        <v>4182</v>
      </c>
      <c r="I2457" s="7">
        <f>173</f>
        <v>173</v>
      </c>
      <c r="J2457" s="5" t="s">
        <v>262</v>
      </c>
      <c r="K2457" s="8">
        <f>1</f>
        <v>1</v>
      </c>
      <c r="L2457" s="6" t="s">
        <v>242</v>
      </c>
      <c r="M2457" s="5" t="s">
        <v>267</v>
      </c>
      <c r="N2457" s="5" t="s">
        <v>265</v>
      </c>
      <c r="O2457" s="5" t="s">
        <v>238</v>
      </c>
      <c r="P2457" s="5" t="s">
        <v>238</v>
      </c>
      <c r="Q2457" s="5" t="s">
        <v>268</v>
      </c>
      <c r="R2457" s="5" t="s">
        <v>270</v>
      </c>
      <c r="S2457" s="5" t="s">
        <v>238</v>
      </c>
      <c r="V2457" s="5" t="s">
        <v>238</v>
      </c>
      <c r="X2457" s="6" t="s">
        <v>238</v>
      </c>
      <c r="AA2457" s="6" t="s">
        <v>243</v>
      </c>
      <c r="AB2457" s="5" t="s">
        <v>238</v>
      </c>
      <c r="AC2457" s="5" t="s">
        <v>244</v>
      </c>
      <c r="AD2457" s="5" t="s">
        <v>245</v>
      </c>
      <c r="AT2457" s="5" t="s">
        <v>246</v>
      </c>
      <c r="AU2457" s="5" t="s">
        <v>238</v>
      </c>
      <c r="AV2457" s="5" t="s">
        <v>247</v>
      </c>
      <c r="AW2457" s="5" t="s">
        <v>238</v>
      </c>
      <c r="AX2457" s="5" t="s">
        <v>249</v>
      </c>
      <c r="AY2457" s="5" t="s">
        <v>238</v>
      </c>
      <c r="BA2457" s="5" t="s">
        <v>238</v>
      </c>
      <c r="BC2457" s="5" t="s">
        <v>250</v>
      </c>
      <c r="BD2457" s="6" t="s">
        <v>243</v>
      </c>
      <c r="BE2457" s="5" t="s">
        <v>251</v>
      </c>
      <c r="BF2457" s="5" t="s">
        <v>252</v>
      </c>
      <c r="BG2457" s="5" t="s">
        <v>238</v>
      </c>
      <c r="BH2457" s="7">
        <f>0</f>
        <v>0</v>
      </c>
      <c r="BI2457" s="8">
        <f>0</f>
        <v>0</v>
      </c>
      <c r="BJ2457" s="5" t="s">
        <v>253</v>
      </c>
      <c r="BK2457" s="5" t="s">
        <v>254</v>
      </c>
      <c r="BY2457" s="5" t="s">
        <v>238</v>
      </c>
      <c r="BZ2457" s="5" t="s">
        <v>238</v>
      </c>
      <c r="CD2457" s="5" t="s">
        <v>273</v>
      </c>
      <c r="CE2457" s="5" t="s">
        <v>256</v>
      </c>
      <c r="CF2457" s="5" t="s">
        <v>238</v>
      </c>
      <c r="CI2457" s="6" t="s">
        <v>257</v>
      </c>
      <c r="CJ2457" s="5" t="s">
        <v>238</v>
      </c>
      <c r="CK2457" s="5" t="s">
        <v>258</v>
      </c>
      <c r="CL2457" s="5" t="s">
        <v>238</v>
      </c>
      <c r="CM2457" s="5" t="s">
        <v>238</v>
      </c>
      <c r="CN2457" s="5">
        <v>0</v>
      </c>
      <c r="CO2457" s="5" t="s">
        <v>259</v>
      </c>
      <c r="CP2457" s="5" t="s">
        <v>260</v>
      </c>
      <c r="CQ2457" s="5" t="s">
        <v>260</v>
      </c>
      <c r="CR2457" s="5" t="s">
        <v>261</v>
      </c>
      <c r="CU2457" s="8">
        <f>1</f>
        <v>1</v>
      </c>
      <c r="CV2457" s="8">
        <f>0</f>
        <v>0</v>
      </c>
      <c r="CX2457" s="8">
        <f>0</f>
        <v>0</v>
      </c>
      <c r="CY2457" s="8">
        <f>1</f>
        <v>1</v>
      </c>
      <c r="DA2457" s="5" t="s">
        <v>274</v>
      </c>
      <c r="DB2457" s="5" t="s">
        <v>238</v>
      </c>
      <c r="DD2457" s="5" t="s">
        <v>274</v>
      </c>
      <c r="DE2457" s="8">
        <f>173</f>
        <v>173</v>
      </c>
      <c r="DG2457" s="5" t="s">
        <v>238</v>
      </c>
      <c r="DH2457" s="5" t="s">
        <v>238</v>
      </c>
      <c r="DI2457" s="5" t="s">
        <v>238</v>
      </c>
      <c r="DJ2457" s="5" t="s">
        <v>238</v>
      </c>
      <c r="DN2457" s="5" t="s">
        <v>238</v>
      </c>
      <c r="DO2457" s="5" t="s">
        <v>238</v>
      </c>
      <c r="DP2457" s="5" t="s">
        <v>238</v>
      </c>
      <c r="DQ2457" s="5" t="s">
        <v>238</v>
      </c>
      <c r="DT2457" s="5" t="s">
        <v>275</v>
      </c>
      <c r="DU2457" s="5" t="s">
        <v>2761</v>
      </c>
      <c r="HM2457" s="5" t="s">
        <v>264</v>
      </c>
    </row>
    <row r="2458" spans="1:221" x14ac:dyDescent="0.4">
      <c r="A2458" s="5">
        <v>4162</v>
      </c>
      <c r="B2458" s="5">
        <v>1</v>
      </c>
      <c r="C2458" s="5">
        <v>1</v>
      </c>
      <c r="D2458" s="5" t="s">
        <v>269</v>
      </c>
      <c r="E2458" s="5" t="s">
        <v>271</v>
      </c>
      <c r="F2458" s="5" t="s">
        <v>248</v>
      </c>
      <c r="G2458" s="5" t="s">
        <v>266</v>
      </c>
      <c r="H2458" s="6" t="s">
        <v>1617</v>
      </c>
      <c r="I2458" s="7">
        <f>1266</f>
        <v>1266</v>
      </c>
      <c r="J2458" s="5" t="s">
        <v>262</v>
      </c>
      <c r="K2458" s="8">
        <f>1</f>
        <v>1</v>
      </c>
      <c r="L2458" s="6" t="s">
        <v>242</v>
      </c>
      <c r="M2458" s="5" t="s">
        <v>267</v>
      </c>
      <c r="N2458" s="5" t="s">
        <v>265</v>
      </c>
      <c r="O2458" s="5" t="s">
        <v>238</v>
      </c>
      <c r="P2458" s="5" t="s">
        <v>238</v>
      </c>
      <c r="Q2458" s="5" t="s">
        <v>268</v>
      </c>
      <c r="R2458" s="5" t="s">
        <v>270</v>
      </c>
      <c r="S2458" s="5" t="s">
        <v>238</v>
      </c>
      <c r="V2458" s="5" t="s">
        <v>238</v>
      </c>
      <c r="X2458" s="6" t="s">
        <v>238</v>
      </c>
      <c r="AA2458" s="6" t="s">
        <v>243</v>
      </c>
      <c r="AB2458" s="5" t="s">
        <v>238</v>
      </c>
      <c r="AC2458" s="5" t="s">
        <v>244</v>
      </c>
      <c r="AD2458" s="5" t="s">
        <v>245</v>
      </c>
      <c r="AT2458" s="5" t="s">
        <v>246</v>
      </c>
      <c r="AU2458" s="5" t="s">
        <v>238</v>
      </c>
      <c r="AV2458" s="5" t="s">
        <v>247</v>
      </c>
      <c r="AW2458" s="5" t="s">
        <v>238</v>
      </c>
      <c r="AX2458" s="5" t="s">
        <v>249</v>
      </c>
      <c r="AY2458" s="5" t="s">
        <v>238</v>
      </c>
      <c r="BA2458" s="5" t="s">
        <v>238</v>
      </c>
      <c r="BC2458" s="5" t="s">
        <v>250</v>
      </c>
      <c r="BD2458" s="6" t="s">
        <v>243</v>
      </c>
      <c r="BE2458" s="5" t="s">
        <v>251</v>
      </c>
      <c r="BF2458" s="5" t="s">
        <v>252</v>
      </c>
      <c r="BG2458" s="5" t="s">
        <v>238</v>
      </c>
      <c r="BH2458" s="7">
        <f>0</f>
        <v>0</v>
      </c>
      <c r="BI2458" s="8">
        <f>0</f>
        <v>0</v>
      </c>
      <c r="BJ2458" s="5" t="s">
        <v>253</v>
      </c>
      <c r="BK2458" s="5" t="s">
        <v>254</v>
      </c>
      <c r="BY2458" s="5" t="s">
        <v>238</v>
      </c>
      <c r="BZ2458" s="5" t="s">
        <v>238</v>
      </c>
      <c r="CD2458" s="5" t="s">
        <v>273</v>
      </c>
      <c r="CE2458" s="5" t="s">
        <v>256</v>
      </c>
      <c r="CF2458" s="5" t="s">
        <v>238</v>
      </c>
      <c r="CI2458" s="6" t="s">
        <v>257</v>
      </c>
      <c r="CJ2458" s="5" t="s">
        <v>238</v>
      </c>
      <c r="CK2458" s="5" t="s">
        <v>258</v>
      </c>
      <c r="CL2458" s="5" t="s">
        <v>238</v>
      </c>
      <c r="CM2458" s="5" t="s">
        <v>238</v>
      </c>
      <c r="CN2458" s="5">
        <v>0</v>
      </c>
      <c r="CO2458" s="5" t="s">
        <v>259</v>
      </c>
      <c r="CP2458" s="5" t="s">
        <v>260</v>
      </c>
      <c r="CQ2458" s="5" t="s">
        <v>260</v>
      </c>
      <c r="CR2458" s="5" t="s">
        <v>261</v>
      </c>
      <c r="CU2458" s="8">
        <f>1</f>
        <v>1</v>
      </c>
      <c r="CV2458" s="8">
        <f>0</f>
        <v>0</v>
      </c>
      <c r="CX2458" s="8">
        <f>0</f>
        <v>0</v>
      </c>
      <c r="CY2458" s="8">
        <f>1</f>
        <v>1</v>
      </c>
      <c r="DA2458" s="5" t="s">
        <v>274</v>
      </c>
      <c r="DB2458" s="5" t="s">
        <v>238</v>
      </c>
      <c r="DD2458" s="5" t="s">
        <v>274</v>
      </c>
      <c r="DE2458" s="8">
        <f>1266</f>
        <v>1266</v>
      </c>
      <c r="DG2458" s="5" t="s">
        <v>238</v>
      </c>
      <c r="DH2458" s="5" t="s">
        <v>238</v>
      </c>
      <c r="DI2458" s="5" t="s">
        <v>238</v>
      </c>
      <c r="DJ2458" s="5" t="s">
        <v>238</v>
      </c>
      <c r="DN2458" s="5" t="s">
        <v>238</v>
      </c>
      <c r="DO2458" s="5" t="s">
        <v>238</v>
      </c>
      <c r="DP2458" s="5" t="s">
        <v>238</v>
      </c>
      <c r="DQ2458" s="5" t="s">
        <v>238</v>
      </c>
      <c r="DT2458" s="5" t="s">
        <v>275</v>
      </c>
      <c r="DU2458" s="5" t="s">
        <v>1618</v>
      </c>
      <c r="HM2458" s="5" t="s">
        <v>264</v>
      </c>
    </row>
    <row r="2459" spans="1:221" x14ac:dyDescent="0.4">
      <c r="A2459" s="5">
        <v>4163</v>
      </c>
      <c r="B2459" s="5">
        <v>1</v>
      </c>
      <c r="C2459" s="5">
        <v>1</v>
      </c>
      <c r="D2459" s="5" t="s">
        <v>269</v>
      </c>
      <c r="E2459" s="5" t="s">
        <v>271</v>
      </c>
      <c r="F2459" s="5" t="s">
        <v>248</v>
      </c>
      <c r="G2459" s="5" t="s">
        <v>266</v>
      </c>
      <c r="H2459" s="6" t="s">
        <v>4161</v>
      </c>
      <c r="I2459" s="7">
        <f>10510</f>
        <v>10510</v>
      </c>
      <c r="J2459" s="5" t="s">
        <v>262</v>
      </c>
      <c r="K2459" s="8">
        <f>1</f>
        <v>1</v>
      </c>
      <c r="L2459" s="6" t="s">
        <v>242</v>
      </c>
      <c r="M2459" s="5" t="s">
        <v>267</v>
      </c>
      <c r="N2459" s="5" t="s">
        <v>265</v>
      </c>
      <c r="O2459" s="5" t="s">
        <v>238</v>
      </c>
      <c r="P2459" s="5" t="s">
        <v>238</v>
      </c>
      <c r="Q2459" s="5" t="s">
        <v>268</v>
      </c>
      <c r="R2459" s="5" t="s">
        <v>270</v>
      </c>
      <c r="S2459" s="5" t="s">
        <v>238</v>
      </c>
      <c r="V2459" s="5" t="s">
        <v>238</v>
      </c>
      <c r="X2459" s="6" t="s">
        <v>238</v>
      </c>
      <c r="AA2459" s="6" t="s">
        <v>243</v>
      </c>
      <c r="AB2459" s="5" t="s">
        <v>238</v>
      </c>
      <c r="AC2459" s="5" t="s">
        <v>244</v>
      </c>
      <c r="AD2459" s="5" t="s">
        <v>245</v>
      </c>
      <c r="AT2459" s="5" t="s">
        <v>246</v>
      </c>
      <c r="AU2459" s="5" t="s">
        <v>238</v>
      </c>
      <c r="AV2459" s="5" t="s">
        <v>247</v>
      </c>
      <c r="AW2459" s="5" t="s">
        <v>238</v>
      </c>
      <c r="AX2459" s="5" t="s">
        <v>249</v>
      </c>
      <c r="AY2459" s="5" t="s">
        <v>238</v>
      </c>
      <c r="BA2459" s="5" t="s">
        <v>238</v>
      </c>
      <c r="BC2459" s="5" t="s">
        <v>250</v>
      </c>
      <c r="BD2459" s="6" t="s">
        <v>243</v>
      </c>
      <c r="BE2459" s="5" t="s">
        <v>251</v>
      </c>
      <c r="BF2459" s="5" t="s">
        <v>252</v>
      </c>
      <c r="BG2459" s="5" t="s">
        <v>238</v>
      </c>
      <c r="BH2459" s="7">
        <f>0</f>
        <v>0</v>
      </c>
      <c r="BI2459" s="8">
        <f>0</f>
        <v>0</v>
      </c>
      <c r="BJ2459" s="5" t="s">
        <v>253</v>
      </c>
      <c r="BK2459" s="5" t="s">
        <v>254</v>
      </c>
      <c r="BY2459" s="5" t="s">
        <v>238</v>
      </c>
      <c r="BZ2459" s="5" t="s">
        <v>238</v>
      </c>
      <c r="CD2459" s="5" t="s">
        <v>273</v>
      </c>
      <c r="CE2459" s="5" t="s">
        <v>256</v>
      </c>
      <c r="CF2459" s="5" t="s">
        <v>238</v>
      </c>
      <c r="CI2459" s="6" t="s">
        <v>257</v>
      </c>
      <c r="CJ2459" s="5" t="s">
        <v>238</v>
      </c>
      <c r="CK2459" s="5" t="s">
        <v>258</v>
      </c>
      <c r="CL2459" s="5" t="s">
        <v>238</v>
      </c>
      <c r="CM2459" s="5" t="s">
        <v>238</v>
      </c>
      <c r="CN2459" s="5">
        <v>0</v>
      </c>
      <c r="CO2459" s="5" t="s">
        <v>259</v>
      </c>
      <c r="CP2459" s="5" t="s">
        <v>260</v>
      </c>
      <c r="CQ2459" s="5" t="s">
        <v>260</v>
      </c>
      <c r="CR2459" s="5" t="s">
        <v>261</v>
      </c>
      <c r="CU2459" s="8">
        <f>1</f>
        <v>1</v>
      </c>
      <c r="CV2459" s="8">
        <f>0</f>
        <v>0</v>
      </c>
      <c r="CX2459" s="8">
        <f>0</f>
        <v>0</v>
      </c>
      <c r="CY2459" s="8">
        <f>1</f>
        <v>1</v>
      </c>
      <c r="DA2459" s="5" t="s">
        <v>274</v>
      </c>
      <c r="DB2459" s="5" t="s">
        <v>238</v>
      </c>
      <c r="DD2459" s="5" t="s">
        <v>274</v>
      </c>
      <c r="DE2459" s="8">
        <f>10510</f>
        <v>10510</v>
      </c>
      <c r="DG2459" s="5" t="s">
        <v>238</v>
      </c>
      <c r="DH2459" s="5" t="s">
        <v>238</v>
      </c>
      <c r="DI2459" s="5" t="s">
        <v>238</v>
      </c>
      <c r="DJ2459" s="5" t="s">
        <v>238</v>
      </c>
      <c r="DN2459" s="5" t="s">
        <v>238</v>
      </c>
      <c r="DO2459" s="5" t="s">
        <v>238</v>
      </c>
      <c r="DP2459" s="5" t="s">
        <v>238</v>
      </c>
      <c r="DQ2459" s="5" t="s">
        <v>238</v>
      </c>
      <c r="DT2459" s="5" t="s">
        <v>275</v>
      </c>
      <c r="DU2459" s="5" t="s">
        <v>2757</v>
      </c>
      <c r="HM2459" s="5" t="s">
        <v>264</v>
      </c>
    </row>
    <row r="2460" spans="1:221" x14ac:dyDescent="0.4">
      <c r="A2460" s="5">
        <v>4164</v>
      </c>
      <c r="B2460" s="5">
        <v>1</v>
      </c>
      <c r="C2460" s="5">
        <v>1</v>
      </c>
      <c r="D2460" s="5" t="s">
        <v>269</v>
      </c>
      <c r="E2460" s="5" t="s">
        <v>271</v>
      </c>
      <c r="F2460" s="5" t="s">
        <v>248</v>
      </c>
      <c r="G2460" s="5" t="s">
        <v>266</v>
      </c>
      <c r="H2460" s="6" t="s">
        <v>4079</v>
      </c>
      <c r="I2460" s="7">
        <f>351</f>
        <v>351</v>
      </c>
      <c r="J2460" s="5" t="s">
        <v>262</v>
      </c>
      <c r="K2460" s="8">
        <f>1</f>
        <v>1</v>
      </c>
      <c r="L2460" s="6" t="s">
        <v>242</v>
      </c>
      <c r="M2460" s="5" t="s">
        <v>267</v>
      </c>
      <c r="N2460" s="5" t="s">
        <v>265</v>
      </c>
      <c r="O2460" s="5" t="s">
        <v>238</v>
      </c>
      <c r="P2460" s="5" t="s">
        <v>238</v>
      </c>
      <c r="Q2460" s="5" t="s">
        <v>268</v>
      </c>
      <c r="R2460" s="5" t="s">
        <v>270</v>
      </c>
      <c r="S2460" s="5" t="s">
        <v>238</v>
      </c>
      <c r="V2460" s="5" t="s">
        <v>238</v>
      </c>
      <c r="X2460" s="6" t="s">
        <v>238</v>
      </c>
      <c r="AA2460" s="6" t="s">
        <v>243</v>
      </c>
      <c r="AB2460" s="5" t="s">
        <v>238</v>
      </c>
      <c r="AC2460" s="5" t="s">
        <v>244</v>
      </c>
      <c r="AD2460" s="5" t="s">
        <v>245</v>
      </c>
      <c r="AT2460" s="5" t="s">
        <v>246</v>
      </c>
      <c r="AU2460" s="5" t="s">
        <v>238</v>
      </c>
      <c r="AV2460" s="5" t="s">
        <v>247</v>
      </c>
      <c r="AW2460" s="5" t="s">
        <v>238</v>
      </c>
      <c r="AX2460" s="5" t="s">
        <v>249</v>
      </c>
      <c r="AY2460" s="5" t="s">
        <v>238</v>
      </c>
      <c r="BA2460" s="5" t="s">
        <v>238</v>
      </c>
      <c r="BC2460" s="5" t="s">
        <v>250</v>
      </c>
      <c r="BD2460" s="6" t="s">
        <v>243</v>
      </c>
      <c r="BE2460" s="5" t="s">
        <v>251</v>
      </c>
      <c r="BF2460" s="5" t="s">
        <v>252</v>
      </c>
      <c r="BG2460" s="5" t="s">
        <v>238</v>
      </c>
      <c r="BH2460" s="7">
        <f>0</f>
        <v>0</v>
      </c>
      <c r="BI2460" s="8">
        <f>0</f>
        <v>0</v>
      </c>
      <c r="BJ2460" s="5" t="s">
        <v>253</v>
      </c>
      <c r="BK2460" s="5" t="s">
        <v>254</v>
      </c>
      <c r="BY2460" s="5" t="s">
        <v>238</v>
      </c>
      <c r="BZ2460" s="5" t="s">
        <v>238</v>
      </c>
      <c r="CD2460" s="5" t="s">
        <v>273</v>
      </c>
      <c r="CE2460" s="5" t="s">
        <v>256</v>
      </c>
      <c r="CF2460" s="5" t="s">
        <v>238</v>
      </c>
      <c r="CI2460" s="6" t="s">
        <v>257</v>
      </c>
      <c r="CJ2460" s="5" t="s">
        <v>238</v>
      </c>
      <c r="CK2460" s="5" t="s">
        <v>258</v>
      </c>
      <c r="CL2460" s="5" t="s">
        <v>238</v>
      </c>
      <c r="CM2460" s="5" t="s">
        <v>238</v>
      </c>
      <c r="CN2460" s="5">
        <v>0</v>
      </c>
      <c r="CO2460" s="5" t="s">
        <v>259</v>
      </c>
      <c r="CP2460" s="5" t="s">
        <v>260</v>
      </c>
      <c r="CQ2460" s="5" t="s">
        <v>260</v>
      </c>
      <c r="CR2460" s="5" t="s">
        <v>261</v>
      </c>
      <c r="CU2460" s="8">
        <f>1</f>
        <v>1</v>
      </c>
      <c r="CV2460" s="8">
        <f>0</f>
        <v>0</v>
      </c>
      <c r="CX2460" s="8">
        <f>0</f>
        <v>0</v>
      </c>
      <c r="CY2460" s="8">
        <f>1</f>
        <v>1</v>
      </c>
      <c r="DA2460" s="5" t="s">
        <v>274</v>
      </c>
      <c r="DB2460" s="5" t="s">
        <v>238</v>
      </c>
      <c r="DD2460" s="5" t="s">
        <v>274</v>
      </c>
      <c r="DE2460" s="8">
        <f>351</f>
        <v>351</v>
      </c>
      <c r="DG2460" s="5" t="s">
        <v>238</v>
      </c>
      <c r="DH2460" s="5" t="s">
        <v>238</v>
      </c>
      <c r="DI2460" s="5" t="s">
        <v>238</v>
      </c>
      <c r="DJ2460" s="5" t="s">
        <v>238</v>
      </c>
      <c r="DN2460" s="5" t="s">
        <v>238</v>
      </c>
      <c r="DO2460" s="5" t="s">
        <v>238</v>
      </c>
      <c r="DP2460" s="5" t="s">
        <v>238</v>
      </c>
      <c r="DQ2460" s="5" t="s">
        <v>238</v>
      </c>
      <c r="DT2460" s="5" t="s">
        <v>275</v>
      </c>
      <c r="DU2460" s="5" t="s">
        <v>2754</v>
      </c>
      <c r="HM2460" s="5" t="s">
        <v>264</v>
      </c>
    </row>
    <row r="2461" spans="1:221" x14ac:dyDescent="0.4">
      <c r="A2461" s="5">
        <v>4165</v>
      </c>
      <c r="B2461" s="5">
        <v>1</v>
      </c>
      <c r="C2461" s="5">
        <v>1</v>
      </c>
      <c r="D2461" s="5" t="s">
        <v>269</v>
      </c>
      <c r="E2461" s="5" t="s">
        <v>271</v>
      </c>
      <c r="F2461" s="5" t="s">
        <v>248</v>
      </c>
      <c r="G2461" s="5" t="s">
        <v>266</v>
      </c>
      <c r="H2461" s="6" t="s">
        <v>4076</v>
      </c>
      <c r="I2461" s="7">
        <f>97</f>
        <v>97</v>
      </c>
      <c r="J2461" s="5" t="s">
        <v>262</v>
      </c>
      <c r="K2461" s="8">
        <f>1</f>
        <v>1</v>
      </c>
      <c r="L2461" s="6" t="s">
        <v>242</v>
      </c>
      <c r="M2461" s="5" t="s">
        <v>267</v>
      </c>
      <c r="N2461" s="5" t="s">
        <v>265</v>
      </c>
      <c r="O2461" s="5" t="s">
        <v>238</v>
      </c>
      <c r="P2461" s="5" t="s">
        <v>238</v>
      </c>
      <c r="Q2461" s="5" t="s">
        <v>268</v>
      </c>
      <c r="R2461" s="5" t="s">
        <v>270</v>
      </c>
      <c r="S2461" s="5" t="s">
        <v>238</v>
      </c>
      <c r="V2461" s="5" t="s">
        <v>238</v>
      </c>
      <c r="X2461" s="6" t="s">
        <v>238</v>
      </c>
      <c r="AA2461" s="6" t="s">
        <v>243</v>
      </c>
      <c r="AB2461" s="5" t="s">
        <v>238</v>
      </c>
      <c r="AC2461" s="5" t="s">
        <v>244</v>
      </c>
      <c r="AD2461" s="5" t="s">
        <v>245</v>
      </c>
      <c r="AT2461" s="5" t="s">
        <v>246</v>
      </c>
      <c r="AU2461" s="5" t="s">
        <v>238</v>
      </c>
      <c r="AV2461" s="5" t="s">
        <v>247</v>
      </c>
      <c r="AW2461" s="5" t="s">
        <v>238</v>
      </c>
      <c r="AX2461" s="5" t="s">
        <v>249</v>
      </c>
      <c r="AY2461" s="5" t="s">
        <v>238</v>
      </c>
      <c r="BA2461" s="5" t="s">
        <v>238</v>
      </c>
      <c r="BC2461" s="5" t="s">
        <v>250</v>
      </c>
      <c r="BD2461" s="6" t="s">
        <v>243</v>
      </c>
      <c r="BE2461" s="5" t="s">
        <v>251</v>
      </c>
      <c r="BF2461" s="5" t="s">
        <v>252</v>
      </c>
      <c r="BG2461" s="5" t="s">
        <v>238</v>
      </c>
      <c r="BH2461" s="7">
        <f>0</f>
        <v>0</v>
      </c>
      <c r="BI2461" s="8">
        <f>0</f>
        <v>0</v>
      </c>
      <c r="BJ2461" s="5" t="s">
        <v>253</v>
      </c>
      <c r="BK2461" s="5" t="s">
        <v>254</v>
      </c>
      <c r="BY2461" s="5" t="s">
        <v>238</v>
      </c>
      <c r="BZ2461" s="5" t="s">
        <v>238</v>
      </c>
      <c r="CD2461" s="5" t="s">
        <v>273</v>
      </c>
      <c r="CE2461" s="5" t="s">
        <v>256</v>
      </c>
      <c r="CF2461" s="5" t="s">
        <v>238</v>
      </c>
      <c r="CI2461" s="6" t="s">
        <v>257</v>
      </c>
      <c r="CJ2461" s="5" t="s">
        <v>238</v>
      </c>
      <c r="CK2461" s="5" t="s">
        <v>258</v>
      </c>
      <c r="CL2461" s="5" t="s">
        <v>238</v>
      </c>
      <c r="CM2461" s="5" t="s">
        <v>238</v>
      </c>
      <c r="CN2461" s="5">
        <v>0</v>
      </c>
      <c r="CO2461" s="5" t="s">
        <v>259</v>
      </c>
      <c r="CP2461" s="5" t="s">
        <v>260</v>
      </c>
      <c r="CQ2461" s="5" t="s">
        <v>260</v>
      </c>
      <c r="CR2461" s="5" t="s">
        <v>261</v>
      </c>
      <c r="CU2461" s="8">
        <f>1</f>
        <v>1</v>
      </c>
      <c r="CV2461" s="8">
        <f>0</f>
        <v>0</v>
      </c>
      <c r="CX2461" s="8">
        <f>0</f>
        <v>0</v>
      </c>
      <c r="CY2461" s="8">
        <f>1</f>
        <v>1</v>
      </c>
      <c r="DA2461" s="5" t="s">
        <v>274</v>
      </c>
      <c r="DB2461" s="5" t="s">
        <v>238</v>
      </c>
      <c r="DD2461" s="5" t="s">
        <v>274</v>
      </c>
      <c r="DE2461" s="8">
        <f>97</f>
        <v>97</v>
      </c>
      <c r="DG2461" s="5" t="s">
        <v>238</v>
      </c>
      <c r="DH2461" s="5" t="s">
        <v>238</v>
      </c>
      <c r="DI2461" s="5" t="s">
        <v>238</v>
      </c>
      <c r="DJ2461" s="5" t="s">
        <v>238</v>
      </c>
      <c r="DN2461" s="5" t="s">
        <v>238</v>
      </c>
      <c r="DO2461" s="5" t="s">
        <v>238</v>
      </c>
      <c r="DP2461" s="5" t="s">
        <v>238</v>
      </c>
      <c r="DQ2461" s="5" t="s">
        <v>238</v>
      </c>
      <c r="DT2461" s="5" t="s">
        <v>275</v>
      </c>
      <c r="DU2461" s="5" t="s">
        <v>2752</v>
      </c>
      <c r="HM2461" s="5" t="s">
        <v>264</v>
      </c>
    </row>
    <row r="2462" spans="1:221" x14ac:dyDescent="0.4">
      <c r="A2462" s="5">
        <v>4166</v>
      </c>
      <c r="B2462" s="5">
        <v>1</v>
      </c>
      <c r="C2462" s="5">
        <v>1</v>
      </c>
      <c r="D2462" s="5" t="s">
        <v>269</v>
      </c>
      <c r="E2462" s="5" t="s">
        <v>271</v>
      </c>
      <c r="F2462" s="5" t="s">
        <v>248</v>
      </c>
      <c r="G2462" s="5" t="s">
        <v>266</v>
      </c>
      <c r="H2462" s="6" t="s">
        <v>4074</v>
      </c>
      <c r="I2462" s="7">
        <f>1580</f>
        <v>1580</v>
      </c>
      <c r="J2462" s="5" t="s">
        <v>262</v>
      </c>
      <c r="K2462" s="8">
        <f>1</f>
        <v>1</v>
      </c>
      <c r="L2462" s="6" t="s">
        <v>242</v>
      </c>
      <c r="M2462" s="5" t="s">
        <v>267</v>
      </c>
      <c r="N2462" s="5" t="s">
        <v>265</v>
      </c>
      <c r="O2462" s="5" t="s">
        <v>238</v>
      </c>
      <c r="P2462" s="5" t="s">
        <v>238</v>
      </c>
      <c r="Q2462" s="5" t="s">
        <v>268</v>
      </c>
      <c r="R2462" s="5" t="s">
        <v>270</v>
      </c>
      <c r="S2462" s="5" t="s">
        <v>238</v>
      </c>
      <c r="V2462" s="5" t="s">
        <v>238</v>
      </c>
      <c r="X2462" s="6" t="s">
        <v>238</v>
      </c>
      <c r="AA2462" s="6" t="s">
        <v>243</v>
      </c>
      <c r="AB2462" s="5" t="s">
        <v>238</v>
      </c>
      <c r="AC2462" s="5" t="s">
        <v>244</v>
      </c>
      <c r="AD2462" s="5" t="s">
        <v>245</v>
      </c>
      <c r="AT2462" s="5" t="s">
        <v>246</v>
      </c>
      <c r="AU2462" s="5" t="s">
        <v>238</v>
      </c>
      <c r="AV2462" s="5" t="s">
        <v>247</v>
      </c>
      <c r="AW2462" s="5" t="s">
        <v>238</v>
      </c>
      <c r="AX2462" s="5" t="s">
        <v>249</v>
      </c>
      <c r="AY2462" s="5" t="s">
        <v>238</v>
      </c>
      <c r="BA2462" s="5" t="s">
        <v>238</v>
      </c>
      <c r="BC2462" s="5" t="s">
        <v>250</v>
      </c>
      <c r="BD2462" s="6" t="s">
        <v>243</v>
      </c>
      <c r="BE2462" s="5" t="s">
        <v>251</v>
      </c>
      <c r="BF2462" s="5" t="s">
        <v>252</v>
      </c>
      <c r="BG2462" s="5" t="s">
        <v>238</v>
      </c>
      <c r="BH2462" s="7">
        <f>0</f>
        <v>0</v>
      </c>
      <c r="BI2462" s="8">
        <f>0</f>
        <v>0</v>
      </c>
      <c r="BJ2462" s="5" t="s">
        <v>253</v>
      </c>
      <c r="BK2462" s="5" t="s">
        <v>254</v>
      </c>
      <c r="BY2462" s="5" t="s">
        <v>238</v>
      </c>
      <c r="BZ2462" s="5" t="s">
        <v>238</v>
      </c>
      <c r="CD2462" s="5" t="s">
        <v>273</v>
      </c>
      <c r="CE2462" s="5" t="s">
        <v>256</v>
      </c>
      <c r="CF2462" s="5" t="s">
        <v>238</v>
      </c>
      <c r="CI2462" s="6" t="s">
        <v>257</v>
      </c>
      <c r="CJ2462" s="5" t="s">
        <v>238</v>
      </c>
      <c r="CK2462" s="5" t="s">
        <v>258</v>
      </c>
      <c r="CL2462" s="5" t="s">
        <v>238</v>
      </c>
      <c r="CM2462" s="5" t="s">
        <v>238</v>
      </c>
      <c r="CN2462" s="5">
        <v>0</v>
      </c>
      <c r="CO2462" s="5" t="s">
        <v>259</v>
      </c>
      <c r="CP2462" s="5" t="s">
        <v>260</v>
      </c>
      <c r="CQ2462" s="5" t="s">
        <v>260</v>
      </c>
      <c r="CR2462" s="5" t="s">
        <v>261</v>
      </c>
      <c r="CU2462" s="8">
        <f>1</f>
        <v>1</v>
      </c>
      <c r="CV2462" s="8">
        <f>0</f>
        <v>0</v>
      </c>
      <c r="CX2462" s="8">
        <f>0</f>
        <v>0</v>
      </c>
      <c r="CY2462" s="8">
        <f>1</f>
        <v>1</v>
      </c>
      <c r="DA2462" s="5" t="s">
        <v>274</v>
      </c>
      <c r="DB2462" s="5" t="s">
        <v>238</v>
      </c>
      <c r="DD2462" s="5" t="s">
        <v>274</v>
      </c>
      <c r="DE2462" s="8">
        <f>1580</f>
        <v>1580</v>
      </c>
      <c r="DG2462" s="5" t="s">
        <v>238</v>
      </c>
      <c r="DH2462" s="5" t="s">
        <v>238</v>
      </c>
      <c r="DI2462" s="5" t="s">
        <v>238</v>
      </c>
      <c r="DJ2462" s="5" t="s">
        <v>238</v>
      </c>
      <c r="DN2462" s="5" t="s">
        <v>238</v>
      </c>
      <c r="DO2462" s="5" t="s">
        <v>238</v>
      </c>
      <c r="DP2462" s="5" t="s">
        <v>238</v>
      </c>
      <c r="DQ2462" s="5" t="s">
        <v>238</v>
      </c>
      <c r="DT2462" s="5" t="s">
        <v>275</v>
      </c>
      <c r="DU2462" s="5" t="s">
        <v>2750</v>
      </c>
      <c r="HM2462" s="5" t="s">
        <v>264</v>
      </c>
    </row>
    <row r="2463" spans="1:221" x14ac:dyDescent="0.4">
      <c r="A2463" s="5">
        <v>4167</v>
      </c>
      <c r="B2463" s="5">
        <v>1</v>
      </c>
      <c r="C2463" s="5">
        <v>1</v>
      </c>
      <c r="D2463" s="5" t="s">
        <v>269</v>
      </c>
      <c r="E2463" s="5" t="s">
        <v>271</v>
      </c>
      <c r="F2463" s="5" t="s">
        <v>248</v>
      </c>
      <c r="G2463" s="5" t="s">
        <v>266</v>
      </c>
      <c r="H2463" s="6" t="s">
        <v>4070</v>
      </c>
      <c r="I2463" s="7">
        <f>525</f>
        <v>525</v>
      </c>
      <c r="J2463" s="5" t="s">
        <v>262</v>
      </c>
      <c r="K2463" s="8">
        <f>1</f>
        <v>1</v>
      </c>
      <c r="L2463" s="6" t="s">
        <v>242</v>
      </c>
      <c r="M2463" s="5" t="s">
        <v>267</v>
      </c>
      <c r="N2463" s="5" t="s">
        <v>265</v>
      </c>
      <c r="O2463" s="5" t="s">
        <v>238</v>
      </c>
      <c r="P2463" s="5" t="s">
        <v>238</v>
      </c>
      <c r="Q2463" s="5" t="s">
        <v>268</v>
      </c>
      <c r="R2463" s="5" t="s">
        <v>270</v>
      </c>
      <c r="S2463" s="5" t="s">
        <v>238</v>
      </c>
      <c r="V2463" s="5" t="s">
        <v>238</v>
      </c>
      <c r="X2463" s="6" t="s">
        <v>238</v>
      </c>
      <c r="AA2463" s="6" t="s">
        <v>243</v>
      </c>
      <c r="AB2463" s="5" t="s">
        <v>238</v>
      </c>
      <c r="AC2463" s="5" t="s">
        <v>244</v>
      </c>
      <c r="AD2463" s="5" t="s">
        <v>245</v>
      </c>
      <c r="AT2463" s="5" t="s">
        <v>246</v>
      </c>
      <c r="AU2463" s="5" t="s">
        <v>238</v>
      </c>
      <c r="AV2463" s="5" t="s">
        <v>247</v>
      </c>
      <c r="AW2463" s="5" t="s">
        <v>238</v>
      </c>
      <c r="AX2463" s="5" t="s">
        <v>249</v>
      </c>
      <c r="AY2463" s="5" t="s">
        <v>238</v>
      </c>
      <c r="BA2463" s="5" t="s">
        <v>238</v>
      </c>
      <c r="BC2463" s="5" t="s">
        <v>250</v>
      </c>
      <c r="BD2463" s="6" t="s">
        <v>243</v>
      </c>
      <c r="BE2463" s="5" t="s">
        <v>251</v>
      </c>
      <c r="BF2463" s="5" t="s">
        <v>252</v>
      </c>
      <c r="BG2463" s="5" t="s">
        <v>238</v>
      </c>
      <c r="BH2463" s="7">
        <f>0</f>
        <v>0</v>
      </c>
      <c r="BI2463" s="8">
        <f>0</f>
        <v>0</v>
      </c>
      <c r="BJ2463" s="5" t="s">
        <v>253</v>
      </c>
      <c r="BK2463" s="5" t="s">
        <v>254</v>
      </c>
      <c r="BY2463" s="5" t="s">
        <v>238</v>
      </c>
      <c r="BZ2463" s="5" t="s">
        <v>238</v>
      </c>
      <c r="CD2463" s="5" t="s">
        <v>273</v>
      </c>
      <c r="CE2463" s="5" t="s">
        <v>256</v>
      </c>
      <c r="CF2463" s="5" t="s">
        <v>238</v>
      </c>
      <c r="CI2463" s="6" t="s">
        <v>257</v>
      </c>
      <c r="CJ2463" s="5" t="s">
        <v>238</v>
      </c>
      <c r="CK2463" s="5" t="s">
        <v>258</v>
      </c>
      <c r="CL2463" s="5" t="s">
        <v>238</v>
      </c>
      <c r="CM2463" s="5" t="s">
        <v>238</v>
      </c>
      <c r="CN2463" s="5">
        <v>0</v>
      </c>
      <c r="CO2463" s="5" t="s">
        <v>259</v>
      </c>
      <c r="CP2463" s="5" t="s">
        <v>260</v>
      </c>
      <c r="CQ2463" s="5" t="s">
        <v>260</v>
      </c>
      <c r="CR2463" s="5" t="s">
        <v>261</v>
      </c>
      <c r="CU2463" s="8">
        <f>1</f>
        <v>1</v>
      </c>
      <c r="CV2463" s="8">
        <f>0</f>
        <v>0</v>
      </c>
      <c r="CX2463" s="8">
        <f>0</f>
        <v>0</v>
      </c>
      <c r="CY2463" s="8">
        <f>1</f>
        <v>1</v>
      </c>
      <c r="DA2463" s="5" t="s">
        <v>274</v>
      </c>
      <c r="DB2463" s="5" t="s">
        <v>238</v>
      </c>
      <c r="DD2463" s="5" t="s">
        <v>274</v>
      </c>
      <c r="DE2463" s="8">
        <f>525</f>
        <v>525</v>
      </c>
      <c r="DG2463" s="5" t="s">
        <v>238</v>
      </c>
      <c r="DH2463" s="5" t="s">
        <v>238</v>
      </c>
      <c r="DI2463" s="5" t="s">
        <v>238</v>
      </c>
      <c r="DJ2463" s="5" t="s">
        <v>238</v>
      </c>
      <c r="DN2463" s="5" t="s">
        <v>238</v>
      </c>
      <c r="DO2463" s="5" t="s">
        <v>238</v>
      </c>
      <c r="DP2463" s="5" t="s">
        <v>238</v>
      </c>
      <c r="DQ2463" s="5" t="s">
        <v>238</v>
      </c>
      <c r="DT2463" s="5" t="s">
        <v>275</v>
      </c>
      <c r="DU2463" s="5" t="s">
        <v>2748</v>
      </c>
      <c r="HM2463" s="5" t="s">
        <v>264</v>
      </c>
    </row>
    <row r="2464" spans="1:221" x14ac:dyDescent="0.4">
      <c r="A2464" s="5">
        <v>4168</v>
      </c>
      <c r="B2464" s="5">
        <v>1</v>
      </c>
      <c r="C2464" s="5">
        <v>1</v>
      </c>
      <c r="D2464" s="5" t="s">
        <v>269</v>
      </c>
      <c r="E2464" s="5" t="s">
        <v>271</v>
      </c>
      <c r="F2464" s="5" t="s">
        <v>248</v>
      </c>
      <c r="G2464" s="5" t="s">
        <v>266</v>
      </c>
      <c r="H2464" s="6" t="s">
        <v>4068</v>
      </c>
      <c r="I2464" s="7">
        <f>1167</f>
        <v>1167</v>
      </c>
      <c r="J2464" s="5" t="s">
        <v>262</v>
      </c>
      <c r="K2464" s="8">
        <f>1</f>
        <v>1</v>
      </c>
      <c r="L2464" s="6" t="s">
        <v>242</v>
      </c>
      <c r="M2464" s="5" t="s">
        <v>267</v>
      </c>
      <c r="N2464" s="5" t="s">
        <v>265</v>
      </c>
      <c r="O2464" s="5" t="s">
        <v>238</v>
      </c>
      <c r="P2464" s="5" t="s">
        <v>238</v>
      </c>
      <c r="Q2464" s="5" t="s">
        <v>268</v>
      </c>
      <c r="R2464" s="5" t="s">
        <v>270</v>
      </c>
      <c r="S2464" s="5" t="s">
        <v>238</v>
      </c>
      <c r="V2464" s="5" t="s">
        <v>238</v>
      </c>
      <c r="X2464" s="6" t="s">
        <v>238</v>
      </c>
      <c r="AA2464" s="6" t="s">
        <v>243</v>
      </c>
      <c r="AB2464" s="5" t="s">
        <v>238</v>
      </c>
      <c r="AC2464" s="5" t="s">
        <v>244</v>
      </c>
      <c r="AD2464" s="5" t="s">
        <v>245</v>
      </c>
      <c r="AT2464" s="5" t="s">
        <v>246</v>
      </c>
      <c r="AU2464" s="5" t="s">
        <v>238</v>
      </c>
      <c r="AV2464" s="5" t="s">
        <v>247</v>
      </c>
      <c r="AW2464" s="5" t="s">
        <v>238</v>
      </c>
      <c r="AX2464" s="5" t="s">
        <v>249</v>
      </c>
      <c r="AY2464" s="5" t="s">
        <v>238</v>
      </c>
      <c r="BA2464" s="5" t="s">
        <v>238</v>
      </c>
      <c r="BC2464" s="5" t="s">
        <v>250</v>
      </c>
      <c r="BD2464" s="6" t="s">
        <v>243</v>
      </c>
      <c r="BE2464" s="5" t="s">
        <v>251</v>
      </c>
      <c r="BF2464" s="5" t="s">
        <v>252</v>
      </c>
      <c r="BG2464" s="5" t="s">
        <v>238</v>
      </c>
      <c r="BH2464" s="7">
        <f>0</f>
        <v>0</v>
      </c>
      <c r="BI2464" s="8">
        <f>0</f>
        <v>0</v>
      </c>
      <c r="BJ2464" s="5" t="s">
        <v>253</v>
      </c>
      <c r="BK2464" s="5" t="s">
        <v>254</v>
      </c>
      <c r="BY2464" s="5" t="s">
        <v>238</v>
      </c>
      <c r="BZ2464" s="5" t="s">
        <v>238</v>
      </c>
      <c r="CD2464" s="5" t="s">
        <v>273</v>
      </c>
      <c r="CE2464" s="5" t="s">
        <v>256</v>
      </c>
      <c r="CF2464" s="5" t="s">
        <v>238</v>
      </c>
      <c r="CI2464" s="6" t="s">
        <v>257</v>
      </c>
      <c r="CJ2464" s="5" t="s">
        <v>238</v>
      </c>
      <c r="CK2464" s="5" t="s">
        <v>258</v>
      </c>
      <c r="CL2464" s="5" t="s">
        <v>238</v>
      </c>
      <c r="CM2464" s="5" t="s">
        <v>238</v>
      </c>
      <c r="CN2464" s="5">
        <v>0</v>
      </c>
      <c r="CO2464" s="5" t="s">
        <v>259</v>
      </c>
      <c r="CP2464" s="5" t="s">
        <v>260</v>
      </c>
      <c r="CQ2464" s="5" t="s">
        <v>260</v>
      </c>
      <c r="CR2464" s="5" t="s">
        <v>261</v>
      </c>
      <c r="CU2464" s="8">
        <f>1</f>
        <v>1</v>
      </c>
      <c r="CV2464" s="8">
        <f>0</f>
        <v>0</v>
      </c>
      <c r="CX2464" s="8">
        <f>0</f>
        <v>0</v>
      </c>
      <c r="CY2464" s="8">
        <f>1</f>
        <v>1</v>
      </c>
      <c r="DA2464" s="5" t="s">
        <v>274</v>
      </c>
      <c r="DB2464" s="5" t="s">
        <v>238</v>
      </c>
      <c r="DD2464" s="5" t="s">
        <v>274</v>
      </c>
      <c r="DE2464" s="8">
        <f>1167</f>
        <v>1167</v>
      </c>
      <c r="DG2464" s="5" t="s">
        <v>238</v>
      </c>
      <c r="DH2464" s="5" t="s">
        <v>238</v>
      </c>
      <c r="DI2464" s="5" t="s">
        <v>238</v>
      </c>
      <c r="DJ2464" s="5" t="s">
        <v>238</v>
      </c>
      <c r="DN2464" s="5" t="s">
        <v>238</v>
      </c>
      <c r="DO2464" s="5" t="s">
        <v>238</v>
      </c>
      <c r="DP2464" s="5" t="s">
        <v>238</v>
      </c>
      <c r="DQ2464" s="5" t="s">
        <v>238</v>
      </c>
      <c r="DT2464" s="5" t="s">
        <v>275</v>
      </c>
      <c r="DU2464" s="5" t="s">
        <v>2746</v>
      </c>
      <c r="HM2464" s="5" t="s">
        <v>264</v>
      </c>
    </row>
    <row r="2465" spans="1:221" x14ac:dyDescent="0.4">
      <c r="A2465" s="5">
        <v>4169</v>
      </c>
      <c r="B2465" s="5">
        <v>1</v>
      </c>
      <c r="C2465" s="5">
        <v>1</v>
      </c>
      <c r="D2465" s="5" t="s">
        <v>269</v>
      </c>
      <c r="E2465" s="5" t="s">
        <v>271</v>
      </c>
      <c r="F2465" s="5" t="s">
        <v>248</v>
      </c>
      <c r="G2465" s="5" t="s">
        <v>266</v>
      </c>
      <c r="H2465" s="6" t="s">
        <v>4067</v>
      </c>
      <c r="I2465" s="7">
        <f>493</f>
        <v>493</v>
      </c>
      <c r="J2465" s="5" t="s">
        <v>262</v>
      </c>
      <c r="K2465" s="8">
        <f>1</f>
        <v>1</v>
      </c>
      <c r="L2465" s="6" t="s">
        <v>242</v>
      </c>
      <c r="M2465" s="5" t="s">
        <v>267</v>
      </c>
      <c r="N2465" s="5" t="s">
        <v>265</v>
      </c>
      <c r="O2465" s="5" t="s">
        <v>238</v>
      </c>
      <c r="P2465" s="5" t="s">
        <v>238</v>
      </c>
      <c r="Q2465" s="5" t="s">
        <v>268</v>
      </c>
      <c r="R2465" s="5" t="s">
        <v>270</v>
      </c>
      <c r="S2465" s="5" t="s">
        <v>238</v>
      </c>
      <c r="V2465" s="5" t="s">
        <v>238</v>
      </c>
      <c r="X2465" s="6" t="s">
        <v>238</v>
      </c>
      <c r="AA2465" s="6" t="s">
        <v>243</v>
      </c>
      <c r="AB2465" s="5" t="s">
        <v>238</v>
      </c>
      <c r="AC2465" s="5" t="s">
        <v>244</v>
      </c>
      <c r="AD2465" s="5" t="s">
        <v>245</v>
      </c>
      <c r="AT2465" s="5" t="s">
        <v>246</v>
      </c>
      <c r="AU2465" s="5" t="s">
        <v>238</v>
      </c>
      <c r="AV2465" s="5" t="s">
        <v>247</v>
      </c>
      <c r="AW2465" s="5" t="s">
        <v>238</v>
      </c>
      <c r="AX2465" s="5" t="s">
        <v>249</v>
      </c>
      <c r="AY2465" s="5" t="s">
        <v>238</v>
      </c>
      <c r="BA2465" s="5" t="s">
        <v>238</v>
      </c>
      <c r="BC2465" s="5" t="s">
        <v>250</v>
      </c>
      <c r="BD2465" s="6" t="s">
        <v>243</v>
      </c>
      <c r="BE2465" s="5" t="s">
        <v>251</v>
      </c>
      <c r="BF2465" s="5" t="s">
        <v>252</v>
      </c>
      <c r="BG2465" s="5" t="s">
        <v>238</v>
      </c>
      <c r="BH2465" s="7">
        <f>0</f>
        <v>0</v>
      </c>
      <c r="BI2465" s="8">
        <f>0</f>
        <v>0</v>
      </c>
      <c r="BJ2465" s="5" t="s">
        <v>253</v>
      </c>
      <c r="BK2465" s="5" t="s">
        <v>254</v>
      </c>
      <c r="BY2465" s="5" t="s">
        <v>238</v>
      </c>
      <c r="BZ2465" s="5" t="s">
        <v>238</v>
      </c>
      <c r="CD2465" s="5" t="s">
        <v>273</v>
      </c>
      <c r="CE2465" s="5" t="s">
        <v>256</v>
      </c>
      <c r="CF2465" s="5" t="s">
        <v>238</v>
      </c>
      <c r="CI2465" s="6" t="s">
        <v>257</v>
      </c>
      <c r="CJ2465" s="5" t="s">
        <v>238</v>
      </c>
      <c r="CK2465" s="5" t="s">
        <v>258</v>
      </c>
      <c r="CL2465" s="5" t="s">
        <v>238</v>
      </c>
      <c r="CM2465" s="5" t="s">
        <v>238</v>
      </c>
      <c r="CN2465" s="5">
        <v>0</v>
      </c>
      <c r="CO2465" s="5" t="s">
        <v>259</v>
      </c>
      <c r="CP2465" s="5" t="s">
        <v>260</v>
      </c>
      <c r="CQ2465" s="5" t="s">
        <v>260</v>
      </c>
      <c r="CR2465" s="5" t="s">
        <v>261</v>
      </c>
      <c r="CU2465" s="8">
        <f>1</f>
        <v>1</v>
      </c>
      <c r="CV2465" s="8">
        <f>0</f>
        <v>0</v>
      </c>
      <c r="CX2465" s="8">
        <f>0</f>
        <v>0</v>
      </c>
      <c r="CY2465" s="8">
        <f>1</f>
        <v>1</v>
      </c>
      <c r="DA2465" s="5" t="s">
        <v>274</v>
      </c>
      <c r="DB2465" s="5" t="s">
        <v>238</v>
      </c>
      <c r="DD2465" s="5" t="s">
        <v>274</v>
      </c>
      <c r="DE2465" s="8">
        <f>493</f>
        <v>493</v>
      </c>
      <c r="DG2465" s="5" t="s">
        <v>238</v>
      </c>
      <c r="DH2465" s="5" t="s">
        <v>238</v>
      </c>
      <c r="DI2465" s="5" t="s">
        <v>238</v>
      </c>
      <c r="DJ2465" s="5" t="s">
        <v>238</v>
      </c>
      <c r="DN2465" s="5" t="s">
        <v>238</v>
      </c>
      <c r="DO2465" s="5" t="s">
        <v>238</v>
      </c>
      <c r="DP2465" s="5" t="s">
        <v>238</v>
      </c>
      <c r="DQ2465" s="5" t="s">
        <v>238</v>
      </c>
      <c r="DT2465" s="5" t="s">
        <v>275</v>
      </c>
      <c r="DU2465" s="5" t="s">
        <v>2740</v>
      </c>
      <c r="HM2465" s="5" t="s">
        <v>264</v>
      </c>
    </row>
    <row r="2466" spans="1:221" x14ac:dyDescent="0.4">
      <c r="A2466" s="5">
        <v>4170</v>
      </c>
      <c r="B2466" s="5">
        <v>1</v>
      </c>
      <c r="C2466" s="5">
        <v>1</v>
      </c>
      <c r="D2466" s="5" t="s">
        <v>269</v>
      </c>
      <c r="E2466" s="5" t="s">
        <v>271</v>
      </c>
      <c r="F2466" s="5" t="s">
        <v>248</v>
      </c>
      <c r="G2466" s="5" t="s">
        <v>266</v>
      </c>
      <c r="H2466" s="6" t="s">
        <v>4080</v>
      </c>
      <c r="I2466" s="7">
        <f>1127</f>
        <v>1127</v>
      </c>
      <c r="J2466" s="5" t="s">
        <v>262</v>
      </c>
      <c r="K2466" s="8">
        <f>1</f>
        <v>1</v>
      </c>
      <c r="L2466" s="6" t="s">
        <v>242</v>
      </c>
      <c r="M2466" s="5" t="s">
        <v>267</v>
      </c>
      <c r="N2466" s="5" t="s">
        <v>265</v>
      </c>
      <c r="O2466" s="5" t="s">
        <v>238</v>
      </c>
      <c r="P2466" s="5" t="s">
        <v>238</v>
      </c>
      <c r="Q2466" s="5" t="s">
        <v>268</v>
      </c>
      <c r="R2466" s="5" t="s">
        <v>270</v>
      </c>
      <c r="S2466" s="5" t="s">
        <v>238</v>
      </c>
      <c r="V2466" s="5" t="s">
        <v>238</v>
      </c>
      <c r="X2466" s="6" t="s">
        <v>238</v>
      </c>
      <c r="AA2466" s="6" t="s">
        <v>243</v>
      </c>
      <c r="AB2466" s="5" t="s">
        <v>238</v>
      </c>
      <c r="AC2466" s="5" t="s">
        <v>244</v>
      </c>
      <c r="AD2466" s="5" t="s">
        <v>245</v>
      </c>
      <c r="AT2466" s="5" t="s">
        <v>246</v>
      </c>
      <c r="AU2466" s="5" t="s">
        <v>238</v>
      </c>
      <c r="AV2466" s="5" t="s">
        <v>247</v>
      </c>
      <c r="AW2466" s="5" t="s">
        <v>238</v>
      </c>
      <c r="AX2466" s="5" t="s">
        <v>249</v>
      </c>
      <c r="AY2466" s="5" t="s">
        <v>238</v>
      </c>
      <c r="BA2466" s="5" t="s">
        <v>238</v>
      </c>
      <c r="BC2466" s="5" t="s">
        <v>250</v>
      </c>
      <c r="BD2466" s="6" t="s">
        <v>243</v>
      </c>
      <c r="BE2466" s="5" t="s">
        <v>251</v>
      </c>
      <c r="BF2466" s="5" t="s">
        <v>252</v>
      </c>
      <c r="BG2466" s="5" t="s">
        <v>238</v>
      </c>
      <c r="BH2466" s="7">
        <f>0</f>
        <v>0</v>
      </c>
      <c r="BI2466" s="8">
        <f>0</f>
        <v>0</v>
      </c>
      <c r="BJ2466" s="5" t="s">
        <v>253</v>
      </c>
      <c r="BK2466" s="5" t="s">
        <v>254</v>
      </c>
      <c r="BY2466" s="5" t="s">
        <v>238</v>
      </c>
      <c r="BZ2466" s="5" t="s">
        <v>238</v>
      </c>
      <c r="CD2466" s="5" t="s">
        <v>273</v>
      </c>
      <c r="CE2466" s="5" t="s">
        <v>256</v>
      </c>
      <c r="CF2466" s="5" t="s">
        <v>238</v>
      </c>
      <c r="CI2466" s="6" t="s">
        <v>257</v>
      </c>
      <c r="CJ2466" s="5" t="s">
        <v>238</v>
      </c>
      <c r="CK2466" s="5" t="s">
        <v>258</v>
      </c>
      <c r="CL2466" s="5" t="s">
        <v>238</v>
      </c>
      <c r="CM2466" s="5" t="s">
        <v>238</v>
      </c>
      <c r="CN2466" s="5">
        <v>0</v>
      </c>
      <c r="CO2466" s="5" t="s">
        <v>259</v>
      </c>
      <c r="CP2466" s="5" t="s">
        <v>260</v>
      </c>
      <c r="CQ2466" s="5" t="s">
        <v>260</v>
      </c>
      <c r="CR2466" s="5" t="s">
        <v>261</v>
      </c>
      <c r="CU2466" s="8">
        <f>1</f>
        <v>1</v>
      </c>
      <c r="CV2466" s="8">
        <f>0</f>
        <v>0</v>
      </c>
      <c r="CX2466" s="8">
        <f>0</f>
        <v>0</v>
      </c>
      <c r="CY2466" s="8">
        <f>1</f>
        <v>1</v>
      </c>
      <c r="DA2466" s="5" t="s">
        <v>274</v>
      </c>
      <c r="DB2466" s="5" t="s">
        <v>238</v>
      </c>
      <c r="DD2466" s="5" t="s">
        <v>274</v>
      </c>
      <c r="DE2466" s="8">
        <f>1127</f>
        <v>1127</v>
      </c>
      <c r="DG2466" s="5" t="s">
        <v>238</v>
      </c>
      <c r="DH2466" s="5" t="s">
        <v>238</v>
      </c>
      <c r="DI2466" s="5" t="s">
        <v>238</v>
      </c>
      <c r="DJ2466" s="5" t="s">
        <v>238</v>
      </c>
      <c r="DN2466" s="5" t="s">
        <v>238</v>
      </c>
      <c r="DO2466" s="5" t="s">
        <v>238</v>
      </c>
      <c r="DP2466" s="5" t="s">
        <v>238</v>
      </c>
      <c r="DQ2466" s="5" t="s">
        <v>238</v>
      </c>
      <c r="DT2466" s="5" t="s">
        <v>275</v>
      </c>
      <c r="DU2466" s="5" t="s">
        <v>2738</v>
      </c>
      <c r="HM2466" s="5" t="s">
        <v>264</v>
      </c>
    </row>
    <row r="2467" spans="1:221" x14ac:dyDescent="0.4">
      <c r="A2467" s="5">
        <v>4171</v>
      </c>
      <c r="B2467" s="5">
        <v>1</v>
      </c>
      <c r="C2467" s="5">
        <v>1</v>
      </c>
      <c r="D2467" s="5" t="s">
        <v>269</v>
      </c>
      <c r="E2467" s="5" t="s">
        <v>271</v>
      </c>
      <c r="F2467" s="5" t="s">
        <v>248</v>
      </c>
      <c r="G2467" s="5" t="s">
        <v>266</v>
      </c>
      <c r="H2467" s="6" t="s">
        <v>5755</v>
      </c>
      <c r="I2467" s="7">
        <f>446</f>
        <v>446</v>
      </c>
      <c r="J2467" s="5" t="s">
        <v>262</v>
      </c>
      <c r="K2467" s="8">
        <f>1</f>
        <v>1</v>
      </c>
      <c r="L2467" s="6" t="s">
        <v>242</v>
      </c>
      <c r="M2467" s="5" t="s">
        <v>267</v>
      </c>
      <c r="N2467" s="5" t="s">
        <v>265</v>
      </c>
      <c r="O2467" s="5" t="s">
        <v>238</v>
      </c>
      <c r="P2467" s="5" t="s">
        <v>238</v>
      </c>
      <c r="Q2467" s="5" t="s">
        <v>268</v>
      </c>
      <c r="R2467" s="5" t="s">
        <v>270</v>
      </c>
      <c r="S2467" s="5" t="s">
        <v>238</v>
      </c>
      <c r="V2467" s="5" t="s">
        <v>238</v>
      </c>
      <c r="X2467" s="6" t="s">
        <v>238</v>
      </c>
      <c r="AA2467" s="6" t="s">
        <v>243</v>
      </c>
      <c r="AB2467" s="5" t="s">
        <v>238</v>
      </c>
      <c r="AC2467" s="5" t="s">
        <v>244</v>
      </c>
      <c r="AD2467" s="5" t="s">
        <v>245</v>
      </c>
      <c r="AT2467" s="5" t="s">
        <v>246</v>
      </c>
      <c r="AU2467" s="5" t="s">
        <v>238</v>
      </c>
      <c r="AV2467" s="5" t="s">
        <v>247</v>
      </c>
      <c r="AW2467" s="5" t="s">
        <v>238</v>
      </c>
      <c r="AX2467" s="5" t="s">
        <v>249</v>
      </c>
      <c r="AY2467" s="5" t="s">
        <v>238</v>
      </c>
      <c r="BA2467" s="5" t="s">
        <v>238</v>
      </c>
      <c r="BC2467" s="5" t="s">
        <v>250</v>
      </c>
      <c r="BD2467" s="6" t="s">
        <v>243</v>
      </c>
      <c r="BE2467" s="5" t="s">
        <v>251</v>
      </c>
      <c r="BF2467" s="5" t="s">
        <v>252</v>
      </c>
      <c r="BG2467" s="5" t="s">
        <v>238</v>
      </c>
      <c r="BH2467" s="7">
        <f>0</f>
        <v>0</v>
      </c>
      <c r="BI2467" s="8">
        <f>0</f>
        <v>0</v>
      </c>
      <c r="BJ2467" s="5" t="s">
        <v>253</v>
      </c>
      <c r="BK2467" s="5" t="s">
        <v>254</v>
      </c>
      <c r="BY2467" s="5" t="s">
        <v>238</v>
      </c>
      <c r="BZ2467" s="5" t="s">
        <v>238</v>
      </c>
      <c r="CD2467" s="5" t="s">
        <v>273</v>
      </c>
      <c r="CE2467" s="5" t="s">
        <v>256</v>
      </c>
      <c r="CF2467" s="5" t="s">
        <v>238</v>
      </c>
      <c r="CI2467" s="6" t="s">
        <v>257</v>
      </c>
      <c r="CJ2467" s="5" t="s">
        <v>238</v>
      </c>
      <c r="CK2467" s="5" t="s">
        <v>258</v>
      </c>
      <c r="CL2467" s="5" t="s">
        <v>238</v>
      </c>
      <c r="CM2467" s="5" t="s">
        <v>238</v>
      </c>
      <c r="CN2467" s="5">
        <v>0</v>
      </c>
      <c r="CO2467" s="5" t="s">
        <v>259</v>
      </c>
      <c r="CP2467" s="5" t="s">
        <v>260</v>
      </c>
      <c r="CQ2467" s="5" t="s">
        <v>260</v>
      </c>
      <c r="CR2467" s="5" t="s">
        <v>261</v>
      </c>
      <c r="CU2467" s="8">
        <f>1</f>
        <v>1</v>
      </c>
      <c r="CV2467" s="8">
        <f>0</f>
        <v>0</v>
      </c>
      <c r="CX2467" s="8">
        <f>0</f>
        <v>0</v>
      </c>
      <c r="CY2467" s="8">
        <f>1</f>
        <v>1</v>
      </c>
      <c r="DA2467" s="5" t="s">
        <v>274</v>
      </c>
      <c r="DB2467" s="5" t="s">
        <v>238</v>
      </c>
      <c r="DD2467" s="5" t="s">
        <v>274</v>
      </c>
      <c r="DE2467" s="8">
        <f>446</f>
        <v>446</v>
      </c>
      <c r="DG2467" s="5" t="s">
        <v>238</v>
      </c>
      <c r="DH2467" s="5" t="s">
        <v>238</v>
      </c>
      <c r="DI2467" s="5" t="s">
        <v>238</v>
      </c>
      <c r="DJ2467" s="5" t="s">
        <v>238</v>
      </c>
      <c r="DN2467" s="5" t="s">
        <v>238</v>
      </c>
      <c r="DO2467" s="5" t="s">
        <v>238</v>
      </c>
      <c r="DP2467" s="5" t="s">
        <v>238</v>
      </c>
      <c r="DQ2467" s="5" t="s">
        <v>238</v>
      </c>
      <c r="DT2467" s="5" t="s">
        <v>275</v>
      </c>
      <c r="DU2467" s="5" t="s">
        <v>2736</v>
      </c>
      <c r="HM2467" s="5" t="s">
        <v>264</v>
      </c>
    </row>
    <row r="2468" spans="1:221" x14ac:dyDescent="0.4">
      <c r="A2468" s="5">
        <v>4172</v>
      </c>
      <c r="B2468" s="5">
        <v>1</v>
      </c>
      <c r="C2468" s="5">
        <v>1</v>
      </c>
      <c r="D2468" s="5" t="s">
        <v>269</v>
      </c>
      <c r="E2468" s="5" t="s">
        <v>271</v>
      </c>
      <c r="F2468" s="5" t="s">
        <v>248</v>
      </c>
      <c r="G2468" s="5" t="s">
        <v>266</v>
      </c>
      <c r="H2468" s="6" t="s">
        <v>4083</v>
      </c>
      <c r="I2468" s="7">
        <f>2452</f>
        <v>2452</v>
      </c>
      <c r="J2468" s="5" t="s">
        <v>262</v>
      </c>
      <c r="K2468" s="8">
        <f>1</f>
        <v>1</v>
      </c>
      <c r="L2468" s="6" t="s">
        <v>242</v>
      </c>
      <c r="M2468" s="5" t="s">
        <v>267</v>
      </c>
      <c r="N2468" s="5" t="s">
        <v>265</v>
      </c>
      <c r="O2468" s="5" t="s">
        <v>238</v>
      </c>
      <c r="P2468" s="5" t="s">
        <v>238</v>
      </c>
      <c r="Q2468" s="5" t="s">
        <v>268</v>
      </c>
      <c r="R2468" s="5" t="s">
        <v>270</v>
      </c>
      <c r="S2468" s="5" t="s">
        <v>238</v>
      </c>
      <c r="V2468" s="5" t="s">
        <v>238</v>
      </c>
      <c r="X2468" s="6" t="s">
        <v>238</v>
      </c>
      <c r="AA2468" s="6" t="s">
        <v>243</v>
      </c>
      <c r="AB2468" s="5" t="s">
        <v>238</v>
      </c>
      <c r="AC2468" s="5" t="s">
        <v>244</v>
      </c>
      <c r="AD2468" s="5" t="s">
        <v>245</v>
      </c>
      <c r="AT2468" s="5" t="s">
        <v>246</v>
      </c>
      <c r="AU2468" s="5" t="s">
        <v>238</v>
      </c>
      <c r="AV2468" s="5" t="s">
        <v>247</v>
      </c>
      <c r="AW2468" s="5" t="s">
        <v>238</v>
      </c>
      <c r="AX2468" s="5" t="s">
        <v>249</v>
      </c>
      <c r="AY2468" s="5" t="s">
        <v>238</v>
      </c>
      <c r="BA2468" s="5" t="s">
        <v>238</v>
      </c>
      <c r="BC2468" s="5" t="s">
        <v>250</v>
      </c>
      <c r="BD2468" s="6" t="s">
        <v>243</v>
      </c>
      <c r="BE2468" s="5" t="s">
        <v>251</v>
      </c>
      <c r="BF2468" s="5" t="s">
        <v>252</v>
      </c>
      <c r="BG2468" s="5" t="s">
        <v>238</v>
      </c>
      <c r="BH2468" s="7">
        <f>0</f>
        <v>0</v>
      </c>
      <c r="BI2468" s="8">
        <f>0</f>
        <v>0</v>
      </c>
      <c r="BJ2468" s="5" t="s">
        <v>253</v>
      </c>
      <c r="BK2468" s="5" t="s">
        <v>254</v>
      </c>
      <c r="BY2468" s="5" t="s">
        <v>238</v>
      </c>
      <c r="BZ2468" s="5" t="s">
        <v>238</v>
      </c>
      <c r="CD2468" s="5" t="s">
        <v>273</v>
      </c>
      <c r="CE2468" s="5" t="s">
        <v>256</v>
      </c>
      <c r="CF2468" s="5" t="s">
        <v>238</v>
      </c>
      <c r="CI2468" s="6" t="s">
        <v>257</v>
      </c>
      <c r="CJ2468" s="5" t="s">
        <v>238</v>
      </c>
      <c r="CK2468" s="5" t="s">
        <v>258</v>
      </c>
      <c r="CL2468" s="5" t="s">
        <v>238</v>
      </c>
      <c r="CM2468" s="5" t="s">
        <v>238</v>
      </c>
      <c r="CN2468" s="5">
        <v>0</v>
      </c>
      <c r="CO2468" s="5" t="s">
        <v>259</v>
      </c>
      <c r="CP2468" s="5" t="s">
        <v>260</v>
      </c>
      <c r="CQ2468" s="5" t="s">
        <v>260</v>
      </c>
      <c r="CR2468" s="5" t="s">
        <v>261</v>
      </c>
      <c r="CU2468" s="8">
        <f>1</f>
        <v>1</v>
      </c>
      <c r="CV2468" s="8">
        <f>0</f>
        <v>0</v>
      </c>
      <c r="CX2468" s="8">
        <f>0</f>
        <v>0</v>
      </c>
      <c r="CY2468" s="8">
        <f>1</f>
        <v>1</v>
      </c>
      <c r="DA2468" s="5" t="s">
        <v>274</v>
      </c>
      <c r="DB2468" s="5" t="s">
        <v>238</v>
      </c>
      <c r="DD2468" s="5" t="s">
        <v>274</v>
      </c>
      <c r="DE2468" s="8">
        <f>2452</f>
        <v>2452</v>
      </c>
      <c r="DG2468" s="5" t="s">
        <v>238</v>
      </c>
      <c r="DH2468" s="5" t="s">
        <v>238</v>
      </c>
      <c r="DI2468" s="5" t="s">
        <v>238</v>
      </c>
      <c r="DJ2468" s="5" t="s">
        <v>238</v>
      </c>
      <c r="DN2468" s="5" t="s">
        <v>238</v>
      </c>
      <c r="DO2468" s="5" t="s">
        <v>238</v>
      </c>
      <c r="DP2468" s="5" t="s">
        <v>238</v>
      </c>
      <c r="DQ2468" s="5" t="s">
        <v>238</v>
      </c>
      <c r="DT2468" s="5" t="s">
        <v>275</v>
      </c>
      <c r="DU2468" s="5" t="s">
        <v>2734</v>
      </c>
      <c r="HM2468" s="5" t="s">
        <v>264</v>
      </c>
    </row>
    <row r="2469" spans="1:221" x14ac:dyDescent="0.4">
      <c r="A2469" s="5">
        <v>4173</v>
      </c>
      <c r="B2469" s="5">
        <v>1</v>
      </c>
      <c r="C2469" s="5">
        <v>1</v>
      </c>
      <c r="D2469" s="5" t="s">
        <v>269</v>
      </c>
      <c r="E2469" s="5" t="s">
        <v>271</v>
      </c>
      <c r="F2469" s="5" t="s">
        <v>248</v>
      </c>
      <c r="G2469" s="5" t="s">
        <v>266</v>
      </c>
      <c r="H2469" s="6" t="s">
        <v>4085</v>
      </c>
      <c r="I2469" s="7">
        <f>1410</f>
        <v>1410</v>
      </c>
      <c r="J2469" s="5" t="s">
        <v>262</v>
      </c>
      <c r="K2469" s="8">
        <f>1</f>
        <v>1</v>
      </c>
      <c r="L2469" s="6" t="s">
        <v>242</v>
      </c>
      <c r="M2469" s="5" t="s">
        <v>267</v>
      </c>
      <c r="N2469" s="5" t="s">
        <v>265</v>
      </c>
      <c r="O2469" s="5" t="s">
        <v>238</v>
      </c>
      <c r="P2469" s="5" t="s">
        <v>238</v>
      </c>
      <c r="Q2469" s="5" t="s">
        <v>268</v>
      </c>
      <c r="R2469" s="5" t="s">
        <v>270</v>
      </c>
      <c r="S2469" s="5" t="s">
        <v>238</v>
      </c>
      <c r="V2469" s="5" t="s">
        <v>238</v>
      </c>
      <c r="X2469" s="6" t="s">
        <v>238</v>
      </c>
      <c r="AA2469" s="6" t="s">
        <v>243</v>
      </c>
      <c r="AB2469" s="5" t="s">
        <v>238</v>
      </c>
      <c r="AC2469" s="5" t="s">
        <v>244</v>
      </c>
      <c r="AD2469" s="5" t="s">
        <v>245</v>
      </c>
      <c r="AT2469" s="5" t="s">
        <v>246</v>
      </c>
      <c r="AU2469" s="5" t="s">
        <v>238</v>
      </c>
      <c r="AV2469" s="5" t="s">
        <v>247</v>
      </c>
      <c r="AW2469" s="5" t="s">
        <v>238</v>
      </c>
      <c r="AX2469" s="5" t="s">
        <v>249</v>
      </c>
      <c r="AY2469" s="5" t="s">
        <v>238</v>
      </c>
      <c r="BA2469" s="5" t="s">
        <v>238</v>
      </c>
      <c r="BC2469" s="5" t="s">
        <v>250</v>
      </c>
      <c r="BD2469" s="6" t="s">
        <v>243</v>
      </c>
      <c r="BE2469" s="5" t="s">
        <v>251</v>
      </c>
      <c r="BF2469" s="5" t="s">
        <v>252</v>
      </c>
      <c r="BG2469" s="5" t="s">
        <v>238</v>
      </c>
      <c r="BH2469" s="7">
        <f>0</f>
        <v>0</v>
      </c>
      <c r="BI2469" s="8">
        <f>0</f>
        <v>0</v>
      </c>
      <c r="BJ2469" s="5" t="s">
        <v>253</v>
      </c>
      <c r="BK2469" s="5" t="s">
        <v>254</v>
      </c>
      <c r="BY2469" s="5" t="s">
        <v>238</v>
      </c>
      <c r="BZ2469" s="5" t="s">
        <v>238</v>
      </c>
      <c r="CD2469" s="5" t="s">
        <v>273</v>
      </c>
      <c r="CE2469" s="5" t="s">
        <v>256</v>
      </c>
      <c r="CF2469" s="5" t="s">
        <v>238</v>
      </c>
      <c r="CI2469" s="6" t="s">
        <v>257</v>
      </c>
      <c r="CJ2469" s="5" t="s">
        <v>238</v>
      </c>
      <c r="CK2469" s="5" t="s">
        <v>258</v>
      </c>
      <c r="CL2469" s="5" t="s">
        <v>238</v>
      </c>
      <c r="CM2469" s="5" t="s">
        <v>238</v>
      </c>
      <c r="CN2469" s="5">
        <v>0</v>
      </c>
      <c r="CO2469" s="5" t="s">
        <v>259</v>
      </c>
      <c r="CP2469" s="5" t="s">
        <v>260</v>
      </c>
      <c r="CQ2469" s="5" t="s">
        <v>260</v>
      </c>
      <c r="CR2469" s="5" t="s">
        <v>261</v>
      </c>
      <c r="CU2469" s="8">
        <f>1</f>
        <v>1</v>
      </c>
      <c r="CV2469" s="8">
        <f>0</f>
        <v>0</v>
      </c>
      <c r="CX2469" s="8">
        <f>0</f>
        <v>0</v>
      </c>
      <c r="CY2469" s="8">
        <f>1</f>
        <v>1</v>
      </c>
      <c r="DA2469" s="5" t="s">
        <v>274</v>
      </c>
      <c r="DB2469" s="5" t="s">
        <v>238</v>
      </c>
      <c r="DD2469" s="5" t="s">
        <v>274</v>
      </c>
      <c r="DE2469" s="8">
        <f>1410</f>
        <v>1410</v>
      </c>
      <c r="DG2469" s="5" t="s">
        <v>238</v>
      </c>
      <c r="DH2469" s="5" t="s">
        <v>238</v>
      </c>
      <c r="DI2469" s="5" t="s">
        <v>238</v>
      </c>
      <c r="DJ2469" s="5" t="s">
        <v>238</v>
      </c>
      <c r="DN2469" s="5" t="s">
        <v>238</v>
      </c>
      <c r="DO2469" s="5" t="s">
        <v>238</v>
      </c>
      <c r="DP2469" s="5" t="s">
        <v>238</v>
      </c>
      <c r="DQ2469" s="5" t="s">
        <v>238</v>
      </c>
      <c r="DT2469" s="5" t="s">
        <v>275</v>
      </c>
      <c r="DU2469" s="5" t="s">
        <v>2732</v>
      </c>
      <c r="HM2469" s="5" t="s">
        <v>264</v>
      </c>
    </row>
    <row r="2470" spans="1:221" x14ac:dyDescent="0.4">
      <c r="A2470" s="5">
        <v>4174</v>
      </c>
      <c r="B2470" s="5">
        <v>1</v>
      </c>
      <c r="C2470" s="5">
        <v>1</v>
      </c>
      <c r="D2470" s="5" t="s">
        <v>269</v>
      </c>
      <c r="E2470" s="5" t="s">
        <v>271</v>
      </c>
      <c r="F2470" s="5" t="s">
        <v>248</v>
      </c>
      <c r="G2470" s="5" t="s">
        <v>266</v>
      </c>
      <c r="H2470" s="6" t="s">
        <v>4087</v>
      </c>
      <c r="I2470" s="7">
        <f>2354</f>
        <v>2354</v>
      </c>
      <c r="J2470" s="5" t="s">
        <v>262</v>
      </c>
      <c r="K2470" s="8">
        <f>1</f>
        <v>1</v>
      </c>
      <c r="L2470" s="6" t="s">
        <v>242</v>
      </c>
      <c r="M2470" s="5" t="s">
        <v>267</v>
      </c>
      <c r="N2470" s="5" t="s">
        <v>265</v>
      </c>
      <c r="O2470" s="5" t="s">
        <v>238</v>
      </c>
      <c r="P2470" s="5" t="s">
        <v>238</v>
      </c>
      <c r="Q2470" s="5" t="s">
        <v>268</v>
      </c>
      <c r="R2470" s="5" t="s">
        <v>270</v>
      </c>
      <c r="S2470" s="5" t="s">
        <v>238</v>
      </c>
      <c r="V2470" s="5" t="s">
        <v>238</v>
      </c>
      <c r="X2470" s="6" t="s">
        <v>238</v>
      </c>
      <c r="AA2470" s="6" t="s">
        <v>243</v>
      </c>
      <c r="AB2470" s="5" t="s">
        <v>238</v>
      </c>
      <c r="AC2470" s="5" t="s">
        <v>244</v>
      </c>
      <c r="AD2470" s="5" t="s">
        <v>245</v>
      </c>
      <c r="AT2470" s="5" t="s">
        <v>246</v>
      </c>
      <c r="AU2470" s="5" t="s">
        <v>238</v>
      </c>
      <c r="AV2470" s="5" t="s">
        <v>247</v>
      </c>
      <c r="AW2470" s="5" t="s">
        <v>238</v>
      </c>
      <c r="AX2470" s="5" t="s">
        <v>249</v>
      </c>
      <c r="AY2470" s="5" t="s">
        <v>238</v>
      </c>
      <c r="BA2470" s="5" t="s">
        <v>238</v>
      </c>
      <c r="BC2470" s="5" t="s">
        <v>250</v>
      </c>
      <c r="BD2470" s="6" t="s">
        <v>243</v>
      </c>
      <c r="BE2470" s="5" t="s">
        <v>251</v>
      </c>
      <c r="BF2470" s="5" t="s">
        <v>252</v>
      </c>
      <c r="BG2470" s="5" t="s">
        <v>238</v>
      </c>
      <c r="BH2470" s="7">
        <f>0</f>
        <v>0</v>
      </c>
      <c r="BI2470" s="8">
        <f>0</f>
        <v>0</v>
      </c>
      <c r="BJ2470" s="5" t="s">
        <v>253</v>
      </c>
      <c r="BK2470" s="5" t="s">
        <v>254</v>
      </c>
      <c r="BY2470" s="5" t="s">
        <v>238</v>
      </c>
      <c r="BZ2470" s="5" t="s">
        <v>238</v>
      </c>
      <c r="CD2470" s="5" t="s">
        <v>273</v>
      </c>
      <c r="CE2470" s="5" t="s">
        <v>256</v>
      </c>
      <c r="CF2470" s="5" t="s">
        <v>238</v>
      </c>
      <c r="CI2470" s="6" t="s">
        <v>257</v>
      </c>
      <c r="CJ2470" s="5" t="s">
        <v>238</v>
      </c>
      <c r="CK2470" s="5" t="s">
        <v>258</v>
      </c>
      <c r="CL2470" s="5" t="s">
        <v>238</v>
      </c>
      <c r="CM2470" s="5" t="s">
        <v>238</v>
      </c>
      <c r="CN2470" s="5">
        <v>0</v>
      </c>
      <c r="CO2470" s="5" t="s">
        <v>259</v>
      </c>
      <c r="CP2470" s="5" t="s">
        <v>260</v>
      </c>
      <c r="CQ2470" s="5" t="s">
        <v>260</v>
      </c>
      <c r="CR2470" s="5" t="s">
        <v>261</v>
      </c>
      <c r="CU2470" s="8">
        <f>1</f>
        <v>1</v>
      </c>
      <c r="CV2470" s="8">
        <f>0</f>
        <v>0</v>
      </c>
      <c r="CX2470" s="8">
        <f>0</f>
        <v>0</v>
      </c>
      <c r="CY2470" s="8">
        <f>1</f>
        <v>1</v>
      </c>
      <c r="DA2470" s="5" t="s">
        <v>274</v>
      </c>
      <c r="DB2470" s="5" t="s">
        <v>238</v>
      </c>
      <c r="DD2470" s="5" t="s">
        <v>274</v>
      </c>
      <c r="DE2470" s="8">
        <f>2354</f>
        <v>2354</v>
      </c>
      <c r="DG2470" s="5" t="s">
        <v>238</v>
      </c>
      <c r="DH2470" s="5" t="s">
        <v>238</v>
      </c>
      <c r="DI2470" s="5" t="s">
        <v>238</v>
      </c>
      <c r="DJ2470" s="5" t="s">
        <v>238</v>
      </c>
      <c r="DN2470" s="5" t="s">
        <v>238</v>
      </c>
      <c r="DO2470" s="5" t="s">
        <v>238</v>
      </c>
      <c r="DP2470" s="5" t="s">
        <v>238</v>
      </c>
      <c r="DQ2470" s="5" t="s">
        <v>238</v>
      </c>
      <c r="DT2470" s="5" t="s">
        <v>275</v>
      </c>
      <c r="DU2470" s="5" t="s">
        <v>2730</v>
      </c>
      <c r="HM2470" s="5" t="s">
        <v>264</v>
      </c>
    </row>
    <row r="2471" spans="1:221" x14ac:dyDescent="0.4">
      <c r="A2471" s="5">
        <v>4175</v>
      </c>
      <c r="B2471" s="5">
        <v>1</v>
      </c>
      <c r="C2471" s="5">
        <v>1</v>
      </c>
      <c r="D2471" s="5" t="s">
        <v>269</v>
      </c>
      <c r="E2471" s="5" t="s">
        <v>271</v>
      </c>
      <c r="F2471" s="5" t="s">
        <v>248</v>
      </c>
      <c r="G2471" s="5" t="s">
        <v>266</v>
      </c>
      <c r="H2471" s="6" t="s">
        <v>4088</v>
      </c>
      <c r="I2471" s="7">
        <f>348</f>
        <v>348</v>
      </c>
      <c r="J2471" s="5" t="s">
        <v>262</v>
      </c>
      <c r="K2471" s="8">
        <f>1</f>
        <v>1</v>
      </c>
      <c r="L2471" s="6" t="s">
        <v>242</v>
      </c>
      <c r="M2471" s="5" t="s">
        <v>267</v>
      </c>
      <c r="N2471" s="5" t="s">
        <v>265</v>
      </c>
      <c r="O2471" s="5" t="s">
        <v>238</v>
      </c>
      <c r="P2471" s="5" t="s">
        <v>238</v>
      </c>
      <c r="Q2471" s="5" t="s">
        <v>268</v>
      </c>
      <c r="R2471" s="5" t="s">
        <v>270</v>
      </c>
      <c r="S2471" s="5" t="s">
        <v>238</v>
      </c>
      <c r="V2471" s="5" t="s">
        <v>238</v>
      </c>
      <c r="X2471" s="6" t="s">
        <v>238</v>
      </c>
      <c r="AA2471" s="6" t="s">
        <v>243</v>
      </c>
      <c r="AB2471" s="5" t="s">
        <v>238</v>
      </c>
      <c r="AC2471" s="5" t="s">
        <v>244</v>
      </c>
      <c r="AD2471" s="5" t="s">
        <v>245</v>
      </c>
      <c r="AT2471" s="5" t="s">
        <v>246</v>
      </c>
      <c r="AU2471" s="5" t="s">
        <v>238</v>
      </c>
      <c r="AV2471" s="5" t="s">
        <v>247</v>
      </c>
      <c r="AW2471" s="5" t="s">
        <v>238</v>
      </c>
      <c r="AX2471" s="5" t="s">
        <v>249</v>
      </c>
      <c r="AY2471" s="5" t="s">
        <v>238</v>
      </c>
      <c r="BA2471" s="5" t="s">
        <v>238</v>
      </c>
      <c r="BC2471" s="5" t="s">
        <v>250</v>
      </c>
      <c r="BD2471" s="6" t="s">
        <v>243</v>
      </c>
      <c r="BE2471" s="5" t="s">
        <v>251</v>
      </c>
      <c r="BF2471" s="5" t="s">
        <v>252</v>
      </c>
      <c r="BG2471" s="5" t="s">
        <v>238</v>
      </c>
      <c r="BH2471" s="7">
        <f>0</f>
        <v>0</v>
      </c>
      <c r="BI2471" s="8">
        <f>0</f>
        <v>0</v>
      </c>
      <c r="BJ2471" s="5" t="s">
        <v>253</v>
      </c>
      <c r="BK2471" s="5" t="s">
        <v>254</v>
      </c>
      <c r="BY2471" s="5" t="s">
        <v>238</v>
      </c>
      <c r="BZ2471" s="5" t="s">
        <v>238</v>
      </c>
      <c r="CD2471" s="5" t="s">
        <v>273</v>
      </c>
      <c r="CE2471" s="5" t="s">
        <v>256</v>
      </c>
      <c r="CF2471" s="5" t="s">
        <v>238</v>
      </c>
      <c r="CI2471" s="6" t="s">
        <v>257</v>
      </c>
      <c r="CJ2471" s="5" t="s">
        <v>238</v>
      </c>
      <c r="CK2471" s="5" t="s">
        <v>258</v>
      </c>
      <c r="CL2471" s="5" t="s">
        <v>238</v>
      </c>
      <c r="CM2471" s="5" t="s">
        <v>238</v>
      </c>
      <c r="CN2471" s="5">
        <v>0</v>
      </c>
      <c r="CO2471" s="5" t="s">
        <v>259</v>
      </c>
      <c r="CP2471" s="5" t="s">
        <v>260</v>
      </c>
      <c r="CQ2471" s="5" t="s">
        <v>260</v>
      </c>
      <c r="CR2471" s="5" t="s">
        <v>261</v>
      </c>
      <c r="CU2471" s="8">
        <f>1</f>
        <v>1</v>
      </c>
      <c r="CV2471" s="8">
        <f>0</f>
        <v>0</v>
      </c>
      <c r="CX2471" s="8">
        <f>0</f>
        <v>0</v>
      </c>
      <c r="CY2471" s="8">
        <f>1</f>
        <v>1</v>
      </c>
      <c r="DA2471" s="5" t="s">
        <v>274</v>
      </c>
      <c r="DB2471" s="5" t="s">
        <v>238</v>
      </c>
      <c r="DD2471" s="5" t="s">
        <v>274</v>
      </c>
      <c r="DE2471" s="8">
        <f>348</f>
        <v>348</v>
      </c>
      <c r="DG2471" s="5" t="s">
        <v>238</v>
      </c>
      <c r="DH2471" s="5" t="s">
        <v>238</v>
      </c>
      <c r="DI2471" s="5" t="s">
        <v>238</v>
      </c>
      <c r="DJ2471" s="5" t="s">
        <v>238</v>
      </c>
      <c r="DN2471" s="5" t="s">
        <v>238</v>
      </c>
      <c r="DO2471" s="5" t="s">
        <v>238</v>
      </c>
      <c r="DP2471" s="5" t="s">
        <v>238</v>
      </c>
      <c r="DQ2471" s="5" t="s">
        <v>238</v>
      </c>
      <c r="DT2471" s="5" t="s">
        <v>275</v>
      </c>
      <c r="DU2471" s="5" t="s">
        <v>2728</v>
      </c>
      <c r="HM2471" s="5" t="s">
        <v>264</v>
      </c>
    </row>
    <row r="2472" spans="1:221" x14ac:dyDescent="0.4">
      <c r="A2472" s="5">
        <v>4176</v>
      </c>
      <c r="B2472" s="5">
        <v>1</v>
      </c>
      <c r="C2472" s="5">
        <v>1</v>
      </c>
      <c r="D2472" s="5" t="s">
        <v>269</v>
      </c>
      <c r="E2472" s="5" t="s">
        <v>271</v>
      </c>
      <c r="F2472" s="5" t="s">
        <v>248</v>
      </c>
      <c r="G2472" s="5" t="s">
        <v>266</v>
      </c>
      <c r="H2472" s="6" t="s">
        <v>4089</v>
      </c>
      <c r="I2472" s="7">
        <f>2158</f>
        <v>2158</v>
      </c>
      <c r="J2472" s="5" t="s">
        <v>262</v>
      </c>
      <c r="K2472" s="8">
        <f>1</f>
        <v>1</v>
      </c>
      <c r="L2472" s="6" t="s">
        <v>242</v>
      </c>
      <c r="M2472" s="5" t="s">
        <v>267</v>
      </c>
      <c r="N2472" s="5" t="s">
        <v>265</v>
      </c>
      <c r="O2472" s="5" t="s">
        <v>238</v>
      </c>
      <c r="P2472" s="5" t="s">
        <v>238</v>
      </c>
      <c r="Q2472" s="5" t="s">
        <v>268</v>
      </c>
      <c r="R2472" s="5" t="s">
        <v>270</v>
      </c>
      <c r="S2472" s="5" t="s">
        <v>238</v>
      </c>
      <c r="V2472" s="5" t="s">
        <v>238</v>
      </c>
      <c r="X2472" s="6" t="s">
        <v>238</v>
      </c>
      <c r="AA2472" s="6" t="s">
        <v>243</v>
      </c>
      <c r="AB2472" s="5" t="s">
        <v>238</v>
      </c>
      <c r="AC2472" s="5" t="s">
        <v>244</v>
      </c>
      <c r="AD2472" s="5" t="s">
        <v>245</v>
      </c>
      <c r="AT2472" s="5" t="s">
        <v>246</v>
      </c>
      <c r="AU2472" s="5" t="s">
        <v>238</v>
      </c>
      <c r="AV2472" s="5" t="s">
        <v>247</v>
      </c>
      <c r="AW2472" s="5" t="s">
        <v>238</v>
      </c>
      <c r="AX2472" s="5" t="s">
        <v>249</v>
      </c>
      <c r="AY2472" s="5" t="s">
        <v>238</v>
      </c>
      <c r="BA2472" s="5" t="s">
        <v>238</v>
      </c>
      <c r="BC2472" s="5" t="s">
        <v>250</v>
      </c>
      <c r="BD2472" s="6" t="s">
        <v>243</v>
      </c>
      <c r="BE2472" s="5" t="s">
        <v>251</v>
      </c>
      <c r="BF2472" s="5" t="s">
        <v>252</v>
      </c>
      <c r="BG2472" s="5" t="s">
        <v>238</v>
      </c>
      <c r="BH2472" s="7">
        <f>0</f>
        <v>0</v>
      </c>
      <c r="BI2472" s="8">
        <f>0</f>
        <v>0</v>
      </c>
      <c r="BJ2472" s="5" t="s">
        <v>253</v>
      </c>
      <c r="BK2472" s="5" t="s">
        <v>254</v>
      </c>
      <c r="BY2472" s="5" t="s">
        <v>238</v>
      </c>
      <c r="BZ2472" s="5" t="s">
        <v>238</v>
      </c>
      <c r="CD2472" s="5" t="s">
        <v>273</v>
      </c>
      <c r="CE2472" s="5" t="s">
        <v>256</v>
      </c>
      <c r="CF2472" s="5" t="s">
        <v>238</v>
      </c>
      <c r="CI2472" s="6" t="s">
        <v>257</v>
      </c>
      <c r="CJ2472" s="5" t="s">
        <v>238</v>
      </c>
      <c r="CK2472" s="5" t="s">
        <v>258</v>
      </c>
      <c r="CL2472" s="5" t="s">
        <v>238</v>
      </c>
      <c r="CM2472" s="5" t="s">
        <v>238</v>
      </c>
      <c r="CN2472" s="5">
        <v>0</v>
      </c>
      <c r="CO2472" s="5" t="s">
        <v>259</v>
      </c>
      <c r="CP2472" s="5" t="s">
        <v>260</v>
      </c>
      <c r="CQ2472" s="5" t="s">
        <v>260</v>
      </c>
      <c r="CR2472" s="5" t="s">
        <v>261</v>
      </c>
      <c r="CU2472" s="8">
        <f>1</f>
        <v>1</v>
      </c>
      <c r="CV2472" s="8">
        <f>0</f>
        <v>0</v>
      </c>
      <c r="CX2472" s="8">
        <f>0</f>
        <v>0</v>
      </c>
      <c r="CY2472" s="8">
        <f>1</f>
        <v>1</v>
      </c>
      <c r="DA2472" s="5" t="s">
        <v>274</v>
      </c>
      <c r="DB2472" s="5" t="s">
        <v>238</v>
      </c>
      <c r="DD2472" s="5" t="s">
        <v>274</v>
      </c>
      <c r="DE2472" s="8">
        <f>2158</f>
        <v>2158</v>
      </c>
      <c r="DG2472" s="5" t="s">
        <v>238</v>
      </c>
      <c r="DH2472" s="5" t="s">
        <v>238</v>
      </c>
      <c r="DI2472" s="5" t="s">
        <v>238</v>
      </c>
      <c r="DJ2472" s="5" t="s">
        <v>238</v>
      </c>
      <c r="DN2472" s="5" t="s">
        <v>238</v>
      </c>
      <c r="DO2472" s="5" t="s">
        <v>238</v>
      </c>
      <c r="DP2472" s="5" t="s">
        <v>238</v>
      </c>
      <c r="DQ2472" s="5" t="s">
        <v>238</v>
      </c>
      <c r="DT2472" s="5" t="s">
        <v>275</v>
      </c>
      <c r="DU2472" s="5" t="s">
        <v>2726</v>
      </c>
      <c r="HM2472" s="5" t="s">
        <v>264</v>
      </c>
    </row>
    <row r="2473" spans="1:221" x14ac:dyDescent="0.4">
      <c r="A2473" s="5">
        <v>4177</v>
      </c>
      <c r="B2473" s="5">
        <v>1</v>
      </c>
      <c r="C2473" s="5">
        <v>1</v>
      </c>
      <c r="D2473" s="5" t="s">
        <v>269</v>
      </c>
      <c r="E2473" s="5" t="s">
        <v>271</v>
      </c>
      <c r="F2473" s="5" t="s">
        <v>248</v>
      </c>
      <c r="G2473" s="5" t="s">
        <v>266</v>
      </c>
      <c r="H2473" s="6" t="s">
        <v>4091</v>
      </c>
      <c r="I2473" s="7">
        <f>981</f>
        <v>981</v>
      </c>
      <c r="J2473" s="5" t="s">
        <v>262</v>
      </c>
      <c r="K2473" s="8">
        <f>1</f>
        <v>1</v>
      </c>
      <c r="L2473" s="6" t="s">
        <v>242</v>
      </c>
      <c r="M2473" s="5" t="s">
        <v>267</v>
      </c>
      <c r="N2473" s="5" t="s">
        <v>265</v>
      </c>
      <c r="O2473" s="5" t="s">
        <v>238</v>
      </c>
      <c r="P2473" s="5" t="s">
        <v>238</v>
      </c>
      <c r="Q2473" s="5" t="s">
        <v>268</v>
      </c>
      <c r="R2473" s="5" t="s">
        <v>270</v>
      </c>
      <c r="S2473" s="5" t="s">
        <v>238</v>
      </c>
      <c r="V2473" s="5" t="s">
        <v>238</v>
      </c>
      <c r="X2473" s="6" t="s">
        <v>238</v>
      </c>
      <c r="AA2473" s="6" t="s">
        <v>243</v>
      </c>
      <c r="AB2473" s="5" t="s">
        <v>238</v>
      </c>
      <c r="AC2473" s="5" t="s">
        <v>244</v>
      </c>
      <c r="AD2473" s="5" t="s">
        <v>245</v>
      </c>
      <c r="AT2473" s="5" t="s">
        <v>246</v>
      </c>
      <c r="AU2473" s="5" t="s">
        <v>238</v>
      </c>
      <c r="AV2473" s="5" t="s">
        <v>247</v>
      </c>
      <c r="AW2473" s="5" t="s">
        <v>238</v>
      </c>
      <c r="AX2473" s="5" t="s">
        <v>249</v>
      </c>
      <c r="AY2473" s="5" t="s">
        <v>238</v>
      </c>
      <c r="BA2473" s="5" t="s">
        <v>238</v>
      </c>
      <c r="BC2473" s="5" t="s">
        <v>250</v>
      </c>
      <c r="BD2473" s="6" t="s">
        <v>243</v>
      </c>
      <c r="BE2473" s="5" t="s">
        <v>251</v>
      </c>
      <c r="BF2473" s="5" t="s">
        <v>252</v>
      </c>
      <c r="BG2473" s="5" t="s">
        <v>238</v>
      </c>
      <c r="BH2473" s="7">
        <f>0</f>
        <v>0</v>
      </c>
      <c r="BI2473" s="8">
        <f>0</f>
        <v>0</v>
      </c>
      <c r="BJ2473" s="5" t="s">
        <v>253</v>
      </c>
      <c r="BK2473" s="5" t="s">
        <v>254</v>
      </c>
      <c r="BY2473" s="5" t="s">
        <v>238</v>
      </c>
      <c r="BZ2473" s="5" t="s">
        <v>238</v>
      </c>
      <c r="CD2473" s="5" t="s">
        <v>273</v>
      </c>
      <c r="CE2473" s="5" t="s">
        <v>256</v>
      </c>
      <c r="CF2473" s="5" t="s">
        <v>238</v>
      </c>
      <c r="CI2473" s="6" t="s">
        <v>257</v>
      </c>
      <c r="CJ2473" s="5" t="s">
        <v>238</v>
      </c>
      <c r="CK2473" s="5" t="s">
        <v>258</v>
      </c>
      <c r="CL2473" s="5" t="s">
        <v>238</v>
      </c>
      <c r="CM2473" s="5" t="s">
        <v>238</v>
      </c>
      <c r="CN2473" s="5">
        <v>0</v>
      </c>
      <c r="CO2473" s="5" t="s">
        <v>259</v>
      </c>
      <c r="CP2473" s="5" t="s">
        <v>260</v>
      </c>
      <c r="CQ2473" s="5" t="s">
        <v>260</v>
      </c>
      <c r="CR2473" s="5" t="s">
        <v>261</v>
      </c>
      <c r="CU2473" s="8">
        <f>1</f>
        <v>1</v>
      </c>
      <c r="CV2473" s="8">
        <f>0</f>
        <v>0</v>
      </c>
      <c r="CX2473" s="8">
        <f>0</f>
        <v>0</v>
      </c>
      <c r="CY2473" s="8">
        <f>1</f>
        <v>1</v>
      </c>
      <c r="DA2473" s="5" t="s">
        <v>274</v>
      </c>
      <c r="DB2473" s="5" t="s">
        <v>238</v>
      </c>
      <c r="DD2473" s="5" t="s">
        <v>274</v>
      </c>
      <c r="DE2473" s="8">
        <f>981</f>
        <v>981</v>
      </c>
      <c r="DG2473" s="5" t="s">
        <v>238</v>
      </c>
      <c r="DH2473" s="5" t="s">
        <v>238</v>
      </c>
      <c r="DI2473" s="5" t="s">
        <v>238</v>
      </c>
      <c r="DJ2473" s="5" t="s">
        <v>238</v>
      </c>
      <c r="DN2473" s="5" t="s">
        <v>238</v>
      </c>
      <c r="DO2473" s="5" t="s">
        <v>238</v>
      </c>
      <c r="DP2473" s="5" t="s">
        <v>238</v>
      </c>
      <c r="DQ2473" s="5" t="s">
        <v>238</v>
      </c>
      <c r="DT2473" s="5" t="s">
        <v>275</v>
      </c>
      <c r="DU2473" s="5" t="s">
        <v>2724</v>
      </c>
      <c r="HM2473" s="5" t="s">
        <v>264</v>
      </c>
    </row>
    <row r="2474" spans="1:221" x14ac:dyDescent="0.4">
      <c r="A2474" s="5">
        <v>4178</v>
      </c>
      <c r="B2474" s="5">
        <v>1</v>
      </c>
      <c r="C2474" s="5">
        <v>1</v>
      </c>
      <c r="D2474" s="5" t="s">
        <v>269</v>
      </c>
      <c r="E2474" s="5" t="s">
        <v>271</v>
      </c>
      <c r="F2474" s="5" t="s">
        <v>248</v>
      </c>
      <c r="G2474" s="5" t="s">
        <v>266</v>
      </c>
      <c r="H2474" s="6" t="s">
        <v>4092</v>
      </c>
      <c r="I2474" s="7">
        <f>924</f>
        <v>924</v>
      </c>
      <c r="J2474" s="5" t="s">
        <v>262</v>
      </c>
      <c r="K2474" s="8">
        <f>1</f>
        <v>1</v>
      </c>
      <c r="L2474" s="6" t="s">
        <v>242</v>
      </c>
      <c r="M2474" s="5" t="s">
        <v>267</v>
      </c>
      <c r="N2474" s="5" t="s">
        <v>265</v>
      </c>
      <c r="O2474" s="5" t="s">
        <v>238</v>
      </c>
      <c r="P2474" s="5" t="s">
        <v>238</v>
      </c>
      <c r="Q2474" s="5" t="s">
        <v>268</v>
      </c>
      <c r="R2474" s="5" t="s">
        <v>270</v>
      </c>
      <c r="S2474" s="5" t="s">
        <v>238</v>
      </c>
      <c r="V2474" s="5" t="s">
        <v>238</v>
      </c>
      <c r="X2474" s="6" t="s">
        <v>238</v>
      </c>
      <c r="AA2474" s="6" t="s">
        <v>243</v>
      </c>
      <c r="AB2474" s="5" t="s">
        <v>238</v>
      </c>
      <c r="AC2474" s="5" t="s">
        <v>244</v>
      </c>
      <c r="AD2474" s="5" t="s">
        <v>245</v>
      </c>
      <c r="AT2474" s="5" t="s">
        <v>246</v>
      </c>
      <c r="AU2474" s="5" t="s">
        <v>238</v>
      </c>
      <c r="AV2474" s="5" t="s">
        <v>247</v>
      </c>
      <c r="AW2474" s="5" t="s">
        <v>238</v>
      </c>
      <c r="AX2474" s="5" t="s">
        <v>249</v>
      </c>
      <c r="AY2474" s="5" t="s">
        <v>238</v>
      </c>
      <c r="BA2474" s="5" t="s">
        <v>238</v>
      </c>
      <c r="BC2474" s="5" t="s">
        <v>250</v>
      </c>
      <c r="BD2474" s="6" t="s">
        <v>243</v>
      </c>
      <c r="BE2474" s="5" t="s">
        <v>251</v>
      </c>
      <c r="BF2474" s="5" t="s">
        <v>252</v>
      </c>
      <c r="BG2474" s="5" t="s">
        <v>238</v>
      </c>
      <c r="BH2474" s="7">
        <f>0</f>
        <v>0</v>
      </c>
      <c r="BI2474" s="8">
        <f>0</f>
        <v>0</v>
      </c>
      <c r="BJ2474" s="5" t="s">
        <v>253</v>
      </c>
      <c r="BK2474" s="5" t="s">
        <v>254</v>
      </c>
      <c r="BY2474" s="5" t="s">
        <v>238</v>
      </c>
      <c r="BZ2474" s="5" t="s">
        <v>238</v>
      </c>
      <c r="CD2474" s="5" t="s">
        <v>273</v>
      </c>
      <c r="CE2474" s="5" t="s">
        <v>256</v>
      </c>
      <c r="CF2474" s="5" t="s">
        <v>238</v>
      </c>
      <c r="CI2474" s="6" t="s">
        <v>257</v>
      </c>
      <c r="CJ2474" s="5" t="s">
        <v>238</v>
      </c>
      <c r="CK2474" s="5" t="s">
        <v>258</v>
      </c>
      <c r="CL2474" s="5" t="s">
        <v>238</v>
      </c>
      <c r="CM2474" s="5" t="s">
        <v>238</v>
      </c>
      <c r="CN2474" s="5">
        <v>0</v>
      </c>
      <c r="CO2474" s="5" t="s">
        <v>259</v>
      </c>
      <c r="CP2474" s="5" t="s">
        <v>260</v>
      </c>
      <c r="CQ2474" s="5" t="s">
        <v>260</v>
      </c>
      <c r="CR2474" s="5" t="s">
        <v>261</v>
      </c>
      <c r="CU2474" s="8">
        <f>1</f>
        <v>1</v>
      </c>
      <c r="CV2474" s="8">
        <f>0</f>
        <v>0</v>
      </c>
      <c r="CX2474" s="8">
        <f>0</f>
        <v>0</v>
      </c>
      <c r="CY2474" s="8">
        <f>1</f>
        <v>1</v>
      </c>
      <c r="DA2474" s="5" t="s">
        <v>274</v>
      </c>
      <c r="DB2474" s="5" t="s">
        <v>238</v>
      </c>
      <c r="DD2474" s="5" t="s">
        <v>274</v>
      </c>
      <c r="DE2474" s="8">
        <f>924</f>
        <v>924</v>
      </c>
      <c r="DG2474" s="5" t="s">
        <v>238</v>
      </c>
      <c r="DH2474" s="5" t="s">
        <v>238</v>
      </c>
      <c r="DI2474" s="5" t="s">
        <v>238</v>
      </c>
      <c r="DJ2474" s="5" t="s">
        <v>238</v>
      </c>
      <c r="DN2474" s="5" t="s">
        <v>238</v>
      </c>
      <c r="DO2474" s="5" t="s">
        <v>238</v>
      </c>
      <c r="DP2474" s="5" t="s">
        <v>238</v>
      </c>
      <c r="DQ2474" s="5" t="s">
        <v>238</v>
      </c>
      <c r="DT2474" s="5" t="s">
        <v>275</v>
      </c>
      <c r="DU2474" s="5" t="s">
        <v>2722</v>
      </c>
      <c r="HM2474" s="5" t="s">
        <v>264</v>
      </c>
    </row>
    <row r="2475" spans="1:221" x14ac:dyDescent="0.4">
      <c r="A2475" s="5">
        <v>4179</v>
      </c>
      <c r="B2475" s="5">
        <v>1</v>
      </c>
      <c r="C2475" s="5">
        <v>1</v>
      </c>
      <c r="D2475" s="5" t="s">
        <v>269</v>
      </c>
      <c r="E2475" s="5" t="s">
        <v>271</v>
      </c>
      <c r="F2475" s="5" t="s">
        <v>248</v>
      </c>
      <c r="G2475" s="5" t="s">
        <v>266</v>
      </c>
      <c r="H2475" s="6" t="s">
        <v>4094</v>
      </c>
      <c r="I2475" s="7">
        <f>2466</f>
        <v>2466</v>
      </c>
      <c r="J2475" s="5" t="s">
        <v>262</v>
      </c>
      <c r="K2475" s="8">
        <f>1</f>
        <v>1</v>
      </c>
      <c r="L2475" s="6" t="s">
        <v>242</v>
      </c>
      <c r="M2475" s="5" t="s">
        <v>267</v>
      </c>
      <c r="N2475" s="5" t="s">
        <v>265</v>
      </c>
      <c r="O2475" s="5" t="s">
        <v>238</v>
      </c>
      <c r="P2475" s="5" t="s">
        <v>238</v>
      </c>
      <c r="Q2475" s="5" t="s">
        <v>268</v>
      </c>
      <c r="R2475" s="5" t="s">
        <v>270</v>
      </c>
      <c r="S2475" s="5" t="s">
        <v>238</v>
      </c>
      <c r="V2475" s="5" t="s">
        <v>238</v>
      </c>
      <c r="X2475" s="6" t="s">
        <v>238</v>
      </c>
      <c r="AA2475" s="6" t="s">
        <v>243</v>
      </c>
      <c r="AB2475" s="5" t="s">
        <v>238</v>
      </c>
      <c r="AC2475" s="5" t="s">
        <v>244</v>
      </c>
      <c r="AD2475" s="5" t="s">
        <v>245</v>
      </c>
      <c r="AT2475" s="5" t="s">
        <v>246</v>
      </c>
      <c r="AU2475" s="5" t="s">
        <v>238</v>
      </c>
      <c r="AV2475" s="5" t="s">
        <v>247</v>
      </c>
      <c r="AW2475" s="5" t="s">
        <v>238</v>
      </c>
      <c r="AX2475" s="5" t="s">
        <v>249</v>
      </c>
      <c r="AY2475" s="5" t="s">
        <v>238</v>
      </c>
      <c r="BA2475" s="5" t="s">
        <v>238</v>
      </c>
      <c r="BC2475" s="5" t="s">
        <v>250</v>
      </c>
      <c r="BD2475" s="6" t="s">
        <v>243</v>
      </c>
      <c r="BE2475" s="5" t="s">
        <v>251</v>
      </c>
      <c r="BF2475" s="5" t="s">
        <v>252</v>
      </c>
      <c r="BG2475" s="5" t="s">
        <v>238</v>
      </c>
      <c r="BH2475" s="7">
        <f>0</f>
        <v>0</v>
      </c>
      <c r="BI2475" s="8">
        <f>0</f>
        <v>0</v>
      </c>
      <c r="BJ2475" s="5" t="s">
        <v>253</v>
      </c>
      <c r="BK2475" s="5" t="s">
        <v>254</v>
      </c>
      <c r="BY2475" s="5" t="s">
        <v>238</v>
      </c>
      <c r="BZ2475" s="5" t="s">
        <v>238</v>
      </c>
      <c r="CD2475" s="5" t="s">
        <v>273</v>
      </c>
      <c r="CE2475" s="5" t="s">
        <v>256</v>
      </c>
      <c r="CF2475" s="5" t="s">
        <v>238</v>
      </c>
      <c r="CI2475" s="6" t="s">
        <v>257</v>
      </c>
      <c r="CJ2475" s="5" t="s">
        <v>238</v>
      </c>
      <c r="CK2475" s="5" t="s">
        <v>258</v>
      </c>
      <c r="CL2475" s="5" t="s">
        <v>238</v>
      </c>
      <c r="CM2475" s="5" t="s">
        <v>238</v>
      </c>
      <c r="CN2475" s="5">
        <v>0</v>
      </c>
      <c r="CO2475" s="5" t="s">
        <v>259</v>
      </c>
      <c r="CP2475" s="5" t="s">
        <v>260</v>
      </c>
      <c r="CQ2475" s="5" t="s">
        <v>260</v>
      </c>
      <c r="CR2475" s="5" t="s">
        <v>261</v>
      </c>
      <c r="CU2475" s="8">
        <f>1</f>
        <v>1</v>
      </c>
      <c r="CV2475" s="8">
        <f>0</f>
        <v>0</v>
      </c>
      <c r="CX2475" s="8">
        <f>0</f>
        <v>0</v>
      </c>
      <c r="CY2475" s="8">
        <f>1</f>
        <v>1</v>
      </c>
      <c r="DA2475" s="5" t="s">
        <v>274</v>
      </c>
      <c r="DB2475" s="5" t="s">
        <v>238</v>
      </c>
      <c r="DD2475" s="5" t="s">
        <v>274</v>
      </c>
      <c r="DE2475" s="8">
        <f>2466</f>
        <v>2466</v>
      </c>
      <c r="DG2475" s="5" t="s">
        <v>238</v>
      </c>
      <c r="DH2475" s="5" t="s">
        <v>238</v>
      </c>
      <c r="DI2475" s="5" t="s">
        <v>238</v>
      </c>
      <c r="DJ2475" s="5" t="s">
        <v>238</v>
      </c>
      <c r="DN2475" s="5" t="s">
        <v>238</v>
      </c>
      <c r="DO2475" s="5" t="s">
        <v>238</v>
      </c>
      <c r="DP2475" s="5" t="s">
        <v>238</v>
      </c>
      <c r="DQ2475" s="5" t="s">
        <v>238</v>
      </c>
      <c r="DT2475" s="5" t="s">
        <v>275</v>
      </c>
      <c r="DU2475" s="5" t="s">
        <v>2720</v>
      </c>
      <c r="HM2475" s="5" t="s">
        <v>264</v>
      </c>
    </row>
    <row r="2476" spans="1:221" x14ac:dyDescent="0.4">
      <c r="A2476" s="5">
        <v>4180</v>
      </c>
      <c r="B2476" s="5">
        <v>1</v>
      </c>
      <c r="C2476" s="5">
        <v>1</v>
      </c>
      <c r="D2476" s="5" t="s">
        <v>269</v>
      </c>
      <c r="E2476" s="5" t="s">
        <v>271</v>
      </c>
      <c r="F2476" s="5" t="s">
        <v>248</v>
      </c>
      <c r="G2476" s="5" t="s">
        <v>266</v>
      </c>
      <c r="H2476" s="6" t="s">
        <v>4095</v>
      </c>
      <c r="I2476" s="7">
        <f>185</f>
        <v>185</v>
      </c>
      <c r="J2476" s="5" t="s">
        <v>262</v>
      </c>
      <c r="K2476" s="8">
        <f>1</f>
        <v>1</v>
      </c>
      <c r="L2476" s="6" t="s">
        <v>242</v>
      </c>
      <c r="M2476" s="5" t="s">
        <v>267</v>
      </c>
      <c r="N2476" s="5" t="s">
        <v>265</v>
      </c>
      <c r="O2476" s="5" t="s">
        <v>238</v>
      </c>
      <c r="P2476" s="5" t="s">
        <v>238</v>
      </c>
      <c r="Q2476" s="5" t="s">
        <v>268</v>
      </c>
      <c r="R2476" s="5" t="s">
        <v>270</v>
      </c>
      <c r="S2476" s="5" t="s">
        <v>238</v>
      </c>
      <c r="V2476" s="5" t="s">
        <v>238</v>
      </c>
      <c r="X2476" s="6" t="s">
        <v>238</v>
      </c>
      <c r="AA2476" s="6" t="s">
        <v>243</v>
      </c>
      <c r="AB2476" s="5" t="s">
        <v>238</v>
      </c>
      <c r="AC2476" s="5" t="s">
        <v>244</v>
      </c>
      <c r="AD2476" s="5" t="s">
        <v>245</v>
      </c>
      <c r="AT2476" s="5" t="s">
        <v>246</v>
      </c>
      <c r="AU2476" s="5" t="s">
        <v>238</v>
      </c>
      <c r="AV2476" s="5" t="s">
        <v>247</v>
      </c>
      <c r="AW2476" s="5" t="s">
        <v>238</v>
      </c>
      <c r="AX2476" s="5" t="s">
        <v>249</v>
      </c>
      <c r="AY2476" s="5" t="s">
        <v>238</v>
      </c>
      <c r="BA2476" s="5" t="s">
        <v>238</v>
      </c>
      <c r="BC2476" s="5" t="s">
        <v>250</v>
      </c>
      <c r="BD2476" s="6" t="s">
        <v>243</v>
      </c>
      <c r="BE2476" s="5" t="s">
        <v>251</v>
      </c>
      <c r="BF2476" s="5" t="s">
        <v>252</v>
      </c>
      <c r="BG2476" s="5" t="s">
        <v>238</v>
      </c>
      <c r="BH2476" s="7">
        <f>0</f>
        <v>0</v>
      </c>
      <c r="BI2476" s="8">
        <f>0</f>
        <v>0</v>
      </c>
      <c r="BJ2476" s="5" t="s">
        <v>253</v>
      </c>
      <c r="BK2476" s="5" t="s">
        <v>254</v>
      </c>
      <c r="BY2476" s="5" t="s">
        <v>238</v>
      </c>
      <c r="BZ2476" s="5" t="s">
        <v>238</v>
      </c>
      <c r="CD2476" s="5" t="s">
        <v>273</v>
      </c>
      <c r="CE2476" s="5" t="s">
        <v>256</v>
      </c>
      <c r="CF2476" s="5" t="s">
        <v>238</v>
      </c>
      <c r="CI2476" s="6" t="s">
        <v>257</v>
      </c>
      <c r="CJ2476" s="5" t="s">
        <v>238</v>
      </c>
      <c r="CK2476" s="5" t="s">
        <v>258</v>
      </c>
      <c r="CL2476" s="5" t="s">
        <v>238</v>
      </c>
      <c r="CM2476" s="5" t="s">
        <v>238</v>
      </c>
      <c r="CN2476" s="5">
        <v>0</v>
      </c>
      <c r="CO2476" s="5" t="s">
        <v>259</v>
      </c>
      <c r="CP2476" s="5" t="s">
        <v>260</v>
      </c>
      <c r="CQ2476" s="5" t="s">
        <v>260</v>
      </c>
      <c r="CR2476" s="5" t="s">
        <v>261</v>
      </c>
      <c r="CU2476" s="8">
        <f>1</f>
        <v>1</v>
      </c>
      <c r="CV2476" s="8">
        <f>0</f>
        <v>0</v>
      </c>
      <c r="CX2476" s="8">
        <f>0</f>
        <v>0</v>
      </c>
      <c r="CY2476" s="8">
        <f>1</f>
        <v>1</v>
      </c>
      <c r="DA2476" s="5" t="s">
        <v>274</v>
      </c>
      <c r="DB2476" s="5" t="s">
        <v>238</v>
      </c>
      <c r="DD2476" s="5" t="s">
        <v>274</v>
      </c>
      <c r="DE2476" s="8">
        <f>185</f>
        <v>185</v>
      </c>
      <c r="DG2476" s="5" t="s">
        <v>238</v>
      </c>
      <c r="DH2476" s="5" t="s">
        <v>238</v>
      </c>
      <c r="DI2476" s="5" t="s">
        <v>238</v>
      </c>
      <c r="DJ2476" s="5" t="s">
        <v>238</v>
      </c>
      <c r="DN2476" s="5" t="s">
        <v>238</v>
      </c>
      <c r="DO2476" s="5" t="s">
        <v>238</v>
      </c>
      <c r="DP2476" s="5" t="s">
        <v>238</v>
      </c>
      <c r="DQ2476" s="5" t="s">
        <v>238</v>
      </c>
      <c r="DT2476" s="5" t="s">
        <v>275</v>
      </c>
      <c r="DU2476" s="5" t="s">
        <v>2718</v>
      </c>
      <c r="HM2476" s="5" t="s">
        <v>264</v>
      </c>
    </row>
    <row r="2477" spans="1:221" x14ac:dyDescent="0.4">
      <c r="A2477" s="5">
        <v>4181</v>
      </c>
      <c r="B2477" s="5">
        <v>1</v>
      </c>
      <c r="C2477" s="5">
        <v>1</v>
      </c>
      <c r="D2477" s="5" t="s">
        <v>269</v>
      </c>
      <c r="E2477" s="5" t="s">
        <v>271</v>
      </c>
      <c r="F2477" s="5" t="s">
        <v>248</v>
      </c>
      <c r="G2477" s="5" t="s">
        <v>266</v>
      </c>
      <c r="H2477" s="6" t="s">
        <v>4097</v>
      </c>
      <c r="I2477" s="7">
        <f>261</f>
        <v>261</v>
      </c>
      <c r="J2477" s="5" t="s">
        <v>262</v>
      </c>
      <c r="K2477" s="8">
        <f>1</f>
        <v>1</v>
      </c>
      <c r="L2477" s="6" t="s">
        <v>242</v>
      </c>
      <c r="M2477" s="5" t="s">
        <v>267</v>
      </c>
      <c r="N2477" s="5" t="s">
        <v>265</v>
      </c>
      <c r="O2477" s="5" t="s">
        <v>238</v>
      </c>
      <c r="P2477" s="5" t="s">
        <v>238</v>
      </c>
      <c r="Q2477" s="5" t="s">
        <v>268</v>
      </c>
      <c r="R2477" s="5" t="s">
        <v>270</v>
      </c>
      <c r="S2477" s="5" t="s">
        <v>238</v>
      </c>
      <c r="V2477" s="5" t="s">
        <v>238</v>
      </c>
      <c r="X2477" s="6" t="s">
        <v>238</v>
      </c>
      <c r="AA2477" s="6" t="s">
        <v>243</v>
      </c>
      <c r="AB2477" s="5" t="s">
        <v>238</v>
      </c>
      <c r="AC2477" s="5" t="s">
        <v>244</v>
      </c>
      <c r="AD2477" s="5" t="s">
        <v>245</v>
      </c>
      <c r="AT2477" s="5" t="s">
        <v>246</v>
      </c>
      <c r="AU2477" s="5" t="s">
        <v>238</v>
      </c>
      <c r="AV2477" s="5" t="s">
        <v>247</v>
      </c>
      <c r="AW2477" s="5" t="s">
        <v>238</v>
      </c>
      <c r="AX2477" s="5" t="s">
        <v>249</v>
      </c>
      <c r="AY2477" s="5" t="s">
        <v>238</v>
      </c>
      <c r="BA2477" s="5" t="s">
        <v>238</v>
      </c>
      <c r="BC2477" s="5" t="s">
        <v>250</v>
      </c>
      <c r="BD2477" s="6" t="s">
        <v>243</v>
      </c>
      <c r="BE2477" s="5" t="s">
        <v>251</v>
      </c>
      <c r="BF2477" s="5" t="s">
        <v>252</v>
      </c>
      <c r="BG2477" s="5" t="s">
        <v>238</v>
      </c>
      <c r="BH2477" s="7">
        <f>0</f>
        <v>0</v>
      </c>
      <c r="BI2477" s="8">
        <f>0</f>
        <v>0</v>
      </c>
      <c r="BJ2477" s="5" t="s">
        <v>253</v>
      </c>
      <c r="BK2477" s="5" t="s">
        <v>254</v>
      </c>
      <c r="BY2477" s="5" t="s">
        <v>238</v>
      </c>
      <c r="BZ2477" s="5" t="s">
        <v>238</v>
      </c>
      <c r="CD2477" s="5" t="s">
        <v>273</v>
      </c>
      <c r="CE2477" s="5" t="s">
        <v>256</v>
      </c>
      <c r="CF2477" s="5" t="s">
        <v>238</v>
      </c>
      <c r="CI2477" s="6" t="s">
        <v>257</v>
      </c>
      <c r="CJ2477" s="5" t="s">
        <v>238</v>
      </c>
      <c r="CK2477" s="5" t="s">
        <v>258</v>
      </c>
      <c r="CL2477" s="5" t="s">
        <v>238</v>
      </c>
      <c r="CM2477" s="5" t="s">
        <v>238</v>
      </c>
      <c r="CN2477" s="5">
        <v>0</v>
      </c>
      <c r="CO2477" s="5" t="s">
        <v>259</v>
      </c>
      <c r="CP2477" s="5" t="s">
        <v>260</v>
      </c>
      <c r="CQ2477" s="5" t="s">
        <v>260</v>
      </c>
      <c r="CR2477" s="5" t="s">
        <v>261</v>
      </c>
      <c r="CU2477" s="8">
        <f>1</f>
        <v>1</v>
      </c>
      <c r="CV2477" s="8">
        <f>0</f>
        <v>0</v>
      </c>
      <c r="CX2477" s="8">
        <f>0</f>
        <v>0</v>
      </c>
      <c r="CY2477" s="8">
        <f>1</f>
        <v>1</v>
      </c>
      <c r="DA2477" s="5" t="s">
        <v>274</v>
      </c>
      <c r="DB2477" s="5" t="s">
        <v>238</v>
      </c>
      <c r="DD2477" s="5" t="s">
        <v>274</v>
      </c>
      <c r="DE2477" s="8">
        <f>261</f>
        <v>261</v>
      </c>
      <c r="DG2477" s="5" t="s">
        <v>238</v>
      </c>
      <c r="DH2477" s="5" t="s">
        <v>238</v>
      </c>
      <c r="DI2477" s="5" t="s">
        <v>238</v>
      </c>
      <c r="DJ2477" s="5" t="s">
        <v>238</v>
      </c>
      <c r="DN2477" s="5" t="s">
        <v>238</v>
      </c>
      <c r="DO2477" s="5" t="s">
        <v>238</v>
      </c>
      <c r="DP2477" s="5" t="s">
        <v>238</v>
      </c>
      <c r="DQ2477" s="5" t="s">
        <v>238</v>
      </c>
      <c r="DT2477" s="5" t="s">
        <v>275</v>
      </c>
      <c r="DU2477" s="5" t="s">
        <v>2716</v>
      </c>
      <c r="HM2477" s="5" t="s">
        <v>264</v>
      </c>
    </row>
    <row r="2478" spans="1:221" x14ac:dyDescent="0.4">
      <c r="A2478" s="5">
        <v>4182</v>
      </c>
      <c r="B2478" s="5">
        <v>1</v>
      </c>
      <c r="C2478" s="5">
        <v>1</v>
      </c>
      <c r="D2478" s="5" t="s">
        <v>269</v>
      </c>
      <c r="E2478" s="5" t="s">
        <v>271</v>
      </c>
      <c r="F2478" s="5" t="s">
        <v>248</v>
      </c>
      <c r="G2478" s="5" t="s">
        <v>266</v>
      </c>
      <c r="H2478" s="6" t="s">
        <v>4098</v>
      </c>
      <c r="I2478" s="7">
        <f>2476</f>
        <v>2476</v>
      </c>
      <c r="J2478" s="5" t="s">
        <v>262</v>
      </c>
      <c r="K2478" s="8">
        <f>1</f>
        <v>1</v>
      </c>
      <c r="L2478" s="6" t="s">
        <v>242</v>
      </c>
      <c r="M2478" s="5" t="s">
        <v>267</v>
      </c>
      <c r="N2478" s="5" t="s">
        <v>265</v>
      </c>
      <c r="O2478" s="5" t="s">
        <v>238</v>
      </c>
      <c r="P2478" s="5" t="s">
        <v>238</v>
      </c>
      <c r="Q2478" s="5" t="s">
        <v>268</v>
      </c>
      <c r="R2478" s="5" t="s">
        <v>270</v>
      </c>
      <c r="S2478" s="5" t="s">
        <v>238</v>
      </c>
      <c r="V2478" s="5" t="s">
        <v>238</v>
      </c>
      <c r="X2478" s="6" t="s">
        <v>238</v>
      </c>
      <c r="AA2478" s="6" t="s">
        <v>243</v>
      </c>
      <c r="AB2478" s="5" t="s">
        <v>238</v>
      </c>
      <c r="AC2478" s="5" t="s">
        <v>244</v>
      </c>
      <c r="AD2478" s="5" t="s">
        <v>245</v>
      </c>
      <c r="AT2478" s="5" t="s">
        <v>246</v>
      </c>
      <c r="AU2478" s="5" t="s">
        <v>238</v>
      </c>
      <c r="AV2478" s="5" t="s">
        <v>247</v>
      </c>
      <c r="AW2478" s="5" t="s">
        <v>238</v>
      </c>
      <c r="AX2478" s="5" t="s">
        <v>249</v>
      </c>
      <c r="AY2478" s="5" t="s">
        <v>238</v>
      </c>
      <c r="BA2478" s="5" t="s">
        <v>238</v>
      </c>
      <c r="BC2478" s="5" t="s">
        <v>250</v>
      </c>
      <c r="BD2478" s="6" t="s">
        <v>243</v>
      </c>
      <c r="BE2478" s="5" t="s">
        <v>251</v>
      </c>
      <c r="BF2478" s="5" t="s">
        <v>252</v>
      </c>
      <c r="BG2478" s="5" t="s">
        <v>238</v>
      </c>
      <c r="BH2478" s="7">
        <f>0</f>
        <v>0</v>
      </c>
      <c r="BI2478" s="8">
        <f>0</f>
        <v>0</v>
      </c>
      <c r="BJ2478" s="5" t="s">
        <v>253</v>
      </c>
      <c r="BK2478" s="5" t="s">
        <v>254</v>
      </c>
      <c r="BY2478" s="5" t="s">
        <v>238</v>
      </c>
      <c r="BZ2478" s="5" t="s">
        <v>238</v>
      </c>
      <c r="CD2478" s="5" t="s">
        <v>273</v>
      </c>
      <c r="CE2478" s="5" t="s">
        <v>256</v>
      </c>
      <c r="CF2478" s="5" t="s">
        <v>238</v>
      </c>
      <c r="CI2478" s="6" t="s">
        <v>257</v>
      </c>
      <c r="CJ2478" s="5" t="s">
        <v>238</v>
      </c>
      <c r="CK2478" s="5" t="s">
        <v>258</v>
      </c>
      <c r="CL2478" s="5" t="s">
        <v>238</v>
      </c>
      <c r="CM2478" s="5" t="s">
        <v>238</v>
      </c>
      <c r="CN2478" s="5">
        <v>0</v>
      </c>
      <c r="CO2478" s="5" t="s">
        <v>259</v>
      </c>
      <c r="CP2478" s="5" t="s">
        <v>260</v>
      </c>
      <c r="CQ2478" s="5" t="s">
        <v>260</v>
      </c>
      <c r="CR2478" s="5" t="s">
        <v>261</v>
      </c>
      <c r="CU2478" s="8">
        <f>1</f>
        <v>1</v>
      </c>
      <c r="CV2478" s="8">
        <f>0</f>
        <v>0</v>
      </c>
      <c r="CX2478" s="8">
        <f>0</f>
        <v>0</v>
      </c>
      <c r="CY2478" s="8">
        <f>1</f>
        <v>1</v>
      </c>
      <c r="DA2478" s="5" t="s">
        <v>274</v>
      </c>
      <c r="DB2478" s="5" t="s">
        <v>238</v>
      </c>
      <c r="DD2478" s="5" t="s">
        <v>274</v>
      </c>
      <c r="DE2478" s="8">
        <f>2476</f>
        <v>2476</v>
      </c>
      <c r="DG2478" s="5" t="s">
        <v>238</v>
      </c>
      <c r="DH2478" s="5" t="s">
        <v>238</v>
      </c>
      <c r="DI2478" s="5" t="s">
        <v>238</v>
      </c>
      <c r="DJ2478" s="5" t="s">
        <v>238</v>
      </c>
      <c r="DN2478" s="5" t="s">
        <v>238</v>
      </c>
      <c r="DO2478" s="5" t="s">
        <v>238</v>
      </c>
      <c r="DP2478" s="5" t="s">
        <v>238</v>
      </c>
      <c r="DQ2478" s="5" t="s">
        <v>238</v>
      </c>
      <c r="DT2478" s="5" t="s">
        <v>275</v>
      </c>
      <c r="DU2478" s="5" t="s">
        <v>2714</v>
      </c>
      <c r="HM2478" s="5" t="s">
        <v>264</v>
      </c>
    </row>
    <row r="2479" spans="1:221" x14ac:dyDescent="0.4">
      <c r="A2479" s="5">
        <v>4183</v>
      </c>
      <c r="B2479" s="5">
        <v>1</v>
      </c>
      <c r="C2479" s="5">
        <v>1</v>
      </c>
      <c r="D2479" s="5" t="s">
        <v>269</v>
      </c>
      <c r="E2479" s="5" t="s">
        <v>271</v>
      </c>
      <c r="F2479" s="5" t="s">
        <v>248</v>
      </c>
      <c r="G2479" s="5" t="s">
        <v>266</v>
      </c>
      <c r="H2479" s="6" t="s">
        <v>4100</v>
      </c>
      <c r="I2479" s="7">
        <f>53</f>
        <v>53</v>
      </c>
      <c r="J2479" s="5" t="s">
        <v>262</v>
      </c>
      <c r="K2479" s="8">
        <f>1</f>
        <v>1</v>
      </c>
      <c r="L2479" s="6" t="s">
        <v>242</v>
      </c>
      <c r="M2479" s="5" t="s">
        <v>267</v>
      </c>
      <c r="N2479" s="5" t="s">
        <v>265</v>
      </c>
      <c r="O2479" s="5" t="s">
        <v>238</v>
      </c>
      <c r="P2479" s="5" t="s">
        <v>238</v>
      </c>
      <c r="Q2479" s="5" t="s">
        <v>268</v>
      </c>
      <c r="R2479" s="5" t="s">
        <v>270</v>
      </c>
      <c r="S2479" s="5" t="s">
        <v>238</v>
      </c>
      <c r="V2479" s="5" t="s">
        <v>238</v>
      </c>
      <c r="X2479" s="6" t="s">
        <v>238</v>
      </c>
      <c r="AA2479" s="6" t="s">
        <v>243</v>
      </c>
      <c r="AB2479" s="5" t="s">
        <v>238</v>
      </c>
      <c r="AC2479" s="5" t="s">
        <v>244</v>
      </c>
      <c r="AD2479" s="5" t="s">
        <v>245</v>
      </c>
      <c r="AT2479" s="5" t="s">
        <v>246</v>
      </c>
      <c r="AU2479" s="5" t="s">
        <v>238</v>
      </c>
      <c r="AV2479" s="5" t="s">
        <v>247</v>
      </c>
      <c r="AW2479" s="5" t="s">
        <v>238</v>
      </c>
      <c r="AX2479" s="5" t="s">
        <v>249</v>
      </c>
      <c r="AY2479" s="5" t="s">
        <v>238</v>
      </c>
      <c r="BA2479" s="5" t="s">
        <v>238</v>
      </c>
      <c r="BC2479" s="5" t="s">
        <v>250</v>
      </c>
      <c r="BD2479" s="6" t="s">
        <v>243</v>
      </c>
      <c r="BE2479" s="5" t="s">
        <v>251</v>
      </c>
      <c r="BF2479" s="5" t="s">
        <v>252</v>
      </c>
      <c r="BG2479" s="5" t="s">
        <v>238</v>
      </c>
      <c r="BH2479" s="7">
        <f>0</f>
        <v>0</v>
      </c>
      <c r="BI2479" s="8">
        <f>0</f>
        <v>0</v>
      </c>
      <c r="BJ2479" s="5" t="s">
        <v>253</v>
      </c>
      <c r="BK2479" s="5" t="s">
        <v>254</v>
      </c>
      <c r="BY2479" s="5" t="s">
        <v>238</v>
      </c>
      <c r="BZ2479" s="5" t="s">
        <v>238</v>
      </c>
      <c r="CD2479" s="5" t="s">
        <v>273</v>
      </c>
      <c r="CE2479" s="5" t="s">
        <v>256</v>
      </c>
      <c r="CF2479" s="5" t="s">
        <v>238</v>
      </c>
      <c r="CI2479" s="6" t="s">
        <v>257</v>
      </c>
      <c r="CJ2479" s="5" t="s">
        <v>238</v>
      </c>
      <c r="CK2479" s="5" t="s">
        <v>258</v>
      </c>
      <c r="CL2479" s="5" t="s">
        <v>238</v>
      </c>
      <c r="CM2479" s="5" t="s">
        <v>238</v>
      </c>
      <c r="CN2479" s="5">
        <v>0</v>
      </c>
      <c r="CO2479" s="5" t="s">
        <v>259</v>
      </c>
      <c r="CP2479" s="5" t="s">
        <v>260</v>
      </c>
      <c r="CQ2479" s="5" t="s">
        <v>260</v>
      </c>
      <c r="CR2479" s="5" t="s">
        <v>261</v>
      </c>
      <c r="CU2479" s="8">
        <f>1</f>
        <v>1</v>
      </c>
      <c r="CV2479" s="8">
        <f>0</f>
        <v>0</v>
      </c>
      <c r="CX2479" s="8">
        <f>0</f>
        <v>0</v>
      </c>
      <c r="CY2479" s="8">
        <f>1</f>
        <v>1</v>
      </c>
      <c r="DA2479" s="5" t="s">
        <v>274</v>
      </c>
      <c r="DB2479" s="5" t="s">
        <v>238</v>
      </c>
      <c r="DD2479" s="5" t="s">
        <v>274</v>
      </c>
      <c r="DE2479" s="8">
        <f>53</f>
        <v>53</v>
      </c>
      <c r="DG2479" s="5" t="s">
        <v>238</v>
      </c>
      <c r="DH2479" s="5" t="s">
        <v>238</v>
      </c>
      <c r="DI2479" s="5" t="s">
        <v>238</v>
      </c>
      <c r="DJ2479" s="5" t="s">
        <v>238</v>
      </c>
      <c r="DN2479" s="5" t="s">
        <v>238</v>
      </c>
      <c r="DO2479" s="5" t="s">
        <v>238</v>
      </c>
      <c r="DP2479" s="5" t="s">
        <v>238</v>
      </c>
      <c r="DQ2479" s="5" t="s">
        <v>238</v>
      </c>
      <c r="DT2479" s="5" t="s">
        <v>275</v>
      </c>
      <c r="DU2479" s="5" t="s">
        <v>2712</v>
      </c>
      <c r="HM2479" s="5" t="s">
        <v>264</v>
      </c>
    </row>
    <row r="2480" spans="1:221" x14ac:dyDescent="0.4">
      <c r="A2480" s="5">
        <v>4184</v>
      </c>
      <c r="B2480" s="5">
        <v>1</v>
      </c>
      <c r="C2480" s="5">
        <v>1</v>
      </c>
      <c r="D2480" s="5" t="s">
        <v>269</v>
      </c>
      <c r="E2480" s="5" t="s">
        <v>271</v>
      </c>
      <c r="F2480" s="5" t="s">
        <v>248</v>
      </c>
      <c r="G2480" s="5" t="s">
        <v>266</v>
      </c>
      <c r="H2480" s="6" t="s">
        <v>4101</v>
      </c>
      <c r="I2480" s="7">
        <f>158</f>
        <v>158</v>
      </c>
      <c r="J2480" s="5" t="s">
        <v>262</v>
      </c>
      <c r="K2480" s="8">
        <f>1</f>
        <v>1</v>
      </c>
      <c r="L2480" s="6" t="s">
        <v>242</v>
      </c>
      <c r="M2480" s="5" t="s">
        <v>267</v>
      </c>
      <c r="N2480" s="5" t="s">
        <v>265</v>
      </c>
      <c r="O2480" s="5" t="s">
        <v>238</v>
      </c>
      <c r="P2480" s="5" t="s">
        <v>238</v>
      </c>
      <c r="Q2480" s="5" t="s">
        <v>268</v>
      </c>
      <c r="R2480" s="5" t="s">
        <v>270</v>
      </c>
      <c r="S2480" s="5" t="s">
        <v>238</v>
      </c>
      <c r="V2480" s="5" t="s">
        <v>238</v>
      </c>
      <c r="X2480" s="6" t="s">
        <v>238</v>
      </c>
      <c r="AA2480" s="6" t="s">
        <v>243</v>
      </c>
      <c r="AB2480" s="5" t="s">
        <v>238</v>
      </c>
      <c r="AC2480" s="5" t="s">
        <v>244</v>
      </c>
      <c r="AD2480" s="5" t="s">
        <v>245</v>
      </c>
      <c r="AT2480" s="5" t="s">
        <v>246</v>
      </c>
      <c r="AU2480" s="5" t="s">
        <v>238</v>
      </c>
      <c r="AV2480" s="5" t="s">
        <v>247</v>
      </c>
      <c r="AW2480" s="5" t="s">
        <v>238</v>
      </c>
      <c r="AX2480" s="5" t="s">
        <v>249</v>
      </c>
      <c r="AY2480" s="5" t="s">
        <v>238</v>
      </c>
      <c r="BA2480" s="5" t="s">
        <v>238</v>
      </c>
      <c r="BC2480" s="5" t="s">
        <v>250</v>
      </c>
      <c r="BD2480" s="6" t="s">
        <v>243</v>
      </c>
      <c r="BE2480" s="5" t="s">
        <v>251</v>
      </c>
      <c r="BF2480" s="5" t="s">
        <v>252</v>
      </c>
      <c r="BG2480" s="5" t="s">
        <v>238</v>
      </c>
      <c r="BH2480" s="7">
        <f>0</f>
        <v>0</v>
      </c>
      <c r="BI2480" s="8">
        <f>0</f>
        <v>0</v>
      </c>
      <c r="BJ2480" s="5" t="s">
        <v>253</v>
      </c>
      <c r="BK2480" s="5" t="s">
        <v>254</v>
      </c>
      <c r="BY2480" s="5" t="s">
        <v>238</v>
      </c>
      <c r="BZ2480" s="5" t="s">
        <v>238</v>
      </c>
      <c r="CD2480" s="5" t="s">
        <v>273</v>
      </c>
      <c r="CE2480" s="5" t="s">
        <v>256</v>
      </c>
      <c r="CF2480" s="5" t="s">
        <v>238</v>
      </c>
      <c r="CI2480" s="6" t="s">
        <v>257</v>
      </c>
      <c r="CJ2480" s="5" t="s">
        <v>238</v>
      </c>
      <c r="CK2480" s="5" t="s">
        <v>258</v>
      </c>
      <c r="CL2480" s="5" t="s">
        <v>238</v>
      </c>
      <c r="CM2480" s="5" t="s">
        <v>238</v>
      </c>
      <c r="CN2480" s="5">
        <v>0</v>
      </c>
      <c r="CO2480" s="5" t="s">
        <v>259</v>
      </c>
      <c r="CP2480" s="5" t="s">
        <v>260</v>
      </c>
      <c r="CQ2480" s="5" t="s">
        <v>260</v>
      </c>
      <c r="CR2480" s="5" t="s">
        <v>261</v>
      </c>
      <c r="CU2480" s="8">
        <f>1</f>
        <v>1</v>
      </c>
      <c r="CV2480" s="8">
        <f>0</f>
        <v>0</v>
      </c>
      <c r="CX2480" s="8">
        <f>0</f>
        <v>0</v>
      </c>
      <c r="CY2480" s="8">
        <f>1</f>
        <v>1</v>
      </c>
      <c r="DA2480" s="5" t="s">
        <v>274</v>
      </c>
      <c r="DB2480" s="5" t="s">
        <v>238</v>
      </c>
      <c r="DD2480" s="5" t="s">
        <v>274</v>
      </c>
      <c r="DE2480" s="8">
        <f>158</f>
        <v>158</v>
      </c>
      <c r="DG2480" s="5" t="s">
        <v>238</v>
      </c>
      <c r="DH2480" s="5" t="s">
        <v>238</v>
      </c>
      <c r="DI2480" s="5" t="s">
        <v>238</v>
      </c>
      <c r="DJ2480" s="5" t="s">
        <v>238</v>
      </c>
      <c r="DN2480" s="5" t="s">
        <v>238</v>
      </c>
      <c r="DO2480" s="5" t="s">
        <v>238</v>
      </c>
      <c r="DP2480" s="5" t="s">
        <v>238</v>
      </c>
      <c r="DQ2480" s="5" t="s">
        <v>238</v>
      </c>
      <c r="DT2480" s="5" t="s">
        <v>275</v>
      </c>
      <c r="DU2480" s="5" t="s">
        <v>2710</v>
      </c>
      <c r="HM2480" s="5" t="s">
        <v>264</v>
      </c>
    </row>
    <row r="2481" spans="1:221" x14ac:dyDescent="0.4">
      <c r="A2481" s="5">
        <v>4185</v>
      </c>
      <c r="B2481" s="5">
        <v>1</v>
      </c>
      <c r="C2481" s="5">
        <v>1</v>
      </c>
      <c r="D2481" s="5" t="s">
        <v>269</v>
      </c>
      <c r="E2481" s="5" t="s">
        <v>271</v>
      </c>
      <c r="F2481" s="5" t="s">
        <v>248</v>
      </c>
      <c r="G2481" s="5" t="s">
        <v>266</v>
      </c>
      <c r="H2481" s="6" t="s">
        <v>4104</v>
      </c>
      <c r="I2481" s="7">
        <f>314</f>
        <v>314</v>
      </c>
      <c r="J2481" s="5" t="s">
        <v>262</v>
      </c>
      <c r="K2481" s="8">
        <f>1</f>
        <v>1</v>
      </c>
      <c r="L2481" s="6" t="s">
        <v>242</v>
      </c>
      <c r="M2481" s="5" t="s">
        <v>267</v>
      </c>
      <c r="N2481" s="5" t="s">
        <v>265</v>
      </c>
      <c r="O2481" s="5" t="s">
        <v>238</v>
      </c>
      <c r="P2481" s="5" t="s">
        <v>238</v>
      </c>
      <c r="Q2481" s="5" t="s">
        <v>268</v>
      </c>
      <c r="R2481" s="5" t="s">
        <v>270</v>
      </c>
      <c r="S2481" s="5" t="s">
        <v>238</v>
      </c>
      <c r="V2481" s="5" t="s">
        <v>238</v>
      </c>
      <c r="X2481" s="6" t="s">
        <v>238</v>
      </c>
      <c r="AA2481" s="6" t="s">
        <v>243</v>
      </c>
      <c r="AB2481" s="5" t="s">
        <v>238</v>
      </c>
      <c r="AC2481" s="5" t="s">
        <v>244</v>
      </c>
      <c r="AD2481" s="5" t="s">
        <v>245</v>
      </c>
      <c r="AT2481" s="5" t="s">
        <v>246</v>
      </c>
      <c r="AU2481" s="5" t="s">
        <v>238</v>
      </c>
      <c r="AV2481" s="5" t="s">
        <v>247</v>
      </c>
      <c r="AW2481" s="5" t="s">
        <v>238</v>
      </c>
      <c r="AX2481" s="5" t="s">
        <v>249</v>
      </c>
      <c r="AY2481" s="5" t="s">
        <v>238</v>
      </c>
      <c r="BA2481" s="5" t="s">
        <v>238</v>
      </c>
      <c r="BC2481" s="5" t="s">
        <v>250</v>
      </c>
      <c r="BD2481" s="6" t="s">
        <v>243</v>
      </c>
      <c r="BE2481" s="5" t="s">
        <v>251</v>
      </c>
      <c r="BF2481" s="5" t="s">
        <v>252</v>
      </c>
      <c r="BG2481" s="5" t="s">
        <v>238</v>
      </c>
      <c r="BH2481" s="7">
        <f>0</f>
        <v>0</v>
      </c>
      <c r="BI2481" s="8">
        <f>0</f>
        <v>0</v>
      </c>
      <c r="BJ2481" s="5" t="s">
        <v>253</v>
      </c>
      <c r="BK2481" s="5" t="s">
        <v>254</v>
      </c>
      <c r="BY2481" s="5" t="s">
        <v>238</v>
      </c>
      <c r="BZ2481" s="5" t="s">
        <v>238</v>
      </c>
      <c r="CD2481" s="5" t="s">
        <v>273</v>
      </c>
      <c r="CE2481" s="5" t="s">
        <v>256</v>
      </c>
      <c r="CF2481" s="5" t="s">
        <v>238</v>
      </c>
      <c r="CI2481" s="6" t="s">
        <v>257</v>
      </c>
      <c r="CJ2481" s="5" t="s">
        <v>238</v>
      </c>
      <c r="CK2481" s="5" t="s">
        <v>258</v>
      </c>
      <c r="CL2481" s="5" t="s">
        <v>238</v>
      </c>
      <c r="CM2481" s="5" t="s">
        <v>238</v>
      </c>
      <c r="CN2481" s="5">
        <v>0</v>
      </c>
      <c r="CO2481" s="5" t="s">
        <v>259</v>
      </c>
      <c r="CP2481" s="5" t="s">
        <v>260</v>
      </c>
      <c r="CQ2481" s="5" t="s">
        <v>260</v>
      </c>
      <c r="CR2481" s="5" t="s">
        <v>261</v>
      </c>
      <c r="CU2481" s="8">
        <f>1</f>
        <v>1</v>
      </c>
      <c r="CV2481" s="8">
        <f>0</f>
        <v>0</v>
      </c>
      <c r="CX2481" s="8">
        <f>0</f>
        <v>0</v>
      </c>
      <c r="CY2481" s="8">
        <f>1</f>
        <v>1</v>
      </c>
      <c r="DA2481" s="5" t="s">
        <v>274</v>
      </c>
      <c r="DB2481" s="5" t="s">
        <v>238</v>
      </c>
      <c r="DD2481" s="5" t="s">
        <v>274</v>
      </c>
      <c r="DE2481" s="8">
        <f>314</f>
        <v>314</v>
      </c>
      <c r="DG2481" s="5" t="s">
        <v>238</v>
      </c>
      <c r="DH2481" s="5" t="s">
        <v>238</v>
      </c>
      <c r="DI2481" s="5" t="s">
        <v>238</v>
      </c>
      <c r="DJ2481" s="5" t="s">
        <v>238</v>
      </c>
      <c r="DN2481" s="5" t="s">
        <v>238</v>
      </c>
      <c r="DO2481" s="5" t="s">
        <v>238</v>
      </c>
      <c r="DP2481" s="5" t="s">
        <v>238</v>
      </c>
      <c r="DQ2481" s="5" t="s">
        <v>238</v>
      </c>
      <c r="DT2481" s="5" t="s">
        <v>275</v>
      </c>
      <c r="DU2481" s="5" t="s">
        <v>2708</v>
      </c>
      <c r="HM2481" s="5" t="s">
        <v>264</v>
      </c>
    </row>
    <row r="2482" spans="1:221" x14ac:dyDescent="0.4">
      <c r="A2482" s="5">
        <v>4186</v>
      </c>
      <c r="B2482" s="5">
        <v>1</v>
      </c>
      <c r="C2482" s="5">
        <v>1</v>
      </c>
      <c r="D2482" s="5" t="s">
        <v>269</v>
      </c>
      <c r="E2482" s="5" t="s">
        <v>271</v>
      </c>
      <c r="F2482" s="5" t="s">
        <v>248</v>
      </c>
      <c r="G2482" s="5" t="s">
        <v>266</v>
      </c>
      <c r="H2482" s="6" t="s">
        <v>4105</v>
      </c>
      <c r="I2482" s="7">
        <f>26</f>
        <v>26</v>
      </c>
      <c r="J2482" s="5" t="s">
        <v>262</v>
      </c>
      <c r="K2482" s="8">
        <f>1</f>
        <v>1</v>
      </c>
      <c r="L2482" s="6" t="s">
        <v>242</v>
      </c>
      <c r="M2482" s="5" t="s">
        <v>267</v>
      </c>
      <c r="N2482" s="5" t="s">
        <v>265</v>
      </c>
      <c r="O2482" s="5" t="s">
        <v>238</v>
      </c>
      <c r="P2482" s="5" t="s">
        <v>238</v>
      </c>
      <c r="Q2482" s="5" t="s">
        <v>268</v>
      </c>
      <c r="R2482" s="5" t="s">
        <v>270</v>
      </c>
      <c r="S2482" s="5" t="s">
        <v>238</v>
      </c>
      <c r="V2482" s="5" t="s">
        <v>238</v>
      </c>
      <c r="X2482" s="6" t="s">
        <v>238</v>
      </c>
      <c r="AA2482" s="6" t="s">
        <v>243</v>
      </c>
      <c r="AB2482" s="5" t="s">
        <v>238</v>
      </c>
      <c r="AC2482" s="5" t="s">
        <v>244</v>
      </c>
      <c r="AD2482" s="5" t="s">
        <v>245</v>
      </c>
      <c r="AT2482" s="5" t="s">
        <v>246</v>
      </c>
      <c r="AU2482" s="5" t="s">
        <v>238</v>
      </c>
      <c r="AV2482" s="5" t="s">
        <v>247</v>
      </c>
      <c r="AW2482" s="5" t="s">
        <v>238</v>
      </c>
      <c r="AX2482" s="5" t="s">
        <v>249</v>
      </c>
      <c r="AY2482" s="5" t="s">
        <v>238</v>
      </c>
      <c r="BA2482" s="5" t="s">
        <v>238</v>
      </c>
      <c r="BC2482" s="5" t="s">
        <v>250</v>
      </c>
      <c r="BD2482" s="6" t="s">
        <v>243</v>
      </c>
      <c r="BE2482" s="5" t="s">
        <v>251</v>
      </c>
      <c r="BF2482" s="5" t="s">
        <v>252</v>
      </c>
      <c r="BG2482" s="5" t="s">
        <v>238</v>
      </c>
      <c r="BH2482" s="7">
        <f>0</f>
        <v>0</v>
      </c>
      <c r="BI2482" s="8">
        <f>0</f>
        <v>0</v>
      </c>
      <c r="BJ2482" s="5" t="s">
        <v>253</v>
      </c>
      <c r="BK2482" s="5" t="s">
        <v>254</v>
      </c>
      <c r="BY2482" s="5" t="s">
        <v>238</v>
      </c>
      <c r="BZ2482" s="5" t="s">
        <v>238</v>
      </c>
      <c r="CD2482" s="5" t="s">
        <v>273</v>
      </c>
      <c r="CE2482" s="5" t="s">
        <v>256</v>
      </c>
      <c r="CF2482" s="5" t="s">
        <v>238</v>
      </c>
      <c r="CI2482" s="6" t="s">
        <v>257</v>
      </c>
      <c r="CJ2482" s="5" t="s">
        <v>238</v>
      </c>
      <c r="CK2482" s="5" t="s">
        <v>258</v>
      </c>
      <c r="CL2482" s="5" t="s">
        <v>238</v>
      </c>
      <c r="CM2482" s="5" t="s">
        <v>238</v>
      </c>
      <c r="CN2482" s="5">
        <v>0</v>
      </c>
      <c r="CO2482" s="5" t="s">
        <v>259</v>
      </c>
      <c r="CP2482" s="5" t="s">
        <v>260</v>
      </c>
      <c r="CQ2482" s="5" t="s">
        <v>260</v>
      </c>
      <c r="CR2482" s="5" t="s">
        <v>261</v>
      </c>
      <c r="CU2482" s="8">
        <f>1</f>
        <v>1</v>
      </c>
      <c r="CV2482" s="8">
        <f>0</f>
        <v>0</v>
      </c>
      <c r="CX2482" s="8">
        <f>0</f>
        <v>0</v>
      </c>
      <c r="CY2482" s="8">
        <f>1</f>
        <v>1</v>
      </c>
      <c r="DA2482" s="5" t="s">
        <v>274</v>
      </c>
      <c r="DB2482" s="5" t="s">
        <v>238</v>
      </c>
      <c r="DD2482" s="5" t="s">
        <v>274</v>
      </c>
      <c r="DE2482" s="8">
        <f>26</f>
        <v>26</v>
      </c>
      <c r="DG2482" s="5" t="s">
        <v>238</v>
      </c>
      <c r="DH2482" s="5" t="s">
        <v>238</v>
      </c>
      <c r="DI2482" s="5" t="s">
        <v>238</v>
      </c>
      <c r="DJ2482" s="5" t="s">
        <v>238</v>
      </c>
      <c r="DN2482" s="5" t="s">
        <v>238</v>
      </c>
      <c r="DO2482" s="5" t="s">
        <v>238</v>
      </c>
      <c r="DP2482" s="5" t="s">
        <v>238</v>
      </c>
      <c r="DQ2482" s="5" t="s">
        <v>238</v>
      </c>
      <c r="DT2482" s="5" t="s">
        <v>275</v>
      </c>
      <c r="DU2482" s="5" t="s">
        <v>2704</v>
      </c>
      <c r="HM2482" s="5" t="s">
        <v>264</v>
      </c>
    </row>
    <row r="2483" spans="1:221" x14ac:dyDescent="0.4">
      <c r="A2483" s="5">
        <v>4187</v>
      </c>
      <c r="B2483" s="5">
        <v>1</v>
      </c>
      <c r="C2483" s="5">
        <v>1</v>
      </c>
      <c r="D2483" s="5" t="s">
        <v>269</v>
      </c>
      <c r="E2483" s="5" t="s">
        <v>271</v>
      </c>
      <c r="F2483" s="5" t="s">
        <v>248</v>
      </c>
      <c r="G2483" s="5" t="s">
        <v>266</v>
      </c>
      <c r="H2483" s="6" t="s">
        <v>4107</v>
      </c>
      <c r="I2483" s="7">
        <f>2441</f>
        <v>2441</v>
      </c>
      <c r="J2483" s="5" t="s">
        <v>262</v>
      </c>
      <c r="K2483" s="8">
        <f>1</f>
        <v>1</v>
      </c>
      <c r="L2483" s="6" t="s">
        <v>242</v>
      </c>
      <c r="M2483" s="5" t="s">
        <v>267</v>
      </c>
      <c r="N2483" s="5" t="s">
        <v>265</v>
      </c>
      <c r="O2483" s="5" t="s">
        <v>238</v>
      </c>
      <c r="P2483" s="5" t="s">
        <v>238</v>
      </c>
      <c r="Q2483" s="5" t="s">
        <v>268</v>
      </c>
      <c r="R2483" s="5" t="s">
        <v>270</v>
      </c>
      <c r="S2483" s="5" t="s">
        <v>238</v>
      </c>
      <c r="V2483" s="5" t="s">
        <v>238</v>
      </c>
      <c r="X2483" s="6" t="s">
        <v>238</v>
      </c>
      <c r="AA2483" s="6" t="s">
        <v>243</v>
      </c>
      <c r="AB2483" s="5" t="s">
        <v>238</v>
      </c>
      <c r="AC2483" s="5" t="s">
        <v>244</v>
      </c>
      <c r="AD2483" s="5" t="s">
        <v>245</v>
      </c>
      <c r="AT2483" s="5" t="s">
        <v>246</v>
      </c>
      <c r="AU2483" s="5" t="s">
        <v>238</v>
      </c>
      <c r="AV2483" s="5" t="s">
        <v>247</v>
      </c>
      <c r="AW2483" s="5" t="s">
        <v>238</v>
      </c>
      <c r="AX2483" s="5" t="s">
        <v>249</v>
      </c>
      <c r="AY2483" s="5" t="s">
        <v>238</v>
      </c>
      <c r="BA2483" s="5" t="s">
        <v>238</v>
      </c>
      <c r="BC2483" s="5" t="s">
        <v>250</v>
      </c>
      <c r="BD2483" s="6" t="s">
        <v>243</v>
      </c>
      <c r="BE2483" s="5" t="s">
        <v>251</v>
      </c>
      <c r="BF2483" s="5" t="s">
        <v>252</v>
      </c>
      <c r="BG2483" s="5" t="s">
        <v>238</v>
      </c>
      <c r="BH2483" s="7">
        <f>0</f>
        <v>0</v>
      </c>
      <c r="BI2483" s="8">
        <f>0</f>
        <v>0</v>
      </c>
      <c r="BJ2483" s="5" t="s">
        <v>253</v>
      </c>
      <c r="BK2483" s="5" t="s">
        <v>254</v>
      </c>
      <c r="BY2483" s="5" t="s">
        <v>238</v>
      </c>
      <c r="BZ2483" s="5" t="s">
        <v>238</v>
      </c>
      <c r="CD2483" s="5" t="s">
        <v>273</v>
      </c>
      <c r="CE2483" s="5" t="s">
        <v>256</v>
      </c>
      <c r="CF2483" s="5" t="s">
        <v>238</v>
      </c>
      <c r="CI2483" s="6" t="s">
        <v>257</v>
      </c>
      <c r="CJ2483" s="5" t="s">
        <v>238</v>
      </c>
      <c r="CK2483" s="5" t="s">
        <v>258</v>
      </c>
      <c r="CL2483" s="5" t="s">
        <v>238</v>
      </c>
      <c r="CM2483" s="5" t="s">
        <v>238</v>
      </c>
      <c r="CN2483" s="5">
        <v>0</v>
      </c>
      <c r="CO2483" s="5" t="s">
        <v>259</v>
      </c>
      <c r="CP2483" s="5" t="s">
        <v>260</v>
      </c>
      <c r="CQ2483" s="5" t="s">
        <v>260</v>
      </c>
      <c r="CR2483" s="5" t="s">
        <v>261</v>
      </c>
      <c r="CU2483" s="8">
        <f>1</f>
        <v>1</v>
      </c>
      <c r="CV2483" s="8">
        <f>0</f>
        <v>0</v>
      </c>
      <c r="CX2483" s="8">
        <f>0</f>
        <v>0</v>
      </c>
      <c r="CY2483" s="8">
        <f>1</f>
        <v>1</v>
      </c>
      <c r="DA2483" s="5" t="s">
        <v>274</v>
      </c>
      <c r="DB2483" s="5" t="s">
        <v>238</v>
      </c>
      <c r="DD2483" s="5" t="s">
        <v>274</v>
      </c>
      <c r="DE2483" s="8">
        <f>2441</f>
        <v>2441</v>
      </c>
      <c r="DG2483" s="5" t="s">
        <v>238</v>
      </c>
      <c r="DH2483" s="5" t="s">
        <v>238</v>
      </c>
      <c r="DI2483" s="5" t="s">
        <v>238</v>
      </c>
      <c r="DJ2483" s="5" t="s">
        <v>238</v>
      </c>
      <c r="DN2483" s="5" t="s">
        <v>238</v>
      </c>
      <c r="DO2483" s="5" t="s">
        <v>238</v>
      </c>
      <c r="DP2483" s="5" t="s">
        <v>238</v>
      </c>
      <c r="DQ2483" s="5" t="s">
        <v>238</v>
      </c>
      <c r="DT2483" s="5" t="s">
        <v>275</v>
      </c>
      <c r="DU2483" s="5" t="s">
        <v>2702</v>
      </c>
      <c r="HM2483" s="5" t="s">
        <v>264</v>
      </c>
    </row>
    <row r="2484" spans="1:221" x14ac:dyDescent="0.4">
      <c r="A2484" s="5">
        <v>4188</v>
      </c>
      <c r="B2484" s="5">
        <v>1</v>
      </c>
      <c r="C2484" s="5">
        <v>1</v>
      </c>
      <c r="D2484" s="5" t="s">
        <v>269</v>
      </c>
      <c r="E2484" s="5" t="s">
        <v>271</v>
      </c>
      <c r="F2484" s="5" t="s">
        <v>248</v>
      </c>
      <c r="G2484" s="5" t="s">
        <v>266</v>
      </c>
      <c r="H2484" s="6" t="s">
        <v>4108</v>
      </c>
      <c r="I2484" s="7">
        <f>317</f>
        <v>317</v>
      </c>
      <c r="J2484" s="5" t="s">
        <v>262</v>
      </c>
      <c r="K2484" s="8">
        <f>1</f>
        <v>1</v>
      </c>
      <c r="L2484" s="6" t="s">
        <v>242</v>
      </c>
      <c r="M2484" s="5" t="s">
        <v>267</v>
      </c>
      <c r="N2484" s="5" t="s">
        <v>265</v>
      </c>
      <c r="O2484" s="5" t="s">
        <v>238</v>
      </c>
      <c r="P2484" s="5" t="s">
        <v>238</v>
      </c>
      <c r="Q2484" s="5" t="s">
        <v>268</v>
      </c>
      <c r="R2484" s="5" t="s">
        <v>270</v>
      </c>
      <c r="S2484" s="5" t="s">
        <v>238</v>
      </c>
      <c r="V2484" s="5" t="s">
        <v>238</v>
      </c>
      <c r="X2484" s="6" t="s">
        <v>238</v>
      </c>
      <c r="AA2484" s="6" t="s">
        <v>243</v>
      </c>
      <c r="AB2484" s="5" t="s">
        <v>238</v>
      </c>
      <c r="AC2484" s="5" t="s">
        <v>244</v>
      </c>
      <c r="AD2484" s="5" t="s">
        <v>245</v>
      </c>
      <c r="AT2484" s="5" t="s">
        <v>246</v>
      </c>
      <c r="AU2484" s="5" t="s">
        <v>238</v>
      </c>
      <c r="AV2484" s="5" t="s">
        <v>247</v>
      </c>
      <c r="AW2484" s="5" t="s">
        <v>238</v>
      </c>
      <c r="AX2484" s="5" t="s">
        <v>249</v>
      </c>
      <c r="AY2484" s="5" t="s">
        <v>238</v>
      </c>
      <c r="BA2484" s="5" t="s">
        <v>238</v>
      </c>
      <c r="BC2484" s="5" t="s">
        <v>250</v>
      </c>
      <c r="BD2484" s="6" t="s">
        <v>243</v>
      </c>
      <c r="BE2484" s="5" t="s">
        <v>251</v>
      </c>
      <c r="BF2484" s="5" t="s">
        <v>252</v>
      </c>
      <c r="BG2484" s="5" t="s">
        <v>238</v>
      </c>
      <c r="BH2484" s="7">
        <f>0</f>
        <v>0</v>
      </c>
      <c r="BI2484" s="8">
        <f>0</f>
        <v>0</v>
      </c>
      <c r="BJ2484" s="5" t="s">
        <v>253</v>
      </c>
      <c r="BK2484" s="5" t="s">
        <v>254</v>
      </c>
      <c r="BY2484" s="5" t="s">
        <v>238</v>
      </c>
      <c r="BZ2484" s="5" t="s">
        <v>238</v>
      </c>
      <c r="CD2484" s="5" t="s">
        <v>273</v>
      </c>
      <c r="CE2484" s="5" t="s">
        <v>256</v>
      </c>
      <c r="CF2484" s="5" t="s">
        <v>238</v>
      </c>
      <c r="CI2484" s="6" t="s">
        <v>257</v>
      </c>
      <c r="CJ2484" s="5" t="s">
        <v>238</v>
      </c>
      <c r="CK2484" s="5" t="s">
        <v>258</v>
      </c>
      <c r="CL2484" s="5" t="s">
        <v>238</v>
      </c>
      <c r="CM2484" s="5" t="s">
        <v>238</v>
      </c>
      <c r="CN2484" s="5">
        <v>0</v>
      </c>
      <c r="CO2484" s="5" t="s">
        <v>259</v>
      </c>
      <c r="CP2484" s="5" t="s">
        <v>260</v>
      </c>
      <c r="CQ2484" s="5" t="s">
        <v>260</v>
      </c>
      <c r="CR2484" s="5" t="s">
        <v>261</v>
      </c>
      <c r="CU2484" s="8">
        <f>1</f>
        <v>1</v>
      </c>
      <c r="CV2484" s="8">
        <f>0</f>
        <v>0</v>
      </c>
      <c r="CX2484" s="8">
        <f>0</f>
        <v>0</v>
      </c>
      <c r="CY2484" s="8">
        <f>1</f>
        <v>1</v>
      </c>
      <c r="DA2484" s="5" t="s">
        <v>274</v>
      </c>
      <c r="DB2484" s="5" t="s">
        <v>238</v>
      </c>
      <c r="DD2484" s="5" t="s">
        <v>274</v>
      </c>
      <c r="DE2484" s="8">
        <f>317</f>
        <v>317</v>
      </c>
      <c r="DG2484" s="5" t="s">
        <v>238</v>
      </c>
      <c r="DH2484" s="5" t="s">
        <v>238</v>
      </c>
      <c r="DI2484" s="5" t="s">
        <v>238</v>
      </c>
      <c r="DJ2484" s="5" t="s">
        <v>238</v>
      </c>
      <c r="DN2484" s="5" t="s">
        <v>238</v>
      </c>
      <c r="DO2484" s="5" t="s">
        <v>238</v>
      </c>
      <c r="DP2484" s="5" t="s">
        <v>238</v>
      </c>
      <c r="DQ2484" s="5" t="s">
        <v>238</v>
      </c>
      <c r="DT2484" s="5" t="s">
        <v>275</v>
      </c>
      <c r="DU2484" s="5" t="s">
        <v>2700</v>
      </c>
      <c r="HM2484" s="5" t="s">
        <v>264</v>
      </c>
    </row>
    <row r="2485" spans="1:221" x14ac:dyDescent="0.4">
      <c r="A2485" s="5">
        <v>4189</v>
      </c>
      <c r="B2485" s="5">
        <v>1</v>
      </c>
      <c r="C2485" s="5">
        <v>1</v>
      </c>
      <c r="D2485" s="5" t="s">
        <v>269</v>
      </c>
      <c r="E2485" s="5" t="s">
        <v>271</v>
      </c>
      <c r="F2485" s="5" t="s">
        <v>248</v>
      </c>
      <c r="G2485" s="5" t="s">
        <v>266</v>
      </c>
      <c r="H2485" s="6" t="s">
        <v>4110</v>
      </c>
      <c r="I2485" s="7">
        <f>286</f>
        <v>286</v>
      </c>
      <c r="J2485" s="5" t="s">
        <v>262</v>
      </c>
      <c r="K2485" s="8">
        <f>1</f>
        <v>1</v>
      </c>
      <c r="L2485" s="6" t="s">
        <v>242</v>
      </c>
      <c r="M2485" s="5" t="s">
        <v>267</v>
      </c>
      <c r="N2485" s="5" t="s">
        <v>265</v>
      </c>
      <c r="O2485" s="5" t="s">
        <v>238</v>
      </c>
      <c r="P2485" s="5" t="s">
        <v>238</v>
      </c>
      <c r="Q2485" s="5" t="s">
        <v>268</v>
      </c>
      <c r="R2485" s="5" t="s">
        <v>270</v>
      </c>
      <c r="S2485" s="5" t="s">
        <v>238</v>
      </c>
      <c r="V2485" s="5" t="s">
        <v>238</v>
      </c>
      <c r="X2485" s="6" t="s">
        <v>238</v>
      </c>
      <c r="AA2485" s="6" t="s">
        <v>243</v>
      </c>
      <c r="AB2485" s="5" t="s">
        <v>238</v>
      </c>
      <c r="AC2485" s="5" t="s">
        <v>244</v>
      </c>
      <c r="AD2485" s="5" t="s">
        <v>245</v>
      </c>
      <c r="AT2485" s="5" t="s">
        <v>246</v>
      </c>
      <c r="AU2485" s="5" t="s">
        <v>238</v>
      </c>
      <c r="AV2485" s="5" t="s">
        <v>247</v>
      </c>
      <c r="AW2485" s="5" t="s">
        <v>238</v>
      </c>
      <c r="AX2485" s="5" t="s">
        <v>249</v>
      </c>
      <c r="AY2485" s="5" t="s">
        <v>238</v>
      </c>
      <c r="BA2485" s="5" t="s">
        <v>238</v>
      </c>
      <c r="BC2485" s="5" t="s">
        <v>250</v>
      </c>
      <c r="BD2485" s="6" t="s">
        <v>243</v>
      </c>
      <c r="BE2485" s="5" t="s">
        <v>251</v>
      </c>
      <c r="BF2485" s="5" t="s">
        <v>252</v>
      </c>
      <c r="BG2485" s="5" t="s">
        <v>238</v>
      </c>
      <c r="BH2485" s="7">
        <f>0</f>
        <v>0</v>
      </c>
      <c r="BI2485" s="8">
        <f>0</f>
        <v>0</v>
      </c>
      <c r="BJ2485" s="5" t="s">
        <v>253</v>
      </c>
      <c r="BK2485" s="5" t="s">
        <v>254</v>
      </c>
      <c r="BY2485" s="5" t="s">
        <v>238</v>
      </c>
      <c r="BZ2485" s="5" t="s">
        <v>238</v>
      </c>
      <c r="CD2485" s="5" t="s">
        <v>273</v>
      </c>
      <c r="CE2485" s="5" t="s">
        <v>256</v>
      </c>
      <c r="CF2485" s="5" t="s">
        <v>238</v>
      </c>
      <c r="CI2485" s="6" t="s">
        <v>257</v>
      </c>
      <c r="CJ2485" s="5" t="s">
        <v>238</v>
      </c>
      <c r="CK2485" s="5" t="s">
        <v>258</v>
      </c>
      <c r="CL2485" s="5" t="s">
        <v>238</v>
      </c>
      <c r="CM2485" s="5" t="s">
        <v>238</v>
      </c>
      <c r="CN2485" s="5">
        <v>0</v>
      </c>
      <c r="CO2485" s="5" t="s">
        <v>259</v>
      </c>
      <c r="CP2485" s="5" t="s">
        <v>260</v>
      </c>
      <c r="CQ2485" s="5" t="s">
        <v>260</v>
      </c>
      <c r="CR2485" s="5" t="s">
        <v>261</v>
      </c>
      <c r="CU2485" s="8">
        <f>1</f>
        <v>1</v>
      </c>
      <c r="CV2485" s="8">
        <f>0</f>
        <v>0</v>
      </c>
      <c r="CX2485" s="8">
        <f>0</f>
        <v>0</v>
      </c>
      <c r="CY2485" s="8">
        <f>1</f>
        <v>1</v>
      </c>
      <c r="DA2485" s="5" t="s">
        <v>274</v>
      </c>
      <c r="DB2485" s="5" t="s">
        <v>238</v>
      </c>
      <c r="DD2485" s="5" t="s">
        <v>274</v>
      </c>
      <c r="DE2485" s="8">
        <f>286</f>
        <v>286</v>
      </c>
      <c r="DG2485" s="5" t="s">
        <v>238</v>
      </c>
      <c r="DH2485" s="5" t="s">
        <v>238</v>
      </c>
      <c r="DI2485" s="5" t="s">
        <v>238</v>
      </c>
      <c r="DJ2485" s="5" t="s">
        <v>238</v>
      </c>
      <c r="DN2485" s="5" t="s">
        <v>238</v>
      </c>
      <c r="DO2485" s="5" t="s">
        <v>238</v>
      </c>
      <c r="DP2485" s="5" t="s">
        <v>238</v>
      </c>
      <c r="DQ2485" s="5" t="s">
        <v>238</v>
      </c>
      <c r="DT2485" s="5" t="s">
        <v>275</v>
      </c>
      <c r="DU2485" s="5" t="s">
        <v>2698</v>
      </c>
      <c r="HM2485" s="5" t="s">
        <v>264</v>
      </c>
    </row>
    <row r="2486" spans="1:221" x14ac:dyDescent="0.4">
      <c r="A2486" s="5">
        <v>4190</v>
      </c>
      <c r="B2486" s="5">
        <v>1</v>
      </c>
      <c r="C2486" s="5">
        <v>1</v>
      </c>
      <c r="D2486" s="5" t="s">
        <v>269</v>
      </c>
      <c r="E2486" s="5" t="s">
        <v>271</v>
      </c>
      <c r="F2486" s="5" t="s">
        <v>248</v>
      </c>
      <c r="G2486" s="5" t="s">
        <v>266</v>
      </c>
      <c r="H2486" s="6" t="s">
        <v>4111</v>
      </c>
      <c r="I2486" s="7">
        <f>728</f>
        <v>728</v>
      </c>
      <c r="J2486" s="5" t="s">
        <v>262</v>
      </c>
      <c r="K2486" s="8">
        <f>1</f>
        <v>1</v>
      </c>
      <c r="L2486" s="6" t="s">
        <v>242</v>
      </c>
      <c r="M2486" s="5" t="s">
        <v>267</v>
      </c>
      <c r="N2486" s="5" t="s">
        <v>265</v>
      </c>
      <c r="O2486" s="5" t="s">
        <v>238</v>
      </c>
      <c r="P2486" s="5" t="s">
        <v>238</v>
      </c>
      <c r="Q2486" s="5" t="s">
        <v>268</v>
      </c>
      <c r="R2486" s="5" t="s">
        <v>270</v>
      </c>
      <c r="S2486" s="5" t="s">
        <v>238</v>
      </c>
      <c r="V2486" s="5" t="s">
        <v>238</v>
      </c>
      <c r="X2486" s="6" t="s">
        <v>238</v>
      </c>
      <c r="AA2486" s="6" t="s">
        <v>243</v>
      </c>
      <c r="AB2486" s="5" t="s">
        <v>238</v>
      </c>
      <c r="AC2486" s="5" t="s">
        <v>244</v>
      </c>
      <c r="AD2486" s="5" t="s">
        <v>245</v>
      </c>
      <c r="AT2486" s="5" t="s">
        <v>246</v>
      </c>
      <c r="AU2486" s="5" t="s">
        <v>238</v>
      </c>
      <c r="AV2486" s="5" t="s">
        <v>247</v>
      </c>
      <c r="AW2486" s="5" t="s">
        <v>238</v>
      </c>
      <c r="AX2486" s="5" t="s">
        <v>249</v>
      </c>
      <c r="AY2486" s="5" t="s">
        <v>238</v>
      </c>
      <c r="BA2486" s="5" t="s">
        <v>238</v>
      </c>
      <c r="BC2486" s="5" t="s">
        <v>250</v>
      </c>
      <c r="BD2486" s="6" t="s">
        <v>243</v>
      </c>
      <c r="BE2486" s="5" t="s">
        <v>251</v>
      </c>
      <c r="BF2486" s="5" t="s">
        <v>252</v>
      </c>
      <c r="BG2486" s="5" t="s">
        <v>238</v>
      </c>
      <c r="BH2486" s="7">
        <f>0</f>
        <v>0</v>
      </c>
      <c r="BI2486" s="8">
        <f>0</f>
        <v>0</v>
      </c>
      <c r="BJ2486" s="5" t="s">
        <v>253</v>
      </c>
      <c r="BK2486" s="5" t="s">
        <v>254</v>
      </c>
      <c r="BY2486" s="5" t="s">
        <v>238</v>
      </c>
      <c r="BZ2486" s="5" t="s">
        <v>238</v>
      </c>
      <c r="CD2486" s="5" t="s">
        <v>273</v>
      </c>
      <c r="CE2486" s="5" t="s">
        <v>256</v>
      </c>
      <c r="CF2486" s="5" t="s">
        <v>238</v>
      </c>
      <c r="CI2486" s="6" t="s">
        <v>257</v>
      </c>
      <c r="CJ2486" s="5" t="s">
        <v>238</v>
      </c>
      <c r="CK2486" s="5" t="s">
        <v>258</v>
      </c>
      <c r="CL2486" s="5" t="s">
        <v>238</v>
      </c>
      <c r="CM2486" s="5" t="s">
        <v>238</v>
      </c>
      <c r="CN2486" s="5">
        <v>0</v>
      </c>
      <c r="CO2486" s="5" t="s">
        <v>259</v>
      </c>
      <c r="CP2486" s="5" t="s">
        <v>260</v>
      </c>
      <c r="CQ2486" s="5" t="s">
        <v>260</v>
      </c>
      <c r="CR2486" s="5" t="s">
        <v>261</v>
      </c>
      <c r="CU2486" s="8">
        <f>1</f>
        <v>1</v>
      </c>
      <c r="CV2486" s="8">
        <f>0</f>
        <v>0</v>
      </c>
      <c r="CX2486" s="8">
        <f>0</f>
        <v>0</v>
      </c>
      <c r="CY2486" s="8">
        <f>1</f>
        <v>1</v>
      </c>
      <c r="DA2486" s="5" t="s">
        <v>274</v>
      </c>
      <c r="DB2486" s="5" t="s">
        <v>238</v>
      </c>
      <c r="DD2486" s="5" t="s">
        <v>274</v>
      </c>
      <c r="DE2486" s="8">
        <f>728</f>
        <v>728</v>
      </c>
      <c r="DG2486" s="5" t="s">
        <v>238</v>
      </c>
      <c r="DH2486" s="5" t="s">
        <v>238</v>
      </c>
      <c r="DI2486" s="5" t="s">
        <v>238</v>
      </c>
      <c r="DJ2486" s="5" t="s">
        <v>238</v>
      </c>
      <c r="DN2486" s="5" t="s">
        <v>238</v>
      </c>
      <c r="DO2486" s="5" t="s">
        <v>238</v>
      </c>
      <c r="DP2486" s="5" t="s">
        <v>238</v>
      </c>
      <c r="DQ2486" s="5" t="s">
        <v>238</v>
      </c>
      <c r="DT2486" s="5" t="s">
        <v>275</v>
      </c>
      <c r="DU2486" s="5" t="s">
        <v>2696</v>
      </c>
      <c r="HM2486" s="5" t="s">
        <v>264</v>
      </c>
    </row>
    <row r="2487" spans="1:221" x14ac:dyDescent="0.4">
      <c r="A2487" s="5">
        <v>4191</v>
      </c>
      <c r="B2487" s="5">
        <v>1</v>
      </c>
      <c r="C2487" s="5">
        <v>1</v>
      </c>
      <c r="D2487" s="5" t="s">
        <v>269</v>
      </c>
      <c r="E2487" s="5" t="s">
        <v>271</v>
      </c>
      <c r="F2487" s="5" t="s">
        <v>248</v>
      </c>
      <c r="G2487" s="5" t="s">
        <v>266</v>
      </c>
      <c r="H2487" s="6" t="s">
        <v>4112</v>
      </c>
      <c r="I2487" s="7">
        <f>470</f>
        <v>470</v>
      </c>
      <c r="J2487" s="5" t="s">
        <v>262</v>
      </c>
      <c r="K2487" s="8">
        <f>1</f>
        <v>1</v>
      </c>
      <c r="L2487" s="6" t="s">
        <v>242</v>
      </c>
      <c r="M2487" s="5" t="s">
        <v>267</v>
      </c>
      <c r="N2487" s="5" t="s">
        <v>265</v>
      </c>
      <c r="O2487" s="5" t="s">
        <v>238</v>
      </c>
      <c r="P2487" s="5" t="s">
        <v>238</v>
      </c>
      <c r="Q2487" s="5" t="s">
        <v>268</v>
      </c>
      <c r="R2487" s="5" t="s">
        <v>270</v>
      </c>
      <c r="S2487" s="5" t="s">
        <v>238</v>
      </c>
      <c r="V2487" s="5" t="s">
        <v>238</v>
      </c>
      <c r="X2487" s="6" t="s">
        <v>238</v>
      </c>
      <c r="AA2487" s="6" t="s">
        <v>243</v>
      </c>
      <c r="AB2487" s="5" t="s">
        <v>238</v>
      </c>
      <c r="AC2487" s="5" t="s">
        <v>244</v>
      </c>
      <c r="AD2487" s="5" t="s">
        <v>245</v>
      </c>
      <c r="AT2487" s="5" t="s">
        <v>246</v>
      </c>
      <c r="AU2487" s="5" t="s">
        <v>238</v>
      </c>
      <c r="AV2487" s="5" t="s">
        <v>247</v>
      </c>
      <c r="AW2487" s="5" t="s">
        <v>238</v>
      </c>
      <c r="AX2487" s="5" t="s">
        <v>249</v>
      </c>
      <c r="AY2487" s="5" t="s">
        <v>238</v>
      </c>
      <c r="BA2487" s="5" t="s">
        <v>238</v>
      </c>
      <c r="BC2487" s="5" t="s">
        <v>250</v>
      </c>
      <c r="BD2487" s="6" t="s">
        <v>243</v>
      </c>
      <c r="BE2487" s="5" t="s">
        <v>251</v>
      </c>
      <c r="BF2487" s="5" t="s">
        <v>252</v>
      </c>
      <c r="BG2487" s="5" t="s">
        <v>238</v>
      </c>
      <c r="BH2487" s="7">
        <f>0</f>
        <v>0</v>
      </c>
      <c r="BI2487" s="8">
        <f>0</f>
        <v>0</v>
      </c>
      <c r="BJ2487" s="5" t="s">
        <v>253</v>
      </c>
      <c r="BK2487" s="5" t="s">
        <v>254</v>
      </c>
      <c r="BY2487" s="5" t="s">
        <v>238</v>
      </c>
      <c r="BZ2487" s="5" t="s">
        <v>238</v>
      </c>
      <c r="CD2487" s="5" t="s">
        <v>273</v>
      </c>
      <c r="CE2487" s="5" t="s">
        <v>256</v>
      </c>
      <c r="CF2487" s="5" t="s">
        <v>238</v>
      </c>
      <c r="CI2487" s="6" t="s">
        <v>257</v>
      </c>
      <c r="CJ2487" s="5" t="s">
        <v>238</v>
      </c>
      <c r="CK2487" s="5" t="s">
        <v>258</v>
      </c>
      <c r="CL2487" s="5" t="s">
        <v>238</v>
      </c>
      <c r="CM2487" s="5" t="s">
        <v>238</v>
      </c>
      <c r="CN2487" s="5">
        <v>0</v>
      </c>
      <c r="CO2487" s="5" t="s">
        <v>259</v>
      </c>
      <c r="CP2487" s="5" t="s">
        <v>260</v>
      </c>
      <c r="CQ2487" s="5" t="s">
        <v>260</v>
      </c>
      <c r="CR2487" s="5" t="s">
        <v>261</v>
      </c>
      <c r="CU2487" s="8">
        <f>1</f>
        <v>1</v>
      </c>
      <c r="CV2487" s="8">
        <f>0</f>
        <v>0</v>
      </c>
      <c r="CX2487" s="8">
        <f>0</f>
        <v>0</v>
      </c>
      <c r="CY2487" s="8">
        <f>1</f>
        <v>1</v>
      </c>
      <c r="DA2487" s="5" t="s">
        <v>274</v>
      </c>
      <c r="DB2487" s="5" t="s">
        <v>238</v>
      </c>
      <c r="DD2487" s="5" t="s">
        <v>274</v>
      </c>
      <c r="DE2487" s="8">
        <f>470</f>
        <v>470</v>
      </c>
      <c r="DG2487" s="5" t="s">
        <v>238</v>
      </c>
      <c r="DH2487" s="5" t="s">
        <v>238</v>
      </c>
      <c r="DI2487" s="5" t="s">
        <v>238</v>
      </c>
      <c r="DJ2487" s="5" t="s">
        <v>238</v>
      </c>
      <c r="DN2487" s="5" t="s">
        <v>238</v>
      </c>
      <c r="DO2487" s="5" t="s">
        <v>238</v>
      </c>
      <c r="DP2487" s="5" t="s">
        <v>238</v>
      </c>
      <c r="DQ2487" s="5" t="s">
        <v>238</v>
      </c>
      <c r="DT2487" s="5" t="s">
        <v>275</v>
      </c>
      <c r="DU2487" s="5" t="s">
        <v>2694</v>
      </c>
      <c r="HM2487" s="5" t="s">
        <v>264</v>
      </c>
    </row>
    <row r="2488" spans="1:221" x14ac:dyDescent="0.4">
      <c r="A2488" s="5">
        <v>4192</v>
      </c>
      <c r="B2488" s="5">
        <v>1</v>
      </c>
      <c r="C2488" s="5">
        <v>1</v>
      </c>
      <c r="D2488" s="5" t="s">
        <v>269</v>
      </c>
      <c r="E2488" s="5" t="s">
        <v>271</v>
      </c>
      <c r="F2488" s="5" t="s">
        <v>248</v>
      </c>
      <c r="G2488" s="5" t="s">
        <v>266</v>
      </c>
      <c r="H2488" s="6" t="s">
        <v>4113</v>
      </c>
      <c r="I2488" s="7">
        <f>1087</f>
        <v>1087</v>
      </c>
      <c r="J2488" s="5" t="s">
        <v>262</v>
      </c>
      <c r="K2488" s="8">
        <f>1</f>
        <v>1</v>
      </c>
      <c r="L2488" s="6" t="s">
        <v>242</v>
      </c>
      <c r="M2488" s="5" t="s">
        <v>267</v>
      </c>
      <c r="N2488" s="5" t="s">
        <v>265</v>
      </c>
      <c r="O2488" s="5" t="s">
        <v>238</v>
      </c>
      <c r="P2488" s="5" t="s">
        <v>238</v>
      </c>
      <c r="Q2488" s="5" t="s">
        <v>268</v>
      </c>
      <c r="R2488" s="5" t="s">
        <v>270</v>
      </c>
      <c r="S2488" s="5" t="s">
        <v>238</v>
      </c>
      <c r="V2488" s="5" t="s">
        <v>238</v>
      </c>
      <c r="X2488" s="6" t="s">
        <v>238</v>
      </c>
      <c r="AA2488" s="6" t="s">
        <v>243</v>
      </c>
      <c r="AB2488" s="5" t="s">
        <v>238</v>
      </c>
      <c r="AC2488" s="5" t="s">
        <v>244</v>
      </c>
      <c r="AD2488" s="5" t="s">
        <v>245</v>
      </c>
      <c r="AT2488" s="5" t="s">
        <v>246</v>
      </c>
      <c r="AU2488" s="5" t="s">
        <v>238</v>
      </c>
      <c r="AV2488" s="5" t="s">
        <v>247</v>
      </c>
      <c r="AW2488" s="5" t="s">
        <v>238</v>
      </c>
      <c r="AX2488" s="5" t="s">
        <v>249</v>
      </c>
      <c r="AY2488" s="5" t="s">
        <v>238</v>
      </c>
      <c r="BA2488" s="5" t="s">
        <v>238</v>
      </c>
      <c r="BC2488" s="5" t="s">
        <v>250</v>
      </c>
      <c r="BD2488" s="6" t="s">
        <v>243</v>
      </c>
      <c r="BE2488" s="5" t="s">
        <v>251</v>
      </c>
      <c r="BF2488" s="5" t="s">
        <v>252</v>
      </c>
      <c r="BG2488" s="5" t="s">
        <v>238</v>
      </c>
      <c r="BH2488" s="7">
        <f>0</f>
        <v>0</v>
      </c>
      <c r="BI2488" s="8">
        <f>0</f>
        <v>0</v>
      </c>
      <c r="BJ2488" s="5" t="s">
        <v>253</v>
      </c>
      <c r="BK2488" s="5" t="s">
        <v>254</v>
      </c>
      <c r="BY2488" s="5" t="s">
        <v>238</v>
      </c>
      <c r="BZ2488" s="5" t="s">
        <v>238</v>
      </c>
      <c r="CD2488" s="5" t="s">
        <v>273</v>
      </c>
      <c r="CE2488" s="5" t="s">
        <v>256</v>
      </c>
      <c r="CF2488" s="5" t="s">
        <v>238</v>
      </c>
      <c r="CI2488" s="6" t="s">
        <v>257</v>
      </c>
      <c r="CJ2488" s="5" t="s">
        <v>238</v>
      </c>
      <c r="CK2488" s="5" t="s">
        <v>258</v>
      </c>
      <c r="CL2488" s="5" t="s">
        <v>238</v>
      </c>
      <c r="CM2488" s="5" t="s">
        <v>238</v>
      </c>
      <c r="CN2488" s="5">
        <v>0</v>
      </c>
      <c r="CO2488" s="5" t="s">
        <v>259</v>
      </c>
      <c r="CP2488" s="5" t="s">
        <v>260</v>
      </c>
      <c r="CQ2488" s="5" t="s">
        <v>260</v>
      </c>
      <c r="CR2488" s="5" t="s">
        <v>261</v>
      </c>
      <c r="CU2488" s="8">
        <f>1</f>
        <v>1</v>
      </c>
      <c r="CV2488" s="8">
        <f>0</f>
        <v>0</v>
      </c>
      <c r="CX2488" s="8">
        <f>0</f>
        <v>0</v>
      </c>
      <c r="CY2488" s="8">
        <f>1</f>
        <v>1</v>
      </c>
      <c r="DA2488" s="5" t="s">
        <v>274</v>
      </c>
      <c r="DB2488" s="5" t="s">
        <v>238</v>
      </c>
      <c r="DD2488" s="5" t="s">
        <v>274</v>
      </c>
      <c r="DE2488" s="8">
        <f>1087</f>
        <v>1087</v>
      </c>
      <c r="DG2488" s="5" t="s">
        <v>238</v>
      </c>
      <c r="DH2488" s="5" t="s">
        <v>238</v>
      </c>
      <c r="DI2488" s="5" t="s">
        <v>238</v>
      </c>
      <c r="DJ2488" s="5" t="s">
        <v>238</v>
      </c>
      <c r="DN2488" s="5" t="s">
        <v>238</v>
      </c>
      <c r="DO2488" s="5" t="s">
        <v>238</v>
      </c>
      <c r="DP2488" s="5" t="s">
        <v>238</v>
      </c>
      <c r="DQ2488" s="5" t="s">
        <v>238</v>
      </c>
      <c r="DT2488" s="5" t="s">
        <v>275</v>
      </c>
      <c r="DU2488" s="5" t="s">
        <v>2692</v>
      </c>
      <c r="HM2488" s="5" t="s">
        <v>264</v>
      </c>
    </row>
    <row r="2489" spans="1:221" x14ac:dyDescent="0.4">
      <c r="A2489" s="5">
        <v>4193</v>
      </c>
      <c r="B2489" s="5">
        <v>1</v>
      </c>
      <c r="C2489" s="5">
        <v>1</v>
      </c>
      <c r="D2489" s="5" t="s">
        <v>269</v>
      </c>
      <c r="E2489" s="5" t="s">
        <v>271</v>
      </c>
      <c r="F2489" s="5" t="s">
        <v>248</v>
      </c>
      <c r="G2489" s="5" t="s">
        <v>266</v>
      </c>
      <c r="H2489" s="6" t="s">
        <v>4116</v>
      </c>
      <c r="I2489" s="7">
        <f>906</f>
        <v>906</v>
      </c>
      <c r="J2489" s="5" t="s">
        <v>262</v>
      </c>
      <c r="K2489" s="8">
        <f>1</f>
        <v>1</v>
      </c>
      <c r="L2489" s="6" t="s">
        <v>242</v>
      </c>
      <c r="M2489" s="5" t="s">
        <v>267</v>
      </c>
      <c r="N2489" s="5" t="s">
        <v>265</v>
      </c>
      <c r="O2489" s="5" t="s">
        <v>238</v>
      </c>
      <c r="P2489" s="5" t="s">
        <v>238</v>
      </c>
      <c r="Q2489" s="5" t="s">
        <v>268</v>
      </c>
      <c r="R2489" s="5" t="s">
        <v>270</v>
      </c>
      <c r="S2489" s="5" t="s">
        <v>238</v>
      </c>
      <c r="V2489" s="5" t="s">
        <v>238</v>
      </c>
      <c r="X2489" s="6" t="s">
        <v>238</v>
      </c>
      <c r="AA2489" s="6" t="s">
        <v>243</v>
      </c>
      <c r="AB2489" s="5" t="s">
        <v>238</v>
      </c>
      <c r="AC2489" s="5" t="s">
        <v>244</v>
      </c>
      <c r="AD2489" s="5" t="s">
        <v>245</v>
      </c>
      <c r="AT2489" s="5" t="s">
        <v>246</v>
      </c>
      <c r="AU2489" s="5" t="s">
        <v>238</v>
      </c>
      <c r="AV2489" s="5" t="s">
        <v>247</v>
      </c>
      <c r="AW2489" s="5" t="s">
        <v>238</v>
      </c>
      <c r="AX2489" s="5" t="s">
        <v>249</v>
      </c>
      <c r="AY2489" s="5" t="s">
        <v>238</v>
      </c>
      <c r="BA2489" s="5" t="s">
        <v>238</v>
      </c>
      <c r="BC2489" s="5" t="s">
        <v>250</v>
      </c>
      <c r="BD2489" s="6" t="s">
        <v>243</v>
      </c>
      <c r="BE2489" s="5" t="s">
        <v>251</v>
      </c>
      <c r="BF2489" s="5" t="s">
        <v>252</v>
      </c>
      <c r="BG2489" s="5" t="s">
        <v>238</v>
      </c>
      <c r="BH2489" s="7">
        <f>0</f>
        <v>0</v>
      </c>
      <c r="BI2489" s="8">
        <f>0</f>
        <v>0</v>
      </c>
      <c r="BJ2489" s="5" t="s">
        <v>253</v>
      </c>
      <c r="BK2489" s="5" t="s">
        <v>254</v>
      </c>
      <c r="BY2489" s="5" t="s">
        <v>238</v>
      </c>
      <c r="BZ2489" s="5" t="s">
        <v>238</v>
      </c>
      <c r="CD2489" s="5" t="s">
        <v>273</v>
      </c>
      <c r="CE2489" s="5" t="s">
        <v>256</v>
      </c>
      <c r="CF2489" s="5" t="s">
        <v>238</v>
      </c>
      <c r="CI2489" s="6" t="s">
        <v>257</v>
      </c>
      <c r="CJ2489" s="5" t="s">
        <v>238</v>
      </c>
      <c r="CK2489" s="5" t="s">
        <v>258</v>
      </c>
      <c r="CL2489" s="5" t="s">
        <v>238</v>
      </c>
      <c r="CM2489" s="5" t="s">
        <v>238</v>
      </c>
      <c r="CN2489" s="5">
        <v>0</v>
      </c>
      <c r="CO2489" s="5" t="s">
        <v>259</v>
      </c>
      <c r="CP2489" s="5" t="s">
        <v>260</v>
      </c>
      <c r="CQ2489" s="5" t="s">
        <v>260</v>
      </c>
      <c r="CR2489" s="5" t="s">
        <v>261</v>
      </c>
      <c r="CU2489" s="8">
        <f>1</f>
        <v>1</v>
      </c>
      <c r="CV2489" s="8">
        <f>0</f>
        <v>0</v>
      </c>
      <c r="CX2489" s="8">
        <f>0</f>
        <v>0</v>
      </c>
      <c r="CY2489" s="8">
        <f>1</f>
        <v>1</v>
      </c>
      <c r="DA2489" s="5" t="s">
        <v>274</v>
      </c>
      <c r="DB2489" s="5" t="s">
        <v>238</v>
      </c>
      <c r="DD2489" s="5" t="s">
        <v>274</v>
      </c>
      <c r="DE2489" s="8">
        <f>906</f>
        <v>906</v>
      </c>
      <c r="DG2489" s="5" t="s">
        <v>238</v>
      </c>
      <c r="DH2489" s="5" t="s">
        <v>238</v>
      </c>
      <c r="DI2489" s="5" t="s">
        <v>238</v>
      </c>
      <c r="DJ2489" s="5" t="s">
        <v>238</v>
      </c>
      <c r="DN2489" s="5" t="s">
        <v>238</v>
      </c>
      <c r="DO2489" s="5" t="s">
        <v>238</v>
      </c>
      <c r="DP2489" s="5" t="s">
        <v>238</v>
      </c>
      <c r="DQ2489" s="5" t="s">
        <v>238</v>
      </c>
      <c r="DT2489" s="5" t="s">
        <v>275</v>
      </c>
      <c r="DU2489" s="5" t="s">
        <v>2690</v>
      </c>
      <c r="HM2489" s="5" t="s">
        <v>264</v>
      </c>
    </row>
    <row r="2490" spans="1:221" x14ac:dyDescent="0.4">
      <c r="A2490" s="5">
        <v>4194</v>
      </c>
      <c r="B2490" s="5">
        <v>1</v>
      </c>
      <c r="C2490" s="5">
        <v>1</v>
      </c>
      <c r="D2490" s="5" t="s">
        <v>269</v>
      </c>
      <c r="E2490" s="5" t="s">
        <v>271</v>
      </c>
      <c r="F2490" s="5" t="s">
        <v>248</v>
      </c>
      <c r="G2490" s="5" t="s">
        <v>266</v>
      </c>
      <c r="H2490" s="6" t="s">
        <v>4117</v>
      </c>
      <c r="I2490" s="7">
        <f>1009</f>
        <v>1009</v>
      </c>
      <c r="J2490" s="5" t="s">
        <v>262</v>
      </c>
      <c r="K2490" s="8">
        <f>1</f>
        <v>1</v>
      </c>
      <c r="L2490" s="6" t="s">
        <v>242</v>
      </c>
      <c r="M2490" s="5" t="s">
        <v>267</v>
      </c>
      <c r="N2490" s="5" t="s">
        <v>265</v>
      </c>
      <c r="O2490" s="5" t="s">
        <v>238</v>
      </c>
      <c r="P2490" s="5" t="s">
        <v>238</v>
      </c>
      <c r="Q2490" s="5" t="s">
        <v>268</v>
      </c>
      <c r="R2490" s="5" t="s">
        <v>270</v>
      </c>
      <c r="S2490" s="5" t="s">
        <v>238</v>
      </c>
      <c r="V2490" s="5" t="s">
        <v>238</v>
      </c>
      <c r="X2490" s="6" t="s">
        <v>238</v>
      </c>
      <c r="AA2490" s="6" t="s">
        <v>243</v>
      </c>
      <c r="AB2490" s="5" t="s">
        <v>238</v>
      </c>
      <c r="AC2490" s="5" t="s">
        <v>244</v>
      </c>
      <c r="AD2490" s="5" t="s">
        <v>245</v>
      </c>
      <c r="AT2490" s="5" t="s">
        <v>246</v>
      </c>
      <c r="AU2490" s="5" t="s">
        <v>238</v>
      </c>
      <c r="AV2490" s="5" t="s">
        <v>247</v>
      </c>
      <c r="AW2490" s="5" t="s">
        <v>238</v>
      </c>
      <c r="AX2490" s="5" t="s">
        <v>249</v>
      </c>
      <c r="AY2490" s="5" t="s">
        <v>238</v>
      </c>
      <c r="BA2490" s="5" t="s">
        <v>238</v>
      </c>
      <c r="BC2490" s="5" t="s">
        <v>250</v>
      </c>
      <c r="BD2490" s="6" t="s">
        <v>243</v>
      </c>
      <c r="BE2490" s="5" t="s">
        <v>251</v>
      </c>
      <c r="BF2490" s="5" t="s">
        <v>252</v>
      </c>
      <c r="BG2490" s="5" t="s">
        <v>238</v>
      </c>
      <c r="BH2490" s="7">
        <f>0</f>
        <v>0</v>
      </c>
      <c r="BI2490" s="8">
        <f>0</f>
        <v>0</v>
      </c>
      <c r="BJ2490" s="5" t="s">
        <v>253</v>
      </c>
      <c r="BK2490" s="5" t="s">
        <v>254</v>
      </c>
      <c r="BY2490" s="5" t="s">
        <v>238</v>
      </c>
      <c r="BZ2490" s="5" t="s">
        <v>238</v>
      </c>
      <c r="CD2490" s="5" t="s">
        <v>273</v>
      </c>
      <c r="CE2490" s="5" t="s">
        <v>256</v>
      </c>
      <c r="CF2490" s="5" t="s">
        <v>238</v>
      </c>
      <c r="CI2490" s="6" t="s">
        <v>257</v>
      </c>
      <c r="CJ2490" s="5" t="s">
        <v>238</v>
      </c>
      <c r="CK2490" s="5" t="s">
        <v>258</v>
      </c>
      <c r="CL2490" s="5" t="s">
        <v>238</v>
      </c>
      <c r="CM2490" s="5" t="s">
        <v>238</v>
      </c>
      <c r="CN2490" s="5">
        <v>0</v>
      </c>
      <c r="CO2490" s="5" t="s">
        <v>259</v>
      </c>
      <c r="CP2490" s="5" t="s">
        <v>260</v>
      </c>
      <c r="CQ2490" s="5" t="s">
        <v>260</v>
      </c>
      <c r="CR2490" s="5" t="s">
        <v>261</v>
      </c>
      <c r="CU2490" s="8">
        <f>1</f>
        <v>1</v>
      </c>
      <c r="CV2490" s="8">
        <f>0</f>
        <v>0</v>
      </c>
      <c r="CX2490" s="8">
        <f>0</f>
        <v>0</v>
      </c>
      <c r="CY2490" s="8">
        <f>1</f>
        <v>1</v>
      </c>
      <c r="DA2490" s="5" t="s">
        <v>274</v>
      </c>
      <c r="DB2490" s="5" t="s">
        <v>238</v>
      </c>
      <c r="DD2490" s="5" t="s">
        <v>274</v>
      </c>
      <c r="DE2490" s="8">
        <f>1009</f>
        <v>1009</v>
      </c>
      <c r="DG2490" s="5" t="s">
        <v>238</v>
      </c>
      <c r="DH2490" s="5" t="s">
        <v>238</v>
      </c>
      <c r="DI2490" s="5" t="s">
        <v>238</v>
      </c>
      <c r="DJ2490" s="5" t="s">
        <v>238</v>
      </c>
      <c r="DN2490" s="5" t="s">
        <v>238</v>
      </c>
      <c r="DO2490" s="5" t="s">
        <v>238</v>
      </c>
      <c r="DP2490" s="5" t="s">
        <v>238</v>
      </c>
      <c r="DQ2490" s="5" t="s">
        <v>238</v>
      </c>
      <c r="DT2490" s="5" t="s">
        <v>275</v>
      </c>
      <c r="DU2490" s="5" t="s">
        <v>2688</v>
      </c>
      <c r="HM2490" s="5" t="s">
        <v>264</v>
      </c>
    </row>
    <row r="2491" spans="1:221" x14ac:dyDescent="0.4">
      <c r="A2491" s="5">
        <v>4195</v>
      </c>
      <c r="B2491" s="5">
        <v>1</v>
      </c>
      <c r="C2491" s="5">
        <v>1</v>
      </c>
      <c r="D2491" s="5" t="s">
        <v>269</v>
      </c>
      <c r="E2491" s="5" t="s">
        <v>271</v>
      </c>
      <c r="F2491" s="5" t="s">
        <v>248</v>
      </c>
      <c r="G2491" s="5" t="s">
        <v>266</v>
      </c>
      <c r="H2491" s="6" t="s">
        <v>4119</v>
      </c>
      <c r="I2491" s="7">
        <f>197</f>
        <v>197</v>
      </c>
      <c r="J2491" s="5" t="s">
        <v>262</v>
      </c>
      <c r="K2491" s="8">
        <f>1</f>
        <v>1</v>
      </c>
      <c r="L2491" s="6" t="s">
        <v>242</v>
      </c>
      <c r="M2491" s="5" t="s">
        <v>267</v>
      </c>
      <c r="N2491" s="5" t="s">
        <v>265</v>
      </c>
      <c r="O2491" s="5" t="s">
        <v>238</v>
      </c>
      <c r="P2491" s="5" t="s">
        <v>238</v>
      </c>
      <c r="Q2491" s="5" t="s">
        <v>268</v>
      </c>
      <c r="R2491" s="5" t="s">
        <v>270</v>
      </c>
      <c r="S2491" s="5" t="s">
        <v>238</v>
      </c>
      <c r="V2491" s="5" t="s">
        <v>238</v>
      </c>
      <c r="X2491" s="6" t="s">
        <v>238</v>
      </c>
      <c r="AA2491" s="6" t="s">
        <v>243</v>
      </c>
      <c r="AB2491" s="5" t="s">
        <v>238</v>
      </c>
      <c r="AC2491" s="5" t="s">
        <v>244</v>
      </c>
      <c r="AD2491" s="5" t="s">
        <v>245</v>
      </c>
      <c r="AT2491" s="5" t="s">
        <v>246</v>
      </c>
      <c r="AU2491" s="5" t="s">
        <v>238</v>
      </c>
      <c r="AV2491" s="5" t="s">
        <v>247</v>
      </c>
      <c r="AW2491" s="5" t="s">
        <v>238</v>
      </c>
      <c r="AX2491" s="5" t="s">
        <v>249</v>
      </c>
      <c r="AY2491" s="5" t="s">
        <v>238</v>
      </c>
      <c r="BA2491" s="5" t="s">
        <v>238</v>
      </c>
      <c r="BC2491" s="5" t="s">
        <v>250</v>
      </c>
      <c r="BD2491" s="6" t="s">
        <v>243</v>
      </c>
      <c r="BE2491" s="5" t="s">
        <v>251</v>
      </c>
      <c r="BF2491" s="5" t="s">
        <v>252</v>
      </c>
      <c r="BG2491" s="5" t="s">
        <v>238</v>
      </c>
      <c r="BH2491" s="7">
        <f>0</f>
        <v>0</v>
      </c>
      <c r="BI2491" s="8">
        <f>0</f>
        <v>0</v>
      </c>
      <c r="BJ2491" s="5" t="s">
        <v>253</v>
      </c>
      <c r="BK2491" s="5" t="s">
        <v>254</v>
      </c>
      <c r="BY2491" s="5" t="s">
        <v>238</v>
      </c>
      <c r="BZ2491" s="5" t="s">
        <v>238</v>
      </c>
      <c r="CD2491" s="5" t="s">
        <v>273</v>
      </c>
      <c r="CE2491" s="5" t="s">
        <v>256</v>
      </c>
      <c r="CF2491" s="5" t="s">
        <v>238</v>
      </c>
      <c r="CI2491" s="6" t="s">
        <v>257</v>
      </c>
      <c r="CJ2491" s="5" t="s">
        <v>238</v>
      </c>
      <c r="CK2491" s="5" t="s">
        <v>258</v>
      </c>
      <c r="CL2491" s="5" t="s">
        <v>238</v>
      </c>
      <c r="CM2491" s="5" t="s">
        <v>238</v>
      </c>
      <c r="CN2491" s="5">
        <v>0</v>
      </c>
      <c r="CO2491" s="5" t="s">
        <v>259</v>
      </c>
      <c r="CP2491" s="5" t="s">
        <v>260</v>
      </c>
      <c r="CQ2491" s="5" t="s">
        <v>260</v>
      </c>
      <c r="CR2491" s="5" t="s">
        <v>261</v>
      </c>
      <c r="CU2491" s="8">
        <f>1</f>
        <v>1</v>
      </c>
      <c r="CV2491" s="8">
        <f>0</f>
        <v>0</v>
      </c>
      <c r="CX2491" s="8">
        <f>0</f>
        <v>0</v>
      </c>
      <c r="CY2491" s="8">
        <f>1</f>
        <v>1</v>
      </c>
      <c r="DA2491" s="5" t="s">
        <v>274</v>
      </c>
      <c r="DB2491" s="5" t="s">
        <v>238</v>
      </c>
      <c r="DD2491" s="5" t="s">
        <v>274</v>
      </c>
      <c r="DE2491" s="8">
        <f>197</f>
        <v>197</v>
      </c>
      <c r="DG2491" s="5" t="s">
        <v>238</v>
      </c>
      <c r="DH2491" s="5" t="s">
        <v>238</v>
      </c>
      <c r="DI2491" s="5" t="s">
        <v>238</v>
      </c>
      <c r="DJ2491" s="5" t="s">
        <v>238</v>
      </c>
      <c r="DN2491" s="5" t="s">
        <v>238</v>
      </c>
      <c r="DO2491" s="5" t="s">
        <v>238</v>
      </c>
      <c r="DP2491" s="5" t="s">
        <v>238</v>
      </c>
      <c r="DQ2491" s="5" t="s">
        <v>238</v>
      </c>
      <c r="DT2491" s="5" t="s">
        <v>275</v>
      </c>
      <c r="DU2491" s="5" t="s">
        <v>2686</v>
      </c>
      <c r="HM2491" s="5" t="s">
        <v>264</v>
      </c>
    </row>
    <row r="2492" spans="1:221" x14ac:dyDescent="0.4">
      <c r="A2492" s="5">
        <v>4196</v>
      </c>
      <c r="B2492" s="5">
        <v>1</v>
      </c>
      <c r="C2492" s="5">
        <v>1</v>
      </c>
      <c r="D2492" s="5" t="s">
        <v>269</v>
      </c>
      <c r="E2492" s="5" t="s">
        <v>271</v>
      </c>
      <c r="F2492" s="5" t="s">
        <v>248</v>
      </c>
      <c r="G2492" s="5" t="s">
        <v>266</v>
      </c>
      <c r="H2492" s="6" t="s">
        <v>4120</v>
      </c>
      <c r="I2492" s="7">
        <f>92</f>
        <v>92</v>
      </c>
      <c r="J2492" s="5" t="s">
        <v>262</v>
      </c>
      <c r="K2492" s="8">
        <f>1</f>
        <v>1</v>
      </c>
      <c r="L2492" s="6" t="s">
        <v>242</v>
      </c>
      <c r="M2492" s="5" t="s">
        <v>267</v>
      </c>
      <c r="N2492" s="5" t="s">
        <v>265</v>
      </c>
      <c r="O2492" s="5" t="s">
        <v>238</v>
      </c>
      <c r="P2492" s="5" t="s">
        <v>238</v>
      </c>
      <c r="Q2492" s="5" t="s">
        <v>268</v>
      </c>
      <c r="R2492" s="5" t="s">
        <v>270</v>
      </c>
      <c r="S2492" s="5" t="s">
        <v>238</v>
      </c>
      <c r="V2492" s="5" t="s">
        <v>238</v>
      </c>
      <c r="X2492" s="6" t="s">
        <v>238</v>
      </c>
      <c r="AA2492" s="6" t="s">
        <v>243</v>
      </c>
      <c r="AB2492" s="5" t="s">
        <v>238</v>
      </c>
      <c r="AC2492" s="5" t="s">
        <v>244</v>
      </c>
      <c r="AD2492" s="5" t="s">
        <v>245</v>
      </c>
      <c r="AT2492" s="5" t="s">
        <v>246</v>
      </c>
      <c r="AU2492" s="5" t="s">
        <v>238</v>
      </c>
      <c r="AV2492" s="5" t="s">
        <v>247</v>
      </c>
      <c r="AW2492" s="5" t="s">
        <v>238</v>
      </c>
      <c r="AX2492" s="5" t="s">
        <v>249</v>
      </c>
      <c r="AY2492" s="5" t="s">
        <v>238</v>
      </c>
      <c r="BA2492" s="5" t="s">
        <v>238</v>
      </c>
      <c r="BC2492" s="5" t="s">
        <v>250</v>
      </c>
      <c r="BD2492" s="6" t="s">
        <v>243</v>
      </c>
      <c r="BE2492" s="5" t="s">
        <v>251</v>
      </c>
      <c r="BF2492" s="5" t="s">
        <v>252</v>
      </c>
      <c r="BG2492" s="5" t="s">
        <v>238</v>
      </c>
      <c r="BH2492" s="7">
        <f>0</f>
        <v>0</v>
      </c>
      <c r="BI2492" s="8">
        <f>0</f>
        <v>0</v>
      </c>
      <c r="BJ2492" s="5" t="s">
        <v>253</v>
      </c>
      <c r="BK2492" s="5" t="s">
        <v>254</v>
      </c>
      <c r="BY2492" s="5" t="s">
        <v>238</v>
      </c>
      <c r="BZ2492" s="5" t="s">
        <v>238</v>
      </c>
      <c r="CD2492" s="5" t="s">
        <v>273</v>
      </c>
      <c r="CE2492" s="5" t="s">
        <v>256</v>
      </c>
      <c r="CF2492" s="5" t="s">
        <v>238</v>
      </c>
      <c r="CI2492" s="6" t="s">
        <v>257</v>
      </c>
      <c r="CJ2492" s="5" t="s">
        <v>238</v>
      </c>
      <c r="CK2492" s="5" t="s">
        <v>258</v>
      </c>
      <c r="CL2492" s="5" t="s">
        <v>238</v>
      </c>
      <c r="CM2492" s="5" t="s">
        <v>238</v>
      </c>
      <c r="CN2492" s="5">
        <v>0</v>
      </c>
      <c r="CO2492" s="5" t="s">
        <v>259</v>
      </c>
      <c r="CP2492" s="5" t="s">
        <v>260</v>
      </c>
      <c r="CQ2492" s="5" t="s">
        <v>260</v>
      </c>
      <c r="CR2492" s="5" t="s">
        <v>261</v>
      </c>
      <c r="CU2492" s="8">
        <f>1</f>
        <v>1</v>
      </c>
      <c r="CV2492" s="8">
        <f>0</f>
        <v>0</v>
      </c>
      <c r="CX2492" s="8">
        <f>0</f>
        <v>0</v>
      </c>
      <c r="CY2492" s="8">
        <f>1</f>
        <v>1</v>
      </c>
      <c r="DA2492" s="5" t="s">
        <v>274</v>
      </c>
      <c r="DB2492" s="5" t="s">
        <v>238</v>
      </c>
      <c r="DD2492" s="5" t="s">
        <v>274</v>
      </c>
      <c r="DE2492" s="8">
        <f>92</f>
        <v>92</v>
      </c>
      <c r="DG2492" s="5" t="s">
        <v>238</v>
      </c>
      <c r="DH2492" s="5" t="s">
        <v>238</v>
      </c>
      <c r="DI2492" s="5" t="s">
        <v>238</v>
      </c>
      <c r="DJ2492" s="5" t="s">
        <v>238</v>
      </c>
      <c r="DN2492" s="5" t="s">
        <v>238</v>
      </c>
      <c r="DO2492" s="5" t="s">
        <v>238</v>
      </c>
      <c r="DP2492" s="5" t="s">
        <v>238</v>
      </c>
      <c r="DQ2492" s="5" t="s">
        <v>238</v>
      </c>
      <c r="DT2492" s="5" t="s">
        <v>275</v>
      </c>
      <c r="DU2492" s="5" t="s">
        <v>2684</v>
      </c>
      <c r="HM2492" s="5" t="s">
        <v>264</v>
      </c>
    </row>
    <row r="2493" spans="1:221" x14ac:dyDescent="0.4">
      <c r="A2493" s="5">
        <v>4197</v>
      </c>
      <c r="B2493" s="5">
        <v>1</v>
      </c>
      <c r="C2493" s="5">
        <v>1</v>
      </c>
      <c r="D2493" s="5" t="s">
        <v>269</v>
      </c>
      <c r="E2493" s="5" t="s">
        <v>271</v>
      </c>
      <c r="F2493" s="5" t="s">
        <v>248</v>
      </c>
      <c r="G2493" s="5" t="s">
        <v>266</v>
      </c>
      <c r="H2493" s="6" t="s">
        <v>4123</v>
      </c>
      <c r="I2493" s="7">
        <f>645</f>
        <v>645</v>
      </c>
      <c r="J2493" s="5" t="s">
        <v>262</v>
      </c>
      <c r="K2493" s="8">
        <f>1</f>
        <v>1</v>
      </c>
      <c r="L2493" s="6" t="s">
        <v>242</v>
      </c>
      <c r="M2493" s="5" t="s">
        <v>267</v>
      </c>
      <c r="N2493" s="5" t="s">
        <v>265</v>
      </c>
      <c r="O2493" s="5" t="s">
        <v>238</v>
      </c>
      <c r="P2493" s="5" t="s">
        <v>238</v>
      </c>
      <c r="Q2493" s="5" t="s">
        <v>268</v>
      </c>
      <c r="R2493" s="5" t="s">
        <v>270</v>
      </c>
      <c r="S2493" s="5" t="s">
        <v>238</v>
      </c>
      <c r="V2493" s="5" t="s">
        <v>238</v>
      </c>
      <c r="X2493" s="6" t="s">
        <v>238</v>
      </c>
      <c r="AA2493" s="6" t="s">
        <v>243</v>
      </c>
      <c r="AB2493" s="5" t="s">
        <v>238</v>
      </c>
      <c r="AC2493" s="5" t="s">
        <v>244</v>
      </c>
      <c r="AD2493" s="5" t="s">
        <v>245</v>
      </c>
      <c r="AT2493" s="5" t="s">
        <v>246</v>
      </c>
      <c r="AU2493" s="5" t="s">
        <v>238</v>
      </c>
      <c r="AV2493" s="5" t="s">
        <v>247</v>
      </c>
      <c r="AW2493" s="5" t="s">
        <v>238</v>
      </c>
      <c r="AX2493" s="5" t="s">
        <v>249</v>
      </c>
      <c r="AY2493" s="5" t="s">
        <v>238</v>
      </c>
      <c r="BA2493" s="5" t="s">
        <v>238</v>
      </c>
      <c r="BC2493" s="5" t="s">
        <v>250</v>
      </c>
      <c r="BD2493" s="6" t="s">
        <v>243</v>
      </c>
      <c r="BE2493" s="5" t="s">
        <v>251</v>
      </c>
      <c r="BF2493" s="5" t="s">
        <v>252</v>
      </c>
      <c r="BG2493" s="5" t="s">
        <v>238</v>
      </c>
      <c r="BH2493" s="7">
        <f>0</f>
        <v>0</v>
      </c>
      <c r="BI2493" s="8">
        <f>0</f>
        <v>0</v>
      </c>
      <c r="BJ2493" s="5" t="s">
        <v>253</v>
      </c>
      <c r="BK2493" s="5" t="s">
        <v>254</v>
      </c>
      <c r="BY2493" s="5" t="s">
        <v>238</v>
      </c>
      <c r="BZ2493" s="5" t="s">
        <v>238</v>
      </c>
      <c r="CD2493" s="5" t="s">
        <v>273</v>
      </c>
      <c r="CE2493" s="5" t="s">
        <v>256</v>
      </c>
      <c r="CF2493" s="5" t="s">
        <v>238</v>
      </c>
      <c r="CI2493" s="6" t="s">
        <v>257</v>
      </c>
      <c r="CJ2493" s="5" t="s">
        <v>238</v>
      </c>
      <c r="CK2493" s="5" t="s">
        <v>258</v>
      </c>
      <c r="CL2493" s="5" t="s">
        <v>238</v>
      </c>
      <c r="CM2493" s="5" t="s">
        <v>238</v>
      </c>
      <c r="CN2493" s="5">
        <v>0</v>
      </c>
      <c r="CO2493" s="5" t="s">
        <v>259</v>
      </c>
      <c r="CP2493" s="5" t="s">
        <v>260</v>
      </c>
      <c r="CQ2493" s="5" t="s">
        <v>260</v>
      </c>
      <c r="CR2493" s="5" t="s">
        <v>261</v>
      </c>
      <c r="CU2493" s="8">
        <f>1</f>
        <v>1</v>
      </c>
      <c r="CV2493" s="8">
        <f>0</f>
        <v>0</v>
      </c>
      <c r="CX2493" s="8">
        <f>0</f>
        <v>0</v>
      </c>
      <c r="CY2493" s="8">
        <f>1</f>
        <v>1</v>
      </c>
      <c r="DA2493" s="5" t="s">
        <v>274</v>
      </c>
      <c r="DB2493" s="5" t="s">
        <v>238</v>
      </c>
      <c r="DD2493" s="5" t="s">
        <v>274</v>
      </c>
      <c r="DE2493" s="8">
        <f>645</f>
        <v>645</v>
      </c>
      <c r="DG2493" s="5" t="s">
        <v>238</v>
      </c>
      <c r="DH2493" s="5" t="s">
        <v>238</v>
      </c>
      <c r="DI2493" s="5" t="s">
        <v>238</v>
      </c>
      <c r="DJ2493" s="5" t="s">
        <v>238</v>
      </c>
      <c r="DN2493" s="5" t="s">
        <v>238</v>
      </c>
      <c r="DO2493" s="5" t="s">
        <v>238</v>
      </c>
      <c r="DP2493" s="5" t="s">
        <v>238</v>
      </c>
      <c r="DQ2493" s="5" t="s">
        <v>238</v>
      </c>
      <c r="DT2493" s="5" t="s">
        <v>275</v>
      </c>
      <c r="DU2493" s="5" t="s">
        <v>2678</v>
      </c>
      <c r="HM2493" s="5" t="s">
        <v>264</v>
      </c>
    </row>
    <row r="2494" spans="1:221" x14ac:dyDescent="0.4">
      <c r="A2494" s="5">
        <v>4198</v>
      </c>
      <c r="B2494" s="5">
        <v>1</v>
      </c>
      <c r="C2494" s="5">
        <v>1</v>
      </c>
      <c r="D2494" s="5" t="s">
        <v>269</v>
      </c>
      <c r="E2494" s="5" t="s">
        <v>271</v>
      </c>
      <c r="F2494" s="5" t="s">
        <v>248</v>
      </c>
      <c r="G2494" s="5" t="s">
        <v>266</v>
      </c>
      <c r="H2494" s="6" t="s">
        <v>4124</v>
      </c>
      <c r="I2494" s="7">
        <f>276</f>
        <v>276</v>
      </c>
      <c r="J2494" s="5" t="s">
        <v>262</v>
      </c>
      <c r="K2494" s="8">
        <f>1</f>
        <v>1</v>
      </c>
      <c r="L2494" s="6" t="s">
        <v>242</v>
      </c>
      <c r="M2494" s="5" t="s">
        <v>267</v>
      </c>
      <c r="N2494" s="5" t="s">
        <v>265</v>
      </c>
      <c r="O2494" s="5" t="s">
        <v>238</v>
      </c>
      <c r="P2494" s="5" t="s">
        <v>238</v>
      </c>
      <c r="Q2494" s="5" t="s">
        <v>268</v>
      </c>
      <c r="R2494" s="5" t="s">
        <v>270</v>
      </c>
      <c r="S2494" s="5" t="s">
        <v>238</v>
      </c>
      <c r="V2494" s="5" t="s">
        <v>238</v>
      </c>
      <c r="X2494" s="6" t="s">
        <v>238</v>
      </c>
      <c r="AA2494" s="6" t="s">
        <v>243</v>
      </c>
      <c r="AB2494" s="5" t="s">
        <v>238</v>
      </c>
      <c r="AC2494" s="5" t="s">
        <v>244</v>
      </c>
      <c r="AD2494" s="5" t="s">
        <v>245</v>
      </c>
      <c r="AT2494" s="5" t="s">
        <v>246</v>
      </c>
      <c r="AU2494" s="5" t="s">
        <v>238</v>
      </c>
      <c r="AV2494" s="5" t="s">
        <v>247</v>
      </c>
      <c r="AW2494" s="5" t="s">
        <v>238</v>
      </c>
      <c r="AX2494" s="5" t="s">
        <v>249</v>
      </c>
      <c r="AY2494" s="5" t="s">
        <v>238</v>
      </c>
      <c r="BA2494" s="5" t="s">
        <v>238</v>
      </c>
      <c r="BC2494" s="5" t="s">
        <v>250</v>
      </c>
      <c r="BD2494" s="6" t="s">
        <v>243</v>
      </c>
      <c r="BE2494" s="5" t="s">
        <v>251</v>
      </c>
      <c r="BF2494" s="5" t="s">
        <v>252</v>
      </c>
      <c r="BG2494" s="5" t="s">
        <v>238</v>
      </c>
      <c r="BH2494" s="7">
        <f>0</f>
        <v>0</v>
      </c>
      <c r="BI2494" s="8">
        <f>0</f>
        <v>0</v>
      </c>
      <c r="BJ2494" s="5" t="s">
        <v>253</v>
      </c>
      <c r="BK2494" s="5" t="s">
        <v>254</v>
      </c>
      <c r="BY2494" s="5" t="s">
        <v>238</v>
      </c>
      <c r="BZ2494" s="5" t="s">
        <v>238</v>
      </c>
      <c r="CD2494" s="5" t="s">
        <v>273</v>
      </c>
      <c r="CE2494" s="5" t="s">
        <v>256</v>
      </c>
      <c r="CF2494" s="5" t="s">
        <v>238</v>
      </c>
      <c r="CI2494" s="6" t="s">
        <v>257</v>
      </c>
      <c r="CJ2494" s="5" t="s">
        <v>238</v>
      </c>
      <c r="CK2494" s="5" t="s">
        <v>258</v>
      </c>
      <c r="CL2494" s="5" t="s">
        <v>238</v>
      </c>
      <c r="CM2494" s="5" t="s">
        <v>238</v>
      </c>
      <c r="CN2494" s="5">
        <v>0</v>
      </c>
      <c r="CO2494" s="5" t="s">
        <v>259</v>
      </c>
      <c r="CP2494" s="5" t="s">
        <v>260</v>
      </c>
      <c r="CQ2494" s="5" t="s">
        <v>260</v>
      </c>
      <c r="CR2494" s="5" t="s">
        <v>261</v>
      </c>
      <c r="CU2494" s="8">
        <f>1</f>
        <v>1</v>
      </c>
      <c r="CV2494" s="8">
        <f>0</f>
        <v>0</v>
      </c>
      <c r="CX2494" s="8">
        <f>0</f>
        <v>0</v>
      </c>
      <c r="CY2494" s="8">
        <f>1</f>
        <v>1</v>
      </c>
      <c r="DA2494" s="5" t="s">
        <v>274</v>
      </c>
      <c r="DB2494" s="5" t="s">
        <v>238</v>
      </c>
      <c r="DD2494" s="5" t="s">
        <v>274</v>
      </c>
      <c r="DE2494" s="8">
        <f>276</f>
        <v>276</v>
      </c>
      <c r="DG2494" s="5" t="s">
        <v>238</v>
      </c>
      <c r="DH2494" s="5" t="s">
        <v>238</v>
      </c>
      <c r="DI2494" s="5" t="s">
        <v>238</v>
      </c>
      <c r="DJ2494" s="5" t="s">
        <v>238</v>
      </c>
      <c r="DN2494" s="5" t="s">
        <v>238</v>
      </c>
      <c r="DO2494" s="5" t="s">
        <v>238</v>
      </c>
      <c r="DP2494" s="5" t="s">
        <v>238</v>
      </c>
      <c r="DQ2494" s="5" t="s">
        <v>238</v>
      </c>
      <c r="DT2494" s="5" t="s">
        <v>275</v>
      </c>
      <c r="DU2494" s="5" t="s">
        <v>2676</v>
      </c>
      <c r="HM2494" s="5" t="s">
        <v>264</v>
      </c>
    </row>
    <row r="2495" spans="1:221" x14ac:dyDescent="0.4">
      <c r="A2495" s="5">
        <v>4199</v>
      </c>
      <c r="B2495" s="5">
        <v>1</v>
      </c>
      <c r="C2495" s="5">
        <v>1</v>
      </c>
      <c r="D2495" s="5" t="s">
        <v>269</v>
      </c>
      <c r="E2495" s="5" t="s">
        <v>271</v>
      </c>
      <c r="F2495" s="5" t="s">
        <v>248</v>
      </c>
      <c r="G2495" s="5" t="s">
        <v>266</v>
      </c>
      <c r="H2495" s="6" t="s">
        <v>4125</v>
      </c>
      <c r="I2495" s="7">
        <f>615</f>
        <v>615</v>
      </c>
      <c r="J2495" s="5" t="s">
        <v>262</v>
      </c>
      <c r="K2495" s="8">
        <f>1</f>
        <v>1</v>
      </c>
      <c r="L2495" s="6" t="s">
        <v>242</v>
      </c>
      <c r="M2495" s="5" t="s">
        <v>267</v>
      </c>
      <c r="N2495" s="5" t="s">
        <v>265</v>
      </c>
      <c r="O2495" s="5" t="s">
        <v>238</v>
      </c>
      <c r="P2495" s="5" t="s">
        <v>238</v>
      </c>
      <c r="Q2495" s="5" t="s">
        <v>268</v>
      </c>
      <c r="R2495" s="5" t="s">
        <v>270</v>
      </c>
      <c r="S2495" s="5" t="s">
        <v>238</v>
      </c>
      <c r="V2495" s="5" t="s">
        <v>238</v>
      </c>
      <c r="X2495" s="6" t="s">
        <v>238</v>
      </c>
      <c r="AA2495" s="6" t="s">
        <v>243</v>
      </c>
      <c r="AB2495" s="5" t="s">
        <v>238</v>
      </c>
      <c r="AC2495" s="5" t="s">
        <v>244</v>
      </c>
      <c r="AD2495" s="5" t="s">
        <v>245</v>
      </c>
      <c r="AT2495" s="5" t="s">
        <v>246</v>
      </c>
      <c r="AU2495" s="5" t="s">
        <v>238</v>
      </c>
      <c r="AV2495" s="5" t="s">
        <v>247</v>
      </c>
      <c r="AW2495" s="5" t="s">
        <v>238</v>
      </c>
      <c r="AX2495" s="5" t="s">
        <v>249</v>
      </c>
      <c r="AY2495" s="5" t="s">
        <v>238</v>
      </c>
      <c r="BA2495" s="5" t="s">
        <v>238</v>
      </c>
      <c r="BC2495" s="5" t="s">
        <v>250</v>
      </c>
      <c r="BD2495" s="6" t="s">
        <v>243</v>
      </c>
      <c r="BE2495" s="5" t="s">
        <v>251</v>
      </c>
      <c r="BF2495" s="5" t="s">
        <v>252</v>
      </c>
      <c r="BG2495" s="5" t="s">
        <v>238</v>
      </c>
      <c r="BH2495" s="7">
        <f>0</f>
        <v>0</v>
      </c>
      <c r="BI2495" s="8">
        <f>0</f>
        <v>0</v>
      </c>
      <c r="BJ2495" s="5" t="s">
        <v>253</v>
      </c>
      <c r="BK2495" s="5" t="s">
        <v>254</v>
      </c>
      <c r="BY2495" s="5" t="s">
        <v>238</v>
      </c>
      <c r="BZ2495" s="5" t="s">
        <v>238</v>
      </c>
      <c r="CD2495" s="5" t="s">
        <v>273</v>
      </c>
      <c r="CE2495" s="5" t="s">
        <v>256</v>
      </c>
      <c r="CF2495" s="5" t="s">
        <v>238</v>
      </c>
      <c r="CI2495" s="6" t="s">
        <v>257</v>
      </c>
      <c r="CJ2495" s="5" t="s">
        <v>238</v>
      </c>
      <c r="CK2495" s="5" t="s">
        <v>258</v>
      </c>
      <c r="CL2495" s="5" t="s">
        <v>238</v>
      </c>
      <c r="CM2495" s="5" t="s">
        <v>238</v>
      </c>
      <c r="CN2495" s="5">
        <v>0</v>
      </c>
      <c r="CO2495" s="5" t="s">
        <v>259</v>
      </c>
      <c r="CP2495" s="5" t="s">
        <v>260</v>
      </c>
      <c r="CQ2495" s="5" t="s">
        <v>260</v>
      </c>
      <c r="CR2495" s="5" t="s">
        <v>261</v>
      </c>
      <c r="CU2495" s="8">
        <f>1</f>
        <v>1</v>
      </c>
      <c r="CV2495" s="8">
        <f>0</f>
        <v>0</v>
      </c>
      <c r="CX2495" s="8">
        <f>0</f>
        <v>0</v>
      </c>
      <c r="CY2495" s="8">
        <f>1</f>
        <v>1</v>
      </c>
      <c r="DA2495" s="5" t="s">
        <v>274</v>
      </c>
      <c r="DB2495" s="5" t="s">
        <v>238</v>
      </c>
      <c r="DD2495" s="5" t="s">
        <v>274</v>
      </c>
      <c r="DE2495" s="8">
        <f>615</f>
        <v>615</v>
      </c>
      <c r="DG2495" s="5" t="s">
        <v>238</v>
      </c>
      <c r="DH2495" s="5" t="s">
        <v>238</v>
      </c>
      <c r="DI2495" s="5" t="s">
        <v>238</v>
      </c>
      <c r="DJ2495" s="5" t="s">
        <v>238</v>
      </c>
      <c r="DN2495" s="5" t="s">
        <v>238</v>
      </c>
      <c r="DO2495" s="5" t="s">
        <v>238</v>
      </c>
      <c r="DP2495" s="5" t="s">
        <v>238</v>
      </c>
      <c r="DQ2495" s="5" t="s">
        <v>238</v>
      </c>
      <c r="DT2495" s="5" t="s">
        <v>275</v>
      </c>
      <c r="DU2495" s="5" t="s">
        <v>2674</v>
      </c>
      <c r="HM2495" s="5" t="s">
        <v>264</v>
      </c>
    </row>
    <row r="2496" spans="1:221" x14ac:dyDescent="0.4">
      <c r="A2496" s="5">
        <v>4200</v>
      </c>
      <c r="B2496" s="5">
        <v>1</v>
      </c>
      <c r="C2496" s="5">
        <v>1</v>
      </c>
      <c r="D2496" s="5" t="s">
        <v>269</v>
      </c>
      <c r="E2496" s="5" t="s">
        <v>271</v>
      </c>
      <c r="F2496" s="5" t="s">
        <v>248</v>
      </c>
      <c r="G2496" s="5" t="s">
        <v>266</v>
      </c>
      <c r="H2496" s="6" t="s">
        <v>4126</v>
      </c>
      <c r="I2496" s="7">
        <f>1234</f>
        <v>1234</v>
      </c>
      <c r="J2496" s="5" t="s">
        <v>262</v>
      </c>
      <c r="K2496" s="8">
        <f>1</f>
        <v>1</v>
      </c>
      <c r="L2496" s="6" t="s">
        <v>242</v>
      </c>
      <c r="M2496" s="5" t="s">
        <v>267</v>
      </c>
      <c r="N2496" s="5" t="s">
        <v>265</v>
      </c>
      <c r="O2496" s="5" t="s">
        <v>238</v>
      </c>
      <c r="P2496" s="5" t="s">
        <v>238</v>
      </c>
      <c r="Q2496" s="5" t="s">
        <v>268</v>
      </c>
      <c r="R2496" s="5" t="s">
        <v>270</v>
      </c>
      <c r="S2496" s="5" t="s">
        <v>238</v>
      </c>
      <c r="V2496" s="5" t="s">
        <v>238</v>
      </c>
      <c r="X2496" s="6" t="s">
        <v>238</v>
      </c>
      <c r="AA2496" s="6" t="s">
        <v>243</v>
      </c>
      <c r="AB2496" s="5" t="s">
        <v>238</v>
      </c>
      <c r="AC2496" s="5" t="s">
        <v>244</v>
      </c>
      <c r="AD2496" s="5" t="s">
        <v>245</v>
      </c>
      <c r="AT2496" s="5" t="s">
        <v>246</v>
      </c>
      <c r="AU2496" s="5" t="s">
        <v>238</v>
      </c>
      <c r="AV2496" s="5" t="s">
        <v>247</v>
      </c>
      <c r="AW2496" s="5" t="s">
        <v>238</v>
      </c>
      <c r="AX2496" s="5" t="s">
        <v>249</v>
      </c>
      <c r="AY2496" s="5" t="s">
        <v>238</v>
      </c>
      <c r="BA2496" s="5" t="s">
        <v>238</v>
      </c>
      <c r="BC2496" s="5" t="s">
        <v>250</v>
      </c>
      <c r="BD2496" s="6" t="s">
        <v>243</v>
      </c>
      <c r="BE2496" s="5" t="s">
        <v>251</v>
      </c>
      <c r="BF2496" s="5" t="s">
        <v>252</v>
      </c>
      <c r="BG2496" s="5" t="s">
        <v>238</v>
      </c>
      <c r="BH2496" s="7">
        <f>0</f>
        <v>0</v>
      </c>
      <c r="BI2496" s="8">
        <f>0</f>
        <v>0</v>
      </c>
      <c r="BJ2496" s="5" t="s">
        <v>253</v>
      </c>
      <c r="BK2496" s="5" t="s">
        <v>254</v>
      </c>
      <c r="BY2496" s="5" t="s">
        <v>238</v>
      </c>
      <c r="BZ2496" s="5" t="s">
        <v>238</v>
      </c>
      <c r="CD2496" s="5" t="s">
        <v>273</v>
      </c>
      <c r="CE2496" s="5" t="s">
        <v>256</v>
      </c>
      <c r="CF2496" s="5" t="s">
        <v>238</v>
      </c>
      <c r="CI2496" s="6" t="s">
        <v>257</v>
      </c>
      <c r="CJ2496" s="5" t="s">
        <v>238</v>
      </c>
      <c r="CK2496" s="5" t="s">
        <v>258</v>
      </c>
      <c r="CL2496" s="5" t="s">
        <v>238</v>
      </c>
      <c r="CM2496" s="5" t="s">
        <v>238</v>
      </c>
      <c r="CN2496" s="5">
        <v>0</v>
      </c>
      <c r="CO2496" s="5" t="s">
        <v>259</v>
      </c>
      <c r="CP2496" s="5" t="s">
        <v>260</v>
      </c>
      <c r="CQ2496" s="5" t="s">
        <v>260</v>
      </c>
      <c r="CR2496" s="5" t="s">
        <v>261</v>
      </c>
      <c r="CU2496" s="8">
        <f>1</f>
        <v>1</v>
      </c>
      <c r="CV2496" s="8">
        <f>0</f>
        <v>0</v>
      </c>
      <c r="CX2496" s="8">
        <f>0</f>
        <v>0</v>
      </c>
      <c r="CY2496" s="8">
        <f>1</f>
        <v>1</v>
      </c>
      <c r="DA2496" s="5" t="s">
        <v>274</v>
      </c>
      <c r="DB2496" s="5" t="s">
        <v>238</v>
      </c>
      <c r="DD2496" s="5" t="s">
        <v>274</v>
      </c>
      <c r="DE2496" s="8">
        <f>1234</f>
        <v>1234</v>
      </c>
      <c r="DG2496" s="5" t="s">
        <v>238</v>
      </c>
      <c r="DH2496" s="5" t="s">
        <v>238</v>
      </c>
      <c r="DI2496" s="5" t="s">
        <v>238</v>
      </c>
      <c r="DJ2496" s="5" t="s">
        <v>238</v>
      </c>
      <c r="DN2496" s="5" t="s">
        <v>238</v>
      </c>
      <c r="DO2496" s="5" t="s">
        <v>238</v>
      </c>
      <c r="DP2496" s="5" t="s">
        <v>238</v>
      </c>
      <c r="DQ2496" s="5" t="s">
        <v>238</v>
      </c>
      <c r="DT2496" s="5" t="s">
        <v>275</v>
      </c>
      <c r="DU2496" s="5" t="s">
        <v>2672</v>
      </c>
      <c r="HM2496" s="5" t="s">
        <v>264</v>
      </c>
    </row>
    <row r="2497" spans="1:221" x14ac:dyDescent="0.4">
      <c r="A2497" s="5">
        <v>4201</v>
      </c>
      <c r="B2497" s="5">
        <v>1</v>
      </c>
      <c r="C2497" s="5">
        <v>1</v>
      </c>
      <c r="D2497" s="5" t="s">
        <v>269</v>
      </c>
      <c r="E2497" s="5" t="s">
        <v>271</v>
      </c>
      <c r="F2497" s="5" t="s">
        <v>248</v>
      </c>
      <c r="G2497" s="5" t="s">
        <v>266</v>
      </c>
      <c r="H2497" s="6" t="s">
        <v>4129</v>
      </c>
      <c r="I2497" s="7">
        <f>320</f>
        <v>320</v>
      </c>
      <c r="J2497" s="5" t="s">
        <v>262</v>
      </c>
      <c r="K2497" s="8">
        <f>1</f>
        <v>1</v>
      </c>
      <c r="L2497" s="6" t="s">
        <v>242</v>
      </c>
      <c r="M2497" s="5" t="s">
        <v>267</v>
      </c>
      <c r="N2497" s="5" t="s">
        <v>265</v>
      </c>
      <c r="O2497" s="5" t="s">
        <v>238</v>
      </c>
      <c r="P2497" s="5" t="s">
        <v>238</v>
      </c>
      <c r="Q2497" s="5" t="s">
        <v>268</v>
      </c>
      <c r="R2497" s="5" t="s">
        <v>270</v>
      </c>
      <c r="S2497" s="5" t="s">
        <v>238</v>
      </c>
      <c r="V2497" s="5" t="s">
        <v>238</v>
      </c>
      <c r="X2497" s="6" t="s">
        <v>238</v>
      </c>
      <c r="AA2497" s="6" t="s">
        <v>243</v>
      </c>
      <c r="AB2497" s="5" t="s">
        <v>238</v>
      </c>
      <c r="AC2497" s="5" t="s">
        <v>244</v>
      </c>
      <c r="AD2497" s="5" t="s">
        <v>245</v>
      </c>
      <c r="AT2497" s="5" t="s">
        <v>246</v>
      </c>
      <c r="AU2497" s="5" t="s">
        <v>238</v>
      </c>
      <c r="AV2497" s="5" t="s">
        <v>247</v>
      </c>
      <c r="AW2497" s="5" t="s">
        <v>238</v>
      </c>
      <c r="AX2497" s="5" t="s">
        <v>249</v>
      </c>
      <c r="AY2497" s="5" t="s">
        <v>238</v>
      </c>
      <c r="BA2497" s="5" t="s">
        <v>238</v>
      </c>
      <c r="BC2497" s="5" t="s">
        <v>250</v>
      </c>
      <c r="BD2497" s="6" t="s">
        <v>243</v>
      </c>
      <c r="BE2497" s="5" t="s">
        <v>251</v>
      </c>
      <c r="BF2497" s="5" t="s">
        <v>252</v>
      </c>
      <c r="BG2497" s="5" t="s">
        <v>238</v>
      </c>
      <c r="BH2497" s="7">
        <f>0</f>
        <v>0</v>
      </c>
      <c r="BI2497" s="8">
        <f>0</f>
        <v>0</v>
      </c>
      <c r="BJ2497" s="5" t="s">
        <v>253</v>
      </c>
      <c r="BK2497" s="5" t="s">
        <v>254</v>
      </c>
      <c r="BY2497" s="5" t="s">
        <v>238</v>
      </c>
      <c r="BZ2497" s="5" t="s">
        <v>238</v>
      </c>
      <c r="CD2497" s="5" t="s">
        <v>273</v>
      </c>
      <c r="CE2497" s="5" t="s">
        <v>256</v>
      </c>
      <c r="CF2497" s="5" t="s">
        <v>238</v>
      </c>
      <c r="CI2497" s="6" t="s">
        <v>257</v>
      </c>
      <c r="CJ2497" s="5" t="s">
        <v>238</v>
      </c>
      <c r="CK2497" s="5" t="s">
        <v>258</v>
      </c>
      <c r="CL2497" s="5" t="s">
        <v>238</v>
      </c>
      <c r="CM2497" s="5" t="s">
        <v>238</v>
      </c>
      <c r="CN2497" s="5">
        <v>0</v>
      </c>
      <c r="CO2497" s="5" t="s">
        <v>259</v>
      </c>
      <c r="CP2497" s="5" t="s">
        <v>260</v>
      </c>
      <c r="CQ2497" s="5" t="s">
        <v>260</v>
      </c>
      <c r="CR2497" s="5" t="s">
        <v>261</v>
      </c>
      <c r="CU2497" s="8">
        <f>1</f>
        <v>1</v>
      </c>
      <c r="CV2497" s="8">
        <f>0</f>
        <v>0</v>
      </c>
      <c r="CX2497" s="8">
        <f>0</f>
        <v>0</v>
      </c>
      <c r="CY2497" s="8">
        <f>1</f>
        <v>1</v>
      </c>
      <c r="DA2497" s="5" t="s">
        <v>274</v>
      </c>
      <c r="DB2497" s="5" t="s">
        <v>238</v>
      </c>
      <c r="DD2497" s="5" t="s">
        <v>274</v>
      </c>
      <c r="DE2497" s="8">
        <f>320</f>
        <v>320</v>
      </c>
      <c r="DG2497" s="5" t="s">
        <v>238</v>
      </c>
      <c r="DH2497" s="5" t="s">
        <v>238</v>
      </c>
      <c r="DI2497" s="5" t="s">
        <v>238</v>
      </c>
      <c r="DJ2497" s="5" t="s">
        <v>238</v>
      </c>
      <c r="DN2497" s="5" t="s">
        <v>238</v>
      </c>
      <c r="DO2497" s="5" t="s">
        <v>238</v>
      </c>
      <c r="DP2497" s="5" t="s">
        <v>238</v>
      </c>
      <c r="DQ2497" s="5" t="s">
        <v>238</v>
      </c>
      <c r="DT2497" s="5" t="s">
        <v>275</v>
      </c>
      <c r="DU2497" s="5" t="s">
        <v>2670</v>
      </c>
      <c r="HM2497" s="5" t="s">
        <v>264</v>
      </c>
    </row>
    <row r="2498" spans="1:221" x14ac:dyDescent="0.4">
      <c r="A2498" s="5">
        <v>4202</v>
      </c>
      <c r="B2498" s="5">
        <v>1</v>
      </c>
      <c r="C2498" s="5">
        <v>1</v>
      </c>
      <c r="D2498" s="5" t="s">
        <v>269</v>
      </c>
      <c r="E2498" s="5" t="s">
        <v>271</v>
      </c>
      <c r="F2498" s="5" t="s">
        <v>248</v>
      </c>
      <c r="G2498" s="5" t="s">
        <v>266</v>
      </c>
      <c r="H2498" s="6" t="s">
        <v>4131</v>
      </c>
      <c r="I2498" s="7">
        <f>756</f>
        <v>756</v>
      </c>
      <c r="J2498" s="5" t="s">
        <v>262</v>
      </c>
      <c r="K2498" s="8">
        <f>1</f>
        <v>1</v>
      </c>
      <c r="L2498" s="6" t="s">
        <v>242</v>
      </c>
      <c r="M2498" s="5" t="s">
        <v>267</v>
      </c>
      <c r="N2498" s="5" t="s">
        <v>265</v>
      </c>
      <c r="O2498" s="5" t="s">
        <v>238</v>
      </c>
      <c r="P2498" s="5" t="s">
        <v>238</v>
      </c>
      <c r="Q2498" s="5" t="s">
        <v>268</v>
      </c>
      <c r="R2498" s="5" t="s">
        <v>270</v>
      </c>
      <c r="S2498" s="5" t="s">
        <v>238</v>
      </c>
      <c r="V2498" s="5" t="s">
        <v>238</v>
      </c>
      <c r="X2498" s="6" t="s">
        <v>238</v>
      </c>
      <c r="AA2498" s="6" t="s">
        <v>243</v>
      </c>
      <c r="AB2498" s="5" t="s">
        <v>238</v>
      </c>
      <c r="AC2498" s="5" t="s">
        <v>244</v>
      </c>
      <c r="AD2498" s="5" t="s">
        <v>245</v>
      </c>
      <c r="AT2498" s="5" t="s">
        <v>246</v>
      </c>
      <c r="AU2498" s="5" t="s">
        <v>238</v>
      </c>
      <c r="AV2498" s="5" t="s">
        <v>247</v>
      </c>
      <c r="AW2498" s="5" t="s">
        <v>238</v>
      </c>
      <c r="AX2498" s="5" t="s">
        <v>249</v>
      </c>
      <c r="AY2498" s="5" t="s">
        <v>238</v>
      </c>
      <c r="BA2498" s="5" t="s">
        <v>238</v>
      </c>
      <c r="BC2498" s="5" t="s">
        <v>250</v>
      </c>
      <c r="BD2498" s="6" t="s">
        <v>243</v>
      </c>
      <c r="BE2498" s="5" t="s">
        <v>251</v>
      </c>
      <c r="BF2498" s="5" t="s">
        <v>252</v>
      </c>
      <c r="BG2498" s="5" t="s">
        <v>238</v>
      </c>
      <c r="BH2498" s="7">
        <f>0</f>
        <v>0</v>
      </c>
      <c r="BI2498" s="8">
        <f>0</f>
        <v>0</v>
      </c>
      <c r="BJ2498" s="5" t="s">
        <v>253</v>
      </c>
      <c r="BK2498" s="5" t="s">
        <v>254</v>
      </c>
      <c r="BY2498" s="5" t="s">
        <v>238</v>
      </c>
      <c r="BZ2498" s="5" t="s">
        <v>238</v>
      </c>
      <c r="CD2498" s="5" t="s">
        <v>273</v>
      </c>
      <c r="CE2498" s="5" t="s">
        <v>256</v>
      </c>
      <c r="CF2498" s="5" t="s">
        <v>238</v>
      </c>
      <c r="CI2498" s="6" t="s">
        <v>257</v>
      </c>
      <c r="CJ2498" s="5" t="s">
        <v>238</v>
      </c>
      <c r="CK2498" s="5" t="s">
        <v>258</v>
      </c>
      <c r="CL2498" s="5" t="s">
        <v>238</v>
      </c>
      <c r="CM2498" s="5" t="s">
        <v>238</v>
      </c>
      <c r="CN2498" s="5">
        <v>0</v>
      </c>
      <c r="CO2498" s="5" t="s">
        <v>259</v>
      </c>
      <c r="CP2498" s="5" t="s">
        <v>260</v>
      </c>
      <c r="CQ2498" s="5" t="s">
        <v>260</v>
      </c>
      <c r="CR2498" s="5" t="s">
        <v>261</v>
      </c>
      <c r="CU2498" s="8">
        <f>1</f>
        <v>1</v>
      </c>
      <c r="CV2498" s="8">
        <f>0</f>
        <v>0</v>
      </c>
      <c r="CX2498" s="8">
        <f>0</f>
        <v>0</v>
      </c>
      <c r="CY2498" s="8">
        <f>1</f>
        <v>1</v>
      </c>
      <c r="DA2498" s="5" t="s">
        <v>274</v>
      </c>
      <c r="DB2498" s="5" t="s">
        <v>238</v>
      </c>
      <c r="DD2498" s="5" t="s">
        <v>274</v>
      </c>
      <c r="DE2498" s="8">
        <f>756</f>
        <v>756</v>
      </c>
      <c r="DG2498" s="5" t="s">
        <v>238</v>
      </c>
      <c r="DH2498" s="5" t="s">
        <v>238</v>
      </c>
      <c r="DI2498" s="5" t="s">
        <v>238</v>
      </c>
      <c r="DJ2498" s="5" t="s">
        <v>238</v>
      </c>
      <c r="DN2498" s="5" t="s">
        <v>238</v>
      </c>
      <c r="DO2498" s="5" t="s">
        <v>238</v>
      </c>
      <c r="DP2498" s="5" t="s">
        <v>238</v>
      </c>
      <c r="DQ2498" s="5" t="s">
        <v>238</v>
      </c>
      <c r="DT2498" s="5" t="s">
        <v>275</v>
      </c>
      <c r="DU2498" s="5" t="s">
        <v>2668</v>
      </c>
      <c r="HM2498" s="5" t="s">
        <v>264</v>
      </c>
    </row>
    <row r="2499" spans="1:221" x14ac:dyDescent="0.4">
      <c r="A2499" s="5">
        <v>4203</v>
      </c>
      <c r="B2499" s="5">
        <v>1</v>
      </c>
      <c r="C2499" s="5">
        <v>1</v>
      </c>
      <c r="D2499" s="5" t="s">
        <v>269</v>
      </c>
      <c r="E2499" s="5" t="s">
        <v>271</v>
      </c>
      <c r="F2499" s="5" t="s">
        <v>248</v>
      </c>
      <c r="G2499" s="5" t="s">
        <v>266</v>
      </c>
      <c r="H2499" s="6" t="s">
        <v>4134</v>
      </c>
      <c r="I2499" s="7">
        <f>1068</f>
        <v>1068</v>
      </c>
      <c r="J2499" s="5" t="s">
        <v>262</v>
      </c>
      <c r="K2499" s="8">
        <f>1</f>
        <v>1</v>
      </c>
      <c r="L2499" s="6" t="s">
        <v>242</v>
      </c>
      <c r="M2499" s="5" t="s">
        <v>267</v>
      </c>
      <c r="N2499" s="5" t="s">
        <v>265</v>
      </c>
      <c r="O2499" s="5" t="s">
        <v>238</v>
      </c>
      <c r="P2499" s="5" t="s">
        <v>238</v>
      </c>
      <c r="Q2499" s="5" t="s">
        <v>268</v>
      </c>
      <c r="R2499" s="5" t="s">
        <v>270</v>
      </c>
      <c r="S2499" s="5" t="s">
        <v>238</v>
      </c>
      <c r="V2499" s="5" t="s">
        <v>238</v>
      </c>
      <c r="X2499" s="6" t="s">
        <v>238</v>
      </c>
      <c r="AA2499" s="6" t="s">
        <v>243</v>
      </c>
      <c r="AB2499" s="5" t="s">
        <v>238</v>
      </c>
      <c r="AC2499" s="5" t="s">
        <v>244</v>
      </c>
      <c r="AD2499" s="5" t="s">
        <v>245</v>
      </c>
      <c r="AT2499" s="5" t="s">
        <v>246</v>
      </c>
      <c r="AU2499" s="5" t="s">
        <v>238</v>
      </c>
      <c r="AV2499" s="5" t="s">
        <v>247</v>
      </c>
      <c r="AW2499" s="5" t="s">
        <v>238</v>
      </c>
      <c r="AX2499" s="5" t="s">
        <v>249</v>
      </c>
      <c r="AY2499" s="5" t="s">
        <v>238</v>
      </c>
      <c r="BA2499" s="5" t="s">
        <v>238</v>
      </c>
      <c r="BC2499" s="5" t="s">
        <v>250</v>
      </c>
      <c r="BD2499" s="6" t="s">
        <v>243</v>
      </c>
      <c r="BE2499" s="5" t="s">
        <v>251</v>
      </c>
      <c r="BF2499" s="5" t="s">
        <v>252</v>
      </c>
      <c r="BG2499" s="5" t="s">
        <v>238</v>
      </c>
      <c r="BH2499" s="7">
        <f>0</f>
        <v>0</v>
      </c>
      <c r="BI2499" s="8">
        <f>0</f>
        <v>0</v>
      </c>
      <c r="BJ2499" s="5" t="s">
        <v>253</v>
      </c>
      <c r="BK2499" s="5" t="s">
        <v>254</v>
      </c>
      <c r="BY2499" s="5" t="s">
        <v>238</v>
      </c>
      <c r="BZ2499" s="5" t="s">
        <v>238</v>
      </c>
      <c r="CD2499" s="5" t="s">
        <v>273</v>
      </c>
      <c r="CE2499" s="5" t="s">
        <v>256</v>
      </c>
      <c r="CF2499" s="5" t="s">
        <v>238</v>
      </c>
      <c r="CI2499" s="6" t="s">
        <v>257</v>
      </c>
      <c r="CJ2499" s="5" t="s">
        <v>238</v>
      </c>
      <c r="CK2499" s="5" t="s">
        <v>258</v>
      </c>
      <c r="CL2499" s="5" t="s">
        <v>238</v>
      </c>
      <c r="CM2499" s="5" t="s">
        <v>238</v>
      </c>
      <c r="CN2499" s="5">
        <v>0</v>
      </c>
      <c r="CO2499" s="5" t="s">
        <v>259</v>
      </c>
      <c r="CP2499" s="5" t="s">
        <v>260</v>
      </c>
      <c r="CQ2499" s="5" t="s">
        <v>260</v>
      </c>
      <c r="CR2499" s="5" t="s">
        <v>261</v>
      </c>
      <c r="CU2499" s="8">
        <f>1</f>
        <v>1</v>
      </c>
      <c r="CV2499" s="8">
        <f>0</f>
        <v>0</v>
      </c>
      <c r="CX2499" s="8">
        <f>0</f>
        <v>0</v>
      </c>
      <c r="CY2499" s="8">
        <f>1</f>
        <v>1</v>
      </c>
      <c r="DA2499" s="5" t="s">
        <v>274</v>
      </c>
      <c r="DB2499" s="5" t="s">
        <v>238</v>
      </c>
      <c r="DD2499" s="5" t="s">
        <v>274</v>
      </c>
      <c r="DE2499" s="8">
        <f>1068</f>
        <v>1068</v>
      </c>
      <c r="DG2499" s="5" t="s">
        <v>238</v>
      </c>
      <c r="DH2499" s="5" t="s">
        <v>238</v>
      </c>
      <c r="DI2499" s="5" t="s">
        <v>238</v>
      </c>
      <c r="DJ2499" s="5" t="s">
        <v>238</v>
      </c>
      <c r="DN2499" s="5" t="s">
        <v>238</v>
      </c>
      <c r="DO2499" s="5" t="s">
        <v>238</v>
      </c>
      <c r="DP2499" s="5" t="s">
        <v>238</v>
      </c>
      <c r="DQ2499" s="5" t="s">
        <v>238</v>
      </c>
      <c r="DT2499" s="5" t="s">
        <v>275</v>
      </c>
      <c r="DU2499" s="5" t="s">
        <v>2666</v>
      </c>
      <c r="HM2499" s="5" t="s">
        <v>264</v>
      </c>
    </row>
    <row r="2500" spans="1:221" x14ac:dyDescent="0.4">
      <c r="A2500" s="5">
        <v>4204</v>
      </c>
      <c r="B2500" s="5">
        <v>1</v>
      </c>
      <c r="C2500" s="5">
        <v>1</v>
      </c>
      <c r="D2500" s="5" t="s">
        <v>269</v>
      </c>
      <c r="E2500" s="5" t="s">
        <v>271</v>
      </c>
      <c r="F2500" s="5" t="s">
        <v>248</v>
      </c>
      <c r="G2500" s="5" t="s">
        <v>266</v>
      </c>
      <c r="H2500" s="6" t="s">
        <v>4136</v>
      </c>
      <c r="I2500" s="7">
        <f>390</f>
        <v>390</v>
      </c>
      <c r="J2500" s="5" t="s">
        <v>262</v>
      </c>
      <c r="K2500" s="8">
        <f>1</f>
        <v>1</v>
      </c>
      <c r="L2500" s="6" t="s">
        <v>242</v>
      </c>
      <c r="M2500" s="5" t="s">
        <v>267</v>
      </c>
      <c r="N2500" s="5" t="s">
        <v>265</v>
      </c>
      <c r="O2500" s="5" t="s">
        <v>238</v>
      </c>
      <c r="P2500" s="5" t="s">
        <v>238</v>
      </c>
      <c r="Q2500" s="5" t="s">
        <v>268</v>
      </c>
      <c r="R2500" s="5" t="s">
        <v>270</v>
      </c>
      <c r="S2500" s="5" t="s">
        <v>238</v>
      </c>
      <c r="V2500" s="5" t="s">
        <v>238</v>
      </c>
      <c r="X2500" s="6" t="s">
        <v>238</v>
      </c>
      <c r="AA2500" s="6" t="s">
        <v>243</v>
      </c>
      <c r="AB2500" s="5" t="s">
        <v>238</v>
      </c>
      <c r="AC2500" s="5" t="s">
        <v>244</v>
      </c>
      <c r="AD2500" s="5" t="s">
        <v>245</v>
      </c>
      <c r="AT2500" s="5" t="s">
        <v>246</v>
      </c>
      <c r="AU2500" s="5" t="s">
        <v>238</v>
      </c>
      <c r="AV2500" s="5" t="s">
        <v>247</v>
      </c>
      <c r="AW2500" s="5" t="s">
        <v>238</v>
      </c>
      <c r="AX2500" s="5" t="s">
        <v>249</v>
      </c>
      <c r="AY2500" s="5" t="s">
        <v>238</v>
      </c>
      <c r="BA2500" s="5" t="s">
        <v>238</v>
      </c>
      <c r="BC2500" s="5" t="s">
        <v>250</v>
      </c>
      <c r="BD2500" s="6" t="s">
        <v>243</v>
      </c>
      <c r="BE2500" s="5" t="s">
        <v>251</v>
      </c>
      <c r="BF2500" s="5" t="s">
        <v>252</v>
      </c>
      <c r="BG2500" s="5" t="s">
        <v>238</v>
      </c>
      <c r="BH2500" s="7">
        <f>0</f>
        <v>0</v>
      </c>
      <c r="BI2500" s="8">
        <f>0</f>
        <v>0</v>
      </c>
      <c r="BJ2500" s="5" t="s">
        <v>253</v>
      </c>
      <c r="BK2500" s="5" t="s">
        <v>254</v>
      </c>
      <c r="BY2500" s="5" t="s">
        <v>238</v>
      </c>
      <c r="BZ2500" s="5" t="s">
        <v>238</v>
      </c>
      <c r="CD2500" s="5" t="s">
        <v>273</v>
      </c>
      <c r="CE2500" s="5" t="s">
        <v>256</v>
      </c>
      <c r="CF2500" s="5" t="s">
        <v>238</v>
      </c>
      <c r="CI2500" s="6" t="s">
        <v>257</v>
      </c>
      <c r="CJ2500" s="5" t="s">
        <v>238</v>
      </c>
      <c r="CK2500" s="5" t="s">
        <v>258</v>
      </c>
      <c r="CL2500" s="5" t="s">
        <v>238</v>
      </c>
      <c r="CM2500" s="5" t="s">
        <v>238</v>
      </c>
      <c r="CN2500" s="5">
        <v>0</v>
      </c>
      <c r="CO2500" s="5" t="s">
        <v>259</v>
      </c>
      <c r="CP2500" s="5" t="s">
        <v>260</v>
      </c>
      <c r="CQ2500" s="5" t="s">
        <v>260</v>
      </c>
      <c r="CR2500" s="5" t="s">
        <v>261</v>
      </c>
      <c r="CU2500" s="8">
        <f>1</f>
        <v>1</v>
      </c>
      <c r="CV2500" s="8">
        <f>0</f>
        <v>0</v>
      </c>
      <c r="CX2500" s="8">
        <f>0</f>
        <v>0</v>
      </c>
      <c r="CY2500" s="8">
        <f>1</f>
        <v>1</v>
      </c>
      <c r="DA2500" s="5" t="s">
        <v>274</v>
      </c>
      <c r="DB2500" s="5" t="s">
        <v>238</v>
      </c>
      <c r="DD2500" s="5" t="s">
        <v>274</v>
      </c>
      <c r="DE2500" s="8">
        <f>390</f>
        <v>390</v>
      </c>
      <c r="DG2500" s="5" t="s">
        <v>238</v>
      </c>
      <c r="DH2500" s="5" t="s">
        <v>238</v>
      </c>
      <c r="DI2500" s="5" t="s">
        <v>238</v>
      </c>
      <c r="DJ2500" s="5" t="s">
        <v>238</v>
      </c>
      <c r="DN2500" s="5" t="s">
        <v>238</v>
      </c>
      <c r="DO2500" s="5" t="s">
        <v>238</v>
      </c>
      <c r="DP2500" s="5" t="s">
        <v>238</v>
      </c>
      <c r="DQ2500" s="5" t="s">
        <v>238</v>
      </c>
      <c r="DT2500" s="5" t="s">
        <v>275</v>
      </c>
      <c r="DU2500" s="5" t="s">
        <v>2662</v>
      </c>
      <c r="HM2500" s="5" t="s">
        <v>264</v>
      </c>
    </row>
    <row r="2501" spans="1:221" x14ac:dyDescent="0.4">
      <c r="A2501" s="5">
        <v>4205</v>
      </c>
      <c r="B2501" s="5">
        <v>1</v>
      </c>
      <c r="C2501" s="5">
        <v>1</v>
      </c>
      <c r="D2501" s="5" t="s">
        <v>269</v>
      </c>
      <c r="E2501" s="5" t="s">
        <v>271</v>
      </c>
      <c r="F2501" s="5" t="s">
        <v>248</v>
      </c>
      <c r="G2501" s="5" t="s">
        <v>266</v>
      </c>
      <c r="H2501" s="6" t="s">
        <v>4141</v>
      </c>
      <c r="I2501" s="7">
        <f>940</f>
        <v>940</v>
      </c>
      <c r="J2501" s="5" t="s">
        <v>262</v>
      </c>
      <c r="K2501" s="8">
        <f>1</f>
        <v>1</v>
      </c>
      <c r="L2501" s="6" t="s">
        <v>242</v>
      </c>
      <c r="M2501" s="5" t="s">
        <v>267</v>
      </c>
      <c r="N2501" s="5" t="s">
        <v>265</v>
      </c>
      <c r="O2501" s="5" t="s">
        <v>238</v>
      </c>
      <c r="P2501" s="5" t="s">
        <v>238</v>
      </c>
      <c r="Q2501" s="5" t="s">
        <v>268</v>
      </c>
      <c r="R2501" s="5" t="s">
        <v>270</v>
      </c>
      <c r="S2501" s="5" t="s">
        <v>238</v>
      </c>
      <c r="V2501" s="5" t="s">
        <v>238</v>
      </c>
      <c r="X2501" s="6" t="s">
        <v>238</v>
      </c>
      <c r="AA2501" s="6" t="s">
        <v>243</v>
      </c>
      <c r="AB2501" s="5" t="s">
        <v>238</v>
      </c>
      <c r="AC2501" s="5" t="s">
        <v>244</v>
      </c>
      <c r="AD2501" s="5" t="s">
        <v>245</v>
      </c>
      <c r="AT2501" s="5" t="s">
        <v>246</v>
      </c>
      <c r="AU2501" s="5" t="s">
        <v>238</v>
      </c>
      <c r="AV2501" s="5" t="s">
        <v>247</v>
      </c>
      <c r="AW2501" s="5" t="s">
        <v>238</v>
      </c>
      <c r="AX2501" s="5" t="s">
        <v>249</v>
      </c>
      <c r="AY2501" s="5" t="s">
        <v>238</v>
      </c>
      <c r="BA2501" s="5" t="s">
        <v>238</v>
      </c>
      <c r="BC2501" s="5" t="s">
        <v>250</v>
      </c>
      <c r="BD2501" s="6" t="s">
        <v>243</v>
      </c>
      <c r="BE2501" s="5" t="s">
        <v>251</v>
      </c>
      <c r="BF2501" s="5" t="s">
        <v>252</v>
      </c>
      <c r="BG2501" s="5" t="s">
        <v>238</v>
      </c>
      <c r="BH2501" s="7">
        <f>0</f>
        <v>0</v>
      </c>
      <c r="BI2501" s="8">
        <f>0</f>
        <v>0</v>
      </c>
      <c r="BJ2501" s="5" t="s">
        <v>253</v>
      </c>
      <c r="BK2501" s="5" t="s">
        <v>254</v>
      </c>
      <c r="BY2501" s="5" t="s">
        <v>238</v>
      </c>
      <c r="BZ2501" s="5" t="s">
        <v>238</v>
      </c>
      <c r="CD2501" s="5" t="s">
        <v>273</v>
      </c>
      <c r="CE2501" s="5" t="s">
        <v>256</v>
      </c>
      <c r="CF2501" s="5" t="s">
        <v>238</v>
      </c>
      <c r="CI2501" s="6" t="s">
        <v>257</v>
      </c>
      <c r="CJ2501" s="5" t="s">
        <v>238</v>
      </c>
      <c r="CK2501" s="5" t="s">
        <v>258</v>
      </c>
      <c r="CL2501" s="5" t="s">
        <v>238</v>
      </c>
      <c r="CM2501" s="5" t="s">
        <v>238</v>
      </c>
      <c r="CN2501" s="5">
        <v>0</v>
      </c>
      <c r="CO2501" s="5" t="s">
        <v>259</v>
      </c>
      <c r="CP2501" s="5" t="s">
        <v>260</v>
      </c>
      <c r="CQ2501" s="5" t="s">
        <v>260</v>
      </c>
      <c r="CR2501" s="5" t="s">
        <v>261</v>
      </c>
      <c r="CU2501" s="8">
        <f>1</f>
        <v>1</v>
      </c>
      <c r="CV2501" s="8">
        <f>0</f>
        <v>0</v>
      </c>
      <c r="CX2501" s="8">
        <f>0</f>
        <v>0</v>
      </c>
      <c r="CY2501" s="8">
        <f>1</f>
        <v>1</v>
      </c>
      <c r="DA2501" s="5" t="s">
        <v>274</v>
      </c>
      <c r="DB2501" s="5" t="s">
        <v>238</v>
      </c>
      <c r="DD2501" s="5" t="s">
        <v>274</v>
      </c>
      <c r="DE2501" s="8">
        <f>940</f>
        <v>940</v>
      </c>
      <c r="DG2501" s="5" t="s">
        <v>238</v>
      </c>
      <c r="DH2501" s="5" t="s">
        <v>238</v>
      </c>
      <c r="DI2501" s="5" t="s">
        <v>238</v>
      </c>
      <c r="DJ2501" s="5" t="s">
        <v>238</v>
      </c>
      <c r="DN2501" s="5" t="s">
        <v>238</v>
      </c>
      <c r="DO2501" s="5" t="s">
        <v>238</v>
      </c>
      <c r="DP2501" s="5" t="s">
        <v>238</v>
      </c>
      <c r="DQ2501" s="5" t="s">
        <v>238</v>
      </c>
      <c r="DT2501" s="5" t="s">
        <v>275</v>
      </c>
      <c r="DU2501" s="5" t="s">
        <v>2660</v>
      </c>
      <c r="HM2501" s="5" t="s">
        <v>264</v>
      </c>
    </row>
    <row r="2502" spans="1:221" x14ac:dyDescent="0.4">
      <c r="A2502" s="5">
        <v>4206</v>
      </c>
      <c r="B2502" s="5">
        <v>1</v>
      </c>
      <c r="C2502" s="5">
        <v>1</v>
      </c>
      <c r="D2502" s="5" t="s">
        <v>269</v>
      </c>
      <c r="E2502" s="5" t="s">
        <v>271</v>
      </c>
      <c r="F2502" s="5" t="s">
        <v>248</v>
      </c>
      <c r="G2502" s="5" t="s">
        <v>266</v>
      </c>
      <c r="H2502" s="6" t="s">
        <v>4143</v>
      </c>
      <c r="I2502" s="7">
        <f>899</f>
        <v>899</v>
      </c>
      <c r="J2502" s="5" t="s">
        <v>262</v>
      </c>
      <c r="K2502" s="8">
        <f>1</f>
        <v>1</v>
      </c>
      <c r="L2502" s="6" t="s">
        <v>242</v>
      </c>
      <c r="M2502" s="5" t="s">
        <v>267</v>
      </c>
      <c r="N2502" s="5" t="s">
        <v>265</v>
      </c>
      <c r="O2502" s="5" t="s">
        <v>238</v>
      </c>
      <c r="P2502" s="5" t="s">
        <v>238</v>
      </c>
      <c r="Q2502" s="5" t="s">
        <v>268</v>
      </c>
      <c r="R2502" s="5" t="s">
        <v>270</v>
      </c>
      <c r="S2502" s="5" t="s">
        <v>238</v>
      </c>
      <c r="V2502" s="5" t="s">
        <v>238</v>
      </c>
      <c r="X2502" s="6" t="s">
        <v>238</v>
      </c>
      <c r="AA2502" s="6" t="s">
        <v>243</v>
      </c>
      <c r="AB2502" s="5" t="s">
        <v>238</v>
      </c>
      <c r="AC2502" s="5" t="s">
        <v>244</v>
      </c>
      <c r="AD2502" s="5" t="s">
        <v>245</v>
      </c>
      <c r="AT2502" s="5" t="s">
        <v>246</v>
      </c>
      <c r="AU2502" s="5" t="s">
        <v>238</v>
      </c>
      <c r="AV2502" s="5" t="s">
        <v>247</v>
      </c>
      <c r="AW2502" s="5" t="s">
        <v>238</v>
      </c>
      <c r="AX2502" s="5" t="s">
        <v>249</v>
      </c>
      <c r="AY2502" s="5" t="s">
        <v>238</v>
      </c>
      <c r="BA2502" s="5" t="s">
        <v>238</v>
      </c>
      <c r="BC2502" s="5" t="s">
        <v>250</v>
      </c>
      <c r="BD2502" s="6" t="s">
        <v>243</v>
      </c>
      <c r="BE2502" s="5" t="s">
        <v>251</v>
      </c>
      <c r="BF2502" s="5" t="s">
        <v>252</v>
      </c>
      <c r="BG2502" s="5" t="s">
        <v>238</v>
      </c>
      <c r="BH2502" s="7">
        <f>0</f>
        <v>0</v>
      </c>
      <c r="BI2502" s="8">
        <f>0</f>
        <v>0</v>
      </c>
      <c r="BJ2502" s="5" t="s">
        <v>253</v>
      </c>
      <c r="BK2502" s="5" t="s">
        <v>254</v>
      </c>
      <c r="BY2502" s="5" t="s">
        <v>238</v>
      </c>
      <c r="BZ2502" s="5" t="s">
        <v>238</v>
      </c>
      <c r="CD2502" s="5" t="s">
        <v>273</v>
      </c>
      <c r="CE2502" s="5" t="s">
        <v>256</v>
      </c>
      <c r="CF2502" s="5" t="s">
        <v>238</v>
      </c>
      <c r="CI2502" s="6" t="s">
        <v>257</v>
      </c>
      <c r="CJ2502" s="5" t="s">
        <v>238</v>
      </c>
      <c r="CK2502" s="5" t="s">
        <v>258</v>
      </c>
      <c r="CL2502" s="5" t="s">
        <v>238</v>
      </c>
      <c r="CM2502" s="5" t="s">
        <v>238</v>
      </c>
      <c r="CN2502" s="5">
        <v>0</v>
      </c>
      <c r="CO2502" s="5" t="s">
        <v>259</v>
      </c>
      <c r="CP2502" s="5" t="s">
        <v>260</v>
      </c>
      <c r="CQ2502" s="5" t="s">
        <v>260</v>
      </c>
      <c r="CR2502" s="5" t="s">
        <v>261</v>
      </c>
      <c r="CU2502" s="8">
        <f>1</f>
        <v>1</v>
      </c>
      <c r="CV2502" s="8">
        <f>0</f>
        <v>0</v>
      </c>
      <c r="CX2502" s="8">
        <f>0</f>
        <v>0</v>
      </c>
      <c r="CY2502" s="8">
        <f>1</f>
        <v>1</v>
      </c>
      <c r="DA2502" s="5" t="s">
        <v>274</v>
      </c>
      <c r="DB2502" s="5" t="s">
        <v>238</v>
      </c>
      <c r="DD2502" s="5" t="s">
        <v>274</v>
      </c>
      <c r="DE2502" s="8">
        <f>899</f>
        <v>899</v>
      </c>
      <c r="DG2502" s="5" t="s">
        <v>238</v>
      </c>
      <c r="DH2502" s="5" t="s">
        <v>238</v>
      </c>
      <c r="DI2502" s="5" t="s">
        <v>238</v>
      </c>
      <c r="DJ2502" s="5" t="s">
        <v>238</v>
      </c>
      <c r="DN2502" s="5" t="s">
        <v>238</v>
      </c>
      <c r="DO2502" s="5" t="s">
        <v>238</v>
      </c>
      <c r="DP2502" s="5" t="s">
        <v>238</v>
      </c>
      <c r="DQ2502" s="5" t="s">
        <v>238</v>
      </c>
      <c r="DT2502" s="5" t="s">
        <v>275</v>
      </c>
      <c r="DU2502" s="5" t="s">
        <v>2658</v>
      </c>
      <c r="HM2502" s="5" t="s">
        <v>264</v>
      </c>
    </row>
    <row r="2503" spans="1:221" x14ac:dyDescent="0.4">
      <c r="A2503" s="5">
        <v>4207</v>
      </c>
      <c r="B2503" s="5">
        <v>1</v>
      </c>
      <c r="C2503" s="5">
        <v>1</v>
      </c>
      <c r="D2503" s="5" t="s">
        <v>269</v>
      </c>
      <c r="E2503" s="5" t="s">
        <v>271</v>
      </c>
      <c r="F2503" s="5" t="s">
        <v>248</v>
      </c>
      <c r="G2503" s="5" t="s">
        <v>266</v>
      </c>
      <c r="H2503" s="6" t="s">
        <v>4145</v>
      </c>
      <c r="I2503" s="7">
        <f>288</f>
        <v>288</v>
      </c>
      <c r="J2503" s="5" t="s">
        <v>262</v>
      </c>
      <c r="K2503" s="8">
        <f>1</f>
        <v>1</v>
      </c>
      <c r="L2503" s="6" t="s">
        <v>242</v>
      </c>
      <c r="M2503" s="5" t="s">
        <v>267</v>
      </c>
      <c r="N2503" s="5" t="s">
        <v>265</v>
      </c>
      <c r="O2503" s="5" t="s">
        <v>238</v>
      </c>
      <c r="P2503" s="5" t="s">
        <v>238</v>
      </c>
      <c r="Q2503" s="5" t="s">
        <v>268</v>
      </c>
      <c r="R2503" s="5" t="s">
        <v>270</v>
      </c>
      <c r="S2503" s="5" t="s">
        <v>238</v>
      </c>
      <c r="V2503" s="5" t="s">
        <v>238</v>
      </c>
      <c r="X2503" s="6" t="s">
        <v>238</v>
      </c>
      <c r="AA2503" s="6" t="s">
        <v>243</v>
      </c>
      <c r="AB2503" s="5" t="s">
        <v>238</v>
      </c>
      <c r="AC2503" s="5" t="s">
        <v>244</v>
      </c>
      <c r="AD2503" s="5" t="s">
        <v>245</v>
      </c>
      <c r="AT2503" s="5" t="s">
        <v>246</v>
      </c>
      <c r="AU2503" s="5" t="s">
        <v>238</v>
      </c>
      <c r="AV2503" s="5" t="s">
        <v>247</v>
      </c>
      <c r="AW2503" s="5" t="s">
        <v>238</v>
      </c>
      <c r="AX2503" s="5" t="s">
        <v>249</v>
      </c>
      <c r="AY2503" s="5" t="s">
        <v>238</v>
      </c>
      <c r="BA2503" s="5" t="s">
        <v>238</v>
      </c>
      <c r="BC2503" s="5" t="s">
        <v>250</v>
      </c>
      <c r="BD2503" s="6" t="s">
        <v>243</v>
      </c>
      <c r="BE2503" s="5" t="s">
        <v>251</v>
      </c>
      <c r="BF2503" s="5" t="s">
        <v>252</v>
      </c>
      <c r="BG2503" s="5" t="s">
        <v>238</v>
      </c>
      <c r="BH2503" s="7">
        <f>0</f>
        <v>0</v>
      </c>
      <c r="BI2503" s="8">
        <f>0</f>
        <v>0</v>
      </c>
      <c r="BJ2503" s="5" t="s">
        <v>253</v>
      </c>
      <c r="BK2503" s="5" t="s">
        <v>254</v>
      </c>
      <c r="BY2503" s="5" t="s">
        <v>238</v>
      </c>
      <c r="BZ2503" s="5" t="s">
        <v>238</v>
      </c>
      <c r="CD2503" s="5" t="s">
        <v>273</v>
      </c>
      <c r="CE2503" s="5" t="s">
        <v>256</v>
      </c>
      <c r="CF2503" s="5" t="s">
        <v>238</v>
      </c>
      <c r="CI2503" s="6" t="s">
        <v>257</v>
      </c>
      <c r="CJ2503" s="5" t="s">
        <v>238</v>
      </c>
      <c r="CK2503" s="5" t="s">
        <v>258</v>
      </c>
      <c r="CL2503" s="5" t="s">
        <v>238</v>
      </c>
      <c r="CM2503" s="5" t="s">
        <v>238</v>
      </c>
      <c r="CN2503" s="5">
        <v>0</v>
      </c>
      <c r="CO2503" s="5" t="s">
        <v>259</v>
      </c>
      <c r="CP2503" s="5" t="s">
        <v>260</v>
      </c>
      <c r="CQ2503" s="5" t="s">
        <v>260</v>
      </c>
      <c r="CR2503" s="5" t="s">
        <v>261</v>
      </c>
      <c r="CU2503" s="8">
        <f>1</f>
        <v>1</v>
      </c>
      <c r="CV2503" s="8">
        <f>0</f>
        <v>0</v>
      </c>
      <c r="CX2503" s="8">
        <f>0</f>
        <v>0</v>
      </c>
      <c r="CY2503" s="8">
        <f>1</f>
        <v>1</v>
      </c>
      <c r="DA2503" s="5" t="s">
        <v>274</v>
      </c>
      <c r="DB2503" s="5" t="s">
        <v>238</v>
      </c>
      <c r="DD2503" s="5" t="s">
        <v>274</v>
      </c>
      <c r="DE2503" s="8">
        <f>288</f>
        <v>288</v>
      </c>
      <c r="DG2503" s="5" t="s">
        <v>238</v>
      </c>
      <c r="DH2503" s="5" t="s">
        <v>238</v>
      </c>
      <c r="DI2503" s="5" t="s">
        <v>238</v>
      </c>
      <c r="DJ2503" s="5" t="s">
        <v>238</v>
      </c>
      <c r="DN2503" s="5" t="s">
        <v>238</v>
      </c>
      <c r="DO2503" s="5" t="s">
        <v>238</v>
      </c>
      <c r="DP2503" s="5" t="s">
        <v>238</v>
      </c>
      <c r="DQ2503" s="5" t="s">
        <v>238</v>
      </c>
      <c r="DT2503" s="5" t="s">
        <v>275</v>
      </c>
      <c r="DU2503" s="5" t="s">
        <v>2656</v>
      </c>
      <c r="HM2503" s="5" t="s">
        <v>264</v>
      </c>
    </row>
    <row r="2504" spans="1:221" x14ac:dyDescent="0.4">
      <c r="A2504" s="5">
        <v>4208</v>
      </c>
      <c r="B2504" s="5">
        <v>1</v>
      </c>
      <c r="C2504" s="5">
        <v>1</v>
      </c>
      <c r="D2504" s="5" t="s">
        <v>269</v>
      </c>
      <c r="E2504" s="5" t="s">
        <v>271</v>
      </c>
      <c r="F2504" s="5" t="s">
        <v>248</v>
      </c>
      <c r="G2504" s="5" t="s">
        <v>266</v>
      </c>
      <c r="H2504" s="6" t="s">
        <v>4147</v>
      </c>
      <c r="I2504" s="7">
        <f>236</f>
        <v>236</v>
      </c>
      <c r="J2504" s="5" t="s">
        <v>262</v>
      </c>
      <c r="K2504" s="8">
        <f>1</f>
        <v>1</v>
      </c>
      <c r="L2504" s="6" t="s">
        <v>242</v>
      </c>
      <c r="M2504" s="5" t="s">
        <v>267</v>
      </c>
      <c r="N2504" s="5" t="s">
        <v>265</v>
      </c>
      <c r="O2504" s="5" t="s">
        <v>238</v>
      </c>
      <c r="P2504" s="5" t="s">
        <v>238</v>
      </c>
      <c r="Q2504" s="5" t="s">
        <v>268</v>
      </c>
      <c r="R2504" s="5" t="s">
        <v>270</v>
      </c>
      <c r="S2504" s="5" t="s">
        <v>238</v>
      </c>
      <c r="V2504" s="5" t="s">
        <v>238</v>
      </c>
      <c r="X2504" s="6" t="s">
        <v>238</v>
      </c>
      <c r="AA2504" s="6" t="s">
        <v>243</v>
      </c>
      <c r="AB2504" s="5" t="s">
        <v>238</v>
      </c>
      <c r="AC2504" s="5" t="s">
        <v>244</v>
      </c>
      <c r="AD2504" s="5" t="s">
        <v>245</v>
      </c>
      <c r="AT2504" s="5" t="s">
        <v>246</v>
      </c>
      <c r="AU2504" s="5" t="s">
        <v>238</v>
      </c>
      <c r="AV2504" s="5" t="s">
        <v>247</v>
      </c>
      <c r="AW2504" s="5" t="s">
        <v>238</v>
      </c>
      <c r="AX2504" s="5" t="s">
        <v>249</v>
      </c>
      <c r="AY2504" s="5" t="s">
        <v>238</v>
      </c>
      <c r="BA2504" s="5" t="s">
        <v>238</v>
      </c>
      <c r="BC2504" s="5" t="s">
        <v>250</v>
      </c>
      <c r="BD2504" s="6" t="s">
        <v>243</v>
      </c>
      <c r="BE2504" s="5" t="s">
        <v>251</v>
      </c>
      <c r="BF2504" s="5" t="s">
        <v>252</v>
      </c>
      <c r="BG2504" s="5" t="s">
        <v>238</v>
      </c>
      <c r="BH2504" s="7">
        <f>0</f>
        <v>0</v>
      </c>
      <c r="BI2504" s="8">
        <f>0</f>
        <v>0</v>
      </c>
      <c r="BJ2504" s="5" t="s">
        <v>253</v>
      </c>
      <c r="BK2504" s="5" t="s">
        <v>254</v>
      </c>
      <c r="BY2504" s="5" t="s">
        <v>238</v>
      </c>
      <c r="BZ2504" s="5" t="s">
        <v>238</v>
      </c>
      <c r="CD2504" s="5" t="s">
        <v>273</v>
      </c>
      <c r="CE2504" s="5" t="s">
        <v>256</v>
      </c>
      <c r="CF2504" s="5" t="s">
        <v>238</v>
      </c>
      <c r="CI2504" s="6" t="s">
        <v>257</v>
      </c>
      <c r="CJ2504" s="5" t="s">
        <v>238</v>
      </c>
      <c r="CK2504" s="5" t="s">
        <v>258</v>
      </c>
      <c r="CL2504" s="5" t="s">
        <v>238</v>
      </c>
      <c r="CM2504" s="5" t="s">
        <v>238</v>
      </c>
      <c r="CN2504" s="5">
        <v>0</v>
      </c>
      <c r="CO2504" s="5" t="s">
        <v>259</v>
      </c>
      <c r="CP2504" s="5" t="s">
        <v>260</v>
      </c>
      <c r="CQ2504" s="5" t="s">
        <v>260</v>
      </c>
      <c r="CR2504" s="5" t="s">
        <v>261</v>
      </c>
      <c r="CU2504" s="8">
        <f>1</f>
        <v>1</v>
      </c>
      <c r="CV2504" s="8">
        <f>0</f>
        <v>0</v>
      </c>
      <c r="CX2504" s="8">
        <f>0</f>
        <v>0</v>
      </c>
      <c r="CY2504" s="8">
        <f>1</f>
        <v>1</v>
      </c>
      <c r="DA2504" s="5" t="s">
        <v>274</v>
      </c>
      <c r="DB2504" s="5" t="s">
        <v>238</v>
      </c>
      <c r="DD2504" s="5" t="s">
        <v>274</v>
      </c>
      <c r="DE2504" s="8">
        <f>236</f>
        <v>236</v>
      </c>
      <c r="DG2504" s="5" t="s">
        <v>238</v>
      </c>
      <c r="DH2504" s="5" t="s">
        <v>238</v>
      </c>
      <c r="DI2504" s="5" t="s">
        <v>238</v>
      </c>
      <c r="DJ2504" s="5" t="s">
        <v>238</v>
      </c>
      <c r="DN2504" s="5" t="s">
        <v>238</v>
      </c>
      <c r="DO2504" s="5" t="s">
        <v>238</v>
      </c>
      <c r="DP2504" s="5" t="s">
        <v>238</v>
      </c>
      <c r="DQ2504" s="5" t="s">
        <v>238</v>
      </c>
      <c r="DT2504" s="5" t="s">
        <v>275</v>
      </c>
      <c r="DU2504" s="5" t="s">
        <v>2654</v>
      </c>
      <c r="HM2504" s="5" t="s">
        <v>264</v>
      </c>
    </row>
    <row r="2505" spans="1:221" x14ac:dyDescent="0.4">
      <c r="A2505" s="5">
        <v>4209</v>
      </c>
      <c r="B2505" s="5">
        <v>1</v>
      </c>
      <c r="C2505" s="5">
        <v>1</v>
      </c>
      <c r="D2505" s="5" t="s">
        <v>269</v>
      </c>
      <c r="E2505" s="5" t="s">
        <v>271</v>
      </c>
      <c r="F2505" s="5" t="s">
        <v>248</v>
      </c>
      <c r="G2505" s="5" t="s">
        <v>266</v>
      </c>
      <c r="H2505" s="6" t="s">
        <v>4155</v>
      </c>
      <c r="I2505" s="7">
        <f>172</f>
        <v>172</v>
      </c>
      <c r="J2505" s="5" t="s">
        <v>262</v>
      </c>
      <c r="K2505" s="8">
        <f>1</f>
        <v>1</v>
      </c>
      <c r="L2505" s="6" t="s">
        <v>242</v>
      </c>
      <c r="M2505" s="5" t="s">
        <v>267</v>
      </c>
      <c r="N2505" s="5" t="s">
        <v>265</v>
      </c>
      <c r="O2505" s="5" t="s">
        <v>238</v>
      </c>
      <c r="P2505" s="5" t="s">
        <v>238</v>
      </c>
      <c r="Q2505" s="5" t="s">
        <v>268</v>
      </c>
      <c r="R2505" s="5" t="s">
        <v>270</v>
      </c>
      <c r="S2505" s="5" t="s">
        <v>238</v>
      </c>
      <c r="V2505" s="5" t="s">
        <v>238</v>
      </c>
      <c r="X2505" s="6" t="s">
        <v>238</v>
      </c>
      <c r="AA2505" s="6" t="s">
        <v>243</v>
      </c>
      <c r="AB2505" s="5" t="s">
        <v>238</v>
      </c>
      <c r="AC2505" s="5" t="s">
        <v>244</v>
      </c>
      <c r="AD2505" s="5" t="s">
        <v>245</v>
      </c>
      <c r="AT2505" s="5" t="s">
        <v>246</v>
      </c>
      <c r="AU2505" s="5" t="s">
        <v>238</v>
      </c>
      <c r="AV2505" s="5" t="s">
        <v>247</v>
      </c>
      <c r="AW2505" s="5" t="s">
        <v>238</v>
      </c>
      <c r="AX2505" s="5" t="s">
        <v>249</v>
      </c>
      <c r="AY2505" s="5" t="s">
        <v>238</v>
      </c>
      <c r="BA2505" s="5" t="s">
        <v>238</v>
      </c>
      <c r="BC2505" s="5" t="s">
        <v>250</v>
      </c>
      <c r="BD2505" s="6" t="s">
        <v>243</v>
      </c>
      <c r="BE2505" s="5" t="s">
        <v>251</v>
      </c>
      <c r="BF2505" s="5" t="s">
        <v>252</v>
      </c>
      <c r="BG2505" s="5" t="s">
        <v>238</v>
      </c>
      <c r="BH2505" s="7">
        <f>0</f>
        <v>0</v>
      </c>
      <c r="BI2505" s="8">
        <f>0</f>
        <v>0</v>
      </c>
      <c r="BJ2505" s="5" t="s">
        <v>253</v>
      </c>
      <c r="BK2505" s="5" t="s">
        <v>254</v>
      </c>
      <c r="BY2505" s="5" t="s">
        <v>238</v>
      </c>
      <c r="BZ2505" s="5" t="s">
        <v>238</v>
      </c>
      <c r="CD2505" s="5" t="s">
        <v>273</v>
      </c>
      <c r="CE2505" s="5" t="s">
        <v>256</v>
      </c>
      <c r="CF2505" s="5" t="s">
        <v>238</v>
      </c>
      <c r="CI2505" s="6" t="s">
        <v>257</v>
      </c>
      <c r="CJ2505" s="5" t="s">
        <v>238</v>
      </c>
      <c r="CK2505" s="5" t="s">
        <v>258</v>
      </c>
      <c r="CL2505" s="5" t="s">
        <v>238</v>
      </c>
      <c r="CM2505" s="5" t="s">
        <v>238</v>
      </c>
      <c r="CN2505" s="5">
        <v>0</v>
      </c>
      <c r="CO2505" s="5" t="s">
        <v>259</v>
      </c>
      <c r="CP2505" s="5" t="s">
        <v>260</v>
      </c>
      <c r="CQ2505" s="5" t="s">
        <v>260</v>
      </c>
      <c r="CR2505" s="5" t="s">
        <v>261</v>
      </c>
      <c r="CU2505" s="8">
        <f>1</f>
        <v>1</v>
      </c>
      <c r="CV2505" s="8">
        <f>0</f>
        <v>0</v>
      </c>
      <c r="CX2505" s="8">
        <f>0</f>
        <v>0</v>
      </c>
      <c r="CY2505" s="8">
        <f>1</f>
        <v>1</v>
      </c>
      <c r="DA2505" s="5" t="s">
        <v>274</v>
      </c>
      <c r="DB2505" s="5" t="s">
        <v>238</v>
      </c>
      <c r="DD2505" s="5" t="s">
        <v>274</v>
      </c>
      <c r="DE2505" s="8">
        <f>172</f>
        <v>172</v>
      </c>
      <c r="DG2505" s="5" t="s">
        <v>238</v>
      </c>
      <c r="DH2505" s="5" t="s">
        <v>238</v>
      </c>
      <c r="DI2505" s="5" t="s">
        <v>238</v>
      </c>
      <c r="DJ2505" s="5" t="s">
        <v>238</v>
      </c>
      <c r="DN2505" s="5" t="s">
        <v>238</v>
      </c>
      <c r="DO2505" s="5" t="s">
        <v>238</v>
      </c>
      <c r="DP2505" s="5" t="s">
        <v>238</v>
      </c>
      <c r="DQ2505" s="5" t="s">
        <v>238</v>
      </c>
      <c r="DT2505" s="5" t="s">
        <v>275</v>
      </c>
      <c r="DU2505" s="5" t="s">
        <v>2652</v>
      </c>
      <c r="HM2505" s="5" t="s">
        <v>264</v>
      </c>
    </row>
    <row r="2506" spans="1:221" x14ac:dyDescent="0.4">
      <c r="A2506" s="5">
        <v>4210</v>
      </c>
      <c r="B2506" s="5">
        <v>1</v>
      </c>
      <c r="C2506" s="5">
        <v>1</v>
      </c>
      <c r="D2506" s="5" t="s">
        <v>269</v>
      </c>
      <c r="E2506" s="5" t="s">
        <v>271</v>
      </c>
      <c r="F2506" s="5" t="s">
        <v>248</v>
      </c>
      <c r="G2506" s="5" t="s">
        <v>266</v>
      </c>
      <c r="H2506" s="6" t="s">
        <v>4156</v>
      </c>
      <c r="I2506" s="7">
        <f>104</f>
        <v>104</v>
      </c>
      <c r="J2506" s="5" t="s">
        <v>262</v>
      </c>
      <c r="K2506" s="8">
        <f>1</f>
        <v>1</v>
      </c>
      <c r="L2506" s="6" t="s">
        <v>242</v>
      </c>
      <c r="M2506" s="5" t="s">
        <v>267</v>
      </c>
      <c r="N2506" s="5" t="s">
        <v>265</v>
      </c>
      <c r="O2506" s="5" t="s">
        <v>238</v>
      </c>
      <c r="P2506" s="5" t="s">
        <v>238</v>
      </c>
      <c r="Q2506" s="5" t="s">
        <v>268</v>
      </c>
      <c r="R2506" s="5" t="s">
        <v>270</v>
      </c>
      <c r="S2506" s="5" t="s">
        <v>238</v>
      </c>
      <c r="V2506" s="5" t="s">
        <v>238</v>
      </c>
      <c r="X2506" s="6" t="s">
        <v>238</v>
      </c>
      <c r="AA2506" s="6" t="s">
        <v>243</v>
      </c>
      <c r="AB2506" s="5" t="s">
        <v>238</v>
      </c>
      <c r="AC2506" s="5" t="s">
        <v>244</v>
      </c>
      <c r="AD2506" s="5" t="s">
        <v>245</v>
      </c>
      <c r="AT2506" s="5" t="s">
        <v>246</v>
      </c>
      <c r="AU2506" s="5" t="s">
        <v>238</v>
      </c>
      <c r="AV2506" s="5" t="s">
        <v>247</v>
      </c>
      <c r="AW2506" s="5" t="s">
        <v>238</v>
      </c>
      <c r="AX2506" s="5" t="s">
        <v>249</v>
      </c>
      <c r="AY2506" s="5" t="s">
        <v>238</v>
      </c>
      <c r="BA2506" s="5" t="s">
        <v>238</v>
      </c>
      <c r="BC2506" s="5" t="s">
        <v>250</v>
      </c>
      <c r="BD2506" s="6" t="s">
        <v>243</v>
      </c>
      <c r="BE2506" s="5" t="s">
        <v>251</v>
      </c>
      <c r="BF2506" s="5" t="s">
        <v>252</v>
      </c>
      <c r="BG2506" s="5" t="s">
        <v>238</v>
      </c>
      <c r="BH2506" s="7">
        <f>0</f>
        <v>0</v>
      </c>
      <c r="BI2506" s="8">
        <f>0</f>
        <v>0</v>
      </c>
      <c r="BJ2506" s="5" t="s">
        <v>253</v>
      </c>
      <c r="BK2506" s="5" t="s">
        <v>254</v>
      </c>
      <c r="BY2506" s="5" t="s">
        <v>238</v>
      </c>
      <c r="BZ2506" s="5" t="s">
        <v>238</v>
      </c>
      <c r="CD2506" s="5" t="s">
        <v>273</v>
      </c>
      <c r="CE2506" s="5" t="s">
        <v>256</v>
      </c>
      <c r="CF2506" s="5" t="s">
        <v>238</v>
      </c>
      <c r="CI2506" s="6" t="s">
        <v>257</v>
      </c>
      <c r="CJ2506" s="5" t="s">
        <v>238</v>
      </c>
      <c r="CK2506" s="5" t="s">
        <v>258</v>
      </c>
      <c r="CL2506" s="5" t="s">
        <v>238</v>
      </c>
      <c r="CM2506" s="5" t="s">
        <v>238</v>
      </c>
      <c r="CN2506" s="5">
        <v>0</v>
      </c>
      <c r="CO2506" s="5" t="s">
        <v>259</v>
      </c>
      <c r="CP2506" s="5" t="s">
        <v>260</v>
      </c>
      <c r="CQ2506" s="5" t="s">
        <v>260</v>
      </c>
      <c r="CR2506" s="5" t="s">
        <v>261</v>
      </c>
      <c r="CU2506" s="8">
        <f>1</f>
        <v>1</v>
      </c>
      <c r="CV2506" s="8">
        <f>0</f>
        <v>0</v>
      </c>
      <c r="CX2506" s="8">
        <f>0</f>
        <v>0</v>
      </c>
      <c r="CY2506" s="8">
        <f>1</f>
        <v>1</v>
      </c>
      <c r="DA2506" s="5" t="s">
        <v>274</v>
      </c>
      <c r="DB2506" s="5" t="s">
        <v>238</v>
      </c>
      <c r="DD2506" s="5" t="s">
        <v>274</v>
      </c>
      <c r="DE2506" s="8">
        <f>104</f>
        <v>104</v>
      </c>
      <c r="DG2506" s="5" t="s">
        <v>238</v>
      </c>
      <c r="DH2506" s="5" t="s">
        <v>238</v>
      </c>
      <c r="DI2506" s="5" t="s">
        <v>238</v>
      </c>
      <c r="DJ2506" s="5" t="s">
        <v>238</v>
      </c>
      <c r="DN2506" s="5" t="s">
        <v>238</v>
      </c>
      <c r="DO2506" s="5" t="s">
        <v>238</v>
      </c>
      <c r="DP2506" s="5" t="s">
        <v>238</v>
      </c>
      <c r="DQ2506" s="5" t="s">
        <v>238</v>
      </c>
      <c r="DT2506" s="5" t="s">
        <v>275</v>
      </c>
      <c r="DU2506" s="5" t="s">
        <v>2650</v>
      </c>
      <c r="HM2506" s="5" t="s">
        <v>264</v>
      </c>
    </row>
    <row r="2507" spans="1:221" x14ac:dyDescent="0.4">
      <c r="A2507" s="5">
        <v>4211</v>
      </c>
      <c r="B2507" s="5">
        <v>1</v>
      </c>
      <c r="C2507" s="5">
        <v>1</v>
      </c>
      <c r="D2507" s="5" t="s">
        <v>269</v>
      </c>
      <c r="E2507" s="5" t="s">
        <v>271</v>
      </c>
      <c r="F2507" s="5" t="s">
        <v>248</v>
      </c>
      <c r="G2507" s="5" t="s">
        <v>266</v>
      </c>
      <c r="H2507" s="6" t="s">
        <v>4160</v>
      </c>
      <c r="I2507" s="7">
        <f>1235</f>
        <v>1235</v>
      </c>
      <c r="J2507" s="5" t="s">
        <v>262</v>
      </c>
      <c r="K2507" s="8">
        <f>1</f>
        <v>1</v>
      </c>
      <c r="L2507" s="6" t="s">
        <v>242</v>
      </c>
      <c r="M2507" s="5" t="s">
        <v>267</v>
      </c>
      <c r="N2507" s="5" t="s">
        <v>265</v>
      </c>
      <c r="O2507" s="5" t="s">
        <v>238</v>
      </c>
      <c r="P2507" s="5" t="s">
        <v>238</v>
      </c>
      <c r="Q2507" s="5" t="s">
        <v>268</v>
      </c>
      <c r="R2507" s="5" t="s">
        <v>270</v>
      </c>
      <c r="S2507" s="5" t="s">
        <v>238</v>
      </c>
      <c r="V2507" s="5" t="s">
        <v>238</v>
      </c>
      <c r="X2507" s="6" t="s">
        <v>238</v>
      </c>
      <c r="AA2507" s="6" t="s">
        <v>243</v>
      </c>
      <c r="AB2507" s="5" t="s">
        <v>238</v>
      </c>
      <c r="AC2507" s="5" t="s">
        <v>244</v>
      </c>
      <c r="AD2507" s="5" t="s">
        <v>245</v>
      </c>
      <c r="AT2507" s="5" t="s">
        <v>246</v>
      </c>
      <c r="AU2507" s="5" t="s">
        <v>238</v>
      </c>
      <c r="AV2507" s="5" t="s">
        <v>247</v>
      </c>
      <c r="AW2507" s="5" t="s">
        <v>238</v>
      </c>
      <c r="AX2507" s="5" t="s">
        <v>249</v>
      </c>
      <c r="AY2507" s="5" t="s">
        <v>238</v>
      </c>
      <c r="BA2507" s="5" t="s">
        <v>238</v>
      </c>
      <c r="BC2507" s="5" t="s">
        <v>250</v>
      </c>
      <c r="BD2507" s="6" t="s">
        <v>243</v>
      </c>
      <c r="BE2507" s="5" t="s">
        <v>251</v>
      </c>
      <c r="BF2507" s="5" t="s">
        <v>252</v>
      </c>
      <c r="BG2507" s="5" t="s">
        <v>238</v>
      </c>
      <c r="BH2507" s="7">
        <f>0</f>
        <v>0</v>
      </c>
      <c r="BI2507" s="8">
        <f>0</f>
        <v>0</v>
      </c>
      <c r="BJ2507" s="5" t="s">
        <v>253</v>
      </c>
      <c r="BK2507" s="5" t="s">
        <v>254</v>
      </c>
      <c r="BY2507" s="5" t="s">
        <v>238</v>
      </c>
      <c r="BZ2507" s="5" t="s">
        <v>238</v>
      </c>
      <c r="CD2507" s="5" t="s">
        <v>273</v>
      </c>
      <c r="CE2507" s="5" t="s">
        <v>256</v>
      </c>
      <c r="CF2507" s="5" t="s">
        <v>238</v>
      </c>
      <c r="CI2507" s="6" t="s">
        <v>257</v>
      </c>
      <c r="CJ2507" s="5" t="s">
        <v>238</v>
      </c>
      <c r="CK2507" s="5" t="s">
        <v>258</v>
      </c>
      <c r="CL2507" s="5" t="s">
        <v>238</v>
      </c>
      <c r="CM2507" s="5" t="s">
        <v>238</v>
      </c>
      <c r="CN2507" s="5">
        <v>0</v>
      </c>
      <c r="CO2507" s="5" t="s">
        <v>259</v>
      </c>
      <c r="CP2507" s="5" t="s">
        <v>260</v>
      </c>
      <c r="CQ2507" s="5" t="s">
        <v>260</v>
      </c>
      <c r="CR2507" s="5" t="s">
        <v>261</v>
      </c>
      <c r="CU2507" s="8">
        <f>1</f>
        <v>1</v>
      </c>
      <c r="CV2507" s="8">
        <f>0</f>
        <v>0</v>
      </c>
      <c r="CX2507" s="8">
        <f>0</f>
        <v>0</v>
      </c>
      <c r="CY2507" s="8">
        <f>1</f>
        <v>1</v>
      </c>
      <c r="DA2507" s="5" t="s">
        <v>274</v>
      </c>
      <c r="DB2507" s="5" t="s">
        <v>238</v>
      </c>
      <c r="DD2507" s="5" t="s">
        <v>274</v>
      </c>
      <c r="DE2507" s="8">
        <f>1235</f>
        <v>1235</v>
      </c>
      <c r="DG2507" s="5" t="s">
        <v>238</v>
      </c>
      <c r="DH2507" s="5" t="s">
        <v>238</v>
      </c>
      <c r="DI2507" s="5" t="s">
        <v>238</v>
      </c>
      <c r="DJ2507" s="5" t="s">
        <v>238</v>
      </c>
      <c r="DN2507" s="5" t="s">
        <v>238</v>
      </c>
      <c r="DO2507" s="5" t="s">
        <v>238</v>
      </c>
      <c r="DP2507" s="5" t="s">
        <v>238</v>
      </c>
      <c r="DQ2507" s="5" t="s">
        <v>238</v>
      </c>
      <c r="DT2507" s="5" t="s">
        <v>275</v>
      </c>
      <c r="DU2507" s="5" t="s">
        <v>2648</v>
      </c>
      <c r="HM2507" s="5" t="s">
        <v>264</v>
      </c>
    </row>
    <row r="2508" spans="1:221" x14ac:dyDescent="0.4">
      <c r="A2508" s="5">
        <v>4212</v>
      </c>
      <c r="B2508" s="5">
        <v>1</v>
      </c>
      <c r="C2508" s="5">
        <v>1</v>
      </c>
      <c r="D2508" s="5" t="s">
        <v>269</v>
      </c>
      <c r="E2508" s="5" t="s">
        <v>271</v>
      </c>
      <c r="F2508" s="5" t="s">
        <v>248</v>
      </c>
      <c r="G2508" s="5" t="s">
        <v>266</v>
      </c>
      <c r="H2508" s="6" t="s">
        <v>4162</v>
      </c>
      <c r="I2508" s="7">
        <f>916</f>
        <v>916</v>
      </c>
      <c r="J2508" s="5" t="s">
        <v>262</v>
      </c>
      <c r="K2508" s="8">
        <f>1</f>
        <v>1</v>
      </c>
      <c r="L2508" s="6" t="s">
        <v>242</v>
      </c>
      <c r="M2508" s="5" t="s">
        <v>267</v>
      </c>
      <c r="N2508" s="5" t="s">
        <v>265</v>
      </c>
      <c r="O2508" s="5" t="s">
        <v>238</v>
      </c>
      <c r="P2508" s="5" t="s">
        <v>238</v>
      </c>
      <c r="Q2508" s="5" t="s">
        <v>268</v>
      </c>
      <c r="R2508" s="5" t="s">
        <v>270</v>
      </c>
      <c r="S2508" s="5" t="s">
        <v>238</v>
      </c>
      <c r="V2508" s="5" t="s">
        <v>238</v>
      </c>
      <c r="X2508" s="6" t="s">
        <v>238</v>
      </c>
      <c r="AA2508" s="6" t="s">
        <v>243</v>
      </c>
      <c r="AB2508" s="5" t="s">
        <v>238</v>
      </c>
      <c r="AC2508" s="5" t="s">
        <v>244</v>
      </c>
      <c r="AD2508" s="5" t="s">
        <v>245</v>
      </c>
      <c r="AT2508" s="5" t="s">
        <v>246</v>
      </c>
      <c r="AU2508" s="5" t="s">
        <v>238</v>
      </c>
      <c r="AV2508" s="5" t="s">
        <v>247</v>
      </c>
      <c r="AW2508" s="5" t="s">
        <v>238</v>
      </c>
      <c r="AX2508" s="5" t="s">
        <v>249</v>
      </c>
      <c r="AY2508" s="5" t="s">
        <v>238</v>
      </c>
      <c r="BA2508" s="5" t="s">
        <v>238</v>
      </c>
      <c r="BC2508" s="5" t="s">
        <v>250</v>
      </c>
      <c r="BD2508" s="6" t="s">
        <v>243</v>
      </c>
      <c r="BE2508" s="5" t="s">
        <v>251</v>
      </c>
      <c r="BF2508" s="5" t="s">
        <v>252</v>
      </c>
      <c r="BG2508" s="5" t="s">
        <v>238</v>
      </c>
      <c r="BH2508" s="7">
        <f>0</f>
        <v>0</v>
      </c>
      <c r="BI2508" s="8">
        <f>0</f>
        <v>0</v>
      </c>
      <c r="BJ2508" s="5" t="s">
        <v>253</v>
      </c>
      <c r="BK2508" s="5" t="s">
        <v>254</v>
      </c>
      <c r="BY2508" s="5" t="s">
        <v>238</v>
      </c>
      <c r="BZ2508" s="5" t="s">
        <v>238</v>
      </c>
      <c r="CD2508" s="5" t="s">
        <v>273</v>
      </c>
      <c r="CE2508" s="5" t="s">
        <v>256</v>
      </c>
      <c r="CF2508" s="5" t="s">
        <v>238</v>
      </c>
      <c r="CI2508" s="6" t="s">
        <v>257</v>
      </c>
      <c r="CJ2508" s="5" t="s">
        <v>238</v>
      </c>
      <c r="CK2508" s="5" t="s">
        <v>258</v>
      </c>
      <c r="CL2508" s="5" t="s">
        <v>238</v>
      </c>
      <c r="CM2508" s="5" t="s">
        <v>238</v>
      </c>
      <c r="CN2508" s="5">
        <v>0</v>
      </c>
      <c r="CO2508" s="5" t="s">
        <v>259</v>
      </c>
      <c r="CP2508" s="5" t="s">
        <v>260</v>
      </c>
      <c r="CQ2508" s="5" t="s">
        <v>260</v>
      </c>
      <c r="CR2508" s="5" t="s">
        <v>261</v>
      </c>
      <c r="CU2508" s="8">
        <f>1</f>
        <v>1</v>
      </c>
      <c r="CV2508" s="8">
        <f>0</f>
        <v>0</v>
      </c>
      <c r="CX2508" s="8">
        <f>0</f>
        <v>0</v>
      </c>
      <c r="CY2508" s="8">
        <f>1</f>
        <v>1</v>
      </c>
      <c r="DA2508" s="5" t="s">
        <v>274</v>
      </c>
      <c r="DB2508" s="5" t="s">
        <v>238</v>
      </c>
      <c r="DD2508" s="5" t="s">
        <v>274</v>
      </c>
      <c r="DE2508" s="8">
        <f>916</f>
        <v>916</v>
      </c>
      <c r="DG2508" s="5" t="s">
        <v>238</v>
      </c>
      <c r="DH2508" s="5" t="s">
        <v>238</v>
      </c>
      <c r="DI2508" s="5" t="s">
        <v>238</v>
      </c>
      <c r="DJ2508" s="5" t="s">
        <v>238</v>
      </c>
      <c r="DN2508" s="5" t="s">
        <v>238</v>
      </c>
      <c r="DO2508" s="5" t="s">
        <v>238</v>
      </c>
      <c r="DP2508" s="5" t="s">
        <v>238</v>
      </c>
      <c r="DQ2508" s="5" t="s">
        <v>238</v>
      </c>
      <c r="DT2508" s="5" t="s">
        <v>275</v>
      </c>
      <c r="DU2508" s="5" t="s">
        <v>2646</v>
      </c>
      <c r="HM2508" s="5" t="s">
        <v>264</v>
      </c>
    </row>
    <row r="2509" spans="1:221" x14ac:dyDescent="0.4">
      <c r="A2509" s="5">
        <v>4213</v>
      </c>
      <c r="B2509" s="5">
        <v>1</v>
      </c>
      <c r="C2509" s="5">
        <v>1</v>
      </c>
      <c r="D2509" s="5" t="s">
        <v>269</v>
      </c>
      <c r="E2509" s="5" t="s">
        <v>271</v>
      </c>
      <c r="F2509" s="5" t="s">
        <v>248</v>
      </c>
      <c r="G2509" s="5" t="s">
        <v>266</v>
      </c>
      <c r="H2509" s="6" t="s">
        <v>4166</v>
      </c>
      <c r="I2509" s="7">
        <f>88</f>
        <v>88</v>
      </c>
      <c r="J2509" s="5" t="s">
        <v>262</v>
      </c>
      <c r="K2509" s="8">
        <f>1</f>
        <v>1</v>
      </c>
      <c r="L2509" s="6" t="s">
        <v>242</v>
      </c>
      <c r="M2509" s="5" t="s">
        <v>267</v>
      </c>
      <c r="N2509" s="5" t="s">
        <v>265</v>
      </c>
      <c r="O2509" s="5" t="s">
        <v>238</v>
      </c>
      <c r="P2509" s="5" t="s">
        <v>238</v>
      </c>
      <c r="Q2509" s="5" t="s">
        <v>268</v>
      </c>
      <c r="R2509" s="5" t="s">
        <v>270</v>
      </c>
      <c r="S2509" s="5" t="s">
        <v>238</v>
      </c>
      <c r="V2509" s="5" t="s">
        <v>238</v>
      </c>
      <c r="X2509" s="6" t="s">
        <v>238</v>
      </c>
      <c r="AA2509" s="6" t="s">
        <v>243</v>
      </c>
      <c r="AB2509" s="5" t="s">
        <v>238</v>
      </c>
      <c r="AC2509" s="5" t="s">
        <v>244</v>
      </c>
      <c r="AD2509" s="5" t="s">
        <v>245</v>
      </c>
      <c r="AT2509" s="5" t="s">
        <v>246</v>
      </c>
      <c r="AU2509" s="5" t="s">
        <v>238</v>
      </c>
      <c r="AV2509" s="5" t="s">
        <v>247</v>
      </c>
      <c r="AW2509" s="5" t="s">
        <v>238</v>
      </c>
      <c r="AX2509" s="5" t="s">
        <v>249</v>
      </c>
      <c r="AY2509" s="5" t="s">
        <v>238</v>
      </c>
      <c r="BA2509" s="5" t="s">
        <v>238</v>
      </c>
      <c r="BC2509" s="5" t="s">
        <v>250</v>
      </c>
      <c r="BD2509" s="6" t="s">
        <v>243</v>
      </c>
      <c r="BE2509" s="5" t="s">
        <v>251</v>
      </c>
      <c r="BF2509" s="5" t="s">
        <v>252</v>
      </c>
      <c r="BG2509" s="5" t="s">
        <v>238</v>
      </c>
      <c r="BH2509" s="7">
        <f>0</f>
        <v>0</v>
      </c>
      <c r="BI2509" s="8">
        <f>0</f>
        <v>0</v>
      </c>
      <c r="BJ2509" s="5" t="s">
        <v>253</v>
      </c>
      <c r="BK2509" s="5" t="s">
        <v>254</v>
      </c>
      <c r="BY2509" s="5" t="s">
        <v>238</v>
      </c>
      <c r="BZ2509" s="5" t="s">
        <v>238</v>
      </c>
      <c r="CD2509" s="5" t="s">
        <v>273</v>
      </c>
      <c r="CE2509" s="5" t="s">
        <v>256</v>
      </c>
      <c r="CF2509" s="5" t="s">
        <v>238</v>
      </c>
      <c r="CI2509" s="6" t="s">
        <v>257</v>
      </c>
      <c r="CJ2509" s="5" t="s">
        <v>238</v>
      </c>
      <c r="CK2509" s="5" t="s">
        <v>258</v>
      </c>
      <c r="CL2509" s="5" t="s">
        <v>238</v>
      </c>
      <c r="CM2509" s="5" t="s">
        <v>238</v>
      </c>
      <c r="CN2509" s="5">
        <v>0</v>
      </c>
      <c r="CO2509" s="5" t="s">
        <v>259</v>
      </c>
      <c r="CP2509" s="5" t="s">
        <v>260</v>
      </c>
      <c r="CQ2509" s="5" t="s">
        <v>260</v>
      </c>
      <c r="CR2509" s="5" t="s">
        <v>261</v>
      </c>
      <c r="CU2509" s="8">
        <f>1</f>
        <v>1</v>
      </c>
      <c r="CV2509" s="8">
        <f>0</f>
        <v>0</v>
      </c>
      <c r="CX2509" s="8">
        <f>0</f>
        <v>0</v>
      </c>
      <c r="CY2509" s="8">
        <f>1</f>
        <v>1</v>
      </c>
      <c r="DA2509" s="5" t="s">
        <v>274</v>
      </c>
      <c r="DB2509" s="5" t="s">
        <v>238</v>
      </c>
      <c r="DD2509" s="5" t="s">
        <v>274</v>
      </c>
      <c r="DE2509" s="8">
        <f>88</f>
        <v>88</v>
      </c>
      <c r="DG2509" s="5" t="s">
        <v>238</v>
      </c>
      <c r="DH2509" s="5" t="s">
        <v>238</v>
      </c>
      <c r="DI2509" s="5" t="s">
        <v>238</v>
      </c>
      <c r="DJ2509" s="5" t="s">
        <v>238</v>
      </c>
      <c r="DN2509" s="5" t="s">
        <v>238</v>
      </c>
      <c r="DO2509" s="5" t="s">
        <v>238</v>
      </c>
      <c r="DP2509" s="5" t="s">
        <v>238</v>
      </c>
      <c r="DQ2509" s="5" t="s">
        <v>238</v>
      </c>
      <c r="DT2509" s="5" t="s">
        <v>275</v>
      </c>
      <c r="DU2509" s="5" t="s">
        <v>2644</v>
      </c>
      <c r="HM2509" s="5" t="s">
        <v>264</v>
      </c>
    </row>
    <row r="2510" spans="1:221" x14ac:dyDescent="0.4">
      <c r="A2510" s="5">
        <v>4214</v>
      </c>
      <c r="B2510" s="5">
        <v>1</v>
      </c>
      <c r="C2510" s="5">
        <v>1</v>
      </c>
      <c r="D2510" s="5" t="s">
        <v>269</v>
      </c>
      <c r="E2510" s="5" t="s">
        <v>271</v>
      </c>
      <c r="F2510" s="5" t="s">
        <v>248</v>
      </c>
      <c r="G2510" s="5" t="s">
        <v>266</v>
      </c>
      <c r="H2510" s="6" t="s">
        <v>4168</v>
      </c>
      <c r="I2510" s="7">
        <f>142</f>
        <v>142</v>
      </c>
      <c r="J2510" s="5" t="s">
        <v>262</v>
      </c>
      <c r="K2510" s="8">
        <f>1</f>
        <v>1</v>
      </c>
      <c r="L2510" s="6" t="s">
        <v>242</v>
      </c>
      <c r="M2510" s="5" t="s">
        <v>267</v>
      </c>
      <c r="N2510" s="5" t="s">
        <v>265</v>
      </c>
      <c r="O2510" s="5" t="s">
        <v>238</v>
      </c>
      <c r="P2510" s="5" t="s">
        <v>238</v>
      </c>
      <c r="Q2510" s="5" t="s">
        <v>268</v>
      </c>
      <c r="R2510" s="5" t="s">
        <v>270</v>
      </c>
      <c r="S2510" s="5" t="s">
        <v>238</v>
      </c>
      <c r="V2510" s="5" t="s">
        <v>238</v>
      </c>
      <c r="X2510" s="6" t="s">
        <v>238</v>
      </c>
      <c r="AA2510" s="6" t="s">
        <v>243</v>
      </c>
      <c r="AB2510" s="5" t="s">
        <v>238</v>
      </c>
      <c r="AC2510" s="5" t="s">
        <v>244</v>
      </c>
      <c r="AD2510" s="5" t="s">
        <v>245</v>
      </c>
      <c r="AT2510" s="5" t="s">
        <v>246</v>
      </c>
      <c r="AU2510" s="5" t="s">
        <v>238</v>
      </c>
      <c r="AV2510" s="5" t="s">
        <v>247</v>
      </c>
      <c r="AW2510" s="5" t="s">
        <v>238</v>
      </c>
      <c r="AX2510" s="5" t="s">
        <v>249</v>
      </c>
      <c r="AY2510" s="5" t="s">
        <v>238</v>
      </c>
      <c r="BA2510" s="5" t="s">
        <v>238</v>
      </c>
      <c r="BC2510" s="5" t="s">
        <v>250</v>
      </c>
      <c r="BD2510" s="6" t="s">
        <v>243</v>
      </c>
      <c r="BE2510" s="5" t="s">
        <v>251</v>
      </c>
      <c r="BF2510" s="5" t="s">
        <v>252</v>
      </c>
      <c r="BG2510" s="5" t="s">
        <v>238</v>
      </c>
      <c r="BH2510" s="7">
        <f>0</f>
        <v>0</v>
      </c>
      <c r="BI2510" s="8">
        <f>0</f>
        <v>0</v>
      </c>
      <c r="BJ2510" s="5" t="s">
        <v>253</v>
      </c>
      <c r="BK2510" s="5" t="s">
        <v>254</v>
      </c>
      <c r="BY2510" s="5" t="s">
        <v>238</v>
      </c>
      <c r="BZ2510" s="5" t="s">
        <v>238</v>
      </c>
      <c r="CD2510" s="5" t="s">
        <v>273</v>
      </c>
      <c r="CE2510" s="5" t="s">
        <v>256</v>
      </c>
      <c r="CF2510" s="5" t="s">
        <v>238</v>
      </c>
      <c r="CI2510" s="6" t="s">
        <v>257</v>
      </c>
      <c r="CJ2510" s="5" t="s">
        <v>238</v>
      </c>
      <c r="CK2510" s="5" t="s">
        <v>258</v>
      </c>
      <c r="CL2510" s="5" t="s">
        <v>238</v>
      </c>
      <c r="CM2510" s="5" t="s">
        <v>238</v>
      </c>
      <c r="CN2510" s="5">
        <v>0</v>
      </c>
      <c r="CO2510" s="5" t="s">
        <v>259</v>
      </c>
      <c r="CP2510" s="5" t="s">
        <v>260</v>
      </c>
      <c r="CQ2510" s="5" t="s">
        <v>260</v>
      </c>
      <c r="CR2510" s="5" t="s">
        <v>261</v>
      </c>
      <c r="CU2510" s="8">
        <f>1</f>
        <v>1</v>
      </c>
      <c r="CV2510" s="8">
        <f>0</f>
        <v>0</v>
      </c>
      <c r="CX2510" s="8">
        <f>0</f>
        <v>0</v>
      </c>
      <c r="CY2510" s="8">
        <f>1</f>
        <v>1</v>
      </c>
      <c r="DA2510" s="5" t="s">
        <v>274</v>
      </c>
      <c r="DB2510" s="5" t="s">
        <v>238</v>
      </c>
      <c r="DD2510" s="5" t="s">
        <v>274</v>
      </c>
      <c r="DE2510" s="8">
        <f>142</f>
        <v>142</v>
      </c>
      <c r="DG2510" s="5" t="s">
        <v>238</v>
      </c>
      <c r="DH2510" s="5" t="s">
        <v>238</v>
      </c>
      <c r="DI2510" s="5" t="s">
        <v>238</v>
      </c>
      <c r="DJ2510" s="5" t="s">
        <v>238</v>
      </c>
      <c r="DN2510" s="5" t="s">
        <v>238</v>
      </c>
      <c r="DO2510" s="5" t="s">
        <v>238</v>
      </c>
      <c r="DP2510" s="5" t="s">
        <v>238</v>
      </c>
      <c r="DQ2510" s="5" t="s">
        <v>238</v>
      </c>
      <c r="DT2510" s="5" t="s">
        <v>275</v>
      </c>
      <c r="DU2510" s="5" t="s">
        <v>2641</v>
      </c>
      <c r="HM2510" s="5" t="s">
        <v>264</v>
      </c>
    </row>
    <row r="2511" spans="1:221" x14ac:dyDescent="0.4">
      <c r="A2511" s="5">
        <v>4215</v>
      </c>
      <c r="B2511" s="5">
        <v>1</v>
      </c>
      <c r="C2511" s="5">
        <v>1</v>
      </c>
      <c r="D2511" s="5" t="s">
        <v>269</v>
      </c>
      <c r="E2511" s="5" t="s">
        <v>271</v>
      </c>
      <c r="F2511" s="5" t="s">
        <v>248</v>
      </c>
      <c r="G2511" s="5" t="s">
        <v>266</v>
      </c>
      <c r="H2511" s="6" t="s">
        <v>4171</v>
      </c>
      <c r="I2511" s="7">
        <f>915</f>
        <v>915</v>
      </c>
      <c r="J2511" s="5" t="s">
        <v>262</v>
      </c>
      <c r="K2511" s="8">
        <f>1</f>
        <v>1</v>
      </c>
      <c r="L2511" s="6" t="s">
        <v>242</v>
      </c>
      <c r="M2511" s="5" t="s">
        <v>267</v>
      </c>
      <c r="N2511" s="5" t="s">
        <v>265</v>
      </c>
      <c r="O2511" s="5" t="s">
        <v>238</v>
      </c>
      <c r="P2511" s="5" t="s">
        <v>238</v>
      </c>
      <c r="Q2511" s="5" t="s">
        <v>268</v>
      </c>
      <c r="R2511" s="5" t="s">
        <v>270</v>
      </c>
      <c r="S2511" s="5" t="s">
        <v>238</v>
      </c>
      <c r="V2511" s="5" t="s">
        <v>238</v>
      </c>
      <c r="X2511" s="6" t="s">
        <v>238</v>
      </c>
      <c r="AA2511" s="6" t="s">
        <v>243</v>
      </c>
      <c r="AB2511" s="5" t="s">
        <v>238</v>
      </c>
      <c r="AC2511" s="5" t="s">
        <v>244</v>
      </c>
      <c r="AD2511" s="5" t="s">
        <v>245</v>
      </c>
      <c r="AT2511" s="5" t="s">
        <v>246</v>
      </c>
      <c r="AU2511" s="5" t="s">
        <v>238</v>
      </c>
      <c r="AV2511" s="5" t="s">
        <v>247</v>
      </c>
      <c r="AW2511" s="5" t="s">
        <v>238</v>
      </c>
      <c r="AX2511" s="5" t="s">
        <v>249</v>
      </c>
      <c r="AY2511" s="5" t="s">
        <v>238</v>
      </c>
      <c r="BA2511" s="5" t="s">
        <v>238</v>
      </c>
      <c r="BC2511" s="5" t="s">
        <v>250</v>
      </c>
      <c r="BD2511" s="6" t="s">
        <v>243</v>
      </c>
      <c r="BE2511" s="5" t="s">
        <v>251</v>
      </c>
      <c r="BF2511" s="5" t="s">
        <v>252</v>
      </c>
      <c r="BG2511" s="5" t="s">
        <v>238</v>
      </c>
      <c r="BH2511" s="7">
        <f>0</f>
        <v>0</v>
      </c>
      <c r="BI2511" s="8">
        <f>0</f>
        <v>0</v>
      </c>
      <c r="BJ2511" s="5" t="s">
        <v>253</v>
      </c>
      <c r="BK2511" s="5" t="s">
        <v>254</v>
      </c>
      <c r="BY2511" s="5" t="s">
        <v>238</v>
      </c>
      <c r="BZ2511" s="5" t="s">
        <v>238</v>
      </c>
      <c r="CD2511" s="5" t="s">
        <v>273</v>
      </c>
      <c r="CE2511" s="5" t="s">
        <v>256</v>
      </c>
      <c r="CF2511" s="5" t="s">
        <v>238</v>
      </c>
      <c r="CI2511" s="6" t="s">
        <v>257</v>
      </c>
      <c r="CJ2511" s="5" t="s">
        <v>238</v>
      </c>
      <c r="CK2511" s="5" t="s">
        <v>258</v>
      </c>
      <c r="CL2511" s="5" t="s">
        <v>238</v>
      </c>
      <c r="CM2511" s="5" t="s">
        <v>238</v>
      </c>
      <c r="CN2511" s="5">
        <v>0</v>
      </c>
      <c r="CO2511" s="5" t="s">
        <v>259</v>
      </c>
      <c r="CP2511" s="5" t="s">
        <v>260</v>
      </c>
      <c r="CQ2511" s="5" t="s">
        <v>260</v>
      </c>
      <c r="CR2511" s="5" t="s">
        <v>261</v>
      </c>
      <c r="CU2511" s="8">
        <f>1</f>
        <v>1</v>
      </c>
      <c r="CV2511" s="8">
        <f>0</f>
        <v>0</v>
      </c>
      <c r="CX2511" s="8">
        <f>0</f>
        <v>0</v>
      </c>
      <c r="CY2511" s="8">
        <f>1</f>
        <v>1</v>
      </c>
      <c r="DA2511" s="5" t="s">
        <v>274</v>
      </c>
      <c r="DB2511" s="5" t="s">
        <v>238</v>
      </c>
      <c r="DD2511" s="5" t="s">
        <v>274</v>
      </c>
      <c r="DE2511" s="8">
        <f>915</f>
        <v>915</v>
      </c>
      <c r="DG2511" s="5" t="s">
        <v>238</v>
      </c>
      <c r="DH2511" s="5" t="s">
        <v>238</v>
      </c>
      <c r="DI2511" s="5" t="s">
        <v>238</v>
      </c>
      <c r="DJ2511" s="5" t="s">
        <v>238</v>
      </c>
      <c r="DN2511" s="5" t="s">
        <v>238</v>
      </c>
      <c r="DO2511" s="5" t="s">
        <v>238</v>
      </c>
      <c r="DP2511" s="5" t="s">
        <v>238</v>
      </c>
      <c r="DQ2511" s="5" t="s">
        <v>238</v>
      </c>
      <c r="DT2511" s="5" t="s">
        <v>275</v>
      </c>
      <c r="DU2511" s="5" t="s">
        <v>2639</v>
      </c>
      <c r="HM2511" s="5" t="s">
        <v>264</v>
      </c>
    </row>
    <row r="2512" spans="1:221" x14ac:dyDescent="0.4">
      <c r="A2512" s="5">
        <v>4216</v>
      </c>
      <c r="B2512" s="5">
        <v>1</v>
      </c>
      <c r="C2512" s="5">
        <v>1</v>
      </c>
      <c r="D2512" s="5" t="s">
        <v>269</v>
      </c>
      <c r="E2512" s="5" t="s">
        <v>271</v>
      </c>
      <c r="F2512" s="5" t="s">
        <v>248</v>
      </c>
      <c r="G2512" s="5" t="s">
        <v>266</v>
      </c>
      <c r="H2512" s="6" t="s">
        <v>4173</v>
      </c>
      <c r="I2512" s="7">
        <f>1287</f>
        <v>1287</v>
      </c>
      <c r="J2512" s="5" t="s">
        <v>262</v>
      </c>
      <c r="K2512" s="8">
        <f>1</f>
        <v>1</v>
      </c>
      <c r="L2512" s="6" t="s">
        <v>242</v>
      </c>
      <c r="M2512" s="5" t="s">
        <v>267</v>
      </c>
      <c r="N2512" s="5" t="s">
        <v>265</v>
      </c>
      <c r="O2512" s="5" t="s">
        <v>238</v>
      </c>
      <c r="P2512" s="5" t="s">
        <v>238</v>
      </c>
      <c r="Q2512" s="5" t="s">
        <v>268</v>
      </c>
      <c r="R2512" s="5" t="s">
        <v>270</v>
      </c>
      <c r="S2512" s="5" t="s">
        <v>238</v>
      </c>
      <c r="V2512" s="5" t="s">
        <v>238</v>
      </c>
      <c r="X2512" s="6" t="s">
        <v>238</v>
      </c>
      <c r="AA2512" s="6" t="s">
        <v>243</v>
      </c>
      <c r="AB2512" s="5" t="s">
        <v>238</v>
      </c>
      <c r="AC2512" s="5" t="s">
        <v>244</v>
      </c>
      <c r="AD2512" s="5" t="s">
        <v>245</v>
      </c>
      <c r="AT2512" s="5" t="s">
        <v>246</v>
      </c>
      <c r="AU2512" s="5" t="s">
        <v>238</v>
      </c>
      <c r="AV2512" s="5" t="s">
        <v>247</v>
      </c>
      <c r="AW2512" s="5" t="s">
        <v>238</v>
      </c>
      <c r="AX2512" s="5" t="s">
        <v>249</v>
      </c>
      <c r="AY2512" s="5" t="s">
        <v>238</v>
      </c>
      <c r="BA2512" s="5" t="s">
        <v>238</v>
      </c>
      <c r="BC2512" s="5" t="s">
        <v>250</v>
      </c>
      <c r="BD2512" s="6" t="s">
        <v>243</v>
      </c>
      <c r="BE2512" s="5" t="s">
        <v>251</v>
      </c>
      <c r="BF2512" s="5" t="s">
        <v>252</v>
      </c>
      <c r="BG2512" s="5" t="s">
        <v>238</v>
      </c>
      <c r="BH2512" s="7">
        <f>0</f>
        <v>0</v>
      </c>
      <c r="BI2512" s="8">
        <f>0</f>
        <v>0</v>
      </c>
      <c r="BJ2512" s="5" t="s">
        <v>253</v>
      </c>
      <c r="BK2512" s="5" t="s">
        <v>254</v>
      </c>
      <c r="BY2512" s="5" t="s">
        <v>238</v>
      </c>
      <c r="BZ2512" s="5" t="s">
        <v>238</v>
      </c>
      <c r="CD2512" s="5" t="s">
        <v>273</v>
      </c>
      <c r="CE2512" s="5" t="s">
        <v>256</v>
      </c>
      <c r="CF2512" s="5" t="s">
        <v>238</v>
      </c>
      <c r="CI2512" s="6" t="s">
        <v>257</v>
      </c>
      <c r="CJ2512" s="5" t="s">
        <v>238</v>
      </c>
      <c r="CK2512" s="5" t="s">
        <v>258</v>
      </c>
      <c r="CL2512" s="5" t="s">
        <v>238</v>
      </c>
      <c r="CM2512" s="5" t="s">
        <v>238</v>
      </c>
      <c r="CN2512" s="5">
        <v>0</v>
      </c>
      <c r="CO2512" s="5" t="s">
        <v>259</v>
      </c>
      <c r="CP2512" s="5" t="s">
        <v>260</v>
      </c>
      <c r="CQ2512" s="5" t="s">
        <v>260</v>
      </c>
      <c r="CR2512" s="5" t="s">
        <v>261</v>
      </c>
      <c r="CU2512" s="8">
        <f>1</f>
        <v>1</v>
      </c>
      <c r="CV2512" s="8">
        <f>0</f>
        <v>0</v>
      </c>
      <c r="CX2512" s="8">
        <f>0</f>
        <v>0</v>
      </c>
      <c r="CY2512" s="8">
        <f>1</f>
        <v>1</v>
      </c>
      <c r="DA2512" s="5" t="s">
        <v>274</v>
      </c>
      <c r="DB2512" s="5" t="s">
        <v>238</v>
      </c>
      <c r="DD2512" s="5" t="s">
        <v>274</v>
      </c>
      <c r="DE2512" s="8">
        <f>1287</f>
        <v>1287</v>
      </c>
      <c r="DG2512" s="5" t="s">
        <v>238</v>
      </c>
      <c r="DH2512" s="5" t="s">
        <v>238</v>
      </c>
      <c r="DI2512" s="5" t="s">
        <v>238</v>
      </c>
      <c r="DJ2512" s="5" t="s">
        <v>238</v>
      </c>
      <c r="DN2512" s="5" t="s">
        <v>238</v>
      </c>
      <c r="DO2512" s="5" t="s">
        <v>238</v>
      </c>
      <c r="DP2512" s="5" t="s">
        <v>238</v>
      </c>
      <c r="DQ2512" s="5" t="s">
        <v>238</v>
      </c>
      <c r="DT2512" s="5" t="s">
        <v>275</v>
      </c>
      <c r="DU2512" s="5" t="s">
        <v>2637</v>
      </c>
      <c r="HM2512" s="5" t="s">
        <v>264</v>
      </c>
    </row>
    <row r="2513" spans="1:221" x14ac:dyDescent="0.4">
      <c r="A2513" s="5">
        <v>4217</v>
      </c>
      <c r="B2513" s="5">
        <v>1</v>
      </c>
      <c r="C2513" s="5">
        <v>1</v>
      </c>
      <c r="D2513" s="5" t="s">
        <v>269</v>
      </c>
      <c r="E2513" s="5" t="s">
        <v>271</v>
      </c>
      <c r="F2513" s="5" t="s">
        <v>248</v>
      </c>
      <c r="G2513" s="5" t="s">
        <v>266</v>
      </c>
      <c r="H2513" s="6" t="s">
        <v>4183</v>
      </c>
      <c r="I2513" s="7">
        <f>191</f>
        <v>191</v>
      </c>
      <c r="J2513" s="5" t="s">
        <v>262</v>
      </c>
      <c r="K2513" s="8">
        <f>1</f>
        <v>1</v>
      </c>
      <c r="L2513" s="6" t="s">
        <v>242</v>
      </c>
      <c r="M2513" s="5" t="s">
        <v>267</v>
      </c>
      <c r="N2513" s="5" t="s">
        <v>265</v>
      </c>
      <c r="O2513" s="5" t="s">
        <v>238</v>
      </c>
      <c r="P2513" s="5" t="s">
        <v>238</v>
      </c>
      <c r="Q2513" s="5" t="s">
        <v>268</v>
      </c>
      <c r="R2513" s="5" t="s">
        <v>270</v>
      </c>
      <c r="S2513" s="5" t="s">
        <v>238</v>
      </c>
      <c r="V2513" s="5" t="s">
        <v>238</v>
      </c>
      <c r="X2513" s="6" t="s">
        <v>238</v>
      </c>
      <c r="AA2513" s="6" t="s">
        <v>243</v>
      </c>
      <c r="AB2513" s="5" t="s">
        <v>238</v>
      </c>
      <c r="AC2513" s="5" t="s">
        <v>244</v>
      </c>
      <c r="AD2513" s="5" t="s">
        <v>245</v>
      </c>
      <c r="AT2513" s="5" t="s">
        <v>246</v>
      </c>
      <c r="AU2513" s="5" t="s">
        <v>238</v>
      </c>
      <c r="AV2513" s="5" t="s">
        <v>247</v>
      </c>
      <c r="AW2513" s="5" t="s">
        <v>238</v>
      </c>
      <c r="AX2513" s="5" t="s">
        <v>249</v>
      </c>
      <c r="AY2513" s="5" t="s">
        <v>238</v>
      </c>
      <c r="BA2513" s="5" t="s">
        <v>238</v>
      </c>
      <c r="BC2513" s="5" t="s">
        <v>250</v>
      </c>
      <c r="BD2513" s="6" t="s">
        <v>243</v>
      </c>
      <c r="BE2513" s="5" t="s">
        <v>251</v>
      </c>
      <c r="BF2513" s="5" t="s">
        <v>252</v>
      </c>
      <c r="BG2513" s="5" t="s">
        <v>238</v>
      </c>
      <c r="BH2513" s="7">
        <f>0</f>
        <v>0</v>
      </c>
      <c r="BI2513" s="8">
        <f>0</f>
        <v>0</v>
      </c>
      <c r="BJ2513" s="5" t="s">
        <v>253</v>
      </c>
      <c r="BK2513" s="5" t="s">
        <v>254</v>
      </c>
      <c r="BY2513" s="5" t="s">
        <v>238</v>
      </c>
      <c r="BZ2513" s="5" t="s">
        <v>238</v>
      </c>
      <c r="CD2513" s="5" t="s">
        <v>273</v>
      </c>
      <c r="CE2513" s="5" t="s">
        <v>256</v>
      </c>
      <c r="CF2513" s="5" t="s">
        <v>238</v>
      </c>
      <c r="CI2513" s="6" t="s">
        <v>257</v>
      </c>
      <c r="CJ2513" s="5" t="s">
        <v>238</v>
      </c>
      <c r="CK2513" s="5" t="s">
        <v>258</v>
      </c>
      <c r="CL2513" s="5" t="s">
        <v>238</v>
      </c>
      <c r="CM2513" s="5" t="s">
        <v>238</v>
      </c>
      <c r="CN2513" s="5">
        <v>0</v>
      </c>
      <c r="CO2513" s="5" t="s">
        <v>259</v>
      </c>
      <c r="CP2513" s="5" t="s">
        <v>260</v>
      </c>
      <c r="CQ2513" s="5" t="s">
        <v>260</v>
      </c>
      <c r="CR2513" s="5" t="s">
        <v>261</v>
      </c>
      <c r="CU2513" s="8">
        <f>1</f>
        <v>1</v>
      </c>
      <c r="CV2513" s="8">
        <f>0</f>
        <v>0</v>
      </c>
      <c r="CX2513" s="8">
        <f>0</f>
        <v>0</v>
      </c>
      <c r="CY2513" s="8">
        <f>1</f>
        <v>1</v>
      </c>
      <c r="DA2513" s="5" t="s">
        <v>274</v>
      </c>
      <c r="DB2513" s="5" t="s">
        <v>238</v>
      </c>
      <c r="DD2513" s="5" t="s">
        <v>274</v>
      </c>
      <c r="DE2513" s="8">
        <f>191</f>
        <v>191</v>
      </c>
      <c r="DG2513" s="5" t="s">
        <v>238</v>
      </c>
      <c r="DH2513" s="5" t="s">
        <v>238</v>
      </c>
      <c r="DI2513" s="5" t="s">
        <v>238</v>
      </c>
      <c r="DJ2513" s="5" t="s">
        <v>238</v>
      </c>
      <c r="DN2513" s="5" t="s">
        <v>238</v>
      </c>
      <c r="DO2513" s="5" t="s">
        <v>238</v>
      </c>
      <c r="DP2513" s="5" t="s">
        <v>238</v>
      </c>
      <c r="DQ2513" s="5" t="s">
        <v>238</v>
      </c>
      <c r="DT2513" s="5" t="s">
        <v>275</v>
      </c>
      <c r="DU2513" s="5" t="s">
        <v>2635</v>
      </c>
      <c r="HM2513" s="5" t="s">
        <v>264</v>
      </c>
    </row>
    <row r="2514" spans="1:221" x14ac:dyDescent="0.4">
      <c r="A2514" s="5">
        <v>4218</v>
      </c>
      <c r="B2514" s="5">
        <v>1</v>
      </c>
      <c r="C2514" s="5">
        <v>1</v>
      </c>
      <c r="D2514" s="5" t="s">
        <v>269</v>
      </c>
      <c r="E2514" s="5" t="s">
        <v>271</v>
      </c>
      <c r="F2514" s="5" t="s">
        <v>248</v>
      </c>
      <c r="G2514" s="5" t="s">
        <v>266</v>
      </c>
      <c r="H2514" s="6" t="s">
        <v>4185</v>
      </c>
      <c r="I2514" s="7">
        <f>146</f>
        <v>146</v>
      </c>
      <c r="J2514" s="5" t="s">
        <v>262</v>
      </c>
      <c r="K2514" s="8">
        <f>1</f>
        <v>1</v>
      </c>
      <c r="L2514" s="6" t="s">
        <v>242</v>
      </c>
      <c r="M2514" s="5" t="s">
        <v>267</v>
      </c>
      <c r="N2514" s="5" t="s">
        <v>265</v>
      </c>
      <c r="O2514" s="5" t="s">
        <v>238</v>
      </c>
      <c r="P2514" s="5" t="s">
        <v>238</v>
      </c>
      <c r="Q2514" s="5" t="s">
        <v>268</v>
      </c>
      <c r="R2514" s="5" t="s">
        <v>270</v>
      </c>
      <c r="S2514" s="5" t="s">
        <v>238</v>
      </c>
      <c r="V2514" s="5" t="s">
        <v>238</v>
      </c>
      <c r="X2514" s="6" t="s">
        <v>238</v>
      </c>
      <c r="AA2514" s="6" t="s">
        <v>243</v>
      </c>
      <c r="AB2514" s="5" t="s">
        <v>238</v>
      </c>
      <c r="AC2514" s="5" t="s">
        <v>244</v>
      </c>
      <c r="AD2514" s="5" t="s">
        <v>245</v>
      </c>
      <c r="AT2514" s="5" t="s">
        <v>246</v>
      </c>
      <c r="AU2514" s="5" t="s">
        <v>238</v>
      </c>
      <c r="AV2514" s="5" t="s">
        <v>247</v>
      </c>
      <c r="AW2514" s="5" t="s">
        <v>238</v>
      </c>
      <c r="AX2514" s="5" t="s">
        <v>249</v>
      </c>
      <c r="AY2514" s="5" t="s">
        <v>238</v>
      </c>
      <c r="BA2514" s="5" t="s">
        <v>238</v>
      </c>
      <c r="BC2514" s="5" t="s">
        <v>250</v>
      </c>
      <c r="BD2514" s="6" t="s">
        <v>243</v>
      </c>
      <c r="BE2514" s="5" t="s">
        <v>251</v>
      </c>
      <c r="BF2514" s="5" t="s">
        <v>252</v>
      </c>
      <c r="BG2514" s="5" t="s">
        <v>238</v>
      </c>
      <c r="BH2514" s="7">
        <f>0</f>
        <v>0</v>
      </c>
      <c r="BI2514" s="8">
        <f>0</f>
        <v>0</v>
      </c>
      <c r="BJ2514" s="5" t="s">
        <v>253</v>
      </c>
      <c r="BK2514" s="5" t="s">
        <v>254</v>
      </c>
      <c r="BY2514" s="5" t="s">
        <v>238</v>
      </c>
      <c r="BZ2514" s="5" t="s">
        <v>238</v>
      </c>
      <c r="CD2514" s="5" t="s">
        <v>273</v>
      </c>
      <c r="CE2514" s="5" t="s">
        <v>256</v>
      </c>
      <c r="CF2514" s="5" t="s">
        <v>238</v>
      </c>
      <c r="CI2514" s="6" t="s">
        <v>257</v>
      </c>
      <c r="CJ2514" s="5" t="s">
        <v>238</v>
      </c>
      <c r="CK2514" s="5" t="s">
        <v>258</v>
      </c>
      <c r="CL2514" s="5" t="s">
        <v>238</v>
      </c>
      <c r="CM2514" s="5" t="s">
        <v>238</v>
      </c>
      <c r="CN2514" s="5">
        <v>0</v>
      </c>
      <c r="CO2514" s="5" t="s">
        <v>259</v>
      </c>
      <c r="CP2514" s="5" t="s">
        <v>260</v>
      </c>
      <c r="CQ2514" s="5" t="s">
        <v>260</v>
      </c>
      <c r="CR2514" s="5" t="s">
        <v>261</v>
      </c>
      <c r="CU2514" s="8">
        <f>1</f>
        <v>1</v>
      </c>
      <c r="CV2514" s="8">
        <f>0</f>
        <v>0</v>
      </c>
      <c r="CX2514" s="8">
        <f>0</f>
        <v>0</v>
      </c>
      <c r="CY2514" s="8">
        <f>1</f>
        <v>1</v>
      </c>
      <c r="DA2514" s="5" t="s">
        <v>274</v>
      </c>
      <c r="DB2514" s="5" t="s">
        <v>238</v>
      </c>
      <c r="DD2514" s="5" t="s">
        <v>274</v>
      </c>
      <c r="DE2514" s="8">
        <f>146</f>
        <v>146</v>
      </c>
      <c r="DG2514" s="5" t="s">
        <v>238</v>
      </c>
      <c r="DH2514" s="5" t="s">
        <v>238</v>
      </c>
      <c r="DI2514" s="5" t="s">
        <v>238</v>
      </c>
      <c r="DJ2514" s="5" t="s">
        <v>238</v>
      </c>
      <c r="DN2514" s="5" t="s">
        <v>238</v>
      </c>
      <c r="DO2514" s="5" t="s">
        <v>238</v>
      </c>
      <c r="DP2514" s="5" t="s">
        <v>238</v>
      </c>
      <c r="DQ2514" s="5" t="s">
        <v>238</v>
      </c>
      <c r="DT2514" s="5" t="s">
        <v>275</v>
      </c>
      <c r="DU2514" s="5" t="s">
        <v>2632</v>
      </c>
      <c r="HM2514" s="5" t="s">
        <v>264</v>
      </c>
    </row>
    <row r="2515" spans="1:221" x14ac:dyDescent="0.4">
      <c r="A2515" s="5">
        <v>4219</v>
      </c>
      <c r="B2515" s="5">
        <v>1</v>
      </c>
      <c r="C2515" s="5">
        <v>1</v>
      </c>
      <c r="D2515" s="5" t="s">
        <v>269</v>
      </c>
      <c r="E2515" s="5" t="s">
        <v>271</v>
      </c>
      <c r="F2515" s="5" t="s">
        <v>248</v>
      </c>
      <c r="G2515" s="5" t="s">
        <v>266</v>
      </c>
      <c r="H2515" s="6" t="s">
        <v>4189</v>
      </c>
      <c r="I2515" s="7">
        <f>1181</f>
        <v>1181</v>
      </c>
      <c r="J2515" s="5" t="s">
        <v>262</v>
      </c>
      <c r="K2515" s="8">
        <f>1</f>
        <v>1</v>
      </c>
      <c r="L2515" s="6" t="s">
        <v>242</v>
      </c>
      <c r="M2515" s="5" t="s">
        <v>267</v>
      </c>
      <c r="N2515" s="5" t="s">
        <v>265</v>
      </c>
      <c r="O2515" s="5" t="s">
        <v>238</v>
      </c>
      <c r="P2515" s="5" t="s">
        <v>238</v>
      </c>
      <c r="Q2515" s="5" t="s">
        <v>268</v>
      </c>
      <c r="R2515" s="5" t="s">
        <v>270</v>
      </c>
      <c r="S2515" s="5" t="s">
        <v>238</v>
      </c>
      <c r="V2515" s="5" t="s">
        <v>238</v>
      </c>
      <c r="X2515" s="6" t="s">
        <v>238</v>
      </c>
      <c r="AA2515" s="6" t="s">
        <v>243</v>
      </c>
      <c r="AB2515" s="5" t="s">
        <v>238</v>
      </c>
      <c r="AC2515" s="5" t="s">
        <v>244</v>
      </c>
      <c r="AD2515" s="5" t="s">
        <v>245</v>
      </c>
      <c r="AT2515" s="5" t="s">
        <v>246</v>
      </c>
      <c r="AU2515" s="5" t="s">
        <v>238</v>
      </c>
      <c r="AV2515" s="5" t="s">
        <v>247</v>
      </c>
      <c r="AW2515" s="5" t="s">
        <v>238</v>
      </c>
      <c r="AX2515" s="5" t="s">
        <v>249</v>
      </c>
      <c r="AY2515" s="5" t="s">
        <v>238</v>
      </c>
      <c r="BA2515" s="5" t="s">
        <v>238</v>
      </c>
      <c r="BC2515" s="5" t="s">
        <v>250</v>
      </c>
      <c r="BD2515" s="6" t="s">
        <v>243</v>
      </c>
      <c r="BE2515" s="5" t="s">
        <v>251</v>
      </c>
      <c r="BF2515" s="5" t="s">
        <v>252</v>
      </c>
      <c r="BG2515" s="5" t="s">
        <v>238</v>
      </c>
      <c r="BH2515" s="7">
        <f>0</f>
        <v>0</v>
      </c>
      <c r="BI2515" s="8">
        <f>0</f>
        <v>0</v>
      </c>
      <c r="BJ2515" s="5" t="s">
        <v>253</v>
      </c>
      <c r="BK2515" s="5" t="s">
        <v>254</v>
      </c>
      <c r="BY2515" s="5" t="s">
        <v>238</v>
      </c>
      <c r="BZ2515" s="5" t="s">
        <v>238</v>
      </c>
      <c r="CD2515" s="5" t="s">
        <v>273</v>
      </c>
      <c r="CE2515" s="5" t="s">
        <v>256</v>
      </c>
      <c r="CF2515" s="5" t="s">
        <v>238</v>
      </c>
      <c r="CI2515" s="6" t="s">
        <v>257</v>
      </c>
      <c r="CJ2515" s="5" t="s">
        <v>238</v>
      </c>
      <c r="CK2515" s="5" t="s">
        <v>258</v>
      </c>
      <c r="CL2515" s="5" t="s">
        <v>238</v>
      </c>
      <c r="CM2515" s="5" t="s">
        <v>238</v>
      </c>
      <c r="CN2515" s="5">
        <v>0</v>
      </c>
      <c r="CO2515" s="5" t="s">
        <v>259</v>
      </c>
      <c r="CP2515" s="5" t="s">
        <v>260</v>
      </c>
      <c r="CQ2515" s="5" t="s">
        <v>260</v>
      </c>
      <c r="CR2515" s="5" t="s">
        <v>261</v>
      </c>
      <c r="CU2515" s="8">
        <f>1</f>
        <v>1</v>
      </c>
      <c r="CV2515" s="8">
        <f>0</f>
        <v>0</v>
      </c>
      <c r="CX2515" s="8">
        <f>0</f>
        <v>0</v>
      </c>
      <c r="CY2515" s="8">
        <f>1</f>
        <v>1</v>
      </c>
      <c r="DA2515" s="5" t="s">
        <v>274</v>
      </c>
      <c r="DB2515" s="5" t="s">
        <v>238</v>
      </c>
      <c r="DD2515" s="5" t="s">
        <v>274</v>
      </c>
      <c r="DE2515" s="8">
        <f>1181</f>
        <v>1181</v>
      </c>
      <c r="DG2515" s="5" t="s">
        <v>238</v>
      </c>
      <c r="DH2515" s="5" t="s">
        <v>238</v>
      </c>
      <c r="DI2515" s="5" t="s">
        <v>238</v>
      </c>
      <c r="DJ2515" s="5" t="s">
        <v>238</v>
      </c>
      <c r="DN2515" s="5" t="s">
        <v>238</v>
      </c>
      <c r="DO2515" s="5" t="s">
        <v>238</v>
      </c>
      <c r="DP2515" s="5" t="s">
        <v>238</v>
      </c>
      <c r="DQ2515" s="5" t="s">
        <v>238</v>
      </c>
      <c r="DT2515" s="5" t="s">
        <v>275</v>
      </c>
      <c r="DU2515" s="5" t="s">
        <v>2630</v>
      </c>
      <c r="HM2515" s="5" t="s">
        <v>264</v>
      </c>
    </row>
    <row r="2516" spans="1:221" x14ac:dyDescent="0.4">
      <c r="A2516" s="5">
        <v>4220</v>
      </c>
      <c r="B2516" s="5">
        <v>1</v>
      </c>
      <c r="C2516" s="5">
        <v>1</v>
      </c>
      <c r="D2516" s="5" t="s">
        <v>269</v>
      </c>
      <c r="E2516" s="5" t="s">
        <v>271</v>
      </c>
      <c r="F2516" s="5" t="s">
        <v>248</v>
      </c>
      <c r="G2516" s="5" t="s">
        <v>266</v>
      </c>
      <c r="H2516" s="6" t="s">
        <v>4191</v>
      </c>
      <c r="I2516" s="7">
        <f>859</f>
        <v>859</v>
      </c>
      <c r="J2516" s="5" t="s">
        <v>262</v>
      </c>
      <c r="K2516" s="8">
        <f>1</f>
        <v>1</v>
      </c>
      <c r="L2516" s="6" t="s">
        <v>242</v>
      </c>
      <c r="M2516" s="5" t="s">
        <v>267</v>
      </c>
      <c r="N2516" s="5" t="s">
        <v>265</v>
      </c>
      <c r="O2516" s="5" t="s">
        <v>238</v>
      </c>
      <c r="P2516" s="5" t="s">
        <v>238</v>
      </c>
      <c r="Q2516" s="5" t="s">
        <v>268</v>
      </c>
      <c r="R2516" s="5" t="s">
        <v>270</v>
      </c>
      <c r="S2516" s="5" t="s">
        <v>238</v>
      </c>
      <c r="V2516" s="5" t="s">
        <v>238</v>
      </c>
      <c r="X2516" s="6" t="s">
        <v>238</v>
      </c>
      <c r="AA2516" s="6" t="s">
        <v>243</v>
      </c>
      <c r="AB2516" s="5" t="s">
        <v>238</v>
      </c>
      <c r="AC2516" s="5" t="s">
        <v>244</v>
      </c>
      <c r="AD2516" s="5" t="s">
        <v>245</v>
      </c>
      <c r="AT2516" s="5" t="s">
        <v>246</v>
      </c>
      <c r="AU2516" s="5" t="s">
        <v>238</v>
      </c>
      <c r="AV2516" s="5" t="s">
        <v>247</v>
      </c>
      <c r="AW2516" s="5" t="s">
        <v>238</v>
      </c>
      <c r="AX2516" s="5" t="s">
        <v>249</v>
      </c>
      <c r="AY2516" s="5" t="s">
        <v>238</v>
      </c>
      <c r="BA2516" s="5" t="s">
        <v>238</v>
      </c>
      <c r="BC2516" s="5" t="s">
        <v>250</v>
      </c>
      <c r="BD2516" s="6" t="s">
        <v>243</v>
      </c>
      <c r="BE2516" s="5" t="s">
        <v>251</v>
      </c>
      <c r="BF2516" s="5" t="s">
        <v>252</v>
      </c>
      <c r="BG2516" s="5" t="s">
        <v>238</v>
      </c>
      <c r="BH2516" s="7">
        <f>0</f>
        <v>0</v>
      </c>
      <c r="BI2516" s="8">
        <f>0</f>
        <v>0</v>
      </c>
      <c r="BJ2516" s="5" t="s">
        <v>253</v>
      </c>
      <c r="BK2516" s="5" t="s">
        <v>254</v>
      </c>
      <c r="BY2516" s="5" t="s">
        <v>238</v>
      </c>
      <c r="BZ2516" s="5" t="s">
        <v>238</v>
      </c>
      <c r="CD2516" s="5" t="s">
        <v>273</v>
      </c>
      <c r="CE2516" s="5" t="s">
        <v>256</v>
      </c>
      <c r="CF2516" s="5" t="s">
        <v>238</v>
      </c>
      <c r="CI2516" s="6" t="s">
        <v>257</v>
      </c>
      <c r="CJ2516" s="5" t="s">
        <v>238</v>
      </c>
      <c r="CK2516" s="5" t="s">
        <v>258</v>
      </c>
      <c r="CL2516" s="5" t="s">
        <v>238</v>
      </c>
      <c r="CM2516" s="5" t="s">
        <v>238</v>
      </c>
      <c r="CN2516" s="5">
        <v>0</v>
      </c>
      <c r="CO2516" s="5" t="s">
        <v>259</v>
      </c>
      <c r="CP2516" s="5" t="s">
        <v>260</v>
      </c>
      <c r="CQ2516" s="5" t="s">
        <v>260</v>
      </c>
      <c r="CR2516" s="5" t="s">
        <v>261</v>
      </c>
      <c r="CU2516" s="8">
        <f>1</f>
        <v>1</v>
      </c>
      <c r="CV2516" s="8">
        <f>0</f>
        <v>0</v>
      </c>
      <c r="CX2516" s="8">
        <f>0</f>
        <v>0</v>
      </c>
      <c r="CY2516" s="8">
        <f>1</f>
        <v>1</v>
      </c>
      <c r="DA2516" s="5" t="s">
        <v>274</v>
      </c>
      <c r="DB2516" s="5" t="s">
        <v>238</v>
      </c>
      <c r="DD2516" s="5" t="s">
        <v>274</v>
      </c>
      <c r="DE2516" s="8">
        <f>859</f>
        <v>859</v>
      </c>
      <c r="DG2516" s="5" t="s">
        <v>238</v>
      </c>
      <c r="DH2516" s="5" t="s">
        <v>238</v>
      </c>
      <c r="DI2516" s="5" t="s">
        <v>238</v>
      </c>
      <c r="DJ2516" s="5" t="s">
        <v>238</v>
      </c>
      <c r="DN2516" s="5" t="s">
        <v>238</v>
      </c>
      <c r="DO2516" s="5" t="s">
        <v>238</v>
      </c>
      <c r="DP2516" s="5" t="s">
        <v>238</v>
      </c>
      <c r="DQ2516" s="5" t="s">
        <v>238</v>
      </c>
      <c r="DT2516" s="5" t="s">
        <v>275</v>
      </c>
      <c r="DU2516" s="5" t="s">
        <v>2626</v>
      </c>
      <c r="HM2516" s="5" t="s">
        <v>264</v>
      </c>
    </row>
    <row r="2517" spans="1:221" x14ac:dyDescent="0.4">
      <c r="A2517" s="5">
        <v>4221</v>
      </c>
      <c r="B2517" s="5">
        <v>1</v>
      </c>
      <c r="C2517" s="5">
        <v>1</v>
      </c>
      <c r="D2517" s="5" t="s">
        <v>269</v>
      </c>
      <c r="E2517" s="5" t="s">
        <v>271</v>
      </c>
      <c r="F2517" s="5" t="s">
        <v>248</v>
      </c>
      <c r="G2517" s="5" t="s">
        <v>266</v>
      </c>
      <c r="H2517" s="6" t="s">
        <v>4194</v>
      </c>
      <c r="I2517" s="7">
        <f>1357</f>
        <v>1357</v>
      </c>
      <c r="J2517" s="5" t="s">
        <v>262</v>
      </c>
      <c r="K2517" s="8">
        <f>1</f>
        <v>1</v>
      </c>
      <c r="L2517" s="6" t="s">
        <v>242</v>
      </c>
      <c r="M2517" s="5" t="s">
        <v>267</v>
      </c>
      <c r="N2517" s="5" t="s">
        <v>265</v>
      </c>
      <c r="O2517" s="5" t="s">
        <v>238</v>
      </c>
      <c r="P2517" s="5" t="s">
        <v>238</v>
      </c>
      <c r="Q2517" s="5" t="s">
        <v>268</v>
      </c>
      <c r="R2517" s="5" t="s">
        <v>270</v>
      </c>
      <c r="S2517" s="5" t="s">
        <v>238</v>
      </c>
      <c r="V2517" s="5" t="s">
        <v>238</v>
      </c>
      <c r="X2517" s="6" t="s">
        <v>238</v>
      </c>
      <c r="AA2517" s="6" t="s">
        <v>243</v>
      </c>
      <c r="AB2517" s="5" t="s">
        <v>238</v>
      </c>
      <c r="AC2517" s="5" t="s">
        <v>244</v>
      </c>
      <c r="AD2517" s="5" t="s">
        <v>245</v>
      </c>
      <c r="AT2517" s="5" t="s">
        <v>246</v>
      </c>
      <c r="AU2517" s="5" t="s">
        <v>238</v>
      </c>
      <c r="AV2517" s="5" t="s">
        <v>247</v>
      </c>
      <c r="AW2517" s="5" t="s">
        <v>238</v>
      </c>
      <c r="AX2517" s="5" t="s">
        <v>249</v>
      </c>
      <c r="AY2517" s="5" t="s">
        <v>238</v>
      </c>
      <c r="BA2517" s="5" t="s">
        <v>238</v>
      </c>
      <c r="BC2517" s="5" t="s">
        <v>250</v>
      </c>
      <c r="BD2517" s="6" t="s">
        <v>243</v>
      </c>
      <c r="BE2517" s="5" t="s">
        <v>251</v>
      </c>
      <c r="BF2517" s="5" t="s">
        <v>252</v>
      </c>
      <c r="BG2517" s="5" t="s">
        <v>238</v>
      </c>
      <c r="BH2517" s="7">
        <f>0</f>
        <v>0</v>
      </c>
      <c r="BI2517" s="8">
        <f>0</f>
        <v>0</v>
      </c>
      <c r="BJ2517" s="5" t="s">
        <v>253</v>
      </c>
      <c r="BK2517" s="5" t="s">
        <v>254</v>
      </c>
      <c r="BY2517" s="5" t="s">
        <v>238</v>
      </c>
      <c r="BZ2517" s="5" t="s">
        <v>238</v>
      </c>
      <c r="CD2517" s="5" t="s">
        <v>273</v>
      </c>
      <c r="CE2517" s="5" t="s">
        <v>256</v>
      </c>
      <c r="CF2517" s="5" t="s">
        <v>238</v>
      </c>
      <c r="CI2517" s="6" t="s">
        <v>257</v>
      </c>
      <c r="CJ2517" s="5" t="s">
        <v>238</v>
      </c>
      <c r="CK2517" s="5" t="s">
        <v>258</v>
      </c>
      <c r="CL2517" s="5" t="s">
        <v>238</v>
      </c>
      <c r="CM2517" s="5" t="s">
        <v>238</v>
      </c>
      <c r="CN2517" s="5">
        <v>0</v>
      </c>
      <c r="CO2517" s="5" t="s">
        <v>259</v>
      </c>
      <c r="CP2517" s="5" t="s">
        <v>260</v>
      </c>
      <c r="CQ2517" s="5" t="s">
        <v>260</v>
      </c>
      <c r="CR2517" s="5" t="s">
        <v>261</v>
      </c>
      <c r="CU2517" s="8">
        <f>1</f>
        <v>1</v>
      </c>
      <c r="CV2517" s="8">
        <f>0</f>
        <v>0</v>
      </c>
      <c r="CX2517" s="8">
        <f>0</f>
        <v>0</v>
      </c>
      <c r="CY2517" s="8">
        <f>1</f>
        <v>1</v>
      </c>
      <c r="DA2517" s="5" t="s">
        <v>274</v>
      </c>
      <c r="DB2517" s="5" t="s">
        <v>238</v>
      </c>
      <c r="DD2517" s="5" t="s">
        <v>274</v>
      </c>
      <c r="DE2517" s="8">
        <f>1357</f>
        <v>1357</v>
      </c>
      <c r="DG2517" s="5" t="s">
        <v>238</v>
      </c>
      <c r="DH2517" s="5" t="s">
        <v>238</v>
      </c>
      <c r="DI2517" s="5" t="s">
        <v>238</v>
      </c>
      <c r="DJ2517" s="5" t="s">
        <v>238</v>
      </c>
      <c r="DN2517" s="5" t="s">
        <v>238</v>
      </c>
      <c r="DO2517" s="5" t="s">
        <v>238</v>
      </c>
      <c r="DP2517" s="5" t="s">
        <v>238</v>
      </c>
      <c r="DQ2517" s="5" t="s">
        <v>238</v>
      </c>
      <c r="DT2517" s="5" t="s">
        <v>275</v>
      </c>
      <c r="DU2517" s="5" t="s">
        <v>2619</v>
      </c>
      <c r="HM2517" s="5" t="s">
        <v>264</v>
      </c>
    </row>
    <row r="2518" spans="1:221" x14ac:dyDescent="0.4">
      <c r="A2518" s="5">
        <v>4222</v>
      </c>
      <c r="B2518" s="5">
        <v>1</v>
      </c>
      <c r="C2518" s="5">
        <v>1</v>
      </c>
      <c r="D2518" s="5" t="s">
        <v>269</v>
      </c>
      <c r="E2518" s="5" t="s">
        <v>271</v>
      </c>
      <c r="F2518" s="5" t="s">
        <v>248</v>
      </c>
      <c r="G2518" s="5" t="s">
        <v>266</v>
      </c>
      <c r="H2518" s="6" t="s">
        <v>4195</v>
      </c>
      <c r="I2518" s="7">
        <f>149</f>
        <v>149</v>
      </c>
      <c r="J2518" s="5" t="s">
        <v>262</v>
      </c>
      <c r="K2518" s="8">
        <f>1</f>
        <v>1</v>
      </c>
      <c r="L2518" s="6" t="s">
        <v>242</v>
      </c>
      <c r="M2518" s="5" t="s">
        <v>267</v>
      </c>
      <c r="N2518" s="5" t="s">
        <v>265</v>
      </c>
      <c r="O2518" s="5" t="s">
        <v>238</v>
      </c>
      <c r="P2518" s="5" t="s">
        <v>238</v>
      </c>
      <c r="Q2518" s="5" t="s">
        <v>268</v>
      </c>
      <c r="R2518" s="5" t="s">
        <v>270</v>
      </c>
      <c r="S2518" s="5" t="s">
        <v>238</v>
      </c>
      <c r="V2518" s="5" t="s">
        <v>238</v>
      </c>
      <c r="X2518" s="6" t="s">
        <v>238</v>
      </c>
      <c r="AA2518" s="6" t="s">
        <v>243</v>
      </c>
      <c r="AB2518" s="5" t="s">
        <v>238</v>
      </c>
      <c r="AC2518" s="5" t="s">
        <v>244</v>
      </c>
      <c r="AD2518" s="5" t="s">
        <v>245</v>
      </c>
      <c r="AT2518" s="5" t="s">
        <v>246</v>
      </c>
      <c r="AU2518" s="5" t="s">
        <v>238</v>
      </c>
      <c r="AV2518" s="5" t="s">
        <v>247</v>
      </c>
      <c r="AW2518" s="5" t="s">
        <v>238</v>
      </c>
      <c r="AX2518" s="5" t="s">
        <v>249</v>
      </c>
      <c r="AY2518" s="5" t="s">
        <v>238</v>
      </c>
      <c r="BA2518" s="5" t="s">
        <v>238</v>
      </c>
      <c r="BC2518" s="5" t="s">
        <v>250</v>
      </c>
      <c r="BD2518" s="6" t="s">
        <v>243</v>
      </c>
      <c r="BE2518" s="5" t="s">
        <v>251</v>
      </c>
      <c r="BF2518" s="5" t="s">
        <v>252</v>
      </c>
      <c r="BG2518" s="5" t="s">
        <v>238</v>
      </c>
      <c r="BH2518" s="7">
        <f>0</f>
        <v>0</v>
      </c>
      <c r="BI2518" s="8">
        <f>0</f>
        <v>0</v>
      </c>
      <c r="BJ2518" s="5" t="s">
        <v>253</v>
      </c>
      <c r="BK2518" s="5" t="s">
        <v>254</v>
      </c>
      <c r="BY2518" s="5" t="s">
        <v>238</v>
      </c>
      <c r="BZ2518" s="5" t="s">
        <v>238</v>
      </c>
      <c r="CD2518" s="5" t="s">
        <v>273</v>
      </c>
      <c r="CE2518" s="5" t="s">
        <v>256</v>
      </c>
      <c r="CF2518" s="5" t="s">
        <v>238</v>
      </c>
      <c r="CI2518" s="6" t="s">
        <v>257</v>
      </c>
      <c r="CJ2518" s="5" t="s">
        <v>238</v>
      </c>
      <c r="CK2518" s="5" t="s">
        <v>258</v>
      </c>
      <c r="CL2518" s="5" t="s">
        <v>238</v>
      </c>
      <c r="CM2518" s="5" t="s">
        <v>238</v>
      </c>
      <c r="CN2518" s="5">
        <v>0</v>
      </c>
      <c r="CO2518" s="5" t="s">
        <v>259</v>
      </c>
      <c r="CP2518" s="5" t="s">
        <v>260</v>
      </c>
      <c r="CQ2518" s="5" t="s">
        <v>260</v>
      </c>
      <c r="CR2518" s="5" t="s">
        <v>261</v>
      </c>
      <c r="CU2518" s="8">
        <f>1</f>
        <v>1</v>
      </c>
      <c r="CV2518" s="8">
        <f>0</f>
        <v>0</v>
      </c>
      <c r="CX2518" s="8">
        <f>0</f>
        <v>0</v>
      </c>
      <c r="CY2518" s="8">
        <f>1</f>
        <v>1</v>
      </c>
      <c r="DA2518" s="5" t="s">
        <v>274</v>
      </c>
      <c r="DB2518" s="5" t="s">
        <v>238</v>
      </c>
      <c r="DD2518" s="5" t="s">
        <v>274</v>
      </c>
      <c r="DE2518" s="8">
        <f>149</f>
        <v>149</v>
      </c>
      <c r="DG2518" s="5" t="s">
        <v>238</v>
      </c>
      <c r="DH2518" s="5" t="s">
        <v>238</v>
      </c>
      <c r="DI2518" s="5" t="s">
        <v>238</v>
      </c>
      <c r="DJ2518" s="5" t="s">
        <v>238</v>
      </c>
      <c r="DN2518" s="5" t="s">
        <v>238</v>
      </c>
      <c r="DO2518" s="5" t="s">
        <v>238</v>
      </c>
      <c r="DP2518" s="5" t="s">
        <v>238</v>
      </c>
      <c r="DQ2518" s="5" t="s">
        <v>238</v>
      </c>
      <c r="DT2518" s="5" t="s">
        <v>275</v>
      </c>
      <c r="DU2518" s="5" t="s">
        <v>2617</v>
      </c>
      <c r="HM2518" s="5" t="s">
        <v>264</v>
      </c>
    </row>
    <row r="2519" spans="1:221" x14ac:dyDescent="0.4">
      <c r="A2519" s="5">
        <v>4223</v>
      </c>
      <c r="B2519" s="5">
        <v>1</v>
      </c>
      <c r="C2519" s="5">
        <v>1</v>
      </c>
      <c r="D2519" s="5" t="s">
        <v>269</v>
      </c>
      <c r="E2519" s="5" t="s">
        <v>271</v>
      </c>
      <c r="F2519" s="5" t="s">
        <v>248</v>
      </c>
      <c r="G2519" s="5" t="s">
        <v>266</v>
      </c>
      <c r="H2519" s="6" t="s">
        <v>4197</v>
      </c>
      <c r="I2519" s="7">
        <f>266</f>
        <v>266</v>
      </c>
      <c r="J2519" s="5" t="s">
        <v>262</v>
      </c>
      <c r="K2519" s="8">
        <f>1</f>
        <v>1</v>
      </c>
      <c r="L2519" s="6" t="s">
        <v>242</v>
      </c>
      <c r="M2519" s="5" t="s">
        <v>267</v>
      </c>
      <c r="N2519" s="5" t="s">
        <v>265</v>
      </c>
      <c r="O2519" s="5" t="s">
        <v>238</v>
      </c>
      <c r="P2519" s="5" t="s">
        <v>238</v>
      </c>
      <c r="Q2519" s="5" t="s">
        <v>268</v>
      </c>
      <c r="R2519" s="5" t="s">
        <v>270</v>
      </c>
      <c r="S2519" s="5" t="s">
        <v>238</v>
      </c>
      <c r="V2519" s="5" t="s">
        <v>238</v>
      </c>
      <c r="X2519" s="6" t="s">
        <v>238</v>
      </c>
      <c r="AA2519" s="6" t="s">
        <v>243</v>
      </c>
      <c r="AB2519" s="5" t="s">
        <v>238</v>
      </c>
      <c r="AC2519" s="5" t="s">
        <v>244</v>
      </c>
      <c r="AD2519" s="5" t="s">
        <v>245</v>
      </c>
      <c r="AT2519" s="5" t="s">
        <v>246</v>
      </c>
      <c r="AU2519" s="5" t="s">
        <v>238</v>
      </c>
      <c r="AV2519" s="5" t="s">
        <v>247</v>
      </c>
      <c r="AW2519" s="5" t="s">
        <v>238</v>
      </c>
      <c r="AX2519" s="5" t="s">
        <v>249</v>
      </c>
      <c r="AY2519" s="5" t="s">
        <v>238</v>
      </c>
      <c r="BA2519" s="5" t="s">
        <v>238</v>
      </c>
      <c r="BC2519" s="5" t="s">
        <v>250</v>
      </c>
      <c r="BD2519" s="6" t="s">
        <v>243</v>
      </c>
      <c r="BE2519" s="5" t="s">
        <v>251</v>
      </c>
      <c r="BF2519" s="5" t="s">
        <v>252</v>
      </c>
      <c r="BG2519" s="5" t="s">
        <v>238</v>
      </c>
      <c r="BH2519" s="7">
        <f>0</f>
        <v>0</v>
      </c>
      <c r="BI2519" s="8">
        <f>0</f>
        <v>0</v>
      </c>
      <c r="BJ2519" s="5" t="s">
        <v>253</v>
      </c>
      <c r="BK2519" s="5" t="s">
        <v>254</v>
      </c>
      <c r="BY2519" s="5" t="s">
        <v>238</v>
      </c>
      <c r="BZ2519" s="5" t="s">
        <v>238</v>
      </c>
      <c r="CD2519" s="5" t="s">
        <v>273</v>
      </c>
      <c r="CE2519" s="5" t="s">
        <v>256</v>
      </c>
      <c r="CF2519" s="5" t="s">
        <v>238</v>
      </c>
      <c r="CI2519" s="6" t="s">
        <v>257</v>
      </c>
      <c r="CJ2519" s="5" t="s">
        <v>238</v>
      </c>
      <c r="CK2519" s="5" t="s">
        <v>258</v>
      </c>
      <c r="CL2519" s="5" t="s">
        <v>238</v>
      </c>
      <c r="CM2519" s="5" t="s">
        <v>238</v>
      </c>
      <c r="CN2519" s="5">
        <v>0</v>
      </c>
      <c r="CO2519" s="5" t="s">
        <v>259</v>
      </c>
      <c r="CP2519" s="5" t="s">
        <v>260</v>
      </c>
      <c r="CQ2519" s="5" t="s">
        <v>260</v>
      </c>
      <c r="CR2519" s="5" t="s">
        <v>261</v>
      </c>
      <c r="CU2519" s="8">
        <f>1</f>
        <v>1</v>
      </c>
      <c r="CV2519" s="8">
        <f>0</f>
        <v>0</v>
      </c>
      <c r="CX2519" s="8">
        <f>0</f>
        <v>0</v>
      </c>
      <c r="CY2519" s="8">
        <f>1</f>
        <v>1</v>
      </c>
      <c r="DA2519" s="5" t="s">
        <v>274</v>
      </c>
      <c r="DB2519" s="5" t="s">
        <v>238</v>
      </c>
      <c r="DD2519" s="5" t="s">
        <v>274</v>
      </c>
      <c r="DE2519" s="8">
        <f>266</f>
        <v>266</v>
      </c>
      <c r="DG2519" s="5" t="s">
        <v>238</v>
      </c>
      <c r="DH2519" s="5" t="s">
        <v>238</v>
      </c>
      <c r="DI2519" s="5" t="s">
        <v>238</v>
      </c>
      <c r="DJ2519" s="5" t="s">
        <v>238</v>
      </c>
      <c r="DN2519" s="5" t="s">
        <v>238</v>
      </c>
      <c r="DO2519" s="5" t="s">
        <v>238</v>
      </c>
      <c r="DP2519" s="5" t="s">
        <v>238</v>
      </c>
      <c r="DQ2519" s="5" t="s">
        <v>238</v>
      </c>
      <c r="DT2519" s="5" t="s">
        <v>275</v>
      </c>
      <c r="DU2519" s="5" t="s">
        <v>2615</v>
      </c>
      <c r="HM2519" s="5" t="s">
        <v>264</v>
      </c>
    </row>
    <row r="2520" spans="1:221" x14ac:dyDescent="0.4">
      <c r="A2520" s="5">
        <v>4224</v>
      </c>
      <c r="B2520" s="5">
        <v>1</v>
      </c>
      <c r="C2520" s="5">
        <v>1</v>
      </c>
      <c r="D2520" s="5" t="s">
        <v>269</v>
      </c>
      <c r="E2520" s="5" t="s">
        <v>271</v>
      </c>
      <c r="F2520" s="5" t="s">
        <v>248</v>
      </c>
      <c r="G2520" s="5" t="s">
        <v>266</v>
      </c>
      <c r="H2520" s="6" t="s">
        <v>4199</v>
      </c>
      <c r="I2520" s="7">
        <f>2692</f>
        <v>2692</v>
      </c>
      <c r="J2520" s="5" t="s">
        <v>262</v>
      </c>
      <c r="K2520" s="8">
        <f>1</f>
        <v>1</v>
      </c>
      <c r="L2520" s="6" t="s">
        <v>242</v>
      </c>
      <c r="M2520" s="5" t="s">
        <v>267</v>
      </c>
      <c r="N2520" s="5" t="s">
        <v>265</v>
      </c>
      <c r="O2520" s="5" t="s">
        <v>238</v>
      </c>
      <c r="P2520" s="5" t="s">
        <v>238</v>
      </c>
      <c r="Q2520" s="5" t="s">
        <v>268</v>
      </c>
      <c r="R2520" s="5" t="s">
        <v>270</v>
      </c>
      <c r="S2520" s="5" t="s">
        <v>238</v>
      </c>
      <c r="V2520" s="5" t="s">
        <v>238</v>
      </c>
      <c r="X2520" s="6" t="s">
        <v>238</v>
      </c>
      <c r="AA2520" s="6" t="s">
        <v>243</v>
      </c>
      <c r="AB2520" s="5" t="s">
        <v>238</v>
      </c>
      <c r="AC2520" s="5" t="s">
        <v>244</v>
      </c>
      <c r="AD2520" s="5" t="s">
        <v>245</v>
      </c>
      <c r="AT2520" s="5" t="s">
        <v>246</v>
      </c>
      <c r="AU2520" s="5" t="s">
        <v>238</v>
      </c>
      <c r="AV2520" s="5" t="s">
        <v>247</v>
      </c>
      <c r="AW2520" s="5" t="s">
        <v>238</v>
      </c>
      <c r="AX2520" s="5" t="s">
        <v>249</v>
      </c>
      <c r="AY2520" s="5" t="s">
        <v>238</v>
      </c>
      <c r="BA2520" s="5" t="s">
        <v>238</v>
      </c>
      <c r="BC2520" s="5" t="s">
        <v>250</v>
      </c>
      <c r="BD2520" s="6" t="s">
        <v>243</v>
      </c>
      <c r="BE2520" s="5" t="s">
        <v>251</v>
      </c>
      <c r="BF2520" s="5" t="s">
        <v>252</v>
      </c>
      <c r="BG2520" s="5" t="s">
        <v>238</v>
      </c>
      <c r="BH2520" s="7">
        <f>0</f>
        <v>0</v>
      </c>
      <c r="BI2520" s="8">
        <f>0</f>
        <v>0</v>
      </c>
      <c r="BJ2520" s="5" t="s">
        <v>253</v>
      </c>
      <c r="BK2520" s="5" t="s">
        <v>254</v>
      </c>
      <c r="BY2520" s="5" t="s">
        <v>238</v>
      </c>
      <c r="BZ2520" s="5" t="s">
        <v>238</v>
      </c>
      <c r="CD2520" s="5" t="s">
        <v>273</v>
      </c>
      <c r="CE2520" s="5" t="s">
        <v>256</v>
      </c>
      <c r="CF2520" s="5" t="s">
        <v>238</v>
      </c>
      <c r="CI2520" s="6" t="s">
        <v>257</v>
      </c>
      <c r="CJ2520" s="5" t="s">
        <v>238</v>
      </c>
      <c r="CK2520" s="5" t="s">
        <v>258</v>
      </c>
      <c r="CL2520" s="5" t="s">
        <v>238</v>
      </c>
      <c r="CM2520" s="5" t="s">
        <v>238</v>
      </c>
      <c r="CN2520" s="5">
        <v>0</v>
      </c>
      <c r="CO2520" s="5" t="s">
        <v>259</v>
      </c>
      <c r="CP2520" s="5" t="s">
        <v>260</v>
      </c>
      <c r="CQ2520" s="5" t="s">
        <v>260</v>
      </c>
      <c r="CR2520" s="5" t="s">
        <v>261</v>
      </c>
      <c r="CU2520" s="8">
        <f>1</f>
        <v>1</v>
      </c>
      <c r="CV2520" s="8">
        <f>0</f>
        <v>0</v>
      </c>
      <c r="CX2520" s="8">
        <f>0</f>
        <v>0</v>
      </c>
      <c r="CY2520" s="8">
        <f>1</f>
        <v>1</v>
      </c>
      <c r="DA2520" s="5" t="s">
        <v>274</v>
      </c>
      <c r="DB2520" s="5" t="s">
        <v>238</v>
      </c>
      <c r="DD2520" s="5" t="s">
        <v>274</v>
      </c>
      <c r="DE2520" s="8">
        <f>2692</f>
        <v>2692</v>
      </c>
      <c r="DG2520" s="5" t="s">
        <v>238</v>
      </c>
      <c r="DH2520" s="5" t="s">
        <v>238</v>
      </c>
      <c r="DI2520" s="5" t="s">
        <v>238</v>
      </c>
      <c r="DJ2520" s="5" t="s">
        <v>238</v>
      </c>
      <c r="DN2520" s="5" t="s">
        <v>238</v>
      </c>
      <c r="DO2520" s="5" t="s">
        <v>238</v>
      </c>
      <c r="DP2520" s="5" t="s">
        <v>238</v>
      </c>
      <c r="DQ2520" s="5" t="s">
        <v>238</v>
      </c>
      <c r="DT2520" s="5" t="s">
        <v>275</v>
      </c>
      <c r="DU2520" s="5" t="s">
        <v>2613</v>
      </c>
      <c r="HM2520" s="5" t="s">
        <v>264</v>
      </c>
    </row>
    <row r="2521" spans="1:221" x14ac:dyDescent="0.4">
      <c r="A2521" s="5">
        <v>4225</v>
      </c>
      <c r="B2521" s="5">
        <v>1</v>
      </c>
      <c r="C2521" s="5">
        <v>1</v>
      </c>
      <c r="D2521" s="5" t="s">
        <v>269</v>
      </c>
      <c r="E2521" s="5" t="s">
        <v>271</v>
      </c>
      <c r="F2521" s="5" t="s">
        <v>248</v>
      </c>
      <c r="G2521" s="5" t="s">
        <v>266</v>
      </c>
      <c r="H2521" s="6" t="s">
        <v>4206</v>
      </c>
      <c r="I2521" s="7">
        <f>326</f>
        <v>326</v>
      </c>
      <c r="J2521" s="5" t="s">
        <v>262</v>
      </c>
      <c r="K2521" s="8">
        <f>1</f>
        <v>1</v>
      </c>
      <c r="L2521" s="6" t="s">
        <v>242</v>
      </c>
      <c r="M2521" s="5" t="s">
        <v>267</v>
      </c>
      <c r="N2521" s="5" t="s">
        <v>265</v>
      </c>
      <c r="O2521" s="5" t="s">
        <v>238</v>
      </c>
      <c r="P2521" s="5" t="s">
        <v>238</v>
      </c>
      <c r="Q2521" s="5" t="s">
        <v>268</v>
      </c>
      <c r="R2521" s="5" t="s">
        <v>270</v>
      </c>
      <c r="S2521" s="5" t="s">
        <v>238</v>
      </c>
      <c r="V2521" s="5" t="s">
        <v>238</v>
      </c>
      <c r="X2521" s="6" t="s">
        <v>238</v>
      </c>
      <c r="AA2521" s="6" t="s">
        <v>243</v>
      </c>
      <c r="AB2521" s="5" t="s">
        <v>238</v>
      </c>
      <c r="AC2521" s="5" t="s">
        <v>244</v>
      </c>
      <c r="AD2521" s="5" t="s">
        <v>245</v>
      </c>
      <c r="AT2521" s="5" t="s">
        <v>246</v>
      </c>
      <c r="AU2521" s="5" t="s">
        <v>238</v>
      </c>
      <c r="AV2521" s="5" t="s">
        <v>247</v>
      </c>
      <c r="AW2521" s="5" t="s">
        <v>238</v>
      </c>
      <c r="AX2521" s="5" t="s">
        <v>249</v>
      </c>
      <c r="AY2521" s="5" t="s">
        <v>238</v>
      </c>
      <c r="BA2521" s="5" t="s">
        <v>238</v>
      </c>
      <c r="BC2521" s="5" t="s">
        <v>250</v>
      </c>
      <c r="BD2521" s="6" t="s">
        <v>243</v>
      </c>
      <c r="BE2521" s="5" t="s">
        <v>251</v>
      </c>
      <c r="BF2521" s="5" t="s">
        <v>252</v>
      </c>
      <c r="BG2521" s="5" t="s">
        <v>238</v>
      </c>
      <c r="BH2521" s="7">
        <f>0</f>
        <v>0</v>
      </c>
      <c r="BI2521" s="8">
        <f>0</f>
        <v>0</v>
      </c>
      <c r="BJ2521" s="5" t="s">
        <v>253</v>
      </c>
      <c r="BK2521" s="5" t="s">
        <v>254</v>
      </c>
      <c r="BY2521" s="5" t="s">
        <v>238</v>
      </c>
      <c r="BZ2521" s="5" t="s">
        <v>238</v>
      </c>
      <c r="CD2521" s="5" t="s">
        <v>273</v>
      </c>
      <c r="CE2521" s="5" t="s">
        <v>256</v>
      </c>
      <c r="CF2521" s="5" t="s">
        <v>238</v>
      </c>
      <c r="CI2521" s="6" t="s">
        <v>257</v>
      </c>
      <c r="CJ2521" s="5" t="s">
        <v>238</v>
      </c>
      <c r="CK2521" s="5" t="s">
        <v>258</v>
      </c>
      <c r="CL2521" s="5" t="s">
        <v>238</v>
      </c>
      <c r="CM2521" s="5" t="s">
        <v>238</v>
      </c>
      <c r="CN2521" s="5">
        <v>0</v>
      </c>
      <c r="CO2521" s="5" t="s">
        <v>259</v>
      </c>
      <c r="CP2521" s="5" t="s">
        <v>260</v>
      </c>
      <c r="CQ2521" s="5" t="s">
        <v>260</v>
      </c>
      <c r="CR2521" s="5" t="s">
        <v>261</v>
      </c>
      <c r="CU2521" s="8">
        <f>1</f>
        <v>1</v>
      </c>
      <c r="CV2521" s="8">
        <f>0</f>
        <v>0</v>
      </c>
      <c r="CX2521" s="8">
        <f>0</f>
        <v>0</v>
      </c>
      <c r="CY2521" s="8">
        <f>1</f>
        <v>1</v>
      </c>
      <c r="DA2521" s="5" t="s">
        <v>274</v>
      </c>
      <c r="DB2521" s="5" t="s">
        <v>238</v>
      </c>
      <c r="DD2521" s="5" t="s">
        <v>274</v>
      </c>
      <c r="DE2521" s="8">
        <f>326</f>
        <v>326</v>
      </c>
      <c r="DG2521" s="5" t="s">
        <v>238</v>
      </c>
      <c r="DH2521" s="5" t="s">
        <v>238</v>
      </c>
      <c r="DI2521" s="5" t="s">
        <v>238</v>
      </c>
      <c r="DJ2521" s="5" t="s">
        <v>238</v>
      </c>
      <c r="DN2521" s="5" t="s">
        <v>238</v>
      </c>
      <c r="DO2521" s="5" t="s">
        <v>238</v>
      </c>
      <c r="DP2521" s="5" t="s">
        <v>238</v>
      </c>
      <c r="DQ2521" s="5" t="s">
        <v>238</v>
      </c>
      <c r="DT2521" s="5" t="s">
        <v>275</v>
      </c>
      <c r="DU2521" s="5" t="s">
        <v>2611</v>
      </c>
      <c r="HM2521" s="5" t="s">
        <v>264</v>
      </c>
    </row>
    <row r="2522" spans="1:221" x14ac:dyDescent="0.4">
      <c r="A2522" s="5">
        <v>4226</v>
      </c>
      <c r="B2522" s="5">
        <v>1</v>
      </c>
      <c r="C2522" s="5">
        <v>1</v>
      </c>
      <c r="D2522" s="5" t="s">
        <v>269</v>
      </c>
      <c r="E2522" s="5" t="s">
        <v>271</v>
      </c>
      <c r="F2522" s="5" t="s">
        <v>248</v>
      </c>
      <c r="G2522" s="5" t="s">
        <v>266</v>
      </c>
      <c r="H2522" s="6" t="s">
        <v>4208</v>
      </c>
      <c r="I2522" s="7">
        <f>308</f>
        <v>308</v>
      </c>
      <c r="J2522" s="5" t="s">
        <v>262</v>
      </c>
      <c r="K2522" s="8">
        <f>1</f>
        <v>1</v>
      </c>
      <c r="L2522" s="6" t="s">
        <v>242</v>
      </c>
      <c r="M2522" s="5" t="s">
        <v>267</v>
      </c>
      <c r="N2522" s="5" t="s">
        <v>265</v>
      </c>
      <c r="O2522" s="5" t="s">
        <v>238</v>
      </c>
      <c r="P2522" s="5" t="s">
        <v>238</v>
      </c>
      <c r="Q2522" s="5" t="s">
        <v>268</v>
      </c>
      <c r="R2522" s="5" t="s">
        <v>270</v>
      </c>
      <c r="S2522" s="5" t="s">
        <v>238</v>
      </c>
      <c r="V2522" s="5" t="s">
        <v>238</v>
      </c>
      <c r="X2522" s="6" t="s">
        <v>238</v>
      </c>
      <c r="AA2522" s="6" t="s">
        <v>243</v>
      </c>
      <c r="AB2522" s="5" t="s">
        <v>238</v>
      </c>
      <c r="AC2522" s="5" t="s">
        <v>244</v>
      </c>
      <c r="AD2522" s="5" t="s">
        <v>245</v>
      </c>
      <c r="AT2522" s="5" t="s">
        <v>246</v>
      </c>
      <c r="AU2522" s="5" t="s">
        <v>238</v>
      </c>
      <c r="AV2522" s="5" t="s">
        <v>247</v>
      </c>
      <c r="AW2522" s="5" t="s">
        <v>238</v>
      </c>
      <c r="AX2522" s="5" t="s">
        <v>249</v>
      </c>
      <c r="AY2522" s="5" t="s">
        <v>238</v>
      </c>
      <c r="BA2522" s="5" t="s">
        <v>238</v>
      </c>
      <c r="BC2522" s="5" t="s">
        <v>250</v>
      </c>
      <c r="BD2522" s="6" t="s">
        <v>243</v>
      </c>
      <c r="BE2522" s="5" t="s">
        <v>251</v>
      </c>
      <c r="BF2522" s="5" t="s">
        <v>252</v>
      </c>
      <c r="BG2522" s="5" t="s">
        <v>238</v>
      </c>
      <c r="BH2522" s="7">
        <f>0</f>
        <v>0</v>
      </c>
      <c r="BI2522" s="8">
        <f>0</f>
        <v>0</v>
      </c>
      <c r="BJ2522" s="5" t="s">
        <v>253</v>
      </c>
      <c r="BK2522" s="5" t="s">
        <v>254</v>
      </c>
      <c r="BY2522" s="5" t="s">
        <v>238</v>
      </c>
      <c r="BZ2522" s="5" t="s">
        <v>238</v>
      </c>
      <c r="CD2522" s="5" t="s">
        <v>273</v>
      </c>
      <c r="CE2522" s="5" t="s">
        <v>256</v>
      </c>
      <c r="CF2522" s="5" t="s">
        <v>238</v>
      </c>
      <c r="CI2522" s="6" t="s">
        <v>257</v>
      </c>
      <c r="CJ2522" s="5" t="s">
        <v>238</v>
      </c>
      <c r="CK2522" s="5" t="s">
        <v>258</v>
      </c>
      <c r="CL2522" s="5" t="s">
        <v>238</v>
      </c>
      <c r="CM2522" s="5" t="s">
        <v>238</v>
      </c>
      <c r="CN2522" s="5">
        <v>0</v>
      </c>
      <c r="CO2522" s="5" t="s">
        <v>259</v>
      </c>
      <c r="CP2522" s="5" t="s">
        <v>260</v>
      </c>
      <c r="CQ2522" s="5" t="s">
        <v>260</v>
      </c>
      <c r="CR2522" s="5" t="s">
        <v>261</v>
      </c>
      <c r="CU2522" s="8">
        <f>1</f>
        <v>1</v>
      </c>
      <c r="CV2522" s="8">
        <f>0</f>
        <v>0</v>
      </c>
      <c r="CX2522" s="8">
        <f>0</f>
        <v>0</v>
      </c>
      <c r="CY2522" s="8">
        <f>1</f>
        <v>1</v>
      </c>
      <c r="DA2522" s="5" t="s">
        <v>274</v>
      </c>
      <c r="DB2522" s="5" t="s">
        <v>238</v>
      </c>
      <c r="DD2522" s="5" t="s">
        <v>274</v>
      </c>
      <c r="DE2522" s="8">
        <f>308</f>
        <v>308</v>
      </c>
      <c r="DG2522" s="5" t="s">
        <v>238</v>
      </c>
      <c r="DH2522" s="5" t="s">
        <v>238</v>
      </c>
      <c r="DI2522" s="5" t="s">
        <v>238</v>
      </c>
      <c r="DJ2522" s="5" t="s">
        <v>238</v>
      </c>
      <c r="DN2522" s="5" t="s">
        <v>238</v>
      </c>
      <c r="DO2522" s="5" t="s">
        <v>238</v>
      </c>
      <c r="DP2522" s="5" t="s">
        <v>238</v>
      </c>
      <c r="DQ2522" s="5" t="s">
        <v>238</v>
      </c>
      <c r="DT2522" s="5" t="s">
        <v>275</v>
      </c>
      <c r="DU2522" s="5" t="s">
        <v>2609</v>
      </c>
      <c r="HM2522" s="5" t="s">
        <v>264</v>
      </c>
    </row>
    <row r="2523" spans="1:221" x14ac:dyDescent="0.4">
      <c r="A2523" s="5">
        <v>4227</v>
      </c>
      <c r="B2523" s="5">
        <v>1</v>
      </c>
      <c r="C2523" s="5">
        <v>1</v>
      </c>
      <c r="D2523" s="5" t="s">
        <v>269</v>
      </c>
      <c r="E2523" s="5" t="s">
        <v>271</v>
      </c>
      <c r="F2523" s="5" t="s">
        <v>248</v>
      </c>
      <c r="G2523" s="5" t="s">
        <v>266</v>
      </c>
      <c r="H2523" s="6" t="s">
        <v>4214</v>
      </c>
      <c r="I2523" s="7">
        <f>1346</f>
        <v>1346</v>
      </c>
      <c r="J2523" s="5" t="s">
        <v>262</v>
      </c>
      <c r="K2523" s="8">
        <f>1</f>
        <v>1</v>
      </c>
      <c r="L2523" s="6" t="s">
        <v>242</v>
      </c>
      <c r="M2523" s="5" t="s">
        <v>267</v>
      </c>
      <c r="N2523" s="5" t="s">
        <v>265</v>
      </c>
      <c r="O2523" s="5" t="s">
        <v>238</v>
      </c>
      <c r="P2523" s="5" t="s">
        <v>238</v>
      </c>
      <c r="Q2523" s="5" t="s">
        <v>268</v>
      </c>
      <c r="R2523" s="5" t="s">
        <v>270</v>
      </c>
      <c r="S2523" s="5" t="s">
        <v>238</v>
      </c>
      <c r="V2523" s="5" t="s">
        <v>238</v>
      </c>
      <c r="X2523" s="6" t="s">
        <v>238</v>
      </c>
      <c r="AA2523" s="6" t="s">
        <v>243</v>
      </c>
      <c r="AB2523" s="5" t="s">
        <v>238</v>
      </c>
      <c r="AC2523" s="5" t="s">
        <v>244</v>
      </c>
      <c r="AD2523" s="5" t="s">
        <v>245</v>
      </c>
      <c r="AT2523" s="5" t="s">
        <v>246</v>
      </c>
      <c r="AU2523" s="5" t="s">
        <v>238</v>
      </c>
      <c r="AV2523" s="5" t="s">
        <v>247</v>
      </c>
      <c r="AW2523" s="5" t="s">
        <v>238</v>
      </c>
      <c r="AX2523" s="5" t="s">
        <v>249</v>
      </c>
      <c r="AY2523" s="5" t="s">
        <v>238</v>
      </c>
      <c r="BA2523" s="5" t="s">
        <v>238</v>
      </c>
      <c r="BC2523" s="5" t="s">
        <v>250</v>
      </c>
      <c r="BD2523" s="6" t="s">
        <v>243</v>
      </c>
      <c r="BE2523" s="5" t="s">
        <v>251</v>
      </c>
      <c r="BF2523" s="5" t="s">
        <v>252</v>
      </c>
      <c r="BG2523" s="5" t="s">
        <v>238</v>
      </c>
      <c r="BH2523" s="7">
        <f>0</f>
        <v>0</v>
      </c>
      <c r="BI2523" s="8">
        <f>0</f>
        <v>0</v>
      </c>
      <c r="BJ2523" s="5" t="s">
        <v>253</v>
      </c>
      <c r="BK2523" s="5" t="s">
        <v>254</v>
      </c>
      <c r="BY2523" s="5" t="s">
        <v>238</v>
      </c>
      <c r="BZ2523" s="5" t="s">
        <v>238</v>
      </c>
      <c r="CD2523" s="5" t="s">
        <v>273</v>
      </c>
      <c r="CE2523" s="5" t="s">
        <v>256</v>
      </c>
      <c r="CF2523" s="5" t="s">
        <v>238</v>
      </c>
      <c r="CI2523" s="6" t="s">
        <v>257</v>
      </c>
      <c r="CJ2523" s="5" t="s">
        <v>238</v>
      </c>
      <c r="CK2523" s="5" t="s">
        <v>258</v>
      </c>
      <c r="CL2523" s="5" t="s">
        <v>238</v>
      </c>
      <c r="CM2523" s="5" t="s">
        <v>238</v>
      </c>
      <c r="CN2523" s="5">
        <v>0</v>
      </c>
      <c r="CO2523" s="5" t="s">
        <v>259</v>
      </c>
      <c r="CP2523" s="5" t="s">
        <v>260</v>
      </c>
      <c r="CQ2523" s="5" t="s">
        <v>260</v>
      </c>
      <c r="CR2523" s="5" t="s">
        <v>261</v>
      </c>
      <c r="CU2523" s="8">
        <f>1</f>
        <v>1</v>
      </c>
      <c r="CV2523" s="8">
        <f>0</f>
        <v>0</v>
      </c>
      <c r="CX2523" s="8">
        <f>0</f>
        <v>0</v>
      </c>
      <c r="CY2523" s="8">
        <f>1</f>
        <v>1</v>
      </c>
      <c r="DA2523" s="5" t="s">
        <v>274</v>
      </c>
      <c r="DB2523" s="5" t="s">
        <v>238</v>
      </c>
      <c r="DD2523" s="5" t="s">
        <v>274</v>
      </c>
      <c r="DE2523" s="8">
        <f>1346</f>
        <v>1346</v>
      </c>
      <c r="DG2523" s="5" t="s">
        <v>238</v>
      </c>
      <c r="DH2523" s="5" t="s">
        <v>238</v>
      </c>
      <c r="DI2523" s="5" t="s">
        <v>238</v>
      </c>
      <c r="DJ2523" s="5" t="s">
        <v>238</v>
      </c>
      <c r="DN2523" s="5" t="s">
        <v>238</v>
      </c>
      <c r="DO2523" s="5" t="s">
        <v>238</v>
      </c>
      <c r="DP2523" s="5" t="s">
        <v>238</v>
      </c>
      <c r="DQ2523" s="5" t="s">
        <v>238</v>
      </c>
      <c r="DT2523" s="5" t="s">
        <v>275</v>
      </c>
      <c r="DU2523" s="5" t="s">
        <v>2607</v>
      </c>
      <c r="HM2523" s="5" t="s">
        <v>264</v>
      </c>
    </row>
    <row r="2524" spans="1:221" x14ac:dyDescent="0.4">
      <c r="A2524" s="5">
        <v>4228</v>
      </c>
      <c r="B2524" s="5">
        <v>1</v>
      </c>
      <c r="C2524" s="5">
        <v>1</v>
      </c>
      <c r="D2524" s="5" t="s">
        <v>269</v>
      </c>
      <c r="E2524" s="5" t="s">
        <v>271</v>
      </c>
      <c r="F2524" s="5" t="s">
        <v>248</v>
      </c>
      <c r="G2524" s="5" t="s">
        <v>266</v>
      </c>
      <c r="H2524" s="6" t="s">
        <v>4216</v>
      </c>
      <c r="I2524" s="7">
        <f>109</f>
        <v>109</v>
      </c>
      <c r="J2524" s="5" t="s">
        <v>262</v>
      </c>
      <c r="K2524" s="8">
        <f>1</f>
        <v>1</v>
      </c>
      <c r="L2524" s="6" t="s">
        <v>242</v>
      </c>
      <c r="M2524" s="5" t="s">
        <v>267</v>
      </c>
      <c r="N2524" s="5" t="s">
        <v>265</v>
      </c>
      <c r="O2524" s="5" t="s">
        <v>238</v>
      </c>
      <c r="P2524" s="5" t="s">
        <v>238</v>
      </c>
      <c r="Q2524" s="5" t="s">
        <v>268</v>
      </c>
      <c r="R2524" s="5" t="s">
        <v>270</v>
      </c>
      <c r="S2524" s="5" t="s">
        <v>238</v>
      </c>
      <c r="V2524" s="5" t="s">
        <v>238</v>
      </c>
      <c r="X2524" s="6" t="s">
        <v>238</v>
      </c>
      <c r="AA2524" s="6" t="s">
        <v>243</v>
      </c>
      <c r="AB2524" s="5" t="s">
        <v>238</v>
      </c>
      <c r="AC2524" s="5" t="s">
        <v>244</v>
      </c>
      <c r="AD2524" s="5" t="s">
        <v>245</v>
      </c>
      <c r="AT2524" s="5" t="s">
        <v>246</v>
      </c>
      <c r="AU2524" s="5" t="s">
        <v>238</v>
      </c>
      <c r="AV2524" s="5" t="s">
        <v>247</v>
      </c>
      <c r="AW2524" s="5" t="s">
        <v>238</v>
      </c>
      <c r="AX2524" s="5" t="s">
        <v>249</v>
      </c>
      <c r="AY2524" s="5" t="s">
        <v>238</v>
      </c>
      <c r="BA2524" s="5" t="s">
        <v>238</v>
      </c>
      <c r="BC2524" s="5" t="s">
        <v>250</v>
      </c>
      <c r="BD2524" s="6" t="s">
        <v>243</v>
      </c>
      <c r="BE2524" s="5" t="s">
        <v>251</v>
      </c>
      <c r="BF2524" s="5" t="s">
        <v>252</v>
      </c>
      <c r="BG2524" s="5" t="s">
        <v>238</v>
      </c>
      <c r="BH2524" s="7">
        <f>0</f>
        <v>0</v>
      </c>
      <c r="BI2524" s="8">
        <f>0</f>
        <v>0</v>
      </c>
      <c r="BJ2524" s="5" t="s">
        <v>253</v>
      </c>
      <c r="BK2524" s="5" t="s">
        <v>254</v>
      </c>
      <c r="BY2524" s="5" t="s">
        <v>238</v>
      </c>
      <c r="BZ2524" s="5" t="s">
        <v>238</v>
      </c>
      <c r="CD2524" s="5" t="s">
        <v>273</v>
      </c>
      <c r="CE2524" s="5" t="s">
        <v>256</v>
      </c>
      <c r="CF2524" s="5" t="s">
        <v>238</v>
      </c>
      <c r="CI2524" s="6" t="s">
        <v>257</v>
      </c>
      <c r="CJ2524" s="5" t="s">
        <v>238</v>
      </c>
      <c r="CK2524" s="5" t="s">
        <v>258</v>
      </c>
      <c r="CL2524" s="5" t="s">
        <v>238</v>
      </c>
      <c r="CM2524" s="5" t="s">
        <v>238</v>
      </c>
      <c r="CN2524" s="5">
        <v>0</v>
      </c>
      <c r="CO2524" s="5" t="s">
        <v>259</v>
      </c>
      <c r="CP2524" s="5" t="s">
        <v>260</v>
      </c>
      <c r="CQ2524" s="5" t="s">
        <v>260</v>
      </c>
      <c r="CR2524" s="5" t="s">
        <v>261</v>
      </c>
      <c r="CU2524" s="8">
        <f>1</f>
        <v>1</v>
      </c>
      <c r="CV2524" s="8">
        <f>0</f>
        <v>0</v>
      </c>
      <c r="CX2524" s="8">
        <f>0</f>
        <v>0</v>
      </c>
      <c r="CY2524" s="8">
        <f>1</f>
        <v>1</v>
      </c>
      <c r="DA2524" s="5" t="s">
        <v>274</v>
      </c>
      <c r="DB2524" s="5" t="s">
        <v>238</v>
      </c>
      <c r="DD2524" s="5" t="s">
        <v>274</v>
      </c>
      <c r="DE2524" s="8">
        <f>109</f>
        <v>109</v>
      </c>
      <c r="DG2524" s="5" t="s">
        <v>238</v>
      </c>
      <c r="DH2524" s="5" t="s">
        <v>238</v>
      </c>
      <c r="DI2524" s="5" t="s">
        <v>238</v>
      </c>
      <c r="DJ2524" s="5" t="s">
        <v>238</v>
      </c>
      <c r="DN2524" s="5" t="s">
        <v>238</v>
      </c>
      <c r="DO2524" s="5" t="s">
        <v>238</v>
      </c>
      <c r="DP2524" s="5" t="s">
        <v>238</v>
      </c>
      <c r="DQ2524" s="5" t="s">
        <v>238</v>
      </c>
      <c r="DT2524" s="5" t="s">
        <v>275</v>
      </c>
      <c r="DU2524" s="5" t="s">
        <v>2605</v>
      </c>
      <c r="HM2524" s="5" t="s">
        <v>264</v>
      </c>
    </row>
    <row r="2525" spans="1:221" x14ac:dyDescent="0.4">
      <c r="A2525" s="5">
        <v>4229</v>
      </c>
      <c r="B2525" s="5">
        <v>1</v>
      </c>
      <c r="C2525" s="5">
        <v>1</v>
      </c>
      <c r="D2525" s="5" t="s">
        <v>269</v>
      </c>
      <c r="E2525" s="5" t="s">
        <v>271</v>
      </c>
      <c r="F2525" s="5" t="s">
        <v>248</v>
      </c>
      <c r="G2525" s="5" t="s">
        <v>266</v>
      </c>
      <c r="H2525" s="6" t="s">
        <v>4220</v>
      </c>
      <c r="I2525" s="7">
        <f>140</f>
        <v>140</v>
      </c>
      <c r="J2525" s="5" t="s">
        <v>262</v>
      </c>
      <c r="K2525" s="8">
        <f>1</f>
        <v>1</v>
      </c>
      <c r="L2525" s="6" t="s">
        <v>242</v>
      </c>
      <c r="M2525" s="5" t="s">
        <v>267</v>
      </c>
      <c r="N2525" s="5" t="s">
        <v>265</v>
      </c>
      <c r="O2525" s="5" t="s">
        <v>238</v>
      </c>
      <c r="P2525" s="5" t="s">
        <v>238</v>
      </c>
      <c r="Q2525" s="5" t="s">
        <v>268</v>
      </c>
      <c r="R2525" s="5" t="s">
        <v>270</v>
      </c>
      <c r="S2525" s="5" t="s">
        <v>238</v>
      </c>
      <c r="V2525" s="5" t="s">
        <v>238</v>
      </c>
      <c r="X2525" s="6" t="s">
        <v>238</v>
      </c>
      <c r="AA2525" s="6" t="s">
        <v>243</v>
      </c>
      <c r="AB2525" s="5" t="s">
        <v>238</v>
      </c>
      <c r="AC2525" s="5" t="s">
        <v>244</v>
      </c>
      <c r="AD2525" s="5" t="s">
        <v>245</v>
      </c>
      <c r="AT2525" s="5" t="s">
        <v>246</v>
      </c>
      <c r="AU2525" s="5" t="s">
        <v>238</v>
      </c>
      <c r="AV2525" s="5" t="s">
        <v>247</v>
      </c>
      <c r="AW2525" s="5" t="s">
        <v>238</v>
      </c>
      <c r="AX2525" s="5" t="s">
        <v>249</v>
      </c>
      <c r="AY2525" s="5" t="s">
        <v>238</v>
      </c>
      <c r="BA2525" s="5" t="s">
        <v>238</v>
      </c>
      <c r="BC2525" s="5" t="s">
        <v>250</v>
      </c>
      <c r="BD2525" s="6" t="s">
        <v>243</v>
      </c>
      <c r="BE2525" s="5" t="s">
        <v>251</v>
      </c>
      <c r="BF2525" s="5" t="s">
        <v>252</v>
      </c>
      <c r="BG2525" s="5" t="s">
        <v>238</v>
      </c>
      <c r="BH2525" s="7">
        <f>0</f>
        <v>0</v>
      </c>
      <c r="BI2525" s="8">
        <f>0</f>
        <v>0</v>
      </c>
      <c r="BJ2525" s="5" t="s">
        <v>253</v>
      </c>
      <c r="BK2525" s="5" t="s">
        <v>254</v>
      </c>
      <c r="BY2525" s="5" t="s">
        <v>238</v>
      </c>
      <c r="BZ2525" s="5" t="s">
        <v>238</v>
      </c>
      <c r="CD2525" s="5" t="s">
        <v>273</v>
      </c>
      <c r="CE2525" s="5" t="s">
        <v>256</v>
      </c>
      <c r="CF2525" s="5" t="s">
        <v>238</v>
      </c>
      <c r="CI2525" s="6" t="s">
        <v>257</v>
      </c>
      <c r="CJ2525" s="5" t="s">
        <v>238</v>
      </c>
      <c r="CK2525" s="5" t="s">
        <v>258</v>
      </c>
      <c r="CL2525" s="5" t="s">
        <v>238</v>
      </c>
      <c r="CM2525" s="5" t="s">
        <v>238</v>
      </c>
      <c r="CN2525" s="5">
        <v>0</v>
      </c>
      <c r="CO2525" s="5" t="s">
        <v>259</v>
      </c>
      <c r="CP2525" s="5" t="s">
        <v>260</v>
      </c>
      <c r="CQ2525" s="5" t="s">
        <v>260</v>
      </c>
      <c r="CR2525" s="5" t="s">
        <v>261</v>
      </c>
      <c r="CU2525" s="8">
        <f>1</f>
        <v>1</v>
      </c>
      <c r="CV2525" s="8">
        <f>0</f>
        <v>0</v>
      </c>
      <c r="CX2525" s="8">
        <f>0</f>
        <v>0</v>
      </c>
      <c r="CY2525" s="8">
        <f>1</f>
        <v>1</v>
      </c>
      <c r="DA2525" s="5" t="s">
        <v>274</v>
      </c>
      <c r="DB2525" s="5" t="s">
        <v>238</v>
      </c>
      <c r="DD2525" s="5" t="s">
        <v>274</v>
      </c>
      <c r="DE2525" s="8">
        <f>140</f>
        <v>140</v>
      </c>
      <c r="DG2525" s="5" t="s">
        <v>238</v>
      </c>
      <c r="DH2525" s="5" t="s">
        <v>238</v>
      </c>
      <c r="DI2525" s="5" t="s">
        <v>238</v>
      </c>
      <c r="DJ2525" s="5" t="s">
        <v>238</v>
      </c>
      <c r="DN2525" s="5" t="s">
        <v>238</v>
      </c>
      <c r="DO2525" s="5" t="s">
        <v>238</v>
      </c>
      <c r="DP2525" s="5" t="s">
        <v>238</v>
      </c>
      <c r="DQ2525" s="5" t="s">
        <v>238</v>
      </c>
      <c r="DT2525" s="5" t="s">
        <v>275</v>
      </c>
      <c r="DU2525" s="5" t="s">
        <v>2603</v>
      </c>
      <c r="HM2525" s="5" t="s">
        <v>264</v>
      </c>
    </row>
    <row r="2526" spans="1:221" x14ac:dyDescent="0.4">
      <c r="A2526" s="5">
        <v>4230</v>
      </c>
      <c r="B2526" s="5">
        <v>1</v>
      </c>
      <c r="C2526" s="5">
        <v>1</v>
      </c>
      <c r="D2526" s="5" t="s">
        <v>269</v>
      </c>
      <c r="E2526" s="5" t="s">
        <v>271</v>
      </c>
      <c r="F2526" s="5" t="s">
        <v>248</v>
      </c>
      <c r="G2526" s="5" t="s">
        <v>266</v>
      </c>
      <c r="H2526" s="6" t="s">
        <v>4222</v>
      </c>
      <c r="I2526" s="7">
        <f>208</f>
        <v>208</v>
      </c>
      <c r="J2526" s="5" t="s">
        <v>262</v>
      </c>
      <c r="K2526" s="8">
        <f>1</f>
        <v>1</v>
      </c>
      <c r="L2526" s="6" t="s">
        <v>242</v>
      </c>
      <c r="M2526" s="5" t="s">
        <v>267</v>
      </c>
      <c r="N2526" s="5" t="s">
        <v>265</v>
      </c>
      <c r="O2526" s="5" t="s">
        <v>238</v>
      </c>
      <c r="P2526" s="5" t="s">
        <v>238</v>
      </c>
      <c r="Q2526" s="5" t="s">
        <v>268</v>
      </c>
      <c r="R2526" s="5" t="s">
        <v>270</v>
      </c>
      <c r="S2526" s="5" t="s">
        <v>238</v>
      </c>
      <c r="V2526" s="5" t="s">
        <v>238</v>
      </c>
      <c r="X2526" s="6" t="s">
        <v>238</v>
      </c>
      <c r="AA2526" s="6" t="s">
        <v>243</v>
      </c>
      <c r="AB2526" s="5" t="s">
        <v>238</v>
      </c>
      <c r="AC2526" s="5" t="s">
        <v>244</v>
      </c>
      <c r="AD2526" s="5" t="s">
        <v>245</v>
      </c>
      <c r="AT2526" s="5" t="s">
        <v>246</v>
      </c>
      <c r="AU2526" s="5" t="s">
        <v>238</v>
      </c>
      <c r="AV2526" s="5" t="s">
        <v>247</v>
      </c>
      <c r="AW2526" s="5" t="s">
        <v>238</v>
      </c>
      <c r="AX2526" s="5" t="s">
        <v>249</v>
      </c>
      <c r="AY2526" s="5" t="s">
        <v>238</v>
      </c>
      <c r="BA2526" s="5" t="s">
        <v>238</v>
      </c>
      <c r="BC2526" s="5" t="s">
        <v>250</v>
      </c>
      <c r="BD2526" s="6" t="s">
        <v>243</v>
      </c>
      <c r="BE2526" s="5" t="s">
        <v>251</v>
      </c>
      <c r="BF2526" s="5" t="s">
        <v>252</v>
      </c>
      <c r="BG2526" s="5" t="s">
        <v>238</v>
      </c>
      <c r="BH2526" s="7">
        <f>0</f>
        <v>0</v>
      </c>
      <c r="BI2526" s="8">
        <f>0</f>
        <v>0</v>
      </c>
      <c r="BJ2526" s="5" t="s">
        <v>253</v>
      </c>
      <c r="BK2526" s="5" t="s">
        <v>254</v>
      </c>
      <c r="BY2526" s="5" t="s">
        <v>238</v>
      </c>
      <c r="BZ2526" s="5" t="s">
        <v>238</v>
      </c>
      <c r="CD2526" s="5" t="s">
        <v>273</v>
      </c>
      <c r="CE2526" s="5" t="s">
        <v>256</v>
      </c>
      <c r="CF2526" s="5" t="s">
        <v>238</v>
      </c>
      <c r="CI2526" s="6" t="s">
        <v>257</v>
      </c>
      <c r="CJ2526" s="5" t="s">
        <v>238</v>
      </c>
      <c r="CK2526" s="5" t="s">
        <v>258</v>
      </c>
      <c r="CL2526" s="5" t="s">
        <v>238</v>
      </c>
      <c r="CM2526" s="5" t="s">
        <v>238</v>
      </c>
      <c r="CN2526" s="5">
        <v>0</v>
      </c>
      <c r="CO2526" s="5" t="s">
        <v>259</v>
      </c>
      <c r="CP2526" s="5" t="s">
        <v>260</v>
      </c>
      <c r="CQ2526" s="5" t="s">
        <v>260</v>
      </c>
      <c r="CR2526" s="5" t="s">
        <v>261</v>
      </c>
      <c r="CU2526" s="8">
        <f>1</f>
        <v>1</v>
      </c>
      <c r="CV2526" s="8">
        <f>0</f>
        <v>0</v>
      </c>
      <c r="CX2526" s="8">
        <f>0</f>
        <v>0</v>
      </c>
      <c r="CY2526" s="8">
        <f>1</f>
        <v>1</v>
      </c>
      <c r="DA2526" s="5" t="s">
        <v>274</v>
      </c>
      <c r="DB2526" s="5" t="s">
        <v>238</v>
      </c>
      <c r="DD2526" s="5" t="s">
        <v>274</v>
      </c>
      <c r="DE2526" s="8">
        <f>208</f>
        <v>208</v>
      </c>
      <c r="DG2526" s="5" t="s">
        <v>238</v>
      </c>
      <c r="DH2526" s="5" t="s">
        <v>238</v>
      </c>
      <c r="DI2526" s="5" t="s">
        <v>238</v>
      </c>
      <c r="DJ2526" s="5" t="s">
        <v>238</v>
      </c>
      <c r="DN2526" s="5" t="s">
        <v>238</v>
      </c>
      <c r="DO2526" s="5" t="s">
        <v>238</v>
      </c>
      <c r="DP2526" s="5" t="s">
        <v>238</v>
      </c>
      <c r="DQ2526" s="5" t="s">
        <v>238</v>
      </c>
      <c r="DT2526" s="5" t="s">
        <v>275</v>
      </c>
      <c r="DU2526" s="5" t="s">
        <v>2601</v>
      </c>
      <c r="HM2526" s="5" t="s">
        <v>264</v>
      </c>
    </row>
    <row r="2527" spans="1:221" x14ac:dyDescent="0.4">
      <c r="A2527" s="5">
        <v>4231</v>
      </c>
      <c r="B2527" s="5">
        <v>1</v>
      </c>
      <c r="C2527" s="5">
        <v>1</v>
      </c>
      <c r="D2527" s="5" t="s">
        <v>269</v>
      </c>
      <c r="E2527" s="5" t="s">
        <v>271</v>
      </c>
      <c r="F2527" s="5" t="s">
        <v>248</v>
      </c>
      <c r="G2527" s="5" t="s">
        <v>266</v>
      </c>
      <c r="H2527" s="6" t="s">
        <v>4224</v>
      </c>
      <c r="I2527" s="7">
        <f>500</f>
        <v>500</v>
      </c>
      <c r="J2527" s="5" t="s">
        <v>262</v>
      </c>
      <c r="K2527" s="8">
        <f>1</f>
        <v>1</v>
      </c>
      <c r="L2527" s="6" t="s">
        <v>242</v>
      </c>
      <c r="M2527" s="5" t="s">
        <v>267</v>
      </c>
      <c r="N2527" s="5" t="s">
        <v>265</v>
      </c>
      <c r="O2527" s="5" t="s">
        <v>238</v>
      </c>
      <c r="P2527" s="5" t="s">
        <v>238</v>
      </c>
      <c r="Q2527" s="5" t="s">
        <v>268</v>
      </c>
      <c r="R2527" s="5" t="s">
        <v>270</v>
      </c>
      <c r="S2527" s="5" t="s">
        <v>238</v>
      </c>
      <c r="V2527" s="5" t="s">
        <v>238</v>
      </c>
      <c r="X2527" s="6" t="s">
        <v>238</v>
      </c>
      <c r="AA2527" s="6" t="s">
        <v>243</v>
      </c>
      <c r="AB2527" s="5" t="s">
        <v>238</v>
      </c>
      <c r="AC2527" s="5" t="s">
        <v>244</v>
      </c>
      <c r="AD2527" s="5" t="s">
        <v>245</v>
      </c>
      <c r="AT2527" s="5" t="s">
        <v>246</v>
      </c>
      <c r="AU2527" s="5" t="s">
        <v>238</v>
      </c>
      <c r="AV2527" s="5" t="s">
        <v>247</v>
      </c>
      <c r="AW2527" s="5" t="s">
        <v>238</v>
      </c>
      <c r="AX2527" s="5" t="s">
        <v>249</v>
      </c>
      <c r="AY2527" s="5" t="s">
        <v>238</v>
      </c>
      <c r="BA2527" s="5" t="s">
        <v>238</v>
      </c>
      <c r="BC2527" s="5" t="s">
        <v>250</v>
      </c>
      <c r="BD2527" s="6" t="s">
        <v>243</v>
      </c>
      <c r="BE2527" s="5" t="s">
        <v>251</v>
      </c>
      <c r="BF2527" s="5" t="s">
        <v>252</v>
      </c>
      <c r="BG2527" s="5" t="s">
        <v>238</v>
      </c>
      <c r="BH2527" s="7">
        <f>0</f>
        <v>0</v>
      </c>
      <c r="BI2527" s="8">
        <f>0</f>
        <v>0</v>
      </c>
      <c r="BJ2527" s="5" t="s">
        <v>253</v>
      </c>
      <c r="BK2527" s="5" t="s">
        <v>254</v>
      </c>
      <c r="BY2527" s="5" t="s">
        <v>238</v>
      </c>
      <c r="BZ2527" s="5" t="s">
        <v>238</v>
      </c>
      <c r="CD2527" s="5" t="s">
        <v>273</v>
      </c>
      <c r="CE2527" s="5" t="s">
        <v>256</v>
      </c>
      <c r="CF2527" s="5" t="s">
        <v>238</v>
      </c>
      <c r="CI2527" s="6" t="s">
        <v>257</v>
      </c>
      <c r="CJ2527" s="5" t="s">
        <v>238</v>
      </c>
      <c r="CK2527" s="5" t="s">
        <v>258</v>
      </c>
      <c r="CL2527" s="5" t="s">
        <v>238</v>
      </c>
      <c r="CM2527" s="5" t="s">
        <v>238</v>
      </c>
      <c r="CN2527" s="5">
        <v>0</v>
      </c>
      <c r="CO2527" s="5" t="s">
        <v>259</v>
      </c>
      <c r="CP2527" s="5" t="s">
        <v>260</v>
      </c>
      <c r="CQ2527" s="5" t="s">
        <v>260</v>
      </c>
      <c r="CR2527" s="5" t="s">
        <v>261</v>
      </c>
      <c r="CU2527" s="8">
        <f>1</f>
        <v>1</v>
      </c>
      <c r="CV2527" s="8">
        <f>0</f>
        <v>0</v>
      </c>
      <c r="CX2527" s="8">
        <f>0</f>
        <v>0</v>
      </c>
      <c r="CY2527" s="8">
        <f>1</f>
        <v>1</v>
      </c>
      <c r="DA2527" s="5" t="s">
        <v>274</v>
      </c>
      <c r="DB2527" s="5" t="s">
        <v>238</v>
      </c>
      <c r="DD2527" s="5" t="s">
        <v>274</v>
      </c>
      <c r="DE2527" s="8">
        <f>500</f>
        <v>500</v>
      </c>
      <c r="DG2527" s="5" t="s">
        <v>238</v>
      </c>
      <c r="DH2527" s="5" t="s">
        <v>238</v>
      </c>
      <c r="DI2527" s="5" t="s">
        <v>238</v>
      </c>
      <c r="DJ2527" s="5" t="s">
        <v>238</v>
      </c>
      <c r="DN2527" s="5" t="s">
        <v>238</v>
      </c>
      <c r="DO2527" s="5" t="s">
        <v>238</v>
      </c>
      <c r="DP2527" s="5" t="s">
        <v>238</v>
      </c>
      <c r="DQ2527" s="5" t="s">
        <v>238</v>
      </c>
      <c r="DT2527" s="5" t="s">
        <v>275</v>
      </c>
      <c r="DU2527" s="5" t="s">
        <v>2599</v>
      </c>
      <c r="HM2527" s="5" t="s">
        <v>264</v>
      </c>
    </row>
    <row r="2528" spans="1:221" x14ac:dyDescent="0.4">
      <c r="A2528" s="5">
        <v>4232</v>
      </c>
      <c r="B2528" s="5">
        <v>1</v>
      </c>
      <c r="C2528" s="5">
        <v>1</v>
      </c>
      <c r="D2528" s="5" t="s">
        <v>269</v>
      </c>
      <c r="E2528" s="5" t="s">
        <v>271</v>
      </c>
      <c r="F2528" s="5" t="s">
        <v>248</v>
      </c>
      <c r="G2528" s="5" t="s">
        <v>266</v>
      </c>
      <c r="H2528" s="6" t="s">
        <v>4226</v>
      </c>
      <c r="I2528" s="7">
        <f>743</f>
        <v>743</v>
      </c>
      <c r="J2528" s="5" t="s">
        <v>262</v>
      </c>
      <c r="K2528" s="8">
        <f>1</f>
        <v>1</v>
      </c>
      <c r="L2528" s="6" t="s">
        <v>242</v>
      </c>
      <c r="M2528" s="5" t="s">
        <v>267</v>
      </c>
      <c r="N2528" s="5" t="s">
        <v>265</v>
      </c>
      <c r="O2528" s="5" t="s">
        <v>238</v>
      </c>
      <c r="P2528" s="5" t="s">
        <v>238</v>
      </c>
      <c r="Q2528" s="5" t="s">
        <v>268</v>
      </c>
      <c r="R2528" s="5" t="s">
        <v>270</v>
      </c>
      <c r="S2528" s="5" t="s">
        <v>238</v>
      </c>
      <c r="V2528" s="5" t="s">
        <v>238</v>
      </c>
      <c r="X2528" s="6" t="s">
        <v>238</v>
      </c>
      <c r="AA2528" s="6" t="s">
        <v>243</v>
      </c>
      <c r="AB2528" s="5" t="s">
        <v>238</v>
      </c>
      <c r="AC2528" s="5" t="s">
        <v>244</v>
      </c>
      <c r="AD2528" s="5" t="s">
        <v>245</v>
      </c>
      <c r="AT2528" s="5" t="s">
        <v>246</v>
      </c>
      <c r="AU2528" s="5" t="s">
        <v>238</v>
      </c>
      <c r="AV2528" s="5" t="s">
        <v>247</v>
      </c>
      <c r="AW2528" s="5" t="s">
        <v>238</v>
      </c>
      <c r="AX2528" s="5" t="s">
        <v>249</v>
      </c>
      <c r="AY2528" s="5" t="s">
        <v>238</v>
      </c>
      <c r="BA2528" s="5" t="s">
        <v>238</v>
      </c>
      <c r="BC2528" s="5" t="s">
        <v>250</v>
      </c>
      <c r="BD2528" s="6" t="s">
        <v>243</v>
      </c>
      <c r="BE2528" s="5" t="s">
        <v>251</v>
      </c>
      <c r="BF2528" s="5" t="s">
        <v>252</v>
      </c>
      <c r="BG2528" s="5" t="s">
        <v>238</v>
      </c>
      <c r="BH2528" s="7">
        <f>0</f>
        <v>0</v>
      </c>
      <c r="BI2528" s="8">
        <f>0</f>
        <v>0</v>
      </c>
      <c r="BJ2528" s="5" t="s">
        <v>253</v>
      </c>
      <c r="BK2528" s="5" t="s">
        <v>254</v>
      </c>
      <c r="BY2528" s="5" t="s">
        <v>238</v>
      </c>
      <c r="BZ2528" s="5" t="s">
        <v>238</v>
      </c>
      <c r="CD2528" s="5" t="s">
        <v>273</v>
      </c>
      <c r="CE2528" s="5" t="s">
        <v>256</v>
      </c>
      <c r="CF2528" s="5" t="s">
        <v>238</v>
      </c>
      <c r="CI2528" s="6" t="s">
        <v>257</v>
      </c>
      <c r="CJ2528" s="5" t="s">
        <v>238</v>
      </c>
      <c r="CK2528" s="5" t="s">
        <v>258</v>
      </c>
      <c r="CL2528" s="5" t="s">
        <v>238</v>
      </c>
      <c r="CM2528" s="5" t="s">
        <v>238</v>
      </c>
      <c r="CN2528" s="5">
        <v>0</v>
      </c>
      <c r="CO2528" s="5" t="s">
        <v>259</v>
      </c>
      <c r="CP2528" s="5" t="s">
        <v>260</v>
      </c>
      <c r="CQ2528" s="5" t="s">
        <v>260</v>
      </c>
      <c r="CR2528" s="5" t="s">
        <v>261</v>
      </c>
      <c r="CU2528" s="8">
        <f>1</f>
        <v>1</v>
      </c>
      <c r="CV2528" s="8">
        <f>0</f>
        <v>0</v>
      </c>
      <c r="CX2528" s="8">
        <f>0</f>
        <v>0</v>
      </c>
      <c r="CY2528" s="8">
        <f>1</f>
        <v>1</v>
      </c>
      <c r="DA2528" s="5" t="s">
        <v>274</v>
      </c>
      <c r="DB2528" s="5" t="s">
        <v>238</v>
      </c>
      <c r="DD2528" s="5" t="s">
        <v>274</v>
      </c>
      <c r="DE2528" s="8">
        <f>743</f>
        <v>743</v>
      </c>
      <c r="DG2528" s="5" t="s">
        <v>238</v>
      </c>
      <c r="DH2528" s="5" t="s">
        <v>238</v>
      </c>
      <c r="DI2528" s="5" t="s">
        <v>238</v>
      </c>
      <c r="DJ2528" s="5" t="s">
        <v>238</v>
      </c>
      <c r="DN2528" s="5" t="s">
        <v>238</v>
      </c>
      <c r="DO2528" s="5" t="s">
        <v>238</v>
      </c>
      <c r="DP2528" s="5" t="s">
        <v>238</v>
      </c>
      <c r="DQ2528" s="5" t="s">
        <v>238</v>
      </c>
      <c r="DT2528" s="5" t="s">
        <v>275</v>
      </c>
      <c r="DU2528" s="5" t="s">
        <v>2597</v>
      </c>
      <c r="HM2528" s="5" t="s">
        <v>264</v>
      </c>
    </row>
    <row r="2529" spans="1:221" x14ac:dyDescent="0.4">
      <c r="A2529" s="5">
        <v>4233</v>
      </c>
      <c r="B2529" s="5">
        <v>1</v>
      </c>
      <c r="C2529" s="5">
        <v>1</v>
      </c>
      <c r="D2529" s="5" t="s">
        <v>269</v>
      </c>
      <c r="E2529" s="5" t="s">
        <v>271</v>
      </c>
      <c r="F2529" s="5" t="s">
        <v>248</v>
      </c>
      <c r="G2529" s="5" t="s">
        <v>266</v>
      </c>
      <c r="H2529" s="6" t="s">
        <v>4232</v>
      </c>
      <c r="I2529" s="7">
        <f>268</f>
        <v>268</v>
      </c>
      <c r="J2529" s="5" t="s">
        <v>262</v>
      </c>
      <c r="K2529" s="8">
        <f>1</f>
        <v>1</v>
      </c>
      <c r="L2529" s="6" t="s">
        <v>242</v>
      </c>
      <c r="M2529" s="5" t="s">
        <v>267</v>
      </c>
      <c r="N2529" s="5" t="s">
        <v>265</v>
      </c>
      <c r="O2529" s="5" t="s">
        <v>238</v>
      </c>
      <c r="P2529" s="5" t="s">
        <v>238</v>
      </c>
      <c r="Q2529" s="5" t="s">
        <v>268</v>
      </c>
      <c r="R2529" s="5" t="s">
        <v>270</v>
      </c>
      <c r="S2529" s="5" t="s">
        <v>238</v>
      </c>
      <c r="V2529" s="5" t="s">
        <v>238</v>
      </c>
      <c r="X2529" s="6" t="s">
        <v>238</v>
      </c>
      <c r="AA2529" s="6" t="s">
        <v>243</v>
      </c>
      <c r="AB2529" s="5" t="s">
        <v>238</v>
      </c>
      <c r="AC2529" s="5" t="s">
        <v>244</v>
      </c>
      <c r="AD2529" s="5" t="s">
        <v>245</v>
      </c>
      <c r="AT2529" s="5" t="s">
        <v>246</v>
      </c>
      <c r="AU2529" s="5" t="s">
        <v>238</v>
      </c>
      <c r="AV2529" s="5" t="s">
        <v>247</v>
      </c>
      <c r="AW2529" s="5" t="s">
        <v>238</v>
      </c>
      <c r="AX2529" s="5" t="s">
        <v>249</v>
      </c>
      <c r="AY2529" s="5" t="s">
        <v>238</v>
      </c>
      <c r="BA2529" s="5" t="s">
        <v>238</v>
      </c>
      <c r="BC2529" s="5" t="s">
        <v>250</v>
      </c>
      <c r="BD2529" s="6" t="s">
        <v>243</v>
      </c>
      <c r="BE2529" s="5" t="s">
        <v>251</v>
      </c>
      <c r="BF2529" s="5" t="s">
        <v>252</v>
      </c>
      <c r="BG2529" s="5" t="s">
        <v>238</v>
      </c>
      <c r="BH2529" s="7">
        <f>0</f>
        <v>0</v>
      </c>
      <c r="BI2529" s="8">
        <f>0</f>
        <v>0</v>
      </c>
      <c r="BJ2529" s="5" t="s">
        <v>253</v>
      </c>
      <c r="BK2529" s="5" t="s">
        <v>254</v>
      </c>
      <c r="BY2529" s="5" t="s">
        <v>238</v>
      </c>
      <c r="BZ2529" s="5" t="s">
        <v>238</v>
      </c>
      <c r="CD2529" s="5" t="s">
        <v>273</v>
      </c>
      <c r="CE2529" s="5" t="s">
        <v>256</v>
      </c>
      <c r="CF2529" s="5" t="s">
        <v>238</v>
      </c>
      <c r="CI2529" s="6" t="s">
        <v>257</v>
      </c>
      <c r="CJ2529" s="5" t="s">
        <v>238</v>
      </c>
      <c r="CK2529" s="5" t="s">
        <v>258</v>
      </c>
      <c r="CL2529" s="5" t="s">
        <v>238</v>
      </c>
      <c r="CM2529" s="5" t="s">
        <v>238</v>
      </c>
      <c r="CN2529" s="5">
        <v>0</v>
      </c>
      <c r="CO2529" s="5" t="s">
        <v>259</v>
      </c>
      <c r="CP2529" s="5" t="s">
        <v>260</v>
      </c>
      <c r="CQ2529" s="5" t="s">
        <v>260</v>
      </c>
      <c r="CR2529" s="5" t="s">
        <v>261</v>
      </c>
      <c r="CU2529" s="8">
        <f>1</f>
        <v>1</v>
      </c>
      <c r="CV2529" s="8">
        <f>0</f>
        <v>0</v>
      </c>
      <c r="CX2529" s="8">
        <f>0</f>
        <v>0</v>
      </c>
      <c r="CY2529" s="8">
        <f>1</f>
        <v>1</v>
      </c>
      <c r="DA2529" s="5" t="s">
        <v>274</v>
      </c>
      <c r="DB2529" s="5" t="s">
        <v>238</v>
      </c>
      <c r="DD2529" s="5" t="s">
        <v>274</v>
      </c>
      <c r="DE2529" s="8">
        <f>268</f>
        <v>268</v>
      </c>
      <c r="DG2529" s="5" t="s">
        <v>238</v>
      </c>
      <c r="DH2529" s="5" t="s">
        <v>238</v>
      </c>
      <c r="DI2529" s="5" t="s">
        <v>238</v>
      </c>
      <c r="DJ2529" s="5" t="s">
        <v>238</v>
      </c>
      <c r="DN2529" s="5" t="s">
        <v>238</v>
      </c>
      <c r="DO2529" s="5" t="s">
        <v>238</v>
      </c>
      <c r="DP2529" s="5" t="s">
        <v>238</v>
      </c>
      <c r="DQ2529" s="5" t="s">
        <v>238</v>
      </c>
      <c r="DT2529" s="5" t="s">
        <v>275</v>
      </c>
      <c r="DU2529" s="5" t="s">
        <v>2595</v>
      </c>
      <c r="HM2529" s="5" t="s">
        <v>264</v>
      </c>
    </row>
    <row r="2530" spans="1:221" x14ac:dyDescent="0.4">
      <c r="A2530" s="5">
        <v>4234</v>
      </c>
      <c r="B2530" s="5">
        <v>1</v>
      </c>
      <c r="C2530" s="5">
        <v>1</v>
      </c>
      <c r="D2530" s="5" t="s">
        <v>269</v>
      </c>
      <c r="E2530" s="5" t="s">
        <v>271</v>
      </c>
      <c r="F2530" s="5" t="s">
        <v>248</v>
      </c>
      <c r="G2530" s="5" t="s">
        <v>266</v>
      </c>
      <c r="H2530" s="6" t="s">
        <v>4234</v>
      </c>
      <c r="I2530" s="7">
        <f>2641</f>
        <v>2641</v>
      </c>
      <c r="J2530" s="5" t="s">
        <v>262</v>
      </c>
      <c r="K2530" s="8">
        <f>1</f>
        <v>1</v>
      </c>
      <c r="L2530" s="6" t="s">
        <v>242</v>
      </c>
      <c r="M2530" s="5" t="s">
        <v>267</v>
      </c>
      <c r="N2530" s="5" t="s">
        <v>265</v>
      </c>
      <c r="O2530" s="5" t="s">
        <v>238</v>
      </c>
      <c r="P2530" s="5" t="s">
        <v>238</v>
      </c>
      <c r="Q2530" s="5" t="s">
        <v>268</v>
      </c>
      <c r="R2530" s="5" t="s">
        <v>270</v>
      </c>
      <c r="S2530" s="5" t="s">
        <v>238</v>
      </c>
      <c r="V2530" s="5" t="s">
        <v>238</v>
      </c>
      <c r="X2530" s="6" t="s">
        <v>238</v>
      </c>
      <c r="AA2530" s="6" t="s">
        <v>243</v>
      </c>
      <c r="AB2530" s="5" t="s">
        <v>238</v>
      </c>
      <c r="AC2530" s="5" t="s">
        <v>244</v>
      </c>
      <c r="AD2530" s="5" t="s">
        <v>245</v>
      </c>
      <c r="AT2530" s="5" t="s">
        <v>246</v>
      </c>
      <c r="AU2530" s="5" t="s">
        <v>238</v>
      </c>
      <c r="AV2530" s="5" t="s">
        <v>247</v>
      </c>
      <c r="AW2530" s="5" t="s">
        <v>238</v>
      </c>
      <c r="AX2530" s="5" t="s">
        <v>249</v>
      </c>
      <c r="AY2530" s="5" t="s">
        <v>238</v>
      </c>
      <c r="BA2530" s="5" t="s">
        <v>238</v>
      </c>
      <c r="BC2530" s="5" t="s">
        <v>250</v>
      </c>
      <c r="BD2530" s="6" t="s">
        <v>243</v>
      </c>
      <c r="BE2530" s="5" t="s">
        <v>251</v>
      </c>
      <c r="BF2530" s="5" t="s">
        <v>252</v>
      </c>
      <c r="BG2530" s="5" t="s">
        <v>238</v>
      </c>
      <c r="BH2530" s="7">
        <f>0</f>
        <v>0</v>
      </c>
      <c r="BI2530" s="8">
        <f>0</f>
        <v>0</v>
      </c>
      <c r="BJ2530" s="5" t="s">
        <v>253</v>
      </c>
      <c r="BK2530" s="5" t="s">
        <v>254</v>
      </c>
      <c r="BY2530" s="5" t="s">
        <v>238</v>
      </c>
      <c r="BZ2530" s="5" t="s">
        <v>238</v>
      </c>
      <c r="CD2530" s="5" t="s">
        <v>273</v>
      </c>
      <c r="CE2530" s="5" t="s">
        <v>256</v>
      </c>
      <c r="CF2530" s="5" t="s">
        <v>238</v>
      </c>
      <c r="CI2530" s="6" t="s">
        <v>257</v>
      </c>
      <c r="CJ2530" s="5" t="s">
        <v>238</v>
      </c>
      <c r="CK2530" s="5" t="s">
        <v>258</v>
      </c>
      <c r="CL2530" s="5" t="s">
        <v>238</v>
      </c>
      <c r="CM2530" s="5" t="s">
        <v>238</v>
      </c>
      <c r="CN2530" s="5">
        <v>0</v>
      </c>
      <c r="CO2530" s="5" t="s">
        <v>259</v>
      </c>
      <c r="CP2530" s="5" t="s">
        <v>260</v>
      </c>
      <c r="CQ2530" s="5" t="s">
        <v>260</v>
      </c>
      <c r="CR2530" s="5" t="s">
        <v>261</v>
      </c>
      <c r="CU2530" s="8">
        <f>1</f>
        <v>1</v>
      </c>
      <c r="CV2530" s="8">
        <f>0</f>
        <v>0</v>
      </c>
      <c r="CX2530" s="8">
        <f>0</f>
        <v>0</v>
      </c>
      <c r="CY2530" s="8">
        <f>1</f>
        <v>1</v>
      </c>
      <c r="DA2530" s="5" t="s">
        <v>274</v>
      </c>
      <c r="DB2530" s="5" t="s">
        <v>238</v>
      </c>
      <c r="DD2530" s="5" t="s">
        <v>274</v>
      </c>
      <c r="DE2530" s="8">
        <f>2641</f>
        <v>2641</v>
      </c>
      <c r="DG2530" s="5" t="s">
        <v>238</v>
      </c>
      <c r="DH2530" s="5" t="s">
        <v>238</v>
      </c>
      <c r="DI2530" s="5" t="s">
        <v>238</v>
      </c>
      <c r="DJ2530" s="5" t="s">
        <v>238</v>
      </c>
      <c r="DN2530" s="5" t="s">
        <v>238</v>
      </c>
      <c r="DO2530" s="5" t="s">
        <v>238</v>
      </c>
      <c r="DP2530" s="5" t="s">
        <v>238</v>
      </c>
      <c r="DQ2530" s="5" t="s">
        <v>238</v>
      </c>
      <c r="DT2530" s="5" t="s">
        <v>275</v>
      </c>
      <c r="DU2530" s="5" t="s">
        <v>2593</v>
      </c>
      <c r="HM2530" s="5" t="s">
        <v>264</v>
      </c>
    </row>
    <row r="2531" spans="1:221" x14ac:dyDescent="0.4">
      <c r="A2531" s="5">
        <v>4235</v>
      </c>
      <c r="B2531" s="5">
        <v>1</v>
      </c>
      <c r="C2531" s="5">
        <v>1</v>
      </c>
      <c r="D2531" s="5" t="s">
        <v>269</v>
      </c>
      <c r="E2531" s="5" t="s">
        <v>271</v>
      </c>
      <c r="F2531" s="5" t="s">
        <v>248</v>
      </c>
      <c r="G2531" s="5" t="s">
        <v>266</v>
      </c>
      <c r="H2531" s="6" t="s">
        <v>4238</v>
      </c>
      <c r="I2531" s="7">
        <f>2271</f>
        <v>2271</v>
      </c>
      <c r="J2531" s="5" t="s">
        <v>262</v>
      </c>
      <c r="K2531" s="8">
        <f>1</f>
        <v>1</v>
      </c>
      <c r="L2531" s="6" t="s">
        <v>242</v>
      </c>
      <c r="M2531" s="5" t="s">
        <v>267</v>
      </c>
      <c r="N2531" s="5" t="s">
        <v>265</v>
      </c>
      <c r="O2531" s="5" t="s">
        <v>238</v>
      </c>
      <c r="P2531" s="5" t="s">
        <v>238</v>
      </c>
      <c r="Q2531" s="5" t="s">
        <v>268</v>
      </c>
      <c r="R2531" s="5" t="s">
        <v>270</v>
      </c>
      <c r="S2531" s="5" t="s">
        <v>238</v>
      </c>
      <c r="V2531" s="5" t="s">
        <v>238</v>
      </c>
      <c r="X2531" s="6" t="s">
        <v>238</v>
      </c>
      <c r="AA2531" s="6" t="s">
        <v>243</v>
      </c>
      <c r="AB2531" s="5" t="s">
        <v>238</v>
      </c>
      <c r="AC2531" s="5" t="s">
        <v>244</v>
      </c>
      <c r="AD2531" s="5" t="s">
        <v>245</v>
      </c>
      <c r="AT2531" s="5" t="s">
        <v>246</v>
      </c>
      <c r="AU2531" s="5" t="s">
        <v>238</v>
      </c>
      <c r="AV2531" s="5" t="s">
        <v>247</v>
      </c>
      <c r="AW2531" s="5" t="s">
        <v>238</v>
      </c>
      <c r="AX2531" s="5" t="s">
        <v>249</v>
      </c>
      <c r="AY2531" s="5" t="s">
        <v>238</v>
      </c>
      <c r="BA2531" s="5" t="s">
        <v>238</v>
      </c>
      <c r="BC2531" s="5" t="s">
        <v>250</v>
      </c>
      <c r="BD2531" s="6" t="s">
        <v>243</v>
      </c>
      <c r="BE2531" s="5" t="s">
        <v>251</v>
      </c>
      <c r="BF2531" s="5" t="s">
        <v>252</v>
      </c>
      <c r="BG2531" s="5" t="s">
        <v>238</v>
      </c>
      <c r="BH2531" s="7">
        <f>0</f>
        <v>0</v>
      </c>
      <c r="BI2531" s="8">
        <f>0</f>
        <v>0</v>
      </c>
      <c r="BJ2531" s="5" t="s">
        <v>253</v>
      </c>
      <c r="BK2531" s="5" t="s">
        <v>254</v>
      </c>
      <c r="BY2531" s="5" t="s">
        <v>238</v>
      </c>
      <c r="BZ2531" s="5" t="s">
        <v>238</v>
      </c>
      <c r="CD2531" s="5" t="s">
        <v>273</v>
      </c>
      <c r="CE2531" s="5" t="s">
        <v>256</v>
      </c>
      <c r="CF2531" s="5" t="s">
        <v>238</v>
      </c>
      <c r="CI2531" s="6" t="s">
        <v>257</v>
      </c>
      <c r="CJ2531" s="5" t="s">
        <v>238</v>
      </c>
      <c r="CK2531" s="5" t="s">
        <v>258</v>
      </c>
      <c r="CL2531" s="5" t="s">
        <v>238</v>
      </c>
      <c r="CM2531" s="5" t="s">
        <v>238</v>
      </c>
      <c r="CN2531" s="5">
        <v>0</v>
      </c>
      <c r="CO2531" s="5" t="s">
        <v>259</v>
      </c>
      <c r="CP2531" s="5" t="s">
        <v>260</v>
      </c>
      <c r="CQ2531" s="5" t="s">
        <v>260</v>
      </c>
      <c r="CR2531" s="5" t="s">
        <v>261</v>
      </c>
      <c r="CU2531" s="8">
        <f>1</f>
        <v>1</v>
      </c>
      <c r="CV2531" s="8">
        <f>0</f>
        <v>0</v>
      </c>
      <c r="CX2531" s="8">
        <f>0</f>
        <v>0</v>
      </c>
      <c r="CY2531" s="8">
        <f>1</f>
        <v>1</v>
      </c>
      <c r="DA2531" s="5" t="s">
        <v>274</v>
      </c>
      <c r="DB2531" s="5" t="s">
        <v>238</v>
      </c>
      <c r="DD2531" s="5" t="s">
        <v>274</v>
      </c>
      <c r="DE2531" s="8">
        <f>2271</f>
        <v>2271</v>
      </c>
      <c r="DG2531" s="5" t="s">
        <v>238</v>
      </c>
      <c r="DH2531" s="5" t="s">
        <v>238</v>
      </c>
      <c r="DI2531" s="5" t="s">
        <v>238</v>
      </c>
      <c r="DJ2531" s="5" t="s">
        <v>238</v>
      </c>
      <c r="DN2531" s="5" t="s">
        <v>238</v>
      </c>
      <c r="DO2531" s="5" t="s">
        <v>238</v>
      </c>
      <c r="DP2531" s="5" t="s">
        <v>238</v>
      </c>
      <c r="DQ2531" s="5" t="s">
        <v>238</v>
      </c>
      <c r="DT2531" s="5" t="s">
        <v>275</v>
      </c>
      <c r="DU2531" s="5" t="s">
        <v>2586</v>
      </c>
      <c r="HM2531" s="5" t="s">
        <v>264</v>
      </c>
    </row>
    <row r="2532" spans="1:221" x14ac:dyDescent="0.4">
      <c r="A2532" s="5">
        <v>4236</v>
      </c>
      <c r="B2532" s="5">
        <v>1</v>
      </c>
      <c r="C2532" s="5">
        <v>1</v>
      </c>
      <c r="D2532" s="5" t="s">
        <v>269</v>
      </c>
      <c r="E2532" s="5" t="s">
        <v>271</v>
      </c>
      <c r="F2532" s="5" t="s">
        <v>248</v>
      </c>
      <c r="G2532" s="5" t="s">
        <v>266</v>
      </c>
      <c r="H2532" s="6" t="s">
        <v>4240</v>
      </c>
      <c r="I2532" s="7">
        <f>188</f>
        <v>188</v>
      </c>
      <c r="J2532" s="5" t="s">
        <v>262</v>
      </c>
      <c r="K2532" s="8">
        <f>1</f>
        <v>1</v>
      </c>
      <c r="L2532" s="6" t="s">
        <v>242</v>
      </c>
      <c r="M2532" s="5" t="s">
        <v>267</v>
      </c>
      <c r="N2532" s="5" t="s">
        <v>265</v>
      </c>
      <c r="O2532" s="5" t="s">
        <v>238</v>
      </c>
      <c r="P2532" s="5" t="s">
        <v>238</v>
      </c>
      <c r="Q2532" s="5" t="s">
        <v>268</v>
      </c>
      <c r="R2532" s="5" t="s">
        <v>270</v>
      </c>
      <c r="S2532" s="5" t="s">
        <v>238</v>
      </c>
      <c r="V2532" s="5" t="s">
        <v>238</v>
      </c>
      <c r="X2532" s="6" t="s">
        <v>238</v>
      </c>
      <c r="AA2532" s="6" t="s">
        <v>243</v>
      </c>
      <c r="AB2532" s="5" t="s">
        <v>238</v>
      </c>
      <c r="AC2532" s="5" t="s">
        <v>244</v>
      </c>
      <c r="AD2532" s="5" t="s">
        <v>245</v>
      </c>
      <c r="AT2532" s="5" t="s">
        <v>246</v>
      </c>
      <c r="AU2532" s="5" t="s">
        <v>238</v>
      </c>
      <c r="AV2532" s="5" t="s">
        <v>247</v>
      </c>
      <c r="AW2532" s="5" t="s">
        <v>238</v>
      </c>
      <c r="AX2532" s="5" t="s">
        <v>249</v>
      </c>
      <c r="AY2532" s="5" t="s">
        <v>238</v>
      </c>
      <c r="BA2532" s="5" t="s">
        <v>238</v>
      </c>
      <c r="BC2532" s="5" t="s">
        <v>250</v>
      </c>
      <c r="BD2532" s="6" t="s">
        <v>243</v>
      </c>
      <c r="BE2532" s="5" t="s">
        <v>251</v>
      </c>
      <c r="BF2532" s="5" t="s">
        <v>252</v>
      </c>
      <c r="BG2532" s="5" t="s">
        <v>238</v>
      </c>
      <c r="BH2532" s="7">
        <f>0</f>
        <v>0</v>
      </c>
      <c r="BI2532" s="8">
        <f>0</f>
        <v>0</v>
      </c>
      <c r="BJ2532" s="5" t="s">
        <v>253</v>
      </c>
      <c r="BK2532" s="5" t="s">
        <v>254</v>
      </c>
      <c r="BY2532" s="5" t="s">
        <v>238</v>
      </c>
      <c r="BZ2532" s="5" t="s">
        <v>238</v>
      </c>
      <c r="CD2532" s="5" t="s">
        <v>273</v>
      </c>
      <c r="CE2532" s="5" t="s">
        <v>256</v>
      </c>
      <c r="CF2532" s="5" t="s">
        <v>238</v>
      </c>
      <c r="CI2532" s="6" t="s">
        <v>257</v>
      </c>
      <c r="CJ2532" s="5" t="s">
        <v>238</v>
      </c>
      <c r="CK2532" s="5" t="s">
        <v>258</v>
      </c>
      <c r="CL2532" s="5" t="s">
        <v>238</v>
      </c>
      <c r="CM2532" s="5" t="s">
        <v>238</v>
      </c>
      <c r="CN2532" s="5">
        <v>0</v>
      </c>
      <c r="CO2532" s="5" t="s">
        <v>259</v>
      </c>
      <c r="CP2532" s="5" t="s">
        <v>260</v>
      </c>
      <c r="CQ2532" s="5" t="s">
        <v>260</v>
      </c>
      <c r="CR2532" s="5" t="s">
        <v>261</v>
      </c>
      <c r="CU2532" s="8">
        <f>1</f>
        <v>1</v>
      </c>
      <c r="CV2532" s="8">
        <f>0</f>
        <v>0</v>
      </c>
      <c r="CX2532" s="8">
        <f>0</f>
        <v>0</v>
      </c>
      <c r="CY2532" s="8">
        <f>1</f>
        <v>1</v>
      </c>
      <c r="DA2532" s="5" t="s">
        <v>274</v>
      </c>
      <c r="DB2532" s="5" t="s">
        <v>238</v>
      </c>
      <c r="DD2532" s="5" t="s">
        <v>274</v>
      </c>
      <c r="DE2532" s="8">
        <f>188</f>
        <v>188</v>
      </c>
      <c r="DG2532" s="5" t="s">
        <v>238</v>
      </c>
      <c r="DH2532" s="5" t="s">
        <v>238</v>
      </c>
      <c r="DI2532" s="5" t="s">
        <v>238</v>
      </c>
      <c r="DJ2532" s="5" t="s">
        <v>238</v>
      </c>
      <c r="DN2532" s="5" t="s">
        <v>238</v>
      </c>
      <c r="DO2532" s="5" t="s">
        <v>238</v>
      </c>
      <c r="DP2532" s="5" t="s">
        <v>238</v>
      </c>
      <c r="DQ2532" s="5" t="s">
        <v>238</v>
      </c>
      <c r="DT2532" s="5" t="s">
        <v>275</v>
      </c>
      <c r="DU2532" s="5" t="s">
        <v>2583</v>
      </c>
      <c r="HM2532" s="5" t="s">
        <v>264</v>
      </c>
    </row>
    <row r="2533" spans="1:221" x14ac:dyDescent="0.4">
      <c r="A2533" s="5">
        <v>4237</v>
      </c>
      <c r="B2533" s="5">
        <v>1</v>
      </c>
      <c r="C2533" s="5">
        <v>1</v>
      </c>
      <c r="D2533" s="5" t="s">
        <v>269</v>
      </c>
      <c r="E2533" s="5" t="s">
        <v>271</v>
      </c>
      <c r="F2533" s="5" t="s">
        <v>248</v>
      </c>
      <c r="G2533" s="5" t="s">
        <v>266</v>
      </c>
      <c r="H2533" s="6" t="s">
        <v>4246</v>
      </c>
      <c r="I2533" s="7">
        <f>78</f>
        <v>78</v>
      </c>
      <c r="J2533" s="5" t="s">
        <v>262</v>
      </c>
      <c r="K2533" s="8">
        <f>1</f>
        <v>1</v>
      </c>
      <c r="L2533" s="6" t="s">
        <v>242</v>
      </c>
      <c r="M2533" s="5" t="s">
        <v>267</v>
      </c>
      <c r="N2533" s="5" t="s">
        <v>265</v>
      </c>
      <c r="O2533" s="5" t="s">
        <v>238</v>
      </c>
      <c r="P2533" s="5" t="s">
        <v>238</v>
      </c>
      <c r="Q2533" s="5" t="s">
        <v>268</v>
      </c>
      <c r="R2533" s="5" t="s">
        <v>270</v>
      </c>
      <c r="S2533" s="5" t="s">
        <v>238</v>
      </c>
      <c r="V2533" s="5" t="s">
        <v>238</v>
      </c>
      <c r="X2533" s="6" t="s">
        <v>238</v>
      </c>
      <c r="AA2533" s="6" t="s">
        <v>243</v>
      </c>
      <c r="AB2533" s="5" t="s">
        <v>238</v>
      </c>
      <c r="AC2533" s="5" t="s">
        <v>244</v>
      </c>
      <c r="AD2533" s="5" t="s">
        <v>245</v>
      </c>
      <c r="AT2533" s="5" t="s">
        <v>246</v>
      </c>
      <c r="AU2533" s="5" t="s">
        <v>238</v>
      </c>
      <c r="AV2533" s="5" t="s">
        <v>247</v>
      </c>
      <c r="AW2533" s="5" t="s">
        <v>238</v>
      </c>
      <c r="AX2533" s="5" t="s">
        <v>249</v>
      </c>
      <c r="AY2533" s="5" t="s">
        <v>238</v>
      </c>
      <c r="BA2533" s="5" t="s">
        <v>238</v>
      </c>
      <c r="BC2533" s="5" t="s">
        <v>250</v>
      </c>
      <c r="BD2533" s="6" t="s">
        <v>243</v>
      </c>
      <c r="BE2533" s="5" t="s">
        <v>251</v>
      </c>
      <c r="BF2533" s="5" t="s">
        <v>252</v>
      </c>
      <c r="BG2533" s="5" t="s">
        <v>238</v>
      </c>
      <c r="BH2533" s="7">
        <f>0</f>
        <v>0</v>
      </c>
      <c r="BI2533" s="8">
        <f>0</f>
        <v>0</v>
      </c>
      <c r="BJ2533" s="5" t="s">
        <v>253</v>
      </c>
      <c r="BK2533" s="5" t="s">
        <v>254</v>
      </c>
      <c r="BY2533" s="5" t="s">
        <v>238</v>
      </c>
      <c r="BZ2533" s="5" t="s">
        <v>238</v>
      </c>
      <c r="CD2533" s="5" t="s">
        <v>273</v>
      </c>
      <c r="CE2533" s="5" t="s">
        <v>256</v>
      </c>
      <c r="CF2533" s="5" t="s">
        <v>238</v>
      </c>
      <c r="CI2533" s="6" t="s">
        <v>257</v>
      </c>
      <c r="CJ2533" s="5" t="s">
        <v>238</v>
      </c>
      <c r="CK2533" s="5" t="s">
        <v>258</v>
      </c>
      <c r="CL2533" s="5" t="s">
        <v>238</v>
      </c>
      <c r="CM2533" s="5" t="s">
        <v>238</v>
      </c>
      <c r="CN2533" s="5">
        <v>0</v>
      </c>
      <c r="CO2533" s="5" t="s">
        <v>259</v>
      </c>
      <c r="CP2533" s="5" t="s">
        <v>260</v>
      </c>
      <c r="CQ2533" s="5" t="s">
        <v>260</v>
      </c>
      <c r="CR2533" s="5" t="s">
        <v>261</v>
      </c>
      <c r="CU2533" s="8">
        <f>1</f>
        <v>1</v>
      </c>
      <c r="CV2533" s="8">
        <f>0</f>
        <v>0</v>
      </c>
      <c r="CX2533" s="8">
        <f>0</f>
        <v>0</v>
      </c>
      <c r="CY2533" s="8">
        <f>1</f>
        <v>1</v>
      </c>
      <c r="DA2533" s="5" t="s">
        <v>274</v>
      </c>
      <c r="DB2533" s="5" t="s">
        <v>238</v>
      </c>
      <c r="DD2533" s="5" t="s">
        <v>274</v>
      </c>
      <c r="DE2533" s="8">
        <f>78</f>
        <v>78</v>
      </c>
      <c r="DG2533" s="5" t="s">
        <v>238</v>
      </c>
      <c r="DH2533" s="5" t="s">
        <v>238</v>
      </c>
      <c r="DI2533" s="5" t="s">
        <v>238</v>
      </c>
      <c r="DJ2533" s="5" t="s">
        <v>238</v>
      </c>
      <c r="DN2533" s="5" t="s">
        <v>238</v>
      </c>
      <c r="DO2533" s="5" t="s">
        <v>238</v>
      </c>
      <c r="DP2533" s="5" t="s">
        <v>238</v>
      </c>
      <c r="DQ2533" s="5" t="s">
        <v>238</v>
      </c>
      <c r="DT2533" s="5" t="s">
        <v>275</v>
      </c>
      <c r="DU2533" s="5" t="s">
        <v>2581</v>
      </c>
      <c r="HM2533" s="5" t="s">
        <v>264</v>
      </c>
    </row>
    <row r="2534" spans="1:221" x14ac:dyDescent="0.4">
      <c r="A2534" s="5">
        <v>4238</v>
      </c>
      <c r="B2534" s="5">
        <v>1</v>
      </c>
      <c r="C2534" s="5">
        <v>1</v>
      </c>
      <c r="D2534" s="5" t="s">
        <v>269</v>
      </c>
      <c r="E2534" s="5" t="s">
        <v>271</v>
      </c>
      <c r="F2534" s="5" t="s">
        <v>248</v>
      </c>
      <c r="G2534" s="5" t="s">
        <v>266</v>
      </c>
      <c r="H2534" s="6" t="s">
        <v>4248</v>
      </c>
      <c r="I2534" s="7">
        <f>581</f>
        <v>581</v>
      </c>
      <c r="J2534" s="5" t="s">
        <v>262</v>
      </c>
      <c r="K2534" s="8">
        <f>1</f>
        <v>1</v>
      </c>
      <c r="L2534" s="6" t="s">
        <v>242</v>
      </c>
      <c r="M2534" s="5" t="s">
        <v>267</v>
      </c>
      <c r="N2534" s="5" t="s">
        <v>265</v>
      </c>
      <c r="O2534" s="5" t="s">
        <v>238</v>
      </c>
      <c r="P2534" s="5" t="s">
        <v>238</v>
      </c>
      <c r="Q2534" s="5" t="s">
        <v>268</v>
      </c>
      <c r="R2534" s="5" t="s">
        <v>270</v>
      </c>
      <c r="S2534" s="5" t="s">
        <v>238</v>
      </c>
      <c r="V2534" s="5" t="s">
        <v>238</v>
      </c>
      <c r="X2534" s="6" t="s">
        <v>238</v>
      </c>
      <c r="AA2534" s="6" t="s">
        <v>243</v>
      </c>
      <c r="AB2534" s="5" t="s">
        <v>238</v>
      </c>
      <c r="AC2534" s="5" t="s">
        <v>244</v>
      </c>
      <c r="AD2534" s="5" t="s">
        <v>245</v>
      </c>
      <c r="AT2534" s="5" t="s">
        <v>246</v>
      </c>
      <c r="AU2534" s="5" t="s">
        <v>238</v>
      </c>
      <c r="AV2534" s="5" t="s">
        <v>247</v>
      </c>
      <c r="AW2534" s="5" t="s">
        <v>238</v>
      </c>
      <c r="AX2534" s="5" t="s">
        <v>249</v>
      </c>
      <c r="AY2534" s="5" t="s">
        <v>238</v>
      </c>
      <c r="BA2534" s="5" t="s">
        <v>238</v>
      </c>
      <c r="BC2534" s="5" t="s">
        <v>250</v>
      </c>
      <c r="BD2534" s="6" t="s">
        <v>243</v>
      </c>
      <c r="BE2534" s="5" t="s">
        <v>251</v>
      </c>
      <c r="BF2534" s="5" t="s">
        <v>252</v>
      </c>
      <c r="BG2534" s="5" t="s">
        <v>238</v>
      </c>
      <c r="BH2534" s="7">
        <f>0</f>
        <v>0</v>
      </c>
      <c r="BI2534" s="8">
        <f>0</f>
        <v>0</v>
      </c>
      <c r="BJ2534" s="5" t="s">
        <v>253</v>
      </c>
      <c r="BK2534" s="5" t="s">
        <v>254</v>
      </c>
      <c r="BY2534" s="5" t="s">
        <v>238</v>
      </c>
      <c r="BZ2534" s="5" t="s">
        <v>238</v>
      </c>
      <c r="CD2534" s="5" t="s">
        <v>273</v>
      </c>
      <c r="CE2534" s="5" t="s">
        <v>256</v>
      </c>
      <c r="CF2534" s="5" t="s">
        <v>238</v>
      </c>
      <c r="CI2534" s="6" t="s">
        <v>257</v>
      </c>
      <c r="CJ2534" s="5" t="s">
        <v>238</v>
      </c>
      <c r="CK2534" s="5" t="s">
        <v>258</v>
      </c>
      <c r="CL2534" s="5" t="s">
        <v>238</v>
      </c>
      <c r="CM2534" s="5" t="s">
        <v>238</v>
      </c>
      <c r="CN2534" s="5">
        <v>0</v>
      </c>
      <c r="CO2534" s="5" t="s">
        <v>259</v>
      </c>
      <c r="CP2534" s="5" t="s">
        <v>260</v>
      </c>
      <c r="CQ2534" s="5" t="s">
        <v>260</v>
      </c>
      <c r="CR2534" s="5" t="s">
        <v>261</v>
      </c>
      <c r="CU2534" s="8">
        <f>1</f>
        <v>1</v>
      </c>
      <c r="CV2534" s="8">
        <f>0</f>
        <v>0</v>
      </c>
      <c r="CX2534" s="8">
        <f>0</f>
        <v>0</v>
      </c>
      <c r="CY2534" s="8">
        <f>1</f>
        <v>1</v>
      </c>
      <c r="DA2534" s="5" t="s">
        <v>274</v>
      </c>
      <c r="DB2534" s="5" t="s">
        <v>238</v>
      </c>
      <c r="DD2534" s="5" t="s">
        <v>274</v>
      </c>
      <c r="DE2534" s="8">
        <f>581</f>
        <v>581</v>
      </c>
      <c r="DG2534" s="5" t="s">
        <v>238</v>
      </c>
      <c r="DH2534" s="5" t="s">
        <v>238</v>
      </c>
      <c r="DI2534" s="5" t="s">
        <v>238</v>
      </c>
      <c r="DJ2534" s="5" t="s">
        <v>238</v>
      </c>
      <c r="DN2534" s="5" t="s">
        <v>238</v>
      </c>
      <c r="DO2534" s="5" t="s">
        <v>238</v>
      </c>
      <c r="DP2534" s="5" t="s">
        <v>238</v>
      </c>
      <c r="DQ2534" s="5" t="s">
        <v>238</v>
      </c>
      <c r="DT2534" s="5" t="s">
        <v>275</v>
      </c>
      <c r="DU2534" s="5" t="s">
        <v>2579</v>
      </c>
      <c r="HM2534" s="5" t="s">
        <v>264</v>
      </c>
    </row>
    <row r="2535" spans="1:221" x14ac:dyDescent="0.4">
      <c r="A2535" s="5">
        <v>4239</v>
      </c>
      <c r="B2535" s="5">
        <v>1</v>
      </c>
      <c r="C2535" s="5">
        <v>1</v>
      </c>
      <c r="D2535" s="5" t="s">
        <v>269</v>
      </c>
      <c r="E2535" s="5" t="s">
        <v>271</v>
      </c>
      <c r="F2535" s="5" t="s">
        <v>248</v>
      </c>
      <c r="G2535" s="5" t="s">
        <v>266</v>
      </c>
      <c r="H2535" s="6" t="s">
        <v>4250</v>
      </c>
      <c r="I2535" s="7">
        <f>340</f>
        <v>340</v>
      </c>
      <c r="J2535" s="5" t="s">
        <v>262</v>
      </c>
      <c r="K2535" s="8">
        <f>1</f>
        <v>1</v>
      </c>
      <c r="L2535" s="6" t="s">
        <v>242</v>
      </c>
      <c r="M2535" s="5" t="s">
        <v>267</v>
      </c>
      <c r="N2535" s="5" t="s">
        <v>265</v>
      </c>
      <c r="O2535" s="5" t="s">
        <v>238</v>
      </c>
      <c r="P2535" s="5" t="s">
        <v>238</v>
      </c>
      <c r="Q2535" s="5" t="s">
        <v>268</v>
      </c>
      <c r="R2535" s="5" t="s">
        <v>270</v>
      </c>
      <c r="S2535" s="5" t="s">
        <v>238</v>
      </c>
      <c r="V2535" s="5" t="s">
        <v>238</v>
      </c>
      <c r="X2535" s="6" t="s">
        <v>238</v>
      </c>
      <c r="AA2535" s="6" t="s">
        <v>243</v>
      </c>
      <c r="AB2535" s="5" t="s">
        <v>238</v>
      </c>
      <c r="AC2535" s="5" t="s">
        <v>244</v>
      </c>
      <c r="AD2535" s="5" t="s">
        <v>245</v>
      </c>
      <c r="AT2535" s="5" t="s">
        <v>246</v>
      </c>
      <c r="AU2535" s="5" t="s">
        <v>238</v>
      </c>
      <c r="AV2535" s="5" t="s">
        <v>247</v>
      </c>
      <c r="AW2535" s="5" t="s">
        <v>238</v>
      </c>
      <c r="AX2535" s="5" t="s">
        <v>249</v>
      </c>
      <c r="AY2535" s="5" t="s">
        <v>238</v>
      </c>
      <c r="BA2535" s="5" t="s">
        <v>238</v>
      </c>
      <c r="BC2535" s="5" t="s">
        <v>250</v>
      </c>
      <c r="BD2535" s="6" t="s">
        <v>243</v>
      </c>
      <c r="BE2535" s="5" t="s">
        <v>251</v>
      </c>
      <c r="BF2535" s="5" t="s">
        <v>252</v>
      </c>
      <c r="BG2535" s="5" t="s">
        <v>238</v>
      </c>
      <c r="BH2535" s="7">
        <f>0</f>
        <v>0</v>
      </c>
      <c r="BI2535" s="8">
        <f>0</f>
        <v>0</v>
      </c>
      <c r="BJ2535" s="5" t="s">
        <v>253</v>
      </c>
      <c r="BK2535" s="5" t="s">
        <v>254</v>
      </c>
      <c r="BY2535" s="5" t="s">
        <v>238</v>
      </c>
      <c r="BZ2535" s="5" t="s">
        <v>238</v>
      </c>
      <c r="CD2535" s="5" t="s">
        <v>273</v>
      </c>
      <c r="CE2535" s="5" t="s">
        <v>256</v>
      </c>
      <c r="CF2535" s="5" t="s">
        <v>238</v>
      </c>
      <c r="CI2535" s="6" t="s">
        <v>257</v>
      </c>
      <c r="CJ2535" s="5" t="s">
        <v>238</v>
      </c>
      <c r="CK2535" s="5" t="s">
        <v>258</v>
      </c>
      <c r="CL2535" s="5" t="s">
        <v>238</v>
      </c>
      <c r="CM2535" s="5" t="s">
        <v>238</v>
      </c>
      <c r="CN2535" s="5">
        <v>0</v>
      </c>
      <c r="CO2535" s="5" t="s">
        <v>259</v>
      </c>
      <c r="CP2535" s="5" t="s">
        <v>260</v>
      </c>
      <c r="CQ2535" s="5" t="s">
        <v>260</v>
      </c>
      <c r="CR2535" s="5" t="s">
        <v>261</v>
      </c>
      <c r="CU2535" s="8">
        <f>1</f>
        <v>1</v>
      </c>
      <c r="CV2535" s="8">
        <f>0</f>
        <v>0</v>
      </c>
      <c r="CX2535" s="8">
        <f>0</f>
        <v>0</v>
      </c>
      <c r="CY2535" s="8">
        <f>1</f>
        <v>1</v>
      </c>
      <c r="DA2535" s="5" t="s">
        <v>274</v>
      </c>
      <c r="DB2535" s="5" t="s">
        <v>238</v>
      </c>
      <c r="DD2535" s="5" t="s">
        <v>274</v>
      </c>
      <c r="DE2535" s="8">
        <f>340</f>
        <v>340</v>
      </c>
      <c r="DG2535" s="5" t="s">
        <v>238</v>
      </c>
      <c r="DH2535" s="5" t="s">
        <v>238</v>
      </c>
      <c r="DI2535" s="5" t="s">
        <v>238</v>
      </c>
      <c r="DJ2535" s="5" t="s">
        <v>238</v>
      </c>
      <c r="DN2535" s="5" t="s">
        <v>238</v>
      </c>
      <c r="DO2535" s="5" t="s">
        <v>238</v>
      </c>
      <c r="DP2535" s="5" t="s">
        <v>238</v>
      </c>
      <c r="DQ2535" s="5" t="s">
        <v>238</v>
      </c>
      <c r="DT2535" s="5" t="s">
        <v>275</v>
      </c>
      <c r="DU2535" s="5" t="s">
        <v>2577</v>
      </c>
      <c r="HM2535" s="5" t="s">
        <v>264</v>
      </c>
    </row>
    <row r="2536" spans="1:221" x14ac:dyDescent="0.4">
      <c r="A2536" s="5">
        <v>4240</v>
      </c>
      <c r="B2536" s="5">
        <v>1</v>
      </c>
      <c r="C2536" s="5">
        <v>1</v>
      </c>
      <c r="D2536" s="5" t="s">
        <v>269</v>
      </c>
      <c r="E2536" s="5" t="s">
        <v>271</v>
      </c>
      <c r="F2536" s="5" t="s">
        <v>248</v>
      </c>
      <c r="G2536" s="5" t="s">
        <v>266</v>
      </c>
      <c r="H2536" s="6" t="s">
        <v>4251</v>
      </c>
      <c r="I2536" s="7">
        <f>682</f>
        <v>682</v>
      </c>
      <c r="J2536" s="5" t="s">
        <v>262</v>
      </c>
      <c r="K2536" s="8">
        <f>1</f>
        <v>1</v>
      </c>
      <c r="L2536" s="6" t="s">
        <v>242</v>
      </c>
      <c r="M2536" s="5" t="s">
        <v>267</v>
      </c>
      <c r="N2536" s="5" t="s">
        <v>265</v>
      </c>
      <c r="O2536" s="5" t="s">
        <v>238</v>
      </c>
      <c r="P2536" s="5" t="s">
        <v>238</v>
      </c>
      <c r="Q2536" s="5" t="s">
        <v>268</v>
      </c>
      <c r="R2536" s="5" t="s">
        <v>270</v>
      </c>
      <c r="S2536" s="5" t="s">
        <v>238</v>
      </c>
      <c r="V2536" s="5" t="s">
        <v>238</v>
      </c>
      <c r="X2536" s="6" t="s">
        <v>238</v>
      </c>
      <c r="AA2536" s="6" t="s">
        <v>243</v>
      </c>
      <c r="AB2536" s="5" t="s">
        <v>238</v>
      </c>
      <c r="AC2536" s="5" t="s">
        <v>244</v>
      </c>
      <c r="AD2536" s="5" t="s">
        <v>245</v>
      </c>
      <c r="AT2536" s="5" t="s">
        <v>246</v>
      </c>
      <c r="AU2536" s="5" t="s">
        <v>238</v>
      </c>
      <c r="AV2536" s="5" t="s">
        <v>247</v>
      </c>
      <c r="AW2536" s="5" t="s">
        <v>238</v>
      </c>
      <c r="AX2536" s="5" t="s">
        <v>249</v>
      </c>
      <c r="AY2536" s="5" t="s">
        <v>238</v>
      </c>
      <c r="BA2536" s="5" t="s">
        <v>238</v>
      </c>
      <c r="BC2536" s="5" t="s">
        <v>250</v>
      </c>
      <c r="BD2536" s="6" t="s">
        <v>243</v>
      </c>
      <c r="BE2536" s="5" t="s">
        <v>251</v>
      </c>
      <c r="BF2536" s="5" t="s">
        <v>252</v>
      </c>
      <c r="BG2536" s="5" t="s">
        <v>238</v>
      </c>
      <c r="BH2536" s="7">
        <f>0</f>
        <v>0</v>
      </c>
      <c r="BI2536" s="8">
        <f>0</f>
        <v>0</v>
      </c>
      <c r="BJ2536" s="5" t="s">
        <v>253</v>
      </c>
      <c r="BK2536" s="5" t="s">
        <v>254</v>
      </c>
      <c r="BY2536" s="5" t="s">
        <v>238</v>
      </c>
      <c r="BZ2536" s="5" t="s">
        <v>238</v>
      </c>
      <c r="CD2536" s="5" t="s">
        <v>273</v>
      </c>
      <c r="CE2536" s="5" t="s">
        <v>256</v>
      </c>
      <c r="CF2536" s="5" t="s">
        <v>238</v>
      </c>
      <c r="CI2536" s="6" t="s">
        <v>257</v>
      </c>
      <c r="CJ2536" s="5" t="s">
        <v>238</v>
      </c>
      <c r="CK2536" s="5" t="s">
        <v>258</v>
      </c>
      <c r="CL2536" s="5" t="s">
        <v>238</v>
      </c>
      <c r="CM2536" s="5" t="s">
        <v>238</v>
      </c>
      <c r="CN2536" s="5">
        <v>0</v>
      </c>
      <c r="CO2536" s="5" t="s">
        <v>259</v>
      </c>
      <c r="CP2536" s="5" t="s">
        <v>260</v>
      </c>
      <c r="CQ2536" s="5" t="s">
        <v>260</v>
      </c>
      <c r="CR2536" s="5" t="s">
        <v>261</v>
      </c>
      <c r="CU2536" s="8">
        <f>1</f>
        <v>1</v>
      </c>
      <c r="CV2536" s="8">
        <f>0</f>
        <v>0</v>
      </c>
      <c r="CX2536" s="8">
        <f>0</f>
        <v>0</v>
      </c>
      <c r="CY2536" s="8">
        <f>1</f>
        <v>1</v>
      </c>
      <c r="DA2536" s="5" t="s">
        <v>274</v>
      </c>
      <c r="DB2536" s="5" t="s">
        <v>238</v>
      </c>
      <c r="DD2536" s="5" t="s">
        <v>274</v>
      </c>
      <c r="DE2536" s="8">
        <f>682</f>
        <v>682</v>
      </c>
      <c r="DG2536" s="5" t="s">
        <v>238</v>
      </c>
      <c r="DH2536" s="5" t="s">
        <v>238</v>
      </c>
      <c r="DI2536" s="5" t="s">
        <v>238</v>
      </c>
      <c r="DJ2536" s="5" t="s">
        <v>238</v>
      </c>
      <c r="DN2536" s="5" t="s">
        <v>238</v>
      </c>
      <c r="DO2536" s="5" t="s">
        <v>238</v>
      </c>
      <c r="DP2536" s="5" t="s">
        <v>238</v>
      </c>
      <c r="DQ2536" s="5" t="s">
        <v>238</v>
      </c>
      <c r="DT2536" s="5" t="s">
        <v>275</v>
      </c>
      <c r="DU2536" s="5" t="s">
        <v>2575</v>
      </c>
      <c r="HM2536" s="5" t="s">
        <v>264</v>
      </c>
    </row>
    <row r="2537" spans="1:221" x14ac:dyDescent="0.4">
      <c r="A2537" s="5">
        <v>4241</v>
      </c>
      <c r="B2537" s="5">
        <v>1</v>
      </c>
      <c r="C2537" s="5">
        <v>1</v>
      </c>
      <c r="D2537" s="5" t="s">
        <v>269</v>
      </c>
      <c r="E2537" s="5" t="s">
        <v>271</v>
      </c>
      <c r="F2537" s="5" t="s">
        <v>248</v>
      </c>
      <c r="G2537" s="5" t="s">
        <v>266</v>
      </c>
      <c r="H2537" s="6" t="s">
        <v>4258</v>
      </c>
      <c r="I2537" s="7">
        <f>977</f>
        <v>977</v>
      </c>
      <c r="J2537" s="5" t="s">
        <v>262</v>
      </c>
      <c r="K2537" s="8">
        <f>1</f>
        <v>1</v>
      </c>
      <c r="L2537" s="6" t="s">
        <v>242</v>
      </c>
      <c r="M2537" s="5" t="s">
        <v>267</v>
      </c>
      <c r="N2537" s="5" t="s">
        <v>265</v>
      </c>
      <c r="O2537" s="5" t="s">
        <v>238</v>
      </c>
      <c r="P2537" s="5" t="s">
        <v>238</v>
      </c>
      <c r="Q2537" s="5" t="s">
        <v>268</v>
      </c>
      <c r="R2537" s="5" t="s">
        <v>270</v>
      </c>
      <c r="S2537" s="5" t="s">
        <v>238</v>
      </c>
      <c r="V2537" s="5" t="s">
        <v>238</v>
      </c>
      <c r="X2537" s="6" t="s">
        <v>238</v>
      </c>
      <c r="AA2537" s="6" t="s">
        <v>243</v>
      </c>
      <c r="AB2537" s="5" t="s">
        <v>238</v>
      </c>
      <c r="AC2537" s="5" t="s">
        <v>244</v>
      </c>
      <c r="AD2537" s="5" t="s">
        <v>245</v>
      </c>
      <c r="AT2537" s="5" t="s">
        <v>246</v>
      </c>
      <c r="AU2537" s="5" t="s">
        <v>238</v>
      </c>
      <c r="AV2537" s="5" t="s">
        <v>247</v>
      </c>
      <c r="AW2537" s="5" t="s">
        <v>238</v>
      </c>
      <c r="AX2537" s="5" t="s">
        <v>249</v>
      </c>
      <c r="AY2537" s="5" t="s">
        <v>238</v>
      </c>
      <c r="BA2537" s="5" t="s">
        <v>238</v>
      </c>
      <c r="BC2537" s="5" t="s">
        <v>250</v>
      </c>
      <c r="BD2537" s="6" t="s">
        <v>243</v>
      </c>
      <c r="BE2537" s="5" t="s">
        <v>251</v>
      </c>
      <c r="BF2537" s="5" t="s">
        <v>252</v>
      </c>
      <c r="BG2537" s="5" t="s">
        <v>238</v>
      </c>
      <c r="BH2537" s="7">
        <f>0</f>
        <v>0</v>
      </c>
      <c r="BI2537" s="8">
        <f>0</f>
        <v>0</v>
      </c>
      <c r="BJ2537" s="5" t="s">
        <v>253</v>
      </c>
      <c r="BK2537" s="5" t="s">
        <v>254</v>
      </c>
      <c r="BY2537" s="5" t="s">
        <v>238</v>
      </c>
      <c r="BZ2537" s="5" t="s">
        <v>238</v>
      </c>
      <c r="CD2537" s="5" t="s">
        <v>273</v>
      </c>
      <c r="CE2537" s="5" t="s">
        <v>256</v>
      </c>
      <c r="CF2537" s="5" t="s">
        <v>238</v>
      </c>
      <c r="CI2537" s="6" t="s">
        <v>257</v>
      </c>
      <c r="CJ2537" s="5" t="s">
        <v>238</v>
      </c>
      <c r="CK2537" s="5" t="s">
        <v>258</v>
      </c>
      <c r="CL2537" s="5" t="s">
        <v>238</v>
      </c>
      <c r="CM2537" s="5" t="s">
        <v>238</v>
      </c>
      <c r="CN2537" s="5">
        <v>0</v>
      </c>
      <c r="CO2537" s="5" t="s">
        <v>259</v>
      </c>
      <c r="CP2537" s="5" t="s">
        <v>260</v>
      </c>
      <c r="CQ2537" s="5" t="s">
        <v>260</v>
      </c>
      <c r="CR2537" s="5" t="s">
        <v>261</v>
      </c>
      <c r="CU2537" s="8">
        <f>1</f>
        <v>1</v>
      </c>
      <c r="CV2537" s="8">
        <f>0</f>
        <v>0</v>
      </c>
      <c r="CX2537" s="8">
        <f>0</f>
        <v>0</v>
      </c>
      <c r="CY2537" s="8">
        <f>1</f>
        <v>1</v>
      </c>
      <c r="DA2537" s="5" t="s">
        <v>274</v>
      </c>
      <c r="DB2537" s="5" t="s">
        <v>238</v>
      </c>
      <c r="DD2537" s="5" t="s">
        <v>274</v>
      </c>
      <c r="DE2537" s="8">
        <f>977</f>
        <v>977</v>
      </c>
      <c r="DG2537" s="5" t="s">
        <v>238</v>
      </c>
      <c r="DH2537" s="5" t="s">
        <v>238</v>
      </c>
      <c r="DI2537" s="5" t="s">
        <v>238</v>
      </c>
      <c r="DJ2537" s="5" t="s">
        <v>238</v>
      </c>
      <c r="DN2537" s="5" t="s">
        <v>238</v>
      </c>
      <c r="DO2537" s="5" t="s">
        <v>238</v>
      </c>
      <c r="DP2537" s="5" t="s">
        <v>238</v>
      </c>
      <c r="DQ2537" s="5" t="s">
        <v>238</v>
      </c>
      <c r="DT2537" s="5" t="s">
        <v>275</v>
      </c>
      <c r="DU2537" s="5" t="s">
        <v>2573</v>
      </c>
      <c r="HM2537" s="5" t="s">
        <v>264</v>
      </c>
    </row>
    <row r="2538" spans="1:221" x14ac:dyDescent="0.4">
      <c r="A2538" s="5">
        <v>4242</v>
      </c>
      <c r="B2538" s="5">
        <v>1</v>
      </c>
      <c r="C2538" s="5">
        <v>1</v>
      </c>
      <c r="D2538" s="5" t="s">
        <v>269</v>
      </c>
      <c r="E2538" s="5" t="s">
        <v>271</v>
      </c>
      <c r="F2538" s="5" t="s">
        <v>248</v>
      </c>
      <c r="G2538" s="5" t="s">
        <v>266</v>
      </c>
      <c r="H2538" s="6" t="s">
        <v>4260</v>
      </c>
      <c r="I2538" s="7">
        <f>188</f>
        <v>188</v>
      </c>
      <c r="J2538" s="5" t="s">
        <v>262</v>
      </c>
      <c r="K2538" s="8">
        <f>1</f>
        <v>1</v>
      </c>
      <c r="L2538" s="6" t="s">
        <v>242</v>
      </c>
      <c r="M2538" s="5" t="s">
        <v>267</v>
      </c>
      <c r="N2538" s="5" t="s">
        <v>265</v>
      </c>
      <c r="O2538" s="5" t="s">
        <v>238</v>
      </c>
      <c r="P2538" s="5" t="s">
        <v>238</v>
      </c>
      <c r="Q2538" s="5" t="s">
        <v>268</v>
      </c>
      <c r="R2538" s="5" t="s">
        <v>270</v>
      </c>
      <c r="S2538" s="5" t="s">
        <v>238</v>
      </c>
      <c r="V2538" s="5" t="s">
        <v>238</v>
      </c>
      <c r="X2538" s="6" t="s">
        <v>238</v>
      </c>
      <c r="AA2538" s="6" t="s">
        <v>243</v>
      </c>
      <c r="AB2538" s="5" t="s">
        <v>238</v>
      </c>
      <c r="AC2538" s="5" t="s">
        <v>244</v>
      </c>
      <c r="AD2538" s="5" t="s">
        <v>245</v>
      </c>
      <c r="AT2538" s="5" t="s">
        <v>246</v>
      </c>
      <c r="AU2538" s="5" t="s">
        <v>238</v>
      </c>
      <c r="AV2538" s="5" t="s">
        <v>247</v>
      </c>
      <c r="AW2538" s="5" t="s">
        <v>238</v>
      </c>
      <c r="AX2538" s="5" t="s">
        <v>249</v>
      </c>
      <c r="AY2538" s="5" t="s">
        <v>238</v>
      </c>
      <c r="BA2538" s="5" t="s">
        <v>238</v>
      </c>
      <c r="BC2538" s="5" t="s">
        <v>250</v>
      </c>
      <c r="BD2538" s="6" t="s">
        <v>243</v>
      </c>
      <c r="BE2538" s="5" t="s">
        <v>251</v>
      </c>
      <c r="BF2538" s="5" t="s">
        <v>252</v>
      </c>
      <c r="BG2538" s="5" t="s">
        <v>238</v>
      </c>
      <c r="BH2538" s="7">
        <f>0</f>
        <v>0</v>
      </c>
      <c r="BI2538" s="8">
        <f>0</f>
        <v>0</v>
      </c>
      <c r="BJ2538" s="5" t="s">
        <v>253</v>
      </c>
      <c r="BK2538" s="5" t="s">
        <v>254</v>
      </c>
      <c r="BY2538" s="5" t="s">
        <v>238</v>
      </c>
      <c r="BZ2538" s="5" t="s">
        <v>238</v>
      </c>
      <c r="CD2538" s="5" t="s">
        <v>273</v>
      </c>
      <c r="CE2538" s="5" t="s">
        <v>256</v>
      </c>
      <c r="CF2538" s="5" t="s">
        <v>238</v>
      </c>
      <c r="CI2538" s="6" t="s">
        <v>257</v>
      </c>
      <c r="CJ2538" s="5" t="s">
        <v>238</v>
      </c>
      <c r="CK2538" s="5" t="s">
        <v>258</v>
      </c>
      <c r="CL2538" s="5" t="s">
        <v>238</v>
      </c>
      <c r="CM2538" s="5" t="s">
        <v>238</v>
      </c>
      <c r="CN2538" s="5">
        <v>0</v>
      </c>
      <c r="CO2538" s="5" t="s">
        <v>259</v>
      </c>
      <c r="CP2538" s="5" t="s">
        <v>260</v>
      </c>
      <c r="CQ2538" s="5" t="s">
        <v>260</v>
      </c>
      <c r="CR2538" s="5" t="s">
        <v>261</v>
      </c>
      <c r="CU2538" s="8">
        <f>1</f>
        <v>1</v>
      </c>
      <c r="CV2538" s="8">
        <f>0</f>
        <v>0</v>
      </c>
      <c r="CX2538" s="8">
        <f>0</f>
        <v>0</v>
      </c>
      <c r="CY2538" s="8">
        <f>1</f>
        <v>1</v>
      </c>
      <c r="DA2538" s="5" t="s">
        <v>274</v>
      </c>
      <c r="DB2538" s="5" t="s">
        <v>238</v>
      </c>
      <c r="DD2538" s="5" t="s">
        <v>274</v>
      </c>
      <c r="DE2538" s="8">
        <f>188</f>
        <v>188</v>
      </c>
      <c r="DG2538" s="5" t="s">
        <v>238</v>
      </c>
      <c r="DH2538" s="5" t="s">
        <v>238</v>
      </c>
      <c r="DI2538" s="5" t="s">
        <v>238</v>
      </c>
      <c r="DJ2538" s="5" t="s">
        <v>238</v>
      </c>
      <c r="DN2538" s="5" t="s">
        <v>238</v>
      </c>
      <c r="DO2538" s="5" t="s">
        <v>238</v>
      </c>
      <c r="DP2538" s="5" t="s">
        <v>238</v>
      </c>
      <c r="DQ2538" s="5" t="s">
        <v>238</v>
      </c>
      <c r="DT2538" s="5" t="s">
        <v>275</v>
      </c>
      <c r="DU2538" s="5" t="s">
        <v>2571</v>
      </c>
      <c r="HM2538" s="5" t="s">
        <v>264</v>
      </c>
    </row>
    <row r="2539" spans="1:221" x14ac:dyDescent="0.4">
      <c r="A2539" s="5">
        <v>4243</v>
      </c>
      <c r="B2539" s="5">
        <v>1</v>
      </c>
      <c r="C2539" s="5">
        <v>1</v>
      </c>
      <c r="D2539" s="5" t="s">
        <v>269</v>
      </c>
      <c r="E2539" s="5" t="s">
        <v>271</v>
      </c>
      <c r="F2539" s="5" t="s">
        <v>248</v>
      </c>
      <c r="G2539" s="5" t="s">
        <v>266</v>
      </c>
      <c r="H2539" s="6" t="s">
        <v>4264</v>
      </c>
      <c r="I2539" s="7">
        <f>362</f>
        <v>362</v>
      </c>
      <c r="J2539" s="5" t="s">
        <v>262</v>
      </c>
      <c r="K2539" s="8">
        <f>1</f>
        <v>1</v>
      </c>
      <c r="L2539" s="6" t="s">
        <v>242</v>
      </c>
      <c r="M2539" s="5" t="s">
        <v>267</v>
      </c>
      <c r="N2539" s="5" t="s">
        <v>265</v>
      </c>
      <c r="O2539" s="5" t="s">
        <v>238</v>
      </c>
      <c r="P2539" s="5" t="s">
        <v>238</v>
      </c>
      <c r="Q2539" s="5" t="s">
        <v>268</v>
      </c>
      <c r="R2539" s="5" t="s">
        <v>270</v>
      </c>
      <c r="S2539" s="5" t="s">
        <v>238</v>
      </c>
      <c r="V2539" s="5" t="s">
        <v>238</v>
      </c>
      <c r="X2539" s="6" t="s">
        <v>238</v>
      </c>
      <c r="AA2539" s="6" t="s">
        <v>243</v>
      </c>
      <c r="AB2539" s="5" t="s">
        <v>238</v>
      </c>
      <c r="AC2539" s="5" t="s">
        <v>244</v>
      </c>
      <c r="AD2539" s="5" t="s">
        <v>245</v>
      </c>
      <c r="AT2539" s="5" t="s">
        <v>246</v>
      </c>
      <c r="AU2539" s="5" t="s">
        <v>238</v>
      </c>
      <c r="AV2539" s="5" t="s">
        <v>247</v>
      </c>
      <c r="AW2539" s="5" t="s">
        <v>238</v>
      </c>
      <c r="AX2539" s="5" t="s">
        <v>249</v>
      </c>
      <c r="AY2539" s="5" t="s">
        <v>238</v>
      </c>
      <c r="BA2539" s="5" t="s">
        <v>238</v>
      </c>
      <c r="BC2539" s="5" t="s">
        <v>250</v>
      </c>
      <c r="BD2539" s="6" t="s">
        <v>243</v>
      </c>
      <c r="BE2539" s="5" t="s">
        <v>251</v>
      </c>
      <c r="BF2539" s="5" t="s">
        <v>252</v>
      </c>
      <c r="BG2539" s="5" t="s">
        <v>238</v>
      </c>
      <c r="BH2539" s="7">
        <f>0</f>
        <v>0</v>
      </c>
      <c r="BI2539" s="8">
        <f>0</f>
        <v>0</v>
      </c>
      <c r="BJ2539" s="5" t="s">
        <v>253</v>
      </c>
      <c r="BK2539" s="5" t="s">
        <v>254</v>
      </c>
      <c r="BY2539" s="5" t="s">
        <v>238</v>
      </c>
      <c r="BZ2539" s="5" t="s">
        <v>238</v>
      </c>
      <c r="CD2539" s="5" t="s">
        <v>273</v>
      </c>
      <c r="CE2539" s="5" t="s">
        <v>256</v>
      </c>
      <c r="CF2539" s="5" t="s">
        <v>238</v>
      </c>
      <c r="CI2539" s="6" t="s">
        <v>257</v>
      </c>
      <c r="CJ2539" s="5" t="s">
        <v>238</v>
      </c>
      <c r="CK2539" s="5" t="s">
        <v>258</v>
      </c>
      <c r="CL2539" s="5" t="s">
        <v>238</v>
      </c>
      <c r="CM2539" s="5" t="s">
        <v>238</v>
      </c>
      <c r="CN2539" s="5">
        <v>0</v>
      </c>
      <c r="CO2539" s="5" t="s">
        <v>259</v>
      </c>
      <c r="CP2539" s="5" t="s">
        <v>260</v>
      </c>
      <c r="CQ2539" s="5" t="s">
        <v>260</v>
      </c>
      <c r="CR2539" s="5" t="s">
        <v>261</v>
      </c>
      <c r="CU2539" s="8">
        <f>1</f>
        <v>1</v>
      </c>
      <c r="CV2539" s="8">
        <f>0</f>
        <v>0</v>
      </c>
      <c r="CX2539" s="8">
        <f>0</f>
        <v>0</v>
      </c>
      <c r="CY2539" s="8">
        <f>1</f>
        <v>1</v>
      </c>
      <c r="DA2539" s="5" t="s">
        <v>274</v>
      </c>
      <c r="DB2539" s="5" t="s">
        <v>238</v>
      </c>
      <c r="DD2539" s="5" t="s">
        <v>274</v>
      </c>
      <c r="DE2539" s="8">
        <f>362</f>
        <v>362</v>
      </c>
      <c r="DG2539" s="5" t="s">
        <v>238</v>
      </c>
      <c r="DH2539" s="5" t="s">
        <v>238</v>
      </c>
      <c r="DI2539" s="5" t="s">
        <v>238</v>
      </c>
      <c r="DJ2539" s="5" t="s">
        <v>238</v>
      </c>
      <c r="DN2539" s="5" t="s">
        <v>238</v>
      </c>
      <c r="DO2539" s="5" t="s">
        <v>238</v>
      </c>
      <c r="DP2539" s="5" t="s">
        <v>238</v>
      </c>
      <c r="DQ2539" s="5" t="s">
        <v>238</v>
      </c>
      <c r="DT2539" s="5" t="s">
        <v>275</v>
      </c>
      <c r="DU2539" s="5" t="s">
        <v>2569</v>
      </c>
      <c r="HM2539" s="5" t="s">
        <v>264</v>
      </c>
    </row>
    <row r="2540" spans="1:221" x14ac:dyDescent="0.4">
      <c r="A2540" s="5">
        <v>4244</v>
      </c>
      <c r="B2540" s="5">
        <v>1</v>
      </c>
      <c r="C2540" s="5">
        <v>1</v>
      </c>
      <c r="D2540" s="5" t="s">
        <v>269</v>
      </c>
      <c r="E2540" s="5" t="s">
        <v>271</v>
      </c>
      <c r="F2540" s="5" t="s">
        <v>248</v>
      </c>
      <c r="G2540" s="5" t="s">
        <v>266</v>
      </c>
      <c r="H2540" s="6" t="s">
        <v>4265</v>
      </c>
      <c r="I2540" s="7">
        <f>286</f>
        <v>286</v>
      </c>
      <c r="J2540" s="5" t="s">
        <v>262</v>
      </c>
      <c r="K2540" s="8">
        <f>1</f>
        <v>1</v>
      </c>
      <c r="L2540" s="6" t="s">
        <v>242</v>
      </c>
      <c r="M2540" s="5" t="s">
        <v>267</v>
      </c>
      <c r="N2540" s="5" t="s">
        <v>265</v>
      </c>
      <c r="O2540" s="5" t="s">
        <v>238</v>
      </c>
      <c r="P2540" s="5" t="s">
        <v>238</v>
      </c>
      <c r="Q2540" s="5" t="s">
        <v>268</v>
      </c>
      <c r="R2540" s="5" t="s">
        <v>270</v>
      </c>
      <c r="S2540" s="5" t="s">
        <v>238</v>
      </c>
      <c r="V2540" s="5" t="s">
        <v>238</v>
      </c>
      <c r="X2540" s="6" t="s">
        <v>238</v>
      </c>
      <c r="AA2540" s="6" t="s">
        <v>243</v>
      </c>
      <c r="AB2540" s="5" t="s">
        <v>238</v>
      </c>
      <c r="AC2540" s="5" t="s">
        <v>244</v>
      </c>
      <c r="AD2540" s="5" t="s">
        <v>245</v>
      </c>
      <c r="AT2540" s="5" t="s">
        <v>246</v>
      </c>
      <c r="AU2540" s="5" t="s">
        <v>238</v>
      </c>
      <c r="AV2540" s="5" t="s">
        <v>247</v>
      </c>
      <c r="AW2540" s="5" t="s">
        <v>238</v>
      </c>
      <c r="AX2540" s="5" t="s">
        <v>249</v>
      </c>
      <c r="AY2540" s="5" t="s">
        <v>238</v>
      </c>
      <c r="BA2540" s="5" t="s">
        <v>238</v>
      </c>
      <c r="BC2540" s="5" t="s">
        <v>250</v>
      </c>
      <c r="BD2540" s="6" t="s">
        <v>243</v>
      </c>
      <c r="BE2540" s="5" t="s">
        <v>251</v>
      </c>
      <c r="BF2540" s="5" t="s">
        <v>252</v>
      </c>
      <c r="BG2540" s="5" t="s">
        <v>238</v>
      </c>
      <c r="BH2540" s="7">
        <f>0</f>
        <v>0</v>
      </c>
      <c r="BI2540" s="8">
        <f>0</f>
        <v>0</v>
      </c>
      <c r="BJ2540" s="5" t="s">
        <v>253</v>
      </c>
      <c r="BK2540" s="5" t="s">
        <v>254</v>
      </c>
      <c r="BY2540" s="5" t="s">
        <v>238</v>
      </c>
      <c r="BZ2540" s="5" t="s">
        <v>238</v>
      </c>
      <c r="CD2540" s="5" t="s">
        <v>273</v>
      </c>
      <c r="CE2540" s="5" t="s">
        <v>256</v>
      </c>
      <c r="CF2540" s="5" t="s">
        <v>238</v>
      </c>
      <c r="CI2540" s="6" t="s">
        <v>257</v>
      </c>
      <c r="CJ2540" s="5" t="s">
        <v>238</v>
      </c>
      <c r="CK2540" s="5" t="s">
        <v>258</v>
      </c>
      <c r="CL2540" s="5" t="s">
        <v>238</v>
      </c>
      <c r="CM2540" s="5" t="s">
        <v>238</v>
      </c>
      <c r="CN2540" s="5">
        <v>0</v>
      </c>
      <c r="CO2540" s="5" t="s">
        <v>259</v>
      </c>
      <c r="CP2540" s="5" t="s">
        <v>260</v>
      </c>
      <c r="CQ2540" s="5" t="s">
        <v>260</v>
      </c>
      <c r="CR2540" s="5" t="s">
        <v>261</v>
      </c>
      <c r="CU2540" s="8">
        <f>1</f>
        <v>1</v>
      </c>
      <c r="CV2540" s="8">
        <f>0</f>
        <v>0</v>
      </c>
      <c r="CX2540" s="8">
        <f>0</f>
        <v>0</v>
      </c>
      <c r="CY2540" s="8">
        <f>1</f>
        <v>1</v>
      </c>
      <c r="DA2540" s="5" t="s">
        <v>274</v>
      </c>
      <c r="DB2540" s="5" t="s">
        <v>238</v>
      </c>
      <c r="DD2540" s="5" t="s">
        <v>274</v>
      </c>
      <c r="DE2540" s="8">
        <f>286</f>
        <v>286</v>
      </c>
      <c r="DG2540" s="5" t="s">
        <v>238</v>
      </c>
      <c r="DH2540" s="5" t="s">
        <v>238</v>
      </c>
      <c r="DI2540" s="5" t="s">
        <v>238</v>
      </c>
      <c r="DJ2540" s="5" t="s">
        <v>238</v>
      </c>
      <c r="DN2540" s="5" t="s">
        <v>238</v>
      </c>
      <c r="DO2540" s="5" t="s">
        <v>238</v>
      </c>
      <c r="DP2540" s="5" t="s">
        <v>238</v>
      </c>
      <c r="DQ2540" s="5" t="s">
        <v>238</v>
      </c>
      <c r="DT2540" s="5" t="s">
        <v>275</v>
      </c>
      <c r="DU2540" s="5" t="s">
        <v>2567</v>
      </c>
      <c r="HM2540" s="5" t="s">
        <v>264</v>
      </c>
    </row>
    <row r="2541" spans="1:221" x14ac:dyDescent="0.4">
      <c r="A2541" s="5">
        <v>4245</v>
      </c>
      <c r="B2541" s="5">
        <v>1</v>
      </c>
      <c r="C2541" s="5">
        <v>1</v>
      </c>
      <c r="D2541" s="5" t="s">
        <v>269</v>
      </c>
      <c r="E2541" s="5" t="s">
        <v>271</v>
      </c>
      <c r="F2541" s="5" t="s">
        <v>248</v>
      </c>
      <c r="G2541" s="5" t="s">
        <v>266</v>
      </c>
      <c r="H2541" s="6" t="s">
        <v>4269</v>
      </c>
      <c r="I2541" s="7">
        <f>450</f>
        <v>450</v>
      </c>
      <c r="J2541" s="5" t="s">
        <v>262</v>
      </c>
      <c r="K2541" s="8">
        <f>1</f>
        <v>1</v>
      </c>
      <c r="L2541" s="6" t="s">
        <v>242</v>
      </c>
      <c r="M2541" s="5" t="s">
        <v>267</v>
      </c>
      <c r="N2541" s="5" t="s">
        <v>265</v>
      </c>
      <c r="O2541" s="5" t="s">
        <v>238</v>
      </c>
      <c r="P2541" s="5" t="s">
        <v>238</v>
      </c>
      <c r="Q2541" s="5" t="s">
        <v>268</v>
      </c>
      <c r="R2541" s="5" t="s">
        <v>270</v>
      </c>
      <c r="S2541" s="5" t="s">
        <v>238</v>
      </c>
      <c r="V2541" s="5" t="s">
        <v>238</v>
      </c>
      <c r="X2541" s="6" t="s">
        <v>238</v>
      </c>
      <c r="AA2541" s="6" t="s">
        <v>243</v>
      </c>
      <c r="AB2541" s="5" t="s">
        <v>238</v>
      </c>
      <c r="AC2541" s="5" t="s">
        <v>244</v>
      </c>
      <c r="AD2541" s="5" t="s">
        <v>245</v>
      </c>
      <c r="AT2541" s="5" t="s">
        <v>246</v>
      </c>
      <c r="AU2541" s="5" t="s">
        <v>238</v>
      </c>
      <c r="AV2541" s="5" t="s">
        <v>247</v>
      </c>
      <c r="AW2541" s="5" t="s">
        <v>238</v>
      </c>
      <c r="AX2541" s="5" t="s">
        <v>249</v>
      </c>
      <c r="AY2541" s="5" t="s">
        <v>238</v>
      </c>
      <c r="BA2541" s="5" t="s">
        <v>238</v>
      </c>
      <c r="BC2541" s="5" t="s">
        <v>250</v>
      </c>
      <c r="BD2541" s="6" t="s">
        <v>243</v>
      </c>
      <c r="BE2541" s="5" t="s">
        <v>251</v>
      </c>
      <c r="BF2541" s="5" t="s">
        <v>252</v>
      </c>
      <c r="BG2541" s="5" t="s">
        <v>238</v>
      </c>
      <c r="BH2541" s="7">
        <f>0</f>
        <v>0</v>
      </c>
      <c r="BI2541" s="8">
        <f>0</f>
        <v>0</v>
      </c>
      <c r="BJ2541" s="5" t="s">
        <v>253</v>
      </c>
      <c r="BK2541" s="5" t="s">
        <v>254</v>
      </c>
      <c r="BY2541" s="5" t="s">
        <v>238</v>
      </c>
      <c r="BZ2541" s="5" t="s">
        <v>238</v>
      </c>
      <c r="CD2541" s="5" t="s">
        <v>273</v>
      </c>
      <c r="CE2541" s="5" t="s">
        <v>256</v>
      </c>
      <c r="CF2541" s="5" t="s">
        <v>238</v>
      </c>
      <c r="CI2541" s="6" t="s">
        <v>257</v>
      </c>
      <c r="CJ2541" s="5" t="s">
        <v>238</v>
      </c>
      <c r="CK2541" s="5" t="s">
        <v>258</v>
      </c>
      <c r="CL2541" s="5" t="s">
        <v>238</v>
      </c>
      <c r="CM2541" s="5" t="s">
        <v>238</v>
      </c>
      <c r="CN2541" s="5">
        <v>0</v>
      </c>
      <c r="CO2541" s="5" t="s">
        <v>259</v>
      </c>
      <c r="CP2541" s="5" t="s">
        <v>260</v>
      </c>
      <c r="CQ2541" s="5" t="s">
        <v>260</v>
      </c>
      <c r="CR2541" s="5" t="s">
        <v>261</v>
      </c>
      <c r="CU2541" s="8">
        <f>1</f>
        <v>1</v>
      </c>
      <c r="CV2541" s="8">
        <f>0</f>
        <v>0</v>
      </c>
      <c r="CX2541" s="8">
        <f>0</f>
        <v>0</v>
      </c>
      <c r="CY2541" s="8">
        <f>1</f>
        <v>1</v>
      </c>
      <c r="DA2541" s="5" t="s">
        <v>274</v>
      </c>
      <c r="DB2541" s="5" t="s">
        <v>238</v>
      </c>
      <c r="DD2541" s="5" t="s">
        <v>274</v>
      </c>
      <c r="DE2541" s="8">
        <f>450</f>
        <v>450</v>
      </c>
      <c r="DG2541" s="5" t="s">
        <v>238</v>
      </c>
      <c r="DH2541" s="5" t="s">
        <v>238</v>
      </c>
      <c r="DI2541" s="5" t="s">
        <v>238</v>
      </c>
      <c r="DJ2541" s="5" t="s">
        <v>238</v>
      </c>
      <c r="DN2541" s="5" t="s">
        <v>238</v>
      </c>
      <c r="DO2541" s="5" t="s">
        <v>238</v>
      </c>
      <c r="DP2541" s="5" t="s">
        <v>238</v>
      </c>
      <c r="DQ2541" s="5" t="s">
        <v>238</v>
      </c>
      <c r="DT2541" s="5" t="s">
        <v>275</v>
      </c>
      <c r="DU2541" s="5" t="s">
        <v>2565</v>
      </c>
      <c r="HM2541" s="5" t="s">
        <v>264</v>
      </c>
    </row>
    <row r="2542" spans="1:221" x14ac:dyDescent="0.4">
      <c r="A2542" s="5">
        <v>4246</v>
      </c>
      <c r="B2542" s="5">
        <v>1</v>
      </c>
      <c r="C2542" s="5">
        <v>1</v>
      </c>
      <c r="D2542" s="5" t="s">
        <v>269</v>
      </c>
      <c r="E2542" s="5" t="s">
        <v>271</v>
      </c>
      <c r="F2542" s="5" t="s">
        <v>248</v>
      </c>
      <c r="G2542" s="5" t="s">
        <v>266</v>
      </c>
      <c r="H2542" s="6" t="s">
        <v>4271</v>
      </c>
      <c r="I2542" s="7">
        <f>1268</f>
        <v>1268</v>
      </c>
      <c r="J2542" s="5" t="s">
        <v>262</v>
      </c>
      <c r="K2542" s="8">
        <f>1</f>
        <v>1</v>
      </c>
      <c r="L2542" s="6" t="s">
        <v>242</v>
      </c>
      <c r="M2542" s="5" t="s">
        <v>267</v>
      </c>
      <c r="N2542" s="5" t="s">
        <v>265</v>
      </c>
      <c r="O2542" s="5" t="s">
        <v>238</v>
      </c>
      <c r="P2542" s="5" t="s">
        <v>238</v>
      </c>
      <c r="Q2542" s="5" t="s">
        <v>268</v>
      </c>
      <c r="R2542" s="5" t="s">
        <v>270</v>
      </c>
      <c r="S2542" s="5" t="s">
        <v>238</v>
      </c>
      <c r="V2542" s="5" t="s">
        <v>238</v>
      </c>
      <c r="X2542" s="6" t="s">
        <v>238</v>
      </c>
      <c r="AA2542" s="6" t="s">
        <v>243</v>
      </c>
      <c r="AB2542" s="5" t="s">
        <v>238</v>
      </c>
      <c r="AC2542" s="5" t="s">
        <v>244</v>
      </c>
      <c r="AD2542" s="5" t="s">
        <v>245</v>
      </c>
      <c r="AT2542" s="5" t="s">
        <v>246</v>
      </c>
      <c r="AU2542" s="5" t="s">
        <v>238</v>
      </c>
      <c r="AV2542" s="5" t="s">
        <v>247</v>
      </c>
      <c r="AW2542" s="5" t="s">
        <v>238</v>
      </c>
      <c r="AX2542" s="5" t="s">
        <v>249</v>
      </c>
      <c r="AY2542" s="5" t="s">
        <v>238</v>
      </c>
      <c r="BA2542" s="5" t="s">
        <v>238</v>
      </c>
      <c r="BC2542" s="5" t="s">
        <v>250</v>
      </c>
      <c r="BD2542" s="6" t="s">
        <v>243</v>
      </c>
      <c r="BE2542" s="5" t="s">
        <v>251</v>
      </c>
      <c r="BF2542" s="5" t="s">
        <v>252</v>
      </c>
      <c r="BG2542" s="5" t="s">
        <v>238</v>
      </c>
      <c r="BH2542" s="7">
        <f>0</f>
        <v>0</v>
      </c>
      <c r="BI2542" s="8">
        <f>0</f>
        <v>0</v>
      </c>
      <c r="BJ2542" s="5" t="s">
        <v>253</v>
      </c>
      <c r="BK2542" s="5" t="s">
        <v>254</v>
      </c>
      <c r="BY2542" s="5" t="s">
        <v>238</v>
      </c>
      <c r="BZ2542" s="5" t="s">
        <v>238</v>
      </c>
      <c r="CD2542" s="5" t="s">
        <v>273</v>
      </c>
      <c r="CE2542" s="5" t="s">
        <v>256</v>
      </c>
      <c r="CF2542" s="5" t="s">
        <v>238</v>
      </c>
      <c r="CI2542" s="6" t="s">
        <v>257</v>
      </c>
      <c r="CJ2542" s="5" t="s">
        <v>238</v>
      </c>
      <c r="CK2542" s="5" t="s">
        <v>258</v>
      </c>
      <c r="CL2542" s="5" t="s">
        <v>238</v>
      </c>
      <c r="CM2542" s="5" t="s">
        <v>238</v>
      </c>
      <c r="CN2542" s="5">
        <v>0</v>
      </c>
      <c r="CO2542" s="5" t="s">
        <v>259</v>
      </c>
      <c r="CP2542" s="5" t="s">
        <v>260</v>
      </c>
      <c r="CQ2542" s="5" t="s">
        <v>260</v>
      </c>
      <c r="CR2542" s="5" t="s">
        <v>261</v>
      </c>
      <c r="CU2542" s="8">
        <f>1</f>
        <v>1</v>
      </c>
      <c r="CV2542" s="8">
        <f>0</f>
        <v>0</v>
      </c>
      <c r="CX2542" s="8">
        <f>0</f>
        <v>0</v>
      </c>
      <c r="CY2542" s="8">
        <f>1</f>
        <v>1</v>
      </c>
      <c r="DA2542" s="5" t="s">
        <v>274</v>
      </c>
      <c r="DB2542" s="5" t="s">
        <v>238</v>
      </c>
      <c r="DD2542" s="5" t="s">
        <v>274</v>
      </c>
      <c r="DE2542" s="8">
        <f>1268</f>
        <v>1268</v>
      </c>
      <c r="DG2542" s="5" t="s">
        <v>238</v>
      </c>
      <c r="DH2542" s="5" t="s">
        <v>238</v>
      </c>
      <c r="DI2542" s="5" t="s">
        <v>238</v>
      </c>
      <c r="DJ2542" s="5" t="s">
        <v>238</v>
      </c>
      <c r="DN2542" s="5" t="s">
        <v>238</v>
      </c>
      <c r="DO2542" s="5" t="s">
        <v>238</v>
      </c>
      <c r="DP2542" s="5" t="s">
        <v>238</v>
      </c>
      <c r="DQ2542" s="5" t="s">
        <v>238</v>
      </c>
      <c r="DT2542" s="5" t="s">
        <v>275</v>
      </c>
      <c r="DU2542" s="5" t="s">
        <v>2563</v>
      </c>
      <c r="HM2542" s="5" t="s">
        <v>264</v>
      </c>
    </row>
    <row r="2543" spans="1:221" x14ac:dyDescent="0.4">
      <c r="A2543" s="5">
        <v>4247</v>
      </c>
      <c r="B2543" s="5">
        <v>1</v>
      </c>
      <c r="C2543" s="5">
        <v>1</v>
      </c>
      <c r="D2543" s="5" t="s">
        <v>269</v>
      </c>
      <c r="E2543" s="5" t="s">
        <v>271</v>
      </c>
      <c r="F2543" s="5" t="s">
        <v>248</v>
      </c>
      <c r="G2543" s="5" t="s">
        <v>266</v>
      </c>
      <c r="H2543" s="6" t="s">
        <v>4275</v>
      </c>
      <c r="I2543" s="7">
        <f>105</f>
        <v>105</v>
      </c>
      <c r="J2543" s="5" t="s">
        <v>262</v>
      </c>
      <c r="K2543" s="8">
        <f>1</f>
        <v>1</v>
      </c>
      <c r="L2543" s="6" t="s">
        <v>242</v>
      </c>
      <c r="M2543" s="5" t="s">
        <v>267</v>
      </c>
      <c r="N2543" s="5" t="s">
        <v>265</v>
      </c>
      <c r="O2543" s="5" t="s">
        <v>238</v>
      </c>
      <c r="P2543" s="5" t="s">
        <v>238</v>
      </c>
      <c r="Q2543" s="5" t="s">
        <v>268</v>
      </c>
      <c r="R2543" s="5" t="s">
        <v>270</v>
      </c>
      <c r="S2543" s="5" t="s">
        <v>238</v>
      </c>
      <c r="V2543" s="5" t="s">
        <v>238</v>
      </c>
      <c r="X2543" s="6" t="s">
        <v>238</v>
      </c>
      <c r="AA2543" s="6" t="s">
        <v>243</v>
      </c>
      <c r="AB2543" s="5" t="s">
        <v>238</v>
      </c>
      <c r="AC2543" s="5" t="s">
        <v>244</v>
      </c>
      <c r="AD2543" s="5" t="s">
        <v>245</v>
      </c>
      <c r="AT2543" s="5" t="s">
        <v>246</v>
      </c>
      <c r="AU2543" s="5" t="s">
        <v>238</v>
      </c>
      <c r="AV2543" s="5" t="s">
        <v>247</v>
      </c>
      <c r="AW2543" s="5" t="s">
        <v>238</v>
      </c>
      <c r="AX2543" s="5" t="s">
        <v>249</v>
      </c>
      <c r="AY2543" s="5" t="s">
        <v>238</v>
      </c>
      <c r="BA2543" s="5" t="s">
        <v>238</v>
      </c>
      <c r="BC2543" s="5" t="s">
        <v>250</v>
      </c>
      <c r="BD2543" s="6" t="s">
        <v>243</v>
      </c>
      <c r="BE2543" s="5" t="s">
        <v>251</v>
      </c>
      <c r="BF2543" s="5" t="s">
        <v>252</v>
      </c>
      <c r="BG2543" s="5" t="s">
        <v>238</v>
      </c>
      <c r="BH2543" s="7">
        <f>0</f>
        <v>0</v>
      </c>
      <c r="BI2543" s="8">
        <f>0</f>
        <v>0</v>
      </c>
      <c r="BJ2543" s="5" t="s">
        <v>253</v>
      </c>
      <c r="BK2543" s="5" t="s">
        <v>254</v>
      </c>
      <c r="BY2543" s="5" t="s">
        <v>238</v>
      </c>
      <c r="BZ2543" s="5" t="s">
        <v>238</v>
      </c>
      <c r="CD2543" s="5" t="s">
        <v>273</v>
      </c>
      <c r="CE2543" s="5" t="s">
        <v>256</v>
      </c>
      <c r="CF2543" s="5" t="s">
        <v>238</v>
      </c>
      <c r="CI2543" s="6" t="s">
        <v>257</v>
      </c>
      <c r="CJ2543" s="5" t="s">
        <v>238</v>
      </c>
      <c r="CK2543" s="5" t="s">
        <v>258</v>
      </c>
      <c r="CL2543" s="5" t="s">
        <v>238</v>
      </c>
      <c r="CM2543" s="5" t="s">
        <v>238</v>
      </c>
      <c r="CN2543" s="5">
        <v>0</v>
      </c>
      <c r="CO2543" s="5" t="s">
        <v>259</v>
      </c>
      <c r="CP2543" s="5" t="s">
        <v>260</v>
      </c>
      <c r="CQ2543" s="5" t="s">
        <v>260</v>
      </c>
      <c r="CR2543" s="5" t="s">
        <v>261</v>
      </c>
      <c r="CU2543" s="8">
        <f>1</f>
        <v>1</v>
      </c>
      <c r="CV2543" s="8">
        <f>0</f>
        <v>0</v>
      </c>
      <c r="CX2543" s="8">
        <f>0</f>
        <v>0</v>
      </c>
      <c r="CY2543" s="8">
        <f>1</f>
        <v>1</v>
      </c>
      <c r="DA2543" s="5" t="s">
        <v>274</v>
      </c>
      <c r="DB2543" s="5" t="s">
        <v>238</v>
      </c>
      <c r="DD2543" s="5" t="s">
        <v>274</v>
      </c>
      <c r="DE2543" s="8">
        <f>105</f>
        <v>105</v>
      </c>
      <c r="DG2543" s="5" t="s">
        <v>238</v>
      </c>
      <c r="DH2543" s="5" t="s">
        <v>238</v>
      </c>
      <c r="DI2543" s="5" t="s">
        <v>238</v>
      </c>
      <c r="DJ2543" s="5" t="s">
        <v>238</v>
      </c>
      <c r="DN2543" s="5" t="s">
        <v>238</v>
      </c>
      <c r="DO2543" s="5" t="s">
        <v>238</v>
      </c>
      <c r="DP2543" s="5" t="s">
        <v>238</v>
      </c>
      <c r="DQ2543" s="5" t="s">
        <v>238</v>
      </c>
      <c r="DT2543" s="5" t="s">
        <v>275</v>
      </c>
      <c r="DU2543" s="5" t="s">
        <v>2561</v>
      </c>
      <c r="HM2543" s="5" t="s">
        <v>264</v>
      </c>
    </row>
    <row r="2544" spans="1:221" x14ac:dyDescent="0.4">
      <c r="A2544" s="5">
        <v>4248</v>
      </c>
      <c r="B2544" s="5">
        <v>1</v>
      </c>
      <c r="C2544" s="5">
        <v>1</v>
      </c>
      <c r="D2544" s="5" t="s">
        <v>269</v>
      </c>
      <c r="E2544" s="5" t="s">
        <v>271</v>
      </c>
      <c r="F2544" s="5" t="s">
        <v>248</v>
      </c>
      <c r="G2544" s="5" t="s">
        <v>266</v>
      </c>
      <c r="H2544" s="6" t="s">
        <v>4277</v>
      </c>
      <c r="I2544" s="7">
        <f>72</f>
        <v>72</v>
      </c>
      <c r="J2544" s="5" t="s">
        <v>262</v>
      </c>
      <c r="K2544" s="8">
        <f>1</f>
        <v>1</v>
      </c>
      <c r="L2544" s="6" t="s">
        <v>242</v>
      </c>
      <c r="M2544" s="5" t="s">
        <v>267</v>
      </c>
      <c r="N2544" s="5" t="s">
        <v>265</v>
      </c>
      <c r="O2544" s="5" t="s">
        <v>238</v>
      </c>
      <c r="P2544" s="5" t="s">
        <v>238</v>
      </c>
      <c r="Q2544" s="5" t="s">
        <v>268</v>
      </c>
      <c r="R2544" s="5" t="s">
        <v>270</v>
      </c>
      <c r="S2544" s="5" t="s">
        <v>238</v>
      </c>
      <c r="V2544" s="5" t="s">
        <v>238</v>
      </c>
      <c r="X2544" s="6" t="s">
        <v>238</v>
      </c>
      <c r="AA2544" s="6" t="s">
        <v>243</v>
      </c>
      <c r="AB2544" s="5" t="s">
        <v>238</v>
      </c>
      <c r="AC2544" s="5" t="s">
        <v>244</v>
      </c>
      <c r="AD2544" s="5" t="s">
        <v>245</v>
      </c>
      <c r="AT2544" s="5" t="s">
        <v>246</v>
      </c>
      <c r="AU2544" s="5" t="s">
        <v>238</v>
      </c>
      <c r="AV2544" s="5" t="s">
        <v>247</v>
      </c>
      <c r="AW2544" s="5" t="s">
        <v>238</v>
      </c>
      <c r="AX2544" s="5" t="s">
        <v>249</v>
      </c>
      <c r="AY2544" s="5" t="s">
        <v>238</v>
      </c>
      <c r="BA2544" s="5" t="s">
        <v>238</v>
      </c>
      <c r="BC2544" s="5" t="s">
        <v>250</v>
      </c>
      <c r="BD2544" s="6" t="s">
        <v>243</v>
      </c>
      <c r="BE2544" s="5" t="s">
        <v>251</v>
      </c>
      <c r="BF2544" s="5" t="s">
        <v>252</v>
      </c>
      <c r="BG2544" s="5" t="s">
        <v>238</v>
      </c>
      <c r="BH2544" s="7">
        <f>0</f>
        <v>0</v>
      </c>
      <c r="BI2544" s="8">
        <f>0</f>
        <v>0</v>
      </c>
      <c r="BJ2544" s="5" t="s">
        <v>253</v>
      </c>
      <c r="BK2544" s="5" t="s">
        <v>254</v>
      </c>
      <c r="BY2544" s="5" t="s">
        <v>238</v>
      </c>
      <c r="BZ2544" s="5" t="s">
        <v>238</v>
      </c>
      <c r="CD2544" s="5" t="s">
        <v>273</v>
      </c>
      <c r="CE2544" s="5" t="s">
        <v>256</v>
      </c>
      <c r="CF2544" s="5" t="s">
        <v>238</v>
      </c>
      <c r="CI2544" s="6" t="s">
        <v>257</v>
      </c>
      <c r="CJ2544" s="5" t="s">
        <v>238</v>
      </c>
      <c r="CK2544" s="5" t="s">
        <v>258</v>
      </c>
      <c r="CL2544" s="5" t="s">
        <v>238</v>
      </c>
      <c r="CM2544" s="5" t="s">
        <v>238</v>
      </c>
      <c r="CN2544" s="5">
        <v>0</v>
      </c>
      <c r="CO2544" s="5" t="s">
        <v>259</v>
      </c>
      <c r="CP2544" s="5" t="s">
        <v>260</v>
      </c>
      <c r="CQ2544" s="5" t="s">
        <v>260</v>
      </c>
      <c r="CR2544" s="5" t="s">
        <v>261</v>
      </c>
      <c r="CU2544" s="8">
        <f>1</f>
        <v>1</v>
      </c>
      <c r="CV2544" s="8">
        <f>0</f>
        <v>0</v>
      </c>
      <c r="CX2544" s="8">
        <f>0</f>
        <v>0</v>
      </c>
      <c r="CY2544" s="8">
        <f>1</f>
        <v>1</v>
      </c>
      <c r="DA2544" s="5" t="s">
        <v>274</v>
      </c>
      <c r="DB2544" s="5" t="s">
        <v>238</v>
      </c>
      <c r="DD2544" s="5" t="s">
        <v>274</v>
      </c>
      <c r="DE2544" s="8">
        <f>72</f>
        <v>72</v>
      </c>
      <c r="DG2544" s="5" t="s">
        <v>238</v>
      </c>
      <c r="DH2544" s="5" t="s">
        <v>238</v>
      </c>
      <c r="DI2544" s="5" t="s">
        <v>238</v>
      </c>
      <c r="DJ2544" s="5" t="s">
        <v>238</v>
      </c>
      <c r="DN2544" s="5" t="s">
        <v>238</v>
      </c>
      <c r="DO2544" s="5" t="s">
        <v>238</v>
      </c>
      <c r="DP2544" s="5" t="s">
        <v>238</v>
      </c>
      <c r="DQ2544" s="5" t="s">
        <v>238</v>
      </c>
      <c r="DT2544" s="5" t="s">
        <v>275</v>
      </c>
      <c r="DU2544" s="5" t="s">
        <v>2559</v>
      </c>
      <c r="HM2544" s="5" t="s">
        <v>264</v>
      </c>
    </row>
    <row r="2545" spans="1:221" x14ac:dyDescent="0.4">
      <c r="A2545" s="5">
        <v>4249</v>
      </c>
      <c r="B2545" s="5">
        <v>1</v>
      </c>
      <c r="C2545" s="5">
        <v>1</v>
      </c>
      <c r="D2545" s="5" t="s">
        <v>269</v>
      </c>
      <c r="E2545" s="5" t="s">
        <v>271</v>
      </c>
      <c r="F2545" s="5" t="s">
        <v>248</v>
      </c>
      <c r="G2545" s="5" t="s">
        <v>266</v>
      </c>
      <c r="H2545" s="6" t="s">
        <v>4283</v>
      </c>
      <c r="I2545" s="7">
        <f>246</f>
        <v>246</v>
      </c>
      <c r="J2545" s="5" t="s">
        <v>262</v>
      </c>
      <c r="K2545" s="8">
        <f>1</f>
        <v>1</v>
      </c>
      <c r="L2545" s="6" t="s">
        <v>242</v>
      </c>
      <c r="M2545" s="5" t="s">
        <v>267</v>
      </c>
      <c r="N2545" s="5" t="s">
        <v>265</v>
      </c>
      <c r="O2545" s="5" t="s">
        <v>238</v>
      </c>
      <c r="P2545" s="5" t="s">
        <v>238</v>
      </c>
      <c r="Q2545" s="5" t="s">
        <v>268</v>
      </c>
      <c r="R2545" s="5" t="s">
        <v>270</v>
      </c>
      <c r="S2545" s="5" t="s">
        <v>238</v>
      </c>
      <c r="V2545" s="5" t="s">
        <v>238</v>
      </c>
      <c r="X2545" s="6" t="s">
        <v>238</v>
      </c>
      <c r="AA2545" s="6" t="s">
        <v>243</v>
      </c>
      <c r="AB2545" s="5" t="s">
        <v>238</v>
      </c>
      <c r="AC2545" s="5" t="s">
        <v>244</v>
      </c>
      <c r="AD2545" s="5" t="s">
        <v>245</v>
      </c>
      <c r="AT2545" s="5" t="s">
        <v>246</v>
      </c>
      <c r="AU2545" s="5" t="s">
        <v>238</v>
      </c>
      <c r="AV2545" s="5" t="s">
        <v>247</v>
      </c>
      <c r="AW2545" s="5" t="s">
        <v>238</v>
      </c>
      <c r="AX2545" s="5" t="s">
        <v>249</v>
      </c>
      <c r="AY2545" s="5" t="s">
        <v>238</v>
      </c>
      <c r="BA2545" s="5" t="s">
        <v>238</v>
      </c>
      <c r="BC2545" s="5" t="s">
        <v>250</v>
      </c>
      <c r="BD2545" s="6" t="s">
        <v>243</v>
      </c>
      <c r="BE2545" s="5" t="s">
        <v>251</v>
      </c>
      <c r="BF2545" s="5" t="s">
        <v>252</v>
      </c>
      <c r="BG2545" s="5" t="s">
        <v>238</v>
      </c>
      <c r="BH2545" s="7">
        <f>0</f>
        <v>0</v>
      </c>
      <c r="BI2545" s="8">
        <f>0</f>
        <v>0</v>
      </c>
      <c r="BJ2545" s="5" t="s">
        <v>253</v>
      </c>
      <c r="BK2545" s="5" t="s">
        <v>254</v>
      </c>
      <c r="BY2545" s="5" t="s">
        <v>238</v>
      </c>
      <c r="BZ2545" s="5" t="s">
        <v>238</v>
      </c>
      <c r="CD2545" s="5" t="s">
        <v>273</v>
      </c>
      <c r="CE2545" s="5" t="s">
        <v>256</v>
      </c>
      <c r="CF2545" s="5" t="s">
        <v>238</v>
      </c>
      <c r="CI2545" s="6" t="s">
        <v>257</v>
      </c>
      <c r="CJ2545" s="5" t="s">
        <v>238</v>
      </c>
      <c r="CK2545" s="5" t="s">
        <v>258</v>
      </c>
      <c r="CL2545" s="5" t="s">
        <v>238</v>
      </c>
      <c r="CM2545" s="5" t="s">
        <v>238</v>
      </c>
      <c r="CN2545" s="5">
        <v>0</v>
      </c>
      <c r="CO2545" s="5" t="s">
        <v>259</v>
      </c>
      <c r="CP2545" s="5" t="s">
        <v>260</v>
      </c>
      <c r="CQ2545" s="5" t="s">
        <v>260</v>
      </c>
      <c r="CR2545" s="5" t="s">
        <v>261</v>
      </c>
      <c r="CU2545" s="8">
        <f>1</f>
        <v>1</v>
      </c>
      <c r="CV2545" s="8">
        <f>0</f>
        <v>0</v>
      </c>
      <c r="CX2545" s="8">
        <f>0</f>
        <v>0</v>
      </c>
      <c r="CY2545" s="8">
        <f>1</f>
        <v>1</v>
      </c>
      <c r="DA2545" s="5" t="s">
        <v>274</v>
      </c>
      <c r="DB2545" s="5" t="s">
        <v>238</v>
      </c>
      <c r="DD2545" s="5" t="s">
        <v>274</v>
      </c>
      <c r="DE2545" s="8">
        <f>246</f>
        <v>246</v>
      </c>
      <c r="DG2545" s="5" t="s">
        <v>238</v>
      </c>
      <c r="DH2545" s="5" t="s">
        <v>238</v>
      </c>
      <c r="DI2545" s="5" t="s">
        <v>238</v>
      </c>
      <c r="DJ2545" s="5" t="s">
        <v>238</v>
      </c>
      <c r="DN2545" s="5" t="s">
        <v>238</v>
      </c>
      <c r="DO2545" s="5" t="s">
        <v>238</v>
      </c>
      <c r="DP2545" s="5" t="s">
        <v>238</v>
      </c>
      <c r="DQ2545" s="5" t="s">
        <v>238</v>
      </c>
      <c r="DT2545" s="5" t="s">
        <v>275</v>
      </c>
      <c r="DU2545" s="5" t="s">
        <v>2553</v>
      </c>
      <c r="HM2545" s="5" t="s">
        <v>264</v>
      </c>
    </row>
    <row r="2546" spans="1:221" x14ac:dyDescent="0.4">
      <c r="A2546" s="5">
        <v>4250</v>
      </c>
      <c r="B2546" s="5">
        <v>1</v>
      </c>
      <c r="C2546" s="5">
        <v>1</v>
      </c>
      <c r="D2546" s="5" t="s">
        <v>269</v>
      </c>
      <c r="E2546" s="5" t="s">
        <v>271</v>
      </c>
      <c r="F2546" s="5" t="s">
        <v>248</v>
      </c>
      <c r="G2546" s="5" t="s">
        <v>266</v>
      </c>
      <c r="H2546" s="6" t="s">
        <v>4287</v>
      </c>
      <c r="I2546" s="7">
        <f>174</f>
        <v>174</v>
      </c>
      <c r="J2546" s="5" t="s">
        <v>262</v>
      </c>
      <c r="K2546" s="8">
        <f>1</f>
        <v>1</v>
      </c>
      <c r="L2546" s="6" t="s">
        <v>242</v>
      </c>
      <c r="M2546" s="5" t="s">
        <v>267</v>
      </c>
      <c r="N2546" s="5" t="s">
        <v>265</v>
      </c>
      <c r="O2546" s="5" t="s">
        <v>238</v>
      </c>
      <c r="P2546" s="5" t="s">
        <v>238</v>
      </c>
      <c r="Q2546" s="5" t="s">
        <v>268</v>
      </c>
      <c r="R2546" s="5" t="s">
        <v>270</v>
      </c>
      <c r="S2546" s="5" t="s">
        <v>238</v>
      </c>
      <c r="V2546" s="5" t="s">
        <v>238</v>
      </c>
      <c r="X2546" s="6" t="s">
        <v>238</v>
      </c>
      <c r="AA2546" s="6" t="s">
        <v>243</v>
      </c>
      <c r="AB2546" s="5" t="s">
        <v>238</v>
      </c>
      <c r="AC2546" s="5" t="s">
        <v>244</v>
      </c>
      <c r="AD2546" s="5" t="s">
        <v>245</v>
      </c>
      <c r="AT2546" s="5" t="s">
        <v>246</v>
      </c>
      <c r="AU2546" s="5" t="s">
        <v>238</v>
      </c>
      <c r="AV2546" s="5" t="s">
        <v>247</v>
      </c>
      <c r="AW2546" s="5" t="s">
        <v>238</v>
      </c>
      <c r="AX2546" s="5" t="s">
        <v>249</v>
      </c>
      <c r="AY2546" s="5" t="s">
        <v>238</v>
      </c>
      <c r="BA2546" s="5" t="s">
        <v>238</v>
      </c>
      <c r="BC2546" s="5" t="s">
        <v>250</v>
      </c>
      <c r="BD2546" s="6" t="s">
        <v>243</v>
      </c>
      <c r="BE2546" s="5" t="s">
        <v>251</v>
      </c>
      <c r="BF2546" s="5" t="s">
        <v>252</v>
      </c>
      <c r="BG2546" s="5" t="s">
        <v>238</v>
      </c>
      <c r="BH2546" s="7">
        <f>0</f>
        <v>0</v>
      </c>
      <c r="BI2546" s="8">
        <f>0</f>
        <v>0</v>
      </c>
      <c r="BJ2546" s="5" t="s">
        <v>253</v>
      </c>
      <c r="BK2546" s="5" t="s">
        <v>254</v>
      </c>
      <c r="BY2546" s="5" t="s">
        <v>238</v>
      </c>
      <c r="BZ2546" s="5" t="s">
        <v>238</v>
      </c>
      <c r="CD2546" s="5" t="s">
        <v>273</v>
      </c>
      <c r="CE2546" s="5" t="s">
        <v>256</v>
      </c>
      <c r="CF2546" s="5" t="s">
        <v>238</v>
      </c>
      <c r="CI2546" s="6" t="s">
        <v>257</v>
      </c>
      <c r="CJ2546" s="5" t="s">
        <v>238</v>
      </c>
      <c r="CK2546" s="5" t="s">
        <v>258</v>
      </c>
      <c r="CL2546" s="5" t="s">
        <v>238</v>
      </c>
      <c r="CM2546" s="5" t="s">
        <v>238</v>
      </c>
      <c r="CN2546" s="5">
        <v>0</v>
      </c>
      <c r="CO2546" s="5" t="s">
        <v>259</v>
      </c>
      <c r="CP2546" s="5" t="s">
        <v>260</v>
      </c>
      <c r="CQ2546" s="5" t="s">
        <v>260</v>
      </c>
      <c r="CR2546" s="5" t="s">
        <v>261</v>
      </c>
      <c r="CU2546" s="8">
        <f>1</f>
        <v>1</v>
      </c>
      <c r="CV2546" s="8">
        <f>0</f>
        <v>0</v>
      </c>
      <c r="CX2546" s="8">
        <f>0</f>
        <v>0</v>
      </c>
      <c r="CY2546" s="8">
        <f>1</f>
        <v>1</v>
      </c>
      <c r="DA2546" s="5" t="s">
        <v>274</v>
      </c>
      <c r="DB2546" s="5" t="s">
        <v>238</v>
      </c>
      <c r="DD2546" s="5" t="s">
        <v>274</v>
      </c>
      <c r="DE2546" s="8">
        <f>174</f>
        <v>174</v>
      </c>
      <c r="DG2546" s="5" t="s">
        <v>238</v>
      </c>
      <c r="DH2546" s="5" t="s">
        <v>238</v>
      </c>
      <c r="DI2546" s="5" t="s">
        <v>238</v>
      </c>
      <c r="DJ2546" s="5" t="s">
        <v>238</v>
      </c>
      <c r="DN2546" s="5" t="s">
        <v>238</v>
      </c>
      <c r="DO2546" s="5" t="s">
        <v>238</v>
      </c>
      <c r="DP2546" s="5" t="s">
        <v>238</v>
      </c>
      <c r="DQ2546" s="5" t="s">
        <v>238</v>
      </c>
      <c r="DT2546" s="5" t="s">
        <v>275</v>
      </c>
      <c r="DU2546" s="5" t="s">
        <v>2551</v>
      </c>
      <c r="HM2546" s="5" t="s">
        <v>264</v>
      </c>
    </row>
    <row r="2547" spans="1:221" x14ac:dyDescent="0.4">
      <c r="A2547" s="5">
        <v>4251</v>
      </c>
      <c r="B2547" s="5">
        <v>1</v>
      </c>
      <c r="C2547" s="5">
        <v>1</v>
      </c>
      <c r="D2547" s="5" t="s">
        <v>269</v>
      </c>
      <c r="E2547" s="5" t="s">
        <v>271</v>
      </c>
      <c r="F2547" s="5" t="s">
        <v>248</v>
      </c>
      <c r="G2547" s="5" t="s">
        <v>266</v>
      </c>
      <c r="H2547" s="6" t="s">
        <v>4291</v>
      </c>
      <c r="I2547" s="7">
        <f>1752</f>
        <v>1752</v>
      </c>
      <c r="J2547" s="5" t="s">
        <v>262</v>
      </c>
      <c r="K2547" s="8">
        <f>1</f>
        <v>1</v>
      </c>
      <c r="L2547" s="6" t="s">
        <v>242</v>
      </c>
      <c r="M2547" s="5" t="s">
        <v>267</v>
      </c>
      <c r="N2547" s="5" t="s">
        <v>265</v>
      </c>
      <c r="O2547" s="5" t="s">
        <v>238</v>
      </c>
      <c r="P2547" s="5" t="s">
        <v>238</v>
      </c>
      <c r="Q2547" s="5" t="s">
        <v>268</v>
      </c>
      <c r="R2547" s="5" t="s">
        <v>270</v>
      </c>
      <c r="S2547" s="5" t="s">
        <v>238</v>
      </c>
      <c r="V2547" s="5" t="s">
        <v>238</v>
      </c>
      <c r="X2547" s="6" t="s">
        <v>238</v>
      </c>
      <c r="AA2547" s="6" t="s">
        <v>243</v>
      </c>
      <c r="AB2547" s="5" t="s">
        <v>238</v>
      </c>
      <c r="AC2547" s="5" t="s">
        <v>244</v>
      </c>
      <c r="AD2547" s="5" t="s">
        <v>245</v>
      </c>
      <c r="AT2547" s="5" t="s">
        <v>246</v>
      </c>
      <c r="AU2547" s="5" t="s">
        <v>238</v>
      </c>
      <c r="AV2547" s="5" t="s">
        <v>247</v>
      </c>
      <c r="AW2547" s="5" t="s">
        <v>238</v>
      </c>
      <c r="AX2547" s="5" t="s">
        <v>249</v>
      </c>
      <c r="AY2547" s="5" t="s">
        <v>238</v>
      </c>
      <c r="BA2547" s="5" t="s">
        <v>238</v>
      </c>
      <c r="BC2547" s="5" t="s">
        <v>250</v>
      </c>
      <c r="BD2547" s="6" t="s">
        <v>243</v>
      </c>
      <c r="BE2547" s="5" t="s">
        <v>251</v>
      </c>
      <c r="BF2547" s="5" t="s">
        <v>252</v>
      </c>
      <c r="BG2547" s="5" t="s">
        <v>238</v>
      </c>
      <c r="BH2547" s="7">
        <f>0</f>
        <v>0</v>
      </c>
      <c r="BI2547" s="8">
        <f>0</f>
        <v>0</v>
      </c>
      <c r="BJ2547" s="5" t="s">
        <v>253</v>
      </c>
      <c r="BK2547" s="5" t="s">
        <v>254</v>
      </c>
      <c r="BY2547" s="5" t="s">
        <v>238</v>
      </c>
      <c r="BZ2547" s="5" t="s">
        <v>238</v>
      </c>
      <c r="CD2547" s="5" t="s">
        <v>273</v>
      </c>
      <c r="CE2547" s="5" t="s">
        <v>256</v>
      </c>
      <c r="CF2547" s="5" t="s">
        <v>238</v>
      </c>
      <c r="CI2547" s="6" t="s">
        <v>257</v>
      </c>
      <c r="CJ2547" s="5" t="s">
        <v>238</v>
      </c>
      <c r="CK2547" s="5" t="s">
        <v>258</v>
      </c>
      <c r="CL2547" s="5" t="s">
        <v>238</v>
      </c>
      <c r="CM2547" s="5" t="s">
        <v>238</v>
      </c>
      <c r="CN2547" s="5">
        <v>0</v>
      </c>
      <c r="CO2547" s="5" t="s">
        <v>259</v>
      </c>
      <c r="CP2547" s="5" t="s">
        <v>260</v>
      </c>
      <c r="CQ2547" s="5" t="s">
        <v>260</v>
      </c>
      <c r="CR2547" s="5" t="s">
        <v>261</v>
      </c>
      <c r="CU2547" s="8">
        <f>1</f>
        <v>1</v>
      </c>
      <c r="CV2547" s="8">
        <f>0</f>
        <v>0</v>
      </c>
      <c r="CX2547" s="8">
        <f>0</f>
        <v>0</v>
      </c>
      <c r="CY2547" s="8">
        <f>1</f>
        <v>1</v>
      </c>
      <c r="DA2547" s="5" t="s">
        <v>274</v>
      </c>
      <c r="DB2547" s="5" t="s">
        <v>238</v>
      </c>
      <c r="DD2547" s="5" t="s">
        <v>274</v>
      </c>
      <c r="DE2547" s="8">
        <f>1752</f>
        <v>1752</v>
      </c>
      <c r="DG2547" s="5" t="s">
        <v>238</v>
      </c>
      <c r="DH2547" s="5" t="s">
        <v>238</v>
      </c>
      <c r="DI2547" s="5" t="s">
        <v>238</v>
      </c>
      <c r="DJ2547" s="5" t="s">
        <v>238</v>
      </c>
      <c r="DN2547" s="5" t="s">
        <v>238</v>
      </c>
      <c r="DO2547" s="5" t="s">
        <v>238</v>
      </c>
      <c r="DP2547" s="5" t="s">
        <v>238</v>
      </c>
      <c r="DQ2547" s="5" t="s">
        <v>238</v>
      </c>
      <c r="DT2547" s="5" t="s">
        <v>275</v>
      </c>
      <c r="DU2547" s="5" t="s">
        <v>2549</v>
      </c>
      <c r="HM2547" s="5" t="s">
        <v>264</v>
      </c>
    </row>
    <row r="2548" spans="1:221" x14ac:dyDescent="0.4">
      <c r="A2548" s="5">
        <v>4252</v>
      </c>
      <c r="B2548" s="5">
        <v>1</v>
      </c>
      <c r="C2548" s="5">
        <v>1</v>
      </c>
      <c r="D2548" s="5" t="s">
        <v>269</v>
      </c>
      <c r="E2548" s="5" t="s">
        <v>271</v>
      </c>
      <c r="F2548" s="5" t="s">
        <v>248</v>
      </c>
      <c r="G2548" s="5" t="s">
        <v>266</v>
      </c>
      <c r="H2548" s="6" t="s">
        <v>4294</v>
      </c>
      <c r="I2548" s="7">
        <f>122</f>
        <v>122</v>
      </c>
      <c r="J2548" s="5" t="s">
        <v>262</v>
      </c>
      <c r="K2548" s="8">
        <f>1</f>
        <v>1</v>
      </c>
      <c r="L2548" s="6" t="s">
        <v>242</v>
      </c>
      <c r="M2548" s="5" t="s">
        <v>267</v>
      </c>
      <c r="N2548" s="5" t="s">
        <v>265</v>
      </c>
      <c r="O2548" s="5" t="s">
        <v>238</v>
      </c>
      <c r="P2548" s="5" t="s">
        <v>238</v>
      </c>
      <c r="Q2548" s="5" t="s">
        <v>268</v>
      </c>
      <c r="R2548" s="5" t="s">
        <v>270</v>
      </c>
      <c r="S2548" s="5" t="s">
        <v>238</v>
      </c>
      <c r="V2548" s="5" t="s">
        <v>238</v>
      </c>
      <c r="X2548" s="6" t="s">
        <v>238</v>
      </c>
      <c r="AA2548" s="6" t="s">
        <v>243</v>
      </c>
      <c r="AB2548" s="5" t="s">
        <v>238</v>
      </c>
      <c r="AC2548" s="5" t="s">
        <v>244</v>
      </c>
      <c r="AD2548" s="5" t="s">
        <v>245</v>
      </c>
      <c r="AT2548" s="5" t="s">
        <v>246</v>
      </c>
      <c r="AU2548" s="5" t="s">
        <v>238</v>
      </c>
      <c r="AV2548" s="5" t="s">
        <v>247</v>
      </c>
      <c r="AW2548" s="5" t="s">
        <v>238</v>
      </c>
      <c r="AX2548" s="5" t="s">
        <v>249</v>
      </c>
      <c r="AY2548" s="5" t="s">
        <v>238</v>
      </c>
      <c r="BA2548" s="5" t="s">
        <v>238</v>
      </c>
      <c r="BC2548" s="5" t="s">
        <v>250</v>
      </c>
      <c r="BD2548" s="6" t="s">
        <v>243</v>
      </c>
      <c r="BE2548" s="5" t="s">
        <v>251</v>
      </c>
      <c r="BF2548" s="5" t="s">
        <v>252</v>
      </c>
      <c r="BG2548" s="5" t="s">
        <v>238</v>
      </c>
      <c r="BH2548" s="7">
        <f>0</f>
        <v>0</v>
      </c>
      <c r="BI2548" s="8">
        <f>0</f>
        <v>0</v>
      </c>
      <c r="BJ2548" s="5" t="s">
        <v>253</v>
      </c>
      <c r="BK2548" s="5" t="s">
        <v>254</v>
      </c>
      <c r="BY2548" s="5" t="s">
        <v>238</v>
      </c>
      <c r="BZ2548" s="5" t="s">
        <v>238</v>
      </c>
      <c r="CD2548" s="5" t="s">
        <v>273</v>
      </c>
      <c r="CE2548" s="5" t="s">
        <v>256</v>
      </c>
      <c r="CF2548" s="5" t="s">
        <v>238</v>
      </c>
      <c r="CI2548" s="6" t="s">
        <v>257</v>
      </c>
      <c r="CJ2548" s="5" t="s">
        <v>238</v>
      </c>
      <c r="CK2548" s="5" t="s">
        <v>258</v>
      </c>
      <c r="CL2548" s="5" t="s">
        <v>238</v>
      </c>
      <c r="CM2548" s="5" t="s">
        <v>238</v>
      </c>
      <c r="CN2548" s="5">
        <v>0</v>
      </c>
      <c r="CO2548" s="5" t="s">
        <v>259</v>
      </c>
      <c r="CP2548" s="5" t="s">
        <v>260</v>
      </c>
      <c r="CQ2548" s="5" t="s">
        <v>260</v>
      </c>
      <c r="CR2548" s="5" t="s">
        <v>261</v>
      </c>
      <c r="CU2548" s="8">
        <f>1</f>
        <v>1</v>
      </c>
      <c r="CV2548" s="8">
        <f>0</f>
        <v>0</v>
      </c>
      <c r="CX2548" s="8">
        <f>0</f>
        <v>0</v>
      </c>
      <c r="CY2548" s="8">
        <f>1</f>
        <v>1</v>
      </c>
      <c r="DA2548" s="5" t="s">
        <v>274</v>
      </c>
      <c r="DB2548" s="5" t="s">
        <v>238</v>
      </c>
      <c r="DD2548" s="5" t="s">
        <v>274</v>
      </c>
      <c r="DE2548" s="8">
        <f>122</f>
        <v>122</v>
      </c>
      <c r="DG2548" s="5" t="s">
        <v>238</v>
      </c>
      <c r="DH2548" s="5" t="s">
        <v>238</v>
      </c>
      <c r="DI2548" s="5" t="s">
        <v>238</v>
      </c>
      <c r="DJ2548" s="5" t="s">
        <v>238</v>
      </c>
      <c r="DN2548" s="5" t="s">
        <v>238</v>
      </c>
      <c r="DO2548" s="5" t="s">
        <v>238</v>
      </c>
      <c r="DP2548" s="5" t="s">
        <v>238</v>
      </c>
      <c r="DQ2548" s="5" t="s">
        <v>238</v>
      </c>
      <c r="DT2548" s="5" t="s">
        <v>275</v>
      </c>
      <c r="DU2548" s="5" t="s">
        <v>2547</v>
      </c>
      <c r="HM2548" s="5" t="s">
        <v>264</v>
      </c>
    </row>
    <row r="2549" spans="1:221" x14ac:dyDescent="0.4">
      <c r="A2549" s="5">
        <v>4253</v>
      </c>
      <c r="B2549" s="5">
        <v>1</v>
      </c>
      <c r="C2549" s="5">
        <v>1</v>
      </c>
      <c r="D2549" s="5" t="s">
        <v>269</v>
      </c>
      <c r="E2549" s="5" t="s">
        <v>271</v>
      </c>
      <c r="F2549" s="5" t="s">
        <v>248</v>
      </c>
      <c r="G2549" s="5" t="s">
        <v>266</v>
      </c>
      <c r="H2549" s="6" t="s">
        <v>4300</v>
      </c>
      <c r="I2549" s="7">
        <f>812</f>
        <v>812</v>
      </c>
      <c r="J2549" s="5" t="s">
        <v>262</v>
      </c>
      <c r="K2549" s="8">
        <f>1</f>
        <v>1</v>
      </c>
      <c r="L2549" s="6" t="s">
        <v>242</v>
      </c>
      <c r="M2549" s="5" t="s">
        <v>267</v>
      </c>
      <c r="N2549" s="5" t="s">
        <v>265</v>
      </c>
      <c r="O2549" s="5" t="s">
        <v>238</v>
      </c>
      <c r="P2549" s="5" t="s">
        <v>238</v>
      </c>
      <c r="Q2549" s="5" t="s">
        <v>268</v>
      </c>
      <c r="R2549" s="5" t="s">
        <v>270</v>
      </c>
      <c r="S2549" s="5" t="s">
        <v>238</v>
      </c>
      <c r="V2549" s="5" t="s">
        <v>238</v>
      </c>
      <c r="X2549" s="6" t="s">
        <v>238</v>
      </c>
      <c r="AA2549" s="6" t="s">
        <v>243</v>
      </c>
      <c r="AB2549" s="5" t="s">
        <v>238</v>
      </c>
      <c r="AC2549" s="5" t="s">
        <v>244</v>
      </c>
      <c r="AD2549" s="5" t="s">
        <v>245</v>
      </c>
      <c r="AT2549" s="5" t="s">
        <v>246</v>
      </c>
      <c r="AU2549" s="5" t="s">
        <v>238</v>
      </c>
      <c r="AV2549" s="5" t="s">
        <v>247</v>
      </c>
      <c r="AW2549" s="5" t="s">
        <v>238</v>
      </c>
      <c r="AX2549" s="5" t="s">
        <v>249</v>
      </c>
      <c r="AY2549" s="5" t="s">
        <v>238</v>
      </c>
      <c r="BA2549" s="5" t="s">
        <v>238</v>
      </c>
      <c r="BC2549" s="5" t="s">
        <v>250</v>
      </c>
      <c r="BD2549" s="6" t="s">
        <v>243</v>
      </c>
      <c r="BE2549" s="5" t="s">
        <v>251</v>
      </c>
      <c r="BF2549" s="5" t="s">
        <v>252</v>
      </c>
      <c r="BG2549" s="5" t="s">
        <v>238</v>
      </c>
      <c r="BH2549" s="7">
        <f>0</f>
        <v>0</v>
      </c>
      <c r="BI2549" s="8">
        <f>0</f>
        <v>0</v>
      </c>
      <c r="BJ2549" s="5" t="s">
        <v>253</v>
      </c>
      <c r="BK2549" s="5" t="s">
        <v>254</v>
      </c>
      <c r="BY2549" s="5" t="s">
        <v>238</v>
      </c>
      <c r="BZ2549" s="5" t="s">
        <v>238</v>
      </c>
      <c r="CD2549" s="5" t="s">
        <v>273</v>
      </c>
      <c r="CE2549" s="5" t="s">
        <v>256</v>
      </c>
      <c r="CF2549" s="5" t="s">
        <v>238</v>
      </c>
      <c r="CI2549" s="6" t="s">
        <v>257</v>
      </c>
      <c r="CJ2549" s="5" t="s">
        <v>238</v>
      </c>
      <c r="CK2549" s="5" t="s">
        <v>258</v>
      </c>
      <c r="CL2549" s="5" t="s">
        <v>238</v>
      </c>
      <c r="CM2549" s="5" t="s">
        <v>238</v>
      </c>
      <c r="CN2549" s="5">
        <v>0</v>
      </c>
      <c r="CO2549" s="5" t="s">
        <v>259</v>
      </c>
      <c r="CP2549" s="5" t="s">
        <v>260</v>
      </c>
      <c r="CQ2549" s="5" t="s">
        <v>260</v>
      </c>
      <c r="CR2549" s="5" t="s">
        <v>261</v>
      </c>
      <c r="CU2549" s="8">
        <f>1</f>
        <v>1</v>
      </c>
      <c r="CV2549" s="8">
        <f>0</f>
        <v>0</v>
      </c>
      <c r="CX2549" s="8">
        <f>0</f>
        <v>0</v>
      </c>
      <c r="CY2549" s="8">
        <f>1</f>
        <v>1</v>
      </c>
      <c r="DA2549" s="5" t="s">
        <v>274</v>
      </c>
      <c r="DB2549" s="5" t="s">
        <v>238</v>
      </c>
      <c r="DD2549" s="5" t="s">
        <v>274</v>
      </c>
      <c r="DE2549" s="8">
        <f>812</f>
        <v>812</v>
      </c>
      <c r="DG2549" s="5" t="s">
        <v>238</v>
      </c>
      <c r="DH2549" s="5" t="s">
        <v>238</v>
      </c>
      <c r="DI2549" s="5" t="s">
        <v>238</v>
      </c>
      <c r="DJ2549" s="5" t="s">
        <v>238</v>
      </c>
      <c r="DN2549" s="5" t="s">
        <v>238</v>
      </c>
      <c r="DO2549" s="5" t="s">
        <v>238</v>
      </c>
      <c r="DP2549" s="5" t="s">
        <v>238</v>
      </c>
      <c r="DQ2549" s="5" t="s">
        <v>238</v>
      </c>
      <c r="DT2549" s="5" t="s">
        <v>275</v>
      </c>
      <c r="DU2549" s="5" t="s">
        <v>2545</v>
      </c>
      <c r="HM2549" s="5" t="s">
        <v>264</v>
      </c>
    </row>
    <row r="2550" spans="1:221" x14ac:dyDescent="0.4">
      <c r="A2550" s="5">
        <v>4254</v>
      </c>
      <c r="B2550" s="5">
        <v>1</v>
      </c>
      <c r="C2550" s="5">
        <v>1</v>
      </c>
      <c r="D2550" s="5" t="s">
        <v>269</v>
      </c>
      <c r="E2550" s="5" t="s">
        <v>271</v>
      </c>
      <c r="F2550" s="5" t="s">
        <v>248</v>
      </c>
      <c r="G2550" s="5" t="s">
        <v>266</v>
      </c>
      <c r="H2550" s="6" t="s">
        <v>4302</v>
      </c>
      <c r="I2550" s="7">
        <f>302</f>
        <v>302</v>
      </c>
      <c r="J2550" s="5" t="s">
        <v>262</v>
      </c>
      <c r="K2550" s="8">
        <f>1</f>
        <v>1</v>
      </c>
      <c r="L2550" s="6" t="s">
        <v>242</v>
      </c>
      <c r="M2550" s="5" t="s">
        <v>267</v>
      </c>
      <c r="N2550" s="5" t="s">
        <v>265</v>
      </c>
      <c r="O2550" s="5" t="s">
        <v>238</v>
      </c>
      <c r="P2550" s="5" t="s">
        <v>238</v>
      </c>
      <c r="Q2550" s="5" t="s">
        <v>268</v>
      </c>
      <c r="R2550" s="5" t="s">
        <v>270</v>
      </c>
      <c r="S2550" s="5" t="s">
        <v>238</v>
      </c>
      <c r="V2550" s="5" t="s">
        <v>238</v>
      </c>
      <c r="X2550" s="6" t="s">
        <v>238</v>
      </c>
      <c r="AA2550" s="6" t="s">
        <v>243</v>
      </c>
      <c r="AB2550" s="5" t="s">
        <v>238</v>
      </c>
      <c r="AC2550" s="5" t="s">
        <v>244</v>
      </c>
      <c r="AD2550" s="5" t="s">
        <v>245</v>
      </c>
      <c r="AT2550" s="5" t="s">
        <v>246</v>
      </c>
      <c r="AU2550" s="5" t="s">
        <v>238</v>
      </c>
      <c r="AV2550" s="5" t="s">
        <v>247</v>
      </c>
      <c r="AW2550" s="5" t="s">
        <v>238</v>
      </c>
      <c r="AX2550" s="5" t="s">
        <v>249</v>
      </c>
      <c r="AY2550" s="5" t="s">
        <v>238</v>
      </c>
      <c r="BA2550" s="5" t="s">
        <v>238</v>
      </c>
      <c r="BC2550" s="5" t="s">
        <v>250</v>
      </c>
      <c r="BD2550" s="6" t="s">
        <v>243</v>
      </c>
      <c r="BE2550" s="5" t="s">
        <v>251</v>
      </c>
      <c r="BF2550" s="5" t="s">
        <v>252</v>
      </c>
      <c r="BG2550" s="5" t="s">
        <v>238</v>
      </c>
      <c r="BH2550" s="7">
        <f>0</f>
        <v>0</v>
      </c>
      <c r="BI2550" s="8">
        <f>0</f>
        <v>0</v>
      </c>
      <c r="BJ2550" s="5" t="s">
        <v>253</v>
      </c>
      <c r="BK2550" s="5" t="s">
        <v>254</v>
      </c>
      <c r="BY2550" s="5" t="s">
        <v>238</v>
      </c>
      <c r="BZ2550" s="5" t="s">
        <v>238</v>
      </c>
      <c r="CD2550" s="5" t="s">
        <v>273</v>
      </c>
      <c r="CE2550" s="5" t="s">
        <v>256</v>
      </c>
      <c r="CF2550" s="5" t="s">
        <v>238</v>
      </c>
      <c r="CI2550" s="6" t="s">
        <v>257</v>
      </c>
      <c r="CJ2550" s="5" t="s">
        <v>238</v>
      </c>
      <c r="CK2550" s="5" t="s">
        <v>258</v>
      </c>
      <c r="CL2550" s="5" t="s">
        <v>238</v>
      </c>
      <c r="CM2550" s="5" t="s">
        <v>238</v>
      </c>
      <c r="CN2550" s="5">
        <v>0</v>
      </c>
      <c r="CO2550" s="5" t="s">
        <v>259</v>
      </c>
      <c r="CP2550" s="5" t="s">
        <v>260</v>
      </c>
      <c r="CQ2550" s="5" t="s">
        <v>260</v>
      </c>
      <c r="CR2550" s="5" t="s">
        <v>261</v>
      </c>
      <c r="CU2550" s="8">
        <f>1</f>
        <v>1</v>
      </c>
      <c r="CV2550" s="8">
        <f>0</f>
        <v>0</v>
      </c>
      <c r="CX2550" s="8">
        <f>0</f>
        <v>0</v>
      </c>
      <c r="CY2550" s="8">
        <f>1</f>
        <v>1</v>
      </c>
      <c r="DA2550" s="5" t="s">
        <v>274</v>
      </c>
      <c r="DB2550" s="5" t="s">
        <v>238</v>
      </c>
      <c r="DD2550" s="5" t="s">
        <v>274</v>
      </c>
      <c r="DE2550" s="8">
        <f>302</f>
        <v>302</v>
      </c>
      <c r="DG2550" s="5" t="s">
        <v>238</v>
      </c>
      <c r="DH2550" s="5" t="s">
        <v>238</v>
      </c>
      <c r="DI2550" s="5" t="s">
        <v>238</v>
      </c>
      <c r="DJ2550" s="5" t="s">
        <v>238</v>
      </c>
      <c r="DN2550" s="5" t="s">
        <v>238</v>
      </c>
      <c r="DO2550" s="5" t="s">
        <v>238</v>
      </c>
      <c r="DP2550" s="5" t="s">
        <v>238</v>
      </c>
      <c r="DQ2550" s="5" t="s">
        <v>238</v>
      </c>
      <c r="DT2550" s="5" t="s">
        <v>275</v>
      </c>
      <c r="DU2550" s="5" t="s">
        <v>2542</v>
      </c>
      <c r="HM2550" s="5" t="s">
        <v>264</v>
      </c>
    </row>
    <row r="2551" spans="1:221" x14ac:dyDescent="0.4">
      <c r="A2551" s="5">
        <v>4255</v>
      </c>
      <c r="B2551" s="5">
        <v>1</v>
      </c>
      <c r="C2551" s="5">
        <v>1</v>
      </c>
      <c r="D2551" s="5" t="s">
        <v>269</v>
      </c>
      <c r="E2551" s="5" t="s">
        <v>271</v>
      </c>
      <c r="F2551" s="5" t="s">
        <v>248</v>
      </c>
      <c r="G2551" s="5" t="s">
        <v>266</v>
      </c>
      <c r="H2551" s="6" t="s">
        <v>4308</v>
      </c>
      <c r="I2551" s="7">
        <f>3831</f>
        <v>3831</v>
      </c>
      <c r="J2551" s="5" t="s">
        <v>262</v>
      </c>
      <c r="K2551" s="8">
        <f>1</f>
        <v>1</v>
      </c>
      <c r="L2551" s="6" t="s">
        <v>242</v>
      </c>
      <c r="M2551" s="5" t="s">
        <v>267</v>
      </c>
      <c r="N2551" s="5" t="s">
        <v>265</v>
      </c>
      <c r="O2551" s="5" t="s">
        <v>238</v>
      </c>
      <c r="P2551" s="5" t="s">
        <v>238</v>
      </c>
      <c r="Q2551" s="5" t="s">
        <v>268</v>
      </c>
      <c r="R2551" s="5" t="s">
        <v>270</v>
      </c>
      <c r="S2551" s="5" t="s">
        <v>238</v>
      </c>
      <c r="V2551" s="5" t="s">
        <v>238</v>
      </c>
      <c r="X2551" s="6" t="s">
        <v>238</v>
      </c>
      <c r="AA2551" s="6" t="s">
        <v>243</v>
      </c>
      <c r="AB2551" s="5" t="s">
        <v>238</v>
      </c>
      <c r="AC2551" s="5" t="s">
        <v>244</v>
      </c>
      <c r="AD2551" s="5" t="s">
        <v>245</v>
      </c>
      <c r="AT2551" s="5" t="s">
        <v>246</v>
      </c>
      <c r="AU2551" s="5" t="s">
        <v>238</v>
      </c>
      <c r="AV2551" s="5" t="s">
        <v>247</v>
      </c>
      <c r="AW2551" s="5" t="s">
        <v>238</v>
      </c>
      <c r="AX2551" s="5" t="s">
        <v>249</v>
      </c>
      <c r="AY2551" s="5" t="s">
        <v>238</v>
      </c>
      <c r="BA2551" s="5" t="s">
        <v>238</v>
      </c>
      <c r="BC2551" s="5" t="s">
        <v>250</v>
      </c>
      <c r="BD2551" s="6" t="s">
        <v>243</v>
      </c>
      <c r="BE2551" s="5" t="s">
        <v>251</v>
      </c>
      <c r="BF2551" s="5" t="s">
        <v>252</v>
      </c>
      <c r="BG2551" s="5" t="s">
        <v>238</v>
      </c>
      <c r="BH2551" s="7">
        <f>0</f>
        <v>0</v>
      </c>
      <c r="BI2551" s="8">
        <f>0</f>
        <v>0</v>
      </c>
      <c r="BJ2551" s="5" t="s">
        <v>253</v>
      </c>
      <c r="BK2551" s="5" t="s">
        <v>254</v>
      </c>
      <c r="BY2551" s="5" t="s">
        <v>238</v>
      </c>
      <c r="BZ2551" s="5" t="s">
        <v>238</v>
      </c>
      <c r="CD2551" s="5" t="s">
        <v>273</v>
      </c>
      <c r="CE2551" s="5" t="s">
        <v>256</v>
      </c>
      <c r="CF2551" s="5" t="s">
        <v>238</v>
      </c>
      <c r="CI2551" s="6" t="s">
        <v>257</v>
      </c>
      <c r="CJ2551" s="5" t="s">
        <v>238</v>
      </c>
      <c r="CK2551" s="5" t="s">
        <v>258</v>
      </c>
      <c r="CL2551" s="5" t="s">
        <v>238</v>
      </c>
      <c r="CM2551" s="5" t="s">
        <v>238</v>
      </c>
      <c r="CN2551" s="5">
        <v>0</v>
      </c>
      <c r="CO2551" s="5" t="s">
        <v>259</v>
      </c>
      <c r="CP2551" s="5" t="s">
        <v>260</v>
      </c>
      <c r="CQ2551" s="5" t="s">
        <v>260</v>
      </c>
      <c r="CR2551" s="5" t="s">
        <v>261</v>
      </c>
      <c r="CU2551" s="8">
        <f>1</f>
        <v>1</v>
      </c>
      <c r="CV2551" s="8">
        <f>0</f>
        <v>0</v>
      </c>
      <c r="CX2551" s="8">
        <f>0</f>
        <v>0</v>
      </c>
      <c r="CY2551" s="8">
        <f>1</f>
        <v>1</v>
      </c>
      <c r="DA2551" s="5" t="s">
        <v>274</v>
      </c>
      <c r="DB2551" s="5" t="s">
        <v>238</v>
      </c>
      <c r="DD2551" s="5" t="s">
        <v>274</v>
      </c>
      <c r="DE2551" s="8">
        <f>3831</f>
        <v>3831</v>
      </c>
      <c r="DG2551" s="5" t="s">
        <v>238</v>
      </c>
      <c r="DH2551" s="5" t="s">
        <v>238</v>
      </c>
      <c r="DI2551" s="5" t="s">
        <v>238</v>
      </c>
      <c r="DJ2551" s="5" t="s">
        <v>238</v>
      </c>
      <c r="DN2551" s="5" t="s">
        <v>238</v>
      </c>
      <c r="DO2551" s="5" t="s">
        <v>238</v>
      </c>
      <c r="DP2551" s="5" t="s">
        <v>238</v>
      </c>
      <c r="DQ2551" s="5" t="s">
        <v>238</v>
      </c>
      <c r="DT2551" s="5" t="s">
        <v>275</v>
      </c>
      <c r="DU2551" s="5" t="s">
        <v>2540</v>
      </c>
      <c r="HM2551" s="5" t="s">
        <v>264</v>
      </c>
    </row>
    <row r="2552" spans="1:221" x14ac:dyDescent="0.4">
      <c r="A2552" s="5">
        <v>4256</v>
      </c>
      <c r="B2552" s="5">
        <v>1</v>
      </c>
      <c r="C2552" s="5">
        <v>1</v>
      </c>
      <c r="D2552" s="5" t="s">
        <v>269</v>
      </c>
      <c r="E2552" s="5" t="s">
        <v>271</v>
      </c>
      <c r="F2552" s="5" t="s">
        <v>248</v>
      </c>
      <c r="G2552" s="5" t="s">
        <v>266</v>
      </c>
      <c r="H2552" s="6" t="s">
        <v>4310</v>
      </c>
      <c r="I2552" s="7">
        <f>904</f>
        <v>904</v>
      </c>
      <c r="J2552" s="5" t="s">
        <v>262</v>
      </c>
      <c r="K2552" s="8">
        <f>1</f>
        <v>1</v>
      </c>
      <c r="L2552" s="6" t="s">
        <v>242</v>
      </c>
      <c r="M2552" s="5" t="s">
        <v>267</v>
      </c>
      <c r="N2552" s="5" t="s">
        <v>265</v>
      </c>
      <c r="O2552" s="5" t="s">
        <v>238</v>
      </c>
      <c r="P2552" s="5" t="s">
        <v>238</v>
      </c>
      <c r="Q2552" s="5" t="s">
        <v>268</v>
      </c>
      <c r="R2552" s="5" t="s">
        <v>270</v>
      </c>
      <c r="S2552" s="5" t="s">
        <v>238</v>
      </c>
      <c r="V2552" s="5" t="s">
        <v>238</v>
      </c>
      <c r="X2552" s="6" t="s">
        <v>238</v>
      </c>
      <c r="AA2552" s="6" t="s">
        <v>243</v>
      </c>
      <c r="AB2552" s="5" t="s">
        <v>238</v>
      </c>
      <c r="AC2552" s="5" t="s">
        <v>244</v>
      </c>
      <c r="AD2552" s="5" t="s">
        <v>245</v>
      </c>
      <c r="AT2552" s="5" t="s">
        <v>246</v>
      </c>
      <c r="AU2552" s="5" t="s">
        <v>238</v>
      </c>
      <c r="AV2552" s="5" t="s">
        <v>247</v>
      </c>
      <c r="AW2552" s="5" t="s">
        <v>238</v>
      </c>
      <c r="AX2552" s="5" t="s">
        <v>249</v>
      </c>
      <c r="AY2552" s="5" t="s">
        <v>238</v>
      </c>
      <c r="BA2552" s="5" t="s">
        <v>238</v>
      </c>
      <c r="BC2552" s="5" t="s">
        <v>250</v>
      </c>
      <c r="BD2552" s="6" t="s">
        <v>243</v>
      </c>
      <c r="BE2552" s="5" t="s">
        <v>251</v>
      </c>
      <c r="BF2552" s="5" t="s">
        <v>252</v>
      </c>
      <c r="BG2552" s="5" t="s">
        <v>238</v>
      </c>
      <c r="BH2552" s="7">
        <f>0</f>
        <v>0</v>
      </c>
      <c r="BI2552" s="8">
        <f>0</f>
        <v>0</v>
      </c>
      <c r="BJ2552" s="5" t="s">
        <v>253</v>
      </c>
      <c r="BK2552" s="5" t="s">
        <v>254</v>
      </c>
      <c r="BY2552" s="5" t="s">
        <v>238</v>
      </c>
      <c r="BZ2552" s="5" t="s">
        <v>238</v>
      </c>
      <c r="CD2552" s="5" t="s">
        <v>273</v>
      </c>
      <c r="CE2552" s="5" t="s">
        <v>256</v>
      </c>
      <c r="CF2552" s="5" t="s">
        <v>238</v>
      </c>
      <c r="CI2552" s="6" t="s">
        <v>257</v>
      </c>
      <c r="CJ2552" s="5" t="s">
        <v>238</v>
      </c>
      <c r="CK2552" s="5" t="s">
        <v>258</v>
      </c>
      <c r="CL2552" s="5" t="s">
        <v>238</v>
      </c>
      <c r="CM2552" s="5" t="s">
        <v>238</v>
      </c>
      <c r="CN2552" s="5">
        <v>0</v>
      </c>
      <c r="CO2552" s="5" t="s">
        <v>259</v>
      </c>
      <c r="CP2552" s="5" t="s">
        <v>260</v>
      </c>
      <c r="CQ2552" s="5" t="s">
        <v>260</v>
      </c>
      <c r="CR2552" s="5" t="s">
        <v>261</v>
      </c>
      <c r="CU2552" s="8">
        <f>1</f>
        <v>1</v>
      </c>
      <c r="CV2552" s="8">
        <f>0</f>
        <v>0</v>
      </c>
      <c r="CX2552" s="8">
        <f>0</f>
        <v>0</v>
      </c>
      <c r="CY2552" s="8">
        <f>1</f>
        <v>1</v>
      </c>
      <c r="DA2552" s="5" t="s">
        <v>274</v>
      </c>
      <c r="DB2552" s="5" t="s">
        <v>238</v>
      </c>
      <c r="DD2552" s="5" t="s">
        <v>274</v>
      </c>
      <c r="DE2552" s="8">
        <f>904</f>
        <v>904</v>
      </c>
      <c r="DG2552" s="5" t="s">
        <v>238</v>
      </c>
      <c r="DH2552" s="5" t="s">
        <v>238</v>
      </c>
      <c r="DI2552" s="5" t="s">
        <v>238</v>
      </c>
      <c r="DJ2552" s="5" t="s">
        <v>238</v>
      </c>
      <c r="DN2552" s="5" t="s">
        <v>238</v>
      </c>
      <c r="DO2552" s="5" t="s">
        <v>238</v>
      </c>
      <c r="DP2552" s="5" t="s">
        <v>238</v>
      </c>
      <c r="DQ2552" s="5" t="s">
        <v>238</v>
      </c>
      <c r="DT2552" s="5" t="s">
        <v>275</v>
      </c>
      <c r="DU2552" s="5" t="s">
        <v>2538</v>
      </c>
      <c r="HM2552" s="5" t="s">
        <v>264</v>
      </c>
    </row>
    <row r="2553" spans="1:221" x14ac:dyDescent="0.4">
      <c r="A2553" s="5">
        <v>4257</v>
      </c>
      <c r="B2553" s="5">
        <v>1</v>
      </c>
      <c r="C2553" s="5">
        <v>1</v>
      </c>
      <c r="D2553" s="5" t="s">
        <v>269</v>
      </c>
      <c r="E2553" s="5" t="s">
        <v>271</v>
      </c>
      <c r="F2553" s="5" t="s">
        <v>248</v>
      </c>
      <c r="G2553" s="5" t="s">
        <v>266</v>
      </c>
      <c r="H2553" s="6" t="s">
        <v>4315</v>
      </c>
      <c r="I2553" s="7">
        <f>321</f>
        <v>321</v>
      </c>
      <c r="J2553" s="5" t="s">
        <v>262</v>
      </c>
      <c r="K2553" s="8">
        <f>1</f>
        <v>1</v>
      </c>
      <c r="L2553" s="6" t="s">
        <v>242</v>
      </c>
      <c r="M2553" s="5" t="s">
        <v>267</v>
      </c>
      <c r="N2553" s="5" t="s">
        <v>265</v>
      </c>
      <c r="O2553" s="5" t="s">
        <v>238</v>
      </c>
      <c r="P2553" s="5" t="s">
        <v>238</v>
      </c>
      <c r="Q2553" s="5" t="s">
        <v>268</v>
      </c>
      <c r="R2553" s="5" t="s">
        <v>270</v>
      </c>
      <c r="S2553" s="5" t="s">
        <v>238</v>
      </c>
      <c r="V2553" s="5" t="s">
        <v>238</v>
      </c>
      <c r="X2553" s="6" t="s">
        <v>238</v>
      </c>
      <c r="AA2553" s="6" t="s">
        <v>243</v>
      </c>
      <c r="AB2553" s="5" t="s">
        <v>238</v>
      </c>
      <c r="AC2553" s="5" t="s">
        <v>244</v>
      </c>
      <c r="AD2553" s="5" t="s">
        <v>245</v>
      </c>
      <c r="AT2553" s="5" t="s">
        <v>246</v>
      </c>
      <c r="AU2553" s="5" t="s">
        <v>238</v>
      </c>
      <c r="AV2553" s="5" t="s">
        <v>247</v>
      </c>
      <c r="AW2553" s="5" t="s">
        <v>238</v>
      </c>
      <c r="AX2553" s="5" t="s">
        <v>249</v>
      </c>
      <c r="AY2553" s="5" t="s">
        <v>238</v>
      </c>
      <c r="BA2553" s="5" t="s">
        <v>238</v>
      </c>
      <c r="BC2553" s="5" t="s">
        <v>250</v>
      </c>
      <c r="BD2553" s="6" t="s">
        <v>243</v>
      </c>
      <c r="BE2553" s="5" t="s">
        <v>251</v>
      </c>
      <c r="BF2553" s="5" t="s">
        <v>252</v>
      </c>
      <c r="BG2553" s="5" t="s">
        <v>238</v>
      </c>
      <c r="BH2553" s="7">
        <f>0</f>
        <v>0</v>
      </c>
      <c r="BI2553" s="8">
        <f>0</f>
        <v>0</v>
      </c>
      <c r="BJ2553" s="5" t="s">
        <v>253</v>
      </c>
      <c r="BK2553" s="5" t="s">
        <v>254</v>
      </c>
      <c r="BY2553" s="5" t="s">
        <v>238</v>
      </c>
      <c r="BZ2553" s="5" t="s">
        <v>238</v>
      </c>
      <c r="CD2553" s="5" t="s">
        <v>273</v>
      </c>
      <c r="CE2553" s="5" t="s">
        <v>256</v>
      </c>
      <c r="CF2553" s="5" t="s">
        <v>238</v>
      </c>
      <c r="CI2553" s="6" t="s">
        <v>257</v>
      </c>
      <c r="CJ2553" s="5" t="s">
        <v>238</v>
      </c>
      <c r="CK2553" s="5" t="s">
        <v>258</v>
      </c>
      <c r="CL2553" s="5" t="s">
        <v>238</v>
      </c>
      <c r="CM2553" s="5" t="s">
        <v>238</v>
      </c>
      <c r="CN2553" s="5">
        <v>0</v>
      </c>
      <c r="CO2553" s="5" t="s">
        <v>259</v>
      </c>
      <c r="CP2553" s="5" t="s">
        <v>260</v>
      </c>
      <c r="CQ2553" s="5" t="s">
        <v>260</v>
      </c>
      <c r="CR2553" s="5" t="s">
        <v>261</v>
      </c>
      <c r="CU2553" s="8">
        <f>1</f>
        <v>1</v>
      </c>
      <c r="CV2553" s="8">
        <f>0</f>
        <v>0</v>
      </c>
      <c r="CX2553" s="8">
        <f>0</f>
        <v>0</v>
      </c>
      <c r="CY2553" s="8">
        <f>1</f>
        <v>1</v>
      </c>
      <c r="DA2553" s="5" t="s">
        <v>274</v>
      </c>
      <c r="DB2553" s="5" t="s">
        <v>238</v>
      </c>
      <c r="DD2553" s="5" t="s">
        <v>274</v>
      </c>
      <c r="DE2553" s="8">
        <f>321</f>
        <v>321</v>
      </c>
      <c r="DG2553" s="5" t="s">
        <v>238</v>
      </c>
      <c r="DH2553" s="5" t="s">
        <v>238</v>
      </c>
      <c r="DI2553" s="5" t="s">
        <v>238</v>
      </c>
      <c r="DJ2553" s="5" t="s">
        <v>238</v>
      </c>
      <c r="DN2553" s="5" t="s">
        <v>238</v>
      </c>
      <c r="DO2553" s="5" t="s">
        <v>238</v>
      </c>
      <c r="DP2553" s="5" t="s">
        <v>238</v>
      </c>
      <c r="DQ2553" s="5" t="s">
        <v>238</v>
      </c>
      <c r="DT2553" s="5" t="s">
        <v>275</v>
      </c>
      <c r="DU2553" s="5" t="s">
        <v>2536</v>
      </c>
      <c r="HM2553" s="5" t="s">
        <v>264</v>
      </c>
    </row>
    <row r="2554" spans="1:221" x14ac:dyDescent="0.4">
      <c r="A2554" s="5">
        <v>4258</v>
      </c>
      <c r="B2554" s="5">
        <v>1</v>
      </c>
      <c r="C2554" s="5">
        <v>1</v>
      </c>
      <c r="D2554" s="5" t="s">
        <v>269</v>
      </c>
      <c r="E2554" s="5" t="s">
        <v>271</v>
      </c>
      <c r="F2554" s="5" t="s">
        <v>248</v>
      </c>
      <c r="G2554" s="5" t="s">
        <v>266</v>
      </c>
      <c r="H2554" s="6" t="s">
        <v>4316</v>
      </c>
      <c r="I2554" s="7">
        <f>247</f>
        <v>247</v>
      </c>
      <c r="J2554" s="5" t="s">
        <v>262</v>
      </c>
      <c r="K2554" s="8">
        <f>1</f>
        <v>1</v>
      </c>
      <c r="L2554" s="6" t="s">
        <v>242</v>
      </c>
      <c r="M2554" s="5" t="s">
        <v>267</v>
      </c>
      <c r="N2554" s="5" t="s">
        <v>265</v>
      </c>
      <c r="O2554" s="5" t="s">
        <v>238</v>
      </c>
      <c r="P2554" s="5" t="s">
        <v>238</v>
      </c>
      <c r="Q2554" s="5" t="s">
        <v>268</v>
      </c>
      <c r="R2554" s="5" t="s">
        <v>270</v>
      </c>
      <c r="S2554" s="5" t="s">
        <v>238</v>
      </c>
      <c r="V2554" s="5" t="s">
        <v>238</v>
      </c>
      <c r="X2554" s="6" t="s">
        <v>238</v>
      </c>
      <c r="AA2554" s="6" t="s">
        <v>243</v>
      </c>
      <c r="AB2554" s="5" t="s">
        <v>238</v>
      </c>
      <c r="AC2554" s="5" t="s">
        <v>244</v>
      </c>
      <c r="AD2554" s="5" t="s">
        <v>245</v>
      </c>
      <c r="AT2554" s="5" t="s">
        <v>246</v>
      </c>
      <c r="AU2554" s="5" t="s">
        <v>238</v>
      </c>
      <c r="AV2554" s="5" t="s">
        <v>247</v>
      </c>
      <c r="AW2554" s="5" t="s">
        <v>238</v>
      </c>
      <c r="AX2554" s="5" t="s">
        <v>249</v>
      </c>
      <c r="AY2554" s="5" t="s">
        <v>238</v>
      </c>
      <c r="BA2554" s="5" t="s">
        <v>238</v>
      </c>
      <c r="BC2554" s="5" t="s">
        <v>250</v>
      </c>
      <c r="BD2554" s="6" t="s">
        <v>243</v>
      </c>
      <c r="BE2554" s="5" t="s">
        <v>251</v>
      </c>
      <c r="BF2554" s="5" t="s">
        <v>252</v>
      </c>
      <c r="BG2554" s="5" t="s">
        <v>238</v>
      </c>
      <c r="BH2554" s="7">
        <f>0</f>
        <v>0</v>
      </c>
      <c r="BI2554" s="8">
        <f>0</f>
        <v>0</v>
      </c>
      <c r="BJ2554" s="5" t="s">
        <v>253</v>
      </c>
      <c r="BK2554" s="5" t="s">
        <v>254</v>
      </c>
      <c r="BY2554" s="5" t="s">
        <v>238</v>
      </c>
      <c r="BZ2554" s="5" t="s">
        <v>238</v>
      </c>
      <c r="CD2554" s="5" t="s">
        <v>273</v>
      </c>
      <c r="CE2554" s="5" t="s">
        <v>256</v>
      </c>
      <c r="CF2554" s="5" t="s">
        <v>238</v>
      </c>
      <c r="CI2554" s="6" t="s">
        <v>257</v>
      </c>
      <c r="CJ2554" s="5" t="s">
        <v>238</v>
      </c>
      <c r="CK2554" s="5" t="s">
        <v>258</v>
      </c>
      <c r="CL2554" s="5" t="s">
        <v>238</v>
      </c>
      <c r="CM2554" s="5" t="s">
        <v>238</v>
      </c>
      <c r="CN2554" s="5">
        <v>0</v>
      </c>
      <c r="CO2554" s="5" t="s">
        <v>259</v>
      </c>
      <c r="CP2554" s="5" t="s">
        <v>260</v>
      </c>
      <c r="CQ2554" s="5" t="s">
        <v>260</v>
      </c>
      <c r="CR2554" s="5" t="s">
        <v>261</v>
      </c>
      <c r="CU2554" s="8">
        <f>1</f>
        <v>1</v>
      </c>
      <c r="CV2554" s="8">
        <f>0</f>
        <v>0</v>
      </c>
      <c r="CX2554" s="8">
        <f>0</f>
        <v>0</v>
      </c>
      <c r="CY2554" s="8">
        <f>1</f>
        <v>1</v>
      </c>
      <c r="DA2554" s="5" t="s">
        <v>274</v>
      </c>
      <c r="DB2554" s="5" t="s">
        <v>238</v>
      </c>
      <c r="DD2554" s="5" t="s">
        <v>274</v>
      </c>
      <c r="DE2554" s="8">
        <f>247</f>
        <v>247</v>
      </c>
      <c r="DG2554" s="5" t="s">
        <v>238</v>
      </c>
      <c r="DH2554" s="5" t="s">
        <v>238</v>
      </c>
      <c r="DI2554" s="5" t="s">
        <v>238</v>
      </c>
      <c r="DJ2554" s="5" t="s">
        <v>238</v>
      </c>
      <c r="DN2554" s="5" t="s">
        <v>238</v>
      </c>
      <c r="DO2554" s="5" t="s">
        <v>238</v>
      </c>
      <c r="DP2554" s="5" t="s">
        <v>238</v>
      </c>
      <c r="DQ2554" s="5" t="s">
        <v>238</v>
      </c>
      <c r="DT2554" s="5" t="s">
        <v>275</v>
      </c>
      <c r="DU2554" s="5" t="s">
        <v>2534</v>
      </c>
      <c r="HM2554" s="5" t="s">
        <v>264</v>
      </c>
    </row>
    <row r="2555" spans="1:221" x14ac:dyDescent="0.4">
      <c r="A2555" s="5">
        <v>4259</v>
      </c>
      <c r="B2555" s="5">
        <v>1</v>
      </c>
      <c r="C2555" s="5">
        <v>1</v>
      </c>
      <c r="D2555" s="5" t="s">
        <v>269</v>
      </c>
      <c r="E2555" s="5" t="s">
        <v>271</v>
      </c>
      <c r="F2555" s="5" t="s">
        <v>248</v>
      </c>
      <c r="G2555" s="5" t="s">
        <v>266</v>
      </c>
      <c r="H2555" s="6" t="s">
        <v>4320</v>
      </c>
      <c r="I2555" s="7">
        <f>54</f>
        <v>54</v>
      </c>
      <c r="J2555" s="5" t="s">
        <v>262</v>
      </c>
      <c r="K2555" s="8">
        <f>1</f>
        <v>1</v>
      </c>
      <c r="L2555" s="6" t="s">
        <v>242</v>
      </c>
      <c r="M2555" s="5" t="s">
        <v>267</v>
      </c>
      <c r="N2555" s="5" t="s">
        <v>265</v>
      </c>
      <c r="O2555" s="5" t="s">
        <v>238</v>
      </c>
      <c r="P2555" s="5" t="s">
        <v>238</v>
      </c>
      <c r="Q2555" s="5" t="s">
        <v>268</v>
      </c>
      <c r="R2555" s="5" t="s">
        <v>270</v>
      </c>
      <c r="S2555" s="5" t="s">
        <v>238</v>
      </c>
      <c r="V2555" s="5" t="s">
        <v>238</v>
      </c>
      <c r="X2555" s="6" t="s">
        <v>238</v>
      </c>
      <c r="AA2555" s="6" t="s">
        <v>243</v>
      </c>
      <c r="AB2555" s="5" t="s">
        <v>238</v>
      </c>
      <c r="AC2555" s="5" t="s">
        <v>244</v>
      </c>
      <c r="AD2555" s="5" t="s">
        <v>245</v>
      </c>
      <c r="AT2555" s="5" t="s">
        <v>246</v>
      </c>
      <c r="AU2555" s="5" t="s">
        <v>238</v>
      </c>
      <c r="AV2555" s="5" t="s">
        <v>247</v>
      </c>
      <c r="AW2555" s="5" t="s">
        <v>238</v>
      </c>
      <c r="AX2555" s="5" t="s">
        <v>249</v>
      </c>
      <c r="AY2555" s="5" t="s">
        <v>238</v>
      </c>
      <c r="BA2555" s="5" t="s">
        <v>238</v>
      </c>
      <c r="BC2555" s="5" t="s">
        <v>250</v>
      </c>
      <c r="BD2555" s="6" t="s">
        <v>243</v>
      </c>
      <c r="BE2555" s="5" t="s">
        <v>251</v>
      </c>
      <c r="BF2555" s="5" t="s">
        <v>252</v>
      </c>
      <c r="BG2555" s="5" t="s">
        <v>238</v>
      </c>
      <c r="BH2555" s="7">
        <f>0</f>
        <v>0</v>
      </c>
      <c r="BI2555" s="8">
        <f>0</f>
        <v>0</v>
      </c>
      <c r="BJ2555" s="5" t="s">
        <v>253</v>
      </c>
      <c r="BK2555" s="5" t="s">
        <v>254</v>
      </c>
      <c r="BY2555" s="5" t="s">
        <v>238</v>
      </c>
      <c r="BZ2555" s="5" t="s">
        <v>238</v>
      </c>
      <c r="CD2555" s="5" t="s">
        <v>273</v>
      </c>
      <c r="CE2555" s="5" t="s">
        <v>256</v>
      </c>
      <c r="CF2555" s="5" t="s">
        <v>238</v>
      </c>
      <c r="CI2555" s="6" t="s">
        <v>257</v>
      </c>
      <c r="CJ2555" s="5" t="s">
        <v>238</v>
      </c>
      <c r="CK2555" s="5" t="s">
        <v>258</v>
      </c>
      <c r="CL2555" s="5" t="s">
        <v>238</v>
      </c>
      <c r="CM2555" s="5" t="s">
        <v>238</v>
      </c>
      <c r="CN2555" s="5">
        <v>0</v>
      </c>
      <c r="CO2555" s="5" t="s">
        <v>259</v>
      </c>
      <c r="CP2555" s="5" t="s">
        <v>260</v>
      </c>
      <c r="CQ2555" s="5" t="s">
        <v>260</v>
      </c>
      <c r="CR2555" s="5" t="s">
        <v>261</v>
      </c>
      <c r="CU2555" s="8">
        <f>1</f>
        <v>1</v>
      </c>
      <c r="CV2555" s="8">
        <f>0</f>
        <v>0</v>
      </c>
      <c r="CX2555" s="8">
        <f>0</f>
        <v>0</v>
      </c>
      <c r="CY2555" s="8">
        <f>1</f>
        <v>1</v>
      </c>
      <c r="DA2555" s="5" t="s">
        <v>274</v>
      </c>
      <c r="DB2555" s="5" t="s">
        <v>238</v>
      </c>
      <c r="DD2555" s="5" t="s">
        <v>274</v>
      </c>
      <c r="DE2555" s="8">
        <f>54</f>
        <v>54</v>
      </c>
      <c r="DG2555" s="5" t="s">
        <v>238</v>
      </c>
      <c r="DH2555" s="5" t="s">
        <v>238</v>
      </c>
      <c r="DI2555" s="5" t="s">
        <v>238</v>
      </c>
      <c r="DJ2555" s="5" t="s">
        <v>238</v>
      </c>
      <c r="DN2555" s="5" t="s">
        <v>238</v>
      </c>
      <c r="DO2555" s="5" t="s">
        <v>238</v>
      </c>
      <c r="DP2555" s="5" t="s">
        <v>238</v>
      </c>
      <c r="DQ2555" s="5" t="s">
        <v>238</v>
      </c>
      <c r="DT2555" s="5" t="s">
        <v>275</v>
      </c>
      <c r="DU2555" s="5" t="s">
        <v>2532</v>
      </c>
      <c r="HM2555" s="5" t="s">
        <v>264</v>
      </c>
    </row>
    <row r="2556" spans="1:221" x14ac:dyDescent="0.4">
      <c r="A2556" s="5">
        <v>4260</v>
      </c>
      <c r="B2556" s="5">
        <v>1</v>
      </c>
      <c r="C2556" s="5">
        <v>1</v>
      </c>
      <c r="D2556" s="5" t="s">
        <v>269</v>
      </c>
      <c r="E2556" s="5" t="s">
        <v>271</v>
      </c>
      <c r="F2556" s="5" t="s">
        <v>248</v>
      </c>
      <c r="G2556" s="5" t="s">
        <v>266</v>
      </c>
      <c r="H2556" s="6" t="s">
        <v>4323</v>
      </c>
      <c r="I2556" s="7">
        <f>210</f>
        <v>210</v>
      </c>
      <c r="J2556" s="5" t="s">
        <v>262</v>
      </c>
      <c r="K2556" s="8">
        <f>1</f>
        <v>1</v>
      </c>
      <c r="L2556" s="6" t="s">
        <v>242</v>
      </c>
      <c r="M2556" s="5" t="s">
        <v>267</v>
      </c>
      <c r="N2556" s="5" t="s">
        <v>265</v>
      </c>
      <c r="O2556" s="5" t="s">
        <v>238</v>
      </c>
      <c r="P2556" s="5" t="s">
        <v>238</v>
      </c>
      <c r="Q2556" s="5" t="s">
        <v>268</v>
      </c>
      <c r="R2556" s="5" t="s">
        <v>270</v>
      </c>
      <c r="S2556" s="5" t="s">
        <v>238</v>
      </c>
      <c r="V2556" s="5" t="s">
        <v>238</v>
      </c>
      <c r="X2556" s="6" t="s">
        <v>238</v>
      </c>
      <c r="AA2556" s="6" t="s">
        <v>243</v>
      </c>
      <c r="AB2556" s="5" t="s">
        <v>238</v>
      </c>
      <c r="AC2556" s="5" t="s">
        <v>244</v>
      </c>
      <c r="AD2556" s="5" t="s">
        <v>245</v>
      </c>
      <c r="AT2556" s="5" t="s">
        <v>246</v>
      </c>
      <c r="AU2556" s="5" t="s">
        <v>238</v>
      </c>
      <c r="AV2556" s="5" t="s">
        <v>247</v>
      </c>
      <c r="AW2556" s="5" t="s">
        <v>238</v>
      </c>
      <c r="AX2556" s="5" t="s">
        <v>249</v>
      </c>
      <c r="AY2556" s="5" t="s">
        <v>238</v>
      </c>
      <c r="BA2556" s="5" t="s">
        <v>238</v>
      </c>
      <c r="BC2556" s="5" t="s">
        <v>250</v>
      </c>
      <c r="BD2556" s="6" t="s">
        <v>243</v>
      </c>
      <c r="BE2556" s="5" t="s">
        <v>251</v>
      </c>
      <c r="BF2556" s="5" t="s">
        <v>252</v>
      </c>
      <c r="BG2556" s="5" t="s">
        <v>238</v>
      </c>
      <c r="BH2556" s="7">
        <f>0</f>
        <v>0</v>
      </c>
      <c r="BI2556" s="8">
        <f>0</f>
        <v>0</v>
      </c>
      <c r="BJ2556" s="5" t="s">
        <v>253</v>
      </c>
      <c r="BK2556" s="5" t="s">
        <v>254</v>
      </c>
      <c r="BY2556" s="5" t="s">
        <v>238</v>
      </c>
      <c r="BZ2556" s="5" t="s">
        <v>238</v>
      </c>
      <c r="CD2556" s="5" t="s">
        <v>273</v>
      </c>
      <c r="CE2556" s="5" t="s">
        <v>256</v>
      </c>
      <c r="CF2556" s="5" t="s">
        <v>238</v>
      </c>
      <c r="CI2556" s="6" t="s">
        <v>257</v>
      </c>
      <c r="CJ2556" s="5" t="s">
        <v>238</v>
      </c>
      <c r="CK2556" s="5" t="s">
        <v>258</v>
      </c>
      <c r="CL2556" s="5" t="s">
        <v>238</v>
      </c>
      <c r="CM2556" s="5" t="s">
        <v>238</v>
      </c>
      <c r="CN2556" s="5">
        <v>0</v>
      </c>
      <c r="CO2556" s="5" t="s">
        <v>259</v>
      </c>
      <c r="CP2556" s="5" t="s">
        <v>260</v>
      </c>
      <c r="CQ2556" s="5" t="s">
        <v>260</v>
      </c>
      <c r="CR2556" s="5" t="s">
        <v>261</v>
      </c>
      <c r="CU2556" s="8">
        <f>1</f>
        <v>1</v>
      </c>
      <c r="CV2556" s="8">
        <f>0</f>
        <v>0</v>
      </c>
      <c r="CX2556" s="8">
        <f>0</f>
        <v>0</v>
      </c>
      <c r="CY2556" s="8">
        <f>1</f>
        <v>1</v>
      </c>
      <c r="DA2556" s="5" t="s">
        <v>274</v>
      </c>
      <c r="DB2556" s="5" t="s">
        <v>238</v>
      </c>
      <c r="DD2556" s="5" t="s">
        <v>274</v>
      </c>
      <c r="DE2556" s="8">
        <f>210</f>
        <v>210</v>
      </c>
      <c r="DG2556" s="5" t="s">
        <v>238</v>
      </c>
      <c r="DH2556" s="5" t="s">
        <v>238</v>
      </c>
      <c r="DI2556" s="5" t="s">
        <v>238</v>
      </c>
      <c r="DJ2556" s="5" t="s">
        <v>238</v>
      </c>
      <c r="DN2556" s="5" t="s">
        <v>238</v>
      </c>
      <c r="DO2556" s="5" t="s">
        <v>238</v>
      </c>
      <c r="DP2556" s="5" t="s">
        <v>238</v>
      </c>
      <c r="DQ2556" s="5" t="s">
        <v>238</v>
      </c>
      <c r="DT2556" s="5" t="s">
        <v>275</v>
      </c>
      <c r="DU2556" s="5" t="s">
        <v>2530</v>
      </c>
      <c r="HM2556" s="5" t="s">
        <v>264</v>
      </c>
    </row>
    <row r="2557" spans="1:221" x14ac:dyDescent="0.4">
      <c r="A2557" s="5">
        <v>4261</v>
      </c>
      <c r="B2557" s="5">
        <v>1</v>
      </c>
      <c r="C2557" s="5">
        <v>1</v>
      </c>
      <c r="D2557" s="5" t="s">
        <v>269</v>
      </c>
      <c r="E2557" s="5" t="s">
        <v>271</v>
      </c>
      <c r="F2557" s="5" t="s">
        <v>248</v>
      </c>
      <c r="G2557" s="5" t="s">
        <v>266</v>
      </c>
      <c r="H2557" s="6" t="s">
        <v>4330</v>
      </c>
      <c r="I2557" s="7">
        <f>221</f>
        <v>221</v>
      </c>
      <c r="J2557" s="5" t="s">
        <v>262</v>
      </c>
      <c r="K2557" s="8">
        <f>1</f>
        <v>1</v>
      </c>
      <c r="L2557" s="6" t="s">
        <v>242</v>
      </c>
      <c r="M2557" s="5" t="s">
        <v>267</v>
      </c>
      <c r="N2557" s="5" t="s">
        <v>265</v>
      </c>
      <c r="O2557" s="5" t="s">
        <v>238</v>
      </c>
      <c r="P2557" s="5" t="s">
        <v>238</v>
      </c>
      <c r="Q2557" s="5" t="s">
        <v>268</v>
      </c>
      <c r="R2557" s="5" t="s">
        <v>270</v>
      </c>
      <c r="S2557" s="5" t="s">
        <v>238</v>
      </c>
      <c r="V2557" s="5" t="s">
        <v>238</v>
      </c>
      <c r="X2557" s="6" t="s">
        <v>238</v>
      </c>
      <c r="AA2557" s="6" t="s">
        <v>243</v>
      </c>
      <c r="AB2557" s="5" t="s">
        <v>238</v>
      </c>
      <c r="AC2557" s="5" t="s">
        <v>244</v>
      </c>
      <c r="AD2557" s="5" t="s">
        <v>245</v>
      </c>
      <c r="AT2557" s="5" t="s">
        <v>246</v>
      </c>
      <c r="AU2557" s="5" t="s">
        <v>238</v>
      </c>
      <c r="AV2557" s="5" t="s">
        <v>247</v>
      </c>
      <c r="AW2557" s="5" t="s">
        <v>238</v>
      </c>
      <c r="AX2557" s="5" t="s">
        <v>249</v>
      </c>
      <c r="AY2557" s="5" t="s">
        <v>238</v>
      </c>
      <c r="BA2557" s="5" t="s">
        <v>238</v>
      </c>
      <c r="BC2557" s="5" t="s">
        <v>250</v>
      </c>
      <c r="BD2557" s="6" t="s">
        <v>243</v>
      </c>
      <c r="BE2557" s="5" t="s">
        <v>251</v>
      </c>
      <c r="BF2557" s="5" t="s">
        <v>252</v>
      </c>
      <c r="BG2557" s="5" t="s">
        <v>238</v>
      </c>
      <c r="BH2557" s="7">
        <f>0</f>
        <v>0</v>
      </c>
      <c r="BI2557" s="8">
        <f>0</f>
        <v>0</v>
      </c>
      <c r="BJ2557" s="5" t="s">
        <v>253</v>
      </c>
      <c r="BK2557" s="5" t="s">
        <v>254</v>
      </c>
      <c r="BY2557" s="5" t="s">
        <v>238</v>
      </c>
      <c r="BZ2557" s="5" t="s">
        <v>238</v>
      </c>
      <c r="CD2557" s="5" t="s">
        <v>273</v>
      </c>
      <c r="CE2557" s="5" t="s">
        <v>256</v>
      </c>
      <c r="CF2557" s="5" t="s">
        <v>238</v>
      </c>
      <c r="CI2557" s="6" t="s">
        <v>257</v>
      </c>
      <c r="CJ2557" s="5" t="s">
        <v>238</v>
      </c>
      <c r="CK2557" s="5" t="s">
        <v>258</v>
      </c>
      <c r="CL2557" s="5" t="s">
        <v>238</v>
      </c>
      <c r="CM2557" s="5" t="s">
        <v>238</v>
      </c>
      <c r="CN2557" s="5">
        <v>0</v>
      </c>
      <c r="CO2557" s="5" t="s">
        <v>259</v>
      </c>
      <c r="CP2557" s="5" t="s">
        <v>260</v>
      </c>
      <c r="CQ2557" s="5" t="s">
        <v>260</v>
      </c>
      <c r="CR2557" s="5" t="s">
        <v>261</v>
      </c>
      <c r="CU2557" s="8">
        <f>1</f>
        <v>1</v>
      </c>
      <c r="CV2557" s="8">
        <f>0</f>
        <v>0</v>
      </c>
      <c r="CX2557" s="8">
        <f>0</f>
        <v>0</v>
      </c>
      <c r="CY2557" s="8">
        <f>1</f>
        <v>1</v>
      </c>
      <c r="DA2557" s="5" t="s">
        <v>274</v>
      </c>
      <c r="DB2557" s="5" t="s">
        <v>238</v>
      </c>
      <c r="DD2557" s="5" t="s">
        <v>274</v>
      </c>
      <c r="DE2557" s="8">
        <f>221</f>
        <v>221</v>
      </c>
      <c r="DG2557" s="5" t="s">
        <v>238</v>
      </c>
      <c r="DH2557" s="5" t="s">
        <v>238</v>
      </c>
      <c r="DI2557" s="5" t="s">
        <v>238</v>
      </c>
      <c r="DJ2557" s="5" t="s">
        <v>238</v>
      </c>
      <c r="DN2557" s="5" t="s">
        <v>238</v>
      </c>
      <c r="DO2557" s="5" t="s">
        <v>238</v>
      </c>
      <c r="DP2557" s="5" t="s">
        <v>238</v>
      </c>
      <c r="DQ2557" s="5" t="s">
        <v>238</v>
      </c>
      <c r="DT2557" s="5" t="s">
        <v>275</v>
      </c>
      <c r="DU2557" s="5" t="s">
        <v>2528</v>
      </c>
      <c r="HM2557" s="5" t="s">
        <v>264</v>
      </c>
    </row>
    <row r="2558" spans="1:221" x14ac:dyDescent="0.4">
      <c r="A2558" s="5">
        <v>4262</v>
      </c>
      <c r="B2558" s="5">
        <v>1</v>
      </c>
      <c r="C2558" s="5">
        <v>1</v>
      </c>
      <c r="D2558" s="5" t="s">
        <v>269</v>
      </c>
      <c r="E2558" s="5" t="s">
        <v>271</v>
      </c>
      <c r="F2558" s="5" t="s">
        <v>248</v>
      </c>
      <c r="G2558" s="5" t="s">
        <v>266</v>
      </c>
      <c r="H2558" s="6" t="s">
        <v>4332</v>
      </c>
      <c r="I2558" s="7">
        <f>179</f>
        <v>179</v>
      </c>
      <c r="J2558" s="5" t="s">
        <v>262</v>
      </c>
      <c r="K2558" s="8">
        <f>1</f>
        <v>1</v>
      </c>
      <c r="L2558" s="6" t="s">
        <v>242</v>
      </c>
      <c r="M2558" s="5" t="s">
        <v>267</v>
      </c>
      <c r="N2558" s="5" t="s">
        <v>265</v>
      </c>
      <c r="O2558" s="5" t="s">
        <v>238</v>
      </c>
      <c r="P2558" s="5" t="s">
        <v>238</v>
      </c>
      <c r="Q2558" s="5" t="s">
        <v>268</v>
      </c>
      <c r="R2558" s="5" t="s">
        <v>270</v>
      </c>
      <c r="S2558" s="5" t="s">
        <v>238</v>
      </c>
      <c r="V2558" s="5" t="s">
        <v>238</v>
      </c>
      <c r="X2558" s="6" t="s">
        <v>238</v>
      </c>
      <c r="AA2558" s="6" t="s">
        <v>243</v>
      </c>
      <c r="AB2558" s="5" t="s">
        <v>238</v>
      </c>
      <c r="AC2558" s="5" t="s">
        <v>244</v>
      </c>
      <c r="AD2558" s="5" t="s">
        <v>245</v>
      </c>
      <c r="AT2558" s="5" t="s">
        <v>246</v>
      </c>
      <c r="AU2558" s="5" t="s">
        <v>238</v>
      </c>
      <c r="AV2558" s="5" t="s">
        <v>247</v>
      </c>
      <c r="AW2558" s="5" t="s">
        <v>238</v>
      </c>
      <c r="AX2558" s="5" t="s">
        <v>249</v>
      </c>
      <c r="AY2558" s="5" t="s">
        <v>238</v>
      </c>
      <c r="BA2558" s="5" t="s">
        <v>238</v>
      </c>
      <c r="BC2558" s="5" t="s">
        <v>250</v>
      </c>
      <c r="BD2558" s="6" t="s">
        <v>243</v>
      </c>
      <c r="BE2558" s="5" t="s">
        <v>251</v>
      </c>
      <c r="BF2558" s="5" t="s">
        <v>252</v>
      </c>
      <c r="BG2558" s="5" t="s">
        <v>238</v>
      </c>
      <c r="BH2558" s="7">
        <f>0</f>
        <v>0</v>
      </c>
      <c r="BI2558" s="8">
        <f>0</f>
        <v>0</v>
      </c>
      <c r="BJ2558" s="5" t="s">
        <v>253</v>
      </c>
      <c r="BK2558" s="5" t="s">
        <v>254</v>
      </c>
      <c r="BY2558" s="5" t="s">
        <v>238</v>
      </c>
      <c r="BZ2558" s="5" t="s">
        <v>238</v>
      </c>
      <c r="CD2558" s="5" t="s">
        <v>273</v>
      </c>
      <c r="CE2558" s="5" t="s">
        <v>256</v>
      </c>
      <c r="CF2558" s="5" t="s">
        <v>238</v>
      </c>
      <c r="CI2558" s="6" t="s">
        <v>257</v>
      </c>
      <c r="CJ2558" s="5" t="s">
        <v>238</v>
      </c>
      <c r="CK2558" s="5" t="s">
        <v>258</v>
      </c>
      <c r="CL2558" s="5" t="s">
        <v>238</v>
      </c>
      <c r="CM2558" s="5" t="s">
        <v>238</v>
      </c>
      <c r="CN2558" s="5">
        <v>0</v>
      </c>
      <c r="CO2558" s="5" t="s">
        <v>259</v>
      </c>
      <c r="CP2558" s="5" t="s">
        <v>260</v>
      </c>
      <c r="CQ2558" s="5" t="s">
        <v>260</v>
      </c>
      <c r="CR2558" s="5" t="s">
        <v>261</v>
      </c>
      <c r="CU2558" s="8">
        <f>1</f>
        <v>1</v>
      </c>
      <c r="CV2558" s="8">
        <f>0</f>
        <v>0</v>
      </c>
      <c r="CX2558" s="8">
        <f>0</f>
        <v>0</v>
      </c>
      <c r="CY2558" s="8">
        <f>1</f>
        <v>1</v>
      </c>
      <c r="DA2558" s="5" t="s">
        <v>274</v>
      </c>
      <c r="DB2558" s="5" t="s">
        <v>238</v>
      </c>
      <c r="DD2558" s="5" t="s">
        <v>274</v>
      </c>
      <c r="DE2558" s="8">
        <f>179</f>
        <v>179</v>
      </c>
      <c r="DG2558" s="5" t="s">
        <v>238</v>
      </c>
      <c r="DH2558" s="5" t="s">
        <v>238</v>
      </c>
      <c r="DI2558" s="5" t="s">
        <v>238</v>
      </c>
      <c r="DJ2558" s="5" t="s">
        <v>238</v>
      </c>
      <c r="DN2558" s="5" t="s">
        <v>238</v>
      </c>
      <c r="DO2558" s="5" t="s">
        <v>238</v>
      </c>
      <c r="DP2558" s="5" t="s">
        <v>238</v>
      </c>
      <c r="DQ2558" s="5" t="s">
        <v>238</v>
      </c>
      <c r="DT2558" s="5" t="s">
        <v>275</v>
      </c>
      <c r="DU2558" s="5" t="s">
        <v>2526</v>
      </c>
      <c r="HM2558" s="5" t="s">
        <v>264</v>
      </c>
    </row>
    <row r="2559" spans="1:221" x14ac:dyDescent="0.4">
      <c r="A2559" s="5">
        <v>4263</v>
      </c>
      <c r="B2559" s="5">
        <v>1</v>
      </c>
      <c r="C2559" s="5">
        <v>1</v>
      </c>
      <c r="D2559" s="5" t="s">
        <v>269</v>
      </c>
      <c r="E2559" s="5" t="s">
        <v>271</v>
      </c>
      <c r="F2559" s="5" t="s">
        <v>248</v>
      </c>
      <c r="G2559" s="5" t="s">
        <v>266</v>
      </c>
      <c r="H2559" s="6" t="s">
        <v>4335</v>
      </c>
      <c r="I2559" s="7">
        <f>34</f>
        <v>34</v>
      </c>
      <c r="J2559" s="5" t="s">
        <v>262</v>
      </c>
      <c r="K2559" s="8">
        <f>1</f>
        <v>1</v>
      </c>
      <c r="L2559" s="6" t="s">
        <v>242</v>
      </c>
      <c r="M2559" s="5" t="s">
        <v>267</v>
      </c>
      <c r="N2559" s="5" t="s">
        <v>265</v>
      </c>
      <c r="O2559" s="5" t="s">
        <v>238</v>
      </c>
      <c r="P2559" s="5" t="s">
        <v>238</v>
      </c>
      <c r="Q2559" s="5" t="s">
        <v>268</v>
      </c>
      <c r="R2559" s="5" t="s">
        <v>270</v>
      </c>
      <c r="S2559" s="5" t="s">
        <v>238</v>
      </c>
      <c r="V2559" s="5" t="s">
        <v>238</v>
      </c>
      <c r="X2559" s="6" t="s">
        <v>238</v>
      </c>
      <c r="AA2559" s="6" t="s">
        <v>243</v>
      </c>
      <c r="AB2559" s="5" t="s">
        <v>238</v>
      </c>
      <c r="AC2559" s="5" t="s">
        <v>244</v>
      </c>
      <c r="AD2559" s="5" t="s">
        <v>245</v>
      </c>
      <c r="AT2559" s="5" t="s">
        <v>246</v>
      </c>
      <c r="AU2559" s="5" t="s">
        <v>238</v>
      </c>
      <c r="AV2559" s="5" t="s">
        <v>247</v>
      </c>
      <c r="AW2559" s="5" t="s">
        <v>238</v>
      </c>
      <c r="AX2559" s="5" t="s">
        <v>249</v>
      </c>
      <c r="AY2559" s="5" t="s">
        <v>238</v>
      </c>
      <c r="BA2559" s="5" t="s">
        <v>238</v>
      </c>
      <c r="BC2559" s="5" t="s">
        <v>250</v>
      </c>
      <c r="BD2559" s="6" t="s">
        <v>243</v>
      </c>
      <c r="BE2559" s="5" t="s">
        <v>251</v>
      </c>
      <c r="BF2559" s="5" t="s">
        <v>252</v>
      </c>
      <c r="BG2559" s="5" t="s">
        <v>238</v>
      </c>
      <c r="BH2559" s="7">
        <f>0</f>
        <v>0</v>
      </c>
      <c r="BI2559" s="8">
        <f>0</f>
        <v>0</v>
      </c>
      <c r="BJ2559" s="5" t="s">
        <v>253</v>
      </c>
      <c r="BK2559" s="5" t="s">
        <v>254</v>
      </c>
      <c r="BY2559" s="5" t="s">
        <v>238</v>
      </c>
      <c r="BZ2559" s="5" t="s">
        <v>238</v>
      </c>
      <c r="CD2559" s="5" t="s">
        <v>273</v>
      </c>
      <c r="CE2559" s="5" t="s">
        <v>256</v>
      </c>
      <c r="CF2559" s="5" t="s">
        <v>238</v>
      </c>
      <c r="CI2559" s="6" t="s">
        <v>257</v>
      </c>
      <c r="CJ2559" s="5" t="s">
        <v>238</v>
      </c>
      <c r="CK2559" s="5" t="s">
        <v>258</v>
      </c>
      <c r="CL2559" s="5" t="s">
        <v>238</v>
      </c>
      <c r="CM2559" s="5" t="s">
        <v>238</v>
      </c>
      <c r="CN2559" s="5">
        <v>0</v>
      </c>
      <c r="CO2559" s="5" t="s">
        <v>259</v>
      </c>
      <c r="CP2559" s="5" t="s">
        <v>260</v>
      </c>
      <c r="CQ2559" s="5" t="s">
        <v>260</v>
      </c>
      <c r="CR2559" s="5" t="s">
        <v>261</v>
      </c>
      <c r="CU2559" s="8">
        <f>1</f>
        <v>1</v>
      </c>
      <c r="CV2559" s="8">
        <f>0</f>
        <v>0</v>
      </c>
      <c r="CX2559" s="8">
        <f>0</f>
        <v>0</v>
      </c>
      <c r="CY2559" s="8">
        <f>1</f>
        <v>1</v>
      </c>
      <c r="DA2559" s="5" t="s">
        <v>274</v>
      </c>
      <c r="DB2559" s="5" t="s">
        <v>238</v>
      </c>
      <c r="DD2559" s="5" t="s">
        <v>274</v>
      </c>
      <c r="DE2559" s="8">
        <f>34</f>
        <v>34</v>
      </c>
      <c r="DG2559" s="5" t="s">
        <v>238</v>
      </c>
      <c r="DH2559" s="5" t="s">
        <v>238</v>
      </c>
      <c r="DI2559" s="5" t="s">
        <v>238</v>
      </c>
      <c r="DJ2559" s="5" t="s">
        <v>238</v>
      </c>
      <c r="DN2559" s="5" t="s">
        <v>238</v>
      </c>
      <c r="DO2559" s="5" t="s">
        <v>238</v>
      </c>
      <c r="DP2559" s="5" t="s">
        <v>238</v>
      </c>
      <c r="DQ2559" s="5" t="s">
        <v>238</v>
      </c>
      <c r="DT2559" s="5" t="s">
        <v>275</v>
      </c>
      <c r="DU2559" s="5" t="s">
        <v>2524</v>
      </c>
      <c r="HM2559" s="5" t="s">
        <v>264</v>
      </c>
    </row>
    <row r="2560" spans="1:221" x14ac:dyDescent="0.4">
      <c r="A2560" s="5">
        <v>4264</v>
      </c>
      <c r="B2560" s="5">
        <v>1</v>
      </c>
      <c r="C2560" s="5">
        <v>1</v>
      </c>
      <c r="D2560" s="5" t="s">
        <v>269</v>
      </c>
      <c r="E2560" s="5" t="s">
        <v>271</v>
      </c>
      <c r="F2560" s="5" t="s">
        <v>248</v>
      </c>
      <c r="G2560" s="5" t="s">
        <v>266</v>
      </c>
      <c r="H2560" s="6" t="s">
        <v>4337</v>
      </c>
      <c r="I2560" s="7">
        <f>826</f>
        <v>826</v>
      </c>
      <c r="J2560" s="5" t="s">
        <v>262</v>
      </c>
      <c r="K2560" s="8">
        <f>1</f>
        <v>1</v>
      </c>
      <c r="L2560" s="6" t="s">
        <v>242</v>
      </c>
      <c r="M2560" s="5" t="s">
        <v>267</v>
      </c>
      <c r="N2560" s="5" t="s">
        <v>265</v>
      </c>
      <c r="O2560" s="5" t="s">
        <v>238</v>
      </c>
      <c r="P2560" s="5" t="s">
        <v>238</v>
      </c>
      <c r="Q2560" s="5" t="s">
        <v>268</v>
      </c>
      <c r="R2560" s="5" t="s">
        <v>270</v>
      </c>
      <c r="S2560" s="5" t="s">
        <v>238</v>
      </c>
      <c r="V2560" s="5" t="s">
        <v>238</v>
      </c>
      <c r="X2560" s="6" t="s">
        <v>238</v>
      </c>
      <c r="AA2560" s="6" t="s">
        <v>243</v>
      </c>
      <c r="AB2560" s="5" t="s">
        <v>238</v>
      </c>
      <c r="AC2560" s="5" t="s">
        <v>244</v>
      </c>
      <c r="AD2560" s="5" t="s">
        <v>245</v>
      </c>
      <c r="AT2560" s="5" t="s">
        <v>246</v>
      </c>
      <c r="AU2560" s="5" t="s">
        <v>238</v>
      </c>
      <c r="AV2560" s="5" t="s">
        <v>247</v>
      </c>
      <c r="AW2560" s="5" t="s">
        <v>238</v>
      </c>
      <c r="AX2560" s="5" t="s">
        <v>249</v>
      </c>
      <c r="AY2560" s="5" t="s">
        <v>238</v>
      </c>
      <c r="BA2560" s="5" t="s">
        <v>238</v>
      </c>
      <c r="BC2560" s="5" t="s">
        <v>250</v>
      </c>
      <c r="BD2560" s="6" t="s">
        <v>243</v>
      </c>
      <c r="BE2560" s="5" t="s">
        <v>251</v>
      </c>
      <c r="BF2560" s="5" t="s">
        <v>252</v>
      </c>
      <c r="BG2560" s="5" t="s">
        <v>238</v>
      </c>
      <c r="BH2560" s="7">
        <f>0</f>
        <v>0</v>
      </c>
      <c r="BI2560" s="8">
        <f>0</f>
        <v>0</v>
      </c>
      <c r="BJ2560" s="5" t="s">
        <v>253</v>
      </c>
      <c r="BK2560" s="5" t="s">
        <v>254</v>
      </c>
      <c r="BY2560" s="5" t="s">
        <v>238</v>
      </c>
      <c r="BZ2560" s="5" t="s">
        <v>238</v>
      </c>
      <c r="CD2560" s="5" t="s">
        <v>273</v>
      </c>
      <c r="CE2560" s="5" t="s">
        <v>256</v>
      </c>
      <c r="CF2560" s="5" t="s">
        <v>238</v>
      </c>
      <c r="CI2560" s="6" t="s">
        <v>257</v>
      </c>
      <c r="CJ2560" s="5" t="s">
        <v>238</v>
      </c>
      <c r="CK2560" s="5" t="s">
        <v>258</v>
      </c>
      <c r="CL2560" s="5" t="s">
        <v>238</v>
      </c>
      <c r="CM2560" s="5" t="s">
        <v>238</v>
      </c>
      <c r="CN2560" s="5">
        <v>0</v>
      </c>
      <c r="CO2560" s="5" t="s">
        <v>259</v>
      </c>
      <c r="CP2560" s="5" t="s">
        <v>260</v>
      </c>
      <c r="CQ2560" s="5" t="s">
        <v>260</v>
      </c>
      <c r="CR2560" s="5" t="s">
        <v>261</v>
      </c>
      <c r="CU2560" s="8">
        <f>1</f>
        <v>1</v>
      </c>
      <c r="CV2560" s="8">
        <f>0</f>
        <v>0</v>
      </c>
      <c r="CX2560" s="8">
        <f>0</f>
        <v>0</v>
      </c>
      <c r="CY2560" s="8">
        <f>1</f>
        <v>1</v>
      </c>
      <c r="DA2560" s="5" t="s">
        <v>274</v>
      </c>
      <c r="DB2560" s="5" t="s">
        <v>238</v>
      </c>
      <c r="DD2560" s="5" t="s">
        <v>274</v>
      </c>
      <c r="DE2560" s="8">
        <f>826</f>
        <v>826</v>
      </c>
      <c r="DG2560" s="5" t="s">
        <v>238</v>
      </c>
      <c r="DH2560" s="5" t="s">
        <v>238</v>
      </c>
      <c r="DI2560" s="5" t="s">
        <v>238</v>
      </c>
      <c r="DJ2560" s="5" t="s">
        <v>238</v>
      </c>
      <c r="DN2560" s="5" t="s">
        <v>238</v>
      </c>
      <c r="DO2560" s="5" t="s">
        <v>238</v>
      </c>
      <c r="DP2560" s="5" t="s">
        <v>238</v>
      </c>
      <c r="DQ2560" s="5" t="s">
        <v>238</v>
      </c>
      <c r="DT2560" s="5" t="s">
        <v>275</v>
      </c>
      <c r="DU2560" s="5" t="s">
        <v>2522</v>
      </c>
      <c r="HM2560" s="5" t="s">
        <v>264</v>
      </c>
    </row>
    <row r="2561" spans="1:221" x14ac:dyDescent="0.4">
      <c r="A2561" s="5">
        <v>4265</v>
      </c>
      <c r="B2561" s="5">
        <v>1</v>
      </c>
      <c r="C2561" s="5">
        <v>1</v>
      </c>
      <c r="D2561" s="5" t="s">
        <v>269</v>
      </c>
      <c r="E2561" s="5" t="s">
        <v>271</v>
      </c>
      <c r="F2561" s="5" t="s">
        <v>248</v>
      </c>
      <c r="G2561" s="5" t="s">
        <v>266</v>
      </c>
      <c r="H2561" s="6" t="s">
        <v>4342</v>
      </c>
      <c r="I2561" s="7">
        <f>110</f>
        <v>110</v>
      </c>
      <c r="J2561" s="5" t="s">
        <v>262</v>
      </c>
      <c r="K2561" s="8">
        <f>1</f>
        <v>1</v>
      </c>
      <c r="L2561" s="6" t="s">
        <v>242</v>
      </c>
      <c r="M2561" s="5" t="s">
        <v>267</v>
      </c>
      <c r="N2561" s="5" t="s">
        <v>265</v>
      </c>
      <c r="O2561" s="5" t="s">
        <v>238</v>
      </c>
      <c r="P2561" s="5" t="s">
        <v>238</v>
      </c>
      <c r="Q2561" s="5" t="s">
        <v>268</v>
      </c>
      <c r="R2561" s="5" t="s">
        <v>270</v>
      </c>
      <c r="S2561" s="5" t="s">
        <v>238</v>
      </c>
      <c r="V2561" s="5" t="s">
        <v>238</v>
      </c>
      <c r="X2561" s="6" t="s">
        <v>238</v>
      </c>
      <c r="AA2561" s="6" t="s">
        <v>243</v>
      </c>
      <c r="AB2561" s="5" t="s">
        <v>238</v>
      </c>
      <c r="AC2561" s="5" t="s">
        <v>244</v>
      </c>
      <c r="AD2561" s="5" t="s">
        <v>245</v>
      </c>
      <c r="AT2561" s="5" t="s">
        <v>246</v>
      </c>
      <c r="AU2561" s="5" t="s">
        <v>238</v>
      </c>
      <c r="AV2561" s="5" t="s">
        <v>247</v>
      </c>
      <c r="AW2561" s="5" t="s">
        <v>238</v>
      </c>
      <c r="AX2561" s="5" t="s">
        <v>249</v>
      </c>
      <c r="AY2561" s="5" t="s">
        <v>238</v>
      </c>
      <c r="BA2561" s="5" t="s">
        <v>238</v>
      </c>
      <c r="BC2561" s="5" t="s">
        <v>250</v>
      </c>
      <c r="BD2561" s="6" t="s">
        <v>243</v>
      </c>
      <c r="BE2561" s="5" t="s">
        <v>251</v>
      </c>
      <c r="BF2561" s="5" t="s">
        <v>252</v>
      </c>
      <c r="BG2561" s="5" t="s">
        <v>238</v>
      </c>
      <c r="BH2561" s="7">
        <f>0</f>
        <v>0</v>
      </c>
      <c r="BI2561" s="8">
        <f>0</f>
        <v>0</v>
      </c>
      <c r="BJ2561" s="5" t="s">
        <v>253</v>
      </c>
      <c r="BK2561" s="5" t="s">
        <v>254</v>
      </c>
      <c r="BY2561" s="5" t="s">
        <v>238</v>
      </c>
      <c r="BZ2561" s="5" t="s">
        <v>238</v>
      </c>
      <c r="CD2561" s="5" t="s">
        <v>273</v>
      </c>
      <c r="CE2561" s="5" t="s">
        <v>256</v>
      </c>
      <c r="CF2561" s="5" t="s">
        <v>238</v>
      </c>
      <c r="CI2561" s="6" t="s">
        <v>257</v>
      </c>
      <c r="CJ2561" s="5" t="s">
        <v>238</v>
      </c>
      <c r="CK2561" s="5" t="s">
        <v>258</v>
      </c>
      <c r="CL2561" s="5" t="s">
        <v>238</v>
      </c>
      <c r="CM2561" s="5" t="s">
        <v>238</v>
      </c>
      <c r="CN2561" s="5">
        <v>0</v>
      </c>
      <c r="CO2561" s="5" t="s">
        <v>259</v>
      </c>
      <c r="CP2561" s="5" t="s">
        <v>260</v>
      </c>
      <c r="CQ2561" s="5" t="s">
        <v>260</v>
      </c>
      <c r="CR2561" s="5" t="s">
        <v>261</v>
      </c>
      <c r="CU2561" s="8">
        <f>1</f>
        <v>1</v>
      </c>
      <c r="CV2561" s="8">
        <f>0</f>
        <v>0</v>
      </c>
      <c r="CX2561" s="8">
        <f>0</f>
        <v>0</v>
      </c>
      <c r="CY2561" s="8">
        <f>1</f>
        <v>1</v>
      </c>
      <c r="DA2561" s="5" t="s">
        <v>274</v>
      </c>
      <c r="DB2561" s="5" t="s">
        <v>238</v>
      </c>
      <c r="DD2561" s="5" t="s">
        <v>274</v>
      </c>
      <c r="DE2561" s="8">
        <f>110</f>
        <v>110</v>
      </c>
      <c r="DG2561" s="5" t="s">
        <v>238</v>
      </c>
      <c r="DH2561" s="5" t="s">
        <v>238</v>
      </c>
      <c r="DI2561" s="5" t="s">
        <v>238</v>
      </c>
      <c r="DJ2561" s="5" t="s">
        <v>238</v>
      </c>
      <c r="DN2561" s="5" t="s">
        <v>238</v>
      </c>
      <c r="DO2561" s="5" t="s">
        <v>238</v>
      </c>
      <c r="DP2561" s="5" t="s">
        <v>238</v>
      </c>
      <c r="DQ2561" s="5" t="s">
        <v>238</v>
      </c>
      <c r="DT2561" s="5" t="s">
        <v>275</v>
      </c>
      <c r="DU2561" s="5" t="s">
        <v>2520</v>
      </c>
      <c r="HM2561" s="5" t="s">
        <v>264</v>
      </c>
    </row>
    <row r="2562" spans="1:221" x14ac:dyDescent="0.4">
      <c r="A2562" s="5">
        <v>4266</v>
      </c>
      <c r="B2562" s="5">
        <v>1</v>
      </c>
      <c r="C2562" s="5">
        <v>1</v>
      </c>
      <c r="D2562" s="5" t="s">
        <v>269</v>
      </c>
      <c r="E2562" s="5" t="s">
        <v>271</v>
      </c>
      <c r="F2562" s="5" t="s">
        <v>248</v>
      </c>
      <c r="G2562" s="5" t="s">
        <v>266</v>
      </c>
      <c r="H2562" s="6" t="s">
        <v>4344</v>
      </c>
      <c r="I2562" s="7">
        <f>716</f>
        <v>716</v>
      </c>
      <c r="J2562" s="5" t="s">
        <v>262</v>
      </c>
      <c r="K2562" s="8">
        <f>1</f>
        <v>1</v>
      </c>
      <c r="L2562" s="6" t="s">
        <v>242</v>
      </c>
      <c r="M2562" s="5" t="s">
        <v>267</v>
      </c>
      <c r="N2562" s="5" t="s">
        <v>265</v>
      </c>
      <c r="O2562" s="5" t="s">
        <v>238</v>
      </c>
      <c r="P2562" s="5" t="s">
        <v>238</v>
      </c>
      <c r="Q2562" s="5" t="s">
        <v>268</v>
      </c>
      <c r="R2562" s="5" t="s">
        <v>270</v>
      </c>
      <c r="S2562" s="5" t="s">
        <v>238</v>
      </c>
      <c r="V2562" s="5" t="s">
        <v>238</v>
      </c>
      <c r="X2562" s="6" t="s">
        <v>238</v>
      </c>
      <c r="AA2562" s="6" t="s">
        <v>243</v>
      </c>
      <c r="AB2562" s="5" t="s">
        <v>238</v>
      </c>
      <c r="AC2562" s="5" t="s">
        <v>244</v>
      </c>
      <c r="AD2562" s="5" t="s">
        <v>245</v>
      </c>
      <c r="AT2562" s="5" t="s">
        <v>246</v>
      </c>
      <c r="AU2562" s="5" t="s">
        <v>238</v>
      </c>
      <c r="AV2562" s="5" t="s">
        <v>247</v>
      </c>
      <c r="AW2562" s="5" t="s">
        <v>238</v>
      </c>
      <c r="AX2562" s="5" t="s">
        <v>249</v>
      </c>
      <c r="AY2562" s="5" t="s">
        <v>238</v>
      </c>
      <c r="BA2562" s="5" t="s">
        <v>238</v>
      </c>
      <c r="BC2562" s="5" t="s">
        <v>250</v>
      </c>
      <c r="BD2562" s="6" t="s">
        <v>243</v>
      </c>
      <c r="BE2562" s="5" t="s">
        <v>251</v>
      </c>
      <c r="BF2562" s="5" t="s">
        <v>252</v>
      </c>
      <c r="BG2562" s="5" t="s">
        <v>238</v>
      </c>
      <c r="BH2562" s="7">
        <f>0</f>
        <v>0</v>
      </c>
      <c r="BI2562" s="8">
        <f>0</f>
        <v>0</v>
      </c>
      <c r="BJ2562" s="5" t="s">
        <v>253</v>
      </c>
      <c r="BK2562" s="5" t="s">
        <v>254</v>
      </c>
      <c r="BY2562" s="5" t="s">
        <v>238</v>
      </c>
      <c r="BZ2562" s="5" t="s">
        <v>238</v>
      </c>
      <c r="CD2562" s="5" t="s">
        <v>273</v>
      </c>
      <c r="CE2562" s="5" t="s">
        <v>256</v>
      </c>
      <c r="CF2562" s="5" t="s">
        <v>238</v>
      </c>
      <c r="CI2562" s="6" t="s">
        <v>257</v>
      </c>
      <c r="CJ2562" s="5" t="s">
        <v>238</v>
      </c>
      <c r="CK2562" s="5" t="s">
        <v>258</v>
      </c>
      <c r="CL2562" s="5" t="s">
        <v>238</v>
      </c>
      <c r="CM2562" s="5" t="s">
        <v>238</v>
      </c>
      <c r="CN2562" s="5">
        <v>0</v>
      </c>
      <c r="CO2562" s="5" t="s">
        <v>259</v>
      </c>
      <c r="CP2562" s="5" t="s">
        <v>260</v>
      </c>
      <c r="CQ2562" s="5" t="s">
        <v>260</v>
      </c>
      <c r="CR2562" s="5" t="s">
        <v>261</v>
      </c>
      <c r="CU2562" s="8">
        <f>1</f>
        <v>1</v>
      </c>
      <c r="CV2562" s="8">
        <f>0</f>
        <v>0</v>
      </c>
      <c r="CX2562" s="8">
        <f>0</f>
        <v>0</v>
      </c>
      <c r="CY2562" s="8">
        <f>1</f>
        <v>1</v>
      </c>
      <c r="DA2562" s="5" t="s">
        <v>274</v>
      </c>
      <c r="DB2562" s="5" t="s">
        <v>238</v>
      </c>
      <c r="DD2562" s="5" t="s">
        <v>274</v>
      </c>
      <c r="DE2562" s="8">
        <f>716</f>
        <v>716</v>
      </c>
      <c r="DG2562" s="5" t="s">
        <v>238</v>
      </c>
      <c r="DH2562" s="5" t="s">
        <v>238</v>
      </c>
      <c r="DI2562" s="5" t="s">
        <v>238</v>
      </c>
      <c r="DJ2562" s="5" t="s">
        <v>238</v>
      </c>
      <c r="DN2562" s="5" t="s">
        <v>238</v>
      </c>
      <c r="DO2562" s="5" t="s">
        <v>238</v>
      </c>
      <c r="DP2562" s="5" t="s">
        <v>238</v>
      </c>
      <c r="DQ2562" s="5" t="s">
        <v>238</v>
      </c>
      <c r="DT2562" s="5" t="s">
        <v>275</v>
      </c>
      <c r="DU2562" s="5" t="s">
        <v>2518</v>
      </c>
      <c r="HM2562" s="5" t="s">
        <v>264</v>
      </c>
    </row>
    <row r="2563" spans="1:221" x14ac:dyDescent="0.4">
      <c r="A2563" s="5">
        <v>4267</v>
      </c>
      <c r="B2563" s="5">
        <v>1</v>
      </c>
      <c r="C2563" s="5">
        <v>1</v>
      </c>
      <c r="D2563" s="5" t="s">
        <v>269</v>
      </c>
      <c r="E2563" s="5" t="s">
        <v>271</v>
      </c>
      <c r="F2563" s="5" t="s">
        <v>248</v>
      </c>
      <c r="G2563" s="5" t="s">
        <v>266</v>
      </c>
      <c r="H2563" s="6" t="s">
        <v>4348</v>
      </c>
      <c r="I2563" s="7">
        <f>206</f>
        <v>206</v>
      </c>
      <c r="J2563" s="5" t="s">
        <v>262</v>
      </c>
      <c r="K2563" s="8">
        <f>1</f>
        <v>1</v>
      </c>
      <c r="L2563" s="6" t="s">
        <v>242</v>
      </c>
      <c r="M2563" s="5" t="s">
        <v>267</v>
      </c>
      <c r="N2563" s="5" t="s">
        <v>265</v>
      </c>
      <c r="O2563" s="5" t="s">
        <v>238</v>
      </c>
      <c r="P2563" s="5" t="s">
        <v>238</v>
      </c>
      <c r="Q2563" s="5" t="s">
        <v>268</v>
      </c>
      <c r="R2563" s="5" t="s">
        <v>270</v>
      </c>
      <c r="S2563" s="5" t="s">
        <v>238</v>
      </c>
      <c r="V2563" s="5" t="s">
        <v>238</v>
      </c>
      <c r="X2563" s="6" t="s">
        <v>238</v>
      </c>
      <c r="AA2563" s="6" t="s">
        <v>243</v>
      </c>
      <c r="AB2563" s="5" t="s">
        <v>238</v>
      </c>
      <c r="AC2563" s="5" t="s">
        <v>244</v>
      </c>
      <c r="AD2563" s="5" t="s">
        <v>245</v>
      </c>
      <c r="AT2563" s="5" t="s">
        <v>246</v>
      </c>
      <c r="AU2563" s="5" t="s">
        <v>238</v>
      </c>
      <c r="AV2563" s="5" t="s">
        <v>247</v>
      </c>
      <c r="AW2563" s="5" t="s">
        <v>238</v>
      </c>
      <c r="AX2563" s="5" t="s">
        <v>249</v>
      </c>
      <c r="AY2563" s="5" t="s">
        <v>238</v>
      </c>
      <c r="BA2563" s="5" t="s">
        <v>238</v>
      </c>
      <c r="BC2563" s="5" t="s">
        <v>250</v>
      </c>
      <c r="BD2563" s="6" t="s">
        <v>243</v>
      </c>
      <c r="BE2563" s="5" t="s">
        <v>251</v>
      </c>
      <c r="BF2563" s="5" t="s">
        <v>252</v>
      </c>
      <c r="BG2563" s="5" t="s">
        <v>238</v>
      </c>
      <c r="BH2563" s="7">
        <f>0</f>
        <v>0</v>
      </c>
      <c r="BI2563" s="8">
        <f>0</f>
        <v>0</v>
      </c>
      <c r="BJ2563" s="5" t="s">
        <v>253</v>
      </c>
      <c r="BK2563" s="5" t="s">
        <v>254</v>
      </c>
      <c r="BY2563" s="5" t="s">
        <v>238</v>
      </c>
      <c r="BZ2563" s="5" t="s">
        <v>238</v>
      </c>
      <c r="CD2563" s="5" t="s">
        <v>273</v>
      </c>
      <c r="CE2563" s="5" t="s">
        <v>256</v>
      </c>
      <c r="CF2563" s="5" t="s">
        <v>238</v>
      </c>
      <c r="CI2563" s="6" t="s">
        <v>257</v>
      </c>
      <c r="CJ2563" s="5" t="s">
        <v>238</v>
      </c>
      <c r="CK2563" s="5" t="s">
        <v>258</v>
      </c>
      <c r="CL2563" s="5" t="s">
        <v>238</v>
      </c>
      <c r="CM2563" s="5" t="s">
        <v>238</v>
      </c>
      <c r="CN2563" s="5">
        <v>0</v>
      </c>
      <c r="CO2563" s="5" t="s">
        <v>259</v>
      </c>
      <c r="CP2563" s="5" t="s">
        <v>260</v>
      </c>
      <c r="CQ2563" s="5" t="s">
        <v>260</v>
      </c>
      <c r="CR2563" s="5" t="s">
        <v>261</v>
      </c>
      <c r="CU2563" s="8">
        <f>1</f>
        <v>1</v>
      </c>
      <c r="CV2563" s="8">
        <f>0</f>
        <v>0</v>
      </c>
      <c r="CX2563" s="8">
        <f>0</f>
        <v>0</v>
      </c>
      <c r="CY2563" s="8">
        <f>1</f>
        <v>1</v>
      </c>
      <c r="DA2563" s="5" t="s">
        <v>274</v>
      </c>
      <c r="DB2563" s="5" t="s">
        <v>238</v>
      </c>
      <c r="DD2563" s="5" t="s">
        <v>274</v>
      </c>
      <c r="DE2563" s="8">
        <f>206</f>
        <v>206</v>
      </c>
      <c r="DG2563" s="5" t="s">
        <v>238</v>
      </c>
      <c r="DH2563" s="5" t="s">
        <v>238</v>
      </c>
      <c r="DI2563" s="5" t="s">
        <v>238</v>
      </c>
      <c r="DJ2563" s="5" t="s">
        <v>238</v>
      </c>
      <c r="DN2563" s="5" t="s">
        <v>238</v>
      </c>
      <c r="DO2563" s="5" t="s">
        <v>238</v>
      </c>
      <c r="DP2563" s="5" t="s">
        <v>238</v>
      </c>
      <c r="DQ2563" s="5" t="s">
        <v>238</v>
      </c>
      <c r="DT2563" s="5" t="s">
        <v>275</v>
      </c>
      <c r="DU2563" s="5" t="s">
        <v>2516</v>
      </c>
      <c r="HM2563" s="5" t="s">
        <v>264</v>
      </c>
    </row>
    <row r="2564" spans="1:221" x14ac:dyDescent="0.4">
      <c r="A2564" s="5">
        <v>4268</v>
      </c>
      <c r="B2564" s="5">
        <v>1</v>
      </c>
      <c r="C2564" s="5">
        <v>1</v>
      </c>
      <c r="D2564" s="5" t="s">
        <v>269</v>
      </c>
      <c r="E2564" s="5" t="s">
        <v>271</v>
      </c>
      <c r="F2564" s="5" t="s">
        <v>248</v>
      </c>
      <c r="G2564" s="5" t="s">
        <v>266</v>
      </c>
      <c r="H2564" s="6" t="s">
        <v>4350</v>
      </c>
      <c r="I2564" s="7">
        <f>235</f>
        <v>235</v>
      </c>
      <c r="J2564" s="5" t="s">
        <v>262</v>
      </c>
      <c r="K2564" s="8">
        <f>1</f>
        <v>1</v>
      </c>
      <c r="L2564" s="6" t="s">
        <v>242</v>
      </c>
      <c r="M2564" s="5" t="s">
        <v>267</v>
      </c>
      <c r="N2564" s="5" t="s">
        <v>265</v>
      </c>
      <c r="O2564" s="5" t="s">
        <v>238</v>
      </c>
      <c r="P2564" s="5" t="s">
        <v>238</v>
      </c>
      <c r="Q2564" s="5" t="s">
        <v>268</v>
      </c>
      <c r="R2564" s="5" t="s">
        <v>270</v>
      </c>
      <c r="S2564" s="5" t="s">
        <v>238</v>
      </c>
      <c r="V2564" s="5" t="s">
        <v>238</v>
      </c>
      <c r="X2564" s="6" t="s">
        <v>238</v>
      </c>
      <c r="AA2564" s="6" t="s">
        <v>243</v>
      </c>
      <c r="AB2564" s="5" t="s">
        <v>238</v>
      </c>
      <c r="AC2564" s="5" t="s">
        <v>244</v>
      </c>
      <c r="AD2564" s="5" t="s">
        <v>245</v>
      </c>
      <c r="AT2564" s="5" t="s">
        <v>246</v>
      </c>
      <c r="AU2564" s="5" t="s">
        <v>238</v>
      </c>
      <c r="AV2564" s="5" t="s">
        <v>247</v>
      </c>
      <c r="AW2564" s="5" t="s">
        <v>238</v>
      </c>
      <c r="AX2564" s="5" t="s">
        <v>249</v>
      </c>
      <c r="AY2564" s="5" t="s">
        <v>238</v>
      </c>
      <c r="BA2564" s="5" t="s">
        <v>238</v>
      </c>
      <c r="BC2564" s="5" t="s">
        <v>250</v>
      </c>
      <c r="BD2564" s="6" t="s">
        <v>243</v>
      </c>
      <c r="BE2564" s="5" t="s">
        <v>251</v>
      </c>
      <c r="BF2564" s="5" t="s">
        <v>252</v>
      </c>
      <c r="BG2564" s="5" t="s">
        <v>238</v>
      </c>
      <c r="BH2564" s="7">
        <f>0</f>
        <v>0</v>
      </c>
      <c r="BI2564" s="8">
        <f>0</f>
        <v>0</v>
      </c>
      <c r="BJ2564" s="5" t="s">
        <v>253</v>
      </c>
      <c r="BK2564" s="5" t="s">
        <v>254</v>
      </c>
      <c r="BY2564" s="5" t="s">
        <v>238</v>
      </c>
      <c r="BZ2564" s="5" t="s">
        <v>238</v>
      </c>
      <c r="CD2564" s="5" t="s">
        <v>273</v>
      </c>
      <c r="CE2564" s="5" t="s">
        <v>256</v>
      </c>
      <c r="CF2564" s="5" t="s">
        <v>238</v>
      </c>
      <c r="CI2564" s="6" t="s">
        <v>257</v>
      </c>
      <c r="CJ2564" s="5" t="s">
        <v>238</v>
      </c>
      <c r="CK2564" s="5" t="s">
        <v>258</v>
      </c>
      <c r="CL2564" s="5" t="s">
        <v>238</v>
      </c>
      <c r="CM2564" s="5" t="s">
        <v>238</v>
      </c>
      <c r="CN2564" s="5">
        <v>0</v>
      </c>
      <c r="CO2564" s="5" t="s">
        <v>259</v>
      </c>
      <c r="CP2564" s="5" t="s">
        <v>260</v>
      </c>
      <c r="CQ2564" s="5" t="s">
        <v>260</v>
      </c>
      <c r="CR2564" s="5" t="s">
        <v>261</v>
      </c>
      <c r="CU2564" s="8">
        <f>1</f>
        <v>1</v>
      </c>
      <c r="CV2564" s="8">
        <f>0</f>
        <v>0</v>
      </c>
      <c r="CX2564" s="8">
        <f>0</f>
        <v>0</v>
      </c>
      <c r="CY2564" s="8">
        <f>1</f>
        <v>1</v>
      </c>
      <c r="DA2564" s="5" t="s">
        <v>274</v>
      </c>
      <c r="DB2564" s="5" t="s">
        <v>238</v>
      </c>
      <c r="DD2564" s="5" t="s">
        <v>274</v>
      </c>
      <c r="DE2564" s="8">
        <f>235</f>
        <v>235</v>
      </c>
      <c r="DG2564" s="5" t="s">
        <v>238</v>
      </c>
      <c r="DH2564" s="5" t="s">
        <v>238</v>
      </c>
      <c r="DI2564" s="5" t="s">
        <v>238</v>
      </c>
      <c r="DJ2564" s="5" t="s">
        <v>238</v>
      </c>
      <c r="DN2564" s="5" t="s">
        <v>238</v>
      </c>
      <c r="DO2564" s="5" t="s">
        <v>238</v>
      </c>
      <c r="DP2564" s="5" t="s">
        <v>238</v>
      </c>
      <c r="DQ2564" s="5" t="s">
        <v>238</v>
      </c>
      <c r="DT2564" s="5" t="s">
        <v>275</v>
      </c>
      <c r="DU2564" s="5" t="s">
        <v>2514</v>
      </c>
      <c r="HM2564" s="5" t="s">
        <v>264</v>
      </c>
    </row>
    <row r="2565" spans="1:221" x14ac:dyDescent="0.4">
      <c r="A2565" s="5">
        <v>4269</v>
      </c>
      <c r="B2565" s="5">
        <v>1</v>
      </c>
      <c r="C2565" s="5">
        <v>1</v>
      </c>
      <c r="D2565" s="5" t="s">
        <v>269</v>
      </c>
      <c r="E2565" s="5" t="s">
        <v>271</v>
      </c>
      <c r="F2565" s="5" t="s">
        <v>248</v>
      </c>
      <c r="G2565" s="5" t="s">
        <v>266</v>
      </c>
      <c r="H2565" s="6" t="s">
        <v>4355</v>
      </c>
      <c r="I2565" s="7">
        <f>327</f>
        <v>327</v>
      </c>
      <c r="J2565" s="5" t="s">
        <v>262</v>
      </c>
      <c r="K2565" s="8">
        <f>1</f>
        <v>1</v>
      </c>
      <c r="L2565" s="6" t="s">
        <v>242</v>
      </c>
      <c r="M2565" s="5" t="s">
        <v>267</v>
      </c>
      <c r="N2565" s="5" t="s">
        <v>265</v>
      </c>
      <c r="O2565" s="5" t="s">
        <v>238</v>
      </c>
      <c r="P2565" s="5" t="s">
        <v>238</v>
      </c>
      <c r="Q2565" s="5" t="s">
        <v>268</v>
      </c>
      <c r="R2565" s="5" t="s">
        <v>270</v>
      </c>
      <c r="S2565" s="5" t="s">
        <v>238</v>
      </c>
      <c r="V2565" s="5" t="s">
        <v>238</v>
      </c>
      <c r="X2565" s="6" t="s">
        <v>238</v>
      </c>
      <c r="AA2565" s="6" t="s">
        <v>243</v>
      </c>
      <c r="AB2565" s="5" t="s">
        <v>238</v>
      </c>
      <c r="AC2565" s="5" t="s">
        <v>244</v>
      </c>
      <c r="AD2565" s="5" t="s">
        <v>245</v>
      </c>
      <c r="AT2565" s="5" t="s">
        <v>246</v>
      </c>
      <c r="AU2565" s="5" t="s">
        <v>238</v>
      </c>
      <c r="AV2565" s="5" t="s">
        <v>247</v>
      </c>
      <c r="AW2565" s="5" t="s">
        <v>238</v>
      </c>
      <c r="AX2565" s="5" t="s">
        <v>249</v>
      </c>
      <c r="AY2565" s="5" t="s">
        <v>238</v>
      </c>
      <c r="BA2565" s="5" t="s">
        <v>238</v>
      </c>
      <c r="BC2565" s="5" t="s">
        <v>250</v>
      </c>
      <c r="BD2565" s="6" t="s">
        <v>243</v>
      </c>
      <c r="BE2565" s="5" t="s">
        <v>251</v>
      </c>
      <c r="BF2565" s="5" t="s">
        <v>252</v>
      </c>
      <c r="BG2565" s="5" t="s">
        <v>238</v>
      </c>
      <c r="BH2565" s="7">
        <f>0</f>
        <v>0</v>
      </c>
      <c r="BI2565" s="8">
        <f>0</f>
        <v>0</v>
      </c>
      <c r="BJ2565" s="5" t="s">
        <v>253</v>
      </c>
      <c r="BK2565" s="5" t="s">
        <v>254</v>
      </c>
      <c r="BY2565" s="5" t="s">
        <v>238</v>
      </c>
      <c r="BZ2565" s="5" t="s">
        <v>238</v>
      </c>
      <c r="CD2565" s="5" t="s">
        <v>273</v>
      </c>
      <c r="CE2565" s="5" t="s">
        <v>256</v>
      </c>
      <c r="CF2565" s="5" t="s">
        <v>238</v>
      </c>
      <c r="CI2565" s="6" t="s">
        <v>257</v>
      </c>
      <c r="CJ2565" s="5" t="s">
        <v>238</v>
      </c>
      <c r="CK2565" s="5" t="s">
        <v>258</v>
      </c>
      <c r="CL2565" s="5" t="s">
        <v>238</v>
      </c>
      <c r="CM2565" s="5" t="s">
        <v>238</v>
      </c>
      <c r="CN2565" s="5">
        <v>0</v>
      </c>
      <c r="CO2565" s="5" t="s">
        <v>259</v>
      </c>
      <c r="CP2565" s="5" t="s">
        <v>260</v>
      </c>
      <c r="CQ2565" s="5" t="s">
        <v>260</v>
      </c>
      <c r="CR2565" s="5" t="s">
        <v>261</v>
      </c>
      <c r="CU2565" s="8">
        <f>1</f>
        <v>1</v>
      </c>
      <c r="CV2565" s="8">
        <f>0</f>
        <v>0</v>
      </c>
      <c r="CX2565" s="8">
        <f>0</f>
        <v>0</v>
      </c>
      <c r="CY2565" s="8">
        <f>1</f>
        <v>1</v>
      </c>
      <c r="DA2565" s="5" t="s">
        <v>274</v>
      </c>
      <c r="DB2565" s="5" t="s">
        <v>238</v>
      </c>
      <c r="DD2565" s="5" t="s">
        <v>274</v>
      </c>
      <c r="DE2565" s="8">
        <f>327</f>
        <v>327</v>
      </c>
      <c r="DG2565" s="5" t="s">
        <v>238</v>
      </c>
      <c r="DH2565" s="5" t="s">
        <v>238</v>
      </c>
      <c r="DI2565" s="5" t="s">
        <v>238</v>
      </c>
      <c r="DJ2565" s="5" t="s">
        <v>238</v>
      </c>
      <c r="DN2565" s="5" t="s">
        <v>238</v>
      </c>
      <c r="DO2565" s="5" t="s">
        <v>238</v>
      </c>
      <c r="DP2565" s="5" t="s">
        <v>238</v>
      </c>
      <c r="DQ2565" s="5" t="s">
        <v>238</v>
      </c>
      <c r="DT2565" s="5" t="s">
        <v>275</v>
      </c>
      <c r="DU2565" s="5" t="s">
        <v>2512</v>
      </c>
      <c r="HM2565" s="5" t="s">
        <v>264</v>
      </c>
    </row>
    <row r="2566" spans="1:221" x14ac:dyDescent="0.4">
      <c r="A2566" s="5">
        <v>4270</v>
      </c>
      <c r="B2566" s="5">
        <v>1</v>
      </c>
      <c r="C2566" s="5">
        <v>1</v>
      </c>
      <c r="D2566" s="5" t="s">
        <v>269</v>
      </c>
      <c r="E2566" s="5" t="s">
        <v>271</v>
      </c>
      <c r="F2566" s="5" t="s">
        <v>248</v>
      </c>
      <c r="G2566" s="5" t="s">
        <v>266</v>
      </c>
      <c r="H2566" s="6" t="s">
        <v>4356</v>
      </c>
      <c r="I2566" s="7">
        <f>84</f>
        <v>84</v>
      </c>
      <c r="J2566" s="5" t="s">
        <v>262</v>
      </c>
      <c r="K2566" s="8">
        <f>1</f>
        <v>1</v>
      </c>
      <c r="L2566" s="6" t="s">
        <v>242</v>
      </c>
      <c r="M2566" s="5" t="s">
        <v>267</v>
      </c>
      <c r="N2566" s="5" t="s">
        <v>265</v>
      </c>
      <c r="O2566" s="5" t="s">
        <v>238</v>
      </c>
      <c r="P2566" s="5" t="s">
        <v>238</v>
      </c>
      <c r="Q2566" s="5" t="s">
        <v>268</v>
      </c>
      <c r="R2566" s="5" t="s">
        <v>270</v>
      </c>
      <c r="S2566" s="5" t="s">
        <v>238</v>
      </c>
      <c r="V2566" s="5" t="s">
        <v>238</v>
      </c>
      <c r="X2566" s="6" t="s">
        <v>238</v>
      </c>
      <c r="AA2566" s="6" t="s">
        <v>243</v>
      </c>
      <c r="AB2566" s="5" t="s">
        <v>238</v>
      </c>
      <c r="AC2566" s="5" t="s">
        <v>244</v>
      </c>
      <c r="AD2566" s="5" t="s">
        <v>245</v>
      </c>
      <c r="AT2566" s="5" t="s">
        <v>246</v>
      </c>
      <c r="AU2566" s="5" t="s">
        <v>238</v>
      </c>
      <c r="AV2566" s="5" t="s">
        <v>247</v>
      </c>
      <c r="AW2566" s="5" t="s">
        <v>238</v>
      </c>
      <c r="AX2566" s="5" t="s">
        <v>249</v>
      </c>
      <c r="AY2566" s="5" t="s">
        <v>238</v>
      </c>
      <c r="BA2566" s="5" t="s">
        <v>238</v>
      </c>
      <c r="BC2566" s="5" t="s">
        <v>250</v>
      </c>
      <c r="BD2566" s="6" t="s">
        <v>243</v>
      </c>
      <c r="BE2566" s="5" t="s">
        <v>251</v>
      </c>
      <c r="BF2566" s="5" t="s">
        <v>252</v>
      </c>
      <c r="BG2566" s="5" t="s">
        <v>238</v>
      </c>
      <c r="BH2566" s="7">
        <f>0</f>
        <v>0</v>
      </c>
      <c r="BI2566" s="8">
        <f>0</f>
        <v>0</v>
      </c>
      <c r="BJ2566" s="5" t="s">
        <v>253</v>
      </c>
      <c r="BK2566" s="5" t="s">
        <v>254</v>
      </c>
      <c r="BY2566" s="5" t="s">
        <v>238</v>
      </c>
      <c r="BZ2566" s="5" t="s">
        <v>238</v>
      </c>
      <c r="CD2566" s="5" t="s">
        <v>273</v>
      </c>
      <c r="CE2566" s="5" t="s">
        <v>256</v>
      </c>
      <c r="CF2566" s="5" t="s">
        <v>238</v>
      </c>
      <c r="CI2566" s="6" t="s">
        <v>257</v>
      </c>
      <c r="CJ2566" s="5" t="s">
        <v>238</v>
      </c>
      <c r="CK2566" s="5" t="s">
        <v>258</v>
      </c>
      <c r="CL2566" s="5" t="s">
        <v>238</v>
      </c>
      <c r="CM2566" s="5" t="s">
        <v>238</v>
      </c>
      <c r="CN2566" s="5">
        <v>0</v>
      </c>
      <c r="CO2566" s="5" t="s">
        <v>259</v>
      </c>
      <c r="CP2566" s="5" t="s">
        <v>260</v>
      </c>
      <c r="CQ2566" s="5" t="s">
        <v>260</v>
      </c>
      <c r="CR2566" s="5" t="s">
        <v>261</v>
      </c>
      <c r="CU2566" s="8">
        <f>1</f>
        <v>1</v>
      </c>
      <c r="CV2566" s="8">
        <f>0</f>
        <v>0</v>
      </c>
      <c r="CX2566" s="8">
        <f>0</f>
        <v>0</v>
      </c>
      <c r="CY2566" s="8">
        <f>1</f>
        <v>1</v>
      </c>
      <c r="DA2566" s="5" t="s">
        <v>274</v>
      </c>
      <c r="DB2566" s="5" t="s">
        <v>238</v>
      </c>
      <c r="DD2566" s="5" t="s">
        <v>274</v>
      </c>
      <c r="DE2566" s="8">
        <f>84</f>
        <v>84</v>
      </c>
      <c r="DG2566" s="5" t="s">
        <v>238</v>
      </c>
      <c r="DH2566" s="5" t="s">
        <v>238</v>
      </c>
      <c r="DI2566" s="5" t="s">
        <v>238</v>
      </c>
      <c r="DJ2566" s="5" t="s">
        <v>238</v>
      </c>
      <c r="DN2566" s="5" t="s">
        <v>238</v>
      </c>
      <c r="DO2566" s="5" t="s">
        <v>238</v>
      </c>
      <c r="DP2566" s="5" t="s">
        <v>238</v>
      </c>
      <c r="DQ2566" s="5" t="s">
        <v>238</v>
      </c>
      <c r="DT2566" s="5" t="s">
        <v>275</v>
      </c>
      <c r="DU2566" s="5" t="s">
        <v>2510</v>
      </c>
      <c r="HM2566" s="5" t="s">
        <v>264</v>
      </c>
    </row>
    <row r="2567" spans="1:221" x14ac:dyDescent="0.4">
      <c r="A2567" s="5">
        <v>4271</v>
      </c>
      <c r="B2567" s="5">
        <v>1</v>
      </c>
      <c r="C2567" s="5">
        <v>1</v>
      </c>
      <c r="D2567" s="5" t="s">
        <v>269</v>
      </c>
      <c r="E2567" s="5" t="s">
        <v>271</v>
      </c>
      <c r="F2567" s="5" t="s">
        <v>248</v>
      </c>
      <c r="G2567" s="5" t="s">
        <v>266</v>
      </c>
      <c r="H2567" s="6" t="s">
        <v>4360</v>
      </c>
      <c r="I2567" s="7">
        <f>1126</f>
        <v>1126</v>
      </c>
      <c r="J2567" s="5" t="s">
        <v>262</v>
      </c>
      <c r="K2567" s="8">
        <f>1</f>
        <v>1</v>
      </c>
      <c r="L2567" s="6" t="s">
        <v>242</v>
      </c>
      <c r="M2567" s="5" t="s">
        <v>267</v>
      </c>
      <c r="N2567" s="5" t="s">
        <v>265</v>
      </c>
      <c r="O2567" s="5" t="s">
        <v>238</v>
      </c>
      <c r="P2567" s="5" t="s">
        <v>238</v>
      </c>
      <c r="Q2567" s="5" t="s">
        <v>268</v>
      </c>
      <c r="R2567" s="5" t="s">
        <v>270</v>
      </c>
      <c r="S2567" s="5" t="s">
        <v>238</v>
      </c>
      <c r="V2567" s="5" t="s">
        <v>238</v>
      </c>
      <c r="X2567" s="6" t="s">
        <v>238</v>
      </c>
      <c r="AA2567" s="6" t="s">
        <v>243</v>
      </c>
      <c r="AB2567" s="5" t="s">
        <v>238</v>
      </c>
      <c r="AC2567" s="5" t="s">
        <v>244</v>
      </c>
      <c r="AD2567" s="5" t="s">
        <v>245</v>
      </c>
      <c r="AT2567" s="5" t="s">
        <v>246</v>
      </c>
      <c r="AU2567" s="5" t="s">
        <v>238</v>
      </c>
      <c r="AV2567" s="5" t="s">
        <v>247</v>
      </c>
      <c r="AW2567" s="5" t="s">
        <v>238</v>
      </c>
      <c r="AX2567" s="5" t="s">
        <v>249</v>
      </c>
      <c r="AY2567" s="5" t="s">
        <v>238</v>
      </c>
      <c r="BA2567" s="5" t="s">
        <v>238</v>
      </c>
      <c r="BC2567" s="5" t="s">
        <v>250</v>
      </c>
      <c r="BD2567" s="6" t="s">
        <v>243</v>
      </c>
      <c r="BE2567" s="5" t="s">
        <v>251</v>
      </c>
      <c r="BF2567" s="5" t="s">
        <v>252</v>
      </c>
      <c r="BG2567" s="5" t="s">
        <v>238</v>
      </c>
      <c r="BH2567" s="7">
        <f>0</f>
        <v>0</v>
      </c>
      <c r="BI2567" s="8">
        <f>0</f>
        <v>0</v>
      </c>
      <c r="BJ2567" s="5" t="s">
        <v>253</v>
      </c>
      <c r="BK2567" s="5" t="s">
        <v>254</v>
      </c>
      <c r="BY2567" s="5" t="s">
        <v>238</v>
      </c>
      <c r="BZ2567" s="5" t="s">
        <v>238</v>
      </c>
      <c r="CD2567" s="5" t="s">
        <v>273</v>
      </c>
      <c r="CE2567" s="5" t="s">
        <v>256</v>
      </c>
      <c r="CF2567" s="5" t="s">
        <v>238</v>
      </c>
      <c r="CI2567" s="6" t="s">
        <v>257</v>
      </c>
      <c r="CJ2567" s="5" t="s">
        <v>238</v>
      </c>
      <c r="CK2567" s="5" t="s">
        <v>258</v>
      </c>
      <c r="CL2567" s="5" t="s">
        <v>238</v>
      </c>
      <c r="CM2567" s="5" t="s">
        <v>238</v>
      </c>
      <c r="CN2567" s="5">
        <v>0</v>
      </c>
      <c r="CO2567" s="5" t="s">
        <v>259</v>
      </c>
      <c r="CP2567" s="5" t="s">
        <v>260</v>
      </c>
      <c r="CQ2567" s="5" t="s">
        <v>260</v>
      </c>
      <c r="CR2567" s="5" t="s">
        <v>261</v>
      </c>
      <c r="CU2567" s="8">
        <f>1</f>
        <v>1</v>
      </c>
      <c r="CV2567" s="8">
        <f>0</f>
        <v>0</v>
      </c>
      <c r="CX2567" s="8">
        <f>0</f>
        <v>0</v>
      </c>
      <c r="CY2567" s="8">
        <f>1</f>
        <v>1</v>
      </c>
      <c r="DA2567" s="5" t="s">
        <v>274</v>
      </c>
      <c r="DB2567" s="5" t="s">
        <v>238</v>
      </c>
      <c r="DD2567" s="5" t="s">
        <v>274</v>
      </c>
      <c r="DE2567" s="8">
        <f>1126</f>
        <v>1126</v>
      </c>
      <c r="DG2567" s="5" t="s">
        <v>238</v>
      </c>
      <c r="DH2567" s="5" t="s">
        <v>238</v>
      </c>
      <c r="DI2567" s="5" t="s">
        <v>238</v>
      </c>
      <c r="DJ2567" s="5" t="s">
        <v>238</v>
      </c>
      <c r="DN2567" s="5" t="s">
        <v>238</v>
      </c>
      <c r="DO2567" s="5" t="s">
        <v>238</v>
      </c>
      <c r="DP2567" s="5" t="s">
        <v>238</v>
      </c>
      <c r="DQ2567" s="5" t="s">
        <v>238</v>
      </c>
      <c r="DT2567" s="5" t="s">
        <v>275</v>
      </c>
      <c r="DU2567" s="5" t="s">
        <v>2508</v>
      </c>
      <c r="HM2567" s="5" t="s">
        <v>264</v>
      </c>
    </row>
    <row r="2568" spans="1:221" x14ac:dyDescent="0.4">
      <c r="A2568" s="5">
        <v>4272</v>
      </c>
      <c r="B2568" s="5">
        <v>1</v>
      </c>
      <c r="C2568" s="5">
        <v>1</v>
      </c>
      <c r="D2568" s="5" t="s">
        <v>269</v>
      </c>
      <c r="E2568" s="5" t="s">
        <v>271</v>
      </c>
      <c r="F2568" s="5" t="s">
        <v>248</v>
      </c>
      <c r="G2568" s="5" t="s">
        <v>266</v>
      </c>
      <c r="H2568" s="6" t="s">
        <v>4362</v>
      </c>
      <c r="I2568" s="7">
        <f>1299</f>
        <v>1299</v>
      </c>
      <c r="J2568" s="5" t="s">
        <v>262</v>
      </c>
      <c r="K2568" s="8">
        <f>1</f>
        <v>1</v>
      </c>
      <c r="L2568" s="6" t="s">
        <v>242</v>
      </c>
      <c r="M2568" s="5" t="s">
        <v>267</v>
      </c>
      <c r="N2568" s="5" t="s">
        <v>265</v>
      </c>
      <c r="O2568" s="5" t="s">
        <v>238</v>
      </c>
      <c r="P2568" s="5" t="s">
        <v>238</v>
      </c>
      <c r="Q2568" s="5" t="s">
        <v>268</v>
      </c>
      <c r="R2568" s="5" t="s">
        <v>270</v>
      </c>
      <c r="S2568" s="5" t="s">
        <v>238</v>
      </c>
      <c r="V2568" s="5" t="s">
        <v>238</v>
      </c>
      <c r="X2568" s="6" t="s">
        <v>238</v>
      </c>
      <c r="AA2568" s="6" t="s">
        <v>243</v>
      </c>
      <c r="AB2568" s="5" t="s">
        <v>238</v>
      </c>
      <c r="AC2568" s="5" t="s">
        <v>244</v>
      </c>
      <c r="AD2568" s="5" t="s">
        <v>245</v>
      </c>
      <c r="AT2568" s="5" t="s">
        <v>246</v>
      </c>
      <c r="AU2568" s="5" t="s">
        <v>238</v>
      </c>
      <c r="AV2568" s="5" t="s">
        <v>247</v>
      </c>
      <c r="AW2568" s="5" t="s">
        <v>238</v>
      </c>
      <c r="AX2568" s="5" t="s">
        <v>249</v>
      </c>
      <c r="AY2568" s="5" t="s">
        <v>238</v>
      </c>
      <c r="BA2568" s="5" t="s">
        <v>238</v>
      </c>
      <c r="BC2568" s="5" t="s">
        <v>250</v>
      </c>
      <c r="BD2568" s="6" t="s">
        <v>243</v>
      </c>
      <c r="BE2568" s="5" t="s">
        <v>251</v>
      </c>
      <c r="BF2568" s="5" t="s">
        <v>252</v>
      </c>
      <c r="BG2568" s="5" t="s">
        <v>238</v>
      </c>
      <c r="BH2568" s="7">
        <f>0</f>
        <v>0</v>
      </c>
      <c r="BI2568" s="8">
        <f>0</f>
        <v>0</v>
      </c>
      <c r="BJ2568" s="5" t="s">
        <v>253</v>
      </c>
      <c r="BK2568" s="5" t="s">
        <v>254</v>
      </c>
      <c r="BY2568" s="5" t="s">
        <v>238</v>
      </c>
      <c r="BZ2568" s="5" t="s">
        <v>238</v>
      </c>
      <c r="CD2568" s="5" t="s">
        <v>273</v>
      </c>
      <c r="CE2568" s="5" t="s">
        <v>256</v>
      </c>
      <c r="CF2568" s="5" t="s">
        <v>238</v>
      </c>
      <c r="CI2568" s="6" t="s">
        <v>257</v>
      </c>
      <c r="CJ2568" s="5" t="s">
        <v>238</v>
      </c>
      <c r="CK2568" s="5" t="s">
        <v>258</v>
      </c>
      <c r="CL2568" s="5" t="s">
        <v>238</v>
      </c>
      <c r="CM2568" s="5" t="s">
        <v>238</v>
      </c>
      <c r="CN2568" s="5">
        <v>0</v>
      </c>
      <c r="CO2568" s="5" t="s">
        <v>259</v>
      </c>
      <c r="CP2568" s="5" t="s">
        <v>260</v>
      </c>
      <c r="CQ2568" s="5" t="s">
        <v>260</v>
      </c>
      <c r="CR2568" s="5" t="s">
        <v>261</v>
      </c>
      <c r="CU2568" s="8">
        <f>1</f>
        <v>1</v>
      </c>
      <c r="CV2568" s="8">
        <f>0</f>
        <v>0</v>
      </c>
      <c r="CX2568" s="8">
        <f>0</f>
        <v>0</v>
      </c>
      <c r="CY2568" s="8">
        <f>1</f>
        <v>1</v>
      </c>
      <c r="DA2568" s="5" t="s">
        <v>274</v>
      </c>
      <c r="DB2568" s="5" t="s">
        <v>238</v>
      </c>
      <c r="DD2568" s="5" t="s">
        <v>274</v>
      </c>
      <c r="DE2568" s="8">
        <f>1299</f>
        <v>1299</v>
      </c>
      <c r="DG2568" s="5" t="s">
        <v>238</v>
      </c>
      <c r="DH2568" s="5" t="s">
        <v>238</v>
      </c>
      <c r="DI2568" s="5" t="s">
        <v>238</v>
      </c>
      <c r="DJ2568" s="5" t="s">
        <v>238</v>
      </c>
      <c r="DN2568" s="5" t="s">
        <v>238</v>
      </c>
      <c r="DO2568" s="5" t="s">
        <v>238</v>
      </c>
      <c r="DP2568" s="5" t="s">
        <v>238</v>
      </c>
      <c r="DQ2568" s="5" t="s">
        <v>238</v>
      </c>
      <c r="DT2568" s="5" t="s">
        <v>275</v>
      </c>
      <c r="DU2568" s="5" t="s">
        <v>2506</v>
      </c>
      <c r="HM2568" s="5" t="s">
        <v>264</v>
      </c>
    </row>
    <row r="2569" spans="1:221" x14ac:dyDescent="0.4">
      <c r="A2569" s="5">
        <v>4273</v>
      </c>
      <c r="B2569" s="5">
        <v>1</v>
      </c>
      <c r="C2569" s="5">
        <v>1</v>
      </c>
      <c r="D2569" s="5" t="s">
        <v>269</v>
      </c>
      <c r="E2569" s="5" t="s">
        <v>271</v>
      </c>
      <c r="F2569" s="5" t="s">
        <v>248</v>
      </c>
      <c r="G2569" s="5" t="s">
        <v>266</v>
      </c>
      <c r="H2569" s="6" t="s">
        <v>2030</v>
      </c>
      <c r="I2569" s="7">
        <f>500</f>
        <v>500</v>
      </c>
      <c r="J2569" s="5" t="s">
        <v>262</v>
      </c>
      <c r="K2569" s="8">
        <f>1</f>
        <v>1</v>
      </c>
      <c r="L2569" s="6" t="s">
        <v>242</v>
      </c>
      <c r="M2569" s="5" t="s">
        <v>267</v>
      </c>
      <c r="N2569" s="5" t="s">
        <v>265</v>
      </c>
      <c r="O2569" s="5" t="s">
        <v>238</v>
      </c>
      <c r="P2569" s="5" t="s">
        <v>238</v>
      </c>
      <c r="Q2569" s="5" t="s">
        <v>268</v>
      </c>
      <c r="R2569" s="5" t="s">
        <v>270</v>
      </c>
      <c r="S2569" s="5" t="s">
        <v>238</v>
      </c>
      <c r="V2569" s="5" t="s">
        <v>238</v>
      </c>
      <c r="X2569" s="6" t="s">
        <v>238</v>
      </c>
      <c r="AA2569" s="6" t="s">
        <v>243</v>
      </c>
      <c r="AB2569" s="5" t="s">
        <v>238</v>
      </c>
      <c r="AC2569" s="5" t="s">
        <v>244</v>
      </c>
      <c r="AD2569" s="5" t="s">
        <v>245</v>
      </c>
      <c r="AT2569" s="5" t="s">
        <v>246</v>
      </c>
      <c r="AU2569" s="5" t="s">
        <v>238</v>
      </c>
      <c r="AV2569" s="5" t="s">
        <v>247</v>
      </c>
      <c r="AW2569" s="5" t="s">
        <v>238</v>
      </c>
      <c r="AX2569" s="5" t="s">
        <v>249</v>
      </c>
      <c r="AY2569" s="5" t="s">
        <v>238</v>
      </c>
      <c r="BA2569" s="5" t="s">
        <v>238</v>
      </c>
      <c r="BC2569" s="5" t="s">
        <v>250</v>
      </c>
      <c r="BD2569" s="6" t="s">
        <v>243</v>
      </c>
      <c r="BE2569" s="5" t="s">
        <v>251</v>
      </c>
      <c r="BF2569" s="5" t="s">
        <v>252</v>
      </c>
      <c r="BG2569" s="5" t="s">
        <v>238</v>
      </c>
      <c r="BH2569" s="7">
        <f>0</f>
        <v>0</v>
      </c>
      <c r="BI2569" s="8">
        <f>0</f>
        <v>0</v>
      </c>
      <c r="BJ2569" s="5" t="s">
        <v>253</v>
      </c>
      <c r="BK2569" s="5" t="s">
        <v>254</v>
      </c>
      <c r="BY2569" s="5" t="s">
        <v>238</v>
      </c>
      <c r="BZ2569" s="5" t="s">
        <v>238</v>
      </c>
      <c r="CD2569" s="5" t="s">
        <v>273</v>
      </c>
      <c r="CE2569" s="5" t="s">
        <v>256</v>
      </c>
      <c r="CF2569" s="5" t="s">
        <v>238</v>
      </c>
      <c r="CI2569" s="6" t="s">
        <v>257</v>
      </c>
      <c r="CJ2569" s="5" t="s">
        <v>238</v>
      </c>
      <c r="CK2569" s="5" t="s">
        <v>258</v>
      </c>
      <c r="CL2569" s="5" t="s">
        <v>238</v>
      </c>
      <c r="CM2569" s="5" t="s">
        <v>238</v>
      </c>
      <c r="CN2569" s="5">
        <v>0</v>
      </c>
      <c r="CO2569" s="5" t="s">
        <v>259</v>
      </c>
      <c r="CP2569" s="5" t="s">
        <v>260</v>
      </c>
      <c r="CQ2569" s="5" t="s">
        <v>260</v>
      </c>
      <c r="CR2569" s="5" t="s">
        <v>261</v>
      </c>
      <c r="CU2569" s="8">
        <f>1</f>
        <v>1</v>
      </c>
      <c r="CV2569" s="8">
        <f>0</f>
        <v>0</v>
      </c>
      <c r="CX2569" s="8">
        <f>0</f>
        <v>0</v>
      </c>
      <c r="CY2569" s="8">
        <f>1</f>
        <v>1</v>
      </c>
      <c r="DA2569" s="5" t="s">
        <v>274</v>
      </c>
      <c r="DB2569" s="5" t="s">
        <v>238</v>
      </c>
      <c r="DD2569" s="5" t="s">
        <v>274</v>
      </c>
      <c r="DE2569" s="8">
        <f>500</f>
        <v>500</v>
      </c>
      <c r="DG2569" s="5" t="s">
        <v>238</v>
      </c>
      <c r="DH2569" s="5" t="s">
        <v>238</v>
      </c>
      <c r="DI2569" s="5" t="s">
        <v>238</v>
      </c>
      <c r="DJ2569" s="5" t="s">
        <v>238</v>
      </c>
      <c r="DN2569" s="5" t="s">
        <v>238</v>
      </c>
      <c r="DO2569" s="5" t="s">
        <v>238</v>
      </c>
      <c r="DP2569" s="5" t="s">
        <v>238</v>
      </c>
      <c r="DQ2569" s="5" t="s">
        <v>238</v>
      </c>
      <c r="DT2569" s="5" t="s">
        <v>275</v>
      </c>
      <c r="DU2569" s="5" t="s">
        <v>2031</v>
      </c>
      <c r="HM2569" s="5" t="s">
        <v>264</v>
      </c>
    </row>
    <row r="2570" spans="1:221" x14ac:dyDescent="0.4">
      <c r="A2570" s="5">
        <v>4274</v>
      </c>
      <c r="B2570" s="5">
        <v>1</v>
      </c>
      <c r="C2570" s="5">
        <v>1</v>
      </c>
      <c r="D2570" s="5" t="s">
        <v>269</v>
      </c>
      <c r="E2570" s="5" t="s">
        <v>271</v>
      </c>
      <c r="F2570" s="5" t="s">
        <v>248</v>
      </c>
      <c r="G2570" s="5" t="s">
        <v>266</v>
      </c>
      <c r="H2570" s="6" t="s">
        <v>2026</v>
      </c>
      <c r="I2570" s="7">
        <f>109</f>
        <v>109</v>
      </c>
      <c r="J2570" s="5" t="s">
        <v>262</v>
      </c>
      <c r="K2570" s="8">
        <f>1</f>
        <v>1</v>
      </c>
      <c r="L2570" s="6" t="s">
        <v>242</v>
      </c>
      <c r="M2570" s="5" t="s">
        <v>267</v>
      </c>
      <c r="N2570" s="5" t="s">
        <v>265</v>
      </c>
      <c r="O2570" s="5" t="s">
        <v>238</v>
      </c>
      <c r="P2570" s="5" t="s">
        <v>238</v>
      </c>
      <c r="Q2570" s="5" t="s">
        <v>268</v>
      </c>
      <c r="R2570" s="5" t="s">
        <v>270</v>
      </c>
      <c r="S2570" s="5" t="s">
        <v>238</v>
      </c>
      <c r="V2570" s="5" t="s">
        <v>238</v>
      </c>
      <c r="X2570" s="6" t="s">
        <v>238</v>
      </c>
      <c r="AA2570" s="6" t="s">
        <v>243</v>
      </c>
      <c r="AB2570" s="5" t="s">
        <v>238</v>
      </c>
      <c r="AC2570" s="5" t="s">
        <v>244</v>
      </c>
      <c r="AD2570" s="5" t="s">
        <v>245</v>
      </c>
      <c r="AT2570" s="5" t="s">
        <v>246</v>
      </c>
      <c r="AU2570" s="5" t="s">
        <v>238</v>
      </c>
      <c r="AV2570" s="5" t="s">
        <v>247</v>
      </c>
      <c r="AW2570" s="5" t="s">
        <v>238</v>
      </c>
      <c r="AX2570" s="5" t="s">
        <v>249</v>
      </c>
      <c r="AY2570" s="5" t="s">
        <v>238</v>
      </c>
      <c r="BA2570" s="5" t="s">
        <v>238</v>
      </c>
      <c r="BC2570" s="5" t="s">
        <v>250</v>
      </c>
      <c r="BD2570" s="6" t="s">
        <v>243</v>
      </c>
      <c r="BE2570" s="5" t="s">
        <v>251</v>
      </c>
      <c r="BF2570" s="5" t="s">
        <v>252</v>
      </c>
      <c r="BG2570" s="5" t="s">
        <v>238</v>
      </c>
      <c r="BH2570" s="7">
        <f>0</f>
        <v>0</v>
      </c>
      <c r="BI2570" s="8">
        <f>0</f>
        <v>0</v>
      </c>
      <c r="BJ2570" s="5" t="s">
        <v>253</v>
      </c>
      <c r="BK2570" s="5" t="s">
        <v>254</v>
      </c>
      <c r="BY2570" s="5" t="s">
        <v>238</v>
      </c>
      <c r="BZ2570" s="5" t="s">
        <v>238</v>
      </c>
      <c r="CD2570" s="5" t="s">
        <v>273</v>
      </c>
      <c r="CE2570" s="5" t="s">
        <v>256</v>
      </c>
      <c r="CF2570" s="5" t="s">
        <v>238</v>
      </c>
      <c r="CI2570" s="6" t="s">
        <v>257</v>
      </c>
      <c r="CJ2570" s="5" t="s">
        <v>238</v>
      </c>
      <c r="CK2570" s="5" t="s">
        <v>258</v>
      </c>
      <c r="CL2570" s="5" t="s">
        <v>238</v>
      </c>
      <c r="CM2570" s="5" t="s">
        <v>238</v>
      </c>
      <c r="CN2570" s="5">
        <v>0</v>
      </c>
      <c r="CO2570" s="5" t="s">
        <v>259</v>
      </c>
      <c r="CP2570" s="5" t="s">
        <v>260</v>
      </c>
      <c r="CQ2570" s="5" t="s">
        <v>260</v>
      </c>
      <c r="CR2570" s="5" t="s">
        <v>261</v>
      </c>
      <c r="CU2570" s="8">
        <f>1</f>
        <v>1</v>
      </c>
      <c r="CV2570" s="8">
        <f>0</f>
        <v>0</v>
      </c>
      <c r="CX2570" s="8">
        <f>0</f>
        <v>0</v>
      </c>
      <c r="CY2570" s="8">
        <f>1</f>
        <v>1</v>
      </c>
      <c r="DA2570" s="5" t="s">
        <v>274</v>
      </c>
      <c r="DB2570" s="5" t="s">
        <v>238</v>
      </c>
      <c r="DD2570" s="5" t="s">
        <v>274</v>
      </c>
      <c r="DE2570" s="8">
        <f>109</f>
        <v>109</v>
      </c>
      <c r="DG2570" s="5" t="s">
        <v>238</v>
      </c>
      <c r="DH2570" s="5" t="s">
        <v>238</v>
      </c>
      <c r="DI2570" s="5" t="s">
        <v>238</v>
      </c>
      <c r="DJ2570" s="5" t="s">
        <v>238</v>
      </c>
      <c r="DN2570" s="5" t="s">
        <v>238</v>
      </c>
      <c r="DO2570" s="5" t="s">
        <v>238</v>
      </c>
      <c r="DP2570" s="5" t="s">
        <v>238</v>
      </c>
      <c r="DQ2570" s="5" t="s">
        <v>238</v>
      </c>
      <c r="DT2570" s="5" t="s">
        <v>275</v>
      </c>
      <c r="DU2570" s="5" t="s">
        <v>2027</v>
      </c>
      <c r="HM2570" s="5" t="s">
        <v>264</v>
      </c>
    </row>
    <row r="2571" spans="1:221" x14ac:dyDescent="0.4">
      <c r="A2571" s="5">
        <v>4275</v>
      </c>
      <c r="B2571" s="5">
        <v>1</v>
      </c>
      <c r="C2571" s="5">
        <v>1</v>
      </c>
      <c r="D2571" s="5" t="s">
        <v>269</v>
      </c>
      <c r="E2571" s="5" t="s">
        <v>271</v>
      </c>
      <c r="F2571" s="5" t="s">
        <v>248</v>
      </c>
      <c r="G2571" s="5" t="s">
        <v>266</v>
      </c>
      <c r="H2571" s="6" t="s">
        <v>2020</v>
      </c>
      <c r="I2571" s="7">
        <f>892</f>
        <v>892</v>
      </c>
      <c r="J2571" s="5" t="s">
        <v>262</v>
      </c>
      <c r="K2571" s="8">
        <f>1</f>
        <v>1</v>
      </c>
      <c r="L2571" s="6" t="s">
        <v>242</v>
      </c>
      <c r="M2571" s="5" t="s">
        <v>267</v>
      </c>
      <c r="N2571" s="5" t="s">
        <v>265</v>
      </c>
      <c r="O2571" s="5" t="s">
        <v>238</v>
      </c>
      <c r="P2571" s="5" t="s">
        <v>238</v>
      </c>
      <c r="Q2571" s="5" t="s">
        <v>268</v>
      </c>
      <c r="R2571" s="5" t="s">
        <v>270</v>
      </c>
      <c r="S2571" s="5" t="s">
        <v>238</v>
      </c>
      <c r="V2571" s="5" t="s">
        <v>238</v>
      </c>
      <c r="X2571" s="6" t="s">
        <v>238</v>
      </c>
      <c r="AA2571" s="6" t="s">
        <v>243</v>
      </c>
      <c r="AB2571" s="5" t="s">
        <v>238</v>
      </c>
      <c r="AC2571" s="5" t="s">
        <v>244</v>
      </c>
      <c r="AD2571" s="5" t="s">
        <v>245</v>
      </c>
      <c r="AT2571" s="5" t="s">
        <v>246</v>
      </c>
      <c r="AU2571" s="5" t="s">
        <v>238</v>
      </c>
      <c r="AV2571" s="5" t="s">
        <v>247</v>
      </c>
      <c r="AW2571" s="5" t="s">
        <v>238</v>
      </c>
      <c r="AX2571" s="5" t="s">
        <v>249</v>
      </c>
      <c r="AY2571" s="5" t="s">
        <v>238</v>
      </c>
      <c r="BA2571" s="5" t="s">
        <v>238</v>
      </c>
      <c r="BC2571" s="5" t="s">
        <v>250</v>
      </c>
      <c r="BD2571" s="6" t="s">
        <v>243</v>
      </c>
      <c r="BE2571" s="5" t="s">
        <v>251</v>
      </c>
      <c r="BF2571" s="5" t="s">
        <v>252</v>
      </c>
      <c r="BG2571" s="5" t="s">
        <v>238</v>
      </c>
      <c r="BH2571" s="7">
        <f>0</f>
        <v>0</v>
      </c>
      <c r="BI2571" s="8">
        <f>0</f>
        <v>0</v>
      </c>
      <c r="BJ2571" s="5" t="s">
        <v>253</v>
      </c>
      <c r="BK2571" s="5" t="s">
        <v>254</v>
      </c>
      <c r="BY2571" s="5" t="s">
        <v>238</v>
      </c>
      <c r="BZ2571" s="5" t="s">
        <v>238</v>
      </c>
      <c r="CD2571" s="5" t="s">
        <v>273</v>
      </c>
      <c r="CE2571" s="5" t="s">
        <v>256</v>
      </c>
      <c r="CF2571" s="5" t="s">
        <v>238</v>
      </c>
      <c r="CI2571" s="6" t="s">
        <v>257</v>
      </c>
      <c r="CJ2571" s="5" t="s">
        <v>238</v>
      </c>
      <c r="CK2571" s="5" t="s">
        <v>258</v>
      </c>
      <c r="CL2571" s="5" t="s">
        <v>238</v>
      </c>
      <c r="CM2571" s="5" t="s">
        <v>238</v>
      </c>
      <c r="CN2571" s="5">
        <v>0</v>
      </c>
      <c r="CO2571" s="5" t="s">
        <v>259</v>
      </c>
      <c r="CP2571" s="5" t="s">
        <v>260</v>
      </c>
      <c r="CQ2571" s="5" t="s">
        <v>260</v>
      </c>
      <c r="CR2571" s="5" t="s">
        <v>261</v>
      </c>
      <c r="CU2571" s="8">
        <f>1</f>
        <v>1</v>
      </c>
      <c r="CV2571" s="8">
        <f>0</f>
        <v>0</v>
      </c>
      <c r="CX2571" s="8">
        <f>0</f>
        <v>0</v>
      </c>
      <c r="CY2571" s="8">
        <f>1</f>
        <v>1</v>
      </c>
      <c r="DA2571" s="5" t="s">
        <v>274</v>
      </c>
      <c r="DB2571" s="5" t="s">
        <v>238</v>
      </c>
      <c r="DD2571" s="5" t="s">
        <v>274</v>
      </c>
      <c r="DE2571" s="8">
        <f>892</f>
        <v>892</v>
      </c>
      <c r="DG2571" s="5" t="s">
        <v>238</v>
      </c>
      <c r="DH2571" s="5" t="s">
        <v>238</v>
      </c>
      <c r="DI2571" s="5" t="s">
        <v>238</v>
      </c>
      <c r="DJ2571" s="5" t="s">
        <v>238</v>
      </c>
      <c r="DN2571" s="5" t="s">
        <v>238</v>
      </c>
      <c r="DO2571" s="5" t="s">
        <v>238</v>
      </c>
      <c r="DP2571" s="5" t="s">
        <v>238</v>
      </c>
      <c r="DQ2571" s="5" t="s">
        <v>238</v>
      </c>
      <c r="DT2571" s="5" t="s">
        <v>275</v>
      </c>
      <c r="DU2571" s="5" t="s">
        <v>2021</v>
      </c>
      <c r="HM2571" s="5" t="s">
        <v>264</v>
      </c>
    </row>
    <row r="2572" spans="1:221" x14ac:dyDescent="0.4">
      <c r="A2572" s="5">
        <v>4276</v>
      </c>
      <c r="B2572" s="5">
        <v>1</v>
      </c>
      <c r="C2572" s="5">
        <v>1</v>
      </c>
      <c r="D2572" s="5" t="s">
        <v>269</v>
      </c>
      <c r="E2572" s="5" t="s">
        <v>271</v>
      </c>
      <c r="F2572" s="5" t="s">
        <v>248</v>
      </c>
      <c r="G2572" s="5" t="s">
        <v>266</v>
      </c>
      <c r="H2572" s="6" t="s">
        <v>2018</v>
      </c>
      <c r="I2572" s="7">
        <f>2346</f>
        <v>2346</v>
      </c>
      <c r="J2572" s="5" t="s">
        <v>262</v>
      </c>
      <c r="K2572" s="8">
        <f>1</f>
        <v>1</v>
      </c>
      <c r="L2572" s="6" t="s">
        <v>242</v>
      </c>
      <c r="M2572" s="5" t="s">
        <v>267</v>
      </c>
      <c r="N2572" s="5" t="s">
        <v>265</v>
      </c>
      <c r="O2572" s="5" t="s">
        <v>238</v>
      </c>
      <c r="P2572" s="5" t="s">
        <v>238</v>
      </c>
      <c r="Q2572" s="5" t="s">
        <v>268</v>
      </c>
      <c r="R2572" s="5" t="s">
        <v>270</v>
      </c>
      <c r="S2572" s="5" t="s">
        <v>238</v>
      </c>
      <c r="V2572" s="5" t="s">
        <v>238</v>
      </c>
      <c r="X2572" s="6" t="s">
        <v>238</v>
      </c>
      <c r="AA2572" s="6" t="s">
        <v>243</v>
      </c>
      <c r="AB2572" s="5" t="s">
        <v>238</v>
      </c>
      <c r="AC2572" s="5" t="s">
        <v>244</v>
      </c>
      <c r="AD2572" s="5" t="s">
        <v>245</v>
      </c>
      <c r="AT2572" s="5" t="s">
        <v>246</v>
      </c>
      <c r="AU2572" s="5" t="s">
        <v>238</v>
      </c>
      <c r="AV2572" s="5" t="s">
        <v>247</v>
      </c>
      <c r="AW2572" s="5" t="s">
        <v>238</v>
      </c>
      <c r="AX2572" s="5" t="s">
        <v>249</v>
      </c>
      <c r="AY2572" s="5" t="s">
        <v>238</v>
      </c>
      <c r="BA2572" s="5" t="s">
        <v>238</v>
      </c>
      <c r="BC2572" s="5" t="s">
        <v>250</v>
      </c>
      <c r="BD2572" s="6" t="s">
        <v>243</v>
      </c>
      <c r="BE2572" s="5" t="s">
        <v>251</v>
      </c>
      <c r="BF2572" s="5" t="s">
        <v>252</v>
      </c>
      <c r="BG2572" s="5" t="s">
        <v>238</v>
      </c>
      <c r="BH2572" s="7">
        <f>0</f>
        <v>0</v>
      </c>
      <c r="BI2572" s="8">
        <f>0</f>
        <v>0</v>
      </c>
      <c r="BJ2572" s="5" t="s">
        <v>253</v>
      </c>
      <c r="BK2572" s="5" t="s">
        <v>254</v>
      </c>
      <c r="BY2572" s="5" t="s">
        <v>238</v>
      </c>
      <c r="BZ2572" s="5" t="s">
        <v>238</v>
      </c>
      <c r="CD2572" s="5" t="s">
        <v>273</v>
      </c>
      <c r="CE2572" s="5" t="s">
        <v>256</v>
      </c>
      <c r="CF2572" s="5" t="s">
        <v>238</v>
      </c>
      <c r="CI2572" s="6" t="s">
        <v>257</v>
      </c>
      <c r="CJ2572" s="5" t="s">
        <v>238</v>
      </c>
      <c r="CK2572" s="5" t="s">
        <v>258</v>
      </c>
      <c r="CL2572" s="5" t="s">
        <v>238</v>
      </c>
      <c r="CM2572" s="5" t="s">
        <v>238</v>
      </c>
      <c r="CN2572" s="5">
        <v>0</v>
      </c>
      <c r="CO2572" s="5" t="s">
        <v>259</v>
      </c>
      <c r="CP2572" s="5" t="s">
        <v>260</v>
      </c>
      <c r="CQ2572" s="5" t="s">
        <v>260</v>
      </c>
      <c r="CR2572" s="5" t="s">
        <v>261</v>
      </c>
      <c r="CU2572" s="8">
        <f>1</f>
        <v>1</v>
      </c>
      <c r="CV2572" s="8">
        <f>0</f>
        <v>0</v>
      </c>
      <c r="CX2572" s="8">
        <f>0</f>
        <v>0</v>
      </c>
      <c r="CY2572" s="8">
        <f>1</f>
        <v>1</v>
      </c>
      <c r="DA2572" s="5" t="s">
        <v>274</v>
      </c>
      <c r="DB2572" s="5" t="s">
        <v>238</v>
      </c>
      <c r="DD2572" s="5" t="s">
        <v>274</v>
      </c>
      <c r="DE2572" s="8">
        <f>2346</f>
        <v>2346</v>
      </c>
      <c r="DG2572" s="5" t="s">
        <v>238</v>
      </c>
      <c r="DH2572" s="5" t="s">
        <v>238</v>
      </c>
      <c r="DI2572" s="5" t="s">
        <v>238</v>
      </c>
      <c r="DJ2572" s="5" t="s">
        <v>238</v>
      </c>
      <c r="DN2572" s="5" t="s">
        <v>238</v>
      </c>
      <c r="DO2572" s="5" t="s">
        <v>238</v>
      </c>
      <c r="DP2572" s="5" t="s">
        <v>238</v>
      </c>
      <c r="DQ2572" s="5" t="s">
        <v>238</v>
      </c>
      <c r="DT2572" s="5" t="s">
        <v>275</v>
      </c>
      <c r="DU2572" s="5" t="s">
        <v>2019</v>
      </c>
      <c r="HM2572" s="5" t="s">
        <v>264</v>
      </c>
    </row>
    <row r="2573" spans="1:221" x14ac:dyDescent="0.4">
      <c r="A2573" s="5">
        <v>4277</v>
      </c>
      <c r="B2573" s="5">
        <v>1</v>
      </c>
      <c r="C2573" s="5">
        <v>1</v>
      </c>
      <c r="D2573" s="5" t="s">
        <v>269</v>
      </c>
      <c r="E2573" s="5" t="s">
        <v>271</v>
      </c>
      <c r="F2573" s="5" t="s">
        <v>248</v>
      </c>
      <c r="G2573" s="5" t="s">
        <v>266</v>
      </c>
      <c r="H2573" s="6" t="s">
        <v>2010</v>
      </c>
      <c r="I2573" s="7">
        <f>808</f>
        <v>808</v>
      </c>
      <c r="J2573" s="5" t="s">
        <v>262</v>
      </c>
      <c r="K2573" s="8">
        <f>1</f>
        <v>1</v>
      </c>
      <c r="L2573" s="6" t="s">
        <v>242</v>
      </c>
      <c r="M2573" s="5" t="s">
        <v>267</v>
      </c>
      <c r="N2573" s="5" t="s">
        <v>265</v>
      </c>
      <c r="O2573" s="5" t="s">
        <v>238</v>
      </c>
      <c r="P2573" s="5" t="s">
        <v>238</v>
      </c>
      <c r="Q2573" s="5" t="s">
        <v>268</v>
      </c>
      <c r="R2573" s="5" t="s">
        <v>270</v>
      </c>
      <c r="S2573" s="5" t="s">
        <v>238</v>
      </c>
      <c r="V2573" s="5" t="s">
        <v>238</v>
      </c>
      <c r="X2573" s="6" t="s">
        <v>238</v>
      </c>
      <c r="AA2573" s="6" t="s">
        <v>243</v>
      </c>
      <c r="AB2573" s="5" t="s">
        <v>238</v>
      </c>
      <c r="AC2573" s="5" t="s">
        <v>244</v>
      </c>
      <c r="AD2573" s="5" t="s">
        <v>245</v>
      </c>
      <c r="AT2573" s="5" t="s">
        <v>246</v>
      </c>
      <c r="AU2573" s="5" t="s">
        <v>238</v>
      </c>
      <c r="AV2573" s="5" t="s">
        <v>247</v>
      </c>
      <c r="AW2573" s="5" t="s">
        <v>238</v>
      </c>
      <c r="AX2573" s="5" t="s">
        <v>249</v>
      </c>
      <c r="AY2573" s="5" t="s">
        <v>238</v>
      </c>
      <c r="BA2573" s="5" t="s">
        <v>238</v>
      </c>
      <c r="BC2573" s="5" t="s">
        <v>250</v>
      </c>
      <c r="BD2573" s="6" t="s">
        <v>243</v>
      </c>
      <c r="BE2573" s="5" t="s">
        <v>251</v>
      </c>
      <c r="BF2573" s="5" t="s">
        <v>252</v>
      </c>
      <c r="BG2573" s="5" t="s">
        <v>238</v>
      </c>
      <c r="BH2573" s="7">
        <f>0</f>
        <v>0</v>
      </c>
      <c r="BI2573" s="8">
        <f>0</f>
        <v>0</v>
      </c>
      <c r="BJ2573" s="5" t="s">
        <v>253</v>
      </c>
      <c r="BK2573" s="5" t="s">
        <v>254</v>
      </c>
      <c r="BY2573" s="5" t="s">
        <v>238</v>
      </c>
      <c r="BZ2573" s="5" t="s">
        <v>238</v>
      </c>
      <c r="CD2573" s="5" t="s">
        <v>273</v>
      </c>
      <c r="CE2573" s="5" t="s">
        <v>256</v>
      </c>
      <c r="CF2573" s="5" t="s">
        <v>238</v>
      </c>
      <c r="CI2573" s="6" t="s">
        <v>257</v>
      </c>
      <c r="CJ2573" s="5" t="s">
        <v>238</v>
      </c>
      <c r="CK2573" s="5" t="s">
        <v>258</v>
      </c>
      <c r="CL2573" s="5" t="s">
        <v>238</v>
      </c>
      <c r="CM2573" s="5" t="s">
        <v>238</v>
      </c>
      <c r="CN2573" s="5">
        <v>0</v>
      </c>
      <c r="CO2573" s="5" t="s">
        <v>259</v>
      </c>
      <c r="CP2573" s="5" t="s">
        <v>260</v>
      </c>
      <c r="CQ2573" s="5" t="s">
        <v>260</v>
      </c>
      <c r="CR2573" s="5" t="s">
        <v>261</v>
      </c>
      <c r="CU2573" s="8">
        <f>1</f>
        <v>1</v>
      </c>
      <c r="CV2573" s="8">
        <f>0</f>
        <v>0</v>
      </c>
      <c r="CX2573" s="8">
        <f>0</f>
        <v>0</v>
      </c>
      <c r="CY2573" s="8">
        <f>1</f>
        <v>1</v>
      </c>
      <c r="DA2573" s="5" t="s">
        <v>274</v>
      </c>
      <c r="DB2573" s="5" t="s">
        <v>238</v>
      </c>
      <c r="DD2573" s="5" t="s">
        <v>274</v>
      </c>
      <c r="DE2573" s="8">
        <f>808</f>
        <v>808</v>
      </c>
      <c r="DG2573" s="5" t="s">
        <v>238</v>
      </c>
      <c r="DH2573" s="5" t="s">
        <v>238</v>
      </c>
      <c r="DI2573" s="5" t="s">
        <v>238</v>
      </c>
      <c r="DJ2573" s="5" t="s">
        <v>238</v>
      </c>
      <c r="DN2573" s="5" t="s">
        <v>238</v>
      </c>
      <c r="DO2573" s="5" t="s">
        <v>238</v>
      </c>
      <c r="DP2573" s="5" t="s">
        <v>238</v>
      </c>
      <c r="DQ2573" s="5" t="s">
        <v>238</v>
      </c>
      <c r="DT2573" s="5" t="s">
        <v>275</v>
      </c>
      <c r="DU2573" s="5" t="s">
        <v>2011</v>
      </c>
      <c r="HM2573" s="5" t="s">
        <v>264</v>
      </c>
    </row>
    <row r="2574" spans="1:221" x14ac:dyDescent="0.4">
      <c r="A2574" s="5">
        <v>4278</v>
      </c>
      <c r="B2574" s="5">
        <v>1</v>
      </c>
      <c r="C2574" s="5">
        <v>1</v>
      </c>
      <c r="D2574" s="5" t="s">
        <v>269</v>
      </c>
      <c r="E2574" s="5" t="s">
        <v>271</v>
      </c>
      <c r="F2574" s="5" t="s">
        <v>248</v>
      </c>
      <c r="G2574" s="5" t="s">
        <v>266</v>
      </c>
      <c r="H2574" s="6" t="s">
        <v>2008</v>
      </c>
      <c r="I2574" s="7">
        <f>2690</f>
        <v>2690</v>
      </c>
      <c r="J2574" s="5" t="s">
        <v>262</v>
      </c>
      <c r="K2574" s="8">
        <f>1</f>
        <v>1</v>
      </c>
      <c r="L2574" s="6" t="s">
        <v>242</v>
      </c>
      <c r="M2574" s="5" t="s">
        <v>267</v>
      </c>
      <c r="N2574" s="5" t="s">
        <v>265</v>
      </c>
      <c r="O2574" s="5" t="s">
        <v>238</v>
      </c>
      <c r="P2574" s="5" t="s">
        <v>238</v>
      </c>
      <c r="Q2574" s="5" t="s">
        <v>268</v>
      </c>
      <c r="R2574" s="5" t="s">
        <v>270</v>
      </c>
      <c r="S2574" s="5" t="s">
        <v>238</v>
      </c>
      <c r="V2574" s="5" t="s">
        <v>238</v>
      </c>
      <c r="X2574" s="6" t="s">
        <v>238</v>
      </c>
      <c r="AA2574" s="6" t="s">
        <v>243</v>
      </c>
      <c r="AB2574" s="5" t="s">
        <v>238</v>
      </c>
      <c r="AC2574" s="5" t="s">
        <v>244</v>
      </c>
      <c r="AD2574" s="5" t="s">
        <v>245</v>
      </c>
      <c r="AT2574" s="5" t="s">
        <v>246</v>
      </c>
      <c r="AU2574" s="5" t="s">
        <v>238</v>
      </c>
      <c r="AV2574" s="5" t="s">
        <v>247</v>
      </c>
      <c r="AW2574" s="5" t="s">
        <v>238</v>
      </c>
      <c r="AX2574" s="5" t="s">
        <v>249</v>
      </c>
      <c r="AY2574" s="5" t="s">
        <v>238</v>
      </c>
      <c r="BA2574" s="5" t="s">
        <v>238</v>
      </c>
      <c r="BC2574" s="5" t="s">
        <v>250</v>
      </c>
      <c r="BD2574" s="6" t="s">
        <v>243</v>
      </c>
      <c r="BE2574" s="5" t="s">
        <v>251</v>
      </c>
      <c r="BF2574" s="5" t="s">
        <v>252</v>
      </c>
      <c r="BG2574" s="5" t="s">
        <v>238</v>
      </c>
      <c r="BH2574" s="7">
        <f>0</f>
        <v>0</v>
      </c>
      <c r="BI2574" s="8">
        <f>0</f>
        <v>0</v>
      </c>
      <c r="BJ2574" s="5" t="s">
        <v>253</v>
      </c>
      <c r="BK2574" s="5" t="s">
        <v>254</v>
      </c>
      <c r="BY2574" s="5" t="s">
        <v>238</v>
      </c>
      <c r="BZ2574" s="5" t="s">
        <v>238</v>
      </c>
      <c r="CD2574" s="5" t="s">
        <v>273</v>
      </c>
      <c r="CE2574" s="5" t="s">
        <v>256</v>
      </c>
      <c r="CF2574" s="5" t="s">
        <v>238</v>
      </c>
      <c r="CI2574" s="6" t="s">
        <v>257</v>
      </c>
      <c r="CJ2574" s="5" t="s">
        <v>238</v>
      </c>
      <c r="CK2574" s="5" t="s">
        <v>258</v>
      </c>
      <c r="CL2574" s="5" t="s">
        <v>238</v>
      </c>
      <c r="CM2574" s="5" t="s">
        <v>238</v>
      </c>
      <c r="CN2574" s="5">
        <v>0</v>
      </c>
      <c r="CO2574" s="5" t="s">
        <v>259</v>
      </c>
      <c r="CP2574" s="5" t="s">
        <v>260</v>
      </c>
      <c r="CQ2574" s="5" t="s">
        <v>260</v>
      </c>
      <c r="CR2574" s="5" t="s">
        <v>261</v>
      </c>
      <c r="CU2574" s="8">
        <f>1</f>
        <v>1</v>
      </c>
      <c r="CV2574" s="8">
        <f>0</f>
        <v>0</v>
      </c>
      <c r="CX2574" s="8">
        <f>0</f>
        <v>0</v>
      </c>
      <c r="CY2574" s="8">
        <f>1</f>
        <v>1</v>
      </c>
      <c r="DA2574" s="5" t="s">
        <v>274</v>
      </c>
      <c r="DB2574" s="5" t="s">
        <v>238</v>
      </c>
      <c r="DD2574" s="5" t="s">
        <v>274</v>
      </c>
      <c r="DE2574" s="8">
        <f>2690</f>
        <v>2690</v>
      </c>
      <c r="DG2574" s="5" t="s">
        <v>238</v>
      </c>
      <c r="DH2574" s="5" t="s">
        <v>238</v>
      </c>
      <c r="DI2574" s="5" t="s">
        <v>238</v>
      </c>
      <c r="DJ2574" s="5" t="s">
        <v>238</v>
      </c>
      <c r="DN2574" s="5" t="s">
        <v>238</v>
      </c>
      <c r="DO2574" s="5" t="s">
        <v>238</v>
      </c>
      <c r="DP2574" s="5" t="s">
        <v>238</v>
      </c>
      <c r="DQ2574" s="5" t="s">
        <v>238</v>
      </c>
      <c r="DT2574" s="5" t="s">
        <v>275</v>
      </c>
      <c r="DU2574" s="5" t="s">
        <v>2009</v>
      </c>
      <c r="HM2574" s="5" t="s">
        <v>264</v>
      </c>
    </row>
    <row r="2575" spans="1:221" x14ac:dyDescent="0.4">
      <c r="A2575" s="5">
        <v>4279</v>
      </c>
      <c r="B2575" s="5">
        <v>1</v>
      </c>
      <c r="C2575" s="5">
        <v>1</v>
      </c>
      <c r="D2575" s="5" t="s">
        <v>269</v>
      </c>
      <c r="E2575" s="5" t="s">
        <v>271</v>
      </c>
      <c r="F2575" s="5" t="s">
        <v>248</v>
      </c>
      <c r="G2575" s="5" t="s">
        <v>266</v>
      </c>
      <c r="H2575" s="6" t="s">
        <v>2004</v>
      </c>
      <c r="I2575" s="7">
        <f>4235</f>
        <v>4235</v>
      </c>
      <c r="J2575" s="5" t="s">
        <v>262</v>
      </c>
      <c r="K2575" s="8">
        <f>1</f>
        <v>1</v>
      </c>
      <c r="L2575" s="6" t="s">
        <v>242</v>
      </c>
      <c r="M2575" s="5" t="s">
        <v>267</v>
      </c>
      <c r="N2575" s="5" t="s">
        <v>265</v>
      </c>
      <c r="O2575" s="5" t="s">
        <v>238</v>
      </c>
      <c r="P2575" s="5" t="s">
        <v>238</v>
      </c>
      <c r="Q2575" s="5" t="s">
        <v>268</v>
      </c>
      <c r="R2575" s="5" t="s">
        <v>270</v>
      </c>
      <c r="S2575" s="5" t="s">
        <v>238</v>
      </c>
      <c r="V2575" s="5" t="s">
        <v>238</v>
      </c>
      <c r="X2575" s="6" t="s">
        <v>238</v>
      </c>
      <c r="AA2575" s="6" t="s">
        <v>243</v>
      </c>
      <c r="AB2575" s="5" t="s">
        <v>238</v>
      </c>
      <c r="AC2575" s="5" t="s">
        <v>244</v>
      </c>
      <c r="AD2575" s="5" t="s">
        <v>245</v>
      </c>
      <c r="AT2575" s="5" t="s">
        <v>246</v>
      </c>
      <c r="AU2575" s="5" t="s">
        <v>238</v>
      </c>
      <c r="AV2575" s="5" t="s">
        <v>247</v>
      </c>
      <c r="AW2575" s="5" t="s">
        <v>238</v>
      </c>
      <c r="AX2575" s="5" t="s">
        <v>249</v>
      </c>
      <c r="AY2575" s="5" t="s">
        <v>238</v>
      </c>
      <c r="BA2575" s="5" t="s">
        <v>238</v>
      </c>
      <c r="BC2575" s="5" t="s">
        <v>250</v>
      </c>
      <c r="BD2575" s="6" t="s">
        <v>243</v>
      </c>
      <c r="BE2575" s="5" t="s">
        <v>251</v>
      </c>
      <c r="BF2575" s="5" t="s">
        <v>252</v>
      </c>
      <c r="BG2575" s="5" t="s">
        <v>238</v>
      </c>
      <c r="BH2575" s="7">
        <f>0</f>
        <v>0</v>
      </c>
      <c r="BI2575" s="8">
        <f>0</f>
        <v>0</v>
      </c>
      <c r="BJ2575" s="5" t="s">
        <v>253</v>
      </c>
      <c r="BK2575" s="5" t="s">
        <v>254</v>
      </c>
      <c r="BY2575" s="5" t="s">
        <v>238</v>
      </c>
      <c r="BZ2575" s="5" t="s">
        <v>238</v>
      </c>
      <c r="CD2575" s="5" t="s">
        <v>273</v>
      </c>
      <c r="CE2575" s="5" t="s">
        <v>256</v>
      </c>
      <c r="CF2575" s="5" t="s">
        <v>238</v>
      </c>
      <c r="CI2575" s="6" t="s">
        <v>257</v>
      </c>
      <c r="CJ2575" s="5" t="s">
        <v>238</v>
      </c>
      <c r="CK2575" s="5" t="s">
        <v>258</v>
      </c>
      <c r="CL2575" s="5" t="s">
        <v>238</v>
      </c>
      <c r="CM2575" s="5" t="s">
        <v>238</v>
      </c>
      <c r="CN2575" s="5">
        <v>0</v>
      </c>
      <c r="CO2575" s="5" t="s">
        <v>259</v>
      </c>
      <c r="CP2575" s="5" t="s">
        <v>260</v>
      </c>
      <c r="CQ2575" s="5" t="s">
        <v>260</v>
      </c>
      <c r="CR2575" s="5" t="s">
        <v>261</v>
      </c>
      <c r="CU2575" s="8">
        <f>1</f>
        <v>1</v>
      </c>
      <c r="CV2575" s="8">
        <f>0</f>
        <v>0</v>
      </c>
      <c r="CX2575" s="8">
        <f>0</f>
        <v>0</v>
      </c>
      <c r="CY2575" s="8">
        <f>1</f>
        <v>1</v>
      </c>
      <c r="DA2575" s="5" t="s">
        <v>274</v>
      </c>
      <c r="DB2575" s="5" t="s">
        <v>238</v>
      </c>
      <c r="DD2575" s="5" t="s">
        <v>274</v>
      </c>
      <c r="DE2575" s="8">
        <f>4235</f>
        <v>4235</v>
      </c>
      <c r="DG2575" s="5" t="s">
        <v>238</v>
      </c>
      <c r="DH2575" s="5" t="s">
        <v>238</v>
      </c>
      <c r="DI2575" s="5" t="s">
        <v>238</v>
      </c>
      <c r="DJ2575" s="5" t="s">
        <v>238</v>
      </c>
      <c r="DN2575" s="5" t="s">
        <v>238</v>
      </c>
      <c r="DO2575" s="5" t="s">
        <v>238</v>
      </c>
      <c r="DP2575" s="5" t="s">
        <v>238</v>
      </c>
      <c r="DQ2575" s="5" t="s">
        <v>238</v>
      </c>
      <c r="DT2575" s="5" t="s">
        <v>275</v>
      </c>
      <c r="DU2575" s="5" t="s">
        <v>2005</v>
      </c>
      <c r="HM2575" s="5" t="s">
        <v>264</v>
      </c>
    </row>
    <row r="2576" spans="1:221" x14ac:dyDescent="0.4">
      <c r="A2576" s="5">
        <v>4280</v>
      </c>
      <c r="B2576" s="5">
        <v>1</v>
      </c>
      <c r="C2576" s="5">
        <v>1</v>
      </c>
      <c r="D2576" s="5" t="s">
        <v>269</v>
      </c>
      <c r="E2576" s="5" t="s">
        <v>271</v>
      </c>
      <c r="F2576" s="5" t="s">
        <v>248</v>
      </c>
      <c r="G2576" s="5" t="s">
        <v>266</v>
      </c>
      <c r="H2576" s="6" t="s">
        <v>2002</v>
      </c>
      <c r="I2576" s="7">
        <f>225</f>
        <v>225</v>
      </c>
      <c r="J2576" s="5" t="s">
        <v>262</v>
      </c>
      <c r="K2576" s="8">
        <f>1</f>
        <v>1</v>
      </c>
      <c r="L2576" s="6" t="s">
        <v>242</v>
      </c>
      <c r="M2576" s="5" t="s">
        <v>267</v>
      </c>
      <c r="N2576" s="5" t="s">
        <v>265</v>
      </c>
      <c r="O2576" s="5" t="s">
        <v>238</v>
      </c>
      <c r="P2576" s="5" t="s">
        <v>238</v>
      </c>
      <c r="Q2576" s="5" t="s">
        <v>268</v>
      </c>
      <c r="R2576" s="5" t="s">
        <v>270</v>
      </c>
      <c r="S2576" s="5" t="s">
        <v>238</v>
      </c>
      <c r="V2576" s="5" t="s">
        <v>238</v>
      </c>
      <c r="X2576" s="6" t="s">
        <v>238</v>
      </c>
      <c r="AA2576" s="6" t="s">
        <v>243</v>
      </c>
      <c r="AB2576" s="5" t="s">
        <v>238</v>
      </c>
      <c r="AC2576" s="5" t="s">
        <v>244</v>
      </c>
      <c r="AD2576" s="5" t="s">
        <v>245</v>
      </c>
      <c r="AT2576" s="5" t="s">
        <v>246</v>
      </c>
      <c r="AU2576" s="5" t="s">
        <v>238</v>
      </c>
      <c r="AV2576" s="5" t="s">
        <v>247</v>
      </c>
      <c r="AW2576" s="5" t="s">
        <v>238</v>
      </c>
      <c r="AX2576" s="5" t="s">
        <v>249</v>
      </c>
      <c r="AY2576" s="5" t="s">
        <v>238</v>
      </c>
      <c r="BA2576" s="5" t="s">
        <v>238</v>
      </c>
      <c r="BC2576" s="5" t="s">
        <v>250</v>
      </c>
      <c r="BD2576" s="6" t="s">
        <v>243</v>
      </c>
      <c r="BE2576" s="5" t="s">
        <v>251</v>
      </c>
      <c r="BF2576" s="5" t="s">
        <v>252</v>
      </c>
      <c r="BG2576" s="5" t="s">
        <v>238</v>
      </c>
      <c r="BH2576" s="7">
        <f>0</f>
        <v>0</v>
      </c>
      <c r="BI2576" s="8">
        <f>0</f>
        <v>0</v>
      </c>
      <c r="BJ2576" s="5" t="s">
        <v>253</v>
      </c>
      <c r="BK2576" s="5" t="s">
        <v>254</v>
      </c>
      <c r="BY2576" s="5" t="s">
        <v>238</v>
      </c>
      <c r="BZ2576" s="5" t="s">
        <v>238</v>
      </c>
      <c r="CD2576" s="5" t="s">
        <v>273</v>
      </c>
      <c r="CE2576" s="5" t="s">
        <v>256</v>
      </c>
      <c r="CF2576" s="5" t="s">
        <v>238</v>
      </c>
      <c r="CI2576" s="6" t="s">
        <v>257</v>
      </c>
      <c r="CJ2576" s="5" t="s">
        <v>238</v>
      </c>
      <c r="CK2576" s="5" t="s">
        <v>258</v>
      </c>
      <c r="CL2576" s="5" t="s">
        <v>238</v>
      </c>
      <c r="CM2576" s="5" t="s">
        <v>238</v>
      </c>
      <c r="CN2576" s="5">
        <v>0</v>
      </c>
      <c r="CO2576" s="5" t="s">
        <v>259</v>
      </c>
      <c r="CP2576" s="5" t="s">
        <v>260</v>
      </c>
      <c r="CQ2576" s="5" t="s">
        <v>260</v>
      </c>
      <c r="CR2576" s="5" t="s">
        <v>261</v>
      </c>
      <c r="CU2576" s="8">
        <f>1</f>
        <v>1</v>
      </c>
      <c r="CV2576" s="8">
        <f>0</f>
        <v>0</v>
      </c>
      <c r="CX2576" s="8">
        <f>0</f>
        <v>0</v>
      </c>
      <c r="CY2576" s="8">
        <f>1</f>
        <v>1</v>
      </c>
      <c r="DA2576" s="5" t="s">
        <v>274</v>
      </c>
      <c r="DB2576" s="5" t="s">
        <v>238</v>
      </c>
      <c r="DD2576" s="5" t="s">
        <v>274</v>
      </c>
      <c r="DE2576" s="8">
        <f>225</f>
        <v>225</v>
      </c>
      <c r="DG2576" s="5" t="s">
        <v>238</v>
      </c>
      <c r="DH2576" s="5" t="s">
        <v>238</v>
      </c>
      <c r="DI2576" s="5" t="s">
        <v>238</v>
      </c>
      <c r="DJ2576" s="5" t="s">
        <v>238</v>
      </c>
      <c r="DN2576" s="5" t="s">
        <v>238</v>
      </c>
      <c r="DO2576" s="5" t="s">
        <v>238</v>
      </c>
      <c r="DP2576" s="5" t="s">
        <v>238</v>
      </c>
      <c r="DQ2576" s="5" t="s">
        <v>238</v>
      </c>
      <c r="DT2576" s="5" t="s">
        <v>275</v>
      </c>
      <c r="DU2576" s="5" t="s">
        <v>2003</v>
      </c>
      <c r="HM2576" s="5" t="s">
        <v>264</v>
      </c>
    </row>
    <row r="2577" spans="1:221" x14ac:dyDescent="0.4">
      <c r="A2577" s="5">
        <v>4281</v>
      </c>
      <c r="B2577" s="5">
        <v>1</v>
      </c>
      <c r="C2577" s="5">
        <v>1</v>
      </c>
      <c r="D2577" s="5" t="s">
        <v>269</v>
      </c>
      <c r="E2577" s="5" t="s">
        <v>271</v>
      </c>
      <c r="F2577" s="5" t="s">
        <v>248</v>
      </c>
      <c r="G2577" s="5" t="s">
        <v>266</v>
      </c>
      <c r="H2577" s="6" t="s">
        <v>1996</v>
      </c>
      <c r="I2577" s="7">
        <f>1081</f>
        <v>1081</v>
      </c>
      <c r="J2577" s="5" t="s">
        <v>262</v>
      </c>
      <c r="K2577" s="8">
        <f>1</f>
        <v>1</v>
      </c>
      <c r="L2577" s="6" t="s">
        <v>242</v>
      </c>
      <c r="M2577" s="5" t="s">
        <v>267</v>
      </c>
      <c r="N2577" s="5" t="s">
        <v>265</v>
      </c>
      <c r="O2577" s="5" t="s">
        <v>238</v>
      </c>
      <c r="P2577" s="5" t="s">
        <v>238</v>
      </c>
      <c r="Q2577" s="5" t="s">
        <v>268</v>
      </c>
      <c r="R2577" s="5" t="s">
        <v>270</v>
      </c>
      <c r="S2577" s="5" t="s">
        <v>238</v>
      </c>
      <c r="V2577" s="5" t="s">
        <v>238</v>
      </c>
      <c r="X2577" s="6" t="s">
        <v>238</v>
      </c>
      <c r="AA2577" s="6" t="s">
        <v>243</v>
      </c>
      <c r="AB2577" s="5" t="s">
        <v>238</v>
      </c>
      <c r="AC2577" s="5" t="s">
        <v>244</v>
      </c>
      <c r="AD2577" s="5" t="s">
        <v>245</v>
      </c>
      <c r="AT2577" s="5" t="s">
        <v>246</v>
      </c>
      <c r="AU2577" s="5" t="s">
        <v>238</v>
      </c>
      <c r="AV2577" s="5" t="s">
        <v>247</v>
      </c>
      <c r="AW2577" s="5" t="s">
        <v>238</v>
      </c>
      <c r="AX2577" s="5" t="s">
        <v>249</v>
      </c>
      <c r="AY2577" s="5" t="s">
        <v>238</v>
      </c>
      <c r="BA2577" s="5" t="s">
        <v>238</v>
      </c>
      <c r="BC2577" s="5" t="s">
        <v>250</v>
      </c>
      <c r="BD2577" s="6" t="s">
        <v>243</v>
      </c>
      <c r="BE2577" s="5" t="s">
        <v>251</v>
      </c>
      <c r="BF2577" s="5" t="s">
        <v>252</v>
      </c>
      <c r="BG2577" s="5" t="s">
        <v>238</v>
      </c>
      <c r="BH2577" s="7">
        <f>0</f>
        <v>0</v>
      </c>
      <c r="BI2577" s="8">
        <f>0</f>
        <v>0</v>
      </c>
      <c r="BJ2577" s="5" t="s">
        <v>253</v>
      </c>
      <c r="BK2577" s="5" t="s">
        <v>254</v>
      </c>
      <c r="BY2577" s="5" t="s">
        <v>238</v>
      </c>
      <c r="BZ2577" s="5" t="s">
        <v>238</v>
      </c>
      <c r="CD2577" s="5" t="s">
        <v>273</v>
      </c>
      <c r="CE2577" s="5" t="s">
        <v>256</v>
      </c>
      <c r="CF2577" s="5" t="s">
        <v>238</v>
      </c>
      <c r="CI2577" s="6" t="s">
        <v>257</v>
      </c>
      <c r="CJ2577" s="5" t="s">
        <v>238</v>
      </c>
      <c r="CK2577" s="5" t="s">
        <v>258</v>
      </c>
      <c r="CL2577" s="5" t="s">
        <v>238</v>
      </c>
      <c r="CM2577" s="5" t="s">
        <v>238</v>
      </c>
      <c r="CN2577" s="5">
        <v>0</v>
      </c>
      <c r="CO2577" s="5" t="s">
        <v>259</v>
      </c>
      <c r="CP2577" s="5" t="s">
        <v>260</v>
      </c>
      <c r="CQ2577" s="5" t="s">
        <v>260</v>
      </c>
      <c r="CR2577" s="5" t="s">
        <v>261</v>
      </c>
      <c r="CU2577" s="8">
        <f>1</f>
        <v>1</v>
      </c>
      <c r="CV2577" s="8">
        <f>0</f>
        <v>0</v>
      </c>
      <c r="CX2577" s="8">
        <f>0</f>
        <v>0</v>
      </c>
      <c r="CY2577" s="8">
        <f>1</f>
        <v>1</v>
      </c>
      <c r="DA2577" s="5" t="s">
        <v>274</v>
      </c>
      <c r="DB2577" s="5" t="s">
        <v>238</v>
      </c>
      <c r="DD2577" s="5" t="s">
        <v>274</v>
      </c>
      <c r="DE2577" s="8">
        <f>1081</f>
        <v>1081</v>
      </c>
      <c r="DG2577" s="5" t="s">
        <v>238</v>
      </c>
      <c r="DH2577" s="5" t="s">
        <v>238</v>
      </c>
      <c r="DI2577" s="5" t="s">
        <v>238</v>
      </c>
      <c r="DJ2577" s="5" t="s">
        <v>238</v>
      </c>
      <c r="DN2577" s="5" t="s">
        <v>238</v>
      </c>
      <c r="DO2577" s="5" t="s">
        <v>238</v>
      </c>
      <c r="DP2577" s="5" t="s">
        <v>238</v>
      </c>
      <c r="DQ2577" s="5" t="s">
        <v>238</v>
      </c>
      <c r="DT2577" s="5" t="s">
        <v>275</v>
      </c>
      <c r="DU2577" s="5" t="s">
        <v>1997</v>
      </c>
      <c r="HM2577" s="5" t="s">
        <v>264</v>
      </c>
    </row>
    <row r="2578" spans="1:221" x14ac:dyDescent="0.4">
      <c r="A2578" s="5">
        <v>4282</v>
      </c>
      <c r="B2578" s="5">
        <v>1</v>
      </c>
      <c r="C2578" s="5">
        <v>1</v>
      </c>
      <c r="D2578" s="5" t="s">
        <v>269</v>
      </c>
      <c r="E2578" s="5" t="s">
        <v>271</v>
      </c>
      <c r="F2578" s="5" t="s">
        <v>248</v>
      </c>
      <c r="G2578" s="5" t="s">
        <v>266</v>
      </c>
      <c r="H2578" s="6" t="s">
        <v>1992</v>
      </c>
      <c r="I2578" s="7">
        <f>1889</f>
        <v>1889</v>
      </c>
      <c r="J2578" s="5" t="s">
        <v>262</v>
      </c>
      <c r="K2578" s="8">
        <f>1</f>
        <v>1</v>
      </c>
      <c r="L2578" s="6" t="s">
        <v>242</v>
      </c>
      <c r="M2578" s="5" t="s">
        <v>267</v>
      </c>
      <c r="N2578" s="5" t="s">
        <v>265</v>
      </c>
      <c r="O2578" s="5" t="s">
        <v>238</v>
      </c>
      <c r="P2578" s="5" t="s">
        <v>238</v>
      </c>
      <c r="Q2578" s="5" t="s">
        <v>268</v>
      </c>
      <c r="R2578" s="5" t="s">
        <v>270</v>
      </c>
      <c r="S2578" s="5" t="s">
        <v>238</v>
      </c>
      <c r="V2578" s="5" t="s">
        <v>238</v>
      </c>
      <c r="X2578" s="6" t="s">
        <v>238</v>
      </c>
      <c r="AA2578" s="6" t="s">
        <v>243</v>
      </c>
      <c r="AB2578" s="5" t="s">
        <v>238</v>
      </c>
      <c r="AC2578" s="5" t="s">
        <v>244</v>
      </c>
      <c r="AD2578" s="5" t="s">
        <v>245</v>
      </c>
      <c r="AT2578" s="5" t="s">
        <v>246</v>
      </c>
      <c r="AU2578" s="5" t="s">
        <v>238</v>
      </c>
      <c r="AV2578" s="5" t="s">
        <v>247</v>
      </c>
      <c r="AW2578" s="5" t="s">
        <v>238</v>
      </c>
      <c r="AX2578" s="5" t="s">
        <v>249</v>
      </c>
      <c r="AY2578" s="5" t="s">
        <v>238</v>
      </c>
      <c r="BA2578" s="5" t="s">
        <v>238</v>
      </c>
      <c r="BC2578" s="5" t="s">
        <v>250</v>
      </c>
      <c r="BD2578" s="6" t="s">
        <v>243</v>
      </c>
      <c r="BE2578" s="5" t="s">
        <v>251</v>
      </c>
      <c r="BF2578" s="5" t="s">
        <v>252</v>
      </c>
      <c r="BG2578" s="5" t="s">
        <v>238</v>
      </c>
      <c r="BH2578" s="7">
        <f>0</f>
        <v>0</v>
      </c>
      <c r="BI2578" s="8">
        <f>0</f>
        <v>0</v>
      </c>
      <c r="BJ2578" s="5" t="s">
        <v>253</v>
      </c>
      <c r="BK2578" s="5" t="s">
        <v>254</v>
      </c>
      <c r="BY2578" s="5" t="s">
        <v>238</v>
      </c>
      <c r="BZ2578" s="5" t="s">
        <v>238</v>
      </c>
      <c r="CD2578" s="5" t="s">
        <v>273</v>
      </c>
      <c r="CE2578" s="5" t="s">
        <v>256</v>
      </c>
      <c r="CF2578" s="5" t="s">
        <v>238</v>
      </c>
      <c r="CI2578" s="6" t="s">
        <v>257</v>
      </c>
      <c r="CJ2578" s="5" t="s">
        <v>238</v>
      </c>
      <c r="CK2578" s="5" t="s">
        <v>258</v>
      </c>
      <c r="CL2578" s="5" t="s">
        <v>238</v>
      </c>
      <c r="CM2578" s="5" t="s">
        <v>238</v>
      </c>
      <c r="CN2578" s="5">
        <v>0</v>
      </c>
      <c r="CO2578" s="5" t="s">
        <v>259</v>
      </c>
      <c r="CP2578" s="5" t="s">
        <v>260</v>
      </c>
      <c r="CQ2578" s="5" t="s">
        <v>260</v>
      </c>
      <c r="CR2578" s="5" t="s">
        <v>261</v>
      </c>
      <c r="CU2578" s="8">
        <f>1</f>
        <v>1</v>
      </c>
      <c r="CV2578" s="8">
        <f>0</f>
        <v>0</v>
      </c>
      <c r="CX2578" s="8">
        <f>0</f>
        <v>0</v>
      </c>
      <c r="CY2578" s="8">
        <f>1</f>
        <v>1</v>
      </c>
      <c r="DA2578" s="5" t="s">
        <v>274</v>
      </c>
      <c r="DB2578" s="5" t="s">
        <v>238</v>
      </c>
      <c r="DD2578" s="5" t="s">
        <v>274</v>
      </c>
      <c r="DE2578" s="8">
        <f>1889</f>
        <v>1889</v>
      </c>
      <c r="DG2578" s="5" t="s">
        <v>238</v>
      </c>
      <c r="DH2578" s="5" t="s">
        <v>238</v>
      </c>
      <c r="DI2578" s="5" t="s">
        <v>238</v>
      </c>
      <c r="DJ2578" s="5" t="s">
        <v>238</v>
      </c>
      <c r="DN2578" s="5" t="s">
        <v>238</v>
      </c>
      <c r="DO2578" s="5" t="s">
        <v>238</v>
      </c>
      <c r="DP2578" s="5" t="s">
        <v>238</v>
      </c>
      <c r="DQ2578" s="5" t="s">
        <v>238</v>
      </c>
      <c r="DT2578" s="5" t="s">
        <v>275</v>
      </c>
      <c r="DU2578" s="5" t="s">
        <v>1993</v>
      </c>
      <c r="HM2578" s="5" t="s">
        <v>264</v>
      </c>
    </row>
    <row r="2579" spans="1:221" x14ac:dyDescent="0.4">
      <c r="A2579" s="5">
        <v>4283</v>
      </c>
      <c r="B2579" s="5">
        <v>1</v>
      </c>
      <c r="C2579" s="5">
        <v>1</v>
      </c>
      <c r="D2579" s="5" t="s">
        <v>269</v>
      </c>
      <c r="E2579" s="5" t="s">
        <v>271</v>
      </c>
      <c r="F2579" s="5" t="s">
        <v>248</v>
      </c>
      <c r="G2579" s="5" t="s">
        <v>266</v>
      </c>
      <c r="H2579" s="6" t="s">
        <v>1988</v>
      </c>
      <c r="I2579" s="7">
        <f>1780</f>
        <v>1780</v>
      </c>
      <c r="J2579" s="5" t="s">
        <v>262</v>
      </c>
      <c r="K2579" s="8">
        <f>1</f>
        <v>1</v>
      </c>
      <c r="L2579" s="6" t="s">
        <v>242</v>
      </c>
      <c r="M2579" s="5" t="s">
        <v>267</v>
      </c>
      <c r="N2579" s="5" t="s">
        <v>265</v>
      </c>
      <c r="O2579" s="5" t="s">
        <v>238</v>
      </c>
      <c r="P2579" s="5" t="s">
        <v>238</v>
      </c>
      <c r="Q2579" s="5" t="s">
        <v>268</v>
      </c>
      <c r="R2579" s="5" t="s">
        <v>270</v>
      </c>
      <c r="S2579" s="5" t="s">
        <v>238</v>
      </c>
      <c r="V2579" s="5" t="s">
        <v>238</v>
      </c>
      <c r="X2579" s="6" t="s">
        <v>238</v>
      </c>
      <c r="AA2579" s="6" t="s">
        <v>243</v>
      </c>
      <c r="AB2579" s="5" t="s">
        <v>238</v>
      </c>
      <c r="AC2579" s="5" t="s">
        <v>244</v>
      </c>
      <c r="AD2579" s="5" t="s">
        <v>245</v>
      </c>
      <c r="AT2579" s="5" t="s">
        <v>246</v>
      </c>
      <c r="AU2579" s="5" t="s">
        <v>238</v>
      </c>
      <c r="AV2579" s="5" t="s">
        <v>247</v>
      </c>
      <c r="AW2579" s="5" t="s">
        <v>238</v>
      </c>
      <c r="AX2579" s="5" t="s">
        <v>249</v>
      </c>
      <c r="AY2579" s="5" t="s">
        <v>238</v>
      </c>
      <c r="BA2579" s="5" t="s">
        <v>238</v>
      </c>
      <c r="BC2579" s="5" t="s">
        <v>250</v>
      </c>
      <c r="BD2579" s="6" t="s">
        <v>243</v>
      </c>
      <c r="BE2579" s="5" t="s">
        <v>251</v>
      </c>
      <c r="BF2579" s="5" t="s">
        <v>252</v>
      </c>
      <c r="BG2579" s="5" t="s">
        <v>238</v>
      </c>
      <c r="BH2579" s="7">
        <f>0</f>
        <v>0</v>
      </c>
      <c r="BI2579" s="8">
        <f>0</f>
        <v>0</v>
      </c>
      <c r="BJ2579" s="5" t="s">
        <v>253</v>
      </c>
      <c r="BK2579" s="5" t="s">
        <v>254</v>
      </c>
      <c r="BY2579" s="5" t="s">
        <v>238</v>
      </c>
      <c r="BZ2579" s="5" t="s">
        <v>238</v>
      </c>
      <c r="CD2579" s="5" t="s">
        <v>273</v>
      </c>
      <c r="CE2579" s="5" t="s">
        <v>256</v>
      </c>
      <c r="CF2579" s="5" t="s">
        <v>238</v>
      </c>
      <c r="CI2579" s="6" t="s">
        <v>257</v>
      </c>
      <c r="CJ2579" s="5" t="s">
        <v>238</v>
      </c>
      <c r="CK2579" s="5" t="s">
        <v>258</v>
      </c>
      <c r="CL2579" s="5" t="s">
        <v>238</v>
      </c>
      <c r="CM2579" s="5" t="s">
        <v>238</v>
      </c>
      <c r="CN2579" s="5">
        <v>0</v>
      </c>
      <c r="CO2579" s="5" t="s">
        <v>259</v>
      </c>
      <c r="CP2579" s="5" t="s">
        <v>260</v>
      </c>
      <c r="CQ2579" s="5" t="s">
        <v>260</v>
      </c>
      <c r="CR2579" s="5" t="s">
        <v>261</v>
      </c>
      <c r="CU2579" s="8">
        <f>1</f>
        <v>1</v>
      </c>
      <c r="CV2579" s="8">
        <f>0</f>
        <v>0</v>
      </c>
      <c r="CX2579" s="8">
        <f>0</f>
        <v>0</v>
      </c>
      <c r="CY2579" s="8">
        <f>1</f>
        <v>1</v>
      </c>
      <c r="DA2579" s="5" t="s">
        <v>274</v>
      </c>
      <c r="DB2579" s="5" t="s">
        <v>238</v>
      </c>
      <c r="DD2579" s="5" t="s">
        <v>274</v>
      </c>
      <c r="DE2579" s="8">
        <f>1780</f>
        <v>1780</v>
      </c>
      <c r="DG2579" s="5" t="s">
        <v>238</v>
      </c>
      <c r="DH2579" s="5" t="s">
        <v>238</v>
      </c>
      <c r="DI2579" s="5" t="s">
        <v>238</v>
      </c>
      <c r="DJ2579" s="5" t="s">
        <v>238</v>
      </c>
      <c r="DN2579" s="5" t="s">
        <v>238</v>
      </c>
      <c r="DO2579" s="5" t="s">
        <v>238</v>
      </c>
      <c r="DP2579" s="5" t="s">
        <v>238</v>
      </c>
      <c r="DQ2579" s="5" t="s">
        <v>238</v>
      </c>
      <c r="DT2579" s="5" t="s">
        <v>275</v>
      </c>
      <c r="DU2579" s="5" t="s">
        <v>1989</v>
      </c>
      <c r="HM2579" s="5" t="s">
        <v>264</v>
      </c>
    </row>
    <row r="2580" spans="1:221" x14ac:dyDescent="0.4">
      <c r="A2580" s="5">
        <v>4284</v>
      </c>
      <c r="B2580" s="5">
        <v>1</v>
      </c>
      <c r="C2580" s="5">
        <v>1</v>
      </c>
      <c r="D2580" s="5" t="s">
        <v>269</v>
      </c>
      <c r="E2580" s="5" t="s">
        <v>271</v>
      </c>
      <c r="F2580" s="5" t="s">
        <v>248</v>
      </c>
      <c r="G2580" s="5" t="s">
        <v>266</v>
      </c>
      <c r="H2580" s="6" t="s">
        <v>1986</v>
      </c>
      <c r="I2580" s="7">
        <f>922</f>
        <v>922</v>
      </c>
      <c r="J2580" s="5" t="s">
        <v>262</v>
      </c>
      <c r="K2580" s="8">
        <f>1</f>
        <v>1</v>
      </c>
      <c r="L2580" s="6" t="s">
        <v>242</v>
      </c>
      <c r="M2580" s="5" t="s">
        <v>267</v>
      </c>
      <c r="N2580" s="5" t="s">
        <v>265</v>
      </c>
      <c r="O2580" s="5" t="s">
        <v>238</v>
      </c>
      <c r="P2580" s="5" t="s">
        <v>238</v>
      </c>
      <c r="Q2580" s="5" t="s">
        <v>268</v>
      </c>
      <c r="R2580" s="5" t="s">
        <v>270</v>
      </c>
      <c r="S2580" s="5" t="s">
        <v>238</v>
      </c>
      <c r="V2580" s="5" t="s">
        <v>238</v>
      </c>
      <c r="X2580" s="6" t="s">
        <v>238</v>
      </c>
      <c r="AA2580" s="6" t="s">
        <v>243</v>
      </c>
      <c r="AB2580" s="5" t="s">
        <v>238</v>
      </c>
      <c r="AC2580" s="5" t="s">
        <v>244</v>
      </c>
      <c r="AD2580" s="5" t="s">
        <v>245</v>
      </c>
      <c r="AT2580" s="5" t="s">
        <v>246</v>
      </c>
      <c r="AU2580" s="5" t="s">
        <v>238</v>
      </c>
      <c r="AV2580" s="5" t="s">
        <v>247</v>
      </c>
      <c r="AW2580" s="5" t="s">
        <v>238</v>
      </c>
      <c r="AX2580" s="5" t="s">
        <v>249</v>
      </c>
      <c r="AY2580" s="5" t="s">
        <v>238</v>
      </c>
      <c r="BA2580" s="5" t="s">
        <v>238</v>
      </c>
      <c r="BC2580" s="5" t="s">
        <v>250</v>
      </c>
      <c r="BD2580" s="6" t="s">
        <v>243</v>
      </c>
      <c r="BE2580" s="5" t="s">
        <v>251</v>
      </c>
      <c r="BF2580" s="5" t="s">
        <v>252</v>
      </c>
      <c r="BG2580" s="5" t="s">
        <v>238</v>
      </c>
      <c r="BH2580" s="7">
        <f>0</f>
        <v>0</v>
      </c>
      <c r="BI2580" s="8">
        <f>0</f>
        <v>0</v>
      </c>
      <c r="BJ2580" s="5" t="s">
        <v>253</v>
      </c>
      <c r="BK2580" s="5" t="s">
        <v>254</v>
      </c>
      <c r="BY2580" s="5" t="s">
        <v>238</v>
      </c>
      <c r="BZ2580" s="5" t="s">
        <v>238</v>
      </c>
      <c r="CD2580" s="5" t="s">
        <v>273</v>
      </c>
      <c r="CE2580" s="5" t="s">
        <v>256</v>
      </c>
      <c r="CF2580" s="5" t="s">
        <v>238</v>
      </c>
      <c r="CI2580" s="6" t="s">
        <v>257</v>
      </c>
      <c r="CJ2580" s="5" t="s">
        <v>238</v>
      </c>
      <c r="CK2580" s="5" t="s">
        <v>258</v>
      </c>
      <c r="CL2580" s="5" t="s">
        <v>238</v>
      </c>
      <c r="CM2580" s="5" t="s">
        <v>238</v>
      </c>
      <c r="CN2580" s="5">
        <v>0</v>
      </c>
      <c r="CO2580" s="5" t="s">
        <v>259</v>
      </c>
      <c r="CP2580" s="5" t="s">
        <v>260</v>
      </c>
      <c r="CQ2580" s="5" t="s">
        <v>260</v>
      </c>
      <c r="CR2580" s="5" t="s">
        <v>261</v>
      </c>
      <c r="CU2580" s="8">
        <f>1</f>
        <v>1</v>
      </c>
      <c r="CV2580" s="8">
        <f>0</f>
        <v>0</v>
      </c>
      <c r="CX2580" s="8">
        <f>0</f>
        <v>0</v>
      </c>
      <c r="CY2580" s="8">
        <f>1</f>
        <v>1</v>
      </c>
      <c r="DA2580" s="5" t="s">
        <v>274</v>
      </c>
      <c r="DB2580" s="5" t="s">
        <v>238</v>
      </c>
      <c r="DD2580" s="5" t="s">
        <v>274</v>
      </c>
      <c r="DE2580" s="8">
        <f>922</f>
        <v>922</v>
      </c>
      <c r="DG2580" s="5" t="s">
        <v>238</v>
      </c>
      <c r="DH2580" s="5" t="s">
        <v>238</v>
      </c>
      <c r="DI2580" s="5" t="s">
        <v>238</v>
      </c>
      <c r="DJ2580" s="5" t="s">
        <v>238</v>
      </c>
      <c r="DN2580" s="5" t="s">
        <v>238</v>
      </c>
      <c r="DO2580" s="5" t="s">
        <v>238</v>
      </c>
      <c r="DP2580" s="5" t="s">
        <v>238</v>
      </c>
      <c r="DQ2580" s="5" t="s">
        <v>238</v>
      </c>
      <c r="DT2580" s="5" t="s">
        <v>275</v>
      </c>
      <c r="DU2580" s="5" t="s">
        <v>1987</v>
      </c>
      <c r="HM2580" s="5" t="s">
        <v>264</v>
      </c>
    </row>
    <row r="2581" spans="1:221" x14ac:dyDescent="0.4">
      <c r="A2581" s="5">
        <v>4285</v>
      </c>
      <c r="B2581" s="5">
        <v>1</v>
      </c>
      <c r="C2581" s="5">
        <v>1</v>
      </c>
      <c r="D2581" s="5" t="s">
        <v>269</v>
      </c>
      <c r="E2581" s="5" t="s">
        <v>271</v>
      </c>
      <c r="F2581" s="5" t="s">
        <v>248</v>
      </c>
      <c r="G2581" s="5" t="s">
        <v>266</v>
      </c>
      <c r="H2581" s="6" t="s">
        <v>1978</v>
      </c>
      <c r="I2581" s="7">
        <f>1488</f>
        <v>1488</v>
      </c>
      <c r="J2581" s="5" t="s">
        <v>262</v>
      </c>
      <c r="K2581" s="8">
        <f>1</f>
        <v>1</v>
      </c>
      <c r="L2581" s="6" t="s">
        <v>242</v>
      </c>
      <c r="M2581" s="5" t="s">
        <v>267</v>
      </c>
      <c r="N2581" s="5" t="s">
        <v>265</v>
      </c>
      <c r="O2581" s="5" t="s">
        <v>238</v>
      </c>
      <c r="P2581" s="5" t="s">
        <v>238</v>
      </c>
      <c r="Q2581" s="5" t="s">
        <v>268</v>
      </c>
      <c r="R2581" s="5" t="s">
        <v>270</v>
      </c>
      <c r="S2581" s="5" t="s">
        <v>238</v>
      </c>
      <c r="V2581" s="5" t="s">
        <v>238</v>
      </c>
      <c r="X2581" s="6" t="s">
        <v>238</v>
      </c>
      <c r="AA2581" s="6" t="s">
        <v>243</v>
      </c>
      <c r="AB2581" s="5" t="s">
        <v>238</v>
      </c>
      <c r="AC2581" s="5" t="s">
        <v>244</v>
      </c>
      <c r="AD2581" s="5" t="s">
        <v>245</v>
      </c>
      <c r="AT2581" s="5" t="s">
        <v>246</v>
      </c>
      <c r="AU2581" s="5" t="s">
        <v>238</v>
      </c>
      <c r="AV2581" s="5" t="s">
        <v>247</v>
      </c>
      <c r="AW2581" s="5" t="s">
        <v>238</v>
      </c>
      <c r="AX2581" s="5" t="s">
        <v>249</v>
      </c>
      <c r="AY2581" s="5" t="s">
        <v>238</v>
      </c>
      <c r="BA2581" s="5" t="s">
        <v>238</v>
      </c>
      <c r="BC2581" s="5" t="s">
        <v>250</v>
      </c>
      <c r="BD2581" s="6" t="s">
        <v>243</v>
      </c>
      <c r="BE2581" s="5" t="s">
        <v>251</v>
      </c>
      <c r="BF2581" s="5" t="s">
        <v>252</v>
      </c>
      <c r="BG2581" s="5" t="s">
        <v>238</v>
      </c>
      <c r="BH2581" s="7">
        <f>0</f>
        <v>0</v>
      </c>
      <c r="BI2581" s="8">
        <f>0</f>
        <v>0</v>
      </c>
      <c r="BJ2581" s="5" t="s">
        <v>253</v>
      </c>
      <c r="BK2581" s="5" t="s">
        <v>254</v>
      </c>
      <c r="BY2581" s="5" t="s">
        <v>238</v>
      </c>
      <c r="BZ2581" s="5" t="s">
        <v>238</v>
      </c>
      <c r="CD2581" s="5" t="s">
        <v>273</v>
      </c>
      <c r="CE2581" s="5" t="s">
        <v>256</v>
      </c>
      <c r="CF2581" s="5" t="s">
        <v>238</v>
      </c>
      <c r="CI2581" s="6" t="s">
        <v>257</v>
      </c>
      <c r="CJ2581" s="5" t="s">
        <v>238</v>
      </c>
      <c r="CK2581" s="5" t="s">
        <v>258</v>
      </c>
      <c r="CL2581" s="5" t="s">
        <v>238</v>
      </c>
      <c r="CM2581" s="5" t="s">
        <v>238</v>
      </c>
      <c r="CN2581" s="5">
        <v>0</v>
      </c>
      <c r="CO2581" s="5" t="s">
        <v>259</v>
      </c>
      <c r="CP2581" s="5" t="s">
        <v>260</v>
      </c>
      <c r="CQ2581" s="5" t="s">
        <v>260</v>
      </c>
      <c r="CR2581" s="5" t="s">
        <v>261</v>
      </c>
      <c r="CU2581" s="8">
        <f>1</f>
        <v>1</v>
      </c>
      <c r="CV2581" s="8">
        <f>0</f>
        <v>0</v>
      </c>
      <c r="CX2581" s="8">
        <f>0</f>
        <v>0</v>
      </c>
      <c r="CY2581" s="8">
        <f>1</f>
        <v>1</v>
      </c>
      <c r="DA2581" s="5" t="s">
        <v>274</v>
      </c>
      <c r="DB2581" s="5" t="s">
        <v>238</v>
      </c>
      <c r="DD2581" s="5" t="s">
        <v>274</v>
      </c>
      <c r="DE2581" s="8">
        <f>1488</f>
        <v>1488</v>
      </c>
      <c r="DG2581" s="5" t="s">
        <v>238</v>
      </c>
      <c r="DH2581" s="5" t="s">
        <v>238</v>
      </c>
      <c r="DI2581" s="5" t="s">
        <v>238</v>
      </c>
      <c r="DJ2581" s="5" t="s">
        <v>238</v>
      </c>
      <c r="DN2581" s="5" t="s">
        <v>238</v>
      </c>
      <c r="DO2581" s="5" t="s">
        <v>238</v>
      </c>
      <c r="DP2581" s="5" t="s">
        <v>238</v>
      </c>
      <c r="DQ2581" s="5" t="s">
        <v>238</v>
      </c>
      <c r="DT2581" s="5" t="s">
        <v>275</v>
      </c>
      <c r="DU2581" s="5" t="s">
        <v>1979</v>
      </c>
      <c r="HM2581" s="5" t="s">
        <v>264</v>
      </c>
    </row>
    <row r="2582" spans="1:221" x14ac:dyDescent="0.4">
      <c r="A2582" s="5">
        <v>4286</v>
      </c>
      <c r="B2582" s="5">
        <v>1</v>
      </c>
      <c r="C2582" s="5">
        <v>1</v>
      </c>
      <c r="D2582" s="5" t="s">
        <v>269</v>
      </c>
      <c r="E2582" s="5" t="s">
        <v>271</v>
      </c>
      <c r="F2582" s="5" t="s">
        <v>248</v>
      </c>
      <c r="G2582" s="5" t="s">
        <v>266</v>
      </c>
      <c r="H2582" s="6" t="s">
        <v>1976</v>
      </c>
      <c r="I2582" s="7">
        <f>382</f>
        <v>382</v>
      </c>
      <c r="J2582" s="5" t="s">
        <v>262</v>
      </c>
      <c r="K2582" s="8">
        <f>1</f>
        <v>1</v>
      </c>
      <c r="L2582" s="6" t="s">
        <v>242</v>
      </c>
      <c r="M2582" s="5" t="s">
        <v>267</v>
      </c>
      <c r="N2582" s="5" t="s">
        <v>265</v>
      </c>
      <c r="O2582" s="5" t="s">
        <v>238</v>
      </c>
      <c r="P2582" s="5" t="s">
        <v>238</v>
      </c>
      <c r="Q2582" s="5" t="s">
        <v>268</v>
      </c>
      <c r="R2582" s="5" t="s">
        <v>270</v>
      </c>
      <c r="S2582" s="5" t="s">
        <v>238</v>
      </c>
      <c r="V2582" s="5" t="s">
        <v>238</v>
      </c>
      <c r="X2582" s="6" t="s">
        <v>238</v>
      </c>
      <c r="AA2582" s="6" t="s">
        <v>243</v>
      </c>
      <c r="AB2582" s="5" t="s">
        <v>238</v>
      </c>
      <c r="AC2582" s="5" t="s">
        <v>244</v>
      </c>
      <c r="AD2582" s="5" t="s">
        <v>245</v>
      </c>
      <c r="AT2582" s="5" t="s">
        <v>246</v>
      </c>
      <c r="AU2582" s="5" t="s">
        <v>238</v>
      </c>
      <c r="AV2582" s="5" t="s">
        <v>247</v>
      </c>
      <c r="AW2582" s="5" t="s">
        <v>238</v>
      </c>
      <c r="AX2582" s="5" t="s">
        <v>249</v>
      </c>
      <c r="AY2582" s="5" t="s">
        <v>238</v>
      </c>
      <c r="BA2582" s="5" t="s">
        <v>238</v>
      </c>
      <c r="BC2582" s="5" t="s">
        <v>250</v>
      </c>
      <c r="BD2582" s="6" t="s">
        <v>243</v>
      </c>
      <c r="BE2582" s="5" t="s">
        <v>251</v>
      </c>
      <c r="BF2582" s="5" t="s">
        <v>252</v>
      </c>
      <c r="BG2582" s="5" t="s">
        <v>238</v>
      </c>
      <c r="BH2582" s="7">
        <f>0</f>
        <v>0</v>
      </c>
      <c r="BI2582" s="8">
        <f>0</f>
        <v>0</v>
      </c>
      <c r="BJ2582" s="5" t="s">
        <v>253</v>
      </c>
      <c r="BK2582" s="5" t="s">
        <v>254</v>
      </c>
      <c r="BY2582" s="5" t="s">
        <v>238</v>
      </c>
      <c r="BZ2582" s="5" t="s">
        <v>238</v>
      </c>
      <c r="CD2582" s="5" t="s">
        <v>273</v>
      </c>
      <c r="CE2582" s="5" t="s">
        <v>256</v>
      </c>
      <c r="CF2582" s="5" t="s">
        <v>238</v>
      </c>
      <c r="CI2582" s="6" t="s">
        <v>257</v>
      </c>
      <c r="CJ2582" s="5" t="s">
        <v>238</v>
      </c>
      <c r="CK2582" s="5" t="s">
        <v>258</v>
      </c>
      <c r="CL2582" s="5" t="s">
        <v>238</v>
      </c>
      <c r="CM2582" s="5" t="s">
        <v>238</v>
      </c>
      <c r="CN2582" s="5">
        <v>0</v>
      </c>
      <c r="CO2582" s="5" t="s">
        <v>259</v>
      </c>
      <c r="CP2582" s="5" t="s">
        <v>260</v>
      </c>
      <c r="CQ2582" s="5" t="s">
        <v>260</v>
      </c>
      <c r="CR2582" s="5" t="s">
        <v>261</v>
      </c>
      <c r="CU2582" s="8">
        <f>1</f>
        <v>1</v>
      </c>
      <c r="CV2582" s="8">
        <f>0</f>
        <v>0</v>
      </c>
      <c r="CX2582" s="8">
        <f>0</f>
        <v>0</v>
      </c>
      <c r="CY2582" s="8">
        <f>1</f>
        <v>1</v>
      </c>
      <c r="DA2582" s="5" t="s">
        <v>274</v>
      </c>
      <c r="DB2582" s="5" t="s">
        <v>238</v>
      </c>
      <c r="DD2582" s="5" t="s">
        <v>274</v>
      </c>
      <c r="DE2582" s="8">
        <f>382</f>
        <v>382</v>
      </c>
      <c r="DG2582" s="5" t="s">
        <v>238</v>
      </c>
      <c r="DH2582" s="5" t="s">
        <v>238</v>
      </c>
      <c r="DI2582" s="5" t="s">
        <v>238</v>
      </c>
      <c r="DJ2582" s="5" t="s">
        <v>238</v>
      </c>
      <c r="DN2582" s="5" t="s">
        <v>238</v>
      </c>
      <c r="DO2582" s="5" t="s">
        <v>238</v>
      </c>
      <c r="DP2582" s="5" t="s">
        <v>238</v>
      </c>
      <c r="DQ2582" s="5" t="s">
        <v>238</v>
      </c>
      <c r="DT2582" s="5" t="s">
        <v>275</v>
      </c>
      <c r="DU2582" s="5" t="s">
        <v>1977</v>
      </c>
      <c r="HM2582" s="5" t="s">
        <v>264</v>
      </c>
    </row>
    <row r="2583" spans="1:221" x14ac:dyDescent="0.4">
      <c r="A2583" s="5">
        <v>4287</v>
      </c>
      <c r="B2583" s="5">
        <v>1</v>
      </c>
      <c r="C2583" s="5">
        <v>1</v>
      </c>
      <c r="D2583" s="5" t="s">
        <v>269</v>
      </c>
      <c r="E2583" s="5" t="s">
        <v>271</v>
      </c>
      <c r="F2583" s="5" t="s">
        <v>248</v>
      </c>
      <c r="G2583" s="5" t="s">
        <v>266</v>
      </c>
      <c r="H2583" s="6" t="s">
        <v>1972</v>
      </c>
      <c r="I2583" s="7">
        <f>58</f>
        <v>58</v>
      </c>
      <c r="J2583" s="5" t="s">
        <v>262</v>
      </c>
      <c r="K2583" s="8">
        <f>1</f>
        <v>1</v>
      </c>
      <c r="L2583" s="6" t="s">
        <v>242</v>
      </c>
      <c r="M2583" s="5" t="s">
        <v>267</v>
      </c>
      <c r="N2583" s="5" t="s">
        <v>265</v>
      </c>
      <c r="O2583" s="5" t="s">
        <v>238</v>
      </c>
      <c r="P2583" s="5" t="s">
        <v>238</v>
      </c>
      <c r="Q2583" s="5" t="s">
        <v>268</v>
      </c>
      <c r="R2583" s="5" t="s">
        <v>270</v>
      </c>
      <c r="S2583" s="5" t="s">
        <v>238</v>
      </c>
      <c r="V2583" s="5" t="s">
        <v>238</v>
      </c>
      <c r="X2583" s="6" t="s">
        <v>238</v>
      </c>
      <c r="AA2583" s="6" t="s">
        <v>243</v>
      </c>
      <c r="AB2583" s="5" t="s">
        <v>238</v>
      </c>
      <c r="AC2583" s="5" t="s">
        <v>244</v>
      </c>
      <c r="AD2583" s="5" t="s">
        <v>245</v>
      </c>
      <c r="AT2583" s="5" t="s">
        <v>246</v>
      </c>
      <c r="AU2583" s="5" t="s">
        <v>238</v>
      </c>
      <c r="AV2583" s="5" t="s">
        <v>247</v>
      </c>
      <c r="AW2583" s="5" t="s">
        <v>238</v>
      </c>
      <c r="AX2583" s="5" t="s">
        <v>249</v>
      </c>
      <c r="AY2583" s="5" t="s">
        <v>238</v>
      </c>
      <c r="BA2583" s="5" t="s">
        <v>238</v>
      </c>
      <c r="BC2583" s="5" t="s">
        <v>250</v>
      </c>
      <c r="BD2583" s="6" t="s">
        <v>243</v>
      </c>
      <c r="BE2583" s="5" t="s">
        <v>251</v>
      </c>
      <c r="BF2583" s="5" t="s">
        <v>252</v>
      </c>
      <c r="BG2583" s="5" t="s">
        <v>238</v>
      </c>
      <c r="BH2583" s="7">
        <f>0</f>
        <v>0</v>
      </c>
      <c r="BI2583" s="8">
        <f>0</f>
        <v>0</v>
      </c>
      <c r="BJ2583" s="5" t="s">
        <v>253</v>
      </c>
      <c r="BK2583" s="5" t="s">
        <v>254</v>
      </c>
      <c r="BY2583" s="5" t="s">
        <v>238</v>
      </c>
      <c r="BZ2583" s="5" t="s">
        <v>238</v>
      </c>
      <c r="CD2583" s="5" t="s">
        <v>273</v>
      </c>
      <c r="CE2583" s="5" t="s">
        <v>256</v>
      </c>
      <c r="CF2583" s="5" t="s">
        <v>238</v>
      </c>
      <c r="CI2583" s="6" t="s">
        <v>257</v>
      </c>
      <c r="CJ2583" s="5" t="s">
        <v>238</v>
      </c>
      <c r="CK2583" s="5" t="s">
        <v>258</v>
      </c>
      <c r="CL2583" s="5" t="s">
        <v>238</v>
      </c>
      <c r="CM2583" s="5" t="s">
        <v>238</v>
      </c>
      <c r="CN2583" s="5">
        <v>0</v>
      </c>
      <c r="CO2583" s="5" t="s">
        <v>259</v>
      </c>
      <c r="CP2583" s="5" t="s">
        <v>260</v>
      </c>
      <c r="CQ2583" s="5" t="s">
        <v>260</v>
      </c>
      <c r="CR2583" s="5" t="s">
        <v>261</v>
      </c>
      <c r="CU2583" s="8">
        <f>1</f>
        <v>1</v>
      </c>
      <c r="CV2583" s="8">
        <f>0</f>
        <v>0</v>
      </c>
      <c r="CX2583" s="8">
        <f>0</f>
        <v>0</v>
      </c>
      <c r="CY2583" s="8">
        <f>1</f>
        <v>1</v>
      </c>
      <c r="DA2583" s="5" t="s">
        <v>274</v>
      </c>
      <c r="DB2583" s="5" t="s">
        <v>238</v>
      </c>
      <c r="DD2583" s="5" t="s">
        <v>274</v>
      </c>
      <c r="DE2583" s="8">
        <f>58</f>
        <v>58</v>
      </c>
      <c r="DG2583" s="5" t="s">
        <v>238</v>
      </c>
      <c r="DH2583" s="5" t="s">
        <v>238</v>
      </c>
      <c r="DI2583" s="5" t="s">
        <v>238</v>
      </c>
      <c r="DJ2583" s="5" t="s">
        <v>238</v>
      </c>
      <c r="DN2583" s="5" t="s">
        <v>238</v>
      </c>
      <c r="DO2583" s="5" t="s">
        <v>238</v>
      </c>
      <c r="DP2583" s="5" t="s">
        <v>238</v>
      </c>
      <c r="DQ2583" s="5" t="s">
        <v>238</v>
      </c>
      <c r="DT2583" s="5" t="s">
        <v>275</v>
      </c>
      <c r="DU2583" s="5" t="s">
        <v>1973</v>
      </c>
      <c r="HM2583" s="5" t="s">
        <v>264</v>
      </c>
    </row>
    <row r="2584" spans="1:221" x14ac:dyDescent="0.4">
      <c r="A2584" s="5">
        <v>4288</v>
      </c>
      <c r="B2584" s="5">
        <v>1</v>
      </c>
      <c r="C2584" s="5">
        <v>1</v>
      </c>
      <c r="D2584" s="5" t="s">
        <v>269</v>
      </c>
      <c r="E2584" s="5" t="s">
        <v>271</v>
      </c>
      <c r="F2584" s="5" t="s">
        <v>248</v>
      </c>
      <c r="G2584" s="5" t="s">
        <v>1969</v>
      </c>
      <c r="H2584" s="6" t="s">
        <v>1970</v>
      </c>
      <c r="I2584" s="7">
        <f>1617</f>
        <v>1617</v>
      </c>
      <c r="J2584" s="5" t="s">
        <v>262</v>
      </c>
      <c r="K2584" s="8">
        <f>1</f>
        <v>1</v>
      </c>
      <c r="L2584" s="6" t="s">
        <v>242</v>
      </c>
      <c r="M2584" s="5" t="s">
        <v>267</v>
      </c>
      <c r="N2584" s="5" t="s">
        <v>265</v>
      </c>
      <c r="O2584" s="5" t="s">
        <v>238</v>
      </c>
      <c r="P2584" s="5" t="s">
        <v>238</v>
      </c>
      <c r="Q2584" s="5" t="s">
        <v>268</v>
      </c>
      <c r="R2584" s="5" t="s">
        <v>270</v>
      </c>
      <c r="S2584" s="5" t="s">
        <v>238</v>
      </c>
      <c r="V2584" s="5" t="s">
        <v>238</v>
      </c>
      <c r="X2584" s="6" t="s">
        <v>238</v>
      </c>
      <c r="AA2584" s="6" t="s">
        <v>243</v>
      </c>
      <c r="AB2584" s="5" t="s">
        <v>238</v>
      </c>
      <c r="AC2584" s="5" t="s">
        <v>244</v>
      </c>
      <c r="AD2584" s="5" t="s">
        <v>245</v>
      </c>
      <c r="AT2584" s="5" t="s">
        <v>246</v>
      </c>
      <c r="AU2584" s="5" t="s">
        <v>238</v>
      </c>
      <c r="AV2584" s="5" t="s">
        <v>247</v>
      </c>
      <c r="AW2584" s="5" t="s">
        <v>238</v>
      </c>
      <c r="AX2584" s="5" t="s">
        <v>249</v>
      </c>
      <c r="AY2584" s="5" t="s">
        <v>238</v>
      </c>
      <c r="BA2584" s="5" t="s">
        <v>238</v>
      </c>
      <c r="BC2584" s="5" t="s">
        <v>250</v>
      </c>
      <c r="BD2584" s="6" t="s">
        <v>243</v>
      </c>
      <c r="BE2584" s="5" t="s">
        <v>251</v>
      </c>
      <c r="BF2584" s="5" t="s">
        <v>252</v>
      </c>
      <c r="BG2584" s="5" t="s">
        <v>238</v>
      </c>
      <c r="BH2584" s="7">
        <f>0</f>
        <v>0</v>
      </c>
      <c r="BI2584" s="8">
        <f>0</f>
        <v>0</v>
      </c>
      <c r="BJ2584" s="5" t="s">
        <v>253</v>
      </c>
      <c r="BK2584" s="5" t="s">
        <v>254</v>
      </c>
      <c r="BY2584" s="5" t="s">
        <v>238</v>
      </c>
      <c r="BZ2584" s="5" t="s">
        <v>238</v>
      </c>
      <c r="CD2584" s="5" t="s">
        <v>273</v>
      </c>
      <c r="CE2584" s="5" t="s">
        <v>256</v>
      </c>
      <c r="CF2584" s="5" t="s">
        <v>238</v>
      </c>
      <c r="CI2584" s="6" t="s">
        <v>257</v>
      </c>
      <c r="CJ2584" s="5" t="s">
        <v>238</v>
      </c>
      <c r="CK2584" s="5" t="s">
        <v>258</v>
      </c>
      <c r="CL2584" s="5" t="s">
        <v>238</v>
      </c>
      <c r="CM2584" s="5" t="s">
        <v>238</v>
      </c>
      <c r="CN2584" s="5">
        <v>0</v>
      </c>
      <c r="CO2584" s="5" t="s">
        <v>259</v>
      </c>
      <c r="CP2584" s="5" t="s">
        <v>260</v>
      </c>
      <c r="CQ2584" s="5" t="s">
        <v>260</v>
      </c>
      <c r="CR2584" s="5" t="s">
        <v>261</v>
      </c>
      <c r="CU2584" s="8">
        <f>1</f>
        <v>1</v>
      </c>
      <c r="CV2584" s="8">
        <f>0</f>
        <v>0</v>
      </c>
      <c r="CX2584" s="8">
        <f>0</f>
        <v>0</v>
      </c>
      <c r="CY2584" s="8">
        <f>1</f>
        <v>1</v>
      </c>
      <c r="DA2584" s="5" t="s">
        <v>274</v>
      </c>
      <c r="DB2584" s="5" t="s">
        <v>238</v>
      </c>
      <c r="DD2584" s="5" t="s">
        <v>274</v>
      </c>
      <c r="DE2584" s="8">
        <f>1617</f>
        <v>1617</v>
      </c>
      <c r="DG2584" s="5" t="s">
        <v>238</v>
      </c>
      <c r="DH2584" s="5" t="s">
        <v>238</v>
      </c>
      <c r="DI2584" s="5" t="s">
        <v>238</v>
      </c>
      <c r="DJ2584" s="5" t="s">
        <v>238</v>
      </c>
      <c r="DN2584" s="5" t="s">
        <v>238</v>
      </c>
      <c r="DO2584" s="5" t="s">
        <v>238</v>
      </c>
      <c r="DP2584" s="5" t="s">
        <v>238</v>
      </c>
      <c r="DQ2584" s="5" t="s">
        <v>238</v>
      </c>
      <c r="DT2584" s="5" t="s">
        <v>275</v>
      </c>
      <c r="DU2584" s="5" t="s">
        <v>1971</v>
      </c>
      <c r="HM2584" s="5" t="s">
        <v>264</v>
      </c>
    </row>
    <row r="2585" spans="1:221" x14ac:dyDescent="0.4">
      <c r="A2585" s="5">
        <v>4289</v>
      </c>
      <c r="B2585" s="5">
        <v>1</v>
      </c>
      <c r="C2585" s="5">
        <v>1</v>
      </c>
      <c r="D2585" s="5" t="s">
        <v>269</v>
      </c>
      <c r="E2585" s="5" t="s">
        <v>271</v>
      </c>
      <c r="F2585" s="5" t="s">
        <v>248</v>
      </c>
      <c r="G2585" s="5" t="s">
        <v>266</v>
      </c>
      <c r="H2585" s="6" t="s">
        <v>1959</v>
      </c>
      <c r="I2585" s="7">
        <f>241</f>
        <v>241</v>
      </c>
      <c r="J2585" s="5" t="s">
        <v>262</v>
      </c>
      <c r="K2585" s="8">
        <f>1</f>
        <v>1</v>
      </c>
      <c r="L2585" s="6" t="s">
        <v>242</v>
      </c>
      <c r="M2585" s="5" t="s">
        <v>267</v>
      </c>
      <c r="N2585" s="5" t="s">
        <v>265</v>
      </c>
      <c r="O2585" s="5" t="s">
        <v>238</v>
      </c>
      <c r="P2585" s="5" t="s">
        <v>238</v>
      </c>
      <c r="Q2585" s="5" t="s">
        <v>268</v>
      </c>
      <c r="R2585" s="5" t="s">
        <v>270</v>
      </c>
      <c r="S2585" s="5" t="s">
        <v>238</v>
      </c>
      <c r="V2585" s="5" t="s">
        <v>238</v>
      </c>
      <c r="X2585" s="6" t="s">
        <v>238</v>
      </c>
      <c r="AA2585" s="6" t="s">
        <v>243</v>
      </c>
      <c r="AB2585" s="5" t="s">
        <v>238</v>
      </c>
      <c r="AC2585" s="5" t="s">
        <v>244</v>
      </c>
      <c r="AD2585" s="5" t="s">
        <v>245</v>
      </c>
      <c r="AT2585" s="5" t="s">
        <v>246</v>
      </c>
      <c r="AU2585" s="5" t="s">
        <v>238</v>
      </c>
      <c r="AV2585" s="5" t="s">
        <v>247</v>
      </c>
      <c r="AW2585" s="5" t="s">
        <v>238</v>
      </c>
      <c r="AX2585" s="5" t="s">
        <v>249</v>
      </c>
      <c r="AY2585" s="5" t="s">
        <v>238</v>
      </c>
      <c r="BA2585" s="5" t="s">
        <v>238</v>
      </c>
      <c r="BC2585" s="5" t="s">
        <v>250</v>
      </c>
      <c r="BD2585" s="6" t="s">
        <v>243</v>
      </c>
      <c r="BE2585" s="5" t="s">
        <v>251</v>
      </c>
      <c r="BF2585" s="5" t="s">
        <v>252</v>
      </c>
      <c r="BG2585" s="5" t="s">
        <v>238</v>
      </c>
      <c r="BH2585" s="7">
        <f>0</f>
        <v>0</v>
      </c>
      <c r="BI2585" s="8">
        <f>0</f>
        <v>0</v>
      </c>
      <c r="BJ2585" s="5" t="s">
        <v>253</v>
      </c>
      <c r="BK2585" s="5" t="s">
        <v>254</v>
      </c>
      <c r="BY2585" s="5" t="s">
        <v>238</v>
      </c>
      <c r="BZ2585" s="5" t="s">
        <v>238</v>
      </c>
      <c r="CD2585" s="5" t="s">
        <v>273</v>
      </c>
      <c r="CE2585" s="5" t="s">
        <v>256</v>
      </c>
      <c r="CF2585" s="5" t="s">
        <v>238</v>
      </c>
      <c r="CI2585" s="6" t="s">
        <v>257</v>
      </c>
      <c r="CJ2585" s="5" t="s">
        <v>238</v>
      </c>
      <c r="CK2585" s="5" t="s">
        <v>258</v>
      </c>
      <c r="CL2585" s="5" t="s">
        <v>238</v>
      </c>
      <c r="CM2585" s="5" t="s">
        <v>238</v>
      </c>
      <c r="CN2585" s="5">
        <v>0</v>
      </c>
      <c r="CO2585" s="5" t="s">
        <v>259</v>
      </c>
      <c r="CP2585" s="5" t="s">
        <v>260</v>
      </c>
      <c r="CQ2585" s="5" t="s">
        <v>260</v>
      </c>
      <c r="CR2585" s="5" t="s">
        <v>261</v>
      </c>
      <c r="CU2585" s="8">
        <f>1</f>
        <v>1</v>
      </c>
      <c r="CV2585" s="8">
        <f>0</f>
        <v>0</v>
      </c>
      <c r="CX2585" s="8">
        <f>0</f>
        <v>0</v>
      </c>
      <c r="CY2585" s="8">
        <f>1</f>
        <v>1</v>
      </c>
      <c r="DA2585" s="5" t="s">
        <v>274</v>
      </c>
      <c r="DB2585" s="5" t="s">
        <v>238</v>
      </c>
      <c r="DD2585" s="5" t="s">
        <v>274</v>
      </c>
      <c r="DE2585" s="8">
        <f>241</f>
        <v>241</v>
      </c>
      <c r="DG2585" s="5" t="s">
        <v>238</v>
      </c>
      <c r="DH2585" s="5" t="s">
        <v>238</v>
      </c>
      <c r="DI2585" s="5" t="s">
        <v>238</v>
      </c>
      <c r="DJ2585" s="5" t="s">
        <v>238</v>
      </c>
      <c r="DN2585" s="5" t="s">
        <v>238</v>
      </c>
      <c r="DO2585" s="5" t="s">
        <v>238</v>
      </c>
      <c r="DP2585" s="5" t="s">
        <v>238</v>
      </c>
      <c r="DQ2585" s="5" t="s">
        <v>238</v>
      </c>
      <c r="DT2585" s="5" t="s">
        <v>275</v>
      </c>
      <c r="DU2585" s="5" t="s">
        <v>1960</v>
      </c>
      <c r="HM2585" s="5" t="s">
        <v>264</v>
      </c>
    </row>
    <row r="2586" spans="1:221" x14ac:dyDescent="0.4">
      <c r="A2586" s="5">
        <v>4290</v>
      </c>
      <c r="B2586" s="5">
        <v>1</v>
      </c>
      <c r="C2586" s="5">
        <v>1</v>
      </c>
      <c r="D2586" s="5" t="s">
        <v>269</v>
      </c>
      <c r="E2586" s="5" t="s">
        <v>271</v>
      </c>
      <c r="F2586" s="5" t="s">
        <v>248</v>
      </c>
      <c r="G2586" s="5" t="s">
        <v>266</v>
      </c>
      <c r="H2586" s="6" t="s">
        <v>1957</v>
      </c>
      <c r="I2586" s="7">
        <f>90</f>
        <v>90</v>
      </c>
      <c r="J2586" s="5" t="s">
        <v>262</v>
      </c>
      <c r="K2586" s="8">
        <f>1</f>
        <v>1</v>
      </c>
      <c r="L2586" s="6" t="s">
        <v>242</v>
      </c>
      <c r="M2586" s="5" t="s">
        <v>267</v>
      </c>
      <c r="N2586" s="5" t="s">
        <v>265</v>
      </c>
      <c r="O2586" s="5" t="s">
        <v>238</v>
      </c>
      <c r="P2586" s="5" t="s">
        <v>238</v>
      </c>
      <c r="Q2586" s="5" t="s">
        <v>268</v>
      </c>
      <c r="R2586" s="5" t="s">
        <v>270</v>
      </c>
      <c r="S2586" s="5" t="s">
        <v>238</v>
      </c>
      <c r="V2586" s="5" t="s">
        <v>238</v>
      </c>
      <c r="X2586" s="6" t="s">
        <v>238</v>
      </c>
      <c r="AA2586" s="6" t="s">
        <v>243</v>
      </c>
      <c r="AB2586" s="5" t="s">
        <v>238</v>
      </c>
      <c r="AC2586" s="5" t="s">
        <v>244</v>
      </c>
      <c r="AD2586" s="5" t="s">
        <v>245</v>
      </c>
      <c r="AT2586" s="5" t="s">
        <v>246</v>
      </c>
      <c r="AU2586" s="5" t="s">
        <v>238</v>
      </c>
      <c r="AV2586" s="5" t="s">
        <v>247</v>
      </c>
      <c r="AW2586" s="5" t="s">
        <v>238</v>
      </c>
      <c r="AX2586" s="5" t="s">
        <v>249</v>
      </c>
      <c r="AY2586" s="5" t="s">
        <v>238</v>
      </c>
      <c r="BA2586" s="5" t="s">
        <v>238</v>
      </c>
      <c r="BC2586" s="5" t="s">
        <v>250</v>
      </c>
      <c r="BD2586" s="6" t="s">
        <v>243</v>
      </c>
      <c r="BE2586" s="5" t="s">
        <v>251</v>
      </c>
      <c r="BF2586" s="5" t="s">
        <v>252</v>
      </c>
      <c r="BG2586" s="5" t="s">
        <v>238</v>
      </c>
      <c r="BH2586" s="7">
        <f>0</f>
        <v>0</v>
      </c>
      <c r="BI2586" s="8">
        <f>0</f>
        <v>0</v>
      </c>
      <c r="BJ2586" s="5" t="s">
        <v>253</v>
      </c>
      <c r="BK2586" s="5" t="s">
        <v>254</v>
      </c>
      <c r="BY2586" s="5" t="s">
        <v>238</v>
      </c>
      <c r="BZ2586" s="5" t="s">
        <v>238</v>
      </c>
      <c r="CD2586" s="5" t="s">
        <v>273</v>
      </c>
      <c r="CE2586" s="5" t="s">
        <v>256</v>
      </c>
      <c r="CF2586" s="5" t="s">
        <v>238</v>
      </c>
      <c r="CI2586" s="6" t="s">
        <v>257</v>
      </c>
      <c r="CJ2586" s="5" t="s">
        <v>238</v>
      </c>
      <c r="CK2586" s="5" t="s">
        <v>258</v>
      </c>
      <c r="CL2586" s="5" t="s">
        <v>238</v>
      </c>
      <c r="CM2586" s="5" t="s">
        <v>238</v>
      </c>
      <c r="CN2586" s="5">
        <v>0</v>
      </c>
      <c r="CO2586" s="5" t="s">
        <v>259</v>
      </c>
      <c r="CP2586" s="5" t="s">
        <v>260</v>
      </c>
      <c r="CQ2586" s="5" t="s">
        <v>260</v>
      </c>
      <c r="CR2586" s="5" t="s">
        <v>261</v>
      </c>
      <c r="CU2586" s="8">
        <f>1</f>
        <v>1</v>
      </c>
      <c r="CV2586" s="8">
        <f>0</f>
        <v>0</v>
      </c>
      <c r="CX2586" s="8">
        <f>0</f>
        <v>0</v>
      </c>
      <c r="CY2586" s="8">
        <f>1</f>
        <v>1</v>
      </c>
      <c r="DA2586" s="5" t="s">
        <v>274</v>
      </c>
      <c r="DB2586" s="5" t="s">
        <v>238</v>
      </c>
      <c r="DD2586" s="5" t="s">
        <v>274</v>
      </c>
      <c r="DE2586" s="8">
        <f>90</f>
        <v>90</v>
      </c>
      <c r="DG2586" s="5" t="s">
        <v>238</v>
      </c>
      <c r="DH2586" s="5" t="s">
        <v>238</v>
      </c>
      <c r="DI2586" s="5" t="s">
        <v>238</v>
      </c>
      <c r="DJ2586" s="5" t="s">
        <v>238</v>
      </c>
      <c r="DN2586" s="5" t="s">
        <v>238</v>
      </c>
      <c r="DO2586" s="5" t="s">
        <v>238</v>
      </c>
      <c r="DP2586" s="5" t="s">
        <v>238</v>
      </c>
      <c r="DQ2586" s="5" t="s">
        <v>238</v>
      </c>
      <c r="DT2586" s="5" t="s">
        <v>275</v>
      </c>
      <c r="DU2586" s="5" t="s">
        <v>1958</v>
      </c>
      <c r="HM2586" s="5" t="s">
        <v>264</v>
      </c>
    </row>
    <row r="2587" spans="1:221" x14ac:dyDescent="0.4">
      <c r="A2587" s="5">
        <v>4291</v>
      </c>
      <c r="B2587" s="5">
        <v>1</v>
      </c>
      <c r="C2587" s="5">
        <v>1</v>
      </c>
      <c r="D2587" s="5" t="s">
        <v>269</v>
      </c>
      <c r="E2587" s="5" t="s">
        <v>271</v>
      </c>
      <c r="F2587" s="5" t="s">
        <v>248</v>
      </c>
      <c r="G2587" s="5" t="s">
        <v>266</v>
      </c>
      <c r="H2587" s="6" t="s">
        <v>1951</v>
      </c>
      <c r="I2587" s="7">
        <f>483</f>
        <v>483</v>
      </c>
      <c r="J2587" s="5" t="s">
        <v>262</v>
      </c>
      <c r="K2587" s="8">
        <f>1</f>
        <v>1</v>
      </c>
      <c r="L2587" s="6" t="s">
        <v>242</v>
      </c>
      <c r="M2587" s="5" t="s">
        <v>267</v>
      </c>
      <c r="N2587" s="5" t="s">
        <v>265</v>
      </c>
      <c r="O2587" s="5" t="s">
        <v>238</v>
      </c>
      <c r="P2587" s="5" t="s">
        <v>238</v>
      </c>
      <c r="Q2587" s="5" t="s">
        <v>268</v>
      </c>
      <c r="R2587" s="5" t="s">
        <v>270</v>
      </c>
      <c r="S2587" s="5" t="s">
        <v>238</v>
      </c>
      <c r="V2587" s="5" t="s">
        <v>238</v>
      </c>
      <c r="X2587" s="6" t="s">
        <v>238</v>
      </c>
      <c r="AA2587" s="6" t="s">
        <v>243</v>
      </c>
      <c r="AB2587" s="5" t="s">
        <v>238</v>
      </c>
      <c r="AC2587" s="5" t="s">
        <v>244</v>
      </c>
      <c r="AD2587" s="5" t="s">
        <v>245</v>
      </c>
      <c r="AT2587" s="5" t="s">
        <v>246</v>
      </c>
      <c r="AU2587" s="5" t="s">
        <v>238</v>
      </c>
      <c r="AV2587" s="5" t="s">
        <v>247</v>
      </c>
      <c r="AW2587" s="5" t="s">
        <v>238</v>
      </c>
      <c r="AX2587" s="5" t="s">
        <v>249</v>
      </c>
      <c r="AY2587" s="5" t="s">
        <v>238</v>
      </c>
      <c r="BA2587" s="5" t="s">
        <v>238</v>
      </c>
      <c r="BC2587" s="5" t="s">
        <v>250</v>
      </c>
      <c r="BD2587" s="6" t="s">
        <v>243</v>
      </c>
      <c r="BE2587" s="5" t="s">
        <v>251</v>
      </c>
      <c r="BF2587" s="5" t="s">
        <v>252</v>
      </c>
      <c r="BG2587" s="5" t="s">
        <v>238</v>
      </c>
      <c r="BH2587" s="7">
        <f>0</f>
        <v>0</v>
      </c>
      <c r="BI2587" s="8">
        <f>0</f>
        <v>0</v>
      </c>
      <c r="BJ2587" s="5" t="s">
        <v>253</v>
      </c>
      <c r="BK2587" s="5" t="s">
        <v>254</v>
      </c>
      <c r="BY2587" s="5" t="s">
        <v>238</v>
      </c>
      <c r="BZ2587" s="5" t="s">
        <v>238</v>
      </c>
      <c r="CD2587" s="5" t="s">
        <v>273</v>
      </c>
      <c r="CE2587" s="5" t="s">
        <v>256</v>
      </c>
      <c r="CF2587" s="5" t="s">
        <v>238</v>
      </c>
      <c r="CI2587" s="6" t="s">
        <v>257</v>
      </c>
      <c r="CJ2587" s="5" t="s">
        <v>238</v>
      </c>
      <c r="CK2587" s="5" t="s">
        <v>258</v>
      </c>
      <c r="CL2587" s="5" t="s">
        <v>238</v>
      </c>
      <c r="CM2587" s="5" t="s">
        <v>238</v>
      </c>
      <c r="CN2587" s="5">
        <v>0</v>
      </c>
      <c r="CO2587" s="5" t="s">
        <v>259</v>
      </c>
      <c r="CP2587" s="5" t="s">
        <v>260</v>
      </c>
      <c r="CQ2587" s="5" t="s">
        <v>260</v>
      </c>
      <c r="CR2587" s="5" t="s">
        <v>261</v>
      </c>
      <c r="CU2587" s="8">
        <f>1</f>
        <v>1</v>
      </c>
      <c r="CV2587" s="8">
        <f>0</f>
        <v>0</v>
      </c>
      <c r="CX2587" s="8">
        <f>0</f>
        <v>0</v>
      </c>
      <c r="CY2587" s="8">
        <f>1</f>
        <v>1</v>
      </c>
      <c r="DA2587" s="5" t="s">
        <v>274</v>
      </c>
      <c r="DB2587" s="5" t="s">
        <v>238</v>
      </c>
      <c r="DD2587" s="5" t="s">
        <v>274</v>
      </c>
      <c r="DE2587" s="8">
        <f>483</f>
        <v>483</v>
      </c>
      <c r="DG2587" s="5" t="s">
        <v>238</v>
      </c>
      <c r="DH2587" s="5" t="s">
        <v>238</v>
      </c>
      <c r="DI2587" s="5" t="s">
        <v>238</v>
      </c>
      <c r="DJ2587" s="5" t="s">
        <v>238</v>
      </c>
      <c r="DN2587" s="5" t="s">
        <v>238</v>
      </c>
      <c r="DO2587" s="5" t="s">
        <v>238</v>
      </c>
      <c r="DP2587" s="5" t="s">
        <v>238</v>
      </c>
      <c r="DQ2587" s="5" t="s">
        <v>238</v>
      </c>
      <c r="DT2587" s="5" t="s">
        <v>275</v>
      </c>
      <c r="DU2587" s="5" t="s">
        <v>1952</v>
      </c>
      <c r="HM2587" s="5" t="s">
        <v>264</v>
      </c>
    </row>
    <row r="2588" spans="1:221" x14ac:dyDescent="0.4">
      <c r="A2588" s="5">
        <v>4292</v>
      </c>
      <c r="B2588" s="5">
        <v>1</v>
      </c>
      <c r="C2588" s="5">
        <v>1</v>
      </c>
      <c r="D2588" s="5" t="s">
        <v>269</v>
      </c>
      <c r="E2588" s="5" t="s">
        <v>271</v>
      </c>
      <c r="F2588" s="5" t="s">
        <v>248</v>
      </c>
      <c r="G2588" s="5" t="s">
        <v>266</v>
      </c>
      <c r="H2588" s="6" t="s">
        <v>1949</v>
      </c>
      <c r="I2588" s="7">
        <f>363</f>
        <v>363</v>
      </c>
      <c r="J2588" s="5" t="s">
        <v>262</v>
      </c>
      <c r="K2588" s="8">
        <f>1</f>
        <v>1</v>
      </c>
      <c r="L2588" s="6" t="s">
        <v>242</v>
      </c>
      <c r="M2588" s="5" t="s">
        <v>267</v>
      </c>
      <c r="N2588" s="5" t="s">
        <v>265</v>
      </c>
      <c r="O2588" s="5" t="s">
        <v>238</v>
      </c>
      <c r="P2588" s="5" t="s">
        <v>238</v>
      </c>
      <c r="Q2588" s="5" t="s">
        <v>268</v>
      </c>
      <c r="R2588" s="5" t="s">
        <v>270</v>
      </c>
      <c r="S2588" s="5" t="s">
        <v>238</v>
      </c>
      <c r="V2588" s="5" t="s">
        <v>238</v>
      </c>
      <c r="X2588" s="6" t="s">
        <v>238</v>
      </c>
      <c r="AA2588" s="6" t="s">
        <v>243</v>
      </c>
      <c r="AB2588" s="5" t="s">
        <v>238</v>
      </c>
      <c r="AC2588" s="5" t="s">
        <v>244</v>
      </c>
      <c r="AD2588" s="5" t="s">
        <v>245</v>
      </c>
      <c r="AT2588" s="5" t="s">
        <v>246</v>
      </c>
      <c r="AU2588" s="5" t="s">
        <v>238</v>
      </c>
      <c r="AV2588" s="5" t="s">
        <v>247</v>
      </c>
      <c r="AW2588" s="5" t="s">
        <v>238</v>
      </c>
      <c r="AX2588" s="5" t="s">
        <v>249</v>
      </c>
      <c r="AY2588" s="5" t="s">
        <v>238</v>
      </c>
      <c r="BA2588" s="5" t="s">
        <v>238</v>
      </c>
      <c r="BC2588" s="5" t="s">
        <v>250</v>
      </c>
      <c r="BD2588" s="6" t="s">
        <v>243</v>
      </c>
      <c r="BE2588" s="5" t="s">
        <v>251</v>
      </c>
      <c r="BF2588" s="5" t="s">
        <v>252</v>
      </c>
      <c r="BG2588" s="5" t="s">
        <v>238</v>
      </c>
      <c r="BH2588" s="7">
        <f>0</f>
        <v>0</v>
      </c>
      <c r="BI2588" s="8">
        <f>0</f>
        <v>0</v>
      </c>
      <c r="BJ2588" s="5" t="s">
        <v>253</v>
      </c>
      <c r="BK2588" s="5" t="s">
        <v>254</v>
      </c>
      <c r="BY2588" s="5" t="s">
        <v>238</v>
      </c>
      <c r="BZ2588" s="5" t="s">
        <v>238</v>
      </c>
      <c r="CD2588" s="5" t="s">
        <v>273</v>
      </c>
      <c r="CE2588" s="5" t="s">
        <v>256</v>
      </c>
      <c r="CF2588" s="5" t="s">
        <v>238</v>
      </c>
      <c r="CI2588" s="6" t="s">
        <v>257</v>
      </c>
      <c r="CJ2588" s="5" t="s">
        <v>238</v>
      </c>
      <c r="CK2588" s="5" t="s">
        <v>258</v>
      </c>
      <c r="CL2588" s="5" t="s">
        <v>238</v>
      </c>
      <c r="CM2588" s="5" t="s">
        <v>238</v>
      </c>
      <c r="CN2588" s="5">
        <v>0</v>
      </c>
      <c r="CO2588" s="5" t="s">
        <v>259</v>
      </c>
      <c r="CP2588" s="5" t="s">
        <v>260</v>
      </c>
      <c r="CQ2588" s="5" t="s">
        <v>260</v>
      </c>
      <c r="CR2588" s="5" t="s">
        <v>261</v>
      </c>
      <c r="CU2588" s="8">
        <f>1</f>
        <v>1</v>
      </c>
      <c r="CV2588" s="8">
        <f>0</f>
        <v>0</v>
      </c>
      <c r="CX2588" s="8">
        <f>0</f>
        <v>0</v>
      </c>
      <c r="CY2588" s="8">
        <f>1</f>
        <v>1</v>
      </c>
      <c r="DA2588" s="5" t="s">
        <v>274</v>
      </c>
      <c r="DB2588" s="5" t="s">
        <v>238</v>
      </c>
      <c r="DD2588" s="5" t="s">
        <v>274</v>
      </c>
      <c r="DE2588" s="8">
        <f>363</f>
        <v>363</v>
      </c>
      <c r="DG2588" s="5" t="s">
        <v>238</v>
      </c>
      <c r="DH2588" s="5" t="s">
        <v>238</v>
      </c>
      <c r="DI2588" s="5" t="s">
        <v>238</v>
      </c>
      <c r="DJ2588" s="5" t="s">
        <v>238</v>
      </c>
      <c r="DN2588" s="5" t="s">
        <v>238</v>
      </c>
      <c r="DO2588" s="5" t="s">
        <v>238</v>
      </c>
      <c r="DP2588" s="5" t="s">
        <v>238</v>
      </c>
      <c r="DQ2588" s="5" t="s">
        <v>238</v>
      </c>
      <c r="DT2588" s="5" t="s">
        <v>275</v>
      </c>
      <c r="DU2588" s="5" t="s">
        <v>1950</v>
      </c>
      <c r="HM2588" s="5" t="s">
        <v>264</v>
      </c>
    </row>
    <row r="2589" spans="1:221" x14ac:dyDescent="0.4">
      <c r="A2589" s="5">
        <v>4293</v>
      </c>
      <c r="B2589" s="5">
        <v>1</v>
      </c>
      <c r="C2589" s="5">
        <v>1</v>
      </c>
      <c r="D2589" s="5" t="s">
        <v>269</v>
      </c>
      <c r="E2589" s="5" t="s">
        <v>271</v>
      </c>
      <c r="F2589" s="5" t="s">
        <v>248</v>
      </c>
      <c r="G2589" s="5" t="s">
        <v>266</v>
      </c>
      <c r="H2589" s="6" t="s">
        <v>1945</v>
      </c>
      <c r="I2589" s="7">
        <f>701</f>
        <v>701</v>
      </c>
      <c r="J2589" s="5" t="s">
        <v>262</v>
      </c>
      <c r="K2589" s="8">
        <f>1</f>
        <v>1</v>
      </c>
      <c r="L2589" s="6" t="s">
        <v>242</v>
      </c>
      <c r="M2589" s="5" t="s">
        <v>267</v>
      </c>
      <c r="N2589" s="5" t="s">
        <v>265</v>
      </c>
      <c r="O2589" s="5" t="s">
        <v>238</v>
      </c>
      <c r="P2589" s="5" t="s">
        <v>238</v>
      </c>
      <c r="Q2589" s="5" t="s">
        <v>268</v>
      </c>
      <c r="R2589" s="5" t="s">
        <v>270</v>
      </c>
      <c r="S2589" s="5" t="s">
        <v>238</v>
      </c>
      <c r="V2589" s="5" t="s">
        <v>238</v>
      </c>
      <c r="X2589" s="6" t="s">
        <v>238</v>
      </c>
      <c r="AA2589" s="6" t="s">
        <v>243</v>
      </c>
      <c r="AB2589" s="5" t="s">
        <v>238</v>
      </c>
      <c r="AC2589" s="5" t="s">
        <v>244</v>
      </c>
      <c r="AD2589" s="5" t="s">
        <v>245</v>
      </c>
      <c r="AT2589" s="5" t="s">
        <v>246</v>
      </c>
      <c r="AU2589" s="5" t="s">
        <v>238</v>
      </c>
      <c r="AV2589" s="5" t="s">
        <v>247</v>
      </c>
      <c r="AW2589" s="5" t="s">
        <v>238</v>
      </c>
      <c r="AX2589" s="5" t="s">
        <v>249</v>
      </c>
      <c r="AY2589" s="5" t="s">
        <v>238</v>
      </c>
      <c r="BA2589" s="5" t="s">
        <v>238</v>
      </c>
      <c r="BC2589" s="5" t="s">
        <v>250</v>
      </c>
      <c r="BD2589" s="6" t="s">
        <v>243</v>
      </c>
      <c r="BE2589" s="5" t="s">
        <v>251</v>
      </c>
      <c r="BF2589" s="5" t="s">
        <v>252</v>
      </c>
      <c r="BG2589" s="5" t="s">
        <v>238</v>
      </c>
      <c r="BH2589" s="7">
        <f>0</f>
        <v>0</v>
      </c>
      <c r="BI2589" s="8">
        <f>0</f>
        <v>0</v>
      </c>
      <c r="BJ2589" s="5" t="s">
        <v>253</v>
      </c>
      <c r="BK2589" s="5" t="s">
        <v>254</v>
      </c>
      <c r="BY2589" s="5" t="s">
        <v>238</v>
      </c>
      <c r="BZ2589" s="5" t="s">
        <v>238</v>
      </c>
      <c r="CD2589" s="5" t="s">
        <v>273</v>
      </c>
      <c r="CE2589" s="5" t="s">
        <v>256</v>
      </c>
      <c r="CF2589" s="5" t="s">
        <v>238</v>
      </c>
      <c r="CI2589" s="6" t="s">
        <v>257</v>
      </c>
      <c r="CJ2589" s="5" t="s">
        <v>238</v>
      </c>
      <c r="CK2589" s="5" t="s">
        <v>258</v>
      </c>
      <c r="CL2589" s="5" t="s">
        <v>238</v>
      </c>
      <c r="CM2589" s="5" t="s">
        <v>238</v>
      </c>
      <c r="CN2589" s="5">
        <v>0</v>
      </c>
      <c r="CO2589" s="5" t="s">
        <v>259</v>
      </c>
      <c r="CP2589" s="5" t="s">
        <v>260</v>
      </c>
      <c r="CQ2589" s="5" t="s">
        <v>260</v>
      </c>
      <c r="CR2589" s="5" t="s">
        <v>261</v>
      </c>
      <c r="CU2589" s="8">
        <f>1</f>
        <v>1</v>
      </c>
      <c r="CV2589" s="8">
        <f>0</f>
        <v>0</v>
      </c>
      <c r="CX2589" s="8">
        <f>0</f>
        <v>0</v>
      </c>
      <c r="CY2589" s="8">
        <f>1</f>
        <v>1</v>
      </c>
      <c r="DA2589" s="5" t="s">
        <v>274</v>
      </c>
      <c r="DB2589" s="5" t="s">
        <v>238</v>
      </c>
      <c r="DD2589" s="5" t="s">
        <v>274</v>
      </c>
      <c r="DE2589" s="8">
        <f>701</f>
        <v>701</v>
      </c>
      <c r="DG2589" s="5" t="s">
        <v>238</v>
      </c>
      <c r="DH2589" s="5" t="s">
        <v>238</v>
      </c>
      <c r="DI2589" s="5" t="s">
        <v>238</v>
      </c>
      <c r="DJ2589" s="5" t="s">
        <v>238</v>
      </c>
      <c r="DN2589" s="5" t="s">
        <v>238</v>
      </c>
      <c r="DO2589" s="5" t="s">
        <v>238</v>
      </c>
      <c r="DP2589" s="5" t="s">
        <v>238</v>
      </c>
      <c r="DQ2589" s="5" t="s">
        <v>238</v>
      </c>
      <c r="DT2589" s="5" t="s">
        <v>275</v>
      </c>
      <c r="DU2589" s="5" t="s">
        <v>1946</v>
      </c>
      <c r="HM2589" s="5" t="s">
        <v>264</v>
      </c>
    </row>
    <row r="2590" spans="1:221" x14ac:dyDescent="0.4">
      <c r="A2590" s="5">
        <v>4294</v>
      </c>
      <c r="B2590" s="5">
        <v>1</v>
      </c>
      <c r="C2590" s="5">
        <v>1</v>
      </c>
      <c r="D2590" s="5" t="s">
        <v>269</v>
      </c>
      <c r="E2590" s="5" t="s">
        <v>271</v>
      </c>
      <c r="F2590" s="5" t="s">
        <v>248</v>
      </c>
      <c r="G2590" s="5" t="s">
        <v>266</v>
      </c>
      <c r="H2590" s="6" t="s">
        <v>1943</v>
      </c>
      <c r="I2590" s="7">
        <f>226</f>
        <v>226</v>
      </c>
      <c r="J2590" s="5" t="s">
        <v>262</v>
      </c>
      <c r="K2590" s="8">
        <f>1</f>
        <v>1</v>
      </c>
      <c r="L2590" s="6" t="s">
        <v>242</v>
      </c>
      <c r="M2590" s="5" t="s">
        <v>267</v>
      </c>
      <c r="N2590" s="5" t="s">
        <v>265</v>
      </c>
      <c r="O2590" s="5" t="s">
        <v>238</v>
      </c>
      <c r="P2590" s="5" t="s">
        <v>238</v>
      </c>
      <c r="Q2590" s="5" t="s">
        <v>268</v>
      </c>
      <c r="R2590" s="5" t="s">
        <v>270</v>
      </c>
      <c r="S2590" s="5" t="s">
        <v>238</v>
      </c>
      <c r="V2590" s="5" t="s">
        <v>238</v>
      </c>
      <c r="X2590" s="6" t="s">
        <v>238</v>
      </c>
      <c r="AA2590" s="6" t="s">
        <v>243</v>
      </c>
      <c r="AB2590" s="5" t="s">
        <v>238</v>
      </c>
      <c r="AC2590" s="5" t="s">
        <v>244</v>
      </c>
      <c r="AD2590" s="5" t="s">
        <v>245</v>
      </c>
      <c r="AT2590" s="5" t="s">
        <v>246</v>
      </c>
      <c r="AU2590" s="5" t="s">
        <v>238</v>
      </c>
      <c r="AV2590" s="5" t="s">
        <v>247</v>
      </c>
      <c r="AW2590" s="5" t="s">
        <v>238</v>
      </c>
      <c r="AX2590" s="5" t="s">
        <v>249</v>
      </c>
      <c r="AY2590" s="5" t="s">
        <v>238</v>
      </c>
      <c r="BA2590" s="5" t="s">
        <v>238</v>
      </c>
      <c r="BC2590" s="5" t="s">
        <v>250</v>
      </c>
      <c r="BD2590" s="6" t="s">
        <v>243</v>
      </c>
      <c r="BE2590" s="5" t="s">
        <v>251</v>
      </c>
      <c r="BF2590" s="5" t="s">
        <v>252</v>
      </c>
      <c r="BG2590" s="5" t="s">
        <v>238</v>
      </c>
      <c r="BH2590" s="7">
        <f>0</f>
        <v>0</v>
      </c>
      <c r="BI2590" s="8">
        <f>0</f>
        <v>0</v>
      </c>
      <c r="BJ2590" s="5" t="s">
        <v>253</v>
      </c>
      <c r="BK2590" s="5" t="s">
        <v>254</v>
      </c>
      <c r="BY2590" s="5" t="s">
        <v>238</v>
      </c>
      <c r="BZ2590" s="5" t="s">
        <v>238</v>
      </c>
      <c r="CD2590" s="5" t="s">
        <v>273</v>
      </c>
      <c r="CE2590" s="5" t="s">
        <v>256</v>
      </c>
      <c r="CF2590" s="5" t="s">
        <v>238</v>
      </c>
      <c r="CI2590" s="6" t="s">
        <v>257</v>
      </c>
      <c r="CJ2590" s="5" t="s">
        <v>238</v>
      </c>
      <c r="CK2590" s="5" t="s">
        <v>258</v>
      </c>
      <c r="CL2590" s="5" t="s">
        <v>238</v>
      </c>
      <c r="CM2590" s="5" t="s">
        <v>238</v>
      </c>
      <c r="CN2590" s="5">
        <v>0</v>
      </c>
      <c r="CO2590" s="5" t="s">
        <v>259</v>
      </c>
      <c r="CP2590" s="5" t="s">
        <v>260</v>
      </c>
      <c r="CQ2590" s="5" t="s">
        <v>260</v>
      </c>
      <c r="CR2590" s="5" t="s">
        <v>261</v>
      </c>
      <c r="CU2590" s="8">
        <f>1</f>
        <v>1</v>
      </c>
      <c r="CV2590" s="8">
        <f>0</f>
        <v>0</v>
      </c>
      <c r="CX2590" s="8">
        <f>0</f>
        <v>0</v>
      </c>
      <c r="CY2590" s="8">
        <f>1</f>
        <v>1</v>
      </c>
      <c r="DA2590" s="5" t="s">
        <v>274</v>
      </c>
      <c r="DB2590" s="5" t="s">
        <v>238</v>
      </c>
      <c r="DD2590" s="5" t="s">
        <v>274</v>
      </c>
      <c r="DE2590" s="8">
        <f>226</f>
        <v>226</v>
      </c>
      <c r="DG2590" s="5" t="s">
        <v>238</v>
      </c>
      <c r="DH2590" s="5" t="s">
        <v>238</v>
      </c>
      <c r="DI2590" s="5" t="s">
        <v>238</v>
      </c>
      <c r="DJ2590" s="5" t="s">
        <v>238</v>
      </c>
      <c r="DN2590" s="5" t="s">
        <v>238</v>
      </c>
      <c r="DO2590" s="5" t="s">
        <v>238</v>
      </c>
      <c r="DP2590" s="5" t="s">
        <v>238</v>
      </c>
      <c r="DQ2590" s="5" t="s">
        <v>238</v>
      </c>
      <c r="DT2590" s="5" t="s">
        <v>275</v>
      </c>
      <c r="DU2590" s="5" t="s">
        <v>1944</v>
      </c>
      <c r="HM2590" s="5" t="s">
        <v>264</v>
      </c>
    </row>
    <row r="2591" spans="1:221" x14ac:dyDescent="0.4">
      <c r="A2591" s="5">
        <v>4295</v>
      </c>
      <c r="B2591" s="5">
        <v>1</v>
      </c>
      <c r="C2591" s="5">
        <v>1</v>
      </c>
      <c r="D2591" s="5" t="s">
        <v>269</v>
      </c>
      <c r="E2591" s="5" t="s">
        <v>271</v>
      </c>
      <c r="F2591" s="5" t="s">
        <v>248</v>
      </c>
      <c r="G2591" s="5" t="s">
        <v>266</v>
      </c>
      <c r="H2591" s="6" t="s">
        <v>1937</v>
      </c>
      <c r="I2591" s="7">
        <f>1796</f>
        <v>1796</v>
      </c>
      <c r="J2591" s="5" t="s">
        <v>262</v>
      </c>
      <c r="K2591" s="8">
        <f>1</f>
        <v>1</v>
      </c>
      <c r="L2591" s="6" t="s">
        <v>242</v>
      </c>
      <c r="M2591" s="5" t="s">
        <v>267</v>
      </c>
      <c r="N2591" s="5" t="s">
        <v>265</v>
      </c>
      <c r="O2591" s="5" t="s">
        <v>238</v>
      </c>
      <c r="P2591" s="5" t="s">
        <v>238</v>
      </c>
      <c r="Q2591" s="5" t="s">
        <v>268</v>
      </c>
      <c r="R2591" s="5" t="s">
        <v>270</v>
      </c>
      <c r="S2591" s="5" t="s">
        <v>238</v>
      </c>
      <c r="V2591" s="5" t="s">
        <v>238</v>
      </c>
      <c r="X2591" s="6" t="s">
        <v>238</v>
      </c>
      <c r="AA2591" s="6" t="s">
        <v>243</v>
      </c>
      <c r="AB2591" s="5" t="s">
        <v>238</v>
      </c>
      <c r="AC2591" s="5" t="s">
        <v>244</v>
      </c>
      <c r="AD2591" s="5" t="s">
        <v>245</v>
      </c>
      <c r="AT2591" s="5" t="s">
        <v>246</v>
      </c>
      <c r="AU2591" s="5" t="s">
        <v>238</v>
      </c>
      <c r="AV2591" s="5" t="s">
        <v>247</v>
      </c>
      <c r="AW2591" s="5" t="s">
        <v>238</v>
      </c>
      <c r="AX2591" s="5" t="s">
        <v>249</v>
      </c>
      <c r="AY2591" s="5" t="s">
        <v>238</v>
      </c>
      <c r="BA2591" s="5" t="s">
        <v>238</v>
      </c>
      <c r="BC2591" s="5" t="s">
        <v>250</v>
      </c>
      <c r="BD2591" s="6" t="s">
        <v>243</v>
      </c>
      <c r="BE2591" s="5" t="s">
        <v>251</v>
      </c>
      <c r="BF2591" s="5" t="s">
        <v>252</v>
      </c>
      <c r="BG2591" s="5" t="s">
        <v>238</v>
      </c>
      <c r="BH2591" s="7">
        <f>0</f>
        <v>0</v>
      </c>
      <c r="BI2591" s="8">
        <f>0</f>
        <v>0</v>
      </c>
      <c r="BJ2591" s="5" t="s">
        <v>253</v>
      </c>
      <c r="BK2591" s="5" t="s">
        <v>254</v>
      </c>
      <c r="BY2591" s="5" t="s">
        <v>238</v>
      </c>
      <c r="BZ2591" s="5" t="s">
        <v>238</v>
      </c>
      <c r="CD2591" s="5" t="s">
        <v>273</v>
      </c>
      <c r="CE2591" s="5" t="s">
        <v>256</v>
      </c>
      <c r="CF2591" s="5" t="s">
        <v>238</v>
      </c>
      <c r="CI2591" s="6" t="s">
        <v>257</v>
      </c>
      <c r="CJ2591" s="5" t="s">
        <v>238</v>
      </c>
      <c r="CK2591" s="5" t="s">
        <v>258</v>
      </c>
      <c r="CL2591" s="5" t="s">
        <v>238</v>
      </c>
      <c r="CM2591" s="5" t="s">
        <v>238</v>
      </c>
      <c r="CN2591" s="5">
        <v>0</v>
      </c>
      <c r="CO2591" s="5" t="s">
        <v>259</v>
      </c>
      <c r="CP2591" s="5" t="s">
        <v>260</v>
      </c>
      <c r="CQ2591" s="5" t="s">
        <v>260</v>
      </c>
      <c r="CR2591" s="5" t="s">
        <v>261</v>
      </c>
      <c r="CU2591" s="8">
        <f>1</f>
        <v>1</v>
      </c>
      <c r="CV2591" s="8">
        <f>0</f>
        <v>0</v>
      </c>
      <c r="CX2591" s="8">
        <f>0</f>
        <v>0</v>
      </c>
      <c r="CY2591" s="8">
        <f>1</f>
        <v>1</v>
      </c>
      <c r="DA2591" s="5" t="s">
        <v>274</v>
      </c>
      <c r="DB2591" s="5" t="s">
        <v>238</v>
      </c>
      <c r="DD2591" s="5" t="s">
        <v>274</v>
      </c>
      <c r="DE2591" s="8">
        <f>1796</f>
        <v>1796</v>
      </c>
      <c r="DG2591" s="5" t="s">
        <v>238</v>
      </c>
      <c r="DH2591" s="5" t="s">
        <v>238</v>
      </c>
      <c r="DI2591" s="5" t="s">
        <v>238</v>
      </c>
      <c r="DJ2591" s="5" t="s">
        <v>238</v>
      </c>
      <c r="DN2591" s="5" t="s">
        <v>238</v>
      </c>
      <c r="DO2591" s="5" t="s">
        <v>238</v>
      </c>
      <c r="DP2591" s="5" t="s">
        <v>238</v>
      </c>
      <c r="DQ2591" s="5" t="s">
        <v>238</v>
      </c>
      <c r="DT2591" s="5" t="s">
        <v>275</v>
      </c>
      <c r="DU2591" s="5" t="s">
        <v>1938</v>
      </c>
      <c r="HM2591" s="5" t="s">
        <v>264</v>
      </c>
    </row>
    <row r="2592" spans="1:221" x14ac:dyDescent="0.4">
      <c r="A2592" s="5">
        <v>4296</v>
      </c>
      <c r="B2592" s="5">
        <v>1</v>
      </c>
      <c r="C2592" s="5">
        <v>1</v>
      </c>
      <c r="D2592" s="5" t="s">
        <v>269</v>
      </c>
      <c r="E2592" s="5" t="s">
        <v>271</v>
      </c>
      <c r="F2592" s="5" t="s">
        <v>248</v>
      </c>
      <c r="G2592" s="5" t="s">
        <v>266</v>
      </c>
      <c r="H2592" s="6" t="s">
        <v>1935</v>
      </c>
      <c r="I2592" s="7">
        <f>80</f>
        <v>80</v>
      </c>
      <c r="J2592" s="5" t="s">
        <v>262</v>
      </c>
      <c r="K2592" s="8">
        <f>1</f>
        <v>1</v>
      </c>
      <c r="L2592" s="6" t="s">
        <v>242</v>
      </c>
      <c r="M2592" s="5" t="s">
        <v>267</v>
      </c>
      <c r="N2592" s="5" t="s">
        <v>265</v>
      </c>
      <c r="O2592" s="5" t="s">
        <v>238</v>
      </c>
      <c r="P2592" s="5" t="s">
        <v>238</v>
      </c>
      <c r="Q2592" s="5" t="s">
        <v>268</v>
      </c>
      <c r="R2592" s="5" t="s">
        <v>270</v>
      </c>
      <c r="S2592" s="5" t="s">
        <v>238</v>
      </c>
      <c r="V2592" s="5" t="s">
        <v>238</v>
      </c>
      <c r="X2592" s="6" t="s">
        <v>238</v>
      </c>
      <c r="AA2592" s="6" t="s">
        <v>243</v>
      </c>
      <c r="AB2592" s="5" t="s">
        <v>238</v>
      </c>
      <c r="AC2592" s="5" t="s">
        <v>244</v>
      </c>
      <c r="AD2592" s="5" t="s">
        <v>245</v>
      </c>
      <c r="AT2592" s="5" t="s">
        <v>246</v>
      </c>
      <c r="AU2592" s="5" t="s">
        <v>238</v>
      </c>
      <c r="AV2592" s="5" t="s">
        <v>247</v>
      </c>
      <c r="AW2592" s="5" t="s">
        <v>238</v>
      </c>
      <c r="AX2592" s="5" t="s">
        <v>249</v>
      </c>
      <c r="AY2592" s="5" t="s">
        <v>238</v>
      </c>
      <c r="BA2592" s="5" t="s">
        <v>238</v>
      </c>
      <c r="BC2592" s="5" t="s">
        <v>250</v>
      </c>
      <c r="BD2592" s="6" t="s">
        <v>243</v>
      </c>
      <c r="BE2592" s="5" t="s">
        <v>251</v>
      </c>
      <c r="BF2592" s="5" t="s">
        <v>252</v>
      </c>
      <c r="BG2592" s="5" t="s">
        <v>238</v>
      </c>
      <c r="BH2592" s="7">
        <f>0</f>
        <v>0</v>
      </c>
      <c r="BI2592" s="8">
        <f>0</f>
        <v>0</v>
      </c>
      <c r="BJ2592" s="5" t="s">
        <v>253</v>
      </c>
      <c r="BK2592" s="5" t="s">
        <v>254</v>
      </c>
      <c r="BY2592" s="5" t="s">
        <v>238</v>
      </c>
      <c r="BZ2592" s="5" t="s">
        <v>238</v>
      </c>
      <c r="CD2592" s="5" t="s">
        <v>273</v>
      </c>
      <c r="CE2592" s="5" t="s">
        <v>256</v>
      </c>
      <c r="CF2592" s="5" t="s">
        <v>238</v>
      </c>
      <c r="CI2592" s="6" t="s">
        <v>257</v>
      </c>
      <c r="CJ2592" s="5" t="s">
        <v>238</v>
      </c>
      <c r="CK2592" s="5" t="s">
        <v>258</v>
      </c>
      <c r="CL2592" s="5" t="s">
        <v>238</v>
      </c>
      <c r="CM2592" s="5" t="s">
        <v>238</v>
      </c>
      <c r="CN2592" s="5">
        <v>0</v>
      </c>
      <c r="CO2592" s="5" t="s">
        <v>259</v>
      </c>
      <c r="CP2592" s="5" t="s">
        <v>260</v>
      </c>
      <c r="CQ2592" s="5" t="s">
        <v>260</v>
      </c>
      <c r="CR2592" s="5" t="s">
        <v>261</v>
      </c>
      <c r="CU2592" s="8">
        <f>1</f>
        <v>1</v>
      </c>
      <c r="CV2592" s="8">
        <f>0</f>
        <v>0</v>
      </c>
      <c r="CX2592" s="8">
        <f>0</f>
        <v>0</v>
      </c>
      <c r="CY2592" s="8">
        <f>1</f>
        <v>1</v>
      </c>
      <c r="DA2592" s="5" t="s">
        <v>274</v>
      </c>
      <c r="DB2592" s="5" t="s">
        <v>238</v>
      </c>
      <c r="DD2592" s="5" t="s">
        <v>274</v>
      </c>
      <c r="DE2592" s="8">
        <f>80</f>
        <v>80</v>
      </c>
      <c r="DG2592" s="5" t="s">
        <v>238</v>
      </c>
      <c r="DH2592" s="5" t="s">
        <v>238</v>
      </c>
      <c r="DI2592" s="5" t="s">
        <v>238</v>
      </c>
      <c r="DJ2592" s="5" t="s">
        <v>238</v>
      </c>
      <c r="DN2592" s="5" t="s">
        <v>238</v>
      </c>
      <c r="DO2592" s="5" t="s">
        <v>238</v>
      </c>
      <c r="DP2592" s="5" t="s">
        <v>238</v>
      </c>
      <c r="DQ2592" s="5" t="s">
        <v>238</v>
      </c>
      <c r="DT2592" s="5" t="s">
        <v>275</v>
      </c>
      <c r="DU2592" s="5" t="s">
        <v>1936</v>
      </c>
      <c r="HM2592" s="5" t="s">
        <v>264</v>
      </c>
    </row>
    <row r="2593" spans="1:221" x14ac:dyDescent="0.4">
      <c r="A2593" s="5">
        <v>4297</v>
      </c>
      <c r="B2593" s="5">
        <v>1</v>
      </c>
      <c r="C2593" s="5">
        <v>1</v>
      </c>
      <c r="D2593" s="5" t="s">
        <v>269</v>
      </c>
      <c r="E2593" s="5" t="s">
        <v>271</v>
      </c>
      <c r="F2593" s="5" t="s">
        <v>248</v>
      </c>
      <c r="G2593" s="5" t="s">
        <v>266</v>
      </c>
      <c r="H2593" s="6" t="s">
        <v>1929</v>
      </c>
      <c r="I2593" s="7">
        <f>180</f>
        <v>180</v>
      </c>
      <c r="J2593" s="5" t="s">
        <v>262</v>
      </c>
      <c r="K2593" s="8">
        <f>1</f>
        <v>1</v>
      </c>
      <c r="L2593" s="6" t="s">
        <v>242</v>
      </c>
      <c r="M2593" s="5" t="s">
        <v>267</v>
      </c>
      <c r="N2593" s="5" t="s">
        <v>265</v>
      </c>
      <c r="O2593" s="5" t="s">
        <v>238</v>
      </c>
      <c r="P2593" s="5" t="s">
        <v>238</v>
      </c>
      <c r="Q2593" s="5" t="s">
        <v>268</v>
      </c>
      <c r="R2593" s="5" t="s">
        <v>270</v>
      </c>
      <c r="S2593" s="5" t="s">
        <v>238</v>
      </c>
      <c r="V2593" s="5" t="s">
        <v>238</v>
      </c>
      <c r="X2593" s="6" t="s">
        <v>238</v>
      </c>
      <c r="AA2593" s="6" t="s">
        <v>243</v>
      </c>
      <c r="AB2593" s="5" t="s">
        <v>238</v>
      </c>
      <c r="AC2593" s="5" t="s">
        <v>244</v>
      </c>
      <c r="AD2593" s="5" t="s">
        <v>245</v>
      </c>
      <c r="AT2593" s="5" t="s">
        <v>246</v>
      </c>
      <c r="AU2593" s="5" t="s">
        <v>238</v>
      </c>
      <c r="AV2593" s="5" t="s">
        <v>247</v>
      </c>
      <c r="AW2593" s="5" t="s">
        <v>238</v>
      </c>
      <c r="AX2593" s="5" t="s">
        <v>249</v>
      </c>
      <c r="AY2593" s="5" t="s">
        <v>238</v>
      </c>
      <c r="BA2593" s="5" t="s">
        <v>238</v>
      </c>
      <c r="BC2593" s="5" t="s">
        <v>250</v>
      </c>
      <c r="BD2593" s="6" t="s">
        <v>243</v>
      </c>
      <c r="BE2593" s="5" t="s">
        <v>251</v>
      </c>
      <c r="BF2593" s="5" t="s">
        <v>252</v>
      </c>
      <c r="BG2593" s="5" t="s">
        <v>238</v>
      </c>
      <c r="BH2593" s="7">
        <f>0</f>
        <v>0</v>
      </c>
      <c r="BI2593" s="8">
        <f>0</f>
        <v>0</v>
      </c>
      <c r="BJ2593" s="5" t="s">
        <v>253</v>
      </c>
      <c r="BK2593" s="5" t="s">
        <v>254</v>
      </c>
      <c r="BY2593" s="5" t="s">
        <v>238</v>
      </c>
      <c r="BZ2593" s="5" t="s">
        <v>238</v>
      </c>
      <c r="CD2593" s="5" t="s">
        <v>273</v>
      </c>
      <c r="CE2593" s="5" t="s">
        <v>256</v>
      </c>
      <c r="CF2593" s="5" t="s">
        <v>238</v>
      </c>
      <c r="CI2593" s="6" t="s">
        <v>257</v>
      </c>
      <c r="CJ2593" s="5" t="s">
        <v>238</v>
      </c>
      <c r="CK2593" s="5" t="s">
        <v>258</v>
      </c>
      <c r="CL2593" s="5" t="s">
        <v>238</v>
      </c>
      <c r="CM2593" s="5" t="s">
        <v>238</v>
      </c>
      <c r="CN2593" s="5">
        <v>0</v>
      </c>
      <c r="CO2593" s="5" t="s">
        <v>259</v>
      </c>
      <c r="CP2593" s="5" t="s">
        <v>260</v>
      </c>
      <c r="CQ2593" s="5" t="s">
        <v>260</v>
      </c>
      <c r="CR2593" s="5" t="s">
        <v>261</v>
      </c>
      <c r="CU2593" s="8">
        <f>1</f>
        <v>1</v>
      </c>
      <c r="CV2593" s="8">
        <f>0</f>
        <v>0</v>
      </c>
      <c r="CX2593" s="8">
        <f>0</f>
        <v>0</v>
      </c>
      <c r="CY2593" s="8">
        <f>1</f>
        <v>1</v>
      </c>
      <c r="DA2593" s="5" t="s">
        <v>274</v>
      </c>
      <c r="DB2593" s="5" t="s">
        <v>238</v>
      </c>
      <c r="DD2593" s="5" t="s">
        <v>274</v>
      </c>
      <c r="DE2593" s="8">
        <f>180</f>
        <v>180</v>
      </c>
      <c r="DG2593" s="5" t="s">
        <v>238</v>
      </c>
      <c r="DH2593" s="5" t="s">
        <v>238</v>
      </c>
      <c r="DI2593" s="5" t="s">
        <v>238</v>
      </c>
      <c r="DJ2593" s="5" t="s">
        <v>238</v>
      </c>
      <c r="DN2593" s="5" t="s">
        <v>238</v>
      </c>
      <c r="DO2593" s="5" t="s">
        <v>238</v>
      </c>
      <c r="DP2593" s="5" t="s">
        <v>238</v>
      </c>
      <c r="DQ2593" s="5" t="s">
        <v>238</v>
      </c>
      <c r="DT2593" s="5" t="s">
        <v>275</v>
      </c>
      <c r="DU2593" s="5" t="s">
        <v>1930</v>
      </c>
      <c r="HM2593" s="5" t="s">
        <v>264</v>
      </c>
    </row>
    <row r="2594" spans="1:221" x14ac:dyDescent="0.4">
      <c r="A2594" s="5">
        <v>4298</v>
      </c>
      <c r="B2594" s="5">
        <v>1</v>
      </c>
      <c r="C2594" s="5">
        <v>1</v>
      </c>
      <c r="D2594" s="5" t="s">
        <v>269</v>
      </c>
      <c r="E2594" s="5" t="s">
        <v>271</v>
      </c>
      <c r="F2594" s="5" t="s">
        <v>248</v>
      </c>
      <c r="G2594" s="5" t="s">
        <v>266</v>
      </c>
      <c r="H2594" s="6" t="s">
        <v>1927</v>
      </c>
      <c r="I2594" s="7">
        <f>2437</f>
        <v>2437</v>
      </c>
      <c r="J2594" s="5" t="s">
        <v>262</v>
      </c>
      <c r="K2594" s="8">
        <f>1</f>
        <v>1</v>
      </c>
      <c r="L2594" s="6" t="s">
        <v>242</v>
      </c>
      <c r="M2594" s="5" t="s">
        <v>267</v>
      </c>
      <c r="N2594" s="5" t="s">
        <v>265</v>
      </c>
      <c r="O2594" s="5" t="s">
        <v>238</v>
      </c>
      <c r="P2594" s="5" t="s">
        <v>238</v>
      </c>
      <c r="Q2594" s="5" t="s">
        <v>268</v>
      </c>
      <c r="R2594" s="5" t="s">
        <v>270</v>
      </c>
      <c r="S2594" s="5" t="s">
        <v>238</v>
      </c>
      <c r="V2594" s="5" t="s">
        <v>238</v>
      </c>
      <c r="X2594" s="6" t="s">
        <v>238</v>
      </c>
      <c r="AA2594" s="6" t="s">
        <v>243</v>
      </c>
      <c r="AB2594" s="5" t="s">
        <v>238</v>
      </c>
      <c r="AC2594" s="5" t="s">
        <v>244</v>
      </c>
      <c r="AD2594" s="5" t="s">
        <v>245</v>
      </c>
      <c r="AT2594" s="5" t="s">
        <v>246</v>
      </c>
      <c r="AU2594" s="5" t="s">
        <v>238</v>
      </c>
      <c r="AV2594" s="5" t="s">
        <v>247</v>
      </c>
      <c r="AW2594" s="5" t="s">
        <v>238</v>
      </c>
      <c r="AX2594" s="5" t="s">
        <v>249</v>
      </c>
      <c r="AY2594" s="5" t="s">
        <v>238</v>
      </c>
      <c r="BA2594" s="5" t="s">
        <v>238</v>
      </c>
      <c r="BC2594" s="5" t="s">
        <v>250</v>
      </c>
      <c r="BD2594" s="6" t="s">
        <v>243</v>
      </c>
      <c r="BE2594" s="5" t="s">
        <v>251</v>
      </c>
      <c r="BF2594" s="5" t="s">
        <v>252</v>
      </c>
      <c r="BG2594" s="5" t="s">
        <v>238</v>
      </c>
      <c r="BH2594" s="7">
        <f>0</f>
        <v>0</v>
      </c>
      <c r="BI2594" s="8">
        <f>0</f>
        <v>0</v>
      </c>
      <c r="BJ2594" s="5" t="s">
        <v>253</v>
      </c>
      <c r="BK2594" s="5" t="s">
        <v>254</v>
      </c>
      <c r="BY2594" s="5" t="s">
        <v>238</v>
      </c>
      <c r="BZ2594" s="5" t="s">
        <v>238</v>
      </c>
      <c r="CD2594" s="5" t="s">
        <v>273</v>
      </c>
      <c r="CE2594" s="5" t="s">
        <v>256</v>
      </c>
      <c r="CF2594" s="5" t="s">
        <v>238</v>
      </c>
      <c r="CI2594" s="6" t="s">
        <v>257</v>
      </c>
      <c r="CJ2594" s="5" t="s">
        <v>238</v>
      </c>
      <c r="CK2594" s="5" t="s">
        <v>258</v>
      </c>
      <c r="CL2594" s="5" t="s">
        <v>238</v>
      </c>
      <c r="CM2594" s="5" t="s">
        <v>238</v>
      </c>
      <c r="CN2594" s="5">
        <v>0</v>
      </c>
      <c r="CO2594" s="5" t="s">
        <v>259</v>
      </c>
      <c r="CP2594" s="5" t="s">
        <v>260</v>
      </c>
      <c r="CQ2594" s="5" t="s">
        <v>260</v>
      </c>
      <c r="CR2594" s="5" t="s">
        <v>261</v>
      </c>
      <c r="CU2594" s="8">
        <f>1</f>
        <v>1</v>
      </c>
      <c r="CV2594" s="8">
        <f>0</f>
        <v>0</v>
      </c>
      <c r="CX2594" s="8">
        <f>0</f>
        <v>0</v>
      </c>
      <c r="CY2594" s="8">
        <f>1</f>
        <v>1</v>
      </c>
      <c r="DA2594" s="5" t="s">
        <v>274</v>
      </c>
      <c r="DB2594" s="5" t="s">
        <v>238</v>
      </c>
      <c r="DD2594" s="5" t="s">
        <v>274</v>
      </c>
      <c r="DE2594" s="8">
        <f>2437</f>
        <v>2437</v>
      </c>
      <c r="DG2594" s="5" t="s">
        <v>238</v>
      </c>
      <c r="DH2594" s="5" t="s">
        <v>238</v>
      </c>
      <c r="DI2594" s="5" t="s">
        <v>238</v>
      </c>
      <c r="DJ2594" s="5" t="s">
        <v>238</v>
      </c>
      <c r="DN2594" s="5" t="s">
        <v>238</v>
      </c>
      <c r="DO2594" s="5" t="s">
        <v>238</v>
      </c>
      <c r="DP2594" s="5" t="s">
        <v>238</v>
      </c>
      <c r="DQ2594" s="5" t="s">
        <v>238</v>
      </c>
      <c r="DT2594" s="5" t="s">
        <v>275</v>
      </c>
      <c r="DU2594" s="5" t="s">
        <v>1928</v>
      </c>
      <c r="HM2594" s="5" t="s">
        <v>264</v>
      </c>
    </row>
    <row r="2595" spans="1:221" x14ac:dyDescent="0.4">
      <c r="A2595" s="5">
        <v>4299</v>
      </c>
      <c r="B2595" s="5">
        <v>1</v>
      </c>
      <c r="C2595" s="5">
        <v>1</v>
      </c>
      <c r="D2595" s="5" t="s">
        <v>269</v>
      </c>
      <c r="E2595" s="5" t="s">
        <v>271</v>
      </c>
      <c r="F2595" s="5" t="s">
        <v>248</v>
      </c>
      <c r="G2595" s="5" t="s">
        <v>266</v>
      </c>
      <c r="H2595" s="6" t="s">
        <v>1923</v>
      </c>
      <c r="I2595" s="7">
        <f>3591</f>
        <v>3591</v>
      </c>
      <c r="J2595" s="5" t="s">
        <v>262</v>
      </c>
      <c r="K2595" s="8">
        <f>1</f>
        <v>1</v>
      </c>
      <c r="L2595" s="6" t="s">
        <v>242</v>
      </c>
      <c r="M2595" s="5" t="s">
        <v>267</v>
      </c>
      <c r="N2595" s="5" t="s">
        <v>265</v>
      </c>
      <c r="O2595" s="5" t="s">
        <v>238</v>
      </c>
      <c r="P2595" s="5" t="s">
        <v>238</v>
      </c>
      <c r="Q2595" s="5" t="s">
        <v>268</v>
      </c>
      <c r="R2595" s="5" t="s">
        <v>270</v>
      </c>
      <c r="S2595" s="5" t="s">
        <v>238</v>
      </c>
      <c r="V2595" s="5" t="s">
        <v>238</v>
      </c>
      <c r="X2595" s="6" t="s">
        <v>238</v>
      </c>
      <c r="AA2595" s="6" t="s">
        <v>243</v>
      </c>
      <c r="AB2595" s="5" t="s">
        <v>238</v>
      </c>
      <c r="AC2595" s="5" t="s">
        <v>244</v>
      </c>
      <c r="AD2595" s="5" t="s">
        <v>245</v>
      </c>
      <c r="AT2595" s="5" t="s">
        <v>246</v>
      </c>
      <c r="AU2595" s="5" t="s">
        <v>238</v>
      </c>
      <c r="AV2595" s="5" t="s">
        <v>247</v>
      </c>
      <c r="AW2595" s="5" t="s">
        <v>238</v>
      </c>
      <c r="AX2595" s="5" t="s">
        <v>249</v>
      </c>
      <c r="AY2595" s="5" t="s">
        <v>238</v>
      </c>
      <c r="BA2595" s="5" t="s">
        <v>238</v>
      </c>
      <c r="BC2595" s="5" t="s">
        <v>250</v>
      </c>
      <c r="BD2595" s="6" t="s">
        <v>243</v>
      </c>
      <c r="BE2595" s="5" t="s">
        <v>251</v>
      </c>
      <c r="BF2595" s="5" t="s">
        <v>252</v>
      </c>
      <c r="BG2595" s="5" t="s">
        <v>238</v>
      </c>
      <c r="BH2595" s="7">
        <f>0</f>
        <v>0</v>
      </c>
      <c r="BI2595" s="8">
        <f>0</f>
        <v>0</v>
      </c>
      <c r="BJ2595" s="5" t="s">
        <v>253</v>
      </c>
      <c r="BK2595" s="5" t="s">
        <v>254</v>
      </c>
      <c r="BY2595" s="5" t="s">
        <v>238</v>
      </c>
      <c r="BZ2595" s="5" t="s">
        <v>238</v>
      </c>
      <c r="CD2595" s="5" t="s">
        <v>273</v>
      </c>
      <c r="CE2595" s="5" t="s">
        <v>256</v>
      </c>
      <c r="CF2595" s="5" t="s">
        <v>238</v>
      </c>
      <c r="CI2595" s="6" t="s">
        <v>257</v>
      </c>
      <c r="CJ2595" s="5" t="s">
        <v>238</v>
      </c>
      <c r="CK2595" s="5" t="s">
        <v>258</v>
      </c>
      <c r="CL2595" s="5" t="s">
        <v>238</v>
      </c>
      <c r="CM2595" s="5" t="s">
        <v>238</v>
      </c>
      <c r="CN2595" s="5">
        <v>0</v>
      </c>
      <c r="CO2595" s="5" t="s">
        <v>259</v>
      </c>
      <c r="CP2595" s="5" t="s">
        <v>260</v>
      </c>
      <c r="CQ2595" s="5" t="s">
        <v>260</v>
      </c>
      <c r="CR2595" s="5" t="s">
        <v>261</v>
      </c>
      <c r="CU2595" s="8">
        <f>1</f>
        <v>1</v>
      </c>
      <c r="CV2595" s="8">
        <f>0</f>
        <v>0</v>
      </c>
      <c r="CX2595" s="8">
        <f>0</f>
        <v>0</v>
      </c>
      <c r="CY2595" s="8">
        <f>1</f>
        <v>1</v>
      </c>
      <c r="DA2595" s="5" t="s">
        <v>274</v>
      </c>
      <c r="DB2595" s="5" t="s">
        <v>238</v>
      </c>
      <c r="DD2595" s="5" t="s">
        <v>274</v>
      </c>
      <c r="DE2595" s="8">
        <f>3591</f>
        <v>3591</v>
      </c>
      <c r="DG2595" s="5" t="s">
        <v>238</v>
      </c>
      <c r="DH2595" s="5" t="s">
        <v>238</v>
      </c>
      <c r="DI2595" s="5" t="s">
        <v>238</v>
      </c>
      <c r="DJ2595" s="5" t="s">
        <v>238</v>
      </c>
      <c r="DN2595" s="5" t="s">
        <v>238</v>
      </c>
      <c r="DO2595" s="5" t="s">
        <v>238</v>
      </c>
      <c r="DP2595" s="5" t="s">
        <v>238</v>
      </c>
      <c r="DQ2595" s="5" t="s">
        <v>238</v>
      </c>
      <c r="DT2595" s="5" t="s">
        <v>275</v>
      </c>
      <c r="DU2595" s="5" t="s">
        <v>1924</v>
      </c>
      <c r="HM2595" s="5" t="s">
        <v>264</v>
      </c>
    </row>
    <row r="2596" spans="1:221" x14ac:dyDescent="0.4">
      <c r="A2596" s="5">
        <v>4300</v>
      </c>
      <c r="B2596" s="5">
        <v>1</v>
      </c>
      <c r="C2596" s="5">
        <v>1</v>
      </c>
      <c r="D2596" s="5" t="s">
        <v>269</v>
      </c>
      <c r="E2596" s="5" t="s">
        <v>271</v>
      </c>
      <c r="F2596" s="5" t="s">
        <v>248</v>
      </c>
      <c r="G2596" s="5" t="s">
        <v>266</v>
      </c>
      <c r="H2596" s="6" t="s">
        <v>1921</v>
      </c>
      <c r="I2596" s="7">
        <f>2112</f>
        <v>2112</v>
      </c>
      <c r="J2596" s="5" t="s">
        <v>262</v>
      </c>
      <c r="K2596" s="8">
        <f>1</f>
        <v>1</v>
      </c>
      <c r="L2596" s="6" t="s">
        <v>242</v>
      </c>
      <c r="M2596" s="5" t="s">
        <v>267</v>
      </c>
      <c r="N2596" s="5" t="s">
        <v>265</v>
      </c>
      <c r="O2596" s="5" t="s">
        <v>238</v>
      </c>
      <c r="P2596" s="5" t="s">
        <v>238</v>
      </c>
      <c r="Q2596" s="5" t="s">
        <v>268</v>
      </c>
      <c r="R2596" s="5" t="s">
        <v>270</v>
      </c>
      <c r="S2596" s="5" t="s">
        <v>238</v>
      </c>
      <c r="V2596" s="5" t="s">
        <v>238</v>
      </c>
      <c r="X2596" s="6" t="s">
        <v>238</v>
      </c>
      <c r="AA2596" s="6" t="s">
        <v>243</v>
      </c>
      <c r="AB2596" s="5" t="s">
        <v>238</v>
      </c>
      <c r="AC2596" s="5" t="s">
        <v>244</v>
      </c>
      <c r="AD2596" s="5" t="s">
        <v>245</v>
      </c>
      <c r="AT2596" s="5" t="s">
        <v>246</v>
      </c>
      <c r="AU2596" s="5" t="s">
        <v>238</v>
      </c>
      <c r="AV2596" s="5" t="s">
        <v>247</v>
      </c>
      <c r="AW2596" s="5" t="s">
        <v>238</v>
      </c>
      <c r="AX2596" s="5" t="s">
        <v>249</v>
      </c>
      <c r="AY2596" s="5" t="s">
        <v>238</v>
      </c>
      <c r="BA2596" s="5" t="s">
        <v>238</v>
      </c>
      <c r="BC2596" s="5" t="s">
        <v>250</v>
      </c>
      <c r="BD2596" s="6" t="s">
        <v>243</v>
      </c>
      <c r="BE2596" s="5" t="s">
        <v>251</v>
      </c>
      <c r="BF2596" s="5" t="s">
        <v>252</v>
      </c>
      <c r="BG2596" s="5" t="s">
        <v>238</v>
      </c>
      <c r="BH2596" s="7">
        <f>0</f>
        <v>0</v>
      </c>
      <c r="BI2596" s="8">
        <f>0</f>
        <v>0</v>
      </c>
      <c r="BJ2596" s="5" t="s">
        <v>253</v>
      </c>
      <c r="BK2596" s="5" t="s">
        <v>254</v>
      </c>
      <c r="BY2596" s="5" t="s">
        <v>238</v>
      </c>
      <c r="BZ2596" s="5" t="s">
        <v>238</v>
      </c>
      <c r="CD2596" s="5" t="s">
        <v>273</v>
      </c>
      <c r="CE2596" s="5" t="s">
        <v>256</v>
      </c>
      <c r="CF2596" s="5" t="s">
        <v>238</v>
      </c>
      <c r="CI2596" s="6" t="s">
        <v>257</v>
      </c>
      <c r="CJ2596" s="5" t="s">
        <v>238</v>
      </c>
      <c r="CK2596" s="5" t="s">
        <v>258</v>
      </c>
      <c r="CL2596" s="5" t="s">
        <v>238</v>
      </c>
      <c r="CM2596" s="5" t="s">
        <v>238</v>
      </c>
      <c r="CN2596" s="5">
        <v>0</v>
      </c>
      <c r="CO2596" s="5" t="s">
        <v>259</v>
      </c>
      <c r="CP2596" s="5" t="s">
        <v>260</v>
      </c>
      <c r="CQ2596" s="5" t="s">
        <v>260</v>
      </c>
      <c r="CR2596" s="5" t="s">
        <v>261</v>
      </c>
      <c r="CU2596" s="8">
        <f>1</f>
        <v>1</v>
      </c>
      <c r="CV2596" s="8">
        <f>0</f>
        <v>0</v>
      </c>
      <c r="CX2596" s="8">
        <f>0</f>
        <v>0</v>
      </c>
      <c r="CY2596" s="8">
        <f>1</f>
        <v>1</v>
      </c>
      <c r="DA2596" s="5" t="s">
        <v>274</v>
      </c>
      <c r="DB2596" s="5" t="s">
        <v>238</v>
      </c>
      <c r="DD2596" s="5" t="s">
        <v>274</v>
      </c>
      <c r="DE2596" s="8">
        <f>2112</f>
        <v>2112</v>
      </c>
      <c r="DG2596" s="5" t="s">
        <v>238</v>
      </c>
      <c r="DH2596" s="5" t="s">
        <v>238</v>
      </c>
      <c r="DI2596" s="5" t="s">
        <v>238</v>
      </c>
      <c r="DJ2596" s="5" t="s">
        <v>238</v>
      </c>
      <c r="DN2596" s="5" t="s">
        <v>238</v>
      </c>
      <c r="DO2596" s="5" t="s">
        <v>238</v>
      </c>
      <c r="DP2596" s="5" t="s">
        <v>238</v>
      </c>
      <c r="DQ2596" s="5" t="s">
        <v>238</v>
      </c>
      <c r="DT2596" s="5" t="s">
        <v>275</v>
      </c>
      <c r="DU2596" s="5" t="s">
        <v>1922</v>
      </c>
      <c r="HM2596" s="5" t="s">
        <v>264</v>
      </c>
    </row>
    <row r="2597" spans="1:221" x14ac:dyDescent="0.4">
      <c r="A2597" s="5">
        <v>4301</v>
      </c>
      <c r="B2597" s="5">
        <v>1</v>
      </c>
      <c r="C2597" s="5">
        <v>1</v>
      </c>
      <c r="D2597" s="5" t="s">
        <v>269</v>
      </c>
      <c r="E2597" s="5" t="s">
        <v>271</v>
      </c>
      <c r="F2597" s="5" t="s">
        <v>248</v>
      </c>
      <c r="G2597" s="5" t="s">
        <v>266</v>
      </c>
      <c r="H2597" s="6" t="s">
        <v>1917</v>
      </c>
      <c r="I2597" s="7">
        <f>1690</f>
        <v>1690</v>
      </c>
      <c r="J2597" s="5" t="s">
        <v>262</v>
      </c>
      <c r="K2597" s="8">
        <f>1</f>
        <v>1</v>
      </c>
      <c r="L2597" s="6" t="s">
        <v>242</v>
      </c>
      <c r="M2597" s="5" t="s">
        <v>267</v>
      </c>
      <c r="N2597" s="5" t="s">
        <v>265</v>
      </c>
      <c r="O2597" s="5" t="s">
        <v>238</v>
      </c>
      <c r="P2597" s="5" t="s">
        <v>238</v>
      </c>
      <c r="Q2597" s="5" t="s">
        <v>268</v>
      </c>
      <c r="R2597" s="5" t="s">
        <v>270</v>
      </c>
      <c r="S2597" s="5" t="s">
        <v>238</v>
      </c>
      <c r="V2597" s="5" t="s">
        <v>238</v>
      </c>
      <c r="X2597" s="6" t="s">
        <v>238</v>
      </c>
      <c r="AA2597" s="6" t="s">
        <v>243</v>
      </c>
      <c r="AB2597" s="5" t="s">
        <v>238</v>
      </c>
      <c r="AC2597" s="5" t="s">
        <v>244</v>
      </c>
      <c r="AD2597" s="5" t="s">
        <v>245</v>
      </c>
      <c r="AT2597" s="5" t="s">
        <v>246</v>
      </c>
      <c r="AU2597" s="5" t="s">
        <v>238</v>
      </c>
      <c r="AV2597" s="5" t="s">
        <v>247</v>
      </c>
      <c r="AW2597" s="5" t="s">
        <v>238</v>
      </c>
      <c r="AX2597" s="5" t="s">
        <v>249</v>
      </c>
      <c r="AY2597" s="5" t="s">
        <v>238</v>
      </c>
      <c r="BA2597" s="5" t="s">
        <v>238</v>
      </c>
      <c r="BC2597" s="5" t="s">
        <v>250</v>
      </c>
      <c r="BD2597" s="6" t="s">
        <v>243</v>
      </c>
      <c r="BE2597" s="5" t="s">
        <v>251</v>
      </c>
      <c r="BF2597" s="5" t="s">
        <v>252</v>
      </c>
      <c r="BG2597" s="5" t="s">
        <v>238</v>
      </c>
      <c r="BH2597" s="7">
        <f>0</f>
        <v>0</v>
      </c>
      <c r="BI2597" s="8">
        <f>0</f>
        <v>0</v>
      </c>
      <c r="BJ2597" s="5" t="s">
        <v>253</v>
      </c>
      <c r="BK2597" s="5" t="s">
        <v>254</v>
      </c>
      <c r="BY2597" s="5" t="s">
        <v>238</v>
      </c>
      <c r="BZ2597" s="5" t="s">
        <v>238</v>
      </c>
      <c r="CD2597" s="5" t="s">
        <v>273</v>
      </c>
      <c r="CE2597" s="5" t="s">
        <v>256</v>
      </c>
      <c r="CF2597" s="5" t="s">
        <v>238</v>
      </c>
      <c r="CI2597" s="6" t="s">
        <v>257</v>
      </c>
      <c r="CJ2597" s="5" t="s">
        <v>238</v>
      </c>
      <c r="CK2597" s="5" t="s">
        <v>258</v>
      </c>
      <c r="CL2597" s="5" t="s">
        <v>238</v>
      </c>
      <c r="CM2597" s="5" t="s">
        <v>238</v>
      </c>
      <c r="CN2597" s="5">
        <v>0</v>
      </c>
      <c r="CO2597" s="5" t="s">
        <v>259</v>
      </c>
      <c r="CP2597" s="5" t="s">
        <v>260</v>
      </c>
      <c r="CQ2597" s="5" t="s">
        <v>260</v>
      </c>
      <c r="CR2597" s="5" t="s">
        <v>261</v>
      </c>
      <c r="CU2597" s="8">
        <f>1</f>
        <v>1</v>
      </c>
      <c r="CV2597" s="8">
        <f>0</f>
        <v>0</v>
      </c>
      <c r="CX2597" s="8">
        <f>0</f>
        <v>0</v>
      </c>
      <c r="CY2597" s="8">
        <f>1</f>
        <v>1</v>
      </c>
      <c r="DA2597" s="5" t="s">
        <v>274</v>
      </c>
      <c r="DB2597" s="5" t="s">
        <v>238</v>
      </c>
      <c r="DD2597" s="5" t="s">
        <v>274</v>
      </c>
      <c r="DE2597" s="8">
        <f>1690</f>
        <v>1690</v>
      </c>
      <c r="DG2597" s="5" t="s">
        <v>238</v>
      </c>
      <c r="DH2597" s="5" t="s">
        <v>238</v>
      </c>
      <c r="DI2597" s="5" t="s">
        <v>238</v>
      </c>
      <c r="DJ2597" s="5" t="s">
        <v>238</v>
      </c>
      <c r="DN2597" s="5" t="s">
        <v>238</v>
      </c>
      <c r="DO2597" s="5" t="s">
        <v>238</v>
      </c>
      <c r="DP2597" s="5" t="s">
        <v>238</v>
      </c>
      <c r="DQ2597" s="5" t="s">
        <v>238</v>
      </c>
      <c r="DT2597" s="5" t="s">
        <v>275</v>
      </c>
      <c r="DU2597" s="5" t="s">
        <v>1918</v>
      </c>
      <c r="HM2597" s="5" t="s">
        <v>264</v>
      </c>
    </row>
    <row r="2598" spans="1:221" x14ac:dyDescent="0.4">
      <c r="A2598" s="5">
        <v>4302</v>
      </c>
      <c r="B2598" s="5">
        <v>1</v>
      </c>
      <c r="C2598" s="5">
        <v>1</v>
      </c>
      <c r="D2598" s="5" t="s">
        <v>269</v>
      </c>
      <c r="E2598" s="5" t="s">
        <v>271</v>
      </c>
      <c r="F2598" s="5" t="s">
        <v>248</v>
      </c>
      <c r="G2598" s="5" t="s">
        <v>266</v>
      </c>
      <c r="H2598" s="6" t="s">
        <v>1915</v>
      </c>
      <c r="I2598" s="7">
        <f>2643</f>
        <v>2643</v>
      </c>
      <c r="J2598" s="5" t="s">
        <v>262</v>
      </c>
      <c r="K2598" s="8">
        <f>1</f>
        <v>1</v>
      </c>
      <c r="L2598" s="6" t="s">
        <v>242</v>
      </c>
      <c r="M2598" s="5" t="s">
        <v>267</v>
      </c>
      <c r="N2598" s="5" t="s">
        <v>265</v>
      </c>
      <c r="O2598" s="5" t="s">
        <v>238</v>
      </c>
      <c r="P2598" s="5" t="s">
        <v>238</v>
      </c>
      <c r="Q2598" s="5" t="s">
        <v>268</v>
      </c>
      <c r="R2598" s="5" t="s">
        <v>270</v>
      </c>
      <c r="S2598" s="5" t="s">
        <v>238</v>
      </c>
      <c r="V2598" s="5" t="s">
        <v>238</v>
      </c>
      <c r="X2598" s="6" t="s">
        <v>238</v>
      </c>
      <c r="AA2598" s="6" t="s">
        <v>243</v>
      </c>
      <c r="AB2598" s="5" t="s">
        <v>238</v>
      </c>
      <c r="AC2598" s="5" t="s">
        <v>244</v>
      </c>
      <c r="AD2598" s="5" t="s">
        <v>245</v>
      </c>
      <c r="AT2598" s="5" t="s">
        <v>246</v>
      </c>
      <c r="AU2598" s="5" t="s">
        <v>238</v>
      </c>
      <c r="AV2598" s="5" t="s">
        <v>247</v>
      </c>
      <c r="AW2598" s="5" t="s">
        <v>238</v>
      </c>
      <c r="AX2598" s="5" t="s">
        <v>249</v>
      </c>
      <c r="AY2598" s="5" t="s">
        <v>238</v>
      </c>
      <c r="BA2598" s="5" t="s">
        <v>238</v>
      </c>
      <c r="BC2598" s="5" t="s">
        <v>250</v>
      </c>
      <c r="BD2598" s="6" t="s">
        <v>243</v>
      </c>
      <c r="BE2598" s="5" t="s">
        <v>251</v>
      </c>
      <c r="BF2598" s="5" t="s">
        <v>252</v>
      </c>
      <c r="BG2598" s="5" t="s">
        <v>238</v>
      </c>
      <c r="BH2598" s="7">
        <f>0</f>
        <v>0</v>
      </c>
      <c r="BI2598" s="8">
        <f>0</f>
        <v>0</v>
      </c>
      <c r="BJ2598" s="5" t="s">
        <v>253</v>
      </c>
      <c r="BK2598" s="5" t="s">
        <v>254</v>
      </c>
      <c r="BY2598" s="5" t="s">
        <v>238</v>
      </c>
      <c r="BZ2598" s="5" t="s">
        <v>238</v>
      </c>
      <c r="CD2598" s="5" t="s">
        <v>273</v>
      </c>
      <c r="CE2598" s="5" t="s">
        <v>256</v>
      </c>
      <c r="CF2598" s="5" t="s">
        <v>238</v>
      </c>
      <c r="CI2598" s="6" t="s">
        <v>257</v>
      </c>
      <c r="CJ2598" s="5" t="s">
        <v>238</v>
      </c>
      <c r="CK2598" s="5" t="s">
        <v>258</v>
      </c>
      <c r="CL2598" s="5" t="s">
        <v>238</v>
      </c>
      <c r="CM2598" s="5" t="s">
        <v>238</v>
      </c>
      <c r="CN2598" s="5">
        <v>0</v>
      </c>
      <c r="CO2598" s="5" t="s">
        <v>259</v>
      </c>
      <c r="CP2598" s="5" t="s">
        <v>260</v>
      </c>
      <c r="CQ2598" s="5" t="s">
        <v>260</v>
      </c>
      <c r="CR2598" s="5" t="s">
        <v>261</v>
      </c>
      <c r="CU2598" s="8">
        <f>1</f>
        <v>1</v>
      </c>
      <c r="CV2598" s="8">
        <f>0</f>
        <v>0</v>
      </c>
      <c r="CX2598" s="8">
        <f>0</f>
        <v>0</v>
      </c>
      <c r="CY2598" s="8">
        <f>1</f>
        <v>1</v>
      </c>
      <c r="DA2598" s="5" t="s">
        <v>274</v>
      </c>
      <c r="DB2598" s="5" t="s">
        <v>238</v>
      </c>
      <c r="DD2598" s="5" t="s">
        <v>274</v>
      </c>
      <c r="DE2598" s="8">
        <f>2643</f>
        <v>2643</v>
      </c>
      <c r="DG2598" s="5" t="s">
        <v>238</v>
      </c>
      <c r="DH2598" s="5" t="s">
        <v>238</v>
      </c>
      <c r="DI2598" s="5" t="s">
        <v>238</v>
      </c>
      <c r="DJ2598" s="5" t="s">
        <v>238</v>
      </c>
      <c r="DN2598" s="5" t="s">
        <v>238</v>
      </c>
      <c r="DO2598" s="5" t="s">
        <v>238</v>
      </c>
      <c r="DP2598" s="5" t="s">
        <v>238</v>
      </c>
      <c r="DQ2598" s="5" t="s">
        <v>238</v>
      </c>
      <c r="DT2598" s="5" t="s">
        <v>275</v>
      </c>
      <c r="DU2598" s="5" t="s">
        <v>1916</v>
      </c>
      <c r="HM2598" s="5" t="s">
        <v>264</v>
      </c>
    </row>
    <row r="2599" spans="1:221" x14ac:dyDescent="0.4">
      <c r="A2599" s="5">
        <v>4303</v>
      </c>
      <c r="B2599" s="5">
        <v>1</v>
      </c>
      <c r="C2599" s="5">
        <v>1</v>
      </c>
      <c r="D2599" s="5" t="s">
        <v>269</v>
      </c>
      <c r="E2599" s="5" t="s">
        <v>271</v>
      </c>
      <c r="F2599" s="5" t="s">
        <v>248</v>
      </c>
      <c r="G2599" s="5" t="s">
        <v>266</v>
      </c>
      <c r="H2599" s="6" t="s">
        <v>1909</v>
      </c>
      <c r="I2599" s="7">
        <f>30</f>
        <v>30</v>
      </c>
      <c r="J2599" s="5" t="s">
        <v>262</v>
      </c>
      <c r="K2599" s="8">
        <f>1</f>
        <v>1</v>
      </c>
      <c r="L2599" s="6" t="s">
        <v>242</v>
      </c>
      <c r="M2599" s="5" t="s">
        <v>267</v>
      </c>
      <c r="N2599" s="5" t="s">
        <v>265</v>
      </c>
      <c r="O2599" s="5" t="s">
        <v>238</v>
      </c>
      <c r="P2599" s="5" t="s">
        <v>238</v>
      </c>
      <c r="Q2599" s="5" t="s">
        <v>268</v>
      </c>
      <c r="R2599" s="5" t="s">
        <v>270</v>
      </c>
      <c r="S2599" s="5" t="s">
        <v>238</v>
      </c>
      <c r="V2599" s="5" t="s">
        <v>238</v>
      </c>
      <c r="X2599" s="6" t="s">
        <v>238</v>
      </c>
      <c r="AA2599" s="6" t="s">
        <v>243</v>
      </c>
      <c r="AB2599" s="5" t="s">
        <v>238</v>
      </c>
      <c r="AC2599" s="5" t="s">
        <v>244</v>
      </c>
      <c r="AD2599" s="5" t="s">
        <v>245</v>
      </c>
      <c r="AT2599" s="5" t="s">
        <v>246</v>
      </c>
      <c r="AU2599" s="5" t="s">
        <v>238</v>
      </c>
      <c r="AV2599" s="5" t="s">
        <v>247</v>
      </c>
      <c r="AW2599" s="5" t="s">
        <v>238</v>
      </c>
      <c r="AX2599" s="5" t="s">
        <v>249</v>
      </c>
      <c r="AY2599" s="5" t="s">
        <v>238</v>
      </c>
      <c r="BA2599" s="5" t="s">
        <v>238</v>
      </c>
      <c r="BC2599" s="5" t="s">
        <v>250</v>
      </c>
      <c r="BD2599" s="6" t="s">
        <v>243</v>
      </c>
      <c r="BE2599" s="5" t="s">
        <v>251</v>
      </c>
      <c r="BF2599" s="5" t="s">
        <v>252</v>
      </c>
      <c r="BG2599" s="5" t="s">
        <v>238</v>
      </c>
      <c r="BH2599" s="7">
        <f>0</f>
        <v>0</v>
      </c>
      <c r="BI2599" s="8">
        <f>0</f>
        <v>0</v>
      </c>
      <c r="BJ2599" s="5" t="s">
        <v>253</v>
      </c>
      <c r="BK2599" s="5" t="s">
        <v>254</v>
      </c>
      <c r="BY2599" s="5" t="s">
        <v>238</v>
      </c>
      <c r="BZ2599" s="5" t="s">
        <v>238</v>
      </c>
      <c r="CD2599" s="5" t="s">
        <v>273</v>
      </c>
      <c r="CE2599" s="5" t="s">
        <v>256</v>
      </c>
      <c r="CF2599" s="5" t="s">
        <v>238</v>
      </c>
      <c r="CI2599" s="6" t="s">
        <v>257</v>
      </c>
      <c r="CJ2599" s="5" t="s">
        <v>238</v>
      </c>
      <c r="CK2599" s="5" t="s">
        <v>258</v>
      </c>
      <c r="CL2599" s="5" t="s">
        <v>238</v>
      </c>
      <c r="CM2599" s="5" t="s">
        <v>238</v>
      </c>
      <c r="CN2599" s="5">
        <v>0</v>
      </c>
      <c r="CO2599" s="5" t="s">
        <v>259</v>
      </c>
      <c r="CP2599" s="5" t="s">
        <v>260</v>
      </c>
      <c r="CQ2599" s="5" t="s">
        <v>260</v>
      </c>
      <c r="CR2599" s="5" t="s">
        <v>261</v>
      </c>
      <c r="CU2599" s="8">
        <f>1</f>
        <v>1</v>
      </c>
      <c r="CV2599" s="8">
        <f>0</f>
        <v>0</v>
      </c>
      <c r="CX2599" s="8">
        <f>0</f>
        <v>0</v>
      </c>
      <c r="CY2599" s="8">
        <f>1</f>
        <v>1</v>
      </c>
      <c r="DA2599" s="5" t="s">
        <v>274</v>
      </c>
      <c r="DB2599" s="5" t="s">
        <v>238</v>
      </c>
      <c r="DD2599" s="5" t="s">
        <v>274</v>
      </c>
      <c r="DE2599" s="8">
        <f>30</f>
        <v>30</v>
      </c>
      <c r="DG2599" s="5" t="s">
        <v>238</v>
      </c>
      <c r="DH2599" s="5" t="s">
        <v>238</v>
      </c>
      <c r="DI2599" s="5" t="s">
        <v>238</v>
      </c>
      <c r="DJ2599" s="5" t="s">
        <v>238</v>
      </c>
      <c r="DN2599" s="5" t="s">
        <v>238</v>
      </c>
      <c r="DO2599" s="5" t="s">
        <v>238</v>
      </c>
      <c r="DP2599" s="5" t="s">
        <v>238</v>
      </c>
      <c r="DQ2599" s="5" t="s">
        <v>238</v>
      </c>
      <c r="DT2599" s="5" t="s">
        <v>275</v>
      </c>
      <c r="DU2599" s="5" t="s">
        <v>1910</v>
      </c>
      <c r="HM2599" s="5" t="s">
        <v>264</v>
      </c>
    </row>
    <row r="2600" spans="1:221" x14ac:dyDescent="0.4">
      <c r="A2600" s="5">
        <v>4304</v>
      </c>
      <c r="B2600" s="5">
        <v>1</v>
      </c>
      <c r="C2600" s="5">
        <v>1</v>
      </c>
      <c r="D2600" s="5" t="s">
        <v>269</v>
      </c>
      <c r="E2600" s="5" t="s">
        <v>271</v>
      </c>
      <c r="F2600" s="5" t="s">
        <v>248</v>
      </c>
      <c r="G2600" s="5" t="s">
        <v>266</v>
      </c>
      <c r="H2600" s="6" t="s">
        <v>1907</v>
      </c>
      <c r="I2600" s="7">
        <f>690</f>
        <v>690</v>
      </c>
      <c r="J2600" s="5" t="s">
        <v>262</v>
      </c>
      <c r="K2600" s="8">
        <f>1</f>
        <v>1</v>
      </c>
      <c r="L2600" s="6" t="s">
        <v>242</v>
      </c>
      <c r="M2600" s="5" t="s">
        <v>267</v>
      </c>
      <c r="N2600" s="5" t="s">
        <v>265</v>
      </c>
      <c r="O2600" s="5" t="s">
        <v>238</v>
      </c>
      <c r="P2600" s="5" t="s">
        <v>238</v>
      </c>
      <c r="Q2600" s="5" t="s">
        <v>268</v>
      </c>
      <c r="R2600" s="5" t="s">
        <v>270</v>
      </c>
      <c r="S2600" s="5" t="s">
        <v>238</v>
      </c>
      <c r="V2600" s="5" t="s">
        <v>238</v>
      </c>
      <c r="X2600" s="6" t="s">
        <v>238</v>
      </c>
      <c r="AA2600" s="6" t="s">
        <v>243</v>
      </c>
      <c r="AB2600" s="5" t="s">
        <v>238</v>
      </c>
      <c r="AC2600" s="5" t="s">
        <v>244</v>
      </c>
      <c r="AD2600" s="5" t="s">
        <v>245</v>
      </c>
      <c r="AT2600" s="5" t="s">
        <v>246</v>
      </c>
      <c r="AU2600" s="5" t="s">
        <v>238</v>
      </c>
      <c r="AV2600" s="5" t="s">
        <v>247</v>
      </c>
      <c r="AW2600" s="5" t="s">
        <v>238</v>
      </c>
      <c r="AX2600" s="5" t="s">
        <v>249</v>
      </c>
      <c r="AY2600" s="5" t="s">
        <v>238</v>
      </c>
      <c r="BA2600" s="5" t="s">
        <v>238</v>
      </c>
      <c r="BC2600" s="5" t="s">
        <v>250</v>
      </c>
      <c r="BD2600" s="6" t="s">
        <v>243</v>
      </c>
      <c r="BE2600" s="5" t="s">
        <v>251</v>
      </c>
      <c r="BF2600" s="5" t="s">
        <v>252</v>
      </c>
      <c r="BG2600" s="5" t="s">
        <v>238</v>
      </c>
      <c r="BH2600" s="7">
        <f>0</f>
        <v>0</v>
      </c>
      <c r="BI2600" s="8">
        <f>0</f>
        <v>0</v>
      </c>
      <c r="BJ2600" s="5" t="s">
        <v>253</v>
      </c>
      <c r="BK2600" s="5" t="s">
        <v>254</v>
      </c>
      <c r="BY2600" s="5" t="s">
        <v>238</v>
      </c>
      <c r="BZ2600" s="5" t="s">
        <v>238</v>
      </c>
      <c r="CD2600" s="5" t="s">
        <v>273</v>
      </c>
      <c r="CE2600" s="5" t="s">
        <v>256</v>
      </c>
      <c r="CF2600" s="5" t="s">
        <v>238</v>
      </c>
      <c r="CI2600" s="6" t="s">
        <v>257</v>
      </c>
      <c r="CJ2600" s="5" t="s">
        <v>238</v>
      </c>
      <c r="CK2600" s="5" t="s">
        <v>258</v>
      </c>
      <c r="CL2600" s="5" t="s">
        <v>238</v>
      </c>
      <c r="CM2600" s="5" t="s">
        <v>238</v>
      </c>
      <c r="CN2600" s="5">
        <v>0</v>
      </c>
      <c r="CO2600" s="5" t="s">
        <v>259</v>
      </c>
      <c r="CP2600" s="5" t="s">
        <v>260</v>
      </c>
      <c r="CQ2600" s="5" t="s">
        <v>260</v>
      </c>
      <c r="CR2600" s="5" t="s">
        <v>261</v>
      </c>
      <c r="CU2600" s="8">
        <f>1</f>
        <v>1</v>
      </c>
      <c r="CV2600" s="8">
        <f>0</f>
        <v>0</v>
      </c>
      <c r="CX2600" s="8">
        <f>0</f>
        <v>0</v>
      </c>
      <c r="CY2600" s="8">
        <f>1</f>
        <v>1</v>
      </c>
      <c r="DA2600" s="5" t="s">
        <v>274</v>
      </c>
      <c r="DB2600" s="5" t="s">
        <v>238</v>
      </c>
      <c r="DD2600" s="5" t="s">
        <v>274</v>
      </c>
      <c r="DE2600" s="8">
        <f>690</f>
        <v>690</v>
      </c>
      <c r="DG2600" s="5" t="s">
        <v>238</v>
      </c>
      <c r="DH2600" s="5" t="s">
        <v>238</v>
      </c>
      <c r="DI2600" s="5" t="s">
        <v>238</v>
      </c>
      <c r="DJ2600" s="5" t="s">
        <v>238</v>
      </c>
      <c r="DN2600" s="5" t="s">
        <v>238</v>
      </c>
      <c r="DO2600" s="5" t="s">
        <v>238</v>
      </c>
      <c r="DP2600" s="5" t="s">
        <v>238</v>
      </c>
      <c r="DQ2600" s="5" t="s">
        <v>238</v>
      </c>
      <c r="DT2600" s="5" t="s">
        <v>275</v>
      </c>
      <c r="DU2600" s="5" t="s">
        <v>1908</v>
      </c>
      <c r="HM2600" s="5" t="s">
        <v>264</v>
      </c>
    </row>
    <row r="2601" spans="1:221" x14ac:dyDescent="0.4">
      <c r="A2601" s="5">
        <v>4305</v>
      </c>
      <c r="B2601" s="5">
        <v>1</v>
      </c>
      <c r="C2601" s="5">
        <v>1</v>
      </c>
      <c r="D2601" s="5" t="s">
        <v>269</v>
      </c>
      <c r="E2601" s="5" t="s">
        <v>271</v>
      </c>
      <c r="F2601" s="5" t="s">
        <v>248</v>
      </c>
      <c r="G2601" s="5" t="s">
        <v>266</v>
      </c>
      <c r="H2601" s="6" t="s">
        <v>1899</v>
      </c>
      <c r="I2601" s="7">
        <f>943</f>
        <v>943</v>
      </c>
      <c r="J2601" s="5" t="s">
        <v>262</v>
      </c>
      <c r="K2601" s="8">
        <f>1</f>
        <v>1</v>
      </c>
      <c r="L2601" s="6" t="s">
        <v>242</v>
      </c>
      <c r="M2601" s="5" t="s">
        <v>267</v>
      </c>
      <c r="N2601" s="5" t="s">
        <v>265</v>
      </c>
      <c r="O2601" s="5" t="s">
        <v>238</v>
      </c>
      <c r="P2601" s="5" t="s">
        <v>238</v>
      </c>
      <c r="Q2601" s="5" t="s">
        <v>268</v>
      </c>
      <c r="R2601" s="5" t="s">
        <v>270</v>
      </c>
      <c r="S2601" s="5" t="s">
        <v>238</v>
      </c>
      <c r="V2601" s="5" t="s">
        <v>238</v>
      </c>
      <c r="X2601" s="6" t="s">
        <v>238</v>
      </c>
      <c r="AA2601" s="6" t="s">
        <v>243</v>
      </c>
      <c r="AB2601" s="5" t="s">
        <v>238</v>
      </c>
      <c r="AC2601" s="5" t="s">
        <v>244</v>
      </c>
      <c r="AD2601" s="5" t="s">
        <v>245</v>
      </c>
      <c r="AT2601" s="5" t="s">
        <v>246</v>
      </c>
      <c r="AU2601" s="5" t="s">
        <v>238</v>
      </c>
      <c r="AV2601" s="5" t="s">
        <v>247</v>
      </c>
      <c r="AW2601" s="5" t="s">
        <v>238</v>
      </c>
      <c r="AX2601" s="5" t="s">
        <v>249</v>
      </c>
      <c r="AY2601" s="5" t="s">
        <v>238</v>
      </c>
      <c r="BA2601" s="5" t="s">
        <v>238</v>
      </c>
      <c r="BC2601" s="5" t="s">
        <v>250</v>
      </c>
      <c r="BD2601" s="6" t="s">
        <v>243</v>
      </c>
      <c r="BE2601" s="5" t="s">
        <v>251</v>
      </c>
      <c r="BF2601" s="5" t="s">
        <v>252</v>
      </c>
      <c r="BG2601" s="5" t="s">
        <v>238</v>
      </c>
      <c r="BH2601" s="7">
        <f>0</f>
        <v>0</v>
      </c>
      <c r="BI2601" s="8">
        <f>0</f>
        <v>0</v>
      </c>
      <c r="BJ2601" s="5" t="s">
        <v>253</v>
      </c>
      <c r="BK2601" s="5" t="s">
        <v>254</v>
      </c>
      <c r="BY2601" s="5" t="s">
        <v>238</v>
      </c>
      <c r="BZ2601" s="5" t="s">
        <v>238</v>
      </c>
      <c r="CD2601" s="5" t="s">
        <v>273</v>
      </c>
      <c r="CE2601" s="5" t="s">
        <v>256</v>
      </c>
      <c r="CF2601" s="5" t="s">
        <v>238</v>
      </c>
      <c r="CI2601" s="6" t="s">
        <v>257</v>
      </c>
      <c r="CJ2601" s="5" t="s">
        <v>238</v>
      </c>
      <c r="CK2601" s="5" t="s">
        <v>258</v>
      </c>
      <c r="CL2601" s="5" t="s">
        <v>238</v>
      </c>
      <c r="CM2601" s="5" t="s">
        <v>238</v>
      </c>
      <c r="CN2601" s="5">
        <v>0</v>
      </c>
      <c r="CO2601" s="5" t="s">
        <v>259</v>
      </c>
      <c r="CP2601" s="5" t="s">
        <v>260</v>
      </c>
      <c r="CQ2601" s="5" t="s">
        <v>260</v>
      </c>
      <c r="CR2601" s="5" t="s">
        <v>261</v>
      </c>
      <c r="CU2601" s="8">
        <f>1</f>
        <v>1</v>
      </c>
      <c r="CV2601" s="8">
        <f>0</f>
        <v>0</v>
      </c>
      <c r="CX2601" s="8">
        <f>0</f>
        <v>0</v>
      </c>
      <c r="CY2601" s="8">
        <f>1</f>
        <v>1</v>
      </c>
      <c r="DA2601" s="5" t="s">
        <v>274</v>
      </c>
      <c r="DB2601" s="5" t="s">
        <v>238</v>
      </c>
      <c r="DD2601" s="5" t="s">
        <v>274</v>
      </c>
      <c r="DE2601" s="8">
        <f>943</f>
        <v>943</v>
      </c>
      <c r="DG2601" s="5" t="s">
        <v>238</v>
      </c>
      <c r="DH2601" s="5" t="s">
        <v>238</v>
      </c>
      <c r="DI2601" s="5" t="s">
        <v>238</v>
      </c>
      <c r="DJ2601" s="5" t="s">
        <v>238</v>
      </c>
      <c r="DN2601" s="5" t="s">
        <v>238</v>
      </c>
      <c r="DO2601" s="5" t="s">
        <v>238</v>
      </c>
      <c r="DP2601" s="5" t="s">
        <v>238</v>
      </c>
      <c r="DQ2601" s="5" t="s">
        <v>238</v>
      </c>
      <c r="DT2601" s="5" t="s">
        <v>275</v>
      </c>
      <c r="DU2601" s="5" t="s">
        <v>1900</v>
      </c>
      <c r="HM2601" s="5" t="s">
        <v>264</v>
      </c>
    </row>
    <row r="2602" spans="1:221" x14ac:dyDescent="0.4">
      <c r="A2602" s="5">
        <v>4306</v>
      </c>
      <c r="B2602" s="5">
        <v>1</v>
      </c>
      <c r="C2602" s="5">
        <v>1</v>
      </c>
      <c r="D2602" s="5" t="s">
        <v>269</v>
      </c>
      <c r="E2602" s="5" t="s">
        <v>271</v>
      </c>
      <c r="F2602" s="5" t="s">
        <v>248</v>
      </c>
      <c r="G2602" s="5" t="s">
        <v>266</v>
      </c>
      <c r="H2602" s="6" t="s">
        <v>1897</v>
      </c>
      <c r="I2602" s="7">
        <f>327</f>
        <v>327</v>
      </c>
      <c r="J2602" s="5" t="s">
        <v>262</v>
      </c>
      <c r="K2602" s="8">
        <f>1</f>
        <v>1</v>
      </c>
      <c r="L2602" s="6" t="s">
        <v>242</v>
      </c>
      <c r="M2602" s="5" t="s">
        <v>267</v>
      </c>
      <c r="N2602" s="5" t="s">
        <v>265</v>
      </c>
      <c r="O2602" s="5" t="s">
        <v>238</v>
      </c>
      <c r="P2602" s="5" t="s">
        <v>238</v>
      </c>
      <c r="Q2602" s="5" t="s">
        <v>268</v>
      </c>
      <c r="R2602" s="5" t="s">
        <v>270</v>
      </c>
      <c r="S2602" s="5" t="s">
        <v>238</v>
      </c>
      <c r="V2602" s="5" t="s">
        <v>238</v>
      </c>
      <c r="X2602" s="6" t="s">
        <v>238</v>
      </c>
      <c r="AA2602" s="6" t="s">
        <v>243</v>
      </c>
      <c r="AB2602" s="5" t="s">
        <v>238</v>
      </c>
      <c r="AC2602" s="5" t="s">
        <v>244</v>
      </c>
      <c r="AD2602" s="5" t="s">
        <v>245</v>
      </c>
      <c r="AT2602" s="5" t="s">
        <v>246</v>
      </c>
      <c r="AU2602" s="5" t="s">
        <v>238</v>
      </c>
      <c r="AV2602" s="5" t="s">
        <v>247</v>
      </c>
      <c r="AW2602" s="5" t="s">
        <v>238</v>
      </c>
      <c r="AX2602" s="5" t="s">
        <v>249</v>
      </c>
      <c r="AY2602" s="5" t="s">
        <v>238</v>
      </c>
      <c r="BA2602" s="5" t="s">
        <v>238</v>
      </c>
      <c r="BC2602" s="5" t="s">
        <v>250</v>
      </c>
      <c r="BD2602" s="6" t="s">
        <v>243</v>
      </c>
      <c r="BE2602" s="5" t="s">
        <v>251</v>
      </c>
      <c r="BF2602" s="5" t="s">
        <v>252</v>
      </c>
      <c r="BG2602" s="5" t="s">
        <v>238</v>
      </c>
      <c r="BH2602" s="7">
        <f>0</f>
        <v>0</v>
      </c>
      <c r="BI2602" s="8">
        <f>0</f>
        <v>0</v>
      </c>
      <c r="BJ2602" s="5" t="s">
        <v>253</v>
      </c>
      <c r="BK2602" s="5" t="s">
        <v>254</v>
      </c>
      <c r="BY2602" s="5" t="s">
        <v>238</v>
      </c>
      <c r="BZ2602" s="5" t="s">
        <v>238</v>
      </c>
      <c r="CD2602" s="5" t="s">
        <v>273</v>
      </c>
      <c r="CE2602" s="5" t="s">
        <v>256</v>
      </c>
      <c r="CF2602" s="5" t="s">
        <v>238</v>
      </c>
      <c r="CI2602" s="6" t="s">
        <v>257</v>
      </c>
      <c r="CJ2602" s="5" t="s">
        <v>238</v>
      </c>
      <c r="CK2602" s="5" t="s">
        <v>258</v>
      </c>
      <c r="CL2602" s="5" t="s">
        <v>238</v>
      </c>
      <c r="CM2602" s="5" t="s">
        <v>238</v>
      </c>
      <c r="CN2602" s="5">
        <v>0</v>
      </c>
      <c r="CO2602" s="5" t="s">
        <v>259</v>
      </c>
      <c r="CP2602" s="5" t="s">
        <v>260</v>
      </c>
      <c r="CQ2602" s="5" t="s">
        <v>260</v>
      </c>
      <c r="CR2602" s="5" t="s">
        <v>261</v>
      </c>
      <c r="CU2602" s="8">
        <f>1</f>
        <v>1</v>
      </c>
      <c r="CV2602" s="8">
        <f>0</f>
        <v>0</v>
      </c>
      <c r="CX2602" s="8">
        <f>0</f>
        <v>0</v>
      </c>
      <c r="CY2602" s="8">
        <f>1</f>
        <v>1</v>
      </c>
      <c r="DA2602" s="5" t="s">
        <v>274</v>
      </c>
      <c r="DB2602" s="5" t="s">
        <v>238</v>
      </c>
      <c r="DD2602" s="5" t="s">
        <v>274</v>
      </c>
      <c r="DE2602" s="8">
        <f>327</f>
        <v>327</v>
      </c>
      <c r="DG2602" s="5" t="s">
        <v>238</v>
      </c>
      <c r="DH2602" s="5" t="s">
        <v>238</v>
      </c>
      <c r="DI2602" s="5" t="s">
        <v>238</v>
      </c>
      <c r="DJ2602" s="5" t="s">
        <v>238</v>
      </c>
      <c r="DN2602" s="5" t="s">
        <v>238</v>
      </c>
      <c r="DO2602" s="5" t="s">
        <v>238</v>
      </c>
      <c r="DP2602" s="5" t="s">
        <v>238</v>
      </c>
      <c r="DQ2602" s="5" t="s">
        <v>238</v>
      </c>
      <c r="DT2602" s="5" t="s">
        <v>275</v>
      </c>
      <c r="DU2602" s="5" t="s">
        <v>1898</v>
      </c>
      <c r="HM2602" s="5" t="s">
        <v>264</v>
      </c>
    </row>
    <row r="2603" spans="1:221" x14ac:dyDescent="0.4">
      <c r="A2603" s="5">
        <v>4307</v>
      </c>
      <c r="B2603" s="5">
        <v>1</v>
      </c>
      <c r="C2603" s="5">
        <v>1</v>
      </c>
      <c r="D2603" s="5" t="s">
        <v>269</v>
      </c>
      <c r="E2603" s="5" t="s">
        <v>271</v>
      </c>
      <c r="F2603" s="5" t="s">
        <v>248</v>
      </c>
      <c r="G2603" s="5" t="s">
        <v>266</v>
      </c>
      <c r="H2603" s="6" t="s">
        <v>1891</v>
      </c>
      <c r="I2603" s="7">
        <f>359</f>
        <v>359</v>
      </c>
      <c r="J2603" s="5" t="s">
        <v>262</v>
      </c>
      <c r="K2603" s="8">
        <f>1</f>
        <v>1</v>
      </c>
      <c r="L2603" s="6" t="s">
        <v>242</v>
      </c>
      <c r="M2603" s="5" t="s">
        <v>267</v>
      </c>
      <c r="N2603" s="5" t="s">
        <v>265</v>
      </c>
      <c r="O2603" s="5" t="s">
        <v>238</v>
      </c>
      <c r="P2603" s="5" t="s">
        <v>238</v>
      </c>
      <c r="Q2603" s="5" t="s">
        <v>268</v>
      </c>
      <c r="R2603" s="5" t="s">
        <v>270</v>
      </c>
      <c r="S2603" s="5" t="s">
        <v>238</v>
      </c>
      <c r="V2603" s="5" t="s">
        <v>238</v>
      </c>
      <c r="X2603" s="6" t="s">
        <v>238</v>
      </c>
      <c r="AA2603" s="6" t="s">
        <v>243</v>
      </c>
      <c r="AB2603" s="5" t="s">
        <v>238</v>
      </c>
      <c r="AC2603" s="5" t="s">
        <v>244</v>
      </c>
      <c r="AD2603" s="5" t="s">
        <v>245</v>
      </c>
      <c r="AT2603" s="5" t="s">
        <v>246</v>
      </c>
      <c r="AU2603" s="5" t="s">
        <v>238</v>
      </c>
      <c r="AV2603" s="5" t="s">
        <v>247</v>
      </c>
      <c r="AW2603" s="5" t="s">
        <v>238</v>
      </c>
      <c r="AX2603" s="5" t="s">
        <v>249</v>
      </c>
      <c r="AY2603" s="5" t="s">
        <v>238</v>
      </c>
      <c r="BA2603" s="5" t="s">
        <v>238</v>
      </c>
      <c r="BC2603" s="5" t="s">
        <v>250</v>
      </c>
      <c r="BD2603" s="6" t="s">
        <v>243</v>
      </c>
      <c r="BE2603" s="5" t="s">
        <v>251</v>
      </c>
      <c r="BF2603" s="5" t="s">
        <v>252</v>
      </c>
      <c r="BG2603" s="5" t="s">
        <v>238</v>
      </c>
      <c r="BH2603" s="7">
        <f>0</f>
        <v>0</v>
      </c>
      <c r="BI2603" s="8">
        <f>0</f>
        <v>0</v>
      </c>
      <c r="BJ2603" s="5" t="s">
        <v>253</v>
      </c>
      <c r="BK2603" s="5" t="s">
        <v>254</v>
      </c>
      <c r="BY2603" s="5" t="s">
        <v>238</v>
      </c>
      <c r="BZ2603" s="5" t="s">
        <v>238</v>
      </c>
      <c r="CD2603" s="5" t="s">
        <v>273</v>
      </c>
      <c r="CE2603" s="5" t="s">
        <v>256</v>
      </c>
      <c r="CF2603" s="5" t="s">
        <v>238</v>
      </c>
      <c r="CI2603" s="6" t="s">
        <v>257</v>
      </c>
      <c r="CJ2603" s="5" t="s">
        <v>238</v>
      </c>
      <c r="CK2603" s="5" t="s">
        <v>258</v>
      </c>
      <c r="CL2603" s="5" t="s">
        <v>238</v>
      </c>
      <c r="CM2603" s="5" t="s">
        <v>238</v>
      </c>
      <c r="CN2603" s="5">
        <v>0</v>
      </c>
      <c r="CO2603" s="5" t="s">
        <v>259</v>
      </c>
      <c r="CP2603" s="5" t="s">
        <v>260</v>
      </c>
      <c r="CQ2603" s="5" t="s">
        <v>260</v>
      </c>
      <c r="CR2603" s="5" t="s">
        <v>261</v>
      </c>
      <c r="CU2603" s="8">
        <f>1</f>
        <v>1</v>
      </c>
      <c r="CV2603" s="8">
        <f>0</f>
        <v>0</v>
      </c>
      <c r="CX2603" s="8">
        <f>0</f>
        <v>0</v>
      </c>
      <c r="CY2603" s="8">
        <f>1</f>
        <v>1</v>
      </c>
      <c r="DA2603" s="5" t="s">
        <v>274</v>
      </c>
      <c r="DB2603" s="5" t="s">
        <v>238</v>
      </c>
      <c r="DD2603" s="5" t="s">
        <v>274</v>
      </c>
      <c r="DE2603" s="8">
        <f>359</f>
        <v>359</v>
      </c>
      <c r="DG2603" s="5" t="s">
        <v>238</v>
      </c>
      <c r="DH2603" s="5" t="s">
        <v>238</v>
      </c>
      <c r="DI2603" s="5" t="s">
        <v>238</v>
      </c>
      <c r="DJ2603" s="5" t="s">
        <v>238</v>
      </c>
      <c r="DN2603" s="5" t="s">
        <v>238</v>
      </c>
      <c r="DO2603" s="5" t="s">
        <v>238</v>
      </c>
      <c r="DP2603" s="5" t="s">
        <v>238</v>
      </c>
      <c r="DQ2603" s="5" t="s">
        <v>238</v>
      </c>
      <c r="DT2603" s="5" t="s">
        <v>275</v>
      </c>
      <c r="DU2603" s="5" t="s">
        <v>1892</v>
      </c>
      <c r="HM2603" s="5" t="s">
        <v>264</v>
      </c>
    </row>
    <row r="2604" spans="1:221" x14ac:dyDescent="0.4">
      <c r="A2604" s="5">
        <v>4308</v>
      </c>
      <c r="B2604" s="5">
        <v>1</v>
      </c>
      <c r="C2604" s="5">
        <v>1</v>
      </c>
      <c r="D2604" s="5" t="s">
        <v>269</v>
      </c>
      <c r="E2604" s="5" t="s">
        <v>271</v>
      </c>
      <c r="F2604" s="5" t="s">
        <v>248</v>
      </c>
      <c r="G2604" s="5" t="s">
        <v>266</v>
      </c>
      <c r="H2604" s="6" t="s">
        <v>1889</v>
      </c>
      <c r="I2604" s="7">
        <f>177</f>
        <v>177</v>
      </c>
      <c r="J2604" s="5" t="s">
        <v>262</v>
      </c>
      <c r="K2604" s="8">
        <f>1</f>
        <v>1</v>
      </c>
      <c r="L2604" s="6" t="s">
        <v>242</v>
      </c>
      <c r="M2604" s="5" t="s">
        <v>267</v>
      </c>
      <c r="N2604" s="5" t="s">
        <v>265</v>
      </c>
      <c r="O2604" s="5" t="s">
        <v>238</v>
      </c>
      <c r="P2604" s="5" t="s">
        <v>238</v>
      </c>
      <c r="Q2604" s="5" t="s">
        <v>268</v>
      </c>
      <c r="R2604" s="5" t="s">
        <v>270</v>
      </c>
      <c r="S2604" s="5" t="s">
        <v>238</v>
      </c>
      <c r="V2604" s="5" t="s">
        <v>238</v>
      </c>
      <c r="X2604" s="6" t="s">
        <v>238</v>
      </c>
      <c r="AA2604" s="6" t="s">
        <v>243</v>
      </c>
      <c r="AB2604" s="5" t="s">
        <v>238</v>
      </c>
      <c r="AC2604" s="5" t="s">
        <v>244</v>
      </c>
      <c r="AD2604" s="5" t="s">
        <v>245</v>
      </c>
      <c r="AT2604" s="5" t="s">
        <v>246</v>
      </c>
      <c r="AU2604" s="5" t="s">
        <v>238</v>
      </c>
      <c r="AV2604" s="5" t="s">
        <v>247</v>
      </c>
      <c r="AW2604" s="5" t="s">
        <v>238</v>
      </c>
      <c r="AX2604" s="5" t="s">
        <v>249</v>
      </c>
      <c r="AY2604" s="5" t="s">
        <v>238</v>
      </c>
      <c r="BA2604" s="5" t="s">
        <v>238</v>
      </c>
      <c r="BC2604" s="5" t="s">
        <v>250</v>
      </c>
      <c r="BD2604" s="6" t="s">
        <v>243</v>
      </c>
      <c r="BE2604" s="5" t="s">
        <v>251</v>
      </c>
      <c r="BF2604" s="5" t="s">
        <v>252</v>
      </c>
      <c r="BG2604" s="5" t="s">
        <v>238</v>
      </c>
      <c r="BH2604" s="7">
        <f>0</f>
        <v>0</v>
      </c>
      <c r="BI2604" s="8">
        <f>0</f>
        <v>0</v>
      </c>
      <c r="BJ2604" s="5" t="s">
        <v>253</v>
      </c>
      <c r="BK2604" s="5" t="s">
        <v>254</v>
      </c>
      <c r="BY2604" s="5" t="s">
        <v>238</v>
      </c>
      <c r="BZ2604" s="5" t="s">
        <v>238</v>
      </c>
      <c r="CD2604" s="5" t="s">
        <v>273</v>
      </c>
      <c r="CE2604" s="5" t="s">
        <v>256</v>
      </c>
      <c r="CF2604" s="5" t="s">
        <v>238</v>
      </c>
      <c r="CI2604" s="6" t="s">
        <v>257</v>
      </c>
      <c r="CJ2604" s="5" t="s">
        <v>238</v>
      </c>
      <c r="CK2604" s="5" t="s">
        <v>258</v>
      </c>
      <c r="CL2604" s="5" t="s">
        <v>238</v>
      </c>
      <c r="CM2604" s="5" t="s">
        <v>238</v>
      </c>
      <c r="CN2604" s="5">
        <v>0</v>
      </c>
      <c r="CO2604" s="5" t="s">
        <v>259</v>
      </c>
      <c r="CP2604" s="5" t="s">
        <v>260</v>
      </c>
      <c r="CQ2604" s="5" t="s">
        <v>260</v>
      </c>
      <c r="CR2604" s="5" t="s">
        <v>261</v>
      </c>
      <c r="CU2604" s="8">
        <f>1</f>
        <v>1</v>
      </c>
      <c r="CV2604" s="8">
        <f>0</f>
        <v>0</v>
      </c>
      <c r="CX2604" s="8">
        <f>0</f>
        <v>0</v>
      </c>
      <c r="CY2604" s="8">
        <f>1</f>
        <v>1</v>
      </c>
      <c r="DA2604" s="5" t="s">
        <v>274</v>
      </c>
      <c r="DB2604" s="5" t="s">
        <v>238</v>
      </c>
      <c r="DD2604" s="5" t="s">
        <v>274</v>
      </c>
      <c r="DE2604" s="8">
        <f>177</f>
        <v>177</v>
      </c>
      <c r="DG2604" s="5" t="s">
        <v>238</v>
      </c>
      <c r="DH2604" s="5" t="s">
        <v>238</v>
      </c>
      <c r="DI2604" s="5" t="s">
        <v>238</v>
      </c>
      <c r="DJ2604" s="5" t="s">
        <v>238</v>
      </c>
      <c r="DN2604" s="5" t="s">
        <v>238</v>
      </c>
      <c r="DO2604" s="5" t="s">
        <v>238</v>
      </c>
      <c r="DP2604" s="5" t="s">
        <v>238</v>
      </c>
      <c r="DQ2604" s="5" t="s">
        <v>238</v>
      </c>
      <c r="DT2604" s="5" t="s">
        <v>275</v>
      </c>
      <c r="DU2604" s="5" t="s">
        <v>1890</v>
      </c>
      <c r="HM2604" s="5" t="s">
        <v>264</v>
      </c>
    </row>
    <row r="2605" spans="1:221" x14ac:dyDescent="0.4">
      <c r="A2605" s="5">
        <v>4309</v>
      </c>
      <c r="B2605" s="5">
        <v>1</v>
      </c>
      <c r="C2605" s="5">
        <v>1</v>
      </c>
      <c r="D2605" s="5" t="s">
        <v>269</v>
      </c>
      <c r="E2605" s="5" t="s">
        <v>271</v>
      </c>
      <c r="F2605" s="5" t="s">
        <v>248</v>
      </c>
      <c r="G2605" s="5" t="s">
        <v>266</v>
      </c>
      <c r="H2605" s="6" t="s">
        <v>1883</v>
      </c>
      <c r="I2605" s="7">
        <f>42</f>
        <v>42</v>
      </c>
      <c r="J2605" s="5" t="s">
        <v>262</v>
      </c>
      <c r="K2605" s="8">
        <f>1</f>
        <v>1</v>
      </c>
      <c r="L2605" s="6" t="s">
        <v>242</v>
      </c>
      <c r="M2605" s="5" t="s">
        <v>267</v>
      </c>
      <c r="N2605" s="5" t="s">
        <v>265</v>
      </c>
      <c r="O2605" s="5" t="s">
        <v>238</v>
      </c>
      <c r="P2605" s="5" t="s">
        <v>238</v>
      </c>
      <c r="Q2605" s="5" t="s">
        <v>268</v>
      </c>
      <c r="R2605" s="5" t="s">
        <v>270</v>
      </c>
      <c r="S2605" s="5" t="s">
        <v>238</v>
      </c>
      <c r="V2605" s="5" t="s">
        <v>238</v>
      </c>
      <c r="X2605" s="6" t="s">
        <v>238</v>
      </c>
      <c r="AA2605" s="6" t="s">
        <v>243</v>
      </c>
      <c r="AB2605" s="5" t="s">
        <v>238</v>
      </c>
      <c r="AC2605" s="5" t="s">
        <v>244</v>
      </c>
      <c r="AD2605" s="5" t="s">
        <v>245</v>
      </c>
      <c r="AT2605" s="5" t="s">
        <v>246</v>
      </c>
      <c r="AU2605" s="5" t="s">
        <v>238</v>
      </c>
      <c r="AV2605" s="5" t="s">
        <v>247</v>
      </c>
      <c r="AW2605" s="5" t="s">
        <v>238</v>
      </c>
      <c r="AX2605" s="5" t="s">
        <v>249</v>
      </c>
      <c r="AY2605" s="5" t="s">
        <v>238</v>
      </c>
      <c r="BA2605" s="5" t="s">
        <v>238</v>
      </c>
      <c r="BC2605" s="5" t="s">
        <v>250</v>
      </c>
      <c r="BD2605" s="6" t="s">
        <v>243</v>
      </c>
      <c r="BE2605" s="5" t="s">
        <v>251</v>
      </c>
      <c r="BF2605" s="5" t="s">
        <v>252</v>
      </c>
      <c r="BG2605" s="5" t="s">
        <v>238</v>
      </c>
      <c r="BH2605" s="7">
        <f>0</f>
        <v>0</v>
      </c>
      <c r="BI2605" s="8">
        <f>0</f>
        <v>0</v>
      </c>
      <c r="BJ2605" s="5" t="s">
        <v>253</v>
      </c>
      <c r="BK2605" s="5" t="s">
        <v>254</v>
      </c>
      <c r="BY2605" s="5" t="s">
        <v>238</v>
      </c>
      <c r="BZ2605" s="5" t="s">
        <v>238</v>
      </c>
      <c r="CD2605" s="5" t="s">
        <v>273</v>
      </c>
      <c r="CE2605" s="5" t="s">
        <v>256</v>
      </c>
      <c r="CF2605" s="5" t="s">
        <v>238</v>
      </c>
      <c r="CI2605" s="6" t="s">
        <v>257</v>
      </c>
      <c r="CJ2605" s="5" t="s">
        <v>238</v>
      </c>
      <c r="CK2605" s="5" t="s">
        <v>258</v>
      </c>
      <c r="CL2605" s="5" t="s">
        <v>238</v>
      </c>
      <c r="CM2605" s="5" t="s">
        <v>238</v>
      </c>
      <c r="CN2605" s="5">
        <v>0</v>
      </c>
      <c r="CO2605" s="5" t="s">
        <v>259</v>
      </c>
      <c r="CP2605" s="5" t="s">
        <v>260</v>
      </c>
      <c r="CQ2605" s="5" t="s">
        <v>260</v>
      </c>
      <c r="CR2605" s="5" t="s">
        <v>261</v>
      </c>
      <c r="CU2605" s="8">
        <f>1</f>
        <v>1</v>
      </c>
      <c r="CV2605" s="8">
        <f>0</f>
        <v>0</v>
      </c>
      <c r="CX2605" s="8">
        <f>0</f>
        <v>0</v>
      </c>
      <c r="CY2605" s="8">
        <f>1</f>
        <v>1</v>
      </c>
      <c r="DA2605" s="5" t="s">
        <v>274</v>
      </c>
      <c r="DB2605" s="5" t="s">
        <v>238</v>
      </c>
      <c r="DD2605" s="5" t="s">
        <v>274</v>
      </c>
      <c r="DE2605" s="8">
        <f>42</f>
        <v>42</v>
      </c>
      <c r="DG2605" s="5" t="s">
        <v>238</v>
      </c>
      <c r="DH2605" s="5" t="s">
        <v>238</v>
      </c>
      <c r="DI2605" s="5" t="s">
        <v>238</v>
      </c>
      <c r="DJ2605" s="5" t="s">
        <v>238</v>
      </c>
      <c r="DN2605" s="5" t="s">
        <v>238</v>
      </c>
      <c r="DO2605" s="5" t="s">
        <v>238</v>
      </c>
      <c r="DP2605" s="5" t="s">
        <v>238</v>
      </c>
      <c r="DQ2605" s="5" t="s">
        <v>238</v>
      </c>
      <c r="DT2605" s="5" t="s">
        <v>275</v>
      </c>
      <c r="DU2605" s="5" t="s">
        <v>1884</v>
      </c>
      <c r="HM2605" s="5" t="s">
        <v>264</v>
      </c>
    </row>
    <row r="2606" spans="1:221" x14ac:dyDescent="0.4">
      <c r="A2606" s="5">
        <v>4310</v>
      </c>
      <c r="B2606" s="5">
        <v>1</v>
      </c>
      <c r="C2606" s="5">
        <v>1</v>
      </c>
      <c r="D2606" s="5" t="s">
        <v>269</v>
      </c>
      <c r="E2606" s="5" t="s">
        <v>271</v>
      </c>
      <c r="F2606" s="5" t="s">
        <v>248</v>
      </c>
      <c r="G2606" s="5" t="s">
        <v>266</v>
      </c>
      <c r="H2606" s="6" t="s">
        <v>1881</v>
      </c>
      <c r="I2606" s="7">
        <f>397</f>
        <v>397</v>
      </c>
      <c r="J2606" s="5" t="s">
        <v>262</v>
      </c>
      <c r="K2606" s="8">
        <f>1</f>
        <v>1</v>
      </c>
      <c r="L2606" s="6" t="s">
        <v>242</v>
      </c>
      <c r="M2606" s="5" t="s">
        <v>267</v>
      </c>
      <c r="N2606" s="5" t="s">
        <v>265</v>
      </c>
      <c r="O2606" s="5" t="s">
        <v>238</v>
      </c>
      <c r="P2606" s="5" t="s">
        <v>238</v>
      </c>
      <c r="Q2606" s="5" t="s">
        <v>268</v>
      </c>
      <c r="R2606" s="5" t="s">
        <v>270</v>
      </c>
      <c r="S2606" s="5" t="s">
        <v>238</v>
      </c>
      <c r="V2606" s="5" t="s">
        <v>238</v>
      </c>
      <c r="X2606" s="6" t="s">
        <v>238</v>
      </c>
      <c r="AA2606" s="6" t="s">
        <v>243</v>
      </c>
      <c r="AB2606" s="5" t="s">
        <v>238</v>
      </c>
      <c r="AC2606" s="5" t="s">
        <v>244</v>
      </c>
      <c r="AD2606" s="5" t="s">
        <v>245</v>
      </c>
      <c r="AT2606" s="5" t="s">
        <v>246</v>
      </c>
      <c r="AU2606" s="5" t="s">
        <v>238</v>
      </c>
      <c r="AV2606" s="5" t="s">
        <v>247</v>
      </c>
      <c r="AW2606" s="5" t="s">
        <v>238</v>
      </c>
      <c r="AX2606" s="5" t="s">
        <v>249</v>
      </c>
      <c r="AY2606" s="5" t="s">
        <v>238</v>
      </c>
      <c r="BA2606" s="5" t="s">
        <v>238</v>
      </c>
      <c r="BC2606" s="5" t="s">
        <v>250</v>
      </c>
      <c r="BD2606" s="6" t="s">
        <v>243</v>
      </c>
      <c r="BE2606" s="5" t="s">
        <v>251</v>
      </c>
      <c r="BF2606" s="5" t="s">
        <v>252</v>
      </c>
      <c r="BG2606" s="5" t="s">
        <v>238</v>
      </c>
      <c r="BH2606" s="7">
        <f>0</f>
        <v>0</v>
      </c>
      <c r="BI2606" s="8">
        <f>0</f>
        <v>0</v>
      </c>
      <c r="BJ2606" s="5" t="s">
        <v>253</v>
      </c>
      <c r="BK2606" s="5" t="s">
        <v>254</v>
      </c>
      <c r="BY2606" s="5" t="s">
        <v>238</v>
      </c>
      <c r="BZ2606" s="5" t="s">
        <v>238</v>
      </c>
      <c r="CD2606" s="5" t="s">
        <v>273</v>
      </c>
      <c r="CE2606" s="5" t="s">
        <v>256</v>
      </c>
      <c r="CF2606" s="5" t="s">
        <v>238</v>
      </c>
      <c r="CI2606" s="6" t="s">
        <v>257</v>
      </c>
      <c r="CJ2606" s="5" t="s">
        <v>238</v>
      </c>
      <c r="CK2606" s="5" t="s">
        <v>258</v>
      </c>
      <c r="CL2606" s="5" t="s">
        <v>238</v>
      </c>
      <c r="CM2606" s="5" t="s">
        <v>238</v>
      </c>
      <c r="CN2606" s="5">
        <v>0</v>
      </c>
      <c r="CO2606" s="5" t="s">
        <v>259</v>
      </c>
      <c r="CP2606" s="5" t="s">
        <v>260</v>
      </c>
      <c r="CQ2606" s="5" t="s">
        <v>260</v>
      </c>
      <c r="CR2606" s="5" t="s">
        <v>261</v>
      </c>
      <c r="CU2606" s="8">
        <f>1</f>
        <v>1</v>
      </c>
      <c r="CV2606" s="8">
        <f>0</f>
        <v>0</v>
      </c>
      <c r="CX2606" s="8">
        <f>0</f>
        <v>0</v>
      </c>
      <c r="CY2606" s="8">
        <f>1</f>
        <v>1</v>
      </c>
      <c r="DA2606" s="5" t="s">
        <v>274</v>
      </c>
      <c r="DB2606" s="5" t="s">
        <v>238</v>
      </c>
      <c r="DD2606" s="5" t="s">
        <v>274</v>
      </c>
      <c r="DE2606" s="8">
        <f>397</f>
        <v>397</v>
      </c>
      <c r="DG2606" s="5" t="s">
        <v>238</v>
      </c>
      <c r="DH2606" s="5" t="s">
        <v>238</v>
      </c>
      <c r="DI2606" s="5" t="s">
        <v>238</v>
      </c>
      <c r="DJ2606" s="5" t="s">
        <v>238</v>
      </c>
      <c r="DN2606" s="5" t="s">
        <v>238</v>
      </c>
      <c r="DO2606" s="5" t="s">
        <v>238</v>
      </c>
      <c r="DP2606" s="5" t="s">
        <v>238</v>
      </c>
      <c r="DQ2606" s="5" t="s">
        <v>238</v>
      </c>
      <c r="DT2606" s="5" t="s">
        <v>275</v>
      </c>
      <c r="DU2606" s="5" t="s">
        <v>1882</v>
      </c>
      <c r="HM2606" s="5" t="s">
        <v>264</v>
      </c>
    </row>
    <row r="2607" spans="1:221" x14ac:dyDescent="0.4">
      <c r="A2607" s="5">
        <v>4311</v>
      </c>
      <c r="B2607" s="5">
        <v>1</v>
      </c>
      <c r="C2607" s="5">
        <v>1</v>
      </c>
      <c r="D2607" s="5" t="s">
        <v>269</v>
      </c>
      <c r="E2607" s="5" t="s">
        <v>271</v>
      </c>
      <c r="F2607" s="5" t="s">
        <v>248</v>
      </c>
      <c r="G2607" s="5" t="s">
        <v>266</v>
      </c>
      <c r="H2607" s="6" t="s">
        <v>1440</v>
      </c>
      <c r="I2607" s="7">
        <f>2976</f>
        <v>2976</v>
      </c>
      <c r="J2607" s="5" t="s">
        <v>262</v>
      </c>
      <c r="K2607" s="8">
        <f>1</f>
        <v>1</v>
      </c>
      <c r="L2607" s="6" t="s">
        <v>242</v>
      </c>
      <c r="M2607" s="5" t="s">
        <v>267</v>
      </c>
      <c r="N2607" s="5" t="s">
        <v>265</v>
      </c>
      <c r="O2607" s="5" t="s">
        <v>238</v>
      </c>
      <c r="P2607" s="5" t="s">
        <v>238</v>
      </c>
      <c r="Q2607" s="5" t="s">
        <v>268</v>
      </c>
      <c r="R2607" s="5" t="s">
        <v>270</v>
      </c>
      <c r="S2607" s="5" t="s">
        <v>238</v>
      </c>
      <c r="V2607" s="5" t="s">
        <v>238</v>
      </c>
      <c r="X2607" s="6" t="s">
        <v>238</v>
      </c>
      <c r="AA2607" s="6" t="s">
        <v>243</v>
      </c>
      <c r="AB2607" s="5" t="s">
        <v>238</v>
      </c>
      <c r="AC2607" s="5" t="s">
        <v>244</v>
      </c>
      <c r="AD2607" s="5" t="s">
        <v>245</v>
      </c>
      <c r="AT2607" s="5" t="s">
        <v>246</v>
      </c>
      <c r="AU2607" s="5" t="s">
        <v>238</v>
      </c>
      <c r="AV2607" s="5" t="s">
        <v>247</v>
      </c>
      <c r="AW2607" s="5" t="s">
        <v>238</v>
      </c>
      <c r="AX2607" s="5" t="s">
        <v>249</v>
      </c>
      <c r="AY2607" s="5" t="s">
        <v>238</v>
      </c>
      <c r="BA2607" s="5" t="s">
        <v>238</v>
      </c>
      <c r="BC2607" s="5" t="s">
        <v>250</v>
      </c>
      <c r="BD2607" s="6" t="s">
        <v>243</v>
      </c>
      <c r="BE2607" s="5" t="s">
        <v>251</v>
      </c>
      <c r="BF2607" s="5" t="s">
        <v>252</v>
      </c>
      <c r="BG2607" s="5" t="s">
        <v>238</v>
      </c>
      <c r="BH2607" s="7">
        <f>0</f>
        <v>0</v>
      </c>
      <c r="BI2607" s="8">
        <f>0</f>
        <v>0</v>
      </c>
      <c r="BJ2607" s="5" t="s">
        <v>253</v>
      </c>
      <c r="BK2607" s="5" t="s">
        <v>254</v>
      </c>
      <c r="BY2607" s="5" t="s">
        <v>238</v>
      </c>
      <c r="BZ2607" s="5" t="s">
        <v>238</v>
      </c>
      <c r="CD2607" s="5" t="s">
        <v>273</v>
      </c>
      <c r="CE2607" s="5" t="s">
        <v>256</v>
      </c>
      <c r="CF2607" s="5" t="s">
        <v>238</v>
      </c>
      <c r="CI2607" s="6" t="s">
        <v>257</v>
      </c>
      <c r="CJ2607" s="5" t="s">
        <v>238</v>
      </c>
      <c r="CK2607" s="5" t="s">
        <v>258</v>
      </c>
      <c r="CL2607" s="5" t="s">
        <v>238</v>
      </c>
      <c r="CM2607" s="5" t="s">
        <v>238</v>
      </c>
      <c r="CN2607" s="5">
        <v>0</v>
      </c>
      <c r="CO2607" s="5" t="s">
        <v>259</v>
      </c>
      <c r="CP2607" s="5" t="s">
        <v>260</v>
      </c>
      <c r="CQ2607" s="5" t="s">
        <v>260</v>
      </c>
      <c r="CR2607" s="5" t="s">
        <v>261</v>
      </c>
      <c r="CU2607" s="8">
        <f>1</f>
        <v>1</v>
      </c>
      <c r="CV2607" s="8">
        <f>0</f>
        <v>0</v>
      </c>
      <c r="CX2607" s="8">
        <f>0</f>
        <v>0</v>
      </c>
      <c r="CY2607" s="8">
        <f>1</f>
        <v>1</v>
      </c>
      <c r="DA2607" s="5" t="s">
        <v>274</v>
      </c>
      <c r="DB2607" s="5" t="s">
        <v>238</v>
      </c>
      <c r="DD2607" s="5" t="s">
        <v>274</v>
      </c>
      <c r="DE2607" s="8">
        <f>2976</f>
        <v>2976</v>
      </c>
      <c r="DG2607" s="5" t="s">
        <v>238</v>
      </c>
      <c r="DH2607" s="5" t="s">
        <v>238</v>
      </c>
      <c r="DI2607" s="5" t="s">
        <v>238</v>
      </c>
      <c r="DJ2607" s="5" t="s">
        <v>238</v>
      </c>
      <c r="DN2607" s="5" t="s">
        <v>238</v>
      </c>
      <c r="DO2607" s="5" t="s">
        <v>238</v>
      </c>
      <c r="DP2607" s="5" t="s">
        <v>238</v>
      </c>
      <c r="DQ2607" s="5" t="s">
        <v>238</v>
      </c>
      <c r="DT2607" s="5" t="s">
        <v>275</v>
      </c>
      <c r="DU2607" s="5" t="s">
        <v>1441</v>
      </c>
      <c r="HM2607" s="5" t="s">
        <v>264</v>
      </c>
    </row>
    <row r="2608" spans="1:221" x14ac:dyDescent="0.4">
      <c r="A2608" s="5">
        <v>4312</v>
      </c>
      <c r="B2608" s="5">
        <v>1</v>
      </c>
      <c r="C2608" s="5">
        <v>1</v>
      </c>
      <c r="D2608" s="5" t="s">
        <v>269</v>
      </c>
      <c r="E2608" s="5" t="s">
        <v>271</v>
      </c>
      <c r="F2608" s="5" t="s">
        <v>248</v>
      </c>
      <c r="G2608" s="5" t="s">
        <v>266</v>
      </c>
      <c r="H2608" s="6" t="s">
        <v>1877</v>
      </c>
      <c r="I2608" s="7">
        <f>947</f>
        <v>947</v>
      </c>
      <c r="J2608" s="5" t="s">
        <v>262</v>
      </c>
      <c r="K2608" s="8">
        <f>1</f>
        <v>1</v>
      </c>
      <c r="L2608" s="6" t="s">
        <v>242</v>
      </c>
      <c r="M2608" s="5" t="s">
        <v>267</v>
      </c>
      <c r="N2608" s="5" t="s">
        <v>265</v>
      </c>
      <c r="O2608" s="5" t="s">
        <v>238</v>
      </c>
      <c r="P2608" s="5" t="s">
        <v>238</v>
      </c>
      <c r="Q2608" s="5" t="s">
        <v>268</v>
      </c>
      <c r="R2608" s="5" t="s">
        <v>270</v>
      </c>
      <c r="S2608" s="5" t="s">
        <v>238</v>
      </c>
      <c r="V2608" s="5" t="s">
        <v>238</v>
      </c>
      <c r="X2608" s="6" t="s">
        <v>238</v>
      </c>
      <c r="AA2608" s="6" t="s">
        <v>243</v>
      </c>
      <c r="AB2608" s="5" t="s">
        <v>238</v>
      </c>
      <c r="AC2608" s="5" t="s">
        <v>244</v>
      </c>
      <c r="AD2608" s="5" t="s">
        <v>245</v>
      </c>
      <c r="AT2608" s="5" t="s">
        <v>246</v>
      </c>
      <c r="AU2608" s="5" t="s">
        <v>238</v>
      </c>
      <c r="AV2608" s="5" t="s">
        <v>247</v>
      </c>
      <c r="AW2608" s="5" t="s">
        <v>238</v>
      </c>
      <c r="AX2608" s="5" t="s">
        <v>249</v>
      </c>
      <c r="AY2608" s="5" t="s">
        <v>238</v>
      </c>
      <c r="BA2608" s="5" t="s">
        <v>238</v>
      </c>
      <c r="BC2608" s="5" t="s">
        <v>250</v>
      </c>
      <c r="BD2608" s="6" t="s">
        <v>243</v>
      </c>
      <c r="BE2608" s="5" t="s">
        <v>251</v>
      </c>
      <c r="BF2608" s="5" t="s">
        <v>252</v>
      </c>
      <c r="BG2608" s="5" t="s">
        <v>238</v>
      </c>
      <c r="BH2608" s="7">
        <f>0</f>
        <v>0</v>
      </c>
      <c r="BI2608" s="8">
        <f>0</f>
        <v>0</v>
      </c>
      <c r="BJ2608" s="5" t="s">
        <v>253</v>
      </c>
      <c r="BK2608" s="5" t="s">
        <v>254</v>
      </c>
      <c r="BY2608" s="5" t="s">
        <v>238</v>
      </c>
      <c r="BZ2608" s="5" t="s">
        <v>238</v>
      </c>
      <c r="CD2608" s="5" t="s">
        <v>273</v>
      </c>
      <c r="CE2608" s="5" t="s">
        <v>256</v>
      </c>
      <c r="CF2608" s="5" t="s">
        <v>238</v>
      </c>
      <c r="CI2608" s="6" t="s">
        <v>257</v>
      </c>
      <c r="CJ2608" s="5" t="s">
        <v>238</v>
      </c>
      <c r="CK2608" s="5" t="s">
        <v>258</v>
      </c>
      <c r="CL2608" s="5" t="s">
        <v>238</v>
      </c>
      <c r="CM2608" s="5" t="s">
        <v>238</v>
      </c>
      <c r="CN2608" s="5">
        <v>0</v>
      </c>
      <c r="CO2608" s="5" t="s">
        <v>259</v>
      </c>
      <c r="CP2608" s="5" t="s">
        <v>260</v>
      </c>
      <c r="CQ2608" s="5" t="s">
        <v>260</v>
      </c>
      <c r="CR2608" s="5" t="s">
        <v>261</v>
      </c>
      <c r="CU2608" s="8">
        <f>1</f>
        <v>1</v>
      </c>
      <c r="CV2608" s="8">
        <f>0</f>
        <v>0</v>
      </c>
      <c r="CX2608" s="8">
        <f>0</f>
        <v>0</v>
      </c>
      <c r="CY2608" s="8">
        <f>1</f>
        <v>1</v>
      </c>
      <c r="DA2608" s="5" t="s">
        <v>274</v>
      </c>
      <c r="DB2608" s="5" t="s">
        <v>238</v>
      </c>
      <c r="DD2608" s="5" t="s">
        <v>274</v>
      </c>
      <c r="DE2608" s="8">
        <f>947</f>
        <v>947</v>
      </c>
      <c r="DG2608" s="5" t="s">
        <v>238</v>
      </c>
      <c r="DH2608" s="5" t="s">
        <v>238</v>
      </c>
      <c r="DI2608" s="5" t="s">
        <v>238</v>
      </c>
      <c r="DJ2608" s="5" t="s">
        <v>238</v>
      </c>
      <c r="DN2608" s="5" t="s">
        <v>238</v>
      </c>
      <c r="DO2608" s="5" t="s">
        <v>238</v>
      </c>
      <c r="DP2608" s="5" t="s">
        <v>238</v>
      </c>
      <c r="DQ2608" s="5" t="s">
        <v>238</v>
      </c>
      <c r="DT2608" s="5" t="s">
        <v>275</v>
      </c>
      <c r="DU2608" s="5" t="s">
        <v>1878</v>
      </c>
      <c r="HM2608" s="5" t="s">
        <v>264</v>
      </c>
    </row>
    <row r="2609" spans="1:221" x14ac:dyDescent="0.4">
      <c r="A2609" s="5">
        <v>4313</v>
      </c>
      <c r="B2609" s="5">
        <v>1</v>
      </c>
      <c r="C2609" s="5">
        <v>1</v>
      </c>
      <c r="D2609" s="5" t="s">
        <v>269</v>
      </c>
      <c r="E2609" s="5" t="s">
        <v>271</v>
      </c>
      <c r="F2609" s="5" t="s">
        <v>248</v>
      </c>
      <c r="G2609" s="5" t="s">
        <v>266</v>
      </c>
      <c r="H2609" s="6" t="s">
        <v>1462</v>
      </c>
      <c r="I2609" s="7">
        <f>103</f>
        <v>103</v>
      </c>
      <c r="J2609" s="5" t="s">
        <v>262</v>
      </c>
      <c r="K2609" s="8">
        <f>1</f>
        <v>1</v>
      </c>
      <c r="L2609" s="6" t="s">
        <v>242</v>
      </c>
      <c r="M2609" s="5" t="s">
        <v>267</v>
      </c>
      <c r="N2609" s="5" t="s">
        <v>265</v>
      </c>
      <c r="O2609" s="5" t="s">
        <v>238</v>
      </c>
      <c r="P2609" s="5" t="s">
        <v>238</v>
      </c>
      <c r="Q2609" s="5" t="s">
        <v>268</v>
      </c>
      <c r="R2609" s="5" t="s">
        <v>270</v>
      </c>
      <c r="S2609" s="5" t="s">
        <v>238</v>
      </c>
      <c r="V2609" s="5" t="s">
        <v>238</v>
      </c>
      <c r="X2609" s="6" t="s">
        <v>238</v>
      </c>
      <c r="AA2609" s="6" t="s">
        <v>243</v>
      </c>
      <c r="AB2609" s="5" t="s">
        <v>238</v>
      </c>
      <c r="AC2609" s="5" t="s">
        <v>244</v>
      </c>
      <c r="AD2609" s="5" t="s">
        <v>245</v>
      </c>
      <c r="AT2609" s="5" t="s">
        <v>246</v>
      </c>
      <c r="AU2609" s="5" t="s">
        <v>238</v>
      </c>
      <c r="AV2609" s="5" t="s">
        <v>247</v>
      </c>
      <c r="AW2609" s="5" t="s">
        <v>238</v>
      </c>
      <c r="AX2609" s="5" t="s">
        <v>249</v>
      </c>
      <c r="AY2609" s="5" t="s">
        <v>238</v>
      </c>
      <c r="BA2609" s="5" t="s">
        <v>238</v>
      </c>
      <c r="BC2609" s="5" t="s">
        <v>250</v>
      </c>
      <c r="BD2609" s="6" t="s">
        <v>243</v>
      </c>
      <c r="BE2609" s="5" t="s">
        <v>251</v>
      </c>
      <c r="BF2609" s="5" t="s">
        <v>252</v>
      </c>
      <c r="BG2609" s="5" t="s">
        <v>238</v>
      </c>
      <c r="BH2609" s="7">
        <f>0</f>
        <v>0</v>
      </c>
      <c r="BI2609" s="8">
        <f>0</f>
        <v>0</v>
      </c>
      <c r="BJ2609" s="5" t="s">
        <v>253</v>
      </c>
      <c r="BK2609" s="5" t="s">
        <v>254</v>
      </c>
      <c r="BY2609" s="5" t="s">
        <v>238</v>
      </c>
      <c r="BZ2609" s="5" t="s">
        <v>238</v>
      </c>
      <c r="CD2609" s="5" t="s">
        <v>273</v>
      </c>
      <c r="CE2609" s="5" t="s">
        <v>256</v>
      </c>
      <c r="CF2609" s="5" t="s">
        <v>238</v>
      </c>
      <c r="CI2609" s="6" t="s">
        <v>257</v>
      </c>
      <c r="CJ2609" s="5" t="s">
        <v>238</v>
      </c>
      <c r="CK2609" s="5" t="s">
        <v>258</v>
      </c>
      <c r="CL2609" s="5" t="s">
        <v>238</v>
      </c>
      <c r="CM2609" s="5" t="s">
        <v>238</v>
      </c>
      <c r="CN2609" s="5">
        <v>0</v>
      </c>
      <c r="CO2609" s="5" t="s">
        <v>259</v>
      </c>
      <c r="CP2609" s="5" t="s">
        <v>260</v>
      </c>
      <c r="CQ2609" s="5" t="s">
        <v>260</v>
      </c>
      <c r="CR2609" s="5" t="s">
        <v>261</v>
      </c>
      <c r="CU2609" s="8">
        <f>1</f>
        <v>1</v>
      </c>
      <c r="CV2609" s="8">
        <f>0</f>
        <v>0</v>
      </c>
      <c r="CX2609" s="8">
        <f>0</f>
        <v>0</v>
      </c>
      <c r="CY2609" s="8">
        <f>1</f>
        <v>1</v>
      </c>
      <c r="DA2609" s="5" t="s">
        <v>274</v>
      </c>
      <c r="DB2609" s="5" t="s">
        <v>238</v>
      </c>
      <c r="DD2609" s="5" t="s">
        <v>274</v>
      </c>
      <c r="DE2609" s="8">
        <f>103</f>
        <v>103</v>
      </c>
      <c r="DG2609" s="5" t="s">
        <v>238</v>
      </c>
      <c r="DH2609" s="5" t="s">
        <v>238</v>
      </c>
      <c r="DI2609" s="5" t="s">
        <v>238</v>
      </c>
      <c r="DJ2609" s="5" t="s">
        <v>238</v>
      </c>
      <c r="DN2609" s="5" t="s">
        <v>238</v>
      </c>
      <c r="DO2609" s="5" t="s">
        <v>238</v>
      </c>
      <c r="DP2609" s="5" t="s">
        <v>238</v>
      </c>
      <c r="DQ2609" s="5" t="s">
        <v>238</v>
      </c>
      <c r="DT2609" s="5" t="s">
        <v>275</v>
      </c>
      <c r="DU2609" s="5" t="s">
        <v>1463</v>
      </c>
      <c r="HM2609" s="5" t="s">
        <v>264</v>
      </c>
    </row>
    <row r="2610" spans="1:221" x14ac:dyDescent="0.4">
      <c r="A2610" s="5">
        <v>4314</v>
      </c>
      <c r="B2610" s="5">
        <v>1</v>
      </c>
      <c r="C2610" s="5">
        <v>1</v>
      </c>
      <c r="D2610" s="5" t="s">
        <v>269</v>
      </c>
      <c r="E2610" s="5" t="s">
        <v>271</v>
      </c>
      <c r="F2610" s="5" t="s">
        <v>248</v>
      </c>
      <c r="G2610" s="5" t="s">
        <v>266</v>
      </c>
      <c r="H2610" s="6" t="s">
        <v>1743</v>
      </c>
      <c r="I2610" s="7">
        <f>905</f>
        <v>905</v>
      </c>
      <c r="J2610" s="5" t="s">
        <v>262</v>
      </c>
      <c r="K2610" s="8">
        <f>1</f>
        <v>1</v>
      </c>
      <c r="L2610" s="6" t="s">
        <v>242</v>
      </c>
      <c r="M2610" s="5" t="s">
        <v>267</v>
      </c>
      <c r="N2610" s="5" t="s">
        <v>265</v>
      </c>
      <c r="O2610" s="5" t="s">
        <v>238</v>
      </c>
      <c r="P2610" s="5" t="s">
        <v>238</v>
      </c>
      <c r="Q2610" s="5" t="s">
        <v>268</v>
      </c>
      <c r="R2610" s="5" t="s">
        <v>270</v>
      </c>
      <c r="S2610" s="5" t="s">
        <v>238</v>
      </c>
      <c r="V2610" s="5" t="s">
        <v>238</v>
      </c>
      <c r="X2610" s="6" t="s">
        <v>238</v>
      </c>
      <c r="AA2610" s="6" t="s">
        <v>243</v>
      </c>
      <c r="AB2610" s="5" t="s">
        <v>238</v>
      </c>
      <c r="AC2610" s="5" t="s">
        <v>244</v>
      </c>
      <c r="AD2610" s="5" t="s">
        <v>245</v>
      </c>
      <c r="AT2610" s="5" t="s">
        <v>246</v>
      </c>
      <c r="AU2610" s="5" t="s">
        <v>238</v>
      </c>
      <c r="AV2610" s="5" t="s">
        <v>247</v>
      </c>
      <c r="AW2610" s="5" t="s">
        <v>238</v>
      </c>
      <c r="AX2610" s="5" t="s">
        <v>249</v>
      </c>
      <c r="AY2610" s="5" t="s">
        <v>238</v>
      </c>
      <c r="BA2610" s="5" t="s">
        <v>238</v>
      </c>
      <c r="BC2610" s="5" t="s">
        <v>250</v>
      </c>
      <c r="BD2610" s="6" t="s">
        <v>243</v>
      </c>
      <c r="BE2610" s="5" t="s">
        <v>251</v>
      </c>
      <c r="BF2610" s="5" t="s">
        <v>252</v>
      </c>
      <c r="BG2610" s="5" t="s">
        <v>238</v>
      </c>
      <c r="BH2610" s="7">
        <f>0</f>
        <v>0</v>
      </c>
      <c r="BI2610" s="8">
        <f>0</f>
        <v>0</v>
      </c>
      <c r="BJ2610" s="5" t="s">
        <v>253</v>
      </c>
      <c r="BK2610" s="5" t="s">
        <v>254</v>
      </c>
      <c r="BY2610" s="5" t="s">
        <v>238</v>
      </c>
      <c r="BZ2610" s="5" t="s">
        <v>238</v>
      </c>
      <c r="CD2610" s="5" t="s">
        <v>273</v>
      </c>
      <c r="CE2610" s="5" t="s">
        <v>256</v>
      </c>
      <c r="CF2610" s="5" t="s">
        <v>238</v>
      </c>
      <c r="CI2610" s="6" t="s">
        <v>257</v>
      </c>
      <c r="CJ2610" s="5" t="s">
        <v>238</v>
      </c>
      <c r="CK2610" s="5" t="s">
        <v>258</v>
      </c>
      <c r="CL2610" s="5" t="s">
        <v>238</v>
      </c>
      <c r="CM2610" s="5" t="s">
        <v>238</v>
      </c>
      <c r="CN2610" s="5">
        <v>0</v>
      </c>
      <c r="CO2610" s="5" t="s">
        <v>259</v>
      </c>
      <c r="CP2610" s="5" t="s">
        <v>260</v>
      </c>
      <c r="CQ2610" s="5" t="s">
        <v>260</v>
      </c>
      <c r="CR2610" s="5" t="s">
        <v>261</v>
      </c>
      <c r="CU2610" s="8">
        <f>1</f>
        <v>1</v>
      </c>
      <c r="CV2610" s="8">
        <f>0</f>
        <v>0</v>
      </c>
      <c r="CX2610" s="8">
        <f>0</f>
        <v>0</v>
      </c>
      <c r="CY2610" s="8">
        <f>1</f>
        <v>1</v>
      </c>
      <c r="DA2610" s="5" t="s">
        <v>274</v>
      </c>
      <c r="DB2610" s="5" t="s">
        <v>238</v>
      </c>
      <c r="DD2610" s="5" t="s">
        <v>274</v>
      </c>
      <c r="DE2610" s="8">
        <f>905</f>
        <v>905</v>
      </c>
      <c r="DG2610" s="5" t="s">
        <v>238</v>
      </c>
      <c r="DH2610" s="5" t="s">
        <v>238</v>
      </c>
      <c r="DI2610" s="5" t="s">
        <v>238</v>
      </c>
      <c r="DJ2610" s="5" t="s">
        <v>238</v>
      </c>
      <c r="DN2610" s="5" t="s">
        <v>238</v>
      </c>
      <c r="DO2610" s="5" t="s">
        <v>238</v>
      </c>
      <c r="DP2610" s="5" t="s">
        <v>238</v>
      </c>
      <c r="DQ2610" s="5" t="s">
        <v>238</v>
      </c>
      <c r="DT2610" s="5" t="s">
        <v>275</v>
      </c>
      <c r="DU2610" s="5" t="s">
        <v>1744</v>
      </c>
      <c r="HM2610" s="5" t="s">
        <v>264</v>
      </c>
    </row>
    <row r="2611" spans="1:221" x14ac:dyDescent="0.4">
      <c r="A2611" s="5">
        <v>4315</v>
      </c>
      <c r="B2611" s="5">
        <v>1</v>
      </c>
      <c r="C2611" s="5">
        <v>1</v>
      </c>
      <c r="D2611" s="5" t="s">
        <v>269</v>
      </c>
      <c r="E2611" s="5" t="s">
        <v>271</v>
      </c>
      <c r="F2611" s="5" t="s">
        <v>248</v>
      </c>
      <c r="G2611" s="5" t="s">
        <v>266</v>
      </c>
      <c r="H2611" s="6" t="s">
        <v>1841</v>
      </c>
      <c r="I2611" s="7">
        <f>1965</f>
        <v>1965</v>
      </c>
      <c r="J2611" s="5" t="s">
        <v>262</v>
      </c>
      <c r="K2611" s="8">
        <f>1</f>
        <v>1</v>
      </c>
      <c r="L2611" s="6" t="s">
        <v>242</v>
      </c>
      <c r="M2611" s="5" t="s">
        <v>267</v>
      </c>
      <c r="N2611" s="5" t="s">
        <v>265</v>
      </c>
      <c r="O2611" s="5" t="s">
        <v>238</v>
      </c>
      <c r="P2611" s="5" t="s">
        <v>238</v>
      </c>
      <c r="Q2611" s="5" t="s">
        <v>268</v>
      </c>
      <c r="R2611" s="5" t="s">
        <v>270</v>
      </c>
      <c r="S2611" s="5" t="s">
        <v>238</v>
      </c>
      <c r="V2611" s="5" t="s">
        <v>238</v>
      </c>
      <c r="X2611" s="6" t="s">
        <v>238</v>
      </c>
      <c r="AA2611" s="6" t="s">
        <v>243</v>
      </c>
      <c r="AB2611" s="5" t="s">
        <v>238</v>
      </c>
      <c r="AC2611" s="5" t="s">
        <v>244</v>
      </c>
      <c r="AD2611" s="5" t="s">
        <v>245</v>
      </c>
      <c r="AT2611" s="5" t="s">
        <v>246</v>
      </c>
      <c r="AU2611" s="5" t="s">
        <v>238</v>
      </c>
      <c r="AV2611" s="5" t="s">
        <v>247</v>
      </c>
      <c r="AW2611" s="5" t="s">
        <v>238</v>
      </c>
      <c r="AX2611" s="5" t="s">
        <v>249</v>
      </c>
      <c r="AY2611" s="5" t="s">
        <v>238</v>
      </c>
      <c r="BA2611" s="5" t="s">
        <v>238</v>
      </c>
      <c r="BC2611" s="5" t="s">
        <v>250</v>
      </c>
      <c r="BD2611" s="6" t="s">
        <v>243</v>
      </c>
      <c r="BE2611" s="5" t="s">
        <v>251</v>
      </c>
      <c r="BF2611" s="5" t="s">
        <v>252</v>
      </c>
      <c r="BG2611" s="5" t="s">
        <v>238</v>
      </c>
      <c r="BH2611" s="7">
        <f>0</f>
        <v>0</v>
      </c>
      <c r="BI2611" s="8">
        <f>0</f>
        <v>0</v>
      </c>
      <c r="BJ2611" s="5" t="s">
        <v>253</v>
      </c>
      <c r="BK2611" s="5" t="s">
        <v>254</v>
      </c>
      <c r="BY2611" s="5" t="s">
        <v>238</v>
      </c>
      <c r="BZ2611" s="5" t="s">
        <v>238</v>
      </c>
      <c r="CD2611" s="5" t="s">
        <v>273</v>
      </c>
      <c r="CE2611" s="5" t="s">
        <v>256</v>
      </c>
      <c r="CF2611" s="5" t="s">
        <v>238</v>
      </c>
      <c r="CI2611" s="6" t="s">
        <v>257</v>
      </c>
      <c r="CJ2611" s="5" t="s">
        <v>238</v>
      </c>
      <c r="CK2611" s="5" t="s">
        <v>258</v>
      </c>
      <c r="CL2611" s="5" t="s">
        <v>238</v>
      </c>
      <c r="CM2611" s="5" t="s">
        <v>238</v>
      </c>
      <c r="CN2611" s="5">
        <v>0</v>
      </c>
      <c r="CO2611" s="5" t="s">
        <v>259</v>
      </c>
      <c r="CP2611" s="5" t="s">
        <v>260</v>
      </c>
      <c r="CQ2611" s="5" t="s">
        <v>260</v>
      </c>
      <c r="CR2611" s="5" t="s">
        <v>261</v>
      </c>
      <c r="CU2611" s="8">
        <f>1</f>
        <v>1</v>
      </c>
      <c r="CV2611" s="8">
        <f>0</f>
        <v>0</v>
      </c>
      <c r="CX2611" s="8">
        <f>0</f>
        <v>0</v>
      </c>
      <c r="CY2611" s="8">
        <f>1</f>
        <v>1</v>
      </c>
      <c r="DA2611" s="5" t="s">
        <v>274</v>
      </c>
      <c r="DB2611" s="5" t="s">
        <v>238</v>
      </c>
      <c r="DD2611" s="5" t="s">
        <v>274</v>
      </c>
      <c r="DE2611" s="8">
        <f>1965</f>
        <v>1965</v>
      </c>
      <c r="DG2611" s="5" t="s">
        <v>238</v>
      </c>
      <c r="DH2611" s="5" t="s">
        <v>238</v>
      </c>
      <c r="DI2611" s="5" t="s">
        <v>238</v>
      </c>
      <c r="DJ2611" s="5" t="s">
        <v>238</v>
      </c>
      <c r="DN2611" s="5" t="s">
        <v>238</v>
      </c>
      <c r="DO2611" s="5" t="s">
        <v>238</v>
      </c>
      <c r="DP2611" s="5" t="s">
        <v>238</v>
      </c>
      <c r="DQ2611" s="5" t="s">
        <v>238</v>
      </c>
      <c r="DT2611" s="5" t="s">
        <v>275</v>
      </c>
      <c r="DU2611" s="5" t="s">
        <v>1842</v>
      </c>
      <c r="HM2611" s="5" t="s">
        <v>264</v>
      </c>
    </row>
    <row r="2612" spans="1:221" x14ac:dyDescent="0.4">
      <c r="A2612" s="5">
        <v>4316</v>
      </c>
      <c r="B2612" s="5">
        <v>1</v>
      </c>
      <c r="C2612" s="5">
        <v>1</v>
      </c>
      <c r="D2612" s="5" t="s">
        <v>269</v>
      </c>
      <c r="E2612" s="5" t="s">
        <v>271</v>
      </c>
      <c r="F2612" s="5" t="s">
        <v>248</v>
      </c>
      <c r="G2612" s="5" t="s">
        <v>266</v>
      </c>
      <c r="H2612" s="6" t="s">
        <v>1835</v>
      </c>
      <c r="I2612" s="7">
        <f>322</f>
        <v>322</v>
      </c>
      <c r="J2612" s="5" t="s">
        <v>262</v>
      </c>
      <c r="K2612" s="8">
        <f>1</f>
        <v>1</v>
      </c>
      <c r="L2612" s="6" t="s">
        <v>242</v>
      </c>
      <c r="M2612" s="5" t="s">
        <v>267</v>
      </c>
      <c r="N2612" s="5" t="s">
        <v>265</v>
      </c>
      <c r="O2612" s="5" t="s">
        <v>238</v>
      </c>
      <c r="P2612" s="5" t="s">
        <v>238</v>
      </c>
      <c r="Q2612" s="5" t="s">
        <v>268</v>
      </c>
      <c r="R2612" s="5" t="s">
        <v>270</v>
      </c>
      <c r="S2612" s="5" t="s">
        <v>238</v>
      </c>
      <c r="V2612" s="5" t="s">
        <v>238</v>
      </c>
      <c r="X2612" s="6" t="s">
        <v>238</v>
      </c>
      <c r="AA2612" s="6" t="s">
        <v>243</v>
      </c>
      <c r="AB2612" s="5" t="s">
        <v>238</v>
      </c>
      <c r="AC2612" s="5" t="s">
        <v>244</v>
      </c>
      <c r="AD2612" s="5" t="s">
        <v>245</v>
      </c>
      <c r="AT2612" s="5" t="s">
        <v>246</v>
      </c>
      <c r="AU2612" s="5" t="s">
        <v>238</v>
      </c>
      <c r="AV2612" s="5" t="s">
        <v>247</v>
      </c>
      <c r="AW2612" s="5" t="s">
        <v>238</v>
      </c>
      <c r="AX2612" s="5" t="s">
        <v>249</v>
      </c>
      <c r="AY2612" s="5" t="s">
        <v>238</v>
      </c>
      <c r="BA2612" s="5" t="s">
        <v>238</v>
      </c>
      <c r="BC2612" s="5" t="s">
        <v>250</v>
      </c>
      <c r="BD2612" s="6" t="s">
        <v>243</v>
      </c>
      <c r="BE2612" s="5" t="s">
        <v>251</v>
      </c>
      <c r="BF2612" s="5" t="s">
        <v>252</v>
      </c>
      <c r="BG2612" s="5" t="s">
        <v>238</v>
      </c>
      <c r="BH2612" s="7">
        <f>0</f>
        <v>0</v>
      </c>
      <c r="BI2612" s="8">
        <f>0</f>
        <v>0</v>
      </c>
      <c r="BJ2612" s="5" t="s">
        <v>253</v>
      </c>
      <c r="BK2612" s="5" t="s">
        <v>254</v>
      </c>
      <c r="BY2612" s="5" t="s">
        <v>238</v>
      </c>
      <c r="BZ2612" s="5" t="s">
        <v>238</v>
      </c>
      <c r="CD2612" s="5" t="s">
        <v>273</v>
      </c>
      <c r="CE2612" s="5" t="s">
        <v>256</v>
      </c>
      <c r="CF2612" s="5" t="s">
        <v>238</v>
      </c>
      <c r="CI2612" s="6" t="s">
        <v>257</v>
      </c>
      <c r="CJ2612" s="5" t="s">
        <v>238</v>
      </c>
      <c r="CK2612" s="5" t="s">
        <v>258</v>
      </c>
      <c r="CL2612" s="5" t="s">
        <v>238</v>
      </c>
      <c r="CM2612" s="5" t="s">
        <v>238</v>
      </c>
      <c r="CN2612" s="5">
        <v>0</v>
      </c>
      <c r="CO2612" s="5" t="s">
        <v>259</v>
      </c>
      <c r="CP2612" s="5" t="s">
        <v>260</v>
      </c>
      <c r="CQ2612" s="5" t="s">
        <v>260</v>
      </c>
      <c r="CR2612" s="5" t="s">
        <v>261</v>
      </c>
      <c r="CU2612" s="8">
        <f>1</f>
        <v>1</v>
      </c>
      <c r="CV2612" s="8">
        <f>0</f>
        <v>0</v>
      </c>
      <c r="CX2612" s="8">
        <f>0</f>
        <v>0</v>
      </c>
      <c r="CY2612" s="8">
        <f>1</f>
        <v>1</v>
      </c>
      <c r="DA2612" s="5" t="s">
        <v>274</v>
      </c>
      <c r="DB2612" s="5" t="s">
        <v>238</v>
      </c>
      <c r="DD2612" s="5" t="s">
        <v>274</v>
      </c>
      <c r="DE2612" s="8">
        <f>322</f>
        <v>322</v>
      </c>
      <c r="DG2612" s="5" t="s">
        <v>238</v>
      </c>
      <c r="DH2612" s="5" t="s">
        <v>238</v>
      </c>
      <c r="DI2612" s="5" t="s">
        <v>238</v>
      </c>
      <c r="DJ2612" s="5" t="s">
        <v>238</v>
      </c>
      <c r="DN2612" s="5" t="s">
        <v>238</v>
      </c>
      <c r="DO2612" s="5" t="s">
        <v>238</v>
      </c>
      <c r="DP2612" s="5" t="s">
        <v>238</v>
      </c>
      <c r="DQ2612" s="5" t="s">
        <v>238</v>
      </c>
      <c r="DT2612" s="5" t="s">
        <v>275</v>
      </c>
      <c r="DU2612" s="5" t="s">
        <v>1836</v>
      </c>
      <c r="HM2612" s="5" t="s">
        <v>264</v>
      </c>
    </row>
    <row r="2613" spans="1:221" x14ac:dyDescent="0.4">
      <c r="A2613" s="5">
        <v>4317</v>
      </c>
      <c r="B2613" s="5">
        <v>1</v>
      </c>
      <c r="C2613" s="5">
        <v>1</v>
      </c>
      <c r="D2613" s="5" t="s">
        <v>269</v>
      </c>
      <c r="E2613" s="5" t="s">
        <v>271</v>
      </c>
      <c r="F2613" s="5" t="s">
        <v>248</v>
      </c>
      <c r="G2613" s="5" t="s">
        <v>266</v>
      </c>
      <c r="H2613" s="6" t="s">
        <v>1411</v>
      </c>
      <c r="I2613" s="7">
        <f>1305</f>
        <v>1305</v>
      </c>
      <c r="J2613" s="5" t="s">
        <v>262</v>
      </c>
      <c r="K2613" s="8">
        <f>1</f>
        <v>1</v>
      </c>
      <c r="L2613" s="6" t="s">
        <v>242</v>
      </c>
      <c r="M2613" s="5" t="s">
        <v>267</v>
      </c>
      <c r="N2613" s="5" t="s">
        <v>265</v>
      </c>
      <c r="O2613" s="5" t="s">
        <v>238</v>
      </c>
      <c r="P2613" s="5" t="s">
        <v>238</v>
      </c>
      <c r="Q2613" s="5" t="s">
        <v>268</v>
      </c>
      <c r="R2613" s="5" t="s">
        <v>270</v>
      </c>
      <c r="S2613" s="5" t="s">
        <v>238</v>
      </c>
      <c r="V2613" s="5" t="s">
        <v>238</v>
      </c>
      <c r="X2613" s="6" t="s">
        <v>238</v>
      </c>
      <c r="AA2613" s="6" t="s">
        <v>243</v>
      </c>
      <c r="AB2613" s="5" t="s">
        <v>238</v>
      </c>
      <c r="AC2613" s="5" t="s">
        <v>244</v>
      </c>
      <c r="AD2613" s="5" t="s">
        <v>245</v>
      </c>
      <c r="AT2613" s="5" t="s">
        <v>246</v>
      </c>
      <c r="AU2613" s="5" t="s">
        <v>238</v>
      </c>
      <c r="AV2613" s="5" t="s">
        <v>247</v>
      </c>
      <c r="AW2613" s="5" t="s">
        <v>238</v>
      </c>
      <c r="AX2613" s="5" t="s">
        <v>249</v>
      </c>
      <c r="AY2613" s="5" t="s">
        <v>238</v>
      </c>
      <c r="BA2613" s="5" t="s">
        <v>238</v>
      </c>
      <c r="BC2613" s="5" t="s">
        <v>250</v>
      </c>
      <c r="BD2613" s="6" t="s">
        <v>243</v>
      </c>
      <c r="BE2613" s="5" t="s">
        <v>251</v>
      </c>
      <c r="BF2613" s="5" t="s">
        <v>252</v>
      </c>
      <c r="BG2613" s="5" t="s">
        <v>238</v>
      </c>
      <c r="BH2613" s="7">
        <f>0</f>
        <v>0</v>
      </c>
      <c r="BI2613" s="8">
        <f>0</f>
        <v>0</v>
      </c>
      <c r="BJ2613" s="5" t="s">
        <v>253</v>
      </c>
      <c r="BK2613" s="5" t="s">
        <v>254</v>
      </c>
      <c r="BY2613" s="5" t="s">
        <v>238</v>
      </c>
      <c r="BZ2613" s="5" t="s">
        <v>238</v>
      </c>
      <c r="CD2613" s="5" t="s">
        <v>273</v>
      </c>
      <c r="CE2613" s="5" t="s">
        <v>256</v>
      </c>
      <c r="CF2613" s="5" t="s">
        <v>238</v>
      </c>
      <c r="CI2613" s="6" t="s">
        <v>257</v>
      </c>
      <c r="CJ2613" s="5" t="s">
        <v>238</v>
      </c>
      <c r="CK2613" s="5" t="s">
        <v>258</v>
      </c>
      <c r="CL2613" s="5" t="s">
        <v>238</v>
      </c>
      <c r="CM2613" s="5" t="s">
        <v>238</v>
      </c>
      <c r="CN2613" s="5">
        <v>0</v>
      </c>
      <c r="CO2613" s="5" t="s">
        <v>259</v>
      </c>
      <c r="CP2613" s="5" t="s">
        <v>260</v>
      </c>
      <c r="CQ2613" s="5" t="s">
        <v>260</v>
      </c>
      <c r="CR2613" s="5" t="s">
        <v>261</v>
      </c>
      <c r="CU2613" s="8">
        <f>1</f>
        <v>1</v>
      </c>
      <c r="CV2613" s="8">
        <f>0</f>
        <v>0</v>
      </c>
      <c r="CX2613" s="8">
        <f>0</f>
        <v>0</v>
      </c>
      <c r="CY2613" s="8">
        <f>1</f>
        <v>1</v>
      </c>
      <c r="DA2613" s="5" t="s">
        <v>274</v>
      </c>
      <c r="DB2613" s="5" t="s">
        <v>238</v>
      </c>
      <c r="DD2613" s="5" t="s">
        <v>274</v>
      </c>
      <c r="DE2613" s="8">
        <f>1305</f>
        <v>1305</v>
      </c>
      <c r="DG2613" s="5" t="s">
        <v>238</v>
      </c>
      <c r="DH2613" s="5" t="s">
        <v>238</v>
      </c>
      <c r="DI2613" s="5" t="s">
        <v>238</v>
      </c>
      <c r="DJ2613" s="5" t="s">
        <v>238</v>
      </c>
      <c r="DN2613" s="5" t="s">
        <v>238</v>
      </c>
      <c r="DO2613" s="5" t="s">
        <v>238</v>
      </c>
      <c r="DP2613" s="5" t="s">
        <v>238</v>
      </c>
      <c r="DQ2613" s="5" t="s">
        <v>238</v>
      </c>
      <c r="DT2613" s="5" t="s">
        <v>275</v>
      </c>
      <c r="DU2613" s="5" t="s">
        <v>1412</v>
      </c>
      <c r="HM2613" s="5" t="s">
        <v>264</v>
      </c>
    </row>
    <row r="2614" spans="1:221" x14ac:dyDescent="0.4">
      <c r="A2614" s="5">
        <v>4318</v>
      </c>
      <c r="B2614" s="5">
        <v>1</v>
      </c>
      <c r="C2614" s="5">
        <v>1</v>
      </c>
      <c r="D2614" s="5" t="s">
        <v>269</v>
      </c>
      <c r="E2614" s="5" t="s">
        <v>271</v>
      </c>
      <c r="F2614" s="5" t="s">
        <v>248</v>
      </c>
      <c r="G2614" s="5" t="s">
        <v>266</v>
      </c>
      <c r="H2614" s="6" t="s">
        <v>972</v>
      </c>
      <c r="I2614" s="7">
        <f>122</f>
        <v>122</v>
      </c>
      <c r="J2614" s="5" t="s">
        <v>262</v>
      </c>
      <c r="K2614" s="8">
        <f>1</f>
        <v>1</v>
      </c>
      <c r="L2614" s="6" t="s">
        <v>242</v>
      </c>
      <c r="M2614" s="5" t="s">
        <v>267</v>
      </c>
      <c r="N2614" s="5" t="s">
        <v>265</v>
      </c>
      <c r="O2614" s="5" t="s">
        <v>238</v>
      </c>
      <c r="P2614" s="5" t="s">
        <v>238</v>
      </c>
      <c r="Q2614" s="5" t="s">
        <v>268</v>
      </c>
      <c r="R2614" s="5" t="s">
        <v>270</v>
      </c>
      <c r="S2614" s="5" t="s">
        <v>238</v>
      </c>
      <c r="V2614" s="5" t="s">
        <v>238</v>
      </c>
      <c r="X2614" s="6" t="s">
        <v>238</v>
      </c>
      <c r="AA2614" s="6" t="s">
        <v>243</v>
      </c>
      <c r="AB2614" s="5" t="s">
        <v>238</v>
      </c>
      <c r="AC2614" s="5" t="s">
        <v>244</v>
      </c>
      <c r="AD2614" s="5" t="s">
        <v>245</v>
      </c>
      <c r="AT2614" s="5" t="s">
        <v>246</v>
      </c>
      <c r="AU2614" s="5" t="s">
        <v>238</v>
      </c>
      <c r="AV2614" s="5" t="s">
        <v>247</v>
      </c>
      <c r="AW2614" s="5" t="s">
        <v>238</v>
      </c>
      <c r="AX2614" s="5" t="s">
        <v>249</v>
      </c>
      <c r="AY2614" s="5" t="s">
        <v>238</v>
      </c>
      <c r="BA2614" s="5" t="s">
        <v>238</v>
      </c>
      <c r="BC2614" s="5" t="s">
        <v>250</v>
      </c>
      <c r="BD2614" s="6" t="s">
        <v>243</v>
      </c>
      <c r="BE2614" s="5" t="s">
        <v>251</v>
      </c>
      <c r="BF2614" s="5" t="s">
        <v>252</v>
      </c>
      <c r="BG2614" s="5" t="s">
        <v>238</v>
      </c>
      <c r="BH2614" s="7">
        <f>0</f>
        <v>0</v>
      </c>
      <c r="BI2614" s="8">
        <f>0</f>
        <v>0</v>
      </c>
      <c r="BJ2614" s="5" t="s">
        <v>253</v>
      </c>
      <c r="BK2614" s="5" t="s">
        <v>254</v>
      </c>
      <c r="BY2614" s="5" t="s">
        <v>238</v>
      </c>
      <c r="BZ2614" s="5" t="s">
        <v>238</v>
      </c>
      <c r="CD2614" s="5" t="s">
        <v>273</v>
      </c>
      <c r="CE2614" s="5" t="s">
        <v>256</v>
      </c>
      <c r="CF2614" s="5" t="s">
        <v>238</v>
      </c>
      <c r="CI2614" s="6" t="s">
        <v>257</v>
      </c>
      <c r="CJ2614" s="5" t="s">
        <v>238</v>
      </c>
      <c r="CK2614" s="5" t="s">
        <v>258</v>
      </c>
      <c r="CL2614" s="5" t="s">
        <v>238</v>
      </c>
      <c r="CM2614" s="5" t="s">
        <v>238</v>
      </c>
      <c r="CN2614" s="5">
        <v>0</v>
      </c>
      <c r="CO2614" s="5" t="s">
        <v>259</v>
      </c>
      <c r="CP2614" s="5" t="s">
        <v>260</v>
      </c>
      <c r="CQ2614" s="5" t="s">
        <v>260</v>
      </c>
      <c r="CR2614" s="5" t="s">
        <v>261</v>
      </c>
      <c r="CU2614" s="8">
        <f>1</f>
        <v>1</v>
      </c>
      <c r="CV2614" s="8">
        <f>0</f>
        <v>0</v>
      </c>
      <c r="CX2614" s="8">
        <f>0</f>
        <v>0</v>
      </c>
      <c r="CY2614" s="8">
        <f>1</f>
        <v>1</v>
      </c>
      <c r="DA2614" s="5" t="s">
        <v>274</v>
      </c>
      <c r="DB2614" s="5" t="s">
        <v>238</v>
      </c>
      <c r="DD2614" s="5" t="s">
        <v>274</v>
      </c>
      <c r="DE2614" s="8">
        <f>122</f>
        <v>122</v>
      </c>
      <c r="DG2614" s="5" t="s">
        <v>238</v>
      </c>
      <c r="DH2614" s="5" t="s">
        <v>238</v>
      </c>
      <c r="DI2614" s="5" t="s">
        <v>238</v>
      </c>
      <c r="DJ2614" s="5" t="s">
        <v>238</v>
      </c>
      <c r="DN2614" s="5" t="s">
        <v>238</v>
      </c>
      <c r="DO2614" s="5" t="s">
        <v>238</v>
      </c>
      <c r="DP2614" s="5" t="s">
        <v>238</v>
      </c>
      <c r="DQ2614" s="5" t="s">
        <v>238</v>
      </c>
      <c r="DT2614" s="5" t="s">
        <v>275</v>
      </c>
      <c r="DU2614" s="5" t="s">
        <v>973</v>
      </c>
      <c r="HM2614" s="5" t="s">
        <v>264</v>
      </c>
    </row>
    <row r="2615" spans="1:221" x14ac:dyDescent="0.4">
      <c r="A2615" s="5">
        <v>4319</v>
      </c>
      <c r="B2615" s="5">
        <v>1</v>
      </c>
      <c r="C2615" s="5">
        <v>1</v>
      </c>
      <c r="D2615" s="5" t="s">
        <v>269</v>
      </c>
      <c r="E2615" s="5" t="s">
        <v>271</v>
      </c>
      <c r="F2615" s="5" t="s">
        <v>248</v>
      </c>
      <c r="G2615" s="5" t="s">
        <v>266</v>
      </c>
      <c r="H2615" s="6" t="s">
        <v>1757</v>
      </c>
      <c r="I2615" s="7">
        <f>335</f>
        <v>335</v>
      </c>
      <c r="J2615" s="5" t="s">
        <v>262</v>
      </c>
      <c r="K2615" s="8">
        <f>1</f>
        <v>1</v>
      </c>
      <c r="L2615" s="6" t="s">
        <v>242</v>
      </c>
      <c r="M2615" s="5" t="s">
        <v>267</v>
      </c>
      <c r="N2615" s="5" t="s">
        <v>265</v>
      </c>
      <c r="O2615" s="5" t="s">
        <v>238</v>
      </c>
      <c r="P2615" s="5" t="s">
        <v>238</v>
      </c>
      <c r="Q2615" s="5" t="s">
        <v>268</v>
      </c>
      <c r="R2615" s="5" t="s">
        <v>270</v>
      </c>
      <c r="S2615" s="5" t="s">
        <v>238</v>
      </c>
      <c r="V2615" s="5" t="s">
        <v>238</v>
      </c>
      <c r="X2615" s="6" t="s">
        <v>238</v>
      </c>
      <c r="AA2615" s="6" t="s">
        <v>243</v>
      </c>
      <c r="AB2615" s="5" t="s">
        <v>238</v>
      </c>
      <c r="AC2615" s="5" t="s">
        <v>244</v>
      </c>
      <c r="AD2615" s="5" t="s">
        <v>245</v>
      </c>
      <c r="AT2615" s="5" t="s">
        <v>246</v>
      </c>
      <c r="AU2615" s="5" t="s">
        <v>238</v>
      </c>
      <c r="AV2615" s="5" t="s">
        <v>247</v>
      </c>
      <c r="AW2615" s="5" t="s">
        <v>238</v>
      </c>
      <c r="AX2615" s="5" t="s">
        <v>249</v>
      </c>
      <c r="AY2615" s="5" t="s">
        <v>238</v>
      </c>
      <c r="BA2615" s="5" t="s">
        <v>238</v>
      </c>
      <c r="BC2615" s="5" t="s">
        <v>250</v>
      </c>
      <c r="BD2615" s="6" t="s">
        <v>243</v>
      </c>
      <c r="BE2615" s="5" t="s">
        <v>251</v>
      </c>
      <c r="BF2615" s="5" t="s">
        <v>252</v>
      </c>
      <c r="BG2615" s="5" t="s">
        <v>238</v>
      </c>
      <c r="BH2615" s="7">
        <f>0</f>
        <v>0</v>
      </c>
      <c r="BI2615" s="8">
        <f>0</f>
        <v>0</v>
      </c>
      <c r="BJ2615" s="5" t="s">
        <v>253</v>
      </c>
      <c r="BK2615" s="5" t="s">
        <v>254</v>
      </c>
      <c r="BY2615" s="5" t="s">
        <v>238</v>
      </c>
      <c r="BZ2615" s="5" t="s">
        <v>238</v>
      </c>
      <c r="CD2615" s="5" t="s">
        <v>273</v>
      </c>
      <c r="CE2615" s="5" t="s">
        <v>256</v>
      </c>
      <c r="CF2615" s="5" t="s">
        <v>238</v>
      </c>
      <c r="CI2615" s="6" t="s">
        <v>257</v>
      </c>
      <c r="CJ2615" s="5" t="s">
        <v>238</v>
      </c>
      <c r="CK2615" s="5" t="s">
        <v>258</v>
      </c>
      <c r="CL2615" s="5" t="s">
        <v>238</v>
      </c>
      <c r="CM2615" s="5" t="s">
        <v>238</v>
      </c>
      <c r="CN2615" s="5">
        <v>0</v>
      </c>
      <c r="CO2615" s="5" t="s">
        <v>259</v>
      </c>
      <c r="CP2615" s="5" t="s">
        <v>260</v>
      </c>
      <c r="CQ2615" s="5" t="s">
        <v>260</v>
      </c>
      <c r="CR2615" s="5" t="s">
        <v>261</v>
      </c>
      <c r="CU2615" s="8">
        <f>1</f>
        <v>1</v>
      </c>
      <c r="CV2615" s="8">
        <f>0</f>
        <v>0</v>
      </c>
      <c r="CX2615" s="8">
        <f>0</f>
        <v>0</v>
      </c>
      <c r="CY2615" s="8">
        <f>1</f>
        <v>1</v>
      </c>
      <c r="DA2615" s="5" t="s">
        <v>274</v>
      </c>
      <c r="DB2615" s="5" t="s">
        <v>238</v>
      </c>
      <c r="DD2615" s="5" t="s">
        <v>274</v>
      </c>
      <c r="DE2615" s="8">
        <f>335</f>
        <v>335</v>
      </c>
      <c r="DG2615" s="5" t="s">
        <v>238</v>
      </c>
      <c r="DH2615" s="5" t="s">
        <v>238</v>
      </c>
      <c r="DI2615" s="5" t="s">
        <v>238</v>
      </c>
      <c r="DJ2615" s="5" t="s">
        <v>238</v>
      </c>
      <c r="DN2615" s="5" t="s">
        <v>238</v>
      </c>
      <c r="DO2615" s="5" t="s">
        <v>238</v>
      </c>
      <c r="DP2615" s="5" t="s">
        <v>238</v>
      </c>
      <c r="DQ2615" s="5" t="s">
        <v>238</v>
      </c>
      <c r="DT2615" s="5" t="s">
        <v>275</v>
      </c>
      <c r="DU2615" s="5" t="s">
        <v>1758</v>
      </c>
      <c r="HM2615" s="5" t="s">
        <v>264</v>
      </c>
    </row>
    <row r="2616" spans="1:221" x14ac:dyDescent="0.4">
      <c r="A2616" s="5">
        <v>4320</v>
      </c>
      <c r="B2616" s="5">
        <v>1</v>
      </c>
      <c r="C2616" s="5">
        <v>1</v>
      </c>
      <c r="D2616" s="5" t="s">
        <v>269</v>
      </c>
      <c r="E2616" s="5" t="s">
        <v>271</v>
      </c>
      <c r="F2616" s="5" t="s">
        <v>248</v>
      </c>
      <c r="G2616" s="5" t="s">
        <v>266</v>
      </c>
      <c r="H2616" s="6" t="s">
        <v>1867</v>
      </c>
      <c r="I2616" s="7">
        <f>356</f>
        <v>356</v>
      </c>
      <c r="J2616" s="5" t="s">
        <v>262</v>
      </c>
      <c r="K2616" s="8">
        <f>1</f>
        <v>1</v>
      </c>
      <c r="L2616" s="6" t="s">
        <v>242</v>
      </c>
      <c r="M2616" s="5" t="s">
        <v>267</v>
      </c>
      <c r="N2616" s="5" t="s">
        <v>265</v>
      </c>
      <c r="O2616" s="5" t="s">
        <v>238</v>
      </c>
      <c r="P2616" s="5" t="s">
        <v>238</v>
      </c>
      <c r="Q2616" s="5" t="s">
        <v>268</v>
      </c>
      <c r="R2616" s="5" t="s">
        <v>270</v>
      </c>
      <c r="S2616" s="5" t="s">
        <v>238</v>
      </c>
      <c r="V2616" s="5" t="s">
        <v>238</v>
      </c>
      <c r="X2616" s="6" t="s">
        <v>238</v>
      </c>
      <c r="AA2616" s="6" t="s">
        <v>243</v>
      </c>
      <c r="AB2616" s="5" t="s">
        <v>238</v>
      </c>
      <c r="AC2616" s="5" t="s">
        <v>244</v>
      </c>
      <c r="AD2616" s="5" t="s">
        <v>245</v>
      </c>
      <c r="AT2616" s="5" t="s">
        <v>246</v>
      </c>
      <c r="AU2616" s="5" t="s">
        <v>238</v>
      </c>
      <c r="AV2616" s="5" t="s">
        <v>247</v>
      </c>
      <c r="AW2616" s="5" t="s">
        <v>238</v>
      </c>
      <c r="AX2616" s="5" t="s">
        <v>249</v>
      </c>
      <c r="AY2616" s="5" t="s">
        <v>238</v>
      </c>
      <c r="BA2616" s="5" t="s">
        <v>238</v>
      </c>
      <c r="BC2616" s="5" t="s">
        <v>250</v>
      </c>
      <c r="BD2616" s="6" t="s">
        <v>243</v>
      </c>
      <c r="BE2616" s="5" t="s">
        <v>251</v>
      </c>
      <c r="BF2616" s="5" t="s">
        <v>252</v>
      </c>
      <c r="BG2616" s="5" t="s">
        <v>238</v>
      </c>
      <c r="BH2616" s="7">
        <f>0</f>
        <v>0</v>
      </c>
      <c r="BI2616" s="8">
        <f>0</f>
        <v>0</v>
      </c>
      <c r="BJ2616" s="5" t="s">
        <v>253</v>
      </c>
      <c r="BK2616" s="5" t="s">
        <v>254</v>
      </c>
      <c r="BY2616" s="5" t="s">
        <v>238</v>
      </c>
      <c r="BZ2616" s="5" t="s">
        <v>238</v>
      </c>
      <c r="CD2616" s="5" t="s">
        <v>273</v>
      </c>
      <c r="CE2616" s="5" t="s">
        <v>256</v>
      </c>
      <c r="CF2616" s="5" t="s">
        <v>238</v>
      </c>
      <c r="CI2616" s="6" t="s">
        <v>257</v>
      </c>
      <c r="CJ2616" s="5" t="s">
        <v>238</v>
      </c>
      <c r="CK2616" s="5" t="s">
        <v>258</v>
      </c>
      <c r="CL2616" s="5" t="s">
        <v>238</v>
      </c>
      <c r="CM2616" s="5" t="s">
        <v>238</v>
      </c>
      <c r="CN2616" s="5">
        <v>0</v>
      </c>
      <c r="CO2616" s="5" t="s">
        <v>259</v>
      </c>
      <c r="CP2616" s="5" t="s">
        <v>260</v>
      </c>
      <c r="CQ2616" s="5" t="s">
        <v>260</v>
      </c>
      <c r="CR2616" s="5" t="s">
        <v>261</v>
      </c>
      <c r="CU2616" s="8">
        <f>1</f>
        <v>1</v>
      </c>
      <c r="CV2616" s="8">
        <f>0</f>
        <v>0</v>
      </c>
      <c r="CX2616" s="8">
        <f>0</f>
        <v>0</v>
      </c>
      <c r="CY2616" s="8">
        <f>1</f>
        <v>1</v>
      </c>
      <c r="DA2616" s="5" t="s">
        <v>274</v>
      </c>
      <c r="DB2616" s="5" t="s">
        <v>238</v>
      </c>
      <c r="DD2616" s="5" t="s">
        <v>274</v>
      </c>
      <c r="DE2616" s="8">
        <f>356</f>
        <v>356</v>
      </c>
      <c r="DG2616" s="5" t="s">
        <v>238</v>
      </c>
      <c r="DH2616" s="5" t="s">
        <v>238</v>
      </c>
      <c r="DI2616" s="5" t="s">
        <v>238</v>
      </c>
      <c r="DJ2616" s="5" t="s">
        <v>238</v>
      </c>
      <c r="DN2616" s="5" t="s">
        <v>238</v>
      </c>
      <c r="DO2616" s="5" t="s">
        <v>238</v>
      </c>
      <c r="DP2616" s="5" t="s">
        <v>238</v>
      </c>
      <c r="DQ2616" s="5" t="s">
        <v>238</v>
      </c>
      <c r="DT2616" s="5" t="s">
        <v>275</v>
      </c>
      <c r="DU2616" s="5" t="s">
        <v>1868</v>
      </c>
      <c r="HM2616" s="5" t="s">
        <v>264</v>
      </c>
    </row>
    <row r="2617" spans="1:221" x14ac:dyDescent="0.4">
      <c r="A2617" s="5">
        <v>4321</v>
      </c>
      <c r="B2617" s="5">
        <v>1</v>
      </c>
      <c r="C2617" s="5">
        <v>1</v>
      </c>
      <c r="D2617" s="5" t="s">
        <v>269</v>
      </c>
      <c r="E2617" s="5" t="s">
        <v>271</v>
      </c>
      <c r="F2617" s="5" t="s">
        <v>248</v>
      </c>
      <c r="G2617" s="5" t="s">
        <v>266</v>
      </c>
      <c r="H2617" s="6" t="s">
        <v>1705</v>
      </c>
      <c r="I2617" s="7">
        <f>753</f>
        <v>753</v>
      </c>
      <c r="J2617" s="5" t="s">
        <v>262</v>
      </c>
      <c r="K2617" s="8">
        <f>1</f>
        <v>1</v>
      </c>
      <c r="L2617" s="6" t="s">
        <v>242</v>
      </c>
      <c r="M2617" s="5" t="s">
        <v>267</v>
      </c>
      <c r="N2617" s="5" t="s">
        <v>265</v>
      </c>
      <c r="O2617" s="5" t="s">
        <v>238</v>
      </c>
      <c r="P2617" s="5" t="s">
        <v>238</v>
      </c>
      <c r="Q2617" s="5" t="s">
        <v>268</v>
      </c>
      <c r="R2617" s="5" t="s">
        <v>270</v>
      </c>
      <c r="S2617" s="5" t="s">
        <v>238</v>
      </c>
      <c r="V2617" s="5" t="s">
        <v>238</v>
      </c>
      <c r="X2617" s="6" t="s">
        <v>238</v>
      </c>
      <c r="AA2617" s="6" t="s">
        <v>243</v>
      </c>
      <c r="AB2617" s="5" t="s">
        <v>238</v>
      </c>
      <c r="AC2617" s="5" t="s">
        <v>244</v>
      </c>
      <c r="AD2617" s="5" t="s">
        <v>245</v>
      </c>
      <c r="AT2617" s="5" t="s">
        <v>246</v>
      </c>
      <c r="AU2617" s="5" t="s">
        <v>238</v>
      </c>
      <c r="AV2617" s="5" t="s">
        <v>247</v>
      </c>
      <c r="AW2617" s="5" t="s">
        <v>238</v>
      </c>
      <c r="AX2617" s="5" t="s">
        <v>249</v>
      </c>
      <c r="AY2617" s="5" t="s">
        <v>238</v>
      </c>
      <c r="BA2617" s="5" t="s">
        <v>238</v>
      </c>
      <c r="BC2617" s="5" t="s">
        <v>250</v>
      </c>
      <c r="BD2617" s="6" t="s">
        <v>243</v>
      </c>
      <c r="BE2617" s="5" t="s">
        <v>251</v>
      </c>
      <c r="BF2617" s="5" t="s">
        <v>252</v>
      </c>
      <c r="BG2617" s="5" t="s">
        <v>238</v>
      </c>
      <c r="BH2617" s="7">
        <f>0</f>
        <v>0</v>
      </c>
      <c r="BI2617" s="8">
        <f>0</f>
        <v>0</v>
      </c>
      <c r="BJ2617" s="5" t="s">
        <v>253</v>
      </c>
      <c r="BK2617" s="5" t="s">
        <v>254</v>
      </c>
      <c r="BY2617" s="5" t="s">
        <v>238</v>
      </c>
      <c r="BZ2617" s="5" t="s">
        <v>238</v>
      </c>
      <c r="CD2617" s="5" t="s">
        <v>273</v>
      </c>
      <c r="CE2617" s="5" t="s">
        <v>256</v>
      </c>
      <c r="CF2617" s="5" t="s">
        <v>238</v>
      </c>
      <c r="CI2617" s="6" t="s">
        <v>257</v>
      </c>
      <c r="CJ2617" s="5" t="s">
        <v>238</v>
      </c>
      <c r="CK2617" s="5" t="s">
        <v>258</v>
      </c>
      <c r="CL2617" s="5" t="s">
        <v>238</v>
      </c>
      <c r="CM2617" s="5" t="s">
        <v>238</v>
      </c>
      <c r="CN2617" s="5">
        <v>0</v>
      </c>
      <c r="CO2617" s="5" t="s">
        <v>259</v>
      </c>
      <c r="CP2617" s="5" t="s">
        <v>260</v>
      </c>
      <c r="CQ2617" s="5" t="s">
        <v>260</v>
      </c>
      <c r="CR2617" s="5" t="s">
        <v>261</v>
      </c>
      <c r="CU2617" s="8">
        <f>1</f>
        <v>1</v>
      </c>
      <c r="CV2617" s="8">
        <f>0</f>
        <v>0</v>
      </c>
      <c r="CX2617" s="8">
        <f>0</f>
        <v>0</v>
      </c>
      <c r="CY2617" s="8">
        <f>1</f>
        <v>1</v>
      </c>
      <c r="DA2617" s="5" t="s">
        <v>274</v>
      </c>
      <c r="DB2617" s="5" t="s">
        <v>238</v>
      </c>
      <c r="DD2617" s="5" t="s">
        <v>274</v>
      </c>
      <c r="DE2617" s="8">
        <f>753</f>
        <v>753</v>
      </c>
      <c r="DG2617" s="5" t="s">
        <v>238</v>
      </c>
      <c r="DH2617" s="5" t="s">
        <v>238</v>
      </c>
      <c r="DI2617" s="5" t="s">
        <v>238</v>
      </c>
      <c r="DJ2617" s="5" t="s">
        <v>238</v>
      </c>
      <c r="DN2617" s="5" t="s">
        <v>238</v>
      </c>
      <c r="DO2617" s="5" t="s">
        <v>238</v>
      </c>
      <c r="DP2617" s="5" t="s">
        <v>238</v>
      </c>
      <c r="DQ2617" s="5" t="s">
        <v>238</v>
      </c>
      <c r="DT2617" s="5" t="s">
        <v>275</v>
      </c>
      <c r="DU2617" s="5" t="s">
        <v>1706</v>
      </c>
      <c r="HM2617" s="5" t="s">
        <v>264</v>
      </c>
    </row>
    <row r="2618" spans="1:221" x14ac:dyDescent="0.4">
      <c r="A2618" s="5">
        <v>4322</v>
      </c>
      <c r="B2618" s="5">
        <v>1</v>
      </c>
      <c r="C2618" s="5">
        <v>1</v>
      </c>
      <c r="D2618" s="5" t="s">
        <v>269</v>
      </c>
      <c r="E2618" s="5" t="s">
        <v>271</v>
      </c>
      <c r="F2618" s="5" t="s">
        <v>248</v>
      </c>
      <c r="G2618" s="5" t="s">
        <v>266</v>
      </c>
      <c r="H2618" s="6" t="s">
        <v>1649</v>
      </c>
      <c r="I2618" s="7">
        <f>100</f>
        <v>100</v>
      </c>
      <c r="J2618" s="5" t="s">
        <v>262</v>
      </c>
      <c r="K2618" s="8">
        <f>1</f>
        <v>1</v>
      </c>
      <c r="L2618" s="6" t="s">
        <v>242</v>
      </c>
      <c r="M2618" s="5" t="s">
        <v>267</v>
      </c>
      <c r="N2618" s="5" t="s">
        <v>265</v>
      </c>
      <c r="O2618" s="5" t="s">
        <v>238</v>
      </c>
      <c r="P2618" s="5" t="s">
        <v>238</v>
      </c>
      <c r="Q2618" s="5" t="s">
        <v>268</v>
      </c>
      <c r="R2618" s="5" t="s">
        <v>270</v>
      </c>
      <c r="S2618" s="5" t="s">
        <v>238</v>
      </c>
      <c r="V2618" s="5" t="s">
        <v>238</v>
      </c>
      <c r="X2618" s="6" t="s">
        <v>238</v>
      </c>
      <c r="AA2618" s="6" t="s">
        <v>243</v>
      </c>
      <c r="AB2618" s="5" t="s">
        <v>238</v>
      </c>
      <c r="AC2618" s="5" t="s">
        <v>244</v>
      </c>
      <c r="AD2618" s="5" t="s">
        <v>245</v>
      </c>
      <c r="AT2618" s="5" t="s">
        <v>246</v>
      </c>
      <c r="AU2618" s="5" t="s">
        <v>238</v>
      </c>
      <c r="AV2618" s="5" t="s">
        <v>247</v>
      </c>
      <c r="AW2618" s="5" t="s">
        <v>238</v>
      </c>
      <c r="AX2618" s="5" t="s">
        <v>249</v>
      </c>
      <c r="AY2618" s="5" t="s">
        <v>238</v>
      </c>
      <c r="BA2618" s="5" t="s">
        <v>238</v>
      </c>
      <c r="BC2618" s="5" t="s">
        <v>250</v>
      </c>
      <c r="BD2618" s="6" t="s">
        <v>243</v>
      </c>
      <c r="BE2618" s="5" t="s">
        <v>251</v>
      </c>
      <c r="BF2618" s="5" t="s">
        <v>252</v>
      </c>
      <c r="BG2618" s="5" t="s">
        <v>238</v>
      </c>
      <c r="BH2618" s="7">
        <f>0</f>
        <v>0</v>
      </c>
      <c r="BI2618" s="8">
        <f>0</f>
        <v>0</v>
      </c>
      <c r="BJ2618" s="5" t="s">
        <v>253</v>
      </c>
      <c r="BK2618" s="5" t="s">
        <v>254</v>
      </c>
      <c r="BY2618" s="5" t="s">
        <v>238</v>
      </c>
      <c r="BZ2618" s="5" t="s">
        <v>238</v>
      </c>
      <c r="CD2618" s="5" t="s">
        <v>273</v>
      </c>
      <c r="CE2618" s="5" t="s">
        <v>256</v>
      </c>
      <c r="CF2618" s="5" t="s">
        <v>238</v>
      </c>
      <c r="CI2618" s="6" t="s">
        <v>257</v>
      </c>
      <c r="CJ2618" s="5" t="s">
        <v>238</v>
      </c>
      <c r="CK2618" s="5" t="s">
        <v>258</v>
      </c>
      <c r="CL2618" s="5" t="s">
        <v>238</v>
      </c>
      <c r="CM2618" s="5" t="s">
        <v>238</v>
      </c>
      <c r="CN2618" s="5">
        <v>0</v>
      </c>
      <c r="CO2618" s="5" t="s">
        <v>259</v>
      </c>
      <c r="CP2618" s="5" t="s">
        <v>260</v>
      </c>
      <c r="CQ2618" s="5" t="s">
        <v>260</v>
      </c>
      <c r="CR2618" s="5" t="s">
        <v>261</v>
      </c>
      <c r="CU2618" s="8">
        <f>1</f>
        <v>1</v>
      </c>
      <c r="CV2618" s="8">
        <f>0</f>
        <v>0</v>
      </c>
      <c r="CX2618" s="8">
        <f>0</f>
        <v>0</v>
      </c>
      <c r="CY2618" s="8">
        <f>1</f>
        <v>1</v>
      </c>
      <c r="DA2618" s="5" t="s">
        <v>274</v>
      </c>
      <c r="DB2618" s="5" t="s">
        <v>238</v>
      </c>
      <c r="DD2618" s="5" t="s">
        <v>274</v>
      </c>
      <c r="DE2618" s="8">
        <f>100</f>
        <v>100</v>
      </c>
      <c r="DG2618" s="5" t="s">
        <v>238</v>
      </c>
      <c r="DH2618" s="5" t="s">
        <v>238</v>
      </c>
      <c r="DI2618" s="5" t="s">
        <v>238</v>
      </c>
      <c r="DJ2618" s="5" t="s">
        <v>238</v>
      </c>
      <c r="DN2618" s="5" t="s">
        <v>238</v>
      </c>
      <c r="DO2618" s="5" t="s">
        <v>238</v>
      </c>
      <c r="DP2618" s="5" t="s">
        <v>238</v>
      </c>
      <c r="DQ2618" s="5" t="s">
        <v>238</v>
      </c>
      <c r="DT2618" s="5" t="s">
        <v>275</v>
      </c>
      <c r="DU2618" s="5" t="s">
        <v>1650</v>
      </c>
      <c r="HM2618" s="5" t="s">
        <v>264</v>
      </c>
    </row>
    <row r="2619" spans="1:221" x14ac:dyDescent="0.4">
      <c r="A2619" s="5">
        <v>4323</v>
      </c>
      <c r="B2619" s="5">
        <v>1</v>
      </c>
      <c r="C2619" s="5">
        <v>1</v>
      </c>
      <c r="D2619" s="5" t="s">
        <v>269</v>
      </c>
      <c r="E2619" s="5" t="s">
        <v>271</v>
      </c>
      <c r="F2619" s="5" t="s">
        <v>248</v>
      </c>
      <c r="G2619" s="5" t="s">
        <v>266</v>
      </c>
      <c r="H2619" s="6" t="s">
        <v>1635</v>
      </c>
      <c r="I2619" s="7">
        <f>187</f>
        <v>187</v>
      </c>
      <c r="J2619" s="5" t="s">
        <v>262</v>
      </c>
      <c r="K2619" s="8">
        <f>1</f>
        <v>1</v>
      </c>
      <c r="L2619" s="6" t="s">
        <v>242</v>
      </c>
      <c r="M2619" s="5" t="s">
        <v>267</v>
      </c>
      <c r="N2619" s="5" t="s">
        <v>265</v>
      </c>
      <c r="O2619" s="5" t="s">
        <v>238</v>
      </c>
      <c r="P2619" s="5" t="s">
        <v>238</v>
      </c>
      <c r="Q2619" s="5" t="s">
        <v>268</v>
      </c>
      <c r="R2619" s="5" t="s">
        <v>270</v>
      </c>
      <c r="S2619" s="5" t="s">
        <v>238</v>
      </c>
      <c r="V2619" s="5" t="s">
        <v>238</v>
      </c>
      <c r="X2619" s="6" t="s">
        <v>238</v>
      </c>
      <c r="AA2619" s="6" t="s">
        <v>243</v>
      </c>
      <c r="AB2619" s="5" t="s">
        <v>238</v>
      </c>
      <c r="AC2619" s="5" t="s">
        <v>244</v>
      </c>
      <c r="AD2619" s="5" t="s">
        <v>245</v>
      </c>
      <c r="AT2619" s="5" t="s">
        <v>246</v>
      </c>
      <c r="AU2619" s="5" t="s">
        <v>238</v>
      </c>
      <c r="AV2619" s="5" t="s">
        <v>247</v>
      </c>
      <c r="AW2619" s="5" t="s">
        <v>238</v>
      </c>
      <c r="AX2619" s="5" t="s">
        <v>249</v>
      </c>
      <c r="AY2619" s="5" t="s">
        <v>238</v>
      </c>
      <c r="BA2619" s="5" t="s">
        <v>238</v>
      </c>
      <c r="BC2619" s="5" t="s">
        <v>250</v>
      </c>
      <c r="BD2619" s="6" t="s">
        <v>243</v>
      </c>
      <c r="BE2619" s="5" t="s">
        <v>251</v>
      </c>
      <c r="BF2619" s="5" t="s">
        <v>252</v>
      </c>
      <c r="BG2619" s="5" t="s">
        <v>238</v>
      </c>
      <c r="BH2619" s="7">
        <f>0</f>
        <v>0</v>
      </c>
      <c r="BI2619" s="8">
        <f>0</f>
        <v>0</v>
      </c>
      <c r="BJ2619" s="5" t="s">
        <v>253</v>
      </c>
      <c r="BK2619" s="5" t="s">
        <v>254</v>
      </c>
      <c r="BY2619" s="5" t="s">
        <v>238</v>
      </c>
      <c r="BZ2619" s="5" t="s">
        <v>238</v>
      </c>
      <c r="CD2619" s="5" t="s">
        <v>273</v>
      </c>
      <c r="CE2619" s="5" t="s">
        <v>256</v>
      </c>
      <c r="CF2619" s="5" t="s">
        <v>238</v>
      </c>
      <c r="CI2619" s="6" t="s">
        <v>257</v>
      </c>
      <c r="CJ2619" s="5" t="s">
        <v>238</v>
      </c>
      <c r="CK2619" s="5" t="s">
        <v>258</v>
      </c>
      <c r="CL2619" s="5" t="s">
        <v>238</v>
      </c>
      <c r="CM2619" s="5" t="s">
        <v>238</v>
      </c>
      <c r="CN2619" s="5">
        <v>0</v>
      </c>
      <c r="CO2619" s="5" t="s">
        <v>259</v>
      </c>
      <c r="CP2619" s="5" t="s">
        <v>260</v>
      </c>
      <c r="CQ2619" s="5" t="s">
        <v>260</v>
      </c>
      <c r="CR2619" s="5" t="s">
        <v>261</v>
      </c>
      <c r="CU2619" s="8">
        <f>1</f>
        <v>1</v>
      </c>
      <c r="CV2619" s="8">
        <f>0</f>
        <v>0</v>
      </c>
      <c r="CX2619" s="8">
        <f>0</f>
        <v>0</v>
      </c>
      <c r="CY2619" s="8">
        <f>1</f>
        <v>1</v>
      </c>
      <c r="DA2619" s="5" t="s">
        <v>274</v>
      </c>
      <c r="DB2619" s="5" t="s">
        <v>238</v>
      </c>
      <c r="DD2619" s="5" t="s">
        <v>274</v>
      </c>
      <c r="DE2619" s="8">
        <f>187</f>
        <v>187</v>
      </c>
      <c r="DG2619" s="5" t="s">
        <v>238</v>
      </c>
      <c r="DH2619" s="5" t="s">
        <v>238</v>
      </c>
      <c r="DI2619" s="5" t="s">
        <v>238</v>
      </c>
      <c r="DJ2619" s="5" t="s">
        <v>238</v>
      </c>
      <c r="DN2619" s="5" t="s">
        <v>238</v>
      </c>
      <c r="DO2619" s="5" t="s">
        <v>238</v>
      </c>
      <c r="DP2619" s="5" t="s">
        <v>238</v>
      </c>
      <c r="DQ2619" s="5" t="s">
        <v>238</v>
      </c>
      <c r="DT2619" s="5" t="s">
        <v>275</v>
      </c>
      <c r="DU2619" s="5" t="s">
        <v>1636</v>
      </c>
      <c r="HM2619" s="5" t="s">
        <v>264</v>
      </c>
    </row>
    <row r="2620" spans="1:221" x14ac:dyDescent="0.4">
      <c r="A2620" s="5">
        <v>4324</v>
      </c>
      <c r="B2620" s="5">
        <v>1</v>
      </c>
      <c r="C2620" s="5">
        <v>1</v>
      </c>
      <c r="D2620" s="5" t="s">
        <v>269</v>
      </c>
      <c r="E2620" s="5" t="s">
        <v>271</v>
      </c>
      <c r="F2620" s="5" t="s">
        <v>248</v>
      </c>
      <c r="G2620" s="5" t="s">
        <v>266</v>
      </c>
      <c r="H2620" s="6" t="s">
        <v>1855</v>
      </c>
      <c r="I2620" s="7">
        <f>678</f>
        <v>678</v>
      </c>
      <c r="J2620" s="5" t="s">
        <v>262</v>
      </c>
      <c r="K2620" s="8">
        <f>1</f>
        <v>1</v>
      </c>
      <c r="L2620" s="6" t="s">
        <v>242</v>
      </c>
      <c r="M2620" s="5" t="s">
        <v>267</v>
      </c>
      <c r="N2620" s="5" t="s">
        <v>265</v>
      </c>
      <c r="O2620" s="5" t="s">
        <v>238</v>
      </c>
      <c r="P2620" s="5" t="s">
        <v>238</v>
      </c>
      <c r="Q2620" s="5" t="s">
        <v>268</v>
      </c>
      <c r="R2620" s="5" t="s">
        <v>270</v>
      </c>
      <c r="S2620" s="5" t="s">
        <v>238</v>
      </c>
      <c r="V2620" s="5" t="s">
        <v>238</v>
      </c>
      <c r="X2620" s="6" t="s">
        <v>238</v>
      </c>
      <c r="AA2620" s="6" t="s">
        <v>243</v>
      </c>
      <c r="AB2620" s="5" t="s">
        <v>238</v>
      </c>
      <c r="AC2620" s="5" t="s">
        <v>244</v>
      </c>
      <c r="AD2620" s="5" t="s">
        <v>245</v>
      </c>
      <c r="AT2620" s="5" t="s">
        <v>246</v>
      </c>
      <c r="AU2620" s="5" t="s">
        <v>238</v>
      </c>
      <c r="AV2620" s="5" t="s">
        <v>247</v>
      </c>
      <c r="AW2620" s="5" t="s">
        <v>238</v>
      </c>
      <c r="AX2620" s="5" t="s">
        <v>249</v>
      </c>
      <c r="AY2620" s="5" t="s">
        <v>238</v>
      </c>
      <c r="BA2620" s="5" t="s">
        <v>238</v>
      </c>
      <c r="BC2620" s="5" t="s">
        <v>250</v>
      </c>
      <c r="BD2620" s="6" t="s">
        <v>243</v>
      </c>
      <c r="BE2620" s="5" t="s">
        <v>251</v>
      </c>
      <c r="BF2620" s="5" t="s">
        <v>252</v>
      </c>
      <c r="BG2620" s="5" t="s">
        <v>238</v>
      </c>
      <c r="BH2620" s="7">
        <f>0</f>
        <v>0</v>
      </c>
      <c r="BI2620" s="8">
        <f>0</f>
        <v>0</v>
      </c>
      <c r="BJ2620" s="5" t="s">
        <v>253</v>
      </c>
      <c r="BK2620" s="5" t="s">
        <v>254</v>
      </c>
      <c r="BY2620" s="5" t="s">
        <v>238</v>
      </c>
      <c r="BZ2620" s="5" t="s">
        <v>238</v>
      </c>
      <c r="CD2620" s="5" t="s">
        <v>273</v>
      </c>
      <c r="CE2620" s="5" t="s">
        <v>256</v>
      </c>
      <c r="CF2620" s="5" t="s">
        <v>238</v>
      </c>
      <c r="CI2620" s="6" t="s">
        <v>257</v>
      </c>
      <c r="CJ2620" s="5" t="s">
        <v>238</v>
      </c>
      <c r="CK2620" s="5" t="s">
        <v>258</v>
      </c>
      <c r="CL2620" s="5" t="s">
        <v>238</v>
      </c>
      <c r="CM2620" s="5" t="s">
        <v>238</v>
      </c>
      <c r="CN2620" s="5">
        <v>0</v>
      </c>
      <c r="CO2620" s="5" t="s">
        <v>259</v>
      </c>
      <c r="CP2620" s="5" t="s">
        <v>260</v>
      </c>
      <c r="CQ2620" s="5" t="s">
        <v>260</v>
      </c>
      <c r="CR2620" s="5" t="s">
        <v>261</v>
      </c>
      <c r="CU2620" s="8">
        <f>1</f>
        <v>1</v>
      </c>
      <c r="CV2620" s="8">
        <f>0</f>
        <v>0</v>
      </c>
      <c r="CX2620" s="8">
        <f>0</f>
        <v>0</v>
      </c>
      <c r="CY2620" s="8">
        <f>1</f>
        <v>1</v>
      </c>
      <c r="DA2620" s="5" t="s">
        <v>274</v>
      </c>
      <c r="DB2620" s="5" t="s">
        <v>238</v>
      </c>
      <c r="DD2620" s="5" t="s">
        <v>274</v>
      </c>
      <c r="DE2620" s="8">
        <f>678</f>
        <v>678</v>
      </c>
      <c r="DG2620" s="5" t="s">
        <v>238</v>
      </c>
      <c r="DH2620" s="5" t="s">
        <v>238</v>
      </c>
      <c r="DI2620" s="5" t="s">
        <v>238</v>
      </c>
      <c r="DJ2620" s="5" t="s">
        <v>238</v>
      </c>
      <c r="DN2620" s="5" t="s">
        <v>238</v>
      </c>
      <c r="DO2620" s="5" t="s">
        <v>238</v>
      </c>
      <c r="DP2620" s="5" t="s">
        <v>238</v>
      </c>
      <c r="DQ2620" s="5" t="s">
        <v>238</v>
      </c>
      <c r="DT2620" s="5" t="s">
        <v>275</v>
      </c>
      <c r="DU2620" s="5" t="s">
        <v>1856</v>
      </c>
      <c r="HM2620" s="5" t="s">
        <v>264</v>
      </c>
    </row>
    <row r="2621" spans="1:221" x14ac:dyDescent="0.4">
      <c r="A2621" s="5">
        <v>4325</v>
      </c>
      <c r="B2621" s="5">
        <v>1</v>
      </c>
      <c r="C2621" s="5">
        <v>1</v>
      </c>
      <c r="D2621" s="5" t="s">
        <v>269</v>
      </c>
      <c r="E2621" s="5" t="s">
        <v>271</v>
      </c>
      <c r="F2621" s="5" t="s">
        <v>248</v>
      </c>
      <c r="G2621" s="5" t="s">
        <v>266</v>
      </c>
      <c r="H2621" s="6" t="s">
        <v>3950</v>
      </c>
      <c r="I2621" s="7">
        <f>1056</f>
        <v>1056</v>
      </c>
      <c r="J2621" s="5" t="s">
        <v>262</v>
      </c>
      <c r="K2621" s="8">
        <f>1</f>
        <v>1</v>
      </c>
      <c r="L2621" s="6" t="s">
        <v>242</v>
      </c>
      <c r="M2621" s="5" t="s">
        <v>267</v>
      </c>
      <c r="N2621" s="5" t="s">
        <v>265</v>
      </c>
      <c r="O2621" s="5" t="s">
        <v>238</v>
      </c>
      <c r="P2621" s="5" t="s">
        <v>238</v>
      </c>
      <c r="Q2621" s="5" t="s">
        <v>268</v>
      </c>
      <c r="R2621" s="5" t="s">
        <v>270</v>
      </c>
      <c r="S2621" s="5" t="s">
        <v>238</v>
      </c>
      <c r="V2621" s="5" t="s">
        <v>238</v>
      </c>
      <c r="X2621" s="6" t="s">
        <v>238</v>
      </c>
      <c r="AA2621" s="6" t="s">
        <v>243</v>
      </c>
      <c r="AB2621" s="5" t="s">
        <v>238</v>
      </c>
      <c r="AC2621" s="5" t="s">
        <v>244</v>
      </c>
      <c r="AD2621" s="5" t="s">
        <v>245</v>
      </c>
      <c r="AT2621" s="5" t="s">
        <v>246</v>
      </c>
      <c r="AU2621" s="5" t="s">
        <v>238</v>
      </c>
      <c r="AV2621" s="5" t="s">
        <v>247</v>
      </c>
      <c r="AW2621" s="5" t="s">
        <v>238</v>
      </c>
      <c r="AX2621" s="5" t="s">
        <v>249</v>
      </c>
      <c r="AY2621" s="5" t="s">
        <v>238</v>
      </c>
      <c r="BA2621" s="5" t="s">
        <v>238</v>
      </c>
      <c r="BC2621" s="5" t="s">
        <v>250</v>
      </c>
      <c r="BD2621" s="6" t="s">
        <v>243</v>
      </c>
      <c r="BE2621" s="5" t="s">
        <v>251</v>
      </c>
      <c r="BF2621" s="5" t="s">
        <v>252</v>
      </c>
      <c r="BG2621" s="5" t="s">
        <v>238</v>
      </c>
      <c r="BH2621" s="7">
        <f>0</f>
        <v>0</v>
      </c>
      <c r="BI2621" s="8">
        <f>0</f>
        <v>0</v>
      </c>
      <c r="BJ2621" s="5" t="s">
        <v>253</v>
      </c>
      <c r="BK2621" s="5" t="s">
        <v>254</v>
      </c>
      <c r="BY2621" s="5" t="s">
        <v>238</v>
      </c>
      <c r="BZ2621" s="5" t="s">
        <v>238</v>
      </c>
      <c r="CD2621" s="5" t="s">
        <v>273</v>
      </c>
      <c r="CE2621" s="5" t="s">
        <v>256</v>
      </c>
      <c r="CF2621" s="5" t="s">
        <v>238</v>
      </c>
      <c r="CI2621" s="6" t="s">
        <v>257</v>
      </c>
      <c r="CJ2621" s="5" t="s">
        <v>238</v>
      </c>
      <c r="CK2621" s="5" t="s">
        <v>258</v>
      </c>
      <c r="CL2621" s="5" t="s">
        <v>238</v>
      </c>
      <c r="CM2621" s="5" t="s">
        <v>238</v>
      </c>
      <c r="CN2621" s="5">
        <v>0</v>
      </c>
      <c r="CO2621" s="5" t="s">
        <v>259</v>
      </c>
      <c r="CP2621" s="5" t="s">
        <v>260</v>
      </c>
      <c r="CQ2621" s="5" t="s">
        <v>260</v>
      </c>
      <c r="CR2621" s="5" t="s">
        <v>261</v>
      </c>
      <c r="CU2621" s="8">
        <f>1</f>
        <v>1</v>
      </c>
      <c r="CV2621" s="8">
        <f>0</f>
        <v>0</v>
      </c>
      <c r="CX2621" s="8">
        <f>0</f>
        <v>0</v>
      </c>
      <c r="CY2621" s="8">
        <f>1</f>
        <v>1</v>
      </c>
      <c r="DA2621" s="5" t="s">
        <v>274</v>
      </c>
      <c r="DB2621" s="5" t="s">
        <v>238</v>
      </c>
      <c r="DD2621" s="5" t="s">
        <v>274</v>
      </c>
      <c r="DE2621" s="8">
        <f>1056</f>
        <v>1056</v>
      </c>
      <c r="DG2621" s="5" t="s">
        <v>238</v>
      </c>
      <c r="DH2621" s="5" t="s">
        <v>238</v>
      </c>
      <c r="DI2621" s="5" t="s">
        <v>238</v>
      </c>
      <c r="DJ2621" s="5" t="s">
        <v>238</v>
      </c>
      <c r="DN2621" s="5" t="s">
        <v>238</v>
      </c>
      <c r="DO2621" s="5" t="s">
        <v>238</v>
      </c>
      <c r="DP2621" s="5" t="s">
        <v>238</v>
      </c>
      <c r="DQ2621" s="5" t="s">
        <v>238</v>
      </c>
      <c r="DT2621" s="5" t="s">
        <v>275</v>
      </c>
      <c r="DU2621" s="5" t="s">
        <v>2421</v>
      </c>
      <c r="HM2621" s="5" t="s">
        <v>264</v>
      </c>
    </row>
    <row r="2622" spans="1:221" x14ac:dyDescent="0.4">
      <c r="A2622" s="5">
        <v>4326</v>
      </c>
      <c r="B2622" s="5">
        <v>1</v>
      </c>
      <c r="C2622" s="5">
        <v>1</v>
      </c>
      <c r="D2622" s="5" t="s">
        <v>269</v>
      </c>
      <c r="E2622" s="5" t="s">
        <v>271</v>
      </c>
      <c r="F2622" s="5" t="s">
        <v>248</v>
      </c>
      <c r="G2622" s="5" t="s">
        <v>266</v>
      </c>
      <c r="H2622" s="6" t="s">
        <v>1845</v>
      </c>
      <c r="I2622" s="7">
        <f>988</f>
        <v>988</v>
      </c>
      <c r="J2622" s="5" t="s">
        <v>262</v>
      </c>
      <c r="K2622" s="8">
        <f>1</f>
        <v>1</v>
      </c>
      <c r="L2622" s="6" t="s">
        <v>242</v>
      </c>
      <c r="M2622" s="5" t="s">
        <v>267</v>
      </c>
      <c r="N2622" s="5" t="s">
        <v>265</v>
      </c>
      <c r="O2622" s="5" t="s">
        <v>238</v>
      </c>
      <c r="P2622" s="5" t="s">
        <v>238</v>
      </c>
      <c r="Q2622" s="5" t="s">
        <v>268</v>
      </c>
      <c r="R2622" s="5" t="s">
        <v>270</v>
      </c>
      <c r="S2622" s="5" t="s">
        <v>238</v>
      </c>
      <c r="V2622" s="5" t="s">
        <v>238</v>
      </c>
      <c r="X2622" s="6" t="s">
        <v>238</v>
      </c>
      <c r="AA2622" s="6" t="s">
        <v>243</v>
      </c>
      <c r="AB2622" s="5" t="s">
        <v>238</v>
      </c>
      <c r="AC2622" s="5" t="s">
        <v>244</v>
      </c>
      <c r="AD2622" s="5" t="s">
        <v>245</v>
      </c>
      <c r="AT2622" s="5" t="s">
        <v>246</v>
      </c>
      <c r="AU2622" s="5" t="s">
        <v>238</v>
      </c>
      <c r="AV2622" s="5" t="s">
        <v>247</v>
      </c>
      <c r="AW2622" s="5" t="s">
        <v>238</v>
      </c>
      <c r="AX2622" s="5" t="s">
        <v>249</v>
      </c>
      <c r="AY2622" s="5" t="s">
        <v>238</v>
      </c>
      <c r="BA2622" s="5" t="s">
        <v>238</v>
      </c>
      <c r="BC2622" s="5" t="s">
        <v>250</v>
      </c>
      <c r="BD2622" s="6" t="s">
        <v>243</v>
      </c>
      <c r="BE2622" s="5" t="s">
        <v>251</v>
      </c>
      <c r="BF2622" s="5" t="s">
        <v>252</v>
      </c>
      <c r="BG2622" s="5" t="s">
        <v>238</v>
      </c>
      <c r="BH2622" s="7">
        <f>0</f>
        <v>0</v>
      </c>
      <c r="BI2622" s="8">
        <f>0</f>
        <v>0</v>
      </c>
      <c r="BJ2622" s="5" t="s">
        <v>253</v>
      </c>
      <c r="BK2622" s="5" t="s">
        <v>254</v>
      </c>
      <c r="BY2622" s="5" t="s">
        <v>238</v>
      </c>
      <c r="BZ2622" s="5" t="s">
        <v>238</v>
      </c>
      <c r="CD2622" s="5" t="s">
        <v>273</v>
      </c>
      <c r="CE2622" s="5" t="s">
        <v>256</v>
      </c>
      <c r="CF2622" s="5" t="s">
        <v>238</v>
      </c>
      <c r="CI2622" s="6" t="s">
        <v>257</v>
      </c>
      <c r="CJ2622" s="5" t="s">
        <v>238</v>
      </c>
      <c r="CK2622" s="5" t="s">
        <v>258</v>
      </c>
      <c r="CL2622" s="5" t="s">
        <v>238</v>
      </c>
      <c r="CM2622" s="5" t="s">
        <v>238</v>
      </c>
      <c r="CN2622" s="5">
        <v>0</v>
      </c>
      <c r="CO2622" s="5" t="s">
        <v>259</v>
      </c>
      <c r="CP2622" s="5" t="s">
        <v>260</v>
      </c>
      <c r="CQ2622" s="5" t="s">
        <v>260</v>
      </c>
      <c r="CR2622" s="5" t="s">
        <v>261</v>
      </c>
      <c r="CU2622" s="8">
        <f>1</f>
        <v>1</v>
      </c>
      <c r="CV2622" s="8">
        <f>0</f>
        <v>0</v>
      </c>
      <c r="CX2622" s="8">
        <f>0</f>
        <v>0</v>
      </c>
      <c r="CY2622" s="8">
        <f>1</f>
        <v>1</v>
      </c>
      <c r="DA2622" s="5" t="s">
        <v>274</v>
      </c>
      <c r="DB2622" s="5" t="s">
        <v>238</v>
      </c>
      <c r="DD2622" s="5" t="s">
        <v>274</v>
      </c>
      <c r="DE2622" s="8">
        <f>988</f>
        <v>988</v>
      </c>
      <c r="DG2622" s="5" t="s">
        <v>238</v>
      </c>
      <c r="DH2622" s="5" t="s">
        <v>238</v>
      </c>
      <c r="DI2622" s="5" t="s">
        <v>238</v>
      </c>
      <c r="DJ2622" s="5" t="s">
        <v>238</v>
      </c>
      <c r="DN2622" s="5" t="s">
        <v>238</v>
      </c>
      <c r="DO2622" s="5" t="s">
        <v>238</v>
      </c>
      <c r="DP2622" s="5" t="s">
        <v>238</v>
      </c>
      <c r="DQ2622" s="5" t="s">
        <v>238</v>
      </c>
      <c r="DT2622" s="5" t="s">
        <v>275</v>
      </c>
      <c r="DU2622" s="5" t="s">
        <v>1846</v>
      </c>
      <c r="HM2622" s="5" t="s">
        <v>264</v>
      </c>
    </row>
    <row r="2623" spans="1:221" x14ac:dyDescent="0.4">
      <c r="A2623" s="5">
        <v>4327</v>
      </c>
      <c r="B2623" s="5">
        <v>1</v>
      </c>
      <c r="C2623" s="5">
        <v>1</v>
      </c>
      <c r="D2623" s="5" t="s">
        <v>269</v>
      </c>
      <c r="E2623" s="5" t="s">
        <v>271</v>
      </c>
      <c r="F2623" s="5" t="s">
        <v>248</v>
      </c>
      <c r="G2623" s="5" t="s">
        <v>266</v>
      </c>
      <c r="H2623" s="6" t="s">
        <v>1839</v>
      </c>
      <c r="I2623" s="7">
        <f>173</f>
        <v>173</v>
      </c>
      <c r="J2623" s="5" t="s">
        <v>262</v>
      </c>
      <c r="K2623" s="8">
        <f>1</f>
        <v>1</v>
      </c>
      <c r="L2623" s="6" t="s">
        <v>242</v>
      </c>
      <c r="M2623" s="5" t="s">
        <v>267</v>
      </c>
      <c r="N2623" s="5" t="s">
        <v>265</v>
      </c>
      <c r="O2623" s="5" t="s">
        <v>238</v>
      </c>
      <c r="P2623" s="5" t="s">
        <v>238</v>
      </c>
      <c r="Q2623" s="5" t="s">
        <v>268</v>
      </c>
      <c r="R2623" s="5" t="s">
        <v>270</v>
      </c>
      <c r="S2623" s="5" t="s">
        <v>238</v>
      </c>
      <c r="V2623" s="5" t="s">
        <v>238</v>
      </c>
      <c r="X2623" s="6" t="s">
        <v>238</v>
      </c>
      <c r="AA2623" s="6" t="s">
        <v>243</v>
      </c>
      <c r="AB2623" s="5" t="s">
        <v>238</v>
      </c>
      <c r="AC2623" s="5" t="s">
        <v>244</v>
      </c>
      <c r="AD2623" s="5" t="s">
        <v>245</v>
      </c>
      <c r="AT2623" s="5" t="s">
        <v>246</v>
      </c>
      <c r="AU2623" s="5" t="s">
        <v>238</v>
      </c>
      <c r="AV2623" s="5" t="s">
        <v>247</v>
      </c>
      <c r="AW2623" s="5" t="s">
        <v>238</v>
      </c>
      <c r="AX2623" s="5" t="s">
        <v>249</v>
      </c>
      <c r="AY2623" s="5" t="s">
        <v>238</v>
      </c>
      <c r="BA2623" s="5" t="s">
        <v>238</v>
      </c>
      <c r="BC2623" s="5" t="s">
        <v>250</v>
      </c>
      <c r="BD2623" s="6" t="s">
        <v>243</v>
      </c>
      <c r="BE2623" s="5" t="s">
        <v>251</v>
      </c>
      <c r="BF2623" s="5" t="s">
        <v>252</v>
      </c>
      <c r="BG2623" s="5" t="s">
        <v>238</v>
      </c>
      <c r="BH2623" s="7">
        <f>0</f>
        <v>0</v>
      </c>
      <c r="BI2623" s="8">
        <f>0</f>
        <v>0</v>
      </c>
      <c r="BJ2623" s="5" t="s">
        <v>253</v>
      </c>
      <c r="BK2623" s="5" t="s">
        <v>254</v>
      </c>
      <c r="BY2623" s="5" t="s">
        <v>238</v>
      </c>
      <c r="BZ2623" s="5" t="s">
        <v>238</v>
      </c>
      <c r="CD2623" s="5" t="s">
        <v>273</v>
      </c>
      <c r="CE2623" s="5" t="s">
        <v>256</v>
      </c>
      <c r="CF2623" s="5" t="s">
        <v>238</v>
      </c>
      <c r="CI2623" s="6" t="s">
        <v>257</v>
      </c>
      <c r="CJ2623" s="5" t="s">
        <v>238</v>
      </c>
      <c r="CK2623" s="5" t="s">
        <v>258</v>
      </c>
      <c r="CL2623" s="5" t="s">
        <v>238</v>
      </c>
      <c r="CM2623" s="5" t="s">
        <v>238</v>
      </c>
      <c r="CN2623" s="5">
        <v>0</v>
      </c>
      <c r="CO2623" s="5" t="s">
        <v>259</v>
      </c>
      <c r="CP2623" s="5" t="s">
        <v>260</v>
      </c>
      <c r="CQ2623" s="5" t="s">
        <v>260</v>
      </c>
      <c r="CR2623" s="5" t="s">
        <v>261</v>
      </c>
      <c r="CU2623" s="8">
        <f>1</f>
        <v>1</v>
      </c>
      <c r="CV2623" s="8">
        <f>0</f>
        <v>0</v>
      </c>
      <c r="CX2623" s="8">
        <f>0</f>
        <v>0</v>
      </c>
      <c r="CY2623" s="8">
        <f>1</f>
        <v>1</v>
      </c>
      <c r="DA2623" s="5" t="s">
        <v>274</v>
      </c>
      <c r="DB2623" s="5" t="s">
        <v>238</v>
      </c>
      <c r="DD2623" s="5" t="s">
        <v>274</v>
      </c>
      <c r="DE2623" s="8">
        <f>173</f>
        <v>173</v>
      </c>
      <c r="DG2623" s="5" t="s">
        <v>238</v>
      </c>
      <c r="DH2623" s="5" t="s">
        <v>238</v>
      </c>
      <c r="DI2623" s="5" t="s">
        <v>238</v>
      </c>
      <c r="DJ2623" s="5" t="s">
        <v>238</v>
      </c>
      <c r="DN2623" s="5" t="s">
        <v>238</v>
      </c>
      <c r="DO2623" s="5" t="s">
        <v>238</v>
      </c>
      <c r="DP2623" s="5" t="s">
        <v>238</v>
      </c>
      <c r="DQ2623" s="5" t="s">
        <v>238</v>
      </c>
      <c r="DT2623" s="5" t="s">
        <v>275</v>
      </c>
      <c r="DU2623" s="5" t="s">
        <v>1840</v>
      </c>
      <c r="HM2623" s="5" t="s">
        <v>264</v>
      </c>
    </row>
    <row r="2624" spans="1:221" x14ac:dyDescent="0.4">
      <c r="A2624" s="5">
        <v>4328</v>
      </c>
      <c r="B2624" s="5">
        <v>1</v>
      </c>
      <c r="C2624" s="5">
        <v>1</v>
      </c>
      <c r="D2624" s="5" t="s">
        <v>269</v>
      </c>
      <c r="E2624" s="5" t="s">
        <v>271</v>
      </c>
      <c r="F2624" s="5" t="s">
        <v>248</v>
      </c>
      <c r="G2624" s="5" t="s">
        <v>266</v>
      </c>
      <c r="H2624" s="6" t="s">
        <v>1831</v>
      </c>
      <c r="I2624" s="7">
        <f>423</f>
        <v>423</v>
      </c>
      <c r="J2624" s="5" t="s">
        <v>262</v>
      </c>
      <c r="K2624" s="8">
        <f>1</f>
        <v>1</v>
      </c>
      <c r="L2624" s="6" t="s">
        <v>242</v>
      </c>
      <c r="M2624" s="5" t="s">
        <v>267</v>
      </c>
      <c r="N2624" s="5" t="s">
        <v>265</v>
      </c>
      <c r="O2624" s="5" t="s">
        <v>238</v>
      </c>
      <c r="P2624" s="5" t="s">
        <v>238</v>
      </c>
      <c r="Q2624" s="5" t="s">
        <v>268</v>
      </c>
      <c r="R2624" s="5" t="s">
        <v>270</v>
      </c>
      <c r="S2624" s="5" t="s">
        <v>238</v>
      </c>
      <c r="V2624" s="5" t="s">
        <v>238</v>
      </c>
      <c r="X2624" s="6" t="s">
        <v>238</v>
      </c>
      <c r="AA2624" s="6" t="s">
        <v>243</v>
      </c>
      <c r="AB2624" s="5" t="s">
        <v>238</v>
      </c>
      <c r="AC2624" s="5" t="s">
        <v>244</v>
      </c>
      <c r="AD2624" s="5" t="s">
        <v>245</v>
      </c>
      <c r="AT2624" s="5" t="s">
        <v>246</v>
      </c>
      <c r="AU2624" s="5" t="s">
        <v>238</v>
      </c>
      <c r="AV2624" s="5" t="s">
        <v>247</v>
      </c>
      <c r="AW2624" s="5" t="s">
        <v>238</v>
      </c>
      <c r="AX2624" s="5" t="s">
        <v>249</v>
      </c>
      <c r="AY2624" s="5" t="s">
        <v>238</v>
      </c>
      <c r="BA2624" s="5" t="s">
        <v>238</v>
      </c>
      <c r="BC2624" s="5" t="s">
        <v>250</v>
      </c>
      <c r="BD2624" s="6" t="s">
        <v>243</v>
      </c>
      <c r="BE2624" s="5" t="s">
        <v>251</v>
      </c>
      <c r="BF2624" s="5" t="s">
        <v>252</v>
      </c>
      <c r="BG2624" s="5" t="s">
        <v>238</v>
      </c>
      <c r="BH2624" s="7">
        <f>0</f>
        <v>0</v>
      </c>
      <c r="BI2624" s="8">
        <f>0</f>
        <v>0</v>
      </c>
      <c r="BJ2624" s="5" t="s">
        <v>253</v>
      </c>
      <c r="BK2624" s="5" t="s">
        <v>254</v>
      </c>
      <c r="BY2624" s="5" t="s">
        <v>238</v>
      </c>
      <c r="BZ2624" s="5" t="s">
        <v>238</v>
      </c>
      <c r="CD2624" s="5" t="s">
        <v>273</v>
      </c>
      <c r="CE2624" s="5" t="s">
        <v>256</v>
      </c>
      <c r="CF2624" s="5" t="s">
        <v>238</v>
      </c>
      <c r="CI2624" s="6" t="s">
        <v>257</v>
      </c>
      <c r="CJ2624" s="5" t="s">
        <v>238</v>
      </c>
      <c r="CK2624" s="5" t="s">
        <v>258</v>
      </c>
      <c r="CL2624" s="5" t="s">
        <v>238</v>
      </c>
      <c r="CM2624" s="5" t="s">
        <v>238</v>
      </c>
      <c r="CN2624" s="5">
        <v>0</v>
      </c>
      <c r="CO2624" s="5" t="s">
        <v>259</v>
      </c>
      <c r="CP2624" s="5" t="s">
        <v>260</v>
      </c>
      <c r="CQ2624" s="5" t="s">
        <v>260</v>
      </c>
      <c r="CR2624" s="5" t="s">
        <v>261</v>
      </c>
      <c r="CU2624" s="8">
        <f>1</f>
        <v>1</v>
      </c>
      <c r="CV2624" s="8">
        <f>0</f>
        <v>0</v>
      </c>
      <c r="CX2624" s="8">
        <f>0</f>
        <v>0</v>
      </c>
      <c r="CY2624" s="8">
        <f>1</f>
        <v>1</v>
      </c>
      <c r="DA2624" s="5" t="s">
        <v>274</v>
      </c>
      <c r="DB2624" s="5" t="s">
        <v>238</v>
      </c>
      <c r="DD2624" s="5" t="s">
        <v>274</v>
      </c>
      <c r="DE2624" s="8">
        <f>423</f>
        <v>423</v>
      </c>
      <c r="DG2624" s="5" t="s">
        <v>238</v>
      </c>
      <c r="DH2624" s="5" t="s">
        <v>238</v>
      </c>
      <c r="DI2624" s="5" t="s">
        <v>238</v>
      </c>
      <c r="DJ2624" s="5" t="s">
        <v>238</v>
      </c>
      <c r="DN2624" s="5" t="s">
        <v>238</v>
      </c>
      <c r="DO2624" s="5" t="s">
        <v>238</v>
      </c>
      <c r="DP2624" s="5" t="s">
        <v>238</v>
      </c>
      <c r="DQ2624" s="5" t="s">
        <v>238</v>
      </c>
      <c r="DT2624" s="5" t="s">
        <v>275</v>
      </c>
      <c r="DU2624" s="5" t="s">
        <v>1832</v>
      </c>
      <c r="HM2624" s="5" t="s">
        <v>264</v>
      </c>
    </row>
    <row r="2625" spans="1:221" x14ac:dyDescent="0.4">
      <c r="A2625" s="5">
        <v>4329</v>
      </c>
      <c r="B2625" s="5">
        <v>1</v>
      </c>
      <c r="C2625" s="5">
        <v>1</v>
      </c>
      <c r="D2625" s="5" t="s">
        <v>269</v>
      </c>
      <c r="E2625" s="5" t="s">
        <v>271</v>
      </c>
      <c r="F2625" s="5" t="s">
        <v>248</v>
      </c>
      <c r="G2625" s="5" t="s">
        <v>266</v>
      </c>
      <c r="H2625" s="6" t="s">
        <v>1567</v>
      </c>
      <c r="I2625" s="7">
        <f>950</f>
        <v>950</v>
      </c>
      <c r="J2625" s="5" t="s">
        <v>262</v>
      </c>
      <c r="K2625" s="8">
        <f>1</f>
        <v>1</v>
      </c>
      <c r="L2625" s="6" t="s">
        <v>242</v>
      </c>
      <c r="M2625" s="5" t="s">
        <v>267</v>
      </c>
      <c r="N2625" s="5" t="s">
        <v>265</v>
      </c>
      <c r="O2625" s="5" t="s">
        <v>238</v>
      </c>
      <c r="P2625" s="5" t="s">
        <v>238</v>
      </c>
      <c r="Q2625" s="5" t="s">
        <v>268</v>
      </c>
      <c r="R2625" s="5" t="s">
        <v>270</v>
      </c>
      <c r="S2625" s="5" t="s">
        <v>238</v>
      </c>
      <c r="V2625" s="5" t="s">
        <v>238</v>
      </c>
      <c r="X2625" s="6" t="s">
        <v>238</v>
      </c>
      <c r="AA2625" s="6" t="s">
        <v>243</v>
      </c>
      <c r="AB2625" s="5" t="s">
        <v>238</v>
      </c>
      <c r="AC2625" s="5" t="s">
        <v>244</v>
      </c>
      <c r="AD2625" s="5" t="s">
        <v>245</v>
      </c>
      <c r="AT2625" s="5" t="s">
        <v>246</v>
      </c>
      <c r="AU2625" s="5" t="s">
        <v>238</v>
      </c>
      <c r="AV2625" s="5" t="s">
        <v>247</v>
      </c>
      <c r="AW2625" s="5" t="s">
        <v>238</v>
      </c>
      <c r="AX2625" s="5" t="s">
        <v>249</v>
      </c>
      <c r="AY2625" s="5" t="s">
        <v>238</v>
      </c>
      <c r="BA2625" s="5" t="s">
        <v>238</v>
      </c>
      <c r="BC2625" s="5" t="s">
        <v>250</v>
      </c>
      <c r="BD2625" s="6" t="s">
        <v>243</v>
      </c>
      <c r="BE2625" s="5" t="s">
        <v>251</v>
      </c>
      <c r="BF2625" s="5" t="s">
        <v>252</v>
      </c>
      <c r="BG2625" s="5" t="s">
        <v>238</v>
      </c>
      <c r="BH2625" s="7">
        <f>0</f>
        <v>0</v>
      </c>
      <c r="BI2625" s="8">
        <f>0</f>
        <v>0</v>
      </c>
      <c r="BJ2625" s="5" t="s">
        <v>253</v>
      </c>
      <c r="BK2625" s="5" t="s">
        <v>254</v>
      </c>
      <c r="BY2625" s="5" t="s">
        <v>238</v>
      </c>
      <c r="BZ2625" s="5" t="s">
        <v>238</v>
      </c>
      <c r="CD2625" s="5" t="s">
        <v>273</v>
      </c>
      <c r="CE2625" s="5" t="s">
        <v>256</v>
      </c>
      <c r="CF2625" s="5" t="s">
        <v>238</v>
      </c>
      <c r="CI2625" s="6" t="s">
        <v>257</v>
      </c>
      <c r="CJ2625" s="5" t="s">
        <v>238</v>
      </c>
      <c r="CK2625" s="5" t="s">
        <v>258</v>
      </c>
      <c r="CL2625" s="5" t="s">
        <v>238</v>
      </c>
      <c r="CM2625" s="5" t="s">
        <v>238</v>
      </c>
      <c r="CN2625" s="5">
        <v>0</v>
      </c>
      <c r="CO2625" s="5" t="s">
        <v>259</v>
      </c>
      <c r="CP2625" s="5" t="s">
        <v>260</v>
      </c>
      <c r="CQ2625" s="5" t="s">
        <v>260</v>
      </c>
      <c r="CR2625" s="5" t="s">
        <v>261</v>
      </c>
      <c r="CU2625" s="8">
        <f>1</f>
        <v>1</v>
      </c>
      <c r="CV2625" s="8">
        <f>0</f>
        <v>0</v>
      </c>
      <c r="CX2625" s="8">
        <f>0</f>
        <v>0</v>
      </c>
      <c r="CY2625" s="8">
        <f>1</f>
        <v>1</v>
      </c>
      <c r="DA2625" s="5" t="s">
        <v>274</v>
      </c>
      <c r="DB2625" s="5" t="s">
        <v>238</v>
      </c>
      <c r="DD2625" s="5" t="s">
        <v>274</v>
      </c>
      <c r="DE2625" s="8">
        <f>950</f>
        <v>950</v>
      </c>
      <c r="DG2625" s="5" t="s">
        <v>238</v>
      </c>
      <c r="DH2625" s="5" t="s">
        <v>238</v>
      </c>
      <c r="DI2625" s="5" t="s">
        <v>238</v>
      </c>
      <c r="DJ2625" s="5" t="s">
        <v>238</v>
      </c>
      <c r="DN2625" s="5" t="s">
        <v>238</v>
      </c>
      <c r="DO2625" s="5" t="s">
        <v>238</v>
      </c>
      <c r="DP2625" s="5" t="s">
        <v>238</v>
      </c>
      <c r="DQ2625" s="5" t="s">
        <v>238</v>
      </c>
      <c r="DT2625" s="5" t="s">
        <v>275</v>
      </c>
      <c r="DU2625" s="5" t="s">
        <v>1568</v>
      </c>
      <c r="HM2625" s="5" t="s">
        <v>264</v>
      </c>
    </row>
    <row r="2626" spans="1:221" x14ac:dyDescent="0.4">
      <c r="A2626" s="5">
        <v>4330</v>
      </c>
      <c r="B2626" s="5">
        <v>1</v>
      </c>
      <c r="C2626" s="5">
        <v>1</v>
      </c>
      <c r="D2626" s="5" t="s">
        <v>269</v>
      </c>
      <c r="E2626" s="5" t="s">
        <v>271</v>
      </c>
      <c r="F2626" s="5" t="s">
        <v>248</v>
      </c>
      <c r="G2626" s="5" t="s">
        <v>266</v>
      </c>
      <c r="H2626" s="6" t="s">
        <v>3973</v>
      </c>
      <c r="I2626" s="7">
        <f>352</f>
        <v>352</v>
      </c>
      <c r="J2626" s="5" t="s">
        <v>262</v>
      </c>
      <c r="K2626" s="8">
        <f>1</f>
        <v>1</v>
      </c>
      <c r="L2626" s="6" t="s">
        <v>242</v>
      </c>
      <c r="M2626" s="5" t="s">
        <v>267</v>
      </c>
      <c r="N2626" s="5" t="s">
        <v>265</v>
      </c>
      <c r="O2626" s="5" t="s">
        <v>238</v>
      </c>
      <c r="P2626" s="5" t="s">
        <v>238</v>
      </c>
      <c r="Q2626" s="5" t="s">
        <v>268</v>
      </c>
      <c r="R2626" s="5" t="s">
        <v>270</v>
      </c>
      <c r="S2626" s="5" t="s">
        <v>238</v>
      </c>
      <c r="V2626" s="5" t="s">
        <v>238</v>
      </c>
      <c r="X2626" s="6" t="s">
        <v>238</v>
      </c>
      <c r="AA2626" s="6" t="s">
        <v>243</v>
      </c>
      <c r="AB2626" s="5" t="s">
        <v>238</v>
      </c>
      <c r="AC2626" s="5" t="s">
        <v>244</v>
      </c>
      <c r="AD2626" s="5" t="s">
        <v>245</v>
      </c>
      <c r="AT2626" s="5" t="s">
        <v>246</v>
      </c>
      <c r="AU2626" s="5" t="s">
        <v>238</v>
      </c>
      <c r="AV2626" s="5" t="s">
        <v>247</v>
      </c>
      <c r="AW2626" s="5" t="s">
        <v>238</v>
      </c>
      <c r="AX2626" s="5" t="s">
        <v>249</v>
      </c>
      <c r="AY2626" s="5" t="s">
        <v>238</v>
      </c>
      <c r="BA2626" s="5" t="s">
        <v>238</v>
      </c>
      <c r="BC2626" s="5" t="s">
        <v>250</v>
      </c>
      <c r="BD2626" s="6" t="s">
        <v>243</v>
      </c>
      <c r="BE2626" s="5" t="s">
        <v>251</v>
      </c>
      <c r="BF2626" s="5" t="s">
        <v>252</v>
      </c>
      <c r="BG2626" s="5" t="s">
        <v>238</v>
      </c>
      <c r="BH2626" s="7">
        <f>0</f>
        <v>0</v>
      </c>
      <c r="BI2626" s="8">
        <f>0</f>
        <v>0</v>
      </c>
      <c r="BJ2626" s="5" t="s">
        <v>253</v>
      </c>
      <c r="BK2626" s="5" t="s">
        <v>254</v>
      </c>
      <c r="BY2626" s="5" t="s">
        <v>238</v>
      </c>
      <c r="BZ2626" s="5" t="s">
        <v>238</v>
      </c>
      <c r="CD2626" s="5" t="s">
        <v>273</v>
      </c>
      <c r="CE2626" s="5" t="s">
        <v>256</v>
      </c>
      <c r="CF2626" s="5" t="s">
        <v>238</v>
      </c>
      <c r="CI2626" s="6" t="s">
        <v>257</v>
      </c>
      <c r="CJ2626" s="5" t="s">
        <v>238</v>
      </c>
      <c r="CK2626" s="5" t="s">
        <v>258</v>
      </c>
      <c r="CL2626" s="5" t="s">
        <v>238</v>
      </c>
      <c r="CM2626" s="5" t="s">
        <v>238</v>
      </c>
      <c r="CN2626" s="5">
        <v>0</v>
      </c>
      <c r="CO2626" s="5" t="s">
        <v>259</v>
      </c>
      <c r="CP2626" s="5" t="s">
        <v>260</v>
      </c>
      <c r="CQ2626" s="5" t="s">
        <v>260</v>
      </c>
      <c r="CR2626" s="5" t="s">
        <v>261</v>
      </c>
      <c r="CU2626" s="8">
        <f>1</f>
        <v>1</v>
      </c>
      <c r="CV2626" s="8">
        <f>0</f>
        <v>0</v>
      </c>
      <c r="CX2626" s="8">
        <f>0</f>
        <v>0</v>
      </c>
      <c r="CY2626" s="8">
        <f>1</f>
        <v>1</v>
      </c>
      <c r="DA2626" s="5" t="s">
        <v>274</v>
      </c>
      <c r="DB2626" s="5" t="s">
        <v>238</v>
      </c>
      <c r="DD2626" s="5" t="s">
        <v>274</v>
      </c>
      <c r="DE2626" s="8">
        <f>352</f>
        <v>352</v>
      </c>
      <c r="DG2626" s="5" t="s">
        <v>238</v>
      </c>
      <c r="DH2626" s="5" t="s">
        <v>238</v>
      </c>
      <c r="DI2626" s="5" t="s">
        <v>238</v>
      </c>
      <c r="DJ2626" s="5" t="s">
        <v>238</v>
      </c>
      <c r="DN2626" s="5" t="s">
        <v>238</v>
      </c>
      <c r="DO2626" s="5" t="s">
        <v>238</v>
      </c>
      <c r="DP2626" s="5" t="s">
        <v>238</v>
      </c>
      <c r="DQ2626" s="5" t="s">
        <v>238</v>
      </c>
      <c r="DT2626" s="5" t="s">
        <v>275</v>
      </c>
      <c r="DU2626" s="5" t="s">
        <v>2411</v>
      </c>
      <c r="HM2626" s="5" t="s">
        <v>264</v>
      </c>
    </row>
    <row r="2627" spans="1:221" x14ac:dyDescent="0.4">
      <c r="A2627" s="5">
        <v>4331</v>
      </c>
      <c r="B2627" s="5">
        <v>1</v>
      </c>
      <c r="C2627" s="5">
        <v>1</v>
      </c>
      <c r="D2627" s="5" t="s">
        <v>269</v>
      </c>
      <c r="E2627" s="5" t="s">
        <v>271</v>
      </c>
      <c r="F2627" s="5" t="s">
        <v>248</v>
      </c>
      <c r="G2627" s="5" t="s">
        <v>266</v>
      </c>
      <c r="H2627" s="6" t="s">
        <v>1579</v>
      </c>
      <c r="I2627" s="7">
        <f>542</f>
        <v>542</v>
      </c>
      <c r="J2627" s="5" t="s">
        <v>262</v>
      </c>
      <c r="K2627" s="8">
        <f>1</f>
        <v>1</v>
      </c>
      <c r="L2627" s="6" t="s">
        <v>242</v>
      </c>
      <c r="M2627" s="5" t="s">
        <v>267</v>
      </c>
      <c r="N2627" s="5" t="s">
        <v>265</v>
      </c>
      <c r="O2627" s="5" t="s">
        <v>238</v>
      </c>
      <c r="P2627" s="5" t="s">
        <v>238</v>
      </c>
      <c r="Q2627" s="5" t="s">
        <v>268</v>
      </c>
      <c r="R2627" s="5" t="s">
        <v>270</v>
      </c>
      <c r="S2627" s="5" t="s">
        <v>238</v>
      </c>
      <c r="V2627" s="5" t="s">
        <v>238</v>
      </c>
      <c r="X2627" s="6" t="s">
        <v>238</v>
      </c>
      <c r="AA2627" s="6" t="s">
        <v>243</v>
      </c>
      <c r="AB2627" s="5" t="s">
        <v>238</v>
      </c>
      <c r="AC2627" s="5" t="s">
        <v>244</v>
      </c>
      <c r="AD2627" s="5" t="s">
        <v>245</v>
      </c>
      <c r="AT2627" s="5" t="s">
        <v>246</v>
      </c>
      <c r="AU2627" s="5" t="s">
        <v>238</v>
      </c>
      <c r="AV2627" s="5" t="s">
        <v>247</v>
      </c>
      <c r="AW2627" s="5" t="s">
        <v>238</v>
      </c>
      <c r="AX2627" s="5" t="s">
        <v>249</v>
      </c>
      <c r="AY2627" s="5" t="s">
        <v>238</v>
      </c>
      <c r="BA2627" s="5" t="s">
        <v>238</v>
      </c>
      <c r="BC2627" s="5" t="s">
        <v>250</v>
      </c>
      <c r="BD2627" s="6" t="s">
        <v>243</v>
      </c>
      <c r="BE2627" s="5" t="s">
        <v>251</v>
      </c>
      <c r="BF2627" s="5" t="s">
        <v>252</v>
      </c>
      <c r="BG2627" s="5" t="s">
        <v>238</v>
      </c>
      <c r="BH2627" s="7">
        <f>0</f>
        <v>0</v>
      </c>
      <c r="BI2627" s="8">
        <f>0</f>
        <v>0</v>
      </c>
      <c r="BJ2627" s="5" t="s">
        <v>253</v>
      </c>
      <c r="BK2627" s="5" t="s">
        <v>254</v>
      </c>
      <c r="BY2627" s="5" t="s">
        <v>238</v>
      </c>
      <c r="BZ2627" s="5" t="s">
        <v>238</v>
      </c>
      <c r="CD2627" s="5" t="s">
        <v>273</v>
      </c>
      <c r="CE2627" s="5" t="s">
        <v>256</v>
      </c>
      <c r="CF2627" s="5" t="s">
        <v>238</v>
      </c>
      <c r="CI2627" s="6" t="s">
        <v>257</v>
      </c>
      <c r="CJ2627" s="5" t="s">
        <v>238</v>
      </c>
      <c r="CK2627" s="5" t="s">
        <v>258</v>
      </c>
      <c r="CL2627" s="5" t="s">
        <v>238</v>
      </c>
      <c r="CM2627" s="5" t="s">
        <v>238</v>
      </c>
      <c r="CN2627" s="5">
        <v>0</v>
      </c>
      <c r="CO2627" s="5" t="s">
        <v>259</v>
      </c>
      <c r="CP2627" s="5" t="s">
        <v>260</v>
      </c>
      <c r="CQ2627" s="5" t="s">
        <v>260</v>
      </c>
      <c r="CR2627" s="5" t="s">
        <v>261</v>
      </c>
      <c r="CU2627" s="8">
        <f>1</f>
        <v>1</v>
      </c>
      <c r="CV2627" s="8">
        <f>0</f>
        <v>0</v>
      </c>
      <c r="CX2627" s="8">
        <f>0</f>
        <v>0</v>
      </c>
      <c r="CY2627" s="8">
        <f>1</f>
        <v>1</v>
      </c>
      <c r="DA2627" s="5" t="s">
        <v>274</v>
      </c>
      <c r="DB2627" s="5" t="s">
        <v>238</v>
      </c>
      <c r="DD2627" s="5" t="s">
        <v>274</v>
      </c>
      <c r="DE2627" s="8">
        <f>542</f>
        <v>542</v>
      </c>
      <c r="DG2627" s="5" t="s">
        <v>238</v>
      </c>
      <c r="DH2627" s="5" t="s">
        <v>238</v>
      </c>
      <c r="DI2627" s="5" t="s">
        <v>238</v>
      </c>
      <c r="DJ2627" s="5" t="s">
        <v>238</v>
      </c>
      <c r="DN2627" s="5" t="s">
        <v>238</v>
      </c>
      <c r="DO2627" s="5" t="s">
        <v>238</v>
      </c>
      <c r="DP2627" s="5" t="s">
        <v>238</v>
      </c>
      <c r="DQ2627" s="5" t="s">
        <v>238</v>
      </c>
      <c r="DT2627" s="5" t="s">
        <v>275</v>
      </c>
      <c r="DU2627" s="5" t="s">
        <v>1580</v>
      </c>
      <c r="HM2627" s="5" t="s">
        <v>264</v>
      </c>
    </row>
    <row r="2628" spans="1:221" x14ac:dyDescent="0.4">
      <c r="A2628" s="5">
        <v>4332</v>
      </c>
      <c r="B2628" s="5">
        <v>1</v>
      </c>
      <c r="C2628" s="5">
        <v>1</v>
      </c>
      <c r="D2628" s="5" t="s">
        <v>269</v>
      </c>
      <c r="E2628" s="5" t="s">
        <v>271</v>
      </c>
      <c r="F2628" s="5" t="s">
        <v>248</v>
      </c>
      <c r="G2628" s="5" t="s">
        <v>266</v>
      </c>
      <c r="H2628" s="6" t="s">
        <v>1538</v>
      </c>
      <c r="I2628" s="7">
        <f>1211</f>
        <v>1211</v>
      </c>
      <c r="J2628" s="5" t="s">
        <v>262</v>
      </c>
      <c r="K2628" s="8">
        <f>1</f>
        <v>1</v>
      </c>
      <c r="L2628" s="6" t="s">
        <v>242</v>
      </c>
      <c r="M2628" s="5" t="s">
        <v>267</v>
      </c>
      <c r="N2628" s="5" t="s">
        <v>265</v>
      </c>
      <c r="O2628" s="5" t="s">
        <v>238</v>
      </c>
      <c r="P2628" s="5" t="s">
        <v>238</v>
      </c>
      <c r="Q2628" s="5" t="s">
        <v>268</v>
      </c>
      <c r="R2628" s="5" t="s">
        <v>270</v>
      </c>
      <c r="S2628" s="5" t="s">
        <v>238</v>
      </c>
      <c r="V2628" s="5" t="s">
        <v>238</v>
      </c>
      <c r="X2628" s="6" t="s">
        <v>238</v>
      </c>
      <c r="AA2628" s="6" t="s">
        <v>243</v>
      </c>
      <c r="AB2628" s="5" t="s">
        <v>238</v>
      </c>
      <c r="AC2628" s="5" t="s">
        <v>244</v>
      </c>
      <c r="AD2628" s="5" t="s">
        <v>245</v>
      </c>
      <c r="AT2628" s="5" t="s">
        <v>246</v>
      </c>
      <c r="AU2628" s="5" t="s">
        <v>238</v>
      </c>
      <c r="AV2628" s="5" t="s">
        <v>247</v>
      </c>
      <c r="AW2628" s="5" t="s">
        <v>238</v>
      </c>
      <c r="AX2628" s="5" t="s">
        <v>249</v>
      </c>
      <c r="AY2628" s="5" t="s">
        <v>238</v>
      </c>
      <c r="BA2628" s="5" t="s">
        <v>238</v>
      </c>
      <c r="BC2628" s="5" t="s">
        <v>250</v>
      </c>
      <c r="BD2628" s="6" t="s">
        <v>243</v>
      </c>
      <c r="BE2628" s="5" t="s">
        <v>251</v>
      </c>
      <c r="BF2628" s="5" t="s">
        <v>252</v>
      </c>
      <c r="BG2628" s="5" t="s">
        <v>238</v>
      </c>
      <c r="BH2628" s="7">
        <f>0</f>
        <v>0</v>
      </c>
      <c r="BI2628" s="8">
        <f>0</f>
        <v>0</v>
      </c>
      <c r="BJ2628" s="5" t="s">
        <v>253</v>
      </c>
      <c r="BK2628" s="5" t="s">
        <v>254</v>
      </c>
      <c r="BY2628" s="5" t="s">
        <v>238</v>
      </c>
      <c r="BZ2628" s="5" t="s">
        <v>238</v>
      </c>
      <c r="CD2628" s="5" t="s">
        <v>273</v>
      </c>
      <c r="CE2628" s="5" t="s">
        <v>256</v>
      </c>
      <c r="CF2628" s="5" t="s">
        <v>238</v>
      </c>
      <c r="CI2628" s="6" t="s">
        <v>257</v>
      </c>
      <c r="CJ2628" s="5" t="s">
        <v>238</v>
      </c>
      <c r="CK2628" s="5" t="s">
        <v>258</v>
      </c>
      <c r="CL2628" s="5" t="s">
        <v>238</v>
      </c>
      <c r="CM2628" s="5" t="s">
        <v>238</v>
      </c>
      <c r="CN2628" s="5">
        <v>0</v>
      </c>
      <c r="CO2628" s="5" t="s">
        <v>259</v>
      </c>
      <c r="CP2628" s="5" t="s">
        <v>260</v>
      </c>
      <c r="CQ2628" s="5" t="s">
        <v>260</v>
      </c>
      <c r="CR2628" s="5" t="s">
        <v>261</v>
      </c>
      <c r="CU2628" s="8">
        <f>1</f>
        <v>1</v>
      </c>
      <c r="CV2628" s="8">
        <f>0</f>
        <v>0</v>
      </c>
      <c r="CX2628" s="8">
        <f>0</f>
        <v>0</v>
      </c>
      <c r="CY2628" s="8">
        <f>1</f>
        <v>1</v>
      </c>
      <c r="DA2628" s="5" t="s">
        <v>274</v>
      </c>
      <c r="DB2628" s="5" t="s">
        <v>238</v>
      </c>
      <c r="DD2628" s="5" t="s">
        <v>274</v>
      </c>
      <c r="DE2628" s="8">
        <f>1211</f>
        <v>1211</v>
      </c>
      <c r="DG2628" s="5" t="s">
        <v>238</v>
      </c>
      <c r="DH2628" s="5" t="s">
        <v>238</v>
      </c>
      <c r="DI2628" s="5" t="s">
        <v>238</v>
      </c>
      <c r="DJ2628" s="5" t="s">
        <v>238</v>
      </c>
      <c r="DN2628" s="5" t="s">
        <v>238</v>
      </c>
      <c r="DO2628" s="5" t="s">
        <v>238</v>
      </c>
      <c r="DP2628" s="5" t="s">
        <v>238</v>
      </c>
      <c r="DQ2628" s="5" t="s">
        <v>238</v>
      </c>
      <c r="DT2628" s="5" t="s">
        <v>275</v>
      </c>
      <c r="DU2628" s="5" t="s">
        <v>1539</v>
      </c>
      <c r="HM2628" s="5" t="s">
        <v>264</v>
      </c>
    </row>
    <row r="2629" spans="1:221" x14ac:dyDescent="0.4">
      <c r="A2629" s="5">
        <v>4333</v>
      </c>
      <c r="B2629" s="5">
        <v>1</v>
      </c>
      <c r="C2629" s="5">
        <v>1</v>
      </c>
      <c r="D2629" s="5" t="s">
        <v>269</v>
      </c>
      <c r="E2629" s="5" t="s">
        <v>271</v>
      </c>
      <c r="F2629" s="5" t="s">
        <v>248</v>
      </c>
      <c r="G2629" s="5" t="s">
        <v>266</v>
      </c>
      <c r="H2629" s="6" t="s">
        <v>1524</v>
      </c>
      <c r="I2629" s="7">
        <f>1220</f>
        <v>1220</v>
      </c>
      <c r="J2629" s="5" t="s">
        <v>262</v>
      </c>
      <c r="K2629" s="8">
        <f>1</f>
        <v>1</v>
      </c>
      <c r="L2629" s="6" t="s">
        <v>242</v>
      </c>
      <c r="M2629" s="5" t="s">
        <v>267</v>
      </c>
      <c r="N2629" s="5" t="s">
        <v>265</v>
      </c>
      <c r="O2629" s="5" t="s">
        <v>238</v>
      </c>
      <c r="P2629" s="5" t="s">
        <v>238</v>
      </c>
      <c r="Q2629" s="5" t="s">
        <v>268</v>
      </c>
      <c r="R2629" s="5" t="s">
        <v>270</v>
      </c>
      <c r="S2629" s="5" t="s">
        <v>238</v>
      </c>
      <c r="V2629" s="5" t="s">
        <v>238</v>
      </c>
      <c r="X2629" s="6" t="s">
        <v>238</v>
      </c>
      <c r="AA2629" s="6" t="s">
        <v>243</v>
      </c>
      <c r="AB2629" s="5" t="s">
        <v>238</v>
      </c>
      <c r="AC2629" s="5" t="s">
        <v>244</v>
      </c>
      <c r="AD2629" s="5" t="s">
        <v>245</v>
      </c>
      <c r="AT2629" s="5" t="s">
        <v>246</v>
      </c>
      <c r="AU2629" s="5" t="s">
        <v>238</v>
      </c>
      <c r="AV2629" s="5" t="s">
        <v>247</v>
      </c>
      <c r="AW2629" s="5" t="s">
        <v>238</v>
      </c>
      <c r="AX2629" s="5" t="s">
        <v>249</v>
      </c>
      <c r="AY2629" s="5" t="s">
        <v>238</v>
      </c>
      <c r="BA2629" s="5" t="s">
        <v>238</v>
      </c>
      <c r="BC2629" s="5" t="s">
        <v>250</v>
      </c>
      <c r="BD2629" s="6" t="s">
        <v>243</v>
      </c>
      <c r="BE2629" s="5" t="s">
        <v>251</v>
      </c>
      <c r="BF2629" s="5" t="s">
        <v>252</v>
      </c>
      <c r="BG2629" s="5" t="s">
        <v>238</v>
      </c>
      <c r="BH2629" s="7">
        <f>0</f>
        <v>0</v>
      </c>
      <c r="BI2629" s="8">
        <f>0</f>
        <v>0</v>
      </c>
      <c r="BJ2629" s="5" t="s">
        <v>253</v>
      </c>
      <c r="BK2629" s="5" t="s">
        <v>254</v>
      </c>
      <c r="BY2629" s="5" t="s">
        <v>238</v>
      </c>
      <c r="BZ2629" s="5" t="s">
        <v>238</v>
      </c>
      <c r="CD2629" s="5" t="s">
        <v>273</v>
      </c>
      <c r="CE2629" s="5" t="s">
        <v>256</v>
      </c>
      <c r="CF2629" s="5" t="s">
        <v>238</v>
      </c>
      <c r="CI2629" s="6" t="s">
        <v>257</v>
      </c>
      <c r="CJ2629" s="5" t="s">
        <v>238</v>
      </c>
      <c r="CK2629" s="5" t="s">
        <v>258</v>
      </c>
      <c r="CL2629" s="5" t="s">
        <v>238</v>
      </c>
      <c r="CM2629" s="5" t="s">
        <v>238</v>
      </c>
      <c r="CN2629" s="5">
        <v>0</v>
      </c>
      <c r="CO2629" s="5" t="s">
        <v>259</v>
      </c>
      <c r="CP2629" s="5" t="s">
        <v>260</v>
      </c>
      <c r="CQ2629" s="5" t="s">
        <v>260</v>
      </c>
      <c r="CR2629" s="5" t="s">
        <v>261</v>
      </c>
      <c r="CU2629" s="8">
        <f>1</f>
        <v>1</v>
      </c>
      <c r="CV2629" s="8">
        <f>0</f>
        <v>0</v>
      </c>
      <c r="CX2629" s="8">
        <f>0</f>
        <v>0</v>
      </c>
      <c r="CY2629" s="8">
        <f>1</f>
        <v>1</v>
      </c>
      <c r="DA2629" s="5" t="s">
        <v>274</v>
      </c>
      <c r="DB2629" s="5" t="s">
        <v>238</v>
      </c>
      <c r="DD2629" s="5" t="s">
        <v>274</v>
      </c>
      <c r="DE2629" s="8">
        <f>1220</f>
        <v>1220</v>
      </c>
      <c r="DG2629" s="5" t="s">
        <v>238</v>
      </c>
      <c r="DH2629" s="5" t="s">
        <v>238</v>
      </c>
      <c r="DI2629" s="5" t="s">
        <v>238</v>
      </c>
      <c r="DJ2629" s="5" t="s">
        <v>238</v>
      </c>
      <c r="DN2629" s="5" t="s">
        <v>238</v>
      </c>
      <c r="DO2629" s="5" t="s">
        <v>238</v>
      </c>
      <c r="DP2629" s="5" t="s">
        <v>238</v>
      </c>
      <c r="DQ2629" s="5" t="s">
        <v>238</v>
      </c>
      <c r="DT2629" s="5" t="s">
        <v>275</v>
      </c>
      <c r="DU2629" s="5" t="s">
        <v>1525</v>
      </c>
      <c r="HM2629" s="5" t="s">
        <v>264</v>
      </c>
    </row>
    <row r="2630" spans="1:221" x14ac:dyDescent="0.4">
      <c r="A2630" s="5">
        <v>4334</v>
      </c>
      <c r="B2630" s="5">
        <v>1</v>
      </c>
      <c r="C2630" s="5">
        <v>1</v>
      </c>
      <c r="D2630" s="5" t="s">
        <v>269</v>
      </c>
      <c r="E2630" s="5" t="s">
        <v>271</v>
      </c>
      <c r="F2630" s="5" t="s">
        <v>248</v>
      </c>
      <c r="G2630" s="5" t="s">
        <v>266</v>
      </c>
      <c r="H2630" s="6" t="s">
        <v>1506</v>
      </c>
      <c r="I2630" s="7">
        <f>2141</f>
        <v>2141</v>
      </c>
      <c r="J2630" s="5" t="s">
        <v>262</v>
      </c>
      <c r="K2630" s="8">
        <f>1</f>
        <v>1</v>
      </c>
      <c r="L2630" s="6" t="s">
        <v>242</v>
      </c>
      <c r="M2630" s="5" t="s">
        <v>267</v>
      </c>
      <c r="N2630" s="5" t="s">
        <v>265</v>
      </c>
      <c r="O2630" s="5" t="s">
        <v>238</v>
      </c>
      <c r="P2630" s="5" t="s">
        <v>238</v>
      </c>
      <c r="Q2630" s="5" t="s">
        <v>268</v>
      </c>
      <c r="R2630" s="5" t="s">
        <v>270</v>
      </c>
      <c r="S2630" s="5" t="s">
        <v>238</v>
      </c>
      <c r="V2630" s="5" t="s">
        <v>238</v>
      </c>
      <c r="X2630" s="6" t="s">
        <v>238</v>
      </c>
      <c r="AA2630" s="6" t="s">
        <v>243</v>
      </c>
      <c r="AB2630" s="5" t="s">
        <v>238</v>
      </c>
      <c r="AC2630" s="5" t="s">
        <v>244</v>
      </c>
      <c r="AD2630" s="5" t="s">
        <v>245</v>
      </c>
      <c r="AT2630" s="5" t="s">
        <v>246</v>
      </c>
      <c r="AU2630" s="5" t="s">
        <v>238</v>
      </c>
      <c r="AV2630" s="5" t="s">
        <v>247</v>
      </c>
      <c r="AW2630" s="5" t="s">
        <v>238</v>
      </c>
      <c r="AX2630" s="5" t="s">
        <v>249</v>
      </c>
      <c r="AY2630" s="5" t="s">
        <v>238</v>
      </c>
      <c r="BA2630" s="5" t="s">
        <v>238</v>
      </c>
      <c r="BC2630" s="5" t="s">
        <v>250</v>
      </c>
      <c r="BD2630" s="6" t="s">
        <v>243</v>
      </c>
      <c r="BE2630" s="5" t="s">
        <v>251</v>
      </c>
      <c r="BF2630" s="5" t="s">
        <v>252</v>
      </c>
      <c r="BG2630" s="5" t="s">
        <v>238</v>
      </c>
      <c r="BH2630" s="7">
        <f>0</f>
        <v>0</v>
      </c>
      <c r="BI2630" s="8">
        <f>0</f>
        <v>0</v>
      </c>
      <c r="BJ2630" s="5" t="s">
        <v>253</v>
      </c>
      <c r="BK2630" s="5" t="s">
        <v>254</v>
      </c>
      <c r="BY2630" s="5" t="s">
        <v>238</v>
      </c>
      <c r="BZ2630" s="5" t="s">
        <v>238</v>
      </c>
      <c r="CD2630" s="5" t="s">
        <v>273</v>
      </c>
      <c r="CE2630" s="5" t="s">
        <v>256</v>
      </c>
      <c r="CF2630" s="5" t="s">
        <v>238</v>
      </c>
      <c r="CI2630" s="6" t="s">
        <v>257</v>
      </c>
      <c r="CJ2630" s="5" t="s">
        <v>238</v>
      </c>
      <c r="CK2630" s="5" t="s">
        <v>258</v>
      </c>
      <c r="CL2630" s="5" t="s">
        <v>238</v>
      </c>
      <c r="CM2630" s="5" t="s">
        <v>238</v>
      </c>
      <c r="CN2630" s="5">
        <v>0</v>
      </c>
      <c r="CO2630" s="5" t="s">
        <v>259</v>
      </c>
      <c r="CP2630" s="5" t="s">
        <v>260</v>
      </c>
      <c r="CQ2630" s="5" t="s">
        <v>260</v>
      </c>
      <c r="CR2630" s="5" t="s">
        <v>261</v>
      </c>
      <c r="CU2630" s="8">
        <f>1</f>
        <v>1</v>
      </c>
      <c r="CV2630" s="8">
        <f>0</f>
        <v>0</v>
      </c>
      <c r="CX2630" s="8">
        <f>0</f>
        <v>0</v>
      </c>
      <c r="CY2630" s="8">
        <f>1</f>
        <v>1</v>
      </c>
      <c r="DA2630" s="5" t="s">
        <v>274</v>
      </c>
      <c r="DB2630" s="5" t="s">
        <v>238</v>
      </c>
      <c r="DD2630" s="5" t="s">
        <v>274</v>
      </c>
      <c r="DE2630" s="8">
        <f>2141</f>
        <v>2141</v>
      </c>
      <c r="DG2630" s="5" t="s">
        <v>238</v>
      </c>
      <c r="DH2630" s="5" t="s">
        <v>238</v>
      </c>
      <c r="DI2630" s="5" t="s">
        <v>238</v>
      </c>
      <c r="DJ2630" s="5" t="s">
        <v>238</v>
      </c>
      <c r="DN2630" s="5" t="s">
        <v>238</v>
      </c>
      <c r="DO2630" s="5" t="s">
        <v>238</v>
      </c>
      <c r="DP2630" s="5" t="s">
        <v>238</v>
      </c>
      <c r="DQ2630" s="5" t="s">
        <v>238</v>
      </c>
      <c r="DT2630" s="5" t="s">
        <v>275</v>
      </c>
      <c r="DU2630" s="5" t="s">
        <v>1507</v>
      </c>
      <c r="HM2630" s="5" t="s">
        <v>264</v>
      </c>
    </row>
    <row r="2631" spans="1:221" x14ac:dyDescent="0.4">
      <c r="A2631" s="5">
        <v>4335</v>
      </c>
      <c r="B2631" s="5">
        <v>1</v>
      </c>
      <c r="C2631" s="5">
        <v>1</v>
      </c>
      <c r="D2631" s="5" t="s">
        <v>269</v>
      </c>
      <c r="E2631" s="5" t="s">
        <v>271</v>
      </c>
      <c r="F2631" s="5" t="s">
        <v>248</v>
      </c>
      <c r="G2631" s="5" t="s">
        <v>266</v>
      </c>
      <c r="H2631" s="6" t="s">
        <v>1502</v>
      </c>
      <c r="I2631" s="7">
        <f>123</f>
        <v>123</v>
      </c>
      <c r="J2631" s="5" t="s">
        <v>262</v>
      </c>
      <c r="K2631" s="8">
        <f>1</f>
        <v>1</v>
      </c>
      <c r="L2631" s="6" t="s">
        <v>242</v>
      </c>
      <c r="M2631" s="5" t="s">
        <v>267</v>
      </c>
      <c r="N2631" s="5" t="s">
        <v>265</v>
      </c>
      <c r="O2631" s="5" t="s">
        <v>238</v>
      </c>
      <c r="P2631" s="5" t="s">
        <v>238</v>
      </c>
      <c r="Q2631" s="5" t="s">
        <v>268</v>
      </c>
      <c r="R2631" s="5" t="s">
        <v>270</v>
      </c>
      <c r="S2631" s="5" t="s">
        <v>238</v>
      </c>
      <c r="V2631" s="5" t="s">
        <v>238</v>
      </c>
      <c r="X2631" s="6" t="s">
        <v>238</v>
      </c>
      <c r="AA2631" s="6" t="s">
        <v>243</v>
      </c>
      <c r="AB2631" s="5" t="s">
        <v>238</v>
      </c>
      <c r="AC2631" s="5" t="s">
        <v>244</v>
      </c>
      <c r="AD2631" s="5" t="s">
        <v>245</v>
      </c>
      <c r="AT2631" s="5" t="s">
        <v>246</v>
      </c>
      <c r="AU2631" s="5" t="s">
        <v>238</v>
      </c>
      <c r="AV2631" s="5" t="s">
        <v>247</v>
      </c>
      <c r="AW2631" s="5" t="s">
        <v>238</v>
      </c>
      <c r="AX2631" s="5" t="s">
        <v>249</v>
      </c>
      <c r="AY2631" s="5" t="s">
        <v>238</v>
      </c>
      <c r="BA2631" s="5" t="s">
        <v>238</v>
      </c>
      <c r="BC2631" s="5" t="s">
        <v>250</v>
      </c>
      <c r="BD2631" s="6" t="s">
        <v>243</v>
      </c>
      <c r="BE2631" s="5" t="s">
        <v>251</v>
      </c>
      <c r="BF2631" s="5" t="s">
        <v>252</v>
      </c>
      <c r="BG2631" s="5" t="s">
        <v>238</v>
      </c>
      <c r="BH2631" s="7">
        <f>0</f>
        <v>0</v>
      </c>
      <c r="BI2631" s="8">
        <f>0</f>
        <v>0</v>
      </c>
      <c r="BJ2631" s="5" t="s">
        <v>253</v>
      </c>
      <c r="BK2631" s="5" t="s">
        <v>254</v>
      </c>
      <c r="BY2631" s="5" t="s">
        <v>238</v>
      </c>
      <c r="BZ2631" s="5" t="s">
        <v>238</v>
      </c>
      <c r="CD2631" s="5" t="s">
        <v>273</v>
      </c>
      <c r="CE2631" s="5" t="s">
        <v>256</v>
      </c>
      <c r="CF2631" s="5" t="s">
        <v>238</v>
      </c>
      <c r="CI2631" s="6" t="s">
        <v>257</v>
      </c>
      <c r="CJ2631" s="5" t="s">
        <v>238</v>
      </c>
      <c r="CK2631" s="5" t="s">
        <v>258</v>
      </c>
      <c r="CL2631" s="5" t="s">
        <v>238</v>
      </c>
      <c r="CM2631" s="5" t="s">
        <v>238</v>
      </c>
      <c r="CN2631" s="5">
        <v>0</v>
      </c>
      <c r="CO2631" s="5" t="s">
        <v>259</v>
      </c>
      <c r="CP2631" s="5" t="s">
        <v>260</v>
      </c>
      <c r="CQ2631" s="5" t="s">
        <v>260</v>
      </c>
      <c r="CR2631" s="5" t="s">
        <v>261</v>
      </c>
      <c r="CU2631" s="8">
        <f>1</f>
        <v>1</v>
      </c>
      <c r="CV2631" s="8">
        <f>0</f>
        <v>0</v>
      </c>
      <c r="CX2631" s="8">
        <f>0</f>
        <v>0</v>
      </c>
      <c r="CY2631" s="8">
        <f>1</f>
        <v>1</v>
      </c>
      <c r="DA2631" s="5" t="s">
        <v>274</v>
      </c>
      <c r="DB2631" s="5" t="s">
        <v>238</v>
      </c>
      <c r="DD2631" s="5" t="s">
        <v>274</v>
      </c>
      <c r="DE2631" s="8">
        <f>123</f>
        <v>123</v>
      </c>
      <c r="DG2631" s="5" t="s">
        <v>238</v>
      </c>
      <c r="DH2631" s="5" t="s">
        <v>238</v>
      </c>
      <c r="DI2631" s="5" t="s">
        <v>238</v>
      </c>
      <c r="DJ2631" s="5" t="s">
        <v>238</v>
      </c>
      <c r="DN2631" s="5" t="s">
        <v>238</v>
      </c>
      <c r="DO2631" s="5" t="s">
        <v>238</v>
      </c>
      <c r="DP2631" s="5" t="s">
        <v>238</v>
      </c>
      <c r="DQ2631" s="5" t="s">
        <v>238</v>
      </c>
      <c r="DT2631" s="5" t="s">
        <v>275</v>
      </c>
      <c r="DU2631" s="5" t="s">
        <v>1503</v>
      </c>
      <c r="HM2631" s="5" t="s">
        <v>264</v>
      </c>
    </row>
    <row r="2632" spans="1:221" x14ac:dyDescent="0.4">
      <c r="A2632" s="5">
        <v>4336</v>
      </c>
      <c r="B2632" s="5">
        <v>1</v>
      </c>
      <c r="C2632" s="5">
        <v>1</v>
      </c>
      <c r="D2632" s="5" t="s">
        <v>269</v>
      </c>
      <c r="E2632" s="5" t="s">
        <v>271</v>
      </c>
      <c r="F2632" s="5" t="s">
        <v>248</v>
      </c>
      <c r="G2632" s="5" t="s">
        <v>266</v>
      </c>
      <c r="H2632" s="6" t="s">
        <v>1823</v>
      </c>
      <c r="I2632" s="7">
        <f>51</f>
        <v>51</v>
      </c>
      <c r="J2632" s="5" t="s">
        <v>262</v>
      </c>
      <c r="K2632" s="8">
        <f>1</f>
        <v>1</v>
      </c>
      <c r="L2632" s="6" t="s">
        <v>242</v>
      </c>
      <c r="M2632" s="5" t="s">
        <v>267</v>
      </c>
      <c r="N2632" s="5" t="s">
        <v>265</v>
      </c>
      <c r="O2632" s="5" t="s">
        <v>238</v>
      </c>
      <c r="P2632" s="5" t="s">
        <v>238</v>
      </c>
      <c r="Q2632" s="5" t="s">
        <v>268</v>
      </c>
      <c r="R2632" s="5" t="s">
        <v>270</v>
      </c>
      <c r="S2632" s="5" t="s">
        <v>238</v>
      </c>
      <c r="V2632" s="5" t="s">
        <v>238</v>
      </c>
      <c r="X2632" s="6" t="s">
        <v>238</v>
      </c>
      <c r="AA2632" s="6" t="s">
        <v>243</v>
      </c>
      <c r="AB2632" s="5" t="s">
        <v>238</v>
      </c>
      <c r="AC2632" s="5" t="s">
        <v>244</v>
      </c>
      <c r="AD2632" s="5" t="s">
        <v>245</v>
      </c>
      <c r="AT2632" s="5" t="s">
        <v>246</v>
      </c>
      <c r="AU2632" s="5" t="s">
        <v>238</v>
      </c>
      <c r="AV2632" s="5" t="s">
        <v>247</v>
      </c>
      <c r="AW2632" s="5" t="s">
        <v>238</v>
      </c>
      <c r="AX2632" s="5" t="s">
        <v>249</v>
      </c>
      <c r="AY2632" s="5" t="s">
        <v>238</v>
      </c>
      <c r="BA2632" s="5" t="s">
        <v>238</v>
      </c>
      <c r="BC2632" s="5" t="s">
        <v>250</v>
      </c>
      <c r="BD2632" s="6" t="s">
        <v>243</v>
      </c>
      <c r="BE2632" s="5" t="s">
        <v>251</v>
      </c>
      <c r="BF2632" s="5" t="s">
        <v>252</v>
      </c>
      <c r="BG2632" s="5" t="s">
        <v>238</v>
      </c>
      <c r="BH2632" s="7">
        <f>0</f>
        <v>0</v>
      </c>
      <c r="BI2632" s="8">
        <f>0</f>
        <v>0</v>
      </c>
      <c r="BJ2632" s="5" t="s">
        <v>253</v>
      </c>
      <c r="BK2632" s="5" t="s">
        <v>254</v>
      </c>
      <c r="BY2632" s="5" t="s">
        <v>238</v>
      </c>
      <c r="BZ2632" s="5" t="s">
        <v>238</v>
      </c>
      <c r="CD2632" s="5" t="s">
        <v>273</v>
      </c>
      <c r="CE2632" s="5" t="s">
        <v>256</v>
      </c>
      <c r="CF2632" s="5" t="s">
        <v>238</v>
      </c>
      <c r="CI2632" s="6" t="s">
        <v>257</v>
      </c>
      <c r="CJ2632" s="5" t="s">
        <v>238</v>
      </c>
      <c r="CK2632" s="5" t="s">
        <v>258</v>
      </c>
      <c r="CL2632" s="5" t="s">
        <v>238</v>
      </c>
      <c r="CM2632" s="5" t="s">
        <v>238</v>
      </c>
      <c r="CN2632" s="5">
        <v>0</v>
      </c>
      <c r="CO2632" s="5" t="s">
        <v>259</v>
      </c>
      <c r="CP2632" s="5" t="s">
        <v>260</v>
      </c>
      <c r="CQ2632" s="5" t="s">
        <v>260</v>
      </c>
      <c r="CR2632" s="5" t="s">
        <v>261</v>
      </c>
      <c r="CU2632" s="8">
        <f>1</f>
        <v>1</v>
      </c>
      <c r="CV2632" s="8">
        <f>0</f>
        <v>0</v>
      </c>
      <c r="CX2632" s="8">
        <f>0</f>
        <v>0</v>
      </c>
      <c r="CY2632" s="8">
        <f>1</f>
        <v>1</v>
      </c>
      <c r="DA2632" s="5" t="s">
        <v>274</v>
      </c>
      <c r="DB2632" s="5" t="s">
        <v>238</v>
      </c>
      <c r="DD2632" s="5" t="s">
        <v>274</v>
      </c>
      <c r="DE2632" s="8">
        <f>51</f>
        <v>51</v>
      </c>
      <c r="DG2632" s="5" t="s">
        <v>238</v>
      </c>
      <c r="DH2632" s="5" t="s">
        <v>238</v>
      </c>
      <c r="DI2632" s="5" t="s">
        <v>238</v>
      </c>
      <c r="DJ2632" s="5" t="s">
        <v>238</v>
      </c>
      <c r="DN2632" s="5" t="s">
        <v>238</v>
      </c>
      <c r="DO2632" s="5" t="s">
        <v>238</v>
      </c>
      <c r="DP2632" s="5" t="s">
        <v>238</v>
      </c>
      <c r="DQ2632" s="5" t="s">
        <v>238</v>
      </c>
      <c r="DT2632" s="5" t="s">
        <v>275</v>
      </c>
      <c r="DU2632" s="5" t="s">
        <v>1824</v>
      </c>
      <c r="HM2632" s="5" t="s">
        <v>264</v>
      </c>
    </row>
    <row r="2633" spans="1:221" x14ac:dyDescent="0.4">
      <c r="A2633" s="5">
        <v>4337</v>
      </c>
      <c r="B2633" s="5">
        <v>1</v>
      </c>
      <c r="C2633" s="5">
        <v>1</v>
      </c>
      <c r="D2633" s="5" t="s">
        <v>269</v>
      </c>
      <c r="E2633" s="5" t="s">
        <v>271</v>
      </c>
      <c r="F2633" s="5" t="s">
        <v>248</v>
      </c>
      <c r="G2633" s="5" t="s">
        <v>266</v>
      </c>
      <c r="H2633" s="6" t="s">
        <v>1475</v>
      </c>
      <c r="I2633" s="7">
        <f>225</f>
        <v>225</v>
      </c>
      <c r="J2633" s="5" t="s">
        <v>262</v>
      </c>
      <c r="K2633" s="8">
        <f>1</f>
        <v>1</v>
      </c>
      <c r="L2633" s="6" t="s">
        <v>242</v>
      </c>
      <c r="M2633" s="5" t="s">
        <v>267</v>
      </c>
      <c r="N2633" s="5" t="s">
        <v>265</v>
      </c>
      <c r="O2633" s="5" t="s">
        <v>238</v>
      </c>
      <c r="P2633" s="5" t="s">
        <v>238</v>
      </c>
      <c r="Q2633" s="5" t="s">
        <v>268</v>
      </c>
      <c r="R2633" s="5" t="s">
        <v>270</v>
      </c>
      <c r="S2633" s="5" t="s">
        <v>238</v>
      </c>
      <c r="V2633" s="5" t="s">
        <v>238</v>
      </c>
      <c r="X2633" s="6" t="s">
        <v>238</v>
      </c>
      <c r="AA2633" s="6" t="s">
        <v>243</v>
      </c>
      <c r="AB2633" s="5" t="s">
        <v>238</v>
      </c>
      <c r="AC2633" s="5" t="s">
        <v>244</v>
      </c>
      <c r="AD2633" s="5" t="s">
        <v>245</v>
      </c>
      <c r="AT2633" s="5" t="s">
        <v>246</v>
      </c>
      <c r="AU2633" s="5" t="s">
        <v>238</v>
      </c>
      <c r="AV2633" s="5" t="s">
        <v>247</v>
      </c>
      <c r="AW2633" s="5" t="s">
        <v>238</v>
      </c>
      <c r="AX2633" s="5" t="s">
        <v>249</v>
      </c>
      <c r="AY2633" s="5" t="s">
        <v>238</v>
      </c>
      <c r="BA2633" s="5" t="s">
        <v>238</v>
      </c>
      <c r="BC2633" s="5" t="s">
        <v>250</v>
      </c>
      <c r="BD2633" s="6" t="s">
        <v>243</v>
      </c>
      <c r="BE2633" s="5" t="s">
        <v>251</v>
      </c>
      <c r="BF2633" s="5" t="s">
        <v>252</v>
      </c>
      <c r="BG2633" s="5" t="s">
        <v>238</v>
      </c>
      <c r="BH2633" s="7">
        <f>0</f>
        <v>0</v>
      </c>
      <c r="BI2633" s="8">
        <f>0</f>
        <v>0</v>
      </c>
      <c r="BJ2633" s="5" t="s">
        <v>253</v>
      </c>
      <c r="BK2633" s="5" t="s">
        <v>254</v>
      </c>
      <c r="BY2633" s="5" t="s">
        <v>238</v>
      </c>
      <c r="BZ2633" s="5" t="s">
        <v>238</v>
      </c>
      <c r="CD2633" s="5" t="s">
        <v>273</v>
      </c>
      <c r="CE2633" s="5" t="s">
        <v>256</v>
      </c>
      <c r="CF2633" s="5" t="s">
        <v>238</v>
      </c>
      <c r="CI2633" s="6" t="s">
        <v>257</v>
      </c>
      <c r="CJ2633" s="5" t="s">
        <v>238</v>
      </c>
      <c r="CK2633" s="5" t="s">
        <v>258</v>
      </c>
      <c r="CL2633" s="5" t="s">
        <v>238</v>
      </c>
      <c r="CM2633" s="5" t="s">
        <v>238</v>
      </c>
      <c r="CN2633" s="5">
        <v>0</v>
      </c>
      <c r="CO2633" s="5" t="s">
        <v>259</v>
      </c>
      <c r="CP2633" s="5" t="s">
        <v>260</v>
      </c>
      <c r="CQ2633" s="5" t="s">
        <v>260</v>
      </c>
      <c r="CR2633" s="5" t="s">
        <v>261</v>
      </c>
      <c r="CU2633" s="8">
        <f>1</f>
        <v>1</v>
      </c>
      <c r="CV2633" s="8">
        <f>0</f>
        <v>0</v>
      </c>
      <c r="CX2633" s="8">
        <f>0</f>
        <v>0</v>
      </c>
      <c r="CY2633" s="8">
        <f>1</f>
        <v>1</v>
      </c>
      <c r="DA2633" s="5" t="s">
        <v>274</v>
      </c>
      <c r="DB2633" s="5" t="s">
        <v>238</v>
      </c>
      <c r="DD2633" s="5" t="s">
        <v>274</v>
      </c>
      <c r="DE2633" s="8">
        <f>225</f>
        <v>225</v>
      </c>
      <c r="DG2633" s="5" t="s">
        <v>238</v>
      </c>
      <c r="DH2633" s="5" t="s">
        <v>238</v>
      </c>
      <c r="DI2633" s="5" t="s">
        <v>238</v>
      </c>
      <c r="DJ2633" s="5" t="s">
        <v>238</v>
      </c>
      <c r="DN2633" s="5" t="s">
        <v>238</v>
      </c>
      <c r="DO2633" s="5" t="s">
        <v>238</v>
      </c>
      <c r="DP2633" s="5" t="s">
        <v>238</v>
      </c>
      <c r="DQ2633" s="5" t="s">
        <v>238</v>
      </c>
      <c r="DT2633" s="5" t="s">
        <v>275</v>
      </c>
      <c r="DU2633" s="5" t="s">
        <v>1476</v>
      </c>
      <c r="HM2633" s="5" t="s">
        <v>264</v>
      </c>
    </row>
    <row r="2634" spans="1:221" x14ac:dyDescent="0.4">
      <c r="A2634" s="5">
        <v>4338</v>
      </c>
      <c r="B2634" s="5">
        <v>1</v>
      </c>
      <c r="C2634" s="5">
        <v>1</v>
      </c>
      <c r="D2634" s="5" t="s">
        <v>269</v>
      </c>
      <c r="E2634" s="5" t="s">
        <v>271</v>
      </c>
      <c r="F2634" s="5" t="s">
        <v>248</v>
      </c>
      <c r="G2634" s="5" t="s">
        <v>266</v>
      </c>
      <c r="H2634" s="6" t="s">
        <v>1402</v>
      </c>
      <c r="I2634" s="7">
        <f>3013</f>
        <v>3013</v>
      </c>
      <c r="J2634" s="5" t="s">
        <v>262</v>
      </c>
      <c r="K2634" s="8">
        <f>1</f>
        <v>1</v>
      </c>
      <c r="L2634" s="6" t="s">
        <v>242</v>
      </c>
      <c r="M2634" s="5" t="s">
        <v>267</v>
      </c>
      <c r="N2634" s="5" t="s">
        <v>265</v>
      </c>
      <c r="O2634" s="5" t="s">
        <v>238</v>
      </c>
      <c r="P2634" s="5" t="s">
        <v>238</v>
      </c>
      <c r="Q2634" s="5" t="s">
        <v>268</v>
      </c>
      <c r="R2634" s="5" t="s">
        <v>270</v>
      </c>
      <c r="S2634" s="5" t="s">
        <v>238</v>
      </c>
      <c r="V2634" s="5" t="s">
        <v>238</v>
      </c>
      <c r="X2634" s="6" t="s">
        <v>238</v>
      </c>
      <c r="AA2634" s="6" t="s">
        <v>243</v>
      </c>
      <c r="AB2634" s="5" t="s">
        <v>238</v>
      </c>
      <c r="AC2634" s="5" t="s">
        <v>244</v>
      </c>
      <c r="AD2634" s="5" t="s">
        <v>245</v>
      </c>
      <c r="AT2634" s="5" t="s">
        <v>246</v>
      </c>
      <c r="AU2634" s="5" t="s">
        <v>238</v>
      </c>
      <c r="AV2634" s="5" t="s">
        <v>247</v>
      </c>
      <c r="AW2634" s="5" t="s">
        <v>238</v>
      </c>
      <c r="AX2634" s="5" t="s">
        <v>249</v>
      </c>
      <c r="AY2634" s="5" t="s">
        <v>238</v>
      </c>
      <c r="BA2634" s="5" t="s">
        <v>238</v>
      </c>
      <c r="BC2634" s="5" t="s">
        <v>250</v>
      </c>
      <c r="BD2634" s="6" t="s">
        <v>243</v>
      </c>
      <c r="BE2634" s="5" t="s">
        <v>251</v>
      </c>
      <c r="BF2634" s="5" t="s">
        <v>252</v>
      </c>
      <c r="BG2634" s="5" t="s">
        <v>238</v>
      </c>
      <c r="BH2634" s="7">
        <f>0</f>
        <v>0</v>
      </c>
      <c r="BI2634" s="8">
        <f>0</f>
        <v>0</v>
      </c>
      <c r="BJ2634" s="5" t="s">
        <v>253</v>
      </c>
      <c r="BK2634" s="5" t="s">
        <v>254</v>
      </c>
      <c r="BY2634" s="5" t="s">
        <v>238</v>
      </c>
      <c r="BZ2634" s="5" t="s">
        <v>238</v>
      </c>
      <c r="CD2634" s="5" t="s">
        <v>273</v>
      </c>
      <c r="CE2634" s="5" t="s">
        <v>256</v>
      </c>
      <c r="CF2634" s="5" t="s">
        <v>238</v>
      </c>
      <c r="CI2634" s="6" t="s">
        <v>257</v>
      </c>
      <c r="CJ2634" s="5" t="s">
        <v>238</v>
      </c>
      <c r="CK2634" s="5" t="s">
        <v>258</v>
      </c>
      <c r="CL2634" s="5" t="s">
        <v>238</v>
      </c>
      <c r="CM2634" s="5" t="s">
        <v>238</v>
      </c>
      <c r="CN2634" s="5">
        <v>0</v>
      </c>
      <c r="CO2634" s="5" t="s">
        <v>259</v>
      </c>
      <c r="CP2634" s="5" t="s">
        <v>260</v>
      </c>
      <c r="CQ2634" s="5" t="s">
        <v>260</v>
      </c>
      <c r="CR2634" s="5" t="s">
        <v>261</v>
      </c>
      <c r="CU2634" s="8">
        <f>1</f>
        <v>1</v>
      </c>
      <c r="CV2634" s="8">
        <f>0</f>
        <v>0</v>
      </c>
      <c r="CX2634" s="8">
        <f>0</f>
        <v>0</v>
      </c>
      <c r="CY2634" s="8">
        <f>1</f>
        <v>1</v>
      </c>
      <c r="DA2634" s="5" t="s">
        <v>274</v>
      </c>
      <c r="DB2634" s="5" t="s">
        <v>238</v>
      </c>
      <c r="DD2634" s="5" t="s">
        <v>274</v>
      </c>
      <c r="DE2634" s="8">
        <f>3013</f>
        <v>3013</v>
      </c>
      <c r="DG2634" s="5" t="s">
        <v>238</v>
      </c>
      <c r="DH2634" s="5" t="s">
        <v>238</v>
      </c>
      <c r="DI2634" s="5" t="s">
        <v>238</v>
      </c>
      <c r="DJ2634" s="5" t="s">
        <v>238</v>
      </c>
      <c r="DN2634" s="5" t="s">
        <v>238</v>
      </c>
      <c r="DO2634" s="5" t="s">
        <v>238</v>
      </c>
      <c r="DP2634" s="5" t="s">
        <v>238</v>
      </c>
      <c r="DQ2634" s="5" t="s">
        <v>238</v>
      </c>
      <c r="DT2634" s="5" t="s">
        <v>275</v>
      </c>
      <c r="DU2634" s="5" t="s">
        <v>1403</v>
      </c>
      <c r="HM2634" s="5" t="s">
        <v>264</v>
      </c>
    </row>
    <row r="2635" spans="1:221" x14ac:dyDescent="0.4">
      <c r="A2635" s="5">
        <v>4339</v>
      </c>
      <c r="B2635" s="5">
        <v>1</v>
      </c>
      <c r="C2635" s="5">
        <v>1</v>
      </c>
      <c r="D2635" s="5" t="s">
        <v>269</v>
      </c>
      <c r="E2635" s="5" t="s">
        <v>271</v>
      </c>
      <c r="F2635" s="5" t="s">
        <v>248</v>
      </c>
      <c r="G2635" s="5" t="s">
        <v>266</v>
      </c>
      <c r="H2635" s="6" t="s">
        <v>5536</v>
      </c>
      <c r="I2635" s="7">
        <f>86</f>
        <v>86</v>
      </c>
      <c r="J2635" s="5" t="s">
        <v>262</v>
      </c>
      <c r="K2635" s="8">
        <f>1</f>
        <v>1</v>
      </c>
      <c r="L2635" s="6" t="s">
        <v>242</v>
      </c>
      <c r="M2635" s="5" t="s">
        <v>267</v>
      </c>
      <c r="N2635" s="5" t="s">
        <v>265</v>
      </c>
      <c r="O2635" s="5" t="s">
        <v>238</v>
      </c>
      <c r="P2635" s="5" t="s">
        <v>238</v>
      </c>
      <c r="Q2635" s="5" t="s">
        <v>268</v>
      </c>
      <c r="R2635" s="5" t="s">
        <v>270</v>
      </c>
      <c r="S2635" s="5" t="s">
        <v>238</v>
      </c>
      <c r="V2635" s="5" t="s">
        <v>238</v>
      </c>
      <c r="X2635" s="6" t="s">
        <v>238</v>
      </c>
      <c r="AA2635" s="6" t="s">
        <v>243</v>
      </c>
      <c r="AB2635" s="5" t="s">
        <v>238</v>
      </c>
      <c r="AC2635" s="5" t="s">
        <v>244</v>
      </c>
      <c r="AD2635" s="5" t="s">
        <v>245</v>
      </c>
      <c r="AT2635" s="5" t="s">
        <v>246</v>
      </c>
      <c r="AU2635" s="5" t="s">
        <v>238</v>
      </c>
      <c r="AV2635" s="5" t="s">
        <v>247</v>
      </c>
      <c r="AW2635" s="5" t="s">
        <v>238</v>
      </c>
      <c r="AX2635" s="5" t="s">
        <v>249</v>
      </c>
      <c r="AY2635" s="5" t="s">
        <v>238</v>
      </c>
      <c r="BA2635" s="5" t="s">
        <v>238</v>
      </c>
      <c r="BC2635" s="5" t="s">
        <v>250</v>
      </c>
      <c r="BD2635" s="6" t="s">
        <v>243</v>
      </c>
      <c r="BE2635" s="5" t="s">
        <v>251</v>
      </c>
      <c r="BF2635" s="5" t="s">
        <v>252</v>
      </c>
      <c r="BG2635" s="5" t="s">
        <v>238</v>
      </c>
      <c r="BH2635" s="7">
        <f>0</f>
        <v>0</v>
      </c>
      <c r="BI2635" s="8">
        <f>0</f>
        <v>0</v>
      </c>
      <c r="BJ2635" s="5" t="s">
        <v>253</v>
      </c>
      <c r="BK2635" s="5" t="s">
        <v>254</v>
      </c>
      <c r="BY2635" s="5" t="s">
        <v>238</v>
      </c>
      <c r="BZ2635" s="5" t="s">
        <v>238</v>
      </c>
      <c r="CD2635" s="5" t="s">
        <v>273</v>
      </c>
      <c r="CE2635" s="5" t="s">
        <v>256</v>
      </c>
      <c r="CF2635" s="5" t="s">
        <v>238</v>
      </c>
      <c r="CI2635" s="6" t="s">
        <v>257</v>
      </c>
      <c r="CJ2635" s="5" t="s">
        <v>238</v>
      </c>
      <c r="CK2635" s="5" t="s">
        <v>258</v>
      </c>
      <c r="CL2635" s="5" t="s">
        <v>238</v>
      </c>
      <c r="CM2635" s="5" t="s">
        <v>238</v>
      </c>
      <c r="CN2635" s="5">
        <v>0</v>
      </c>
      <c r="CO2635" s="5" t="s">
        <v>259</v>
      </c>
      <c r="CP2635" s="5" t="s">
        <v>260</v>
      </c>
      <c r="CQ2635" s="5" t="s">
        <v>260</v>
      </c>
      <c r="CR2635" s="5" t="s">
        <v>261</v>
      </c>
      <c r="CU2635" s="8">
        <f>1</f>
        <v>1</v>
      </c>
      <c r="CV2635" s="8">
        <f>0</f>
        <v>0</v>
      </c>
      <c r="CX2635" s="8">
        <f>0</f>
        <v>0</v>
      </c>
      <c r="CY2635" s="8">
        <f>1</f>
        <v>1</v>
      </c>
      <c r="DA2635" s="5" t="s">
        <v>274</v>
      </c>
      <c r="DB2635" s="5" t="s">
        <v>238</v>
      </c>
      <c r="DD2635" s="5" t="s">
        <v>274</v>
      </c>
      <c r="DE2635" s="8">
        <f>86</f>
        <v>86</v>
      </c>
      <c r="DG2635" s="5" t="s">
        <v>238</v>
      </c>
      <c r="DH2635" s="5" t="s">
        <v>238</v>
      </c>
      <c r="DI2635" s="5" t="s">
        <v>238</v>
      </c>
      <c r="DJ2635" s="5" t="s">
        <v>238</v>
      </c>
      <c r="DN2635" s="5" t="s">
        <v>238</v>
      </c>
      <c r="DO2635" s="5" t="s">
        <v>238</v>
      </c>
      <c r="DP2635" s="5" t="s">
        <v>238</v>
      </c>
      <c r="DQ2635" s="5" t="s">
        <v>238</v>
      </c>
      <c r="DT2635" s="5" t="s">
        <v>275</v>
      </c>
      <c r="DU2635" s="5" t="s">
        <v>2392</v>
      </c>
      <c r="HM2635" s="5" t="s">
        <v>264</v>
      </c>
    </row>
    <row r="2636" spans="1:221" x14ac:dyDescent="0.4">
      <c r="A2636" s="5">
        <v>4340</v>
      </c>
      <c r="B2636" s="5">
        <v>1</v>
      </c>
      <c r="C2636" s="5">
        <v>1</v>
      </c>
      <c r="D2636" s="5" t="s">
        <v>269</v>
      </c>
      <c r="E2636" s="5" t="s">
        <v>271</v>
      </c>
      <c r="F2636" s="5" t="s">
        <v>248</v>
      </c>
      <c r="G2636" s="5" t="s">
        <v>266</v>
      </c>
      <c r="H2636" s="6" t="s">
        <v>1817</v>
      </c>
      <c r="I2636" s="7">
        <f>2440</f>
        <v>2440</v>
      </c>
      <c r="J2636" s="5" t="s">
        <v>262</v>
      </c>
      <c r="K2636" s="8">
        <f>1</f>
        <v>1</v>
      </c>
      <c r="L2636" s="6" t="s">
        <v>242</v>
      </c>
      <c r="M2636" s="5" t="s">
        <v>267</v>
      </c>
      <c r="N2636" s="5" t="s">
        <v>265</v>
      </c>
      <c r="O2636" s="5" t="s">
        <v>238</v>
      </c>
      <c r="P2636" s="5" t="s">
        <v>238</v>
      </c>
      <c r="Q2636" s="5" t="s">
        <v>268</v>
      </c>
      <c r="R2636" s="5" t="s">
        <v>270</v>
      </c>
      <c r="S2636" s="5" t="s">
        <v>238</v>
      </c>
      <c r="V2636" s="5" t="s">
        <v>238</v>
      </c>
      <c r="X2636" s="6" t="s">
        <v>238</v>
      </c>
      <c r="AA2636" s="6" t="s">
        <v>243</v>
      </c>
      <c r="AB2636" s="5" t="s">
        <v>238</v>
      </c>
      <c r="AC2636" s="5" t="s">
        <v>244</v>
      </c>
      <c r="AD2636" s="5" t="s">
        <v>245</v>
      </c>
      <c r="AT2636" s="5" t="s">
        <v>246</v>
      </c>
      <c r="AU2636" s="5" t="s">
        <v>238</v>
      </c>
      <c r="AV2636" s="5" t="s">
        <v>247</v>
      </c>
      <c r="AW2636" s="5" t="s">
        <v>238</v>
      </c>
      <c r="AX2636" s="5" t="s">
        <v>249</v>
      </c>
      <c r="AY2636" s="5" t="s">
        <v>238</v>
      </c>
      <c r="BA2636" s="5" t="s">
        <v>238</v>
      </c>
      <c r="BC2636" s="5" t="s">
        <v>250</v>
      </c>
      <c r="BD2636" s="6" t="s">
        <v>243</v>
      </c>
      <c r="BE2636" s="5" t="s">
        <v>251</v>
      </c>
      <c r="BF2636" s="5" t="s">
        <v>252</v>
      </c>
      <c r="BG2636" s="5" t="s">
        <v>238</v>
      </c>
      <c r="BH2636" s="7">
        <f>0</f>
        <v>0</v>
      </c>
      <c r="BI2636" s="8">
        <f>0</f>
        <v>0</v>
      </c>
      <c r="BJ2636" s="5" t="s">
        <v>253</v>
      </c>
      <c r="BK2636" s="5" t="s">
        <v>254</v>
      </c>
      <c r="BY2636" s="5" t="s">
        <v>238</v>
      </c>
      <c r="BZ2636" s="5" t="s">
        <v>238</v>
      </c>
      <c r="CD2636" s="5" t="s">
        <v>273</v>
      </c>
      <c r="CE2636" s="5" t="s">
        <v>256</v>
      </c>
      <c r="CF2636" s="5" t="s">
        <v>238</v>
      </c>
      <c r="CI2636" s="6" t="s">
        <v>257</v>
      </c>
      <c r="CJ2636" s="5" t="s">
        <v>238</v>
      </c>
      <c r="CK2636" s="5" t="s">
        <v>258</v>
      </c>
      <c r="CL2636" s="5" t="s">
        <v>238</v>
      </c>
      <c r="CM2636" s="5" t="s">
        <v>238</v>
      </c>
      <c r="CN2636" s="5">
        <v>0</v>
      </c>
      <c r="CO2636" s="5" t="s">
        <v>259</v>
      </c>
      <c r="CP2636" s="5" t="s">
        <v>260</v>
      </c>
      <c r="CQ2636" s="5" t="s">
        <v>260</v>
      </c>
      <c r="CR2636" s="5" t="s">
        <v>261</v>
      </c>
      <c r="CU2636" s="8">
        <f>1</f>
        <v>1</v>
      </c>
      <c r="CV2636" s="8">
        <f>0</f>
        <v>0</v>
      </c>
      <c r="CX2636" s="8">
        <f>0</f>
        <v>0</v>
      </c>
      <c r="CY2636" s="8">
        <f>1</f>
        <v>1</v>
      </c>
      <c r="DA2636" s="5" t="s">
        <v>274</v>
      </c>
      <c r="DB2636" s="5" t="s">
        <v>238</v>
      </c>
      <c r="DD2636" s="5" t="s">
        <v>274</v>
      </c>
      <c r="DE2636" s="8">
        <f>2440</f>
        <v>2440</v>
      </c>
      <c r="DG2636" s="5" t="s">
        <v>238</v>
      </c>
      <c r="DH2636" s="5" t="s">
        <v>238</v>
      </c>
      <c r="DI2636" s="5" t="s">
        <v>238</v>
      </c>
      <c r="DJ2636" s="5" t="s">
        <v>238</v>
      </c>
      <c r="DN2636" s="5" t="s">
        <v>238</v>
      </c>
      <c r="DO2636" s="5" t="s">
        <v>238</v>
      </c>
      <c r="DP2636" s="5" t="s">
        <v>238</v>
      </c>
      <c r="DQ2636" s="5" t="s">
        <v>238</v>
      </c>
      <c r="DT2636" s="5" t="s">
        <v>275</v>
      </c>
      <c r="DU2636" s="5" t="s">
        <v>1818</v>
      </c>
      <c r="HM2636" s="5" t="s">
        <v>264</v>
      </c>
    </row>
    <row r="2637" spans="1:221" x14ac:dyDescent="0.4">
      <c r="A2637" s="5">
        <v>4341</v>
      </c>
      <c r="B2637" s="5">
        <v>1</v>
      </c>
      <c r="C2637" s="5">
        <v>1</v>
      </c>
      <c r="D2637" s="5" t="s">
        <v>269</v>
      </c>
      <c r="E2637" s="5" t="s">
        <v>271</v>
      </c>
      <c r="F2637" s="5" t="s">
        <v>248</v>
      </c>
      <c r="G2637" s="5" t="s">
        <v>266</v>
      </c>
      <c r="H2637" s="6" t="s">
        <v>897</v>
      </c>
      <c r="I2637" s="7">
        <f>1115</f>
        <v>1115</v>
      </c>
      <c r="J2637" s="5" t="s">
        <v>262</v>
      </c>
      <c r="K2637" s="8">
        <f>1</f>
        <v>1</v>
      </c>
      <c r="L2637" s="6" t="s">
        <v>242</v>
      </c>
      <c r="M2637" s="5" t="s">
        <v>267</v>
      </c>
      <c r="N2637" s="5" t="s">
        <v>265</v>
      </c>
      <c r="O2637" s="5" t="s">
        <v>238</v>
      </c>
      <c r="P2637" s="5" t="s">
        <v>238</v>
      </c>
      <c r="Q2637" s="5" t="s">
        <v>268</v>
      </c>
      <c r="R2637" s="5" t="s">
        <v>270</v>
      </c>
      <c r="S2637" s="5" t="s">
        <v>238</v>
      </c>
      <c r="V2637" s="5" t="s">
        <v>238</v>
      </c>
      <c r="X2637" s="6" t="s">
        <v>238</v>
      </c>
      <c r="AA2637" s="6" t="s">
        <v>243</v>
      </c>
      <c r="AB2637" s="5" t="s">
        <v>238</v>
      </c>
      <c r="AC2637" s="5" t="s">
        <v>244</v>
      </c>
      <c r="AD2637" s="5" t="s">
        <v>245</v>
      </c>
      <c r="AT2637" s="5" t="s">
        <v>246</v>
      </c>
      <c r="AU2637" s="5" t="s">
        <v>238</v>
      </c>
      <c r="AV2637" s="5" t="s">
        <v>247</v>
      </c>
      <c r="AW2637" s="5" t="s">
        <v>238</v>
      </c>
      <c r="AX2637" s="5" t="s">
        <v>249</v>
      </c>
      <c r="AY2637" s="5" t="s">
        <v>238</v>
      </c>
      <c r="BA2637" s="5" t="s">
        <v>238</v>
      </c>
      <c r="BC2637" s="5" t="s">
        <v>250</v>
      </c>
      <c r="BD2637" s="6" t="s">
        <v>243</v>
      </c>
      <c r="BE2637" s="5" t="s">
        <v>251</v>
      </c>
      <c r="BF2637" s="5" t="s">
        <v>252</v>
      </c>
      <c r="BG2637" s="5" t="s">
        <v>238</v>
      </c>
      <c r="BH2637" s="7">
        <f>0</f>
        <v>0</v>
      </c>
      <c r="BI2637" s="8">
        <f>0</f>
        <v>0</v>
      </c>
      <c r="BJ2637" s="5" t="s">
        <v>253</v>
      </c>
      <c r="BK2637" s="5" t="s">
        <v>254</v>
      </c>
      <c r="BY2637" s="5" t="s">
        <v>238</v>
      </c>
      <c r="BZ2637" s="5" t="s">
        <v>238</v>
      </c>
      <c r="CD2637" s="5" t="s">
        <v>273</v>
      </c>
      <c r="CE2637" s="5" t="s">
        <v>256</v>
      </c>
      <c r="CF2637" s="5" t="s">
        <v>238</v>
      </c>
      <c r="CI2637" s="6" t="s">
        <v>257</v>
      </c>
      <c r="CJ2637" s="5" t="s">
        <v>238</v>
      </c>
      <c r="CK2637" s="5" t="s">
        <v>258</v>
      </c>
      <c r="CL2637" s="5" t="s">
        <v>238</v>
      </c>
      <c r="CM2637" s="5" t="s">
        <v>238</v>
      </c>
      <c r="CN2637" s="5">
        <v>0</v>
      </c>
      <c r="CO2637" s="5" t="s">
        <v>259</v>
      </c>
      <c r="CP2637" s="5" t="s">
        <v>260</v>
      </c>
      <c r="CQ2637" s="5" t="s">
        <v>260</v>
      </c>
      <c r="CR2637" s="5" t="s">
        <v>261</v>
      </c>
      <c r="CU2637" s="8">
        <f>1</f>
        <v>1</v>
      </c>
      <c r="CV2637" s="8">
        <f>0</f>
        <v>0</v>
      </c>
      <c r="CX2637" s="8">
        <f>0</f>
        <v>0</v>
      </c>
      <c r="CY2637" s="8">
        <f>1</f>
        <v>1</v>
      </c>
      <c r="DA2637" s="5" t="s">
        <v>274</v>
      </c>
      <c r="DB2637" s="5" t="s">
        <v>238</v>
      </c>
      <c r="DD2637" s="5" t="s">
        <v>274</v>
      </c>
      <c r="DE2637" s="8">
        <f>1115</f>
        <v>1115</v>
      </c>
      <c r="DG2637" s="5" t="s">
        <v>238</v>
      </c>
      <c r="DH2637" s="5" t="s">
        <v>238</v>
      </c>
      <c r="DI2637" s="5" t="s">
        <v>238</v>
      </c>
      <c r="DJ2637" s="5" t="s">
        <v>238</v>
      </c>
      <c r="DN2637" s="5" t="s">
        <v>238</v>
      </c>
      <c r="DO2637" s="5" t="s">
        <v>238</v>
      </c>
      <c r="DP2637" s="5" t="s">
        <v>238</v>
      </c>
      <c r="DQ2637" s="5" t="s">
        <v>238</v>
      </c>
      <c r="DT2637" s="5" t="s">
        <v>275</v>
      </c>
      <c r="DU2637" s="5" t="s">
        <v>898</v>
      </c>
      <c r="HM2637" s="5" t="s">
        <v>264</v>
      </c>
    </row>
    <row r="2638" spans="1:221" x14ac:dyDescent="0.4">
      <c r="A2638" s="5">
        <v>4342</v>
      </c>
      <c r="B2638" s="5">
        <v>1</v>
      </c>
      <c r="C2638" s="5">
        <v>1</v>
      </c>
      <c r="D2638" s="5" t="s">
        <v>269</v>
      </c>
      <c r="E2638" s="5" t="s">
        <v>271</v>
      </c>
      <c r="F2638" s="5" t="s">
        <v>248</v>
      </c>
      <c r="G2638" s="5" t="s">
        <v>266</v>
      </c>
      <c r="H2638" s="6" t="s">
        <v>4281</v>
      </c>
      <c r="I2638" s="7">
        <f>247</f>
        <v>247</v>
      </c>
      <c r="J2638" s="5" t="s">
        <v>262</v>
      </c>
      <c r="K2638" s="8">
        <f>1</f>
        <v>1</v>
      </c>
      <c r="L2638" s="6" t="s">
        <v>242</v>
      </c>
      <c r="M2638" s="5" t="s">
        <v>267</v>
      </c>
      <c r="N2638" s="5" t="s">
        <v>265</v>
      </c>
      <c r="O2638" s="5" t="s">
        <v>238</v>
      </c>
      <c r="P2638" s="5" t="s">
        <v>238</v>
      </c>
      <c r="Q2638" s="5" t="s">
        <v>268</v>
      </c>
      <c r="R2638" s="5" t="s">
        <v>270</v>
      </c>
      <c r="S2638" s="5" t="s">
        <v>238</v>
      </c>
      <c r="V2638" s="5" t="s">
        <v>238</v>
      </c>
      <c r="X2638" s="6" t="s">
        <v>238</v>
      </c>
      <c r="AA2638" s="6" t="s">
        <v>243</v>
      </c>
      <c r="AB2638" s="5" t="s">
        <v>238</v>
      </c>
      <c r="AC2638" s="5" t="s">
        <v>244</v>
      </c>
      <c r="AD2638" s="5" t="s">
        <v>245</v>
      </c>
      <c r="AT2638" s="5" t="s">
        <v>246</v>
      </c>
      <c r="AU2638" s="5" t="s">
        <v>238</v>
      </c>
      <c r="AV2638" s="5" t="s">
        <v>247</v>
      </c>
      <c r="AW2638" s="5" t="s">
        <v>238</v>
      </c>
      <c r="AX2638" s="5" t="s">
        <v>249</v>
      </c>
      <c r="AY2638" s="5" t="s">
        <v>238</v>
      </c>
      <c r="BA2638" s="5" t="s">
        <v>238</v>
      </c>
      <c r="BC2638" s="5" t="s">
        <v>250</v>
      </c>
      <c r="BD2638" s="6" t="s">
        <v>243</v>
      </c>
      <c r="BE2638" s="5" t="s">
        <v>251</v>
      </c>
      <c r="BF2638" s="5" t="s">
        <v>252</v>
      </c>
      <c r="BG2638" s="5" t="s">
        <v>238</v>
      </c>
      <c r="BH2638" s="7">
        <f>0</f>
        <v>0</v>
      </c>
      <c r="BI2638" s="8">
        <f>0</f>
        <v>0</v>
      </c>
      <c r="BJ2638" s="5" t="s">
        <v>253</v>
      </c>
      <c r="BK2638" s="5" t="s">
        <v>254</v>
      </c>
      <c r="BY2638" s="5" t="s">
        <v>238</v>
      </c>
      <c r="BZ2638" s="5" t="s">
        <v>238</v>
      </c>
      <c r="CD2638" s="5" t="s">
        <v>273</v>
      </c>
      <c r="CE2638" s="5" t="s">
        <v>256</v>
      </c>
      <c r="CF2638" s="5" t="s">
        <v>238</v>
      </c>
      <c r="CI2638" s="6" t="s">
        <v>257</v>
      </c>
      <c r="CJ2638" s="5" t="s">
        <v>238</v>
      </c>
      <c r="CK2638" s="5" t="s">
        <v>258</v>
      </c>
      <c r="CL2638" s="5" t="s">
        <v>238</v>
      </c>
      <c r="CM2638" s="5" t="s">
        <v>238</v>
      </c>
      <c r="CN2638" s="5">
        <v>0</v>
      </c>
      <c r="CO2638" s="5" t="s">
        <v>259</v>
      </c>
      <c r="CP2638" s="5" t="s">
        <v>260</v>
      </c>
      <c r="CQ2638" s="5" t="s">
        <v>260</v>
      </c>
      <c r="CR2638" s="5" t="s">
        <v>261</v>
      </c>
      <c r="CU2638" s="8">
        <f>1</f>
        <v>1</v>
      </c>
      <c r="CV2638" s="8">
        <f>0</f>
        <v>0</v>
      </c>
      <c r="CX2638" s="8">
        <f>0</f>
        <v>0</v>
      </c>
      <c r="CY2638" s="8">
        <f>1</f>
        <v>1</v>
      </c>
      <c r="DA2638" s="5" t="s">
        <v>274</v>
      </c>
      <c r="DB2638" s="5" t="s">
        <v>238</v>
      </c>
      <c r="DD2638" s="5" t="s">
        <v>274</v>
      </c>
      <c r="DE2638" s="8">
        <f>247</f>
        <v>247</v>
      </c>
      <c r="DG2638" s="5" t="s">
        <v>238</v>
      </c>
      <c r="DH2638" s="5" t="s">
        <v>238</v>
      </c>
      <c r="DI2638" s="5" t="s">
        <v>238</v>
      </c>
      <c r="DJ2638" s="5" t="s">
        <v>238</v>
      </c>
      <c r="DN2638" s="5" t="s">
        <v>238</v>
      </c>
      <c r="DO2638" s="5" t="s">
        <v>238</v>
      </c>
      <c r="DP2638" s="5" t="s">
        <v>238</v>
      </c>
      <c r="DQ2638" s="5" t="s">
        <v>238</v>
      </c>
      <c r="DT2638" s="5" t="s">
        <v>275</v>
      </c>
      <c r="DU2638" s="5" t="s">
        <v>2385</v>
      </c>
      <c r="HM2638" s="5" t="s">
        <v>264</v>
      </c>
    </row>
    <row r="2639" spans="1:221" x14ac:dyDescent="0.4">
      <c r="A2639" s="5">
        <v>4343</v>
      </c>
      <c r="B2639" s="5">
        <v>1</v>
      </c>
      <c r="C2639" s="5">
        <v>1</v>
      </c>
      <c r="D2639" s="5" t="s">
        <v>269</v>
      </c>
      <c r="E2639" s="5" t="s">
        <v>271</v>
      </c>
      <c r="F2639" s="5" t="s">
        <v>248</v>
      </c>
      <c r="G2639" s="5" t="s">
        <v>266</v>
      </c>
      <c r="H2639" s="6" t="s">
        <v>4103</v>
      </c>
      <c r="I2639" s="7">
        <f>1687</f>
        <v>1687</v>
      </c>
      <c r="J2639" s="5" t="s">
        <v>262</v>
      </c>
      <c r="K2639" s="8">
        <f>1</f>
        <v>1</v>
      </c>
      <c r="L2639" s="6" t="s">
        <v>242</v>
      </c>
      <c r="M2639" s="5" t="s">
        <v>267</v>
      </c>
      <c r="N2639" s="5" t="s">
        <v>265</v>
      </c>
      <c r="O2639" s="5" t="s">
        <v>238</v>
      </c>
      <c r="P2639" s="5" t="s">
        <v>238</v>
      </c>
      <c r="Q2639" s="5" t="s">
        <v>268</v>
      </c>
      <c r="R2639" s="5" t="s">
        <v>270</v>
      </c>
      <c r="S2639" s="5" t="s">
        <v>238</v>
      </c>
      <c r="V2639" s="5" t="s">
        <v>238</v>
      </c>
      <c r="X2639" s="6" t="s">
        <v>238</v>
      </c>
      <c r="AA2639" s="6" t="s">
        <v>243</v>
      </c>
      <c r="AB2639" s="5" t="s">
        <v>238</v>
      </c>
      <c r="AC2639" s="5" t="s">
        <v>244</v>
      </c>
      <c r="AD2639" s="5" t="s">
        <v>245</v>
      </c>
      <c r="AT2639" s="5" t="s">
        <v>246</v>
      </c>
      <c r="AU2639" s="5" t="s">
        <v>238</v>
      </c>
      <c r="AV2639" s="5" t="s">
        <v>247</v>
      </c>
      <c r="AW2639" s="5" t="s">
        <v>238</v>
      </c>
      <c r="AX2639" s="5" t="s">
        <v>249</v>
      </c>
      <c r="AY2639" s="5" t="s">
        <v>238</v>
      </c>
      <c r="BA2639" s="5" t="s">
        <v>238</v>
      </c>
      <c r="BC2639" s="5" t="s">
        <v>250</v>
      </c>
      <c r="BD2639" s="6" t="s">
        <v>243</v>
      </c>
      <c r="BE2639" s="5" t="s">
        <v>251</v>
      </c>
      <c r="BF2639" s="5" t="s">
        <v>252</v>
      </c>
      <c r="BG2639" s="5" t="s">
        <v>238</v>
      </c>
      <c r="BH2639" s="7">
        <f>0</f>
        <v>0</v>
      </c>
      <c r="BI2639" s="8">
        <f>0</f>
        <v>0</v>
      </c>
      <c r="BJ2639" s="5" t="s">
        <v>253</v>
      </c>
      <c r="BK2639" s="5" t="s">
        <v>254</v>
      </c>
      <c r="BY2639" s="5" t="s">
        <v>238</v>
      </c>
      <c r="BZ2639" s="5" t="s">
        <v>238</v>
      </c>
      <c r="CD2639" s="5" t="s">
        <v>273</v>
      </c>
      <c r="CE2639" s="5" t="s">
        <v>256</v>
      </c>
      <c r="CF2639" s="5" t="s">
        <v>238</v>
      </c>
      <c r="CI2639" s="6" t="s">
        <v>257</v>
      </c>
      <c r="CJ2639" s="5" t="s">
        <v>238</v>
      </c>
      <c r="CK2639" s="5" t="s">
        <v>258</v>
      </c>
      <c r="CL2639" s="5" t="s">
        <v>238</v>
      </c>
      <c r="CM2639" s="5" t="s">
        <v>238</v>
      </c>
      <c r="CN2639" s="5">
        <v>0</v>
      </c>
      <c r="CO2639" s="5" t="s">
        <v>259</v>
      </c>
      <c r="CP2639" s="5" t="s">
        <v>260</v>
      </c>
      <c r="CQ2639" s="5" t="s">
        <v>260</v>
      </c>
      <c r="CR2639" s="5" t="s">
        <v>261</v>
      </c>
      <c r="CU2639" s="8">
        <f>1</f>
        <v>1</v>
      </c>
      <c r="CV2639" s="8">
        <f>0</f>
        <v>0</v>
      </c>
      <c r="CX2639" s="8">
        <f>0</f>
        <v>0</v>
      </c>
      <c r="CY2639" s="8">
        <f>1</f>
        <v>1</v>
      </c>
      <c r="DA2639" s="5" t="s">
        <v>274</v>
      </c>
      <c r="DB2639" s="5" t="s">
        <v>238</v>
      </c>
      <c r="DD2639" s="5" t="s">
        <v>274</v>
      </c>
      <c r="DE2639" s="8">
        <f>1687</f>
        <v>1687</v>
      </c>
      <c r="DG2639" s="5" t="s">
        <v>238</v>
      </c>
      <c r="DH2639" s="5" t="s">
        <v>238</v>
      </c>
      <c r="DI2639" s="5" t="s">
        <v>238</v>
      </c>
      <c r="DJ2639" s="5" t="s">
        <v>238</v>
      </c>
      <c r="DN2639" s="5" t="s">
        <v>238</v>
      </c>
      <c r="DO2639" s="5" t="s">
        <v>238</v>
      </c>
      <c r="DP2639" s="5" t="s">
        <v>238</v>
      </c>
      <c r="DQ2639" s="5" t="s">
        <v>238</v>
      </c>
      <c r="DT2639" s="5" t="s">
        <v>275</v>
      </c>
      <c r="DU2639" s="5" t="s">
        <v>2383</v>
      </c>
      <c r="HM2639" s="5" t="s">
        <v>264</v>
      </c>
    </row>
    <row r="2640" spans="1:221" x14ac:dyDescent="0.4">
      <c r="A2640" s="5">
        <v>4344</v>
      </c>
      <c r="B2640" s="5">
        <v>1</v>
      </c>
      <c r="C2640" s="5">
        <v>1</v>
      </c>
      <c r="D2640" s="5" t="s">
        <v>269</v>
      </c>
      <c r="E2640" s="5" t="s">
        <v>271</v>
      </c>
      <c r="F2640" s="5" t="s">
        <v>248</v>
      </c>
      <c r="G2640" s="5" t="s">
        <v>266</v>
      </c>
      <c r="H2640" s="6" t="s">
        <v>1811</v>
      </c>
      <c r="I2640" s="7">
        <f>1538</f>
        <v>1538</v>
      </c>
      <c r="J2640" s="5" t="s">
        <v>262</v>
      </c>
      <c r="K2640" s="8">
        <f>1</f>
        <v>1</v>
      </c>
      <c r="L2640" s="6" t="s">
        <v>242</v>
      </c>
      <c r="M2640" s="5" t="s">
        <v>267</v>
      </c>
      <c r="N2640" s="5" t="s">
        <v>265</v>
      </c>
      <c r="O2640" s="5" t="s">
        <v>238</v>
      </c>
      <c r="P2640" s="5" t="s">
        <v>238</v>
      </c>
      <c r="Q2640" s="5" t="s">
        <v>268</v>
      </c>
      <c r="R2640" s="5" t="s">
        <v>270</v>
      </c>
      <c r="S2640" s="5" t="s">
        <v>238</v>
      </c>
      <c r="V2640" s="5" t="s">
        <v>238</v>
      </c>
      <c r="X2640" s="6" t="s">
        <v>238</v>
      </c>
      <c r="AA2640" s="6" t="s">
        <v>243</v>
      </c>
      <c r="AB2640" s="5" t="s">
        <v>238</v>
      </c>
      <c r="AC2640" s="5" t="s">
        <v>244</v>
      </c>
      <c r="AD2640" s="5" t="s">
        <v>245</v>
      </c>
      <c r="AT2640" s="5" t="s">
        <v>246</v>
      </c>
      <c r="AU2640" s="5" t="s">
        <v>238</v>
      </c>
      <c r="AV2640" s="5" t="s">
        <v>247</v>
      </c>
      <c r="AW2640" s="5" t="s">
        <v>238</v>
      </c>
      <c r="AX2640" s="5" t="s">
        <v>249</v>
      </c>
      <c r="AY2640" s="5" t="s">
        <v>238</v>
      </c>
      <c r="BA2640" s="5" t="s">
        <v>238</v>
      </c>
      <c r="BC2640" s="5" t="s">
        <v>250</v>
      </c>
      <c r="BD2640" s="6" t="s">
        <v>243</v>
      </c>
      <c r="BE2640" s="5" t="s">
        <v>251</v>
      </c>
      <c r="BF2640" s="5" t="s">
        <v>252</v>
      </c>
      <c r="BG2640" s="5" t="s">
        <v>238</v>
      </c>
      <c r="BH2640" s="7">
        <f>0</f>
        <v>0</v>
      </c>
      <c r="BI2640" s="8">
        <f>0</f>
        <v>0</v>
      </c>
      <c r="BJ2640" s="5" t="s">
        <v>253</v>
      </c>
      <c r="BK2640" s="5" t="s">
        <v>254</v>
      </c>
      <c r="BY2640" s="5" t="s">
        <v>238</v>
      </c>
      <c r="BZ2640" s="5" t="s">
        <v>238</v>
      </c>
      <c r="CD2640" s="5" t="s">
        <v>273</v>
      </c>
      <c r="CE2640" s="5" t="s">
        <v>256</v>
      </c>
      <c r="CF2640" s="5" t="s">
        <v>238</v>
      </c>
      <c r="CI2640" s="6" t="s">
        <v>257</v>
      </c>
      <c r="CJ2640" s="5" t="s">
        <v>238</v>
      </c>
      <c r="CK2640" s="5" t="s">
        <v>258</v>
      </c>
      <c r="CL2640" s="5" t="s">
        <v>238</v>
      </c>
      <c r="CM2640" s="5" t="s">
        <v>238</v>
      </c>
      <c r="CN2640" s="5">
        <v>0</v>
      </c>
      <c r="CO2640" s="5" t="s">
        <v>259</v>
      </c>
      <c r="CP2640" s="5" t="s">
        <v>260</v>
      </c>
      <c r="CQ2640" s="5" t="s">
        <v>260</v>
      </c>
      <c r="CR2640" s="5" t="s">
        <v>261</v>
      </c>
      <c r="CU2640" s="8">
        <f>1</f>
        <v>1</v>
      </c>
      <c r="CV2640" s="8">
        <f>0</f>
        <v>0</v>
      </c>
      <c r="CX2640" s="8">
        <f>0</f>
        <v>0</v>
      </c>
      <c r="CY2640" s="8">
        <f>1</f>
        <v>1</v>
      </c>
      <c r="DA2640" s="5" t="s">
        <v>274</v>
      </c>
      <c r="DB2640" s="5" t="s">
        <v>238</v>
      </c>
      <c r="DD2640" s="5" t="s">
        <v>274</v>
      </c>
      <c r="DE2640" s="8">
        <f>1538</f>
        <v>1538</v>
      </c>
      <c r="DG2640" s="5" t="s">
        <v>238</v>
      </c>
      <c r="DH2640" s="5" t="s">
        <v>238</v>
      </c>
      <c r="DI2640" s="5" t="s">
        <v>238</v>
      </c>
      <c r="DJ2640" s="5" t="s">
        <v>238</v>
      </c>
      <c r="DN2640" s="5" t="s">
        <v>238</v>
      </c>
      <c r="DO2640" s="5" t="s">
        <v>238</v>
      </c>
      <c r="DP2640" s="5" t="s">
        <v>238</v>
      </c>
      <c r="DQ2640" s="5" t="s">
        <v>238</v>
      </c>
      <c r="DT2640" s="5" t="s">
        <v>275</v>
      </c>
      <c r="DU2640" s="5" t="s">
        <v>1812</v>
      </c>
      <c r="HM2640" s="5" t="s">
        <v>264</v>
      </c>
    </row>
    <row r="2641" spans="1:221" x14ac:dyDescent="0.4">
      <c r="A2641" s="5">
        <v>4345</v>
      </c>
      <c r="B2641" s="5">
        <v>1</v>
      </c>
      <c r="C2641" s="5">
        <v>1</v>
      </c>
      <c r="D2641" s="5" t="s">
        <v>269</v>
      </c>
      <c r="E2641" s="5" t="s">
        <v>271</v>
      </c>
      <c r="F2641" s="5" t="s">
        <v>248</v>
      </c>
      <c r="G2641" s="5" t="s">
        <v>266</v>
      </c>
      <c r="H2641" s="6" t="s">
        <v>4000</v>
      </c>
      <c r="I2641" s="7">
        <f>1683</f>
        <v>1683</v>
      </c>
      <c r="J2641" s="5" t="s">
        <v>262</v>
      </c>
      <c r="K2641" s="8">
        <f>1</f>
        <v>1</v>
      </c>
      <c r="L2641" s="6" t="s">
        <v>242</v>
      </c>
      <c r="M2641" s="5" t="s">
        <v>267</v>
      </c>
      <c r="N2641" s="5" t="s">
        <v>265</v>
      </c>
      <c r="O2641" s="5" t="s">
        <v>238</v>
      </c>
      <c r="P2641" s="5" t="s">
        <v>238</v>
      </c>
      <c r="Q2641" s="5" t="s">
        <v>268</v>
      </c>
      <c r="R2641" s="5" t="s">
        <v>270</v>
      </c>
      <c r="S2641" s="5" t="s">
        <v>238</v>
      </c>
      <c r="V2641" s="5" t="s">
        <v>238</v>
      </c>
      <c r="X2641" s="6" t="s">
        <v>238</v>
      </c>
      <c r="AA2641" s="6" t="s">
        <v>243</v>
      </c>
      <c r="AB2641" s="5" t="s">
        <v>238</v>
      </c>
      <c r="AC2641" s="5" t="s">
        <v>244</v>
      </c>
      <c r="AD2641" s="5" t="s">
        <v>245</v>
      </c>
      <c r="AT2641" s="5" t="s">
        <v>246</v>
      </c>
      <c r="AU2641" s="5" t="s">
        <v>238</v>
      </c>
      <c r="AV2641" s="5" t="s">
        <v>247</v>
      </c>
      <c r="AW2641" s="5" t="s">
        <v>238</v>
      </c>
      <c r="AX2641" s="5" t="s">
        <v>249</v>
      </c>
      <c r="AY2641" s="5" t="s">
        <v>238</v>
      </c>
      <c r="BA2641" s="5" t="s">
        <v>238</v>
      </c>
      <c r="BC2641" s="5" t="s">
        <v>250</v>
      </c>
      <c r="BD2641" s="6" t="s">
        <v>243</v>
      </c>
      <c r="BE2641" s="5" t="s">
        <v>251</v>
      </c>
      <c r="BF2641" s="5" t="s">
        <v>252</v>
      </c>
      <c r="BG2641" s="5" t="s">
        <v>238</v>
      </c>
      <c r="BH2641" s="7">
        <f>0</f>
        <v>0</v>
      </c>
      <c r="BI2641" s="8">
        <f>0</f>
        <v>0</v>
      </c>
      <c r="BJ2641" s="5" t="s">
        <v>253</v>
      </c>
      <c r="BK2641" s="5" t="s">
        <v>254</v>
      </c>
      <c r="BY2641" s="5" t="s">
        <v>238</v>
      </c>
      <c r="BZ2641" s="5" t="s">
        <v>238</v>
      </c>
      <c r="CD2641" s="5" t="s">
        <v>273</v>
      </c>
      <c r="CE2641" s="5" t="s">
        <v>256</v>
      </c>
      <c r="CF2641" s="5" t="s">
        <v>238</v>
      </c>
      <c r="CI2641" s="6" t="s">
        <v>257</v>
      </c>
      <c r="CJ2641" s="5" t="s">
        <v>238</v>
      </c>
      <c r="CK2641" s="5" t="s">
        <v>258</v>
      </c>
      <c r="CL2641" s="5" t="s">
        <v>238</v>
      </c>
      <c r="CM2641" s="5" t="s">
        <v>238</v>
      </c>
      <c r="CN2641" s="5">
        <v>0</v>
      </c>
      <c r="CO2641" s="5" t="s">
        <v>259</v>
      </c>
      <c r="CP2641" s="5" t="s">
        <v>260</v>
      </c>
      <c r="CQ2641" s="5" t="s">
        <v>260</v>
      </c>
      <c r="CR2641" s="5" t="s">
        <v>261</v>
      </c>
      <c r="CU2641" s="8">
        <f>1</f>
        <v>1</v>
      </c>
      <c r="CV2641" s="8">
        <f>0</f>
        <v>0</v>
      </c>
      <c r="CX2641" s="8">
        <f>0</f>
        <v>0</v>
      </c>
      <c r="CY2641" s="8">
        <f>1</f>
        <v>1</v>
      </c>
      <c r="DA2641" s="5" t="s">
        <v>274</v>
      </c>
      <c r="DB2641" s="5" t="s">
        <v>238</v>
      </c>
      <c r="DD2641" s="5" t="s">
        <v>274</v>
      </c>
      <c r="DE2641" s="8">
        <f>1683</f>
        <v>1683</v>
      </c>
      <c r="DG2641" s="5" t="s">
        <v>238</v>
      </c>
      <c r="DH2641" s="5" t="s">
        <v>238</v>
      </c>
      <c r="DI2641" s="5" t="s">
        <v>238</v>
      </c>
      <c r="DJ2641" s="5" t="s">
        <v>238</v>
      </c>
      <c r="DN2641" s="5" t="s">
        <v>238</v>
      </c>
      <c r="DO2641" s="5" t="s">
        <v>238</v>
      </c>
      <c r="DP2641" s="5" t="s">
        <v>238</v>
      </c>
      <c r="DQ2641" s="5" t="s">
        <v>238</v>
      </c>
      <c r="DT2641" s="5" t="s">
        <v>275</v>
      </c>
      <c r="DU2641" s="5" t="s">
        <v>2377</v>
      </c>
      <c r="HM2641" s="5" t="s">
        <v>264</v>
      </c>
    </row>
    <row r="2642" spans="1:221" x14ac:dyDescent="0.4">
      <c r="A2642" s="5">
        <v>4346</v>
      </c>
      <c r="B2642" s="5">
        <v>1</v>
      </c>
      <c r="C2642" s="5">
        <v>1</v>
      </c>
      <c r="D2642" s="5" t="s">
        <v>269</v>
      </c>
      <c r="E2642" s="5" t="s">
        <v>271</v>
      </c>
      <c r="F2642" s="5" t="s">
        <v>248</v>
      </c>
      <c r="G2642" s="5" t="s">
        <v>266</v>
      </c>
      <c r="H2642" s="6" t="s">
        <v>5663</v>
      </c>
      <c r="I2642" s="7">
        <f>459</f>
        <v>459</v>
      </c>
      <c r="J2642" s="5" t="s">
        <v>262</v>
      </c>
      <c r="K2642" s="8">
        <f>1</f>
        <v>1</v>
      </c>
      <c r="L2642" s="6" t="s">
        <v>242</v>
      </c>
      <c r="M2642" s="5" t="s">
        <v>267</v>
      </c>
      <c r="N2642" s="5" t="s">
        <v>265</v>
      </c>
      <c r="O2642" s="5" t="s">
        <v>238</v>
      </c>
      <c r="P2642" s="5" t="s">
        <v>238</v>
      </c>
      <c r="Q2642" s="5" t="s">
        <v>268</v>
      </c>
      <c r="R2642" s="5" t="s">
        <v>270</v>
      </c>
      <c r="S2642" s="5" t="s">
        <v>238</v>
      </c>
      <c r="V2642" s="5" t="s">
        <v>238</v>
      </c>
      <c r="X2642" s="6" t="s">
        <v>238</v>
      </c>
      <c r="AA2642" s="6" t="s">
        <v>243</v>
      </c>
      <c r="AB2642" s="5" t="s">
        <v>238</v>
      </c>
      <c r="AC2642" s="5" t="s">
        <v>244</v>
      </c>
      <c r="AD2642" s="5" t="s">
        <v>245</v>
      </c>
      <c r="AT2642" s="5" t="s">
        <v>246</v>
      </c>
      <c r="AU2642" s="5" t="s">
        <v>238</v>
      </c>
      <c r="AV2642" s="5" t="s">
        <v>247</v>
      </c>
      <c r="AW2642" s="5" t="s">
        <v>238</v>
      </c>
      <c r="AX2642" s="5" t="s">
        <v>249</v>
      </c>
      <c r="AY2642" s="5" t="s">
        <v>238</v>
      </c>
      <c r="BA2642" s="5" t="s">
        <v>238</v>
      </c>
      <c r="BC2642" s="5" t="s">
        <v>250</v>
      </c>
      <c r="BD2642" s="6" t="s">
        <v>243</v>
      </c>
      <c r="BE2642" s="5" t="s">
        <v>251</v>
      </c>
      <c r="BF2642" s="5" t="s">
        <v>252</v>
      </c>
      <c r="BG2642" s="5" t="s">
        <v>238</v>
      </c>
      <c r="BH2642" s="7">
        <f>0</f>
        <v>0</v>
      </c>
      <c r="BI2642" s="8">
        <f>0</f>
        <v>0</v>
      </c>
      <c r="BJ2642" s="5" t="s">
        <v>253</v>
      </c>
      <c r="BK2642" s="5" t="s">
        <v>254</v>
      </c>
      <c r="BY2642" s="5" t="s">
        <v>238</v>
      </c>
      <c r="BZ2642" s="5" t="s">
        <v>238</v>
      </c>
      <c r="CD2642" s="5" t="s">
        <v>273</v>
      </c>
      <c r="CE2642" s="5" t="s">
        <v>256</v>
      </c>
      <c r="CF2642" s="5" t="s">
        <v>238</v>
      </c>
      <c r="CI2642" s="6" t="s">
        <v>257</v>
      </c>
      <c r="CJ2642" s="5" t="s">
        <v>238</v>
      </c>
      <c r="CK2642" s="5" t="s">
        <v>258</v>
      </c>
      <c r="CL2642" s="5" t="s">
        <v>238</v>
      </c>
      <c r="CM2642" s="5" t="s">
        <v>238</v>
      </c>
      <c r="CN2642" s="5">
        <v>0</v>
      </c>
      <c r="CO2642" s="5" t="s">
        <v>259</v>
      </c>
      <c r="CP2642" s="5" t="s">
        <v>260</v>
      </c>
      <c r="CQ2642" s="5" t="s">
        <v>260</v>
      </c>
      <c r="CR2642" s="5" t="s">
        <v>261</v>
      </c>
      <c r="CU2642" s="8">
        <f>1</f>
        <v>1</v>
      </c>
      <c r="CV2642" s="8">
        <f>0</f>
        <v>0</v>
      </c>
      <c r="CX2642" s="8">
        <f>0</f>
        <v>0</v>
      </c>
      <c r="CY2642" s="8">
        <f>1</f>
        <v>1</v>
      </c>
      <c r="DA2642" s="5" t="s">
        <v>274</v>
      </c>
      <c r="DB2642" s="5" t="s">
        <v>238</v>
      </c>
      <c r="DD2642" s="5" t="s">
        <v>274</v>
      </c>
      <c r="DE2642" s="8">
        <f>459</f>
        <v>459</v>
      </c>
      <c r="DG2642" s="5" t="s">
        <v>238</v>
      </c>
      <c r="DH2642" s="5" t="s">
        <v>238</v>
      </c>
      <c r="DI2642" s="5" t="s">
        <v>238</v>
      </c>
      <c r="DJ2642" s="5" t="s">
        <v>238</v>
      </c>
      <c r="DN2642" s="5" t="s">
        <v>238</v>
      </c>
      <c r="DO2642" s="5" t="s">
        <v>238</v>
      </c>
      <c r="DP2642" s="5" t="s">
        <v>238</v>
      </c>
      <c r="DQ2642" s="5" t="s">
        <v>238</v>
      </c>
      <c r="DT2642" s="5" t="s">
        <v>275</v>
      </c>
      <c r="DU2642" s="5" t="s">
        <v>2375</v>
      </c>
      <c r="HM2642" s="5" t="s">
        <v>264</v>
      </c>
    </row>
    <row r="2643" spans="1:221" x14ac:dyDescent="0.4">
      <c r="A2643" s="5">
        <v>4347</v>
      </c>
      <c r="B2643" s="5">
        <v>1</v>
      </c>
      <c r="C2643" s="5">
        <v>1</v>
      </c>
      <c r="D2643" s="5" t="s">
        <v>269</v>
      </c>
      <c r="E2643" s="5" t="s">
        <v>271</v>
      </c>
      <c r="F2643" s="5" t="s">
        <v>248</v>
      </c>
      <c r="G2643" s="5" t="s">
        <v>266</v>
      </c>
      <c r="H2643" s="6" t="s">
        <v>4061</v>
      </c>
      <c r="I2643" s="7">
        <f>178</f>
        <v>178</v>
      </c>
      <c r="J2643" s="5" t="s">
        <v>262</v>
      </c>
      <c r="K2643" s="8">
        <f>1</f>
        <v>1</v>
      </c>
      <c r="L2643" s="6" t="s">
        <v>242</v>
      </c>
      <c r="M2643" s="5" t="s">
        <v>267</v>
      </c>
      <c r="N2643" s="5" t="s">
        <v>265</v>
      </c>
      <c r="O2643" s="5" t="s">
        <v>238</v>
      </c>
      <c r="P2643" s="5" t="s">
        <v>238</v>
      </c>
      <c r="Q2643" s="5" t="s">
        <v>268</v>
      </c>
      <c r="R2643" s="5" t="s">
        <v>270</v>
      </c>
      <c r="S2643" s="5" t="s">
        <v>238</v>
      </c>
      <c r="V2643" s="5" t="s">
        <v>238</v>
      </c>
      <c r="X2643" s="6" t="s">
        <v>238</v>
      </c>
      <c r="AA2643" s="6" t="s">
        <v>243</v>
      </c>
      <c r="AB2643" s="5" t="s">
        <v>238</v>
      </c>
      <c r="AC2643" s="5" t="s">
        <v>244</v>
      </c>
      <c r="AD2643" s="5" t="s">
        <v>245</v>
      </c>
      <c r="AT2643" s="5" t="s">
        <v>246</v>
      </c>
      <c r="AU2643" s="5" t="s">
        <v>238</v>
      </c>
      <c r="AV2643" s="5" t="s">
        <v>247</v>
      </c>
      <c r="AW2643" s="5" t="s">
        <v>238</v>
      </c>
      <c r="AX2643" s="5" t="s">
        <v>249</v>
      </c>
      <c r="AY2643" s="5" t="s">
        <v>238</v>
      </c>
      <c r="BA2643" s="5" t="s">
        <v>238</v>
      </c>
      <c r="BC2643" s="5" t="s">
        <v>250</v>
      </c>
      <c r="BD2643" s="6" t="s">
        <v>243</v>
      </c>
      <c r="BE2643" s="5" t="s">
        <v>251</v>
      </c>
      <c r="BF2643" s="5" t="s">
        <v>252</v>
      </c>
      <c r="BG2643" s="5" t="s">
        <v>238</v>
      </c>
      <c r="BH2643" s="7">
        <f>0</f>
        <v>0</v>
      </c>
      <c r="BI2643" s="8">
        <f>0</f>
        <v>0</v>
      </c>
      <c r="BJ2643" s="5" t="s">
        <v>253</v>
      </c>
      <c r="BK2643" s="5" t="s">
        <v>254</v>
      </c>
      <c r="BY2643" s="5" t="s">
        <v>238</v>
      </c>
      <c r="BZ2643" s="5" t="s">
        <v>238</v>
      </c>
      <c r="CD2643" s="5" t="s">
        <v>273</v>
      </c>
      <c r="CE2643" s="5" t="s">
        <v>256</v>
      </c>
      <c r="CF2643" s="5" t="s">
        <v>238</v>
      </c>
      <c r="CI2643" s="6" t="s">
        <v>257</v>
      </c>
      <c r="CJ2643" s="5" t="s">
        <v>238</v>
      </c>
      <c r="CK2643" s="5" t="s">
        <v>258</v>
      </c>
      <c r="CL2643" s="5" t="s">
        <v>238</v>
      </c>
      <c r="CM2643" s="5" t="s">
        <v>238</v>
      </c>
      <c r="CN2643" s="5">
        <v>0</v>
      </c>
      <c r="CO2643" s="5" t="s">
        <v>259</v>
      </c>
      <c r="CP2643" s="5" t="s">
        <v>260</v>
      </c>
      <c r="CQ2643" s="5" t="s">
        <v>260</v>
      </c>
      <c r="CR2643" s="5" t="s">
        <v>261</v>
      </c>
      <c r="CU2643" s="8">
        <f>1</f>
        <v>1</v>
      </c>
      <c r="CV2643" s="8">
        <f>0</f>
        <v>0</v>
      </c>
      <c r="CX2643" s="8">
        <f>0</f>
        <v>0</v>
      </c>
      <c r="CY2643" s="8">
        <f>1</f>
        <v>1</v>
      </c>
      <c r="DA2643" s="5" t="s">
        <v>274</v>
      </c>
      <c r="DB2643" s="5" t="s">
        <v>238</v>
      </c>
      <c r="DD2643" s="5" t="s">
        <v>274</v>
      </c>
      <c r="DE2643" s="8">
        <f>178</f>
        <v>178</v>
      </c>
      <c r="DG2643" s="5" t="s">
        <v>238</v>
      </c>
      <c r="DH2643" s="5" t="s">
        <v>238</v>
      </c>
      <c r="DI2643" s="5" t="s">
        <v>238</v>
      </c>
      <c r="DJ2643" s="5" t="s">
        <v>238</v>
      </c>
      <c r="DN2643" s="5" t="s">
        <v>238</v>
      </c>
      <c r="DO2643" s="5" t="s">
        <v>238</v>
      </c>
      <c r="DP2643" s="5" t="s">
        <v>238</v>
      </c>
      <c r="DQ2643" s="5" t="s">
        <v>238</v>
      </c>
      <c r="DT2643" s="5" t="s">
        <v>275</v>
      </c>
      <c r="DU2643" s="5" t="s">
        <v>2373</v>
      </c>
      <c r="HM2643" s="5" t="s">
        <v>264</v>
      </c>
    </row>
    <row r="2644" spans="1:221" x14ac:dyDescent="0.4">
      <c r="A2644" s="5">
        <v>4348</v>
      </c>
      <c r="B2644" s="5">
        <v>1</v>
      </c>
      <c r="C2644" s="5">
        <v>1</v>
      </c>
      <c r="D2644" s="5" t="s">
        <v>269</v>
      </c>
      <c r="E2644" s="5" t="s">
        <v>271</v>
      </c>
      <c r="F2644" s="5" t="s">
        <v>248</v>
      </c>
      <c r="G2644" s="5" t="s">
        <v>266</v>
      </c>
      <c r="H2644" s="6" t="s">
        <v>669</v>
      </c>
      <c r="I2644" s="7">
        <f>530</f>
        <v>530</v>
      </c>
      <c r="J2644" s="5" t="s">
        <v>262</v>
      </c>
      <c r="K2644" s="8">
        <f>1</f>
        <v>1</v>
      </c>
      <c r="L2644" s="6" t="s">
        <v>242</v>
      </c>
      <c r="M2644" s="5" t="s">
        <v>267</v>
      </c>
      <c r="N2644" s="5" t="s">
        <v>265</v>
      </c>
      <c r="O2644" s="5" t="s">
        <v>238</v>
      </c>
      <c r="P2644" s="5" t="s">
        <v>238</v>
      </c>
      <c r="Q2644" s="5" t="s">
        <v>268</v>
      </c>
      <c r="R2644" s="5" t="s">
        <v>270</v>
      </c>
      <c r="S2644" s="5" t="s">
        <v>238</v>
      </c>
      <c r="V2644" s="5" t="s">
        <v>238</v>
      </c>
      <c r="X2644" s="6" t="s">
        <v>238</v>
      </c>
      <c r="AA2644" s="6" t="s">
        <v>243</v>
      </c>
      <c r="AB2644" s="5" t="s">
        <v>238</v>
      </c>
      <c r="AC2644" s="5" t="s">
        <v>244</v>
      </c>
      <c r="AD2644" s="5" t="s">
        <v>245</v>
      </c>
      <c r="AT2644" s="5" t="s">
        <v>246</v>
      </c>
      <c r="AU2644" s="5" t="s">
        <v>238</v>
      </c>
      <c r="AV2644" s="5" t="s">
        <v>247</v>
      </c>
      <c r="AW2644" s="5" t="s">
        <v>238</v>
      </c>
      <c r="AX2644" s="5" t="s">
        <v>249</v>
      </c>
      <c r="AY2644" s="5" t="s">
        <v>238</v>
      </c>
      <c r="BA2644" s="5" t="s">
        <v>238</v>
      </c>
      <c r="BC2644" s="5" t="s">
        <v>250</v>
      </c>
      <c r="BD2644" s="6" t="s">
        <v>243</v>
      </c>
      <c r="BE2644" s="5" t="s">
        <v>251</v>
      </c>
      <c r="BF2644" s="5" t="s">
        <v>252</v>
      </c>
      <c r="BG2644" s="5" t="s">
        <v>238</v>
      </c>
      <c r="BH2644" s="7">
        <f>0</f>
        <v>0</v>
      </c>
      <c r="BI2644" s="8">
        <f>0</f>
        <v>0</v>
      </c>
      <c r="BJ2644" s="5" t="s">
        <v>253</v>
      </c>
      <c r="BK2644" s="5" t="s">
        <v>254</v>
      </c>
      <c r="BY2644" s="5" t="s">
        <v>238</v>
      </c>
      <c r="BZ2644" s="5" t="s">
        <v>238</v>
      </c>
      <c r="CD2644" s="5" t="s">
        <v>273</v>
      </c>
      <c r="CE2644" s="5" t="s">
        <v>256</v>
      </c>
      <c r="CF2644" s="5" t="s">
        <v>238</v>
      </c>
      <c r="CI2644" s="6" t="s">
        <v>257</v>
      </c>
      <c r="CJ2644" s="5" t="s">
        <v>238</v>
      </c>
      <c r="CK2644" s="5" t="s">
        <v>258</v>
      </c>
      <c r="CL2644" s="5" t="s">
        <v>238</v>
      </c>
      <c r="CM2644" s="5" t="s">
        <v>238</v>
      </c>
      <c r="CN2644" s="5">
        <v>0</v>
      </c>
      <c r="CO2644" s="5" t="s">
        <v>259</v>
      </c>
      <c r="CP2644" s="5" t="s">
        <v>260</v>
      </c>
      <c r="CQ2644" s="5" t="s">
        <v>260</v>
      </c>
      <c r="CR2644" s="5" t="s">
        <v>261</v>
      </c>
      <c r="CU2644" s="8">
        <f>1</f>
        <v>1</v>
      </c>
      <c r="CV2644" s="8">
        <f>0</f>
        <v>0</v>
      </c>
      <c r="CX2644" s="8">
        <f>0</f>
        <v>0</v>
      </c>
      <c r="CY2644" s="8">
        <f>1</f>
        <v>1</v>
      </c>
      <c r="DA2644" s="5" t="s">
        <v>274</v>
      </c>
      <c r="DB2644" s="5" t="s">
        <v>238</v>
      </c>
      <c r="DD2644" s="5" t="s">
        <v>274</v>
      </c>
      <c r="DE2644" s="8">
        <f>530</f>
        <v>530</v>
      </c>
      <c r="DG2644" s="5" t="s">
        <v>238</v>
      </c>
      <c r="DH2644" s="5" t="s">
        <v>238</v>
      </c>
      <c r="DI2644" s="5" t="s">
        <v>238</v>
      </c>
      <c r="DJ2644" s="5" t="s">
        <v>238</v>
      </c>
      <c r="DN2644" s="5" t="s">
        <v>238</v>
      </c>
      <c r="DO2644" s="5" t="s">
        <v>238</v>
      </c>
      <c r="DP2644" s="5" t="s">
        <v>238</v>
      </c>
      <c r="DQ2644" s="5" t="s">
        <v>238</v>
      </c>
      <c r="DT2644" s="5" t="s">
        <v>275</v>
      </c>
      <c r="DU2644" s="5" t="s">
        <v>670</v>
      </c>
      <c r="HM2644" s="5" t="s">
        <v>264</v>
      </c>
    </row>
    <row r="2645" spans="1:221" x14ac:dyDescent="0.4">
      <c r="A2645" s="5">
        <v>4349</v>
      </c>
      <c r="B2645" s="5">
        <v>1</v>
      </c>
      <c r="C2645" s="5">
        <v>1</v>
      </c>
      <c r="D2645" s="5" t="s">
        <v>269</v>
      </c>
      <c r="E2645" s="5" t="s">
        <v>271</v>
      </c>
      <c r="F2645" s="5" t="s">
        <v>248</v>
      </c>
      <c r="G2645" s="5" t="s">
        <v>266</v>
      </c>
      <c r="H2645" s="6" t="s">
        <v>645</v>
      </c>
      <c r="I2645" s="7">
        <f>43</f>
        <v>43</v>
      </c>
      <c r="J2645" s="5" t="s">
        <v>262</v>
      </c>
      <c r="K2645" s="8">
        <f>1</f>
        <v>1</v>
      </c>
      <c r="L2645" s="6" t="s">
        <v>242</v>
      </c>
      <c r="M2645" s="5" t="s">
        <v>267</v>
      </c>
      <c r="N2645" s="5" t="s">
        <v>265</v>
      </c>
      <c r="O2645" s="5" t="s">
        <v>238</v>
      </c>
      <c r="P2645" s="5" t="s">
        <v>238</v>
      </c>
      <c r="Q2645" s="5" t="s">
        <v>268</v>
      </c>
      <c r="R2645" s="5" t="s">
        <v>270</v>
      </c>
      <c r="S2645" s="5" t="s">
        <v>238</v>
      </c>
      <c r="V2645" s="5" t="s">
        <v>238</v>
      </c>
      <c r="X2645" s="6" t="s">
        <v>238</v>
      </c>
      <c r="AA2645" s="6" t="s">
        <v>243</v>
      </c>
      <c r="AB2645" s="5" t="s">
        <v>238</v>
      </c>
      <c r="AC2645" s="5" t="s">
        <v>244</v>
      </c>
      <c r="AD2645" s="5" t="s">
        <v>245</v>
      </c>
      <c r="AT2645" s="5" t="s">
        <v>246</v>
      </c>
      <c r="AU2645" s="5" t="s">
        <v>238</v>
      </c>
      <c r="AV2645" s="5" t="s">
        <v>247</v>
      </c>
      <c r="AW2645" s="5" t="s">
        <v>238</v>
      </c>
      <c r="AX2645" s="5" t="s">
        <v>249</v>
      </c>
      <c r="AY2645" s="5" t="s">
        <v>238</v>
      </c>
      <c r="BA2645" s="5" t="s">
        <v>238</v>
      </c>
      <c r="BC2645" s="5" t="s">
        <v>250</v>
      </c>
      <c r="BD2645" s="6" t="s">
        <v>243</v>
      </c>
      <c r="BE2645" s="5" t="s">
        <v>251</v>
      </c>
      <c r="BF2645" s="5" t="s">
        <v>252</v>
      </c>
      <c r="BG2645" s="5" t="s">
        <v>238</v>
      </c>
      <c r="BH2645" s="7">
        <f>0</f>
        <v>0</v>
      </c>
      <c r="BI2645" s="8">
        <f>0</f>
        <v>0</v>
      </c>
      <c r="BJ2645" s="5" t="s">
        <v>253</v>
      </c>
      <c r="BK2645" s="5" t="s">
        <v>254</v>
      </c>
      <c r="BY2645" s="5" t="s">
        <v>238</v>
      </c>
      <c r="BZ2645" s="5" t="s">
        <v>238</v>
      </c>
      <c r="CD2645" s="5" t="s">
        <v>273</v>
      </c>
      <c r="CE2645" s="5" t="s">
        <v>256</v>
      </c>
      <c r="CF2645" s="5" t="s">
        <v>238</v>
      </c>
      <c r="CI2645" s="6" t="s">
        <v>257</v>
      </c>
      <c r="CJ2645" s="5" t="s">
        <v>238</v>
      </c>
      <c r="CK2645" s="5" t="s">
        <v>258</v>
      </c>
      <c r="CL2645" s="5" t="s">
        <v>238</v>
      </c>
      <c r="CM2645" s="5" t="s">
        <v>238</v>
      </c>
      <c r="CN2645" s="5">
        <v>0</v>
      </c>
      <c r="CO2645" s="5" t="s">
        <v>259</v>
      </c>
      <c r="CP2645" s="5" t="s">
        <v>260</v>
      </c>
      <c r="CQ2645" s="5" t="s">
        <v>260</v>
      </c>
      <c r="CR2645" s="5" t="s">
        <v>261</v>
      </c>
      <c r="CU2645" s="8">
        <f>1</f>
        <v>1</v>
      </c>
      <c r="CV2645" s="8">
        <f>0</f>
        <v>0</v>
      </c>
      <c r="CX2645" s="8">
        <f>0</f>
        <v>0</v>
      </c>
      <c r="CY2645" s="8">
        <f>1</f>
        <v>1</v>
      </c>
      <c r="DA2645" s="5" t="s">
        <v>274</v>
      </c>
      <c r="DB2645" s="5" t="s">
        <v>238</v>
      </c>
      <c r="DD2645" s="5" t="s">
        <v>274</v>
      </c>
      <c r="DE2645" s="8">
        <f>43</f>
        <v>43</v>
      </c>
      <c r="DG2645" s="5" t="s">
        <v>238</v>
      </c>
      <c r="DH2645" s="5" t="s">
        <v>238</v>
      </c>
      <c r="DI2645" s="5" t="s">
        <v>238</v>
      </c>
      <c r="DJ2645" s="5" t="s">
        <v>238</v>
      </c>
      <c r="DN2645" s="5" t="s">
        <v>238</v>
      </c>
      <c r="DO2645" s="5" t="s">
        <v>238</v>
      </c>
      <c r="DP2645" s="5" t="s">
        <v>238</v>
      </c>
      <c r="DQ2645" s="5" t="s">
        <v>238</v>
      </c>
      <c r="DT2645" s="5" t="s">
        <v>275</v>
      </c>
      <c r="DU2645" s="5" t="s">
        <v>646</v>
      </c>
      <c r="HM2645" s="5" t="s">
        <v>264</v>
      </c>
    </row>
    <row r="2646" spans="1:221" x14ac:dyDescent="0.4">
      <c r="A2646" s="5">
        <v>4350</v>
      </c>
      <c r="B2646" s="5">
        <v>1</v>
      </c>
      <c r="C2646" s="5">
        <v>1</v>
      </c>
      <c r="D2646" s="5" t="s">
        <v>269</v>
      </c>
      <c r="E2646" s="5" t="s">
        <v>271</v>
      </c>
      <c r="F2646" s="5" t="s">
        <v>248</v>
      </c>
      <c r="G2646" s="5" t="s">
        <v>266</v>
      </c>
      <c r="H2646" s="6" t="s">
        <v>543</v>
      </c>
      <c r="I2646" s="7">
        <f>328</f>
        <v>328</v>
      </c>
      <c r="J2646" s="5" t="s">
        <v>262</v>
      </c>
      <c r="K2646" s="8">
        <f>1</f>
        <v>1</v>
      </c>
      <c r="L2646" s="6" t="s">
        <v>242</v>
      </c>
      <c r="M2646" s="5" t="s">
        <v>267</v>
      </c>
      <c r="N2646" s="5" t="s">
        <v>265</v>
      </c>
      <c r="O2646" s="5" t="s">
        <v>238</v>
      </c>
      <c r="P2646" s="5" t="s">
        <v>238</v>
      </c>
      <c r="Q2646" s="5" t="s">
        <v>268</v>
      </c>
      <c r="R2646" s="5" t="s">
        <v>270</v>
      </c>
      <c r="S2646" s="5" t="s">
        <v>238</v>
      </c>
      <c r="V2646" s="5" t="s">
        <v>238</v>
      </c>
      <c r="X2646" s="6" t="s">
        <v>238</v>
      </c>
      <c r="AA2646" s="6" t="s">
        <v>243</v>
      </c>
      <c r="AB2646" s="5" t="s">
        <v>238</v>
      </c>
      <c r="AC2646" s="5" t="s">
        <v>244</v>
      </c>
      <c r="AD2646" s="5" t="s">
        <v>245</v>
      </c>
      <c r="AT2646" s="5" t="s">
        <v>246</v>
      </c>
      <c r="AU2646" s="5" t="s">
        <v>238</v>
      </c>
      <c r="AV2646" s="5" t="s">
        <v>247</v>
      </c>
      <c r="AW2646" s="5" t="s">
        <v>238</v>
      </c>
      <c r="AX2646" s="5" t="s">
        <v>249</v>
      </c>
      <c r="AY2646" s="5" t="s">
        <v>238</v>
      </c>
      <c r="BA2646" s="5" t="s">
        <v>238</v>
      </c>
      <c r="BC2646" s="5" t="s">
        <v>250</v>
      </c>
      <c r="BD2646" s="6" t="s">
        <v>243</v>
      </c>
      <c r="BE2646" s="5" t="s">
        <v>251</v>
      </c>
      <c r="BF2646" s="5" t="s">
        <v>252</v>
      </c>
      <c r="BG2646" s="5" t="s">
        <v>238</v>
      </c>
      <c r="BH2646" s="7">
        <f>0</f>
        <v>0</v>
      </c>
      <c r="BI2646" s="8">
        <f>0</f>
        <v>0</v>
      </c>
      <c r="BJ2646" s="5" t="s">
        <v>253</v>
      </c>
      <c r="BK2646" s="5" t="s">
        <v>254</v>
      </c>
      <c r="BY2646" s="5" t="s">
        <v>238</v>
      </c>
      <c r="BZ2646" s="5" t="s">
        <v>238</v>
      </c>
      <c r="CD2646" s="5" t="s">
        <v>273</v>
      </c>
      <c r="CE2646" s="5" t="s">
        <v>256</v>
      </c>
      <c r="CF2646" s="5" t="s">
        <v>238</v>
      </c>
      <c r="CI2646" s="6" t="s">
        <v>257</v>
      </c>
      <c r="CJ2646" s="5" t="s">
        <v>238</v>
      </c>
      <c r="CK2646" s="5" t="s">
        <v>258</v>
      </c>
      <c r="CL2646" s="5" t="s">
        <v>238</v>
      </c>
      <c r="CM2646" s="5" t="s">
        <v>238</v>
      </c>
      <c r="CN2646" s="5">
        <v>0</v>
      </c>
      <c r="CO2646" s="5" t="s">
        <v>259</v>
      </c>
      <c r="CP2646" s="5" t="s">
        <v>260</v>
      </c>
      <c r="CQ2646" s="5" t="s">
        <v>260</v>
      </c>
      <c r="CR2646" s="5" t="s">
        <v>261</v>
      </c>
      <c r="CU2646" s="8">
        <f>1</f>
        <v>1</v>
      </c>
      <c r="CV2646" s="8">
        <f>0</f>
        <v>0</v>
      </c>
      <c r="CX2646" s="8">
        <f>0</f>
        <v>0</v>
      </c>
      <c r="CY2646" s="8">
        <f>1</f>
        <v>1</v>
      </c>
      <c r="DA2646" s="5" t="s">
        <v>274</v>
      </c>
      <c r="DB2646" s="5" t="s">
        <v>238</v>
      </c>
      <c r="DD2646" s="5" t="s">
        <v>274</v>
      </c>
      <c r="DE2646" s="8">
        <f>328</f>
        <v>328</v>
      </c>
      <c r="DG2646" s="5" t="s">
        <v>238</v>
      </c>
      <c r="DH2646" s="5" t="s">
        <v>238</v>
      </c>
      <c r="DI2646" s="5" t="s">
        <v>238</v>
      </c>
      <c r="DJ2646" s="5" t="s">
        <v>238</v>
      </c>
      <c r="DN2646" s="5" t="s">
        <v>238</v>
      </c>
      <c r="DO2646" s="5" t="s">
        <v>238</v>
      </c>
      <c r="DP2646" s="5" t="s">
        <v>238</v>
      </c>
      <c r="DQ2646" s="5" t="s">
        <v>238</v>
      </c>
      <c r="DT2646" s="5" t="s">
        <v>275</v>
      </c>
      <c r="DU2646" s="5" t="s">
        <v>544</v>
      </c>
      <c r="HM2646" s="5" t="s">
        <v>264</v>
      </c>
    </row>
    <row r="2647" spans="1:221" x14ac:dyDescent="0.4">
      <c r="A2647" s="5">
        <v>4351</v>
      </c>
      <c r="B2647" s="5">
        <v>1</v>
      </c>
      <c r="C2647" s="5">
        <v>1</v>
      </c>
      <c r="D2647" s="5" t="s">
        <v>269</v>
      </c>
      <c r="E2647" s="5" t="s">
        <v>271</v>
      </c>
      <c r="F2647" s="5" t="s">
        <v>248</v>
      </c>
      <c r="G2647" s="5" t="s">
        <v>266</v>
      </c>
      <c r="H2647" s="6" t="s">
        <v>359</v>
      </c>
      <c r="I2647" s="7">
        <f>48</f>
        <v>48</v>
      </c>
      <c r="J2647" s="5" t="s">
        <v>262</v>
      </c>
      <c r="K2647" s="8">
        <f>1</f>
        <v>1</v>
      </c>
      <c r="L2647" s="6" t="s">
        <v>242</v>
      </c>
      <c r="M2647" s="5" t="s">
        <v>267</v>
      </c>
      <c r="N2647" s="5" t="s">
        <v>265</v>
      </c>
      <c r="O2647" s="5" t="s">
        <v>238</v>
      </c>
      <c r="P2647" s="5" t="s">
        <v>238</v>
      </c>
      <c r="Q2647" s="5" t="s">
        <v>268</v>
      </c>
      <c r="R2647" s="5" t="s">
        <v>270</v>
      </c>
      <c r="S2647" s="5" t="s">
        <v>238</v>
      </c>
      <c r="V2647" s="5" t="s">
        <v>238</v>
      </c>
      <c r="X2647" s="6" t="s">
        <v>238</v>
      </c>
      <c r="AA2647" s="6" t="s">
        <v>243</v>
      </c>
      <c r="AB2647" s="5" t="s">
        <v>238</v>
      </c>
      <c r="AC2647" s="5" t="s">
        <v>244</v>
      </c>
      <c r="AD2647" s="5" t="s">
        <v>245</v>
      </c>
      <c r="AT2647" s="5" t="s">
        <v>246</v>
      </c>
      <c r="AU2647" s="5" t="s">
        <v>238</v>
      </c>
      <c r="AV2647" s="5" t="s">
        <v>247</v>
      </c>
      <c r="AW2647" s="5" t="s">
        <v>238</v>
      </c>
      <c r="AX2647" s="5" t="s">
        <v>249</v>
      </c>
      <c r="AY2647" s="5" t="s">
        <v>238</v>
      </c>
      <c r="BA2647" s="5" t="s">
        <v>238</v>
      </c>
      <c r="BC2647" s="5" t="s">
        <v>250</v>
      </c>
      <c r="BD2647" s="6" t="s">
        <v>243</v>
      </c>
      <c r="BE2647" s="5" t="s">
        <v>251</v>
      </c>
      <c r="BF2647" s="5" t="s">
        <v>252</v>
      </c>
      <c r="BG2647" s="5" t="s">
        <v>238</v>
      </c>
      <c r="BH2647" s="7">
        <f>0</f>
        <v>0</v>
      </c>
      <c r="BI2647" s="8">
        <f>0</f>
        <v>0</v>
      </c>
      <c r="BJ2647" s="5" t="s">
        <v>253</v>
      </c>
      <c r="BK2647" s="5" t="s">
        <v>254</v>
      </c>
      <c r="BY2647" s="5" t="s">
        <v>238</v>
      </c>
      <c r="BZ2647" s="5" t="s">
        <v>238</v>
      </c>
      <c r="CD2647" s="5" t="s">
        <v>273</v>
      </c>
      <c r="CE2647" s="5" t="s">
        <v>256</v>
      </c>
      <c r="CF2647" s="5" t="s">
        <v>238</v>
      </c>
      <c r="CI2647" s="6" t="s">
        <v>257</v>
      </c>
      <c r="CJ2647" s="5" t="s">
        <v>238</v>
      </c>
      <c r="CK2647" s="5" t="s">
        <v>258</v>
      </c>
      <c r="CL2647" s="5" t="s">
        <v>238</v>
      </c>
      <c r="CM2647" s="5" t="s">
        <v>238</v>
      </c>
      <c r="CN2647" s="5">
        <v>0</v>
      </c>
      <c r="CO2647" s="5" t="s">
        <v>259</v>
      </c>
      <c r="CP2647" s="5" t="s">
        <v>260</v>
      </c>
      <c r="CQ2647" s="5" t="s">
        <v>260</v>
      </c>
      <c r="CR2647" s="5" t="s">
        <v>261</v>
      </c>
      <c r="CU2647" s="8">
        <f>1</f>
        <v>1</v>
      </c>
      <c r="CV2647" s="8">
        <f>0</f>
        <v>0</v>
      </c>
      <c r="CX2647" s="8">
        <f>0</f>
        <v>0</v>
      </c>
      <c r="CY2647" s="8">
        <f>1</f>
        <v>1</v>
      </c>
      <c r="DA2647" s="5" t="s">
        <v>274</v>
      </c>
      <c r="DB2647" s="5" t="s">
        <v>238</v>
      </c>
      <c r="DD2647" s="5" t="s">
        <v>274</v>
      </c>
      <c r="DE2647" s="8">
        <f>48</f>
        <v>48</v>
      </c>
      <c r="DG2647" s="5" t="s">
        <v>238</v>
      </c>
      <c r="DH2647" s="5" t="s">
        <v>238</v>
      </c>
      <c r="DI2647" s="5" t="s">
        <v>238</v>
      </c>
      <c r="DJ2647" s="5" t="s">
        <v>238</v>
      </c>
      <c r="DN2647" s="5" t="s">
        <v>238</v>
      </c>
      <c r="DO2647" s="5" t="s">
        <v>238</v>
      </c>
      <c r="DP2647" s="5" t="s">
        <v>238</v>
      </c>
      <c r="DQ2647" s="5" t="s">
        <v>238</v>
      </c>
      <c r="DT2647" s="5" t="s">
        <v>275</v>
      </c>
      <c r="DU2647" s="5" t="s">
        <v>360</v>
      </c>
      <c r="HM2647" s="5" t="s">
        <v>264</v>
      </c>
    </row>
    <row r="2648" spans="1:221" x14ac:dyDescent="0.4">
      <c r="A2648" s="5">
        <v>4352</v>
      </c>
      <c r="B2648" s="5">
        <v>1</v>
      </c>
      <c r="C2648" s="5">
        <v>1</v>
      </c>
      <c r="D2648" s="5" t="s">
        <v>269</v>
      </c>
      <c r="E2648" s="5" t="s">
        <v>271</v>
      </c>
      <c r="F2648" s="5" t="s">
        <v>248</v>
      </c>
      <c r="G2648" s="5" t="s">
        <v>266</v>
      </c>
      <c r="H2648" s="6" t="s">
        <v>987</v>
      </c>
      <c r="I2648" s="7">
        <f>623</f>
        <v>623</v>
      </c>
      <c r="J2648" s="5" t="s">
        <v>262</v>
      </c>
      <c r="K2648" s="8">
        <f>1</f>
        <v>1</v>
      </c>
      <c r="L2648" s="6" t="s">
        <v>242</v>
      </c>
      <c r="M2648" s="5" t="s">
        <v>267</v>
      </c>
      <c r="N2648" s="5" t="s">
        <v>265</v>
      </c>
      <c r="O2648" s="5" t="s">
        <v>238</v>
      </c>
      <c r="P2648" s="5" t="s">
        <v>238</v>
      </c>
      <c r="Q2648" s="5" t="s">
        <v>268</v>
      </c>
      <c r="R2648" s="5" t="s">
        <v>270</v>
      </c>
      <c r="S2648" s="5" t="s">
        <v>238</v>
      </c>
      <c r="V2648" s="5" t="s">
        <v>238</v>
      </c>
      <c r="X2648" s="6" t="s">
        <v>238</v>
      </c>
      <c r="AA2648" s="6" t="s">
        <v>243</v>
      </c>
      <c r="AB2648" s="5" t="s">
        <v>238</v>
      </c>
      <c r="AC2648" s="5" t="s">
        <v>244</v>
      </c>
      <c r="AD2648" s="5" t="s">
        <v>245</v>
      </c>
      <c r="AT2648" s="5" t="s">
        <v>246</v>
      </c>
      <c r="AU2648" s="5" t="s">
        <v>238</v>
      </c>
      <c r="AV2648" s="5" t="s">
        <v>247</v>
      </c>
      <c r="AW2648" s="5" t="s">
        <v>238</v>
      </c>
      <c r="AX2648" s="5" t="s">
        <v>249</v>
      </c>
      <c r="AY2648" s="5" t="s">
        <v>238</v>
      </c>
      <c r="BA2648" s="5" t="s">
        <v>238</v>
      </c>
      <c r="BC2648" s="5" t="s">
        <v>250</v>
      </c>
      <c r="BD2648" s="6" t="s">
        <v>243</v>
      </c>
      <c r="BE2648" s="5" t="s">
        <v>251</v>
      </c>
      <c r="BF2648" s="5" t="s">
        <v>252</v>
      </c>
      <c r="BG2648" s="5" t="s">
        <v>238</v>
      </c>
      <c r="BH2648" s="7">
        <f>0</f>
        <v>0</v>
      </c>
      <c r="BI2648" s="8">
        <f>0</f>
        <v>0</v>
      </c>
      <c r="BJ2648" s="5" t="s">
        <v>253</v>
      </c>
      <c r="BK2648" s="5" t="s">
        <v>254</v>
      </c>
      <c r="BY2648" s="5" t="s">
        <v>238</v>
      </c>
      <c r="BZ2648" s="5" t="s">
        <v>238</v>
      </c>
      <c r="CD2648" s="5" t="s">
        <v>273</v>
      </c>
      <c r="CE2648" s="5" t="s">
        <v>256</v>
      </c>
      <c r="CF2648" s="5" t="s">
        <v>238</v>
      </c>
      <c r="CI2648" s="6" t="s">
        <v>257</v>
      </c>
      <c r="CJ2648" s="5" t="s">
        <v>238</v>
      </c>
      <c r="CK2648" s="5" t="s">
        <v>258</v>
      </c>
      <c r="CL2648" s="5" t="s">
        <v>238</v>
      </c>
      <c r="CM2648" s="5" t="s">
        <v>238</v>
      </c>
      <c r="CN2648" s="5">
        <v>0</v>
      </c>
      <c r="CO2648" s="5" t="s">
        <v>259</v>
      </c>
      <c r="CP2648" s="5" t="s">
        <v>260</v>
      </c>
      <c r="CQ2648" s="5" t="s">
        <v>260</v>
      </c>
      <c r="CR2648" s="5" t="s">
        <v>261</v>
      </c>
      <c r="CU2648" s="8">
        <f>1</f>
        <v>1</v>
      </c>
      <c r="CV2648" s="8">
        <f>0</f>
        <v>0</v>
      </c>
      <c r="CX2648" s="8">
        <f>0</f>
        <v>0</v>
      </c>
      <c r="CY2648" s="8">
        <f>1</f>
        <v>1</v>
      </c>
      <c r="DA2648" s="5" t="s">
        <v>274</v>
      </c>
      <c r="DB2648" s="5" t="s">
        <v>238</v>
      </c>
      <c r="DD2648" s="5" t="s">
        <v>274</v>
      </c>
      <c r="DE2648" s="8">
        <f>623</f>
        <v>623</v>
      </c>
      <c r="DG2648" s="5" t="s">
        <v>238</v>
      </c>
      <c r="DH2648" s="5" t="s">
        <v>238</v>
      </c>
      <c r="DI2648" s="5" t="s">
        <v>238</v>
      </c>
      <c r="DJ2648" s="5" t="s">
        <v>238</v>
      </c>
      <c r="DN2648" s="5" t="s">
        <v>238</v>
      </c>
      <c r="DO2648" s="5" t="s">
        <v>238</v>
      </c>
      <c r="DP2648" s="5" t="s">
        <v>238</v>
      </c>
      <c r="DQ2648" s="5" t="s">
        <v>238</v>
      </c>
      <c r="DT2648" s="5" t="s">
        <v>275</v>
      </c>
      <c r="DU2648" s="5" t="s">
        <v>988</v>
      </c>
      <c r="HM2648" s="5" t="s">
        <v>264</v>
      </c>
    </row>
    <row r="2649" spans="1:221" x14ac:dyDescent="0.4">
      <c r="A2649" s="5">
        <v>4353</v>
      </c>
      <c r="B2649" s="5">
        <v>1</v>
      </c>
      <c r="C2649" s="5">
        <v>1</v>
      </c>
      <c r="D2649" s="5" t="s">
        <v>269</v>
      </c>
      <c r="E2649" s="5" t="s">
        <v>271</v>
      </c>
      <c r="F2649" s="5" t="s">
        <v>248</v>
      </c>
      <c r="G2649" s="5" t="s">
        <v>266</v>
      </c>
      <c r="H2649" s="6" t="s">
        <v>1071</v>
      </c>
      <c r="I2649" s="7">
        <f>43</f>
        <v>43</v>
      </c>
      <c r="J2649" s="5" t="s">
        <v>262</v>
      </c>
      <c r="K2649" s="8">
        <f>1</f>
        <v>1</v>
      </c>
      <c r="L2649" s="6" t="s">
        <v>242</v>
      </c>
      <c r="M2649" s="5" t="s">
        <v>267</v>
      </c>
      <c r="N2649" s="5" t="s">
        <v>265</v>
      </c>
      <c r="O2649" s="5" t="s">
        <v>238</v>
      </c>
      <c r="P2649" s="5" t="s">
        <v>238</v>
      </c>
      <c r="Q2649" s="5" t="s">
        <v>268</v>
      </c>
      <c r="R2649" s="5" t="s">
        <v>270</v>
      </c>
      <c r="S2649" s="5" t="s">
        <v>238</v>
      </c>
      <c r="V2649" s="5" t="s">
        <v>238</v>
      </c>
      <c r="X2649" s="6" t="s">
        <v>238</v>
      </c>
      <c r="AA2649" s="6" t="s">
        <v>243</v>
      </c>
      <c r="AB2649" s="5" t="s">
        <v>238</v>
      </c>
      <c r="AC2649" s="5" t="s">
        <v>244</v>
      </c>
      <c r="AD2649" s="5" t="s">
        <v>245</v>
      </c>
      <c r="AT2649" s="5" t="s">
        <v>246</v>
      </c>
      <c r="AU2649" s="5" t="s">
        <v>238</v>
      </c>
      <c r="AV2649" s="5" t="s">
        <v>247</v>
      </c>
      <c r="AW2649" s="5" t="s">
        <v>238</v>
      </c>
      <c r="AX2649" s="5" t="s">
        <v>249</v>
      </c>
      <c r="AY2649" s="5" t="s">
        <v>238</v>
      </c>
      <c r="BA2649" s="5" t="s">
        <v>238</v>
      </c>
      <c r="BC2649" s="5" t="s">
        <v>250</v>
      </c>
      <c r="BD2649" s="6" t="s">
        <v>243</v>
      </c>
      <c r="BE2649" s="5" t="s">
        <v>251</v>
      </c>
      <c r="BF2649" s="5" t="s">
        <v>252</v>
      </c>
      <c r="BG2649" s="5" t="s">
        <v>238</v>
      </c>
      <c r="BH2649" s="7">
        <f>0</f>
        <v>0</v>
      </c>
      <c r="BI2649" s="8">
        <f>0</f>
        <v>0</v>
      </c>
      <c r="BJ2649" s="5" t="s">
        <v>253</v>
      </c>
      <c r="BK2649" s="5" t="s">
        <v>254</v>
      </c>
      <c r="BY2649" s="5" t="s">
        <v>238</v>
      </c>
      <c r="BZ2649" s="5" t="s">
        <v>238</v>
      </c>
      <c r="CD2649" s="5" t="s">
        <v>273</v>
      </c>
      <c r="CE2649" s="5" t="s">
        <v>256</v>
      </c>
      <c r="CF2649" s="5" t="s">
        <v>238</v>
      </c>
      <c r="CI2649" s="6" t="s">
        <v>257</v>
      </c>
      <c r="CJ2649" s="5" t="s">
        <v>238</v>
      </c>
      <c r="CK2649" s="5" t="s">
        <v>258</v>
      </c>
      <c r="CL2649" s="5" t="s">
        <v>238</v>
      </c>
      <c r="CM2649" s="5" t="s">
        <v>238</v>
      </c>
      <c r="CN2649" s="5">
        <v>0</v>
      </c>
      <c r="CO2649" s="5" t="s">
        <v>259</v>
      </c>
      <c r="CP2649" s="5" t="s">
        <v>260</v>
      </c>
      <c r="CQ2649" s="5" t="s">
        <v>260</v>
      </c>
      <c r="CR2649" s="5" t="s">
        <v>261</v>
      </c>
      <c r="CU2649" s="8">
        <f>1</f>
        <v>1</v>
      </c>
      <c r="CV2649" s="8">
        <f>0</f>
        <v>0</v>
      </c>
      <c r="CX2649" s="8">
        <f>0</f>
        <v>0</v>
      </c>
      <c r="CY2649" s="8">
        <f>1</f>
        <v>1</v>
      </c>
      <c r="DA2649" s="5" t="s">
        <v>274</v>
      </c>
      <c r="DB2649" s="5" t="s">
        <v>238</v>
      </c>
      <c r="DD2649" s="5" t="s">
        <v>274</v>
      </c>
      <c r="DE2649" s="8">
        <f>43</f>
        <v>43</v>
      </c>
      <c r="DG2649" s="5" t="s">
        <v>238</v>
      </c>
      <c r="DH2649" s="5" t="s">
        <v>238</v>
      </c>
      <c r="DI2649" s="5" t="s">
        <v>238</v>
      </c>
      <c r="DJ2649" s="5" t="s">
        <v>238</v>
      </c>
      <c r="DN2649" s="5" t="s">
        <v>238</v>
      </c>
      <c r="DO2649" s="5" t="s">
        <v>238</v>
      </c>
      <c r="DP2649" s="5" t="s">
        <v>238</v>
      </c>
      <c r="DQ2649" s="5" t="s">
        <v>238</v>
      </c>
      <c r="DT2649" s="5" t="s">
        <v>275</v>
      </c>
      <c r="DU2649" s="5" t="s">
        <v>1072</v>
      </c>
      <c r="HM2649" s="5" t="s">
        <v>264</v>
      </c>
    </row>
    <row r="2650" spans="1:221" x14ac:dyDescent="0.4">
      <c r="A2650" s="5">
        <v>4354</v>
      </c>
      <c r="B2650" s="5">
        <v>1</v>
      </c>
      <c r="C2650" s="5">
        <v>1</v>
      </c>
      <c r="D2650" s="5" t="s">
        <v>269</v>
      </c>
      <c r="E2650" s="5" t="s">
        <v>271</v>
      </c>
      <c r="F2650" s="5" t="s">
        <v>248</v>
      </c>
      <c r="G2650" s="5" t="s">
        <v>266</v>
      </c>
      <c r="H2650" s="6" t="s">
        <v>1099</v>
      </c>
      <c r="I2650" s="7">
        <f>615</f>
        <v>615</v>
      </c>
      <c r="J2650" s="5" t="s">
        <v>262</v>
      </c>
      <c r="K2650" s="8">
        <f>1</f>
        <v>1</v>
      </c>
      <c r="L2650" s="6" t="s">
        <v>242</v>
      </c>
      <c r="M2650" s="5" t="s">
        <v>267</v>
      </c>
      <c r="N2650" s="5" t="s">
        <v>265</v>
      </c>
      <c r="O2650" s="5" t="s">
        <v>238</v>
      </c>
      <c r="P2650" s="5" t="s">
        <v>238</v>
      </c>
      <c r="Q2650" s="5" t="s">
        <v>268</v>
      </c>
      <c r="R2650" s="5" t="s">
        <v>270</v>
      </c>
      <c r="S2650" s="5" t="s">
        <v>238</v>
      </c>
      <c r="V2650" s="5" t="s">
        <v>238</v>
      </c>
      <c r="X2650" s="6" t="s">
        <v>238</v>
      </c>
      <c r="AA2650" s="6" t="s">
        <v>243</v>
      </c>
      <c r="AB2650" s="5" t="s">
        <v>238</v>
      </c>
      <c r="AC2650" s="5" t="s">
        <v>244</v>
      </c>
      <c r="AD2650" s="5" t="s">
        <v>245</v>
      </c>
      <c r="AT2650" s="5" t="s">
        <v>246</v>
      </c>
      <c r="AU2650" s="5" t="s">
        <v>238</v>
      </c>
      <c r="AV2650" s="5" t="s">
        <v>247</v>
      </c>
      <c r="AW2650" s="5" t="s">
        <v>238</v>
      </c>
      <c r="AX2650" s="5" t="s">
        <v>249</v>
      </c>
      <c r="AY2650" s="5" t="s">
        <v>238</v>
      </c>
      <c r="BA2650" s="5" t="s">
        <v>238</v>
      </c>
      <c r="BC2650" s="5" t="s">
        <v>250</v>
      </c>
      <c r="BD2650" s="6" t="s">
        <v>243</v>
      </c>
      <c r="BE2650" s="5" t="s">
        <v>251</v>
      </c>
      <c r="BF2650" s="5" t="s">
        <v>252</v>
      </c>
      <c r="BG2650" s="5" t="s">
        <v>238</v>
      </c>
      <c r="BH2650" s="7">
        <f>0</f>
        <v>0</v>
      </c>
      <c r="BI2650" s="8">
        <f>0</f>
        <v>0</v>
      </c>
      <c r="BJ2650" s="5" t="s">
        <v>253</v>
      </c>
      <c r="BK2650" s="5" t="s">
        <v>254</v>
      </c>
      <c r="BY2650" s="5" t="s">
        <v>238</v>
      </c>
      <c r="BZ2650" s="5" t="s">
        <v>238</v>
      </c>
      <c r="CD2650" s="5" t="s">
        <v>273</v>
      </c>
      <c r="CE2650" s="5" t="s">
        <v>256</v>
      </c>
      <c r="CF2650" s="5" t="s">
        <v>238</v>
      </c>
      <c r="CI2650" s="6" t="s">
        <v>257</v>
      </c>
      <c r="CJ2650" s="5" t="s">
        <v>238</v>
      </c>
      <c r="CK2650" s="5" t="s">
        <v>258</v>
      </c>
      <c r="CL2650" s="5" t="s">
        <v>238</v>
      </c>
      <c r="CM2650" s="5" t="s">
        <v>238</v>
      </c>
      <c r="CN2650" s="5">
        <v>0</v>
      </c>
      <c r="CO2650" s="5" t="s">
        <v>259</v>
      </c>
      <c r="CP2650" s="5" t="s">
        <v>260</v>
      </c>
      <c r="CQ2650" s="5" t="s">
        <v>260</v>
      </c>
      <c r="CR2650" s="5" t="s">
        <v>261</v>
      </c>
      <c r="CU2650" s="8">
        <f>1</f>
        <v>1</v>
      </c>
      <c r="CV2650" s="8">
        <f>0</f>
        <v>0</v>
      </c>
      <c r="CX2650" s="8">
        <f>0</f>
        <v>0</v>
      </c>
      <c r="CY2650" s="8">
        <f>1</f>
        <v>1</v>
      </c>
      <c r="DA2650" s="5" t="s">
        <v>274</v>
      </c>
      <c r="DB2650" s="5" t="s">
        <v>238</v>
      </c>
      <c r="DD2650" s="5" t="s">
        <v>274</v>
      </c>
      <c r="DE2650" s="8">
        <f>615</f>
        <v>615</v>
      </c>
      <c r="DG2650" s="5" t="s">
        <v>238</v>
      </c>
      <c r="DH2650" s="5" t="s">
        <v>238</v>
      </c>
      <c r="DI2650" s="5" t="s">
        <v>238</v>
      </c>
      <c r="DJ2650" s="5" t="s">
        <v>238</v>
      </c>
      <c r="DN2650" s="5" t="s">
        <v>238</v>
      </c>
      <c r="DO2650" s="5" t="s">
        <v>238</v>
      </c>
      <c r="DP2650" s="5" t="s">
        <v>238</v>
      </c>
      <c r="DQ2650" s="5" t="s">
        <v>238</v>
      </c>
      <c r="DT2650" s="5" t="s">
        <v>275</v>
      </c>
      <c r="DU2650" s="5" t="s">
        <v>1100</v>
      </c>
      <c r="HM2650" s="5" t="s">
        <v>264</v>
      </c>
    </row>
    <row r="2651" spans="1:221" x14ac:dyDescent="0.4">
      <c r="A2651" s="5">
        <v>4355</v>
      </c>
      <c r="B2651" s="5">
        <v>1</v>
      </c>
      <c r="C2651" s="5">
        <v>1</v>
      </c>
      <c r="D2651" s="5" t="s">
        <v>269</v>
      </c>
      <c r="E2651" s="5" t="s">
        <v>271</v>
      </c>
      <c r="F2651" s="5" t="s">
        <v>248</v>
      </c>
      <c r="G2651" s="5" t="s">
        <v>266</v>
      </c>
      <c r="H2651" s="6" t="s">
        <v>1212</v>
      </c>
      <c r="I2651" s="7">
        <f>273</f>
        <v>273</v>
      </c>
      <c r="J2651" s="5" t="s">
        <v>262</v>
      </c>
      <c r="K2651" s="8">
        <f>1</f>
        <v>1</v>
      </c>
      <c r="L2651" s="6" t="s">
        <v>242</v>
      </c>
      <c r="M2651" s="5" t="s">
        <v>267</v>
      </c>
      <c r="N2651" s="5" t="s">
        <v>265</v>
      </c>
      <c r="O2651" s="5" t="s">
        <v>238</v>
      </c>
      <c r="P2651" s="5" t="s">
        <v>238</v>
      </c>
      <c r="Q2651" s="5" t="s">
        <v>268</v>
      </c>
      <c r="R2651" s="5" t="s">
        <v>270</v>
      </c>
      <c r="S2651" s="5" t="s">
        <v>238</v>
      </c>
      <c r="V2651" s="5" t="s">
        <v>238</v>
      </c>
      <c r="X2651" s="6" t="s">
        <v>238</v>
      </c>
      <c r="AA2651" s="6" t="s">
        <v>243</v>
      </c>
      <c r="AB2651" s="5" t="s">
        <v>238</v>
      </c>
      <c r="AC2651" s="5" t="s">
        <v>244</v>
      </c>
      <c r="AD2651" s="5" t="s">
        <v>245</v>
      </c>
      <c r="AT2651" s="5" t="s">
        <v>246</v>
      </c>
      <c r="AU2651" s="5" t="s">
        <v>238</v>
      </c>
      <c r="AV2651" s="5" t="s">
        <v>247</v>
      </c>
      <c r="AW2651" s="5" t="s">
        <v>238</v>
      </c>
      <c r="AX2651" s="5" t="s">
        <v>249</v>
      </c>
      <c r="AY2651" s="5" t="s">
        <v>238</v>
      </c>
      <c r="BA2651" s="5" t="s">
        <v>238</v>
      </c>
      <c r="BC2651" s="5" t="s">
        <v>250</v>
      </c>
      <c r="BD2651" s="6" t="s">
        <v>243</v>
      </c>
      <c r="BE2651" s="5" t="s">
        <v>251</v>
      </c>
      <c r="BF2651" s="5" t="s">
        <v>252</v>
      </c>
      <c r="BG2651" s="5" t="s">
        <v>238</v>
      </c>
      <c r="BH2651" s="7">
        <f>0</f>
        <v>0</v>
      </c>
      <c r="BI2651" s="8">
        <f>0</f>
        <v>0</v>
      </c>
      <c r="BJ2651" s="5" t="s">
        <v>253</v>
      </c>
      <c r="BK2651" s="5" t="s">
        <v>254</v>
      </c>
      <c r="BY2651" s="5" t="s">
        <v>238</v>
      </c>
      <c r="BZ2651" s="5" t="s">
        <v>238</v>
      </c>
      <c r="CD2651" s="5" t="s">
        <v>273</v>
      </c>
      <c r="CE2651" s="5" t="s">
        <v>256</v>
      </c>
      <c r="CF2651" s="5" t="s">
        <v>238</v>
      </c>
      <c r="CI2651" s="6" t="s">
        <v>257</v>
      </c>
      <c r="CJ2651" s="5" t="s">
        <v>238</v>
      </c>
      <c r="CK2651" s="5" t="s">
        <v>258</v>
      </c>
      <c r="CL2651" s="5" t="s">
        <v>238</v>
      </c>
      <c r="CM2651" s="5" t="s">
        <v>238</v>
      </c>
      <c r="CN2651" s="5">
        <v>0</v>
      </c>
      <c r="CO2651" s="5" t="s">
        <v>259</v>
      </c>
      <c r="CP2651" s="5" t="s">
        <v>260</v>
      </c>
      <c r="CQ2651" s="5" t="s">
        <v>260</v>
      </c>
      <c r="CR2651" s="5" t="s">
        <v>261</v>
      </c>
      <c r="CU2651" s="8">
        <f>1</f>
        <v>1</v>
      </c>
      <c r="CV2651" s="8">
        <f>0</f>
        <v>0</v>
      </c>
      <c r="CX2651" s="8">
        <f>0</f>
        <v>0</v>
      </c>
      <c r="CY2651" s="8">
        <f>1</f>
        <v>1</v>
      </c>
      <c r="DA2651" s="5" t="s">
        <v>274</v>
      </c>
      <c r="DB2651" s="5" t="s">
        <v>238</v>
      </c>
      <c r="DD2651" s="5" t="s">
        <v>274</v>
      </c>
      <c r="DE2651" s="8">
        <f>273</f>
        <v>273</v>
      </c>
      <c r="DG2651" s="5" t="s">
        <v>238</v>
      </c>
      <c r="DH2651" s="5" t="s">
        <v>238</v>
      </c>
      <c r="DI2651" s="5" t="s">
        <v>238</v>
      </c>
      <c r="DJ2651" s="5" t="s">
        <v>238</v>
      </c>
      <c r="DN2651" s="5" t="s">
        <v>238</v>
      </c>
      <c r="DO2651" s="5" t="s">
        <v>238</v>
      </c>
      <c r="DP2651" s="5" t="s">
        <v>238</v>
      </c>
      <c r="DQ2651" s="5" t="s">
        <v>238</v>
      </c>
      <c r="DT2651" s="5" t="s">
        <v>275</v>
      </c>
      <c r="DU2651" s="5" t="s">
        <v>1213</v>
      </c>
      <c r="HM2651" s="5" t="s">
        <v>264</v>
      </c>
    </row>
    <row r="2652" spans="1:221" x14ac:dyDescent="0.4">
      <c r="A2652" s="5">
        <v>4356</v>
      </c>
      <c r="B2652" s="5">
        <v>1</v>
      </c>
      <c r="C2652" s="5">
        <v>1</v>
      </c>
      <c r="D2652" s="5" t="s">
        <v>269</v>
      </c>
      <c r="E2652" s="5" t="s">
        <v>271</v>
      </c>
      <c r="F2652" s="5" t="s">
        <v>248</v>
      </c>
      <c r="G2652" s="5" t="s">
        <v>266</v>
      </c>
      <c r="H2652" s="6" t="s">
        <v>1259</v>
      </c>
      <c r="I2652" s="7">
        <f>694</f>
        <v>694</v>
      </c>
      <c r="J2652" s="5" t="s">
        <v>262</v>
      </c>
      <c r="K2652" s="8">
        <f>1</f>
        <v>1</v>
      </c>
      <c r="L2652" s="6" t="s">
        <v>242</v>
      </c>
      <c r="M2652" s="5" t="s">
        <v>267</v>
      </c>
      <c r="N2652" s="5" t="s">
        <v>265</v>
      </c>
      <c r="O2652" s="5" t="s">
        <v>238</v>
      </c>
      <c r="P2652" s="5" t="s">
        <v>238</v>
      </c>
      <c r="Q2652" s="5" t="s">
        <v>268</v>
      </c>
      <c r="R2652" s="5" t="s">
        <v>270</v>
      </c>
      <c r="S2652" s="5" t="s">
        <v>238</v>
      </c>
      <c r="V2652" s="5" t="s">
        <v>238</v>
      </c>
      <c r="X2652" s="6" t="s">
        <v>238</v>
      </c>
      <c r="AA2652" s="6" t="s">
        <v>243</v>
      </c>
      <c r="AB2652" s="5" t="s">
        <v>238</v>
      </c>
      <c r="AC2652" s="5" t="s">
        <v>244</v>
      </c>
      <c r="AD2652" s="5" t="s">
        <v>245</v>
      </c>
      <c r="AT2652" s="5" t="s">
        <v>246</v>
      </c>
      <c r="AU2652" s="5" t="s">
        <v>238</v>
      </c>
      <c r="AV2652" s="5" t="s">
        <v>247</v>
      </c>
      <c r="AW2652" s="5" t="s">
        <v>238</v>
      </c>
      <c r="AX2652" s="5" t="s">
        <v>249</v>
      </c>
      <c r="AY2652" s="5" t="s">
        <v>238</v>
      </c>
      <c r="BA2652" s="5" t="s">
        <v>238</v>
      </c>
      <c r="BC2652" s="5" t="s">
        <v>250</v>
      </c>
      <c r="BD2652" s="6" t="s">
        <v>243</v>
      </c>
      <c r="BE2652" s="5" t="s">
        <v>251</v>
      </c>
      <c r="BF2652" s="5" t="s">
        <v>252</v>
      </c>
      <c r="BG2652" s="5" t="s">
        <v>238</v>
      </c>
      <c r="BH2652" s="7">
        <f>0</f>
        <v>0</v>
      </c>
      <c r="BI2652" s="8">
        <f>0</f>
        <v>0</v>
      </c>
      <c r="BJ2652" s="5" t="s">
        <v>253</v>
      </c>
      <c r="BK2652" s="5" t="s">
        <v>254</v>
      </c>
      <c r="BY2652" s="5" t="s">
        <v>238</v>
      </c>
      <c r="BZ2652" s="5" t="s">
        <v>238</v>
      </c>
      <c r="CD2652" s="5" t="s">
        <v>273</v>
      </c>
      <c r="CE2652" s="5" t="s">
        <v>256</v>
      </c>
      <c r="CF2652" s="5" t="s">
        <v>238</v>
      </c>
      <c r="CI2652" s="6" t="s">
        <v>257</v>
      </c>
      <c r="CJ2652" s="5" t="s">
        <v>238</v>
      </c>
      <c r="CK2652" s="5" t="s">
        <v>258</v>
      </c>
      <c r="CL2652" s="5" t="s">
        <v>238</v>
      </c>
      <c r="CM2652" s="5" t="s">
        <v>238</v>
      </c>
      <c r="CN2652" s="5">
        <v>0</v>
      </c>
      <c r="CO2652" s="5" t="s">
        <v>259</v>
      </c>
      <c r="CP2652" s="5" t="s">
        <v>260</v>
      </c>
      <c r="CQ2652" s="5" t="s">
        <v>260</v>
      </c>
      <c r="CR2652" s="5" t="s">
        <v>261</v>
      </c>
      <c r="CU2652" s="8">
        <f>1</f>
        <v>1</v>
      </c>
      <c r="CV2652" s="8">
        <f>0</f>
        <v>0</v>
      </c>
      <c r="CX2652" s="8">
        <f>0</f>
        <v>0</v>
      </c>
      <c r="CY2652" s="8">
        <f>1</f>
        <v>1</v>
      </c>
      <c r="DA2652" s="5" t="s">
        <v>274</v>
      </c>
      <c r="DB2652" s="5" t="s">
        <v>238</v>
      </c>
      <c r="DD2652" s="5" t="s">
        <v>274</v>
      </c>
      <c r="DE2652" s="8">
        <f>694</f>
        <v>694</v>
      </c>
      <c r="DG2652" s="5" t="s">
        <v>238</v>
      </c>
      <c r="DH2652" s="5" t="s">
        <v>238</v>
      </c>
      <c r="DI2652" s="5" t="s">
        <v>238</v>
      </c>
      <c r="DJ2652" s="5" t="s">
        <v>238</v>
      </c>
      <c r="DN2652" s="5" t="s">
        <v>238</v>
      </c>
      <c r="DO2652" s="5" t="s">
        <v>238</v>
      </c>
      <c r="DP2652" s="5" t="s">
        <v>238</v>
      </c>
      <c r="DQ2652" s="5" t="s">
        <v>238</v>
      </c>
      <c r="DT2652" s="5" t="s">
        <v>275</v>
      </c>
      <c r="DU2652" s="5" t="s">
        <v>1260</v>
      </c>
      <c r="HM2652" s="5" t="s">
        <v>264</v>
      </c>
    </row>
    <row r="2653" spans="1:221" x14ac:dyDescent="0.4">
      <c r="A2653" s="5">
        <v>4357</v>
      </c>
      <c r="B2653" s="5">
        <v>1</v>
      </c>
      <c r="C2653" s="5">
        <v>1</v>
      </c>
      <c r="D2653" s="5" t="s">
        <v>269</v>
      </c>
      <c r="E2653" s="5" t="s">
        <v>271</v>
      </c>
      <c r="F2653" s="5" t="s">
        <v>248</v>
      </c>
      <c r="G2653" s="5" t="s">
        <v>266</v>
      </c>
      <c r="H2653" s="6" t="s">
        <v>1087</v>
      </c>
      <c r="I2653" s="7">
        <f>1938</f>
        <v>1938</v>
      </c>
      <c r="J2653" s="5" t="s">
        <v>262</v>
      </c>
      <c r="K2653" s="8">
        <f>1</f>
        <v>1</v>
      </c>
      <c r="L2653" s="6" t="s">
        <v>242</v>
      </c>
      <c r="M2653" s="5" t="s">
        <v>267</v>
      </c>
      <c r="N2653" s="5" t="s">
        <v>265</v>
      </c>
      <c r="O2653" s="5" t="s">
        <v>238</v>
      </c>
      <c r="P2653" s="5" t="s">
        <v>238</v>
      </c>
      <c r="Q2653" s="5" t="s">
        <v>268</v>
      </c>
      <c r="R2653" s="5" t="s">
        <v>270</v>
      </c>
      <c r="S2653" s="5" t="s">
        <v>238</v>
      </c>
      <c r="V2653" s="5" t="s">
        <v>238</v>
      </c>
      <c r="X2653" s="6" t="s">
        <v>238</v>
      </c>
      <c r="AA2653" s="6" t="s">
        <v>243</v>
      </c>
      <c r="AB2653" s="5" t="s">
        <v>238</v>
      </c>
      <c r="AC2653" s="5" t="s">
        <v>244</v>
      </c>
      <c r="AD2653" s="5" t="s">
        <v>245</v>
      </c>
      <c r="AT2653" s="5" t="s">
        <v>246</v>
      </c>
      <c r="AU2653" s="5" t="s">
        <v>238</v>
      </c>
      <c r="AV2653" s="5" t="s">
        <v>247</v>
      </c>
      <c r="AW2653" s="5" t="s">
        <v>238</v>
      </c>
      <c r="AX2653" s="5" t="s">
        <v>249</v>
      </c>
      <c r="AY2653" s="5" t="s">
        <v>238</v>
      </c>
      <c r="BA2653" s="5" t="s">
        <v>238</v>
      </c>
      <c r="BC2653" s="5" t="s">
        <v>250</v>
      </c>
      <c r="BD2653" s="6" t="s">
        <v>243</v>
      </c>
      <c r="BE2653" s="5" t="s">
        <v>251</v>
      </c>
      <c r="BF2653" s="5" t="s">
        <v>252</v>
      </c>
      <c r="BG2653" s="5" t="s">
        <v>238</v>
      </c>
      <c r="BH2653" s="7">
        <f>0</f>
        <v>0</v>
      </c>
      <c r="BI2653" s="8">
        <f>0</f>
        <v>0</v>
      </c>
      <c r="BJ2653" s="5" t="s">
        <v>253</v>
      </c>
      <c r="BK2653" s="5" t="s">
        <v>254</v>
      </c>
      <c r="BY2653" s="5" t="s">
        <v>238</v>
      </c>
      <c r="BZ2653" s="5" t="s">
        <v>238</v>
      </c>
      <c r="CD2653" s="5" t="s">
        <v>273</v>
      </c>
      <c r="CE2653" s="5" t="s">
        <v>256</v>
      </c>
      <c r="CF2653" s="5" t="s">
        <v>238</v>
      </c>
      <c r="CI2653" s="6" t="s">
        <v>257</v>
      </c>
      <c r="CJ2653" s="5" t="s">
        <v>238</v>
      </c>
      <c r="CK2653" s="5" t="s">
        <v>258</v>
      </c>
      <c r="CL2653" s="5" t="s">
        <v>238</v>
      </c>
      <c r="CM2653" s="5" t="s">
        <v>238</v>
      </c>
      <c r="CN2653" s="5">
        <v>0</v>
      </c>
      <c r="CO2653" s="5" t="s">
        <v>259</v>
      </c>
      <c r="CP2653" s="5" t="s">
        <v>260</v>
      </c>
      <c r="CQ2653" s="5" t="s">
        <v>260</v>
      </c>
      <c r="CR2653" s="5" t="s">
        <v>261</v>
      </c>
      <c r="CU2653" s="8">
        <f>1</f>
        <v>1</v>
      </c>
      <c r="CV2653" s="8">
        <f>0</f>
        <v>0</v>
      </c>
      <c r="CX2653" s="8">
        <f>0</f>
        <v>0</v>
      </c>
      <c r="CY2653" s="8">
        <f>1</f>
        <v>1</v>
      </c>
      <c r="DA2653" s="5" t="s">
        <v>274</v>
      </c>
      <c r="DB2653" s="5" t="s">
        <v>238</v>
      </c>
      <c r="DD2653" s="5" t="s">
        <v>274</v>
      </c>
      <c r="DE2653" s="8">
        <f>1938</f>
        <v>1938</v>
      </c>
      <c r="DG2653" s="5" t="s">
        <v>238</v>
      </c>
      <c r="DH2653" s="5" t="s">
        <v>238</v>
      </c>
      <c r="DI2653" s="5" t="s">
        <v>238</v>
      </c>
      <c r="DJ2653" s="5" t="s">
        <v>238</v>
      </c>
      <c r="DN2653" s="5" t="s">
        <v>238</v>
      </c>
      <c r="DO2653" s="5" t="s">
        <v>238</v>
      </c>
      <c r="DP2653" s="5" t="s">
        <v>238</v>
      </c>
      <c r="DQ2653" s="5" t="s">
        <v>238</v>
      </c>
      <c r="DT2653" s="5" t="s">
        <v>275</v>
      </c>
      <c r="DU2653" s="5" t="s">
        <v>1088</v>
      </c>
      <c r="HM2653" s="5" t="s">
        <v>264</v>
      </c>
    </row>
    <row r="2654" spans="1:221" x14ac:dyDescent="0.4">
      <c r="A2654" s="5">
        <v>4358</v>
      </c>
      <c r="B2654" s="5">
        <v>1</v>
      </c>
      <c r="C2654" s="5">
        <v>1</v>
      </c>
      <c r="D2654" s="5" t="s">
        <v>269</v>
      </c>
      <c r="E2654" s="5" t="s">
        <v>271</v>
      </c>
      <c r="F2654" s="5" t="s">
        <v>248</v>
      </c>
      <c r="G2654" s="5" t="s">
        <v>266</v>
      </c>
      <c r="H2654" s="6" t="s">
        <v>1385</v>
      </c>
      <c r="I2654" s="7">
        <f>52</f>
        <v>52</v>
      </c>
      <c r="J2654" s="5" t="s">
        <v>262</v>
      </c>
      <c r="K2654" s="8">
        <f>1</f>
        <v>1</v>
      </c>
      <c r="L2654" s="6" t="s">
        <v>242</v>
      </c>
      <c r="M2654" s="5" t="s">
        <v>267</v>
      </c>
      <c r="N2654" s="5" t="s">
        <v>265</v>
      </c>
      <c r="O2654" s="5" t="s">
        <v>238</v>
      </c>
      <c r="P2654" s="5" t="s">
        <v>238</v>
      </c>
      <c r="Q2654" s="5" t="s">
        <v>268</v>
      </c>
      <c r="R2654" s="5" t="s">
        <v>270</v>
      </c>
      <c r="S2654" s="5" t="s">
        <v>238</v>
      </c>
      <c r="V2654" s="5" t="s">
        <v>238</v>
      </c>
      <c r="X2654" s="6" t="s">
        <v>238</v>
      </c>
      <c r="AA2654" s="6" t="s">
        <v>243</v>
      </c>
      <c r="AB2654" s="5" t="s">
        <v>238</v>
      </c>
      <c r="AC2654" s="5" t="s">
        <v>244</v>
      </c>
      <c r="AD2654" s="5" t="s">
        <v>245</v>
      </c>
      <c r="AT2654" s="5" t="s">
        <v>246</v>
      </c>
      <c r="AU2654" s="5" t="s">
        <v>238</v>
      </c>
      <c r="AV2654" s="5" t="s">
        <v>247</v>
      </c>
      <c r="AW2654" s="5" t="s">
        <v>238</v>
      </c>
      <c r="AX2654" s="5" t="s">
        <v>249</v>
      </c>
      <c r="AY2654" s="5" t="s">
        <v>238</v>
      </c>
      <c r="BA2654" s="5" t="s">
        <v>238</v>
      </c>
      <c r="BC2654" s="5" t="s">
        <v>250</v>
      </c>
      <c r="BD2654" s="6" t="s">
        <v>243</v>
      </c>
      <c r="BE2654" s="5" t="s">
        <v>251</v>
      </c>
      <c r="BF2654" s="5" t="s">
        <v>252</v>
      </c>
      <c r="BG2654" s="5" t="s">
        <v>238</v>
      </c>
      <c r="BH2654" s="7">
        <f>0</f>
        <v>0</v>
      </c>
      <c r="BI2654" s="8">
        <f>0</f>
        <v>0</v>
      </c>
      <c r="BJ2654" s="5" t="s">
        <v>253</v>
      </c>
      <c r="BK2654" s="5" t="s">
        <v>254</v>
      </c>
      <c r="BY2654" s="5" t="s">
        <v>238</v>
      </c>
      <c r="BZ2654" s="5" t="s">
        <v>238</v>
      </c>
      <c r="CD2654" s="5" t="s">
        <v>273</v>
      </c>
      <c r="CE2654" s="5" t="s">
        <v>256</v>
      </c>
      <c r="CF2654" s="5" t="s">
        <v>238</v>
      </c>
      <c r="CI2654" s="6" t="s">
        <v>257</v>
      </c>
      <c r="CJ2654" s="5" t="s">
        <v>238</v>
      </c>
      <c r="CK2654" s="5" t="s">
        <v>258</v>
      </c>
      <c r="CL2654" s="5" t="s">
        <v>238</v>
      </c>
      <c r="CM2654" s="5" t="s">
        <v>238</v>
      </c>
      <c r="CN2654" s="5">
        <v>0</v>
      </c>
      <c r="CO2654" s="5" t="s">
        <v>259</v>
      </c>
      <c r="CP2654" s="5" t="s">
        <v>260</v>
      </c>
      <c r="CQ2654" s="5" t="s">
        <v>260</v>
      </c>
      <c r="CR2654" s="5" t="s">
        <v>261</v>
      </c>
      <c r="CU2654" s="8">
        <f>1</f>
        <v>1</v>
      </c>
      <c r="CV2654" s="8">
        <f>0</f>
        <v>0</v>
      </c>
      <c r="CX2654" s="8">
        <f>0</f>
        <v>0</v>
      </c>
      <c r="CY2654" s="8">
        <f>1</f>
        <v>1</v>
      </c>
      <c r="DA2654" s="5" t="s">
        <v>274</v>
      </c>
      <c r="DB2654" s="5" t="s">
        <v>238</v>
      </c>
      <c r="DD2654" s="5" t="s">
        <v>274</v>
      </c>
      <c r="DE2654" s="8">
        <f>52</f>
        <v>52</v>
      </c>
      <c r="DG2654" s="5" t="s">
        <v>238</v>
      </c>
      <c r="DH2654" s="5" t="s">
        <v>238</v>
      </c>
      <c r="DI2654" s="5" t="s">
        <v>238</v>
      </c>
      <c r="DJ2654" s="5" t="s">
        <v>238</v>
      </c>
      <c r="DN2654" s="5" t="s">
        <v>238</v>
      </c>
      <c r="DO2654" s="5" t="s">
        <v>238</v>
      </c>
      <c r="DP2654" s="5" t="s">
        <v>238</v>
      </c>
      <c r="DQ2654" s="5" t="s">
        <v>238</v>
      </c>
      <c r="DT2654" s="5" t="s">
        <v>275</v>
      </c>
      <c r="DU2654" s="5" t="s">
        <v>1386</v>
      </c>
      <c r="HM2654" s="5" t="s">
        <v>264</v>
      </c>
    </row>
    <row r="2655" spans="1:221" x14ac:dyDescent="0.4">
      <c r="A2655" s="5">
        <v>4359</v>
      </c>
      <c r="B2655" s="5">
        <v>1</v>
      </c>
      <c r="C2655" s="5">
        <v>1</v>
      </c>
      <c r="D2655" s="5" t="s">
        <v>269</v>
      </c>
      <c r="E2655" s="5" t="s">
        <v>271</v>
      </c>
      <c r="F2655" s="5" t="s">
        <v>248</v>
      </c>
      <c r="G2655" s="5" t="s">
        <v>266</v>
      </c>
      <c r="H2655" s="6" t="s">
        <v>1534</v>
      </c>
      <c r="I2655" s="7">
        <f>496</f>
        <v>496</v>
      </c>
      <c r="J2655" s="5" t="s">
        <v>262</v>
      </c>
      <c r="K2655" s="8">
        <f>1</f>
        <v>1</v>
      </c>
      <c r="L2655" s="6" t="s">
        <v>242</v>
      </c>
      <c r="M2655" s="5" t="s">
        <v>267</v>
      </c>
      <c r="N2655" s="5" t="s">
        <v>265</v>
      </c>
      <c r="O2655" s="5" t="s">
        <v>238</v>
      </c>
      <c r="P2655" s="5" t="s">
        <v>238</v>
      </c>
      <c r="Q2655" s="5" t="s">
        <v>268</v>
      </c>
      <c r="R2655" s="5" t="s">
        <v>270</v>
      </c>
      <c r="S2655" s="5" t="s">
        <v>238</v>
      </c>
      <c r="V2655" s="5" t="s">
        <v>238</v>
      </c>
      <c r="X2655" s="6" t="s">
        <v>238</v>
      </c>
      <c r="AA2655" s="6" t="s">
        <v>243</v>
      </c>
      <c r="AB2655" s="5" t="s">
        <v>238</v>
      </c>
      <c r="AC2655" s="5" t="s">
        <v>244</v>
      </c>
      <c r="AD2655" s="5" t="s">
        <v>245</v>
      </c>
      <c r="AT2655" s="5" t="s">
        <v>246</v>
      </c>
      <c r="AU2655" s="5" t="s">
        <v>238</v>
      </c>
      <c r="AV2655" s="5" t="s">
        <v>247</v>
      </c>
      <c r="AW2655" s="5" t="s">
        <v>238</v>
      </c>
      <c r="AX2655" s="5" t="s">
        <v>249</v>
      </c>
      <c r="AY2655" s="5" t="s">
        <v>238</v>
      </c>
      <c r="BA2655" s="5" t="s">
        <v>238</v>
      </c>
      <c r="BC2655" s="5" t="s">
        <v>250</v>
      </c>
      <c r="BD2655" s="6" t="s">
        <v>243</v>
      </c>
      <c r="BE2655" s="5" t="s">
        <v>251</v>
      </c>
      <c r="BF2655" s="5" t="s">
        <v>252</v>
      </c>
      <c r="BG2655" s="5" t="s">
        <v>238</v>
      </c>
      <c r="BH2655" s="7">
        <f>0</f>
        <v>0</v>
      </c>
      <c r="BI2655" s="8">
        <f>0</f>
        <v>0</v>
      </c>
      <c r="BJ2655" s="5" t="s">
        <v>253</v>
      </c>
      <c r="BK2655" s="5" t="s">
        <v>254</v>
      </c>
      <c r="BY2655" s="5" t="s">
        <v>238</v>
      </c>
      <c r="BZ2655" s="5" t="s">
        <v>238</v>
      </c>
      <c r="CD2655" s="5" t="s">
        <v>273</v>
      </c>
      <c r="CE2655" s="5" t="s">
        <v>256</v>
      </c>
      <c r="CF2655" s="5" t="s">
        <v>238</v>
      </c>
      <c r="CI2655" s="6" t="s">
        <v>257</v>
      </c>
      <c r="CJ2655" s="5" t="s">
        <v>238</v>
      </c>
      <c r="CK2655" s="5" t="s">
        <v>258</v>
      </c>
      <c r="CL2655" s="5" t="s">
        <v>238</v>
      </c>
      <c r="CM2655" s="5" t="s">
        <v>238</v>
      </c>
      <c r="CN2655" s="5">
        <v>0</v>
      </c>
      <c r="CO2655" s="5" t="s">
        <v>259</v>
      </c>
      <c r="CP2655" s="5" t="s">
        <v>260</v>
      </c>
      <c r="CQ2655" s="5" t="s">
        <v>260</v>
      </c>
      <c r="CR2655" s="5" t="s">
        <v>261</v>
      </c>
      <c r="CU2655" s="8">
        <f>1</f>
        <v>1</v>
      </c>
      <c r="CV2655" s="8">
        <f>0</f>
        <v>0</v>
      </c>
      <c r="CX2655" s="8">
        <f>0</f>
        <v>0</v>
      </c>
      <c r="CY2655" s="8">
        <f>1</f>
        <v>1</v>
      </c>
      <c r="DA2655" s="5" t="s">
        <v>274</v>
      </c>
      <c r="DB2655" s="5" t="s">
        <v>238</v>
      </c>
      <c r="DD2655" s="5" t="s">
        <v>274</v>
      </c>
      <c r="DE2655" s="8">
        <f>496</f>
        <v>496</v>
      </c>
      <c r="DG2655" s="5" t="s">
        <v>238</v>
      </c>
      <c r="DH2655" s="5" t="s">
        <v>238</v>
      </c>
      <c r="DI2655" s="5" t="s">
        <v>238</v>
      </c>
      <c r="DJ2655" s="5" t="s">
        <v>238</v>
      </c>
      <c r="DN2655" s="5" t="s">
        <v>238</v>
      </c>
      <c r="DO2655" s="5" t="s">
        <v>238</v>
      </c>
      <c r="DP2655" s="5" t="s">
        <v>238</v>
      </c>
      <c r="DQ2655" s="5" t="s">
        <v>238</v>
      </c>
      <c r="DT2655" s="5" t="s">
        <v>275</v>
      </c>
      <c r="DU2655" s="5" t="s">
        <v>1535</v>
      </c>
      <c r="HM2655" s="5" t="s">
        <v>264</v>
      </c>
    </row>
    <row r="2656" spans="1:221" x14ac:dyDescent="0.4">
      <c r="A2656" s="5">
        <v>4360</v>
      </c>
      <c r="B2656" s="5">
        <v>1</v>
      </c>
      <c r="C2656" s="5">
        <v>1</v>
      </c>
      <c r="D2656" s="5" t="s">
        <v>269</v>
      </c>
      <c r="E2656" s="5" t="s">
        <v>271</v>
      </c>
      <c r="F2656" s="5" t="s">
        <v>248</v>
      </c>
      <c r="G2656" s="5" t="s">
        <v>266</v>
      </c>
      <c r="H2656" s="6" t="s">
        <v>1787</v>
      </c>
      <c r="I2656" s="7">
        <f>2302</f>
        <v>2302</v>
      </c>
      <c r="J2656" s="5" t="s">
        <v>262</v>
      </c>
      <c r="K2656" s="8">
        <f>1</f>
        <v>1</v>
      </c>
      <c r="L2656" s="6" t="s">
        <v>242</v>
      </c>
      <c r="M2656" s="5" t="s">
        <v>267</v>
      </c>
      <c r="N2656" s="5" t="s">
        <v>265</v>
      </c>
      <c r="O2656" s="5" t="s">
        <v>238</v>
      </c>
      <c r="P2656" s="5" t="s">
        <v>238</v>
      </c>
      <c r="Q2656" s="5" t="s">
        <v>268</v>
      </c>
      <c r="R2656" s="5" t="s">
        <v>270</v>
      </c>
      <c r="S2656" s="5" t="s">
        <v>238</v>
      </c>
      <c r="V2656" s="5" t="s">
        <v>238</v>
      </c>
      <c r="X2656" s="6" t="s">
        <v>238</v>
      </c>
      <c r="AA2656" s="6" t="s">
        <v>243</v>
      </c>
      <c r="AB2656" s="5" t="s">
        <v>238</v>
      </c>
      <c r="AC2656" s="5" t="s">
        <v>244</v>
      </c>
      <c r="AD2656" s="5" t="s">
        <v>245</v>
      </c>
      <c r="AT2656" s="5" t="s">
        <v>246</v>
      </c>
      <c r="AU2656" s="5" t="s">
        <v>238</v>
      </c>
      <c r="AV2656" s="5" t="s">
        <v>247</v>
      </c>
      <c r="AW2656" s="5" t="s">
        <v>238</v>
      </c>
      <c r="AX2656" s="5" t="s">
        <v>249</v>
      </c>
      <c r="AY2656" s="5" t="s">
        <v>238</v>
      </c>
      <c r="BA2656" s="5" t="s">
        <v>238</v>
      </c>
      <c r="BC2656" s="5" t="s">
        <v>250</v>
      </c>
      <c r="BD2656" s="6" t="s">
        <v>243</v>
      </c>
      <c r="BE2656" s="5" t="s">
        <v>251</v>
      </c>
      <c r="BF2656" s="5" t="s">
        <v>252</v>
      </c>
      <c r="BG2656" s="5" t="s">
        <v>238</v>
      </c>
      <c r="BH2656" s="7">
        <f>0</f>
        <v>0</v>
      </c>
      <c r="BI2656" s="8">
        <f>0</f>
        <v>0</v>
      </c>
      <c r="BJ2656" s="5" t="s">
        <v>253</v>
      </c>
      <c r="BK2656" s="5" t="s">
        <v>254</v>
      </c>
      <c r="BY2656" s="5" t="s">
        <v>238</v>
      </c>
      <c r="BZ2656" s="5" t="s">
        <v>238</v>
      </c>
      <c r="CD2656" s="5" t="s">
        <v>273</v>
      </c>
      <c r="CE2656" s="5" t="s">
        <v>256</v>
      </c>
      <c r="CF2656" s="5" t="s">
        <v>238</v>
      </c>
      <c r="CI2656" s="6" t="s">
        <v>257</v>
      </c>
      <c r="CJ2656" s="5" t="s">
        <v>238</v>
      </c>
      <c r="CK2656" s="5" t="s">
        <v>258</v>
      </c>
      <c r="CL2656" s="5" t="s">
        <v>238</v>
      </c>
      <c r="CM2656" s="5" t="s">
        <v>238</v>
      </c>
      <c r="CN2656" s="5">
        <v>0</v>
      </c>
      <c r="CO2656" s="5" t="s">
        <v>259</v>
      </c>
      <c r="CP2656" s="5" t="s">
        <v>260</v>
      </c>
      <c r="CQ2656" s="5" t="s">
        <v>260</v>
      </c>
      <c r="CR2656" s="5" t="s">
        <v>261</v>
      </c>
      <c r="CU2656" s="8">
        <f>1</f>
        <v>1</v>
      </c>
      <c r="CV2656" s="8">
        <f>0</f>
        <v>0</v>
      </c>
      <c r="CX2656" s="8">
        <f>0</f>
        <v>0</v>
      </c>
      <c r="CY2656" s="8">
        <f>1</f>
        <v>1</v>
      </c>
      <c r="DA2656" s="5" t="s">
        <v>274</v>
      </c>
      <c r="DB2656" s="5" t="s">
        <v>238</v>
      </c>
      <c r="DD2656" s="5" t="s">
        <v>274</v>
      </c>
      <c r="DE2656" s="8">
        <f>2302</f>
        <v>2302</v>
      </c>
      <c r="DG2656" s="5" t="s">
        <v>238</v>
      </c>
      <c r="DH2656" s="5" t="s">
        <v>238</v>
      </c>
      <c r="DI2656" s="5" t="s">
        <v>238</v>
      </c>
      <c r="DJ2656" s="5" t="s">
        <v>238</v>
      </c>
      <c r="DN2656" s="5" t="s">
        <v>238</v>
      </c>
      <c r="DO2656" s="5" t="s">
        <v>238</v>
      </c>
      <c r="DP2656" s="5" t="s">
        <v>238</v>
      </c>
      <c r="DQ2656" s="5" t="s">
        <v>238</v>
      </c>
      <c r="DT2656" s="5" t="s">
        <v>275</v>
      </c>
      <c r="DU2656" s="5" t="s">
        <v>1788</v>
      </c>
      <c r="HM2656" s="5" t="s">
        <v>264</v>
      </c>
    </row>
    <row r="2657" spans="1:221" x14ac:dyDescent="0.4">
      <c r="A2657" s="5">
        <v>4361</v>
      </c>
      <c r="B2657" s="5">
        <v>1</v>
      </c>
      <c r="C2657" s="5">
        <v>1</v>
      </c>
      <c r="D2657" s="5" t="s">
        <v>269</v>
      </c>
      <c r="E2657" s="5" t="s">
        <v>271</v>
      </c>
      <c r="F2657" s="5" t="s">
        <v>248</v>
      </c>
      <c r="G2657" s="5" t="s">
        <v>266</v>
      </c>
      <c r="H2657" s="6" t="s">
        <v>1550</v>
      </c>
      <c r="I2657" s="7">
        <f>934</f>
        <v>934</v>
      </c>
      <c r="J2657" s="5" t="s">
        <v>262</v>
      </c>
      <c r="K2657" s="8">
        <f>1</f>
        <v>1</v>
      </c>
      <c r="L2657" s="6" t="s">
        <v>242</v>
      </c>
      <c r="M2657" s="5" t="s">
        <v>267</v>
      </c>
      <c r="N2657" s="5" t="s">
        <v>265</v>
      </c>
      <c r="O2657" s="5" t="s">
        <v>238</v>
      </c>
      <c r="P2657" s="5" t="s">
        <v>238</v>
      </c>
      <c r="Q2657" s="5" t="s">
        <v>268</v>
      </c>
      <c r="R2657" s="5" t="s">
        <v>270</v>
      </c>
      <c r="S2657" s="5" t="s">
        <v>238</v>
      </c>
      <c r="V2657" s="5" t="s">
        <v>238</v>
      </c>
      <c r="X2657" s="6" t="s">
        <v>238</v>
      </c>
      <c r="AA2657" s="6" t="s">
        <v>243</v>
      </c>
      <c r="AB2657" s="5" t="s">
        <v>238</v>
      </c>
      <c r="AC2657" s="5" t="s">
        <v>244</v>
      </c>
      <c r="AD2657" s="5" t="s">
        <v>245</v>
      </c>
      <c r="AT2657" s="5" t="s">
        <v>246</v>
      </c>
      <c r="AU2657" s="5" t="s">
        <v>238</v>
      </c>
      <c r="AV2657" s="5" t="s">
        <v>247</v>
      </c>
      <c r="AW2657" s="5" t="s">
        <v>238</v>
      </c>
      <c r="AX2657" s="5" t="s">
        <v>249</v>
      </c>
      <c r="AY2657" s="5" t="s">
        <v>238</v>
      </c>
      <c r="BA2657" s="5" t="s">
        <v>238</v>
      </c>
      <c r="BC2657" s="5" t="s">
        <v>250</v>
      </c>
      <c r="BD2657" s="6" t="s">
        <v>243</v>
      </c>
      <c r="BE2657" s="5" t="s">
        <v>251</v>
      </c>
      <c r="BF2657" s="5" t="s">
        <v>252</v>
      </c>
      <c r="BG2657" s="5" t="s">
        <v>238</v>
      </c>
      <c r="BH2657" s="7">
        <f>0</f>
        <v>0</v>
      </c>
      <c r="BI2657" s="8">
        <f>0</f>
        <v>0</v>
      </c>
      <c r="BJ2657" s="5" t="s">
        <v>253</v>
      </c>
      <c r="BK2657" s="5" t="s">
        <v>254</v>
      </c>
      <c r="BY2657" s="5" t="s">
        <v>238</v>
      </c>
      <c r="BZ2657" s="5" t="s">
        <v>238</v>
      </c>
      <c r="CD2657" s="5" t="s">
        <v>273</v>
      </c>
      <c r="CE2657" s="5" t="s">
        <v>256</v>
      </c>
      <c r="CF2657" s="5" t="s">
        <v>238</v>
      </c>
      <c r="CI2657" s="6" t="s">
        <v>257</v>
      </c>
      <c r="CJ2657" s="5" t="s">
        <v>238</v>
      </c>
      <c r="CK2657" s="5" t="s">
        <v>258</v>
      </c>
      <c r="CL2657" s="5" t="s">
        <v>238</v>
      </c>
      <c r="CM2657" s="5" t="s">
        <v>238</v>
      </c>
      <c r="CN2657" s="5">
        <v>0</v>
      </c>
      <c r="CO2657" s="5" t="s">
        <v>259</v>
      </c>
      <c r="CP2657" s="5" t="s">
        <v>260</v>
      </c>
      <c r="CQ2657" s="5" t="s">
        <v>260</v>
      </c>
      <c r="CR2657" s="5" t="s">
        <v>261</v>
      </c>
      <c r="CU2657" s="8">
        <f>1</f>
        <v>1</v>
      </c>
      <c r="CV2657" s="8">
        <f>0</f>
        <v>0</v>
      </c>
      <c r="CX2657" s="8">
        <f>0</f>
        <v>0</v>
      </c>
      <c r="CY2657" s="8">
        <f>1</f>
        <v>1</v>
      </c>
      <c r="DA2657" s="5" t="s">
        <v>274</v>
      </c>
      <c r="DB2657" s="5" t="s">
        <v>238</v>
      </c>
      <c r="DD2657" s="5" t="s">
        <v>274</v>
      </c>
      <c r="DE2657" s="8">
        <f>934</f>
        <v>934</v>
      </c>
      <c r="DG2657" s="5" t="s">
        <v>238</v>
      </c>
      <c r="DH2657" s="5" t="s">
        <v>238</v>
      </c>
      <c r="DI2657" s="5" t="s">
        <v>238</v>
      </c>
      <c r="DJ2657" s="5" t="s">
        <v>238</v>
      </c>
      <c r="DN2657" s="5" t="s">
        <v>238</v>
      </c>
      <c r="DO2657" s="5" t="s">
        <v>238</v>
      </c>
      <c r="DP2657" s="5" t="s">
        <v>238</v>
      </c>
      <c r="DQ2657" s="5" t="s">
        <v>238</v>
      </c>
      <c r="DT2657" s="5" t="s">
        <v>275</v>
      </c>
      <c r="DU2657" s="5" t="s">
        <v>1551</v>
      </c>
      <c r="HM2657" s="5" t="s">
        <v>264</v>
      </c>
    </row>
    <row r="2658" spans="1:221" x14ac:dyDescent="0.4">
      <c r="A2658" s="5">
        <v>4362</v>
      </c>
      <c r="B2658" s="5">
        <v>1</v>
      </c>
      <c r="C2658" s="5">
        <v>1</v>
      </c>
      <c r="D2658" s="5" t="s">
        <v>269</v>
      </c>
      <c r="E2658" s="5" t="s">
        <v>271</v>
      </c>
      <c r="F2658" s="5" t="s">
        <v>248</v>
      </c>
      <c r="G2658" s="5" t="s">
        <v>266</v>
      </c>
      <c r="H2658" s="6" t="s">
        <v>1619</v>
      </c>
      <c r="I2658" s="7">
        <f>2879</f>
        <v>2879</v>
      </c>
      <c r="J2658" s="5" t="s">
        <v>262</v>
      </c>
      <c r="K2658" s="8">
        <f>1</f>
        <v>1</v>
      </c>
      <c r="L2658" s="6" t="s">
        <v>242</v>
      </c>
      <c r="M2658" s="5" t="s">
        <v>267</v>
      </c>
      <c r="N2658" s="5" t="s">
        <v>265</v>
      </c>
      <c r="O2658" s="5" t="s">
        <v>238</v>
      </c>
      <c r="P2658" s="5" t="s">
        <v>238</v>
      </c>
      <c r="Q2658" s="5" t="s">
        <v>268</v>
      </c>
      <c r="R2658" s="5" t="s">
        <v>270</v>
      </c>
      <c r="S2658" s="5" t="s">
        <v>238</v>
      </c>
      <c r="V2658" s="5" t="s">
        <v>238</v>
      </c>
      <c r="X2658" s="6" t="s">
        <v>238</v>
      </c>
      <c r="AA2658" s="6" t="s">
        <v>243</v>
      </c>
      <c r="AB2658" s="5" t="s">
        <v>238</v>
      </c>
      <c r="AC2658" s="5" t="s">
        <v>244</v>
      </c>
      <c r="AD2658" s="5" t="s">
        <v>245</v>
      </c>
      <c r="AT2658" s="5" t="s">
        <v>246</v>
      </c>
      <c r="AU2658" s="5" t="s">
        <v>238</v>
      </c>
      <c r="AV2658" s="5" t="s">
        <v>247</v>
      </c>
      <c r="AW2658" s="5" t="s">
        <v>238</v>
      </c>
      <c r="AX2658" s="5" t="s">
        <v>249</v>
      </c>
      <c r="AY2658" s="5" t="s">
        <v>238</v>
      </c>
      <c r="BA2658" s="5" t="s">
        <v>238</v>
      </c>
      <c r="BC2658" s="5" t="s">
        <v>250</v>
      </c>
      <c r="BD2658" s="6" t="s">
        <v>243</v>
      </c>
      <c r="BE2658" s="5" t="s">
        <v>251</v>
      </c>
      <c r="BF2658" s="5" t="s">
        <v>252</v>
      </c>
      <c r="BG2658" s="5" t="s">
        <v>238</v>
      </c>
      <c r="BH2658" s="7">
        <f>0</f>
        <v>0</v>
      </c>
      <c r="BI2658" s="8">
        <f>0</f>
        <v>0</v>
      </c>
      <c r="BJ2658" s="5" t="s">
        <v>253</v>
      </c>
      <c r="BK2658" s="5" t="s">
        <v>254</v>
      </c>
      <c r="BY2658" s="5" t="s">
        <v>238</v>
      </c>
      <c r="BZ2658" s="5" t="s">
        <v>238</v>
      </c>
      <c r="CD2658" s="5" t="s">
        <v>273</v>
      </c>
      <c r="CE2658" s="5" t="s">
        <v>256</v>
      </c>
      <c r="CF2658" s="5" t="s">
        <v>238</v>
      </c>
      <c r="CI2658" s="6" t="s">
        <v>257</v>
      </c>
      <c r="CJ2658" s="5" t="s">
        <v>238</v>
      </c>
      <c r="CK2658" s="5" t="s">
        <v>258</v>
      </c>
      <c r="CL2658" s="5" t="s">
        <v>238</v>
      </c>
      <c r="CM2658" s="5" t="s">
        <v>238</v>
      </c>
      <c r="CN2658" s="5">
        <v>0</v>
      </c>
      <c r="CO2658" s="5" t="s">
        <v>259</v>
      </c>
      <c r="CP2658" s="5" t="s">
        <v>260</v>
      </c>
      <c r="CQ2658" s="5" t="s">
        <v>260</v>
      </c>
      <c r="CR2658" s="5" t="s">
        <v>261</v>
      </c>
      <c r="CU2658" s="8">
        <f>1</f>
        <v>1</v>
      </c>
      <c r="CV2658" s="8">
        <f>0</f>
        <v>0</v>
      </c>
      <c r="CX2658" s="8">
        <f>0</f>
        <v>0</v>
      </c>
      <c r="CY2658" s="8">
        <f>1</f>
        <v>1</v>
      </c>
      <c r="DA2658" s="5" t="s">
        <v>274</v>
      </c>
      <c r="DB2658" s="5" t="s">
        <v>238</v>
      </c>
      <c r="DD2658" s="5" t="s">
        <v>274</v>
      </c>
      <c r="DE2658" s="8">
        <f>2879</f>
        <v>2879</v>
      </c>
      <c r="DG2658" s="5" t="s">
        <v>238</v>
      </c>
      <c r="DH2658" s="5" t="s">
        <v>238</v>
      </c>
      <c r="DI2658" s="5" t="s">
        <v>238</v>
      </c>
      <c r="DJ2658" s="5" t="s">
        <v>238</v>
      </c>
      <c r="DN2658" s="5" t="s">
        <v>238</v>
      </c>
      <c r="DO2658" s="5" t="s">
        <v>238</v>
      </c>
      <c r="DP2658" s="5" t="s">
        <v>238</v>
      </c>
      <c r="DQ2658" s="5" t="s">
        <v>238</v>
      </c>
      <c r="DT2658" s="5" t="s">
        <v>275</v>
      </c>
      <c r="DU2658" s="5" t="s">
        <v>1620</v>
      </c>
      <c r="HM2658" s="5" t="s">
        <v>264</v>
      </c>
    </row>
    <row r="2659" spans="1:221" x14ac:dyDescent="0.4">
      <c r="A2659" s="5">
        <v>4363</v>
      </c>
      <c r="B2659" s="5">
        <v>1</v>
      </c>
      <c r="C2659" s="5">
        <v>1</v>
      </c>
      <c r="D2659" s="5" t="s">
        <v>269</v>
      </c>
      <c r="E2659" s="5" t="s">
        <v>271</v>
      </c>
      <c r="F2659" s="5" t="s">
        <v>248</v>
      </c>
      <c r="G2659" s="5" t="s">
        <v>266</v>
      </c>
      <c r="H2659" s="6" t="s">
        <v>1737</v>
      </c>
      <c r="I2659" s="7">
        <f>279</f>
        <v>279</v>
      </c>
      <c r="J2659" s="5" t="s">
        <v>262</v>
      </c>
      <c r="K2659" s="8">
        <f>1</f>
        <v>1</v>
      </c>
      <c r="L2659" s="6" t="s">
        <v>242</v>
      </c>
      <c r="M2659" s="5" t="s">
        <v>267</v>
      </c>
      <c r="N2659" s="5" t="s">
        <v>265</v>
      </c>
      <c r="O2659" s="5" t="s">
        <v>238</v>
      </c>
      <c r="P2659" s="5" t="s">
        <v>238</v>
      </c>
      <c r="Q2659" s="5" t="s">
        <v>268</v>
      </c>
      <c r="R2659" s="5" t="s">
        <v>270</v>
      </c>
      <c r="S2659" s="5" t="s">
        <v>238</v>
      </c>
      <c r="V2659" s="5" t="s">
        <v>238</v>
      </c>
      <c r="X2659" s="6" t="s">
        <v>238</v>
      </c>
      <c r="AA2659" s="6" t="s">
        <v>243</v>
      </c>
      <c r="AB2659" s="5" t="s">
        <v>238</v>
      </c>
      <c r="AC2659" s="5" t="s">
        <v>244</v>
      </c>
      <c r="AD2659" s="5" t="s">
        <v>245</v>
      </c>
      <c r="AT2659" s="5" t="s">
        <v>246</v>
      </c>
      <c r="AU2659" s="5" t="s">
        <v>238</v>
      </c>
      <c r="AV2659" s="5" t="s">
        <v>247</v>
      </c>
      <c r="AW2659" s="5" t="s">
        <v>238</v>
      </c>
      <c r="AX2659" s="5" t="s">
        <v>249</v>
      </c>
      <c r="AY2659" s="5" t="s">
        <v>238</v>
      </c>
      <c r="BA2659" s="5" t="s">
        <v>238</v>
      </c>
      <c r="BC2659" s="5" t="s">
        <v>250</v>
      </c>
      <c r="BD2659" s="6" t="s">
        <v>243</v>
      </c>
      <c r="BE2659" s="5" t="s">
        <v>251</v>
      </c>
      <c r="BF2659" s="5" t="s">
        <v>252</v>
      </c>
      <c r="BG2659" s="5" t="s">
        <v>238</v>
      </c>
      <c r="BH2659" s="7">
        <f>0</f>
        <v>0</v>
      </c>
      <c r="BI2659" s="8">
        <f>0</f>
        <v>0</v>
      </c>
      <c r="BJ2659" s="5" t="s">
        <v>253</v>
      </c>
      <c r="BK2659" s="5" t="s">
        <v>254</v>
      </c>
      <c r="BY2659" s="5" t="s">
        <v>238</v>
      </c>
      <c r="BZ2659" s="5" t="s">
        <v>238</v>
      </c>
      <c r="CD2659" s="5" t="s">
        <v>273</v>
      </c>
      <c r="CE2659" s="5" t="s">
        <v>256</v>
      </c>
      <c r="CF2659" s="5" t="s">
        <v>238</v>
      </c>
      <c r="CI2659" s="6" t="s">
        <v>257</v>
      </c>
      <c r="CJ2659" s="5" t="s">
        <v>238</v>
      </c>
      <c r="CK2659" s="5" t="s">
        <v>258</v>
      </c>
      <c r="CL2659" s="5" t="s">
        <v>238</v>
      </c>
      <c r="CM2659" s="5" t="s">
        <v>238</v>
      </c>
      <c r="CN2659" s="5">
        <v>0</v>
      </c>
      <c r="CO2659" s="5" t="s">
        <v>259</v>
      </c>
      <c r="CP2659" s="5" t="s">
        <v>260</v>
      </c>
      <c r="CQ2659" s="5" t="s">
        <v>260</v>
      </c>
      <c r="CR2659" s="5" t="s">
        <v>261</v>
      </c>
      <c r="CU2659" s="8">
        <f>1</f>
        <v>1</v>
      </c>
      <c r="CV2659" s="8">
        <f>0</f>
        <v>0</v>
      </c>
      <c r="CX2659" s="8">
        <f>0</f>
        <v>0</v>
      </c>
      <c r="CY2659" s="8">
        <f>1</f>
        <v>1</v>
      </c>
      <c r="DA2659" s="5" t="s">
        <v>274</v>
      </c>
      <c r="DB2659" s="5" t="s">
        <v>238</v>
      </c>
      <c r="DD2659" s="5" t="s">
        <v>274</v>
      </c>
      <c r="DE2659" s="8">
        <f>279</f>
        <v>279</v>
      </c>
      <c r="DG2659" s="5" t="s">
        <v>238</v>
      </c>
      <c r="DH2659" s="5" t="s">
        <v>238</v>
      </c>
      <c r="DI2659" s="5" t="s">
        <v>238</v>
      </c>
      <c r="DJ2659" s="5" t="s">
        <v>238</v>
      </c>
      <c r="DN2659" s="5" t="s">
        <v>238</v>
      </c>
      <c r="DO2659" s="5" t="s">
        <v>238</v>
      </c>
      <c r="DP2659" s="5" t="s">
        <v>238</v>
      </c>
      <c r="DQ2659" s="5" t="s">
        <v>238</v>
      </c>
      <c r="DT2659" s="5" t="s">
        <v>275</v>
      </c>
      <c r="DU2659" s="5" t="s">
        <v>1738</v>
      </c>
      <c r="HM2659" s="5" t="s">
        <v>264</v>
      </c>
    </row>
    <row r="2660" spans="1:221" x14ac:dyDescent="0.4">
      <c r="A2660" s="5">
        <v>4364</v>
      </c>
      <c r="B2660" s="5">
        <v>1</v>
      </c>
      <c r="C2660" s="5">
        <v>1</v>
      </c>
      <c r="D2660" s="5" t="s">
        <v>269</v>
      </c>
      <c r="E2660" s="5" t="s">
        <v>271</v>
      </c>
      <c r="F2660" s="5" t="s">
        <v>248</v>
      </c>
      <c r="G2660" s="5" t="s">
        <v>266</v>
      </c>
      <c r="H2660" s="6" t="s">
        <v>1783</v>
      </c>
      <c r="I2660" s="7">
        <f>985</f>
        <v>985</v>
      </c>
      <c r="J2660" s="5" t="s">
        <v>262</v>
      </c>
      <c r="K2660" s="8">
        <f>1</f>
        <v>1</v>
      </c>
      <c r="L2660" s="6" t="s">
        <v>242</v>
      </c>
      <c r="M2660" s="5" t="s">
        <v>267</v>
      </c>
      <c r="N2660" s="5" t="s">
        <v>265</v>
      </c>
      <c r="O2660" s="5" t="s">
        <v>238</v>
      </c>
      <c r="P2660" s="5" t="s">
        <v>238</v>
      </c>
      <c r="Q2660" s="5" t="s">
        <v>268</v>
      </c>
      <c r="R2660" s="5" t="s">
        <v>270</v>
      </c>
      <c r="S2660" s="5" t="s">
        <v>238</v>
      </c>
      <c r="V2660" s="5" t="s">
        <v>238</v>
      </c>
      <c r="X2660" s="6" t="s">
        <v>238</v>
      </c>
      <c r="AA2660" s="6" t="s">
        <v>243</v>
      </c>
      <c r="AB2660" s="5" t="s">
        <v>238</v>
      </c>
      <c r="AC2660" s="5" t="s">
        <v>244</v>
      </c>
      <c r="AD2660" s="5" t="s">
        <v>245</v>
      </c>
      <c r="AT2660" s="5" t="s">
        <v>246</v>
      </c>
      <c r="AU2660" s="5" t="s">
        <v>238</v>
      </c>
      <c r="AV2660" s="5" t="s">
        <v>247</v>
      </c>
      <c r="AW2660" s="5" t="s">
        <v>238</v>
      </c>
      <c r="AX2660" s="5" t="s">
        <v>249</v>
      </c>
      <c r="AY2660" s="5" t="s">
        <v>238</v>
      </c>
      <c r="BA2660" s="5" t="s">
        <v>238</v>
      </c>
      <c r="BC2660" s="5" t="s">
        <v>250</v>
      </c>
      <c r="BD2660" s="6" t="s">
        <v>243</v>
      </c>
      <c r="BE2660" s="5" t="s">
        <v>251</v>
      </c>
      <c r="BF2660" s="5" t="s">
        <v>252</v>
      </c>
      <c r="BG2660" s="5" t="s">
        <v>238</v>
      </c>
      <c r="BH2660" s="7">
        <f>0</f>
        <v>0</v>
      </c>
      <c r="BI2660" s="8">
        <f>0</f>
        <v>0</v>
      </c>
      <c r="BJ2660" s="5" t="s">
        <v>253</v>
      </c>
      <c r="BK2660" s="5" t="s">
        <v>254</v>
      </c>
      <c r="BY2660" s="5" t="s">
        <v>238</v>
      </c>
      <c r="BZ2660" s="5" t="s">
        <v>238</v>
      </c>
      <c r="CD2660" s="5" t="s">
        <v>273</v>
      </c>
      <c r="CE2660" s="5" t="s">
        <v>256</v>
      </c>
      <c r="CF2660" s="5" t="s">
        <v>238</v>
      </c>
      <c r="CI2660" s="6" t="s">
        <v>257</v>
      </c>
      <c r="CJ2660" s="5" t="s">
        <v>238</v>
      </c>
      <c r="CK2660" s="5" t="s">
        <v>258</v>
      </c>
      <c r="CL2660" s="5" t="s">
        <v>238</v>
      </c>
      <c r="CM2660" s="5" t="s">
        <v>238</v>
      </c>
      <c r="CN2660" s="5">
        <v>0</v>
      </c>
      <c r="CO2660" s="5" t="s">
        <v>259</v>
      </c>
      <c r="CP2660" s="5" t="s">
        <v>260</v>
      </c>
      <c r="CQ2660" s="5" t="s">
        <v>260</v>
      </c>
      <c r="CR2660" s="5" t="s">
        <v>261</v>
      </c>
      <c r="CU2660" s="8">
        <f>1</f>
        <v>1</v>
      </c>
      <c r="CV2660" s="8">
        <f>0</f>
        <v>0</v>
      </c>
      <c r="CX2660" s="8">
        <f>0</f>
        <v>0</v>
      </c>
      <c r="CY2660" s="8">
        <f>1</f>
        <v>1</v>
      </c>
      <c r="DA2660" s="5" t="s">
        <v>274</v>
      </c>
      <c r="DB2660" s="5" t="s">
        <v>238</v>
      </c>
      <c r="DD2660" s="5" t="s">
        <v>274</v>
      </c>
      <c r="DE2660" s="8">
        <f>985</f>
        <v>985</v>
      </c>
      <c r="DG2660" s="5" t="s">
        <v>238</v>
      </c>
      <c r="DH2660" s="5" t="s">
        <v>238</v>
      </c>
      <c r="DI2660" s="5" t="s">
        <v>238</v>
      </c>
      <c r="DJ2660" s="5" t="s">
        <v>238</v>
      </c>
      <c r="DN2660" s="5" t="s">
        <v>238</v>
      </c>
      <c r="DO2660" s="5" t="s">
        <v>238</v>
      </c>
      <c r="DP2660" s="5" t="s">
        <v>238</v>
      </c>
      <c r="DQ2660" s="5" t="s">
        <v>238</v>
      </c>
      <c r="DT2660" s="5" t="s">
        <v>275</v>
      </c>
      <c r="DU2660" s="5" t="s">
        <v>1784</v>
      </c>
      <c r="HM2660" s="5" t="s">
        <v>264</v>
      </c>
    </row>
    <row r="2661" spans="1:221" x14ac:dyDescent="0.4">
      <c r="A2661" s="5">
        <v>4365</v>
      </c>
      <c r="B2661" s="5">
        <v>1</v>
      </c>
      <c r="C2661" s="5">
        <v>1</v>
      </c>
      <c r="D2661" s="5" t="s">
        <v>269</v>
      </c>
      <c r="E2661" s="5" t="s">
        <v>271</v>
      </c>
      <c r="F2661" s="5" t="s">
        <v>248</v>
      </c>
      <c r="G2661" s="5" t="s">
        <v>266</v>
      </c>
      <c r="H2661" s="6" t="s">
        <v>1791</v>
      </c>
      <c r="I2661" s="7">
        <f>1024</f>
        <v>1024</v>
      </c>
      <c r="J2661" s="5" t="s">
        <v>262</v>
      </c>
      <c r="K2661" s="8">
        <f>1</f>
        <v>1</v>
      </c>
      <c r="L2661" s="6" t="s">
        <v>242</v>
      </c>
      <c r="M2661" s="5" t="s">
        <v>267</v>
      </c>
      <c r="N2661" s="5" t="s">
        <v>265</v>
      </c>
      <c r="O2661" s="5" t="s">
        <v>238</v>
      </c>
      <c r="P2661" s="5" t="s">
        <v>238</v>
      </c>
      <c r="Q2661" s="5" t="s">
        <v>268</v>
      </c>
      <c r="R2661" s="5" t="s">
        <v>270</v>
      </c>
      <c r="S2661" s="5" t="s">
        <v>238</v>
      </c>
      <c r="V2661" s="5" t="s">
        <v>238</v>
      </c>
      <c r="X2661" s="6" t="s">
        <v>238</v>
      </c>
      <c r="AA2661" s="6" t="s">
        <v>243</v>
      </c>
      <c r="AB2661" s="5" t="s">
        <v>238</v>
      </c>
      <c r="AC2661" s="5" t="s">
        <v>244</v>
      </c>
      <c r="AD2661" s="5" t="s">
        <v>245</v>
      </c>
      <c r="AT2661" s="5" t="s">
        <v>246</v>
      </c>
      <c r="AU2661" s="5" t="s">
        <v>238</v>
      </c>
      <c r="AV2661" s="5" t="s">
        <v>247</v>
      </c>
      <c r="AW2661" s="5" t="s">
        <v>238</v>
      </c>
      <c r="AX2661" s="5" t="s">
        <v>249</v>
      </c>
      <c r="AY2661" s="5" t="s">
        <v>238</v>
      </c>
      <c r="BA2661" s="5" t="s">
        <v>238</v>
      </c>
      <c r="BC2661" s="5" t="s">
        <v>250</v>
      </c>
      <c r="BD2661" s="6" t="s">
        <v>243</v>
      </c>
      <c r="BE2661" s="5" t="s">
        <v>251</v>
      </c>
      <c r="BF2661" s="5" t="s">
        <v>252</v>
      </c>
      <c r="BG2661" s="5" t="s">
        <v>238</v>
      </c>
      <c r="BH2661" s="7">
        <f>0</f>
        <v>0</v>
      </c>
      <c r="BI2661" s="8">
        <f>0</f>
        <v>0</v>
      </c>
      <c r="BJ2661" s="5" t="s">
        <v>253</v>
      </c>
      <c r="BK2661" s="5" t="s">
        <v>254</v>
      </c>
      <c r="BY2661" s="5" t="s">
        <v>238</v>
      </c>
      <c r="BZ2661" s="5" t="s">
        <v>238</v>
      </c>
      <c r="CD2661" s="5" t="s">
        <v>273</v>
      </c>
      <c r="CE2661" s="5" t="s">
        <v>256</v>
      </c>
      <c r="CF2661" s="5" t="s">
        <v>238</v>
      </c>
      <c r="CI2661" s="6" t="s">
        <v>257</v>
      </c>
      <c r="CJ2661" s="5" t="s">
        <v>238</v>
      </c>
      <c r="CK2661" s="5" t="s">
        <v>258</v>
      </c>
      <c r="CL2661" s="5" t="s">
        <v>238</v>
      </c>
      <c r="CM2661" s="5" t="s">
        <v>238</v>
      </c>
      <c r="CN2661" s="5">
        <v>0</v>
      </c>
      <c r="CO2661" s="5" t="s">
        <v>259</v>
      </c>
      <c r="CP2661" s="5" t="s">
        <v>260</v>
      </c>
      <c r="CQ2661" s="5" t="s">
        <v>260</v>
      </c>
      <c r="CR2661" s="5" t="s">
        <v>261</v>
      </c>
      <c r="CU2661" s="8">
        <f>1</f>
        <v>1</v>
      </c>
      <c r="CV2661" s="8">
        <f>0</f>
        <v>0</v>
      </c>
      <c r="CX2661" s="8">
        <f>0</f>
        <v>0</v>
      </c>
      <c r="CY2661" s="8">
        <f>1</f>
        <v>1</v>
      </c>
      <c r="DA2661" s="5" t="s">
        <v>274</v>
      </c>
      <c r="DB2661" s="5" t="s">
        <v>238</v>
      </c>
      <c r="DD2661" s="5" t="s">
        <v>274</v>
      </c>
      <c r="DE2661" s="8">
        <f>1024</f>
        <v>1024</v>
      </c>
      <c r="DG2661" s="5" t="s">
        <v>238</v>
      </c>
      <c r="DH2661" s="5" t="s">
        <v>238</v>
      </c>
      <c r="DI2661" s="5" t="s">
        <v>238</v>
      </c>
      <c r="DJ2661" s="5" t="s">
        <v>238</v>
      </c>
      <c r="DN2661" s="5" t="s">
        <v>238</v>
      </c>
      <c r="DO2661" s="5" t="s">
        <v>238</v>
      </c>
      <c r="DP2661" s="5" t="s">
        <v>238</v>
      </c>
      <c r="DQ2661" s="5" t="s">
        <v>238</v>
      </c>
      <c r="DT2661" s="5" t="s">
        <v>275</v>
      </c>
      <c r="DU2661" s="5" t="s">
        <v>1792</v>
      </c>
      <c r="HM2661" s="5" t="s">
        <v>264</v>
      </c>
    </row>
    <row r="2662" spans="1:221" x14ac:dyDescent="0.4">
      <c r="A2662" s="5">
        <v>4366</v>
      </c>
      <c r="B2662" s="5">
        <v>1</v>
      </c>
      <c r="C2662" s="5">
        <v>1</v>
      </c>
      <c r="D2662" s="5" t="s">
        <v>269</v>
      </c>
      <c r="E2662" s="5" t="s">
        <v>271</v>
      </c>
      <c r="F2662" s="5" t="s">
        <v>248</v>
      </c>
      <c r="G2662" s="5" t="s">
        <v>266</v>
      </c>
      <c r="H2662" s="6" t="s">
        <v>1821</v>
      </c>
      <c r="I2662" s="7">
        <f>1110</f>
        <v>1110</v>
      </c>
      <c r="J2662" s="5" t="s">
        <v>262</v>
      </c>
      <c r="K2662" s="8">
        <f>1</f>
        <v>1</v>
      </c>
      <c r="L2662" s="6" t="s">
        <v>242</v>
      </c>
      <c r="M2662" s="5" t="s">
        <v>267</v>
      </c>
      <c r="N2662" s="5" t="s">
        <v>265</v>
      </c>
      <c r="O2662" s="5" t="s">
        <v>238</v>
      </c>
      <c r="P2662" s="5" t="s">
        <v>238</v>
      </c>
      <c r="Q2662" s="5" t="s">
        <v>268</v>
      </c>
      <c r="R2662" s="5" t="s">
        <v>270</v>
      </c>
      <c r="S2662" s="5" t="s">
        <v>238</v>
      </c>
      <c r="V2662" s="5" t="s">
        <v>238</v>
      </c>
      <c r="X2662" s="6" t="s">
        <v>238</v>
      </c>
      <c r="AA2662" s="6" t="s">
        <v>243</v>
      </c>
      <c r="AB2662" s="5" t="s">
        <v>238</v>
      </c>
      <c r="AC2662" s="5" t="s">
        <v>244</v>
      </c>
      <c r="AD2662" s="5" t="s">
        <v>245</v>
      </c>
      <c r="AT2662" s="5" t="s">
        <v>246</v>
      </c>
      <c r="AU2662" s="5" t="s">
        <v>238</v>
      </c>
      <c r="AV2662" s="5" t="s">
        <v>247</v>
      </c>
      <c r="AW2662" s="5" t="s">
        <v>238</v>
      </c>
      <c r="AX2662" s="5" t="s">
        <v>249</v>
      </c>
      <c r="AY2662" s="5" t="s">
        <v>238</v>
      </c>
      <c r="BA2662" s="5" t="s">
        <v>238</v>
      </c>
      <c r="BC2662" s="5" t="s">
        <v>250</v>
      </c>
      <c r="BD2662" s="6" t="s">
        <v>243</v>
      </c>
      <c r="BE2662" s="5" t="s">
        <v>251</v>
      </c>
      <c r="BF2662" s="5" t="s">
        <v>252</v>
      </c>
      <c r="BG2662" s="5" t="s">
        <v>238</v>
      </c>
      <c r="BH2662" s="7">
        <f>0</f>
        <v>0</v>
      </c>
      <c r="BI2662" s="8">
        <f>0</f>
        <v>0</v>
      </c>
      <c r="BJ2662" s="5" t="s">
        <v>253</v>
      </c>
      <c r="BK2662" s="5" t="s">
        <v>254</v>
      </c>
      <c r="BY2662" s="5" t="s">
        <v>238</v>
      </c>
      <c r="BZ2662" s="5" t="s">
        <v>238</v>
      </c>
      <c r="CD2662" s="5" t="s">
        <v>273</v>
      </c>
      <c r="CE2662" s="5" t="s">
        <v>256</v>
      </c>
      <c r="CF2662" s="5" t="s">
        <v>238</v>
      </c>
      <c r="CI2662" s="6" t="s">
        <v>257</v>
      </c>
      <c r="CJ2662" s="5" t="s">
        <v>238</v>
      </c>
      <c r="CK2662" s="5" t="s">
        <v>258</v>
      </c>
      <c r="CL2662" s="5" t="s">
        <v>238</v>
      </c>
      <c r="CM2662" s="5" t="s">
        <v>238</v>
      </c>
      <c r="CN2662" s="5">
        <v>0</v>
      </c>
      <c r="CO2662" s="5" t="s">
        <v>259</v>
      </c>
      <c r="CP2662" s="5" t="s">
        <v>260</v>
      </c>
      <c r="CQ2662" s="5" t="s">
        <v>260</v>
      </c>
      <c r="CR2662" s="5" t="s">
        <v>261</v>
      </c>
      <c r="CU2662" s="8">
        <f>1</f>
        <v>1</v>
      </c>
      <c r="CV2662" s="8">
        <f>0</f>
        <v>0</v>
      </c>
      <c r="CX2662" s="8">
        <f>0</f>
        <v>0</v>
      </c>
      <c r="CY2662" s="8">
        <f>1</f>
        <v>1</v>
      </c>
      <c r="DA2662" s="5" t="s">
        <v>274</v>
      </c>
      <c r="DB2662" s="5" t="s">
        <v>238</v>
      </c>
      <c r="DD2662" s="5" t="s">
        <v>274</v>
      </c>
      <c r="DE2662" s="8">
        <f>1110</f>
        <v>1110</v>
      </c>
      <c r="DG2662" s="5" t="s">
        <v>238</v>
      </c>
      <c r="DH2662" s="5" t="s">
        <v>238</v>
      </c>
      <c r="DI2662" s="5" t="s">
        <v>238</v>
      </c>
      <c r="DJ2662" s="5" t="s">
        <v>238</v>
      </c>
      <c r="DN2662" s="5" t="s">
        <v>238</v>
      </c>
      <c r="DO2662" s="5" t="s">
        <v>238</v>
      </c>
      <c r="DP2662" s="5" t="s">
        <v>238</v>
      </c>
      <c r="DQ2662" s="5" t="s">
        <v>238</v>
      </c>
      <c r="DT2662" s="5" t="s">
        <v>275</v>
      </c>
      <c r="DU2662" s="5" t="s">
        <v>1822</v>
      </c>
      <c r="HM2662" s="5" t="s">
        <v>264</v>
      </c>
    </row>
    <row r="2663" spans="1:221" x14ac:dyDescent="0.4">
      <c r="A2663" s="5">
        <v>4367</v>
      </c>
      <c r="B2663" s="5">
        <v>1</v>
      </c>
      <c r="C2663" s="5">
        <v>1</v>
      </c>
      <c r="D2663" s="5" t="s">
        <v>269</v>
      </c>
      <c r="E2663" s="5" t="s">
        <v>271</v>
      </c>
      <c r="F2663" s="5" t="s">
        <v>248</v>
      </c>
      <c r="G2663" s="5" t="s">
        <v>266</v>
      </c>
      <c r="H2663" s="6" t="s">
        <v>1857</v>
      </c>
      <c r="I2663" s="7">
        <f>1205</f>
        <v>1205</v>
      </c>
      <c r="J2663" s="5" t="s">
        <v>262</v>
      </c>
      <c r="K2663" s="8">
        <f>1</f>
        <v>1</v>
      </c>
      <c r="L2663" s="6" t="s">
        <v>242</v>
      </c>
      <c r="M2663" s="5" t="s">
        <v>267</v>
      </c>
      <c r="N2663" s="5" t="s">
        <v>265</v>
      </c>
      <c r="O2663" s="5" t="s">
        <v>238</v>
      </c>
      <c r="P2663" s="5" t="s">
        <v>238</v>
      </c>
      <c r="Q2663" s="5" t="s">
        <v>268</v>
      </c>
      <c r="R2663" s="5" t="s">
        <v>270</v>
      </c>
      <c r="S2663" s="5" t="s">
        <v>238</v>
      </c>
      <c r="V2663" s="5" t="s">
        <v>238</v>
      </c>
      <c r="X2663" s="6" t="s">
        <v>238</v>
      </c>
      <c r="AA2663" s="6" t="s">
        <v>243</v>
      </c>
      <c r="AB2663" s="5" t="s">
        <v>238</v>
      </c>
      <c r="AC2663" s="5" t="s">
        <v>244</v>
      </c>
      <c r="AD2663" s="5" t="s">
        <v>245</v>
      </c>
      <c r="AT2663" s="5" t="s">
        <v>246</v>
      </c>
      <c r="AU2663" s="5" t="s">
        <v>238</v>
      </c>
      <c r="AV2663" s="5" t="s">
        <v>247</v>
      </c>
      <c r="AW2663" s="5" t="s">
        <v>238</v>
      </c>
      <c r="AX2663" s="5" t="s">
        <v>249</v>
      </c>
      <c r="AY2663" s="5" t="s">
        <v>238</v>
      </c>
      <c r="BA2663" s="5" t="s">
        <v>238</v>
      </c>
      <c r="BC2663" s="5" t="s">
        <v>250</v>
      </c>
      <c r="BD2663" s="6" t="s">
        <v>243</v>
      </c>
      <c r="BE2663" s="5" t="s">
        <v>251</v>
      </c>
      <c r="BF2663" s="5" t="s">
        <v>252</v>
      </c>
      <c r="BG2663" s="5" t="s">
        <v>238</v>
      </c>
      <c r="BH2663" s="7">
        <f>0</f>
        <v>0</v>
      </c>
      <c r="BI2663" s="8">
        <f>0</f>
        <v>0</v>
      </c>
      <c r="BJ2663" s="5" t="s">
        <v>253</v>
      </c>
      <c r="BK2663" s="5" t="s">
        <v>254</v>
      </c>
      <c r="BY2663" s="5" t="s">
        <v>238</v>
      </c>
      <c r="BZ2663" s="5" t="s">
        <v>238</v>
      </c>
      <c r="CD2663" s="5" t="s">
        <v>273</v>
      </c>
      <c r="CE2663" s="5" t="s">
        <v>256</v>
      </c>
      <c r="CF2663" s="5" t="s">
        <v>238</v>
      </c>
      <c r="CI2663" s="6" t="s">
        <v>257</v>
      </c>
      <c r="CJ2663" s="5" t="s">
        <v>238</v>
      </c>
      <c r="CK2663" s="5" t="s">
        <v>258</v>
      </c>
      <c r="CL2663" s="5" t="s">
        <v>238</v>
      </c>
      <c r="CM2663" s="5" t="s">
        <v>238</v>
      </c>
      <c r="CN2663" s="5">
        <v>0</v>
      </c>
      <c r="CO2663" s="5" t="s">
        <v>259</v>
      </c>
      <c r="CP2663" s="5" t="s">
        <v>260</v>
      </c>
      <c r="CQ2663" s="5" t="s">
        <v>260</v>
      </c>
      <c r="CR2663" s="5" t="s">
        <v>261</v>
      </c>
      <c r="CU2663" s="8">
        <f>1</f>
        <v>1</v>
      </c>
      <c r="CV2663" s="8">
        <f>0</f>
        <v>0</v>
      </c>
      <c r="CX2663" s="8">
        <f>0</f>
        <v>0</v>
      </c>
      <c r="CY2663" s="8">
        <f>1</f>
        <v>1</v>
      </c>
      <c r="DA2663" s="5" t="s">
        <v>274</v>
      </c>
      <c r="DB2663" s="5" t="s">
        <v>238</v>
      </c>
      <c r="DD2663" s="5" t="s">
        <v>274</v>
      </c>
      <c r="DE2663" s="8">
        <f>1205</f>
        <v>1205</v>
      </c>
      <c r="DG2663" s="5" t="s">
        <v>238</v>
      </c>
      <c r="DH2663" s="5" t="s">
        <v>238</v>
      </c>
      <c r="DI2663" s="5" t="s">
        <v>238</v>
      </c>
      <c r="DJ2663" s="5" t="s">
        <v>238</v>
      </c>
      <c r="DN2663" s="5" t="s">
        <v>238</v>
      </c>
      <c r="DO2663" s="5" t="s">
        <v>238</v>
      </c>
      <c r="DP2663" s="5" t="s">
        <v>238</v>
      </c>
      <c r="DQ2663" s="5" t="s">
        <v>238</v>
      </c>
      <c r="DT2663" s="5" t="s">
        <v>275</v>
      </c>
      <c r="DU2663" s="5" t="s">
        <v>1858</v>
      </c>
      <c r="HM2663" s="5" t="s">
        <v>264</v>
      </c>
    </row>
    <row r="2664" spans="1:221" x14ac:dyDescent="0.4">
      <c r="A2664" s="5">
        <v>4368</v>
      </c>
      <c r="B2664" s="5">
        <v>1</v>
      </c>
      <c r="C2664" s="5">
        <v>1</v>
      </c>
      <c r="D2664" s="5" t="s">
        <v>269</v>
      </c>
      <c r="E2664" s="5" t="s">
        <v>271</v>
      </c>
      <c r="F2664" s="5" t="s">
        <v>248</v>
      </c>
      <c r="G2664" s="5" t="s">
        <v>266</v>
      </c>
      <c r="H2664" s="6" t="s">
        <v>1775</v>
      </c>
      <c r="I2664" s="7">
        <f>2598</f>
        <v>2598</v>
      </c>
      <c r="J2664" s="5" t="s">
        <v>262</v>
      </c>
      <c r="K2664" s="8">
        <f>1</f>
        <v>1</v>
      </c>
      <c r="L2664" s="6" t="s">
        <v>242</v>
      </c>
      <c r="M2664" s="5" t="s">
        <v>267</v>
      </c>
      <c r="N2664" s="5" t="s">
        <v>265</v>
      </c>
      <c r="O2664" s="5" t="s">
        <v>238</v>
      </c>
      <c r="P2664" s="5" t="s">
        <v>238</v>
      </c>
      <c r="Q2664" s="5" t="s">
        <v>268</v>
      </c>
      <c r="R2664" s="5" t="s">
        <v>270</v>
      </c>
      <c r="S2664" s="5" t="s">
        <v>238</v>
      </c>
      <c r="V2664" s="5" t="s">
        <v>238</v>
      </c>
      <c r="X2664" s="6" t="s">
        <v>238</v>
      </c>
      <c r="AA2664" s="6" t="s">
        <v>243</v>
      </c>
      <c r="AB2664" s="5" t="s">
        <v>238</v>
      </c>
      <c r="AC2664" s="5" t="s">
        <v>244</v>
      </c>
      <c r="AD2664" s="5" t="s">
        <v>245</v>
      </c>
      <c r="AT2664" s="5" t="s">
        <v>246</v>
      </c>
      <c r="AU2664" s="5" t="s">
        <v>238</v>
      </c>
      <c r="AV2664" s="5" t="s">
        <v>247</v>
      </c>
      <c r="AW2664" s="5" t="s">
        <v>238</v>
      </c>
      <c r="AX2664" s="5" t="s">
        <v>249</v>
      </c>
      <c r="AY2664" s="5" t="s">
        <v>238</v>
      </c>
      <c r="BA2664" s="5" t="s">
        <v>238</v>
      </c>
      <c r="BC2664" s="5" t="s">
        <v>250</v>
      </c>
      <c r="BD2664" s="6" t="s">
        <v>243</v>
      </c>
      <c r="BE2664" s="5" t="s">
        <v>251</v>
      </c>
      <c r="BF2664" s="5" t="s">
        <v>252</v>
      </c>
      <c r="BG2664" s="5" t="s">
        <v>238</v>
      </c>
      <c r="BH2664" s="7">
        <f>0</f>
        <v>0</v>
      </c>
      <c r="BI2664" s="8">
        <f>0</f>
        <v>0</v>
      </c>
      <c r="BJ2664" s="5" t="s">
        <v>253</v>
      </c>
      <c r="BK2664" s="5" t="s">
        <v>254</v>
      </c>
      <c r="BY2664" s="5" t="s">
        <v>238</v>
      </c>
      <c r="BZ2664" s="5" t="s">
        <v>238</v>
      </c>
      <c r="CD2664" s="5" t="s">
        <v>273</v>
      </c>
      <c r="CE2664" s="5" t="s">
        <v>256</v>
      </c>
      <c r="CF2664" s="5" t="s">
        <v>238</v>
      </c>
      <c r="CI2664" s="6" t="s">
        <v>257</v>
      </c>
      <c r="CJ2664" s="5" t="s">
        <v>238</v>
      </c>
      <c r="CK2664" s="5" t="s">
        <v>258</v>
      </c>
      <c r="CL2664" s="5" t="s">
        <v>238</v>
      </c>
      <c r="CM2664" s="5" t="s">
        <v>238</v>
      </c>
      <c r="CN2664" s="5">
        <v>0</v>
      </c>
      <c r="CO2664" s="5" t="s">
        <v>259</v>
      </c>
      <c r="CP2664" s="5" t="s">
        <v>260</v>
      </c>
      <c r="CQ2664" s="5" t="s">
        <v>260</v>
      </c>
      <c r="CR2664" s="5" t="s">
        <v>261</v>
      </c>
      <c r="CU2664" s="8">
        <f>1</f>
        <v>1</v>
      </c>
      <c r="CV2664" s="8">
        <f>0</f>
        <v>0</v>
      </c>
      <c r="CX2664" s="8">
        <f>0</f>
        <v>0</v>
      </c>
      <c r="CY2664" s="8">
        <f>1</f>
        <v>1</v>
      </c>
      <c r="DA2664" s="5" t="s">
        <v>274</v>
      </c>
      <c r="DB2664" s="5" t="s">
        <v>238</v>
      </c>
      <c r="DD2664" s="5" t="s">
        <v>274</v>
      </c>
      <c r="DE2664" s="8">
        <f>2598</f>
        <v>2598</v>
      </c>
      <c r="DG2664" s="5" t="s">
        <v>238</v>
      </c>
      <c r="DH2664" s="5" t="s">
        <v>238</v>
      </c>
      <c r="DI2664" s="5" t="s">
        <v>238</v>
      </c>
      <c r="DJ2664" s="5" t="s">
        <v>238</v>
      </c>
      <c r="DN2664" s="5" t="s">
        <v>238</v>
      </c>
      <c r="DO2664" s="5" t="s">
        <v>238</v>
      </c>
      <c r="DP2664" s="5" t="s">
        <v>238</v>
      </c>
      <c r="DQ2664" s="5" t="s">
        <v>238</v>
      </c>
      <c r="DT2664" s="5" t="s">
        <v>275</v>
      </c>
      <c r="DU2664" s="5" t="s">
        <v>1776</v>
      </c>
      <c r="HM2664" s="5" t="s">
        <v>264</v>
      </c>
    </row>
    <row r="2665" spans="1:221" x14ac:dyDescent="0.4">
      <c r="A2665" s="5">
        <v>4369</v>
      </c>
      <c r="B2665" s="5">
        <v>1</v>
      </c>
      <c r="C2665" s="5">
        <v>1</v>
      </c>
      <c r="D2665" s="5" t="s">
        <v>269</v>
      </c>
      <c r="E2665" s="5" t="s">
        <v>271</v>
      </c>
      <c r="F2665" s="5" t="s">
        <v>248</v>
      </c>
      <c r="G2665" s="5" t="s">
        <v>266</v>
      </c>
      <c r="H2665" s="6" t="s">
        <v>1931</v>
      </c>
      <c r="I2665" s="7">
        <f>249</f>
        <v>249</v>
      </c>
      <c r="J2665" s="5" t="s">
        <v>262</v>
      </c>
      <c r="K2665" s="8">
        <f>1</f>
        <v>1</v>
      </c>
      <c r="L2665" s="6" t="s">
        <v>242</v>
      </c>
      <c r="M2665" s="5" t="s">
        <v>267</v>
      </c>
      <c r="N2665" s="5" t="s">
        <v>265</v>
      </c>
      <c r="O2665" s="5" t="s">
        <v>238</v>
      </c>
      <c r="P2665" s="5" t="s">
        <v>238</v>
      </c>
      <c r="Q2665" s="5" t="s">
        <v>268</v>
      </c>
      <c r="R2665" s="5" t="s">
        <v>270</v>
      </c>
      <c r="S2665" s="5" t="s">
        <v>238</v>
      </c>
      <c r="V2665" s="5" t="s">
        <v>238</v>
      </c>
      <c r="X2665" s="6" t="s">
        <v>238</v>
      </c>
      <c r="AA2665" s="6" t="s">
        <v>243</v>
      </c>
      <c r="AB2665" s="5" t="s">
        <v>238</v>
      </c>
      <c r="AC2665" s="5" t="s">
        <v>244</v>
      </c>
      <c r="AD2665" s="5" t="s">
        <v>245</v>
      </c>
      <c r="AT2665" s="5" t="s">
        <v>246</v>
      </c>
      <c r="AU2665" s="5" t="s">
        <v>238</v>
      </c>
      <c r="AV2665" s="5" t="s">
        <v>247</v>
      </c>
      <c r="AW2665" s="5" t="s">
        <v>238</v>
      </c>
      <c r="AX2665" s="5" t="s">
        <v>249</v>
      </c>
      <c r="AY2665" s="5" t="s">
        <v>238</v>
      </c>
      <c r="BA2665" s="5" t="s">
        <v>238</v>
      </c>
      <c r="BC2665" s="5" t="s">
        <v>250</v>
      </c>
      <c r="BD2665" s="6" t="s">
        <v>243</v>
      </c>
      <c r="BE2665" s="5" t="s">
        <v>251</v>
      </c>
      <c r="BF2665" s="5" t="s">
        <v>252</v>
      </c>
      <c r="BG2665" s="5" t="s">
        <v>238</v>
      </c>
      <c r="BH2665" s="7">
        <f>0</f>
        <v>0</v>
      </c>
      <c r="BI2665" s="8">
        <f>0</f>
        <v>0</v>
      </c>
      <c r="BJ2665" s="5" t="s">
        <v>253</v>
      </c>
      <c r="BK2665" s="5" t="s">
        <v>254</v>
      </c>
      <c r="BY2665" s="5" t="s">
        <v>238</v>
      </c>
      <c r="BZ2665" s="5" t="s">
        <v>238</v>
      </c>
      <c r="CD2665" s="5" t="s">
        <v>273</v>
      </c>
      <c r="CE2665" s="5" t="s">
        <v>256</v>
      </c>
      <c r="CF2665" s="5" t="s">
        <v>238</v>
      </c>
      <c r="CI2665" s="6" t="s">
        <v>257</v>
      </c>
      <c r="CJ2665" s="5" t="s">
        <v>238</v>
      </c>
      <c r="CK2665" s="5" t="s">
        <v>258</v>
      </c>
      <c r="CL2665" s="5" t="s">
        <v>238</v>
      </c>
      <c r="CM2665" s="5" t="s">
        <v>238</v>
      </c>
      <c r="CN2665" s="5">
        <v>0</v>
      </c>
      <c r="CO2665" s="5" t="s">
        <v>259</v>
      </c>
      <c r="CP2665" s="5" t="s">
        <v>260</v>
      </c>
      <c r="CQ2665" s="5" t="s">
        <v>260</v>
      </c>
      <c r="CR2665" s="5" t="s">
        <v>261</v>
      </c>
      <c r="CU2665" s="8">
        <f>1</f>
        <v>1</v>
      </c>
      <c r="CV2665" s="8">
        <f>0</f>
        <v>0</v>
      </c>
      <c r="CX2665" s="8">
        <f>0</f>
        <v>0</v>
      </c>
      <c r="CY2665" s="8">
        <f>1</f>
        <v>1</v>
      </c>
      <c r="DA2665" s="5" t="s">
        <v>274</v>
      </c>
      <c r="DB2665" s="5" t="s">
        <v>238</v>
      </c>
      <c r="DD2665" s="5" t="s">
        <v>274</v>
      </c>
      <c r="DE2665" s="8">
        <f>249</f>
        <v>249</v>
      </c>
      <c r="DG2665" s="5" t="s">
        <v>238</v>
      </c>
      <c r="DH2665" s="5" t="s">
        <v>238</v>
      </c>
      <c r="DI2665" s="5" t="s">
        <v>238</v>
      </c>
      <c r="DJ2665" s="5" t="s">
        <v>238</v>
      </c>
      <c r="DN2665" s="5" t="s">
        <v>238</v>
      </c>
      <c r="DO2665" s="5" t="s">
        <v>238</v>
      </c>
      <c r="DP2665" s="5" t="s">
        <v>238</v>
      </c>
      <c r="DQ2665" s="5" t="s">
        <v>238</v>
      </c>
      <c r="DT2665" s="5" t="s">
        <v>275</v>
      </c>
      <c r="DU2665" s="5" t="s">
        <v>1932</v>
      </c>
      <c r="HM2665" s="5" t="s">
        <v>264</v>
      </c>
    </row>
    <row r="2666" spans="1:221" x14ac:dyDescent="0.4">
      <c r="A2666" s="5">
        <v>4370</v>
      </c>
      <c r="B2666" s="5">
        <v>1</v>
      </c>
      <c r="C2666" s="5">
        <v>1</v>
      </c>
      <c r="D2666" s="5" t="s">
        <v>269</v>
      </c>
      <c r="E2666" s="5" t="s">
        <v>271</v>
      </c>
      <c r="F2666" s="5" t="s">
        <v>248</v>
      </c>
      <c r="G2666" s="5" t="s">
        <v>266</v>
      </c>
      <c r="H2666" s="6" t="s">
        <v>1901</v>
      </c>
      <c r="I2666" s="7">
        <f>856</f>
        <v>856</v>
      </c>
      <c r="J2666" s="5" t="s">
        <v>262</v>
      </c>
      <c r="K2666" s="8">
        <f>1</f>
        <v>1</v>
      </c>
      <c r="L2666" s="6" t="s">
        <v>242</v>
      </c>
      <c r="M2666" s="5" t="s">
        <v>267</v>
      </c>
      <c r="N2666" s="5" t="s">
        <v>265</v>
      </c>
      <c r="O2666" s="5" t="s">
        <v>238</v>
      </c>
      <c r="P2666" s="5" t="s">
        <v>238</v>
      </c>
      <c r="Q2666" s="5" t="s">
        <v>268</v>
      </c>
      <c r="R2666" s="5" t="s">
        <v>270</v>
      </c>
      <c r="S2666" s="5" t="s">
        <v>238</v>
      </c>
      <c r="V2666" s="5" t="s">
        <v>238</v>
      </c>
      <c r="X2666" s="6" t="s">
        <v>238</v>
      </c>
      <c r="AA2666" s="6" t="s">
        <v>243</v>
      </c>
      <c r="AB2666" s="5" t="s">
        <v>238</v>
      </c>
      <c r="AC2666" s="5" t="s">
        <v>244</v>
      </c>
      <c r="AD2666" s="5" t="s">
        <v>245</v>
      </c>
      <c r="AT2666" s="5" t="s">
        <v>246</v>
      </c>
      <c r="AU2666" s="5" t="s">
        <v>238</v>
      </c>
      <c r="AV2666" s="5" t="s">
        <v>247</v>
      </c>
      <c r="AW2666" s="5" t="s">
        <v>238</v>
      </c>
      <c r="AX2666" s="5" t="s">
        <v>249</v>
      </c>
      <c r="AY2666" s="5" t="s">
        <v>238</v>
      </c>
      <c r="BA2666" s="5" t="s">
        <v>238</v>
      </c>
      <c r="BC2666" s="5" t="s">
        <v>250</v>
      </c>
      <c r="BD2666" s="6" t="s">
        <v>243</v>
      </c>
      <c r="BE2666" s="5" t="s">
        <v>251</v>
      </c>
      <c r="BF2666" s="5" t="s">
        <v>252</v>
      </c>
      <c r="BG2666" s="5" t="s">
        <v>238</v>
      </c>
      <c r="BH2666" s="7">
        <f>0</f>
        <v>0</v>
      </c>
      <c r="BI2666" s="8">
        <f>0</f>
        <v>0</v>
      </c>
      <c r="BJ2666" s="5" t="s">
        <v>253</v>
      </c>
      <c r="BK2666" s="5" t="s">
        <v>254</v>
      </c>
      <c r="BY2666" s="5" t="s">
        <v>238</v>
      </c>
      <c r="BZ2666" s="5" t="s">
        <v>238</v>
      </c>
      <c r="CD2666" s="5" t="s">
        <v>273</v>
      </c>
      <c r="CE2666" s="5" t="s">
        <v>256</v>
      </c>
      <c r="CF2666" s="5" t="s">
        <v>238</v>
      </c>
      <c r="CI2666" s="6" t="s">
        <v>257</v>
      </c>
      <c r="CJ2666" s="5" t="s">
        <v>238</v>
      </c>
      <c r="CK2666" s="5" t="s">
        <v>258</v>
      </c>
      <c r="CL2666" s="5" t="s">
        <v>238</v>
      </c>
      <c r="CM2666" s="5" t="s">
        <v>238</v>
      </c>
      <c r="CN2666" s="5">
        <v>0</v>
      </c>
      <c r="CO2666" s="5" t="s">
        <v>259</v>
      </c>
      <c r="CP2666" s="5" t="s">
        <v>260</v>
      </c>
      <c r="CQ2666" s="5" t="s">
        <v>260</v>
      </c>
      <c r="CR2666" s="5" t="s">
        <v>261</v>
      </c>
      <c r="CU2666" s="8">
        <f>1</f>
        <v>1</v>
      </c>
      <c r="CV2666" s="8">
        <f>0</f>
        <v>0</v>
      </c>
      <c r="CX2666" s="8">
        <f>0</f>
        <v>0</v>
      </c>
      <c r="CY2666" s="8">
        <f>1</f>
        <v>1</v>
      </c>
      <c r="DA2666" s="5" t="s">
        <v>274</v>
      </c>
      <c r="DB2666" s="5" t="s">
        <v>238</v>
      </c>
      <c r="DD2666" s="5" t="s">
        <v>274</v>
      </c>
      <c r="DE2666" s="8">
        <f>856</f>
        <v>856</v>
      </c>
      <c r="DG2666" s="5" t="s">
        <v>238</v>
      </c>
      <c r="DH2666" s="5" t="s">
        <v>238</v>
      </c>
      <c r="DI2666" s="5" t="s">
        <v>238</v>
      </c>
      <c r="DJ2666" s="5" t="s">
        <v>238</v>
      </c>
      <c r="DN2666" s="5" t="s">
        <v>238</v>
      </c>
      <c r="DO2666" s="5" t="s">
        <v>238</v>
      </c>
      <c r="DP2666" s="5" t="s">
        <v>238</v>
      </c>
      <c r="DQ2666" s="5" t="s">
        <v>238</v>
      </c>
      <c r="DT2666" s="5" t="s">
        <v>275</v>
      </c>
      <c r="DU2666" s="5" t="s">
        <v>1902</v>
      </c>
      <c r="HM2666" s="5" t="s">
        <v>264</v>
      </c>
    </row>
    <row r="2667" spans="1:221" x14ac:dyDescent="0.4">
      <c r="A2667" s="5">
        <v>4371</v>
      </c>
      <c r="B2667" s="5">
        <v>1</v>
      </c>
      <c r="C2667" s="5">
        <v>1</v>
      </c>
      <c r="D2667" s="5" t="s">
        <v>269</v>
      </c>
      <c r="E2667" s="5" t="s">
        <v>271</v>
      </c>
      <c r="F2667" s="5" t="s">
        <v>248</v>
      </c>
      <c r="G2667" s="5" t="s">
        <v>266</v>
      </c>
      <c r="H2667" s="6" t="s">
        <v>4056</v>
      </c>
      <c r="I2667" s="7">
        <f>800</f>
        <v>800</v>
      </c>
      <c r="J2667" s="5" t="s">
        <v>262</v>
      </c>
      <c r="K2667" s="8">
        <f>1</f>
        <v>1</v>
      </c>
      <c r="L2667" s="6" t="s">
        <v>242</v>
      </c>
      <c r="M2667" s="5" t="s">
        <v>267</v>
      </c>
      <c r="N2667" s="5" t="s">
        <v>265</v>
      </c>
      <c r="O2667" s="5" t="s">
        <v>238</v>
      </c>
      <c r="P2667" s="5" t="s">
        <v>238</v>
      </c>
      <c r="Q2667" s="5" t="s">
        <v>268</v>
      </c>
      <c r="R2667" s="5" t="s">
        <v>270</v>
      </c>
      <c r="S2667" s="5" t="s">
        <v>238</v>
      </c>
      <c r="V2667" s="5" t="s">
        <v>238</v>
      </c>
      <c r="X2667" s="6" t="s">
        <v>238</v>
      </c>
      <c r="AA2667" s="6" t="s">
        <v>243</v>
      </c>
      <c r="AB2667" s="5" t="s">
        <v>238</v>
      </c>
      <c r="AC2667" s="5" t="s">
        <v>244</v>
      </c>
      <c r="AD2667" s="5" t="s">
        <v>245</v>
      </c>
      <c r="AT2667" s="5" t="s">
        <v>246</v>
      </c>
      <c r="AU2667" s="5" t="s">
        <v>238</v>
      </c>
      <c r="AV2667" s="5" t="s">
        <v>247</v>
      </c>
      <c r="AW2667" s="5" t="s">
        <v>238</v>
      </c>
      <c r="AX2667" s="5" t="s">
        <v>249</v>
      </c>
      <c r="AY2667" s="5" t="s">
        <v>238</v>
      </c>
      <c r="BA2667" s="5" t="s">
        <v>238</v>
      </c>
      <c r="BC2667" s="5" t="s">
        <v>250</v>
      </c>
      <c r="BD2667" s="6" t="s">
        <v>243</v>
      </c>
      <c r="BE2667" s="5" t="s">
        <v>251</v>
      </c>
      <c r="BF2667" s="5" t="s">
        <v>252</v>
      </c>
      <c r="BG2667" s="5" t="s">
        <v>238</v>
      </c>
      <c r="BH2667" s="7">
        <f>0</f>
        <v>0</v>
      </c>
      <c r="BI2667" s="8">
        <f>0</f>
        <v>0</v>
      </c>
      <c r="BJ2667" s="5" t="s">
        <v>253</v>
      </c>
      <c r="BK2667" s="5" t="s">
        <v>254</v>
      </c>
      <c r="BY2667" s="5" t="s">
        <v>238</v>
      </c>
      <c r="BZ2667" s="5" t="s">
        <v>238</v>
      </c>
      <c r="CD2667" s="5" t="s">
        <v>273</v>
      </c>
      <c r="CE2667" s="5" t="s">
        <v>256</v>
      </c>
      <c r="CF2667" s="5" t="s">
        <v>238</v>
      </c>
      <c r="CI2667" s="6" t="s">
        <v>257</v>
      </c>
      <c r="CJ2667" s="5" t="s">
        <v>238</v>
      </c>
      <c r="CK2667" s="5" t="s">
        <v>258</v>
      </c>
      <c r="CL2667" s="5" t="s">
        <v>238</v>
      </c>
      <c r="CM2667" s="5" t="s">
        <v>238</v>
      </c>
      <c r="CN2667" s="5">
        <v>0</v>
      </c>
      <c r="CO2667" s="5" t="s">
        <v>259</v>
      </c>
      <c r="CP2667" s="5" t="s">
        <v>260</v>
      </c>
      <c r="CQ2667" s="5" t="s">
        <v>260</v>
      </c>
      <c r="CR2667" s="5" t="s">
        <v>261</v>
      </c>
      <c r="CU2667" s="8">
        <f>1</f>
        <v>1</v>
      </c>
      <c r="CV2667" s="8">
        <f>0</f>
        <v>0</v>
      </c>
      <c r="CX2667" s="8">
        <f>0</f>
        <v>0</v>
      </c>
      <c r="CY2667" s="8">
        <f>1</f>
        <v>1</v>
      </c>
      <c r="DA2667" s="5" t="s">
        <v>274</v>
      </c>
      <c r="DB2667" s="5" t="s">
        <v>238</v>
      </c>
      <c r="DD2667" s="5" t="s">
        <v>274</v>
      </c>
      <c r="DE2667" s="8">
        <f>800</f>
        <v>800</v>
      </c>
      <c r="DG2667" s="5" t="s">
        <v>238</v>
      </c>
      <c r="DH2667" s="5" t="s">
        <v>238</v>
      </c>
      <c r="DI2667" s="5" t="s">
        <v>238</v>
      </c>
      <c r="DJ2667" s="5" t="s">
        <v>238</v>
      </c>
      <c r="DN2667" s="5" t="s">
        <v>238</v>
      </c>
      <c r="DO2667" s="5" t="s">
        <v>238</v>
      </c>
      <c r="DP2667" s="5" t="s">
        <v>238</v>
      </c>
      <c r="DQ2667" s="5" t="s">
        <v>238</v>
      </c>
      <c r="DT2667" s="5" t="s">
        <v>275</v>
      </c>
      <c r="DU2667" s="5" t="s">
        <v>2314</v>
      </c>
      <c r="HM2667" s="5" t="s">
        <v>264</v>
      </c>
    </row>
    <row r="2668" spans="1:221" x14ac:dyDescent="0.4">
      <c r="A2668" s="5">
        <v>4372</v>
      </c>
      <c r="B2668" s="5">
        <v>1</v>
      </c>
      <c r="C2668" s="5">
        <v>1</v>
      </c>
      <c r="D2668" s="5" t="s">
        <v>269</v>
      </c>
      <c r="E2668" s="5" t="s">
        <v>271</v>
      </c>
      <c r="F2668" s="5" t="s">
        <v>248</v>
      </c>
      <c r="G2668" s="5" t="s">
        <v>266</v>
      </c>
      <c r="H2668" s="6" t="s">
        <v>4040</v>
      </c>
      <c r="I2668" s="7">
        <f>319</f>
        <v>319</v>
      </c>
      <c r="J2668" s="5" t="s">
        <v>262</v>
      </c>
      <c r="K2668" s="8">
        <f>1</f>
        <v>1</v>
      </c>
      <c r="L2668" s="6" t="s">
        <v>242</v>
      </c>
      <c r="M2668" s="5" t="s">
        <v>267</v>
      </c>
      <c r="N2668" s="5" t="s">
        <v>265</v>
      </c>
      <c r="O2668" s="5" t="s">
        <v>238</v>
      </c>
      <c r="P2668" s="5" t="s">
        <v>238</v>
      </c>
      <c r="Q2668" s="5" t="s">
        <v>268</v>
      </c>
      <c r="R2668" s="5" t="s">
        <v>270</v>
      </c>
      <c r="S2668" s="5" t="s">
        <v>238</v>
      </c>
      <c r="V2668" s="5" t="s">
        <v>238</v>
      </c>
      <c r="X2668" s="6" t="s">
        <v>238</v>
      </c>
      <c r="AA2668" s="6" t="s">
        <v>243</v>
      </c>
      <c r="AB2668" s="5" t="s">
        <v>238</v>
      </c>
      <c r="AC2668" s="5" t="s">
        <v>244</v>
      </c>
      <c r="AD2668" s="5" t="s">
        <v>245</v>
      </c>
      <c r="AT2668" s="5" t="s">
        <v>246</v>
      </c>
      <c r="AU2668" s="5" t="s">
        <v>238</v>
      </c>
      <c r="AV2668" s="5" t="s">
        <v>247</v>
      </c>
      <c r="AW2668" s="5" t="s">
        <v>238</v>
      </c>
      <c r="AX2668" s="5" t="s">
        <v>249</v>
      </c>
      <c r="AY2668" s="5" t="s">
        <v>238</v>
      </c>
      <c r="BA2668" s="5" t="s">
        <v>238</v>
      </c>
      <c r="BC2668" s="5" t="s">
        <v>250</v>
      </c>
      <c r="BD2668" s="6" t="s">
        <v>243</v>
      </c>
      <c r="BE2668" s="5" t="s">
        <v>251</v>
      </c>
      <c r="BF2668" s="5" t="s">
        <v>252</v>
      </c>
      <c r="BG2668" s="5" t="s">
        <v>238</v>
      </c>
      <c r="BH2668" s="7">
        <f>0</f>
        <v>0</v>
      </c>
      <c r="BI2668" s="8">
        <f>0</f>
        <v>0</v>
      </c>
      <c r="BJ2668" s="5" t="s">
        <v>253</v>
      </c>
      <c r="BK2668" s="5" t="s">
        <v>254</v>
      </c>
      <c r="BY2668" s="5" t="s">
        <v>238</v>
      </c>
      <c r="BZ2668" s="5" t="s">
        <v>238</v>
      </c>
      <c r="CD2668" s="5" t="s">
        <v>273</v>
      </c>
      <c r="CE2668" s="5" t="s">
        <v>256</v>
      </c>
      <c r="CF2668" s="5" t="s">
        <v>238</v>
      </c>
      <c r="CI2668" s="6" t="s">
        <v>257</v>
      </c>
      <c r="CJ2668" s="5" t="s">
        <v>238</v>
      </c>
      <c r="CK2668" s="5" t="s">
        <v>258</v>
      </c>
      <c r="CL2668" s="5" t="s">
        <v>238</v>
      </c>
      <c r="CM2668" s="5" t="s">
        <v>238</v>
      </c>
      <c r="CN2668" s="5">
        <v>0</v>
      </c>
      <c r="CO2668" s="5" t="s">
        <v>259</v>
      </c>
      <c r="CP2668" s="5" t="s">
        <v>260</v>
      </c>
      <c r="CQ2668" s="5" t="s">
        <v>260</v>
      </c>
      <c r="CR2668" s="5" t="s">
        <v>261</v>
      </c>
      <c r="CU2668" s="8">
        <f>1</f>
        <v>1</v>
      </c>
      <c r="CV2668" s="8">
        <f>0</f>
        <v>0</v>
      </c>
      <c r="CX2668" s="8">
        <f>0</f>
        <v>0</v>
      </c>
      <c r="CY2668" s="8">
        <f>1</f>
        <v>1</v>
      </c>
      <c r="DA2668" s="5" t="s">
        <v>274</v>
      </c>
      <c r="DB2668" s="5" t="s">
        <v>238</v>
      </c>
      <c r="DD2668" s="5" t="s">
        <v>274</v>
      </c>
      <c r="DE2668" s="8">
        <f>319</f>
        <v>319</v>
      </c>
      <c r="DG2668" s="5" t="s">
        <v>238</v>
      </c>
      <c r="DH2668" s="5" t="s">
        <v>238</v>
      </c>
      <c r="DI2668" s="5" t="s">
        <v>238</v>
      </c>
      <c r="DJ2668" s="5" t="s">
        <v>238</v>
      </c>
      <c r="DN2668" s="5" t="s">
        <v>238</v>
      </c>
      <c r="DO2668" s="5" t="s">
        <v>238</v>
      </c>
      <c r="DP2668" s="5" t="s">
        <v>238</v>
      </c>
      <c r="DQ2668" s="5" t="s">
        <v>238</v>
      </c>
      <c r="DT2668" s="5" t="s">
        <v>275</v>
      </c>
      <c r="DU2668" s="5" t="s">
        <v>2312</v>
      </c>
      <c r="HM2668" s="5" t="s">
        <v>264</v>
      </c>
    </row>
    <row r="2669" spans="1:221" x14ac:dyDescent="0.4">
      <c r="A2669" s="5">
        <v>4373</v>
      </c>
      <c r="B2669" s="5">
        <v>1</v>
      </c>
      <c r="C2669" s="5">
        <v>1</v>
      </c>
      <c r="D2669" s="5" t="s">
        <v>269</v>
      </c>
      <c r="E2669" s="5" t="s">
        <v>271</v>
      </c>
      <c r="F2669" s="5" t="s">
        <v>248</v>
      </c>
      <c r="G2669" s="5" t="s">
        <v>266</v>
      </c>
      <c r="H2669" s="6" t="s">
        <v>4038</v>
      </c>
      <c r="I2669" s="7">
        <f>1839</f>
        <v>1839</v>
      </c>
      <c r="J2669" s="5" t="s">
        <v>262</v>
      </c>
      <c r="K2669" s="8">
        <f>1</f>
        <v>1</v>
      </c>
      <c r="L2669" s="6" t="s">
        <v>242</v>
      </c>
      <c r="M2669" s="5" t="s">
        <v>267</v>
      </c>
      <c r="N2669" s="5" t="s">
        <v>265</v>
      </c>
      <c r="O2669" s="5" t="s">
        <v>238</v>
      </c>
      <c r="P2669" s="5" t="s">
        <v>238</v>
      </c>
      <c r="Q2669" s="5" t="s">
        <v>268</v>
      </c>
      <c r="R2669" s="5" t="s">
        <v>270</v>
      </c>
      <c r="S2669" s="5" t="s">
        <v>238</v>
      </c>
      <c r="V2669" s="5" t="s">
        <v>238</v>
      </c>
      <c r="X2669" s="6" t="s">
        <v>238</v>
      </c>
      <c r="AA2669" s="6" t="s">
        <v>243</v>
      </c>
      <c r="AB2669" s="5" t="s">
        <v>238</v>
      </c>
      <c r="AC2669" s="5" t="s">
        <v>244</v>
      </c>
      <c r="AD2669" s="5" t="s">
        <v>245</v>
      </c>
      <c r="AT2669" s="5" t="s">
        <v>246</v>
      </c>
      <c r="AU2669" s="5" t="s">
        <v>238</v>
      </c>
      <c r="AV2669" s="5" t="s">
        <v>247</v>
      </c>
      <c r="AW2669" s="5" t="s">
        <v>238</v>
      </c>
      <c r="AX2669" s="5" t="s">
        <v>249</v>
      </c>
      <c r="AY2669" s="5" t="s">
        <v>238</v>
      </c>
      <c r="BA2669" s="5" t="s">
        <v>238</v>
      </c>
      <c r="BC2669" s="5" t="s">
        <v>250</v>
      </c>
      <c r="BD2669" s="6" t="s">
        <v>243</v>
      </c>
      <c r="BE2669" s="5" t="s">
        <v>251</v>
      </c>
      <c r="BF2669" s="5" t="s">
        <v>252</v>
      </c>
      <c r="BG2669" s="5" t="s">
        <v>238</v>
      </c>
      <c r="BH2669" s="7">
        <f>0</f>
        <v>0</v>
      </c>
      <c r="BI2669" s="8">
        <f>0</f>
        <v>0</v>
      </c>
      <c r="BJ2669" s="5" t="s">
        <v>253</v>
      </c>
      <c r="BK2669" s="5" t="s">
        <v>254</v>
      </c>
      <c r="BY2669" s="5" t="s">
        <v>238</v>
      </c>
      <c r="BZ2669" s="5" t="s">
        <v>238</v>
      </c>
      <c r="CD2669" s="5" t="s">
        <v>273</v>
      </c>
      <c r="CE2669" s="5" t="s">
        <v>256</v>
      </c>
      <c r="CF2669" s="5" t="s">
        <v>238</v>
      </c>
      <c r="CI2669" s="6" t="s">
        <v>257</v>
      </c>
      <c r="CJ2669" s="5" t="s">
        <v>238</v>
      </c>
      <c r="CK2669" s="5" t="s">
        <v>258</v>
      </c>
      <c r="CL2669" s="5" t="s">
        <v>238</v>
      </c>
      <c r="CM2669" s="5" t="s">
        <v>238</v>
      </c>
      <c r="CN2669" s="5">
        <v>0</v>
      </c>
      <c r="CO2669" s="5" t="s">
        <v>259</v>
      </c>
      <c r="CP2669" s="5" t="s">
        <v>260</v>
      </c>
      <c r="CQ2669" s="5" t="s">
        <v>260</v>
      </c>
      <c r="CR2669" s="5" t="s">
        <v>261</v>
      </c>
      <c r="CU2669" s="8">
        <f>1</f>
        <v>1</v>
      </c>
      <c r="CV2669" s="8">
        <f>0</f>
        <v>0</v>
      </c>
      <c r="CX2669" s="8">
        <f>0</f>
        <v>0</v>
      </c>
      <c r="CY2669" s="8">
        <f>1</f>
        <v>1</v>
      </c>
      <c r="DA2669" s="5" t="s">
        <v>274</v>
      </c>
      <c r="DB2669" s="5" t="s">
        <v>238</v>
      </c>
      <c r="DD2669" s="5" t="s">
        <v>274</v>
      </c>
      <c r="DE2669" s="8">
        <f>1839</f>
        <v>1839</v>
      </c>
      <c r="DG2669" s="5" t="s">
        <v>238</v>
      </c>
      <c r="DH2669" s="5" t="s">
        <v>238</v>
      </c>
      <c r="DI2669" s="5" t="s">
        <v>238</v>
      </c>
      <c r="DJ2669" s="5" t="s">
        <v>238</v>
      </c>
      <c r="DN2669" s="5" t="s">
        <v>238</v>
      </c>
      <c r="DO2669" s="5" t="s">
        <v>238</v>
      </c>
      <c r="DP2669" s="5" t="s">
        <v>238</v>
      </c>
      <c r="DQ2669" s="5" t="s">
        <v>238</v>
      </c>
      <c r="DT2669" s="5" t="s">
        <v>275</v>
      </c>
      <c r="DU2669" s="5" t="s">
        <v>2309</v>
      </c>
      <c r="HM2669" s="5" t="s">
        <v>264</v>
      </c>
    </row>
    <row r="2670" spans="1:221" x14ac:dyDescent="0.4">
      <c r="A2670" s="5">
        <v>4374</v>
      </c>
      <c r="B2670" s="5">
        <v>1</v>
      </c>
      <c r="C2670" s="5">
        <v>1</v>
      </c>
      <c r="D2670" s="5" t="s">
        <v>269</v>
      </c>
      <c r="E2670" s="5" t="s">
        <v>271</v>
      </c>
      <c r="F2670" s="5" t="s">
        <v>248</v>
      </c>
      <c r="G2670" s="5" t="s">
        <v>266</v>
      </c>
      <c r="H2670" s="6" t="s">
        <v>5701</v>
      </c>
      <c r="I2670" s="7">
        <f>229</f>
        <v>229</v>
      </c>
      <c r="J2670" s="5" t="s">
        <v>262</v>
      </c>
      <c r="K2670" s="8">
        <f>1</f>
        <v>1</v>
      </c>
      <c r="L2670" s="6" t="s">
        <v>242</v>
      </c>
      <c r="M2670" s="5" t="s">
        <v>267</v>
      </c>
      <c r="N2670" s="5" t="s">
        <v>265</v>
      </c>
      <c r="O2670" s="5" t="s">
        <v>238</v>
      </c>
      <c r="P2670" s="5" t="s">
        <v>238</v>
      </c>
      <c r="Q2670" s="5" t="s">
        <v>268</v>
      </c>
      <c r="R2670" s="5" t="s">
        <v>270</v>
      </c>
      <c r="S2670" s="5" t="s">
        <v>238</v>
      </c>
      <c r="V2670" s="5" t="s">
        <v>238</v>
      </c>
      <c r="X2670" s="6" t="s">
        <v>238</v>
      </c>
      <c r="AA2670" s="6" t="s">
        <v>243</v>
      </c>
      <c r="AB2670" s="5" t="s">
        <v>238</v>
      </c>
      <c r="AC2670" s="5" t="s">
        <v>244</v>
      </c>
      <c r="AD2670" s="5" t="s">
        <v>245</v>
      </c>
      <c r="AT2670" s="5" t="s">
        <v>246</v>
      </c>
      <c r="AU2670" s="5" t="s">
        <v>238</v>
      </c>
      <c r="AV2670" s="5" t="s">
        <v>247</v>
      </c>
      <c r="AW2670" s="5" t="s">
        <v>238</v>
      </c>
      <c r="AX2670" s="5" t="s">
        <v>249</v>
      </c>
      <c r="AY2670" s="5" t="s">
        <v>238</v>
      </c>
      <c r="BA2670" s="5" t="s">
        <v>238</v>
      </c>
      <c r="BC2670" s="5" t="s">
        <v>250</v>
      </c>
      <c r="BD2670" s="6" t="s">
        <v>243</v>
      </c>
      <c r="BE2670" s="5" t="s">
        <v>251</v>
      </c>
      <c r="BF2670" s="5" t="s">
        <v>252</v>
      </c>
      <c r="BG2670" s="5" t="s">
        <v>238</v>
      </c>
      <c r="BH2670" s="7">
        <f>0</f>
        <v>0</v>
      </c>
      <c r="BI2670" s="8">
        <f>0</f>
        <v>0</v>
      </c>
      <c r="BJ2670" s="5" t="s">
        <v>253</v>
      </c>
      <c r="BK2670" s="5" t="s">
        <v>254</v>
      </c>
      <c r="BY2670" s="5" t="s">
        <v>238</v>
      </c>
      <c r="BZ2670" s="5" t="s">
        <v>238</v>
      </c>
      <c r="CD2670" s="5" t="s">
        <v>273</v>
      </c>
      <c r="CE2670" s="5" t="s">
        <v>256</v>
      </c>
      <c r="CF2670" s="5" t="s">
        <v>238</v>
      </c>
      <c r="CI2670" s="6" t="s">
        <v>257</v>
      </c>
      <c r="CJ2670" s="5" t="s">
        <v>238</v>
      </c>
      <c r="CK2670" s="5" t="s">
        <v>258</v>
      </c>
      <c r="CL2670" s="5" t="s">
        <v>238</v>
      </c>
      <c r="CM2670" s="5" t="s">
        <v>238</v>
      </c>
      <c r="CN2670" s="5">
        <v>0</v>
      </c>
      <c r="CO2670" s="5" t="s">
        <v>259</v>
      </c>
      <c r="CP2670" s="5" t="s">
        <v>260</v>
      </c>
      <c r="CQ2670" s="5" t="s">
        <v>260</v>
      </c>
      <c r="CR2670" s="5" t="s">
        <v>261</v>
      </c>
      <c r="CU2670" s="8">
        <f>1</f>
        <v>1</v>
      </c>
      <c r="CV2670" s="8">
        <f>0</f>
        <v>0</v>
      </c>
      <c r="CX2670" s="8">
        <f>0</f>
        <v>0</v>
      </c>
      <c r="CY2670" s="8">
        <f>1</f>
        <v>1</v>
      </c>
      <c r="DA2670" s="5" t="s">
        <v>274</v>
      </c>
      <c r="DB2670" s="5" t="s">
        <v>238</v>
      </c>
      <c r="DD2670" s="5" t="s">
        <v>274</v>
      </c>
      <c r="DE2670" s="8">
        <f>229</f>
        <v>229</v>
      </c>
      <c r="DG2670" s="5" t="s">
        <v>238</v>
      </c>
      <c r="DH2670" s="5" t="s">
        <v>238</v>
      </c>
      <c r="DI2670" s="5" t="s">
        <v>238</v>
      </c>
      <c r="DJ2670" s="5" t="s">
        <v>238</v>
      </c>
      <c r="DN2670" s="5" t="s">
        <v>238</v>
      </c>
      <c r="DO2670" s="5" t="s">
        <v>238</v>
      </c>
      <c r="DP2670" s="5" t="s">
        <v>238</v>
      </c>
      <c r="DQ2670" s="5" t="s">
        <v>238</v>
      </c>
      <c r="DT2670" s="5" t="s">
        <v>275</v>
      </c>
      <c r="DU2670" s="5" t="s">
        <v>2307</v>
      </c>
      <c r="HM2670" s="5" t="s">
        <v>264</v>
      </c>
    </row>
    <row r="2671" spans="1:221" x14ac:dyDescent="0.4">
      <c r="A2671" s="5">
        <v>4375</v>
      </c>
      <c r="B2671" s="5">
        <v>1</v>
      </c>
      <c r="C2671" s="5">
        <v>1</v>
      </c>
      <c r="D2671" s="5" t="s">
        <v>269</v>
      </c>
      <c r="E2671" s="5" t="s">
        <v>271</v>
      </c>
      <c r="F2671" s="5" t="s">
        <v>248</v>
      </c>
      <c r="G2671" s="5" t="s">
        <v>266</v>
      </c>
      <c r="H2671" s="6" t="s">
        <v>4026</v>
      </c>
      <c r="I2671" s="7">
        <f>156</f>
        <v>156</v>
      </c>
      <c r="J2671" s="5" t="s">
        <v>262</v>
      </c>
      <c r="K2671" s="8">
        <f>1</f>
        <v>1</v>
      </c>
      <c r="L2671" s="6" t="s">
        <v>242</v>
      </c>
      <c r="M2671" s="5" t="s">
        <v>267</v>
      </c>
      <c r="N2671" s="5" t="s">
        <v>265</v>
      </c>
      <c r="O2671" s="5" t="s">
        <v>238</v>
      </c>
      <c r="P2671" s="5" t="s">
        <v>238</v>
      </c>
      <c r="Q2671" s="5" t="s">
        <v>268</v>
      </c>
      <c r="R2671" s="5" t="s">
        <v>270</v>
      </c>
      <c r="S2671" s="5" t="s">
        <v>238</v>
      </c>
      <c r="V2671" s="5" t="s">
        <v>238</v>
      </c>
      <c r="X2671" s="6" t="s">
        <v>238</v>
      </c>
      <c r="AA2671" s="6" t="s">
        <v>243</v>
      </c>
      <c r="AB2671" s="5" t="s">
        <v>238</v>
      </c>
      <c r="AC2671" s="5" t="s">
        <v>244</v>
      </c>
      <c r="AD2671" s="5" t="s">
        <v>245</v>
      </c>
      <c r="AT2671" s="5" t="s">
        <v>246</v>
      </c>
      <c r="AU2671" s="5" t="s">
        <v>238</v>
      </c>
      <c r="AV2671" s="5" t="s">
        <v>247</v>
      </c>
      <c r="AW2671" s="5" t="s">
        <v>238</v>
      </c>
      <c r="AX2671" s="5" t="s">
        <v>249</v>
      </c>
      <c r="AY2671" s="5" t="s">
        <v>238</v>
      </c>
      <c r="BA2671" s="5" t="s">
        <v>238</v>
      </c>
      <c r="BC2671" s="5" t="s">
        <v>250</v>
      </c>
      <c r="BD2671" s="6" t="s">
        <v>243</v>
      </c>
      <c r="BE2671" s="5" t="s">
        <v>251</v>
      </c>
      <c r="BF2671" s="5" t="s">
        <v>252</v>
      </c>
      <c r="BG2671" s="5" t="s">
        <v>238</v>
      </c>
      <c r="BH2671" s="7">
        <f>0</f>
        <v>0</v>
      </c>
      <c r="BI2671" s="8">
        <f>0</f>
        <v>0</v>
      </c>
      <c r="BJ2671" s="5" t="s">
        <v>253</v>
      </c>
      <c r="BK2671" s="5" t="s">
        <v>254</v>
      </c>
      <c r="BY2671" s="5" t="s">
        <v>238</v>
      </c>
      <c r="BZ2671" s="5" t="s">
        <v>238</v>
      </c>
      <c r="CD2671" s="5" t="s">
        <v>273</v>
      </c>
      <c r="CE2671" s="5" t="s">
        <v>256</v>
      </c>
      <c r="CF2671" s="5" t="s">
        <v>238</v>
      </c>
      <c r="CI2671" s="6" t="s">
        <v>257</v>
      </c>
      <c r="CJ2671" s="5" t="s">
        <v>238</v>
      </c>
      <c r="CK2671" s="5" t="s">
        <v>258</v>
      </c>
      <c r="CL2671" s="5" t="s">
        <v>238</v>
      </c>
      <c r="CM2671" s="5" t="s">
        <v>238</v>
      </c>
      <c r="CN2671" s="5">
        <v>0</v>
      </c>
      <c r="CO2671" s="5" t="s">
        <v>259</v>
      </c>
      <c r="CP2671" s="5" t="s">
        <v>260</v>
      </c>
      <c r="CQ2671" s="5" t="s">
        <v>260</v>
      </c>
      <c r="CR2671" s="5" t="s">
        <v>261</v>
      </c>
      <c r="CU2671" s="8">
        <f>1</f>
        <v>1</v>
      </c>
      <c r="CV2671" s="8">
        <f>0</f>
        <v>0</v>
      </c>
      <c r="CX2671" s="8">
        <f>0</f>
        <v>0</v>
      </c>
      <c r="CY2671" s="8">
        <f>1</f>
        <v>1</v>
      </c>
      <c r="DA2671" s="5" t="s">
        <v>274</v>
      </c>
      <c r="DB2671" s="5" t="s">
        <v>238</v>
      </c>
      <c r="DD2671" s="5" t="s">
        <v>274</v>
      </c>
      <c r="DE2671" s="8">
        <f>156</f>
        <v>156</v>
      </c>
      <c r="DG2671" s="5" t="s">
        <v>238</v>
      </c>
      <c r="DH2671" s="5" t="s">
        <v>238</v>
      </c>
      <c r="DI2671" s="5" t="s">
        <v>238</v>
      </c>
      <c r="DJ2671" s="5" t="s">
        <v>238</v>
      </c>
      <c r="DN2671" s="5" t="s">
        <v>238</v>
      </c>
      <c r="DO2671" s="5" t="s">
        <v>238</v>
      </c>
      <c r="DP2671" s="5" t="s">
        <v>238</v>
      </c>
      <c r="DQ2671" s="5" t="s">
        <v>238</v>
      </c>
      <c r="DT2671" s="5" t="s">
        <v>275</v>
      </c>
      <c r="DU2671" s="5" t="s">
        <v>2305</v>
      </c>
      <c r="HM2671" s="5" t="s">
        <v>264</v>
      </c>
    </row>
    <row r="2672" spans="1:221" x14ac:dyDescent="0.4">
      <c r="A2672" s="5">
        <v>4376</v>
      </c>
      <c r="B2672" s="5">
        <v>1</v>
      </c>
      <c r="C2672" s="5">
        <v>1</v>
      </c>
      <c r="D2672" s="5" t="s">
        <v>269</v>
      </c>
      <c r="E2672" s="5" t="s">
        <v>271</v>
      </c>
      <c r="F2672" s="5" t="s">
        <v>248</v>
      </c>
      <c r="G2672" s="5" t="s">
        <v>266</v>
      </c>
      <c r="H2672" s="6" t="s">
        <v>1763</v>
      </c>
      <c r="I2672" s="7">
        <f>137</f>
        <v>137</v>
      </c>
      <c r="J2672" s="5" t="s">
        <v>262</v>
      </c>
      <c r="K2672" s="8">
        <f>1</f>
        <v>1</v>
      </c>
      <c r="L2672" s="6" t="s">
        <v>242</v>
      </c>
      <c r="M2672" s="5" t="s">
        <v>267</v>
      </c>
      <c r="N2672" s="5" t="s">
        <v>265</v>
      </c>
      <c r="O2672" s="5" t="s">
        <v>238</v>
      </c>
      <c r="P2672" s="5" t="s">
        <v>238</v>
      </c>
      <c r="Q2672" s="5" t="s">
        <v>268</v>
      </c>
      <c r="R2672" s="5" t="s">
        <v>270</v>
      </c>
      <c r="S2672" s="5" t="s">
        <v>238</v>
      </c>
      <c r="V2672" s="5" t="s">
        <v>238</v>
      </c>
      <c r="X2672" s="6" t="s">
        <v>238</v>
      </c>
      <c r="AA2672" s="6" t="s">
        <v>243</v>
      </c>
      <c r="AB2672" s="5" t="s">
        <v>238</v>
      </c>
      <c r="AC2672" s="5" t="s">
        <v>244</v>
      </c>
      <c r="AD2672" s="5" t="s">
        <v>245</v>
      </c>
      <c r="AT2672" s="5" t="s">
        <v>246</v>
      </c>
      <c r="AU2672" s="5" t="s">
        <v>238</v>
      </c>
      <c r="AV2672" s="5" t="s">
        <v>247</v>
      </c>
      <c r="AW2672" s="5" t="s">
        <v>238</v>
      </c>
      <c r="AX2672" s="5" t="s">
        <v>249</v>
      </c>
      <c r="AY2672" s="5" t="s">
        <v>238</v>
      </c>
      <c r="BA2672" s="5" t="s">
        <v>238</v>
      </c>
      <c r="BC2672" s="5" t="s">
        <v>250</v>
      </c>
      <c r="BD2672" s="6" t="s">
        <v>243</v>
      </c>
      <c r="BE2672" s="5" t="s">
        <v>251</v>
      </c>
      <c r="BF2672" s="5" t="s">
        <v>252</v>
      </c>
      <c r="BG2672" s="5" t="s">
        <v>238</v>
      </c>
      <c r="BH2672" s="7">
        <f>0</f>
        <v>0</v>
      </c>
      <c r="BI2672" s="8">
        <f>0</f>
        <v>0</v>
      </c>
      <c r="BJ2672" s="5" t="s">
        <v>253</v>
      </c>
      <c r="BK2672" s="5" t="s">
        <v>254</v>
      </c>
      <c r="BY2672" s="5" t="s">
        <v>238</v>
      </c>
      <c r="BZ2672" s="5" t="s">
        <v>238</v>
      </c>
      <c r="CD2672" s="5" t="s">
        <v>273</v>
      </c>
      <c r="CE2672" s="5" t="s">
        <v>256</v>
      </c>
      <c r="CF2672" s="5" t="s">
        <v>238</v>
      </c>
      <c r="CI2672" s="6" t="s">
        <v>257</v>
      </c>
      <c r="CJ2672" s="5" t="s">
        <v>238</v>
      </c>
      <c r="CK2672" s="5" t="s">
        <v>258</v>
      </c>
      <c r="CL2672" s="5" t="s">
        <v>238</v>
      </c>
      <c r="CM2672" s="5" t="s">
        <v>238</v>
      </c>
      <c r="CN2672" s="5">
        <v>0</v>
      </c>
      <c r="CO2672" s="5" t="s">
        <v>259</v>
      </c>
      <c r="CP2672" s="5" t="s">
        <v>260</v>
      </c>
      <c r="CQ2672" s="5" t="s">
        <v>260</v>
      </c>
      <c r="CR2672" s="5" t="s">
        <v>261</v>
      </c>
      <c r="CU2672" s="8">
        <f>1</f>
        <v>1</v>
      </c>
      <c r="CV2672" s="8">
        <f>0</f>
        <v>0</v>
      </c>
      <c r="CX2672" s="8">
        <f>0</f>
        <v>0</v>
      </c>
      <c r="CY2672" s="8">
        <f>1</f>
        <v>1</v>
      </c>
      <c r="DA2672" s="5" t="s">
        <v>274</v>
      </c>
      <c r="DB2672" s="5" t="s">
        <v>238</v>
      </c>
      <c r="DD2672" s="5" t="s">
        <v>274</v>
      </c>
      <c r="DE2672" s="8">
        <f>137</f>
        <v>137</v>
      </c>
      <c r="DG2672" s="5" t="s">
        <v>238</v>
      </c>
      <c r="DH2672" s="5" t="s">
        <v>238</v>
      </c>
      <c r="DI2672" s="5" t="s">
        <v>238</v>
      </c>
      <c r="DJ2672" s="5" t="s">
        <v>238</v>
      </c>
      <c r="DN2672" s="5" t="s">
        <v>238</v>
      </c>
      <c r="DO2672" s="5" t="s">
        <v>238</v>
      </c>
      <c r="DP2672" s="5" t="s">
        <v>238</v>
      </c>
      <c r="DQ2672" s="5" t="s">
        <v>238</v>
      </c>
      <c r="DT2672" s="5" t="s">
        <v>275</v>
      </c>
      <c r="DU2672" s="5" t="s">
        <v>1764</v>
      </c>
      <c r="HM2672" s="5" t="s">
        <v>264</v>
      </c>
    </row>
    <row r="2673" spans="1:221" x14ac:dyDescent="0.4">
      <c r="A2673" s="5">
        <v>4377</v>
      </c>
      <c r="B2673" s="5">
        <v>1</v>
      </c>
      <c r="C2673" s="5">
        <v>1</v>
      </c>
      <c r="D2673" s="5" t="s">
        <v>269</v>
      </c>
      <c r="E2673" s="5" t="s">
        <v>271</v>
      </c>
      <c r="F2673" s="5" t="s">
        <v>248</v>
      </c>
      <c r="G2673" s="5" t="s">
        <v>266</v>
      </c>
      <c r="H2673" s="6" t="s">
        <v>5692</v>
      </c>
      <c r="I2673" s="7">
        <f>75</f>
        <v>75</v>
      </c>
      <c r="J2673" s="5" t="s">
        <v>262</v>
      </c>
      <c r="K2673" s="8">
        <f>1</f>
        <v>1</v>
      </c>
      <c r="L2673" s="6" t="s">
        <v>242</v>
      </c>
      <c r="M2673" s="5" t="s">
        <v>267</v>
      </c>
      <c r="N2673" s="5" t="s">
        <v>265</v>
      </c>
      <c r="O2673" s="5" t="s">
        <v>238</v>
      </c>
      <c r="P2673" s="5" t="s">
        <v>238</v>
      </c>
      <c r="Q2673" s="5" t="s">
        <v>268</v>
      </c>
      <c r="R2673" s="5" t="s">
        <v>270</v>
      </c>
      <c r="S2673" s="5" t="s">
        <v>238</v>
      </c>
      <c r="V2673" s="5" t="s">
        <v>238</v>
      </c>
      <c r="X2673" s="6" t="s">
        <v>238</v>
      </c>
      <c r="AA2673" s="6" t="s">
        <v>243</v>
      </c>
      <c r="AB2673" s="5" t="s">
        <v>238</v>
      </c>
      <c r="AC2673" s="5" t="s">
        <v>244</v>
      </c>
      <c r="AD2673" s="5" t="s">
        <v>245</v>
      </c>
      <c r="AT2673" s="5" t="s">
        <v>246</v>
      </c>
      <c r="AU2673" s="5" t="s">
        <v>238</v>
      </c>
      <c r="AV2673" s="5" t="s">
        <v>247</v>
      </c>
      <c r="AW2673" s="5" t="s">
        <v>238</v>
      </c>
      <c r="AX2673" s="5" t="s">
        <v>249</v>
      </c>
      <c r="AY2673" s="5" t="s">
        <v>238</v>
      </c>
      <c r="BA2673" s="5" t="s">
        <v>238</v>
      </c>
      <c r="BC2673" s="5" t="s">
        <v>250</v>
      </c>
      <c r="BD2673" s="6" t="s">
        <v>243</v>
      </c>
      <c r="BE2673" s="5" t="s">
        <v>251</v>
      </c>
      <c r="BF2673" s="5" t="s">
        <v>252</v>
      </c>
      <c r="BG2673" s="5" t="s">
        <v>238</v>
      </c>
      <c r="BH2673" s="7">
        <f>0</f>
        <v>0</v>
      </c>
      <c r="BI2673" s="8">
        <f>0</f>
        <v>0</v>
      </c>
      <c r="BJ2673" s="5" t="s">
        <v>253</v>
      </c>
      <c r="BK2673" s="5" t="s">
        <v>254</v>
      </c>
      <c r="BY2673" s="5" t="s">
        <v>238</v>
      </c>
      <c r="BZ2673" s="5" t="s">
        <v>238</v>
      </c>
      <c r="CD2673" s="5" t="s">
        <v>273</v>
      </c>
      <c r="CE2673" s="5" t="s">
        <v>256</v>
      </c>
      <c r="CF2673" s="5" t="s">
        <v>238</v>
      </c>
      <c r="CI2673" s="6" t="s">
        <v>257</v>
      </c>
      <c r="CJ2673" s="5" t="s">
        <v>238</v>
      </c>
      <c r="CK2673" s="5" t="s">
        <v>258</v>
      </c>
      <c r="CL2673" s="5" t="s">
        <v>238</v>
      </c>
      <c r="CM2673" s="5" t="s">
        <v>238</v>
      </c>
      <c r="CN2673" s="5">
        <v>0</v>
      </c>
      <c r="CO2673" s="5" t="s">
        <v>259</v>
      </c>
      <c r="CP2673" s="5" t="s">
        <v>260</v>
      </c>
      <c r="CQ2673" s="5" t="s">
        <v>260</v>
      </c>
      <c r="CR2673" s="5" t="s">
        <v>261</v>
      </c>
      <c r="CU2673" s="8">
        <f>1</f>
        <v>1</v>
      </c>
      <c r="CV2673" s="8">
        <f>0</f>
        <v>0</v>
      </c>
      <c r="CX2673" s="8">
        <f>0</f>
        <v>0</v>
      </c>
      <c r="CY2673" s="8">
        <f>1</f>
        <v>1</v>
      </c>
      <c r="DA2673" s="5" t="s">
        <v>274</v>
      </c>
      <c r="DB2673" s="5" t="s">
        <v>238</v>
      </c>
      <c r="DD2673" s="5" t="s">
        <v>274</v>
      </c>
      <c r="DE2673" s="8">
        <f>75</f>
        <v>75</v>
      </c>
      <c r="DG2673" s="5" t="s">
        <v>238</v>
      </c>
      <c r="DH2673" s="5" t="s">
        <v>238</v>
      </c>
      <c r="DI2673" s="5" t="s">
        <v>238</v>
      </c>
      <c r="DJ2673" s="5" t="s">
        <v>238</v>
      </c>
      <c r="DN2673" s="5" t="s">
        <v>238</v>
      </c>
      <c r="DO2673" s="5" t="s">
        <v>238</v>
      </c>
      <c r="DP2673" s="5" t="s">
        <v>238</v>
      </c>
      <c r="DQ2673" s="5" t="s">
        <v>238</v>
      </c>
      <c r="DT2673" s="5" t="s">
        <v>275</v>
      </c>
      <c r="DU2673" s="5" t="s">
        <v>2302</v>
      </c>
      <c r="HM2673" s="5" t="s">
        <v>264</v>
      </c>
    </row>
    <row r="2674" spans="1:221" x14ac:dyDescent="0.4">
      <c r="A2674" s="5">
        <v>4378</v>
      </c>
      <c r="B2674" s="5">
        <v>1</v>
      </c>
      <c r="C2674" s="5">
        <v>1</v>
      </c>
      <c r="D2674" s="5" t="s">
        <v>269</v>
      </c>
      <c r="E2674" s="5" t="s">
        <v>271</v>
      </c>
      <c r="F2674" s="5" t="s">
        <v>248</v>
      </c>
      <c r="G2674" s="5" t="s">
        <v>266</v>
      </c>
      <c r="H2674" s="6" t="s">
        <v>3982</v>
      </c>
      <c r="I2674" s="7">
        <f>344</f>
        <v>344</v>
      </c>
      <c r="J2674" s="5" t="s">
        <v>262</v>
      </c>
      <c r="K2674" s="8">
        <f>1</f>
        <v>1</v>
      </c>
      <c r="L2674" s="6" t="s">
        <v>242</v>
      </c>
      <c r="M2674" s="5" t="s">
        <v>267</v>
      </c>
      <c r="N2674" s="5" t="s">
        <v>265</v>
      </c>
      <c r="O2674" s="5" t="s">
        <v>238</v>
      </c>
      <c r="P2674" s="5" t="s">
        <v>238</v>
      </c>
      <c r="Q2674" s="5" t="s">
        <v>268</v>
      </c>
      <c r="R2674" s="5" t="s">
        <v>270</v>
      </c>
      <c r="S2674" s="5" t="s">
        <v>238</v>
      </c>
      <c r="V2674" s="5" t="s">
        <v>238</v>
      </c>
      <c r="X2674" s="6" t="s">
        <v>238</v>
      </c>
      <c r="AA2674" s="6" t="s">
        <v>243</v>
      </c>
      <c r="AB2674" s="5" t="s">
        <v>238</v>
      </c>
      <c r="AC2674" s="5" t="s">
        <v>244</v>
      </c>
      <c r="AD2674" s="5" t="s">
        <v>245</v>
      </c>
      <c r="AT2674" s="5" t="s">
        <v>246</v>
      </c>
      <c r="AU2674" s="5" t="s">
        <v>238</v>
      </c>
      <c r="AV2674" s="5" t="s">
        <v>247</v>
      </c>
      <c r="AW2674" s="5" t="s">
        <v>238</v>
      </c>
      <c r="AX2674" s="5" t="s">
        <v>249</v>
      </c>
      <c r="AY2674" s="5" t="s">
        <v>238</v>
      </c>
      <c r="BA2674" s="5" t="s">
        <v>238</v>
      </c>
      <c r="BC2674" s="5" t="s">
        <v>250</v>
      </c>
      <c r="BD2674" s="6" t="s">
        <v>243</v>
      </c>
      <c r="BE2674" s="5" t="s">
        <v>251</v>
      </c>
      <c r="BF2674" s="5" t="s">
        <v>252</v>
      </c>
      <c r="BG2674" s="5" t="s">
        <v>238</v>
      </c>
      <c r="BH2674" s="7">
        <f>0</f>
        <v>0</v>
      </c>
      <c r="BI2674" s="8">
        <f>0</f>
        <v>0</v>
      </c>
      <c r="BJ2674" s="5" t="s">
        <v>253</v>
      </c>
      <c r="BK2674" s="5" t="s">
        <v>254</v>
      </c>
      <c r="BY2674" s="5" t="s">
        <v>238</v>
      </c>
      <c r="BZ2674" s="5" t="s">
        <v>238</v>
      </c>
      <c r="CD2674" s="5" t="s">
        <v>273</v>
      </c>
      <c r="CE2674" s="5" t="s">
        <v>256</v>
      </c>
      <c r="CF2674" s="5" t="s">
        <v>238</v>
      </c>
      <c r="CI2674" s="6" t="s">
        <v>257</v>
      </c>
      <c r="CJ2674" s="5" t="s">
        <v>238</v>
      </c>
      <c r="CK2674" s="5" t="s">
        <v>258</v>
      </c>
      <c r="CL2674" s="5" t="s">
        <v>238</v>
      </c>
      <c r="CM2674" s="5" t="s">
        <v>238</v>
      </c>
      <c r="CN2674" s="5">
        <v>0</v>
      </c>
      <c r="CO2674" s="5" t="s">
        <v>259</v>
      </c>
      <c r="CP2674" s="5" t="s">
        <v>260</v>
      </c>
      <c r="CQ2674" s="5" t="s">
        <v>260</v>
      </c>
      <c r="CR2674" s="5" t="s">
        <v>261</v>
      </c>
      <c r="CU2674" s="8">
        <f>1</f>
        <v>1</v>
      </c>
      <c r="CV2674" s="8">
        <f>0</f>
        <v>0</v>
      </c>
      <c r="CX2674" s="8">
        <f>0</f>
        <v>0</v>
      </c>
      <c r="CY2674" s="8">
        <f>1</f>
        <v>1</v>
      </c>
      <c r="DA2674" s="5" t="s">
        <v>274</v>
      </c>
      <c r="DB2674" s="5" t="s">
        <v>238</v>
      </c>
      <c r="DD2674" s="5" t="s">
        <v>274</v>
      </c>
      <c r="DE2674" s="8">
        <f>344</f>
        <v>344</v>
      </c>
      <c r="DG2674" s="5" t="s">
        <v>238</v>
      </c>
      <c r="DH2674" s="5" t="s">
        <v>238</v>
      </c>
      <c r="DI2674" s="5" t="s">
        <v>238</v>
      </c>
      <c r="DJ2674" s="5" t="s">
        <v>238</v>
      </c>
      <c r="DN2674" s="5" t="s">
        <v>238</v>
      </c>
      <c r="DO2674" s="5" t="s">
        <v>238</v>
      </c>
      <c r="DP2674" s="5" t="s">
        <v>238</v>
      </c>
      <c r="DQ2674" s="5" t="s">
        <v>238</v>
      </c>
      <c r="DT2674" s="5" t="s">
        <v>275</v>
      </c>
      <c r="DU2674" s="5" t="s">
        <v>2300</v>
      </c>
      <c r="HM2674" s="5" t="s">
        <v>264</v>
      </c>
    </row>
    <row r="2675" spans="1:221" x14ac:dyDescent="0.4">
      <c r="A2675" s="5">
        <v>4379</v>
      </c>
      <c r="B2675" s="5">
        <v>1</v>
      </c>
      <c r="C2675" s="5">
        <v>1</v>
      </c>
      <c r="D2675" s="5" t="s">
        <v>269</v>
      </c>
      <c r="E2675" s="5" t="s">
        <v>271</v>
      </c>
      <c r="F2675" s="5" t="s">
        <v>248</v>
      </c>
      <c r="G2675" s="5" t="s">
        <v>266</v>
      </c>
      <c r="H2675" s="6" t="s">
        <v>3988</v>
      </c>
      <c r="I2675" s="7">
        <f>316</f>
        <v>316</v>
      </c>
      <c r="J2675" s="5" t="s">
        <v>262</v>
      </c>
      <c r="K2675" s="8">
        <f>1</f>
        <v>1</v>
      </c>
      <c r="L2675" s="6" t="s">
        <v>242</v>
      </c>
      <c r="M2675" s="5" t="s">
        <v>267</v>
      </c>
      <c r="N2675" s="5" t="s">
        <v>265</v>
      </c>
      <c r="O2675" s="5" t="s">
        <v>238</v>
      </c>
      <c r="P2675" s="5" t="s">
        <v>238</v>
      </c>
      <c r="Q2675" s="5" t="s">
        <v>268</v>
      </c>
      <c r="R2675" s="5" t="s">
        <v>270</v>
      </c>
      <c r="S2675" s="5" t="s">
        <v>238</v>
      </c>
      <c r="V2675" s="5" t="s">
        <v>238</v>
      </c>
      <c r="X2675" s="6" t="s">
        <v>238</v>
      </c>
      <c r="AA2675" s="6" t="s">
        <v>243</v>
      </c>
      <c r="AB2675" s="5" t="s">
        <v>238</v>
      </c>
      <c r="AC2675" s="5" t="s">
        <v>244</v>
      </c>
      <c r="AD2675" s="5" t="s">
        <v>245</v>
      </c>
      <c r="AT2675" s="5" t="s">
        <v>246</v>
      </c>
      <c r="AU2675" s="5" t="s">
        <v>238</v>
      </c>
      <c r="AV2675" s="5" t="s">
        <v>247</v>
      </c>
      <c r="AW2675" s="5" t="s">
        <v>238</v>
      </c>
      <c r="AX2675" s="5" t="s">
        <v>249</v>
      </c>
      <c r="AY2675" s="5" t="s">
        <v>238</v>
      </c>
      <c r="BA2675" s="5" t="s">
        <v>238</v>
      </c>
      <c r="BC2675" s="5" t="s">
        <v>250</v>
      </c>
      <c r="BD2675" s="6" t="s">
        <v>243</v>
      </c>
      <c r="BE2675" s="5" t="s">
        <v>251</v>
      </c>
      <c r="BF2675" s="5" t="s">
        <v>252</v>
      </c>
      <c r="BG2675" s="5" t="s">
        <v>238</v>
      </c>
      <c r="BH2675" s="7">
        <f>0</f>
        <v>0</v>
      </c>
      <c r="BI2675" s="8">
        <f>0</f>
        <v>0</v>
      </c>
      <c r="BJ2675" s="5" t="s">
        <v>253</v>
      </c>
      <c r="BK2675" s="5" t="s">
        <v>254</v>
      </c>
      <c r="BY2675" s="5" t="s">
        <v>238</v>
      </c>
      <c r="BZ2675" s="5" t="s">
        <v>238</v>
      </c>
      <c r="CD2675" s="5" t="s">
        <v>273</v>
      </c>
      <c r="CE2675" s="5" t="s">
        <v>256</v>
      </c>
      <c r="CF2675" s="5" t="s">
        <v>238</v>
      </c>
      <c r="CI2675" s="6" t="s">
        <v>257</v>
      </c>
      <c r="CJ2675" s="5" t="s">
        <v>238</v>
      </c>
      <c r="CK2675" s="5" t="s">
        <v>258</v>
      </c>
      <c r="CL2675" s="5" t="s">
        <v>238</v>
      </c>
      <c r="CM2675" s="5" t="s">
        <v>238</v>
      </c>
      <c r="CN2675" s="5">
        <v>0</v>
      </c>
      <c r="CO2675" s="5" t="s">
        <v>259</v>
      </c>
      <c r="CP2675" s="5" t="s">
        <v>260</v>
      </c>
      <c r="CQ2675" s="5" t="s">
        <v>260</v>
      </c>
      <c r="CR2675" s="5" t="s">
        <v>261</v>
      </c>
      <c r="CU2675" s="8">
        <f>1</f>
        <v>1</v>
      </c>
      <c r="CV2675" s="8">
        <f>0</f>
        <v>0</v>
      </c>
      <c r="CX2675" s="8">
        <f>0</f>
        <v>0</v>
      </c>
      <c r="CY2675" s="8">
        <f>1</f>
        <v>1</v>
      </c>
      <c r="DA2675" s="5" t="s">
        <v>274</v>
      </c>
      <c r="DB2675" s="5" t="s">
        <v>238</v>
      </c>
      <c r="DD2675" s="5" t="s">
        <v>274</v>
      </c>
      <c r="DE2675" s="8">
        <f>316</f>
        <v>316</v>
      </c>
      <c r="DG2675" s="5" t="s">
        <v>238</v>
      </c>
      <c r="DH2675" s="5" t="s">
        <v>238</v>
      </c>
      <c r="DI2675" s="5" t="s">
        <v>238</v>
      </c>
      <c r="DJ2675" s="5" t="s">
        <v>238</v>
      </c>
      <c r="DN2675" s="5" t="s">
        <v>238</v>
      </c>
      <c r="DO2675" s="5" t="s">
        <v>238</v>
      </c>
      <c r="DP2675" s="5" t="s">
        <v>238</v>
      </c>
      <c r="DQ2675" s="5" t="s">
        <v>238</v>
      </c>
      <c r="DT2675" s="5" t="s">
        <v>275</v>
      </c>
      <c r="DU2675" s="5" t="s">
        <v>2294</v>
      </c>
      <c r="HM2675" s="5" t="s">
        <v>264</v>
      </c>
    </row>
    <row r="2676" spans="1:221" x14ac:dyDescent="0.4">
      <c r="A2676" s="5">
        <v>4380</v>
      </c>
      <c r="B2676" s="5">
        <v>1</v>
      </c>
      <c r="C2676" s="5">
        <v>1</v>
      </c>
      <c r="D2676" s="5" t="s">
        <v>269</v>
      </c>
      <c r="E2676" s="5" t="s">
        <v>271</v>
      </c>
      <c r="F2676" s="5" t="s">
        <v>248</v>
      </c>
      <c r="G2676" s="5" t="s">
        <v>266</v>
      </c>
      <c r="H2676" s="6" t="s">
        <v>3955</v>
      </c>
      <c r="I2676" s="7">
        <f>762</f>
        <v>762</v>
      </c>
      <c r="J2676" s="5" t="s">
        <v>262</v>
      </c>
      <c r="K2676" s="8">
        <f>1</f>
        <v>1</v>
      </c>
      <c r="L2676" s="6" t="s">
        <v>242</v>
      </c>
      <c r="M2676" s="5" t="s">
        <v>267</v>
      </c>
      <c r="N2676" s="5" t="s">
        <v>265</v>
      </c>
      <c r="O2676" s="5" t="s">
        <v>238</v>
      </c>
      <c r="P2676" s="5" t="s">
        <v>238</v>
      </c>
      <c r="Q2676" s="5" t="s">
        <v>268</v>
      </c>
      <c r="R2676" s="5" t="s">
        <v>270</v>
      </c>
      <c r="S2676" s="5" t="s">
        <v>238</v>
      </c>
      <c r="V2676" s="5" t="s">
        <v>238</v>
      </c>
      <c r="X2676" s="6" t="s">
        <v>238</v>
      </c>
      <c r="AA2676" s="6" t="s">
        <v>243</v>
      </c>
      <c r="AB2676" s="5" t="s">
        <v>238</v>
      </c>
      <c r="AC2676" s="5" t="s">
        <v>244</v>
      </c>
      <c r="AD2676" s="5" t="s">
        <v>245</v>
      </c>
      <c r="AT2676" s="5" t="s">
        <v>246</v>
      </c>
      <c r="AU2676" s="5" t="s">
        <v>238</v>
      </c>
      <c r="AV2676" s="5" t="s">
        <v>247</v>
      </c>
      <c r="AW2676" s="5" t="s">
        <v>238</v>
      </c>
      <c r="AX2676" s="5" t="s">
        <v>249</v>
      </c>
      <c r="AY2676" s="5" t="s">
        <v>238</v>
      </c>
      <c r="BA2676" s="5" t="s">
        <v>238</v>
      </c>
      <c r="BC2676" s="5" t="s">
        <v>250</v>
      </c>
      <c r="BD2676" s="6" t="s">
        <v>243</v>
      </c>
      <c r="BE2676" s="5" t="s">
        <v>251</v>
      </c>
      <c r="BF2676" s="5" t="s">
        <v>252</v>
      </c>
      <c r="BG2676" s="5" t="s">
        <v>238</v>
      </c>
      <c r="BH2676" s="7">
        <f>0</f>
        <v>0</v>
      </c>
      <c r="BI2676" s="8">
        <f>0</f>
        <v>0</v>
      </c>
      <c r="BJ2676" s="5" t="s">
        <v>253</v>
      </c>
      <c r="BK2676" s="5" t="s">
        <v>254</v>
      </c>
      <c r="BY2676" s="5" t="s">
        <v>238</v>
      </c>
      <c r="BZ2676" s="5" t="s">
        <v>238</v>
      </c>
      <c r="CD2676" s="5" t="s">
        <v>273</v>
      </c>
      <c r="CE2676" s="5" t="s">
        <v>256</v>
      </c>
      <c r="CF2676" s="5" t="s">
        <v>238</v>
      </c>
      <c r="CI2676" s="6" t="s">
        <v>257</v>
      </c>
      <c r="CJ2676" s="5" t="s">
        <v>238</v>
      </c>
      <c r="CK2676" s="5" t="s">
        <v>258</v>
      </c>
      <c r="CL2676" s="5" t="s">
        <v>238</v>
      </c>
      <c r="CM2676" s="5" t="s">
        <v>238</v>
      </c>
      <c r="CN2676" s="5">
        <v>0</v>
      </c>
      <c r="CO2676" s="5" t="s">
        <v>259</v>
      </c>
      <c r="CP2676" s="5" t="s">
        <v>260</v>
      </c>
      <c r="CQ2676" s="5" t="s">
        <v>260</v>
      </c>
      <c r="CR2676" s="5" t="s">
        <v>261</v>
      </c>
      <c r="CU2676" s="8">
        <f>1</f>
        <v>1</v>
      </c>
      <c r="CV2676" s="8">
        <f>0</f>
        <v>0</v>
      </c>
      <c r="CX2676" s="8">
        <f>0</f>
        <v>0</v>
      </c>
      <c r="CY2676" s="8">
        <f>1</f>
        <v>1</v>
      </c>
      <c r="DA2676" s="5" t="s">
        <v>274</v>
      </c>
      <c r="DB2676" s="5" t="s">
        <v>238</v>
      </c>
      <c r="DD2676" s="5" t="s">
        <v>274</v>
      </c>
      <c r="DE2676" s="8">
        <f>762</f>
        <v>762</v>
      </c>
      <c r="DG2676" s="5" t="s">
        <v>238</v>
      </c>
      <c r="DH2676" s="5" t="s">
        <v>238</v>
      </c>
      <c r="DI2676" s="5" t="s">
        <v>238</v>
      </c>
      <c r="DJ2676" s="5" t="s">
        <v>238</v>
      </c>
      <c r="DN2676" s="5" t="s">
        <v>238</v>
      </c>
      <c r="DO2676" s="5" t="s">
        <v>238</v>
      </c>
      <c r="DP2676" s="5" t="s">
        <v>238</v>
      </c>
      <c r="DQ2676" s="5" t="s">
        <v>238</v>
      </c>
      <c r="DT2676" s="5" t="s">
        <v>275</v>
      </c>
      <c r="DU2676" s="5" t="s">
        <v>2292</v>
      </c>
      <c r="HM2676" s="5" t="s">
        <v>264</v>
      </c>
    </row>
    <row r="2677" spans="1:221" x14ac:dyDescent="0.4">
      <c r="A2677" s="5">
        <v>4381</v>
      </c>
      <c r="B2677" s="5">
        <v>1</v>
      </c>
      <c r="C2677" s="5">
        <v>1</v>
      </c>
      <c r="D2677" s="5" t="s">
        <v>269</v>
      </c>
      <c r="E2677" s="5" t="s">
        <v>271</v>
      </c>
      <c r="F2677" s="5" t="s">
        <v>248</v>
      </c>
      <c r="G2677" s="5" t="s">
        <v>266</v>
      </c>
      <c r="H2677" s="6" t="s">
        <v>3948</v>
      </c>
      <c r="I2677" s="7">
        <f>332</f>
        <v>332</v>
      </c>
      <c r="J2677" s="5" t="s">
        <v>262</v>
      </c>
      <c r="K2677" s="8">
        <f>1</f>
        <v>1</v>
      </c>
      <c r="L2677" s="6" t="s">
        <v>242</v>
      </c>
      <c r="M2677" s="5" t="s">
        <v>267</v>
      </c>
      <c r="N2677" s="5" t="s">
        <v>265</v>
      </c>
      <c r="O2677" s="5" t="s">
        <v>238</v>
      </c>
      <c r="P2677" s="5" t="s">
        <v>238</v>
      </c>
      <c r="Q2677" s="5" t="s">
        <v>268</v>
      </c>
      <c r="R2677" s="5" t="s">
        <v>270</v>
      </c>
      <c r="S2677" s="5" t="s">
        <v>238</v>
      </c>
      <c r="V2677" s="5" t="s">
        <v>238</v>
      </c>
      <c r="X2677" s="6" t="s">
        <v>238</v>
      </c>
      <c r="AA2677" s="6" t="s">
        <v>243</v>
      </c>
      <c r="AB2677" s="5" t="s">
        <v>238</v>
      </c>
      <c r="AC2677" s="5" t="s">
        <v>244</v>
      </c>
      <c r="AD2677" s="5" t="s">
        <v>245</v>
      </c>
      <c r="AT2677" s="5" t="s">
        <v>246</v>
      </c>
      <c r="AU2677" s="5" t="s">
        <v>238</v>
      </c>
      <c r="AV2677" s="5" t="s">
        <v>247</v>
      </c>
      <c r="AW2677" s="5" t="s">
        <v>238</v>
      </c>
      <c r="AX2677" s="5" t="s">
        <v>249</v>
      </c>
      <c r="AY2677" s="5" t="s">
        <v>238</v>
      </c>
      <c r="BA2677" s="5" t="s">
        <v>238</v>
      </c>
      <c r="BC2677" s="5" t="s">
        <v>250</v>
      </c>
      <c r="BD2677" s="6" t="s">
        <v>243</v>
      </c>
      <c r="BE2677" s="5" t="s">
        <v>251</v>
      </c>
      <c r="BF2677" s="5" t="s">
        <v>252</v>
      </c>
      <c r="BG2677" s="5" t="s">
        <v>238</v>
      </c>
      <c r="BH2677" s="7">
        <f>0</f>
        <v>0</v>
      </c>
      <c r="BI2677" s="8">
        <f>0</f>
        <v>0</v>
      </c>
      <c r="BJ2677" s="5" t="s">
        <v>253</v>
      </c>
      <c r="BK2677" s="5" t="s">
        <v>254</v>
      </c>
      <c r="BY2677" s="5" t="s">
        <v>238</v>
      </c>
      <c r="BZ2677" s="5" t="s">
        <v>238</v>
      </c>
      <c r="CD2677" s="5" t="s">
        <v>273</v>
      </c>
      <c r="CE2677" s="5" t="s">
        <v>256</v>
      </c>
      <c r="CF2677" s="5" t="s">
        <v>238</v>
      </c>
      <c r="CI2677" s="6" t="s">
        <v>257</v>
      </c>
      <c r="CJ2677" s="5" t="s">
        <v>238</v>
      </c>
      <c r="CK2677" s="5" t="s">
        <v>258</v>
      </c>
      <c r="CL2677" s="5" t="s">
        <v>238</v>
      </c>
      <c r="CM2677" s="5" t="s">
        <v>238</v>
      </c>
      <c r="CN2677" s="5">
        <v>0</v>
      </c>
      <c r="CO2677" s="5" t="s">
        <v>259</v>
      </c>
      <c r="CP2677" s="5" t="s">
        <v>260</v>
      </c>
      <c r="CQ2677" s="5" t="s">
        <v>260</v>
      </c>
      <c r="CR2677" s="5" t="s">
        <v>261</v>
      </c>
      <c r="CU2677" s="8">
        <f>1</f>
        <v>1</v>
      </c>
      <c r="CV2677" s="8">
        <f>0</f>
        <v>0</v>
      </c>
      <c r="CX2677" s="8">
        <f>0</f>
        <v>0</v>
      </c>
      <c r="CY2677" s="8">
        <f>1</f>
        <v>1</v>
      </c>
      <c r="DA2677" s="5" t="s">
        <v>274</v>
      </c>
      <c r="DB2677" s="5" t="s">
        <v>238</v>
      </c>
      <c r="DD2677" s="5" t="s">
        <v>274</v>
      </c>
      <c r="DE2677" s="8">
        <f>332</f>
        <v>332</v>
      </c>
      <c r="DG2677" s="5" t="s">
        <v>238</v>
      </c>
      <c r="DH2677" s="5" t="s">
        <v>238</v>
      </c>
      <c r="DI2677" s="5" t="s">
        <v>238</v>
      </c>
      <c r="DJ2677" s="5" t="s">
        <v>238</v>
      </c>
      <c r="DN2677" s="5" t="s">
        <v>238</v>
      </c>
      <c r="DO2677" s="5" t="s">
        <v>238</v>
      </c>
      <c r="DP2677" s="5" t="s">
        <v>238</v>
      </c>
      <c r="DQ2677" s="5" t="s">
        <v>238</v>
      </c>
      <c r="DT2677" s="5" t="s">
        <v>275</v>
      </c>
      <c r="DU2677" s="5" t="s">
        <v>2290</v>
      </c>
      <c r="HM2677" s="5" t="s">
        <v>264</v>
      </c>
    </row>
    <row r="2678" spans="1:221" x14ac:dyDescent="0.4">
      <c r="A2678" s="5">
        <v>4382</v>
      </c>
      <c r="B2678" s="5">
        <v>1</v>
      </c>
      <c r="C2678" s="5">
        <v>1</v>
      </c>
      <c r="D2678" s="5" t="s">
        <v>269</v>
      </c>
      <c r="E2678" s="5" t="s">
        <v>271</v>
      </c>
      <c r="F2678" s="5" t="s">
        <v>248</v>
      </c>
      <c r="G2678" s="5" t="s">
        <v>266</v>
      </c>
      <c r="H2678" s="6" t="s">
        <v>981</v>
      </c>
      <c r="I2678" s="7">
        <f>2344</f>
        <v>2344</v>
      </c>
      <c r="J2678" s="5" t="s">
        <v>262</v>
      </c>
      <c r="K2678" s="8">
        <f>1</f>
        <v>1</v>
      </c>
      <c r="L2678" s="6" t="s">
        <v>242</v>
      </c>
      <c r="M2678" s="5" t="s">
        <v>267</v>
      </c>
      <c r="N2678" s="5" t="s">
        <v>265</v>
      </c>
      <c r="O2678" s="5" t="s">
        <v>238</v>
      </c>
      <c r="P2678" s="5" t="s">
        <v>238</v>
      </c>
      <c r="Q2678" s="5" t="s">
        <v>268</v>
      </c>
      <c r="R2678" s="5" t="s">
        <v>270</v>
      </c>
      <c r="S2678" s="5" t="s">
        <v>238</v>
      </c>
      <c r="V2678" s="5" t="s">
        <v>238</v>
      </c>
      <c r="X2678" s="6" t="s">
        <v>238</v>
      </c>
      <c r="AA2678" s="6" t="s">
        <v>243</v>
      </c>
      <c r="AB2678" s="5" t="s">
        <v>238</v>
      </c>
      <c r="AC2678" s="5" t="s">
        <v>244</v>
      </c>
      <c r="AD2678" s="5" t="s">
        <v>245</v>
      </c>
      <c r="AT2678" s="5" t="s">
        <v>246</v>
      </c>
      <c r="AU2678" s="5" t="s">
        <v>238</v>
      </c>
      <c r="AV2678" s="5" t="s">
        <v>247</v>
      </c>
      <c r="AW2678" s="5" t="s">
        <v>238</v>
      </c>
      <c r="AX2678" s="5" t="s">
        <v>249</v>
      </c>
      <c r="AY2678" s="5" t="s">
        <v>238</v>
      </c>
      <c r="BA2678" s="5" t="s">
        <v>238</v>
      </c>
      <c r="BC2678" s="5" t="s">
        <v>250</v>
      </c>
      <c r="BD2678" s="6" t="s">
        <v>243</v>
      </c>
      <c r="BE2678" s="5" t="s">
        <v>251</v>
      </c>
      <c r="BF2678" s="5" t="s">
        <v>252</v>
      </c>
      <c r="BG2678" s="5" t="s">
        <v>238</v>
      </c>
      <c r="BH2678" s="7">
        <f>0</f>
        <v>0</v>
      </c>
      <c r="BI2678" s="8">
        <f>0</f>
        <v>0</v>
      </c>
      <c r="BJ2678" s="5" t="s">
        <v>253</v>
      </c>
      <c r="BK2678" s="5" t="s">
        <v>254</v>
      </c>
      <c r="BY2678" s="5" t="s">
        <v>238</v>
      </c>
      <c r="BZ2678" s="5" t="s">
        <v>238</v>
      </c>
      <c r="CD2678" s="5" t="s">
        <v>273</v>
      </c>
      <c r="CE2678" s="5" t="s">
        <v>256</v>
      </c>
      <c r="CF2678" s="5" t="s">
        <v>238</v>
      </c>
      <c r="CI2678" s="6" t="s">
        <v>257</v>
      </c>
      <c r="CJ2678" s="5" t="s">
        <v>238</v>
      </c>
      <c r="CK2678" s="5" t="s">
        <v>258</v>
      </c>
      <c r="CL2678" s="5" t="s">
        <v>238</v>
      </c>
      <c r="CM2678" s="5" t="s">
        <v>238</v>
      </c>
      <c r="CN2678" s="5">
        <v>0</v>
      </c>
      <c r="CO2678" s="5" t="s">
        <v>259</v>
      </c>
      <c r="CP2678" s="5" t="s">
        <v>260</v>
      </c>
      <c r="CQ2678" s="5" t="s">
        <v>260</v>
      </c>
      <c r="CR2678" s="5" t="s">
        <v>261</v>
      </c>
      <c r="CU2678" s="8">
        <f>1</f>
        <v>1</v>
      </c>
      <c r="CV2678" s="8">
        <f>0</f>
        <v>0</v>
      </c>
      <c r="CX2678" s="8">
        <f>0</f>
        <v>0</v>
      </c>
      <c r="CY2678" s="8">
        <f>1</f>
        <v>1</v>
      </c>
      <c r="DA2678" s="5" t="s">
        <v>274</v>
      </c>
      <c r="DB2678" s="5" t="s">
        <v>238</v>
      </c>
      <c r="DD2678" s="5" t="s">
        <v>274</v>
      </c>
      <c r="DE2678" s="8">
        <f>2344</f>
        <v>2344</v>
      </c>
      <c r="DG2678" s="5" t="s">
        <v>238</v>
      </c>
      <c r="DH2678" s="5" t="s">
        <v>238</v>
      </c>
      <c r="DI2678" s="5" t="s">
        <v>238</v>
      </c>
      <c r="DJ2678" s="5" t="s">
        <v>238</v>
      </c>
      <c r="DN2678" s="5" t="s">
        <v>238</v>
      </c>
      <c r="DO2678" s="5" t="s">
        <v>238</v>
      </c>
      <c r="DP2678" s="5" t="s">
        <v>238</v>
      </c>
      <c r="DQ2678" s="5" t="s">
        <v>238</v>
      </c>
      <c r="DT2678" s="5" t="s">
        <v>275</v>
      </c>
      <c r="DU2678" s="5" t="s">
        <v>982</v>
      </c>
      <c r="HM2678" s="5" t="s">
        <v>264</v>
      </c>
    </row>
    <row r="2679" spans="1:221" x14ac:dyDescent="0.4">
      <c r="A2679" s="5">
        <v>4383</v>
      </c>
      <c r="B2679" s="5">
        <v>1</v>
      </c>
      <c r="C2679" s="5">
        <v>1</v>
      </c>
      <c r="D2679" s="5" t="s">
        <v>269</v>
      </c>
      <c r="E2679" s="5" t="s">
        <v>271</v>
      </c>
      <c r="F2679" s="5" t="s">
        <v>248</v>
      </c>
      <c r="G2679" s="5" t="s">
        <v>266</v>
      </c>
      <c r="H2679" s="6" t="s">
        <v>943</v>
      </c>
      <c r="I2679" s="7">
        <f>1541</f>
        <v>1541</v>
      </c>
      <c r="J2679" s="5" t="s">
        <v>262</v>
      </c>
      <c r="K2679" s="8">
        <f>1</f>
        <v>1</v>
      </c>
      <c r="L2679" s="6" t="s">
        <v>242</v>
      </c>
      <c r="M2679" s="5" t="s">
        <v>267</v>
      </c>
      <c r="N2679" s="5" t="s">
        <v>265</v>
      </c>
      <c r="O2679" s="5" t="s">
        <v>238</v>
      </c>
      <c r="P2679" s="5" t="s">
        <v>238</v>
      </c>
      <c r="Q2679" s="5" t="s">
        <v>268</v>
      </c>
      <c r="R2679" s="5" t="s">
        <v>270</v>
      </c>
      <c r="S2679" s="5" t="s">
        <v>238</v>
      </c>
      <c r="V2679" s="5" t="s">
        <v>238</v>
      </c>
      <c r="X2679" s="6" t="s">
        <v>238</v>
      </c>
      <c r="AA2679" s="6" t="s">
        <v>243</v>
      </c>
      <c r="AB2679" s="5" t="s">
        <v>238</v>
      </c>
      <c r="AC2679" s="5" t="s">
        <v>244</v>
      </c>
      <c r="AD2679" s="5" t="s">
        <v>245</v>
      </c>
      <c r="AT2679" s="5" t="s">
        <v>246</v>
      </c>
      <c r="AU2679" s="5" t="s">
        <v>238</v>
      </c>
      <c r="AV2679" s="5" t="s">
        <v>247</v>
      </c>
      <c r="AW2679" s="5" t="s">
        <v>238</v>
      </c>
      <c r="AX2679" s="5" t="s">
        <v>249</v>
      </c>
      <c r="AY2679" s="5" t="s">
        <v>238</v>
      </c>
      <c r="BA2679" s="5" t="s">
        <v>238</v>
      </c>
      <c r="BC2679" s="5" t="s">
        <v>250</v>
      </c>
      <c r="BD2679" s="6" t="s">
        <v>243</v>
      </c>
      <c r="BE2679" s="5" t="s">
        <v>251</v>
      </c>
      <c r="BF2679" s="5" t="s">
        <v>252</v>
      </c>
      <c r="BG2679" s="5" t="s">
        <v>238</v>
      </c>
      <c r="BH2679" s="7">
        <f>0</f>
        <v>0</v>
      </c>
      <c r="BI2679" s="8">
        <f>0</f>
        <v>0</v>
      </c>
      <c r="BJ2679" s="5" t="s">
        <v>253</v>
      </c>
      <c r="BK2679" s="5" t="s">
        <v>254</v>
      </c>
      <c r="BY2679" s="5" t="s">
        <v>238</v>
      </c>
      <c r="BZ2679" s="5" t="s">
        <v>238</v>
      </c>
      <c r="CD2679" s="5" t="s">
        <v>273</v>
      </c>
      <c r="CE2679" s="5" t="s">
        <v>256</v>
      </c>
      <c r="CF2679" s="5" t="s">
        <v>238</v>
      </c>
      <c r="CI2679" s="6" t="s">
        <v>257</v>
      </c>
      <c r="CJ2679" s="5" t="s">
        <v>238</v>
      </c>
      <c r="CK2679" s="5" t="s">
        <v>258</v>
      </c>
      <c r="CL2679" s="5" t="s">
        <v>238</v>
      </c>
      <c r="CM2679" s="5" t="s">
        <v>238</v>
      </c>
      <c r="CN2679" s="5">
        <v>0</v>
      </c>
      <c r="CO2679" s="5" t="s">
        <v>259</v>
      </c>
      <c r="CP2679" s="5" t="s">
        <v>260</v>
      </c>
      <c r="CQ2679" s="5" t="s">
        <v>260</v>
      </c>
      <c r="CR2679" s="5" t="s">
        <v>261</v>
      </c>
      <c r="CU2679" s="8">
        <f>1</f>
        <v>1</v>
      </c>
      <c r="CV2679" s="8">
        <f>0</f>
        <v>0</v>
      </c>
      <c r="CX2679" s="8">
        <f>0</f>
        <v>0</v>
      </c>
      <c r="CY2679" s="8">
        <f>1</f>
        <v>1</v>
      </c>
      <c r="DA2679" s="5" t="s">
        <v>274</v>
      </c>
      <c r="DB2679" s="5" t="s">
        <v>238</v>
      </c>
      <c r="DD2679" s="5" t="s">
        <v>274</v>
      </c>
      <c r="DE2679" s="8">
        <f>1541</f>
        <v>1541</v>
      </c>
      <c r="DG2679" s="5" t="s">
        <v>238</v>
      </c>
      <c r="DH2679" s="5" t="s">
        <v>238</v>
      </c>
      <c r="DI2679" s="5" t="s">
        <v>238</v>
      </c>
      <c r="DJ2679" s="5" t="s">
        <v>238</v>
      </c>
      <c r="DN2679" s="5" t="s">
        <v>238</v>
      </c>
      <c r="DO2679" s="5" t="s">
        <v>238</v>
      </c>
      <c r="DP2679" s="5" t="s">
        <v>238</v>
      </c>
      <c r="DQ2679" s="5" t="s">
        <v>238</v>
      </c>
      <c r="DT2679" s="5" t="s">
        <v>275</v>
      </c>
      <c r="DU2679" s="5" t="s">
        <v>944</v>
      </c>
      <c r="HM2679" s="5" t="s">
        <v>264</v>
      </c>
    </row>
    <row r="2680" spans="1:221" x14ac:dyDescent="0.4">
      <c r="A2680" s="5">
        <v>4384</v>
      </c>
      <c r="B2680" s="5">
        <v>1</v>
      </c>
      <c r="C2680" s="5">
        <v>1</v>
      </c>
      <c r="D2680" s="5" t="s">
        <v>269</v>
      </c>
      <c r="E2680" s="5" t="s">
        <v>271</v>
      </c>
      <c r="F2680" s="5" t="s">
        <v>248</v>
      </c>
      <c r="G2680" s="5" t="s">
        <v>266</v>
      </c>
      <c r="H2680" s="6" t="s">
        <v>1759</v>
      </c>
      <c r="I2680" s="7">
        <f>2352</f>
        <v>2352</v>
      </c>
      <c r="J2680" s="5" t="s">
        <v>262</v>
      </c>
      <c r="K2680" s="8">
        <f>1</f>
        <v>1</v>
      </c>
      <c r="L2680" s="6" t="s">
        <v>242</v>
      </c>
      <c r="M2680" s="5" t="s">
        <v>267</v>
      </c>
      <c r="N2680" s="5" t="s">
        <v>265</v>
      </c>
      <c r="O2680" s="5" t="s">
        <v>238</v>
      </c>
      <c r="P2680" s="5" t="s">
        <v>238</v>
      </c>
      <c r="Q2680" s="5" t="s">
        <v>268</v>
      </c>
      <c r="R2680" s="5" t="s">
        <v>270</v>
      </c>
      <c r="S2680" s="5" t="s">
        <v>238</v>
      </c>
      <c r="V2680" s="5" t="s">
        <v>238</v>
      </c>
      <c r="X2680" s="6" t="s">
        <v>238</v>
      </c>
      <c r="AA2680" s="6" t="s">
        <v>243</v>
      </c>
      <c r="AB2680" s="5" t="s">
        <v>238</v>
      </c>
      <c r="AC2680" s="5" t="s">
        <v>244</v>
      </c>
      <c r="AD2680" s="5" t="s">
        <v>245</v>
      </c>
      <c r="AT2680" s="5" t="s">
        <v>246</v>
      </c>
      <c r="AU2680" s="5" t="s">
        <v>238</v>
      </c>
      <c r="AV2680" s="5" t="s">
        <v>247</v>
      </c>
      <c r="AW2680" s="5" t="s">
        <v>238</v>
      </c>
      <c r="AX2680" s="5" t="s">
        <v>249</v>
      </c>
      <c r="AY2680" s="5" t="s">
        <v>238</v>
      </c>
      <c r="BA2680" s="5" t="s">
        <v>238</v>
      </c>
      <c r="BC2680" s="5" t="s">
        <v>250</v>
      </c>
      <c r="BD2680" s="6" t="s">
        <v>243</v>
      </c>
      <c r="BE2680" s="5" t="s">
        <v>251</v>
      </c>
      <c r="BF2680" s="5" t="s">
        <v>252</v>
      </c>
      <c r="BG2680" s="5" t="s">
        <v>238</v>
      </c>
      <c r="BH2680" s="7">
        <f>0</f>
        <v>0</v>
      </c>
      <c r="BI2680" s="8">
        <f>0</f>
        <v>0</v>
      </c>
      <c r="BJ2680" s="5" t="s">
        <v>253</v>
      </c>
      <c r="BK2680" s="5" t="s">
        <v>254</v>
      </c>
      <c r="BY2680" s="5" t="s">
        <v>238</v>
      </c>
      <c r="BZ2680" s="5" t="s">
        <v>238</v>
      </c>
      <c r="CD2680" s="5" t="s">
        <v>273</v>
      </c>
      <c r="CE2680" s="5" t="s">
        <v>256</v>
      </c>
      <c r="CF2680" s="5" t="s">
        <v>238</v>
      </c>
      <c r="CI2680" s="6" t="s">
        <v>257</v>
      </c>
      <c r="CJ2680" s="5" t="s">
        <v>238</v>
      </c>
      <c r="CK2680" s="5" t="s">
        <v>258</v>
      </c>
      <c r="CL2680" s="5" t="s">
        <v>238</v>
      </c>
      <c r="CM2680" s="5" t="s">
        <v>238</v>
      </c>
      <c r="CN2680" s="5">
        <v>0</v>
      </c>
      <c r="CO2680" s="5" t="s">
        <v>259</v>
      </c>
      <c r="CP2680" s="5" t="s">
        <v>260</v>
      </c>
      <c r="CQ2680" s="5" t="s">
        <v>260</v>
      </c>
      <c r="CR2680" s="5" t="s">
        <v>261</v>
      </c>
      <c r="CU2680" s="8">
        <f>1</f>
        <v>1</v>
      </c>
      <c r="CV2680" s="8">
        <f>0</f>
        <v>0</v>
      </c>
      <c r="CX2680" s="8">
        <f>0</f>
        <v>0</v>
      </c>
      <c r="CY2680" s="8">
        <f>1</f>
        <v>1</v>
      </c>
      <c r="DA2680" s="5" t="s">
        <v>274</v>
      </c>
      <c r="DB2680" s="5" t="s">
        <v>238</v>
      </c>
      <c r="DD2680" s="5" t="s">
        <v>274</v>
      </c>
      <c r="DE2680" s="8">
        <f>2352</f>
        <v>2352</v>
      </c>
      <c r="DG2680" s="5" t="s">
        <v>238</v>
      </c>
      <c r="DH2680" s="5" t="s">
        <v>238</v>
      </c>
      <c r="DI2680" s="5" t="s">
        <v>238</v>
      </c>
      <c r="DJ2680" s="5" t="s">
        <v>238</v>
      </c>
      <c r="DN2680" s="5" t="s">
        <v>238</v>
      </c>
      <c r="DO2680" s="5" t="s">
        <v>238</v>
      </c>
      <c r="DP2680" s="5" t="s">
        <v>238</v>
      </c>
      <c r="DQ2680" s="5" t="s">
        <v>238</v>
      </c>
      <c r="DT2680" s="5" t="s">
        <v>275</v>
      </c>
      <c r="DU2680" s="5" t="s">
        <v>1760</v>
      </c>
      <c r="HM2680" s="5" t="s">
        <v>264</v>
      </c>
    </row>
    <row r="2681" spans="1:221" x14ac:dyDescent="0.4">
      <c r="A2681" s="5">
        <v>4385</v>
      </c>
      <c r="B2681" s="5">
        <v>1</v>
      </c>
      <c r="C2681" s="5">
        <v>1</v>
      </c>
      <c r="D2681" s="5" t="s">
        <v>269</v>
      </c>
      <c r="E2681" s="5" t="s">
        <v>271</v>
      </c>
      <c r="F2681" s="5" t="s">
        <v>248</v>
      </c>
      <c r="G2681" s="5" t="s">
        <v>266</v>
      </c>
      <c r="H2681" s="6" t="s">
        <v>1129</v>
      </c>
      <c r="I2681" s="7">
        <f>524</f>
        <v>524</v>
      </c>
      <c r="J2681" s="5" t="s">
        <v>262</v>
      </c>
      <c r="K2681" s="8">
        <f>1</f>
        <v>1</v>
      </c>
      <c r="L2681" s="6" t="s">
        <v>242</v>
      </c>
      <c r="M2681" s="5" t="s">
        <v>267</v>
      </c>
      <c r="N2681" s="5" t="s">
        <v>265</v>
      </c>
      <c r="O2681" s="5" t="s">
        <v>238</v>
      </c>
      <c r="P2681" s="5" t="s">
        <v>238</v>
      </c>
      <c r="Q2681" s="5" t="s">
        <v>268</v>
      </c>
      <c r="R2681" s="5" t="s">
        <v>270</v>
      </c>
      <c r="S2681" s="5" t="s">
        <v>238</v>
      </c>
      <c r="V2681" s="5" t="s">
        <v>238</v>
      </c>
      <c r="X2681" s="6" t="s">
        <v>238</v>
      </c>
      <c r="AA2681" s="6" t="s">
        <v>243</v>
      </c>
      <c r="AB2681" s="5" t="s">
        <v>238</v>
      </c>
      <c r="AC2681" s="5" t="s">
        <v>244</v>
      </c>
      <c r="AD2681" s="5" t="s">
        <v>245</v>
      </c>
      <c r="AT2681" s="5" t="s">
        <v>246</v>
      </c>
      <c r="AU2681" s="5" t="s">
        <v>238</v>
      </c>
      <c r="AV2681" s="5" t="s">
        <v>247</v>
      </c>
      <c r="AW2681" s="5" t="s">
        <v>238</v>
      </c>
      <c r="AX2681" s="5" t="s">
        <v>249</v>
      </c>
      <c r="AY2681" s="5" t="s">
        <v>238</v>
      </c>
      <c r="BA2681" s="5" t="s">
        <v>238</v>
      </c>
      <c r="BC2681" s="5" t="s">
        <v>250</v>
      </c>
      <c r="BD2681" s="6" t="s">
        <v>243</v>
      </c>
      <c r="BE2681" s="5" t="s">
        <v>251</v>
      </c>
      <c r="BF2681" s="5" t="s">
        <v>252</v>
      </c>
      <c r="BG2681" s="5" t="s">
        <v>238</v>
      </c>
      <c r="BH2681" s="7">
        <f>0</f>
        <v>0</v>
      </c>
      <c r="BI2681" s="8">
        <f>0</f>
        <v>0</v>
      </c>
      <c r="BJ2681" s="5" t="s">
        <v>253</v>
      </c>
      <c r="BK2681" s="5" t="s">
        <v>254</v>
      </c>
      <c r="BY2681" s="5" t="s">
        <v>238</v>
      </c>
      <c r="BZ2681" s="5" t="s">
        <v>238</v>
      </c>
      <c r="CD2681" s="5" t="s">
        <v>273</v>
      </c>
      <c r="CE2681" s="5" t="s">
        <v>256</v>
      </c>
      <c r="CF2681" s="5" t="s">
        <v>238</v>
      </c>
      <c r="CI2681" s="6" t="s">
        <v>257</v>
      </c>
      <c r="CJ2681" s="5" t="s">
        <v>238</v>
      </c>
      <c r="CK2681" s="5" t="s">
        <v>258</v>
      </c>
      <c r="CL2681" s="5" t="s">
        <v>238</v>
      </c>
      <c r="CM2681" s="5" t="s">
        <v>238</v>
      </c>
      <c r="CN2681" s="5">
        <v>0</v>
      </c>
      <c r="CO2681" s="5" t="s">
        <v>259</v>
      </c>
      <c r="CP2681" s="5" t="s">
        <v>260</v>
      </c>
      <c r="CQ2681" s="5" t="s">
        <v>260</v>
      </c>
      <c r="CR2681" s="5" t="s">
        <v>261</v>
      </c>
      <c r="CU2681" s="8">
        <f>1</f>
        <v>1</v>
      </c>
      <c r="CV2681" s="8">
        <f>0</f>
        <v>0</v>
      </c>
      <c r="CX2681" s="8">
        <f>0</f>
        <v>0</v>
      </c>
      <c r="CY2681" s="8">
        <f>1</f>
        <v>1</v>
      </c>
      <c r="DA2681" s="5" t="s">
        <v>274</v>
      </c>
      <c r="DB2681" s="5" t="s">
        <v>238</v>
      </c>
      <c r="DD2681" s="5" t="s">
        <v>274</v>
      </c>
      <c r="DE2681" s="8">
        <f>524</f>
        <v>524</v>
      </c>
      <c r="DG2681" s="5" t="s">
        <v>238</v>
      </c>
      <c r="DH2681" s="5" t="s">
        <v>238</v>
      </c>
      <c r="DI2681" s="5" t="s">
        <v>238</v>
      </c>
      <c r="DJ2681" s="5" t="s">
        <v>238</v>
      </c>
      <c r="DN2681" s="5" t="s">
        <v>238</v>
      </c>
      <c r="DO2681" s="5" t="s">
        <v>238</v>
      </c>
      <c r="DP2681" s="5" t="s">
        <v>238</v>
      </c>
      <c r="DQ2681" s="5" t="s">
        <v>238</v>
      </c>
      <c r="DT2681" s="5" t="s">
        <v>275</v>
      </c>
      <c r="DU2681" s="5" t="s">
        <v>1130</v>
      </c>
      <c r="HM2681" s="5" t="s">
        <v>264</v>
      </c>
    </row>
    <row r="2682" spans="1:221" x14ac:dyDescent="0.4">
      <c r="A2682" s="5">
        <v>4386</v>
      </c>
      <c r="B2682" s="5">
        <v>1</v>
      </c>
      <c r="C2682" s="5">
        <v>1</v>
      </c>
      <c r="D2682" s="5" t="s">
        <v>269</v>
      </c>
      <c r="E2682" s="5" t="s">
        <v>271</v>
      </c>
      <c r="F2682" s="5" t="s">
        <v>248</v>
      </c>
      <c r="G2682" s="5" t="s">
        <v>266</v>
      </c>
      <c r="H2682" s="6" t="s">
        <v>1749</v>
      </c>
      <c r="I2682" s="7">
        <f>300</f>
        <v>300</v>
      </c>
      <c r="J2682" s="5" t="s">
        <v>262</v>
      </c>
      <c r="K2682" s="8">
        <f>1</f>
        <v>1</v>
      </c>
      <c r="L2682" s="6" t="s">
        <v>242</v>
      </c>
      <c r="M2682" s="5" t="s">
        <v>267</v>
      </c>
      <c r="N2682" s="5" t="s">
        <v>265</v>
      </c>
      <c r="O2682" s="5" t="s">
        <v>238</v>
      </c>
      <c r="P2682" s="5" t="s">
        <v>238</v>
      </c>
      <c r="Q2682" s="5" t="s">
        <v>268</v>
      </c>
      <c r="R2682" s="5" t="s">
        <v>270</v>
      </c>
      <c r="S2682" s="5" t="s">
        <v>238</v>
      </c>
      <c r="V2682" s="5" t="s">
        <v>238</v>
      </c>
      <c r="X2682" s="6" t="s">
        <v>238</v>
      </c>
      <c r="AA2682" s="6" t="s">
        <v>243</v>
      </c>
      <c r="AB2682" s="5" t="s">
        <v>238</v>
      </c>
      <c r="AC2682" s="5" t="s">
        <v>244</v>
      </c>
      <c r="AD2682" s="5" t="s">
        <v>245</v>
      </c>
      <c r="AT2682" s="5" t="s">
        <v>246</v>
      </c>
      <c r="AU2682" s="5" t="s">
        <v>238</v>
      </c>
      <c r="AV2682" s="5" t="s">
        <v>247</v>
      </c>
      <c r="AW2682" s="5" t="s">
        <v>238</v>
      </c>
      <c r="AX2682" s="5" t="s">
        <v>249</v>
      </c>
      <c r="AY2682" s="5" t="s">
        <v>238</v>
      </c>
      <c r="BA2682" s="5" t="s">
        <v>238</v>
      </c>
      <c r="BC2682" s="5" t="s">
        <v>250</v>
      </c>
      <c r="BD2682" s="6" t="s">
        <v>243</v>
      </c>
      <c r="BE2682" s="5" t="s">
        <v>251</v>
      </c>
      <c r="BF2682" s="5" t="s">
        <v>252</v>
      </c>
      <c r="BG2682" s="5" t="s">
        <v>238</v>
      </c>
      <c r="BH2682" s="7">
        <f>0</f>
        <v>0</v>
      </c>
      <c r="BI2682" s="8">
        <f>0</f>
        <v>0</v>
      </c>
      <c r="BJ2682" s="5" t="s">
        <v>253</v>
      </c>
      <c r="BK2682" s="5" t="s">
        <v>254</v>
      </c>
      <c r="BY2682" s="5" t="s">
        <v>238</v>
      </c>
      <c r="BZ2682" s="5" t="s">
        <v>238</v>
      </c>
      <c r="CD2682" s="5" t="s">
        <v>273</v>
      </c>
      <c r="CE2682" s="5" t="s">
        <v>256</v>
      </c>
      <c r="CF2682" s="5" t="s">
        <v>238</v>
      </c>
      <c r="CI2682" s="6" t="s">
        <v>257</v>
      </c>
      <c r="CJ2682" s="5" t="s">
        <v>238</v>
      </c>
      <c r="CK2682" s="5" t="s">
        <v>258</v>
      </c>
      <c r="CL2682" s="5" t="s">
        <v>238</v>
      </c>
      <c r="CM2682" s="5" t="s">
        <v>238</v>
      </c>
      <c r="CN2682" s="5">
        <v>0</v>
      </c>
      <c r="CO2682" s="5" t="s">
        <v>259</v>
      </c>
      <c r="CP2682" s="5" t="s">
        <v>260</v>
      </c>
      <c r="CQ2682" s="5" t="s">
        <v>260</v>
      </c>
      <c r="CR2682" s="5" t="s">
        <v>261</v>
      </c>
      <c r="CU2682" s="8">
        <f>1</f>
        <v>1</v>
      </c>
      <c r="CV2682" s="8">
        <f>0</f>
        <v>0</v>
      </c>
      <c r="CX2682" s="8">
        <f>0</f>
        <v>0</v>
      </c>
      <c r="CY2682" s="8">
        <f>1</f>
        <v>1</v>
      </c>
      <c r="DA2682" s="5" t="s">
        <v>274</v>
      </c>
      <c r="DB2682" s="5" t="s">
        <v>238</v>
      </c>
      <c r="DD2682" s="5" t="s">
        <v>274</v>
      </c>
      <c r="DE2682" s="8">
        <f>300</f>
        <v>300</v>
      </c>
      <c r="DG2682" s="5" t="s">
        <v>238</v>
      </c>
      <c r="DH2682" s="5" t="s">
        <v>238</v>
      </c>
      <c r="DI2682" s="5" t="s">
        <v>238</v>
      </c>
      <c r="DJ2682" s="5" t="s">
        <v>238</v>
      </c>
      <c r="DN2682" s="5" t="s">
        <v>238</v>
      </c>
      <c r="DO2682" s="5" t="s">
        <v>238</v>
      </c>
      <c r="DP2682" s="5" t="s">
        <v>238</v>
      </c>
      <c r="DQ2682" s="5" t="s">
        <v>238</v>
      </c>
      <c r="DT2682" s="5" t="s">
        <v>275</v>
      </c>
      <c r="DU2682" s="5" t="s">
        <v>1750</v>
      </c>
      <c r="HM2682" s="5" t="s">
        <v>264</v>
      </c>
    </row>
    <row r="2683" spans="1:221" x14ac:dyDescent="0.4">
      <c r="A2683" s="5">
        <v>4387</v>
      </c>
      <c r="B2683" s="5">
        <v>1</v>
      </c>
      <c r="C2683" s="5">
        <v>1</v>
      </c>
      <c r="D2683" s="5" t="s">
        <v>269</v>
      </c>
      <c r="E2683" s="5" t="s">
        <v>271</v>
      </c>
      <c r="F2683" s="5" t="s">
        <v>248</v>
      </c>
      <c r="G2683" s="5" t="s">
        <v>266</v>
      </c>
      <c r="H2683" s="6" t="s">
        <v>1741</v>
      </c>
      <c r="I2683" s="7">
        <f>1188</f>
        <v>1188</v>
      </c>
      <c r="J2683" s="5" t="s">
        <v>262</v>
      </c>
      <c r="K2683" s="8">
        <f>1</f>
        <v>1</v>
      </c>
      <c r="L2683" s="6" t="s">
        <v>242</v>
      </c>
      <c r="M2683" s="5" t="s">
        <v>267</v>
      </c>
      <c r="N2683" s="5" t="s">
        <v>265</v>
      </c>
      <c r="O2683" s="5" t="s">
        <v>238</v>
      </c>
      <c r="P2683" s="5" t="s">
        <v>238</v>
      </c>
      <c r="Q2683" s="5" t="s">
        <v>268</v>
      </c>
      <c r="R2683" s="5" t="s">
        <v>270</v>
      </c>
      <c r="S2683" s="5" t="s">
        <v>238</v>
      </c>
      <c r="V2683" s="5" t="s">
        <v>238</v>
      </c>
      <c r="X2683" s="6" t="s">
        <v>238</v>
      </c>
      <c r="AA2683" s="6" t="s">
        <v>243</v>
      </c>
      <c r="AB2683" s="5" t="s">
        <v>238</v>
      </c>
      <c r="AC2683" s="5" t="s">
        <v>244</v>
      </c>
      <c r="AD2683" s="5" t="s">
        <v>245</v>
      </c>
      <c r="AT2683" s="5" t="s">
        <v>246</v>
      </c>
      <c r="AU2683" s="5" t="s">
        <v>238</v>
      </c>
      <c r="AV2683" s="5" t="s">
        <v>247</v>
      </c>
      <c r="AW2683" s="5" t="s">
        <v>238</v>
      </c>
      <c r="AX2683" s="5" t="s">
        <v>249</v>
      </c>
      <c r="AY2683" s="5" t="s">
        <v>238</v>
      </c>
      <c r="BA2683" s="5" t="s">
        <v>238</v>
      </c>
      <c r="BC2683" s="5" t="s">
        <v>250</v>
      </c>
      <c r="BD2683" s="6" t="s">
        <v>243</v>
      </c>
      <c r="BE2683" s="5" t="s">
        <v>251</v>
      </c>
      <c r="BF2683" s="5" t="s">
        <v>252</v>
      </c>
      <c r="BG2683" s="5" t="s">
        <v>238</v>
      </c>
      <c r="BH2683" s="7">
        <f>0</f>
        <v>0</v>
      </c>
      <c r="BI2683" s="8">
        <f>0</f>
        <v>0</v>
      </c>
      <c r="BJ2683" s="5" t="s">
        <v>253</v>
      </c>
      <c r="BK2683" s="5" t="s">
        <v>254</v>
      </c>
      <c r="BY2683" s="5" t="s">
        <v>238</v>
      </c>
      <c r="BZ2683" s="5" t="s">
        <v>238</v>
      </c>
      <c r="CD2683" s="5" t="s">
        <v>273</v>
      </c>
      <c r="CE2683" s="5" t="s">
        <v>256</v>
      </c>
      <c r="CF2683" s="5" t="s">
        <v>238</v>
      </c>
      <c r="CI2683" s="6" t="s">
        <v>257</v>
      </c>
      <c r="CJ2683" s="5" t="s">
        <v>238</v>
      </c>
      <c r="CK2683" s="5" t="s">
        <v>258</v>
      </c>
      <c r="CL2683" s="5" t="s">
        <v>238</v>
      </c>
      <c r="CM2683" s="5" t="s">
        <v>238</v>
      </c>
      <c r="CN2683" s="5">
        <v>0</v>
      </c>
      <c r="CO2683" s="5" t="s">
        <v>259</v>
      </c>
      <c r="CP2683" s="5" t="s">
        <v>260</v>
      </c>
      <c r="CQ2683" s="5" t="s">
        <v>260</v>
      </c>
      <c r="CR2683" s="5" t="s">
        <v>261</v>
      </c>
      <c r="CU2683" s="8">
        <f>1</f>
        <v>1</v>
      </c>
      <c r="CV2683" s="8">
        <f>0</f>
        <v>0</v>
      </c>
      <c r="CX2683" s="8">
        <f>0</f>
        <v>0</v>
      </c>
      <c r="CY2683" s="8">
        <f>1</f>
        <v>1</v>
      </c>
      <c r="DA2683" s="5" t="s">
        <v>274</v>
      </c>
      <c r="DB2683" s="5" t="s">
        <v>238</v>
      </c>
      <c r="DD2683" s="5" t="s">
        <v>274</v>
      </c>
      <c r="DE2683" s="8">
        <f>1188</f>
        <v>1188</v>
      </c>
      <c r="DG2683" s="5" t="s">
        <v>238</v>
      </c>
      <c r="DH2683" s="5" t="s">
        <v>238</v>
      </c>
      <c r="DI2683" s="5" t="s">
        <v>238</v>
      </c>
      <c r="DJ2683" s="5" t="s">
        <v>238</v>
      </c>
      <c r="DN2683" s="5" t="s">
        <v>238</v>
      </c>
      <c r="DO2683" s="5" t="s">
        <v>238</v>
      </c>
      <c r="DP2683" s="5" t="s">
        <v>238</v>
      </c>
      <c r="DQ2683" s="5" t="s">
        <v>238</v>
      </c>
      <c r="DT2683" s="5" t="s">
        <v>275</v>
      </c>
      <c r="DU2683" s="5" t="s">
        <v>1742</v>
      </c>
      <c r="HM2683" s="5" t="s">
        <v>264</v>
      </c>
    </row>
    <row r="2684" spans="1:221" x14ac:dyDescent="0.4">
      <c r="A2684" s="5">
        <v>4388</v>
      </c>
      <c r="B2684" s="5">
        <v>1</v>
      </c>
      <c r="C2684" s="5">
        <v>1</v>
      </c>
      <c r="D2684" s="5" t="s">
        <v>269</v>
      </c>
      <c r="E2684" s="5" t="s">
        <v>271</v>
      </c>
      <c r="F2684" s="5" t="s">
        <v>248</v>
      </c>
      <c r="G2684" s="5" t="s">
        <v>266</v>
      </c>
      <c r="H2684" s="6" t="s">
        <v>1731</v>
      </c>
      <c r="I2684" s="7">
        <f>335</f>
        <v>335</v>
      </c>
      <c r="J2684" s="5" t="s">
        <v>262</v>
      </c>
      <c r="K2684" s="8">
        <f>1</f>
        <v>1</v>
      </c>
      <c r="L2684" s="6" t="s">
        <v>242</v>
      </c>
      <c r="M2684" s="5" t="s">
        <v>267</v>
      </c>
      <c r="N2684" s="5" t="s">
        <v>265</v>
      </c>
      <c r="O2684" s="5" t="s">
        <v>238</v>
      </c>
      <c r="P2684" s="5" t="s">
        <v>238</v>
      </c>
      <c r="Q2684" s="5" t="s">
        <v>268</v>
      </c>
      <c r="R2684" s="5" t="s">
        <v>270</v>
      </c>
      <c r="S2684" s="5" t="s">
        <v>238</v>
      </c>
      <c r="V2684" s="5" t="s">
        <v>238</v>
      </c>
      <c r="X2684" s="6" t="s">
        <v>238</v>
      </c>
      <c r="AA2684" s="6" t="s">
        <v>243</v>
      </c>
      <c r="AB2684" s="5" t="s">
        <v>238</v>
      </c>
      <c r="AC2684" s="5" t="s">
        <v>244</v>
      </c>
      <c r="AD2684" s="5" t="s">
        <v>245</v>
      </c>
      <c r="AT2684" s="5" t="s">
        <v>246</v>
      </c>
      <c r="AU2684" s="5" t="s">
        <v>238</v>
      </c>
      <c r="AV2684" s="5" t="s">
        <v>247</v>
      </c>
      <c r="AW2684" s="5" t="s">
        <v>238</v>
      </c>
      <c r="AX2684" s="5" t="s">
        <v>249</v>
      </c>
      <c r="AY2684" s="5" t="s">
        <v>238</v>
      </c>
      <c r="BA2684" s="5" t="s">
        <v>238</v>
      </c>
      <c r="BC2684" s="5" t="s">
        <v>250</v>
      </c>
      <c r="BD2684" s="6" t="s">
        <v>243</v>
      </c>
      <c r="BE2684" s="5" t="s">
        <v>251</v>
      </c>
      <c r="BF2684" s="5" t="s">
        <v>252</v>
      </c>
      <c r="BG2684" s="5" t="s">
        <v>238</v>
      </c>
      <c r="BH2684" s="7">
        <f>0</f>
        <v>0</v>
      </c>
      <c r="BI2684" s="8">
        <f>0</f>
        <v>0</v>
      </c>
      <c r="BJ2684" s="5" t="s">
        <v>253</v>
      </c>
      <c r="BK2684" s="5" t="s">
        <v>254</v>
      </c>
      <c r="BY2684" s="5" t="s">
        <v>238</v>
      </c>
      <c r="BZ2684" s="5" t="s">
        <v>238</v>
      </c>
      <c r="CD2684" s="5" t="s">
        <v>273</v>
      </c>
      <c r="CE2684" s="5" t="s">
        <v>256</v>
      </c>
      <c r="CF2684" s="5" t="s">
        <v>238</v>
      </c>
      <c r="CI2684" s="6" t="s">
        <v>257</v>
      </c>
      <c r="CJ2684" s="5" t="s">
        <v>238</v>
      </c>
      <c r="CK2684" s="5" t="s">
        <v>258</v>
      </c>
      <c r="CL2684" s="5" t="s">
        <v>238</v>
      </c>
      <c r="CM2684" s="5" t="s">
        <v>238</v>
      </c>
      <c r="CN2684" s="5">
        <v>0</v>
      </c>
      <c r="CO2684" s="5" t="s">
        <v>259</v>
      </c>
      <c r="CP2684" s="5" t="s">
        <v>260</v>
      </c>
      <c r="CQ2684" s="5" t="s">
        <v>260</v>
      </c>
      <c r="CR2684" s="5" t="s">
        <v>261</v>
      </c>
      <c r="CU2684" s="8">
        <f>1</f>
        <v>1</v>
      </c>
      <c r="CV2684" s="8">
        <f>0</f>
        <v>0</v>
      </c>
      <c r="CX2684" s="8">
        <f>0</f>
        <v>0</v>
      </c>
      <c r="CY2684" s="8">
        <f>1</f>
        <v>1</v>
      </c>
      <c r="DA2684" s="5" t="s">
        <v>274</v>
      </c>
      <c r="DB2684" s="5" t="s">
        <v>238</v>
      </c>
      <c r="DD2684" s="5" t="s">
        <v>274</v>
      </c>
      <c r="DE2684" s="8">
        <f>335</f>
        <v>335</v>
      </c>
      <c r="DG2684" s="5" t="s">
        <v>238</v>
      </c>
      <c r="DH2684" s="5" t="s">
        <v>238</v>
      </c>
      <c r="DI2684" s="5" t="s">
        <v>238</v>
      </c>
      <c r="DJ2684" s="5" t="s">
        <v>238</v>
      </c>
      <c r="DN2684" s="5" t="s">
        <v>238</v>
      </c>
      <c r="DO2684" s="5" t="s">
        <v>238</v>
      </c>
      <c r="DP2684" s="5" t="s">
        <v>238</v>
      </c>
      <c r="DQ2684" s="5" t="s">
        <v>238</v>
      </c>
      <c r="DT2684" s="5" t="s">
        <v>275</v>
      </c>
      <c r="DU2684" s="5" t="s">
        <v>1732</v>
      </c>
      <c r="HM2684" s="5" t="s">
        <v>264</v>
      </c>
    </row>
    <row r="2685" spans="1:221" x14ac:dyDescent="0.4">
      <c r="A2685" s="5">
        <v>4389</v>
      </c>
      <c r="B2685" s="5">
        <v>1</v>
      </c>
      <c r="C2685" s="5">
        <v>1</v>
      </c>
      <c r="D2685" s="5" t="s">
        <v>269</v>
      </c>
      <c r="E2685" s="5" t="s">
        <v>271</v>
      </c>
      <c r="F2685" s="5" t="s">
        <v>248</v>
      </c>
      <c r="G2685" s="5" t="s">
        <v>266</v>
      </c>
      <c r="H2685" s="6" t="s">
        <v>1727</v>
      </c>
      <c r="I2685" s="7">
        <f>1058</f>
        <v>1058</v>
      </c>
      <c r="J2685" s="5" t="s">
        <v>262</v>
      </c>
      <c r="K2685" s="8">
        <f>1</f>
        <v>1</v>
      </c>
      <c r="L2685" s="6" t="s">
        <v>242</v>
      </c>
      <c r="M2685" s="5" t="s">
        <v>267</v>
      </c>
      <c r="N2685" s="5" t="s">
        <v>265</v>
      </c>
      <c r="O2685" s="5" t="s">
        <v>238</v>
      </c>
      <c r="P2685" s="5" t="s">
        <v>238</v>
      </c>
      <c r="Q2685" s="5" t="s">
        <v>268</v>
      </c>
      <c r="R2685" s="5" t="s">
        <v>270</v>
      </c>
      <c r="S2685" s="5" t="s">
        <v>238</v>
      </c>
      <c r="V2685" s="5" t="s">
        <v>238</v>
      </c>
      <c r="X2685" s="6" t="s">
        <v>238</v>
      </c>
      <c r="AA2685" s="6" t="s">
        <v>243</v>
      </c>
      <c r="AB2685" s="5" t="s">
        <v>238</v>
      </c>
      <c r="AC2685" s="5" t="s">
        <v>244</v>
      </c>
      <c r="AD2685" s="5" t="s">
        <v>245</v>
      </c>
      <c r="AT2685" s="5" t="s">
        <v>246</v>
      </c>
      <c r="AU2685" s="5" t="s">
        <v>238</v>
      </c>
      <c r="AV2685" s="5" t="s">
        <v>247</v>
      </c>
      <c r="AW2685" s="5" t="s">
        <v>238</v>
      </c>
      <c r="AX2685" s="5" t="s">
        <v>249</v>
      </c>
      <c r="AY2685" s="5" t="s">
        <v>238</v>
      </c>
      <c r="BA2685" s="5" t="s">
        <v>238</v>
      </c>
      <c r="BC2685" s="5" t="s">
        <v>250</v>
      </c>
      <c r="BD2685" s="6" t="s">
        <v>243</v>
      </c>
      <c r="BE2685" s="5" t="s">
        <v>251</v>
      </c>
      <c r="BF2685" s="5" t="s">
        <v>252</v>
      </c>
      <c r="BG2685" s="5" t="s">
        <v>238</v>
      </c>
      <c r="BH2685" s="7">
        <f>0</f>
        <v>0</v>
      </c>
      <c r="BI2685" s="8">
        <f>0</f>
        <v>0</v>
      </c>
      <c r="BJ2685" s="5" t="s">
        <v>253</v>
      </c>
      <c r="BK2685" s="5" t="s">
        <v>254</v>
      </c>
      <c r="BY2685" s="5" t="s">
        <v>238</v>
      </c>
      <c r="BZ2685" s="5" t="s">
        <v>238</v>
      </c>
      <c r="CD2685" s="5" t="s">
        <v>273</v>
      </c>
      <c r="CE2685" s="5" t="s">
        <v>256</v>
      </c>
      <c r="CF2685" s="5" t="s">
        <v>238</v>
      </c>
      <c r="CI2685" s="6" t="s">
        <v>257</v>
      </c>
      <c r="CJ2685" s="5" t="s">
        <v>238</v>
      </c>
      <c r="CK2685" s="5" t="s">
        <v>258</v>
      </c>
      <c r="CL2685" s="5" t="s">
        <v>238</v>
      </c>
      <c r="CM2685" s="5" t="s">
        <v>238</v>
      </c>
      <c r="CN2685" s="5">
        <v>0</v>
      </c>
      <c r="CO2685" s="5" t="s">
        <v>259</v>
      </c>
      <c r="CP2685" s="5" t="s">
        <v>260</v>
      </c>
      <c r="CQ2685" s="5" t="s">
        <v>260</v>
      </c>
      <c r="CR2685" s="5" t="s">
        <v>261</v>
      </c>
      <c r="CU2685" s="8">
        <f>1</f>
        <v>1</v>
      </c>
      <c r="CV2685" s="8">
        <f>0</f>
        <v>0</v>
      </c>
      <c r="CX2685" s="8">
        <f>0</f>
        <v>0</v>
      </c>
      <c r="CY2685" s="8">
        <f>1</f>
        <v>1</v>
      </c>
      <c r="DA2685" s="5" t="s">
        <v>274</v>
      </c>
      <c r="DB2685" s="5" t="s">
        <v>238</v>
      </c>
      <c r="DD2685" s="5" t="s">
        <v>274</v>
      </c>
      <c r="DE2685" s="8">
        <f>1058</f>
        <v>1058</v>
      </c>
      <c r="DG2685" s="5" t="s">
        <v>238</v>
      </c>
      <c r="DH2685" s="5" t="s">
        <v>238</v>
      </c>
      <c r="DI2685" s="5" t="s">
        <v>238</v>
      </c>
      <c r="DJ2685" s="5" t="s">
        <v>238</v>
      </c>
      <c r="DN2685" s="5" t="s">
        <v>238</v>
      </c>
      <c r="DO2685" s="5" t="s">
        <v>238</v>
      </c>
      <c r="DP2685" s="5" t="s">
        <v>238</v>
      </c>
      <c r="DQ2685" s="5" t="s">
        <v>238</v>
      </c>
      <c r="DT2685" s="5" t="s">
        <v>275</v>
      </c>
      <c r="DU2685" s="5" t="s">
        <v>1728</v>
      </c>
      <c r="HM2685" s="5" t="s">
        <v>264</v>
      </c>
    </row>
    <row r="2686" spans="1:221" x14ac:dyDescent="0.4">
      <c r="A2686" s="5">
        <v>4390</v>
      </c>
      <c r="B2686" s="5">
        <v>1</v>
      </c>
      <c r="C2686" s="5">
        <v>1</v>
      </c>
      <c r="D2686" s="5" t="s">
        <v>269</v>
      </c>
      <c r="E2686" s="5" t="s">
        <v>271</v>
      </c>
      <c r="F2686" s="5" t="s">
        <v>248</v>
      </c>
      <c r="G2686" s="5" t="s">
        <v>266</v>
      </c>
      <c r="H2686" s="6" t="s">
        <v>1717</v>
      </c>
      <c r="I2686" s="7">
        <f>651</f>
        <v>651</v>
      </c>
      <c r="J2686" s="5" t="s">
        <v>262</v>
      </c>
      <c r="K2686" s="8">
        <f>1</f>
        <v>1</v>
      </c>
      <c r="L2686" s="6" t="s">
        <v>242</v>
      </c>
      <c r="M2686" s="5" t="s">
        <v>267</v>
      </c>
      <c r="N2686" s="5" t="s">
        <v>265</v>
      </c>
      <c r="O2686" s="5" t="s">
        <v>238</v>
      </c>
      <c r="P2686" s="5" t="s">
        <v>238</v>
      </c>
      <c r="Q2686" s="5" t="s">
        <v>268</v>
      </c>
      <c r="R2686" s="5" t="s">
        <v>270</v>
      </c>
      <c r="S2686" s="5" t="s">
        <v>238</v>
      </c>
      <c r="V2686" s="5" t="s">
        <v>238</v>
      </c>
      <c r="X2686" s="6" t="s">
        <v>238</v>
      </c>
      <c r="AA2686" s="6" t="s">
        <v>243</v>
      </c>
      <c r="AB2686" s="5" t="s">
        <v>238</v>
      </c>
      <c r="AC2686" s="5" t="s">
        <v>244</v>
      </c>
      <c r="AD2686" s="5" t="s">
        <v>245</v>
      </c>
      <c r="AT2686" s="5" t="s">
        <v>246</v>
      </c>
      <c r="AU2686" s="5" t="s">
        <v>238</v>
      </c>
      <c r="AV2686" s="5" t="s">
        <v>247</v>
      </c>
      <c r="AW2686" s="5" t="s">
        <v>238</v>
      </c>
      <c r="AX2686" s="5" t="s">
        <v>249</v>
      </c>
      <c r="AY2686" s="5" t="s">
        <v>238</v>
      </c>
      <c r="BA2686" s="5" t="s">
        <v>238</v>
      </c>
      <c r="BC2686" s="5" t="s">
        <v>250</v>
      </c>
      <c r="BD2686" s="6" t="s">
        <v>243</v>
      </c>
      <c r="BE2686" s="5" t="s">
        <v>251</v>
      </c>
      <c r="BF2686" s="5" t="s">
        <v>252</v>
      </c>
      <c r="BG2686" s="5" t="s">
        <v>238</v>
      </c>
      <c r="BH2686" s="7">
        <f>0</f>
        <v>0</v>
      </c>
      <c r="BI2686" s="8">
        <f>0</f>
        <v>0</v>
      </c>
      <c r="BJ2686" s="5" t="s">
        <v>253</v>
      </c>
      <c r="BK2686" s="5" t="s">
        <v>254</v>
      </c>
      <c r="BY2686" s="5" t="s">
        <v>238</v>
      </c>
      <c r="BZ2686" s="5" t="s">
        <v>238</v>
      </c>
      <c r="CD2686" s="5" t="s">
        <v>273</v>
      </c>
      <c r="CE2686" s="5" t="s">
        <v>256</v>
      </c>
      <c r="CF2686" s="5" t="s">
        <v>238</v>
      </c>
      <c r="CI2686" s="6" t="s">
        <v>257</v>
      </c>
      <c r="CJ2686" s="5" t="s">
        <v>238</v>
      </c>
      <c r="CK2686" s="5" t="s">
        <v>258</v>
      </c>
      <c r="CL2686" s="5" t="s">
        <v>238</v>
      </c>
      <c r="CM2686" s="5" t="s">
        <v>238</v>
      </c>
      <c r="CN2686" s="5">
        <v>0</v>
      </c>
      <c r="CO2686" s="5" t="s">
        <v>259</v>
      </c>
      <c r="CP2686" s="5" t="s">
        <v>260</v>
      </c>
      <c r="CQ2686" s="5" t="s">
        <v>260</v>
      </c>
      <c r="CR2686" s="5" t="s">
        <v>261</v>
      </c>
      <c r="CU2686" s="8">
        <f>1</f>
        <v>1</v>
      </c>
      <c r="CV2686" s="8">
        <f>0</f>
        <v>0</v>
      </c>
      <c r="CX2686" s="8">
        <f>0</f>
        <v>0</v>
      </c>
      <c r="CY2686" s="8">
        <f>1</f>
        <v>1</v>
      </c>
      <c r="DA2686" s="5" t="s">
        <v>274</v>
      </c>
      <c r="DB2686" s="5" t="s">
        <v>238</v>
      </c>
      <c r="DD2686" s="5" t="s">
        <v>274</v>
      </c>
      <c r="DE2686" s="8">
        <f>651</f>
        <v>651</v>
      </c>
      <c r="DG2686" s="5" t="s">
        <v>238</v>
      </c>
      <c r="DH2686" s="5" t="s">
        <v>238</v>
      </c>
      <c r="DI2686" s="5" t="s">
        <v>238</v>
      </c>
      <c r="DJ2686" s="5" t="s">
        <v>238</v>
      </c>
      <c r="DN2686" s="5" t="s">
        <v>238</v>
      </c>
      <c r="DO2686" s="5" t="s">
        <v>238</v>
      </c>
      <c r="DP2686" s="5" t="s">
        <v>238</v>
      </c>
      <c r="DQ2686" s="5" t="s">
        <v>238</v>
      </c>
      <c r="DT2686" s="5" t="s">
        <v>275</v>
      </c>
      <c r="DU2686" s="5" t="s">
        <v>1718</v>
      </c>
      <c r="HM2686" s="5" t="s">
        <v>264</v>
      </c>
    </row>
    <row r="2687" spans="1:221" x14ac:dyDescent="0.4">
      <c r="A2687" s="5">
        <v>4391</v>
      </c>
      <c r="B2687" s="5">
        <v>1</v>
      </c>
      <c r="C2687" s="5">
        <v>1</v>
      </c>
      <c r="D2687" s="5" t="s">
        <v>269</v>
      </c>
      <c r="E2687" s="5" t="s">
        <v>271</v>
      </c>
      <c r="F2687" s="5" t="s">
        <v>248</v>
      </c>
      <c r="G2687" s="5" t="s">
        <v>266</v>
      </c>
      <c r="H2687" s="6" t="s">
        <v>1715</v>
      </c>
      <c r="I2687" s="7">
        <f>419</f>
        <v>419</v>
      </c>
      <c r="J2687" s="5" t="s">
        <v>262</v>
      </c>
      <c r="K2687" s="8">
        <f>1</f>
        <v>1</v>
      </c>
      <c r="L2687" s="6" t="s">
        <v>242</v>
      </c>
      <c r="M2687" s="5" t="s">
        <v>267</v>
      </c>
      <c r="N2687" s="5" t="s">
        <v>265</v>
      </c>
      <c r="O2687" s="5" t="s">
        <v>238</v>
      </c>
      <c r="P2687" s="5" t="s">
        <v>238</v>
      </c>
      <c r="Q2687" s="5" t="s">
        <v>268</v>
      </c>
      <c r="R2687" s="5" t="s">
        <v>270</v>
      </c>
      <c r="S2687" s="5" t="s">
        <v>238</v>
      </c>
      <c r="V2687" s="5" t="s">
        <v>238</v>
      </c>
      <c r="X2687" s="6" t="s">
        <v>238</v>
      </c>
      <c r="AA2687" s="6" t="s">
        <v>243</v>
      </c>
      <c r="AB2687" s="5" t="s">
        <v>238</v>
      </c>
      <c r="AC2687" s="5" t="s">
        <v>244</v>
      </c>
      <c r="AD2687" s="5" t="s">
        <v>245</v>
      </c>
      <c r="AT2687" s="5" t="s">
        <v>246</v>
      </c>
      <c r="AU2687" s="5" t="s">
        <v>238</v>
      </c>
      <c r="AV2687" s="5" t="s">
        <v>247</v>
      </c>
      <c r="AW2687" s="5" t="s">
        <v>238</v>
      </c>
      <c r="AX2687" s="5" t="s">
        <v>249</v>
      </c>
      <c r="AY2687" s="5" t="s">
        <v>238</v>
      </c>
      <c r="BA2687" s="5" t="s">
        <v>238</v>
      </c>
      <c r="BC2687" s="5" t="s">
        <v>250</v>
      </c>
      <c r="BD2687" s="6" t="s">
        <v>243</v>
      </c>
      <c r="BE2687" s="5" t="s">
        <v>251</v>
      </c>
      <c r="BF2687" s="5" t="s">
        <v>252</v>
      </c>
      <c r="BG2687" s="5" t="s">
        <v>238</v>
      </c>
      <c r="BH2687" s="7">
        <f>0</f>
        <v>0</v>
      </c>
      <c r="BI2687" s="8">
        <f>0</f>
        <v>0</v>
      </c>
      <c r="BJ2687" s="5" t="s">
        <v>253</v>
      </c>
      <c r="BK2687" s="5" t="s">
        <v>254</v>
      </c>
      <c r="BY2687" s="5" t="s">
        <v>238</v>
      </c>
      <c r="BZ2687" s="5" t="s">
        <v>238</v>
      </c>
      <c r="CD2687" s="5" t="s">
        <v>273</v>
      </c>
      <c r="CE2687" s="5" t="s">
        <v>256</v>
      </c>
      <c r="CF2687" s="5" t="s">
        <v>238</v>
      </c>
      <c r="CI2687" s="6" t="s">
        <v>257</v>
      </c>
      <c r="CJ2687" s="5" t="s">
        <v>238</v>
      </c>
      <c r="CK2687" s="5" t="s">
        <v>258</v>
      </c>
      <c r="CL2687" s="5" t="s">
        <v>238</v>
      </c>
      <c r="CM2687" s="5" t="s">
        <v>238</v>
      </c>
      <c r="CN2687" s="5">
        <v>0</v>
      </c>
      <c r="CO2687" s="5" t="s">
        <v>259</v>
      </c>
      <c r="CP2687" s="5" t="s">
        <v>260</v>
      </c>
      <c r="CQ2687" s="5" t="s">
        <v>260</v>
      </c>
      <c r="CR2687" s="5" t="s">
        <v>261</v>
      </c>
      <c r="CU2687" s="8">
        <f>1</f>
        <v>1</v>
      </c>
      <c r="CV2687" s="8">
        <f>0</f>
        <v>0</v>
      </c>
      <c r="CX2687" s="8">
        <f>0</f>
        <v>0</v>
      </c>
      <c r="CY2687" s="8">
        <f>1</f>
        <v>1</v>
      </c>
      <c r="DA2687" s="5" t="s">
        <v>274</v>
      </c>
      <c r="DB2687" s="5" t="s">
        <v>238</v>
      </c>
      <c r="DD2687" s="5" t="s">
        <v>274</v>
      </c>
      <c r="DE2687" s="8">
        <f>419</f>
        <v>419</v>
      </c>
      <c r="DG2687" s="5" t="s">
        <v>238</v>
      </c>
      <c r="DH2687" s="5" t="s">
        <v>238</v>
      </c>
      <c r="DI2687" s="5" t="s">
        <v>238</v>
      </c>
      <c r="DJ2687" s="5" t="s">
        <v>238</v>
      </c>
      <c r="DN2687" s="5" t="s">
        <v>238</v>
      </c>
      <c r="DO2687" s="5" t="s">
        <v>238</v>
      </c>
      <c r="DP2687" s="5" t="s">
        <v>238</v>
      </c>
      <c r="DQ2687" s="5" t="s">
        <v>238</v>
      </c>
      <c r="DT2687" s="5" t="s">
        <v>275</v>
      </c>
      <c r="DU2687" s="5" t="s">
        <v>1716</v>
      </c>
      <c r="HM2687" s="5" t="s">
        <v>264</v>
      </c>
    </row>
    <row r="2688" spans="1:221" x14ac:dyDescent="0.4">
      <c r="A2688" s="5">
        <v>4392</v>
      </c>
      <c r="B2688" s="5">
        <v>1</v>
      </c>
      <c r="C2688" s="5">
        <v>1</v>
      </c>
      <c r="D2688" s="5" t="s">
        <v>269</v>
      </c>
      <c r="E2688" s="5" t="s">
        <v>271</v>
      </c>
      <c r="F2688" s="5" t="s">
        <v>248</v>
      </c>
      <c r="G2688" s="5" t="s">
        <v>266</v>
      </c>
      <c r="H2688" s="6" t="s">
        <v>1713</v>
      </c>
      <c r="I2688" s="7">
        <f>126</f>
        <v>126</v>
      </c>
      <c r="J2688" s="5" t="s">
        <v>262</v>
      </c>
      <c r="K2688" s="8">
        <f>1</f>
        <v>1</v>
      </c>
      <c r="L2688" s="6" t="s">
        <v>242</v>
      </c>
      <c r="M2688" s="5" t="s">
        <v>267</v>
      </c>
      <c r="N2688" s="5" t="s">
        <v>265</v>
      </c>
      <c r="O2688" s="5" t="s">
        <v>238</v>
      </c>
      <c r="P2688" s="5" t="s">
        <v>238</v>
      </c>
      <c r="Q2688" s="5" t="s">
        <v>268</v>
      </c>
      <c r="R2688" s="5" t="s">
        <v>270</v>
      </c>
      <c r="S2688" s="5" t="s">
        <v>238</v>
      </c>
      <c r="V2688" s="5" t="s">
        <v>238</v>
      </c>
      <c r="X2688" s="6" t="s">
        <v>238</v>
      </c>
      <c r="AA2688" s="6" t="s">
        <v>243</v>
      </c>
      <c r="AB2688" s="5" t="s">
        <v>238</v>
      </c>
      <c r="AC2688" s="5" t="s">
        <v>244</v>
      </c>
      <c r="AD2688" s="5" t="s">
        <v>245</v>
      </c>
      <c r="AT2688" s="5" t="s">
        <v>246</v>
      </c>
      <c r="AU2688" s="5" t="s">
        <v>238</v>
      </c>
      <c r="AV2688" s="5" t="s">
        <v>247</v>
      </c>
      <c r="AW2688" s="5" t="s">
        <v>238</v>
      </c>
      <c r="AX2688" s="5" t="s">
        <v>249</v>
      </c>
      <c r="AY2688" s="5" t="s">
        <v>238</v>
      </c>
      <c r="BA2688" s="5" t="s">
        <v>238</v>
      </c>
      <c r="BC2688" s="5" t="s">
        <v>250</v>
      </c>
      <c r="BD2688" s="6" t="s">
        <v>243</v>
      </c>
      <c r="BE2688" s="5" t="s">
        <v>251</v>
      </c>
      <c r="BF2688" s="5" t="s">
        <v>252</v>
      </c>
      <c r="BG2688" s="5" t="s">
        <v>238</v>
      </c>
      <c r="BH2688" s="7">
        <f>0</f>
        <v>0</v>
      </c>
      <c r="BI2688" s="8">
        <f>0</f>
        <v>0</v>
      </c>
      <c r="BJ2688" s="5" t="s">
        <v>253</v>
      </c>
      <c r="BK2688" s="5" t="s">
        <v>254</v>
      </c>
      <c r="BY2688" s="5" t="s">
        <v>238</v>
      </c>
      <c r="BZ2688" s="5" t="s">
        <v>238</v>
      </c>
      <c r="CD2688" s="5" t="s">
        <v>273</v>
      </c>
      <c r="CE2688" s="5" t="s">
        <v>256</v>
      </c>
      <c r="CF2688" s="5" t="s">
        <v>238</v>
      </c>
      <c r="CI2688" s="6" t="s">
        <v>257</v>
      </c>
      <c r="CJ2688" s="5" t="s">
        <v>238</v>
      </c>
      <c r="CK2688" s="5" t="s">
        <v>258</v>
      </c>
      <c r="CL2688" s="5" t="s">
        <v>238</v>
      </c>
      <c r="CM2688" s="5" t="s">
        <v>238</v>
      </c>
      <c r="CN2688" s="5">
        <v>0</v>
      </c>
      <c r="CO2688" s="5" t="s">
        <v>259</v>
      </c>
      <c r="CP2688" s="5" t="s">
        <v>260</v>
      </c>
      <c r="CQ2688" s="5" t="s">
        <v>260</v>
      </c>
      <c r="CR2688" s="5" t="s">
        <v>261</v>
      </c>
      <c r="CU2688" s="8">
        <f>1</f>
        <v>1</v>
      </c>
      <c r="CV2688" s="8">
        <f>0</f>
        <v>0</v>
      </c>
      <c r="CX2688" s="8">
        <f>0</f>
        <v>0</v>
      </c>
      <c r="CY2688" s="8">
        <f>1</f>
        <v>1</v>
      </c>
      <c r="DA2688" s="5" t="s">
        <v>274</v>
      </c>
      <c r="DB2688" s="5" t="s">
        <v>238</v>
      </c>
      <c r="DD2688" s="5" t="s">
        <v>274</v>
      </c>
      <c r="DE2688" s="8">
        <f>126</f>
        <v>126</v>
      </c>
      <c r="DG2688" s="5" t="s">
        <v>238</v>
      </c>
      <c r="DH2688" s="5" t="s">
        <v>238</v>
      </c>
      <c r="DI2688" s="5" t="s">
        <v>238</v>
      </c>
      <c r="DJ2688" s="5" t="s">
        <v>238</v>
      </c>
      <c r="DN2688" s="5" t="s">
        <v>238</v>
      </c>
      <c r="DO2688" s="5" t="s">
        <v>238</v>
      </c>
      <c r="DP2688" s="5" t="s">
        <v>238</v>
      </c>
      <c r="DQ2688" s="5" t="s">
        <v>238</v>
      </c>
      <c r="DT2688" s="5" t="s">
        <v>275</v>
      </c>
      <c r="DU2688" s="5" t="s">
        <v>1714</v>
      </c>
      <c r="HM2688" s="5" t="s">
        <v>264</v>
      </c>
    </row>
    <row r="2689" spans="1:221" x14ac:dyDescent="0.4">
      <c r="A2689" s="5">
        <v>4393</v>
      </c>
      <c r="B2689" s="5">
        <v>1</v>
      </c>
      <c r="C2689" s="5">
        <v>1</v>
      </c>
      <c r="D2689" s="5" t="s">
        <v>269</v>
      </c>
      <c r="E2689" s="5" t="s">
        <v>271</v>
      </c>
      <c r="F2689" s="5" t="s">
        <v>248</v>
      </c>
      <c r="G2689" s="5" t="s">
        <v>266</v>
      </c>
      <c r="H2689" s="6" t="s">
        <v>1703</v>
      </c>
      <c r="I2689" s="7">
        <f>392</f>
        <v>392</v>
      </c>
      <c r="J2689" s="5" t="s">
        <v>262</v>
      </c>
      <c r="K2689" s="8">
        <f>1</f>
        <v>1</v>
      </c>
      <c r="L2689" s="6" t="s">
        <v>242</v>
      </c>
      <c r="M2689" s="5" t="s">
        <v>267</v>
      </c>
      <c r="N2689" s="5" t="s">
        <v>265</v>
      </c>
      <c r="O2689" s="5" t="s">
        <v>238</v>
      </c>
      <c r="P2689" s="5" t="s">
        <v>238</v>
      </c>
      <c r="Q2689" s="5" t="s">
        <v>268</v>
      </c>
      <c r="R2689" s="5" t="s">
        <v>270</v>
      </c>
      <c r="S2689" s="5" t="s">
        <v>238</v>
      </c>
      <c r="V2689" s="5" t="s">
        <v>238</v>
      </c>
      <c r="X2689" s="6" t="s">
        <v>238</v>
      </c>
      <c r="AA2689" s="6" t="s">
        <v>243</v>
      </c>
      <c r="AB2689" s="5" t="s">
        <v>238</v>
      </c>
      <c r="AC2689" s="5" t="s">
        <v>244</v>
      </c>
      <c r="AD2689" s="5" t="s">
        <v>245</v>
      </c>
      <c r="AT2689" s="5" t="s">
        <v>246</v>
      </c>
      <c r="AU2689" s="5" t="s">
        <v>238</v>
      </c>
      <c r="AV2689" s="5" t="s">
        <v>247</v>
      </c>
      <c r="AW2689" s="5" t="s">
        <v>238</v>
      </c>
      <c r="AX2689" s="5" t="s">
        <v>249</v>
      </c>
      <c r="AY2689" s="5" t="s">
        <v>238</v>
      </c>
      <c r="BA2689" s="5" t="s">
        <v>238</v>
      </c>
      <c r="BC2689" s="5" t="s">
        <v>250</v>
      </c>
      <c r="BD2689" s="6" t="s">
        <v>243</v>
      </c>
      <c r="BE2689" s="5" t="s">
        <v>251</v>
      </c>
      <c r="BF2689" s="5" t="s">
        <v>252</v>
      </c>
      <c r="BG2689" s="5" t="s">
        <v>238</v>
      </c>
      <c r="BH2689" s="7">
        <f>0</f>
        <v>0</v>
      </c>
      <c r="BI2689" s="8">
        <f>0</f>
        <v>0</v>
      </c>
      <c r="BJ2689" s="5" t="s">
        <v>253</v>
      </c>
      <c r="BK2689" s="5" t="s">
        <v>254</v>
      </c>
      <c r="BY2689" s="5" t="s">
        <v>238</v>
      </c>
      <c r="BZ2689" s="5" t="s">
        <v>238</v>
      </c>
      <c r="CD2689" s="5" t="s">
        <v>273</v>
      </c>
      <c r="CE2689" s="5" t="s">
        <v>256</v>
      </c>
      <c r="CF2689" s="5" t="s">
        <v>238</v>
      </c>
      <c r="CI2689" s="6" t="s">
        <v>257</v>
      </c>
      <c r="CJ2689" s="5" t="s">
        <v>238</v>
      </c>
      <c r="CK2689" s="5" t="s">
        <v>258</v>
      </c>
      <c r="CL2689" s="5" t="s">
        <v>238</v>
      </c>
      <c r="CM2689" s="5" t="s">
        <v>238</v>
      </c>
      <c r="CN2689" s="5">
        <v>0</v>
      </c>
      <c r="CO2689" s="5" t="s">
        <v>259</v>
      </c>
      <c r="CP2689" s="5" t="s">
        <v>260</v>
      </c>
      <c r="CQ2689" s="5" t="s">
        <v>260</v>
      </c>
      <c r="CR2689" s="5" t="s">
        <v>261</v>
      </c>
      <c r="CU2689" s="8">
        <f>1</f>
        <v>1</v>
      </c>
      <c r="CV2689" s="8">
        <f>0</f>
        <v>0</v>
      </c>
      <c r="CX2689" s="8">
        <f>0</f>
        <v>0</v>
      </c>
      <c r="CY2689" s="8">
        <f>1</f>
        <v>1</v>
      </c>
      <c r="DA2689" s="5" t="s">
        <v>274</v>
      </c>
      <c r="DB2689" s="5" t="s">
        <v>238</v>
      </c>
      <c r="DD2689" s="5" t="s">
        <v>274</v>
      </c>
      <c r="DE2689" s="8">
        <f>392</f>
        <v>392</v>
      </c>
      <c r="DG2689" s="5" t="s">
        <v>238</v>
      </c>
      <c r="DH2689" s="5" t="s">
        <v>238</v>
      </c>
      <c r="DI2689" s="5" t="s">
        <v>238</v>
      </c>
      <c r="DJ2689" s="5" t="s">
        <v>238</v>
      </c>
      <c r="DN2689" s="5" t="s">
        <v>238</v>
      </c>
      <c r="DO2689" s="5" t="s">
        <v>238</v>
      </c>
      <c r="DP2689" s="5" t="s">
        <v>238</v>
      </c>
      <c r="DQ2689" s="5" t="s">
        <v>238</v>
      </c>
      <c r="DT2689" s="5" t="s">
        <v>275</v>
      </c>
      <c r="DU2689" s="5" t="s">
        <v>1704</v>
      </c>
      <c r="HM2689" s="5" t="s">
        <v>264</v>
      </c>
    </row>
    <row r="2690" spans="1:221" x14ac:dyDescent="0.4">
      <c r="A2690" s="5">
        <v>4394</v>
      </c>
      <c r="B2690" s="5">
        <v>1</v>
      </c>
      <c r="C2690" s="5">
        <v>1</v>
      </c>
      <c r="D2690" s="5" t="s">
        <v>269</v>
      </c>
      <c r="E2690" s="5" t="s">
        <v>271</v>
      </c>
      <c r="F2690" s="5" t="s">
        <v>248</v>
      </c>
      <c r="G2690" s="5" t="s">
        <v>266</v>
      </c>
      <c r="H2690" s="6" t="s">
        <v>1699</v>
      </c>
      <c r="I2690" s="7">
        <f>517</f>
        <v>517</v>
      </c>
      <c r="J2690" s="5" t="s">
        <v>262</v>
      </c>
      <c r="K2690" s="8">
        <f>1</f>
        <v>1</v>
      </c>
      <c r="L2690" s="6" t="s">
        <v>242</v>
      </c>
      <c r="M2690" s="5" t="s">
        <v>267</v>
      </c>
      <c r="N2690" s="5" t="s">
        <v>265</v>
      </c>
      <c r="O2690" s="5" t="s">
        <v>238</v>
      </c>
      <c r="P2690" s="5" t="s">
        <v>238</v>
      </c>
      <c r="Q2690" s="5" t="s">
        <v>268</v>
      </c>
      <c r="R2690" s="5" t="s">
        <v>270</v>
      </c>
      <c r="S2690" s="5" t="s">
        <v>238</v>
      </c>
      <c r="V2690" s="5" t="s">
        <v>238</v>
      </c>
      <c r="X2690" s="6" t="s">
        <v>238</v>
      </c>
      <c r="AA2690" s="6" t="s">
        <v>243</v>
      </c>
      <c r="AB2690" s="5" t="s">
        <v>238</v>
      </c>
      <c r="AC2690" s="5" t="s">
        <v>244</v>
      </c>
      <c r="AD2690" s="5" t="s">
        <v>245</v>
      </c>
      <c r="AT2690" s="5" t="s">
        <v>246</v>
      </c>
      <c r="AU2690" s="5" t="s">
        <v>238</v>
      </c>
      <c r="AV2690" s="5" t="s">
        <v>247</v>
      </c>
      <c r="AW2690" s="5" t="s">
        <v>238</v>
      </c>
      <c r="AX2690" s="5" t="s">
        <v>249</v>
      </c>
      <c r="AY2690" s="5" t="s">
        <v>238</v>
      </c>
      <c r="BA2690" s="5" t="s">
        <v>238</v>
      </c>
      <c r="BC2690" s="5" t="s">
        <v>250</v>
      </c>
      <c r="BD2690" s="6" t="s">
        <v>243</v>
      </c>
      <c r="BE2690" s="5" t="s">
        <v>251</v>
      </c>
      <c r="BF2690" s="5" t="s">
        <v>252</v>
      </c>
      <c r="BG2690" s="5" t="s">
        <v>238</v>
      </c>
      <c r="BH2690" s="7">
        <f>0</f>
        <v>0</v>
      </c>
      <c r="BI2690" s="8">
        <f>0</f>
        <v>0</v>
      </c>
      <c r="BJ2690" s="5" t="s">
        <v>253</v>
      </c>
      <c r="BK2690" s="5" t="s">
        <v>254</v>
      </c>
      <c r="BY2690" s="5" t="s">
        <v>238</v>
      </c>
      <c r="BZ2690" s="5" t="s">
        <v>238</v>
      </c>
      <c r="CD2690" s="5" t="s">
        <v>273</v>
      </c>
      <c r="CE2690" s="5" t="s">
        <v>256</v>
      </c>
      <c r="CF2690" s="5" t="s">
        <v>238</v>
      </c>
      <c r="CI2690" s="6" t="s">
        <v>257</v>
      </c>
      <c r="CJ2690" s="5" t="s">
        <v>238</v>
      </c>
      <c r="CK2690" s="5" t="s">
        <v>258</v>
      </c>
      <c r="CL2690" s="5" t="s">
        <v>238</v>
      </c>
      <c r="CM2690" s="5" t="s">
        <v>238</v>
      </c>
      <c r="CN2690" s="5">
        <v>0</v>
      </c>
      <c r="CO2690" s="5" t="s">
        <v>259</v>
      </c>
      <c r="CP2690" s="5" t="s">
        <v>260</v>
      </c>
      <c r="CQ2690" s="5" t="s">
        <v>260</v>
      </c>
      <c r="CR2690" s="5" t="s">
        <v>261</v>
      </c>
      <c r="CU2690" s="8">
        <f>1</f>
        <v>1</v>
      </c>
      <c r="CV2690" s="8">
        <f>0</f>
        <v>0</v>
      </c>
      <c r="CX2690" s="8">
        <f>0</f>
        <v>0</v>
      </c>
      <c r="CY2690" s="8">
        <f>1</f>
        <v>1</v>
      </c>
      <c r="DA2690" s="5" t="s">
        <v>274</v>
      </c>
      <c r="DB2690" s="5" t="s">
        <v>238</v>
      </c>
      <c r="DD2690" s="5" t="s">
        <v>274</v>
      </c>
      <c r="DE2690" s="8">
        <f>517</f>
        <v>517</v>
      </c>
      <c r="DG2690" s="5" t="s">
        <v>238</v>
      </c>
      <c r="DH2690" s="5" t="s">
        <v>238</v>
      </c>
      <c r="DI2690" s="5" t="s">
        <v>238</v>
      </c>
      <c r="DJ2690" s="5" t="s">
        <v>238</v>
      </c>
      <c r="DN2690" s="5" t="s">
        <v>238</v>
      </c>
      <c r="DO2690" s="5" t="s">
        <v>238</v>
      </c>
      <c r="DP2690" s="5" t="s">
        <v>238</v>
      </c>
      <c r="DQ2690" s="5" t="s">
        <v>238</v>
      </c>
      <c r="DT2690" s="5" t="s">
        <v>275</v>
      </c>
      <c r="DU2690" s="5" t="s">
        <v>1700</v>
      </c>
      <c r="HM2690" s="5" t="s">
        <v>264</v>
      </c>
    </row>
    <row r="2691" spans="1:221" x14ac:dyDescent="0.4">
      <c r="A2691" s="5">
        <v>4395</v>
      </c>
      <c r="B2691" s="5">
        <v>1</v>
      </c>
      <c r="C2691" s="5">
        <v>1</v>
      </c>
      <c r="D2691" s="5" t="s">
        <v>269</v>
      </c>
      <c r="E2691" s="5" t="s">
        <v>271</v>
      </c>
      <c r="F2691" s="5" t="s">
        <v>248</v>
      </c>
      <c r="G2691" s="5" t="s">
        <v>266</v>
      </c>
      <c r="H2691" s="6" t="s">
        <v>1697</v>
      </c>
      <c r="I2691" s="7">
        <f>152</f>
        <v>152</v>
      </c>
      <c r="J2691" s="5" t="s">
        <v>262</v>
      </c>
      <c r="K2691" s="8">
        <f>1</f>
        <v>1</v>
      </c>
      <c r="L2691" s="6" t="s">
        <v>242</v>
      </c>
      <c r="M2691" s="5" t="s">
        <v>267</v>
      </c>
      <c r="N2691" s="5" t="s">
        <v>265</v>
      </c>
      <c r="O2691" s="5" t="s">
        <v>238</v>
      </c>
      <c r="P2691" s="5" t="s">
        <v>238</v>
      </c>
      <c r="Q2691" s="5" t="s">
        <v>268</v>
      </c>
      <c r="R2691" s="5" t="s">
        <v>270</v>
      </c>
      <c r="S2691" s="5" t="s">
        <v>238</v>
      </c>
      <c r="V2691" s="5" t="s">
        <v>238</v>
      </c>
      <c r="X2691" s="6" t="s">
        <v>238</v>
      </c>
      <c r="AA2691" s="6" t="s">
        <v>243</v>
      </c>
      <c r="AB2691" s="5" t="s">
        <v>238</v>
      </c>
      <c r="AC2691" s="5" t="s">
        <v>244</v>
      </c>
      <c r="AD2691" s="5" t="s">
        <v>245</v>
      </c>
      <c r="AT2691" s="5" t="s">
        <v>246</v>
      </c>
      <c r="AU2691" s="5" t="s">
        <v>238</v>
      </c>
      <c r="AV2691" s="5" t="s">
        <v>247</v>
      </c>
      <c r="AW2691" s="5" t="s">
        <v>238</v>
      </c>
      <c r="AX2691" s="5" t="s">
        <v>249</v>
      </c>
      <c r="AY2691" s="5" t="s">
        <v>238</v>
      </c>
      <c r="BA2691" s="5" t="s">
        <v>238</v>
      </c>
      <c r="BC2691" s="5" t="s">
        <v>250</v>
      </c>
      <c r="BD2691" s="6" t="s">
        <v>243</v>
      </c>
      <c r="BE2691" s="5" t="s">
        <v>251</v>
      </c>
      <c r="BF2691" s="5" t="s">
        <v>252</v>
      </c>
      <c r="BG2691" s="5" t="s">
        <v>238</v>
      </c>
      <c r="BH2691" s="7">
        <f>0</f>
        <v>0</v>
      </c>
      <c r="BI2691" s="8">
        <f>0</f>
        <v>0</v>
      </c>
      <c r="BJ2691" s="5" t="s">
        <v>253</v>
      </c>
      <c r="BK2691" s="5" t="s">
        <v>254</v>
      </c>
      <c r="BY2691" s="5" t="s">
        <v>238</v>
      </c>
      <c r="BZ2691" s="5" t="s">
        <v>238</v>
      </c>
      <c r="CD2691" s="5" t="s">
        <v>273</v>
      </c>
      <c r="CE2691" s="5" t="s">
        <v>256</v>
      </c>
      <c r="CF2691" s="5" t="s">
        <v>238</v>
      </c>
      <c r="CI2691" s="6" t="s">
        <v>257</v>
      </c>
      <c r="CJ2691" s="5" t="s">
        <v>238</v>
      </c>
      <c r="CK2691" s="5" t="s">
        <v>258</v>
      </c>
      <c r="CL2691" s="5" t="s">
        <v>238</v>
      </c>
      <c r="CM2691" s="5" t="s">
        <v>238</v>
      </c>
      <c r="CN2691" s="5">
        <v>0</v>
      </c>
      <c r="CO2691" s="5" t="s">
        <v>259</v>
      </c>
      <c r="CP2691" s="5" t="s">
        <v>260</v>
      </c>
      <c r="CQ2691" s="5" t="s">
        <v>260</v>
      </c>
      <c r="CR2691" s="5" t="s">
        <v>261</v>
      </c>
      <c r="CU2691" s="8">
        <f>1</f>
        <v>1</v>
      </c>
      <c r="CV2691" s="8">
        <f>0</f>
        <v>0</v>
      </c>
      <c r="CX2691" s="8">
        <f>0</f>
        <v>0</v>
      </c>
      <c r="CY2691" s="8">
        <f>1</f>
        <v>1</v>
      </c>
      <c r="DA2691" s="5" t="s">
        <v>274</v>
      </c>
      <c r="DB2691" s="5" t="s">
        <v>238</v>
      </c>
      <c r="DD2691" s="5" t="s">
        <v>274</v>
      </c>
      <c r="DE2691" s="8">
        <f>152</f>
        <v>152</v>
      </c>
      <c r="DG2691" s="5" t="s">
        <v>238</v>
      </c>
      <c r="DH2691" s="5" t="s">
        <v>238</v>
      </c>
      <c r="DI2691" s="5" t="s">
        <v>238</v>
      </c>
      <c r="DJ2691" s="5" t="s">
        <v>238</v>
      </c>
      <c r="DN2691" s="5" t="s">
        <v>238</v>
      </c>
      <c r="DO2691" s="5" t="s">
        <v>238</v>
      </c>
      <c r="DP2691" s="5" t="s">
        <v>238</v>
      </c>
      <c r="DQ2691" s="5" t="s">
        <v>238</v>
      </c>
      <c r="DT2691" s="5" t="s">
        <v>275</v>
      </c>
      <c r="DU2691" s="5" t="s">
        <v>1698</v>
      </c>
      <c r="HM2691" s="5" t="s">
        <v>264</v>
      </c>
    </row>
    <row r="2692" spans="1:221" x14ac:dyDescent="0.4">
      <c r="A2692" s="5">
        <v>4396</v>
      </c>
      <c r="B2692" s="5">
        <v>1</v>
      </c>
      <c r="C2692" s="5">
        <v>1</v>
      </c>
      <c r="D2692" s="5" t="s">
        <v>269</v>
      </c>
      <c r="E2692" s="5" t="s">
        <v>271</v>
      </c>
      <c r="F2692" s="5" t="s">
        <v>248</v>
      </c>
      <c r="G2692" s="5" t="s">
        <v>266</v>
      </c>
      <c r="H2692" s="6" t="s">
        <v>1693</v>
      </c>
      <c r="I2692" s="7">
        <f>122</f>
        <v>122</v>
      </c>
      <c r="J2692" s="5" t="s">
        <v>262</v>
      </c>
      <c r="K2692" s="8">
        <f>1</f>
        <v>1</v>
      </c>
      <c r="L2692" s="6" t="s">
        <v>242</v>
      </c>
      <c r="M2692" s="5" t="s">
        <v>267</v>
      </c>
      <c r="N2692" s="5" t="s">
        <v>265</v>
      </c>
      <c r="O2692" s="5" t="s">
        <v>238</v>
      </c>
      <c r="P2692" s="5" t="s">
        <v>238</v>
      </c>
      <c r="Q2692" s="5" t="s">
        <v>268</v>
      </c>
      <c r="R2692" s="5" t="s">
        <v>270</v>
      </c>
      <c r="S2692" s="5" t="s">
        <v>238</v>
      </c>
      <c r="V2692" s="5" t="s">
        <v>238</v>
      </c>
      <c r="X2692" s="6" t="s">
        <v>238</v>
      </c>
      <c r="AA2692" s="6" t="s">
        <v>243</v>
      </c>
      <c r="AB2692" s="5" t="s">
        <v>238</v>
      </c>
      <c r="AC2692" s="5" t="s">
        <v>244</v>
      </c>
      <c r="AD2692" s="5" t="s">
        <v>245</v>
      </c>
      <c r="AT2692" s="5" t="s">
        <v>246</v>
      </c>
      <c r="AU2692" s="5" t="s">
        <v>238</v>
      </c>
      <c r="AV2692" s="5" t="s">
        <v>247</v>
      </c>
      <c r="AW2692" s="5" t="s">
        <v>238</v>
      </c>
      <c r="AX2692" s="5" t="s">
        <v>249</v>
      </c>
      <c r="AY2692" s="5" t="s">
        <v>238</v>
      </c>
      <c r="BA2692" s="5" t="s">
        <v>238</v>
      </c>
      <c r="BC2692" s="5" t="s">
        <v>250</v>
      </c>
      <c r="BD2692" s="6" t="s">
        <v>243</v>
      </c>
      <c r="BE2692" s="5" t="s">
        <v>251</v>
      </c>
      <c r="BF2692" s="5" t="s">
        <v>252</v>
      </c>
      <c r="BG2692" s="5" t="s">
        <v>238</v>
      </c>
      <c r="BH2692" s="7">
        <f>0</f>
        <v>0</v>
      </c>
      <c r="BI2692" s="8">
        <f>0</f>
        <v>0</v>
      </c>
      <c r="BJ2692" s="5" t="s">
        <v>253</v>
      </c>
      <c r="BK2692" s="5" t="s">
        <v>254</v>
      </c>
      <c r="BY2692" s="5" t="s">
        <v>238</v>
      </c>
      <c r="BZ2692" s="5" t="s">
        <v>238</v>
      </c>
      <c r="CD2692" s="5" t="s">
        <v>273</v>
      </c>
      <c r="CE2692" s="5" t="s">
        <v>256</v>
      </c>
      <c r="CF2692" s="5" t="s">
        <v>238</v>
      </c>
      <c r="CI2692" s="6" t="s">
        <v>257</v>
      </c>
      <c r="CJ2692" s="5" t="s">
        <v>238</v>
      </c>
      <c r="CK2692" s="5" t="s">
        <v>258</v>
      </c>
      <c r="CL2692" s="5" t="s">
        <v>238</v>
      </c>
      <c r="CM2692" s="5" t="s">
        <v>238</v>
      </c>
      <c r="CN2692" s="5">
        <v>0</v>
      </c>
      <c r="CO2692" s="5" t="s">
        <v>259</v>
      </c>
      <c r="CP2692" s="5" t="s">
        <v>260</v>
      </c>
      <c r="CQ2692" s="5" t="s">
        <v>260</v>
      </c>
      <c r="CR2692" s="5" t="s">
        <v>261</v>
      </c>
      <c r="CU2692" s="8">
        <f>1</f>
        <v>1</v>
      </c>
      <c r="CV2692" s="8">
        <f>0</f>
        <v>0</v>
      </c>
      <c r="CX2692" s="8">
        <f>0</f>
        <v>0</v>
      </c>
      <c r="CY2692" s="8">
        <f>1</f>
        <v>1</v>
      </c>
      <c r="DA2692" s="5" t="s">
        <v>274</v>
      </c>
      <c r="DB2692" s="5" t="s">
        <v>238</v>
      </c>
      <c r="DD2692" s="5" t="s">
        <v>274</v>
      </c>
      <c r="DE2692" s="8">
        <f>122</f>
        <v>122</v>
      </c>
      <c r="DG2692" s="5" t="s">
        <v>238</v>
      </c>
      <c r="DH2692" s="5" t="s">
        <v>238</v>
      </c>
      <c r="DI2692" s="5" t="s">
        <v>238</v>
      </c>
      <c r="DJ2692" s="5" t="s">
        <v>238</v>
      </c>
      <c r="DN2692" s="5" t="s">
        <v>238</v>
      </c>
      <c r="DO2692" s="5" t="s">
        <v>238</v>
      </c>
      <c r="DP2692" s="5" t="s">
        <v>238</v>
      </c>
      <c r="DQ2692" s="5" t="s">
        <v>238</v>
      </c>
      <c r="DT2692" s="5" t="s">
        <v>275</v>
      </c>
      <c r="DU2692" s="5" t="s">
        <v>1694</v>
      </c>
      <c r="HM2692" s="5" t="s">
        <v>264</v>
      </c>
    </row>
    <row r="2693" spans="1:221" x14ac:dyDescent="0.4">
      <c r="A2693" s="5">
        <v>4397</v>
      </c>
      <c r="B2693" s="5">
        <v>1</v>
      </c>
      <c r="C2693" s="5">
        <v>1</v>
      </c>
      <c r="D2693" s="5" t="s">
        <v>269</v>
      </c>
      <c r="E2693" s="5" t="s">
        <v>271</v>
      </c>
      <c r="F2693" s="5" t="s">
        <v>248</v>
      </c>
      <c r="G2693" s="5" t="s">
        <v>266</v>
      </c>
      <c r="H2693" s="6" t="s">
        <v>1682</v>
      </c>
      <c r="I2693" s="7">
        <f>1455</f>
        <v>1455</v>
      </c>
      <c r="J2693" s="5" t="s">
        <v>262</v>
      </c>
      <c r="K2693" s="8">
        <f>1</f>
        <v>1</v>
      </c>
      <c r="L2693" s="6" t="s">
        <v>242</v>
      </c>
      <c r="M2693" s="5" t="s">
        <v>267</v>
      </c>
      <c r="N2693" s="5" t="s">
        <v>265</v>
      </c>
      <c r="O2693" s="5" t="s">
        <v>238</v>
      </c>
      <c r="P2693" s="5" t="s">
        <v>238</v>
      </c>
      <c r="Q2693" s="5" t="s">
        <v>268</v>
      </c>
      <c r="R2693" s="5" t="s">
        <v>270</v>
      </c>
      <c r="S2693" s="5" t="s">
        <v>238</v>
      </c>
      <c r="V2693" s="5" t="s">
        <v>238</v>
      </c>
      <c r="X2693" s="6" t="s">
        <v>238</v>
      </c>
      <c r="AA2693" s="6" t="s">
        <v>243</v>
      </c>
      <c r="AB2693" s="5" t="s">
        <v>238</v>
      </c>
      <c r="AC2693" s="5" t="s">
        <v>244</v>
      </c>
      <c r="AD2693" s="5" t="s">
        <v>245</v>
      </c>
      <c r="AT2693" s="5" t="s">
        <v>246</v>
      </c>
      <c r="AU2693" s="5" t="s">
        <v>238</v>
      </c>
      <c r="AV2693" s="5" t="s">
        <v>247</v>
      </c>
      <c r="AW2693" s="5" t="s">
        <v>238</v>
      </c>
      <c r="AX2693" s="5" t="s">
        <v>249</v>
      </c>
      <c r="AY2693" s="5" t="s">
        <v>238</v>
      </c>
      <c r="BA2693" s="5" t="s">
        <v>238</v>
      </c>
      <c r="BC2693" s="5" t="s">
        <v>250</v>
      </c>
      <c r="BD2693" s="6" t="s">
        <v>243</v>
      </c>
      <c r="BE2693" s="5" t="s">
        <v>251</v>
      </c>
      <c r="BF2693" s="5" t="s">
        <v>252</v>
      </c>
      <c r="BG2693" s="5" t="s">
        <v>238</v>
      </c>
      <c r="BH2693" s="7">
        <f>0</f>
        <v>0</v>
      </c>
      <c r="BI2693" s="8">
        <f>0</f>
        <v>0</v>
      </c>
      <c r="BJ2693" s="5" t="s">
        <v>253</v>
      </c>
      <c r="BK2693" s="5" t="s">
        <v>254</v>
      </c>
      <c r="BY2693" s="5" t="s">
        <v>238</v>
      </c>
      <c r="BZ2693" s="5" t="s">
        <v>238</v>
      </c>
      <c r="CD2693" s="5" t="s">
        <v>273</v>
      </c>
      <c r="CE2693" s="5" t="s">
        <v>256</v>
      </c>
      <c r="CF2693" s="5" t="s">
        <v>238</v>
      </c>
      <c r="CI2693" s="6" t="s">
        <v>257</v>
      </c>
      <c r="CJ2693" s="5" t="s">
        <v>238</v>
      </c>
      <c r="CK2693" s="5" t="s">
        <v>258</v>
      </c>
      <c r="CL2693" s="5" t="s">
        <v>238</v>
      </c>
      <c r="CM2693" s="5" t="s">
        <v>238</v>
      </c>
      <c r="CN2693" s="5">
        <v>0</v>
      </c>
      <c r="CO2693" s="5" t="s">
        <v>259</v>
      </c>
      <c r="CP2693" s="5" t="s">
        <v>260</v>
      </c>
      <c r="CQ2693" s="5" t="s">
        <v>260</v>
      </c>
      <c r="CR2693" s="5" t="s">
        <v>261</v>
      </c>
      <c r="CU2693" s="8">
        <f>1</f>
        <v>1</v>
      </c>
      <c r="CV2693" s="8">
        <f>0</f>
        <v>0</v>
      </c>
      <c r="CX2693" s="8">
        <f>0</f>
        <v>0</v>
      </c>
      <c r="CY2693" s="8">
        <f>1</f>
        <v>1</v>
      </c>
      <c r="DA2693" s="5" t="s">
        <v>274</v>
      </c>
      <c r="DB2693" s="5" t="s">
        <v>238</v>
      </c>
      <c r="DD2693" s="5" t="s">
        <v>274</v>
      </c>
      <c r="DE2693" s="8">
        <f>1455</f>
        <v>1455</v>
      </c>
      <c r="DG2693" s="5" t="s">
        <v>238</v>
      </c>
      <c r="DH2693" s="5" t="s">
        <v>238</v>
      </c>
      <c r="DI2693" s="5" t="s">
        <v>238</v>
      </c>
      <c r="DJ2693" s="5" t="s">
        <v>238</v>
      </c>
      <c r="DN2693" s="5" t="s">
        <v>238</v>
      </c>
      <c r="DO2693" s="5" t="s">
        <v>238</v>
      </c>
      <c r="DP2693" s="5" t="s">
        <v>238</v>
      </c>
      <c r="DQ2693" s="5" t="s">
        <v>238</v>
      </c>
      <c r="DT2693" s="5" t="s">
        <v>275</v>
      </c>
      <c r="DU2693" s="5" t="s">
        <v>1683</v>
      </c>
      <c r="HM2693" s="5" t="s">
        <v>264</v>
      </c>
    </row>
    <row r="2694" spans="1:221" x14ac:dyDescent="0.4">
      <c r="A2694" s="5">
        <v>4398</v>
      </c>
      <c r="B2694" s="5">
        <v>1</v>
      </c>
      <c r="C2694" s="5">
        <v>1</v>
      </c>
      <c r="D2694" s="5" t="s">
        <v>269</v>
      </c>
      <c r="E2694" s="5" t="s">
        <v>271</v>
      </c>
      <c r="F2694" s="5" t="s">
        <v>248</v>
      </c>
      <c r="G2694" s="5" t="s">
        <v>266</v>
      </c>
      <c r="H2694" s="6" t="s">
        <v>1680</v>
      </c>
      <c r="I2694" s="7">
        <f>632</f>
        <v>632</v>
      </c>
      <c r="J2694" s="5" t="s">
        <v>262</v>
      </c>
      <c r="K2694" s="8">
        <f>1</f>
        <v>1</v>
      </c>
      <c r="L2694" s="6" t="s">
        <v>242</v>
      </c>
      <c r="M2694" s="5" t="s">
        <v>267</v>
      </c>
      <c r="N2694" s="5" t="s">
        <v>265</v>
      </c>
      <c r="O2694" s="5" t="s">
        <v>238</v>
      </c>
      <c r="P2694" s="5" t="s">
        <v>238</v>
      </c>
      <c r="Q2694" s="5" t="s">
        <v>268</v>
      </c>
      <c r="R2694" s="5" t="s">
        <v>270</v>
      </c>
      <c r="S2694" s="5" t="s">
        <v>238</v>
      </c>
      <c r="V2694" s="5" t="s">
        <v>238</v>
      </c>
      <c r="X2694" s="6" t="s">
        <v>238</v>
      </c>
      <c r="AA2694" s="6" t="s">
        <v>243</v>
      </c>
      <c r="AB2694" s="5" t="s">
        <v>238</v>
      </c>
      <c r="AC2694" s="5" t="s">
        <v>244</v>
      </c>
      <c r="AD2694" s="5" t="s">
        <v>245</v>
      </c>
      <c r="AT2694" s="5" t="s">
        <v>246</v>
      </c>
      <c r="AU2694" s="5" t="s">
        <v>238</v>
      </c>
      <c r="AV2694" s="5" t="s">
        <v>247</v>
      </c>
      <c r="AW2694" s="5" t="s">
        <v>238</v>
      </c>
      <c r="AX2694" s="5" t="s">
        <v>249</v>
      </c>
      <c r="AY2694" s="5" t="s">
        <v>238</v>
      </c>
      <c r="BA2694" s="5" t="s">
        <v>238</v>
      </c>
      <c r="BC2694" s="5" t="s">
        <v>250</v>
      </c>
      <c r="BD2694" s="6" t="s">
        <v>243</v>
      </c>
      <c r="BE2694" s="5" t="s">
        <v>251</v>
      </c>
      <c r="BF2694" s="5" t="s">
        <v>252</v>
      </c>
      <c r="BG2694" s="5" t="s">
        <v>238</v>
      </c>
      <c r="BH2694" s="7">
        <f>0</f>
        <v>0</v>
      </c>
      <c r="BI2694" s="8">
        <f>0</f>
        <v>0</v>
      </c>
      <c r="BJ2694" s="5" t="s">
        <v>253</v>
      </c>
      <c r="BK2694" s="5" t="s">
        <v>254</v>
      </c>
      <c r="BY2694" s="5" t="s">
        <v>238</v>
      </c>
      <c r="BZ2694" s="5" t="s">
        <v>238</v>
      </c>
      <c r="CD2694" s="5" t="s">
        <v>273</v>
      </c>
      <c r="CE2694" s="5" t="s">
        <v>256</v>
      </c>
      <c r="CF2694" s="5" t="s">
        <v>238</v>
      </c>
      <c r="CI2694" s="6" t="s">
        <v>257</v>
      </c>
      <c r="CJ2694" s="5" t="s">
        <v>238</v>
      </c>
      <c r="CK2694" s="5" t="s">
        <v>258</v>
      </c>
      <c r="CL2694" s="5" t="s">
        <v>238</v>
      </c>
      <c r="CM2694" s="5" t="s">
        <v>238</v>
      </c>
      <c r="CN2694" s="5">
        <v>0</v>
      </c>
      <c r="CO2694" s="5" t="s">
        <v>259</v>
      </c>
      <c r="CP2694" s="5" t="s">
        <v>260</v>
      </c>
      <c r="CQ2694" s="5" t="s">
        <v>260</v>
      </c>
      <c r="CR2694" s="5" t="s">
        <v>261</v>
      </c>
      <c r="CU2694" s="8">
        <f>1</f>
        <v>1</v>
      </c>
      <c r="CV2694" s="8">
        <f>0</f>
        <v>0</v>
      </c>
      <c r="CX2694" s="8">
        <f>0</f>
        <v>0</v>
      </c>
      <c r="CY2694" s="8">
        <f>1</f>
        <v>1</v>
      </c>
      <c r="DA2694" s="5" t="s">
        <v>274</v>
      </c>
      <c r="DB2694" s="5" t="s">
        <v>238</v>
      </c>
      <c r="DD2694" s="5" t="s">
        <v>274</v>
      </c>
      <c r="DE2694" s="8">
        <f>632</f>
        <v>632</v>
      </c>
      <c r="DG2694" s="5" t="s">
        <v>238</v>
      </c>
      <c r="DH2694" s="5" t="s">
        <v>238</v>
      </c>
      <c r="DI2694" s="5" t="s">
        <v>238</v>
      </c>
      <c r="DJ2694" s="5" t="s">
        <v>238</v>
      </c>
      <c r="DN2694" s="5" t="s">
        <v>238</v>
      </c>
      <c r="DO2694" s="5" t="s">
        <v>238</v>
      </c>
      <c r="DP2694" s="5" t="s">
        <v>238</v>
      </c>
      <c r="DQ2694" s="5" t="s">
        <v>238</v>
      </c>
      <c r="DT2694" s="5" t="s">
        <v>275</v>
      </c>
      <c r="DU2694" s="5" t="s">
        <v>1681</v>
      </c>
      <c r="HM2694" s="5" t="s">
        <v>264</v>
      </c>
    </row>
    <row r="2695" spans="1:221" x14ac:dyDescent="0.4">
      <c r="A2695" s="5">
        <v>4399</v>
      </c>
      <c r="B2695" s="5">
        <v>1</v>
      </c>
      <c r="C2695" s="5">
        <v>1</v>
      </c>
      <c r="D2695" s="5" t="s">
        <v>269</v>
      </c>
      <c r="E2695" s="5" t="s">
        <v>271</v>
      </c>
      <c r="F2695" s="5" t="s">
        <v>248</v>
      </c>
      <c r="G2695" s="5" t="s">
        <v>266</v>
      </c>
      <c r="H2695" s="6" t="s">
        <v>387</v>
      </c>
      <c r="I2695" s="7">
        <f>1966</f>
        <v>1966</v>
      </c>
      <c r="J2695" s="5" t="s">
        <v>262</v>
      </c>
      <c r="K2695" s="8">
        <f>1</f>
        <v>1</v>
      </c>
      <c r="L2695" s="6" t="s">
        <v>242</v>
      </c>
      <c r="M2695" s="5" t="s">
        <v>267</v>
      </c>
      <c r="N2695" s="5" t="s">
        <v>265</v>
      </c>
      <c r="O2695" s="5" t="s">
        <v>238</v>
      </c>
      <c r="P2695" s="5" t="s">
        <v>238</v>
      </c>
      <c r="Q2695" s="5" t="s">
        <v>268</v>
      </c>
      <c r="R2695" s="5" t="s">
        <v>270</v>
      </c>
      <c r="S2695" s="5" t="s">
        <v>238</v>
      </c>
      <c r="V2695" s="5" t="s">
        <v>238</v>
      </c>
      <c r="X2695" s="6" t="s">
        <v>238</v>
      </c>
      <c r="AA2695" s="6" t="s">
        <v>243</v>
      </c>
      <c r="AB2695" s="5" t="s">
        <v>238</v>
      </c>
      <c r="AC2695" s="5" t="s">
        <v>244</v>
      </c>
      <c r="AD2695" s="5" t="s">
        <v>245</v>
      </c>
      <c r="AT2695" s="5" t="s">
        <v>246</v>
      </c>
      <c r="AU2695" s="5" t="s">
        <v>238</v>
      </c>
      <c r="AV2695" s="5" t="s">
        <v>247</v>
      </c>
      <c r="AW2695" s="5" t="s">
        <v>238</v>
      </c>
      <c r="AX2695" s="5" t="s">
        <v>249</v>
      </c>
      <c r="AY2695" s="5" t="s">
        <v>238</v>
      </c>
      <c r="BA2695" s="5" t="s">
        <v>238</v>
      </c>
      <c r="BC2695" s="5" t="s">
        <v>250</v>
      </c>
      <c r="BD2695" s="6" t="s">
        <v>243</v>
      </c>
      <c r="BE2695" s="5" t="s">
        <v>251</v>
      </c>
      <c r="BF2695" s="5" t="s">
        <v>252</v>
      </c>
      <c r="BG2695" s="5" t="s">
        <v>238</v>
      </c>
      <c r="BH2695" s="7">
        <f>0</f>
        <v>0</v>
      </c>
      <c r="BI2695" s="8">
        <f>0</f>
        <v>0</v>
      </c>
      <c r="BJ2695" s="5" t="s">
        <v>253</v>
      </c>
      <c r="BK2695" s="5" t="s">
        <v>254</v>
      </c>
      <c r="BY2695" s="5" t="s">
        <v>238</v>
      </c>
      <c r="BZ2695" s="5" t="s">
        <v>238</v>
      </c>
      <c r="CD2695" s="5" t="s">
        <v>273</v>
      </c>
      <c r="CE2695" s="5" t="s">
        <v>256</v>
      </c>
      <c r="CF2695" s="5" t="s">
        <v>238</v>
      </c>
      <c r="CI2695" s="6" t="s">
        <v>257</v>
      </c>
      <c r="CJ2695" s="5" t="s">
        <v>238</v>
      </c>
      <c r="CK2695" s="5" t="s">
        <v>258</v>
      </c>
      <c r="CL2695" s="5" t="s">
        <v>238</v>
      </c>
      <c r="CM2695" s="5" t="s">
        <v>238</v>
      </c>
      <c r="CN2695" s="5">
        <v>0</v>
      </c>
      <c r="CO2695" s="5" t="s">
        <v>259</v>
      </c>
      <c r="CP2695" s="5" t="s">
        <v>260</v>
      </c>
      <c r="CQ2695" s="5" t="s">
        <v>260</v>
      </c>
      <c r="CR2695" s="5" t="s">
        <v>261</v>
      </c>
      <c r="CU2695" s="8">
        <f>1</f>
        <v>1</v>
      </c>
      <c r="CV2695" s="8">
        <f>0</f>
        <v>0</v>
      </c>
      <c r="CX2695" s="8">
        <f>0</f>
        <v>0</v>
      </c>
      <c r="CY2695" s="8">
        <f>1</f>
        <v>1</v>
      </c>
      <c r="DA2695" s="5" t="s">
        <v>274</v>
      </c>
      <c r="DB2695" s="5" t="s">
        <v>238</v>
      </c>
      <c r="DD2695" s="5" t="s">
        <v>274</v>
      </c>
      <c r="DE2695" s="8">
        <f>1966</f>
        <v>1966</v>
      </c>
      <c r="DG2695" s="5" t="s">
        <v>238</v>
      </c>
      <c r="DH2695" s="5" t="s">
        <v>238</v>
      </c>
      <c r="DI2695" s="5" t="s">
        <v>238</v>
      </c>
      <c r="DJ2695" s="5" t="s">
        <v>238</v>
      </c>
      <c r="DN2695" s="5" t="s">
        <v>238</v>
      </c>
      <c r="DO2695" s="5" t="s">
        <v>238</v>
      </c>
      <c r="DP2695" s="5" t="s">
        <v>238</v>
      </c>
      <c r="DQ2695" s="5" t="s">
        <v>238</v>
      </c>
      <c r="DT2695" s="5" t="s">
        <v>275</v>
      </c>
      <c r="DU2695" s="5" t="s">
        <v>388</v>
      </c>
      <c r="HM2695" s="5" t="s">
        <v>264</v>
      </c>
    </row>
    <row r="2696" spans="1:221" x14ac:dyDescent="0.4">
      <c r="A2696" s="5">
        <v>4400</v>
      </c>
      <c r="B2696" s="5">
        <v>1</v>
      </c>
      <c r="C2696" s="5">
        <v>1</v>
      </c>
      <c r="D2696" s="5" t="s">
        <v>269</v>
      </c>
      <c r="E2696" s="5" t="s">
        <v>271</v>
      </c>
      <c r="F2696" s="5" t="s">
        <v>248</v>
      </c>
      <c r="G2696" s="5" t="s">
        <v>266</v>
      </c>
      <c r="H2696" s="6" t="s">
        <v>1674</v>
      </c>
      <c r="I2696" s="7">
        <f>2082</f>
        <v>2082</v>
      </c>
      <c r="J2696" s="5" t="s">
        <v>262</v>
      </c>
      <c r="K2696" s="8">
        <f>1</f>
        <v>1</v>
      </c>
      <c r="L2696" s="6" t="s">
        <v>242</v>
      </c>
      <c r="M2696" s="5" t="s">
        <v>267</v>
      </c>
      <c r="N2696" s="5" t="s">
        <v>265</v>
      </c>
      <c r="O2696" s="5" t="s">
        <v>238</v>
      </c>
      <c r="P2696" s="5" t="s">
        <v>238</v>
      </c>
      <c r="Q2696" s="5" t="s">
        <v>268</v>
      </c>
      <c r="R2696" s="5" t="s">
        <v>270</v>
      </c>
      <c r="S2696" s="5" t="s">
        <v>238</v>
      </c>
      <c r="V2696" s="5" t="s">
        <v>238</v>
      </c>
      <c r="X2696" s="6" t="s">
        <v>238</v>
      </c>
      <c r="AA2696" s="6" t="s">
        <v>243</v>
      </c>
      <c r="AB2696" s="5" t="s">
        <v>238</v>
      </c>
      <c r="AC2696" s="5" t="s">
        <v>244</v>
      </c>
      <c r="AD2696" s="5" t="s">
        <v>245</v>
      </c>
      <c r="AT2696" s="5" t="s">
        <v>246</v>
      </c>
      <c r="AU2696" s="5" t="s">
        <v>238</v>
      </c>
      <c r="AV2696" s="5" t="s">
        <v>247</v>
      </c>
      <c r="AW2696" s="5" t="s">
        <v>238</v>
      </c>
      <c r="AX2696" s="5" t="s">
        <v>249</v>
      </c>
      <c r="AY2696" s="5" t="s">
        <v>238</v>
      </c>
      <c r="BA2696" s="5" t="s">
        <v>238</v>
      </c>
      <c r="BC2696" s="5" t="s">
        <v>250</v>
      </c>
      <c r="BD2696" s="6" t="s">
        <v>243</v>
      </c>
      <c r="BE2696" s="5" t="s">
        <v>251</v>
      </c>
      <c r="BF2696" s="5" t="s">
        <v>252</v>
      </c>
      <c r="BG2696" s="5" t="s">
        <v>238</v>
      </c>
      <c r="BH2696" s="7">
        <f>0</f>
        <v>0</v>
      </c>
      <c r="BI2696" s="8">
        <f>0</f>
        <v>0</v>
      </c>
      <c r="BJ2696" s="5" t="s">
        <v>253</v>
      </c>
      <c r="BK2696" s="5" t="s">
        <v>254</v>
      </c>
      <c r="BY2696" s="5" t="s">
        <v>238</v>
      </c>
      <c r="BZ2696" s="5" t="s">
        <v>238</v>
      </c>
      <c r="CD2696" s="5" t="s">
        <v>273</v>
      </c>
      <c r="CE2696" s="5" t="s">
        <v>256</v>
      </c>
      <c r="CF2696" s="5" t="s">
        <v>238</v>
      </c>
      <c r="CI2696" s="6" t="s">
        <v>257</v>
      </c>
      <c r="CJ2696" s="5" t="s">
        <v>238</v>
      </c>
      <c r="CK2696" s="5" t="s">
        <v>258</v>
      </c>
      <c r="CL2696" s="5" t="s">
        <v>238</v>
      </c>
      <c r="CM2696" s="5" t="s">
        <v>238</v>
      </c>
      <c r="CN2696" s="5">
        <v>0</v>
      </c>
      <c r="CO2696" s="5" t="s">
        <v>259</v>
      </c>
      <c r="CP2696" s="5" t="s">
        <v>260</v>
      </c>
      <c r="CQ2696" s="5" t="s">
        <v>260</v>
      </c>
      <c r="CR2696" s="5" t="s">
        <v>261</v>
      </c>
      <c r="CU2696" s="8">
        <f>1</f>
        <v>1</v>
      </c>
      <c r="CV2696" s="8">
        <f>0</f>
        <v>0</v>
      </c>
      <c r="CX2696" s="8">
        <f>0</f>
        <v>0</v>
      </c>
      <c r="CY2696" s="8">
        <f>1</f>
        <v>1</v>
      </c>
      <c r="DA2696" s="5" t="s">
        <v>274</v>
      </c>
      <c r="DB2696" s="5" t="s">
        <v>238</v>
      </c>
      <c r="DD2696" s="5" t="s">
        <v>274</v>
      </c>
      <c r="DE2696" s="8">
        <f>2082</f>
        <v>2082</v>
      </c>
      <c r="DG2696" s="5" t="s">
        <v>238</v>
      </c>
      <c r="DH2696" s="5" t="s">
        <v>238</v>
      </c>
      <c r="DI2696" s="5" t="s">
        <v>238</v>
      </c>
      <c r="DJ2696" s="5" t="s">
        <v>238</v>
      </c>
      <c r="DN2696" s="5" t="s">
        <v>238</v>
      </c>
      <c r="DO2696" s="5" t="s">
        <v>238</v>
      </c>
      <c r="DP2696" s="5" t="s">
        <v>238</v>
      </c>
      <c r="DQ2696" s="5" t="s">
        <v>238</v>
      </c>
      <c r="DT2696" s="5" t="s">
        <v>275</v>
      </c>
      <c r="DU2696" s="5" t="s">
        <v>1675</v>
      </c>
      <c r="HM2696" s="5" t="s">
        <v>264</v>
      </c>
    </row>
    <row r="2697" spans="1:221" x14ac:dyDescent="0.4">
      <c r="A2697" s="5">
        <v>4401</v>
      </c>
      <c r="B2697" s="5">
        <v>1</v>
      </c>
      <c r="C2697" s="5">
        <v>1</v>
      </c>
      <c r="D2697" s="5" t="s">
        <v>269</v>
      </c>
      <c r="E2697" s="5" t="s">
        <v>271</v>
      </c>
      <c r="F2697" s="5" t="s">
        <v>248</v>
      </c>
      <c r="G2697" s="5" t="s">
        <v>266</v>
      </c>
      <c r="H2697" s="6" t="s">
        <v>1672</v>
      </c>
      <c r="I2697" s="7">
        <f>308</f>
        <v>308</v>
      </c>
      <c r="J2697" s="5" t="s">
        <v>262</v>
      </c>
      <c r="K2697" s="8">
        <f>1</f>
        <v>1</v>
      </c>
      <c r="L2697" s="6" t="s">
        <v>242</v>
      </c>
      <c r="M2697" s="5" t="s">
        <v>267</v>
      </c>
      <c r="N2697" s="5" t="s">
        <v>265</v>
      </c>
      <c r="O2697" s="5" t="s">
        <v>238</v>
      </c>
      <c r="P2697" s="5" t="s">
        <v>238</v>
      </c>
      <c r="Q2697" s="5" t="s">
        <v>268</v>
      </c>
      <c r="R2697" s="5" t="s">
        <v>270</v>
      </c>
      <c r="S2697" s="5" t="s">
        <v>238</v>
      </c>
      <c r="V2697" s="5" t="s">
        <v>238</v>
      </c>
      <c r="X2697" s="6" t="s">
        <v>238</v>
      </c>
      <c r="AA2697" s="6" t="s">
        <v>243</v>
      </c>
      <c r="AB2697" s="5" t="s">
        <v>238</v>
      </c>
      <c r="AC2697" s="5" t="s">
        <v>244</v>
      </c>
      <c r="AD2697" s="5" t="s">
        <v>245</v>
      </c>
      <c r="AT2697" s="5" t="s">
        <v>246</v>
      </c>
      <c r="AU2697" s="5" t="s">
        <v>238</v>
      </c>
      <c r="AV2697" s="5" t="s">
        <v>247</v>
      </c>
      <c r="AW2697" s="5" t="s">
        <v>238</v>
      </c>
      <c r="AX2697" s="5" t="s">
        <v>249</v>
      </c>
      <c r="AY2697" s="5" t="s">
        <v>238</v>
      </c>
      <c r="BA2697" s="5" t="s">
        <v>238</v>
      </c>
      <c r="BC2697" s="5" t="s">
        <v>250</v>
      </c>
      <c r="BD2697" s="6" t="s">
        <v>243</v>
      </c>
      <c r="BE2697" s="5" t="s">
        <v>251</v>
      </c>
      <c r="BF2697" s="5" t="s">
        <v>252</v>
      </c>
      <c r="BG2697" s="5" t="s">
        <v>238</v>
      </c>
      <c r="BH2697" s="7">
        <f>0</f>
        <v>0</v>
      </c>
      <c r="BI2697" s="8">
        <f>0</f>
        <v>0</v>
      </c>
      <c r="BJ2697" s="5" t="s">
        <v>253</v>
      </c>
      <c r="BK2697" s="5" t="s">
        <v>254</v>
      </c>
      <c r="BY2697" s="5" t="s">
        <v>238</v>
      </c>
      <c r="BZ2697" s="5" t="s">
        <v>238</v>
      </c>
      <c r="CD2697" s="5" t="s">
        <v>273</v>
      </c>
      <c r="CE2697" s="5" t="s">
        <v>256</v>
      </c>
      <c r="CF2697" s="5" t="s">
        <v>238</v>
      </c>
      <c r="CI2697" s="6" t="s">
        <v>257</v>
      </c>
      <c r="CJ2697" s="5" t="s">
        <v>238</v>
      </c>
      <c r="CK2697" s="5" t="s">
        <v>258</v>
      </c>
      <c r="CL2697" s="5" t="s">
        <v>238</v>
      </c>
      <c r="CM2697" s="5" t="s">
        <v>238</v>
      </c>
      <c r="CN2697" s="5">
        <v>0</v>
      </c>
      <c r="CO2697" s="5" t="s">
        <v>259</v>
      </c>
      <c r="CP2697" s="5" t="s">
        <v>260</v>
      </c>
      <c r="CQ2697" s="5" t="s">
        <v>260</v>
      </c>
      <c r="CR2697" s="5" t="s">
        <v>261</v>
      </c>
      <c r="CU2697" s="8">
        <f>1</f>
        <v>1</v>
      </c>
      <c r="CV2697" s="8">
        <f>0</f>
        <v>0</v>
      </c>
      <c r="CX2697" s="8">
        <f>0</f>
        <v>0</v>
      </c>
      <c r="CY2697" s="8">
        <f>1</f>
        <v>1</v>
      </c>
      <c r="DA2697" s="5" t="s">
        <v>274</v>
      </c>
      <c r="DB2697" s="5" t="s">
        <v>238</v>
      </c>
      <c r="DD2697" s="5" t="s">
        <v>274</v>
      </c>
      <c r="DE2697" s="8">
        <f>308</f>
        <v>308</v>
      </c>
      <c r="DG2697" s="5" t="s">
        <v>238</v>
      </c>
      <c r="DH2697" s="5" t="s">
        <v>238</v>
      </c>
      <c r="DI2697" s="5" t="s">
        <v>238</v>
      </c>
      <c r="DJ2697" s="5" t="s">
        <v>238</v>
      </c>
      <c r="DN2697" s="5" t="s">
        <v>238</v>
      </c>
      <c r="DO2697" s="5" t="s">
        <v>238</v>
      </c>
      <c r="DP2697" s="5" t="s">
        <v>238</v>
      </c>
      <c r="DQ2697" s="5" t="s">
        <v>238</v>
      </c>
      <c r="DT2697" s="5" t="s">
        <v>275</v>
      </c>
      <c r="DU2697" s="5" t="s">
        <v>1673</v>
      </c>
      <c r="HM2697" s="5" t="s">
        <v>264</v>
      </c>
    </row>
    <row r="2698" spans="1:221" x14ac:dyDescent="0.4">
      <c r="A2698" s="5">
        <v>4402</v>
      </c>
      <c r="B2698" s="5">
        <v>1</v>
      </c>
      <c r="C2698" s="5">
        <v>1</v>
      </c>
      <c r="D2698" s="5" t="s">
        <v>269</v>
      </c>
      <c r="E2698" s="5" t="s">
        <v>271</v>
      </c>
      <c r="F2698" s="5" t="s">
        <v>248</v>
      </c>
      <c r="G2698" s="5" t="s">
        <v>266</v>
      </c>
      <c r="H2698" s="6" t="s">
        <v>1666</v>
      </c>
      <c r="I2698" s="7">
        <f>234</f>
        <v>234</v>
      </c>
      <c r="J2698" s="5" t="s">
        <v>262</v>
      </c>
      <c r="K2698" s="8">
        <f>1</f>
        <v>1</v>
      </c>
      <c r="L2698" s="6" t="s">
        <v>242</v>
      </c>
      <c r="M2698" s="5" t="s">
        <v>267</v>
      </c>
      <c r="N2698" s="5" t="s">
        <v>265</v>
      </c>
      <c r="O2698" s="5" t="s">
        <v>238</v>
      </c>
      <c r="P2698" s="5" t="s">
        <v>238</v>
      </c>
      <c r="Q2698" s="5" t="s">
        <v>268</v>
      </c>
      <c r="R2698" s="5" t="s">
        <v>270</v>
      </c>
      <c r="S2698" s="5" t="s">
        <v>238</v>
      </c>
      <c r="V2698" s="5" t="s">
        <v>238</v>
      </c>
      <c r="X2698" s="6" t="s">
        <v>238</v>
      </c>
      <c r="AA2698" s="6" t="s">
        <v>243</v>
      </c>
      <c r="AB2698" s="5" t="s">
        <v>238</v>
      </c>
      <c r="AC2698" s="5" t="s">
        <v>244</v>
      </c>
      <c r="AD2698" s="5" t="s">
        <v>245</v>
      </c>
      <c r="AT2698" s="5" t="s">
        <v>246</v>
      </c>
      <c r="AU2698" s="5" t="s">
        <v>238</v>
      </c>
      <c r="AV2698" s="5" t="s">
        <v>247</v>
      </c>
      <c r="AW2698" s="5" t="s">
        <v>238</v>
      </c>
      <c r="AX2698" s="5" t="s">
        <v>249</v>
      </c>
      <c r="AY2698" s="5" t="s">
        <v>238</v>
      </c>
      <c r="BA2698" s="5" t="s">
        <v>238</v>
      </c>
      <c r="BC2698" s="5" t="s">
        <v>250</v>
      </c>
      <c r="BD2698" s="6" t="s">
        <v>243</v>
      </c>
      <c r="BE2698" s="5" t="s">
        <v>251</v>
      </c>
      <c r="BF2698" s="5" t="s">
        <v>252</v>
      </c>
      <c r="BG2698" s="5" t="s">
        <v>238</v>
      </c>
      <c r="BH2698" s="7">
        <f>0</f>
        <v>0</v>
      </c>
      <c r="BI2698" s="8">
        <f>0</f>
        <v>0</v>
      </c>
      <c r="BJ2698" s="5" t="s">
        <v>253</v>
      </c>
      <c r="BK2698" s="5" t="s">
        <v>254</v>
      </c>
      <c r="BY2698" s="5" t="s">
        <v>238</v>
      </c>
      <c r="BZ2698" s="5" t="s">
        <v>238</v>
      </c>
      <c r="CD2698" s="5" t="s">
        <v>273</v>
      </c>
      <c r="CE2698" s="5" t="s">
        <v>256</v>
      </c>
      <c r="CF2698" s="5" t="s">
        <v>238</v>
      </c>
      <c r="CI2698" s="6" t="s">
        <v>257</v>
      </c>
      <c r="CJ2698" s="5" t="s">
        <v>238</v>
      </c>
      <c r="CK2698" s="5" t="s">
        <v>258</v>
      </c>
      <c r="CL2698" s="5" t="s">
        <v>238</v>
      </c>
      <c r="CM2698" s="5" t="s">
        <v>238</v>
      </c>
      <c r="CN2698" s="5">
        <v>0</v>
      </c>
      <c r="CO2698" s="5" t="s">
        <v>259</v>
      </c>
      <c r="CP2698" s="5" t="s">
        <v>260</v>
      </c>
      <c r="CQ2698" s="5" t="s">
        <v>260</v>
      </c>
      <c r="CR2698" s="5" t="s">
        <v>261</v>
      </c>
      <c r="CU2698" s="8">
        <f>1</f>
        <v>1</v>
      </c>
      <c r="CV2698" s="8">
        <f>0</f>
        <v>0</v>
      </c>
      <c r="CX2698" s="8">
        <f>0</f>
        <v>0</v>
      </c>
      <c r="CY2698" s="8">
        <f>1</f>
        <v>1</v>
      </c>
      <c r="DA2698" s="5" t="s">
        <v>274</v>
      </c>
      <c r="DB2698" s="5" t="s">
        <v>238</v>
      </c>
      <c r="DD2698" s="5" t="s">
        <v>274</v>
      </c>
      <c r="DE2698" s="8">
        <f>234</f>
        <v>234</v>
      </c>
      <c r="DG2698" s="5" t="s">
        <v>238</v>
      </c>
      <c r="DH2698" s="5" t="s">
        <v>238</v>
      </c>
      <c r="DI2698" s="5" t="s">
        <v>238</v>
      </c>
      <c r="DJ2698" s="5" t="s">
        <v>238</v>
      </c>
      <c r="DN2698" s="5" t="s">
        <v>238</v>
      </c>
      <c r="DO2698" s="5" t="s">
        <v>238</v>
      </c>
      <c r="DP2698" s="5" t="s">
        <v>238</v>
      </c>
      <c r="DQ2698" s="5" t="s">
        <v>238</v>
      </c>
      <c r="DT2698" s="5" t="s">
        <v>275</v>
      </c>
      <c r="DU2698" s="5" t="s">
        <v>1667</v>
      </c>
      <c r="HM2698" s="5" t="s">
        <v>264</v>
      </c>
    </row>
    <row r="2699" spans="1:221" x14ac:dyDescent="0.4">
      <c r="A2699" s="5">
        <v>4403</v>
      </c>
      <c r="B2699" s="5">
        <v>1</v>
      </c>
      <c r="C2699" s="5">
        <v>1</v>
      </c>
      <c r="D2699" s="5" t="s">
        <v>269</v>
      </c>
      <c r="E2699" s="5" t="s">
        <v>271</v>
      </c>
      <c r="F2699" s="5" t="s">
        <v>248</v>
      </c>
      <c r="G2699" s="5" t="s">
        <v>266</v>
      </c>
      <c r="H2699" s="6" t="s">
        <v>1664</v>
      </c>
      <c r="I2699" s="7">
        <f>770</f>
        <v>770</v>
      </c>
      <c r="J2699" s="5" t="s">
        <v>262</v>
      </c>
      <c r="K2699" s="8">
        <f>1</f>
        <v>1</v>
      </c>
      <c r="L2699" s="6" t="s">
        <v>242</v>
      </c>
      <c r="M2699" s="5" t="s">
        <v>267</v>
      </c>
      <c r="N2699" s="5" t="s">
        <v>265</v>
      </c>
      <c r="O2699" s="5" t="s">
        <v>238</v>
      </c>
      <c r="P2699" s="5" t="s">
        <v>238</v>
      </c>
      <c r="Q2699" s="5" t="s">
        <v>268</v>
      </c>
      <c r="R2699" s="5" t="s">
        <v>270</v>
      </c>
      <c r="S2699" s="5" t="s">
        <v>238</v>
      </c>
      <c r="V2699" s="5" t="s">
        <v>238</v>
      </c>
      <c r="X2699" s="6" t="s">
        <v>238</v>
      </c>
      <c r="AA2699" s="6" t="s">
        <v>243</v>
      </c>
      <c r="AB2699" s="5" t="s">
        <v>238</v>
      </c>
      <c r="AC2699" s="5" t="s">
        <v>244</v>
      </c>
      <c r="AD2699" s="5" t="s">
        <v>245</v>
      </c>
      <c r="AT2699" s="5" t="s">
        <v>246</v>
      </c>
      <c r="AU2699" s="5" t="s">
        <v>238</v>
      </c>
      <c r="AV2699" s="5" t="s">
        <v>247</v>
      </c>
      <c r="AW2699" s="5" t="s">
        <v>238</v>
      </c>
      <c r="AX2699" s="5" t="s">
        <v>249</v>
      </c>
      <c r="AY2699" s="5" t="s">
        <v>238</v>
      </c>
      <c r="BA2699" s="5" t="s">
        <v>238</v>
      </c>
      <c r="BC2699" s="5" t="s">
        <v>250</v>
      </c>
      <c r="BD2699" s="6" t="s">
        <v>243</v>
      </c>
      <c r="BE2699" s="5" t="s">
        <v>251</v>
      </c>
      <c r="BF2699" s="5" t="s">
        <v>252</v>
      </c>
      <c r="BG2699" s="5" t="s">
        <v>238</v>
      </c>
      <c r="BH2699" s="7">
        <f>0</f>
        <v>0</v>
      </c>
      <c r="BI2699" s="8">
        <f>0</f>
        <v>0</v>
      </c>
      <c r="BJ2699" s="5" t="s">
        <v>253</v>
      </c>
      <c r="BK2699" s="5" t="s">
        <v>254</v>
      </c>
      <c r="BY2699" s="5" t="s">
        <v>238</v>
      </c>
      <c r="BZ2699" s="5" t="s">
        <v>238</v>
      </c>
      <c r="CD2699" s="5" t="s">
        <v>273</v>
      </c>
      <c r="CE2699" s="5" t="s">
        <v>256</v>
      </c>
      <c r="CF2699" s="5" t="s">
        <v>238</v>
      </c>
      <c r="CI2699" s="6" t="s">
        <v>257</v>
      </c>
      <c r="CJ2699" s="5" t="s">
        <v>238</v>
      </c>
      <c r="CK2699" s="5" t="s">
        <v>258</v>
      </c>
      <c r="CL2699" s="5" t="s">
        <v>238</v>
      </c>
      <c r="CM2699" s="5" t="s">
        <v>238</v>
      </c>
      <c r="CN2699" s="5">
        <v>0</v>
      </c>
      <c r="CO2699" s="5" t="s">
        <v>259</v>
      </c>
      <c r="CP2699" s="5" t="s">
        <v>260</v>
      </c>
      <c r="CQ2699" s="5" t="s">
        <v>260</v>
      </c>
      <c r="CR2699" s="5" t="s">
        <v>261</v>
      </c>
      <c r="CU2699" s="8">
        <f>1</f>
        <v>1</v>
      </c>
      <c r="CV2699" s="8">
        <f>0</f>
        <v>0</v>
      </c>
      <c r="CX2699" s="8">
        <f>0</f>
        <v>0</v>
      </c>
      <c r="CY2699" s="8">
        <f>1</f>
        <v>1</v>
      </c>
      <c r="DA2699" s="5" t="s">
        <v>274</v>
      </c>
      <c r="DB2699" s="5" t="s">
        <v>238</v>
      </c>
      <c r="DD2699" s="5" t="s">
        <v>274</v>
      </c>
      <c r="DE2699" s="8">
        <f>770</f>
        <v>770</v>
      </c>
      <c r="DG2699" s="5" t="s">
        <v>238</v>
      </c>
      <c r="DH2699" s="5" t="s">
        <v>238</v>
      </c>
      <c r="DI2699" s="5" t="s">
        <v>238</v>
      </c>
      <c r="DJ2699" s="5" t="s">
        <v>238</v>
      </c>
      <c r="DN2699" s="5" t="s">
        <v>238</v>
      </c>
      <c r="DO2699" s="5" t="s">
        <v>238</v>
      </c>
      <c r="DP2699" s="5" t="s">
        <v>238</v>
      </c>
      <c r="DQ2699" s="5" t="s">
        <v>238</v>
      </c>
      <c r="DT2699" s="5" t="s">
        <v>275</v>
      </c>
      <c r="DU2699" s="5" t="s">
        <v>1665</v>
      </c>
      <c r="HM2699" s="5" t="s">
        <v>264</v>
      </c>
    </row>
    <row r="2700" spans="1:221" x14ac:dyDescent="0.4">
      <c r="A2700" s="5">
        <v>4404</v>
      </c>
      <c r="B2700" s="5">
        <v>1</v>
      </c>
      <c r="C2700" s="5">
        <v>1</v>
      </c>
      <c r="D2700" s="5" t="s">
        <v>269</v>
      </c>
      <c r="E2700" s="5" t="s">
        <v>271</v>
      </c>
      <c r="F2700" s="5" t="s">
        <v>248</v>
      </c>
      <c r="G2700" s="5" t="s">
        <v>266</v>
      </c>
      <c r="H2700" s="6" t="s">
        <v>1662</v>
      </c>
      <c r="I2700" s="7">
        <f>833</f>
        <v>833</v>
      </c>
      <c r="J2700" s="5" t="s">
        <v>262</v>
      </c>
      <c r="K2700" s="8">
        <f>1</f>
        <v>1</v>
      </c>
      <c r="L2700" s="6" t="s">
        <v>242</v>
      </c>
      <c r="M2700" s="5" t="s">
        <v>267</v>
      </c>
      <c r="N2700" s="5" t="s">
        <v>265</v>
      </c>
      <c r="O2700" s="5" t="s">
        <v>238</v>
      </c>
      <c r="P2700" s="5" t="s">
        <v>238</v>
      </c>
      <c r="Q2700" s="5" t="s">
        <v>268</v>
      </c>
      <c r="R2700" s="5" t="s">
        <v>270</v>
      </c>
      <c r="S2700" s="5" t="s">
        <v>238</v>
      </c>
      <c r="V2700" s="5" t="s">
        <v>238</v>
      </c>
      <c r="X2700" s="6" t="s">
        <v>238</v>
      </c>
      <c r="AA2700" s="6" t="s">
        <v>243</v>
      </c>
      <c r="AB2700" s="5" t="s">
        <v>238</v>
      </c>
      <c r="AC2700" s="5" t="s">
        <v>244</v>
      </c>
      <c r="AD2700" s="5" t="s">
        <v>245</v>
      </c>
      <c r="AT2700" s="5" t="s">
        <v>246</v>
      </c>
      <c r="AU2700" s="5" t="s">
        <v>238</v>
      </c>
      <c r="AV2700" s="5" t="s">
        <v>247</v>
      </c>
      <c r="AW2700" s="5" t="s">
        <v>238</v>
      </c>
      <c r="AX2700" s="5" t="s">
        <v>249</v>
      </c>
      <c r="AY2700" s="5" t="s">
        <v>238</v>
      </c>
      <c r="BA2700" s="5" t="s">
        <v>238</v>
      </c>
      <c r="BC2700" s="5" t="s">
        <v>250</v>
      </c>
      <c r="BD2700" s="6" t="s">
        <v>243</v>
      </c>
      <c r="BE2700" s="5" t="s">
        <v>251</v>
      </c>
      <c r="BF2700" s="5" t="s">
        <v>252</v>
      </c>
      <c r="BG2700" s="5" t="s">
        <v>238</v>
      </c>
      <c r="BH2700" s="7">
        <f>0</f>
        <v>0</v>
      </c>
      <c r="BI2700" s="8">
        <f>0</f>
        <v>0</v>
      </c>
      <c r="BJ2700" s="5" t="s">
        <v>253</v>
      </c>
      <c r="BK2700" s="5" t="s">
        <v>254</v>
      </c>
      <c r="BY2700" s="5" t="s">
        <v>238</v>
      </c>
      <c r="BZ2700" s="5" t="s">
        <v>238</v>
      </c>
      <c r="CD2700" s="5" t="s">
        <v>273</v>
      </c>
      <c r="CE2700" s="5" t="s">
        <v>256</v>
      </c>
      <c r="CF2700" s="5" t="s">
        <v>238</v>
      </c>
      <c r="CI2700" s="6" t="s">
        <v>257</v>
      </c>
      <c r="CJ2700" s="5" t="s">
        <v>238</v>
      </c>
      <c r="CK2700" s="5" t="s">
        <v>258</v>
      </c>
      <c r="CL2700" s="5" t="s">
        <v>238</v>
      </c>
      <c r="CM2700" s="5" t="s">
        <v>238</v>
      </c>
      <c r="CN2700" s="5">
        <v>0</v>
      </c>
      <c r="CO2700" s="5" t="s">
        <v>259</v>
      </c>
      <c r="CP2700" s="5" t="s">
        <v>260</v>
      </c>
      <c r="CQ2700" s="5" t="s">
        <v>260</v>
      </c>
      <c r="CR2700" s="5" t="s">
        <v>261</v>
      </c>
      <c r="CU2700" s="8">
        <f>1</f>
        <v>1</v>
      </c>
      <c r="CV2700" s="8">
        <f>0</f>
        <v>0</v>
      </c>
      <c r="CX2700" s="8">
        <f>0</f>
        <v>0</v>
      </c>
      <c r="CY2700" s="8">
        <f>1</f>
        <v>1</v>
      </c>
      <c r="DA2700" s="5" t="s">
        <v>274</v>
      </c>
      <c r="DB2700" s="5" t="s">
        <v>238</v>
      </c>
      <c r="DD2700" s="5" t="s">
        <v>274</v>
      </c>
      <c r="DE2700" s="8">
        <f>833</f>
        <v>833</v>
      </c>
      <c r="DG2700" s="5" t="s">
        <v>238</v>
      </c>
      <c r="DH2700" s="5" t="s">
        <v>238</v>
      </c>
      <c r="DI2700" s="5" t="s">
        <v>238</v>
      </c>
      <c r="DJ2700" s="5" t="s">
        <v>238</v>
      </c>
      <c r="DN2700" s="5" t="s">
        <v>238</v>
      </c>
      <c r="DO2700" s="5" t="s">
        <v>238</v>
      </c>
      <c r="DP2700" s="5" t="s">
        <v>238</v>
      </c>
      <c r="DQ2700" s="5" t="s">
        <v>238</v>
      </c>
      <c r="DT2700" s="5" t="s">
        <v>275</v>
      </c>
      <c r="DU2700" s="5" t="s">
        <v>1663</v>
      </c>
      <c r="HM2700" s="5" t="s">
        <v>264</v>
      </c>
    </row>
    <row r="2701" spans="1:221" x14ac:dyDescent="0.4">
      <c r="A2701" s="5">
        <v>4405</v>
      </c>
      <c r="B2701" s="5">
        <v>1</v>
      </c>
      <c r="C2701" s="5">
        <v>1</v>
      </c>
      <c r="D2701" s="5" t="s">
        <v>269</v>
      </c>
      <c r="E2701" s="5" t="s">
        <v>271</v>
      </c>
      <c r="F2701" s="5" t="s">
        <v>248</v>
      </c>
      <c r="G2701" s="5" t="s">
        <v>266</v>
      </c>
      <c r="H2701" s="6" t="s">
        <v>1657</v>
      </c>
      <c r="I2701" s="7">
        <f>1453</f>
        <v>1453</v>
      </c>
      <c r="J2701" s="5" t="s">
        <v>262</v>
      </c>
      <c r="K2701" s="8">
        <f>1</f>
        <v>1</v>
      </c>
      <c r="L2701" s="6" t="s">
        <v>242</v>
      </c>
      <c r="M2701" s="5" t="s">
        <v>267</v>
      </c>
      <c r="N2701" s="5" t="s">
        <v>265</v>
      </c>
      <c r="O2701" s="5" t="s">
        <v>238</v>
      </c>
      <c r="P2701" s="5" t="s">
        <v>238</v>
      </c>
      <c r="Q2701" s="5" t="s">
        <v>268</v>
      </c>
      <c r="R2701" s="5" t="s">
        <v>270</v>
      </c>
      <c r="S2701" s="5" t="s">
        <v>238</v>
      </c>
      <c r="V2701" s="5" t="s">
        <v>238</v>
      </c>
      <c r="X2701" s="6" t="s">
        <v>238</v>
      </c>
      <c r="AA2701" s="6" t="s">
        <v>243</v>
      </c>
      <c r="AB2701" s="5" t="s">
        <v>238</v>
      </c>
      <c r="AC2701" s="5" t="s">
        <v>244</v>
      </c>
      <c r="AD2701" s="5" t="s">
        <v>245</v>
      </c>
      <c r="AT2701" s="5" t="s">
        <v>246</v>
      </c>
      <c r="AU2701" s="5" t="s">
        <v>238</v>
      </c>
      <c r="AV2701" s="5" t="s">
        <v>247</v>
      </c>
      <c r="AW2701" s="5" t="s">
        <v>238</v>
      </c>
      <c r="AX2701" s="5" t="s">
        <v>249</v>
      </c>
      <c r="AY2701" s="5" t="s">
        <v>238</v>
      </c>
      <c r="BA2701" s="5" t="s">
        <v>238</v>
      </c>
      <c r="BC2701" s="5" t="s">
        <v>250</v>
      </c>
      <c r="BD2701" s="6" t="s">
        <v>243</v>
      </c>
      <c r="BE2701" s="5" t="s">
        <v>251</v>
      </c>
      <c r="BF2701" s="5" t="s">
        <v>252</v>
      </c>
      <c r="BG2701" s="5" t="s">
        <v>238</v>
      </c>
      <c r="BH2701" s="7">
        <f>0</f>
        <v>0</v>
      </c>
      <c r="BI2701" s="8">
        <f>0</f>
        <v>0</v>
      </c>
      <c r="BJ2701" s="5" t="s">
        <v>253</v>
      </c>
      <c r="BK2701" s="5" t="s">
        <v>254</v>
      </c>
      <c r="BY2701" s="5" t="s">
        <v>238</v>
      </c>
      <c r="BZ2701" s="5" t="s">
        <v>238</v>
      </c>
      <c r="CD2701" s="5" t="s">
        <v>273</v>
      </c>
      <c r="CE2701" s="5" t="s">
        <v>256</v>
      </c>
      <c r="CF2701" s="5" t="s">
        <v>238</v>
      </c>
      <c r="CI2701" s="6" t="s">
        <v>257</v>
      </c>
      <c r="CJ2701" s="5" t="s">
        <v>238</v>
      </c>
      <c r="CK2701" s="5" t="s">
        <v>258</v>
      </c>
      <c r="CL2701" s="5" t="s">
        <v>238</v>
      </c>
      <c r="CM2701" s="5" t="s">
        <v>238</v>
      </c>
      <c r="CN2701" s="5">
        <v>0</v>
      </c>
      <c r="CO2701" s="5" t="s">
        <v>259</v>
      </c>
      <c r="CP2701" s="5" t="s">
        <v>260</v>
      </c>
      <c r="CQ2701" s="5" t="s">
        <v>260</v>
      </c>
      <c r="CR2701" s="5" t="s">
        <v>261</v>
      </c>
      <c r="CU2701" s="8">
        <f>1</f>
        <v>1</v>
      </c>
      <c r="CV2701" s="8">
        <f>0</f>
        <v>0</v>
      </c>
      <c r="CX2701" s="8">
        <f>0</f>
        <v>0</v>
      </c>
      <c r="CY2701" s="8">
        <f>1</f>
        <v>1</v>
      </c>
      <c r="DA2701" s="5" t="s">
        <v>274</v>
      </c>
      <c r="DB2701" s="5" t="s">
        <v>238</v>
      </c>
      <c r="DD2701" s="5" t="s">
        <v>274</v>
      </c>
      <c r="DE2701" s="8">
        <f>1453</f>
        <v>1453</v>
      </c>
      <c r="DG2701" s="5" t="s">
        <v>238</v>
      </c>
      <c r="DH2701" s="5" t="s">
        <v>238</v>
      </c>
      <c r="DI2701" s="5" t="s">
        <v>238</v>
      </c>
      <c r="DJ2701" s="5" t="s">
        <v>238</v>
      </c>
      <c r="DN2701" s="5" t="s">
        <v>238</v>
      </c>
      <c r="DO2701" s="5" t="s">
        <v>238</v>
      </c>
      <c r="DP2701" s="5" t="s">
        <v>238</v>
      </c>
      <c r="DQ2701" s="5" t="s">
        <v>238</v>
      </c>
      <c r="DT2701" s="5" t="s">
        <v>275</v>
      </c>
      <c r="DU2701" s="5" t="s">
        <v>1658</v>
      </c>
      <c r="HM2701" s="5" t="s">
        <v>264</v>
      </c>
    </row>
    <row r="2702" spans="1:221" x14ac:dyDescent="0.4">
      <c r="A2702" s="5">
        <v>4406</v>
      </c>
      <c r="B2702" s="5">
        <v>1</v>
      </c>
      <c r="C2702" s="5">
        <v>1</v>
      </c>
      <c r="D2702" s="5" t="s">
        <v>269</v>
      </c>
      <c r="E2702" s="5" t="s">
        <v>271</v>
      </c>
      <c r="F2702" s="5" t="s">
        <v>248</v>
      </c>
      <c r="G2702" s="5" t="s">
        <v>266</v>
      </c>
      <c r="H2702" s="6" t="s">
        <v>1647</v>
      </c>
      <c r="I2702" s="7">
        <f>1397</f>
        <v>1397</v>
      </c>
      <c r="J2702" s="5" t="s">
        <v>262</v>
      </c>
      <c r="K2702" s="8">
        <f>1</f>
        <v>1</v>
      </c>
      <c r="L2702" s="6" t="s">
        <v>242</v>
      </c>
      <c r="M2702" s="5" t="s">
        <v>267</v>
      </c>
      <c r="N2702" s="5" t="s">
        <v>265</v>
      </c>
      <c r="O2702" s="5" t="s">
        <v>238</v>
      </c>
      <c r="P2702" s="5" t="s">
        <v>238</v>
      </c>
      <c r="Q2702" s="5" t="s">
        <v>268</v>
      </c>
      <c r="R2702" s="5" t="s">
        <v>270</v>
      </c>
      <c r="S2702" s="5" t="s">
        <v>238</v>
      </c>
      <c r="V2702" s="5" t="s">
        <v>238</v>
      </c>
      <c r="X2702" s="6" t="s">
        <v>238</v>
      </c>
      <c r="AA2702" s="6" t="s">
        <v>243</v>
      </c>
      <c r="AB2702" s="5" t="s">
        <v>238</v>
      </c>
      <c r="AC2702" s="5" t="s">
        <v>244</v>
      </c>
      <c r="AD2702" s="5" t="s">
        <v>245</v>
      </c>
      <c r="AT2702" s="5" t="s">
        <v>246</v>
      </c>
      <c r="AU2702" s="5" t="s">
        <v>238</v>
      </c>
      <c r="AV2702" s="5" t="s">
        <v>247</v>
      </c>
      <c r="AW2702" s="5" t="s">
        <v>238</v>
      </c>
      <c r="AX2702" s="5" t="s">
        <v>249</v>
      </c>
      <c r="AY2702" s="5" t="s">
        <v>238</v>
      </c>
      <c r="BA2702" s="5" t="s">
        <v>238</v>
      </c>
      <c r="BC2702" s="5" t="s">
        <v>250</v>
      </c>
      <c r="BD2702" s="6" t="s">
        <v>243</v>
      </c>
      <c r="BE2702" s="5" t="s">
        <v>251</v>
      </c>
      <c r="BF2702" s="5" t="s">
        <v>252</v>
      </c>
      <c r="BG2702" s="5" t="s">
        <v>238</v>
      </c>
      <c r="BH2702" s="7">
        <f>0</f>
        <v>0</v>
      </c>
      <c r="BI2702" s="8">
        <f>0</f>
        <v>0</v>
      </c>
      <c r="BJ2702" s="5" t="s">
        <v>253</v>
      </c>
      <c r="BK2702" s="5" t="s">
        <v>254</v>
      </c>
      <c r="BY2702" s="5" t="s">
        <v>238</v>
      </c>
      <c r="BZ2702" s="5" t="s">
        <v>238</v>
      </c>
      <c r="CD2702" s="5" t="s">
        <v>273</v>
      </c>
      <c r="CE2702" s="5" t="s">
        <v>256</v>
      </c>
      <c r="CF2702" s="5" t="s">
        <v>238</v>
      </c>
      <c r="CI2702" s="6" t="s">
        <v>257</v>
      </c>
      <c r="CJ2702" s="5" t="s">
        <v>238</v>
      </c>
      <c r="CK2702" s="5" t="s">
        <v>258</v>
      </c>
      <c r="CL2702" s="5" t="s">
        <v>238</v>
      </c>
      <c r="CM2702" s="5" t="s">
        <v>238</v>
      </c>
      <c r="CN2702" s="5">
        <v>0</v>
      </c>
      <c r="CO2702" s="5" t="s">
        <v>259</v>
      </c>
      <c r="CP2702" s="5" t="s">
        <v>260</v>
      </c>
      <c r="CQ2702" s="5" t="s">
        <v>260</v>
      </c>
      <c r="CR2702" s="5" t="s">
        <v>261</v>
      </c>
      <c r="CU2702" s="8">
        <f>1</f>
        <v>1</v>
      </c>
      <c r="CV2702" s="8">
        <f>0</f>
        <v>0</v>
      </c>
      <c r="CX2702" s="8">
        <f>0</f>
        <v>0</v>
      </c>
      <c r="CY2702" s="8">
        <f>1</f>
        <v>1</v>
      </c>
      <c r="DA2702" s="5" t="s">
        <v>274</v>
      </c>
      <c r="DB2702" s="5" t="s">
        <v>238</v>
      </c>
      <c r="DD2702" s="5" t="s">
        <v>274</v>
      </c>
      <c r="DE2702" s="8">
        <f>1397</f>
        <v>1397</v>
      </c>
      <c r="DG2702" s="5" t="s">
        <v>238</v>
      </c>
      <c r="DH2702" s="5" t="s">
        <v>238</v>
      </c>
      <c r="DI2702" s="5" t="s">
        <v>238</v>
      </c>
      <c r="DJ2702" s="5" t="s">
        <v>238</v>
      </c>
      <c r="DN2702" s="5" t="s">
        <v>238</v>
      </c>
      <c r="DO2702" s="5" t="s">
        <v>238</v>
      </c>
      <c r="DP2702" s="5" t="s">
        <v>238</v>
      </c>
      <c r="DQ2702" s="5" t="s">
        <v>238</v>
      </c>
      <c r="DT2702" s="5" t="s">
        <v>275</v>
      </c>
      <c r="DU2702" s="5" t="s">
        <v>1648</v>
      </c>
      <c r="HM2702" s="5" t="s">
        <v>264</v>
      </c>
    </row>
    <row r="2703" spans="1:221" x14ac:dyDescent="0.4">
      <c r="A2703" s="5">
        <v>4407</v>
      </c>
      <c r="B2703" s="5">
        <v>1</v>
      </c>
      <c r="C2703" s="5">
        <v>1</v>
      </c>
      <c r="D2703" s="5" t="s">
        <v>269</v>
      </c>
      <c r="E2703" s="5" t="s">
        <v>271</v>
      </c>
      <c r="F2703" s="5" t="s">
        <v>248</v>
      </c>
      <c r="G2703" s="5" t="s">
        <v>266</v>
      </c>
      <c r="H2703" s="6" t="s">
        <v>1645</v>
      </c>
      <c r="I2703" s="7">
        <f>654</f>
        <v>654</v>
      </c>
      <c r="J2703" s="5" t="s">
        <v>262</v>
      </c>
      <c r="K2703" s="8">
        <f>1</f>
        <v>1</v>
      </c>
      <c r="L2703" s="6" t="s">
        <v>242</v>
      </c>
      <c r="M2703" s="5" t="s">
        <v>267</v>
      </c>
      <c r="N2703" s="5" t="s">
        <v>265</v>
      </c>
      <c r="O2703" s="5" t="s">
        <v>238</v>
      </c>
      <c r="P2703" s="5" t="s">
        <v>238</v>
      </c>
      <c r="Q2703" s="5" t="s">
        <v>268</v>
      </c>
      <c r="R2703" s="5" t="s">
        <v>270</v>
      </c>
      <c r="S2703" s="5" t="s">
        <v>238</v>
      </c>
      <c r="V2703" s="5" t="s">
        <v>238</v>
      </c>
      <c r="X2703" s="6" t="s">
        <v>238</v>
      </c>
      <c r="AA2703" s="6" t="s">
        <v>243</v>
      </c>
      <c r="AB2703" s="5" t="s">
        <v>238</v>
      </c>
      <c r="AC2703" s="5" t="s">
        <v>244</v>
      </c>
      <c r="AD2703" s="5" t="s">
        <v>245</v>
      </c>
      <c r="AT2703" s="5" t="s">
        <v>246</v>
      </c>
      <c r="AU2703" s="5" t="s">
        <v>238</v>
      </c>
      <c r="AV2703" s="5" t="s">
        <v>247</v>
      </c>
      <c r="AW2703" s="5" t="s">
        <v>238</v>
      </c>
      <c r="AX2703" s="5" t="s">
        <v>249</v>
      </c>
      <c r="AY2703" s="5" t="s">
        <v>238</v>
      </c>
      <c r="BA2703" s="5" t="s">
        <v>238</v>
      </c>
      <c r="BC2703" s="5" t="s">
        <v>250</v>
      </c>
      <c r="BD2703" s="6" t="s">
        <v>243</v>
      </c>
      <c r="BE2703" s="5" t="s">
        <v>251</v>
      </c>
      <c r="BF2703" s="5" t="s">
        <v>252</v>
      </c>
      <c r="BG2703" s="5" t="s">
        <v>238</v>
      </c>
      <c r="BH2703" s="7">
        <f>0</f>
        <v>0</v>
      </c>
      <c r="BI2703" s="8">
        <f>0</f>
        <v>0</v>
      </c>
      <c r="BJ2703" s="5" t="s">
        <v>253</v>
      </c>
      <c r="BK2703" s="5" t="s">
        <v>254</v>
      </c>
      <c r="BY2703" s="5" t="s">
        <v>238</v>
      </c>
      <c r="BZ2703" s="5" t="s">
        <v>238</v>
      </c>
      <c r="CD2703" s="5" t="s">
        <v>273</v>
      </c>
      <c r="CE2703" s="5" t="s">
        <v>256</v>
      </c>
      <c r="CF2703" s="5" t="s">
        <v>238</v>
      </c>
      <c r="CI2703" s="6" t="s">
        <v>257</v>
      </c>
      <c r="CJ2703" s="5" t="s">
        <v>238</v>
      </c>
      <c r="CK2703" s="5" t="s">
        <v>258</v>
      </c>
      <c r="CL2703" s="5" t="s">
        <v>238</v>
      </c>
      <c r="CM2703" s="5" t="s">
        <v>238</v>
      </c>
      <c r="CN2703" s="5">
        <v>0</v>
      </c>
      <c r="CO2703" s="5" t="s">
        <v>259</v>
      </c>
      <c r="CP2703" s="5" t="s">
        <v>260</v>
      </c>
      <c r="CQ2703" s="5" t="s">
        <v>260</v>
      </c>
      <c r="CR2703" s="5" t="s">
        <v>261</v>
      </c>
      <c r="CU2703" s="8">
        <f>1</f>
        <v>1</v>
      </c>
      <c r="CV2703" s="8">
        <f>0</f>
        <v>0</v>
      </c>
      <c r="CX2703" s="8">
        <f>0</f>
        <v>0</v>
      </c>
      <c r="CY2703" s="8">
        <f>1</f>
        <v>1</v>
      </c>
      <c r="DA2703" s="5" t="s">
        <v>274</v>
      </c>
      <c r="DB2703" s="5" t="s">
        <v>238</v>
      </c>
      <c r="DD2703" s="5" t="s">
        <v>274</v>
      </c>
      <c r="DE2703" s="8">
        <f>654</f>
        <v>654</v>
      </c>
      <c r="DG2703" s="5" t="s">
        <v>238</v>
      </c>
      <c r="DH2703" s="5" t="s">
        <v>238</v>
      </c>
      <c r="DI2703" s="5" t="s">
        <v>238</v>
      </c>
      <c r="DJ2703" s="5" t="s">
        <v>238</v>
      </c>
      <c r="DN2703" s="5" t="s">
        <v>238</v>
      </c>
      <c r="DO2703" s="5" t="s">
        <v>238</v>
      </c>
      <c r="DP2703" s="5" t="s">
        <v>238</v>
      </c>
      <c r="DQ2703" s="5" t="s">
        <v>238</v>
      </c>
      <c r="DT2703" s="5" t="s">
        <v>275</v>
      </c>
      <c r="DU2703" s="5" t="s">
        <v>1646</v>
      </c>
      <c r="HM2703" s="5" t="s">
        <v>264</v>
      </c>
    </row>
    <row r="2704" spans="1:221" x14ac:dyDescent="0.4">
      <c r="A2704" s="5">
        <v>4408</v>
      </c>
      <c r="B2704" s="5">
        <v>1</v>
      </c>
      <c r="C2704" s="5">
        <v>1</v>
      </c>
      <c r="D2704" s="5" t="s">
        <v>269</v>
      </c>
      <c r="E2704" s="5" t="s">
        <v>271</v>
      </c>
      <c r="F2704" s="5" t="s">
        <v>248</v>
      </c>
      <c r="G2704" s="5" t="s">
        <v>266</v>
      </c>
      <c r="H2704" s="6" t="s">
        <v>1641</v>
      </c>
      <c r="I2704" s="7">
        <f>1614</f>
        <v>1614</v>
      </c>
      <c r="J2704" s="5" t="s">
        <v>262</v>
      </c>
      <c r="K2704" s="8">
        <f>1</f>
        <v>1</v>
      </c>
      <c r="L2704" s="6" t="s">
        <v>242</v>
      </c>
      <c r="M2704" s="5" t="s">
        <v>267</v>
      </c>
      <c r="N2704" s="5" t="s">
        <v>265</v>
      </c>
      <c r="O2704" s="5" t="s">
        <v>238</v>
      </c>
      <c r="P2704" s="5" t="s">
        <v>238</v>
      </c>
      <c r="Q2704" s="5" t="s">
        <v>268</v>
      </c>
      <c r="R2704" s="5" t="s">
        <v>270</v>
      </c>
      <c r="S2704" s="5" t="s">
        <v>238</v>
      </c>
      <c r="V2704" s="5" t="s">
        <v>238</v>
      </c>
      <c r="X2704" s="6" t="s">
        <v>238</v>
      </c>
      <c r="AA2704" s="6" t="s">
        <v>243</v>
      </c>
      <c r="AB2704" s="5" t="s">
        <v>238</v>
      </c>
      <c r="AC2704" s="5" t="s">
        <v>244</v>
      </c>
      <c r="AD2704" s="5" t="s">
        <v>245</v>
      </c>
      <c r="AT2704" s="5" t="s">
        <v>246</v>
      </c>
      <c r="AU2704" s="5" t="s">
        <v>238</v>
      </c>
      <c r="AV2704" s="5" t="s">
        <v>247</v>
      </c>
      <c r="AW2704" s="5" t="s">
        <v>238</v>
      </c>
      <c r="AX2704" s="5" t="s">
        <v>249</v>
      </c>
      <c r="AY2704" s="5" t="s">
        <v>238</v>
      </c>
      <c r="BA2704" s="5" t="s">
        <v>238</v>
      </c>
      <c r="BC2704" s="5" t="s">
        <v>250</v>
      </c>
      <c r="BD2704" s="6" t="s">
        <v>243</v>
      </c>
      <c r="BE2704" s="5" t="s">
        <v>251</v>
      </c>
      <c r="BF2704" s="5" t="s">
        <v>252</v>
      </c>
      <c r="BG2704" s="5" t="s">
        <v>238</v>
      </c>
      <c r="BH2704" s="7">
        <f>0</f>
        <v>0</v>
      </c>
      <c r="BI2704" s="8">
        <f>0</f>
        <v>0</v>
      </c>
      <c r="BJ2704" s="5" t="s">
        <v>253</v>
      </c>
      <c r="BK2704" s="5" t="s">
        <v>254</v>
      </c>
      <c r="BY2704" s="5" t="s">
        <v>238</v>
      </c>
      <c r="BZ2704" s="5" t="s">
        <v>238</v>
      </c>
      <c r="CD2704" s="5" t="s">
        <v>273</v>
      </c>
      <c r="CE2704" s="5" t="s">
        <v>256</v>
      </c>
      <c r="CF2704" s="5" t="s">
        <v>238</v>
      </c>
      <c r="CI2704" s="6" t="s">
        <v>257</v>
      </c>
      <c r="CJ2704" s="5" t="s">
        <v>238</v>
      </c>
      <c r="CK2704" s="5" t="s">
        <v>258</v>
      </c>
      <c r="CL2704" s="5" t="s">
        <v>238</v>
      </c>
      <c r="CM2704" s="5" t="s">
        <v>238</v>
      </c>
      <c r="CN2704" s="5">
        <v>0</v>
      </c>
      <c r="CO2704" s="5" t="s">
        <v>259</v>
      </c>
      <c r="CP2704" s="5" t="s">
        <v>260</v>
      </c>
      <c r="CQ2704" s="5" t="s">
        <v>260</v>
      </c>
      <c r="CR2704" s="5" t="s">
        <v>261</v>
      </c>
      <c r="CU2704" s="8">
        <f>1</f>
        <v>1</v>
      </c>
      <c r="CV2704" s="8">
        <f>0</f>
        <v>0</v>
      </c>
      <c r="CX2704" s="8">
        <f>0</f>
        <v>0</v>
      </c>
      <c r="CY2704" s="8">
        <f>1</f>
        <v>1</v>
      </c>
      <c r="DA2704" s="5" t="s">
        <v>274</v>
      </c>
      <c r="DB2704" s="5" t="s">
        <v>238</v>
      </c>
      <c r="DD2704" s="5" t="s">
        <v>274</v>
      </c>
      <c r="DE2704" s="8">
        <f>1614</f>
        <v>1614</v>
      </c>
      <c r="DG2704" s="5" t="s">
        <v>238</v>
      </c>
      <c r="DH2704" s="5" t="s">
        <v>238</v>
      </c>
      <c r="DI2704" s="5" t="s">
        <v>238</v>
      </c>
      <c r="DJ2704" s="5" t="s">
        <v>238</v>
      </c>
      <c r="DN2704" s="5" t="s">
        <v>238</v>
      </c>
      <c r="DO2704" s="5" t="s">
        <v>238</v>
      </c>
      <c r="DP2704" s="5" t="s">
        <v>238</v>
      </c>
      <c r="DQ2704" s="5" t="s">
        <v>238</v>
      </c>
      <c r="DT2704" s="5" t="s">
        <v>275</v>
      </c>
      <c r="DU2704" s="5" t="s">
        <v>1642</v>
      </c>
      <c r="HM2704" s="5" t="s">
        <v>264</v>
      </c>
    </row>
    <row r="2705" spans="1:221" x14ac:dyDescent="0.4">
      <c r="A2705" s="5">
        <v>4409</v>
      </c>
      <c r="B2705" s="5">
        <v>1</v>
      </c>
      <c r="C2705" s="5">
        <v>1</v>
      </c>
      <c r="D2705" s="5" t="s">
        <v>269</v>
      </c>
      <c r="E2705" s="5" t="s">
        <v>271</v>
      </c>
      <c r="F2705" s="5" t="s">
        <v>248</v>
      </c>
      <c r="G2705" s="5" t="s">
        <v>266</v>
      </c>
      <c r="H2705" s="6" t="s">
        <v>1633</v>
      </c>
      <c r="I2705" s="7">
        <f>2234</f>
        <v>2234</v>
      </c>
      <c r="J2705" s="5" t="s">
        <v>262</v>
      </c>
      <c r="K2705" s="8">
        <f>1</f>
        <v>1</v>
      </c>
      <c r="L2705" s="6" t="s">
        <v>242</v>
      </c>
      <c r="M2705" s="5" t="s">
        <v>267</v>
      </c>
      <c r="N2705" s="5" t="s">
        <v>265</v>
      </c>
      <c r="O2705" s="5" t="s">
        <v>238</v>
      </c>
      <c r="P2705" s="5" t="s">
        <v>238</v>
      </c>
      <c r="Q2705" s="5" t="s">
        <v>268</v>
      </c>
      <c r="R2705" s="5" t="s">
        <v>270</v>
      </c>
      <c r="S2705" s="5" t="s">
        <v>238</v>
      </c>
      <c r="V2705" s="5" t="s">
        <v>238</v>
      </c>
      <c r="X2705" s="6" t="s">
        <v>238</v>
      </c>
      <c r="AA2705" s="6" t="s">
        <v>243</v>
      </c>
      <c r="AB2705" s="5" t="s">
        <v>238</v>
      </c>
      <c r="AC2705" s="5" t="s">
        <v>244</v>
      </c>
      <c r="AD2705" s="5" t="s">
        <v>245</v>
      </c>
      <c r="AT2705" s="5" t="s">
        <v>246</v>
      </c>
      <c r="AU2705" s="5" t="s">
        <v>238</v>
      </c>
      <c r="AV2705" s="5" t="s">
        <v>247</v>
      </c>
      <c r="AW2705" s="5" t="s">
        <v>238</v>
      </c>
      <c r="AX2705" s="5" t="s">
        <v>249</v>
      </c>
      <c r="AY2705" s="5" t="s">
        <v>238</v>
      </c>
      <c r="BA2705" s="5" t="s">
        <v>238</v>
      </c>
      <c r="BC2705" s="5" t="s">
        <v>250</v>
      </c>
      <c r="BD2705" s="6" t="s">
        <v>243</v>
      </c>
      <c r="BE2705" s="5" t="s">
        <v>251</v>
      </c>
      <c r="BF2705" s="5" t="s">
        <v>252</v>
      </c>
      <c r="BG2705" s="5" t="s">
        <v>238</v>
      </c>
      <c r="BH2705" s="7">
        <f>0</f>
        <v>0</v>
      </c>
      <c r="BI2705" s="8">
        <f>0</f>
        <v>0</v>
      </c>
      <c r="BJ2705" s="5" t="s">
        <v>253</v>
      </c>
      <c r="BK2705" s="5" t="s">
        <v>254</v>
      </c>
      <c r="BY2705" s="5" t="s">
        <v>238</v>
      </c>
      <c r="BZ2705" s="5" t="s">
        <v>238</v>
      </c>
      <c r="CD2705" s="5" t="s">
        <v>273</v>
      </c>
      <c r="CE2705" s="5" t="s">
        <v>256</v>
      </c>
      <c r="CF2705" s="5" t="s">
        <v>238</v>
      </c>
      <c r="CI2705" s="6" t="s">
        <v>257</v>
      </c>
      <c r="CJ2705" s="5" t="s">
        <v>238</v>
      </c>
      <c r="CK2705" s="5" t="s">
        <v>258</v>
      </c>
      <c r="CL2705" s="5" t="s">
        <v>238</v>
      </c>
      <c r="CM2705" s="5" t="s">
        <v>238</v>
      </c>
      <c r="CN2705" s="5">
        <v>0</v>
      </c>
      <c r="CO2705" s="5" t="s">
        <v>259</v>
      </c>
      <c r="CP2705" s="5" t="s">
        <v>260</v>
      </c>
      <c r="CQ2705" s="5" t="s">
        <v>260</v>
      </c>
      <c r="CR2705" s="5" t="s">
        <v>261</v>
      </c>
      <c r="CU2705" s="8">
        <f>1</f>
        <v>1</v>
      </c>
      <c r="CV2705" s="8">
        <f>0</f>
        <v>0</v>
      </c>
      <c r="CX2705" s="8">
        <f>0</f>
        <v>0</v>
      </c>
      <c r="CY2705" s="8">
        <f>1</f>
        <v>1</v>
      </c>
      <c r="DA2705" s="5" t="s">
        <v>274</v>
      </c>
      <c r="DB2705" s="5" t="s">
        <v>238</v>
      </c>
      <c r="DD2705" s="5" t="s">
        <v>274</v>
      </c>
      <c r="DE2705" s="8">
        <f>2234</f>
        <v>2234</v>
      </c>
      <c r="DG2705" s="5" t="s">
        <v>238</v>
      </c>
      <c r="DH2705" s="5" t="s">
        <v>238</v>
      </c>
      <c r="DI2705" s="5" t="s">
        <v>238</v>
      </c>
      <c r="DJ2705" s="5" t="s">
        <v>238</v>
      </c>
      <c r="DN2705" s="5" t="s">
        <v>238</v>
      </c>
      <c r="DO2705" s="5" t="s">
        <v>238</v>
      </c>
      <c r="DP2705" s="5" t="s">
        <v>238</v>
      </c>
      <c r="DQ2705" s="5" t="s">
        <v>238</v>
      </c>
      <c r="DT2705" s="5" t="s">
        <v>275</v>
      </c>
      <c r="DU2705" s="5" t="s">
        <v>1634</v>
      </c>
      <c r="HM2705" s="5" t="s">
        <v>264</v>
      </c>
    </row>
    <row r="2706" spans="1:221" x14ac:dyDescent="0.4">
      <c r="A2706" s="5">
        <v>4410</v>
      </c>
      <c r="B2706" s="5">
        <v>1</v>
      </c>
      <c r="C2706" s="5">
        <v>1</v>
      </c>
      <c r="D2706" s="5" t="s">
        <v>269</v>
      </c>
      <c r="E2706" s="5" t="s">
        <v>271</v>
      </c>
      <c r="F2706" s="5" t="s">
        <v>248</v>
      </c>
      <c r="G2706" s="5" t="s">
        <v>266</v>
      </c>
      <c r="H2706" s="6" t="s">
        <v>1629</v>
      </c>
      <c r="I2706" s="7">
        <f>952</f>
        <v>952</v>
      </c>
      <c r="J2706" s="5" t="s">
        <v>262</v>
      </c>
      <c r="K2706" s="8">
        <f>1</f>
        <v>1</v>
      </c>
      <c r="L2706" s="6" t="s">
        <v>242</v>
      </c>
      <c r="M2706" s="5" t="s">
        <v>267</v>
      </c>
      <c r="N2706" s="5" t="s">
        <v>265</v>
      </c>
      <c r="O2706" s="5" t="s">
        <v>238</v>
      </c>
      <c r="P2706" s="5" t="s">
        <v>238</v>
      </c>
      <c r="Q2706" s="5" t="s">
        <v>268</v>
      </c>
      <c r="R2706" s="5" t="s">
        <v>270</v>
      </c>
      <c r="S2706" s="5" t="s">
        <v>238</v>
      </c>
      <c r="V2706" s="5" t="s">
        <v>238</v>
      </c>
      <c r="X2706" s="6" t="s">
        <v>238</v>
      </c>
      <c r="AA2706" s="6" t="s">
        <v>243</v>
      </c>
      <c r="AB2706" s="5" t="s">
        <v>238</v>
      </c>
      <c r="AC2706" s="5" t="s">
        <v>244</v>
      </c>
      <c r="AD2706" s="5" t="s">
        <v>245</v>
      </c>
      <c r="AT2706" s="5" t="s">
        <v>246</v>
      </c>
      <c r="AU2706" s="5" t="s">
        <v>238</v>
      </c>
      <c r="AV2706" s="5" t="s">
        <v>247</v>
      </c>
      <c r="AW2706" s="5" t="s">
        <v>238</v>
      </c>
      <c r="AX2706" s="5" t="s">
        <v>249</v>
      </c>
      <c r="AY2706" s="5" t="s">
        <v>238</v>
      </c>
      <c r="BA2706" s="5" t="s">
        <v>238</v>
      </c>
      <c r="BC2706" s="5" t="s">
        <v>250</v>
      </c>
      <c r="BD2706" s="6" t="s">
        <v>243</v>
      </c>
      <c r="BE2706" s="5" t="s">
        <v>251</v>
      </c>
      <c r="BF2706" s="5" t="s">
        <v>252</v>
      </c>
      <c r="BG2706" s="5" t="s">
        <v>238</v>
      </c>
      <c r="BH2706" s="7">
        <f>0</f>
        <v>0</v>
      </c>
      <c r="BI2706" s="8">
        <f>0</f>
        <v>0</v>
      </c>
      <c r="BJ2706" s="5" t="s">
        <v>253</v>
      </c>
      <c r="BK2706" s="5" t="s">
        <v>254</v>
      </c>
      <c r="BY2706" s="5" t="s">
        <v>238</v>
      </c>
      <c r="BZ2706" s="5" t="s">
        <v>238</v>
      </c>
      <c r="CD2706" s="5" t="s">
        <v>273</v>
      </c>
      <c r="CE2706" s="5" t="s">
        <v>256</v>
      </c>
      <c r="CF2706" s="5" t="s">
        <v>238</v>
      </c>
      <c r="CI2706" s="6" t="s">
        <v>257</v>
      </c>
      <c r="CJ2706" s="5" t="s">
        <v>238</v>
      </c>
      <c r="CK2706" s="5" t="s">
        <v>258</v>
      </c>
      <c r="CL2706" s="5" t="s">
        <v>238</v>
      </c>
      <c r="CM2706" s="5" t="s">
        <v>238</v>
      </c>
      <c r="CN2706" s="5">
        <v>0</v>
      </c>
      <c r="CO2706" s="5" t="s">
        <v>259</v>
      </c>
      <c r="CP2706" s="5" t="s">
        <v>260</v>
      </c>
      <c r="CQ2706" s="5" t="s">
        <v>260</v>
      </c>
      <c r="CR2706" s="5" t="s">
        <v>261</v>
      </c>
      <c r="CU2706" s="8">
        <f>1</f>
        <v>1</v>
      </c>
      <c r="CV2706" s="8">
        <f>0</f>
        <v>0</v>
      </c>
      <c r="CX2706" s="8">
        <f>0</f>
        <v>0</v>
      </c>
      <c r="CY2706" s="8">
        <f>1</f>
        <v>1</v>
      </c>
      <c r="DA2706" s="5" t="s">
        <v>274</v>
      </c>
      <c r="DB2706" s="5" t="s">
        <v>238</v>
      </c>
      <c r="DD2706" s="5" t="s">
        <v>274</v>
      </c>
      <c r="DE2706" s="8">
        <f>952</f>
        <v>952</v>
      </c>
      <c r="DG2706" s="5" t="s">
        <v>238</v>
      </c>
      <c r="DH2706" s="5" t="s">
        <v>238</v>
      </c>
      <c r="DI2706" s="5" t="s">
        <v>238</v>
      </c>
      <c r="DJ2706" s="5" t="s">
        <v>238</v>
      </c>
      <c r="DN2706" s="5" t="s">
        <v>238</v>
      </c>
      <c r="DO2706" s="5" t="s">
        <v>238</v>
      </c>
      <c r="DP2706" s="5" t="s">
        <v>238</v>
      </c>
      <c r="DQ2706" s="5" t="s">
        <v>238</v>
      </c>
      <c r="DT2706" s="5" t="s">
        <v>275</v>
      </c>
      <c r="DU2706" s="5" t="s">
        <v>1630</v>
      </c>
      <c r="HM2706" s="5" t="s">
        <v>264</v>
      </c>
    </row>
    <row r="2707" spans="1:221" x14ac:dyDescent="0.4">
      <c r="A2707" s="5">
        <v>4411</v>
      </c>
      <c r="B2707" s="5">
        <v>1</v>
      </c>
      <c r="C2707" s="5">
        <v>1</v>
      </c>
      <c r="D2707" s="5" t="s">
        <v>269</v>
      </c>
      <c r="E2707" s="5" t="s">
        <v>271</v>
      </c>
      <c r="F2707" s="5" t="s">
        <v>248</v>
      </c>
      <c r="G2707" s="5" t="s">
        <v>266</v>
      </c>
      <c r="H2707" s="6" t="s">
        <v>1625</v>
      </c>
      <c r="I2707" s="7">
        <f>737</f>
        <v>737</v>
      </c>
      <c r="J2707" s="5" t="s">
        <v>262</v>
      </c>
      <c r="K2707" s="8">
        <f>1</f>
        <v>1</v>
      </c>
      <c r="L2707" s="6" t="s">
        <v>242</v>
      </c>
      <c r="M2707" s="5" t="s">
        <v>267</v>
      </c>
      <c r="N2707" s="5" t="s">
        <v>265</v>
      </c>
      <c r="O2707" s="5" t="s">
        <v>238</v>
      </c>
      <c r="P2707" s="5" t="s">
        <v>238</v>
      </c>
      <c r="Q2707" s="5" t="s">
        <v>268</v>
      </c>
      <c r="R2707" s="5" t="s">
        <v>270</v>
      </c>
      <c r="S2707" s="5" t="s">
        <v>238</v>
      </c>
      <c r="V2707" s="5" t="s">
        <v>238</v>
      </c>
      <c r="X2707" s="6" t="s">
        <v>238</v>
      </c>
      <c r="AA2707" s="6" t="s">
        <v>243</v>
      </c>
      <c r="AB2707" s="5" t="s">
        <v>238</v>
      </c>
      <c r="AC2707" s="5" t="s">
        <v>244</v>
      </c>
      <c r="AD2707" s="5" t="s">
        <v>245</v>
      </c>
      <c r="AT2707" s="5" t="s">
        <v>246</v>
      </c>
      <c r="AU2707" s="5" t="s">
        <v>238</v>
      </c>
      <c r="AV2707" s="5" t="s">
        <v>247</v>
      </c>
      <c r="AW2707" s="5" t="s">
        <v>238</v>
      </c>
      <c r="AX2707" s="5" t="s">
        <v>249</v>
      </c>
      <c r="AY2707" s="5" t="s">
        <v>238</v>
      </c>
      <c r="BA2707" s="5" t="s">
        <v>238</v>
      </c>
      <c r="BC2707" s="5" t="s">
        <v>250</v>
      </c>
      <c r="BD2707" s="6" t="s">
        <v>243</v>
      </c>
      <c r="BE2707" s="5" t="s">
        <v>251</v>
      </c>
      <c r="BF2707" s="5" t="s">
        <v>252</v>
      </c>
      <c r="BG2707" s="5" t="s">
        <v>238</v>
      </c>
      <c r="BH2707" s="7">
        <f>0</f>
        <v>0</v>
      </c>
      <c r="BI2707" s="8">
        <f>0</f>
        <v>0</v>
      </c>
      <c r="BJ2707" s="5" t="s">
        <v>253</v>
      </c>
      <c r="BK2707" s="5" t="s">
        <v>254</v>
      </c>
      <c r="BY2707" s="5" t="s">
        <v>238</v>
      </c>
      <c r="BZ2707" s="5" t="s">
        <v>238</v>
      </c>
      <c r="CD2707" s="5" t="s">
        <v>273</v>
      </c>
      <c r="CE2707" s="5" t="s">
        <v>256</v>
      </c>
      <c r="CF2707" s="5" t="s">
        <v>238</v>
      </c>
      <c r="CI2707" s="6" t="s">
        <v>257</v>
      </c>
      <c r="CJ2707" s="5" t="s">
        <v>238</v>
      </c>
      <c r="CK2707" s="5" t="s">
        <v>258</v>
      </c>
      <c r="CL2707" s="5" t="s">
        <v>238</v>
      </c>
      <c r="CM2707" s="5" t="s">
        <v>238</v>
      </c>
      <c r="CN2707" s="5">
        <v>0</v>
      </c>
      <c r="CO2707" s="5" t="s">
        <v>259</v>
      </c>
      <c r="CP2707" s="5" t="s">
        <v>260</v>
      </c>
      <c r="CQ2707" s="5" t="s">
        <v>260</v>
      </c>
      <c r="CR2707" s="5" t="s">
        <v>261</v>
      </c>
      <c r="CU2707" s="8">
        <f>1</f>
        <v>1</v>
      </c>
      <c r="CV2707" s="8">
        <f>0</f>
        <v>0</v>
      </c>
      <c r="CX2707" s="8">
        <f>0</f>
        <v>0</v>
      </c>
      <c r="CY2707" s="8">
        <f>1</f>
        <v>1</v>
      </c>
      <c r="DA2707" s="5" t="s">
        <v>274</v>
      </c>
      <c r="DB2707" s="5" t="s">
        <v>238</v>
      </c>
      <c r="DD2707" s="5" t="s">
        <v>274</v>
      </c>
      <c r="DE2707" s="8">
        <f>737</f>
        <v>737</v>
      </c>
      <c r="DG2707" s="5" t="s">
        <v>238</v>
      </c>
      <c r="DH2707" s="5" t="s">
        <v>238</v>
      </c>
      <c r="DI2707" s="5" t="s">
        <v>238</v>
      </c>
      <c r="DJ2707" s="5" t="s">
        <v>238</v>
      </c>
      <c r="DN2707" s="5" t="s">
        <v>238</v>
      </c>
      <c r="DO2707" s="5" t="s">
        <v>238</v>
      </c>
      <c r="DP2707" s="5" t="s">
        <v>238</v>
      </c>
      <c r="DQ2707" s="5" t="s">
        <v>238</v>
      </c>
      <c r="DT2707" s="5" t="s">
        <v>275</v>
      </c>
      <c r="DU2707" s="5" t="s">
        <v>1626</v>
      </c>
      <c r="HM2707" s="5" t="s">
        <v>264</v>
      </c>
    </row>
    <row r="2708" spans="1:221" x14ac:dyDescent="0.4">
      <c r="A2708" s="5">
        <v>4412</v>
      </c>
      <c r="B2708" s="5">
        <v>1</v>
      </c>
      <c r="C2708" s="5">
        <v>1</v>
      </c>
      <c r="D2708" s="5" t="s">
        <v>269</v>
      </c>
      <c r="E2708" s="5" t="s">
        <v>271</v>
      </c>
      <c r="F2708" s="5" t="s">
        <v>248</v>
      </c>
      <c r="G2708" s="5" t="s">
        <v>266</v>
      </c>
      <c r="H2708" s="6" t="s">
        <v>1621</v>
      </c>
      <c r="I2708" s="7">
        <f>1336</f>
        <v>1336</v>
      </c>
      <c r="J2708" s="5" t="s">
        <v>262</v>
      </c>
      <c r="K2708" s="8">
        <f>1</f>
        <v>1</v>
      </c>
      <c r="L2708" s="6" t="s">
        <v>242</v>
      </c>
      <c r="M2708" s="5" t="s">
        <v>267</v>
      </c>
      <c r="N2708" s="5" t="s">
        <v>265</v>
      </c>
      <c r="O2708" s="5" t="s">
        <v>238</v>
      </c>
      <c r="P2708" s="5" t="s">
        <v>238</v>
      </c>
      <c r="Q2708" s="5" t="s">
        <v>268</v>
      </c>
      <c r="R2708" s="5" t="s">
        <v>270</v>
      </c>
      <c r="S2708" s="5" t="s">
        <v>238</v>
      </c>
      <c r="V2708" s="5" t="s">
        <v>238</v>
      </c>
      <c r="X2708" s="6" t="s">
        <v>238</v>
      </c>
      <c r="AA2708" s="6" t="s">
        <v>243</v>
      </c>
      <c r="AB2708" s="5" t="s">
        <v>238</v>
      </c>
      <c r="AC2708" s="5" t="s">
        <v>244</v>
      </c>
      <c r="AD2708" s="5" t="s">
        <v>245</v>
      </c>
      <c r="AT2708" s="5" t="s">
        <v>246</v>
      </c>
      <c r="AU2708" s="5" t="s">
        <v>238</v>
      </c>
      <c r="AV2708" s="5" t="s">
        <v>247</v>
      </c>
      <c r="AW2708" s="5" t="s">
        <v>238</v>
      </c>
      <c r="AX2708" s="5" t="s">
        <v>249</v>
      </c>
      <c r="AY2708" s="5" t="s">
        <v>238</v>
      </c>
      <c r="BA2708" s="5" t="s">
        <v>238</v>
      </c>
      <c r="BC2708" s="5" t="s">
        <v>250</v>
      </c>
      <c r="BD2708" s="6" t="s">
        <v>243</v>
      </c>
      <c r="BE2708" s="5" t="s">
        <v>251</v>
      </c>
      <c r="BF2708" s="5" t="s">
        <v>252</v>
      </c>
      <c r="BG2708" s="5" t="s">
        <v>238</v>
      </c>
      <c r="BH2708" s="7">
        <f>0</f>
        <v>0</v>
      </c>
      <c r="BI2708" s="8">
        <f>0</f>
        <v>0</v>
      </c>
      <c r="BJ2708" s="5" t="s">
        <v>253</v>
      </c>
      <c r="BK2708" s="5" t="s">
        <v>254</v>
      </c>
      <c r="BY2708" s="5" t="s">
        <v>238</v>
      </c>
      <c r="BZ2708" s="5" t="s">
        <v>238</v>
      </c>
      <c r="CD2708" s="5" t="s">
        <v>273</v>
      </c>
      <c r="CE2708" s="5" t="s">
        <v>256</v>
      </c>
      <c r="CF2708" s="5" t="s">
        <v>238</v>
      </c>
      <c r="CI2708" s="6" t="s">
        <v>257</v>
      </c>
      <c r="CJ2708" s="5" t="s">
        <v>238</v>
      </c>
      <c r="CK2708" s="5" t="s">
        <v>258</v>
      </c>
      <c r="CL2708" s="5" t="s">
        <v>238</v>
      </c>
      <c r="CM2708" s="5" t="s">
        <v>238</v>
      </c>
      <c r="CN2708" s="5">
        <v>0</v>
      </c>
      <c r="CO2708" s="5" t="s">
        <v>259</v>
      </c>
      <c r="CP2708" s="5" t="s">
        <v>260</v>
      </c>
      <c r="CQ2708" s="5" t="s">
        <v>260</v>
      </c>
      <c r="CR2708" s="5" t="s">
        <v>261</v>
      </c>
      <c r="CU2708" s="8">
        <f>1</f>
        <v>1</v>
      </c>
      <c r="CV2708" s="8">
        <f>0</f>
        <v>0</v>
      </c>
      <c r="CX2708" s="8">
        <f>0</f>
        <v>0</v>
      </c>
      <c r="CY2708" s="8">
        <f>1</f>
        <v>1</v>
      </c>
      <c r="DA2708" s="5" t="s">
        <v>274</v>
      </c>
      <c r="DB2708" s="5" t="s">
        <v>238</v>
      </c>
      <c r="DD2708" s="5" t="s">
        <v>274</v>
      </c>
      <c r="DE2708" s="8">
        <f>1336</f>
        <v>1336</v>
      </c>
      <c r="DG2708" s="5" t="s">
        <v>238</v>
      </c>
      <c r="DH2708" s="5" t="s">
        <v>238</v>
      </c>
      <c r="DI2708" s="5" t="s">
        <v>238</v>
      </c>
      <c r="DJ2708" s="5" t="s">
        <v>238</v>
      </c>
      <c r="DN2708" s="5" t="s">
        <v>238</v>
      </c>
      <c r="DO2708" s="5" t="s">
        <v>238</v>
      </c>
      <c r="DP2708" s="5" t="s">
        <v>238</v>
      </c>
      <c r="DQ2708" s="5" t="s">
        <v>238</v>
      </c>
      <c r="DT2708" s="5" t="s">
        <v>275</v>
      </c>
      <c r="DU2708" s="5" t="s">
        <v>1622</v>
      </c>
      <c r="HM2708" s="5" t="s">
        <v>264</v>
      </c>
    </row>
    <row r="2709" spans="1:221" x14ac:dyDescent="0.4">
      <c r="A2709" s="5">
        <v>4413</v>
      </c>
      <c r="B2709" s="5">
        <v>1</v>
      </c>
      <c r="C2709" s="5">
        <v>1</v>
      </c>
      <c r="D2709" s="5" t="s">
        <v>269</v>
      </c>
      <c r="E2709" s="5" t="s">
        <v>271</v>
      </c>
      <c r="F2709" s="5" t="s">
        <v>248</v>
      </c>
      <c r="G2709" s="5" t="s">
        <v>266</v>
      </c>
      <c r="H2709" s="6" t="s">
        <v>1615</v>
      </c>
      <c r="I2709" s="7">
        <f>1285</f>
        <v>1285</v>
      </c>
      <c r="J2709" s="5" t="s">
        <v>262</v>
      </c>
      <c r="K2709" s="8">
        <f>1</f>
        <v>1</v>
      </c>
      <c r="L2709" s="6" t="s">
        <v>242</v>
      </c>
      <c r="M2709" s="5" t="s">
        <v>267</v>
      </c>
      <c r="N2709" s="5" t="s">
        <v>265</v>
      </c>
      <c r="O2709" s="5" t="s">
        <v>238</v>
      </c>
      <c r="P2709" s="5" t="s">
        <v>238</v>
      </c>
      <c r="Q2709" s="5" t="s">
        <v>268</v>
      </c>
      <c r="R2709" s="5" t="s">
        <v>270</v>
      </c>
      <c r="S2709" s="5" t="s">
        <v>238</v>
      </c>
      <c r="V2709" s="5" t="s">
        <v>238</v>
      </c>
      <c r="X2709" s="6" t="s">
        <v>238</v>
      </c>
      <c r="AA2709" s="6" t="s">
        <v>243</v>
      </c>
      <c r="AB2709" s="5" t="s">
        <v>238</v>
      </c>
      <c r="AC2709" s="5" t="s">
        <v>244</v>
      </c>
      <c r="AD2709" s="5" t="s">
        <v>245</v>
      </c>
      <c r="AT2709" s="5" t="s">
        <v>246</v>
      </c>
      <c r="AU2709" s="5" t="s">
        <v>238</v>
      </c>
      <c r="AV2709" s="5" t="s">
        <v>247</v>
      </c>
      <c r="AW2709" s="5" t="s">
        <v>238</v>
      </c>
      <c r="AX2709" s="5" t="s">
        <v>249</v>
      </c>
      <c r="AY2709" s="5" t="s">
        <v>238</v>
      </c>
      <c r="BA2709" s="5" t="s">
        <v>238</v>
      </c>
      <c r="BC2709" s="5" t="s">
        <v>250</v>
      </c>
      <c r="BD2709" s="6" t="s">
        <v>243</v>
      </c>
      <c r="BE2709" s="5" t="s">
        <v>251</v>
      </c>
      <c r="BF2709" s="5" t="s">
        <v>252</v>
      </c>
      <c r="BG2709" s="5" t="s">
        <v>238</v>
      </c>
      <c r="BH2709" s="7">
        <f>0</f>
        <v>0</v>
      </c>
      <c r="BI2709" s="8">
        <f>0</f>
        <v>0</v>
      </c>
      <c r="BJ2709" s="5" t="s">
        <v>253</v>
      </c>
      <c r="BK2709" s="5" t="s">
        <v>254</v>
      </c>
      <c r="BY2709" s="5" t="s">
        <v>238</v>
      </c>
      <c r="BZ2709" s="5" t="s">
        <v>238</v>
      </c>
      <c r="CD2709" s="5" t="s">
        <v>273</v>
      </c>
      <c r="CE2709" s="5" t="s">
        <v>256</v>
      </c>
      <c r="CF2709" s="5" t="s">
        <v>238</v>
      </c>
      <c r="CI2709" s="6" t="s">
        <v>257</v>
      </c>
      <c r="CJ2709" s="5" t="s">
        <v>238</v>
      </c>
      <c r="CK2709" s="5" t="s">
        <v>258</v>
      </c>
      <c r="CL2709" s="5" t="s">
        <v>238</v>
      </c>
      <c r="CM2709" s="5" t="s">
        <v>238</v>
      </c>
      <c r="CN2709" s="5">
        <v>0</v>
      </c>
      <c r="CO2709" s="5" t="s">
        <v>259</v>
      </c>
      <c r="CP2709" s="5" t="s">
        <v>260</v>
      </c>
      <c r="CQ2709" s="5" t="s">
        <v>260</v>
      </c>
      <c r="CR2709" s="5" t="s">
        <v>261</v>
      </c>
      <c r="CU2709" s="8">
        <f>1</f>
        <v>1</v>
      </c>
      <c r="CV2709" s="8">
        <f>0</f>
        <v>0</v>
      </c>
      <c r="CX2709" s="8">
        <f>0</f>
        <v>0</v>
      </c>
      <c r="CY2709" s="8">
        <f>1</f>
        <v>1</v>
      </c>
      <c r="DA2709" s="5" t="s">
        <v>274</v>
      </c>
      <c r="DB2709" s="5" t="s">
        <v>238</v>
      </c>
      <c r="DD2709" s="5" t="s">
        <v>274</v>
      </c>
      <c r="DE2709" s="8">
        <f>1285</f>
        <v>1285</v>
      </c>
      <c r="DG2709" s="5" t="s">
        <v>238</v>
      </c>
      <c r="DH2709" s="5" t="s">
        <v>238</v>
      </c>
      <c r="DI2709" s="5" t="s">
        <v>238</v>
      </c>
      <c r="DJ2709" s="5" t="s">
        <v>238</v>
      </c>
      <c r="DN2709" s="5" t="s">
        <v>238</v>
      </c>
      <c r="DO2709" s="5" t="s">
        <v>238</v>
      </c>
      <c r="DP2709" s="5" t="s">
        <v>238</v>
      </c>
      <c r="DQ2709" s="5" t="s">
        <v>238</v>
      </c>
      <c r="DT2709" s="5" t="s">
        <v>275</v>
      </c>
      <c r="DU2709" s="5" t="s">
        <v>1616</v>
      </c>
      <c r="HM2709" s="5" t="s">
        <v>264</v>
      </c>
    </row>
    <row r="2710" spans="1:221" x14ac:dyDescent="0.4">
      <c r="A2710" s="5">
        <v>4414</v>
      </c>
      <c r="B2710" s="5">
        <v>1</v>
      </c>
      <c r="C2710" s="5">
        <v>1</v>
      </c>
      <c r="D2710" s="5" t="s">
        <v>269</v>
      </c>
      <c r="E2710" s="5" t="s">
        <v>271</v>
      </c>
      <c r="F2710" s="5" t="s">
        <v>248</v>
      </c>
      <c r="G2710" s="5" t="s">
        <v>266</v>
      </c>
      <c r="H2710" s="6" t="s">
        <v>1609</v>
      </c>
      <c r="I2710" s="7">
        <f>548</f>
        <v>548</v>
      </c>
      <c r="J2710" s="5" t="s">
        <v>262</v>
      </c>
      <c r="K2710" s="8">
        <f>1</f>
        <v>1</v>
      </c>
      <c r="L2710" s="6" t="s">
        <v>242</v>
      </c>
      <c r="M2710" s="5" t="s">
        <v>267</v>
      </c>
      <c r="N2710" s="5" t="s">
        <v>265</v>
      </c>
      <c r="O2710" s="5" t="s">
        <v>238</v>
      </c>
      <c r="P2710" s="5" t="s">
        <v>238</v>
      </c>
      <c r="Q2710" s="5" t="s">
        <v>268</v>
      </c>
      <c r="R2710" s="5" t="s">
        <v>270</v>
      </c>
      <c r="S2710" s="5" t="s">
        <v>238</v>
      </c>
      <c r="V2710" s="5" t="s">
        <v>238</v>
      </c>
      <c r="X2710" s="6" t="s">
        <v>238</v>
      </c>
      <c r="AA2710" s="6" t="s">
        <v>243</v>
      </c>
      <c r="AB2710" s="5" t="s">
        <v>238</v>
      </c>
      <c r="AC2710" s="5" t="s">
        <v>244</v>
      </c>
      <c r="AD2710" s="5" t="s">
        <v>245</v>
      </c>
      <c r="AT2710" s="5" t="s">
        <v>246</v>
      </c>
      <c r="AU2710" s="5" t="s">
        <v>238</v>
      </c>
      <c r="AV2710" s="5" t="s">
        <v>247</v>
      </c>
      <c r="AW2710" s="5" t="s">
        <v>238</v>
      </c>
      <c r="AX2710" s="5" t="s">
        <v>249</v>
      </c>
      <c r="AY2710" s="5" t="s">
        <v>238</v>
      </c>
      <c r="BA2710" s="5" t="s">
        <v>238</v>
      </c>
      <c r="BC2710" s="5" t="s">
        <v>250</v>
      </c>
      <c r="BD2710" s="6" t="s">
        <v>243</v>
      </c>
      <c r="BE2710" s="5" t="s">
        <v>251</v>
      </c>
      <c r="BF2710" s="5" t="s">
        <v>252</v>
      </c>
      <c r="BG2710" s="5" t="s">
        <v>238</v>
      </c>
      <c r="BH2710" s="7">
        <f>0</f>
        <v>0</v>
      </c>
      <c r="BI2710" s="8">
        <f>0</f>
        <v>0</v>
      </c>
      <c r="BJ2710" s="5" t="s">
        <v>253</v>
      </c>
      <c r="BK2710" s="5" t="s">
        <v>254</v>
      </c>
      <c r="BY2710" s="5" t="s">
        <v>238</v>
      </c>
      <c r="BZ2710" s="5" t="s">
        <v>238</v>
      </c>
      <c r="CD2710" s="5" t="s">
        <v>273</v>
      </c>
      <c r="CE2710" s="5" t="s">
        <v>256</v>
      </c>
      <c r="CF2710" s="5" t="s">
        <v>238</v>
      </c>
      <c r="CI2710" s="6" t="s">
        <v>257</v>
      </c>
      <c r="CJ2710" s="5" t="s">
        <v>238</v>
      </c>
      <c r="CK2710" s="5" t="s">
        <v>258</v>
      </c>
      <c r="CL2710" s="5" t="s">
        <v>238</v>
      </c>
      <c r="CM2710" s="5" t="s">
        <v>238</v>
      </c>
      <c r="CN2710" s="5">
        <v>0</v>
      </c>
      <c r="CO2710" s="5" t="s">
        <v>259</v>
      </c>
      <c r="CP2710" s="5" t="s">
        <v>260</v>
      </c>
      <c r="CQ2710" s="5" t="s">
        <v>260</v>
      </c>
      <c r="CR2710" s="5" t="s">
        <v>261</v>
      </c>
      <c r="CU2710" s="8">
        <f>1</f>
        <v>1</v>
      </c>
      <c r="CV2710" s="8">
        <f>0</f>
        <v>0</v>
      </c>
      <c r="CX2710" s="8">
        <f>0</f>
        <v>0</v>
      </c>
      <c r="CY2710" s="8">
        <f>1</f>
        <v>1</v>
      </c>
      <c r="DA2710" s="5" t="s">
        <v>274</v>
      </c>
      <c r="DB2710" s="5" t="s">
        <v>238</v>
      </c>
      <c r="DD2710" s="5" t="s">
        <v>274</v>
      </c>
      <c r="DE2710" s="8">
        <f>548</f>
        <v>548</v>
      </c>
      <c r="DG2710" s="5" t="s">
        <v>238</v>
      </c>
      <c r="DH2710" s="5" t="s">
        <v>238</v>
      </c>
      <c r="DI2710" s="5" t="s">
        <v>238</v>
      </c>
      <c r="DJ2710" s="5" t="s">
        <v>238</v>
      </c>
      <c r="DN2710" s="5" t="s">
        <v>238</v>
      </c>
      <c r="DO2710" s="5" t="s">
        <v>238</v>
      </c>
      <c r="DP2710" s="5" t="s">
        <v>238</v>
      </c>
      <c r="DQ2710" s="5" t="s">
        <v>238</v>
      </c>
      <c r="DT2710" s="5" t="s">
        <v>275</v>
      </c>
      <c r="DU2710" s="5" t="s">
        <v>1610</v>
      </c>
      <c r="HM2710" s="5" t="s">
        <v>264</v>
      </c>
    </row>
    <row r="2711" spans="1:221" x14ac:dyDescent="0.4">
      <c r="A2711" s="5">
        <v>4415</v>
      </c>
      <c r="B2711" s="5">
        <v>1</v>
      </c>
      <c r="C2711" s="5">
        <v>1</v>
      </c>
      <c r="D2711" s="5" t="s">
        <v>269</v>
      </c>
      <c r="E2711" s="5" t="s">
        <v>271</v>
      </c>
      <c r="F2711" s="5" t="s">
        <v>248</v>
      </c>
      <c r="G2711" s="5" t="s">
        <v>266</v>
      </c>
      <c r="H2711" s="6" t="s">
        <v>1607</v>
      </c>
      <c r="I2711" s="7">
        <f>980</f>
        <v>980</v>
      </c>
      <c r="J2711" s="5" t="s">
        <v>262</v>
      </c>
      <c r="K2711" s="8">
        <f>1</f>
        <v>1</v>
      </c>
      <c r="L2711" s="6" t="s">
        <v>242</v>
      </c>
      <c r="M2711" s="5" t="s">
        <v>267</v>
      </c>
      <c r="N2711" s="5" t="s">
        <v>265</v>
      </c>
      <c r="O2711" s="5" t="s">
        <v>238</v>
      </c>
      <c r="P2711" s="5" t="s">
        <v>238</v>
      </c>
      <c r="Q2711" s="5" t="s">
        <v>268</v>
      </c>
      <c r="R2711" s="5" t="s">
        <v>270</v>
      </c>
      <c r="S2711" s="5" t="s">
        <v>238</v>
      </c>
      <c r="V2711" s="5" t="s">
        <v>238</v>
      </c>
      <c r="X2711" s="6" t="s">
        <v>238</v>
      </c>
      <c r="AA2711" s="6" t="s">
        <v>243</v>
      </c>
      <c r="AB2711" s="5" t="s">
        <v>238</v>
      </c>
      <c r="AC2711" s="5" t="s">
        <v>244</v>
      </c>
      <c r="AD2711" s="5" t="s">
        <v>245</v>
      </c>
      <c r="AT2711" s="5" t="s">
        <v>246</v>
      </c>
      <c r="AU2711" s="5" t="s">
        <v>238</v>
      </c>
      <c r="AV2711" s="5" t="s">
        <v>247</v>
      </c>
      <c r="AW2711" s="5" t="s">
        <v>238</v>
      </c>
      <c r="AX2711" s="5" t="s">
        <v>249</v>
      </c>
      <c r="AY2711" s="5" t="s">
        <v>238</v>
      </c>
      <c r="BA2711" s="5" t="s">
        <v>238</v>
      </c>
      <c r="BC2711" s="5" t="s">
        <v>250</v>
      </c>
      <c r="BD2711" s="6" t="s">
        <v>243</v>
      </c>
      <c r="BE2711" s="5" t="s">
        <v>251</v>
      </c>
      <c r="BF2711" s="5" t="s">
        <v>252</v>
      </c>
      <c r="BG2711" s="5" t="s">
        <v>238</v>
      </c>
      <c r="BH2711" s="7">
        <f>0</f>
        <v>0</v>
      </c>
      <c r="BI2711" s="8">
        <f>0</f>
        <v>0</v>
      </c>
      <c r="BJ2711" s="5" t="s">
        <v>253</v>
      </c>
      <c r="BK2711" s="5" t="s">
        <v>254</v>
      </c>
      <c r="BY2711" s="5" t="s">
        <v>238</v>
      </c>
      <c r="BZ2711" s="5" t="s">
        <v>238</v>
      </c>
      <c r="CD2711" s="5" t="s">
        <v>273</v>
      </c>
      <c r="CE2711" s="5" t="s">
        <v>256</v>
      </c>
      <c r="CF2711" s="5" t="s">
        <v>238</v>
      </c>
      <c r="CI2711" s="6" t="s">
        <v>257</v>
      </c>
      <c r="CJ2711" s="5" t="s">
        <v>238</v>
      </c>
      <c r="CK2711" s="5" t="s">
        <v>258</v>
      </c>
      <c r="CL2711" s="5" t="s">
        <v>238</v>
      </c>
      <c r="CM2711" s="5" t="s">
        <v>238</v>
      </c>
      <c r="CN2711" s="5">
        <v>0</v>
      </c>
      <c r="CO2711" s="5" t="s">
        <v>259</v>
      </c>
      <c r="CP2711" s="5" t="s">
        <v>260</v>
      </c>
      <c r="CQ2711" s="5" t="s">
        <v>260</v>
      </c>
      <c r="CR2711" s="5" t="s">
        <v>261</v>
      </c>
      <c r="CU2711" s="8">
        <f>1</f>
        <v>1</v>
      </c>
      <c r="CV2711" s="8">
        <f>0</f>
        <v>0</v>
      </c>
      <c r="CX2711" s="8">
        <f>0</f>
        <v>0</v>
      </c>
      <c r="CY2711" s="8">
        <f>1</f>
        <v>1</v>
      </c>
      <c r="DA2711" s="5" t="s">
        <v>274</v>
      </c>
      <c r="DB2711" s="5" t="s">
        <v>238</v>
      </c>
      <c r="DD2711" s="5" t="s">
        <v>274</v>
      </c>
      <c r="DE2711" s="8">
        <f>980</f>
        <v>980</v>
      </c>
      <c r="DG2711" s="5" t="s">
        <v>238</v>
      </c>
      <c r="DH2711" s="5" t="s">
        <v>238</v>
      </c>
      <c r="DI2711" s="5" t="s">
        <v>238</v>
      </c>
      <c r="DJ2711" s="5" t="s">
        <v>238</v>
      </c>
      <c r="DN2711" s="5" t="s">
        <v>238</v>
      </c>
      <c r="DO2711" s="5" t="s">
        <v>238</v>
      </c>
      <c r="DP2711" s="5" t="s">
        <v>238</v>
      </c>
      <c r="DQ2711" s="5" t="s">
        <v>238</v>
      </c>
      <c r="DT2711" s="5" t="s">
        <v>275</v>
      </c>
      <c r="DU2711" s="5" t="s">
        <v>1608</v>
      </c>
      <c r="HM2711" s="5" t="s">
        <v>264</v>
      </c>
    </row>
    <row r="2712" spans="1:221" x14ac:dyDescent="0.4">
      <c r="A2712" s="5">
        <v>4416</v>
      </c>
      <c r="B2712" s="5">
        <v>1</v>
      </c>
      <c r="C2712" s="5">
        <v>1</v>
      </c>
      <c r="D2712" s="5" t="s">
        <v>269</v>
      </c>
      <c r="E2712" s="5" t="s">
        <v>271</v>
      </c>
      <c r="F2712" s="5" t="s">
        <v>248</v>
      </c>
      <c r="G2712" s="5" t="s">
        <v>266</v>
      </c>
      <c r="H2712" s="6" t="s">
        <v>1605</v>
      </c>
      <c r="I2712" s="7">
        <f>268</f>
        <v>268</v>
      </c>
      <c r="J2712" s="5" t="s">
        <v>262</v>
      </c>
      <c r="K2712" s="8">
        <f>1</f>
        <v>1</v>
      </c>
      <c r="L2712" s="6" t="s">
        <v>242</v>
      </c>
      <c r="M2712" s="5" t="s">
        <v>267</v>
      </c>
      <c r="N2712" s="5" t="s">
        <v>265</v>
      </c>
      <c r="O2712" s="5" t="s">
        <v>238</v>
      </c>
      <c r="P2712" s="5" t="s">
        <v>238</v>
      </c>
      <c r="Q2712" s="5" t="s">
        <v>268</v>
      </c>
      <c r="R2712" s="5" t="s">
        <v>270</v>
      </c>
      <c r="S2712" s="5" t="s">
        <v>238</v>
      </c>
      <c r="V2712" s="5" t="s">
        <v>238</v>
      </c>
      <c r="X2712" s="6" t="s">
        <v>238</v>
      </c>
      <c r="AA2712" s="6" t="s">
        <v>243</v>
      </c>
      <c r="AB2712" s="5" t="s">
        <v>238</v>
      </c>
      <c r="AC2712" s="5" t="s">
        <v>244</v>
      </c>
      <c r="AD2712" s="5" t="s">
        <v>245</v>
      </c>
      <c r="AT2712" s="5" t="s">
        <v>246</v>
      </c>
      <c r="AU2712" s="5" t="s">
        <v>238</v>
      </c>
      <c r="AV2712" s="5" t="s">
        <v>247</v>
      </c>
      <c r="AW2712" s="5" t="s">
        <v>238</v>
      </c>
      <c r="AX2712" s="5" t="s">
        <v>249</v>
      </c>
      <c r="AY2712" s="5" t="s">
        <v>238</v>
      </c>
      <c r="BA2712" s="5" t="s">
        <v>238</v>
      </c>
      <c r="BC2712" s="5" t="s">
        <v>250</v>
      </c>
      <c r="BD2712" s="6" t="s">
        <v>243</v>
      </c>
      <c r="BE2712" s="5" t="s">
        <v>251</v>
      </c>
      <c r="BF2712" s="5" t="s">
        <v>252</v>
      </c>
      <c r="BG2712" s="5" t="s">
        <v>238</v>
      </c>
      <c r="BH2712" s="7">
        <f>0</f>
        <v>0</v>
      </c>
      <c r="BI2712" s="8">
        <f>0</f>
        <v>0</v>
      </c>
      <c r="BJ2712" s="5" t="s">
        <v>253</v>
      </c>
      <c r="BK2712" s="5" t="s">
        <v>254</v>
      </c>
      <c r="BY2712" s="5" t="s">
        <v>238</v>
      </c>
      <c r="BZ2712" s="5" t="s">
        <v>238</v>
      </c>
      <c r="CD2712" s="5" t="s">
        <v>273</v>
      </c>
      <c r="CE2712" s="5" t="s">
        <v>256</v>
      </c>
      <c r="CF2712" s="5" t="s">
        <v>238</v>
      </c>
      <c r="CI2712" s="6" t="s">
        <v>257</v>
      </c>
      <c r="CJ2712" s="5" t="s">
        <v>238</v>
      </c>
      <c r="CK2712" s="5" t="s">
        <v>258</v>
      </c>
      <c r="CL2712" s="5" t="s">
        <v>238</v>
      </c>
      <c r="CM2712" s="5" t="s">
        <v>238</v>
      </c>
      <c r="CN2712" s="5">
        <v>0</v>
      </c>
      <c r="CO2712" s="5" t="s">
        <v>259</v>
      </c>
      <c r="CP2712" s="5" t="s">
        <v>260</v>
      </c>
      <c r="CQ2712" s="5" t="s">
        <v>260</v>
      </c>
      <c r="CR2712" s="5" t="s">
        <v>261</v>
      </c>
      <c r="CU2712" s="8">
        <f>1</f>
        <v>1</v>
      </c>
      <c r="CV2712" s="8">
        <f>0</f>
        <v>0</v>
      </c>
      <c r="CX2712" s="8">
        <f>0</f>
        <v>0</v>
      </c>
      <c r="CY2712" s="8">
        <f>1</f>
        <v>1</v>
      </c>
      <c r="DA2712" s="5" t="s">
        <v>274</v>
      </c>
      <c r="DB2712" s="5" t="s">
        <v>238</v>
      </c>
      <c r="DD2712" s="5" t="s">
        <v>274</v>
      </c>
      <c r="DE2712" s="8">
        <f>268</f>
        <v>268</v>
      </c>
      <c r="DG2712" s="5" t="s">
        <v>238</v>
      </c>
      <c r="DH2712" s="5" t="s">
        <v>238</v>
      </c>
      <c r="DI2712" s="5" t="s">
        <v>238</v>
      </c>
      <c r="DJ2712" s="5" t="s">
        <v>238</v>
      </c>
      <c r="DN2712" s="5" t="s">
        <v>238</v>
      </c>
      <c r="DO2712" s="5" t="s">
        <v>238</v>
      </c>
      <c r="DP2712" s="5" t="s">
        <v>238</v>
      </c>
      <c r="DQ2712" s="5" t="s">
        <v>238</v>
      </c>
      <c r="DT2712" s="5" t="s">
        <v>275</v>
      </c>
      <c r="DU2712" s="5" t="s">
        <v>1606</v>
      </c>
      <c r="HM2712" s="5" t="s">
        <v>264</v>
      </c>
    </row>
    <row r="2713" spans="1:221" x14ac:dyDescent="0.4">
      <c r="A2713" s="5">
        <v>4417</v>
      </c>
      <c r="B2713" s="5">
        <v>1</v>
      </c>
      <c r="C2713" s="5">
        <v>1</v>
      </c>
      <c r="D2713" s="5" t="s">
        <v>269</v>
      </c>
      <c r="E2713" s="5" t="s">
        <v>271</v>
      </c>
      <c r="F2713" s="5" t="s">
        <v>248</v>
      </c>
      <c r="G2713" s="5" t="s">
        <v>266</v>
      </c>
      <c r="H2713" s="6" t="s">
        <v>1601</v>
      </c>
      <c r="I2713" s="7">
        <f>510</f>
        <v>510</v>
      </c>
      <c r="J2713" s="5" t="s">
        <v>262</v>
      </c>
      <c r="K2713" s="8">
        <f>1</f>
        <v>1</v>
      </c>
      <c r="L2713" s="6" t="s">
        <v>242</v>
      </c>
      <c r="M2713" s="5" t="s">
        <v>267</v>
      </c>
      <c r="N2713" s="5" t="s">
        <v>265</v>
      </c>
      <c r="O2713" s="5" t="s">
        <v>238</v>
      </c>
      <c r="P2713" s="5" t="s">
        <v>238</v>
      </c>
      <c r="Q2713" s="5" t="s">
        <v>268</v>
      </c>
      <c r="R2713" s="5" t="s">
        <v>270</v>
      </c>
      <c r="S2713" s="5" t="s">
        <v>238</v>
      </c>
      <c r="V2713" s="5" t="s">
        <v>238</v>
      </c>
      <c r="X2713" s="6" t="s">
        <v>238</v>
      </c>
      <c r="AA2713" s="6" t="s">
        <v>243</v>
      </c>
      <c r="AB2713" s="5" t="s">
        <v>238</v>
      </c>
      <c r="AC2713" s="5" t="s">
        <v>244</v>
      </c>
      <c r="AD2713" s="5" t="s">
        <v>245</v>
      </c>
      <c r="AT2713" s="5" t="s">
        <v>246</v>
      </c>
      <c r="AU2713" s="5" t="s">
        <v>238</v>
      </c>
      <c r="AV2713" s="5" t="s">
        <v>247</v>
      </c>
      <c r="AW2713" s="5" t="s">
        <v>238</v>
      </c>
      <c r="AX2713" s="5" t="s">
        <v>249</v>
      </c>
      <c r="AY2713" s="5" t="s">
        <v>238</v>
      </c>
      <c r="BA2713" s="5" t="s">
        <v>238</v>
      </c>
      <c r="BC2713" s="5" t="s">
        <v>250</v>
      </c>
      <c r="BD2713" s="6" t="s">
        <v>243</v>
      </c>
      <c r="BE2713" s="5" t="s">
        <v>251</v>
      </c>
      <c r="BF2713" s="5" t="s">
        <v>252</v>
      </c>
      <c r="BG2713" s="5" t="s">
        <v>238</v>
      </c>
      <c r="BH2713" s="7">
        <f>0</f>
        <v>0</v>
      </c>
      <c r="BI2713" s="8">
        <f>0</f>
        <v>0</v>
      </c>
      <c r="BJ2713" s="5" t="s">
        <v>253</v>
      </c>
      <c r="BK2713" s="5" t="s">
        <v>254</v>
      </c>
      <c r="BY2713" s="5" t="s">
        <v>238</v>
      </c>
      <c r="BZ2713" s="5" t="s">
        <v>238</v>
      </c>
      <c r="CD2713" s="5" t="s">
        <v>273</v>
      </c>
      <c r="CE2713" s="5" t="s">
        <v>256</v>
      </c>
      <c r="CF2713" s="5" t="s">
        <v>238</v>
      </c>
      <c r="CI2713" s="6" t="s">
        <v>257</v>
      </c>
      <c r="CJ2713" s="5" t="s">
        <v>238</v>
      </c>
      <c r="CK2713" s="5" t="s">
        <v>258</v>
      </c>
      <c r="CL2713" s="5" t="s">
        <v>238</v>
      </c>
      <c r="CM2713" s="5" t="s">
        <v>238</v>
      </c>
      <c r="CN2713" s="5">
        <v>0</v>
      </c>
      <c r="CO2713" s="5" t="s">
        <v>259</v>
      </c>
      <c r="CP2713" s="5" t="s">
        <v>260</v>
      </c>
      <c r="CQ2713" s="5" t="s">
        <v>260</v>
      </c>
      <c r="CR2713" s="5" t="s">
        <v>261</v>
      </c>
      <c r="CU2713" s="8">
        <f>1</f>
        <v>1</v>
      </c>
      <c r="CV2713" s="8">
        <f>0</f>
        <v>0</v>
      </c>
      <c r="CX2713" s="8">
        <f>0</f>
        <v>0</v>
      </c>
      <c r="CY2713" s="8">
        <f>1</f>
        <v>1</v>
      </c>
      <c r="DA2713" s="5" t="s">
        <v>274</v>
      </c>
      <c r="DB2713" s="5" t="s">
        <v>238</v>
      </c>
      <c r="DD2713" s="5" t="s">
        <v>274</v>
      </c>
      <c r="DE2713" s="8">
        <f>510</f>
        <v>510</v>
      </c>
      <c r="DG2713" s="5" t="s">
        <v>238</v>
      </c>
      <c r="DH2713" s="5" t="s">
        <v>238</v>
      </c>
      <c r="DI2713" s="5" t="s">
        <v>238</v>
      </c>
      <c r="DJ2713" s="5" t="s">
        <v>238</v>
      </c>
      <c r="DN2713" s="5" t="s">
        <v>238</v>
      </c>
      <c r="DO2713" s="5" t="s">
        <v>238</v>
      </c>
      <c r="DP2713" s="5" t="s">
        <v>238</v>
      </c>
      <c r="DQ2713" s="5" t="s">
        <v>238</v>
      </c>
      <c r="DT2713" s="5" t="s">
        <v>275</v>
      </c>
      <c r="DU2713" s="5" t="s">
        <v>1602</v>
      </c>
      <c r="HM2713" s="5" t="s">
        <v>264</v>
      </c>
    </row>
    <row r="2714" spans="1:221" x14ac:dyDescent="0.4">
      <c r="A2714" s="5">
        <v>4418</v>
      </c>
      <c r="B2714" s="5">
        <v>1</v>
      </c>
      <c r="C2714" s="5">
        <v>1</v>
      </c>
      <c r="D2714" s="5" t="s">
        <v>269</v>
      </c>
      <c r="E2714" s="5" t="s">
        <v>271</v>
      </c>
      <c r="F2714" s="5" t="s">
        <v>248</v>
      </c>
      <c r="G2714" s="5" t="s">
        <v>266</v>
      </c>
      <c r="H2714" s="6" t="s">
        <v>1595</v>
      </c>
      <c r="I2714" s="7">
        <f>381</f>
        <v>381</v>
      </c>
      <c r="J2714" s="5" t="s">
        <v>262</v>
      </c>
      <c r="K2714" s="8">
        <f>1</f>
        <v>1</v>
      </c>
      <c r="L2714" s="6" t="s">
        <v>242</v>
      </c>
      <c r="M2714" s="5" t="s">
        <v>267</v>
      </c>
      <c r="N2714" s="5" t="s">
        <v>265</v>
      </c>
      <c r="O2714" s="5" t="s">
        <v>238</v>
      </c>
      <c r="P2714" s="5" t="s">
        <v>238</v>
      </c>
      <c r="Q2714" s="5" t="s">
        <v>268</v>
      </c>
      <c r="R2714" s="5" t="s">
        <v>270</v>
      </c>
      <c r="S2714" s="5" t="s">
        <v>238</v>
      </c>
      <c r="V2714" s="5" t="s">
        <v>238</v>
      </c>
      <c r="X2714" s="6" t="s">
        <v>238</v>
      </c>
      <c r="AA2714" s="6" t="s">
        <v>243</v>
      </c>
      <c r="AB2714" s="5" t="s">
        <v>238</v>
      </c>
      <c r="AC2714" s="5" t="s">
        <v>244</v>
      </c>
      <c r="AD2714" s="5" t="s">
        <v>245</v>
      </c>
      <c r="AT2714" s="5" t="s">
        <v>246</v>
      </c>
      <c r="AU2714" s="5" t="s">
        <v>238</v>
      </c>
      <c r="AV2714" s="5" t="s">
        <v>247</v>
      </c>
      <c r="AW2714" s="5" t="s">
        <v>238</v>
      </c>
      <c r="AX2714" s="5" t="s">
        <v>249</v>
      </c>
      <c r="AY2714" s="5" t="s">
        <v>238</v>
      </c>
      <c r="BA2714" s="5" t="s">
        <v>238</v>
      </c>
      <c r="BC2714" s="5" t="s">
        <v>250</v>
      </c>
      <c r="BD2714" s="6" t="s">
        <v>243</v>
      </c>
      <c r="BE2714" s="5" t="s">
        <v>251</v>
      </c>
      <c r="BF2714" s="5" t="s">
        <v>252</v>
      </c>
      <c r="BG2714" s="5" t="s">
        <v>238</v>
      </c>
      <c r="BH2714" s="7">
        <f>0</f>
        <v>0</v>
      </c>
      <c r="BI2714" s="8">
        <f>0</f>
        <v>0</v>
      </c>
      <c r="BJ2714" s="5" t="s">
        <v>253</v>
      </c>
      <c r="BK2714" s="5" t="s">
        <v>254</v>
      </c>
      <c r="BY2714" s="5" t="s">
        <v>238</v>
      </c>
      <c r="BZ2714" s="5" t="s">
        <v>238</v>
      </c>
      <c r="CD2714" s="5" t="s">
        <v>273</v>
      </c>
      <c r="CE2714" s="5" t="s">
        <v>256</v>
      </c>
      <c r="CF2714" s="5" t="s">
        <v>238</v>
      </c>
      <c r="CI2714" s="6" t="s">
        <v>257</v>
      </c>
      <c r="CJ2714" s="5" t="s">
        <v>238</v>
      </c>
      <c r="CK2714" s="5" t="s">
        <v>258</v>
      </c>
      <c r="CL2714" s="5" t="s">
        <v>238</v>
      </c>
      <c r="CM2714" s="5" t="s">
        <v>238</v>
      </c>
      <c r="CN2714" s="5">
        <v>0</v>
      </c>
      <c r="CO2714" s="5" t="s">
        <v>259</v>
      </c>
      <c r="CP2714" s="5" t="s">
        <v>260</v>
      </c>
      <c r="CQ2714" s="5" t="s">
        <v>260</v>
      </c>
      <c r="CR2714" s="5" t="s">
        <v>261</v>
      </c>
      <c r="CU2714" s="8">
        <f>1</f>
        <v>1</v>
      </c>
      <c r="CV2714" s="8">
        <f>0</f>
        <v>0</v>
      </c>
      <c r="CX2714" s="8">
        <f>0</f>
        <v>0</v>
      </c>
      <c r="CY2714" s="8">
        <f>1</f>
        <v>1</v>
      </c>
      <c r="DA2714" s="5" t="s">
        <v>274</v>
      </c>
      <c r="DB2714" s="5" t="s">
        <v>238</v>
      </c>
      <c r="DD2714" s="5" t="s">
        <v>274</v>
      </c>
      <c r="DE2714" s="8">
        <f>381</f>
        <v>381</v>
      </c>
      <c r="DG2714" s="5" t="s">
        <v>238</v>
      </c>
      <c r="DH2714" s="5" t="s">
        <v>238</v>
      </c>
      <c r="DI2714" s="5" t="s">
        <v>238</v>
      </c>
      <c r="DJ2714" s="5" t="s">
        <v>238</v>
      </c>
      <c r="DN2714" s="5" t="s">
        <v>238</v>
      </c>
      <c r="DO2714" s="5" t="s">
        <v>238</v>
      </c>
      <c r="DP2714" s="5" t="s">
        <v>238</v>
      </c>
      <c r="DQ2714" s="5" t="s">
        <v>238</v>
      </c>
      <c r="DT2714" s="5" t="s">
        <v>275</v>
      </c>
      <c r="DU2714" s="5" t="s">
        <v>1596</v>
      </c>
      <c r="HM2714" s="5" t="s">
        <v>264</v>
      </c>
    </row>
    <row r="2715" spans="1:221" x14ac:dyDescent="0.4">
      <c r="A2715" s="5">
        <v>4419</v>
      </c>
      <c r="B2715" s="5">
        <v>1</v>
      </c>
      <c r="C2715" s="5">
        <v>1</v>
      </c>
      <c r="D2715" s="5" t="s">
        <v>269</v>
      </c>
      <c r="E2715" s="5" t="s">
        <v>271</v>
      </c>
      <c r="F2715" s="5" t="s">
        <v>248</v>
      </c>
      <c r="G2715" s="5" t="s">
        <v>266</v>
      </c>
      <c r="H2715" s="6" t="s">
        <v>1591</v>
      </c>
      <c r="I2715" s="7">
        <f>267</f>
        <v>267</v>
      </c>
      <c r="J2715" s="5" t="s">
        <v>262</v>
      </c>
      <c r="K2715" s="8">
        <f>1</f>
        <v>1</v>
      </c>
      <c r="L2715" s="6" t="s">
        <v>242</v>
      </c>
      <c r="M2715" s="5" t="s">
        <v>267</v>
      </c>
      <c r="N2715" s="5" t="s">
        <v>265</v>
      </c>
      <c r="O2715" s="5" t="s">
        <v>238</v>
      </c>
      <c r="P2715" s="5" t="s">
        <v>238</v>
      </c>
      <c r="Q2715" s="5" t="s">
        <v>268</v>
      </c>
      <c r="R2715" s="5" t="s">
        <v>270</v>
      </c>
      <c r="S2715" s="5" t="s">
        <v>238</v>
      </c>
      <c r="V2715" s="5" t="s">
        <v>238</v>
      </c>
      <c r="X2715" s="6" t="s">
        <v>238</v>
      </c>
      <c r="AA2715" s="6" t="s">
        <v>243</v>
      </c>
      <c r="AB2715" s="5" t="s">
        <v>238</v>
      </c>
      <c r="AC2715" s="5" t="s">
        <v>244</v>
      </c>
      <c r="AD2715" s="5" t="s">
        <v>245</v>
      </c>
      <c r="AT2715" s="5" t="s">
        <v>246</v>
      </c>
      <c r="AU2715" s="5" t="s">
        <v>238</v>
      </c>
      <c r="AV2715" s="5" t="s">
        <v>247</v>
      </c>
      <c r="AW2715" s="5" t="s">
        <v>238</v>
      </c>
      <c r="AX2715" s="5" t="s">
        <v>249</v>
      </c>
      <c r="AY2715" s="5" t="s">
        <v>238</v>
      </c>
      <c r="BA2715" s="5" t="s">
        <v>238</v>
      </c>
      <c r="BC2715" s="5" t="s">
        <v>250</v>
      </c>
      <c r="BD2715" s="6" t="s">
        <v>243</v>
      </c>
      <c r="BE2715" s="5" t="s">
        <v>251</v>
      </c>
      <c r="BF2715" s="5" t="s">
        <v>252</v>
      </c>
      <c r="BG2715" s="5" t="s">
        <v>238</v>
      </c>
      <c r="BH2715" s="7">
        <f>0</f>
        <v>0</v>
      </c>
      <c r="BI2715" s="8">
        <f>0</f>
        <v>0</v>
      </c>
      <c r="BJ2715" s="5" t="s">
        <v>253</v>
      </c>
      <c r="BK2715" s="5" t="s">
        <v>254</v>
      </c>
      <c r="BY2715" s="5" t="s">
        <v>238</v>
      </c>
      <c r="BZ2715" s="5" t="s">
        <v>238</v>
      </c>
      <c r="CD2715" s="5" t="s">
        <v>273</v>
      </c>
      <c r="CE2715" s="5" t="s">
        <v>256</v>
      </c>
      <c r="CF2715" s="5" t="s">
        <v>238</v>
      </c>
      <c r="CI2715" s="6" t="s">
        <v>257</v>
      </c>
      <c r="CJ2715" s="5" t="s">
        <v>238</v>
      </c>
      <c r="CK2715" s="5" t="s">
        <v>258</v>
      </c>
      <c r="CL2715" s="5" t="s">
        <v>238</v>
      </c>
      <c r="CM2715" s="5" t="s">
        <v>238</v>
      </c>
      <c r="CN2715" s="5">
        <v>0</v>
      </c>
      <c r="CO2715" s="5" t="s">
        <v>259</v>
      </c>
      <c r="CP2715" s="5" t="s">
        <v>260</v>
      </c>
      <c r="CQ2715" s="5" t="s">
        <v>260</v>
      </c>
      <c r="CR2715" s="5" t="s">
        <v>261</v>
      </c>
      <c r="CU2715" s="8">
        <f>1</f>
        <v>1</v>
      </c>
      <c r="CV2715" s="8">
        <f>0</f>
        <v>0</v>
      </c>
      <c r="CX2715" s="8">
        <f>0</f>
        <v>0</v>
      </c>
      <c r="CY2715" s="8">
        <f>1</f>
        <v>1</v>
      </c>
      <c r="DA2715" s="5" t="s">
        <v>274</v>
      </c>
      <c r="DB2715" s="5" t="s">
        <v>238</v>
      </c>
      <c r="DD2715" s="5" t="s">
        <v>274</v>
      </c>
      <c r="DE2715" s="8">
        <f>267</f>
        <v>267</v>
      </c>
      <c r="DG2715" s="5" t="s">
        <v>238</v>
      </c>
      <c r="DH2715" s="5" t="s">
        <v>238</v>
      </c>
      <c r="DI2715" s="5" t="s">
        <v>238</v>
      </c>
      <c r="DJ2715" s="5" t="s">
        <v>238</v>
      </c>
      <c r="DN2715" s="5" t="s">
        <v>238</v>
      </c>
      <c r="DO2715" s="5" t="s">
        <v>238</v>
      </c>
      <c r="DP2715" s="5" t="s">
        <v>238</v>
      </c>
      <c r="DQ2715" s="5" t="s">
        <v>238</v>
      </c>
      <c r="DT2715" s="5" t="s">
        <v>275</v>
      </c>
      <c r="DU2715" s="5" t="s">
        <v>1592</v>
      </c>
      <c r="HM2715" s="5" t="s">
        <v>264</v>
      </c>
    </row>
    <row r="2716" spans="1:221" x14ac:dyDescent="0.4">
      <c r="A2716" s="5">
        <v>4420</v>
      </c>
      <c r="B2716" s="5">
        <v>1</v>
      </c>
      <c r="C2716" s="5">
        <v>1</v>
      </c>
      <c r="D2716" s="5" t="s">
        <v>269</v>
      </c>
      <c r="E2716" s="5" t="s">
        <v>271</v>
      </c>
      <c r="F2716" s="5" t="s">
        <v>248</v>
      </c>
      <c r="G2716" s="5" t="s">
        <v>266</v>
      </c>
      <c r="H2716" s="6" t="s">
        <v>1587</v>
      </c>
      <c r="I2716" s="7">
        <f>743</f>
        <v>743</v>
      </c>
      <c r="J2716" s="5" t="s">
        <v>262</v>
      </c>
      <c r="K2716" s="8">
        <f>1</f>
        <v>1</v>
      </c>
      <c r="L2716" s="6" t="s">
        <v>242</v>
      </c>
      <c r="M2716" s="5" t="s">
        <v>267</v>
      </c>
      <c r="N2716" s="5" t="s">
        <v>265</v>
      </c>
      <c r="O2716" s="5" t="s">
        <v>238</v>
      </c>
      <c r="P2716" s="5" t="s">
        <v>238</v>
      </c>
      <c r="Q2716" s="5" t="s">
        <v>268</v>
      </c>
      <c r="R2716" s="5" t="s">
        <v>270</v>
      </c>
      <c r="S2716" s="5" t="s">
        <v>238</v>
      </c>
      <c r="V2716" s="5" t="s">
        <v>238</v>
      </c>
      <c r="X2716" s="6" t="s">
        <v>238</v>
      </c>
      <c r="AA2716" s="6" t="s">
        <v>243</v>
      </c>
      <c r="AB2716" s="5" t="s">
        <v>238</v>
      </c>
      <c r="AC2716" s="5" t="s">
        <v>244</v>
      </c>
      <c r="AD2716" s="5" t="s">
        <v>245</v>
      </c>
      <c r="AT2716" s="5" t="s">
        <v>246</v>
      </c>
      <c r="AU2716" s="5" t="s">
        <v>238</v>
      </c>
      <c r="AV2716" s="5" t="s">
        <v>247</v>
      </c>
      <c r="AW2716" s="5" t="s">
        <v>238</v>
      </c>
      <c r="AX2716" s="5" t="s">
        <v>249</v>
      </c>
      <c r="AY2716" s="5" t="s">
        <v>238</v>
      </c>
      <c r="BA2716" s="5" t="s">
        <v>238</v>
      </c>
      <c r="BC2716" s="5" t="s">
        <v>250</v>
      </c>
      <c r="BD2716" s="6" t="s">
        <v>243</v>
      </c>
      <c r="BE2716" s="5" t="s">
        <v>251</v>
      </c>
      <c r="BF2716" s="5" t="s">
        <v>252</v>
      </c>
      <c r="BG2716" s="5" t="s">
        <v>238</v>
      </c>
      <c r="BH2716" s="7">
        <f>0</f>
        <v>0</v>
      </c>
      <c r="BI2716" s="8">
        <f>0</f>
        <v>0</v>
      </c>
      <c r="BJ2716" s="5" t="s">
        <v>253</v>
      </c>
      <c r="BK2716" s="5" t="s">
        <v>254</v>
      </c>
      <c r="BY2716" s="5" t="s">
        <v>238</v>
      </c>
      <c r="BZ2716" s="5" t="s">
        <v>238</v>
      </c>
      <c r="CD2716" s="5" t="s">
        <v>273</v>
      </c>
      <c r="CE2716" s="5" t="s">
        <v>256</v>
      </c>
      <c r="CF2716" s="5" t="s">
        <v>238</v>
      </c>
      <c r="CI2716" s="6" t="s">
        <v>257</v>
      </c>
      <c r="CJ2716" s="5" t="s">
        <v>238</v>
      </c>
      <c r="CK2716" s="5" t="s">
        <v>258</v>
      </c>
      <c r="CL2716" s="5" t="s">
        <v>238</v>
      </c>
      <c r="CM2716" s="5" t="s">
        <v>238</v>
      </c>
      <c r="CN2716" s="5">
        <v>0</v>
      </c>
      <c r="CO2716" s="5" t="s">
        <v>259</v>
      </c>
      <c r="CP2716" s="5" t="s">
        <v>260</v>
      </c>
      <c r="CQ2716" s="5" t="s">
        <v>260</v>
      </c>
      <c r="CR2716" s="5" t="s">
        <v>261</v>
      </c>
      <c r="CU2716" s="8">
        <f>1</f>
        <v>1</v>
      </c>
      <c r="CV2716" s="8">
        <f>0</f>
        <v>0</v>
      </c>
      <c r="CX2716" s="8">
        <f>0</f>
        <v>0</v>
      </c>
      <c r="CY2716" s="8">
        <f>1</f>
        <v>1</v>
      </c>
      <c r="DA2716" s="5" t="s">
        <v>274</v>
      </c>
      <c r="DB2716" s="5" t="s">
        <v>238</v>
      </c>
      <c r="DD2716" s="5" t="s">
        <v>274</v>
      </c>
      <c r="DE2716" s="8">
        <f>743</f>
        <v>743</v>
      </c>
      <c r="DG2716" s="5" t="s">
        <v>238</v>
      </c>
      <c r="DH2716" s="5" t="s">
        <v>238</v>
      </c>
      <c r="DI2716" s="5" t="s">
        <v>238</v>
      </c>
      <c r="DJ2716" s="5" t="s">
        <v>238</v>
      </c>
      <c r="DN2716" s="5" t="s">
        <v>238</v>
      </c>
      <c r="DO2716" s="5" t="s">
        <v>238</v>
      </c>
      <c r="DP2716" s="5" t="s">
        <v>238</v>
      </c>
      <c r="DQ2716" s="5" t="s">
        <v>238</v>
      </c>
      <c r="DT2716" s="5" t="s">
        <v>275</v>
      </c>
      <c r="DU2716" s="5" t="s">
        <v>1588</v>
      </c>
      <c r="HM2716" s="5" t="s">
        <v>264</v>
      </c>
    </row>
    <row r="2717" spans="1:221" x14ac:dyDescent="0.4">
      <c r="A2717" s="5">
        <v>4421</v>
      </c>
      <c r="B2717" s="5">
        <v>1</v>
      </c>
      <c r="C2717" s="5">
        <v>1</v>
      </c>
      <c r="D2717" s="5" t="s">
        <v>269</v>
      </c>
      <c r="E2717" s="5" t="s">
        <v>271</v>
      </c>
      <c r="F2717" s="5" t="s">
        <v>248</v>
      </c>
      <c r="G2717" s="5" t="s">
        <v>266</v>
      </c>
      <c r="H2717" s="6" t="s">
        <v>1585</v>
      </c>
      <c r="I2717" s="7">
        <f>478</f>
        <v>478</v>
      </c>
      <c r="J2717" s="5" t="s">
        <v>262</v>
      </c>
      <c r="K2717" s="8">
        <f>1</f>
        <v>1</v>
      </c>
      <c r="L2717" s="6" t="s">
        <v>242</v>
      </c>
      <c r="M2717" s="5" t="s">
        <v>267</v>
      </c>
      <c r="N2717" s="5" t="s">
        <v>265</v>
      </c>
      <c r="O2717" s="5" t="s">
        <v>238</v>
      </c>
      <c r="P2717" s="5" t="s">
        <v>238</v>
      </c>
      <c r="Q2717" s="5" t="s">
        <v>268</v>
      </c>
      <c r="R2717" s="5" t="s">
        <v>270</v>
      </c>
      <c r="S2717" s="5" t="s">
        <v>238</v>
      </c>
      <c r="V2717" s="5" t="s">
        <v>238</v>
      </c>
      <c r="X2717" s="6" t="s">
        <v>238</v>
      </c>
      <c r="AA2717" s="6" t="s">
        <v>243</v>
      </c>
      <c r="AB2717" s="5" t="s">
        <v>238</v>
      </c>
      <c r="AC2717" s="5" t="s">
        <v>244</v>
      </c>
      <c r="AD2717" s="5" t="s">
        <v>245</v>
      </c>
      <c r="AT2717" s="5" t="s">
        <v>246</v>
      </c>
      <c r="AU2717" s="5" t="s">
        <v>238</v>
      </c>
      <c r="AV2717" s="5" t="s">
        <v>247</v>
      </c>
      <c r="AW2717" s="5" t="s">
        <v>238</v>
      </c>
      <c r="AX2717" s="5" t="s">
        <v>249</v>
      </c>
      <c r="AY2717" s="5" t="s">
        <v>238</v>
      </c>
      <c r="BA2717" s="5" t="s">
        <v>238</v>
      </c>
      <c r="BC2717" s="5" t="s">
        <v>250</v>
      </c>
      <c r="BD2717" s="6" t="s">
        <v>243</v>
      </c>
      <c r="BE2717" s="5" t="s">
        <v>251</v>
      </c>
      <c r="BF2717" s="5" t="s">
        <v>252</v>
      </c>
      <c r="BG2717" s="5" t="s">
        <v>238</v>
      </c>
      <c r="BH2717" s="7">
        <f>0</f>
        <v>0</v>
      </c>
      <c r="BI2717" s="8">
        <f>0</f>
        <v>0</v>
      </c>
      <c r="BJ2717" s="5" t="s">
        <v>253</v>
      </c>
      <c r="BK2717" s="5" t="s">
        <v>254</v>
      </c>
      <c r="BY2717" s="5" t="s">
        <v>238</v>
      </c>
      <c r="BZ2717" s="5" t="s">
        <v>238</v>
      </c>
      <c r="CD2717" s="5" t="s">
        <v>273</v>
      </c>
      <c r="CE2717" s="5" t="s">
        <v>256</v>
      </c>
      <c r="CF2717" s="5" t="s">
        <v>238</v>
      </c>
      <c r="CI2717" s="6" t="s">
        <v>257</v>
      </c>
      <c r="CJ2717" s="5" t="s">
        <v>238</v>
      </c>
      <c r="CK2717" s="5" t="s">
        <v>258</v>
      </c>
      <c r="CL2717" s="5" t="s">
        <v>238</v>
      </c>
      <c r="CM2717" s="5" t="s">
        <v>238</v>
      </c>
      <c r="CN2717" s="5">
        <v>0</v>
      </c>
      <c r="CO2717" s="5" t="s">
        <v>259</v>
      </c>
      <c r="CP2717" s="5" t="s">
        <v>260</v>
      </c>
      <c r="CQ2717" s="5" t="s">
        <v>260</v>
      </c>
      <c r="CR2717" s="5" t="s">
        <v>261</v>
      </c>
      <c r="CU2717" s="8">
        <f>1</f>
        <v>1</v>
      </c>
      <c r="CV2717" s="8">
        <f>0</f>
        <v>0</v>
      </c>
      <c r="CX2717" s="8">
        <f>0</f>
        <v>0</v>
      </c>
      <c r="CY2717" s="8">
        <f>1</f>
        <v>1</v>
      </c>
      <c r="DA2717" s="5" t="s">
        <v>274</v>
      </c>
      <c r="DB2717" s="5" t="s">
        <v>238</v>
      </c>
      <c r="DD2717" s="5" t="s">
        <v>274</v>
      </c>
      <c r="DE2717" s="8">
        <f>478</f>
        <v>478</v>
      </c>
      <c r="DG2717" s="5" t="s">
        <v>238</v>
      </c>
      <c r="DH2717" s="5" t="s">
        <v>238</v>
      </c>
      <c r="DI2717" s="5" t="s">
        <v>238</v>
      </c>
      <c r="DJ2717" s="5" t="s">
        <v>238</v>
      </c>
      <c r="DN2717" s="5" t="s">
        <v>238</v>
      </c>
      <c r="DO2717" s="5" t="s">
        <v>238</v>
      </c>
      <c r="DP2717" s="5" t="s">
        <v>238</v>
      </c>
      <c r="DQ2717" s="5" t="s">
        <v>238</v>
      </c>
      <c r="DT2717" s="5" t="s">
        <v>275</v>
      </c>
      <c r="DU2717" s="5" t="s">
        <v>1586</v>
      </c>
      <c r="HM2717" s="5" t="s">
        <v>264</v>
      </c>
    </row>
    <row r="2718" spans="1:221" x14ac:dyDescent="0.4">
      <c r="A2718" s="5">
        <v>4422</v>
      </c>
      <c r="B2718" s="5">
        <v>1</v>
      </c>
      <c r="C2718" s="5">
        <v>1</v>
      </c>
      <c r="D2718" s="5" t="s">
        <v>269</v>
      </c>
      <c r="E2718" s="5" t="s">
        <v>271</v>
      </c>
      <c r="F2718" s="5" t="s">
        <v>248</v>
      </c>
      <c r="G2718" s="5" t="s">
        <v>266</v>
      </c>
      <c r="H2718" s="6" t="s">
        <v>1581</v>
      </c>
      <c r="I2718" s="7">
        <f>1343</f>
        <v>1343</v>
      </c>
      <c r="J2718" s="5" t="s">
        <v>262</v>
      </c>
      <c r="K2718" s="8">
        <f>1</f>
        <v>1</v>
      </c>
      <c r="L2718" s="6" t="s">
        <v>242</v>
      </c>
      <c r="M2718" s="5" t="s">
        <v>267</v>
      </c>
      <c r="N2718" s="5" t="s">
        <v>265</v>
      </c>
      <c r="O2718" s="5" t="s">
        <v>238</v>
      </c>
      <c r="P2718" s="5" t="s">
        <v>238</v>
      </c>
      <c r="Q2718" s="5" t="s">
        <v>268</v>
      </c>
      <c r="R2718" s="5" t="s">
        <v>270</v>
      </c>
      <c r="S2718" s="5" t="s">
        <v>238</v>
      </c>
      <c r="V2718" s="5" t="s">
        <v>238</v>
      </c>
      <c r="X2718" s="6" t="s">
        <v>238</v>
      </c>
      <c r="AA2718" s="6" t="s">
        <v>243</v>
      </c>
      <c r="AB2718" s="5" t="s">
        <v>238</v>
      </c>
      <c r="AC2718" s="5" t="s">
        <v>244</v>
      </c>
      <c r="AD2718" s="5" t="s">
        <v>245</v>
      </c>
      <c r="AT2718" s="5" t="s">
        <v>246</v>
      </c>
      <c r="AU2718" s="5" t="s">
        <v>238</v>
      </c>
      <c r="AV2718" s="5" t="s">
        <v>247</v>
      </c>
      <c r="AW2718" s="5" t="s">
        <v>238</v>
      </c>
      <c r="AX2718" s="5" t="s">
        <v>249</v>
      </c>
      <c r="AY2718" s="5" t="s">
        <v>238</v>
      </c>
      <c r="BA2718" s="5" t="s">
        <v>238</v>
      </c>
      <c r="BC2718" s="5" t="s">
        <v>250</v>
      </c>
      <c r="BD2718" s="6" t="s">
        <v>243</v>
      </c>
      <c r="BE2718" s="5" t="s">
        <v>251</v>
      </c>
      <c r="BF2718" s="5" t="s">
        <v>252</v>
      </c>
      <c r="BG2718" s="5" t="s">
        <v>238</v>
      </c>
      <c r="BH2718" s="7">
        <f>0</f>
        <v>0</v>
      </c>
      <c r="BI2718" s="8">
        <f>0</f>
        <v>0</v>
      </c>
      <c r="BJ2718" s="5" t="s">
        <v>253</v>
      </c>
      <c r="BK2718" s="5" t="s">
        <v>254</v>
      </c>
      <c r="BY2718" s="5" t="s">
        <v>238</v>
      </c>
      <c r="BZ2718" s="5" t="s">
        <v>238</v>
      </c>
      <c r="CD2718" s="5" t="s">
        <v>273</v>
      </c>
      <c r="CE2718" s="5" t="s">
        <v>256</v>
      </c>
      <c r="CF2718" s="5" t="s">
        <v>238</v>
      </c>
      <c r="CI2718" s="6" t="s">
        <v>257</v>
      </c>
      <c r="CJ2718" s="5" t="s">
        <v>238</v>
      </c>
      <c r="CK2718" s="5" t="s">
        <v>258</v>
      </c>
      <c r="CL2718" s="5" t="s">
        <v>238</v>
      </c>
      <c r="CM2718" s="5" t="s">
        <v>238</v>
      </c>
      <c r="CN2718" s="5">
        <v>0</v>
      </c>
      <c r="CO2718" s="5" t="s">
        <v>259</v>
      </c>
      <c r="CP2718" s="5" t="s">
        <v>260</v>
      </c>
      <c r="CQ2718" s="5" t="s">
        <v>260</v>
      </c>
      <c r="CR2718" s="5" t="s">
        <v>261</v>
      </c>
      <c r="CU2718" s="8">
        <f>1</f>
        <v>1</v>
      </c>
      <c r="CV2718" s="8">
        <f>0</f>
        <v>0</v>
      </c>
      <c r="CX2718" s="8">
        <f>0</f>
        <v>0</v>
      </c>
      <c r="CY2718" s="8">
        <f>1</f>
        <v>1</v>
      </c>
      <c r="DA2718" s="5" t="s">
        <v>274</v>
      </c>
      <c r="DB2718" s="5" t="s">
        <v>238</v>
      </c>
      <c r="DD2718" s="5" t="s">
        <v>274</v>
      </c>
      <c r="DE2718" s="8">
        <f>1343</f>
        <v>1343</v>
      </c>
      <c r="DG2718" s="5" t="s">
        <v>238</v>
      </c>
      <c r="DH2718" s="5" t="s">
        <v>238</v>
      </c>
      <c r="DI2718" s="5" t="s">
        <v>238</v>
      </c>
      <c r="DJ2718" s="5" t="s">
        <v>238</v>
      </c>
      <c r="DN2718" s="5" t="s">
        <v>238</v>
      </c>
      <c r="DO2718" s="5" t="s">
        <v>238</v>
      </c>
      <c r="DP2718" s="5" t="s">
        <v>238</v>
      </c>
      <c r="DQ2718" s="5" t="s">
        <v>238</v>
      </c>
      <c r="DT2718" s="5" t="s">
        <v>275</v>
      </c>
      <c r="DU2718" s="5" t="s">
        <v>1582</v>
      </c>
      <c r="HM2718" s="5" t="s">
        <v>264</v>
      </c>
    </row>
    <row r="2719" spans="1:221" x14ac:dyDescent="0.4">
      <c r="A2719" s="5">
        <v>4423</v>
      </c>
      <c r="B2719" s="5">
        <v>1</v>
      </c>
      <c r="C2719" s="5">
        <v>1</v>
      </c>
      <c r="D2719" s="5" t="s">
        <v>269</v>
      </c>
      <c r="E2719" s="5" t="s">
        <v>271</v>
      </c>
      <c r="F2719" s="5" t="s">
        <v>248</v>
      </c>
      <c r="G2719" s="5" t="s">
        <v>266</v>
      </c>
      <c r="H2719" s="6" t="s">
        <v>1573</v>
      </c>
      <c r="I2719" s="7">
        <f>393</f>
        <v>393</v>
      </c>
      <c r="J2719" s="5" t="s">
        <v>262</v>
      </c>
      <c r="K2719" s="8">
        <f>1</f>
        <v>1</v>
      </c>
      <c r="L2719" s="6" t="s">
        <v>242</v>
      </c>
      <c r="M2719" s="5" t="s">
        <v>267</v>
      </c>
      <c r="N2719" s="5" t="s">
        <v>265</v>
      </c>
      <c r="O2719" s="5" t="s">
        <v>238</v>
      </c>
      <c r="P2719" s="5" t="s">
        <v>238</v>
      </c>
      <c r="Q2719" s="5" t="s">
        <v>268</v>
      </c>
      <c r="R2719" s="5" t="s">
        <v>270</v>
      </c>
      <c r="S2719" s="5" t="s">
        <v>238</v>
      </c>
      <c r="V2719" s="5" t="s">
        <v>238</v>
      </c>
      <c r="X2719" s="6" t="s">
        <v>238</v>
      </c>
      <c r="AA2719" s="6" t="s">
        <v>243</v>
      </c>
      <c r="AB2719" s="5" t="s">
        <v>238</v>
      </c>
      <c r="AC2719" s="5" t="s">
        <v>244</v>
      </c>
      <c r="AD2719" s="5" t="s">
        <v>245</v>
      </c>
      <c r="AT2719" s="5" t="s">
        <v>246</v>
      </c>
      <c r="AU2719" s="5" t="s">
        <v>238</v>
      </c>
      <c r="AV2719" s="5" t="s">
        <v>247</v>
      </c>
      <c r="AW2719" s="5" t="s">
        <v>238</v>
      </c>
      <c r="AX2719" s="5" t="s">
        <v>249</v>
      </c>
      <c r="AY2719" s="5" t="s">
        <v>238</v>
      </c>
      <c r="BA2719" s="5" t="s">
        <v>238</v>
      </c>
      <c r="BC2719" s="5" t="s">
        <v>250</v>
      </c>
      <c r="BD2719" s="6" t="s">
        <v>243</v>
      </c>
      <c r="BE2719" s="5" t="s">
        <v>251</v>
      </c>
      <c r="BF2719" s="5" t="s">
        <v>252</v>
      </c>
      <c r="BG2719" s="5" t="s">
        <v>238</v>
      </c>
      <c r="BH2719" s="7">
        <f>0</f>
        <v>0</v>
      </c>
      <c r="BI2719" s="8">
        <f>0</f>
        <v>0</v>
      </c>
      <c r="BJ2719" s="5" t="s">
        <v>253</v>
      </c>
      <c r="BK2719" s="5" t="s">
        <v>254</v>
      </c>
      <c r="BY2719" s="5" t="s">
        <v>238</v>
      </c>
      <c r="BZ2719" s="5" t="s">
        <v>238</v>
      </c>
      <c r="CD2719" s="5" t="s">
        <v>273</v>
      </c>
      <c r="CE2719" s="5" t="s">
        <v>256</v>
      </c>
      <c r="CF2719" s="5" t="s">
        <v>238</v>
      </c>
      <c r="CI2719" s="6" t="s">
        <v>257</v>
      </c>
      <c r="CJ2719" s="5" t="s">
        <v>238</v>
      </c>
      <c r="CK2719" s="5" t="s">
        <v>258</v>
      </c>
      <c r="CL2719" s="5" t="s">
        <v>238</v>
      </c>
      <c r="CM2719" s="5" t="s">
        <v>238</v>
      </c>
      <c r="CN2719" s="5">
        <v>0</v>
      </c>
      <c r="CO2719" s="5" t="s">
        <v>259</v>
      </c>
      <c r="CP2719" s="5" t="s">
        <v>260</v>
      </c>
      <c r="CQ2719" s="5" t="s">
        <v>260</v>
      </c>
      <c r="CR2719" s="5" t="s">
        <v>261</v>
      </c>
      <c r="CU2719" s="8">
        <f>1</f>
        <v>1</v>
      </c>
      <c r="CV2719" s="8">
        <f>0</f>
        <v>0</v>
      </c>
      <c r="CX2719" s="8">
        <f>0</f>
        <v>0</v>
      </c>
      <c r="CY2719" s="8">
        <f>1</f>
        <v>1</v>
      </c>
      <c r="DA2719" s="5" t="s">
        <v>274</v>
      </c>
      <c r="DB2719" s="5" t="s">
        <v>238</v>
      </c>
      <c r="DD2719" s="5" t="s">
        <v>274</v>
      </c>
      <c r="DE2719" s="8">
        <f>393</f>
        <v>393</v>
      </c>
      <c r="DG2719" s="5" t="s">
        <v>238</v>
      </c>
      <c r="DH2719" s="5" t="s">
        <v>238</v>
      </c>
      <c r="DI2719" s="5" t="s">
        <v>238</v>
      </c>
      <c r="DJ2719" s="5" t="s">
        <v>238</v>
      </c>
      <c r="DN2719" s="5" t="s">
        <v>238</v>
      </c>
      <c r="DO2719" s="5" t="s">
        <v>238</v>
      </c>
      <c r="DP2719" s="5" t="s">
        <v>238</v>
      </c>
      <c r="DQ2719" s="5" t="s">
        <v>238</v>
      </c>
      <c r="DT2719" s="5" t="s">
        <v>275</v>
      </c>
      <c r="DU2719" s="5" t="s">
        <v>1574</v>
      </c>
      <c r="HM2719" s="5" t="s">
        <v>264</v>
      </c>
    </row>
    <row r="2720" spans="1:221" x14ac:dyDescent="0.4">
      <c r="A2720" s="5">
        <v>4424</v>
      </c>
      <c r="B2720" s="5">
        <v>1</v>
      </c>
      <c r="C2720" s="5">
        <v>1</v>
      </c>
      <c r="D2720" s="5" t="s">
        <v>269</v>
      </c>
      <c r="E2720" s="5" t="s">
        <v>271</v>
      </c>
      <c r="F2720" s="5" t="s">
        <v>248</v>
      </c>
      <c r="G2720" s="5" t="s">
        <v>266</v>
      </c>
      <c r="H2720" s="6" t="s">
        <v>1569</v>
      </c>
      <c r="I2720" s="7">
        <f>181</f>
        <v>181</v>
      </c>
      <c r="J2720" s="5" t="s">
        <v>262</v>
      </c>
      <c r="K2720" s="8">
        <f>1</f>
        <v>1</v>
      </c>
      <c r="L2720" s="6" t="s">
        <v>242</v>
      </c>
      <c r="M2720" s="5" t="s">
        <v>267</v>
      </c>
      <c r="N2720" s="5" t="s">
        <v>265</v>
      </c>
      <c r="O2720" s="5" t="s">
        <v>238</v>
      </c>
      <c r="P2720" s="5" t="s">
        <v>238</v>
      </c>
      <c r="Q2720" s="5" t="s">
        <v>268</v>
      </c>
      <c r="R2720" s="5" t="s">
        <v>270</v>
      </c>
      <c r="S2720" s="5" t="s">
        <v>238</v>
      </c>
      <c r="V2720" s="5" t="s">
        <v>238</v>
      </c>
      <c r="X2720" s="6" t="s">
        <v>238</v>
      </c>
      <c r="AA2720" s="6" t="s">
        <v>243</v>
      </c>
      <c r="AB2720" s="5" t="s">
        <v>238</v>
      </c>
      <c r="AC2720" s="5" t="s">
        <v>244</v>
      </c>
      <c r="AD2720" s="5" t="s">
        <v>245</v>
      </c>
      <c r="AT2720" s="5" t="s">
        <v>246</v>
      </c>
      <c r="AU2720" s="5" t="s">
        <v>238</v>
      </c>
      <c r="AV2720" s="5" t="s">
        <v>247</v>
      </c>
      <c r="AW2720" s="5" t="s">
        <v>238</v>
      </c>
      <c r="AX2720" s="5" t="s">
        <v>249</v>
      </c>
      <c r="AY2720" s="5" t="s">
        <v>238</v>
      </c>
      <c r="BA2720" s="5" t="s">
        <v>238</v>
      </c>
      <c r="BC2720" s="5" t="s">
        <v>250</v>
      </c>
      <c r="BD2720" s="6" t="s">
        <v>243</v>
      </c>
      <c r="BE2720" s="5" t="s">
        <v>251</v>
      </c>
      <c r="BF2720" s="5" t="s">
        <v>252</v>
      </c>
      <c r="BG2720" s="5" t="s">
        <v>238</v>
      </c>
      <c r="BH2720" s="7">
        <f>0</f>
        <v>0</v>
      </c>
      <c r="BI2720" s="8">
        <f>0</f>
        <v>0</v>
      </c>
      <c r="BJ2720" s="5" t="s">
        <v>253</v>
      </c>
      <c r="BK2720" s="5" t="s">
        <v>254</v>
      </c>
      <c r="BY2720" s="5" t="s">
        <v>238</v>
      </c>
      <c r="BZ2720" s="5" t="s">
        <v>238</v>
      </c>
      <c r="CD2720" s="5" t="s">
        <v>273</v>
      </c>
      <c r="CE2720" s="5" t="s">
        <v>256</v>
      </c>
      <c r="CF2720" s="5" t="s">
        <v>238</v>
      </c>
      <c r="CI2720" s="6" t="s">
        <v>257</v>
      </c>
      <c r="CJ2720" s="5" t="s">
        <v>238</v>
      </c>
      <c r="CK2720" s="5" t="s">
        <v>258</v>
      </c>
      <c r="CL2720" s="5" t="s">
        <v>238</v>
      </c>
      <c r="CM2720" s="5" t="s">
        <v>238</v>
      </c>
      <c r="CN2720" s="5">
        <v>0</v>
      </c>
      <c r="CO2720" s="5" t="s">
        <v>259</v>
      </c>
      <c r="CP2720" s="5" t="s">
        <v>260</v>
      </c>
      <c r="CQ2720" s="5" t="s">
        <v>260</v>
      </c>
      <c r="CR2720" s="5" t="s">
        <v>261</v>
      </c>
      <c r="CU2720" s="8">
        <f>1</f>
        <v>1</v>
      </c>
      <c r="CV2720" s="8">
        <f>0</f>
        <v>0</v>
      </c>
      <c r="CX2720" s="8">
        <f>0</f>
        <v>0</v>
      </c>
      <c r="CY2720" s="8">
        <f>1</f>
        <v>1</v>
      </c>
      <c r="DA2720" s="5" t="s">
        <v>274</v>
      </c>
      <c r="DB2720" s="5" t="s">
        <v>238</v>
      </c>
      <c r="DD2720" s="5" t="s">
        <v>274</v>
      </c>
      <c r="DE2720" s="8">
        <f>181</f>
        <v>181</v>
      </c>
      <c r="DG2720" s="5" t="s">
        <v>238</v>
      </c>
      <c r="DH2720" s="5" t="s">
        <v>238</v>
      </c>
      <c r="DI2720" s="5" t="s">
        <v>238</v>
      </c>
      <c r="DJ2720" s="5" t="s">
        <v>238</v>
      </c>
      <c r="DN2720" s="5" t="s">
        <v>238</v>
      </c>
      <c r="DO2720" s="5" t="s">
        <v>238</v>
      </c>
      <c r="DP2720" s="5" t="s">
        <v>238</v>
      </c>
      <c r="DQ2720" s="5" t="s">
        <v>238</v>
      </c>
      <c r="DT2720" s="5" t="s">
        <v>275</v>
      </c>
      <c r="DU2720" s="5" t="s">
        <v>1570</v>
      </c>
      <c r="HM2720" s="5" t="s">
        <v>264</v>
      </c>
    </row>
    <row r="2721" spans="1:221" x14ac:dyDescent="0.4">
      <c r="A2721" s="5">
        <v>4425</v>
      </c>
      <c r="B2721" s="5">
        <v>1</v>
      </c>
      <c r="C2721" s="5">
        <v>1</v>
      </c>
      <c r="D2721" s="5" t="s">
        <v>269</v>
      </c>
      <c r="E2721" s="5" t="s">
        <v>271</v>
      </c>
      <c r="F2721" s="5" t="s">
        <v>248</v>
      </c>
      <c r="G2721" s="5" t="s">
        <v>266</v>
      </c>
      <c r="H2721" s="6" t="s">
        <v>1565</v>
      </c>
      <c r="I2721" s="7">
        <f>788</f>
        <v>788</v>
      </c>
      <c r="J2721" s="5" t="s">
        <v>262</v>
      </c>
      <c r="K2721" s="8">
        <f>1</f>
        <v>1</v>
      </c>
      <c r="L2721" s="6" t="s">
        <v>242</v>
      </c>
      <c r="M2721" s="5" t="s">
        <v>267</v>
      </c>
      <c r="N2721" s="5" t="s">
        <v>265</v>
      </c>
      <c r="O2721" s="5" t="s">
        <v>238</v>
      </c>
      <c r="P2721" s="5" t="s">
        <v>238</v>
      </c>
      <c r="Q2721" s="5" t="s">
        <v>268</v>
      </c>
      <c r="R2721" s="5" t="s">
        <v>270</v>
      </c>
      <c r="S2721" s="5" t="s">
        <v>238</v>
      </c>
      <c r="V2721" s="5" t="s">
        <v>238</v>
      </c>
      <c r="X2721" s="6" t="s">
        <v>238</v>
      </c>
      <c r="AA2721" s="6" t="s">
        <v>243</v>
      </c>
      <c r="AB2721" s="5" t="s">
        <v>238</v>
      </c>
      <c r="AC2721" s="5" t="s">
        <v>244</v>
      </c>
      <c r="AD2721" s="5" t="s">
        <v>245</v>
      </c>
      <c r="AT2721" s="5" t="s">
        <v>246</v>
      </c>
      <c r="AU2721" s="5" t="s">
        <v>238</v>
      </c>
      <c r="AV2721" s="5" t="s">
        <v>247</v>
      </c>
      <c r="AW2721" s="5" t="s">
        <v>238</v>
      </c>
      <c r="AX2721" s="5" t="s">
        <v>249</v>
      </c>
      <c r="AY2721" s="5" t="s">
        <v>238</v>
      </c>
      <c r="BA2721" s="5" t="s">
        <v>238</v>
      </c>
      <c r="BC2721" s="5" t="s">
        <v>250</v>
      </c>
      <c r="BD2721" s="6" t="s">
        <v>243</v>
      </c>
      <c r="BE2721" s="5" t="s">
        <v>251</v>
      </c>
      <c r="BF2721" s="5" t="s">
        <v>252</v>
      </c>
      <c r="BG2721" s="5" t="s">
        <v>238</v>
      </c>
      <c r="BH2721" s="7">
        <f>0</f>
        <v>0</v>
      </c>
      <c r="BI2721" s="8">
        <f>0</f>
        <v>0</v>
      </c>
      <c r="BJ2721" s="5" t="s">
        <v>253</v>
      </c>
      <c r="BK2721" s="5" t="s">
        <v>254</v>
      </c>
      <c r="BY2721" s="5" t="s">
        <v>238</v>
      </c>
      <c r="BZ2721" s="5" t="s">
        <v>238</v>
      </c>
      <c r="CD2721" s="5" t="s">
        <v>273</v>
      </c>
      <c r="CE2721" s="5" t="s">
        <v>256</v>
      </c>
      <c r="CF2721" s="5" t="s">
        <v>238</v>
      </c>
      <c r="CI2721" s="6" t="s">
        <v>257</v>
      </c>
      <c r="CJ2721" s="5" t="s">
        <v>238</v>
      </c>
      <c r="CK2721" s="5" t="s">
        <v>258</v>
      </c>
      <c r="CL2721" s="5" t="s">
        <v>238</v>
      </c>
      <c r="CM2721" s="5" t="s">
        <v>238</v>
      </c>
      <c r="CN2721" s="5">
        <v>0</v>
      </c>
      <c r="CO2721" s="5" t="s">
        <v>259</v>
      </c>
      <c r="CP2721" s="5" t="s">
        <v>260</v>
      </c>
      <c r="CQ2721" s="5" t="s">
        <v>260</v>
      </c>
      <c r="CR2721" s="5" t="s">
        <v>261</v>
      </c>
      <c r="CU2721" s="8">
        <f>1</f>
        <v>1</v>
      </c>
      <c r="CV2721" s="8">
        <f>0</f>
        <v>0</v>
      </c>
      <c r="CX2721" s="8">
        <f>0</f>
        <v>0</v>
      </c>
      <c r="CY2721" s="8">
        <f>1</f>
        <v>1</v>
      </c>
      <c r="DA2721" s="5" t="s">
        <v>274</v>
      </c>
      <c r="DB2721" s="5" t="s">
        <v>238</v>
      </c>
      <c r="DD2721" s="5" t="s">
        <v>274</v>
      </c>
      <c r="DE2721" s="8">
        <f>788</f>
        <v>788</v>
      </c>
      <c r="DG2721" s="5" t="s">
        <v>238</v>
      </c>
      <c r="DH2721" s="5" t="s">
        <v>238</v>
      </c>
      <c r="DI2721" s="5" t="s">
        <v>238</v>
      </c>
      <c r="DJ2721" s="5" t="s">
        <v>238</v>
      </c>
      <c r="DN2721" s="5" t="s">
        <v>238</v>
      </c>
      <c r="DO2721" s="5" t="s">
        <v>238</v>
      </c>
      <c r="DP2721" s="5" t="s">
        <v>238</v>
      </c>
      <c r="DQ2721" s="5" t="s">
        <v>238</v>
      </c>
      <c r="DT2721" s="5" t="s">
        <v>275</v>
      </c>
      <c r="DU2721" s="5" t="s">
        <v>1566</v>
      </c>
      <c r="HM2721" s="5" t="s">
        <v>264</v>
      </c>
    </row>
    <row r="2722" spans="1:221" x14ac:dyDescent="0.4">
      <c r="A2722" s="5">
        <v>4426</v>
      </c>
      <c r="B2722" s="5">
        <v>1</v>
      </c>
      <c r="C2722" s="5">
        <v>1</v>
      </c>
      <c r="D2722" s="5" t="s">
        <v>269</v>
      </c>
      <c r="E2722" s="5" t="s">
        <v>271</v>
      </c>
      <c r="F2722" s="5" t="s">
        <v>248</v>
      </c>
      <c r="G2722" s="5" t="s">
        <v>266</v>
      </c>
      <c r="H2722" s="6" t="s">
        <v>1561</v>
      </c>
      <c r="I2722" s="7">
        <f>489</f>
        <v>489</v>
      </c>
      <c r="J2722" s="5" t="s">
        <v>262</v>
      </c>
      <c r="K2722" s="8">
        <f>1</f>
        <v>1</v>
      </c>
      <c r="L2722" s="6" t="s">
        <v>242</v>
      </c>
      <c r="M2722" s="5" t="s">
        <v>267</v>
      </c>
      <c r="N2722" s="5" t="s">
        <v>265</v>
      </c>
      <c r="O2722" s="5" t="s">
        <v>238</v>
      </c>
      <c r="P2722" s="5" t="s">
        <v>238</v>
      </c>
      <c r="Q2722" s="5" t="s">
        <v>268</v>
      </c>
      <c r="R2722" s="5" t="s">
        <v>270</v>
      </c>
      <c r="S2722" s="5" t="s">
        <v>238</v>
      </c>
      <c r="V2722" s="5" t="s">
        <v>238</v>
      </c>
      <c r="X2722" s="6" t="s">
        <v>238</v>
      </c>
      <c r="AA2722" s="6" t="s">
        <v>243</v>
      </c>
      <c r="AB2722" s="5" t="s">
        <v>238</v>
      </c>
      <c r="AC2722" s="5" t="s">
        <v>244</v>
      </c>
      <c r="AD2722" s="5" t="s">
        <v>245</v>
      </c>
      <c r="AT2722" s="5" t="s">
        <v>246</v>
      </c>
      <c r="AU2722" s="5" t="s">
        <v>238</v>
      </c>
      <c r="AV2722" s="5" t="s">
        <v>247</v>
      </c>
      <c r="AW2722" s="5" t="s">
        <v>238</v>
      </c>
      <c r="AX2722" s="5" t="s">
        <v>249</v>
      </c>
      <c r="AY2722" s="5" t="s">
        <v>238</v>
      </c>
      <c r="BA2722" s="5" t="s">
        <v>238</v>
      </c>
      <c r="BC2722" s="5" t="s">
        <v>250</v>
      </c>
      <c r="BD2722" s="6" t="s">
        <v>243</v>
      </c>
      <c r="BE2722" s="5" t="s">
        <v>251</v>
      </c>
      <c r="BF2722" s="5" t="s">
        <v>252</v>
      </c>
      <c r="BG2722" s="5" t="s">
        <v>238</v>
      </c>
      <c r="BH2722" s="7">
        <f>0</f>
        <v>0</v>
      </c>
      <c r="BI2722" s="8">
        <f>0</f>
        <v>0</v>
      </c>
      <c r="BJ2722" s="5" t="s">
        <v>253</v>
      </c>
      <c r="BK2722" s="5" t="s">
        <v>254</v>
      </c>
      <c r="BY2722" s="5" t="s">
        <v>238</v>
      </c>
      <c r="BZ2722" s="5" t="s">
        <v>238</v>
      </c>
      <c r="CD2722" s="5" t="s">
        <v>273</v>
      </c>
      <c r="CE2722" s="5" t="s">
        <v>256</v>
      </c>
      <c r="CF2722" s="5" t="s">
        <v>238</v>
      </c>
      <c r="CI2722" s="6" t="s">
        <v>257</v>
      </c>
      <c r="CJ2722" s="5" t="s">
        <v>238</v>
      </c>
      <c r="CK2722" s="5" t="s">
        <v>258</v>
      </c>
      <c r="CL2722" s="5" t="s">
        <v>238</v>
      </c>
      <c r="CM2722" s="5" t="s">
        <v>238</v>
      </c>
      <c r="CN2722" s="5">
        <v>0</v>
      </c>
      <c r="CO2722" s="5" t="s">
        <v>259</v>
      </c>
      <c r="CP2722" s="5" t="s">
        <v>260</v>
      </c>
      <c r="CQ2722" s="5" t="s">
        <v>260</v>
      </c>
      <c r="CR2722" s="5" t="s">
        <v>261</v>
      </c>
      <c r="CU2722" s="8">
        <f>1</f>
        <v>1</v>
      </c>
      <c r="CV2722" s="8">
        <f>0</f>
        <v>0</v>
      </c>
      <c r="CX2722" s="8">
        <f>0</f>
        <v>0</v>
      </c>
      <c r="CY2722" s="8">
        <f>1</f>
        <v>1</v>
      </c>
      <c r="DA2722" s="5" t="s">
        <v>274</v>
      </c>
      <c r="DB2722" s="5" t="s">
        <v>238</v>
      </c>
      <c r="DD2722" s="5" t="s">
        <v>274</v>
      </c>
      <c r="DE2722" s="8">
        <f>489</f>
        <v>489</v>
      </c>
      <c r="DG2722" s="5" t="s">
        <v>238</v>
      </c>
      <c r="DH2722" s="5" t="s">
        <v>238</v>
      </c>
      <c r="DI2722" s="5" t="s">
        <v>238</v>
      </c>
      <c r="DJ2722" s="5" t="s">
        <v>238</v>
      </c>
      <c r="DN2722" s="5" t="s">
        <v>238</v>
      </c>
      <c r="DO2722" s="5" t="s">
        <v>238</v>
      </c>
      <c r="DP2722" s="5" t="s">
        <v>238</v>
      </c>
      <c r="DQ2722" s="5" t="s">
        <v>238</v>
      </c>
      <c r="DT2722" s="5" t="s">
        <v>275</v>
      </c>
      <c r="DU2722" s="5" t="s">
        <v>1562</v>
      </c>
      <c r="HM2722" s="5" t="s">
        <v>264</v>
      </c>
    </row>
    <row r="2723" spans="1:221" x14ac:dyDescent="0.4">
      <c r="A2723" s="5">
        <v>4427</v>
      </c>
      <c r="B2723" s="5">
        <v>1</v>
      </c>
      <c r="C2723" s="5">
        <v>1</v>
      </c>
      <c r="D2723" s="5" t="s">
        <v>269</v>
      </c>
      <c r="E2723" s="5" t="s">
        <v>271</v>
      </c>
      <c r="F2723" s="5" t="s">
        <v>248</v>
      </c>
      <c r="G2723" s="5" t="s">
        <v>266</v>
      </c>
      <c r="H2723" s="6" t="s">
        <v>1559</v>
      </c>
      <c r="I2723" s="7">
        <f>390</f>
        <v>390</v>
      </c>
      <c r="J2723" s="5" t="s">
        <v>262</v>
      </c>
      <c r="K2723" s="8">
        <f>1</f>
        <v>1</v>
      </c>
      <c r="L2723" s="6" t="s">
        <v>242</v>
      </c>
      <c r="M2723" s="5" t="s">
        <v>267</v>
      </c>
      <c r="N2723" s="5" t="s">
        <v>265</v>
      </c>
      <c r="O2723" s="5" t="s">
        <v>238</v>
      </c>
      <c r="P2723" s="5" t="s">
        <v>238</v>
      </c>
      <c r="Q2723" s="5" t="s">
        <v>268</v>
      </c>
      <c r="R2723" s="5" t="s">
        <v>270</v>
      </c>
      <c r="S2723" s="5" t="s">
        <v>238</v>
      </c>
      <c r="V2723" s="5" t="s">
        <v>238</v>
      </c>
      <c r="X2723" s="6" t="s">
        <v>238</v>
      </c>
      <c r="AA2723" s="6" t="s">
        <v>243</v>
      </c>
      <c r="AB2723" s="5" t="s">
        <v>238</v>
      </c>
      <c r="AC2723" s="5" t="s">
        <v>244</v>
      </c>
      <c r="AD2723" s="5" t="s">
        <v>245</v>
      </c>
      <c r="AT2723" s="5" t="s">
        <v>246</v>
      </c>
      <c r="AU2723" s="5" t="s">
        <v>238</v>
      </c>
      <c r="AV2723" s="5" t="s">
        <v>247</v>
      </c>
      <c r="AW2723" s="5" t="s">
        <v>238</v>
      </c>
      <c r="AX2723" s="5" t="s">
        <v>249</v>
      </c>
      <c r="AY2723" s="5" t="s">
        <v>238</v>
      </c>
      <c r="BA2723" s="5" t="s">
        <v>238</v>
      </c>
      <c r="BC2723" s="5" t="s">
        <v>250</v>
      </c>
      <c r="BD2723" s="6" t="s">
        <v>243</v>
      </c>
      <c r="BE2723" s="5" t="s">
        <v>251</v>
      </c>
      <c r="BF2723" s="5" t="s">
        <v>252</v>
      </c>
      <c r="BG2723" s="5" t="s">
        <v>238</v>
      </c>
      <c r="BH2723" s="7">
        <f>0</f>
        <v>0</v>
      </c>
      <c r="BI2723" s="8">
        <f>0</f>
        <v>0</v>
      </c>
      <c r="BJ2723" s="5" t="s">
        <v>253</v>
      </c>
      <c r="BK2723" s="5" t="s">
        <v>254</v>
      </c>
      <c r="BY2723" s="5" t="s">
        <v>238</v>
      </c>
      <c r="BZ2723" s="5" t="s">
        <v>238</v>
      </c>
      <c r="CD2723" s="5" t="s">
        <v>273</v>
      </c>
      <c r="CE2723" s="5" t="s">
        <v>256</v>
      </c>
      <c r="CF2723" s="5" t="s">
        <v>238</v>
      </c>
      <c r="CI2723" s="6" t="s">
        <v>257</v>
      </c>
      <c r="CJ2723" s="5" t="s">
        <v>238</v>
      </c>
      <c r="CK2723" s="5" t="s">
        <v>258</v>
      </c>
      <c r="CL2723" s="5" t="s">
        <v>238</v>
      </c>
      <c r="CM2723" s="5" t="s">
        <v>238</v>
      </c>
      <c r="CN2723" s="5">
        <v>0</v>
      </c>
      <c r="CO2723" s="5" t="s">
        <v>259</v>
      </c>
      <c r="CP2723" s="5" t="s">
        <v>260</v>
      </c>
      <c r="CQ2723" s="5" t="s">
        <v>260</v>
      </c>
      <c r="CR2723" s="5" t="s">
        <v>261</v>
      </c>
      <c r="CU2723" s="8">
        <f>1</f>
        <v>1</v>
      </c>
      <c r="CV2723" s="8">
        <f>0</f>
        <v>0</v>
      </c>
      <c r="CX2723" s="8">
        <f>0</f>
        <v>0</v>
      </c>
      <c r="CY2723" s="8">
        <f>1</f>
        <v>1</v>
      </c>
      <c r="DA2723" s="5" t="s">
        <v>274</v>
      </c>
      <c r="DB2723" s="5" t="s">
        <v>238</v>
      </c>
      <c r="DD2723" s="5" t="s">
        <v>274</v>
      </c>
      <c r="DE2723" s="8">
        <f>390</f>
        <v>390</v>
      </c>
      <c r="DG2723" s="5" t="s">
        <v>238</v>
      </c>
      <c r="DH2723" s="5" t="s">
        <v>238</v>
      </c>
      <c r="DI2723" s="5" t="s">
        <v>238</v>
      </c>
      <c r="DJ2723" s="5" t="s">
        <v>238</v>
      </c>
      <c r="DN2723" s="5" t="s">
        <v>238</v>
      </c>
      <c r="DO2723" s="5" t="s">
        <v>238</v>
      </c>
      <c r="DP2723" s="5" t="s">
        <v>238</v>
      </c>
      <c r="DQ2723" s="5" t="s">
        <v>238</v>
      </c>
      <c r="DT2723" s="5" t="s">
        <v>275</v>
      </c>
      <c r="DU2723" s="5" t="s">
        <v>1560</v>
      </c>
      <c r="HM2723" s="5" t="s">
        <v>264</v>
      </c>
    </row>
    <row r="2724" spans="1:221" x14ac:dyDescent="0.4">
      <c r="A2724" s="5">
        <v>4428</v>
      </c>
      <c r="B2724" s="5">
        <v>1</v>
      </c>
      <c r="C2724" s="5">
        <v>1</v>
      </c>
      <c r="D2724" s="5" t="s">
        <v>269</v>
      </c>
      <c r="E2724" s="5" t="s">
        <v>271</v>
      </c>
      <c r="F2724" s="5" t="s">
        <v>248</v>
      </c>
      <c r="G2724" s="5" t="s">
        <v>266</v>
      </c>
      <c r="H2724" s="6" t="s">
        <v>1554</v>
      </c>
      <c r="I2724" s="7">
        <f>1905</f>
        <v>1905</v>
      </c>
      <c r="J2724" s="5" t="s">
        <v>262</v>
      </c>
      <c r="K2724" s="8">
        <f>1</f>
        <v>1</v>
      </c>
      <c r="L2724" s="6" t="s">
        <v>242</v>
      </c>
      <c r="M2724" s="5" t="s">
        <v>267</v>
      </c>
      <c r="N2724" s="5" t="s">
        <v>265</v>
      </c>
      <c r="O2724" s="5" t="s">
        <v>238</v>
      </c>
      <c r="P2724" s="5" t="s">
        <v>238</v>
      </c>
      <c r="Q2724" s="5" t="s">
        <v>268</v>
      </c>
      <c r="R2724" s="5" t="s">
        <v>270</v>
      </c>
      <c r="S2724" s="5" t="s">
        <v>238</v>
      </c>
      <c r="V2724" s="5" t="s">
        <v>238</v>
      </c>
      <c r="X2724" s="6" t="s">
        <v>238</v>
      </c>
      <c r="AA2724" s="6" t="s">
        <v>243</v>
      </c>
      <c r="AB2724" s="5" t="s">
        <v>238</v>
      </c>
      <c r="AC2724" s="5" t="s">
        <v>244</v>
      </c>
      <c r="AD2724" s="5" t="s">
        <v>245</v>
      </c>
      <c r="AT2724" s="5" t="s">
        <v>246</v>
      </c>
      <c r="AU2724" s="5" t="s">
        <v>238</v>
      </c>
      <c r="AV2724" s="5" t="s">
        <v>247</v>
      </c>
      <c r="AW2724" s="5" t="s">
        <v>238</v>
      </c>
      <c r="AX2724" s="5" t="s">
        <v>249</v>
      </c>
      <c r="AY2724" s="5" t="s">
        <v>238</v>
      </c>
      <c r="BA2724" s="5" t="s">
        <v>238</v>
      </c>
      <c r="BC2724" s="5" t="s">
        <v>250</v>
      </c>
      <c r="BD2724" s="6" t="s">
        <v>243</v>
      </c>
      <c r="BE2724" s="5" t="s">
        <v>251</v>
      </c>
      <c r="BF2724" s="5" t="s">
        <v>252</v>
      </c>
      <c r="BG2724" s="5" t="s">
        <v>238</v>
      </c>
      <c r="BH2724" s="7">
        <f>0</f>
        <v>0</v>
      </c>
      <c r="BI2724" s="8">
        <f>0</f>
        <v>0</v>
      </c>
      <c r="BJ2724" s="5" t="s">
        <v>253</v>
      </c>
      <c r="BK2724" s="5" t="s">
        <v>254</v>
      </c>
      <c r="BY2724" s="5" t="s">
        <v>238</v>
      </c>
      <c r="BZ2724" s="5" t="s">
        <v>238</v>
      </c>
      <c r="CD2724" s="5" t="s">
        <v>273</v>
      </c>
      <c r="CE2724" s="5" t="s">
        <v>256</v>
      </c>
      <c r="CF2724" s="5" t="s">
        <v>238</v>
      </c>
      <c r="CI2724" s="6" t="s">
        <v>257</v>
      </c>
      <c r="CJ2724" s="5" t="s">
        <v>238</v>
      </c>
      <c r="CK2724" s="5" t="s">
        <v>258</v>
      </c>
      <c r="CL2724" s="5" t="s">
        <v>238</v>
      </c>
      <c r="CM2724" s="5" t="s">
        <v>238</v>
      </c>
      <c r="CN2724" s="5">
        <v>0</v>
      </c>
      <c r="CO2724" s="5" t="s">
        <v>259</v>
      </c>
      <c r="CP2724" s="5" t="s">
        <v>260</v>
      </c>
      <c r="CQ2724" s="5" t="s">
        <v>260</v>
      </c>
      <c r="CR2724" s="5" t="s">
        <v>261</v>
      </c>
      <c r="CU2724" s="8">
        <f>1</f>
        <v>1</v>
      </c>
      <c r="CV2724" s="8">
        <f>0</f>
        <v>0</v>
      </c>
      <c r="CX2724" s="8">
        <f>0</f>
        <v>0</v>
      </c>
      <c r="CY2724" s="8">
        <f>1</f>
        <v>1</v>
      </c>
      <c r="DA2724" s="5" t="s">
        <v>274</v>
      </c>
      <c r="DB2724" s="5" t="s">
        <v>238</v>
      </c>
      <c r="DD2724" s="5" t="s">
        <v>274</v>
      </c>
      <c r="DE2724" s="8">
        <f>1905</f>
        <v>1905</v>
      </c>
      <c r="DG2724" s="5" t="s">
        <v>238</v>
      </c>
      <c r="DH2724" s="5" t="s">
        <v>238</v>
      </c>
      <c r="DI2724" s="5" t="s">
        <v>238</v>
      </c>
      <c r="DJ2724" s="5" t="s">
        <v>238</v>
      </c>
      <c r="DN2724" s="5" t="s">
        <v>238</v>
      </c>
      <c r="DO2724" s="5" t="s">
        <v>238</v>
      </c>
      <c r="DP2724" s="5" t="s">
        <v>238</v>
      </c>
      <c r="DQ2724" s="5" t="s">
        <v>238</v>
      </c>
      <c r="DT2724" s="5" t="s">
        <v>275</v>
      </c>
      <c r="DU2724" s="5" t="s">
        <v>1555</v>
      </c>
      <c r="HM2724" s="5" t="s">
        <v>264</v>
      </c>
    </row>
    <row r="2725" spans="1:221" x14ac:dyDescent="0.4">
      <c r="A2725" s="5">
        <v>4429</v>
      </c>
      <c r="B2725" s="5">
        <v>1</v>
      </c>
      <c r="C2725" s="5">
        <v>1</v>
      </c>
      <c r="D2725" s="5" t="s">
        <v>269</v>
      </c>
      <c r="E2725" s="5" t="s">
        <v>271</v>
      </c>
      <c r="F2725" s="5" t="s">
        <v>248</v>
      </c>
      <c r="G2725" s="5" t="s">
        <v>266</v>
      </c>
      <c r="H2725" s="6" t="s">
        <v>1552</v>
      </c>
      <c r="I2725" s="7">
        <f>514</f>
        <v>514</v>
      </c>
      <c r="J2725" s="5" t="s">
        <v>262</v>
      </c>
      <c r="K2725" s="8">
        <f>1</f>
        <v>1</v>
      </c>
      <c r="L2725" s="6" t="s">
        <v>242</v>
      </c>
      <c r="M2725" s="5" t="s">
        <v>267</v>
      </c>
      <c r="N2725" s="5" t="s">
        <v>265</v>
      </c>
      <c r="O2725" s="5" t="s">
        <v>238</v>
      </c>
      <c r="P2725" s="5" t="s">
        <v>238</v>
      </c>
      <c r="Q2725" s="5" t="s">
        <v>268</v>
      </c>
      <c r="R2725" s="5" t="s">
        <v>270</v>
      </c>
      <c r="S2725" s="5" t="s">
        <v>238</v>
      </c>
      <c r="V2725" s="5" t="s">
        <v>238</v>
      </c>
      <c r="X2725" s="6" t="s">
        <v>238</v>
      </c>
      <c r="AA2725" s="6" t="s">
        <v>243</v>
      </c>
      <c r="AB2725" s="5" t="s">
        <v>238</v>
      </c>
      <c r="AC2725" s="5" t="s">
        <v>244</v>
      </c>
      <c r="AD2725" s="5" t="s">
        <v>245</v>
      </c>
      <c r="AT2725" s="5" t="s">
        <v>246</v>
      </c>
      <c r="AU2725" s="5" t="s">
        <v>238</v>
      </c>
      <c r="AV2725" s="5" t="s">
        <v>247</v>
      </c>
      <c r="AW2725" s="5" t="s">
        <v>238</v>
      </c>
      <c r="AX2725" s="5" t="s">
        <v>249</v>
      </c>
      <c r="AY2725" s="5" t="s">
        <v>238</v>
      </c>
      <c r="BA2725" s="5" t="s">
        <v>238</v>
      </c>
      <c r="BC2725" s="5" t="s">
        <v>250</v>
      </c>
      <c r="BD2725" s="6" t="s">
        <v>243</v>
      </c>
      <c r="BE2725" s="5" t="s">
        <v>251</v>
      </c>
      <c r="BF2725" s="5" t="s">
        <v>252</v>
      </c>
      <c r="BG2725" s="5" t="s">
        <v>238</v>
      </c>
      <c r="BH2725" s="7">
        <f>0</f>
        <v>0</v>
      </c>
      <c r="BI2725" s="8">
        <f>0</f>
        <v>0</v>
      </c>
      <c r="BJ2725" s="5" t="s">
        <v>253</v>
      </c>
      <c r="BK2725" s="5" t="s">
        <v>254</v>
      </c>
      <c r="BY2725" s="5" t="s">
        <v>238</v>
      </c>
      <c r="BZ2725" s="5" t="s">
        <v>238</v>
      </c>
      <c r="CD2725" s="5" t="s">
        <v>273</v>
      </c>
      <c r="CE2725" s="5" t="s">
        <v>256</v>
      </c>
      <c r="CF2725" s="5" t="s">
        <v>238</v>
      </c>
      <c r="CI2725" s="6" t="s">
        <v>257</v>
      </c>
      <c r="CJ2725" s="5" t="s">
        <v>238</v>
      </c>
      <c r="CK2725" s="5" t="s">
        <v>258</v>
      </c>
      <c r="CL2725" s="5" t="s">
        <v>238</v>
      </c>
      <c r="CM2725" s="5" t="s">
        <v>238</v>
      </c>
      <c r="CN2725" s="5">
        <v>0</v>
      </c>
      <c r="CO2725" s="5" t="s">
        <v>259</v>
      </c>
      <c r="CP2725" s="5" t="s">
        <v>260</v>
      </c>
      <c r="CQ2725" s="5" t="s">
        <v>260</v>
      </c>
      <c r="CR2725" s="5" t="s">
        <v>261</v>
      </c>
      <c r="CU2725" s="8">
        <f>1</f>
        <v>1</v>
      </c>
      <c r="CV2725" s="8">
        <f>0</f>
        <v>0</v>
      </c>
      <c r="CX2725" s="8">
        <f>0</f>
        <v>0</v>
      </c>
      <c r="CY2725" s="8">
        <f>1</f>
        <v>1</v>
      </c>
      <c r="DA2725" s="5" t="s">
        <v>274</v>
      </c>
      <c r="DB2725" s="5" t="s">
        <v>238</v>
      </c>
      <c r="DD2725" s="5" t="s">
        <v>274</v>
      </c>
      <c r="DE2725" s="8">
        <f>514</f>
        <v>514</v>
      </c>
      <c r="DG2725" s="5" t="s">
        <v>238</v>
      </c>
      <c r="DH2725" s="5" t="s">
        <v>238</v>
      </c>
      <c r="DI2725" s="5" t="s">
        <v>238</v>
      </c>
      <c r="DJ2725" s="5" t="s">
        <v>238</v>
      </c>
      <c r="DN2725" s="5" t="s">
        <v>238</v>
      </c>
      <c r="DO2725" s="5" t="s">
        <v>238</v>
      </c>
      <c r="DP2725" s="5" t="s">
        <v>238</v>
      </c>
      <c r="DQ2725" s="5" t="s">
        <v>238</v>
      </c>
      <c r="DT2725" s="5" t="s">
        <v>275</v>
      </c>
      <c r="DU2725" s="5" t="s">
        <v>1553</v>
      </c>
      <c r="HM2725" s="5" t="s">
        <v>264</v>
      </c>
    </row>
    <row r="2726" spans="1:221" x14ac:dyDescent="0.4">
      <c r="A2726" s="5">
        <v>4430</v>
      </c>
      <c r="B2726" s="5">
        <v>1</v>
      </c>
      <c r="C2726" s="5">
        <v>1</v>
      </c>
      <c r="D2726" s="5" t="s">
        <v>269</v>
      </c>
      <c r="E2726" s="5" t="s">
        <v>271</v>
      </c>
      <c r="F2726" s="5" t="s">
        <v>248</v>
      </c>
      <c r="G2726" s="5" t="s">
        <v>266</v>
      </c>
      <c r="H2726" s="6" t="s">
        <v>1546</v>
      </c>
      <c r="I2726" s="7">
        <f>1031</f>
        <v>1031</v>
      </c>
      <c r="J2726" s="5" t="s">
        <v>262</v>
      </c>
      <c r="K2726" s="8">
        <f>1</f>
        <v>1</v>
      </c>
      <c r="L2726" s="6" t="s">
        <v>242</v>
      </c>
      <c r="M2726" s="5" t="s">
        <v>267</v>
      </c>
      <c r="N2726" s="5" t="s">
        <v>265</v>
      </c>
      <c r="O2726" s="5" t="s">
        <v>238</v>
      </c>
      <c r="P2726" s="5" t="s">
        <v>238</v>
      </c>
      <c r="Q2726" s="5" t="s">
        <v>268</v>
      </c>
      <c r="R2726" s="5" t="s">
        <v>270</v>
      </c>
      <c r="S2726" s="5" t="s">
        <v>238</v>
      </c>
      <c r="V2726" s="5" t="s">
        <v>238</v>
      </c>
      <c r="X2726" s="6" t="s">
        <v>238</v>
      </c>
      <c r="AA2726" s="6" t="s">
        <v>243</v>
      </c>
      <c r="AB2726" s="5" t="s">
        <v>238</v>
      </c>
      <c r="AC2726" s="5" t="s">
        <v>244</v>
      </c>
      <c r="AD2726" s="5" t="s">
        <v>245</v>
      </c>
      <c r="AT2726" s="5" t="s">
        <v>246</v>
      </c>
      <c r="AU2726" s="5" t="s">
        <v>238</v>
      </c>
      <c r="AV2726" s="5" t="s">
        <v>247</v>
      </c>
      <c r="AW2726" s="5" t="s">
        <v>238</v>
      </c>
      <c r="AX2726" s="5" t="s">
        <v>249</v>
      </c>
      <c r="AY2726" s="5" t="s">
        <v>238</v>
      </c>
      <c r="BA2726" s="5" t="s">
        <v>238</v>
      </c>
      <c r="BC2726" s="5" t="s">
        <v>250</v>
      </c>
      <c r="BD2726" s="6" t="s">
        <v>243</v>
      </c>
      <c r="BE2726" s="5" t="s">
        <v>251</v>
      </c>
      <c r="BF2726" s="5" t="s">
        <v>252</v>
      </c>
      <c r="BG2726" s="5" t="s">
        <v>238</v>
      </c>
      <c r="BH2726" s="7">
        <f>0</f>
        <v>0</v>
      </c>
      <c r="BI2726" s="8">
        <f>0</f>
        <v>0</v>
      </c>
      <c r="BJ2726" s="5" t="s">
        <v>253</v>
      </c>
      <c r="BK2726" s="5" t="s">
        <v>254</v>
      </c>
      <c r="BY2726" s="5" t="s">
        <v>238</v>
      </c>
      <c r="BZ2726" s="5" t="s">
        <v>238</v>
      </c>
      <c r="CD2726" s="5" t="s">
        <v>273</v>
      </c>
      <c r="CE2726" s="5" t="s">
        <v>256</v>
      </c>
      <c r="CF2726" s="5" t="s">
        <v>238</v>
      </c>
      <c r="CI2726" s="6" t="s">
        <v>257</v>
      </c>
      <c r="CJ2726" s="5" t="s">
        <v>238</v>
      </c>
      <c r="CK2726" s="5" t="s">
        <v>258</v>
      </c>
      <c r="CL2726" s="5" t="s">
        <v>238</v>
      </c>
      <c r="CM2726" s="5" t="s">
        <v>238</v>
      </c>
      <c r="CN2726" s="5">
        <v>0</v>
      </c>
      <c r="CO2726" s="5" t="s">
        <v>259</v>
      </c>
      <c r="CP2726" s="5" t="s">
        <v>260</v>
      </c>
      <c r="CQ2726" s="5" t="s">
        <v>260</v>
      </c>
      <c r="CR2726" s="5" t="s">
        <v>261</v>
      </c>
      <c r="CU2726" s="8">
        <f>1</f>
        <v>1</v>
      </c>
      <c r="CV2726" s="8">
        <f>0</f>
        <v>0</v>
      </c>
      <c r="CX2726" s="8">
        <f>0</f>
        <v>0</v>
      </c>
      <c r="CY2726" s="8">
        <f>1</f>
        <v>1</v>
      </c>
      <c r="DA2726" s="5" t="s">
        <v>274</v>
      </c>
      <c r="DB2726" s="5" t="s">
        <v>238</v>
      </c>
      <c r="DD2726" s="5" t="s">
        <v>274</v>
      </c>
      <c r="DE2726" s="8">
        <f>1031</f>
        <v>1031</v>
      </c>
      <c r="DG2726" s="5" t="s">
        <v>238</v>
      </c>
      <c r="DH2726" s="5" t="s">
        <v>238</v>
      </c>
      <c r="DI2726" s="5" t="s">
        <v>238</v>
      </c>
      <c r="DJ2726" s="5" t="s">
        <v>238</v>
      </c>
      <c r="DN2726" s="5" t="s">
        <v>238</v>
      </c>
      <c r="DO2726" s="5" t="s">
        <v>238</v>
      </c>
      <c r="DP2726" s="5" t="s">
        <v>238</v>
      </c>
      <c r="DQ2726" s="5" t="s">
        <v>238</v>
      </c>
      <c r="DT2726" s="5" t="s">
        <v>275</v>
      </c>
      <c r="DU2726" s="5" t="s">
        <v>1547</v>
      </c>
      <c r="HM2726" s="5" t="s">
        <v>264</v>
      </c>
    </row>
    <row r="2727" spans="1:221" x14ac:dyDescent="0.4">
      <c r="A2727" s="5">
        <v>4431</v>
      </c>
      <c r="B2727" s="5">
        <v>1</v>
      </c>
      <c r="C2727" s="5">
        <v>1</v>
      </c>
      <c r="D2727" s="5" t="s">
        <v>269</v>
      </c>
      <c r="E2727" s="5" t="s">
        <v>271</v>
      </c>
      <c r="F2727" s="5" t="s">
        <v>248</v>
      </c>
      <c r="G2727" s="5" t="s">
        <v>266</v>
      </c>
      <c r="H2727" s="6" t="s">
        <v>1544</v>
      </c>
      <c r="I2727" s="7">
        <f>182</f>
        <v>182</v>
      </c>
      <c r="J2727" s="5" t="s">
        <v>262</v>
      </c>
      <c r="K2727" s="8">
        <f>1</f>
        <v>1</v>
      </c>
      <c r="L2727" s="6" t="s">
        <v>242</v>
      </c>
      <c r="M2727" s="5" t="s">
        <v>267</v>
      </c>
      <c r="N2727" s="5" t="s">
        <v>265</v>
      </c>
      <c r="O2727" s="5" t="s">
        <v>238</v>
      </c>
      <c r="P2727" s="5" t="s">
        <v>238</v>
      </c>
      <c r="Q2727" s="5" t="s">
        <v>268</v>
      </c>
      <c r="R2727" s="5" t="s">
        <v>270</v>
      </c>
      <c r="S2727" s="5" t="s">
        <v>238</v>
      </c>
      <c r="V2727" s="5" t="s">
        <v>238</v>
      </c>
      <c r="X2727" s="6" t="s">
        <v>238</v>
      </c>
      <c r="AA2727" s="6" t="s">
        <v>243</v>
      </c>
      <c r="AB2727" s="5" t="s">
        <v>238</v>
      </c>
      <c r="AC2727" s="5" t="s">
        <v>244</v>
      </c>
      <c r="AD2727" s="5" t="s">
        <v>245</v>
      </c>
      <c r="AT2727" s="5" t="s">
        <v>246</v>
      </c>
      <c r="AU2727" s="5" t="s">
        <v>238</v>
      </c>
      <c r="AV2727" s="5" t="s">
        <v>247</v>
      </c>
      <c r="AW2727" s="5" t="s">
        <v>238</v>
      </c>
      <c r="AX2727" s="5" t="s">
        <v>249</v>
      </c>
      <c r="AY2727" s="5" t="s">
        <v>238</v>
      </c>
      <c r="BA2727" s="5" t="s">
        <v>238</v>
      </c>
      <c r="BC2727" s="5" t="s">
        <v>250</v>
      </c>
      <c r="BD2727" s="6" t="s">
        <v>243</v>
      </c>
      <c r="BE2727" s="5" t="s">
        <v>251</v>
      </c>
      <c r="BF2727" s="5" t="s">
        <v>252</v>
      </c>
      <c r="BG2727" s="5" t="s">
        <v>238</v>
      </c>
      <c r="BH2727" s="7">
        <f>0</f>
        <v>0</v>
      </c>
      <c r="BI2727" s="8">
        <f>0</f>
        <v>0</v>
      </c>
      <c r="BJ2727" s="5" t="s">
        <v>253</v>
      </c>
      <c r="BK2727" s="5" t="s">
        <v>254</v>
      </c>
      <c r="BY2727" s="5" t="s">
        <v>238</v>
      </c>
      <c r="BZ2727" s="5" t="s">
        <v>238</v>
      </c>
      <c r="CD2727" s="5" t="s">
        <v>273</v>
      </c>
      <c r="CE2727" s="5" t="s">
        <v>256</v>
      </c>
      <c r="CF2727" s="5" t="s">
        <v>238</v>
      </c>
      <c r="CI2727" s="6" t="s">
        <v>257</v>
      </c>
      <c r="CJ2727" s="5" t="s">
        <v>238</v>
      </c>
      <c r="CK2727" s="5" t="s">
        <v>258</v>
      </c>
      <c r="CL2727" s="5" t="s">
        <v>238</v>
      </c>
      <c r="CM2727" s="5" t="s">
        <v>238</v>
      </c>
      <c r="CN2727" s="5">
        <v>0</v>
      </c>
      <c r="CO2727" s="5" t="s">
        <v>259</v>
      </c>
      <c r="CP2727" s="5" t="s">
        <v>260</v>
      </c>
      <c r="CQ2727" s="5" t="s">
        <v>260</v>
      </c>
      <c r="CR2727" s="5" t="s">
        <v>261</v>
      </c>
      <c r="CU2727" s="8">
        <f>1</f>
        <v>1</v>
      </c>
      <c r="CV2727" s="8">
        <f>0</f>
        <v>0</v>
      </c>
      <c r="CX2727" s="8">
        <f>0</f>
        <v>0</v>
      </c>
      <c r="CY2727" s="8">
        <f>1</f>
        <v>1</v>
      </c>
      <c r="DA2727" s="5" t="s">
        <v>274</v>
      </c>
      <c r="DB2727" s="5" t="s">
        <v>238</v>
      </c>
      <c r="DD2727" s="5" t="s">
        <v>274</v>
      </c>
      <c r="DE2727" s="8">
        <f>182</f>
        <v>182</v>
      </c>
      <c r="DG2727" s="5" t="s">
        <v>238</v>
      </c>
      <c r="DH2727" s="5" t="s">
        <v>238</v>
      </c>
      <c r="DI2727" s="5" t="s">
        <v>238</v>
      </c>
      <c r="DJ2727" s="5" t="s">
        <v>238</v>
      </c>
      <c r="DN2727" s="5" t="s">
        <v>238</v>
      </c>
      <c r="DO2727" s="5" t="s">
        <v>238</v>
      </c>
      <c r="DP2727" s="5" t="s">
        <v>238</v>
      </c>
      <c r="DQ2727" s="5" t="s">
        <v>238</v>
      </c>
      <c r="DT2727" s="5" t="s">
        <v>275</v>
      </c>
      <c r="DU2727" s="5" t="s">
        <v>1545</v>
      </c>
      <c r="HM2727" s="5" t="s">
        <v>264</v>
      </c>
    </row>
    <row r="2728" spans="1:221" x14ac:dyDescent="0.4">
      <c r="A2728" s="5">
        <v>4432</v>
      </c>
      <c r="B2728" s="5">
        <v>1</v>
      </c>
      <c r="C2728" s="5">
        <v>1</v>
      </c>
      <c r="D2728" s="5" t="s">
        <v>269</v>
      </c>
      <c r="E2728" s="5" t="s">
        <v>271</v>
      </c>
      <c r="F2728" s="5" t="s">
        <v>248</v>
      </c>
      <c r="G2728" s="5" t="s">
        <v>266</v>
      </c>
      <c r="H2728" s="6" t="s">
        <v>1542</v>
      </c>
      <c r="I2728" s="7">
        <f>333</f>
        <v>333</v>
      </c>
      <c r="J2728" s="5" t="s">
        <v>262</v>
      </c>
      <c r="K2728" s="8">
        <f>1</f>
        <v>1</v>
      </c>
      <c r="L2728" s="6" t="s">
        <v>242</v>
      </c>
      <c r="M2728" s="5" t="s">
        <v>267</v>
      </c>
      <c r="N2728" s="5" t="s">
        <v>265</v>
      </c>
      <c r="O2728" s="5" t="s">
        <v>238</v>
      </c>
      <c r="P2728" s="5" t="s">
        <v>238</v>
      </c>
      <c r="Q2728" s="5" t="s">
        <v>268</v>
      </c>
      <c r="R2728" s="5" t="s">
        <v>270</v>
      </c>
      <c r="S2728" s="5" t="s">
        <v>238</v>
      </c>
      <c r="V2728" s="5" t="s">
        <v>238</v>
      </c>
      <c r="X2728" s="6" t="s">
        <v>238</v>
      </c>
      <c r="AA2728" s="6" t="s">
        <v>243</v>
      </c>
      <c r="AB2728" s="5" t="s">
        <v>238</v>
      </c>
      <c r="AC2728" s="5" t="s">
        <v>244</v>
      </c>
      <c r="AD2728" s="5" t="s">
        <v>245</v>
      </c>
      <c r="AT2728" s="5" t="s">
        <v>246</v>
      </c>
      <c r="AU2728" s="5" t="s">
        <v>238</v>
      </c>
      <c r="AV2728" s="5" t="s">
        <v>247</v>
      </c>
      <c r="AW2728" s="5" t="s">
        <v>238</v>
      </c>
      <c r="AX2728" s="5" t="s">
        <v>249</v>
      </c>
      <c r="AY2728" s="5" t="s">
        <v>238</v>
      </c>
      <c r="BA2728" s="5" t="s">
        <v>238</v>
      </c>
      <c r="BC2728" s="5" t="s">
        <v>250</v>
      </c>
      <c r="BD2728" s="6" t="s">
        <v>243</v>
      </c>
      <c r="BE2728" s="5" t="s">
        <v>251</v>
      </c>
      <c r="BF2728" s="5" t="s">
        <v>252</v>
      </c>
      <c r="BG2728" s="5" t="s">
        <v>238</v>
      </c>
      <c r="BH2728" s="7">
        <f>0</f>
        <v>0</v>
      </c>
      <c r="BI2728" s="8">
        <f>0</f>
        <v>0</v>
      </c>
      <c r="BJ2728" s="5" t="s">
        <v>253</v>
      </c>
      <c r="BK2728" s="5" t="s">
        <v>254</v>
      </c>
      <c r="BY2728" s="5" t="s">
        <v>238</v>
      </c>
      <c r="BZ2728" s="5" t="s">
        <v>238</v>
      </c>
      <c r="CD2728" s="5" t="s">
        <v>273</v>
      </c>
      <c r="CE2728" s="5" t="s">
        <v>256</v>
      </c>
      <c r="CF2728" s="5" t="s">
        <v>238</v>
      </c>
      <c r="CI2728" s="6" t="s">
        <v>257</v>
      </c>
      <c r="CJ2728" s="5" t="s">
        <v>238</v>
      </c>
      <c r="CK2728" s="5" t="s">
        <v>258</v>
      </c>
      <c r="CL2728" s="5" t="s">
        <v>238</v>
      </c>
      <c r="CM2728" s="5" t="s">
        <v>238</v>
      </c>
      <c r="CN2728" s="5">
        <v>0</v>
      </c>
      <c r="CO2728" s="5" t="s">
        <v>259</v>
      </c>
      <c r="CP2728" s="5" t="s">
        <v>260</v>
      </c>
      <c r="CQ2728" s="5" t="s">
        <v>260</v>
      </c>
      <c r="CR2728" s="5" t="s">
        <v>261</v>
      </c>
      <c r="CU2728" s="8">
        <f>1</f>
        <v>1</v>
      </c>
      <c r="CV2728" s="8">
        <f>0</f>
        <v>0</v>
      </c>
      <c r="CX2728" s="8">
        <f>0</f>
        <v>0</v>
      </c>
      <c r="CY2728" s="8">
        <f>1</f>
        <v>1</v>
      </c>
      <c r="DA2728" s="5" t="s">
        <v>274</v>
      </c>
      <c r="DB2728" s="5" t="s">
        <v>238</v>
      </c>
      <c r="DD2728" s="5" t="s">
        <v>274</v>
      </c>
      <c r="DE2728" s="8">
        <f>333</f>
        <v>333</v>
      </c>
      <c r="DG2728" s="5" t="s">
        <v>238</v>
      </c>
      <c r="DH2728" s="5" t="s">
        <v>238</v>
      </c>
      <c r="DI2728" s="5" t="s">
        <v>238</v>
      </c>
      <c r="DJ2728" s="5" t="s">
        <v>238</v>
      </c>
      <c r="DN2728" s="5" t="s">
        <v>238</v>
      </c>
      <c r="DO2728" s="5" t="s">
        <v>238</v>
      </c>
      <c r="DP2728" s="5" t="s">
        <v>238</v>
      </c>
      <c r="DQ2728" s="5" t="s">
        <v>238</v>
      </c>
      <c r="DT2728" s="5" t="s">
        <v>275</v>
      </c>
      <c r="DU2728" s="5" t="s">
        <v>1543</v>
      </c>
      <c r="HM2728" s="5" t="s">
        <v>264</v>
      </c>
    </row>
    <row r="2729" spans="1:221" x14ac:dyDescent="0.4">
      <c r="A2729" s="5">
        <v>4433</v>
      </c>
      <c r="B2729" s="5">
        <v>1</v>
      </c>
      <c r="C2729" s="5">
        <v>1</v>
      </c>
      <c r="D2729" s="5" t="s">
        <v>269</v>
      </c>
      <c r="E2729" s="5" t="s">
        <v>271</v>
      </c>
      <c r="F2729" s="5" t="s">
        <v>248</v>
      </c>
      <c r="G2729" s="5" t="s">
        <v>266</v>
      </c>
      <c r="H2729" s="6" t="s">
        <v>1532</v>
      </c>
      <c r="I2729" s="7">
        <f>1260</f>
        <v>1260</v>
      </c>
      <c r="J2729" s="5" t="s">
        <v>262</v>
      </c>
      <c r="K2729" s="8">
        <f>1</f>
        <v>1</v>
      </c>
      <c r="L2729" s="6" t="s">
        <v>242</v>
      </c>
      <c r="M2729" s="5" t="s">
        <v>267</v>
      </c>
      <c r="N2729" s="5" t="s">
        <v>265</v>
      </c>
      <c r="O2729" s="5" t="s">
        <v>238</v>
      </c>
      <c r="P2729" s="5" t="s">
        <v>238</v>
      </c>
      <c r="Q2729" s="5" t="s">
        <v>268</v>
      </c>
      <c r="R2729" s="5" t="s">
        <v>270</v>
      </c>
      <c r="S2729" s="5" t="s">
        <v>238</v>
      </c>
      <c r="V2729" s="5" t="s">
        <v>238</v>
      </c>
      <c r="X2729" s="6" t="s">
        <v>238</v>
      </c>
      <c r="AA2729" s="6" t="s">
        <v>243</v>
      </c>
      <c r="AB2729" s="5" t="s">
        <v>238</v>
      </c>
      <c r="AC2729" s="5" t="s">
        <v>244</v>
      </c>
      <c r="AD2729" s="5" t="s">
        <v>245</v>
      </c>
      <c r="AT2729" s="5" t="s">
        <v>246</v>
      </c>
      <c r="AU2729" s="5" t="s">
        <v>238</v>
      </c>
      <c r="AV2729" s="5" t="s">
        <v>247</v>
      </c>
      <c r="AW2729" s="5" t="s">
        <v>238</v>
      </c>
      <c r="AX2729" s="5" t="s">
        <v>249</v>
      </c>
      <c r="AY2729" s="5" t="s">
        <v>238</v>
      </c>
      <c r="BA2729" s="5" t="s">
        <v>238</v>
      </c>
      <c r="BC2729" s="5" t="s">
        <v>250</v>
      </c>
      <c r="BD2729" s="6" t="s">
        <v>243</v>
      </c>
      <c r="BE2729" s="5" t="s">
        <v>251</v>
      </c>
      <c r="BF2729" s="5" t="s">
        <v>252</v>
      </c>
      <c r="BG2729" s="5" t="s">
        <v>238</v>
      </c>
      <c r="BH2729" s="7">
        <f>0</f>
        <v>0</v>
      </c>
      <c r="BI2729" s="8">
        <f>0</f>
        <v>0</v>
      </c>
      <c r="BJ2729" s="5" t="s">
        <v>253</v>
      </c>
      <c r="BK2729" s="5" t="s">
        <v>254</v>
      </c>
      <c r="BY2729" s="5" t="s">
        <v>238</v>
      </c>
      <c r="BZ2729" s="5" t="s">
        <v>238</v>
      </c>
      <c r="CD2729" s="5" t="s">
        <v>273</v>
      </c>
      <c r="CE2729" s="5" t="s">
        <v>256</v>
      </c>
      <c r="CF2729" s="5" t="s">
        <v>238</v>
      </c>
      <c r="CI2729" s="6" t="s">
        <v>257</v>
      </c>
      <c r="CJ2729" s="5" t="s">
        <v>238</v>
      </c>
      <c r="CK2729" s="5" t="s">
        <v>258</v>
      </c>
      <c r="CL2729" s="5" t="s">
        <v>238</v>
      </c>
      <c r="CM2729" s="5" t="s">
        <v>238</v>
      </c>
      <c r="CN2729" s="5">
        <v>0</v>
      </c>
      <c r="CO2729" s="5" t="s">
        <v>259</v>
      </c>
      <c r="CP2729" s="5" t="s">
        <v>260</v>
      </c>
      <c r="CQ2729" s="5" t="s">
        <v>260</v>
      </c>
      <c r="CR2729" s="5" t="s">
        <v>261</v>
      </c>
      <c r="CU2729" s="8">
        <f>1</f>
        <v>1</v>
      </c>
      <c r="CV2729" s="8">
        <f>0</f>
        <v>0</v>
      </c>
      <c r="CX2729" s="8">
        <f>0</f>
        <v>0</v>
      </c>
      <c r="CY2729" s="8">
        <f>1</f>
        <v>1</v>
      </c>
      <c r="DA2729" s="5" t="s">
        <v>274</v>
      </c>
      <c r="DB2729" s="5" t="s">
        <v>238</v>
      </c>
      <c r="DD2729" s="5" t="s">
        <v>274</v>
      </c>
      <c r="DE2729" s="8">
        <f>1260</f>
        <v>1260</v>
      </c>
      <c r="DG2729" s="5" t="s">
        <v>238</v>
      </c>
      <c r="DH2729" s="5" t="s">
        <v>238</v>
      </c>
      <c r="DI2729" s="5" t="s">
        <v>238</v>
      </c>
      <c r="DJ2729" s="5" t="s">
        <v>238</v>
      </c>
      <c r="DN2729" s="5" t="s">
        <v>238</v>
      </c>
      <c r="DO2729" s="5" t="s">
        <v>238</v>
      </c>
      <c r="DP2729" s="5" t="s">
        <v>238</v>
      </c>
      <c r="DQ2729" s="5" t="s">
        <v>238</v>
      </c>
      <c r="DT2729" s="5" t="s">
        <v>275</v>
      </c>
      <c r="DU2729" s="5" t="s">
        <v>1533</v>
      </c>
      <c r="HM2729" s="5" t="s">
        <v>264</v>
      </c>
    </row>
    <row r="2730" spans="1:221" x14ac:dyDescent="0.4">
      <c r="A2730" s="5">
        <v>4434</v>
      </c>
      <c r="B2730" s="5">
        <v>1</v>
      </c>
      <c r="C2730" s="5">
        <v>1</v>
      </c>
      <c r="D2730" s="5" t="s">
        <v>269</v>
      </c>
      <c r="E2730" s="5" t="s">
        <v>271</v>
      </c>
      <c r="F2730" s="5" t="s">
        <v>248</v>
      </c>
      <c r="G2730" s="5" t="s">
        <v>266</v>
      </c>
      <c r="H2730" s="6" t="s">
        <v>1526</v>
      </c>
      <c r="I2730" s="7">
        <f>188</f>
        <v>188</v>
      </c>
      <c r="J2730" s="5" t="s">
        <v>262</v>
      </c>
      <c r="K2730" s="8">
        <f>1</f>
        <v>1</v>
      </c>
      <c r="L2730" s="6" t="s">
        <v>242</v>
      </c>
      <c r="M2730" s="5" t="s">
        <v>267</v>
      </c>
      <c r="N2730" s="5" t="s">
        <v>265</v>
      </c>
      <c r="O2730" s="5" t="s">
        <v>238</v>
      </c>
      <c r="P2730" s="5" t="s">
        <v>238</v>
      </c>
      <c r="Q2730" s="5" t="s">
        <v>268</v>
      </c>
      <c r="R2730" s="5" t="s">
        <v>270</v>
      </c>
      <c r="S2730" s="5" t="s">
        <v>238</v>
      </c>
      <c r="V2730" s="5" t="s">
        <v>238</v>
      </c>
      <c r="X2730" s="6" t="s">
        <v>238</v>
      </c>
      <c r="AA2730" s="6" t="s">
        <v>243</v>
      </c>
      <c r="AB2730" s="5" t="s">
        <v>238</v>
      </c>
      <c r="AC2730" s="5" t="s">
        <v>244</v>
      </c>
      <c r="AD2730" s="5" t="s">
        <v>245</v>
      </c>
      <c r="AT2730" s="5" t="s">
        <v>246</v>
      </c>
      <c r="AU2730" s="5" t="s">
        <v>238</v>
      </c>
      <c r="AV2730" s="5" t="s">
        <v>247</v>
      </c>
      <c r="AW2730" s="5" t="s">
        <v>238</v>
      </c>
      <c r="AX2730" s="5" t="s">
        <v>249</v>
      </c>
      <c r="AY2730" s="5" t="s">
        <v>238</v>
      </c>
      <c r="BA2730" s="5" t="s">
        <v>238</v>
      </c>
      <c r="BC2730" s="5" t="s">
        <v>250</v>
      </c>
      <c r="BD2730" s="6" t="s">
        <v>243</v>
      </c>
      <c r="BE2730" s="5" t="s">
        <v>251</v>
      </c>
      <c r="BF2730" s="5" t="s">
        <v>252</v>
      </c>
      <c r="BG2730" s="5" t="s">
        <v>238</v>
      </c>
      <c r="BH2730" s="7">
        <f>0</f>
        <v>0</v>
      </c>
      <c r="BI2730" s="8">
        <f>0</f>
        <v>0</v>
      </c>
      <c r="BJ2730" s="5" t="s">
        <v>253</v>
      </c>
      <c r="BK2730" s="5" t="s">
        <v>254</v>
      </c>
      <c r="BY2730" s="5" t="s">
        <v>238</v>
      </c>
      <c r="BZ2730" s="5" t="s">
        <v>238</v>
      </c>
      <c r="CD2730" s="5" t="s">
        <v>273</v>
      </c>
      <c r="CE2730" s="5" t="s">
        <v>256</v>
      </c>
      <c r="CF2730" s="5" t="s">
        <v>238</v>
      </c>
      <c r="CI2730" s="6" t="s">
        <v>257</v>
      </c>
      <c r="CJ2730" s="5" t="s">
        <v>238</v>
      </c>
      <c r="CK2730" s="5" t="s">
        <v>258</v>
      </c>
      <c r="CL2730" s="5" t="s">
        <v>238</v>
      </c>
      <c r="CM2730" s="5" t="s">
        <v>238</v>
      </c>
      <c r="CN2730" s="5">
        <v>0</v>
      </c>
      <c r="CO2730" s="5" t="s">
        <v>259</v>
      </c>
      <c r="CP2730" s="5" t="s">
        <v>260</v>
      </c>
      <c r="CQ2730" s="5" t="s">
        <v>260</v>
      </c>
      <c r="CR2730" s="5" t="s">
        <v>261</v>
      </c>
      <c r="CU2730" s="8">
        <f>1</f>
        <v>1</v>
      </c>
      <c r="CV2730" s="8">
        <f>0</f>
        <v>0</v>
      </c>
      <c r="CX2730" s="8">
        <f>0</f>
        <v>0</v>
      </c>
      <c r="CY2730" s="8">
        <f>1</f>
        <v>1</v>
      </c>
      <c r="DA2730" s="5" t="s">
        <v>274</v>
      </c>
      <c r="DB2730" s="5" t="s">
        <v>238</v>
      </c>
      <c r="DD2730" s="5" t="s">
        <v>274</v>
      </c>
      <c r="DE2730" s="8">
        <f>188</f>
        <v>188</v>
      </c>
      <c r="DG2730" s="5" t="s">
        <v>238</v>
      </c>
      <c r="DH2730" s="5" t="s">
        <v>238</v>
      </c>
      <c r="DI2730" s="5" t="s">
        <v>238</v>
      </c>
      <c r="DJ2730" s="5" t="s">
        <v>238</v>
      </c>
      <c r="DN2730" s="5" t="s">
        <v>238</v>
      </c>
      <c r="DO2730" s="5" t="s">
        <v>238</v>
      </c>
      <c r="DP2730" s="5" t="s">
        <v>238</v>
      </c>
      <c r="DQ2730" s="5" t="s">
        <v>238</v>
      </c>
      <c r="DT2730" s="5" t="s">
        <v>275</v>
      </c>
      <c r="DU2730" s="5" t="s">
        <v>1527</v>
      </c>
      <c r="HM2730" s="5" t="s">
        <v>264</v>
      </c>
    </row>
    <row r="2731" spans="1:221" x14ac:dyDescent="0.4">
      <c r="A2731" s="5">
        <v>4435</v>
      </c>
      <c r="B2731" s="5">
        <v>1</v>
      </c>
      <c r="C2731" s="5">
        <v>1</v>
      </c>
      <c r="D2731" s="5" t="s">
        <v>269</v>
      </c>
      <c r="E2731" s="5" t="s">
        <v>271</v>
      </c>
      <c r="F2731" s="5" t="s">
        <v>248</v>
      </c>
      <c r="G2731" s="5" t="s">
        <v>266</v>
      </c>
      <c r="H2731" s="6" t="s">
        <v>1520</v>
      </c>
      <c r="I2731" s="7">
        <f>129</f>
        <v>129</v>
      </c>
      <c r="J2731" s="5" t="s">
        <v>262</v>
      </c>
      <c r="K2731" s="8">
        <f>1</f>
        <v>1</v>
      </c>
      <c r="L2731" s="6" t="s">
        <v>242</v>
      </c>
      <c r="M2731" s="5" t="s">
        <v>267</v>
      </c>
      <c r="N2731" s="5" t="s">
        <v>265</v>
      </c>
      <c r="O2731" s="5" t="s">
        <v>238</v>
      </c>
      <c r="P2731" s="5" t="s">
        <v>238</v>
      </c>
      <c r="Q2731" s="5" t="s">
        <v>268</v>
      </c>
      <c r="R2731" s="5" t="s">
        <v>270</v>
      </c>
      <c r="S2731" s="5" t="s">
        <v>238</v>
      </c>
      <c r="V2731" s="5" t="s">
        <v>238</v>
      </c>
      <c r="X2731" s="6" t="s">
        <v>238</v>
      </c>
      <c r="AA2731" s="6" t="s">
        <v>243</v>
      </c>
      <c r="AB2731" s="5" t="s">
        <v>238</v>
      </c>
      <c r="AC2731" s="5" t="s">
        <v>244</v>
      </c>
      <c r="AD2731" s="5" t="s">
        <v>245</v>
      </c>
      <c r="AT2731" s="5" t="s">
        <v>246</v>
      </c>
      <c r="AU2731" s="5" t="s">
        <v>238</v>
      </c>
      <c r="AV2731" s="5" t="s">
        <v>247</v>
      </c>
      <c r="AW2731" s="5" t="s">
        <v>238</v>
      </c>
      <c r="AX2731" s="5" t="s">
        <v>249</v>
      </c>
      <c r="AY2731" s="5" t="s">
        <v>238</v>
      </c>
      <c r="BA2731" s="5" t="s">
        <v>238</v>
      </c>
      <c r="BC2731" s="5" t="s">
        <v>250</v>
      </c>
      <c r="BD2731" s="6" t="s">
        <v>243</v>
      </c>
      <c r="BE2731" s="5" t="s">
        <v>251</v>
      </c>
      <c r="BF2731" s="5" t="s">
        <v>252</v>
      </c>
      <c r="BG2731" s="5" t="s">
        <v>238</v>
      </c>
      <c r="BH2731" s="7">
        <f>0</f>
        <v>0</v>
      </c>
      <c r="BI2731" s="8">
        <f>0</f>
        <v>0</v>
      </c>
      <c r="BJ2731" s="5" t="s">
        <v>253</v>
      </c>
      <c r="BK2731" s="5" t="s">
        <v>254</v>
      </c>
      <c r="BY2731" s="5" t="s">
        <v>238</v>
      </c>
      <c r="BZ2731" s="5" t="s">
        <v>238</v>
      </c>
      <c r="CD2731" s="5" t="s">
        <v>273</v>
      </c>
      <c r="CE2731" s="5" t="s">
        <v>256</v>
      </c>
      <c r="CF2731" s="5" t="s">
        <v>238</v>
      </c>
      <c r="CI2731" s="6" t="s">
        <v>257</v>
      </c>
      <c r="CJ2731" s="5" t="s">
        <v>238</v>
      </c>
      <c r="CK2731" s="5" t="s">
        <v>258</v>
      </c>
      <c r="CL2731" s="5" t="s">
        <v>238</v>
      </c>
      <c r="CM2731" s="5" t="s">
        <v>238</v>
      </c>
      <c r="CN2731" s="5">
        <v>0</v>
      </c>
      <c r="CO2731" s="5" t="s">
        <v>259</v>
      </c>
      <c r="CP2731" s="5" t="s">
        <v>260</v>
      </c>
      <c r="CQ2731" s="5" t="s">
        <v>260</v>
      </c>
      <c r="CR2731" s="5" t="s">
        <v>261</v>
      </c>
      <c r="CU2731" s="8">
        <f>1</f>
        <v>1</v>
      </c>
      <c r="CV2731" s="8">
        <f>0</f>
        <v>0</v>
      </c>
      <c r="CX2731" s="8">
        <f>0</f>
        <v>0</v>
      </c>
      <c r="CY2731" s="8">
        <f>1</f>
        <v>1</v>
      </c>
      <c r="DA2731" s="5" t="s">
        <v>274</v>
      </c>
      <c r="DB2731" s="5" t="s">
        <v>238</v>
      </c>
      <c r="DD2731" s="5" t="s">
        <v>274</v>
      </c>
      <c r="DE2731" s="8">
        <f>129</f>
        <v>129</v>
      </c>
      <c r="DG2731" s="5" t="s">
        <v>238</v>
      </c>
      <c r="DH2731" s="5" t="s">
        <v>238</v>
      </c>
      <c r="DI2731" s="5" t="s">
        <v>238</v>
      </c>
      <c r="DJ2731" s="5" t="s">
        <v>238</v>
      </c>
      <c r="DN2731" s="5" t="s">
        <v>238</v>
      </c>
      <c r="DO2731" s="5" t="s">
        <v>238</v>
      </c>
      <c r="DP2731" s="5" t="s">
        <v>238</v>
      </c>
      <c r="DQ2731" s="5" t="s">
        <v>238</v>
      </c>
      <c r="DT2731" s="5" t="s">
        <v>275</v>
      </c>
      <c r="DU2731" s="5" t="s">
        <v>1521</v>
      </c>
      <c r="HM2731" s="5" t="s">
        <v>264</v>
      </c>
    </row>
    <row r="2732" spans="1:221" x14ac:dyDescent="0.4">
      <c r="A2732" s="5">
        <v>4436</v>
      </c>
      <c r="B2732" s="5">
        <v>1</v>
      </c>
      <c r="C2732" s="5">
        <v>1</v>
      </c>
      <c r="D2732" s="5" t="s">
        <v>269</v>
      </c>
      <c r="E2732" s="5" t="s">
        <v>271</v>
      </c>
      <c r="F2732" s="5" t="s">
        <v>248</v>
      </c>
      <c r="G2732" s="5" t="s">
        <v>266</v>
      </c>
      <c r="H2732" s="6" t="s">
        <v>1516</v>
      </c>
      <c r="I2732" s="7">
        <f>269</f>
        <v>269</v>
      </c>
      <c r="J2732" s="5" t="s">
        <v>262</v>
      </c>
      <c r="K2732" s="8">
        <f>1</f>
        <v>1</v>
      </c>
      <c r="L2732" s="6" t="s">
        <v>242</v>
      </c>
      <c r="M2732" s="5" t="s">
        <v>267</v>
      </c>
      <c r="N2732" s="5" t="s">
        <v>265</v>
      </c>
      <c r="O2732" s="5" t="s">
        <v>238</v>
      </c>
      <c r="P2732" s="5" t="s">
        <v>238</v>
      </c>
      <c r="Q2732" s="5" t="s">
        <v>268</v>
      </c>
      <c r="R2732" s="5" t="s">
        <v>270</v>
      </c>
      <c r="S2732" s="5" t="s">
        <v>238</v>
      </c>
      <c r="V2732" s="5" t="s">
        <v>238</v>
      </c>
      <c r="X2732" s="6" t="s">
        <v>238</v>
      </c>
      <c r="AA2732" s="6" t="s">
        <v>243</v>
      </c>
      <c r="AB2732" s="5" t="s">
        <v>238</v>
      </c>
      <c r="AC2732" s="5" t="s">
        <v>244</v>
      </c>
      <c r="AD2732" s="5" t="s">
        <v>245</v>
      </c>
      <c r="AT2732" s="5" t="s">
        <v>246</v>
      </c>
      <c r="AU2732" s="5" t="s">
        <v>238</v>
      </c>
      <c r="AV2732" s="5" t="s">
        <v>247</v>
      </c>
      <c r="AW2732" s="5" t="s">
        <v>238</v>
      </c>
      <c r="AX2732" s="5" t="s">
        <v>249</v>
      </c>
      <c r="AY2732" s="5" t="s">
        <v>238</v>
      </c>
      <c r="BA2732" s="5" t="s">
        <v>238</v>
      </c>
      <c r="BC2732" s="5" t="s">
        <v>250</v>
      </c>
      <c r="BD2732" s="6" t="s">
        <v>243</v>
      </c>
      <c r="BE2732" s="5" t="s">
        <v>251</v>
      </c>
      <c r="BF2732" s="5" t="s">
        <v>252</v>
      </c>
      <c r="BG2732" s="5" t="s">
        <v>238</v>
      </c>
      <c r="BH2732" s="7">
        <f>0</f>
        <v>0</v>
      </c>
      <c r="BI2732" s="8">
        <f>0</f>
        <v>0</v>
      </c>
      <c r="BJ2732" s="5" t="s">
        <v>253</v>
      </c>
      <c r="BK2732" s="5" t="s">
        <v>254</v>
      </c>
      <c r="BY2732" s="5" t="s">
        <v>238</v>
      </c>
      <c r="BZ2732" s="5" t="s">
        <v>238</v>
      </c>
      <c r="CD2732" s="5" t="s">
        <v>273</v>
      </c>
      <c r="CE2732" s="5" t="s">
        <v>256</v>
      </c>
      <c r="CF2732" s="5" t="s">
        <v>238</v>
      </c>
      <c r="CI2732" s="6" t="s">
        <v>257</v>
      </c>
      <c r="CJ2732" s="5" t="s">
        <v>238</v>
      </c>
      <c r="CK2732" s="5" t="s">
        <v>258</v>
      </c>
      <c r="CL2732" s="5" t="s">
        <v>238</v>
      </c>
      <c r="CM2732" s="5" t="s">
        <v>238</v>
      </c>
      <c r="CN2732" s="5">
        <v>0</v>
      </c>
      <c r="CO2732" s="5" t="s">
        <v>259</v>
      </c>
      <c r="CP2732" s="5" t="s">
        <v>260</v>
      </c>
      <c r="CQ2732" s="5" t="s">
        <v>260</v>
      </c>
      <c r="CR2732" s="5" t="s">
        <v>261</v>
      </c>
      <c r="CU2732" s="8">
        <f>1</f>
        <v>1</v>
      </c>
      <c r="CV2732" s="8">
        <f>0</f>
        <v>0</v>
      </c>
      <c r="CX2732" s="8">
        <f>0</f>
        <v>0</v>
      </c>
      <c r="CY2732" s="8">
        <f>1</f>
        <v>1</v>
      </c>
      <c r="DA2732" s="5" t="s">
        <v>274</v>
      </c>
      <c r="DB2732" s="5" t="s">
        <v>238</v>
      </c>
      <c r="DD2732" s="5" t="s">
        <v>274</v>
      </c>
      <c r="DE2732" s="8">
        <f>269</f>
        <v>269</v>
      </c>
      <c r="DG2732" s="5" t="s">
        <v>238</v>
      </c>
      <c r="DH2732" s="5" t="s">
        <v>238</v>
      </c>
      <c r="DI2732" s="5" t="s">
        <v>238</v>
      </c>
      <c r="DJ2732" s="5" t="s">
        <v>238</v>
      </c>
      <c r="DN2732" s="5" t="s">
        <v>238</v>
      </c>
      <c r="DO2732" s="5" t="s">
        <v>238</v>
      </c>
      <c r="DP2732" s="5" t="s">
        <v>238</v>
      </c>
      <c r="DQ2732" s="5" t="s">
        <v>238</v>
      </c>
      <c r="DT2732" s="5" t="s">
        <v>275</v>
      </c>
      <c r="DU2732" s="5" t="s">
        <v>1517</v>
      </c>
      <c r="HM2732" s="5" t="s">
        <v>264</v>
      </c>
    </row>
    <row r="2733" spans="1:221" x14ac:dyDescent="0.4">
      <c r="A2733" s="5">
        <v>4437</v>
      </c>
      <c r="B2733" s="5">
        <v>1</v>
      </c>
      <c r="C2733" s="5">
        <v>1</v>
      </c>
      <c r="D2733" s="5" t="s">
        <v>269</v>
      </c>
      <c r="E2733" s="5" t="s">
        <v>271</v>
      </c>
      <c r="F2733" s="5" t="s">
        <v>248</v>
      </c>
      <c r="G2733" s="5" t="s">
        <v>266</v>
      </c>
      <c r="H2733" s="6" t="s">
        <v>1514</v>
      </c>
      <c r="I2733" s="7">
        <f>930</f>
        <v>930</v>
      </c>
      <c r="J2733" s="5" t="s">
        <v>262</v>
      </c>
      <c r="K2733" s="8">
        <f>1</f>
        <v>1</v>
      </c>
      <c r="L2733" s="6" t="s">
        <v>242</v>
      </c>
      <c r="M2733" s="5" t="s">
        <v>267</v>
      </c>
      <c r="N2733" s="5" t="s">
        <v>265</v>
      </c>
      <c r="O2733" s="5" t="s">
        <v>238</v>
      </c>
      <c r="P2733" s="5" t="s">
        <v>238</v>
      </c>
      <c r="Q2733" s="5" t="s">
        <v>268</v>
      </c>
      <c r="R2733" s="5" t="s">
        <v>270</v>
      </c>
      <c r="S2733" s="5" t="s">
        <v>238</v>
      </c>
      <c r="V2733" s="5" t="s">
        <v>238</v>
      </c>
      <c r="X2733" s="6" t="s">
        <v>238</v>
      </c>
      <c r="AA2733" s="6" t="s">
        <v>243</v>
      </c>
      <c r="AB2733" s="5" t="s">
        <v>238</v>
      </c>
      <c r="AC2733" s="5" t="s">
        <v>244</v>
      </c>
      <c r="AD2733" s="5" t="s">
        <v>245</v>
      </c>
      <c r="AT2733" s="5" t="s">
        <v>246</v>
      </c>
      <c r="AU2733" s="5" t="s">
        <v>238</v>
      </c>
      <c r="AV2733" s="5" t="s">
        <v>247</v>
      </c>
      <c r="AW2733" s="5" t="s">
        <v>238</v>
      </c>
      <c r="AX2733" s="5" t="s">
        <v>249</v>
      </c>
      <c r="AY2733" s="5" t="s">
        <v>238</v>
      </c>
      <c r="BA2733" s="5" t="s">
        <v>238</v>
      </c>
      <c r="BC2733" s="5" t="s">
        <v>250</v>
      </c>
      <c r="BD2733" s="6" t="s">
        <v>243</v>
      </c>
      <c r="BE2733" s="5" t="s">
        <v>251</v>
      </c>
      <c r="BF2733" s="5" t="s">
        <v>252</v>
      </c>
      <c r="BG2733" s="5" t="s">
        <v>238</v>
      </c>
      <c r="BH2733" s="7">
        <f>0</f>
        <v>0</v>
      </c>
      <c r="BI2733" s="8">
        <f>0</f>
        <v>0</v>
      </c>
      <c r="BJ2733" s="5" t="s">
        <v>253</v>
      </c>
      <c r="BK2733" s="5" t="s">
        <v>254</v>
      </c>
      <c r="BY2733" s="5" t="s">
        <v>238</v>
      </c>
      <c r="BZ2733" s="5" t="s">
        <v>238</v>
      </c>
      <c r="CD2733" s="5" t="s">
        <v>273</v>
      </c>
      <c r="CE2733" s="5" t="s">
        <v>256</v>
      </c>
      <c r="CF2733" s="5" t="s">
        <v>238</v>
      </c>
      <c r="CI2733" s="6" t="s">
        <v>257</v>
      </c>
      <c r="CJ2733" s="5" t="s">
        <v>238</v>
      </c>
      <c r="CK2733" s="5" t="s">
        <v>258</v>
      </c>
      <c r="CL2733" s="5" t="s">
        <v>238</v>
      </c>
      <c r="CM2733" s="5" t="s">
        <v>238</v>
      </c>
      <c r="CN2733" s="5">
        <v>0</v>
      </c>
      <c r="CO2733" s="5" t="s">
        <v>259</v>
      </c>
      <c r="CP2733" s="5" t="s">
        <v>260</v>
      </c>
      <c r="CQ2733" s="5" t="s">
        <v>260</v>
      </c>
      <c r="CR2733" s="5" t="s">
        <v>261</v>
      </c>
      <c r="CU2733" s="8">
        <f>1</f>
        <v>1</v>
      </c>
      <c r="CV2733" s="8">
        <f>0</f>
        <v>0</v>
      </c>
      <c r="CX2733" s="8">
        <f>0</f>
        <v>0</v>
      </c>
      <c r="CY2733" s="8">
        <f>1</f>
        <v>1</v>
      </c>
      <c r="DA2733" s="5" t="s">
        <v>274</v>
      </c>
      <c r="DB2733" s="5" t="s">
        <v>238</v>
      </c>
      <c r="DD2733" s="5" t="s">
        <v>274</v>
      </c>
      <c r="DE2733" s="8">
        <f>930</f>
        <v>930</v>
      </c>
      <c r="DG2733" s="5" t="s">
        <v>238</v>
      </c>
      <c r="DH2733" s="5" t="s">
        <v>238</v>
      </c>
      <c r="DI2733" s="5" t="s">
        <v>238</v>
      </c>
      <c r="DJ2733" s="5" t="s">
        <v>238</v>
      </c>
      <c r="DN2733" s="5" t="s">
        <v>238</v>
      </c>
      <c r="DO2733" s="5" t="s">
        <v>238</v>
      </c>
      <c r="DP2733" s="5" t="s">
        <v>238</v>
      </c>
      <c r="DQ2733" s="5" t="s">
        <v>238</v>
      </c>
      <c r="DT2733" s="5" t="s">
        <v>275</v>
      </c>
      <c r="DU2733" s="5" t="s">
        <v>1515</v>
      </c>
      <c r="HM2733" s="5" t="s">
        <v>264</v>
      </c>
    </row>
    <row r="2734" spans="1:221" x14ac:dyDescent="0.4">
      <c r="A2734" s="5">
        <v>4438</v>
      </c>
      <c r="B2734" s="5">
        <v>1</v>
      </c>
      <c r="C2734" s="5">
        <v>1</v>
      </c>
      <c r="D2734" s="5" t="s">
        <v>269</v>
      </c>
      <c r="E2734" s="5" t="s">
        <v>271</v>
      </c>
      <c r="F2734" s="5" t="s">
        <v>248</v>
      </c>
      <c r="G2734" s="5" t="s">
        <v>266</v>
      </c>
      <c r="H2734" s="6" t="s">
        <v>1508</v>
      </c>
      <c r="I2734" s="7">
        <f>2084</f>
        <v>2084</v>
      </c>
      <c r="J2734" s="5" t="s">
        <v>262</v>
      </c>
      <c r="K2734" s="8">
        <f>1</f>
        <v>1</v>
      </c>
      <c r="L2734" s="6" t="s">
        <v>242</v>
      </c>
      <c r="M2734" s="5" t="s">
        <v>267</v>
      </c>
      <c r="N2734" s="5" t="s">
        <v>265</v>
      </c>
      <c r="O2734" s="5" t="s">
        <v>238</v>
      </c>
      <c r="P2734" s="5" t="s">
        <v>238</v>
      </c>
      <c r="Q2734" s="5" t="s">
        <v>268</v>
      </c>
      <c r="R2734" s="5" t="s">
        <v>270</v>
      </c>
      <c r="S2734" s="5" t="s">
        <v>238</v>
      </c>
      <c r="V2734" s="5" t="s">
        <v>238</v>
      </c>
      <c r="X2734" s="6" t="s">
        <v>238</v>
      </c>
      <c r="AA2734" s="6" t="s">
        <v>243</v>
      </c>
      <c r="AB2734" s="5" t="s">
        <v>238</v>
      </c>
      <c r="AC2734" s="5" t="s">
        <v>244</v>
      </c>
      <c r="AD2734" s="5" t="s">
        <v>245</v>
      </c>
      <c r="AT2734" s="5" t="s">
        <v>246</v>
      </c>
      <c r="AU2734" s="5" t="s">
        <v>238</v>
      </c>
      <c r="AV2734" s="5" t="s">
        <v>247</v>
      </c>
      <c r="AW2734" s="5" t="s">
        <v>238</v>
      </c>
      <c r="AX2734" s="5" t="s">
        <v>249</v>
      </c>
      <c r="AY2734" s="5" t="s">
        <v>238</v>
      </c>
      <c r="BA2734" s="5" t="s">
        <v>238</v>
      </c>
      <c r="BC2734" s="5" t="s">
        <v>250</v>
      </c>
      <c r="BD2734" s="6" t="s">
        <v>243</v>
      </c>
      <c r="BE2734" s="5" t="s">
        <v>251</v>
      </c>
      <c r="BF2734" s="5" t="s">
        <v>252</v>
      </c>
      <c r="BG2734" s="5" t="s">
        <v>238</v>
      </c>
      <c r="BH2734" s="7">
        <f>0</f>
        <v>0</v>
      </c>
      <c r="BI2734" s="8">
        <f>0</f>
        <v>0</v>
      </c>
      <c r="BJ2734" s="5" t="s">
        <v>253</v>
      </c>
      <c r="BK2734" s="5" t="s">
        <v>254</v>
      </c>
      <c r="BY2734" s="5" t="s">
        <v>238</v>
      </c>
      <c r="BZ2734" s="5" t="s">
        <v>238</v>
      </c>
      <c r="CD2734" s="5" t="s">
        <v>273</v>
      </c>
      <c r="CE2734" s="5" t="s">
        <v>256</v>
      </c>
      <c r="CF2734" s="5" t="s">
        <v>238</v>
      </c>
      <c r="CI2734" s="6" t="s">
        <v>257</v>
      </c>
      <c r="CJ2734" s="5" t="s">
        <v>238</v>
      </c>
      <c r="CK2734" s="5" t="s">
        <v>258</v>
      </c>
      <c r="CL2734" s="5" t="s">
        <v>238</v>
      </c>
      <c r="CM2734" s="5" t="s">
        <v>238</v>
      </c>
      <c r="CN2734" s="5">
        <v>0</v>
      </c>
      <c r="CO2734" s="5" t="s">
        <v>259</v>
      </c>
      <c r="CP2734" s="5" t="s">
        <v>260</v>
      </c>
      <c r="CQ2734" s="5" t="s">
        <v>260</v>
      </c>
      <c r="CR2734" s="5" t="s">
        <v>261</v>
      </c>
      <c r="CU2734" s="8">
        <f>1</f>
        <v>1</v>
      </c>
      <c r="CV2734" s="8">
        <f>0</f>
        <v>0</v>
      </c>
      <c r="CX2734" s="8">
        <f>0</f>
        <v>0</v>
      </c>
      <c r="CY2734" s="8">
        <f>1</f>
        <v>1</v>
      </c>
      <c r="DA2734" s="5" t="s">
        <v>274</v>
      </c>
      <c r="DB2734" s="5" t="s">
        <v>238</v>
      </c>
      <c r="DD2734" s="5" t="s">
        <v>274</v>
      </c>
      <c r="DE2734" s="8">
        <f>2084</f>
        <v>2084</v>
      </c>
      <c r="DG2734" s="5" t="s">
        <v>238</v>
      </c>
      <c r="DH2734" s="5" t="s">
        <v>238</v>
      </c>
      <c r="DI2734" s="5" t="s">
        <v>238</v>
      </c>
      <c r="DJ2734" s="5" t="s">
        <v>238</v>
      </c>
      <c r="DN2734" s="5" t="s">
        <v>238</v>
      </c>
      <c r="DO2734" s="5" t="s">
        <v>238</v>
      </c>
      <c r="DP2734" s="5" t="s">
        <v>238</v>
      </c>
      <c r="DQ2734" s="5" t="s">
        <v>238</v>
      </c>
      <c r="DT2734" s="5" t="s">
        <v>275</v>
      </c>
      <c r="DU2734" s="5" t="s">
        <v>1509</v>
      </c>
      <c r="HM2734" s="5" t="s">
        <v>264</v>
      </c>
    </row>
    <row r="2735" spans="1:221" x14ac:dyDescent="0.4">
      <c r="A2735" s="5">
        <v>4439</v>
      </c>
      <c r="B2735" s="5">
        <v>1</v>
      </c>
      <c r="C2735" s="5">
        <v>1</v>
      </c>
      <c r="D2735" s="5" t="s">
        <v>269</v>
      </c>
      <c r="E2735" s="5" t="s">
        <v>271</v>
      </c>
      <c r="F2735" s="5" t="s">
        <v>248</v>
      </c>
      <c r="G2735" s="5" t="s">
        <v>266</v>
      </c>
      <c r="H2735" s="6" t="s">
        <v>1504</v>
      </c>
      <c r="I2735" s="7">
        <f>9.94</f>
        <v>9.94</v>
      </c>
      <c r="J2735" s="5" t="s">
        <v>262</v>
      </c>
      <c r="K2735" s="8">
        <f>1</f>
        <v>1</v>
      </c>
      <c r="L2735" s="6" t="s">
        <v>242</v>
      </c>
      <c r="M2735" s="5" t="s">
        <v>267</v>
      </c>
      <c r="N2735" s="5" t="s">
        <v>265</v>
      </c>
      <c r="O2735" s="5" t="s">
        <v>238</v>
      </c>
      <c r="P2735" s="5" t="s">
        <v>238</v>
      </c>
      <c r="Q2735" s="5" t="s">
        <v>268</v>
      </c>
      <c r="R2735" s="5" t="s">
        <v>270</v>
      </c>
      <c r="S2735" s="5" t="s">
        <v>238</v>
      </c>
      <c r="V2735" s="5" t="s">
        <v>238</v>
      </c>
      <c r="X2735" s="6" t="s">
        <v>238</v>
      </c>
      <c r="AA2735" s="6" t="s">
        <v>243</v>
      </c>
      <c r="AB2735" s="5" t="s">
        <v>238</v>
      </c>
      <c r="AC2735" s="5" t="s">
        <v>244</v>
      </c>
      <c r="AD2735" s="5" t="s">
        <v>245</v>
      </c>
      <c r="AT2735" s="5" t="s">
        <v>246</v>
      </c>
      <c r="AU2735" s="5" t="s">
        <v>238</v>
      </c>
      <c r="AV2735" s="5" t="s">
        <v>247</v>
      </c>
      <c r="AW2735" s="5" t="s">
        <v>238</v>
      </c>
      <c r="AX2735" s="5" t="s">
        <v>249</v>
      </c>
      <c r="AY2735" s="5" t="s">
        <v>238</v>
      </c>
      <c r="BA2735" s="5" t="s">
        <v>238</v>
      </c>
      <c r="BC2735" s="5" t="s">
        <v>250</v>
      </c>
      <c r="BD2735" s="6" t="s">
        <v>243</v>
      </c>
      <c r="BE2735" s="5" t="s">
        <v>251</v>
      </c>
      <c r="BF2735" s="5" t="s">
        <v>252</v>
      </c>
      <c r="BG2735" s="5" t="s">
        <v>238</v>
      </c>
      <c r="BH2735" s="7">
        <f>0</f>
        <v>0</v>
      </c>
      <c r="BI2735" s="8">
        <f>0</f>
        <v>0</v>
      </c>
      <c r="BJ2735" s="5" t="s">
        <v>253</v>
      </c>
      <c r="BK2735" s="5" t="s">
        <v>254</v>
      </c>
      <c r="BY2735" s="5" t="s">
        <v>238</v>
      </c>
      <c r="BZ2735" s="5" t="s">
        <v>238</v>
      </c>
      <c r="CD2735" s="5" t="s">
        <v>273</v>
      </c>
      <c r="CE2735" s="5" t="s">
        <v>256</v>
      </c>
      <c r="CF2735" s="5" t="s">
        <v>238</v>
      </c>
      <c r="CI2735" s="6" t="s">
        <v>257</v>
      </c>
      <c r="CJ2735" s="5" t="s">
        <v>238</v>
      </c>
      <c r="CK2735" s="5" t="s">
        <v>258</v>
      </c>
      <c r="CL2735" s="5" t="s">
        <v>238</v>
      </c>
      <c r="CM2735" s="5" t="s">
        <v>238</v>
      </c>
      <c r="CN2735" s="5">
        <v>0</v>
      </c>
      <c r="CO2735" s="5" t="s">
        <v>259</v>
      </c>
      <c r="CP2735" s="5" t="s">
        <v>260</v>
      </c>
      <c r="CQ2735" s="5" t="s">
        <v>260</v>
      </c>
      <c r="CR2735" s="5" t="s">
        <v>261</v>
      </c>
      <c r="CU2735" s="8">
        <f>1</f>
        <v>1</v>
      </c>
      <c r="CV2735" s="8">
        <f>0</f>
        <v>0</v>
      </c>
      <c r="CX2735" s="8">
        <f>0</f>
        <v>0</v>
      </c>
      <c r="CY2735" s="8">
        <f>1</f>
        <v>1</v>
      </c>
      <c r="DA2735" s="5" t="s">
        <v>274</v>
      </c>
      <c r="DB2735" s="5" t="s">
        <v>238</v>
      </c>
      <c r="DD2735" s="5" t="s">
        <v>274</v>
      </c>
      <c r="DE2735" s="8">
        <f>9.94</f>
        <v>9.94</v>
      </c>
      <c r="DG2735" s="5" t="s">
        <v>238</v>
      </c>
      <c r="DH2735" s="5" t="s">
        <v>238</v>
      </c>
      <c r="DI2735" s="5" t="s">
        <v>238</v>
      </c>
      <c r="DJ2735" s="5" t="s">
        <v>238</v>
      </c>
      <c r="DN2735" s="5" t="s">
        <v>238</v>
      </c>
      <c r="DO2735" s="5" t="s">
        <v>238</v>
      </c>
      <c r="DP2735" s="5" t="s">
        <v>238</v>
      </c>
      <c r="DQ2735" s="5" t="s">
        <v>238</v>
      </c>
      <c r="DT2735" s="5" t="s">
        <v>275</v>
      </c>
      <c r="DU2735" s="5" t="s">
        <v>1505</v>
      </c>
      <c r="HM2735" s="5" t="s">
        <v>264</v>
      </c>
    </row>
    <row r="2736" spans="1:221" x14ac:dyDescent="0.4">
      <c r="A2736" s="5">
        <v>4440</v>
      </c>
      <c r="B2736" s="5">
        <v>1</v>
      </c>
      <c r="C2736" s="5">
        <v>1</v>
      </c>
      <c r="D2736" s="5" t="s">
        <v>269</v>
      </c>
      <c r="E2736" s="5" t="s">
        <v>271</v>
      </c>
      <c r="F2736" s="5" t="s">
        <v>248</v>
      </c>
      <c r="G2736" s="5" t="s">
        <v>266</v>
      </c>
      <c r="H2736" s="6" t="s">
        <v>1496</v>
      </c>
      <c r="I2736" s="7">
        <f>95</f>
        <v>95</v>
      </c>
      <c r="J2736" s="5" t="s">
        <v>262</v>
      </c>
      <c r="K2736" s="8">
        <f>1</f>
        <v>1</v>
      </c>
      <c r="L2736" s="6" t="s">
        <v>242</v>
      </c>
      <c r="M2736" s="5" t="s">
        <v>267</v>
      </c>
      <c r="N2736" s="5" t="s">
        <v>265</v>
      </c>
      <c r="O2736" s="5" t="s">
        <v>238</v>
      </c>
      <c r="P2736" s="5" t="s">
        <v>238</v>
      </c>
      <c r="Q2736" s="5" t="s">
        <v>268</v>
      </c>
      <c r="R2736" s="5" t="s">
        <v>270</v>
      </c>
      <c r="S2736" s="5" t="s">
        <v>238</v>
      </c>
      <c r="V2736" s="5" t="s">
        <v>238</v>
      </c>
      <c r="X2736" s="6" t="s">
        <v>238</v>
      </c>
      <c r="AA2736" s="6" t="s">
        <v>243</v>
      </c>
      <c r="AB2736" s="5" t="s">
        <v>238</v>
      </c>
      <c r="AC2736" s="5" t="s">
        <v>244</v>
      </c>
      <c r="AD2736" s="5" t="s">
        <v>245</v>
      </c>
      <c r="AT2736" s="5" t="s">
        <v>246</v>
      </c>
      <c r="AU2736" s="5" t="s">
        <v>238</v>
      </c>
      <c r="AV2736" s="5" t="s">
        <v>247</v>
      </c>
      <c r="AW2736" s="5" t="s">
        <v>238</v>
      </c>
      <c r="AX2736" s="5" t="s">
        <v>249</v>
      </c>
      <c r="AY2736" s="5" t="s">
        <v>238</v>
      </c>
      <c r="BA2736" s="5" t="s">
        <v>238</v>
      </c>
      <c r="BC2736" s="5" t="s">
        <v>250</v>
      </c>
      <c r="BD2736" s="6" t="s">
        <v>243</v>
      </c>
      <c r="BE2736" s="5" t="s">
        <v>251</v>
      </c>
      <c r="BF2736" s="5" t="s">
        <v>252</v>
      </c>
      <c r="BG2736" s="5" t="s">
        <v>238</v>
      </c>
      <c r="BH2736" s="7">
        <f>0</f>
        <v>0</v>
      </c>
      <c r="BI2736" s="8">
        <f>0</f>
        <v>0</v>
      </c>
      <c r="BJ2736" s="5" t="s">
        <v>253</v>
      </c>
      <c r="BK2736" s="5" t="s">
        <v>254</v>
      </c>
      <c r="BY2736" s="5" t="s">
        <v>238</v>
      </c>
      <c r="BZ2736" s="5" t="s">
        <v>238</v>
      </c>
      <c r="CD2736" s="5" t="s">
        <v>273</v>
      </c>
      <c r="CE2736" s="5" t="s">
        <v>256</v>
      </c>
      <c r="CF2736" s="5" t="s">
        <v>238</v>
      </c>
      <c r="CI2736" s="6" t="s">
        <v>257</v>
      </c>
      <c r="CJ2736" s="5" t="s">
        <v>238</v>
      </c>
      <c r="CK2736" s="5" t="s">
        <v>258</v>
      </c>
      <c r="CL2736" s="5" t="s">
        <v>238</v>
      </c>
      <c r="CM2736" s="5" t="s">
        <v>238</v>
      </c>
      <c r="CN2736" s="5">
        <v>0</v>
      </c>
      <c r="CO2736" s="5" t="s">
        <v>259</v>
      </c>
      <c r="CP2736" s="5" t="s">
        <v>260</v>
      </c>
      <c r="CQ2736" s="5" t="s">
        <v>260</v>
      </c>
      <c r="CR2736" s="5" t="s">
        <v>261</v>
      </c>
      <c r="CU2736" s="8">
        <f>1</f>
        <v>1</v>
      </c>
      <c r="CV2736" s="8">
        <f>0</f>
        <v>0</v>
      </c>
      <c r="CX2736" s="8">
        <f>0</f>
        <v>0</v>
      </c>
      <c r="CY2736" s="8">
        <f>1</f>
        <v>1</v>
      </c>
      <c r="DA2736" s="5" t="s">
        <v>274</v>
      </c>
      <c r="DB2736" s="5" t="s">
        <v>238</v>
      </c>
      <c r="DD2736" s="5" t="s">
        <v>274</v>
      </c>
      <c r="DE2736" s="8">
        <f>95</f>
        <v>95</v>
      </c>
      <c r="DG2736" s="5" t="s">
        <v>238</v>
      </c>
      <c r="DH2736" s="5" t="s">
        <v>238</v>
      </c>
      <c r="DI2736" s="5" t="s">
        <v>238</v>
      </c>
      <c r="DJ2736" s="5" t="s">
        <v>238</v>
      </c>
      <c r="DN2736" s="5" t="s">
        <v>238</v>
      </c>
      <c r="DO2736" s="5" t="s">
        <v>238</v>
      </c>
      <c r="DP2736" s="5" t="s">
        <v>238</v>
      </c>
      <c r="DQ2736" s="5" t="s">
        <v>238</v>
      </c>
      <c r="DT2736" s="5" t="s">
        <v>275</v>
      </c>
      <c r="DU2736" s="5" t="s">
        <v>1497</v>
      </c>
      <c r="HM2736" s="5" t="s">
        <v>264</v>
      </c>
    </row>
    <row r="2737" spans="1:221" x14ac:dyDescent="0.4">
      <c r="A2737" s="5">
        <v>4441</v>
      </c>
      <c r="B2737" s="5">
        <v>1</v>
      </c>
      <c r="C2737" s="5">
        <v>1</v>
      </c>
      <c r="D2737" s="5" t="s">
        <v>269</v>
      </c>
      <c r="E2737" s="5" t="s">
        <v>271</v>
      </c>
      <c r="F2737" s="5" t="s">
        <v>248</v>
      </c>
      <c r="G2737" s="5" t="s">
        <v>266</v>
      </c>
      <c r="H2737" s="6" t="s">
        <v>1494</v>
      </c>
      <c r="I2737" s="7">
        <f>1880</f>
        <v>1880</v>
      </c>
      <c r="J2737" s="5" t="s">
        <v>262</v>
      </c>
      <c r="K2737" s="8">
        <f>1</f>
        <v>1</v>
      </c>
      <c r="L2737" s="6" t="s">
        <v>242</v>
      </c>
      <c r="M2737" s="5" t="s">
        <v>267</v>
      </c>
      <c r="N2737" s="5" t="s">
        <v>265</v>
      </c>
      <c r="O2737" s="5" t="s">
        <v>238</v>
      </c>
      <c r="P2737" s="5" t="s">
        <v>238</v>
      </c>
      <c r="Q2737" s="5" t="s">
        <v>268</v>
      </c>
      <c r="R2737" s="5" t="s">
        <v>270</v>
      </c>
      <c r="S2737" s="5" t="s">
        <v>238</v>
      </c>
      <c r="V2737" s="5" t="s">
        <v>238</v>
      </c>
      <c r="X2737" s="6" t="s">
        <v>238</v>
      </c>
      <c r="AA2737" s="6" t="s">
        <v>243</v>
      </c>
      <c r="AB2737" s="5" t="s">
        <v>238</v>
      </c>
      <c r="AC2737" s="5" t="s">
        <v>244</v>
      </c>
      <c r="AD2737" s="5" t="s">
        <v>245</v>
      </c>
      <c r="AT2737" s="5" t="s">
        <v>246</v>
      </c>
      <c r="AU2737" s="5" t="s">
        <v>238</v>
      </c>
      <c r="AV2737" s="5" t="s">
        <v>247</v>
      </c>
      <c r="AW2737" s="5" t="s">
        <v>238</v>
      </c>
      <c r="AX2737" s="5" t="s">
        <v>249</v>
      </c>
      <c r="AY2737" s="5" t="s">
        <v>238</v>
      </c>
      <c r="BA2737" s="5" t="s">
        <v>238</v>
      </c>
      <c r="BC2737" s="5" t="s">
        <v>250</v>
      </c>
      <c r="BD2737" s="6" t="s">
        <v>243</v>
      </c>
      <c r="BE2737" s="5" t="s">
        <v>251</v>
      </c>
      <c r="BF2737" s="5" t="s">
        <v>252</v>
      </c>
      <c r="BG2737" s="5" t="s">
        <v>238</v>
      </c>
      <c r="BH2737" s="7">
        <f>0</f>
        <v>0</v>
      </c>
      <c r="BI2737" s="8">
        <f>0</f>
        <v>0</v>
      </c>
      <c r="BJ2737" s="5" t="s">
        <v>253</v>
      </c>
      <c r="BK2737" s="5" t="s">
        <v>254</v>
      </c>
      <c r="BY2737" s="5" t="s">
        <v>238</v>
      </c>
      <c r="BZ2737" s="5" t="s">
        <v>238</v>
      </c>
      <c r="CD2737" s="5" t="s">
        <v>273</v>
      </c>
      <c r="CE2737" s="5" t="s">
        <v>256</v>
      </c>
      <c r="CF2737" s="5" t="s">
        <v>238</v>
      </c>
      <c r="CI2737" s="6" t="s">
        <v>257</v>
      </c>
      <c r="CJ2737" s="5" t="s">
        <v>238</v>
      </c>
      <c r="CK2737" s="5" t="s">
        <v>258</v>
      </c>
      <c r="CL2737" s="5" t="s">
        <v>238</v>
      </c>
      <c r="CM2737" s="5" t="s">
        <v>238</v>
      </c>
      <c r="CN2737" s="5">
        <v>0</v>
      </c>
      <c r="CO2737" s="5" t="s">
        <v>259</v>
      </c>
      <c r="CP2737" s="5" t="s">
        <v>260</v>
      </c>
      <c r="CQ2737" s="5" t="s">
        <v>260</v>
      </c>
      <c r="CR2737" s="5" t="s">
        <v>261</v>
      </c>
      <c r="CU2737" s="8">
        <f>1</f>
        <v>1</v>
      </c>
      <c r="CV2737" s="8">
        <f>0</f>
        <v>0</v>
      </c>
      <c r="CX2737" s="8">
        <f>0</f>
        <v>0</v>
      </c>
      <c r="CY2737" s="8">
        <f>1</f>
        <v>1</v>
      </c>
      <c r="DA2737" s="5" t="s">
        <v>274</v>
      </c>
      <c r="DB2737" s="5" t="s">
        <v>238</v>
      </c>
      <c r="DD2737" s="5" t="s">
        <v>274</v>
      </c>
      <c r="DE2737" s="8">
        <f>1880</f>
        <v>1880</v>
      </c>
      <c r="DG2737" s="5" t="s">
        <v>238</v>
      </c>
      <c r="DH2737" s="5" t="s">
        <v>238</v>
      </c>
      <c r="DI2737" s="5" t="s">
        <v>238</v>
      </c>
      <c r="DJ2737" s="5" t="s">
        <v>238</v>
      </c>
      <c r="DN2737" s="5" t="s">
        <v>238</v>
      </c>
      <c r="DO2737" s="5" t="s">
        <v>238</v>
      </c>
      <c r="DP2737" s="5" t="s">
        <v>238</v>
      </c>
      <c r="DQ2737" s="5" t="s">
        <v>238</v>
      </c>
      <c r="DT2737" s="5" t="s">
        <v>275</v>
      </c>
      <c r="DU2737" s="5" t="s">
        <v>1495</v>
      </c>
      <c r="HM2737" s="5" t="s">
        <v>264</v>
      </c>
    </row>
    <row r="2738" spans="1:221" x14ac:dyDescent="0.4">
      <c r="A2738" s="5">
        <v>4442</v>
      </c>
      <c r="B2738" s="5">
        <v>1</v>
      </c>
      <c r="C2738" s="5">
        <v>1</v>
      </c>
      <c r="D2738" s="5" t="s">
        <v>269</v>
      </c>
      <c r="E2738" s="5" t="s">
        <v>271</v>
      </c>
      <c r="F2738" s="5" t="s">
        <v>248</v>
      </c>
      <c r="G2738" s="5" t="s">
        <v>266</v>
      </c>
      <c r="H2738" s="6" t="s">
        <v>1490</v>
      </c>
      <c r="I2738" s="7">
        <f>1012</f>
        <v>1012</v>
      </c>
      <c r="J2738" s="5" t="s">
        <v>262</v>
      </c>
      <c r="K2738" s="8">
        <f>1</f>
        <v>1</v>
      </c>
      <c r="L2738" s="6" t="s">
        <v>242</v>
      </c>
      <c r="M2738" s="5" t="s">
        <v>267</v>
      </c>
      <c r="N2738" s="5" t="s">
        <v>265</v>
      </c>
      <c r="O2738" s="5" t="s">
        <v>238</v>
      </c>
      <c r="P2738" s="5" t="s">
        <v>238</v>
      </c>
      <c r="Q2738" s="5" t="s">
        <v>268</v>
      </c>
      <c r="R2738" s="5" t="s">
        <v>270</v>
      </c>
      <c r="S2738" s="5" t="s">
        <v>238</v>
      </c>
      <c r="V2738" s="5" t="s">
        <v>238</v>
      </c>
      <c r="X2738" s="6" t="s">
        <v>238</v>
      </c>
      <c r="AA2738" s="6" t="s">
        <v>243</v>
      </c>
      <c r="AB2738" s="5" t="s">
        <v>238</v>
      </c>
      <c r="AC2738" s="5" t="s">
        <v>244</v>
      </c>
      <c r="AD2738" s="5" t="s">
        <v>245</v>
      </c>
      <c r="AT2738" s="5" t="s">
        <v>246</v>
      </c>
      <c r="AU2738" s="5" t="s">
        <v>238</v>
      </c>
      <c r="AV2738" s="5" t="s">
        <v>247</v>
      </c>
      <c r="AW2738" s="5" t="s">
        <v>238</v>
      </c>
      <c r="AX2738" s="5" t="s">
        <v>249</v>
      </c>
      <c r="AY2738" s="5" t="s">
        <v>238</v>
      </c>
      <c r="BA2738" s="5" t="s">
        <v>238</v>
      </c>
      <c r="BC2738" s="5" t="s">
        <v>250</v>
      </c>
      <c r="BD2738" s="6" t="s">
        <v>243</v>
      </c>
      <c r="BE2738" s="5" t="s">
        <v>251</v>
      </c>
      <c r="BF2738" s="5" t="s">
        <v>252</v>
      </c>
      <c r="BG2738" s="5" t="s">
        <v>238</v>
      </c>
      <c r="BH2738" s="7">
        <f>0</f>
        <v>0</v>
      </c>
      <c r="BI2738" s="8">
        <f>0</f>
        <v>0</v>
      </c>
      <c r="BJ2738" s="5" t="s">
        <v>253</v>
      </c>
      <c r="BK2738" s="5" t="s">
        <v>254</v>
      </c>
      <c r="BY2738" s="5" t="s">
        <v>238</v>
      </c>
      <c r="BZ2738" s="5" t="s">
        <v>238</v>
      </c>
      <c r="CD2738" s="5" t="s">
        <v>273</v>
      </c>
      <c r="CE2738" s="5" t="s">
        <v>256</v>
      </c>
      <c r="CF2738" s="5" t="s">
        <v>238</v>
      </c>
      <c r="CI2738" s="6" t="s">
        <v>257</v>
      </c>
      <c r="CJ2738" s="5" t="s">
        <v>238</v>
      </c>
      <c r="CK2738" s="5" t="s">
        <v>258</v>
      </c>
      <c r="CL2738" s="5" t="s">
        <v>238</v>
      </c>
      <c r="CM2738" s="5" t="s">
        <v>238</v>
      </c>
      <c r="CN2738" s="5">
        <v>0</v>
      </c>
      <c r="CO2738" s="5" t="s">
        <v>259</v>
      </c>
      <c r="CP2738" s="5" t="s">
        <v>260</v>
      </c>
      <c r="CQ2738" s="5" t="s">
        <v>260</v>
      </c>
      <c r="CR2738" s="5" t="s">
        <v>261</v>
      </c>
      <c r="CU2738" s="8">
        <f>1</f>
        <v>1</v>
      </c>
      <c r="CV2738" s="8">
        <f>0</f>
        <v>0</v>
      </c>
      <c r="CX2738" s="8">
        <f>0</f>
        <v>0</v>
      </c>
      <c r="CY2738" s="8">
        <f>1</f>
        <v>1</v>
      </c>
      <c r="DA2738" s="5" t="s">
        <v>274</v>
      </c>
      <c r="DB2738" s="5" t="s">
        <v>238</v>
      </c>
      <c r="DD2738" s="5" t="s">
        <v>274</v>
      </c>
      <c r="DE2738" s="8">
        <f>1012</f>
        <v>1012</v>
      </c>
      <c r="DG2738" s="5" t="s">
        <v>238</v>
      </c>
      <c r="DH2738" s="5" t="s">
        <v>238</v>
      </c>
      <c r="DI2738" s="5" t="s">
        <v>238</v>
      </c>
      <c r="DJ2738" s="5" t="s">
        <v>238</v>
      </c>
      <c r="DN2738" s="5" t="s">
        <v>238</v>
      </c>
      <c r="DO2738" s="5" t="s">
        <v>238</v>
      </c>
      <c r="DP2738" s="5" t="s">
        <v>238</v>
      </c>
      <c r="DQ2738" s="5" t="s">
        <v>238</v>
      </c>
      <c r="DT2738" s="5" t="s">
        <v>275</v>
      </c>
      <c r="DU2738" s="5" t="s">
        <v>1491</v>
      </c>
      <c r="HM2738" s="5" t="s">
        <v>264</v>
      </c>
    </row>
    <row r="2739" spans="1:221" x14ac:dyDescent="0.4">
      <c r="A2739" s="5">
        <v>4443</v>
      </c>
      <c r="B2739" s="5">
        <v>1</v>
      </c>
      <c r="C2739" s="5">
        <v>1</v>
      </c>
      <c r="D2739" s="5" t="s">
        <v>269</v>
      </c>
      <c r="E2739" s="5" t="s">
        <v>271</v>
      </c>
      <c r="F2739" s="5" t="s">
        <v>248</v>
      </c>
      <c r="G2739" s="5" t="s">
        <v>266</v>
      </c>
      <c r="H2739" s="6" t="s">
        <v>1484</v>
      </c>
      <c r="I2739" s="7">
        <f>171</f>
        <v>171</v>
      </c>
      <c r="J2739" s="5" t="s">
        <v>262</v>
      </c>
      <c r="K2739" s="8">
        <f>1</f>
        <v>1</v>
      </c>
      <c r="L2739" s="6" t="s">
        <v>242</v>
      </c>
      <c r="M2739" s="5" t="s">
        <v>267</v>
      </c>
      <c r="N2739" s="5" t="s">
        <v>265</v>
      </c>
      <c r="O2739" s="5" t="s">
        <v>238</v>
      </c>
      <c r="P2739" s="5" t="s">
        <v>238</v>
      </c>
      <c r="Q2739" s="5" t="s">
        <v>268</v>
      </c>
      <c r="R2739" s="5" t="s">
        <v>270</v>
      </c>
      <c r="S2739" s="5" t="s">
        <v>238</v>
      </c>
      <c r="V2739" s="5" t="s">
        <v>238</v>
      </c>
      <c r="X2739" s="6" t="s">
        <v>238</v>
      </c>
      <c r="AA2739" s="6" t="s">
        <v>243</v>
      </c>
      <c r="AB2739" s="5" t="s">
        <v>238</v>
      </c>
      <c r="AC2739" s="5" t="s">
        <v>244</v>
      </c>
      <c r="AD2739" s="5" t="s">
        <v>245</v>
      </c>
      <c r="AT2739" s="5" t="s">
        <v>246</v>
      </c>
      <c r="AU2739" s="5" t="s">
        <v>238</v>
      </c>
      <c r="AV2739" s="5" t="s">
        <v>247</v>
      </c>
      <c r="AW2739" s="5" t="s">
        <v>238</v>
      </c>
      <c r="AX2739" s="5" t="s">
        <v>249</v>
      </c>
      <c r="AY2739" s="5" t="s">
        <v>238</v>
      </c>
      <c r="BA2739" s="5" t="s">
        <v>238</v>
      </c>
      <c r="BC2739" s="5" t="s">
        <v>250</v>
      </c>
      <c r="BD2739" s="6" t="s">
        <v>243</v>
      </c>
      <c r="BE2739" s="5" t="s">
        <v>251</v>
      </c>
      <c r="BF2739" s="5" t="s">
        <v>252</v>
      </c>
      <c r="BG2739" s="5" t="s">
        <v>238</v>
      </c>
      <c r="BH2739" s="7">
        <f>0</f>
        <v>0</v>
      </c>
      <c r="BI2739" s="8">
        <f>0</f>
        <v>0</v>
      </c>
      <c r="BJ2739" s="5" t="s">
        <v>253</v>
      </c>
      <c r="BK2739" s="5" t="s">
        <v>254</v>
      </c>
      <c r="BY2739" s="5" t="s">
        <v>238</v>
      </c>
      <c r="BZ2739" s="5" t="s">
        <v>238</v>
      </c>
      <c r="CD2739" s="5" t="s">
        <v>273</v>
      </c>
      <c r="CE2739" s="5" t="s">
        <v>256</v>
      </c>
      <c r="CF2739" s="5" t="s">
        <v>238</v>
      </c>
      <c r="CI2739" s="6" t="s">
        <v>257</v>
      </c>
      <c r="CJ2739" s="5" t="s">
        <v>238</v>
      </c>
      <c r="CK2739" s="5" t="s">
        <v>258</v>
      </c>
      <c r="CL2739" s="5" t="s">
        <v>238</v>
      </c>
      <c r="CM2739" s="5" t="s">
        <v>238</v>
      </c>
      <c r="CN2739" s="5">
        <v>0</v>
      </c>
      <c r="CO2739" s="5" t="s">
        <v>259</v>
      </c>
      <c r="CP2739" s="5" t="s">
        <v>260</v>
      </c>
      <c r="CQ2739" s="5" t="s">
        <v>260</v>
      </c>
      <c r="CR2739" s="5" t="s">
        <v>261</v>
      </c>
      <c r="CU2739" s="8">
        <f>1</f>
        <v>1</v>
      </c>
      <c r="CV2739" s="8">
        <f>0</f>
        <v>0</v>
      </c>
      <c r="CX2739" s="8">
        <f>0</f>
        <v>0</v>
      </c>
      <c r="CY2739" s="8">
        <f>1</f>
        <v>1</v>
      </c>
      <c r="DA2739" s="5" t="s">
        <v>274</v>
      </c>
      <c r="DB2739" s="5" t="s">
        <v>238</v>
      </c>
      <c r="DD2739" s="5" t="s">
        <v>274</v>
      </c>
      <c r="DE2739" s="8">
        <f>171</f>
        <v>171</v>
      </c>
      <c r="DG2739" s="5" t="s">
        <v>238</v>
      </c>
      <c r="DH2739" s="5" t="s">
        <v>238</v>
      </c>
      <c r="DI2739" s="5" t="s">
        <v>238</v>
      </c>
      <c r="DJ2739" s="5" t="s">
        <v>238</v>
      </c>
      <c r="DN2739" s="5" t="s">
        <v>238</v>
      </c>
      <c r="DO2739" s="5" t="s">
        <v>238</v>
      </c>
      <c r="DP2739" s="5" t="s">
        <v>238</v>
      </c>
      <c r="DQ2739" s="5" t="s">
        <v>238</v>
      </c>
      <c r="DT2739" s="5" t="s">
        <v>275</v>
      </c>
      <c r="DU2739" s="5" t="s">
        <v>1485</v>
      </c>
      <c r="HM2739" s="5" t="s">
        <v>264</v>
      </c>
    </row>
    <row r="2740" spans="1:221" x14ac:dyDescent="0.4">
      <c r="A2740" s="5">
        <v>4444</v>
      </c>
      <c r="B2740" s="5">
        <v>1</v>
      </c>
      <c r="C2740" s="5">
        <v>1</v>
      </c>
      <c r="D2740" s="5" t="s">
        <v>269</v>
      </c>
      <c r="E2740" s="5" t="s">
        <v>271</v>
      </c>
      <c r="F2740" s="5" t="s">
        <v>248</v>
      </c>
      <c r="G2740" s="5" t="s">
        <v>266</v>
      </c>
      <c r="H2740" s="6" t="s">
        <v>1477</v>
      </c>
      <c r="I2740" s="7">
        <f>1412</f>
        <v>1412</v>
      </c>
      <c r="J2740" s="5" t="s">
        <v>262</v>
      </c>
      <c r="K2740" s="8">
        <f>1</f>
        <v>1</v>
      </c>
      <c r="L2740" s="6" t="s">
        <v>242</v>
      </c>
      <c r="M2740" s="5" t="s">
        <v>267</v>
      </c>
      <c r="N2740" s="5" t="s">
        <v>265</v>
      </c>
      <c r="O2740" s="5" t="s">
        <v>238</v>
      </c>
      <c r="P2740" s="5" t="s">
        <v>238</v>
      </c>
      <c r="Q2740" s="5" t="s">
        <v>268</v>
      </c>
      <c r="R2740" s="5" t="s">
        <v>270</v>
      </c>
      <c r="S2740" s="5" t="s">
        <v>238</v>
      </c>
      <c r="V2740" s="5" t="s">
        <v>238</v>
      </c>
      <c r="X2740" s="6" t="s">
        <v>238</v>
      </c>
      <c r="AA2740" s="6" t="s">
        <v>243</v>
      </c>
      <c r="AB2740" s="5" t="s">
        <v>238</v>
      </c>
      <c r="AC2740" s="5" t="s">
        <v>244</v>
      </c>
      <c r="AD2740" s="5" t="s">
        <v>245</v>
      </c>
      <c r="AT2740" s="5" t="s">
        <v>246</v>
      </c>
      <c r="AU2740" s="5" t="s">
        <v>238</v>
      </c>
      <c r="AV2740" s="5" t="s">
        <v>247</v>
      </c>
      <c r="AW2740" s="5" t="s">
        <v>238</v>
      </c>
      <c r="AX2740" s="5" t="s">
        <v>249</v>
      </c>
      <c r="AY2740" s="5" t="s">
        <v>238</v>
      </c>
      <c r="BA2740" s="5" t="s">
        <v>238</v>
      </c>
      <c r="BC2740" s="5" t="s">
        <v>250</v>
      </c>
      <c r="BD2740" s="6" t="s">
        <v>243</v>
      </c>
      <c r="BE2740" s="5" t="s">
        <v>251</v>
      </c>
      <c r="BF2740" s="5" t="s">
        <v>252</v>
      </c>
      <c r="BG2740" s="5" t="s">
        <v>238</v>
      </c>
      <c r="BH2740" s="7">
        <f>0</f>
        <v>0</v>
      </c>
      <c r="BI2740" s="8">
        <f>0</f>
        <v>0</v>
      </c>
      <c r="BJ2740" s="5" t="s">
        <v>253</v>
      </c>
      <c r="BK2740" s="5" t="s">
        <v>254</v>
      </c>
      <c r="BY2740" s="5" t="s">
        <v>238</v>
      </c>
      <c r="BZ2740" s="5" t="s">
        <v>238</v>
      </c>
      <c r="CD2740" s="5" t="s">
        <v>273</v>
      </c>
      <c r="CE2740" s="5" t="s">
        <v>256</v>
      </c>
      <c r="CF2740" s="5" t="s">
        <v>238</v>
      </c>
      <c r="CI2740" s="6" t="s">
        <v>257</v>
      </c>
      <c r="CJ2740" s="5" t="s">
        <v>238</v>
      </c>
      <c r="CK2740" s="5" t="s">
        <v>258</v>
      </c>
      <c r="CL2740" s="5" t="s">
        <v>238</v>
      </c>
      <c r="CM2740" s="5" t="s">
        <v>238</v>
      </c>
      <c r="CN2740" s="5">
        <v>0</v>
      </c>
      <c r="CO2740" s="5" t="s">
        <v>259</v>
      </c>
      <c r="CP2740" s="5" t="s">
        <v>260</v>
      </c>
      <c r="CQ2740" s="5" t="s">
        <v>260</v>
      </c>
      <c r="CR2740" s="5" t="s">
        <v>261</v>
      </c>
      <c r="CU2740" s="8">
        <f>1</f>
        <v>1</v>
      </c>
      <c r="CV2740" s="8">
        <f>0</f>
        <v>0</v>
      </c>
      <c r="CX2740" s="8">
        <f>0</f>
        <v>0</v>
      </c>
      <c r="CY2740" s="8">
        <f>1</f>
        <v>1</v>
      </c>
      <c r="DA2740" s="5" t="s">
        <v>274</v>
      </c>
      <c r="DB2740" s="5" t="s">
        <v>238</v>
      </c>
      <c r="DD2740" s="5" t="s">
        <v>274</v>
      </c>
      <c r="DE2740" s="8">
        <f>1412</f>
        <v>1412</v>
      </c>
      <c r="DG2740" s="5" t="s">
        <v>238</v>
      </c>
      <c r="DH2740" s="5" t="s">
        <v>238</v>
      </c>
      <c r="DI2740" s="5" t="s">
        <v>238</v>
      </c>
      <c r="DJ2740" s="5" t="s">
        <v>238</v>
      </c>
      <c r="DN2740" s="5" t="s">
        <v>238</v>
      </c>
      <c r="DO2740" s="5" t="s">
        <v>238</v>
      </c>
      <c r="DP2740" s="5" t="s">
        <v>238</v>
      </c>
      <c r="DQ2740" s="5" t="s">
        <v>238</v>
      </c>
      <c r="DT2740" s="5" t="s">
        <v>275</v>
      </c>
      <c r="DU2740" s="5" t="s">
        <v>1478</v>
      </c>
      <c r="HM2740" s="5" t="s">
        <v>264</v>
      </c>
    </row>
    <row r="2741" spans="1:221" x14ac:dyDescent="0.4">
      <c r="A2741" s="5">
        <v>4445</v>
      </c>
      <c r="B2741" s="5">
        <v>1</v>
      </c>
      <c r="C2741" s="5">
        <v>1</v>
      </c>
      <c r="D2741" s="5" t="s">
        <v>269</v>
      </c>
      <c r="E2741" s="5" t="s">
        <v>271</v>
      </c>
      <c r="F2741" s="5" t="s">
        <v>248</v>
      </c>
      <c r="G2741" s="5" t="s">
        <v>266</v>
      </c>
      <c r="H2741" s="6" t="s">
        <v>1473</v>
      </c>
      <c r="I2741" s="7">
        <f>206</f>
        <v>206</v>
      </c>
      <c r="J2741" s="5" t="s">
        <v>262</v>
      </c>
      <c r="K2741" s="8">
        <f>1</f>
        <v>1</v>
      </c>
      <c r="L2741" s="6" t="s">
        <v>242</v>
      </c>
      <c r="M2741" s="5" t="s">
        <v>267</v>
      </c>
      <c r="N2741" s="5" t="s">
        <v>265</v>
      </c>
      <c r="O2741" s="5" t="s">
        <v>238</v>
      </c>
      <c r="P2741" s="5" t="s">
        <v>238</v>
      </c>
      <c r="Q2741" s="5" t="s">
        <v>268</v>
      </c>
      <c r="R2741" s="5" t="s">
        <v>270</v>
      </c>
      <c r="S2741" s="5" t="s">
        <v>238</v>
      </c>
      <c r="V2741" s="5" t="s">
        <v>238</v>
      </c>
      <c r="X2741" s="6" t="s">
        <v>238</v>
      </c>
      <c r="AA2741" s="6" t="s">
        <v>243</v>
      </c>
      <c r="AB2741" s="5" t="s">
        <v>238</v>
      </c>
      <c r="AC2741" s="5" t="s">
        <v>244</v>
      </c>
      <c r="AD2741" s="5" t="s">
        <v>245</v>
      </c>
      <c r="AT2741" s="5" t="s">
        <v>246</v>
      </c>
      <c r="AU2741" s="5" t="s">
        <v>238</v>
      </c>
      <c r="AV2741" s="5" t="s">
        <v>247</v>
      </c>
      <c r="AW2741" s="5" t="s">
        <v>238</v>
      </c>
      <c r="AX2741" s="5" t="s">
        <v>249</v>
      </c>
      <c r="AY2741" s="5" t="s">
        <v>238</v>
      </c>
      <c r="BA2741" s="5" t="s">
        <v>238</v>
      </c>
      <c r="BC2741" s="5" t="s">
        <v>250</v>
      </c>
      <c r="BD2741" s="6" t="s">
        <v>243</v>
      </c>
      <c r="BE2741" s="5" t="s">
        <v>251</v>
      </c>
      <c r="BF2741" s="5" t="s">
        <v>252</v>
      </c>
      <c r="BG2741" s="5" t="s">
        <v>238</v>
      </c>
      <c r="BH2741" s="7">
        <f>0</f>
        <v>0</v>
      </c>
      <c r="BI2741" s="8">
        <f>0</f>
        <v>0</v>
      </c>
      <c r="BJ2741" s="5" t="s">
        <v>253</v>
      </c>
      <c r="BK2741" s="5" t="s">
        <v>254</v>
      </c>
      <c r="BY2741" s="5" t="s">
        <v>238</v>
      </c>
      <c r="BZ2741" s="5" t="s">
        <v>238</v>
      </c>
      <c r="CD2741" s="5" t="s">
        <v>273</v>
      </c>
      <c r="CE2741" s="5" t="s">
        <v>256</v>
      </c>
      <c r="CF2741" s="5" t="s">
        <v>238</v>
      </c>
      <c r="CI2741" s="6" t="s">
        <v>257</v>
      </c>
      <c r="CJ2741" s="5" t="s">
        <v>238</v>
      </c>
      <c r="CK2741" s="5" t="s">
        <v>258</v>
      </c>
      <c r="CL2741" s="5" t="s">
        <v>238</v>
      </c>
      <c r="CM2741" s="5" t="s">
        <v>238</v>
      </c>
      <c r="CN2741" s="5">
        <v>0</v>
      </c>
      <c r="CO2741" s="5" t="s">
        <v>259</v>
      </c>
      <c r="CP2741" s="5" t="s">
        <v>260</v>
      </c>
      <c r="CQ2741" s="5" t="s">
        <v>260</v>
      </c>
      <c r="CR2741" s="5" t="s">
        <v>261</v>
      </c>
      <c r="CU2741" s="8">
        <f>1</f>
        <v>1</v>
      </c>
      <c r="CV2741" s="8">
        <f>0</f>
        <v>0</v>
      </c>
      <c r="CX2741" s="8">
        <f>0</f>
        <v>0</v>
      </c>
      <c r="CY2741" s="8">
        <f>1</f>
        <v>1</v>
      </c>
      <c r="DA2741" s="5" t="s">
        <v>274</v>
      </c>
      <c r="DB2741" s="5" t="s">
        <v>238</v>
      </c>
      <c r="DD2741" s="5" t="s">
        <v>274</v>
      </c>
      <c r="DE2741" s="8">
        <f>206</f>
        <v>206</v>
      </c>
      <c r="DG2741" s="5" t="s">
        <v>238</v>
      </c>
      <c r="DH2741" s="5" t="s">
        <v>238</v>
      </c>
      <c r="DI2741" s="5" t="s">
        <v>238</v>
      </c>
      <c r="DJ2741" s="5" t="s">
        <v>238</v>
      </c>
      <c r="DN2741" s="5" t="s">
        <v>238</v>
      </c>
      <c r="DO2741" s="5" t="s">
        <v>238</v>
      </c>
      <c r="DP2741" s="5" t="s">
        <v>238</v>
      </c>
      <c r="DQ2741" s="5" t="s">
        <v>238</v>
      </c>
      <c r="DT2741" s="5" t="s">
        <v>275</v>
      </c>
      <c r="DU2741" s="5" t="s">
        <v>1474</v>
      </c>
      <c r="HM2741" s="5" t="s">
        <v>264</v>
      </c>
    </row>
    <row r="2742" spans="1:221" x14ac:dyDescent="0.4">
      <c r="A2742" s="5">
        <v>4446</v>
      </c>
      <c r="B2742" s="5">
        <v>1</v>
      </c>
      <c r="C2742" s="5">
        <v>1</v>
      </c>
      <c r="D2742" s="5" t="s">
        <v>269</v>
      </c>
      <c r="E2742" s="5" t="s">
        <v>271</v>
      </c>
      <c r="F2742" s="5" t="s">
        <v>248</v>
      </c>
      <c r="G2742" s="5" t="s">
        <v>266</v>
      </c>
      <c r="H2742" s="6" t="s">
        <v>1464</v>
      </c>
      <c r="I2742" s="7">
        <f>848</f>
        <v>848</v>
      </c>
      <c r="J2742" s="5" t="s">
        <v>262</v>
      </c>
      <c r="K2742" s="8">
        <f>1</f>
        <v>1</v>
      </c>
      <c r="L2742" s="6" t="s">
        <v>242</v>
      </c>
      <c r="M2742" s="5" t="s">
        <v>267</v>
      </c>
      <c r="N2742" s="5" t="s">
        <v>265</v>
      </c>
      <c r="O2742" s="5" t="s">
        <v>238</v>
      </c>
      <c r="P2742" s="5" t="s">
        <v>238</v>
      </c>
      <c r="Q2742" s="5" t="s">
        <v>268</v>
      </c>
      <c r="R2742" s="5" t="s">
        <v>270</v>
      </c>
      <c r="S2742" s="5" t="s">
        <v>238</v>
      </c>
      <c r="V2742" s="5" t="s">
        <v>238</v>
      </c>
      <c r="X2742" s="6" t="s">
        <v>238</v>
      </c>
      <c r="AA2742" s="6" t="s">
        <v>243</v>
      </c>
      <c r="AB2742" s="5" t="s">
        <v>238</v>
      </c>
      <c r="AC2742" s="5" t="s">
        <v>244</v>
      </c>
      <c r="AD2742" s="5" t="s">
        <v>245</v>
      </c>
      <c r="AT2742" s="5" t="s">
        <v>246</v>
      </c>
      <c r="AU2742" s="5" t="s">
        <v>238</v>
      </c>
      <c r="AV2742" s="5" t="s">
        <v>247</v>
      </c>
      <c r="AW2742" s="5" t="s">
        <v>238</v>
      </c>
      <c r="AX2742" s="5" t="s">
        <v>249</v>
      </c>
      <c r="AY2742" s="5" t="s">
        <v>238</v>
      </c>
      <c r="BA2742" s="5" t="s">
        <v>238</v>
      </c>
      <c r="BC2742" s="5" t="s">
        <v>250</v>
      </c>
      <c r="BD2742" s="6" t="s">
        <v>243</v>
      </c>
      <c r="BE2742" s="5" t="s">
        <v>251</v>
      </c>
      <c r="BF2742" s="5" t="s">
        <v>252</v>
      </c>
      <c r="BG2742" s="5" t="s">
        <v>238</v>
      </c>
      <c r="BH2742" s="7">
        <f>0</f>
        <v>0</v>
      </c>
      <c r="BI2742" s="8">
        <f>0</f>
        <v>0</v>
      </c>
      <c r="BJ2742" s="5" t="s">
        <v>253</v>
      </c>
      <c r="BK2742" s="5" t="s">
        <v>254</v>
      </c>
      <c r="BY2742" s="5" t="s">
        <v>238</v>
      </c>
      <c r="BZ2742" s="5" t="s">
        <v>238</v>
      </c>
      <c r="CD2742" s="5" t="s">
        <v>273</v>
      </c>
      <c r="CE2742" s="5" t="s">
        <v>256</v>
      </c>
      <c r="CF2742" s="5" t="s">
        <v>238</v>
      </c>
      <c r="CI2742" s="6" t="s">
        <v>257</v>
      </c>
      <c r="CJ2742" s="5" t="s">
        <v>238</v>
      </c>
      <c r="CK2742" s="5" t="s">
        <v>258</v>
      </c>
      <c r="CL2742" s="5" t="s">
        <v>238</v>
      </c>
      <c r="CM2742" s="5" t="s">
        <v>238</v>
      </c>
      <c r="CN2742" s="5">
        <v>0</v>
      </c>
      <c r="CO2742" s="5" t="s">
        <v>259</v>
      </c>
      <c r="CP2742" s="5" t="s">
        <v>260</v>
      </c>
      <c r="CQ2742" s="5" t="s">
        <v>260</v>
      </c>
      <c r="CR2742" s="5" t="s">
        <v>261</v>
      </c>
      <c r="CU2742" s="8">
        <f>1</f>
        <v>1</v>
      </c>
      <c r="CV2742" s="8">
        <f>0</f>
        <v>0</v>
      </c>
      <c r="CX2742" s="8">
        <f>0</f>
        <v>0</v>
      </c>
      <c r="CY2742" s="8">
        <f>1</f>
        <v>1</v>
      </c>
      <c r="DA2742" s="5" t="s">
        <v>274</v>
      </c>
      <c r="DB2742" s="5" t="s">
        <v>238</v>
      </c>
      <c r="DD2742" s="5" t="s">
        <v>274</v>
      </c>
      <c r="DE2742" s="8">
        <f>848</f>
        <v>848</v>
      </c>
      <c r="DG2742" s="5" t="s">
        <v>238</v>
      </c>
      <c r="DH2742" s="5" t="s">
        <v>238</v>
      </c>
      <c r="DI2742" s="5" t="s">
        <v>238</v>
      </c>
      <c r="DJ2742" s="5" t="s">
        <v>238</v>
      </c>
      <c r="DN2742" s="5" t="s">
        <v>238</v>
      </c>
      <c r="DO2742" s="5" t="s">
        <v>238</v>
      </c>
      <c r="DP2742" s="5" t="s">
        <v>238</v>
      </c>
      <c r="DQ2742" s="5" t="s">
        <v>238</v>
      </c>
      <c r="DT2742" s="5" t="s">
        <v>275</v>
      </c>
      <c r="DU2742" s="5" t="s">
        <v>1465</v>
      </c>
      <c r="HM2742" s="5" t="s">
        <v>264</v>
      </c>
    </row>
    <row r="2743" spans="1:221" x14ac:dyDescent="0.4">
      <c r="A2743" s="5">
        <v>4447</v>
      </c>
      <c r="B2743" s="5">
        <v>1</v>
      </c>
      <c r="C2743" s="5">
        <v>1</v>
      </c>
      <c r="D2743" s="5" t="s">
        <v>269</v>
      </c>
      <c r="E2743" s="5" t="s">
        <v>271</v>
      </c>
      <c r="F2743" s="5" t="s">
        <v>248</v>
      </c>
      <c r="G2743" s="5" t="s">
        <v>266</v>
      </c>
      <c r="H2743" s="6" t="s">
        <v>1458</v>
      </c>
      <c r="I2743" s="7">
        <f>1618</f>
        <v>1618</v>
      </c>
      <c r="J2743" s="5" t="s">
        <v>262</v>
      </c>
      <c r="K2743" s="8">
        <f>1</f>
        <v>1</v>
      </c>
      <c r="L2743" s="6" t="s">
        <v>242</v>
      </c>
      <c r="M2743" s="5" t="s">
        <v>267</v>
      </c>
      <c r="N2743" s="5" t="s">
        <v>265</v>
      </c>
      <c r="O2743" s="5" t="s">
        <v>238</v>
      </c>
      <c r="P2743" s="5" t="s">
        <v>238</v>
      </c>
      <c r="Q2743" s="5" t="s">
        <v>268</v>
      </c>
      <c r="R2743" s="5" t="s">
        <v>270</v>
      </c>
      <c r="S2743" s="5" t="s">
        <v>238</v>
      </c>
      <c r="V2743" s="5" t="s">
        <v>238</v>
      </c>
      <c r="X2743" s="6" t="s">
        <v>238</v>
      </c>
      <c r="AA2743" s="6" t="s">
        <v>243</v>
      </c>
      <c r="AB2743" s="5" t="s">
        <v>238</v>
      </c>
      <c r="AC2743" s="5" t="s">
        <v>244</v>
      </c>
      <c r="AD2743" s="5" t="s">
        <v>245</v>
      </c>
      <c r="AT2743" s="5" t="s">
        <v>246</v>
      </c>
      <c r="AU2743" s="5" t="s">
        <v>238</v>
      </c>
      <c r="AV2743" s="5" t="s">
        <v>247</v>
      </c>
      <c r="AW2743" s="5" t="s">
        <v>238</v>
      </c>
      <c r="AX2743" s="5" t="s">
        <v>249</v>
      </c>
      <c r="AY2743" s="5" t="s">
        <v>238</v>
      </c>
      <c r="BA2743" s="5" t="s">
        <v>238</v>
      </c>
      <c r="BC2743" s="5" t="s">
        <v>250</v>
      </c>
      <c r="BD2743" s="6" t="s">
        <v>243</v>
      </c>
      <c r="BE2743" s="5" t="s">
        <v>251</v>
      </c>
      <c r="BF2743" s="5" t="s">
        <v>252</v>
      </c>
      <c r="BG2743" s="5" t="s">
        <v>238</v>
      </c>
      <c r="BH2743" s="7">
        <f>0</f>
        <v>0</v>
      </c>
      <c r="BI2743" s="8">
        <f>0</f>
        <v>0</v>
      </c>
      <c r="BJ2743" s="5" t="s">
        <v>253</v>
      </c>
      <c r="BK2743" s="5" t="s">
        <v>254</v>
      </c>
      <c r="BY2743" s="5" t="s">
        <v>238</v>
      </c>
      <c r="BZ2743" s="5" t="s">
        <v>238</v>
      </c>
      <c r="CD2743" s="5" t="s">
        <v>273</v>
      </c>
      <c r="CE2743" s="5" t="s">
        <v>256</v>
      </c>
      <c r="CF2743" s="5" t="s">
        <v>238</v>
      </c>
      <c r="CI2743" s="6" t="s">
        <v>257</v>
      </c>
      <c r="CJ2743" s="5" t="s">
        <v>238</v>
      </c>
      <c r="CK2743" s="5" t="s">
        <v>258</v>
      </c>
      <c r="CL2743" s="5" t="s">
        <v>238</v>
      </c>
      <c r="CM2743" s="5" t="s">
        <v>238</v>
      </c>
      <c r="CN2743" s="5">
        <v>0</v>
      </c>
      <c r="CO2743" s="5" t="s">
        <v>259</v>
      </c>
      <c r="CP2743" s="5" t="s">
        <v>260</v>
      </c>
      <c r="CQ2743" s="5" t="s">
        <v>260</v>
      </c>
      <c r="CR2743" s="5" t="s">
        <v>261</v>
      </c>
      <c r="CU2743" s="8">
        <f>1</f>
        <v>1</v>
      </c>
      <c r="CV2743" s="8">
        <f>0</f>
        <v>0</v>
      </c>
      <c r="CX2743" s="8">
        <f>0</f>
        <v>0</v>
      </c>
      <c r="CY2743" s="8">
        <f>1</f>
        <v>1</v>
      </c>
      <c r="DA2743" s="5" t="s">
        <v>274</v>
      </c>
      <c r="DB2743" s="5" t="s">
        <v>238</v>
      </c>
      <c r="DD2743" s="5" t="s">
        <v>274</v>
      </c>
      <c r="DE2743" s="8">
        <f>1618</f>
        <v>1618</v>
      </c>
      <c r="DG2743" s="5" t="s">
        <v>238</v>
      </c>
      <c r="DH2743" s="5" t="s">
        <v>238</v>
      </c>
      <c r="DI2743" s="5" t="s">
        <v>238</v>
      </c>
      <c r="DJ2743" s="5" t="s">
        <v>238</v>
      </c>
      <c r="DN2743" s="5" t="s">
        <v>238</v>
      </c>
      <c r="DO2743" s="5" t="s">
        <v>238</v>
      </c>
      <c r="DP2743" s="5" t="s">
        <v>238</v>
      </c>
      <c r="DQ2743" s="5" t="s">
        <v>238</v>
      </c>
      <c r="DT2743" s="5" t="s">
        <v>275</v>
      </c>
      <c r="DU2743" s="5" t="s">
        <v>1459</v>
      </c>
      <c r="HM2743" s="5" t="s">
        <v>264</v>
      </c>
    </row>
    <row r="2744" spans="1:221" x14ac:dyDescent="0.4">
      <c r="A2744" s="5">
        <v>4448</v>
      </c>
      <c r="B2744" s="5">
        <v>1</v>
      </c>
      <c r="C2744" s="5">
        <v>1</v>
      </c>
      <c r="D2744" s="5" t="s">
        <v>269</v>
      </c>
      <c r="E2744" s="5" t="s">
        <v>271</v>
      </c>
      <c r="F2744" s="5" t="s">
        <v>248</v>
      </c>
      <c r="G2744" s="5" t="s">
        <v>266</v>
      </c>
      <c r="H2744" s="6" t="s">
        <v>1456</v>
      </c>
      <c r="I2744" s="7">
        <f>394</f>
        <v>394</v>
      </c>
      <c r="J2744" s="5" t="s">
        <v>262</v>
      </c>
      <c r="K2744" s="8">
        <f>1</f>
        <v>1</v>
      </c>
      <c r="L2744" s="6" t="s">
        <v>242</v>
      </c>
      <c r="M2744" s="5" t="s">
        <v>267</v>
      </c>
      <c r="N2744" s="5" t="s">
        <v>265</v>
      </c>
      <c r="O2744" s="5" t="s">
        <v>238</v>
      </c>
      <c r="P2744" s="5" t="s">
        <v>238</v>
      </c>
      <c r="Q2744" s="5" t="s">
        <v>268</v>
      </c>
      <c r="R2744" s="5" t="s">
        <v>270</v>
      </c>
      <c r="S2744" s="5" t="s">
        <v>238</v>
      </c>
      <c r="V2744" s="5" t="s">
        <v>238</v>
      </c>
      <c r="X2744" s="6" t="s">
        <v>238</v>
      </c>
      <c r="AA2744" s="6" t="s">
        <v>243</v>
      </c>
      <c r="AB2744" s="5" t="s">
        <v>238</v>
      </c>
      <c r="AC2744" s="5" t="s">
        <v>244</v>
      </c>
      <c r="AD2744" s="5" t="s">
        <v>245</v>
      </c>
      <c r="AT2744" s="5" t="s">
        <v>246</v>
      </c>
      <c r="AU2744" s="5" t="s">
        <v>238</v>
      </c>
      <c r="AV2744" s="5" t="s">
        <v>247</v>
      </c>
      <c r="AW2744" s="5" t="s">
        <v>238</v>
      </c>
      <c r="AX2744" s="5" t="s">
        <v>249</v>
      </c>
      <c r="AY2744" s="5" t="s">
        <v>238</v>
      </c>
      <c r="BA2744" s="5" t="s">
        <v>238</v>
      </c>
      <c r="BC2744" s="5" t="s">
        <v>250</v>
      </c>
      <c r="BD2744" s="6" t="s">
        <v>243</v>
      </c>
      <c r="BE2744" s="5" t="s">
        <v>251</v>
      </c>
      <c r="BF2744" s="5" t="s">
        <v>252</v>
      </c>
      <c r="BG2744" s="5" t="s">
        <v>238</v>
      </c>
      <c r="BH2744" s="7">
        <f>0</f>
        <v>0</v>
      </c>
      <c r="BI2744" s="8">
        <f>0</f>
        <v>0</v>
      </c>
      <c r="BJ2744" s="5" t="s">
        <v>253</v>
      </c>
      <c r="BK2744" s="5" t="s">
        <v>254</v>
      </c>
      <c r="BY2744" s="5" t="s">
        <v>238</v>
      </c>
      <c r="BZ2744" s="5" t="s">
        <v>238</v>
      </c>
      <c r="CD2744" s="5" t="s">
        <v>273</v>
      </c>
      <c r="CE2744" s="5" t="s">
        <v>256</v>
      </c>
      <c r="CF2744" s="5" t="s">
        <v>238</v>
      </c>
      <c r="CI2744" s="6" t="s">
        <v>257</v>
      </c>
      <c r="CJ2744" s="5" t="s">
        <v>238</v>
      </c>
      <c r="CK2744" s="5" t="s">
        <v>258</v>
      </c>
      <c r="CL2744" s="5" t="s">
        <v>238</v>
      </c>
      <c r="CM2744" s="5" t="s">
        <v>238</v>
      </c>
      <c r="CN2744" s="5">
        <v>0</v>
      </c>
      <c r="CO2744" s="5" t="s">
        <v>259</v>
      </c>
      <c r="CP2744" s="5" t="s">
        <v>260</v>
      </c>
      <c r="CQ2744" s="5" t="s">
        <v>260</v>
      </c>
      <c r="CR2744" s="5" t="s">
        <v>261</v>
      </c>
      <c r="CU2744" s="8">
        <f>1</f>
        <v>1</v>
      </c>
      <c r="CV2744" s="8">
        <f>0</f>
        <v>0</v>
      </c>
      <c r="CX2744" s="8">
        <f>0</f>
        <v>0</v>
      </c>
      <c r="CY2744" s="8">
        <f>1</f>
        <v>1</v>
      </c>
      <c r="DA2744" s="5" t="s">
        <v>274</v>
      </c>
      <c r="DB2744" s="5" t="s">
        <v>238</v>
      </c>
      <c r="DD2744" s="5" t="s">
        <v>274</v>
      </c>
      <c r="DE2744" s="8">
        <f>394</f>
        <v>394</v>
      </c>
      <c r="DG2744" s="5" t="s">
        <v>238</v>
      </c>
      <c r="DH2744" s="5" t="s">
        <v>238</v>
      </c>
      <c r="DI2744" s="5" t="s">
        <v>238</v>
      </c>
      <c r="DJ2744" s="5" t="s">
        <v>238</v>
      </c>
      <c r="DN2744" s="5" t="s">
        <v>238</v>
      </c>
      <c r="DO2744" s="5" t="s">
        <v>238</v>
      </c>
      <c r="DP2744" s="5" t="s">
        <v>238</v>
      </c>
      <c r="DQ2744" s="5" t="s">
        <v>238</v>
      </c>
      <c r="DT2744" s="5" t="s">
        <v>275</v>
      </c>
      <c r="DU2744" s="5" t="s">
        <v>1457</v>
      </c>
      <c r="HM2744" s="5" t="s">
        <v>264</v>
      </c>
    </row>
    <row r="2745" spans="1:221" x14ac:dyDescent="0.4">
      <c r="A2745" s="5">
        <v>4449</v>
      </c>
      <c r="B2745" s="5">
        <v>1</v>
      </c>
      <c r="C2745" s="5">
        <v>1</v>
      </c>
      <c r="D2745" s="5" t="s">
        <v>269</v>
      </c>
      <c r="E2745" s="5" t="s">
        <v>271</v>
      </c>
      <c r="F2745" s="5" t="s">
        <v>248</v>
      </c>
      <c r="G2745" s="5" t="s">
        <v>266</v>
      </c>
      <c r="H2745" s="6" t="s">
        <v>1451</v>
      </c>
      <c r="I2745" s="7">
        <f>105</f>
        <v>105</v>
      </c>
      <c r="J2745" s="5" t="s">
        <v>262</v>
      </c>
      <c r="K2745" s="8">
        <f>1</f>
        <v>1</v>
      </c>
      <c r="L2745" s="6" t="s">
        <v>242</v>
      </c>
      <c r="M2745" s="5" t="s">
        <v>267</v>
      </c>
      <c r="N2745" s="5" t="s">
        <v>265</v>
      </c>
      <c r="O2745" s="5" t="s">
        <v>238</v>
      </c>
      <c r="P2745" s="5" t="s">
        <v>238</v>
      </c>
      <c r="Q2745" s="5" t="s">
        <v>268</v>
      </c>
      <c r="R2745" s="5" t="s">
        <v>270</v>
      </c>
      <c r="S2745" s="5" t="s">
        <v>238</v>
      </c>
      <c r="V2745" s="5" t="s">
        <v>238</v>
      </c>
      <c r="X2745" s="6" t="s">
        <v>238</v>
      </c>
      <c r="AA2745" s="6" t="s">
        <v>243</v>
      </c>
      <c r="AB2745" s="5" t="s">
        <v>238</v>
      </c>
      <c r="AC2745" s="5" t="s">
        <v>244</v>
      </c>
      <c r="AD2745" s="5" t="s">
        <v>245</v>
      </c>
      <c r="AT2745" s="5" t="s">
        <v>246</v>
      </c>
      <c r="AU2745" s="5" t="s">
        <v>238</v>
      </c>
      <c r="AV2745" s="5" t="s">
        <v>247</v>
      </c>
      <c r="AW2745" s="5" t="s">
        <v>238</v>
      </c>
      <c r="AX2745" s="5" t="s">
        <v>249</v>
      </c>
      <c r="AY2745" s="5" t="s">
        <v>238</v>
      </c>
      <c r="BA2745" s="5" t="s">
        <v>238</v>
      </c>
      <c r="BC2745" s="5" t="s">
        <v>250</v>
      </c>
      <c r="BD2745" s="6" t="s">
        <v>243</v>
      </c>
      <c r="BE2745" s="5" t="s">
        <v>251</v>
      </c>
      <c r="BF2745" s="5" t="s">
        <v>252</v>
      </c>
      <c r="BG2745" s="5" t="s">
        <v>238</v>
      </c>
      <c r="BH2745" s="7">
        <f>0</f>
        <v>0</v>
      </c>
      <c r="BI2745" s="8">
        <f>0</f>
        <v>0</v>
      </c>
      <c r="BJ2745" s="5" t="s">
        <v>253</v>
      </c>
      <c r="BK2745" s="5" t="s">
        <v>254</v>
      </c>
      <c r="BY2745" s="5" t="s">
        <v>238</v>
      </c>
      <c r="BZ2745" s="5" t="s">
        <v>238</v>
      </c>
      <c r="CD2745" s="5" t="s">
        <v>273</v>
      </c>
      <c r="CE2745" s="5" t="s">
        <v>256</v>
      </c>
      <c r="CF2745" s="5" t="s">
        <v>238</v>
      </c>
      <c r="CI2745" s="6" t="s">
        <v>257</v>
      </c>
      <c r="CJ2745" s="5" t="s">
        <v>238</v>
      </c>
      <c r="CK2745" s="5" t="s">
        <v>258</v>
      </c>
      <c r="CL2745" s="5" t="s">
        <v>238</v>
      </c>
      <c r="CM2745" s="5" t="s">
        <v>238</v>
      </c>
      <c r="CN2745" s="5">
        <v>0</v>
      </c>
      <c r="CO2745" s="5" t="s">
        <v>259</v>
      </c>
      <c r="CP2745" s="5" t="s">
        <v>260</v>
      </c>
      <c r="CQ2745" s="5" t="s">
        <v>260</v>
      </c>
      <c r="CR2745" s="5" t="s">
        <v>261</v>
      </c>
      <c r="CU2745" s="8">
        <f>1</f>
        <v>1</v>
      </c>
      <c r="CV2745" s="8">
        <f>0</f>
        <v>0</v>
      </c>
      <c r="CX2745" s="8">
        <f>0</f>
        <v>0</v>
      </c>
      <c r="CY2745" s="8">
        <f>1</f>
        <v>1</v>
      </c>
      <c r="DA2745" s="5" t="s">
        <v>274</v>
      </c>
      <c r="DB2745" s="5" t="s">
        <v>238</v>
      </c>
      <c r="DD2745" s="5" t="s">
        <v>274</v>
      </c>
      <c r="DE2745" s="8">
        <f>105</f>
        <v>105</v>
      </c>
      <c r="DG2745" s="5" t="s">
        <v>238</v>
      </c>
      <c r="DH2745" s="5" t="s">
        <v>238</v>
      </c>
      <c r="DI2745" s="5" t="s">
        <v>238</v>
      </c>
      <c r="DJ2745" s="5" t="s">
        <v>238</v>
      </c>
      <c r="DN2745" s="5" t="s">
        <v>238</v>
      </c>
      <c r="DO2745" s="5" t="s">
        <v>238</v>
      </c>
      <c r="DP2745" s="5" t="s">
        <v>238</v>
      </c>
      <c r="DQ2745" s="5" t="s">
        <v>238</v>
      </c>
      <c r="DT2745" s="5" t="s">
        <v>275</v>
      </c>
      <c r="DU2745" s="5" t="s">
        <v>1452</v>
      </c>
      <c r="HM2745" s="5" t="s">
        <v>264</v>
      </c>
    </row>
    <row r="2746" spans="1:221" x14ac:dyDescent="0.4">
      <c r="A2746" s="5">
        <v>4450</v>
      </c>
      <c r="B2746" s="5">
        <v>1</v>
      </c>
      <c r="C2746" s="5">
        <v>1</v>
      </c>
      <c r="D2746" s="5" t="s">
        <v>269</v>
      </c>
      <c r="E2746" s="5" t="s">
        <v>271</v>
      </c>
      <c r="F2746" s="5" t="s">
        <v>248</v>
      </c>
      <c r="G2746" s="5" t="s">
        <v>266</v>
      </c>
      <c r="H2746" s="6" t="s">
        <v>1446</v>
      </c>
      <c r="I2746" s="7">
        <f>368</f>
        <v>368</v>
      </c>
      <c r="J2746" s="5" t="s">
        <v>262</v>
      </c>
      <c r="K2746" s="8">
        <f>1</f>
        <v>1</v>
      </c>
      <c r="L2746" s="6" t="s">
        <v>242</v>
      </c>
      <c r="M2746" s="5" t="s">
        <v>267</v>
      </c>
      <c r="N2746" s="5" t="s">
        <v>265</v>
      </c>
      <c r="O2746" s="5" t="s">
        <v>238</v>
      </c>
      <c r="P2746" s="5" t="s">
        <v>238</v>
      </c>
      <c r="Q2746" s="5" t="s">
        <v>268</v>
      </c>
      <c r="R2746" s="5" t="s">
        <v>270</v>
      </c>
      <c r="S2746" s="5" t="s">
        <v>238</v>
      </c>
      <c r="V2746" s="5" t="s">
        <v>238</v>
      </c>
      <c r="X2746" s="6" t="s">
        <v>238</v>
      </c>
      <c r="AA2746" s="6" t="s">
        <v>243</v>
      </c>
      <c r="AB2746" s="5" t="s">
        <v>238</v>
      </c>
      <c r="AC2746" s="5" t="s">
        <v>244</v>
      </c>
      <c r="AD2746" s="5" t="s">
        <v>245</v>
      </c>
      <c r="AT2746" s="5" t="s">
        <v>246</v>
      </c>
      <c r="AU2746" s="5" t="s">
        <v>238</v>
      </c>
      <c r="AV2746" s="5" t="s">
        <v>247</v>
      </c>
      <c r="AW2746" s="5" t="s">
        <v>238</v>
      </c>
      <c r="AX2746" s="5" t="s">
        <v>249</v>
      </c>
      <c r="AY2746" s="5" t="s">
        <v>238</v>
      </c>
      <c r="BA2746" s="5" t="s">
        <v>238</v>
      </c>
      <c r="BC2746" s="5" t="s">
        <v>250</v>
      </c>
      <c r="BD2746" s="6" t="s">
        <v>243</v>
      </c>
      <c r="BE2746" s="5" t="s">
        <v>251</v>
      </c>
      <c r="BF2746" s="5" t="s">
        <v>252</v>
      </c>
      <c r="BG2746" s="5" t="s">
        <v>238</v>
      </c>
      <c r="BH2746" s="7">
        <f>0</f>
        <v>0</v>
      </c>
      <c r="BI2746" s="8">
        <f>0</f>
        <v>0</v>
      </c>
      <c r="BJ2746" s="5" t="s">
        <v>253</v>
      </c>
      <c r="BK2746" s="5" t="s">
        <v>254</v>
      </c>
      <c r="BY2746" s="5" t="s">
        <v>238</v>
      </c>
      <c r="BZ2746" s="5" t="s">
        <v>238</v>
      </c>
      <c r="CD2746" s="5" t="s">
        <v>273</v>
      </c>
      <c r="CE2746" s="5" t="s">
        <v>256</v>
      </c>
      <c r="CF2746" s="5" t="s">
        <v>238</v>
      </c>
      <c r="CI2746" s="6" t="s">
        <v>257</v>
      </c>
      <c r="CJ2746" s="5" t="s">
        <v>238</v>
      </c>
      <c r="CK2746" s="5" t="s">
        <v>258</v>
      </c>
      <c r="CL2746" s="5" t="s">
        <v>238</v>
      </c>
      <c r="CM2746" s="5" t="s">
        <v>238</v>
      </c>
      <c r="CN2746" s="5">
        <v>0</v>
      </c>
      <c r="CO2746" s="5" t="s">
        <v>259</v>
      </c>
      <c r="CP2746" s="5" t="s">
        <v>260</v>
      </c>
      <c r="CQ2746" s="5" t="s">
        <v>260</v>
      </c>
      <c r="CR2746" s="5" t="s">
        <v>261</v>
      </c>
      <c r="CU2746" s="8">
        <f>1</f>
        <v>1</v>
      </c>
      <c r="CV2746" s="8">
        <f>0</f>
        <v>0</v>
      </c>
      <c r="CX2746" s="8">
        <f>0</f>
        <v>0</v>
      </c>
      <c r="CY2746" s="8">
        <f>1</f>
        <v>1</v>
      </c>
      <c r="DA2746" s="5" t="s">
        <v>274</v>
      </c>
      <c r="DB2746" s="5" t="s">
        <v>238</v>
      </c>
      <c r="DD2746" s="5" t="s">
        <v>274</v>
      </c>
      <c r="DE2746" s="8">
        <f>368</f>
        <v>368</v>
      </c>
      <c r="DG2746" s="5" t="s">
        <v>238</v>
      </c>
      <c r="DH2746" s="5" t="s">
        <v>238</v>
      </c>
      <c r="DI2746" s="5" t="s">
        <v>238</v>
      </c>
      <c r="DJ2746" s="5" t="s">
        <v>238</v>
      </c>
      <c r="DN2746" s="5" t="s">
        <v>238</v>
      </c>
      <c r="DO2746" s="5" t="s">
        <v>238</v>
      </c>
      <c r="DP2746" s="5" t="s">
        <v>238</v>
      </c>
      <c r="DQ2746" s="5" t="s">
        <v>238</v>
      </c>
      <c r="DT2746" s="5" t="s">
        <v>275</v>
      </c>
      <c r="DU2746" s="5" t="s">
        <v>1447</v>
      </c>
      <c r="HM2746" s="5" t="s">
        <v>264</v>
      </c>
    </row>
    <row r="2747" spans="1:221" x14ac:dyDescent="0.4">
      <c r="A2747" s="5">
        <v>4451</v>
      </c>
      <c r="B2747" s="5">
        <v>1</v>
      </c>
      <c r="C2747" s="5">
        <v>1</v>
      </c>
      <c r="D2747" s="5" t="s">
        <v>269</v>
      </c>
      <c r="E2747" s="5" t="s">
        <v>271</v>
      </c>
      <c r="F2747" s="5" t="s">
        <v>248</v>
      </c>
      <c r="G2747" s="5" t="s">
        <v>266</v>
      </c>
      <c r="H2747" s="6" t="s">
        <v>1438</v>
      </c>
      <c r="I2747" s="7">
        <f>2600</f>
        <v>2600</v>
      </c>
      <c r="J2747" s="5" t="s">
        <v>262</v>
      </c>
      <c r="K2747" s="8">
        <f>1</f>
        <v>1</v>
      </c>
      <c r="L2747" s="6" t="s">
        <v>242</v>
      </c>
      <c r="M2747" s="5" t="s">
        <v>267</v>
      </c>
      <c r="N2747" s="5" t="s">
        <v>265</v>
      </c>
      <c r="O2747" s="5" t="s">
        <v>238</v>
      </c>
      <c r="P2747" s="5" t="s">
        <v>238</v>
      </c>
      <c r="Q2747" s="5" t="s">
        <v>268</v>
      </c>
      <c r="R2747" s="5" t="s">
        <v>270</v>
      </c>
      <c r="S2747" s="5" t="s">
        <v>238</v>
      </c>
      <c r="V2747" s="5" t="s">
        <v>238</v>
      </c>
      <c r="X2747" s="6" t="s">
        <v>238</v>
      </c>
      <c r="AA2747" s="6" t="s">
        <v>243</v>
      </c>
      <c r="AB2747" s="5" t="s">
        <v>238</v>
      </c>
      <c r="AC2747" s="5" t="s">
        <v>244</v>
      </c>
      <c r="AD2747" s="5" t="s">
        <v>245</v>
      </c>
      <c r="AT2747" s="5" t="s">
        <v>246</v>
      </c>
      <c r="AU2747" s="5" t="s">
        <v>238</v>
      </c>
      <c r="AV2747" s="5" t="s">
        <v>247</v>
      </c>
      <c r="AW2747" s="5" t="s">
        <v>238</v>
      </c>
      <c r="AX2747" s="5" t="s">
        <v>249</v>
      </c>
      <c r="AY2747" s="5" t="s">
        <v>238</v>
      </c>
      <c r="BA2747" s="5" t="s">
        <v>238</v>
      </c>
      <c r="BC2747" s="5" t="s">
        <v>250</v>
      </c>
      <c r="BD2747" s="6" t="s">
        <v>243</v>
      </c>
      <c r="BE2747" s="5" t="s">
        <v>251</v>
      </c>
      <c r="BF2747" s="5" t="s">
        <v>252</v>
      </c>
      <c r="BG2747" s="5" t="s">
        <v>238</v>
      </c>
      <c r="BH2747" s="7">
        <f>0</f>
        <v>0</v>
      </c>
      <c r="BI2747" s="8">
        <f>0</f>
        <v>0</v>
      </c>
      <c r="BJ2747" s="5" t="s">
        <v>253</v>
      </c>
      <c r="BK2747" s="5" t="s">
        <v>254</v>
      </c>
      <c r="BY2747" s="5" t="s">
        <v>238</v>
      </c>
      <c r="BZ2747" s="5" t="s">
        <v>238</v>
      </c>
      <c r="CD2747" s="5" t="s">
        <v>273</v>
      </c>
      <c r="CE2747" s="5" t="s">
        <v>256</v>
      </c>
      <c r="CF2747" s="5" t="s">
        <v>238</v>
      </c>
      <c r="CI2747" s="6" t="s">
        <v>257</v>
      </c>
      <c r="CJ2747" s="5" t="s">
        <v>238</v>
      </c>
      <c r="CK2747" s="5" t="s">
        <v>258</v>
      </c>
      <c r="CL2747" s="5" t="s">
        <v>238</v>
      </c>
      <c r="CM2747" s="5" t="s">
        <v>238</v>
      </c>
      <c r="CN2747" s="5">
        <v>0</v>
      </c>
      <c r="CO2747" s="5" t="s">
        <v>259</v>
      </c>
      <c r="CP2747" s="5" t="s">
        <v>260</v>
      </c>
      <c r="CQ2747" s="5" t="s">
        <v>260</v>
      </c>
      <c r="CR2747" s="5" t="s">
        <v>261</v>
      </c>
      <c r="CU2747" s="8">
        <f>1</f>
        <v>1</v>
      </c>
      <c r="CV2747" s="8">
        <f>0</f>
        <v>0</v>
      </c>
      <c r="CX2747" s="8">
        <f>0</f>
        <v>0</v>
      </c>
      <c r="CY2747" s="8">
        <f>1</f>
        <v>1</v>
      </c>
      <c r="DA2747" s="5" t="s">
        <v>274</v>
      </c>
      <c r="DB2747" s="5" t="s">
        <v>238</v>
      </c>
      <c r="DD2747" s="5" t="s">
        <v>274</v>
      </c>
      <c r="DE2747" s="8">
        <f>2600</f>
        <v>2600</v>
      </c>
      <c r="DG2747" s="5" t="s">
        <v>238</v>
      </c>
      <c r="DH2747" s="5" t="s">
        <v>238</v>
      </c>
      <c r="DI2747" s="5" t="s">
        <v>238</v>
      </c>
      <c r="DJ2747" s="5" t="s">
        <v>238</v>
      </c>
      <c r="DN2747" s="5" t="s">
        <v>238</v>
      </c>
      <c r="DO2747" s="5" t="s">
        <v>238</v>
      </c>
      <c r="DP2747" s="5" t="s">
        <v>238</v>
      </c>
      <c r="DQ2747" s="5" t="s">
        <v>238</v>
      </c>
      <c r="DT2747" s="5" t="s">
        <v>275</v>
      </c>
      <c r="DU2747" s="5" t="s">
        <v>1439</v>
      </c>
      <c r="HM2747" s="5" t="s">
        <v>264</v>
      </c>
    </row>
    <row r="2748" spans="1:221" x14ac:dyDescent="0.4">
      <c r="A2748" s="5">
        <v>4452</v>
      </c>
      <c r="B2748" s="5">
        <v>1</v>
      </c>
      <c r="C2748" s="5">
        <v>1</v>
      </c>
      <c r="D2748" s="5" t="s">
        <v>269</v>
      </c>
      <c r="E2748" s="5" t="s">
        <v>271</v>
      </c>
      <c r="F2748" s="5" t="s">
        <v>248</v>
      </c>
      <c r="G2748" s="5" t="s">
        <v>266</v>
      </c>
      <c r="H2748" s="6" t="s">
        <v>1429</v>
      </c>
      <c r="I2748" s="7">
        <f>3184</f>
        <v>3184</v>
      </c>
      <c r="J2748" s="5" t="s">
        <v>262</v>
      </c>
      <c r="K2748" s="8">
        <f>1</f>
        <v>1</v>
      </c>
      <c r="L2748" s="6" t="s">
        <v>242</v>
      </c>
      <c r="M2748" s="5" t="s">
        <v>267</v>
      </c>
      <c r="N2748" s="5" t="s">
        <v>265</v>
      </c>
      <c r="O2748" s="5" t="s">
        <v>238</v>
      </c>
      <c r="P2748" s="5" t="s">
        <v>238</v>
      </c>
      <c r="Q2748" s="5" t="s">
        <v>268</v>
      </c>
      <c r="R2748" s="5" t="s">
        <v>270</v>
      </c>
      <c r="S2748" s="5" t="s">
        <v>238</v>
      </c>
      <c r="V2748" s="5" t="s">
        <v>238</v>
      </c>
      <c r="X2748" s="6" t="s">
        <v>238</v>
      </c>
      <c r="AA2748" s="6" t="s">
        <v>243</v>
      </c>
      <c r="AB2748" s="5" t="s">
        <v>238</v>
      </c>
      <c r="AC2748" s="5" t="s">
        <v>244</v>
      </c>
      <c r="AD2748" s="5" t="s">
        <v>245</v>
      </c>
      <c r="AT2748" s="5" t="s">
        <v>246</v>
      </c>
      <c r="AU2748" s="5" t="s">
        <v>238</v>
      </c>
      <c r="AV2748" s="5" t="s">
        <v>247</v>
      </c>
      <c r="AW2748" s="5" t="s">
        <v>238</v>
      </c>
      <c r="AX2748" s="5" t="s">
        <v>249</v>
      </c>
      <c r="AY2748" s="5" t="s">
        <v>238</v>
      </c>
      <c r="BA2748" s="5" t="s">
        <v>238</v>
      </c>
      <c r="BC2748" s="5" t="s">
        <v>250</v>
      </c>
      <c r="BD2748" s="6" t="s">
        <v>243</v>
      </c>
      <c r="BE2748" s="5" t="s">
        <v>251</v>
      </c>
      <c r="BF2748" s="5" t="s">
        <v>252</v>
      </c>
      <c r="BG2748" s="5" t="s">
        <v>238</v>
      </c>
      <c r="BH2748" s="7">
        <f>0</f>
        <v>0</v>
      </c>
      <c r="BI2748" s="8">
        <f>0</f>
        <v>0</v>
      </c>
      <c r="BJ2748" s="5" t="s">
        <v>253</v>
      </c>
      <c r="BK2748" s="5" t="s">
        <v>254</v>
      </c>
      <c r="BY2748" s="5" t="s">
        <v>238</v>
      </c>
      <c r="BZ2748" s="5" t="s">
        <v>238</v>
      </c>
      <c r="CD2748" s="5" t="s">
        <v>273</v>
      </c>
      <c r="CE2748" s="5" t="s">
        <v>256</v>
      </c>
      <c r="CF2748" s="5" t="s">
        <v>238</v>
      </c>
      <c r="CI2748" s="6" t="s">
        <v>257</v>
      </c>
      <c r="CJ2748" s="5" t="s">
        <v>238</v>
      </c>
      <c r="CK2748" s="5" t="s">
        <v>258</v>
      </c>
      <c r="CL2748" s="5" t="s">
        <v>238</v>
      </c>
      <c r="CM2748" s="5" t="s">
        <v>238</v>
      </c>
      <c r="CN2748" s="5">
        <v>0</v>
      </c>
      <c r="CO2748" s="5" t="s">
        <v>259</v>
      </c>
      <c r="CP2748" s="5" t="s">
        <v>260</v>
      </c>
      <c r="CQ2748" s="5" t="s">
        <v>260</v>
      </c>
      <c r="CR2748" s="5" t="s">
        <v>261</v>
      </c>
      <c r="CU2748" s="8">
        <f>1</f>
        <v>1</v>
      </c>
      <c r="CV2748" s="8">
        <f>0</f>
        <v>0</v>
      </c>
      <c r="CX2748" s="8">
        <f>0</f>
        <v>0</v>
      </c>
      <c r="CY2748" s="8">
        <f>1</f>
        <v>1</v>
      </c>
      <c r="DA2748" s="5" t="s">
        <v>274</v>
      </c>
      <c r="DB2748" s="5" t="s">
        <v>238</v>
      </c>
      <c r="DD2748" s="5" t="s">
        <v>274</v>
      </c>
      <c r="DE2748" s="8">
        <f>3184</f>
        <v>3184</v>
      </c>
      <c r="DG2748" s="5" t="s">
        <v>238</v>
      </c>
      <c r="DH2748" s="5" t="s">
        <v>238</v>
      </c>
      <c r="DI2748" s="5" t="s">
        <v>238</v>
      </c>
      <c r="DJ2748" s="5" t="s">
        <v>238</v>
      </c>
      <c r="DN2748" s="5" t="s">
        <v>238</v>
      </c>
      <c r="DO2748" s="5" t="s">
        <v>238</v>
      </c>
      <c r="DP2748" s="5" t="s">
        <v>238</v>
      </c>
      <c r="DQ2748" s="5" t="s">
        <v>238</v>
      </c>
      <c r="DT2748" s="5" t="s">
        <v>275</v>
      </c>
      <c r="DU2748" s="5" t="s">
        <v>1430</v>
      </c>
      <c r="HM2748" s="5" t="s">
        <v>264</v>
      </c>
    </row>
    <row r="2749" spans="1:221" x14ac:dyDescent="0.4">
      <c r="A2749" s="5">
        <v>4453</v>
      </c>
      <c r="B2749" s="5">
        <v>1</v>
      </c>
      <c r="C2749" s="5">
        <v>1</v>
      </c>
      <c r="D2749" s="5" t="s">
        <v>269</v>
      </c>
      <c r="E2749" s="5" t="s">
        <v>271</v>
      </c>
      <c r="F2749" s="5" t="s">
        <v>248</v>
      </c>
      <c r="G2749" s="5" t="s">
        <v>266</v>
      </c>
      <c r="H2749" s="6" t="s">
        <v>1425</v>
      </c>
      <c r="I2749" s="7">
        <f>877</f>
        <v>877</v>
      </c>
      <c r="J2749" s="5" t="s">
        <v>262</v>
      </c>
      <c r="K2749" s="8">
        <f>1</f>
        <v>1</v>
      </c>
      <c r="L2749" s="6" t="s">
        <v>242</v>
      </c>
      <c r="M2749" s="5" t="s">
        <v>267</v>
      </c>
      <c r="N2749" s="5" t="s">
        <v>265</v>
      </c>
      <c r="O2749" s="5" t="s">
        <v>238</v>
      </c>
      <c r="P2749" s="5" t="s">
        <v>238</v>
      </c>
      <c r="Q2749" s="5" t="s">
        <v>268</v>
      </c>
      <c r="R2749" s="5" t="s">
        <v>270</v>
      </c>
      <c r="S2749" s="5" t="s">
        <v>238</v>
      </c>
      <c r="V2749" s="5" t="s">
        <v>238</v>
      </c>
      <c r="X2749" s="6" t="s">
        <v>238</v>
      </c>
      <c r="AA2749" s="6" t="s">
        <v>243</v>
      </c>
      <c r="AB2749" s="5" t="s">
        <v>238</v>
      </c>
      <c r="AC2749" s="5" t="s">
        <v>244</v>
      </c>
      <c r="AD2749" s="5" t="s">
        <v>245</v>
      </c>
      <c r="AT2749" s="5" t="s">
        <v>246</v>
      </c>
      <c r="AU2749" s="5" t="s">
        <v>238</v>
      </c>
      <c r="AV2749" s="5" t="s">
        <v>247</v>
      </c>
      <c r="AW2749" s="5" t="s">
        <v>238</v>
      </c>
      <c r="AX2749" s="5" t="s">
        <v>249</v>
      </c>
      <c r="AY2749" s="5" t="s">
        <v>238</v>
      </c>
      <c r="BA2749" s="5" t="s">
        <v>238</v>
      </c>
      <c r="BC2749" s="5" t="s">
        <v>250</v>
      </c>
      <c r="BD2749" s="6" t="s">
        <v>243</v>
      </c>
      <c r="BE2749" s="5" t="s">
        <v>251</v>
      </c>
      <c r="BF2749" s="5" t="s">
        <v>252</v>
      </c>
      <c r="BG2749" s="5" t="s">
        <v>238</v>
      </c>
      <c r="BH2749" s="7">
        <f>0</f>
        <v>0</v>
      </c>
      <c r="BI2749" s="8">
        <f>0</f>
        <v>0</v>
      </c>
      <c r="BJ2749" s="5" t="s">
        <v>253</v>
      </c>
      <c r="BK2749" s="5" t="s">
        <v>254</v>
      </c>
      <c r="BY2749" s="5" t="s">
        <v>238</v>
      </c>
      <c r="BZ2749" s="5" t="s">
        <v>238</v>
      </c>
      <c r="CD2749" s="5" t="s">
        <v>273</v>
      </c>
      <c r="CE2749" s="5" t="s">
        <v>256</v>
      </c>
      <c r="CF2749" s="5" t="s">
        <v>238</v>
      </c>
      <c r="CI2749" s="6" t="s">
        <v>257</v>
      </c>
      <c r="CJ2749" s="5" t="s">
        <v>238</v>
      </c>
      <c r="CK2749" s="5" t="s">
        <v>258</v>
      </c>
      <c r="CL2749" s="5" t="s">
        <v>238</v>
      </c>
      <c r="CM2749" s="5" t="s">
        <v>238</v>
      </c>
      <c r="CN2749" s="5">
        <v>0</v>
      </c>
      <c r="CO2749" s="5" t="s">
        <v>259</v>
      </c>
      <c r="CP2749" s="5" t="s">
        <v>260</v>
      </c>
      <c r="CQ2749" s="5" t="s">
        <v>260</v>
      </c>
      <c r="CR2749" s="5" t="s">
        <v>261</v>
      </c>
      <c r="CU2749" s="8">
        <f>1</f>
        <v>1</v>
      </c>
      <c r="CV2749" s="8">
        <f>0</f>
        <v>0</v>
      </c>
      <c r="CX2749" s="8">
        <f>0</f>
        <v>0</v>
      </c>
      <c r="CY2749" s="8">
        <f>1</f>
        <v>1</v>
      </c>
      <c r="DA2749" s="5" t="s">
        <v>274</v>
      </c>
      <c r="DB2749" s="5" t="s">
        <v>238</v>
      </c>
      <c r="DD2749" s="5" t="s">
        <v>274</v>
      </c>
      <c r="DE2749" s="8">
        <f>877</f>
        <v>877</v>
      </c>
      <c r="DG2749" s="5" t="s">
        <v>238</v>
      </c>
      <c r="DH2749" s="5" t="s">
        <v>238</v>
      </c>
      <c r="DI2749" s="5" t="s">
        <v>238</v>
      </c>
      <c r="DJ2749" s="5" t="s">
        <v>238</v>
      </c>
      <c r="DN2749" s="5" t="s">
        <v>238</v>
      </c>
      <c r="DO2749" s="5" t="s">
        <v>238</v>
      </c>
      <c r="DP2749" s="5" t="s">
        <v>238</v>
      </c>
      <c r="DQ2749" s="5" t="s">
        <v>238</v>
      </c>
      <c r="DT2749" s="5" t="s">
        <v>275</v>
      </c>
      <c r="DU2749" s="5" t="s">
        <v>1426</v>
      </c>
      <c r="HM2749" s="5" t="s">
        <v>264</v>
      </c>
    </row>
    <row r="2750" spans="1:221" x14ac:dyDescent="0.4">
      <c r="A2750" s="5">
        <v>4454</v>
      </c>
      <c r="B2750" s="5">
        <v>1</v>
      </c>
      <c r="C2750" s="5">
        <v>1</v>
      </c>
      <c r="D2750" s="5" t="s">
        <v>269</v>
      </c>
      <c r="E2750" s="5" t="s">
        <v>271</v>
      </c>
      <c r="F2750" s="5" t="s">
        <v>248</v>
      </c>
      <c r="G2750" s="5" t="s">
        <v>266</v>
      </c>
      <c r="H2750" s="6" t="s">
        <v>1419</v>
      </c>
      <c r="I2750" s="7">
        <f>1796</f>
        <v>1796</v>
      </c>
      <c r="J2750" s="5" t="s">
        <v>262</v>
      </c>
      <c r="K2750" s="8">
        <f>1</f>
        <v>1</v>
      </c>
      <c r="L2750" s="6" t="s">
        <v>242</v>
      </c>
      <c r="M2750" s="5" t="s">
        <v>267</v>
      </c>
      <c r="N2750" s="5" t="s">
        <v>265</v>
      </c>
      <c r="O2750" s="5" t="s">
        <v>238</v>
      </c>
      <c r="P2750" s="5" t="s">
        <v>238</v>
      </c>
      <c r="Q2750" s="5" t="s">
        <v>268</v>
      </c>
      <c r="R2750" s="5" t="s">
        <v>270</v>
      </c>
      <c r="S2750" s="5" t="s">
        <v>238</v>
      </c>
      <c r="V2750" s="5" t="s">
        <v>238</v>
      </c>
      <c r="X2750" s="6" t="s">
        <v>238</v>
      </c>
      <c r="AA2750" s="6" t="s">
        <v>243</v>
      </c>
      <c r="AB2750" s="5" t="s">
        <v>238</v>
      </c>
      <c r="AC2750" s="5" t="s">
        <v>244</v>
      </c>
      <c r="AD2750" s="5" t="s">
        <v>245</v>
      </c>
      <c r="AT2750" s="5" t="s">
        <v>246</v>
      </c>
      <c r="AU2750" s="5" t="s">
        <v>238</v>
      </c>
      <c r="AV2750" s="5" t="s">
        <v>247</v>
      </c>
      <c r="AW2750" s="5" t="s">
        <v>238</v>
      </c>
      <c r="AX2750" s="5" t="s">
        <v>249</v>
      </c>
      <c r="AY2750" s="5" t="s">
        <v>238</v>
      </c>
      <c r="BA2750" s="5" t="s">
        <v>238</v>
      </c>
      <c r="BC2750" s="5" t="s">
        <v>250</v>
      </c>
      <c r="BD2750" s="6" t="s">
        <v>243</v>
      </c>
      <c r="BE2750" s="5" t="s">
        <v>251</v>
      </c>
      <c r="BF2750" s="5" t="s">
        <v>252</v>
      </c>
      <c r="BG2750" s="5" t="s">
        <v>238</v>
      </c>
      <c r="BH2750" s="7">
        <f>0</f>
        <v>0</v>
      </c>
      <c r="BI2750" s="8">
        <f>0</f>
        <v>0</v>
      </c>
      <c r="BJ2750" s="5" t="s">
        <v>253</v>
      </c>
      <c r="BK2750" s="5" t="s">
        <v>254</v>
      </c>
      <c r="BY2750" s="5" t="s">
        <v>238</v>
      </c>
      <c r="BZ2750" s="5" t="s">
        <v>238</v>
      </c>
      <c r="CD2750" s="5" t="s">
        <v>273</v>
      </c>
      <c r="CE2750" s="5" t="s">
        <v>256</v>
      </c>
      <c r="CF2750" s="5" t="s">
        <v>238</v>
      </c>
      <c r="CI2750" s="6" t="s">
        <v>257</v>
      </c>
      <c r="CJ2750" s="5" t="s">
        <v>238</v>
      </c>
      <c r="CK2750" s="5" t="s">
        <v>258</v>
      </c>
      <c r="CL2750" s="5" t="s">
        <v>238</v>
      </c>
      <c r="CM2750" s="5" t="s">
        <v>238</v>
      </c>
      <c r="CN2750" s="5">
        <v>0</v>
      </c>
      <c r="CO2750" s="5" t="s">
        <v>259</v>
      </c>
      <c r="CP2750" s="5" t="s">
        <v>260</v>
      </c>
      <c r="CQ2750" s="5" t="s">
        <v>260</v>
      </c>
      <c r="CR2750" s="5" t="s">
        <v>261</v>
      </c>
      <c r="CU2750" s="8">
        <f>1</f>
        <v>1</v>
      </c>
      <c r="CV2750" s="8">
        <f>0</f>
        <v>0</v>
      </c>
      <c r="CX2750" s="8">
        <f>0</f>
        <v>0</v>
      </c>
      <c r="CY2750" s="8">
        <f>1</f>
        <v>1</v>
      </c>
      <c r="DA2750" s="5" t="s">
        <v>274</v>
      </c>
      <c r="DB2750" s="5" t="s">
        <v>238</v>
      </c>
      <c r="DD2750" s="5" t="s">
        <v>274</v>
      </c>
      <c r="DE2750" s="8">
        <f>1796</f>
        <v>1796</v>
      </c>
      <c r="DG2750" s="5" t="s">
        <v>238</v>
      </c>
      <c r="DH2750" s="5" t="s">
        <v>238</v>
      </c>
      <c r="DI2750" s="5" t="s">
        <v>238</v>
      </c>
      <c r="DJ2750" s="5" t="s">
        <v>238</v>
      </c>
      <c r="DN2750" s="5" t="s">
        <v>238</v>
      </c>
      <c r="DO2750" s="5" t="s">
        <v>238</v>
      </c>
      <c r="DP2750" s="5" t="s">
        <v>238</v>
      </c>
      <c r="DQ2750" s="5" t="s">
        <v>238</v>
      </c>
      <c r="DT2750" s="5" t="s">
        <v>275</v>
      </c>
      <c r="DU2750" s="5" t="s">
        <v>1420</v>
      </c>
      <c r="HM2750" s="5" t="s">
        <v>264</v>
      </c>
    </row>
    <row r="2751" spans="1:221" x14ac:dyDescent="0.4">
      <c r="A2751" s="5">
        <v>4455</v>
      </c>
      <c r="B2751" s="5">
        <v>1</v>
      </c>
      <c r="C2751" s="5">
        <v>1</v>
      </c>
      <c r="D2751" s="5" t="s">
        <v>269</v>
      </c>
      <c r="E2751" s="5" t="s">
        <v>271</v>
      </c>
      <c r="F2751" s="5" t="s">
        <v>248</v>
      </c>
      <c r="G2751" s="5" t="s">
        <v>266</v>
      </c>
      <c r="H2751" s="6" t="s">
        <v>1417</v>
      </c>
      <c r="I2751" s="7">
        <f>1223</f>
        <v>1223</v>
      </c>
      <c r="J2751" s="5" t="s">
        <v>262</v>
      </c>
      <c r="K2751" s="8">
        <f>1</f>
        <v>1</v>
      </c>
      <c r="L2751" s="6" t="s">
        <v>242</v>
      </c>
      <c r="M2751" s="5" t="s">
        <v>267</v>
      </c>
      <c r="N2751" s="5" t="s">
        <v>265</v>
      </c>
      <c r="O2751" s="5" t="s">
        <v>238</v>
      </c>
      <c r="P2751" s="5" t="s">
        <v>238</v>
      </c>
      <c r="Q2751" s="5" t="s">
        <v>268</v>
      </c>
      <c r="R2751" s="5" t="s">
        <v>270</v>
      </c>
      <c r="S2751" s="5" t="s">
        <v>238</v>
      </c>
      <c r="V2751" s="5" t="s">
        <v>238</v>
      </c>
      <c r="X2751" s="6" t="s">
        <v>238</v>
      </c>
      <c r="AA2751" s="6" t="s">
        <v>243</v>
      </c>
      <c r="AB2751" s="5" t="s">
        <v>238</v>
      </c>
      <c r="AC2751" s="5" t="s">
        <v>244</v>
      </c>
      <c r="AD2751" s="5" t="s">
        <v>245</v>
      </c>
      <c r="AT2751" s="5" t="s">
        <v>246</v>
      </c>
      <c r="AU2751" s="5" t="s">
        <v>238</v>
      </c>
      <c r="AV2751" s="5" t="s">
        <v>247</v>
      </c>
      <c r="AW2751" s="5" t="s">
        <v>238</v>
      </c>
      <c r="AX2751" s="5" t="s">
        <v>249</v>
      </c>
      <c r="AY2751" s="5" t="s">
        <v>238</v>
      </c>
      <c r="BA2751" s="5" t="s">
        <v>238</v>
      </c>
      <c r="BC2751" s="5" t="s">
        <v>250</v>
      </c>
      <c r="BD2751" s="6" t="s">
        <v>243</v>
      </c>
      <c r="BE2751" s="5" t="s">
        <v>251</v>
      </c>
      <c r="BF2751" s="5" t="s">
        <v>252</v>
      </c>
      <c r="BG2751" s="5" t="s">
        <v>238</v>
      </c>
      <c r="BH2751" s="7">
        <f>0</f>
        <v>0</v>
      </c>
      <c r="BI2751" s="8">
        <f>0</f>
        <v>0</v>
      </c>
      <c r="BJ2751" s="5" t="s">
        <v>253</v>
      </c>
      <c r="BK2751" s="5" t="s">
        <v>254</v>
      </c>
      <c r="BY2751" s="5" t="s">
        <v>238</v>
      </c>
      <c r="BZ2751" s="5" t="s">
        <v>238</v>
      </c>
      <c r="CD2751" s="5" t="s">
        <v>273</v>
      </c>
      <c r="CE2751" s="5" t="s">
        <v>256</v>
      </c>
      <c r="CF2751" s="5" t="s">
        <v>238</v>
      </c>
      <c r="CI2751" s="6" t="s">
        <v>257</v>
      </c>
      <c r="CJ2751" s="5" t="s">
        <v>238</v>
      </c>
      <c r="CK2751" s="5" t="s">
        <v>258</v>
      </c>
      <c r="CL2751" s="5" t="s">
        <v>238</v>
      </c>
      <c r="CM2751" s="5" t="s">
        <v>238</v>
      </c>
      <c r="CN2751" s="5">
        <v>0</v>
      </c>
      <c r="CO2751" s="5" t="s">
        <v>259</v>
      </c>
      <c r="CP2751" s="5" t="s">
        <v>260</v>
      </c>
      <c r="CQ2751" s="5" t="s">
        <v>260</v>
      </c>
      <c r="CR2751" s="5" t="s">
        <v>261</v>
      </c>
      <c r="CU2751" s="8">
        <f>1</f>
        <v>1</v>
      </c>
      <c r="CV2751" s="8">
        <f>0</f>
        <v>0</v>
      </c>
      <c r="CX2751" s="8">
        <f>0</f>
        <v>0</v>
      </c>
      <c r="CY2751" s="8">
        <f>1</f>
        <v>1</v>
      </c>
      <c r="DA2751" s="5" t="s">
        <v>274</v>
      </c>
      <c r="DB2751" s="5" t="s">
        <v>238</v>
      </c>
      <c r="DD2751" s="5" t="s">
        <v>274</v>
      </c>
      <c r="DE2751" s="8">
        <f>1223</f>
        <v>1223</v>
      </c>
      <c r="DG2751" s="5" t="s">
        <v>238</v>
      </c>
      <c r="DH2751" s="5" t="s">
        <v>238</v>
      </c>
      <c r="DI2751" s="5" t="s">
        <v>238</v>
      </c>
      <c r="DJ2751" s="5" t="s">
        <v>238</v>
      </c>
      <c r="DN2751" s="5" t="s">
        <v>238</v>
      </c>
      <c r="DO2751" s="5" t="s">
        <v>238</v>
      </c>
      <c r="DP2751" s="5" t="s">
        <v>238</v>
      </c>
      <c r="DQ2751" s="5" t="s">
        <v>238</v>
      </c>
      <c r="DT2751" s="5" t="s">
        <v>275</v>
      </c>
      <c r="DU2751" s="5" t="s">
        <v>1418</v>
      </c>
      <c r="HM2751" s="5" t="s">
        <v>264</v>
      </c>
    </row>
    <row r="2752" spans="1:221" x14ac:dyDescent="0.4">
      <c r="A2752" s="5">
        <v>4456</v>
      </c>
      <c r="B2752" s="5">
        <v>1</v>
      </c>
      <c r="C2752" s="5">
        <v>1</v>
      </c>
      <c r="D2752" s="5" t="s">
        <v>269</v>
      </c>
      <c r="E2752" s="5" t="s">
        <v>271</v>
      </c>
      <c r="F2752" s="5" t="s">
        <v>248</v>
      </c>
      <c r="G2752" s="5" t="s">
        <v>266</v>
      </c>
      <c r="H2752" s="6" t="s">
        <v>1415</v>
      </c>
      <c r="I2752" s="7">
        <f>383</f>
        <v>383</v>
      </c>
      <c r="J2752" s="5" t="s">
        <v>262</v>
      </c>
      <c r="K2752" s="8">
        <f>1</f>
        <v>1</v>
      </c>
      <c r="L2752" s="6" t="s">
        <v>242</v>
      </c>
      <c r="M2752" s="5" t="s">
        <v>267</v>
      </c>
      <c r="N2752" s="5" t="s">
        <v>265</v>
      </c>
      <c r="O2752" s="5" t="s">
        <v>238</v>
      </c>
      <c r="P2752" s="5" t="s">
        <v>238</v>
      </c>
      <c r="Q2752" s="5" t="s">
        <v>268</v>
      </c>
      <c r="R2752" s="5" t="s">
        <v>270</v>
      </c>
      <c r="S2752" s="5" t="s">
        <v>238</v>
      </c>
      <c r="V2752" s="5" t="s">
        <v>238</v>
      </c>
      <c r="X2752" s="6" t="s">
        <v>238</v>
      </c>
      <c r="AA2752" s="6" t="s">
        <v>243</v>
      </c>
      <c r="AB2752" s="5" t="s">
        <v>238</v>
      </c>
      <c r="AC2752" s="5" t="s">
        <v>244</v>
      </c>
      <c r="AD2752" s="5" t="s">
        <v>245</v>
      </c>
      <c r="AT2752" s="5" t="s">
        <v>246</v>
      </c>
      <c r="AU2752" s="5" t="s">
        <v>238</v>
      </c>
      <c r="AV2752" s="5" t="s">
        <v>247</v>
      </c>
      <c r="AW2752" s="5" t="s">
        <v>238</v>
      </c>
      <c r="AX2752" s="5" t="s">
        <v>249</v>
      </c>
      <c r="AY2752" s="5" t="s">
        <v>238</v>
      </c>
      <c r="BA2752" s="5" t="s">
        <v>238</v>
      </c>
      <c r="BC2752" s="5" t="s">
        <v>250</v>
      </c>
      <c r="BD2752" s="6" t="s">
        <v>243</v>
      </c>
      <c r="BE2752" s="5" t="s">
        <v>251</v>
      </c>
      <c r="BF2752" s="5" t="s">
        <v>252</v>
      </c>
      <c r="BG2752" s="5" t="s">
        <v>238</v>
      </c>
      <c r="BH2752" s="7">
        <f>0</f>
        <v>0</v>
      </c>
      <c r="BI2752" s="8">
        <f>0</f>
        <v>0</v>
      </c>
      <c r="BJ2752" s="5" t="s">
        <v>253</v>
      </c>
      <c r="BK2752" s="5" t="s">
        <v>254</v>
      </c>
      <c r="BY2752" s="5" t="s">
        <v>238</v>
      </c>
      <c r="BZ2752" s="5" t="s">
        <v>238</v>
      </c>
      <c r="CD2752" s="5" t="s">
        <v>273</v>
      </c>
      <c r="CE2752" s="5" t="s">
        <v>256</v>
      </c>
      <c r="CF2752" s="5" t="s">
        <v>238</v>
      </c>
      <c r="CI2752" s="6" t="s">
        <v>257</v>
      </c>
      <c r="CJ2752" s="5" t="s">
        <v>238</v>
      </c>
      <c r="CK2752" s="5" t="s">
        <v>258</v>
      </c>
      <c r="CL2752" s="5" t="s">
        <v>238</v>
      </c>
      <c r="CM2752" s="5" t="s">
        <v>238</v>
      </c>
      <c r="CN2752" s="5">
        <v>0</v>
      </c>
      <c r="CO2752" s="5" t="s">
        <v>259</v>
      </c>
      <c r="CP2752" s="5" t="s">
        <v>260</v>
      </c>
      <c r="CQ2752" s="5" t="s">
        <v>260</v>
      </c>
      <c r="CR2752" s="5" t="s">
        <v>261</v>
      </c>
      <c r="CU2752" s="8">
        <f>1</f>
        <v>1</v>
      </c>
      <c r="CV2752" s="8">
        <f>0</f>
        <v>0</v>
      </c>
      <c r="CX2752" s="8">
        <f>0</f>
        <v>0</v>
      </c>
      <c r="CY2752" s="8">
        <f>1</f>
        <v>1</v>
      </c>
      <c r="DA2752" s="5" t="s">
        <v>274</v>
      </c>
      <c r="DB2752" s="5" t="s">
        <v>238</v>
      </c>
      <c r="DD2752" s="5" t="s">
        <v>274</v>
      </c>
      <c r="DE2752" s="8">
        <f>383</f>
        <v>383</v>
      </c>
      <c r="DG2752" s="5" t="s">
        <v>238</v>
      </c>
      <c r="DH2752" s="5" t="s">
        <v>238</v>
      </c>
      <c r="DI2752" s="5" t="s">
        <v>238</v>
      </c>
      <c r="DJ2752" s="5" t="s">
        <v>238</v>
      </c>
      <c r="DN2752" s="5" t="s">
        <v>238</v>
      </c>
      <c r="DO2752" s="5" t="s">
        <v>238</v>
      </c>
      <c r="DP2752" s="5" t="s">
        <v>238</v>
      </c>
      <c r="DQ2752" s="5" t="s">
        <v>238</v>
      </c>
      <c r="DT2752" s="5" t="s">
        <v>275</v>
      </c>
      <c r="DU2752" s="5" t="s">
        <v>1416</v>
      </c>
      <c r="HM2752" s="5" t="s">
        <v>264</v>
      </c>
    </row>
    <row r="2753" spans="1:221" x14ac:dyDescent="0.4">
      <c r="A2753" s="5">
        <v>4457</v>
      </c>
      <c r="B2753" s="5">
        <v>1</v>
      </c>
      <c r="C2753" s="5">
        <v>1</v>
      </c>
      <c r="D2753" s="5" t="s">
        <v>269</v>
      </c>
      <c r="E2753" s="5" t="s">
        <v>271</v>
      </c>
      <c r="F2753" s="5" t="s">
        <v>248</v>
      </c>
      <c r="G2753" s="5" t="s">
        <v>266</v>
      </c>
      <c r="H2753" s="6" t="s">
        <v>1409</v>
      </c>
      <c r="I2753" s="7">
        <f>91</f>
        <v>91</v>
      </c>
      <c r="J2753" s="5" t="s">
        <v>262</v>
      </c>
      <c r="K2753" s="8">
        <f>1</f>
        <v>1</v>
      </c>
      <c r="L2753" s="6" t="s">
        <v>242</v>
      </c>
      <c r="M2753" s="5" t="s">
        <v>267</v>
      </c>
      <c r="N2753" s="5" t="s">
        <v>265</v>
      </c>
      <c r="O2753" s="5" t="s">
        <v>238</v>
      </c>
      <c r="P2753" s="5" t="s">
        <v>238</v>
      </c>
      <c r="Q2753" s="5" t="s">
        <v>268</v>
      </c>
      <c r="R2753" s="5" t="s">
        <v>270</v>
      </c>
      <c r="S2753" s="5" t="s">
        <v>238</v>
      </c>
      <c r="V2753" s="5" t="s">
        <v>238</v>
      </c>
      <c r="X2753" s="6" t="s">
        <v>238</v>
      </c>
      <c r="AA2753" s="6" t="s">
        <v>243</v>
      </c>
      <c r="AB2753" s="5" t="s">
        <v>238</v>
      </c>
      <c r="AC2753" s="5" t="s">
        <v>244</v>
      </c>
      <c r="AD2753" s="5" t="s">
        <v>245</v>
      </c>
      <c r="AT2753" s="5" t="s">
        <v>246</v>
      </c>
      <c r="AU2753" s="5" t="s">
        <v>238</v>
      </c>
      <c r="AV2753" s="5" t="s">
        <v>247</v>
      </c>
      <c r="AW2753" s="5" t="s">
        <v>238</v>
      </c>
      <c r="AX2753" s="5" t="s">
        <v>249</v>
      </c>
      <c r="AY2753" s="5" t="s">
        <v>238</v>
      </c>
      <c r="BA2753" s="5" t="s">
        <v>238</v>
      </c>
      <c r="BC2753" s="5" t="s">
        <v>250</v>
      </c>
      <c r="BD2753" s="6" t="s">
        <v>243</v>
      </c>
      <c r="BE2753" s="5" t="s">
        <v>251</v>
      </c>
      <c r="BF2753" s="5" t="s">
        <v>252</v>
      </c>
      <c r="BG2753" s="5" t="s">
        <v>238</v>
      </c>
      <c r="BH2753" s="7">
        <f>0</f>
        <v>0</v>
      </c>
      <c r="BI2753" s="8">
        <f>0</f>
        <v>0</v>
      </c>
      <c r="BJ2753" s="5" t="s">
        <v>253</v>
      </c>
      <c r="BK2753" s="5" t="s">
        <v>254</v>
      </c>
      <c r="BY2753" s="5" t="s">
        <v>238</v>
      </c>
      <c r="BZ2753" s="5" t="s">
        <v>238</v>
      </c>
      <c r="CD2753" s="5" t="s">
        <v>273</v>
      </c>
      <c r="CE2753" s="5" t="s">
        <v>256</v>
      </c>
      <c r="CF2753" s="5" t="s">
        <v>238</v>
      </c>
      <c r="CI2753" s="6" t="s">
        <v>257</v>
      </c>
      <c r="CJ2753" s="5" t="s">
        <v>238</v>
      </c>
      <c r="CK2753" s="5" t="s">
        <v>258</v>
      </c>
      <c r="CL2753" s="5" t="s">
        <v>238</v>
      </c>
      <c r="CM2753" s="5" t="s">
        <v>238</v>
      </c>
      <c r="CN2753" s="5">
        <v>0</v>
      </c>
      <c r="CO2753" s="5" t="s">
        <v>259</v>
      </c>
      <c r="CP2753" s="5" t="s">
        <v>260</v>
      </c>
      <c r="CQ2753" s="5" t="s">
        <v>260</v>
      </c>
      <c r="CR2753" s="5" t="s">
        <v>261</v>
      </c>
      <c r="CU2753" s="8">
        <f>1</f>
        <v>1</v>
      </c>
      <c r="CV2753" s="8">
        <f>0</f>
        <v>0</v>
      </c>
      <c r="CX2753" s="8">
        <f>0</f>
        <v>0</v>
      </c>
      <c r="CY2753" s="8">
        <f>1</f>
        <v>1</v>
      </c>
      <c r="DA2753" s="5" t="s">
        <v>274</v>
      </c>
      <c r="DB2753" s="5" t="s">
        <v>238</v>
      </c>
      <c r="DD2753" s="5" t="s">
        <v>274</v>
      </c>
      <c r="DE2753" s="8">
        <f>91</f>
        <v>91</v>
      </c>
      <c r="DG2753" s="5" t="s">
        <v>238</v>
      </c>
      <c r="DH2753" s="5" t="s">
        <v>238</v>
      </c>
      <c r="DI2753" s="5" t="s">
        <v>238</v>
      </c>
      <c r="DJ2753" s="5" t="s">
        <v>238</v>
      </c>
      <c r="DN2753" s="5" t="s">
        <v>238</v>
      </c>
      <c r="DO2753" s="5" t="s">
        <v>238</v>
      </c>
      <c r="DP2753" s="5" t="s">
        <v>238</v>
      </c>
      <c r="DQ2753" s="5" t="s">
        <v>238</v>
      </c>
      <c r="DT2753" s="5" t="s">
        <v>275</v>
      </c>
      <c r="DU2753" s="5" t="s">
        <v>1410</v>
      </c>
      <c r="HM2753" s="5" t="s">
        <v>264</v>
      </c>
    </row>
    <row r="2754" spans="1:221" x14ac:dyDescent="0.4">
      <c r="A2754" s="5">
        <v>4458</v>
      </c>
      <c r="B2754" s="5">
        <v>1</v>
      </c>
      <c r="C2754" s="5">
        <v>1</v>
      </c>
      <c r="D2754" s="5" t="s">
        <v>269</v>
      </c>
      <c r="E2754" s="5" t="s">
        <v>271</v>
      </c>
      <c r="F2754" s="5" t="s">
        <v>248</v>
      </c>
      <c r="G2754" s="5" t="s">
        <v>266</v>
      </c>
      <c r="H2754" s="6" t="s">
        <v>1404</v>
      </c>
      <c r="I2754" s="7">
        <f>105</f>
        <v>105</v>
      </c>
      <c r="J2754" s="5" t="s">
        <v>262</v>
      </c>
      <c r="K2754" s="8">
        <f>1</f>
        <v>1</v>
      </c>
      <c r="L2754" s="6" t="s">
        <v>242</v>
      </c>
      <c r="M2754" s="5" t="s">
        <v>267</v>
      </c>
      <c r="N2754" s="5" t="s">
        <v>265</v>
      </c>
      <c r="O2754" s="5" t="s">
        <v>238</v>
      </c>
      <c r="P2754" s="5" t="s">
        <v>238</v>
      </c>
      <c r="Q2754" s="5" t="s">
        <v>268</v>
      </c>
      <c r="R2754" s="5" t="s">
        <v>270</v>
      </c>
      <c r="S2754" s="5" t="s">
        <v>238</v>
      </c>
      <c r="V2754" s="5" t="s">
        <v>238</v>
      </c>
      <c r="X2754" s="6" t="s">
        <v>238</v>
      </c>
      <c r="AA2754" s="6" t="s">
        <v>243</v>
      </c>
      <c r="AB2754" s="5" t="s">
        <v>238</v>
      </c>
      <c r="AC2754" s="5" t="s">
        <v>244</v>
      </c>
      <c r="AD2754" s="5" t="s">
        <v>245</v>
      </c>
      <c r="AT2754" s="5" t="s">
        <v>246</v>
      </c>
      <c r="AU2754" s="5" t="s">
        <v>238</v>
      </c>
      <c r="AV2754" s="5" t="s">
        <v>247</v>
      </c>
      <c r="AW2754" s="5" t="s">
        <v>238</v>
      </c>
      <c r="AX2754" s="5" t="s">
        <v>249</v>
      </c>
      <c r="AY2754" s="5" t="s">
        <v>238</v>
      </c>
      <c r="BA2754" s="5" t="s">
        <v>238</v>
      </c>
      <c r="BC2754" s="5" t="s">
        <v>250</v>
      </c>
      <c r="BD2754" s="6" t="s">
        <v>243</v>
      </c>
      <c r="BE2754" s="5" t="s">
        <v>251</v>
      </c>
      <c r="BF2754" s="5" t="s">
        <v>252</v>
      </c>
      <c r="BG2754" s="5" t="s">
        <v>238</v>
      </c>
      <c r="BH2754" s="7">
        <f>0</f>
        <v>0</v>
      </c>
      <c r="BI2754" s="8">
        <f>0</f>
        <v>0</v>
      </c>
      <c r="BJ2754" s="5" t="s">
        <v>253</v>
      </c>
      <c r="BK2754" s="5" t="s">
        <v>254</v>
      </c>
      <c r="BY2754" s="5" t="s">
        <v>238</v>
      </c>
      <c r="BZ2754" s="5" t="s">
        <v>238</v>
      </c>
      <c r="CD2754" s="5" t="s">
        <v>273</v>
      </c>
      <c r="CE2754" s="5" t="s">
        <v>256</v>
      </c>
      <c r="CF2754" s="5" t="s">
        <v>238</v>
      </c>
      <c r="CI2754" s="6" t="s">
        <v>257</v>
      </c>
      <c r="CJ2754" s="5" t="s">
        <v>238</v>
      </c>
      <c r="CK2754" s="5" t="s">
        <v>258</v>
      </c>
      <c r="CL2754" s="5" t="s">
        <v>238</v>
      </c>
      <c r="CM2754" s="5" t="s">
        <v>238</v>
      </c>
      <c r="CN2754" s="5">
        <v>0</v>
      </c>
      <c r="CO2754" s="5" t="s">
        <v>259</v>
      </c>
      <c r="CP2754" s="5" t="s">
        <v>260</v>
      </c>
      <c r="CQ2754" s="5" t="s">
        <v>260</v>
      </c>
      <c r="CR2754" s="5" t="s">
        <v>261</v>
      </c>
      <c r="CU2754" s="8">
        <f>1</f>
        <v>1</v>
      </c>
      <c r="CV2754" s="8">
        <f>0</f>
        <v>0</v>
      </c>
      <c r="CX2754" s="8">
        <f>0</f>
        <v>0</v>
      </c>
      <c r="CY2754" s="8">
        <f>1</f>
        <v>1</v>
      </c>
      <c r="DA2754" s="5" t="s">
        <v>274</v>
      </c>
      <c r="DB2754" s="5" t="s">
        <v>238</v>
      </c>
      <c r="DD2754" s="5" t="s">
        <v>274</v>
      </c>
      <c r="DE2754" s="8">
        <f>105</f>
        <v>105</v>
      </c>
      <c r="DG2754" s="5" t="s">
        <v>238</v>
      </c>
      <c r="DH2754" s="5" t="s">
        <v>238</v>
      </c>
      <c r="DI2754" s="5" t="s">
        <v>238</v>
      </c>
      <c r="DJ2754" s="5" t="s">
        <v>238</v>
      </c>
      <c r="DN2754" s="5" t="s">
        <v>238</v>
      </c>
      <c r="DO2754" s="5" t="s">
        <v>238</v>
      </c>
      <c r="DP2754" s="5" t="s">
        <v>238</v>
      </c>
      <c r="DQ2754" s="5" t="s">
        <v>238</v>
      </c>
      <c r="DT2754" s="5" t="s">
        <v>275</v>
      </c>
      <c r="DU2754" s="5" t="s">
        <v>1405</v>
      </c>
      <c r="HM2754" s="5" t="s">
        <v>264</v>
      </c>
    </row>
    <row r="2755" spans="1:221" x14ac:dyDescent="0.4">
      <c r="A2755" s="5">
        <v>4459</v>
      </c>
      <c r="B2755" s="5">
        <v>1</v>
      </c>
      <c r="C2755" s="5">
        <v>1</v>
      </c>
      <c r="D2755" s="5" t="s">
        <v>269</v>
      </c>
      <c r="E2755" s="5" t="s">
        <v>271</v>
      </c>
      <c r="F2755" s="5" t="s">
        <v>248</v>
      </c>
      <c r="G2755" s="5" t="s">
        <v>266</v>
      </c>
      <c r="H2755" s="6" t="s">
        <v>1400</v>
      </c>
      <c r="I2755" s="7">
        <f>171</f>
        <v>171</v>
      </c>
      <c r="J2755" s="5" t="s">
        <v>262</v>
      </c>
      <c r="K2755" s="8">
        <f>1</f>
        <v>1</v>
      </c>
      <c r="L2755" s="6" t="s">
        <v>242</v>
      </c>
      <c r="M2755" s="5" t="s">
        <v>267</v>
      </c>
      <c r="N2755" s="5" t="s">
        <v>265</v>
      </c>
      <c r="O2755" s="5" t="s">
        <v>238</v>
      </c>
      <c r="P2755" s="5" t="s">
        <v>238</v>
      </c>
      <c r="Q2755" s="5" t="s">
        <v>268</v>
      </c>
      <c r="R2755" s="5" t="s">
        <v>270</v>
      </c>
      <c r="S2755" s="5" t="s">
        <v>238</v>
      </c>
      <c r="V2755" s="5" t="s">
        <v>238</v>
      </c>
      <c r="X2755" s="6" t="s">
        <v>238</v>
      </c>
      <c r="AA2755" s="6" t="s">
        <v>243</v>
      </c>
      <c r="AB2755" s="5" t="s">
        <v>238</v>
      </c>
      <c r="AC2755" s="5" t="s">
        <v>244</v>
      </c>
      <c r="AD2755" s="5" t="s">
        <v>245</v>
      </c>
      <c r="AT2755" s="5" t="s">
        <v>246</v>
      </c>
      <c r="AU2755" s="5" t="s">
        <v>238</v>
      </c>
      <c r="AV2755" s="5" t="s">
        <v>247</v>
      </c>
      <c r="AW2755" s="5" t="s">
        <v>238</v>
      </c>
      <c r="AX2755" s="5" t="s">
        <v>249</v>
      </c>
      <c r="AY2755" s="5" t="s">
        <v>238</v>
      </c>
      <c r="BA2755" s="5" t="s">
        <v>238</v>
      </c>
      <c r="BC2755" s="5" t="s">
        <v>250</v>
      </c>
      <c r="BD2755" s="6" t="s">
        <v>243</v>
      </c>
      <c r="BE2755" s="5" t="s">
        <v>251</v>
      </c>
      <c r="BF2755" s="5" t="s">
        <v>252</v>
      </c>
      <c r="BG2755" s="5" t="s">
        <v>238</v>
      </c>
      <c r="BH2755" s="7">
        <f>0</f>
        <v>0</v>
      </c>
      <c r="BI2755" s="8">
        <f>0</f>
        <v>0</v>
      </c>
      <c r="BJ2755" s="5" t="s">
        <v>253</v>
      </c>
      <c r="BK2755" s="5" t="s">
        <v>254</v>
      </c>
      <c r="BY2755" s="5" t="s">
        <v>238</v>
      </c>
      <c r="BZ2755" s="5" t="s">
        <v>238</v>
      </c>
      <c r="CD2755" s="5" t="s">
        <v>273</v>
      </c>
      <c r="CE2755" s="5" t="s">
        <v>256</v>
      </c>
      <c r="CF2755" s="5" t="s">
        <v>238</v>
      </c>
      <c r="CI2755" s="6" t="s">
        <v>257</v>
      </c>
      <c r="CJ2755" s="5" t="s">
        <v>238</v>
      </c>
      <c r="CK2755" s="5" t="s">
        <v>258</v>
      </c>
      <c r="CL2755" s="5" t="s">
        <v>238</v>
      </c>
      <c r="CM2755" s="5" t="s">
        <v>238</v>
      </c>
      <c r="CN2755" s="5">
        <v>0</v>
      </c>
      <c r="CO2755" s="5" t="s">
        <v>259</v>
      </c>
      <c r="CP2755" s="5" t="s">
        <v>260</v>
      </c>
      <c r="CQ2755" s="5" t="s">
        <v>260</v>
      </c>
      <c r="CR2755" s="5" t="s">
        <v>261</v>
      </c>
      <c r="CU2755" s="8">
        <f>1</f>
        <v>1</v>
      </c>
      <c r="CV2755" s="8">
        <f>0</f>
        <v>0</v>
      </c>
      <c r="CX2755" s="8">
        <f>0</f>
        <v>0</v>
      </c>
      <c r="CY2755" s="8">
        <f>1</f>
        <v>1</v>
      </c>
      <c r="DA2755" s="5" t="s">
        <v>274</v>
      </c>
      <c r="DB2755" s="5" t="s">
        <v>238</v>
      </c>
      <c r="DD2755" s="5" t="s">
        <v>274</v>
      </c>
      <c r="DE2755" s="8">
        <f>171</f>
        <v>171</v>
      </c>
      <c r="DG2755" s="5" t="s">
        <v>238</v>
      </c>
      <c r="DH2755" s="5" t="s">
        <v>238</v>
      </c>
      <c r="DI2755" s="5" t="s">
        <v>238</v>
      </c>
      <c r="DJ2755" s="5" t="s">
        <v>238</v>
      </c>
      <c r="DN2755" s="5" t="s">
        <v>238</v>
      </c>
      <c r="DO2755" s="5" t="s">
        <v>238</v>
      </c>
      <c r="DP2755" s="5" t="s">
        <v>238</v>
      </c>
      <c r="DQ2755" s="5" t="s">
        <v>238</v>
      </c>
      <c r="DT2755" s="5" t="s">
        <v>275</v>
      </c>
      <c r="DU2755" s="5" t="s">
        <v>1401</v>
      </c>
      <c r="HM2755" s="5" t="s">
        <v>264</v>
      </c>
    </row>
    <row r="2756" spans="1:221" x14ac:dyDescent="0.4">
      <c r="A2756" s="5">
        <v>4460</v>
      </c>
      <c r="B2756" s="5">
        <v>1</v>
      </c>
      <c r="C2756" s="5">
        <v>1</v>
      </c>
      <c r="D2756" s="5" t="s">
        <v>269</v>
      </c>
      <c r="E2756" s="5" t="s">
        <v>271</v>
      </c>
      <c r="F2756" s="5" t="s">
        <v>248</v>
      </c>
      <c r="G2756" s="5" t="s">
        <v>266</v>
      </c>
      <c r="H2756" s="6" t="s">
        <v>1398</v>
      </c>
      <c r="I2756" s="7">
        <f>512</f>
        <v>512</v>
      </c>
      <c r="J2756" s="5" t="s">
        <v>262</v>
      </c>
      <c r="K2756" s="8">
        <f>1</f>
        <v>1</v>
      </c>
      <c r="L2756" s="6" t="s">
        <v>242</v>
      </c>
      <c r="M2756" s="5" t="s">
        <v>267</v>
      </c>
      <c r="N2756" s="5" t="s">
        <v>265</v>
      </c>
      <c r="O2756" s="5" t="s">
        <v>238</v>
      </c>
      <c r="P2756" s="5" t="s">
        <v>238</v>
      </c>
      <c r="Q2756" s="5" t="s">
        <v>268</v>
      </c>
      <c r="R2756" s="5" t="s">
        <v>270</v>
      </c>
      <c r="S2756" s="5" t="s">
        <v>238</v>
      </c>
      <c r="V2756" s="5" t="s">
        <v>238</v>
      </c>
      <c r="X2756" s="6" t="s">
        <v>238</v>
      </c>
      <c r="AA2756" s="6" t="s">
        <v>243</v>
      </c>
      <c r="AB2756" s="5" t="s">
        <v>238</v>
      </c>
      <c r="AC2756" s="5" t="s">
        <v>244</v>
      </c>
      <c r="AD2756" s="5" t="s">
        <v>245</v>
      </c>
      <c r="AT2756" s="5" t="s">
        <v>246</v>
      </c>
      <c r="AU2756" s="5" t="s">
        <v>238</v>
      </c>
      <c r="AV2756" s="5" t="s">
        <v>247</v>
      </c>
      <c r="AW2756" s="5" t="s">
        <v>238</v>
      </c>
      <c r="AX2756" s="5" t="s">
        <v>249</v>
      </c>
      <c r="AY2756" s="5" t="s">
        <v>238</v>
      </c>
      <c r="BA2756" s="5" t="s">
        <v>238</v>
      </c>
      <c r="BC2756" s="5" t="s">
        <v>250</v>
      </c>
      <c r="BD2756" s="6" t="s">
        <v>243</v>
      </c>
      <c r="BE2756" s="5" t="s">
        <v>251</v>
      </c>
      <c r="BF2756" s="5" t="s">
        <v>252</v>
      </c>
      <c r="BG2756" s="5" t="s">
        <v>238</v>
      </c>
      <c r="BH2756" s="7">
        <f>0</f>
        <v>0</v>
      </c>
      <c r="BI2756" s="8">
        <f>0</f>
        <v>0</v>
      </c>
      <c r="BJ2756" s="5" t="s">
        <v>253</v>
      </c>
      <c r="BK2756" s="5" t="s">
        <v>254</v>
      </c>
      <c r="BY2756" s="5" t="s">
        <v>238</v>
      </c>
      <c r="BZ2756" s="5" t="s">
        <v>238</v>
      </c>
      <c r="CD2756" s="5" t="s">
        <v>273</v>
      </c>
      <c r="CE2756" s="5" t="s">
        <v>256</v>
      </c>
      <c r="CF2756" s="5" t="s">
        <v>238</v>
      </c>
      <c r="CI2756" s="6" t="s">
        <v>257</v>
      </c>
      <c r="CJ2756" s="5" t="s">
        <v>238</v>
      </c>
      <c r="CK2756" s="5" t="s">
        <v>258</v>
      </c>
      <c r="CL2756" s="5" t="s">
        <v>238</v>
      </c>
      <c r="CM2756" s="5" t="s">
        <v>238</v>
      </c>
      <c r="CN2756" s="5">
        <v>0</v>
      </c>
      <c r="CO2756" s="5" t="s">
        <v>259</v>
      </c>
      <c r="CP2756" s="5" t="s">
        <v>260</v>
      </c>
      <c r="CQ2756" s="5" t="s">
        <v>260</v>
      </c>
      <c r="CR2756" s="5" t="s">
        <v>261</v>
      </c>
      <c r="CU2756" s="8">
        <f>1</f>
        <v>1</v>
      </c>
      <c r="CV2756" s="8">
        <f>0</f>
        <v>0</v>
      </c>
      <c r="CX2756" s="8">
        <f>0</f>
        <v>0</v>
      </c>
      <c r="CY2756" s="8">
        <f>1</f>
        <v>1</v>
      </c>
      <c r="DA2756" s="5" t="s">
        <v>274</v>
      </c>
      <c r="DB2756" s="5" t="s">
        <v>238</v>
      </c>
      <c r="DD2756" s="5" t="s">
        <v>274</v>
      </c>
      <c r="DE2756" s="8">
        <f>512</f>
        <v>512</v>
      </c>
      <c r="DG2756" s="5" t="s">
        <v>238</v>
      </c>
      <c r="DH2756" s="5" t="s">
        <v>238</v>
      </c>
      <c r="DI2756" s="5" t="s">
        <v>238</v>
      </c>
      <c r="DJ2756" s="5" t="s">
        <v>238</v>
      </c>
      <c r="DN2756" s="5" t="s">
        <v>238</v>
      </c>
      <c r="DO2756" s="5" t="s">
        <v>238</v>
      </c>
      <c r="DP2756" s="5" t="s">
        <v>238</v>
      </c>
      <c r="DQ2756" s="5" t="s">
        <v>238</v>
      </c>
      <c r="DT2756" s="5" t="s">
        <v>275</v>
      </c>
      <c r="DU2756" s="5" t="s">
        <v>1399</v>
      </c>
      <c r="HM2756" s="5" t="s">
        <v>264</v>
      </c>
    </row>
    <row r="2757" spans="1:221" x14ac:dyDescent="0.4">
      <c r="A2757" s="5">
        <v>4461</v>
      </c>
      <c r="B2757" s="5">
        <v>1</v>
      </c>
      <c r="C2757" s="5">
        <v>1</v>
      </c>
      <c r="D2757" s="5" t="s">
        <v>269</v>
      </c>
      <c r="E2757" s="5" t="s">
        <v>271</v>
      </c>
      <c r="F2757" s="5" t="s">
        <v>248</v>
      </c>
      <c r="G2757" s="5" t="s">
        <v>266</v>
      </c>
      <c r="H2757" s="6" t="s">
        <v>1392</v>
      </c>
      <c r="I2757" s="7">
        <f>275</f>
        <v>275</v>
      </c>
      <c r="J2757" s="5" t="s">
        <v>262</v>
      </c>
      <c r="K2757" s="8">
        <f>1</f>
        <v>1</v>
      </c>
      <c r="L2757" s="6" t="s">
        <v>242</v>
      </c>
      <c r="M2757" s="5" t="s">
        <v>267</v>
      </c>
      <c r="N2757" s="5" t="s">
        <v>265</v>
      </c>
      <c r="O2757" s="5" t="s">
        <v>238</v>
      </c>
      <c r="P2757" s="5" t="s">
        <v>238</v>
      </c>
      <c r="Q2757" s="5" t="s">
        <v>268</v>
      </c>
      <c r="R2757" s="5" t="s">
        <v>270</v>
      </c>
      <c r="S2757" s="5" t="s">
        <v>238</v>
      </c>
      <c r="V2757" s="5" t="s">
        <v>238</v>
      </c>
      <c r="X2757" s="6" t="s">
        <v>238</v>
      </c>
      <c r="AA2757" s="6" t="s">
        <v>243</v>
      </c>
      <c r="AB2757" s="5" t="s">
        <v>238</v>
      </c>
      <c r="AC2757" s="5" t="s">
        <v>244</v>
      </c>
      <c r="AD2757" s="5" t="s">
        <v>245</v>
      </c>
      <c r="AT2757" s="5" t="s">
        <v>246</v>
      </c>
      <c r="AU2757" s="5" t="s">
        <v>238</v>
      </c>
      <c r="AV2757" s="5" t="s">
        <v>247</v>
      </c>
      <c r="AW2757" s="5" t="s">
        <v>238</v>
      </c>
      <c r="AX2757" s="5" t="s">
        <v>249</v>
      </c>
      <c r="AY2757" s="5" t="s">
        <v>238</v>
      </c>
      <c r="BA2757" s="5" t="s">
        <v>238</v>
      </c>
      <c r="BC2757" s="5" t="s">
        <v>250</v>
      </c>
      <c r="BD2757" s="6" t="s">
        <v>243</v>
      </c>
      <c r="BE2757" s="5" t="s">
        <v>251</v>
      </c>
      <c r="BF2757" s="5" t="s">
        <v>252</v>
      </c>
      <c r="BG2757" s="5" t="s">
        <v>238</v>
      </c>
      <c r="BH2757" s="7">
        <f>0</f>
        <v>0</v>
      </c>
      <c r="BI2757" s="8">
        <f>0</f>
        <v>0</v>
      </c>
      <c r="BJ2757" s="5" t="s">
        <v>253</v>
      </c>
      <c r="BK2757" s="5" t="s">
        <v>254</v>
      </c>
      <c r="BY2757" s="5" t="s">
        <v>238</v>
      </c>
      <c r="BZ2757" s="5" t="s">
        <v>238</v>
      </c>
      <c r="CD2757" s="5" t="s">
        <v>273</v>
      </c>
      <c r="CE2757" s="5" t="s">
        <v>256</v>
      </c>
      <c r="CF2757" s="5" t="s">
        <v>238</v>
      </c>
      <c r="CI2757" s="6" t="s">
        <v>257</v>
      </c>
      <c r="CJ2757" s="5" t="s">
        <v>238</v>
      </c>
      <c r="CK2757" s="5" t="s">
        <v>258</v>
      </c>
      <c r="CL2757" s="5" t="s">
        <v>238</v>
      </c>
      <c r="CM2757" s="5" t="s">
        <v>238</v>
      </c>
      <c r="CN2757" s="5">
        <v>0</v>
      </c>
      <c r="CO2757" s="5" t="s">
        <v>259</v>
      </c>
      <c r="CP2757" s="5" t="s">
        <v>260</v>
      </c>
      <c r="CQ2757" s="5" t="s">
        <v>260</v>
      </c>
      <c r="CR2757" s="5" t="s">
        <v>261</v>
      </c>
      <c r="CU2757" s="8">
        <f>1</f>
        <v>1</v>
      </c>
      <c r="CV2757" s="8">
        <f>0</f>
        <v>0</v>
      </c>
      <c r="CX2757" s="8">
        <f>0</f>
        <v>0</v>
      </c>
      <c r="CY2757" s="8">
        <f>1</f>
        <v>1</v>
      </c>
      <c r="DA2757" s="5" t="s">
        <v>274</v>
      </c>
      <c r="DB2757" s="5" t="s">
        <v>238</v>
      </c>
      <c r="DD2757" s="5" t="s">
        <v>274</v>
      </c>
      <c r="DE2757" s="8">
        <f>275</f>
        <v>275</v>
      </c>
      <c r="DG2757" s="5" t="s">
        <v>238</v>
      </c>
      <c r="DH2757" s="5" t="s">
        <v>238</v>
      </c>
      <c r="DI2757" s="5" t="s">
        <v>238</v>
      </c>
      <c r="DJ2757" s="5" t="s">
        <v>238</v>
      </c>
      <c r="DN2757" s="5" t="s">
        <v>238</v>
      </c>
      <c r="DO2757" s="5" t="s">
        <v>238</v>
      </c>
      <c r="DP2757" s="5" t="s">
        <v>238</v>
      </c>
      <c r="DQ2757" s="5" t="s">
        <v>238</v>
      </c>
      <c r="DT2757" s="5" t="s">
        <v>275</v>
      </c>
      <c r="DU2757" s="5" t="s">
        <v>1393</v>
      </c>
      <c r="HM2757" s="5" t="s">
        <v>264</v>
      </c>
    </row>
    <row r="2758" spans="1:221" x14ac:dyDescent="0.4">
      <c r="A2758" s="5">
        <v>4462</v>
      </c>
      <c r="B2758" s="5">
        <v>1</v>
      </c>
      <c r="C2758" s="5">
        <v>1</v>
      </c>
      <c r="D2758" s="5" t="s">
        <v>269</v>
      </c>
      <c r="E2758" s="5" t="s">
        <v>271</v>
      </c>
      <c r="F2758" s="5" t="s">
        <v>248</v>
      </c>
      <c r="G2758" s="5" t="s">
        <v>266</v>
      </c>
      <c r="H2758" s="6" t="s">
        <v>1382</v>
      </c>
      <c r="I2758" s="7">
        <f>147</f>
        <v>147</v>
      </c>
      <c r="J2758" s="5" t="s">
        <v>262</v>
      </c>
      <c r="K2758" s="8">
        <f>1</f>
        <v>1</v>
      </c>
      <c r="L2758" s="6" t="s">
        <v>242</v>
      </c>
      <c r="M2758" s="5" t="s">
        <v>267</v>
      </c>
      <c r="N2758" s="5" t="s">
        <v>265</v>
      </c>
      <c r="O2758" s="5" t="s">
        <v>238</v>
      </c>
      <c r="P2758" s="5" t="s">
        <v>238</v>
      </c>
      <c r="Q2758" s="5" t="s">
        <v>268</v>
      </c>
      <c r="R2758" s="5" t="s">
        <v>270</v>
      </c>
      <c r="S2758" s="5" t="s">
        <v>238</v>
      </c>
      <c r="V2758" s="5" t="s">
        <v>238</v>
      </c>
      <c r="X2758" s="6" t="s">
        <v>238</v>
      </c>
      <c r="AA2758" s="6" t="s">
        <v>243</v>
      </c>
      <c r="AB2758" s="5" t="s">
        <v>238</v>
      </c>
      <c r="AC2758" s="5" t="s">
        <v>244</v>
      </c>
      <c r="AD2758" s="5" t="s">
        <v>245</v>
      </c>
      <c r="AT2758" s="5" t="s">
        <v>246</v>
      </c>
      <c r="AU2758" s="5" t="s">
        <v>238</v>
      </c>
      <c r="AV2758" s="5" t="s">
        <v>247</v>
      </c>
      <c r="AW2758" s="5" t="s">
        <v>238</v>
      </c>
      <c r="AX2758" s="5" t="s">
        <v>249</v>
      </c>
      <c r="AY2758" s="5" t="s">
        <v>238</v>
      </c>
      <c r="BA2758" s="5" t="s">
        <v>238</v>
      </c>
      <c r="BC2758" s="5" t="s">
        <v>250</v>
      </c>
      <c r="BD2758" s="6" t="s">
        <v>243</v>
      </c>
      <c r="BE2758" s="5" t="s">
        <v>251</v>
      </c>
      <c r="BF2758" s="5" t="s">
        <v>252</v>
      </c>
      <c r="BG2758" s="5" t="s">
        <v>238</v>
      </c>
      <c r="BH2758" s="7">
        <f>0</f>
        <v>0</v>
      </c>
      <c r="BI2758" s="8">
        <f>0</f>
        <v>0</v>
      </c>
      <c r="BJ2758" s="5" t="s">
        <v>253</v>
      </c>
      <c r="BK2758" s="5" t="s">
        <v>254</v>
      </c>
      <c r="BY2758" s="5" t="s">
        <v>238</v>
      </c>
      <c r="BZ2758" s="5" t="s">
        <v>238</v>
      </c>
      <c r="CD2758" s="5" t="s">
        <v>273</v>
      </c>
      <c r="CE2758" s="5" t="s">
        <v>256</v>
      </c>
      <c r="CF2758" s="5" t="s">
        <v>238</v>
      </c>
      <c r="CI2758" s="6" t="s">
        <v>257</v>
      </c>
      <c r="CJ2758" s="5" t="s">
        <v>238</v>
      </c>
      <c r="CK2758" s="5" t="s">
        <v>258</v>
      </c>
      <c r="CL2758" s="5" t="s">
        <v>238</v>
      </c>
      <c r="CM2758" s="5" t="s">
        <v>238</v>
      </c>
      <c r="CN2758" s="5">
        <v>0</v>
      </c>
      <c r="CO2758" s="5" t="s">
        <v>259</v>
      </c>
      <c r="CP2758" s="5" t="s">
        <v>260</v>
      </c>
      <c r="CQ2758" s="5" t="s">
        <v>260</v>
      </c>
      <c r="CR2758" s="5" t="s">
        <v>261</v>
      </c>
      <c r="CU2758" s="8">
        <f>1</f>
        <v>1</v>
      </c>
      <c r="CV2758" s="8">
        <f>0</f>
        <v>0</v>
      </c>
      <c r="CX2758" s="8">
        <f>0</f>
        <v>0</v>
      </c>
      <c r="CY2758" s="8">
        <f>1</f>
        <v>1</v>
      </c>
      <c r="DA2758" s="5" t="s">
        <v>274</v>
      </c>
      <c r="DB2758" s="5" t="s">
        <v>238</v>
      </c>
      <c r="DD2758" s="5" t="s">
        <v>274</v>
      </c>
      <c r="DE2758" s="8">
        <f>147</f>
        <v>147</v>
      </c>
      <c r="DG2758" s="5" t="s">
        <v>238</v>
      </c>
      <c r="DH2758" s="5" t="s">
        <v>238</v>
      </c>
      <c r="DI2758" s="5" t="s">
        <v>238</v>
      </c>
      <c r="DJ2758" s="5" t="s">
        <v>238</v>
      </c>
      <c r="DN2758" s="5" t="s">
        <v>238</v>
      </c>
      <c r="DO2758" s="5" t="s">
        <v>238</v>
      </c>
      <c r="DP2758" s="5" t="s">
        <v>238</v>
      </c>
      <c r="DQ2758" s="5" t="s">
        <v>238</v>
      </c>
      <c r="DT2758" s="5" t="s">
        <v>275</v>
      </c>
      <c r="DU2758" s="5" t="s">
        <v>1383</v>
      </c>
      <c r="HM2758" s="5" t="s">
        <v>264</v>
      </c>
    </row>
    <row r="2759" spans="1:221" x14ac:dyDescent="0.4">
      <c r="A2759" s="5">
        <v>4463</v>
      </c>
      <c r="B2759" s="5">
        <v>1</v>
      </c>
      <c r="C2759" s="5">
        <v>1</v>
      </c>
      <c r="D2759" s="5" t="s">
        <v>269</v>
      </c>
      <c r="E2759" s="5" t="s">
        <v>271</v>
      </c>
      <c r="F2759" s="5" t="s">
        <v>248</v>
      </c>
      <c r="G2759" s="5" t="s">
        <v>266</v>
      </c>
      <c r="H2759" s="6" t="s">
        <v>1377</v>
      </c>
      <c r="I2759" s="7">
        <f>1438</f>
        <v>1438</v>
      </c>
      <c r="J2759" s="5" t="s">
        <v>262</v>
      </c>
      <c r="K2759" s="8">
        <f>1</f>
        <v>1</v>
      </c>
      <c r="L2759" s="6" t="s">
        <v>242</v>
      </c>
      <c r="M2759" s="5" t="s">
        <v>267</v>
      </c>
      <c r="N2759" s="5" t="s">
        <v>265</v>
      </c>
      <c r="O2759" s="5" t="s">
        <v>238</v>
      </c>
      <c r="P2759" s="5" t="s">
        <v>238</v>
      </c>
      <c r="Q2759" s="5" t="s">
        <v>268</v>
      </c>
      <c r="R2759" s="5" t="s">
        <v>270</v>
      </c>
      <c r="S2759" s="5" t="s">
        <v>238</v>
      </c>
      <c r="V2759" s="5" t="s">
        <v>238</v>
      </c>
      <c r="X2759" s="6" t="s">
        <v>238</v>
      </c>
      <c r="AA2759" s="6" t="s">
        <v>243</v>
      </c>
      <c r="AB2759" s="5" t="s">
        <v>238</v>
      </c>
      <c r="AC2759" s="5" t="s">
        <v>244</v>
      </c>
      <c r="AD2759" s="5" t="s">
        <v>245</v>
      </c>
      <c r="AT2759" s="5" t="s">
        <v>246</v>
      </c>
      <c r="AU2759" s="5" t="s">
        <v>238</v>
      </c>
      <c r="AV2759" s="5" t="s">
        <v>247</v>
      </c>
      <c r="AW2759" s="5" t="s">
        <v>238</v>
      </c>
      <c r="AX2759" s="5" t="s">
        <v>249</v>
      </c>
      <c r="AY2759" s="5" t="s">
        <v>238</v>
      </c>
      <c r="BA2759" s="5" t="s">
        <v>238</v>
      </c>
      <c r="BC2759" s="5" t="s">
        <v>250</v>
      </c>
      <c r="BD2759" s="6" t="s">
        <v>243</v>
      </c>
      <c r="BE2759" s="5" t="s">
        <v>251</v>
      </c>
      <c r="BF2759" s="5" t="s">
        <v>252</v>
      </c>
      <c r="BG2759" s="5" t="s">
        <v>238</v>
      </c>
      <c r="BH2759" s="7">
        <f>0</f>
        <v>0</v>
      </c>
      <c r="BI2759" s="8">
        <f>0</f>
        <v>0</v>
      </c>
      <c r="BJ2759" s="5" t="s">
        <v>253</v>
      </c>
      <c r="BK2759" s="5" t="s">
        <v>254</v>
      </c>
      <c r="BY2759" s="5" t="s">
        <v>238</v>
      </c>
      <c r="BZ2759" s="5" t="s">
        <v>238</v>
      </c>
      <c r="CD2759" s="5" t="s">
        <v>273</v>
      </c>
      <c r="CE2759" s="5" t="s">
        <v>256</v>
      </c>
      <c r="CF2759" s="5" t="s">
        <v>238</v>
      </c>
      <c r="CI2759" s="6" t="s">
        <v>257</v>
      </c>
      <c r="CJ2759" s="5" t="s">
        <v>238</v>
      </c>
      <c r="CK2759" s="5" t="s">
        <v>258</v>
      </c>
      <c r="CL2759" s="5" t="s">
        <v>238</v>
      </c>
      <c r="CM2759" s="5" t="s">
        <v>238</v>
      </c>
      <c r="CN2759" s="5">
        <v>0</v>
      </c>
      <c r="CO2759" s="5" t="s">
        <v>259</v>
      </c>
      <c r="CP2759" s="5" t="s">
        <v>260</v>
      </c>
      <c r="CQ2759" s="5" t="s">
        <v>260</v>
      </c>
      <c r="CR2759" s="5" t="s">
        <v>261</v>
      </c>
      <c r="CU2759" s="8">
        <f>1</f>
        <v>1</v>
      </c>
      <c r="CV2759" s="8">
        <f>0</f>
        <v>0</v>
      </c>
      <c r="CX2759" s="8">
        <f>0</f>
        <v>0</v>
      </c>
      <c r="CY2759" s="8">
        <f>1</f>
        <v>1</v>
      </c>
      <c r="DA2759" s="5" t="s">
        <v>274</v>
      </c>
      <c r="DB2759" s="5" t="s">
        <v>238</v>
      </c>
      <c r="DD2759" s="5" t="s">
        <v>274</v>
      </c>
      <c r="DE2759" s="8">
        <f>1438</f>
        <v>1438</v>
      </c>
      <c r="DG2759" s="5" t="s">
        <v>238</v>
      </c>
      <c r="DH2759" s="5" t="s">
        <v>238</v>
      </c>
      <c r="DI2759" s="5" t="s">
        <v>238</v>
      </c>
      <c r="DJ2759" s="5" t="s">
        <v>238</v>
      </c>
      <c r="DN2759" s="5" t="s">
        <v>238</v>
      </c>
      <c r="DO2759" s="5" t="s">
        <v>238</v>
      </c>
      <c r="DP2759" s="5" t="s">
        <v>238</v>
      </c>
      <c r="DQ2759" s="5" t="s">
        <v>238</v>
      </c>
      <c r="DT2759" s="5" t="s">
        <v>275</v>
      </c>
      <c r="DU2759" s="5" t="s">
        <v>1378</v>
      </c>
      <c r="HM2759" s="5" t="s">
        <v>264</v>
      </c>
    </row>
    <row r="2760" spans="1:221" x14ac:dyDescent="0.4">
      <c r="A2760" s="5">
        <v>4464</v>
      </c>
      <c r="B2760" s="5">
        <v>1</v>
      </c>
      <c r="C2760" s="5">
        <v>1</v>
      </c>
      <c r="D2760" s="5" t="s">
        <v>269</v>
      </c>
      <c r="E2760" s="5" t="s">
        <v>271</v>
      </c>
      <c r="F2760" s="5" t="s">
        <v>248</v>
      </c>
      <c r="G2760" s="5" t="s">
        <v>266</v>
      </c>
      <c r="H2760" s="6" t="s">
        <v>1365</v>
      </c>
      <c r="I2760" s="7">
        <f>572</f>
        <v>572</v>
      </c>
      <c r="J2760" s="5" t="s">
        <v>262</v>
      </c>
      <c r="K2760" s="8">
        <f>1</f>
        <v>1</v>
      </c>
      <c r="L2760" s="6" t="s">
        <v>242</v>
      </c>
      <c r="M2760" s="5" t="s">
        <v>267</v>
      </c>
      <c r="N2760" s="5" t="s">
        <v>265</v>
      </c>
      <c r="O2760" s="5" t="s">
        <v>238</v>
      </c>
      <c r="P2760" s="5" t="s">
        <v>238</v>
      </c>
      <c r="Q2760" s="5" t="s">
        <v>268</v>
      </c>
      <c r="R2760" s="5" t="s">
        <v>270</v>
      </c>
      <c r="S2760" s="5" t="s">
        <v>238</v>
      </c>
      <c r="V2760" s="5" t="s">
        <v>238</v>
      </c>
      <c r="X2760" s="6" t="s">
        <v>238</v>
      </c>
      <c r="AA2760" s="6" t="s">
        <v>243</v>
      </c>
      <c r="AB2760" s="5" t="s">
        <v>238</v>
      </c>
      <c r="AC2760" s="5" t="s">
        <v>244</v>
      </c>
      <c r="AD2760" s="5" t="s">
        <v>245</v>
      </c>
      <c r="AT2760" s="5" t="s">
        <v>246</v>
      </c>
      <c r="AU2760" s="5" t="s">
        <v>238</v>
      </c>
      <c r="AV2760" s="5" t="s">
        <v>247</v>
      </c>
      <c r="AW2760" s="5" t="s">
        <v>238</v>
      </c>
      <c r="AX2760" s="5" t="s">
        <v>249</v>
      </c>
      <c r="AY2760" s="5" t="s">
        <v>238</v>
      </c>
      <c r="BA2760" s="5" t="s">
        <v>238</v>
      </c>
      <c r="BC2760" s="5" t="s">
        <v>250</v>
      </c>
      <c r="BD2760" s="6" t="s">
        <v>243</v>
      </c>
      <c r="BE2760" s="5" t="s">
        <v>251</v>
      </c>
      <c r="BF2760" s="5" t="s">
        <v>252</v>
      </c>
      <c r="BG2760" s="5" t="s">
        <v>238</v>
      </c>
      <c r="BH2760" s="7">
        <f>0</f>
        <v>0</v>
      </c>
      <c r="BI2760" s="8">
        <f>0</f>
        <v>0</v>
      </c>
      <c r="BJ2760" s="5" t="s">
        <v>253</v>
      </c>
      <c r="BK2760" s="5" t="s">
        <v>254</v>
      </c>
      <c r="BY2760" s="5" t="s">
        <v>238</v>
      </c>
      <c r="BZ2760" s="5" t="s">
        <v>238</v>
      </c>
      <c r="CD2760" s="5" t="s">
        <v>273</v>
      </c>
      <c r="CE2760" s="5" t="s">
        <v>256</v>
      </c>
      <c r="CF2760" s="5" t="s">
        <v>238</v>
      </c>
      <c r="CI2760" s="6" t="s">
        <v>257</v>
      </c>
      <c r="CJ2760" s="5" t="s">
        <v>238</v>
      </c>
      <c r="CK2760" s="5" t="s">
        <v>258</v>
      </c>
      <c r="CL2760" s="5" t="s">
        <v>238</v>
      </c>
      <c r="CM2760" s="5" t="s">
        <v>238</v>
      </c>
      <c r="CN2760" s="5">
        <v>0</v>
      </c>
      <c r="CO2760" s="5" t="s">
        <v>259</v>
      </c>
      <c r="CP2760" s="5" t="s">
        <v>260</v>
      </c>
      <c r="CQ2760" s="5" t="s">
        <v>260</v>
      </c>
      <c r="CR2760" s="5" t="s">
        <v>261</v>
      </c>
      <c r="CU2760" s="8">
        <f>1</f>
        <v>1</v>
      </c>
      <c r="CV2760" s="8">
        <f>0</f>
        <v>0</v>
      </c>
      <c r="CX2760" s="8">
        <f>0</f>
        <v>0</v>
      </c>
      <c r="CY2760" s="8">
        <f>1</f>
        <v>1</v>
      </c>
      <c r="DA2760" s="5" t="s">
        <v>274</v>
      </c>
      <c r="DB2760" s="5" t="s">
        <v>238</v>
      </c>
      <c r="DD2760" s="5" t="s">
        <v>274</v>
      </c>
      <c r="DE2760" s="8">
        <f>572</f>
        <v>572</v>
      </c>
      <c r="DG2760" s="5" t="s">
        <v>238</v>
      </c>
      <c r="DH2760" s="5" t="s">
        <v>238</v>
      </c>
      <c r="DI2760" s="5" t="s">
        <v>238</v>
      </c>
      <c r="DJ2760" s="5" t="s">
        <v>238</v>
      </c>
      <c r="DN2760" s="5" t="s">
        <v>238</v>
      </c>
      <c r="DO2760" s="5" t="s">
        <v>238</v>
      </c>
      <c r="DP2760" s="5" t="s">
        <v>238</v>
      </c>
      <c r="DQ2760" s="5" t="s">
        <v>238</v>
      </c>
      <c r="DT2760" s="5" t="s">
        <v>275</v>
      </c>
      <c r="DU2760" s="5" t="s">
        <v>1366</v>
      </c>
      <c r="HM2760" s="5" t="s">
        <v>264</v>
      </c>
    </row>
    <row r="2761" spans="1:221" x14ac:dyDescent="0.4">
      <c r="A2761" s="5">
        <v>4465</v>
      </c>
      <c r="B2761" s="5">
        <v>1</v>
      </c>
      <c r="C2761" s="5">
        <v>1</v>
      </c>
      <c r="D2761" s="5" t="s">
        <v>269</v>
      </c>
      <c r="E2761" s="5" t="s">
        <v>271</v>
      </c>
      <c r="F2761" s="5" t="s">
        <v>248</v>
      </c>
      <c r="G2761" s="5" t="s">
        <v>266</v>
      </c>
      <c r="H2761" s="6" t="s">
        <v>1361</v>
      </c>
      <c r="I2761" s="7">
        <f>825</f>
        <v>825</v>
      </c>
      <c r="J2761" s="5" t="s">
        <v>262</v>
      </c>
      <c r="K2761" s="8">
        <f>1</f>
        <v>1</v>
      </c>
      <c r="L2761" s="6" t="s">
        <v>242</v>
      </c>
      <c r="M2761" s="5" t="s">
        <v>267</v>
      </c>
      <c r="N2761" s="5" t="s">
        <v>265</v>
      </c>
      <c r="O2761" s="5" t="s">
        <v>238</v>
      </c>
      <c r="P2761" s="5" t="s">
        <v>238</v>
      </c>
      <c r="Q2761" s="5" t="s">
        <v>268</v>
      </c>
      <c r="R2761" s="5" t="s">
        <v>270</v>
      </c>
      <c r="S2761" s="5" t="s">
        <v>238</v>
      </c>
      <c r="V2761" s="5" t="s">
        <v>238</v>
      </c>
      <c r="X2761" s="6" t="s">
        <v>238</v>
      </c>
      <c r="AA2761" s="6" t="s">
        <v>243</v>
      </c>
      <c r="AB2761" s="5" t="s">
        <v>238</v>
      </c>
      <c r="AC2761" s="5" t="s">
        <v>244</v>
      </c>
      <c r="AD2761" s="5" t="s">
        <v>245</v>
      </c>
      <c r="AT2761" s="5" t="s">
        <v>246</v>
      </c>
      <c r="AU2761" s="5" t="s">
        <v>238</v>
      </c>
      <c r="AV2761" s="5" t="s">
        <v>247</v>
      </c>
      <c r="AW2761" s="5" t="s">
        <v>238</v>
      </c>
      <c r="AX2761" s="5" t="s">
        <v>249</v>
      </c>
      <c r="AY2761" s="5" t="s">
        <v>238</v>
      </c>
      <c r="BA2761" s="5" t="s">
        <v>238</v>
      </c>
      <c r="BC2761" s="5" t="s">
        <v>250</v>
      </c>
      <c r="BD2761" s="6" t="s">
        <v>243</v>
      </c>
      <c r="BE2761" s="5" t="s">
        <v>251</v>
      </c>
      <c r="BF2761" s="5" t="s">
        <v>252</v>
      </c>
      <c r="BG2761" s="5" t="s">
        <v>238</v>
      </c>
      <c r="BH2761" s="7">
        <f>0</f>
        <v>0</v>
      </c>
      <c r="BI2761" s="8">
        <f>0</f>
        <v>0</v>
      </c>
      <c r="BJ2761" s="5" t="s">
        <v>253</v>
      </c>
      <c r="BK2761" s="5" t="s">
        <v>254</v>
      </c>
      <c r="BY2761" s="5" t="s">
        <v>238</v>
      </c>
      <c r="BZ2761" s="5" t="s">
        <v>238</v>
      </c>
      <c r="CD2761" s="5" t="s">
        <v>273</v>
      </c>
      <c r="CE2761" s="5" t="s">
        <v>256</v>
      </c>
      <c r="CF2761" s="5" t="s">
        <v>238</v>
      </c>
      <c r="CI2761" s="6" t="s">
        <v>257</v>
      </c>
      <c r="CJ2761" s="5" t="s">
        <v>238</v>
      </c>
      <c r="CK2761" s="5" t="s">
        <v>258</v>
      </c>
      <c r="CL2761" s="5" t="s">
        <v>238</v>
      </c>
      <c r="CM2761" s="5" t="s">
        <v>238</v>
      </c>
      <c r="CN2761" s="5">
        <v>0</v>
      </c>
      <c r="CO2761" s="5" t="s">
        <v>259</v>
      </c>
      <c r="CP2761" s="5" t="s">
        <v>260</v>
      </c>
      <c r="CQ2761" s="5" t="s">
        <v>260</v>
      </c>
      <c r="CR2761" s="5" t="s">
        <v>261</v>
      </c>
      <c r="CU2761" s="8">
        <f>1</f>
        <v>1</v>
      </c>
      <c r="CV2761" s="8">
        <f>0</f>
        <v>0</v>
      </c>
      <c r="CX2761" s="8">
        <f>0</f>
        <v>0</v>
      </c>
      <c r="CY2761" s="8">
        <f>1</f>
        <v>1</v>
      </c>
      <c r="DA2761" s="5" t="s">
        <v>274</v>
      </c>
      <c r="DB2761" s="5" t="s">
        <v>238</v>
      </c>
      <c r="DD2761" s="5" t="s">
        <v>274</v>
      </c>
      <c r="DE2761" s="8">
        <f>825</f>
        <v>825</v>
      </c>
      <c r="DG2761" s="5" t="s">
        <v>238</v>
      </c>
      <c r="DH2761" s="5" t="s">
        <v>238</v>
      </c>
      <c r="DI2761" s="5" t="s">
        <v>238</v>
      </c>
      <c r="DJ2761" s="5" t="s">
        <v>238</v>
      </c>
      <c r="DN2761" s="5" t="s">
        <v>238</v>
      </c>
      <c r="DO2761" s="5" t="s">
        <v>238</v>
      </c>
      <c r="DP2761" s="5" t="s">
        <v>238</v>
      </c>
      <c r="DQ2761" s="5" t="s">
        <v>238</v>
      </c>
      <c r="DT2761" s="5" t="s">
        <v>275</v>
      </c>
      <c r="DU2761" s="5" t="s">
        <v>1362</v>
      </c>
      <c r="HM2761" s="5" t="s">
        <v>264</v>
      </c>
    </row>
    <row r="2762" spans="1:221" x14ac:dyDescent="0.4">
      <c r="A2762" s="5">
        <v>4466</v>
      </c>
      <c r="B2762" s="5">
        <v>1</v>
      </c>
      <c r="C2762" s="5">
        <v>1</v>
      </c>
      <c r="D2762" s="5" t="s">
        <v>269</v>
      </c>
      <c r="E2762" s="5" t="s">
        <v>271</v>
      </c>
      <c r="F2762" s="5" t="s">
        <v>248</v>
      </c>
      <c r="G2762" s="5" t="s">
        <v>266</v>
      </c>
      <c r="H2762" s="6" t="s">
        <v>1355</v>
      </c>
      <c r="I2762" s="7">
        <f>503</f>
        <v>503</v>
      </c>
      <c r="J2762" s="5" t="s">
        <v>262</v>
      </c>
      <c r="K2762" s="8">
        <f>1</f>
        <v>1</v>
      </c>
      <c r="L2762" s="6" t="s">
        <v>242</v>
      </c>
      <c r="M2762" s="5" t="s">
        <v>267</v>
      </c>
      <c r="N2762" s="5" t="s">
        <v>265</v>
      </c>
      <c r="O2762" s="5" t="s">
        <v>238</v>
      </c>
      <c r="P2762" s="5" t="s">
        <v>238</v>
      </c>
      <c r="Q2762" s="5" t="s">
        <v>268</v>
      </c>
      <c r="R2762" s="5" t="s">
        <v>270</v>
      </c>
      <c r="S2762" s="5" t="s">
        <v>238</v>
      </c>
      <c r="V2762" s="5" t="s">
        <v>238</v>
      </c>
      <c r="X2762" s="6" t="s">
        <v>238</v>
      </c>
      <c r="AA2762" s="6" t="s">
        <v>243</v>
      </c>
      <c r="AB2762" s="5" t="s">
        <v>238</v>
      </c>
      <c r="AC2762" s="5" t="s">
        <v>244</v>
      </c>
      <c r="AD2762" s="5" t="s">
        <v>245</v>
      </c>
      <c r="AT2762" s="5" t="s">
        <v>246</v>
      </c>
      <c r="AU2762" s="5" t="s">
        <v>238</v>
      </c>
      <c r="AV2762" s="5" t="s">
        <v>247</v>
      </c>
      <c r="AW2762" s="5" t="s">
        <v>238</v>
      </c>
      <c r="AX2762" s="5" t="s">
        <v>249</v>
      </c>
      <c r="AY2762" s="5" t="s">
        <v>238</v>
      </c>
      <c r="BA2762" s="5" t="s">
        <v>238</v>
      </c>
      <c r="BC2762" s="5" t="s">
        <v>250</v>
      </c>
      <c r="BD2762" s="6" t="s">
        <v>243</v>
      </c>
      <c r="BE2762" s="5" t="s">
        <v>251</v>
      </c>
      <c r="BF2762" s="5" t="s">
        <v>252</v>
      </c>
      <c r="BG2762" s="5" t="s">
        <v>238</v>
      </c>
      <c r="BH2762" s="7">
        <f>0</f>
        <v>0</v>
      </c>
      <c r="BI2762" s="8">
        <f>0</f>
        <v>0</v>
      </c>
      <c r="BJ2762" s="5" t="s">
        <v>253</v>
      </c>
      <c r="BK2762" s="5" t="s">
        <v>254</v>
      </c>
      <c r="BY2762" s="5" t="s">
        <v>238</v>
      </c>
      <c r="BZ2762" s="5" t="s">
        <v>238</v>
      </c>
      <c r="CD2762" s="5" t="s">
        <v>273</v>
      </c>
      <c r="CE2762" s="5" t="s">
        <v>256</v>
      </c>
      <c r="CF2762" s="5" t="s">
        <v>238</v>
      </c>
      <c r="CI2762" s="6" t="s">
        <v>257</v>
      </c>
      <c r="CJ2762" s="5" t="s">
        <v>238</v>
      </c>
      <c r="CK2762" s="5" t="s">
        <v>258</v>
      </c>
      <c r="CL2762" s="5" t="s">
        <v>238</v>
      </c>
      <c r="CM2762" s="5" t="s">
        <v>238</v>
      </c>
      <c r="CN2762" s="5">
        <v>0</v>
      </c>
      <c r="CO2762" s="5" t="s">
        <v>259</v>
      </c>
      <c r="CP2762" s="5" t="s">
        <v>260</v>
      </c>
      <c r="CQ2762" s="5" t="s">
        <v>260</v>
      </c>
      <c r="CR2762" s="5" t="s">
        <v>261</v>
      </c>
      <c r="CU2762" s="8">
        <f>1</f>
        <v>1</v>
      </c>
      <c r="CV2762" s="8">
        <f>0</f>
        <v>0</v>
      </c>
      <c r="CX2762" s="8">
        <f>0</f>
        <v>0</v>
      </c>
      <c r="CY2762" s="8">
        <f>1</f>
        <v>1</v>
      </c>
      <c r="DA2762" s="5" t="s">
        <v>274</v>
      </c>
      <c r="DB2762" s="5" t="s">
        <v>238</v>
      </c>
      <c r="DD2762" s="5" t="s">
        <v>274</v>
      </c>
      <c r="DE2762" s="8">
        <f>503</f>
        <v>503</v>
      </c>
      <c r="DG2762" s="5" t="s">
        <v>238</v>
      </c>
      <c r="DH2762" s="5" t="s">
        <v>238</v>
      </c>
      <c r="DI2762" s="5" t="s">
        <v>238</v>
      </c>
      <c r="DJ2762" s="5" t="s">
        <v>238</v>
      </c>
      <c r="DN2762" s="5" t="s">
        <v>238</v>
      </c>
      <c r="DO2762" s="5" t="s">
        <v>238</v>
      </c>
      <c r="DP2762" s="5" t="s">
        <v>238</v>
      </c>
      <c r="DQ2762" s="5" t="s">
        <v>238</v>
      </c>
      <c r="DT2762" s="5" t="s">
        <v>275</v>
      </c>
      <c r="DU2762" s="5" t="s">
        <v>1356</v>
      </c>
      <c r="HM2762" s="5" t="s">
        <v>264</v>
      </c>
    </row>
    <row r="2763" spans="1:221" x14ac:dyDescent="0.4">
      <c r="A2763" s="5">
        <v>4467</v>
      </c>
      <c r="B2763" s="5">
        <v>1</v>
      </c>
      <c r="C2763" s="5">
        <v>1</v>
      </c>
      <c r="D2763" s="5" t="s">
        <v>269</v>
      </c>
      <c r="E2763" s="5" t="s">
        <v>271</v>
      </c>
      <c r="F2763" s="5" t="s">
        <v>248</v>
      </c>
      <c r="G2763" s="5" t="s">
        <v>266</v>
      </c>
      <c r="H2763" s="6" t="s">
        <v>1347</v>
      </c>
      <c r="I2763" s="7">
        <f>1661</f>
        <v>1661</v>
      </c>
      <c r="J2763" s="5" t="s">
        <v>262</v>
      </c>
      <c r="K2763" s="8">
        <f>1</f>
        <v>1</v>
      </c>
      <c r="L2763" s="6" t="s">
        <v>242</v>
      </c>
      <c r="M2763" s="5" t="s">
        <v>267</v>
      </c>
      <c r="N2763" s="5" t="s">
        <v>265</v>
      </c>
      <c r="O2763" s="5" t="s">
        <v>238</v>
      </c>
      <c r="P2763" s="5" t="s">
        <v>238</v>
      </c>
      <c r="Q2763" s="5" t="s">
        <v>268</v>
      </c>
      <c r="R2763" s="5" t="s">
        <v>270</v>
      </c>
      <c r="S2763" s="5" t="s">
        <v>238</v>
      </c>
      <c r="V2763" s="5" t="s">
        <v>238</v>
      </c>
      <c r="X2763" s="6" t="s">
        <v>238</v>
      </c>
      <c r="AA2763" s="6" t="s">
        <v>243</v>
      </c>
      <c r="AB2763" s="5" t="s">
        <v>238</v>
      </c>
      <c r="AC2763" s="5" t="s">
        <v>244</v>
      </c>
      <c r="AD2763" s="5" t="s">
        <v>245</v>
      </c>
      <c r="AT2763" s="5" t="s">
        <v>246</v>
      </c>
      <c r="AU2763" s="5" t="s">
        <v>238</v>
      </c>
      <c r="AV2763" s="5" t="s">
        <v>247</v>
      </c>
      <c r="AW2763" s="5" t="s">
        <v>238</v>
      </c>
      <c r="AX2763" s="5" t="s">
        <v>249</v>
      </c>
      <c r="AY2763" s="5" t="s">
        <v>238</v>
      </c>
      <c r="BA2763" s="5" t="s">
        <v>238</v>
      </c>
      <c r="BC2763" s="5" t="s">
        <v>250</v>
      </c>
      <c r="BD2763" s="6" t="s">
        <v>243</v>
      </c>
      <c r="BE2763" s="5" t="s">
        <v>251</v>
      </c>
      <c r="BF2763" s="5" t="s">
        <v>252</v>
      </c>
      <c r="BG2763" s="5" t="s">
        <v>238</v>
      </c>
      <c r="BH2763" s="7">
        <f>0</f>
        <v>0</v>
      </c>
      <c r="BI2763" s="8">
        <f>0</f>
        <v>0</v>
      </c>
      <c r="BJ2763" s="5" t="s">
        <v>253</v>
      </c>
      <c r="BK2763" s="5" t="s">
        <v>254</v>
      </c>
      <c r="BY2763" s="5" t="s">
        <v>238</v>
      </c>
      <c r="BZ2763" s="5" t="s">
        <v>238</v>
      </c>
      <c r="CD2763" s="5" t="s">
        <v>273</v>
      </c>
      <c r="CE2763" s="5" t="s">
        <v>256</v>
      </c>
      <c r="CF2763" s="5" t="s">
        <v>238</v>
      </c>
      <c r="CI2763" s="6" t="s">
        <v>257</v>
      </c>
      <c r="CJ2763" s="5" t="s">
        <v>238</v>
      </c>
      <c r="CK2763" s="5" t="s">
        <v>258</v>
      </c>
      <c r="CL2763" s="5" t="s">
        <v>238</v>
      </c>
      <c r="CM2763" s="5" t="s">
        <v>238</v>
      </c>
      <c r="CN2763" s="5">
        <v>0</v>
      </c>
      <c r="CO2763" s="5" t="s">
        <v>259</v>
      </c>
      <c r="CP2763" s="5" t="s">
        <v>260</v>
      </c>
      <c r="CQ2763" s="5" t="s">
        <v>260</v>
      </c>
      <c r="CR2763" s="5" t="s">
        <v>261</v>
      </c>
      <c r="CU2763" s="8">
        <f>1</f>
        <v>1</v>
      </c>
      <c r="CV2763" s="8">
        <f>0</f>
        <v>0</v>
      </c>
      <c r="CX2763" s="8">
        <f>0</f>
        <v>0</v>
      </c>
      <c r="CY2763" s="8">
        <f>1</f>
        <v>1</v>
      </c>
      <c r="DA2763" s="5" t="s">
        <v>274</v>
      </c>
      <c r="DB2763" s="5" t="s">
        <v>238</v>
      </c>
      <c r="DD2763" s="5" t="s">
        <v>274</v>
      </c>
      <c r="DE2763" s="8">
        <f>1661</f>
        <v>1661</v>
      </c>
      <c r="DG2763" s="5" t="s">
        <v>238</v>
      </c>
      <c r="DH2763" s="5" t="s">
        <v>238</v>
      </c>
      <c r="DI2763" s="5" t="s">
        <v>238</v>
      </c>
      <c r="DJ2763" s="5" t="s">
        <v>238</v>
      </c>
      <c r="DN2763" s="5" t="s">
        <v>238</v>
      </c>
      <c r="DO2763" s="5" t="s">
        <v>238</v>
      </c>
      <c r="DP2763" s="5" t="s">
        <v>238</v>
      </c>
      <c r="DQ2763" s="5" t="s">
        <v>238</v>
      </c>
      <c r="DT2763" s="5" t="s">
        <v>275</v>
      </c>
      <c r="DU2763" s="5" t="s">
        <v>1348</v>
      </c>
      <c r="HM2763" s="5" t="s">
        <v>264</v>
      </c>
    </row>
    <row r="2764" spans="1:221" x14ac:dyDescent="0.4">
      <c r="A2764" s="5">
        <v>4468</v>
      </c>
      <c r="B2764" s="5">
        <v>1</v>
      </c>
      <c r="C2764" s="5">
        <v>1</v>
      </c>
      <c r="D2764" s="5" t="s">
        <v>269</v>
      </c>
      <c r="E2764" s="5" t="s">
        <v>271</v>
      </c>
      <c r="F2764" s="5" t="s">
        <v>248</v>
      </c>
      <c r="G2764" s="5" t="s">
        <v>266</v>
      </c>
      <c r="H2764" s="6" t="s">
        <v>1335</v>
      </c>
      <c r="I2764" s="7">
        <f>720</f>
        <v>720</v>
      </c>
      <c r="J2764" s="5" t="s">
        <v>262</v>
      </c>
      <c r="K2764" s="8">
        <f>1</f>
        <v>1</v>
      </c>
      <c r="L2764" s="6" t="s">
        <v>242</v>
      </c>
      <c r="M2764" s="5" t="s">
        <v>267</v>
      </c>
      <c r="N2764" s="5" t="s">
        <v>265</v>
      </c>
      <c r="O2764" s="5" t="s">
        <v>238</v>
      </c>
      <c r="P2764" s="5" t="s">
        <v>238</v>
      </c>
      <c r="Q2764" s="5" t="s">
        <v>268</v>
      </c>
      <c r="R2764" s="5" t="s">
        <v>270</v>
      </c>
      <c r="S2764" s="5" t="s">
        <v>238</v>
      </c>
      <c r="V2764" s="5" t="s">
        <v>238</v>
      </c>
      <c r="X2764" s="6" t="s">
        <v>238</v>
      </c>
      <c r="AA2764" s="6" t="s">
        <v>243</v>
      </c>
      <c r="AB2764" s="5" t="s">
        <v>238</v>
      </c>
      <c r="AC2764" s="5" t="s">
        <v>244</v>
      </c>
      <c r="AD2764" s="5" t="s">
        <v>245</v>
      </c>
      <c r="AT2764" s="5" t="s">
        <v>246</v>
      </c>
      <c r="AU2764" s="5" t="s">
        <v>238</v>
      </c>
      <c r="AV2764" s="5" t="s">
        <v>247</v>
      </c>
      <c r="AW2764" s="5" t="s">
        <v>238</v>
      </c>
      <c r="AX2764" s="5" t="s">
        <v>249</v>
      </c>
      <c r="AY2764" s="5" t="s">
        <v>238</v>
      </c>
      <c r="BA2764" s="5" t="s">
        <v>238</v>
      </c>
      <c r="BC2764" s="5" t="s">
        <v>250</v>
      </c>
      <c r="BD2764" s="6" t="s">
        <v>243</v>
      </c>
      <c r="BE2764" s="5" t="s">
        <v>251</v>
      </c>
      <c r="BF2764" s="5" t="s">
        <v>252</v>
      </c>
      <c r="BG2764" s="5" t="s">
        <v>238</v>
      </c>
      <c r="BH2764" s="7">
        <f>0</f>
        <v>0</v>
      </c>
      <c r="BI2764" s="8">
        <f>0</f>
        <v>0</v>
      </c>
      <c r="BJ2764" s="5" t="s">
        <v>253</v>
      </c>
      <c r="BK2764" s="5" t="s">
        <v>254</v>
      </c>
      <c r="BY2764" s="5" t="s">
        <v>238</v>
      </c>
      <c r="BZ2764" s="5" t="s">
        <v>238</v>
      </c>
      <c r="CD2764" s="5" t="s">
        <v>273</v>
      </c>
      <c r="CE2764" s="5" t="s">
        <v>256</v>
      </c>
      <c r="CF2764" s="5" t="s">
        <v>238</v>
      </c>
      <c r="CI2764" s="6" t="s">
        <v>257</v>
      </c>
      <c r="CJ2764" s="5" t="s">
        <v>238</v>
      </c>
      <c r="CK2764" s="5" t="s">
        <v>258</v>
      </c>
      <c r="CL2764" s="5" t="s">
        <v>238</v>
      </c>
      <c r="CM2764" s="5" t="s">
        <v>238</v>
      </c>
      <c r="CN2764" s="5">
        <v>0</v>
      </c>
      <c r="CO2764" s="5" t="s">
        <v>259</v>
      </c>
      <c r="CP2764" s="5" t="s">
        <v>260</v>
      </c>
      <c r="CQ2764" s="5" t="s">
        <v>260</v>
      </c>
      <c r="CR2764" s="5" t="s">
        <v>261</v>
      </c>
      <c r="CU2764" s="8">
        <f>1</f>
        <v>1</v>
      </c>
      <c r="CV2764" s="8">
        <f>0</f>
        <v>0</v>
      </c>
      <c r="CX2764" s="8">
        <f>0</f>
        <v>0</v>
      </c>
      <c r="CY2764" s="8">
        <f>1</f>
        <v>1</v>
      </c>
      <c r="DA2764" s="5" t="s">
        <v>274</v>
      </c>
      <c r="DB2764" s="5" t="s">
        <v>238</v>
      </c>
      <c r="DD2764" s="5" t="s">
        <v>274</v>
      </c>
      <c r="DE2764" s="8">
        <f>720</f>
        <v>720</v>
      </c>
      <c r="DG2764" s="5" t="s">
        <v>238</v>
      </c>
      <c r="DH2764" s="5" t="s">
        <v>238</v>
      </c>
      <c r="DI2764" s="5" t="s">
        <v>238</v>
      </c>
      <c r="DJ2764" s="5" t="s">
        <v>238</v>
      </c>
      <c r="DN2764" s="5" t="s">
        <v>238</v>
      </c>
      <c r="DO2764" s="5" t="s">
        <v>238</v>
      </c>
      <c r="DP2764" s="5" t="s">
        <v>238</v>
      </c>
      <c r="DQ2764" s="5" t="s">
        <v>238</v>
      </c>
      <c r="DT2764" s="5" t="s">
        <v>275</v>
      </c>
      <c r="DU2764" s="5" t="s">
        <v>1336</v>
      </c>
      <c r="HM2764" s="5" t="s">
        <v>264</v>
      </c>
    </row>
    <row r="2765" spans="1:221" x14ac:dyDescent="0.4">
      <c r="A2765" s="5">
        <v>4469</v>
      </c>
      <c r="B2765" s="5">
        <v>1</v>
      </c>
      <c r="C2765" s="5">
        <v>1</v>
      </c>
      <c r="D2765" s="5" t="s">
        <v>269</v>
      </c>
      <c r="E2765" s="5" t="s">
        <v>271</v>
      </c>
      <c r="F2765" s="5" t="s">
        <v>248</v>
      </c>
      <c r="G2765" s="5" t="s">
        <v>266</v>
      </c>
      <c r="H2765" s="6" t="s">
        <v>1330</v>
      </c>
      <c r="I2765" s="7">
        <f>382</f>
        <v>382</v>
      </c>
      <c r="J2765" s="5" t="s">
        <v>262</v>
      </c>
      <c r="K2765" s="8">
        <f>1</f>
        <v>1</v>
      </c>
      <c r="L2765" s="6" t="s">
        <v>242</v>
      </c>
      <c r="M2765" s="5" t="s">
        <v>267</v>
      </c>
      <c r="N2765" s="5" t="s">
        <v>265</v>
      </c>
      <c r="O2765" s="5" t="s">
        <v>238</v>
      </c>
      <c r="P2765" s="5" t="s">
        <v>238</v>
      </c>
      <c r="Q2765" s="5" t="s">
        <v>268</v>
      </c>
      <c r="R2765" s="5" t="s">
        <v>270</v>
      </c>
      <c r="S2765" s="5" t="s">
        <v>238</v>
      </c>
      <c r="V2765" s="5" t="s">
        <v>238</v>
      </c>
      <c r="X2765" s="6" t="s">
        <v>238</v>
      </c>
      <c r="AA2765" s="6" t="s">
        <v>243</v>
      </c>
      <c r="AB2765" s="5" t="s">
        <v>238</v>
      </c>
      <c r="AC2765" s="5" t="s">
        <v>244</v>
      </c>
      <c r="AD2765" s="5" t="s">
        <v>245</v>
      </c>
      <c r="AT2765" s="5" t="s">
        <v>246</v>
      </c>
      <c r="AU2765" s="5" t="s">
        <v>238</v>
      </c>
      <c r="AV2765" s="5" t="s">
        <v>247</v>
      </c>
      <c r="AW2765" s="5" t="s">
        <v>238</v>
      </c>
      <c r="AX2765" s="5" t="s">
        <v>249</v>
      </c>
      <c r="AY2765" s="5" t="s">
        <v>238</v>
      </c>
      <c r="BA2765" s="5" t="s">
        <v>238</v>
      </c>
      <c r="BC2765" s="5" t="s">
        <v>250</v>
      </c>
      <c r="BD2765" s="6" t="s">
        <v>243</v>
      </c>
      <c r="BE2765" s="5" t="s">
        <v>251</v>
      </c>
      <c r="BF2765" s="5" t="s">
        <v>252</v>
      </c>
      <c r="BG2765" s="5" t="s">
        <v>238</v>
      </c>
      <c r="BH2765" s="7">
        <f>0</f>
        <v>0</v>
      </c>
      <c r="BI2765" s="8">
        <f>0</f>
        <v>0</v>
      </c>
      <c r="BJ2765" s="5" t="s">
        <v>253</v>
      </c>
      <c r="BK2765" s="5" t="s">
        <v>254</v>
      </c>
      <c r="BY2765" s="5" t="s">
        <v>238</v>
      </c>
      <c r="BZ2765" s="5" t="s">
        <v>238</v>
      </c>
      <c r="CD2765" s="5" t="s">
        <v>273</v>
      </c>
      <c r="CE2765" s="5" t="s">
        <v>256</v>
      </c>
      <c r="CF2765" s="5" t="s">
        <v>238</v>
      </c>
      <c r="CI2765" s="6" t="s">
        <v>257</v>
      </c>
      <c r="CJ2765" s="5" t="s">
        <v>238</v>
      </c>
      <c r="CK2765" s="5" t="s">
        <v>258</v>
      </c>
      <c r="CL2765" s="5" t="s">
        <v>238</v>
      </c>
      <c r="CM2765" s="5" t="s">
        <v>238</v>
      </c>
      <c r="CN2765" s="5">
        <v>0</v>
      </c>
      <c r="CO2765" s="5" t="s">
        <v>259</v>
      </c>
      <c r="CP2765" s="5" t="s">
        <v>260</v>
      </c>
      <c r="CQ2765" s="5" t="s">
        <v>260</v>
      </c>
      <c r="CR2765" s="5" t="s">
        <v>261</v>
      </c>
      <c r="CU2765" s="8">
        <f>1</f>
        <v>1</v>
      </c>
      <c r="CV2765" s="8">
        <f>0</f>
        <v>0</v>
      </c>
      <c r="CX2765" s="8">
        <f>0</f>
        <v>0</v>
      </c>
      <c r="CY2765" s="8">
        <f>1</f>
        <v>1</v>
      </c>
      <c r="DA2765" s="5" t="s">
        <v>274</v>
      </c>
      <c r="DB2765" s="5" t="s">
        <v>238</v>
      </c>
      <c r="DD2765" s="5" t="s">
        <v>274</v>
      </c>
      <c r="DE2765" s="8">
        <f>382</f>
        <v>382</v>
      </c>
      <c r="DG2765" s="5" t="s">
        <v>238</v>
      </c>
      <c r="DH2765" s="5" t="s">
        <v>238</v>
      </c>
      <c r="DI2765" s="5" t="s">
        <v>238</v>
      </c>
      <c r="DJ2765" s="5" t="s">
        <v>238</v>
      </c>
      <c r="DN2765" s="5" t="s">
        <v>238</v>
      </c>
      <c r="DO2765" s="5" t="s">
        <v>238</v>
      </c>
      <c r="DP2765" s="5" t="s">
        <v>238</v>
      </c>
      <c r="DQ2765" s="5" t="s">
        <v>238</v>
      </c>
      <c r="DT2765" s="5" t="s">
        <v>275</v>
      </c>
      <c r="DU2765" s="5" t="s">
        <v>1331</v>
      </c>
      <c r="HM2765" s="5" t="s">
        <v>264</v>
      </c>
    </row>
    <row r="2766" spans="1:221" x14ac:dyDescent="0.4">
      <c r="A2766" s="5">
        <v>4470</v>
      </c>
      <c r="B2766" s="5">
        <v>1</v>
      </c>
      <c r="C2766" s="5">
        <v>1</v>
      </c>
      <c r="D2766" s="5" t="s">
        <v>269</v>
      </c>
      <c r="E2766" s="5" t="s">
        <v>271</v>
      </c>
      <c r="F2766" s="5" t="s">
        <v>248</v>
      </c>
      <c r="G2766" s="5" t="s">
        <v>266</v>
      </c>
      <c r="H2766" s="6" t="s">
        <v>1324</v>
      </c>
      <c r="I2766" s="7">
        <f>132</f>
        <v>132</v>
      </c>
      <c r="J2766" s="5" t="s">
        <v>262</v>
      </c>
      <c r="K2766" s="8">
        <f>1</f>
        <v>1</v>
      </c>
      <c r="L2766" s="6" t="s">
        <v>242</v>
      </c>
      <c r="M2766" s="5" t="s">
        <v>267</v>
      </c>
      <c r="N2766" s="5" t="s">
        <v>265</v>
      </c>
      <c r="O2766" s="5" t="s">
        <v>238</v>
      </c>
      <c r="P2766" s="5" t="s">
        <v>238</v>
      </c>
      <c r="Q2766" s="5" t="s">
        <v>268</v>
      </c>
      <c r="R2766" s="5" t="s">
        <v>270</v>
      </c>
      <c r="S2766" s="5" t="s">
        <v>238</v>
      </c>
      <c r="V2766" s="5" t="s">
        <v>238</v>
      </c>
      <c r="X2766" s="6" t="s">
        <v>238</v>
      </c>
      <c r="AA2766" s="6" t="s">
        <v>243</v>
      </c>
      <c r="AB2766" s="5" t="s">
        <v>238</v>
      </c>
      <c r="AC2766" s="5" t="s">
        <v>244</v>
      </c>
      <c r="AD2766" s="5" t="s">
        <v>245</v>
      </c>
      <c r="AT2766" s="5" t="s">
        <v>246</v>
      </c>
      <c r="AU2766" s="5" t="s">
        <v>238</v>
      </c>
      <c r="AV2766" s="5" t="s">
        <v>247</v>
      </c>
      <c r="AW2766" s="5" t="s">
        <v>238</v>
      </c>
      <c r="AX2766" s="5" t="s">
        <v>249</v>
      </c>
      <c r="AY2766" s="5" t="s">
        <v>238</v>
      </c>
      <c r="BA2766" s="5" t="s">
        <v>238</v>
      </c>
      <c r="BC2766" s="5" t="s">
        <v>250</v>
      </c>
      <c r="BD2766" s="6" t="s">
        <v>243</v>
      </c>
      <c r="BE2766" s="5" t="s">
        <v>251</v>
      </c>
      <c r="BF2766" s="5" t="s">
        <v>252</v>
      </c>
      <c r="BG2766" s="5" t="s">
        <v>238</v>
      </c>
      <c r="BH2766" s="7">
        <f>0</f>
        <v>0</v>
      </c>
      <c r="BI2766" s="8">
        <f>0</f>
        <v>0</v>
      </c>
      <c r="BJ2766" s="5" t="s">
        <v>253</v>
      </c>
      <c r="BK2766" s="5" t="s">
        <v>254</v>
      </c>
      <c r="BY2766" s="5" t="s">
        <v>238</v>
      </c>
      <c r="BZ2766" s="5" t="s">
        <v>238</v>
      </c>
      <c r="CD2766" s="5" t="s">
        <v>273</v>
      </c>
      <c r="CE2766" s="5" t="s">
        <v>256</v>
      </c>
      <c r="CF2766" s="5" t="s">
        <v>238</v>
      </c>
      <c r="CI2766" s="6" t="s">
        <v>257</v>
      </c>
      <c r="CJ2766" s="5" t="s">
        <v>238</v>
      </c>
      <c r="CK2766" s="5" t="s">
        <v>258</v>
      </c>
      <c r="CL2766" s="5" t="s">
        <v>238</v>
      </c>
      <c r="CM2766" s="5" t="s">
        <v>238</v>
      </c>
      <c r="CN2766" s="5">
        <v>0</v>
      </c>
      <c r="CO2766" s="5" t="s">
        <v>259</v>
      </c>
      <c r="CP2766" s="5" t="s">
        <v>260</v>
      </c>
      <c r="CQ2766" s="5" t="s">
        <v>260</v>
      </c>
      <c r="CR2766" s="5" t="s">
        <v>261</v>
      </c>
      <c r="CU2766" s="8">
        <f>1</f>
        <v>1</v>
      </c>
      <c r="CV2766" s="8">
        <f>0</f>
        <v>0</v>
      </c>
      <c r="CX2766" s="8">
        <f>0</f>
        <v>0</v>
      </c>
      <c r="CY2766" s="8">
        <f>1</f>
        <v>1</v>
      </c>
      <c r="DA2766" s="5" t="s">
        <v>274</v>
      </c>
      <c r="DB2766" s="5" t="s">
        <v>238</v>
      </c>
      <c r="DD2766" s="5" t="s">
        <v>274</v>
      </c>
      <c r="DE2766" s="8">
        <f>132</f>
        <v>132</v>
      </c>
      <c r="DG2766" s="5" t="s">
        <v>238</v>
      </c>
      <c r="DH2766" s="5" t="s">
        <v>238</v>
      </c>
      <c r="DI2766" s="5" t="s">
        <v>238</v>
      </c>
      <c r="DJ2766" s="5" t="s">
        <v>238</v>
      </c>
      <c r="DN2766" s="5" t="s">
        <v>238</v>
      </c>
      <c r="DO2766" s="5" t="s">
        <v>238</v>
      </c>
      <c r="DP2766" s="5" t="s">
        <v>238</v>
      </c>
      <c r="DQ2766" s="5" t="s">
        <v>238</v>
      </c>
      <c r="DT2766" s="5" t="s">
        <v>275</v>
      </c>
      <c r="DU2766" s="5" t="s">
        <v>1325</v>
      </c>
      <c r="HM2766" s="5" t="s">
        <v>264</v>
      </c>
    </row>
    <row r="2767" spans="1:221" x14ac:dyDescent="0.4">
      <c r="A2767" s="5">
        <v>4471</v>
      </c>
      <c r="B2767" s="5">
        <v>1</v>
      </c>
      <c r="C2767" s="5">
        <v>1</v>
      </c>
      <c r="D2767" s="5" t="s">
        <v>269</v>
      </c>
      <c r="E2767" s="5" t="s">
        <v>271</v>
      </c>
      <c r="F2767" s="5" t="s">
        <v>248</v>
      </c>
      <c r="G2767" s="5" t="s">
        <v>266</v>
      </c>
      <c r="H2767" s="6" t="s">
        <v>1315</v>
      </c>
      <c r="I2767" s="7">
        <f>1591</f>
        <v>1591</v>
      </c>
      <c r="J2767" s="5" t="s">
        <v>262</v>
      </c>
      <c r="K2767" s="8">
        <f>1</f>
        <v>1</v>
      </c>
      <c r="L2767" s="6" t="s">
        <v>242</v>
      </c>
      <c r="M2767" s="5" t="s">
        <v>267</v>
      </c>
      <c r="N2767" s="5" t="s">
        <v>265</v>
      </c>
      <c r="O2767" s="5" t="s">
        <v>238</v>
      </c>
      <c r="P2767" s="5" t="s">
        <v>238</v>
      </c>
      <c r="Q2767" s="5" t="s">
        <v>268</v>
      </c>
      <c r="R2767" s="5" t="s">
        <v>270</v>
      </c>
      <c r="S2767" s="5" t="s">
        <v>238</v>
      </c>
      <c r="V2767" s="5" t="s">
        <v>238</v>
      </c>
      <c r="X2767" s="6" t="s">
        <v>238</v>
      </c>
      <c r="AA2767" s="6" t="s">
        <v>243</v>
      </c>
      <c r="AB2767" s="5" t="s">
        <v>238</v>
      </c>
      <c r="AC2767" s="5" t="s">
        <v>244</v>
      </c>
      <c r="AD2767" s="5" t="s">
        <v>245</v>
      </c>
      <c r="AT2767" s="5" t="s">
        <v>246</v>
      </c>
      <c r="AU2767" s="5" t="s">
        <v>238</v>
      </c>
      <c r="AV2767" s="5" t="s">
        <v>247</v>
      </c>
      <c r="AW2767" s="5" t="s">
        <v>238</v>
      </c>
      <c r="AX2767" s="5" t="s">
        <v>249</v>
      </c>
      <c r="AY2767" s="5" t="s">
        <v>238</v>
      </c>
      <c r="BA2767" s="5" t="s">
        <v>238</v>
      </c>
      <c r="BC2767" s="5" t="s">
        <v>250</v>
      </c>
      <c r="BD2767" s="6" t="s">
        <v>243</v>
      </c>
      <c r="BE2767" s="5" t="s">
        <v>251</v>
      </c>
      <c r="BF2767" s="5" t="s">
        <v>252</v>
      </c>
      <c r="BG2767" s="5" t="s">
        <v>238</v>
      </c>
      <c r="BH2767" s="7">
        <f>0</f>
        <v>0</v>
      </c>
      <c r="BI2767" s="8">
        <f>0</f>
        <v>0</v>
      </c>
      <c r="BJ2767" s="5" t="s">
        <v>253</v>
      </c>
      <c r="BK2767" s="5" t="s">
        <v>254</v>
      </c>
      <c r="BY2767" s="5" t="s">
        <v>238</v>
      </c>
      <c r="BZ2767" s="5" t="s">
        <v>238</v>
      </c>
      <c r="CD2767" s="5" t="s">
        <v>273</v>
      </c>
      <c r="CE2767" s="5" t="s">
        <v>256</v>
      </c>
      <c r="CF2767" s="5" t="s">
        <v>238</v>
      </c>
      <c r="CI2767" s="6" t="s">
        <v>257</v>
      </c>
      <c r="CJ2767" s="5" t="s">
        <v>238</v>
      </c>
      <c r="CK2767" s="5" t="s">
        <v>258</v>
      </c>
      <c r="CL2767" s="5" t="s">
        <v>238</v>
      </c>
      <c r="CM2767" s="5" t="s">
        <v>238</v>
      </c>
      <c r="CN2767" s="5">
        <v>0</v>
      </c>
      <c r="CO2767" s="5" t="s">
        <v>259</v>
      </c>
      <c r="CP2767" s="5" t="s">
        <v>260</v>
      </c>
      <c r="CQ2767" s="5" t="s">
        <v>260</v>
      </c>
      <c r="CR2767" s="5" t="s">
        <v>261</v>
      </c>
      <c r="CU2767" s="8">
        <f>1</f>
        <v>1</v>
      </c>
      <c r="CV2767" s="8">
        <f>0</f>
        <v>0</v>
      </c>
      <c r="CX2767" s="8">
        <f>0</f>
        <v>0</v>
      </c>
      <c r="CY2767" s="8">
        <f>1</f>
        <v>1</v>
      </c>
      <c r="DA2767" s="5" t="s">
        <v>274</v>
      </c>
      <c r="DB2767" s="5" t="s">
        <v>238</v>
      </c>
      <c r="DD2767" s="5" t="s">
        <v>274</v>
      </c>
      <c r="DE2767" s="8">
        <f>1591</f>
        <v>1591</v>
      </c>
      <c r="DG2767" s="5" t="s">
        <v>238</v>
      </c>
      <c r="DH2767" s="5" t="s">
        <v>238</v>
      </c>
      <c r="DI2767" s="5" t="s">
        <v>238</v>
      </c>
      <c r="DJ2767" s="5" t="s">
        <v>238</v>
      </c>
      <c r="DN2767" s="5" t="s">
        <v>238</v>
      </c>
      <c r="DO2767" s="5" t="s">
        <v>238</v>
      </c>
      <c r="DP2767" s="5" t="s">
        <v>238</v>
      </c>
      <c r="DQ2767" s="5" t="s">
        <v>238</v>
      </c>
      <c r="DT2767" s="5" t="s">
        <v>275</v>
      </c>
      <c r="DU2767" s="5" t="s">
        <v>1316</v>
      </c>
      <c r="HM2767" s="5" t="s">
        <v>264</v>
      </c>
    </row>
    <row r="2768" spans="1:221" x14ac:dyDescent="0.4">
      <c r="A2768" s="5">
        <v>4472</v>
      </c>
      <c r="B2768" s="5">
        <v>1</v>
      </c>
      <c r="C2768" s="5">
        <v>1</v>
      </c>
      <c r="D2768" s="5" t="s">
        <v>269</v>
      </c>
      <c r="E2768" s="5" t="s">
        <v>271</v>
      </c>
      <c r="F2768" s="5" t="s">
        <v>248</v>
      </c>
      <c r="G2768" s="5" t="s">
        <v>266</v>
      </c>
      <c r="H2768" s="6" t="s">
        <v>1310</v>
      </c>
      <c r="I2768" s="7">
        <f>1266</f>
        <v>1266</v>
      </c>
      <c r="J2768" s="5" t="s">
        <v>262</v>
      </c>
      <c r="K2768" s="8">
        <f>1</f>
        <v>1</v>
      </c>
      <c r="L2768" s="6" t="s">
        <v>242</v>
      </c>
      <c r="M2768" s="5" t="s">
        <v>267</v>
      </c>
      <c r="N2768" s="5" t="s">
        <v>265</v>
      </c>
      <c r="O2768" s="5" t="s">
        <v>238</v>
      </c>
      <c r="P2768" s="5" t="s">
        <v>238</v>
      </c>
      <c r="Q2768" s="5" t="s">
        <v>268</v>
      </c>
      <c r="R2768" s="5" t="s">
        <v>270</v>
      </c>
      <c r="S2768" s="5" t="s">
        <v>238</v>
      </c>
      <c r="V2768" s="5" t="s">
        <v>238</v>
      </c>
      <c r="X2768" s="6" t="s">
        <v>238</v>
      </c>
      <c r="AA2768" s="6" t="s">
        <v>243</v>
      </c>
      <c r="AB2768" s="5" t="s">
        <v>238</v>
      </c>
      <c r="AC2768" s="5" t="s">
        <v>244</v>
      </c>
      <c r="AD2768" s="5" t="s">
        <v>245</v>
      </c>
      <c r="AT2768" s="5" t="s">
        <v>246</v>
      </c>
      <c r="AU2768" s="5" t="s">
        <v>238</v>
      </c>
      <c r="AV2768" s="5" t="s">
        <v>247</v>
      </c>
      <c r="AW2768" s="5" t="s">
        <v>238</v>
      </c>
      <c r="AX2768" s="5" t="s">
        <v>249</v>
      </c>
      <c r="AY2768" s="5" t="s">
        <v>238</v>
      </c>
      <c r="BA2768" s="5" t="s">
        <v>238</v>
      </c>
      <c r="BC2768" s="5" t="s">
        <v>250</v>
      </c>
      <c r="BD2768" s="6" t="s">
        <v>243</v>
      </c>
      <c r="BE2768" s="5" t="s">
        <v>251</v>
      </c>
      <c r="BF2768" s="5" t="s">
        <v>252</v>
      </c>
      <c r="BG2768" s="5" t="s">
        <v>238</v>
      </c>
      <c r="BH2768" s="7">
        <f>0</f>
        <v>0</v>
      </c>
      <c r="BI2768" s="8">
        <f>0</f>
        <v>0</v>
      </c>
      <c r="BJ2768" s="5" t="s">
        <v>253</v>
      </c>
      <c r="BK2768" s="5" t="s">
        <v>254</v>
      </c>
      <c r="BY2768" s="5" t="s">
        <v>238</v>
      </c>
      <c r="BZ2768" s="5" t="s">
        <v>238</v>
      </c>
      <c r="CD2768" s="5" t="s">
        <v>273</v>
      </c>
      <c r="CE2768" s="5" t="s">
        <v>256</v>
      </c>
      <c r="CF2768" s="5" t="s">
        <v>238</v>
      </c>
      <c r="CI2768" s="6" t="s">
        <v>257</v>
      </c>
      <c r="CJ2768" s="5" t="s">
        <v>238</v>
      </c>
      <c r="CK2768" s="5" t="s">
        <v>258</v>
      </c>
      <c r="CL2768" s="5" t="s">
        <v>238</v>
      </c>
      <c r="CM2768" s="5" t="s">
        <v>238</v>
      </c>
      <c r="CN2768" s="5">
        <v>0</v>
      </c>
      <c r="CO2768" s="5" t="s">
        <v>259</v>
      </c>
      <c r="CP2768" s="5" t="s">
        <v>260</v>
      </c>
      <c r="CQ2768" s="5" t="s">
        <v>260</v>
      </c>
      <c r="CR2768" s="5" t="s">
        <v>261</v>
      </c>
      <c r="CU2768" s="8">
        <f>1</f>
        <v>1</v>
      </c>
      <c r="CV2768" s="8">
        <f>0</f>
        <v>0</v>
      </c>
      <c r="CX2768" s="8">
        <f>0</f>
        <v>0</v>
      </c>
      <c r="CY2768" s="8">
        <f>1</f>
        <v>1</v>
      </c>
      <c r="DA2768" s="5" t="s">
        <v>274</v>
      </c>
      <c r="DB2768" s="5" t="s">
        <v>238</v>
      </c>
      <c r="DD2768" s="5" t="s">
        <v>274</v>
      </c>
      <c r="DE2768" s="8">
        <f>1266</f>
        <v>1266</v>
      </c>
      <c r="DG2768" s="5" t="s">
        <v>238</v>
      </c>
      <c r="DH2768" s="5" t="s">
        <v>238</v>
      </c>
      <c r="DI2768" s="5" t="s">
        <v>238</v>
      </c>
      <c r="DJ2768" s="5" t="s">
        <v>238</v>
      </c>
      <c r="DN2768" s="5" t="s">
        <v>238</v>
      </c>
      <c r="DO2768" s="5" t="s">
        <v>238</v>
      </c>
      <c r="DP2768" s="5" t="s">
        <v>238</v>
      </c>
      <c r="DQ2768" s="5" t="s">
        <v>238</v>
      </c>
      <c r="DT2768" s="5" t="s">
        <v>275</v>
      </c>
      <c r="DU2768" s="5" t="s">
        <v>1311</v>
      </c>
      <c r="HM2768" s="5" t="s">
        <v>264</v>
      </c>
    </row>
    <row r="2769" spans="1:221" x14ac:dyDescent="0.4">
      <c r="A2769" s="5">
        <v>4473</v>
      </c>
      <c r="B2769" s="5">
        <v>1</v>
      </c>
      <c r="C2769" s="5">
        <v>1</v>
      </c>
      <c r="D2769" s="5" t="s">
        <v>269</v>
      </c>
      <c r="E2769" s="5" t="s">
        <v>271</v>
      </c>
      <c r="F2769" s="5" t="s">
        <v>248</v>
      </c>
      <c r="G2769" s="5" t="s">
        <v>266</v>
      </c>
      <c r="H2769" s="6" t="s">
        <v>1302</v>
      </c>
      <c r="I2769" s="7">
        <f>690</f>
        <v>690</v>
      </c>
      <c r="J2769" s="5" t="s">
        <v>262</v>
      </c>
      <c r="K2769" s="8">
        <f>1</f>
        <v>1</v>
      </c>
      <c r="L2769" s="6" t="s">
        <v>242</v>
      </c>
      <c r="M2769" s="5" t="s">
        <v>267</v>
      </c>
      <c r="N2769" s="5" t="s">
        <v>265</v>
      </c>
      <c r="O2769" s="5" t="s">
        <v>238</v>
      </c>
      <c r="P2769" s="5" t="s">
        <v>238</v>
      </c>
      <c r="Q2769" s="5" t="s">
        <v>268</v>
      </c>
      <c r="R2769" s="5" t="s">
        <v>270</v>
      </c>
      <c r="S2769" s="5" t="s">
        <v>238</v>
      </c>
      <c r="V2769" s="5" t="s">
        <v>238</v>
      </c>
      <c r="X2769" s="6" t="s">
        <v>238</v>
      </c>
      <c r="AA2769" s="6" t="s">
        <v>243</v>
      </c>
      <c r="AB2769" s="5" t="s">
        <v>238</v>
      </c>
      <c r="AC2769" s="5" t="s">
        <v>244</v>
      </c>
      <c r="AD2769" s="5" t="s">
        <v>245</v>
      </c>
      <c r="AT2769" s="5" t="s">
        <v>246</v>
      </c>
      <c r="AU2769" s="5" t="s">
        <v>238</v>
      </c>
      <c r="AV2769" s="5" t="s">
        <v>247</v>
      </c>
      <c r="AW2769" s="5" t="s">
        <v>238</v>
      </c>
      <c r="AX2769" s="5" t="s">
        <v>249</v>
      </c>
      <c r="AY2769" s="5" t="s">
        <v>238</v>
      </c>
      <c r="BA2769" s="5" t="s">
        <v>238</v>
      </c>
      <c r="BC2769" s="5" t="s">
        <v>250</v>
      </c>
      <c r="BD2769" s="6" t="s">
        <v>243</v>
      </c>
      <c r="BE2769" s="5" t="s">
        <v>251</v>
      </c>
      <c r="BF2769" s="5" t="s">
        <v>252</v>
      </c>
      <c r="BG2769" s="5" t="s">
        <v>238</v>
      </c>
      <c r="BH2769" s="7">
        <f>0</f>
        <v>0</v>
      </c>
      <c r="BI2769" s="8">
        <f>0</f>
        <v>0</v>
      </c>
      <c r="BJ2769" s="5" t="s">
        <v>253</v>
      </c>
      <c r="BK2769" s="5" t="s">
        <v>254</v>
      </c>
      <c r="BY2769" s="5" t="s">
        <v>238</v>
      </c>
      <c r="BZ2769" s="5" t="s">
        <v>238</v>
      </c>
      <c r="CD2769" s="5" t="s">
        <v>273</v>
      </c>
      <c r="CE2769" s="5" t="s">
        <v>256</v>
      </c>
      <c r="CF2769" s="5" t="s">
        <v>238</v>
      </c>
      <c r="CI2769" s="6" t="s">
        <v>257</v>
      </c>
      <c r="CJ2769" s="5" t="s">
        <v>238</v>
      </c>
      <c r="CK2769" s="5" t="s">
        <v>258</v>
      </c>
      <c r="CL2769" s="5" t="s">
        <v>238</v>
      </c>
      <c r="CM2769" s="5" t="s">
        <v>238</v>
      </c>
      <c r="CN2769" s="5">
        <v>0</v>
      </c>
      <c r="CO2769" s="5" t="s">
        <v>259</v>
      </c>
      <c r="CP2769" s="5" t="s">
        <v>260</v>
      </c>
      <c r="CQ2769" s="5" t="s">
        <v>260</v>
      </c>
      <c r="CR2769" s="5" t="s">
        <v>261</v>
      </c>
      <c r="CU2769" s="8">
        <f>1</f>
        <v>1</v>
      </c>
      <c r="CV2769" s="8">
        <f>0</f>
        <v>0</v>
      </c>
      <c r="CX2769" s="8">
        <f>0</f>
        <v>0</v>
      </c>
      <c r="CY2769" s="8">
        <f>1</f>
        <v>1</v>
      </c>
      <c r="DA2769" s="5" t="s">
        <v>274</v>
      </c>
      <c r="DB2769" s="5" t="s">
        <v>238</v>
      </c>
      <c r="DD2769" s="5" t="s">
        <v>274</v>
      </c>
      <c r="DE2769" s="8">
        <f>690</f>
        <v>690</v>
      </c>
      <c r="DG2769" s="5" t="s">
        <v>238</v>
      </c>
      <c r="DH2769" s="5" t="s">
        <v>238</v>
      </c>
      <c r="DI2769" s="5" t="s">
        <v>238</v>
      </c>
      <c r="DJ2769" s="5" t="s">
        <v>238</v>
      </c>
      <c r="DN2769" s="5" t="s">
        <v>238</v>
      </c>
      <c r="DO2769" s="5" t="s">
        <v>238</v>
      </c>
      <c r="DP2769" s="5" t="s">
        <v>238</v>
      </c>
      <c r="DQ2769" s="5" t="s">
        <v>238</v>
      </c>
      <c r="DT2769" s="5" t="s">
        <v>275</v>
      </c>
      <c r="DU2769" s="5" t="s">
        <v>1303</v>
      </c>
      <c r="HM2769" s="5" t="s">
        <v>264</v>
      </c>
    </row>
    <row r="2770" spans="1:221" x14ac:dyDescent="0.4">
      <c r="A2770" s="5">
        <v>4474</v>
      </c>
      <c r="B2770" s="5">
        <v>1</v>
      </c>
      <c r="C2770" s="5">
        <v>1</v>
      </c>
      <c r="D2770" s="5" t="s">
        <v>269</v>
      </c>
      <c r="E2770" s="5" t="s">
        <v>271</v>
      </c>
      <c r="F2770" s="5" t="s">
        <v>248</v>
      </c>
      <c r="G2770" s="5" t="s">
        <v>266</v>
      </c>
      <c r="H2770" s="6" t="s">
        <v>1296</v>
      </c>
      <c r="I2770" s="7">
        <f>324</f>
        <v>324</v>
      </c>
      <c r="J2770" s="5" t="s">
        <v>262</v>
      </c>
      <c r="K2770" s="8">
        <f>1</f>
        <v>1</v>
      </c>
      <c r="L2770" s="6" t="s">
        <v>242</v>
      </c>
      <c r="M2770" s="5" t="s">
        <v>267</v>
      </c>
      <c r="N2770" s="5" t="s">
        <v>265</v>
      </c>
      <c r="O2770" s="5" t="s">
        <v>238</v>
      </c>
      <c r="P2770" s="5" t="s">
        <v>238</v>
      </c>
      <c r="Q2770" s="5" t="s">
        <v>268</v>
      </c>
      <c r="R2770" s="5" t="s">
        <v>270</v>
      </c>
      <c r="S2770" s="5" t="s">
        <v>238</v>
      </c>
      <c r="V2770" s="5" t="s">
        <v>238</v>
      </c>
      <c r="X2770" s="6" t="s">
        <v>238</v>
      </c>
      <c r="AA2770" s="6" t="s">
        <v>243</v>
      </c>
      <c r="AB2770" s="5" t="s">
        <v>238</v>
      </c>
      <c r="AC2770" s="5" t="s">
        <v>244</v>
      </c>
      <c r="AD2770" s="5" t="s">
        <v>245</v>
      </c>
      <c r="AT2770" s="5" t="s">
        <v>246</v>
      </c>
      <c r="AU2770" s="5" t="s">
        <v>238</v>
      </c>
      <c r="AV2770" s="5" t="s">
        <v>247</v>
      </c>
      <c r="AW2770" s="5" t="s">
        <v>238</v>
      </c>
      <c r="AX2770" s="5" t="s">
        <v>249</v>
      </c>
      <c r="AY2770" s="5" t="s">
        <v>238</v>
      </c>
      <c r="BA2770" s="5" t="s">
        <v>238</v>
      </c>
      <c r="BC2770" s="5" t="s">
        <v>250</v>
      </c>
      <c r="BD2770" s="6" t="s">
        <v>243</v>
      </c>
      <c r="BE2770" s="5" t="s">
        <v>251</v>
      </c>
      <c r="BF2770" s="5" t="s">
        <v>252</v>
      </c>
      <c r="BG2770" s="5" t="s">
        <v>238</v>
      </c>
      <c r="BH2770" s="7">
        <f>0</f>
        <v>0</v>
      </c>
      <c r="BI2770" s="8">
        <f>0</f>
        <v>0</v>
      </c>
      <c r="BJ2770" s="5" t="s">
        <v>253</v>
      </c>
      <c r="BK2770" s="5" t="s">
        <v>254</v>
      </c>
      <c r="BY2770" s="5" t="s">
        <v>238</v>
      </c>
      <c r="BZ2770" s="5" t="s">
        <v>238</v>
      </c>
      <c r="CD2770" s="5" t="s">
        <v>273</v>
      </c>
      <c r="CE2770" s="5" t="s">
        <v>256</v>
      </c>
      <c r="CF2770" s="5" t="s">
        <v>238</v>
      </c>
      <c r="CI2770" s="6" t="s">
        <v>257</v>
      </c>
      <c r="CJ2770" s="5" t="s">
        <v>238</v>
      </c>
      <c r="CK2770" s="5" t="s">
        <v>258</v>
      </c>
      <c r="CL2770" s="5" t="s">
        <v>238</v>
      </c>
      <c r="CM2770" s="5" t="s">
        <v>238</v>
      </c>
      <c r="CN2770" s="5">
        <v>0</v>
      </c>
      <c r="CO2770" s="5" t="s">
        <v>259</v>
      </c>
      <c r="CP2770" s="5" t="s">
        <v>260</v>
      </c>
      <c r="CQ2770" s="5" t="s">
        <v>260</v>
      </c>
      <c r="CR2770" s="5" t="s">
        <v>261</v>
      </c>
      <c r="CU2770" s="8">
        <f>1</f>
        <v>1</v>
      </c>
      <c r="CV2770" s="8">
        <f>0</f>
        <v>0</v>
      </c>
      <c r="CX2770" s="8">
        <f>0</f>
        <v>0</v>
      </c>
      <c r="CY2770" s="8">
        <f>1</f>
        <v>1</v>
      </c>
      <c r="DA2770" s="5" t="s">
        <v>274</v>
      </c>
      <c r="DB2770" s="5" t="s">
        <v>238</v>
      </c>
      <c r="DD2770" s="5" t="s">
        <v>274</v>
      </c>
      <c r="DE2770" s="8">
        <f>324</f>
        <v>324</v>
      </c>
      <c r="DG2770" s="5" t="s">
        <v>238</v>
      </c>
      <c r="DH2770" s="5" t="s">
        <v>238</v>
      </c>
      <c r="DI2770" s="5" t="s">
        <v>238</v>
      </c>
      <c r="DJ2770" s="5" t="s">
        <v>238</v>
      </c>
      <c r="DN2770" s="5" t="s">
        <v>238</v>
      </c>
      <c r="DO2770" s="5" t="s">
        <v>238</v>
      </c>
      <c r="DP2770" s="5" t="s">
        <v>238</v>
      </c>
      <c r="DQ2770" s="5" t="s">
        <v>238</v>
      </c>
      <c r="DT2770" s="5" t="s">
        <v>275</v>
      </c>
      <c r="DU2770" s="5" t="s">
        <v>1297</v>
      </c>
      <c r="HM2770" s="5" t="s">
        <v>264</v>
      </c>
    </row>
    <row r="2771" spans="1:221" x14ac:dyDescent="0.4">
      <c r="A2771" s="5">
        <v>4475</v>
      </c>
      <c r="B2771" s="5">
        <v>1</v>
      </c>
      <c r="C2771" s="5">
        <v>1</v>
      </c>
      <c r="D2771" s="5" t="s">
        <v>269</v>
      </c>
      <c r="E2771" s="5" t="s">
        <v>271</v>
      </c>
      <c r="F2771" s="5" t="s">
        <v>248</v>
      </c>
      <c r="G2771" s="5" t="s">
        <v>266</v>
      </c>
      <c r="H2771" s="6" t="s">
        <v>1286</v>
      </c>
      <c r="I2771" s="7">
        <f>257</f>
        <v>257</v>
      </c>
      <c r="J2771" s="5" t="s">
        <v>262</v>
      </c>
      <c r="K2771" s="8">
        <f>1</f>
        <v>1</v>
      </c>
      <c r="L2771" s="6" t="s">
        <v>242</v>
      </c>
      <c r="M2771" s="5" t="s">
        <v>267</v>
      </c>
      <c r="N2771" s="5" t="s">
        <v>265</v>
      </c>
      <c r="O2771" s="5" t="s">
        <v>238</v>
      </c>
      <c r="P2771" s="5" t="s">
        <v>238</v>
      </c>
      <c r="Q2771" s="5" t="s">
        <v>268</v>
      </c>
      <c r="R2771" s="5" t="s">
        <v>270</v>
      </c>
      <c r="S2771" s="5" t="s">
        <v>238</v>
      </c>
      <c r="V2771" s="5" t="s">
        <v>238</v>
      </c>
      <c r="X2771" s="6" t="s">
        <v>238</v>
      </c>
      <c r="AA2771" s="6" t="s">
        <v>243</v>
      </c>
      <c r="AB2771" s="5" t="s">
        <v>238</v>
      </c>
      <c r="AC2771" s="5" t="s">
        <v>244</v>
      </c>
      <c r="AD2771" s="5" t="s">
        <v>245</v>
      </c>
      <c r="AT2771" s="5" t="s">
        <v>246</v>
      </c>
      <c r="AU2771" s="5" t="s">
        <v>238</v>
      </c>
      <c r="AV2771" s="5" t="s">
        <v>247</v>
      </c>
      <c r="AW2771" s="5" t="s">
        <v>238</v>
      </c>
      <c r="AX2771" s="5" t="s">
        <v>249</v>
      </c>
      <c r="AY2771" s="5" t="s">
        <v>238</v>
      </c>
      <c r="BA2771" s="5" t="s">
        <v>238</v>
      </c>
      <c r="BC2771" s="5" t="s">
        <v>250</v>
      </c>
      <c r="BD2771" s="6" t="s">
        <v>243</v>
      </c>
      <c r="BE2771" s="5" t="s">
        <v>251</v>
      </c>
      <c r="BF2771" s="5" t="s">
        <v>252</v>
      </c>
      <c r="BG2771" s="5" t="s">
        <v>238</v>
      </c>
      <c r="BH2771" s="7">
        <f>0</f>
        <v>0</v>
      </c>
      <c r="BI2771" s="8">
        <f>0</f>
        <v>0</v>
      </c>
      <c r="BJ2771" s="5" t="s">
        <v>253</v>
      </c>
      <c r="BK2771" s="5" t="s">
        <v>254</v>
      </c>
      <c r="BY2771" s="5" t="s">
        <v>238</v>
      </c>
      <c r="BZ2771" s="5" t="s">
        <v>238</v>
      </c>
      <c r="CD2771" s="5" t="s">
        <v>273</v>
      </c>
      <c r="CE2771" s="5" t="s">
        <v>256</v>
      </c>
      <c r="CF2771" s="5" t="s">
        <v>238</v>
      </c>
      <c r="CI2771" s="6" t="s">
        <v>257</v>
      </c>
      <c r="CJ2771" s="5" t="s">
        <v>238</v>
      </c>
      <c r="CK2771" s="5" t="s">
        <v>258</v>
      </c>
      <c r="CL2771" s="5" t="s">
        <v>238</v>
      </c>
      <c r="CM2771" s="5" t="s">
        <v>238</v>
      </c>
      <c r="CN2771" s="5">
        <v>0</v>
      </c>
      <c r="CO2771" s="5" t="s">
        <v>259</v>
      </c>
      <c r="CP2771" s="5" t="s">
        <v>260</v>
      </c>
      <c r="CQ2771" s="5" t="s">
        <v>260</v>
      </c>
      <c r="CR2771" s="5" t="s">
        <v>261</v>
      </c>
      <c r="CU2771" s="8">
        <f>1</f>
        <v>1</v>
      </c>
      <c r="CV2771" s="8">
        <f>0</f>
        <v>0</v>
      </c>
      <c r="CX2771" s="8">
        <f>0</f>
        <v>0</v>
      </c>
      <c r="CY2771" s="8">
        <f>1</f>
        <v>1</v>
      </c>
      <c r="DA2771" s="5" t="s">
        <v>274</v>
      </c>
      <c r="DB2771" s="5" t="s">
        <v>238</v>
      </c>
      <c r="DD2771" s="5" t="s">
        <v>274</v>
      </c>
      <c r="DE2771" s="8">
        <f>257</f>
        <v>257</v>
      </c>
      <c r="DG2771" s="5" t="s">
        <v>238</v>
      </c>
      <c r="DH2771" s="5" t="s">
        <v>238</v>
      </c>
      <c r="DI2771" s="5" t="s">
        <v>238</v>
      </c>
      <c r="DJ2771" s="5" t="s">
        <v>238</v>
      </c>
      <c r="DN2771" s="5" t="s">
        <v>238</v>
      </c>
      <c r="DO2771" s="5" t="s">
        <v>238</v>
      </c>
      <c r="DP2771" s="5" t="s">
        <v>238</v>
      </c>
      <c r="DQ2771" s="5" t="s">
        <v>238</v>
      </c>
      <c r="DT2771" s="5" t="s">
        <v>275</v>
      </c>
      <c r="DU2771" s="5" t="s">
        <v>1287</v>
      </c>
      <c r="HM2771" s="5" t="s">
        <v>264</v>
      </c>
    </row>
    <row r="2772" spans="1:221" x14ac:dyDescent="0.4">
      <c r="A2772" s="5">
        <v>4476</v>
      </c>
      <c r="B2772" s="5">
        <v>1</v>
      </c>
      <c r="C2772" s="5">
        <v>1</v>
      </c>
      <c r="D2772" s="5" t="s">
        <v>269</v>
      </c>
      <c r="E2772" s="5" t="s">
        <v>271</v>
      </c>
      <c r="F2772" s="5" t="s">
        <v>248</v>
      </c>
      <c r="G2772" s="5" t="s">
        <v>266</v>
      </c>
      <c r="H2772" s="6" t="s">
        <v>1281</v>
      </c>
      <c r="I2772" s="7">
        <f>52</f>
        <v>52</v>
      </c>
      <c r="J2772" s="5" t="s">
        <v>262</v>
      </c>
      <c r="K2772" s="8">
        <f>1</f>
        <v>1</v>
      </c>
      <c r="L2772" s="6" t="s">
        <v>242</v>
      </c>
      <c r="M2772" s="5" t="s">
        <v>267</v>
      </c>
      <c r="N2772" s="5" t="s">
        <v>265</v>
      </c>
      <c r="O2772" s="5" t="s">
        <v>238</v>
      </c>
      <c r="P2772" s="5" t="s">
        <v>238</v>
      </c>
      <c r="Q2772" s="5" t="s">
        <v>268</v>
      </c>
      <c r="R2772" s="5" t="s">
        <v>270</v>
      </c>
      <c r="S2772" s="5" t="s">
        <v>238</v>
      </c>
      <c r="V2772" s="5" t="s">
        <v>238</v>
      </c>
      <c r="X2772" s="6" t="s">
        <v>238</v>
      </c>
      <c r="AA2772" s="6" t="s">
        <v>243</v>
      </c>
      <c r="AB2772" s="5" t="s">
        <v>238</v>
      </c>
      <c r="AC2772" s="5" t="s">
        <v>244</v>
      </c>
      <c r="AD2772" s="5" t="s">
        <v>245</v>
      </c>
      <c r="AT2772" s="5" t="s">
        <v>246</v>
      </c>
      <c r="AU2772" s="5" t="s">
        <v>238</v>
      </c>
      <c r="AV2772" s="5" t="s">
        <v>247</v>
      </c>
      <c r="AW2772" s="5" t="s">
        <v>238</v>
      </c>
      <c r="AX2772" s="5" t="s">
        <v>249</v>
      </c>
      <c r="AY2772" s="5" t="s">
        <v>238</v>
      </c>
      <c r="BA2772" s="5" t="s">
        <v>238</v>
      </c>
      <c r="BC2772" s="5" t="s">
        <v>250</v>
      </c>
      <c r="BD2772" s="6" t="s">
        <v>243</v>
      </c>
      <c r="BE2772" s="5" t="s">
        <v>251</v>
      </c>
      <c r="BF2772" s="5" t="s">
        <v>252</v>
      </c>
      <c r="BG2772" s="5" t="s">
        <v>238</v>
      </c>
      <c r="BH2772" s="7">
        <f>0</f>
        <v>0</v>
      </c>
      <c r="BI2772" s="8">
        <f>0</f>
        <v>0</v>
      </c>
      <c r="BJ2772" s="5" t="s">
        <v>253</v>
      </c>
      <c r="BK2772" s="5" t="s">
        <v>254</v>
      </c>
      <c r="BY2772" s="5" t="s">
        <v>238</v>
      </c>
      <c r="BZ2772" s="5" t="s">
        <v>238</v>
      </c>
      <c r="CD2772" s="5" t="s">
        <v>273</v>
      </c>
      <c r="CE2772" s="5" t="s">
        <v>256</v>
      </c>
      <c r="CF2772" s="5" t="s">
        <v>238</v>
      </c>
      <c r="CI2772" s="6" t="s">
        <v>257</v>
      </c>
      <c r="CJ2772" s="5" t="s">
        <v>238</v>
      </c>
      <c r="CK2772" s="5" t="s">
        <v>258</v>
      </c>
      <c r="CL2772" s="5" t="s">
        <v>238</v>
      </c>
      <c r="CM2772" s="5" t="s">
        <v>238</v>
      </c>
      <c r="CN2772" s="5">
        <v>0</v>
      </c>
      <c r="CO2772" s="5" t="s">
        <v>259</v>
      </c>
      <c r="CP2772" s="5" t="s">
        <v>260</v>
      </c>
      <c r="CQ2772" s="5" t="s">
        <v>260</v>
      </c>
      <c r="CR2772" s="5" t="s">
        <v>261</v>
      </c>
      <c r="CU2772" s="8">
        <f>1</f>
        <v>1</v>
      </c>
      <c r="CV2772" s="8">
        <f>0</f>
        <v>0</v>
      </c>
      <c r="CX2772" s="8">
        <f>0</f>
        <v>0</v>
      </c>
      <c r="CY2772" s="8">
        <f>1</f>
        <v>1</v>
      </c>
      <c r="DA2772" s="5" t="s">
        <v>274</v>
      </c>
      <c r="DB2772" s="5" t="s">
        <v>238</v>
      </c>
      <c r="DD2772" s="5" t="s">
        <v>274</v>
      </c>
      <c r="DE2772" s="8">
        <f>52</f>
        <v>52</v>
      </c>
      <c r="DG2772" s="5" t="s">
        <v>238</v>
      </c>
      <c r="DH2772" s="5" t="s">
        <v>238</v>
      </c>
      <c r="DI2772" s="5" t="s">
        <v>238</v>
      </c>
      <c r="DJ2772" s="5" t="s">
        <v>238</v>
      </c>
      <c r="DN2772" s="5" t="s">
        <v>238</v>
      </c>
      <c r="DO2772" s="5" t="s">
        <v>238</v>
      </c>
      <c r="DP2772" s="5" t="s">
        <v>238</v>
      </c>
      <c r="DQ2772" s="5" t="s">
        <v>238</v>
      </c>
      <c r="DT2772" s="5" t="s">
        <v>275</v>
      </c>
      <c r="DU2772" s="5" t="s">
        <v>1282</v>
      </c>
      <c r="HM2772" s="5" t="s">
        <v>264</v>
      </c>
    </row>
    <row r="2773" spans="1:221" x14ac:dyDescent="0.4">
      <c r="A2773" s="5">
        <v>4477</v>
      </c>
      <c r="B2773" s="5">
        <v>1</v>
      </c>
      <c r="C2773" s="5">
        <v>1</v>
      </c>
      <c r="D2773" s="5" t="s">
        <v>269</v>
      </c>
      <c r="E2773" s="5" t="s">
        <v>271</v>
      </c>
      <c r="F2773" s="5" t="s">
        <v>248</v>
      </c>
      <c r="G2773" s="5" t="s">
        <v>266</v>
      </c>
      <c r="H2773" s="6" t="s">
        <v>1277</v>
      </c>
      <c r="I2773" s="7">
        <f>232</f>
        <v>232</v>
      </c>
      <c r="J2773" s="5" t="s">
        <v>262</v>
      </c>
      <c r="K2773" s="8">
        <f>1</f>
        <v>1</v>
      </c>
      <c r="L2773" s="6" t="s">
        <v>242</v>
      </c>
      <c r="M2773" s="5" t="s">
        <v>267</v>
      </c>
      <c r="N2773" s="5" t="s">
        <v>265</v>
      </c>
      <c r="O2773" s="5" t="s">
        <v>238</v>
      </c>
      <c r="P2773" s="5" t="s">
        <v>238</v>
      </c>
      <c r="Q2773" s="5" t="s">
        <v>268</v>
      </c>
      <c r="R2773" s="5" t="s">
        <v>270</v>
      </c>
      <c r="S2773" s="5" t="s">
        <v>238</v>
      </c>
      <c r="V2773" s="5" t="s">
        <v>238</v>
      </c>
      <c r="X2773" s="6" t="s">
        <v>238</v>
      </c>
      <c r="AA2773" s="6" t="s">
        <v>243</v>
      </c>
      <c r="AB2773" s="5" t="s">
        <v>238</v>
      </c>
      <c r="AC2773" s="5" t="s">
        <v>244</v>
      </c>
      <c r="AD2773" s="5" t="s">
        <v>245</v>
      </c>
      <c r="AT2773" s="5" t="s">
        <v>246</v>
      </c>
      <c r="AU2773" s="5" t="s">
        <v>238</v>
      </c>
      <c r="AV2773" s="5" t="s">
        <v>247</v>
      </c>
      <c r="AW2773" s="5" t="s">
        <v>238</v>
      </c>
      <c r="AX2773" s="5" t="s">
        <v>249</v>
      </c>
      <c r="AY2773" s="5" t="s">
        <v>238</v>
      </c>
      <c r="BA2773" s="5" t="s">
        <v>238</v>
      </c>
      <c r="BC2773" s="5" t="s">
        <v>250</v>
      </c>
      <c r="BD2773" s="6" t="s">
        <v>243</v>
      </c>
      <c r="BE2773" s="5" t="s">
        <v>251</v>
      </c>
      <c r="BF2773" s="5" t="s">
        <v>252</v>
      </c>
      <c r="BG2773" s="5" t="s">
        <v>238</v>
      </c>
      <c r="BH2773" s="7">
        <f>0</f>
        <v>0</v>
      </c>
      <c r="BI2773" s="8">
        <f>0</f>
        <v>0</v>
      </c>
      <c r="BJ2773" s="5" t="s">
        <v>253</v>
      </c>
      <c r="BK2773" s="5" t="s">
        <v>254</v>
      </c>
      <c r="BY2773" s="5" t="s">
        <v>238</v>
      </c>
      <c r="BZ2773" s="5" t="s">
        <v>238</v>
      </c>
      <c r="CD2773" s="5" t="s">
        <v>273</v>
      </c>
      <c r="CE2773" s="5" t="s">
        <v>256</v>
      </c>
      <c r="CF2773" s="5" t="s">
        <v>238</v>
      </c>
      <c r="CI2773" s="6" t="s">
        <v>257</v>
      </c>
      <c r="CJ2773" s="5" t="s">
        <v>238</v>
      </c>
      <c r="CK2773" s="5" t="s">
        <v>258</v>
      </c>
      <c r="CL2773" s="5" t="s">
        <v>238</v>
      </c>
      <c r="CM2773" s="5" t="s">
        <v>238</v>
      </c>
      <c r="CN2773" s="5">
        <v>0</v>
      </c>
      <c r="CO2773" s="5" t="s">
        <v>259</v>
      </c>
      <c r="CP2773" s="5" t="s">
        <v>260</v>
      </c>
      <c r="CQ2773" s="5" t="s">
        <v>260</v>
      </c>
      <c r="CR2773" s="5" t="s">
        <v>261</v>
      </c>
      <c r="CU2773" s="8">
        <f>1</f>
        <v>1</v>
      </c>
      <c r="CV2773" s="8">
        <f>0</f>
        <v>0</v>
      </c>
      <c r="CX2773" s="8">
        <f>0</f>
        <v>0</v>
      </c>
      <c r="CY2773" s="8">
        <f>1</f>
        <v>1</v>
      </c>
      <c r="DA2773" s="5" t="s">
        <v>274</v>
      </c>
      <c r="DB2773" s="5" t="s">
        <v>238</v>
      </c>
      <c r="DD2773" s="5" t="s">
        <v>274</v>
      </c>
      <c r="DE2773" s="8">
        <f>232</f>
        <v>232</v>
      </c>
      <c r="DG2773" s="5" t="s">
        <v>238</v>
      </c>
      <c r="DH2773" s="5" t="s">
        <v>238</v>
      </c>
      <c r="DI2773" s="5" t="s">
        <v>238</v>
      </c>
      <c r="DJ2773" s="5" t="s">
        <v>238</v>
      </c>
      <c r="DN2773" s="5" t="s">
        <v>238</v>
      </c>
      <c r="DO2773" s="5" t="s">
        <v>238</v>
      </c>
      <c r="DP2773" s="5" t="s">
        <v>238</v>
      </c>
      <c r="DQ2773" s="5" t="s">
        <v>238</v>
      </c>
      <c r="DT2773" s="5" t="s">
        <v>275</v>
      </c>
      <c r="DU2773" s="5" t="s">
        <v>1278</v>
      </c>
      <c r="HM2773" s="5" t="s">
        <v>264</v>
      </c>
    </row>
    <row r="2774" spans="1:221" x14ac:dyDescent="0.4">
      <c r="A2774" s="5">
        <v>4478</v>
      </c>
      <c r="B2774" s="5">
        <v>1</v>
      </c>
      <c r="C2774" s="5">
        <v>1</v>
      </c>
      <c r="D2774" s="5" t="s">
        <v>269</v>
      </c>
      <c r="E2774" s="5" t="s">
        <v>271</v>
      </c>
      <c r="F2774" s="5" t="s">
        <v>248</v>
      </c>
      <c r="G2774" s="5" t="s">
        <v>266</v>
      </c>
      <c r="H2774" s="6" t="s">
        <v>1265</v>
      </c>
      <c r="I2774" s="7">
        <f>167</f>
        <v>167</v>
      </c>
      <c r="J2774" s="5" t="s">
        <v>262</v>
      </c>
      <c r="K2774" s="8">
        <f>1</f>
        <v>1</v>
      </c>
      <c r="L2774" s="6" t="s">
        <v>242</v>
      </c>
      <c r="M2774" s="5" t="s">
        <v>267</v>
      </c>
      <c r="N2774" s="5" t="s">
        <v>265</v>
      </c>
      <c r="O2774" s="5" t="s">
        <v>238</v>
      </c>
      <c r="P2774" s="5" t="s">
        <v>238</v>
      </c>
      <c r="Q2774" s="5" t="s">
        <v>268</v>
      </c>
      <c r="R2774" s="5" t="s">
        <v>270</v>
      </c>
      <c r="S2774" s="5" t="s">
        <v>238</v>
      </c>
      <c r="V2774" s="5" t="s">
        <v>238</v>
      </c>
      <c r="X2774" s="6" t="s">
        <v>238</v>
      </c>
      <c r="AA2774" s="6" t="s">
        <v>243</v>
      </c>
      <c r="AB2774" s="5" t="s">
        <v>238</v>
      </c>
      <c r="AC2774" s="5" t="s">
        <v>244</v>
      </c>
      <c r="AD2774" s="5" t="s">
        <v>245</v>
      </c>
      <c r="AT2774" s="5" t="s">
        <v>246</v>
      </c>
      <c r="AU2774" s="5" t="s">
        <v>238</v>
      </c>
      <c r="AV2774" s="5" t="s">
        <v>247</v>
      </c>
      <c r="AW2774" s="5" t="s">
        <v>238</v>
      </c>
      <c r="AX2774" s="5" t="s">
        <v>249</v>
      </c>
      <c r="AY2774" s="5" t="s">
        <v>238</v>
      </c>
      <c r="BA2774" s="5" t="s">
        <v>238</v>
      </c>
      <c r="BC2774" s="5" t="s">
        <v>250</v>
      </c>
      <c r="BD2774" s="6" t="s">
        <v>243</v>
      </c>
      <c r="BE2774" s="5" t="s">
        <v>251</v>
      </c>
      <c r="BF2774" s="5" t="s">
        <v>252</v>
      </c>
      <c r="BG2774" s="5" t="s">
        <v>238</v>
      </c>
      <c r="BH2774" s="7">
        <f>0</f>
        <v>0</v>
      </c>
      <c r="BI2774" s="8">
        <f>0</f>
        <v>0</v>
      </c>
      <c r="BJ2774" s="5" t="s">
        <v>253</v>
      </c>
      <c r="BK2774" s="5" t="s">
        <v>254</v>
      </c>
      <c r="BY2774" s="5" t="s">
        <v>238</v>
      </c>
      <c r="BZ2774" s="5" t="s">
        <v>238</v>
      </c>
      <c r="CD2774" s="5" t="s">
        <v>273</v>
      </c>
      <c r="CE2774" s="5" t="s">
        <v>256</v>
      </c>
      <c r="CF2774" s="5" t="s">
        <v>238</v>
      </c>
      <c r="CI2774" s="6" t="s">
        <v>257</v>
      </c>
      <c r="CJ2774" s="5" t="s">
        <v>238</v>
      </c>
      <c r="CK2774" s="5" t="s">
        <v>258</v>
      </c>
      <c r="CL2774" s="5" t="s">
        <v>238</v>
      </c>
      <c r="CM2774" s="5" t="s">
        <v>238</v>
      </c>
      <c r="CN2774" s="5">
        <v>0</v>
      </c>
      <c r="CO2774" s="5" t="s">
        <v>259</v>
      </c>
      <c r="CP2774" s="5" t="s">
        <v>260</v>
      </c>
      <c r="CQ2774" s="5" t="s">
        <v>260</v>
      </c>
      <c r="CR2774" s="5" t="s">
        <v>261</v>
      </c>
      <c r="CU2774" s="8">
        <f>1</f>
        <v>1</v>
      </c>
      <c r="CV2774" s="8">
        <f>0</f>
        <v>0</v>
      </c>
      <c r="CX2774" s="8">
        <f>0</f>
        <v>0</v>
      </c>
      <c r="CY2774" s="8">
        <f>1</f>
        <v>1</v>
      </c>
      <c r="DA2774" s="5" t="s">
        <v>274</v>
      </c>
      <c r="DB2774" s="5" t="s">
        <v>238</v>
      </c>
      <c r="DD2774" s="5" t="s">
        <v>274</v>
      </c>
      <c r="DE2774" s="8">
        <f>167</f>
        <v>167</v>
      </c>
      <c r="DG2774" s="5" t="s">
        <v>238</v>
      </c>
      <c r="DH2774" s="5" t="s">
        <v>238</v>
      </c>
      <c r="DI2774" s="5" t="s">
        <v>238</v>
      </c>
      <c r="DJ2774" s="5" t="s">
        <v>238</v>
      </c>
      <c r="DN2774" s="5" t="s">
        <v>238</v>
      </c>
      <c r="DO2774" s="5" t="s">
        <v>238</v>
      </c>
      <c r="DP2774" s="5" t="s">
        <v>238</v>
      </c>
      <c r="DQ2774" s="5" t="s">
        <v>238</v>
      </c>
      <c r="DT2774" s="5" t="s">
        <v>275</v>
      </c>
      <c r="DU2774" s="5" t="s">
        <v>1266</v>
      </c>
      <c r="HM2774" s="5" t="s">
        <v>264</v>
      </c>
    </row>
    <row r="2775" spans="1:221" x14ac:dyDescent="0.4">
      <c r="A2775" s="5">
        <v>4479</v>
      </c>
      <c r="B2775" s="5">
        <v>1</v>
      </c>
      <c r="C2775" s="5">
        <v>1</v>
      </c>
      <c r="D2775" s="5" t="s">
        <v>269</v>
      </c>
      <c r="E2775" s="5" t="s">
        <v>271</v>
      </c>
      <c r="F2775" s="5" t="s">
        <v>248</v>
      </c>
      <c r="G2775" s="5" t="s">
        <v>266</v>
      </c>
      <c r="H2775" s="6" t="s">
        <v>1263</v>
      </c>
      <c r="I2775" s="7">
        <f>1056</f>
        <v>1056</v>
      </c>
      <c r="J2775" s="5" t="s">
        <v>262</v>
      </c>
      <c r="K2775" s="8">
        <f>1</f>
        <v>1</v>
      </c>
      <c r="L2775" s="6" t="s">
        <v>242</v>
      </c>
      <c r="M2775" s="5" t="s">
        <v>267</v>
      </c>
      <c r="N2775" s="5" t="s">
        <v>265</v>
      </c>
      <c r="O2775" s="5" t="s">
        <v>238</v>
      </c>
      <c r="P2775" s="5" t="s">
        <v>238</v>
      </c>
      <c r="Q2775" s="5" t="s">
        <v>268</v>
      </c>
      <c r="R2775" s="5" t="s">
        <v>270</v>
      </c>
      <c r="S2775" s="5" t="s">
        <v>238</v>
      </c>
      <c r="V2775" s="5" t="s">
        <v>238</v>
      </c>
      <c r="X2775" s="6" t="s">
        <v>238</v>
      </c>
      <c r="AA2775" s="6" t="s">
        <v>243</v>
      </c>
      <c r="AB2775" s="5" t="s">
        <v>238</v>
      </c>
      <c r="AC2775" s="5" t="s">
        <v>244</v>
      </c>
      <c r="AD2775" s="5" t="s">
        <v>245</v>
      </c>
      <c r="AT2775" s="5" t="s">
        <v>246</v>
      </c>
      <c r="AU2775" s="5" t="s">
        <v>238</v>
      </c>
      <c r="AV2775" s="5" t="s">
        <v>247</v>
      </c>
      <c r="AW2775" s="5" t="s">
        <v>238</v>
      </c>
      <c r="AX2775" s="5" t="s">
        <v>249</v>
      </c>
      <c r="AY2775" s="5" t="s">
        <v>238</v>
      </c>
      <c r="BA2775" s="5" t="s">
        <v>238</v>
      </c>
      <c r="BC2775" s="5" t="s">
        <v>250</v>
      </c>
      <c r="BD2775" s="6" t="s">
        <v>243</v>
      </c>
      <c r="BE2775" s="5" t="s">
        <v>251</v>
      </c>
      <c r="BF2775" s="5" t="s">
        <v>252</v>
      </c>
      <c r="BG2775" s="5" t="s">
        <v>238</v>
      </c>
      <c r="BH2775" s="7">
        <f>0</f>
        <v>0</v>
      </c>
      <c r="BI2775" s="8">
        <f>0</f>
        <v>0</v>
      </c>
      <c r="BJ2775" s="5" t="s">
        <v>253</v>
      </c>
      <c r="BK2775" s="5" t="s">
        <v>254</v>
      </c>
      <c r="BY2775" s="5" t="s">
        <v>238</v>
      </c>
      <c r="BZ2775" s="5" t="s">
        <v>238</v>
      </c>
      <c r="CD2775" s="5" t="s">
        <v>273</v>
      </c>
      <c r="CE2775" s="5" t="s">
        <v>256</v>
      </c>
      <c r="CF2775" s="5" t="s">
        <v>238</v>
      </c>
      <c r="CI2775" s="6" t="s">
        <v>257</v>
      </c>
      <c r="CJ2775" s="5" t="s">
        <v>238</v>
      </c>
      <c r="CK2775" s="5" t="s">
        <v>258</v>
      </c>
      <c r="CL2775" s="5" t="s">
        <v>238</v>
      </c>
      <c r="CM2775" s="5" t="s">
        <v>238</v>
      </c>
      <c r="CN2775" s="5">
        <v>0</v>
      </c>
      <c r="CO2775" s="5" t="s">
        <v>259</v>
      </c>
      <c r="CP2775" s="5" t="s">
        <v>260</v>
      </c>
      <c r="CQ2775" s="5" t="s">
        <v>260</v>
      </c>
      <c r="CR2775" s="5" t="s">
        <v>261</v>
      </c>
      <c r="CU2775" s="8">
        <f>1</f>
        <v>1</v>
      </c>
      <c r="CV2775" s="8">
        <f>0</f>
        <v>0</v>
      </c>
      <c r="CX2775" s="8">
        <f>0</f>
        <v>0</v>
      </c>
      <c r="CY2775" s="8">
        <f>1</f>
        <v>1</v>
      </c>
      <c r="DA2775" s="5" t="s">
        <v>274</v>
      </c>
      <c r="DB2775" s="5" t="s">
        <v>238</v>
      </c>
      <c r="DD2775" s="5" t="s">
        <v>274</v>
      </c>
      <c r="DE2775" s="8">
        <f>1056</f>
        <v>1056</v>
      </c>
      <c r="DG2775" s="5" t="s">
        <v>238</v>
      </c>
      <c r="DH2775" s="5" t="s">
        <v>238</v>
      </c>
      <c r="DI2775" s="5" t="s">
        <v>238</v>
      </c>
      <c r="DJ2775" s="5" t="s">
        <v>238</v>
      </c>
      <c r="DN2775" s="5" t="s">
        <v>238</v>
      </c>
      <c r="DO2775" s="5" t="s">
        <v>238</v>
      </c>
      <c r="DP2775" s="5" t="s">
        <v>238</v>
      </c>
      <c r="DQ2775" s="5" t="s">
        <v>238</v>
      </c>
      <c r="DT2775" s="5" t="s">
        <v>275</v>
      </c>
      <c r="DU2775" s="5" t="s">
        <v>1264</v>
      </c>
      <c r="HM2775" s="5" t="s">
        <v>264</v>
      </c>
    </row>
    <row r="2776" spans="1:221" x14ac:dyDescent="0.4">
      <c r="A2776" s="5">
        <v>4480</v>
      </c>
      <c r="B2776" s="5">
        <v>1</v>
      </c>
      <c r="C2776" s="5">
        <v>1</v>
      </c>
      <c r="D2776" s="5" t="s">
        <v>269</v>
      </c>
      <c r="E2776" s="5" t="s">
        <v>271</v>
      </c>
      <c r="F2776" s="5" t="s">
        <v>248</v>
      </c>
      <c r="G2776" s="5" t="s">
        <v>266</v>
      </c>
      <c r="H2776" s="6" t="s">
        <v>1249</v>
      </c>
      <c r="I2776" s="7">
        <f>1008</f>
        <v>1008</v>
      </c>
      <c r="J2776" s="5" t="s">
        <v>262</v>
      </c>
      <c r="K2776" s="8">
        <f>1</f>
        <v>1</v>
      </c>
      <c r="L2776" s="6" t="s">
        <v>242</v>
      </c>
      <c r="M2776" s="5" t="s">
        <v>267</v>
      </c>
      <c r="N2776" s="5" t="s">
        <v>265</v>
      </c>
      <c r="O2776" s="5" t="s">
        <v>238</v>
      </c>
      <c r="P2776" s="5" t="s">
        <v>238</v>
      </c>
      <c r="Q2776" s="5" t="s">
        <v>268</v>
      </c>
      <c r="R2776" s="5" t="s">
        <v>270</v>
      </c>
      <c r="S2776" s="5" t="s">
        <v>238</v>
      </c>
      <c r="V2776" s="5" t="s">
        <v>238</v>
      </c>
      <c r="X2776" s="6" t="s">
        <v>238</v>
      </c>
      <c r="AA2776" s="6" t="s">
        <v>243</v>
      </c>
      <c r="AB2776" s="5" t="s">
        <v>238</v>
      </c>
      <c r="AC2776" s="5" t="s">
        <v>244</v>
      </c>
      <c r="AD2776" s="5" t="s">
        <v>245</v>
      </c>
      <c r="AT2776" s="5" t="s">
        <v>246</v>
      </c>
      <c r="AU2776" s="5" t="s">
        <v>238</v>
      </c>
      <c r="AV2776" s="5" t="s">
        <v>247</v>
      </c>
      <c r="AW2776" s="5" t="s">
        <v>238</v>
      </c>
      <c r="AX2776" s="5" t="s">
        <v>249</v>
      </c>
      <c r="AY2776" s="5" t="s">
        <v>238</v>
      </c>
      <c r="BA2776" s="5" t="s">
        <v>238</v>
      </c>
      <c r="BC2776" s="5" t="s">
        <v>250</v>
      </c>
      <c r="BD2776" s="6" t="s">
        <v>243</v>
      </c>
      <c r="BE2776" s="5" t="s">
        <v>251</v>
      </c>
      <c r="BF2776" s="5" t="s">
        <v>252</v>
      </c>
      <c r="BG2776" s="5" t="s">
        <v>238</v>
      </c>
      <c r="BH2776" s="7">
        <f>0</f>
        <v>0</v>
      </c>
      <c r="BI2776" s="8">
        <f>0</f>
        <v>0</v>
      </c>
      <c r="BJ2776" s="5" t="s">
        <v>253</v>
      </c>
      <c r="BK2776" s="5" t="s">
        <v>254</v>
      </c>
      <c r="BY2776" s="5" t="s">
        <v>238</v>
      </c>
      <c r="BZ2776" s="5" t="s">
        <v>238</v>
      </c>
      <c r="CD2776" s="5" t="s">
        <v>273</v>
      </c>
      <c r="CE2776" s="5" t="s">
        <v>256</v>
      </c>
      <c r="CF2776" s="5" t="s">
        <v>238</v>
      </c>
      <c r="CI2776" s="6" t="s">
        <v>257</v>
      </c>
      <c r="CJ2776" s="5" t="s">
        <v>238</v>
      </c>
      <c r="CK2776" s="5" t="s">
        <v>258</v>
      </c>
      <c r="CL2776" s="5" t="s">
        <v>238</v>
      </c>
      <c r="CM2776" s="5" t="s">
        <v>238</v>
      </c>
      <c r="CN2776" s="5">
        <v>0</v>
      </c>
      <c r="CO2776" s="5" t="s">
        <v>259</v>
      </c>
      <c r="CP2776" s="5" t="s">
        <v>260</v>
      </c>
      <c r="CQ2776" s="5" t="s">
        <v>260</v>
      </c>
      <c r="CR2776" s="5" t="s">
        <v>261</v>
      </c>
      <c r="CU2776" s="8">
        <f>1</f>
        <v>1</v>
      </c>
      <c r="CV2776" s="8">
        <f>0</f>
        <v>0</v>
      </c>
      <c r="CX2776" s="8">
        <f>0</f>
        <v>0</v>
      </c>
      <c r="CY2776" s="8">
        <f>1</f>
        <v>1</v>
      </c>
      <c r="DA2776" s="5" t="s">
        <v>274</v>
      </c>
      <c r="DB2776" s="5" t="s">
        <v>238</v>
      </c>
      <c r="DD2776" s="5" t="s">
        <v>274</v>
      </c>
      <c r="DE2776" s="8">
        <f>1008</f>
        <v>1008</v>
      </c>
      <c r="DG2776" s="5" t="s">
        <v>238</v>
      </c>
      <c r="DH2776" s="5" t="s">
        <v>238</v>
      </c>
      <c r="DI2776" s="5" t="s">
        <v>238</v>
      </c>
      <c r="DJ2776" s="5" t="s">
        <v>238</v>
      </c>
      <c r="DN2776" s="5" t="s">
        <v>238</v>
      </c>
      <c r="DO2776" s="5" t="s">
        <v>238</v>
      </c>
      <c r="DP2776" s="5" t="s">
        <v>238</v>
      </c>
      <c r="DQ2776" s="5" t="s">
        <v>238</v>
      </c>
      <c r="DT2776" s="5" t="s">
        <v>275</v>
      </c>
      <c r="DU2776" s="5" t="s">
        <v>1250</v>
      </c>
      <c r="HM2776" s="5" t="s">
        <v>264</v>
      </c>
    </row>
    <row r="2777" spans="1:221" x14ac:dyDescent="0.4">
      <c r="A2777" s="5">
        <v>4481</v>
      </c>
      <c r="B2777" s="5">
        <v>1</v>
      </c>
      <c r="C2777" s="5">
        <v>1</v>
      </c>
      <c r="D2777" s="5" t="s">
        <v>269</v>
      </c>
      <c r="E2777" s="5" t="s">
        <v>271</v>
      </c>
      <c r="F2777" s="5" t="s">
        <v>248</v>
      </c>
      <c r="G2777" s="5" t="s">
        <v>266</v>
      </c>
      <c r="H2777" s="6" t="s">
        <v>1242</v>
      </c>
      <c r="I2777" s="7">
        <f>750</f>
        <v>750</v>
      </c>
      <c r="J2777" s="5" t="s">
        <v>262</v>
      </c>
      <c r="K2777" s="8">
        <f>1</f>
        <v>1</v>
      </c>
      <c r="L2777" s="6" t="s">
        <v>242</v>
      </c>
      <c r="M2777" s="5" t="s">
        <v>267</v>
      </c>
      <c r="N2777" s="5" t="s">
        <v>265</v>
      </c>
      <c r="O2777" s="5" t="s">
        <v>238</v>
      </c>
      <c r="P2777" s="5" t="s">
        <v>238</v>
      </c>
      <c r="Q2777" s="5" t="s">
        <v>268</v>
      </c>
      <c r="R2777" s="5" t="s">
        <v>270</v>
      </c>
      <c r="S2777" s="5" t="s">
        <v>238</v>
      </c>
      <c r="V2777" s="5" t="s">
        <v>238</v>
      </c>
      <c r="X2777" s="6" t="s">
        <v>238</v>
      </c>
      <c r="AA2777" s="6" t="s">
        <v>243</v>
      </c>
      <c r="AB2777" s="5" t="s">
        <v>238</v>
      </c>
      <c r="AC2777" s="5" t="s">
        <v>244</v>
      </c>
      <c r="AD2777" s="5" t="s">
        <v>245</v>
      </c>
      <c r="AT2777" s="5" t="s">
        <v>246</v>
      </c>
      <c r="AU2777" s="5" t="s">
        <v>238</v>
      </c>
      <c r="AV2777" s="5" t="s">
        <v>247</v>
      </c>
      <c r="AW2777" s="5" t="s">
        <v>238</v>
      </c>
      <c r="AX2777" s="5" t="s">
        <v>249</v>
      </c>
      <c r="AY2777" s="5" t="s">
        <v>238</v>
      </c>
      <c r="BA2777" s="5" t="s">
        <v>238</v>
      </c>
      <c r="BC2777" s="5" t="s">
        <v>250</v>
      </c>
      <c r="BD2777" s="6" t="s">
        <v>243</v>
      </c>
      <c r="BE2777" s="5" t="s">
        <v>251</v>
      </c>
      <c r="BF2777" s="5" t="s">
        <v>252</v>
      </c>
      <c r="BG2777" s="5" t="s">
        <v>238</v>
      </c>
      <c r="BH2777" s="7">
        <f>0</f>
        <v>0</v>
      </c>
      <c r="BI2777" s="8">
        <f>0</f>
        <v>0</v>
      </c>
      <c r="BJ2777" s="5" t="s">
        <v>253</v>
      </c>
      <c r="BK2777" s="5" t="s">
        <v>254</v>
      </c>
      <c r="BY2777" s="5" t="s">
        <v>238</v>
      </c>
      <c r="BZ2777" s="5" t="s">
        <v>238</v>
      </c>
      <c r="CD2777" s="5" t="s">
        <v>273</v>
      </c>
      <c r="CE2777" s="5" t="s">
        <v>256</v>
      </c>
      <c r="CF2777" s="5" t="s">
        <v>238</v>
      </c>
      <c r="CI2777" s="6" t="s">
        <v>257</v>
      </c>
      <c r="CJ2777" s="5" t="s">
        <v>238</v>
      </c>
      <c r="CK2777" s="5" t="s">
        <v>258</v>
      </c>
      <c r="CL2777" s="5" t="s">
        <v>238</v>
      </c>
      <c r="CM2777" s="5" t="s">
        <v>238</v>
      </c>
      <c r="CN2777" s="5">
        <v>0</v>
      </c>
      <c r="CO2777" s="5" t="s">
        <v>259</v>
      </c>
      <c r="CP2777" s="5" t="s">
        <v>260</v>
      </c>
      <c r="CQ2777" s="5" t="s">
        <v>260</v>
      </c>
      <c r="CR2777" s="5" t="s">
        <v>261</v>
      </c>
      <c r="CU2777" s="8">
        <f>1</f>
        <v>1</v>
      </c>
      <c r="CV2777" s="8">
        <f>0</f>
        <v>0</v>
      </c>
      <c r="CX2777" s="8">
        <f>0</f>
        <v>0</v>
      </c>
      <c r="CY2777" s="8">
        <f>1</f>
        <v>1</v>
      </c>
      <c r="DA2777" s="5" t="s">
        <v>274</v>
      </c>
      <c r="DB2777" s="5" t="s">
        <v>238</v>
      </c>
      <c r="DD2777" s="5" t="s">
        <v>274</v>
      </c>
      <c r="DE2777" s="8">
        <f>750</f>
        <v>750</v>
      </c>
      <c r="DG2777" s="5" t="s">
        <v>238</v>
      </c>
      <c r="DH2777" s="5" t="s">
        <v>238</v>
      </c>
      <c r="DI2777" s="5" t="s">
        <v>238</v>
      </c>
      <c r="DJ2777" s="5" t="s">
        <v>238</v>
      </c>
      <c r="DN2777" s="5" t="s">
        <v>238</v>
      </c>
      <c r="DO2777" s="5" t="s">
        <v>238</v>
      </c>
      <c r="DP2777" s="5" t="s">
        <v>238</v>
      </c>
      <c r="DQ2777" s="5" t="s">
        <v>238</v>
      </c>
      <c r="DT2777" s="5" t="s">
        <v>275</v>
      </c>
      <c r="DU2777" s="5" t="s">
        <v>1243</v>
      </c>
      <c r="HM2777" s="5" t="s">
        <v>264</v>
      </c>
    </row>
    <row r="2778" spans="1:221" x14ac:dyDescent="0.4">
      <c r="A2778" s="5">
        <v>4482</v>
      </c>
      <c r="B2778" s="5">
        <v>1</v>
      </c>
      <c r="C2778" s="5">
        <v>1</v>
      </c>
      <c r="D2778" s="5" t="s">
        <v>269</v>
      </c>
      <c r="E2778" s="5" t="s">
        <v>271</v>
      </c>
      <c r="F2778" s="5" t="s">
        <v>248</v>
      </c>
      <c r="G2778" s="5" t="s">
        <v>266</v>
      </c>
      <c r="H2778" s="6" t="s">
        <v>1229</v>
      </c>
      <c r="I2778" s="7">
        <f>1558</f>
        <v>1558</v>
      </c>
      <c r="J2778" s="5" t="s">
        <v>262</v>
      </c>
      <c r="K2778" s="8">
        <f>1</f>
        <v>1</v>
      </c>
      <c r="L2778" s="6" t="s">
        <v>242</v>
      </c>
      <c r="M2778" s="5" t="s">
        <v>267</v>
      </c>
      <c r="N2778" s="5" t="s">
        <v>265</v>
      </c>
      <c r="O2778" s="5" t="s">
        <v>238</v>
      </c>
      <c r="P2778" s="5" t="s">
        <v>238</v>
      </c>
      <c r="Q2778" s="5" t="s">
        <v>268</v>
      </c>
      <c r="R2778" s="5" t="s">
        <v>270</v>
      </c>
      <c r="S2778" s="5" t="s">
        <v>238</v>
      </c>
      <c r="V2778" s="5" t="s">
        <v>238</v>
      </c>
      <c r="X2778" s="6" t="s">
        <v>238</v>
      </c>
      <c r="AA2778" s="6" t="s">
        <v>243</v>
      </c>
      <c r="AB2778" s="5" t="s">
        <v>238</v>
      </c>
      <c r="AC2778" s="5" t="s">
        <v>244</v>
      </c>
      <c r="AD2778" s="5" t="s">
        <v>245</v>
      </c>
      <c r="AT2778" s="5" t="s">
        <v>246</v>
      </c>
      <c r="AU2778" s="5" t="s">
        <v>238</v>
      </c>
      <c r="AV2778" s="5" t="s">
        <v>247</v>
      </c>
      <c r="AW2778" s="5" t="s">
        <v>238</v>
      </c>
      <c r="AX2778" s="5" t="s">
        <v>249</v>
      </c>
      <c r="AY2778" s="5" t="s">
        <v>238</v>
      </c>
      <c r="BA2778" s="5" t="s">
        <v>238</v>
      </c>
      <c r="BC2778" s="5" t="s">
        <v>250</v>
      </c>
      <c r="BD2778" s="6" t="s">
        <v>243</v>
      </c>
      <c r="BE2778" s="5" t="s">
        <v>251</v>
      </c>
      <c r="BF2778" s="5" t="s">
        <v>252</v>
      </c>
      <c r="BG2778" s="5" t="s">
        <v>238</v>
      </c>
      <c r="BH2778" s="7">
        <f>0</f>
        <v>0</v>
      </c>
      <c r="BI2778" s="8">
        <f>0</f>
        <v>0</v>
      </c>
      <c r="BJ2778" s="5" t="s">
        <v>253</v>
      </c>
      <c r="BK2778" s="5" t="s">
        <v>254</v>
      </c>
      <c r="BY2778" s="5" t="s">
        <v>238</v>
      </c>
      <c r="BZ2778" s="5" t="s">
        <v>238</v>
      </c>
      <c r="CD2778" s="5" t="s">
        <v>273</v>
      </c>
      <c r="CE2778" s="5" t="s">
        <v>256</v>
      </c>
      <c r="CF2778" s="5" t="s">
        <v>238</v>
      </c>
      <c r="CI2778" s="6" t="s">
        <v>257</v>
      </c>
      <c r="CJ2778" s="5" t="s">
        <v>238</v>
      </c>
      <c r="CK2778" s="5" t="s">
        <v>258</v>
      </c>
      <c r="CL2778" s="5" t="s">
        <v>238</v>
      </c>
      <c r="CM2778" s="5" t="s">
        <v>238</v>
      </c>
      <c r="CN2778" s="5">
        <v>0</v>
      </c>
      <c r="CO2778" s="5" t="s">
        <v>259</v>
      </c>
      <c r="CP2778" s="5" t="s">
        <v>260</v>
      </c>
      <c r="CQ2778" s="5" t="s">
        <v>260</v>
      </c>
      <c r="CR2778" s="5" t="s">
        <v>261</v>
      </c>
      <c r="CU2778" s="8">
        <f>1</f>
        <v>1</v>
      </c>
      <c r="CV2778" s="8">
        <f>0</f>
        <v>0</v>
      </c>
      <c r="CX2778" s="8">
        <f>0</f>
        <v>0</v>
      </c>
      <c r="CY2778" s="8">
        <f>1</f>
        <v>1</v>
      </c>
      <c r="DA2778" s="5" t="s">
        <v>274</v>
      </c>
      <c r="DB2778" s="5" t="s">
        <v>238</v>
      </c>
      <c r="DD2778" s="5" t="s">
        <v>274</v>
      </c>
      <c r="DE2778" s="8">
        <f>1558</f>
        <v>1558</v>
      </c>
      <c r="DG2778" s="5" t="s">
        <v>238</v>
      </c>
      <c r="DH2778" s="5" t="s">
        <v>238</v>
      </c>
      <c r="DI2778" s="5" t="s">
        <v>238</v>
      </c>
      <c r="DJ2778" s="5" t="s">
        <v>238</v>
      </c>
      <c r="DN2778" s="5" t="s">
        <v>238</v>
      </c>
      <c r="DO2778" s="5" t="s">
        <v>238</v>
      </c>
      <c r="DP2778" s="5" t="s">
        <v>238</v>
      </c>
      <c r="DQ2778" s="5" t="s">
        <v>238</v>
      </c>
      <c r="DT2778" s="5" t="s">
        <v>275</v>
      </c>
      <c r="DU2778" s="5" t="s">
        <v>1230</v>
      </c>
      <c r="HM2778" s="5" t="s">
        <v>264</v>
      </c>
    </row>
    <row r="2779" spans="1:221" x14ac:dyDescent="0.4">
      <c r="A2779" s="5">
        <v>4483</v>
      </c>
      <c r="B2779" s="5">
        <v>1</v>
      </c>
      <c r="C2779" s="5">
        <v>1</v>
      </c>
      <c r="D2779" s="5" t="s">
        <v>269</v>
      </c>
      <c r="E2779" s="5" t="s">
        <v>271</v>
      </c>
      <c r="F2779" s="5" t="s">
        <v>248</v>
      </c>
      <c r="G2779" s="5" t="s">
        <v>266</v>
      </c>
      <c r="H2779" s="6" t="s">
        <v>1223</v>
      </c>
      <c r="I2779" s="7">
        <f>1278</f>
        <v>1278</v>
      </c>
      <c r="J2779" s="5" t="s">
        <v>262</v>
      </c>
      <c r="K2779" s="8">
        <f>1</f>
        <v>1</v>
      </c>
      <c r="L2779" s="6" t="s">
        <v>242</v>
      </c>
      <c r="M2779" s="5" t="s">
        <v>267</v>
      </c>
      <c r="N2779" s="5" t="s">
        <v>265</v>
      </c>
      <c r="O2779" s="5" t="s">
        <v>238</v>
      </c>
      <c r="P2779" s="5" t="s">
        <v>238</v>
      </c>
      <c r="Q2779" s="5" t="s">
        <v>268</v>
      </c>
      <c r="R2779" s="5" t="s">
        <v>270</v>
      </c>
      <c r="S2779" s="5" t="s">
        <v>238</v>
      </c>
      <c r="V2779" s="5" t="s">
        <v>238</v>
      </c>
      <c r="X2779" s="6" t="s">
        <v>238</v>
      </c>
      <c r="AA2779" s="6" t="s">
        <v>243</v>
      </c>
      <c r="AB2779" s="5" t="s">
        <v>238</v>
      </c>
      <c r="AC2779" s="5" t="s">
        <v>244</v>
      </c>
      <c r="AD2779" s="5" t="s">
        <v>245</v>
      </c>
      <c r="AT2779" s="5" t="s">
        <v>246</v>
      </c>
      <c r="AU2779" s="5" t="s">
        <v>238</v>
      </c>
      <c r="AV2779" s="5" t="s">
        <v>247</v>
      </c>
      <c r="AW2779" s="5" t="s">
        <v>238</v>
      </c>
      <c r="AX2779" s="5" t="s">
        <v>249</v>
      </c>
      <c r="AY2779" s="5" t="s">
        <v>238</v>
      </c>
      <c r="BA2779" s="5" t="s">
        <v>238</v>
      </c>
      <c r="BC2779" s="5" t="s">
        <v>250</v>
      </c>
      <c r="BD2779" s="6" t="s">
        <v>243</v>
      </c>
      <c r="BE2779" s="5" t="s">
        <v>251</v>
      </c>
      <c r="BF2779" s="5" t="s">
        <v>252</v>
      </c>
      <c r="BG2779" s="5" t="s">
        <v>238</v>
      </c>
      <c r="BH2779" s="7">
        <f>0</f>
        <v>0</v>
      </c>
      <c r="BI2779" s="8">
        <f>0</f>
        <v>0</v>
      </c>
      <c r="BJ2779" s="5" t="s">
        <v>253</v>
      </c>
      <c r="BK2779" s="5" t="s">
        <v>254</v>
      </c>
      <c r="BY2779" s="5" t="s">
        <v>238</v>
      </c>
      <c r="BZ2779" s="5" t="s">
        <v>238</v>
      </c>
      <c r="CD2779" s="5" t="s">
        <v>273</v>
      </c>
      <c r="CE2779" s="5" t="s">
        <v>256</v>
      </c>
      <c r="CF2779" s="5" t="s">
        <v>238</v>
      </c>
      <c r="CI2779" s="6" t="s">
        <v>257</v>
      </c>
      <c r="CJ2779" s="5" t="s">
        <v>238</v>
      </c>
      <c r="CK2779" s="5" t="s">
        <v>258</v>
      </c>
      <c r="CL2779" s="5" t="s">
        <v>238</v>
      </c>
      <c r="CM2779" s="5" t="s">
        <v>238</v>
      </c>
      <c r="CN2779" s="5">
        <v>0</v>
      </c>
      <c r="CO2779" s="5" t="s">
        <v>259</v>
      </c>
      <c r="CP2779" s="5" t="s">
        <v>260</v>
      </c>
      <c r="CQ2779" s="5" t="s">
        <v>260</v>
      </c>
      <c r="CR2779" s="5" t="s">
        <v>261</v>
      </c>
      <c r="CU2779" s="8">
        <f>1</f>
        <v>1</v>
      </c>
      <c r="CV2779" s="8">
        <f>0</f>
        <v>0</v>
      </c>
      <c r="CX2779" s="8">
        <f>0</f>
        <v>0</v>
      </c>
      <c r="CY2779" s="8">
        <f>1</f>
        <v>1</v>
      </c>
      <c r="DA2779" s="5" t="s">
        <v>274</v>
      </c>
      <c r="DB2779" s="5" t="s">
        <v>238</v>
      </c>
      <c r="DD2779" s="5" t="s">
        <v>274</v>
      </c>
      <c r="DE2779" s="8">
        <f>1278</f>
        <v>1278</v>
      </c>
      <c r="DG2779" s="5" t="s">
        <v>238</v>
      </c>
      <c r="DH2779" s="5" t="s">
        <v>238</v>
      </c>
      <c r="DI2779" s="5" t="s">
        <v>238</v>
      </c>
      <c r="DJ2779" s="5" t="s">
        <v>238</v>
      </c>
      <c r="DN2779" s="5" t="s">
        <v>238</v>
      </c>
      <c r="DO2779" s="5" t="s">
        <v>238</v>
      </c>
      <c r="DP2779" s="5" t="s">
        <v>238</v>
      </c>
      <c r="DQ2779" s="5" t="s">
        <v>238</v>
      </c>
      <c r="DT2779" s="5" t="s">
        <v>275</v>
      </c>
      <c r="DU2779" s="5" t="s">
        <v>1224</v>
      </c>
      <c r="HM2779" s="5" t="s">
        <v>264</v>
      </c>
    </row>
    <row r="2780" spans="1:221" x14ac:dyDescent="0.4">
      <c r="A2780" s="5">
        <v>4484</v>
      </c>
      <c r="B2780" s="5">
        <v>1</v>
      </c>
      <c r="C2780" s="5">
        <v>1</v>
      </c>
      <c r="D2780" s="5" t="s">
        <v>269</v>
      </c>
      <c r="E2780" s="5" t="s">
        <v>271</v>
      </c>
      <c r="F2780" s="5" t="s">
        <v>248</v>
      </c>
      <c r="G2780" s="5" t="s">
        <v>266</v>
      </c>
      <c r="H2780" s="6" t="s">
        <v>1214</v>
      </c>
      <c r="I2780" s="7">
        <f>1012</f>
        <v>1012</v>
      </c>
      <c r="J2780" s="5" t="s">
        <v>262</v>
      </c>
      <c r="K2780" s="8">
        <f>1</f>
        <v>1</v>
      </c>
      <c r="L2780" s="6" t="s">
        <v>242</v>
      </c>
      <c r="M2780" s="5" t="s">
        <v>267</v>
      </c>
      <c r="N2780" s="5" t="s">
        <v>265</v>
      </c>
      <c r="O2780" s="5" t="s">
        <v>238</v>
      </c>
      <c r="P2780" s="5" t="s">
        <v>238</v>
      </c>
      <c r="Q2780" s="5" t="s">
        <v>268</v>
      </c>
      <c r="R2780" s="5" t="s">
        <v>270</v>
      </c>
      <c r="S2780" s="5" t="s">
        <v>238</v>
      </c>
      <c r="V2780" s="5" t="s">
        <v>238</v>
      </c>
      <c r="X2780" s="6" t="s">
        <v>238</v>
      </c>
      <c r="AA2780" s="6" t="s">
        <v>243</v>
      </c>
      <c r="AB2780" s="5" t="s">
        <v>238</v>
      </c>
      <c r="AC2780" s="5" t="s">
        <v>244</v>
      </c>
      <c r="AD2780" s="5" t="s">
        <v>245</v>
      </c>
      <c r="AT2780" s="5" t="s">
        <v>246</v>
      </c>
      <c r="AU2780" s="5" t="s">
        <v>238</v>
      </c>
      <c r="AV2780" s="5" t="s">
        <v>247</v>
      </c>
      <c r="AW2780" s="5" t="s">
        <v>238</v>
      </c>
      <c r="AX2780" s="5" t="s">
        <v>249</v>
      </c>
      <c r="AY2780" s="5" t="s">
        <v>238</v>
      </c>
      <c r="BA2780" s="5" t="s">
        <v>238</v>
      </c>
      <c r="BC2780" s="5" t="s">
        <v>250</v>
      </c>
      <c r="BD2780" s="6" t="s">
        <v>243</v>
      </c>
      <c r="BE2780" s="5" t="s">
        <v>251</v>
      </c>
      <c r="BF2780" s="5" t="s">
        <v>252</v>
      </c>
      <c r="BG2780" s="5" t="s">
        <v>238</v>
      </c>
      <c r="BH2780" s="7">
        <f>0</f>
        <v>0</v>
      </c>
      <c r="BI2780" s="8">
        <f>0</f>
        <v>0</v>
      </c>
      <c r="BJ2780" s="5" t="s">
        <v>253</v>
      </c>
      <c r="BK2780" s="5" t="s">
        <v>254</v>
      </c>
      <c r="BY2780" s="5" t="s">
        <v>238</v>
      </c>
      <c r="BZ2780" s="5" t="s">
        <v>238</v>
      </c>
      <c r="CD2780" s="5" t="s">
        <v>273</v>
      </c>
      <c r="CE2780" s="5" t="s">
        <v>256</v>
      </c>
      <c r="CF2780" s="5" t="s">
        <v>238</v>
      </c>
      <c r="CI2780" s="6" t="s">
        <v>257</v>
      </c>
      <c r="CJ2780" s="5" t="s">
        <v>238</v>
      </c>
      <c r="CK2780" s="5" t="s">
        <v>258</v>
      </c>
      <c r="CL2780" s="5" t="s">
        <v>238</v>
      </c>
      <c r="CM2780" s="5" t="s">
        <v>238</v>
      </c>
      <c r="CN2780" s="5">
        <v>0</v>
      </c>
      <c r="CO2780" s="5" t="s">
        <v>259</v>
      </c>
      <c r="CP2780" s="5" t="s">
        <v>260</v>
      </c>
      <c r="CQ2780" s="5" t="s">
        <v>260</v>
      </c>
      <c r="CR2780" s="5" t="s">
        <v>261</v>
      </c>
      <c r="CU2780" s="8">
        <f>1</f>
        <v>1</v>
      </c>
      <c r="CV2780" s="8">
        <f>0</f>
        <v>0</v>
      </c>
      <c r="CX2780" s="8">
        <f>0</f>
        <v>0</v>
      </c>
      <c r="CY2780" s="8">
        <f>1</f>
        <v>1</v>
      </c>
      <c r="DA2780" s="5" t="s">
        <v>274</v>
      </c>
      <c r="DB2780" s="5" t="s">
        <v>238</v>
      </c>
      <c r="DD2780" s="5" t="s">
        <v>274</v>
      </c>
      <c r="DE2780" s="8">
        <f>1012</f>
        <v>1012</v>
      </c>
      <c r="DG2780" s="5" t="s">
        <v>238</v>
      </c>
      <c r="DH2780" s="5" t="s">
        <v>238</v>
      </c>
      <c r="DI2780" s="5" t="s">
        <v>238</v>
      </c>
      <c r="DJ2780" s="5" t="s">
        <v>238</v>
      </c>
      <c r="DN2780" s="5" t="s">
        <v>238</v>
      </c>
      <c r="DO2780" s="5" t="s">
        <v>238</v>
      </c>
      <c r="DP2780" s="5" t="s">
        <v>238</v>
      </c>
      <c r="DQ2780" s="5" t="s">
        <v>238</v>
      </c>
      <c r="DT2780" s="5" t="s">
        <v>275</v>
      </c>
      <c r="DU2780" s="5" t="s">
        <v>1215</v>
      </c>
      <c r="HM2780" s="5" t="s">
        <v>264</v>
      </c>
    </row>
    <row r="2781" spans="1:221" x14ac:dyDescent="0.4">
      <c r="A2781" s="5">
        <v>4485</v>
      </c>
      <c r="B2781" s="5">
        <v>1</v>
      </c>
      <c r="C2781" s="5">
        <v>1</v>
      </c>
      <c r="D2781" s="5" t="s">
        <v>269</v>
      </c>
      <c r="E2781" s="5" t="s">
        <v>271</v>
      </c>
      <c r="F2781" s="5" t="s">
        <v>248</v>
      </c>
      <c r="G2781" s="5" t="s">
        <v>266</v>
      </c>
      <c r="H2781" s="6" t="s">
        <v>1206</v>
      </c>
      <c r="I2781" s="7">
        <f>417</f>
        <v>417</v>
      </c>
      <c r="J2781" s="5" t="s">
        <v>262</v>
      </c>
      <c r="K2781" s="8">
        <f>1</f>
        <v>1</v>
      </c>
      <c r="L2781" s="6" t="s">
        <v>242</v>
      </c>
      <c r="M2781" s="5" t="s">
        <v>267</v>
      </c>
      <c r="N2781" s="5" t="s">
        <v>265</v>
      </c>
      <c r="O2781" s="5" t="s">
        <v>238</v>
      </c>
      <c r="P2781" s="5" t="s">
        <v>238</v>
      </c>
      <c r="Q2781" s="5" t="s">
        <v>268</v>
      </c>
      <c r="R2781" s="5" t="s">
        <v>270</v>
      </c>
      <c r="S2781" s="5" t="s">
        <v>238</v>
      </c>
      <c r="V2781" s="5" t="s">
        <v>238</v>
      </c>
      <c r="X2781" s="6" t="s">
        <v>238</v>
      </c>
      <c r="AA2781" s="6" t="s">
        <v>243</v>
      </c>
      <c r="AB2781" s="5" t="s">
        <v>238</v>
      </c>
      <c r="AC2781" s="5" t="s">
        <v>244</v>
      </c>
      <c r="AD2781" s="5" t="s">
        <v>245</v>
      </c>
      <c r="AT2781" s="5" t="s">
        <v>246</v>
      </c>
      <c r="AU2781" s="5" t="s">
        <v>238</v>
      </c>
      <c r="AV2781" s="5" t="s">
        <v>247</v>
      </c>
      <c r="AW2781" s="5" t="s">
        <v>238</v>
      </c>
      <c r="AX2781" s="5" t="s">
        <v>249</v>
      </c>
      <c r="AY2781" s="5" t="s">
        <v>238</v>
      </c>
      <c r="BA2781" s="5" t="s">
        <v>238</v>
      </c>
      <c r="BC2781" s="5" t="s">
        <v>250</v>
      </c>
      <c r="BD2781" s="6" t="s">
        <v>243</v>
      </c>
      <c r="BE2781" s="5" t="s">
        <v>251</v>
      </c>
      <c r="BF2781" s="5" t="s">
        <v>252</v>
      </c>
      <c r="BG2781" s="5" t="s">
        <v>238</v>
      </c>
      <c r="BH2781" s="7">
        <f>0</f>
        <v>0</v>
      </c>
      <c r="BI2781" s="8">
        <f>0</f>
        <v>0</v>
      </c>
      <c r="BJ2781" s="5" t="s">
        <v>253</v>
      </c>
      <c r="BK2781" s="5" t="s">
        <v>254</v>
      </c>
      <c r="BY2781" s="5" t="s">
        <v>238</v>
      </c>
      <c r="BZ2781" s="5" t="s">
        <v>238</v>
      </c>
      <c r="CD2781" s="5" t="s">
        <v>273</v>
      </c>
      <c r="CE2781" s="5" t="s">
        <v>256</v>
      </c>
      <c r="CF2781" s="5" t="s">
        <v>238</v>
      </c>
      <c r="CI2781" s="6" t="s">
        <v>257</v>
      </c>
      <c r="CJ2781" s="5" t="s">
        <v>238</v>
      </c>
      <c r="CK2781" s="5" t="s">
        <v>258</v>
      </c>
      <c r="CL2781" s="5" t="s">
        <v>238</v>
      </c>
      <c r="CM2781" s="5" t="s">
        <v>238</v>
      </c>
      <c r="CN2781" s="5">
        <v>0</v>
      </c>
      <c r="CO2781" s="5" t="s">
        <v>259</v>
      </c>
      <c r="CP2781" s="5" t="s">
        <v>260</v>
      </c>
      <c r="CQ2781" s="5" t="s">
        <v>260</v>
      </c>
      <c r="CR2781" s="5" t="s">
        <v>261</v>
      </c>
      <c r="CU2781" s="8">
        <f>1</f>
        <v>1</v>
      </c>
      <c r="CV2781" s="8">
        <f>0</f>
        <v>0</v>
      </c>
      <c r="CX2781" s="8">
        <f>0</f>
        <v>0</v>
      </c>
      <c r="CY2781" s="8">
        <f>1</f>
        <v>1</v>
      </c>
      <c r="DA2781" s="5" t="s">
        <v>274</v>
      </c>
      <c r="DB2781" s="5" t="s">
        <v>238</v>
      </c>
      <c r="DD2781" s="5" t="s">
        <v>274</v>
      </c>
      <c r="DE2781" s="8">
        <f>417</f>
        <v>417</v>
      </c>
      <c r="DG2781" s="5" t="s">
        <v>238</v>
      </c>
      <c r="DH2781" s="5" t="s">
        <v>238</v>
      </c>
      <c r="DI2781" s="5" t="s">
        <v>238</v>
      </c>
      <c r="DJ2781" s="5" t="s">
        <v>238</v>
      </c>
      <c r="DN2781" s="5" t="s">
        <v>238</v>
      </c>
      <c r="DO2781" s="5" t="s">
        <v>238</v>
      </c>
      <c r="DP2781" s="5" t="s">
        <v>238</v>
      </c>
      <c r="DQ2781" s="5" t="s">
        <v>238</v>
      </c>
      <c r="DT2781" s="5" t="s">
        <v>275</v>
      </c>
      <c r="DU2781" s="5" t="s">
        <v>1207</v>
      </c>
      <c r="HM2781" s="5" t="s">
        <v>264</v>
      </c>
    </row>
    <row r="2782" spans="1:221" x14ac:dyDescent="0.4">
      <c r="A2782" s="5">
        <v>4486</v>
      </c>
      <c r="B2782" s="5">
        <v>1</v>
      </c>
      <c r="C2782" s="5">
        <v>1</v>
      </c>
      <c r="D2782" s="5" t="s">
        <v>269</v>
      </c>
      <c r="E2782" s="5" t="s">
        <v>271</v>
      </c>
      <c r="F2782" s="5" t="s">
        <v>248</v>
      </c>
      <c r="G2782" s="5" t="s">
        <v>266</v>
      </c>
      <c r="H2782" s="6" t="s">
        <v>1198</v>
      </c>
      <c r="I2782" s="7">
        <f>1506</f>
        <v>1506</v>
      </c>
      <c r="J2782" s="5" t="s">
        <v>262</v>
      </c>
      <c r="K2782" s="8">
        <f>1</f>
        <v>1</v>
      </c>
      <c r="L2782" s="6" t="s">
        <v>242</v>
      </c>
      <c r="M2782" s="5" t="s">
        <v>267</v>
      </c>
      <c r="N2782" s="5" t="s">
        <v>265</v>
      </c>
      <c r="O2782" s="5" t="s">
        <v>238</v>
      </c>
      <c r="P2782" s="5" t="s">
        <v>238</v>
      </c>
      <c r="Q2782" s="5" t="s">
        <v>268</v>
      </c>
      <c r="R2782" s="5" t="s">
        <v>270</v>
      </c>
      <c r="S2782" s="5" t="s">
        <v>238</v>
      </c>
      <c r="V2782" s="5" t="s">
        <v>238</v>
      </c>
      <c r="X2782" s="6" t="s">
        <v>238</v>
      </c>
      <c r="AA2782" s="6" t="s">
        <v>243</v>
      </c>
      <c r="AB2782" s="5" t="s">
        <v>238</v>
      </c>
      <c r="AC2782" s="5" t="s">
        <v>244</v>
      </c>
      <c r="AD2782" s="5" t="s">
        <v>245</v>
      </c>
      <c r="AT2782" s="5" t="s">
        <v>246</v>
      </c>
      <c r="AU2782" s="5" t="s">
        <v>238</v>
      </c>
      <c r="AV2782" s="5" t="s">
        <v>247</v>
      </c>
      <c r="AW2782" s="5" t="s">
        <v>238</v>
      </c>
      <c r="AX2782" s="5" t="s">
        <v>249</v>
      </c>
      <c r="AY2782" s="5" t="s">
        <v>238</v>
      </c>
      <c r="BA2782" s="5" t="s">
        <v>238</v>
      </c>
      <c r="BC2782" s="5" t="s">
        <v>250</v>
      </c>
      <c r="BD2782" s="6" t="s">
        <v>243</v>
      </c>
      <c r="BE2782" s="5" t="s">
        <v>251</v>
      </c>
      <c r="BF2782" s="5" t="s">
        <v>252</v>
      </c>
      <c r="BG2782" s="5" t="s">
        <v>238</v>
      </c>
      <c r="BH2782" s="7">
        <f>0</f>
        <v>0</v>
      </c>
      <c r="BI2782" s="8">
        <f>0</f>
        <v>0</v>
      </c>
      <c r="BJ2782" s="5" t="s">
        <v>253</v>
      </c>
      <c r="BK2782" s="5" t="s">
        <v>254</v>
      </c>
      <c r="BY2782" s="5" t="s">
        <v>238</v>
      </c>
      <c r="BZ2782" s="5" t="s">
        <v>238</v>
      </c>
      <c r="CD2782" s="5" t="s">
        <v>273</v>
      </c>
      <c r="CE2782" s="5" t="s">
        <v>256</v>
      </c>
      <c r="CF2782" s="5" t="s">
        <v>238</v>
      </c>
      <c r="CI2782" s="6" t="s">
        <v>257</v>
      </c>
      <c r="CJ2782" s="5" t="s">
        <v>238</v>
      </c>
      <c r="CK2782" s="5" t="s">
        <v>258</v>
      </c>
      <c r="CL2782" s="5" t="s">
        <v>238</v>
      </c>
      <c r="CM2782" s="5" t="s">
        <v>238</v>
      </c>
      <c r="CN2782" s="5">
        <v>0</v>
      </c>
      <c r="CO2782" s="5" t="s">
        <v>259</v>
      </c>
      <c r="CP2782" s="5" t="s">
        <v>260</v>
      </c>
      <c r="CQ2782" s="5" t="s">
        <v>260</v>
      </c>
      <c r="CR2782" s="5" t="s">
        <v>261</v>
      </c>
      <c r="CU2782" s="8">
        <f>1</f>
        <v>1</v>
      </c>
      <c r="CV2782" s="8">
        <f>0</f>
        <v>0</v>
      </c>
      <c r="CX2782" s="8">
        <f>0</f>
        <v>0</v>
      </c>
      <c r="CY2782" s="8">
        <f>1</f>
        <v>1</v>
      </c>
      <c r="DA2782" s="5" t="s">
        <v>274</v>
      </c>
      <c r="DB2782" s="5" t="s">
        <v>238</v>
      </c>
      <c r="DD2782" s="5" t="s">
        <v>274</v>
      </c>
      <c r="DE2782" s="8">
        <f>1506</f>
        <v>1506</v>
      </c>
      <c r="DG2782" s="5" t="s">
        <v>238</v>
      </c>
      <c r="DH2782" s="5" t="s">
        <v>238</v>
      </c>
      <c r="DI2782" s="5" t="s">
        <v>238</v>
      </c>
      <c r="DJ2782" s="5" t="s">
        <v>238</v>
      </c>
      <c r="DN2782" s="5" t="s">
        <v>238</v>
      </c>
      <c r="DO2782" s="5" t="s">
        <v>238</v>
      </c>
      <c r="DP2782" s="5" t="s">
        <v>238</v>
      </c>
      <c r="DQ2782" s="5" t="s">
        <v>238</v>
      </c>
      <c r="DT2782" s="5" t="s">
        <v>275</v>
      </c>
      <c r="DU2782" s="5" t="s">
        <v>1199</v>
      </c>
      <c r="HM2782" s="5" t="s">
        <v>264</v>
      </c>
    </row>
    <row r="2783" spans="1:221" x14ac:dyDescent="0.4">
      <c r="A2783" s="5">
        <v>4487</v>
      </c>
      <c r="B2783" s="5">
        <v>1</v>
      </c>
      <c r="C2783" s="5">
        <v>1</v>
      </c>
      <c r="D2783" s="5" t="s">
        <v>269</v>
      </c>
      <c r="E2783" s="5" t="s">
        <v>271</v>
      </c>
      <c r="F2783" s="5" t="s">
        <v>248</v>
      </c>
      <c r="G2783" s="5" t="s">
        <v>266</v>
      </c>
      <c r="H2783" s="6" t="s">
        <v>1193</v>
      </c>
      <c r="I2783" s="7">
        <f>1477</f>
        <v>1477</v>
      </c>
      <c r="J2783" s="5" t="s">
        <v>262</v>
      </c>
      <c r="K2783" s="8">
        <f>1</f>
        <v>1</v>
      </c>
      <c r="L2783" s="6" t="s">
        <v>242</v>
      </c>
      <c r="M2783" s="5" t="s">
        <v>267</v>
      </c>
      <c r="N2783" s="5" t="s">
        <v>265</v>
      </c>
      <c r="O2783" s="5" t="s">
        <v>238</v>
      </c>
      <c r="P2783" s="5" t="s">
        <v>238</v>
      </c>
      <c r="Q2783" s="5" t="s">
        <v>268</v>
      </c>
      <c r="R2783" s="5" t="s">
        <v>270</v>
      </c>
      <c r="S2783" s="5" t="s">
        <v>238</v>
      </c>
      <c r="V2783" s="5" t="s">
        <v>238</v>
      </c>
      <c r="X2783" s="6" t="s">
        <v>238</v>
      </c>
      <c r="AA2783" s="6" t="s">
        <v>243</v>
      </c>
      <c r="AB2783" s="5" t="s">
        <v>238</v>
      </c>
      <c r="AC2783" s="5" t="s">
        <v>244</v>
      </c>
      <c r="AD2783" s="5" t="s">
        <v>245</v>
      </c>
      <c r="AT2783" s="5" t="s">
        <v>246</v>
      </c>
      <c r="AU2783" s="5" t="s">
        <v>238</v>
      </c>
      <c r="AV2783" s="5" t="s">
        <v>247</v>
      </c>
      <c r="AW2783" s="5" t="s">
        <v>238</v>
      </c>
      <c r="AX2783" s="5" t="s">
        <v>249</v>
      </c>
      <c r="AY2783" s="5" t="s">
        <v>238</v>
      </c>
      <c r="BA2783" s="5" t="s">
        <v>238</v>
      </c>
      <c r="BC2783" s="5" t="s">
        <v>250</v>
      </c>
      <c r="BD2783" s="6" t="s">
        <v>243</v>
      </c>
      <c r="BE2783" s="5" t="s">
        <v>251</v>
      </c>
      <c r="BF2783" s="5" t="s">
        <v>252</v>
      </c>
      <c r="BG2783" s="5" t="s">
        <v>238</v>
      </c>
      <c r="BH2783" s="7">
        <f>0</f>
        <v>0</v>
      </c>
      <c r="BI2783" s="8">
        <f>0</f>
        <v>0</v>
      </c>
      <c r="BJ2783" s="5" t="s">
        <v>253</v>
      </c>
      <c r="BK2783" s="5" t="s">
        <v>254</v>
      </c>
      <c r="BY2783" s="5" t="s">
        <v>238</v>
      </c>
      <c r="BZ2783" s="5" t="s">
        <v>238</v>
      </c>
      <c r="CD2783" s="5" t="s">
        <v>273</v>
      </c>
      <c r="CE2783" s="5" t="s">
        <v>256</v>
      </c>
      <c r="CF2783" s="5" t="s">
        <v>238</v>
      </c>
      <c r="CI2783" s="6" t="s">
        <v>257</v>
      </c>
      <c r="CJ2783" s="5" t="s">
        <v>238</v>
      </c>
      <c r="CK2783" s="5" t="s">
        <v>258</v>
      </c>
      <c r="CL2783" s="5" t="s">
        <v>238</v>
      </c>
      <c r="CM2783" s="5" t="s">
        <v>238</v>
      </c>
      <c r="CN2783" s="5">
        <v>0</v>
      </c>
      <c r="CO2783" s="5" t="s">
        <v>259</v>
      </c>
      <c r="CP2783" s="5" t="s">
        <v>260</v>
      </c>
      <c r="CQ2783" s="5" t="s">
        <v>260</v>
      </c>
      <c r="CR2783" s="5" t="s">
        <v>261</v>
      </c>
      <c r="CU2783" s="8">
        <f>1</f>
        <v>1</v>
      </c>
      <c r="CV2783" s="8">
        <f>0</f>
        <v>0</v>
      </c>
      <c r="CX2783" s="8">
        <f>0</f>
        <v>0</v>
      </c>
      <c r="CY2783" s="8">
        <f>1</f>
        <v>1</v>
      </c>
      <c r="DA2783" s="5" t="s">
        <v>274</v>
      </c>
      <c r="DB2783" s="5" t="s">
        <v>238</v>
      </c>
      <c r="DD2783" s="5" t="s">
        <v>274</v>
      </c>
      <c r="DE2783" s="8">
        <f>1477</f>
        <v>1477</v>
      </c>
      <c r="DG2783" s="5" t="s">
        <v>238</v>
      </c>
      <c r="DH2783" s="5" t="s">
        <v>238</v>
      </c>
      <c r="DI2783" s="5" t="s">
        <v>238</v>
      </c>
      <c r="DJ2783" s="5" t="s">
        <v>238</v>
      </c>
      <c r="DN2783" s="5" t="s">
        <v>238</v>
      </c>
      <c r="DO2783" s="5" t="s">
        <v>238</v>
      </c>
      <c r="DP2783" s="5" t="s">
        <v>238</v>
      </c>
      <c r="DQ2783" s="5" t="s">
        <v>238</v>
      </c>
      <c r="DT2783" s="5" t="s">
        <v>275</v>
      </c>
      <c r="DU2783" s="5" t="s">
        <v>1194</v>
      </c>
      <c r="HM2783" s="5" t="s">
        <v>264</v>
      </c>
    </row>
    <row r="2784" spans="1:221" x14ac:dyDescent="0.4">
      <c r="A2784" s="5">
        <v>4488</v>
      </c>
      <c r="B2784" s="5">
        <v>1</v>
      </c>
      <c r="C2784" s="5">
        <v>1</v>
      </c>
      <c r="D2784" s="5" t="s">
        <v>269</v>
      </c>
      <c r="E2784" s="5" t="s">
        <v>271</v>
      </c>
      <c r="F2784" s="5" t="s">
        <v>248</v>
      </c>
      <c r="G2784" s="5" t="s">
        <v>266</v>
      </c>
      <c r="H2784" s="6" t="s">
        <v>1184</v>
      </c>
      <c r="I2784" s="7">
        <f>216</f>
        <v>216</v>
      </c>
      <c r="J2784" s="5" t="s">
        <v>262</v>
      </c>
      <c r="K2784" s="8">
        <f>1</f>
        <v>1</v>
      </c>
      <c r="L2784" s="6" t="s">
        <v>242</v>
      </c>
      <c r="M2784" s="5" t="s">
        <v>267</v>
      </c>
      <c r="N2784" s="5" t="s">
        <v>265</v>
      </c>
      <c r="O2784" s="5" t="s">
        <v>238</v>
      </c>
      <c r="P2784" s="5" t="s">
        <v>238</v>
      </c>
      <c r="Q2784" s="5" t="s">
        <v>268</v>
      </c>
      <c r="R2784" s="5" t="s">
        <v>270</v>
      </c>
      <c r="S2784" s="5" t="s">
        <v>238</v>
      </c>
      <c r="V2784" s="5" t="s">
        <v>238</v>
      </c>
      <c r="X2784" s="6" t="s">
        <v>238</v>
      </c>
      <c r="AA2784" s="6" t="s">
        <v>243</v>
      </c>
      <c r="AB2784" s="5" t="s">
        <v>238</v>
      </c>
      <c r="AC2784" s="5" t="s">
        <v>244</v>
      </c>
      <c r="AD2784" s="5" t="s">
        <v>245</v>
      </c>
      <c r="AT2784" s="5" t="s">
        <v>246</v>
      </c>
      <c r="AU2784" s="5" t="s">
        <v>238</v>
      </c>
      <c r="AV2784" s="5" t="s">
        <v>247</v>
      </c>
      <c r="AW2784" s="5" t="s">
        <v>238</v>
      </c>
      <c r="AX2784" s="5" t="s">
        <v>249</v>
      </c>
      <c r="AY2784" s="5" t="s">
        <v>238</v>
      </c>
      <c r="BA2784" s="5" t="s">
        <v>238</v>
      </c>
      <c r="BC2784" s="5" t="s">
        <v>250</v>
      </c>
      <c r="BD2784" s="6" t="s">
        <v>243</v>
      </c>
      <c r="BE2784" s="5" t="s">
        <v>251</v>
      </c>
      <c r="BF2784" s="5" t="s">
        <v>252</v>
      </c>
      <c r="BG2784" s="5" t="s">
        <v>238</v>
      </c>
      <c r="BH2784" s="7">
        <f>0</f>
        <v>0</v>
      </c>
      <c r="BI2784" s="8">
        <f>0</f>
        <v>0</v>
      </c>
      <c r="BJ2784" s="5" t="s">
        <v>253</v>
      </c>
      <c r="BK2784" s="5" t="s">
        <v>254</v>
      </c>
      <c r="BY2784" s="5" t="s">
        <v>238</v>
      </c>
      <c r="BZ2784" s="5" t="s">
        <v>238</v>
      </c>
      <c r="CD2784" s="5" t="s">
        <v>273</v>
      </c>
      <c r="CE2784" s="5" t="s">
        <v>256</v>
      </c>
      <c r="CF2784" s="5" t="s">
        <v>238</v>
      </c>
      <c r="CI2784" s="6" t="s">
        <v>257</v>
      </c>
      <c r="CJ2784" s="5" t="s">
        <v>238</v>
      </c>
      <c r="CK2784" s="5" t="s">
        <v>258</v>
      </c>
      <c r="CL2784" s="5" t="s">
        <v>238</v>
      </c>
      <c r="CM2784" s="5" t="s">
        <v>238</v>
      </c>
      <c r="CN2784" s="5">
        <v>0</v>
      </c>
      <c r="CO2784" s="5" t="s">
        <v>259</v>
      </c>
      <c r="CP2784" s="5" t="s">
        <v>260</v>
      </c>
      <c r="CQ2784" s="5" t="s">
        <v>260</v>
      </c>
      <c r="CR2784" s="5" t="s">
        <v>261</v>
      </c>
      <c r="CU2784" s="8">
        <f>1</f>
        <v>1</v>
      </c>
      <c r="CV2784" s="8">
        <f>0</f>
        <v>0</v>
      </c>
      <c r="CX2784" s="8">
        <f>0</f>
        <v>0</v>
      </c>
      <c r="CY2784" s="8">
        <f>1</f>
        <v>1</v>
      </c>
      <c r="DA2784" s="5" t="s">
        <v>274</v>
      </c>
      <c r="DB2784" s="5" t="s">
        <v>238</v>
      </c>
      <c r="DD2784" s="5" t="s">
        <v>274</v>
      </c>
      <c r="DE2784" s="8">
        <f>216</f>
        <v>216</v>
      </c>
      <c r="DG2784" s="5" t="s">
        <v>238</v>
      </c>
      <c r="DH2784" s="5" t="s">
        <v>238</v>
      </c>
      <c r="DI2784" s="5" t="s">
        <v>238</v>
      </c>
      <c r="DJ2784" s="5" t="s">
        <v>238</v>
      </c>
      <c r="DN2784" s="5" t="s">
        <v>238</v>
      </c>
      <c r="DO2784" s="5" t="s">
        <v>238</v>
      </c>
      <c r="DP2784" s="5" t="s">
        <v>238</v>
      </c>
      <c r="DQ2784" s="5" t="s">
        <v>238</v>
      </c>
      <c r="DT2784" s="5" t="s">
        <v>275</v>
      </c>
      <c r="DU2784" s="5" t="s">
        <v>1185</v>
      </c>
      <c r="HM2784" s="5" t="s">
        <v>264</v>
      </c>
    </row>
    <row r="2785" spans="1:221" x14ac:dyDescent="0.4">
      <c r="A2785" s="5">
        <v>4489</v>
      </c>
      <c r="B2785" s="5">
        <v>1</v>
      </c>
      <c r="C2785" s="5">
        <v>1</v>
      </c>
      <c r="D2785" s="5" t="s">
        <v>269</v>
      </c>
      <c r="E2785" s="5" t="s">
        <v>271</v>
      </c>
      <c r="F2785" s="5" t="s">
        <v>248</v>
      </c>
      <c r="G2785" s="5" t="s">
        <v>266</v>
      </c>
      <c r="H2785" s="6" t="s">
        <v>1179</v>
      </c>
      <c r="I2785" s="7">
        <f>293</f>
        <v>293</v>
      </c>
      <c r="J2785" s="5" t="s">
        <v>262</v>
      </c>
      <c r="K2785" s="8">
        <f>1</f>
        <v>1</v>
      </c>
      <c r="L2785" s="6" t="s">
        <v>242</v>
      </c>
      <c r="M2785" s="5" t="s">
        <v>267</v>
      </c>
      <c r="N2785" s="5" t="s">
        <v>265</v>
      </c>
      <c r="O2785" s="5" t="s">
        <v>238</v>
      </c>
      <c r="P2785" s="5" t="s">
        <v>238</v>
      </c>
      <c r="Q2785" s="5" t="s">
        <v>268</v>
      </c>
      <c r="R2785" s="5" t="s">
        <v>270</v>
      </c>
      <c r="S2785" s="5" t="s">
        <v>238</v>
      </c>
      <c r="V2785" s="5" t="s">
        <v>238</v>
      </c>
      <c r="X2785" s="6" t="s">
        <v>238</v>
      </c>
      <c r="AA2785" s="6" t="s">
        <v>243</v>
      </c>
      <c r="AB2785" s="5" t="s">
        <v>238</v>
      </c>
      <c r="AC2785" s="5" t="s">
        <v>244</v>
      </c>
      <c r="AD2785" s="5" t="s">
        <v>245</v>
      </c>
      <c r="AT2785" s="5" t="s">
        <v>246</v>
      </c>
      <c r="AU2785" s="5" t="s">
        <v>238</v>
      </c>
      <c r="AV2785" s="5" t="s">
        <v>247</v>
      </c>
      <c r="AW2785" s="5" t="s">
        <v>238</v>
      </c>
      <c r="AX2785" s="5" t="s">
        <v>249</v>
      </c>
      <c r="AY2785" s="5" t="s">
        <v>238</v>
      </c>
      <c r="BA2785" s="5" t="s">
        <v>238</v>
      </c>
      <c r="BC2785" s="5" t="s">
        <v>250</v>
      </c>
      <c r="BD2785" s="6" t="s">
        <v>243</v>
      </c>
      <c r="BE2785" s="5" t="s">
        <v>251</v>
      </c>
      <c r="BF2785" s="5" t="s">
        <v>252</v>
      </c>
      <c r="BG2785" s="5" t="s">
        <v>238</v>
      </c>
      <c r="BH2785" s="7">
        <f>0</f>
        <v>0</v>
      </c>
      <c r="BI2785" s="8">
        <f>0</f>
        <v>0</v>
      </c>
      <c r="BJ2785" s="5" t="s">
        <v>253</v>
      </c>
      <c r="BK2785" s="5" t="s">
        <v>254</v>
      </c>
      <c r="BY2785" s="5" t="s">
        <v>238</v>
      </c>
      <c r="BZ2785" s="5" t="s">
        <v>238</v>
      </c>
      <c r="CD2785" s="5" t="s">
        <v>273</v>
      </c>
      <c r="CE2785" s="5" t="s">
        <v>256</v>
      </c>
      <c r="CF2785" s="5" t="s">
        <v>238</v>
      </c>
      <c r="CI2785" s="6" t="s">
        <v>257</v>
      </c>
      <c r="CJ2785" s="5" t="s">
        <v>238</v>
      </c>
      <c r="CK2785" s="5" t="s">
        <v>258</v>
      </c>
      <c r="CL2785" s="5" t="s">
        <v>238</v>
      </c>
      <c r="CM2785" s="5" t="s">
        <v>238</v>
      </c>
      <c r="CN2785" s="5">
        <v>0</v>
      </c>
      <c r="CO2785" s="5" t="s">
        <v>259</v>
      </c>
      <c r="CP2785" s="5" t="s">
        <v>260</v>
      </c>
      <c r="CQ2785" s="5" t="s">
        <v>260</v>
      </c>
      <c r="CR2785" s="5" t="s">
        <v>261</v>
      </c>
      <c r="CU2785" s="8">
        <f>1</f>
        <v>1</v>
      </c>
      <c r="CV2785" s="8">
        <f>0</f>
        <v>0</v>
      </c>
      <c r="CX2785" s="8">
        <f>0</f>
        <v>0</v>
      </c>
      <c r="CY2785" s="8">
        <f>1</f>
        <v>1</v>
      </c>
      <c r="DA2785" s="5" t="s">
        <v>274</v>
      </c>
      <c r="DB2785" s="5" t="s">
        <v>238</v>
      </c>
      <c r="DD2785" s="5" t="s">
        <v>274</v>
      </c>
      <c r="DE2785" s="8">
        <f>293</f>
        <v>293</v>
      </c>
      <c r="DG2785" s="5" t="s">
        <v>238</v>
      </c>
      <c r="DH2785" s="5" t="s">
        <v>238</v>
      </c>
      <c r="DI2785" s="5" t="s">
        <v>238</v>
      </c>
      <c r="DJ2785" s="5" t="s">
        <v>238</v>
      </c>
      <c r="DN2785" s="5" t="s">
        <v>238</v>
      </c>
      <c r="DO2785" s="5" t="s">
        <v>238</v>
      </c>
      <c r="DP2785" s="5" t="s">
        <v>238</v>
      </c>
      <c r="DQ2785" s="5" t="s">
        <v>238</v>
      </c>
      <c r="DT2785" s="5" t="s">
        <v>275</v>
      </c>
      <c r="DU2785" s="5" t="s">
        <v>1180</v>
      </c>
      <c r="HM2785" s="5" t="s">
        <v>264</v>
      </c>
    </row>
    <row r="2786" spans="1:221" x14ac:dyDescent="0.4">
      <c r="A2786" s="5">
        <v>4490</v>
      </c>
      <c r="B2786" s="5">
        <v>1</v>
      </c>
      <c r="C2786" s="5">
        <v>1</v>
      </c>
      <c r="D2786" s="5" t="s">
        <v>269</v>
      </c>
      <c r="E2786" s="5" t="s">
        <v>271</v>
      </c>
      <c r="F2786" s="5" t="s">
        <v>248</v>
      </c>
      <c r="G2786" s="5" t="s">
        <v>266</v>
      </c>
      <c r="H2786" s="6" t="s">
        <v>1170</v>
      </c>
      <c r="I2786" s="7">
        <f>142</f>
        <v>142</v>
      </c>
      <c r="J2786" s="5" t="s">
        <v>262</v>
      </c>
      <c r="K2786" s="8">
        <f>1</f>
        <v>1</v>
      </c>
      <c r="L2786" s="6" t="s">
        <v>242</v>
      </c>
      <c r="M2786" s="5" t="s">
        <v>267</v>
      </c>
      <c r="N2786" s="5" t="s">
        <v>265</v>
      </c>
      <c r="O2786" s="5" t="s">
        <v>238</v>
      </c>
      <c r="P2786" s="5" t="s">
        <v>238</v>
      </c>
      <c r="Q2786" s="5" t="s">
        <v>268</v>
      </c>
      <c r="R2786" s="5" t="s">
        <v>270</v>
      </c>
      <c r="S2786" s="5" t="s">
        <v>238</v>
      </c>
      <c r="V2786" s="5" t="s">
        <v>238</v>
      </c>
      <c r="X2786" s="6" t="s">
        <v>238</v>
      </c>
      <c r="AA2786" s="6" t="s">
        <v>243</v>
      </c>
      <c r="AB2786" s="5" t="s">
        <v>238</v>
      </c>
      <c r="AC2786" s="5" t="s">
        <v>244</v>
      </c>
      <c r="AD2786" s="5" t="s">
        <v>245</v>
      </c>
      <c r="AT2786" s="5" t="s">
        <v>246</v>
      </c>
      <c r="AU2786" s="5" t="s">
        <v>238</v>
      </c>
      <c r="AV2786" s="5" t="s">
        <v>247</v>
      </c>
      <c r="AW2786" s="5" t="s">
        <v>238</v>
      </c>
      <c r="AX2786" s="5" t="s">
        <v>249</v>
      </c>
      <c r="AY2786" s="5" t="s">
        <v>238</v>
      </c>
      <c r="BA2786" s="5" t="s">
        <v>238</v>
      </c>
      <c r="BC2786" s="5" t="s">
        <v>250</v>
      </c>
      <c r="BD2786" s="6" t="s">
        <v>243</v>
      </c>
      <c r="BE2786" s="5" t="s">
        <v>251</v>
      </c>
      <c r="BF2786" s="5" t="s">
        <v>252</v>
      </c>
      <c r="BG2786" s="5" t="s">
        <v>238</v>
      </c>
      <c r="BH2786" s="7">
        <f>0</f>
        <v>0</v>
      </c>
      <c r="BI2786" s="8">
        <f>0</f>
        <v>0</v>
      </c>
      <c r="BJ2786" s="5" t="s">
        <v>253</v>
      </c>
      <c r="BK2786" s="5" t="s">
        <v>254</v>
      </c>
      <c r="BY2786" s="5" t="s">
        <v>238</v>
      </c>
      <c r="BZ2786" s="5" t="s">
        <v>238</v>
      </c>
      <c r="CD2786" s="5" t="s">
        <v>273</v>
      </c>
      <c r="CE2786" s="5" t="s">
        <v>256</v>
      </c>
      <c r="CF2786" s="5" t="s">
        <v>238</v>
      </c>
      <c r="CI2786" s="6" t="s">
        <v>257</v>
      </c>
      <c r="CJ2786" s="5" t="s">
        <v>238</v>
      </c>
      <c r="CK2786" s="5" t="s">
        <v>258</v>
      </c>
      <c r="CL2786" s="5" t="s">
        <v>238</v>
      </c>
      <c r="CM2786" s="5" t="s">
        <v>238</v>
      </c>
      <c r="CN2786" s="5">
        <v>0</v>
      </c>
      <c r="CO2786" s="5" t="s">
        <v>259</v>
      </c>
      <c r="CP2786" s="5" t="s">
        <v>260</v>
      </c>
      <c r="CQ2786" s="5" t="s">
        <v>260</v>
      </c>
      <c r="CR2786" s="5" t="s">
        <v>261</v>
      </c>
      <c r="CU2786" s="8">
        <f>1</f>
        <v>1</v>
      </c>
      <c r="CV2786" s="8">
        <f>0</f>
        <v>0</v>
      </c>
      <c r="CX2786" s="8">
        <f>0</f>
        <v>0</v>
      </c>
      <c r="CY2786" s="8">
        <f>1</f>
        <v>1</v>
      </c>
      <c r="DA2786" s="5" t="s">
        <v>274</v>
      </c>
      <c r="DB2786" s="5" t="s">
        <v>238</v>
      </c>
      <c r="DD2786" s="5" t="s">
        <v>274</v>
      </c>
      <c r="DE2786" s="8">
        <f>142</f>
        <v>142</v>
      </c>
      <c r="DG2786" s="5" t="s">
        <v>238</v>
      </c>
      <c r="DH2786" s="5" t="s">
        <v>238</v>
      </c>
      <c r="DI2786" s="5" t="s">
        <v>238</v>
      </c>
      <c r="DJ2786" s="5" t="s">
        <v>238</v>
      </c>
      <c r="DN2786" s="5" t="s">
        <v>238</v>
      </c>
      <c r="DO2786" s="5" t="s">
        <v>238</v>
      </c>
      <c r="DP2786" s="5" t="s">
        <v>238</v>
      </c>
      <c r="DQ2786" s="5" t="s">
        <v>238</v>
      </c>
      <c r="DT2786" s="5" t="s">
        <v>275</v>
      </c>
      <c r="DU2786" s="5" t="s">
        <v>1171</v>
      </c>
      <c r="HM2786" s="5" t="s">
        <v>264</v>
      </c>
    </row>
    <row r="2787" spans="1:221" x14ac:dyDescent="0.4">
      <c r="A2787" s="5">
        <v>4491</v>
      </c>
      <c r="B2787" s="5">
        <v>1</v>
      </c>
      <c r="C2787" s="5">
        <v>1</v>
      </c>
      <c r="D2787" s="5" t="s">
        <v>269</v>
      </c>
      <c r="E2787" s="5" t="s">
        <v>271</v>
      </c>
      <c r="F2787" s="5" t="s">
        <v>248</v>
      </c>
      <c r="G2787" s="5" t="s">
        <v>266</v>
      </c>
      <c r="H2787" s="6" t="s">
        <v>1167</v>
      </c>
      <c r="I2787" s="7">
        <f>369</f>
        <v>369</v>
      </c>
      <c r="J2787" s="5" t="s">
        <v>262</v>
      </c>
      <c r="K2787" s="8">
        <f>1</f>
        <v>1</v>
      </c>
      <c r="L2787" s="6" t="s">
        <v>242</v>
      </c>
      <c r="M2787" s="5" t="s">
        <v>267</v>
      </c>
      <c r="N2787" s="5" t="s">
        <v>265</v>
      </c>
      <c r="O2787" s="5" t="s">
        <v>238</v>
      </c>
      <c r="P2787" s="5" t="s">
        <v>238</v>
      </c>
      <c r="Q2787" s="5" t="s">
        <v>268</v>
      </c>
      <c r="R2787" s="5" t="s">
        <v>270</v>
      </c>
      <c r="S2787" s="5" t="s">
        <v>238</v>
      </c>
      <c r="V2787" s="5" t="s">
        <v>238</v>
      </c>
      <c r="X2787" s="6" t="s">
        <v>238</v>
      </c>
      <c r="AA2787" s="6" t="s">
        <v>243</v>
      </c>
      <c r="AB2787" s="5" t="s">
        <v>238</v>
      </c>
      <c r="AC2787" s="5" t="s">
        <v>244</v>
      </c>
      <c r="AD2787" s="5" t="s">
        <v>245</v>
      </c>
      <c r="AT2787" s="5" t="s">
        <v>246</v>
      </c>
      <c r="AU2787" s="5" t="s">
        <v>238</v>
      </c>
      <c r="AV2787" s="5" t="s">
        <v>247</v>
      </c>
      <c r="AW2787" s="5" t="s">
        <v>238</v>
      </c>
      <c r="AX2787" s="5" t="s">
        <v>249</v>
      </c>
      <c r="AY2787" s="5" t="s">
        <v>238</v>
      </c>
      <c r="BA2787" s="5" t="s">
        <v>238</v>
      </c>
      <c r="BC2787" s="5" t="s">
        <v>250</v>
      </c>
      <c r="BD2787" s="6" t="s">
        <v>243</v>
      </c>
      <c r="BE2787" s="5" t="s">
        <v>251</v>
      </c>
      <c r="BF2787" s="5" t="s">
        <v>252</v>
      </c>
      <c r="BG2787" s="5" t="s">
        <v>238</v>
      </c>
      <c r="BH2787" s="7">
        <f>0</f>
        <v>0</v>
      </c>
      <c r="BI2787" s="8">
        <f>0</f>
        <v>0</v>
      </c>
      <c r="BJ2787" s="5" t="s">
        <v>253</v>
      </c>
      <c r="BK2787" s="5" t="s">
        <v>254</v>
      </c>
      <c r="BY2787" s="5" t="s">
        <v>238</v>
      </c>
      <c r="BZ2787" s="5" t="s">
        <v>238</v>
      </c>
      <c r="CD2787" s="5" t="s">
        <v>273</v>
      </c>
      <c r="CE2787" s="5" t="s">
        <v>256</v>
      </c>
      <c r="CF2787" s="5" t="s">
        <v>238</v>
      </c>
      <c r="CI2787" s="6" t="s">
        <v>257</v>
      </c>
      <c r="CJ2787" s="5" t="s">
        <v>238</v>
      </c>
      <c r="CK2787" s="5" t="s">
        <v>258</v>
      </c>
      <c r="CL2787" s="5" t="s">
        <v>238</v>
      </c>
      <c r="CM2787" s="5" t="s">
        <v>238</v>
      </c>
      <c r="CN2787" s="5">
        <v>0</v>
      </c>
      <c r="CO2787" s="5" t="s">
        <v>259</v>
      </c>
      <c r="CP2787" s="5" t="s">
        <v>260</v>
      </c>
      <c r="CQ2787" s="5" t="s">
        <v>260</v>
      </c>
      <c r="CR2787" s="5" t="s">
        <v>261</v>
      </c>
      <c r="CU2787" s="8">
        <f>1</f>
        <v>1</v>
      </c>
      <c r="CV2787" s="8">
        <f>0</f>
        <v>0</v>
      </c>
      <c r="CX2787" s="8">
        <f>0</f>
        <v>0</v>
      </c>
      <c r="CY2787" s="8">
        <f>1</f>
        <v>1</v>
      </c>
      <c r="DA2787" s="5" t="s">
        <v>274</v>
      </c>
      <c r="DB2787" s="5" t="s">
        <v>238</v>
      </c>
      <c r="DD2787" s="5" t="s">
        <v>274</v>
      </c>
      <c r="DE2787" s="8">
        <f>369</f>
        <v>369</v>
      </c>
      <c r="DG2787" s="5" t="s">
        <v>238</v>
      </c>
      <c r="DH2787" s="5" t="s">
        <v>238</v>
      </c>
      <c r="DI2787" s="5" t="s">
        <v>238</v>
      </c>
      <c r="DJ2787" s="5" t="s">
        <v>238</v>
      </c>
      <c r="DN2787" s="5" t="s">
        <v>238</v>
      </c>
      <c r="DO2787" s="5" t="s">
        <v>238</v>
      </c>
      <c r="DP2787" s="5" t="s">
        <v>238</v>
      </c>
      <c r="DQ2787" s="5" t="s">
        <v>238</v>
      </c>
      <c r="DT2787" s="5" t="s">
        <v>275</v>
      </c>
      <c r="DU2787" s="5" t="s">
        <v>1168</v>
      </c>
      <c r="HM2787" s="5" t="s">
        <v>264</v>
      </c>
    </row>
    <row r="2788" spans="1:221" x14ac:dyDescent="0.4">
      <c r="A2788" s="5">
        <v>4492</v>
      </c>
      <c r="B2788" s="5">
        <v>1</v>
      </c>
      <c r="C2788" s="5">
        <v>1</v>
      </c>
      <c r="D2788" s="5" t="s">
        <v>269</v>
      </c>
      <c r="E2788" s="5" t="s">
        <v>271</v>
      </c>
      <c r="F2788" s="5" t="s">
        <v>248</v>
      </c>
      <c r="G2788" s="5" t="s">
        <v>266</v>
      </c>
      <c r="H2788" s="6" t="s">
        <v>1159</v>
      </c>
      <c r="I2788" s="7">
        <f>53</f>
        <v>53</v>
      </c>
      <c r="J2788" s="5" t="s">
        <v>262</v>
      </c>
      <c r="K2788" s="8">
        <f>1</f>
        <v>1</v>
      </c>
      <c r="L2788" s="6" t="s">
        <v>242</v>
      </c>
      <c r="M2788" s="5" t="s">
        <v>267</v>
      </c>
      <c r="N2788" s="5" t="s">
        <v>265</v>
      </c>
      <c r="O2788" s="5" t="s">
        <v>238</v>
      </c>
      <c r="P2788" s="5" t="s">
        <v>238</v>
      </c>
      <c r="Q2788" s="5" t="s">
        <v>268</v>
      </c>
      <c r="R2788" s="5" t="s">
        <v>270</v>
      </c>
      <c r="S2788" s="5" t="s">
        <v>238</v>
      </c>
      <c r="V2788" s="5" t="s">
        <v>238</v>
      </c>
      <c r="X2788" s="6" t="s">
        <v>238</v>
      </c>
      <c r="AA2788" s="6" t="s">
        <v>243</v>
      </c>
      <c r="AB2788" s="5" t="s">
        <v>238</v>
      </c>
      <c r="AC2788" s="5" t="s">
        <v>244</v>
      </c>
      <c r="AD2788" s="5" t="s">
        <v>245</v>
      </c>
      <c r="AT2788" s="5" t="s">
        <v>246</v>
      </c>
      <c r="AU2788" s="5" t="s">
        <v>238</v>
      </c>
      <c r="AV2788" s="5" t="s">
        <v>247</v>
      </c>
      <c r="AW2788" s="5" t="s">
        <v>238</v>
      </c>
      <c r="AX2788" s="5" t="s">
        <v>249</v>
      </c>
      <c r="AY2788" s="5" t="s">
        <v>238</v>
      </c>
      <c r="BA2788" s="5" t="s">
        <v>238</v>
      </c>
      <c r="BC2788" s="5" t="s">
        <v>250</v>
      </c>
      <c r="BD2788" s="6" t="s">
        <v>243</v>
      </c>
      <c r="BE2788" s="5" t="s">
        <v>251</v>
      </c>
      <c r="BF2788" s="5" t="s">
        <v>252</v>
      </c>
      <c r="BG2788" s="5" t="s">
        <v>238</v>
      </c>
      <c r="BH2788" s="7">
        <f>0</f>
        <v>0</v>
      </c>
      <c r="BI2788" s="8">
        <f>0</f>
        <v>0</v>
      </c>
      <c r="BJ2788" s="5" t="s">
        <v>253</v>
      </c>
      <c r="BK2788" s="5" t="s">
        <v>254</v>
      </c>
      <c r="BY2788" s="5" t="s">
        <v>238</v>
      </c>
      <c r="BZ2788" s="5" t="s">
        <v>238</v>
      </c>
      <c r="CD2788" s="5" t="s">
        <v>273</v>
      </c>
      <c r="CE2788" s="5" t="s">
        <v>256</v>
      </c>
      <c r="CF2788" s="5" t="s">
        <v>238</v>
      </c>
      <c r="CI2788" s="6" t="s">
        <v>257</v>
      </c>
      <c r="CJ2788" s="5" t="s">
        <v>238</v>
      </c>
      <c r="CK2788" s="5" t="s">
        <v>258</v>
      </c>
      <c r="CL2788" s="5" t="s">
        <v>238</v>
      </c>
      <c r="CM2788" s="5" t="s">
        <v>238</v>
      </c>
      <c r="CN2788" s="5">
        <v>0</v>
      </c>
      <c r="CO2788" s="5" t="s">
        <v>259</v>
      </c>
      <c r="CP2788" s="5" t="s">
        <v>260</v>
      </c>
      <c r="CQ2788" s="5" t="s">
        <v>260</v>
      </c>
      <c r="CR2788" s="5" t="s">
        <v>261</v>
      </c>
      <c r="CU2788" s="8">
        <f>1</f>
        <v>1</v>
      </c>
      <c r="CV2788" s="8">
        <f>0</f>
        <v>0</v>
      </c>
      <c r="CX2788" s="8">
        <f>0</f>
        <v>0</v>
      </c>
      <c r="CY2788" s="8">
        <f>1</f>
        <v>1</v>
      </c>
      <c r="DA2788" s="5" t="s">
        <v>274</v>
      </c>
      <c r="DB2788" s="5" t="s">
        <v>238</v>
      </c>
      <c r="DD2788" s="5" t="s">
        <v>274</v>
      </c>
      <c r="DE2788" s="8">
        <f>53</f>
        <v>53</v>
      </c>
      <c r="DG2788" s="5" t="s">
        <v>238</v>
      </c>
      <c r="DH2788" s="5" t="s">
        <v>238</v>
      </c>
      <c r="DI2788" s="5" t="s">
        <v>238</v>
      </c>
      <c r="DJ2788" s="5" t="s">
        <v>238</v>
      </c>
      <c r="DN2788" s="5" t="s">
        <v>238</v>
      </c>
      <c r="DO2788" s="5" t="s">
        <v>238</v>
      </c>
      <c r="DP2788" s="5" t="s">
        <v>238</v>
      </c>
      <c r="DQ2788" s="5" t="s">
        <v>238</v>
      </c>
      <c r="DT2788" s="5" t="s">
        <v>275</v>
      </c>
      <c r="DU2788" s="5" t="s">
        <v>1160</v>
      </c>
      <c r="HM2788" s="5" t="s">
        <v>264</v>
      </c>
    </row>
    <row r="2789" spans="1:221" x14ac:dyDescent="0.4">
      <c r="A2789" s="5">
        <v>4493</v>
      </c>
      <c r="B2789" s="5">
        <v>1</v>
      </c>
      <c r="C2789" s="5">
        <v>1</v>
      </c>
      <c r="D2789" s="5" t="s">
        <v>269</v>
      </c>
      <c r="E2789" s="5" t="s">
        <v>271</v>
      </c>
      <c r="F2789" s="5" t="s">
        <v>248</v>
      </c>
      <c r="G2789" s="5" t="s">
        <v>266</v>
      </c>
      <c r="H2789" s="6" t="s">
        <v>1153</v>
      </c>
      <c r="I2789" s="7">
        <f>692</f>
        <v>692</v>
      </c>
      <c r="J2789" s="5" t="s">
        <v>262</v>
      </c>
      <c r="K2789" s="8">
        <f>1</f>
        <v>1</v>
      </c>
      <c r="L2789" s="6" t="s">
        <v>242</v>
      </c>
      <c r="M2789" s="5" t="s">
        <v>267</v>
      </c>
      <c r="N2789" s="5" t="s">
        <v>265</v>
      </c>
      <c r="O2789" s="5" t="s">
        <v>238</v>
      </c>
      <c r="P2789" s="5" t="s">
        <v>238</v>
      </c>
      <c r="Q2789" s="5" t="s">
        <v>268</v>
      </c>
      <c r="R2789" s="5" t="s">
        <v>270</v>
      </c>
      <c r="S2789" s="5" t="s">
        <v>238</v>
      </c>
      <c r="V2789" s="5" t="s">
        <v>238</v>
      </c>
      <c r="X2789" s="6" t="s">
        <v>238</v>
      </c>
      <c r="AA2789" s="6" t="s">
        <v>243</v>
      </c>
      <c r="AB2789" s="5" t="s">
        <v>238</v>
      </c>
      <c r="AC2789" s="5" t="s">
        <v>244</v>
      </c>
      <c r="AD2789" s="5" t="s">
        <v>245</v>
      </c>
      <c r="AT2789" s="5" t="s">
        <v>246</v>
      </c>
      <c r="AU2789" s="5" t="s">
        <v>238</v>
      </c>
      <c r="AV2789" s="5" t="s">
        <v>247</v>
      </c>
      <c r="AW2789" s="5" t="s">
        <v>238</v>
      </c>
      <c r="AX2789" s="5" t="s">
        <v>249</v>
      </c>
      <c r="AY2789" s="5" t="s">
        <v>238</v>
      </c>
      <c r="BA2789" s="5" t="s">
        <v>238</v>
      </c>
      <c r="BC2789" s="5" t="s">
        <v>250</v>
      </c>
      <c r="BD2789" s="6" t="s">
        <v>243</v>
      </c>
      <c r="BE2789" s="5" t="s">
        <v>251</v>
      </c>
      <c r="BF2789" s="5" t="s">
        <v>252</v>
      </c>
      <c r="BG2789" s="5" t="s">
        <v>238</v>
      </c>
      <c r="BH2789" s="7">
        <f>0</f>
        <v>0</v>
      </c>
      <c r="BI2789" s="8">
        <f>0</f>
        <v>0</v>
      </c>
      <c r="BJ2789" s="5" t="s">
        <v>253</v>
      </c>
      <c r="BK2789" s="5" t="s">
        <v>254</v>
      </c>
      <c r="BY2789" s="5" t="s">
        <v>238</v>
      </c>
      <c r="BZ2789" s="5" t="s">
        <v>238</v>
      </c>
      <c r="CD2789" s="5" t="s">
        <v>273</v>
      </c>
      <c r="CE2789" s="5" t="s">
        <v>256</v>
      </c>
      <c r="CF2789" s="5" t="s">
        <v>238</v>
      </c>
      <c r="CI2789" s="6" t="s">
        <v>257</v>
      </c>
      <c r="CJ2789" s="5" t="s">
        <v>238</v>
      </c>
      <c r="CK2789" s="5" t="s">
        <v>258</v>
      </c>
      <c r="CL2789" s="5" t="s">
        <v>238</v>
      </c>
      <c r="CM2789" s="5" t="s">
        <v>238</v>
      </c>
      <c r="CN2789" s="5">
        <v>0</v>
      </c>
      <c r="CO2789" s="5" t="s">
        <v>259</v>
      </c>
      <c r="CP2789" s="5" t="s">
        <v>260</v>
      </c>
      <c r="CQ2789" s="5" t="s">
        <v>260</v>
      </c>
      <c r="CR2789" s="5" t="s">
        <v>261</v>
      </c>
      <c r="CU2789" s="8">
        <f>1</f>
        <v>1</v>
      </c>
      <c r="CV2789" s="8">
        <f>0</f>
        <v>0</v>
      </c>
      <c r="CX2789" s="8">
        <f>0</f>
        <v>0</v>
      </c>
      <c r="CY2789" s="8">
        <f>1</f>
        <v>1</v>
      </c>
      <c r="DA2789" s="5" t="s">
        <v>274</v>
      </c>
      <c r="DB2789" s="5" t="s">
        <v>238</v>
      </c>
      <c r="DD2789" s="5" t="s">
        <v>274</v>
      </c>
      <c r="DE2789" s="8">
        <f>692</f>
        <v>692</v>
      </c>
      <c r="DG2789" s="5" t="s">
        <v>238</v>
      </c>
      <c r="DH2789" s="5" t="s">
        <v>238</v>
      </c>
      <c r="DI2789" s="5" t="s">
        <v>238</v>
      </c>
      <c r="DJ2789" s="5" t="s">
        <v>238</v>
      </c>
      <c r="DN2789" s="5" t="s">
        <v>238</v>
      </c>
      <c r="DO2789" s="5" t="s">
        <v>238</v>
      </c>
      <c r="DP2789" s="5" t="s">
        <v>238</v>
      </c>
      <c r="DQ2789" s="5" t="s">
        <v>238</v>
      </c>
      <c r="DT2789" s="5" t="s">
        <v>275</v>
      </c>
      <c r="DU2789" s="5" t="s">
        <v>1154</v>
      </c>
      <c r="HM2789" s="5" t="s">
        <v>264</v>
      </c>
    </row>
    <row r="2790" spans="1:221" x14ac:dyDescent="0.4">
      <c r="A2790" s="5">
        <v>4494</v>
      </c>
      <c r="B2790" s="5">
        <v>1</v>
      </c>
      <c r="C2790" s="5">
        <v>1</v>
      </c>
      <c r="D2790" s="5" t="s">
        <v>269</v>
      </c>
      <c r="E2790" s="5" t="s">
        <v>271</v>
      </c>
      <c r="F2790" s="5" t="s">
        <v>248</v>
      </c>
      <c r="G2790" s="5" t="s">
        <v>266</v>
      </c>
      <c r="H2790" s="6" t="s">
        <v>1149</v>
      </c>
      <c r="I2790" s="7">
        <f>147</f>
        <v>147</v>
      </c>
      <c r="J2790" s="5" t="s">
        <v>262</v>
      </c>
      <c r="K2790" s="8">
        <f>1</f>
        <v>1</v>
      </c>
      <c r="L2790" s="6" t="s">
        <v>242</v>
      </c>
      <c r="M2790" s="5" t="s">
        <v>267</v>
      </c>
      <c r="N2790" s="5" t="s">
        <v>265</v>
      </c>
      <c r="O2790" s="5" t="s">
        <v>238</v>
      </c>
      <c r="P2790" s="5" t="s">
        <v>238</v>
      </c>
      <c r="Q2790" s="5" t="s">
        <v>268</v>
      </c>
      <c r="R2790" s="5" t="s">
        <v>270</v>
      </c>
      <c r="S2790" s="5" t="s">
        <v>238</v>
      </c>
      <c r="V2790" s="5" t="s">
        <v>238</v>
      </c>
      <c r="X2790" s="6" t="s">
        <v>238</v>
      </c>
      <c r="AA2790" s="6" t="s">
        <v>243</v>
      </c>
      <c r="AB2790" s="5" t="s">
        <v>238</v>
      </c>
      <c r="AC2790" s="5" t="s">
        <v>244</v>
      </c>
      <c r="AD2790" s="5" t="s">
        <v>245</v>
      </c>
      <c r="AT2790" s="5" t="s">
        <v>246</v>
      </c>
      <c r="AU2790" s="5" t="s">
        <v>238</v>
      </c>
      <c r="AV2790" s="5" t="s">
        <v>247</v>
      </c>
      <c r="AW2790" s="5" t="s">
        <v>238</v>
      </c>
      <c r="AX2790" s="5" t="s">
        <v>249</v>
      </c>
      <c r="AY2790" s="5" t="s">
        <v>238</v>
      </c>
      <c r="BA2790" s="5" t="s">
        <v>238</v>
      </c>
      <c r="BC2790" s="5" t="s">
        <v>250</v>
      </c>
      <c r="BD2790" s="6" t="s">
        <v>243</v>
      </c>
      <c r="BE2790" s="5" t="s">
        <v>251</v>
      </c>
      <c r="BF2790" s="5" t="s">
        <v>252</v>
      </c>
      <c r="BG2790" s="5" t="s">
        <v>238</v>
      </c>
      <c r="BH2790" s="7">
        <f>0</f>
        <v>0</v>
      </c>
      <c r="BI2790" s="8">
        <f>0</f>
        <v>0</v>
      </c>
      <c r="BJ2790" s="5" t="s">
        <v>253</v>
      </c>
      <c r="BK2790" s="5" t="s">
        <v>254</v>
      </c>
      <c r="BY2790" s="5" t="s">
        <v>238</v>
      </c>
      <c r="BZ2790" s="5" t="s">
        <v>238</v>
      </c>
      <c r="CD2790" s="5" t="s">
        <v>273</v>
      </c>
      <c r="CE2790" s="5" t="s">
        <v>256</v>
      </c>
      <c r="CF2790" s="5" t="s">
        <v>238</v>
      </c>
      <c r="CI2790" s="6" t="s">
        <v>257</v>
      </c>
      <c r="CJ2790" s="5" t="s">
        <v>238</v>
      </c>
      <c r="CK2790" s="5" t="s">
        <v>258</v>
      </c>
      <c r="CL2790" s="5" t="s">
        <v>238</v>
      </c>
      <c r="CM2790" s="5" t="s">
        <v>238</v>
      </c>
      <c r="CN2790" s="5">
        <v>0</v>
      </c>
      <c r="CO2790" s="5" t="s">
        <v>259</v>
      </c>
      <c r="CP2790" s="5" t="s">
        <v>260</v>
      </c>
      <c r="CQ2790" s="5" t="s">
        <v>260</v>
      </c>
      <c r="CR2790" s="5" t="s">
        <v>261</v>
      </c>
      <c r="CU2790" s="8">
        <f>1</f>
        <v>1</v>
      </c>
      <c r="CV2790" s="8">
        <f>0</f>
        <v>0</v>
      </c>
      <c r="CX2790" s="8">
        <f>0</f>
        <v>0</v>
      </c>
      <c r="CY2790" s="8">
        <f>1</f>
        <v>1</v>
      </c>
      <c r="DA2790" s="5" t="s">
        <v>274</v>
      </c>
      <c r="DB2790" s="5" t="s">
        <v>238</v>
      </c>
      <c r="DD2790" s="5" t="s">
        <v>274</v>
      </c>
      <c r="DE2790" s="8">
        <f>147</f>
        <v>147</v>
      </c>
      <c r="DG2790" s="5" t="s">
        <v>238</v>
      </c>
      <c r="DH2790" s="5" t="s">
        <v>238</v>
      </c>
      <c r="DI2790" s="5" t="s">
        <v>238</v>
      </c>
      <c r="DJ2790" s="5" t="s">
        <v>238</v>
      </c>
      <c r="DN2790" s="5" t="s">
        <v>238</v>
      </c>
      <c r="DO2790" s="5" t="s">
        <v>238</v>
      </c>
      <c r="DP2790" s="5" t="s">
        <v>238</v>
      </c>
      <c r="DQ2790" s="5" t="s">
        <v>238</v>
      </c>
      <c r="DT2790" s="5" t="s">
        <v>275</v>
      </c>
      <c r="DU2790" s="5" t="s">
        <v>1150</v>
      </c>
      <c r="HM2790" s="5" t="s">
        <v>264</v>
      </c>
    </row>
    <row r="2791" spans="1:221" x14ac:dyDescent="0.4">
      <c r="A2791" s="5">
        <v>4495</v>
      </c>
      <c r="B2791" s="5">
        <v>1</v>
      </c>
      <c r="C2791" s="5">
        <v>1</v>
      </c>
      <c r="D2791" s="5" t="s">
        <v>269</v>
      </c>
      <c r="E2791" s="5" t="s">
        <v>271</v>
      </c>
      <c r="F2791" s="5" t="s">
        <v>248</v>
      </c>
      <c r="G2791" s="5" t="s">
        <v>266</v>
      </c>
      <c r="H2791" s="6" t="s">
        <v>1143</v>
      </c>
      <c r="I2791" s="7">
        <f>715</f>
        <v>715</v>
      </c>
      <c r="J2791" s="5" t="s">
        <v>262</v>
      </c>
      <c r="K2791" s="8">
        <f>1</f>
        <v>1</v>
      </c>
      <c r="L2791" s="6" t="s">
        <v>242</v>
      </c>
      <c r="M2791" s="5" t="s">
        <v>267</v>
      </c>
      <c r="N2791" s="5" t="s">
        <v>265</v>
      </c>
      <c r="O2791" s="5" t="s">
        <v>238</v>
      </c>
      <c r="P2791" s="5" t="s">
        <v>238</v>
      </c>
      <c r="Q2791" s="5" t="s">
        <v>268</v>
      </c>
      <c r="R2791" s="5" t="s">
        <v>270</v>
      </c>
      <c r="S2791" s="5" t="s">
        <v>238</v>
      </c>
      <c r="V2791" s="5" t="s">
        <v>238</v>
      </c>
      <c r="X2791" s="6" t="s">
        <v>238</v>
      </c>
      <c r="AA2791" s="6" t="s">
        <v>243</v>
      </c>
      <c r="AB2791" s="5" t="s">
        <v>238</v>
      </c>
      <c r="AC2791" s="5" t="s">
        <v>244</v>
      </c>
      <c r="AD2791" s="5" t="s">
        <v>245</v>
      </c>
      <c r="AT2791" s="5" t="s">
        <v>246</v>
      </c>
      <c r="AU2791" s="5" t="s">
        <v>238</v>
      </c>
      <c r="AV2791" s="5" t="s">
        <v>247</v>
      </c>
      <c r="AW2791" s="5" t="s">
        <v>238</v>
      </c>
      <c r="AX2791" s="5" t="s">
        <v>249</v>
      </c>
      <c r="AY2791" s="5" t="s">
        <v>238</v>
      </c>
      <c r="BA2791" s="5" t="s">
        <v>238</v>
      </c>
      <c r="BC2791" s="5" t="s">
        <v>250</v>
      </c>
      <c r="BD2791" s="6" t="s">
        <v>243</v>
      </c>
      <c r="BE2791" s="5" t="s">
        <v>251</v>
      </c>
      <c r="BF2791" s="5" t="s">
        <v>252</v>
      </c>
      <c r="BG2791" s="5" t="s">
        <v>238</v>
      </c>
      <c r="BH2791" s="7">
        <f>0</f>
        <v>0</v>
      </c>
      <c r="BI2791" s="8">
        <f>0</f>
        <v>0</v>
      </c>
      <c r="BJ2791" s="5" t="s">
        <v>253</v>
      </c>
      <c r="BK2791" s="5" t="s">
        <v>254</v>
      </c>
      <c r="BY2791" s="5" t="s">
        <v>238</v>
      </c>
      <c r="BZ2791" s="5" t="s">
        <v>238</v>
      </c>
      <c r="CD2791" s="5" t="s">
        <v>273</v>
      </c>
      <c r="CE2791" s="5" t="s">
        <v>256</v>
      </c>
      <c r="CF2791" s="5" t="s">
        <v>238</v>
      </c>
      <c r="CI2791" s="6" t="s">
        <v>257</v>
      </c>
      <c r="CJ2791" s="5" t="s">
        <v>238</v>
      </c>
      <c r="CK2791" s="5" t="s">
        <v>258</v>
      </c>
      <c r="CL2791" s="5" t="s">
        <v>238</v>
      </c>
      <c r="CM2791" s="5" t="s">
        <v>238</v>
      </c>
      <c r="CN2791" s="5">
        <v>0</v>
      </c>
      <c r="CO2791" s="5" t="s">
        <v>259</v>
      </c>
      <c r="CP2791" s="5" t="s">
        <v>260</v>
      </c>
      <c r="CQ2791" s="5" t="s">
        <v>260</v>
      </c>
      <c r="CR2791" s="5" t="s">
        <v>261</v>
      </c>
      <c r="CU2791" s="8">
        <f>1</f>
        <v>1</v>
      </c>
      <c r="CV2791" s="8">
        <f>0</f>
        <v>0</v>
      </c>
      <c r="CX2791" s="8">
        <f>0</f>
        <v>0</v>
      </c>
      <c r="CY2791" s="8">
        <f>1</f>
        <v>1</v>
      </c>
      <c r="DA2791" s="5" t="s">
        <v>274</v>
      </c>
      <c r="DB2791" s="5" t="s">
        <v>238</v>
      </c>
      <c r="DD2791" s="5" t="s">
        <v>274</v>
      </c>
      <c r="DE2791" s="8">
        <f>715</f>
        <v>715</v>
      </c>
      <c r="DG2791" s="5" t="s">
        <v>238</v>
      </c>
      <c r="DH2791" s="5" t="s">
        <v>238</v>
      </c>
      <c r="DI2791" s="5" t="s">
        <v>238</v>
      </c>
      <c r="DJ2791" s="5" t="s">
        <v>238</v>
      </c>
      <c r="DN2791" s="5" t="s">
        <v>238</v>
      </c>
      <c r="DO2791" s="5" t="s">
        <v>238</v>
      </c>
      <c r="DP2791" s="5" t="s">
        <v>238</v>
      </c>
      <c r="DQ2791" s="5" t="s">
        <v>238</v>
      </c>
      <c r="DT2791" s="5" t="s">
        <v>275</v>
      </c>
      <c r="DU2791" s="5" t="s">
        <v>1144</v>
      </c>
      <c r="HM2791" s="5" t="s">
        <v>264</v>
      </c>
    </row>
    <row r="2792" spans="1:221" x14ac:dyDescent="0.4">
      <c r="A2792" s="5">
        <v>4496</v>
      </c>
      <c r="B2792" s="5">
        <v>1</v>
      </c>
      <c r="C2792" s="5">
        <v>1</v>
      </c>
      <c r="D2792" s="5" t="s">
        <v>269</v>
      </c>
      <c r="E2792" s="5" t="s">
        <v>271</v>
      </c>
      <c r="F2792" s="5" t="s">
        <v>248</v>
      </c>
      <c r="G2792" s="5" t="s">
        <v>266</v>
      </c>
      <c r="H2792" s="6" t="s">
        <v>1139</v>
      </c>
      <c r="I2792" s="7">
        <f>61</f>
        <v>61</v>
      </c>
      <c r="J2792" s="5" t="s">
        <v>262</v>
      </c>
      <c r="K2792" s="8">
        <f>1</f>
        <v>1</v>
      </c>
      <c r="L2792" s="6" t="s">
        <v>242</v>
      </c>
      <c r="M2792" s="5" t="s">
        <v>267</v>
      </c>
      <c r="N2792" s="5" t="s">
        <v>265</v>
      </c>
      <c r="O2792" s="5" t="s">
        <v>238</v>
      </c>
      <c r="P2792" s="5" t="s">
        <v>238</v>
      </c>
      <c r="Q2792" s="5" t="s">
        <v>268</v>
      </c>
      <c r="R2792" s="5" t="s">
        <v>270</v>
      </c>
      <c r="S2792" s="5" t="s">
        <v>238</v>
      </c>
      <c r="V2792" s="5" t="s">
        <v>238</v>
      </c>
      <c r="X2792" s="6" t="s">
        <v>238</v>
      </c>
      <c r="AA2792" s="6" t="s">
        <v>243</v>
      </c>
      <c r="AB2792" s="5" t="s">
        <v>238</v>
      </c>
      <c r="AC2792" s="5" t="s">
        <v>244</v>
      </c>
      <c r="AD2792" s="5" t="s">
        <v>245</v>
      </c>
      <c r="AT2792" s="5" t="s">
        <v>246</v>
      </c>
      <c r="AU2792" s="5" t="s">
        <v>238</v>
      </c>
      <c r="AV2792" s="5" t="s">
        <v>247</v>
      </c>
      <c r="AW2792" s="5" t="s">
        <v>238</v>
      </c>
      <c r="AX2792" s="5" t="s">
        <v>249</v>
      </c>
      <c r="AY2792" s="5" t="s">
        <v>238</v>
      </c>
      <c r="BA2792" s="5" t="s">
        <v>238</v>
      </c>
      <c r="BC2792" s="5" t="s">
        <v>250</v>
      </c>
      <c r="BD2792" s="6" t="s">
        <v>243</v>
      </c>
      <c r="BE2792" s="5" t="s">
        <v>251</v>
      </c>
      <c r="BF2792" s="5" t="s">
        <v>252</v>
      </c>
      <c r="BG2792" s="5" t="s">
        <v>238</v>
      </c>
      <c r="BH2792" s="7">
        <f>0</f>
        <v>0</v>
      </c>
      <c r="BI2792" s="8">
        <f>0</f>
        <v>0</v>
      </c>
      <c r="BJ2792" s="5" t="s">
        <v>253</v>
      </c>
      <c r="BK2792" s="5" t="s">
        <v>254</v>
      </c>
      <c r="BY2792" s="5" t="s">
        <v>238</v>
      </c>
      <c r="BZ2792" s="5" t="s">
        <v>238</v>
      </c>
      <c r="CD2792" s="5" t="s">
        <v>273</v>
      </c>
      <c r="CE2792" s="5" t="s">
        <v>256</v>
      </c>
      <c r="CF2792" s="5" t="s">
        <v>238</v>
      </c>
      <c r="CI2792" s="6" t="s">
        <v>257</v>
      </c>
      <c r="CJ2792" s="5" t="s">
        <v>238</v>
      </c>
      <c r="CK2792" s="5" t="s">
        <v>258</v>
      </c>
      <c r="CL2792" s="5" t="s">
        <v>238</v>
      </c>
      <c r="CM2792" s="5" t="s">
        <v>238</v>
      </c>
      <c r="CN2792" s="5">
        <v>0</v>
      </c>
      <c r="CO2792" s="5" t="s">
        <v>259</v>
      </c>
      <c r="CP2792" s="5" t="s">
        <v>260</v>
      </c>
      <c r="CQ2792" s="5" t="s">
        <v>260</v>
      </c>
      <c r="CR2792" s="5" t="s">
        <v>261</v>
      </c>
      <c r="CU2792" s="8">
        <f>1</f>
        <v>1</v>
      </c>
      <c r="CV2792" s="8">
        <f>0</f>
        <v>0</v>
      </c>
      <c r="CX2792" s="8">
        <f>0</f>
        <v>0</v>
      </c>
      <c r="CY2792" s="8">
        <f>1</f>
        <v>1</v>
      </c>
      <c r="DA2792" s="5" t="s">
        <v>274</v>
      </c>
      <c r="DB2792" s="5" t="s">
        <v>238</v>
      </c>
      <c r="DD2792" s="5" t="s">
        <v>274</v>
      </c>
      <c r="DE2792" s="8">
        <f>61</f>
        <v>61</v>
      </c>
      <c r="DG2792" s="5" t="s">
        <v>238</v>
      </c>
      <c r="DH2792" s="5" t="s">
        <v>238</v>
      </c>
      <c r="DI2792" s="5" t="s">
        <v>238</v>
      </c>
      <c r="DJ2792" s="5" t="s">
        <v>238</v>
      </c>
      <c r="DN2792" s="5" t="s">
        <v>238</v>
      </c>
      <c r="DO2792" s="5" t="s">
        <v>238</v>
      </c>
      <c r="DP2792" s="5" t="s">
        <v>238</v>
      </c>
      <c r="DQ2792" s="5" t="s">
        <v>238</v>
      </c>
      <c r="DT2792" s="5" t="s">
        <v>275</v>
      </c>
      <c r="DU2792" s="5" t="s">
        <v>1140</v>
      </c>
      <c r="HM2792" s="5" t="s">
        <v>264</v>
      </c>
    </row>
    <row r="2793" spans="1:221" x14ac:dyDescent="0.4">
      <c r="A2793" s="5">
        <v>4497</v>
      </c>
      <c r="B2793" s="5">
        <v>1</v>
      </c>
      <c r="C2793" s="5">
        <v>1</v>
      </c>
      <c r="D2793" s="5" t="s">
        <v>269</v>
      </c>
      <c r="E2793" s="5" t="s">
        <v>271</v>
      </c>
      <c r="F2793" s="5" t="s">
        <v>248</v>
      </c>
      <c r="G2793" s="5" t="s">
        <v>266</v>
      </c>
      <c r="H2793" s="6" t="s">
        <v>1132</v>
      </c>
      <c r="I2793" s="7">
        <f>129</f>
        <v>129</v>
      </c>
      <c r="J2793" s="5" t="s">
        <v>262</v>
      </c>
      <c r="K2793" s="8">
        <f>1</f>
        <v>1</v>
      </c>
      <c r="L2793" s="6" t="s">
        <v>242</v>
      </c>
      <c r="M2793" s="5" t="s">
        <v>267</v>
      </c>
      <c r="N2793" s="5" t="s">
        <v>265</v>
      </c>
      <c r="O2793" s="5" t="s">
        <v>238</v>
      </c>
      <c r="P2793" s="5" t="s">
        <v>238</v>
      </c>
      <c r="Q2793" s="5" t="s">
        <v>268</v>
      </c>
      <c r="R2793" s="5" t="s">
        <v>270</v>
      </c>
      <c r="S2793" s="5" t="s">
        <v>238</v>
      </c>
      <c r="V2793" s="5" t="s">
        <v>238</v>
      </c>
      <c r="X2793" s="6" t="s">
        <v>238</v>
      </c>
      <c r="AA2793" s="6" t="s">
        <v>243</v>
      </c>
      <c r="AB2793" s="5" t="s">
        <v>238</v>
      </c>
      <c r="AC2793" s="5" t="s">
        <v>244</v>
      </c>
      <c r="AD2793" s="5" t="s">
        <v>245</v>
      </c>
      <c r="AT2793" s="5" t="s">
        <v>246</v>
      </c>
      <c r="AU2793" s="5" t="s">
        <v>238</v>
      </c>
      <c r="AV2793" s="5" t="s">
        <v>247</v>
      </c>
      <c r="AW2793" s="5" t="s">
        <v>238</v>
      </c>
      <c r="AX2793" s="5" t="s">
        <v>249</v>
      </c>
      <c r="AY2793" s="5" t="s">
        <v>238</v>
      </c>
      <c r="BA2793" s="5" t="s">
        <v>238</v>
      </c>
      <c r="BC2793" s="5" t="s">
        <v>250</v>
      </c>
      <c r="BD2793" s="6" t="s">
        <v>243</v>
      </c>
      <c r="BE2793" s="5" t="s">
        <v>251</v>
      </c>
      <c r="BF2793" s="5" t="s">
        <v>252</v>
      </c>
      <c r="BG2793" s="5" t="s">
        <v>238</v>
      </c>
      <c r="BH2793" s="7">
        <f>0</f>
        <v>0</v>
      </c>
      <c r="BI2793" s="8">
        <f>0</f>
        <v>0</v>
      </c>
      <c r="BJ2793" s="5" t="s">
        <v>253</v>
      </c>
      <c r="BK2793" s="5" t="s">
        <v>254</v>
      </c>
      <c r="BY2793" s="5" t="s">
        <v>238</v>
      </c>
      <c r="BZ2793" s="5" t="s">
        <v>238</v>
      </c>
      <c r="CD2793" s="5" t="s">
        <v>273</v>
      </c>
      <c r="CE2793" s="5" t="s">
        <v>256</v>
      </c>
      <c r="CF2793" s="5" t="s">
        <v>238</v>
      </c>
      <c r="CI2793" s="6" t="s">
        <v>257</v>
      </c>
      <c r="CJ2793" s="5" t="s">
        <v>238</v>
      </c>
      <c r="CK2793" s="5" t="s">
        <v>258</v>
      </c>
      <c r="CL2793" s="5" t="s">
        <v>238</v>
      </c>
      <c r="CM2793" s="5" t="s">
        <v>238</v>
      </c>
      <c r="CN2793" s="5">
        <v>0</v>
      </c>
      <c r="CO2793" s="5" t="s">
        <v>259</v>
      </c>
      <c r="CP2793" s="5" t="s">
        <v>260</v>
      </c>
      <c r="CQ2793" s="5" t="s">
        <v>260</v>
      </c>
      <c r="CR2793" s="5" t="s">
        <v>261</v>
      </c>
      <c r="CU2793" s="8">
        <f>1</f>
        <v>1</v>
      </c>
      <c r="CV2793" s="8">
        <f>0</f>
        <v>0</v>
      </c>
      <c r="CX2793" s="8">
        <f>0</f>
        <v>0</v>
      </c>
      <c r="CY2793" s="8">
        <f>1</f>
        <v>1</v>
      </c>
      <c r="DA2793" s="5" t="s">
        <v>274</v>
      </c>
      <c r="DB2793" s="5" t="s">
        <v>238</v>
      </c>
      <c r="DD2793" s="5" t="s">
        <v>274</v>
      </c>
      <c r="DE2793" s="8">
        <f>129</f>
        <v>129</v>
      </c>
      <c r="DG2793" s="5" t="s">
        <v>238</v>
      </c>
      <c r="DH2793" s="5" t="s">
        <v>238</v>
      </c>
      <c r="DI2793" s="5" t="s">
        <v>238</v>
      </c>
      <c r="DJ2793" s="5" t="s">
        <v>238</v>
      </c>
      <c r="DN2793" s="5" t="s">
        <v>238</v>
      </c>
      <c r="DO2793" s="5" t="s">
        <v>238</v>
      </c>
      <c r="DP2793" s="5" t="s">
        <v>238</v>
      </c>
      <c r="DQ2793" s="5" t="s">
        <v>238</v>
      </c>
      <c r="DT2793" s="5" t="s">
        <v>275</v>
      </c>
      <c r="DU2793" s="5" t="s">
        <v>1133</v>
      </c>
      <c r="HM2793" s="5" t="s">
        <v>264</v>
      </c>
    </row>
    <row r="2794" spans="1:221" x14ac:dyDescent="0.4">
      <c r="A2794" s="5">
        <v>4498</v>
      </c>
      <c r="B2794" s="5">
        <v>1</v>
      </c>
      <c r="C2794" s="5">
        <v>1</v>
      </c>
      <c r="D2794" s="5" t="s">
        <v>269</v>
      </c>
      <c r="E2794" s="5" t="s">
        <v>271</v>
      </c>
      <c r="F2794" s="5" t="s">
        <v>248</v>
      </c>
      <c r="G2794" s="5" t="s">
        <v>266</v>
      </c>
      <c r="H2794" s="6" t="s">
        <v>1123</v>
      </c>
      <c r="I2794" s="7">
        <f>239</f>
        <v>239</v>
      </c>
      <c r="J2794" s="5" t="s">
        <v>262</v>
      </c>
      <c r="K2794" s="8">
        <f>1</f>
        <v>1</v>
      </c>
      <c r="L2794" s="6" t="s">
        <v>242</v>
      </c>
      <c r="M2794" s="5" t="s">
        <v>267</v>
      </c>
      <c r="N2794" s="5" t="s">
        <v>265</v>
      </c>
      <c r="O2794" s="5" t="s">
        <v>238</v>
      </c>
      <c r="P2794" s="5" t="s">
        <v>238</v>
      </c>
      <c r="Q2794" s="5" t="s">
        <v>268</v>
      </c>
      <c r="R2794" s="5" t="s">
        <v>270</v>
      </c>
      <c r="S2794" s="5" t="s">
        <v>238</v>
      </c>
      <c r="V2794" s="5" t="s">
        <v>238</v>
      </c>
      <c r="X2794" s="6" t="s">
        <v>238</v>
      </c>
      <c r="AA2794" s="6" t="s">
        <v>243</v>
      </c>
      <c r="AB2794" s="5" t="s">
        <v>238</v>
      </c>
      <c r="AC2794" s="5" t="s">
        <v>244</v>
      </c>
      <c r="AD2794" s="5" t="s">
        <v>245</v>
      </c>
      <c r="AT2794" s="5" t="s">
        <v>246</v>
      </c>
      <c r="AU2794" s="5" t="s">
        <v>238</v>
      </c>
      <c r="AV2794" s="5" t="s">
        <v>247</v>
      </c>
      <c r="AW2794" s="5" t="s">
        <v>238</v>
      </c>
      <c r="AX2794" s="5" t="s">
        <v>249</v>
      </c>
      <c r="AY2794" s="5" t="s">
        <v>238</v>
      </c>
      <c r="BA2794" s="5" t="s">
        <v>238</v>
      </c>
      <c r="BC2794" s="5" t="s">
        <v>250</v>
      </c>
      <c r="BD2794" s="6" t="s">
        <v>243</v>
      </c>
      <c r="BE2794" s="5" t="s">
        <v>251</v>
      </c>
      <c r="BF2794" s="5" t="s">
        <v>252</v>
      </c>
      <c r="BG2794" s="5" t="s">
        <v>238</v>
      </c>
      <c r="BH2794" s="7">
        <f>0</f>
        <v>0</v>
      </c>
      <c r="BI2794" s="8">
        <f>0</f>
        <v>0</v>
      </c>
      <c r="BJ2794" s="5" t="s">
        <v>253</v>
      </c>
      <c r="BK2794" s="5" t="s">
        <v>254</v>
      </c>
      <c r="BY2794" s="5" t="s">
        <v>238</v>
      </c>
      <c r="BZ2794" s="5" t="s">
        <v>238</v>
      </c>
      <c r="CD2794" s="5" t="s">
        <v>273</v>
      </c>
      <c r="CE2794" s="5" t="s">
        <v>256</v>
      </c>
      <c r="CF2794" s="5" t="s">
        <v>238</v>
      </c>
      <c r="CI2794" s="6" t="s">
        <v>257</v>
      </c>
      <c r="CJ2794" s="5" t="s">
        <v>238</v>
      </c>
      <c r="CK2794" s="5" t="s">
        <v>258</v>
      </c>
      <c r="CL2794" s="5" t="s">
        <v>238</v>
      </c>
      <c r="CM2794" s="5" t="s">
        <v>238</v>
      </c>
      <c r="CN2794" s="5">
        <v>0</v>
      </c>
      <c r="CO2794" s="5" t="s">
        <v>259</v>
      </c>
      <c r="CP2794" s="5" t="s">
        <v>260</v>
      </c>
      <c r="CQ2794" s="5" t="s">
        <v>260</v>
      </c>
      <c r="CR2794" s="5" t="s">
        <v>261</v>
      </c>
      <c r="CU2794" s="8">
        <f>1</f>
        <v>1</v>
      </c>
      <c r="CV2794" s="8">
        <f>0</f>
        <v>0</v>
      </c>
      <c r="CX2794" s="8">
        <f>0</f>
        <v>0</v>
      </c>
      <c r="CY2794" s="8">
        <f>1</f>
        <v>1</v>
      </c>
      <c r="DA2794" s="5" t="s">
        <v>274</v>
      </c>
      <c r="DB2794" s="5" t="s">
        <v>238</v>
      </c>
      <c r="DD2794" s="5" t="s">
        <v>274</v>
      </c>
      <c r="DE2794" s="8">
        <f>239</f>
        <v>239</v>
      </c>
      <c r="DG2794" s="5" t="s">
        <v>238</v>
      </c>
      <c r="DH2794" s="5" t="s">
        <v>238</v>
      </c>
      <c r="DI2794" s="5" t="s">
        <v>238</v>
      </c>
      <c r="DJ2794" s="5" t="s">
        <v>238</v>
      </c>
      <c r="DN2794" s="5" t="s">
        <v>238</v>
      </c>
      <c r="DO2794" s="5" t="s">
        <v>238</v>
      </c>
      <c r="DP2794" s="5" t="s">
        <v>238</v>
      </c>
      <c r="DQ2794" s="5" t="s">
        <v>238</v>
      </c>
      <c r="DT2794" s="5" t="s">
        <v>275</v>
      </c>
      <c r="DU2794" s="5" t="s">
        <v>1124</v>
      </c>
      <c r="HM2794" s="5" t="s">
        <v>264</v>
      </c>
    </row>
    <row r="2795" spans="1:221" x14ac:dyDescent="0.4">
      <c r="A2795" s="5">
        <v>4499</v>
      </c>
      <c r="B2795" s="5">
        <v>1</v>
      </c>
      <c r="C2795" s="5">
        <v>1</v>
      </c>
      <c r="D2795" s="5" t="s">
        <v>269</v>
      </c>
      <c r="E2795" s="5" t="s">
        <v>271</v>
      </c>
      <c r="F2795" s="5" t="s">
        <v>248</v>
      </c>
      <c r="G2795" s="5" t="s">
        <v>266</v>
      </c>
      <c r="H2795" s="6" t="s">
        <v>1117</v>
      </c>
      <c r="I2795" s="7">
        <f>1091</f>
        <v>1091</v>
      </c>
      <c r="J2795" s="5" t="s">
        <v>262</v>
      </c>
      <c r="K2795" s="8">
        <f>1</f>
        <v>1</v>
      </c>
      <c r="L2795" s="6" t="s">
        <v>242</v>
      </c>
      <c r="M2795" s="5" t="s">
        <v>267</v>
      </c>
      <c r="N2795" s="5" t="s">
        <v>265</v>
      </c>
      <c r="O2795" s="5" t="s">
        <v>238</v>
      </c>
      <c r="P2795" s="5" t="s">
        <v>238</v>
      </c>
      <c r="Q2795" s="5" t="s">
        <v>268</v>
      </c>
      <c r="R2795" s="5" t="s">
        <v>270</v>
      </c>
      <c r="S2795" s="5" t="s">
        <v>238</v>
      </c>
      <c r="V2795" s="5" t="s">
        <v>238</v>
      </c>
      <c r="X2795" s="6" t="s">
        <v>238</v>
      </c>
      <c r="AA2795" s="6" t="s">
        <v>243</v>
      </c>
      <c r="AB2795" s="5" t="s">
        <v>238</v>
      </c>
      <c r="AC2795" s="5" t="s">
        <v>244</v>
      </c>
      <c r="AD2795" s="5" t="s">
        <v>245</v>
      </c>
      <c r="AT2795" s="5" t="s">
        <v>246</v>
      </c>
      <c r="AU2795" s="5" t="s">
        <v>238</v>
      </c>
      <c r="AV2795" s="5" t="s">
        <v>247</v>
      </c>
      <c r="AW2795" s="5" t="s">
        <v>238</v>
      </c>
      <c r="AX2795" s="5" t="s">
        <v>249</v>
      </c>
      <c r="AY2795" s="5" t="s">
        <v>238</v>
      </c>
      <c r="BA2795" s="5" t="s">
        <v>238</v>
      </c>
      <c r="BC2795" s="5" t="s">
        <v>250</v>
      </c>
      <c r="BD2795" s="6" t="s">
        <v>243</v>
      </c>
      <c r="BE2795" s="5" t="s">
        <v>251</v>
      </c>
      <c r="BF2795" s="5" t="s">
        <v>252</v>
      </c>
      <c r="BG2795" s="5" t="s">
        <v>238</v>
      </c>
      <c r="BH2795" s="7">
        <f>0</f>
        <v>0</v>
      </c>
      <c r="BI2795" s="8">
        <f>0</f>
        <v>0</v>
      </c>
      <c r="BJ2795" s="5" t="s">
        <v>253</v>
      </c>
      <c r="BK2795" s="5" t="s">
        <v>254</v>
      </c>
      <c r="BY2795" s="5" t="s">
        <v>238</v>
      </c>
      <c r="BZ2795" s="5" t="s">
        <v>238</v>
      </c>
      <c r="CD2795" s="5" t="s">
        <v>273</v>
      </c>
      <c r="CE2795" s="5" t="s">
        <v>256</v>
      </c>
      <c r="CF2795" s="5" t="s">
        <v>238</v>
      </c>
      <c r="CI2795" s="6" t="s">
        <v>257</v>
      </c>
      <c r="CJ2795" s="5" t="s">
        <v>238</v>
      </c>
      <c r="CK2795" s="5" t="s">
        <v>258</v>
      </c>
      <c r="CL2795" s="5" t="s">
        <v>238</v>
      </c>
      <c r="CM2795" s="5" t="s">
        <v>238</v>
      </c>
      <c r="CN2795" s="5">
        <v>0</v>
      </c>
      <c r="CO2795" s="5" t="s">
        <v>259</v>
      </c>
      <c r="CP2795" s="5" t="s">
        <v>260</v>
      </c>
      <c r="CQ2795" s="5" t="s">
        <v>260</v>
      </c>
      <c r="CR2795" s="5" t="s">
        <v>261</v>
      </c>
      <c r="CU2795" s="8">
        <f>1</f>
        <v>1</v>
      </c>
      <c r="CV2795" s="8">
        <f>0</f>
        <v>0</v>
      </c>
      <c r="CX2795" s="8">
        <f>0</f>
        <v>0</v>
      </c>
      <c r="CY2795" s="8">
        <f>1</f>
        <v>1</v>
      </c>
      <c r="DA2795" s="5" t="s">
        <v>274</v>
      </c>
      <c r="DB2795" s="5" t="s">
        <v>238</v>
      </c>
      <c r="DD2795" s="5" t="s">
        <v>274</v>
      </c>
      <c r="DE2795" s="8">
        <f>1091</f>
        <v>1091</v>
      </c>
      <c r="DG2795" s="5" t="s">
        <v>238</v>
      </c>
      <c r="DH2795" s="5" t="s">
        <v>238</v>
      </c>
      <c r="DI2795" s="5" t="s">
        <v>238</v>
      </c>
      <c r="DJ2795" s="5" t="s">
        <v>238</v>
      </c>
      <c r="DN2795" s="5" t="s">
        <v>238</v>
      </c>
      <c r="DO2795" s="5" t="s">
        <v>238</v>
      </c>
      <c r="DP2795" s="5" t="s">
        <v>238</v>
      </c>
      <c r="DQ2795" s="5" t="s">
        <v>238</v>
      </c>
      <c r="DT2795" s="5" t="s">
        <v>275</v>
      </c>
      <c r="DU2795" s="5" t="s">
        <v>1118</v>
      </c>
      <c r="HM2795" s="5" t="s">
        <v>264</v>
      </c>
    </row>
    <row r="2796" spans="1:221" x14ac:dyDescent="0.4">
      <c r="A2796" s="5">
        <v>4500</v>
      </c>
      <c r="B2796" s="5">
        <v>1</v>
      </c>
      <c r="C2796" s="5">
        <v>1</v>
      </c>
      <c r="D2796" s="5" t="s">
        <v>269</v>
      </c>
      <c r="E2796" s="5" t="s">
        <v>271</v>
      </c>
      <c r="F2796" s="5" t="s">
        <v>248</v>
      </c>
      <c r="G2796" s="5" t="s">
        <v>266</v>
      </c>
      <c r="H2796" s="6" t="s">
        <v>1109</v>
      </c>
      <c r="I2796" s="7">
        <f>1528</f>
        <v>1528</v>
      </c>
      <c r="J2796" s="5" t="s">
        <v>262</v>
      </c>
      <c r="K2796" s="8">
        <f>1</f>
        <v>1</v>
      </c>
      <c r="L2796" s="6" t="s">
        <v>242</v>
      </c>
      <c r="M2796" s="5" t="s">
        <v>267</v>
      </c>
      <c r="N2796" s="5" t="s">
        <v>265</v>
      </c>
      <c r="O2796" s="5" t="s">
        <v>238</v>
      </c>
      <c r="P2796" s="5" t="s">
        <v>238</v>
      </c>
      <c r="Q2796" s="5" t="s">
        <v>268</v>
      </c>
      <c r="R2796" s="5" t="s">
        <v>270</v>
      </c>
      <c r="S2796" s="5" t="s">
        <v>238</v>
      </c>
      <c r="V2796" s="5" t="s">
        <v>238</v>
      </c>
      <c r="X2796" s="6" t="s">
        <v>238</v>
      </c>
      <c r="AA2796" s="6" t="s">
        <v>243</v>
      </c>
      <c r="AB2796" s="5" t="s">
        <v>238</v>
      </c>
      <c r="AC2796" s="5" t="s">
        <v>244</v>
      </c>
      <c r="AD2796" s="5" t="s">
        <v>245</v>
      </c>
      <c r="AT2796" s="5" t="s">
        <v>246</v>
      </c>
      <c r="AU2796" s="5" t="s">
        <v>238</v>
      </c>
      <c r="AV2796" s="5" t="s">
        <v>247</v>
      </c>
      <c r="AW2796" s="5" t="s">
        <v>238</v>
      </c>
      <c r="AX2796" s="5" t="s">
        <v>249</v>
      </c>
      <c r="AY2796" s="5" t="s">
        <v>238</v>
      </c>
      <c r="BA2796" s="5" t="s">
        <v>238</v>
      </c>
      <c r="BC2796" s="5" t="s">
        <v>250</v>
      </c>
      <c r="BD2796" s="6" t="s">
        <v>243</v>
      </c>
      <c r="BE2796" s="5" t="s">
        <v>251</v>
      </c>
      <c r="BF2796" s="5" t="s">
        <v>252</v>
      </c>
      <c r="BG2796" s="5" t="s">
        <v>238</v>
      </c>
      <c r="BH2796" s="7">
        <f>0</f>
        <v>0</v>
      </c>
      <c r="BI2796" s="8">
        <f>0</f>
        <v>0</v>
      </c>
      <c r="BJ2796" s="5" t="s">
        <v>253</v>
      </c>
      <c r="BK2796" s="5" t="s">
        <v>254</v>
      </c>
      <c r="BY2796" s="5" t="s">
        <v>238</v>
      </c>
      <c r="BZ2796" s="5" t="s">
        <v>238</v>
      </c>
      <c r="CD2796" s="5" t="s">
        <v>273</v>
      </c>
      <c r="CE2796" s="5" t="s">
        <v>256</v>
      </c>
      <c r="CF2796" s="5" t="s">
        <v>238</v>
      </c>
      <c r="CI2796" s="6" t="s">
        <v>257</v>
      </c>
      <c r="CJ2796" s="5" t="s">
        <v>238</v>
      </c>
      <c r="CK2796" s="5" t="s">
        <v>258</v>
      </c>
      <c r="CL2796" s="5" t="s">
        <v>238</v>
      </c>
      <c r="CM2796" s="5" t="s">
        <v>238</v>
      </c>
      <c r="CN2796" s="5">
        <v>0</v>
      </c>
      <c r="CO2796" s="5" t="s">
        <v>259</v>
      </c>
      <c r="CP2796" s="5" t="s">
        <v>260</v>
      </c>
      <c r="CQ2796" s="5" t="s">
        <v>260</v>
      </c>
      <c r="CR2796" s="5" t="s">
        <v>261</v>
      </c>
      <c r="CU2796" s="8">
        <f>1</f>
        <v>1</v>
      </c>
      <c r="CV2796" s="8">
        <f>0</f>
        <v>0</v>
      </c>
      <c r="CX2796" s="8">
        <f>0</f>
        <v>0</v>
      </c>
      <c r="CY2796" s="8">
        <f>1</f>
        <v>1</v>
      </c>
      <c r="DA2796" s="5" t="s">
        <v>274</v>
      </c>
      <c r="DB2796" s="5" t="s">
        <v>238</v>
      </c>
      <c r="DD2796" s="5" t="s">
        <v>274</v>
      </c>
      <c r="DE2796" s="8">
        <f>1528</f>
        <v>1528</v>
      </c>
      <c r="DG2796" s="5" t="s">
        <v>238</v>
      </c>
      <c r="DH2796" s="5" t="s">
        <v>238</v>
      </c>
      <c r="DI2796" s="5" t="s">
        <v>238</v>
      </c>
      <c r="DJ2796" s="5" t="s">
        <v>238</v>
      </c>
      <c r="DN2796" s="5" t="s">
        <v>238</v>
      </c>
      <c r="DO2796" s="5" t="s">
        <v>238</v>
      </c>
      <c r="DP2796" s="5" t="s">
        <v>238</v>
      </c>
      <c r="DQ2796" s="5" t="s">
        <v>238</v>
      </c>
      <c r="DT2796" s="5" t="s">
        <v>275</v>
      </c>
      <c r="DU2796" s="5" t="s">
        <v>1110</v>
      </c>
      <c r="HM2796" s="5" t="s">
        <v>264</v>
      </c>
    </row>
    <row r="2797" spans="1:221" x14ac:dyDescent="0.4">
      <c r="A2797" s="5">
        <v>4501</v>
      </c>
      <c r="B2797" s="5">
        <v>1</v>
      </c>
      <c r="C2797" s="5">
        <v>1</v>
      </c>
      <c r="D2797" s="5" t="s">
        <v>269</v>
      </c>
      <c r="E2797" s="5" t="s">
        <v>271</v>
      </c>
      <c r="F2797" s="5" t="s">
        <v>248</v>
      </c>
      <c r="G2797" s="5" t="s">
        <v>266</v>
      </c>
      <c r="H2797" s="6" t="s">
        <v>1105</v>
      </c>
      <c r="I2797" s="7">
        <f>688</f>
        <v>688</v>
      </c>
      <c r="J2797" s="5" t="s">
        <v>262</v>
      </c>
      <c r="K2797" s="8">
        <f>1</f>
        <v>1</v>
      </c>
      <c r="L2797" s="6" t="s">
        <v>242</v>
      </c>
      <c r="M2797" s="5" t="s">
        <v>267</v>
      </c>
      <c r="N2797" s="5" t="s">
        <v>265</v>
      </c>
      <c r="O2797" s="5" t="s">
        <v>238</v>
      </c>
      <c r="P2797" s="5" t="s">
        <v>238</v>
      </c>
      <c r="Q2797" s="5" t="s">
        <v>268</v>
      </c>
      <c r="R2797" s="5" t="s">
        <v>270</v>
      </c>
      <c r="S2797" s="5" t="s">
        <v>238</v>
      </c>
      <c r="V2797" s="5" t="s">
        <v>238</v>
      </c>
      <c r="X2797" s="6" t="s">
        <v>238</v>
      </c>
      <c r="AA2797" s="6" t="s">
        <v>243</v>
      </c>
      <c r="AB2797" s="5" t="s">
        <v>238</v>
      </c>
      <c r="AC2797" s="5" t="s">
        <v>244</v>
      </c>
      <c r="AD2797" s="5" t="s">
        <v>245</v>
      </c>
      <c r="AT2797" s="5" t="s">
        <v>246</v>
      </c>
      <c r="AU2797" s="5" t="s">
        <v>238</v>
      </c>
      <c r="AV2797" s="5" t="s">
        <v>247</v>
      </c>
      <c r="AW2797" s="5" t="s">
        <v>238</v>
      </c>
      <c r="AX2797" s="5" t="s">
        <v>249</v>
      </c>
      <c r="AY2797" s="5" t="s">
        <v>238</v>
      </c>
      <c r="BA2797" s="5" t="s">
        <v>238</v>
      </c>
      <c r="BC2797" s="5" t="s">
        <v>250</v>
      </c>
      <c r="BD2797" s="6" t="s">
        <v>243</v>
      </c>
      <c r="BE2797" s="5" t="s">
        <v>251</v>
      </c>
      <c r="BF2797" s="5" t="s">
        <v>252</v>
      </c>
      <c r="BG2797" s="5" t="s">
        <v>238</v>
      </c>
      <c r="BH2797" s="7">
        <f>0</f>
        <v>0</v>
      </c>
      <c r="BI2797" s="8">
        <f>0</f>
        <v>0</v>
      </c>
      <c r="BJ2797" s="5" t="s">
        <v>253</v>
      </c>
      <c r="BK2797" s="5" t="s">
        <v>254</v>
      </c>
      <c r="BY2797" s="5" t="s">
        <v>238</v>
      </c>
      <c r="BZ2797" s="5" t="s">
        <v>238</v>
      </c>
      <c r="CD2797" s="5" t="s">
        <v>273</v>
      </c>
      <c r="CE2797" s="5" t="s">
        <v>256</v>
      </c>
      <c r="CF2797" s="5" t="s">
        <v>238</v>
      </c>
      <c r="CI2797" s="6" t="s">
        <v>257</v>
      </c>
      <c r="CJ2797" s="5" t="s">
        <v>238</v>
      </c>
      <c r="CK2797" s="5" t="s">
        <v>258</v>
      </c>
      <c r="CL2797" s="5" t="s">
        <v>238</v>
      </c>
      <c r="CM2797" s="5" t="s">
        <v>238</v>
      </c>
      <c r="CN2797" s="5">
        <v>0</v>
      </c>
      <c r="CO2797" s="5" t="s">
        <v>259</v>
      </c>
      <c r="CP2797" s="5" t="s">
        <v>260</v>
      </c>
      <c r="CQ2797" s="5" t="s">
        <v>260</v>
      </c>
      <c r="CR2797" s="5" t="s">
        <v>261</v>
      </c>
      <c r="CU2797" s="8">
        <f>1</f>
        <v>1</v>
      </c>
      <c r="CV2797" s="8">
        <f>0</f>
        <v>0</v>
      </c>
      <c r="CX2797" s="8">
        <f>0</f>
        <v>0</v>
      </c>
      <c r="CY2797" s="8">
        <f>1</f>
        <v>1</v>
      </c>
      <c r="DA2797" s="5" t="s">
        <v>274</v>
      </c>
      <c r="DB2797" s="5" t="s">
        <v>238</v>
      </c>
      <c r="DD2797" s="5" t="s">
        <v>274</v>
      </c>
      <c r="DE2797" s="8">
        <f>688</f>
        <v>688</v>
      </c>
      <c r="DG2797" s="5" t="s">
        <v>238</v>
      </c>
      <c r="DH2797" s="5" t="s">
        <v>238</v>
      </c>
      <c r="DI2797" s="5" t="s">
        <v>238</v>
      </c>
      <c r="DJ2797" s="5" t="s">
        <v>238</v>
      </c>
      <c r="DN2797" s="5" t="s">
        <v>238</v>
      </c>
      <c r="DO2797" s="5" t="s">
        <v>238</v>
      </c>
      <c r="DP2797" s="5" t="s">
        <v>238</v>
      </c>
      <c r="DQ2797" s="5" t="s">
        <v>238</v>
      </c>
      <c r="DT2797" s="5" t="s">
        <v>275</v>
      </c>
      <c r="DU2797" s="5" t="s">
        <v>1106</v>
      </c>
      <c r="HM2797" s="5" t="s">
        <v>264</v>
      </c>
    </row>
    <row r="2798" spans="1:221" x14ac:dyDescent="0.4">
      <c r="A2798" s="5">
        <v>4502</v>
      </c>
      <c r="B2798" s="5">
        <v>1</v>
      </c>
      <c r="C2798" s="5">
        <v>1</v>
      </c>
      <c r="D2798" s="5" t="s">
        <v>269</v>
      </c>
      <c r="E2798" s="5" t="s">
        <v>271</v>
      </c>
      <c r="F2798" s="5" t="s">
        <v>248</v>
      </c>
      <c r="G2798" s="5" t="s">
        <v>266</v>
      </c>
      <c r="H2798" s="6" t="s">
        <v>1095</v>
      </c>
      <c r="I2798" s="7">
        <f>332</f>
        <v>332</v>
      </c>
      <c r="J2798" s="5" t="s">
        <v>262</v>
      </c>
      <c r="K2798" s="8">
        <f>1</f>
        <v>1</v>
      </c>
      <c r="L2798" s="6" t="s">
        <v>242</v>
      </c>
      <c r="M2798" s="5" t="s">
        <v>267</v>
      </c>
      <c r="N2798" s="5" t="s">
        <v>265</v>
      </c>
      <c r="O2798" s="5" t="s">
        <v>238</v>
      </c>
      <c r="P2798" s="5" t="s">
        <v>238</v>
      </c>
      <c r="Q2798" s="5" t="s">
        <v>268</v>
      </c>
      <c r="R2798" s="5" t="s">
        <v>270</v>
      </c>
      <c r="S2798" s="5" t="s">
        <v>238</v>
      </c>
      <c r="V2798" s="5" t="s">
        <v>238</v>
      </c>
      <c r="X2798" s="6" t="s">
        <v>238</v>
      </c>
      <c r="AA2798" s="6" t="s">
        <v>243</v>
      </c>
      <c r="AB2798" s="5" t="s">
        <v>238</v>
      </c>
      <c r="AC2798" s="5" t="s">
        <v>244</v>
      </c>
      <c r="AD2798" s="5" t="s">
        <v>245</v>
      </c>
      <c r="AT2798" s="5" t="s">
        <v>246</v>
      </c>
      <c r="AU2798" s="5" t="s">
        <v>238</v>
      </c>
      <c r="AV2798" s="5" t="s">
        <v>247</v>
      </c>
      <c r="AW2798" s="5" t="s">
        <v>238</v>
      </c>
      <c r="AX2798" s="5" t="s">
        <v>249</v>
      </c>
      <c r="AY2798" s="5" t="s">
        <v>238</v>
      </c>
      <c r="BA2798" s="5" t="s">
        <v>238</v>
      </c>
      <c r="BC2798" s="5" t="s">
        <v>250</v>
      </c>
      <c r="BD2798" s="6" t="s">
        <v>243</v>
      </c>
      <c r="BE2798" s="5" t="s">
        <v>251</v>
      </c>
      <c r="BF2798" s="5" t="s">
        <v>252</v>
      </c>
      <c r="BG2798" s="5" t="s">
        <v>238</v>
      </c>
      <c r="BH2798" s="7">
        <f>0</f>
        <v>0</v>
      </c>
      <c r="BI2798" s="8">
        <f>0</f>
        <v>0</v>
      </c>
      <c r="BJ2798" s="5" t="s">
        <v>253</v>
      </c>
      <c r="BK2798" s="5" t="s">
        <v>254</v>
      </c>
      <c r="BY2798" s="5" t="s">
        <v>238</v>
      </c>
      <c r="BZ2798" s="5" t="s">
        <v>238</v>
      </c>
      <c r="CD2798" s="5" t="s">
        <v>273</v>
      </c>
      <c r="CE2798" s="5" t="s">
        <v>256</v>
      </c>
      <c r="CF2798" s="5" t="s">
        <v>238</v>
      </c>
      <c r="CI2798" s="6" t="s">
        <v>257</v>
      </c>
      <c r="CJ2798" s="5" t="s">
        <v>238</v>
      </c>
      <c r="CK2798" s="5" t="s">
        <v>258</v>
      </c>
      <c r="CL2798" s="5" t="s">
        <v>238</v>
      </c>
      <c r="CM2798" s="5" t="s">
        <v>238</v>
      </c>
      <c r="CN2798" s="5">
        <v>0</v>
      </c>
      <c r="CO2798" s="5" t="s">
        <v>259</v>
      </c>
      <c r="CP2798" s="5" t="s">
        <v>260</v>
      </c>
      <c r="CQ2798" s="5" t="s">
        <v>260</v>
      </c>
      <c r="CR2798" s="5" t="s">
        <v>261</v>
      </c>
      <c r="CU2798" s="8">
        <f>1</f>
        <v>1</v>
      </c>
      <c r="CV2798" s="8">
        <f>0</f>
        <v>0</v>
      </c>
      <c r="CX2798" s="8">
        <f>0</f>
        <v>0</v>
      </c>
      <c r="CY2798" s="8">
        <f>1</f>
        <v>1</v>
      </c>
      <c r="DA2798" s="5" t="s">
        <v>274</v>
      </c>
      <c r="DB2798" s="5" t="s">
        <v>238</v>
      </c>
      <c r="DD2798" s="5" t="s">
        <v>274</v>
      </c>
      <c r="DE2798" s="8">
        <f>332</f>
        <v>332</v>
      </c>
      <c r="DG2798" s="5" t="s">
        <v>238</v>
      </c>
      <c r="DH2798" s="5" t="s">
        <v>238</v>
      </c>
      <c r="DI2798" s="5" t="s">
        <v>238</v>
      </c>
      <c r="DJ2798" s="5" t="s">
        <v>238</v>
      </c>
      <c r="DN2798" s="5" t="s">
        <v>238</v>
      </c>
      <c r="DO2798" s="5" t="s">
        <v>238</v>
      </c>
      <c r="DP2798" s="5" t="s">
        <v>238</v>
      </c>
      <c r="DQ2798" s="5" t="s">
        <v>238</v>
      </c>
      <c r="DT2798" s="5" t="s">
        <v>275</v>
      </c>
      <c r="DU2798" s="5" t="s">
        <v>1096</v>
      </c>
      <c r="HM2798" s="5" t="s">
        <v>264</v>
      </c>
    </row>
    <row r="2799" spans="1:221" x14ac:dyDescent="0.4">
      <c r="A2799" s="5">
        <v>4503</v>
      </c>
      <c r="B2799" s="5">
        <v>1</v>
      </c>
      <c r="C2799" s="5">
        <v>1</v>
      </c>
      <c r="D2799" s="5" t="s">
        <v>269</v>
      </c>
      <c r="E2799" s="5" t="s">
        <v>271</v>
      </c>
      <c r="F2799" s="5" t="s">
        <v>248</v>
      </c>
      <c r="G2799" s="5" t="s">
        <v>266</v>
      </c>
      <c r="H2799" s="6" t="s">
        <v>1091</v>
      </c>
      <c r="I2799" s="7">
        <f>99</f>
        <v>99</v>
      </c>
      <c r="J2799" s="5" t="s">
        <v>262</v>
      </c>
      <c r="K2799" s="8">
        <f>1</f>
        <v>1</v>
      </c>
      <c r="L2799" s="6" t="s">
        <v>242</v>
      </c>
      <c r="M2799" s="5" t="s">
        <v>267</v>
      </c>
      <c r="N2799" s="5" t="s">
        <v>265</v>
      </c>
      <c r="O2799" s="5" t="s">
        <v>238</v>
      </c>
      <c r="P2799" s="5" t="s">
        <v>238</v>
      </c>
      <c r="Q2799" s="5" t="s">
        <v>268</v>
      </c>
      <c r="R2799" s="5" t="s">
        <v>270</v>
      </c>
      <c r="S2799" s="5" t="s">
        <v>238</v>
      </c>
      <c r="V2799" s="5" t="s">
        <v>238</v>
      </c>
      <c r="X2799" s="6" t="s">
        <v>238</v>
      </c>
      <c r="AA2799" s="6" t="s">
        <v>243</v>
      </c>
      <c r="AB2799" s="5" t="s">
        <v>238</v>
      </c>
      <c r="AC2799" s="5" t="s">
        <v>244</v>
      </c>
      <c r="AD2799" s="5" t="s">
        <v>245</v>
      </c>
      <c r="AT2799" s="5" t="s">
        <v>246</v>
      </c>
      <c r="AU2799" s="5" t="s">
        <v>238</v>
      </c>
      <c r="AV2799" s="5" t="s">
        <v>247</v>
      </c>
      <c r="AW2799" s="5" t="s">
        <v>238</v>
      </c>
      <c r="AX2799" s="5" t="s">
        <v>249</v>
      </c>
      <c r="AY2799" s="5" t="s">
        <v>238</v>
      </c>
      <c r="BA2799" s="5" t="s">
        <v>238</v>
      </c>
      <c r="BC2799" s="5" t="s">
        <v>250</v>
      </c>
      <c r="BD2799" s="6" t="s">
        <v>243</v>
      </c>
      <c r="BE2799" s="5" t="s">
        <v>251</v>
      </c>
      <c r="BF2799" s="5" t="s">
        <v>252</v>
      </c>
      <c r="BG2799" s="5" t="s">
        <v>238</v>
      </c>
      <c r="BH2799" s="7">
        <f>0</f>
        <v>0</v>
      </c>
      <c r="BI2799" s="8">
        <f>0</f>
        <v>0</v>
      </c>
      <c r="BJ2799" s="5" t="s">
        <v>253</v>
      </c>
      <c r="BK2799" s="5" t="s">
        <v>254</v>
      </c>
      <c r="BY2799" s="5" t="s">
        <v>238</v>
      </c>
      <c r="BZ2799" s="5" t="s">
        <v>238</v>
      </c>
      <c r="CD2799" s="5" t="s">
        <v>273</v>
      </c>
      <c r="CE2799" s="5" t="s">
        <v>256</v>
      </c>
      <c r="CF2799" s="5" t="s">
        <v>238</v>
      </c>
      <c r="CI2799" s="6" t="s">
        <v>257</v>
      </c>
      <c r="CJ2799" s="5" t="s">
        <v>238</v>
      </c>
      <c r="CK2799" s="5" t="s">
        <v>258</v>
      </c>
      <c r="CL2799" s="5" t="s">
        <v>238</v>
      </c>
      <c r="CM2799" s="5" t="s">
        <v>238</v>
      </c>
      <c r="CN2799" s="5">
        <v>0</v>
      </c>
      <c r="CO2799" s="5" t="s">
        <v>259</v>
      </c>
      <c r="CP2799" s="5" t="s">
        <v>260</v>
      </c>
      <c r="CQ2799" s="5" t="s">
        <v>260</v>
      </c>
      <c r="CR2799" s="5" t="s">
        <v>261</v>
      </c>
      <c r="CU2799" s="8">
        <f>1</f>
        <v>1</v>
      </c>
      <c r="CV2799" s="8">
        <f>0</f>
        <v>0</v>
      </c>
      <c r="CX2799" s="8">
        <f>0</f>
        <v>0</v>
      </c>
      <c r="CY2799" s="8">
        <f>1</f>
        <v>1</v>
      </c>
      <c r="DA2799" s="5" t="s">
        <v>274</v>
      </c>
      <c r="DB2799" s="5" t="s">
        <v>238</v>
      </c>
      <c r="DD2799" s="5" t="s">
        <v>274</v>
      </c>
      <c r="DE2799" s="8">
        <f>99</f>
        <v>99</v>
      </c>
      <c r="DG2799" s="5" t="s">
        <v>238</v>
      </c>
      <c r="DH2799" s="5" t="s">
        <v>238</v>
      </c>
      <c r="DI2799" s="5" t="s">
        <v>238</v>
      </c>
      <c r="DJ2799" s="5" t="s">
        <v>238</v>
      </c>
      <c r="DN2799" s="5" t="s">
        <v>238</v>
      </c>
      <c r="DO2799" s="5" t="s">
        <v>238</v>
      </c>
      <c r="DP2799" s="5" t="s">
        <v>238</v>
      </c>
      <c r="DQ2799" s="5" t="s">
        <v>238</v>
      </c>
      <c r="DT2799" s="5" t="s">
        <v>275</v>
      </c>
      <c r="DU2799" s="5" t="s">
        <v>1092</v>
      </c>
      <c r="HM2799" s="5" t="s">
        <v>264</v>
      </c>
    </row>
    <row r="2800" spans="1:221" x14ac:dyDescent="0.4">
      <c r="A2800" s="5">
        <v>4504</v>
      </c>
      <c r="B2800" s="5">
        <v>1</v>
      </c>
      <c r="C2800" s="5">
        <v>1</v>
      </c>
      <c r="D2800" s="5" t="s">
        <v>269</v>
      </c>
      <c r="E2800" s="5" t="s">
        <v>271</v>
      </c>
      <c r="F2800" s="5" t="s">
        <v>248</v>
      </c>
      <c r="G2800" s="5" t="s">
        <v>266</v>
      </c>
      <c r="H2800" s="6" t="s">
        <v>1079</v>
      </c>
      <c r="I2800" s="7">
        <f>98</f>
        <v>98</v>
      </c>
      <c r="J2800" s="5" t="s">
        <v>262</v>
      </c>
      <c r="K2800" s="8">
        <f>1</f>
        <v>1</v>
      </c>
      <c r="L2800" s="6" t="s">
        <v>242</v>
      </c>
      <c r="M2800" s="5" t="s">
        <v>267</v>
      </c>
      <c r="N2800" s="5" t="s">
        <v>265</v>
      </c>
      <c r="O2800" s="5" t="s">
        <v>238</v>
      </c>
      <c r="P2800" s="5" t="s">
        <v>238</v>
      </c>
      <c r="Q2800" s="5" t="s">
        <v>268</v>
      </c>
      <c r="R2800" s="5" t="s">
        <v>270</v>
      </c>
      <c r="S2800" s="5" t="s">
        <v>238</v>
      </c>
      <c r="V2800" s="5" t="s">
        <v>238</v>
      </c>
      <c r="X2800" s="6" t="s">
        <v>238</v>
      </c>
      <c r="AA2800" s="6" t="s">
        <v>243</v>
      </c>
      <c r="AB2800" s="5" t="s">
        <v>238</v>
      </c>
      <c r="AC2800" s="5" t="s">
        <v>244</v>
      </c>
      <c r="AD2800" s="5" t="s">
        <v>245</v>
      </c>
      <c r="AT2800" s="5" t="s">
        <v>246</v>
      </c>
      <c r="AU2800" s="5" t="s">
        <v>238</v>
      </c>
      <c r="AV2800" s="5" t="s">
        <v>247</v>
      </c>
      <c r="AW2800" s="5" t="s">
        <v>238</v>
      </c>
      <c r="AX2800" s="5" t="s">
        <v>249</v>
      </c>
      <c r="AY2800" s="5" t="s">
        <v>238</v>
      </c>
      <c r="BA2800" s="5" t="s">
        <v>238</v>
      </c>
      <c r="BC2800" s="5" t="s">
        <v>250</v>
      </c>
      <c r="BD2800" s="6" t="s">
        <v>243</v>
      </c>
      <c r="BE2800" s="5" t="s">
        <v>251</v>
      </c>
      <c r="BF2800" s="5" t="s">
        <v>252</v>
      </c>
      <c r="BG2800" s="5" t="s">
        <v>238</v>
      </c>
      <c r="BH2800" s="7">
        <f>0</f>
        <v>0</v>
      </c>
      <c r="BI2800" s="8">
        <f>0</f>
        <v>0</v>
      </c>
      <c r="BJ2800" s="5" t="s">
        <v>253</v>
      </c>
      <c r="BK2800" s="5" t="s">
        <v>254</v>
      </c>
      <c r="BY2800" s="5" t="s">
        <v>238</v>
      </c>
      <c r="BZ2800" s="5" t="s">
        <v>238</v>
      </c>
      <c r="CD2800" s="5" t="s">
        <v>273</v>
      </c>
      <c r="CE2800" s="5" t="s">
        <v>256</v>
      </c>
      <c r="CF2800" s="5" t="s">
        <v>238</v>
      </c>
      <c r="CI2800" s="6" t="s">
        <v>257</v>
      </c>
      <c r="CJ2800" s="5" t="s">
        <v>238</v>
      </c>
      <c r="CK2800" s="5" t="s">
        <v>258</v>
      </c>
      <c r="CL2800" s="5" t="s">
        <v>238</v>
      </c>
      <c r="CM2800" s="5" t="s">
        <v>238</v>
      </c>
      <c r="CN2800" s="5">
        <v>0</v>
      </c>
      <c r="CO2800" s="5" t="s">
        <v>259</v>
      </c>
      <c r="CP2800" s="5" t="s">
        <v>260</v>
      </c>
      <c r="CQ2800" s="5" t="s">
        <v>260</v>
      </c>
      <c r="CR2800" s="5" t="s">
        <v>261</v>
      </c>
      <c r="CU2800" s="8">
        <f>1</f>
        <v>1</v>
      </c>
      <c r="CV2800" s="8">
        <f>0</f>
        <v>0</v>
      </c>
      <c r="CX2800" s="8">
        <f>0</f>
        <v>0</v>
      </c>
      <c r="CY2800" s="8">
        <f>1</f>
        <v>1</v>
      </c>
      <c r="DA2800" s="5" t="s">
        <v>274</v>
      </c>
      <c r="DB2800" s="5" t="s">
        <v>238</v>
      </c>
      <c r="DD2800" s="5" t="s">
        <v>274</v>
      </c>
      <c r="DE2800" s="8">
        <f>98</f>
        <v>98</v>
      </c>
      <c r="DG2800" s="5" t="s">
        <v>238</v>
      </c>
      <c r="DH2800" s="5" t="s">
        <v>238</v>
      </c>
      <c r="DI2800" s="5" t="s">
        <v>238</v>
      </c>
      <c r="DJ2800" s="5" t="s">
        <v>238</v>
      </c>
      <c r="DN2800" s="5" t="s">
        <v>238</v>
      </c>
      <c r="DO2800" s="5" t="s">
        <v>238</v>
      </c>
      <c r="DP2800" s="5" t="s">
        <v>238</v>
      </c>
      <c r="DQ2800" s="5" t="s">
        <v>238</v>
      </c>
      <c r="DT2800" s="5" t="s">
        <v>275</v>
      </c>
      <c r="DU2800" s="5" t="s">
        <v>1080</v>
      </c>
      <c r="HM2800" s="5" t="s">
        <v>264</v>
      </c>
    </row>
    <row r="2801" spans="1:221" x14ac:dyDescent="0.4">
      <c r="A2801" s="5">
        <v>4505</v>
      </c>
      <c r="B2801" s="5">
        <v>1</v>
      </c>
      <c r="C2801" s="5">
        <v>1</v>
      </c>
      <c r="D2801" s="5" t="s">
        <v>269</v>
      </c>
      <c r="E2801" s="5" t="s">
        <v>271</v>
      </c>
      <c r="F2801" s="5" t="s">
        <v>248</v>
      </c>
      <c r="G2801" s="5" t="s">
        <v>266</v>
      </c>
      <c r="H2801" s="6" t="s">
        <v>1073</v>
      </c>
      <c r="I2801" s="7">
        <f>906</f>
        <v>906</v>
      </c>
      <c r="J2801" s="5" t="s">
        <v>262</v>
      </c>
      <c r="K2801" s="8">
        <f>1</f>
        <v>1</v>
      </c>
      <c r="L2801" s="6" t="s">
        <v>242</v>
      </c>
      <c r="M2801" s="5" t="s">
        <v>267</v>
      </c>
      <c r="N2801" s="5" t="s">
        <v>265</v>
      </c>
      <c r="O2801" s="5" t="s">
        <v>238</v>
      </c>
      <c r="P2801" s="5" t="s">
        <v>238</v>
      </c>
      <c r="Q2801" s="5" t="s">
        <v>268</v>
      </c>
      <c r="R2801" s="5" t="s">
        <v>270</v>
      </c>
      <c r="S2801" s="5" t="s">
        <v>238</v>
      </c>
      <c r="V2801" s="5" t="s">
        <v>238</v>
      </c>
      <c r="X2801" s="6" t="s">
        <v>238</v>
      </c>
      <c r="AA2801" s="6" t="s">
        <v>243</v>
      </c>
      <c r="AB2801" s="5" t="s">
        <v>238</v>
      </c>
      <c r="AC2801" s="5" t="s">
        <v>244</v>
      </c>
      <c r="AD2801" s="5" t="s">
        <v>245</v>
      </c>
      <c r="AT2801" s="5" t="s">
        <v>246</v>
      </c>
      <c r="AU2801" s="5" t="s">
        <v>238</v>
      </c>
      <c r="AV2801" s="5" t="s">
        <v>247</v>
      </c>
      <c r="AW2801" s="5" t="s">
        <v>238</v>
      </c>
      <c r="AX2801" s="5" t="s">
        <v>249</v>
      </c>
      <c r="AY2801" s="5" t="s">
        <v>238</v>
      </c>
      <c r="BA2801" s="5" t="s">
        <v>238</v>
      </c>
      <c r="BC2801" s="5" t="s">
        <v>250</v>
      </c>
      <c r="BD2801" s="6" t="s">
        <v>243</v>
      </c>
      <c r="BE2801" s="5" t="s">
        <v>251</v>
      </c>
      <c r="BF2801" s="5" t="s">
        <v>252</v>
      </c>
      <c r="BG2801" s="5" t="s">
        <v>238</v>
      </c>
      <c r="BH2801" s="7">
        <f>0</f>
        <v>0</v>
      </c>
      <c r="BI2801" s="8">
        <f>0</f>
        <v>0</v>
      </c>
      <c r="BJ2801" s="5" t="s">
        <v>253</v>
      </c>
      <c r="BK2801" s="5" t="s">
        <v>254</v>
      </c>
      <c r="BY2801" s="5" t="s">
        <v>238</v>
      </c>
      <c r="BZ2801" s="5" t="s">
        <v>238</v>
      </c>
      <c r="CD2801" s="5" t="s">
        <v>273</v>
      </c>
      <c r="CE2801" s="5" t="s">
        <v>256</v>
      </c>
      <c r="CF2801" s="5" t="s">
        <v>238</v>
      </c>
      <c r="CI2801" s="6" t="s">
        <v>257</v>
      </c>
      <c r="CJ2801" s="5" t="s">
        <v>238</v>
      </c>
      <c r="CK2801" s="5" t="s">
        <v>258</v>
      </c>
      <c r="CL2801" s="5" t="s">
        <v>238</v>
      </c>
      <c r="CM2801" s="5" t="s">
        <v>238</v>
      </c>
      <c r="CN2801" s="5">
        <v>0</v>
      </c>
      <c r="CO2801" s="5" t="s">
        <v>259</v>
      </c>
      <c r="CP2801" s="5" t="s">
        <v>260</v>
      </c>
      <c r="CQ2801" s="5" t="s">
        <v>260</v>
      </c>
      <c r="CR2801" s="5" t="s">
        <v>261</v>
      </c>
      <c r="CU2801" s="8">
        <f>1</f>
        <v>1</v>
      </c>
      <c r="CV2801" s="8">
        <f>0</f>
        <v>0</v>
      </c>
      <c r="CX2801" s="8">
        <f>0</f>
        <v>0</v>
      </c>
      <c r="CY2801" s="8">
        <f>1</f>
        <v>1</v>
      </c>
      <c r="DA2801" s="5" t="s">
        <v>274</v>
      </c>
      <c r="DB2801" s="5" t="s">
        <v>238</v>
      </c>
      <c r="DD2801" s="5" t="s">
        <v>274</v>
      </c>
      <c r="DE2801" s="8">
        <f>906</f>
        <v>906</v>
      </c>
      <c r="DG2801" s="5" t="s">
        <v>238</v>
      </c>
      <c r="DH2801" s="5" t="s">
        <v>238</v>
      </c>
      <c r="DI2801" s="5" t="s">
        <v>238</v>
      </c>
      <c r="DJ2801" s="5" t="s">
        <v>238</v>
      </c>
      <c r="DN2801" s="5" t="s">
        <v>238</v>
      </c>
      <c r="DO2801" s="5" t="s">
        <v>238</v>
      </c>
      <c r="DP2801" s="5" t="s">
        <v>238</v>
      </c>
      <c r="DQ2801" s="5" t="s">
        <v>238</v>
      </c>
      <c r="DT2801" s="5" t="s">
        <v>275</v>
      </c>
      <c r="DU2801" s="5" t="s">
        <v>1074</v>
      </c>
      <c r="HM2801" s="5" t="s">
        <v>264</v>
      </c>
    </row>
    <row r="2802" spans="1:221" x14ac:dyDescent="0.4">
      <c r="A2802" s="5">
        <v>4506</v>
      </c>
      <c r="B2802" s="5">
        <v>1</v>
      </c>
      <c r="C2802" s="5">
        <v>1</v>
      </c>
      <c r="D2802" s="5" t="s">
        <v>269</v>
      </c>
      <c r="E2802" s="5" t="s">
        <v>271</v>
      </c>
      <c r="F2802" s="5" t="s">
        <v>248</v>
      </c>
      <c r="G2802" s="5" t="s">
        <v>266</v>
      </c>
      <c r="H2802" s="6" t="s">
        <v>1065</v>
      </c>
      <c r="I2802" s="7">
        <f>296</f>
        <v>296</v>
      </c>
      <c r="J2802" s="5" t="s">
        <v>262</v>
      </c>
      <c r="K2802" s="8">
        <f>1</f>
        <v>1</v>
      </c>
      <c r="L2802" s="6" t="s">
        <v>242</v>
      </c>
      <c r="M2802" s="5" t="s">
        <v>267</v>
      </c>
      <c r="N2802" s="5" t="s">
        <v>265</v>
      </c>
      <c r="O2802" s="5" t="s">
        <v>238</v>
      </c>
      <c r="P2802" s="5" t="s">
        <v>238</v>
      </c>
      <c r="Q2802" s="5" t="s">
        <v>268</v>
      </c>
      <c r="R2802" s="5" t="s">
        <v>270</v>
      </c>
      <c r="S2802" s="5" t="s">
        <v>238</v>
      </c>
      <c r="V2802" s="5" t="s">
        <v>238</v>
      </c>
      <c r="X2802" s="6" t="s">
        <v>238</v>
      </c>
      <c r="AA2802" s="6" t="s">
        <v>243</v>
      </c>
      <c r="AB2802" s="5" t="s">
        <v>238</v>
      </c>
      <c r="AC2802" s="5" t="s">
        <v>244</v>
      </c>
      <c r="AD2802" s="5" t="s">
        <v>245</v>
      </c>
      <c r="AT2802" s="5" t="s">
        <v>246</v>
      </c>
      <c r="AU2802" s="5" t="s">
        <v>238</v>
      </c>
      <c r="AV2802" s="5" t="s">
        <v>247</v>
      </c>
      <c r="AW2802" s="5" t="s">
        <v>238</v>
      </c>
      <c r="AX2802" s="5" t="s">
        <v>249</v>
      </c>
      <c r="AY2802" s="5" t="s">
        <v>238</v>
      </c>
      <c r="BA2802" s="5" t="s">
        <v>238</v>
      </c>
      <c r="BC2802" s="5" t="s">
        <v>250</v>
      </c>
      <c r="BD2802" s="6" t="s">
        <v>243</v>
      </c>
      <c r="BE2802" s="5" t="s">
        <v>251</v>
      </c>
      <c r="BF2802" s="5" t="s">
        <v>252</v>
      </c>
      <c r="BG2802" s="5" t="s">
        <v>238</v>
      </c>
      <c r="BH2802" s="7">
        <f>0</f>
        <v>0</v>
      </c>
      <c r="BI2802" s="8">
        <f>0</f>
        <v>0</v>
      </c>
      <c r="BJ2802" s="5" t="s">
        <v>253</v>
      </c>
      <c r="BK2802" s="5" t="s">
        <v>254</v>
      </c>
      <c r="BY2802" s="5" t="s">
        <v>238</v>
      </c>
      <c r="BZ2802" s="5" t="s">
        <v>238</v>
      </c>
      <c r="CD2802" s="5" t="s">
        <v>273</v>
      </c>
      <c r="CE2802" s="5" t="s">
        <v>256</v>
      </c>
      <c r="CF2802" s="5" t="s">
        <v>238</v>
      </c>
      <c r="CI2802" s="6" t="s">
        <v>257</v>
      </c>
      <c r="CJ2802" s="5" t="s">
        <v>238</v>
      </c>
      <c r="CK2802" s="5" t="s">
        <v>258</v>
      </c>
      <c r="CL2802" s="5" t="s">
        <v>238</v>
      </c>
      <c r="CM2802" s="5" t="s">
        <v>238</v>
      </c>
      <c r="CN2802" s="5">
        <v>0</v>
      </c>
      <c r="CO2802" s="5" t="s">
        <v>259</v>
      </c>
      <c r="CP2802" s="5" t="s">
        <v>260</v>
      </c>
      <c r="CQ2802" s="5" t="s">
        <v>260</v>
      </c>
      <c r="CR2802" s="5" t="s">
        <v>261</v>
      </c>
      <c r="CU2802" s="8">
        <f>1</f>
        <v>1</v>
      </c>
      <c r="CV2802" s="8">
        <f>0</f>
        <v>0</v>
      </c>
      <c r="CX2802" s="8">
        <f>0</f>
        <v>0</v>
      </c>
      <c r="CY2802" s="8">
        <f>1</f>
        <v>1</v>
      </c>
      <c r="DA2802" s="5" t="s">
        <v>274</v>
      </c>
      <c r="DB2802" s="5" t="s">
        <v>238</v>
      </c>
      <c r="DD2802" s="5" t="s">
        <v>274</v>
      </c>
      <c r="DE2802" s="8">
        <f>296</f>
        <v>296</v>
      </c>
      <c r="DG2802" s="5" t="s">
        <v>238</v>
      </c>
      <c r="DH2802" s="5" t="s">
        <v>238</v>
      </c>
      <c r="DI2802" s="5" t="s">
        <v>238</v>
      </c>
      <c r="DJ2802" s="5" t="s">
        <v>238</v>
      </c>
      <c r="DN2802" s="5" t="s">
        <v>238</v>
      </c>
      <c r="DO2802" s="5" t="s">
        <v>238</v>
      </c>
      <c r="DP2802" s="5" t="s">
        <v>238</v>
      </c>
      <c r="DQ2802" s="5" t="s">
        <v>238</v>
      </c>
      <c r="DT2802" s="5" t="s">
        <v>275</v>
      </c>
      <c r="DU2802" s="5" t="s">
        <v>1066</v>
      </c>
      <c r="HM2802" s="5" t="s">
        <v>264</v>
      </c>
    </row>
    <row r="2803" spans="1:221" x14ac:dyDescent="0.4">
      <c r="A2803" s="5">
        <v>4507</v>
      </c>
      <c r="B2803" s="5">
        <v>1</v>
      </c>
      <c r="C2803" s="5">
        <v>1</v>
      </c>
      <c r="D2803" s="5" t="s">
        <v>269</v>
      </c>
      <c r="E2803" s="5" t="s">
        <v>271</v>
      </c>
      <c r="F2803" s="5" t="s">
        <v>248</v>
      </c>
      <c r="G2803" s="5" t="s">
        <v>266</v>
      </c>
      <c r="H2803" s="6" t="s">
        <v>1061</v>
      </c>
      <c r="I2803" s="7">
        <f>105</f>
        <v>105</v>
      </c>
      <c r="J2803" s="5" t="s">
        <v>262</v>
      </c>
      <c r="K2803" s="8">
        <f>1</f>
        <v>1</v>
      </c>
      <c r="L2803" s="6" t="s">
        <v>242</v>
      </c>
      <c r="M2803" s="5" t="s">
        <v>267</v>
      </c>
      <c r="N2803" s="5" t="s">
        <v>265</v>
      </c>
      <c r="O2803" s="5" t="s">
        <v>238</v>
      </c>
      <c r="P2803" s="5" t="s">
        <v>238</v>
      </c>
      <c r="Q2803" s="5" t="s">
        <v>268</v>
      </c>
      <c r="R2803" s="5" t="s">
        <v>270</v>
      </c>
      <c r="S2803" s="5" t="s">
        <v>238</v>
      </c>
      <c r="V2803" s="5" t="s">
        <v>238</v>
      </c>
      <c r="X2803" s="6" t="s">
        <v>238</v>
      </c>
      <c r="AA2803" s="6" t="s">
        <v>243</v>
      </c>
      <c r="AB2803" s="5" t="s">
        <v>238</v>
      </c>
      <c r="AC2803" s="5" t="s">
        <v>244</v>
      </c>
      <c r="AD2803" s="5" t="s">
        <v>245</v>
      </c>
      <c r="AT2803" s="5" t="s">
        <v>246</v>
      </c>
      <c r="AU2803" s="5" t="s">
        <v>238</v>
      </c>
      <c r="AV2803" s="5" t="s">
        <v>247</v>
      </c>
      <c r="AW2803" s="5" t="s">
        <v>238</v>
      </c>
      <c r="AX2803" s="5" t="s">
        <v>249</v>
      </c>
      <c r="AY2803" s="5" t="s">
        <v>238</v>
      </c>
      <c r="BA2803" s="5" t="s">
        <v>238</v>
      </c>
      <c r="BC2803" s="5" t="s">
        <v>250</v>
      </c>
      <c r="BD2803" s="6" t="s">
        <v>243</v>
      </c>
      <c r="BE2803" s="5" t="s">
        <v>251</v>
      </c>
      <c r="BF2803" s="5" t="s">
        <v>252</v>
      </c>
      <c r="BG2803" s="5" t="s">
        <v>238</v>
      </c>
      <c r="BH2803" s="7">
        <f>0</f>
        <v>0</v>
      </c>
      <c r="BI2803" s="8">
        <f>0</f>
        <v>0</v>
      </c>
      <c r="BJ2803" s="5" t="s">
        <v>253</v>
      </c>
      <c r="BK2803" s="5" t="s">
        <v>254</v>
      </c>
      <c r="BY2803" s="5" t="s">
        <v>238</v>
      </c>
      <c r="BZ2803" s="5" t="s">
        <v>238</v>
      </c>
      <c r="CD2803" s="5" t="s">
        <v>273</v>
      </c>
      <c r="CE2803" s="5" t="s">
        <v>256</v>
      </c>
      <c r="CF2803" s="5" t="s">
        <v>238</v>
      </c>
      <c r="CI2803" s="6" t="s">
        <v>257</v>
      </c>
      <c r="CJ2803" s="5" t="s">
        <v>238</v>
      </c>
      <c r="CK2803" s="5" t="s">
        <v>258</v>
      </c>
      <c r="CL2803" s="5" t="s">
        <v>238</v>
      </c>
      <c r="CM2803" s="5" t="s">
        <v>238</v>
      </c>
      <c r="CN2803" s="5">
        <v>0</v>
      </c>
      <c r="CO2803" s="5" t="s">
        <v>259</v>
      </c>
      <c r="CP2803" s="5" t="s">
        <v>260</v>
      </c>
      <c r="CQ2803" s="5" t="s">
        <v>260</v>
      </c>
      <c r="CR2803" s="5" t="s">
        <v>261</v>
      </c>
      <c r="CU2803" s="8">
        <f>1</f>
        <v>1</v>
      </c>
      <c r="CV2803" s="8">
        <f>0</f>
        <v>0</v>
      </c>
      <c r="CX2803" s="8">
        <f>0</f>
        <v>0</v>
      </c>
      <c r="CY2803" s="8">
        <f>1</f>
        <v>1</v>
      </c>
      <c r="DA2803" s="5" t="s">
        <v>274</v>
      </c>
      <c r="DB2803" s="5" t="s">
        <v>238</v>
      </c>
      <c r="DD2803" s="5" t="s">
        <v>274</v>
      </c>
      <c r="DE2803" s="8">
        <f>105</f>
        <v>105</v>
      </c>
      <c r="DG2803" s="5" t="s">
        <v>238</v>
      </c>
      <c r="DH2803" s="5" t="s">
        <v>238</v>
      </c>
      <c r="DI2803" s="5" t="s">
        <v>238</v>
      </c>
      <c r="DJ2803" s="5" t="s">
        <v>238</v>
      </c>
      <c r="DN2803" s="5" t="s">
        <v>238</v>
      </c>
      <c r="DO2803" s="5" t="s">
        <v>238</v>
      </c>
      <c r="DP2803" s="5" t="s">
        <v>238</v>
      </c>
      <c r="DQ2803" s="5" t="s">
        <v>238</v>
      </c>
      <c r="DT2803" s="5" t="s">
        <v>275</v>
      </c>
      <c r="DU2803" s="5" t="s">
        <v>1062</v>
      </c>
      <c r="HM2803" s="5" t="s">
        <v>264</v>
      </c>
    </row>
    <row r="2804" spans="1:221" x14ac:dyDescent="0.4">
      <c r="A2804" s="5">
        <v>4508</v>
      </c>
      <c r="B2804" s="5">
        <v>1</v>
      </c>
      <c r="C2804" s="5">
        <v>1</v>
      </c>
      <c r="D2804" s="5" t="s">
        <v>269</v>
      </c>
      <c r="E2804" s="5" t="s">
        <v>271</v>
      </c>
      <c r="F2804" s="5" t="s">
        <v>248</v>
      </c>
      <c r="G2804" s="5" t="s">
        <v>266</v>
      </c>
      <c r="H2804" s="6" t="s">
        <v>1052</v>
      </c>
      <c r="I2804" s="7">
        <f>3728</f>
        <v>3728</v>
      </c>
      <c r="J2804" s="5" t="s">
        <v>262</v>
      </c>
      <c r="K2804" s="8">
        <f>1</f>
        <v>1</v>
      </c>
      <c r="L2804" s="6" t="s">
        <v>242</v>
      </c>
      <c r="M2804" s="5" t="s">
        <v>267</v>
      </c>
      <c r="N2804" s="5" t="s">
        <v>265</v>
      </c>
      <c r="O2804" s="5" t="s">
        <v>238</v>
      </c>
      <c r="P2804" s="5" t="s">
        <v>238</v>
      </c>
      <c r="Q2804" s="5" t="s">
        <v>268</v>
      </c>
      <c r="R2804" s="5" t="s">
        <v>270</v>
      </c>
      <c r="S2804" s="5" t="s">
        <v>238</v>
      </c>
      <c r="V2804" s="5" t="s">
        <v>238</v>
      </c>
      <c r="X2804" s="6" t="s">
        <v>238</v>
      </c>
      <c r="AA2804" s="6" t="s">
        <v>243</v>
      </c>
      <c r="AB2804" s="5" t="s">
        <v>238</v>
      </c>
      <c r="AC2804" s="5" t="s">
        <v>244</v>
      </c>
      <c r="AD2804" s="5" t="s">
        <v>245</v>
      </c>
      <c r="AT2804" s="5" t="s">
        <v>246</v>
      </c>
      <c r="AU2804" s="5" t="s">
        <v>238</v>
      </c>
      <c r="AV2804" s="5" t="s">
        <v>247</v>
      </c>
      <c r="AW2804" s="5" t="s">
        <v>238</v>
      </c>
      <c r="AX2804" s="5" t="s">
        <v>249</v>
      </c>
      <c r="AY2804" s="5" t="s">
        <v>238</v>
      </c>
      <c r="BA2804" s="5" t="s">
        <v>238</v>
      </c>
      <c r="BC2804" s="5" t="s">
        <v>250</v>
      </c>
      <c r="BD2804" s="6" t="s">
        <v>243</v>
      </c>
      <c r="BE2804" s="5" t="s">
        <v>251</v>
      </c>
      <c r="BF2804" s="5" t="s">
        <v>252</v>
      </c>
      <c r="BG2804" s="5" t="s">
        <v>238</v>
      </c>
      <c r="BH2804" s="7">
        <f>0</f>
        <v>0</v>
      </c>
      <c r="BI2804" s="8">
        <f>0</f>
        <v>0</v>
      </c>
      <c r="BJ2804" s="5" t="s">
        <v>253</v>
      </c>
      <c r="BK2804" s="5" t="s">
        <v>254</v>
      </c>
      <c r="BY2804" s="5" t="s">
        <v>238</v>
      </c>
      <c r="BZ2804" s="5" t="s">
        <v>238</v>
      </c>
      <c r="CD2804" s="5" t="s">
        <v>273</v>
      </c>
      <c r="CE2804" s="5" t="s">
        <v>256</v>
      </c>
      <c r="CF2804" s="5" t="s">
        <v>238</v>
      </c>
      <c r="CI2804" s="6" t="s">
        <v>257</v>
      </c>
      <c r="CJ2804" s="5" t="s">
        <v>238</v>
      </c>
      <c r="CK2804" s="5" t="s">
        <v>258</v>
      </c>
      <c r="CL2804" s="5" t="s">
        <v>238</v>
      </c>
      <c r="CM2804" s="5" t="s">
        <v>238</v>
      </c>
      <c r="CN2804" s="5">
        <v>0</v>
      </c>
      <c r="CO2804" s="5" t="s">
        <v>259</v>
      </c>
      <c r="CP2804" s="5" t="s">
        <v>260</v>
      </c>
      <c r="CQ2804" s="5" t="s">
        <v>260</v>
      </c>
      <c r="CR2804" s="5" t="s">
        <v>261</v>
      </c>
      <c r="CU2804" s="8">
        <f>1</f>
        <v>1</v>
      </c>
      <c r="CV2804" s="8">
        <f>0</f>
        <v>0</v>
      </c>
      <c r="CX2804" s="8">
        <f>0</f>
        <v>0</v>
      </c>
      <c r="CY2804" s="8">
        <f>1</f>
        <v>1</v>
      </c>
      <c r="DA2804" s="5" t="s">
        <v>274</v>
      </c>
      <c r="DB2804" s="5" t="s">
        <v>238</v>
      </c>
      <c r="DD2804" s="5" t="s">
        <v>274</v>
      </c>
      <c r="DE2804" s="8">
        <f>3728</f>
        <v>3728</v>
      </c>
      <c r="DG2804" s="5" t="s">
        <v>238</v>
      </c>
      <c r="DH2804" s="5" t="s">
        <v>238</v>
      </c>
      <c r="DI2804" s="5" t="s">
        <v>238</v>
      </c>
      <c r="DJ2804" s="5" t="s">
        <v>238</v>
      </c>
      <c r="DN2804" s="5" t="s">
        <v>238</v>
      </c>
      <c r="DO2804" s="5" t="s">
        <v>238</v>
      </c>
      <c r="DP2804" s="5" t="s">
        <v>238</v>
      </c>
      <c r="DQ2804" s="5" t="s">
        <v>238</v>
      </c>
      <c r="DT2804" s="5" t="s">
        <v>275</v>
      </c>
      <c r="DU2804" s="5" t="s">
        <v>1053</v>
      </c>
      <c r="HM2804" s="5" t="s">
        <v>264</v>
      </c>
    </row>
    <row r="2805" spans="1:221" x14ac:dyDescent="0.4">
      <c r="A2805" s="5">
        <v>4509</v>
      </c>
      <c r="B2805" s="5">
        <v>1</v>
      </c>
      <c r="C2805" s="5">
        <v>1</v>
      </c>
      <c r="D2805" s="5" t="s">
        <v>269</v>
      </c>
      <c r="E2805" s="5" t="s">
        <v>271</v>
      </c>
      <c r="F2805" s="5" t="s">
        <v>248</v>
      </c>
      <c r="G2805" s="5" t="s">
        <v>266</v>
      </c>
      <c r="H2805" s="6" t="s">
        <v>1046</v>
      </c>
      <c r="I2805" s="7">
        <f>1058</f>
        <v>1058</v>
      </c>
      <c r="J2805" s="5" t="s">
        <v>262</v>
      </c>
      <c r="K2805" s="8">
        <f>1</f>
        <v>1</v>
      </c>
      <c r="L2805" s="6" t="s">
        <v>242</v>
      </c>
      <c r="M2805" s="5" t="s">
        <v>267</v>
      </c>
      <c r="N2805" s="5" t="s">
        <v>265</v>
      </c>
      <c r="O2805" s="5" t="s">
        <v>238</v>
      </c>
      <c r="P2805" s="5" t="s">
        <v>238</v>
      </c>
      <c r="Q2805" s="5" t="s">
        <v>268</v>
      </c>
      <c r="R2805" s="5" t="s">
        <v>270</v>
      </c>
      <c r="S2805" s="5" t="s">
        <v>238</v>
      </c>
      <c r="V2805" s="5" t="s">
        <v>238</v>
      </c>
      <c r="X2805" s="6" t="s">
        <v>238</v>
      </c>
      <c r="AA2805" s="6" t="s">
        <v>243</v>
      </c>
      <c r="AB2805" s="5" t="s">
        <v>238</v>
      </c>
      <c r="AC2805" s="5" t="s">
        <v>244</v>
      </c>
      <c r="AD2805" s="5" t="s">
        <v>245</v>
      </c>
      <c r="AT2805" s="5" t="s">
        <v>246</v>
      </c>
      <c r="AU2805" s="5" t="s">
        <v>238</v>
      </c>
      <c r="AV2805" s="5" t="s">
        <v>247</v>
      </c>
      <c r="AW2805" s="5" t="s">
        <v>238</v>
      </c>
      <c r="AX2805" s="5" t="s">
        <v>249</v>
      </c>
      <c r="AY2805" s="5" t="s">
        <v>238</v>
      </c>
      <c r="BA2805" s="5" t="s">
        <v>238</v>
      </c>
      <c r="BC2805" s="5" t="s">
        <v>250</v>
      </c>
      <c r="BD2805" s="6" t="s">
        <v>243</v>
      </c>
      <c r="BE2805" s="5" t="s">
        <v>251</v>
      </c>
      <c r="BF2805" s="5" t="s">
        <v>252</v>
      </c>
      <c r="BG2805" s="5" t="s">
        <v>238</v>
      </c>
      <c r="BH2805" s="7">
        <f>0</f>
        <v>0</v>
      </c>
      <c r="BI2805" s="8">
        <f>0</f>
        <v>0</v>
      </c>
      <c r="BJ2805" s="5" t="s">
        <v>253</v>
      </c>
      <c r="BK2805" s="5" t="s">
        <v>254</v>
      </c>
      <c r="BY2805" s="5" t="s">
        <v>238</v>
      </c>
      <c r="BZ2805" s="5" t="s">
        <v>238</v>
      </c>
      <c r="CD2805" s="5" t="s">
        <v>273</v>
      </c>
      <c r="CE2805" s="5" t="s">
        <v>256</v>
      </c>
      <c r="CF2805" s="5" t="s">
        <v>238</v>
      </c>
      <c r="CI2805" s="6" t="s">
        <v>257</v>
      </c>
      <c r="CJ2805" s="5" t="s">
        <v>238</v>
      </c>
      <c r="CK2805" s="5" t="s">
        <v>258</v>
      </c>
      <c r="CL2805" s="5" t="s">
        <v>238</v>
      </c>
      <c r="CM2805" s="5" t="s">
        <v>238</v>
      </c>
      <c r="CN2805" s="5">
        <v>0</v>
      </c>
      <c r="CO2805" s="5" t="s">
        <v>259</v>
      </c>
      <c r="CP2805" s="5" t="s">
        <v>260</v>
      </c>
      <c r="CQ2805" s="5" t="s">
        <v>260</v>
      </c>
      <c r="CR2805" s="5" t="s">
        <v>261</v>
      </c>
      <c r="CU2805" s="8">
        <f>1</f>
        <v>1</v>
      </c>
      <c r="CV2805" s="8">
        <f>0</f>
        <v>0</v>
      </c>
      <c r="CX2805" s="8">
        <f>0</f>
        <v>0</v>
      </c>
      <c r="CY2805" s="8">
        <f>1</f>
        <v>1</v>
      </c>
      <c r="DA2805" s="5" t="s">
        <v>274</v>
      </c>
      <c r="DB2805" s="5" t="s">
        <v>238</v>
      </c>
      <c r="DD2805" s="5" t="s">
        <v>274</v>
      </c>
      <c r="DE2805" s="8">
        <f>1058</f>
        <v>1058</v>
      </c>
      <c r="DG2805" s="5" t="s">
        <v>238</v>
      </c>
      <c r="DH2805" s="5" t="s">
        <v>238</v>
      </c>
      <c r="DI2805" s="5" t="s">
        <v>238</v>
      </c>
      <c r="DJ2805" s="5" t="s">
        <v>238</v>
      </c>
      <c r="DN2805" s="5" t="s">
        <v>238</v>
      </c>
      <c r="DO2805" s="5" t="s">
        <v>238</v>
      </c>
      <c r="DP2805" s="5" t="s">
        <v>238</v>
      </c>
      <c r="DQ2805" s="5" t="s">
        <v>238</v>
      </c>
      <c r="DT2805" s="5" t="s">
        <v>275</v>
      </c>
      <c r="DU2805" s="5" t="s">
        <v>1047</v>
      </c>
      <c r="HM2805" s="5" t="s">
        <v>264</v>
      </c>
    </row>
    <row r="2806" spans="1:221" x14ac:dyDescent="0.4">
      <c r="A2806" s="5">
        <v>4510</v>
      </c>
      <c r="B2806" s="5">
        <v>1</v>
      </c>
      <c r="C2806" s="5">
        <v>1</v>
      </c>
      <c r="D2806" s="5" t="s">
        <v>269</v>
      </c>
      <c r="E2806" s="5" t="s">
        <v>271</v>
      </c>
      <c r="F2806" s="5" t="s">
        <v>248</v>
      </c>
      <c r="G2806" s="5" t="s">
        <v>266</v>
      </c>
      <c r="H2806" s="6" t="s">
        <v>1038</v>
      </c>
      <c r="I2806" s="7">
        <f>75</f>
        <v>75</v>
      </c>
      <c r="J2806" s="5" t="s">
        <v>262</v>
      </c>
      <c r="K2806" s="8">
        <f>1</f>
        <v>1</v>
      </c>
      <c r="L2806" s="6" t="s">
        <v>242</v>
      </c>
      <c r="M2806" s="5" t="s">
        <v>267</v>
      </c>
      <c r="N2806" s="5" t="s">
        <v>265</v>
      </c>
      <c r="O2806" s="5" t="s">
        <v>238</v>
      </c>
      <c r="P2806" s="5" t="s">
        <v>238</v>
      </c>
      <c r="Q2806" s="5" t="s">
        <v>268</v>
      </c>
      <c r="R2806" s="5" t="s">
        <v>270</v>
      </c>
      <c r="S2806" s="5" t="s">
        <v>238</v>
      </c>
      <c r="V2806" s="5" t="s">
        <v>238</v>
      </c>
      <c r="X2806" s="6" t="s">
        <v>238</v>
      </c>
      <c r="AA2806" s="6" t="s">
        <v>243</v>
      </c>
      <c r="AB2806" s="5" t="s">
        <v>238</v>
      </c>
      <c r="AC2806" s="5" t="s">
        <v>244</v>
      </c>
      <c r="AD2806" s="5" t="s">
        <v>245</v>
      </c>
      <c r="AT2806" s="5" t="s">
        <v>246</v>
      </c>
      <c r="AU2806" s="5" t="s">
        <v>238</v>
      </c>
      <c r="AV2806" s="5" t="s">
        <v>247</v>
      </c>
      <c r="AW2806" s="5" t="s">
        <v>238</v>
      </c>
      <c r="AX2806" s="5" t="s">
        <v>249</v>
      </c>
      <c r="AY2806" s="5" t="s">
        <v>238</v>
      </c>
      <c r="BA2806" s="5" t="s">
        <v>238</v>
      </c>
      <c r="BC2806" s="5" t="s">
        <v>250</v>
      </c>
      <c r="BD2806" s="6" t="s">
        <v>243</v>
      </c>
      <c r="BE2806" s="5" t="s">
        <v>251</v>
      </c>
      <c r="BF2806" s="5" t="s">
        <v>252</v>
      </c>
      <c r="BG2806" s="5" t="s">
        <v>238</v>
      </c>
      <c r="BH2806" s="7">
        <f>0</f>
        <v>0</v>
      </c>
      <c r="BI2806" s="8">
        <f>0</f>
        <v>0</v>
      </c>
      <c r="BJ2806" s="5" t="s">
        <v>253</v>
      </c>
      <c r="BK2806" s="5" t="s">
        <v>254</v>
      </c>
      <c r="BY2806" s="5" t="s">
        <v>238</v>
      </c>
      <c r="BZ2806" s="5" t="s">
        <v>238</v>
      </c>
      <c r="CD2806" s="5" t="s">
        <v>273</v>
      </c>
      <c r="CE2806" s="5" t="s">
        <v>256</v>
      </c>
      <c r="CF2806" s="5" t="s">
        <v>238</v>
      </c>
      <c r="CI2806" s="6" t="s">
        <v>257</v>
      </c>
      <c r="CJ2806" s="5" t="s">
        <v>238</v>
      </c>
      <c r="CK2806" s="5" t="s">
        <v>258</v>
      </c>
      <c r="CL2806" s="5" t="s">
        <v>238</v>
      </c>
      <c r="CM2806" s="5" t="s">
        <v>238</v>
      </c>
      <c r="CN2806" s="5">
        <v>0</v>
      </c>
      <c r="CO2806" s="5" t="s">
        <v>259</v>
      </c>
      <c r="CP2806" s="5" t="s">
        <v>260</v>
      </c>
      <c r="CQ2806" s="5" t="s">
        <v>260</v>
      </c>
      <c r="CR2806" s="5" t="s">
        <v>261</v>
      </c>
      <c r="CU2806" s="8">
        <f>1</f>
        <v>1</v>
      </c>
      <c r="CV2806" s="8">
        <f>0</f>
        <v>0</v>
      </c>
      <c r="CX2806" s="8">
        <f>0</f>
        <v>0</v>
      </c>
      <c r="CY2806" s="8">
        <f>1</f>
        <v>1</v>
      </c>
      <c r="DA2806" s="5" t="s">
        <v>274</v>
      </c>
      <c r="DB2806" s="5" t="s">
        <v>238</v>
      </c>
      <c r="DD2806" s="5" t="s">
        <v>274</v>
      </c>
      <c r="DE2806" s="8">
        <f>75</f>
        <v>75</v>
      </c>
      <c r="DG2806" s="5" t="s">
        <v>238</v>
      </c>
      <c r="DH2806" s="5" t="s">
        <v>238</v>
      </c>
      <c r="DI2806" s="5" t="s">
        <v>238</v>
      </c>
      <c r="DJ2806" s="5" t="s">
        <v>238</v>
      </c>
      <c r="DN2806" s="5" t="s">
        <v>238</v>
      </c>
      <c r="DO2806" s="5" t="s">
        <v>238</v>
      </c>
      <c r="DP2806" s="5" t="s">
        <v>238</v>
      </c>
      <c r="DQ2806" s="5" t="s">
        <v>238</v>
      </c>
      <c r="DT2806" s="5" t="s">
        <v>275</v>
      </c>
      <c r="DU2806" s="5" t="s">
        <v>1039</v>
      </c>
      <c r="HM2806" s="5" t="s">
        <v>264</v>
      </c>
    </row>
    <row r="2807" spans="1:221" x14ac:dyDescent="0.4">
      <c r="A2807" s="5">
        <v>4511</v>
      </c>
      <c r="B2807" s="5">
        <v>1</v>
      </c>
      <c r="C2807" s="5">
        <v>1</v>
      </c>
      <c r="D2807" s="5" t="s">
        <v>269</v>
      </c>
      <c r="E2807" s="5" t="s">
        <v>271</v>
      </c>
      <c r="F2807" s="5" t="s">
        <v>248</v>
      </c>
      <c r="G2807" s="5" t="s">
        <v>266</v>
      </c>
      <c r="H2807" s="6" t="s">
        <v>1034</v>
      </c>
      <c r="I2807" s="7">
        <f>126</f>
        <v>126</v>
      </c>
      <c r="J2807" s="5" t="s">
        <v>262</v>
      </c>
      <c r="K2807" s="8">
        <f>1</f>
        <v>1</v>
      </c>
      <c r="L2807" s="6" t="s">
        <v>242</v>
      </c>
      <c r="M2807" s="5" t="s">
        <v>267</v>
      </c>
      <c r="N2807" s="5" t="s">
        <v>265</v>
      </c>
      <c r="O2807" s="5" t="s">
        <v>238</v>
      </c>
      <c r="P2807" s="5" t="s">
        <v>238</v>
      </c>
      <c r="Q2807" s="5" t="s">
        <v>268</v>
      </c>
      <c r="R2807" s="5" t="s">
        <v>270</v>
      </c>
      <c r="S2807" s="5" t="s">
        <v>238</v>
      </c>
      <c r="V2807" s="5" t="s">
        <v>238</v>
      </c>
      <c r="X2807" s="6" t="s">
        <v>238</v>
      </c>
      <c r="AA2807" s="6" t="s">
        <v>243</v>
      </c>
      <c r="AB2807" s="5" t="s">
        <v>238</v>
      </c>
      <c r="AC2807" s="5" t="s">
        <v>244</v>
      </c>
      <c r="AD2807" s="5" t="s">
        <v>245</v>
      </c>
      <c r="AT2807" s="5" t="s">
        <v>246</v>
      </c>
      <c r="AU2807" s="5" t="s">
        <v>238</v>
      </c>
      <c r="AV2807" s="5" t="s">
        <v>247</v>
      </c>
      <c r="AW2807" s="5" t="s">
        <v>238</v>
      </c>
      <c r="AX2807" s="5" t="s">
        <v>249</v>
      </c>
      <c r="AY2807" s="5" t="s">
        <v>238</v>
      </c>
      <c r="BA2807" s="5" t="s">
        <v>238</v>
      </c>
      <c r="BC2807" s="5" t="s">
        <v>250</v>
      </c>
      <c r="BD2807" s="6" t="s">
        <v>243</v>
      </c>
      <c r="BE2807" s="5" t="s">
        <v>251</v>
      </c>
      <c r="BF2807" s="5" t="s">
        <v>252</v>
      </c>
      <c r="BG2807" s="5" t="s">
        <v>238</v>
      </c>
      <c r="BH2807" s="7">
        <f>0</f>
        <v>0</v>
      </c>
      <c r="BI2807" s="8">
        <f>0</f>
        <v>0</v>
      </c>
      <c r="BJ2807" s="5" t="s">
        <v>253</v>
      </c>
      <c r="BK2807" s="5" t="s">
        <v>254</v>
      </c>
      <c r="BY2807" s="5" t="s">
        <v>238</v>
      </c>
      <c r="BZ2807" s="5" t="s">
        <v>238</v>
      </c>
      <c r="CD2807" s="5" t="s">
        <v>273</v>
      </c>
      <c r="CE2807" s="5" t="s">
        <v>256</v>
      </c>
      <c r="CF2807" s="5" t="s">
        <v>238</v>
      </c>
      <c r="CI2807" s="6" t="s">
        <v>257</v>
      </c>
      <c r="CJ2807" s="5" t="s">
        <v>238</v>
      </c>
      <c r="CK2807" s="5" t="s">
        <v>258</v>
      </c>
      <c r="CL2807" s="5" t="s">
        <v>238</v>
      </c>
      <c r="CM2807" s="5" t="s">
        <v>238</v>
      </c>
      <c r="CN2807" s="5">
        <v>0</v>
      </c>
      <c r="CO2807" s="5" t="s">
        <v>259</v>
      </c>
      <c r="CP2807" s="5" t="s">
        <v>260</v>
      </c>
      <c r="CQ2807" s="5" t="s">
        <v>260</v>
      </c>
      <c r="CR2807" s="5" t="s">
        <v>261</v>
      </c>
      <c r="CU2807" s="8">
        <f>1</f>
        <v>1</v>
      </c>
      <c r="CV2807" s="8">
        <f>0</f>
        <v>0</v>
      </c>
      <c r="CX2807" s="8">
        <f>0</f>
        <v>0</v>
      </c>
      <c r="CY2807" s="8">
        <f>1</f>
        <v>1</v>
      </c>
      <c r="DA2807" s="5" t="s">
        <v>274</v>
      </c>
      <c r="DB2807" s="5" t="s">
        <v>238</v>
      </c>
      <c r="DD2807" s="5" t="s">
        <v>274</v>
      </c>
      <c r="DE2807" s="8">
        <f>126</f>
        <v>126</v>
      </c>
      <c r="DG2807" s="5" t="s">
        <v>238</v>
      </c>
      <c r="DH2807" s="5" t="s">
        <v>238</v>
      </c>
      <c r="DI2807" s="5" t="s">
        <v>238</v>
      </c>
      <c r="DJ2807" s="5" t="s">
        <v>238</v>
      </c>
      <c r="DN2807" s="5" t="s">
        <v>238</v>
      </c>
      <c r="DO2807" s="5" t="s">
        <v>238</v>
      </c>
      <c r="DP2807" s="5" t="s">
        <v>238</v>
      </c>
      <c r="DQ2807" s="5" t="s">
        <v>238</v>
      </c>
      <c r="DT2807" s="5" t="s">
        <v>275</v>
      </c>
      <c r="DU2807" s="5" t="s">
        <v>1035</v>
      </c>
      <c r="HM2807" s="5" t="s">
        <v>264</v>
      </c>
    </row>
    <row r="2808" spans="1:221" x14ac:dyDescent="0.4">
      <c r="A2808" s="5">
        <v>4512</v>
      </c>
      <c r="B2808" s="5">
        <v>1</v>
      </c>
      <c r="C2808" s="5">
        <v>1</v>
      </c>
      <c r="D2808" s="5" t="s">
        <v>269</v>
      </c>
      <c r="E2808" s="5" t="s">
        <v>271</v>
      </c>
      <c r="F2808" s="5" t="s">
        <v>248</v>
      </c>
      <c r="G2808" s="5" t="s">
        <v>266</v>
      </c>
      <c r="H2808" s="6" t="s">
        <v>1026</v>
      </c>
      <c r="I2808" s="7">
        <f>2146</f>
        <v>2146</v>
      </c>
      <c r="J2808" s="5" t="s">
        <v>262</v>
      </c>
      <c r="K2808" s="8">
        <f>1</f>
        <v>1</v>
      </c>
      <c r="L2808" s="6" t="s">
        <v>242</v>
      </c>
      <c r="M2808" s="5" t="s">
        <v>267</v>
      </c>
      <c r="N2808" s="5" t="s">
        <v>265</v>
      </c>
      <c r="O2808" s="5" t="s">
        <v>238</v>
      </c>
      <c r="P2808" s="5" t="s">
        <v>238</v>
      </c>
      <c r="Q2808" s="5" t="s">
        <v>268</v>
      </c>
      <c r="R2808" s="5" t="s">
        <v>270</v>
      </c>
      <c r="S2808" s="5" t="s">
        <v>238</v>
      </c>
      <c r="V2808" s="5" t="s">
        <v>238</v>
      </c>
      <c r="X2808" s="6" t="s">
        <v>238</v>
      </c>
      <c r="AA2808" s="6" t="s">
        <v>243</v>
      </c>
      <c r="AB2808" s="5" t="s">
        <v>238</v>
      </c>
      <c r="AC2808" s="5" t="s">
        <v>244</v>
      </c>
      <c r="AD2808" s="5" t="s">
        <v>245</v>
      </c>
      <c r="AT2808" s="5" t="s">
        <v>246</v>
      </c>
      <c r="AU2808" s="5" t="s">
        <v>238</v>
      </c>
      <c r="AV2808" s="5" t="s">
        <v>247</v>
      </c>
      <c r="AW2808" s="5" t="s">
        <v>238</v>
      </c>
      <c r="AX2808" s="5" t="s">
        <v>249</v>
      </c>
      <c r="AY2808" s="5" t="s">
        <v>238</v>
      </c>
      <c r="BA2808" s="5" t="s">
        <v>238</v>
      </c>
      <c r="BC2808" s="5" t="s">
        <v>250</v>
      </c>
      <c r="BD2808" s="6" t="s">
        <v>243</v>
      </c>
      <c r="BE2808" s="5" t="s">
        <v>251</v>
      </c>
      <c r="BF2808" s="5" t="s">
        <v>252</v>
      </c>
      <c r="BG2808" s="5" t="s">
        <v>238</v>
      </c>
      <c r="BH2808" s="7">
        <f>0</f>
        <v>0</v>
      </c>
      <c r="BI2808" s="8">
        <f>0</f>
        <v>0</v>
      </c>
      <c r="BJ2808" s="5" t="s">
        <v>253</v>
      </c>
      <c r="BK2808" s="5" t="s">
        <v>254</v>
      </c>
      <c r="BY2808" s="5" t="s">
        <v>238</v>
      </c>
      <c r="BZ2808" s="5" t="s">
        <v>238</v>
      </c>
      <c r="CD2808" s="5" t="s">
        <v>273</v>
      </c>
      <c r="CE2808" s="5" t="s">
        <v>256</v>
      </c>
      <c r="CF2808" s="5" t="s">
        <v>238</v>
      </c>
      <c r="CI2808" s="6" t="s">
        <v>257</v>
      </c>
      <c r="CJ2808" s="5" t="s">
        <v>238</v>
      </c>
      <c r="CK2808" s="5" t="s">
        <v>258</v>
      </c>
      <c r="CL2808" s="5" t="s">
        <v>238</v>
      </c>
      <c r="CM2808" s="5" t="s">
        <v>238</v>
      </c>
      <c r="CN2808" s="5">
        <v>0</v>
      </c>
      <c r="CO2808" s="5" t="s">
        <v>259</v>
      </c>
      <c r="CP2808" s="5" t="s">
        <v>260</v>
      </c>
      <c r="CQ2808" s="5" t="s">
        <v>260</v>
      </c>
      <c r="CR2808" s="5" t="s">
        <v>261</v>
      </c>
      <c r="CU2808" s="8">
        <f>1</f>
        <v>1</v>
      </c>
      <c r="CV2808" s="8">
        <f>0</f>
        <v>0</v>
      </c>
      <c r="CX2808" s="8">
        <f>0</f>
        <v>0</v>
      </c>
      <c r="CY2808" s="8">
        <f>1</f>
        <v>1</v>
      </c>
      <c r="DA2808" s="5" t="s">
        <v>274</v>
      </c>
      <c r="DB2808" s="5" t="s">
        <v>238</v>
      </c>
      <c r="DD2808" s="5" t="s">
        <v>274</v>
      </c>
      <c r="DE2808" s="8">
        <f>2146</f>
        <v>2146</v>
      </c>
      <c r="DG2808" s="5" t="s">
        <v>238</v>
      </c>
      <c r="DH2808" s="5" t="s">
        <v>238</v>
      </c>
      <c r="DI2808" s="5" t="s">
        <v>238</v>
      </c>
      <c r="DJ2808" s="5" t="s">
        <v>238</v>
      </c>
      <c r="DN2808" s="5" t="s">
        <v>238</v>
      </c>
      <c r="DO2808" s="5" t="s">
        <v>238</v>
      </c>
      <c r="DP2808" s="5" t="s">
        <v>238</v>
      </c>
      <c r="DQ2808" s="5" t="s">
        <v>238</v>
      </c>
      <c r="DT2808" s="5" t="s">
        <v>275</v>
      </c>
      <c r="DU2808" s="5" t="s">
        <v>1027</v>
      </c>
      <c r="HM2808" s="5" t="s">
        <v>264</v>
      </c>
    </row>
    <row r="2809" spans="1:221" x14ac:dyDescent="0.4">
      <c r="A2809" s="5">
        <v>4513</v>
      </c>
      <c r="B2809" s="5">
        <v>1</v>
      </c>
      <c r="C2809" s="5">
        <v>1</v>
      </c>
      <c r="D2809" s="5" t="s">
        <v>269</v>
      </c>
      <c r="E2809" s="5" t="s">
        <v>271</v>
      </c>
      <c r="F2809" s="5" t="s">
        <v>248</v>
      </c>
      <c r="G2809" s="5" t="s">
        <v>266</v>
      </c>
      <c r="H2809" s="6" t="s">
        <v>1022</v>
      </c>
      <c r="I2809" s="7">
        <f>2084</f>
        <v>2084</v>
      </c>
      <c r="J2809" s="5" t="s">
        <v>262</v>
      </c>
      <c r="K2809" s="8">
        <f>1</f>
        <v>1</v>
      </c>
      <c r="L2809" s="6" t="s">
        <v>242</v>
      </c>
      <c r="M2809" s="5" t="s">
        <v>267</v>
      </c>
      <c r="N2809" s="5" t="s">
        <v>265</v>
      </c>
      <c r="O2809" s="5" t="s">
        <v>238</v>
      </c>
      <c r="P2809" s="5" t="s">
        <v>238</v>
      </c>
      <c r="Q2809" s="5" t="s">
        <v>268</v>
      </c>
      <c r="R2809" s="5" t="s">
        <v>270</v>
      </c>
      <c r="S2809" s="5" t="s">
        <v>238</v>
      </c>
      <c r="V2809" s="5" t="s">
        <v>238</v>
      </c>
      <c r="X2809" s="6" t="s">
        <v>238</v>
      </c>
      <c r="AA2809" s="6" t="s">
        <v>243</v>
      </c>
      <c r="AB2809" s="5" t="s">
        <v>238</v>
      </c>
      <c r="AC2809" s="5" t="s">
        <v>244</v>
      </c>
      <c r="AD2809" s="5" t="s">
        <v>245</v>
      </c>
      <c r="AT2809" s="5" t="s">
        <v>246</v>
      </c>
      <c r="AU2809" s="5" t="s">
        <v>238</v>
      </c>
      <c r="AV2809" s="5" t="s">
        <v>247</v>
      </c>
      <c r="AW2809" s="5" t="s">
        <v>238</v>
      </c>
      <c r="AX2809" s="5" t="s">
        <v>249</v>
      </c>
      <c r="AY2809" s="5" t="s">
        <v>238</v>
      </c>
      <c r="BA2809" s="5" t="s">
        <v>238</v>
      </c>
      <c r="BC2809" s="5" t="s">
        <v>250</v>
      </c>
      <c r="BD2809" s="6" t="s">
        <v>243</v>
      </c>
      <c r="BE2809" s="5" t="s">
        <v>251</v>
      </c>
      <c r="BF2809" s="5" t="s">
        <v>252</v>
      </c>
      <c r="BG2809" s="5" t="s">
        <v>238</v>
      </c>
      <c r="BH2809" s="7">
        <f>0</f>
        <v>0</v>
      </c>
      <c r="BI2809" s="8">
        <f>0</f>
        <v>0</v>
      </c>
      <c r="BJ2809" s="5" t="s">
        <v>253</v>
      </c>
      <c r="BK2809" s="5" t="s">
        <v>254</v>
      </c>
      <c r="BY2809" s="5" t="s">
        <v>238</v>
      </c>
      <c r="BZ2809" s="5" t="s">
        <v>238</v>
      </c>
      <c r="CD2809" s="5" t="s">
        <v>273</v>
      </c>
      <c r="CE2809" s="5" t="s">
        <v>256</v>
      </c>
      <c r="CF2809" s="5" t="s">
        <v>238</v>
      </c>
      <c r="CI2809" s="6" t="s">
        <v>257</v>
      </c>
      <c r="CJ2809" s="5" t="s">
        <v>238</v>
      </c>
      <c r="CK2809" s="5" t="s">
        <v>258</v>
      </c>
      <c r="CL2809" s="5" t="s">
        <v>238</v>
      </c>
      <c r="CM2809" s="5" t="s">
        <v>238</v>
      </c>
      <c r="CN2809" s="5">
        <v>0</v>
      </c>
      <c r="CO2809" s="5" t="s">
        <v>259</v>
      </c>
      <c r="CP2809" s="5" t="s">
        <v>260</v>
      </c>
      <c r="CQ2809" s="5" t="s">
        <v>260</v>
      </c>
      <c r="CR2809" s="5" t="s">
        <v>261</v>
      </c>
      <c r="CU2809" s="8">
        <f>1</f>
        <v>1</v>
      </c>
      <c r="CV2809" s="8">
        <f>0</f>
        <v>0</v>
      </c>
      <c r="CX2809" s="8">
        <f>0</f>
        <v>0</v>
      </c>
      <c r="CY2809" s="8">
        <f>1</f>
        <v>1</v>
      </c>
      <c r="DA2809" s="5" t="s">
        <v>274</v>
      </c>
      <c r="DB2809" s="5" t="s">
        <v>238</v>
      </c>
      <c r="DD2809" s="5" t="s">
        <v>274</v>
      </c>
      <c r="DE2809" s="8">
        <f>2084</f>
        <v>2084</v>
      </c>
      <c r="DG2809" s="5" t="s">
        <v>238</v>
      </c>
      <c r="DH2809" s="5" t="s">
        <v>238</v>
      </c>
      <c r="DI2809" s="5" t="s">
        <v>238</v>
      </c>
      <c r="DJ2809" s="5" t="s">
        <v>238</v>
      </c>
      <c r="DN2809" s="5" t="s">
        <v>238</v>
      </c>
      <c r="DO2809" s="5" t="s">
        <v>238</v>
      </c>
      <c r="DP2809" s="5" t="s">
        <v>238</v>
      </c>
      <c r="DQ2809" s="5" t="s">
        <v>238</v>
      </c>
      <c r="DT2809" s="5" t="s">
        <v>275</v>
      </c>
      <c r="DU2809" s="5" t="s">
        <v>1023</v>
      </c>
      <c r="HM2809" s="5" t="s">
        <v>264</v>
      </c>
    </row>
    <row r="2810" spans="1:221" x14ac:dyDescent="0.4">
      <c r="A2810" s="5">
        <v>4514</v>
      </c>
      <c r="B2810" s="5">
        <v>1</v>
      </c>
      <c r="C2810" s="5">
        <v>1</v>
      </c>
      <c r="D2810" s="5" t="s">
        <v>269</v>
      </c>
      <c r="E2810" s="5" t="s">
        <v>271</v>
      </c>
      <c r="F2810" s="5" t="s">
        <v>248</v>
      </c>
      <c r="G2810" s="5" t="s">
        <v>266</v>
      </c>
      <c r="H2810" s="6" t="s">
        <v>1014</v>
      </c>
      <c r="I2810" s="7">
        <f>1174</f>
        <v>1174</v>
      </c>
      <c r="J2810" s="5" t="s">
        <v>262</v>
      </c>
      <c r="K2810" s="8">
        <f>1</f>
        <v>1</v>
      </c>
      <c r="L2810" s="6" t="s">
        <v>242</v>
      </c>
      <c r="M2810" s="5" t="s">
        <v>267</v>
      </c>
      <c r="N2810" s="5" t="s">
        <v>265</v>
      </c>
      <c r="O2810" s="5" t="s">
        <v>238</v>
      </c>
      <c r="P2810" s="5" t="s">
        <v>238</v>
      </c>
      <c r="Q2810" s="5" t="s">
        <v>268</v>
      </c>
      <c r="R2810" s="5" t="s">
        <v>270</v>
      </c>
      <c r="S2810" s="5" t="s">
        <v>238</v>
      </c>
      <c r="V2810" s="5" t="s">
        <v>238</v>
      </c>
      <c r="X2810" s="6" t="s">
        <v>238</v>
      </c>
      <c r="AA2810" s="6" t="s">
        <v>243</v>
      </c>
      <c r="AB2810" s="5" t="s">
        <v>238</v>
      </c>
      <c r="AC2810" s="5" t="s">
        <v>244</v>
      </c>
      <c r="AD2810" s="5" t="s">
        <v>245</v>
      </c>
      <c r="AT2810" s="5" t="s">
        <v>246</v>
      </c>
      <c r="AU2810" s="5" t="s">
        <v>238</v>
      </c>
      <c r="AV2810" s="5" t="s">
        <v>247</v>
      </c>
      <c r="AW2810" s="5" t="s">
        <v>238</v>
      </c>
      <c r="AX2810" s="5" t="s">
        <v>249</v>
      </c>
      <c r="AY2810" s="5" t="s">
        <v>238</v>
      </c>
      <c r="BA2810" s="5" t="s">
        <v>238</v>
      </c>
      <c r="BC2810" s="5" t="s">
        <v>250</v>
      </c>
      <c r="BD2810" s="6" t="s">
        <v>243</v>
      </c>
      <c r="BE2810" s="5" t="s">
        <v>251</v>
      </c>
      <c r="BF2810" s="5" t="s">
        <v>252</v>
      </c>
      <c r="BG2810" s="5" t="s">
        <v>238</v>
      </c>
      <c r="BH2810" s="7">
        <f>0</f>
        <v>0</v>
      </c>
      <c r="BI2810" s="8">
        <f>0</f>
        <v>0</v>
      </c>
      <c r="BJ2810" s="5" t="s">
        <v>253</v>
      </c>
      <c r="BK2810" s="5" t="s">
        <v>254</v>
      </c>
      <c r="BY2810" s="5" t="s">
        <v>238</v>
      </c>
      <c r="BZ2810" s="5" t="s">
        <v>238</v>
      </c>
      <c r="CD2810" s="5" t="s">
        <v>273</v>
      </c>
      <c r="CE2810" s="5" t="s">
        <v>256</v>
      </c>
      <c r="CF2810" s="5" t="s">
        <v>238</v>
      </c>
      <c r="CI2810" s="6" t="s">
        <v>257</v>
      </c>
      <c r="CJ2810" s="5" t="s">
        <v>238</v>
      </c>
      <c r="CK2810" s="5" t="s">
        <v>258</v>
      </c>
      <c r="CL2810" s="5" t="s">
        <v>238</v>
      </c>
      <c r="CM2810" s="5" t="s">
        <v>238</v>
      </c>
      <c r="CN2810" s="5">
        <v>0</v>
      </c>
      <c r="CO2810" s="5" t="s">
        <v>259</v>
      </c>
      <c r="CP2810" s="5" t="s">
        <v>260</v>
      </c>
      <c r="CQ2810" s="5" t="s">
        <v>260</v>
      </c>
      <c r="CR2810" s="5" t="s">
        <v>261</v>
      </c>
      <c r="CU2810" s="8">
        <f>1</f>
        <v>1</v>
      </c>
      <c r="CV2810" s="8">
        <f>0</f>
        <v>0</v>
      </c>
      <c r="CX2810" s="8">
        <f>0</f>
        <v>0</v>
      </c>
      <c r="CY2810" s="8">
        <f>1</f>
        <v>1</v>
      </c>
      <c r="DA2810" s="5" t="s">
        <v>274</v>
      </c>
      <c r="DB2810" s="5" t="s">
        <v>238</v>
      </c>
      <c r="DD2810" s="5" t="s">
        <v>274</v>
      </c>
      <c r="DE2810" s="8">
        <f>1174</f>
        <v>1174</v>
      </c>
      <c r="DG2810" s="5" t="s">
        <v>238</v>
      </c>
      <c r="DH2810" s="5" t="s">
        <v>238</v>
      </c>
      <c r="DI2810" s="5" t="s">
        <v>238</v>
      </c>
      <c r="DJ2810" s="5" t="s">
        <v>238</v>
      </c>
      <c r="DN2810" s="5" t="s">
        <v>238</v>
      </c>
      <c r="DO2810" s="5" t="s">
        <v>238</v>
      </c>
      <c r="DP2810" s="5" t="s">
        <v>238</v>
      </c>
      <c r="DQ2810" s="5" t="s">
        <v>238</v>
      </c>
      <c r="DT2810" s="5" t="s">
        <v>275</v>
      </c>
      <c r="DU2810" s="5" t="s">
        <v>1015</v>
      </c>
      <c r="HM2810" s="5" t="s">
        <v>264</v>
      </c>
    </row>
    <row r="2811" spans="1:221" x14ac:dyDescent="0.4">
      <c r="A2811" s="5">
        <v>4515</v>
      </c>
      <c r="B2811" s="5">
        <v>1</v>
      </c>
      <c r="C2811" s="5">
        <v>1</v>
      </c>
      <c r="D2811" s="5" t="s">
        <v>269</v>
      </c>
      <c r="E2811" s="5" t="s">
        <v>271</v>
      </c>
      <c r="F2811" s="5" t="s">
        <v>248</v>
      </c>
      <c r="G2811" s="5" t="s">
        <v>266</v>
      </c>
      <c r="H2811" s="6" t="s">
        <v>1010</v>
      </c>
      <c r="I2811" s="7">
        <f>152</f>
        <v>152</v>
      </c>
      <c r="J2811" s="5" t="s">
        <v>262</v>
      </c>
      <c r="K2811" s="8">
        <f>1</f>
        <v>1</v>
      </c>
      <c r="L2811" s="6" t="s">
        <v>242</v>
      </c>
      <c r="M2811" s="5" t="s">
        <v>267</v>
      </c>
      <c r="N2811" s="5" t="s">
        <v>265</v>
      </c>
      <c r="O2811" s="5" t="s">
        <v>238</v>
      </c>
      <c r="P2811" s="5" t="s">
        <v>238</v>
      </c>
      <c r="Q2811" s="5" t="s">
        <v>268</v>
      </c>
      <c r="R2811" s="5" t="s">
        <v>270</v>
      </c>
      <c r="S2811" s="5" t="s">
        <v>238</v>
      </c>
      <c r="V2811" s="5" t="s">
        <v>238</v>
      </c>
      <c r="X2811" s="6" t="s">
        <v>238</v>
      </c>
      <c r="AA2811" s="6" t="s">
        <v>243</v>
      </c>
      <c r="AB2811" s="5" t="s">
        <v>238</v>
      </c>
      <c r="AC2811" s="5" t="s">
        <v>244</v>
      </c>
      <c r="AD2811" s="5" t="s">
        <v>245</v>
      </c>
      <c r="AT2811" s="5" t="s">
        <v>246</v>
      </c>
      <c r="AU2811" s="5" t="s">
        <v>238</v>
      </c>
      <c r="AV2811" s="5" t="s">
        <v>247</v>
      </c>
      <c r="AW2811" s="5" t="s">
        <v>238</v>
      </c>
      <c r="AX2811" s="5" t="s">
        <v>249</v>
      </c>
      <c r="AY2811" s="5" t="s">
        <v>238</v>
      </c>
      <c r="BA2811" s="5" t="s">
        <v>238</v>
      </c>
      <c r="BC2811" s="5" t="s">
        <v>250</v>
      </c>
      <c r="BD2811" s="6" t="s">
        <v>243</v>
      </c>
      <c r="BE2811" s="5" t="s">
        <v>251</v>
      </c>
      <c r="BF2811" s="5" t="s">
        <v>252</v>
      </c>
      <c r="BG2811" s="5" t="s">
        <v>238</v>
      </c>
      <c r="BH2811" s="7">
        <f>0</f>
        <v>0</v>
      </c>
      <c r="BI2811" s="8">
        <f>0</f>
        <v>0</v>
      </c>
      <c r="BJ2811" s="5" t="s">
        <v>253</v>
      </c>
      <c r="BK2811" s="5" t="s">
        <v>254</v>
      </c>
      <c r="BY2811" s="5" t="s">
        <v>238</v>
      </c>
      <c r="BZ2811" s="5" t="s">
        <v>238</v>
      </c>
      <c r="CD2811" s="5" t="s">
        <v>273</v>
      </c>
      <c r="CE2811" s="5" t="s">
        <v>256</v>
      </c>
      <c r="CF2811" s="5" t="s">
        <v>238</v>
      </c>
      <c r="CI2811" s="6" t="s">
        <v>257</v>
      </c>
      <c r="CJ2811" s="5" t="s">
        <v>238</v>
      </c>
      <c r="CK2811" s="5" t="s">
        <v>258</v>
      </c>
      <c r="CL2811" s="5" t="s">
        <v>238</v>
      </c>
      <c r="CM2811" s="5" t="s">
        <v>238</v>
      </c>
      <c r="CN2811" s="5">
        <v>0</v>
      </c>
      <c r="CO2811" s="5" t="s">
        <v>259</v>
      </c>
      <c r="CP2811" s="5" t="s">
        <v>260</v>
      </c>
      <c r="CQ2811" s="5" t="s">
        <v>260</v>
      </c>
      <c r="CR2811" s="5" t="s">
        <v>261</v>
      </c>
      <c r="CU2811" s="8">
        <f>1</f>
        <v>1</v>
      </c>
      <c r="CV2811" s="8">
        <f>0</f>
        <v>0</v>
      </c>
      <c r="CX2811" s="8">
        <f>0</f>
        <v>0</v>
      </c>
      <c r="CY2811" s="8">
        <f>1</f>
        <v>1</v>
      </c>
      <c r="DA2811" s="5" t="s">
        <v>274</v>
      </c>
      <c r="DB2811" s="5" t="s">
        <v>238</v>
      </c>
      <c r="DD2811" s="5" t="s">
        <v>274</v>
      </c>
      <c r="DE2811" s="8">
        <f>152</f>
        <v>152</v>
      </c>
      <c r="DG2811" s="5" t="s">
        <v>238</v>
      </c>
      <c r="DH2811" s="5" t="s">
        <v>238</v>
      </c>
      <c r="DI2811" s="5" t="s">
        <v>238</v>
      </c>
      <c r="DJ2811" s="5" t="s">
        <v>238</v>
      </c>
      <c r="DN2811" s="5" t="s">
        <v>238</v>
      </c>
      <c r="DO2811" s="5" t="s">
        <v>238</v>
      </c>
      <c r="DP2811" s="5" t="s">
        <v>238</v>
      </c>
      <c r="DQ2811" s="5" t="s">
        <v>238</v>
      </c>
      <c r="DT2811" s="5" t="s">
        <v>275</v>
      </c>
      <c r="DU2811" s="5" t="s">
        <v>1011</v>
      </c>
      <c r="HM2811" s="5" t="s">
        <v>264</v>
      </c>
    </row>
    <row r="2812" spans="1:221" x14ac:dyDescent="0.4">
      <c r="A2812" s="5">
        <v>4516</v>
      </c>
      <c r="B2812" s="5">
        <v>1</v>
      </c>
      <c r="C2812" s="5">
        <v>1</v>
      </c>
      <c r="D2812" s="5" t="s">
        <v>269</v>
      </c>
      <c r="E2812" s="5" t="s">
        <v>271</v>
      </c>
      <c r="F2812" s="5" t="s">
        <v>248</v>
      </c>
      <c r="G2812" s="5" t="s">
        <v>266</v>
      </c>
      <c r="H2812" s="6" t="s">
        <v>1004</v>
      </c>
      <c r="I2812" s="7">
        <f>89</f>
        <v>89</v>
      </c>
      <c r="J2812" s="5" t="s">
        <v>262</v>
      </c>
      <c r="K2812" s="8">
        <f>1</f>
        <v>1</v>
      </c>
      <c r="L2812" s="6" t="s">
        <v>242</v>
      </c>
      <c r="M2812" s="5" t="s">
        <v>267</v>
      </c>
      <c r="N2812" s="5" t="s">
        <v>265</v>
      </c>
      <c r="O2812" s="5" t="s">
        <v>238</v>
      </c>
      <c r="P2812" s="5" t="s">
        <v>238</v>
      </c>
      <c r="Q2812" s="5" t="s">
        <v>268</v>
      </c>
      <c r="R2812" s="5" t="s">
        <v>270</v>
      </c>
      <c r="S2812" s="5" t="s">
        <v>238</v>
      </c>
      <c r="V2812" s="5" t="s">
        <v>238</v>
      </c>
      <c r="X2812" s="6" t="s">
        <v>238</v>
      </c>
      <c r="AA2812" s="6" t="s">
        <v>243</v>
      </c>
      <c r="AB2812" s="5" t="s">
        <v>238</v>
      </c>
      <c r="AC2812" s="5" t="s">
        <v>244</v>
      </c>
      <c r="AD2812" s="5" t="s">
        <v>245</v>
      </c>
      <c r="AT2812" s="5" t="s">
        <v>246</v>
      </c>
      <c r="AU2812" s="5" t="s">
        <v>238</v>
      </c>
      <c r="AV2812" s="5" t="s">
        <v>247</v>
      </c>
      <c r="AW2812" s="5" t="s">
        <v>238</v>
      </c>
      <c r="AX2812" s="5" t="s">
        <v>249</v>
      </c>
      <c r="AY2812" s="5" t="s">
        <v>238</v>
      </c>
      <c r="BA2812" s="5" t="s">
        <v>238</v>
      </c>
      <c r="BC2812" s="5" t="s">
        <v>250</v>
      </c>
      <c r="BD2812" s="6" t="s">
        <v>243</v>
      </c>
      <c r="BE2812" s="5" t="s">
        <v>251</v>
      </c>
      <c r="BF2812" s="5" t="s">
        <v>252</v>
      </c>
      <c r="BG2812" s="5" t="s">
        <v>238</v>
      </c>
      <c r="BH2812" s="7">
        <f>0</f>
        <v>0</v>
      </c>
      <c r="BI2812" s="8">
        <f>0</f>
        <v>0</v>
      </c>
      <c r="BJ2812" s="5" t="s">
        <v>253</v>
      </c>
      <c r="BK2812" s="5" t="s">
        <v>254</v>
      </c>
      <c r="BY2812" s="5" t="s">
        <v>238</v>
      </c>
      <c r="BZ2812" s="5" t="s">
        <v>238</v>
      </c>
      <c r="CD2812" s="5" t="s">
        <v>273</v>
      </c>
      <c r="CE2812" s="5" t="s">
        <v>256</v>
      </c>
      <c r="CF2812" s="5" t="s">
        <v>238</v>
      </c>
      <c r="CI2812" s="6" t="s">
        <v>257</v>
      </c>
      <c r="CJ2812" s="5" t="s">
        <v>238</v>
      </c>
      <c r="CK2812" s="5" t="s">
        <v>258</v>
      </c>
      <c r="CL2812" s="5" t="s">
        <v>238</v>
      </c>
      <c r="CM2812" s="5" t="s">
        <v>238</v>
      </c>
      <c r="CN2812" s="5">
        <v>0</v>
      </c>
      <c r="CO2812" s="5" t="s">
        <v>259</v>
      </c>
      <c r="CP2812" s="5" t="s">
        <v>260</v>
      </c>
      <c r="CQ2812" s="5" t="s">
        <v>260</v>
      </c>
      <c r="CR2812" s="5" t="s">
        <v>261</v>
      </c>
      <c r="CU2812" s="8">
        <f>1</f>
        <v>1</v>
      </c>
      <c r="CV2812" s="8">
        <f>0</f>
        <v>0</v>
      </c>
      <c r="CX2812" s="8">
        <f>0</f>
        <v>0</v>
      </c>
      <c r="CY2812" s="8">
        <f>1</f>
        <v>1</v>
      </c>
      <c r="DA2812" s="5" t="s">
        <v>274</v>
      </c>
      <c r="DB2812" s="5" t="s">
        <v>238</v>
      </c>
      <c r="DD2812" s="5" t="s">
        <v>274</v>
      </c>
      <c r="DE2812" s="8">
        <f>89</f>
        <v>89</v>
      </c>
      <c r="DG2812" s="5" t="s">
        <v>238</v>
      </c>
      <c r="DH2812" s="5" t="s">
        <v>238</v>
      </c>
      <c r="DI2812" s="5" t="s">
        <v>238</v>
      </c>
      <c r="DJ2812" s="5" t="s">
        <v>238</v>
      </c>
      <c r="DN2812" s="5" t="s">
        <v>238</v>
      </c>
      <c r="DO2812" s="5" t="s">
        <v>238</v>
      </c>
      <c r="DP2812" s="5" t="s">
        <v>238</v>
      </c>
      <c r="DQ2812" s="5" t="s">
        <v>238</v>
      </c>
      <c r="DT2812" s="5" t="s">
        <v>275</v>
      </c>
      <c r="DU2812" s="5" t="s">
        <v>1005</v>
      </c>
      <c r="HM2812" s="5" t="s">
        <v>264</v>
      </c>
    </row>
    <row r="2813" spans="1:221" x14ac:dyDescent="0.4">
      <c r="A2813" s="5">
        <v>4517</v>
      </c>
      <c r="B2813" s="5">
        <v>1</v>
      </c>
      <c r="C2813" s="5">
        <v>1</v>
      </c>
      <c r="D2813" s="5" t="s">
        <v>269</v>
      </c>
      <c r="E2813" s="5" t="s">
        <v>271</v>
      </c>
      <c r="F2813" s="5" t="s">
        <v>248</v>
      </c>
      <c r="G2813" s="5" t="s">
        <v>266</v>
      </c>
      <c r="H2813" s="6" t="s">
        <v>997</v>
      </c>
      <c r="I2813" s="7">
        <f>3638</f>
        <v>3638</v>
      </c>
      <c r="J2813" s="5" t="s">
        <v>262</v>
      </c>
      <c r="K2813" s="8">
        <f>1</f>
        <v>1</v>
      </c>
      <c r="L2813" s="6" t="s">
        <v>242</v>
      </c>
      <c r="M2813" s="5" t="s">
        <v>267</v>
      </c>
      <c r="N2813" s="5" t="s">
        <v>265</v>
      </c>
      <c r="O2813" s="5" t="s">
        <v>238</v>
      </c>
      <c r="P2813" s="5" t="s">
        <v>238</v>
      </c>
      <c r="Q2813" s="5" t="s">
        <v>268</v>
      </c>
      <c r="R2813" s="5" t="s">
        <v>270</v>
      </c>
      <c r="S2813" s="5" t="s">
        <v>238</v>
      </c>
      <c r="V2813" s="5" t="s">
        <v>238</v>
      </c>
      <c r="X2813" s="6" t="s">
        <v>238</v>
      </c>
      <c r="AA2813" s="6" t="s">
        <v>243</v>
      </c>
      <c r="AB2813" s="5" t="s">
        <v>238</v>
      </c>
      <c r="AC2813" s="5" t="s">
        <v>244</v>
      </c>
      <c r="AD2813" s="5" t="s">
        <v>245</v>
      </c>
      <c r="AT2813" s="5" t="s">
        <v>246</v>
      </c>
      <c r="AU2813" s="5" t="s">
        <v>238</v>
      </c>
      <c r="AV2813" s="5" t="s">
        <v>247</v>
      </c>
      <c r="AW2813" s="5" t="s">
        <v>238</v>
      </c>
      <c r="AX2813" s="5" t="s">
        <v>249</v>
      </c>
      <c r="AY2813" s="5" t="s">
        <v>238</v>
      </c>
      <c r="BA2813" s="5" t="s">
        <v>238</v>
      </c>
      <c r="BC2813" s="5" t="s">
        <v>250</v>
      </c>
      <c r="BD2813" s="6" t="s">
        <v>243</v>
      </c>
      <c r="BE2813" s="5" t="s">
        <v>251</v>
      </c>
      <c r="BF2813" s="5" t="s">
        <v>252</v>
      </c>
      <c r="BG2813" s="5" t="s">
        <v>238</v>
      </c>
      <c r="BH2813" s="7">
        <f>0</f>
        <v>0</v>
      </c>
      <c r="BI2813" s="8">
        <f>0</f>
        <v>0</v>
      </c>
      <c r="BJ2813" s="5" t="s">
        <v>253</v>
      </c>
      <c r="BK2813" s="5" t="s">
        <v>254</v>
      </c>
      <c r="BY2813" s="5" t="s">
        <v>238</v>
      </c>
      <c r="BZ2813" s="5" t="s">
        <v>238</v>
      </c>
      <c r="CD2813" s="5" t="s">
        <v>273</v>
      </c>
      <c r="CE2813" s="5" t="s">
        <v>256</v>
      </c>
      <c r="CF2813" s="5" t="s">
        <v>238</v>
      </c>
      <c r="CI2813" s="6" t="s">
        <v>257</v>
      </c>
      <c r="CJ2813" s="5" t="s">
        <v>238</v>
      </c>
      <c r="CK2813" s="5" t="s">
        <v>258</v>
      </c>
      <c r="CL2813" s="5" t="s">
        <v>238</v>
      </c>
      <c r="CM2813" s="5" t="s">
        <v>238</v>
      </c>
      <c r="CN2813" s="5">
        <v>0</v>
      </c>
      <c r="CO2813" s="5" t="s">
        <v>259</v>
      </c>
      <c r="CP2813" s="5" t="s">
        <v>260</v>
      </c>
      <c r="CQ2813" s="5" t="s">
        <v>260</v>
      </c>
      <c r="CR2813" s="5" t="s">
        <v>261</v>
      </c>
      <c r="CU2813" s="8">
        <f>1</f>
        <v>1</v>
      </c>
      <c r="CV2813" s="8">
        <f>0</f>
        <v>0</v>
      </c>
      <c r="CX2813" s="8">
        <f>0</f>
        <v>0</v>
      </c>
      <c r="CY2813" s="8">
        <f>1</f>
        <v>1</v>
      </c>
      <c r="DA2813" s="5" t="s">
        <v>274</v>
      </c>
      <c r="DB2813" s="5" t="s">
        <v>238</v>
      </c>
      <c r="DD2813" s="5" t="s">
        <v>274</v>
      </c>
      <c r="DE2813" s="8">
        <f>3638</f>
        <v>3638</v>
      </c>
      <c r="DG2813" s="5" t="s">
        <v>238</v>
      </c>
      <c r="DH2813" s="5" t="s">
        <v>238</v>
      </c>
      <c r="DI2813" s="5" t="s">
        <v>238</v>
      </c>
      <c r="DJ2813" s="5" t="s">
        <v>238</v>
      </c>
      <c r="DN2813" s="5" t="s">
        <v>238</v>
      </c>
      <c r="DO2813" s="5" t="s">
        <v>238</v>
      </c>
      <c r="DP2813" s="5" t="s">
        <v>238</v>
      </c>
      <c r="DQ2813" s="5" t="s">
        <v>238</v>
      </c>
      <c r="DT2813" s="5" t="s">
        <v>275</v>
      </c>
      <c r="DU2813" s="5" t="s">
        <v>998</v>
      </c>
      <c r="HM2813" s="5" t="s">
        <v>264</v>
      </c>
    </row>
    <row r="2814" spans="1:221" x14ac:dyDescent="0.4">
      <c r="A2814" s="5">
        <v>4518</v>
      </c>
      <c r="B2814" s="5">
        <v>1</v>
      </c>
      <c r="C2814" s="5">
        <v>1</v>
      </c>
      <c r="D2814" s="5" t="s">
        <v>269</v>
      </c>
      <c r="E2814" s="5" t="s">
        <v>271</v>
      </c>
      <c r="F2814" s="5" t="s">
        <v>248</v>
      </c>
      <c r="G2814" s="5" t="s">
        <v>266</v>
      </c>
      <c r="H2814" s="6" t="s">
        <v>991</v>
      </c>
      <c r="I2814" s="7">
        <f>3691</f>
        <v>3691</v>
      </c>
      <c r="J2814" s="5" t="s">
        <v>262</v>
      </c>
      <c r="K2814" s="8">
        <f>1</f>
        <v>1</v>
      </c>
      <c r="L2814" s="6" t="s">
        <v>242</v>
      </c>
      <c r="M2814" s="5" t="s">
        <v>267</v>
      </c>
      <c r="N2814" s="5" t="s">
        <v>265</v>
      </c>
      <c r="O2814" s="5" t="s">
        <v>238</v>
      </c>
      <c r="P2814" s="5" t="s">
        <v>238</v>
      </c>
      <c r="Q2814" s="5" t="s">
        <v>268</v>
      </c>
      <c r="R2814" s="5" t="s">
        <v>270</v>
      </c>
      <c r="S2814" s="5" t="s">
        <v>238</v>
      </c>
      <c r="V2814" s="5" t="s">
        <v>238</v>
      </c>
      <c r="X2814" s="6" t="s">
        <v>238</v>
      </c>
      <c r="AA2814" s="6" t="s">
        <v>243</v>
      </c>
      <c r="AB2814" s="5" t="s">
        <v>238</v>
      </c>
      <c r="AC2814" s="5" t="s">
        <v>244</v>
      </c>
      <c r="AD2814" s="5" t="s">
        <v>245</v>
      </c>
      <c r="AT2814" s="5" t="s">
        <v>246</v>
      </c>
      <c r="AU2814" s="5" t="s">
        <v>238</v>
      </c>
      <c r="AV2814" s="5" t="s">
        <v>247</v>
      </c>
      <c r="AW2814" s="5" t="s">
        <v>238</v>
      </c>
      <c r="AX2814" s="5" t="s">
        <v>249</v>
      </c>
      <c r="AY2814" s="5" t="s">
        <v>238</v>
      </c>
      <c r="BA2814" s="5" t="s">
        <v>238</v>
      </c>
      <c r="BC2814" s="5" t="s">
        <v>250</v>
      </c>
      <c r="BD2814" s="6" t="s">
        <v>243</v>
      </c>
      <c r="BE2814" s="5" t="s">
        <v>251</v>
      </c>
      <c r="BF2814" s="5" t="s">
        <v>252</v>
      </c>
      <c r="BG2814" s="5" t="s">
        <v>238</v>
      </c>
      <c r="BH2814" s="7">
        <f>0</f>
        <v>0</v>
      </c>
      <c r="BI2814" s="8">
        <f>0</f>
        <v>0</v>
      </c>
      <c r="BJ2814" s="5" t="s">
        <v>253</v>
      </c>
      <c r="BK2814" s="5" t="s">
        <v>254</v>
      </c>
      <c r="BY2814" s="5" t="s">
        <v>238</v>
      </c>
      <c r="BZ2814" s="5" t="s">
        <v>238</v>
      </c>
      <c r="CD2814" s="5" t="s">
        <v>273</v>
      </c>
      <c r="CE2814" s="5" t="s">
        <v>256</v>
      </c>
      <c r="CF2814" s="5" t="s">
        <v>238</v>
      </c>
      <c r="CI2814" s="6" t="s">
        <v>257</v>
      </c>
      <c r="CJ2814" s="5" t="s">
        <v>238</v>
      </c>
      <c r="CK2814" s="5" t="s">
        <v>258</v>
      </c>
      <c r="CL2814" s="5" t="s">
        <v>238</v>
      </c>
      <c r="CM2814" s="5" t="s">
        <v>238</v>
      </c>
      <c r="CN2814" s="5">
        <v>0</v>
      </c>
      <c r="CO2814" s="5" t="s">
        <v>259</v>
      </c>
      <c r="CP2814" s="5" t="s">
        <v>260</v>
      </c>
      <c r="CQ2814" s="5" t="s">
        <v>260</v>
      </c>
      <c r="CR2814" s="5" t="s">
        <v>261</v>
      </c>
      <c r="CU2814" s="8">
        <f>1</f>
        <v>1</v>
      </c>
      <c r="CV2814" s="8">
        <f>0</f>
        <v>0</v>
      </c>
      <c r="CX2814" s="8">
        <f>0</f>
        <v>0</v>
      </c>
      <c r="CY2814" s="8">
        <f>1</f>
        <v>1</v>
      </c>
      <c r="DA2814" s="5" t="s">
        <v>274</v>
      </c>
      <c r="DB2814" s="5" t="s">
        <v>238</v>
      </c>
      <c r="DD2814" s="5" t="s">
        <v>274</v>
      </c>
      <c r="DE2814" s="8">
        <f>3691</f>
        <v>3691</v>
      </c>
      <c r="DG2814" s="5" t="s">
        <v>238</v>
      </c>
      <c r="DH2814" s="5" t="s">
        <v>238</v>
      </c>
      <c r="DI2814" s="5" t="s">
        <v>238</v>
      </c>
      <c r="DJ2814" s="5" t="s">
        <v>238</v>
      </c>
      <c r="DN2814" s="5" t="s">
        <v>238</v>
      </c>
      <c r="DO2814" s="5" t="s">
        <v>238</v>
      </c>
      <c r="DP2814" s="5" t="s">
        <v>238</v>
      </c>
      <c r="DQ2814" s="5" t="s">
        <v>238</v>
      </c>
      <c r="DT2814" s="5" t="s">
        <v>275</v>
      </c>
      <c r="DU2814" s="5" t="s">
        <v>992</v>
      </c>
      <c r="HM2814" s="5" t="s">
        <v>264</v>
      </c>
    </row>
    <row r="2815" spans="1:221" x14ac:dyDescent="0.4">
      <c r="A2815" s="5">
        <v>4519</v>
      </c>
      <c r="B2815" s="5">
        <v>1</v>
      </c>
      <c r="C2815" s="5">
        <v>1</v>
      </c>
      <c r="D2815" s="5" t="s">
        <v>269</v>
      </c>
      <c r="E2815" s="5" t="s">
        <v>271</v>
      </c>
      <c r="F2815" s="5" t="s">
        <v>248</v>
      </c>
      <c r="G2815" s="5" t="s">
        <v>266</v>
      </c>
      <c r="H2815" s="6" t="s">
        <v>279</v>
      </c>
      <c r="I2815" s="7">
        <f>1167</f>
        <v>1167</v>
      </c>
      <c r="J2815" s="5" t="s">
        <v>262</v>
      </c>
      <c r="K2815" s="8">
        <f>1</f>
        <v>1</v>
      </c>
      <c r="L2815" s="6" t="s">
        <v>242</v>
      </c>
      <c r="M2815" s="5" t="s">
        <v>267</v>
      </c>
      <c r="N2815" s="5" t="s">
        <v>265</v>
      </c>
      <c r="O2815" s="5" t="s">
        <v>238</v>
      </c>
      <c r="P2815" s="5" t="s">
        <v>238</v>
      </c>
      <c r="Q2815" s="5" t="s">
        <v>268</v>
      </c>
      <c r="R2815" s="5" t="s">
        <v>270</v>
      </c>
      <c r="S2815" s="5" t="s">
        <v>238</v>
      </c>
      <c r="V2815" s="5" t="s">
        <v>238</v>
      </c>
      <c r="X2815" s="6" t="s">
        <v>238</v>
      </c>
      <c r="AA2815" s="6" t="s">
        <v>243</v>
      </c>
      <c r="AB2815" s="5" t="s">
        <v>238</v>
      </c>
      <c r="AC2815" s="5" t="s">
        <v>244</v>
      </c>
      <c r="AD2815" s="5" t="s">
        <v>245</v>
      </c>
      <c r="AT2815" s="5" t="s">
        <v>246</v>
      </c>
      <c r="AU2815" s="5" t="s">
        <v>238</v>
      </c>
      <c r="AV2815" s="5" t="s">
        <v>247</v>
      </c>
      <c r="AW2815" s="5" t="s">
        <v>238</v>
      </c>
      <c r="AX2815" s="5" t="s">
        <v>249</v>
      </c>
      <c r="AY2815" s="5" t="s">
        <v>238</v>
      </c>
      <c r="BA2815" s="5" t="s">
        <v>238</v>
      </c>
      <c r="BC2815" s="5" t="s">
        <v>250</v>
      </c>
      <c r="BD2815" s="6" t="s">
        <v>243</v>
      </c>
      <c r="BE2815" s="5" t="s">
        <v>251</v>
      </c>
      <c r="BF2815" s="5" t="s">
        <v>252</v>
      </c>
      <c r="BG2815" s="5" t="s">
        <v>238</v>
      </c>
      <c r="BH2815" s="7">
        <f>0</f>
        <v>0</v>
      </c>
      <c r="BI2815" s="8">
        <f>0</f>
        <v>0</v>
      </c>
      <c r="BJ2815" s="5" t="s">
        <v>253</v>
      </c>
      <c r="BK2815" s="5" t="s">
        <v>254</v>
      </c>
      <c r="BY2815" s="5" t="s">
        <v>238</v>
      </c>
      <c r="BZ2815" s="5" t="s">
        <v>238</v>
      </c>
      <c r="CD2815" s="5" t="s">
        <v>273</v>
      </c>
      <c r="CE2815" s="5" t="s">
        <v>256</v>
      </c>
      <c r="CF2815" s="5" t="s">
        <v>238</v>
      </c>
      <c r="CI2815" s="6" t="s">
        <v>257</v>
      </c>
      <c r="CJ2815" s="5" t="s">
        <v>238</v>
      </c>
      <c r="CK2815" s="5" t="s">
        <v>258</v>
      </c>
      <c r="CL2815" s="5" t="s">
        <v>238</v>
      </c>
      <c r="CM2815" s="5" t="s">
        <v>238</v>
      </c>
      <c r="CN2815" s="5">
        <v>0</v>
      </c>
      <c r="CO2815" s="5" t="s">
        <v>259</v>
      </c>
      <c r="CP2815" s="5" t="s">
        <v>260</v>
      </c>
      <c r="CQ2815" s="5" t="s">
        <v>260</v>
      </c>
      <c r="CR2815" s="5" t="s">
        <v>261</v>
      </c>
      <c r="CU2815" s="8">
        <f>1</f>
        <v>1</v>
      </c>
      <c r="CV2815" s="8">
        <f>0</f>
        <v>0</v>
      </c>
      <c r="CX2815" s="8">
        <f>0</f>
        <v>0</v>
      </c>
      <c r="CY2815" s="8">
        <f>1</f>
        <v>1</v>
      </c>
      <c r="DA2815" s="5" t="s">
        <v>274</v>
      </c>
      <c r="DB2815" s="5" t="s">
        <v>238</v>
      </c>
      <c r="DD2815" s="5" t="s">
        <v>274</v>
      </c>
      <c r="DE2815" s="8">
        <f>1167</f>
        <v>1167</v>
      </c>
      <c r="DG2815" s="5" t="s">
        <v>238</v>
      </c>
      <c r="DH2815" s="5" t="s">
        <v>238</v>
      </c>
      <c r="DI2815" s="5" t="s">
        <v>238</v>
      </c>
      <c r="DJ2815" s="5" t="s">
        <v>238</v>
      </c>
      <c r="DN2815" s="5" t="s">
        <v>238</v>
      </c>
      <c r="DO2815" s="5" t="s">
        <v>238</v>
      </c>
      <c r="DP2815" s="5" t="s">
        <v>238</v>
      </c>
      <c r="DQ2815" s="5" t="s">
        <v>238</v>
      </c>
      <c r="DT2815" s="5" t="s">
        <v>275</v>
      </c>
      <c r="DU2815" s="5" t="s">
        <v>280</v>
      </c>
      <c r="HM2815" s="5" t="s">
        <v>264</v>
      </c>
    </row>
    <row r="2816" spans="1:221" x14ac:dyDescent="0.4">
      <c r="A2816" s="5">
        <v>4520</v>
      </c>
      <c r="B2816" s="5">
        <v>1</v>
      </c>
      <c r="C2816" s="5">
        <v>1</v>
      </c>
      <c r="D2816" s="5" t="s">
        <v>269</v>
      </c>
      <c r="E2816" s="5" t="s">
        <v>271</v>
      </c>
      <c r="F2816" s="5" t="s">
        <v>248</v>
      </c>
      <c r="G2816" s="5" t="s">
        <v>266</v>
      </c>
      <c r="H2816" s="6" t="s">
        <v>5367</v>
      </c>
      <c r="I2816" s="7">
        <f>1865</f>
        <v>1865</v>
      </c>
      <c r="J2816" s="5" t="s">
        <v>262</v>
      </c>
      <c r="K2816" s="8">
        <f>1</f>
        <v>1</v>
      </c>
      <c r="L2816" s="6" t="s">
        <v>242</v>
      </c>
      <c r="M2816" s="5" t="s">
        <v>267</v>
      </c>
      <c r="N2816" s="5" t="s">
        <v>265</v>
      </c>
      <c r="O2816" s="5" t="s">
        <v>238</v>
      </c>
      <c r="P2816" s="5" t="s">
        <v>238</v>
      </c>
      <c r="Q2816" s="5" t="s">
        <v>268</v>
      </c>
      <c r="R2816" s="5" t="s">
        <v>270</v>
      </c>
      <c r="S2816" s="5" t="s">
        <v>238</v>
      </c>
      <c r="V2816" s="5" t="s">
        <v>238</v>
      </c>
      <c r="X2816" s="6" t="s">
        <v>238</v>
      </c>
      <c r="AA2816" s="6" t="s">
        <v>243</v>
      </c>
      <c r="AB2816" s="5" t="s">
        <v>238</v>
      </c>
      <c r="AC2816" s="5" t="s">
        <v>244</v>
      </c>
      <c r="AD2816" s="5" t="s">
        <v>245</v>
      </c>
      <c r="AT2816" s="5" t="s">
        <v>246</v>
      </c>
      <c r="AU2816" s="5" t="s">
        <v>238</v>
      </c>
      <c r="AV2816" s="5" t="s">
        <v>247</v>
      </c>
      <c r="AW2816" s="5" t="s">
        <v>238</v>
      </c>
      <c r="AX2816" s="5" t="s">
        <v>249</v>
      </c>
      <c r="AY2816" s="5" t="s">
        <v>238</v>
      </c>
      <c r="BA2816" s="5" t="s">
        <v>238</v>
      </c>
      <c r="BC2816" s="5" t="s">
        <v>250</v>
      </c>
      <c r="BD2816" s="6" t="s">
        <v>243</v>
      </c>
      <c r="BE2816" s="5" t="s">
        <v>251</v>
      </c>
      <c r="BF2816" s="5" t="s">
        <v>252</v>
      </c>
      <c r="BG2816" s="5" t="s">
        <v>238</v>
      </c>
      <c r="BH2816" s="7">
        <f>0</f>
        <v>0</v>
      </c>
      <c r="BI2816" s="8">
        <f>0</f>
        <v>0</v>
      </c>
      <c r="BJ2816" s="5" t="s">
        <v>253</v>
      </c>
      <c r="BK2816" s="5" t="s">
        <v>254</v>
      </c>
      <c r="BY2816" s="5" t="s">
        <v>238</v>
      </c>
      <c r="BZ2816" s="5" t="s">
        <v>238</v>
      </c>
      <c r="CD2816" s="5" t="s">
        <v>273</v>
      </c>
      <c r="CE2816" s="5" t="s">
        <v>256</v>
      </c>
      <c r="CF2816" s="5" t="s">
        <v>238</v>
      </c>
      <c r="CI2816" s="6" t="s">
        <v>257</v>
      </c>
      <c r="CJ2816" s="5" t="s">
        <v>238</v>
      </c>
      <c r="CK2816" s="5" t="s">
        <v>258</v>
      </c>
      <c r="CL2816" s="5" t="s">
        <v>238</v>
      </c>
      <c r="CM2816" s="5" t="s">
        <v>238</v>
      </c>
      <c r="CN2816" s="5">
        <v>0</v>
      </c>
      <c r="CO2816" s="5" t="s">
        <v>259</v>
      </c>
      <c r="CP2816" s="5" t="s">
        <v>260</v>
      </c>
      <c r="CQ2816" s="5" t="s">
        <v>260</v>
      </c>
      <c r="CR2816" s="5" t="s">
        <v>261</v>
      </c>
      <c r="CU2816" s="8">
        <f>1</f>
        <v>1</v>
      </c>
      <c r="CV2816" s="8">
        <f>0</f>
        <v>0</v>
      </c>
      <c r="CX2816" s="8">
        <f>0</f>
        <v>0</v>
      </c>
      <c r="CY2816" s="8">
        <f>1</f>
        <v>1</v>
      </c>
      <c r="DA2816" s="5" t="s">
        <v>274</v>
      </c>
      <c r="DB2816" s="5" t="s">
        <v>238</v>
      </c>
      <c r="DD2816" s="5" t="s">
        <v>274</v>
      </c>
      <c r="DE2816" s="8">
        <f>1865</f>
        <v>1865</v>
      </c>
      <c r="DG2816" s="5" t="s">
        <v>238</v>
      </c>
      <c r="DH2816" s="5" t="s">
        <v>238</v>
      </c>
      <c r="DI2816" s="5" t="s">
        <v>238</v>
      </c>
      <c r="DJ2816" s="5" t="s">
        <v>238</v>
      </c>
      <c r="DN2816" s="5" t="s">
        <v>238</v>
      </c>
      <c r="DO2816" s="5" t="s">
        <v>238</v>
      </c>
      <c r="DP2816" s="5" t="s">
        <v>238</v>
      </c>
      <c r="DQ2816" s="5" t="s">
        <v>238</v>
      </c>
      <c r="DT2816" s="5" t="s">
        <v>275</v>
      </c>
      <c r="DU2816" s="5" t="s">
        <v>3760</v>
      </c>
      <c r="HM2816" s="5" t="s">
        <v>264</v>
      </c>
    </row>
    <row r="2817" spans="1:221" x14ac:dyDescent="0.4">
      <c r="A2817" s="5">
        <v>4521</v>
      </c>
      <c r="B2817" s="5">
        <v>1</v>
      </c>
      <c r="C2817" s="5">
        <v>1</v>
      </c>
      <c r="D2817" s="5" t="s">
        <v>269</v>
      </c>
      <c r="E2817" s="5" t="s">
        <v>271</v>
      </c>
      <c r="F2817" s="5" t="s">
        <v>248</v>
      </c>
      <c r="G2817" s="5" t="s">
        <v>266</v>
      </c>
      <c r="H2817" s="6" t="s">
        <v>295</v>
      </c>
      <c r="I2817" s="7">
        <f>336</f>
        <v>336</v>
      </c>
      <c r="J2817" s="5" t="s">
        <v>262</v>
      </c>
      <c r="K2817" s="8">
        <f>1</f>
        <v>1</v>
      </c>
      <c r="L2817" s="6" t="s">
        <v>242</v>
      </c>
      <c r="M2817" s="5" t="s">
        <v>267</v>
      </c>
      <c r="N2817" s="5" t="s">
        <v>265</v>
      </c>
      <c r="O2817" s="5" t="s">
        <v>238</v>
      </c>
      <c r="P2817" s="5" t="s">
        <v>238</v>
      </c>
      <c r="Q2817" s="5" t="s">
        <v>268</v>
      </c>
      <c r="R2817" s="5" t="s">
        <v>270</v>
      </c>
      <c r="S2817" s="5" t="s">
        <v>238</v>
      </c>
      <c r="V2817" s="5" t="s">
        <v>238</v>
      </c>
      <c r="X2817" s="6" t="s">
        <v>238</v>
      </c>
      <c r="AA2817" s="6" t="s">
        <v>243</v>
      </c>
      <c r="AB2817" s="5" t="s">
        <v>238</v>
      </c>
      <c r="AC2817" s="5" t="s">
        <v>244</v>
      </c>
      <c r="AD2817" s="5" t="s">
        <v>245</v>
      </c>
      <c r="AT2817" s="5" t="s">
        <v>246</v>
      </c>
      <c r="AU2817" s="5" t="s">
        <v>238</v>
      </c>
      <c r="AV2817" s="5" t="s">
        <v>247</v>
      </c>
      <c r="AW2817" s="5" t="s">
        <v>238</v>
      </c>
      <c r="AX2817" s="5" t="s">
        <v>249</v>
      </c>
      <c r="AY2817" s="5" t="s">
        <v>238</v>
      </c>
      <c r="BA2817" s="5" t="s">
        <v>238</v>
      </c>
      <c r="BC2817" s="5" t="s">
        <v>250</v>
      </c>
      <c r="BD2817" s="6" t="s">
        <v>243</v>
      </c>
      <c r="BE2817" s="5" t="s">
        <v>251</v>
      </c>
      <c r="BF2817" s="5" t="s">
        <v>252</v>
      </c>
      <c r="BG2817" s="5" t="s">
        <v>238</v>
      </c>
      <c r="BH2817" s="7">
        <f>0</f>
        <v>0</v>
      </c>
      <c r="BI2817" s="8">
        <f>0</f>
        <v>0</v>
      </c>
      <c r="BJ2817" s="5" t="s">
        <v>253</v>
      </c>
      <c r="BK2817" s="5" t="s">
        <v>254</v>
      </c>
      <c r="BY2817" s="5" t="s">
        <v>238</v>
      </c>
      <c r="BZ2817" s="5" t="s">
        <v>238</v>
      </c>
      <c r="CD2817" s="5" t="s">
        <v>273</v>
      </c>
      <c r="CE2817" s="5" t="s">
        <v>256</v>
      </c>
      <c r="CF2817" s="5" t="s">
        <v>238</v>
      </c>
      <c r="CI2817" s="6" t="s">
        <v>257</v>
      </c>
      <c r="CJ2817" s="5" t="s">
        <v>238</v>
      </c>
      <c r="CK2817" s="5" t="s">
        <v>258</v>
      </c>
      <c r="CL2817" s="5" t="s">
        <v>238</v>
      </c>
      <c r="CM2817" s="5" t="s">
        <v>238</v>
      </c>
      <c r="CN2817" s="5">
        <v>0</v>
      </c>
      <c r="CO2817" s="5" t="s">
        <v>259</v>
      </c>
      <c r="CP2817" s="5" t="s">
        <v>260</v>
      </c>
      <c r="CQ2817" s="5" t="s">
        <v>260</v>
      </c>
      <c r="CR2817" s="5" t="s">
        <v>261</v>
      </c>
      <c r="CU2817" s="8">
        <f>1</f>
        <v>1</v>
      </c>
      <c r="CV2817" s="8">
        <f>0</f>
        <v>0</v>
      </c>
      <c r="CX2817" s="8">
        <f>0</f>
        <v>0</v>
      </c>
      <c r="CY2817" s="8">
        <f>1</f>
        <v>1</v>
      </c>
      <c r="DA2817" s="5" t="s">
        <v>274</v>
      </c>
      <c r="DB2817" s="5" t="s">
        <v>238</v>
      </c>
      <c r="DD2817" s="5" t="s">
        <v>274</v>
      </c>
      <c r="DE2817" s="8">
        <f>336</f>
        <v>336</v>
      </c>
      <c r="DG2817" s="5" t="s">
        <v>238</v>
      </c>
      <c r="DH2817" s="5" t="s">
        <v>238</v>
      </c>
      <c r="DI2817" s="5" t="s">
        <v>238</v>
      </c>
      <c r="DJ2817" s="5" t="s">
        <v>238</v>
      </c>
      <c r="DN2817" s="5" t="s">
        <v>238</v>
      </c>
      <c r="DO2817" s="5" t="s">
        <v>238</v>
      </c>
      <c r="DP2817" s="5" t="s">
        <v>238</v>
      </c>
      <c r="DQ2817" s="5" t="s">
        <v>238</v>
      </c>
      <c r="DT2817" s="5" t="s">
        <v>275</v>
      </c>
      <c r="DU2817" s="5" t="s">
        <v>296</v>
      </c>
      <c r="HM2817" s="5" t="s">
        <v>264</v>
      </c>
    </row>
    <row r="2818" spans="1:221" x14ac:dyDescent="0.4">
      <c r="A2818" s="5">
        <v>4522</v>
      </c>
      <c r="B2818" s="5">
        <v>1</v>
      </c>
      <c r="C2818" s="5">
        <v>1</v>
      </c>
      <c r="D2818" s="5" t="s">
        <v>269</v>
      </c>
      <c r="E2818" s="5" t="s">
        <v>271</v>
      </c>
      <c r="F2818" s="5" t="s">
        <v>248</v>
      </c>
      <c r="G2818" s="5" t="s">
        <v>266</v>
      </c>
      <c r="H2818" s="6" t="s">
        <v>305</v>
      </c>
      <c r="I2818" s="7">
        <f>1847</f>
        <v>1847</v>
      </c>
      <c r="J2818" s="5" t="s">
        <v>262</v>
      </c>
      <c r="K2818" s="8">
        <f>1</f>
        <v>1</v>
      </c>
      <c r="L2818" s="6" t="s">
        <v>242</v>
      </c>
      <c r="M2818" s="5" t="s">
        <v>267</v>
      </c>
      <c r="N2818" s="5" t="s">
        <v>265</v>
      </c>
      <c r="O2818" s="5" t="s">
        <v>238</v>
      </c>
      <c r="P2818" s="5" t="s">
        <v>238</v>
      </c>
      <c r="Q2818" s="5" t="s">
        <v>268</v>
      </c>
      <c r="R2818" s="5" t="s">
        <v>270</v>
      </c>
      <c r="S2818" s="5" t="s">
        <v>238</v>
      </c>
      <c r="V2818" s="5" t="s">
        <v>238</v>
      </c>
      <c r="X2818" s="6" t="s">
        <v>238</v>
      </c>
      <c r="AA2818" s="6" t="s">
        <v>243</v>
      </c>
      <c r="AB2818" s="5" t="s">
        <v>238</v>
      </c>
      <c r="AC2818" s="5" t="s">
        <v>244</v>
      </c>
      <c r="AD2818" s="5" t="s">
        <v>245</v>
      </c>
      <c r="AT2818" s="5" t="s">
        <v>246</v>
      </c>
      <c r="AU2818" s="5" t="s">
        <v>238</v>
      </c>
      <c r="AV2818" s="5" t="s">
        <v>247</v>
      </c>
      <c r="AW2818" s="5" t="s">
        <v>238</v>
      </c>
      <c r="AX2818" s="5" t="s">
        <v>249</v>
      </c>
      <c r="AY2818" s="5" t="s">
        <v>238</v>
      </c>
      <c r="BA2818" s="5" t="s">
        <v>238</v>
      </c>
      <c r="BC2818" s="5" t="s">
        <v>250</v>
      </c>
      <c r="BD2818" s="6" t="s">
        <v>243</v>
      </c>
      <c r="BE2818" s="5" t="s">
        <v>251</v>
      </c>
      <c r="BF2818" s="5" t="s">
        <v>252</v>
      </c>
      <c r="BG2818" s="5" t="s">
        <v>238</v>
      </c>
      <c r="BH2818" s="7">
        <f>0</f>
        <v>0</v>
      </c>
      <c r="BI2818" s="8">
        <f>0</f>
        <v>0</v>
      </c>
      <c r="BJ2818" s="5" t="s">
        <v>253</v>
      </c>
      <c r="BK2818" s="5" t="s">
        <v>254</v>
      </c>
      <c r="BY2818" s="5" t="s">
        <v>238</v>
      </c>
      <c r="BZ2818" s="5" t="s">
        <v>238</v>
      </c>
      <c r="CD2818" s="5" t="s">
        <v>273</v>
      </c>
      <c r="CE2818" s="5" t="s">
        <v>256</v>
      </c>
      <c r="CF2818" s="5" t="s">
        <v>238</v>
      </c>
      <c r="CI2818" s="6" t="s">
        <v>257</v>
      </c>
      <c r="CJ2818" s="5" t="s">
        <v>238</v>
      </c>
      <c r="CK2818" s="5" t="s">
        <v>258</v>
      </c>
      <c r="CL2818" s="5" t="s">
        <v>238</v>
      </c>
      <c r="CM2818" s="5" t="s">
        <v>238</v>
      </c>
      <c r="CN2818" s="5">
        <v>0</v>
      </c>
      <c r="CO2818" s="5" t="s">
        <v>259</v>
      </c>
      <c r="CP2818" s="5" t="s">
        <v>260</v>
      </c>
      <c r="CQ2818" s="5" t="s">
        <v>260</v>
      </c>
      <c r="CR2818" s="5" t="s">
        <v>261</v>
      </c>
      <c r="CU2818" s="8">
        <f>1</f>
        <v>1</v>
      </c>
      <c r="CV2818" s="8">
        <f>0</f>
        <v>0</v>
      </c>
      <c r="CX2818" s="8">
        <f>0</f>
        <v>0</v>
      </c>
      <c r="CY2818" s="8">
        <f>1</f>
        <v>1</v>
      </c>
      <c r="DA2818" s="5" t="s">
        <v>274</v>
      </c>
      <c r="DB2818" s="5" t="s">
        <v>238</v>
      </c>
      <c r="DD2818" s="5" t="s">
        <v>274</v>
      </c>
      <c r="DE2818" s="8">
        <f>1847</f>
        <v>1847</v>
      </c>
      <c r="DG2818" s="5" t="s">
        <v>238</v>
      </c>
      <c r="DH2818" s="5" t="s">
        <v>238</v>
      </c>
      <c r="DI2818" s="5" t="s">
        <v>238</v>
      </c>
      <c r="DJ2818" s="5" t="s">
        <v>238</v>
      </c>
      <c r="DN2818" s="5" t="s">
        <v>238</v>
      </c>
      <c r="DO2818" s="5" t="s">
        <v>238</v>
      </c>
      <c r="DP2818" s="5" t="s">
        <v>238</v>
      </c>
      <c r="DQ2818" s="5" t="s">
        <v>238</v>
      </c>
      <c r="DT2818" s="5" t="s">
        <v>275</v>
      </c>
      <c r="DU2818" s="5" t="s">
        <v>306</v>
      </c>
      <c r="HM2818" s="5" t="s">
        <v>264</v>
      </c>
    </row>
    <row r="2819" spans="1:221" x14ac:dyDescent="0.4">
      <c r="A2819" s="5">
        <v>4523</v>
      </c>
      <c r="B2819" s="5">
        <v>1</v>
      </c>
      <c r="C2819" s="5">
        <v>1</v>
      </c>
      <c r="D2819" s="5" t="s">
        <v>269</v>
      </c>
      <c r="E2819" s="5" t="s">
        <v>271</v>
      </c>
      <c r="F2819" s="5" t="s">
        <v>248</v>
      </c>
      <c r="G2819" s="5" t="s">
        <v>266</v>
      </c>
      <c r="H2819" s="6" t="s">
        <v>309</v>
      </c>
      <c r="I2819" s="7">
        <f>28</f>
        <v>28</v>
      </c>
      <c r="J2819" s="5" t="s">
        <v>262</v>
      </c>
      <c r="K2819" s="8">
        <f>1</f>
        <v>1</v>
      </c>
      <c r="L2819" s="6" t="s">
        <v>242</v>
      </c>
      <c r="M2819" s="5" t="s">
        <v>267</v>
      </c>
      <c r="N2819" s="5" t="s">
        <v>265</v>
      </c>
      <c r="O2819" s="5" t="s">
        <v>238</v>
      </c>
      <c r="P2819" s="5" t="s">
        <v>238</v>
      </c>
      <c r="Q2819" s="5" t="s">
        <v>268</v>
      </c>
      <c r="R2819" s="5" t="s">
        <v>270</v>
      </c>
      <c r="S2819" s="5" t="s">
        <v>238</v>
      </c>
      <c r="V2819" s="5" t="s">
        <v>238</v>
      </c>
      <c r="X2819" s="6" t="s">
        <v>238</v>
      </c>
      <c r="AA2819" s="6" t="s">
        <v>243</v>
      </c>
      <c r="AB2819" s="5" t="s">
        <v>238</v>
      </c>
      <c r="AC2819" s="5" t="s">
        <v>244</v>
      </c>
      <c r="AD2819" s="5" t="s">
        <v>245</v>
      </c>
      <c r="AT2819" s="5" t="s">
        <v>246</v>
      </c>
      <c r="AU2819" s="5" t="s">
        <v>238</v>
      </c>
      <c r="AV2819" s="5" t="s">
        <v>247</v>
      </c>
      <c r="AW2819" s="5" t="s">
        <v>238</v>
      </c>
      <c r="AX2819" s="5" t="s">
        <v>249</v>
      </c>
      <c r="AY2819" s="5" t="s">
        <v>238</v>
      </c>
      <c r="BA2819" s="5" t="s">
        <v>238</v>
      </c>
      <c r="BC2819" s="5" t="s">
        <v>250</v>
      </c>
      <c r="BD2819" s="6" t="s">
        <v>243</v>
      </c>
      <c r="BE2819" s="5" t="s">
        <v>251</v>
      </c>
      <c r="BF2819" s="5" t="s">
        <v>252</v>
      </c>
      <c r="BG2819" s="5" t="s">
        <v>238</v>
      </c>
      <c r="BH2819" s="7">
        <f>0</f>
        <v>0</v>
      </c>
      <c r="BI2819" s="8">
        <f>0</f>
        <v>0</v>
      </c>
      <c r="BJ2819" s="5" t="s">
        <v>253</v>
      </c>
      <c r="BK2819" s="5" t="s">
        <v>254</v>
      </c>
      <c r="BY2819" s="5" t="s">
        <v>238</v>
      </c>
      <c r="BZ2819" s="5" t="s">
        <v>238</v>
      </c>
      <c r="CD2819" s="5" t="s">
        <v>273</v>
      </c>
      <c r="CE2819" s="5" t="s">
        <v>256</v>
      </c>
      <c r="CF2819" s="5" t="s">
        <v>238</v>
      </c>
      <c r="CI2819" s="6" t="s">
        <v>257</v>
      </c>
      <c r="CJ2819" s="5" t="s">
        <v>238</v>
      </c>
      <c r="CK2819" s="5" t="s">
        <v>258</v>
      </c>
      <c r="CL2819" s="5" t="s">
        <v>238</v>
      </c>
      <c r="CM2819" s="5" t="s">
        <v>238</v>
      </c>
      <c r="CN2819" s="5">
        <v>0</v>
      </c>
      <c r="CO2819" s="5" t="s">
        <v>259</v>
      </c>
      <c r="CP2819" s="5" t="s">
        <v>260</v>
      </c>
      <c r="CQ2819" s="5" t="s">
        <v>260</v>
      </c>
      <c r="CR2819" s="5" t="s">
        <v>261</v>
      </c>
      <c r="CU2819" s="8">
        <f>1</f>
        <v>1</v>
      </c>
      <c r="CV2819" s="8">
        <f>0</f>
        <v>0</v>
      </c>
      <c r="CX2819" s="8">
        <f>0</f>
        <v>0</v>
      </c>
      <c r="CY2819" s="8">
        <f>1</f>
        <v>1</v>
      </c>
      <c r="DA2819" s="5" t="s">
        <v>274</v>
      </c>
      <c r="DB2819" s="5" t="s">
        <v>238</v>
      </c>
      <c r="DD2819" s="5" t="s">
        <v>274</v>
      </c>
      <c r="DE2819" s="8">
        <f>28</f>
        <v>28</v>
      </c>
      <c r="DG2819" s="5" t="s">
        <v>238</v>
      </c>
      <c r="DH2819" s="5" t="s">
        <v>238</v>
      </c>
      <c r="DI2819" s="5" t="s">
        <v>238</v>
      </c>
      <c r="DJ2819" s="5" t="s">
        <v>238</v>
      </c>
      <c r="DN2819" s="5" t="s">
        <v>238</v>
      </c>
      <c r="DO2819" s="5" t="s">
        <v>238</v>
      </c>
      <c r="DP2819" s="5" t="s">
        <v>238</v>
      </c>
      <c r="DQ2819" s="5" t="s">
        <v>238</v>
      </c>
      <c r="DT2819" s="5" t="s">
        <v>275</v>
      </c>
      <c r="DU2819" s="5" t="s">
        <v>310</v>
      </c>
      <c r="HM2819" s="5" t="s">
        <v>264</v>
      </c>
    </row>
    <row r="2820" spans="1:221" x14ac:dyDescent="0.4">
      <c r="A2820" s="5">
        <v>4524</v>
      </c>
      <c r="B2820" s="5">
        <v>1</v>
      </c>
      <c r="C2820" s="5">
        <v>1</v>
      </c>
      <c r="D2820" s="5" t="s">
        <v>269</v>
      </c>
      <c r="E2820" s="5" t="s">
        <v>271</v>
      </c>
      <c r="F2820" s="5" t="s">
        <v>248</v>
      </c>
      <c r="G2820" s="5" t="s">
        <v>266</v>
      </c>
      <c r="H2820" s="6" t="s">
        <v>317</v>
      </c>
      <c r="I2820" s="7">
        <f>250</f>
        <v>250</v>
      </c>
      <c r="J2820" s="5" t="s">
        <v>262</v>
      </c>
      <c r="K2820" s="8">
        <f>1</f>
        <v>1</v>
      </c>
      <c r="L2820" s="6" t="s">
        <v>242</v>
      </c>
      <c r="M2820" s="5" t="s">
        <v>267</v>
      </c>
      <c r="N2820" s="5" t="s">
        <v>265</v>
      </c>
      <c r="O2820" s="5" t="s">
        <v>238</v>
      </c>
      <c r="P2820" s="5" t="s">
        <v>238</v>
      </c>
      <c r="Q2820" s="5" t="s">
        <v>268</v>
      </c>
      <c r="R2820" s="5" t="s">
        <v>270</v>
      </c>
      <c r="S2820" s="5" t="s">
        <v>238</v>
      </c>
      <c r="V2820" s="5" t="s">
        <v>238</v>
      </c>
      <c r="X2820" s="6" t="s">
        <v>238</v>
      </c>
      <c r="AA2820" s="6" t="s">
        <v>243</v>
      </c>
      <c r="AB2820" s="5" t="s">
        <v>238</v>
      </c>
      <c r="AC2820" s="5" t="s">
        <v>244</v>
      </c>
      <c r="AD2820" s="5" t="s">
        <v>245</v>
      </c>
      <c r="AT2820" s="5" t="s">
        <v>246</v>
      </c>
      <c r="AU2820" s="5" t="s">
        <v>238</v>
      </c>
      <c r="AV2820" s="5" t="s">
        <v>247</v>
      </c>
      <c r="AW2820" s="5" t="s">
        <v>238</v>
      </c>
      <c r="AX2820" s="5" t="s">
        <v>249</v>
      </c>
      <c r="AY2820" s="5" t="s">
        <v>238</v>
      </c>
      <c r="BA2820" s="5" t="s">
        <v>238</v>
      </c>
      <c r="BC2820" s="5" t="s">
        <v>250</v>
      </c>
      <c r="BD2820" s="6" t="s">
        <v>243</v>
      </c>
      <c r="BE2820" s="5" t="s">
        <v>251</v>
      </c>
      <c r="BF2820" s="5" t="s">
        <v>252</v>
      </c>
      <c r="BG2820" s="5" t="s">
        <v>238</v>
      </c>
      <c r="BH2820" s="7">
        <f>0</f>
        <v>0</v>
      </c>
      <c r="BI2820" s="8">
        <f>0</f>
        <v>0</v>
      </c>
      <c r="BJ2820" s="5" t="s">
        <v>253</v>
      </c>
      <c r="BK2820" s="5" t="s">
        <v>254</v>
      </c>
      <c r="BY2820" s="5" t="s">
        <v>238</v>
      </c>
      <c r="BZ2820" s="5" t="s">
        <v>238</v>
      </c>
      <c r="CD2820" s="5" t="s">
        <v>273</v>
      </c>
      <c r="CE2820" s="5" t="s">
        <v>256</v>
      </c>
      <c r="CF2820" s="5" t="s">
        <v>238</v>
      </c>
      <c r="CI2820" s="6" t="s">
        <v>257</v>
      </c>
      <c r="CJ2820" s="5" t="s">
        <v>238</v>
      </c>
      <c r="CK2820" s="5" t="s">
        <v>258</v>
      </c>
      <c r="CL2820" s="5" t="s">
        <v>238</v>
      </c>
      <c r="CM2820" s="5" t="s">
        <v>238</v>
      </c>
      <c r="CN2820" s="5">
        <v>0</v>
      </c>
      <c r="CO2820" s="5" t="s">
        <v>259</v>
      </c>
      <c r="CP2820" s="5" t="s">
        <v>260</v>
      </c>
      <c r="CQ2820" s="5" t="s">
        <v>260</v>
      </c>
      <c r="CR2820" s="5" t="s">
        <v>261</v>
      </c>
      <c r="CU2820" s="8">
        <f>1</f>
        <v>1</v>
      </c>
      <c r="CV2820" s="8">
        <f>0</f>
        <v>0</v>
      </c>
      <c r="CX2820" s="8">
        <f>0</f>
        <v>0</v>
      </c>
      <c r="CY2820" s="8">
        <f>1</f>
        <v>1</v>
      </c>
      <c r="DA2820" s="5" t="s">
        <v>274</v>
      </c>
      <c r="DB2820" s="5" t="s">
        <v>238</v>
      </c>
      <c r="DD2820" s="5" t="s">
        <v>274</v>
      </c>
      <c r="DE2820" s="8">
        <f>250</f>
        <v>250</v>
      </c>
      <c r="DG2820" s="5" t="s">
        <v>238</v>
      </c>
      <c r="DH2820" s="5" t="s">
        <v>238</v>
      </c>
      <c r="DI2820" s="5" t="s">
        <v>238</v>
      </c>
      <c r="DJ2820" s="5" t="s">
        <v>238</v>
      </c>
      <c r="DN2820" s="5" t="s">
        <v>238</v>
      </c>
      <c r="DO2820" s="5" t="s">
        <v>238</v>
      </c>
      <c r="DP2820" s="5" t="s">
        <v>238</v>
      </c>
      <c r="DQ2820" s="5" t="s">
        <v>238</v>
      </c>
      <c r="DT2820" s="5" t="s">
        <v>275</v>
      </c>
      <c r="DU2820" s="5" t="s">
        <v>318</v>
      </c>
      <c r="HM2820" s="5" t="s">
        <v>264</v>
      </c>
    </row>
    <row r="2821" spans="1:221" x14ac:dyDescent="0.4">
      <c r="A2821" s="5">
        <v>4525</v>
      </c>
      <c r="B2821" s="5">
        <v>1</v>
      </c>
      <c r="C2821" s="5">
        <v>1</v>
      </c>
      <c r="D2821" s="5" t="s">
        <v>269</v>
      </c>
      <c r="E2821" s="5" t="s">
        <v>271</v>
      </c>
      <c r="F2821" s="5" t="s">
        <v>248</v>
      </c>
      <c r="G2821" s="5" t="s">
        <v>266</v>
      </c>
      <c r="H2821" s="6" t="s">
        <v>321</v>
      </c>
      <c r="I2821" s="7">
        <f>635</f>
        <v>635</v>
      </c>
      <c r="J2821" s="5" t="s">
        <v>262</v>
      </c>
      <c r="K2821" s="8">
        <f>1</f>
        <v>1</v>
      </c>
      <c r="L2821" s="6" t="s">
        <v>242</v>
      </c>
      <c r="M2821" s="5" t="s">
        <v>267</v>
      </c>
      <c r="N2821" s="5" t="s">
        <v>265</v>
      </c>
      <c r="O2821" s="5" t="s">
        <v>238</v>
      </c>
      <c r="P2821" s="5" t="s">
        <v>238</v>
      </c>
      <c r="Q2821" s="5" t="s">
        <v>268</v>
      </c>
      <c r="R2821" s="5" t="s">
        <v>270</v>
      </c>
      <c r="S2821" s="5" t="s">
        <v>238</v>
      </c>
      <c r="V2821" s="5" t="s">
        <v>238</v>
      </c>
      <c r="X2821" s="6" t="s">
        <v>238</v>
      </c>
      <c r="AA2821" s="6" t="s">
        <v>243</v>
      </c>
      <c r="AB2821" s="5" t="s">
        <v>238</v>
      </c>
      <c r="AC2821" s="5" t="s">
        <v>244</v>
      </c>
      <c r="AD2821" s="5" t="s">
        <v>245</v>
      </c>
      <c r="AT2821" s="5" t="s">
        <v>246</v>
      </c>
      <c r="AU2821" s="5" t="s">
        <v>238</v>
      </c>
      <c r="AV2821" s="5" t="s">
        <v>247</v>
      </c>
      <c r="AW2821" s="5" t="s">
        <v>238</v>
      </c>
      <c r="AX2821" s="5" t="s">
        <v>249</v>
      </c>
      <c r="AY2821" s="5" t="s">
        <v>238</v>
      </c>
      <c r="BA2821" s="5" t="s">
        <v>238</v>
      </c>
      <c r="BC2821" s="5" t="s">
        <v>250</v>
      </c>
      <c r="BD2821" s="6" t="s">
        <v>243</v>
      </c>
      <c r="BE2821" s="5" t="s">
        <v>251</v>
      </c>
      <c r="BF2821" s="5" t="s">
        <v>252</v>
      </c>
      <c r="BG2821" s="5" t="s">
        <v>238</v>
      </c>
      <c r="BH2821" s="7">
        <f>0</f>
        <v>0</v>
      </c>
      <c r="BI2821" s="8">
        <f>0</f>
        <v>0</v>
      </c>
      <c r="BJ2821" s="5" t="s">
        <v>253</v>
      </c>
      <c r="BK2821" s="5" t="s">
        <v>254</v>
      </c>
      <c r="BY2821" s="5" t="s">
        <v>238</v>
      </c>
      <c r="BZ2821" s="5" t="s">
        <v>238</v>
      </c>
      <c r="CD2821" s="5" t="s">
        <v>273</v>
      </c>
      <c r="CE2821" s="5" t="s">
        <v>256</v>
      </c>
      <c r="CF2821" s="5" t="s">
        <v>238</v>
      </c>
      <c r="CI2821" s="6" t="s">
        <v>257</v>
      </c>
      <c r="CJ2821" s="5" t="s">
        <v>238</v>
      </c>
      <c r="CK2821" s="5" t="s">
        <v>258</v>
      </c>
      <c r="CL2821" s="5" t="s">
        <v>238</v>
      </c>
      <c r="CM2821" s="5" t="s">
        <v>238</v>
      </c>
      <c r="CN2821" s="5">
        <v>0</v>
      </c>
      <c r="CO2821" s="5" t="s">
        <v>259</v>
      </c>
      <c r="CP2821" s="5" t="s">
        <v>260</v>
      </c>
      <c r="CQ2821" s="5" t="s">
        <v>260</v>
      </c>
      <c r="CR2821" s="5" t="s">
        <v>261</v>
      </c>
      <c r="CU2821" s="8">
        <f>1</f>
        <v>1</v>
      </c>
      <c r="CV2821" s="8">
        <f>0</f>
        <v>0</v>
      </c>
      <c r="CX2821" s="8">
        <f>0</f>
        <v>0</v>
      </c>
      <c r="CY2821" s="8">
        <f>1</f>
        <v>1</v>
      </c>
      <c r="DA2821" s="5" t="s">
        <v>274</v>
      </c>
      <c r="DB2821" s="5" t="s">
        <v>238</v>
      </c>
      <c r="DD2821" s="5" t="s">
        <v>274</v>
      </c>
      <c r="DE2821" s="8">
        <f>635</f>
        <v>635</v>
      </c>
      <c r="DG2821" s="5" t="s">
        <v>238</v>
      </c>
      <c r="DH2821" s="5" t="s">
        <v>238</v>
      </c>
      <c r="DI2821" s="5" t="s">
        <v>238</v>
      </c>
      <c r="DJ2821" s="5" t="s">
        <v>238</v>
      </c>
      <c r="DN2821" s="5" t="s">
        <v>238</v>
      </c>
      <c r="DO2821" s="5" t="s">
        <v>238</v>
      </c>
      <c r="DP2821" s="5" t="s">
        <v>238</v>
      </c>
      <c r="DQ2821" s="5" t="s">
        <v>238</v>
      </c>
      <c r="DT2821" s="5" t="s">
        <v>275</v>
      </c>
      <c r="DU2821" s="5" t="s">
        <v>322</v>
      </c>
      <c r="HM2821" s="5" t="s">
        <v>264</v>
      </c>
    </row>
    <row r="2822" spans="1:221" x14ac:dyDescent="0.4">
      <c r="A2822" s="5">
        <v>4526</v>
      </c>
      <c r="B2822" s="5">
        <v>1</v>
      </c>
      <c r="C2822" s="5">
        <v>1</v>
      </c>
      <c r="D2822" s="5" t="s">
        <v>269</v>
      </c>
      <c r="E2822" s="5" t="s">
        <v>271</v>
      </c>
      <c r="F2822" s="5" t="s">
        <v>248</v>
      </c>
      <c r="G2822" s="5" t="s">
        <v>266</v>
      </c>
      <c r="H2822" s="6" t="s">
        <v>327</v>
      </c>
      <c r="I2822" s="7">
        <f>1869</f>
        <v>1869</v>
      </c>
      <c r="J2822" s="5" t="s">
        <v>262</v>
      </c>
      <c r="K2822" s="8">
        <f>1</f>
        <v>1</v>
      </c>
      <c r="L2822" s="6" t="s">
        <v>242</v>
      </c>
      <c r="M2822" s="5" t="s">
        <v>267</v>
      </c>
      <c r="N2822" s="5" t="s">
        <v>265</v>
      </c>
      <c r="O2822" s="5" t="s">
        <v>238</v>
      </c>
      <c r="P2822" s="5" t="s">
        <v>238</v>
      </c>
      <c r="Q2822" s="5" t="s">
        <v>268</v>
      </c>
      <c r="R2822" s="5" t="s">
        <v>270</v>
      </c>
      <c r="S2822" s="5" t="s">
        <v>238</v>
      </c>
      <c r="V2822" s="5" t="s">
        <v>238</v>
      </c>
      <c r="X2822" s="6" t="s">
        <v>238</v>
      </c>
      <c r="AA2822" s="6" t="s">
        <v>243</v>
      </c>
      <c r="AB2822" s="5" t="s">
        <v>238</v>
      </c>
      <c r="AC2822" s="5" t="s">
        <v>244</v>
      </c>
      <c r="AD2822" s="5" t="s">
        <v>245</v>
      </c>
      <c r="AT2822" s="5" t="s">
        <v>246</v>
      </c>
      <c r="AU2822" s="5" t="s">
        <v>238</v>
      </c>
      <c r="AV2822" s="5" t="s">
        <v>247</v>
      </c>
      <c r="AW2822" s="5" t="s">
        <v>238</v>
      </c>
      <c r="AX2822" s="5" t="s">
        <v>249</v>
      </c>
      <c r="AY2822" s="5" t="s">
        <v>238</v>
      </c>
      <c r="BA2822" s="5" t="s">
        <v>238</v>
      </c>
      <c r="BC2822" s="5" t="s">
        <v>250</v>
      </c>
      <c r="BD2822" s="6" t="s">
        <v>243</v>
      </c>
      <c r="BE2822" s="5" t="s">
        <v>251</v>
      </c>
      <c r="BF2822" s="5" t="s">
        <v>252</v>
      </c>
      <c r="BG2822" s="5" t="s">
        <v>238</v>
      </c>
      <c r="BH2822" s="7">
        <f>0</f>
        <v>0</v>
      </c>
      <c r="BI2822" s="8">
        <f>0</f>
        <v>0</v>
      </c>
      <c r="BJ2822" s="5" t="s">
        <v>253</v>
      </c>
      <c r="BK2822" s="5" t="s">
        <v>254</v>
      </c>
      <c r="BY2822" s="5" t="s">
        <v>238</v>
      </c>
      <c r="BZ2822" s="5" t="s">
        <v>238</v>
      </c>
      <c r="CD2822" s="5" t="s">
        <v>273</v>
      </c>
      <c r="CE2822" s="5" t="s">
        <v>256</v>
      </c>
      <c r="CF2822" s="5" t="s">
        <v>238</v>
      </c>
      <c r="CI2822" s="6" t="s">
        <v>257</v>
      </c>
      <c r="CJ2822" s="5" t="s">
        <v>238</v>
      </c>
      <c r="CK2822" s="5" t="s">
        <v>258</v>
      </c>
      <c r="CL2822" s="5" t="s">
        <v>238</v>
      </c>
      <c r="CM2822" s="5" t="s">
        <v>238</v>
      </c>
      <c r="CN2822" s="5">
        <v>0</v>
      </c>
      <c r="CO2822" s="5" t="s">
        <v>259</v>
      </c>
      <c r="CP2822" s="5" t="s">
        <v>260</v>
      </c>
      <c r="CQ2822" s="5" t="s">
        <v>260</v>
      </c>
      <c r="CR2822" s="5" t="s">
        <v>261</v>
      </c>
      <c r="CU2822" s="8">
        <f>1</f>
        <v>1</v>
      </c>
      <c r="CV2822" s="8">
        <f>0</f>
        <v>0</v>
      </c>
      <c r="CX2822" s="8">
        <f>0</f>
        <v>0</v>
      </c>
      <c r="CY2822" s="8">
        <f>1</f>
        <v>1</v>
      </c>
      <c r="DA2822" s="5" t="s">
        <v>274</v>
      </c>
      <c r="DB2822" s="5" t="s">
        <v>238</v>
      </c>
      <c r="DD2822" s="5" t="s">
        <v>274</v>
      </c>
      <c r="DE2822" s="8">
        <f>1869</f>
        <v>1869</v>
      </c>
      <c r="DG2822" s="5" t="s">
        <v>238</v>
      </c>
      <c r="DH2822" s="5" t="s">
        <v>238</v>
      </c>
      <c r="DI2822" s="5" t="s">
        <v>238</v>
      </c>
      <c r="DJ2822" s="5" t="s">
        <v>238</v>
      </c>
      <c r="DN2822" s="5" t="s">
        <v>238</v>
      </c>
      <c r="DO2822" s="5" t="s">
        <v>238</v>
      </c>
      <c r="DP2822" s="5" t="s">
        <v>238</v>
      </c>
      <c r="DQ2822" s="5" t="s">
        <v>238</v>
      </c>
      <c r="DT2822" s="5" t="s">
        <v>275</v>
      </c>
      <c r="DU2822" s="5" t="s">
        <v>328</v>
      </c>
      <c r="HM2822" s="5" t="s">
        <v>264</v>
      </c>
    </row>
    <row r="2823" spans="1:221" x14ac:dyDescent="0.4">
      <c r="A2823" s="5">
        <v>4527</v>
      </c>
      <c r="B2823" s="5">
        <v>1</v>
      </c>
      <c r="C2823" s="5">
        <v>1</v>
      </c>
      <c r="D2823" s="5" t="s">
        <v>269</v>
      </c>
      <c r="E2823" s="5" t="s">
        <v>271</v>
      </c>
      <c r="F2823" s="5" t="s">
        <v>248</v>
      </c>
      <c r="G2823" s="5" t="s">
        <v>266</v>
      </c>
      <c r="H2823" s="6" t="s">
        <v>333</v>
      </c>
      <c r="I2823" s="7">
        <f>1333</f>
        <v>1333</v>
      </c>
      <c r="J2823" s="5" t="s">
        <v>262</v>
      </c>
      <c r="K2823" s="8">
        <f>1</f>
        <v>1</v>
      </c>
      <c r="L2823" s="6" t="s">
        <v>242</v>
      </c>
      <c r="M2823" s="5" t="s">
        <v>267</v>
      </c>
      <c r="N2823" s="5" t="s">
        <v>265</v>
      </c>
      <c r="O2823" s="5" t="s">
        <v>238</v>
      </c>
      <c r="P2823" s="5" t="s">
        <v>238</v>
      </c>
      <c r="Q2823" s="5" t="s">
        <v>268</v>
      </c>
      <c r="R2823" s="5" t="s">
        <v>270</v>
      </c>
      <c r="S2823" s="5" t="s">
        <v>238</v>
      </c>
      <c r="V2823" s="5" t="s">
        <v>238</v>
      </c>
      <c r="X2823" s="6" t="s">
        <v>238</v>
      </c>
      <c r="AA2823" s="6" t="s">
        <v>243</v>
      </c>
      <c r="AB2823" s="5" t="s">
        <v>238</v>
      </c>
      <c r="AC2823" s="5" t="s">
        <v>244</v>
      </c>
      <c r="AD2823" s="5" t="s">
        <v>245</v>
      </c>
      <c r="AT2823" s="5" t="s">
        <v>246</v>
      </c>
      <c r="AU2823" s="5" t="s">
        <v>238</v>
      </c>
      <c r="AV2823" s="5" t="s">
        <v>247</v>
      </c>
      <c r="AW2823" s="5" t="s">
        <v>238</v>
      </c>
      <c r="AX2823" s="5" t="s">
        <v>249</v>
      </c>
      <c r="AY2823" s="5" t="s">
        <v>238</v>
      </c>
      <c r="BA2823" s="5" t="s">
        <v>238</v>
      </c>
      <c r="BC2823" s="5" t="s">
        <v>250</v>
      </c>
      <c r="BD2823" s="6" t="s">
        <v>243</v>
      </c>
      <c r="BE2823" s="5" t="s">
        <v>251</v>
      </c>
      <c r="BF2823" s="5" t="s">
        <v>252</v>
      </c>
      <c r="BG2823" s="5" t="s">
        <v>238</v>
      </c>
      <c r="BH2823" s="7">
        <f>0</f>
        <v>0</v>
      </c>
      <c r="BI2823" s="8">
        <f>0</f>
        <v>0</v>
      </c>
      <c r="BJ2823" s="5" t="s">
        <v>253</v>
      </c>
      <c r="BK2823" s="5" t="s">
        <v>254</v>
      </c>
      <c r="BY2823" s="5" t="s">
        <v>238</v>
      </c>
      <c r="BZ2823" s="5" t="s">
        <v>238</v>
      </c>
      <c r="CD2823" s="5" t="s">
        <v>273</v>
      </c>
      <c r="CE2823" s="5" t="s">
        <v>256</v>
      </c>
      <c r="CF2823" s="5" t="s">
        <v>238</v>
      </c>
      <c r="CI2823" s="6" t="s">
        <v>257</v>
      </c>
      <c r="CJ2823" s="5" t="s">
        <v>238</v>
      </c>
      <c r="CK2823" s="5" t="s">
        <v>258</v>
      </c>
      <c r="CL2823" s="5" t="s">
        <v>238</v>
      </c>
      <c r="CM2823" s="5" t="s">
        <v>238</v>
      </c>
      <c r="CN2823" s="5">
        <v>0</v>
      </c>
      <c r="CO2823" s="5" t="s">
        <v>259</v>
      </c>
      <c r="CP2823" s="5" t="s">
        <v>260</v>
      </c>
      <c r="CQ2823" s="5" t="s">
        <v>260</v>
      </c>
      <c r="CR2823" s="5" t="s">
        <v>261</v>
      </c>
      <c r="CU2823" s="8">
        <f>1</f>
        <v>1</v>
      </c>
      <c r="CV2823" s="8">
        <f>0</f>
        <v>0</v>
      </c>
      <c r="CX2823" s="8">
        <f>0</f>
        <v>0</v>
      </c>
      <c r="CY2823" s="8">
        <f>1</f>
        <v>1</v>
      </c>
      <c r="DA2823" s="5" t="s">
        <v>274</v>
      </c>
      <c r="DB2823" s="5" t="s">
        <v>238</v>
      </c>
      <c r="DD2823" s="5" t="s">
        <v>274</v>
      </c>
      <c r="DE2823" s="8">
        <f>1333</f>
        <v>1333</v>
      </c>
      <c r="DG2823" s="5" t="s">
        <v>238</v>
      </c>
      <c r="DH2823" s="5" t="s">
        <v>238</v>
      </c>
      <c r="DI2823" s="5" t="s">
        <v>238</v>
      </c>
      <c r="DJ2823" s="5" t="s">
        <v>238</v>
      </c>
      <c r="DN2823" s="5" t="s">
        <v>238</v>
      </c>
      <c r="DO2823" s="5" t="s">
        <v>238</v>
      </c>
      <c r="DP2823" s="5" t="s">
        <v>238</v>
      </c>
      <c r="DQ2823" s="5" t="s">
        <v>238</v>
      </c>
      <c r="DT2823" s="5" t="s">
        <v>275</v>
      </c>
      <c r="DU2823" s="5" t="s">
        <v>334</v>
      </c>
      <c r="HM2823" s="5" t="s">
        <v>264</v>
      </c>
    </row>
    <row r="2824" spans="1:221" x14ac:dyDescent="0.4">
      <c r="A2824" s="5">
        <v>4528</v>
      </c>
      <c r="B2824" s="5">
        <v>1</v>
      </c>
      <c r="C2824" s="5">
        <v>1</v>
      </c>
      <c r="D2824" s="5" t="s">
        <v>269</v>
      </c>
      <c r="E2824" s="5" t="s">
        <v>271</v>
      </c>
      <c r="F2824" s="5" t="s">
        <v>248</v>
      </c>
      <c r="G2824" s="5" t="s">
        <v>266</v>
      </c>
      <c r="H2824" s="6" t="s">
        <v>337</v>
      </c>
      <c r="I2824" s="7">
        <f>529</f>
        <v>529</v>
      </c>
      <c r="J2824" s="5" t="s">
        <v>262</v>
      </c>
      <c r="K2824" s="8">
        <f>1</f>
        <v>1</v>
      </c>
      <c r="L2824" s="6" t="s">
        <v>242</v>
      </c>
      <c r="M2824" s="5" t="s">
        <v>267</v>
      </c>
      <c r="N2824" s="5" t="s">
        <v>265</v>
      </c>
      <c r="O2824" s="5" t="s">
        <v>238</v>
      </c>
      <c r="P2824" s="5" t="s">
        <v>238</v>
      </c>
      <c r="Q2824" s="5" t="s">
        <v>268</v>
      </c>
      <c r="R2824" s="5" t="s">
        <v>270</v>
      </c>
      <c r="S2824" s="5" t="s">
        <v>238</v>
      </c>
      <c r="V2824" s="5" t="s">
        <v>238</v>
      </c>
      <c r="X2824" s="6" t="s">
        <v>238</v>
      </c>
      <c r="AA2824" s="6" t="s">
        <v>243</v>
      </c>
      <c r="AB2824" s="5" t="s">
        <v>238</v>
      </c>
      <c r="AC2824" s="5" t="s">
        <v>244</v>
      </c>
      <c r="AD2824" s="5" t="s">
        <v>245</v>
      </c>
      <c r="AT2824" s="5" t="s">
        <v>246</v>
      </c>
      <c r="AU2824" s="5" t="s">
        <v>238</v>
      </c>
      <c r="AV2824" s="5" t="s">
        <v>247</v>
      </c>
      <c r="AW2824" s="5" t="s">
        <v>238</v>
      </c>
      <c r="AX2824" s="5" t="s">
        <v>249</v>
      </c>
      <c r="AY2824" s="5" t="s">
        <v>238</v>
      </c>
      <c r="BA2824" s="5" t="s">
        <v>238</v>
      </c>
      <c r="BC2824" s="5" t="s">
        <v>250</v>
      </c>
      <c r="BD2824" s="6" t="s">
        <v>243</v>
      </c>
      <c r="BE2824" s="5" t="s">
        <v>251</v>
      </c>
      <c r="BF2824" s="5" t="s">
        <v>252</v>
      </c>
      <c r="BG2824" s="5" t="s">
        <v>238</v>
      </c>
      <c r="BH2824" s="7">
        <f>0</f>
        <v>0</v>
      </c>
      <c r="BI2824" s="8">
        <f>0</f>
        <v>0</v>
      </c>
      <c r="BJ2824" s="5" t="s">
        <v>253</v>
      </c>
      <c r="BK2824" s="5" t="s">
        <v>254</v>
      </c>
      <c r="BY2824" s="5" t="s">
        <v>238</v>
      </c>
      <c r="BZ2824" s="5" t="s">
        <v>238</v>
      </c>
      <c r="CD2824" s="5" t="s">
        <v>273</v>
      </c>
      <c r="CE2824" s="5" t="s">
        <v>256</v>
      </c>
      <c r="CF2824" s="5" t="s">
        <v>238</v>
      </c>
      <c r="CI2824" s="6" t="s">
        <v>257</v>
      </c>
      <c r="CJ2824" s="5" t="s">
        <v>238</v>
      </c>
      <c r="CK2824" s="5" t="s">
        <v>258</v>
      </c>
      <c r="CL2824" s="5" t="s">
        <v>238</v>
      </c>
      <c r="CM2824" s="5" t="s">
        <v>238</v>
      </c>
      <c r="CN2824" s="5">
        <v>0</v>
      </c>
      <c r="CO2824" s="5" t="s">
        <v>259</v>
      </c>
      <c r="CP2824" s="5" t="s">
        <v>260</v>
      </c>
      <c r="CQ2824" s="5" t="s">
        <v>260</v>
      </c>
      <c r="CR2824" s="5" t="s">
        <v>261</v>
      </c>
      <c r="CU2824" s="8">
        <f>1</f>
        <v>1</v>
      </c>
      <c r="CV2824" s="8">
        <f>0</f>
        <v>0</v>
      </c>
      <c r="CX2824" s="8">
        <f>0</f>
        <v>0</v>
      </c>
      <c r="CY2824" s="8">
        <f>1</f>
        <v>1</v>
      </c>
      <c r="DA2824" s="5" t="s">
        <v>274</v>
      </c>
      <c r="DB2824" s="5" t="s">
        <v>238</v>
      </c>
      <c r="DD2824" s="5" t="s">
        <v>274</v>
      </c>
      <c r="DE2824" s="8">
        <f>529</f>
        <v>529</v>
      </c>
      <c r="DG2824" s="5" t="s">
        <v>238</v>
      </c>
      <c r="DH2824" s="5" t="s">
        <v>238</v>
      </c>
      <c r="DI2824" s="5" t="s">
        <v>238</v>
      </c>
      <c r="DJ2824" s="5" t="s">
        <v>238</v>
      </c>
      <c r="DN2824" s="5" t="s">
        <v>238</v>
      </c>
      <c r="DO2824" s="5" t="s">
        <v>238</v>
      </c>
      <c r="DP2824" s="5" t="s">
        <v>238</v>
      </c>
      <c r="DQ2824" s="5" t="s">
        <v>238</v>
      </c>
      <c r="DT2824" s="5" t="s">
        <v>275</v>
      </c>
      <c r="DU2824" s="5" t="s">
        <v>338</v>
      </c>
      <c r="HM2824" s="5" t="s">
        <v>264</v>
      </c>
    </row>
    <row r="2825" spans="1:221" x14ac:dyDescent="0.4">
      <c r="A2825" s="5">
        <v>4529</v>
      </c>
      <c r="B2825" s="5">
        <v>1</v>
      </c>
      <c r="C2825" s="5">
        <v>1</v>
      </c>
      <c r="D2825" s="5" t="s">
        <v>269</v>
      </c>
      <c r="E2825" s="5" t="s">
        <v>271</v>
      </c>
      <c r="F2825" s="5" t="s">
        <v>248</v>
      </c>
      <c r="G2825" s="5" t="s">
        <v>266</v>
      </c>
      <c r="H2825" s="6" t="s">
        <v>343</v>
      </c>
      <c r="I2825" s="7">
        <f>1641</f>
        <v>1641</v>
      </c>
      <c r="J2825" s="5" t="s">
        <v>262</v>
      </c>
      <c r="K2825" s="8">
        <f>1</f>
        <v>1</v>
      </c>
      <c r="L2825" s="6" t="s">
        <v>242</v>
      </c>
      <c r="M2825" s="5" t="s">
        <v>267</v>
      </c>
      <c r="N2825" s="5" t="s">
        <v>265</v>
      </c>
      <c r="O2825" s="5" t="s">
        <v>238</v>
      </c>
      <c r="P2825" s="5" t="s">
        <v>238</v>
      </c>
      <c r="Q2825" s="5" t="s">
        <v>268</v>
      </c>
      <c r="R2825" s="5" t="s">
        <v>270</v>
      </c>
      <c r="S2825" s="5" t="s">
        <v>238</v>
      </c>
      <c r="V2825" s="5" t="s">
        <v>238</v>
      </c>
      <c r="X2825" s="6" t="s">
        <v>238</v>
      </c>
      <c r="AA2825" s="6" t="s">
        <v>243</v>
      </c>
      <c r="AB2825" s="5" t="s">
        <v>238</v>
      </c>
      <c r="AC2825" s="5" t="s">
        <v>244</v>
      </c>
      <c r="AD2825" s="5" t="s">
        <v>245</v>
      </c>
      <c r="AT2825" s="5" t="s">
        <v>246</v>
      </c>
      <c r="AU2825" s="5" t="s">
        <v>238</v>
      </c>
      <c r="AV2825" s="5" t="s">
        <v>247</v>
      </c>
      <c r="AW2825" s="5" t="s">
        <v>238</v>
      </c>
      <c r="AX2825" s="5" t="s">
        <v>249</v>
      </c>
      <c r="AY2825" s="5" t="s">
        <v>238</v>
      </c>
      <c r="BA2825" s="5" t="s">
        <v>238</v>
      </c>
      <c r="BC2825" s="5" t="s">
        <v>250</v>
      </c>
      <c r="BD2825" s="6" t="s">
        <v>243</v>
      </c>
      <c r="BE2825" s="5" t="s">
        <v>251</v>
      </c>
      <c r="BF2825" s="5" t="s">
        <v>252</v>
      </c>
      <c r="BG2825" s="5" t="s">
        <v>238</v>
      </c>
      <c r="BH2825" s="7">
        <f>0</f>
        <v>0</v>
      </c>
      <c r="BI2825" s="8">
        <f>0</f>
        <v>0</v>
      </c>
      <c r="BJ2825" s="5" t="s">
        <v>253</v>
      </c>
      <c r="BK2825" s="5" t="s">
        <v>254</v>
      </c>
      <c r="BY2825" s="5" t="s">
        <v>238</v>
      </c>
      <c r="BZ2825" s="5" t="s">
        <v>238</v>
      </c>
      <c r="CD2825" s="5" t="s">
        <v>273</v>
      </c>
      <c r="CE2825" s="5" t="s">
        <v>256</v>
      </c>
      <c r="CF2825" s="5" t="s">
        <v>238</v>
      </c>
      <c r="CI2825" s="6" t="s">
        <v>257</v>
      </c>
      <c r="CJ2825" s="5" t="s">
        <v>238</v>
      </c>
      <c r="CK2825" s="5" t="s">
        <v>258</v>
      </c>
      <c r="CL2825" s="5" t="s">
        <v>238</v>
      </c>
      <c r="CM2825" s="5" t="s">
        <v>238</v>
      </c>
      <c r="CN2825" s="5">
        <v>0</v>
      </c>
      <c r="CO2825" s="5" t="s">
        <v>259</v>
      </c>
      <c r="CP2825" s="5" t="s">
        <v>260</v>
      </c>
      <c r="CQ2825" s="5" t="s">
        <v>260</v>
      </c>
      <c r="CR2825" s="5" t="s">
        <v>261</v>
      </c>
      <c r="CU2825" s="8">
        <f>1</f>
        <v>1</v>
      </c>
      <c r="CV2825" s="8">
        <f>0</f>
        <v>0</v>
      </c>
      <c r="CX2825" s="8">
        <f>0</f>
        <v>0</v>
      </c>
      <c r="CY2825" s="8">
        <f>1</f>
        <v>1</v>
      </c>
      <c r="DA2825" s="5" t="s">
        <v>274</v>
      </c>
      <c r="DB2825" s="5" t="s">
        <v>238</v>
      </c>
      <c r="DD2825" s="5" t="s">
        <v>274</v>
      </c>
      <c r="DE2825" s="8">
        <f>1641</f>
        <v>1641</v>
      </c>
      <c r="DG2825" s="5" t="s">
        <v>238</v>
      </c>
      <c r="DH2825" s="5" t="s">
        <v>238</v>
      </c>
      <c r="DI2825" s="5" t="s">
        <v>238</v>
      </c>
      <c r="DJ2825" s="5" t="s">
        <v>238</v>
      </c>
      <c r="DN2825" s="5" t="s">
        <v>238</v>
      </c>
      <c r="DO2825" s="5" t="s">
        <v>238</v>
      </c>
      <c r="DP2825" s="5" t="s">
        <v>238</v>
      </c>
      <c r="DQ2825" s="5" t="s">
        <v>238</v>
      </c>
      <c r="DT2825" s="5" t="s">
        <v>275</v>
      </c>
      <c r="DU2825" s="5" t="s">
        <v>344</v>
      </c>
      <c r="HM2825" s="5" t="s">
        <v>264</v>
      </c>
    </row>
    <row r="2826" spans="1:221" x14ac:dyDescent="0.4">
      <c r="A2826" s="5">
        <v>4530</v>
      </c>
      <c r="B2826" s="5">
        <v>1</v>
      </c>
      <c r="C2826" s="5">
        <v>1</v>
      </c>
      <c r="D2826" s="5" t="s">
        <v>269</v>
      </c>
      <c r="E2826" s="5" t="s">
        <v>271</v>
      </c>
      <c r="F2826" s="5" t="s">
        <v>248</v>
      </c>
      <c r="G2826" s="5" t="s">
        <v>266</v>
      </c>
      <c r="H2826" s="6" t="s">
        <v>353</v>
      </c>
      <c r="I2826" s="7">
        <f>177</f>
        <v>177</v>
      </c>
      <c r="J2826" s="5" t="s">
        <v>262</v>
      </c>
      <c r="K2826" s="8">
        <f>1</f>
        <v>1</v>
      </c>
      <c r="L2826" s="6" t="s">
        <v>242</v>
      </c>
      <c r="M2826" s="5" t="s">
        <v>267</v>
      </c>
      <c r="N2826" s="5" t="s">
        <v>265</v>
      </c>
      <c r="O2826" s="5" t="s">
        <v>238</v>
      </c>
      <c r="P2826" s="5" t="s">
        <v>238</v>
      </c>
      <c r="Q2826" s="5" t="s">
        <v>268</v>
      </c>
      <c r="R2826" s="5" t="s">
        <v>270</v>
      </c>
      <c r="S2826" s="5" t="s">
        <v>238</v>
      </c>
      <c r="V2826" s="5" t="s">
        <v>238</v>
      </c>
      <c r="X2826" s="6" t="s">
        <v>238</v>
      </c>
      <c r="AA2826" s="6" t="s">
        <v>243</v>
      </c>
      <c r="AB2826" s="5" t="s">
        <v>238</v>
      </c>
      <c r="AC2826" s="5" t="s">
        <v>244</v>
      </c>
      <c r="AD2826" s="5" t="s">
        <v>245</v>
      </c>
      <c r="AT2826" s="5" t="s">
        <v>246</v>
      </c>
      <c r="AU2826" s="5" t="s">
        <v>238</v>
      </c>
      <c r="AV2826" s="5" t="s">
        <v>247</v>
      </c>
      <c r="AW2826" s="5" t="s">
        <v>238</v>
      </c>
      <c r="AX2826" s="5" t="s">
        <v>249</v>
      </c>
      <c r="AY2826" s="5" t="s">
        <v>238</v>
      </c>
      <c r="BA2826" s="5" t="s">
        <v>238</v>
      </c>
      <c r="BC2826" s="5" t="s">
        <v>250</v>
      </c>
      <c r="BD2826" s="6" t="s">
        <v>243</v>
      </c>
      <c r="BE2826" s="5" t="s">
        <v>251</v>
      </c>
      <c r="BF2826" s="5" t="s">
        <v>252</v>
      </c>
      <c r="BG2826" s="5" t="s">
        <v>238</v>
      </c>
      <c r="BH2826" s="7">
        <f>0</f>
        <v>0</v>
      </c>
      <c r="BI2826" s="8">
        <f>0</f>
        <v>0</v>
      </c>
      <c r="BJ2826" s="5" t="s">
        <v>253</v>
      </c>
      <c r="BK2826" s="5" t="s">
        <v>254</v>
      </c>
      <c r="BY2826" s="5" t="s">
        <v>238</v>
      </c>
      <c r="BZ2826" s="5" t="s">
        <v>238</v>
      </c>
      <c r="CD2826" s="5" t="s">
        <v>273</v>
      </c>
      <c r="CE2826" s="5" t="s">
        <v>256</v>
      </c>
      <c r="CF2826" s="5" t="s">
        <v>238</v>
      </c>
      <c r="CI2826" s="6" t="s">
        <v>257</v>
      </c>
      <c r="CJ2826" s="5" t="s">
        <v>238</v>
      </c>
      <c r="CK2826" s="5" t="s">
        <v>258</v>
      </c>
      <c r="CL2826" s="5" t="s">
        <v>238</v>
      </c>
      <c r="CM2826" s="5" t="s">
        <v>238</v>
      </c>
      <c r="CN2826" s="5">
        <v>0</v>
      </c>
      <c r="CO2826" s="5" t="s">
        <v>259</v>
      </c>
      <c r="CP2826" s="5" t="s">
        <v>260</v>
      </c>
      <c r="CQ2826" s="5" t="s">
        <v>260</v>
      </c>
      <c r="CR2826" s="5" t="s">
        <v>261</v>
      </c>
      <c r="CU2826" s="8">
        <f>1</f>
        <v>1</v>
      </c>
      <c r="CV2826" s="8">
        <f>0</f>
        <v>0</v>
      </c>
      <c r="CX2826" s="8">
        <f>0</f>
        <v>0</v>
      </c>
      <c r="CY2826" s="8">
        <f>1</f>
        <v>1</v>
      </c>
      <c r="DA2826" s="5" t="s">
        <v>274</v>
      </c>
      <c r="DB2826" s="5" t="s">
        <v>238</v>
      </c>
      <c r="DD2826" s="5" t="s">
        <v>274</v>
      </c>
      <c r="DE2826" s="8">
        <f>177</f>
        <v>177</v>
      </c>
      <c r="DG2826" s="5" t="s">
        <v>238</v>
      </c>
      <c r="DH2826" s="5" t="s">
        <v>238</v>
      </c>
      <c r="DI2826" s="5" t="s">
        <v>238</v>
      </c>
      <c r="DJ2826" s="5" t="s">
        <v>238</v>
      </c>
      <c r="DN2826" s="5" t="s">
        <v>238</v>
      </c>
      <c r="DO2826" s="5" t="s">
        <v>238</v>
      </c>
      <c r="DP2826" s="5" t="s">
        <v>238</v>
      </c>
      <c r="DQ2826" s="5" t="s">
        <v>238</v>
      </c>
      <c r="DT2826" s="5" t="s">
        <v>275</v>
      </c>
      <c r="DU2826" s="5" t="s">
        <v>354</v>
      </c>
      <c r="HM2826" s="5" t="s">
        <v>264</v>
      </c>
    </row>
    <row r="2827" spans="1:221" x14ac:dyDescent="0.4">
      <c r="A2827" s="5">
        <v>4531</v>
      </c>
      <c r="B2827" s="5">
        <v>1</v>
      </c>
      <c r="C2827" s="5">
        <v>1</v>
      </c>
      <c r="D2827" s="5" t="s">
        <v>269</v>
      </c>
      <c r="E2827" s="5" t="s">
        <v>271</v>
      </c>
      <c r="F2827" s="5" t="s">
        <v>248</v>
      </c>
      <c r="G2827" s="5" t="s">
        <v>266</v>
      </c>
      <c r="H2827" s="6" t="s">
        <v>363</v>
      </c>
      <c r="I2827" s="7">
        <f>120</f>
        <v>120</v>
      </c>
      <c r="J2827" s="5" t="s">
        <v>262</v>
      </c>
      <c r="K2827" s="8">
        <f>1</f>
        <v>1</v>
      </c>
      <c r="L2827" s="6" t="s">
        <v>242</v>
      </c>
      <c r="M2827" s="5" t="s">
        <v>267</v>
      </c>
      <c r="N2827" s="5" t="s">
        <v>265</v>
      </c>
      <c r="O2827" s="5" t="s">
        <v>238</v>
      </c>
      <c r="P2827" s="5" t="s">
        <v>238</v>
      </c>
      <c r="Q2827" s="5" t="s">
        <v>268</v>
      </c>
      <c r="R2827" s="5" t="s">
        <v>270</v>
      </c>
      <c r="S2827" s="5" t="s">
        <v>238</v>
      </c>
      <c r="V2827" s="5" t="s">
        <v>238</v>
      </c>
      <c r="X2827" s="6" t="s">
        <v>238</v>
      </c>
      <c r="AA2827" s="6" t="s">
        <v>243</v>
      </c>
      <c r="AB2827" s="5" t="s">
        <v>238</v>
      </c>
      <c r="AC2827" s="5" t="s">
        <v>244</v>
      </c>
      <c r="AD2827" s="5" t="s">
        <v>245</v>
      </c>
      <c r="AT2827" s="5" t="s">
        <v>246</v>
      </c>
      <c r="AU2827" s="5" t="s">
        <v>238</v>
      </c>
      <c r="AV2827" s="5" t="s">
        <v>247</v>
      </c>
      <c r="AW2827" s="5" t="s">
        <v>238</v>
      </c>
      <c r="AX2827" s="5" t="s">
        <v>249</v>
      </c>
      <c r="AY2827" s="5" t="s">
        <v>238</v>
      </c>
      <c r="BA2827" s="5" t="s">
        <v>238</v>
      </c>
      <c r="BC2827" s="5" t="s">
        <v>250</v>
      </c>
      <c r="BD2827" s="6" t="s">
        <v>243</v>
      </c>
      <c r="BE2827" s="5" t="s">
        <v>251</v>
      </c>
      <c r="BF2827" s="5" t="s">
        <v>252</v>
      </c>
      <c r="BG2827" s="5" t="s">
        <v>238</v>
      </c>
      <c r="BH2827" s="7">
        <f>0</f>
        <v>0</v>
      </c>
      <c r="BI2827" s="8">
        <f>0</f>
        <v>0</v>
      </c>
      <c r="BJ2827" s="5" t="s">
        <v>253</v>
      </c>
      <c r="BK2827" s="5" t="s">
        <v>254</v>
      </c>
      <c r="BY2827" s="5" t="s">
        <v>238</v>
      </c>
      <c r="BZ2827" s="5" t="s">
        <v>238</v>
      </c>
      <c r="CD2827" s="5" t="s">
        <v>273</v>
      </c>
      <c r="CE2827" s="5" t="s">
        <v>256</v>
      </c>
      <c r="CF2827" s="5" t="s">
        <v>238</v>
      </c>
      <c r="CI2827" s="6" t="s">
        <v>257</v>
      </c>
      <c r="CJ2827" s="5" t="s">
        <v>238</v>
      </c>
      <c r="CK2827" s="5" t="s">
        <v>258</v>
      </c>
      <c r="CL2827" s="5" t="s">
        <v>238</v>
      </c>
      <c r="CM2827" s="5" t="s">
        <v>238</v>
      </c>
      <c r="CN2827" s="5">
        <v>0</v>
      </c>
      <c r="CO2827" s="5" t="s">
        <v>259</v>
      </c>
      <c r="CP2827" s="5" t="s">
        <v>260</v>
      </c>
      <c r="CQ2827" s="5" t="s">
        <v>260</v>
      </c>
      <c r="CR2827" s="5" t="s">
        <v>261</v>
      </c>
      <c r="CU2827" s="8">
        <f>1</f>
        <v>1</v>
      </c>
      <c r="CV2827" s="8">
        <f>0</f>
        <v>0</v>
      </c>
      <c r="CX2827" s="8">
        <f>0</f>
        <v>0</v>
      </c>
      <c r="CY2827" s="8">
        <f>1</f>
        <v>1</v>
      </c>
      <c r="DA2827" s="5" t="s">
        <v>274</v>
      </c>
      <c r="DB2827" s="5" t="s">
        <v>238</v>
      </c>
      <c r="DD2827" s="5" t="s">
        <v>274</v>
      </c>
      <c r="DE2827" s="8">
        <f>120</f>
        <v>120</v>
      </c>
      <c r="DG2827" s="5" t="s">
        <v>238</v>
      </c>
      <c r="DH2827" s="5" t="s">
        <v>238</v>
      </c>
      <c r="DI2827" s="5" t="s">
        <v>238</v>
      </c>
      <c r="DJ2827" s="5" t="s">
        <v>238</v>
      </c>
      <c r="DN2827" s="5" t="s">
        <v>238</v>
      </c>
      <c r="DO2827" s="5" t="s">
        <v>238</v>
      </c>
      <c r="DP2827" s="5" t="s">
        <v>238</v>
      </c>
      <c r="DQ2827" s="5" t="s">
        <v>238</v>
      </c>
      <c r="DT2827" s="5" t="s">
        <v>275</v>
      </c>
      <c r="DU2827" s="5" t="s">
        <v>364</v>
      </c>
      <c r="HM2827" s="5" t="s">
        <v>264</v>
      </c>
    </row>
    <row r="2828" spans="1:221" x14ac:dyDescent="0.4">
      <c r="A2828" s="5">
        <v>4532</v>
      </c>
      <c r="B2828" s="5">
        <v>1</v>
      </c>
      <c r="C2828" s="5">
        <v>1</v>
      </c>
      <c r="D2828" s="5" t="s">
        <v>269</v>
      </c>
      <c r="E2828" s="5" t="s">
        <v>271</v>
      </c>
      <c r="F2828" s="5" t="s">
        <v>248</v>
      </c>
      <c r="G2828" s="5" t="s">
        <v>266</v>
      </c>
      <c r="H2828" s="6" t="s">
        <v>369</v>
      </c>
      <c r="I2828" s="7">
        <f>1243</f>
        <v>1243</v>
      </c>
      <c r="J2828" s="5" t="s">
        <v>262</v>
      </c>
      <c r="K2828" s="8">
        <f>1</f>
        <v>1</v>
      </c>
      <c r="L2828" s="6" t="s">
        <v>242</v>
      </c>
      <c r="M2828" s="5" t="s">
        <v>267</v>
      </c>
      <c r="N2828" s="5" t="s">
        <v>265</v>
      </c>
      <c r="O2828" s="5" t="s">
        <v>238</v>
      </c>
      <c r="P2828" s="5" t="s">
        <v>238</v>
      </c>
      <c r="Q2828" s="5" t="s">
        <v>268</v>
      </c>
      <c r="R2828" s="5" t="s">
        <v>270</v>
      </c>
      <c r="S2828" s="5" t="s">
        <v>238</v>
      </c>
      <c r="V2828" s="5" t="s">
        <v>238</v>
      </c>
      <c r="X2828" s="6" t="s">
        <v>238</v>
      </c>
      <c r="AA2828" s="6" t="s">
        <v>243</v>
      </c>
      <c r="AB2828" s="5" t="s">
        <v>238</v>
      </c>
      <c r="AC2828" s="5" t="s">
        <v>244</v>
      </c>
      <c r="AD2828" s="5" t="s">
        <v>245</v>
      </c>
      <c r="AT2828" s="5" t="s">
        <v>246</v>
      </c>
      <c r="AU2828" s="5" t="s">
        <v>238</v>
      </c>
      <c r="AV2828" s="5" t="s">
        <v>247</v>
      </c>
      <c r="AW2828" s="5" t="s">
        <v>238</v>
      </c>
      <c r="AX2828" s="5" t="s">
        <v>249</v>
      </c>
      <c r="AY2828" s="5" t="s">
        <v>238</v>
      </c>
      <c r="BA2828" s="5" t="s">
        <v>238</v>
      </c>
      <c r="BC2828" s="5" t="s">
        <v>250</v>
      </c>
      <c r="BD2828" s="6" t="s">
        <v>243</v>
      </c>
      <c r="BE2828" s="5" t="s">
        <v>251</v>
      </c>
      <c r="BF2828" s="5" t="s">
        <v>252</v>
      </c>
      <c r="BG2828" s="5" t="s">
        <v>238</v>
      </c>
      <c r="BH2828" s="7">
        <f>0</f>
        <v>0</v>
      </c>
      <c r="BI2828" s="8">
        <f>0</f>
        <v>0</v>
      </c>
      <c r="BJ2828" s="5" t="s">
        <v>253</v>
      </c>
      <c r="BK2828" s="5" t="s">
        <v>254</v>
      </c>
      <c r="BY2828" s="5" t="s">
        <v>238</v>
      </c>
      <c r="BZ2828" s="5" t="s">
        <v>238</v>
      </c>
      <c r="CD2828" s="5" t="s">
        <v>273</v>
      </c>
      <c r="CE2828" s="5" t="s">
        <v>256</v>
      </c>
      <c r="CF2828" s="5" t="s">
        <v>238</v>
      </c>
      <c r="CI2828" s="6" t="s">
        <v>257</v>
      </c>
      <c r="CJ2828" s="5" t="s">
        <v>238</v>
      </c>
      <c r="CK2828" s="5" t="s">
        <v>258</v>
      </c>
      <c r="CL2828" s="5" t="s">
        <v>238</v>
      </c>
      <c r="CM2828" s="5" t="s">
        <v>238</v>
      </c>
      <c r="CN2828" s="5">
        <v>0</v>
      </c>
      <c r="CO2828" s="5" t="s">
        <v>259</v>
      </c>
      <c r="CP2828" s="5" t="s">
        <v>260</v>
      </c>
      <c r="CQ2828" s="5" t="s">
        <v>260</v>
      </c>
      <c r="CR2828" s="5" t="s">
        <v>261</v>
      </c>
      <c r="CU2828" s="8">
        <f>1</f>
        <v>1</v>
      </c>
      <c r="CV2828" s="8">
        <f>0</f>
        <v>0</v>
      </c>
      <c r="CX2828" s="8">
        <f>0</f>
        <v>0</v>
      </c>
      <c r="CY2828" s="8">
        <f>1</f>
        <v>1</v>
      </c>
      <c r="DA2828" s="5" t="s">
        <v>274</v>
      </c>
      <c r="DB2828" s="5" t="s">
        <v>238</v>
      </c>
      <c r="DD2828" s="5" t="s">
        <v>274</v>
      </c>
      <c r="DE2828" s="8">
        <f>1243</f>
        <v>1243</v>
      </c>
      <c r="DG2828" s="5" t="s">
        <v>238</v>
      </c>
      <c r="DH2828" s="5" t="s">
        <v>238</v>
      </c>
      <c r="DI2828" s="5" t="s">
        <v>238</v>
      </c>
      <c r="DJ2828" s="5" t="s">
        <v>238</v>
      </c>
      <c r="DN2828" s="5" t="s">
        <v>238</v>
      </c>
      <c r="DO2828" s="5" t="s">
        <v>238</v>
      </c>
      <c r="DP2828" s="5" t="s">
        <v>238</v>
      </c>
      <c r="DQ2828" s="5" t="s">
        <v>238</v>
      </c>
      <c r="DT2828" s="5" t="s">
        <v>275</v>
      </c>
      <c r="DU2828" s="5" t="s">
        <v>370</v>
      </c>
      <c r="HM2828" s="5" t="s">
        <v>264</v>
      </c>
    </row>
    <row r="2829" spans="1:221" x14ac:dyDescent="0.4">
      <c r="A2829" s="5">
        <v>4533</v>
      </c>
      <c r="B2829" s="5">
        <v>1</v>
      </c>
      <c r="C2829" s="5">
        <v>1</v>
      </c>
      <c r="D2829" s="5" t="s">
        <v>269</v>
      </c>
      <c r="E2829" s="5" t="s">
        <v>271</v>
      </c>
      <c r="F2829" s="5" t="s">
        <v>248</v>
      </c>
      <c r="G2829" s="5" t="s">
        <v>266</v>
      </c>
      <c r="H2829" s="6" t="s">
        <v>377</v>
      </c>
      <c r="I2829" s="7">
        <f>1308</f>
        <v>1308</v>
      </c>
      <c r="J2829" s="5" t="s">
        <v>262</v>
      </c>
      <c r="K2829" s="8">
        <f>1</f>
        <v>1</v>
      </c>
      <c r="L2829" s="6" t="s">
        <v>242</v>
      </c>
      <c r="M2829" s="5" t="s">
        <v>267</v>
      </c>
      <c r="N2829" s="5" t="s">
        <v>265</v>
      </c>
      <c r="O2829" s="5" t="s">
        <v>238</v>
      </c>
      <c r="P2829" s="5" t="s">
        <v>238</v>
      </c>
      <c r="Q2829" s="5" t="s">
        <v>268</v>
      </c>
      <c r="R2829" s="5" t="s">
        <v>270</v>
      </c>
      <c r="S2829" s="5" t="s">
        <v>238</v>
      </c>
      <c r="V2829" s="5" t="s">
        <v>238</v>
      </c>
      <c r="X2829" s="6" t="s">
        <v>238</v>
      </c>
      <c r="AA2829" s="6" t="s">
        <v>243</v>
      </c>
      <c r="AB2829" s="5" t="s">
        <v>238</v>
      </c>
      <c r="AC2829" s="5" t="s">
        <v>244</v>
      </c>
      <c r="AD2829" s="5" t="s">
        <v>245</v>
      </c>
      <c r="AT2829" s="5" t="s">
        <v>246</v>
      </c>
      <c r="AU2829" s="5" t="s">
        <v>238</v>
      </c>
      <c r="AV2829" s="5" t="s">
        <v>247</v>
      </c>
      <c r="AW2829" s="5" t="s">
        <v>238</v>
      </c>
      <c r="AX2829" s="5" t="s">
        <v>249</v>
      </c>
      <c r="AY2829" s="5" t="s">
        <v>238</v>
      </c>
      <c r="BA2829" s="5" t="s">
        <v>238</v>
      </c>
      <c r="BC2829" s="5" t="s">
        <v>250</v>
      </c>
      <c r="BD2829" s="6" t="s">
        <v>243</v>
      </c>
      <c r="BE2829" s="5" t="s">
        <v>251</v>
      </c>
      <c r="BF2829" s="5" t="s">
        <v>252</v>
      </c>
      <c r="BG2829" s="5" t="s">
        <v>238</v>
      </c>
      <c r="BH2829" s="7">
        <f>0</f>
        <v>0</v>
      </c>
      <c r="BI2829" s="8">
        <f>0</f>
        <v>0</v>
      </c>
      <c r="BJ2829" s="5" t="s">
        <v>253</v>
      </c>
      <c r="BK2829" s="5" t="s">
        <v>254</v>
      </c>
      <c r="BY2829" s="5" t="s">
        <v>238</v>
      </c>
      <c r="BZ2829" s="5" t="s">
        <v>238</v>
      </c>
      <c r="CD2829" s="5" t="s">
        <v>273</v>
      </c>
      <c r="CE2829" s="5" t="s">
        <v>256</v>
      </c>
      <c r="CF2829" s="5" t="s">
        <v>238</v>
      </c>
      <c r="CI2829" s="6" t="s">
        <v>257</v>
      </c>
      <c r="CJ2829" s="5" t="s">
        <v>238</v>
      </c>
      <c r="CK2829" s="5" t="s">
        <v>258</v>
      </c>
      <c r="CL2829" s="5" t="s">
        <v>238</v>
      </c>
      <c r="CM2829" s="5" t="s">
        <v>238</v>
      </c>
      <c r="CN2829" s="5">
        <v>0</v>
      </c>
      <c r="CO2829" s="5" t="s">
        <v>259</v>
      </c>
      <c r="CP2829" s="5" t="s">
        <v>260</v>
      </c>
      <c r="CQ2829" s="5" t="s">
        <v>260</v>
      </c>
      <c r="CR2829" s="5" t="s">
        <v>261</v>
      </c>
      <c r="CU2829" s="8">
        <f>1</f>
        <v>1</v>
      </c>
      <c r="CV2829" s="8">
        <f>0</f>
        <v>0</v>
      </c>
      <c r="CX2829" s="8">
        <f>0</f>
        <v>0</v>
      </c>
      <c r="CY2829" s="8">
        <f>1</f>
        <v>1</v>
      </c>
      <c r="DA2829" s="5" t="s">
        <v>274</v>
      </c>
      <c r="DB2829" s="5" t="s">
        <v>238</v>
      </c>
      <c r="DD2829" s="5" t="s">
        <v>274</v>
      </c>
      <c r="DE2829" s="8">
        <f>1308</f>
        <v>1308</v>
      </c>
      <c r="DG2829" s="5" t="s">
        <v>238</v>
      </c>
      <c r="DH2829" s="5" t="s">
        <v>238</v>
      </c>
      <c r="DI2829" s="5" t="s">
        <v>238</v>
      </c>
      <c r="DJ2829" s="5" t="s">
        <v>238</v>
      </c>
      <c r="DN2829" s="5" t="s">
        <v>238</v>
      </c>
      <c r="DO2829" s="5" t="s">
        <v>238</v>
      </c>
      <c r="DP2829" s="5" t="s">
        <v>238</v>
      </c>
      <c r="DQ2829" s="5" t="s">
        <v>238</v>
      </c>
      <c r="DT2829" s="5" t="s">
        <v>275</v>
      </c>
      <c r="DU2829" s="5" t="s">
        <v>378</v>
      </c>
      <c r="HM2829" s="5" t="s">
        <v>264</v>
      </c>
    </row>
    <row r="2830" spans="1:221" x14ac:dyDescent="0.4">
      <c r="A2830" s="5">
        <v>4534</v>
      </c>
      <c r="B2830" s="5">
        <v>1</v>
      </c>
      <c r="C2830" s="5">
        <v>1</v>
      </c>
      <c r="D2830" s="5" t="s">
        <v>269</v>
      </c>
      <c r="E2830" s="5" t="s">
        <v>271</v>
      </c>
      <c r="F2830" s="5" t="s">
        <v>248</v>
      </c>
      <c r="G2830" s="5" t="s">
        <v>266</v>
      </c>
      <c r="H2830" s="6" t="s">
        <v>383</v>
      </c>
      <c r="I2830" s="7">
        <f>1871</f>
        <v>1871</v>
      </c>
      <c r="J2830" s="5" t="s">
        <v>262</v>
      </c>
      <c r="K2830" s="8">
        <f>1</f>
        <v>1</v>
      </c>
      <c r="L2830" s="6" t="s">
        <v>242</v>
      </c>
      <c r="M2830" s="5" t="s">
        <v>267</v>
      </c>
      <c r="N2830" s="5" t="s">
        <v>265</v>
      </c>
      <c r="O2830" s="5" t="s">
        <v>238</v>
      </c>
      <c r="P2830" s="5" t="s">
        <v>238</v>
      </c>
      <c r="Q2830" s="5" t="s">
        <v>268</v>
      </c>
      <c r="R2830" s="5" t="s">
        <v>270</v>
      </c>
      <c r="S2830" s="5" t="s">
        <v>238</v>
      </c>
      <c r="V2830" s="5" t="s">
        <v>238</v>
      </c>
      <c r="X2830" s="6" t="s">
        <v>238</v>
      </c>
      <c r="AA2830" s="6" t="s">
        <v>243</v>
      </c>
      <c r="AB2830" s="5" t="s">
        <v>238</v>
      </c>
      <c r="AC2830" s="5" t="s">
        <v>244</v>
      </c>
      <c r="AD2830" s="5" t="s">
        <v>245</v>
      </c>
      <c r="AT2830" s="5" t="s">
        <v>246</v>
      </c>
      <c r="AU2830" s="5" t="s">
        <v>238</v>
      </c>
      <c r="AV2830" s="5" t="s">
        <v>247</v>
      </c>
      <c r="AW2830" s="5" t="s">
        <v>238</v>
      </c>
      <c r="AX2830" s="5" t="s">
        <v>249</v>
      </c>
      <c r="AY2830" s="5" t="s">
        <v>238</v>
      </c>
      <c r="BA2830" s="5" t="s">
        <v>238</v>
      </c>
      <c r="BC2830" s="5" t="s">
        <v>250</v>
      </c>
      <c r="BD2830" s="6" t="s">
        <v>243</v>
      </c>
      <c r="BE2830" s="5" t="s">
        <v>251</v>
      </c>
      <c r="BF2830" s="5" t="s">
        <v>252</v>
      </c>
      <c r="BG2830" s="5" t="s">
        <v>238</v>
      </c>
      <c r="BH2830" s="7">
        <f>0</f>
        <v>0</v>
      </c>
      <c r="BI2830" s="8">
        <f>0</f>
        <v>0</v>
      </c>
      <c r="BJ2830" s="5" t="s">
        <v>253</v>
      </c>
      <c r="BK2830" s="5" t="s">
        <v>254</v>
      </c>
      <c r="BY2830" s="5" t="s">
        <v>238</v>
      </c>
      <c r="BZ2830" s="5" t="s">
        <v>238</v>
      </c>
      <c r="CD2830" s="5" t="s">
        <v>273</v>
      </c>
      <c r="CE2830" s="5" t="s">
        <v>256</v>
      </c>
      <c r="CF2830" s="5" t="s">
        <v>238</v>
      </c>
      <c r="CI2830" s="6" t="s">
        <v>257</v>
      </c>
      <c r="CJ2830" s="5" t="s">
        <v>238</v>
      </c>
      <c r="CK2830" s="5" t="s">
        <v>258</v>
      </c>
      <c r="CL2830" s="5" t="s">
        <v>238</v>
      </c>
      <c r="CM2830" s="5" t="s">
        <v>238</v>
      </c>
      <c r="CN2830" s="5">
        <v>0</v>
      </c>
      <c r="CO2830" s="5" t="s">
        <v>259</v>
      </c>
      <c r="CP2830" s="5" t="s">
        <v>260</v>
      </c>
      <c r="CQ2830" s="5" t="s">
        <v>260</v>
      </c>
      <c r="CR2830" s="5" t="s">
        <v>261</v>
      </c>
      <c r="CU2830" s="8">
        <f>1</f>
        <v>1</v>
      </c>
      <c r="CV2830" s="8">
        <f>0</f>
        <v>0</v>
      </c>
      <c r="CX2830" s="8">
        <f>0</f>
        <v>0</v>
      </c>
      <c r="CY2830" s="8">
        <f>1</f>
        <v>1</v>
      </c>
      <c r="DA2830" s="5" t="s">
        <v>274</v>
      </c>
      <c r="DB2830" s="5" t="s">
        <v>238</v>
      </c>
      <c r="DD2830" s="5" t="s">
        <v>274</v>
      </c>
      <c r="DE2830" s="8">
        <f>1871</f>
        <v>1871</v>
      </c>
      <c r="DG2830" s="5" t="s">
        <v>238</v>
      </c>
      <c r="DH2830" s="5" t="s">
        <v>238</v>
      </c>
      <c r="DI2830" s="5" t="s">
        <v>238</v>
      </c>
      <c r="DJ2830" s="5" t="s">
        <v>238</v>
      </c>
      <c r="DN2830" s="5" t="s">
        <v>238</v>
      </c>
      <c r="DO2830" s="5" t="s">
        <v>238</v>
      </c>
      <c r="DP2830" s="5" t="s">
        <v>238</v>
      </c>
      <c r="DQ2830" s="5" t="s">
        <v>238</v>
      </c>
      <c r="DT2830" s="5" t="s">
        <v>275</v>
      </c>
      <c r="DU2830" s="5" t="s">
        <v>384</v>
      </c>
      <c r="HM2830" s="5" t="s">
        <v>264</v>
      </c>
    </row>
    <row r="2831" spans="1:221" x14ac:dyDescent="0.4">
      <c r="A2831" s="5">
        <v>4535</v>
      </c>
      <c r="B2831" s="5">
        <v>1</v>
      </c>
      <c r="C2831" s="5">
        <v>1</v>
      </c>
      <c r="D2831" s="5" t="s">
        <v>269</v>
      </c>
      <c r="E2831" s="5" t="s">
        <v>271</v>
      </c>
      <c r="F2831" s="5" t="s">
        <v>248</v>
      </c>
      <c r="G2831" s="5" t="s">
        <v>266</v>
      </c>
      <c r="H2831" s="6" t="s">
        <v>395</v>
      </c>
      <c r="I2831" s="7">
        <f>884</f>
        <v>884</v>
      </c>
      <c r="J2831" s="5" t="s">
        <v>262</v>
      </c>
      <c r="K2831" s="8">
        <f>1</f>
        <v>1</v>
      </c>
      <c r="L2831" s="6" t="s">
        <v>242</v>
      </c>
      <c r="M2831" s="5" t="s">
        <v>267</v>
      </c>
      <c r="N2831" s="5" t="s">
        <v>265</v>
      </c>
      <c r="O2831" s="5" t="s">
        <v>238</v>
      </c>
      <c r="P2831" s="5" t="s">
        <v>238</v>
      </c>
      <c r="Q2831" s="5" t="s">
        <v>268</v>
      </c>
      <c r="R2831" s="5" t="s">
        <v>270</v>
      </c>
      <c r="S2831" s="5" t="s">
        <v>238</v>
      </c>
      <c r="V2831" s="5" t="s">
        <v>238</v>
      </c>
      <c r="X2831" s="6" t="s">
        <v>238</v>
      </c>
      <c r="AA2831" s="6" t="s">
        <v>243</v>
      </c>
      <c r="AB2831" s="5" t="s">
        <v>238</v>
      </c>
      <c r="AC2831" s="5" t="s">
        <v>244</v>
      </c>
      <c r="AD2831" s="5" t="s">
        <v>245</v>
      </c>
      <c r="AT2831" s="5" t="s">
        <v>246</v>
      </c>
      <c r="AU2831" s="5" t="s">
        <v>238</v>
      </c>
      <c r="AV2831" s="5" t="s">
        <v>247</v>
      </c>
      <c r="AW2831" s="5" t="s">
        <v>238</v>
      </c>
      <c r="AX2831" s="5" t="s">
        <v>249</v>
      </c>
      <c r="AY2831" s="5" t="s">
        <v>238</v>
      </c>
      <c r="BA2831" s="5" t="s">
        <v>238</v>
      </c>
      <c r="BC2831" s="5" t="s">
        <v>250</v>
      </c>
      <c r="BD2831" s="6" t="s">
        <v>243</v>
      </c>
      <c r="BE2831" s="5" t="s">
        <v>251</v>
      </c>
      <c r="BF2831" s="5" t="s">
        <v>252</v>
      </c>
      <c r="BG2831" s="5" t="s">
        <v>238</v>
      </c>
      <c r="BH2831" s="7">
        <f>0</f>
        <v>0</v>
      </c>
      <c r="BI2831" s="8">
        <f>0</f>
        <v>0</v>
      </c>
      <c r="BJ2831" s="5" t="s">
        <v>253</v>
      </c>
      <c r="BK2831" s="5" t="s">
        <v>254</v>
      </c>
      <c r="BY2831" s="5" t="s">
        <v>238</v>
      </c>
      <c r="BZ2831" s="5" t="s">
        <v>238</v>
      </c>
      <c r="CD2831" s="5" t="s">
        <v>273</v>
      </c>
      <c r="CE2831" s="5" t="s">
        <v>256</v>
      </c>
      <c r="CF2831" s="5" t="s">
        <v>238</v>
      </c>
      <c r="CI2831" s="6" t="s">
        <v>257</v>
      </c>
      <c r="CJ2831" s="5" t="s">
        <v>238</v>
      </c>
      <c r="CK2831" s="5" t="s">
        <v>258</v>
      </c>
      <c r="CL2831" s="5" t="s">
        <v>238</v>
      </c>
      <c r="CM2831" s="5" t="s">
        <v>238</v>
      </c>
      <c r="CN2831" s="5">
        <v>0</v>
      </c>
      <c r="CO2831" s="5" t="s">
        <v>259</v>
      </c>
      <c r="CP2831" s="5" t="s">
        <v>260</v>
      </c>
      <c r="CQ2831" s="5" t="s">
        <v>260</v>
      </c>
      <c r="CR2831" s="5" t="s">
        <v>261</v>
      </c>
      <c r="CU2831" s="8">
        <f>1</f>
        <v>1</v>
      </c>
      <c r="CV2831" s="8">
        <f>0</f>
        <v>0</v>
      </c>
      <c r="CX2831" s="8">
        <f>0</f>
        <v>0</v>
      </c>
      <c r="CY2831" s="8">
        <f>1</f>
        <v>1</v>
      </c>
      <c r="DA2831" s="5" t="s">
        <v>274</v>
      </c>
      <c r="DB2831" s="5" t="s">
        <v>238</v>
      </c>
      <c r="DD2831" s="5" t="s">
        <v>274</v>
      </c>
      <c r="DE2831" s="8">
        <f>884</f>
        <v>884</v>
      </c>
      <c r="DG2831" s="5" t="s">
        <v>238</v>
      </c>
      <c r="DH2831" s="5" t="s">
        <v>238</v>
      </c>
      <c r="DI2831" s="5" t="s">
        <v>238</v>
      </c>
      <c r="DJ2831" s="5" t="s">
        <v>238</v>
      </c>
      <c r="DN2831" s="5" t="s">
        <v>238</v>
      </c>
      <c r="DO2831" s="5" t="s">
        <v>238</v>
      </c>
      <c r="DP2831" s="5" t="s">
        <v>238</v>
      </c>
      <c r="DQ2831" s="5" t="s">
        <v>238</v>
      </c>
      <c r="DT2831" s="5" t="s">
        <v>275</v>
      </c>
      <c r="DU2831" s="5" t="s">
        <v>396</v>
      </c>
      <c r="HM2831" s="5" t="s">
        <v>264</v>
      </c>
    </row>
    <row r="2832" spans="1:221" x14ac:dyDescent="0.4">
      <c r="A2832" s="5">
        <v>4536</v>
      </c>
      <c r="B2832" s="5">
        <v>1</v>
      </c>
      <c r="C2832" s="5">
        <v>1</v>
      </c>
      <c r="D2832" s="5" t="s">
        <v>269</v>
      </c>
      <c r="E2832" s="5" t="s">
        <v>271</v>
      </c>
      <c r="F2832" s="5" t="s">
        <v>248</v>
      </c>
      <c r="G2832" s="5" t="s">
        <v>266</v>
      </c>
      <c r="H2832" s="6" t="s">
        <v>399</v>
      </c>
      <c r="I2832" s="7">
        <f>1878</f>
        <v>1878</v>
      </c>
      <c r="J2832" s="5" t="s">
        <v>262</v>
      </c>
      <c r="K2832" s="8">
        <f>1</f>
        <v>1</v>
      </c>
      <c r="L2832" s="6" t="s">
        <v>242</v>
      </c>
      <c r="M2832" s="5" t="s">
        <v>267</v>
      </c>
      <c r="N2832" s="5" t="s">
        <v>265</v>
      </c>
      <c r="O2832" s="5" t="s">
        <v>238</v>
      </c>
      <c r="P2832" s="5" t="s">
        <v>238</v>
      </c>
      <c r="Q2832" s="5" t="s">
        <v>268</v>
      </c>
      <c r="R2832" s="5" t="s">
        <v>270</v>
      </c>
      <c r="S2832" s="5" t="s">
        <v>238</v>
      </c>
      <c r="V2832" s="5" t="s">
        <v>238</v>
      </c>
      <c r="X2832" s="6" t="s">
        <v>238</v>
      </c>
      <c r="AA2832" s="6" t="s">
        <v>243</v>
      </c>
      <c r="AB2832" s="5" t="s">
        <v>238</v>
      </c>
      <c r="AC2832" s="5" t="s">
        <v>244</v>
      </c>
      <c r="AD2832" s="5" t="s">
        <v>245</v>
      </c>
      <c r="AT2832" s="5" t="s">
        <v>246</v>
      </c>
      <c r="AU2832" s="5" t="s">
        <v>238</v>
      </c>
      <c r="AV2832" s="5" t="s">
        <v>247</v>
      </c>
      <c r="AW2832" s="5" t="s">
        <v>238</v>
      </c>
      <c r="AX2832" s="5" t="s">
        <v>249</v>
      </c>
      <c r="AY2832" s="5" t="s">
        <v>238</v>
      </c>
      <c r="BA2832" s="5" t="s">
        <v>238</v>
      </c>
      <c r="BC2832" s="5" t="s">
        <v>250</v>
      </c>
      <c r="BD2832" s="6" t="s">
        <v>243</v>
      </c>
      <c r="BE2832" s="5" t="s">
        <v>251</v>
      </c>
      <c r="BF2832" s="5" t="s">
        <v>252</v>
      </c>
      <c r="BG2832" s="5" t="s">
        <v>238</v>
      </c>
      <c r="BH2832" s="7">
        <f>0</f>
        <v>0</v>
      </c>
      <c r="BI2832" s="8">
        <f>0</f>
        <v>0</v>
      </c>
      <c r="BJ2832" s="5" t="s">
        <v>253</v>
      </c>
      <c r="BK2832" s="5" t="s">
        <v>254</v>
      </c>
      <c r="BY2832" s="5" t="s">
        <v>238</v>
      </c>
      <c r="BZ2832" s="5" t="s">
        <v>238</v>
      </c>
      <c r="CD2832" s="5" t="s">
        <v>273</v>
      </c>
      <c r="CE2832" s="5" t="s">
        <v>256</v>
      </c>
      <c r="CF2832" s="5" t="s">
        <v>238</v>
      </c>
      <c r="CI2832" s="6" t="s">
        <v>257</v>
      </c>
      <c r="CJ2832" s="5" t="s">
        <v>238</v>
      </c>
      <c r="CK2832" s="5" t="s">
        <v>258</v>
      </c>
      <c r="CL2832" s="5" t="s">
        <v>238</v>
      </c>
      <c r="CM2832" s="5" t="s">
        <v>238</v>
      </c>
      <c r="CN2832" s="5">
        <v>0</v>
      </c>
      <c r="CO2832" s="5" t="s">
        <v>259</v>
      </c>
      <c r="CP2832" s="5" t="s">
        <v>260</v>
      </c>
      <c r="CQ2832" s="5" t="s">
        <v>260</v>
      </c>
      <c r="CR2832" s="5" t="s">
        <v>261</v>
      </c>
      <c r="CU2832" s="8">
        <f>1</f>
        <v>1</v>
      </c>
      <c r="CV2832" s="8">
        <f>0</f>
        <v>0</v>
      </c>
      <c r="CX2832" s="8">
        <f>0</f>
        <v>0</v>
      </c>
      <c r="CY2832" s="8">
        <f>1</f>
        <v>1</v>
      </c>
      <c r="DA2832" s="5" t="s">
        <v>274</v>
      </c>
      <c r="DB2832" s="5" t="s">
        <v>238</v>
      </c>
      <c r="DD2832" s="5" t="s">
        <v>274</v>
      </c>
      <c r="DE2832" s="8">
        <f>1878</f>
        <v>1878</v>
      </c>
      <c r="DG2832" s="5" t="s">
        <v>238</v>
      </c>
      <c r="DH2832" s="5" t="s">
        <v>238</v>
      </c>
      <c r="DI2832" s="5" t="s">
        <v>238</v>
      </c>
      <c r="DJ2832" s="5" t="s">
        <v>238</v>
      </c>
      <c r="DN2832" s="5" t="s">
        <v>238</v>
      </c>
      <c r="DO2832" s="5" t="s">
        <v>238</v>
      </c>
      <c r="DP2832" s="5" t="s">
        <v>238</v>
      </c>
      <c r="DQ2832" s="5" t="s">
        <v>238</v>
      </c>
      <c r="DT2832" s="5" t="s">
        <v>275</v>
      </c>
      <c r="DU2832" s="5" t="s">
        <v>400</v>
      </c>
      <c r="HM2832" s="5" t="s">
        <v>264</v>
      </c>
    </row>
    <row r="2833" spans="1:221" x14ac:dyDescent="0.4">
      <c r="A2833" s="5">
        <v>4537</v>
      </c>
      <c r="B2833" s="5">
        <v>1</v>
      </c>
      <c r="C2833" s="5">
        <v>1</v>
      </c>
      <c r="D2833" s="5" t="s">
        <v>269</v>
      </c>
      <c r="E2833" s="5" t="s">
        <v>271</v>
      </c>
      <c r="F2833" s="5" t="s">
        <v>248</v>
      </c>
      <c r="G2833" s="5" t="s">
        <v>266</v>
      </c>
      <c r="H2833" s="6" t="s">
        <v>403</v>
      </c>
      <c r="I2833" s="7">
        <f>1842</f>
        <v>1842</v>
      </c>
      <c r="J2833" s="5" t="s">
        <v>262</v>
      </c>
      <c r="K2833" s="8">
        <f>1</f>
        <v>1</v>
      </c>
      <c r="L2833" s="6" t="s">
        <v>242</v>
      </c>
      <c r="M2833" s="5" t="s">
        <v>267</v>
      </c>
      <c r="N2833" s="5" t="s">
        <v>265</v>
      </c>
      <c r="O2833" s="5" t="s">
        <v>238</v>
      </c>
      <c r="P2833" s="5" t="s">
        <v>238</v>
      </c>
      <c r="Q2833" s="5" t="s">
        <v>268</v>
      </c>
      <c r="R2833" s="5" t="s">
        <v>270</v>
      </c>
      <c r="S2833" s="5" t="s">
        <v>238</v>
      </c>
      <c r="V2833" s="5" t="s">
        <v>238</v>
      </c>
      <c r="X2833" s="6" t="s">
        <v>238</v>
      </c>
      <c r="AA2833" s="6" t="s">
        <v>243</v>
      </c>
      <c r="AB2833" s="5" t="s">
        <v>238</v>
      </c>
      <c r="AC2833" s="5" t="s">
        <v>244</v>
      </c>
      <c r="AD2833" s="5" t="s">
        <v>245</v>
      </c>
      <c r="AT2833" s="5" t="s">
        <v>246</v>
      </c>
      <c r="AU2833" s="5" t="s">
        <v>238</v>
      </c>
      <c r="AV2833" s="5" t="s">
        <v>247</v>
      </c>
      <c r="AW2833" s="5" t="s">
        <v>238</v>
      </c>
      <c r="AX2833" s="5" t="s">
        <v>249</v>
      </c>
      <c r="AY2833" s="5" t="s">
        <v>238</v>
      </c>
      <c r="BA2833" s="5" t="s">
        <v>238</v>
      </c>
      <c r="BC2833" s="5" t="s">
        <v>250</v>
      </c>
      <c r="BD2833" s="6" t="s">
        <v>243</v>
      </c>
      <c r="BE2833" s="5" t="s">
        <v>251</v>
      </c>
      <c r="BF2833" s="5" t="s">
        <v>252</v>
      </c>
      <c r="BG2833" s="5" t="s">
        <v>238</v>
      </c>
      <c r="BH2833" s="7">
        <f>0</f>
        <v>0</v>
      </c>
      <c r="BI2833" s="8">
        <f>0</f>
        <v>0</v>
      </c>
      <c r="BJ2833" s="5" t="s">
        <v>253</v>
      </c>
      <c r="BK2833" s="5" t="s">
        <v>254</v>
      </c>
      <c r="BY2833" s="5" t="s">
        <v>238</v>
      </c>
      <c r="BZ2833" s="5" t="s">
        <v>238</v>
      </c>
      <c r="CD2833" s="5" t="s">
        <v>273</v>
      </c>
      <c r="CE2833" s="5" t="s">
        <v>256</v>
      </c>
      <c r="CF2833" s="5" t="s">
        <v>238</v>
      </c>
      <c r="CI2833" s="6" t="s">
        <v>257</v>
      </c>
      <c r="CJ2833" s="5" t="s">
        <v>238</v>
      </c>
      <c r="CK2833" s="5" t="s">
        <v>258</v>
      </c>
      <c r="CL2833" s="5" t="s">
        <v>238</v>
      </c>
      <c r="CM2833" s="5" t="s">
        <v>238</v>
      </c>
      <c r="CN2833" s="5">
        <v>0</v>
      </c>
      <c r="CO2833" s="5" t="s">
        <v>259</v>
      </c>
      <c r="CP2833" s="5" t="s">
        <v>260</v>
      </c>
      <c r="CQ2833" s="5" t="s">
        <v>260</v>
      </c>
      <c r="CR2833" s="5" t="s">
        <v>261</v>
      </c>
      <c r="CU2833" s="8">
        <f>1</f>
        <v>1</v>
      </c>
      <c r="CV2833" s="8">
        <f>0</f>
        <v>0</v>
      </c>
      <c r="CX2833" s="8">
        <f>0</f>
        <v>0</v>
      </c>
      <c r="CY2833" s="8">
        <f>1</f>
        <v>1</v>
      </c>
      <c r="DA2833" s="5" t="s">
        <v>274</v>
      </c>
      <c r="DB2833" s="5" t="s">
        <v>238</v>
      </c>
      <c r="DD2833" s="5" t="s">
        <v>274</v>
      </c>
      <c r="DE2833" s="8">
        <f>1842</f>
        <v>1842</v>
      </c>
      <c r="DG2833" s="5" t="s">
        <v>238</v>
      </c>
      <c r="DH2833" s="5" t="s">
        <v>238</v>
      </c>
      <c r="DI2833" s="5" t="s">
        <v>238</v>
      </c>
      <c r="DJ2833" s="5" t="s">
        <v>238</v>
      </c>
      <c r="DN2833" s="5" t="s">
        <v>238</v>
      </c>
      <c r="DO2833" s="5" t="s">
        <v>238</v>
      </c>
      <c r="DP2833" s="5" t="s">
        <v>238</v>
      </c>
      <c r="DQ2833" s="5" t="s">
        <v>238</v>
      </c>
      <c r="DT2833" s="5" t="s">
        <v>275</v>
      </c>
      <c r="DU2833" s="5" t="s">
        <v>404</v>
      </c>
      <c r="HM2833" s="5" t="s">
        <v>264</v>
      </c>
    </row>
    <row r="2834" spans="1:221" x14ac:dyDescent="0.4">
      <c r="A2834" s="5">
        <v>4538</v>
      </c>
      <c r="B2834" s="5">
        <v>1</v>
      </c>
      <c r="C2834" s="5">
        <v>1</v>
      </c>
      <c r="D2834" s="5" t="s">
        <v>269</v>
      </c>
      <c r="E2834" s="5" t="s">
        <v>271</v>
      </c>
      <c r="F2834" s="5" t="s">
        <v>248</v>
      </c>
      <c r="G2834" s="5" t="s">
        <v>266</v>
      </c>
      <c r="H2834" s="6" t="s">
        <v>411</v>
      </c>
      <c r="I2834" s="7">
        <f>626</f>
        <v>626</v>
      </c>
      <c r="J2834" s="5" t="s">
        <v>262</v>
      </c>
      <c r="K2834" s="8">
        <f>1</f>
        <v>1</v>
      </c>
      <c r="L2834" s="6" t="s">
        <v>242</v>
      </c>
      <c r="M2834" s="5" t="s">
        <v>267</v>
      </c>
      <c r="N2834" s="5" t="s">
        <v>265</v>
      </c>
      <c r="O2834" s="5" t="s">
        <v>238</v>
      </c>
      <c r="P2834" s="5" t="s">
        <v>238</v>
      </c>
      <c r="Q2834" s="5" t="s">
        <v>268</v>
      </c>
      <c r="R2834" s="5" t="s">
        <v>270</v>
      </c>
      <c r="S2834" s="5" t="s">
        <v>238</v>
      </c>
      <c r="V2834" s="5" t="s">
        <v>238</v>
      </c>
      <c r="X2834" s="6" t="s">
        <v>238</v>
      </c>
      <c r="AA2834" s="6" t="s">
        <v>243</v>
      </c>
      <c r="AB2834" s="5" t="s">
        <v>238</v>
      </c>
      <c r="AC2834" s="5" t="s">
        <v>244</v>
      </c>
      <c r="AD2834" s="5" t="s">
        <v>245</v>
      </c>
      <c r="AT2834" s="5" t="s">
        <v>246</v>
      </c>
      <c r="AU2834" s="5" t="s">
        <v>238</v>
      </c>
      <c r="AV2834" s="5" t="s">
        <v>247</v>
      </c>
      <c r="AW2834" s="5" t="s">
        <v>238</v>
      </c>
      <c r="AX2834" s="5" t="s">
        <v>249</v>
      </c>
      <c r="AY2834" s="5" t="s">
        <v>238</v>
      </c>
      <c r="BA2834" s="5" t="s">
        <v>238</v>
      </c>
      <c r="BC2834" s="5" t="s">
        <v>250</v>
      </c>
      <c r="BD2834" s="6" t="s">
        <v>243</v>
      </c>
      <c r="BE2834" s="5" t="s">
        <v>251</v>
      </c>
      <c r="BF2834" s="5" t="s">
        <v>252</v>
      </c>
      <c r="BG2834" s="5" t="s">
        <v>238</v>
      </c>
      <c r="BH2834" s="7">
        <f>0</f>
        <v>0</v>
      </c>
      <c r="BI2834" s="8">
        <f>0</f>
        <v>0</v>
      </c>
      <c r="BJ2834" s="5" t="s">
        <v>253</v>
      </c>
      <c r="BK2834" s="5" t="s">
        <v>254</v>
      </c>
      <c r="BY2834" s="5" t="s">
        <v>238</v>
      </c>
      <c r="BZ2834" s="5" t="s">
        <v>238</v>
      </c>
      <c r="CD2834" s="5" t="s">
        <v>273</v>
      </c>
      <c r="CE2834" s="5" t="s">
        <v>256</v>
      </c>
      <c r="CF2834" s="5" t="s">
        <v>238</v>
      </c>
      <c r="CI2834" s="6" t="s">
        <v>257</v>
      </c>
      <c r="CJ2834" s="5" t="s">
        <v>238</v>
      </c>
      <c r="CK2834" s="5" t="s">
        <v>258</v>
      </c>
      <c r="CL2834" s="5" t="s">
        <v>238</v>
      </c>
      <c r="CM2834" s="5" t="s">
        <v>238</v>
      </c>
      <c r="CN2834" s="5">
        <v>0</v>
      </c>
      <c r="CO2834" s="5" t="s">
        <v>259</v>
      </c>
      <c r="CP2834" s="5" t="s">
        <v>260</v>
      </c>
      <c r="CQ2834" s="5" t="s">
        <v>260</v>
      </c>
      <c r="CR2834" s="5" t="s">
        <v>261</v>
      </c>
      <c r="CU2834" s="8">
        <f>1</f>
        <v>1</v>
      </c>
      <c r="CV2834" s="8">
        <f>0</f>
        <v>0</v>
      </c>
      <c r="CX2834" s="8">
        <f>0</f>
        <v>0</v>
      </c>
      <c r="CY2834" s="8">
        <f>1</f>
        <v>1</v>
      </c>
      <c r="DA2834" s="5" t="s">
        <v>274</v>
      </c>
      <c r="DB2834" s="5" t="s">
        <v>238</v>
      </c>
      <c r="DD2834" s="5" t="s">
        <v>274</v>
      </c>
      <c r="DE2834" s="8">
        <f>626</f>
        <v>626</v>
      </c>
      <c r="DG2834" s="5" t="s">
        <v>238</v>
      </c>
      <c r="DH2834" s="5" t="s">
        <v>238</v>
      </c>
      <c r="DI2834" s="5" t="s">
        <v>238</v>
      </c>
      <c r="DJ2834" s="5" t="s">
        <v>238</v>
      </c>
      <c r="DN2834" s="5" t="s">
        <v>238</v>
      </c>
      <c r="DO2834" s="5" t="s">
        <v>238</v>
      </c>
      <c r="DP2834" s="5" t="s">
        <v>238</v>
      </c>
      <c r="DQ2834" s="5" t="s">
        <v>238</v>
      </c>
      <c r="DT2834" s="5" t="s">
        <v>275</v>
      </c>
      <c r="DU2834" s="5" t="s">
        <v>412</v>
      </c>
      <c r="HM2834" s="5" t="s">
        <v>264</v>
      </c>
    </row>
    <row r="2835" spans="1:221" x14ac:dyDescent="0.4">
      <c r="A2835" s="5">
        <v>4539</v>
      </c>
      <c r="B2835" s="5">
        <v>1</v>
      </c>
      <c r="C2835" s="5">
        <v>1</v>
      </c>
      <c r="D2835" s="5" t="s">
        <v>269</v>
      </c>
      <c r="E2835" s="5" t="s">
        <v>271</v>
      </c>
      <c r="F2835" s="5" t="s">
        <v>248</v>
      </c>
      <c r="G2835" s="5" t="s">
        <v>266</v>
      </c>
      <c r="H2835" s="6" t="s">
        <v>415</v>
      </c>
      <c r="I2835" s="7">
        <f>1902</f>
        <v>1902</v>
      </c>
      <c r="J2835" s="5" t="s">
        <v>262</v>
      </c>
      <c r="K2835" s="8">
        <f>1</f>
        <v>1</v>
      </c>
      <c r="L2835" s="6" t="s">
        <v>242</v>
      </c>
      <c r="M2835" s="5" t="s">
        <v>267</v>
      </c>
      <c r="N2835" s="5" t="s">
        <v>265</v>
      </c>
      <c r="O2835" s="5" t="s">
        <v>238</v>
      </c>
      <c r="P2835" s="5" t="s">
        <v>238</v>
      </c>
      <c r="Q2835" s="5" t="s">
        <v>268</v>
      </c>
      <c r="R2835" s="5" t="s">
        <v>270</v>
      </c>
      <c r="S2835" s="5" t="s">
        <v>238</v>
      </c>
      <c r="V2835" s="5" t="s">
        <v>238</v>
      </c>
      <c r="X2835" s="6" t="s">
        <v>238</v>
      </c>
      <c r="AA2835" s="6" t="s">
        <v>243</v>
      </c>
      <c r="AB2835" s="5" t="s">
        <v>238</v>
      </c>
      <c r="AC2835" s="5" t="s">
        <v>244</v>
      </c>
      <c r="AD2835" s="5" t="s">
        <v>245</v>
      </c>
      <c r="AT2835" s="5" t="s">
        <v>246</v>
      </c>
      <c r="AU2835" s="5" t="s">
        <v>238</v>
      </c>
      <c r="AV2835" s="5" t="s">
        <v>247</v>
      </c>
      <c r="AW2835" s="5" t="s">
        <v>238</v>
      </c>
      <c r="AX2835" s="5" t="s">
        <v>249</v>
      </c>
      <c r="AY2835" s="5" t="s">
        <v>238</v>
      </c>
      <c r="BA2835" s="5" t="s">
        <v>238</v>
      </c>
      <c r="BC2835" s="5" t="s">
        <v>250</v>
      </c>
      <c r="BD2835" s="6" t="s">
        <v>243</v>
      </c>
      <c r="BE2835" s="5" t="s">
        <v>251</v>
      </c>
      <c r="BF2835" s="5" t="s">
        <v>252</v>
      </c>
      <c r="BG2835" s="5" t="s">
        <v>238</v>
      </c>
      <c r="BH2835" s="7">
        <f>0</f>
        <v>0</v>
      </c>
      <c r="BI2835" s="8">
        <f>0</f>
        <v>0</v>
      </c>
      <c r="BJ2835" s="5" t="s">
        <v>253</v>
      </c>
      <c r="BK2835" s="5" t="s">
        <v>254</v>
      </c>
      <c r="BY2835" s="5" t="s">
        <v>238</v>
      </c>
      <c r="BZ2835" s="5" t="s">
        <v>238</v>
      </c>
      <c r="CD2835" s="5" t="s">
        <v>273</v>
      </c>
      <c r="CE2835" s="5" t="s">
        <v>256</v>
      </c>
      <c r="CF2835" s="5" t="s">
        <v>238</v>
      </c>
      <c r="CI2835" s="6" t="s">
        <v>257</v>
      </c>
      <c r="CJ2835" s="5" t="s">
        <v>238</v>
      </c>
      <c r="CK2835" s="5" t="s">
        <v>258</v>
      </c>
      <c r="CL2835" s="5" t="s">
        <v>238</v>
      </c>
      <c r="CM2835" s="5" t="s">
        <v>238</v>
      </c>
      <c r="CN2835" s="5">
        <v>0</v>
      </c>
      <c r="CO2835" s="5" t="s">
        <v>259</v>
      </c>
      <c r="CP2835" s="5" t="s">
        <v>260</v>
      </c>
      <c r="CQ2835" s="5" t="s">
        <v>260</v>
      </c>
      <c r="CR2835" s="5" t="s">
        <v>261</v>
      </c>
      <c r="CU2835" s="8">
        <f>1</f>
        <v>1</v>
      </c>
      <c r="CV2835" s="8">
        <f>0</f>
        <v>0</v>
      </c>
      <c r="CX2835" s="8">
        <f>0</f>
        <v>0</v>
      </c>
      <c r="CY2835" s="8">
        <f>1</f>
        <v>1</v>
      </c>
      <c r="DA2835" s="5" t="s">
        <v>274</v>
      </c>
      <c r="DB2835" s="5" t="s">
        <v>238</v>
      </c>
      <c r="DD2835" s="5" t="s">
        <v>274</v>
      </c>
      <c r="DE2835" s="8">
        <f>1902</f>
        <v>1902</v>
      </c>
      <c r="DG2835" s="5" t="s">
        <v>238</v>
      </c>
      <c r="DH2835" s="5" t="s">
        <v>238</v>
      </c>
      <c r="DI2835" s="5" t="s">
        <v>238</v>
      </c>
      <c r="DJ2835" s="5" t="s">
        <v>238</v>
      </c>
      <c r="DN2835" s="5" t="s">
        <v>238</v>
      </c>
      <c r="DO2835" s="5" t="s">
        <v>238</v>
      </c>
      <c r="DP2835" s="5" t="s">
        <v>238</v>
      </c>
      <c r="DQ2835" s="5" t="s">
        <v>238</v>
      </c>
      <c r="DT2835" s="5" t="s">
        <v>275</v>
      </c>
      <c r="DU2835" s="5" t="s">
        <v>416</v>
      </c>
      <c r="HM2835" s="5" t="s">
        <v>264</v>
      </c>
    </row>
    <row r="2836" spans="1:221" x14ac:dyDescent="0.4">
      <c r="A2836" s="5">
        <v>4540</v>
      </c>
      <c r="B2836" s="5">
        <v>1</v>
      </c>
      <c r="C2836" s="5">
        <v>1</v>
      </c>
      <c r="D2836" s="5" t="s">
        <v>269</v>
      </c>
      <c r="E2836" s="5" t="s">
        <v>271</v>
      </c>
      <c r="F2836" s="5" t="s">
        <v>248</v>
      </c>
      <c r="G2836" s="5" t="s">
        <v>266</v>
      </c>
      <c r="H2836" s="6" t="s">
        <v>423</v>
      </c>
      <c r="I2836" s="7">
        <f>1643</f>
        <v>1643</v>
      </c>
      <c r="J2836" s="5" t="s">
        <v>262</v>
      </c>
      <c r="K2836" s="8">
        <f>1</f>
        <v>1</v>
      </c>
      <c r="L2836" s="6" t="s">
        <v>242</v>
      </c>
      <c r="M2836" s="5" t="s">
        <v>267</v>
      </c>
      <c r="N2836" s="5" t="s">
        <v>265</v>
      </c>
      <c r="O2836" s="5" t="s">
        <v>238</v>
      </c>
      <c r="P2836" s="5" t="s">
        <v>238</v>
      </c>
      <c r="Q2836" s="5" t="s">
        <v>268</v>
      </c>
      <c r="R2836" s="5" t="s">
        <v>270</v>
      </c>
      <c r="S2836" s="5" t="s">
        <v>238</v>
      </c>
      <c r="V2836" s="5" t="s">
        <v>238</v>
      </c>
      <c r="X2836" s="6" t="s">
        <v>238</v>
      </c>
      <c r="AA2836" s="6" t="s">
        <v>243</v>
      </c>
      <c r="AB2836" s="5" t="s">
        <v>238</v>
      </c>
      <c r="AC2836" s="5" t="s">
        <v>244</v>
      </c>
      <c r="AD2836" s="5" t="s">
        <v>245</v>
      </c>
      <c r="AT2836" s="5" t="s">
        <v>246</v>
      </c>
      <c r="AU2836" s="5" t="s">
        <v>238</v>
      </c>
      <c r="AV2836" s="5" t="s">
        <v>247</v>
      </c>
      <c r="AW2836" s="5" t="s">
        <v>238</v>
      </c>
      <c r="AX2836" s="5" t="s">
        <v>249</v>
      </c>
      <c r="AY2836" s="5" t="s">
        <v>238</v>
      </c>
      <c r="BA2836" s="5" t="s">
        <v>238</v>
      </c>
      <c r="BC2836" s="5" t="s">
        <v>250</v>
      </c>
      <c r="BD2836" s="6" t="s">
        <v>243</v>
      </c>
      <c r="BE2836" s="5" t="s">
        <v>251</v>
      </c>
      <c r="BF2836" s="5" t="s">
        <v>252</v>
      </c>
      <c r="BG2836" s="5" t="s">
        <v>238</v>
      </c>
      <c r="BH2836" s="7">
        <f>0</f>
        <v>0</v>
      </c>
      <c r="BI2836" s="8">
        <f>0</f>
        <v>0</v>
      </c>
      <c r="BJ2836" s="5" t="s">
        <v>253</v>
      </c>
      <c r="BK2836" s="5" t="s">
        <v>254</v>
      </c>
      <c r="BY2836" s="5" t="s">
        <v>238</v>
      </c>
      <c r="BZ2836" s="5" t="s">
        <v>238</v>
      </c>
      <c r="CD2836" s="5" t="s">
        <v>273</v>
      </c>
      <c r="CE2836" s="5" t="s">
        <v>256</v>
      </c>
      <c r="CF2836" s="5" t="s">
        <v>238</v>
      </c>
      <c r="CI2836" s="6" t="s">
        <v>257</v>
      </c>
      <c r="CJ2836" s="5" t="s">
        <v>238</v>
      </c>
      <c r="CK2836" s="5" t="s">
        <v>258</v>
      </c>
      <c r="CL2836" s="5" t="s">
        <v>238</v>
      </c>
      <c r="CM2836" s="5" t="s">
        <v>238</v>
      </c>
      <c r="CN2836" s="5">
        <v>0</v>
      </c>
      <c r="CO2836" s="5" t="s">
        <v>259</v>
      </c>
      <c r="CP2836" s="5" t="s">
        <v>260</v>
      </c>
      <c r="CQ2836" s="5" t="s">
        <v>260</v>
      </c>
      <c r="CR2836" s="5" t="s">
        <v>261</v>
      </c>
      <c r="CU2836" s="8">
        <f>1</f>
        <v>1</v>
      </c>
      <c r="CV2836" s="8">
        <f>0</f>
        <v>0</v>
      </c>
      <c r="CX2836" s="8">
        <f>0</f>
        <v>0</v>
      </c>
      <c r="CY2836" s="8">
        <f>1</f>
        <v>1</v>
      </c>
      <c r="DA2836" s="5" t="s">
        <v>274</v>
      </c>
      <c r="DB2836" s="5" t="s">
        <v>238</v>
      </c>
      <c r="DD2836" s="5" t="s">
        <v>274</v>
      </c>
      <c r="DE2836" s="8">
        <f>1643</f>
        <v>1643</v>
      </c>
      <c r="DG2836" s="5" t="s">
        <v>238</v>
      </c>
      <c r="DH2836" s="5" t="s">
        <v>238</v>
      </c>
      <c r="DI2836" s="5" t="s">
        <v>238</v>
      </c>
      <c r="DJ2836" s="5" t="s">
        <v>238</v>
      </c>
      <c r="DN2836" s="5" t="s">
        <v>238</v>
      </c>
      <c r="DO2836" s="5" t="s">
        <v>238</v>
      </c>
      <c r="DP2836" s="5" t="s">
        <v>238</v>
      </c>
      <c r="DQ2836" s="5" t="s">
        <v>238</v>
      </c>
      <c r="DT2836" s="5" t="s">
        <v>275</v>
      </c>
      <c r="DU2836" s="5" t="s">
        <v>424</v>
      </c>
      <c r="HM2836" s="5" t="s">
        <v>264</v>
      </c>
    </row>
    <row r="2837" spans="1:221" x14ac:dyDescent="0.4">
      <c r="A2837" s="5">
        <v>4541</v>
      </c>
      <c r="B2837" s="5">
        <v>1</v>
      </c>
      <c r="C2837" s="5">
        <v>1</v>
      </c>
      <c r="D2837" s="5" t="s">
        <v>269</v>
      </c>
      <c r="E2837" s="5" t="s">
        <v>271</v>
      </c>
      <c r="F2837" s="5" t="s">
        <v>248</v>
      </c>
      <c r="G2837" s="5" t="s">
        <v>266</v>
      </c>
      <c r="H2837" s="6" t="s">
        <v>427</v>
      </c>
      <c r="I2837" s="7">
        <f>1510</f>
        <v>1510</v>
      </c>
      <c r="J2837" s="5" t="s">
        <v>262</v>
      </c>
      <c r="K2837" s="8">
        <f>1</f>
        <v>1</v>
      </c>
      <c r="L2837" s="6" t="s">
        <v>242</v>
      </c>
      <c r="M2837" s="5" t="s">
        <v>267</v>
      </c>
      <c r="N2837" s="5" t="s">
        <v>265</v>
      </c>
      <c r="O2837" s="5" t="s">
        <v>238</v>
      </c>
      <c r="P2837" s="5" t="s">
        <v>238</v>
      </c>
      <c r="Q2837" s="5" t="s">
        <v>268</v>
      </c>
      <c r="R2837" s="5" t="s">
        <v>270</v>
      </c>
      <c r="S2837" s="5" t="s">
        <v>238</v>
      </c>
      <c r="V2837" s="5" t="s">
        <v>238</v>
      </c>
      <c r="X2837" s="6" t="s">
        <v>238</v>
      </c>
      <c r="AA2837" s="6" t="s">
        <v>243</v>
      </c>
      <c r="AB2837" s="5" t="s">
        <v>238</v>
      </c>
      <c r="AC2837" s="5" t="s">
        <v>244</v>
      </c>
      <c r="AD2837" s="5" t="s">
        <v>245</v>
      </c>
      <c r="AT2837" s="5" t="s">
        <v>246</v>
      </c>
      <c r="AU2837" s="5" t="s">
        <v>238</v>
      </c>
      <c r="AV2837" s="5" t="s">
        <v>247</v>
      </c>
      <c r="AW2837" s="5" t="s">
        <v>238</v>
      </c>
      <c r="AX2837" s="5" t="s">
        <v>249</v>
      </c>
      <c r="AY2837" s="5" t="s">
        <v>238</v>
      </c>
      <c r="BA2837" s="5" t="s">
        <v>238</v>
      </c>
      <c r="BC2837" s="5" t="s">
        <v>250</v>
      </c>
      <c r="BD2837" s="6" t="s">
        <v>243</v>
      </c>
      <c r="BE2837" s="5" t="s">
        <v>251</v>
      </c>
      <c r="BF2837" s="5" t="s">
        <v>252</v>
      </c>
      <c r="BG2837" s="5" t="s">
        <v>238</v>
      </c>
      <c r="BH2837" s="7">
        <f>0</f>
        <v>0</v>
      </c>
      <c r="BI2837" s="8">
        <f>0</f>
        <v>0</v>
      </c>
      <c r="BJ2837" s="5" t="s">
        <v>253</v>
      </c>
      <c r="BK2837" s="5" t="s">
        <v>254</v>
      </c>
      <c r="BY2837" s="5" t="s">
        <v>238</v>
      </c>
      <c r="BZ2837" s="5" t="s">
        <v>238</v>
      </c>
      <c r="CD2837" s="5" t="s">
        <v>273</v>
      </c>
      <c r="CE2837" s="5" t="s">
        <v>256</v>
      </c>
      <c r="CF2837" s="5" t="s">
        <v>238</v>
      </c>
      <c r="CI2837" s="6" t="s">
        <v>257</v>
      </c>
      <c r="CJ2837" s="5" t="s">
        <v>238</v>
      </c>
      <c r="CK2837" s="5" t="s">
        <v>258</v>
      </c>
      <c r="CL2837" s="5" t="s">
        <v>238</v>
      </c>
      <c r="CM2837" s="5" t="s">
        <v>238</v>
      </c>
      <c r="CN2837" s="5">
        <v>0</v>
      </c>
      <c r="CO2837" s="5" t="s">
        <v>259</v>
      </c>
      <c r="CP2837" s="5" t="s">
        <v>260</v>
      </c>
      <c r="CQ2837" s="5" t="s">
        <v>260</v>
      </c>
      <c r="CR2837" s="5" t="s">
        <v>261</v>
      </c>
      <c r="CU2837" s="8">
        <f>1</f>
        <v>1</v>
      </c>
      <c r="CV2837" s="8">
        <f>0</f>
        <v>0</v>
      </c>
      <c r="CX2837" s="8">
        <f>0</f>
        <v>0</v>
      </c>
      <c r="CY2837" s="8">
        <f>1</f>
        <v>1</v>
      </c>
      <c r="DA2837" s="5" t="s">
        <v>274</v>
      </c>
      <c r="DB2837" s="5" t="s">
        <v>238</v>
      </c>
      <c r="DD2837" s="5" t="s">
        <v>274</v>
      </c>
      <c r="DE2837" s="8">
        <f>1510</f>
        <v>1510</v>
      </c>
      <c r="DG2837" s="5" t="s">
        <v>238</v>
      </c>
      <c r="DH2837" s="5" t="s">
        <v>238</v>
      </c>
      <c r="DI2837" s="5" t="s">
        <v>238</v>
      </c>
      <c r="DJ2837" s="5" t="s">
        <v>238</v>
      </c>
      <c r="DN2837" s="5" t="s">
        <v>238</v>
      </c>
      <c r="DO2837" s="5" t="s">
        <v>238</v>
      </c>
      <c r="DP2837" s="5" t="s">
        <v>238</v>
      </c>
      <c r="DQ2837" s="5" t="s">
        <v>238</v>
      </c>
      <c r="DT2837" s="5" t="s">
        <v>275</v>
      </c>
      <c r="DU2837" s="5" t="s">
        <v>428</v>
      </c>
      <c r="HM2837" s="5" t="s">
        <v>264</v>
      </c>
    </row>
    <row r="2838" spans="1:221" x14ac:dyDescent="0.4">
      <c r="A2838" s="5">
        <v>4542</v>
      </c>
      <c r="B2838" s="5">
        <v>1</v>
      </c>
      <c r="C2838" s="5">
        <v>1</v>
      </c>
      <c r="D2838" s="5" t="s">
        <v>269</v>
      </c>
      <c r="E2838" s="5" t="s">
        <v>271</v>
      </c>
      <c r="F2838" s="5" t="s">
        <v>248</v>
      </c>
      <c r="G2838" s="5" t="s">
        <v>266</v>
      </c>
      <c r="H2838" s="6" t="s">
        <v>435</v>
      </c>
      <c r="I2838" s="7">
        <f>979</f>
        <v>979</v>
      </c>
      <c r="J2838" s="5" t="s">
        <v>262</v>
      </c>
      <c r="K2838" s="8">
        <f>1</f>
        <v>1</v>
      </c>
      <c r="L2838" s="6" t="s">
        <v>242</v>
      </c>
      <c r="M2838" s="5" t="s">
        <v>267</v>
      </c>
      <c r="N2838" s="5" t="s">
        <v>265</v>
      </c>
      <c r="O2838" s="5" t="s">
        <v>238</v>
      </c>
      <c r="P2838" s="5" t="s">
        <v>238</v>
      </c>
      <c r="Q2838" s="5" t="s">
        <v>268</v>
      </c>
      <c r="R2838" s="5" t="s">
        <v>270</v>
      </c>
      <c r="S2838" s="5" t="s">
        <v>238</v>
      </c>
      <c r="V2838" s="5" t="s">
        <v>238</v>
      </c>
      <c r="X2838" s="6" t="s">
        <v>238</v>
      </c>
      <c r="AA2838" s="6" t="s">
        <v>243</v>
      </c>
      <c r="AB2838" s="5" t="s">
        <v>238</v>
      </c>
      <c r="AC2838" s="5" t="s">
        <v>244</v>
      </c>
      <c r="AD2838" s="5" t="s">
        <v>245</v>
      </c>
      <c r="AT2838" s="5" t="s">
        <v>246</v>
      </c>
      <c r="AU2838" s="5" t="s">
        <v>238</v>
      </c>
      <c r="AV2838" s="5" t="s">
        <v>247</v>
      </c>
      <c r="AW2838" s="5" t="s">
        <v>238</v>
      </c>
      <c r="AX2838" s="5" t="s">
        <v>249</v>
      </c>
      <c r="AY2838" s="5" t="s">
        <v>238</v>
      </c>
      <c r="BA2838" s="5" t="s">
        <v>238</v>
      </c>
      <c r="BC2838" s="5" t="s">
        <v>250</v>
      </c>
      <c r="BD2838" s="6" t="s">
        <v>243</v>
      </c>
      <c r="BE2838" s="5" t="s">
        <v>251</v>
      </c>
      <c r="BF2838" s="5" t="s">
        <v>252</v>
      </c>
      <c r="BG2838" s="5" t="s">
        <v>238</v>
      </c>
      <c r="BH2838" s="7">
        <f>0</f>
        <v>0</v>
      </c>
      <c r="BI2838" s="8">
        <f>0</f>
        <v>0</v>
      </c>
      <c r="BJ2838" s="5" t="s">
        <v>253</v>
      </c>
      <c r="BK2838" s="5" t="s">
        <v>254</v>
      </c>
      <c r="BY2838" s="5" t="s">
        <v>238</v>
      </c>
      <c r="BZ2838" s="5" t="s">
        <v>238</v>
      </c>
      <c r="CD2838" s="5" t="s">
        <v>273</v>
      </c>
      <c r="CE2838" s="5" t="s">
        <v>256</v>
      </c>
      <c r="CF2838" s="5" t="s">
        <v>238</v>
      </c>
      <c r="CI2838" s="6" t="s">
        <v>257</v>
      </c>
      <c r="CJ2838" s="5" t="s">
        <v>238</v>
      </c>
      <c r="CK2838" s="5" t="s">
        <v>258</v>
      </c>
      <c r="CL2838" s="5" t="s">
        <v>238</v>
      </c>
      <c r="CM2838" s="5" t="s">
        <v>238</v>
      </c>
      <c r="CN2838" s="5">
        <v>0</v>
      </c>
      <c r="CO2838" s="5" t="s">
        <v>259</v>
      </c>
      <c r="CP2838" s="5" t="s">
        <v>260</v>
      </c>
      <c r="CQ2838" s="5" t="s">
        <v>260</v>
      </c>
      <c r="CR2838" s="5" t="s">
        <v>261</v>
      </c>
      <c r="CU2838" s="8">
        <f>1</f>
        <v>1</v>
      </c>
      <c r="CV2838" s="8">
        <f>0</f>
        <v>0</v>
      </c>
      <c r="CX2838" s="8">
        <f>0</f>
        <v>0</v>
      </c>
      <c r="CY2838" s="8">
        <f>1</f>
        <v>1</v>
      </c>
      <c r="DA2838" s="5" t="s">
        <v>274</v>
      </c>
      <c r="DB2838" s="5" t="s">
        <v>238</v>
      </c>
      <c r="DD2838" s="5" t="s">
        <v>274</v>
      </c>
      <c r="DE2838" s="8">
        <f>979</f>
        <v>979</v>
      </c>
      <c r="DG2838" s="5" t="s">
        <v>238</v>
      </c>
      <c r="DH2838" s="5" t="s">
        <v>238</v>
      </c>
      <c r="DI2838" s="5" t="s">
        <v>238</v>
      </c>
      <c r="DJ2838" s="5" t="s">
        <v>238</v>
      </c>
      <c r="DN2838" s="5" t="s">
        <v>238</v>
      </c>
      <c r="DO2838" s="5" t="s">
        <v>238</v>
      </c>
      <c r="DP2838" s="5" t="s">
        <v>238</v>
      </c>
      <c r="DQ2838" s="5" t="s">
        <v>238</v>
      </c>
      <c r="DT2838" s="5" t="s">
        <v>275</v>
      </c>
      <c r="DU2838" s="5" t="s">
        <v>436</v>
      </c>
      <c r="HM2838" s="5" t="s">
        <v>264</v>
      </c>
    </row>
    <row r="2839" spans="1:221" x14ac:dyDescent="0.4">
      <c r="A2839" s="5">
        <v>4543</v>
      </c>
      <c r="B2839" s="5">
        <v>1</v>
      </c>
      <c r="C2839" s="5">
        <v>1</v>
      </c>
      <c r="D2839" s="5" t="s">
        <v>269</v>
      </c>
      <c r="E2839" s="5" t="s">
        <v>271</v>
      </c>
      <c r="F2839" s="5" t="s">
        <v>248</v>
      </c>
      <c r="G2839" s="5" t="s">
        <v>266</v>
      </c>
      <c r="H2839" s="6" t="s">
        <v>447</v>
      </c>
      <c r="I2839" s="7">
        <f>41</f>
        <v>41</v>
      </c>
      <c r="J2839" s="5" t="s">
        <v>262</v>
      </c>
      <c r="K2839" s="8">
        <f>1</f>
        <v>1</v>
      </c>
      <c r="L2839" s="6" t="s">
        <v>242</v>
      </c>
      <c r="M2839" s="5" t="s">
        <v>267</v>
      </c>
      <c r="N2839" s="5" t="s">
        <v>265</v>
      </c>
      <c r="O2839" s="5" t="s">
        <v>238</v>
      </c>
      <c r="P2839" s="5" t="s">
        <v>238</v>
      </c>
      <c r="Q2839" s="5" t="s">
        <v>268</v>
      </c>
      <c r="R2839" s="5" t="s">
        <v>270</v>
      </c>
      <c r="S2839" s="5" t="s">
        <v>238</v>
      </c>
      <c r="V2839" s="5" t="s">
        <v>238</v>
      </c>
      <c r="X2839" s="6" t="s">
        <v>238</v>
      </c>
      <c r="AA2839" s="6" t="s">
        <v>243</v>
      </c>
      <c r="AB2839" s="5" t="s">
        <v>238</v>
      </c>
      <c r="AC2839" s="5" t="s">
        <v>244</v>
      </c>
      <c r="AD2839" s="5" t="s">
        <v>245</v>
      </c>
      <c r="AT2839" s="5" t="s">
        <v>246</v>
      </c>
      <c r="AU2839" s="5" t="s">
        <v>238</v>
      </c>
      <c r="AV2839" s="5" t="s">
        <v>247</v>
      </c>
      <c r="AW2839" s="5" t="s">
        <v>238</v>
      </c>
      <c r="AX2839" s="5" t="s">
        <v>249</v>
      </c>
      <c r="AY2839" s="5" t="s">
        <v>238</v>
      </c>
      <c r="BA2839" s="5" t="s">
        <v>238</v>
      </c>
      <c r="BC2839" s="5" t="s">
        <v>250</v>
      </c>
      <c r="BD2839" s="6" t="s">
        <v>243</v>
      </c>
      <c r="BE2839" s="5" t="s">
        <v>251</v>
      </c>
      <c r="BF2839" s="5" t="s">
        <v>252</v>
      </c>
      <c r="BG2839" s="5" t="s">
        <v>238</v>
      </c>
      <c r="BH2839" s="7">
        <f>0</f>
        <v>0</v>
      </c>
      <c r="BI2839" s="8">
        <f>0</f>
        <v>0</v>
      </c>
      <c r="BJ2839" s="5" t="s">
        <v>253</v>
      </c>
      <c r="BK2839" s="5" t="s">
        <v>254</v>
      </c>
      <c r="BY2839" s="5" t="s">
        <v>238</v>
      </c>
      <c r="BZ2839" s="5" t="s">
        <v>238</v>
      </c>
      <c r="CD2839" s="5" t="s">
        <v>273</v>
      </c>
      <c r="CE2839" s="5" t="s">
        <v>256</v>
      </c>
      <c r="CF2839" s="5" t="s">
        <v>238</v>
      </c>
      <c r="CI2839" s="6" t="s">
        <v>257</v>
      </c>
      <c r="CJ2839" s="5" t="s">
        <v>238</v>
      </c>
      <c r="CK2839" s="5" t="s">
        <v>258</v>
      </c>
      <c r="CL2839" s="5" t="s">
        <v>238</v>
      </c>
      <c r="CM2839" s="5" t="s">
        <v>238</v>
      </c>
      <c r="CN2839" s="5">
        <v>0</v>
      </c>
      <c r="CO2839" s="5" t="s">
        <v>259</v>
      </c>
      <c r="CP2839" s="5" t="s">
        <v>260</v>
      </c>
      <c r="CQ2839" s="5" t="s">
        <v>260</v>
      </c>
      <c r="CR2839" s="5" t="s">
        <v>261</v>
      </c>
      <c r="CU2839" s="8">
        <f>1</f>
        <v>1</v>
      </c>
      <c r="CV2839" s="8">
        <f>0</f>
        <v>0</v>
      </c>
      <c r="CX2839" s="8">
        <f>0</f>
        <v>0</v>
      </c>
      <c r="CY2839" s="8">
        <f>1</f>
        <v>1</v>
      </c>
      <c r="DA2839" s="5" t="s">
        <v>274</v>
      </c>
      <c r="DB2839" s="5" t="s">
        <v>238</v>
      </c>
      <c r="DD2839" s="5" t="s">
        <v>274</v>
      </c>
      <c r="DE2839" s="8">
        <f>41</f>
        <v>41</v>
      </c>
      <c r="DG2839" s="5" t="s">
        <v>238</v>
      </c>
      <c r="DH2839" s="5" t="s">
        <v>238</v>
      </c>
      <c r="DI2839" s="5" t="s">
        <v>238</v>
      </c>
      <c r="DJ2839" s="5" t="s">
        <v>238</v>
      </c>
      <c r="DN2839" s="5" t="s">
        <v>238</v>
      </c>
      <c r="DO2839" s="5" t="s">
        <v>238</v>
      </c>
      <c r="DP2839" s="5" t="s">
        <v>238</v>
      </c>
      <c r="DQ2839" s="5" t="s">
        <v>238</v>
      </c>
      <c r="DT2839" s="5" t="s">
        <v>275</v>
      </c>
      <c r="DU2839" s="5" t="s">
        <v>448</v>
      </c>
      <c r="HM2839" s="5" t="s">
        <v>264</v>
      </c>
    </row>
    <row r="2840" spans="1:221" x14ac:dyDescent="0.4">
      <c r="A2840" s="5">
        <v>4544</v>
      </c>
      <c r="B2840" s="5">
        <v>1</v>
      </c>
      <c r="C2840" s="5">
        <v>1</v>
      </c>
      <c r="D2840" s="5" t="s">
        <v>269</v>
      </c>
      <c r="E2840" s="5" t="s">
        <v>271</v>
      </c>
      <c r="F2840" s="5" t="s">
        <v>248</v>
      </c>
      <c r="G2840" s="5" t="s">
        <v>266</v>
      </c>
      <c r="H2840" s="6" t="s">
        <v>441</v>
      </c>
      <c r="I2840" s="7">
        <f>978</f>
        <v>978</v>
      </c>
      <c r="J2840" s="5" t="s">
        <v>262</v>
      </c>
      <c r="K2840" s="8">
        <f>1</f>
        <v>1</v>
      </c>
      <c r="L2840" s="6" t="s">
        <v>242</v>
      </c>
      <c r="M2840" s="5" t="s">
        <v>267</v>
      </c>
      <c r="N2840" s="5" t="s">
        <v>265</v>
      </c>
      <c r="O2840" s="5" t="s">
        <v>238</v>
      </c>
      <c r="P2840" s="5" t="s">
        <v>238</v>
      </c>
      <c r="Q2840" s="5" t="s">
        <v>268</v>
      </c>
      <c r="R2840" s="5" t="s">
        <v>270</v>
      </c>
      <c r="S2840" s="5" t="s">
        <v>238</v>
      </c>
      <c r="V2840" s="5" t="s">
        <v>238</v>
      </c>
      <c r="X2840" s="6" t="s">
        <v>238</v>
      </c>
      <c r="AA2840" s="6" t="s">
        <v>243</v>
      </c>
      <c r="AB2840" s="5" t="s">
        <v>238</v>
      </c>
      <c r="AC2840" s="5" t="s">
        <v>244</v>
      </c>
      <c r="AD2840" s="5" t="s">
        <v>245</v>
      </c>
      <c r="AT2840" s="5" t="s">
        <v>246</v>
      </c>
      <c r="AU2840" s="5" t="s">
        <v>238</v>
      </c>
      <c r="AV2840" s="5" t="s">
        <v>247</v>
      </c>
      <c r="AW2840" s="5" t="s">
        <v>238</v>
      </c>
      <c r="AX2840" s="5" t="s">
        <v>249</v>
      </c>
      <c r="AY2840" s="5" t="s">
        <v>238</v>
      </c>
      <c r="BA2840" s="5" t="s">
        <v>238</v>
      </c>
      <c r="BC2840" s="5" t="s">
        <v>250</v>
      </c>
      <c r="BD2840" s="6" t="s">
        <v>243</v>
      </c>
      <c r="BE2840" s="5" t="s">
        <v>251</v>
      </c>
      <c r="BF2840" s="5" t="s">
        <v>252</v>
      </c>
      <c r="BG2840" s="5" t="s">
        <v>238</v>
      </c>
      <c r="BH2840" s="7">
        <f>0</f>
        <v>0</v>
      </c>
      <c r="BI2840" s="8">
        <f>0</f>
        <v>0</v>
      </c>
      <c r="BJ2840" s="5" t="s">
        <v>253</v>
      </c>
      <c r="BK2840" s="5" t="s">
        <v>254</v>
      </c>
      <c r="BY2840" s="5" t="s">
        <v>238</v>
      </c>
      <c r="BZ2840" s="5" t="s">
        <v>238</v>
      </c>
      <c r="CD2840" s="5" t="s">
        <v>273</v>
      </c>
      <c r="CE2840" s="5" t="s">
        <v>256</v>
      </c>
      <c r="CF2840" s="5" t="s">
        <v>238</v>
      </c>
      <c r="CI2840" s="6" t="s">
        <v>257</v>
      </c>
      <c r="CJ2840" s="5" t="s">
        <v>238</v>
      </c>
      <c r="CK2840" s="5" t="s">
        <v>258</v>
      </c>
      <c r="CL2840" s="5" t="s">
        <v>238</v>
      </c>
      <c r="CM2840" s="5" t="s">
        <v>238</v>
      </c>
      <c r="CN2840" s="5">
        <v>0</v>
      </c>
      <c r="CO2840" s="5" t="s">
        <v>259</v>
      </c>
      <c r="CP2840" s="5" t="s">
        <v>260</v>
      </c>
      <c r="CQ2840" s="5" t="s">
        <v>260</v>
      </c>
      <c r="CR2840" s="5" t="s">
        <v>261</v>
      </c>
      <c r="CU2840" s="8">
        <f>1</f>
        <v>1</v>
      </c>
      <c r="CV2840" s="8">
        <f>0</f>
        <v>0</v>
      </c>
      <c r="CX2840" s="8">
        <f>0</f>
        <v>0</v>
      </c>
      <c r="CY2840" s="8">
        <f>1</f>
        <v>1</v>
      </c>
      <c r="DA2840" s="5" t="s">
        <v>274</v>
      </c>
      <c r="DB2840" s="5" t="s">
        <v>238</v>
      </c>
      <c r="DD2840" s="5" t="s">
        <v>274</v>
      </c>
      <c r="DE2840" s="8">
        <f>978</f>
        <v>978</v>
      </c>
      <c r="DG2840" s="5" t="s">
        <v>238</v>
      </c>
      <c r="DH2840" s="5" t="s">
        <v>238</v>
      </c>
      <c r="DI2840" s="5" t="s">
        <v>238</v>
      </c>
      <c r="DJ2840" s="5" t="s">
        <v>238</v>
      </c>
      <c r="DN2840" s="5" t="s">
        <v>238</v>
      </c>
      <c r="DO2840" s="5" t="s">
        <v>238</v>
      </c>
      <c r="DP2840" s="5" t="s">
        <v>238</v>
      </c>
      <c r="DQ2840" s="5" t="s">
        <v>238</v>
      </c>
      <c r="DT2840" s="5" t="s">
        <v>275</v>
      </c>
      <c r="DU2840" s="5" t="s">
        <v>442</v>
      </c>
      <c r="HM2840" s="5" t="s">
        <v>264</v>
      </c>
    </row>
    <row r="2841" spans="1:221" x14ac:dyDescent="0.4">
      <c r="A2841" s="5">
        <v>4545</v>
      </c>
      <c r="B2841" s="5">
        <v>1</v>
      </c>
      <c r="C2841" s="5">
        <v>1</v>
      </c>
      <c r="D2841" s="5" t="s">
        <v>269</v>
      </c>
      <c r="E2841" s="5" t="s">
        <v>271</v>
      </c>
      <c r="F2841" s="5" t="s">
        <v>248</v>
      </c>
      <c r="G2841" s="5" t="s">
        <v>266</v>
      </c>
      <c r="H2841" s="6" t="s">
        <v>451</v>
      </c>
      <c r="I2841" s="7">
        <f>1402</f>
        <v>1402</v>
      </c>
      <c r="J2841" s="5" t="s">
        <v>262</v>
      </c>
      <c r="K2841" s="8">
        <f>1</f>
        <v>1</v>
      </c>
      <c r="L2841" s="6" t="s">
        <v>242</v>
      </c>
      <c r="M2841" s="5" t="s">
        <v>267</v>
      </c>
      <c r="N2841" s="5" t="s">
        <v>265</v>
      </c>
      <c r="O2841" s="5" t="s">
        <v>238</v>
      </c>
      <c r="P2841" s="5" t="s">
        <v>238</v>
      </c>
      <c r="Q2841" s="5" t="s">
        <v>268</v>
      </c>
      <c r="R2841" s="5" t="s">
        <v>270</v>
      </c>
      <c r="S2841" s="5" t="s">
        <v>238</v>
      </c>
      <c r="V2841" s="5" t="s">
        <v>238</v>
      </c>
      <c r="X2841" s="6" t="s">
        <v>238</v>
      </c>
      <c r="AA2841" s="6" t="s">
        <v>243</v>
      </c>
      <c r="AB2841" s="5" t="s">
        <v>238</v>
      </c>
      <c r="AC2841" s="5" t="s">
        <v>244</v>
      </c>
      <c r="AD2841" s="5" t="s">
        <v>245</v>
      </c>
      <c r="AT2841" s="5" t="s">
        <v>246</v>
      </c>
      <c r="AU2841" s="5" t="s">
        <v>238</v>
      </c>
      <c r="AV2841" s="5" t="s">
        <v>247</v>
      </c>
      <c r="AW2841" s="5" t="s">
        <v>238</v>
      </c>
      <c r="AX2841" s="5" t="s">
        <v>249</v>
      </c>
      <c r="AY2841" s="5" t="s">
        <v>238</v>
      </c>
      <c r="BA2841" s="5" t="s">
        <v>238</v>
      </c>
      <c r="BC2841" s="5" t="s">
        <v>250</v>
      </c>
      <c r="BD2841" s="6" t="s">
        <v>243</v>
      </c>
      <c r="BE2841" s="5" t="s">
        <v>251</v>
      </c>
      <c r="BF2841" s="5" t="s">
        <v>252</v>
      </c>
      <c r="BG2841" s="5" t="s">
        <v>238</v>
      </c>
      <c r="BH2841" s="7">
        <f>0</f>
        <v>0</v>
      </c>
      <c r="BI2841" s="8">
        <f>0</f>
        <v>0</v>
      </c>
      <c r="BJ2841" s="5" t="s">
        <v>253</v>
      </c>
      <c r="BK2841" s="5" t="s">
        <v>254</v>
      </c>
      <c r="BY2841" s="5" t="s">
        <v>238</v>
      </c>
      <c r="BZ2841" s="5" t="s">
        <v>238</v>
      </c>
      <c r="CD2841" s="5" t="s">
        <v>273</v>
      </c>
      <c r="CE2841" s="5" t="s">
        <v>256</v>
      </c>
      <c r="CF2841" s="5" t="s">
        <v>238</v>
      </c>
      <c r="CI2841" s="6" t="s">
        <v>257</v>
      </c>
      <c r="CJ2841" s="5" t="s">
        <v>238</v>
      </c>
      <c r="CK2841" s="5" t="s">
        <v>258</v>
      </c>
      <c r="CL2841" s="5" t="s">
        <v>238</v>
      </c>
      <c r="CM2841" s="5" t="s">
        <v>238</v>
      </c>
      <c r="CN2841" s="5">
        <v>0</v>
      </c>
      <c r="CO2841" s="5" t="s">
        <v>259</v>
      </c>
      <c r="CP2841" s="5" t="s">
        <v>260</v>
      </c>
      <c r="CQ2841" s="5" t="s">
        <v>260</v>
      </c>
      <c r="CR2841" s="5" t="s">
        <v>261</v>
      </c>
      <c r="CU2841" s="8">
        <f>1</f>
        <v>1</v>
      </c>
      <c r="CV2841" s="8">
        <f>0</f>
        <v>0</v>
      </c>
      <c r="CX2841" s="8">
        <f>0</f>
        <v>0</v>
      </c>
      <c r="CY2841" s="8">
        <f>1</f>
        <v>1</v>
      </c>
      <c r="DA2841" s="5" t="s">
        <v>274</v>
      </c>
      <c r="DB2841" s="5" t="s">
        <v>238</v>
      </c>
      <c r="DD2841" s="5" t="s">
        <v>274</v>
      </c>
      <c r="DE2841" s="8">
        <f>1402</f>
        <v>1402</v>
      </c>
      <c r="DG2841" s="5" t="s">
        <v>238</v>
      </c>
      <c r="DH2841" s="5" t="s">
        <v>238</v>
      </c>
      <c r="DI2841" s="5" t="s">
        <v>238</v>
      </c>
      <c r="DJ2841" s="5" t="s">
        <v>238</v>
      </c>
      <c r="DN2841" s="5" t="s">
        <v>238</v>
      </c>
      <c r="DO2841" s="5" t="s">
        <v>238</v>
      </c>
      <c r="DP2841" s="5" t="s">
        <v>238</v>
      </c>
      <c r="DQ2841" s="5" t="s">
        <v>238</v>
      </c>
      <c r="DT2841" s="5" t="s">
        <v>275</v>
      </c>
      <c r="DU2841" s="5" t="s">
        <v>452</v>
      </c>
      <c r="HM2841" s="5" t="s">
        <v>264</v>
      </c>
    </row>
    <row r="2842" spans="1:221" x14ac:dyDescent="0.4">
      <c r="A2842" s="5">
        <v>4546</v>
      </c>
      <c r="B2842" s="5">
        <v>1</v>
      </c>
      <c r="C2842" s="5">
        <v>1</v>
      </c>
      <c r="D2842" s="5" t="s">
        <v>269</v>
      </c>
      <c r="E2842" s="5" t="s">
        <v>271</v>
      </c>
      <c r="F2842" s="5" t="s">
        <v>248</v>
      </c>
      <c r="G2842" s="5" t="s">
        <v>266</v>
      </c>
      <c r="H2842" s="6" t="s">
        <v>457</v>
      </c>
      <c r="I2842" s="7">
        <f>1533</f>
        <v>1533</v>
      </c>
      <c r="J2842" s="5" t="s">
        <v>262</v>
      </c>
      <c r="K2842" s="8">
        <f>1</f>
        <v>1</v>
      </c>
      <c r="L2842" s="6" t="s">
        <v>242</v>
      </c>
      <c r="M2842" s="5" t="s">
        <v>267</v>
      </c>
      <c r="N2842" s="5" t="s">
        <v>265</v>
      </c>
      <c r="O2842" s="5" t="s">
        <v>238</v>
      </c>
      <c r="P2842" s="5" t="s">
        <v>238</v>
      </c>
      <c r="Q2842" s="5" t="s">
        <v>268</v>
      </c>
      <c r="R2842" s="5" t="s">
        <v>270</v>
      </c>
      <c r="S2842" s="5" t="s">
        <v>238</v>
      </c>
      <c r="V2842" s="5" t="s">
        <v>238</v>
      </c>
      <c r="X2842" s="6" t="s">
        <v>238</v>
      </c>
      <c r="AA2842" s="6" t="s">
        <v>243</v>
      </c>
      <c r="AB2842" s="5" t="s">
        <v>238</v>
      </c>
      <c r="AC2842" s="5" t="s">
        <v>244</v>
      </c>
      <c r="AD2842" s="5" t="s">
        <v>245</v>
      </c>
      <c r="AT2842" s="5" t="s">
        <v>246</v>
      </c>
      <c r="AU2842" s="5" t="s">
        <v>238</v>
      </c>
      <c r="AV2842" s="5" t="s">
        <v>247</v>
      </c>
      <c r="AW2842" s="5" t="s">
        <v>238</v>
      </c>
      <c r="AX2842" s="5" t="s">
        <v>249</v>
      </c>
      <c r="AY2842" s="5" t="s">
        <v>238</v>
      </c>
      <c r="BA2842" s="5" t="s">
        <v>238</v>
      </c>
      <c r="BC2842" s="5" t="s">
        <v>250</v>
      </c>
      <c r="BD2842" s="6" t="s">
        <v>243</v>
      </c>
      <c r="BE2842" s="5" t="s">
        <v>251</v>
      </c>
      <c r="BF2842" s="5" t="s">
        <v>252</v>
      </c>
      <c r="BG2842" s="5" t="s">
        <v>238</v>
      </c>
      <c r="BH2842" s="7">
        <f>0</f>
        <v>0</v>
      </c>
      <c r="BI2842" s="8">
        <f>0</f>
        <v>0</v>
      </c>
      <c r="BJ2842" s="5" t="s">
        <v>253</v>
      </c>
      <c r="BK2842" s="5" t="s">
        <v>254</v>
      </c>
      <c r="BY2842" s="5" t="s">
        <v>238</v>
      </c>
      <c r="BZ2842" s="5" t="s">
        <v>238</v>
      </c>
      <c r="CD2842" s="5" t="s">
        <v>273</v>
      </c>
      <c r="CE2842" s="5" t="s">
        <v>256</v>
      </c>
      <c r="CF2842" s="5" t="s">
        <v>238</v>
      </c>
      <c r="CI2842" s="6" t="s">
        <v>257</v>
      </c>
      <c r="CJ2842" s="5" t="s">
        <v>238</v>
      </c>
      <c r="CK2842" s="5" t="s">
        <v>258</v>
      </c>
      <c r="CL2842" s="5" t="s">
        <v>238</v>
      </c>
      <c r="CM2842" s="5" t="s">
        <v>238</v>
      </c>
      <c r="CN2842" s="5">
        <v>0</v>
      </c>
      <c r="CO2842" s="5" t="s">
        <v>259</v>
      </c>
      <c r="CP2842" s="5" t="s">
        <v>260</v>
      </c>
      <c r="CQ2842" s="5" t="s">
        <v>260</v>
      </c>
      <c r="CR2842" s="5" t="s">
        <v>261</v>
      </c>
      <c r="CU2842" s="8">
        <f>1</f>
        <v>1</v>
      </c>
      <c r="CV2842" s="8">
        <f>0</f>
        <v>0</v>
      </c>
      <c r="CX2842" s="8">
        <f>0</f>
        <v>0</v>
      </c>
      <c r="CY2842" s="8">
        <f>1</f>
        <v>1</v>
      </c>
      <c r="DA2842" s="5" t="s">
        <v>274</v>
      </c>
      <c r="DB2842" s="5" t="s">
        <v>238</v>
      </c>
      <c r="DD2842" s="5" t="s">
        <v>274</v>
      </c>
      <c r="DE2842" s="8">
        <f>1533</f>
        <v>1533</v>
      </c>
      <c r="DG2842" s="5" t="s">
        <v>238</v>
      </c>
      <c r="DH2842" s="5" t="s">
        <v>238</v>
      </c>
      <c r="DI2842" s="5" t="s">
        <v>238</v>
      </c>
      <c r="DJ2842" s="5" t="s">
        <v>238</v>
      </c>
      <c r="DN2842" s="5" t="s">
        <v>238</v>
      </c>
      <c r="DO2842" s="5" t="s">
        <v>238</v>
      </c>
      <c r="DP2842" s="5" t="s">
        <v>238</v>
      </c>
      <c r="DQ2842" s="5" t="s">
        <v>238</v>
      </c>
      <c r="DT2842" s="5" t="s">
        <v>275</v>
      </c>
      <c r="DU2842" s="5" t="s">
        <v>458</v>
      </c>
      <c r="HM2842" s="5" t="s">
        <v>264</v>
      </c>
    </row>
    <row r="2843" spans="1:221" x14ac:dyDescent="0.4">
      <c r="A2843" s="5">
        <v>4547</v>
      </c>
      <c r="B2843" s="5">
        <v>1</v>
      </c>
      <c r="C2843" s="5">
        <v>1</v>
      </c>
      <c r="D2843" s="5" t="s">
        <v>269</v>
      </c>
      <c r="E2843" s="5" t="s">
        <v>271</v>
      </c>
      <c r="F2843" s="5" t="s">
        <v>248</v>
      </c>
      <c r="G2843" s="5" t="s">
        <v>266</v>
      </c>
      <c r="H2843" s="6" t="s">
        <v>469</v>
      </c>
      <c r="I2843" s="7">
        <f>1465</f>
        <v>1465</v>
      </c>
      <c r="J2843" s="5" t="s">
        <v>262</v>
      </c>
      <c r="K2843" s="8">
        <f>1</f>
        <v>1</v>
      </c>
      <c r="L2843" s="6" t="s">
        <v>242</v>
      </c>
      <c r="M2843" s="5" t="s">
        <v>267</v>
      </c>
      <c r="N2843" s="5" t="s">
        <v>265</v>
      </c>
      <c r="O2843" s="5" t="s">
        <v>238</v>
      </c>
      <c r="P2843" s="5" t="s">
        <v>238</v>
      </c>
      <c r="Q2843" s="5" t="s">
        <v>268</v>
      </c>
      <c r="R2843" s="5" t="s">
        <v>270</v>
      </c>
      <c r="S2843" s="5" t="s">
        <v>238</v>
      </c>
      <c r="V2843" s="5" t="s">
        <v>238</v>
      </c>
      <c r="X2843" s="6" t="s">
        <v>238</v>
      </c>
      <c r="AA2843" s="6" t="s">
        <v>243</v>
      </c>
      <c r="AB2843" s="5" t="s">
        <v>238</v>
      </c>
      <c r="AC2843" s="5" t="s">
        <v>244</v>
      </c>
      <c r="AD2843" s="5" t="s">
        <v>245</v>
      </c>
      <c r="AT2843" s="5" t="s">
        <v>246</v>
      </c>
      <c r="AU2843" s="5" t="s">
        <v>238</v>
      </c>
      <c r="AV2843" s="5" t="s">
        <v>247</v>
      </c>
      <c r="AW2843" s="5" t="s">
        <v>238</v>
      </c>
      <c r="AX2843" s="5" t="s">
        <v>249</v>
      </c>
      <c r="AY2843" s="5" t="s">
        <v>238</v>
      </c>
      <c r="BA2843" s="5" t="s">
        <v>238</v>
      </c>
      <c r="BC2843" s="5" t="s">
        <v>250</v>
      </c>
      <c r="BD2843" s="6" t="s">
        <v>243</v>
      </c>
      <c r="BE2843" s="5" t="s">
        <v>251</v>
      </c>
      <c r="BF2843" s="5" t="s">
        <v>252</v>
      </c>
      <c r="BG2843" s="5" t="s">
        <v>238</v>
      </c>
      <c r="BH2843" s="7">
        <f>0</f>
        <v>0</v>
      </c>
      <c r="BI2843" s="8">
        <f>0</f>
        <v>0</v>
      </c>
      <c r="BJ2843" s="5" t="s">
        <v>253</v>
      </c>
      <c r="BK2843" s="5" t="s">
        <v>254</v>
      </c>
      <c r="BY2843" s="5" t="s">
        <v>238</v>
      </c>
      <c r="BZ2843" s="5" t="s">
        <v>238</v>
      </c>
      <c r="CD2843" s="5" t="s">
        <v>273</v>
      </c>
      <c r="CE2843" s="5" t="s">
        <v>256</v>
      </c>
      <c r="CF2843" s="5" t="s">
        <v>238</v>
      </c>
      <c r="CI2843" s="6" t="s">
        <v>257</v>
      </c>
      <c r="CJ2843" s="5" t="s">
        <v>238</v>
      </c>
      <c r="CK2843" s="5" t="s">
        <v>258</v>
      </c>
      <c r="CL2843" s="5" t="s">
        <v>238</v>
      </c>
      <c r="CM2843" s="5" t="s">
        <v>238</v>
      </c>
      <c r="CN2843" s="5">
        <v>0</v>
      </c>
      <c r="CO2843" s="5" t="s">
        <v>259</v>
      </c>
      <c r="CP2843" s="5" t="s">
        <v>260</v>
      </c>
      <c r="CQ2843" s="5" t="s">
        <v>260</v>
      </c>
      <c r="CR2843" s="5" t="s">
        <v>261</v>
      </c>
      <c r="CU2843" s="8">
        <f>1</f>
        <v>1</v>
      </c>
      <c r="CV2843" s="8">
        <f>0</f>
        <v>0</v>
      </c>
      <c r="CX2843" s="8">
        <f>0</f>
        <v>0</v>
      </c>
      <c r="CY2843" s="8">
        <f>1</f>
        <v>1</v>
      </c>
      <c r="DA2843" s="5" t="s">
        <v>274</v>
      </c>
      <c r="DB2843" s="5" t="s">
        <v>238</v>
      </c>
      <c r="DD2843" s="5" t="s">
        <v>274</v>
      </c>
      <c r="DE2843" s="8">
        <f>1465</f>
        <v>1465</v>
      </c>
      <c r="DG2843" s="5" t="s">
        <v>238</v>
      </c>
      <c r="DH2843" s="5" t="s">
        <v>238</v>
      </c>
      <c r="DI2843" s="5" t="s">
        <v>238</v>
      </c>
      <c r="DJ2843" s="5" t="s">
        <v>238</v>
      </c>
      <c r="DN2843" s="5" t="s">
        <v>238</v>
      </c>
      <c r="DO2843" s="5" t="s">
        <v>238</v>
      </c>
      <c r="DP2843" s="5" t="s">
        <v>238</v>
      </c>
      <c r="DQ2843" s="5" t="s">
        <v>238</v>
      </c>
      <c r="DT2843" s="5" t="s">
        <v>275</v>
      </c>
      <c r="DU2843" s="5" t="s">
        <v>470</v>
      </c>
      <c r="HM2843" s="5" t="s">
        <v>264</v>
      </c>
    </row>
    <row r="2844" spans="1:221" x14ac:dyDescent="0.4">
      <c r="A2844" s="5">
        <v>4548</v>
      </c>
      <c r="B2844" s="5">
        <v>1</v>
      </c>
      <c r="C2844" s="5">
        <v>1</v>
      </c>
      <c r="D2844" s="5" t="s">
        <v>269</v>
      </c>
      <c r="E2844" s="5" t="s">
        <v>271</v>
      </c>
      <c r="F2844" s="5" t="s">
        <v>248</v>
      </c>
      <c r="G2844" s="5" t="s">
        <v>266</v>
      </c>
      <c r="H2844" s="6" t="s">
        <v>463</v>
      </c>
      <c r="I2844" s="7">
        <f>4056</f>
        <v>4056</v>
      </c>
      <c r="J2844" s="5" t="s">
        <v>262</v>
      </c>
      <c r="K2844" s="8">
        <f>1</f>
        <v>1</v>
      </c>
      <c r="L2844" s="6" t="s">
        <v>242</v>
      </c>
      <c r="M2844" s="5" t="s">
        <v>267</v>
      </c>
      <c r="N2844" s="5" t="s">
        <v>265</v>
      </c>
      <c r="O2844" s="5" t="s">
        <v>238</v>
      </c>
      <c r="P2844" s="5" t="s">
        <v>238</v>
      </c>
      <c r="Q2844" s="5" t="s">
        <v>268</v>
      </c>
      <c r="R2844" s="5" t="s">
        <v>270</v>
      </c>
      <c r="S2844" s="5" t="s">
        <v>238</v>
      </c>
      <c r="V2844" s="5" t="s">
        <v>238</v>
      </c>
      <c r="X2844" s="6" t="s">
        <v>238</v>
      </c>
      <c r="AA2844" s="6" t="s">
        <v>243</v>
      </c>
      <c r="AB2844" s="5" t="s">
        <v>238</v>
      </c>
      <c r="AC2844" s="5" t="s">
        <v>244</v>
      </c>
      <c r="AD2844" s="5" t="s">
        <v>245</v>
      </c>
      <c r="AT2844" s="5" t="s">
        <v>246</v>
      </c>
      <c r="AU2844" s="5" t="s">
        <v>238</v>
      </c>
      <c r="AV2844" s="5" t="s">
        <v>247</v>
      </c>
      <c r="AW2844" s="5" t="s">
        <v>238</v>
      </c>
      <c r="AX2844" s="5" t="s">
        <v>249</v>
      </c>
      <c r="AY2844" s="5" t="s">
        <v>238</v>
      </c>
      <c r="BA2844" s="5" t="s">
        <v>238</v>
      </c>
      <c r="BC2844" s="5" t="s">
        <v>250</v>
      </c>
      <c r="BD2844" s="6" t="s">
        <v>243</v>
      </c>
      <c r="BE2844" s="5" t="s">
        <v>251</v>
      </c>
      <c r="BF2844" s="5" t="s">
        <v>252</v>
      </c>
      <c r="BG2844" s="5" t="s">
        <v>238</v>
      </c>
      <c r="BH2844" s="7">
        <f>0</f>
        <v>0</v>
      </c>
      <c r="BI2844" s="8">
        <f>0</f>
        <v>0</v>
      </c>
      <c r="BJ2844" s="5" t="s">
        <v>253</v>
      </c>
      <c r="BK2844" s="5" t="s">
        <v>254</v>
      </c>
      <c r="BY2844" s="5" t="s">
        <v>238</v>
      </c>
      <c r="BZ2844" s="5" t="s">
        <v>238</v>
      </c>
      <c r="CD2844" s="5" t="s">
        <v>273</v>
      </c>
      <c r="CE2844" s="5" t="s">
        <v>256</v>
      </c>
      <c r="CF2844" s="5" t="s">
        <v>238</v>
      </c>
      <c r="CI2844" s="6" t="s">
        <v>257</v>
      </c>
      <c r="CJ2844" s="5" t="s">
        <v>238</v>
      </c>
      <c r="CK2844" s="5" t="s">
        <v>258</v>
      </c>
      <c r="CL2844" s="5" t="s">
        <v>238</v>
      </c>
      <c r="CM2844" s="5" t="s">
        <v>238</v>
      </c>
      <c r="CN2844" s="5">
        <v>0</v>
      </c>
      <c r="CO2844" s="5" t="s">
        <v>259</v>
      </c>
      <c r="CP2844" s="5" t="s">
        <v>260</v>
      </c>
      <c r="CQ2844" s="5" t="s">
        <v>260</v>
      </c>
      <c r="CR2844" s="5" t="s">
        <v>261</v>
      </c>
      <c r="CU2844" s="8">
        <f>1</f>
        <v>1</v>
      </c>
      <c r="CV2844" s="8">
        <f>0</f>
        <v>0</v>
      </c>
      <c r="CX2844" s="8">
        <f>0</f>
        <v>0</v>
      </c>
      <c r="CY2844" s="8">
        <f>1</f>
        <v>1</v>
      </c>
      <c r="DA2844" s="5" t="s">
        <v>274</v>
      </c>
      <c r="DB2844" s="5" t="s">
        <v>238</v>
      </c>
      <c r="DD2844" s="5" t="s">
        <v>274</v>
      </c>
      <c r="DE2844" s="8">
        <f>4056</f>
        <v>4056</v>
      </c>
      <c r="DG2844" s="5" t="s">
        <v>238</v>
      </c>
      <c r="DH2844" s="5" t="s">
        <v>238</v>
      </c>
      <c r="DI2844" s="5" t="s">
        <v>238</v>
      </c>
      <c r="DJ2844" s="5" t="s">
        <v>238</v>
      </c>
      <c r="DN2844" s="5" t="s">
        <v>238</v>
      </c>
      <c r="DO2844" s="5" t="s">
        <v>238</v>
      </c>
      <c r="DP2844" s="5" t="s">
        <v>238</v>
      </c>
      <c r="DQ2844" s="5" t="s">
        <v>238</v>
      </c>
      <c r="DT2844" s="5" t="s">
        <v>275</v>
      </c>
      <c r="DU2844" s="5" t="s">
        <v>464</v>
      </c>
      <c r="HM2844" s="5" t="s">
        <v>264</v>
      </c>
    </row>
    <row r="2845" spans="1:221" x14ac:dyDescent="0.4">
      <c r="A2845" s="5">
        <v>4549</v>
      </c>
      <c r="B2845" s="5">
        <v>1</v>
      </c>
      <c r="C2845" s="5">
        <v>1</v>
      </c>
      <c r="D2845" s="5" t="s">
        <v>269</v>
      </c>
      <c r="E2845" s="5" t="s">
        <v>271</v>
      </c>
      <c r="F2845" s="5" t="s">
        <v>248</v>
      </c>
      <c r="G2845" s="5" t="s">
        <v>266</v>
      </c>
      <c r="H2845" s="6" t="s">
        <v>473</v>
      </c>
      <c r="I2845" s="7">
        <f>2555</f>
        <v>2555</v>
      </c>
      <c r="J2845" s="5" t="s">
        <v>262</v>
      </c>
      <c r="K2845" s="8">
        <f>1</f>
        <v>1</v>
      </c>
      <c r="L2845" s="6" t="s">
        <v>242</v>
      </c>
      <c r="M2845" s="5" t="s">
        <v>267</v>
      </c>
      <c r="N2845" s="5" t="s">
        <v>265</v>
      </c>
      <c r="O2845" s="5" t="s">
        <v>238</v>
      </c>
      <c r="P2845" s="5" t="s">
        <v>238</v>
      </c>
      <c r="Q2845" s="5" t="s">
        <v>268</v>
      </c>
      <c r="R2845" s="5" t="s">
        <v>270</v>
      </c>
      <c r="S2845" s="5" t="s">
        <v>238</v>
      </c>
      <c r="V2845" s="5" t="s">
        <v>238</v>
      </c>
      <c r="X2845" s="6" t="s">
        <v>238</v>
      </c>
      <c r="AA2845" s="6" t="s">
        <v>243</v>
      </c>
      <c r="AB2845" s="5" t="s">
        <v>238</v>
      </c>
      <c r="AC2845" s="5" t="s">
        <v>244</v>
      </c>
      <c r="AD2845" s="5" t="s">
        <v>245</v>
      </c>
      <c r="AT2845" s="5" t="s">
        <v>246</v>
      </c>
      <c r="AU2845" s="5" t="s">
        <v>238</v>
      </c>
      <c r="AV2845" s="5" t="s">
        <v>247</v>
      </c>
      <c r="AW2845" s="5" t="s">
        <v>238</v>
      </c>
      <c r="AX2845" s="5" t="s">
        <v>249</v>
      </c>
      <c r="AY2845" s="5" t="s">
        <v>238</v>
      </c>
      <c r="BA2845" s="5" t="s">
        <v>238</v>
      </c>
      <c r="BC2845" s="5" t="s">
        <v>250</v>
      </c>
      <c r="BD2845" s="6" t="s">
        <v>243</v>
      </c>
      <c r="BE2845" s="5" t="s">
        <v>251</v>
      </c>
      <c r="BF2845" s="5" t="s">
        <v>252</v>
      </c>
      <c r="BG2845" s="5" t="s">
        <v>238</v>
      </c>
      <c r="BH2845" s="7">
        <f>0</f>
        <v>0</v>
      </c>
      <c r="BI2845" s="8">
        <f>0</f>
        <v>0</v>
      </c>
      <c r="BJ2845" s="5" t="s">
        <v>253</v>
      </c>
      <c r="BK2845" s="5" t="s">
        <v>254</v>
      </c>
      <c r="BY2845" s="5" t="s">
        <v>238</v>
      </c>
      <c r="BZ2845" s="5" t="s">
        <v>238</v>
      </c>
      <c r="CD2845" s="5" t="s">
        <v>273</v>
      </c>
      <c r="CE2845" s="5" t="s">
        <v>256</v>
      </c>
      <c r="CF2845" s="5" t="s">
        <v>238</v>
      </c>
      <c r="CI2845" s="6" t="s">
        <v>257</v>
      </c>
      <c r="CJ2845" s="5" t="s">
        <v>238</v>
      </c>
      <c r="CK2845" s="5" t="s">
        <v>258</v>
      </c>
      <c r="CL2845" s="5" t="s">
        <v>238</v>
      </c>
      <c r="CM2845" s="5" t="s">
        <v>238</v>
      </c>
      <c r="CN2845" s="5">
        <v>0</v>
      </c>
      <c r="CO2845" s="5" t="s">
        <v>259</v>
      </c>
      <c r="CP2845" s="5" t="s">
        <v>260</v>
      </c>
      <c r="CQ2845" s="5" t="s">
        <v>260</v>
      </c>
      <c r="CR2845" s="5" t="s">
        <v>261</v>
      </c>
      <c r="CU2845" s="8">
        <f>1</f>
        <v>1</v>
      </c>
      <c r="CV2845" s="8">
        <f>0</f>
        <v>0</v>
      </c>
      <c r="CX2845" s="8">
        <f>0</f>
        <v>0</v>
      </c>
      <c r="CY2845" s="8">
        <f>1</f>
        <v>1</v>
      </c>
      <c r="DA2845" s="5" t="s">
        <v>274</v>
      </c>
      <c r="DB2845" s="5" t="s">
        <v>238</v>
      </c>
      <c r="DD2845" s="5" t="s">
        <v>274</v>
      </c>
      <c r="DE2845" s="8">
        <f>2555</f>
        <v>2555</v>
      </c>
      <c r="DG2845" s="5" t="s">
        <v>238</v>
      </c>
      <c r="DH2845" s="5" t="s">
        <v>238</v>
      </c>
      <c r="DI2845" s="5" t="s">
        <v>238</v>
      </c>
      <c r="DJ2845" s="5" t="s">
        <v>238</v>
      </c>
      <c r="DN2845" s="5" t="s">
        <v>238</v>
      </c>
      <c r="DO2845" s="5" t="s">
        <v>238</v>
      </c>
      <c r="DP2845" s="5" t="s">
        <v>238</v>
      </c>
      <c r="DQ2845" s="5" t="s">
        <v>238</v>
      </c>
      <c r="DT2845" s="5" t="s">
        <v>275</v>
      </c>
      <c r="DU2845" s="5" t="s">
        <v>474</v>
      </c>
      <c r="HM2845" s="5" t="s">
        <v>264</v>
      </c>
    </row>
    <row r="2846" spans="1:221" x14ac:dyDescent="0.4">
      <c r="A2846" s="5">
        <v>4550</v>
      </c>
      <c r="B2846" s="5">
        <v>1</v>
      </c>
      <c r="C2846" s="5">
        <v>1</v>
      </c>
      <c r="D2846" s="5" t="s">
        <v>269</v>
      </c>
      <c r="E2846" s="5" t="s">
        <v>271</v>
      </c>
      <c r="F2846" s="5" t="s">
        <v>248</v>
      </c>
      <c r="G2846" s="5" t="s">
        <v>266</v>
      </c>
      <c r="H2846" s="6" t="s">
        <v>480</v>
      </c>
      <c r="I2846" s="7">
        <f>164</f>
        <v>164</v>
      </c>
      <c r="J2846" s="5" t="s">
        <v>262</v>
      </c>
      <c r="K2846" s="8">
        <f>1</f>
        <v>1</v>
      </c>
      <c r="L2846" s="6" t="s">
        <v>242</v>
      </c>
      <c r="M2846" s="5" t="s">
        <v>267</v>
      </c>
      <c r="N2846" s="5" t="s">
        <v>265</v>
      </c>
      <c r="O2846" s="5" t="s">
        <v>238</v>
      </c>
      <c r="P2846" s="5" t="s">
        <v>238</v>
      </c>
      <c r="Q2846" s="5" t="s">
        <v>268</v>
      </c>
      <c r="R2846" s="5" t="s">
        <v>270</v>
      </c>
      <c r="S2846" s="5" t="s">
        <v>238</v>
      </c>
      <c r="V2846" s="5" t="s">
        <v>238</v>
      </c>
      <c r="X2846" s="6" t="s">
        <v>238</v>
      </c>
      <c r="AA2846" s="6" t="s">
        <v>243</v>
      </c>
      <c r="AB2846" s="5" t="s">
        <v>238</v>
      </c>
      <c r="AC2846" s="5" t="s">
        <v>244</v>
      </c>
      <c r="AD2846" s="5" t="s">
        <v>245</v>
      </c>
      <c r="AT2846" s="5" t="s">
        <v>246</v>
      </c>
      <c r="AU2846" s="5" t="s">
        <v>238</v>
      </c>
      <c r="AV2846" s="5" t="s">
        <v>247</v>
      </c>
      <c r="AW2846" s="5" t="s">
        <v>238</v>
      </c>
      <c r="AX2846" s="5" t="s">
        <v>249</v>
      </c>
      <c r="AY2846" s="5" t="s">
        <v>238</v>
      </c>
      <c r="BA2846" s="5" t="s">
        <v>238</v>
      </c>
      <c r="BC2846" s="5" t="s">
        <v>250</v>
      </c>
      <c r="BD2846" s="6" t="s">
        <v>243</v>
      </c>
      <c r="BE2846" s="5" t="s">
        <v>251</v>
      </c>
      <c r="BF2846" s="5" t="s">
        <v>252</v>
      </c>
      <c r="BG2846" s="5" t="s">
        <v>238</v>
      </c>
      <c r="BH2846" s="7">
        <f>0</f>
        <v>0</v>
      </c>
      <c r="BI2846" s="8">
        <f>0</f>
        <v>0</v>
      </c>
      <c r="BJ2846" s="5" t="s">
        <v>253</v>
      </c>
      <c r="BK2846" s="5" t="s">
        <v>254</v>
      </c>
      <c r="BY2846" s="5" t="s">
        <v>238</v>
      </c>
      <c r="BZ2846" s="5" t="s">
        <v>238</v>
      </c>
      <c r="CD2846" s="5" t="s">
        <v>273</v>
      </c>
      <c r="CE2846" s="5" t="s">
        <v>256</v>
      </c>
      <c r="CF2846" s="5" t="s">
        <v>238</v>
      </c>
      <c r="CI2846" s="6" t="s">
        <v>257</v>
      </c>
      <c r="CJ2846" s="5" t="s">
        <v>238</v>
      </c>
      <c r="CK2846" s="5" t="s">
        <v>258</v>
      </c>
      <c r="CL2846" s="5" t="s">
        <v>238</v>
      </c>
      <c r="CM2846" s="5" t="s">
        <v>238</v>
      </c>
      <c r="CN2846" s="5">
        <v>0</v>
      </c>
      <c r="CO2846" s="5" t="s">
        <v>259</v>
      </c>
      <c r="CP2846" s="5" t="s">
        <v>260</v>
      </c>
      <c r="CQ2846" s="5" t="s">
        <v>260</v>
      </c>
      <c r="CR2846" s="5" t="s">
        <v>261</v>
      </c>
      <c r="CU2846" s="8">
        <f>1</f>
        <v>1</v>
      </c>
      <c r="CV2846" s="8">
        <f>0</f>
        <v>0</v>
      </c>
      <c r="CX2846" s="8">
        <f>0</f>
        <v>0</v>
      </c>
      <c r="CY2846" s="8">
        <f>1</f>
        <v>1</v>
      </c>
      <c r="DA2846" s="5" t="s">
        <v>274</v>
      </c>
      <c r="DB2846" s="5" t="s">
        <v>238</v>
      </c>
      <c r="DD2846" s="5" t="s">
        <v>274</v>
      </c>
      <c r="DE2846" s="8">
        <f>164</f>
        <v>164</v>
      </c>
      <c r="DG2846" s="5" t="s">
        <v>238</v>
      </c>
      <c r="DH2846" s="5" t="s">
        <v>238</v>
      </c>
      <c r="DI2846" s="5" t="s">
        <v>238</v>
      </c>
      <c r="DJ2846" s="5" t="s">
        <v>238</v>
      </c>
      <c r="DN2846" s="5" t="s">
        <v>238</v>
      </c>
      <c r="DO2846" s="5" t="s">
        <v>238</v>
      </c>
      <c r="DP2846" s="5" t="s">
        <v>238</v>
      </c>
      <c r="DQ2846" s="5" t="s">
        <v>238</v>
      </c>
      <c r="DT2846" s="5" t="s">
        <v>275</v>
      </c>
      <c r="DU2846" s="5" t="s">
        <v>481</v>
      </c>
      <c r="HM2846" s="5" t="s">
        <v>264</v>
      </c>
    </row>
    <row r="2847" spans="1:221" x14ac:dyDescent="0.4">
      <c r="A2847" s="5">
        <v>4551</v>
      </c>
      <c r="B2847" s="5">
        <v>1</v>
      </c>
      <c r="C2847" s="5">
        <v>1</v>
      </c>
      <c r="D2847" s="5" t="s">
        <v>269</v>
      </c>
      <c r="E2847" s="5" t="s">
        <v>271</v>
      </c>
      <c r="F2847" s="5" t="s">
        <v>248</v>
      </c>
      <c r="G2847" s="5" t="s">
        <v>266</v>
      </c>
      <c r="H2847" s="6" t="s">
        <v>509</v>
      </c>
      <c r="I2847" s="7">
        <f>1029</f>
        <v>1029</v>
      </c>
      <c r="J2847" s="5" t="s">
        <v>262</v>
      </c>
      <c r="K2847" s="8">
        <f>1</f>
        <v>1</v>
      </c>
      <c r="L2847" s="6" t="s">
        <v>242</v>
      </c>
      <c r="M2847" s="5" t="s">
        <v>267</v>
      </c>
      <c r="N2847" s="5" t="s">
        <v>265</v>
      </c>
      <c r="O2847" s="5" t="s">
        <v>238</v>
      </c>
      <c r="P2847" s="5" t="s">
        <v>238</v>
      </c>
      <c r="Q2847" s="5" t="s">
        <v>268</v>
      </c>
      <c r="R2847" s="5" t="s">
        <v>270</v>
      </c>
      <c r="S2847" s="5" t="s">
        <v>238</v>
      </c>
      <c r="V2847" s="5" t="s">
        <v>238</v>
      </c>
      <c r="X2847" s="6" t="s">
        <v>238</v>
      </c>
      <c r="AA2847" s="6" t="s">
        <v>243</v>
      </c>
      <c r="AB2847" s="5" t="s">
        <v>238</v>
      </c>
      <c r="AC2847" s="5" t="s">
        <v>244</v>
      </c>
      <c r="AD2847" s="5" t="s">
        <v>245</v>
      </c>
      <c r="AT2847" s="5" t="s">
        <v>246</v>
      </c>
      <c r="AU2847" s="5" t="s">
        <v>238</v>
      </c>
      <c r="AV2847" s="5" t="s">
        <v>247</v>
      </c>
      <c r="AW2847" s="5" t="s">
        <v>238</v>
      </c>
      <c r="AX2847" s="5" t="s">
        <v>249</v>
      </c>
      <c r="AY2847" s="5" t="s">
        <v>238</v>
      </c>
      <c r="BA2847" s="5" t="s">
        <v>238</v>
      </c>
      <c r="BC2847" s="5" t="s">
        <v>250</v>
      </c>
      <c r="BD2847" s="6" t="s">
        <v>243</v>
      </c>
      <c r="BE2847" s="5" t="s">
        <v>251</v>
      </c>
      <c r="BF2847" s="5" t="s">
        <v>252</v>
      </c>
      <c r="BG2847" s="5" t="s">
        <v>238</v>
      </c>
      <c r="BH2847" s="7">
        <f>0</f>
        <v>0</v>
      </c>
      <c r="BI2847" s="8">
        <f>0</f>
        <v>0</v>
      </c>
      <c r="BJ2847" s="5" t="s">
        <v>253</v>
      </c>
      <c r="BK2847" s="5" t="s">
        <v>254</v>
      </c>
      <c r="BY2847" s="5" t="s">
        <v>238</v>
      </c>
      <c r="BZ2847" s="5" t="s">
        <v>238</v>
      </c>
      <c r="CD2847" s="5" t="s">
        <v>273</v>
      </c>
      <c r="CE2847" s="5" t="s">
        <v>256</v>
      </c>
      <c r="CF2847" s="5" t="s">
        <v>238</v>
      </c>
      <c r="CI2847" s="6" t="s">
        <v>257</v>
      </c>
      <c r="CJ2847" s="5" t="s">
        <v>238</v>
      </c>
      <c r="CK2847" s="5" t="s">
        <v>258</v>
      </c>
      <c r="CL2847" s="5" t="s">
        <v>238</v>
      </c>
      <c r="CM2847" s="5" t="s">
        <v>238</v>
      </c>
      <c r="CN2847" s="5">
        <v>0</v>
      </c>
      <c r="CO2847" s="5" t="s">
        <v>259</v>
      </c>
      <c r="CP2847" s="5" t="s">
        <v>260</v>
      </c>
      <c r="CQ2847" s="5" t="s">
        <v>260</v>
      </c>
      <c r="CR2847" s="5" t="s">
        <v>261</v>
      </c>
      <c r="CU2847" s="8">
        <f>1</f>
        <v>1</v>
      </c>
      <c r="CV2847" s="8">
        <f>0</f>
        <v>0</v>
      </c>
      <c r="CX2847" s="8">
        <f>0</f>
        <v>0</v>
      </c>
      <c r="CY2847" s="8">
        <f>1</f>
        <v>1</v>
      </c>
      <c r="DA2847" s="5" t="s">
        <v>274</v>
      </c>
      <c r="DB2847" s="5" t="s">
        <v>238</v>
      </c>
      <c r="DD2847" s="5" t="s">
        <v>274</v>
      </c>
      <c r="DE2847" s="8">
        <f>1029</f>
        <v>1029</v>
      </c>
      <c r="DG2847" s="5" t="s">
        <v>238</v>
      </c>
      <c r="DH2847" s="5" t="s">
        <v>238</v>
      </c>
      <c r="DI2847" s="5" t="s">
        <v>238</v>
      </c>
      <c r="DJ2847" s="5" t="s">
        <v>238</v>
      </c>
      <c r="DN2847" s="5" t="s">
        <v>238</v>
      </c>
      <c r="DO2847" s="5" t="s">
        <v>238</v>
      </c>
      <c r="DP2847" s="5" t="s">
        <v>238</v>
      </c>
      <c r="DQ2847" s="5" t="s">
        <v>238</v>
      </c>
      <c r="DT2847" s="5" t="s">
        <v>275</v>
      </c>
      <c r="DU2847" s="5" t="s">
        <v>510</v>
      </c>
      <c r="HM2847" s="5" t="s">
        <v>264</v>
      </c>
    </row>
    <row r="2848" spans="1:221" x14ac:dyDescent="0.4">
      <c r="A2848" s="5">
        <v>4552</v>
      </c>
      <c r="B2848" s="5">
        <v>1</v>
      </c>
      <c r="C2848" s="5">
        <v>1</v>
      </c>
      <c r="D2848" s="5" t="s">
        <v>269</v>
      </c>
      <c r="E2848" s="5" t="s">
        <v>271</v>
      </c>
      <c r="F2848" s="5" t="s">
        <v>248</v>
      </c>
      <c r="G2848" s="5" t="s">
        <v>266</v>
      </c>
      <c r="H2848" s="6" t="s">
        <v>503</v>
      </c>
      <c r="I2848" s="7">
        <f>1372</f>
        <v>1372</v>
      </c>
      <c r="J2848" s="5" t="s">
        <v>262</v>
      </c>
      <c r="K2848" s="8">
        <f>1</f>
        <v>1</v>
      </c>
      <c r="L2848" s="6" t="s">
        <v>242</v>
      </c>
      <c r="M2848" s="5" t="s">
        <v>267</v>
      </c>
      <c r="N2848" s="5" t="s">
        <v>265</v>
      </c>
      <c r="O2848" s="5" t="s">
        <v>238</v>
      </c>
      <c r="P2848" s="5" t="s">
        <v>238</v>
      </c>
      <c r="Q2848" s="5" t="s">
        <v>268</v>
      </c>
      <c r="R2848" s="5" t="s">
        <v>270</v>
      </c>
      <c r="S2848" s="5" t="s">
        <v>238</v>
      </c>
      <c r="V2848" s="5" t="s">
        <v>238</v>
      </c>
      <c r="X2848" s="6" t="s">
        <v>238</v>
      </c>
      <c r="AA2848" s="6" t="s">
        <v>243</v>
      </c>
      <c r="AB2848" s="5" t="s">
        <v>238</v>
      </c>
      <c r="AC2848" s="5" t="s">
        <v>244</v>
      </c>
      <c r="AD2848" s="5" t="s">
        <v>245</v>
      </c>
      <c r="AT2848" s="5" t="s">
        <v>246</v>
      </c>
      <c r="AU2848" s="5" t="s">
        <v>238</v>
      </c>
      <c r="AV2848" s="5" t="s">
        <v>247</v>
      </c>
      <c r="AW2848" s="5" t="s">
        <v>238</v>
      </c>
      <c r="AX2848" s="5" t="s">
        <v>249</v>
      </c>
      <c r="AY2848" s="5" t="s">
        <v>238</v>
      </c>
      <c r="BA2848" s="5" t="s">
        <v>238</v>
      </c>
      <c r="BC2848" s="5" t="s">
        <v>250</v>
      </c>
      <c r="BD2848" s="6" t="s">
        <v>243</v>
      </c>
      <c r="BE2848" s="5" t="s">
        <v>251</v>
      </c>
      <c r="BF2848" s="5" t="s">
        <v>252</v>
      </c>
      <c r="BG2848" s="5" t="s">
        <v>238</v>
      </c>
      <c r="BH2848" s="7">
        <f>0</f>
        <v>0</v>
      </c>
      <c r="BI2848" s="8">
        <f>0</f>
        <v>0</v>
      </c>
      <c r="BJ2848" s="5" t="s">
        <v>253</v>
      </c>
      <c r="BK2848" s="5" t="s">
        <v>254</v>
      </c>
      <c r="BY2848" s="5" t="s">
        <v>238</v>
      </c>
      <c r="BZ2848" s="5" t="s">
        <v>238</v>
      </c>
      <c r="CD2848" s="5" t="s">
        <v>273</v>
      </c>
      <c r="CE2848" s="5" t="s">
        <v>256</v>
      </c>
      <c r="CF2848" s="5" t="s">
        <v>238</v>
      </c>
      <c r="CI2848" s="6" t="s">
        <v>257</v>
      </c>
      <c r="CJ2848" s="5" t="s">
        <v>238</v>
      </c>
      <c r="CK2848" s="5" t="s">
        <v>258</v>
      </c>
      <c r="CL2848" s="5" t="s">
        <v>238</v>
      </c>
      <c r="CM2848" s="5" t="s">
        <v>238</v>
      </c>
      <c r="CN2848" s="5">
        <v>0</v>
      </c>
      <c r="CO2848" s="5" t="s">
        <v>259</v>
      </c>
      <c r="CP2848" s="5" t="s">
        <v>260</v>
      </c>
      <c r="CQ2848" s="5" t="s">
        <v>260</v>
      </c>
      <c r="CR2848" s="5" t="s">
        <v>261</v>
      </c>
      <c r="CU2848" s="8">
        <f>1</f>
        <v>1</v>
      </c>
      <c r="CV2848" s="8">
        <f>0</f>
        <v>0</v>
      </c>
      <c r="CX2848" s="8">
        <f>0</f>
        <v>0</v>
      </c>
      <c r="CY2848" s="8">
        <f>1</f>
        <v>1</v>
      </c>
      <c r="DA2848" s="5" t="s">
        <v>274</v>
      </c>
      <c r="DB2848" s="5" t="s">
        <v>238</v>
      </c>
      <c r="DD2848" s="5" t="s">
        <v>274</v>
      </c>
      <c r="DE2848" s="8">
        <f>1372</f>
        <v>1372</v>
      </c>
      <c r="DG2848" s="5" t="s">
        <v>238</v>
      </c>
      <c r="DH2848" s="5" t="s">
        <v>238</v>
      </c>
      <c r="DI2848" s="5" t="s">
        <v>238</v>
      </c>
      <c r="DJ2848" s="5" t="s">
        <v>238</v>
      </c>
      <c r="DN2848" s="5" t="s">
        <v>238</v>
      </c>
      <c r="DO2848" s="5" t="s">
        <v>238</v>
      </c>
      <c r="DP2848" s="5" t="s">
        <v>238</v>
      </c>
      <c r="DQ2848" s="5" t="s">
        <v>238</v>
      </c>
      <c r="DT2848" s="5" t="s">
        <v>275</v>
      </c>
      <c r="DU2848" s="5" t="s">
        <v>504</v>
      </c>
      <c r="HM2848" s="5" t="s">
        <v>264</v>
      </c>
    </row>
    <row r="2849" spans="1:221" x14ac:dyDescent="0.4">
      <c r="A2849" s="5">
        <v>4553</v>
      </c>
      <c r="B2849" s="5">
        <v>1</v>
      </c>
      <c r="C2849" s="5">
        <v>1</v>
      </c>
      <c r="D2849" s="5" t="s">
        <v>269</v>
      </c>
      <c r="E2849" s="5" t="s">
        <v>271</v>
      </c>
      <c r="F2849" s="5" t="s">
        <v>248</v>
      </c>
      <c r="G2849" s="5" t="s">
        <v>266</v>
      </c>
      <c r="H2849" s="6" t="s">
        <v>513</v>
      </c>
      <c r="I2849" s="7">
        <f>2556</f>
        <v>2556</v>
      </c>
      <c r="J2849" s="5" t="s">
        <v>262</v>
      </c>
      <c r="K2849" s="8">
        <f>1</f>
        <v>1</v>
      </c>
      <c r="L2849" s="6" t="s">
        <v>242</v>
      </c>
      <c r="M2849" s="5" t="s">
        <v>267</v>
      </c>
      <c r="N2849" s="5" t="s">
        <v>265</v>
      </c>
      <c r="O2849" s="5" t="s">
        <v>238</v>
      </c>
      <c r="P2849" s="5" t="s">
        <v>238</v>
      </c>
      <c r="Q2849" s="5" t="s">
        <v>268</v>
      </c>
      <c r="R2849" s="5" t="s">
        <v>270</v>
      </c>
      <c r="S2849" s="5" t="s">
        <v>238</v>
      </c>
      <c r="V2849" s="5" t="s">
        <v>238</v>
      </c>
      <c r="X2849" s="6" t="s">
        <v>238</v>
      </c>
      <c r="AA2849" s="6" t="s">
        <v>243</v>
      </c>
      <c r="AB2849" s="5" t="s">
        <v>238</v>
      </c>
      <c r="AC2849" s="5" t="s">
        <v>244</v>
      </c>
      <c r="AD2849" s="5" t="s">
        <v>245</v>
      </c>
      <c r="AT2849" s="5" t="s">
        <v>246</v>
      </c>
      <c r="AU2849" s="5" t="s">
        <v>238</v>
      </c>
      <c r="AV2849" s="5" t="s">
        <v>247</v>
      </c>
      <c r="AW2849" s="5" t="s">
        <v>238</v>
      </c>
      <c r="AX2849" s="5" t="s">
        <v>249</v>
      </c>
      <c r="AY2849" s="5" t="s">
        <v>238</v>
      </c>
      <c r="BA2849" s="5" t="s">
        <v>238</v>
      </c>
      <c r="BC2849" s="5" t="s">
        <v>250</v>
      </c>
      <c r="BD2849" s="6" t="s">
        <v>243</v>
      </c>
      <c r="BE2849" s="5" t="s">
        <v>251</v>
      </c>
      <c r="BF2849" s="5" t="s">
        <v>252</v>
      </c>
      <c r="BG2849" s="5" t="s">
        <v>238</v>
      </c>
      <c r="BH2849" s="7">
        <f>0</f>
        <v>0</v>
      </c>
      <c r="BI2849" s="8">
        <f>0</f>
        <v>0</v>
      </c>
      <c r="BJ2849" s="5" t="s">
        <v>253</v>
      </c>
      <c r="BK2849" s="5" t="s">
        <v>254</v>
      </c>
      <c r="BY2849" s="5" t="s">
        <v>238</v>
      </c>
      <c r="BZ2849" s="5" t="s">
        <v>238</v>
      </c>
      <c r="CD2849" s="5" t="s">
        <v>273</v>
      </c>
      <c r="CE2849" s="5" t="s">
        <v>256</v>
      </c>
      <c r="CF2849" s="5" t="s">
        <v>238</v>
      </c>
      <c r="CI2849" s="6" t="s">
        <v>257</v>
      </c>
      <c r="CJ2849" s="5" t="s">
        <v>238</v>
      </c>
      <c r="CK2849" s="5" t="s">
        <v>258</v>
      </c>
      <c r="CL2849" s="5" t="s">
        <v>238</v>
      </c>
      <c r="CM2849" s="5" t="s">
        <v>238</v>
      </c>
      <c r="CN2849" s="5">
        <v>0</v>
      </c>
      <c r="CO2849" s="5" t="s">
        <v>259</v>
      </c>
      <c r="CP2849" s="5" t="s">
        <v>260</v>
      </c>
      <c r="CQ2849" s="5" t="s">
        <v>260</v>
      </c>
      <c r="CR2849" s="5" t="s">
        <v>261</v>
      </c>
      <c r="CU2849" s="8">
        <f>1</f>
        <v>1</v>
      </c>
      <c r="CV2849" s="8">
        <f>0</f>
        <v>0</v>
      </c>
      <c r="CX2849" s="8">
        <f>0</f>
        <v>0</v>
      </c>
      <c r="CY2849" s="8">
        <f>1</f>
        <v>1</v>
      </c>
      <c r="DA2849" s="5" t="s">
        <v>274</v>
      </c>
      <c r="DB2849" s="5" t="s">
        <v>238</v>
      </c>
      <c r="DD2849" s="5" t="s">
        <v>274</v>
      </c>
      <c r="DE2849" s="8">
        <f>2556</f>
        <v>2556</v>
      </c>
      <c r="DG2849" s="5" t="s">
        <v>238</v>
      </c>
      <c r="DH2849" s="5" t="s">
        <v>238</v>
      </c>
      <c r="DI2849" s="5" t="s">
        <v>238</v>
      </c>
      <c r="DJ2849" s="5" t="s">
        <v>238</v>
      </c>
      <c r="DN2849" s="5" t="s">
        <v>238</v>
      </c>
      <c r="DO2849" s="5" t="s">
        <v>238</v>
      </c>
      <c r="DP2849" s="5" t="s">
        <v>238</v>
      </c>
      <c r="DQ2849" s="5" t="s">
        <v>238</v>
      </c>
      <c r="DT2849" s="5" t="s">
        <v>275</v>
      </c>
      <c r="DU2849" s="5" t="s">
        <v>514</v>
      </c>
      <c r="HM2849" s="5" t="s">
        <v>264</v>
      </c>
    </row>
    <row r="2850" spans="1:221" x14ac:dyDescent="0.4">
      <c r="A2850" s="5">
        <v>4554</v>
      </c>
      <c r="B2850" s="5">
        <v>1</v>
      </c>
      <c r="C2850" s="5">
        <v>1</v>
      </c>
      <c r="D2850" s="5" t="s">
        <v>269</v>
      </c>
      <c r="E2850" s="5" t="s">
        <v>271</v>
      </c>
      <c r="F2850" s="5" t="s">
        <v>248</v>
      </c>
      <c r="G2850" s="5" t="s">
        <v>266</v>
      </c>
      <c r="H2850" s="6" t="s">
        <v>301</v>
      </c>
      <c r="I2850" s="7">
        <f>3399</f>
        <v>3399</v>
      </c>
      <c r="J2850" s="5" t="s">
        <v>262</v>
      </c>
      <c r="K2850" s="8">
        <f>1</f>
        <v>1</v>
      </c>
      <c r="L2850" s="6" t="s">
        <v>242</v>
      </c>
      <c r="M2850" s="5" t="s">
        <v>267</v>
      </c>
      <c r="N2850" s="5" t="s">
        <v>265</v>
      </c>
      <c r="O2850" s="5" t="s">
        <v>238</v>
      </c>
      <c r="P2850" s="5" t="s">
        <v>238</v>
      </c>
      <c r="Q2850" s="5" t="s">
        <v>268</v>
      </c>
      <c r="R2850" s="5" t="s">
        <v>270</v>
      </c>
      <c r="S2850" s="5" t="s">
        <v>238</v>
      </c>
      <c r="V2850" s="5" t="s">
        <v>238</v>
      </c>
      <c r="X2850" s="6" t="s">
        <v>238</v>
      </c>
      <c r="AA2850" s="6" t="s">
        <v>243</v>
      </c>
      <c r="AB2850" s="5" t="s">
        <v>238</v>
      </c>
      <c r="AC2850" s="5" t="s">
        <v>244</v>
      </c>
      <c r="AD2850" s="5" t="s">
        <v>245</v>
      </c>
      <c r="AT2850" s="5" t="s">
        <v>246</v>
      </c>
      <c r="AU2850" s="5" t="s">
        <v>238</v>
      </c>
      <c r="AV2850" s="5" t="s">
        <v>247</v>
      </c>
      <c r="AW2850" s="5" t="s">
        <v>238</v>
      </c>
      <c r="AX2850" s="5" t="s">
        <v>249</v>
      </c>
      <c r="AY2850" s="5" t="s">
        <v>238</v>
      </c>
      <c r="BA2850" s="5" t="s">
        <v>238</v>
      </c>
      <c r="BC2850" s="5" t="s">
        <v>250</v>
      </c>
      <c r="BD2850" s="6" t="s">
        <v>243</v>
      </c>
      <c r="BE2850" s="5" t="s">
        <v>251</v>
      </c>
      <c r="BF2850" s="5" t="s">
        <v>252</v>
      </c>
      <c r="BG2850" s="5" t="s">
        <v>238</v>
      </c>
      <c r="BH2850" s="7">
        <f>0</f>
        <v>0</v>
      </c>
      <c r="BI2850" s="8">
        <f>0</f>
        <v>0</v>
      </c>
      <c r="BJ2850" s="5" t="s">
        <v>253</v>
      </c>
      <c r="BK2850" s="5" t="s">
        <v>254</v>
      </c>
      <c r="BY2850" s="5" t="s">
        <v>238</v>
      </c>
      <c r="BZ2850" s="5" t="s">
        <v>238</v>
      </c>
      <c r="CD2850" s="5" t="s">
        <v>273</v>
      </c>
      <c r="CE2850" s="5" t="s">
        <v>256</v>
      </c>
      <c r="CF2850" s="5" t="s">
        <v>238</v>
      </c>
      <c r="CI2850" s="6" t="s">
        <v>257</v>
      </c>
      <c r="CJ2850" s="5" t="s">
        <v>238</v>
      </c>
      <c r="CK2850" s="5" t="s">
        <v>258</v>
      </c>
      <c r="CL2850" s="5" t="s">
        <v>238</v>
      </c>
      <c r="CM2850" s="5" t="s">
        <v>238</v>
      </c>
      <c r="CN2850" s="5">
        <v>0</v>
      </c>
      <c r="CO2850" s="5" t="s">
        <v>259</v>
      </c>
      <c r="CP2850" s="5" t="s">
        <v>260</v>
      </c>
      <c r="CQ2850" s="5" t="s">
        <v>260</v>
      </c>
      <c r="CR2850" s="5" t="s">
        <v>261</v>
      </c>
      <c r="CU2850" s="8">
        <f>1</f>
        <v>1</v>
      </c>
      <c r="CV2850" s="8">
        <f>0</f>
        <v>0</v>
      </c>
      <c r="CX2850" s="8">
        <f>0</f>
        <v>0</v>
      </c>
      <c r="CY2850" s="8">
        <f>1</f>
        <v>1</v>
      </c>
      <c r="DA2850" s="5" t="s">
        <v>274</v>
      </c>
      <c r="DB2850" s="5" t="s">
        <v>238</v>
      </c>
      <c r="DD2850" s="5" t="s">
        <v>274</v>
      </c>
      <c r="DE2850" s="8">
        <f>3399</f>
        <v>3399</v>
      </c>
      <c r="DG2850" s="5" t="s">
        <v>238</v>
      </c>
      <c r="DH2850" s="5" t="s">
        <v>238</v>
      </c>
      <c r="DI2850" s="5" t="s">
        <v>238</v>
      </c>
      <c r="DJ2850" s="5" t="s">
        <v>238</v>
      </c>
      <c r="DN2850" s="5" t="s">
        <v>238</v>
      </c>
      <c r="DO2850" s="5" t="s">
        <v>238</v>
      </c>
      <c r="DP2850" s="5" t="s">
        <v>238</v>
      </c>
      <c r="DQ2850" s="5" t="s">
        <v>238</v>
      </c>
      <c r="DT2850" s="5" t="s">
        <v>275</v>
      </c>
      <c r="DU2850" s="5" t="s">
        <v>302</v>
      </c>
      <c r="HM2850" s="5" t="s">
        <v>264</v>
      </c>
    </row>
    <row r="2851" spans="1:221" x14ac:dyDescent="0.4">
      <c r="A2851" s="5">
        <v>4555</v>
      </c>
      <c r="B2851" s="5">
        <v>1</v>
      </c>
      <c r="C2851" s="5">
        <v>1</v>
      </c>
      <c r="D2851" s="5" t="s">
        <v>269</v>
      </c>
      <c r="E2851" s="5" t="s">
        <v>271</v>
      </c>
      <c r="F2851" s="5" t="s">
        <v>248</v>
      </c>
      <c r="G2851" s="5" t="s">
        <v>266</v>
      </c>
      <c r="H2851" s="6" t="s">
        <v>523</v>
      </c>
      <c r="I2851" s="7">
        <f>156</f>
        <v>156</v>
      </c>
      <c r="J2851" s="5" t="s">
        <v>262</v>
      </c>
      <c r="K2851" s="8">
        <f>1</f>
        <v>1</v>
      </c>
      <c r="L2851" s="6" t="s">
        <v>242</v>
      </c>
      <c r="M2851" s="5" t="s">
        <v>267</v>
      </c>
      <c r="N2851" s="5" t="s">
        <v>265</v>
      </c>
      <c r="O2851" s="5" t="s">
        <v>238</v>
      </c>
      <c r="P2851" s="5" t="s">
        <v>238</v>
      </c>
      <c r="Q2851" s="5" t="s">
        <v>268</v>
      </c>
      <c r="R2851" s="5" t="s">
        <v>270</v>
      </c>
      <c r="S2851" s="5" t="s">
        <v>238</v>
      </c>
      <c r="V2851" s="5" t="s">
        <v>238</v>
      </c>
      <c r="X2851" s="6" t="s">
        <v>238</v>
      </c>
      <c r="AA2851" s="6" t="s">
        <v>243</v>
      </c>
      <c r="AB2851" s="5" t="s">
        <v>238</v>
      </c>
      <c r="AC2851" s="5" t="s">
        <v>244</v>
      </c>
      <c r="AD2851" s="5" t="s">
        <v>245</v>
      </c>
      <c r="AT2851" s="5" t="s">
        <v>246</v>
      </c>
      <c r="AU2851" s="5" t="s">
        <v>238</v>
      </c>
      <c r="AV2851" s="5" t="s">
        <v>247</v>
      </c>
      <c r="AW2851" s="5" t="s">
        <v>238</v>
      </c>
      <c r="AX2851" s="5" t="s">
        <v>249</v>
      </c>
      <c r="AY2851" s="5" t="s">
        <v>238</v>
      </c>
      <c r="BA2851" s="5" t="s">
        <v>238</v>
      </c>
      <c r="BC2851" s="5" t="s">
        <v>250</v>
      </c>
      <c r="BD2851" s="6" t="s">
        <v>243</v>
      </c>
      <c r="BE2851" s="5" t="s">
        <v>251</v>
      </c>
      <c r="BF2851" s="5" t="s">
        <v>252</v>
      </c>
      <c r="BG2851" s="5" t="s">
        <v>238</v>
      </c>
      <c r="BH2851" s="7">
        <f>0</f>
        <v>0</v>
      </c>
      <c r="BI2851" s="8">
        <f>0</f>
        <v>0</v>
      </c>
      <c r="BJ2851" s="5" t="s">
        <v>253</v>
      </c>
      <c r="BK2851" s="5" t="s">
        <v>254</v>
      </c>
      <c r="BY2851" s="5" t="s">
        <v>238</v>
      </c>
      <c r="BZ2851" s="5" t="s">
        <v>238</v>
      </c>
      <c r="CD2851" s="5" t="s">
        <v>273</v>
      </c>
      <c r="CE2851" s="5" t="s">
        <v>256</v>
      </c>
      <c r="CF2851" s="5" t="s">
        <v>238</v>
      </c>
      <c r="CI2851" s="6" t="s">
        <v>257</v>
      </c>
      <c r="CJ2851" s="5" t="s">
        <v>238</v>
      </c>
      <c r="CK2851" s="5" t="s">
        <v>258</v>
      </c>
      <c r="CL2851" s="5" t="s">
        <v>238</v>
      </c>
      <c r="CM2851" s="5" t="s">
        <v>238</v>
      </c>
      <c r="CN2851" s="5">
        <v>0</v>
      </c>
      <c r="CO2851" s="5" t="s">
        <v>259</v>
      </c>
      <c r="CP2851" s="5" t="s">
        <v>260</v>
      </c>
      <c r="CQ2851" s="5" t="s">
        <v>260</v>
      </c>
      <c r="CR2851" s="5" t="s">
        <v>261</v>
      </c>
      <c r="CU2851" s="8">
        <f>1</f>
        <v>1</v>
      </c>
      <c r="CV2851" s="8">
        <f>0</f>
        <v>0</v>
      </c>
      <c r="CX2851" s="8">
        <f>0</f>
        <v>0</v>
      </c>
      <c r="CY2851" s="8">
        <f>1</f>
        <v>1</v>
      </c>
      <c r="DA2851" s="5" t="s">
        <v>274</v>
      </c>
      <c r="DB2851" s="5" t="s">
        <v>238</v>
      </c>
      <c r="DD2851" s="5" t="s">
        <v>274</v>
      </c>
      <c r="DE2851" s="8">
        <f>156</f>
        <v>156</v>
      </c>
      <c r="DG2851" s="5" t="s">
        <v>238</v>
      </c>
      <c r="DH2851" s="5" t="s">
        <v>238</v>
      </c>
      <c r="DI2851" s="5" t="s">
        <v>238</v>
      </c>
      <c r="DJ2851" s="5" t="s">
        <v>238</v>
      </c>
      <c r="DN2851" s="5" t="s">
        <v>238</v>
      </c>
      <c r="DO2851" s="5" t="s">
        <v>238</v>
      </c>
      <c r="DP2851" s="5" t="s">
        <v>238</v>
      </c>
      <c r="DQ2851" s="5" t="s">
        <v>238</v>
      </c>
      <c r="DT2851" s="5" t="s">
        <v>275</v>
      </c>
      <c r="DU2851" s="5" t="s">
        <v>524</v>
      </c>
      <c r="HM2851" s="5" t="s">
        <v>264</v>
      </c>
    </row>
    <row r="2852" spans="1:221" x14ac:dyDescent="0.4">
      <c r="A2852" s="5">
        <v>4556</v>
      </c>
      <c r="B2852" s="5">
        <v>1</v>
      </c>
      <c r="C2852" s="5">
        <v>1</v>
      </c>
      <c r="D2852" s="5" t="s">
        <v>269</v>
      </c>
      <c r="E2852" s="5" t="s">
        <v>271</v>
      </c>
      <c r="F2852" s="5" t="s">
        <v>248</v>
      </c>
      <c r="G2852" s="5" t="s">
        <v>266</v>
      </c>
      <c r="H2852" s="6" t="s">
        <v>5447</v>
      </c>
      <c r="I2852" s="7">
        <f>174</f>
        <v>174</v>
      </c>
      <c r="J2852" s="5" t="s">
        <v>262</v>
      </c>
      <c r="K2852" s="8">
        <f>1</f>
        <v>1</v>
      </c>
      <c r="L2852" s="6" t="s">
        <v>242</v>
      </c>
      <c r="M2852" s="5" t="s">
        <v>267</v>
      </c>
      <c r="N2852" s="5" t="s">
        <v>265</v>
      </c>
      <c r="O2852" s="5" t="s">
        <v>238</v>
      </c>
      <c r="P2852" s="5" t="s">
        <v>238</v>
      </c>
      <c r="Q2852" s="5" t="s">
        <v>268</v>
      </c>
      <c r="R2852" s="5" t="s">
        <v>270</v>
      </c>
      <c r="S2852" s="5" t="s">
        <v>238</v>
      </c>
      <c r="V2852" s="5" t="s">
        <v>238</v>
      </c>
      <c r="X2852" s="6" t="s">
        <v>238</v>
      </c>
      <c r="AA2852" s="6" t="s">
        <v>243</v>
      </c>
      <c r="AB2852" s="5" t="s">
        <v>238</v>
      </c>
      <c r="AC2852" s="5" t="s">
        <v>244</v>
      </c>
      <c r="AD2852" s="5" t="s">
        <v>245</v>
      </c>
      <c r="AT2852" s="5" t="s">
        <v>246</v>
      </c>
      <c r="AU2852" s="5" t="s">
        <v>238</v>
      </c>
      <c r="AV2852" s="5" t="s">
        <v>247</v>
      </c>
      <c r="AW2852" s="5" t="s">
        <v>238</v>
      </c>
      <c r="AX2852" s="5" t="s">
        <v>249</v>
      </c>
      <c r="AY2852" s="5" t="s">
        <v>238</v>
      </c>
      <c r="BA2852" s="5" t="s">
        <v>238</v>
      </c>
      <c r="BC2852" s="5" t="s">
        <v>250</v>
      </c>
      <c r="BD2852" s="6" t="s">
        <v>243</v>
      </c>
      <c r="BE2852" s="5" t="s">
        <v>251</v>
      </c>
      <c r="BF2852" s="5" t="s">
        <v>252</v>
      </c>
      <c r="BG2852" s="5" t="s">
        <v>238</v>
      </c>
      <c r="BH2852" s="7">
        <f>0</f>
        <v>0</v>
      </c>
      <c r="BI2852" s="8">
        <f>0</f>
        <v>0</v>
      </c>
      <c r="BJ2852" s="5" t="s">
        <v>253</v>
      </c>
      <c r="BK2852" s="5" t="s">
        <v>254</v>
      </c>
      <c r="BY2852" s="5" t="s">
        <v>238</v>
      </c>
      <c r="BZ2852" s="5" t="s">
        <v>238</v>
      </c>
      <c r="CD2852" s="5" t="s">
        <v>273</v>
      </c>
      <c r="CE2852" s="5" t="s">
        <v>256</v>
      </c>
      <c r="CF2852" s="5" t="s">
        <v>238</v>
      </c>
      <c r="CI2852" s="6" t="s">
        <v>257</v>
      </c>
      <c r="CJ2852" s="5" t="s">
        <v>238</v>
      </c>
      <c r="CK2852" s="5" t="s">
        <v>258</v>
      </c>
      <c r="CL2852" s="5" t="s">
        <v>238</v>
      </c>
      <c r="CM2852" s="5" t="s">
        <v>238</v>
      </c>
      <c r="CN2852" s="5">
        <v>0</v>
      </c>
      <c r="CO2852" s="5" t="s">
        <v>259</v>
      </c>
      <c r="CP2852" s="5" t="s">
        <v>260</v>
      </c>
      <c r="CQ2852" s="5" t="s">
        <v>260</v>
      </c>
      <c r="CR2852" s="5" t="s">
        <v>261</v>
      </c>
      <c r="CU2852" s="8">
        <f>1</f>
        <v>1</v>
      </c>
      <c r="CV2852" s="8">
        <f>0</f>
        <v>0</v>
      </c>
      <c r="CX2852" s="8">
        <f>0</f>
        <v>0</v>
      </c>
      <c r="CY2852" s="8">
        <f>1</f>
        <v>1</v>
      </c>
      <c r="DA2852" s="5" t="s">
        <v>274</v>
      </c>
      <c r="DB2852" s="5" t="s">
        <v>238</v>
      </c>
      <c r="DD2852" s="5" t="s">
        <v>274</v>
      </c>
      <c r="DE2852" s="8">
        <f>174</f>
        <v>174</v>
      </c>
      <c r="DG2852" s="5" t="s">
        <v>238</v>
      </c>
      <c r="DH2852" s="5" t="s">
        <v>238</v>
      </c>
      <c r="DI2852" s="5" t="s">
        <v>238</v>
      </c>
      <c r="DJ2852" s="5" t="s">
        <v>238</v>
      </c>
      <c r="DN2852" s="5" t="s">
        <v>238</v>
      </c>
      <c r="DO2852" s="5" t="s">
        <v>238</v>
      </c>
      <c r="DP2852" s="5" t="s">
        <v>238</v>
      </c>
      <c r="DQ2852" s="5" t="s">
        <v>238</v>
      </c>
      <c r="DT2852" s="5" t="s">
        <v>275</v>
      </c>
      <c r="DU2852" s="5" t="s">
        <v>3681</v>
      </c>
      <c r="HM2852" s="5" t="s">
        <v>264</v>
      </c>
    </row>
    <row r="2853" spans="1:221" x14ac:dyDescent="0.4">
      <c r="A2853" s="5">
        <v>4557</v>
      </c>
      <c r="B2853" s="5">
        <v>1</v>
      </c>
      <c r="C2853" s="5">
        <v>1</v>
      </c>
      <c r="D2853" s="5" t="s">
        <v>269</v>
      </c>
      <c r="E2853" s="5" t="s">
        <v>271</v>
      </c>
      <c r="F2853" s="5" t="s">
        <v>248</v>
      </c>
      <c r="G2853" s="5" t="s">
        <v>266</v>
      </c>
      <c r="H2853" s="6" t="s">
        <v>539</v>
      </c>
      <c r="I2853" s="7">
        <f>187</f>
        <v>187</v>
      </c>
      <c r="J2853" s="5" t="s">
        <v>262</v>
      </c>
      <c r="K2853" s="8">
        <f>1</f>
        <v>1</v>
      </c>
      <c r="L2853" s="6" t="s">
        <v>242</v>
      </c>
      <c r="M2853" s="5" t="s">
        <v>267</v>
      </c>
      <c r="N2853" s="5" t="s">
        <v>265</v>
      </c>
      <c r="O2853" s="5" t="s">
        <v>238</v>
      </c>
      <c r="P2853" s="5" t="s">
        <v>238</v>
      </c>
      <c r="Q2853" s="5" t="s">
        <v>268</v>
      </c>
      <c r="R2853" s="5" t="s">
        <v>270</v>
      </c>
      <c r="S2853" s="5" t="s">
        <v>238</v>
      </c>
      <c r="V2853" s="5" t="s">
        <v>238</v>
      </c>
      <c r="X2853" s="6" t="s">
        <v>238</v>
      </c>
      <c r="AA2853" s="6" t="s">
        <v>243</v>
      </c>
      <c r="AB2853" s="5" t="s">
        <v>238</v>
      </c>
      <c r="AC2853" s="5" t="s">
        <v>244</v>
      </c>
      <c r="AD2853" s="5" t="s">
        <v>245</v>
      </c>
      <c r="AT2853" s="5" t="s">
        <v>246</v>
      </c>
      <c r="AU2853" s="5" t="s">
        <v>238</v>
      </c>
      <c r="AV2853" s="5" t="s">
        <v>247</v>
      </c>
      <c r="AW2853" s="5" t="s">
        <v>238</v>
      </c>
      <c r="AX2853" s="5" t="s">
        <v>249</v>
      </c>
      <c r="AY2853" s="5" t="s">
        <v>238</v>
      </c>
      <c r="BA2853" s="5" t="s">
        <v>238</v>
      </c>
      <c r="BC2853" s="5" t="s">
        <v>250</v>
      </c>
      <c r="BD2853" s="6" t="s">
        <v>243</v>
      </c>
      <c r="BE2853" s="5" t="s">
        <v>251</v>
      </c>
      <c r="BF2853" s="5" t="s">
        <v>252</v>
      </c>
      <c r="BG2853" s="5" t="s">
        <v>238</v>
      </c>
      <c r="BH2853" s="7">
        <f>0</f>
        <v>0</v>
      </c>
      <c r="BI2853" s="8">
        <f>0</f>
        <v>0</v>
      </c>
      <c r="BJ2853" s="5" t="s">
        <v>253</v>
      </c>
      <c r="BK2853" s="5" t="s">
        <v>254</v>
      </c>
      <c r="BY2853" s="5" t="s">
        <v>238</v>
      </c>
      <c r="BZ2853" s="5" t="s">
        <v>238</v>
      </c>
      <c r="CD2853" s="5" t="s">
        <v>273</v>
      </c>
      <c r="CE2853" s="5" t="s">
        <v>256</v>
      </c>
      <c r="CF2853" s="5" t="s">
        <v>238</v>
      </c>
      <c r="CI2853" s="6" t="s">
        <v>257</v>
      </c>
      <c r="CJ2853" s="5" t="s">
        <v>238</v>
      </c>
      <c r="CK2853" s="5" t="s">
        <v>258</v>
      </c>
      <c r="CL2853" s="5" t="s">
        <v>238</v>
      </c>
      <c r="CM2853" s="5" t="s">
        <v>238</v>
      </c>
      <c r="CN2853" s="5">
        <v>0</v>
      </c>
      <c r="CO2853" s="5" t="s">
        <v>259</v>
      </c>
      <c r="CP2853" s="5" t="s">
        <v>260</v>
      </c>
      <c r="CQ2853" s="5" t="s">
        <v>260</v>
      </c>
      <c r="CR2853" s="5" t="s">
        <v>261</v>
      </c>
      <c r="CU2853" s="8">
        <f>1</f>
        <v>1</v>
      </c>
      <c r="CV2853" s="8">
        <f>0</f>
        <v>0</v>
      </c>
      <c r="CX2853" s="8">
        <f>0</f>
        <v>0</v>
      </c>
      <c r="CY2853" s="8">
        <f>1</f>
        <v>1</v>
      </c>
      <c r="DA2853" s="5" t="s">
        <v>274</v>
      </c>
      <c r="DB2853" s="5" t="s">
        <v>238</v>
      </c>
      <c r="DD2853" s="5" t="s">
        <v>274</v>
      </c>
      <c r="DE2853" s="8">
        <f>187</f>
        <v>187</v>
      </c>
      <c r="DG2853" s="5" t="s">
        <v>238</v>
      </c>
      <c r="DH2853" s="5" t="s">
        <v>238</v>
      </c>
      <c r="DI2853" s="5" t="s">
        <v>238</v>
      </c>
      <c r="DJ2853" s="5" t="s">
        <v>238</v>
      </c>
      <c r="DN2853" s="5" t="s">
        <v>238</v>
      </c>
      <c r="DO2853" s="5" t="s">
        <v>238</v>
      </c>
      <c r="DP2853" s="5" t="s">
        <v>238</v>
      </c>
      <c r="DQ2853" s="5" t="s">
        <v>238</v>
      </c>
      <c r="DT2853" s="5" t="s">
        <v>275</v>
      </c>
      <c r="DU2853" s="5" t="s">
        <v>540</v>
      </c>
      <c r="HM2853" s="5" t="s">
        <v>264</v>
      </c>
    </row>
    <row r="2854" spans="1:221" x14ac:dyDescent="0.4">
      <c r="A2854" s="5">
        <v>4558</v>
      </c>
      <c r="B2854" s="5">
        <v>1</v>
      </c>
      <c r="C2854" s="5">
        <v>1</v>
      </c>
      <c r="D2854" s="5" t="s">
        <v>269</v>
      </c>
      <c r="E2854" s="5" t="s">
        <v>271</v>
      </c>
      <c r="F2854" s="5" t="s">
        <v>248</v>
      </c>
      <c r="G2854" s="5" t="s">
        <v>266</v>
      </c>
      <c r="H2854" s="6" t="s">
        <v>547</v>
      </c>
      <c r="I2854" s="7">
        <f>258</f>
        <v>258</v>
      </c>
      <c r="J2854" s="5" t="s">
        <v>262</v>
      </c>
      <c r="K2854" s="8">
        <f>1</f>
        <v>1</v>
      </c>
      <c r="L2854" s="6" t="s">
        <v>242</v>
      </c>
      <c r="M2854" s="5" t="s">
        <v>267</v>
      </c>
      <c r="N2854" s="5" t="s">
        <v>265</v>
      </c>
      <c r="O2854" s="5" t="s">
        <v>238</v>
      </c>
      <c r="P2854" s="5" t="s">
        <v>238</v>
      </c>
      <c r="Q2854" s="5" t="s">
        <v>268</v>
      </c>
      <c r="R2854" s="5" t="s">
        <v>270</v>
      </c>
      <c r="S2854" s="5" t="s">
        <v>238</v>
      </c>
      <c r="V2854" s="5" t="s">
        <v>238</v>
      </c>
      <c r="X2854" s="6" t="s">
        <v>238</v>
      </c>
      <c r="AA2854" s="6" t="s">
        <v>243</v>
      </c>
      <c r="AB2854" s="5" t="s">
        <v>238</v>
      </c>
      <c r="AC2854" s="5" t="s">
        <v>244</v>
      </c>
      <c r="AD2854" s="5" t="s">
        <v>245</v>
      </c>
      <c r="AT2854" s="5" t="s">
        <v>246</v>
      </c>
      <c r="AU2854" s="5" t="s">
        <v>238</v>
      </c>
      <c r="AV2854" s="5" t="s">
        <v>247</v>
      </c>
      <c r="AW2854" s="5" t="s">
        <v>238</v>
      </c>
      <c r="AX2854" s="5" t="s">
        <v>249</v>
      </c>
      <c r="AY2854" s="5" t="s">
        <v>238</v>
      </c>
      <c r="BA2854" s="5" t="s">
        <v>238</v>
      </c>
      <c r="BC2854" s="5" t="s">
        <v>250</v>
      </c>
      <c r="BD2854" s="6" t="s">
        <v>243</v>
      </c>
      <c r="BE2854" s="5" t="s">
        <v>251</v>
      </c>
      <c r="BF2854" s="5" t="s">
        <v>252</v>
      </c>
      <c r="BG2854" s="5" t="s">
        <v>238</v>
      </c>
      <c r="BH2854" s="7">
        <f>0</f>
        <v>0</v>
      </c>
      <c r="BI2854" s="8">
        <f>0</f>
        <v>0</v>
      </c>
      <c r="BJ2854" s="5" t="s">
        <v>253</v>
      </c>
      <c r="BK2854" s="5" t="s">
        <v>254</v>
      </c>
      <c r="BY2854" s="5" t="s">
        <v>238</v>
      </c>
      <c r="BZ2854" s="5" t="s">
        <v>238</v>
      </c>
      <c r="CD2854" s="5" t="s">
        <v>273</v>
      </c>
      <c r="CE2854" s="5" t="s">
        <v>256</v>
      </c>
      <c r="CF2854" s="5" t="s">
        <v>238</v>
      </c>
      <c r="CI2854" s="6" t="s">
        <v>257</v>
      </c>
      <c r="CJ2854" s="5" t="s">
        <v>238</v>
      </c>
      <c r="CK2854" s="5" t="s">
        <v>258</v>
      </c>
      <c r="CL2854" s="5" t="s">
        <v>238</v>
      </c>
      <c r="CM2854" s="5" t="s">
        <v>238</v>
      </c>
      <c r="CN2854" s="5">
        <v>0</v>
      </c>
      <c r="CO2854" s="5" t="s">
        <v>259</v>
      </c>
      <c r="CP2854" s="5" t="s">
        <v>260</v>
      </c>
      <c r="CQ2854" s="5" t="s">
        <v>260</v>
      </c>
      <c r="CR2854" s="5" t="s">
        <v>261</v>
      </c>
      <c r="CU2854" s="8">
        <f>1</f>
        <v>1</v>
      </c>
      <c r="CV2854" s="8">
        <f>0</f>
        <v>0</v>
      </c>
      <c r="CX2854" s="8">
        <f>0</f>
        <v>0</v>
      </c>
      <c r="CY2854" s="8">
        <f>1</f>
        <v>1</v>
      </c>
      <c r="DA2854" s="5" t="s">
        <v>274</v>
      </c>
      <c r="DB2854" s="5" t="s">
        <v>238</v>
      </c>
      <c r="DD2854" s="5" t="s">
        <v>274</v>
      </c>
      <c r="DE2854" s="8">
        <f>258</f>
        <v>258</v>
      </c>
      <c r="DG2854" s="5" t="s">
        <v>238</v>
      </c>
      <c r="DH2854" s="5" t="s">
        <v>238</v>
      </c>
      <c r="DI2854" s="5" t="s">
        <v>238</v>
      </c>
      <c r="DJ2854" s="5" t="s">
        <v>238</v>
      </c>
      <c r="DN2854" s="5" t="s">
        <v>238</v>
      </c>
      <c r="DO2854" s="5" t="s">
        <v>238</v>
      </c>
      <c r="DP2854" s="5" t="s">
        <v>238</v>
      </c>
      <c r="DQ2854" s="5" t="s">
        <v>238</v>
      </c>
      <c r="DT2854" s="5" t="s">
        <v>275</v>
      </c>
      <c r="DU2854" s="5" t="s">
        <v>548</v>
      </c>
      <c r="HM2854" s="5" t="s">
        <v>264</v>
      </c>
    </row>
    <row r="2855" spans="1:221" x14ac:dyDescent="0.4">
      <c r="A2855" s="5">
        <v>4559</v>
      </c>
      <c r="B2855" s="5">
        <v>1</v>
      </c>
      <c r="C2855" s="5">
        <v>1</v>
      </c>
      <c r="D2855" s="5" t="s">
        <v>269</v>
      </c>
      <c r="E2855" s="5" t="s">
        <v>271</v>
      </c>
      <c r="F2855" s="5" t="s">
        <v>248</v>
      </c>
      <c r="G2855" s="5" t="s">
        <v>266</v>
      </c>
      <c r="H2855" s="6" t="s">
        <v>555</v>
      </c>
      <c r="I2855" s="7">
        <f>2644</f>
        <v>2644</v>
      </c>
      <c r="J2855" s="5" t="s">
        <v>262</v>
      </c>
      <c r="K2855" s="8">
        <f>1</f>
        <v>1</v>
      </c>
      <c r="L2855" s="6" t="s">
        <v>242</v>
      </c>
      <c r="M2855" s="5" t="s">
        <v>267</v>
      </c>
      <c r="N2855" s="5" t="s">
        <v>265</v>
      </c>
      <c r="O2855" s="5" t="s">
        <v>238</v>
      </c>
      <c r="P2855" s="5" t="s">
        <v>238</v>
      </c>
      <c r="Q2855" s="5" t="s">
        <v>268</v>
      </c>
      <c r="R2855" s="5" t="s">
        <v>270</v>
      </c>
      <c r="S2855" s="5" t="s">
        <v>238</v>
      </c>
      <c r="V2855" s="5" t="s">
        <v>238</v>
      </c>
      <c r="X2855" s="6" t="s">
        <v>238</v>
      </c>
      <c r="AA2855" s="6" t="s">
        <v>243</v>
      </c>
      <c r="AB2855" s="5" t="s">
        <v>238</v>
      </c>
      <c r="AC2855" s="5" t="s">
        <v>244</v>
      </c>
      <c r="AD2855" s="5" t="s">
        <v>245</v>
      </c>
      <c r="AT2855" s="5" t="s">
        <v>246</v>
      </c>
      <c r="AU2855" s="5" t="s">
        <v>238</v>
      </c>
      <c r="AV2855" s="5" t="s">
        <v>247</v>
      </c>
      <c r="AW2855" s="5" t="s">
        <v>238</v>
      </c>
      <c r="AX2855" s="5" t="s">
        <v>249</v>
      </c>
      <c r="AY2855" s="5" t="s">
        <v>238</v>
      </c>
      <c r="BA2855" s="5" t="s">
        <v>238</v>
      </c>
      <c r="BC2855" s="5" t="s">
        <v>250</v>
      </c>
      <c r="BD2855" s="6" t="s">
        <v>243</v>
      </c>
      <c r="BE2855" s="5" t="s">
        <v>251</v>
      </c>
      <c r="BF2855" s="5" t="s">
        <v>252</v>
      </c>
      <c r="BG2855" s="5" t="s">
        <v>238</v>
      </c>
      <c r="BH2855" s="7">
        <f>0</f>
        <v>0</v>
      </c>
      <c r="BI2855" s="8">
        <f>0</f>
        <v>0</v>
      </c>
      <c r="BJ2855" s="5" t="s">
        <v>253</v>
      </c>
      <c r="BK2855" s="5" t="s">
        <v>254</v>
      </c>
      <c r="BY2855" s="5" t="s">
        <v>238</v>
      </c>
      <c r="BZ2855" s="5" t="s">
        <v>238</v>
      </c>
      <c r="CD2855" s="5" t="s">
        <v>273</v>
      </c>
      <c r="CE2855" s="5" t="s">
        <v>256</v>
      </c>
      <c r="CF2855" s="5" t="s">
        <v>238</v>
      </c>
      <c r="CI2855" s="6" t="s">
        <v>257</v>
      </c>
      <c r="CJ2855" s="5" t="s">
        <v>238</v>
      </c>
      <c r="CK2855" s="5" t="s">
        <v>258</v>
      </c>
      <c r="CL2855" s="5" t="s">
        <v>238</v>
      </c>
      <c r="CM2855" s="5" t="s">
        <v>238</v>
      </c>
      <c r="CN2855" s="5">
        <v>0</v>
      </c>
      <c r="CO2855" s="5" t="s">
        <v>259</v>
      </c>
      <c r="CP2855" s="5" t="s">
        <v>260</v>
      </c>
      <c r="CQ2855" s="5" t="s">
        <v>260</v>
      </c>
      <c r="CR2855" s="5" t="s">
        <v>261</v>
      </c>
      <c r="CU2855" s="8">
        <f>1</f>
        <v>1</v>
      </c>
      <c r="CV2855" s="8">
        <f>0</f>
        <v>0</v>
      </c>
      <c r="CX2855" s="8">
        <f>0</f>
        <v>0</v>
      </c>
      <c r="CY2855" s="8">
        <f>1</f>
        <v>1</v>
      </c>
      <c r="DA2855" s="5" t="s">
        <v>274</v>
      </c>
      <c r="DB2855" s="5" t="s">
        <v>238</v>
      </c>
      <c r="DD2855" s="5" t="s">
        <v>274</v>
      </c>
      <c r="DE2855" s="8">
        <f>2644</f>
        <v>2644</v>
      </c>
      <c r="DG2855" s="5" t="s">
        <v>238</v>
      </c>
      <c r="DH2855" s="5" t="s">
        <v>238</v>
      </c>
      <c r="DI2855" s="5" t="s">
        <v>238</v>
      </c>
      <c r="DJ2855" s="5" t="s">
        <v>238</v>
      </c>
      <c r="DN2855" s="5" t="s">
        <v>238</v>
      </c>
      <c r="DO2855" s="5" t="s">
        <v>238</v>
      </c>
      <c r="DP2855" s="5" t="s">
        <v>238</v>
      </c>
      <c r="DQ2855" s="5" t="s">
        <v>238</v>
      </c>
      <c r="DT2855" s="5" t="s">
        <v>275</v>
      </c>
      <c r="DU2855" s="5" t="s">
        <v>556</v>
      </c>
      <c r="HM2855" s="5" t="s">
        <v>264</v>
      </c>
    </row>
    <row r="2856" spans="1:221" x14ac:dyDescent="0.4">
      <c r="A2856" s="5">
        <v>4560</v>
      </c>
      <c r="B2856" s="5">
        <v>1</v>
      </c>
      <c r="C2856" s="5">
        <v>1</v>
      </c>
      <c r="D2856" s="5" t="s">
        <v>269</v>
      </c>
      <c r="E2856" s="5" t="s">
        <v>271</v>
      </c>
      <c r="F2856" s="5" t="s">
        <v>248</v>
      </c>
      <c r="G2856" s="5" t="s">
        <v>266</v>
      </c>
      <c r="H2856" s="6" t="s">
        <v>563</v>
      </c>
      <c r="I2856" s="7">
        <f>3163</f>
        <v>3163</v>
      </c>
      <c r="J2856" s="5" t="s">
        <v>262</v>
      </c>
      <c r="K2856" s="8">
        <f>1</f>
        <v>1</v>
      </c>
      <c r="L2856" s="6" t="s">
        <v>242</v>
      </c>
      <c r="M2856" s="5" t="s">
        <v>267</v>
      </c>
      <c r="N2856" s="5" t="s">
        <v>265</v>
      </c>
      <c r="O2856" s="5" t="s">
        <v>238</v>
      </c>
      <c r="P2856" s="5" t="s">
        <v>238</v>
      </c>
      <c r="Q2856" s="5" t="s">
        <v>268</v>
      </c>
      <c r="R2856" s="5" t="s">
        <v>270</v>
      </c>
      <c r="S2856" s="5" t="s">
        <v>238</v>
      </c>
      <c r="V2856" s="5" t="s">
        <v>238</v>
      </c>
      <c r="X2856" s="6" t="s">
        <v>238</v>
      </c>
      <c r="AA2856" s="6" t="s">
        <v>243</v>
      </c>
      <c r="AB2856" s="5" t="s">
        <v>238</v>
      </c>
      <c r="AC2856" s="5" t="s">
        <v>244</v>
      </c>
      <c r="AD2856" s="5" t="s">
        <v>245</v>
      </c>
      <c r="AT2856" s="5" t="s">
        <v>246</v>
      </c>
      <c r="AU2856" s="5" t="s">
        <v>238</v>
      </c>
      <c r="AV2856" s="5" t="s">
        <v>247</v>
      </c>
      <c r="AW2856" s="5" t="s">
        <v>238</v>
      </c>
      <c r="AX2856" s="5" t="s">
        <v>249</v>
      </c>
      <c r="AY2856" s="5" t="s">
        <v>238</v>
      </c>
      <c r="BA2856" s="5" t="s">
        <v>238</v>
      </c>
      <c r="BC2856" s="5" t="s">
        <v>250</v>
      </c>
      <c r="BD2856" s="6" t="s">
        <v>243</v>
      </c>
      <c r="BE2856" s="5" t="s">
        <v>251</v>
      </c>
      <c r="BF2856" s="5" t="s">
        <v>252</v>
      </c>
      <c r="BG2856" s="5" t="s">
        <v>238</v>
      </c>
      <c r="BH2856" s="7">
        <f>0</f>
        <v>0</v>
      </c>
      <c r="BI2856" s="8">
        <f>0</f>
        <v>0</v>
      </c>
      <c r="BJ2856" s="5" t="s">
        <v>253</v>
      </c>
      <c r="BK2856" s="5" t="s">
        <v>254</v>
      </c>
      <c r="BY2856" s="5" t="s">
        <v>238</v>
      </c>
      <c r="BZ2856" s="5" t="s">
        <v>238</v>
      </c>
      <c r="CD2856" s="5" t="s">
        <v>273</v>
      </c>
      <c r="CE2856" s="5" t="s">
        <v>256</v>
      </c>
      <c r="CF2856" s="5" t="s">
        <v>238</v>
      </c>
      <c r="CI2856" s="6" t="s">
        <v>257</v>
      </c>
      <c r="CJ2856" s="5" t="s">
        <v>238</v>
      </c>
      <c r="CK2856" s="5" t="s">
        <v>258</v>
      </c>
      <c r="CL2856" s="5" t="s">
        <v>238</v>
      </c>
      <c r="CM2856" s="5" t="s">
        <v>238</v>
      </c>
      <c r="CN2856" s="5">
        <v>0</v>
      </c>
      <c r="CO2856" s="5" t="s">
        <v>259</v>
      </c>
      <c r="CP2856" s="5" t="s">
        <v>260</v>
      </c>
      <c r="CQ2856" s="5" t="s">
        <v>260</v>
      </c>
      <c r="CR2856" s="5" t="s">
        <v>261</v>
      </c>
      <c r="CU2856" s="8">
        <f>1</f>
        <v>1</v>
      </c>
      <c r="CV2856" s="8">
        <f>0</f>
        <v>0</v>
      </c>
      <c r="CX2856" s="8">
        <f>0</f>
        <v>0</v>
      </c>
      <c r="CY2856" s="8">
        <f>1</f>
        <v>1</v>
      </c>
      <c r="DA2856" s="5" t="s">
        <v>274</v>
      </c>
      <c r="DB2856" s="5" t="s">
        <v>238</v>
      </c>
      <c r="DD2856" s="5" t="s">
        <v>274</v>
      </c>
      <c r="DE2856" s="8">
        <f>3163</f>
        <v>3163</v>
      </c>
      <c r="DG2856" s="5" t="s">
        <v>238</v>
      </c>
      <c r="DH2856" s="5" t="s">
        <v>238</v>
      </c>
      <c r="DI2856" s="5" t="s">
        <v>238</v>
      </c>
      <c r="DJ2856" s="5" t="s">
        <v>238</v>
      </c>
      <c r="DN2856" s="5" t="s">
        <v>238</v>
      </c>
      <c r="DO2856" s="5" t="s">
        <v>238</v>
      </c>
      <c r="DP2856" s="5" t="s">
        <v>238</v>
      </c>
      <c r="DQ2856" s="5" t="s">
        <v>238</v>
      </c>
      <c r="DT2856" s="5" t="s">
        <v>275</v>
      </c>
      <c r="DU2856" s="5" t="s">
        <v>564</v>
      </c>
      <c r="HM2856" s="5" t="s">
        <v>264</v>
      </c>
    </row>
    <row r="2857" spans="1:221" x14ac:dyDescent="0.4">
      <c r="A2857" s="5">
        <v>4561</v>
      </c>
      <c r="B2857" s="5">
        <v>1</v>
      </c>
      <c r="C2857" s="5">
        <v>1</v>
      </c>
      <c r="D2857" s="5" t="s">
        <v>269</v>
      </c>
      <c r="E2857" s="5" t="s">
        <v>271</v>
      </c>
      <c r="F2857" s="5" t="s">
        <v>248</v>
      </c>
      <c r="G2857" s="5" t="s">
        <v>266</v>
      </c>
      <c r="H2857" s="6" t="s">
        <v>5464</v>
      </c>
      <c r="I2857" s="7">
        <f>2473</f>
        <v>2473</v>
      </c>
      <c r="J2857" s="5" t="s">
        <v>262</v>
      </c>
      <c r="K2857" s="8">
        <f>1</f>
        <v>1</v>
      </c>
      <c r="L2857" s="6" t="s">
        <v>242</v>
      </c>
      <c r="M2857" s="5" t="s">
        <v>267</v>
      </c>
      <c r="N2857" s="5" t="s">
        <v>265</v>
      </c>
      <c r="O2857" s="5" t="s">
        <v>238</v>
      </c>
      <c r="P2857" s="5" t="s">
        <v>238</v>
      </c>
      <c r="Q2857" s="5" t="s">
        <v>268</v>
      </c>
      <c r="R2857" s="5" t="s">
        <v>270</v>
      </c>
      <c r="S2857" s="5" t="s">
        <v>238</v>
      </c>
      <c r="V2857" s="5" t="s">
        <v>238</v>
      </c>
      <c r="X2857" s="6" t="s">
        <v>238</v>
      </c>
      <c r="AA2857" s="6" t="s">
        <v>243</v>
      </c>
      <c r="AB2857" s="5" t="s">
        <v>238</v>
      </c>
      <c r="AC2857" s="5" t="s">
        <v>244</v>
      </c>
      <c r="AD2857" s="5" t="s">
        <v>245</v>
      </c>
      <c r="AT2857" s="5" t="s">
        <v>246</v>
      </c>
      <c r="AU2857" s="5" t="s">
        <v>238</v>
      </c>
      <c r="AV2857" s="5" t="s">
        <v>247</v>
      </c>
      <c r="AW2857" s="5" t="s">
        <v>238</v>
      </c>
      <c r="AX2857" s="5" t="s">
        <v>249</v>
      </c>
      <c r="AY2857" s="5" t="s">
        <v>238</v>
      </c>
      <c r="BA2857" s="5" t="s">
        <v>238</v>
      </c>
      <c r="BC2857" s="5" t="s">
        <v>250</v>
      </c>
      <c r="BD2857" s="6" t="s">
        <v>243</v>
      </c>
      <c r="BE2857" s="5" t="s">
        <v>251</v>
      </c>
      <c r="BF2857" s="5" t="s">
        <v>252</v>
      </c>
      <c r="BG2857" s="5" t="s">
        <v>238</v>
      </c>
      <c r="BH2857" s="7">
        <f>0</f>
        <v>0</v>
      </c>
      <c r="BI2857" s="8">
        <f>0</f>
        <v>0</v>
      </c>
      <c r="BJ2857" s="5" t="s">
        <v>253</v>
      </c>
      <c r="BK2857" s="5" t="s">
        <v>254</v>
      </c>
      <c r="BY2857" s="5" t="s">
        <v>238</v>
      </c>
      <c r="BZ2857" s="5" t="s">
        <v>238</v>
      </c>
      <c r="CD2857" s="5" t="s">
        <v>273</v>
      </c>
      <c r="CE2857" s="5" t="s">
        <v>256</v>
      </c>
      <c r="CF2857" s="5" t="s">
        <v>238</v>
      </c>
      <c r="CI2857" s="6" t="s">
        <v>257</v>
      </c>
      <c r="CJ2857" s="5" t="s">
        <v>238</v>
      </c>
      <c r="CK2857" s="5" t="s">
        <v>258</v>
      </c>
      <c r="CL2857" s="5" t="s">
        <v>238</v>
      </c>
      <c r="CM2857" s="5" t="s">
        <v>238</v>
      </c>
      <c r="CN2857" s="5">
        <v>0</v>
      </c>
      <c r="CO2857" s="5" t="s">
        <v>259</v>
      </c>
      <c r="CP2857" s="5" t="s">
        <v>260</v>
      </c>
      <c r="CQ2857" s="5" t="s">
        <v>260</v>
      </c>
      <c r="CR2857" s="5" t="s">
        <v>261</v>
      </c>
      <c r="CU2857" s="8">
        <f>1</f>
        <v>1</v>
      </c>
      <c r="CV2857" s="8">
        <f>0</f>
        <v>0</v>
      </c>
      <c r="CX2857" s="8">
        <f>0</f>
        <v>0</v>
      </c>
      <c r="CY2857" s="8">
        <f>1</f>
        <v>1</v>
      </c>
      <c r="DA2857" s="5" t="s">
        <v>274</v>
      </c>
      <c r="DB2857" s="5" t="s">
        <v>238</v>
      </c>
      <c r="DD2857" s="5" t="s">
        <v>274</v>
      </c>
      <c r="DE2857" s="8">
        <f>2473</f>
        <v>2473</v>
      </c>
      <c r="DG2857" s="5" t="s">
        <v>238</v>
      </c>
      <c r="DH2857" s="5" t="s">
        <v>238</v>
      </c>
      <c r="DI2857" s="5" t="s">
        <v>238</v>
      </c>
      <c r="DJ2857" s="5" t="s">
        <v>238</v>
      </c>
      <c r="DN2857" s="5" t="s">
        <v>238</v>
      </c>
      <c r="DO2857" s="5" t="s">
        <v>238</v>
      </c>
      <c r="DP2857" s="5" t="s">
        <v>238</v>
      </c>
      <c r="DQ2857" s="5" t="s">
        <v>238</v>
      </c>
      <c r="DT2857" s="5" t="s">
        <v>275</v>
      </c>
      <c r="DU2857" s="5" t="s">
        <v>3541</v>
      </c>
      <c r="HM2857" s="5" t="s">
        <v>264</v>
      </c>
    </row>
    <row r="2858" spans="1:221" x14ac:dyDescent="0.4">
      <c r="A2858" s="5">
        <v>4562</v>
      </c>
      <c r="B2858" s="5">
        <v>1</v>
      </c>
      <c r="C2858" s="5">
        <v>1</v>
      </c>
      <c r="D2858" s="5" t="s">
        <v>269</v>
      </c>
      <c r="E2858" s="5" t="s">
        <v>271</v>
      </c>
      <c r="F2858" s="5" t="s">
        <v>248</v>
      </c>
      <c r="G2858" s="5" t="s">
        <v>266</v>
      </c>
      <c r="H2858" s="6" t="s">
        <v>571</v>
      </c>
      <c r="I2858" s="7">
        <f>3178</f>
        <v>3178</v>
      </c>
      <c r="J2858" s="5" t="s">
        <v>262</v>
      </c>
      <c r="K2858" s="8">
        <f>1</f>
        <v>1</v>
      </c>
      <c r="L2858" s="6" t="s">
        <v>242</v>
      </c>
      <c r="M2858" s="5" t="s">
        <v>267</v>
      </c>
      <c r="N2858" s="5" t="s">
        <v>265</v>
      </c>
      <c r="O2858" s="5" t="s">
        <v>238</v>
      </c>
      <c r="P2858" s="5" t="s">
        <v>238</v>
      </c>
      <c r="Q2858" s="5" t="s">
        <v>268</v>
      </c>
      <c r="R2858" s="5" t="s">
        <v>270</v>
      </c>
      <c r="S2858" s="5" t="s">
        <v>238</v>
      </c>
      <c r="V2858" s="5" t="s">
        <v>238</v>
      </c>
      <c r="X2858" s="6" t="s">
        <v>238</v>
      </c>
      <c r="AA2858" s="6" t="s">
        <v>243</v>
      </c>
      <c r="AB2858" s="5" t="s">
        <v>238</v>
      </c>
      <c r="AC2858" s="5" t="s">
        <v>244</v>
      </c>
      <c r="AD2858" s="5" t="s">
        <v>245</v>
      </c>
      <c r="AT2858" s="5" t="s">
        <v>246</v>
      </c>
      <c r="AU2858" s="5" t="s">
        <v>238</v>
      </c>
      <c r="AV2858" s="5" t="s">
        <v>247</v>
      </c>
      <c r="AW2858" s="5" t="s">
        <v>238</v>
      </c>
      <c r="AX2858" s="5" t="s">
        <v>249</v>
      </c>
      <c r="AY2858" s="5" t="s">
        <v>238</v>
      </c>
      <c r="BA2858" s="5" t="s">
        <v>238</v>
      </c>
      <c r="BC2858" s="5" t="s">
        <v>250</v>
      </c>
      <c r="BD2858" s="6" t="s">
        <v>243</v>
      </c>
      <c r="BE2858" s="5" t="s">
        <v>251</v>
      </c>
      <c r="BF2858" s="5" t="s">
        <v>252</v>
      </c>
      <c r="BG2858" s="5" t="s">
        <v>238</v>
      </c>
      <c r="BH2858" s="7">
        <f>0</f>
        <v>0</v>
      </c>
      <c r="BI2858" s="8">
        <f>0</f>
        <v>0</v>
      </c>
      <c r="BJ2858" s="5" t="s">
        <v>253</v>
      </c>
      <c r="BK2858" s="5" t="s">
        <v>254</v>
      </c>
      <c r="BY2858" s="5" t="s">
        <v>238</v>
      </c>
      <c r="BZ2858" s="5" t="s">
        <v>238</v>
      </c>
      <c r="CD2858" s="5" t="s">
        <v>273</v>
      </c>
      <c r="CE2858" s="5" t="s">
        <v>256</v>
      </c>
      <c r="CF2858" s="5" t="s">
        <v>238</v>
      </c>
      <c r="CI2858" s="6" t="s">
        <v>257</v>
      </c>
      <c r="CJ2858" s="5" t="s">
        <v>238</v>
      </c>
      <c r="CK2858" s="5" t="s">
        <v>258</v>
      </c>
      <c r="CL2858" s="5" t="s">
        <v>238</v>
      </c>
      <c r="CM2858" s="5" t="s">
        <v>238</v>
      </c>
      <c r="CN2858" s="5">
        <v>0</v>
      </c>
      <c r="CO2858" s="5" t="s">
        <v>259</v>
      </c>
      <c r="CP2858" s="5" t="s">
        <v>260</v>
      </c>
      <c r="CQ2858" s="5" t="s">
        <v>260</v>
      </c>
      <c r="CR2858" s="5" t="s">
        <v>261</v>
      </c>
      <c r="CU2858" s="8">
        <f>1</f>
        <v>1</v>
      </c>
      <c r="CV2858" s="8">
        <f>0</f>
        <v>0</v>
      </c>
      <c r="CX2858" s="8">
        <f>0</f>
        <v>0</v>
      </c>
      <c r="CY2858" s="8">
        <f>1</f>
        <v>1</v>
      </c>
      <c r="DA2858" s="5" t="s">
        <v>274</v>
      </c>
      <c r="DB2858" s="5" t="s">
        <v>238</v>
      </c>
      <c r="DD2858" s="5" t="s">
        <v>274</v>
      </c>
      <c r="DE2858" s="8">
        <f>3178</f>
        <v>3178</v>
      </c>
      <c r="DG2858" s="5" t="s">
        <v>238</v>
      </c>
      <c r="DH2858" s="5" t="s">
        <v>238</v>
      </c>
      <c r="DI2858" s="5" t="s">
        <v>238</v>
      </c>
      <c r="DJ2858" s="5" t="s">
        <v>238</v>
      </c>
      <c r="DN2858" s="5" t="s">
        <v>238</v>
      </c>
      <c r="DO2858" s="5" t="s">
        <v>238</v>
      </c>
      <c r="DP2858" s="5" t="s">
        <v>238</v>
      </c>
      <c r="DQ2858" s="5" t="s">
        <v>238</v>
      </c>
      <c r="DT2858" s="5" t="s">
        <v>275</v>
      </c>
      <c r="DU2858" s="5" t="s">
        <v>572</v>
      </c>
      <c r="HM2858" s="5" t="s">
        <v>264</v>
      </c>
    </row>
    <row r="2859" spans="1:221" x14ac:dyDescent="0.4">
      <c r="A2859" s="5">
        <v>4563</v>
      </c>
      <c r="B2859" s="5">
        <v>1</v>
      </c>
      <c r="C2859" s="5">
        <v>1</v>
      </c>
      <c r="D2859" s="5" t="s">
        <v>269</v>
      </c>
      <c r="E2859" s="5" t="s">
        <v>271</v>
      </c>
      <c r="F2859" s="5" t="s">
        <v>248</v>
      </c>
      <c r="G2859" s="5" t="s">
        <v>266</v>
      </c>
      <c r="H2859" s="6" t="s">
        <v>577</v>
      </c>
      <c r="I2859" s="7">
        <f>372</f>
        <v>372</v>
      </c>
      <c r="J2859" s="5" t="s">
        <v>262</v>
      </c>
      <c r="K2859" s="8">
        <f>1</f>
        <v>1</v>
      </c>
      <c r="L2859" s="6" t="s">
        <v>242</v>
      </c>
      <c r="M2859" s="5" t="s">
        <v>267</v>
      </c>
      <c r="N2859" s="5" t="s">
        <v>265</v>
      </c>
      <c r="O2859" s="5" t="s">
        <v>238</v>
      </c>
      <c r="P2859" s="5" t="s">
        <v>238</v>
      </c>
      <c r="Q2859" s="5" t="s">
        <v>268</v>
      </c>
      <c r="R2859" s="5" t="s">
        <v>270</v>
      </c>
      <c r="S2859" s="5" t="s">
        <v>238</v>
      </c>
      <c r="V2859" s="5" t="s">
        <v>238</v>
      </c>
      <c r="X2859" s="6" t="s">
        <v>238</v>
      </c>
      <c r="AA2859" s="6" t="s">
        <v>243</v>
      </c>
      <c r="AB2859" s="5" t="s">
        <v>238</v>
      </c>
      <c r="AC2859" s="5" t="s">
        <v>244</v>
      </c>
      <c r="AD2859" s="5" t="s">
        <v>245</v>
      </c>
      <c r="AT2859" s="5" t="s">
        <v>246</v>
      </c>
      <c r="AU2859" s="5" t="s">
        <v>238</v>
      </c>
      <c r="AV2859" s="5" t="s">
        <v>247</v>
      </c>
      <c r="AW2859" s="5" t="s">
        <v>238</v>
      </c>
      <c r="AX2859" s="5" t="s">
        <v>249</v>
      </c>
      <c r="AY2859" s="5" t="s">
        <v>238</v>
      </c>
      <c r="BA2859" s="5" t="s">
        <v>238</v>
      </c>
      <c r="BC2859" s="5" t="s">
        <v>250</v>
      </c>
      <c r="BD2859" s="6" t="s">
        <v>243</v>
      </c>
      <c r="BE2859" s="5" t="s">
        <v>251</v>
      </c>
      <c r="BF2859" s="5" t="s">
        <v>252</v>
      </c>
      <c r="BG2859" s="5" t="s">
        <v>238</v>
      </c>
      <c r="BH2859" s="7">
        <f>0</f>
        <v>0</v>
      </c>
      <c r="BI2859" s="8">
        <f>0</f>
        <v>0</v>
      </c>
      <c r="BJ2859" s="5" t="s">
        <v>253</v>
      </c>
      <c r="BK2859" s="5" t="s">
        <v>254</v>
      </c>
      <c r="BY2859" s="5" t="s">
        <v>238</v>
      </c>
      <c r="BZ2859" s="5" t="s">
        <v>238</v>
      </c>
      <c r="CD2859" s="5" t="s">
        <v>273</v>
      </c>
      <c r="CE2859" s="5" t="s">
        <v>256</v>
      </c>
      <c r="CF2859" s="5" t="s">
        <v>238</v>
      </c>
      <c r="CI2859" s="6" t="s">
        <v>257</v>
      </c>
      <c r="CJ2859" s="5" t="s">
        <v>238</v>
      </c>
      <c r="CK2859" s="5" t="s">
        <v>258</v>
      </c>
      <c r="CL2859" s="5" t="s">
        <v>238</v>
      </c>
      <c r="CM2859" s="5" t="s">
        <v>238</v>
      </c>
      <c r="CN2859" s="5">
        <v>0</v>
      </c>
      <c r="CO2859" s="5" t="s">
        <v>259</v>
      </c>
      <c r="CP2859" s="5" t="s">
        <v>260</v>
      </c>
      <c r="CQ2859" s="5" t="s">
        <v>260</v>
      </c>
      <c r="CR2859" s="5" t="s">
        <v>261</v>
      </c>
      <c r="CU2859" s="8">
        <f>1</f>
        <v>1</v>
      </c>
      <c r="CV2859" s="8">
        <f>0</f>
        <v>0</v>
      </c>
      <c r="CX2859" s="8">
        <f>0</f>
        <v>0</v>
      </c>
      <c r="CY2859" s="8">
        <f>1</f>
        <v>1</v>
      </c>
      <c r="DA2859" s="5" t="s">
        <v>274</v>
      </c>
      <c r="DB2859" s="5" t="s">
        <v>238</v>
      </c>
      <c r="DD2859" s="5" t="s">
        <v>274</v>
      </c>
      <c r="DE2859" s="8">
        <f>372</f>
        <v>372</v>
      </c>
      <c r="DG2859" s="5" t="s">
        <v>238</v>
      </c>
      <c r="DH2859" s="5" t="s">
        <v>238</v>
      </c>
      <c r="DI2859" s="5" t="s">
        <v>238</v>
      </c>
      <c r="DJ2859" s="5" t="s">
        <v>238</v>
      </c>
      <c r="DN2859" s="5" t="s">
        <v>238</v>
      </c>
      <c r="DO2859" s="5" t="s">
        <v>238</v>
      </c>
      <c r="DP2859" s="5" t="s">
        <v>238</v>
      </c>
      <c r="DQ2859" s="5" t="s">
        <v>238</v>
      </c>
      <c r="DT2859" s="5" t="s">
        <v>275</v>
      </c>
      <c r="DU2859" s="5" t="s">
        <v>578</v>
      </c>
      <c r="HM2859" s="5" t="s">
        <v>264</v>
      </c>
    </row>
    <row r="2860" spans="1:221" x14ac:dyDescent="0.4">
      <c r="A2860" s="5">
        <v>4564</v>
      </c>
      <c r="B2860" s="5">
        <v>1</v>
      </c>
      <c r="C2860" s="5">
        <v>1</v>
      </c>
      <c r="D2860" s="5" t="s">
        <v>269</v>
      </c>
      <c r="E2860" s="5" t="s">
        <v>271</v>
      </c>
      <c r="F2860" s="5" t="s">
        <v>248</v>
      </c>
      <c r="G2860" s="5" t="s">
        <v>266</v>
      </c>
      <c r="H2860" s="6" t="s">
        <v>587</v>
      </c>
      <c r="I2860" s="7">
        <f>1267</f>
        <v>1267</v>
      </c>
      <c r="J2860" s="5" t="s">
        <v>262</v>
      </c>
      <c r="K2860" s="8">
        <f>1</f>
        <v>1</v>
      </c>
      <c r="L2860" s="6" t="s">
        <v>242</v>
      </c>
      <c r="M2860" s="5" t="s">
        <v>267</v>
      </c>
      <c r="N2860" s="5" t="s">
        <v>265</v>
      </c>
      <c r="O2860" s="5" t="s">
        <v>238</v>
      </c>
      <c r="P2860" s="5" t="s">
        <v>238</v>
      </c>
      <c r="Q2860" s="5" t="s">
        <v>268</v>
      </c>
      <c r="R2860" s="5" t="s">
        <v>270</v>
      </c>
      <c r="S2860" s="5" t="s">
        <v>238</v>
      </c>
      <c r="V2860" s="5" t="s">
        <v>238</v>
      </c>
      <c r="X2860" s="6" t="s">
        <v>238</v>
      </c>
      <c r="AA2860" s="6" t="s">
        <v>243</v>
      </c>
      <c r="AB2860" s="5" t="s">
        <v>238</v>
      </c>
      <c r="AC2860" s="5" t="s">
        <v>244</v>
      </c>
      <c r="AD2860" s="5" t="s">
        <v>245</v>
      </c>
      <c r="AT2860" s="5" t="s">
        <v>246</v>
      </c>
      <c r="AU2860" s="5" t="s">
        <v>238</v>
      </c>
      <c r="AV2860" s="5" t="s">
        <v>247</v>
      </c>
      <c r="AW2860" s="5" t="s">
        <v>238</v>
      </c>
      <c r="AX2860" s="5" t="s">
        <v>249</v>
      </c>
      <c r="AY2860" s="5" t="s">
        <v>238</v>
      </c>
      <c r="BA2860" s="5" t="s">
        <v>238</v>
      </c>
      <c r="BC2860" s="5" t="s">
        <v>250</v>
      </c>
      <c r="BD2860" s="6" t="s">
        <v>243</v>
      </c>
      <c r="BE2860" s="5" t="s">
        <v>251</v>
      </c>
      <c r="BF2860" s="5" t="s">
        <v>252</v>
      </c>
      <c r="BG2860" s="5" t="s">
        <v>238</v>
      </c>
      <c r="BH2860" s="7">
        <f>0</f>
        <v>0</v>
      </c>
      <c r="BI2860" s="8">
        <f>0</f>
        <v>0</v>
      </c>
      <c r="BJ2860" s="5" t="s">
        <v>253</v>
      </c>
      <c r="BK2860" s="5" t="s">
        <v>254</v>
      </c>
      <c r="BY2860" s="5" t="s">
        <v>238</v>
      </c>
      <c r="BZ2860" s="5" t="s">
        <v>238</v>
      </c>
      <c r="CD2860" s="5" t="s">
        <v>273</v>
      </c>
      <c r="CE2860" s="5" t="s">
        <v>256</v>
      </c>
      <c r="CF2860" s="5" t="s">
        <v>238</v>
      </c>
      <c r="CI2860" s="6" t="s">
        <v>257</v>
      </c>
      <c r="CJ2860" s="5" t="s">
        <v>238</v>
      </c>
      <c r="CK2860" s="5" t="s">
        <v>258</v>
      </c>
      <c r="CL2860" s="5" t="s">
        <v>238</v>
      </c>
      <c r="CM2860" s="5" t="s">
        <v>238</v>
      </c>
      <c r="CN2860" s="5">
        <v>0</v>
      </c>
      <c r="CO2860" s="5" t="s">
        <v>259</v>
      </c>
      <c r="CP2860" s="5" t="s">
        <v>260</v>
      </c>
      <c r="CQ2860" s="5" t="s">
        <v>260</v>
      </c>
      <c r="CR2860" s="5" t="s">
        <v>261</v>
      </c>
      <c r="CU2860" s="8">
        <f>1</f>
        <v>1</v>
      </c>
      <c r="CV2860" s="8">
        <f>0</f>
        <v>0</v>
      </c>
      <c r="CX2860" s="8">
        <f>0</f>
        <v>0</v>
      </c>
      <c r="CY2860" s="8">
        <f>1</f>
        <v>1</v>
      </c>
      <c r="DA2860" s="5" t="s">
        <v>274</v>
      </c>
      <c r="DB2860" s="5" t="s">
        <v>238</v>
      </c>
      <c r="DD2860" s="5" t="s">
        <v>274</v>
      </c>
      <c r="DE2860" s="8">
        <f>1267</f>
        <v>1267</v>
      </c>
      <c r="DG2860" s="5" t="s">
        <v>238</v>
      </c>
      <c r="DH2860" s="5" t="s">
        <v>238</v>
      </c>
      <c r="DI2860" s="5" t="s">
        <v>238</v>
      </c>
      <c r="DJ2860" s="5" t="s">
        <v>238</v>
      </c>
      <c r="DN2860" s="5" t="s">
        <v>238</v>
      </c>
      <c r="DO2860" s="5" t="s">
        <v>238</v>
      </c>
      <c r="DP2860" s="5" t="s">
        <v>238</v>
      </c>
      <c r="DQ2860" s="5" t="s">
        <v>238</v>
      </c>
      <c r="DT2860" s="5" t="s">
        <v>275</v>
      </c>
      <c r="DU2860" s="5" t="s">
        <v>588</v>
      </c>
      <c r="HM2860" s="5" t="s">
        <v>264</v>
      </c>
    </row>
    <row r="2861" spans="1:221" x14ac:dyDescent="0.4">
      <c r="A2861" s="5">
        <v>4565</v>
      </c>
      <c r="B2861" s="5">
        <v>1</v>
      </c>
      <c r="C2861" s="5">
        <v>1</v>
      </c>
      <c r="D2861" s="5" t="s">
        <v>269</v>
      </c>
      <c r="E2861" s="5" t="s">
        <v>271</v>
      </c>
      <c r="F2861" s="5" t="s">
        <v>248</v>
      </c>
      <c r="G2861" s="5" t="s">
        <v>266</v>
      </c>
      <c r="H2861" s="6" t="s">
        <v>593</v>
      </c>
      <c r="I2861" s="7">
        <f>2504</f>
        <v>2504</v>
      </c>
      <c r="J2861" s="5" t="s">
        <v>262</v>
      </c>
      <c r="K2861" s="8">
        <f>1</f>
        <v>1</v>
      </c>
      <c r="L2861" s="6" t="s">
        <v>242</v>
      </c>
      <c r="M2861" s="5" t="s">
        <v>267</v>
      </c>
      <c r="N2861" s="5" t="s">
        <v>265</v>
      </c>
      <c r="O2861" s="5" t="s">
        <v>238</v>
      </c>
      <c r="P2861" s="5" t="s">
        <v>238</v>
      </c>
      <c r="Q2861" s="5" t="s">
        <v>268</v>
      </c>
      <c r="R2861" s="5" t="s">
        <v>270</v>
      </c>
      <c r="S2861" s="5" t="s">
        <v>238</v>
      </c>
      <c r="V2861" s="5" t="s">
        <v>238</v>
      </c>
      <c r="X2861" s="6" t="s">
        <v>238</v>
      </c>
      <c r="AA2861" s="6" t="s">
        <v>243</v>
      </c>
      <c r="AB2861" s="5" t="s">
        <v>238</v>
      </c>
      <c r="AC2861" s="5" t="s">
        <v>244</v>
      </c>
      <c r="AD2861" s="5" t="s">
        <v>245</v>
      </c>
      <c r="AT2861" s="5" t="s">
        <v>246</v>
      </c>
      <c r="AU2861" s="5" t="s">
        <v>238</v>
      </c>
      <c r="AV2861" s="5" t="s">
        <v>247</v>
      </c>
      <c r="AW2861" s="5" t="s">
        <v>238</v>
      </c>
      <c r="AX2861" s="5" t="s">
        <v>249</v>
      </c>
      <c r="AY2861" s="5" t="s">
        <v>238</v>
      </c>
      <c r="BA2861" s="5" t="s">
        <v>238</v>
      </c>
      <c r="BC2861" s="5" t="s">
        <v>250</v>
      </c>
      <c r="BD2861" s="6" t="s">
        <v>243</v>
      </c>
      <c r="BE2861" s="5" t="s">
        <v>251</v>
      </c>
      <c r="BF2861" s="5" t="s">
        <v>252</v>
      </c>
      <c r="BG2861" s="5" t="s">
        <v>238</v>
      </c>
      <c r="BH2861" s="7">
        <f>0</f>
        <v>0</v>
      </c>
      <c r="BI2861" s="8">
        <f>0</f>
        <v>0</v>
      </c>
      <c r="BJ2861" s="5" t="s">
        <v>253</v>
      </c>
      <c r="BK2861" s="5" t="s">
        <v>254</v>
      </c>
      <c r="BY2861" s="5" t="s">
        <v>238</v>
      </c>
      <c r="BZ2861" s="5" t="s">
        <v>238</v>
      </c>
      <c r="CD2861" s="5" t="s">
        <v>273</v>
      </c>
      <c r="CE2861" s="5" t="s">
        <v>256</v>
      </c>
      <c r="CF2861" s="5" t="s">
        <v>238</v>
      </c>
      <c r="CI2861" s="6" t="s">
        <v>257</v>
      </c>
      <c r="CJ2861" s="5" t="s">
        <v>238</v>
      </c>
      <c r="CK2861" s="5" t="s">
        <v>258</v>
      </c>
      <c r="CL2861" s="5" t="s">
        <v>238</v>
      </c>
      <c r="CM2861" s="5" t="s">
        <v>238</v>
      </c>
      <c r="CN2861" s="5">
        <v>0</v>
      </c>
      <c r="CO2861" s="5" t="s">
        <v>259</v>
      </c>
      <c r="CP2861" s="5" t="s">
        <v>260</v>
      </c>
      <c r="CQ2861" s="5" t="s">
        <v>260</v>
      </c>
      <c r="CR2861" s="5" t="s">
        <v>261</v>
      </c>
      <c r="CU2861" s="8">
        <f>1</f>
        <v>1</v>
      </c>
      <c r="CV2861" s="8">
        <f>0</f>
        <v>0</v>
      </c>
      <c r="CX2861" s="8">
        <f>0</f>
        <v>0</v>
      </c>
      <c r="CY2861" s="8">
        <f>1</f>
        <v>1</v>
      </c>
      <c r="DA2861" s="5" t="s">
        <v>274</v>
      </c>
      <c r="DB2861" s="5" t="s">
        <v>238</v>
      </c>
      <c r="DD2861" s="5" t="s">
        <v>274</v>
      </c>
      <c r="DE2861" s="8">
        <f>2504</f>
        <v>2504</v>
      </c>
      <c r="DG2861" s="5" t="s">
        <v>238</v>
      </c>
      <c r="DH2861" s="5" t="s">
        <v>238</v>
      </c>
      <c r="DI2861" s="5" t="s">
        <v>238</v>
      </c>
      <c r="DJ2861" s="5" t="s">
        <v>238</v>
      </c>
      <c r="DN2861" s="5" t="s">
        <v>238</v>
      </c>
      <c r="DO2861" s="5" t="s">
        <v>238</v>
      </c>
      <c r="DP2861" s="5" t="s">
        <v>238</v>
      </c>
      <c r="DQ2861" s="5" t="s">
        <v>238</v>
      </c>
      <c r="DT2861" s="5" t="s">
        <v>275</v>
      </c>
      <c r="DU2861" s="5" t="s">
        <v>594</v>
      </c>
      <c r="HM2861" s="5" t="s">
        <v>264</v>
      </c>
    </row>
    <row r="2862" spans="1:221" x14ac:dyDescent="0.4">
      <c r="A2862" s="5">
        <v>4566</v>
      </c>
      <c r="B2862" s="5">
        <v>1</v>
      </c>
      <c r="C2862" s="5">
        <v>1</v>
      </c>
      <c r="D2862" s="5" t="s">
        <v>269</v>
      </c>
      <c r="E2862" s="5" t="s">
        <v>271</v>
      </c>
      <c r="F2862" s="5" t="s">
        <v>248</v>
      </c>
      <c r="G2862" s="5" t="s">
        <v>266</v>
      </c>
      <c r="H2862" s="6" t="s">
        <v>5481</v>
      </c>
      <c r="I2862" s="7">
        <f>1256</f>
        <v>1256</v>
      </c>
      <c r="J2862" s="5" t="s">
        <v>262</v>
      </c>
      <c r="K2862" s="8">
        <f>1</f>
        <v>1</v>
      </c>
      <c r="L2862" s="6" t="s">
        <v>242</v>
      </c>
      <c r="M2862" s="5" t="s">
        <v>267</v>
      </c>
      <c r="N2862" s="5" t="s">
        <v>265</v>
      </c>
      <c r="O2862" s="5" t="s">
        <v>238</v>
      </c>
      <c r="P2862" s="5" t="s">
        <v>238</v>
      </c>
      <c r="Q2862" s="5" t="s">
        <v>268</v>
      </c>
      <c r="R2862" s="5" t="s">
        <v>270</v>
      </c>
      <c r="S2862" s="5" t="s">
        <v>238</v>
      </c>
      <c r="V2862" s="5" t="s">
        <v>238</v>
      </c>
      <c r="X2862" s="6" t="s">
        <v>238</v>
      </c>
      <c r="AA2862" s="6" t="s">
        <v>243</v>
      </c>
      <c r="AB2862" s="5" t="s">
        <v>238</v>
      </c>
      <c r="AC2862" s="5" t="s">
        <v>244</v>
      </c>
      <c r="AD2862" s="5" t="s">
        <v>245</v>
      </c>
      <c r="AT2862" s="5" t="s">
        <v>246</v>
      </c>
      <c r="AU2862" s="5" t="s">
        <v>238</v>
      </c>
      <c r="AV2862" s="5" t="s">
        <v>247</v>
      </c>
      <c r="AW2862" s="5" t="s">
        <v>238</v>
      </c>
      <c r="AX2862" s="5" t="s">
        <v>249</v>
      </c>
      <c r="AY2862" s="5" t="s">
        <v>238</v>
      </c>
      <c r="BA2862" s="5" t="s">
        <v>238</v>
      </c>
      <c r="BC2862" s="5" t="s">
        <v>250</v>
      </c>
      <c r="BD2862" s="6" t="s">
        <v>243</v>
      </c>
      <c r="BE2862" s="5" t="s">
        <v>251</v>
      </c>
      <c r="BF2862" s="5" t="s">
        <v>252</v>
      </c>
      <c r="BG2862" s="5" t="s">
        <v>238</v>
      </c>
      <c r="BH2862" s="7">
        <f>0</f>
        <v>0</v>
      </c>
      <c r="BI2862" s="8">
        <f>0</f>
        <v>0</v>
      </c>
      <c r="BJ2862" s="5" t="s">
        <v>253</v>
      </c>
      <c r="BK2862" s="5" t="s">
        <v>254</v>
      </c>
      <c r="BY2862" s="5" t="s">
        <v>238</v>
      </c>
      <c r="BZ2862" s="5" t="s">
        <v>238</v>
      </c>
      <c r="CD2862" s="5" t="s">
        <v>273</v>
      </c>
      <c r="CE2862" s="5" t="s">
        <v>256</v>
      </c>
      <c r="CF2862" s="5" t="s">
        <v>238</v>
      </c>
      <c r="CI2862" s="6" t="s">
        <v>257</v>
      </c>
      <c r="CJ2862" s="5" t="s">
        <v>238</v>
      </c>
      <c r="CK2862" s="5" t="s">
        <v>258</v>
      </c>
      <c r="CL2862" s="5" t="s">
        <v>238</v>
      </c>
      <c r="CM2862" s="5" t="s">
        <v>238</v>
      </c>
      <c r="CN2862" s="5">
        <v>0</v>
      </c>
      <c r="CO2862" s="5" t="s">
        <v>259</v>
      </c>
      <c r="CP2862" s="5" t="s">
        <v>260</v>
      </c>
      <c r="CQ2862" s="5" t="s">
        <v>260</v>
      </c>
      <c r="CR2862" s="5" t="s">
        <v>261</v>
      </c>
      <c r="CU2862" s="8">
        <f>1</f>
        <v>1</v>
      </c>
      <c r="CV2862" s="8">
        <f>0</f>
        <v>0</v>
      </c>
      <c r="CX2862" s="8">
        <f>0</f>
        <v>0</v>
      </c>
      <c r="CY2862" s="8">
        <f>1</f>
        <v>1</v>
      </c>
      <c r="DA2862" s="5" t="s">
        <v>274</v>
      </c>
      <c r="DB2862" s="5" t="s">
        <v>238</v>
      </c>
      <c r="DD2862" s="5" t="s">
        <v>274</v>
      </c>
      <c r="DE2862" s="8">
        <f>1256</f>
        <v>1256</v>
      </c>
      <c r="DG2862" s="5" t="s">
        <v>238</v>
      </c>
      <c r="DH2862" s="5" t="s">
        <v>238</v>
      </c>
      <c r="DI2862" s="5" t="s">
        <v>238</v>
      </c>
      <c r="DJ2862" s="5" t="s">
        <v>238</v>
      </c>
      <c r="DN2862" s="5" t="s">
        <v>238</v>
      </c>
      <c r="DO2862" s="5" t="s">
        <v>238</v>
      </c>
      <c r="DP2862" s="5" t="s">
        <v>238</v>
      </c>
      <c r="DQ2862" s="5" t="s">
        <v>238</v>
      </c>
      <c r="DT2862" s="5" t="s">
        <v>275</v>
      </c>
      <c r="DU2862" s="5" t="s">
        <v>3638</v>
      </c>
      <c r="HM2862" s="5" t="s">
        <v>264</v>
      </c>
    </row>
    <row r="2863" spans="1:221" x14ac:dyDescent="0.4">
      <c r="A2863" s="5">
        <v>4567</v>
      </c>
      <c r="B2863" s="5">
        <v>1</v>
      </c>
      <c r="C2863" s="5">
        <v>1</v>
      </c>
      <c r="D2863" s="5" t="s">
        <v>269</v>
      </c>
      <c r="E2863" s="5" t="s">
        <v>271</v>
      </c>
      <c r="F2863" s="5" t="s">
        <v>248</v>
      </c>
      <c r="G2863" s="5" t="s">
        <v>266</v>
      </c>
      <c r="H2863" s="6" t="s">
        <v>607</v>
      </c>
      <c r="I2863" s="7">
        <f>2301</f>
        <v>2301</v>
      </c>
      <c r="J2863" s="5" t="s">
        <v>262</v>
      </c>
      <c r="K2863" s="8">
        <f>1</f>
        <v>1</v>
      </c>
      <c r="L2863" s="6" t="s">
        <v>242</v>
      </c>
      <c r="M2863" s="5" t="s">
        <v>267</v>
      </c>
      <c r="N2863" s="5" t="s">
        <v>265</v>
      </c>
      <c r="O2863" s="5" t="s">
        <v>238</v>
      </c>
      <c r="P2863" s="5" t="s">
        <v>238</v>
      </c>
      <c r="Q2863" s="5" t="s">
        <v>268</v>
      </c>
      <c r="R2863" s="5" t="s">
        <v>270</v>
      </c>
      <c r="S2863" s="5" t="s">
        <v>238</v>
      </c>
      <c r="V2863" s="5" t="s">
        <v>238</v>
      </c>
      <c r="X2863" s="6" t="s">
        <v>238</v>
      </c>
      <c r="AA2863" s="6" t="s">
        <v>243</v>
      </c>
      <c r="AB2863" s="5" t="s">
        <v>238</v>
      </c>
      <c r="AC2863" s="5" t="s">
        <v>244</v>
      </c>
      <c r="AD2863" s="5" t="s">
        <v>245</v>
      </c>
      <c r="AT2863" s="5" t="s">
        <v>246</v>
      </c>
      <c r="AU2863" s="5" t="s">
        <v>238</v>
      </c>
      <c r="AV2863" s="5" t="s">
        <v>247</v>
      </c>
      <c r="AW2863" s="5" t="s">
        <v>238</v>
      </c>
      <c r="AX2863" s="5" t="s">
        <v>249</v>
      </c>
      <c r="AY2863" s="5" t="s">
        <v>238</v>
      </c>
      <c r="BA2863" s="5" t="s">
        <v>238</v>
      </c>
      <c r="BC2863" s="5" t="s">
        <v>250</v>
      </c>
      <c r="BD2863" s="6" t="s">
        <v>243</v>
      </c>
      <c r="BE2863" s="5" t="s">
        <v>251</v>
      </c>
      <c r="BF2863" s="5" t="s">
        <v>252</v>
      </c>
      <c r="BG2863" s="5" t="s">
        <v>238</v>
      </c>
      <c r="BH2863" s="7">
        <f>0</f>
        <v>0</v>
      </c>
      <c r="BI2863" s="8">
        <f>0</f>
        <v>0</v>
      </c>
      <c r="BJ2863" s="5" t="s">
        <v>253</v>
      </c>
      <c r="BK2863" s="5" t="s">
        <v>254</v>
      </c>
      <c r="BY2863" s="5" t="s">
        <v>238</v>
      </c>
      <c r="BZ2863" s="5" t="s">
        <v>238</v>
      </c>
      <c r="CD2863" s="5" t="s">
        <v>273</v>
      </c>
      <c r="CE2863" s="5" t="s">
        <v>256</v>
      </c>
      <c r="CF2863" s="5" t="s">
        <v>238</v>
      </c>
      <c r="CI2863" s="6" t="s">
        <v>257</v>
      </c>
      <c r="CJ2863" s="5" t="s">
        <v>238</v>
      </c>
      <c r="CK2863" s="5" t="s">
        <v>258</v>
      </c>
      <c r="CL2863" s="5" t="s">
        <v>238</v>
      </c>
      <c r="CM2863" s="5" t="s">
        <v>238</v>
      </c>
      <c r="CN2863" s="5">
        <v>0</v>
      </c>
      <c r="CO2863" s="5" t="s">
        <v>259</v>
      </c>
      <c r="CP2863" s="5" t="s">
        <v>260</v>
      </c>
      <c r="CQ2863" s="5" t="s">
        <v>260</v>
      </c>
      <c r="CR2863" s="5" t="s">
        <v>261</v>
      </c>
      <c r="CU2863" s="8">
        <f>1</f>
        <v>1</v>
      </c>
      <c r="CV2863" s="8">
        <f>0</f>
        <v>0</v>
      </c>
      <c r="CX2863" s="8">
        <f>0</f>
        <v>0</v>
      </c>
      <c r="CY2863" s="8">
        <f>1</f>
        <v>1</v>
      </c>
      <c r="DA2863" s="5" t="s">
        <v>274</v>
      </c>
      <c r="DB2863" s="5" t="s">
        <v>238</v>
      </c>
      <c r="DD2863" s="5" t="s">
        <v>274</v>
      </c>
      <c r="DE2863" s="8">
        <f>2301</f>
        <v>2301</v>
      </c>
      <c r="DG2863" s="5" t="s">
        <v>238</v>
      </c>
      <c r="DH2863" s="5" t="s">
        <v>238</v>
      </c>
      <c r="DI2863" s="5" t="s">
        <v>238</v>
      </c>
      <c r="DJ2863" s="5" t="s">
        <v>238</v>
      </c>
      <c r="DN2863" s="5" t="s">
        <v>238</v>
      </c>
      <c r="DO2863" s="5" t="s">
        <v>238</v>
      </c>
      <c r="DP2863" s="5" t="s">
        <v>238</v>
      </c>
      <c r="DQ2863" s="5" t="s">
        <v>238</v>
      </c>
      <c r="DT2863" s="5" t="s">
        <v>275</v>
      </c>
      <c r="DU2863" s="5" t="s">
        <v>608</v>
      </c>
      <c r="HM2863" s="5" t="s">
        <v>264</v>
      </c>
    </row>
    <row r="2864" spans="1:221" x14ac:dyDescent="0.4">
      <c r="A2864" s="5">
        <v>4568</v>
      </c>
      <c r="B2864" s="5">
        <v>1</v>
      </c>
      <c r="C2864" s="5">
        <v>1</v>
      </c>
      <c r="D2864" s="5" t="s">
        <v>269</v>
      </c>
      <c r="E2864" s="5" t="s">
        <v>271</v>
      </c>
      <c r="F2864" s="5" t="s">
        <v>248</v>
      </c>
      <c r="G2864" s="5" t="s">
        <v>266</v>
      </c>
      <c r="H2864" s="6" t="s">
        <v>615</v>
      </c>
      <c r="I2864" s="7">
        <f>323</f>
        <v>323</v>
      </c>
      <c r="J2864" s="5" t="s">
        <v>262</v>
      </c>
      <c r="K2864" s="8">
        <f>1</f>
        <v>1</v>
      </c>
      <c r="L2864" s="6" t="s">
        <v>242</v>
      </c>
      <c r="M2864" s="5" t="s">
        <v>267</v>
      </c>
      <c r="N2864" s="5" t="s">
        <v>265</v>
      </c>
      <c r="O2864" s="5" t="s">
        <v>238</v>
      </c>
      <c r="P2864" s="5" t="s">
        <v>238</v>
      </c>
      <c r="Q2864" s="5" t="s">
        <v>268</v>
      </c>
      <c r="R2864" s="5" t="s">
        <v>270</v>
      </c>
      <c r="S2864" s="5" t="s">
        <v>238</v>
      </c>
      <c r="V2864" s="5" t="s">
        <v>238</v>
      </c>
      <c r="X2864" s="6" t="s">
        <v>238</v>
      </c>
      <c r="AA2864" s="6" t="s">
        <v>243</v>
      </c>
      <c r="AB2864" s="5" t="s">
        <v>238</v>
      </c>
      <c r="AC2864" s="5" t="s">
        <v>244</v>
      </c>
      <c r="AD2864" s="5" t="s">
        <v>245</v>
      </c>
      <c r="AT2864" s="5" t="s">
        <v>246</v>
      </c>
      <c r="AU2864" s="5" t="s">
        <v>238</v>
      </c>
      <c r="AV2864" s="5" t="s">
        <v>247</v>
      </c>
      <c r="AW2864" s="5" t="s">
        <v>238</v>
      </c>
      <c r="AX2864" s="5" t="s">
        <v>249</v>
      </c>
      <c r="AY2864" s="5" t="s">
        <v>238</v>
      </c>
      <c r="BA2864" s="5" t="s">
        <v>238</v>
      </c>
      <c r="BC2864" s="5" t="s">
        <v>250</v>
      </c>
      <c r="BD2864" s="6" t="s">
        <v>243</v>
      </c>
      <c r="BE2864" s="5" t="s">
        <v>251</v>
      </c>
      <c r="BF2864" s="5" t="s">
        <v>252</v>
      </c>
      <c r="BG2864" s="5" t="s">
        <v>238</v>
      </c>
      <c r="BH2864" s="7">
        <f>0</f>
        <v>0</v>
      </c>
      <c r="BI2864" s="8">
        <f>0</f>
        <v>0</v>
      </c>
      <c r="BJ2864" s="5" t="s">
        <v>253</v>
      </c>
      <c r="BK2864" s="5" t="s">
        <v>254</v>
      </c>
      <c r="BY2864" s="5" t="s">
        <v>238</v>
      </c>
      <c r="BZ2864" s="5" t="s">
        <v>238</v>
      </c>
      <c r="CD2864" s="5" t="s">
        <v>273</v>
      </c>
      <c r="CE2864" s="5" t="s">
        <v>256</v>
      </c>
      <c r="CF2864" s="5" t="s">
        <v>238</v>
      </c>
      <c r="CI2864" s="6" t="s">
        <v>257</v>
      </c>
      <c r="CJ2864" s="5" t="s">
        <v>238</v>
      </c>
      <c r="CK2864" s="5" t="s">
        <v>258</v>
      </c>
      <c r="CL2864" s="5" t="s">
        <v>238</v>
      </c>
      <c r="CM2864" s="5" t="s">
        <v>238</v>
      </c>
      <c r="CN2864" s="5">
        <v>0</v>
      </c>
      <c r="CO2864" s="5" t="s">
        <v>259</v>
      </c>
      <c r="CP2864" s="5" t="s">
        <v>260</v>
      </c>
      <c r="CQ2864" s="5" t="s">
        <v>260</v>
      </c>
      <c r="CR2864" s="5" t="s">
        <v>261</v>
      </c>
      <c r="CU2864" s="8">
        <f>1</f>
        <v>1</v>
      </c>
      <c r="CV2864" s="8">
        <f>0</f>
        <v>0</v>
      </c>
      <c r="CX2864" s="8">
        <f>0</f>
        <v>0</v>
      </c>
      <c r="CY2864" s="8">
        <f>1</f>
        <v>1</v>
      </c>
      <c r="DA2864" s="5" t="s">
        <v>274</v>
      </c>
      <c r="DB2864" s="5" t="s">
        <v>238</v>
      </c>
      <c r="DD2864" s="5" t="s">
        <v>274</v>
      </c>
      <c r="DE2864" s="8">
        <f>323</f>
        <v>323</v>
      </c>
      <c r="DG2864" s="5" t="s">
        <v>238</v>
      </c>
      <c r="DH2864" s="5" t="s">
        <v>238</v>
      </c>
      <c r="DI2864" s="5" t="s">
        <v>238</v>
      </c>
      <c r="DJ2864" s="5" t="s">
        <v>238</v>
      </c>
      <c r="DN2864" s="5" t="s">
        <v>238</v>
      </c>
      <c r="DO2864" s="5" t="s">
        <v>238</v>
      </c>
      <c r="DP2864" s="5" t="s">
        <v>238</v>
      </c>
      <c r="DQ2864" s="5" t="s">
        <v>238</v>
      </c>
      <c r="DT2864" s="5" t="s">
        <v>275</v>
      </c>
      <c r="DU2864" s="5" t="s">
        <v>616</v>
      </c>
      <c r="HM2864" s="5" t="s">
        <v>264</v>
      </c>
    </row>
    <row r="2865" spans="1:221" x14ac:dyDescent="0.4">
      <c r="A2865" s="5">
        <v>4569</v>
      </c>
      <c r="B2865" s="5">
        <v>1</v>
      </c>
      <c r="C2865" s="5">
        <v>1</v>
      </c>
      <c r="D2865" s="5" t="s">
        <v>269</v>
      </c>
      <c r="E2865" s="5" t="s">
        <v>271</v>
      </c>
      <c r="F2865" s="5" t="s">
        <v>248</v>
      </c>
      <c r="G2865" s="5" t="s">
        <v>266</v>
      </c>
      <c r="H2865" s="6" t="s">
        <v>619</v>
      </c>
      <c r="I2865" s="7">
        <f>2452</f>
        <v>2452</v>
      </c>
      <c r="J2865" s="5" t="s">
        <v>262</v>
      </c>
      <c r="K2865" s="8">
        <f>1</f>
        <v>1</v>
      </c>
      <c r="L2865" s="6" t="s">
        <v>242</v>
      </c>
      <c r="M2865" s="5" t="s">
        <v>267</v>
      </c>
      <c r="N2865" s="5" t="s">
        <v>265</v>
      </c>
      <c r="O2865" s="5" t="s">
        <v>238</v>
      </c>
      <c r="P2865" s="5" t="s">
        <v>238</v>
      </c>
      <c r="Q2865" s="5" t="s">
        <v>268</v>
      </c>
      <c r="R2865" s="5" t="s">
        <v>270</v>
      </c>
      <c r="S2865" s="5" t="s">
        <v>238</v>
      </c>
      <c r="V2865" s="5" t="s">
        <v>238</v>
      </c>
      <c r="X2865" s="6" t="s">
        <v>238</v>
      </c>
      <c r="AA2865" s="6" t="s">
        <v>243</v>
      </c>
      <c r="AB2865" s="5" t="s">
        <v>238</v>
      </c>
      <c r="AC2865" s="5" t="s">
        <v>244</v>
      </c>
      <c r="AD2865" s="5" t="s">
        <v>245</v>
      </c>
      <c r="AT2865" s="5" t="s">
        <v>246</v>
      </c>
      <c r="AU2865" s="5" t="s">
        <v>238</v>
      </c>
      <c r="AV2865" s="5" t="s">
        <v>247</v>
      </c>
      <c r="AW2865" s="5" t="s">
        <v>238</v>
      </c>
      <c r="AX2865" s="5" t="s">
        <v>249</v>
      </c>
      <c r="AY2865" s="5" t="s">
        <v>238</v>
      </c>
      <c r="BA2865" s="5" t="s">
        <v>238</v>
      </c>
      <c r="BC2865" s="5" t="s">
        <v>250</v>
      </c>
      <c r="BD2865" s="6" t="s">
        <v>243</v>
      </c>
      <c r="BE2865" s="5" t="s">
        <v>251</v>
      </c>
      <c r="BF2865" s="5" t="s">
        <v>252</v>
      </c>
      <c r="BG2865" s="5" t="s">
        <v>238</v>
      </c>
      <c r="BH2865" s="7">
        <f>0</f>
        <v>0</v>
      </c>
      <c r="BI2865" s="8">
        <f>0</f>
        <v>0</v>
      </c>
      <c r="BJ2865" s="5" t="s">
        <v>253</v>
      </c>
      <c r="BK2865" s="5" t="s">
        <v>254</v>
      </c>
      <c r="BY2865" s="5" t="s">
        <v>238</v>
      </c>
      <c r="BZ2865" s="5" t="s">
        <v>238</v>
      </c>
      <c r="CD2865" s="5" t="s">
        <v>273</v>
      </c>
      <c r="CE2865" s="5" t="s">
        <v>256</v>
      </c>
      <c r="CF2865" s="5" t="s">
        <v>238</v>
      </c>
      <c r="CI2865" s="6" t="s">
        <v>257</v>
      </c>
      <c r="CJ2865" s="5" t="s">
        <v>238</v>
      </c>
      <c r="CK2865" s="5" t="s">
        <v>258</v>
      </c>
      <c r="CL2865" s="5" t="s">
        <v>238</v>
      </c>
      <c r="CM2865" s="5" t="s">
        <v>238</v>
      </c>
      <c r="CN2865" s="5">
        <v>0</v>
      </c>
      <c r="CO2865" s="5" t="s">
        <v>259</v>
      </c>
      <c r="CP2865" s="5" t="s">
        <v>260</v>
      </c>
      <c r="CQ2865" s="5" t="s">
        <v>260</v>
      </c>
      <c r="CR2865" s="5" t="s">
        <v>261</v>
      </c>
      <c r="CU2865" s="8">
        <f>1</f>
        <v>1</v>
      </c>
      <c r="CV2865" s="8">
        <f>0</f>
        <v>0</v>
      </c>
      <c r="CX2865" s="8">
        <f>0</f>
        <v>0</v>
      </c>
      <c r="CY2865" s="8">
        <f>1</f>
        <v>1</v>
      </c>
      <c r="DA2865" s="5" t="s">
        <v>274</v>
      </c>
      <c r="DB2865" s="5" t="s">
        <v>238</v>
      </c>
      <c r="DD2865" s="5" t="s">
        <v>274</v>
      </c>
      <c r="DE2865" s="8">
        <f>2452</f>
        <v>2452</v>
      </c>
      <c r="DG2865" s="5" t="s">
        <v>238</v>
      </c>
      <c r="DH2865" s="5" t="s">
        <v>238</v>
      </c>
      <c r="DI2865" s="5" t="s">
        <v>238</v>
      </c>
      <c r="DJ2865" s="5" t="s">
        <v>238</v>
      </c>
      <c r="DN2865" s="5" t="s">
        <v>238</v>
      </c>
      <c r="DO2865" s="5" t="s">
        <v>238</v>
      </c>
      <c r="DP2865" s="5" t="s">
        <v>238</v>
      </c>
      <c r="DQ2865" s="5" t="s">
        <v>238</v>
      </c>
      <c r="DT2865" s="5" t="s">
        <v>275</v>
      </c>
      <c r="DU2865" s="5" t="s">
        <v>620</v>
      </c>
      <c r="HM2865" s="5" t="s">
        <v>264</v>
      </c>
    </row>
    <row r="2866" spans="1:221" x14ac:dyDescent="0.4">
      <c r="A2866" s="5">
        <v>4570</v>
      </c>
      <c r="B2866" s="5">
        <v>1</v>
      </c>
      <c r="C2866" s="5">
        <v>1</v>
      </c>
      <c r="D2866" s="5" t="s">
        <v>269</v>
      </c>
      <c r="E2866" s="5" t="s">
        <v>271</v>
      </c>
      <c r="F2866" s="5" t="s">
        <v>248</v>
      </c>
      <c r="G2866" s="5" t="s">
        <v>266</v>
      </c>
      <c r="H2866" s="6" t="s">
        <v>627</v>
      </c>
      <c r="I2866" s="7">
        <f>192</f>
        <v>192</v>
      </c>
      <c r="J2866" s="5" t="s">
        <v>262</v>
      </c>
      <c r="K2866" s="8">
        <f>1</f>
        <v>1</v>
      </c>
      <c r="L2866" s="6" t="s">
        <v>242</v>
      </c>
      <c r="M2866" s="5" t="s">
        <v>267</v>
      </c>
      <c r="N2866" s="5" t="s">
        <v>265</v>
      </c>
      <c r="O2866" s="5" t="s">
        <v>238</v>
      </c>
      <c r="P2866" s="5" t="s">
        <v>238</v>
      </c>
      <c r="Q2866" s="5" t="s">
        <v>268</v>
      </c>
      <c r="R2866" s="5" t="s">
        <v>270</v>
      </c>
      <c r="S2866" s="5" t="s">
        <v>238</v>
      </c>
      <c r="V2866" s="5" t="s">
        <v>238</v>
      </c>
      <c r="X2866" s="6" t="s">
        <v>238</v>
      </c>
      <c r="AA2866" s="6" t="s">
        <v>243</v>
      </c>
      <c r="AB2866" s="5" t="s">
        <v>238</v>
      </c>
      <c r="AC2866" s="5" t="s">
        <v>244</v>
      </c>
      <c r="AD2866" s="5" t="s">
        <v>245</v>
      </c>
      <c r="AT2866" s="5" t="s">
        <v>246</v>
      </c>
      <c r="AU2866" s="5" t="s">
        <v>238</v>
      </c>
      <c r="AV2866" s="5" t="s">
        <v>247</v>
      </c>
      <c r="AW2866" s="5" t="s">
        <v>238</v>
      </c>
      <c r="AX2866" s="5" t="s">
        <v>249</v>
      </c>
      <c r="AY2866" s="5" t="s">
        <v>238</v>
      </c>
      <c r="BA2866" s="5" t="s">
        <v>238</v>
      </c>
      <c r="BC2866" s="5" t="s">
        <v>250</v>
      </c>
      <c r="BD2866" s="6" t="s">
        <v>243</v>
      </c>
      <c r="BE2866" s="5" t="s">
        <v>251</v>
      </c>
      <c r="BF2866" s="5" t="s">
        <v>252</v>
      </c>
      <c r="BG2866" s="5" t="s">
        <v>238</v>
      </c>
      <c r="BH2866" s="7">
        <f>0</f>
        <v>0</v>
      </c>
      <c r="BI2866" s="8">
        <f>0</f>
        <v>0</v>
      </c>
      <c r="BJ2866" s="5" t="s">
        <v>253</v>
      </c>
      <c r="BK2866" s="5" t="s">
        <v>254</v>
      </c>
      <c r="BY2866" s="5" t="s">
        <v>238</v>
      </c>
      <c r="BZ2866" s="5" t="s">
        <v>238</v>
      </c>
      <c r="CD2866" s="5" t="s">
        <v>273</v>
      </c>
      <c r="CE2866" s="5" t="s">
        <v>256</v>
      </c>
      <c r="CF2866" s="5" t="s">
        <v>238</v>
      </c>
      <c r="CI2866" s="6" t="s">
        <v>257</v>
      </c>
      <c r="CJ2866" s="5" t="s">
        <v>238</v>
      </c>
      <c r="CK2866" s="5" t="s">
        <v>258</v>
      </c>
      <c r="CL2866" s="5" t="s">
        <v>238</v>
      </c>
      <c r="CM2866" s="5" t="s">
        <v>238</v>
      </c>
      <c r="CN2866" s="5">
        <v>0</v>
      </c>
      <c r="CO2866" s="5" t="s">
        <v>259</v>
      </c>
      <c r="CP2866" s="5" t="s">
        <v>260</v>
      </c>
      <c r="CQ2866" s="5" t="s">
        <v>260</v>
      </c>
      <c r="CR2866" s="5" t="s">
        <v>261</v>
      </c>
      <c r="CU2866" s="8">
        <f>1</f>
        <v>1</v>
      </c>
      <c r="CV2866" s="8">
        <f>0</f>
        <v>0</v>
      </c>
      <c r="CX2866" s="8">
        <f>0</f>
        <v>0</v>
      </c>
      <c r="CY2866" s="8">
        <f>1</f>
        <v>1</v>
      </c>
      <c r="DA2866" s="5" t="s">
        <v>274</v>
      </c>
      <c r="DB2866" s="5" t="s">
        <v>238</v>
      </c>
      <c r="DD2866" s="5" t="s">
        <v>274</v>
      </c>
      <c r="DE2866" s="8">
        <f>192</f>
        <v>192</v>
      </c>
      <c r="DG2866" s="5" t="s">
        <v>238</v>
      </c>
      <c r="DH2866" s="5" t="s">
        <v>238</v>
      </c>
      <c r="DI2866" s="5" t="s">
        <v>238</v>
      </c>
      <c r="DJ2866" s="5" t="s">
        <v>238</v>
      </c>
      <c r="DN2866" s="5" t="s">
        <v>238</v>
      </c>
      <c r="DO2866" s="5" t="s">
        <v>238</v>
      </c>
      <c r="DP2866" s="5" t="s">
        <v>238</v>
      </c>
      <c r="DQ2866" s="5" t="s">
        <v>238</v>
      </c>
      <c r="DT2866" s="5" t="s">
        <v>275</v>
      </c>
      <c r="DU2866" s="5" t="s">
        <v>628</v>
      </c>
      <c r="HM2866" s="5" t="s">
        <v>264</v>
      </c>
    </row>
    <row r="2867" spans="1:221" x14ac:dyDescent="0.4">
      <c r="A2867" s="5">
        <v>4571</v>
      </c>
      <c r="B2867" s="5">
        <v>1</v>
      </c>
      <c r="C2867" s="5">
        <v>1</v>
      </c>
      <c r="D2867" s="5" t="s">
        <v>269</v>
      </c>
      <c r="E2867" s="5" t="s">
        <v>271</v>
      </c>
      <c r="F2867" s="5" t="s">
        <v>248</v>
      </c>
      <c r="G2867" s="5" t="s">
        <v>266</v>
      </c>
      <c r="H2867" s="6" t="s">
        <v>633</v>
      </c>
      <c r="I2867" s="7">
        <f>914</f>
        <v>914</v>
      </c>
      <c r="J2867" s="5" t="s">
        <v>262</v>
      </c>
      <c r="K2867" s="8">
        <f>1</f>
        <v>1</v>
      </c>
      <c r="L2867" s="6" t="s">
        <v>242</v>
      </c>
      <c r="M2867" s="5" t="s">
        <v>267</v>
      </c>
      <c r="N2867" s="5" t="s">
        <v>265</v>
      </c>
      <c r="O2867" s="5" t="s">
        <v>238</v>
      </c>
      <c r="P2867" s="5" t="s">
        <v>238</v>
      </c>
      <c r="Q2867" s="5" t="s">
        <v>268</v>
      </c>
      <c r="R2867" s="5" t="s">
        <v>270</v>
      </c>
      <c r="S2867" s="5" t="s">
        <v>238</v>
      </c>
      <c r="V2867" s="5" t="s">
        <v>238</v>
      </c>
      <c r="X2867" s="6" t="s">
        <v>238</v>
      </c>
      <c r="AA2867" s="6" t="s">
        <v>243</v>
      </c>
      <c r="AB2867" s="5" t="s">
        <v>238</v>
      </c>
      <c r="AC2867" s="5" t="s">
        <v>244</v>
      </c>
      <c r="AD2867" s="5" t="s">
        <v>245</v>
      </c>
      <c r="AT2867" s="5" t="s">
        <v>246</v>
      </c>
      <c r="AU2867" s="5" t="s">
        <v>238</v>
      </c>
      <c r="AV2867" s="5" t="s">
        <v>247</v>
      </c>
      <c r="AW2867" s="5" t="s">
        <v>238</v>
      </c>
      <c r="AX2867" s="5" t="s">
        <v>249</v>
      </c>
      <c r="AY2867" s="5" t="s">
        <v>238</v>
      </c>
      <c r="BA2867" s="5" t="s">
        <v>238</v>
      </c>
      <c r="BC2867" s="5" t="s">
        <v>250</v>
      </c>
      <c r="BD2867" s="6" t="s">
        <v>243</v>
      </c>
      <c r="BE2867" s="5" t="s">
        <v>251</v>
      </c>
      <c r="BF2867" s="5" t="s">
        <v>252</v>
      </c>
      <c r="BG2867" s="5" t="s">
        <v>238</v>
      </c>
      <c r="BH2867" s="7">
        <f>0</f>
        <v>0</v>
      </c>
      <c r="BI2867" s="8">
        <f>0</f>
        <v>0</v>
      </c>
      <c r="BJ2867" s="5" t="s">
        <v>253</v>
      </c>
      <c r="BK2867" s="5" t="s">
        <v>254</v>
      </c>
      <c r="BY2867" s="5" t="s">
        <v>238</v>
      </c>
      <c r="BZ2867" s="5" t="s">
        <v>238</v>
      </c>
      <c r="CD2867" s="5" t="s">
        <v>273</v>
      </c>
      <c r="CE2867" s="5" t="s">
        <v>256</v>
      </c>
      <c r="CF2867" s="5" t="s">
        <v>238</v>
      </c>
      <c r="CI2867" s="6" t="s">
        <v>257</v>
      </c>
      <c r="CJ2867" s="5" t="s">
        <v>238</v>
      </c>
      <c r="CK2867" s="5" t="s">
        <v>258</v>
      </c>
      <c r="CL2867" s="5" t="s">
        <v>238</v>
      </c>
      <c r="CM2867" s="5" t="s">
        <v>238</v>
      </c>
      <c r="CN2867" s="5">
        <v>0</v>
      </c>
      <c r="CO2867" s="5" t="s">
        <v>259</v>
      </c>
      <c r="CP2867" s="5" t="s">
        <v>260</v>
      </c>
      <c r="CQ2867" s="5" t="s">
        <v>260</v>
      </c>
      <c r="CR2867" s="5" t="s">
        <v>261</v>
      </c>
      <c r="CU2867" s="8">
        <f>1</f>
        <v>1</v>
      </c>
      <c r="CV2867" s="8">
        <f>0</f>
        <v>0</v>
      </c>
      <c r="CX2867" s="8">
        <f>0</f>
        <v>0</v>
      </c>
      <c r="CY2867" s="8">
        <f>1</f>
        <v>1</v>
      </c>
      <c r="DA2867" s="5" t="s">
        <v>274</v>
      </c>
      <c r="DB2867" s="5" t="s">
        <v>238</v>
      </c>
      <c r="DD2867" s="5" t="s">
        <v>274</v>
      </c>
      <c r="DE2867" s="8">
        <f>914</f>
        <v>914</v>
      </c>
      <c r="DG2867" s="5" t="s">
        <v>238</v>
      </c>
      <c r="DH2867" s="5" t="s">
        <v>238</v>
      </c>
      <c r="DI2867" s="5" t="s">
        <v>238</v>
      </c>
      <c r="DJ2867" s="5" t="s">
        <v>238</v>
      </c>
      <c r="DN2867" s="5" t="s">
        <v>238</v>
      </c>
      <c r="DO2867" s="5" t="s">
        <v>238</v>
      </c>
      <c r="DP2867" s="5" t="s">
        <v>238</v>
      </c>
      <c r="DQ2867" s="5" t="s">
        <v>238</v>
      </c>
      <c r="DT2867" s="5" t="s">
        <v>275</v>
      </c>
      <c r="DU2867" s="5" t="s">
        <v>634</v>
      </c>
      <c r="HM2867" s="5" t="s">
        <v>264</v>
      </c>
    </row>
    <row r="2868" spans="1:221" x14ac:dyDescent="0.4">
      <c r="A2868" s="5">
        <v>4572</v>
      </c>
      <c r="B2868" s="5">
        <v>1</v>
      </c>
      <c r="C2868" s="5">
        <v>1</v>
      </c>
      <c r="D2868" s="5" t="s">
        <v>269</v>
      </c>
      <c r="E2868" s="5" t="s">
        <v>271</v>
      </c>
      <c r="F2868" s="5" t="s">
        <v>248</v>
      </c>
      <c r="G2868" s="5" t="s">
        <v>266</v>
      </c>
      <c r="H2868" s="6" t="s">
        <v>639</v>
      </c>
      <c r="I2868" s="7">
        <f>2560</f>
        <v>2560</v>
      </c>
      <c r="J2868" s="5" t="s">
        <v>262</v>
      </c>
      <c r="K2868" s="8">
        <f>1</f>
        <v>1</v>
      </c>
      <c r="L2868" s="6" t="s">
        <v>242</v>
      </c>
      <c r="M2868" s="5" t="s">
        <v>267</v>
      </c>
      <c r="N2868" s="5" t="s">
        <v>265</v>
      </c>
      <c r="O2868" s="5" t="s">
        <v>238</v>
      </c>
      <c r="P2868" s="5" t="s">
        <v>238</v>
      </c>
      <c r="Q2868" s="5" t="s">
        <v>268</v>
      </c>
      <c r="R2868" s="5" t="s">
        <v>270</v>
      </c>
      <c r="S2868" s="5" t="s">
        <v>238</v>
      </c>
      <c r="V2868" s="5" t="s">
        <v>238</v>
      </c>
      <c r="X2868" s="6" t="s">
        <v>238</v>
      </c>
      <c r="AA2868" s="6" t="s">
        <v>243</v>
      </c>
      <c r="AB2868" s="5" t="s">
        <v>238</v>
      </c>
      <c r="AC2868" s="5" t="s">
        <v>244</v>
      </c>
      <c r="AD2868" s="5" t="s">
        <v>245</v>
      </c>
      <c r="AT2868" s="5" t="s">
        <v>246</v>
      </c>
      <c r="AU2868" s="5" t="s">
        <v>238</v>
      </c>
      <c r="AV2868" s="5" t="s">
        <v>247</v>
      </c>
      <c r="AW2868" s="5" t="s">
        <v>238</v>
      </c>
      <c r="AX2868" s="5" t="s">
        <v>249</v>
      </c>
      <c r="AY2868" s="5" t="s">
        <v>238</v>
      </c>
      <c r="BA2868" s="5" t="s">
        <v>238</v>
      </c>
      <c r="BC2868" s="5" t="s">
        <v>250</v>
      </c>
      <c r="BD2868" s="6" t="s">
        <v>243</v>
      </c>
      <c r="BE2868" s="5" t="s">
        <v>251</v>
      </c>
      <c r="BF2868" s="5" t="s">
        <v>252</v>
      </c>
      <c r="BG2868" s="5" t="s">
        <v>238</v>
      </c>
      <c r="BH2868" s="7">
        <f>0</f>
        <v>0</v>
      </c>
      <c r="BI2868" s="8">
        <f>0</f>
        <v>0</v>
      </c>
      <c r="BJ2868" s="5" t="s">
        <v>253</v>
      </c>
      <c r="BK2868" s="5" t="s">
        <v>254</v>
      </c>
      <c r="BY2868" s="5" t="s">
        <v>238</v>
      </c>
      <c r="BZ2868" s="5" t="s">
        <v>238</v>
      </c>
      <c r="CD2868" s="5" t="s">
        <v>273</v>
      </c>
      <c r="CE2868" s="5" t="s">
        <v>256</v>
      </c>
      <c r="CF2868" s="5" t="s">
        <v>238</v>
      </c>
      <c r="CI2868" s="6" t="s">
        <v>257</v>
      </c>
      <c r="CJ2868" s="5" t="s">
        <v>238</v>
      </c>
      <c r="CK2868" s="5" t="s">
        <v>258</v>
      </c>
      <c r="CL2868" s="5" t="s">
        <v>238</v>
      </c>
      <c r="CM2868" s="5" t="s">
        <v>238</v>
      </c>
      <c r="CN2868" s="5">
        <v>0</v>
      </c>
      <c r="CO2868" s="5" t="s">
        <v>259</v>
      </c>
      <c r="CP2868" s="5" t="s">
        <v>260</v>
      </c>
      <c r="CQ2868" s="5" t="s">
        <v>260</v>
      </c>
      <c r="CR2868" s="5" t="s">
        <v>261</v>
      </c>
      <c r="CU2868" s="8">
        <f>1</f>
        <v>1</v>
      </c>
      <c r="CV2868" s="8">
        <f>0</f>
        <v>0</v>
      </c>
      <c r="CX2868" s="8">
        <f>0</f>
        <v>0</v>
      </c>
      <c r="CY2868" s="8">
        <f>1</f>
        <v>1</v>
      </c>
      <c r="DA2868" s="5" t="s">
        <v>274</v>
      </c>
      <c r="DB2868" s="5" t="s">
        <v>238</v>
      </c>
      <c r="DD2868" s="5" t="s">
        <v>274</v>
      </c>
      <c r="DE2868" s="8">
        <f>2560</f>
        <v>2560</v>
      </c>
      <c r="DG2868" s="5" t="s">
        <v>238</v>
      </c>
      <c r="DH2868" s="5" t="s">
        <v>238</v>
      </c>
      <c r="DI2868" s="5" t="s">
        <v>238</v>
      </c>
      <c r="DJ2868" s="5" t="s">
        <v>238</v>
      </c>
      <c r="DN2868" s="5" t="s">
        <v>238</v>
      </c>
      <c r="DO2868" s="5" t="s">
        <v>238</v>
      </c>
      <c r="DP2868" s="5" t="s">
        <v>238</v>
      </c>
      <c r="DQ2868" s="5" t="s">
        <v>238</v>
      </c>
      <c r="DT2868" s="5" t="s">
        <v>275</v>
      </c>
      <c r="DU2868" s="5" t="s">
        <v>640</v>
      </c>
      <c r="HM2868" s="5" t="s">
        <v>264</v>
      </c>
    </row>
    <row r="2869" spans="1:221" x14ac:dyDescent="0.4">
      <c r="A2869" s="5">
        <v>4573</v>
      </c>
      <c r="B2869" s="5">
        <v>1</v>
      </c>
      <c r="C2869" s="5">
        <v>1</v>
      </c>
      <c r="D2869" s="5" t="s">
        <v>269</v>
      </c>
      <c r="E2869" s="5" t="s">
        <v>271</v>
      </c>
      <c r="F2869" s="5" t="s">
        <v>248</v>
      </c>
      <c r="G2869" s="5" t="s">
        <v>266</v>
      </c>
      <c r="H2869" s="6" t="s">
        <v>649</v>
      </c>
      <c r="I2869" s="7">
        <f>976</f>
        <v>976</v>
      </c>
      <c r="J2869" s="5" t="s">
        <v>262</v>
      </c>
      <c r="K2869" s="8">
        <f>1</f>
        <v>1</v>
      </c>
      <c r="L2869" s="6" t="s">
        <v>242</v>
      </c>
      <c r="M2869" s="5" t="s">
        <v>267</v>
      </c>
      <c r="N2869" s="5" t="s">
        <v>265</v>
      </c>
      <c r="O2869" s="5" t="s">
        <v>238</v>
      </c>
      <c r="P2869" s="5" t="s">
        <v>238</v>
      </c>
      <c r="Q2869" s="5" t="s">
        <v>268</v>
      </c>
      <c r="R2869" s="5" t="s">
        <v>270</v>
      </c>
      <c r="S2869" s="5" t="s">
        <v>238</v>
      </c>
      <c r="V2869" s="5" t="s">
        <v>238</v>
      </c>
      <c r="X2869" s="6" t="s">
        <v>238</v>
      </c>
      <c r="AA2869" s="6" t="s">
        <v>243</v>
      </c>
      <c r="AB2869" s="5" t="s">
        <v>238</v>
      </c>
      <c r="AC2869" s="5" t="s">
        <v>244</v>
      </c>
      <c r="AD2869" s="5" t="s">
        <v>245</v>
      </c>
      <c r="AT2869" s="5" t="s">
        <v>246</v>
      </c>
      <c r="AU2869" s="5" t="s">
        <v>238</v>
      </c>
      <c r="AV2869" s="5" t="s">
        <v>247</v>
      </c>
      <c r="AW2869" s="5" t="s">
        <v>238</v>
      </c>
      <c r="AX2869" s="5" t="s">
        <v>249</v>
      </c>
      <c r="AY2869" s="5" t="s">
        <v>238</v>
      </c>
      <c r="BA2869" s="5" t="s">
        <v>238</v>
      </c>
      <c r="BC2869" s="5" t="s">
        <v>250</v>
      </c>
      <c r="BD2869" s="6" t="s">
        <v>243</v>
      </c>
      <c r="BE2869" s="5" t="s">
        <v>251</v>
      </c>
      <c r="BF2869" s="5" t="s">
        <v>252</v>
      </c>
      <c r="BG2869" s="5" t="s">
        <v>238</v>
      </c>
      <c r="BH2869" s="7">
        <f>0</f>
        <v>0</v>
      </c>
      <c r="BI2869" s="8">
        <f>0</f>
        <v>0</v>
      </c>
      <c r="BJ2869" s="5" t="s">
        <v>253</v>
      </c>
      <c r="BK2869" s="5" t="s">
        <v>254</v>
      </c>
      <c r="BY2869" s="5" t="s">
        <v>238</v>
      </c>
      <c r="BZ2869" s="5" t="s">
        <v>238</v>
      </c>
      <c r="CD2869" s="5" t="s">
        <v>273</v>
      </c>
      <c r="CE2869" s="5" t="s">
        <v>256</v>
      </c>
      <c r="CF2869" s="5" t="s">
        <v>238</v>
      </c>
      <c r="CI2869" s="6" t="s">
        <v>257</v>
      </c>
      <c r="CJ2869" s="5" t="s">
        <v>238</v>
      </c>
      <c r="CK2869" s="5" t="s">
        <v>258</v>
      </c>
      <c r="CL2869" s="5" t="s">
        <v>238</v>
      </c>
      <c r="CM2869" s="5" t="s">
        <v>238</v>
      </c>
      <c r="CN2869" s="5">
        <v>0</v>
      </c>
      <c r="CO2869" s="5" t="s">
        <v>259</v>
      </c>
      <c r="CP2869" s="5" t="s">
        <v>260</v>
      </c>
      <c r="CQ2869" s="5" t="s">
        <v>260</v>
      </c>
      <c r="CR2869" s="5" t="s">
        <v>261</v>
      </c>
      <c r="CU2869" s="8">
        <f>1</f>
        <v>1</v>
      </c>
      <c r="CV2869" s="8">
        <f>0</f>
        <v>0</v>
      </c>
      <c r="CX2869" s="8">
        <f>0</f>
        <v>0</v>
      </c>
      <c r="CY2869" s="8">
        <f>1</f>
        <v>1</v>
      </c>
      <c r="DA2869" s="5" t="s">
        <v>274</v>
      </c>
      <c r="DB2869" s="5" t="s">
        <v>238</v>
      </c>
      <c r="DD2869" s="5" t="s">
        <v>274</v>
      </c>
      <c r="DE2869" s="8">
        <f>976</f>
        <v>976</v>
      </c>
      <c r="DG2869" s="5" t="s">
        <v>238</v>
      </c>
      <c r="DH2869" s="5" t="s">
        <v>238</v>
      </c>
      <c r="DI2869" s="5" t="s">
        <v>238</v>
      </c>
      <c r="DJ2869" s="5" t="s">
        <v>238</v>
      </c>
      <c r="DN2869" s="5" t="s">
        <v>238</v>
      </c>
      <c r="DO2869" s="5" t="s">
        <v>238</v>
      </c>
      <c r="DP2869" s="5" t="s">
        <v>238</v>
      </c>
      <c r="DQ2869" s="5" t="s">
        <v>238</v>
      </c>
      <c r="DT2869" s="5" t="s">
        <v>275</v>
      </c>
      <c r="DU2869" s="5" t="s">
        <v>650</v>
      </c>
      <c r="HM2869" s="5" t="s">
        <v>264</v>
      </c>
    </row>
    <row r="2870" spans="1:221" x14ac:dyDescent="0.4">
      <c r="A2870" s="5">
        <v>4574</v>
      </c>
      <c r="B2870" s="5">
        <v>1</v>
      </c>
      <c r="C2870" s="5">
        <v>1</v>
      </c>
      <c r="D2870" s="5" t="s">
        <v>269</v>
      </c>
      <c r="E2870" s="5" t="s">
        <v>271</v>
      </c>
      <c r="F2870" s="5" t="s">
        <v>248</v>
      </c>
      <c r="G2870" s="5" t="s">
        <v>266</v>
      </c>
      <c r="H2870" s="6" t="s">
        <v>655</v>
      </c>
      <c r="I2870" s="7">
        <f>1369</f>
        <v>1369</v>
      </c>
      <c r="J2870" s="5" t="s">
        <v>262</v>
      </c>
      <c r="K2870" s="8">
        <f>1</f>
        <v>1</v>
      </c>
      <c r="L2870" s="6" t="s">
        <v>242</v>
      </c>
      <c r="M2870" s="5" t="s">
        <v>267</v>
      </c>
      <c r="N2870" s="5" t="s">
        <v>265</v>
      </c>
      <c r="O2870" s="5" t="s">
        <v>238</v>
      </c>
      <c r="P2870" s="5" t="s">
        <v>238</v>
      </c>
      <c r="Q2870" s="5" t="s">
        <v>268</v>
      </c>
      <c r="R2870" s="5" t="s">
        <v>270</v>
      </c>
      <c r="S2870" s="5" t="s">
        <v>238</v>
      </c>
      <c r="V2870" s="5" t="s">
        <v>238</v>
      </c>
      <c r="X2870" s="6" t="s">
        <v>238</v>
      </c>
      <c r="AA2870" s="6" t="s">
        <v>243</v>
      </c>
      <c r="AB2870" s="5" t="s">
        <v>238</v>
      </c>
      <c r="AC2870" s="5" t="s">
        <v>244</v>
      </c>
      <c r="AD2870" s="5" t="s">
        <v>245</v>
      </c>
      <c r="AT2870" s="5" t="s">
        <v>246</v>
      </c>
      <c r="AU2870" s="5" t="s">
        <v>238</v>
      </c>
      <c r="AV2870" s="5" t="s">
        <v>247</v>
      </c>
      <c r="AW2870" s="5" t="s">
        <v>238</v>
      </c>
      <c r="AX2870" s="5" t="s">
        <v>249</v>
      </c>
      <c r="AY2870" s="5" t="s">
        <v>238</v>
      </c>
      <c r="BA2870" s="5" t="s">
        <v>238</v>
      </c>
      <c r="BC2870" s="5" t="s">
        <v>250</v>
      </c>
      <c r="BD2870" s="6" t="s">
        <v>243</v>
      </c>
      <c r="BE2870" s="5" t="s">
        <v>251</v>
      </c>
      <c r="BF2870" s="5" t="s">
        <v>252</v>
      </c>
      <c r="BG2870" s="5" t="s">
        <v>238</v>
      </c>
      <c r="BH2870" s="7">
        <f>0</f>
        <v>0</v>
      </c>
      <c r="BI2870" s="8">
        <f>0</f>
        <v>0</v>
      </c>
      <c r="BJ2870" s="5" t="s">
        <v>253</v>
      </c>
      <c r="BK2870" s="5" t="s">
        <v>254</v>
      </c>
      <c r="BY2870" s="5" t="s">
        <v>238</v>
      </c>
      <c r="BZ2870" s="5" t="s">
        <v>238</v>
      </c>
      <c r="CD2870" s="5" t="s">
        <v>273</v>
      </c>
      <c r="CE2870" s="5" t="s">
        <v>256</v>
      </c>
      <c r="CF2870" s="5" t="s">
        <v>238</v>
      </c>
      <c r="CI2870" s="6" t="s">
        <v>257</v>
      </c>
      <c r="CJ2870" s="5" t="s">
        <v>238</v>
      </c>
      <c r="CK2870" s="5" t="s">
        <v>258</v>
      </c>
      <c r="CL2870" s="5" t="s">
        <v>238</v>
      </c>
      <c r="CM2870" s="5" t="s">
        <v>238</v>
      </c>
      <c r="CN2870" s="5">
        <v>0</v>
      </c>
      <c r="CO2870" s="5" t="s">
        <v>259</v>
      </c>
      <c r="CP2870" s="5" t="s">
        <v>260</v>
      </c>
      <c r="CQ2870" s="5" t="s">
        <v>260</v>
      </c>
      <c r="CR2870" s="5" t="s">
        <v>261</v>
      </c>
      <c r="CU2870" s="8">
        <f>1</f>
        <v>1</v>
      </c>
      <c r="CV2870" s="8">
        <f>0</f>
        <v>0</v>
      </c>
      <c r="CX2870" s="8">
        <f>0</f>
        <v>0</v>
      </c>
      <c r="CY2870" s="8">
        <f>1</f>
        <v>1</v>
      </c>
      <c r="DA2870" s="5" t="s">
        <v>274</v>
      </c>
      <c r="DB2870" s="5" t="s">
        <v>238</v>
      </c>
      <c r="DD2870" s="5" t="s">
        <v>274</v>
      </c>
      <c r="DE2870" s="8">
        <f>1369</f>
        <v>1369</v>
      </c>
      <c r="DG2870" s="5" t="s">
        <v>238</v>
      </c>
      <c r="DH2870" s="5" t="s">
        <v>238</v>
      </c>
      <c r="DI2870" s="5" t="s">
        <v>238</v>
      </c>
      <c r="DJ2870" s="5" t="s">
        <v>238</v>
      </c>
      <c r="DN2870" s="5" t="s">
        <v>238</v>
      </c>
      <c r="DO2870" s="5" t="s">
        <v>238</v>
      </c>
      <c r="DP2870" s="5" t="s">
        <v>238</v>
      </c>
      <c r="DQ2870" s="5" t="s">
        <v>238</v>
      </c>
      <c r="DT2870" s="5" t="s">
        <v>275</v>
      </c>
      <c r="DU2870" s="5" t="s">
        <v>656</v>
      </c>
      <c r="HM2870" s="5" t="s">
        <v>264</v>
      </c>
    </row>
    <row r="2871" spans="1:221" x14ac:dyDescent="0.4">
      <c r="A2871" s="5">
        <v>4575</v>
      </c>
      <c r="B2871" s="5">
        <v>1</v>
      </c>
      <c r="C2871" s="5">
        <v>1</v>
      </c>
      <c r="D2871" s="5" t="s">
        <v>269</v>
      </c>
      <c r="E2871" s="5" t="s">
        <v>271</v>
      </c>
      <c r="F2871" s="5" t="s">
        <v>248</v>
      </c>
      <c r="G2871" s="5" t="s">
        <v>266</v>
      </c>
      <c r="H2871" s="6" t="s">
        <v>661</v>
      </c>
      <c r="I2871" s="7">
        <f>1394</f>
        <v>1394</v>
      </c>
      <c r="J2871" s="5" t="s">
        <v>262</v>
      </c>
      <c r="K2871" s="8">
        <f>1</f>
        <v>1</v>
      </c>
      <c r="L2871" s="6" t="s">
        <v>242</v>
      </c>
      <c r="M2871" s="5" t="s">
        <v>267</v>
      </c>
      <c r="N2871" s="5" t="s">
        <v>265</v>
      </c>
      <c r="O2871" s="5" t="s">
        <v>238</v>
      </c>
      <c r="P2871" s="5" t="s">
        <v>238</v>
      </c>
      <c r="Q2871" s="5" t="s">
        <v>268</v>
      </c>
      <c r="R2871" s="5" t="s">
        <v>270</v>
      </c>
      <c r="S2871" s="5" t="s">
        <v>238</v>
      </c>
      <c r="V2871" s="5" t="s">
        <v>238</v>
      </c>
      <c r="X2871" s="6" t="s">
        <v>238</v>
      </c>
      <c r="AA2871" s="6" t="s">
        <v>243</v>
      </c>
      <c r="AB2871" s="5" t="s">
        <v>238</v>
      </c>
      <c r="AC2871" s="5" t="s">
        <v>244</v>
      </c>
      <c r="AD2871" s="5" t="s">
        <v>245</v>
      </c>
      <c r="AT2871" s="5" t="s">
        <v>246</v>
      </c>
      <c r="AU2871" s="5" t="s">
        <v>238</v>
      </c>
      <c r="AV2871" s="5" t="s">
        <v>247</v>
      </c>
      <c r="AW2871" s="5" t="s">
        <v>238</v>
      </c>
      <c r="AX2871" s="5" t="s">
        <v>249</v>
      </c>
      <c r="AY2871" s="5" t="s">
        <v>238</v>
      </c>
      <c r="BA2871" s="5" t="s">
        <v>238</v>
      </c>
      <c r="BC2871" s="5" t="s">
        <v>250</v>
      </c>
      <c r="BD2871" s="6" t="s">
        <v>243</v>
      </c>
      <c r="BE2871" s="5" t="s">
        <v>251</v>
      </c>
      <c r="BF2871" s="5" t="s">
        <v>252</v>
      </c>
      <c r="BG2871" s="5" t="s">
        <v>238</v>
      </c>
      <c r="BH2871" s="7">
        <f>0</f>
        <v>0</v>
      </c>
      <c r="BI2871" s="8">
        <f>0</f>
        <v>0</v>
      </c>
      <c r="BJ2871" s="5" t="s">
        <v>253</v>
      </c>
      <c r="BK2871" s="5" t="s">
        <v>254</v>
      </c>
      <c r="BY2871" s="5" t="s">
        <v>238</v>
      </c>
      <c r="BZ2871" s="5" t="s">
        <v>238</v>
      </c>
      <c r="CD2871" s="5" t="s">
        <v>273</v>
      </c>
      <c r="CE2871" s="5" t="s">
        <v>256</v>
      </c>
      <c r="CF2871" s="5" t="s">
        <v>238</v>
      </c>
      <c r="CI2871" s="6" t="s">
        <v>257</v>
      </c>
      <c r="CJ2871" s="5" t="s">
        <v>238</v>
      </c>
      <c r="CK2871" s="5" t="s">
        <v>258</v>
      </c>
      <c r="CL2871" s="5" t="s">
        <v>238</v>
      </c>
      <c r="CM2871" s="5" t="s">
        <v>238</v>
      </c>
      <c r="CN2871" s="5">
        <v>0</v>
      </c>
      <c r="CO2871" s="5" t="s">
        <v>259</v>
      </c>
      <c r="CP2871" s="5" t="s">
        <v>260</v>
      </c>
      <c r="CQ2871" s="5" t="s">
        <v>260</v>
      </c>
      <c r="CR2871" s="5" t="s">
        <v>261</v>
      </c>
      <c r="CU2871" s="8">
        <f>1</f>
        <v>1</v>
      </c>
      <c r="CV2871" s="8">
        <f>0</f>
        <v>0</v>
      </c>
      <c r="CX2871" s="8">
        <f>0</f>
        <v>0</v>
      </c>
      <c r="CY2871" s="8">
        <f>1</f>
        <v>1</v>
      </c>
      <c r="DA2871" s="5" t="s">
        <v>274</v>
      </c>
      <c r="DB2871" s="5" t="s">
        <v>238</v>
      </c>
      <c r="DD2871" s="5" t="s">
        <v>274</v>
      </c>
      <c r="DE2871" s="8">
        <f>1394</f>
        <v>1394</v>
      </c>
      <c r="DG2871" s="5" t="s">
        <v>238</v>
      </c>
      <c r="DH2871" s="5" t="s">
        <v>238</v>
      </c>
      <c r="DI2871" s="5" t="s">
        <v>238</v>
      </c>
      <c r="DJ2871" s="5" t="s">
        <v>238</v>
      </c>
      <c r="DN2871" s="5" t="s">
        <v>238</v>
      </c>
      <c r="DO2871" s="5" t="s">
        <v>238</v>
      </c>
      <c r="DP2871" s="5" t="s">
        <v>238</v>
      </c>
      <c r="DQ2871" s="5" t="s">
        <v>238</v>
      </c>
      <c r="DT2871" s="5" t="s">
        <v>275</v>
      </c>
      <c r="DU2871" s="5" t="s">
        <v>662</v>
      </c>
      <c r="HM2871" s="5" t="s">
        <v>264</v>
      </c>
    </row>
    <row r="2872" spans="1:221" x14ac:dyDescent="0.4">
      <c r="A2872" s="5">
        <v>4576</v>
      </c>
      <c r="B2872" s="5">
        <v>1</v>
      </c>
      <c r="C2872" s="5">
        <v>1</v>
      </c>
      <c r="D2872" s="5" t="s">
        <v>269</v>
      </c>
      <c r="E2872" s="5" t="s">
        <v>271</v>
      </c>
      <c r="F2872" s="5" t="s">
        <v>248</v>
      </c>
      <c r="G2872" s="5" t="s">
        <v>266</v>
      </c>
      <c r="H2872" s="6" t="s">
        <v>667</v>
      </c>
      <c r="I2872" s="7">
        <f>2252</f>
        <v>2252</v>
      </c>
      <c r="J2872" s="5" t="s">
        <v>262</v>
      </c>
      <c r="K2872" s="8">
        <f>1</f>
        <v>1</v>
      </c>
      <c r="L2872" s="6" t="s">
        <v>242</v>
      </c>
      <c r="M2872" s="5" t="s">
        <v>267</v>
      </c>
      <c r="N2872" s="5" t="s">
        <v>265</v>
      </c>
      <c r="O2872" s="5" t="s">
        <v>238</v>
      </c>
      <c r="P2872" s="5" t="s">
        <v>238</v>
      </c>
      <c r="Q2872" s="5" t="s">
        <v>268</v>
      </c>
      <c r="R2872" s="5" t="s">
        <v>270</v>
      </c>
      <c r="S2872" s="5" t="s">
        <v>238</v>
      </c>
      <c r="V2872" s="5" t="s">
        <v>238</v>
      </c>
      <c r="X2872" s="6" t="s">
        <v>238</v>
      </c>
      <c r="AA2872" s="6" t="s">
        <v>243</v>
      </c>
      <c r="AB2872" s="5" t="s">
        <v>238</v>
      </c>
      <c r="AC2872" s="5" t="s">
        <v>244</v>
      </c>
      <c r="AD2872" s="5" t="s">
        <v>245</v>
      </c>
      <c r="AT2872" s="5" t="s">
        <v>246</v>
      </c>
      <c r="AU2872" s="5" t="s">
        <v>238</v>
      </c>
      <c r="AV2872" s="5" t="s">
        <v>247</v>
      </c>
      <c r="AW2872" s="5" t="s">
        <v>238</v>
      </c>
      <c r="AX2872" s="5" t="s">
        <v>249</v>
      </c>
      <c r="AY2872" s="5" t="s">
        <v>238</v>
      </c>
      <c r="BA2872" s="5" t="s">
        <v>238</v>
      </c>
      <c r="BC2872" s="5" t="s">
        <v>250</v>
      </c>
      <c r="BD2872" s="6" t="s">
        <v>243</v>
      </c>
      <c r="BE2872" s="5" t="s">
        <v>251</v>
      </c>
      <c r="BF2872" s="5" t="s">
        <v>252</v>
      </c>
      <c r="BG2872" s="5" t="s">
        <v>238</v>
      </c>
      <c r="BH2872" s="7">
        <f>0</f>
        <v>0</v>
      </c>
      <c r="BI2872" s="8">
        <f>0</f>
        <v>0</v>
      </c>
      <c r="BJ2872" s="5" t="s">
        <v>253</v>
      </c>
      <c r="BK2872" s="5" t="s">
        <v>254</v>
      </c>
      <c r="BY2872" s="5" t="s">
        <v>238</v>
      </c>
      <c r="BZ2872" s="5" t="s">
        <v>238</v>
      </c>
      <c r="CD2872" s="5" t="s">
        <v>273</v>
      </c>
      <c r="CE2872" s="5" t="s">
        <v>256</v>
      </c>
      <c r="CF2872" s="5" t="s">
        <v>238</v>
      </c>
      <c r="CI2872" s="6" t="s">
        <v>257</v>
      </c>
      <c r="CJ2872" s="5" t="s">
        <v>238</v>
      </c>
      <c r="CK2872" s="5" t="s">
        <v>258</v>
      </c>
      <c r="CL2872" s="5" t="s">
        <v>238</v>
      </c>
      <c r="CM2872" s="5" t="s">
        <v>238</v>
      </c>
      <c r="CN2872" s="5">
        <v>0</v>
      </c>
      <c r="CO2872" s="5" t="s">
        <v>259</v>
      </c>
      <c r="CP2872" s="5" t="s">
        <v>260</v>
      </c>
      <c r="CQ2872" s="5" t="s">
        <v>260</v>
      </c>
      <c r="CR2872" s="5" t="s">
        <v>261</v>
      </c>
      <c r="CU2872" s="8">
        <f>1</f>
        <v>1</v>
      </c>
      <c r="CV2872" s="8">
        <f>0</f>
        <v>0</v>
      </c>
      <c r="CX2872" s="8">
        <f>0</f>
        <v>0</v>
      </c>
      <c r="CY2872" s="8">
        <f>1</f>
        <v>1</v>
      </c>
      <c r="DA2872" s="5" t="s">
        <v>274</v>
      </c>
      <c r="DB2872" s="5" t="s">
        <v>238</v>
      </c>
      <c r="DD2872" s="5" t="s">
        <v>274</v>
      </c>
      <c r="DE2872" s="8">
        <f>2252</f>
        <v>2252</v>
      </c>
      <c r="DG2872" s="5" t="s">
        <v>238</v>
      </c>
      <c r="DH2872" s="5" t="s">
        <v>238</v>
      </c>
      <c r="DI2872" s="5" t="s">
        <v>238</v>
      </c>
      <c r="DJ2872" s="5" t="s">
        <v>238</v>
      </c>
      <c r="DN2872" s="5" t="s">
        <v>238</v>
      </c>
      <c r="DO2872" s="5" t="s">
        <v>238</v>
      </c>
      <c r="DP2872" s="5" t="s">
        <v>238</v>
      </c>
      <c r="DQ2872" s="5" t="s">
        <v>238</v>
      </c>
      <c r="DT2872" s="5" t="s">
        <v>275</v>
      </c>
      <c r="DU2872" s="5" t="s">
        <v>668</v>
      </c>
      <c r="HM2872" s="5" t="s">
        <v>264</v>
      </c>
    </row>
    <row r="2873" spans="1:221" x14ac:dyDescent="0.4">
      <c r="A2873" s="5">
        <v>4577</v>
      </c>
      <c r="B2873" s="5">
        <v>1</v>
      </c>
      <c r="C2873" s="5">
        <v>1</v>
      </c>
      <c r="D2873" s="5" t="s">
        <v>269</v>
      </c>
      <c r="E2873" s="5" t="s">
        <v>271</v>
      </c>
      <c r="F2873" s="5" t="s">
        <v>248</v>
      </c>
      <c r="G2873" s="5" t="s">
        <v>266</v>
      </c>
      <c r="H2873" s="6" t="s">
        <v>5522</v>
      </c>
      <c r="I2873" s="7">
        <f>1827</f>
        <v>1827</v>
      </c>
      <c r="J2873" s="5" t="s">
        <v>262</v>
      </c>
      <c r="K2873" s="8">
        <f>1</f>
        <v>1</v>
      </c>
      <c r="L2873" s="6" t="s">
        <v>242</v>
      </c>
      <c r="M2873" s="5" t="s">
        <v>267</v>
      </c>
      <c r="N2873" s="5" t="s">
        <v>265</v>
      </c>
      <c r="O2873" s="5" t="s">
        <v>238</v>
      </c>
      <c r="P2873" s="5" t="s">
        <v>238</v>
      </c>
      <c r="Q2873" s="5" t="s">
        <v>268</v>
      </c>
      <c r="R2873" s="5" t="s">
        <v>270</v>
      </c>
      <c r="S2873" s="5" t="s">
        <v>238</v>
      </c>
      <c r="V2873" s="5" t="s">
        <v>238</v>
      </c>
      <c r="X2873" s="6" t="s">
        <v>238</v>
      </c>
      <c r="AA2873" s="6" t="s">
        <v>243</v>
      </c>
      <c r="AB2873" s="5" t="s">
        <v>238</v>
      </c>
      <c r="AC2873" s="5" t="s">
        <v>244</v>
      </c>
      <c r="AD2873" s="5" t="s">
        <v>245</v>
      </c>
      <c r="AT2873" s="5" t="s">
        <v>246</v>
      </c>
      <c r="AU2873" s="5" t="s">
        <v>238</v>
      </c>
      <c r="AV2873" s="5" t="s">
        <v>247</v>
      </c>
      <c r="AW2873" s="5" t="s">
        <v>238</v>
      </c>
      <c r="AX2873" s="5" t="s">
        <v>249</v>
      </c>
      <c r="AY2873" s="5" t="s">
        <v>238</v>
      </c>
      <c r="BA2873" s="5" t="s">
        <v>238</v>
      </c>
      <c r="BC2873" s="5" t="s">
        <v>250</v>
      </c>
      <c r="BD2873" s="6" t="s">
        <v>243</v>
      </c>
      <c r="BE2873" s="5" t="s">
        <v>251</v>
      </c>
      <c r="BF2873" s="5" t="s">
        <v>252</v>
      </c>
      <c r="BG2873" s="5" t="s">
        <v>238</v>
      </c>
      <c r="BH2873" s="7">
        <f>0</f>
        <v>0</v>
      </c>
      <c r="BI2873" s="8">
        <f>0</f>
        <v>0</v>
      </c>
      <c r="BJ2873" s="5" t="s">
        <v>253</v>
      </c>
      <c r="BK2873" s="5" t="s">
        <v>254</v>
      </c>
      <c r="BY2873" s="5" t="s">
        <v>238</v>
      </c>
      <c r="BZ2873" s="5" t="s">
        <v>238</v>
      </c>
      <c r="CD2873" s="5" t="s">
        <v>273</v>
      </c>
      <c r="CE2873" s="5" t="s">
        <v>256</v>
      </c>
      <c r="CF2873" s="5" t="s">
        <v>238</v>
      </c>
      <c r="CI2873" s="6" t="s">
        <v>257</v>
      </c>
      <c r="CJ2873" s="5" t="s">
        <v>238</v>
      </c>
      <c r="CK2873" s="5" t="s">
        <v>258</v>
      </c>
      <c r="CL2873" s="5" t="s">
        <v>238</v>
      </c>
      <c r="CM2873" s="5" t="s">
        <v>238</v>
      </c>
      <c r="CN2873" s="5">
        <v>0</v>
      </c>
      <c r="CO2873" s="5" t="s">
        <v>259</v>
      </c>
      <c r="CP2873" s="5" t="s">
        <v>260</v>
      </c>
      <c r="CQ2873" s="5" t="s">
        <v>260</v>
      </c>
      <c r="CR2873" s="5" t="s">
        <v>261</v>
      </c>
      <c r="CU2873" s="8">
        <f>1</f>
        <v>1</v>
      </c>
      <c r="CV2873" s="8">
        <f>0</f>
        <v>0</v>
      </c>
      <c r="CX2873" s="8">
        <f>0</f>
        <v>0</v>
      </c>
      <c r="CY2873" s="8">
        <f>1</f>
        <v>1</v>
      </c>
      <c r="DA2873" s="5" t="s">
        <v>274</v>
      </c>
      <c r="DB2873" s="5" t="s">
        <v>238</v>
      </c>
      <c r="DD2873" s="5" t="s">
        <v>274</v>
      </c>
      <c r="DE2873" s="8">
        <f>1827</f>
        <v>1827</v>
      </c>
      <c r="DG2873" s="5" t="s">
        <v>238</v>
      </c>
      <c r="DH2873" s="5" t="s">
        <v>238</v>
      </c>
      <c r="DI2873" s="5" t="s">
        <v>238</v>
      </c>
      <c r="DJ2873" s="5" t="s">
        <v>238</v>
      </c>
      <c r="DN2873" s="5" t="s">
        <v>238</v>
      </c>
      <c r="DO2873" s="5" t="s">
        <v>238</v>
      </c>
      <c r="DP2873" s="5" t="s">
        <v>238</v>
      </c>
      <c r="DQ2873" s="5" t="s">
        <v>238</v>
      </c>
      <c r="DT2873" s="5" t="s">
        <v>275</v>
      </c>
      <c r="DU2873" s="5" t="s">
        <v>3571</v>
      </c>
      <c r="HM2873" s="5" t="s">
        <v>264</v>
      </c>
    </row>
    <row r="2874" spans="1:221" x14ac:dyDescent="0.4">
      <c r="A2874" s="5">
        <v>4578</v>
      </c>
      <c r="B2874" s="5">
        <v>1</v>
      </c>
      <c r="C2874" s="5">
        <v>1</v>
      </c>
      <c r="D2874" s="5" t="s">
        <v>269</v>
      </c>
      <c r="E2874" s="5" t="s">
        <v>271</v>
      </c>
      <c r="F2874" s="5" t="s">
        <v>248</v>
      </c>
      <c r="G2874" s="5" t="s">
        <v>266</v>
      </c>
      <c r="H2874" s="6" t="s">
        <v>678</v>
      </c>
      <c r="I2874" s="7">
        <f>2738</f>
        <v>2738</v>
      </c>
      <c r="J2874" s="5" t="s">
        <v>262</v>
      </c>
      <c r="K2874" s="8">
        <f>1</f>
        <v>1</v>
      </c>
      <c r="L2874" s="6" t="s">
        <v>242</v>
      </c>
      <c r="M2874" s="5" t="s">
        <v>267</v>
      </c>
      <c r="N2874" s="5" t="s">
        <v>265</v>
      </c>
      <c r="O2874" s="5" t="s">
        <v>238</v>
      </c>
      <c r="P2874" s="5" t="s">
        <v>238</v>
      </c>
      <c r="Q2874" s="5" t="s">
        <v>268</v>
      </c>
      <c r="R2874" s="5" t="s">
        <v>270</v>
      </c>
      <c r="S2874" s="5" t="s">
        <v>238</v>
      </c>
      <c r="V2874" s="5" t="s">
        <v>238</v>
      </c>
      <c r="X2874" s="6" t="s">
        <v>238</v>
      </c>
      <c r="AA2874" s="6" t="s">
        <v>243</v>
      </c>
      <c r="AB2874" s="5" t="s">
        <v>238</v>
      </c>
      <c r="AC2874" s="5" t="s">
        <v>244</v>
      </c>
      <c r="AD2874" s="5" t="s">
        <v>245</v>
      </c>
      <c r="AT2874" s="5" t="s">
        <v>246</v>
      </c>
      <c r="AU2874" s="5" t="s">
        <v>238</v>
      </c>
      <c r="AV2874" s="5" t="s">
        <v>247</v>
      </c>
      <c r="AW2874" s="5" t="s">
        <v>238</v>
      </c>
      <c r="AX2874" s="5" t="s">
        <v>249</v>
      </c>
      <c r="AY2874" s="5" t="s">
        <v>238</v>
      </c>
      <c r="BA2874" s="5" t="s">
        <v>238</v>
      </c>
      <c r="BC2874" s="5" t="s">
        <v>250</v>
      </c>
      <c r="BD2874" s="6" t="s">
        <v>243</v>
      </c>
      <c r="BE2874" s="5" t="s">
        <v>251</v>
      </c>
      <c r="BF2874" s="5" t="s">
        <v>252</v>
      </c>
      <c r="BG2874" s="5" t="s">
        <v>238</v>
      </c>
      <c r="BH2874" s="7">
        <f>0</f>
        <v>0</v>
      </c>
      <c r="BI2874" s="8">
        <f>0</f>
        <v>0</v>
      </c>
      <c r="BJ2874" s="5" t="s">
        <v>253</v>
      </c>
      <c r="BK2874" s="5" t="s">
        <v>254</v>
      </c>
      <c r="BY2874" s="5" t="s">
        <v>238</v>
      </c>
      <c r="BZ2874" s="5" t="s">
        <v>238</v>
      </c>
      <c r="CD2874" s="5" t="s">
        <v>273</v>
      </c>
      <c r="CE2874" s="5" t="s">
        <v>256</v>
      </c>
      <c r="CF2874" s="5" t="s">
        <v>238</v>
      </c>
      <c r="CI2874" s="6" t="s">
        <v>257</v>
      </c>
      <c r="CJ2874" s="5" t="s">
        <v>238</v>
      </c>
      <c r="CK2874" s="5" t="s">
        <v>258</v>
      </c>
      <c r="CL2874" s="5" t="s">
        <v>238</v>
      </c>
      <c r="CM2874" s="5" t="s">
        <v>238</v>
      </c>
      <c r="CN2874" s="5">
        <v>0</v>
      </c>
      <c r="CO2874" s="5" t="s">
        <v>259</v>
      </c>
      <c r="CP2874" s="5" t="s">
        <v>260</v>
      </c>
      <c r="CQ2874" s="5" t="s">
        <v>260</v>
      </c>
      <c r="CR2874" s="5" t="s">
        <v>261</v>
      </c>
      <c r="CU2874" s="8">
        <f>1</f>
        <v>1</v>
      </c>
      <c r="CV2874" s="8">
        <f>0</f>
        <v>0</v>
      </c>
      <c r="CX2874" s="8">
        <f>0</f>
        <v>0</v>
      </c>
      <c r="CY2874" s="8">
        <f>1</f>
        <v>1</v>
      </c>
      <c r="DA2874" s="5" t="s">
        <v>274</v>
      </c>
      <c r="DB2874" s="5" t="s">
        <v>238</v>
      </c>
      <c r="DD2874" s="5" t="s">
        <v>274</v>
      </c>
      <c r="DE2874" s="8">
        <f>2738</f>
        <v>2738</v>
      </c>
      <c r="DG2874" s="5" t="s">
        <v>238</v>
      </c>
      <c r="DH2874" s="5" t="s">
        <v>238</v>
      </c>
      <c r="DI2874" s="5" t="s">
        <v>238</v>
      </c>
      <c r="DJ2874" s="5" t="s">
        <v>238</v>
      </c>
      <c r="DN2874" s="5" t="s">
        <v>238</v>
      </c>
      <c r="DO2874" s="5" t="s">
        <v>238</v>
      </c>
      <c r="DP2874" s="5" t="s">
        <v>238</v>
      </c>
      <c r="DQ2874" s="5" t="s">
        <v>238</v>
      </c>
      <c r="DT2874" s="5" t="s">
        <v>275</v>
      </c>
      <c r="DU2874" s="5" t="s">
        <v>679</v>
      </c>
      <c r="HM2874" s="5" t="s">
        <v>264</v>
      </c>
    </row>
    <row r="2875" spans="1:221" x14ac:dyDescent="0.4">
      <c r="A2875" s="5">
        <v>4579</v>
      </c>
      <c r="B2875" s="5">
        <v>1</v>
      </c>
      <c r="C2875" s="5">
        <v>1</v>
      </c>
      <c r="D2875" s="5" t="s">
        <v>269</v>
      </c>
      <c r="E2875" s="5" t="s">
        <v>271</v>
      </c>
      <c r="F2875" s="5" t="s">
        <v>248</v>
      </c>
      <c r="G2875" s="5" t="s">
        <v>266</v>
      </c>
      <c r="H2875" s="6" t="s">
        <v>686</v>
      </c>
      <c r="I2875" s="7">
        <f>3020</f>
        <v>3020</v>
      </c>
      <c r="J2875" s="5" t="s">
        <v>262</v>
      </c>
      <c r="K2875" s="8">
        <f>1</f>
        <v>1</v>
      </c>
      <c r="L2875" s="6" t="s">
        <v>242</v>
      </c>
      <c r="M2875" s="5" t="s">
        <v>267</v>
      </c>
      <c r="N2875" s="5" t="s">
        <v>265</v>
      </c>
      <c r="O2875" s="5" t="s">
        <v>238</v>
      </c>
      <c r="P2875" s="5" t="s">
        <v>238</v>
      </c>
      <c r="Q2875" s="5" t="s">
        <v>268</v>
      </c>
      <c r="R2875" s="5" t="s">
        <v>270</v>
      </c>
      <c r="S2875" s="5" t="s">
        <v>238</v>
      </c>
      <c r="V2875" s="5" t="s">
        <v>238</v>
      </c>
      <c r="X2875" s="6" t="s">
        <v>238</v>
      </c>
      <c r="AA2875" s="6" t="s">
        <v>243</v>
      </c>
      <c r="AB2875" s="5" t="s">
        <v>238</v>
      </c>
      <c r="AC2875" s="5" t="s">
        <v>244</v>
      </c>
      <c r="AD2875" s="5" t="s">
        <v>245</v>
      </c>
      <c r="AT2875" s="5" t="s">
        <v>246</v>
      </c>
      <c r="AU2875" s="5" t="s">
        <v>238</v>
      </c>
      <c r="AV2875" s="5" t="s">
        <v>247</v>
      </c>
      <c r="AW2875" s="5" t="s">
        <v>238</v>
      </c>
      <c r="AX2875" s="5" t="s">
        <v>249</v>
      </c>
      <c r="AY2875" s="5" t="s">
        <v>238</v>
      </c>
      <c r="BA2875" s="5" t="s">
        <v>238</v>
      </c>
      <c r="BC2875" s="5" t="s">
        <v>250</v>
      </c>
      <c r="BD2875" s="6" t="s">
        <v>243</v>
      </c>
      <c r="BE2875" s="5" t="s">
        <v>251</v>
      </c>
      <c r="BF2875" s="5" t="s">
        <v>252</v>
      </c>
      <c r="BG2875" s="5" t="s">
        <v>238</v>
      </c>
      <c r="BH2875" s="7">
        <f>0</f>
        <v>0</v>
      </c>
      <c r="BI2875" s="8">
        <f>0</f>
        <v>0</v>
      </c>
      <c r="BJ2875" s="5" t="s">
        <v>253</v>
      </c>
      <c r="BK2875" s="5" t="s">
        <v>254</v>
      </c>
      <c r="BY2875" s="5" t="s">
        <v>238</v>
      </c>
      <c r="BZ2875" s="5" t="s">
        <v>238</v>
      </c>
      <c r="CD2875" s="5" t="s">
        <v>273</v>
      </c>
      <c r="CE2875" s="5" t="s">
        <v>256</v>
      </c>
      <c r="CF2875" s="5" t="s">
        <v>238</v>
      </c>
      <c r="CI2875" s="6" t="s">
        <v>257</v>
      </c>
      <c r="CJ2875" s="5" t="s">
        <v>238</v>
      </c>
      <c r="CK2875" s="5" t="s">
        <v>258</v>
      </c>
      <c r="CL2875" s="5" t="s">
        <v>238</v>
      </c>
      <c r="CM2875" s="5" t="s">
        <v>238</v>
      </c>
      <c r="CN2875" s="5">
        <v>0</v>
      </c>
      <c r="CO2875" s="5" t="s">
        <v>259</v>
      </c>
      <c r="CP2875" s="5" t="s">
        <v>260</v>
      </c>
      <c r="CQ2875" s="5" t="s">
        <v>260</v>
      </c>
      <c r="CR2875" s="5" t="s">
        <v>261</v>
      </c>
      <c r="CU2875" s="8">
        <f>1</f>
        <v>1</v>
      </c>
      <c r="CV2875" s="8">
        <f>0</f>
        <v>0</v>
      </c>
      <c r="CX2875" s="8">
        <f>0</f>
        <v>0</v>
      </c>
      <c r="CY2875" s="8">
        <f>1</f>
        <v>1</v>
      </c>
      <c r="DA2875" s="5" t="s">
        <v>274</v>
      </c>
      <c r="DB2875" s="5" t="s">
        <v>238</v>
      </c>
      <c r="DD2875" s="5" t="s">
        <v>274</v>
      </c>
      <c r="DE2875" s="8">
        <f>3020</f>
        <v>3020</v>
      </c>
      <c r="DG2875" s="5" t="s">
        <v>238</v>
      </c>
      <c r="DH2875" s="5" t="s">
        <v>238</v>
      </c>
      <c r="DI2875" s="5" t="s">
        <v>238</v>
      </c>
      <c r="DJ2875" s="5" t="s">
        <v>238</v>
      </c>
      <c r="DN2875" s="5" t="s">
        <v>238</v>
      </c>
      <c r="DO2875" s="5" t="s">
        <v>238</v>
      </c>
      <c r="DP2875" s="5" t="s">
        <v>238</v>
      </c>
      <c r="DQ2875" s="5" t="s">
        <v>238</v>
      </c>
      <c r="DT2875" s="5" t="s">
        <v>275</v>
      </c>
      <c r="DU2875" s="5" t="s">
        <v>687</v>
      </c>
      <c r="HM2875" s="5" t="s">
        <v>264</v>
      </c>
    </row>
    <row r="2876" spans="1:221" x14ac:dyDescent="0.4">
      <c r="A2876" s="5">
        <v>4580</v>
      </c>
      <c r="B2876" s="5">
        <v>1</v>
      </c>
      <c r="C2876" s="5">
        <v>1</v>
      </c>
      <c r="D2876" s="5" t="s">
        <v>269</v>
      </c>
      <c r="E2876" s="5" t="s">
        <v>271</v>
      </c>
      <c r="F2876" s="5" t="s">
        <v>248</v>
      </c>
      <c r="G2876" s="5" t="s">
        <v>266</v>
      </c>
      <c r="H2876" s="6" t="s">
        <v>694</v>
      </c>
      <c r="I2876" s="7">
        <f>3085</f>
        <v>3085</v>
      </c>
      <c r="J2876" s="5" t="s">
        <v>262</v>
      </c>
      <c r="K2876" s="8">
        <f>1</f>
        <v>1</v>
      </c>
      <c r="L2876" s="6" t="s">
        <v>242</v>
      </c>
      <c r="M2876" s="5" t="s">
        <v>267</v>
      </c>
      <c r="N2876" s="5" t="s">
        <v>265</v>
      </c>
      <c r="O2876" s="5" t="s">
        <v>238</v>
      </c>
      <c r="P2876" s="5" t="s">
        <v>238</v>
      </c>
      <c r="Q2876" s="5" t="s">
        <v>268</v>
      </c>
      <c r="R2876" s="5" t="s">
        <v>270</v>
      </c>
      <c r="S2876" s="5" t="s">
        <v>238</v>
      </c>
      <c r="V2876" s="5" t="s">
        <v>238</v>
      </c>
      <c r="X2876" s="6" t="s">
        <v>238</v>
      </c>
      <c r="AA2876" s="6" t="s">
        <v>243</v>
      </c>
      <c r="AB2876" s="5" t="s">
        <v>238</v>
      </c>
      <c r="AC2876" s="5" t="s">
        <v>244</v>
      </c>
      <c r="AD2876" s="5" t="s">
        <v>245</v>
      </c>
      <c r="AT2876" s="5" t="s">
        <v>246</v>
      </c>
      <c r="AU2876" s="5" t="s">
        <v>238</v>
      </c>
      <c r="AV2876" s="5" t="s">
        <v>247</v>
      </c>
      <c r="AW2876" s="5" t="s">
        <v>238</v>
      </c>
      <c r="AX2876" s="5" t="s">
        <v>249</v>
      </c>
      <c r="AY2876" s="5" t="s">
        <v>238</v>
      </c>
      <c r="BA2876" s="5" t="s">
        <v>238</v>
      </c>
      <c r="BC2876" s="5" t="s">
        <v>250</v>
      </c>
      <c r="BD2876" s="6" t="s">
        <v>243</v>
      </c>
      <c r="BE2876" s="5" t="s">
        <v>251</v>
      </c>
      <c r="BF2876" s="5" t="s">
        <v>252</v>
      </c>
      <c r="BG2876" s="5" t="s">
        <v>238</v>
      </c>
      <c r="BH2876" s="7">
        <f>0</f>
        <v>0</v>
      </c>
      <c r="BI2876" s="8">
        <f>0</f>
        <v>0</v>
      </c>
      <c r="BJ2876" s="5" t="s">
        <v>253</v>
      </c>
      <c r="BK2876" s="5" t="s">
        <v>254</v>
      </c>
      <c r="BY2876" s="5" t="s">
        <v>238</v>
      </c>
      <c r="BZ2876" s="5" t="s">
        <v>238</v>
      </c>
      <c r="CD2876" s="5" t="s">
        <v>273</v>
      </c>
      <c r="CE2876" s="5" t="s">
        <v>256</v>
      </c>
      <c r="CF2876" s="5" t="s">
        <v>238</v>
      </c>
      <c r="CI2876" s="6" t="s">
        <v>257</v>
      </c>
      <c r="CJ2876" s="5" t="s">
        <v>238</v>
      </c>
      <c r="CK2876" s="5" t="s">
        <v>258</v>
      </c>
      <c r="CL2876" s="5" t="s">
        <v>238</v>
      </c>
      <c r="CM2876" s="5" t="s">
        <v>238</v>
      </c>
      <c r="CN2876" s="5">
        <v>0</v>
      </c>
      <c r="CO2876" s="5" t="s">
        <v>259</v>
      </c>
      <c r="CP2876" s="5" t="s">
        <v>260</v>
      </c>
      <c r="CQ2876" s="5" t="s">
        <v>260</v>
      </c>
      <c r="CR2876" s="5" t="s">
        <v>261</v>
      </c>
      <c r="CU2876" s="8">
        <f>1</f>
        <v>1</v>
      </c>
      <c r="CV2876" s="8">
        <f>0</f>
        <v>0</v>
      </c>
      <c r="CX2876" s="8">
        <f>0</f>
        <v>0</v>
      </c>
      <c r="CY2876" s="8">
        <f>1</f>
        <v>1</v>
      </c>
      <c r="DA2876" s="5" t="s">
        <v>274</v>
      </c>
      <c r="DB2876" s="5" t="s">
        <v>238</v>
      </c>
      <c r="DD2876" s="5" t="s">
        <v>274</v>
      </c>
      <c r="DE2876" s="8">
        <f>3085</f>
        <v>3085</v>
      </c>
      <c r="DG2876" s="5" t="s">
        <v>238</v>
      </c>
      <c r="DH2876" s="5" t="s">
        <v>238</v>
      </c>
      <c r="DI2876" s="5" t="s">
        <v>238</v>
      </c>
      <c r="DJ2876" s="5" t="s">
        <v>238</v>
      </c>
      <c r="DN2876" s="5" t="s">
        <v>238</v>
      </c>
      <c r="DO2876" s="5" t="s">
        <v>238</v>
      </c>
      <c r="DP2876" s="5" t="s">
        <v>238</v>
      </c>
      <c r="DQ2876" s="5" t="s">
        <v>238</v>
      </c>
      <c r="DT2876" s="5" t="s">
        <v>275</v>
      </c>
      <c r="DU2876" s="5" t="s">
        <v>695</v>
      </c>
      <c r="HM2876" s="5" t="s">
        <v>264</v>
      </c>
    </row>
    <row r="2877" spans="1:221" x14ac:dyDescent="0.4">
      <c r="A2877" s="5">
        <v>4581</v>
      </c>
      <c r="B2877" s="5">
        <v>1</v>
      </c>
      <c r="C2877" s="5">
        <v>1</v>
      </c>
      <c r="D2877" s="5" t="s">
        <v>269</v>
      </c>
      <c r="E2877" s="5" t="s">
        <v>271</v>
      </c>
      <c r="F2877" s="5" t="s">
        <v>248</v>
      </c>
      <c r="G2877" s="5" t="s">
        <v>266</v>
      </c>
      <c r="H2877" s="6" t="s">
        <v>701</v>
      </c>
      <c r="I2877" s="7">
        <f>3316</f>
        <v>3316</v>
      </c>
      <c r="J2877" s="5" t="s">
        <v>262</v>
      </c>
      <c r="K2877" s="8">
        <f>1</f>
        <v>1</v>
      </c>
      <c r="L2877" s="6" t="s">
        <v>242</v>
      </c>
      <c r="M2877" s="5" t="s">
        <v>267</v>
      </c>
      <c r="N2877" s="5" t="s">
        <v>265</v>
      </c>
      <c r="O2877" s="5" t="s">
        <v>238</v>
      </c>
      <c r="P2877" s="5" t="s">
        <v>238</v>
      </c>
      <c r="Q2877" s="5" t="s">
        <v>268</v>
      </c>
      <c r="R2877" s="5" t="s">
        <v>270</v>
      </c>
      <c r="S2877" s="5" t="s">
        <v>238</v>
      </c>
      <c r="V2877" s="5" t="s">
        <v>238</v>
      </c>
      <c r="X2877" s="6" t="s">
        <v>238</v>
      </c>
      <c r="AA2877" s="6" t="s">
        <v>243</v>
      </c>
      <c r="AB2877" s="5" t="s">
        <v>238</v>
      </c>
      <c r="AC2877" s="5" t="s">
        <v>244</v>
      </c>
      <c r="AD2877" s="5" t="s">
        <v>245</v>
      </c>
      <c r="AT2877" s="5" t="s">
        <v>246</v>
      </c>
      <c r="AU2877" s="5" t="s">
        <v>238</v>
      </c>
      <c r="AV2877" s="5" t="s">
        <v>247</v>
      </c>
      <c r="AW2877" s="5" t="s">
        <v>238</v>
      </c>
      <c r="AX2877" s="5" t="s">
        <v>249</v>
      </c>
      <c r="AY2877" s="5" t="s">
        <v>238</v>
      </c>
      <c r="BA2877" s="5" t="s">
        <v>238</v>
      </c>
      <c r="BC2877" s="5" t="s">
        <v>250</v>
      </c>
      <c r="BD2877" s="6" t="s">
        <v>243</v>
      </c>
      <c r="BE2877" s="5" t="s">
        <v>251</v>
      </c>
      <c r="BF2877" s="5" t="s">
        <v>252</v>
      </c>
      <c r="BG2877" s="5" t="s">
        <v>238</v>
      </c>
      <c r="BH2877" s="7">
        <f>0</f>
        <v>0</v>
      </c>
      <c r="BI2877" s="8">
        <f>0</f>
        <v>0</v>
      </c>
      <c r="BJ2877" s="5" t="s">
        <v>253</v>
      </c>
      <c r="BK2877" s="5" t="s">
        <v>254</v>
      </c>
      <c r="BY2877" s="5" t="s">
        <v>238</v>
      </c>
      <c r="BZ2877" s="5" t="s">
        <v>238</v>
      </c>
      <c r="CD2877" s="5" t="s">
        <v>273</v>
      </c>
      <c r="CE2877" s="5" t="s">
        <v>256</v>
      </c>
      <c r="CF2877" s="5" t="s">
        <v>238</v>
      </c>
      <c r="CI2877" s="6" t="s">
        <v>257</v>
      </c>
      <c r="CJ2877" s="5" t="s">
        <v>238</v>
      </c>
      <c r="CK2877" s="5" t="s">
        <v>258</v>
      </c>
      <c r="CL2877" s="5" t="s">
        <v>238</v>
      </c>
      <c r="CM2877" s="5" t="s">
        <v>238</v>
      </c>
      <c r="CN2877" s="5">
        <v>0</v>
      </c>
      <c r="CO2877" s="5" t="s">
        <v>259</v>
      </c>
      <c r="CP2877" s="5" t="s">
        <v>260</v>
      </c>
      <c r="CQ2877" s="5" t="s">
        <v>260</v>
      </c>
      <c r="CR2877" s="5" t="s">
        <v>261</v>
      </c>
      <c r="CU2877" s="8">
        <f>1</f>
        <v>1</v>
      </c>
      <c r="CV2877" s="8">
        <f>0</f>
        <v>0</v>
      </c>
      <c r="CX2877" s="8">
        <f>0</f>
        <v>0</v>
      </c>
      <c r="CY2877" s="8">
        <f>1</f>
        <v>1</v>
      </c>
      <c r="DA2877" s="5" t="s">
        <v>274</v>
      </c>
      <c r="DB2877" s="5" t="s">
        <v>238</v>
      </c>
      <c r="DD2877" s="5" t="s">
        <v>274</v>
      </c>
      <c r="DE2877" s="8">
        <f>3316</f>
        <v>3316</v>
      </c>
      <c r="DG2877" s="5" t="s">
        <v>238</v>
      </c>
      <c r="DH2877" s="5" t="s">
        <v>238</v>
      </c>
      <c r="DI2877" s="5" t="s">
        <v>238</v>
      </c>
      <c r="DJ2877" s="5" t="s">
        <v>238</v>
      </c>
      <c r="DN2877" s="5" t="s">
        <v>238</v>
      </c>
      <c r="DO2877" s="5" t="s">
        <v>238</v>
      </c>
      <c r="DP2877" s="5" t="s">
        <v>238</v>
      </c>
      <c r="DQ2877" s="5" t="s">
        <v>238</v>
      </c>
      <c r="DT2877" s="5" t="s">
        <v>275</v>
      </c>
      <c r="DU2877" s="5" t="s">
        <v>702</v>
      </c>
      <c r="HM2877" s="5" t="s">
        <v>264</v>
      </c>
    </row>
    <row r="2878" spans="1:221" x14ac:dyDescent="0.4">
      <c r="A2878" s="5">
        <v>4582</v>
      </c>
      <c r="B2878" s="5">
        <v>1</v>
      </c>
      <c r="C2878" s="5">
        <v>1</v>
      </c>
      <c r="D2878" s="5" t="s">
        <v>269</v>
      </c>
      <c r="E2878" s="5" t="s">
        <v>271</v>
      </c>
      <c r="F2878" s="5" t="s">
        <v>248</v>
      </c>
      <c r="G2878" s="5" t="s">
        <v>266</v>
      </c>
      <c r="H2878" s="6" t="s">
        <v>705</v>
      </c>
      <c r="I2878" s="7">
        <f>80</f>
        <v>80</v>
      </c>
      <c r="J2878" s="5" t="s">
        <v>262</v>
      </c>
      <c r="K2878" s="8">
        <f>1</f>
        <v>1</v>
      </c>
      <c r="L2878" s="6" t="s">
        <v>242</v>
      </c>
      <c r="M2878" s="5" t="s">
        <v>267</v>
      </c>
      <c r="N2878" s="5" t="s">
        <v>265</v>
      </c>
      <c r="O2878" s="5" t="s">
        <v>238</v>
      </c>
      <c r="P2878" s="5" t="s">
        <v>238</v>
      </c>
      <c r="Q2878" s="5" t="s">
        <v>268</v>
      </c>
      <c r="R2878" s="5" t="s">
        <v>270</v>
      </c>
      <c r="S2878" s="5" t="s">
        <v>238</v>
      </c>
      <c r="V2878" s="5" t="s">
        <v>238</v>
      </c>
      <c r="X2878" s="6" t="s">
        <v>238</v>
      </c>
      <c r="AA2878" s="6" t="s">
        <v>243</v>
      </c>
      <c r="AB2878" s="5" t="s">
        <v>238</v>
      </c>
      <c r="AC2878" s="5" t="s">
        <v>244</v>
      </c>
      <c r="AD2878" s="5" t="s">
        <v>245</v>
      </c>
      <c r="AT2878" s="5" t="s">
        <v>246</v>
      </c>
      <c r="AU2878" s="5" t="s">
        <v>238</v>
      </c>
      <c r="AV2878" s="5" t="s">
        <v>247</v>
      </c>
      <c r="AW2878" s="5" t="s">
        <v>238</v>
      </c>
      <c r="AX2878" s="5" t="s">
        <v>249</v>
      </c>
      <c r="AY2878" s="5" t="s">
        <v>238</v>
      </c>
      <c r="BA2878" s="5" t="s">
        <v>238</v>
      </c>
      <c r="BC2878" s="5" t="s">
        <v>250</v>
      </c>
      <c r="BD2878" s="6" t="s">
        <v>243</v>
      </c>
      <c r="BE2878" s="5" t="s">
        <v>251</v>
      </c>
      <c r="BF2878" s="5" t="s">
        <v>252</v>
      </c>
      <c r="BG2878" s="5" t="s">
        <v>238</v>
      </c>
      <c r="BH2878" s="7">
        <f>0</f>
        <v>0</v>
      </c>
      <c r="BI2878" s="8">
        <f>0</f>
        <v>0</v>
      </c>
      <c r="BJ2878" s="5" t="s">
        <v>253</v>
      </c>
      <c r="BK2878" s="5" t="s">
        <v>254</v>
      </c>
      <c r="BY2878" s="5" t="s">
        <v>238</v>
      </c>
      <c r="BZ2878" s="5" t="s">
        <v>238</v>
      </c>
      <c r="CD2878" s="5" t="s">
        <v>273</v>
      </c>
      <c r="CE2878" s="5" t="s">
        <v>256</v>
      </c>
      <c r="CF2878" s="5" t="s">
        <v>238</v>
      </c>
      <c r="CI2878" s="6" t="s">
        <v>257</v>
      </c>
      <c r="CJ2878" s="5" t="s">
        <v>238</v>
      </c>
      <c r="CK2878" s="5" t="s">
        <v>258</v>
      </c>
      <c r="CL2878" s="5" t="s">
        <v>238</v>
      </c>
      <c r="CM2878" s="5" t="s">
        <v>238</v>
      </c>
      <c r="CN2878" s="5">
        <v>0</v>
      </c>
      <c r="CO2878" s="5" t="s">
        <v>259</v>
      </c>
      <c r="CP2878" s="5" t="s">
        <v>260</v>
      </c>
      <c r="CQ2878" s="5" t="s">
        <v>260</v>
      </c>
      <c r="CR2878" s="5" t="s">
        <v>261</v>
      </c>
      <c r="CU2878" s="8">
        <f>1</f>
        <v>1</v>
      </c>
      <c r="CV2878" s="8">
        <f>0</f>
        <v>0</v>
      </c>
      <c r="CX2878" s="8">
        <f>0</f>
        <v>0</v>
      </c>
      <c r="CY2878" s="8">
        <f>1</f>
        <v>1</v>
      </c>
      <c r="DA2878" s="5" t="s">
        <v>274</v>
      </c>
      <c r="DB2878" s="5" t="s">
        <v>238</v>
      </c>
      <c r="DD2878" s="5" t="s">
        <v>274</v>
      </c>
      <c r="DE2878" s="8">
        <f>80</f>
        <v>80</v>
      </c>
      <c r="DG2878" s="5" t="s">
        <v>238</v>
      </c>
      <c r="DH2878" s="5" t="s">
        <v>238</v>
      </c>
      <c r="DI2878" s="5" t="s">
        <v>238</v>
      </c>
      <c r="DJ2878" s="5" t="s">
        <v>238</v>
      </c>
      <c r="DN2878" s="5" t="s">
        <v>238</v>
      </c>
      <c r="DO2878" s="5" t="s">
        <v>238</v>
      </c>
      <c r="DP2878" s="5" t="s">
        <v>238</v>
      </c>
      <c r="DQ2878" s="5" t="s">
        <v>238</v>
      </c>
      <c r="DT2878" s="5" t="s">
        <v>275</v>
      </c>
      <c r="DU2878" s="5" t="s">
        <v>706</v>
      </c>
      <c r="HM2878" s="5" t="s">
        <v>264</v>
      </c>
    </row>
    <row r="2879" spans="1:221" x14ac:dyDescent="0.4">
      <c r="A2879" s="5">
        <v>4583</v>
      </c>
      <c r="B2879" s="5">
        <v>1</v>
      </c>
      <c r="C2879" s="5">
        <v>1</v>
      </c>
      <c r="D2879" s="5" t="s">
        <v>269</v>
      </c>
      <c r="E2879" s="5" t="s">
        <v>271</v>
      </c>
      <c r="F2879" s="5" t="s">
        <v>248</v>
      </c>
      <c r="G2879" s="5" t="s">
        <v>266</v>
      </c>
      <c r="H2879" s="6" t="s">
        <v>723</v>
      </c>
      <c r="I2879" s="7">
        <f>12</f>
        <v>12</v>
      </c>
      <c r="J2879" s="5" t="s">
        <v>262</v>
      </c>
      <c r="K2879" s="8">
        <f>1</f>
        <v>1</v>
      </c>
      <c r="L2879" s="6" t="s">
        <v>242</v>
      </c>
      <c r="M2879" s="5" t="s">
        <v>267</v>
      </c>
      <c r="N2879" s="5" t="s">
        <v>265</v>
      </c>
      <c r="O2879" s="5" t="s">
        <v>238</v>
      </c>
      <c r="P2879" s="5" t="s">
        <v>238</v>
      </c>
      <c r="Q2879" s="5" t="s">
        <v>268</v>
      </c>
      <c r="R2879" s="5" t="s">
        <v>270</v>
      </c>
      <c r="S2879" s="5" t="s">
        <v>238</v>
      </c>
      <c r="V2879" s="5" t="s">
        <v>238</v>
      </c>
      <c r="X2879" s="6" t="s">
        <v>238</v>
      </c>
      <c r="AA2879" s="6" t="s">
        <v>243</v>
      </c>
      <c r="AB2879" s="5" t="s">
        <v>238</v>
      </c>
      <c r="AC2879" s="5" t="s">
        <v>244</v>
      </c>
      <c r="AD2879" s="5" t="s">
        <v>245</v>
      </c>
      <c r="AT2879" s="5" t="s">
        <v>246</v>
      </c>
      <c r="AU2879" s="5" t="s">
        <v>238</v>
      </c>
      <c r="AV2879" s="5" t="s">
        <v>247</v>
      </c>
      <c r="AW2879" s="5" t="s">
        <v>238</v>
      </c>
      <c r="AX2879" s="5" t="s">
        <v>249</v>
      </c>
      <c r="AY2879" s="5" t="s">
        <v>238</v>
      </c>
      <c r="BA2879" s="5" t="s">
        <v>238</v>
      </c>
      <c r="BC2879" s="5" t="s">
        <v>250</v>
      </c>
      <c r="BD2879" s="6" t="s">
        <v>243</v>
      </c>
      <c r="BE2879" s="5" t="s">
        <v>251</v>
      </c>
      <c r="BF2879" s="5" t="s">
        <v>252</v>
      </c>
      <c r="BG2879" s="5" t="s">
        <v>238</v>
      </c>
      <c r="BH2879" s="7">
        <f>0</f>
        <v>0</v>
      </c>
      <c r="BI2879" s="8">
        <f>0</f>
        <v>0</v>
      </c>
      <c r="BJ2879" s="5" t="s">
        <v>253</v>
      </c>
      <c r="BK2879" s="5" t="s">
        <v>254</v>
      </c>
      <c r="BY2879" s="5" t="s">
        <v>238</v>
      </c>
      <c r="BZ2879" s="5" t="s">
        <v>238</v>
      </c>
      <c r="CD2879" s="5" t="s">
        <v>273</v>
      </c>
      <c r="CE2879" s="5" t="s">
        <v>256</v>
      </c>
      <c r="CF2879" s="5" t="s">
        <v>238</v>
      </c>
      <c r="CI2879" s="6" t="s">
        <v>257</v>
      </c>
      <c r="CJ2879" s="5" t="s">
        <v>238</v>
      </c>
      <c r="CK2879" s="5" t="s">
        <v>258</v>
      </c>
      <c r="CL2879" s="5" t="s">
        <v>238</v>
      </c>
      <c r="CM2879" s="5" t="s">
        <v>238</v>
      </c>
      <c r="CN2879" s="5">
        <v>0</v>
      </c>
      <c r="CO2879" s="5" t="s">
        <v>259</v>
      </c>
      <c r="CP2879" s="5" t="s">
        <v>260</v>
      </c>
      <c r="CQ2879" s="5" t="s">
        <v>260</v>
      </c>
      <c r="CR2879" s="5" t="s">
        <v>261</v>
      </c>
      <c r="CU2879" s="8">
        <f>1</f>
        <v>1</v>
      </c>
      <c r="CV2879" s="8">
        <f>0</f>
        <v>0</v>
      </c>
      <c r="CX2879" s="8">
        <f>0</f>
        <v>0</v>
      </c>
      <c r="CY2879" s="8">
        <f>1</f>
        <v>1</v>
      </c>
      <c r="DA2879" s="5" t="s">
        <v>274</v>
      </c>
      <c r="DB2879" s="5" t="s">
        <v>238</v>
      </c>
      <c r="DD2879" s="5" t="s">
        <v>274</v>
      </c>
      <c r="DE2879" s="8">
        <f>12</f>
        <v>12</v>
      </c>
      <c r="DG2879" s="5" t="s">
        <v>238</v>
      </c>
      <c r="DH2879" s="5" t="s">
        <v>238</v>
      </c>
      <c r="DI2879" s="5" t="s">
        <v>238</v>
      </c>
      <c r="DJ2879" s="5" t="s">
        <v>238</v>
      </c>
      <c r="DN2879" s="5" t="s">
        <v>238</v>
      </c>
      <c r="DO2879" s="5" t="s">
        <v>238</v>
      </c>
      <c r="DP2879" s="5" t="s">
        <v>238</v>
      </c>
      <c r="DQ2879" s="5" t="s">
        <v>238</v>
      </c>
      <c r="DT2879" s="5" t="s">
        <v>275</v>
      </c>
      <c r="DU2879" s="5" t="s">
        <v>724</v>
      </c>
      <c r="HM2879" s="5" t="s">
        <v>264</v>
      </c>
    </row>
    <row r="2880" spans="1:221" x14ac:dyDescent="0.4">
      <c r="A2880" s="5">
        <v>4584</v>
      </c>
      <c r="B2880" s="5">
        <v>1</v>
      </c>
      <c r="C2880" s="5">
        <v>1</v>
      </c>
      <c r="D2880" s="5" t="s">
        <v>269</v>
      </c>
      <c r="E2880" s="5" t="s">
        <v>271</v>
      </c>
      <c r="F2880" s="5" t="s">
        <v>248</v>
      </c>
      <c r="G2880" s="5" t="s">
        <v>266</v>
      </c>
      <c r="H2880" s="6" t="s">
        <v>717</v>
      </c>
      <c r="I2880" s="7">
        <f>3331</f>
        <v>3331</v>
      </c>
      <c r="J2880" s="5" t="s">
        <v>262</v>
      </c>
      <c r="K2880" s="8">
        <f>1</f>
        <v>1</v>
      </c>
      <c r="L2880" s="6" t="s">
        <v>242</v>
      </c>
      <c r="M2880" s="5" t="s">
        <v>267</v>
      </c>
      <c r="N2880" s="5" t="s">
        <v>265</v>
      </c>
      <c r="O2880" s="5" t="s">
        <v>238</v>
      </c>
      <c r="P2880" s="5" t="s">
        <v>238</v>
      </c>
      <c r="Q2880" s="5" t="s">
        <v>268</v>
      </c>
      <c r="R2880" s="5" t="s">
        <v>270</v>
      </c>
      <c r="S2880" s="5" t="s">
        <v>238</v>
      </c>
      <c r="V2880" s="5" t="s">
        <v>238</v>
      </c>
      <c r="X2880" s="6" t="s">
        <v>238</v>
      </c>
      <c r="AA2880" s="6" t="s">
        <v>243</v>
      </c>
      <c r="AB2880" s="5" t="s">
        <v>238</v>
      </c>
      <c r="AC2880" s="5" t="s">
        <v>244</v>
      </c>
      <c r="AD2880" s="5" t="s">
        <v>245</v>
      </c>
      <c r="AT2880" s="5" t="s">
        <v>246</v>
      </c>
      <c r="AU2880" s="5" t="s">
        <v>238</v>
      </c>
      <c r="AV2880" s="5" t="s">
        <v>247</v>
      </c>
      <c r="AW2880" s="5" t="s">
        <v>238</v>
      </c>
      <c r="AX2880" s="5" t="s">
        <v>249</v>
      </c>
      <c r="AY2880" s="5" t="s">
        <v>238</v>
      </c>
      <c r="BA2880" s="5" t="s">
        <v>238</v>
      </c>
      <c r="BC2880" s="5" t="s">
        <v>250</v>
      </c>
      <c r="BD2880" s="6" t="s">
        <v>243</v>
      </c>
      <c r="BE2880" s="5" t="s">
        <v>251</v>
      </c>
      <c r="BF2880" s="5" t="s">
        <v>252</v>
      </c>
      <c r="BG2880" s="5" t="s">
        <v>238</v>
      </c>
      <c r="BH2880" s="7">
        <f>0</f>
        <v>0</v>
      </c>
      <c r="BI2880" s="8">
        <f>0</f>
        <v>0</v>
      </c>
      <c r="BJ2880" s="5" t="s">
        <v>253</v>
      </c>
      <c r="BK2880" s="5" t="s">
        <v>254</v>
      </c>
      <c r="BY2880" s="5" t="s">
        <v>238</v>
      </c>
      <c r="BZ2880" s="5" t="s">
        <v>238</v>
      </c>
      <c r="CD2880" s="5" t="s">
        <v>273</v>
      </c>
      <c r="CE2880" s="5" t="s">
        <v>256</v>
      </c>
      <c r="CF2880" s="5" t="s">
        <v>238</v>
      </c>
      <c r="CI2880" s="6" t="s">
        <v>257</v>
      </c>
      <c r="CJ2880" s="5" t="s">
        <v>238</v>
      </c>
      <c r="CK2880" s="5" t="s">
        <v>258</v>
      </c>
      <c r="CL2880" s="5" t="s">
        <v>238</v>
      </c>
      <c r="CM2880" s="5" t="s">
        <v>238</v>
      </c>
      <c r="CN2880" s="5">
        <v>0</v>
      </c>
      <c r="CO2880" s="5" t="s">
        <v>259</v>
      </c>
      <c r="CP2880" s="5" t="s">
        <v>260</v>
      </c>
      <c r="CQ2880" s="5" t="s">
        <v>260</v>
      </c>
      <c r="CR2880" s="5" t="s">
        <v>261</v>
      </c>
      <c r="CU2880" s="8">
        <f>1</f>
        <v>1</v>
      </c>
      <c r="CV2880" s="8">
        <f>0</f>
        <v>0</v>
      </c>
      <c r="CX2880" s="8">
        <f>0</f>
        <v>0</v>
      </c>
      <c r="CY2880" s="8">
        <f>1</f>
        <v>1</v>
      </c>
      <c r="DA2880" s="5" t="s">
        <v>274</v>
      </c>
      <c r="DB2880" s="5" t="s">
        <v>238</v>
      </c>
      <c r="DD2880" s="5" t="s">
        <v>274</v>
      </c>
      <c r="DE2880" s="8">
        <f>3331</f>
        <v>3331</v>
      </c>
      <c r="DG2880" s="5" t="s">
        <v>238</v>
      </c>
      <c r="DH2880" s="5" t="s">
        <v>238</v>
      </c>
      <c r="DI2880" s="5" t="s">
        <v>238</v>
      </c>
      <c r="DJ2880" s="5" t="s">
        <v>238</v>
      </c>
      <c r="DN2880" s="5" t="s">
        <v>238</v>
      </c>
      <c r="DO2880" s="5" t="s">
        <v>238</v>
      </c>
      <c r="DP2880" s="5" t="s">
        <v>238</v>
      </c>
      <c r="DQ2880" s="5" t="s">
        <v>238</v>
      </c>
      <c r="DT2880" s="5" t="s">
        <v>275</v>
      </c>
      <c r="DU2880" s="5" t="s">
        <v>718</v>
      </c>
      <c r="HM2880" s="5" t="s">
        <v>264</v>
      </c>
    </row>
    <row r="2881" spans="1:221" x14ac:dyDescent="0.4">
      <c r="A2881" s="5">
        <v>4585</v>
      </c>
      <c r="B2881" s="5">
        <v>1</v>
      </c>
      <c r="C2881" s="5">
        <v>1</v>
      </c>
      <c r="D2881" s="5" t="s">
        <v>269</v>
      </c>
      <c r="E2881" s="5" t="s">
        <v>271</v>
      </c>
      <c r="F2881" s="5" t="s">
        <v>248</v>
      </c>
      <c r="G2881" s="5" t="s">
        <v>266</v>
      </c>
      <c r="H2881" s="6" t="s">
        <v>729</v>
      </c>
      <c r="I2881" s="7">
        <f>2627</f>
        <v>2627</v>
      </c>
      <c r="J2881" s="5" t="s">
        <v>262</v>
      </c>
      <c r="K2881" s="8">
        <f>1</f>
        <v>1</v>
      </c>
      <c r="L2881" s="6" t="s">
        <v>242</v>
      </c>
      <c r="M2881" s="5" t="s">
        <v>267</v>
      </c>
      <c r="N2881" s="5" t="s">
        <v>265</v>
      </c>
      <c r="O2881" s="5" t="s">
        <v>238</v>
      </c>
      <c r="P2881" s="5" t="s">
        <v>238</v>
      </c>
      <c r="Q2881" s="5" t="s">
        <v>268</v>
      </c>
      <c r="R2881" s="5" t="s">
        <v>270</v>
      </c>
      <c r="S2881" s="5" t="s">
        <v>238</v>
      </c>
      <c r="V2881" s="5" t="s">
        <v>238</v>
      </c>
      <c r="X2881" s="6" t="s">
        <v>238</v>
      </c>
      <c r="AA2881" s="6" t="s">
        <v>243</v>
      </c>
      <c r="AB2881" s="5" t="s">
        <v>238</v>
      </c>
      <c r="AC2881" s="5" t="s">
        <v>244</v>
      </c>
      <c r="AD2881" s="5" t="s">
        <v>245</v>
      </c>
      <c r="AT2881" s="5" t="s">
        <v>246</v>
      </c>
      <c r="AU2881" s="5" t="s">
        <v>238</v>
      </c>
      <c r="AV2881" s="5" t="s">
        <v>247</v>
      </c>
      <c r="AW2881" s="5" t="s">
        <v>238</v>
      </c>
      <c r="AX2881" s="5" t="s">
        <v>249</v>
      </c>
      <c r="AY2881" s="5" t="s">
        <v>238</v>
      </c>
      <c r="BA2881" s="5" t="s">
        <v>238</v>
      </c>
      <c r="BC2881" s="5" t="s">
        <v>250</v>
      </c>
      <c r="BD2881" s="6" t="s">
        <v>243</v>
      </c>
      <c r="BE2881" s="5" t="s">
        <v>251</v>
      </c>
      <c r="BF2881" s="5" t="s">
        <v>252</v>
      </c>
      <c r="BG2881" s="5" t="s">
        <v>238</v>
      </c>
      <c r="BH2881" s="7">
        <f>0</f>
        <v>0</v>
      </c>
      <c r="BI2881" s="8">
        <f>0</f>
        <v>0</v>
      </c>
      <c r="BJ2881" s="5" t="s">
        <v>253</v>
      </c>
      <c r="BK2881" s="5" t="s">
        <v>254</v>
      </c>
      <c r="BY2881" s="5" t="s">
        <v>238</v>
      </c>
      <c r="BZ2881" s="5" t="s">
        <v>238</v>
      </c>
      <c r="CD2881" s="5" t="s">
        <v>273</v>
      </c>
      <c r="CE2881" s="5" t="s">
        <v>256</v>
      </c>
      <c r="CF2881" s="5" t="s">
        <v>238</v>
      </c>
      <c r="CI2881" s="6" t="s">
        <v>257</v>
      </c>
      <c r="CJ2881" s="5" t="s">
        <v>238</v>
      </c>
      <c r="CK2881" s="5" t="s">
        <v>258</v>
      </c>
      <c r="CL2881" s="5" t="s">
        <v>238</v>
      </c>
      <c r="CM2881" s="5" t="s">
        <v>238</v>
      </c>
      <c r="CN2881" s="5">
        <v>0</v>
      </c>
      <c r="CO2881" s="5" t="s">
        <v>259</v>
      </c>
      <c r="CP2881" s="5" t="s">
        <v>260</v>
      </c>
      <c r="CQ2881" s="5" t="s">
        <v>260</v>
      </c>
      <c r="CR2881" s="5" t="s">
        <v>261</v>
      </c>
      <c r="CU2881" s="8">
        <f>1</f>
        <v>1</v>
      </c>
      <c r="CV2881" s="8">
        <f>0</f>
        <v>0</v>
      </c>
      <c r="CX2881" s="8">
        <f>0</f>
        <v>0</v>
      </c>
      <c r="CY2881" s="8">
        <f>1</f>
        <v>1</v>
      </c>
      <c r="DA2881" s="5" t="s">
        <v>274</v>
      </c>
      <c r="DB2881" s="5" t="s">
        <v>238</v>
      </c>
      <c r="DD2881" s="5" t="s">
        <v>274</v>
      </c>
      <c r="DE2881" s="8">
        <f>2627</f>
        <v>2627</v>
      </c>
      <c r="DG2881" s="5" t="s">
        <v>238</v>
      </c>
      <c r="DH2881" s="5" t="s">
        <v>238</v>
      </c>
      <c r="DI2881" s="5" t="s">
        <v>238</v>
      </c>
      <c r="DJ2881" s="5" t="s">
        <v>238</v>
      </c>
      <c r="DN2881" s="5" t="s">
        <v>238</v>
      </c>
      <c r="DO2881" s="5" t="s">
        <v>238</v>
      </c>
      <c r="DP2881" s="5" t="s">
        <v>238</v>
      </c>
      <c r="DQ2881" s="5" t="s">
        <v>238</v>
      </c>
      <c r="DT2881" s="5" t="s">
        <v>275</v>
      </c>
      <c r="DU2881" s="5" t="s">
        <v>730</v>
      </c>
      <c r="HM2881" s="5" t="s">
        <v>264</v>
      </c>
    </row>
    <row r="2882" spans="1:221" x14ac:dyDescent="0.4">
      <c r="A2882" s="5">
        <v>4586</v>
      </c>
      <c r="B2882" s="5">
        <v>1</v>
      </c>
      <c r="C2882" s="5">
        <v>1</v>
      </c>
      <c r="D2882" s="5" t="s">
        <v>269</v>
      </c>
      <c r="E2882" s="5" t="s">
        <v>271</v>
      </c>
      <c r="F2882" s="5" t="s">
        <v>248</v>
      </c>
      <c r="G2882" s="5" t="s">
        <v>266</v>
      </c>
      <c r="H2882" s="6" t="s">
        <v>737</v>
      </c>
      <c r="I2882" s="7">
        <f>70</f>
        <v>70</v>
      </c>
      <c r="J2882" s="5" t="s">
        <v>262</v>
      </c>
      <c r="K2882" s="8">
        <f>1</f>
        <v>1</v>
      </c>
      <c r="L2882" s="6" t="s">
        <v>242</v>
      </c>
      <c r="M2882" s="5" t="s">
        <v>267</v>
      </c>
      <c r="N2882" s="5" t="s">
        <v>265</v>
      </c>
      <c r="O2882" s="5" t="s">
        <v>238</v>
      </c>
      <c r="P2882" s="5" t="s">
        <v>238</v>
      </c>
      <c r="Q2882" s="5" t="s">
        <v>268</v>
      </c>
      <c r="R2882" s="5" t="s">
        <v>270</v>
      </c>
      <c r="S2882" s="5" t="s">
        <v>238</v>
      </c>
      <c r="V2882" s="5" t="s">
        <v>238</v>
      </c>
      <c r="X2882" s="6" t="s">
        <v>238</v>
      </c>
      <c r="AA2882" s="6" t="s">
        <v>243</v>
      </c>
      <c r="AB2882" s="5" t="s">
        <v>238</v>
      </c>
      <c r="AC2882" s="5" t="s">
        <v>244</v>
      </c>
      <c r="AD2882" s="5" t="s">
        <v>245</v>
      </c>
      <c r="AT2882" s="5" t="s">
        <v>246</v>
      </c>
      <c r="AU2882" s="5" t="s">
        <v>238</v>
      </c>
      <c r="AV2882" s="5" t="s">
        <v>247</v>
      </c>
      <c r="AW2882" s="5" t="s">
        <v>238</v>
      </c>
      <c r="AX2882" s="5" t="s">
        <v>249</v>
      </c>
      <c r="AY2882" s="5" t="s">
        <v>238</v>
      </c>
      <c r="BA2882" s="5" t="s">
        <v>238</v>
      </c>
      <c r="BC2882" s="5" t="s">
        <v>250</v>
      </c>
      <c r="BD2882" s="6" t="s">
        <v>243</v>
      </c>
      <c r="BE2882" s="5" t="s">
        <v>251</v>
      </c>
      <c r="BF2882" s="5" t="s">
        <v>252</v>
      </c>
      <c r="BG2882" s="5" t="s">
        <v>238</v>
      </c>
      <c r="BH2882" s="7">
        <f>0</f>
        <v>0</v>
      </c>
      <c r="BI2882" s="8">
        <f>0</f>
        <v>0</v>
      </c>
      <c r="BJ2882" s="5" t="s">
        <v>253</v>
      </c>
      <c r="BK2882" s="5" t="s">
        <v>254</v>
      </c>
      <c r="BY2882" s="5" t="s">
        <v>238</v>
      </c>
      <c r="BZ2882" s="5" t="s">
        <v>238</v>
      </c>
      <c r="CD2882" s="5" t="s">
        <v>273</v>
      </c>
      <c r="CE2882" s="5" t="s">
        <v>256</v>
      </c>
      <c r="CF2882" s="5" t="s">
        <v>238</v>
      </c>
      <c r="CI2882" s="6" t="s">
        <v>257</v>
      </c>
      <c r="CJ2882" s="5" t="s">
        <v>238</v>
      </c>
      <c r="CK2882" s="5" t="s">
        <v>258</v>
      </c>
      <c r="CL2882" s="5" t="s">
        <v>238</v>
      </c>
      <c r="CM2882" s="5" t="s">
        <v>238</v>
      </c>
      <c r="CN2882" s="5">
        <v>0</v>
      </c>
      <c r="CO2882" s="5" t="s">
        <v>259</v>
      </c>
      <c r="CP2882" s="5" t="s">
        <v>260</v>
      </c>
      <c r="CQ2882" s="5" t="s">
        <v>260</v>
      </c>
      <c r="CR2882" s="5" t="s">
        <v>261</v>
      </c>
      <c r="CU2882" s="8">
        <f>1</f>
        <v>1</v>
      </c>
      <c r="CV2882" s="8">
        <f>0</f>
        <v>0</v>
      </c>
      <c r="CX2882" s="8">
        <f>0</f>
        <v>0</v>
      </c>
      <c r="CY2882" s="8">
        <f>1</f>
        <v>1</v>
      </c>
      <c r="DA2882" s="5" t="s">
        <v>274</v>
      </c>
      <c r="DB2882" s="5" t="s">
        <v>238</v>
      </c>
      <c r="DD2882" s="5" t="s">
        <v>274</v>
      </c>
      <c r="DE2882" s="8">
        <f>70</f>
        <v>70</v>
      </c>
      <c r="DG2882" s="5" t="s">
        <v>238</v>
      </c>
      <c r="DH2882" s="5" t="s">
        <v>238</v>
      </c>
      <c r="DI2882" s="5" t="s">
        <v>238</v>
      </c>
      <c r="DJ2882" s="5" t="s">
        <v>238</v>
      </c>
      <c r="DN2882" s="5" t="s">
        <v>238</v>
      </c>
      <c r="DO2882" s="5" t="s">
        <v>238</v>
      </c>
      <c r="DP2882" s="5" t="s">
        <v>238</v>
      </c>
      <c r="DQ2882" s="5" t="s">
        <v>238</v>
      </c>
      <c r="DT2882" s="5" t="s">
        <v>275</v>
      </c>
      <c r="DU2882" s="5" t="s">
        <v>738</v>
      </c>
      <c r="HM2882" s="5" t="s">
        <v>264</v>
      </c>
    </row>
    <row r="2883" spans="1:221" x14ac:dyDescent="0.4">
      <c r="A2883" s="5">
        <v>4587</v>
      </c>
      <c r="B2883" s="5">
        <v>1</v>
      </c>
      <c r="C2883" s="5">
        <v>1</v>
      </c>
      <c r="D2883" s="5" t="s">
        <v>269</v>
      </c>
      <c r="E2883" s="5" t="s">
        <v>271</v>
      </c>
      <c r="F2883" s="5" t="s">
        <v>248</v>
      </c>
      <c r="G2883" s="5" t="s">
        <v>266</v>
      </c>
      <c r="H2883" s="6" t="s">
        <v>743</v>
      </c>
      <c r="I2883" s="7">
        <f>230</f>
        <v>230</v>
      </c>
      <c r="J2883" s="5" t="s">
        <v>262</v>
      </c>
      <c r="K2883" s="8">
        <f>1</f>
        <v>1</v>
      </c>
      <c r="L2883" s="6" t="s">
        <v>242</v>
      </c>
      <c r="M2883" s="5" t="s">
        <v>267</v>
      </c>
      <c r="N2883" s="5" t="s">
        <v>265</v>
      </c>
      <c r="O2883" s="5" t="s">
        <v>238</v>
      </c>
      <c r="P2883" s="5" t="s">
        <v>238</v>
      </c>
      <c r="Q2883" s="5" t="s">
        <v>268</v>
      </c>
      <c r="R2883" s="5" t="s">
        <v>270</v>
      </c>
      <c r="S2883" s="5" t="s">
        <v>238</v>
      </c>
      <c r="V2883" s="5" t="s">
        <v>238</v>
      </c>
      <c r="X2883" s="6" t="s">
        <v>238</v>
      </c>
      <c r="AA2883" s="6" t="s">
        <v>243</v>
      </c>
      <c r="AB2883" s="5" t="s">
        <v>238</v>
      </c>
      <c r="AC2883" s="5" t="s">
        <v>244</v>
      </c>
      <c r="AD2883" s="5" t="s">
        <v>245</v>
      </c>
      <c r="AT2883" s="5" t="s">
        <v>246</v>
      </c>
      <c r="AU2883" s="5" t="s">
        <v>238</v>
      </c>
      <c r="AV2883" s="5" t="s">
        <v>247</v>
      </c>
      <c r="AW2883" s="5" t="s">
        <v>238</v>
      </c>
      <c r="AX2883" s="5" t="s">
        <v>249</v>
      </c>
      <c r="AY2883" s="5" t="s">
        <v>238</v>
      </c>
      <c r="BA2883" s="5" t="s">
        <v>238</v>
      </c>
      <c r="BC2883" s="5" t="s">
        <v>250</v>
      </c>
      <c r="BD2883" s="6" t="s">
        <v>243</v>
      </c>
      <c r="BE2883" s="5" t="s">
        <v>251</v>
      </c>
      <c r="BF2883" s="5" t="s">
        <v>252</v>
      </c>
      <c r="BG2883" s="5" t="s">
        <v>238</v>
      </c>
      <c r="BH2883" s="7">
        <f>0</f>
        <v>0</v>
      </c>
      <c r="BI2883" s="8">
        <f>0</f>
        <v>0</v>
      </c>
      <c r="BJ2883" s="5" t="s">
        <v>253</v>
      </c>
      <c r="BK2883" s="5" t="s">
        <v>254</v>
      </c>
      <c r="BY2883" s="5" t="s">
        <v>238</v>
      </c>
      <c r="BZ2883" s="5" t="s">
        <v>238</v>
      </c>
      <c r="CD2883" s="5" t="s">
        <v>273</v>
      </c>
      <c r="CE2883" s="5" t="s">
        <v>256</v>
      </c>
      <c r="CF2883" s="5" t="s">
        <v>238</v>
      </c>
      <c r="CI2883" s="6" t="s">
        <v>257</v>
      </c>
      <c r="CJ2883" s="5" t="s">
        <v>238</v>
      </c>
      <c r="CK2883" s="5" t="s">
        <v>258</v>
      </c>
      <c r="CL2883" s="5" t="s">
        <v>238</v>
      </c>
      <c r="CM2883" s="5" t="s">
        <v>238</v>
      </c>
      <c r="CN2883" s="5">
        <v>0</v>
      </c>
      <c r="CO2883" s="5" t="s">
        <v>259</v>
      </c>
      <c r="CP2883" s="5" t="s">
        <v>260</v>
      </c>
      <c r="CQ2883" s="5" t="s">
        <v>260</v>
      </c>
      <c r="CR2883" s="5" t="s">
        <v>261</v>
      </c>
      <c r="CU2883" s="8">
        <f>1</f>
        <v>1</v>
      </c>
      <c r="CV2883" s="8">
        <f>0</f>
        <v>0</v>
      </c>
      <c r="CX2883" s="8">
        <f>0</f>
        <v>0</v>
      </c>
      <c r="CY2883" s="8">
        <f>1</f>
        <v>1</v>
      </c>
      <c r="DA2883" s="5" t="s">
        <v>274</v>
      </c>
      <c r="DB2883" s="5" t="s">
        <v>238</v>
      </c>
      <c r="DD2883" s="5" t="s">
        <v>274</v>
      </c>
      <c r="DE2883" s="8">
        <f>230</f>
        <v>230</v>
      </c>
      <c r="DG2883" s="5" t="s">
        <v>238</v>
      </c>
      <c r="DH2883" s="5" t="s">
        <v>238</v>
      </c>
      <c r="DI2883" s="5" t="s">
        <v>238</v>
      </c>
      <c r="DJ2883" s="5" t="s">
        <v>238</v>
      </c>
      <c r="DN2883" s="5" t="s">
        <v>238</v>
      </c>
      <c r="DO2883" s="5" t="s">
        <v>238</v>
      </c>
      <c r="DP2883" s="5" t="s">
        <v>238</v>
      </c>
      <c r="DQ2883" s="5" t="s">
        <v>238</v>
      </c>
      <c r="DT2883" s="5" t="s">
        <v>275</v>
      </c>
      <c r="DU2883" s="5" t="s">
        <v>744</v>
      </c>
      <c r="HM2883" s="5" t="s">
        <v>264</v>
      </c>
    </row>
    <row r="2884" spans="1:221" x14ac:dyDescent="0.4">
      <c r="A2884" s="5">
        <v>4588</v>
      </c>
      <c r="B2884" s="5">
        <v>1</v>
      </c>
      <c r="C2884" s="5">
        <v>1</v>
      </c>
      <c r="D2884" s="5" t="s">
        <v>269</v>
      </c>
      <c r="E2884" s="5" t="s">
        <v>271</v>
      </c>
      <c r="F2884" s="5" t="s">
        <v>248</v>
      </c>
      <c r="G2884" s="5" t="s">
        <v>266</v>
      </c>
      <c r="H2884" s="6" t="s">
        <v>749</v>
      </c>
      <c r="I2884" s="7">
        <f>223</f>
        <v>223</v>
      </c>
      <c r="J2884" s="5" t="s">
        <v>262</v>
      </c>
      <c r="K2884" s="8">
        <f>1</f>
        <v>1</v>
      </c>
      <c r="L2884" s="6" t="s">
        <v>242</v>
      </c>
      <c r="M2884" s="5" t="s">
        <v>267</v>
      </c>
      <c r="N2884" s="5" t="s">
        <v>265</v>
      </c>
      <c r="O2884" s="5" t="s">
        <v>238</v>
      </c>
      <c r="P2884" s="5" t="s">
        <v>238</v>
      </c>
      <c r="Q2884" s="5" t="s">
        <v>268</v>
      </c>
      <c r="R2884" s="5" t="s">
        <v>270</v>
      </c>
      <c r="S2884" s="5" t="s">
        <v>238</v>
      </c>
      <c r="V2884" s="5" t="s">
        <v>238</v>
      </c>
      <c r="X2884" s="6" t="s">
        <v>238</v>
      </c>
      <c r="AA2884" s="6" t="s">
        <v>243</v>
      </c>
      <c r="AB2884" s="5" t="s">
        <v>238</v>
      </c>
      <c r="AC2884" s="5" t="s">
        <v>244</v>
      </c>
      <c r="AD2884" s="5" t="s">
        <v>245</v>
      </c>
      <c r="AT2884" s="5" t="s">
        <v>246</v>
      </c>
      <c r="AU2884" s="5" t="s">
        <v>238</v>
      </c>
      <c r="AV2884" s="5" t="s">
        <v>247</v>
      </c>
      <c r="AW2884" s="5" t="s">
        <v>238</v>
      </c>
      <c r="AX2884" s="5" t="s">
        <v>249</v>
      </c>
      <c r="AY2884" s="5" t="s">
        <v>238</v>
      </c>
      <c r="BA2884" s="5" t="s">
        <v>238</v>
      </c>
      <c r="BC2884" s="5" t="s">
        <v>250</v>
      </c>
      <c r="BD2884" s="6" t="s">
        <v>243</v>
      </c>
      <c r="BE2884" s="5" t="s">
        <v>251</v>
      </c>
      <c r="BF2884" s="5" t="s">
        <v>252</v>
      </c>
      <c r="BG2884" s="5" t="s">
        <v>238</v>
      </c>
      <c r="BH2884" s="7">
        <f>0</f>
        <v>0</v>
      </c>
      <c r="BI2884" s="8">
        <f>0</f>
        <v>0</v>
      </c>
      <c r="BJ2884" s="5" t="s">
        <v>253</v>
      </c>
      <c r="BK2884" s="5" t="s">
        <v>254</v>
      </c>
      <c r="BY2884" s="5" t="s">
        <v>238</v>
      </c>
      <c r="BZ2884" s="5" t="s">
        <v>238</v>
      </c>
      <c r="CD2884" s="5" t="s">
        <v>273</v>
      </c>
      <c r="CE2884" s="5" t="s">
        <v>256</v>
      </c>
      <c r="CF2884" s="5" t="s">
        <v>238</v>
      </c>
      <c r="CI2884" s="6" t="s">
        <v>257</v>
      </c>
      <c r="CJ2884" s="5" t="s">
        <v>238</v>
      </c>
      <c r="CK2884" s="5" t="s">
        <v>258</v>
      </c>
      <c r="CL2884" s="5" t="s">
        <v>238</v>
      </c>
      <c r="CM2884" s="5" t="s">
        <v>238</v>
      </c>
      <c r="CN2884" s="5">
        <v>0</v>
      </c>
      <c r="CO2884" s="5" t="s">
        <v>259</v>
      </c>
      <c r="CP2884" s="5" t="s">
        <v>260</v>
      </c>
      <c r="CQ2884" s="5" t="s">
        <v>260</v>
      </c>
      <c r="CR2884" s="5" t="s">
        <v>261</v>
      </c>
      <c r="CU2884" s="8">
        <f>1</f>
        <v>1</v>
      </c>
      <c r="CV2884" s="8">
        <f>0</f>
        <v>0</v>
      </c>
      <c r="CX2884" s="8">
        <f>0</f>
        <v>0</v>
      </c>
      <c r="CY2884" s="8">
        <f>1</f>
        <v>1</v>
      </c>
      <c r="DA2884" s="5" t="s">
        <v>274</v>
      </c>
      <c r="DB2884" s="5" t="s">
        <v>238</v>
      </c>
      <c r="DD2884" s="5" t="s">
        <v>274</v>
      </c>
      <c r="DE2884" s="8">
        <f>223</f>
        <v>223</v>
      </c>
      <c r="DG2884" s="5" t="s">
        <v>238</v>
      </c>
      <c r="DH2884" s="5" t="s">
        <v>238</v>
      </c>
      <c r="DI2884" s="5" t="s">
        <v>238</v>
      </c>
      <c r="DJ2884" s="5" t="s">
        <v>238</v>
      </c>
      <c r="DN2884" s="5" t="s">
        <v>238</v>
      </c>
      <c r="DO2884" s="5" t="s">
        <v>238</v>
      </c>
      <c r="DP2884" s="5" t="s">
        <v>238</v>
      </c>
      <c r="DQ2884" s="5" t="s">
        <v>238</v>
      </c>
      <c r="DT2884" s="5" t="s">
        <v>275</v>
      </c>
      <c r="DU2884" s="5" t="s">
        <v>750</v>
      </c>
      <c r="HM2884" s="5" t="s">
        <v>264</v>
      </c>
    </row>
    <row r="2885" spans="1:221" x14ac:dyDescent="0.4">
      <c r="A2885" s="5">
        <v>4589</v>
      </c>
      <c r="B2885" s="5">
        <v>1</v>
      </c>
      <c r="C2885" s="5">
        <v>1</v>
      </c>
      <c r="D2885" s="5" t="s">
        <v>269</v>
      </c>
      <c r="E2885" s="5" t="s">
        <v>271</v>
      </c>
      <c r="F2885" s="5" t="s">
        <v>248</v>
      </c>
      <c r="G2885" s="5" t="s">
        <v>266</v>
      </c>
      <c r="H2885" s="6" t="s">
        <v>755</v>
      </c>
      <c r="I2885" s="7">
        <f>225</f>
        <v>225</v>
      </c>
      <c r="J2885" s="5" t="s">
        <v>262</v>
      </c>
      <c r="K2885" s="8">
        <f>1</f>
        <v>1</v>
      </c>
      <c r="L2885" s="6" t="s">
        <v>242</v>
      </c>
      <c r="M2885" s="5" t="s">
        <v>267</v>
      </c>
      <c r="N2885" s="5" t="s">
        <v>265</v>
      </c>
      <c r="O2885" s="5" t="s">
        <v>238</v>
      </c>
      <c r="P2885" s="5" t="s">
        <v>238</v>
      </c>
      <c r="Q2885" s="5" t="s">
        <v>268</v>
      </c>
      <c r="R2885" s="5" t="s">
        <v>270</v>
      </c>
      <c r="S2885" s="5" t="s">
        <v>238</v>
      </c>
      <c r="V2885" s="5" t="s">
        <v>238</v>
      </c>
      <c r="X2885" s="6" t="s">
        <v>238</v>
      </c>
      <c r="AA2885" s="6" t="s">
        <v>243</v>
      </c>
      <c r="AB2885" s="5" t="s">
        <v>238</v>
      </c>
      <c r="AC2885" s="5" t="s">
        <v>244</v>
      </c>
      <c r="AD2885" s="5" t="s">
        <v>245</v>
      </c>
      <c r="AT2885" s="5" t="s">
        <v>246</v>
      </c>
      <c r="AU2885" s="5" t="s">
        <v>238</v>
      </c>
      <c r="AV2885" s="5" t="s">
        <v>247</v>
      </c>
      <c r="AW2885" s="5" t="s">
        <v>238</v>
      </c>
      <c r="AX2885" s="5" t="s">
        <v>249</v>
      </c>
      <c r="AY2885" s="5" t="s">
        <v>238</v>
      </c>
      <c r="BA2885" s="5" t="s">
        <v>238</v>
      </c>
      <c r="BC2885" s="5" t="s">
        <v>250</v>
      </c>
      <c r="BD2885" s="6" t="s">
        <v>243</v>
      </c>
      <c r="BE2885" s="5" t="s">
        <v>251</v>
      </c>
      <c r="BF2885" s="5" t="s">
        <v>252</v>
      </c>
      <c r="BG2885" s="5" t="s">
        <v>238</v>
      </c>
      <c r="BH2885" s="7">
        <f>0</f>
        <v>0</v>
      </c>
      <c r="BI2885" s="8">
        <f>0</f>
        <v>0</v>
      </c>
      <c r="BJ2885" s="5" t="s">
        <v>253</v>
      </c>
      <c r="BK2885" s="5" t="s">
        <v>254</v>
      </c>
      <c r="BY2885" s="5" t="s">
        <v>238</v>
      </c>
      <c r="BZ2885" s="5" t="s">
        <v>238</v>
      </c>
      <c r="CD2885" s="5" t="s">
        <v>273</v>
      </c>
      <c r="CE2885" s="5" t="s">
        <v>256</v>
      </c>
      <c r="CF2885" s="5" t="s">
        <v>238</v>
      </c>
      <c r="CI2885" s="6" t="s">
        <v>257</v>
      </c>
      <c r="CJ2885" s="5" t="s">
        <v>238</v>
      </c>
      <c r="CK2885" s="5" t="s">
        <v>258</v>
      </c>
      <c r="CL2885" s="5" t="s">
        <v>238</v>
      </c>
      <c r="CM2885" s="5" t="s">
        <v>238</v>
      </c>
      <c r="CN2885" s="5">
        <v>0</v>
      </c>
      <c r="CO2885" s="5" t="s">
        <v>259</v>
      </c>
      <c r="CP2885" s="5" t="s">
        <v>260</v>
      </c>
      <c r="CQ2885" s="5" t="s">
        <v>260</v>
      </c>
      <c r="CR2885" s="5" t="s">
        <v>261</v>
      </c>
      <c r="CU2885" s="8">
        <f>1</f>
        <v>1</v>
      </c>
      <c r="CV2885" s="8">
        <f>0</f>
        <v>0</v>
      </c>
      <c r="CX2885" s="8">
        <f>0</f>
        <v>0</v>
      </c>
      <c r="CY2885" s="8">
        <f>1</f>
        <v>1</v>
      </c>
      <c r="DA2885" s="5" t="s">
        <v>274</v>
      </c>
      <c r="DB2885" s="5" t="s">
        <v>238</v>
      </c>
      <c r="DD2885" s="5" t="s">
        <v>274</v>
      </c>
      <c r="DE2885" s="8">
        <f>225</f>
        <v>225</v>
      </c>
      <c r="DG2885" s="5" t="s">
        <v>238</v>
      </c>
      <c r="DH2885" s="5" t="s">
        <v>238</v>
      </c>
      <c r="DI2885" s="5" t="s">
        <v>238</v>
      </c>
      <c r="DJ2885" s="5" t="s">
        <v>238</v>
      </c>
      <c r="DN2885" s="5" t="s">
        <v>238</v>
      </c>
      <c r="DO2885" s="5" t="s">
        <v>238</v>
      </c>
      <c r="DP2885" s="5" t="s">
        <v>238</v>
      </c>
      <c r="DQ2885" s="5" t="s">
        <v>238</v>
      </c>
      <c r="DT2885" s="5" t="s">
        <v>275</v>
      </c>
      <c r="DU2885" s="5" t="s">
        <v>756</v>
      </c>
      <c r="HM2885" s="5" t="s">
        <v>264</v>
      </c>
    </row>
    <row r="2886" spans="1:221" x14ac:dyDescent="0.4">
      <c r="A2886" s="5">
        <v>4590</v>
      </c>
      <c r="B2886" s="5">
        <v>1</v>
      </c>
      <c r="C2886" s="5">
        <v>1</v>
      </c>
      <c r="D2886" s="5" t="s">
        <v>269</v>
      </c>
      <c r="E2886" s="5" t="s">
        <v>271</v>
      </c>
      <c r="F2886" s="5" t="s">
        <v>248</v>
      </c>
      <c r="G2886" s="5" t="s">
        <v>266</v>
      </c>
      <c r="H2886" s="6" t="s">
        <v>761</v>
      </c>
      <c r="I2886" s="7">
        <f>168</f>
        <v>168</v>
      </c>
      <c r="J2886" s="5" t="s">
        <v>262</v>
      </c>
      <c r="K2886" s="8">
        <f>1</f>
        <v>1</v>
      </c>
      <c r="L2886" s="6" t="s">
        <v>242</v>
      </c>
      <c r="M2886" s="5" t="s">
        <v>267</v>
      </c>
      <c r="N2886" s="5" t="s">
        <v>265</v>
      </c>
      <c r="O2886" s="5" t="s">
        <v>238</v>
      </c>
      <c r="P2886" s="5" t="s">
        <v>238</v>
      </c>
      <c r="Q2886" s="5" t="s">
        <v>268</v>
      </c>
      <c r="R2886" s="5" t="s">
        <v>270</v>
      </c>
      <c r="S2886" s="5" t="s">
        <v>238</v>
      </c>
      <c r="V2886" s="5" t="s">
        <v>238</v>
      </c>
      <c r="X2886" s="6" t="s">
        <v>238</v>
      </c>
      <c r="AA2886" s="6" t="s">
        <v>243</v>
      </c>
      <c r="AB2886" s="5" t="s">
        <v>238</v>
      </c>
      <c r="AC2886" s="5" t="s">
        <v>244</v>
      </c>
      <c r="AD2886" s="5" t="s">
        <v>245</v>
      </c>
      <c r="AT2886" s="5" t="s">
        <v>246</v>
      </c>
      <c r="AU2886" s="5" t="s">
        <v>238</v>
      </c>
      <c r="AV2886" s="5" t="s">
        <v>247</v>
      </c>
      <c r="AW2886" s="5" t="s">
        <v>238</v>
      </c>
      <c r="AX2886" s="5" t="s">
        <v>249</v>
      </c>
      <c r="AY2886" s="5" t="s">
        <v>238</v>
      </c>
      <c r="BA2886" s="5" t="s">
        <v>238</v>
      </c>
      <c r="BC2886" s="5" t="s">
        <v>250</v>
      </c>
      <c r="BD2886" s="6" t="s">
        <v>243</v>
      </c>
      <c r="BE2886" s="5" t="s">
        <v>251</v>
      </c>
      <c r="BF2886" s="5" t="s">
        <v>252</v>
      </c>
      <c r="BG2886" s="5" t="s">
        <v>238</v>
      </c>
      <c r="BH2886" s="7">
        <f>0</f>
        <v>0</v>
      </c>
      <c r="BI2886" s="8">
        <f>0</f>
        <v>0</v>
      </c>
      <c r="BJ2886" s="5" t="s">
        <v>253</v>
      </c>
      <c r="BK2886" s="5" t="s">
        <v>254</v>
      </c>
      <c r="BY2886" s="5" t="s">
        <v>238</v>
      </c>
      <c r="BZ2886" s="5" t="s">
        <v>238</v>
      </c>
      <c r="CD2886" s="5" t="s">
        <v>273</v>
      </c>
      <c r="CE2886" s="5" t="s">
        <v>256</v>
      </c>
      <c r="CF2886" s="5" t="s">
        <v>238</v>
      </c>
      <c r="CI2886" s="6" t="s">
        <v>257</v>
      </c>
      <c r="CJ2886" s="5" t="s">
        <v>238</v>
      </c>
      <c r="CK2886" s="5" t="s">
        <v>258</v>
      </c>
      <c r="CL2886" s="5" t="s">
        <v>238</v>
      </c>
      <c r="CM2886" s="5" t="s">
        <v>238</v>
      </c>
      <c r="CN2886" s="5">
        <v>0</v>
      </c>
      <c r="CO2886" s="5" t="s">
        <v>259</v>
      </c>
      <c r="CP2886" s="5" t="s">
        <v>260</v>
      </c>
      <c r="CQ2886" s="5" t="s">
        <v>260</v>
      </c>
      <c r="CR2886" s="5" t="s">
        <v>261</v>
      </c>
      <c r="CU2886" s="8">
        <f>1</f>
        <v>1</v>
      </c>
      <c r="CV2886" s="8">
        <f>0</f>
        <v>0</v>
      </c>
      <c r="CX2886" s="8">
        <f>0</f>
        <v>0</v>
      </c>
      <c r="CY2886" s="8">
        <f>1</f>
        <v>1</v>
      </c>
      <c r="DA2886" s="5" t="s">
        <v>274</v>
      </c>
      <c r="DB2886" s="5" t="s">
        <v>238</v>
      </c>
      <c r="DD2886" s="5" t="s">
        <v>274</v>
      </c>
      <c r="DE2886" s="8">
        <f>168</f>
        <v>168</v>
      </c>
      <c r="DG2886" s="5" t="s">
        <v>238</v>
      </c>
      <c r="DH2886" s="5" t="s">
        <v>238</v>
      </c>
      <c r="DI2886" s="5" t="s">
        <v>238</v>
      </c>
      <c r="DJ2886" s="5" t="s">
        <v>238</v>
      </c>
      <c r="DN2886" s="5" t="s">
        <v>238</v>
      </c>
      <c r="DO2886" s="5" t="s">
        <v>238</v>
      </c>
      <c r="DP2886" s="5" t="s">
        <v>238</v>
      </c>
      <c r="DQ2886" s="5" t="s">
        <v>238</v>
      </c>
      <c r="DT2886" s="5" t="s">
        <v>275</v>
      </c>
      <c r="DU2886" s="5" t="s">
        <v>762</v>
      </c>
      <c r="HM2886" s="5" t="s">
        <v>264</v>
      </c>
    </row>
    <row r="2887" spans="1:221" x14ac:dyDescent="0.4">
      <c r="A2887" s="5">
        <v>4591</v>
      </c>
      <c r="B2887" s="5">
        <v>1</v>
      </c>
      <c r="C2887" s="5">
        <v>1</v>
      </c>
      <c r="D2887" s="5" t="s">
        <v>269</v>
      </c>
      <c r="E2887" s="5" t="s">
        <v>271</v>
      </c>
      <c r="F2887" s="5" t="s">
        <v>248</v>
      </c>
      <c r="G2887" s="5" t="s">
        <v>266</v>
      </c>
      <c r="H2887" s="6" t="s">
        <v>763</v>
      </c>
      <c r="I2887" s="7">
        <f>492</f>
        <v>492</v>
      </c>
      <c r="J2887" s="5" t="s">
        <v>262</v>
      </c>
      <c r="K2887" s="8">
        <f>1</f>
        <v>1</v>
      </c>
      <c r="L2887" s="6" t="s">
        <v>242</v>
      </c>
      <c r="M2887" s="5" t="s">
        <v>267</v>
      </c>
      <c r="N2887" s="5" t="s">
        <v>265</v>
      </c>
      <c r="O2887" s="5" t="s">
        <v>238</v>
      </c>
      <c r="P2887" s="5" t="s">
        <v>238</v>
      </c>
      <c r="Q2887" s="5" t="s">
        <v>268</v>
      </c>
      <c r="R2887" s="5" t="s">
        <v>270</v>
      </c>
      <c r="S2887" s="5" t="s">
        <v>238</v>
      </c>
      <c r="V2887" s="5" t="s">
        <v>238</v>
      </c>
      <c r="X2887" s="6" t="s">
        <v>238</v>
      </c>
      <c r="AA2887" s="6" t="s">
        <v>243</v>
      </c>
      <c r="AB2887" s="5" t="s">
        <v>238</v>
      </c>
      <c r="AC2887" s="5" t="s">
        <v>244</v>
      </c>
      <c r="AD2887" s="5" t="s">
        <v>245</v>
      </c>
      <c r="AT2887" s="5" t="s">
        <v>246</v>
      </c>
      <c r="AU2887" s="5" t="s">
        <v>238</v>
      </c>
      <c r="AV2887" s="5" t="s">
        <v>247</v>
      </c>
      <c r="AW2887" s="5" t="s">
        <v>238</v>
      </c>
      <c r="AX2887" s="5" t="s">
        <v>249</v>
      </c>
      <c r="AY2887" s="5" t="s">
        <v>238</v>
      </c>
      <c r="BA2887" s="5" t="s">
        <v>238</v>
      </c>
      <c r="BC2887" s="5" t="s">
        <v>250</v>
      </c>
      <c r="BD2887" s="6" t="s">
        <v>243</v>
      </c>
      <c r="BE2887" s="5" t="s">
        <v>251</v>
      </c>
      <c r="BF2887" s="5" t="s">
        <v>252</v>
      </c>
      <c r="BG2887" s="5" t="s">
        <v>238</v>
      </c>
      <c r="BH2887" s="7">
        <f>0</f>
        <v>0</v>
      </c>
      <c r="BI2887" s="8">
        <f>0</f>
        <v>0</v>
      </c>
      <c r="BJ2887" s="5" t="s">
        <v>253</v>
      </c>
      <c r="BK2887" s="5" t="s">
        <v>254</v>
      </c>
      <c r="BY2887" s="5" t="s">
        <v>238</v>
      </c>
      <c r="BZ2887" s="5" t="s">
        <v>238</v>
      </c>
      <c r="CD2887" s="5" t="s">
        <v>273</v>
      </c>
      <c r="CE2887" s="5" t="s">
        <v>256</v>
      </c>
      <c r="CF2887" s="5" t="s">
        <v>238</v>
      </c>
      <c r="CI2887" s="6" t="s">
        <v>257</v>
      </c>
      <c r="CJ2887" s="5" t="s">
        <v>238</v>
      </c>
      <c r="CK2887" s="5" t="s">
        <v>258</v>
      </c>
      <c r="CL2887" s="5" t="s">
        <v>238</v>
      </c>
      <c r="CM2887" s="5" t="s">
        <v>238</v>
      </c>
      <c r="CN2887" s="5">
        <v>0</v>
      </c>
      <c r="CO2887" s="5" t="s">
        <v>259</v>
      </c>
      <c r="CP2887" s="5" t="s">
        <v>260</v>
      </c>
      <c r="CQ2887" s="5" t="s">
        <v>260</v>
      </c>
      <c r="CR2887" s="5" t="s">
        <v>261</v>
      </c>
      <c r="CU2887" s="8">
        <f>1</f>
        <v>1</v>
      </c>
      <c r="CV2887" s="8">
        <f>0</f>
        <v>0</v>
      </c>
      <c r="CX2887" s="8">
        <f>0</f>
        <v>0</v>
      </c>
      <c r="CY2887" s="8">
        <f>1</f>
        <v>1</v>
      </c>
      <c r="DA2887" s="5" t="s">
        <v>274</v>
      </c>
      <c r="DB2887" s="5" t="s">
        <v>238</v>
      </c>
      <c r="DD2887" s="5" t="s">
        <v>274</v>
      </c>
      <c r="DE2887" s="8">
        <f>492</f>
        <v>492</v>
      </c>
      <c r="DG2887" s="5" t="s">
        <v>238</v>
      </c>
      <c r="DH2887" s="5" t="s">
        <v>238</v>
      </c>
      <c r="DI2887" s="5" t="s">
        <v>238</v>
      </c>
      <c r="DJ2887" s="5" t="s">
        <v>238</v>
      </c>
      <c r="DN2887" s="5" t="s">
        <v>238</v>
      </c>
      <c r="DO2887" s="5" t="s">
        <v>238</v>
      </c>
      <c r="DP2887" s="5" t="s">
        <v>238</v>
      </c>
      <c r="DQ2887" s="5" t="s">
        <v>238</v>
      </c>
      <c r="DT2887" s="5" t="s">
        <v>275</v>
      </c>
      <c r="DU2887" s="5" t="s">
        <v>764</v>
      </c>
      <c r="HM2887" s="5" t="s">
        <v>264</v>
      </c>
    </row>
    <row r="2888" spans="1:221" x14ac:dyDescent="0.4">
      <c r="A2888" s="5">
        <v>4592</v>
      </c>
      <c r="B2888" s="5">
        <v>1</v>
      </c>
      <c r="C2888" s="5">
        <v>1</v>
      </c>
      <c r="D2888" s="5" t="s">
        <v>269</v>
      </c>
      <c r="E2888" s="5" t="s">
        <v>271</v>
      </c>
      <c r="F2888" s="5" t="s">
        <v>248</v>
      </c>
      <c r="G2888" s="5" t="s">
        <v>266</v>
      </c>
      <c r="H2888" s="6" t="s">
        <v>769</v>
      </c>
      <c r="I2888" s="7">
        <f>298</f>
        <v>298</v>
      </c>
      <c r="J2888" s="5" t="s">
        <v>262</v>
      </c>
      <c r="K2888" s="8">
        <f>1</f>
        <v>1</v>
      </c>
      <c r="L2888" s="6" t="s">
        <v>242</v>
      </c>
      <c r="M2888" s="5" t="s">
        <v>267</v>
      </c>
      <c r="N2888" s="5" t="s">
        <v>265</v>
      </c>
      <c r="O2888" s="5" t="s">
        <v>238</v>
      </c>
      <c r="P2888" s="5" t="s">
        <v>238</v>
      </c>
      <c r="Q2888" s="5" t="s">
        <v>268</v>
      </c>
      <c r="R2888" s="5" t="s">
        <v>270</v>
      </c>
      <c r="S2888" s="5" t="s">
        <v>238</v>
      </c>
      <c r="V2888" s="5" t="s">
        <v>238</v>
      </c>
      <c r="X2888" s="6" t="s">
        <v>238</v>
      </c>
      <c r="AA2888" s="6" t="s">
        <v>243</v>
      </c>
      <c r="AB2888" s="5" t="s">
        <v>238</v>
      </c>
      <c r="AC2888" s="5" t="s">
        <v>244</v>
      </c>
      <c r="AD2888" s="5" t="s">
        <v>245</v>
      </c>
      <c r="AT2888" s="5" t="s">
        <v>246</v>
      </c>
      <c r="AU2888" s="5" t="s">
        <v>238</v>
      </c>
      <c r="AV2888" s="5" t="s">
        <v>247</v>
      </c>
      <c r="AW2888" s="5" t="s">
        <v>238</v>
      </c>
      <c r="AX2888" s="5" t="s">
        <v>249</v>
      </c>
      <c r="AY2888" s="5" t="s">
        <v>238</v>
      </c>
      <c r="BA2888" s="5" t="s">
        <v>238</v>
      </c>
      <c r="BC2888" s="5" t="s">
        <v>250</v>
      </c>
      <c r="BD2888" s="6" t="s">
        <v>243</v>
      </c>
      <c r="BE2888" s="5" t="s">
        <v>251</v>
      </c>
      <c r="BF2888" s="5" t="s">
        <v>252</v>
      </c>
      <c r="BG2888" s="5" t="s">
        <v>238</v>
      </c>
      <c r="BH2888" s="7">
        <f>0</f>
        <v>0</v>
      </c>
      <c r="BI2888" s="8">
        <f>0</f>
        <v>0</v>
      </c>
      <c r="BJ2888" s="5" t="s">
        <v>253</v>
      </c>
      <c r="BK2888" s="5" t="s">
        <v>254</v>
      </c>
      <c r="BY2888" s="5" t="s">
        <v>238</v>
      </c>
      <c r="BZ2888" s="5" t="s">
        <v>238</v>
      </c>
      <c r="CD2888" s="5" t="s">
        <v>273</v>
      </c>
      <c r="CE2888" s="5" t="s">
        <v>256</v>
      </c>
      <c r="CF2888" s="5" t="s">
        <v>238</v>
      </c>
      <c r="CI2888" s="6" t="s">
        <v>257</v>
      </c>
      <c r="CJ2888" s="5" t="s">
        <v>238</v>
      </c>
      <c r="CK2888" s="5" t="s">
        <v>258</v>
      </c>
      <c r="CL2888" s="5" t="s">
        <v>238</v>
      </c>
      <c r="CM2888" s="5" t="s">
        <v>238</v>
      </c>
      <c r="CN2888" s="5">
        <v>0</v>
      </c>
      <c r="CO2888" s="5" t="s">
        <v>259</v>
      </c>
      <c r="CP2888" s="5" t="s">
        <v>260</v>
      </c>
      <c r="CQ2888" s="5" t="s">
        <v>260</v>
      </c>
      <c r="CR2888" s="5" t="s">
        <v>261</v>
      </c>
      <c r="CU2888" s="8">
        <f>1</f>
        <v>1</v>
      </c>
      <c r="CV2888" s="8">
        <f>0</f>
        <v>0</v>
      </c>
      <c r="CX2888" s="8">
        <f>0</f>
        <v>0</v>
      </c>
      <c r="CY2888" s="8">
        <f>1</f>
        <v>1</v>
      </c>
      <c r="DA2888" s="5" t="s">
        <v>274</v>
      </c>
      <c r="DB2888" s="5" t="s">
        <v>238</v>
      </c>
      <c r="DD2888" s="5" t="s">
        <v>274</v>
      </c>
      <c r="DE2888" s="8">
        <f>298</f>
        <v>298</v>
      </c>
      <c r="DG2888" s="5" t="s">
        <v>238</v>
      </c>
      <c r="DH2888" s="5" t="s">
        <v>238</v>
      </c>
      <c r="DI2888" s="5" t="s">
        <v>238</v>
      </c>
      <c r="DJ2888" s="5" t="s">
        <v>238</v>
      </c>
      <c r="DN2888" s="5" t="s">
        <v>238</v>
      </c>
      <c r="DO2888" s="5" t="s">
        <v>238</v>
      </c>
      <c r="DP2888" s="5" t="s">
        <v>238</v>
      </c>
      <c r="DQ2888" s="5" t="s">
        <v>238</v>
      </c>
      <c r="DT2888" s="5" t="s">
        <v>275</v>
      </c>
      <c r="DU2888" s="5" t="s">
        <v>770</v>
      </c>
      <c r="HM2888" s="5" t="s">
        <v>264</v>
      </c>
    </row>
    <row r="2889" spans="1:221" x14ac:dyDescent="0.4">
      <c r="A2889" s="5">
        <v>4593</v>
      </c>
      <c r="B2889" s="5">
        <v>1</v>
      </c>
      <c r="C2889" s="5">
        <v>1</v>
      </c>
      <c r="D2889" s="5" t="s">
        <v>269</v>
      </c>
      <c r="E2889" s="5" t="s">
        <v>271</v>
      </c>
      <c r="F2889" s="5" t="s">
        <v>248</v>
      </c>
      <c r="G2889" s="5" t="s">
        <v>266</v>
      </c>
      <c r="H2889" s="6" t="s">
        <v>781</v>
      </c>
      <c r="I2889" s="7">
        <f>394</f>
        <v>394</v>
      </c>
      <c r="J2889" s="5" t="s">
        <v>262</v>
      </c>
      <c r="K2889" s="8">
        <f>1</f>
        <v>1</v>
      </c>
      <c r="L2889" s="6" t="s">
        <v>242</v>
      </c>
      <c r="M2889" s="5" t="s">
        <v>267</v>
      </c>
      <c r="N2889" s="5" t="s">
        <v>265</v>
      </c>
      <c r="O2889" s="5" t="s">
        <v>238</v>
      </c>
      <c r="P2889" s="5" t="s">
        <v>238</v>
      </c>
      <c r="Q2889" s="5" t="s">
        <v>268</v>
      </c>
      <c r="R2889" s="5" t="s">
        <v>270</v>
      </c>
      <c r="S2889" s="5" t="s">
        <v>238</v>
      </c>
      <c r="V2889" s="5" t="s">
        <v>238</v>
      </c>
      <c r="X2889" s="6" t="s">
        <v>238</v>
      </c>
      <c r="AA2889" s="6" t="s">
        <v>243</v>
      </c>
      <c r="AB2889" s="5" t="s">
        <v>238</v>
      </c>
      <c r="AC2889" s="5" t="s">
        <v>244</v>
      </c>
      <c r="AD2889" s="5" t="s">
        <v>245</v>
      </c>
      <c r="AT2889" s="5" t="s">
        <v>246</v>
      </c>
      <c r="AU2889" s="5" t="s">
        <v>238</v>
      </c>
      <c r="AV2889" s="5" t="s">
        <v>247</v>
      </c>
      <c r="AW2889" s="5" t="s">
        <v>238</v>
      </c>
      <c r="AX2889" s="5" t="s">
        <v>249</v>
      </c>
      <c r="AY2889" s="5" t="s">
        <v>238</v>
      </c>
      <c r="BA2889" s="5" t="s">
        <v>238</v>
      </c>
      <c r="BC2889" s="5" t="s">
        <v>250</v>
      </c>
      <c r="BD2889" s="6" t="s">
        <v>243</v>
      </c>
      <c r="BE2889" s="5" t="s">
        <v>251</v>
      </c>
      <c r="BF2889" s="5" t="s">
        <v>252</v>
      </c>
      <c r="BG2889" s="5" t="s">
        <v>238</v>
      </c>
      <c r="BH2889" s="7">
        <f>0</f>
        <v>0</v>
      </c>
      <c r="BI2889" s="8">
        <f>0</f>
        <v>0</v>
      </c>
      <c r="BJ2889" s="5" t="s">
        <v>253</v>
      </c>
      <c r="BK2889" s="5" t="s">
        <v>254</v>
      </c>
      <c r="BY2889" s="5" t="s">
        <v>238</v>
      </c>
      <c r="BZ2889" s="5" t="s">
        <v>238</v>
      </c>
      <c r="CD2889" s="5" t="s">
        <v>273</v>
      </c>
      <c r="CE2889" s="5" t="s">
        <v>256</v>
      </c>
      <c r="CF2889" s="5" t="s">
        <v>238</v>
      </c>
      <c r="CI2889" s="6" t="s">
        <v>257</v>
      </c>
      <c r="CJ2889" s="5" t="s">
        <v>238</v>
      </c>
      <c r="CK2889" s="5" t="s">
        <v>258</v>
      </c>
      <c r="CL2889" s="5" t="s">
        <v>238</v>
      </c>
      <c r="CM2889" s="5" t="s">
        <v>238</v>
      </c>
      <c r="CN2889" s="5">
        <v>0</v>
      </c>
      <c r="CO2889" s="5" t="s">
        <v>259</v>
      </c>
      <c r="CP2889" s="5" t="s">
        <v>260</v>
      </c>
      <c r="CQ2889" s="5" t="s">
        <v>260</v>
      </c>
      <c r="CR2889" s="5" t="s">
        <v>261</v>
      </c>
      <c r="CU2889" s="8">
        <f>1</f>
        <v>1</v>
      </c>
      <c r="CV2889" s="8">
        <f>0</f>
        <v>0</v>
      </c>
      <c r="CX2889" s="8">
        <f>0</f>
        <v>0</v>
      </c>
      <c r="CY2889" s="8">
        <f>1</f>
        <v>1</v>
      </c>
      <c r="DA2889" s="5" t="s">
        <v>274</v>
      </c>
      <c r="DB2889" s="5" t="s">
        <v>238</v>
      </c>
      <c r="DD2889" s="5" t="s">
        <v>274</v>
      </c>
      <c r="DE2889" s="8">
        <f>394</f>
        <v>394</v>
      </c>
      <c r="DG2889" s="5" t="s">
        <v>238</v>
      </c>
      <c r="DH2889" s="5" t="s">
        <v>238</v>
      </c>
      <c r="DI2889" s="5" t="s">
        <v>238</v>
      </c>
      <c r="DJ2889" s="5" t="s">
        <v>238</v>
      </c>
      <c r="DN2889" s="5" t="s">
        <v>238</v>
      </c>
      <c r="DO2889" s="5" t="s">
        <v>238</v>
      </c>
      <c r="DP2889" s="5" t="s">
        <v>238</v>
      </c>
      <c r="DQ2889" s="5" t="s">
        <v>238</v>
      </c>
      <c r="DT2889" s="5" t="s">
        <v>275</v>
      </c>
      <c r="DU2889" s="5" t="s">
        <v>782</v>
      </c>
      <c r="HM2889" s="5" t="s">
        <v>264</v>
      </c>
    </row>
    <row r="2890" spans="1:221" x14ac:dyDescent="0.4">
      <c r="A2890" s="5">
        <v>4594</v>
      </c>
      <c r="B2890" s="5">
        <v>1</v>
      </c>
      <c r="C2890" s="5">
        <v>1</v>
      </c>
      <c r="D2890" s="5" t="s">
        <v>269</v>
      </c>
      <c r="E2890" s="5" t="s">
        <v>271</v>
      </c>
      <c r="F2890" s="5" t="s">
        <v>248</v>
      </c>
      <c r="G2890" s="5" t="s">
        <v>266</v>
      </c>
      <c r="H2890" s="6" t="s">
        <v>787</v>
      </c>
      <c r="I2890" s="7">
        <f>355</f>
        <v>355</v>
      </c>
      <c r="J2890" s="5" t="s">
        <v>262</v>
      </c>
      <c r="K2890" s="8">
        <f>1</f>
        <v>1</v>
      </c>
      <c r="L2890" s="6" t="s">
        <v>242</v>
      </c>
      <c r="M2890" s="5" t="s">
        <v>267</v>
      </c>
      <c r="N2890" s="5" t="s">
        <v>265</v>
      </c>
      <c r="O2890" s="5" t="s">
        <v>238</v>
      </c>
      <c r="P2890" s="5" t="s">
        <v>238</v>
      </c>
      <c r="Q2890" s="5" t="s">
        <v>268</v>
      </c>
      <c r="R2890" s="5" t="s">
        <v>270</v>
      </c>
      <c r="S2890" s="5" t="s">
        <v>238</v>
      </c>
      <c r="V2890" s="5" t="s">
        <v>238</v>
      </c>
      <c r="X2890" s="6" t="s">
        <v>238</v>
      </c>
      <c r="AA2890" s="6" t="s">
        <v>243</v>
      </c>
      <c r="AB2890" s="5" t="s">
        <v>238</v>
      </c>
      <c r="AC2890" s="5" t="s">
        <v>244</v>
      </c>
      <c r="AD2890" s="5" t="s">
        <v>245</v>
      </c>
      <c r="AT2890" s="5" t="s">
        <v>246</v>
      </c>
      <c r="AU2890" s="5" t="s">
        <v>238</v>
      </c>
      <c r="AV2890" s="5" t="s">
        <v>247</v>
      </c>
      <c r="AW2890" s="5" t="s">
        <v>238</v>
      </c>
      <c r="AX2890" s="5" t="s">
        <v>249</v>
      </c>
      <c r="AY2890" s="5" t="s">
        <v>238</v>
      </c>
      <c r="BA2890" s="5" t="s">
        <v>238</v>
      </c>
      <c r="BC2890" s="5" t="s">
        <v>250</v>
      </c>
      <c r="BD2890" s="6" t="s">
        <v>243</v>
      </c>
      <c r="BE2890" s="5" t="s">
        <v>251</v>
      </c>
      <c r="BF2890" s="5" t="s">
        <v>252</v>
      </c>
      <c r="BG2890" s="5" t="s">
        <v>238</v>
      </c>
      <c r="BH2890" s="7">
        <f>0</f>
        <v>0</v>
      </c>
      <c r="BI2890" s="8">
        <f>0</f>
        <v>0</v>
      </c>
      <c r="BJ2890" s="5" t="s">
        <v>253</v>
      </c>
      <c r="BK2890" s="5" t="s">
        <v>254</v>
      </c>
      <c r="BY2890" s="5" t="s">
        <v>238</v>
      </c>
      <c r="BZ2890" s="5" t="s">
        <v>238</v>
      </c>
      <c r="CD2890" s="5" t="s">
        <v>273</v>
      </c>
      <c r="CE2890" s="5" t="s">
        <v>256</v>
      </c>
      <c r="CF2890" s="5" t="s">
        <v>238</v>
      </c>
      <c r="CI2890" s="6" t="s">
        <v>257</v>
      </c>
      <c r="CJ2890" s="5" t="s">
        <v>238</v>
      </c>
      <c r="CK2890" s="5" t="s">
        <v>258</v>
      </c>
      <c r="CL2890" s="5" t="s">
        <v>238</v>
      </c>
      <c r="CM2890" s="5" t="s">
        <v>238</v>
      </c>
      <c r="CN2890" s="5">
        <v>0</v>
      </c>
      <c r="CO2890" s="5" t="s">
        <v>259</v>
      </c>
      <c r="CP2890" s="5" t="s">
        <v>260</v>
      </c>
      <c r="CQ2890" s="5" t="s">
        <v>260</v>
      </c>
      <c r="CR2890" s="5" t="s">
        <v>261</v>
      </c>
      <c r="CU2890" s="8">
        <f>1</f>
        <v>1</v>
      </c>
      <c r="CV2890" s="8">
        <f>0</f>
        <v>0</v>
      </c>
      <c r="CX2890" s="8">
        <f>0</f>
        <v>0</v>
      </c>
      <c r="CY2890" s="8">
        <f>1</f>
        <v>1</v>
      </c>
      <c r="DA2890" s="5" t="s">
        <v>274</v>
      </c>
      <c r="DB2890" s="5" t="s">
        <v>238</v>
      </c>
      <c r="DD2890" s="5" t="s">
        <v>274</v>
      </c>
      <c r="DE2890" s="8">
        <f>355</f>
        <v>355</v>
      </c>
      <c r="DG2890" s="5" t="s">
        <v>238</v>
      </c>
      <c r="DH2890" s="5" t="s">
        <v>238</v>
      </c>
      <c r="DI2890" s="5" t="s">
        <v>238</v>
      </c>
      <c r="DJ2890" s="5" t="s">
        <v>238</v>
      </c>
      <c r="DN2890" s="5" t="s">
        <v>238</v>
      </c>
      <c r="DO2890" s="5" t="s">
        <v>238</v>
      </c>
      <c r="DP2890" s="5" t="s">
        <v>238</v>
      </c>
      <c r="DQ2890" s="5" t="s">
        <v>238</v>
      </c>
      <c r="DT2890" s="5" t="s">
        <v>275</v>
      </c>
      <c r="DU2890" s="5" t="s">
        <v>788</v>
      </c>
      <c r="HM2890" s="5" t="s">
        <v>264</v>
      </c>
    </row>
    <row r="2891" spans="1:221" x14ac:dyDescent="0.4">
      <c r="A2891" s="5">
        <v>4595</v>
      </c>
      <c r="B2891" s="5">
        <v>1</v>
      </c>
      <c r="C2891" s="5">
        <v>1</v>
      </c>
      <c r="D2891" s="5" t="s">
        <v>269</v>
      </c>
      <c r="E2891" s="5" t="s">
        <v>271</v>
      </c>
      <c r="F2891" s="5" t="s">
        <v>248</v>
      </c>
      <c r="G2891" s="5" t="s">
        <v>266</v>
      </c>
      <c r="H2891" s="6" t="s">
        <v>798</v>
      </c>
      <c r="I2891" s="7">
        <f>579</f>
        <v>579</v>
      </c>
      <c r="J2891" s="5" t="s">
        <v>262</v>
      </c>
      <c r="K2891" s="8">
        <f>1</f>
        <v>1</v>
      </c>
      <c r="L2891" s="6" t="s">
        <v>242</v>
      </c>
      <c r="M2891" s="5" t="s">
        <v>267</v>
      </c>
      <c r="N2891" s="5" t="s">
        <v>265</v>
      </c>
      <c r="O2891" s="5" t="s">
        <v>238</v>
      </c>
      <c r="P2891" s="5" t="s">
        <v>238</v>
      </c>
      <c r="Q2891" s="5" t="s">
        <v>268</v>
      </c>
      <c r="R2891" s="5" t="s">
        <v>270</v>
      </c>
      <c r="S2891" s="5" t="s">
        <v>238</v>
      </c>
      <c r="V2891" s="5" t="s">
        <v>238</v>
      </c>
      <c r="X2891" s="6" t="s">
        <v>238</v>
      </c>
      <c r="AA2891" s="6" t="s">
        <v>243</v>
      </c>
      <c r="AB2891" s="5" t="s">
        <v>238</v>
      </c>
      <c r="AC2891" s="5" t="s">
        <v>244</v>
      </c>
      <c r="AD2891" s="5" t="s">
        <v>245</v>
      </c>
      <c r="AT2891" s="5" t="s">
        <v>246</v>
      </c>
      <c r="AU2891" s="5" t="s">
        <v>238</v>
      </c>
      <c r="AV2891" s="5" t="s">
        <v>247</v>
      </c>
      <c r="AW2891" s="5" t="s">
        <v>238</v>
      </c>
      <c r="AX2891" s="5" t="s">
        <v>249</v>
      </c>
      <c r="AY2891" s="5" t="s">
        <v>238</v>
      </c>
      <c r="BA2891" s="5" t="s">
        <v>238</v>
      </c>
      <c r="BC2891" s="5" t="s">
        <v>250</v>
      </c>
      <c r="BD2891" s="6" t="s">
        <v>243</v>
      </c>
      <c r="BE2891" s="5" t="s">
        <v>251</v>
      </c>
      <c r="BF2891" s="5" t="s">
        <v>252</v>
      </c>
      <c r="BG2891" s="5" t="s">
        <v>238</v>
      </c>
      <c r="BH2891" s="7">
        <f>0</f>
        <v>0</v>
      </c>
      <c r="BI2891" s="8">
        <f>0</f>
        <v>0</v>
      </c>
      <c r="BJ2891" s="5" t="s">
        <v>253</v>
      </c>
      <c r="BK2891" s="5" t="s">
        <v>254</v>
      </c>
      <c r="BY2891" s="5" t="s">
        <v>238</v>
      </c>
      <c r="BZ2891" s="5" t="s">
        <v>238</v>
      </c>
      <c r="CD2891" s="5" t="s">
        <v>273</v>
      </c>
      <c r="CE2891" s="5" t="s">
        <v>256</v>
      </c>
      <c r="CF2891" s="5" t="s">
        <v>238</v>
      </c>
      <c r="CI2891" s="6" t="s">
        <v>257</v>
      </c>
      <c r="CJ2891" s="5" t="s">
        <v>238</v>
      </c>
      <c r="CK2891" s="5" t="s">
        <v>258</v>
      </c>
      <c r="CL2891" s="5" t="s">
        <v>238</v>
      </c>
      <c r="CM2891" s="5" t="s">
        <v>238</v>
      </c>
      <c r="CN2891" s="5">
        <v>0</v>
      </c>
      <c r="CO2891" s="5" t="s">
        <v>259</v>
      </c>
      <c r="CP2891" s="5" t="s">
        <v>260</v>
      </c>
      <c r="CQ2891" s="5" t="s">
        <v>260</v>
      </c>
      <c r="CR2891" s="5" t="s">
        <v>261</v>
      </c>
      <c r="CU2891" s="8">
        <f>1</f>
        <v>1</v>
      </c>
      <c r="CV2891" s="8">
        <f>0</f>
        <v>0</v>
      </c>
      <c r="CX2891" s="8">
        <f>0</f>
        <v>0</v>
      </c>
      <c r="CY2891" s="8">
        <f>1</f>
        <v>1</v>
      </c>
      <c r="DA2891" s="5" t="s">
        <v>274</v>
      </c>
      <c r="DB2891" s="5" t="s">
        <v>238</v>
      </c>
      <c r="DD2891" s="5" t="s">
        <v>274</v>
      </c>
      <c r="DE2891" s="8">
        <f>579</f>
        <v>579</v>
      </c>
      <c r="DG2891" s="5" t="s">
        <v>238</v>
      </c>
      <c r="DH2891" s="5" t="s">
        <v>238</v>
      </c>
      <c r="DI2891" s="5" t="s">
        <v>238</v>
      </c>
      <c r="DJ2891" s="5" t="s">
        <v>238</v>
      </c>
      <c r="DN2891" s="5" t="s">
        <v>238</v>
      </c>
      <c r="DO2891" s="5" t="s">
        <v>238</v>
      </c>
      <c r="DP2891" s="5" t="s">
        <v>238</v>
      </c>
      <c r="DQ2891" s="5" t="s">
        <v>238</v>
      </c>
      <c r="DT2891" s="5" t="s">
        <v>275</v>
      </c>
      <c r="DU2891" s="5" t="s">
        <v>799</v>
      </c>
      <c r="HM2891" s="5" t="s">
        <v>264</v>
      </c>
    </row>
    <row r="2892" spans="1:221" x14ac:dyDescent="0.4">
      <c r="A2892" s="5">
        <v>4596</v>
      </c>
      <c r="B2892" s="5">
        <v>1</v>
      </c>
      <c r="C2892" s="5">
        <v>1</v>
      </c>
      <c r="D2892" s="5" t="s">
        <v>269</v>
      </c>
      <c r="E2892" s="5" t="s">
        <v>271</v>
      </c>
      <c r="F2892" s="5" t="s">
        <v>248</v>
      </c>
      <c r="G2892" s="5" t="s">
        <v>266</v>
      </c>
      <c r="H2892" s="6" t="s">
        <v>800</v>
      </c>
      <c r="I2892" s="7">
        <f>260</f>
        <v>260</v>
      </c>
      <c r="J2892" s="5" t="s">
        <v>262</v>
      </c>
      <c r="K2892" s="8">
        <f>1</f>
        <v>1</v>
      </c>
      <c r="L2892" s="6" t="s">
        <v>242</v>
      </c>
      <c r="M2892" s="5" t="s">
        <v>267</v>
      </c>
      <c r="N2892" s="5" t="s">
        <v>265</v>
      </c>
      <c r="O2892" s="5" t="s">
        <v>238</v>
      </c>
      <c r="P2892" s="5" t="s">
        <v>238</v>
      </c>
      <c r="Q2892" s="5" t="s">
        <v>268</v>
      </c>
      <c r="R2892" s="5" t="s">
        <v>270</v>
      </c>
      <c r="S2892" s="5" t="s">
        <v>238</v>
      </c>
      <c r="V2892" s="5" t="s">
        <v>238</v>
      </c>
      <c r="X2892" s="6" t="s">
        <v>238</v>
      </c>
      <c r="AA2892" s="6" t="s">
        <v>243</v>
      </c>
      <c r="AB2892" s="5" t="s">
        <v>238</v>
      </c>
      <c r="AC2892" s="5" t="s">
        <v>244</v>
      </c>
      <c r="AD2892" s="5" t="s">
        <v>245</v>
      </c>
      <c r="AT2892" s="5" t="s">
        <v>246</v>
      </c>
      <c r="AU2892" s="5" t="s">
        <v>238</v>
      </c>
      <c r="AV2892" s="5" t="s">
        <v>247</v>
      </c>
      <c r="AW2892" s="5" t="s">
        <v>238</v>
      </c>
      <c r="AX2892" s="5" t="s">
        <v>249</v>
      </c>
      <c r="AY2892" s="5" t="s">
        <v>238</v>
      </c>
      <c r="BA2892" s="5" t="s">
        <v>238</v>
      </c>
      <c r="BC2892" s="5" t="s">
        <v>250</v>
      </c>
      <c r="BD2892" s="6" t="s">
        <v>243</v>
      </c>
      <c r="BE2892" s="5" t="s">
        <v>251</v>
      </c>
      <c r="BF2892" s="5" t="s">
        <v>252</v>
      </c>
      <c r="BG2892" s="5" t="s">
        <v>238</v>
      </c>
      <c r="BH2892" s="7">
        <f>0</f>
        <v>0</v>
      </c>
      <c r="BI2892" s="8">
        <f>0</f>
        <v>0</v>
      </c>
      <c r="BJ2892" s="5" t="s">
        <v>253</v>
      </c>
      <c r="BK2892" s="5" t="s">
        <v>254</v>
      </c>
      <c r="BY2892" s="5" t="s">
        <v>238</v>
      </c>
      <c r="BZ2892" s="5" t="s">
        <v>238</v>
      </c>
      <c r="CD2892" s="5" t="s">
        <v>273</v>
      </c>
      <c r="CE2892" s="5" t="s">
        <v>256</v>
      </c>
      <c r="CF2892" s="5" t="s">
        <v>238</v>
      </c>
      <c r="CI2892" s="6" t="s">
        <v>257</v>
      </c>
      <c r="CJ2892" s="5" t="s">
        <v>238</v>
      </c>
      <c r="CK2892" s="5" t="s">
        <v>258</v>
      </c>
      <c r="CL2892" s="5" t="s">
        <v>238</v>
      </c>
      <c r="CM2892" s="5" t="s">
        <v>238</v>
      </c>
      <c r="CN2892" s="5">
        <v>0</v>
      </c>
      <c r="CO2892" s="5" t="s">
        <v>259</v>
      </c>
      <c r="CP2892" s="5" t="s">
        <v>260</v>
      </c>
      <c r="CQ2892" s="5" t="s">
        <v>260</v>
      </c>
      <c r="CR2892" s="5" t="s">
        <v>261</v>
      </c>
      <c r="CU2892" s="8">
        <f>1</f>
        <v>1</v>
      </c>
      <c r="CV2892" s="8">
        <f>0</f>
        <v>0</v>
      </c>
      <c r="CX2892" s="8">
        <f>0</f>
        <v>0</v>
      </c>
      <c r="CY2892" s="8">
        <f>1</f>
        <v>1</v>
      </c>
      <c r="DA2892" s="5" t="s">
        <v>274</v>
      </c>
      <c r="DB2892" s="5" t="s">
        <v>238</v>
      </c>
      <c r="DD2892" s="5" t="s">
        <v>274</v>
      </c>
      <c r="DE2892" s="8">
        <f>260</f>
        <v>260</v>
      </c>
      <c r="DG2892" s="5" t="s">
        <v>238</v>
      </c>
      <c r="DH2892" s="5" t="s">
        <v>238</v>
      </c>
      <c r="DI2892" s="5" t="s">
        <v>238</v>
      </c>
      <c r="DJ2892" s="5" t="s">
        <v>238</v>
      </c>
      <c r="DN2892" s="5" t="s">
        <v>238</v>
      </c>
      <c r="DO2892" s="5" t="s">
        <v>238</v>
      </c>
      <c r="DP2892" s="5" t="s">
        <v>238</v>
      </c>
      <c r="DQ2892" s="5" t="s">
        <v>238</v>
      </c>
      <c r="DT2892" s="5" t="s">
        <v>275</v>
      </c>
      <c r="DU2892" s="5" t="s">
        <v>801</v>
      </c>
      <c r="HM2892" s="5" t="s">
        <v>264</v>
      </c>
    </row>
    <row r="2893" spans="1:221" x14ac:dyDescent="0.4">
      <c r="A2893" s="5">
        <v>4597</v>
      </c>
      <c r="B2893" s="5">
        <v>1</v>
      </c>
      <c r="C2893" s="5">
        <v>1</v>
      </c>
      <c r="D2893" s="5" t="s">
        <v>269</v>
      </c>
      <c r="E2893" s="5" t="s">
        <v>271</v>
      </c>
      <c r="F2893" s="5" t="s">
        <v>248</v>
      </c>
      <c r="G2893" s="5" t="s">
        <v>266</v>
      </c>
      <c r="H2893" s="6" t="s">
        <v>5586</v>
      </c>
      <c r="I2893" s="7">
        <f>260</f>
        <v>260</v>
      </c>
      <c r="J2893" s="5" t="s">
        <v>262</v>
      </c>
      <c r="K2893" s="8">
        <f>1</f>
        <v>1</v>
      </c>
      <c r="L2893" s="6" t="s">
        <v>242</v>
      </c>
      <c r="M2893" s="5" t="s">
        <v>267</v>
      </c>
      <c r="N2893" s="5" t="s">
        <v>265</v>
      </c>
      <c r="O2893" s="5" t="s">
        <v>238</v>
      </c>
      <c r="P2893" s="5" t="s">
        <v>238</v>
      </c>
      <c r="Q2893" s="5" t="s">
        <v>268</v>
      </c>
      <c r="R2893" s="5" t="s">
        <v>270</v>
      </c>
      <c r="S2893" s="5" t="s">
        <v>238</v>
      </c>
      <c r="V2893" s="5" t="s">
        <v>238</v>
      </c>
      <c r="X2893" s="6" t="s">
        <v>238</v>
      </c>
      <c r="AA2893" s="6" t="s">
        <v>243</v>
      </c>
      <c r="AB2893" s="5" t="s">
        <v>238</v>
      </c>
      <c r="AC2893" s="5" t="s">
        <v>244</v>
      </c>
      <c r="AD2893" s="5" t="s">
        <v>245</v>
      </c>
      <c r="AT2893" s="5" t="s">
        <v>246</v>
      </c>
      <c r="AU2893" s="5" t="s">
        <v>238</v>
      </c>
      <c r="AV2893" s="5" t="s">
        <v>247</v>
      </c>
      <c r="AW2893" s="5" t="s">
        <v>238</v>
      </c>
      <c r="AX2893" s="5" t="s">
        <v>249</v>
      </c>
      <c r="AY2893" s="5" t="s">
        <v>238</v>
      </c>
      <c r="BA2893" s="5" t="s">
        <v>238</v>
      </c>
      <c r="BC2893" s="5" t="s">
        <v>250</v>
      </c>
      <c r="BD2893" s="6" t="s">
        <v>243</v>
      </c>
      <c r="BE2893" s="5" t="s">
        <v>251</v>
      </c>
      <c r="BF2893" s="5" t="s">
        <v>252</v>
      </c>
      <c r="BG2893" s="5" t="s">
        <v>238</v>
      </c>
      <c r="BH2893" s="7">
        <f>0</f>
        <v>0</v>
      </c>
      <c r="BI2893" s="8">
        <f>0</f>
        <v>0</v>
      </c>
      <c r="BJ2893" s="5" t="s">
        <v>253</v>
      </c>
      <c r="BK2893" s="5" t="s">
        <v>254</v>
      </c>
      <c r="BY2893" s="5" t="s">
        <v>238</v>
      </c>
      <c r="BZ2893" s="5" t="s">
        <v>238</v>
      </c>
      <c r="CD2893" s="5" t="s">
        <v>273</v>
      </c>
      <c r="CE2893" s="5" t="s">
        <v>256</v>
      </c>
      <c r="CF2893" s="5" t="s">
        <v>238</v>
      </c>
      <c r="CI2893" s="6" t="s">
        <v>257</v>
      </c>
      <c r="CJ2893" s="5" t="s">
        <v>238</v>
      </c>
      <c r="CK2893" s="5" t="s">
        <v>258</v>
      </c>
      <c r="CL2893" s="5" t="s">
        <v>238</v>
      </c>
      <c r="CM2893" s="5" t="s">
        <v>238</v>
      </c>
      <c r="CN2893" s="5">
        <v>0</v>
      </c>
      <c r="CO2893" s="5" t="s">
        <v>259</v>
      </c>
      <c r="CP2893" s="5" t="s">
        <v>260</v>
      </c>
      <c r="CQ2893" s="5" t="s">
        <v>260</v>
      </c>
      <c r="CR2893" s="5" t="s">
        <v>261</v>
      </c>
      <c r="CU2893" s="8">
        <f>1</f>
        <v>1</v>
      </c>
      <c r="CV2893" s="8">
        <f>0</f>
        <v>0</v>
      </c>
      <c r="CX2893" s="8">
        <f>0</f>
        <v>0</v>
      </c>
      <c r="CY2893" s="8">
        <f>1</f>
        <v>1</v>
      </c>
      <c r="DA2893" s="5" t="s">
        <v>274</v>
      </c>
      <c r="DB2893" s="5" t="s">
        <v>238</v>
      </c>
      <c r="DD2893" s="5" t="s">
        <v>274</v>
      </c>
      <c r="DE2893" s="8">
        <f>260</f>
        <v>260</v>
      </c>
      <c r="DG2893" s="5" t="s">
        <v>238</v>
      </c>
      <c r="DH2893" s="5" t="s">
        <v>238</v>
      </c>
      <c r="DI2893" s="5" t="s">
        <v>238</v>
      </c>
      <c r="DJ2893" s="5" t="s">
        <v>238</v>
      </c>
      <c r="DN2893" s="5" t="s">
        <v>238</v>
      </c>
      <c r="DO2893" s="5" t="s">
        <v>238</v>
      </c>
      <c r="DP2893" s="5" t="s">
        <v>238</v>
      </c>
      <c r="DQ2893" s="5" t="s">
        <v>238</v>
      </c>
      <c r="DT2893" s="5" t="s">
        <v>275</v>
      </c>
      <c r="DU2893" s="5" t="s">
        <v>3322</v>
      </c>
      <c r="HM2893" s="5" t="s">
        <v>264</v>
      </c>
    </row>
    <row r="2894" spans="1:221" x14ac:dyDescent="0.4">
      <c r="A2894" s="5">
        <v>4598</v>
      </c>
      <c r="B2894" s="5">
        <v>1</v>
      </c>
      <c r="C2894" s="5">
        <v>1</v>
      </c>
      <c r="D2894" s="5" t="s">
        <v>269</v>
      </c>
      <c r="E2894" s="5" t="s">
        <v>271</v>
      </c>
      <c r="F2894" s="5" t="s">
        <v>248</v>
      </c>
      <c r="G2894" s="5" t="s">
        <v>266</v>
      </c>
      <c r="H2894" s="6" t="s">
        <v>811</v>
      </c>
      <c r="I2894" s="7">
        <f>361</f>
        <v>361</v>
      </c>
      <c r="J2894" s="5" t="s">
        <v>262</v>
      </c>
      <c r="K2894" s="8">
        <f>1</f>
        <v>1</v>
      </c>
      <c r="L2894" s="6" t="s">
        <v>242</v>
      </c>
      <c r="M2894" s="5" t="s">
        <v>267</v>
      </c>
      <c r="N2894" s="5" t="s">
        <v>265</v>
      </c>
      <c r="O2894" s="5" t="s">
        <v>238</v>
      </c>
      <c r="P2894" s="5" t="s">
        <v>238</v>
      </c>
      <c r="Q2894" s="5" t="s">
        <v>268</v>
      </c>
      <c r="R2894" s="5" t="s">
        <v>270</v>
      </c>
      <c r="S2894" s="5" t="s">
        <v>238</v>
      </c>
      <c r="V2894" s="5" t="s">
        <v>238</v>
      </c>
      <c r="X2894" s="6" t="s">
        <v>238</v>
      </c>
      <c r="AA2894" s="6" t="s">
        <v>243</v>
      </c>
      <c r="AB2894" s="5" t="s">
        <v>238</v>
      </c>
      <c r="AC2894" s="5" t="s">
        <v>244</v>
      </c>
      <c r="AD2894" s="5" t="s">
        <v>245</v>
      </c>
      <c r="AT2894" s="5" t="s">
        <v>246</v>
      </c>
      <c r="AU2894" s="5" t="s">
        <v>238</v>
      </c>
      <c r="AV2894" s="5" t="s">
        <v>247</v>
      </c>
      <c r="AW2894" s="5" t="s">
        <v>238</v>
      </c>
      <c r="AX2894" s="5" t="s">
        <v>249</v>
      </c>
      <c r="AY2894" s="5" t="s">
        <v>238</v>
      </c>
      <c r="BA2894" s="5" t="s">
        <v>238</v>
      </c>
      <c r="BC2894" s="5" t="s">
        <v>250</v>
      </c>
      <c r="BD2894" s="6" t="s">
        <v>243</v>
      </c>
      <c r="BE2894" s="5" t="s">
        <v>251</v>
      </c>
      <c r="BF2894" s="5" t="s">
        <v>252</v>
      </c>
      <c r="BG2894" s="5" t="s">
        <v>238</v>
      </c>
      <c r="BH2894" s="7">
        <f>0</f>
        <v>0</v>
      </c>
      <c r="BI2894" s="8">
        <f>0</f>
        <v>0</v>
      </c>
      <c r="BJ2894" s="5" t="s">
        <v>253</v>
      </c>
      <c r="BK2894" s="5" t="s">
        <v>254</v>
      </c>
      <c r="BY2894" s="5" t="s">
        <v>238</v>
      </c>
      <c r="BZ2894" s="5" t="s">
        <v>238</v>
      </c>
      <c r="CD2894" s="5" t="s">
        <v>273</v>
      </c>
      <c r="CE2894" s="5" t="s">
        <v>256</v>
      </c>
      <c r="CF2894" s="5" t="s">
        <v>238</v>
      </c>
      <c r="CI2894" s="6" t="s">
        <v>257</v>
      </c>
      <c r="CJ2894" s="5" t="s">
        <v>238</v>
      </c>
      <c r="CK2894" s="5" t="s">
        <v>258</v>
      </c>
      <c r="CL2894" s="5" t="s">
        <v>238</v>
      </c>
      <c r="CM2894" s="5" t="s">
        <v>238</v>
      </c>
      <c r="CN2894" s="5">
        <v>0</v>
      </c>
      <c r="CO2894" s="5" t="s">
        <v>259</v>
      </c>
      <c r="CP2894" s="5" t="s">
        <v>260</v>
      </c>
      <c r="CQ2894" s="5" t="s">
        <v>260</v>
      </c>
      <c r="CR2894" s="5" t="s">
        <v>261</v>
      </c>
      <c r="CU2894" s="8">
        <f>1</f>
        <v>1</v>
      </c>
      <c r="CV2894" s="8">
        <f>0</f>
        <v>0</v>
      </c>
      <c r="CX2894" s="8">
        <f>0</f>
        <v>0</v>
      </c>
      <c r="CY2894" s="8">
        <f>1</f>
        <v>1</v>
      </c>
      <c r="DA2894" s="5" t="s">
        <v>274</v>
      </c>
      <c r="DB2894" s="5" t="s">
        <v>238</v>
      </c>
      <c r="DD2894" s="5" t="s">
        <v>274</v>
      </c>
      <c r="DE2894" s="8">
        <f>361</f>
        <v>361</v>
      </c>
      <c r="DG2894" s="5" t="s">
        <v>238</v>
      </c>
      <c r="DH2894" s="5" t="s">
        <v>238</v>
      </c>
      <c r="DI2894" s="5" t="s">
        <v>238</v>
      </c>
      <c r="DJ2894" s="5" t="s">
        <v>238</v>
      </c>
      <c r="DN2894" s="5" t="s">
        <v>238</v>
      </c>
      <c r="DO2894" s="5" t="s">
        <v>238</v>
      </c>
      <c r="DP2894" s="5" t="s">
        <v>238</v>
      </c>
      <c r="DQ2894" s="5" t="s">
        <v>238</v>
      </c>
      <c r="DT2894" s="5" t="s">
        <v>275</v>
      </c>
      <c r="DU2894" s="5" t="s">
        <v>812</v>
      </c>
      <c r="HM2894" s="5" t="s">
        <v>264</v>
      </c>
    </row>
    <row r="2895" spans="1:221" x14ac:dyDescent="0.4">
      <c r="A2895" s="5">
        <v>4599</v>
      </c>
      <c r="B2895" s="5">
        <v>1</v>
      </c>
      <c r="C2895" s="5">
        <v>1</v>
      </c>
      <c r="D2895" s="5" t="s">
        <v>269</v>
      </c>
      <c r="E2895" s="5" t="s">
        <v>271</v>
      </c>
      <c r="F2895" s="5" t="s">
        <v>248</v>
      </c>
      <c r="G2895" s="5" t="s">
        <v>266</v>
      </c>
      <c r="H2895" s="6" t="s">
        <v>817</v>
      </c>
      <c r="I2895" s="7">
        <f>832</f>
        <v>832</v>
      </c>
      <c r="J2895" s="5" t="s">
        <v>262</v>
      </c>
      <c r="K2895" s="8">
        <f>1</f>
        <v>1</v>
      </c>
      <c r="L2895" s="6" t="s">
        <v>242</v>
      </c>
      <c r="M2895" s="5" t="s">
        <v>267</v>
      </c>
      <c r="N2895" s="5" t="s">
        <v>265</v>
      </c>
      <c r="O2895" s="5" t="s">
        <v>238</v>
      </c>
      <c r="P2895" s="5" t="s">
        <v>238</v>
      </c>
      <c r="Q2895" s="5" t="s">
        <v>268</v>
      </c>
      <c r="R2895" s="5" t="s">
        <v>270</v>
      </c>
      <c r="S2895" s="5" t="s">
        <v>238</v>
      </c>
      <c r="V2895" s="5" t="s">
        <v>238</v>
      </c>
      <c r="X2895" s="6" t="s">
        <v>238</v>
      </c>
      <c r="AA2895" s="6" t="s">
        <v>243</v>
      </c>
      <c r="AB2895" s="5" t="s">
        <v>238</v>
      </c>
      <c r="AC2895" s="5" t="s">
        <v>244</v>
      </c>
      <c r="AD2895" s="5" t="s">
        <v>245</v>
      </c>
      <c r="AT2895" s="5" t="s">
        <v>246</v>
      </c>
      <c r="AU2895" s="5" t="s">
        <v>238</v>
      </c>
      <c r="AV2895" s="5" t="s">
        <v>247</v>
      </c>
      <c r="AW2895" s="5" t="s">
        <v>238</v>
      </c>
      <c r="AX2895" s="5" t="s">
        <v>249</v>
      </c>
      <c r="AY2895" s="5" t="s">
        <v>238</v>
      </c>
      <c r="BA2895" s="5" t="s">
        <v>238</v>
      </c>
      <c r="BC2895" s="5" t="s">
        <v>250</v>
      </c>
      <c r="BD2895" s="6" t="s">
        <v>243</v>
      </c>
      <c r="BE2895" s="5" t="s">
        <v>251</v>
      </c>
      <c r="BF2895" s="5" t="s">
        <v>252</v>
      </c>
      <c r="BG2895" s="5" t="s">
        <v>238</v>
      </c>
      <c r="BH2895" s="7">
        <f>0</f>
        <v>0</v>
      </c>
      <c r="BI2895" s="8">
        <f>0</f>
        <v>0</v>
      </c>
      <c r="BJ2895" s="5" t="s">
        <v>253</v>
      </c>
      <c r="BK2895" s="5" t="s">
        <v>254</v>
      </c>
      <c r="BY2895" s="5" t="s">
        <v>238</v>
      </c>
      <c r="BZ2895" s="5" t="s">
        <v>238</v>
      </c>
      <c r="CD2895" s="5" t="s">
        <v>273</v>
      </c>
      <c r="CE2895" s="5" t="s">
        <v>256</v>
      </c>
      <c r="CF2895" s="5" t="s">
        <v>238</v>
      </c>
      <c r="CI2895" s="6" t="s">
        <v>257</v>
      </c>
      <c r="CJ2895" s="5" t="s">
        <v>238</v>
      </c>
      <c r="CK2895" s="5" t="s">
        <v>258</v>
      </c>
      <c r="CL2895" s="5" t="s">
        <v>238</v>
      </c>
      <c r="CM2895" s="5" t="s">
        <v>238</v>
      </c>
      <c r="CN2895" s="5">
        <v>0</v>
      </c>
      <c r="CO2895" s="5" t="s">
        <v>259</v>
      </c>
      <c r="CP2895" s="5" t="s">
        <v>260</v>
      </c>
      <c r="CQ2895" s="5" t="s">
        <v>260</v>
      </c>
      <c r="CR2895" s="5" t="s">
        <v>261</v>
      </c>
      <c r="CU2895" s="8">
        <f>1</f>
        <v>1</v>
      </c>
      <c r="CV2895" s="8">
        <f>0</f>
        <v>0</v>
      </c>
      <c r="CX2895" s="8">
        <f>0</f>
        <v>0</v>
      </c>
      <c r="CY2895" s="8">
        <f>1</f>
        <v>1</v>
      </c>
      <c r="DA2895" s="5" t="s">
        <v>274</v>
      </c>
      <c r="DB2895" s="5" t="s">
        <v>238</v>
      </c>
      <c r="DD2895" s="5" t="s">
        <v>274</v>
      </c>
      <c r="DE2895" s="8">
        <f>832</f>
        <v>832</v>
      </c>
      <c r="DG2895" s="5" t="s">
        <v>238</v>
      </c>
      <c r="DH2895" s="5" t="s">
        <v>238</v>
      </c>
      <c r="DI2895" s="5" t="s">
        <v>238</v>
      </c>
      <c r="DJ2895" s="5" t="s">
        <v>238</v>
      </c>
      <c r="DN2895" s="5" t="s">
        <v>238</v>
      </c>
      <c r="DO2895" s="5" t="s">
        <v>238</v>
      </c>
      <c r="DP2895" s="5" t="s">
        <v>238</v>
      </c>
      <c r="DQ2895" s="5" t="s">
        <v>238</v>
      </c>
      <c r="DT2895" s="5" t="s">
        <v>275</v>
      </c>
      <c r="DU2895" s="5" t="s">
        <v>818</v>
      </c>
      <c r="HM2895" s="5" t="s">
        <v>264</v>
      </c>
    </row>
    <row r="2896" spans="1:221" x14ac:dyDescent="0.4">
      <c r="A2896" s="5">
        <v>4600</v>
      </c>
      <c r="B2896" s="5">
        <v>1</v>
      </c>
      <c r="C2896" s="5">
        <v>1</v>
      </c>
      <c r="D2896" s="5" t="s">
        <v>269</v>
      </c>
      <c r="E2896" s="5" t="s">
        <v>271</v>
      </c>
      <c r="F2896" s="5" t="s">
        <v>248</v>
      </c>
      <c r="G2896" s="5" t="s">
        <v>266</v>
      </c>
      <c r="H2896" s="6" t="s">
        <v>824</v>
      </c>
      <c r="I2896" s="7">
        <f>1451</f>
        <v>1451</v>
      </c>
      <c r="J2896" s="5" t="s">
        <v>262</v>
      </c>
      <c r="K2896" s="8">
        <f>1</f>
        <v>1</v>
      </c>
      <c r="L2896" s="6" t="s">
        <v>242</v>
      </c>
      <c r="M2896" s="5" t="s">
        <v>267</v>
      </c>
      <c r="N2896" s="5" t="s">
        <v>265</v>
      </c>
      <c r="O2896" s="5" t="s">
        <v>238</v>
      </c>
      <c r="P2896" s="5" t="s">
        <v>238</v>
      </c>
      <c r="Q2896" s="5" t="s">
        <v>268</v>
      </c>
      <c r="R2896" s="5" t="s">
        <v>270</v>
      </c>
      <c r="S2896" s="5" t="s">
        <v>238</v>
      </c>
      <c r="V2896" s="5" t="s">
        <v>238</v>
      </c>
      <c r="X2896" s="6" t="s">
        <v>238</v>
      </c>
      <c r="AA2896" s="6" t="s">
        <v>243</v>
      </c>
      <c r="AB2896" s="5" t="s">
        <v>238</v>
      </c>
      <c r="AC2896" s="5" t="s">
        <v>244</v>
      </c>
      <c r="AD2896" s="5" t="s">
        <v>245</v>
      </c>
      <c r="AT2896" s="5" t="s">
        <v>246</v>
      </c>
      <c r="AU2896" s="5" t="s">
        <v>238</v>
      </c>
      <c r="AV2896" s="5" t="s">
        <v>247</v>
      </c>
      <c r="AW2896" s="5" t="s">
        <v>238</v>
      </c>
      <c r="AX2896" s="5" t="s">
        <v>249</v>
      </c>
      <c r="AY2896" s="5" t="s">
        <v>238</v>
      </c>
      <c r="BA2896" s="5" t="s">
        <v>238</v>
      </c>
      <c r="BC2896" s="5" t="s">
        <v>250</v>
      </c>
      <c r="BD2896" s="6" t="s">
        <v>243</v>
      </c>
      <c r="BE2896" s="5" t="s">
        <v>251</v>
      </c>
      <c r="BF2896" s="5" t="s">
        <v>252</v>
      </c>
      <c r="BG2896" s="5" t="s">
        <v>238</v>
      </c>
      <c r="BH2896" s="7">
        <f>0</f>
        <v>0</v>
      </c>
      <c r="BI2896" s="8">
        <f>0</f>
        <v>0</v>
      </c>
      <c r="BJ2896" s="5" t="s">
        <v>253</v>
      </c>
      <c r="BK2896" s="5" t="s">
        <v>254</v>
      </c>
      <c r="BY2896" s="5" t="s">
        <v>238</v>
      </c>
      <c r="BZ2896" s="5" t="s">
        <v>238</v>
      </c>
      <c r="CD2896" s="5" t="s">
        <v>273</v>
      </c>
      <c r="CE2896" s="5" t="s">
        <v>256</v>
      </c>
      <c r="CF2896" s="5" t="s">
        <v>238</v>
      </c>
      <c r="CI2896" s="6" t="s">
        <v>257</v>
      </c>
      <c r="CJ2896" s="5" t="s">
        <v>238</v>
      </c>
      <c r="CK2896" s="5" t="s">
        <v>258</v>
      </c>
      <c r="CL2896" s="5" t="s">
        <v>238</v>
      </c>
      <c r="CM2896" s="5" t="s">
        <v>238</v>
      </c>
      <c r="CN2896" s="5">
        <v>0</v>
      </c>
      <c r="CO2896" s="5" t="s">
        <v>259</v>
      </c>
      <c r="CP2896" s="5" t="s">
        <v>260</v>
      </c>
      <c r="CQ2896" s="5" t="s">
        <v>260</v>
      </c>
      <c r="CR2896" s="5" t="s">
        <v>261</v>
      </c>
      <c r="CU2896" s="8">
        <f>1</f>
        <v>1</v>
      </c>
      <c r="CV2896" s="8">
        <f>0</f>
        <v>0</v>
      </c>
      <c r="CX2896" s="8">
        <f>0</f>
        <v>0</v>
      </c>
      <c r="CY2896" s="8">
        <f>1</f>
        <v>1</v>
      </c>
      <c r="DA2896" s="5" t="s">
        <v>274</v>
      </c>
      <c r="DB2896" s="5" t="s">
        <v>238</v>
      </c>
      <c r="DD2896" s="5" t="s">
        <v>274</v>
      </c>
      <c r="DE2896" s="8">
        <f>1451</f>
        <v>1451</v>
      </c>
      <c r="DG2896" s="5" t="s">
        <v>238</v>
      </c>
      <c r="DH2896" s="5" t="s">
        <v>238</v>
      </c>
      <c r="DI2896" s="5" t="s">
        <v>238</v>
      </c>
      <c r="DJ2896" s="5" t="s">
        <v>238</v>
      </c>
      <c r="DN2896" s="5" t="s">
        <v>238</v>
      </c>
      <c r="DO2896" s="5" t="s">
        <v>238</v>
      </c>
      <c r="DP2896" s="5" t="s">
        <v>238</v>
      </c>
      <c r="DQ2896" s="5" t="s">
        <v>238</v>
      </c>
      <c r="DT2896" s="5" t="s">
        <v>275</v>
      </c>
      <c r="DU2896" s="5" t="s">
        <v>825</v>
      </c>
      <c r="HM2896" s="5" t="s">
        <v>264</v>
      </c>
    </row>
    <row r="2897" spans="1:221" x14ac:dyDescent="0.4">
      <c r="A2897" s="5">
        <v>4601</v>
      </c>
      <c r="B2897" s="5">
        <v>1</v>
      </c>
      <c r="C2897" s="5">
        <v>1</v>
      </c>
      <c r="D2897" s="5" t="s">
        <v>269</v>
      </c>
      <c r="E2897" s="5" t="s">
        <v>271</v>
      </c>
      <c r="F2897" s="5" t="s">
        <v>248</v>
      </c>
      <c r="G2897" s="5" t="s">
        <v>266</v>
      </c>
      <c r="H2897" s="6" t="s">
        <v>834</v>
      </c>
      <c r="I2897" s="7">
        <f>305</f>
        <v>305</v>
      </c>
      <c r="J2897" s="5" t="s">
        <v>262</v>
      </c>
      <c r="K2897" s="8">
        <f>1</f>
        <v>1</v>
      </c>
      <c r="L2897" s="6" t="s">
        <v>242</v>
      </c>
      <c r="M2897" s="5" t="s">
        <v>267</v>
      </c>
      <c r="N2897" s="5" t="s">
        <v>265</v>
      </c>
      <c r="O2897" s="5" t="s">
        <v>238</v>
      </c>
      <c r="P2897" s="5" t="s">
        <v>238</v>
      </c>
      <c r="Q2897" s="5" t="s">
        <v>268</v>
      </c>
      <c r="R2897" s="5" t="s">
        <v>270</v>
      </c>
      <c r="S2897" s="5" t="s">
        <v>238</v>
      </c>
      <c r="V2897" s="5" t="s">
        <v>238</v>
      </c>
      <c r="X2897" s="6" t="s">
        <v>238</v>
      </c>
      <c r="AA2897" s="6" t="s">
        <v>243</v>
      </c>
      <c r="AB2897" s="5" t="s">
        <v>238</v>
      </c>
      <c r="AC2897" s="5" t="s">
        <v>244</v>
      </c>
      <c r="AD2897" s="5" t="s">
        <v>245</v>
      </c>
      <c r="AT2897" s="5" t="s">
        <v>246</v>
      </c>
      <c r="AU2897" s="5" t="s">
        <v>238</v>
      </c>
      <c r="AV2897" s="5" t="s">
        <v>247</v>
      </c>
      <c r="AW2897" s="5" t="s">
        <v>238</v>
      </c>
      <c r="AX2897" s="5" t="s">
        <v>249</v>
      </c>
      <c r="AY2897" s="5" t="s">
        <v>238</v>
      </c>
      <c r="BA2897" s="5" t="s">
        <v>238</v>
      </c>
      <c r="BC2897" s="5" t="s">
        <v>250</v>
      </c>
      <c r="BD2897" s="6" t="s">
        <v>243</v>
      </c>
      <c r="BE2897" s="5" t="s">
        <v>251</v>
      </c>
      <c r="BF2897" s="5" t="s">
        <v>252</v>
      </c>
      <c r="BG2897" s="5" t="s">
        <v>238</v>
      </c>
      <c r="BH2897" s="7">
        <f>0</f>
        <v>0</v>
      </c>
      <c r="BI2897" s="8">
        <f>0</f>
        <v>0</v>
      </c>
      <c r="BJ2897" s="5" t="s">
        <v>253</v>
      </c>
      <c r="BK2897" s="5" t="s">
        <v>254</v>
      </c>
      <c r="BY2897" s="5" t="s">
        <v>238</v>
      </c>
      <c r="BZ2897" s="5" t="s">
        <v>238</v>
      </c>
      <c r="CD2897" s="5" t="s">
        <v>273</v>
      </c>
      <c r="CE2897" s="5" t="s">
        <v>256</v>
      </c>
      <c r="CF2897" s="5" t="s">
        <v>238</v>
      </c>
      <c r="CI2897" s="6" t="s">
        <v>257</v>
      </c>
      <c r="CJ2897" s="5" t="s">
        <v>238</v>
      </c>
      <c r="CK2897" s="5" t="s">
        <v>258</v>
      </c>
      <c r="CL2897" s="5" t="s">
        <v>238</v>
      </c>
      <c r="CM2897" s="5" t="s">
        <v>238</v>
      </c>
      <c r="CN2897" s="5">
        <v>0</v>
      </c>
      <c r="CO2897" s="5" t="s">
        <v>259</v>
      </c>
      <c r="CP2897" s="5" t="s">
        <v>260</v>
      </c>
      <c r="CQ2897" s="5" t="s">
        <v>260</v>
      </c>
      <c r="CR2897" s="5" t="s">
        <v>261</v>
      </c>
      <c r="CU2897" s="8">
        <f>1</f>
        <v>1</v>
      </c>
      <c r="CV2897" s="8">
        <f>0</f>
        <v>0</v>
      </c>
      <c r="CX2897" s="8">
        <f>0</f>
        <v>0</v>
      </c>
      <c r="CY2897" s="8">
        <f>1</f>
        <v>1</v>
      </c>
      <c r="DA2897" s="5" t="s">
        <v>274</v>
      </c>
      <c r="DB2897" s="5" t="s">
        <v>238</v>
      </c>
      <c r="DD2897" s="5" t="s">
        <v>274</v>
      </c>
      <c r="DE2897" s="8">
        <f>305</f>
        <v>305</v>
      </c>
      <c r="DG2897" s="5" t="s">
        <v>238</v>
      </c>
      <c r="DH2897" s="5" t="s">
        <v>238</v>
      </c>
      <c r="DI2897" s="5" t="s">
        <v>238</v>
      </c>
      <c r="DJ2897" s="5" t="s">
        <v>238</v>
      </c>
      <c r="DN2897" s="5" t="s">
        <v>238</v>
      </c>
      <c r="DO2897" s="5" t="s">
        <v>238</v>
      </c>
      <c r="DP2897" s="5" t="s">
        <v>238</v>
      </c>
      <c r="DQ2897" s="5" t="s">
        <v>238</v>
      </c>
      <c r="DT2897" s="5" t="s">
        <v>275</v>
      </c>
      <c r="DU2897" s="5" t="s">
        <v>835</v>
      </c>
      <c r="HM2897" s="5" t="s">
        <v>264</v>
      </c>
    </row>
    <row r="2898" spans="1:221" x14ac:dyDescent="0.4">
      <c r="A2898" s="5">
        <v>4602</v>
      </c>
      <c r="B2898" s="5">
        <v>1</v>
      </c>
      <c r="C2898" s="5">
        <v>1</v>
      </c>
      <c r="D2898" s="5" t="s">
        <v>269</v>
      </c>
      <c r="E2898" s="5" t="s">
        <v>271</v>
      </c>
      <c r="F2898" s="5" t="s">
        <v>248</v>
      </c>
      <c r="G2898" s="5" t="s">
        <v>266</v>
      </c>
      <c r="H2898" s="6" t="s">
        <v>840</v>
      </c>
      <c r="I2898" s="7">
        <f>681</f>
        <v>681</v>
      </c>
      <c r="J2898" s="5" t="s">
        <v>262</v>
      </c>
      <c r="K2898" s="8">
        <f>1</f>
        <v>1</v>
      </c>
      <c r="L2898" s="6" t="s">
        <v>242</v>
      </c>
      <c r="M2898" s="5" t="s">
        <v>267</v>
      </c>
      <c r="N2898" s="5" t="s">
        <v>265</v>
      </c>
      <c r="O2898" s="5" t="s">
        <v>238</v>
      </c>
      <c r="P2898" s="5" t="s">
        <v>238</v>
      </c>
      <c r="Q2898" s="5" t="s">
        <v>268</v>
      </c>
      <c r="R2898" s="5" t="s">
        <v>270</v>
      </c>
      <c r="S2898" s="5" t="s">
        <v>238</v>
      </c>
      <c r="V2898" s="5" t="s">
        <v>238</v>
      </c>
      <c r="X2898" s="6" t="s">
        <v>238</v>
      </c>
      <c r="AA2898" s="6" t="s">
        <v>243</v>
      </c>
      <c r="AB2898" s="5" t="s">
        <v>238</v>
      </c>
      <c r="AC2898" s="5" t="s">
        <v>244</v>
      </c>
      <c r="AD2898" s="5" t="s">
        <v>245</v>
      </c>
      <c r="AT2898" s="5" t="s">
        <v>246</v>
      </c>
      <c r="AU2898" s="5" t="s">
        <v>238</v>
      </c>
      <c r="AV2898" s="5" t="s">
        <v>247</v>
      </c>
      <c r="AW2898" s="5" t="s">
        <v>238</v>
      </c>
      <c r="AX2898" s="5" t="s">
        <v>249</v>
      </c>
      <c r="AY2898" s="5" t="s">
        <v>238</v>
      </c>
      <c r="BA2898" s="5" t="s">
        <v>238</v>
      </c>
      <c r="BC2898" s="5" t="s">
        <v>250</v>
      </c>
      <c r="BD2898" s="6" t="s">
        <v>243</v>
      </c>
      <c r="BE2898" s="5" t="s">
        <v>251</v>
      </c>
      <c r="BF2898" s="5" t="s">
        <v>252</v>
      </c>
      <c r="BG2898" s="5" t="s">
        <v>238</v>
      </c>
      <c r="BH2898" s="7">
        <f>0</f>
        <v>0</v>
      </c>
      <c r="BI2898" s="8">
        <f>0</f>
        <v>0</v>
      </c>
      <c r="BJ2898" s="5" t="s">
        <v>253</v>
      </c>
      <c r="BK2898" s="5" t="s">
        <v>254</v>
      </c>
      <c r="BY2898" s="5" t="s">
        <v>238</v>
      </c>
      <c r="BZ2898" s="5" t="s">
        <v>238</v>
      </c>
      <c r="CD2898" s="5" t="s">
        <v>273</v>
      </c>
      <c r="CE2898" s="5" t="s">
        <v>256</v>
      </c>
      <c r="CF2898" s="5" t="s">
        <v>238</v>
      </c>
      <c r="CI2898" s="6" t="s">
        <v>257</v>
      </c>
      <c r="CJ2898" s="5" t="s">
        <v>238</v>
      </c>
      <c r="CK2898" s="5" t="s">
        <v>258</v>
      </c>
      <c r="CL2898" s="5" t="s">
        <v>238</v>
      </c>
      <c r="CM2898" s="5" t="s">
        <v>238</v>
      </c>
      <c r="CN2898" s="5">
        <v>0</v>
      </c>
      <c r="CO2898" s="5" t="s">
        <v>259</v>
      </c>
      <c r="CP2898" s="5" t="s">
        <v>260</v>
      </c>
      <c r="CQ2898" s="5" t="s">
        <v>260</v>
      </c>
      <c r="CR2898" s="5" t="s">
        <v>261</v>
      </c>
      <c r="CU2898" s="8">
        <f>1</f>
        <v>1</v>
      </c>
      <c r="CV2898" s="8">
        <f>0</f>
        <v>0</v>
      </c>
      <c r="CX2898" s="8">
        <f>0</f>
        <v>0</v>
      </c>
      <c r="CY2898" s="8">
        <f>1</f>
        <v>1</v>
      </c>
      <c r="DA2898" s="5" t="s">
        <v>274</v>
      </c>
      <c r="DB2898" s="5" t="s">
        <v>238</v>
      </c>
      <c r="DD2898" s="5" t="s">
        <v>274</v>
      </c>
      <c r="DE2898" s="8">
        <f>681</f>
        <v>681</v>
      </c>
      <c r="DG2898" s="5" t="s">
        <v>238</v>
      </c>
      <c r="DH2898" s="5" t="s">
        <v>238</v>
      </c>
      <c r="DI2898" s="5" t="s">
        <v>238</v>
      </c>
      <c r="DJ2898" s="5" t="s">
        <v>238</v>
      </c>
      <c r="DN2898" s="5" t="s">
        <v>238</v>
      </c>
      <c r="DO2898" s="5" t="s">
        <v>238</v>
      </c>
      <c r="DP2898" s="5" t="s">
        <v>238</v>
      </c>
      <c r="DQ2898" s="5" t="s">
        <v>238</v>
      </c>
      <c r="DT2898" s="5" t="s">
        <v>275</v>
      </c>
      <c r="DU2898" s="5" t="s">
        <v>841</v>
      </c>
      <c r="HM2898" s="5" t="s">
        <v>264</v>
      </c>
    </row>
    <row r="2899" spans="1:221" x14ac:dyDescent="0.4">
      <c r="A2899" s="5">
        <v>4603</v>
      </c>
      <c r="B2899" s="5">
        <v>1</v>
      </c>
      <c r="C2899" s="5">
        <v>1</v>
      </c>
      <c r="D2899" s="5" t="s">
        <v>269</v>
      </c>
      <c r="E2899" s="5" t="s">
        <v>271</v>
      </c>
      <c r="F2899" s="5" t="s">
        <v>248</v>
      </c>
      <c r="G2899" s="5" t="s">
        <v>266</v>
      </c>
      <c r="H2899" s="6" t="s">
        <v>852</v>
      </c>
      <c r="I2899" s="7">
        <f>280</f>
        <v>280</v>
      </c>
      <c r="J2899" s="5" t="s">
        <v>262</v>
      </c>
      <c r="K2899" s="8">
        <f>1</f>
        <v>1</v>
      </c>
      <c r="L2899" s="6" t="s">
        <v>242</v>
      </c>
      <c r="M2899" s="5" t="s">
        <v>267</v>
      </c>
      <c r="N2899" s="5" t="s">
        <v>265</v>
      </c>
      <c r="O2899" s="5" t="s">
        <v>238</v>
      </c>
      <c r="P2899" s="5" t="s">
        <v>238</v>
      </c>
      <c r="Q2899" s="5" t="s">
        <v>268</v>
      </c>
      <c r="R2899" s="5" t="s">
        <v>270</v>
      </c>
      <c r="S2899" s="5" t="s">
        <v>238</v>
      </c>
      <c r="V2899" s="5" t="s">
        <v>238</v>
      </c>
      <c r="X2899" s="6" t="s">
        <v>238</v>
      </c>
      <c r="AA2899" s="6" t="s">
        <v>243</v>
      </c>
      <c r="AB2899" s="5" t="s">
        <v>238</v>
      </c>
      <c r="AC2899" s="5" t="s">
        <v>244</v>
      </c>
      <c r="AD2899" s="5" t="s">
        <v>245</v>
      </c>
      <c r="AT2899" s="5" t="s">
        <v>246</v>
      </c>
      <c r="AU2899" s="5" t="s">
        <v>238</v>
      </c>
      <c r="AV2899" s="5" t="s">
        <v>247</v>
      </c>
      <c r="AW2899" s="5" t="s">
        <v>238</v>
      </c>
      <c r="AX2899" s="5" t="s">
        <v>249</v>
      </c>
      <c r="AY2899" s="5" t="s">
        <v>238</v>
      </c>
      <c r="BA2899" s="5" t="s">
        <v>238</v>
      </c>
      <c r="BC2899" s="5" t="s">
        <v>250</v>
      </c>
      <c r="BD2899" s="6" t="s">
        <v>243</v>
      </c>
      <c r="BE2899" s="5" t="s">
        <v>251</v>
      </c>
      <c r="BF2899" s="5" t="s">
        <v>252</v>
      </c>
      <c r="BG2899" s="5" t="s">
        <v>238</v>
      </c>
      <c r="BH2899" s="7">
        <f>0</f>
        <v>0</v>
      </c>
      <c r="BI2899" s="8">
        <f>0</f>
        <v>0</v>
      </c>
      <c r="BJ2899" s="5" t="s">
        <v>253</v>
      </c>
      <c r="BK2899" s="5" t="s">
        <v>254</v>
      </c>
      <c r="BY2899" s="5" t="s">
        <v>238</v>
      </c>
      <c r="BZ2899" s="5" t="s">
        <v>238</v>
      </c>
      <c r="CD2899" s="5" t="s">
        <v>273</v>
      </c>
      <c r="CE2899" s="5" t="s">
        <v>256</v>
      </c>
      <c r="CF2899" s="5" t="s">
        <v>238</v>
      </c>
      <c r="CI2899" s="6" t="s">
        <v>257</v>
      </c>
      <c r="CJ2899" s="5" t="s">
        <v>238</v>
      </c>
      <c r="CK2899" s="5" t="s">
        <v>258</v>
      </c>
      <c r="CL2899" s="5" t="s">
        <v>238</v>
      </c>
      <c r="CM2899" s="5" t="s">
        <v>238</v>
      </c>
      <c r="CN2899" s="5">
        <v>0</v>
      </c>
      <c r="CO2899" s="5" t="s">
        <v>259</v>
      </c>
      <c r="CP2899" s="5" t="s">
        <v>260</v>
      </c>
      <c r="CQ2899" s="5" t="s">
        <v>260</v>
      </c>
      <c r="CR2899" s="5" t="s">
        <v>261</v>
      </c>
      <c r="CU2899" s="8">
        <f>1</f>
        <v>1</v>
      </c>
      <c r="CV2899" s="8">
        <f>0</f>
        <v>0</v>
      </c>
      <c r="CX2899" s="8">
        <f>0</f>
        <v>0</v>
      </c>
      <c r="CY2899" s="8">
        <f>1</f>
        <v>1</v>
      </c>
      <c r="DA2899" s="5" t="s">
        <v>274</v>
      </c>
      <c r="DB2899" s="5" t="s">
        <v>238</v>
      </c>
      <c r="DD2899" s="5" t="s">
        <v>274</v>
      </c>
      <c r="DE2899" s="8">
        <f>280</f>
        <v>280</v>
      </c>
      <c r="DG2899" s="5" t="s">
        <v>238</v>
      </c>
      <c r="DH2899" s="5" t="s">
        <v>238</v>
      </c>
      <c r="DI2899" s="5" t="s">
        <v>238</v>
      </c>
      <c r="DJ2899" s="5" t="s">
        <v>238</v>
      </c>
      <c r="DN2899" s="5" t="s">
        <v>238</v>
      </c>
      <c r="DO2899" s="5" t="s">
        <v>238</v>
      </c>
      <c r="DP2899" s="5" t="s">
        <v>238</v>
      </c>
      <c r="DQ2899" s="5" t="s">
        <v>238</v>
      </c>
      <c r="DT2899" s="5" t="s">
        <v>275</v>
      </c>
      <c r="DU2899" s="5" t="s">
        <v>853</v>
      </c>
      <c r="HM2899" s="5" t="s">
        <v>264</v>
      </c>
    </row>
    <row r="2900" spans="1:221" x14ac:dyDescent="0.4">
      <c r="A2900" s="5">
        <v>4604</v>
      </c>
      <c r="B2900" s="5">
        <v>1</v>
      </c>
      <c r="C2900" s="5">
        <v>1</v>
      </c>
      <c r="D2900" s="5" t="s">
        <v>269</v>
      </c>
      <c r="E2900" s="5" t="s">
        <v>271</v>
      </c>
      <c r="F2900" s="5" t="s">
        <v>248</v>
      </c>
      <c r="G2900" s="5" t="s">
        <v>266</v>
      </c>
      <c r="H2900" s="6" t="s">
        <v>842</v>
      </c>
      <c r="I2900" s="7">
        <f>555</f>
        <v>555</v>
      </c>
      <c r="J2900" s="5" t="s">
        <v>262</v>
      </c>
      <c r="K2900" s="8">
        <f>1</f>
        <v>1</v>
      </c>
      <c r="L2900" s="6" t="s">
        <v>242</v>
      </c>
      <c r="M2900" s="5" t="s">
        <v>267</v>
      </c>
      <c r="N2900" s="5" t="s">
        <v>265</v>
      </c>
      <c r="O2900" s="5" t="s">
        <v>238</v>
      </c>
      <c r="P2900" s="5" t="s">
        <v>238</v>
      </c>
      <c r="Q2900" s="5" t="s">
        <v>268</v>
      </c>
      <c r="R2900" s="5" t="s">
        <v>270</v>
      </c>
      <c r="S2900" s="5" t="s">
        <v>238</v>
      </c>
      <c r="V2900" s="5" t="s">
        <v>238</v>
      </c>
      <c r="X2900" s="6" t="s">
        <v>238</v>
      </c>
      <c r="AA2900" s="6" t="s">
        <v>243</v>
      </c>
      <c r="AB2900" s="5" t="s">
        <v>238</v>
      </c>
      <c r="AC2900" s="5" t="s">
        <v>244</v>
      </c>
      <c r="AD2900" s="5" t="s">
        <v>245</v>
      </c>
      <c r="AT2900" s="5" t="s">
        <v>246</v>
      </c>
      <c r="AU2900" s="5" t="s">
        <v>238</v>
      </c>
      <c r="AV2900" s="5" t="s">
        <v>247</v>
      </c>
      <c r="AW2900" s="5" t="s">
        <v>238</v>
      </c>
      <c r="AX2900" s="5" t="s">
        <v>249</v>
      </c>
      <c r="AY2900" s="5" t="s">
        <v>238</v>
      </c>
      <c r="BA2900" s="5" t="s">
        <v>238</v>
      </c>
      <c r="BC2900" s="5" t="s">
        <v>250</v>
      </c>
      <c r="BD2900" s="6" t="s">
        <v>243</v>
      </c>
      <c r="BE2900" s="5" t="s">
        <v>251</v>
      </c>
      <c r="BF2900" s="5" t="s">
        <v>252</v>
      </c>
      <c r="BG2900" s="5" t="s">
        <v>238</v>
      </c>
      <c r="BH2900" s="7">
        <f>0</f>
        <v>0</v>
      </c>
      <c r="BI2900" s="8">
        <f>0</f>
        <v>0</v>
      </c>
      <c r="BJ2900" s="5" t="s">
        <v>253</v>
      </c>
      <c r="BK2900" s="5" t="s">
        <v>254</v>
      </c>
      <c r="BY2900" s="5" t="s">
        <v>238</v>
      </c>
      <c r="BZ2900" s="5" t="s">
        <v>238</v>
      </c>
      <c r="CD2900" s="5" t="s">
        <v>273</v>
      </c>
      <c r="CE2900" s="5" t="s">
        <v>256</v>
      </c>
      <c r="CF2900" s="5" t="s">
        <v>238</v>
      </c>
      <c r="CI2900" s="6" t="s">
        <v>257</v>
      </c>
      <c r="CJ2900" s="5" t="s">
        <v>238</v>
      </c>
      <c r="CK2900" s="5" t="s">
        <v>258</v>
      </c>
      <c r="CL2900" s="5" t="s">
        <v>238</v>
      </c>
      <c r="CM2900" s="5" t="s">
        <v>238</v>
      </c>
      <c r="CN2900" s="5">
        <v>0</v>
      </c>
      <c r="CO2900" s="5" t="s">
        <v>259</v>
      </c>
      <c r="CP2900" s="5" t="s">
        <v>260</v>
      </c>
      <c r="CQ2900" s="5" t="s">
        <v>260</v>
      </c>
      <c r="CR2900" s="5" t="s">
        <v>261</v>
      </c>
      <c r="CU2900" s="8">
        <f>1</f>
        <v>1</v>
      </c>
      <c r="CV2900" s="8">
        <f>0</f>
        <v>0</v>
      </c>
      <c r="CX2900" s="8">
        <f>0</f>
        <v>0</v>
      </c>
      <c r="CY2900" s="8">
        <f>1</f>
        <v>1</v>
      </c>
      <c r="DA2900" s="5" t="s">
        <v>274</v>
      </c>
      <c r="DB2900" s="5" t="s">
        <v>238</v>
      </c>
      <c r="DD2900" s="5" t="s">
        <v>274</v>
      </c>
      <c r="DE2900" s="8">
        <f>555</f>
        <v>555</v>
      </c>
      <c r="DG2900" s="5" t="s">
        <v>238</v>
      </c>
      <c r="DH2900" s="5" t="s">
        <v>238</v>
      </c>
      <c r="DI2900" s="5" t="s">
        <v>238</v>
      </c>
      <c r="DJ2900" s="5" t="s">
        <v>238</v>
      </c>
      <c r="DN2900" s="5" t="s">
        <v>238</v>
      </c>
      <c r="DO2900" s="5" t="s">
        <v>238</v>
      </c>
      <c r="DP2900" s="5" t="s">
        <v>238</v>
      </c>
      <c r="DQ2900" s="5" t="s">
        <v>238</v>
      </c>
      <c r="DT2900" s="5" t="s">
        <v>275</v>
      </c>
      <c r="DU2900" s="5" t="s">
        <v>843</v>
      </c>
      <c r="HM2900" s="5" t="s">
        <v>264</v>
      </c>
    </row>
    <row r="2901" spans="1:221" x14ac:dyDescent="0.4">
      <c r="A2901" s="5">
        <v>4605</v>
      </c>
      <c r="B2901" s="5">
        <v>1</v>
      </c>
      <c r="C2901" s="5">
        <v>1</v>
      </c>
      <c r="D2901" s="5" t="s">
        <v>269</v>
      </c>
      <c r="E2901" s="5" t="s">
        <v>271</v>
      </c>
      <c r="F2901" s="5" t="s">
        <v>248</v>
      </c>
      <c r="G2901" s="5" t="s">
        <v>266</v>
      </c>
      <c r="H2901" s="6" t="s">
        <v>859</v>
      </c>
      <c r="I2901" s="7">
        <f>1269</f>
        <v>1269</v>
      </c>
      <c r="J2901" s="5" t="s">
        <v>262</v>
      </c>
      <c r="K2901" s="8">
        <f>1</f>
        <v>1</v>
      </c>
      <c r="L2901" s="6" t="s">
        <v>242</v>
      </c>
      <c r="M2901" s="5" t="s">
        <v>267</v>
      </c>
      <c r="N2901" s="5" t="s">
        <v>265</v>
      </c>
      <c r="O2901" s="5" t="s">
        <v>238</v>
      </c>
      <c r="P2901" s="5" t="s">
        <v>238</v>
      </c>
      <c r="Q2901" s="5" t="s">
        <v>268</v>
      </c>
      <c r="R2901" s="5" t="s">
        <v>270</v>
      </c>
      <c r="S2901" s="5" t="s">
        <v>238</v>
      </c>
      <c r="V2901" s="5" t="s">
        <v>238</v>
      </c>
      <c r="X2901" s="6" t="s">
        <v>238</v>
      </c>
      <c r="AA2901" s="6" t="s">
        <v>243</v>
      </c>
      <c r="AB2901" s="5" t="s">
        <v>238</v>
      </c>
      <c r="AC2901" s="5" t="s">
        <v>244</v>
      </c>
      <c r="AD2901" s="5" t="s">
        <v>245</v>
      </c>
      <c r="AT2901" s="5" t="s">
        <v>246</v>
      </c>
      <c r="AU2901" s="5" t="s">
        <v>238</v>
      </c>
      <c r="AV2901" s="5" t="s">
        <v>247</v>
      </c>
      <c r="AW2901" s="5" t="s">
        <v>238</v>
      </c>
      <c r="AX2901" s="5" t="s">
        <v>249</v>
      </c>
      <c r="AY2901" s="5" t="s">
        <v>238</v>
      </c>
      <c r="BA2901" s="5" t="s">
        <v>238</v>
      </c>
      <c r="BC2901" s="5" t="s">
        <v>250</v>
      </c>
      <c r="BD2901" s="6" t="s">
        <v>243</v>
      </c>
      <c r="BE2901" s="5" t="s">
        <v>251</v>
      </c>
      <c r="BF2901" s="5" t="s">
        <v>252</v>
      </c>
      <c r="BG2901" s="5" t="s">
        <v>238</v>
      </c>
      <c r="BH2901" s="7">
        <f>0</f>
        <v>0</v>
      </c>
      <c r="BI2901" s="8">
        <f>0</f>
        <v>0</v>
      </c>
      <c r="BJ2901" s="5" t="s">
        <v>253</v>
      </c>
      <c r="BK2901" s="5" t="s">
        <v>254</v>
      </c>
      <c r="BY2901" s="5" t="s">
        <v>238</v>
      </c>
      <c r="BZ2901" s="5" t="s">
        <v>238</v>
      </c>
      <c r="CD2901" s="5" t="s">
        <v>273</v>
      </c>
      <c r="CE2901" s="5" t="s">
        <v>256</v>
      </c>
      <c r="CF2901" s="5" t="s">
        <v>238</v>
      </c>
      <c r="CI2901" s="6" t="s">
        <v>257</v>
      </c>
      <c r="CJ2901" s="5" t="s">
        <v>238</v>
      </c>
      <c r="CK2901" s="5" t="s">
        <v>258</v>
      </c>
      <c r="CL2901" s="5" t="s">
        <v>238</v>
      </c>
      <c r="CM2901" s="5" t="s">
        <v>238</v>
      </c>
      <c r="CN2901" s="5">
        <v>0</v>
      </c>
      <c r="CO2901" s="5" t="s">
        <v>259</v>
      </c>
      <c r="CP2901" s="5" t="s">
        <v>260</v>
      </c>
      <c r="CQ2901" s="5" t="s">
        <v>260</v>
      </c>
      <c r="CR2901" s="5" t="s">
        <v>261</v>
      </c>
      <c r="CU2901" s="8">
        <f>1</f>
        <v>1</v>
      </c>
      <c r="CV2901" s="8">
        <f>0</f>
        <v>0</v>
      </c>
      <c r="CX2901" s="8">
        <f>0</f>
        <v>0</v>
      </c>
      <c r="CY2901" s="8">
        <f>1</f>
        <v>1</v>
      </c>
      <c r="DA2901" s="5" t="s">
        <v>274</v>
      </c>
      <c r="DB2901" s="5" t="s">
        <v>238</v>
      </c>
      <c r="DD2901" s="5" t="s">
        <v>274</v>
      </c>
      <c r="DE2901" s="8">
        <f>1269</f>
        <v>1269</v>
      </c>
      <c r="DG2901" s="5" t="s">
        <v>238</v>
      </c>
      <c r="DH2901" s="5" t="s">
        <v>238</v>
      </c>
      <c r="DI2901" s="5" t="s">
        <v>238</v>
      </c>
      <c r="DJ2901" s="5" t="s">
        <v>238</v>
      </c>
      <c r="DN2901" s="5" t="s">
        <v>238</v>
      </c>
      <c r="DO2901" s="5" t="s">
        <v>238</v>
      </c>
      <c r="DP2901" s="5" t="s">
        <v>238</v>
      </c>
      <c r="DQ2901" s="5" t="s">
        <v>238</v>
      </c>
      <c r="DT2901" s="5" t="s">
        <v>275</v>
      </c>
      <c r="DU2901" s="5" t="s">
        <v>860</v>
      </c>
      <c r="HM2901" s="5" t="s">
        <v>264</v>
      </c>
    </row>
    <row r="2902" spans="1:221" x14ac:dyDescent="0.4">
      <c r="A2902" s="5">
        <v>4606</v>
      </c>
      <c r="B2902" s="5">
        <v>1</v>
      </c>
      <c r="C2902" s="5">
        <v>1</v>
      </c>
      <c r="D2902" s="5" t="s">
        <v>269</v>
      </c>
      <c r="E2902" s="5" t="s">
        <v>271</v>
      </c>
      <c r="F2902" s="5" t="s">
        <v>248</v>
      </c>
      <c r="G2902" s="5" t="s">
        <v>266</v>
      </c>
      <c r="H2902" s="6" t="s">
        <v>865</v>
      </c>
      <c r="I2902" s="7">
        <f>886</f>
        <v>886</v>
      </c>
      <c r="J2902" s="5" t="s">
        <v>262</v>
      </c>
      <c r="K2902" s="8">
        <f>1</f>
        <v>1</v>
      </c>
      <c r="L2902" s="6" t="s">
        <v>242</v>
      </c>
      <c r="M2902" s="5" t="s">
        <v>267</v>
      </c>
      <c r="N2902" s="5" t="s">
        <v>265</v>
      </c>
      <c r="O2902" s="5" t="s">
        <v>238</v>
      </c>
      <c r="P2902" s="5" t="s">
        <v>238</v>
      </c>
      <c r="Q2902" s="5" t="s">
        <v>268</v>
      </c>
      <c r="R2902" s="5" t="s">
        <v>270</v>
      </c>
      <c r="S2902" s="5" t="s">
        <v>238</v>
      </c>
      <c r="V2902" s="5" t="s">
        <v>238</v>
      </c>
      <c r="X2902" s="6" t="s">
        <v>238</v>
      </c>
      <c r="AA2902" s="6" t="s">
        <v>243</v>
      </c>
      <c r="AB2902" s="5" t="s">
        <v>238</v>
      </c>
      <c r="AC2902" s="5" t="s">
        <v>244</v>
      </c>
      <c r="AD2902" s="5" t="s">
        <v>245</v>
      </c>
      <c r="AT2902" s="5" t="s">
        <v>246</v>
      </c>
      <c r="AU2902" s="5" t="s">
        <v>238</v>
      </c>
      <c r="AV2902" s="5" t="s">
        <v>247</v>
      </c>
      <c r="AW2902" s="5" t="s">
        <v>238</v>
      </c>
      <c r="AX2902" s="5" t="s">
        <v>249</v>
      </c>
      <c r="AY2902" s="5" t="s">
        <v>238</v>
      </c>
      <c r="BA2902" s="5" t="s">
        <v>238</v>
      </c>
      <c r="BC2902" s="5" t="s">
        <v>250</v>
      </c>
      <c r="BD2902" s="6" t="s">
        <v>243</v>
      </c>
      <c r="BE2902" s="5" t="s">
        <v>251</v>
      </c>
      <c r="BF2902" s="5" t="s">
        <v>252</v>
      </c>
      <c r="BG2902" s="5" t="s">
        <v>238</v>
      </c>
      <c r="BH2902" s="7">
        <f>0</f>
        <v>0</v>
      </c>
      <c r="BI2902" s="8">
        <f>0</f>
        <v>0</v>
      </c>
      <c r="BJ2902" s="5" t="s">
        <v>253</v>
      </c>
      <c r="BK2902" s="5" t="s">
        <v>254</v>
      </c>
      <c r="BY2902" s="5" t="s">
        <v>238</v>
      </c>
      <c r="BZ2902" s="5" t="s">
        <v>238</v>
      </c>
      <c r="CD2902" s="5" t="s">
        <v>273</v>
      </c>
      <c r="CE2902" s="5" t="s">
        <v>256</v>
      </c>
      <c r="CF2902" s="5" t="s">
        <v>238</v>
      </c>
      <c r="CI2902" s="6" t="s">
        <v>257</v>
      </c>
      <c r="CJ2902" s="5" t="s">
        <v>238</v>
      </c>
      <c r="CK2902" s="5" t="s">
        <v>258</v>
      </c>
      <c r="CL2902" s="5" t="s">
        <v>238</v>
      </c>
      <c r="CM2902" s="5" t="s">
        <v>238</v>
      </c>
      <c r="CN2902" s="5">
        <v>0</v>
      </c>
      <c r="CO2902" s="5" t="s">
        <v>259</v>
      </c>
      <c r="CP2902" s="5" t="s">
        <v>260</v>
      </c>
      <c r="CQ2902" s="5" t="s">
        <v>260</v>
      </c>
      <c r="CR2902" s="5" t="s">
        <v>261</v>
      </c>
      <c r="CU2902" s="8">
        <f>1</f>
        <v>1</v>
      </c>
      <c r="CV2902" s="8">
        <f>0</f>
        <v>0</v>
      </c>
      <c r="CX2902" s="8">
        <f>0</f>
        <v>0</v>
      </c>
      <c r="CY2902" s="8">
        <f>1</f>
        <v>1</v>
      </c>
      <c r="DA2902" s="5" t="s">
        <v>274</v>
      </c>
      <c r="DB2902" s="5" t="s">
        <v>238</v>
      </c>
      <c r="DD2902" s="5" t="s">
        <v>274</v>
      </c>
      <c r="DE2902" s="8">
        <f>886</f>
        <v>886</v>
      </c>
      <c r="DG2902" s="5" t="s">
        <v>238</v>
      </c>
      <c r="DH2902" s="5" t="s">
        <v>238</v>
      </c>
      <c r="DI2902" s="5" t="s">
        <v>238</v>
      </c>
      <c r="DJ2902" s="5" t="s">
        <v>238</v>
      </c>
      <c r="DN2902" s="5" t="s">
        <v>238</v>
      </c>
      <c r="DO2902" s="5" t="s">
        <v>238</v>
      </c>
      <c r="DP2902" s="5" t="s">
        <v>238</v>
      </c>
      <c r="DQ2902" s="5" t="s">
        <v>238</v>
      </c>
      <c r="DT2902" s="5" t="s">
        <v>275</v>
      </c>
      <c r="DU2902" s="5" t="s">
        <v>866</v>
      </c>
      <c r="HM2902" s="5" t="s">
        <v>264</v>
      </c>
    </row>
    <row r="2903" spans="1:221" x14ac:dyDescent="0.4">
      <c r="A2903" s="5">
        <v>4607</v>
      </c>
      <c r="B2903" s="5">
        <v>1</v>
      </c>
      <c r="C2903" s="5">
        <v>1</v>
      </c>
      <c r="D2903" s="5" t="s">
        <v>269</v>
      </c>
      <c r="E2903" s="5" t="s">
        <v>271</v>
      </c>
      <c r="F2903" s="5" t="s">
        <v>248</v>
      </c>
      <c r="G2903" s="5" t="s">
        <v>266</v>
      </c>
      <c r="H2903" s="6" t="s">
        <v>5609</v>
      </c>
      <c r="I2903" s="7">
        <f>231</f>
        <v>231</v>
      </c>
      <c r="J2903" s="5" t="s">
        <v>262</v>
      </c>
      <c r="K2903" s="8">
        <f>1</f>
        <v>1</v>
      </c>
      <c r="L2903" s="6" t="s">
        <v>242</v>
      </c>
      <c r="M2903" s="5" t="s">
        <v>267</v>
      </c>
      <c r="N2903" s="5" t="s">
        <v>265</v>
      </c>
      <c r="O2903" s="5" t="s">
        <v>238</v>
      </c>
      <c r="P2903" s="5" t="s">
        <v>238</v>
      </c>
      <c r="Q2903" s="5" t="s">
        <v>268</v>
      </c>
      <c r="R2903" s="5" t="s">
        <v>270</v>
      </c>
      <c r="S2903" s="5" t="s">
        <v>238</v>
      </c>
      <c r="V2903" s="5" t="s">
        <v>238</v>
      </c>
      <c r="X2903" s="6" t="s">
        <v>238</v>
      </c>
      <c r="AA2903" s="6" t="s">
        <v>243</v>
      </c>
      <c r="AB2903" s="5" t="s">
        <v>238</v>
      </c>
      <c r="AC2903" s="5" t="s">
        <v>244</v>
      </c>
      <c r="AD2903" s="5" t="s">
        <v>245</v>
      </c>
      <c r="AT2903" s="5" t="s">
        <v>246</v>
      </c>
      <c r="AU2903" s="5" t="s">
        <v>238</v>
      </c>
      <c r="AV2903" s="5" t="s">
        <v>247</v>
      </c>
      <c r="AW2903" s="5" t="s">
        <v>238</v>
      </c>
      <c r="AX2903" s="5" t="s">
        <v>249</v>
      </c>
      <c r="AY2903" s="5" t="s">
        <v>238</v>
      </c>
      <c r="BA2903" s="5" t="s">
        <v>238</v>
      </c>
      <c r="BC2903" s="5" t="s">
        <v>250</v>
      </c>
      <c r="BD2903" s="6" t="s">
        <v>243</v>
      </c>
      <c r="BE2903" s="5" t="s">
        <v>251</v>
      </c>
      <c r="BF2903" s="5" t="s">
        <v>252</v>
      </c>
      <c r="BG2903" s="5" t="s">
        <v>238</v>
      </c>
      <c r="BH2903" s="7">
        <f>0</f>
        <v>0</v>
      </c>
      <c r="BI2903" s="8">
        <f>0</f>
        <v>0</v>
      </c>
      <c r="BJ2903" s="5" t="s">
        <v>253</v>
      </c>
      <c r="BK2903" s="5" t="s">
        <v>254</v>
      </c>
      <c r="BY2903" s="5" t="s">
        <v>238</v>
      </c>
      <c r="BZ2903" s="5" t="s">
        <v>238</v>
      </c>
      <c r="CD2903" s="5" t="s">
        <v>273</v>
      </c>
      <c r="CE2903" s="5" t="s">
        <v>256</v>
      </c>
      <c r="CF2903" s="5" t="s">
        <v>238</v>
      </c>
      <c r="CI2903" s="6" t="s">
        <v>257</v>
      </c>
      <c r="CJ2903" s="5" t="s">
        <v>238</v>
      </c>
      <c r="CK2903" s="5" t="s">
        <v>258</v>
      </c>
      <c r="CL2903" s="5" t="s">
        <v>238</v>
      </c>
      <c r="CM2903" s="5" t="s">
        <v>238</v>
      </c>
      <c r="CN2903" s="5">
        <v>0</v>
      </c>
      <c r="CO2903" s="5" t="s">
        <v>259</v>
      </c>
      <c r="CP2903" s="5" t="s">
        <v>260</v>
      </c>
      <c r="CQ2903" s="5" t="s">
        <v>260</v>
      </c>
      <c r="CR2903" s="5" t="s">
        <v>261</v>
      </c>
      <c r="CU2903" s="8">
        <f>1</f>
        <v>1</v>
      </c>
      <c r="CV2903" s="8">
        <f>0</f>
        <v>0</v>
      </c>
      <c r="CX2903" s="8">
        <f>0</f>
        <v>0</v>
      </c>
      <c r="CY2903" s="8">
        <f>1</f>
        <v>1</v>
      </c>
      <c r="DA2903" s="5" t="s">
        <v>274</v>
      </c>
      <c r="DB2903" s="5" t="s">
        <v>238</v>
      </c>
      <c r="DD2903" s="5" t="s">
        <v>274</v>
      </c>
      <c r="DE2903" s="8">
        <f>231</f>
        <v>231</v>
      </c>
      <c r="DG2903" s="5" t="s">
        <v>238</v>
      </c>
      <c r="DH2903" s="5" t="s">
        <v>238</v>
      </c>
      <c r="DI2903" s="5" t="s">
        <v>238</v>
      </c>
      <c r="DJ2903" s="5" t="s">
        <v>238</v>
      </c>
      <c r="DN2903" s="5" t="s">
        <v>238</v>
      </c>
      <c r="DO2903" s="5" t="s">
        <v>238</v>
      </c>
      <c r="DP2903" s="5" t="s">
        <v>238</v>
      </c>
      <c r="DQ2903" s="5" t="s">
        <v>238</v>
      </c>
      <c r="DT2903" s="5" t="s">
        <v>275</v>
      </c>
      <c r="DU2903" s="5" t="s">
        <v>2628</v>
      </c>
      <c r="HM2903" s="5" t="s">
        <v>264</v>
      </c>
    </row>
    <row r="2904" spans="1:221" x14ac:dyDescent="0.4">
      <c r="A2904" s="5">
        <v>4608</v>
      </c>
      <c r="B2904" s="5">
        <v>1</v>
      </c>
      <c r="C2904" s="5">
        <v>1</v>
      </c>
      <c r="D2904" s="5" t="s">
        <v>269</v>
      </c>
      <c r="E2904" s="5" t="s">
        <v>271</v>
      </c>
      <c r="F2904" s="5" t="s">
        <v>248</v>
      </c>
      <c r="G2904" s="5" t="s">
        <v>266</v>
      </c>
      <c r="H2904" s="6" t="s">
        <v>5601</v>
      </c>
      <c r="I2904" s="7">
        <f>434</f>
        <v>434</v>
      </c>
      <c r="J2904" s="5" t="s">
        <v>262</v>
      </c>
      <c r="K2904" s="8">
        <f>1</f>
        <v>1</v>
      </c>
      <c r="L2904" s="6" t="s">
        <v>242</v>
      </c>
      <c r="M2904" s="5" t="s">
        <v>267</v>
      </c>
      <c r="N2904" s="5" t="s">
        <v>265</v>
      </c>
      <c r="O2904" s="5" t="s">
        <v>238</v>
      </c>
      <c r="P2904" s="5" t="s">
        <v>238</v>
      </c>
      <c r="Q2904" s="5" t="s">
        <v>268</v>
      </c>
      <c r="R2904" s="5" t="s">
        <v>270</v>
      </c>
      <c r="S2904" s="5" t="s">
        <v>238</v>
      </c>
      <c r="V2904" s="5" t="s">
        <v>238</v>
      </c>
      <c r="X2904" s="6" t="s">
        <v>238</v>
      </c>
      <c r="AA2904" s="6" t="s">
        <v>243</v>
      </c>
      <c r="AB2904" s="5" t="s">
        <v>238</v>
      </c>
      <c r="AC2904" s="5" t="s">
        <v>244</v>
      </c>
      <c r="AD2904" s="5" t="s">
        <v>245</v>
      </c>
      <c r="AT2904" s="5" t="s">
        <v>246</v>
      </c>
      <c r="AU2904" s="5" t="s">
        <v>238</v>
      </c>
      <c r="AV2904" s="5" t="s">
        <v>247</v>
      </c>
      <c r="AW2904" s="5" t="s">
        <v>238</v>
      </c>
      <c r="AX2904" s="5" t="s">
        <v>249</v>
      </c>
      <c r="AY2904" s="5" t="s">
        <v>238</v>
      </c>
      <c r="BA2904" s="5" t="s">
        <v>238</v>
      </c>
      <c r="BC2904" s="5" t="s">
        <v>250</v>
      </c>
      <c r="BD2904" s="6" t="s">
        <v>243</v>
      </c>
      <c r="BE2904" s="5" t="s">
        <v>251</v>
      </c>
      <c r="BF2904" s="5" t="s">
        <v>252</v>
      </c>
      <c r="BG2904" s="5" t="s">
        <v>238</v>
      </c>
      <c r="BH2904" s="7">
        <f>0</f>
        <v>0</v>
      </c>
      <c r="BI2904" s="8">
        <f>0</f>
        <v>0</v>
      </c>
      <c r="BJ2904" s="5" t="s">
        <v>253</v>
      </c>
      <c r="BK2904" s="5" t="s">
        <v>254</v>
      </c>
      <c r="BY2904" s="5" t="s">
        <v>238</v>
      </c>
      <c r="BZ2904" s="5" t="s">
        <v>238</v>
      </c>
      <c r="CD2904" s="5" t="s">
        <v>273</v>
      </c>
      <c r="CE2904" s="5" t="s">
        <v>256</v>
      </c>
      <c r="CF2904" s="5" t="s">
        <v>238</v>
      </c>
      <c r="CI2904" s="6" t="s">
        <v>257</v>
      </c>
      <c r="CJ2904" s="5" t="s">
        <v>238</v>
      </c>
      <c r="CK2904" s="5" t="s">
        <v>258</v>
      </c>
      <c r="CL2904" s="5" t="s">
        <v>238</v>
      </c>
      <c r="CM2904" s="5" t="s">
        <v>238</v>
      </c>
      <c r="CN2904" s="5">
        <v>0</v>
      </c>
      <c r="CO2904" s="5" t="s">
        <v>259</v>
      </c>
      <c r="CP2904" s="5" t="s">
        <v>260</v>
      </c>
      <c r="CQ2904" s="5" t="s">
        <v>260</v>
      </c>
      <c r="CR2904" s="5" t="s">
        <v>261</v>
      </c>
      <c r="CU2904" s="8">
        <f>1</f>
        <v>1</v>
      </c>
      <c r="CV2904" s="8">
        <f>0</f>
        <v>0</v>
      </c>
      <c r="CX2904" s="8">
        <f>0</f>
        <v>0</v>
      </c>
      <c r="CY2904" s="8">
        <f>1</f>
        <v>1</v>
      </c>
      <c r="DA2904" s="5" t="s">
        <v>274</v>
      </c>
      <c r="DB2904" s="5" t="s">
        <v>238</v>
      </c>
      <c r="DD2904" s="5" t="s">
        <v>274</v>
      </c>
      <c r="DE2904" s="8">
        <f>434</f>
        <v>434</v>
      </c>
      <c r="DG2904" s="5" t="s">
        <v>238</v>
      </c>
      <c r="DH2904" s="5" t="s">
        <v>238</v>
      </c>
      <c r="DI2904" s="5" t="s">
        <v>238</v>
      </c>
      <c r="DJ2904" s="5" t="s">
        <v>238</v>
      </c>
      <c r="DN2904" s="5" t="s">
        <v>238</v>
      </c>
      <c r="DO2904" s="5" t="s">
        <v>238</v>
      </c>
      <c r="DP2904" s="5" t="s">
        <v>238</v>
      </c>
      <c r="DQ2904" s="5" t="s">
        <v>238</v>
      </c>
      <c r="DT2904" s="5" t="s">
        <v>275</v>
      </c>
      <c r="DU2904" s="5" t="s">
        <v>3494</v>
      </c>
      <c r="HM2904" s="5" t="s">
        <v>264</v>
      </c>
    </row>
    <row r="2905" spans="1:221" x14ac:dyDescent="0.4">
      <c r="A2905" s="5">
        <v>4609</v>
      </c>
      <c r="B2905" s="5">
        <v>1</v>
      </c>
      <c r="C2905" s="5">
        <v>1</v>
      </c>
      <c r="D2905" s="5" t="s">
        <v>269</v>
      </c>
      <c r="E2905" s="5" t="s">
        <v>271</v>
      </c>
      <c r="F2905" s="5" t="s">
        <v>248</v>
      </c>
      <c r="G2905" s="5" t="s">
        <v>266</v>
      </c>
      <c r="H2905" s="6" t="s">
        <v>887</v>
      </c>
      <c r="I2905" s="7">
        <f>259</f>
        <v>259</v>
      </c>
      <c r="J2905" s="5" t="s">
        <v>262</v>
      </c>
      <c r="K2905" s="8">
        <f>1</f>
        <v>1</v>
      </c>
      <c r="L2905" s="6" t="s">
        <v>242</v>
      </c>
      <c r="M2905" s="5" t="s">
        <v>267</v>
      </c>
      <c r="N2905" s="5" t="s">
        <v>265</v>
      </c>
      <c r="O2905" s="5" t="s">
        <v>238</v>
      </c>
      <c r="P2905" s="5" t="s">
        <v>238</v>
      </c>
      <c r="Q2905" s="5" t="s">
        <v>268</v>
      </c>
      <c r="R2905" s="5" t="s">
        <v>270</v>
      </c>
      <c r="S2905" s="5" t="s">
        <v>238</v>
      </c>
      <c r="V2905" s="5" t="s">
        <v>238</v>
      </c>
      <c r="X2905" s="6" t="s">
        <v>238</v>
      </c>
      <c r="AA2905" s="6" t="s">
        <v>243</v>
      </c>
      <c r="AB2905" s="5" t="s">
        <v>238</v>
      </c>
      <c r="AC2905" s="5" t="s">
        <v>244</v>
      </c>
      <c r="AD2905" s="5" t="s">
        <v>245</v>
      </c>
      <c r="AT2905" s="5" t="s">
        <v>246</v>
      </c>
      <c r="AU2905" s="5" t="s">
        <v>238</v>
      </c>
      <c r="AV2905" s="5" t="s">
        <v>247</v>
      </c>
      <c r="AW2905" s="5" t="s">
        <v>238</v>
      </c>
      <c r="AX2905" s="5" t="s">
        <v>249</v>
      </c>
      <c r="AY2905" s="5" t="s">
        <v>238</v>
      </c>
      <c r="BA2905" s="5" t="s">
        <v>238</v>
      </c>
      <c r="BC2905" s="5" t="s">
        <v>250</v>
      </c>
      <c r="BD2905" s="6" t="s">
        <v>243</v>
      </c>
      <c r="BE2905" s="5" t="s">
        <v>251</v>
      </c>
      <c r="BF2905" s="5" t="s">
        <v>252</v>
      </c>
      <c r="BG2905" s="5" t="s">
        <v>238</v>
      </c>
      <c r="BH2905" s="7">
        <f>0</f>
        <v>0</v>
      </c>
      <c r="BI2905" s="8">
        <f>0</f>
        <v>0</v>
      </c>
      <c r="BJ2905" s="5" t="s">
        <v>253</v>
      </c>
      <c r="BK2905" s="5" t="s">
        <v>254</v>
      </c>
      <c r="BY2905" s="5" t="s">
        <v>238</v>
      </c>
      <c r="BZ2905" s="5" t="s">
        <v>238</v>
      </c>
      <c r="CD2905" s="5" t="s">
        <v>273</v>
      </c>
      <c r="CE2905" s="5" t="s">
        <v>256</v>
      </c>
      <c r="CF2905" s="5" t="s">
        <v>238</v>
      </c>
      <c r="CI2905" s="6" t="s">
        <v>257</v>
      </c>
      <c r="CJ2905" s="5" t="s">
        <v>238</v>
      </c>
      <c r="CK2905" s="5" t="s">
        <v>258</v>
      </c>
      <c r="CL2905" s="5" t="s">
        <v>238</v>
      </c>
      <c r="CM2905" s="5" t="s">
        <v>238</v>
      </c>
      <c r="CN2905" s="5">
        <v>0</v>
      </c>
      <c r="CO2905" s="5" t="s">
        <v>259</v>
      </c>
      <c r="CP2905" s="5" t="s">
        <v>260</v>
      </c>
      <c r="CQ2905" s="5" t="s">
        <v>260</v>
      </c>
      <c r="CR2905" s="5" t="s">
        <v>261</v>
      </c>
      <c r="CU2905" s="8">
        <f>1</f>
        <v>1</v>
      </c>
      <c r="CV2905" s="8">
        <f>0</f>
        <v>0</v>
      </c>
      <c r="CX2905" s="8">
        <f>0</f>
        <v>0</v>
      </c>
      <c r="CY2905" s="8">
        <f>1</f>
        <v>1</v>
      </c>
      <c r="DA2905" s="5" t="s">
        <v>274</v>
      </c>
      <c r="DB2905" s="5" t="s">
        <v>238</v>
      </c>
      <c r="DD2905" s="5" t="s">
        <v>274</v>
      </c>
      <c r="DE2905" s="8">
        <f>259</f>
        <v>259</v>
      </c>
      <c r="DG2905" s="5" t="s">
        <v>238</v>
      </c>
      <c r="DH2905" s="5" t="s">
        <v>238</v>
      </c>
      <c r="DI2905" s="5" t="s">
        <v>238</v>
      </c>
      <c r="DJ2905" s="5" t="s">
        <v>238</v>
      </c>
      <c r="DN2905" s="5" t="s">
        <v>238</v>
      </c>
      <c r="DO2905" s="5" t="s">
        <v>238</v>
      </c>
      <c r="DP2905" s="5" t="s">
        <v>238</v>
      </c>
      <c r="DQ2905" s="5" t="s">
        <v>238</v>
      </c>
      <c r="DT2905" s="5" t="s">
        <v>275</v>
      </c>
      <c r="DU2905" s="5" t="s">
        <v>888</v>
      </c>
      <c r="HM2905" s="5" t="s">
        <v>264</v>
      </c>
    </row>
    <row r="2906" spans="1:221" x14ac:dyDescent="0.4">
      <c r="A2906" s="5">
        <v>4610</v>
      </c>
      <c r="B2906" s="5">
        <v>1</v>
      </c>
      <c r="C2906" s="5">
        <v>1</v>
      </c>
      <c r="D2906" s="5" t="s">
        <v>269</v>
      </c>
      <c r="E2906" s="5" t="s">
        <v>271</v>
      </c>
      <c r="F2906" s="5" t="s">
        <v>248</v>
      </c>
      <c r="G2906" s="5" t="s">
        <v>266</v>
      </c>
      <c r="H2906" s="6" t="s">
        <v>895</v>
      </c>
      <c r="I2906" s="7">
        <f>638</f>
        <v>638</v>
      </c>
      <c r="J2906" s="5" t="s">
        <v>262</v>
      </c>
      <c r="K2906" s="8">
        <f>1</f>
        <v>1</v>
      </c>
      <c r="L2906" s="6" t="s">
        <v>242</v>
      </c>
      <c r="M2906" s="5" t="s">
        <v>267</v>
      </c>
      <c r="N2906" s="5" t="s">
        <v>265</v>
      </c>
      <c r="O2906" s="5" t="s">
        <v>238</v>
      </c>
      <c r="P2906" s="5" t="s">
        <v>238</v>
      </c>
      <c r="Q2906" s="5" t="s">
        <v>268</v>
      </c>
      <c r="R2906" s="5" t="s">
        <v>270</v>
      </c>
      <c r="S2906" s="5" t="s">
        <v>238</v>
      </c>
      <c r="V2906" s="5" t="s">
        <v>238</v>
      </c>
      <c r="X2906" s="6" t="s">
        <v>238</v>
      </c>
      <c r="AA2906" s="6" t="s">
        <v>243</v>
      </c>
      <c r="AB2906" s="5" t="s">
        <v>238</v>
      </c>
      <c r="AC2906" s="5" t="s">
        <v>244</v>
      </c>
      <c r="AD2906" s="5" t="s">
        <v>245</v>
      </c>
      <c r="AT2906" s="5" t="s">
        <v>246</v>
      </c>
      <c r="AU2906" s="5" t="s">
        <v>238</v>
      </c>
      <c r="AV2906" s="5" t="s">
        <v>247</v>
      </c>
      <c r="AW2906" s="5" t="s">
        <v>238</v>
      </c>
      <c r="AX2906" s="5" t="s">
        <v>249</v>
      </c>
      <c r="AY2906" s="5" t="s">
        <v>238</v>
      </c>
      <c r="BA2906" s="5" t="s">
        <v>238</v>
      </c>
      <c r="BC2906" s="5" t="s">
        <v>250</v>
      </c>
      <c r="BD2906" s="6" t="s">
        <v>243</v>
      </c>
      <c r="BE2906" s="5" t="s">
        <v>251</v>
      </c>
      <c r="BF2906" s="5" t="s">
        <v>252</v>
      </c>
      <c r="BG2906" s="5" t="s">
        <v>238</v>
      </c>
      <c r="BH2906" s="7">
        <f>0</f>
        <v>0</v>
      </c>
      <c r="BI2906" s="8">
        <f>0</f>
        <v>0</v>
      </c>
      <c r="BJ2906" s="5" t="s">
        <v>253</v>
      </c>
      <c r="BK2906" s="5" t="s">
        <v>254</v>
      </c>
      <c r="BY2906" s="5" t="s">
        <v>238</v>
      </c>
      <c r="BZ2906" s="5" t="s">
        <v>238</v>
      </c>
      <c r="CD2906" s="5" t="s">
        <v>273</v>
      </c>
      <c r="CE2906" s="5" t="s">
        <v>256</v>
      </c>
      <c r="CF2906" s="5" t="s">
        <v>238</v>
      </c>
      <c r="CI2906" s="6" t="s">
        <v>257</v>
      </c>
      <c r="CJ2906" s="5" t="s">
        <v>238</v>
      </c>
      <c r="CK2906" s="5" t="s">
        <v>258</v>
      </c>
      <c r="CL2906" s="5" t="s">
        <v>238</v>
      </c>
      <c r="CM2906" s="5" t="s">
        <v>238</v>
      </c>
      <c r="CN2906" s="5">
        <v>0</v>
      </c>
      <c r="CO2906" s="5" t="s">
        <v>259</v>
      </c>
      <c r="CP2906" s="5" t="s">
        <v>260</v>
      </c>
      <c r="CQ2906" s="5" t="s">
        <v>260</v>
      </c>
      <c r="CR2906" s="5" t="s">
        <v>261</v>
      </c>
      <c r="CU2906" s="8">
        <f>1</f>
        <v>1</v>
      </c>
      <c r="CV2906" s="8">
        <f>0</f>
        <v>0</v>
      </c>
      <c r="CX2906" s="8">
        <f>0</f>
        <v>0</v>
      </c>
      <c r="CY2906" s="8">
        <f>1</f>
        <v>1</v>
      </c>
      <c r="DA2906" s="5" t="s">
        <v>274</v>
      </c>
      <c r="DB2906" s="5" t="s">
        <v>238</v>
      </c>
      <c r="DD2906" s="5" t="s">
        <v>274</v>
      </c>
      <c r="DE2906" s="8">
        <f>638</f>
        <v>638</v>
      </c>
      <c r="DG2906" s="5" t="s">
        <v>238</v>
      </c>
      <c r="DH2906" s="5" t="s">
        <v>238</v>
      </c>
      <c r="DI2906" s="5" t="s">
        <v>238</v>
      </c>
      <c r="DJ2906" s="5" t="s">
        <v>238</v>
      </c>
      <c r="DN2906" s="5" t="s">
        <v>238</v>
      </c>
      <c r="DO2906" s="5" t="s">
        <v>238</v>
      </c>
      <c r="DP2906" s="5" t="s">
        <v>238</v>
      </c>
      <c r="DQ2906" s="5" t="s">
        <v>238</v>
      </c>
      <c r="DT2906" s="5" t="s">
        <v>275</v>
      </c>
      <c r="DU2906" s="5" t="s">
        <v>896</v>
      </c>
      <c r="HM2906" s="5" t="s">
        <v>264</v>
      </c>
    </row>
    <row r="2907" spans="1:221" x14ac:dyDescent="0.4">
      <c r="A2907" s="5">
        <v>4611</v>
      </c>
      <c r="B2907" s="5">
        <v>1</v>
      </c>
      <c r="C2907" s="5">
        <v>1</v>
      </c>
      <c r="D2907" s="5" t="s">
        <v>269</v>
      </c>
      <c r="E2907" s="5" t="s">
        <v>271</v>
      </c>
      <c r="F2907" s="5" t="s">
        <v>248</v>
      </c>
      <c r="G2907" s="5" t="s">
        <v>266</v>
      </c>
      <c r="H2907" s="6" t="s">
        <v>901</v>
      </c>
      <c r="I2907" s="7">
        <f>169</f>
        <v>169</v>
      </c>
      <c r="J2907" s="5" t="s">
        <v>262</v>
      </c>
      <c r="K2907" s="8">
        <f>1</f>
        <v>1</v>
      </c>
      <c r="L2907" s="6" t="s">
        <v>242</v>
      </c>
      <c r="M2907" s="5" t="s">
        <v>267</v>
      </c>
      <c r="N2907" s="5" t="s">
        <v>265</v>
      </c>
      <c r="O2907" s="5" t="s">
        <v>238</v>
      </c>
      <c r="P2907" s="5" t="s">
        <v>238</v>
      </c>
      <c r="Q2907" s="5" t="s">
        <v>268</v>
      </c>
      <c r="R2907" s="5" t="s">
        <v>270</v>
      </c>
      <c r="S2907" s="5" t="s">
        <v>238</v>
      </c>
      <c r="V2907" s="5" t="s">
        <v>238</v>
      </c>
      <c r="X2907" s="6" t="s">
        <v>238</v>
      </c>
      <c r="AA2907" s="6" t="s">
        <v>243</v>
      </c>
      <c r="AB2907" s="5" t="s">
        <v>238</v>
      </c>
      <c r="AC2907" s="5" t="s">
        <v>244</v>
      </c>
      <c r="AD2907" s="5" t="s">
        <v>245</v>
      </c>
      <c r="AT2907" s="5" t="s">
        <v>246</v>
      </c>
      <c r="AU2907" s="5" t="s">
        <v>238</v>
      </c>
      <c r="AV2907" s="5" t="s">
        <v>247</v>
      </c>
      <c r="AW2907" s="5" t="s">
        <v>238</v>
      </c>
      <c r="AX2907" s="5" t="s">
        <v>249</v>
      </c>
      <c r="AY2907" s="5" t="s">
        <v>238</v>
      </c>
      <c r="BA2907" s="5" t="s">
        <v>238</v>
      </c>
      <c r="BC2907" s="5" t="s">
        <v>250</v>
      </c>
      <c r="BD2907" s="6" t="s">
        <v>243</v>
      </c>
      <c r="BE2907" s="5" t="s">
        <v>251</v>
      </c>
      <c r="BF2907" s="5" t="s">
        <v>252</v>
      </c>
      <c r="BG2907" s="5" t="s">
        <v>238</v>
      </c>
      <c r="BH2907" s="7">
        <f>0</f>
        <v>0</v>
      </c>
      <c r="BI2907" s="8">
        <f>0</f>
        <v>0</v>
      </c>
      <c r="BJ2907" s="5" t="s">
        <v>253</v>
      </c>
      <c r="BK2907" s="5" t="s">
        <v>254</v>
      </c>
      <c r="BY2907" s="5" t="s">
        <v>238</v>
      </c>
      <c r="BZ2907" s="5" t="s">
        <v>238</v>
      </c>
      <c r="CD2907" s="5" t="s">
        <v>273</v>
      </c>
      <c r="CE2907" s="5" t="s">
        <v>256</v>
      </c>
      <c r="CF2907" s="5" t="s">
        <v>238</v>
      </c>
      <c r="CI2907" s="6" t="s">
        <v>257</v>
      </c>
      <c r="CJ2907" s="5" t="s">
        <v>238</v>
      </c>
      <c r="CK2907" s="5" t="s">
        <v>258</v>
      </c>
      <c r="CL2907" s="5" t="s">
        <v>238</v>
      </c>
      <c r="CM2907" s="5" t="s">
        <v>238</v>
      </c>
      <c r="CN2907" s="5">
        <v>0</v>
      </c>
      <c r="CO2907" s="5" t="s">
        <v>259</v>
      </c>
      <c r="CP2907" s="5" t="s">
        <v>260</v>
      </c>
      <c r="CQ2907" s="5" t="s">
        <v>260</v>
      </c>
      <c r="CR2907" s="5" t="s">
        <v>261</v>
      </c>
      <c r="CU2907" s="8">
        <f>1</f>
        <v>1</v>
      </c>
      <c r="CV2907" s="8">
        <f>0</f>
        <v>0</v>
      </c>
      <c r="CX2907" s="8">
        <f>0</f>
        <v>0</v>
      </c>
      <c r="CY2907" s="8">
        <f>1</f>
        <v>1</v>
      </c>
      <c r="DA2907" s="5" t="s">
        <v>274</v>
      </c>
      <c r="DB2907" s="5" t="s">
        <v>238</v>
      </c>
      <c r="DD2907" s="5" t="s">
        <v>274</v>
      </c>
      <c r="DE2907" s="8">
        <f>169</f>
        <v>169</v>
      </c>
      <c r="DG2907" s="5" t="s">
        <v>238</v>
      </c>
      <c r="DH2907" s="5" t="s">
        <v>238</v>
      </c>
      <c r="DI2907" s="5" t="s">
        <v>238</v>
      </c>
      <c r="DJ2907" s="5" t="s">
        <v>238</v>
      </c>
      <c r="DN2907" s="5" t="s">
        <v>238</v>
      </c>
      <c r="DO2907" s="5" t="s">
        <v>238</v>
      </c>
      <c r="DP2907" s="5" t="s">
        <v>238</v>
      </c>
      <c r="DQ2907" s="5" t="s">
        <v>238</v>
      </c>
      <c r="DT2907" s="5" t="s">
        <v>275</v>
      </c>
      <c r="DU2907" s="5" t="s">
        <v>902</v>
      </c>
      <c r="HM2907" s="5" t="s">
        <v>264</v>
      </c>
    </row>
    <row r="2908" spans="1:221" x14ac:dyDescent="0.4">
      <c r="A2908" s="5">
        <v>4612</v>
      </c>
      <c r="B2908" s="5">
        <v>1</v>
      </c>
      <c r="C2908" s="5">
        <v>1</v>
      </c>
      <c r="D2908" s="5" t="s">
        <v>269</v>
      </c>
      <c r="E2908" s="5" t="s">
        <v>271</v>
      </c>
      <c r="F2908" s="5" t="s">
        <v>248</v>
      </c>
      <c r="G2908" s="5" t="s">
        <v>266</v>
      </c>
      <c r="H2908" s="6" t="s">
        <v>903</v>
      </c>
      <c r="I2908" s="7">
        <f>334</f>
        <v>334</v>
      </c>
      <c r="J2908" s="5" t="s">
        <v>262</v>
      </c>
      <c r="K2908" s="8">
        <f>1</f>
        <v>1</v>
      </c>
      <c r="L2908" s="6" t="s">
        <v>242</v>
      </c>
      <c r="M2908" s="5" t="s">
        <v>267</v>
      </c>
      <c r="N2908" s="5" t="s">
        <v>265</v>
      </c>
      <c r="O2908" s="5" t="s">
        <v>238</v>
      </c>
      <c r="P2908" s="5" t="s">
        <v>238</v>
      </c>
      <c r="Q2908" s="5" t="s">
        <v>268</v>
      </c>
      <c r="R2908" s="5" t="s">
        <v>270</v>
      </c>
      <c r="S2908" s="5" t="s">
        <v>238</v>
      </c>
      <c r="V2908" s="5" t="s">
        <v>238</v>
      </c>
      <c r="X2908" s="6" t="s">
        <v>238</v>
      </c>
      <c r="AA2908" s="6" t="s">
        <v>243</v>
      </c>
      <c r="AB2908" s="5" t="s">
        <v>238</v>
      </c>
      <c r="AC2908" s="5" t="s">
        <v>244</v>
      </c>
      <c r="AD2908" s="5" t="s">
        <v>245</v>
      </c>
      <c r="AT2908" s="5" t="s">
        <v>246</v>
      </c>
      <c r="AU2908" s="5" t="s">
        <v>238</v>
      </c>
      <c r="AV2908" s="5" t="s">
        <v>247</v>
      </c>
      <c r="AW2908" s="5" t="s">
        <v>238</v>
      </c>
      <c r="AX2908" s="5" t="s">
        <v>249</v>
      </c>
      <c r="AY2908" s="5" t="s">
        <v>238</v>
      </c>
      <c r="BA2908" s="5" t="s">
        <v>238</v>
      </c>
      <c r="BC2908" s="5" t="s">
        <v>250</v>
      </c>
      <c r="BD2908" s="6" t="s">
        <v>243</v>
      </c>
      <c r="BE2908" s="5" t="s">
        <v>251</v>
      </c>
      <c r="BF2908" s="5" t="s">
        <v>252</v>
      </c>
      <c r="BG2908" s="5" t="s">
        <v>238</v>
      </c>
      <c r="BH2908" s="7">
        <f>0</f>
        <v>0</v>
      </c>
      <c r="BI2908" s="8">
        <f>0</f>
        <v>0</v>
      </c>
      <c r="BJ2908" s="5" t="s">
        <v>253</v>
      </c>
      <c r="BK2908" s="5" t="s">
        <v>254</v>
      </c>
      <c r="BY2908" s="5" t="s">
        <v>238</v>
      </c>
      <c r="BZ2908" s="5" t="s">
        <v>238</v>
      </c>
      <c r="CD2908" s="5" t="s">
        <v>273</v>
      </c>
      <c r="CE2908" s="5" t="s">
        <v>256</v>
      </c>
      <c r="CF2908" s="5" t="s">
        <v>238</v>
      </c>
      <c r="CI2908" s="6" t="s">
        <v>257</v>
      </c>
      <c r="CJ2908" s="5" t="s">
        <v>238</v>
      </c>
      <c r="CK2908" s="5" t="s">
        <v>258</v>
      </c>
      <c r="CL2908" s="5" t="s">
        <v>238</v>
      </c>
      <c r="CM2908" s="5" t="s">
        <v>238</v>
      </c>
      <c r="CN2908" s="5">
        <v>0</v>
      </c>
      <c r="CO2908" s="5" t="s">
        <v>259</v>
      </c>
      <c r="CP2908" s="5" t="s">
        <v>260</v>
      </c>
      <c r="CQ2908" s="5" t="s">
        <v>260</v>
      </c>
      <c r="CR2908" s="5" t="s">
        <v>261</v>
      </c>
      <c r="CU2908" s="8">
        <f>1</f>
        <v>1</v>
      </c>
      <c r="CV2908" s="8">
        <f>0</f>
        <v>0</v>
      </c>
      <c r="CX2908" s="8">
        <f>0</f>
        <v>0</v>
      </c>
      <c r="CY2908" s="8">
        <f>1</f>
        <v>1</v>
      </c>
      <c r="DA2908" s="5" t="s">
        <v>274</v>
      </c>
      <c r="DB2908" s="5" t="s">
        <v>238</v>
      </c>
      <c r="DD2908" s="5" t="s">
        <v>274</v>
      </c>
      <c r="DE2908" s="8">
        <f>334</f>
        <v>334</v>
      </c>
      <c r="DG2908" s="5" t="s">
        <v>238</v>
      </c>
      <c r="DH2908" s="5" t="s">
        <v>238</v>
      </c>
      <c r="DI2908" s="5" t="s">
        <v>238</v>
      </c>
      <c r="DJ2908" s="5" t="s">
        <v>238</v>
      </c>
      <c r="DN2908" s="5" t="s">
        <v>238</v>
      </c>
      <c r="DO2908" s="5" t="s">
        <v>238</v>
      </c>
      <c r="DP2908" s="5" t="s">
        <v>238</v>
      </c>
      <c r="DQ2908" s="5" t="s">
        <v>238</v>
      </c>
      <c r="DT2908" s="5" t="s">
        <v>275</v>
      </c>
      <c r="DU2908" s="5" t="s">
        <v>904</v>
      </c>
      <c r="HM2908" s="5" t="s">
        <v>264</v>
      </c>
    </row>
    <row r="2909" spans="1:221" x14ac:dyDescent="0.4">
      <c r="A2909" s="5">
        <v>4613</v>
      </c>
      <c r="B2909" s="5">
        <v>1</v>
      </c>
      <c r="C2909" s="5">
        <v>1</v>
      </c>
      <c r="D2909" s="5" t="s">
        <v>269</v>
      </c>
      <c r="E2909" s="5" t="s">
        <v>271</v>
      </c>
      <c r="F2909" s="5" t="s">
        <v>248</v>
      </c>
      <c r="G2909" s="5" t="s">
        <v>266</v>
      </c>
      <c r="H2909" s="6" t="s">
        <v>914</v>
      </c>
      <c r="I2909" s="7">
        <f>474</f>
        <v>474</v>
      </c>
      <c r="J2909" s="5" t="s">
        <v>262</v>
      </c>
      <c r="K2909" s="8">
        <f>1</f>
        <v>1</v>
      </c>
      <c r="L2909" s="6" t="s">
        <v>242</v>
      </c>
      <c r="M2909" s="5" t="s">
        <v>267</v>
      </c>
      <c r="N2909" s="5" t="s">
        <v>265</v>
      </c>
      <c r="O2909" s="5" t="s">
        <v>238</v>
      </c>
      <c r="P2909" s="5" t="s">
        <v>238</v>
      </c>
      <c r="Q2909" s="5" t="s">
        <v>268</v>
      </c>
      <c r="R2909" s="5" t="s">
        <v>270</v>
      </c>
      <c r="S2909" s="5" t="s">
        <v>238</v>
      </c>
      <c r="V2909" s="5" t="s">
        <v>238</v>
      </c>
      <c r="X2909" s="6" t="s">
        <v>238</v>
      </c>
      <c r="AA2909" s="6" t="s">
        <v>243</v>
      </c>
      <c r="AB2909" s="5" t="s">
        <v>238</v>
      </c>
      <c r="AC2909" s="5" t="s">
        <v>244</v>
      </c>
      <c r="AD2909" s="5" t="s">
        <v>245</v>
      </c>
      <c r="AT2909" s="5" t="s">
        <v>246</v>
      </c>
      <c r="AU2909" s="5" t="s">
        <v>238</v>
      </c>
      <c r="AV2909" s="5" t="s">
        <v>247</v>
      </c>
      <c r="AW2909" s="5" t="s">
        <v>238</v>
      </c>
      <c r="AX2909" s="5" t="s">
        <v>249</v>
      </c>
      <c r="AY2909" s="5" t="s">
        <v>238</v>
      </c>
      <c r="BA2909" s="5" t="s">
        <v>238</v>
      </c>
      <c r="BC2909" s="5" t="s">
        <v>250</v>
      </c>
      <c r="BD2909" s="6" t="s">
        <v>243</v>
      </c>
      <c r="BE2909" s="5" t="s">
        <v>251</v>
      </c>
      <c r="BF2909" s="5" t="s">
        <v>252</v>
      </c>
      <c r="BG2909" s="5" t="s">
        <v>238</v>
      </c>
      <c r="BH2909" s="7">
        <f>0</f>
        <v>0</v>
      </c>
      <c r="BI2909" s="8">
        <f>0</f>
        <v>0</v>
      </c>
      <c r="BJ2909" s="5" t="s">
        <v>253</v>
      </c>
      <c r="BK2909" s="5" t="s">
        <v>254</v>
      </c>
      <c r="BY2909" s="5" t="s">
        <v>238</v>
      </c>
      <c r="BZ2909" s="5" t="s">
        <v>238</v>
      </c>
      <c r="CD2909" s="5" t="s">
        <v>273</v>
      </c>
      <c r="CE2909" s="5" t="s">
        <v>256</v>
      </c>
      <c r="CF2909" s="5" t="s">
        <v>238</v>
      </c>
      <c r="CI2909" s="6" t="s">
        <v>257</v>
      </c>
      <c r="CJ2909" s="5" t="s">
        <v>238</v>
      </c>
      <c r="CK2909" s="5" t="s">
        <v>258</v>
      </c>
      <c r="CL2909" s="5" t="s">
        <v>238</v>
      </c>
      <c r="CM2909" s="5" t="s">
        <v>238</v>
      </c>
      <c r="CN2909" s="5">
        <v>0</v>
      </c>
      <c r="CO2909" s="5" t="s">
        <v>259</v>
      </c>
      <c r="CP2909" s="5" t="s">
        <v>260</v>
      </c>
      <c r="CQ2909" s="5" t="s">
        <v>260</v>
      </c>
      <c r="CR2909" s="5" t="s">
        <v>261</v>
      </c>
      <c r="CU2909" s="8">
        <f>1</f>
        <v>1</v>
      </c>
      <c r="CV2909" s="8">
        <f>0</f>
        <v>0</v>
      </c>
      <c r="CX2909" s="8">
        <f>0</f>
        <v>0</v>
      </c>
      <c r="CY2909" s="8">
        <f>1</f>
        <v>1</v>
      </c>
      <c r="DA2909" s="5" t="s">
        <v>274</v>
      </c>
      <c r="DB2909" s="5" t="s">
        <v>238</v>
      </c>
      <c r="DD2909" s="5" t="s">
        <v>274</v>
      </c>
      <c r="DE2909" s="8">
        <f>474</f>
        <v>474</v>
      </c>
      <c r="DG2909" s="5" t="s">
        <v>238</v>
      </c>
      <c r="DH2909" s="5" t="s">
        <v>238</v>
      </c>
      <c r="DI2909" s="5" t="s">
        <v>238</v>
      </c>
      <c r="DJ2909" s="5" t="s">
        <v>238</v>
      </c>
      <c r="DN2909" s="5" t="s">
        <v>238</v>
      </c>
      <c r="DO2909" s="5" t="s">
        <v>238</v>
      </c>
      <c r="DP2909" s="5" t="s">
        <v>238</v>
      </c>
      <c r="DQ2909" s="5" t="s">
        <v>238</v>
      </c>
      <c r="DT2909" s="5" t="s">
        <v>275</v>
      </c>
      <c r="DU2909" s="5" t="s">
        <v>915</v>
      </c>
      <c r="HM2909" s="5" t="s">
        <v>264</v>
      </c>
    </row>
    <row r="2910" spans="1:221" x14ac:dyDescent="0.4">
      <c r="A2910" s="5">
        <v>4614</v>
      </c>
      <c r="B2910" s="5">
        <v>1</v>
      </c>
      <c r="C2910" s="5">
        <v>1</v>
      </c>
      <c r="D2910" s="5" t="s">
        <v>269</v>
      </c>
      <c r="E2910" s="5" t="s">
        <v>271</v>
      </c>
      <c r="F2910" s="5" t="s">
        <v>248</v>
      </c>
      <c r="G2910" s="5" t="s">
        <v>266</v>
      </c>
      <c r="H2910" s="6" t="s">
        <v>921</v>
      </c>
      <c r="I2910" s="7">
        <f>2290</f>
        <v>2290</v>
      </c>
      <c r="J2910" s="5" t="s">
        <v>262</v>
      </c>
      <c r="K2910" s="8">
        <f>1</f>
        <v>1</v>
      </c>
      <c r="L2910" s="6" t="s">
        <v>242</v>
      </c>
      <c r="M2910" s="5" t="s">
        <v>267</v>
      </c>
      <c r="N2910" s="5" t="s">
        <v>265</v>
      </c>
      <c r="O2910" s="5" t="s">
        <v>238</v>
      </c>
      <c r="P2910" s="5" t="s">
        <v>238</v>
      </c>
      <c r="Q2910" s="5" t="s">
        <v>268</v>
      </c>
      <c r="R2910" s="5" t="s">
        <v>270</v>
      </c>
      <c r="S2910" s="5" t="s">
        <v>238</v>
      </c>
      <c r="V2910" s="5" t="s">
        <v>238</v>
      </c>
      <c r="X2910" s="6" t="s">
        <v>238</v>
      </c>
      <c r="AA2910" s="6" t="s">
        <v>243</v>
      </c>
      <c r="AB2910" s="5" t="s">
        <v>238</v>
      </c>
      <c r="AC2910" s="5" t="s">
        <v>244</v>
      </c>
      <c r="AD2910" s="5" t="s">
        <v>245</v>
      </c>
      <c r="AT2910" s="5" t="s">
        <v>246</v>
      </c>
      <c r="AU2910" s="5" t="s">
        <v>238</v>
      </c>
      <c r="AV2910" s="5" t="s">
        <v>247</v>
      </c>
      <c r="AW2910" s="5" t="s">
        <v>238</v>
      </c>
      <c r="AX2910" s="5" t="s">
        <v>249</v>
      </c>
      <c r="AY2910" s="5" t="s">
        <v>238</v>
      </c>
      <c r="BA2910" s="5" t="s">
        <v>238</v>
      </c>
      <c r="BC2910" s="5" t="s">
        <v>250</v>
      </c>
      <c r="BD2910" s="6" t="s">
        <v>243</v>
      </c>
      <c r="BE2910" s="5" t="s">
        <v>251</v>
      </c>
      <c r="BF2910" s="5" t="s">
        <v>252</v>
      </c>
      <c r="BG2910" s="5" t="s">
        <v>238</v>
      </c>
      <c r="BH2910" s="7">
        <f>0</f>
        <v>0</v>
      </c>
      <c r="BI2910" s="8">
        <f>0</f>
        <v>0</v>
      </c>
      <c r="BJ2910" s="5" t="s">
        <v>253</v>
      </c>
      <c r="BK2910" s="5" t="s">
        <v>254</v>
      </c>
      <c r="BY2910" s="5" t="s">
        <v>238</v>
      </c>
      <c r="BZ2910" s="5" t="s">
        <v>238</v>
      </c>
      <c r="CD2910" s="5" t="s">
        <v>273</v>
      </c>
      <c r="CE2910" s="5" t="s">
        <v>256</v>
      </c>
      <c r="CF2910" s="5" t="s">
        <v>238</v>
      </c>
      <c r="CI2910" s="6" t="s">
        <v>257</v>
      </c>
      <c r="CJ2910" s="5" t="s">
        <v>238</v>
      </c>
      <c r="CK2910" s="5" t="s">
        <v>258</v>
      </c>
      <c r="CL2910" s="5" t="s">
        <v>238</v>
      </c>
      <c r="CM2910" s="5" t="s">
        <v>238</v>
      </c>
      <c r="CN2910" s="5">
        <v>0</v>
      </c>
      <c r="CO2910" s="5" t="s">
        <v>259</v>
      </c>
      <c r="CP2910" s="5" t="s">
        <v>260</v>
      </c>
      <c r="CQ2910" s="5" t="s">
        <v>260</v>
      </c>
      <c r="CR2910" s="5" t="s">
        <v>261</v>
      </c>
      <c r="CU2910" s="8">
        <f>1</f>
        <v>1</v>
      </c>
      <c r="CV2910" s="8">
        <f>0</f>
        <v>0</v>
      </c>
      <c r="CX2910" s="8">
        <f>0</f>
        <v>0</v>
      </c>
      <c r="CY2910" s="8">
        <f>1</f>
        <v>1</v>
      </c>
      <c r="DA2910" s="5" t="s">
        <v>274</v>
      </c>
      <c r="DB2910" s="5" t="s">
        <v>238</v>
      </c>
      <c r="DD2910" s="5" t="s">
        <v>274</v>
      </c>
      <c r="DE2910" s="8">
        <f>2290</f>
        <v>2290</v>
      </c>
      <c r="DG2910" s="5" t="s">
        <v>238</v>
      </c>
      <c r="DH2910" s="5" t="s">
        <v>238</v>
      </c>
      <c r="DI2910" s="5" t="s">
        <v>238</v>
      </c>
      <c r="DJ2910" s="5" t="s">
        <v>238</v>
      </c>
      <c r="DN2910" s="5" t="s">
        <v>238</v>
      </c>
      <c r="DO2910" s="5" t="s">
        <v>238</v>
      </c>
      <c r="DP2910" s="5" t="s">
        <v>238</v>
      </c>
      <c r="DQ2910" s="5" t="s">
        <v>238</v>
      </c>
      <c r="DT2910" s="5" t="s">
        <v>275</v>
      </c>
      <c r="DU2910" s="5" t="s">
        <v>922</v>
      </c>
      <c r="HM2910" s="5" t="s">
        <v>264</v>
      </c>
    </row>
    <row r="2911" spans="1:221" x14ac:dyDescent="0.4">
      <c r="A2911" s="5">
        <v>4615</v>
      </c>
      <c r="B2911" s="5">
        <v>1</v>
      </c>
      <c r="C2911" s="5">
        <v>1</v>
      </c>
      <c r="D2911" s="5" t="s">
        <v>269</v>
      </c>
      <c r="E2911" s="5" t="s">
        <v>271</v>
      </c>
      <c r="F2911" s="5" t="s">
        <v>248</v>
      </c>
      <c r="G2911" s="5" t="s">
        <v>266</v>
      </c>
      <c r="H2911" s="6" t="s">
        <v>933</v>
      </c>
      <c r="I2911" s="7">
        <f>1917</f>
        <v>1917</v>
      </c>
      <c r="J2911" s="5" t="s">
        <v>262</v>
      </c>
      <c r="K2911" s="8">
        <f>1</f>
        <v>1</v>
      </c>
      <c r="L2911" s="6" t="s">
        <v>242</v>
      </c>
      <c r="M2911" s="5" t="s">
        <v>267</v>
      </c>
      <c r="N2911" s="5" t="s">
        <v>265</v>
      </c>
      <c r="O2911" s="5" t="s">
        <v>238</v>
      </c>
      <c r="P2911" s="5" t="s">
        <v>238</v>
      </c>
      <c r="Q2911" s="5" t="s">
        <v>268</v>
      </c>
      <c r="R2911" s="5" t="s">
        <v>270</v>
      </c>
      <c r="S2911" s="5" t="s">
        <v>238</v>
      </c>
      <c r="V2911" s="5" t="s">
        <v>238</v>
      </c>
      <c r="X2911" s="6" t="s">
        <v>238</v>
      </c>
      <c r="AA2911" s="6" t="s">
        <v>243</v>
      </c>
      <c r="AB2911" s="5" t="s">
        <v>238</v>
      </c>
      <c r="AC2911" s="5" t="s">
        <v>244</v>
      </c>
      <c r="AD2911" s="5" t="s">
        <v>245</v>
      </c>
      <c r="AT2911" s="5" t="s">
        <v>246</v>
      </c>
      <c r="AU2911" s="5" t="s">
        <v>238</v>
      </c>
      <c r="AV2911" s="5" t="s">
        <v>247</v>
      </c>
      <c r="AW2911" s="5" t="s">
        <v>238</v>
      </c>
      <c r="AX2911" s="5" t="s">
        <v>249</v>
      </c>
      <c r="AY2911" s="5" t="s">
        <v>238</v>
      </c>
      <c r="BA2911" s="5" t="s">
        <v>238</v>
      </c>
      <c r="BC2911" s="5" t="s">
        <v>250</v>
      </c>
      <c r="BD2911" s="6" t="s">
        <v>243</v>
      </c>
      <c r="BE2911" s="5" t="s">
        <v>251</v>
      </c>
      <c r="BF2911" s="5" t="s">
        <v>252</v>
      </c>
      <c r="BG2911" s="5" t="s">
        <v>238</v>
      </c>
      <c r="BH2911" s="7">
        <f>0</f>
        <v>0</v>
      </c>
      <c r="BI2911" s="8">
        <f>0</f>
        <v>0</v>
      </c>
      <c r="BJ2911" s="5" t="s">
        <v>253</v>
      </c>
      <c r="BK2911" s="5" t="s">
        <v>254</v>
      </c>
      <c r="BY2911" s="5" t="s">
        <v>238</v>
      </c>
      <c r="BZ2911" s="5" t="s">
        <v>238</v>
      </c>
      <c r="CD2911" s="5" t="s">
        <v>273</v>
      </c>
      <c r="CE2911" s="5" t="s">
        <v>256</v>
      </c>
      <c r="CF2911" s="5" t="s">
        <v>238</v>
      </c>
      <c r="CI2911" s="6" t="s">
        <v>257</v>
      </c>
      <c r="CJ2911" s="5" t="s">
        <v>238</v>
      </c>
      <c r="CK2911" s="5" t="s">
        <v>258</v>
      </c>
      <c r="CL2911" s="5" t="s">
        <v>238</v>
      </c>
      <c r="CM2911" s="5" t="s">
        <v>238</v>
      </c>
      <c r="CN2911" s="5">
        <v>0</v>
      </c>
      <c r="CO2911" s="5" t="s">
        <v>259</v>
      </c>
      <c r="CP2911" s="5" t="s">
        <v>260</v>
      </c>
      <c r="CQ2911" s="5" t="s">
        <v>260</v>
      </c>
      <c r="CR2911" s="5" t="s">
        <v>261</v>
      </c>
      <c r="CU2911" s="8">
        <f>1</f>
        <v>1</v>
      </c>
      <c r="CV2911" s="8">
        <f>0</f>
        <v>0</v>
      </c>
      <c r="CX2911" s="8">
        <f>0</f>
        <v>0</v>
      </c>
      <c r="CY2911" s="8">
        <f>1</f>
        <v>1</v>
      </c>
      <c r="DA2911" s="5" t="s">
        <v>274</v>
      </c>
      <c r="DB2911" s="5" t="s">
        <v>238</v>
      </c>
      <c r="DD2911" s="5" t="s">
        <v>274</v>
      </c>
      <c r="DE2911" s="8">
        <f>1917</f>
        <v>1917</v>
      </c>
      <c r="DG2911" s="5" t="s">
        <v>238</v>
      </c>
      <c r="DH2911" s="5" t="s">
        <v>238</v>
      </c>
      <c r="DI2911" s="5" t="s">
        <v>238</v>
      </c>
      <c r="DJ2911" s="5" t="s">
        <v>238</v>
      </c>
      <c r="DN2911" s="5" t="s">
        <v>238</v>
      </c>
      <c r="DO2911" s="5" t="s">
        <v>238</v>
      </c>
      <c r="DP2911" s="5" t="s">
        <v>238</v>
      </c>
      <c r="DQ2911" s="5" t="s">
        <v>238</v>
      </c>
      <c r="DT2911" s="5" t="s">
        <v>275</v>
      </c>
      <c r="DU2911" s="5" t="s">
        <v>934</v>
      </c>
      <c r="HM2911" s="5" t="s">
        <v>264</v>
      </c>
    </row>
    <row r="2912" spans="1:221" x14ac:dyDescent="0.4">
      <c r="A2912" s="5">
        <v>4616</v>
      </c>
      <c r="B2912" s="5">
        <v>1</v>
      </c>
      <c r="C2912" s="5">
        <v>1</v>
      </c>
      <c r="D2912" s="5" t="s">
        <v>269</v>
      </c>
      <c r="E2912" s="5" t="s">
        <v>271</v>
      </c>
      <c r="F2912" s="5" t="s">
        <v>248</v>
      </c>
      <c r="G2912" s="5" t="s">
        <v>266</v>
      </c>
      <c r="H2912" s="6" t="s">
        <v>935</v>
      </c>
      <c r="I2912" s="7">
        <f>1512</f>
        <v>1512</v>
      </c>
      <c r="J2912" s="5" t="s">
        <v>262</v>
      </c>
      <c r="K2912" s="8">
        <f>1</f>
        <v>1</v>
      </c>
      <c r="L2912" s="6" t="s">
        <v>242</v>
      </c>
      <c r="M2912" s="5" t="s">
        <v>267</v>
      </c>
      <c r="N2912" s="5" t="s">
        <v>265</v>
      </c>
      <c r="O2912" s="5" t="s">
        <v>238</v>
      </c>
      <c r="P2912" s="5" t="s">
        <v>238</v>
      </c>
      <c r="Q2912" s="5" t="s">
        <v>268</v>
      </c>
      <c r="R2912" s="5" t="s">
        <v>270</v>
      </c>
      <c r="S2912" s="5" t="s">
        <v>238</v>
      </c>
      <c r="V2912" s="5" t="s">
        <v>238</v>
      </c>
      <c r="X2912" s="6" t="s">
        <v>238</v>
      </c>
      <c r="AA2912" s="6" t="s">
        <v>243</v>
      </c>
      <c r="AB2912" s="5" t="s">
        <v>238</v>
      </c>
      <c r="AC2912" s="5" t="s">
        <v>244</v>
      </c>
      <c r="AD2912" s="5" t="s">
        <v>245</v>
      </c>
      <c r="AT2912" s="5" t="s">
        <v>246</v>
      </c>
      <c r="AU2912" s="5" t="s">
        <v>238</v>
      </c>
      <c r="AV2912" s="5" t="s">
        <v>247</v>
      </c>
      <c r="AW2912" s="5" t="s">
        <v>238</v>
      </c>
      <c r="AX2912" s="5" t="s">
        <v>249</v>
      </c>
      <c r="AY2912" s="5" t="s">
        <v>238</v>
      </c>
      <c r="BA2912" s="5" t="s">
        <v>238</v>
      </c>
      <c r="BC2912" s="5" t="s">
        <v>250</v>
      </c>
      <c r="BD2912" s="6" t="s">
        <v>243</v>
      </c>
      <c r="BE2912" s="5" t="s">
        <v>251</v>
      </c>
      <c r="BF2912" s="5" t="s">
        <v>252</v>
      </c>
      <c r="BG2912" s="5" t="s">
        <v>238</v>
      </c>
      <c r="BH2912" s="7">
        <f>0</f>
        <v>0</v>
      </c>
      <c r="BI2912" s="8">
        <f>0</f>
        <v>0</v>
      </c>
      <c r="BJ2912" s="5" t="s">
        <v>253</v>
      </c>
      <c r="BK2912" s="5" t="s">
        <v>254</v>
      </c>
      <c r="BY2912" s="5" t="s">
        <v>238</v>
      </c>
      <c r="BZ2912" s="5" t="s">
        <v>238</v>
      </c>
      <c r="CD2912" s="5" t="s">
        <v>273</v>
      </c>
      <c r="CE2912" s="5" t="s">
        <v>256</v>
      </c>
      <c r="CF2912" s="5" t="s">
        <v>238</v>
      </c>
      <c r="CI2912" s="6" t="s">
        <v>257</v>
      </c>
      <c r="CJ2912" s="5" t="s">
        <v>238</v>
      </c>
      <c r="CK2912" s="5" t="s">
        <v>258</v>
      </c>
      <c r="CL2912" s="5" t="s">
        <v>238</v>
      </c>
      <c r="CM2912" s="5" t="s">
        <v>238</v>
      </c>
      <c r="CN2912" s="5">
        <v>0</v>
      </c>
      <c r="CO2912" s="5" t="s">
        <v>259</v>
      </c>
      <c r="CP2912" s="5" t="s">
        <v>260</v>
      </c>
      <c r="CQ2912" s="5" t="s">
        <v>260</v>
      </c>
      <c r="CR2912" s="5" t="s">
        <v>261</v>
      </c>
      <c r="CU2912" s="8">
        <f>1</f>
        <v>1</v>
      </c>
      <c r="CV2912" s="8">
        <f>0</f>
        <v>0</v>
      </c>
      <c r="CX2912" s="8">
        <f>0</f>
        <v>0</v>
      </c>
      <c r="CY2912" s="8">
        <f>1</f>
        <v>1</v>
      </c>
      <c r="DA2912" s="5" t="s">
        <v>274</v>
      </c>
      <c r="DB2912" s="5" t="s">
        <v>238</v>
      </c>
      <c r="DD2912" s="5" t="s">
        <v>274</v>
      </c>
      <c r="DE2912" s="8">
        <f>1512</f>
        <v>1512</v>
      </c>
      <c r="DG2912" s="5" t="s">
        <v>238</v>
      </c>
      <c r="DH2912" s="5" t="s">
        <v>238</v>
      </c>
      <c r="DI2912" s="5" t="s">
        <v>238</v>
      </c>
      <c r="DJ2912" s="5" t="s">
        <v>238</v>
      </c>
      <c r="DN2912" s="5" t="s">
        <v>238</v>
      </c>
      <c r="DO2912" s="5" t="s">
        <v>238</v>
      </c>
      <c r="DP2912" s="5" t="s">
        <v>238</v>
      </c>
      <c r="DQ2912" s="5" t="s">
        <v>238</v>
      </c>
      <c r="DT2912" s="5" t="s">
        <v>275</v>
      </c>
      <c r="DU2912" s="5" t="s">
        <v>936</v>
      </c>
      <c r="HM2912" s="5" t="s">
        <v>264</v>
      </c>
    </row>
    <row r="2913" spans="1:221" x14ac:dyDescent="0.4">
      <c r="A2913" s="5">
        <v>4617</v>
      </c>
      <c r="B2913" s="5">
        <v>1</v>
      </c>
      <c r="C2913" s="5">
        <v>1</v>
      </c>
      <c r="D2913" s="5" t="s">
        <v>269</v>
      </c>
      <c r="E2913" s="5" t="s">
        <v>271</v>
      </c>
      <c r="F2913" s="5" t="s">
        <v>248</v>
      </c>
      <c r="G2913" s="5" t="s">
        <v>266</v>
      </c>
      <c r="H2913" s="6" t="s">
        <v>939</v>
      </c>
      <c r="I2913" s="7">
        <f>1410</f>
        <v>1410</v>
      </c>
      <c r="J2913" s="5" t="s">
        <v>262</v>
      </c>
      <c r="K2913" s="8">
        <f>1</f>
        <v>1</v>
      </c>
      <c r="L2913" s="6" t="s">
        <v>242</v>
      </c>
      <c r="M2913" s="5" t="s">
        <v>267</v>
      </c>
      <c r="N2913" s="5" t="s">
        <v>265</v>
      </c>
      <c r="O2913" s="5" t="s">
        <v>238</v>
      </c>
      <c r="P2913" s="5" t="s">
        <v>238</v>
      </c>
      <c r="Q2913" s="5" t="s">
        <v>268</v>
      </c>
      <c r="R2913" s="5" t="s">
        <v>270</v>
      </c>
      <c r="S2913" s="5" t="s">
        <v>238</v>
      </c>
      <c r="V2913" s="5" t="s">
        <v>238</v>
      </c>
      <c r="X2913" s="6" t="s">
        <v>238</v>
      </c>
      <c r="AA2913" s="6" t="s">
        <v>243</v>
      </c>
      <c r="AB2913" s="5" t="s">
        <v>238</v>
      </c>
      <c r="AC2913" s="5" t="s">
        <v>244</v>
      </c>
      <c r="AD2913" s="5" t="s">
        <v>245</v>
      </c>
      <c r="AT2913" s="5" t="s">
        <v>246</v>
      </c>
      <c r="AU2913" s="5" t="s">
        <v>238</v>
      </c>
      <c r="AV2913" s="5" t="s">
        <v>247</v>
      </c>
      <c r="AW2913" s="5" t="s">
        <v>238</v>
      </c>
      <c r="AX2913" s="5" t="s">
        <v>249</v>
      </c>
      <c r="AY2913" s="5" t="s">
        <v>238</v>
      </c>
      <c r="BA2913" s="5" t="s">
        <v>238</v>
      </c>
      <c r="BC2913" s="5" t="s">
        <v>250</v>
      </c>
      <c r="BD2913" s="6" t="s">
        <v>243</v>
      </c>
      <c r="BE2913" s="5" t="s">
        <v>251</v>
      </c>
      <c r="BF2913" s="5" t="s">
        <v>252</v>
      </c>
      <c r="BG2913" s="5" t="s">
        <v>238</v>
      </c>
      <c r="BH2913" s="7">
        <f>0</f>
        <v>0</v>
      </c>
      <c r="BI2913" s="8">
        <f>0</f>
        <v>0</v>
      </c>
      <c r="BJ2913" s="5" t="s">
        <v>253</v>
      </c>
      <c r="BK2913" s="5" t="s">
        <v>254</v>
      </c>
      <c r="BY2913" s="5" t="s">
        <v>238</v>
      </c>
      <c r="BZ2913" s="5" t="s">
        <v>238</v>
      </c>
      <c r="CD2913" s="5" t="s">
        <v>273</v>
      </c>
      <c r="CE2913" s="5" t="s">
        <v>256</v>
      </c>
      <c r="CF2913" s="5" t="s">
        <v>238</v>
      </c>
      <c r="CI2913" s="6" t="s">
        <v>257</v>
      </c>
      <c r="CJ2913" s="5" t="s">
        <v>238</v>
      </c>
      <c r="CK2913" s="5" t="s">
        <v>258</v>
      </c>
      <c r="CL2913" s="5" t="s">
        <v>238</v>
      </c>
      <c r="CM2913" s="5" t="s">
        <v>238</v>
      </c>
      <c r="CN2913" s="5">
        <v>0</v>
      </c>
      <c r="CO2913" s="5" t="s">
        <v>259</v>
      </c>
      <c r="CP2913" s="5" t="s">
        <v>260</v>
      </c>
      <c r="CQ2913" s="5" t="s">
        <v>260</v>
      </c>
      <c r="CR2913" s="5" t="s">
        <v>261</v>
      </c>
      <c r="CU2913" s="8">
        <f>1</f>
        <v>1</v>
      </c>
      <c r="CV2913" s="8">
        <f>0</f>
        <v>0</v>
      </c>
      <c r="CX2913" s="8">
        <f>0</f>
        <v>0</v>
      </c>
      <c r="CY2913" s="8">
        <f>1</f>
        <v>1</v>
      </c>
      <c r="DA2913" s="5" t="s">
        <v>274</v>
      </c>
      <c r="DB2913" s="5" t="s">
        <v>238</v>
      </c>
      <c r="DD2913" s="5" t="s">
        <v>274</v>
      </c>
      <c r="DE2913" s="8">
        <f>1410</f>
        <v>1410</v>
      </c>
      <c r="DG2913" s="5" t="s">
        <v>238</v>
      </c>
      <c r="DH2913" s="5" t="s">
        <v>238</v>
      </c>
      <c r="DI2913" s="5" t="s">
        <v>238</v>
      </c>
      <c r="DJ2913" s="5" t="s">
        <v>238</v>
      </c>
      <c r="DN2913" s="5" t="s">
        <v>238</v>
      </c>
      <c r="DO2913" s="5" t="s">
        <v>238</v>
      </c>
      <c r="DP2913" s="5" t="s">
        <v>238</v>
      </c>
      <c r="DQ2913" s="5" t="s">
        <v>238</v>
      </c>
      <c r="DT2913" s="5" t="s">
        <v>275</v>
      </c>
      <c r="DU2913" s="5" t="s">
        <v>940</v>
      </c>
      <c r="HM2913" s="5" t="s">
        <v>264</v>
      </c>
    </row>
    <row r="2914" spans="1:221" x14ac:dyDescent="0.4">
      <c r="A2914" s="5">
        <v>4618</v>
      </c>
      <c r="B2914" s="5">
        <v>1</v>
      </c>
      <c r="C2914" s="5">
        <v>1</v>
      </c>
      <c r="D2914" s="5" t="s">
        <v>269</v>
      </c>
      <c r="E2914" s="5" t="s">
        <v>271</v>
      </c>
      <c r="F2914" s="5" t="s">
        <v>248</v>
      </c>
      <c r="G2914" s="5" t="s">
        <v>266</v>
      </c>
      <c r="H2914" s="6" t="s">
        <v>941</v>
      </c>
      <c r="I2914" s="7">
        <f>1049</f>
        <v>1049</v>
      </c>
      <c r="J2914" s="5" t="s">
        <v>262</v>
      </c>
      <c r="K2914" s="8">
        <f>1</f>
        <v>1</v>
      </c>
      <c r="L2914" s="6" t="s">
        <v>242</v>
      </c>
      <c r="M2914" s="5" t="s">
        <v>267</v>
      </c>
      <c r="N2914" s="5" t="s">
        <v>265</v>
      </c>
      <c r="O2914" s="5" t="s">
        <v>238</v>
      </c>
      <c r="P2914" s="5" t="s">
        <v>238</v>
      </c>
      <c r="Q2914" s="5" t="s">
        <v>268</v>
      </c>
      <c r="R2914" s="5" t="s">
        <v>270</v>
      </c>
      <c r="S2914" s="5" t="s">
        <v>238</v>
      </c>
      <c r="V2914" s="5" t="s">
        <v>238</v>
      </c>
      <c r="X2914" s="6" t="s">
        <v>238</v>
      </c>
      <c r="AA2914" s="6" t="s">
        <v>243</v>
      </c>
      <c r="AB2914" s="5" t="s">
        <v>238</v>
      </c>
      <c r="AC2914" s="5" t="s">
        <v>244</v>
      </c>
      <c r="AD2914" s="5" t="s">
        <v>245</v>
      </c>
      <c r="AT2914" s="5" t="s">
        <v>246</v>
      </c>
      <c r="AU2914" s="5" t="s">
        <v>238</v>
      </c>
      <c r="AV2914" s="5" t="s">
        <v>247</v>
      </c>
      <c r="AW2914" s="5" t="s">
        <v>238</v>
      </c>
      <c r="AX2914" s="5" t="s">
        <v>249</v>
      </c>
      <c r="AY2914" s="5" t="s">
        <v>238</v>
      </c>
      <c r="BA2914" s="5" t="s">
        <v>238</v>
      </c>
      <c r="BC2914" s="5" t="s">
        <v>250</v>
      </c>
      <c r="BD2914" s="6" t="s">
        <v>243</v>
      </c>
      <c r="BE2914" s="5" t="s">
        <v>251</v>
      </c>
      <c r="BF2914" s="5" t="s">
        <v>252</v>
      </c>
      <c r="BG2914" s="5" t="s">
        <v>238</v>
      </c>
      <c r="BH2914" s="7">
        <f>0</f>
        <v>0</v>
      </c>
      <c r="BI2914" s="8">
        <f>0</f>
        <v>0</v>
      </c>
      <c r="BJ2914" s="5" t="s">
        <v>253</v>
      </c>
      <c r="BK2914" s="5" t="s">
        <v>254</v>
      </c>
      <c r="BY2914" s="5" t="s">
        <v>238</v>
      </c>
      <c r="BZ2914" s="5" t="s">
        <v>238</v>
      </c>
      <c r="CD2914" s="5" t="s">
        <v>273</v>
      </c>
      <c r="CE2914" s="5" t="s">
        <v>256</v>
      </c>
      <c r="CF2914" s="5" t="s">
        <v>238</v>
      </c>
      <c r="CI2914" s="6" t="s">
        <v>257</v>
      </c>
      <c r="CJ2914" s="5" t="s">
        <v>238</v>
      </c>
      <c r="CK2914" s="5" t="s">
        <v>258</v>
      </c>
      <c r="CL2914" s="5" t="s">
        <v>238</v>
      </c>
      <c r="CM2914" s="5" t="s">
        <v>238</v>
      </c>
      <c r="CN2914" s="5">
        <v>0</v>
      </c>
      <c r="CO2914" s="5" t="s">
        <v>259</v>
      </c>
      <c r="CP2914" s="5" t="s">
        <v>260</v>
      </c>
      <c r="CQ2914" s="5" t="s">
        <v>260</v>
      </c>
      <c r="CR2914" s="5" t="s">
        <v>261</v>
      </c>
      <c r="CU2914" s="8">
        <f>1</f>
        <v>1</v>
      </c>
      <c r="CV2914" s="8">
        <f>0</f>
        <v>0</v>
      </c>
      <c r="CX2914" s="8">
        <f>0</f>
        <v>0</v>
      </c>
      <c r="CY2914" s="8">
        <f>1</f>
        <v>1</v>
      </c>
      <c r="DA2914" s="5" t="s">
        <v>274</v>
      </c>
      <c r="DB2914" s="5" t="s">
        <v>238</v>
      </c>
      <c r="DD2914" s="5" t="s">
        <v>274</v>
      </c>
      <c r="DE2914" s="8">
        <f>1049</f>
        <v>1049</v>
      </c>
      <c r="DG2914" s="5" t="s">
        <v>238</v>
      </c>
      <c r="DH2914" s="5" t="s">
        <v>238</v>
      </c>
      <c r="DI2914" s="5" t="s">
        <v>238</v>
      </c>
      <c r="DJ2914" s="5" t="s">
        <v>238</v>
      </c>
      <c r="DN2914" s="5" t="s">
        <v>238</v>
      </c>
      <c r="DO2914" s="5" t="s">
        <v>238</v>
      </c>
      <c r="DP2914" s="5" t="s">
        <v>238</v>
      </c>
      <c r="DQ2914" s="5" t="s">
        <v>238</v>
      </c>
      <c r="DT2914" s="5" t="s">
        <v>275</v>
      </c>
      <c r="DU2914" s="5" t="s">
        <v>942</v>
      </c>
      <c r="HM2914" s="5" t="s">
        <v>264</v>
      </c>
    </row>
    <row r="2915" spans="1:221" x14ac:dyDescent="0.4">
      <c r="A2915" s="5">
        <v>4619</v>
      </c>
      <c r="B2915" s="5">
        <v>1</v>
      </c>
      <c r="C2915" s="5">
        <v>1</v>
      </c>
      <c r="D2915" s="5" t="s">
        <v>269</v>
      </c>
      <c r="E2915" s="5" t="s">
        <v>271</v>
      </c>
      <c r="F2915" s="5" t="s">
        <v>248</v>
      </c>
      <c r="G2915" s="5" t="s">
        <v>266</v>
      </c>
      <c r="H2915" s="6" t="s">
        <v>947</v>
      </c>
      <c r="I2915" s="7">
        <f>2042</f>
        <v>2042</v>
      </c>
      <c r="J2915" s="5" t="s">
        <v>262</v>
      </c>
      <c r="K2915" s="8">
        <f>1</f>
        <v>1</v>
      </c>
      <c r="L2915" s="6" t="s">
        <v>242</v>
      </c>
      <c r="M2915" s="5" t="s">
        <v>267</v>
      </c>
      <c r="N2915" s="5" t="s">
        <v>265</v>
      </c>
      <c r="O2915" s="5" t="s">
        <v>238</v>
      </c>
      <c r="P2915" s="5" t="s">
        <v>238</v>
      </c>
      <c r="Q2915" s="5" t="s">
        <v>268</v>
      </c>
      <c r="R2915" s="5" t="s">
        <v>270</v>
      </c>
      <c r="S2915" s="5" t="s">
        <v>238</v>
      </c>
      <c r="V2915" s="5" t="s">
        <v>238</v>
      </c>
      <c r="X2915" s="6" t="s">
        <v>238</v>
      </c>
      <c r="AA2915" s="6" t="s">
        <v>243</v>
      </c>
      <c r="AB2915" s="5" t="s">
        <v>238</v>
      </c>
      <c r="AC2915" s="5" t="s">
        <v>244</v>
      </c>
      <c r="AD2915" s="5" t="s">
        <v>245</v>
      </c>
      <c r="AT2915" s="5" t="s">
        <v>246</v>
      </c>
      <c r="AU2915" s="5" t="s">
        <v>238</v>
      </c>
      <c r="AV2915" s="5" t="s">
        <v>247</v>
      </c>
      <c r="AW2915" s="5" t="s">
        <v>238</v>
      </c>
      <c r="AX2915" s="5" t="s">
        <v>249</v>
      </c>
      <c r="AY2915" s="5" t="s">
        <v>238</v>
      </c>
      <c r="BA2915" s="5" t="s">
        <v>238</v>
      </c>
      <c r="BC2915" s="5" t="s">
        <v>250</v>
      </c>
      <c r="BD2915" s="6" t="s">
        <v>243</v>
      </c>
      <c r="BE2915" s="5" t="s">
        <v>251</v>
      </c>
      <c r="BF2915" s="5" t="s">
        <v>252</v>
      </c>
      <c r="BG2915" s="5" t="s">
        <v>238</v>
      </c>
      <c r="BH2915" s="7">
        <f>0</f>
        <v>0</v>
      </c>
      <c r="BI2915" s="8">
        <f>0</f>
        <v>0</v>
      </c>
      <c r="BJ2915" s="5" t="s">
        <v>253</v>
      </c>
      <c r="BK2915" s="5" t="s">
        <v>254</v>
      </c>
      <c r="BY2915" s="5" t="s">
        <v>238</v>
      </c>
      <c r="BZ2915" s="5" t="s">
        <v>238</v>
      </c>
      <c r="CD2915" s="5" t="s">
        <v>273</v>
      </c>
      <c r="CE2915" s="5" t="s">
        <v>256</v>
      </c>
      <c r="CF2915" s="5" t="s">
        <v>238</v>
      </c>
      <c r="CI2915" s="6" t="s">
        <v>257</v>
      </c>
      <c r="CJ2915" s="5" t="s">
        <v>238</v>
      </c>
      <c r="CK2915" s="5" t="s">
        <v>258</v>
      </c>
      <c r="CL2915" s="5" t="s">
        <v>238</v>
      </c>
      <c r="CM2915" s="5" t="s">
        <v>238</v>
      </c>
      <c r="CN2915" s="5">
        <v>0</v>
      </c>
      <c r="CO2915" s="5" t="s">
        <v>259</v>
      </c>
      <c r="CP2915" s="5" t="s">
        <v>260</v>
      </c>
      <c r="CQ2915" s="5" t="s">
        <v>260</v>
      </c>
      <c r="CR2915" s="5" t="s">
        <v>261</v>
      </c>
      <c r="CU2915" s="8">
        <f>1</f>
        <v>1</v>
      </c>
      <c r="CV2915" s="8">
        <f>0</f>
        <v>0</v>
      </c>
      <c r="CX2915" s="8">
        <f>0</f>
        <v>0</v>
      </c>
      <c r="CY2915" s="8">
        <f>1</f>
        <v>1</v>
      </c>
      <c r="DA2915" s="5" t="s">
        <v>274</v>
      </c>
      <c r="DB2915" s="5" t="s">
        <v>238</v>
      </c>
      <c r="DD2915" s="5" t="s">
        <v>274</v>
      </c>
      <c r="DE2915" s="8">
        <f>2042</f>
        <v>2042</v>
      </c>
      <c r="DG2915" s="5" t="s">
        <v>238</v>
      </c>
      <c r="DH2915" s="5" t="s">
        <v>238</v>
      </c>
      <c r="DI2915" s="5" t="s">
        <v>238</v>
      </c>
      <c r="DJ2915" s="5" t="s">
        <v>238</v>
      </c>
      <c r="DN2915" s="5" t="s">
        <v>238</v>
      </c>
      <c r="DO2915" s="5" t="s">
        <v>238</v>
      </c>
      <c r="DP2915" s="5" t="s">
        <v>238</v>
      </c>
      <c r="DQ2915" s="5" t="s">
        <v>238</v>
      </c>
      <c r="DT2915" s="5" t="s">
        <v>275</v>
      </c>
      <c r="DU2915" s="5" t="s">
        <v>948</v>
      </c>
      <c r="HM2915" s="5" t="s">
        <v>264</v>
      </c>
    </row>
    <row r="2916" spans="1:221" x14ac:dyDescent="0.4">
      <c r="A2916" s="5">
        <v>4620</v>
      </c>
      <c r="B2916" s="5">
        <v>1</v>
      </c>
      <c r="C2916" s="5">
        <v>1</v>
      </c>
      <c r="D2916" s="5" t="s">
        <v>269</v>
      </c>
      <c r="E2916" s="5" t="s">
        <v>271</v>
      </c>
      <c r="F2916" s="5" t="s">
        <v>248</v>
      </c>
      <c r="G2916" s="5" t="s">
        <v>266</v>
      </c>
      <c r="H2916" s="6" t="s">
        <v>945</v>
      </c>
      <c r="I2916" s="7">
        <f>2177</f>
        <v>2177</v>
      </c>
      <c r="J2916" s="5" t="s">
        <v>262</v>
      </c>
      <c r="K2916" s="8">
        <f>1</f>
        <v>1</v>
      </c>
      <c r="L2916" s="6" t="s">
        <v>242</v>
      </c>
      <c r="M2916" s="5" t="s">
        <v>267</v>
      </c>
      <c r="N2916" s="5" t="s">
        <v>265</v>
      </c>
      <c r="O2916" s="5" t="s">
        <v>238</v>
      </c>
      <c r="P2916" s="5" t="s">
        <v>238</v>
      </c>
      <c r="Q2916" s="5" t="s">
        <v>268</v>
      </c>
      <c r="R2916" s="5" t="s">
        <v>270</v>
      </c>
      <c r="S2916" s="5" t="s">
        <v>238</v>
      </c>
      <c r="V2916" s="5" t="s">
        <v>238</v>
      </c>
      <c r="X2916" s="6" t="s">
        <v>238</v>
      </c>
      <c r="AA2916" s="6" t="s">
        <v>243</v>
      </c>
      <c r="AB2916" s="5" t="s">
        <v>238</v>
      </c>
      <c r="AC2916" s="5" t="s">
        <v>244</v>
      </c>
      <c r="AD2916" s="5" t="s">
        <v>245</v>
      </c>
      <c r="AT2916" s="5" t="s">
        <v>246</v>
      </c>
      <c r="AU2916" s="5" t="s">
        <v>238</v>
      </c>
      <c r="AV2916" s="5" t="s">
        <v>247</v>
      </c>
      <c r="AW2916" s="5" t="s">
        <v>238</v>
      </c>
      <c r="AX2916" s="5" t="s">
        <v>249</v>
      </c>
      <c r="AY2916" s="5" t="s">
        <v>238</v>
      </c>
      <c r="BA2916" s="5" t="s">
        <v>238</v>
      </c>
      <c r="BC2916" s="5" t="s">
        <v>250</v>
      </c>
      <c r="BD2916" s="6" t="s">
        <v>243</v>
      </c>
      <c r="BE2916" s="5" t="s">
        <v>251</v>
      </c>
      <c r="BF2916" s="5" t="s">
        <v>252</v>
      </c>
      <c r="BG2916" s="5" t="s">
        <v>238</v>
      </c>
      <c r="BH2916" s="7">
        <f>0</f>
        <v>0</v>
      </c>
      <c r="BI2916" s="8">
        <f>0</f>
        <v>0</v>
      </c>
      <c r="BJ2916" s="5" t="s">
        <v>253</v>
      </c>
      <c r="BK2916" s="5" t="s">
        <v>254</v>
      </c>
      <c r="BY2916" s="5" t="s">
        <v>238</v>
      </c>
      <c r="BZ2916" s="5" t="s">
        <v>238</v>
      </c>
      <c r="CD2916" s="5" t="s">
        <v>273</v>
      </c>
      <c r="CE2916" s="5" t="s">
        <v>256</v>
      </c>
      <c r="CF2916" s="5" t="s">
        <v>238</v>
      </c>
      <c r="CI2916" s="6" t="s">
        <v>257</v>
      </c>
      <c r="CJ2916" s="5" t="s">
        <v>238</v>
      </c>
      <c r="CK2916" s="5" t="s">
        <v>258</v>
      </c>
      <c r="CL2916" s="5" t="s">
        <v>238</v>
      </c>
      <c r="CM2916" s="5" t="s">
        <v>238</v>
      </c>
      <c r="CN2916" s="5">
        <v>0</v>
      </c>
      <c r="CO2916" s="5" t="s">
        <v>259</v>
      </c>
      <c r="CP2916" s="5" t="s">
        <v>260</v>
      </c>
      <c r="CQ2916" s="5" t="s">
        <v>260</v>
      </c>
      <c r="CR2916" s="5" t="s">
        <v>261</v>
      </c>
      <c r="CU2916" s="8">
        <f>1</f>
        <v>1</v>
      </c>
      <c r="CV2916" s="8">
        <f>0</f>
        <v>0</v>
      </c>
      <c r="CX2916" s="8">
        <f>0</f>
        <v>0</v>
      </c>
      <c r="CY2916" s="8">
        <f>1</f>
        <v>1</v>
      </c>
      <c r="DA2916" s="5" t="s">
        <v>274</v>
      </c>
      <c r="DB2916" s="5" t="s">
        <v>238</v>
      </c>
      <c r="DD2916" s="5" t="s">
        <v>274</v>
      </c>
      <c r="DE2916" s="8">
        <f>2177</f>
        <v>2177</v>
      </c>
      <c r="DG2916" s="5" t="s">
        <v>238</v>
      </c>
      <c r="DH2916" s="5" t="s">
        <v>238</v>
      </c>
      <c r="DI2916" s="5" t="s">
        <v>238</v>
      </c>
      <c r="DJ2916" s="5" t="s">
        <v>238</v>
      </c>
      <c r="DN2916" s="5" t="s">
        <v>238</v>
      </c>
      <c r="DO2916" s="5" t="s">
        <v>238</v>
      </c>
      <c r="DP2916" s="5" t="s">
        <v>238</v>
      </c>
      <c r="DQ2916" s="5" t="s">
        <v>238</v>
      </c>
      <c r="DT2916" s="5" t="s">
        <v>275</v>
      </c>
      <c r="DU2916" s="5" t="s">
        <v>946</v>
      </c>
      <c r="HM2916" s="5" t="s">
        <v>264</v>
      </c>
    </row>
    <row r="2917" spans="1:221" x14ac:dyDescent="0.4">
      <c r="A2917" s="5">
        <v>4621</v>
      </c>
      <c r="B2917" s="5">
        <v>1</v>
      </c>
      <c r="C2917" s="5">
        <v>1</v>
      </c>
      <c r="D2917" s="5" t="s">
        <v>269</v>
      </c>
      <c r="E2917" s="5" t="s">
        <v>271</v>
      </c>
      <c r="F2917" s="5" t="s">
        <v>248</v>
      </c>
      <c r="G2917" s="5" t="s">
        <v>266</v>
      </c>
      <c r="H2917" s="6" t="s">
        <v>4245</v>
      </c>
      <c r="I2917" s="7">
        <f>2143</f>
        <v>2143</v>
      </c>
      <c r="J2917" s="5" t="s">
        <v>262</v>
      </c>
      <c r="K2917" s="8">
        <f>1</f>
        <v>1</v>
      </c>
      <c r="L2917" s="6" t="s">
        <v>242</v>
      </c>
      <c r="M2917" s="5" t="s">
        <v>267</v>
      </c>
      <c r="N2917" s="5" t="s">
        <v>265</v>
      </c>
      <c r="O2917" s="5" t="s">
        <v>238</v>
      </c>
      <c r="P2917" s="5" t="s">
        <v>238</v>
      </c>
      <c r="Q2917" s="5" t="s">
        <v>268</v>
      </c>
      <c r="R2917" s="5" t="s">
        <v>270</v>
      </c>
      <c r="S2917" s="5" t="s">
        <v>238</v>
      </c>
      <c r="V2917" s="5" t="s">
        <v>238</v>
      </c>
      <c r="X2917" s="6" t="s">
        <v>238</v>
      </c>
      <c r="AA2917" s="6" t="s">
        <v>243</v>
      </c>
      <c r="AB2917" s="5" t="s">
        <v>238</v>
      </c>
      <c r="AC2917" s="5" t="s">
        <v>244</v>
      </c>
      <c r="AD2917" s="5" t="s">
        <v>245</v>
      </c>
      <c r="AT2917" s="5" t="s">
        <v>246</v>
      </c>
      <c r="AU2917" s="5" t="s">
        <v>238</v>
      </c>
      <c r="AV2917" s="5" t="s">
        <v>247</v>
      </c>
      <c r="AW2917" s="5" t="s">
        <v>238</v>
      </c>
      <c r="AX2917" s="5" t="s">
        <v>249</v>
      </c>
      <c r="AY2917" s="5" t="s">
        <v>238</v>
      </c>
      <c r="BA2917" s="5" t="s">
        <v>238</v>
      </c>
      <c r="BC2917" s="5" t="s">
        <v>250</v>
      </c>
      <c r="BD2917" s="6" t="s">
        <v>243</v>
      </c>
      <c r="BE2917" s="5" t="s">
        <v>251</v>
      </c>
      <c r="BF2917" s="5" t="s">
        <v>252</v>
      </c>
      <c r="BG2917" s="5" t="s">
        <v>238</v>
      </c>
      <c r="BH2917" s="7">
        <f>0</f>
        <v>0</v>
      </c>
      <c r="BI2917" s="8">
        <f>0</f>
        <v>0</v>
      </c>
      <c r="BJ2917" s="5" t="s">
        <v>253</v>
      </c>
      <c r="BK2917" s="5" t="s">
        <v>254</v>
      </c>
      <c r="BY2917" s="5" t="s">
        <v>238</v>
      </c>
      <c r="BZ2917" s="5" t="s">
        <v>238</v>
      </c>
      <c r="CD2917" s="5" t="s">
        <v>273</v>
      </c>
      <c r="CE2917" s="5" t="s">
        <v>256</v>
      </c>
      <c r="CF2917" s="5" t="s">
        <v>238</v>
      </c>
      <c r="CI2917" s="6" t="s">
        <v>257</v>
      </c>
      <c r="CJ2917" s="5" t="s">
        <v>238</v>
      </c>
      <c r="CK2917" s="5" t="s">
        <v>258</v>
      </c>
      <c r="CL2917" s="5" t="s">
        <v>238</v>
      </c>
      <c r="CM2917" s="5" t="s">
        <v>238</v>
      </c>
      <c r="CN2917" s="5">
        <v>0</v>
      </c>
      <c r="CO2917" s="5" t="s">
        <v>259</v>
      </c>
      <c r="CP2917" s="5" t="s">
        <v>260</v>
      </c>
      <c r="CQ2917" s="5" t="s">
        <v>260</v>
      </c>
      <c r="CR2917" s="5" t="s">
        <v>261</v>
      </c>
      <c r="CU2917" s="8">
        <f>1</f>
        <v>1</v>
      </c>
      <c r="CV2917" s="8">
        <f>0</f>
        <v>0</v>
      </c>
      <c r="CX2917" s="8">
        <f>0</f>
        <v>0</v>
      </c>
      <c r="CY2917" s="8">
        <f>1</f>
        <v>1</v>
      </c>
      <c r="DA2917" s="5" t="s">
        <v>274</v>
      </c>
      <c r="DB2917" s="5" t="s">
        <v>238</v>
      </c>
      <c r="DD2917" s="5" t="s">
        <v>274</v>
      </c>
      <c r="DE2917" s="8">
        <f>2143</f>
        <v>2143</v>
      </c>
      <c r="DG2917" s="5" t="s">
        <v>238</v>
      </c>
      <c r="DH2917" s="5" t="s">
        <v>238</v>
      </c>
      <c r="DI2917" s="5" t="s">
        <v>238</v>
      </c>
      <c r="DJ2917" s="5" t="s">
        <v>238</v>
      </c>
      <c r="DN2917" s="5" t="s">
        <v>238</v>
      </c>
      <c r="DO2917" s="5" t="s">
        <v>238</v>
      </c>
      <c r="DP2917" s="5" t="s">
        <v>238</v>
      </c>
      <c r="DQ2917" s="5" t="s">
        <v>238</v>
      </c>
      <c r="DT2917" s="5" t="s">
        <v>275</v>
      </c>
      <c r="DU2917" s="5" t="s">
        <v>3608</v>
      </c>
      <c r="HM2917" s="5" t="s">
        <v>264</v>
      </c>
    </row>
    <row r="2918" spans="1:221" x14ac:dyDescent="0.4">
      <c r="A2918" s="5">
        <v>4622</v>
      </c>
      <c r="B2918" s="5">
        <v>1</v>
      </c>
      <c r="C2918" s="5">
        <v>1</v>
      </c>
      <c r="D2918" s="5" t="s">
        <v>269</v>
      </c>
      <c r="E2918" s="5" t="s">
        <v>271</v>
      </c>
      <c r="F2918" s="5" t="s">
        <v>248</v>
      </c>
      <c r="G2918" s="5" t="s">
        <v>266</v>
      </c>
      <c r="H2918" s="6" t="s">
        <v>949</v>
      </c>
      <c r="I2918" s="7">
        <f>1168</f>
        <v>1168</v>
      </c>
      <c r="J2918" s="5" t="s">
        <v>262</v>
      </c>
      <c r="K2918" s="8">
        <f>1</f>
        <v>1</v>
      </c>
      <c r="L2918" s="6" t="s">
        <v>242</v>
      </c>
      <c r="M2918" s="5" t="s">
        <v>267</v>
      </c>
      <c r="N2918" s="5" t="s">
        <v>265</v>
      </c>
      <c r="O2918" s="5" t="s">
        <v>238</v>
      </c>
      <c r="P2918" s="5" t="s">
        <v>238</v>
      </c>
      <c r="Q2918" s="5" t="s">
        <v>268</v>
      </c>
      <c r="R2918" s="5" t="s">
        <v>270</v>
      </c>
      <c r="S2918" s="5" t="s">
        <v>238</v>
      </c>
      <c r="V2918" s="5" t="s">
        <v>238</v>
      </c>
      <c r="X2918" s="6" t="s">
        <v>238</v>
      </c>
      <c r="AA2918" s="6" t="s">
        <v>243</v>
      </c>
      <c r="AB2918" s="5" t="s">
        <v>238</v>
      </c>
      <c r="AC2918" s="5" t="s">
        <v>244</v>
      </c>
      <c r="AD2918" s="5" t="s">
        <v>245</v>
      </c>
      <c r="AT2918" s="5" t="s">
        <v>246</v>
      </c>
      <c r="AU2918" s="5" t="s">
        <v>238</v>
      </c>
      <c r="AV2918" s="5" t="s">
        <v>247</v>
      </c>
      <c r="AW2918" s="5" t="s">
        <v>238</v>
      </c>
      <c r="AX2918" s="5" t="s">
        <v>249</v>
      </c>
      <c r="AY2918" s="5" t="s">
        <v>238</v>
      </c>
      <c r="BA2918" s="5" t="s">
        <v>238</v>
      </c>
      <c r="BC2918" s="5" t="s">
        <v>250</v>
      </c>
      <c r="BD2918" s="6" t="s">
        <v>243</v>
      </c>
      <c r="BE2918" s="5" t="s">
        <v>251</v>
      </c>
      <c r="BF2918" s="5" t="s">
        <v>252</v>
      </c>
      <c r="BG2918" s="5" t="s">
        <v>238</v>
      </c>
      <c r="BH2918" s="7">
        <f>0</f>
        <v>0</v>
      </c>
      <c r="BI2918" s="8">
        <f>0</f>
        <v>0</v>
      </c>
      <c r="BJ2918" s="5" t="s">
        <v>253</v>
      </c>
      <c r="BK2918" s="5" t="s">
        <v>254</v>
      </c>
      <c r="BY2918" s="5" t="s">
        <v>238</v>
      </c>
      <c r="BZ2918" s="5" t="s">
        <v>238</v>
      </c>
      <c r="CD2918" s="5" t="s">
        <v>273</v>
      </c>
      <c r="CE2918" s="5" t="s">
        <v>256</v>
      </c>
      <c r="CF2918" s="5" t="s">
        <v>238</v>
      </c>
      <c r="CI2918" s="6" t="s">
        <v>257</v>
      </c>
      <c r="CJ2918" s="5" t="s">
        <v>238</v>
      </c>
      <c r="CK2918" s="5" t="s">
        <v>258</v>
      </c>
      <c r="CL2918" s="5" t="s">
        <v>238</v>
      </c>
      <c r="CM2918" s="5" t="s">
        <v>238</v>
      </c>
      <c r="CN2918" s="5">
        <v>0</v>
      </c>
      <c r="CO2918" s="5" t="s">
        <v>259</v>
      </c>
      <c r="CP2918" s="5" t="s">
        <v>260</v>
      </c>
      <c r="CQ2918" s="5" t="s">
        <v>260</v>
      </c>
      <c r="CR2918" s="5" t="s">
        <v>261</v>
      </c>
      <c r="CU2918" s="8">
        <f>1</f>
        <v>1</v>
      </c>
      <c r="CV2918" s="8">
        <f>0</f>
        <v>0</v>
      </c>
      <c r="CX2918" s="8">
        <f>0</f>
        <v>0</v>
      </c>
      <c r="CY2918" s="8">
        <f>1</f>
        <v>1</v>
      </c>
      <c r="DA2918" s="5" t="s">
        <v>274</v>
      </c>
      <c r="DB2918" s="5" t="s">
        <v>238</v>
      </c>
      <c r="DD2918" s="5" t="s">
        <v>274</v>
      </c>
      <c r="DE2918" s="8">
        <f>1168</f>
        <v>1168</v>
      </c>
      <c r="DG2918" s="5" t="s">
        <v>238</v>
      </c>
      <c r="DH2918" s="5" t="s">
        <v>238</v>
      </c>
      <c r="DI2918" s="5" t="s">
        <v>238</v>
      </c>
      <c r="DJ2918" s="5" t="s">
        <v>238</v>
      </c>
      <c r="DN2918" s="5" t="s">
        <v>238</v>
      </c>
      <c r="DO2918" s="5" t="s">
        <v>238</v>
      </c>
      <c r="DP2918" s="5" t="s">
        <v>238</v>
      </c>
      <c r="DQ2918" s="5" t="s">
        <v>238</v>
      </c>
      <c r="DT2918" s="5" t="s">
        <v>275</v>
      </c>
      <c r="DU2918" s="5" t="s">
        <v>950</v>
      </c>
      <c r="HM2918" s="5" t="s">
        <v>264</v>
      </c>
    </row>
    <row r="2919" spans="1:221" x14ac:dyDescent="0.4">
      <c r="A2919" s="5">
        <v>4623</v>
      </c>
      <c r="B2919" s="5">
        <v>1</v>
      </c>
      <c r="C2919" s="5">
        <v>1</v>
      </c>
      <c r="D2919" s="5" t="s">
        <v>269</v>
      </c>
      <c r="E2919" s="5" t="s">
        <v>271</v>
      </c>
      <c r="F2919" s="5" t="s">
        <v>248</v>
      </c>
      <c r="G2919" s="5" t="s">
        <v>266</v>
      </c>
      <c r="H2919" s="6" t="s">
        <v>953</v>
      </c>
      <c r="I2919" s="7">
        <f>2611</f>
        <v>2611</v>
      </c>
      <c r="J2919" s="5" t="s">
        <v>262</v>
      </c>
      <c r="K2919" s="8">
        <f>1</f>
        <v>1</v>
      </c>
      <c r="L2919" s="6" t="s">
        <v>242</v>
      </c>
      <c r="M2919" s="5" t="s">
        <v>267</v>
      </c>
      <c r="N2919" s="5" t="s">
        <v>265</v>
      </c>
      <c r="O2919" s="5" t="s">
        <v>238</v>
      </c>
      <c r="P2919" s="5" t="s">
        <v>238</v>
      </c>
      <c r="Q2919" s="5" t="s">
        <v>268</v>
      </c>
      <c r="R2919" s="5" t="s">
        <v>270</v>
      </c>
      <c r="S2919" s="5" t="s">
        <v>238</v>
      </c>
      <c r="V2919" s="5" t="s">
        <v>238</v>
      </c>
      <c r="X2919" s="6" t="s">
        <v>238</v>
      </c>
      <c r="AA2919" s="6" t="s">
        <v>243</v>
      </c>
      <c r="AB2919" s="5" t="s">
        <v>238</v>
      </c>
      <c r="AC2919" s="5" t="s">
        <v>244</v>
      </c>
      <c r="AD2919" s="5" t="s">
        <v>245</v>
      </c>
      <c r="AT2919" s="5" t="s">
        <v>246</v>
      </c>
      <c r="AU2919" s="5" t="s">
        <v>238</v>
      </c>
      <c r="AV2919" s="5" t="s">
        <v>247</v>
      </c>
      <c r="AW2919" s="5" t="s">
        <v>238</v>
      </c>
      <c r="AX2919" s="5" t="s">
        <v>249</v>
      </c>
      <c r="AY2919" s="5" t="s">
        <v>238</v>
      </c>
      <c r="BA2919" s="5" t="s">
        <v>238</v>
      </c>
      <c r="BC2919" s="5" t="s">
        <v>250</v>
      </c>
      <c r="BD2919" s="6" t="s">
        <v>243</v>
      </c>
      <c r="BE2919" s="5" t="s">
        <v>251</v>
      </c>
      <c r="BF2919" s="5" t="s">
        <v>252</v>
      </c>
      <c r="BG2919" s="5" t="s">
        <v>238</v>
      </c>
      <c r="BH2919" s="7">
        <f>0</f>
        <v>0</v>
      </c>
      <c r="BI2919" s="8">
        <f>0</f>
        <v>0</v>
      </c>
      <c r="BJ2919" s="5" t="s">
        <v>253</v>
      </c>
      <c r="BK2919" s="5" t="s">
        <v>254</v>
      </c>
      <c r="BY2919" s="5" t="s">
        <v>238</v>
      </c>
      <c r="BZ2919" s="5" t="s">
        <v>238</v>
      </c>
      <c r="CD2919" s="5" t="s">
        <v>273</v>
      </c>
      <c r="CE2919" s="5" t="s">
        <v>256</v>
      </c>
      <c r="CF2919" s="5" t="s">
        <v>238</v>
      </c>
      <c r="CI2919" s="6" t="s">
        <v>257</v>
      </c>
      <c r="CJ2919" s="5" t="s">
        <v>238</v>
      </c>
      <c r="CK2919" s="5" t="s">
        <v>258</v>
      </c>
      <c r="CL2919" s="5" t="s">
        <v>238</v>
      </c>
      <c r="CM2919" s="5" t="s">
        <v>238</v>
      </c>
      <c r="CN2919" s="5">
        <v>0</v>
      </c>
      <c r="CO2919" s="5" t="s">
        <v>259</v>
      </c>
      <c r="CP2919" s="5" t="s">
        <v>260</v>
      </c>
      <c r="CQ2919" s="5" t="s">
        <v>260</v>
      </c>
      <c r="CR2919" s="5" t="s">
        <v>261</v>
      </c>
      <c r="CU2919" s="8">
        <f>1</f>
        <v>1</v>
      </c>
      <c r="CV2919" s="8">
        <f>0</f>
        <v>0</v>
      </c>
      <c r="CX2919" s="8">
        <f>0</f>
        <v>0</v>
      </c>
      <c r="CY2919" s="8">
        <f>1</f>
        <v>1</v>
      </c>
      <c r="DA2919" s="5" t="s">
        <v>274</v>
      </c>
      <c r="DB2919" s="5" t="s">
        <v>238</v>
      </c>
      <c r="DD2919" s="5" t="s">
        <v>274</v>
      </c>
      <c r="DE2919" s="8">
        <f>2611</f>
        <v>2611</v>
      </c>
      <c r="DG2919" s="5" t="s">
        <v>238</v>
      </c>
      <c r="DH2919" s="5" t="s">
        <v>238</v>
      </c>
      <c r="DI2919" s="5" t="s">
        <v>238</v>
      </c>
      <c r="DJ2919" s="5" t="s">
        <v>238</v>
      </c>
      <c r="DN2919" s="5" t="s">
        <v>238</v>
      </c>
      <c r="DO2919" s="5" t="s">
        <v>238</v>
      </c>
      <c r="DP2919" s="5" t="s">
        <v>238</v>
      </c>
      <c r="DQ2919" s="5" t="s">
        <v>238</v>
      </c>
      <c r="DT2919" s="5" t="s">
        <v>275</v>
      </c>
      <c r="DU2919" s="5" t="s">
        <v>954</v>
      </c>
      <c r="HM2919" s="5" t="s">
        <v>264</v>
      </c>
    </row>
    <row r="2920" spans="1:221" x14ac:dyDescent="0.4">
      <c r="A2920" s="5">
        <v>4624</v>
      </c>
      <c r="B2920" s="5">
        <v>1</v>
      </c>
      <c r="C2920" s="5">
        <v>1</v>
      </c>
      <c r="D2920" s="5" t="s">
        <v>269</v>
      </c>
      <c r="E2920" s="5" t="s">
        <v>271</v>
      </c>
      <c r="F2920" s="5" t="s">
        <v>248</v>
      </c>
      <c r="G2920" s="5" t="s">
        <v>266</v>
      </c>
      <c r="H2920" s="6" t="s">
        <v>957</v>
      </c>
      <c r="I2920" s="7">
        <f>245</f>
        <v>245</v>
      </c>
      <c r="J2920" s="5" t="s">
        <v>262</v>
      </c>
      <c r="K2920" s="8">
        <f>1</f>
        <v>1</v>
      </c>
      <c r="L2920" s="6" t="s">
        <v>242</v>
      </c>
      <c r="M2920" s="5" t="s">
        <v>267</v>
      </c>
      <c r="N2920" s="5" t="s">
        <v>265</v>
      </c>
      <c r="O2920" s="5" t="s">
        <v>238</v>
      </c>
      <c r="P2920" s="5" t="s">
        <v>238</v>
      </c>
      <c r="Q2920" s="5" t="s">
        <v>268</v>
      </c>
      <c r="R2920" s="5" t="s">
        <v>270</v>
      </c>
      <c r="S2920" s="5" t="s">
        <v>238</v>
      </c>
      <c r="V2920" s="5" t="s">
        <v>238</v>
      </c>
      <c r="X2920" s="6" t="s">
        <v>238</v>
      </c>
      <c r="AA2920" s="6" t="s">
        <v>243</v>
      </c>
      <c r="AB2920" s="5" t="s">
        <v>238</v>
      </c>
      <c r="AC2920" s="5" t="s">
        <v>244</v>
      </c>
      <c r="AD2920" s="5" t="s">
        <v>245</v>
      </c>
      <c r="AT2920" s="5" t="s">
        <v>246</v>
      </c>
      <c r="AU2920" s="5" t="s">
        <v>238</v>
      </c>
      <c r="AV2920" s="5" t="s">
        <v>247</v>
      </c>
      <c r="AW2920" s="5" t="s">
        <v>238</v>
      </c>
      <c r="AX2920" s="5" t="s">
        <v>249</v>
      </c>
      <c r="AY2920" s="5" t="s">
        <v>238</v>
      </c>
      <c r="BA2920" s="5" t="s">
        <v>238</v>
      </c>
      <c r="BC2920" s="5" t="s">
        <v>250</v>
      </c>
      <c r="BD2920" s="6" t="s">
        <v>243</v>
      </c>
      <c r="BE2920" s="5" t="s">
        <v>251</v>
      </c>
      <c r="BF2920" s="5" t="s">
        <v>252</v>
      </c>
      <c r="BG2920" s="5" t="s">
        <v>238</v>
      </c>
      <c r="BH2920" s="7">
        <f>0</f>
        <v>0</v>
      </c>
      <c r="BI2920" s="8">
        <f>0</f>
        <v>0</v>
      </c>
      <c r="BJ2920" s="5" t="s">
        <v>253</v>
      </c>
      <c r="BK2920" s="5" t="s">
        <v>254</v>
      </c>
      <c r="BY2920" s="5" t="s">
        <v>238</v>
      </c>
      <c r="BZ2920" s="5" t="s">
        <v>238</v>
      </c>
      <c r="CD2920" s="5" t="s">
        <v>273</v>
      </c>
      <c r="CE2920" s="5" t="s">
        <v>256</v>
      </c>
      <c r="CF2920" s="5" t="s">
        <v>238</v>
      </c>
      <c r="CI2920" s="6" t="s">
        <v>257</v>
      </c>
      <c r="CJ2920" s="5" t="s">
        <v>238</v>
      </c>
      <c r="CK2920" s="5" t="s">
        <v>258</v>
      </c>
      <c r="CL2920" s="5" t="s">
        <v>238</v>
      </c>
      <c r="CM2920" s="5" t="s">
        <v>238</v>
      </c>
      <c r="CN2920" s="5">
        <v>0</v>
      </c>
      <c r="CO2920" s="5" t="s">
        <v>259</v>
      </c>
      <c r="CP2920" s="5" t="s">
        <v>260</v>
      </c>
      <c r="CQ2920" s="5" t="s">
        <v>260</v>
      </c>
      <c r="CR2920" s="5" t="s">
        <v>261</v>
      </c>
      <c r="CU2920" s="8">
        <f>1</f>
        <v>1</v>
      </c>
      <c r="CV2920" s="8">
        <f>0</f>
        <v>0</v>
      </c>
      <c r="CX2920" s="8">
        <f>0</f>
        <v>0</v>
      </c>
      <c r="CY2920" s="8">
        <f>1</f>
        <v>1</v>
      </c>
      <c r="DA2920" s="5" t="s">
        <v>274</v>
      </c>
      <c r="DB2920" s="5" t="s">
        <v>238</v>
      </c>
      <c r="DD2920" s="5" t="s">
        <v>274</v>
      </c>
      <c r="DE2920" s="8">
        <f>245</f>
        <v>245</v>
      </c>
      <c r="DG2920" s="5" t="s">
        <v>238</v>
      </c>
      <c r="DH2920" s="5" t="s">
        <v>238</v>
      </c>
      <c r="DI2920" s="5" t="s">
        <v>238</v>
      </c>
      <c r="DJ2920" s="5" t="s">
        <v>238</v>
      </c>
      <c r="DN2920" s="5" t="s">
        <v>238</v>
      </c>
      <c r="DO2920" s="5" t="s">
        <v>238</v>
      </c>
      <c r="DP2920" s="5" t="s">
        <v>238</v>
      </c>
      <c r="DQ2920" s="5" t="s">
        <v>238</v>
      </c>
      <c r="DT2920" s="5" t="s">
        <v>275</v>
      </c>
      <c r="DU2920" s="5" t="s">
        <v>958</v>
      </c>
      <c r="HM2920" s="5" t="s">
        <v>264</v>
      </c>
    </row>
    <row r="2921" spans="1:221" x14ac:dyDescent="0.4">
      <c r="A2921" s="5">
        <v>4625</v>
      </c>
      <c r="B2921" s="5">
        <v>1</v>
      </c>
      <c r="C2921" s="5">
        <v>1</v>
      </c>
      <c r="D2921" s="5" t="s">
        <v>269</v>
      </c>
      <c r="E2921" s="5" t="s">
        <v>271</v>
      </c>
      <c r="F2921" s="5" t="s">
        <v>248</v>
      </c>
      <c r="G2921" s="5" t="s">
        <v>266</v>
      </c>
      <c r="H2921" s="6" t="s">
        <v>955</v>
      </c>
      <c r="I2921" s="7">
        <f>1893</f>
        <v>1893</v>
      </c>
      <c r="J2921" s="5" t="s">
        <v>262</v>
      </c>
      <c r="K2921" s="8">
        <f>1</f>
        <v>1</v>
      </c>
      <c r="L2921" s="6" t="s">
        <v>242</v>
      </c>
      <c r="M2921" s="5" t="s">
        <v>267</v>
      </c>
      <c r="N2921" s="5" t="s">
        <v>265</v>
      </c>
      <c r="O2921" s="5" t="s">
        <v>238</v>
      </c>
      <c r="P2921" s="5" t="s">
        <v>238</v>
      </c>
      <c r="Q2921" s="5" t="s">
        <v>268</v>
      </c>
      <c r="R2921" s="5" t="s">
        <v>270</v>
      </c>
      <c r="S2921" s="5" t="s">
        <v>238</v>
      </c>
      <c r="V2921" s="5" t="s">
        <v>238</v>
      </c>
      <c r="X2921" s="6" t="s">
        <v>238</v>
      </c>
      <c r="AA2921" s="6" t="s">
        <v>243</v>
      </c>
      <c r="AB2921" s="5" t="s">
        <v>238</v>
      </c>
      <c r="AC2921" s="5" t="s">
        <v>244</v>
      </c>
      <c r="AD2921" s="5" t="s">
        <v>245</v>
      </c>
      <c r="AT2921" s="5" t="s">
        <v>246</v>
      </c>
      <c r="AU2921" s="5" t="s">
        <v>238</v>
      </c>
      <c r="AV2921" s="5" t="s">
        <v>247</v>
      </c>
      <c r="AW2921" s="5" t="s">
        <v>238</v>
      </c>
      <c r="AX2921" s="5" t="s">
        <v>249</v>
      </c>
      <c r="AY2921" s="5" t="s">
        <v>238</v>
      </c>
      <c r="BA2921" s="5" t="s">
        <v>238</v>
      </c>
      <c r="BC2921" s="5" t="s">
        <v>250</v>
      </c>
      <c r="BD2921" s="6" t="s">
        <v>243</v>
      </c>
      <c r="BE2921" s="5" t="s">
        <v>251</v>
      </c>
      <c r="BF2921" s="5" t="s">
        <v>252</v>
      </c>
      <c r="BG2921" s="5" t="s">
        <v>238</v>
      </c>
      <c r="BH2921" s="7">
        <f>0</f>
        <v>0</v>
      </c>
      <c r="BI2921" s="8">
        <f>0</f>
        <v>0</v>
      </c>
      <c r="BJ2921" s="5" t="s">
        <v>253</v>
      </c>
      <c r="BK2921" s="5" t="s">
        <v>254</v>
      </c>
      <c r="BY2921" s="5" t="s">
        <v>238</v>
      </c>
      <c r="BZ2921" s="5" t="s">
        <v>238</v>
      </c>
      <c r="CD2921" s="5" t="s">
        <v>273</v>
      </c>
      <c r="CE2921" s="5" t="s">
        <v>256</v>
      </c>
      <c r="CF2921" s="5" t="s">
        <v>238</v>
      </c>
      <c r="CI2921" s="6" t="s">
        <v>257</v>
      </c>
      <c r="CJ2921" s="5" t="s">
        <v>238</v>
      </c>
      <c r="CK2921" s="5" t="s">
        <v>258</v>
      </c>
      <c r="CL2921" s="5" t="s">
        <v>238</v>
      </c>
      <c r="CM2921" s="5" t="s">
        <v>238</v>
      </c>
      <c r="CN2921" s="5">
        <v>0</v>
      </c>
      <c r="CO2921" s="5" t="s">
        <v>259</v>
      </c>
      <c r="CP2921" s="5" t="s">
        <v>260</v>
      </c>
      <c r="CQ2921" s="5" t="s">
        <v>260</v>
      </c>
      <c r="CR2921" s="5" t="s">
        <v>261</v>
      </c>
      <c r="CU2921" s="8">
        <f>1</f>
        <v>1</v>
      </c>
      <c r="CV2921" s="8">
        <f>0</f>
        <v>0</v>
      </c>
      <c r="CX2921" s="8">
        <f>0</f>
        <v>0</v>
      </c>
      <c r="CY2921" s="8">
        <f>1</f>
        <v>1</v>
      </c>
      <c r="DA2921" s="5" t="s">
        <v>274</v>
      </c>
      <c r="DB2921" s="5" t="s">
        <v>238</v>
      </c>
      <c r="DD2921" s="5" t="s">
        <v>274</v>
      </c>
      <c r="DE2921" s="8">
        <f>1893</f>
        <v>1893</v>
      </c>
      <c r="DG2921" s="5" t="s">
        <v>238</v>
      </c>
      <c r="DH2921" s="5" t="s">
        <v>238</v>
      </c>
      <c r="DI2921" s="5" t="s">
        <v>238</v>
      </c>
      <c r="DJ2921" s="5" t="s">
        <v>238</v>
      </c>
      <c r="DN2921" s="5" t="s">
        <v>238</v>
      </c>
      <c r="DO2921" s="5" t="s">
        <v>238</v>
      </c>
      <c r="DP2921" s="5" t="s">
        <v>238</v>
      </c>
      <c r="DQ2921" s="5" t="s">
        <v>238</v>
      </c>
      <c r="DT2921" s="5" t="s">
        <v>275</v>
      </c>
      <c r="DU2921" s="5" t="s">
        <v>956</v>
      </c>
      <c r="HM2921" s="5" t="s">
        <v>264</v>
      </c>
    </row>
    <row r="2922" spans="1:221" x14ac:dyDescent="0.4">
      <c r="A2922" s="5">
        <v>4626</v>
      </c>
      <c r="B2922" s="5">
        <v>1</v>
      </c>
      <c r="C2922" s="5">
        <v>1</v>
      </c>
      <c r="D2922" s="5" t="s">
        <v>269</v>
      </c>
      <c r="E2922" s="5" t="s">
        <v>271</v>
      </c>
      <c r="F2922" s="5" t="s">
        <v>248</v>
      </c>
      <c r="G2922" s="5" t="s">
        <v>266</v>
      </c>
      <c r="H2922" s="6" t="s">
        <v>959</v>
      </c>
      <c r="I2922" s="7">
        <f>681</f>
        <v>681</v>
      </c>
      <c r="J2922" s="5" t="s">
        <v>262</v>
      </c>
      <c r="K2922" s="8">
        <f>1</f>
        <v>1</v>
      </c>
      <c r="L2922" s="6" t="s">
        <v>242</v>
      </c>
      <c r="M2922" s="5" t="s">
        <v>267</v>
      </c>
      <c r="N2922" s="5" t="s">
        <v>265</v>
      </c>
      <c r="O2922" s="5" t="s">
        <v>238</v>
      </c>
      <c r="P2922" s="5" t="s">
        <v>238</v>
      </c>
      <c r="Q2922" s="5" t="s">
        <v>268</v>
      </c>
      <c r="R2922" s="5" t="s">
        <v>270</v>
      </c>
      <c r="S2922" s="5" t="s">
        <v>238</v>
      </c>
      <c r="V2922" s="5" t="s">
        <v>238</v>
      </c>
      <c r="X2922" s="6" t="s">
        <v>238</v>
      </c>
      <c r="AA2922" s="6" t="s">
        <v>243</v>
      </c>
      <c r="AB2922" s="5" t="s">
        <v>238</v>
      </c>
      <c r="AC2922" s="5" t="s">
        <v>244</v>
      </c>
      <c r="AD2922" s="5" t="s">
        <v>245</v>
      </c>
      <c r="AT2922" s="5" t="s">
        <v>246</v>
      </c>
      <c r="AU2922" s="5" t="s">
        <v>238</v>
      </c>
      <c r="AV2922" s="5" t="s">
        <v>247</v>
      </c>
      <c r="AW2922" s="5" t="s">
        <v>238</v>
      </c>
      <c r="AX2922" s="5" t="s">
        <v>249</v>
      </c>
      <c r="AY2922" s="5" t="s">
        <v>238</v>
      </c>
      <c r="BA2922" s="5" t="s">
        <v>238</v>
      </c>
      <c r="BC2922" s="5" t="s">
        <v>250</v>
      </c>
      <c r="BD2922" s="6" t="s">
        <v>243</v>
      </c>
      <c r="BE2922" s="5" t="s">
        <v>251</v>
      </c>
      <c r="BF2922" s="5" t="s">
        <v>252</v>
      </c>
      <c r="BG2922" s="5" t="s">
        <v>238</v>
      </c>
      <c r="BH2922" s="7">
        <f>0</f>
        <v>0</v>
      </c>
      <c r="BI2922" s="8">
        <f>0</f>
        <v>0</v>
      </c>
      <c r="BJ2922" s="5" t="s">
        <v>253</v>
      </c>
      <c r="BK2922" s="5" t="s">
        <v>254</v>
      </c>
      <c r="BY2922" s="5" t="s">
        <v>238</v>
      </c>
      <c r="BZ2922" s="5" t="s">
        <v>238</v>
      </c>
      <c r="CD2922" s="5" t="s">
        <v>273</v>
      </c>
      <c r="CE2922" s="5" t="s">
        <v>256</v>
      </c>
      <c r="CF2922" s="5" t="s">
        <v>238</v>
      </c>
      <c r="CI2922" s="6" t="s">
        <v>257</v>
      </c>
      <c r="CJ2922" s="5" t="s">
        <v>238</v>
      </c>
      <c r="CK2922" s="5" t="s">
        <v>258</v>
      </c>
      <c r="CL2922" s="5" t="s">
        <v>238</v>
      </c>
      <c r="CM2922" s="5" t="s">
        <v>238</v>
      </c>
      <c r="CN2922" s="5">
        <v>0</v>
      </c>
      <c r="CO2922" s="5" t="s">
        <v>259</v>
      </c>
      <c r="CP2922" s="5" t="s">
        <v>260</v>
      </c>
      <c r="CQ2922" s="5" t="s">
        <v>260</v>
      </c>
      <c r="CR2922" s="5" t="s">
        <v>261</v>
      </c>
      <c r="CU2922" s="8">
        <f>1</f>
        <v>1</v>
      </c>
      <c r="CV2922" s="8">
        <f>0</f>
        <v>0</v>
      </c>
      <c r="CX2922" s="8">
        <f>0</f>
        <v>0</v>
      </c>
      <c r="CY2922" s="8">
        <f>1</f>
        <v>1</v>
      </c>
      <c r="DA2922" s="5" t="s">
        <v>274</v>
      </c>
      <c r="DB2922" s="5" t="s">
        <v>238</v>
      </c>
      <c r="DD2922" s="5" t="s">
        <v>274</v>
      </c>
      <c r="DE2922" s="8">
        <f>681</f>
        <v>681</v>
      </c>
      <c r="DG2922" s="5" t="s">
        <v>238</v>
      </c>
      <c r="DH2922" s="5" t="s">
        <v>238</v>
      </c>
      <c r="DI2922" s="5" t="s">
        <v>238</v>
      </c>
      <c r="DJ2922" s="5" t="s">
        <v>238</v>
      </c>
      <c r="DN2922" s="5" t="s">
        <v>238</v>
      </c>
      <c r="DO2922" s="5" t="s">
        <v>238</v>
      </c>
      <c r="DP2922" s="5" t="s">
        <v>238</v>
      </c>
      <c r="DQ2922" s="5" t="s">
        <v>238</v>
      </c>
      <c r="DT2922" s="5" t="s">
        <v>275</v>
      </c>
      <c r="DU2922" s="5" t="s">
        <v>960</v>
      </c>
      <c r="HM2922" s="5" t="s">
        <v>264</v>
      </c>
    </row>
    <row r="2923" spans="1:221" x14ac:dyDescent="0.4">
      <c r="A2923" s="5">
        <v>4627</v>
      </c>
      <c r="B2923" s="5">
        <v>1</v>
      </c>
      <c r="C2923" s="5">
        <v>1</v>
      </c>
      <c r="D2923" s="5" t="s">
        <v>269</v>
      </c>
      <c r="E2923" s="5" t="s">
        <v>271</v>
      </c>
      <c r="F2923" s="5" t="s">
        <v>248</v>
      </c>
      <c r="G2923" s="5" t="s">
        <v>266</v>
      </c>
      <c r="H2923" s="6" t="s">
        <v>963</v>
      </c>
      <c r="I2923" s="7">
        <f>168</f>
        <v>168</v>
      </c>
      <c r="J2923" s="5" t="s">
        <v>262</v>
      </c>
      <c r="K2923" s="8">
        <f>1</f>
        <v>1</v>
      </c>
      <c r="L2923" s="6" t="s">
        <v>242</v>
      </c>
      <c r="M2923" s="5" t="s">
        <v>267</v>
      </c>
      <c r="N2923" s="5" t="s">
        <v>265</v>
      </c>
      <c r="O2923" s="5" t="s">
        <v>238</v>
      </c>
      <c r="P2923" s="5" t="s">
        <v>238</v>
      </c>
      <c r="Q2923" s="5" t="s">
        <v>268</v>
      </c>
      <c r="R2923" s="5" t="s">
        <v>270</v>
      </c>
      <c r="S2923" s="5" t="s">
        <v>238</v>
      </c>
      <c r="V2923" s="5" t="s">
        <v>238</v>
      </c>
      <c r="X2923" s="6" t="s">
        <v>238</v>
      </c>
      <c r="AA2923" s="6" t="s">
        <v>243</v>
      </c>
      <c r="AB2923" s="5" t="s">
        <v>238</v>
      </c>
      <c r="AC2923" s="5" t="s">
        <v>244</v>
      </c>
      <c r="AD2923" s="5" t="s">
        <v>245</v>
      </c>
      <c r="AT2923" s="5" t="s">
        <v>246</v>
      </c>
      <c r="AU2923" s="5" t="s">
        <v>238</v>
      </c>
      <c r="AV2923" s="5" t="s">
        <v>247</v>
      </c>
      <c r="AW2923" s="5" t="s">
        <v>238</v>
      </c>
      <c r="AX2923" s="5" t="s">
        <v>249</v>
      </c>
      <c r="AY2923" s="5" t="s">
        <v>238</v>
      </c>
      <c r="BA2923" s="5" t="s">
        <v>238</v>
      </c>
      <c r="BC2923" s="5" t="s">
        <v>250</v>
      </c>
      <c r="BD2923" s="6" t="s">
        <v>243</v>
      </c>
      <c r="BE2923" s="5" t="s">
        <v>251</v>
      </c>
      <c r="BF2923" s="5" t="s">
        <v>252</v>
      </c>
      <c r="BG2923" s="5" t="s">
        <v>238</v>
      </c>
      <c r="BH2923" s="7">
        <f>0</f>
        <v>0</v>
      </c>
      <c r="BI2923" s="8">
        <f>0</f>
        <v>0</v>
      </c>
      <c r="BJ2923" s="5" t="s">
        <v>253</v>
      </c>
      <c r="BK2923" s="5" t="s">
        <v>254</v>
      </c>
      <c r="BY2923" s="5" t="s">
        <v>238</v>
      </c>
      <c r="BZ2923" s="5" t="s">
        <v>238</v>
      </c>
      <c r="CD2923" s="5" t="s">
        <v>273</v>
      </c>
      <c r="CE2923" s="5" t="s">
        <v>256</v>
      </c>
      <c r="CF2923" s="5" t="s">
        <v>238</v>
      </c>
      <c r="CI2923" s="6" t="s">
        <v>257</v>
      </c>
      <c r="CJ2923" s="5" t="s">
        <v>238</v>
      </c>
      <c r="CK2923" s="5" t="s">
        <v>258</v>
      </c>
      <c r="CL2923" s="5" t="s">
        <v>238</v>
      </c>
      <c r="CM2923" s="5" t="s">
        <v>238</v>
      </c>
      <c r="CN2923" s="5">
        <v>0</v>
      </c>
      <c r="CO2923" s="5" t="s">
        <v>259</v>
      </c>
      <c r="CP2923" s="5" t="s">
        <v>260</v>
      </c>
      <c r="CQ2923" s="5" t="s">
        <v>260</v>
      </c>
      <c r="CR2923" s="5" t="s">
        <v>261</v>
      </c>
      <c r="CU2923" s="8">
        <f>1</f>
        <v>1</v>
      </c>
      <c r="CV2923" s="8">
        <f>0</f>
        <v>0</v>
      </c>
      <c r="CX2923" s="8">
        <f>0</f>
        <v>0</v>
      </c>
      <c r="CY2923" s="8">
        <f>1</f>
        <v>1</v>
      </c>
      <c r="DA2923" s="5" t="s">
        <v>274</v>
      </c>
      <c r="DB2923" s="5" t="s">
        <v>238</v>
      </c>
      <c r="DD2923" s="5" t="s">
        <v>274</v>
      </c>
      <c r="DE2923" s="8">
        <f>168</f>
        <v>168</v>
      </c>
      <c r="DG2923" s="5" t="s">
        <v>238</v>
      </c>
      <c r="DH2923" s="5" t="s">
        <v>238</v>
      </c>
      <c r="DI2923" s="5" t="s">
        <v>238</v>
      </c>
      <c r="DJ2923" s="5" t="s">
        <v>238</v>
      </c>
      <c r="DN2923" s="5" t="s">
        <v>238</v>
      </c>
      <c r="DO2923" s="5" t="s">
        <v>238</v>
      </c>
      <c r="DP2923" s="5" t="s">
        <v>238</v>
      </c>
      <c r="DQ2923" s="5" t="s">
        <v>238</v>
      </c>
      <c r="DT2923" s="5" t="s">
        <v>275</v>
      </c>
      <c r="DU2923" s="5" t="s">
        <v>964</v>
      </c>
      <c r="HM2923" s="5" t="s">
        <v>264</v>
      </c>
    </row>
    <row r="2924" spans="1:221" x14ac:dyDescent="0.4">
      <c r="A2924" s="5">
        <v>4628</v>
      </c>
      <c r="B2924" s="5">
        <v>1</v>
      </c>
      <c r="C2924" s="5">
        <v>1</v>
      </c>
      <c r="D2924" s="5" t="s">
        <v>269</v>
      </c>
      <c r="E2924" s="5" t="s">
        <v>271</v>
      </c>
      <c r="F2924" s="5" t="s">
        <v>248</v>
      </c>
      <c r="G2924" s="5" t="s">
        <v>266</v>
      </c>
      <c r="H2924" s="6" t="s">
        <v>965</v>
      </c>
      <c r="I2924" s="7">
        <f>413</f>
        <v>413</v>
      </c>
      <c r="J2924" s="5" t="s">
        <v>262</v>
      </c>
      <c r="K2924" s="8">
        <f>1</f>
        <v>1</v>
      </c>
      <c r="L2924" s="6" t="s">
        <v>242</v>
      </c>
      <c r="M2924" s="5" t="s">
        <v>267</v>
      </c>
      <c r="N2924" s="5" t="s">
        <v>265</v>
      </c>
      <c r="O2924" s="5" t="s">
        <v>238</v>
      </c>
      <c r="P2924" s="5" t="s">
        <v>238</v>
      </c>
      <c r="Q2924" s="5" t="s">
        <v>268</v>
      </c>
      <c r="R2924" s="5" t="s">
        <v>270</v>
      </c>
      <c r="S2924" s="5" t="s">
        <v>238</v>
      </c>
      <c r="V2924" s="5" t="s">
        <v>238</v>
      </c>
      <c r="X2924" s="6" t="s">
        <v>238</v>
      </c>
      <c r="AA2924" s="6" t="s">
        <v>243</v>
      </c>
      <c r="AB2924" s="5" t="s">
        <v>238</v>
      </c>
      <c r="AC2924" s="5" t="s">
        <v>244</v>
      </c>
      <c r="AD2924" s="5" t="s">
        <v>245</v>
      </c>
      <c r="AT2924" s="5" t="s">
        <v>246</v>
      </c>
      <c r="AU2924" s="5" t="s">
        <v>238</v>
      </c>
      <c r="AV2924" s="5" t="s">
        <v>247</v>
      </c>
      <c r="AW2924" s="5" t="s">
        <v>238</v>
      </c>
      <c r="AX2924" s="5" t="s">
        <v>249</v>
      </c>
      <c r="AY2924" s="5" t="s">
        <v>238</v>
      </c>
      <c r="BA2924" s="5" t="s">
        <v>238</v>
      </c>
      <c r="BC2924" s="5" t="s">
        <v>250</v>
      </c>
      <c r="BD2924" s="6" t="s">
        <v>243</v>
      </c>
      <c r="BE2924" s="5" t="s">
        <v>251</v>
      </c>
      <c r="BF2924" s="5" t="s">
        <v>252</v>
      </c>
      <c r="BG2924" s="5" t="s">
        <v>238</v>
      </c>
      <c r="BH2924" s="7">
        <f>0</f>
        <v>0</v>
      </c>
      <c r="BI2924" s="8">
        <f>0</f>
        <v>0</v>
      </c>
      <c r="BJ2924" s="5" t="s">
        <v>253</v>
      </c>
      <c r="BK2924" s="5" t="s">
        <v>254</v>
      </c>
      <c r="BY2924" s="5" t="s">
        <v>238</v>
      </c>
      <c r="BZ2924" s="5" t="s">
        <v>238</v>
      </c>
      <c r="CD2924" s="5" t="s">
        <v>273</v>
      </c>
      <c r="CE2924" s="5" t="s">
        <v>256</v>
      </c>
      <c r="CF2924" s="5" t="s">
        <v>238</v>
      </c>
      <c r="CI2924" s="6" t="s">
        <v>257</v>
      </c>
      <c r="CJ2924" s="5" t="s">
        <v>238</v>
      </c>
      <c r="CK2924" s="5" t="s">
        <v>258</v>
      </c>
      <c r="CL2924" s="5" t="s">
        <v>238</v>
      </c>
      <c r="CM2924" s="5" t="s">
        <v>238</v>
      </c>
      <c r="CN2924" s="5">
        <v>0</v>
      </c>
      <c r="CO2924" s="5" t="s">
        <v>259</v>
      </c>
      <c r="CP2924" s="5" t="s">
        <v>260</v>
      </c>
      <c r="CQ2924" s="5" t="s">
        <v>260</v>
      </c>
      <c r="CR2924" s="5" t="s">
        <v>261</v>
      </c>
      <c r="CU2924" s="8">
        <f>1</f>
        <v>1</v>
      </c>
      <c r="CV2924" s="8">
        <f>0</f>
        <v>0</v>
      </c>
      <c r="CX2924" s="8">
        <f>0</f>
        <v>0</v>
      </c>
      <c r="CY2924" s="8">
        <f>1</f>
        <v>1</v>
      </c>
      <c r="DA2924" s="5" t="s">
        <v>274</v>
      </c>
      <c r="DB2924" s="5" t="s">
        <v>238</v>
      </c>
      <c r="DD2924" s="5" t="s">
        <v>274</v>
      </c>
      <c r="DE2924" s="8">
        <f>413</f>
        <v>413</v>
      </c>
      <c r="DG2924" s="5" t="s">
        <v>238</v>
      </c>
      <c r="DH2924" s="5" t="s">
        <v>238</v>
      </c>
      <c r="DI2924" s="5" t="s">
        <v>238</v>
      </c>
      <c r="DJ2924" s="5" t="s">
        <v>238</v>
      </c>
      <c r="DN2924" s="5" t="s">
        <v>238</v>
      </c>
      <c r="DO2924" s="5" t="s">
        <v>238</v>
      </c>
      <c r="DP2924" s="5" t="s">
        <v>238</v>
      </c>
      <c r="DQ2924" s="5" t="s">
        <v>238</v>
      </c>
      <c r="DT2924" s="5" t="s">
        <v>275</v>
      </c>
      <c r="DU2924" s="5" t="s">
        <v>966</v>
      </c>
      <c r="HM2924" s="5" t="s">
        <v>264</v>
      </c>
    </row>
    <row r="2925" spans="1:221" x14ac:dyDescent="0.4">
      <c r="A2925" s="5">
        <v>4629</v>
      </c>
      <c r="B2925" s="5">
        <v>1</v>
      </c>
      <c r="C2925" s="5">
        <v>1</v>
      </c>
      <c r="D2925" s="5" t="s">
        <v>269</v>
      </c>
      <c r="E2925" s="5" t="s">
        <v>271</v>
      </c>
      <c r="F2925" s="5" t="s">
        <v>248</v>
      </c>
      <c r="G2925" s="5" t="s">
        <v>266</v>
      </c>
      <c r="H2925" s="6" t="s">
        <v>5637</v>
      </c>
      <c r="I2925" s="7">
        <f>142</f>
        <v>142</v>
      </c>
      <c r="J2925" s="5" t="s">
        <v>262</v>
      </c>
      <c r="K2925" s="8">
        <f>1</f>
        <v>1</v>
      </c>
      <c r="L2925" s="6" t="s">
        <v>242</v>
      </c>
      <c r="M2925" s="5" t="s">
        <v>267</v>
      </c>
      <c r="N2925" s="5" t="s">
        <v>265</v>
      </c>
      <c r="O2925" s="5" t="s">
        <v>238</v>
      </c>
      <c r="P2925" s="5" t="s">
        <v>238</v>
      </c>
      <c r="Q2925" s="5" t="s">
        <v>268</v>
      </c>
      <c r="R2925" s="5" t="s">
        <v>270</v>
      </c>
      <c r="S2925" s="5" t="s">
        <v>238</v>
      </c>
      <c r="V2925" s="5" t="s">
        <v>238</v>
      </c>
      <c r="X2925" s="6" t="s">
        <v>238</v>
      </c>
      <c r="AA2925" s="6" t="s">
        <v>243</v>
      </c>
      <c r="AB2925" s="5" t="s">
        <v>238</v>
      </c>
      <c r="AC2925" s="5" t="s">
        <v>244</v>
      </c>
      <c r="AD2925" s="5" t="s">
        <v>245</v>
      </c>
      <c r="AT2925" s="5" t="s">
        <v>246</v>
      </c>
      <c r="AU2925" s="5" t="s">
        <v>238</v>
      </c>
      <c r="AV2925" s="5" t="s">
        <v>247</v>
      </c>
      <c r="AW2925" s="5" t="s">
        <v>238</v>
      </c>
      <c r="AX2925" s="5" t="s">
        <v>249</v>
      </c>
      <c r="AY2925" s="5" t="s">
        <v>238</v>
      </c>
      <c r="BA2925" s="5" t="s">
        <v>238</v>
      </c>
      <c r="BC2925" s="5" t="s">
        <v>250</v>
      </c>
      <c r="BD2925" s="6" t="s">
        <v>243</v>
      </c>
      <c r="BE2925" s="5" t="s">
        <v>251</v>
      </c>
      <c r="BF2925" s="5" t="s">
        <v>252</v>
      </c>
      <c r="BG2925" s="5" t="s">
        <v>238</v>
      </c>
      <c r="BH2925" s="7">
        <f>0</f>
        <v>0</v>
      </c>
      <c r="BI2925" s="8">
        <f>0</f>
        <v>0</v>
      </c>
      <c r="BJ2925" s="5" t="s">
        <v>253</v>
      </c>
      <c r="BK2925" s="5" t="s">
        <v>254</v>
      </c>
      <c r="BY2925" s="5" t="s">
        <v>238</v>
      </c>
      <c r="BZ2925" s="5" t="s">
        <v>238</v>
      </c>
      <c r="CD2925" s="5" t="s">
        <v>273</v>
      </c>
      <c r="CE2925" s="5" t="s">
        <v>256</v>
      </c>
      <c r="CF2925" s="5" t="s">
        <v>238</v>
      </c>
      <c r="CI2925" s="6" t="s">
        <v>257</v>
      </c>
      <c r="CJ2925" s="5" t="s">
        <v>238</v>
      </c>
      <c r="CK2925" s="5" t="s">
        <v>258</v>
      </c>
      <c r="CL2925" s="5" t="s">
        <v>238</v>
      </c>
      <c r="CM2925" s="5" t="s">
        <v>238</v>
      </c>
      <c r="CN2925" s="5">
        <v>0</v>
      </c>
      <c r="CO2925" s="5" t="s">
        <v>259</v>
      </c>
      <c r="CP2925" s="5" t="s">
        <v>260</v>
      </c>
      <c r="CQ2925" s="5" t="s">
        <v>260</v>
      </c>
      <c r="CR2925" s="5" t="s">
        <v>261</v>
      </c>
      <c r="CU2925" s="8">
        <f>1</f>
        <v>1</v>
      </c>
      <c r="CV2925" s="8">
        <f>0</f>
        <v>0</v>
      </c>
      <c r="CX2925" s="8">
        <f>0</f>
        <v>0</v>
      </c>
      <c r="CY2925" s="8">
        <f>1</f>
        <v>1</v>
      </c>
      <c r="DA2925" s="5" t="s">
        <v>274</v>
      </c>
      <c r="DB2925" s="5" t="s">
        <v>238</v>
      </c>
      <c r="DD2925" s="5" t="s">
        <v>274</v>
      </c>
      <c r="DE2925" s="8">
        <f>142</f>
        <v>142</v>
      </c>
      <c r="DG2925" s="5" t="s">
        <v>238</v>
      </c>
      <c r="DH2925" s="5" t="s">
        <v>238</v>
      </c>
      <c r="DI2925" s="5" t="s">
        <v>238</v>
      </c>
      <c r="DJ2925" s="5" t="s">
        <v>238</v>
      </c>
      <c r="DN2925" s="5" t="s">
        <v>238</v>
      </c>
      <c r="DO2925" s="5" t="s">
        <v>238</v>
      </c>
      <c r="DP2925" s="5" t="s">
        <v>238</v>
      </c>
      <c r="DQ2925" s="5" t="s">
        <v>238</v>
      </c>
      <c r="DT2925" s="5" t="s">
        <v>275</v>
      </c>
      <c r="DU2925" s="5" t="s">
        <v>3486</v>
      </c>
      <c r="HM2925" s="5" t="s">
        <v>264</v>
      </c>
    </row>
    <row r="2926" spans="1:221" x14ac:dyDescent="0.4">
      <c r="A2926" s="5">
        <v>4630</v>
      </c>
      <c r="B2926" s="5">
        <v>1</v>
      </c>
      <c r="C2926" s="5">
        <v>1</v>
      </c>
      <c r="D2926" s="5" t="s">
        <v>269</v>
      </c>
      <c r="E2926" s="5" t="s">
        <v>271</v>
      </c>
      <c r="F2926" s="5" t="s">
        <v>248</v>
      </c>
      <c r="G2926" s="5" t="s">
        <v>266</v>
      </c>
      <c r="H2926" s="6" t="s">
        <v>968</v>
      </c>
      <c r="I2926" s="7">
        <f>2013</f>
        <v>2013</v>
      </c>
      <c r="J2926" s="5" t="s">
        <v>262</v>
      </c>
      <c r="K2926" s="8">
        <f>1</f>
        <v>1</v>
      </c>
      <c r="L2926" s="6" t="s">
        <v>242</v>
      </c>
      <c r="M2926" s="5" t="s">
        <v>267</v>
      </c>
      <c r="N2926" s="5" t="s">
        <v>265</v>
      </c>
      <c r="O2926" s="5" t="s">
        <v>238</v>
      </c>
      <c r="P2926" s="5" t="s">
        <v>238</v>
      </c>
      <c r="Q2926" s="5" t="s">
        <v>268</v>
      </c>
      <c r="R2926" s="5" t="s">
        <v>270</v>
      </c>
      <c r="S2926" s="5" t="s">
        <v>238</v>
      </c>
      <c r="V2926" s="5" t="s">
        <v>238</v>
      </c>
      <c r="X2926" s="6" t="s">
        <v>238</v>
      </c>
      <c r="AA2926" s="6" t="s">
        <v>243</v>
      </c>
      <c r="AB2926" s="5" t="s">
        <v>238</v>
      </c>
      <c r="AC2926" s="5" t="s">
        <v>244</v>
      </c>
      <c r="AD2926" s="5" t="s">
        <v>245</v>
      </c>
      <c r="AT2926" s="5" t="s">
        <v>246</v>
      </c>
      <c r="AU2926" s="5" t="s">
        <v>238</v>
      </c>
      <c r="AV2926" s="5" t="s">
        <v>247</v>
      </c>
      <c r="AW2926" s="5" t="s">
        <v>238</v>
      </c>
      <c r="AX2926" s="5" t="s">
        <v>249</v>
      </c>
      <c r="AY2926" s="5" t="s">
        <v>238</v>
      </c>
      <c r="BA2926" s="5" t="s">
        <v>238</v>
      </c>
      <c r="BC2926" s="5" t="s">
        <v>250</v>
      </c>
      <c r="BD2926" s="6" t="s">
        <v>243</v>
      </c>
      <c r="BE2926" s="5" t="s">
        <v>251</v>
      </c>
      <c r="BF2926" s="5" t="s">
        <v>252</v>
      </c>
      <c r="BG2926" s="5" t="s">
        <v>238</v>
      </c>
      <c r="BH2926" s="7">
        <f>0</f>
        <v>0</v>
      </c>
      <c r="BI2926" s="8">
        <f>0</f>
        <v>0</v>
      </c>
      <c r="BJ2926" s="5" t="s">
        <v>253</v>
      </c>
      <c r="BK2926" s="5" t="s">
        <v>254</v>
      </c>
      <c r="BY2926" s="5" t="s">
        <v>238</v>
      </c>
      <c r="BZ2926" s="5" t="s">
        <v>238</v>
      </c>
      <c r="CD2926" s="5" t="s">
        <v>273</v>
      </c>
      <c r="CE2926" s="5" t="s">
        <v>256</v>
      </c>
      <c r="CF2926" s="5" t="s">
        <v>238</v>
      </c>
      <c r="CI2926" s="6" t="s">
        <v>257</v>
      </c>
      <c r="CJ2926" s="5" t="s">
        <v>238</v>
      </c>
      <c r="CK2926" s="5" t="s">
        <v>258</v>
      </c>
      <c r="CL2926" s="5" t="s">
        <v>238</v>
      </c>
      <c r="CM2926" s="5" t="s">
        <v>238</v>
      </c>
      <c r="CN2926" s="5">
        <v>0</v>
      </c>
      <c r="CO2926" s="5" t="s">
        <v>259</v>
      </c>
      <c r="CP2926" s="5" t="s">
        <v>260</v>
      </c>
      <c r="CQ2926" s="5" t="s">
        <v>260</v>
      </c>
      <c r="CR2926" s="5" t="s">
        <v>261</v>
      </c>
      <c r="CU2926" s="8">
        <f>1</f>
        <v>1</v>
      </c>
      <c r="CV2926" s="8">
        <f>0</f>
        <v>0</v>
      </c>
      <c r="CX2926" s="8">
        <f>0</f>
        <v>0</v>
      </c>
      <c r="CY2926" s="8">
        <f>1</f>
        <v>1</v>
      </c>
      <c r="DA2926" s="5" t="s">
        <v>274</v>
      </c>
      <c r="DB2926" s="5" t="s">
        <v>238</v>
      </c>
      <c r="DD2926" s="5" t="s">
        <v>274</v>
      </c>
      <c r="DE2926" s="8">
        <f>2013</f>
        <v>2013</v>
      </c>
      <c r="DG2926" s="5" t="s">
        <v>238</v>
      </c>
      <c r="DH2926" s="5" t="s">
        <v>238</v>
      </c>
      <c r="DI2926" s="5" t="s">
        <v>238</v>
      </c>
      <c r="DJ2926" s="5" t="s">
        <v>238</v>
      </c>
      <c r="DN2926" s="5" t="s">
        <v>238</v>
      </c>
      <c r="DO2926" s="5" t="s">
        <v>238</v>
      </c>
      <c r="DP2926" s="5" t="s">
        <v>238</v>
      </c>
      <c r="DQ2926" s="5" t="s">
        <v>238</v>
      </c>
      <c r="DT2926" s="5" t="s">
        <v>275</v>
      </c>
      <c r="DU2926" s="5" t="s">
        <v>969</v>
      </c>
      <c r="HM2926" s="5" t="s">
        <v>264</v>
      </c>
    </row>
    <row r="2927" spans="1:221" x14ac:dyDescent="0.4">
      <c r="A2927" s="5">
        <v>4631</v>
      </c>
      <c r="B2927" s="5">
        <v>1</v>
      </c>
      <c r="C2927" s="5">
        <v>1</v>
      </c>
      <c r="D2927" s="5" t="s">
        <v>269</v>
      </c>
      <c r="E2927" s="5" t="s">
        <v>271</v>
      </c>
      <c r="F2927" s="5" t="s">
        <v>248</v>
      </c>
      <c r="G2927" s="5" t="s">
        <v>266</v>
      </c>
      <c r="H2927" s="6" t="s">
        <v>970</v>
      </c>
      <c r="I2927" s="7">
        <f>536</f>
        <v>536</v>
      </c>
      <c r="J2927" s="5" t="s">
        <v>262</v>
      </c>
      <c r="K2927" s="8">
        <f>1</f>
        <v>1</v>
      </c>
      <c r="L2927" s="6" t="s">
        <v>242</v>
      </c>
      <c r="M2927" s="5" t="s">
        <v>267</v>
      </c>
      <c r="N2927" s="5" t="s">
        <v>265</v>
      </c>
      <c r="O2927" s="5" t="s">
        <v>238</v>
      </c>
      <c r="P2927" s="5" t="s">
        <v>238</v>
      </c>
      <c r="Q2927" s="5" t="s">
        <v>268</v>
      </c>
      <c r="R2927" s="5" t="s">
        <v>270</v>
      </c>
      <c r="S2927" s="5" t="s">
        <v>238</v>
      </c>
      <c r="V2927" s="5" t="s">
        <v>238</v>
      </c>
      <c r="X2927" s="6" t="s">
        <v>238</v>
      </c>
      <c r="AA2927" s="6" t="s">
        <v>243</v>
      </c>
      <c r="AB2927" s="5" t="s">
        <v>238</v>
      </c>
      <c r="AC2927" s="5" t="s">
        <v>244</v>
      </c>
      <c r="AD2927" s="5" t="s">
        <v>245</v>
      </c>
      <c r="AT2927" s="5" t="s">
        <v>246</v>
      </c>
      <c r="AU2927" s="5" t="s">
        <v>238</v>
      </c>
      <c r="AV2927" s="5" t="s">
        <v>247</v>
      </c>
      <c r="AW2927" s="5" t="s">
        <v>238</v>
      </c>
      <c r="AX2927" s="5" t="s">
        <v>249</v>
      </c>
      <c r="AY2927" s="5" t="s">
        <v>238</v>
      </c>
      <c r="BA2927" s="5" t="s">
        <v>238</v>
      </c>
      <c r="BC2927" s="5" t="s">
        <v>250</v>
      </c>
      <c r="BD2927" s="6" t="s">
        <v>243</v>
      </c>
      <c r="BE2927" s="5" t="s">
        <v>251</v>
      </c>
      <c r="BF2927" s="5" t="s">
        <v>252</v>
      </c>
      <c r="BG2927" s="5" t="s">
        <v>238</v>
      </c>
      <c r="BH2927" s="7">
        <f>0</f>
        <v>0</v>
      </c>
      <c r="BI2927" s="8">
        <f>0</f>
        <v>0</v>
      </c>
      <c r="BJ2927" s="5" t="s">
        <v>253</v>
      </c>
      <c r="BK2927" s="5" t="s">
        <v>254</v>
      </c>
      <c r="BY2927" s="5" t="s">
        <v>238</v>
      </c>
      <c r="BZ2927" s="5" t="s">
        <v>238</v>
      </c>
      <c r="CD2927" s="5" t="s">
        <v>273</v>
      </c>
      <c r="CE2927" s="5" t="s">
        <v>256</v>
      </c>
      <c r="CF2927" s="5" t="s">
        <v>238</v>
      </c>
      <c r="CI2927" s="6" t="s">
        <v>257</v>
      </c>
      <c r="CJ2927" s="5" t="s">
        <v>238</v>
      </c>
      <c r="CK2927" s="5" t="s">
        <v>258</v>
      </c>
      <c r="CL2927" s="5" t="s">
        <v>238</v>
      </c>
      <c r="CM2927" s="5" t="s">
        <v>238</v>
      </c>
      <c r="CN2927" s="5">
        <v>0</v>
      </c>
      <c r="CO2927" s="5" t="s">
        <v>259</v>
      </c>
      <c r="CP2927" s="5" t="s">
        <v>260</v>
      </c>
      <c r="CQ2927" s="5" t="s">
        <v>260</v>
      </c>
      <c r="CR2927" s="5" t="s">
        <v>261</v>
      </c>
      <c r="CU2927" s="8">
        <f>1</f>
        <v>1</v>
      </c>
      <c r="CV2927" s="8">
        <f>0</f>
        <v>0</v>
      </c>
      <c r="CX2927" s="8">
        <f>0</f>
        <v>0</v>
      </c>
      <c r="CY2927" s="8">
        <f>1</f>
        <v>1</v>
      </c>
      <c r="DA2927" s="5" t="s">
        <v>274</v>
      </c>
      <c r="DB2927" s="5" t="s">
        <v>238</v>
      </c>
      <c r="DD2927" s="5" t="s">
        <v>274</v>
      </c>
      <c r="DE2927" s="8">
        <f>536</f>
        <v>536</v>
      </c>
      <c r="DG2927" s="5" t="s">
        <v>238</v>
      </c>
      <c r="DH2927" s="5" t="s">
        <v>238</v>
      </c>
      <c r="DI2927" s="5" t="s">
        <v>238</v>
      </c>
      <c r="DJ2927" s="5" t="s">
        <v>238</v>
      </c>
      <c r="DN2927" s="5" t="s">
        <v>238</v>
      </c>
      <c r="DO2927" s="5" t="s">
        <v>238</v>
      </c>
      <c r="DP2927" s="5" t="s">
        <v>238</v>
      </c>
      <c r="DQ2927" s="5" t="s">
        <v>238</v>
      </c>
      <c r="DT2927" s="5" t="s">
        <v>275</v>
      </c>
      <c r="DU2927" s="5" t="s">
        <v>971</v>
      </c>
      <c r="HM2927" s="5" t="s">
        <v>264</v>
      </c>
    </row>
    <row r="2928" spans="1:221" x14ac:dyDescent="0.4">
      <c r="A2928" s="5">
        <v>4632</v>
      </c>
      <c r="B2928" s="5">
        <v>1</v>
      </c>
      <c r="C2928" s="5">
        <v>1</v>
      </c>
      <c r="D2928" s="5" t="s">
        <v>269</v>
      </c>
      <c r="E2928" s="5" t="s">
        <v>271</v>
      </c>
      <c r="F2928" s="5" t="s">
        <v>248</v>
      </c>
      <c r="G2928" s="5" t="s">
        <v>266</v>
      </c>
      <c r="H2928" s="6" t="s">
        <v>979</v>
      </c>
      <c r="I2928" s="7">
        <f>623</f>
        <v>623</v>
      </c>
      <c r="J2928" s="5" t="s">
        <v>262</v>
      </c>
      <c r="K2928" s="8">
        <f>1</f>
        <v>1</v>
      </c>
      <c r="L2928" s="6" t="s">
        <v>242</v>
      </c>
      <c r="M2928" s="5" t="s">
        <v>267</v>
      </c>
      <c r="N2928" s="5" t="s">
        <v>265</v>
      </c>
      <c r="O2928" s="5" t="s">
        <v>238</v>
      </c>
      <c r="P2928" s="5" t="s">
        <v>238</v>
      </c>
      <c r="Q2928" s="5" t="s">
        <v>268</v>
      </c>
      <c r="R2928" s="5" t="s">
        <v>270</v>
      </c>
      <c r="S2928" s="5" t="s">
        <v>238</v>
      </c>
      <c r="V2928" s="5" t="s">
        <v>238</v>
      </c>
      <c r="X2928" s="6" t="s">
        <v>238</v>
      </c>
      <c r="AA2928" s="6" t="s">
        <v>243</v>
      </c>
      <c r="AB2928" s="5" t="s">
        <v>238</v>
      </c>
      <c r="AC2928" s="5" t="s">
        <v>244</v>
      </c>
      <c r="AD2928" s="5" t="s">
        <v>245</v>
      </c>
      <c r="AT2928" s="5" t="s">
        <v>246</v>
      </c>
      <c r="AU2928" s="5" t="s">
        <v>238</v>
      </c>
      <c r="AV2928" s="5" t="s">
        <v>247</v>
      </c>
      <c r="AW2928" s="5" t="s">
        <v>238</v>
      </c>
      <c r="AX2928" s="5" t="s">
        <v>249</v>
      </c>
      <c r="AY2928" s="5" t="s">
        <v>238</v>
      </c>
      <c r="BA2928" s="5" t="s">
        <v>238</v>
      </c>
      <c r="BC2928" s="5" t="s">
        <v>250</v>
      </c>
      <c r="BD2928" s="6" t="s">
        <v>243</v>
      </c>
      <c r="BE2928" s="5" t="s">
        <v>251</v>
      </c>
      <c r="BF2928" s="5" t="s">
        <v>252</v>
      </c>
      <c r="BG2928" s="5" t="s">
        <v>238</v>
      </c>
      <c r="BH2928" s="7">
        <f>0</f>
        <v>0</v>
      </c>
      <c r="BI2928" s="8">
        <f>0</f>
        <v>0</v>
      </c>
      <c r="BJ2928" s="5" t="s">
        <v>253</v>
      </c>
      <c r="BK2928" s="5" t="s">
        <v>254</v>
      </c>
      <c r="BY2928" s="5" t="s">
        <v>238</v>
      </c>
      <c r="BZ2928" s="5" t="s">
        <v>238</v>
      </c>
      <c r="CD2928" s="5" t="s">
        <v>273</v>
      </c>
      <c r="CE2928" s="5" t="s">
        <v>256</v>
      </c>
      <c r="CF2928" s="5" t="s">
        <v>238</v>
      </c>
      <c r="CI2928" s="6" t="s">
        <v>257</v>
      </c>
      <c r="CJ2928" s="5" t="s">
        <v>238</v>
      </c>
      <c r="CK2928" s="5" t="s">
        <v>258</v>
      </c>
      <c r="CL2928" s="5" t="s">
        <v>238</v>
      </c>
      <c r="CM2928" s="5" t="s">
        <v>238</v>
      </c>
      <c r="CN2928" s="5">
        <v>0</v>
      </c>
      <c r="CO2928" s="5" t="s">
        <v>259</v>
      </c>
      <c r="CP2928" s="5" t="s">
        <v>260</v>
      </c>
      <c r="CQ2928" s="5" t="s">
        <v>260</v>
      </c>
      <c r="CR2928" s="5" t="s">
        <v>261</v>
      </c>
      <c r="CU2928" s="8">
        <f>1</f>
        <v>1</v>
      </c>
      <c r="CV2928" s="8">
        <f>0</f>
        <v>0</v>
      </c>
      <c r="CX2928" s="8">
        <f>0</f>
        <v>0</v>
      </c>
      <c r="CY2928" s="8">
        <f>1</f>
        <v>1</v>
      </c>
      <c r="DA2928" s="5" t="s">
        <v>274</v>
      </c>
      <c r="DB2928" s="5" t="s">
        <v>238</v>
      </c>
      <c r="DD2928" s="5" t="s">
        <v>274</v>
      </c>
      <c r="DE2928" s="8">
        <f>623</f>
        <v>623</v>
      </c>
      <c r="DG2928" s="5" t="s">
        <v>238</v>
      </c>
      <c r="DH2928" s="5" t="s">
        <v>238</v>
      </c>
      <c r="DI2928" s="5" t="s">
        <v>238</v>
      </c>
      <c r="DJ2928" s="5" t="s">
        <v>238</v>
      </c>
      <c r="DN2928" s="5" t="s">
        <v>238</v>
      </c>
      <c r="DO2928" s="5" t="s">
        <v>238</v>
      </c>
      <c r="DP2928" s="5" t="s">
        <v>238</v>
      </c>
      <c r="DQ2928" s="5" t="s">
        <v>238</v>
      </c>
      <c r="DT2928" s="5" t="s">
        <v>275</v>
      </c>
      <c r="DU2928" s="5" t="s">
        <v>980</v>
      </c>
      <c r="HM2928" s="5" t="s">
        <v>264</v>
      </c>
    </row>
    <row r="2929" spans="1:221" x14ac:dyDescent="0.4">
      <c r="A2929" s="5">
        <v>4633</v>
      </c>
      <c r="B2929" s="5">
        <v>1</v>
      </c>
      <c r="C2929" s="5">
        <v>1</v>
      </c>
      <c r="D2929" s="5" t="s">
        <v>269</v>
      </c>
      <c r="E2929" s="5" t="s">
        <v>271</v>
      </c>
      <c r="F2929" s="5" t="s">
        <v>248</v>
      </c>
      <c r="G2929" s="5" t="s">
        <v>266</v>
      </c>
      <c r="H2929" s="6" t="s">
        <v>5639</v>
      </c>
      <c r="I2929" s="7">
        <f>627</f>
        <v>627</v>
      </c>
      <c r="J2929" s="5" t="s">
        <v>262</v>
      </c>
      <c r="K2929" s="8">
        <f>1</f>
        <v>1</v>
      </c>
      <c r="L2929" s="6" t="s">
        <v>242</v>
      </c>
      <c r="M2929" s="5" t="s">
        <v>267</v>
      </c>
      <c r="N2929" s="5" t="s">
        <v>265</v>
      </c>
      <c r="O2929" s="5" t="s">
        <v>238</v>
      </c>
      <c r="P2929" s="5" t="s">
        <v>238</v>
      </c>
      <c r="Q2929" s="5" t="s">
        <v>268</v>
      </c>
      <c r="R2929" s="5" t="s">
        <v>270</v>
      </c>
      <c r="S2929" s="5" t="s">
        <v>238</v>
      </c>
      <c r="V2929" s="5" t="s">
        <v>238</v>
      </c>
      <c r="X2929" s="6" t="s">
        <v>238</v>
      </c>
      <c r="AA2929" s="6" t="s">
        <v>243</v>
      </c>
      <c r="AB2929" s="5" t="s">
        <v>238</v>
      </c>
      <c r="AC2929" s="5" t="s">
        <v>244</v>
      </c>
      <c r="AD2929" s="5" t="s">
        <v>245</v>
      </c>
      <c r="AT2929" s="5" t="s">
        <v>246</v>
      </c>
      <c r="AU2929" s="5" t="s">
        <v>238</v>
      </c>
      <c r="AV2929" s="5" t="s">
        <v>247</v>
      </c>
      <c r="AW2929" s="5" t="s">
        <v>238</v>
      </c>
      <c r="AX2929" s="5" t="s">
        <v>249</v>
      </c>
      <c r="AY2929" s="5" t="s">
        <v>238</v>
      </c>
      <c r="BA2929" s="5" t="s">
        <v>238</v>
      </c>
      <c r="BC2929" s="5" t="s">
        <v>250</v>
      </c>
      <c r="BD2929" s="6" t="s">
        <v>243</v>
      </c>
      <c r="BE2929" s="5" t="s">
        <v>251</v>
      </c>
      <c r="BF2929" s="5" t="s">
        <v>252</v>
      </c>
      <c r="BG2929" s="5" t="s">
        <v>238</v>
      </c>
      <c r="BH2929" s="7">
        <f>0</f>
        <v>0</v>
      </c>
      <c r="BI2929" s="8">
        <f>0</f>
        <v>0</v>
      </c>
      <c r="BJ2929" s="5" t="s">
        <v>253</v>
      </c>
      <c r="BK2929" s="5" t="s">
        <v>254</v>
      </c>
      <c r="BY2929" s="5" t="s">
        <v>238</v>
      </c>
      <c r="BZ2929" s="5" t="s">
        <v>238</v>
      </c>
      <c r="CD2929" s="5" t="s">
        <v>273</v>
      </c>
      <c r="CE2929" s="5" t="s">
        <v>256</v>
      </c>
      <c r="CF2929" s="5" t="s">
        <v>238</v>
      </c>
      <c r="CI2929" s="6" t="s">
        <v>257</v>
      </c>
      <c r="CJ2929" s="5" t="s">
        <v>238</v>
      </c>
      <c r="CK2929" s="5" t="s">
        <v>258</v>
      </c>
      <c r="CL2929" s="5" t="s">
        <v>238</v>
      </c>
      <c r="CM2929" s="5" t="s">
        <v>238</v>
      </c>
      <c r="CN2929" s="5">
        <v>0</v>
      </c>
      <c r="CO2929" s="5" t="s">
        <v>259</v>
      </c>
      <c r="CP2929" s="5" t="s">
        <v>260</v>
      </c>
      <c r="CQ2929" s="5" t="s">
        <v>260</v>
      </c>
      <c r="CR2929" s="5" t="s">
        <v>261</v>
      </c>
      <c r="CU2929" s="8">
        <f>1</f>
        <v>1</v>
      </c>
      <c r="CV2929" s="8">
        <f>0</f>
        <v>0</v>
      </c>
      <c r="CX2929" s="8">
        <f>0</f>
        <v>0</v>
      </c>
      <c r="CY2929" s="8">
        <f>1</f>
        <v>1</v>
      </c>
      <c r="DA2929" s="5" t="s">
        <v>274</v>
      </c>
      <c r="DB2929" s="5" t="s">
        <v>238</v>
      </c>
      <c r="DD2929" s="5" t="s">
        <v>274</v>
      </c>
      <c r="DE2929" s="8">
        <f>627</f>
        <v>627</v>
      </c>
      <c r="DG2929" s="5" t="s">
        <v>238</v>
      </c>
      <c r="DH2929" s="5" t="s">
        <v>238</v>
      </c>
      <c r="DI2929" s="5" t="s">
        <v>238</v>
      </c>
      <c r="DJ2929" s="5" t="s">
        <v>238</v>
      </c>
      <c r="DN2929" s="5" t="s">
        <v>238</v>
      </c>
      <c r="DO2929" s="5" t="s">
        <v>238</v>
      </c>
      <c r="DP2929" s="5" t="s">
        <v>238</v>
      </c>
      <c r="DQ2929" s="5" t="s">
        <v>238</v>
      </c>
      <c r="DT2929" s="5" t="s">
        <v>275</v>
      </c>
      <c r="DU2929" s="5" t="s">
        <v>3736</v>
      </c>
      <c r="HM2929" s="5" t="s">
        <v>264</v>
      </c>
    </row>
    <row r="2930" spans="1:221" x14ac:dyDescent="0.4">
      <c r="A2930" s="5">
        <v>4634</v>
      </c>
      <c r="B2930" s="5">
        <v>1</v>
      </c>
      <c r="C2930" s="5">
        <v>1</v>
      </c>
      <c r="D2930" s="5" t="s">
        <v>269</v>
      </c>
      <c r="E2930" s="5" t="s">
        <v>271</v>
      </c>
      <c r="F2930" s="5" t="s">
        <v>248</v>
      </c>
      <c r="G2930" s="5" t="s">
        <v>266</v>
      </c>
      <c r="H2930" s="6" t="s">
        <v>5641</v>
      </c>
      <c r="I2930" s="7">
        <f>174</f>
        <v>174</v>
      </c>
      <c r="J2930" s="5" t="s">
        <v>262</v>
      </c>
      <c r="K2930" s="8">
        <f>1</f>
        <v>1</v>
      </c>
      <c r="L2930" s="6" t="s">
        <v>242</v>
      </c>
      <c r="M2930" s="5" t="s">
        <v>267</v>
      </c>
      <c r="N2930" s="5" t="s">
        <v>265</v>
      </c>
      <c r="O2930" s="5" t="s">
        <v>238</v>
      </c>
      <c r="P2930" s="5" t="s">
        <v>238</v>
      </c>
      <c r="Q2930" s="5" t="s">
        <v>268</v>
      </c>
      <c r="R2930" s="5" t="s">
        <v>270</v>
      </c>
      <c r="S2930" s="5" t="s">
        <v>238</v>
      </c>
      <c r="V2930" s="5" t="s">
        <v>238</v>
      </c>
      <c r="X2930" s="6" t="s">
        <v>238</v>
      </c>
      <c r="AA2930" s="6" t="s">
        <v>243</v>
      </c>
      <c r="AB2930" s="5" t="s">
        <v>238</v>
      </c>
      <c r="AC2930" s="5" t="s">
        <v>244</v>
      </c>
      <c r="AD2930" s="5" t="s">
        <v>245</v>
      </c>
      <c r="AT2930" s="5" t="s">
        <v>246</v>
      </c>
      <c r="AU2930" s="5" t="s">
        <v>238</v>
      </c>
      <c r="AV2930" s="5" t="s">
        <v>247</v>
      </c>
      <c r="AW2930" s="5" t="s">
        <v>238</v>
      </c>
      <c r="AX2930" s="5" t="s">
        <v>249</v>
      </c>
      <c r="AY2930" s="5" t="s">
        <v>238</v>
      </c>
      <c r="BA2930" s="5" t="s">
        <v>238</v>
      </c>
      <c r="BC2930" s="5" t="s">
        <v>250</v>
      </c>
      <c r="BD2930" s="6" t="s">
        <v>243</v>
      </c>
      <c r="BE2930" s="5" t="s">
        <v>251</v>
      </c>
      <c r="BF2930" s="5" t="s">
        <v>252</v>
      </c>
      <c r="BG2930" s="5" t="s">
        <v>238</v>
      </c>
      <c r="BH2930" s="7">
        <f>0</f>
        <v>0</v>
      </c>
      <c r="BI2930" s="8">
        <f>0</f>
        <v>0</v>
      </c>
      <c r="BJ2930" s="5" t="s">
        <v>253</v>
      </c>
      <c r="BK2930" s="5" t="s">
        <v>254</v>
      </c>
      <c r="BY2930" s="5" t="s">
        <v>238</v>
      </c>
      <c r="BZ2930" s="5" t="s">
        <v>238</v>
      </c>
      <c r="CD2930" s="5" t="s">
        <v>273</v>
      </c>
      <c r="CE2930" s="5" t="s">
        <v>256</v>
      </c>
      <c r="CF2930" s="5" t="s">
        <v>238</v>
      </c>
      <c r="CI2930" s="6" t="s">
        <v>257</v>
      </c>
      <c r="CJ2930" s="5" t="s">
        <v>238</v>
      </c>
      <c r="CK2930" s="5" t="s">
        <v>258</v>
      </c>
      <c r="CL2930" s="5" t="s">
        <v>238</v>
      </c>
      <c r="CM2930" s="5" t="s">
        <v>238</v>
      </c>
      <c r="CN2930" s="5">
        <v>0</v>
      </c>
      <c r="CO2930" s="5" t="s">
        <v>259</v>
      </c>
      <c r="CP2930" s="5" t="s">
        <v>260</v>
      </c>
      <c r="CQ2930" s="5" t="s">
        <v>260</v>
      </c>
      <c r="CR2930" s="5" t="s">
        <v>261</v>
      </c>
      <c r="CU2930" s="8">
        <f>1</f>
        <v>1</v>
      </c>
      <c r="CV2930" s="8">
        <f>0</f>
        <v>0</v>
      </c>
      <c r="CX2930" s="8">
        <f>0</f>
        <v>0</v>
      </c>
      <c r="CY2930" s="8">
        <f>1</f>
        <v>1</v>
      </c>
      <c r="DA2930" s="5" t="s">
        <v>274</v>
      </c>
      <c r="DB2930" s="5" t="s">
        <v>238</v>
      </c>
      <c r="DD2930" s="5" t="s">
        <v>274</v>
      </c>
      <c r="DE2930" s="8">
        <f>174</f>
        <v>174</v>
      </c>
      <c r="DG2930" s="5" t="s">
        <v>238</v>
      </c>
      <c r="DH2930" s="5" t="s">
        <v>238</v>
      </c>
      <c r="DI2930" s="5" t="s">
        <v>238</v>
      </c>
      <c r="DJ2930" s="5" t="s">
        <v>238</v>
      </c>
      <c r="DN2930" s="5" t="s">
        <v>238</v>
      </c>
      <c r="DO2930" s="5" t="s">
        <v>238</v>
      </c>
      <c r="DP2930" s="5" t="s">
        <v>238</v>
      </c>
      <c r="DQ2930" s="5" t="s">
        <v>238</v>
      </c>
      <c r="DT2930" s="5" t="s">
        <v>275</v>
      </c>
      <c r="DU2930" s="5" t="s">
        <v>3739</v>
      </c>
      <c r="HM2930" s="5" t="s">
        <v>264</v>
      </c>
    </row>
    <row r="2931" spans="1:221" x14ac:dyDescent="0.4">
      <c r="A2931" s="5">
        <v>4635</v>
      </c>
      <c r="B2931" s="5">
        <v>1</v>
      </c>
      <c r="C2931" s="5">
        <v>1</v>
      </c>
      <c r="D2931" s="5" t="s">
        <v>269</v>
      </c>
      <c r="E2931" s="5" t="s">
        <v>271</v>
      </c>
      <c r="F2931" s="5" t="s">
        <v>248</v>
      </c>
      <c r="G2931" s="5" t="s">
        <v>266</v>
      </c>
      <c r="H2931" s="6" t="s">
        <v>985</v>
      </c>
      <c r="I2931" s="7">
        <f>165</f>
        <v>165</v>
      </c>
      <c r="J2931" s="5" t="s">
        <v>262</v>
      </c>
      <c r="K2931" s="8">
        <f>1</f>
        <v>1</v>
      </c>
      <c r="L2931" s="6" t="s">
        <v>242</v>
      </c>
      <c r="M2931" s="5" t="s">
        <v>267</v>
      </c>
      <c r="N2931" s="5" t="s">
        <v>265</v>
      </c>
      <c r="O2931" s="5" t="s">
        <v>238</v>
      </c>
      <c r="P2931" s="5" t="s">
        <v>238</v>
      </c>
      <c r="Q2931" s="5" t="s">
        <v>268</v>
      </c>
      <c r="R2931" s="5" t="s">
        <v>270</v>
      </c>
      <c r="S2931" s="5" t="s">
        <v>238</v>
      </c>
      <c r="V2931" s="5" t="s">
        <v>238</v>
      </c>
      <c r="X2931" s="6" t="s">
        <v>238</v>
      </c>
      <c r="AA2931" s="6" t="s">
        <v>243</v>
      </c>
      <c r="AB2931" s="5" t="s">
        <v>238</v>
      </c>
      <c r="AC2931" s="5" t="s">
        <v>244</v>
      </c>
      <c r="AD2931" s="5" t="s">
        <v>245</v>
      </c>
      <c r="AT2931" s="5" t="s">
        <v>246</v>
      </c>
      <c r="AU2931" s="5" t="s">
        <v>238</v>
      </c>
      <c r="AV2931" s="5" t="s">
        <v>247</v>
      </c>
      <c r="AW2931" s="5" t="s">
        <v>238</v>
      </c>
      <c r="AX2931" s="5" t="s">
        <v>249</v>
      </c>
      <c r="AY2931" s="5" t="s">
        <v>238</v>
      </c>
      <c r="BA2931" s="5" t="s">
        <v>238</v>
      </c>
      <c r="BC2931" s="5" t="s">
        <v>250</v>
      </c>
      <c r="BD2931" s="6" t="s">
        <v>243</v>
      </c>
      <c r="BE2931" s="5" t="s">
        <v>251</v>
      </c>
      <c r="BF2931" s="5" t="s">
        <v>252</v>
      </c>
      <c r="BG2931" s="5" t="s">
        <v>238</v>
      </c>
      <c r="BH2931" s="7">
        <f>0</f>
        <v>0</v>
      </c>
      <c r="BI2931" s="8">
        <f>0</f>
        <v>0</v>
      </c>
      <c r="BJ2931" s="5" t="s">
        <v>253</v>
      </c>
      <c r="BK2931" s="5" t="s">
        <v>254</v>
      </c>
      <c r="BY2931" s="5" t="s">
        <v>238</v>
      </c>
      <c r="BZ2931" s="5" t="s">
        <v>238</v>
      </c>
      <c r="CD2931" s="5" t="s">
        <v>273</v>
      </c>
      <c r="CE2931" s="5" t="s">
        <v>256</v>
      </c>
      <c r="CF2931" s="5" t="s">
        <v>238</v>
      </c>
      <c r="CI2931" s="6" t="s">
        <v>257</v>
      </c>
      <c r="CJ2931" s="5" t="s">
        <v>238</v>
      </c>
      <c r="CK2931" s="5" t="s">
        <v>258</v>
      </c>
      <c r="CL2931" s="5" t="s">
        <v>238</v>
      </c>
      <c r="CM2931" s="5" t="s">
        <v>238</v>
      </c>
      <c r="CN2931" s="5">
        <v>0</v>
      </c>
      <c r="CO2931" s="5" t="s">
        <v>259</v>
      </c>
      <c r="CP2931" s="5" t="s">
        <v>260</v>
      </c>
      <c r="CQ2931" s="5" t="s">
        <v>260</v>
      </c>
      <c r="CR2931" s="5" t="s">
        <v>261</v>
      </c>
      <c r="CU2931" s="8">
        <f>1</f>
        <v>1</v>
      </c>
      <c r="CV2931" s="8">
        <f>0</f>
        <v>0</v>
      </c>
      <c r="CX2931" s="8">
        <f>0</f>
        <v>0</v>
      </c>
      <c r="CY2931" s="8">
        <f>1</f>
        <v>1</v>
      </c>
      <c r="DA2931" s="5" t="s">
        <v>274</v>
      </c>
      <c r="DB2931" s="5" t="s">
        <v>238</v>
      </c>
      <c r="DD2931" s="5" t="s">
        <v>274</v>
      </c>
      <c r="DE2931" s="8">
        <f>165</f>
        <v>165</v>
      </c>
      <c r="DG2931" s="5" t="s">
        <v>238</v>
      </c>
      <c r="DH2931" s="5" t="s">
        <v>238</v>
      </c>
      <c r="DI2931" s="5" t="s">
        <v>238</v>
      </c>
      <c r="DJ2931" s="5" t="s">
        <v>238</v>
      </c>
      <c r="DN2931" s="5" t="s">
        <v>238</v>
      </c>
      <c r="DO2931" s="5" t="s">
        <v>238</v>
      </c>
      <c r="DP2931" s="5" t="s">
        <v>238</v>
      </c>
      <c r="DQ2931" s="5" t="s">
        <v>238</v>
      </c>
      <c r="DT2931" s="5" t="s">
        <v>275</v>
      </c>
      <c r="DU2931" s="5" t="s">
        <v>986</v>
      </c>
      <c r="HM2931" s="5" t="s">
        <v>264</v>
      </c>
    </row>
    <row r="2932" spans="1:221" x14ac:dyDescent="0.4">
      <c r="A2932" s="5">
        <v>4636</v>
      </c>
      <c r="B2932" s="5">
        <v>1</v>
      </c>
      <c r="C2932" s="5">
        <v>1</v>
      </c>
      <c r="D2932" s="5" t="s">
        <v>269</v>
      </c>
      <c r="E2932" s="5" t="s">
        <v>271</v>
      </c>
      <c r="F2932" s="5" t="s">
        <v>248</v>
      </c>
      <c r="G2932" s="5" t="s">
        <v>266</v>
      </c>
      <c r="H2932" s="6" t="s">
        <v>3949</v>
      </c>
      <c r="I2932" s="7">
        <f>32</f>
        <v>32</v>
      </c>
      <c r="J2932" s="5" t="s">
        <v>262</v>
      </c>
      <c r="K2932" s="8">
        <f>1</f>
        <v>1</v>
      </c>
      <c r="L2932" s="6" t="s">
        <v>242</v>
      </c>
      <c r="M2932" s="5" t="s">
        <v>267</v>
      </c>
      <c r="N2932" s="5" t="s">
        <v>265</v>
      </c>
      <c r="O2932" s="5" t="s">
        <v>238</v>
      </c>
      <c r="P2932" s="5" t="s">
        <v>238</v>
      </c>
      <c r="Q2932" s="5" t="s">
        <v>268</v>
      </c>
      <c r="R2932" s="5" t="s">
        <v>270</v>
      </c>
      <c r="S2932" s="5" t="s">
        <v>238</v>
      </c>
      <c r="V2932" s="5" t="s">
        <v>238</v>
      </c>
      <c r="X2932" s="6" t="s">
        <v>238</v>
      </c>
      <c r="AA2932" s="6" t="s">
        <v>243</v>
      </c>
      <c r="AB2932" s="5" t="s">
        <v>238</v>
      </c>
      <c r="AC2932" s="5" t="s">
        <v>244</v>
      </c>
      <c r="AD2932" s="5" t="s">
        <v>245</v>
      </c>
      <c r="AT2932" s="5" t="s">
        <v>246</v>
      </c>
      <c r="AU2932" s="5" t="s">
        <v>238</v>
      </c>
      <c r="AV2932" s="5" t="s">
        <v>247</v>
      </c>
      <c r="AW2932" s="5" t="s">
        <v>238</v>
      </c>
      <c r="AX2932" s="5" t="s">
        <v>249</v>
      </c>
      <c r="AY2932" s="5" t="s">
        <v>238</v>
      </c>
      <c r="BA2932" s="5" t="s">
        <v>238</v>
      </c>
      <c r="BC2932" s="5" t="s">
        <v>250</v>
      </c>
      <c r="BD2932" s="6" t="s">
        <v>243</v>
      </c>
      <c r="BE2932" s="5" t="s">
        <v>251</v>
      </c>
      <c r="BF2932" s="5" t="s">
        <v>252</v>
      </c>
      <c r="BG2932" s="5" t="s">
        <v>238</v>
      </c>
      <c r="BH2932" s="7">
        <f>0</f>
        <v>0</v>
      </c>
      <c r="BI2932" s="8">
        <f>0</f>
        <v>0</v>
      </c>
      <c r="BJ2932" s="5" t="s">
        <v>253</v>
      </c>
      <c r="BK2932" s="5" t="s">
        <v>254</v>
      </c>
      <c r="BY2932" s="5" t="s">
        <v>238</v>
      </c>
      <c r="BZ2932" s="5" t="s">
        <v>238</v>
      </c>
      <c r="CD2932" s="5" t="s">
        <v>273</v>
      </c>
      <c r="CE2932" s="5" t="s">
        <v>256</v>
      </c>
      <c r="CF2932" s="5" t="s">
        <v>238</v>
      </c>
      <c r="CI2932" s="6" t="s">
        <v>257</v>
      </c>
      <c r="CJ2932" s="5" t="s">
        <v>238</v>
      </c>
      <c r="CK2932" s="5" t="s">
        <v>258</v>
      </c>
      <c r="CL2932" s="5" t="s">
        <v>238</v>
      </c>
      <c r="CM2932" s="5" t="s">
        <v>238</v>
      </c>
      <c r="CN2932" s="5">
        <v>0</v>
      </c>
      <c r="CO2932" s="5" t="s">
        <v>259</v>
      </c>
      <c r="CP2932" s="5" t="s">
        <v>260</v>
      </c>
      <c r="CQ2932" s="5" t="s">
        <v>260</v>
      </c>
      <c r="CR2932" s="5" t="s">
        <v>261</v>
      </c>
      <c r="CU2932" s="8">
        <f>1</f>
        <v>1</v>
      </c>
      <c r="CV2932" s="8">
        <f>0</f>
        <v>0</v>
      </c>
      <c r="CX2932" s="8">
        <f>0</f>
        <v>0</v>
      </c>
      <c r="CY2932" s="8">
        <f>1</f>
        <v>1</v>
      </c>
      <c r="DA2932" s="5" t="s">
        <v>274</v>
      </c>
      <c r="DB2932" s="5" t="s">
        <v>238</v>
      </c>
      <c r="DD2932" s="5" t="s">
        <v>274</v>
      </c>
      <c r="DE2932" s="8">
        <f>32</f>
        <v>32</v>
      </c>
      <c r="DG2932" s="5" t="s">
        <v>238</v>
      </c>
      <c r="DH2932" s="5" t="s">
        <v>238</v>
      </c>
      <c r="DI2932" s="5" t="s">
        <v>238</v>
      </c>
      <c r="DJ2932" s="5" t="s">
        <v>238</v>
      </c>
      <c r="DN2932" s="5" t="s">
        <v>238</v>
      </c>
      <c r="DO2932" s="5" t="s">
        <v>238</v>
      </c>
      <c r="DP2932" s="5" t="s">
        <v>238</v>
      </c>
      <c r="DQ2932" s="5" t="s">
        <v>238</v>
      </c>
      <c r="DT2932" s="5" t="s">
        <v>275</v>
      </c>
      <c r="DU2932" s="5" t="s">
        <v>3734</v>
      </c>
      <c r="HM2932" s="5" t="s">
        <v>264</v>
      </c>
    </row>
    <row r="2933" spans="1:221" x14ac:dyDescent="0.4">
      <c r="A2933" s="5">
        <v>4637</v>
      </c>
      <c r="B2933" s="5">
        <v>1</v>
      </c>
      <c r="C2933" s="5">
        <v>1</v>
      </c>
      <c r="D2933" s="5" t="s">
        <v>269</v>
      </c>
      <c r="E2933" s="5" t="s">
        <v>271</v>
      </c>
      <c r="F2933" s="5" t="s">
        <v>248</v>
      </c>
      <c r="G2933" s="5" t="s">
        <v>266</v>
      </c>
      <c r="H2933" s="6" t="s">
        <v>989</v>
      </c>
      <c r="I2933" s="7">
        <f>235</f>
        <v>235</v>
      </c>
      <c r="J2933" s="5" t="s">
        <v>262</v>
      </c>
      <c r="K2933" s="8">
        <f>1</f>
        <v>1</v>
      </c>
      <c r="L2933" s="6" t="s">
        <v>242</v>
      </c>
      <c r="M2933" s="5" t="s">
        <v>267</v>
      </c>
      <c r="N2933" s="5" t="s">
        <v>265</v>
      </c>
      <c r="O2933" s="5" t="s">
        <v>238</v>
      </c>
      <c r="P2933" s="5" t="s">
        <v>238</v>
      </c>
      <c r="Q2933" s="5" t="s">
        <v>268</v>
      </c>
      <c r="R2933" s="5" t="s">
        <v>270</v>
      </c>
      <c r="S2933" s="5" t="s">
        <v>238</v>
      </c>
      <c r="V2933" s="5" t="s">
        <v>238</v>
      </c>
      <c r="X2933" s="6" t="s">
        <v>238</v>
      </c>
      <c r="AA2933" s="6" t="s">
        <v>243</v>
      </c>
      <c r="AB2933" s="5" t="s">
        <v>238</v>
      </c>
      <c r="AC2933" s="5" t="s">
        <v>244</v>
      </c>
      <c r="AD2933" s="5" t="s">
        <v>245</v>
      </c>
      <c r="AT2933" s="5" t="s">
        <v>246</v>
      </c>
      <c r="AU2933" s="5" t="s">
        <v>238</v>
      </c>
      <c r="AV2933" s="5" t="s">
        <v>247</v>
      </c>
      <c r="AW2933" s="5" t="s">
        <v>238</v>
      </c>
      <c r="AX2933" s="5" t="s">
        <v>249</v>
      </c>
      <c r="AY2933" s="5" t="s">
        <v>238</v>
      </c>
      <c r="BA2933" s="5" t="s">
        <v>238</v>
      </c>
      <c r="BC2933" s="5" t="s">
        <v>250</v>
      </c>
      <c r="BD2933" s="6" t="s">
        <v>243</v>
      </c>
      <c r="BE2933" s="5" t="s">
        <v>251</v>
      </c>
      <c r="BF2933" s="5" t="s">
        <v>252</v>
      </c>
      <c r="BG2933" s="5" t="s">
        <v>238</v>
      </c>
      <c r="BH2933" s="7">
        <f>0</f>
        <v>0</v>
      </c>
      <c r="BI2933" s="8">
        <f>0</f>
        <v>0</v>
      </c>
      <c r="BJ2933" s="5" t="s">
        <v>253</v>
      </c>
      <c r="BK2933" s="5" t="s">
        <v>254</v>
      </c>
      <c r="BY2933" s="5" t="s">
        <v>238</v>
      </c>
      <c r="BZ2933" s="5" t="s">
        <v>238</v>
      </c>
      <c r="CD2933" s="5" t="s">
        <v>273</v>
      </c>
      <c r="CE2933" s="5" t="s">
        <v>256</v>
      </c>
      <c r="CF2933" s="5" t="s">
        <v>238</v>
      </c>
      <c r="CI2933" s="6" t="s">
        <v>257</v>
      </c>
      <c r="CJ2933" s="5" t="s">
        <v>238</v>
      </c>
      <c r="CK2933" s="5" t="s">
        <v>258</v>
      </c>
      <c r="CL2933" s="5" t="s">
        <v>238</v>
      </c>
      <c r="CM2933" s="5" t="s">
        <v>238</v>
      </c>
      <c r="CN2933" s="5">
        <v>0</v>
      </c>
      <c r="CO2933" s="5" t="s">
        <v>259</v>
      </c>
      <c r="CP2933" s="5" t="s">
        <v>260</v>
      </c>
      <c r="CQ2933" s="5" t="s">
        <v>260</v>
      </c>
      <c r="CR2933" s="5" t="s">
        <v>261</v>
      </c>
      <c r="CU2933" s="8">
        <f>1</f>
        <v>1</v>
      </c>
      <c r="CV2933" s="8">
        <f>0</f>
        <v>0</v>
      </c>
      <c r="CX2933" s="8">
        <f>0</f>
        <v>0</v>
      </c>
      <c r="CY2933" s="8">
        <f>1</f>
        <v>1</v>
      </c>
      <c r="DA2933" s="5" t="s">
        <v>274</v>
      </c>
      <c r="DB2933" s="5" t="s">
        <v>238</v>
      </c>
      <c r="DD2933" s="5" t="s">
        <v>274</v>
      </c>
      <c r="DE2933" s="8">
        <f>235</f>
        <v>235</v>
      </c>
      <c r="DG2933" s="5" t="s">
        <v>238</v>
      </c>
      <c r="DH2933" s="5" t="s">
        <v>238</v>
      </c>
      <c r="DI2933" s="5" t="s">
        <v>238</v>
      </c>
      <c r="DJ2933" s="5" t="s">
        <v>238</v>
      </c>
      <c r="DN2933" s="5" t="s">
        <v>238</v>
      </c>
      <c r="DO2933" s="5" t="s">
        <v>238</v>
      </c>
      <c r="DP2933" s="5" t="s">
        <v>238</v>
      </c>
      <c r="DQ2933" s="5" t="s">
        <v>238</v>
      </c>
      <c r="DT2933" s="5" t="s">
        <v>275</v>
      </c>
      <c r="DU2933" s="5" t="s">
        <v>990</v>
      </c>
      <c r="HM2933" s="5" t="s">
        <v>264</v>
      </c>
    </row>
    <row r="2934" spans="1:221" x14ac:dyDescent="0.4">
      <c r="A2934" s="5">
        <v>4638</v>
      </c>
      <c r="B2934" s="5">
        <v>1</v>
      </c>
      <c r="C2934" s="5">
        <v>1</v>
      </c>
      <c r="D2934" s="5" t="s">
        <v>269</v>
      </c>
      <c r="E2934" s="5" t="s">
        <v>271</v>
      </c>
      <c r="F2934" s="5" t="s">
        <v>248</v>
      </c>
      <c r="G2934" s="5" t="s">
        <v>266</v>
      </c>
      <c r="H2934" s="6" t="s">
        <v>3951</v>
      </c>
      <c r="I2934" s="7">
        <f>1547</f>
        <v>1547</v>
      </c>
      <c r="J2934" s="5" t="s">
        <v>262</v>
      </c>
      <c r="K2934" s="8">
        <f>1</f>
        <v>1</v>
      </c>
      <c r="L2934" s="6" t="s">
        <v>242</v>
      </c>
      <c r="M2934" s="5" t="s">
        <v>267</v>
      </c>
      <c r="N2934" s="5" t="s">
        <v>265</v>
      </c>
      <c r="O2934" s="5" t="s">
        <v>238</v>
      </c>
      <c r="P2934" s="5" t="s">
        <v>238</v>
      </c>
      <c r="Q2934" s="5" t="s">
        <v>268</v>
      </c>
      <c r="R2934" s="5" t="s">
        <v>270</v>
      </c>
      <c r="S2934" s="5" t="s">
        <v>238</v>
      </c>
      <c r="V2934" s="5" t="s">
        <v>238</v>
      </c>
      <c r="X2934" s="6" t="s">
        <v>238</v>
      </c>
      <c r="AA2934" s="6" t="s">
        <v>243</v>
      </c>
      <c r="AB2934" s="5" t="s">
        <v>238</v>
      </c>
      <c r="AC2934" s="5" t="s">
        <v>244</v>
      </c>
      <c r="AD2934" s="5" t="s">
        <v>245</v>
      </c>
      <c r="AT2934" s="5" t="s">
        <v>246</v>
      </c>
      <c r="AU2934" s="5" t="s">
        <v>238</v>
      </c>
      <c r="AV2934" s="5" t="s">
        <v>247</v>
      </c>
      <c r="AW2934" s="5" t="s">
        <v>238</v>
      </c>
      <c r="AX2934" s="5" t="s">
        <v>249</v>
      </c>
      <c r="AY2934" s="5" t="s">
        <v>238</v>
      </c>
      <c r="BA2934" s="5" t="s">
        <v>238</v>
      </c>
      <c r="BC2934" s="5" t="s">
        <v>250</v>
      </c>
      <c r="BD2934" s="6" t="s">
        <v>243</v>
      </c>
      <c r="BE2934" s="5" t="s">
        <v>251</v>
      </c>
      <c r="BF2934" s="5" t="s">
        <v>252</v>
      </c>
      <c r="BG2934" s="5" t="s">
        <v>238</v>
      </c>
      <c r="BH2934" s="7">
        <f>0</f>
        <v>0</v>
      </c>
      <c r="BI2934" s="8">
        <f>0</f>
        <v>0</v>
      </c>
      <c r="BJ2934" s="5" t="s">
        <v>253</v>
      </c>
      <c r="BK2934" s="5" t="s">
        <v>254</v>
      </c>
      <c r="BY2934" s="5" t="s">
        <v>238</v>
      </c>
      <c r="BZ2934" s="5" t="s">
        <v>238</v>
      </c>
      <c r="CD2934" s="5" t="s">
        <v>273</v>
      </c>
      <c r="CE2934" s="5" t="s">
        <v>256</v>
      </c>
      <c r="CF2934" s="5" t="s">
        <v>238</v>
      </c>
      <c r="CI2934" s="6" t="s">
        <v>257</v>
      </c>
      <c r="CJ2934" s="5" t="s">
        <v>238</v>
      </c>
      <c r="CK2934" s="5" t="s">
        <v>258</v>
      </c>
      <c r="CL2934" s="5" t="s">
        <v>238</v>
      </c>
      <c r="CM2934" s="5" t="s">
        <v>238</v>
      </c>
      <c r="CN2934" s="5">
        <v>0</v>
      </c>
      <c r="CO2934" s="5" t="s">
        <v>259</v>
      </c>
      <c r="CP2934" s="5" t="s">
        <v>260</v>
      </c>
      <c r="CQ2934" s="5" t="s">
        <v>260</v>
      </c>
      <c r="CR2934" s="5" t="s">
        <v>261</v>
      </c>
      <c r="CU2934" s="8">
        <f>1</f>
        <v>1</v>
      </c>
      <c r="CV2934" s="8">
        <f>0</f>
        <v>0</v>
      </c>
      <c r="CX2934" s="8">
        <f>0</f>
        <v>0</v>
      </c>
      <c r="CY2934" s="8">
        <f>1</f>
        <v>1</v>
      </c>
      <c r="DA2934" s="5" t="s">
        <v>274</v>
      </c>
      <c r="DB2934" s="5" t="s">
        <v>238</v>
      </c>
      <c r="DD2934" s="5" t="s">
        <v>274</v>
      </c>
      <c r="DE2934" s="8">
        <f>1547</f>
        <v>1547</v>
      </c>
      <c r="DG2934" s="5" t="s">
        <v>238</v>
      </c>
      <c r="DH2934" s="5" t="s">
        <v>238</v>
      </c>
      <c r="DI2934" s="5" t="s">
        <v>238</v>
      </c>
      <c r="DJ2934" s="5" t="s">
        <v>238</v>
      </c>
      <c r="DN2934" s="5" t="s">
        <v>238</v>
      </c>
      <c r="DO2934" s="5" t="s">
        <v>238</v>
      </c>
      <c r="DP2934" s="5" t="s">
        <v>238</v>
      </c>
      <c r="DQ2934" s="5" t="s">
        <v>238</v>
      </c>
      <c r="DT2934" s="5" t="s">
        <v>275</v>
      </c>
      <c r="DU2934" s="5" t="s">
        <v>3756</v>
      </c>
      <c r="HM2934" s="5" t="s">
        <v>264</v>
      </c>
    </row>
    <row r="2935" spans="1:221" x14ac:dyDescent="0.4">
      <c r="A2935" s="5">
        <v>4639</v>
      </c>
      <c r="B2935" s="5">
        <v>1</v>
      </c>
      <c r="C2935" s="5">
        <v>1</v>
      </c>
      <c r="D2935" s="5" t="s">
        <v>269</v>
      </c>
      <c r="E2935" s="5" t="s">
        <v>271</v>
      </c>
      <c r="F2935" s="5" t="s">
        <v>248</v>
      </c>
      <c r="G2935" s="5" t="s">
        <v>266</v>
      </c>
      <c r="H2935" s="6" t="s">
        <v>3952</v>
      </c>
      <c r="I2935" s="7">
        <f>465</f>
        <v>465</v>
      </c>
      <c r="J2935" s="5" t="s">
        <v>262</v>
      </c>
      <c r="K2935" s="8">
        <f>1</f>
        <v>1</v>
      </c>
      <c r="L2935" s="6" t="s">
        <v>242</v>
      </c>
      <c r="M2935" s="5" t="s">
        <v>267</v>
      </c>
      <c r="N2935" s="5" t="s">
        <v>265</v>
      </c>
      <c r="O2935" s="5" t="s">
        <v>238</v>
      </c>
      <c r="P2935" s="5" t="s">
        <v>238</v>
      </c>
      <c r="Q2935" s="5" t="s">
        <v>268</v>
      </c>
      <c r="R2935" s="5" t="s">
        <v>270</v>
      </c>
      <c r="S2935" s="5" t="s">
        <v>238</v>
      </c>
      <c r="V2935" s="5" t="s">
        <v>238</v>
      </c>
      <c r="X2935" s="6" t="s">
        <v>238</v>
      </c>
      <c r="AA2935" s="6" t="s">
        <v>243</v>
      </c>
      <c r="AB2935" s="5" t="s">
        <v>238</v>
      </c>
      <c r="AC2935" s="5" t="s">
        <v>244</v>
      </c>
      <c r="AD2935" s="5" t="s">
        <v>245</v>
      </c>
      <c r="AT2935" s="5" t="s">
        <v>246</v>
      </c>
      <c r="AU2935" s="5" t="s">
        <v>238</v>
      </c>
      <c r="AV2935" s="5" t="s">
        <v>247</v>
      </c>
      <c r="AW2935" s="5" t="s">
        <v>238</v>
      </c>
      <c r="AX2935" s="5" t="s">
        <v>249</v>
      </c>
      <c r="AY2935" s="5" t="s">
        <v>238</v>
      </c>
      <c r="BA2935" s="5" t="s">
        <v>238</v>
      </c>
      <c r="BC2935" s="5" t="s">
        <v>250</v>
      </c>
      <c r="BD2935" s="6" t="s">
        <v>243</v>
      </c>
      <c r="BE2935" s="5" t="s">
        <v>251</v>
      </c>
      <c r="BF2935" s="5" t="s">
        <v>252</v>
      </c>
      <c r="BG2935" s="5" t="s">
        <v>238</v>
      </c>
      <c r="BH2935" s="7">
        <f>0</f>
        <v>0</v>
      </c>
      <c r="BI2935" s="8">
        <f>0</f>
        <v>0</v>
      </c>
      <c r="BJ2935" s="5" t="s">
        <v>253</v>
      </c>
      <c r="BK2935" s="5" t="s">
        <v>254</v>
      </c>
      <c r="BY2935" s="5" t="s">
        <v>238</v>
      </c>
      <c r="BZ2935" s="5" t="s">
        <v>238</v>
      </c>
      <c r="CD2935" s="5" t="s">
        <v>273</v>
      </c>
      <c r="CE2935" s="5" t="s">
        <v>256</v>
      </c>
      <c r="CF2935" s="5" t="s">
        <v>238</v>
      </c>
      <c r="CI2935" s="6" t="s">
        <v>257</v>
      </c>
      <c r="CJ2935" s="5" t="s">
        <v>238</v>
      </c>
      <c r="CK2935" s="5" t="s">
        <v>258</v>
      </c>
      <c r="CL2935" s="5" t="s">
        <v>238</v>
      </c>
      <c r="CM2935" s="5" t="s">
        <v>238</v>
      </c>
      <c r="CN2935" s="5">
        <v>0</v>
      </c>
      <c r="CO2935" s="5" t="s">
        <v>259</v>
      </c>
      <c r="CP2935" s="5" t="s">
        <v>260</v>
      </c>
      <c r="CQ2935" s="5" t="s">
        <v>260</v>
      </c>
      <c r="CR2935" s="5" t="s">
        <v>261</v>
      </c>
      <c r="CU2935" s="8">
        <f>1</f>
        <v>1</v>
      </c>
      <c r="CV2935" s="8">
        <f>0</f>
        <v>0</v>
      </c>
      <c r="CX2935" s="8">
        <f>0</f>
        <v>0</v>
      </c>
      <c r="CY2935" s="8">
        <f>1</f>
        <v>1</v>
      </c>
      <c r="DA2935" s="5" t="s">
        <v>274</v>
      </c>
      <c r="DB2935" s="5" t="s">
        <v>238</v>
      </c>
      <c r="DD2935" s="5" t="s">
        <v>274</v>
      </c>
      <c r="DE2935" s="8">
        <f>465</f>
        <v>465</v>
      </c>
      <c r="DG2935" s="5" t="s">
        <v>238</v>
      </c>
      <c r="DH2935" s="5" t="s">
        <v>238</v>
      </c>
      <c r="DI2935" s="5" t="s">
        <v>238</v>
      </c>
      <c r="DJ2935" s="5" t="s">
        <v>238</v>
      </c>
      <c r="DN2935" s="5" t="s">
        <v>238</v>
      </c>
      <c r="DO2935" s="5" t="s">
        <v>238</v>
      </c>
      <c r="DP2935" s="5" t="s">
        <v>238</v>
      </c>
      <c r="DQ2935" s="5" t="s">
        <v>238</v>
      </c>
      <c r="DT2935" s="5" t="s">
        <v>275</v>
      </c>
      <c r="DU2935" s="5" t="s">
        <v>3754</v>
      </c>
      <c r="HM2935" s="5" t="s">
        <v>264</v>
      </c>
    </row>
    <row r="2936" spans="1:221" x14ac:dyDescent="0.4">
      <c r="A2936" s="5">
        <v>4640</v>
      </c>
      <c r="B2936" s="5">
        <v>1</v>
      </c>
      <c r="C2936" s="5">
        <v>1</v>
      </c>
      <c r="D2936" s="5" t="s">
        <v>269</v>
      </c>
      <c r="E2936" s="5" t="s">
        <v>271</v>
      </c>
      <c r="F2936" s="5" t="s">
        <v>248</v>
      </c>
      <c r="G2936" s="5" t="s">
        <v>266</v>
      </c>
      <c r="H2936" s="6" t="s">
        <v>3954</v>
      </c>
      <c r="I2936" s="7">
        <f>442</f>
        <v>442</v>
      </c>
      <c r="J2936" s="5" t="s">
        <v>262</v>
      </c>
      <c r="K2936" s="8">
        <f>1</f>
        <v>1</v>
      </c>
      <c r="L2936" s="6" t="s">
        <v>242</v>
      </c>
      <c r="M2936" s="5" t="s">
        <v>267</v>
      </c>
      <c r="N2936" s="5" t="s">
        <v>265</v>
      </c>
      <c r="O2936" s="5" t="s">
        <v>238</v>
      </c>
      <c r="P2936" s="5" t="s">
        <v>238</v>
      </c>
      <c r="Q2936" s="5" t="s">
        <v>268</v>
      </c>
      <c r="R2936" s="5" t="s">
        <v>270</v>
      </c>
      <c r="S2936" s="5" t="s">
        <v>238</v>
      </c>
      <c r="V2936" s="5" t="s">
        <v>238</v>
      </c>
      <c r="X2936" s="6" t="s">
        <v>238</v>
      </c>
      <c r="AA2936" s="6" t="s">
        <v>243</v>
      </c>
      <c r="AB2936" s="5" t="s">
        <v>238</v>
      </c>
      <c r="AC2936" s="5" t="s">
        <v>244</v>
      </c>
      <c r="AD2936" s="5" t="s">
        <v>245</v>
      </c>
      <c r="AT2936" s="5" t="s">
        <v>246</v>
      </c>
      <c r="AU2936" s="5" t="s">
        <v>238</v>
      </c>
      <c r="AV2936" s="5" t="s">
        <v>247</v>
      </c>
      <c r="AW2936" s="5" t="s">
        <v>238</v>
      </c>
      <c r="AX2936" s="5" t="s">
        <v>249</v>
      </c>
      <c r="AY2936" s="5" t="s">
        <v>238</v>
      </c>
      <c r="BA2936" s="5" t="s">
        <v>238</v>
      </c>
      <c r="BC2936" s="5" t="s">
        <v>250</v>
      </c>
      <c r="BD2936" s="6" t="s">
        <v>243</v>
      </c>
      <c r="BE2936" s="5" t="s">
        <v>251</v>
      </c>
      <c r="BF2936" s="5" t="s">
        <v>252</v>
      </c>
      <c r="BG2936" s="5" t="s">
        <v>238</v>
      </c>
      <c r="BH2936" s="7">
        <f>0</f>
        <v>0</v>
      </c>
      <c r="BI2936" s="8">
        <f>0</f>
        <v>0</v>
      </c>
      <c r="BJ2936" s="5" t="s">
        <v>253</v>
      </c>
      <c r="BK2936" s="5" t="s">
        <v>254</v>
      </c>
      <c r="BY2936" s="5" t="s">
        <v>238</v>
      </c>
      <c r="BZ2936" s="5" t="s">
        <v>238</v>
      </c>
      <c r="CD2936" s="5" t="s">
        <v>273</v>
      </c>
      <c r="CE2936" s="5" t="s">
        <v>256</v>
      </c>
      <c r="CF2936" s="5" t="s">
        <v>238</v>
      </c>
      <c r="CI2936" s="6" t="s">
        <v>257</v>
      </c>
      <c r="CJ2936" s="5" t="s">
        <v>238</v>
      </c>
      <c r="CK2936" s="5" t="s">
        <v>258</v>
      </c>
      <c r="CL2936" s="5" t="s">
        <v>238</v>
      </c>
      <c r="CM2936" s="5" t="s">
        <v>238</v>
      </c>
      <c r="CN2936" s="5">
        <v>0</v>
      </c>
      <c r="CO2936" s="5" t="s">
        <v>259</v>
      </c>
      <c r="CP2936" s="5" t="s">
        <v>260</v>
      </c>
      <c r="CQ2936" s="5" t="s">
        <v>260</v>
      </c>
      <c r="CR2936" s="5" t="s">
        <v>261</v>
      </c>
      <c r="CU2936" s="8">
        <f>1</f>
        <v>1</v>
      </c>
      <c r="CV2936" s="8">
        <f>0</f>
        <v>0</v>
      </c>
      <c r="CX2936" s="8">
        <f>0</f>
        <v>0</v>
      </c>
      <c r="CY2936" s="8">
        <f>1</f>
        <v>1</v>
      </c>
      <c r="DA2936" s="5" t="s">
        <v>274</v>
      </c>
      <c r="DB2936" s="5" t="s">
        <v>238</v>
      </c>
      <c r="DD2936" s="5" t="s">
        <v>274</v>
      </c>
      <c r="DE2936" s="8">
        <f>442</f>
        <v>442</v>
      </c>
      <c r="DG2936" s="5" t="s">
        <v>238</v>
      </c>
      <c r="DH2936" s="5" t="s">
        <v>238</v>
      </c>
      <c r="DI2936" s="5" t="s">
        <v>238</v>
      </c>
      <c r="DJ2936" s="5" t="s">
        <v>238</v>
      </c>
      <c r="DN2936" s="5" t="s">
        <v>238</v>
      </c>
      <c r="DO2936" s="5" t="s">
        <v>238</v>
      </c>
      <c r="DP2936" s="5" t="s">
        <v>238</v>
      </c>
      <c r="DQ2936" s="5" t="s">
        <v>238</v>
      </c>
      <c r="DT2936" s="5" t="s">
        <v>275</v>
      </c>
      <c r="DU2936" s="5" t="s">
        <v>3808</v>
      </c>
      <c r="HM2936" s="5" t="s">
        <v>264</v>
      </c>
    </row>
    <row r="2937" spans="1:221" x14ac:dyDescent="0.4">
      <c r="A2937" s="5">
        <v>4641</v>
      </c>
      <c r="B2937" s="5">
        <v>1</v>
      </c>
      <c r="C2937" s="5">
        <v>1</v>
      </c>
      <c r="D2937" s="5" t="s">
        <v>269</v>
      </c>
      <c r="E2937" s="5" t="s">
        <v>271</v>
      </c>
      <c r="F2937" s="5" t="s">
        <v>248</v>
      </c>
      <c r="G2937" s="5" t="s">
        <v>266</v>
      </c>
      <c r="H2937" s="6" t="s">
        <v>3953</v>
      </c>
      <c r="I2937" s="7">
        <f>987</f>
        <v>987</v>
      </c>
      <c r="J2937" s="5" t="s">
        <v>262</v>
      </c>
      <c r="K2937" s="8">
        <f>1</f>
        <v>1</v>
      </c>
      <c r="L2937" s="6" t="s">
        <v>242</v>
      </c>
      <c r="M2937" s="5" t="s">
        <v>267</v>
      </c>
      <c r="N2937" s="5" t="s">
        <v>265</v>
      </c>
      <c r="O2937" s="5" t="s">
        <v>238</v>
      </c>
      <c r="P2937" s="5" t="s">
        <v>238</v>
      </c>
      <c r="Q2937" s="5" t="s">
        <v>268</v>
      </c>
      <c r="R2937" s="5" t="s">
        <v>270</v>
      </c>
      <c r="S2937" s="5" t="s">
        <v>238</v>
      </c>
      <c r="V2937" s="5" t="s">
        <v>238</v>
      </c>
      <c r="X2937" s="6" t="s">
        <v>238</v>
      </c>
      <c r="AA2937" s="6" t="s">
        <v>243</v>
      </c>
      <c r="AB2937" s="5" t="s">
        <v>238</v>
      </c>
      <c r="AC2937" s="5" t="s">
        <v>244</v>
      </c>
      <c r="AD2937" s="5" t="s">
        <v>245</v>
      </c>
      <c r="AT2937" s="5" t="s">
        <v>246</v>
      </c>
      <c r="AU2937" s="5" t="s">
        <v>238</v>
      </c>
      <c r="AV2937" s="5" t="s">
        <v>247</v>
      </c>
      <c r="AW2937" s="5" t="s">
        <v>238</v>
      </c>
      <c r="AX2937" s="5" t="s">
        <v>249</v>
      </c>
      <c r="AY2937" s="5" t="s">
        <v>238</v>
      </c>
      <c r="BA2937" s="5" t="s">
        <v>238</v>
      </c>
      <c r="BC2937" s="5" t="s">
        <v>250</v>
      </c>
      <c r="BD2937" s="6" t="s">
        <v>243</v>
      </c>
      <c r="BE2937" s="5" t="s">
        <v>251</v>
      </c>
      <c r="BF2937" s="5" t="s">
        <v>252</v>
      </c>
      <c r="BG2937" s="5" t="s">
        <v>238</v>
      </c>
      <c r="BH2937" s="7">
        <f>0</f>
        <v>0</v>
      </c>
      <c r="BI2937" s="8">
        <f>0</f>
        <v>0</v>
      </c>
      <c r="BJ2937" s="5" t="s">
        <v>253</v>
      </c>
      <c r="BK2937" s="5" t="s">
        <v>254</v>
      </c>
      <c r="BY2937" s="5" t="s">
        <v>238</v>
      </c>
      <c r="BZ2937" s="5" t="s">
        <v>238</v>
      </c>
      <c r="CD2937" s="5" t="s">
        <v>273</v>
      </c>
      <c r="CE2937" s="5" t="s">
        <v>256</v>
      </c>
      <c r="CF2937" s="5" t="s">
        <v>238</v>
      </c>
      <c r="CI2937" s="6" t="s">
        <v>257</v>
      </c>
      <c r="CJ2937" s="5" t="s">
        <v>238</v>
      </c>
      <c r="CK2937" s="5" t="s">
        <v>258</v>
      </c>
      <c r="CL2937" s="5" t="s">
        <v>238</v>
      </c>
      <c r="CM2937" s="5" t="s">
        <v>238</v>
      </c>
      <c r="CN2937" s="5">
        <v>0</v>
      </c>
      <c r="CO2937" s="5" t="s">
        <v>259</v>
      </c>
      <c r="CP2937" s="5" t="s">
        <v>260</v>
      </c>
      <c r="CQ2937" s="5" t="s">
        <v>260</v>
      </c>
      <c r="CR2937" s="5" t="s">
        <v>261</v>
      </c>
      <c r="CU2937" s="8">
        <f>1</f>
        <v>1</v>
      </c>
      <c r="CV2937" s="8">
        <f>0</f>
        <v>0</v>
      </c>
      <c r="CX2937" s="8">
        <f>0</f>
        <v>0</v>
      </c>
      <c r="CY2937" s="8">
        <f>1</f>
        <v>1</v>
      </c>
      <c r="DA2937" s="5" t="s">
        <v>274</v>
      </c>
      <c r="DB2937" s="5" t="s">
        <v>238</v>
      </c>
      <c r="DD2937" s="5" t="s">
        <v>274</v>
      </c>
      <c r="DE2937" s="8">
        <f>987</f>
        <v>987</v>
      </c>
      <c r="DG2937" s="5" t="s">
        <v>238</v>
      </c>
      <c r="DH2937" s="5" t="s">
        <v>238</v>
      </c>
      <c r="DI2937" s="5" t="s">
        <v>238</v>
      </c>
      <c r="DJ2937" s="5" t="s">
        <v>238</v>
      </c>
      <c r="DN2937" s="5" t="s">
        <v>238</v>
      </c>
      <c r="DO2937" s="5" t="s">
        <v>238</v>
      </c>
      <c r="DP2937" s="5" t="s">
        <v>238</v>
      </c>
      <c r="DQ2937" s="5" t="s">
        <v>238</v>
      </c>
      <c r="DT2937" s="5" t="s">
        <v>275</v>
      </c>
      <c r="DU2937" s="5" t="s">
        <v>3832</v>
      </c>
      <c r="HM2937" s="5" t="s">
        <v>264</v>
      </c>
    </row>
    <row r="2938" spans="1:221" x14ac:dyDescent="0.4">
      <c r="A2938" s="5">
        <v>4642</v>
      </c>
      <c r="B2938" s="5">
        <v>1</v>
      </c>
      <c r="C2938" s="5">
        <v>1</v>
      </c>
      <c r="D2938" s="5" t="s">
        <v>269</v>
      </c>
      <c r="E2938" s="5" t="s">
        <v>271</v>
      </c>
      <c r="F2938" s="5" t="s">
        <v>248</v>
      </c>
      <c r="G2938" s="5" t="s">
        <v>266</v>
      </c>
      <c r="H2938" s="6" t="s">
        <v>3956</v>
      </c>
      <c r="I2938" s="7">
        <f>536</f>
        <v>536</v>
      </c>
      <c r="J2938" s="5" t="s">
        <v>262</v>
      </c>
      <c r="K2938" s="8">
        <f>1</f>
        <v>1</v>
      </c>
      <c r="L2938" s="6" t="s">
        <v>242</v>
      </c>
      <c r="M2938" s="5" t="s">
        <v>267</v>
      </c>
      <c r="N2938" s="5" t="s">
        <v>265</v>
      </c>
      <c r="O2938" s="5" t="s">
        <v>238</v>
      </c>
      <c r="P2938" s="5" t="s">
        <v>238</v>
      </c>
      <c r="Q2938" s="5" t="s">
        <v>268</v>
      </c>
      <c r="R2938" s="5" t="s">
        <v>270</v>
      </c>
      <c r="S2938" s="5" t="s">
        <v>238</v>
      </c>
      <c r="V2938" s="5" t="s">
        <v>238</v>
      </c>
      <c r="X2938" s="6" t="s">
        <v>238</v>
      </c>
      <c r="AA2938" s="6" t="s">
        <v>243</v>
      </c>
      <c r="AB2938" s="5" t="s">
        <v>238</v>
      </c>
      <c r="AC2938" s="5" t="s">
        <v>244</v>
      </c>
      <c r="AD2938" s="5" t="s">
        <v>245</v>
      </c>
      <c r="AT2938" s="5" t="s">
        <v>246</v>
      </c>
      <c r="AU2938" s="5" t="s">
        <v>238</v>
      </c>
      <c r="AV2938" s="5" t="s">
        <v>247</v>
      </c>
      <c r="AW2938" s="5" t="s">
        <v>238</v>
      </c>
      <c r="AX2938" s="5" t="s">
        <v>249</v>
      </c>
      <c r="AY2938" s="5" t="s">
        <v>238</v>
      </c>
      <c r="BA2938" s="5" t="s">
        <v>238</v>
      </c>
      <c r="BC2938" s="5" t="s">
        <v>250</v>
      </c>
      <c r="BD2938" s="6" t="s">
        <v>243</v>
      </c>
      <c r="BE2938" s="5" t="s">
        <v>251</v>
      </c>
      <c r="BF2938" s="5" t="s">
        <v>252</v>
      </c>
      <c r="BG2938" s="5" t="s">
        <v>238</v>
      </c>
      <c r="BH2938" s="7">
        <f>0</f>
        <v>0</v>
      </c>
      <c r="BI2938" s="8">
        <f>0</f>
        <v>0</v>
      </c>
      <c r="BJ2938" s="5" t="s">
        <v>253</v>
      </c>
      <c r="BK2938" s="5" t="s">
        <v>254</v>
      </c>
      <c r="BY2938" s="5" t="s">
        <v>238</v>
      </c>
      <c r="BZ2938" s="5" t="s">
        <v>238</v>
      </c>
      <c r="CD2938" s="5" t="s">
        <v>273</v>
      </c>
      <c r="CE2938" s="5" t="s">
        <v>256</v>
      </c>
      <c r="CF2938" s="5" t="s">
        <v>238</v>
      </c>
      <c r="CI2938" s="6" t="s">
        <v>257</v>
      </c>
      <c r="CJ2938" s="5" t="s">
        <v>238</v>
      </c>
      <c r="CK2938" s="5" t="s">
        <v>258</v>
      </c>
      <c r="CL2938" s="5" t="s">
        <v>238</v>
      </c>
      <c r="CM2938" s="5" t="s">
        <v>238</v>
      </c>
      <c r="CN2938" s="5">
        <v>0</v>
      </c>
      <c r="CO2938" s="5" t="s">
        <v>259</v>
      </c>
      <c r="CP2938" s="5" t="s">
        <v>260</v>
      </c>
      <c r="CQ2938" s="5" t="s">
        <v>260</v>
      </c>
      <c r="CR2938" s="5" t="s">
        <v>261</v>
      </c>
      <c r="CU2938" s="8">
        <f>1</f>
        <v>1</v>
      </c>
      <c r="CV2938" s="8">
        <f>0</f>
        <v>0</v>
      </c>
      <c r="CX2938" s="8">
        <f>0</f>
        <v>0</v>
      </c>
      <c r="CY2938" s="8">
        <f>1</f>
        <v>1</v>
      </c>
      <c r="DA2938" s="5" t="s">
        <v>274</v>
      </c>
      <c r="DB2938" s="5" t="s">
        <v>238</v>
      </c>
      <c r="DD2938" s="5" t="s">
        <v>274</v>
      </c>
      <c r="DE2938" s="8">
        <f>536</f>
        <v>536</v>
      </c>
      <c r="DG2938" s="5" t="s">
        <v>238</v>
      </c>
      <c r="DH2938" s="5" t="s">
        <v>238</v>
      </c>
      <c r="DI2938" s="5" t="s">
        <v>238</v>
      </c>
      <c r="DJ2938" s="5" t="s">
        <v>238</v>
      </c>
      <c r="DN2938" s="5" t="s">
        <v>238</v>
      </c>
      <c r="DO2938" s="5" t="s">
        <v>238</v>
      </c>
      <c r="DP2938" s="5" t="s">
        <v>238</v>
      </c>
      <c r="DQ2938" s="5" t="s">
        <v>238</v>
      </c>
      <c r="DT2938" s="5" t="s">
        <v>275</v>
      </c>
      <c r="DU2938" s="5" t="s">
        <v>3820</v>
      </c>
      <c r="HM2938" s="5" t="s">
        <v>264</v>
      </c>
    </row>
    <row r="2939" spans="1:221" x14ac:dyDescent="0.4">
      <c r="A2939" s="5">
        <v>4643</v>
      </c>
      <c r="B2939" s="5">
        <v>1</v>
      </c>
      <c r="C2939" s="5">
        <v>1</v>
      </c>
      <c r="D2939" s="5" t="s">
        <v>269</v>
      </c>
      <c r="E2939" s="5" t="s">
        <v>271</v>
      </c>
      <c r="F2939" s="5" t="s">
        <v>248</v>
      </c>
      <c r="G2939" s="5" t="s">
        <v>266</v>
      </c>
      <c r="H2939" s="6" t="s">
        <v>3957</v>
      </c>
      <c r="I2939" s="7">
        <f>245</f>
        <v>245</v>
      </c>
      <c r="J2939" s="5" t="s">
        <v>262</v>
      </c>
      <c r="K2939" s="8">
        <f>1</f>
        <v>1</v>
      </c>
      <c r="L2939" s="6" t="s">
        <v>242</v>
      </c>
      <c r="M2939" s="5" t="s">
        <v>267</v>
      </c>
      <c r="N2939" s="5" t="s">
        <v>265</v>
      </c>
      <c r="O2939" s="5" t="s">
        <v>238</v>
      </c>
      <c r="P2939" s="5" t="s">
        <v>238</v>
      </c>
      <c r="Q2939" s="5" t="s">
        <v>268</v>
      </c>
      <c r="R2939" s="5" t="s">
        <v>270</v>
      </c>
      <c r="S2939" s="5" t="s">
        <v>238</v>
      </c>
      <c r="V2939" s="5" t="s">
        <v>238</v>
      </c>
      <c r="X2939" s="6" t="s">
        <v>238</v>
      </c>
      <c r="AA2939" s="6" t="s">
        <v>243</v>
      </c>
      <c r="AB2939" s="5" t="s">
        <v>238</v>
      </c>
      <c r="AC2939" s="5" t="s">
        <v>244</v>
      </c>
      <c r="AD2939" s="5" t="s">
        <v>245</v>
      </c>
      <c r="AT2939" s="5" t="s">
        <v>246</v>
      </c>
      <c r="AU2939" s="5" t="s">
        <v>238</v>
      </c>
      <c r="AV2939" s="5" t="s">
        <v>247</v>
      </c>
      <c r="AW2939" s="5" t="s">
        <v>238</v>
      </c>
      <c r="AX2939" s="5" t="s">
        <v>249</v>
      </c>
      <c r="AY2939" s="5" t="s">
        <v>238</v>
      </c>
      <c r="BA2939" s="5" t="s">
        <v>238</v>
      </c>
      <c r="BC2939" s="5" t="s">
        <v>250</v>
      </c>
      <c r="BD2939" s="6" t="s">
        <v>243</v>
      </c>
      <c r="BE2939" s="5" t="s">
        <v>251</v>
      </c>
      <c r="BF2939" s="5" t="s">
        <v>252</v>
      </c>
      <c r="BG2939" s="5" t="s">
        <v>238</v>
      </c>
      <c r="BH2939" s="7">
        <f>0</f>
        <v>0</v>
      </c>
      <c r="BI2939" s="8">
        <f>0</f>
        <v>0</v>
      </c>
      <c r="BJ2939" s="5" t="s">
        <v>253</v>
      </c>
      <c r="BK2939" s="5" t="s">
        <v>254</v>
      </c>
      <c r="BY2939" s="5" t="s">
        <v>238</v>
      </c>
      <c r="BZ2939" s="5" t="s">
        <v>238</v>
      </c>
      <c r="CD2939" s="5" t="s">
        <v>273</v>
      </c>
      <c r="CE2939" s="5" t="s">
        <v>256</v>
      </c>
      <c r="CF2939" s="5" t="s">
        <v>238</v>
      </c>
      <c r="CI2939" s="6" t="s">
        <v>257</v>
      </c>
      <c r="CJ2939" s="5" t="s">
        <v>238</v>
      </c>
      <c r="CK2939" s="5" t="s">
        <v>258</v>
      </c>
      <c r="CL2939" s="5" t="s">
        <v>238</v>
      </c>
      <c r="CM2939" s="5" t="s">
        <v>238</v>
      </c>
      <c r="CN2939" s="5">
        <v>0</v>
      </c>
      <c r="CO2939" s="5" t="s">
        <v>259</v>
      </c>
      <c r="CP2939" s="5" t="s">
        <v>260</v>
      </c>
      <c r="CQ2939" s="5" t="s">
        <v>260</v>
      </c>
      <c r="CR2939" s="5" t="s">
        <v>261</v>
      </c>
      <c r="CU2939" s="8">
        <f>1</f>
        <v>1</v>
      </c>
      <c r="CV2939" s="8">
        <f>0</f>
        <v>0</v>
      </c>
      <c r="CX2939" s="8">
        <f>0</f>
        <v>0</v>
      </c>
      <c r="CY2939" s="8">
        <f>1</f>
        <v>1</v>
      </c>
      <c r="DA2939" s="5" t="s">
        <v>274</v>
      </c>
      <c r="DB2939" s="5" t="s">
        <v>238</v>
      </c>
      <c r="DD2939" s="5" t="s">
        <v>274</v>
      </c>
      <c r="DE2939" s="8">
        <f>245</f>
        <v>245</v>
      </c>
      <c r="DG2939" s="5" t="s">
        <v>238</v>
      </c>
      <c r="DH2939" s="5" t="s">
        <v>238</v>
      </c>
      <c r="DI2939" s="5" t="s">
        <v>238</v>
      </c>
      <c r="DJ2939" s="5" t="s">
        <v>238</v>
      </c>
      <c r="DN2939" s="5" t="s">
        <v>238</v>
      </c>
      <c r="DO2939" s="5" t="s">
        <v>238</v>
      </c>
      <c r="DP2939" s="5" t="s">
        <v>238</v>
      </c>
      <c r="DQ2939" s="5" t="s">
        <v>238</v>
      </c>
      <c r="DT2939" s="5" t="s">
        <v>275</v>
      </c>
      <c r="DU2939" s="5" t="s">
        <v>3855</v>
      </c>
      <c r="HM2939" s="5" t="s">
        <v>264</v>
      </c>
    </row>
    <row r="2940" spans="1:221" x14ac:dyDescent="0.4">
      <c r="A2940" s="5">
        <v>4644</v>
      </c>
      <c r="B2940" s="5">
        <v>1</v>
      </c>
      <c r="C2940" s="5">
        <v>1</v>
      </c>
      <c r="D2940" s="5" t="s">
        <v>269</v>
      </c>
      <c r="E2940" s="5" t="s">
        <v>271</v>
      </c>
      <c r="F2940" s="5" t="s">
        <v>248</v>
      </c>
      <c r="G2940" s="5" t="s">
        <v>266</v>
      </c>
      <c r="H2940" s="6" t="s">
        <v>3959</v>
      </c>
      <c r="I2940" s="7">
        <f>319</f>
        <v>319</v>
      </c>
      <c r="J2940" s="5" t="s">
        <v>262</v>
      </c>
      <c r="K2940" s="8">
        <f>1</f>
        <v>1</v>
      </c>
      <c r="L2940" s="6" t="s">
        <v>242</v>
      </c>
      <c r="M2940" s="5" t="s">
        <v>267</v>
      </c>
      <c r="N2940" s="5" t="s">
        <v>265</v>
      </c>
      <c r="O2940" s="5" t="s">
        <v>238</v>
      </c>
      <c r="P2940" s="5" t="s">
        <v>238</v>
      </c>
      <c r="Q2940" s="5" t="s">
        <v>268</v>
      </c>
      <c r="R2940" s="5" t="s">
        <v>270</v>
      </c>
      <c r="S2940" s="5" t="s">
        <v>238</v>
      </c>
      <c r="V2940" s="5" t="s">
        <v>238</v>
      </c>
      <c r="X2940" s="6" t="s">
        <v>238</v>
      </c>
      <c r="AA2940" s="6" t="s">
        <v>243</v>
      </c>
      <c r="AB2940" s="5" t="s">
        <v>238</v>
      </c>
      <c r="AC2940" s="5" t="s">
        <v>244</v>
      </c>
      <c r="AD2940" s="5" t="s">
        <v>245</v>
      </c>
      <c r="AT2940" s="5" t="s">
        <v>246</v>
      </c>
      <c r="AU2940" s="5" t="s">
        <v>238</v>
      </c>
      <c r="AV2940" s="5" t="s">
        <v>247</v>
      </c>
      <c r="AW2940" s="5" t="s">
        <v>238</v>
      </c>
      <c r="AX2940" s="5" t="s">
        <v>249</v>
      </c>
      <c r="AY2940" s="5" t="s">
        <v>238</v>
      </c>
      <c r="BA2940" s="5" t="s">
        <v>238</v>
      </c>
      <c r="BC2940" s="5" t="s">
        <v>250</v>
      </c>
      <c r="BD2940" s="6" t="s">
        <v>243</v>
      </c>
      <c r="BE2940" s="5" t="s">
        <v>251</v>
      </c>
      <c r="BF2940" s="5" t="s">
        <v>252</v>
      </c>
      <c r="BG2940" s="5" t="s">
        <v>238</v>
      </c>
      <c r="BH2940" s="7">
        <f>0</f>
        <v>0</v>
      </c>
      <c r="BI2940" s="8">
        <f>0</f>
        <v>0</v>
      </c>
      <c r="BJ2940" s="5" t="s">
        <v>253</v>
      </c>
      <c r="BK2940" s="5" t="s">
        <v>254</v>
      </c>
      <c r="BY2940" s="5" t="s">
        <v>238</v>
      </c>
      <c r="BZ2940" s="5" t="s">
        <v>238</v>
      </c>
      <c r="CD2940" s="5" t="s">
        <v>273</v>
      </c>
      <c r="CE2940" s="5" t="s">
        <v>256</v>
      </c>
      <c r="CF2940" s="5" t="s">
        <v>238</v>
      </c>
      <c r="CI2940" s="6" t="s">
        <v>257</v>
      </c>
      <c r="CJ2940" s="5" t="s">
        <v>238</v>
      </c>
      <c r="CK2940" s="5" t="s">
        <v>258</v>
      </c>
      <c r="CL2940" s="5" t="s">
        <v>238</v>
      </c>
      <c r="CM2940" s="5" t="s">
        <v>238</v>
      </c>
      <c r="CN2940" s="5">
        <v>0</v>
      </c>
      <c r="CO2940" s="5" t="s">
        <v>259</v>
      </c>
      <c r="CP2940" s="5" t="s">
        <v>260</v>
      </c>
      <c r="CQ2940" s="5" t="s">
        <v>260</v>
      </c>
      <c r="CR2940" s="5" t="s">
        <v>261</v>
      </c>
      <c r="CU2940" s="8">
        <f>1</f>
        <v>1</v>
      </c>
      <c r="CV2940" s="8">
        <f>0</f>
        <v>0</v>
      </c>
      <c r="CX2940" s="8">
        <f>0</f>
        <v>0</v>
      </c>
      <c r="CY2940" s="8">
        <f>1</f>
        <v>1</v>
      </c>
      <c r="DA2940" s="5" t="s">
        <v>274</v>
      </c>
      <c r="DB2940" s="5" t="s">
        <v>238</v>
      </c>
      <c r="DD2940" s="5" t="s">
        <v>274</v>
      </c>
      <c r="DE2940" s="8">
        <f>319</f>
        <v>319</v>
      </c>
      <c r="DG2940" s="5" t="s">
        <v>238</v>
      </c>
      <c r="DH2940" s="5" t="s">
        <v>238</v>
      </c>
      <c r="DI2940" s="5" t="s">
        <v>238</v>
      </c>
      <c r="DJ2940" s="5" t="s">
        <v>238</v>
      </c>
      <c r="DN2940" s="5" t="s">
        <v>238</v>
      </c>
      <c r="DO2940" s="5" t="s">
        <v>238</v>
      </c>
      <c r="DP2940" s="5" t="s">
        <v>238</v>
      </c>
      <c r="DQ2940" s="5" t="s">
        <v>238</v>
      </c>
      <c r="DT2940" s="5" t="s">
        <v>275</v>
      </c>
      <c r="DU2940" s="5" t="s">
        <v>3506</v>
      </c>
      <c r="HM2940" s="5" t="s">
        <v>264</v>
      </c>
    </row>
    <row r="2941" spans="1:221" x14ac:dyDescent="0.4">
      <c r="A2941" s="5">
        <v>4645</v>
      </c>
      <c r="B2941" s="5">
        <v>1</v>
      </c>
      <c r="C2941" s="5">
        <v>1</v>
      </c>
      <c r="D2941" s="5" t="s">
        <v>269</v>
      </c>
      <c r="E2941" s="5" t="s">
        <v>271</v>
      </c>
      <c r="F2941" s="5" t="s">
        <v>248</v>
      </c>
      <c r="G2941" s="5" t="s">
        <v>266</v>
      </c>
      <c r="H2941" s="6" t="s">
        <v>3961</v>
      </c>
      <c r="I2941" s="7">
        <f>94</f>
        <v>94</v>
      </c>
      <c r="J2941" s="5" t="s">
        <v>262</v>
      </c>
      <c r="K2941" s="8">
        <f>1</f>
        <v>1</v>
      </c>
      <c r="L2941" s="6" t="s">
        <v>242</v>
      </c>
      <c r="M2941" s="5" t="s">
        <v>267</v>
      </c>
      <c r="N2941" s="5" t="s">
        <v>265</v>
      </c>
      <c r="O2941" s="5" t="s">
        <v>238</v>
      </c>
      <c r="P2941" s="5" t="s">
        <v>238</v>
      </c>
      <c r="Q2941" s="5" t="s">
        <v>268</v>
      </c>
      <c r="R2941" s="5" t="s">
        <v>270</v>
      </c>
      <c r="S2941" s="5" t="s">
        <v>238</v>
      </c>
      <c r="V2941" s="5" t="s">
        <v>238</v>
      </c>
      <c r="X2941" s="6" t="s">
        <v>238</v>
      </c>
      <c r="AA2941" s="6" t="s">
        <v>243</v>
      </c>
      <c r="AB2941" s="5" t="s">
        <v>238</v>
      </c>
      <c r="AC2941" s="5" t="s">
        <v>244</v>
      </c>
      <c r="AD2941" s="5" t="s">
        <v>245</v>
      </c>
      <c r="AT2941" s="5" t="s">
        <v>246</v>
      </c>
      <c r="AU2941" s="5" t="s">
        <v>238</v>
      </c>
      <c r="AV2941" s="5" t="s">
        <v>247</v>
      </c>
      <c r="AW2941" s="5" t="s">
        <v>238</v>
      </c>
      <c r="AX2941" s="5" t="s">
        <v>249</v>
      </c>
      <c r="AY2941" s="5" t="s">
        <v>238</v>
      </c>
      <c r="BA2941" s="5" t="s">
        <v>238</v>
      </c>
      <c r="BC2941" s="5" t="s">
        <v>250</v>
      </c>
      <c r="BD2941" s="6" t="s">
        <v>243</v>
      </c>
      <c r="BE2941" s="5" t="s">
        <v>251</v>
      </c>
      <c r="BF2941" s="5" t="s">
        <v>252</v>
      </c>
      <c r="BG2941" s="5" t="s">
        <v>238</v>
      </c>
      <c r="BH2941" s="7">
        <f>0</f>
        <v>0</v>
      </c>
      <c r="BI2941" s="8">
        <f>0</f>
        <v>0</v>
      </c>
      <c r="BJ2941" s="5" t="s">
        <v>253</v>
      </c>
      <c r="BK2941" s="5" t="s">
        <v>254</v>
      </c>
      <c r="BY2941" s="5" t="s">
        <v>238</v>
      </c>
      <c r="BZ2941" s="5" t="s">
        <v>238</v>
      </c>
      <c r="CD2941" s="5" t="s">
        <v>273</v>
      </c>
      <c r="CE2941" s="5" t="s">
        <v>256</v>
      </c>
      <c r="CF2941" s="5" t="s">
        <v>238</v>
      </c>
      <c r="CI2941" s="6" t="s">
        <v>257</v>
      </c>
      <c r="CJ2941" s="5" t="s">
        <v>238</v>
      </c>
      <c r="CK2941" s="5" t="s">
        <v>258</v>
      </c>
      <c r="CL2941" s="5" t="s">
        <v>238</v>
      </c>
      <c r="CM2941" s="5" t="s">
        <v>238</v>
      </c>
      <c r="CN2941" s="5">
        <v>0</v>
      </c>
      <c r="CO2941" s="5" t="s">
        <v>259</v>
      </c>
      <c r="CP2941" s="5" t="s">
        <v>260</v>
      </c>
      <c r="CQ2941" s="5" t="s">
        <v>260</v>
      </c>
      <c r="CR2941" s="5" t="s">
        <v>261</v>
      </c>
      <c r="CU2941" s="8">
        <f>1</f>
        <v>1</v>
      </c>
      <c r="CV2941" s="8">
        <f>0</f>
        <v>0</v>
      </c>
      <c r="CX2941" s="8">
        <f>0</f>
        <v>0</v>
      </c>
      <c r="CY2941" s="8">
        <f>1</f>
        <v>1</v>
      </c>
      <c r="DA2941" s="5" t="s">
        <v>274</v>
      </c>
      <c r="DB2941" s="5" t="s">
        <v>238</v>
      </c>
      <c r="DD2941" s="5" t="s">
        <v>274</v>
      </c>
      <c r="DE2941" s="8">
        <f>94</f>
        <v>94</v>
      </c>
      <c r="DG2941" s="5" t="s">
        <v>238</v>
      </c>
      <c r="DH2941" s="5" t="s">
        <v>238</v>
      </c>
      <c r="DI2941" s="5" t="s">
        <v>238</v>
      </c>
      <c r="DJ2941" s="5" t="s">
        <v>238</v>
      </c>
      <c r="DN2941" s="5" t="s">
        <v>238</v>
      </c>
      <c r="DO2941" s="5" t="s">
        <v>238</v>
      </c>
      <c r="DP2941" s="5" t="s">
        <v>238</v>
      </c>
      <c r="DQ2941" s="5" t="s">
        <v>238</v>
      </c>
      <c r="DT2941" s="5" t="s">
        <v>275</v>
      </c>
      <c r="DU2941" s="5" t="s">
        <v>2664</v>
      </c>
      <c r="HM2941" s="5" t="s">
        <v>264</v>
      </c>
    </row>
    <row r="2942" spans="1:221" x14ac:dyDescent="0.4">
      <c r="A2942" s="5">
        <v>4646</v>
      </c>
      <c r="B2942" s="5">
        <v>1</v>
      </c>
      <c r="C2942" s="5">
        <v>1</v>
      </c>
      <c r="D2942" s="5" t="s">
        <v>269</v>
      </c>
      <c r="E2942" s="5" t="s">
        <v>271</v>
      </c>
      <c r="F2942" s="5" t="s">
        <v>248</v>
      </c>
      <c r="G2942" s="5" t="s">
        <v>266</v>
      </c>
      <c r="H2942" s="6" t="s">
        <v>3962</v>
      </c>
      <c r="I2942" s="7">
        <f>918</f>
        <v>918</v>
      </c>
      <c r="J2942" s="5" t="s">
        <v>262</v>
      </c>
      <c r="K2942" s="8">
        <f>1</f>
        <v>1</v>
      </c>
      <c r="L2942" s="6" t="s">
        <v>242</v>
      </c>
      <c r="M2942" s="5" t="s">
        <v>267</v>
      </c>
      <c r="N2942" s="5" t="s">
        <v>265</v>
      </c>
      <c r="O2942" s="5" t="s">
        <v>238</v>
      </c>
      <c r="P2942" s="5" t="s">
        <v>238</v>
      </c>
      <c r="Q2942" s="5" t="s">
        <v>268</v>
      </c>
      <c r="R2942" s="5" t="s">
        <v>270</v>
      </c>
      <c r="S2942" s="5" t="s">
        <v>238</v>
      </c>
      <c r="V2942" s="5" t="s">
        <v>238</v>
      </c>
      <c r="X2942" s="6" t="s">
        <v>238</v>
      </c>
      <c r="AA2942" s="6" t="s">
        <v>243</v>
      </c>
      <c r="AB2942" s="5" t="s">
        <v>238</v>
      </c>
      <c r="AC2942" s="5" t="s">
        <v>244</v>
      </c>
      <c r="AD2942" s="5" t="s">
        <v>245</v>
      </c>
      <c r="AT2942" s="5" t="s">
        <v>246</v>
      </c>
      <c r="AU2942" s="5" t="s">
        <v>238</v>
      </c>
      <c r="AV2942" s="5" t="s">
        <v>247</v>
      </c>
      <c r="AW2942" s="5" t="s">
        <v>238</v>
      </c>
      <c r="AX2942" s="5" t="s">
        <v>249</v>
      </c>
      <c r="AY2942" s="5" t="s">
        <v>238</v>
      </c>
      <c r="BA2942" s="5" t="s">
        <v>238</v>
      </c>
      <c r="BC2942" s="5" t="s">
        <v>250</v>
      </c>
      <c r="BD2942" s="6" t="s">
        <v>243</v>
      </c>
      <c r="BE2942" s="5" t="s">
        <v>251</v>
      </c>
      <c r="BF2942" s="5" t="s">
        <v>252</v>
      </c>
      <c r="BG2942" s="5" t="s">
        <v>238</v>
      </c>
      <c r="BH2942" s="7">
        <f>0</f>
        <v>0</v>
      </c>
      <c r="BI2942" s="8">
        <f>0</f>
        <v>0</v>
      </c>
      <c r="BJ2942" s="5" t="s">
        <v>253</v>
      </c>
      <c r="BK2942" s="5" t="s">
        <v>254</v>
      </c>
      <c r="BY2942" s="5" t="s">
        <v>238</v>
      </c>
      <c r="BZ2942" s="5" t="s">
        <v>238</v>
      </c>
      <c r="CD2942" s="5" t="s">
        <v>273</v>
      </c>
      <c r="CE2942" s="5" t="s">
        <v>256</v>
      </c>
      <c r="CF2942" s="5" t="s">
        <v>238</v>
      </c>
      <c r="CI2942" s="6" t="s">
        <v>257</v>
      </c>
      <c r="CJ2942" s="5" t="s">
        <v>238</v>
      </c>
      <c r="CK2942" s="5" t="s">
        <v>258</v>
      </c>
      <c r="CL2942" s="5" t="s">
        <v>238</v>
      </c>
      <c r="CM2942" s="5" t="s">
        <v>238</v>
      </c>
      <c r="CN2942" s="5">
        <v>0</v>
      </c>
      <c r="CO2942" s="5" t="s">
        <v>259</v>
      </c>
      <c r="CP2942" s="5" t="s">
        <v>260</v>
      </c>
      <c r="CQ2942" s="5" t="s">
        <v>260</v>
      </c>
      <c r="CR2942" s="5" t="s">
        <v>261</v>
      </c>
      <c r="CU2942" s="8">
        <f>1</f>
        <v>1</v>
      </c>
      <c r="CV2942" s="8">
        <f>0</f>
        <v>0</v>
      </c>
      <c r="CX2942" s="8">
        <f>0</f>
        <v>0</v>
      </c>
      <c r="CY2942" s="8">
        <f>1</f>
        <v>1</v>
      </c>
      <c r="DA2942" s="5" t="s">
        <v>274</v>
      </c>
      <c r="DB2942" s="5" t="s">
        <v>238</v>
      </c>
      <c r="DD2942" s="5" t="s">
        <v>274</v>
      </c>
      <c r="DE2942" s="8">
        <f>918</f>
        <v>918</v>
      </c>
      <c r="DG2942" s="5" t="s">
        <v>238</v>
      </c>
      <c r="DH2942" s="5" t="s">
        <v>238</v>
      </c>
      <c r="DI2942" s="5" t="s">
        <v>238</v>
      </c>
      <c r="DJ2942" s="5" t="s">
        <v>238</v>
      </c>
      <c r="DN2942" s="5" t="s">
        <v>238</v>
      </c>
      <c r="DO2942" s="5" t="s">
        <v>238</v>
      </c>
      <c r="DP2942" s="5" t="s">
        <v>238</v>
      </c>
      <c r="DQ2942" s="5" t="s">
        <v>238</v>
      </c>
      <c r="DT2942" s="5" t="s">
        <v>275</v>
      </c>
      <c r="DU2942" s="5" t="s">
        <v>2706</v>
      </c>
      <c r="HM2942" s="5" t="s">
        <v>264</v>
      </c>
    </row>
    <row r="2943" spans="1:221" x14ac:dyDescent="0.4">
      <c r="A2943" s="5">
        <v>4647</v>
      </c>
      <c r="B2943" s="5">
        <v>1</v>
      </c>
      <c r="C2943" s="5">
        <v>1</v>
      </c>
      <c r="D2943" s="5" t="s">
        <v>269</v>
      </c>
      <c r="E2943" s="5" t="s">
        <v>271</v>
      </c>
      <c r="F2943" s="5" t="s">
        <v>248</v>
      </c>
      <c r="G2943" s="5" t="s">
        <v>266</v>
      </c>
      <c r="H2943" s="6" t="s">
        <v>3963</v>
      </c>
      <c r="I2943" s="7">
        <f>119</f>
        <v>119</v>
      </c>
      <c r="J2943" s="5" t="s">
        <v>262</v>
      </c>
      <c r="K2943" s="8">
        <f>1</f>
        <v>1</v>
      </c>
      <c r="L2943" s="6" t="s">
        <v>242</v>
      </c>
      <c r="M2943" s="5" t="s">
        <v>267</v>
      </c>
      <c r="N2943" s="5" t="s">
        <v>265</v>
      </c>
      <c r="O2943" s="5" t="s">
        <v>238</v>
      </c>
      <c r="P2943" s="5" t="s">
        <v>238</v>
      </c>
      <c r="Q2943" s="5" t="s">
        <v>268</v>
      </c>
      <c r="R2943" s="5" t="s">
        <v>270</v>
      </c>
      <c r="S2943" s="5" t="s">
        <v>238</v>
      </c>
      <c r="V2943" s="5" t="s">
        <v>238</v>
      </c>
      <c r="X2943" s="6" t="s">
        <v>238</v>
      </c>
      <c r="AA2943" s="6" t="s">
        <v>243</v>
      </c>
      <c r="AB2943" s="5" t="s">
        <v>238</v>
      </c>
      <c r="AC2943" s="5" t="s">
        <v>244</v>
      </c>
      <c r="AD2943" s="5" t="s">
        <v>245</v>
      </c>
      <c r="AT2943" s="5" t="s">
        <v>246</v>
      </c>
      <c r="AU2943" s="5" t="s">
        <v>238</v>
      </c>
      <c r="AV2943" s="5" t="s">
        <v>247</v>
      </c>
      <c r="AW2943" s="5" t="s">
        <v>238</v>
      </c>
      <c r="AX2943" s="5" t="s">
        <v>249</v>
      </c>
      <c r="AY2943" s="5" t="s">
        <v>238</v>
      </c>
      <c r="BA2943" s="5" t="s">
        <v>238</v>
      </c>
      <c r="BC2943" s="5" t="s">
        <v>250</v>
      </c>
      <c r="BD2943" s="6" t="s">
        <v>243</v>
      </c>
      <c r="BE2943" s="5" t="s">
        <v>251</v>
      </c>
      <c r="BF2943" s="5" t="s">
        <v>252</v>
      </c>
      <c r="BG2943" s="5" t="s">
        <v>238</v>
      </c>
      <c r="BH2943" s="7">
        <f>0</f>
        <v>0</v>
      </c>
      <c r="BI2943" s="8">
        <f>0</f>
        <v>0</v>
      </c>
      <c r="BJ2943" s="5" t="s">
        <v>253</v>
      </c>
      <c r="BK2943" s="5" t="s">
        <v>254</v>
      </c>
      <c r="BY2943" s="5" t="s">
        <v>238</v>
      </c>
      <c r="BZ2943" s="5" t="s">
        <v>238</v>
      </c>
      <c r="CD2943" s="5" t="s">
        <v>273</v>
      </c>
      <c r="CE2943" s="5" t="s">
        <v>256</v>
      </c>
      <c r="CF2943" s="5" t="s">
        <v>238</v>
      </c>
      <c r="CI2943" s="6" t="s">
        <v>257</v>
      </c>
      <c r="CJ2943" s="5" t="s">
        <v>238</v>
      </c>
      <c r="CK2943" s="5" t="s">
        <v>258</v>
      </c>
      <c r="CL2943" s="5" t="s">
        <v>238</v>
      </c>
      <c r="CM2943" s="5" t="s">
        <v>238</v>
      </c>
      <c r="CN2943" s="5">
        <v>0</v>
      </c>
      <c r="CO2943" s="5" t="s">
        <v>259</v>
      </c>
      <c r="CP2943" s="5" t="s">
        <v>260</v>
      </c>
      <c r="CQ2943" s="5" t="s">
        <v>260</v>
      </c>
      <c r="CR2943" s="5" t="s">
        <v>261</v>
      </c>
      <c r="CU2943" s="8">
        <f>1</f>
        <v>1</v>
      </c>
      <c r="CV2943" s="8">
        <f>0</f>
        <v>0</v>
      </c>
      <c r="CX2943" s="8">
        <f>0</f>
        <v>0</v>
      </c>
      <c r="CY2943" s="8">
        <f>1</f>
        <v>1</v>
      </c>
      <c r="DA2943" s="5" t="s">
        <v>274</v>
      </c>
      <c r="DB2943" s="5" t="s">
        <v>238</v>
      </c>
      <c r="DD2943" s="5" t="s">
        <v>274</v>
      </c>
      <c r="DE2943" s="8">
        <f>119</f>
        <v>119</v>
      </c>
      <c r="DG2943" s="5" t="s">
        <v>238</v>
      </c>
      <c r="DH2943" s="5" t="s">
        <v>238</v>
      </c>
      <c r="DI2943" s="5" t="s">
        <v>238</v>
      </c>
      <c r="DJ2943" s="5" t="s">
        <v>238</v>
      </c>
      <c r="DN2943" s="5" t="s">
        <v>238</v>
      </c>
      <c r="DO2943" s="5" t="s">
        <v>238</v>
      </c>
      <c r="DP2943" s="5" t="s">
        <v>238</v>
      </c>
      <c r="DQ2943" s="5" t="s">
        <v>238</v>
      </c>
      <c r="DT2943" s="5" t="s">
        <v>275</v>
      </c>
      <c r="DU2943" s="5" t="s">
        <v>2803</v>
      </c>
      <c r="HM2943" s="5" t="s">
        <v>264</v>
      </c>
    </row>
    <row r="2944" spans="1:221" x14ac:dyDescent="0.4">
      <c r="A2944" s="5">
        <v>4648</v>
      </c>
      <c r="B2944" s="5">
        <v>1</v>
      </c>
      <c r="C2944" s="5">
        <v>1</v>
      </c>
      <c r="D2944" s="5" t="s">
        <v>269</v>
      </c>
      <c r="E2944" s="5" t="s">
        <v>271</v>
      </c>
      <c r="F2944" s="5" t="s">
        <v>248</v>
      </c>
      <c r="G2944" s="5" t="s">
        <v>266</v>
      </c>
      <c r="H2944" s="6" t="s">
        <v>3964</v>
      </c>
      <c r="I2944" s="7">
        <f>1666</f>
        <v>1666</v>
      </c>
      <c r="J2944" s="5" t="s">
        <v>262</v>
      </c>
      <c r="K2944" s="8">
        <f>1</f>
        <v>1</v>
      </c>
      <c r="L2944" s="6" t="s">
        <v>242</v>
      </c>
      <c r="M2944" s="5" t="s">
        <v>267</v>
      </c>
      <c r="N2944" s="5" t="s">
        <v>265</v>
      </c>
      <c r="O2944" s="5" t="s">
        <v>238</v>
      </c>
      <c r="P2944" s="5" t="s">
        <v>238</v>
      </c>
      <c r="Q2944" s="5" t="s">
        <v>268</v>
      </c>
      <c r="R2944" s="5" t="s">
        <v>270</v>
      </c>
      <c r="S2944" s="5" t="s">
        <v>238</v>
      </c>
      <c r="V2944" s="5" t="s">
        <v>238</v>
      </c>
      <c r="X2944" s="6" t="s">
        <v>238</v>
      </c>
      <c r="AA2944" s="6" t="s">
        <v>243</v>
      </c>
      <c r="AB2944" s="5" t="s">
        <v>238</v>
      </c>
      <c r="AC2944" s="5" t="s">
        <v>244</v>
      </c>
      <c r="AD2944" s="5" t="s">
        <v>245</v>
      </c>
      <c r="AT2944" s="5" t="s">
        <v>246</v>
      </c>
      <c r="AU2944" s="5" t="s">
        <v>238</v>
      </c>
      <c r="AV2944" s="5" t="s">
        <v>247</v>
      </c>
      <c r="AW2944" s="5" t="s">
        <v>238</v>
      </c>
      <c r="AX2944" s="5" t="s">
        <v>249</v>
      </c>
      <c r="AY2944" s="5" t="s">
        <v>238</v>
      </c>
      <c r="BA2944" s="5" t="s">
        <v>238</v>
      </c>
      <c r="BC2944" s="5" t="s">
        <v>250</v>
      </c>
      <c r="BD2944" s="6" t="s">
        <v>243</v>
      </c>
      <c r="BE2944" s="5" t="s">
        <v>251</v>
      </c>
      <c r="BF2944" s="5" t="s">
        <v>252</v>
      </c>
      <c r="BG2944" s="5" t="s">
        <v>238</v>
      </c>
      <c r="BH2944" s="7">
        <f>0</f>
        <v>0</v>
      </c>
      <c r="BI2944" s="8">
        <f>0</f>
        <v>0</v>
      </c>
      <c r="BJ2944" s="5" t="s">
        <v>253</v>
      </c>
      <c r="BK2944" s="5" t="s">
        <v>254</v>
      </c>
      <c r="BY2944" s="5" t="s">
        <v>238</v>
      </c>
      <c r="BZ2944" s="5" t="s">
        <v>238</v>
      </c>
      <c r="CD2944" s="5" t="s">
        <v>273</v>
      </c>
      <c r="CE2944" s="5" t="s">
        <v>256</v>
      </c>
      <c r="CF2944" s="5" t="s">
        <v>238</v>
      </c>
      <c r="CI2944" s="6" t="s">
        <v>257</v>
      </c>
      <c r="CJ2944" s="5" t="s">
        <v>238</v>
      </c>
      <c r="CK2944" s="5" t="s">
        <v>258</v>
      </c>
      <c r="CL2944" s="5" t="s">
        <v>238</v>
      </c>
      <c r="CM2944" s="5" t="s">
        <v>238</v>
      </c>
      <c r="CN2944" s="5">
        <v>0</v>
      </c>
      <c r="CO2944" s="5" t="s">
        <v>259</v>
      </c>
      <c r="CP2944" s="5" t="s">
        <v>260</v>
      </c>
      <c r="CQ2944" s="5" t="s">
        <v>260</v>
      </c>
      <c r="CR2944" s="5" t="s">
        <v>261</v>
      </c>
      <c r="CU2944" s="8">
        <f>1</f>
        <v>1</v>
      </c>
      <c r="CV2944" s="8">
        <f>0</f>
        <v>0</v>
      </c>
      <c r="CX2944" s="8">
        <f>0</f>
        <v>0</v>
      </c>
      <c r="CY2944" s="8">
        <f>1</f>
        <v>1</v>
      </c>
      <c r="DA2944" s="5" t="s">
        <v>274</v>
      </c>
      <c r="DB2944" s="5" t="s">
        <v>238</v>
      </c>
      <c r="DD2944" s="5" t="s">
        <v>274</v>
      </c>
      <c r="DE2944" s="8">
        <f>1666</f>
        <v>1666</v>
      </c>
      <c r="DG2944" s="5" t="s">
        <v>238</v>
      </c>
      <c r="DH2944" s="5" t="s">
        <v>238</v>
      </c>
      <c r="DI2944" s="5" t="s">
        <v>238</v>
      </c>
      <c r="DJ2944" s="5" t="s">
        <v>238</v>
      </c>
      <c r="DN2944" s="5" t="s">
        <v>238</v>
      </c>
      <c r="DO2944" s="5" t="s">
        <v>238</v>
      </c>
      <c r="DP2944" s="5" t="s">
        <v>238</v>
      </c>
      <c r="DQ2944" s="5" t="s">
        <v>238</v>
      </c>
      <c r="DT2944" s="5" t="s">
        <v>275</v>
      </c>
      <c r="DU2944" s="5" t="s">
        <v>2773</v>
      </c>
      <c r="HM2944" s="5" t="s">
        <v>264</v>
      </c>
    </row>
    <row r="2945" spans="1:221" x14ac:dyDescent="0.4">
      <c r="A2945" s="5">
        <v>4649</v>
      </c>
      <c r="B2945" s="5">
        <v>1</v>
      </c>
      <c r="C2945" s="5">
        <v>1</v>
      </c>
      <c r="D2945" s="5" t="s">
        <v>269</v>
      </c>
      <c r="E2945" s="5" t="s">
        <v>271</v>
      </c>
      <c r="F2945" s="5" t="s">
        <v>248</v>
      </c>
      <c r="G2945" s="5" t="s">
        <v>266</v>
      </c>
      <c r="H2945" s="6" t="s">
        <v>5656</v>
      </c>
      <c r="I2945" s="7">
        <f>257</f>
        <v>257</v>
      </c>
      <c r="J2945" s="5" t="s">
        <v>262</v>
      </c>
      <c r="K2945" s="8">
        <f>1</f>
        <v>1</v>
      </c>
      <c r="L2945" s="6" t="s">
        <v>242</v>
      </c>
      <c r="M2945" s="5" t="s">
        <v>267</v>
      </c>
      <c r="N2945" s="5" t="s">
        <v>265</v>
      </c>
      <c r="O2945" s="5" t="s">
        <v>238</v>
      </c>
      <c r="P2945" s="5" t="s">
        <v>238</v>
      </c>
      <c r="Q2945" s="5" t="s">
        <v>268</v>
      </c>
      <c r="R2945" s="5" t="s">
        <v>270</v>
      </c>
      <c r="S2945" s="5" t="s">
        <v>238</v>
      </c>
      <c r="V2945" s="5" t="s">
        <v>238</v>
      </c>
      <c r="X2945" s="6" t="s">
        <v>238</v>
      </c>
      <c r="AA2945" s="6" t="s">
        <v>243</v>
      </c>
      <c r="AB2945" s="5" t="s">
        <v>238</v>
      </c>
      <c r="AC2945" s="5" t="s">
        <v>244</v>
      </c>
      <c r="AD2945" s="5" t="s">
        <v>245</v>
      </c>
      <c r="AT2945" s="5" t="s">
        <v>246</v>
      </c>
      <c r="AU2945" s="5" t="s">
        <v>238</v>
      </c>
      <c r="AV2945" s="5" t="s">
        <v>247</v>
      </c>
      <c r="AW2945" s="5" t="s">
        <v>238</v>
      </c>
      <c r="AX2945" s="5" t="s">
        <v>249</v>
      </c>
      <c r="AY2945" s="5" t="s">
        <v>238</v>
      </c>
      <c r="BA2945" s="5" t="s">
        <v>238</v>
      </c>
      <c r="BC2945" s="5" t="s">
        <v>250</v>
      </c>
      <c r="BD2945" s="6" t="s">
        <v>243</v>
      </c>
      <c r="BE2945" s="5" t="s">
        <v>251</v>
      </c>
      <c r="BF2945" s="5" t="s">
        <v>252</v>
      </c>
      <c r="BG2945" s="5" t="s">
        <v>238</v>
      </c>
      <c r="BH2945" s="7">
        <f>0</f>
        <v>0</v>
      </c>
      <c r="BI2945" s="8">
        <f>0</f>
        <v>0</v>
      </c>
      <c r="BJ2945" s="5" t="s">
        <v>253</v>
      </c>
      <c r="BK2945" s="5" t="s">
        <v>254</v>
      </c>
      <c r="BY2945" s="5" t="s">
        <v>238</v>
      </c>
      <c r="BZ2945" s="5" t="s">
        <v>238</v>
      </c>
      <c r="CD2945" s="5" t="s">
        <v>273</v>
      </c>
      <c r="CE2945" s="5" t="s">
        <v>256</v>
      </c>
      <c r="CF2945" s="5" t="s">
        <v>238</v>
      </c>
      <c r="CI2945" s="6" t="s">
        <v>257</v>
      </c>
      <c r="CJ2945" s="5" t="s">
        <v>238</v>
      </c>
      <c r="CK2945" s="5" t="s">
        <v>258</v>
      </c>
      <c r="CL2945" s="5" t="s">
        <v>238</v>
      </c>
      <c r="CM2945" s="5" t="s">
        <v>238</v>
      </c>
      <c r="CN2945" s="5">
        <v>0</v>
      </c>
      <c r="CO2945" s="5" t="s">
        <v>259</v>
      </c>
      <c r="CP2945" s="5" t="s">
        <v>260</v>
      </c>
      <c r="CQ2945" s="5" t="s">
        <v>260</v>
      </c>
      <c r="CR2945" s="5" t="s">
        <v>261</v>
      </c>
      <c r="CU2945" s="8">
        <f>1</f>
        <v>1</v>
      </c>
      <c r="CV2945" s="8">
        <f>0</f>
        <v>0</v>
      </c>
      <c r="CX2945" s="8">
        <f>0</f>
        <v>0</v>
      </c>
      <c r="CY2945" s="8">
        <f>1</f>
        <v>1</v>
      </c>
      <c r="DA2945" s="5" t="s">
        <v>274</v>
      </c>
      <c r="DB2945" s="5" t="s">
        <v>238</v>
      </c>
      <c r="DD2945" s="5" t="s">
        <v>274</v>
      </c>
      <c r="DE2945" s="8">
        <f>257</f>
        <v>257</v>
      </c>
      <c r="DG2945" s="5" t="s">
        <v>238</v>
      </c>
      <c r="DH2945" s="5" t="s">
        <v>238</v>
      </c>
      <c r="DI2945" s="5" t="s">
        <v>238</v>
      </c>
      <c r="DJ2945" s="5" t="s">
        <v>238</v>
      </c>
      <c r="DN2945" s="5" t="s">
        <v>238</v>
      </c>
      <c r="DO2945" s="5" t="s">
        <v>238</v>
      </c>
      <c r="DP2945" s="5" t="s">
        <v>238</v>
      </c>
      <c r="DQ2945" s="5" t="s">
        <v>238</v>
      </c>
      <c r="DT2945" s="5" t="s">
        <v>275</v>
      </c>
      <c r="DU2945" s="5" t="s">
        <v>2846</v>
      </c>
      <c r="HM2945" s="5" t="s">
        <v>264</v>
      </c>
    </row>
    <row r="2946" spans="1:221" x14ac:dyDescent="0.4">
      <c r="A2946" s="5">
        <v>4650</v>
      </c>
      <c r="B2946" s="5">
        <v>1</v>
      </c>
      <c r="C2946" s="5">
        <v>1</v>
      </c>
      <c r="D2946" s="5" t="s">
        <v>269</v>
      </c>
      <c r="E2946" s="5" t="s">
        <v>271</v>
      </c>
      <c r="F2946" s="5" t="s">
        <v>248</v>
      </c>
      <c r="G2946" s="5" t="s">
        <v>266</v>
      </c>
      <c r="H2946" s="6" t="s">
        <v>3965</v>
      </c>
      <c r="I2946" s="7">
        <f>826</f>
        <v>826</v>
      </c>
      <c r="J2946" s="5" t="s">
        <v>262</v>
      </c>
      <c r="K2946" s="8">
        <f>1</f>
        <v>1</v>
      </c>
      <c r="L2946" s="6" t="s">
        <v>242</v>
      </c>
      <c r="M2946" s="5" t="s">
        <v>267</v>
      </c>
      <c r="N2946" s="5" t="s">
        <v>265</v>
      </c>
      <c r="O2946" s="5" t="s">
        <v>238</v>
      </c>
      <c r="P2946" s="5" t="s">
        <v>238</v>
      </c>
      <c r="Q2946" s="5" t="s">
        <v>268</v>
      </c>
      <c r="R2946" s="5" t="s">
        <v>270</v>
      </c>
      <c r="S2946" s="5" t="s">
        <v>238</v>
      </c>
      <c r="V2946" s="5" t="s">
        <v>238</v>
      </c>
      <c r="X2946" s="6" t="s">
        <v>238</v>
      </c>
      <c r="AA2946" s="6" t="s">
        <v>243</v>
      </c>
      <c r="AB2946" s="5" t="s">
        <v>238</v>
      </c>
      <c r="AC2946" s="5" t="s">
        <v>244</v>
      </c>
      <c r="AD2946" s="5" t="s">
        <v>245</v>
      </c>
      <c r="AT2946" s="5" t="s">
        <v>246</v>
      </c>
      <c r="AU2946" s="5" t="s">
        <v>238</v>
      </c>
      <c r="AV2946" s="5" t="s">
        <v>247</v>
      </c>
      <c r="AW2946" s="5" t="s">
        <v>238</v>
      </c>
      <c r="AX2946" s="5" t="s">
        <v>249</v>
      </c>
      <c r="AY2946" s="5" t="s">
        <v>238</v>
      </c>
      <c r="BA2946" s="5" t="s">
        <v>238</v>
      </c>
      <c r="BC2946" s="5" t="s">
        <v>250</v>
      </c>
      <c r="BD2946" s="6" t="s">
        <v>243</v>
      </c>
      <c r="BE2946" s="5" t="s">
        <v>251</v>
      </c>
      <c r="BF2946" s="5" t="s">
        <v>252</v>
      </c>
      <c r="BG2946" s="5" t="s">
        <v>238</v>
      </c>
      <c r="BH2946" s="7">
        <f>0</f>
        <v>0</v>
      </c>
      <c r="BI2946" s="8">
        <f>0</f>
        <v>0</v>
      </c>
      <c r="BJ2946" s="5" t="s">
        <v>253</v>
      </c>
      <c r="BK2946" s="5" t="s">
        <v>254</v>
      </c>
      <c r="BY2946" s="5" t="s">
        <v>238</v>
      </c>
      <c r="BZ2946" s="5" t="s">
        <v>238</v>
      </c>
      <c r="CD2946" s="5" t="s">
        <v>273</v>
      </c>
      <c r="CE2946" s="5" t="s">
        <v>256</v>
      </c>
      <c r="CF2946" s="5" t="s">
        <v>238</v>
      </c>
      <c r="CI2946" s="6" t="s">
        <v>257</v>
      </c>
      <c r="CJ2946" s="5" t="s">
        <v>238</v>
      </c>
      <c r="CK2946" s="5" t="s">
        <v>258</v>
      </c>
      <c r="CL2946" s="5" t="s">
        <v>238</v>
      </c>
      <c r="CM2946" s="5" t="s">
        <v>238</v>
      </c>
      <c r="CN2946" s="5">
        <v>0</v>
      </c>
      <c r="CO2946" s="5" t="s">
        <v>259</v>
      </c>
      <c r="CP2946" s="5" t="s">
        <v>260</v>
      </c>
      <c r="CQ2946" s="5" t="s">
        <v>260</v>
      </c>
      <c r="CR2946" s="5" t="s">
        <v>261</v>
      </c>
      <c r="CU2946" s="8">
        <f>1</f>
        <v>1</v>
      </c>
      <c r="CV2946" s="8">
        <f>0</f>
        <v>0</v>
      </c>
      <c r="CX2946" s="8">
        <f>0</f>
        <v>0</v>
      </c>
      <c r="CY2946" s="8">
        <f>1</f>
        <v>1</v>
      </c>
      <c r="DA2946" s="5" t="s">
        <v>274</v>
      </c>
      <c r="DB2946" s="5" t="s">
        <v>238</v>
      </c>
      <c r="DD2946" s="5" t="s">
        <v>274</v>
      </c>
      <c r="DE2946" s="8">
        <f>826</f>
        <v>826</v>
      </c>
      <c r="DG2946" s="5" t="s">
        <v>238</v>
      </c>
      <c r="DH2946" s="5" t="s">
        <v>238</v>
      </c>
      <c r="DI2946" s="5" t="s">
        <v>238</v>
      </c>
      <c r="DJ2946" s="5" t="s">
        <v>238</v>
      </c>
      <c r="DN2946" s="5" t="s">
        <v>238</v>
      </c>
      <c r="DO2946" s="5" t="s">
        <v>238</v>
      </c>
      <c r="DP2946" s="5" t="s">
        <v>238</v>
      </c>
      <c r="DQ2946" s="5" t="s">
        <v>238</v>
      </c>
      <c r="DT2946" s="5" t="s">
        <v>275</v>
      </c>
      <c r="DU2946" s="5" t="s">
        <v>2837</v>
      </c>
      <c r="HM2946" s="5" t="s">
        <v>264</v>
      </c>
    </row>
    <row r="2947" spans="1:221" x14ac:dyDescent="0.4">
      <c r="A2947" s="5">
        <v>4651</v>
      </c>
      <c r="B2947" s="5">
        <v>1</v>
      </c>
      <c r="C2947" s="5">
        <v>1</v>
      </c>
      <c r="D2947" s="5" t="s">
        <v>269</v>
      </c>
      <c r="E2947" s="5" t="s">
        <v>271</v>
      </c>
      <c r="F2947" s="5" t="s">
        <v>248</v>
      </c>
      <c r="G2947" s="5" t="s">
        <v>266</v>
      </c>
      <c r="H2947" s="6" t="s">
        <v>3966</v>
      </c>
      <c r="I2947" s="7">
        <f>322</f>
        <v>322</v>
      </c>
      <c r="J2947" s="5" t="s">
        <v>262</v>
      </c>
      <c r="K2947" s="8">
        <f>1</f>
        <v>1</v>
      </c>
      <c r="L2947" s="6" t="s">
        <v>242</v>
      </c>
      <c r="M2947" s="5" t="s">
        <v>267</v>
      </c>
      <c r="N2947" s="5" t="s">
        <v>265</v>
      </c>
      <c r="O2947" s="5" t="s">
        <v>238</v>
      </c>
      <c r="P2947" s="5" t="s">
        <v>238</v>
      </c>
      <c r="Q2947" s="5" t="s">
        <v>268</v>
      </c>
      <c r="R2947" s="5" t="s">
        <v>270</v>
      </c>
      <c r="S2947" s="5" t="s">
        <v>238</v>
      </c>
      <c r="V2947" s="5" t="s">
        <v>238</v>
      </c>
      <c r="X2947" s="6" t="s">
        <v>238</v>
      </c>
      <c r="AA2947" s="6" t="s">
        <v>243</v>
      </c>
      <c r="AB2947" s="5" t="s">
        <v>238</v>
      </c>
      <c r="AC2947" s="5" t="s">
        <v>244</v>
      </c>
      <c r="AD2947" s="5" t="s">
        <v>245</v>
      </c>
      <c r="AT2947" s="5" t="s">
        <v>246</v>
      </c>
      <c r="AU2947" s="5" t="s">
        <v>238</v>
      </c>
      <c r="AV2947" s="5" t="s">
        <v>247</v>
      </c>
      <c r="AW2947" s="5" t="s">
        <v>238</v>
      </c>
      <c r="AX2947" s="5" t="s">
        <v>249</v>
      </c>
      <c r="AY2947" s="5" t="s">
        <v>238</v>
      </c>
      <c r="BA2947" s="5" t="s">
        <v>238</v>
      </c>
      <c r="BC2947" s="5" t="s">
        <v>250</v>
      </c>
      <c r="BD2947" s="6" t="s">
        <v>243</v>
      </c>
      <c r="BE2947" s="5" t="s">
        <v>251</v>
      </c>
      <c r="BF2947" s="5" t="s">
        <v>252</v>
      </c>
      <c r="BG2947" s="5" t="s">
        <v>238</v>
      </c>
      <c r="BH2947" s="7">
        <f>0</f>
        <v>0</v>
      </c>
      <c r="BI2947" s="8">
        <f>0</f>
        <v>0</v>
      </c>
      <c r="BJ2947" s="5" t="s">
        <v>253</v>
      </c>
      <c r="BK2947" s="5" t="s">
        <v>254</v>
      </c>
      <c r="BY2947" s="5" t="s">
        <v>238</v>
      </c>
      <c r="BZ2947" s="5" t="s">
        <v>238</v>
      </c>
      <c r="CD2947" s="5" t="s">
        <v>273</v>
      </c>
      <c r="CE2947" s="5" t="s">
        <v>256</v>
      </c>
      <c r="CF2947" s="5" t="s">
        <v>238</v>
      </c>
      <c r="CI2947" s="6" t="s">
        <v>257</v>
      </c>
      <c r="CJ2947" s="5" t="s">
        <v>238</v>
      </c>
      <c r="CK2947" s="5" t="s">
        <v>258</v>
      </c>
      <c r="CL2947" s="5" t="s">
        <v>238</v>
      </c>
      <c r="CM2947" s="5" t="s">
        <v>238</v>
      </c>
      <c r="CN2947" s="5">
        <v>0</v>
      </c>
      <c r="CO2947" s="5" t="s">
        <v>259</v>
      </c>
      <c r="CP2947" s="5" t="s">
        <v>260</v>
      </c>
      <c r="CQ2947" s="5" t="s">
        <v>260</v>
      </c>
      <c r="CR2947" s="5" t="s">
        <v>261</v>
      </c>
      <c r="CU2947" s="8">
        <f>1</f>
        <v>1</v>
      </c>
      <c r="CV2947" s="8">
        <f>0</f>
        <v>0</v>
      </c>
      <c r="CX2947" s="8">
        <f>0</f>
        <v>0</v>
      </c>
      <c r="CY2947" s="8">
        <f>1</f>
        <v>1</v>
      </c>
      <c r="DA2947" s="5" t="s">
        <v>274</v>
      </c>
      <c r="DB2947" s="5" t="s">
        <v>238</v>
      </c>
      <c r="DD2947" s="5" t="s">
        <v>274</v>
      </c>
      <c r="DE2947" s="8">
        <f>322</f>
        <v>322</v>
      </c>
      <c r="DG2947" s="5" t="s">
        <v>238</v>
      </c>
      <c r="DH2947" s="5" t="s">
        <v>238</v>
      </c>
      <c r="DI2947" s="5" t="s">
        <v>238</v>
      </c>
      <c r="DJ2947" s="5" t="s">
        <v>238</v>
      </c>
      <c r="DN2947" s="5" t="s">
        <v>238</v>
      </c>
      <c r="DO2947" s="5" t="s">
        <v>238</v>
      </c>
      <c r="DP2947" s="5" t="s">
        <v>238</v>
      </c>
      <c r="DQ2947" s="5" t="s">
        <v>238</v>
      </c>
      <c r="DT2947" s="5" t="s">
        <v>275</v>
      </c>
      <c r="DU2947" s="5" t="s">
        <v>2892</v>
      </c>
      <c r="HM2947" s="5" t="s">
        <v>264</v>
      </c>
    </row>
    <row r="2948" spans="1:221" x14ac:dyDescent="0.4">
      <c r="A2948" s="5">
        <v>4652</v>
      </c>
      <c r="B2948" s="5">
        <v>1</v>
      </c>
      <c r="C2948" s="5">
        <v>1</v>
      </c>
      <c r="D2948" s="5" t="s">
        <v>269</v>
      </c>
      <c r="E2948" s="5" t="s">
        <v>271</v>
      </c>
      <c r="F2948" s="5" t="s">
        <v>248</v>
      </c>
      <c r="G2948" s="5" t="s">
        <v>266</v>
      </c>
      <c r="H2948" s="6" t="s">
        <v>3967</v>
      </c>
      <c r="I2948" s="7">
        <f>1727</f>
        <v>1727</v>
      </c>
      <c r="J2948" s="5" t="s">
        <v>262</v>
      </c>
      <c r="K2948" s="8">
        <f>1</f>
        <v>1</v>
      </c>
      <c r="L2948" s="6" t="s">
        <v>242</v>
      </c>
      <c r="M2948" s="5" t="s">
        <v>267</v>
      </c>
      <c r="N2948" s="5" t="s">
        <v>265</v>
      </c>
      <c r="O2948" s="5" t="s">
        <v>238</v>
      </c>
      <c r="P2948" s="5" t="s">
        <v>238</v>
      </c>
      <c r="Q2948" s="5" t="s">
        <v>268</v>
      </c>
      <c r="R2948" s="5" t="s">
        <v>270</v>
      </c>
      <c r="S2948" s="5" t="s">
        <v>238</v>
      </c>
      <c r="V2948" s="5" t="s">
        <v>238</v>
      </c>
      <c r="X2948" s="6" t="s">
        <v>238</v>
      </c>
      <c r="AA2948" s="6" t="s">
        <v>243</v>
      </c>
      <c r="AB2948" s="5" t="s">
        <v>238</v>
      </c>
      <c r="AC2948" s="5" t="s">
        <v>244</v>
      </c>
      <c r="AD2948" s="5" t="s">
        <v>245</v>
      </c>
      <c r="AT2948" s="5" t="s">
        <v>246</v>
      </c>
      <c r="AU2948" s="5" t="s">
        <v>238</v>
      </c>
      <c r="AV2948" s="5" t="s">
        <v>247</v>
      </c>
      <c r="AW2948" s="5" t="s">
        <v>238</v>
      </c>
      <c r="AX2948" s="5" t="s">
        <v>249</v>
      </c>
      <c r="AY2948" s="5" t="s">
        <v>238</v>
      </c>
      <c r="BA2948" s="5" t="s">
        <v>238</v>
      </c>
      <c r="BC2948" s="5" t="s">
        <v>250</v>
      </c>
      <c r="BD2948" s="6" t="s">
        <v>243</v>
      </c>
      <c r="BE2948" s="5" t="s">
        <v>251</v>
      </c>
      <c r="BF2948" s="5" t="s">
        <v>252</v>
      </c>
      <c r="BG2948" s="5" t="s">
        <v>238</v>
      </c>
      <c r="BH2948" s="7">
        <f>0</f>
        <v>0</v>
      </c>
      <c r="BI2948" s="8">
        <f>0</f>
        <v>0</v>
      </c>
      <c r="BJ2948" s="5" t="s">
        <v>253</v>
      </c>
      <c r="BK2948" s="5" t="s">
        <v>254</v>
      </c>
      <c r="BY2948" s="5" t="s">
        <v>238</v>
      </c>
      <c r="BZ2948" s="5" t="s">
        <v>238</v>
      </c>
      <c r="CD2948" s="5" t="s">
        <v>273</v>
      </c>
      <c r="CE2948" s="5" t="s">
        <v>256</v>
      </c>
      <c r="CF2948" s="5" t="s">
        <v>238</v>
      </c>
      <c r="CI2948" s="6" t="s">
        <v>257</v>
      </c>
      <c r="CJ2948" s="5" t="s">
        <v>238</v>
      </c>
      <c r="CK2948" s="5" t="s">
        <v>258</v>
      </c>
      <c r="CL2948" s="5" t="s">
        <v>238</v>
      </c>
      <c r="CM2948" s="5" t="s">
        <v>238</v>
      </c>
      <c r="CN2948" s="5">
        <v>0</v>
      </c>
      <c r="CO2948" s="5" t="s">
        <v>259</v>
      </c>
      <c r="CP2948" s="5" t="s">
        <v>260</v>
      </c>
      <c r="CQ2948" s="5" t="s">
        <v>260</v>
      </c>
      <c r="CR2948" s="5" t="s">
        <v>261</v>
      </c>
      <c r="CU2948" s="8">
        <f>1</f>
        <v>1</v>
      </c>
      <c r="CV2948" s="8">
        <f>0</f>
        <v>0</v>
      </c>
      <c r="CX2948" s="8">
        <f>0</f>
        <v>0</v>
      </c>
      <c r="CY2948" s="8">
        <f>1</f>
        <v>1</v>
      </c>
      <c r="DA2948" s="5" t="s">
        <v>274</v>
      </c>
      <c r="DB2948" s="5" t="s">
        <v>238</v>
      </c>
      <c r="DD2948" s="5" t="s">
        <v>274</v>
      </c>
      <c r="DE2948" s="8">
        <f>1727</f>
        <v>1727</v>
      </c>
      <c r="DG2948" s="5" t="s">
        <v>238</v>
      </c>
      <c r="DH2948" s="5" t="s">
        <v>238</v>
      </c>
      <c r="DI2948" s="5" t="s">
        <v>238</v>
      </c>
      <c r="DJ2948" s="5" t="s">
        <v>238</v>
      </c>
      <c r="DN2948" s="5" t="s">
        <v>238</v>
      </c>
      <c r="DO2948" s="5" t="s">
        <v>238</v>
      </c>
      <c r="DP2948" s="5" t="s">
        <v>238</v>
      </c>
      <c r="DQ2948" s="5" t="s">
        <v>238</v>
      </c>
      <c r="DT2948" s="5" t="s">
        <v>275</v>
      </c>
      <c r="DU2948" s="5" t="s">
        <v>2863</v>
      </c>
      <c r="HM2948" s="5" t="s">
        <v>264</v>
      </c>
    </row>
    <row r="2949" spans="1:221" x14ac:dyDescent="0.4">
      <c r="A2949" s="5">
        <v>4653</v>
      </c>
      <c r="B2949" s="5">
        <v>1</v>
      </c>
      <c r="C2949" s="5">
        <v>1</v>
      </c>
      <c r="D2949" s="5" t="s">
        <v>269</v>
      </c>
      <c r="E2949" s="5" t="s">
        <v>271</v>
      </c>
      <c r="F2949" s="5" t="s">
        <v>248</v>
      </c>
      <c r="G2949" s="5" t="s">
        <v>266</v>
      </c>
      <c r="H2949" s="6" t="s">
        <v>3968</v>
      </c>
      <c r="I2949" s="7">
        <f>185</f>
        <v>185</v>
      </c>
      <c r="J2949" s="5" t="s">
        <v>262</v>
      </c>
      <c r="K2949" s="8">
        <f>1</f>
        <v>1</v>
      </c>
      <c r="L2949" s="6" t="s">
        <v>242</v>
      </c>
      <c r="M2949" s="5" t="s">
        <v>267</v>
      </c>
      <c r="N2949" s="5" t="s">
        <v>265</v>
      </c>
      <c r="O2949" s="5" t="s">
        <v>238</v>
      </c>
      <c r="P2949" s="5" t="s">
        <v>238</v>
      </c>
      <c r="Q2949" s="5" t="s">
        <v>268</v>
      </c>
      <c r="R2949" s="5" t="s">
        <v>270</v>
      </c>
      <c r="S2949" s="5" t="s">
        <v>238</v>
      </c>
      <c r="V2949" s="5" t="s">
        <v>238</v>
      </c>
      <c r="X2949" s="6" t="s">
        <v>238</v>
      </c>
      <c r="AA2949" s="6" t="s">
        <v>243</v>
      </c>
      <c r="AB2949" s="5" t="s">
        <v>238</v>
      </c>
      <c r="AC2949" s="5" t="s">
        <v>244</v>
      </c>
      <c r="AD2949" s="5" t="s">
        <v>245</v>
      </c>
      <c r="AT2949" s="5" t="s">
        <v>246</v>
      </c>
      <c r="AU2949" s="5" t="s">
        <v>238</v>
      </c>
      <c r="AV2949" s="5" t="s">
        <v>247</v>
      </c>
      <c r="AW2949" s="5" t="s">
        <v>238</v>
      </c>
      <c r="AX2949" s="5" t="s">
        <v>249</v>
      </c>
      <c r="AY2949" s="5" t="s">
        <v>238</v>
      </c>
      <c r="BA2949" s="5" t="s">
        <v>238</v>
      </c>
      <c r="BC2949" s="5" t="s">
        <v>250</v>
      </c>
      <c r="BD2949" s="6" t="s">
        <v>243</v>
      </c>
      <c r="BE2949" s="5" t="s">
        <v>251</v>
      </c>
      <c r="BF2949" s="5" t="s">
        <v>252</v>
      </c>
      <c r="BG2949" s="5" t="s">
        <v>238</v>
      </c>
      <c r="BH2949" s="7">
        <f>0</f>
        <v>0</v>
      </c>
      <c r="BI2949" s="8">
        <f>0</f>
        <v>0</v>
      </c>
      <c r="BJ2949" s="5" t="s">
        <v>253</v>
      </c>
      <c r="BK2949" s="5" t="s">
        <v>254</v>
      </c>
      <c r="BY2949" s="5" t="s">
        <v>238</v>
      </c>
      <c r="BZ2949" s="5" t="s">
        <v>238</v>
      </c>
      <c r="CD2949" s="5" t="s">
        <v>273</v>
      </c>
      <c r="CE2949" s="5" t="s">
        <v>256</v>
      </c>
      <c r="CF2949" s="5" t="s">
        <v>238</v>
      </c>
      <c r="CI2949" s="6" t="s">
        <v>257</v>
      </c>
      <c r="CJ2949" s="5" t="s">
        <v>238</v>
      </c>
      <c r="CK2949" s="5" t="s">
        <v>258</v>
      </c>
      <c r="CL2949" s="5" t="s">
        <v>238</v>
      </c>
      <c r="CM2949" s="5" t="s">
        <v>238</v>
      </c>
      <c r="CN2949" s="5">
        <v>0</v>
      </c>
      <c r="CO2949" s="5" t="s">
        <v>259</v>
      </c>
      <c r="CP2949" s="5" t="s">
        <v>260</v>
      </c>
      <c r="CQ2949" s="5" t="s">
        <v>260</v>
      </c>
      <c r="CR2949" s="5" t="s">
        <v>261</v>
      </c>
      <c r="CU2949" s="8">
        <f>1</f>
        <v>1</v>
      </c>
      <c r="CV2949" s="8">
        <f>0</f>
        <v>0</v>
      </c>
      <c r="CX2949" s="8">
        <f>0</f>
        <v>0</v>
      </c>
      <c r="CY2949" s="8">
        <f>1</f>
        <v>1</v>
      </c>
      <c r="DA2949" s="5" t="s">
        <v>274</v>
      </c>
      <c r="DB2949" s="5" t="s">
        <v>238</v>
      </c>
      <c r="DD2949" s="5" t="s">
        <v>274</v>
      </c>
      <c r="DE2949" s="8">
        <f>185</f>
        <v>185</v>
      </c>
      <c r="DG2949" s="5" t="s">
        <v>238</v>
      </c>
      <c r="DH2949" s="5" t="s">
        <v>238</v>
      </c>
      <c r="DI2949" s="5" t="s">
        <v>238</v>
      </c>
      <c r="DJ2949" s="5" t="s">
        <v>238</v>
      </c>
      <c r="DN2949" s="5" t="s">
        <v>238</v>
      </c>
      <c r="DO2949" s="5" t="s">
        <v>238</v>
      </c>
      <c r="DP2949" s="5" t="s">
        <v>238</v>
      </c>
      <c r="DQ2949" s="5" t="s">
        <v>238</v>
      </c>
      <c r="DT2949" s="5" t="s">
        <v>275</v>
      </c>
      <c r="DU2949" s="5" t="s">
        <v>2786</v>
      </c>
      <c r="HM2949" s="5" t="s">
        <v>264</v>
      </c>
    </row>
    <row r="2950" spans="1:221" x14ac:dyDescent="0.4">
      <c r="A2950" s="5">
        <v>4654</v>
      </c>
      <c r="B2950" s="5">
        <v>1</v>
      </c>
      <c r="C2950" s="5">
        <v>1</v>
      </c>
      <c r="D2950" s="5" t="s">
        <v>269</v>
      </c>
      <c r="E2950" s="5" t="s">
        <v>271</v>
      </c>
      <c r="F2950" s="5" t="s">
        <v>248</v>
      </c>
      <c r="G2950" s="5" t="s">
        <v>266</v>
      </c>
      <c r="H2950" s="6" t="s">
        <v>3969</v>
      </c>
      <c r="I2950" s="7">
        <f>575</f>
        <v>575</v>
      </c>
      <c r="J2950" s="5" t="s">
        <v>262</v>
      </c>
      <c r="K2950" s="8">
        <f>1</f>
        <v>1</v>
      </c>
      <c r="L2950" s="6" t="s">
        <v>242</v>
      </c>
      <c r="M2950" s="5" t="s">
        <v>267</v>
      </c>
      <c r="N2950" s="5" t="s">
        <v>265</v>
      </c>
      <c r="O2950" s="5" t="s">
        <v>238</v>
      </c>
      <c r="P2950" s="5" t="s">
        <v>238</v>
      </c>
      <c r="Q2950" s="5" t="s">
        <v>268</v>
      </c>
      <c r="R2950" s="5" t="s">
        <v>270</v>
      </c>
      <c r="S2950" s="5" t="s">
        <v>238</v>
      </c>
      <c r="V2950" s="5" t="s">
        <v>238</v>
      </c>
      <c r="X2950" s="6" t="s">
        <v>238</v>
      </c>
      <c r="AA2950" s="6" t="s">
        <v>243</v>
      </c>
      <c r="AB2950" s="5" t="s">
        <v>238</v>
      </c>
      <c r="AC2950" s="5" t="s">
        <v>244</v>
      </c>
      <c r="AD2950" s="5" t="s">
        <v>245</v>
      </c>
      <c r="AT2950" s="5" t="s">
        <v>246</v>
      </c>
      <c r="AU2950" s="5" t="s">
        <v>238</v>
      </c>
      <c r="AV2950" s="5" t="s">
        <v>247</v>
      </c>
      <c r="AW2950" s="5" t="s">
        <v>238</v>
      </c>
      <c r="AX2950" s="5" t="s">
        <v>249</v>
      </c>
      <c r="AY2950" s="5" t="s">
        <v>238</v>
      </c>
      <c r="BA2950" s="5" t="s">
        <v>238</v>
      </c>
      <c r="BC2950" s="5" t="s">
        <v>250</v>
      </c>
      <c r="BD2950" s="6" t="s">
        <v>243</v>
      </c>
      <c r="BE2950" s="5" t="s">
        <v>251</v>
      </c>
      <c r="BF2950" s="5" t="s">
        <v>252</v>
      </c>
      <c r="BG2950" s="5" t="s">
        <v>238</v>
      </c>
      <c r="BH2950" s="7">
        <f>0</f>
        <v>0</v>
      </c>
      <c r="BI2950" s="8">
        <f>0</f>
        <v>0</v>
      </c>
      <c r="BJ2950" s="5" t="s">
        <v>253</v>
      </c>
      <c r="BK2950" s="5" t="s">
        <v>254</v>
      </c>
      <c r="BY2950" s="5" t="s">
        <v>238</v>
      </c>
      <c r="BZ2950" s="5" t="s">
        <v>238</v>
      </c>
      <c r="CD2950" s="5" t="s">
        <v>273</v>
      </c>
      <c r="CE2950" s="5" t="s">
        <v>256</v>
      </c>
      <c r="CF2950" s="5" t="s">
        <v>238</v>
      </c>
      <c r="CI2950" s="6" t="s">
        <v>257</v>
      </c>
      <c r="CJ2950" s="5" t="s">
        <v>238</v>
      </c>
      <c r="CK2950" s="5" t="s">
        <v>258</v>
      </c>
      <c r="CL2950" s="5" t="s">
        <v>238</v>
      </c>
      <c r="CM2950" s="5" t="s">
        <v>238</v>
      </c>
      <c r="CN2950" s="5">
        <v>0</v>
      </c>
      <c r="CO2950" s="5" t="s">
        <v>259</v>
      </c>
      <c r="CP2950" s="5" t="s">
        <v>260</v>
      </c>
      <c r="CQ2950" s="5" t="s">
        <v>260</v>
      </c>
      <c r="CR2950" s="5" t="s">
        <v>261</v>
      </c>
      <c r="CU2950" s="8">
        <f>1</f>
        <v>1</v>
      </c>
      <c r="CV2950" s="8">
        <f>0</f>
        <v>0</v>
      </c>
      <c r="CX2950" s="8">
        <f>0</f>
        <v>0</v>
      </c>
      <c r="CY2950" s="8">
        <f>1</f>
        <v>1</v>
      </c>
      <c r="DA2950" s="5" t="s">
        <v>274</v>
      </c>
      <c r="DB2950" s="5" t="s">
        <v>238</v>
      </c>
      <c r="DD2950" s="5" t="s">
        <v>274</v>
      </c>
      <c r="DE2950" s="8">
        <f>575</f>
        <v>575</v>
      </c>
      <c r="DG2950" s="5" t="s">
        <v>238</v>
      </c>
      <c r="DH2950" s="5" t="s">
        <v>238</v>
      </c>
      <c r="DI2950" s="5" t="s">
        <v>238</v>
      </c>
      <c r="DJ2950" s="5" t="s">
        <v>238</v>
      </c>
      <c r="DN2950" s="5" t="s">
        <v>238</v>
      </c>
      <c r="DO2950" s="5" t="s">
        <v>238</v>
      </c>
      <c r="DP2950" s="5" t="s">
        <v>238</v>
      </c>
      <c r="DQ2950" s="5" t="s">
        <v>238</v>
      </c>
      <c r="DT2950" s="5" t="s">
        <v>275</v>
      </c>
      <c r="DU2950" s="5" t="s">
        <v>2922</v>
      </c>
      <c r="HM2950" s="5" t="s">
        <v>264</v>
      </c>
    </row>
    <row r="2951" spans="1:221" x14ac:dyDescent="0.4">
      <c r="A2951" s="5">
        <v>4655</v>
      </c>
      <c r="B2951" s="5">
        <v>1</v>
      </c>
      <c r="C2951" s="5">
        <v>1</v>
      </c>
      <c r="D2951" s="5" t="s">
        <v>269</v>
      </c>
      <c r="E2951" s="5" t="s">
        <v>271</v>
      </c>
      <c r="F2951" s="5" t="s">
        <v>248</v>
      </c>
      <c r="G2951" s="5" t="s">
        <v>266</v>
      </c>
      <c r="H2951" s="6" t="s">
        <v>3970</v>
      </c>
      <c r="I2951" s="7">
        <f>759</f>
        <v>759</v>
      </c>
      <c r="J2951" s="5" t="s">
        <v>262</v>
      </c>
      <c r="K2951" s="8">
        <f>1</f>
        <v>1</v>
      </c>
      <c r="L2951" s="6" t="s">
        <v>242</v>
      </c>
      <c r="M2951" s="5" t="s">
        <v>267</v>
      </c>
      <c r="N2951" s="5" t="s">
        <v>265</v>
      </c>
      <c r="O2951" s="5" t="s">
        <v>238</v>
      </c>
      <c r="P2951" s="5" t="s">
        <v>238</v>
      </c>
      <c r="Q2951" s="5" t="s">
        <v>268</v>
      </c>
      <c r="R2951" s="5" t="s">
        <v>270</v>
      </c>
      <c r="S2951" s="5" t="s">
        <v>238</v>
      </c>
      <c r="V2951" s="5" t="s">
        <v>238</v>
      </c>
      <c r="X2951" s="6" t="s">
        <v>238</v>
      </c>
      <c r="AA2951" s="6" t="s">
        <v>243</v>
      </c>
      <c r="AB2951" s="5" t="s">
        <v>238</v>
      </c>
      <c r="AC2951" s="5" t="s">
        <v>244</v>
      </c>
      <c r="AD2951" s="5" t="s">
        <v>245</v>
      </c>
      <c r="AT2951" s="5" t="s">
        <v>246</v>
      </c>
      <c r="AU2951" s="5" t="s">
        <v>238</v>
      </c>
      <c r="AV2951" s="5" t="s">
        <v>247</v>
      </c>
      <c r="AW2951" s="5" t="s">
        <v>238</v>
      </c>
      <c r="AX2951" s="5" t="s">
        <v>249</v>
      </c>
      <c r="AY2951" s="5" t="s">
        <v>238</v>
      </c>
      <c r="BA2951" s="5" t="s">
        <v>238</v>
      </c>
      <c r="BC2951" s="5" t="s">
        <v>250</v>
      </c>
      <c r="BD2951" s="6" t="s">
        <v>243</v>
      </c>
      <c r="BE2951" s="5" t="s">
        <v>251</v>
      </c>
      <c r="BF2951" s="5" t="s">
        <v>252</v>
      </c>
      <c r="BG2951" s="5" t="s">
        <v>238</v>
      </c>
      <c r="BH2951" s="7">
        <f>0</f>
        <v>0</v>
      </c>
      <c r="BI2951" s="8">
        <f>0</f>
        <v>0</v>
      </c>
      <c r="BJ2951" s="5" t="s">
        <v>253</v>
      </c>
      <c r="BK2951" s="5" t="s">
        <v>254</v>
      </c>
      <c r="BY2951" s="5" t="s">
        <v>238</v>
      </c>
      <c r="BZ2951" s="5" t="s">
        <v>238</v>
      </c>
      <c r="CD2951" s="5" t="s">
        <v>273</v>
      </c>
      <c r="CE2951" s="5" t="s">
        <v>256</v>
      </c>
      <c r="CF2951" s="5" t="s">
        <v>238</v>
      </c>
      <c r="CI2951" s="6" t="s">
        <v>257</v>
      </c>
      <c r="CJ2951" s="5" t="s">
        <v>238</v>
      </c>
      <c r="CK2951" s="5" t="s">
        <v>258</v>
      </c>
      <c r="CL2951" s="5" t="s">
        <v>238</v>
      </c>
      <c r="CM2951" s="5" t="s">
        <v>238</v>
      </c>
      <c r="CN2951" s="5">
        <v>0</v>
      </c>
      <c r="CO2951" s="5" t="s">
        <v>259</v>
      </c>
      <c r="CP2951" s="5" t="s">
        <v>260</v>
      </c>
      <c r="CQ2951" s="5" t="s">
        <v>260</v>
      </c>
      <c r="CR2951" s="5" t="s">
        <v>261</v>
      </c>
      <c r="CU2951" s="8">
        <f>1</f>
        <v>1</v>
      </c>
      <c r="CV2951" s="8">
        <f>0</f>
        <v>0</v>
      </c>
      <c r="CX2951" s="8">
        <f>0</f>
        <v>0</v>
      </c>
      <c r="CY2951" s="8">
        <f>1</f>
        <v>1</v>
      </c>
      <c r="DA2951" s="5" t="s">
        <v>274</v>
      </c>
      <c r="DB2951" s="5" t="s">
        <v>238</v>
      </c>
      <c r="DD2951" s="5" t="s">
        <v>274</v>
      </c>
      <c r="DE2951" s="8">
        <f>759</f>
        <v>759</v>
      </c>
      <c r="DG2951" s="5" t="s">
        <v>238</v>
      </c>
      <c r="DH2951" s="5" t="s">
        <v>238</v>
      </c>
      <c r="DI2951" s="5" t="s">
        <v>238</v>
      </c>
      <c r="DJ2951" s="5" t="s">
        <v>238</v>
      </c>
      <c r="DN2951" s="5" t="s">
        <v>238</v>
      </c>
      <c r="DO2951" s="5" t="s">
        <v>238</v>
      </c>
      <c r="DP2951" s="5" t="s">
        <v>238</v>
      </c>
      <c r="DQ2951" s="5" t="s">
        <v>238</v>
      </c>
      <c r="DT2951" s="5" t="s">
        <v>275</v>
      </c>
      <c r="DU2951" s="5" t="s">
        <v>2969</v>
      </c>
      <c r="HM2951" s="5" t="s">
        <v>264</v>
      </c>
    </row>
    <row r="2952" spans="1:221" x14ac:dyDescent="0.4">
      <c r="A2952" s="5">
        <v>4656</v>
      </c>
      <c r="B2952" s="5">
        <v>1</v>
      </c>
      <c r="C2952" s="5">
        <v>1</v>
      </c>
      <c r="D2952" s="5" t="s">
        <v>269</v>
      </c>
      <c r="E2952" s="5" t="s">
        <v>271</v>
      </c>
      <c r="F2952" s="5" t="s">
        <v>248</v>
      </c>
      <c r="G2952" s="5" t="s">
        <v>266</v>
      </c>
      <c r="H2952" s="6" t="s">
        <v>3974</v>
      </c>
      <c r="I2952" s="7">
        <f>299</f>
        <v>299</v>
      </c>
      <c r="J2952" s="5" t="s">
        <v>262</v>
      </c>
      <c r="K2952" s="8">
        <f>1</f>
        <v>1</v>
      </c>
      <c r="L2952" s="6" t="s">
        <v>242</v>
      </c>
      <c r="M2952" s="5" t="s">
        <v>267</v>
      </c>
      <c r="N2952" s="5" t="s">
        <v>265</v>
      </c>
      <c r="O2952" s="5" t="s">
        <v>238</v>
      </c>
      <c r="P2952" s="5" t="s">
        <v>238</v>
      </c>
      <c r="Q2952" s="5" t="s">
        <v>268</v>
      </c>
      <c r="R2952" s="5" t="s">
        <v>270</v>
      </c>
      <c r="S2952" s="5" t="s">
        <v>238</v>
      </c>
      <c r="V2952" s="5" t="s">
        <v>238</v>
      </c>
      <c r="X2952" s="6" t="s">
        <v>238</v>
      </c>
      <c r="AA2952" s="6" t="s">
        <v>243</v>
      </c>
      <c r="AB2952" s="5" t="s">
        <v>238</v>
      </c>
      <c r="AC2952" s="5" t="s">
        <v>244</v>
      </c>
      <c r="AD2952" s="5" t="s">
        <v>245</v>
      </c>
      <c r="AT2952" s="5" t="s">
        <v>246</v>
      </c>
      <c r="AU2952" s="5" t="s">
        <v>238</v>
      </c>
      <c r="AV2952" s="5" t="s">
        <v>247</v>
      </c>
      <c r="AW2952" s="5" t="s">
        <v>238</v>
      </c>
      <c r="AX2952" s="5" t="s">
        <v>249</v>
      </c>
      <c r="AY2952" s="5" t="s">
        <v>238</v>
      </c>
      <c r="BA2952" s="5" t="s">
        <v>238</v>
      </c>
      <c r="BC2952" s="5" t="s">
        <v>250</v>
      </c>
      <c r="BD2952" s="6" t="s">
        <v>243</v>
      </c>
      <c r="BE2952" s="5" t="s">
        <v>251</v>
      </c>
      <c r="BF2952" s="5" t="s">
        <v>252</v>
      </c>
      <c r="BG2952" s="5" t="s">
        <v>238</v>
      </c>
      <c r="BH2952" s="7">
        <f>0</f>
        <v>0</v>
      </c>
      <c r="BI2952" s="8">
        <f>0</f>
        <v>0</v>
      </c>
      <c r="BJ2952" s="5" t="s">
        <v>253</v>
      </c>
      <c r="BK2952" s="5" t="s">
        <v>254</v>
      </c>
      <c r="BY2952" s="5" t="s">
        <v>238</v>
      </c>
      <c r="BZ2952" s="5" t="s">
        <v>238</v>
      </c>
      <c r="CD2952" s="5" t="s">
        <v>273</v>
      </c>
      <c r="CE2952" s="5" t="s">
        <v>256</v>
      </c>
      <c r="CF2952" s="5" t="s">
        <v>238</v>
      </c>
      <c r="CI2952" s="6" t="s">
        <v>257</v>
      </c>
      <c r="CJ2952" s="5" t="s">
        <v>238</v>
      </c>
      <c r="CK2952" s="5" t="s">
        <v>258</v>
      </c>
      <c r="CL2952" s="5" t="s">
        <v>238</v>
      </c>
      <c r="CM2952" s="5" t="s">
        <v>238</v>
      </c>
      <c r="CN2952" s="5">
        <v>0</v>
      </c>
      <c r="CO2952" s="5" t="s">
        <v>259</v>
      </c>
      <c r="CP2952" s="5" t="s">
        <v>260</v>
      </c>
      <c r="CQ2952" s="5" t="s">
        <v>260</v>
      </c>
      <c r="CR2952" s="5" t="s">
        <v>261</v>
      </c>
      <c r="CU2952" s="8">
        <f>1</f>
        <v>1</v>
      </c>
      <c r="CV2952" s="8">
        <f>0</f>
        <v>0</v>
      </c>
      <c r="CX2952" s="8">
        <f>0</f>
        <v>0</v>
      </c>
      <c r="CY2952" s="8">
        <f>1</f>
        <v>1</v>
      </c>
      <c r="DA2952" s="5" t="s">
        <v>274</v>
      </c>
      <c r="DB2952" s="5" t="s">
        <v>238</v>
      </c>
      <c r="DD2952" s="5" t="s">
        <v>274</v>
      </c>
      <c r="DE2952" s="8">
        <f>299</f>
        <v>299</v>
      </c>
      <c r="DG2952" s="5" t="s">
        <v>238</v>
      </c>
      <c r="DH2952" s="5" t="s">
        <v>238</v>
      </c>
      <c r="DI2952" s="5" t="s">
        <v>238</v>
      </c>
      <c r="DJ2952" s="5" t="s">
        <v>238</v>
      </c>
      <c r="DN2952" s="5" t="s">
        <v>238</v>
      </c>
      <c r="DO2952" s="5" t="s">
        <v>238</v>
      </c>
      <c r="DP2952" s="5" t="s">
        <v>238</v>
      </c>
      <c r="DQ2952" s="5" t="s">
        <v>238</v>
      </c>
      <c r="DT2952" s="5" t="s">
        <v>275</v>
      </c>
      <c r="DU2952" s="5" t="s">
        <v>2959</v>
      </c>
      <c r="HM2952" s="5" t="s">
        <v>264</v>
      </c>
    </row>
    <row r="2953" spans="1:221" x14ac:dyDescent="0.4">
      <c r="A2953" s="5">
        <v>4657</v>
      </c>
      <c r="B2953" s="5">
        <v>1</v>
      </c>
      <c r="C2953" s="5">
        <v>1</v>
      </c>
      <c r="D2953" s="5" t="s">
        <v>269</v>
      </c>
      <c r="E2953" s="5" t="s">
        <v>271</v>
      </c>
      <c r="F2953" s="5" t="s">
        <v>248</v>
      </c>
      <c r="G2953" s="5" t="s">
        <v>266</v>
      </c>
      <c r="H2953" s="6" t="s">
        <v>3972</v>
      </c>
      <c r="I2953" s="7">
        <f>32</f>
        <v>32</v>
      </c>
      <c r="J2953" s="5" t="s">
        <v>262</v>
      </c>
      <c r="K2953" s="8">
        <f>1</f>
        <v>1</v>
      </c>
      <c r="L2953" s="6" t="s">
        <v>242</v>
      </c>
      <c r="M2953" s="5" t="s">
        <v>267</v>
      </c>
      <c r="N2953" s="5" t="s">
        <v>265</v>
      </c>
      <c r="O2953" s="5" t="s">
        <v>238</v>
      </c>
      <c r="P2953" s="5" t="s">
        <v>238</v>
      </c>
      <c r="Q2953" s="5" t="s">
        <v>268</v>
      </c>
      <c r="R2953" s="5" t="s">
        <v>270</v>
      </c>
      <c r="S2953" s="5" t="s">
        <v>238</v>
      </c>
      <c r="V2953" s="5" t="s">
        <v>238</v>
      </c>
      <c r="X2953" s="6" t="s">
        <v>238</v>
      </c>
      <c r="AA2953" s="6" t="s">
        <v>243</v>
      </c>
      <c r="AB2953" s="5" t="s">
        <v>238</v>
      </c>
      <c r="AC2953" s="5" t="s">
        <v>244</v>
      </c>
      <c r="AD2953" s="5" t="s">
        <v>245</v>
      </c>
      <c r="AT2953" s="5" t="s">
        <v>246</v>
      </c>
      <c r="AU2953" s="5" t="s">
        <v>238</v>
      </c>
      <c r="AV2953" s="5" t="s">
        <v>247</v>
      </c>
      <c r="AW2953" s="5" t="s">
        <v>238</v>
      </c>
      <c r="AX2953" s="5" t="s">
        <v>249</v>
      </c>
      <c r="AY2953" s="5" t="s">
        <v>238</v>
      </c>
      <c r="BA2953" s="5" t="s">
        <v>238</v>
      </c>
      <c r="BC2953" s="5" t="s">
        <v>250</v>
      </c>
      <c r="BD2953" s="6" t="s">
        <v>243</v>
      </c>
      <c r="BE2953" s="5" t="s">
        <v>251</v>
      </c>
      <c r="BF2953" s="5" t="s">
        <v>252</v>
      </c>
      <c r="BG2953" s="5" t="s">
        <v>238</v>
      </c>
      <c r="BH2953" s="7">
        <f>0</f>
        <v>0</v>
      </c>
      <c r="BI2953" s="8">
        <f>0</f>
        <v>0</v>
      </c>
      <c r="BJ2953" s="5" t="s">
        <v>253</v>
      </c>
      <c r="BK2953" s="5" t="s">
        <v>254</v>
      </c>
      <c r="BY2953" s="5" t="s">
        <v>238</v>
      </c>
      <c r="BZ2953" s="5" t="s">
        <v>238</v>
      </c>
      <c r="CD2953" s="5" t="s">
        <v>273</v>
      </c>
      <c r="CE2953" s="5" t="s">
        <v>256</v>
      </c>
      <c r="CF2953" s="5" t="s">
        <v>238</v>
      </c>
      <c r="CI2953" s="6" t="s">
        <v>257</v>
      </c>
      <c r="CJ2953" s="5" t="s">
        <v>238</v>
      </c>
      <c r="CK2953" s="5" t="s">
        <v>258</v>
      </c>
      <c r="CL2953" s="5" t="s">
        <v>238</v>
      </c>
      <c r="CM2953" s="5" t="s">
        <v>238</v>
      </c>
      <c r="CN2953" s="5">
        <v>0</v>
      </c>
      <c r="CO2953" s="5" t="s">
        <v>259</v>
      </c>
      <c r="CP2953" s="5" t="s">
        <v>260</v>
      </c>
      <c r="CQ2953" s="5" t="s">
        <v>260</v>
      </c>
      <c r="CR2953" s="5" t="s">
        <v>261</v>
      </c>
      <c r="CU2953" s="8">
        <f>1</f>
        <v>1</v>
      </c>
      <c r="CV2953" s="8">
        <f>0</f>
        <v>0</v>
      </c>
      <c r="CX2953" s="8">
        <f>0</f>
        <v>0</v>
      </c>
      <c r="CY2953" s="8">
        <f>1</f>
        <v>1</v>
      </c>
      <c r="DA2953" s="5" t="s">
        <v>274</v>
      </c>
      <c r="DB2953" s="5" t="s">
        <v>238</v>
      </c>
      <c r="DD2953" s="5" t="s">
        <v>274</v>
      </c>
      <c r="DE2953" s="8">
        <f>32</f>
        <v>32</v>
      </c>
      <c r="DG2953" s="5" t="s">
        <v>238</v>
      </c>
      <c r="DH2953" s="5" t="s">
        <v>238</v>
      </c>
      <c r="DI2953" s="5" t="s">
        <v>238</v>
      </c>
      <c r="DJ2953" s="5" t="s">
        <v>238</v>
      </c>
      <c r="DN2953" s="5" t="s">
        <v>238</v>
      </c>
      <c r="DO2953" s="5" t="s">
        <v>238</v>
      </c>
      <c r="DP2953" s="5" t="s">
        <v>238</v>
      </c>
      <c r="DQ2953" s="5" t="s">
        <v>238</v>
      </c>
      <c r="DT2953" s="5" t="s">
        <v>275</v>
      </c>
      <c r="DU2953" s="5" t="s">
        <v>3083</v>
      </c>
      <c r="HM2953" s="5" t="s">
        <v>264</v>
      </c>
    </row>
    <row r="2954" spans="1:221" x14ac:dyDescent="0.4">
      <c r="A2954" s="5">
        <v>4658</v>
      </c>
      <c r="B2954" s="5">
        <v>1</v>
      </c>
      <c r="C2954" s="5">
        <v>1</v>
      </c>
      <c r="D2954" s="5" t="s">
        <v>269</v>
      </c>
      <c r="E2954" s="5" t="s">
        <v>271</v>
      </c>
      <c r="F2954" s="5" t="s">
        <v>248</v>
      </c>
      <c r="G2954" s="5" t="s">
        <v>266</v>
      </c>
      <c r="H2954" s="6" t="s">
        <v>3975</v>
      </c>
      <c r="I2954" s="7">
        <f>604</f>
        <v>604</v>
      </c>
      <c r="J2954" s="5" t="s">
        <v>262</v>
      </c>
      <c r="K2954" s="8">
        <f>1</f>
        <v>1</v>
      </c>
      <c r="L2954" s="6" t="s">
        <v>242</v>
      </c>
      <c r="M2954" s="5" t="s">
        <v>267</v>
      </c>
      <c r="N2954" s="5" t="s">
        <v>265</v>
      </c>
      <c r="O2954" s="5" t="s">
        <v>238</v>
      </c>
      <c r="P2954" s="5" t="s">
        <v>238</v>
      </c>
      <c r="Q2954" s="5" t="s">
        <v>268</v>
      </c>
      <c r="R2954" s="5" t="s">
        <v>270</v>
      </c>
      <c r="S2954" s="5" t="s">
        <v>238</v>
      </c>
      <c r="V2954" s="5" t="s">
        <v>238</v>
      </c>
      <c r="X2954" s="6" t="s">
        <v>238</v>
      </c>
      <c r="AA2954" s="6" t="s">
        <v>243</v>
      </c>
      <c r="AB2954" s="5" t="s">
        <v>238</v>
      </c>
      <c r="AC2954" s="5" t="s">
        <v>244</v>
      </c>
      <c r="AD2954" s="5" t="s">
        <v>245</v>
      </c>
      <c r="AT2954" s="5" t="s">
        <v>246</v>
      </c>
      <c r="AU2954" s="5" t="s">
        <v>238</v>
      </c>
      <c r="AV2954" s="5" t="s">
        <v>247</v>
      </c>
      <c r="AW2954" s="5" t="s">
        <v>238</v>
      </c>
      <c r="AX2954" s="5" t="s">
        <v>249</v>
      </c>
      <c r="AY2954" s="5" t="s">
        <v>238</v>
      </c>
      <c r="BA2954" s="5" t="s">
        <v>238</v>
      </c>
      <c r="BC2954" s="5" t="s">
        <v>250</v>
      </c>
      <c r="BD2954" s="6" t="s">
        <v>243</v>
      </c>
      <c r="BE2954" s="5" t="s">
        <v>251</v>
      </c>
      <c r="BF2954" s="5" t="s">
        <v>252</v>
      </c>
      <c r="BG2954" s="5" t="s">
        <v>238</v>
      </c>
      <c r="BH2954" s="7">
        <f>0</f>
        <v>0</v>
      </c>
      <c r="BI2954" s="8">
        <f>0</f>
        <v>0</v>
      </c>
      <c r="BJ2954" s="5" t="s">
        <v>253</v>
      </c>
      <c r="BK2954" s="5" t="s">
        <v>254</v>
      </c>
      <c r="BY2954" s="5" t="s">
        <v>238</v>
      </c>
      <c r="BZ2954" s="5" t="s">
        <v>238</v>
      </c>
      <c r="CD2954" s="5" t="s">
        <v>273</v>
      </c>
      <c r="CE2954" s="5" t="s">
        <v>256</v>
      </c>
      <c r="CF2954" s="5" t="s">
        <v>238</v>
      </c>
      <c r="CI2954" s="6" t="s">
        <v>257</v>
      </c>
      <c r="CJ2954" s="5" t="s">
        <v>238</v>
      </c>
      <c r="CK2954" s="5" t="s">
        <v>258</v>
      </c>
      <c r="CL2954" s="5" t="s">
        <v>238</v>
      </c>
      <c r="CM2954" s="5" t="s">
        <v>238</v>
      </c>
      <c r="CN2954" s="5">
        <v>0</v>
      </c>
      <c r="CO2954" s="5" t="s">
        <v>259</v>
      </c>
      <c r="CP2954" s="5" t="s">
        <v>260</v>
      </c>
      <c r="CQ2954" s="5" t="s">
        <v>260</v>
      </c>
      <c r="CR2954" s="5" t="s">
        <v>261</v>
      </c>
      <c r="CU2954" s="8">
        <f>1</f>
        <v>1</v>
      </c>
      <c r="CV2954" s="8">
        <f>0</f>
        <v>0</v>
      </c>
      <c r="CX2954" s="8">
        <f>0</f>
        <v>0</v>
      </c>
      <c r="CY2954" s="8">
        <f>1</f>
        <v>1</v>
      </c>
      <c r="DA2954" s="5" t="s">
        <v>274</v>
      </c>
      <c r="DB2954" s="5" t="s">
        <v>238</v>
      </c>
      <c r="DD2954" s="5" t="s">
        <v>274</v>
      </c>
      <c r="DE2954" s="8">
        <f>604</f>
        <v>604</v>
      </c>
      <c r="DG2954" s="5" t="s">
        <v>238</v>
      </c>
      <c r="DH2954" s="5" t="s">
        <v>238</v>
      </c>
      <c r="DI2954" s="5" t="s">
        <v>238</v>
      </c>
      <c r="DJ2954" s="5" t="s">
        <v>238</v>
      </c>
      <c r="DN2954" s="5" t="s">
        <v>238</v>
      </c>
      <c r="DO2954" s="5" t="s">
        <v>238</v>
      </c>
      <c r="DP2954" s="5" t="s">
        <v>238</v>
      </c>
      <c r="DQ2954" s="5" t="s">
        <v>238</v>
      </c>
      <c r="DT2954" s="5" t="s">
        <v>275</v>
      </c>
      <c r="DU2954" s="5" t="s">
        <v>3034</v>
      </c>
      <c r="HM2954" s="5" t="s">
        <v>264</v>
      </c>
    </row>
    <row r="2955" spans="1:221" x14ac:dyDescent="0.4">
      <c r="A2955" s="5">
        <v>4659</v>
      </c>
      <c r="B2955" s="5">
        <v>1</v>
      </c>
      <c r="C2955" s="5">
        <v>1</v>
      </c>
      <c r="D2955" s="5" t="s">
        <v>269</v>
      </c>
      <c r="E2955" s="5" t="s">
        <v>271</v>
      </c>
      <c r="F2955" s="5" t="s">
        <v>248</v>
      </c>
      <c r="G2955" s="5" t="s">
        <v>266</v>
      </c>
      <c r="H2955" s="6" t="s">
        <v>3976</v>
      </c>
      <c r="I2955" s="7">
        <f>1968</f>
        <v>1968</v>
      </c>
      <c r="J2955" s="5" t="s">
        <v>262</v>
      </c>
      <c r="K2955" s="8">
        <f>1</f>
        <v>1</v>
      </c>
      <c r="L2955" s="6" t="s">
        <v>242</v>
      </c>
      <c r="M2955" s="5" t="s">
        <v>267</v>
      </c>
      <c r="N2955" s="5" t="s">
        <v>265</v>
      </c>
      <c r="O2955" s="5" t="s">
        <v>238</v>
      </c>
      <c r="P2955" s="5" t="s">
        <v>238</v>
      </c>
      <c r="Q2955" s="5" t="s">
        <v>268</v>
      </c>
      <c r="R2955" s="5" t="s">
        <v>270</v>
      </c>
      <c r="S2955" s="5" t="s">
        <v>238</v>
      </c>
      <c r="V2955" s="5" t="s">
        <v>238</v>
      </c>
      <c r="X2955" s="6" t="s">
        <v>238</v>
      </c>
      <c r="AA2955" s="6" t="s">
        <v>243</v>
      </c>
      <c r="AB2955" s="5" t="s">
        <v>238</v>
      </c>
      <c r="AC2955" s="5" t="s">
        <v>244</v>
      </c>
      <c r="AD2955" s="5" t="s">
        <v>245</v>
      </c>
      <c r="AT2955" s="5" t="s">
        <v>246</v>
      </c>
      <c r="AU2955" s="5" t="s">
        <v>238</v>
      </c>
      <c r="AV2955" s="5" t="s">
        <v>247</v>
      </c>
      <c r="AW2955" s="5" t="s">
        <v>238</v>
      </c>
      <c r="AX2955" s="5" t="s">
        <v>249</v>
      </c>
      <c r="AY2955" s="5" t="s">
        <v>238</v>
      </c>
      <c r="BA2955" s="5" t="s">
        <v>238</v>
      </c>
      <c r="BC2955" s="5" t="s">
        <v>250</v>
      </c>
      <c r="BD2955" s="6" t="s">
        <v>243</v>
      </c>
      <c r="BE2955" s="5" t="s">
        <v>251</v>
      </c>
      <c r="BF2955" s="5" t="s">
        <v>252</v>
      </c>
      <c r="BG2955" s="5" t="s">
        <v>238</v>
      </c>
      <c r="BH2955" s="7">
        <f>0</f>
        <v>0</v>
      </c>
      <c r="BI2955" s="8">
        <f>0</f>
        <v>0</v>
      </c>
      <c r="BJ2955" s="5" t="s">
        <v>253</v>
      </c>
      <c r="BK2955" s="5" t="s">
        <v>254</v>
      </c>
      <c r="BY2955" s="5" t="s">
        <v>238</v>
      </c>
      <c r="BZ2955" s="5" t="s">
        <v>238</v>
      </c>
      <c r="CD2955" s="5" t="s">
        <v>273</v>
      </c>
      <c r="CE2955" s="5" t="s">
        <v>256</v>
      </c>
      <c r="CF2955" s="5" t="s">
        <v>238</v>
      </c>
      <c r="CI2955" s="6" t="s">
        <v>257</v>
      </c>
      <c r="CJ2955" s="5" t="s">
        <v>238</v>
      </c>
      <c r="CK2955" s="5" t="s">
        <v>258</v>
      </c>
      <c r="CL2955" s="5" t="s">
        <v>238</v>
      </c>
      <c r="CM2955" s="5" t="s">
        <v>238</v>
      </c>
      <c r="CN2955" s="5">
        <v>0</v>
      </c>
      <c r="CO2955" s="5" t="s">
        <v>259</v>
      </c>
      <c r="CP2955" s="5" t="s">
        <v>260</v>
      </c>
      <c r="CQ2955" s="5" t="s">
        <v>260</v>
      </c>
      <c r="CR2955" s="5" t="s">
        <v>261</v>
      </c>
      <c r="CU2955" s="8">
        <f>1</f>
        <v>1</v>
      </c>
      <c r="CV2955" s="8">
        <f>0</f>
        <v>0</v>
      </c>
      <c r="CX2955" s="8">
        <f>0</f>
        <v>0</v>
      </c>
      <c r="CY2955" s="8">
        <f>1</f>
        <v>1</v>
      </c>
      <c r="DA2955" s="5" t="s">
        <v>274</v>
      </c>
      <c r="DB2955" s="5" t="s">
        <v>238</v>
      </c>
      <c r="DD2955" s="5" t="s">
        <v>274</v>
      </c>
      <c r="DE2955" s="8">
        <f>1968</f>
        <v>1968</v>
      </c>
      <c r="DG2955" s="5" t="s">
        <v>238</v>
      </c>
      <c r="DH2955" s="5" t="s">
        <v>238</v>
      </c>
      <c r="DI2955" s="5" t="s">
        <v>238</v>
      </c>
      <c r="DJ2955" s="5" t="s">
        <v>238</v>
      </c>
      <c r="DN2955" s="5" t="s">
        <v>238</v>
      </c>
      <c r="DO2955" s="5" t="s">
        <v>238</v>
      </c>
      <c r="DP2955" s="5" t="s">
        <v>238</v>
      </c>
      <c r="DQ2955" s="5" t="s">
        <v>238</v>
      </c>
      <c r="DT2955" s="5" t="s">
        <v>275</v>
      </c>
      <c r="DU2955" s="5" t="s">
        <v>3151</v>
      </c>
      <c r="HM2955" s="5" t="s">
        <v>264</v>
      </c>
    </row>
    <row r="2956" spans="1:221" x14ac:dyDescent="0.4">
      <c r="A2956" s="5">
        <v>4660</v>
      </c>
      <c r="B2956" s="5">
        <v>1</v>
      </c>
      <c r="C2956" s="5">
        <v>1</v>
      </c>
      <c r="D2956" s="5" t="s">
        <v>269</v>
      </c>
      <c r="E2956" s="5" t="s">
        <v>271</v>
      </c>
      <c r="F2956" s="5" t="s">
        <v>248</v>
      </c>
      <c r="G2956" s="5" t="s">
        <v>266</v>
      </c>
      <c r="H2956" s="6" t="s">
        <v>3977</v>
      </c>
      <c r="I2956" s="7">
        <f>2737</f>
        <v>2737</v>
      </c>
      <c r="J2956" s="5" t="s">
        <v>262</v>
      </c>
      <c r="K2956" s="8">
        <f>1</f>
        <v>1</v>
      </c>
      <c r="L2956" s="6" t="s">
        <v>242</v>
      </c>
      <c r="M2956" s="5" t="s">
        <v>267</v>
      </c>
      <c r="N2956" s="5" t="s">
        <v>265</v>
      </c>
      <c r="O2956" s="5" t="s">
        <v>238</v>
      </c>
      <c r="P2956" s="5" t="s">
        <v>238</v>
      </c>
      <c r="Q2956" s="5" t="s">
        <v>268</v>
      </c>
      <c r="R2956" s="5" t="s">
        <v>270</v>
      </c>
      <c r="S2956" s="5" t="s">
        <v>238</v>
      </c>
      <c r="V2956" s="5" t="s">
        <v>238</v>
      </c>
      <c r="X2956" s="6" t="s">
        <v>238</v>
      </c>
      <c r="AA2956" s="6" t="s">
        <v>243</v>
      </c>
      <c r="AB2956" s="5" t="s">
        <v>238</v>
      </c>
      <c r="AC2956" s="5" t="s">
        <v>244</v>
      </c>
      <c r="AD2956" s="5" t="s">
        <v>245</v>
      </c>
      <c r="AT2956" s="5" t="s">
        <v>246</v>
      </c>
      <c r="AU2956" s="5" t="s">
        <v>238</v>
      </c>
      <c r="AV2956" s="5" t="s">
        <v>247</v>
      </c>
      <c r="AW2956" s="5" t="s">
        <v>238</v>
      </c>
      <c r="AX2956" s="5" t="s">
        <v>249</v>
      </c>
      <c r="AY2956" s="5" t="s">
        <v>238</v>
      </c>
      <c r="BA2956" s="5" t="s">
        <v>238</v>
      </c>
      <c r="BC2956" s="5" t="s">
        <v>250</v>
      </c>
      <c r="BD2956" s="6" t="s">
        <v>243</v>
      </c>
      <c r="BE2956" s="5" t="s">
        <v>251</v>
      </c>
      <c r="BF2956" s="5" t="s">
        <v>252</v>
      </c>
      <c r="BG2956" s="5" t="s">
        <v>238</v>
      </c>
      <c r="BH2956" s="7">
        <f>0</f>
        <v>0</v>
      </c>
      <c r="BI2956" s="8">
        <f>0</f>
        <v>0</v>
      </c>
      <c r="BJ2956" s="5" t="s">
        <v>253</v>
      </c>
      <c r="BK2956" s="5" t="s">
        <v>254</v>
      </c>
      <c r="BY2956" s="5" t="s">
        <v>238</v>
      </c>
      <c r="BZ2956" s="5" t="s">
        <v>238</v>
      </c>
      <c r="CD2956" s="5" t="s">
        <v>273</v>
      </c>
      <c r="CE2956" s="5" t="s">
        <v>256</v>
      </c>
      <c r="CF2956" s="5" t="s">
        <v>238</v>
      </c>
      <c r="CI2956" s="6" t="s">
        <v>257</v>
      </c>
      <c r="CJ2956" s="5" t="s">
        <v>238</v>
      </c>
      <c r="CK2956" s="5" t="s">
        <v>258</v>
      </c>
      <c r="CL2956" s="5" t="s">
        <v>238</v>
      </c>
      <c r="CM2956" s="5" t="s">
        <v>238</v>
      </c>
      <c r="CN2956" s="5">
        <v>0</v>
      </c>
      <c r="CO2956" s="5" t="s">
        <v>259</v>
      </c>
      <c r="CP2956" s="5" t="s">
        <v>260</v>
      </c>
      <c r="CQ2956" s="5" t="s">
        <v>260</v>
      </c>
      <c r="CR2956" s="5" t="s">
        <v>261</v>
      </c>
      <c r="CU2956" s="8">
        <f>1</f>
        <v>1</v>
      </c>
      <c r="CV2956" s="8">
        <f>0</f>
        <v>0</v>
      </c>
      <c r="CX2956" s="8">
        <f>0</f>
        <v>0</v>
      </c>
      <c r="CY2956" s="8">
        <f>1</f>
        <v>1</v>
      </c>
      <c r="DA2956" s="5" t="s">
        <v>274</v>
      </c>
      <c r="DB2956" s="5" t="s">
        <v>238</v>
      </c>
      <c r="DD2956" s="5" t="s">
        <v>274</v>
      </c>
      <c r="DE2956" s="8">
        <f>2737</f>
        <v>2737</v>
      </c>
      <c r="DG2956" s="5" t="s">
        <v>238</v>
      </c>
      <c r="DH2956" s="5" t="s">
        <v>238</v>
      </c>
      <c r="DI2956" s="5" t="s">
        <v>238</v>
      </c>
      <c r="DJ2956" s="5" t="s">
        <v>238</v>
      </c>
      <c r="DN2956" s="5" t="s">
        <v>238</v>
      </c>
      <c r="DO2956" s="5" t="s">
        <v>238</v>
      </c>
      <c r="DP2956" s="5" t="s">
        <v>238</v>
      </c>
      <c r="DQ2956" s="5" t="s">
        <v>238</v>
      </c>
      <c r="DT2956" s="5" t="s">
        <v>275</v>
      </c>
      <c r="DU2956" s="5" t="s">
        <v>3133</v>
      </c>
      <c r="HM2956" s="5" t="s">
        <v>264</v>
      </c>
    </row>
    <row r="2957" spans="1:221" x14ac:dyDescent="0.4">
      <c r="A2957" s="5">
        <v>4661</v>
      </c>
      <c r="B2957" s="5">
        <v>1</v>
      </c>
      <c r="C2957" s="5">
        <v>1</v>
      </c>
      <c r="D2957" s="5" t="s">
        <v>269</v>
      </c>
      <c r="E2957" s="5" t="s">
        <v>271</v>
      </c>
      <c r="F2957" s="5" t="s">
        <v>248</v>
      </c>
      <c r="G2957" s="5" t="s">
        <v>266</v>
      </c>
      <c r="H2957" s="6" t="s">
        <v>3978</v>
      </c>
      <c r="I2957" s="7">
        <f>2528</f>
        <v>2528</v>
      </c>
      <c r="J2957" s="5" t="s">
        <v>262</v>
      </c>
      <c r="K2957" s="8">
        <f>1</f>
        <v>1</v>
      </c>
      <c r="L2957" s="6" t="s">
        <v>242</v>
      </c>
      <c r="M2957" s="5" t="s">
        <v>267</v>
      </c>
      <c r="N2957" s="5" t="s">
        <v>265</v>
      </c>
      <c r="O2957" s="5" t="s">
        <v>238</v>
      </c>
      <c r="P2957" s="5" t="s">
        <v>238</v>
      </c>
      <c r="Q2957" s="5" t="s">
        <v>268</v>
      </c>
      <c r="R2957" s="5" t="s">
        <v>270</v>
      </c>
      <c r="S2957" s="5" t="s">
        <v>238</v>
      </c>
      <c r="V2957" s="5" t="s">
        <v>238</v>
      </c>
      <c r="X2957" s="6" t="s">
        <v>238</v>
      </c>
      <c r="AA2957" s="6" t="s">
        <v>243</v>
      </c>
      <c r="AB2957" s="5" t="s">
        <v>238</v>
      </c>
      <c r="AC2957" s="5" t="s">
        <v>244</v>
      </c>
      <c r="AD2957" s="5" t="s">
        <v>245</v>
      </c>
      <c r="AT2957" s="5" t="s">
        <v>246</v>
      </c>
      <c r="AU2957" s="5" t="s">
        <v>238</v>
      </c>
      <c r="AV2957" s="5" t="s">
        <v>247</v>
      </c>
      <c r="AW2957" s="5" t="s">
        <v>238</v>
      </c>
      <c r="AX2957" s="5" t="s">
        <v>249</v>
      </c>
      <c r="AY2957" s="5" t="s">
        <v>238</v>
      </c>
      <c r="BA2957" s="5" t="s">
        <v>238</v>
      </c>
      <c r="BC2957" s="5" t="s">
        <v>250</v>
      </c>
      <c r="BD2957" s="6" t="s">
        <v>243</v>
      </c>
      <c r="BE2957" s="5" t="s">
        <v>251</v>
      </c>
      <c r="BF2957" s="5" t="s">
        <v>252</v>
      </c>
      <c r="BG2957" s="5" t="s">
        <v>238</v>
      </c>
      <c r="BH2957" s="7">
        <f>0</f>
        <v>0</v>
      </c>
      <c r="BI2957" s="8">
        <f>0</f>
        <v>0</v>
      </c>
      <c r="BJ2957" s="5" t="s">
        <v>253</v>
      </c>
      <c r="BK2957" s="5" t="s">
        <v>254</v>
      </c>
      <c r="BY2957" s="5" t="s">
        <v>238</v>
      </c>
      <c r="BZ2957" s="5" t="s">
        <v>238</v>
      </c>
      <c r="CD2957" s="5" t="s">
        <v>273</v>
      </c>
      <c r="CE2957" s="5" t="s">
        <v>256</v>
      </c>
      <c r="CF2957" s="5" t="s">
        <v>238</v>
      </c>
      <c r="CI2957" s="6" t="s">
        <v>257</v>
      </c>
      <c r="CJ2957" s="5" t="s">
        <v>238</v>
      </c>
      <c r="CK2957" s="5" t="s">
        <v>258</v>
      </c>
      <c r="CL2957" s="5" t="s">
        <v>238</v>
      </c>
      <c r="CM2957" s="5" t="s">
        <v>238</v>
      </c>
      <c r="CN2957" s="5">
        <v>0</v>
      </c>
      <c r="CO2957" s="5" t="s">
        <v>259</v>
      </c>
      <c r="CP2957" s="5" t="s">
        <v>260</v>
      </c>
      <c r="CQ2957" s="5" t="s">
        <v>260</v>
      </c>
      <c r="CR2957" s="5" t="s">
        <v>261</v>
      </c>
      <c r="CU2957" s="8">
        <f>1</f>
        <v>1</v>
      </c>
      <c r="CV2957" s="8">
        <f>0</f>
        <v>0</v>
      </c>
      <c r="CX2957" s="8">
        <f>0</f>
        <v>0</v>
      </c>
      <c r="CY2957" s="8">
        <f>1</f>
        <v>1</v>
      </c>
      <c r="DA2957" s="5" t="s">
        <v>274</v>
      </c>
      <c r="DB2957" s="5" t="s">
        <v>238</v>
      </c>
      <c r="DD2957" s="5" t="s">
        <v>274</v>
      </c>
      <c r="DE2957" s="8">
        <f>2528</f>
        <v>2528</v>
      </c>
      <c r="DG2957" s="5" t="s">
        <v>238</v>
      </c>
      <c r="DH2957" s="5" t="s">
        <v>238</v>
      </c>
      <c r="DI2957" s="5" t="s">
        <v>238</v>
      </c>
      <c r="DJ2957" s="5" t="s">
        <v>238</v>
      </c>
      <c r="DN2957" s="5" t="s">
        <v>238</v>
      </c>
      <c r="DO2957" s="5" t="s">
        <v>238</v>
      </c>
      <c r="DP2957" s="5" t="s">
        <v>238</v>
      </c>
      <c r="DQ2957" s="5" t="s">
        <v>238</v>
      </c>
      <c r="DT2957" s="5" t="s">
        <v>275</v>
      </c>
      <c r="DU2957" s="5" t="s">
        <v>2936</v>
      </c>
      <c r="HM2957" s="5" t="s">
        <v>264</v>
      </c>
    </row>
    <row r="2958" spans="1:221" x14ac:dyDescent="0.4">
      <c r="A2958" s="5">
        <v>4662</v>
      </c>
      <c r="B2958" s="5">
        <v>1</v>
      </c>
      <c r="C2958" s="5">
        <v>1</v>
      </c>
      <c r="D2958" s="5" t="s">
        <v>269</v>
      </c>
      <c r="E2958" s="5" t="s">
        <v>271</v>
      </c>
      <c r="F2958" s="5" t="s">
        <v>248</v>
      </c>
      <c r="G2958" s="5" t="s">
        <v>266</v>
      </c>
      <c r="H2958" s="6" t="s">
        <v>3979</v>
      </c>
      <c r="I2958" s="7">
        <f>446</f>
        <v>446</v>
      </c>
      <c r="J2958" s="5" t="s">
        <v>262</v>
      </c>
      <c r="K2958" s="8">
        <f>1</f>
        <v>1</v>
      </c>
      <c r="L2958" s="6" t="s">
        <v>242</v>
      </c>
      <c r="M2958" s="5" t="s">
        <v>267</v>
      </c>
      <c r="N2958" s="5" t="s">
        <v>265</v>
      </c>
      <c r="O2958" s="5" t="s">
        <v>238</v>
      </c>
      <c r="P2958" s="5" t="s">
        <v>238</v>
      </c>
      <c r="Q2958" s="5" t="s">
        <v>268</v>
      </c>
      <c r="R2958" s="5" t="s">
        <v>270</v>
      </c>
      <c r="S2958" s="5" t="s">
        <v>238</v>
      </c>
      <c r="V2958" s="5" t="s">
        <v>238</v>
      </c>
      <c r="X2958" s="6" t="s">
        <v>238</v>
      </c>
      <c r="AA2958" s="6" t="s">
        <v>243</v>
      </c>
      <c r="AB2958" s="5" t="s">
        <v>238</v>
      </c>
      <c r="AC2958" s="5" t="s">
        <v>244</v>
      </c>
      <c r="AD2958" s="5" t="s">
        <v>245</v>
      </c>
      <c r="AT2958" s="5" t="s">
        <v>246</v>
      </c>
      <c r="AU2958" s="5" t="s">
        <v>238</v>
      </c>
      <c r="AV2958" s="5" t="s">
        <v>247</v>
      </c>
      <c r="AW2958" s="5" t="s">
        <v>238</v>
      </c>
      <c r="AX2958" s="5" t="s">
        <v>249</v>
      </c>
      <c r="AY2958" s="5" t="s">
        <v>238</v>
      </c>
      <c r="BA2958" s="5" t="s">
        <v>238</v>
      </c>
      <c r="BC2958" s="5" t="s">
        <v>250</v>
      </c>
      <c r="BD2958" s="6" t="s">
        <v>243</v>
      </c>
      <c r="BE2958" s="5" t="s">
        <v>251</v>
      </c>
      <c r="BF2958" s="5" t="s">
        <v>252</v>
      </c>
      <c r="BG2958" s="5" t="s">
        <v>238</v>
      </c>
      <c r="BH2958" s="7">
        <f>0</f>
        <v>0</v>
      </c>
      <c r="BI2958" s="8">
        <f>0</f>
        <v>0</v>
      </c>
      <c r="BJ2958" s="5" t="s">
        <v>253</v>
      </c>
      <c r="BK2958" s="5" t="s">
        <v>254</v>
      </c>
      <c r="BY2958" s="5" t="s">
        <v>238</v>
      </c>
      <c r="BZ2958" s="5" t="s">
        <v>238</v>
      </c>
      <c r="CD2958" s="5" t="s">
        <v>273</v>
      </c>
      <c r="CE2958" s="5" t="s">
        <v>256</v>
      </c>
      <c r="CF2958" s="5" t="s">
        <v>238</v>
      </c>
      <c r="CI2958" s="6" t="s">
        <v>257</v>
      </c>
      <c r="CJ2958" s="5" t="s">
        <v>238</v>
      </c>
      <c r="CK2958" s="5" t="s">
        <v>258</v>
      </c>
      <c r="CL2958" s="5" t="s">
        <v>238</v>
      </c>
      <c r="CM2958" s="5" t="s">
        <v>238</v>
      </c>
      <c r="CN2958" s="5">
        <v>0</v>
      </c>
      <c r="CO2958" s="5" t="s">
        <v>259</v>
      </c>
      <c r="CP2958" s="5" t="s">
        <v>260</v>
      </c>
      <c r="CQ2958" s="5" t="s">
        <v>260</v>
      </c>
      <c r="CR2958" s="5" t="s">
        <v>261</v>
      </c>
      <c r="CU2958" s="8">
        <f>1</f>
        <v>1</v>
      </c>
      <c r="CV2958" s="8">
        <f>0</f>
        <v>0</v>
      </c>
      <c r="CX2958" s="8">
        <f>0</f>
        <v>0</v>
      </c>
      <c r="CY2958" s="8">
        <f>1</f>
        <v>1</v>
      </c>
      <c r="DA2958" s="5" t="s">
        <v>274</v>
      </c>
      <c r="DB2958" s="5" t="s">
        <v>238</v>
      </c>
      <c r="DD2958" s="5" t="s">
        <v>274</v>
      </c>
      <c r="DE2958" s="8">
        <f>446</f>
        <v>446</v>
      </c>
      <c r="DG2958" s="5" t="s">
        <v>238</v>
      </c>
      <c r="DH2958" s="5" t="s">
        <v>238</v>
      </c>
      <c r="DI2958" s="5" t="s">
        <v>238</v>
      </c>
      <c r="DJ2958" s="5" t="s">
        <v>238</v>
      </c>
      <c r="DN2958" s="5" t="s">
        <v>238</v>
      </c>
      <c r="DO2958" s="5" t="s">
        <v>238</v>
      </c>
      <c r="DP2958" s="5" t="s">
        <v>238</v>
      </c>
      <c r="DQ2958" s="5" t="s">
        <v>238</v>
      </c>
      <c r="DT2958" s="5" t="s">
        <v>275</v>
      </c>
      <c r="DU2958" s="5" t="s">
        <v>2427</v>
      </c>
      <c r="HM2958" s="5" t="s">
        <v>264</v>
      </c>
    </row>
    <row r="2959" spans="1:221" x14ac:dyDescent="0.4">
      <c r="A2959" s="5">
        <v>4663</v>
      </c>
      <c r="B2959" s="5">
        <v>1</v>
      </c>
      <c r="C2959" s="5">
        <v>1</v>
      </c>
      <c r="D2959" s="5" t="s">
        <v>269</v>
      </c>
      <c r="E2959" s="5" t="s">
        <v>271</v>
      </c>
      <c r="F2959" s="5" t="s">
        <v>248</v>
      </c>
      <c r="G2959" s="5" t="s">
        <v>266</v>
      </c>
      <c r="H2959" s="6" t="s">
        <v>3981</v>
      </c>
      <c r="I2959" s="7">
        <f>538</f>
        <v>538</v>
      </c>
      <c r="J2959" s="5" t="s">
        <v>262</v>
      </c>
      <c r="K2959" s="8">
        <f>1</f>
        <v>1</v>
      </c>
      <c r="L2959" s="6" t="s">
        <v>242</v>
      </c>
      <c r="M2959" s="5" t="s">
        <v>267</v>
      </c>
      <c r="N2959" s="5" t="s">
        <v>265</v>
      </c>
      <c r="O2959" s="5" t="s">
        <v>238</v>
      </c>
      <c r="P2959" s="5" t="s">
        <v>238</v>
      </c>
      <c r="Q2959" s="5" t="s">
        <v>268</v>
      </c>
      <c r="R2959" s="5" t="s">
        <v>270</v>
      </c>
      <c r="S2959" s="5" t="s">
        <v>238</v>
      </c>
      <c r="V2959" s="5" t="s">
        <v>238</v>
      </c>
      <c r="X2959" s="6" t="s">
        <v>238</v>
      </c>
      <c r="AA2959" s="6" t="s">
        <v>243</v>
      </c>
      <c r="AB2959" s="5" t="s">
        <v>238</v>
      </c>
      <c r="AC2959" s="5" t="s">
        <v>244</v>
      </c>
      <c r="AD2959" s="5" t="s">
        <v>245</v>
      </c>
      <c r="AT2959" s="5" t="s">
        <v>246</v>
      </c>
      <c r="AU2959" s="5" t="s">
        <v>238</v>
      </c>
      <c r="AV2959" s="5" t="s">
        <v>247</v>
      </c>
      <c r="AW2959" s="5" t="s">
        <v>238</v>
      </c>
      <c r="AX2959" s="5" t="s">
        <v>249</v>
      </c>
      <c r="AY2959" s="5" t="s">
        <v>238</v>
      </c>
      <c r="BA2959" s="5" t="s">
        <v>238</v>
      </c>
      <c r="BC2959" s="5" t="s">
        <v>250</v>
      </c>
      <c r="BD2959" s="6" t="s">
        <v>243</v>
      </c>
      <c r="BE2959" s="5" t="s">
        <v>251</v>
      </c>
      <c r="BF2959" s="5" t="s">
        <v>252</v>
      </c>
      <c r="BG2959" s="5" t="s">
        <v>238</v>
      </c>
      <c r="BH2959" s="7">
        <f>0</f>
        <v>0</v>
      </c>
      <c r="BI2959" s="8">
        <f>0</f>
        <v>0</v>
      </c>
      <c r="BJ2959" s="5" t="s">
        <v>253</v>
      </c>
      <c r="BK2959" s="5" t="s">
        <v>254</v>
      </c>
      <c r="BY2959" s="5" t="s">
        <v>238</v>
      </c>
      <c r="BZ2959" s="5" t="s">
        <v>238</v>
      </c>
      <c r="CD2959" s="5" t="s">
        <v>273</v>
      </c>
      <c r="CE2959" s="5" t="s">
        <v>256</v>
      </c>
      <c r="CF2959" s="5" t="s">
        <v>238</v>
      </c>
      <c r="CI2959" s="6" t="s">
        <v>257</v>
      </c>
      <c r="CJ2959" s="5" t="s">
        <v>238</v>
      </c>
      <c r="CK2959" s="5" t="s">
        <v>258</v>
      </c>
      <c r="CL2959" s="5" t="s">
        <v>238</v>
      </c>
      <c r="CM2959" s="5" t="s">
        <v>238</v>
      </c>
      <c r="CN2959" s="5">
        <v>0</v>
      </c>
      <c r="CO2959" s="5" t="s">
        <v>259</v>
      </c>
      <c r="CP2959" s="5" t="s">
        <v>260</v>
      </c>
      <c r="CQ2959" s="5" t="s">
        <v>260</v>
      </c>
      <c r="CR2959" s="5" t="s">
        <v>261</v>
      </c>
      <c r="CU2959" s="8">
        <f>1</f>
        <v>1</v>
      </c>
      <c r="CV2959" s="8">
        <f>0</f>
        <v>0</v>
      </c>
      <c r="CX2959" s="8">
        <f>0</f>
        <v>0</v>
      </c>
      <c r="CY2959" s="8">
        <f>1</f>
        <v>1</v>
      </c>
      <c r="DA2959" s="5" t="s">
        <v>274</v>
      </c>
      <c r="DB2959" s="5" t="s">
        <v>238</v>
      </c>
      <c r="DD2959" s="5" t="s">
        <v>274</v>
      </c>
      <c r="DE2959" s="8">
        <f>538</f>
        <v>538</v>
      </c>
      <c r="DG2959" s="5" t="s">
        <v>238</v>
      </c>
      <c r="DH2959" s="5" t="s">
        <v>238</v>
      </c>
      <c r="DI2959" s="5" t="s">
        <v>238</v>
      </c>
      <c r="DJ2959" s="5" t="s">
        <v>238</v>
      </c>
      <c r="DN2959" s="5" t="s">
        <v>238</v>
      </c>
      <c r="DO2959" s="5" t="s">
        <v>238</v>
      </c>
      <c r="DP2959" s="5" t="s">
        <v>238</v>
      </c>
      <c r="DQ2959" s="5" t="s">
        <v>238</v>
      </c>
      <c r="DT2959" s="5" t="s">
        <v>275</v>
      </c>
      <c r="DU2959" s="5" t="s">
        <v>2438</v>
      </c>
      <c r="HM2959" s="5" t="s">
        <v>264</v>
      </c>
    </row>
    <row r="2960" spans="1:221" x14ac:dyDescent="0.4">
      <c r="A2960" s="5">
        <v>4664</v>
      </c>
      <c r="B2960" s="5">
        <v>1</v>
      </c>
      <c r="C2960" s="5">
        <v>1</v>
      </c>
      <c r="D2960" s="5" t="s">
        <v>269</v>
      </c>
      <c r="E2960" s="5" t="s">
        <v>271</v>
      </c>
      <c r="F2960" s="5" t="s">
        <v>248</v>
      </c>
      <c r="G2960" s="5" t="s">
        <v>266</v>
      </c>
      <c r="H2960" s="6" t="s">
        <v>3983</v>
      </c>
      <c r="I2960" s="7">
        <f>2904</f>
        <v>2904</v>
      </c>
      <c r="J2960" s="5" t="s">
        <v>262</v>
      </c>
      <c r="K2960" s="8">
        <f>1</f>
        <v>1</v>
      </c>
      <c r="L2960" s="6" t="s">
        <v>242</v>
      </c>
      <c r="M2960" s="5" t="s">
        <v>267</v>
      </c>
      <c r="N2960" s="5" t="s">
        <v>265</v>
      </c>
      <c r="O2960" s="5" t="s">
        <v>238</v>
      </c>
      <c r="P2960" s="5" t="s">
        <v>238</v>
      </c>
      <c r="Q2960" s="5" t="s">
        <v>268</v>
      </c>
      <c r="R2960" s="5" t="s">
        <v>270</v>
      </c>
      <c r="S2960" s="5" t="s">
        <v>238</v>
      </c>
      <c r="V2960" s="5" t="s">
        <v>238</v>
      </c>
      <c r="X2960" s="6" t="s">
        <v>238</v>
      </c>
      <c r="AA2960" s="6" t="s">
        <v>243</v>
      </c>
      <c r="AB2960" s="5" t="s">
        <v>238</v>
      </c>
      <c r="AC2960" s="5" t="s">
        <v>244</v>
      </c>
      <c r="AD2960" s="5" t="s">
        <v>245</v>
      </c>
      <c r="AT2960" s="5" t="s">
        <v>246</v>
      </c>
      <c r="AU2960" s="5" t="s">
        <v>238</v>
      </c>
      <c r="AV2960" s="5" t="s">
        <v>247</v>
      </c>
      <c r="AW2960" s="5" t="s">
        <v>238</v>
      </c>
      <c r="AX2960" s="5" t="s">
        <v>249</v>
      </c>
      <c r="AY2960" s="5" t="s">
        <v>238</v>
      </c>
      <c r="BA2960" s="5" t="s">
        <v>238</v>
      </c>
      <c r="BC2960" s="5" t="s">
        <v>250</v>
      </c>
      <c r="BD2960" s="6" t="s">
        <v>243</v>
      </c>
      <c r="BE2960" s="5" t="s">
        <v>251</v>
      </c>
      <c r="BF2960" s="5" t="s">
        <v>252</v>
      </c>
      <c r="BG2960" s="5" t="s">
        <v>238</v>
      </c>
      <c r="BH2960" s="7">
        <f>0</f>
        <v>0</v>
      </c>
      <c r="BI2960" s="8">
        <f>0</f>
        <v>0</v>
      </c>
      <c r="BJ2960" s="5" t="s">
        <v>253</v>
      </c>
      <c r="BK2960" s="5" t="s">
        <v>254</v>
      </c>
      <c r="BY2960" s="5" t="s">
        <v>238</v>
      </c>
      <c r="BZ2960" s="5" t="s">
        <v>238</v>
      </c>
      <c r="CD2960" s="5" t="s">
        <v>273</v>
      </c>
      <c r="CE2960" s="5" t="s">
        <v>256</v>
      </c>
      <c r="CF2960" s="5" t="s">
        <v>238</v>
      </c>
      <c r="CI2960" s="6" t="s">
        <v>257</v>
      </c>
      <c r="CJ2960" s="5" t="s">
        <v>238</v>
      </c>
      <c r="CK2960" s="5" t="s">
        <v>258</v>
      </c>
      <c r="CL2960" s="5" t="s">
        <v>238</v>
      </c>
      <c r="CM2960" s="5" t="s">
        <v>238</v>
      </c>
      <c r="CN2960" s="5">
        <v>0</v>
      </c>
      <c r="CO2960" s="5" t="s">
        <v>259</v>
      </c>
      <c r="CP2960" s="5" t="s">
        <v>260</v>
      </c>
      <c r="CQ2960" s="5" t="s">
        <v>260</v>
      </c>
      <c r="CR2960" s="5" t="s">
        <v>261</v>
      </c>
      <c r="CU2960" s="8">
        <f>1</f>
        <v>1</v>
      </c>
      <c r="CV2960" s="8">
        <f>0</f>
        <v>0</v>
      </c>
      <c r="CX2960" s="8">
        <f>0</f>
        <v>0</v>
      </c>
      <c r="CY2960" s="8">
        <f>1</f>
        <v>1</v>
      </c>
      <c r="DA2960" s="5" t="s">
        <v>274</v>
      </c>
      <c r="DB2960" s="5" t="s">
        <v>238</v>
      </c>
      <c r="DD2960" s="5" t="s">
        <v>274</v>
      </c>
      <c r="DE2960" s="8">
        <f>2904</f>
        <v>2904</v>
      </c>
      <c r="DG2960" s="5" t="s">
        <v>238</v>
      </c>
      <c r="DH2960" s="5" t="s">
        <v>238</v>
      </c>
      <c r="DI2960" s="5" t="s">
        <v>238</v>
      </c>
      <c r="DJ2960" s="5" t="s">
        <v>238</v>
      </c>
      <c r="DN2960" s="5" t="s">
        <v>238</v>
      </c>
      <c r="DO2960" s="5" t="s">
        <v>238</v>
      </c>
      <c r="DP2960" s="5" t="s">
        <v>238</v>
      </c>
      <c r="DQ2960" s="5" t="s">
        <v>238</v>
      </c>
      <c r="DT2960" s="5" t="s">
        <v>275</v>
      </c>
      <c r="DU2960" s="5" t="s">
        <v>3716</v>
      </c>
      <c r="HM2960" s="5" t="s">
        <v>264</v>
      </c>
    </row>
    <row r="2961" spans="1:221" x14ac:dyDescent="0.4">
      <c r="A2961" s="5">
        <v>4665</v>
      </c>
      <c r="B2961" s="5">
        <v>1</v>
      </c>
      <c r="C2961" s="5">
        <v>1</v>
      </c>
      <c r="D2961" s="5" t="s">
        <v>269</v>
      </c>
      <c r="E2961" s="5" t="s">
        <v>271</v>
      </c>
      <c r="F2961" s="5" t="s">
        <v>248</v>
      </c>
      <c r="G2961" s="5" t="s">
        <v>266</v>
      </c>
      <c r="H2961" s="6" t="s">
        <v>3984</v>
      </c>
      <c r="I2961" s="7">
        <f>894</f>
        <v>894</v>
      </c>
      <c r="J2961" s="5" t="s">
        <v>262</v>
      </c>
      <c r="K2961" s="8">
        <f>1</f>
        <v>1</v>
      </c>
      <c r="L2961" s="6" t="s">
        <v>242</v>
      </c>
      <c r="M2961" s="5" t="s">
        <v>267</v>
      </c>
      <c r="N2961" s="5" t="s">
        <v>265</v>
      </c>
      <c r="O2961" s="5" t="s">
        <v>238</v>
      </c>
      <c r="P2961" s="5" t="s">
        <v>238</v>
      </c>
      <c r="Q2961" s="5" t="s">
        <v>268</v>
      </c>
      <c r="R2961" s="5" t="s">
        <v>270</v>
      </c>
      <c r="S2961" s="5" t="s">
        <v>238</v>
      </c>
      <c r="V2961" s="5" t="s">
        <v>238</v>
      </c>
      <c r="X2961" s="6" t="s">
        <v>238</v>
      </c>
      <c r="AA2961" s="6" t="s">
        <v>243</v>
      </c>
      <c r="AB2961" s="5" t="s">
        <v>238</v>
      </c>
      <c r="AC2961" s="5" t="s">
        <v>244</v>
      </c>
      <c r="AD2961" s="5" t="s">
        <v>245</v>
      </c>
      <c r="AT2961" s="5" t="s">
        <v>246</v>
      </c>
      <c r="AU2961" s="5" t="s">
        <v>238</v>
      </c>
      <c r="AV2961" s="5" t="s">
        <v>247</v>
      </c>
      <c r="AW2961" s="5" t="s">
        <v>238</v>
      </c>
      <c r="AX2961" s="5" t="s">
        <v>249</v>
      </c>
      <c r="AY2961" s="5" t="s">
        <v>238</v>
      </c>
      <c r="BA2961" s="5" t="s">
        <v>238</v>
      </c>
      <c r="BC2961" s="5" t="s">
        <v>250</v>
      </c>
      <c r="BD2961" s="6" t="s">
        <v>243</v>
      </c>
      <c r="BE2961" s="5" t="s">
        <v>251</v>
      </c>
      <c r="BF2961" s="5" t="s">
        <v>252</v>
      </c>
      <c r="BG2961" s="5" t="s">
        <v>238</v>
      </c>
      <c r="BH2961" s="7">
        <f>0</f>
        <v>0</v>
      </c>
      <c r="BI2961" s="8">
        <f>0</f>
        <v>0</v>
      </c>
      <c r="BJ2961" s="5" t="s">
        <v>253</v>
      </c>
      <c r="BK2961" s="5" t="s">
        <v>254</v>
      </c>
      <c r="BY2961" s="5" t="s">
        <v>238</v>
      </c>
      <c r="BZ2961" s="5" t="s">
        <v>238</v>
      </c>
      <c r="CD2961" s="5" t="s">
        <v>273</v>
      </c>
      <c r="CE2961" s="5" t="s">
        <v>256</v>
      </c>
      <c r="CF2961" s="5" t="s">
        <v>238</v>
      </c>
      <c r="CI2961" s="6" t="s">
        <v>257</v>
      </c>
      <c r="CJ2961" s="5" t="s">
        <v>238</v>
      </c>
      <c r="CK2961" s="5" t="s">
        <v>258</v>
      </c>
      <c r="CL2961" s="5" t="s">
        <v>238</v>
      </c>
      <c r="CM2961" s="5" t="s">
        <v>238</v>
      </c>
      <c r="CN2961" s="5">
        <v>0</v>
      </c>
      <c r="CO2961" s="5" t="s">
        <v>259</v>
      </c>
      <c r="CP2961" s="5" t="s">
        <v>260</v>
      </c>
      <c r="CQ2961" s="5" t="s">
        <v>260</v>
      </c>
      <c r="CR2961" s="5" t="s">
        <v>261</v>
      </c>
      <c r="CU2961" s="8">
        <f>1</f>
        <v>1</v>
      </c>
      <c r="CV2961" s="8">
        <f>0</f>
        <v>0</v>
      </c>
      <c r="CX2961" s="8">
        <f>0</f>
        <v>0</v>
      </c>
      <c r="CY2961" s="8">
        <f>1</f>
        <v>1</v>
      </c>
      <c r="DA2961" s="5" t="s">
        <v>274</v>
      </c>
      <c r="DB2961" s="5" t="s">
        <v>238</v>
      </c>
      <c r="DD2961" s="5" t="s">
        <v>274</v>
      </c>
      <c r="DE2961" s="8">
        <f>894</f>
        <v>894</v>
      </c>
      <c r="DG2961" s="5" t="s">
        <v>238</v>
      </c>
      <c r="DH2961" s="5" t="s">
        <v>238</v>
      </c>
      <c r="DI2961" s="5" t="s">
        <v>238</v>
      </c>
      <c r="DJ2961" s="5" t="s">
        <v>238</v>
      </c>
      <c r="DN2961" s="5" t="s">
        <v>238</v>
      </c>
      <c r="DO2961" s="5" t="s">
        <v>238</v>
      </c>
      <c r="DP2961" s="5" t="s">
        <v>238</v>
      </c>
      <c r="DQ2961" s="5" t="s">
        <v>238</v>
      </c>
      <c r="DT2961" s="5" t="s">
        <v>275</v>
      </c>
      <c r="DU2961" s="5" t="s">
        <v>2154</v>
      </c>
      <c r="HM2961" s="5" t="s">
        <v>264</v>
      </c>
    </row>
    <row r="2962" spans="1:221" x14ac:dyDescent="0.4">
      <c r="A2962" s="5">
        <v>4666</v>
      </c>
      <c r="B2962" s="5">
        <v>1</v>
      </c>
      <c r="C2962" s="5">
        <v>1</v>
      </c>
      <c r="D2962" s="5" t="s">
        <v>269</v>
      </c>
      <c r="E2962" s="5" t="s">
        <v>271</v>
      </c>
      <c r="F2962" s="5" t="s">
        <v>248</v>
      </c>
      <c r="G2962" s="5" t="s">
        <v>266</v>
      </c>
      <c r="H2962" s="6" t="s">
        <v>3986</v>
      </c>
      <c r="I2962" s="7">
        <f>156</f>
        <v>156</v>
      </c>
      <c r="J2962" s="5" t="s">
        <v>262</v>
      </c>
      <c r="K2962" s="8">
        <f>1</f>
        <v>1</v>
      </c>
      <c r="L2962" s="6" t="s">
        <v>242</v>
      </c>
      <c r="M2962" s="5" t="s">
        <v>267</v>
      </c>
      <c r="N2962" s="5" t="s">
        <v>265</v>
      </c>
      <c r="O2962" s="5" t="s">
        <v>238</v>
      </c>
      <c r="P2962" s="5" t="s">
        <v>238</v>
      </c>
      <c r="Q2962" s="5" t="s">
        <v>268</v>
      </c>
      <c r="R2962" s="5" t="s">
        <v>270</v>
      </c>
      <c r="S2962" s="5" t="s">
        <v>238</v>
      </c>
      <c r="V2962" s="5" t="s">
        <v>238</v>
      </c>
      <c r="X2962" s="6" t="s">
        <v>238</v>
      </c>
      <c r="AA2962" s="6" t="s">
        <v>243</v>
      </c>
      <c r="AB2962" s="5" t="s">
        <v>238</v>
      </c>
      <c r="AC2962" s="5" t="s">
        <v>244</v>
      </c>
      <c r="AD2962" s="5" t="s">
        <v>245</v>
      </c>
      <c r="AT2962" s="5" t="s">
        <v>246</v>
      </c>
      <c r="AU2962" s="5" t="s">
        <v>238</v>
      </c>
      <c r="AV2962" s="5" t="s">
        <v>247</v>
      </c>
      <c r="AW2962" s="5" t="s">
        <v>238</v>
      </c>
      <c r="AX2962" s="5" t="s">
        <v>249</v>
      </c>
      <c r="AY2962" s="5" t="s">
        <v>238</v>
      </c>
      <c r="BA2962" s="5" t="s">
        <v>238</v>
      </c>
      <c r="BC2962" s="5" t="s">
        <v>250</v>
      </c>
      <c r="BD2962" s="6" t="s">
        <v>243</v>
      </c>
      <c r="BE2962" s="5" t="s">
        <v>251</v>
      </c>
      <c r="BF2962" s="5" t="s">
        <v>252</v>
      </c>
      <c r="BG2962" s="5" t="s">
        <v>238</v>
      </c>
      <c r="BH2962" s="7">
        <f>0</f>
        <v>0</v>
      </c>
      <c r="BI2962" s="8">
        <f>0</f>
        <v>0</v>
      </c>
      <c r="BJ2962" s="5" t="s">
        <v>253</v>
      </c>
      <c r="BK2962" s="5" t="s">
        <v>254</v>
      </c>
      <c r="BY2962" s="5" t="s">
        <v>238</v>
      </c>
      <c r="BZ2962" s="5" t="s">
        <v>238</v>
      </c>
      <c r="CD2962" s="5" t="s">
        <v>273</v>
      </c>
      <c r="CE2962" s="5" t="s">
        <v>256</v>
      </c>
      <c r="CF2962" s="5" t="s">
        <v>238</v>
      </c>
      <c r="CI2962" s="6" t="s">
        <v>257</v>
      </c>
      <c r="CJ2962" s="5" t="s">
        <v>238</v>
      </c>
      <c r="CK2962" s="5" t="s">
        <v>258</v>
      </c>
      <c r="CL2962" s="5" t="s">
        <v>238</v>
      </c>
      <c r="CM2962" s="5" t="s">
        <v>238</v>
      </c>
      <c r="CN2962" s="5">
        <v>0</v>
      </c>
      <c r="CO2962" s="5" t="s">
        <v>259</v>
      </c>
      <c r="CP2962" s="5" t="s">
        <v>260</v>
      </c>
      <c r="CQ2962" s="5" t="s">
        <v>260</v>
      </c>
      <c r="CR2962" s="5" t="s">
        <v>261</v>
      </c>
      <c r="CU2962" s="8">
        <f>1</f>
        <v>1</v>
      </c>
      <c r="CV2962" s="8">
        <f>0</f>
        <v>0</v>
      </c>
      <c r="CX2962" s="8">
        <f>0</f>
        <v>0</v>
      </c>
      <c r="CY2962" s="8">
        <f>1</f>
        <v>1</v>
      </c>
      <c r="DA2962" s="5" t="s">
        <v>274</v>
      </c>
      <c r="DB2962" s="5" t="s">
        <v>238</v>
      </c>
      <c r="DD2962" s="5" t="s">
        <v>274</v>
      </c>
      <c r="DE2962" s="8">
        <f>156</f>
        <v>156</v>
      </c>
      <c r="DG2962" s="5" t="s">
        <v>238</v>
      </c>
      <c r="DH2962" s="5" t="s">
        <v>238</v>
      </c>
      <c r="DI2962" s="5" t="s">
        <v>238</v>
      </c>
      <c r="DJ2962" s="5" t="s">
        <v>238</v>
      </c>
      <c r="DN2962" s="5" t="s">
        <v>238</v>
      </c>
      <c r="DO2962" s="5" t="s">
        <v>238</v>
      </c>
      <c r="DP2962" s="5" t="s">
        <v>238</v>
      </c>
      <c r="DQ2962" s="5" t="s">
        <v>238</v>
      </c>
      <c r="DT2962" s="5" t="s">
        <v>275</v>
      </c>
      <c r="DU2962" s="5" t="s">
        <v>2179</v>
      </c>
      <c r="HM2962" s="5" t="s">
        <v>264</v>
      </c>
    </row>
    <row r="2963" spans="1:221" x14ac:dyDescent="0.4">
      <c r="A2963" s="5">
        <v>4667</v>
      </c>
      <c r="B2963" s="5">
        <v>1</v>
      </c>
      <c r="C2963" s="5">
        <v>1</v>
      </c>
      <c r="D2963" s="5" t="s">
        <v>269</v>
      </c>
      <c r="E2963" s="5" t="s">
        <v>271</v>
      </c>
      <c r="F2963" s="5" t="s">
        <v>248</v>
      </c>
      <c r="G2963" s="5" t="s">
        <v>266</v>
      </c>
      <c r="H2963" s="6" t="s">
        <v>3987</v>
      </c>
      <c r="I2963" s="7">
        <f>3185</f>
        <v>3185</v>
      </c>
      <c r="J2963" s="5" t="s">
        <v>262</v>
      </c>
      <c r="K2963" s="8">
        <f>1</f>
        <v>1</v>
      </c>
      <c r="L2963" s="6" t="s">
        <v>242</v>
      </c>
      <c r="M2963" s="5" t="s">
        <v>267</v>
      </c>
      <c r="N2963" s="5" t="s">
        <v>265</v>
      </c>
      <c r="O2963" s="5" t="s">
        <v>238</v>
      </c>
      <c r="P2963" s="5" t="s">
        <v>238</v>
      </c>
      <c r="Q2963" s="5" t="s">
        <v>268</v>
      </c>
      <c r="R2963" s="5" t="s">
        <v>270</v>
      </c>
      <c r="S2963" s="5" t="s">
        <v>238</v>
      </c>
      <c r="V2963" s="5" t="s">
        <v>238</v>
      </c>
      <c r="X2963" s="6" t="s">
        <v>238</v>
      </c>
      <c r="AA2963" s="6" t="s">
        <v>243</v>
      </c>
      <c r="AB2963" s="5" t="s">
        <v>238</v>
      </c>
      <c r="AC2963" s="5" t="s">
        <v>244</v>
      </c>
      <c r="AD2963" s="5" t="s">
        <v>245</v>
      </c>
      <c r="AT2963" s="5" t="s">
        <v>246</v>
      </c>
      <c r="AU2963" s="5" t="s">
        <v>238</v>
      </c>
      <c r="AV2963" s="5" t="s">
        <v>247</v>
      </c>
      <c r="AW2963" s="5" t="s">
        <v>238</v>
      </c>
      <c r="AX2963" s="5" t="s">
        <v>249</v>
      </c>
      <c r="AY2963" s="5" t="s">
        <v>238</v>
      </c>
      <c r="BA2963" s="5" t="s">
        <v>238</v>
      </c>
      <c r="BC2963" s="5" t="s">
        <v>250</v>
      </c>
      <c r="BD2963" s="6" t="s">
        <v>243</v>
      </c>
      <c r="BE2963" s="5" t="s">
        <v>251</v>
      </c>
      <c r="BF2963" s="5" t="s">
        <v>252</v>
      </c>
      <c r="BG2963" s="5" t="s">
        <v>238</v>
      </c>
      <c r="BH2963" s="7">
        <f>0</f>
        <v>0</v>
      </c>
      <c r="BI2963" s="8">
        <f>0</f>
        <v>0</v>
      </c>
      <c r="BJ2963" s="5" t="s">
        <v>253</v>
      </c>
      <c r="BK2963" s="5" t="s">
        <v>254</v>
      </c>
      <c r="BY2963" s="5" t="s">
        <v>238</v>
      </c>
      <c r="BZ2963" s="5" t="s">
        <v>238</v>
      </c>
      <c r="CD2963" s="5" t="s">
        <v>273</v>
      </c>
      <c r="CE2963" s="5" t="s">
        <v>256</v>
      </c>
      <c r="CF2963" s="5" t="s">
        <v>238</v>
      </c>
      <c r="CI2963" s="6" t="s">
        <v>257</v>
      </c>
      <c r="CJ2963" s="5" t="s">
        <v>238</v>
      </c>
      <c r="CK2963" s="5" t="s">
        <v>258</v>
      </c>
      <c r="CL2963" s="5" t="s">
        <v>238</v>
      </c>
      <c r="CM2963" s="5" t="s">
        <v>238</v>
      </c>
      <c r="CN2963" s="5">
        <v>0</v>
      </c>
      <c r="CO2963" s="5" t="s">
        <v>259</v>
      </c>
      <c r="CP2963" s="5" t="s">
        <v>260</v>
      </c>
      <c r="CQ2963" s="5" t="s">
        <v>260</v>
      </c>
      <c r="CR2963" s="5" t="s">
        <v>261</v>
      </c>
      <c r="CU2963" s="8">
        <f>1</f>
        <v>1</v>
      </c>
      <c r="CV2963" s="8">
        <f>0</f>
        <v>0</v>
      </c>
      <c r="CX2963" s="8">
        <f>0</f>
        <v>0</v>
      </c>
      <c r="CY2963" s="8">
        <f>1</f>
        <v>1</v>
      </c>
      <c r="DA2963" s="5" t="s">
        <v>274</v>
      </c>
      <c r="DB2963" s="5" t="s">
        <v>238</v>
      </c>
      <c r="DD2963" s="5" t="s">
        <v>274</v>
      </c>
      <c r="DE2963" s="8">
        <f>3185</f>
        <v>3185</v>
      </c>
      <c r="DG2963" s="5" t="s">
        <v>238</v>
      </c>
      <c r="DH2963" s="5" t="s">
        <v>238</v>
      </c>
      <c r="DI2963" s="5" t="s">
        <v>238</v>
      </c>
      <c r="DJ2963" s="5" t="s">
        <v>238</v>
      </c>
      <c r="DN2963" s="5" t="s">
        <v>238</v>
      </c>
      <c r="DO2963" s="5" t="s">
        <v>238</v>
      </c>
      <c r="DP2963" s="5" t="s">
        <v>238</v>
      </c>
      <c r="DQ2963" s="5" t="s">
        <v>238</v>
      </c>
      <c r="DT2963" s="5" t="s">
        <v>275</v>
      </c>
      <c r="DU2963" s="5" t="s">
        <v>2205</v>
      </c>
      <c r="HM2963" s="5" t="s">
        <v>264</v>
      </c>
    </row>
    <row r="2964" spans="1:221" x14ac:dyDescent="0.4">
      <c r="A2964" s="5">
        <v>4668</v>
      </c>
      <c r="B2964" s="5">
        <v>1</v>
      </c>
      <c r="C2964" s="5">
        <v>1</v>
      </c>
      <c r="D2964" s="5" t="s">
        <v>269</v>
      </c>
      <c r="E2964" s="5" t="s">
        <v>271</v>
      </c>
      <c r="F2964" s="5" t="s">
        <v>248</v>
      </c>
      <c r="G2964" s="5" t="s">
        <v>266</v>
      </c>
      <c r="H2964" s="6" t="s">
        <v>3989</v>
      </c>
      <c r="I2964" s="7">
        <f>1307</f>
        <v>1307</v>
      </c>
      <c r="J2964" s="5" t="s">
        <v>262</v>
      </c>
      <c r="K2964" s="8">
        <f>1</f>
        <v>1</v>
      </c>
      <c r="L2964" s="6" t="s">
        <v>242</v>
      </c>
      <c r="M2964" s="5" t="s">
        <v>267</v>
      </c>
      <c r="N2964" s="5" t="s">
        <v>265</v>
      </c>
      <c r="O2964" s="5" t="s">
        <v>238</v>
      </c>
      <c r="P2964" s="5" t="s">
        <v>238</v>
      </c>
      <c r="Q2964" s="5" t="s">
        <v>268</v>
      </c>
      <c r="R2964" s="5" t="s">
        <v>270</v>
      </c>
      <c r="S2964" s="5" t="s">
        <v>238</v>
      </c>
      <c r="V2964" s="5" t="s">
        <v>238</v>
      </c>
      <c r="X2964" s="6" t="s">
        <v>238</v>
      </c>
      <c r="AA2964" s="6" t="s">
        <v>243</v>
      </c>
      <c r="AB2964" s="5" t="s">
        <v>238</v>
      </c>
      <c r="AC2964" s="5" t="s">
        <v>244</v>
      </c>
      <c r="AD2964" s="5" t="s">
        <v>245</v>
      </c>
      <c r="AT2964" s="5" t="s">
        <v>246</v>
      </c>
      <c r="AU2964" s="5" t="s">
        <v>238</v>
      </c>
      <c r="AV2964" s="5" t="s">
        <v>247</v>
      </c>
      <c r="AW2964" s="5" t="s">
        <v>238</v>
      </c>
      <c r="AX2964" s="5" t="s">
        <v>249</v>
      </c>
      <c r="AY2964" s="5" t="s">
        <v>238</v>
      </c>
      <c r="BA2964" s="5" t="s">
        <v>238</v>
      </c>
      <c r="BC2964" s="5" t="s">
        <v>250</v>
      </c>
      <c r="BD2964" s="6" t="s">
        <v>243</v>
      </c>
      <c r="BE2964" s="5" t="s">
        <v>251</v>
      </c>
      <c r="BF2964" s="5" t="s">
        <v>252</v>
      </c>
      <c r="BG2964" s="5" t="s">
        <v>238</v>
      </c>
      <c r="BH2964" s="7">
        <f>0</f>
        <v>0</v>
      </c>
      <c r="BI2964" s="8">
        <f>0</f>
        <v>0</v>
      </c>
      <c r="BJ2964" s="5" t="s">
        <v>253</v>
      </c>
      <c r="BK2964" s="5" t="s">
        <v>254</v>
      </c>
      <c r="BY2964" s="5" t="s">
        <v>238</v>
      </c>
      <c r="BZ2964" s="5" t="s">
        <v>238</v>
      </c>
      <c r="CD2964" s="5" t="s">
        <v>273</v>
      </c>
      <c r="CE2964" s="5" t="s">
        <v>256</v>
      </c>
      <c r="CF2964" s="5" t="s">
        <v>238</v>
      </c>
      <c r="CI2964" s="6" t="s">
        <v>257</v>
      </c>
      <c r="CJ2964" s="5" t="s">
        <v>238</v>
      </c>
      <c r="CK2964" s="5" t="s">
        <v>258</v>
      </c>
      <c r="CL2964" s="5" t="s">
        <v>238</v>
      </c>
      <c r="CM2964" s="5" t="s">
        <v>238</v>
      </c>
      <c r="CN2964" s="5">
        <v>0</v>
      </c>
      <c r="CO2964" s="5" t="s">
        <v>259</v>
      </c>
      <c r="CP2964" s="5" t="s">
        <v>260</v>
      </c>
      <c r="CQ2964" s="5" t="s">
        <v>260</v>
      </c>
      <c r="CR2964" s="5" t="s">
        <v>261</v>
      </c>
      <c r="CU2964" s="8">
        <f>1</f>
        <v>1</v>
      </c>
      <c r="CV2964" s="8">
        <f>0</f>
        <v>0</v>
      </c>
      <c r="CX2964" s="8">
        <f>0</f>
        <v>0</v>
      </c>
      <c r="CY2964" s="8">
        <f>1</f>
        <v>1</v>
      </c>
      <c r="DA2964" s="5" t="s">
        <v>274</v>
      </c>
      <c r="DB2964" s="5" t="s">
        <v>238</v>
      </c>
      <c r="DD2964" s="5" t="s">
        <v>274</v>
      </c>
      <c r="DE2964" s="8">
        <f>1307</f>
        <v>1307</v>
      </c>
      <c r="DG2964" s="5" t="s">
        <v>238</v>
      </c>
      <c r="DH2964" s="5" t="s">
        <v>238</v>
      </c>
      <c r="DI2964" s="5" t="s">
        <v>238</v>
      </c>
      <c r="DJ2964" s="5" t="s">
        <v>238</v>
      </c>
      <c r="DN2964" s="5" t="s">
        <v>238</v>
      </c>
      <c r="DO2964" s="5" t="s">
        <v>238</v>
      </c>
      <c r="DP2964" s="5" t="s">
        <v>238</v>
      </c>
      <c r="DQ2964" s="5" t="s">
        <v>238</v>
      </c>
      <c r="DT2964" s="5" t="s">
        <v>275</v>
      </c>
      <c r="DU2964" s="5" t="s">
        <v>2225</v>
      </c>
      <c r="HM2964" s="5" t="s">
        <v>264</v>
      </c>
    </row>
    <row r="2965" spans="1:221" x14ac:dyDescent="0.4">
      <c r="A2965" s="5">
        <v>4669</v>
      </c>
      <c r="B2965" s="5">
        <v>1</v>
      </c>
      <c r="C2965" s="5">
        <v>1</v>
      </c>
      <c r="D2965" s="5" t="s">
        <v>269</v>
      </c>
      <c r="E2965" s="5" t="s">
        <v>271</v>
      </c>
      <c r="F2965" s="5" t="s">
        <v>248</v>
      </c>
      <c r="G2965" s="5" t="s">
        <v>266</v>
      </c>
      <c r="H2965" s="6" t="s">
        <v>5674</v>
      </c>
      <c r="I2965" s="7">
        <f>1883</f>
        <v>1883</v>
      </c>
      <c r="J2965" s="5" t="s">
        <v>262</v>
      </c>
      <c r="K2965" s="8">
        <f>1</f>
        <v>1</v>
      </c>
      <c r="L2965" s="6" t="s">
        <v>242</v>
      </c>
      <c r="M2965" s="5" t="s">
        <v>267</v>
      </c>
      <c r="N2965" s="5" t="s">
        <v>265</v>
      </c>
      <c r="O2965" s="5" t="s">
        <v>238</v>
      </c>
      <c r="P2965" s="5" t="s">
        <v>238</v>
      </c>
      <c r="Q2965" s="5" t="s">
        <v>268</v>
      </c>
      <c r="R2965" s="5" t="s">
        <v>270</v>
      </c>
      <c r="S2965" s="5" t="s">
        <v>238</v>
      </c>
      <c r="V2965" s="5" t="s">
        <v>238</v>
      </c>
      <c r="X2965" s="6" t="s">
        <v>238</v>
      </c>
      <c r="AA2965" s="6" t="s">
        <v>243</v>
      </c>
      <c r="AB2965" s="5" t="s">
        <v>238</v>
      </c>
      <c r="AC2965" s="5" t="s">
        <v>244</v>
      </c>
      <c r="AD2965" s="5" t="s">
        <v>245</v>
      </c>
      <c r="AT2965" s="5" t="s">
        <v>246</v>
      </c>
      <c r="AU2965" s="5" t="s">
        <v>238</v>
      </c>
      <c r="AV2965" s="5" t="s">
        <v>247</v>
      </c>
      <c r="AW2965" s="5" t="s">
        <v>238</v>
      </c>
      <c r="AX2965" s="5" t="s">
        <v>249</v>
      </c>
      <c r="AY2965" s="5" t="s">
        <v>238</v>
      </c>
      <c r="BA2965" s="5" t="s">
        <v>238</v>
      </c>
      <c r="BC2965" s="5" t="s">
        <v>250</v>
      </c>
      <c r="BD2965" s="6" t="s">
        <v>243</v>
      </c>
      <c r="BE2965" s="5" t="s">
        <v>251</v>
      </c>
      <c r="BF2965" s="5" t="s">
        <v>252</v>
      </c>
      <c r="BG2965" s="5" t="s">
        <v>238</v>
      </c>
      <c r="BH2965" s="7">
        <f>0</f>
        <v>0</v>
      </c>
      <c r="BI2965" s="8">
        <f>0</f>
        <v>0</v>
      </c>
      <c r="BJ2965" s="5" t="s">
        <v>253</v>
      </c>
      <c r="BK2965" s="5" t="s">
        <v>254</v>
      </c>
      <c r="BY2965" s="5" t="s">
        <v>238</v>
      </c>
      <c r="BZ2965" s="5" t="s">
        <v>238</v>
      </c>
      <c r="CD2965" s="5" t="s">
        <v>273</v>
      </c>
      <c r="CE2965" s="5" t="s">
        <v>256</v>
      </c>
      <c r="CF2965" s="5" t="s">
        <v>238</v>
      </c>
      <c r="CI2965" s="6" t="s">
        <v>257</v>
      </c>
      <c r="CJ2965" s="5" t="s">
        <v>238</v>
      </c>
      <c r="CK2965" s="5" t="s">
        <v>258</v>
      </c>
      <c r="CL2965" s="5" t="s">
        <v>238</v>
      </c>
      <c r="CM2965" s="5" t="s">
        <v>238</v>
      </c>
      <c r="CN2965" s="5">
        <v>0</v>
      </c>
      <c r="CO2965" s="5" t="s">
        <v>259</v>
      </c>
      <c r="CP2965" s="5" t="s">
        <v>260</v>
      </c>
      <c r="CQ2965" s="5" t="s">
        <v>260</v>
      </c>
      <c r="CR2965" s="5" t="s">
        <v>261</v>
      </c>
      <c r="CU2965" s="8">
        <f>1</f>
        <v>1</v>
      </c>
      <c r="CV2965" s="8">
        <f>0</f>
        <v>0</v>
      </c>
      <c r="CX2965" s="8">
        <f>0</f>
        <v>0</v>
      </c>
      <c r="CY2965" s="8">
        <f>1</f>
        <v>1</v>
      </c>
      <c r="DA2965" s="5" t="s">
        <v>274</v>
      </c>
      <c r="DB2965" s="5" t="s">
        <v>238</v>
      </c>
      <c r="DD2965" s="5" t="s">
        <v>274</v>
      </c>
      <c r="DE2965" s="8">
        <f>1883</f>
        <v>1883</v>
      </c>
      <c r="DG2965" s="5" t="s">
        <v>238</v>
      </c>
      <c r="DH2965" s="5" t="s">
        <v>238</v>
      </c>
      <c r="DI2965" s="5" t="s">
        <v>238</v>
      </c>
      <c r="DJ2965" s="5" t="s">
        <v>238</v>
      </c>
      <c r="DN2965" s="5" t="s">
        <v>238</v>
      </c>
      <c r="DO2965" s="5" t="s">
        <v>238</v>
      </c>
      <c r="DP2965" s="5" t="s">
        <v>238</v>
      </c>
      <c r="DQ2965" s="5" t="s">
        <v>238</v>
      </c>
      <c r="DT2965" s="5" t="s">
        <v>275</v>
      </c>
      <c r="DU2965" s="5" t="s">
        <v>2250</v>
      </c>
      <c r="HM2965" s="5" t="s">
        <v>264</v>
      </c>
    </row>
    <row r="2966" spans="1:221" x14ac:dyDescent="0.4">
      <c r="A2966" s="5">
        <v>4670</v>
      </c>
      <c r="B2966" s="5">
        <v>1</v>
      </c>
      <c r="C2966" s="5">
        <v>1</v>
      </c>
      <c r="D2966" s="5" t="s">
        <v>269</v>
      </c>
      <c r="E2966" s="5" t="s">
        <v>271</v>
      </c>
      <c r="F2966" s="5" t="s">
        <v>248</v>
      </c>
      <c r="G2966" s="5" t="s">
        <v>266</v>
      </c>
      <c r="H2966" s="6" t="s">
        <v>3990</v>
      </c>
      <c r="I2966" s="7">
        <f>1816</f>
        <v>1816</v>
      </c>
      <c r="J2966" s="5" t="s">
        <v>262</v>
      </c>
      <c r="K2966" s="8">
        <f>1</f>
        <v>1</v>
      </c>
      <c r="L2966" s="6" t="s">
        <v>242</v>
      </c>
      <c r="M2966" s="5" t="s">
        <v>267</v>
      </c>
      <c r="N2966" s="5" t="s">
        <v>265</v>
      </c>
      <c r="O2966" s="5" t="s">
        <v>238</v>
      </c>
      <c r="P2966" s="5" t="s">
        <v>238</v>
      </c>
      <c r="Q2966" s="5" t="s">
        <v>268</v>
      </c>
      <c r="R2966" s="5" t="s">
        <v>270</v>
      </c>
      <c r="S2966" s="5" t="s">
        <v>238</v>
      </c>
      <c r="V2966" s="5" t="s">
        <v>238</v>
      </c>
      <c r="X2966" s="6" t="s">
        <v>238</v>
      </c>
      <c r="AA2966" s="6" t="s">
        <v>243</v>
      </c>
      <c r="AB2966" s="5" t="s">
        <v>238</v>
      </c>
      <c r="AC2966" s="5" t="s">
        <v>244</v>
      </c>
      <c r="AD2966" s="5" t="s">
        <v>245</v>
      </c>
      <c r="AT2966" s="5" t="s">
        <v>246</v>
      </c>
      <c r="AU2966" s="5" t="s">
        <v>238</v>
      </c>
      <c r="AV2966" s="5" t="s">
        <v>247</v>
      </c>
      <c r="AW2966" s="5" t="s">
        <v>238</v>
      </c>
      <c r="AX2966" s="5" t="s">
        <v>249</v>
      </c>
      <c r="AY2966" s="5" t="s">
        <v>238</v>
      </c>
      <c r="BA2966" s="5" t="s">
        <v>238</v>
      </c>
      <c r="BC2966" s="5" t="s">
        <v>250</v>
      </c>
      <c r="BD2966" s="6" t="s">
        <v>243</v>
      </c>
      <c r="BE2966" s="5" t="s">
        <v>251</v>
      </c>
      <c r="BF2966" s="5" t="s">
        <v>252</v>
      </c>
      <c r="BG2966" s="5" t="s">
        <v>238</v>
      </c>
      <c r="BH2966" s="7">
        <f>0</f>
        <v>0</v>
      </c>
      <c r="BI2966" s="8">
        <f>0</f>
        <v>0</v>
      </c>
      <c r="BJ2966" s="5" t="s">
        <v>253</v>
      </c>
      <c r="BK2966" s="5" t="s">
        <v>254</v>
      </c>
      <c r="BY2966" s="5" t="s">
        <v>238</v>
      </c>
      <c r="BZ2966" s="5" t="s">
        <v>238</v>
      </c>
      <c r="CD2966" s="5" t="s">
        <v>273</v>
      </c>
      <c r="CE2966" s="5" t="s">
        <v>256</v>
      </c>
      <c r="CF2966" s="5" t="s">
        <v>238</v>
      </c>
      <c r="CI2966" s="6" t="s">
        <v>257</v>
      </c>
      <c r="CJ2966" s="5" t="s">
        <v>238</v>
      </c>
      <c r="CK2966" s="5" t="s">
        <v>258</v>
      </c>
      <c r="CL2966" s="5" t="s">
        <v>238</v>
      </c>
      <c r="CM2966" s="5" t="s">
        <v>238</v>
      </c>
      <c r="CN2966" s="5">
        <v>0</v>
      </c>
      <c r="CO2966" s="5" t="s">
        <v>259</v>
      </c>
      <c r="CP2966" s="5" t="s">
        <v>260</v>
      </c>
      <c r="CQ2966" s="5" t="s">
        <v>260</v>
      </c>
      <c r="CR2966" s="5" t="s">
        <v>261</v>
      </c>
      <c r="CU2966" s="8">
        <f>1</f>
        <v>1</v>
      </c>
      <c r="CV2966" s="8">
        <f>0</f>
        <v>0</v>
      </c>
      <c r="CX2966" s="8">
        <f>0</f>
        <v>0</v>
      </c>
      <c r="CY2966" s="8">
        <f>1</f>
        <v>1</v>
      </c>
      <c r="DA2966" s="5" t="s">
        <v>274</v>
      </c>
      <c r="DB2966" s="5" t="s">
        <v>238</v>
      </c>
      <c r="DD2966" s="5" t="s">
        <v>274</v>
      </c>
      <c r="DE2966" s="8">
        <f>1816</f>
        <v>1816</v>
      </c>
      <c r="DG2966" s="5" t="s">
        <v>238</v>
      </c>
      <c r="DH2966" s="5" t="s">
        <v>238</v>
      </c>
      <c r="DI2966" s="5" t="s">
        <v>238</v>
      </c>
      <c r="DJ2966" s="5" t="s">
        <v>238</v>
      </c>
      <c r="DN2966" s="5" t="s">
        <v>238</v>
      </c>
      <c r="DO2966" s="5" t="s">
        <v>238</v>
      </c>
      <c r="DP2966" s="5" t="s">
        <v>238</v>
      </c>
      <c r="DQ2966" s="5" t="s">
        <v>238</v>
      </c>
      <c r="DT2966" s="5" t="s">
        <v>275</v>
      </c>
      <c r="DU2966" s="5" t="s">
        <v>2266</v>
      </c>
      <c r="HM2966" s="5" t="s">
        <v>264</v>
      </c>
    </row>
    <row r="2967" spans="1:221" x14ac:dyDescent="0.4">
      <c r="A2967" s="5">
        <v>4671</v>
      </c>
      <c r="B2967" s="5">
        <v>1</v>
      </c>
      <c r="C2967" s="5">
        <v>1</v>
      </c>
      <c r="D2967" s="5" t="s">
        <v>269</v>
      </c>
      <c r="E2967" s="5" t="s">
        <v>271</v>
      </c>
      <c r="F2967" s="5" t="s">
        <v>248</v>
      </c>
      <c r="G2967" s="5" t="s">
        <v>266</v>
      </c>
      <c r="H2967" s="6" t="s">
        <v>3991</v>
      </c>
      <c r="I2967" s="7">
        <f>1759</f>
        <v>1759</v>
      </c>
      <c r="J2967" s="5" t="s">
        <v>262</v>
      </c>
      <c r="K2967" s="8">
        <f>1</f>
        <v>1</v>
      </c>
      <c r="L2967" s="6" t="s">
        <v>242</v>
      </c>
      <c r="M2967" s="5" t="s">
        <v>267</v>
      </c>
      <c r="N2967" s="5" t="s">
        <v>265</v>
      </c>
      <c r="O2967" s="5" t="s">
        <v>238</v>
      </c>
      <c r="P2967" s="5" t="s">
        <v>238</v>
      </c>
      <c r="Q2967" s="5" t="s">
        <v>268</v>
      </c>
      <c r="R2967" s="5" t="s">
        <v>270</v>
      </c>
      <c r="S2967" s="5" t="s">
        <v>238</v>
      </c>
      <c r="V2967" s="5" t="s">
        <v>238</v>
      </c>
      <c r="X2967" s="6" t="s">
        <v>238</v>
      </c>
      <c r="AA2967" s="6" t="s">
        <v>243</v>
      </c>
      <c r="AB2967" s="5" t="s">
        <v>238</v>
      </c>
      <c r="AC2967" s="5" t="s">
        <v>244</v>
      </c>
      <c r="AD2967" s="5" t="s">
        <v>245</v>
      </c>
      <c r="AT2967" s="5" t="s">
        <v>246</v>
      </c>
      <c r="AU2967" s="5" t="s">
        <v>238</v>
      </c>
      <c r="AV2967" s="5" t="s">
        <v>247</v>
      </c>
      <c r="AW2967" s="5" t="s">
        <v>238</v>
      </c>
      <c r="AX2967" s="5" t="s">
        <v>249</v>
      </c>
      <c r="AY2967" s="5" t="s">
        <v>238</v>
      </c>
      <c r="BA2967" s="5" t="s">
        <v>238</v>
      </c>
      <c r="BC2967" s="5" t="s">
        <v>250</v>
      </c>
      <c r="BD2967" s="6" t="s">
        <v>243</v>
      </c>
      <c r="BE2967" s="5" t="s">
        <v>251</v>
      </c>
      <c r="BF2967" s="5" t="s">
        <v>252</v>
      </c>
      <c r="BG2967" s="5" t="s">
        <v>238</v>
      </c>
      <c r="BH2967" s="7">
        <f>0</f>
        <v>0</v>
      </c>
      <c r="BI2967" s="8">
        <f>0</f>
        <v>0</v>
      </c>
      <c r="BJ2967" s="5" t="s">
        <v>253</v>
      </c>
      <c r="BK2967" s="5" t="s">
        <v>254</v>
      </c>
      <c r="BY2967" s="5" t="s">
        <v>238</v>
      </c>
      <c r="BZ2967" s="5" t="s">
        <v>238</v>
      </c>
      <c r="CD2967" s="5" t="s">
        <v>273</v>
      </c>
      <c r="CE2967" s="5" t="s">
        <v>256</v>
      </c>
      <c r="CF2967" s="5" t="s">
        <v>238</v>
      </c>
      <c r="CI2967" s="6" t="s">
        <v>257</v>
      </c>
      <c r="CJ2967" s="5" t="s">
        <v>238</v>
      </c>
      <c r="CK2967" s="5" t="s">
        <v>258</v>
      </c>
      <c r="CL2967" s="5" t="s">
        <v>238</v>
      </c>
      <c r="CM2967" s="5" t="s">
        <v>238</v>
      </c>
      <c r="CN2967" s="5">
        <v>0</v>
      </c>
      <c r="CO2967" s="5" t="s">
        <v>259</v>
      </c>
      <c r="CP2967" s="5" t="s">
        <v>260</v>
      </c>
      <c r="CQ2967" s="5" t="s">
        <v>260</v>
      </c>
      <c r="CR2967" s="5" t="s">
        <v>261</v>
      </c>
      <c r="CU2967" s="8">
        <f>1</f>
        <v>1</v>
      </c>
      <c r="CV2967" s="8">
        <f>0</f>
        <v>0</v>
      </c>
      <c r="CX2967" s="8">
        <f>0</f>
        <v>0</v>
      </c>
      <c r="CY2967" s="8">
        <f>1</f>
        <v>1</v>
      </c>
      <c r="DA2967" s="5" t="s">
        <v>274</v>
      </c>
      <c r="DB2967" s="5" t="s">
        <v>238</v>
      </c>
      <c r="DD2967" s="5" t="s">
        <v>274</v>
      </c>
      <c r="DE2967" s="8">
        <f>1759</f>
        <v>1759</v>
      </c>
      <c r="DG2967" s="5" t="s">
        <v>238</v>
      </c>
      <c r="DH2967" s="5" t="s">
        <v>238</v>
      </c>
      <c r="DI2967" s="5" t="s">
        <v>238</v>
      </c>
      <c r="DJ2967" s="5" t="s">
        <v>238</v>
      </c>
      <c r="DN2967" s="5" t="s">
        <v>238</v>
      </c>
      <c r="DO2967" s="5" t="s">
        <v>238</v>
      </c>
      <c r="DP2967" s="5" t="s">
        <v>238</v>
      </c>
      <c r="DQ2967" s="5" t="s">
        <v>238</v>
      </c>
      <c r="DT2967" s="5" t="s">
        <v>275</v>
      </c>
      <c r="DU2967" s="5" t="s">
        <v>2275</v>
      </c>
      <c r="HM2967" s="5" t="s">
        <v>264</v>
      </c>
    </row>
    <row r="2968" spans="1:221" x14ac:dyDescent="0.4">
      <c r="A2968" s="5">
        <v>4672</v>
      </c>
      <c r="B2968" s="5">
        <v>1</v>
      </c>
      <c r="C2968" s="5">
        <v>1</v>
      </c>
      <c r="D2968" s="5" t="s">
        <v>269</v>
      </c>
      <c r="E2968" s="5" t="s">
        <v>271</v>
      </c>
      <c r="F2968" s="5" t="s">
        <v>248</v>
      </c>
      <c r="G2968" s="5" t="s">
        <v>266</v>
      </c>
      <c r="H2968" s="6" t="s">
        <v>3992</v>
      </c>
      <c r="I2968" s="7">
        <f>1207</f>
        <v>1207</v>
      </c>
      <c r="J2968" s="5" t="s">
        <v>262</v>
      </c>
      <c r="K2968" s="8">
        <f>1</f>
        <v>1</v>
      </c>
      <c r="L2968" s="6" t="s">
        <v>242</v>
      </c>
      <c r="M2968" s="5" t="s">
        <v>267</v>
      </c>
      <c r="N2968" s="5" t="s">
        <v>265</v>
      </c>
      <c r="O2968" s="5" t="s">
        <v>238</v>
      </c>
      <c r="P2968" s="5" t="s">
        <v>238</v>
      </c>
      <c r="Q2968" s="5" t="s">
        <v>268</v>
      </c>
      <c r="R2968" s="5" t="s">
        <v>270</v>
      </c>
      <c r="S2968" s="5" t="s">
        <v>238</v>
      </c>
      <c r="V2968" s="5" t="s">
        <v>238</v>
      </c>
      <c r="X2968" s="6" t="s">
        <v>238</v>
      </c>
      <c r="AA2968" s="6" t="s">
        <v>243</v>
      </c>
      <c r="AB2968" s="5" t="s">
        <v>238</v>
      </c>
      <c r="AC2968" s="5" t="s">
        <v>244</v>
      </c>
      <c r="AD2968" s="5" t="s">
        <v>245</v>
      </c>
      <c r="AT2968" s="5" t="s">
        <v>246</v>
      </c>
      <c r="AU2968" s="5" t="s">
        <v>238</v>
      </c>
      <c r="AV2968" s="5" t="s">
        <v>247</v>
      </c>
      <c r="AW2968" s="5" t="s">
        <v>238</v>
      </c>
      <c r="AX2968" s="5" t="s">
        <v>249</v>
      </c>
      <c r="AY2968" s="5" t="s">
        <v>238</v>
      </c>
      <c r="BA2968" s="5" t="s">
        <v>238</v>
      </c>
      <c r="BC2968" s="5" t="s">
        <v>250</v>
      </c>
      <c r="BD2968" s="6" t="s">
        <v>243</v>
      </c>
      <c r="BE2968" s="5" t="s">
        <v>251</v>
      </c>
      <c r="BF2968" s="5" t="s">
        <v>252</v>
      </c>
      <c r="BG2968" s="5" t="s">
        <v>238</v>
      </c>
      <c r="BH2968" s="7">
        <f>0</f>
        <v>0</v>
      </c>
      <c r="BI2968" s="8">
        <f>0</f>
        <v>0</v>
      </c>
      <c r="BJ2968" s="5" t="s">
        <v>253</v>
      </c>
      <c r="BK2968" s="5" t="s">
        <v>254</v>
      </c>
      <c r="BY2968" s="5" t="s">
        <v>238</v>
      </c>
      <c r="BZ2968" s="5" t="s">
        <v>238</v>
      </c>
      <c r="CD2968" s="5" t="s">
        <v>273</v>
      </c>
      <c r="CE2968" s="5" t="s">
        <v>256</v>
      </c>
      <c r="CF2968" s="5" t="s">
        <v>238</v>
      </c>
      <c r="CI2968" s="6" t="s">
        <v>257</v>
      </c>
      <c r="CJ2968" s="5" t="s">
        <v>238</v>
      </c>
      <c r="CK2968" s="5" t="s">
        <v>258</v>
      </c>
      <c r="CL2968" s="5" t="s">
        <v>238</v>
      </c>
      <c r="CM2968" s="5" t="s">
        <v>238</v>
      </c>
      <c r="CN2968" s="5">
        <v>0</v>
      </c>
      <c r="CO2968" s="5" t="s">
        <v>259</v>
      </c>
      <c r="CP2968" s="5" t="s">
        <v>260</v>
      </c>
      <c r="CQ2968" s="5" t="s">
        <v>260</v>
      </c>
      <c r="CR2968" s="5" t="s">
        <v>261</v>
      </c>
      <c r="CU2968" s="8">
        <f>1</f>
        <v>1</v>
      </c>
      <c r="CV2968" s="8">
        <f>0</f>
        <v>0</v>
      </c>
      <c r="CX2968" s="8">
        <f>0</f>
        <v>0</v>
      </c>
      <c r="CY2968" s="8">
        <f>1</f>
        <v>1</v>
      </c>
      <c r="DA2968" s="5" t="s">
        <v>274</v>
      </c>
      <c r="DB2968" s="5" t="s">
        <v>238</v>
      </c>
      <c r="DD2968" s="5" t="s">
        <v>274</v>
      </c>
      <c r="DE2968" s="8">
        <f>1207</f>
        <v>1207</v>
      </c>
      <c r="DG2968" s="5" t="s">
        <v>238</v>
      </c>
      <c r="DH2968" s="5" t="s">
        <v>238</v>
      </c>
      <c r="DI2968" s="5" t="s">
        <v>238</v>
      </c>
      <c r="DJ2968" s="5" t="s">
        <v>238</v>
      </c>
      <c r="DN2968" s="5" t="s">
        <v>238</v>
      </c>
      <c r="DO2968" s="5" t="s">
        <v>238</v>
      </c>
      <c r="DP2968" s="5" t="s">
        <v>238</v>
      </c>
      <c r="DQ2968" s="5" t="s">
        <v>238</v>
      </c>
      <c r="DT2968" s="5" t="s">
        <v>275</v>
      </c>
      <c r="DU2968" s="5" t="s">
        <v>2280</v>
      </c>
      <c r="HM2968" s="5" t="s">
        <v>264</v>
      </c>
    </row>
    <row r="2969" spans="1:221" x14ac:dyDescent="0.4">
      <c r="A2969" s="5">
        <v>4673</v>
      </c>
      <c r="B2969" s="5">
        <v>1</v>
      </c>
      <c r="C2969" s="5">
        <v>1</v>
      </c>
      <c r="D2969" s="5" t="s">
        <v>269</v>
      </c>
      <c r="E2969" s="5" t="s">
        <v>271</v>
      </c>
      <c r="F2969" s="5" t="s">
        <v>248</v>
      </c>
      <c r="G2969" s="5" t="s">
        <v>266</v>
      </c>
      <c r="H2969" s="6" t="s">
        <v>3993</v>
      </c>
      <c r="I2969" s="7">
        <f>2000</f>
        <v>2000</v>
      </c>
      <c r="J2969" s="5" t="s">
        <v>262</v>
      </c>
      <c r="K2969" s="8">
        <f>1</f>
        <v>1</v>
      </c>
      <c r="L2969" s="6" t="s">
        <v>242</v>
      </c>
      <c r="M2969" s="5" t="s">
        <v>267</v>
      </c>
      <c r="N2969" s="5" t="s">
        <v>265</v>
      </c>
      <c r="O2969" s="5" t="s">
        <v>238</v>
      </c>
      <c r="P2969" s="5" t="s">
        <v>238</v>
      </c>
      <c r="Q2969" s="5" t="s">
        <v>268</v>
      </c>
      <c r="R2969" s="5" t="s">
        <v>270</v>
      </c>
      <c r="S2969" s="5" t="s">
        <v>238</v>
      </c>
      <c r="V2969" s="5" t="s">
        <v>238</v>
      </c>
      <c r="X2969" s="6" t="s">
        <v>238</v>
      </c>
      <c r="AA2969" s="6" t="s">
        <v>243</v>
      </c>
      <c r="AB2969" s="5" t="s">
        <v>238</v>
      </c>
      <c r="AC2969" s="5" t="s">
        <v>244</v>
      </c>
      <c r="AD2969" s="5" t="s">
        <v>245</v>
      </c>
      <c r="AT2969" s="5" t="s">
        <v>246</v>
      </c>
      <c r="AU2969" s="5" t="s">
        <v>238</v>
      </c>
      <c r="AV2969" s="5" t="s">
        <v>247</v>
      </c>
      <c r="AW2969" s="5" t="s">
        <v>238</v>
      </c>
      <c r="AX2969" s="5" t="s">
        <v>249</v>
      </c>
      <c r="AY2969" s="5" t="s">
        <v>238</v>
      </c>
      <c r="BA2969" s="5" t="s">
        <v>238</v>
      </c>
      <c r="BC2969" s="5" t="s">
        <v>250</v>
      </c>
      <c r="BD2969" s="6" t="s">
        <v>243</v>
      </c>
      <c r="BE2969" s="5" t="s">
        <v>251</v>
      </c>
      <c r="BF2969" s="5" t="s">
        <v>252</v>
      </c>
      <c r="BG2969" s="5" t="s">
        <v>238</v>
      </c>
      <c r="BH2969" s="7">
        <f>0</f>
        <v>0</v>
      </c>
      <c r="BI2969" s="8">
        <f>0</f>
        <v>0</v>
      </c>
      <c r="BJ2969" s="5" t="s">
        <v>253</v>
      </c>
      <c r="BK2969" s="5" t="s">
        <v>254</v>
      </c>
      <c r="BY2969" s="5" t="s">
        <v>238</v>
      </c>
      <c r="BZ2969" s="5" t="s">
        <v>238</v>
      </c>
      <c r="CD2969" s="5" t="s">
        <v>273</v>
      </c>
      <c r="CE2969" s="5" t="s">
        <v>256</v>
      </c>
      <c r="CF2969" s="5" t="s">
        <v>238</v>
      </c>
      <c r="CI2969" s="6" t="s">
        <v>257</v>
      </c>
      <c r="CJ2969" s="5" t="s">
        <v>238</v>
      </c>
      <c r="CK2969" s="5" t="s">
        <v>258</v>
      </c>
      <c r="CL2969" s="5" t="s">
        <v>238</v>
      </c>
      <c r="CM2969" s="5" t="s">
        <v>238</v>
      </c>
      <c r="CN2969" s="5">
        <v>0</v>
      </c>
      <c r="CO2969" s="5" t="s">
        <v>259</v>
      </c>
      <c r="CP2969" s="5" t="s">
        <v>260</v>
      </c>
      <c r="CQ2969" s="5" t="s">
        <v>260</v>
      </c>
      <c r="CR2969" s="5" t="s">
        <v>261</v>
      </c>
      <c r="CU2969" s="8">
        <f>1</f>
        <v>1</v>
      </c>
      <c r="CV2969" s="8">
        <f>0</f>
        <v>0</v>
      </c>
      <c r="CX2969" s="8">
        <f>0</f>
        <v>0</v>
      </c>
      <c r="CY2969" s="8">
        <f>1</f>
        <v>1</v>
      </c>
      <c r="DA2969" s="5" t="s">
        <v>274</v>
      </c>
      <c r="DB2969" s="5" t="s">
        <v>238</v>
      </c>
      <c r="DD2969" s="5" t="s">
        <v>274</v>
      </c>
      <c r="DE2969" s="8">
        <f>2000</f>
        <v>2000</v>
      </c>
      <c r="DG2969" s="5" t="s">
        <v>238</v>
      </c>
      <c r="DH2969" s="5" t="s">
        <v>238</v>
      </c>
      <c r="DI2969" s="5" t="s">
        <v>238</v>
      </c>
      <c r="DJ2969" s="5" t="s">
        <v>238</v>
      </c>
      <c r="DN2969" s="5" t="s">
        <v>238</v>
      </c>
      <c r="DO2969" s="5" t="s">
        <v>238</v>
      </c>
      <c r="DP2969" s="5" t="s">
        <v>238</v>
      </c>
      <c r="DQ2969" s="5" t="s">
        <v>238</v>
      </c>
      <c r="DT2969" s="5" t="s">
        <v>275</v>
      </c>
      <c r="DU2969" s="5" t="s">
        <v>2419</v>
      </c>
      <c r="HM2969" s="5" t="s">
        <v>264</v>
      </c>
    </row>
    <row r="2970" spans="1:221" x14ac:dyDescent="0.4">
      <c r="A2970" s="5">
        <v>4674</v>
      </c>
      <c r="B2970" s="5">
        <v>1</v>
      </c>
      <c r="C2970" s="5">
        <v>1</v>
      </c>
      <c r="D2970" s="5" t="s">
        <v>269</v>
      </c>
      <c r="E2970" s="5" t="s">
        <v>271</v>
      </c>
      <c r="F2970" s="5" t="s">
        <v>248</v>
      </c>
      <c r="G2970" s="5" t="s">
        <v>266</v>
      </c>
      <c r="H2970" s="6" t="s">
        <v>3994</v>
      </c>
      <c r="I2970" s="7">
        <f>616</f>
        <v>616</v>
      </c>
      <c r="J2970" s="5" t="s">
        <v>262</v>
      </c>
      <c r="K2970" s="8">
        <f>1</f>
        <v>1</v>
      </c>
      <c r="L2970" s="6" t="s">
        <v>242</v>
      </c>
      <c r="M2970" s="5" t="s">
        <v>267</v>
      </c>
      <c r="N2970" s="5" t="s">
        <v>265</v>
      </c>
      <c r="O2970" s="5" t="s">
        <v>238</v>
      </c>
      <c r="P2970" s="5" t="s">
        <v>238</v>
      </c>
      <c r="Q2970" s="5" t="s">
        <v>268</v>
      </c>
      <c r="R2970" s="5" t="s">
        <v>270</v>
      </c>
      <c r="S2970" s="5" t="s">
        <v>238</v>
      </c>
      <c r="V2970" s="5" t="s">
        <v>238</v>
      </c>
      <c r="X2970" s="6" t="s">
        <v>238</v>
      </c>
      <c r="AA2970" s="6" t="s">
        <v>243</v>
      </c>
      <c r="AB2970" s="5" t="s">
        <v>238</v>
      </c>
      <c r="AC2970" s="5" t="s">
        <v>244</v>
      </c>
      <c r="AD2970" s="5" t="s">
        <v>245</v>
      </c>
      <c r="AT2970" s="5" t="s">
        <v>246</v>
      </c>
      <c r="AU2970" s="5" t="s">
        <v>238</v>
      </c>
      <c r="AV2970" s="5" t="s">
        <v>247</v>
      </c>
      <c r="AW2970" s="5" t="s">
        <v>238</v>
      </c>
      <c r="AX2970" s="5" t="s">
        <v>249</v>
      </c>
      <c r="AY2970" s="5" t="s">
        <v>238</v>
      </c>
      <c r="BA2970" s="5" t="s">
        <v>238</v>
      </c>
      <c r="BC2970" s="5" t="s">
        <v>250</v>
      </c>
      <c r="BD2970" s="6" t="s">
        <v>243</v>
      </c>
      <c r="BE2970" s="5" t="s">
        <v>251</v>
      </c>
      <c r="BF2970" s="5" t="s">
        <v>252</v>
      </c>
      <c r="BG2970" s="5" t="s">
        <v>238</v>
      </c>
      <c r="BH2970" s="7">
        <f>0</f>
        <v>0</v>
      </c>
      <c r="BI2970" s="8">
        <f>0</f>
        <v>0</v>
      </c>
      <c r="BJ2970" s="5" t="s">
        <v>253</v>
      </c>
      <c r="BK2970" s="5" t="s">
        <v>254</v>
      </c>
      <c r="BY2970" s="5" t="s">
        <v>238</v>
      </c>
      <c r="BZ2970" s="5" t="s">
        <v>238</v>
      </c>
      <c r="CD2970" s="5" t="s">
        <v>273</v>
      </c>
      <c r="CE2970" s="5" t="s">
        <v>256</v>
      </c>
      <c r="CF2970" s="5" t="s">
        <v>238</v>
      </c>
      <c r="CI2970" s="6" t="s">
        <v>257</v>
      </c>
      <c r="CJ2970" s="5" t="s">
        <v>238</v>
      </c>
      <c r="CK2970" s="5" t="s">
        <v>258</v>
      </c>
      <c r="CL2970" s="5" t="s">
        <v>238</v>
      </c>
      <c r="CM2970" s="5" t="s">
        <v>238</v>
      </c>
      <c r="CN2970" s="5">
        <v>0</v>
      </c>
      <c r="CO2970" s="5" t="s">
        <v>259</v>
      </c>
      <c r="CP2970" s="5" t="s">
        <v>260</v>
      </c>
      <c r="CQ2970" s="5" t="s">
        <v>260</v>
      </c>
      <c r="CR2970" s="5" t="s">
        <v>261</v>
      </c>
      <c r="CU2970" s="8">
        <f>1</f>
        <v>1</v>
      </c>
      <c r="CV2970" s="8">
        <f>0</f>
        <v>0</v>
      </c>
      <c r="CX2970" s="8">
        <f>0</f>
        <v>0</v>
      </c>
      <c r="CY2970" s="8">
        <f>1</f>
        <v>1</v>
      </c>
      <c r="DA2970" s="5" t="s">
        <v>274</v>
      </c>
      <c r="DB2970" s="5" t="s">
        <v>238</v>
      </c>
      <c r="DD2970" s="5" t="s">
        <v>274</v>
      </c>
      <c r="DE2970" s="8">
        <f>616</f>
        <v>616</v>
      </c>
      <c r="DG2970" s="5" t="s">
        <v>238</v>
      </c>
      <c r="DH2970" s="5" t="s">
        <v>238</v>
      </c>
      <c r="DI2970" s="5" t="s">
        <v>238</v>
      </c>
      <c r="DJ2970" s="5" t="s">
        <v>238</v>
      </c>
      <c r="DN2970" s="5" t="s">
        <v>238</v>
      </c>
      <c r="DO2970" s="5" t="s">
        <v>238</v>
      </c>
      <c r="DP2970" s="5" t="s">
        <v>238</v>
      </c>
      <c r="DQ2970" s="5" t="s">
        <v>238</v>
      </c>
      <c r="DT2970" s="5" t="s">
        <v>275</v>
      </c>
      <c r="DU2970" s="5" t="s">
        <v>2298</v>
      </c>
      <c r="HM2970" s="5" t="s">
        <v>264</v>
      </c>
    </row>
    <row r="2971" spans="1:221" x14ac:dyDescent="0.4">
      <c r="A2971" s="5">
        <v>4675</v>
      </c>
      <c r="B2971" s="5">
        <v>1</v>
      </c>
      <c r="C2971" s="5">
        <v>1</v>
      </c>
      <c r="D2971" s="5" t="s">
        <v>269</v>
      </c>
      <c r="E2971" s="5" t="s">
        <v>271</v>
      </c>
      <c r="F2971" s="5" t="s">
        <v>248</v>
      </c>
      <c r="G2971" s="5" t="s">
        <v>266</v>
      </c>
      <c r="H2971" s="6" t="s">
        <v>5679</v>
      </c>
      <c r="I2971" s="7">
        <f>1350</f>
        <v>1350</v>
      </c>
      <c r="J2971" s="5" t="s">
        <v>262</v>
      </c>
      <c r="K2971" s="8">
        <f>1</f>
        <v>1</v>
      </c>
      <c r="L2971" s="6" t="s">
        <v>242</v>
      </c>
      <c r="M2971" s="5" t="s">
        <v>267</v>
      </c>
      <c r="N2971" s="5" t="s">
        <v>265</v>
      </c>
      <c r="O2971" s="5" t="s">
        <v>238</v>
      </c>
      <c r="P2971" s="5" t="s">
        <v>238</v>
      </c>
      <c r="Q2971" s="5" t="s">
        <v>268</v>
      </c>
      <c r="R2971" s="5" t="s">
        <v>270</v>
      </c>
      <c r="S2971" s="5" t="s">
        <v>238</v>
      </c>
      <c r="V2971" s="5" t="s">
        <v>238</v>
      </c>
      <c r="X2971" s="6" t="s">
        <v>238</v>
      </c>
      <c r="AA2971" s="6" t="s">
        <v>243</v>
      </c>
      <c r="AB2971" s="5" t="s">
        <v>238</v>
      </c>
      <c r="AC2971" s="5" t="s">
        <v>244</v>
      </c>
      <c r="AD2971" s="5" t="s">
        <v>245</v>
      </c>
      <c r="AT2971" s="5" t="s">
        <v>246</v>
      </c>
      <c r="AU2971" s="5" t="s">
        <v>238</v>
      </c>
      <c r="AV2971" s="5" t="s">
        <v>247</v>
      </c>
      <c r="AW2971" s="5" t="s">
        <v>238</v>
      </c>
      <c r="AX2971" s="5" t="s">
        <v>249</v>
      </c>
      <c r="AY2971" s="5" t="s">
        <v>238</v>
      </c>
      <c r="BA2971" s="5" t="s">
        <v>238</v>
      </c>
      <c r="BC2971" s="5" t="s">
        <v>250</v>
      </c>
      <c r="BD2971" s="6" t="s">
        <v>243</v>
      </c>
      <c r="BE2971" s="5" t="s">
        <v>251</v>
      </c>
      <c r="BF2971" s="5" t="s">
        <v>252</v>
      </c>
      <c r="BG2971" s="5" t="s">
        <v>238</v>
      </c>
      <c r="BH2971" s="7">
        <f>0</f>
        <v>0</v>
      </c>
      <c r="BI2971" s="8">
        <f>0</f>
        <v>0</v>
      </c>
      <c r="BJ2971" s="5" t="s">
        <v>253</v>
      </c>
      <c r="BK2971" s="5" t="s">
        <v>254</v>
      </c>
      <c r="BY2971" s="5" t="s">
        <v>238</v>
      </c>
      <c r="BZ2971" s="5" t="s">
        <v>238</v>
      </c>
      <c r="CD2971" s="5" t="s">
        <v>273</v>
      </c>
      <c r="CE2971" s="5" t="s">
        <v>256</v>
      </c>
      <c r="CF2971" s="5" t="s">
        <v>238</v>
      </c>
      <c r="CI2971" s="6" t="s">
        <v>257</v>
      </c>
      <c r="CJ2971" s="5" t="s">
        <v>238</v>
      </c>
      <c r="CK2971" s="5" t="s">
        <v>258</v>
      </c>
      <c r="CL2971" s="5" t="s">
        <v>238</v>
      </c>
      <c r="CM2971" s="5" t="s">
        <v>238</v>
      </c>
      <c r="CN2971" s="5">
        <v>0</v>
      </c>
      <c r="CO2971" s="5" t="s">
        <v>259</v>
      </c>
      <c r="CP2971" s="5" t="s">
        <v>260</v>
      </c>
      <c r="CQ2971" s="5" t="s">
        <v>260</v>
      </c>
      <c r="CR2971" s="5" t="s">
        <v>261</v>
      </c>
      <c r="CU2971" s="8">
        <f>1</f>
        <v>1</v>
      </c>
      <c r="CV2971" s="8">
        <f>0</f>
        <v>0</v>
      </c>
      <c r="CX2971" s="8">
        <f>0</f>
        <v>0</v>
      </c>
      <c r="CY2971" s="8">
        <f>1</f>
        <v>1</v>
      </c>
      <c r="DA2971" s="5" t="s">
        <v>274</v>
      </c>
      <c r="DB2971" s="5" t="s">
        <v>238</v>
      </c>
      <c r="DD2971" s="5" t="s">
        <v>274</v>
      </c>
      <c r="DE2971" s="8">
        <f>1350</f>
        <v>1350</v>
      </c>
      <c r="DG2971" s="5" t="s">
        <v>238</v>
      </c>
      <c r="DH2971" s="5" t="s">
        <v>238</v>
      </c>
      <c r="DI2971" s="5" t="s">
        <v>238</v>
      </c>
      <c r="DJ2971" s="5" t="s">
        <v>238</v>
      </c>
      <c r="DN2971" s="5" t="s">
        <v>238</v>
      </c>
      <c r="DO2971" s="5" t="s">
        <v>238</v>
      </c>
      <c r="DP2971" s="5" t="s">
        <v>238</v>
      </c>
      <c r="DQ2971" s="5" t="s">
        <v>238</v>
      </c>
      <c r="DT2971" s="5" t="s">
        <v>275</v>
      </c>
      <c r="DU2971" s="5" t="s">
        <v>2310</v>
      </c>
      <c r="HM2971" s="5" t="s">
        <v>264</v>
      </c>
    </row>
    <row r="2972" spans="1:221" x14ac:dyDescent="0.4">
      <c r="A2972" s="5">
        <v>4676</v>
      </c>
      <c r="B2972" s="5">
        <v>1</v>
      </c>
      <c r="C2972" s="5">
        <v>1</v>
      </c>
      <c r="D2972" s="5" t="s">
        <v>269</v>
      </c>
      <c r="E2972" s="5" t="s">
        <v>271</v>
      </c>
      <c r="F2972" s="5" t="s">
        <v>248</v>
      </c>
      <c r="G2972" s="5" t="s">
        <v>266</v>
      </c>
      <c r="H2972" s="6" t="s">
        <v>3998</v>
      </c>
      <c r="I2972" s="7">
        <f>84</f>
        <v>84</v>
      </c>
      <c r="J2972" s="5" t="s">
        <v>262</v>
      </c>
      <c r="K2972" s="8">
        <f>1</f>
        <v>1</v>
      </c>
      <c r="L2972" s="6" t="s">
        <v>242</v>
      </c>
      <c r="M2972" s="5" t="s">
        <v>267</v>
      </c>
      <c r="N2972" s="5" t="s">
        <v>265</v>
      </c>
      <c r="O2972" s="5" t="s">
        <v>238</v>
      </c>
      <c r="P2972" s="5" t="s">
        <v>238</v>
      </c>
      <c r="Q2972" s="5" t="s">
        <v>268</v>
      </c>
      <c r="R2972" s="5" t="s">
        <v>270</v>
      </c>
      <c r="S2972" s="5" t="s">
        <v>238</v>
      </c>
      <c r="V2972" s="5" t="s">
        <v>238</v>
      </c>
      <c r="X2972" s="6" t="s">
        <v>238</v>
      </c>
      <c r="AA2972" s="6" t="s">
        <v>243</v>
      </c>
      <c r="AB2972" s="5" t="s">
        <v>238</v>
      </c>
      <c r="AC2972" s="5" t="s">
        <v>244</v>
      </c>
      <c r="AD2972" s="5" t="s">
        <v>245</v>
      </c>
      <c r="AT2972" s="5" t="s">
        <v>246</v>
      </c>
      <c r="AU2972" s="5" t="s">
        <v>238</v>
      </c>
      <c r="AV2972" s="5" t="s">
        <v>247</v>
      </c>
      <c r="AW2972" s="5" t="s">
        <v>238</v>
      </c>
      <c r="AX2972" s="5" t="s">
        <v>249</v>
      </c>
      <c r="AY2972" s="5" t="s">
        <v>238</v>
      </c>
      <c r="BA2972" s="5" t="s">
        <v>238</v>
      </c>
      <c r="BC2972" s="5" t="s">
        <v>250</v>
      </c>
      <c r="BD2972" s="6" t="s">
        <v>243</v>
      </c>
      <c r="BE2972" s="5" t="s">
        <v>251</v>
      </c>
      <c r="BF2972" s="5" t="s">
        <v>252</v>
      </c>
      <c r="BG2972" s="5" t="s">
        <v>238</v>
      </c>
      <c r="BH2972" s="7">
        <f>0</f>
        <v>0</v>
      </c>
      <c r="BI2972" s="8">
        <f>0</f>
        <v>0</v>
      </c>
      <c r="BJ2972" s="5" t="s">
        <v>253</v>
      </c>
      <c r="BK2972" s="5" t="s">
        <v>254</v>
      </c>
      <c r="BY2972" s="5" t="s">
        <v>238</v>
      </c>
      <c r="BZ2972" s="5" t="s">
        <v>238</v>
      </c>
      <c r="CD2972" s="5" t="s">
        <v>273</v>
      </c>
      <c r="CE2972" s="5" t="s">
        <v>256</v>
      </c>
      <c r="CF2972" s="5" t="s">
        <v>238</v>
      </c>
      <c r="CI2972" s="6" t="s">
        <v>257</v>
      </c>
      <c r="CJ2972" s="5" t="s">
        <v>238</v>
      </c>
      <c r="CK2972" s="5" t="s">
        <v>258</v>
      </c>
      <c r="CL2972" s="5" t="s">
        <v>238</v>
      </c>
      <c r="CM2972" s="5" t="s">
        <v>238</v>
      </c>
      <c r="CN2972" s="5">
        <v>0</v>
      </c>
      <c r="CO2972" s="5" t="s">
        <v>259</v>
      </c>
      <c r="CP2972" s="5" t="s">
        <v>260</v>
      </c>
      <c r="CQ2972" s="5" t="s">
        <v>260</v>
      </c>
      <c r="CR2972" s="5" t="s">
        <v>261</v>
      </c>
      <c r="CU2972" s="8">
        <f>1</f>
        <v>1</v>
      </c>
      <c r="CV2972" s="8">
        <f>0</f>
        <v>0</v>
      </c>
      <c r="CX2972" s="8">
        <f>0</f>
        <v>0</v>
      </c>
      <c r="CY2972" s="8">
        <f>1</f>
        <v>1</v>
      </c>
      <c r="DA2972" s="5" t="s">
        <v>274</v>
      </c>
      <c r="DB2972" s="5" t="s">
        <v>238</v>
      </c>
      <c r="DD2972" s="5" t="s">
        <v>274</v>
      </c>
      <c r="DE2972" s="8">
        <f>84</f>
        <v>84</v>
      </c>
      <c r="DG2972" s="5" t="s">
        <v>238</v>
      </c>
      <c r="DH2972" s="5" t="s">
        <v>238</v>
      </c>
      <c r="DI2972" s="5" t="s">
        <v>238</v>
      </c>
      <c r="DJ2972" s="5" t="s">
        <v>238</v>
      </c>
      <c r="DN2972" s="5" t="s">
        <v>238</v>
      </c>
      <c r="DO2972" s="5" t="s">
        <v>238</v>
      </c>
      <c r="DP2972" s="5" t="s">
        <v>238</v>
      </c>
      <c r="DQ2972" s="5" t="s">
        <v>238</v>
      </c>
      <c r="DT2972" s="5" t="s">
        <v>275</v>
      </c>
      <c r="DU2972" s="5" t="s">
        <v>2323</v>
      </c>
      <c r="HM2972" s="5" t="s">
        <v>264</v>
      </c>
    </row>
    <row r="2973" spans="1:221" x14ac:dyDescent="0.4">
      <c r="A2973" s="5">
        <v>4677</v>
      </c>
      <c r="B2973" s="5">
        <v>1</v>
      </c>
      <c r="C2973" s="5">
        <v>1</v>
      </c>
      <c r="D2973" s="5" t="s">
        <v>269</v>
      </c>
      <c r="E2973" s="5" t="s">
        <v>271</v>
      </c>
      <c r="F2973" s="5" t="s">
        <v>248</v>
      </c>
      <c r="G2973" s="5" t="s">
        <v>266</v>
      </c>
      <c r="H2973" s="6" t="s">
        <v>3999</v>
      </c>
      <c r="I2973" s="7">
        <f>697</f>
        <v>697</v>
      </c>
      <c r="J2973" s="5" t="s">
        <v>262</v>
      </c>
      <c r="K2973" s="8">
        <f>1</f>
        <v>1</v>
      </c>
      <c r="L2973" s="6" t="s">
        <v>242</v>
      </c>
      <c r="M2973" s="5" t="s">
        <v>267</v>
      </c>
      <c r="N2973" s="5" t="s">
        <v>265</v>
      </c>
      <c r="O2973" s="5" t="s">
        <v>238</v>
      </c>
      <c r="P2973" s="5" t="s">
        <v>238</v>
      </c>
      <c r="Q2973" s="5" t="s">
        <v>268</v>
      </c>
      <c r="R2973" s="5" t="s">
        <v>270</v>
      </c>
      <c r="S2973" s="5" t="s">
        <v>238</v>
      </c>
      <c r="V2973" s="5" t="s">
        <v>238</v>
      </c>
      <c r="X2973" s="6" t="s">
        <v>238</v>
      </c>
      <c r="AA2973" s="6" t="s">
        <v>243</v>
      </c>
      <c r="AB2973" s="5" t="s">
        <v>238</v>
      </c>
      <c r="AC2973" s="5" t="s">
        <v>244</v>
      </c>
      <c r="AD2973" s="5" t="s">
        <v>245</v>
      </c>
      <c r="AT2973" s="5" t="s">
        <v>246</v>
      </c>
      <c r="AU2973" s="5" t="s">
        <v>238</v>
      </c>
      <c r="AV2973" s="5" t="s">
        <v>247</v>
      </c>
      <c r="AW2973" s="5" t="s">
        <v>238</v>
      </c>
      <c r="AX2973" s="5" t="s">
        <v>249</v>
      </c>
      <c r="AY2973" s="5" t="s">
        <v>238</v>
      </c>
      <c r="BA2973" s="5" t="s">
        <v>238</v>
      </c>
      <c r="BC2973" s="5" t="s">
        <v>250</v>
      </c>
      <c r="BD2973" s="6" t="s">
        <v>243</v>
      </c>
      <c r="BE2973" s="5" t="s">
        <v>251</v>
      </c>
      <c r="BF2973" s="5" t="s">
        <v>252</v>
      </c>
      <c r="BG2973" s="5" t="s">
        <v>238</v>
      </c>
      <c r="BH2973" s="7">
        <f>0</f>
        <v>0</v>
      </c>
      <c r="BI2973" s="8">
        <f>0</f>
        <v>0</v>
      </c>
      <c r="BJ2973" s="5" t="s">
        <v>253</v>
      </c>
      <c r="BK2973" s="5" t="s">
        <v>254</v>
      </c>
      <c r="BY2973" s="5" t="s">
        <v>238</v>
      </c>
      <c r="BZ2973" s="5" t="s">
        <v>238</v>
      </c>
      <c r="CD2973" s="5" t="s">
        <v>273</v>
      </c>
      <c r="CE2973" s="5" t="s">
        <v>256</v>
      </c>
      <c r="CF2973" s="5" t="s">
        <v>238</v>
      </c>
      <c r="CI2973" s="6" t="s">
        <v>257</v>
      </c>
      <c r="CJ2973" s="5" t="s">
        <v>238</v>
      </c>
      <c r="CK2973" s="5" t="s">
        <v>258</v>
      </c>
      <c r="CL2973" s="5" t="s">
        <v>238</v>
      </c>
      <c r="CM2973" s="5" t="s">
        <v>238</v>
      </c>
      <c r="CN2973" s="5">
        <v>0</v>
      </c>
      <c r="CO2973" s="5" t="s">
        <v>259</v>
      </c>
      <c r="CP2973" s="5" t="s">
        <v>260</v>
      </c>
      <c r="CQ2973" s="5" t="s">
        <v>260</v>
      </c>
      <c r="CR2973" s="5" t="s">
        <v>261</v>
      </c>
      <c r="CU2973" s="8">
        <f>1</f>
        <v>1</v>
      </c>
      <c r="CV2973" s="8">
        <f>0</f>
        <v>0</v>
      </c>
      <c r="CX2973" s="8">
        <f>0</f>
        <v>0</v>
      </c>
      <c r="CY2973" s="8">
        <f>1</f>
        <v>1</v>
      </c>
      <c r="DA2973" s="5" t="s">
        <v>274</v>
      </c>
      <c r="DB2973" s="5" t="s">
        <v>238</v>
      </c>
      <c r="DD2973" s="5" t="s">
        <v>274</v>
      </c>
      <c r="DE2973" s="8">
        <f>697</f>
        <v>697</v>
      </c>
      <c r="DG2973" s="5" t="s">
        <v>238</v>
      </c>
      <c r="DH2973" s="5" t="s">
        <v>238</v>
      </c>
      <c r="DI2973" s="5" t="s">
        <v>238</v>
      </c>
      <c r="DJ2973" s="5" t="s">
        <v>238</v>
      </c>
      <c r="DN2973" s="5" t="s">
        <v>238</v>
      </c>
      <c r="DO2973" s="5" t="s">
        <v>238</v>
      </c>
      <c r="DP2973" s="5" t="s">
        <v>238</v>
      </c>
      <c r="DQ2973" s="5" t="s">
        <v>238</v>
      </c>
      <c r="DT2973" s="5" t="s">
        <v>275</v>
      </c>
      <c r="DU2973" s="5" t="s">
        <v>2330</v>
      </c>
      <c r="HM2973" s="5" t="s">
        <v>264</v>
      </c>
    </row>
    <row r="2974" spans="1:221" x14ac:dyDescent="0.4">
      <c r="A2974" s="5">
        <v>4678</v>
      </c>
      <c r="B2974" s="5">
        <v>1</v>
      </c>
      <c r="C2974" s="5">
        <v>1</v>
      </c>
      <c r="D2974" s="5" t="s">
        <v>269</v>
      </c>
      <c r="E2974" s="5" t="s">
        <v>271</v>
      </c>
      <c r="F2974" s="5" t="s">
        <v>248</v>
      </c>
      <c r="G2974" s="5" t="s">
        <v>266</v>
      </c>
      <c r="H2974" s="6" t="s">
        <v>5681</v>
      </c>
      <c r="I2974" s="7">
        <f>271</f>
        <v>271</v>
      </c>
      <c r="J2974" s="5" t="s">
        <v>262</v>
      </c>
      <c r="K2974" s="8">
        <f>1</f>
        <v>1</v>
      </c>
      <c r="L2974" s="6" t="s">
        <v>242</v>
      </c>
      <c r="M2974" s="5" t="s">
        <v>267</v>
      </c>
      <c r="N2974" s="5" t="s">
        <v>265</v>
      </c>
      <c r="O2974" s="5" t="s">
        <v>238</v>
      </c>
      <c r="P2974" s="5" t="s">
        <v>238</v>
      </c>
      <c r="Q2974" s="5" t="s">
        <v>268</v>
      </c>
      <c r="R2974" s="5" t="s">
        <v>270</v>
      </c>
      <c r="S2974" s="5" t="s">
        <v>238</v>
      </c>
      <c r="V2974" s="5" t="s">
        <v>238</v>
      </c>
      <c r="X2974" s="6" t="s">
        <v>238</v>
      </c>
      <c r="AA2974" s="6" t="s">
        <v>243</v>
      </c>
      <c r="AB2974" s="5" t="s">
        <v>238</v>
      </c>
      <c r="AC2974" s="5" t="s">
        <v>244</v>
      </c>
      <c r="AD2974" s="5" t="s">
        <v>245</v>
      </c>
      <c r="AT2974" s="5" t="s">
        <v>246</v>
      </c>
      <c r="AU2974" s="5" t="s">
        <v>238</v>
      </c>
      <c r="AV2974" s="5" t="s">
        <v>247</v>
      </c>
      <c r="AW2974" s="5" t="s">
        <v>238</v>
      </c>
      <c r="AX2974" s="5" t="s">
        <v>249</v>
      </c>
      <c r="AY2974" s="5" t="s">
        <v>238</v>
      </c>
      <c r="BA2974" s="5" t="s">
        <v>238</v>
      </c>
      <c r="BC2974" s="5" t="s">
        <v>250</v>
      </c>
      <c r="BD2974" s="6" t="s">
        <v>243</v>
      </c>
      <c r="BE2974" s="5" t="s">
        <v>251</v>
      </c>
      <c r="BF2974" s="5" t="s">
        <v>252</v>
      </c>
      <c r="BG2974" s="5" t="s">
        <v>238</v>
      </c>
      <c r="BH2974" s="7">
        <f>0</f>
        <v>0</v>
      </c>
      <c r="BI2974" s="8">
        <f>0</f>
        <v>0</v>
      </c>
      <c r="BJ2974" s="5" t="s">
        <v>253</v>
      </c>
      <c r="BK2974" s="5" t="s">
        <v>254</v>
      </c>
      <c r="BY2974" s="5" t="s">
        <v>238</v>
      </c>
      <c r="BZ2974" s="5" t="s">
        <v>238</v>
      </c>
      <c r="CD2974" s="5" t="s">
        <v>273</v>
      </c>
      <c r="CE2974" s="5" t="s">
        <v>256</v>
      </c>
      <c r="CF2974" s="5" t="s">
        <v>238</v>
      </c>
      <c r="CI2974" s="6" t="s">
        <v>257</v>
      </c>
      <c r="CJ2974" s="5" t="s">
        <v>238</v>
      </c>
      <c r="CK2974" s="5" t="s">
        <v>258</v>
      </c>
      <c r="CL2974" s="5" t="s">
        <v>238</v>
      </c>
      <c r="CM2974" s="5" t="s">
        <v>238</v>
      </c>
      <c r="CN2974" s="5">
        <v>0</v>
      </c>
      <c r="CO2974" s="5" t="s">
        <v>259</v>
      </c>
      <c r="CP2974" s="5" t="s">
        <v>260</v>
      </c>
      <c r="CQ2974" s="5" t="s">
        <v>260</v>
      </c>
      <c r="CR2974" s="5" t="s">
        <v>261</v>
      </c>
      <c r="CU2974" s="8">
        <f>1</f>
        <v>1</v>
      </c>
      <c r="CV2974" s="8">
        <f>0</f>
        <v>0</v>
      </c>
      <c r="CX2974" s="8">
        <f>0</f>
        <v>0</v>
      </c>
      <c r="CY2974" s="8">
        <f>1</f>
        <v>1</v>
      </c>
      <c r="DA2974" s="5" t="s">
        <v>274</v>
      </c>
      <c r="DB2974" s="5" t="s">
        <v>238</v>
      </c>
      <c r="DD2974" s="5" t="s">
        <v>274</v>
      </c>
      <c r="DE2974" s="8">
        <f>271</f>
        <v>271</v>
      </c>
      <c r="DG2974" s="5" t="s">
        <v>238</v>
      </c>
      <c r="DH2974" s="5" t="s">
        <v>238</v>
      </c>
      <c r="DI2974" s="5" t="s">
        <v>238</v>
      </c>
      <c r="DJ2974" s="5" t="s">
        <v>238</v>
      </c>
      <c r="DN2974" s="5" t="s">
        <v>238</v>
      </c>
      <c r="DO2974" s="5" t="s">
        <v>238</v>
      </c>
      <c r="DP2974" s="5" t="s">
        <v>238</v>
      </c>
      <c r="DQ2974" s="5" t="s">
        <v>238</v>
      </c>
      <c r="DT2974" s="5" t="s">
        <v>275</v>
      </c>
      <c r="DU2974" s="5" t="s">
        <v>2347</v>
      </c>
      <c r="HM2974" s="5" t="s">
        <v>264</v>
      </c>
    </row>
    <row r="2975" spans="1:221" x14ac:dyDescent="0.4">
      <c r="A2975" s="5">
        <v>4679</v>
      </c>
      <c r="B2975" s="5">
        <v>1</v>
      </c>
      <c r="C2975" s="5">
        <v>1</v>
      </c>
      <c r="D2975" s="5" t="s">
        <v>269</v>
      </c>
      <c r="E2975" s="5" t="s">
        <v>271</v>
      </c>
      <c r="F2975" s="5" t="s">
        <v>248</v>
      </c>
      <c r="G2975" s="5" t="s">
        <v>266</v>
      </c>
      <c r="H2975" s="6" t="s">
        <v>4002</v>
      </c>
      <c r="I2975" s="7">
        <f>79</f>
        <v>79</v>
      </c>
      <c r="J2975" s="5" t="s">
        <v>262</v>
      </c>
      <c r="K2975" s="8">
        <f>1</f>
        <v>1</v>
      </c>
      <c r="L2975" s="6" t="s">
        <v>242</v>
      </c>
      <c r="M2975" s="5" t="s">
        <v>267</v>
      </c>
      <c r="N2975" s="5" t="s">
        <v>265</v>
      </c>
      <c r="O2975" s="5" t="s">
        <v>238</v>
      </c>
      <c r="P2975" s="5" t="s">
        <v>238</v>
      </c>
      <c r="Q2975" s="5" t="s">
        <v>268</v>
      </c>
      <c r="R2975" s="5" t="s">
        <v>270</v>
      </c>
      <c r="S2975" s="5" t="s">
        <v>238</v>
      </c>
      <c r="V2975" s="5" t="s">
        <v>238</v>
      </c>
      <c r="X2975" s="6" t="s">
        <v>238</v>
      </c>
      <c r="AA2975" s="6" t="s">
        <v>243</v>
      </c>
      <c r="AB2975" s="5" t="s">
        <v>238</v>
      </c>
      <c r="AC2975" s="5" t="s">
        <v>244</v>
      </c>
      <c r="AD2975" s="5" t="s">
        <v>245</v>
      </c>
      <c r="AT2975" s="5" t="s">
        <v>246</v>
      </c>
      <c r="AU2975" s="5" t="s">
        <v>238</v>
      </c>
      <c r="AV2975" s="5" t="s">
        <v>247</v>
      </c>
      <c r="AW2975" s="5" t="s">
        <v>238</v>
      </c>
      <c r="AX2975" s="5" t="s">
        <v>249</v>
      </c>
      <c r="AY2975" s="5" t="s">
        <v>238</v>
      </c>
      <c r="BA2975" s="5" t="s">
        <v>238</v>
      </c>
      <c r="BC2975" s="5" t="s">
        <v>250</v>
      </c>
      <c r="BD2975" s="6" t="s">
        <v>243</v>
      </c>
      <c r="BE2975" s="5" t="s">
        <v>251</v>
      </c>
      <c r="BF2975" s="5" t="s">
        <v>252</v>
      </c>
      <c r="BG2975" s="5" t="s">
        <v>238</v>
      </c>
      <c r="BH2975" s="7">
        <f>0</f>
        <v>0</v>
      </c>
      <c r="BI2975" s="8">
        <f>0</f>
        <v>0</v>
      </c>
      <c r="BJ2975" s="5" t="s">
        <v>253</v>
      </c>
      <c r="BK2975" s="5" t="s">
        <v>254</v>
      </c>
      <c r="BY2975" s="5" t="s">
        <v>238</v>
      </c>
      <c r="BZ2975" s="5" t="s">
        <v>238</v>
      </c>
      <c r="CD2975" s="5" t="s">
        <v>273</v>
      </c>
      <c r="CE2975" s="5" t="s">
        <v>256</v>
      </c>
      <c r="CF2975" s="5" t="s">
        <v>238</v>
      </c>
      <c r="CI2975" s="6" t="s">
        <v>257</v>
      </c>
      <c r="CJ2975" s="5" t="s">
        <v>238</v>
      </c>
      <c r="CK2975" s="5" t="s">
        <v>258</v>
      </c>
      <c r="CL2975" s="5" t="s">
        <v>238</v>
      </c>
      <c r="CM2975" s="5" t="s">
        <v>238</v>
      </c>
      <c r="CN2975" s="5">
        <v>0</v>
      </c>
      <c r="CO2975" s="5" t="s">
        <v>259</v>
      </c>
      <c r="CP2975" s="5" t="s">
        <v>260</v>
      </c>
      <c r="CQ2975" s="5" t="s">
        <v>260</v>
      </c>
      <c r="CR2975" s="5" t="s">
        <v>261</v>
      </c>
      <c r="CU2975" s="8">
        <f>1</f>
        <v>1</v>
      </c>
      <c r="CV2975" s="8">
        <f>0</f>
        <v>0</v>
      </c>
      <c r="CX2975" s="8">
        <f>0</f>
        <v>0</v>
      </c>
      <c r="CY2975" s="8">
        <f>1</f>
        <v>1</v>
      </c>
      <c r="DA2975" s="5" t="s">
        <v>274</v>
      </c>
      <c r="DB2975" s="5" t="s">
        <v>238</v>
      </c>
      <c r="DD2975" s="5" t="s">
        <v>274</v>
      </c>
      <c r="DE2975" s="8">
        <f>79</f>
        <v>79</v>
      </c>
      <c r="DG2975" s="5" t="s">
        <v>238</v>
      </c>
      <c r="DH2975" s="5" t="s">
        <v>238</v>
      </c>
      <c r="DI2975" s="5" t="s">
        <v>238</v>
      </c>
      <c r="DJ2975" s="5" t="s">
        <v>238</v>
      </c>
      <c r="DN2975" s="5" t="s">
        <v>238</v>
      </c>
      <c r="DO2975" s="5" t="s">
        <v>238</v>
      </c>
      <c r="DP2975" s="5" t="s">
        <v>238</v>
      </c>
      <c r="DQ2975" s="5" t="s">
        <v>238</v>
      </c>
      <c r="DT2975" s="5" t="s">
        <v>275</v>
      </c>
      <c r="DU2975" s="5" t="s">
        <v>2363</v>
      </c>
      <c r="HM2975" s="5" t="s">
        <v>264</v>
      </c>
    </row>
    <row r="2976" spans="1:221" x14ac:dyDescent="0.4">
      <c r="A2976" s="5">
        <v>4680</v>
      </c>
      <c r="B2976" s="5">
        <v>1</v>
      </c>
      <c r="C2976" s="5">
        <v>1</v>
      </c>
      <c r="D2976" s="5" t="s">
        <v>269</v>
      </c>
      <c r="E2976" s="5" t="s">
        <v>271</v>
      </c>
      <c r="F2976" s="5" t="s">
        <v>248</v>
      </c>
      <c r="G2976" s="5" t="s">
        <v>266</v>
      </c>
      <c r="H2976" s="6" t="s">
        <v>5682</v>
      </c>
      <c r="I2976" s="7">
        <f>472</f>
        <v>472</v>
      </c>
      <c r="J2976" s="5" t="s">
        <v>262</v>
      </c>
      <c r="K2976" s="8">
        <f>1</f>
        <v>1</v>
      </c>
      <c r="L2976" s="6" t="s">
        <v>242</v>
      </c>
      <c r="M2976" s="5" t="s">
        <v>267</v>
      </c>
      <c r="N2976" s="5" t="s">
        <v>265</v>
      </c>
      <c r="O2976" s="5" t="s">
        <v>238</v>
      </c>
      <c r="P2976" s="5" t="s">
        <v>238</v>
      </c>
      <c r="Q2976" s="5" t="s">
        <v>268</v>
      </c>
      <c r="R2976" s="5" t="s">
        <v>270</v>
      </c>
      <c r="S2976" s="5" t="s">
        <v>238</v>
      </c>
      <c r="V2976" s="5" t="s">
        <v>238</v>
      </c>
      <c r="X2976" s="6" t="s">
        <v>238</v>
      </c>
      <c r="AA2976" s="6" t="s">
        <v>243</v>
      </c>
      <c r="AB2976" s="5" t="s">
        <v>238</v>
      </c>
      <c r="AC2976" s="5" t="s">
        <v>244</v>
      </c>
      <c r="AD2976" s="5" t="s">
        <v>245</v>
      </c>
      <c r="AT2976" s="5" t="s">
        <v>246</v>
      </c>
      <c r="AU2976" s="5" t="s">
        <v>238</v>
      </c>
      <c r="AV2976" s="5" t="s">
        <v>247</v>
      </c>
      <c r="AW2976" s="5" t="s">
        <v>238</v>
      </c>
      <c r="AX2976" s="5" t="s">
        <v>249</v>
      </c>
      <c r="AY2976" s="5" t="s">
        <v>238</v>
      </c>
      <c r="BA2976" s="5" t="s">
        <v>238</v>
      </c>
      <c r="BC2976" s="5" t="s">
        <v>250</v>
      </c>
      <c r="BD2976" s="6" t="s">
        <v>243</v>
      </c>
      <c r="BE2976" s="5" t="s">
        <v>251</v>
      </c>
      <c r="BF2976" s="5" t="s">
        <v>252</v>
      </c>
      <c r="BG2976" s="5" t="s">
        <v>238</v>
      </c>
      <c r="BH2976" s="7">
        <f>0</f>
        <v>0</v>
      </c>
      <c r="BI2976" s="8">
        <f>0</f>
        <v>0</v>
      </c>
      <c r="BJ2976" s="5" t="s">
        <v>253</v>
      </c>
      <c r="BK2976" s="5" t="s">
        <v>254</v>
      </c>
      <c r="BY2976" s="5" t="s">
        <v>238</v>
      </c>
      <c r="BZ2976" s="5" t="s">
        <v>238</v>
      </c>
      <c r="CD2976" s="5" t="s">
        <v>273</v>
      </c>
      <c r="CE2976" s="5" t="s">
        <v>256</v>
      </c>
      <c r="CF2976" s="5" t="s">
        <v>238</v>
      </c>
      <c r="CI2976" s="6" t="s">
        <v>257</v>
      </c>
      <c r="CJ2976" s="5" t="s">
        <v>238</v>
      </c>
      <c r="CK2976" s="5" t="s">
        <v>258</v>
      </c>
      <c r="CL2976" s="5" t="s">
        <v>238</v>
      </c>
      <c r="CM2976" s="5" t="s">
        <v>238</v>
      </c>
      <c r="CN2976" s="5">
        <v>0</v>
      </c>
      <c r="CO2976" s="5" t="s">
        <v>259</v>
      </c>
      <c r="CP2976" s="5" t="s">
        <v>260</v>
      </c>
      <c r="CQ2976" s="5" t="s">
        <v>260</v>
      </c>
      <c r="CR2976" s="5" t="s">
        <v>261</v>
      </c>
      <c r="CU2976" s="8">
        <f>1</f>
        <v>1</v>
      </c>
      <c r="CV2976" s="8">
        <f>0</f>
        <v>0</v>
      </c>
      <c r="CX2976" s="8">
        <f>0</f>
        <v>0</v>
      </c>
      <c r="CY2976" s="8">
        <f>1</f>
        <v>1</v>
      </c>
      <c r="DA2976" s="5" t="s">
        <v>274</v>
      </c>
      <c r="DB2976" s="5" t="s">
        <v>238</v>
      </c>
      <c r="DD2976" s="5" t="s">
        <v>274</v>
      </c>
      <c r="DE2976" s="8">
        <f>472</f>
        <v>472</v>
      </c>
      <c r="DG2976" s="5" t="s">
        <v>238</v>
      </c>
      <c r="DH2976" s="5" t="s">
        <v>238</v>
      </c>
      <c r="DI2976" s="5" t="s">
        <v>238</v>
      </c>
      <c r="DJ2976" s="5" t="s">
        <v>238</v>
      </c>
      <c r="DN2976" s="5" t="s">
        <v>238</v>
      </c>
      <c r="DO2976" s="5" t="s">
        <v>238</v>
      </c>
      <c r="DP2976" s="5" t="s">
        <v>238</v>
      </c>
      <c r="DQ2976" s="5" t="s">
        <v>238</v>
      </c>
      <c r="DT2976" s="5" t="s">
        <v>275</v>
      </c>
      <c r="DU2976" s="5" t="s">
        <v>2378</v>
      </c>
      <c r="HM2976" s="5" t="s">
        <v>264</v>
      </c>
    </row>
    <row r="2977" spans="1:221" x14ac:dyDescent="0.4">
      <c r="A2977" s="5">
        <v>4681</v>
      </c>
      <c r="B2977" s="5">
        <v>1</v>
      </c>
      <c r="C2977" s="5">
        <v>1</v>
      </c>
      <c r="D2977" s="5" t="s">
        <v>269</v>
      </c>
      <c r="E2977" s="5" t="s">
        <v>271</v>
      </c>
      <c r="F2977" s="5" t="s">
        <v>248</v>
      </c>
      <c r="G2977" s="5" t="s">
        <v>266</v>
      </c>
      <c r="H2977" s="6" t="s">
        <v>4005</v>
      </c>
      <c r="I2977" s="7">
        <f>500</f>
        <v>500</v>
      </c>
      <c r="J2977" s="5" t="s">
        <v>262</v>
      </c>
      <c r="K2977" s="8">
        <f>1</f>
        <v>1</v>
      </c>
      <c r="L2977" s="6" t="s">
        <v>242</v>
      </c>
      <c r="M2977" s="5" t="s">
        <v>267</v>
      </c>
      <c r="N2977" s="5" t="s">
        <v>265</v>
      </c>
      <c r="O2977" s="5" t="s">
        <v>238</v>
      </c>
      <c r="P2977" s="5" t="s">
        <v>238</v>
      </c>
      <c r="Q2977" s="5" t="s">
        <v>268</v>
      </c>
      <c r="R2977" s="5" t="s">
        <v>270</v>
      </c>
      <c r="S2977" s="5" t="s">
        <v>238</v>
      </c>
      <c r="V2977" s="5" t="s">
        <v>238</v>
      </c>
      <c r="X2977" s="6" t="s">
        <v>238</v>
      </c>
      <c r="AA2977" s="6" t="s">
        <v>243</v>
      </c>
      <c r="AB2977" s="5" t="s">
        <v>238</v>
      </c>
      <c r="AC2977" s="5" t="s">
        <v>244</v>
      </c>
      <c r="AD2977" s="5" t="s">
        <v>245</v>
      </c>
      <c r="AT2977" s="5" t="s">
        <v>246</v>
      </c>
      <c r="AU2977" s="5" t="s">
        <v>238</v>
      </c>
      <c r="AV2977" s="5" t="s">
        <v>247</v>
      </c>
      <c r="AW2977" s="5" t="s">
        <v>238</v>
      </c>
      <c r="AX2977" s="5" t="s">
        <v>249</v>
      </c>
      <c r="AY2977" s="5" t="s">
        <v>238</v>
      </c>
      <c r="BA2977" s="5" t="s">
        <v>238</v>
      </c>
      <c r="BC2977" s="5" t="s">
        <v>250</v>
      </c>
      <c r="BD2977" s="6" t="s">
        <v>243</v>
      </c>
      <c r="BE2977" s="5" t="s">
        <v>251</v>
      </c>
      <c r="BF2977" s="5" t="s">
        <v>252</v>
      </c>
      <c r="BG2977" s="5" t="s">
        <v>238</v>
      </c>
      <c r="BH2977" s="7">
        <f>0</f>
        <v>0</v>
      </c>
      <c r="BI2977" s="8">
        <f>0</f>
        <v>0</v>
      </c>
      <c r="BJ2977" s="5" t="s">
        <v>253</v>
      </c>
      <c r="BK2977" s="5" t="s">
        <v>254</v>
      </c>
      <c r="BY2977" s="5" t="s">
        <v>238</v>
      </c>
      <c r="BZ2977" s="5" t="s">
        <v>238</v>
      </c>
      <c r="CD2977" s="5" t="s">
        <v>273</v>
      </c>
      <c r="CE2977" s="5" t="s">
        <v>256</v>
      </c>
      <c r="CF2977" s="5" t="s">
        <v>238</v>
      </c>
      <c r="CI2977" s="6" t="s">
        <v>257</v>
      </c>
      <c r="CJ2977" s="5" t="s">
        <v>238</v>
      </c>
      <c r="CK2977" s="5" t="s">
        <v>258</v>
      </c>
      <c r="CL2977" s="5" t="s">
        <v>238</v>
      </c>
      <c r="CM2977" s="5" t="s">
        <v>238</v>
      </c>
      <c r="CN2977" s="5">
        <v>0</v>
      </c>
      <c r="CO2977" s="5" t="s">
        <v>259</v>
      </c>
      <c r="CP2977" s="5" t="s">
        <v>260</v>
      </c>
      <c r="CQ2977" s="5" t="s">
        <v>260</v>
      </c>
      <c r="CR2977" s="5" t="s">
        <v>261</v>
      </c>
      <c r="CU2977" s="8">
        <f>1</f>
        <v>1</v>
      </c>
      <c r="CV2977" s="8">
        <f>0</f>
        <v>0</v>
      </c>
      <c r="CX2977" s="8">
        <f>0</f>
        <v>0</v>
      </c>
      <c r="CY2977" s="8">
        <f>1</f>
        <v>1</v>
      </c>
      <c r="DA2977" s="5" t="s">
        <v>274</v>
      </c>
      <c r="DB2977" s="5" t="s">
        <v>238</v>
      </c>
      <c r="DD2977" s="5" t="s">
        <v>274</v>
      </c>
      <c r="DE2977" s="8">
        <f>500</f>
        <v>500</v>
      </c>
      <c r="DG2977" s="5" t="s">
        <v>238</v>
      </c>
      <c r="DH2977" s="5" t="s">
        <v>238</v>
      </c>
      <c r="DI2977" s="5" t="s">
        <v>238</v>
      </c>
      <c r="DJ2977" s="5" t="s">
        <v>238</v>
      </c>
      <c r="DN2977" s="5" t="s">
        <v>238</v>
      </c>
      <c r="DO2977" s="5" t="s">
        <v>238</v>
      </c>
      <c r="DP2977" s="5" t="s">
        <v>238</v>
      </c>
      <c r="DQ2977" s="5" t="s">
        <v>238</v>
      </c>
      <c r="DT2977" s="5" t="s">
        <v>275</v>
      </c>
      <c r="DU2977" s="5" t="s">
        <v>2389</v>
      </c>
      <c r="HM2977" s="5" t="s">
        <v>264</v>
      </c>
    </row>
    <row r="2978" spans="1:221" x14ac:dyDescent="0.4">
      <c r="A2978" s="5">
        <v>4682</v>
      </c>
      <c r="B2978" s="5">
        <v>1</v>
      </c>
      <c r="C2978" s="5">
        <v>1</v>
      </c>
      <c r="D2978" s="5" t="s">
        <v>269</v>
      </c>
      <c r="E2978" s="5" t="s">
        <v>271</v>
      </c>
      <c r="F2978" s="5" t="s">
        <v>248</v>
      </c>
      <c r="G2978" s="5" t="s">
        <v>266</v>
      </c>
      <c r="H2978" s="6" t="s">
        <v>5683</v>
      </c>
      <c r="I2978" s="7">
        <f>138</f>
        <v>138</v>
      </c>
      <c r="J2978" s="5" t="s">
        <v>262</v>
      </c>
      <c r="K2978" s="8">
        <f>1</f>
        <v>1</v>
      </c>
      <c r="L2978" s="6" t="s">
        <v>242</v>
      </c>
      <c r="M2978" s="5" t="s">
        <v>267</v>
      </c>
      <c r="N2978" s="5" t="s">
        <v>265</v>
      </c>
      <c r="O2978" s="5" t="s">
        <v>238</v>
      </c>
      <c r="P2978" s="5" t="s">
        <v>238</v>
      </c>
      <c r="Q2978" s="5" t="s">
        <v>268</v>
      </c>
      <c r="R2978" s="5" t="s">
        <v>270</v>
      </c>
      <c r="S2978" s="5" t="s">
        <v>238</v>
      </c>
      <c r="V2978" s="5" t="s">
        <v>238</v>
      </c>
      <c r="X2978" s="6" t="s">
        <v>238</v>
      </c>
      <c r="AA2978" s="6" t="s">
        <v>243</v>
      </c>
      <c r="AB2978" s="5" t="s">
        <v>238</v>
      </c>
      <c r="AC2978" s="5" t="s">
        <v>244</v>
      </c>
      <c r="AD2978" s="5" t="s">
        <v>245</v>
      </c>
      <c r="AT2978" s="5" t="s">
        <v>246</v>
      </c>
      <c r="AU2978" s="5" t="s">
        <v>238</v>
      </c>
      <c r="AV2978" s="5" t="s">
        <v>247</v>
      </c>
      <c r="AW2978" s="5" t="s">
        <v>238</v>
      </c>
      <c r="AX2978" s="5" t="s">
        <v>249</v>
      </c>
      <c r="AY2978" s="5" t="s">
        <v>238</v>
      </c>
      <c r="BA2978" s="5" t="s">
        <v>238</v>
      </c>
      <c r="BC2978" s="5" t="s">
        <v>250</v>
      </c>
      <c r="BD2978" s="6" t="s">
        <v>243</v>
      </c>
      <c r="BE2978" s="5" t="s">
        <v>251</v>
      </c>
      <c r="BF2978" s="5" t="s">
        <v>252</v>
      </c>
      <c r="BG2978" s="5" t="s">
        <v>238</v>
      </c>
      <c r="BH2978" s="7">
        <f>0</f>
        <v>0</v>
      </c>
      <c r="BI2978" s="8">
        <f>0</f>
        <v>0</v>
      </c>
      <c r="BJ2978" s="5" t="s">
        <v>253</v>
      </c>
      <c r="BK2978" s="5" t="s">
        <v>254</v>
      </c>
      <c r="BY2978" s="5" t="s">
        <v>238</v>
      </c>
      <c r="BZ2978" s="5" t="s">
        <v>238</v>
      </c>
      <c r="CD2978" s="5" t="s">
        <v>273</v>
      </c>
      <c r="CE2978" s="5" t="s">
        <v>256</v>
      </c>
      <c r="CF2978" s="5" t="s">
        <v>238</v>
      </c>
      <c r="CI2978" s="6" t="s">
        <v>257</v>
      </c>
      <c r="CJ2978" s="5" t="s">
        <v>238</v>
      </c>
      <c r="CK2978" s="5" t="s">
        <v>258</v>
      </c>
      <c r="CL2978" s="5" t="s">
        <v>238</v>
      </c>
      <c r="CM2978" s="5" t="s">
        <v>238</v>
      </c>
      <c r="CN2978" s="5">
        <v>0</v>
      </c>
      <c r="CO2978" s="5" t="s">
        <v>259</v>
      </c>
      <c r="CP2978" s="5" t="s">
        <v>260</v>
      </c>
      <c r="CQ2978" s="5" t="s">
        <v>260</v>
      </c>
      <c r="CR2978" s="5" t="s">
        <v>261</v>
      </c>
      <c r="CU2978" s="8">
        <f>1</f>
        <v>1</v>
      </c>
      <c r="CV2978" s="8">
        <f>0</f>
        <v>0</v>
      </c>
      <c r="CX2978" s="8">
        <f>0</f>
        <v>0</v>
      </c>
      <c r="CY2978" s="8">
        <f>1</f>
        <v>1</v>
      </c>
      <c r="DA2978" s="5" t="s">
        <v>274</v>
      </c>
      <c r="DB2978" s="5" t="s">
        <v>238</v>
      </c>
      <c r="DD2978" s="5" t="s">
        <v>274</v>
      </c>
      <c r="DE2978" s="8">
        <f>138</f>
        <v>138</v>
      </c>
      <c r="DG2978" s="5" t="s">
        <v>238</v>
      </c>
      <c r="DH2978" s="5" t="s">
        <v>238</v>
      </c>
      <c r="DI2978" s="5" t="s">
        <v>238</v>
      </c>
      <c r="DJ2978" s="5" t="s">
        <v>238</v>
      </c>
      <c r="DN2978" s="5" t="s">
        <v>238</v>
      </c>
      <c r="DO2978" s="5" t="s">
        <v>238</v>
      </c>
      <c r="DP2978" s="5" t="s">
        <v>238</v>
      </c>
      <c r="DQ2978" s="5" t="s">
        <v>238</v>
      </c>
      <c r="DT2978" s="5" t="s">
        <v>275</v>
      </c>
      <c r="DU2978" s="5" t="s">
        <v>2401</v>
      </c>
      <c r="HM2978" s="5" t="s">
        <v>264</v>
      </c>
    </row>
    <row r="2979" spans="1:221" x14ac:dyDescent="0.4">
      <c r="A2979" s="5">
        <v>4683</v>
      </c>
      <c r="B2979" s="5">
        <v>1</v>
      </c>
      <c r="C2979" s="5">
        <v>1</v>
      </c>
      <c r="D2979" s="5" t="s">
        <v>269</v>
      </c>
      <c r="E2979" s="5" t="s">
        <v>271</v>
      </c>
      <c r="F2979" s="5" t="s">
        <v>248</v>
      </c>
      <c r="G2979" s="5" t="s">
        <v>266</v>
      </c>
      <c r="H2979" s="6" t="s">
        <v>4007</v>
      </c>
      <c r="I2979" s="7">
        <f>278</f>
        <v>278</v>
      </c>
      <c r="J2979" s="5" t="s">
        <v>262</v>
      </c>
      <c r="K2979" s="8">
        <f>1</f>
        <v>1</v>
      </c>
      <c r="L2979" s="6" t="s">
        <v>242</v>
      </c>
      <c r="M2979" s="5" t="s">
        <v>267</v>
      </c>
      <c r="N2979" s="5" t="s">
        <v>265</v>
      </c>
      <c r="O2979" s="5" t="s">
        <v>238</v>
      </c>
      <c r="P2979" s="5" t="s">
        <v>238</v>
      </c>
      <c r="Q2979" s="5" t="s">
        <v>268</v>
      </c>
      <c r="R2979" s="5" t="s">
        <v>270</v>
      </c>
      <c r="S2979" s="5" t="s">
        <v>238</v>
      </c>
      <c r="V2979" s="5" t="s">
        <v>238</v>
      </c>
      <c r="X2979" s="6" t="s">
        <v>238</v>
      </c>
      <c r="AA2979" s="6" t="s">
        <v>243</v>
      </c>
      <c r="AB2979" s="5" t="s">
        <v>238</v>
      </c>
      <c r="AC2979" s="5" t="s">
        <v>244</v>
      </c>
      <c r="AD2979" s="5" t="s">
        <v>245</v>
      </c>
      <c r="AT2979" s="5" t="s">
        <v>246</v>
      </c>
      <c r="AU2979" s="5" t="s">
        <v>238</v>
      </c>
      <c r="AV2979" s="5" t="s">
        <v>247</v>
      </c>
      <c r="AW2979" s="5" t="s">
        <v>238</v>
      </c>
      <c r="AX2979" s="5" t="s">
        <v>249</v>
      </c>
      <c r="AY2979" s="5" t="s">
        <v>238</v>
      </c>
      <c r="BA2979" s="5" t="s">
        <v>238</v>
      </c>
      <c r="BC2979" s="5" t="s">
        <v>250</v>
      </c>
      <c r="BD2979" s="6" t="s">
        <v>243</v>
      </c>
      <c r="BE2979" s="5" t="s">
        <v>251</v>
      </c>
      <c r="BF2979" s="5" t="s">
        <v>252</v>
      </c>
      <c r="BG2979" s="5" t="s">
        <v>238</v>
      </c>
      <c r="BH2979" s="7">
        <f>0</f>
        <v>0</v>
      </c>
      <c r="BI2979" s="8">
        <f>0</f>
        <v>0</v>
      </c>
      <c r="BJ2979" s="5" t="s">
        <v>253</v>
      </c>
      <c r="BK2979" s="5" t="s">
        <v>254</v>
      </c>
      <c r="BY2979" s="5" t="s">
        <v>238</v>
      </c>
      <c r="BZ2979" s="5" t="s">
        <v>238</v>
      </c>
      <c r="CD2979" s="5" t="s">
        <v>273</v>
      </c>
      <c r="CE2979" s="5" t="s">
        <v>256</v>
      </c>
      <c r="CF2979" s="5" t="s">
        <v>238</v>
      </c>
      <c r="CI2979" s="6" t="s">
        <v>257</v>
      </c>
      <c r="CJ2979" s="5" t="s">
        <v>238</v>
      </c>
      <c r="CK2979" s="5" t="s">
        <v>258</v>
      </c>
      <c r="CL2979" s="5" t="s">
        <v>238</v>
      </c>
      <c r="CM2979" s="5" t="s">
        <v>238</v>
      </c>
      <c r="CN2979" s="5">
        <v>0</v>
      </c>
      <c r="CO2979" s="5" t="s">
        <v>259</v>
      </c>
      <c r="CP2979" s="5" t="s">
        <v>260</v>
      </c>
      <c r="CQ2979" s="5" t="s">
        <v>260</v>
      </c>
      <c r="CR2979" s="5" t="s">
        <v>261</v>
      </c>
      <c r="CU2979" s="8">
        <f>1</f>
        <v>1</v>
      </c>
      <c r="CV2979" s="8">
        <f>0</f>
        <v>0</v>
      </c>
      <c r="CX2979" s="8">
        <f>0</f>
        <v>0</v>
      </c>
      <c r="CY2979" s="8">
        <f>1</f>
        <v>1</v>
      </c>
      <c r="DA2979" s="5" t="s">
        <v>274</v>
      </c>
      <c r="DB2979" s="5" t="s">
        <v>238</v>
      </c>
      <c r="DD2979" s="5" t="s">
        <v>274</v>
      </c>
      <c r="DE2979" s="8">
        <f>278</f>
        <v>278</v>
      </c>
      <c r="DG2979" s="5" t="s">
        <v>238</v>
      </c>
      <c r="DH2979" s="5" t="s">
        <v>238</v>
      </c>
      <c r="DI2979" s="5" t="s">
        <v>238</v>
      </c>
      <c r="DJ2979" s="5" t="s">
        <v>238</v>
      </c>
      <c r="DN2979" s="5" t="s">
        <v>238</v>
      </c>
      <c r="DO2979" s="5" t="s">
        <v>238</v>
      </c>
      <c r="DP2979" s="5" t="s">
        <v>238</v>
      </c>
      <c r="DQ2979" s="5" t="s">
        <v>238</v>
      </c>
      <c r="DT2979" s="5" t="s">
        <v>275</v>
      </c>
      <c r="DU2979" s="5" t="s">
        <v>2408</v>
      </c>
      <c r="HM2979" s="5" t="s">
        <v>264</v>
      </c>
    </row>
    <row r="2980" spans="1:221" x14ac:dyDescent="0.4">
      <c r="A2980" s="5">
        <v>4684</v>
      </c>
      <c r="B2980" s="5">
        <v>1</v>
      </c>
      <c r="C2980" s="5">
        <v>1</v>
      </c>
      <c r="D2980" s="5" t="s">
        <v>269</v>
      </c>
      <c r="E2980" s="5" t="s">
        <v>271</v>
      </c>
      <c r="F2980" s="5" t="s">
        <v>248</v>
      </c>
      <c r="G2980" s="5" t="s">
        <v>266</v>
      </c>
      <c r="H2980" s="6" t="s">
        <v>4009</v>
      </c>
      <c r="I2980" s="7">
        <f>178</f>
        <v>178</v>
      </c>
      <c r="J2980" s="5" t="s">
        <v>262</v>
      </c>
      <c r="K2980" s="8">
        <f>1</f>
        <v>1</v>
      </c>
      <c r="L2980" s="6" t="s">
        <v>242</v>
      </c>
      <c r="M2980" s="5" t="s">
        <v>267</v>
      </c>
      <c r="N2980" s="5" t="s">
        <v>265</v>
      </c>
      <c r="O2980" s="5" t="s">
        <v>238</v>
      </c>
      <c r="P2980" s="5" t="s">
        <v>238</v>
      </c>
      <c r="Q2980" s="5" t="s">
        <v>268</v>
      </c>
      <c r="R2980" s="5" t="s">
        <v>270</v>
      </c>
      <c r="S2980" s="5" t="s">
        <v>238</v>
      </c>
      <c r="V2980" s="5" t="s">
        <v>238</v>
      </c>
      <c r="X2980" s="6" t="s">
        <v>238</v>
      </c>
      <c r="AA2980" s="6" t="s">
        <v>243</v>
      </c>
      <c r="AB2980" s="5" t="s">
        <v>238</v>
      </c>
      <c r="AC2980" s="5" t="s">
        <v>244</v>
      </c>
      <c r="AD2980" s="5" t="s">
        <v>245</v>
      </c>
      <c r="AT2980" s="5" t="s">
        <v>246</v>
      </c>
      <c r="AU2980" s="5" t="s">
        <v>238</v>
      </c>
      <c r="AV2980" s="5" t="s">
        <v>247</v>
      </c>
      <c r="AW2980" s="5" t="s">
        <v>238</v>
      </c>
      <c r="AX2980" s="5" t="s">
        <v>249</v>
      </c>
      <c r="AY2980" s="5" t="s">
        <v>238</v>
      </c>
      <c r="BA2980" s="5" t="s">
        <v>238</v>
      </c>
      <c r="BC2980" s="5" t="s">
        <v>250</v>
      </c>
      <c r="BD2980" s="6" t="s">
        <v>243</v>
      </c>
      <c r="BE2980" s="5" t="s">
        <v>251</v>
      </c>
      <c r="BF2980" s="5" t="s">
        <v>252</v>
      </c>
      <c r="BG2980" s="5" t="s">
        <v>238</v>
      </c>
      <c r="BH2980" s="7">
        <f>0</f>
        <v>0</v>
      </c>
      <c r="BI2980" s="8">
        <f>0</f>
        <v>0</v>
      </c>
      <c r="BJ2980" s="5" t="s">
        <v>253</v>
      </c>
      <c r="BK2980" s="5" t="s">
        <v>254</v>
      </c>
      <c r="BY2980" s="5" t="s">
        <v>238</v>
      </c>
      <c r="BZ2980" s="5" t="s">
        <v>238</v>
      </c>
      <c r="CD2980" s="5" t="s">
        <v>273</v>
      </c>
      <c r="CE2980" s="5" t="s">
        <v>256</v>
      </c>
      <c r="CF2980" s="5" t="s">
        <v>238</v>
      </c>
      <c r="CI2980" s="6" t="s">
        <v>257</v>
      </c>
      <c r="CJ2980" s="5" t="s">
        <v>238</v>
      </c>
      <c r="CK2980" s="5" t="s">
        <v>258</v>
      </c>
      <c r="CL2980" s="5" t="s">
        <v>238</v>
      </c>
      <c r="CM2980" s="5" t="s">
        <v>238</v>
      </c>
      <c r="CN2980" s="5">
        <v>0</v>
      </c>
      <c r="CO2980" s="5" t="s">
        <v>259</v>
      </c>
      <c r="CP2980" s="5" t="s">
        <v>260</v>
      </c>
      <c r="CQ2980" s="5" t="s">
        <v>260</v>
      </c>
      <c r="CR2980" s="5" t="s">
        <v>261</v>
      </c>
      <c r="CU2980" s="8">
        <f>1</f>
        <v>1</v>
      </c>
      <c r="CV2980" s="8">
        <f>0</f>
        <v>0</v>
      </c>
      <c r="CX2980" s="8">
        <f>0</f>
        <v>0</v>
      </c>
      <c r="CY2980" s="8">
        <f>1</f>
        <v>1</v>
      </c>
      <c r="DA2980" s="5" t="s">
        <v>274</v>
      </c>
      <c r="DB2980" s="5" t="s">
        <v>238</v>
      </c>
      <c r="DD2980" s="5" t="s">
        <v>274</v>
      </c>
      <c r="DE2980" s="8">
        <f>178</f>
        <v>178</v>
      </c>
      <c r="DG2980" s="5" t="s">
        <v>238</v>
      </c>
      <c r="DH2980" s="5" t="s">
        <v>238</v>
      </c>
      <c r="DI2980" s="5" t="s">
        <v>238</v>
      </c>
      <c r="DJ2980" s="5" t="s">
        <v>238</v>
      </c>
      <c r="DN2980" s="5" t="s">
        <v>238</v>
      </c>
      <c r="DO2980" s="5" t="s">
        <v>238</v>
      </c>
      <c r="DP2980" s="5" t="s">
        <v>238</v>
      </c>
      <c r="DQ2980" s="5" t="s">
        <v>238</v>
      </c>
      <c r="DT2980" s="5" t="s">
        <v>275</v>
      </c>
      <c r="DU2980" s="5" t="s">
        <v>2083</v>
      </c>
      <c r="HM2980" s="5" t="s">
        <v>264</v>
      </c>
    </row>
    <row r="2981" spans="1:221" x14ac:dyDescent="0.4">
      <c r="A2981" s="5">
        <v>4685</v>
      </c>
      <c r="B2981" s="5">
        <v>1</v>
      </c>
      <c r="C2981" s="5">
        <v>1</v>
      </c>
      <c r="D2981" s="5" t="s">
        <v>269</v>
      </c>
      <c r="E2981" s="5" t="s">
        <v>271</v>
      </c>
      <c r="F2981" s="5" t="s">
        <v>248</v>
      </c>
      <c r="G2981" s="5" t="s">
        <v>266</v>
      </c>
      <c r="H2981" s="6" t="s">
        <v>4010</v>
      </c>
      <c r="I2981" s="7">
        <f>2292</f>
        <v>2292</v>
      </c>
      <c r="J2981" s="5" t="s">
        <v>262</v>
      </c>
      <c r="K2981" s="8">
        <f>1</f>
        <v>1</v>
      </c>
      <c r="L2981" s="6" t="s">
        <v>242</v>
      </c>
      <c r="M2981" s="5" t="s">
        <v>267</v>
      </c>
      <c r="N2981" s="5" t="s">
        <v>265</v>
      </c>
      <c r="O2981" s="5" t="s">
        <v>238</v>
      </c>
      <c r="P2981" s="5" t="s">
        <v>238</v>
      </c>
      <c r="Q2981" s="5" t="s">
        <v>268</v>
      </c>
      <c r="R2981" s="5" t="s">
        <v>270</v>
      </c>
      <c r="S2981" s="5" t="s">
        <v>238</v>
      </c>
      <c r="V2981" s="5" t="s">
        <v>238</v>
      </c>
      <c r="X2981" s="6" t="s">
        <v>238</v>
      </c>
      <c r="AA2981" s="6" t="s">
        <v>243</v>
      </c>
      <c r="AB2981" s="5" t="s">
        <v>238</v>
      </c>
      <c r="AC2981" s="5" t="s">
        <v>244</v>
      </c>
      <c r="AD2981" s="5" t="s">
        <v>245</v>
      </c>
      <c r="AT2981" s="5" t="s">
        <v>246</v>
      </c>
      <c r="AU2981" s="5" t="s">
        <v>238</v>
      </c>
      <c r="AV2981" s="5" t="s">
        <v>247</v>
      </c>
      <c r="AW2981" s="5" t="s">
        <v>238</v>
      </c>
      <c r="AX2981" s="5" t="s">
        <v>249</v>
      </c>
      <c r="AY2981" s="5" t="s">
        <v>238</v>
      </c>
      <c r="BA2981" s="5" t="s">
        <v>238</v>
      </c>
      <c r="BC2981" s="5" t="s">
        <v>250</v>
      </c>
      <c r="BD2981" s="6" t="s">
        <v>243</v>
      </c>
      <c r="BE2981" s="5" t="s">
        <v>251</v>
      </c>
      <c r="BF2981" s="5" t="s">
        <v>252</v>
      </c>
      <c r="BG2981" s="5" t="s">
        <v>238</v>
      </c>
      <c r="BH2981" s="7">
        <f>0</f>
        <v>0</v>
      </c>
      <c r="BI2981" s="8">
        <f>0</f>
        <v>0</v>
      </c>
      <c r="BJ2981" s="5" t="s">
        <v>253</v>
      </c>
      <c r="BK2981" s="5" t="s">
        <v>254</v>
      </c>
      <c r="BY2981" s="5" t="s">
        <v>238</v>
      </c>
      <c r="BZ2981" s="5" t="s">
        <v>238</v>
      </c>
      <c r="CD2981" s="5" t="s">
        <v>273</v>
      </c>
      <c r="CE2981" s="5" t="s">
        <v>256</v>
      </c>
      <c r="CF2981" s="5" t="s">
        <v>238</v>
      </c>
      <c r="CI2981" s="6" t="s">
        <v>257</v>
      </c>
      <c r="CJ2981" s="5" t="s">
        <v>238</v>
      </c>
      <c r="CK2981" s="5" t="s">
        <v>258</v>
      </c>
      <c r="CL2981" s="5" t="s">
        <v>238</v>
      </c>
      <c r="CM2981" s="5" t="s">
        <v>238</v>
      </c>
      <c r="CN2981" s="5">
        <v>0</v>
      </c>
      <c r="CO2981" s="5" t="s">
        <v>259</v>
      </c>
      <c r="CP2981" s="5" t="s">
        <v>260</v>
      </c>
      <c r="CQ2981" s="5" t="s">
        <v>260</v>
      </c>
      <c r="CR2981" s="5" t="s">
        <v>261</v>
      </c>
      <c r="CU2981" s="8">
        <f>1</f>
        <v>1</v>
      </c>
      <c r="CV2981" s="8">
        <f>0</f>
        <v>0</v>
      </c>
      <c r="CX2981" s="8">
        <f>0</f>
        <v>0</v>
      </c>
      <c r="CY2981" s="8">
        <f>1</f>
        <v>1</v>
      </c>
      <c r="DA2981" s="5" t="s">
        <v>274</v>
      </c>
      <c r="DB2981" s="5" t="s">
        <v>238</v>
      </c>
      <c r="DD2981" s="5" t="s">
        <v>274</v>
      </c>
      <c r="DE2981" s="8">
        <f>2292</f>
        <v>2292</v>
      </c>
      <c r="DG2981" s="5" t="s">
        <v>238</v>
      </c>
      <c r="DH2981" s="5" t="s">
        <v>238</v>
      </c>
      <c r="DI2981" s="5" t="s">
        <v>238</v>
      </c>
      <c r="DJ2981" s="5" t="s">
        <v>238</v>
      </c>
      <c r="DN2981" s="5" t="s">
        <v>238</v>
      </c>
      <c r="DO2981" s="5" t="s">
        <v>238</v>
      </c>
      <c r="DP2981" s="5" t="s">
        <v>238</v>
      </c>
      <c r="DQ2981" s="5" t="s">
        <v>238</v>
      </c>
      <c r="DT2981" s="5" t="s">
        <v>275</v>
      </c>
      <c r="DU2981" s="5" t="s">
        <v>2050</v>
      </c>
      <c r="HM2981" s="5" t="s">
        <v>264</v>
      </c>
    </row>
    <row r="2982" spans="1:221" x14ac:dyDescent="0.4">
      <c r="A2982" s="5">
        <v>4686</v>
      </c>
      <c r="B2982" s="5">
        <v>1</v>
      </c>
      <c r="C2982" s="5">
        <v>1</v>
      </c>
      <c r="D2982" s="5" t="s">
        <v>269</v>
      </c>
      <c r="E2982" s="5" t="s">
        <v>271</v>
      </c>
      <c r="F2982" s="5" t="s">
        <v>248</v>
      </c>
      <c r="G2982" s="5" t="s">
        <v>266</v>
      </c>
      <c r="H2982" s="6" t="s">
        <v>4011</v>
      </c>
      <c r="I2982" s="7">
        <f>41</f>
        <v>41</v>
      </c>
      <c r="J2982" s="5" t="s">
        <v>262</v>
      </c>
      <c r="K2982" s="8">
        <f>1</f>
        <v>1</v>
      </c>
      <c r="L2982" s="6" t="s">
        <v>242</v>
      </c>
      <c r="M2982" s="5" t="s">
        <v>267</v>
      </c>
      <c r="N2982" s="5" t="s">
        <v>265</v>
      </c>
      <c r="O2982" s="5" t="s">
        <v>238</v>
      </c>
      <c r="P2982" s="5" t="s">
        <v>238</v>
      </c>
      <c r="Q2982" s="5" t="s">
        <v>268</v>
      </c>
      <c r="R2982" s="5" t="s">
        <v>270</v>
      </c>
      <c r="S2982" s="5" t="s">
        <v>238</v>
      </c>
      <c r="V2982" s="5" t="s">
        <v>238</v>
      </c>
      <c r="X2982" s="6" t="s">
        <v>238</v>
      </c>
      <c r="AA2982" s="6" t="s">
        <v>243</v>
      </c>
      <c r="AB2982" s="5" t="s">
        <v>238</v>
      </c>
      <c r="AC2982" s="5" t="s">
        <v>244</v>
      </c>
      <c r="AD2982" s="5" t="s">
        <v>245</v>
      </c>
      <c r="AT2982" s="5" t="s">
        <v>246</v>
      </c>
      <c r="AU2982" s="5" t="s">
        <v>238</v>
      </c>
      <c r="AV2982" s="5" t="s">
        <v>247</v>
      </c>
      <c r="AW2982" s="5" t="s">
        <v>238</v>
      </c>
      <c r="AX2982" s="5" t="s">
        <v>249</v>
      </c>
      <c r="AY2982" s="5" t="s">
        <v>238</v>
      </c>
      <c r="BA2982" s="5" t="s">
        <v>238</v>
      </c>
      <c r="BC2982" s="5" t="s">
        <v>250</v>
      </c>
      <c r="BD2982" s="6" t="s">
        <v>243</v>
      </c>
      <c r="BE2982" s="5" t="s">
        <v>251</v>
      </c>
      <c r="BF2982" s="5" t="s">
        <v>252</v>
      </c>
      <c r="BG2982" s="5" t="s">
        <v>238</v>
      </c>
      <c r="BH2982" s="7">
        <f>0</f>
        <v>0</v>
      </c>
      <c r="BI2982" s="8">
        <f>0</f>
        <v>0</v>
      </c>
      <c r="BJ2982" s="5" t="s">
        <v>253</v>
      </c>
      <c r="BK2982" s="5" t="s">
        <v>254</v>
      </c>
      <c r="BY2982" s="5" t="s">
        <v>238</v>
      </c>
      <c r="BZ2982" s="5" t="s">
        <v>238</v>
      </c>
      <c r="CD2982" s="5" t="s">
        <v>273</v>
      </c>
      <c r="CE2982" s="5" t="s">
        <v>256</v>
      </c>
      <c r="CF2982" s="5" t="s">
        <v>238</v>
      </c>
      <c r="CI2982" s="6" t="s">
        <v>257</v>
      </c>
      <c r="CJ2982" s="5" t="s">
        <v>238</v>
      </c>
      <c r="CK2982" s="5" t="s">
        <v>258</v>
      </c>
      <c r="CL2982" s="5" t="s">
        <v>238</v>
      </c>
      <c r="CM2982" s="5" t="s">
        <v>238</v>
      </c>
      <c r="CN2982" s="5">
        <v>0</v>
      </c>
      <c r="CO2982" s="5" t="s">
        <v>259</v>
      </c>
      <c r="CP2982" s="5" t="s">
        <v>260</v>
      </c>
      <c r="CQ2982" s="5" t="s">
        <v>260</v>
      </c>
      <c r="CR2982" s="5" t="s">
        <v>261</v>
      </c>
      <c r="CU2982" s="8">
        <f>1</f>
        <v>1</v>
      </c>
      <c r="CV2982" s="8">
        <f>0</f>
        <v>0</v>
      </c>
      <c r="CX2982" s="8">
        <f>0</f>
        <v>0</v>
      </c>
      <c r="CY2982" s="8">
        <f>1</f>
        <v>1</v>
      </c>
      <c r="DA2982" s="5" t="s">
        <v>274</v>
      </c>
      <c r="DB2982" s="5" t="s">
        <v>238</v>
      </c>
      <c r="DD2982" s="5" t="s">
        <v>274</v>
      </c>
      <c r="DE2982" s="8">
        <f>41</f>
        <v>41</v>
      </c>
      <c r="DG2982" s="5" t="s">
        <v>238</v>
      </c>
      <c r="DH2982" s="5" t="s">
        <v>238</v>
      </c>
      <c r="DI2982" s="5" t="s">
        <v>238</v>
      </c>
      <c r="DJ2982" s="5" t="s">
        <v>238</v>
      </c>
      <c r="DN2982" s="5" t="s">
        <v>238</v>
      </c>
      <c r="DO2982" s="5" t="s">
        <v>238</v>
      </c>
      <c r="DP2982" s="5" t="s">
        <v>238</v>
      </c>
      <c r="DQ2982" s="5" t="s">
        <v>238</v>
      </c>
      <c r="DT2982" s="5" t="s">
        <v>275</v>
      </c>
      <c r="DU2982" s="5" t="s">
        <v>2164</v>
      </c>
      <c r="HM2982" s="5" t="s">
        <v>264</v>
      </c>
    </row>
    <row r="2983" spans="1:221" x14ac:dyDescent="0.4">
      <c r="A2983" s="5">
        <v>4687</v>
      </c>
      <c r="B2983" s="5">
        <v>1</v>
      </c>
      <c r="C2983" s="5">
        <v>1</v>
      </c>
      <c r="D2983" s="5" t="s">
        <v>269</v>
      </c>
      <c r="E2983" s="5" t="s">
        <v>271</v>
      </c>
      <c r="F2983" s="5" t="s">
        <v>248</v>
      </c>
      <c r="G2983" s="5" t="s">
        <v>266</v>
      </c>
      <c r="H2983" s="6" t="s">
        <v>4012</v>
      </c>
      <c r="I2983" s="7">
        <f>132</f>
        <v>132</v>
      </c>
      <c r="J2983" s="5" t="s">
        <v>262</v>
      </c>
      <c r="K2983" s="8">
        <f>1</f>
        <v>1</v>
      </c>
      <c r="L2983" s="6" t="s">
        <v>242</v>
      </c>
      <c r="M2983" s="5" t="s">
        <v>267</v>
      </c>
      <c r="N2983" s="5" t="s">
        <v>265</v>
      </c>
      <c r="O2983" s="5" t="s">
        <v>238</v>
      </c>
      <c r="P2983" s="5" t="s">
        <v>238</v>
      </c>
      <c r="Q2983" s="5" t="s">
        <v>268</v>
      </c>
      <c r="R2983" s="5" t="s">
        <v>270</v>
      </c>
      <c r="S2983" s="5" t="s">
        <v>238</v>
      </c>
      <c r="V2983" s="5" t="s">
        <v>238</v>
      </c>
      <c r="X2983" s="6" t="s">
        <v>238</v>
      </c>
      <c r="AA2983" s="6" t="s">
        <v>243</v>
      </c>
      <c r="AB2983" s="5" t="s">
        <v>238</v>
      </c>
      <c r="AC2983" s="5" t="s">
        <v>244</v>
      </c>
      <c r="AD2983" s="5" t="s">
        <v>245</v>
      </c>
      <c r="AT2983" s="5" t="s">
        <v>246</v>
      </c>
      <c r="AU2983" s="5" t="s">
        <v>238</v>
      </c>
      <c r="AV2983" s="5" t="s">
        <v>247</v>
      </c>
      <c r="AW2983" s="5" t="s">
        <v>238</v>
      </c>
      <c r="AX2983" s="5" t="s">
        <v>249</v>
      </c>
      <c r="AY2983" s="5" t="s">
        <v>238</v>
      </c>
      <c r="BA2983" s="5" t="s">
        <v>238</v>
      </c>
      <c r="BC2983" s="5" t="s">
        <v>250</v>
      </c>
      <c r="BD2983" s="6" t="s">
        <v>243</v>
      </c>
      <c r="BE2983" s="5" t="s">
        <v>251</v>
      </c>
      <c r="BF2983" s="5" t="s">
        <v>252</v>
      </c>
      <c r="BG2983" s="5" t="s">
        <v>238</v>
      </c>
      <c r="BH2983" s="7">
        <f>0</f>
        <v>0</v>
      </c>
      <c r="BI2983" s="8">
        <f>0</f>
        <v>0</v>
      </c>
      <c r="BJ2983" s="5" t="s">
        <v>253</v>
      </c>
      <c r="BK2983" s="5" t="s">
        <v>254</v>
      </c>
      <c r="BY2983" s="5" t="s">
        <v>238</v>
      </c>
      <c r="BZ2983" s="5" t="s">
        <v>238</v>
      </c>
      <c r="CD2983" s="5" t="s">
        <v>273</v>
      </c>
      <c r="CE2983" s="5" t="s">
        <v>256</v>
      </c>
      <c r="CF2983" s="5" t="s">
        <v>238</v>
      </c>
      <c r="CI2983" s="6" t="s">
        <v>257</v>
      </c>
      <c r="CJ2983" s="5" t="s">
        <v>238</v>
      </c>
      <c r="CK2983" s="5" t="s">
        <v>258</v>
      </c>
      <c r="CL2983" s="5" t="s">
        <v>238</v>
      </c>
      <c r="CM2983" s="5" t="s">
        <v>238</v>
      </c>
      <c r="CN2983" s="5">
        <v>0</v>
      </c>
      <c r="CO2983" s="5" t="s">
        <v>259</v>
      </c>
      <c r="CP2983" s="5" t="s">
        <v>260</v>
      </c>
      <c r="CQ2983" s="5" t="s">
        <v>260</v>
      </c>
      <c r="CR2983" s="5" t="s">
        <v>261</v>
      </c>
      <c r="CU2983" s="8">
        <f>1</f>
        <v>1</v>
      </c>
      <c r="CV2983" s="8">
        <f>0</f>
        <v>0</v>
      </c>
      <c r="CX2983" s="8">
        <f>0</f>
        <v>0</v>
      </c>
      <c r="CY2983" s="8">
        <f>1</f>
        <v>1</v>
      </c>
      <c r="DA2983" s="5" t="s">
        <v>274</v>
      </c>
      <c r="DB2983" s="5" t="s">
        <v>238</v>
      </c>
      <c r="DD2983" s="5" t="s">
        <v>274</v>
      </c>
      <c r="DE2983" s="8">
        <f>132</f>
        <v>132</v>
      </c>
      <c r="DG2983" s="5" t="s">
        <v>238</v>
      </c>
      <c r="DH2983" s="5" t="s">
        <v>238</v>
      </c>
      <c r="DI2983" s="5" t="s">
        <v>238</v>
      </c>
      <c r="DJ2983" s="5" t="s">
        <v>238</v>
      </c>
      <c r="DN2983" s="5" t="s">
        <v>238</v>
      </c>
      <c r="DO2983" s="5" t="s">
        <v>238</v>
      </c>
      <c r="DP2983" s="5" t="s">
        <v>238</v>
      </c>
      <c r="DQ2983" s="5" t="s">
        <v>238</v>
      </c>
      <c r="DT2983" s="5" t="s">
        <v>275</v>
      </c>
      <c r="DU2983" s="5" t="s">
        <v>2190</v>
      </c>
      <c r="HM2983" s="5" t="s">
        <v>264</v>
      </c>
    </row>
    <row r="2984" spans="1:221" x14ac:dyDescent="0.4">
      <c r="A2984" s="5">
        <v>4688</v>
      </c>
      <c r="B2984" s="5">
        <v>1</v>
      </c>
      <c r="C2984" s="5">
        <v>1</v>
      </c>
      <c r="D2984" s="5" t="s">
        <v>269</v>
      </c>
      <c r="E2984" s="5" t="s">
        <v>271</v>
      </c>
      <c r="F2984" s="5" t="s">
        <v>248</v>
      </c>
      <c r="G2984" s="5" t="s">
        <v>266</v>
      </c>
      <c r="H2984" s="6" t="s">
        <v>4015</v>
      </c>
      <c r="I2984" s="7">
        <f>169</f>
        <v>169</v>
      </c>
      <c r="J2984" s="5" t="s">
        <v>262</v>
      </c>
      <c r="K2984" s="8">
        <f>1</f>
        <v>1</v>
      </c>
      <c r="L2984" s="6" t="s">
        <v>242</v>
      </c>
      <c r="M2984" s="5" t="s">
        <v>267</v>
      </c>
      <c r="N2984" s="5" t="s">
        <v>265</v>
      </c>
      <c r="O2984" s="5" t="s">
        <v>238</v>
      </c>
      <c r="P2984" s="5" t="s">
        <v>238</v>
      </c>
      <c r="Q2984" s="5" t="s">
        <v>268</v>
      </c>
      <c r="R2984" s="5" t="s">
        <v>270</v>
      </c>
      <c r="S2984" s="5" t="s">
        <v>238</v>
      </c>
      <c r="V2984" s="5" t="s">
        <v>238</v>
      </c>
      <c r="X2984" s="6" t="s">
        <v>238</v>
      </c>
      <c r="AA2984" s="6" t="s">
        <v>243</v>
      </c>
      <c r="AB2984" s="5" t="s">
        <v>238</v>
      </c>
      <c r="AC2984" s="5" t="s">
        <v>244</v>
      </c>
      <c r="AD2984" s="5" t="s">
        <v>245</v>
      </c>
      <c r="AT2984" s="5" t="s">
        <v>246</v>
      </c>
      <c r="AU2984" s="5" t="s">
        <v>238</v>
      </c>
      <c r="AV2984" s="5" t="s">
        <v>247</v>
      </c>
      <c r="AW2984" s="5" t="s">
        <v>238</v>
      </c>
      <c r="AX2984" s="5" t="s">
        <v>249</v>
      </c>
      <c r="AY2984" s="5" t="s">
        <v>238</v>
      </c>
      <c r="BA2984" s="5" t="s">
        <v>238</v>
      </c>
      <c r="BC2984" s="5" t="s">
        <v>250</v>
      </c>
      <c r="BD2984" s="6" t="s">
        <v>243</v>
      </c>
      <c r="BE2984" s="5" t="s">
        <v>251</v>
      </c>
      <c r="BF2984" s="5" t="s">
        <v>252</v>
      </c>
      <c r="BG2984" s="5" t="s">
        <v>238</v>
      </c>
      <c r="BH2984" s="7">
        <f>0</f>
        <v>0</v>
      </c>
      <c r="BI2984" s="8">
        <f>0</f>
        <v>0</v>
      </c>
      <c r="BJ2984" s="5" t="s">
        <v>253</v>
      </c>
      <c r="BK2984" s="5" t="s">
        <v>254</v>
      </c>
      <c r="BY2984" s="5" t="s">
        <v>238</v>
      </c>
      <c r="BZ2984" s="5" t="s">
        <v>238</v>
      </c>
      <c r="CD2984" s="5" t="s">
        <v>273</v>
      </c>
      <c r="CE2984" s="5" t="s">
        <v>256</v>
      </c>
      <c r="CF2984" s="5" t="s">
        <v>238</v>
      </c>
      <c r="CI2984" s="6" t="s">
        <v>257</v>
      </c>
      <c r="CJ2984" s="5" t="s">
        <v>238</v>
      </c>
      <c r="CK2984" s="5" t="s">
        <v>258</v>
      </c>
      <c r="CL2984" s="5" t="s">
        <v>238</v>
      </c>
      <c r="CM2984" s="5" t="s">
        <v>238</v>
      </c>
      <c r="CN2984" s="5">
        <v>0</v>
      </c>
      <c r="CO2984" s="5" t="s">
        <v>259</v>
      </c>
      <c r="CP2984" s="5" t="s">
        <v>260</v>
      </c>
      <c r="CQ2984" s="5" t="s">
        <v>260</v>
      </c>
      <c r="CR2984" s="5" t="s">
        <v>261</v>
      </c>
      <c r="CU2984" s="8">
        <f>1</f>
        <v>1</v>
      </c>
      <c r="CV2984" s="8">
        <f>0</f>
        <v>0</v>
      </c>
      <c r="CX2984" s="8">
        <f>0</f>
        <v>0</v>
      </c>
      <c r="CY2984" s="8">
        <f>1</f>
        <v>1</v>
      </c>
      <c r="DA2984" s="5" t="s">
        <v>274</v>
      </c>
      <c r="DB2984" s="5" t="s">
        <v>238</v>
      </c>
      <c r="DD2984" s="5" t="s">
        <v>274</v>
      </c>
      <c r="DE2984" s="8">
        <f>169</f>
        <v>169</v>
      </c>
      <c r="DG2984" s="5" t="s">
        <v>238</v>
      </c>
      <c r="DH2984" s="5" t="s">
        <v>238</v>
      </c>
      <c r="DI2984" s="5" t="s">
        <v>238</v>
      </c>
      <c r="DJ2984" s="5" t="s">
        <v>238</v>
      </c>
      <c r="DN2984" s="5" t="s">
        <v>238</v>
      </c>
      <c r="DO2984" s="5" t="s">
        <v>238</v>
      </c>
      <c r="DP2984" s="5" t="s">
        <v>238</v>
      </c>
      <c r="DQ2984" s="5" t="s">
        <v>238</v>
      </c>
      <c r="DT2984" s="5" t="s">
        <v>275</v>
      </c>
      <c r="DU2984" s="5" t="s">
        <v>2077</v>
      </c>
      <c r="HM2984" s="5" t="s">
        <v>264</v>
      </c>
    </row>
    <row r="2985" spans="1:221" x14ac:dyDescent="0.4">
      <c r="A2985" s="5">
        <v>4689</v>
      </c>
      <c r="B2985" s="5">
        <v>1</v>
      </c>
      <c r="C2985" s="5">
        <v>1</v>
      </c>
      <c r="D2985" s="5" t="s">
        <v>269</v>
      </c>
      <c r="E2985" s="5" t="s">
        <v>271</v>
      </c>
      <c r="F2985" s="5" t="s">
        <v>248</v>
      </c>
      <c r="G2985" s="5" t="s">
        <v>266</v>
      </c>
      <c r="H2985" s="6" t="s">
        <v>4013</v>
      </c>
      <c r="I2985" s="7">
        <f>119</f>
        <v>119</v>
      </c>
      <c r="J2985" s="5" t="s">
        <v>262</v>
      </c>
      <c r="K2985" s="8">
        <f>1</f>
        <v>1</v>
      </c>
      <c r="L2985" s="6" t="s">
        <v>242</v>
      </c>
      <c r="M2985" s="5" t="s">
        <v>267</v>
      </c>
      <c r="N2985" s="5" t="s">
        <v>265</v>
      </c>
      <c r="O2985" s="5" t="s">
        <v>238</v>
      </c>
      <c r="P2985" s="5" t="s">
        <v>238</v>
      </c>
      <c r="Q2985" s="5" t="s">
        <v>268</v>
      </c>
      <c r="R2985" s="5" t="s">
        <v>270</v>
      </c>
      <c r="S2985" s="5" t="s">
        <v>238</v>
      </c>
      <c r="V2985" s="5" t="s">
        <v>238</v>
      </c>
      <c r="X2985" s="6" t="s">
        <v>238</v>
      </c>
      <c r="AA2985" s="6" t="s">
        <v>243</v>
      </c>
      <c r="AB2985" s="5" t="s">
        <v>238</v>
      </c>
      <c r="AC2985" s="5" t="s">
        <v>244</v>
      </c>
      <c r="AD2985" s="5" t="s">
        <v>245</v>
      </c>
      <c r="AT2985" s="5" t="s">
        <v>246</v>
      </c>
      <c r="AU2985" s="5" t="s">
        <v>238</v>
      </c>
      <c r="AV2985" s="5" t="s">
        <v>247</v>
      </c>
      <c r="AW2985" s="5" t="s">
        <v>238</v>
      </c>
      <c r="AX2985" s="5" t="s">
        <v>249</v>
      </c>
      <c r="AY2985" s="5" t="s">
        <v>238</v>
      </c>
      <c r="BA2985" s="5" t="s">
        <v>238</v>
      </c>
      <c r="BC2985" s="5" t="s">
        <v>250</v>
      </c>
      <c r="BD2985" s="6" t="s">
        <v>243</v>
      </c>
      <c r="BE2985" s="5" t="s">
        <v>251</v>
      </c>
      <c r="BF2985" s="5" t="s">
        <v>252</v>
      </c>
      <c r="BG2985" s="5" t="s">
        <v>238</v>
      </c>
      <c r="BH2985" s="7">
        <f>0</f>
        <v>0</v>
      </c>
      <c r="BI2985" s="8">
        <f>0</f>
        <v>0</v>
      </c>
      <c r="BJ2985" s="5" t="s">
        <v>253</v>
      </c>
      <c r="BK2985" s="5" t="s">
        <v>254</v>
      </c>
      <c r="BY2985" s="5" t="s">
        <v>238</v>
      </c>
      <c r="BZ2985" s="5" t="s">
        <v>238</v>
      </c>
      <c r="CD2985" s="5" t="s">
        <v>273</v>
      </c>
      <c r="CE2985" s="5" t="s">
        <v>256</v>
      </c>
      <c r="CF2985" s="5" t="s">
        <v>238</v>
      </c>
      <c r="CI2985" s="6" t="s">
        <v>257</v>
      </c>
      <c r="CJ2985" s="5" t="s">
        <v>238</v>
      </c>
      <c r="CK2985" s="5" t="s">
        <v>258</v>
      </c>
      <c r="CL2985" s="5" t="s">
        <v>238</v>
      </c>
      <c r="CM2985" s="5" t="s">
        <v>238</v>
      </c>
      <c r="CN2985" s="5">
        <v>0</v>
      </c>
      <c r="CO2985" s="5" t="s">
        <v>259</v>
      </c>
      <c r="CP2985" s="5" t="s">
        <v>260</v>
      </c>
      <c r="CQ2985" s="5" t="s">
        <v>260</v>
      </c>
      <c r="CR2985" s="5" t="s">
        <v>261</v>
      </c>
      <c r="CU2985" s="8">
        <f>1</f>
        <v>1</v>
      </c>
      <c r="CV2985" s="8">
        <f>0</f>
        <v>0</v>
      </c>
      <c r="CX2985" s="8">
        <f>0</f>
        <v>0</v>
      </c>
      <c r="CY2985" s="8">
        <f>1</f>
        <v>1</v>
      </c>
      <c r="DA2985" s="5" t="s">
        <v>274</v>
      </c>
      <c r="DB2985" s="5" t="s">
        <v>238</v>
      </c>
      <c r="DD2985" s="5" t="s">
        <v>274</v>
      </c>
      <c r="DE2985" s="8">
        <f>119</f>
        <v>119</v>
      </c>
      <c r="DG2985" s="5" t="s">
        <v>238</v>
      </c>
      <c r="DH2985" s="5" t="s">
        <v>238</v>
      </c>
      <c r="DI2985" s="5" t="s">
        <v>238</v>
      </c>
      <c r="DJ2985" s="5" t="s">
        <v>238</v>
      </c>
      <c r="DN2985" s="5" t="s">
        <v>238</v>
      </c>
      <c r="DO2985" s="5" t="s">
        <v>238</v>
      </c>
      <c r="DP2985" s="5" t="s">
        <v>238</v>
      </c>
      <c r="DQ2985" s="5" t="s">
        <v>238</v>
      </c>
      <c r="DT2985" s="5" t="s">
        <v>275</v>
      </c>
      <c r="DU2985" s="5" t="s">
        <v>4014</v>
      </c>
      <c r="HM2985" s="5" t="s">
        <v>264</v>
      </c>
    </row>
    <row r="2986" spans="1:221" x14ac:dyDescent="0.4">
      <c r="A2986" s="5">
        <v>4690</v>
      </c>
      <c r="B2986" s="5">
        <v>1</v>
      </c>
      <c r="C2986" s="5">
        <v>1</v>
      </c>
      <c r="D2986" s="5" t="s">
        <v>269</v>
      </c>
      <c r="E2986" s="5" t="s">
        <v>271</v>
      </c>
      <c r="F2986" s="5" t="s">
        <v>248</v>
      </c>
      <c r="G2986" s="5" t="s">
        <v>266</v>
      </c>
      <c r="H2986" s="6" t="s">
        <v>4016</v>
      </c>
      <c r="I2986" s="7">
        <f>219</f>
        <v>219</v>
      </c>
      <c r="J2986" s="5" t="s">
        <v>262</v>
      </c>
      <c r="K2986" s="8">
        <f>1</f>
        <v>1</v>
      </c>
      <c r="L2986" s="6" t="s">
        <v>242</v>
      </c>
      <c r="M2986" s="5" t="s">
        <v>267</v>
      </c>
      <c r="N2986" s="5" t="s">
        <v>265</v>
      </c>
      <c r="O2986" s="5" t="s">
        <v>238</v>
      </c>
      <c r="P2986" s="5" t="s">
        <v>238</v>
      </c>
      <c r="Q2986" s="5" t="s">
        <v>268</v>
      </c>
      <c r="R2986" s="5" t="s">
        <v>270</v>
      </c>
      <c r="S2986" s="5" t="s">
        <v>238</v>
      </c>
      <c r="V2986" s="5" t="s">
        <v>238</v>
      </c>
      <c r="X2986" s="6" t="s">
        <v>238</v>
      </c>
      <c r="AA2986" s="6" t="s">
        <v>243</v>
      </c>
      <c r="AB2986" s="5" t="s">
        <v>238</v>
      </c>
      <c r="AC2986" s="5" t="s">
        <v>244</v>
      </c>
      <c r="AD2986" s="5" t="s">
        <v>245</v>
      </c>
      <c r="AT2986" s="5" t="s">
        <v>246</v>
      </c>
      <c r="AU2986" s="5" t="s">
        <v>238</v>
      </c>
      <c r="AV2986" s="5" t="s">
        <v>247</v>
      </c>
      <c r="AW2986" s="5" t="s">
        <v>238</v>
      </c>
      <c r="AX2986" s="5" t="s">
        <v>249</v>
      </c>
      <c r="AY2986" s="5" t="s">
        <v>238</v>
      </c>
      <c r="BA2986" s="5" t="s">
        <v>238</v>
      </c>
      <c r="BC2986" s="5" t="s">
        <v>250</v>
      </c>
      <c r="BD2986" s="6" t="s">
        <v>243</v>
      </c>
      <c r="BE2986" s="5" t="s">
        <v>251</v>
      </c>
      <c r="BF2986" s="5" t="s">
        <v>252</v>
      </c>
      <c r="BG2986" s="5" t="s">
        <v>238</v>
      </c>
      <c r="BH2986" s="7">
        <f>0</f>
        <v>0</v>
      </c>
      <c r="BI2986" s="8">
        <f>0</f>
        <v>0</v>
      </c>
      <c r="BJ2986" s="5" t="s">
        <v>253</v>
      </c>
      <c r="BK2986" s="5" t="s">
        <v>254</v>
      </c>
      <c r="BY2986" s="5" t="s">
        <v>238</v>
      </c>
      <c r="BZ2986" s="5" t="s">
        <v>238</v>
      </c>
      <c r="CD2986" s="5" t="s">
        <v>273</v>
      </c>
      <c r="CE2986" s="5" t="s">
        <v>256</v>
      </c>
      <c r="CF2986" s="5" t="s">
        <v>238</v>
      </c>
      <c r="CI2986" s="6" t="s">
        <v>257</v>
      </c>
      <c r="CJ2986" s="5" t="s">
        <v>238</v>
      </c>
      <c r="CK2986" s="5" t="s">
        <v>258</v>
      </c>
      <c r="CL2986" s="5" t="s">
        <v>238</v>
      </c>
      <c r="CM2986" s="5" t="s">
        <v>238</v>
      </c>
      <c r="CN2986" s="5">
        <v>0</v>
      </c>
      <c r="CO2986" s="5" t="s">
        <v>259</v>
      </c>
      <c r="CP2986" s="5" t="s">
        <v>260</v>
      </c>
      <c r="CQ2986" s="5" t="s">
        <v>260</v>
      </c>
      <c r="CR2986" s="5" t="s">
        <v>261</v>
      </c>
      <c r="CU2986" s="8">
        <f>1</f>
        <v>1</v>
      </c>
      <c r="CV2986" s="8">
        <f>0</f>
        <v>0</v>
      </c>
      <c r="CX2986" s="8">
        <f>0</f>
        <v>0</v>
      </c>
      <c r="CY2986" s="8">
        <f>1</f>
        <v>1</v>
      </c>
      <c r="DA2986" s="5" t="s">
        <v>274</v>
      </c>
      <c r="DB2986" s="5" t="s">
        <v>238</v>
      </c>
      <c r="DD2986" s="5" t="s">
        <v>274</v>
      </c>
      <c r="DE2986" s="8">
        <f>219</f>
        <v>219</v>
      </c>
      <c r="DG2986" s="5" t="s">
        <v>238</v>
      </c>
      <c r="DH2986" s="5" t="s">
        <v>238</v>
      </c>
      <c r="DI2986" s="5" t="s">
        <v>238</v>
      </c>
      <c r="DJ2986" s="5" t="s">
        <v>238</v>
      </c>
      <c r="DN2986" s="5" t="s">
        <v>238</v>
      </c>
      <c r="DO2986" s="5" t="s">
        <v>238</v>
      </c>
      <c r="DP2986" s="5" t="s">
        <v>238</v>
      </c>
      <c r="DQ2986" s="5" t="s">
        <v>238</v>
      </c>
      <c r="DT2986" s="5" t="s">
        <v>275</v>
      </c>
      <c r="DU2986" s="5" t="s">
        <v>2072</v>
      </c>
      <c r="HM2986" s="5" t="s">
        <v>264</v>
      </c>
    </row>
    <row r="2987" spans="1:221" x14ac:dyDescent="0.4">
      <c r="A2987" s="5">
        <v>4691</v>
      </c>
      <c r="B2987" s="5">
        <v>1</v>
      </c>
      <c r="C2987" s="5">
        <v>1</v>
      </c>
      <c r="D2987" s="5" t="s">
        <v>269</v>
      </c>
      <c r="E2987" s="5" t="s">
        <v>271</v>
      </c>
      <c r="F2987" s="5" t="s">
        <v>248</v>
      </c>
      <c r="G2987" s="5" t="s">
        <v>266</v>
      </c>
      <c r="H2987" s="6" t="s">
        <v>4017</v>
      </c>
      <c r="I2987" s="7">
        <f>17</f>
        <v>17</v>
      </c>
      <c r="J2987" s="5" t="s">
        <v>262</v>
      </c>
      <c r="K2987" s="8">
        <f>1</f>
        <v>1</v>
      </c>
      <c r="L2987" s="6" t="s">
        <v>242</v>
      </c>
      <c r="M2987" s="5" t="s">
        <v>267</v>
      </c>
      <c r="N2987" s="5" t="s">
        <v>265</v>
      </c>
      <c r="O2987" s="5" t="s">
        <v>238</v>
      </c>
      <c r="P2987" s="5" t="s">
        <v>238</v>
      </c>
      <c r="Q2987" s="5" t="s">
        <v>268</v>
      </c>
      <c r="R2987" s="5" t="s">
        <v>270</v>
      </c>
      <c r="S2987" s="5" t="s">
        <v>238</v>
      </c>
      <c r="V2987" s="5" t="s">
        <v>238</v>
      </c>
      <c r="X2987" s="6" t="s">
        <v>238</v>
      </c>
      <c r="AA2987" s="6" t="s">
        <v>243</v>
      </c>
      <c r="AB2987" s="5" t="s">
        <v>238</v>
      </c>
      <c r="AC2987" s="5" t="s">
        <v>244</v>
      </c>
      <c r="AD2987" s="5" t="s">
        <v>245</v>
      </c>
      <c r="AT2987" s="5" t="s">
        <v>246</v>
      </c>
      <c r="AU2987" s="5" t="s">
        <v>238</v>
      </c>
      <c r="AV2987" s="5" t="s">
        <v>247</v>
      </c>
      <c r="AW2987" s="5" t="s">
        <v>238</v>
      </c>
      <c r="AX2987" s="5" t="s">
        <v>249</v>
      </c>
      <c r="AY2987" s="5" t="s">
        <v>238</v>
      </c>
      <c r="BA2987" s="5" t="s">
        <v>238</v>
      </c>
      <c r="BC2987" s="5" t="s">
        <v>250</v>
      </c>
      <c r="BD2987" s="6" t="s">
        <v>243</v>
      </c>
      <c r="BE2987" s="5" t="s">
        <v>251</v>
      </c>
      <c r="BF2987" s="5" t="s">
        <v>252</v>
      </c>
      <c r="BG2987" s="5" t="s">
        <v>238</v>
      </c>
      <c r="BH2987" s="7">
        <f>0</f>
        <v>0</v>
      </c>
      <c r="BI2987" s="8">
        <f>0</f>
        <v>0</v>
      </c>
      <c r="BJ2987" s="5" t="s">
        <v>253</v>
      </c>
      <c r="BK2987" s="5" t="s">
        <v>254</v>
      </c>
      <c r="BY2987" s="5" t="s">
        <v>238</v>
      </c>
      <c r="BZ2987" s="5" t="s">
        <v>238</v>
      </c>
      <c r="CD2987" s="5" t="s">
        <v>273</v>
      </c>
      <c r="CE2987" s="5" t="s">
        <v>256</v>
      </c>
      <c r="CF2987" s="5" t="s">
        <v>238</v>
      </c>
      <c r="CI2987" s="6" t="s">
        <v>257</v>
      </c>
      <c r="CJ2987" s="5" t="s">
        <v>238</v>
      </c>
      <c r="CK2987" s="5" t="s">
        <v>258</v>
      </c>
      <c r="CL2987" s="5" t="s">
        <v>238</v>
      </c>
      <c r="CM2987" s="5" t="s">
        <v>238</v>
      </c>
      <c r="CN2987" s="5">
        <v>0</v>
      </c>
      <c r="CO2987" s="5" t="s">
        <v>259</v>
      </c>
      <c r="CP2987" s="5" t="s">
        <v>260</v>
      </c>
      <c r="CQ2987" s="5" t="s">
        <v>260</v>
      </c>
      <c r="CR2987" s="5" t="s">
        <v>261</v>
      </c>
      <c r="CU2987" s="8">
        <f>1</f>
        <v>1</v>
      </c>
      <c r="CV2987" s="8">
        <f>0</f>
        <v>0</v>
      </c>
      <c r="CX2987" s="8">
        <f>0</f>
        <v>0</v>
      </c>
      <c r="CY2987" s="8">
        <f>1</f>
        <v>1</v>
      </c>
      <c r="DA2987" s="5" t="s">
        <v>274</v>
      </c>
      <c r="DB2987" s="5" t="s">
        <v>238</v>
      </c>
      <c r="DD2987" s="5" t="s">
        <v>274</v>
      </c>
      <c r="DE2987" s="8">
        <f>17</f>
        <v>17</v>
      </c>
      <c r="DG2987" s="5" t="s">
        <v>238</v>
      </c>
      <c r="DH2987" s="5" t="s">
        <v>238</v>
      </c>
      <c r="DI2987" s="5" t="s">
        <v>238</v>
      </c>
      <c r="DJ2987" s="5" t="s">
        <v>238</v>
      </c>
      <c r="DN2987" s="5" t="s">
        <v>238</v>
      </c>
      <c r="DO2987" s="5" t="s">
        <v>238</v>
      </c>
      <c r="DP2987" s="5" t="s">
        <v>238</v>
      </c>
      <c r="DQ2987" s="5" t="s">
        <v>238</v>
      </c>
      <c r="DT2987" s="5" t="s">
        <v>275</v>
      </c>
      <c r="DU2987" s="5" t="s">
        <v>2228</v>
      </c>
      <c r="HM2987" s="5" t="s">
        <v>264</v>
      </c>
    </row>
    <row r="2988" spans="1:221" x14ac:dyDescent="0.4">
      <c r="A2988" s="5">
        <v>4692</v>
      </c>
      <c r="B2988" s="5">
        <v>1</v>
      </c>
      <c r="C2988" s="5">
        <v>1</v>
      </c>
      <c r="D2988" s="5" t="s">
        <v>269</v>
      </c>
      <c r="E2988" s="5" t="s">
        <v>271</v>
      </c>
      <c r="F2988" s="5" t="s">
        <v>248</v>
      </c>
      <c r="G2988" s="5" t="s">
        <v>266</v>
      </c>
      <c r="H2988" s="6" t="s">
        <v>4019</v>
      </c>
      <c r="I2988" s="7">
        <f>130</f>
        <v>130</v>
      </c>
      <c r="J2988" s="5" t="s">
        <v>262</v>
      </c>
      <c r="K2988" s="8">
        <f>1</f>
        <v>1</v>
      </c>
      <c r="L2988" s="6" t="s">
        <v>242</v>
      </c>
      <c r="M2988" s="5" t="s">
        <v>267</v>
      </c>
      <c r="N2988" s="5" t="s">
        <v>265</v>
      </c>
      <c r="O2988" s="5" t="s">
        <v>238</v>
      </c>
      <c r="P2988" s="5" t="s">
        <v>238</v>
      </c>
      <c r="Q2988" s="5" t="s">
        <v>268</v>
      </c>
      <c r="R2988" s="5" t="s">
        <v>270</v>
      </c>
      <c r="S2988" s="5" t="s">
        <v>238</v>
      </c>
      <c r="V2988" s="5" t="s">
        <v>238</v>
      </c>
      <c r="X2988" s="6" t="s">
        <v>238</v>
      </c>
      <c r="AA2988" s="6" t="s">
        <v>243</v>
      </c>
      <c r="AB2988" s="5" t="s">
        <v>238</v>
      </c>
      <c r="AC2988" s="5" t="s">
        <v>244</v>
      </c>
      <c r="AD2988" s="5" t="s">
        <v>245</v>
      </c>
      <c r="AT2988" s="5" t="s">
        <v>246</v>
      </c>
      <c r="AU2988" s="5" t="s">
        <v>238</v>
      </c>
      <c r="AV2988" s="5" t="s">
        <v>247</v>
      </c>
      <c r="AW2988" s="5" t="s">
        <v>238</v>
      </c>
      <c r="AX2988" s="5" t="s">
        <v>249</v>
      </c>
      <c r="AY2988" s="5" t="s">
        <v>238</v>
      </c>
      <c r="BA2988" s="5" t="s">
        <v>238</v>
      </c>
      <c r="BC2988" s="5" t="s">
        <v>250</v>
      </c>
      <c r="BD2988" s="6" t="s">
        <v>243</v>
      </c>
      <c r="BE2988" s="5" t="s">
        <v>251</v>
      </c>
      <c r="BF2988" s="5" t="s">
        <v>252</v>
      </c>
      <c r="BG2988" s="5" t="s">
        <v>238</v>
      </c>
      <c r="BH2988" s="7">
        <f>0</f>
        <v>0</v>
      </c>
      <c r="BI2988" s="8">
        <f>0</f>
        <v>0</v>
      </c>
      <c r="BJ2988" s="5" t="s">
        <v>253</v>
      </c>
      <c r="BK2988" s="5" t="s">
        <v>254</v>
      </c>
      <c r="BY2988" s="5" t="s">
        <v>238</v>
      </c>
      <c r="BZ2988" s="5" t="s">
        <v>238</v>
      </c>
      <c r="CD2988" s="5" t="s">
        <v>273</v>
      </c>
      <c r="CE2988" s="5" t="s">
        <v>256</v>
      </c>
      <c r="CF2988" s="5" t="s">
        <v>238</v>
      </c>
      <c r="CI2988" s="6" t="s">
        <v>257</v>
      </c>
      <c r="CJ2988" s="5" t="s">
        <v>238</v>
      </c>
      <c r="CK2988" s="5" t="s">
        <v>258</v>
      </c>
      <c r="CL2988" s="5" t="s">
        <v>238</v>
      </c>
      <c r="CM2988" s="5" t="s">
        <v>238</v>
      </c>
      <c r="CN2988" s="5">
        <v>0</v>
      </c>
      <c r="CO2988" s="5" t="s">
        <v>259</v>
      </c>
      <c r="CP2988" s="5" t="s">
        <v>260</v>
      </c>
      <c r="CQ2988" s="5" t="s">
        <v>260</v>
      </c>
      <c r="CR2988" s="5" t="s">
        <v>261</v>
      </c>
      <c r="CU2988" s="8">
        <f>1</f>
        <v>1</v>
      </c>
      <c r="CV2988" s="8">
        <f>0</f>
        <v>0</v>
      </c>
      <c r="CX2988" s="8">
        <f>0</f>
        <v>0</v>
      </c>
      <c r="CY2988" s="8">
        <f>1</f>
        <v>1</v>
      </c>
      <c r="DA2988" s="5" t="s">
        <v>274</v>
      </c>
      <c r="DB2988" s="5" t="s">
        <v>238</v>
      </c>
      <c r="DD2988" s="5" t="s">
        <v>274</v>
      </c>
      <c r="DE2988" s="8">
        <f>130</f>
        <v>130</v>
      </c>
      <c r="DG2988" s="5" t="s">
        <v>238</v>
      </c>
      <c r="DH2988" s="5" t="s">
        <v>238</v>
      </c>
      <c r="DI2988" s="5" t="s">
        <v>238</v>
      </c>
      <c r="DJ2988" s="5" t="s">
        <v>238</v>
      </c>
      <c r="DN2988" s="5" t="s">
        <v>238</v>
      </c>
      <c r="DO2988" s="5" t="s">
        <v>238</v>
      </c>
      <c r="DP2988" s="5" t="s">
        <v>238</v>
      </c>
      <c r="DQ2988" s="5" t="s">
        <v>238</v>
      </c>
      <c r="DT2988" s="5" t="s">
        <v>275</v>
      </c>
      <c r="DU2988" s="5" t="s">
        <v>2105</v>
      </c>
      <c r="HM2988" s="5" t="s">
        <v>264</v>
      </c>
    </row>
    <row r="2989" spans="1:221" x14ac:dyDescent="0.4">
      <c r="A2989" s="5">
        <v>4693</v>
      </c>
      <c r="B2989" s="5">
        <v>1</v>
      </c>
      <c r="C2989" s="5">
        <v>1</v>
      </c>
      <c r="D2989" s="5" t="s">
        <v>269</v>
      </c>
      <c r="E2989" s="5" t="s">
        <v>271</v>
      </c>
      <c r="F2989" s="5" t="s">
        <v>248</v>
      </c>
      <c r="G2989" s="5" t="s">
        <v>266</v>
      </c>
      <c r="H2989" s="6" t="s">
        <v>4018</v>
      </c>
      <c r="I2989" s="7">
        <f>206</f>
        <v>206</v>
      </c>
      <c r="J2989" s="5" t="s">
        <v>262</v>
      </c>
      <c r="K2989" s="8">
        <f>1</f>
        <v>1</v>
      </c>
      <c r="L2989" s="6" t="s">
        <v>242</v>
      </c>
      <c r="M2989" s="5" t="s">
        <v>267</v>
      </c>
      <c r="N2989" s="5" t="s">
        <v>265</v>
      </c>
      <c r="O2989" s="5" t="s">
        <v>238</v>
      </c>
      <c r="P2989" s="5" t="s">
        <v>238</v>
      </c>
      <c r="Q2989" s="5" t="s">
        <v>268</v>
      </c>
      <c r="R2989" s="5" t="s">
        <v>270</v>
      </c>
      <c r="S2989" s="5" t="s">
        <v>238</v>
      </c>
      <c r="V2989" s="5" t="s">
        <v>238</v>
      </c>
      <c r="X2989" s="6" t="s">
        <v>238</v>
      </c>
      <c r="AA2989" s="6" t="s">
        <v>243</v>
      </c>
      <c r="AB2989" s="5" t="s">
        <v>238</v>
      </c>
      <c r="AC2989" s="5" t="s">
        <v>244</v>
      </c>
      <c r="AD2989" s="5" t="s">
        <v>245</v>
      </c>
      <c r="AT2989" s="5" t="s">
        <v>246</v>
      </c>
      <c r="AU2989" s="5" t="s">
        <v>238</v>
      </c>
      <c r="AV2989" s="5" t="s">
        <v>247</v>
      </c>
      <c r="AW2989" s="5" t="s">
        <v>238</v>
      </c>
      <c r="AX2989" s="5" t="s">
        <v>249</v>
      </c>
      <c r="AY2989" s="5" t="s">
        <v>238</v>
      </c>
      <c r="BA2989" s="5" t="s">
        <v>238</v>
      </c>
      <c r="BC2989" s="5" t="s">
        <v>250</v>
      </c>
      <c r="BD2989" s="6" t="s">
        <v>243</v>
      </c>
      <c r="BE2989" s="5" t="s">
        <v>251</v>
      </c>
      <c r="BF2989" s="5" t="s">
        <v>252</v>
      </c>
      <c r="BG2989" s="5" t="s">
        <v>238</v>
      </c>
      <c r="BH2989" s="7">
        <f>0</f>
        <v>0</v>
      </c>
      <c r="BI2989" s="8">
        <f>0</f>
        <v>0</v>
      </c>
      <c r="BJ2989" s="5" t="s">
        <v>253</v>
      </c>
      <c r="BK2989" s="5" t="s">
        <v>254</v>
      </c>
      <c r="BY2989" s="5" t="s">
        <v>238</v>
      </c>
      <c r="BZ2989" s="5" t="s">
        <v>238</v>
      </c>
      <c r="CD2989" s="5" t="s">
        <v>273</v>
      </c>
      <c r="CE2989" s="5" t="s">
        <v>256</v>
      </c>
      <c r="CF2989" s="5" t="s">
        <v>238</v>
      </c>
      <c r="CI2989" s="6" t="s">
        <v>257</v>
      </c>
      <c r="CJ2989" s="5" t="s">
        <v>238</v>
      </c>
      <c r="CK2989" s="5" t="s">
        <v>258</v>
      </c>
      <c r="CL2989" s="5" t="s">
        <v>238</v>
      </c>
      <c r="CM2989" s="5" t="s">
        <v>238</v>
      </c>
      <c r="CN2989" s="5">
        <v>0</v>
      </c>
      <c r="CO2989" s="5" t="s">
        <v>259</v>
      </c>
      <c r="CP2989" s="5" t="s">
        <v>260</v>
      </c>
      <c r="CQ2989" s="5" t="s">
        <v>260</v>
      </c>
      <c r="CR2989" s="5" t="s">
        <v>261</v>
      </c>
      <c r="CU2989" s="8">
        <f>1</f>
        <v>1</v>
      </c>
      <c r="CV2989" s="8">
        <f>0</f>
        <v>0</v>
      </c>
      <c r="CX2989" s="8">
        <f>0</f>
        <v>0</v>
      </c>
      <c r="CY2989" s="8">
        <f>1</f>
        <v>1</v>
      </c>
      <c r="DA2989" s="5" t="s">
        <v>274</v>
      </c>
      <c r="DB2989" s="5" t="s">
        <v>238</v>
      </c>
      <c r="DD2989" s="5" t="s">
        <v>274</v>
      </c>
      <c r="DE2989" s="8">
        <f>206</f>
        <v>206</v>
      </c>
      <c r="DG2989" s="5" t="s">
        <v>238</v>
      </c>
      <c r="DH2989" s="5" t="s">
        <v>238</v>
      </c>
      <c r="DI2989" s="5" t="s">
        <v>238</v>
      </c>
      <c r="DJ2989" s="5" t="s">
        <v>238</v>
      </c>
      <c r="DN2989" s="5" t="s">
        <v>238</v>
      </c>
      <c r="DO2989" s="5" t="s">
        <v>238</v>
      </c>
      <c r="DP2989" s="5" t="s">
        <v>238</v>
      </c>
      <c r="DQ2989" s="5" t="s">
        <v>238</v>
      </c>
      <c r="DT2989" s="5" t="s">
        <v>275</v>
      </c>
      <c r="DU2989" s="5" t="s">
        <v>2055</v>
      </c>
      <c r="HM2989" s="5" t="s">
        <v>264</v>
      </c>
    </row>
    <row r="2990" spans="1:221" x14ac:dyDescent="0.4">
      <c r="A2990" s="5">
        <v>4694</v>
      </c>
      <c r="B2990" s="5">
        <v>1</v>
      </c>
      <c r="C2990" s="5">
        <v>1</v>
      </c>
      <c r="D2990" s="5" t="s">
        <v>269</v>
      </c>
      <c r="E2990" s="5" t="s">
        <v>271</v>
      </c>
      <c r="F2990" s="5" t="s">
        <v>248</v>
      </c>
      <c r="G2990" s="5" t="s">
        <v>266</v>
      </c>
      <c r="H2990" s="6" t="s">
        <v>4020</v>
      </c>
      <c r="I2990" s="7">
        <f>1857</f>
        <v>1857</v>
      </c>
      <c r="J2990" s="5" t="s">
        <v>262</v>
      </c>
      <c r="K2990" s="8">
        <f>1</f>
        <v>1</v>
      </c>
      <c r="L2990" s="6" t="s">
        <v>242</v>
      </c>
      <c r="M2990" s="5" t="s">
        <v>267</v>
      </c>
      <c r="N2990" s="5" t="s">
        <v>265</v>
      </c>
      <c r="O2990" s="5" t="s">
        <v>238</v>
      </c>
      <c r="P2990" s="5" t="s">
        <v>238</v>
      </c>
      <c r="Q2990" s="5" t="s">
        <v>268</v>
      </c>
      <c r="R2990" s="5" t="s">
        <v>270</v>
      </c>
      <c r="S2990" s="5" t="s">
        <v>238</v>
      </c>
      <c r="V2990" s="5" t="s">
        <v>238</v>
      </c>
      <c r="X2990" s="6" t="s">
        <v>238</v>
      </c>
      <c r="AA2990" s="6" t="s">
        <v>243</v>
      </c>
      <c r="AB2990" s="5" t="s">
        <v>238</v>
      </c>
      <c r="AC2990" s="5" t="s">
        <v>244</v>
      </c>
      <c r="AD2990" s="5" t="s">
        <v>245</v>
      </c>
      <c r="AT2990" s="5" t="s">
        <v>246</v>
      </c>
      <c r="AU2990" s="5" t="s">
        <v>238</v>
      </c>
      <c r="AV2990" s="5" t="s">
        <v>247</v>
      </c>
      <c r="AW2990" s="5" t="s">
        <v>238</v>
      </c>
      <c r="AX2990" s="5" t="s">
        <v>249</v>
      </c>
      <c r="AY2990" s="5" t="s">
        <v>238</v>
      </c>
      <c r="BA2990" s="5" t="s">
        <v>238</v>
      </c>
      <c r="BC2990" s="5" t="s">
        <v>250</v>
      </c>
      <c r="BD2990" s="6" t="s">
        <v>243</v>
      </c>
      <c r="BE2990" s="5" t="s">
        <v>251</v>
      </c>
      <c r="BF2990" s="5" t="s">
        <v>252</v>
      </c>
      <c r="BG2990" s="5" t="s">
        <v>238</v>
      </c>
      <c r="BH2990" s="7">
        <f>0</f>
        <v>0</v>
      </c>
      <c r="BI2990" s="8">
        <f>0</f>
        <v>0</v>
      </c>
      <c r="BJ2990" s="5" t="s">
        <v>253</v>
      </c>
      <c r="BK2990" s="5" t="s">
        <v>254</v>
      </c>
      <c r="BY2990" s="5" t="s">
        <v>238</v>
      </c>
      <c r="BZ2990" s="5" t="s">
        <v>238</v>
      </c>
      <c r="CD2990" s="5" t="s">
        <v>273</v>
      </c>
      <c r="CE2990" s="5" t="s">
        <v>256</v>
      </c>
      <c r="CF2990" s="5" t="s">
        <v>238</v>
      </c>
      <c r="CI2990" s="6" t="s">
        <v>257</v>
      </c>
      <c r="CJ2990" s="5" t="s">
        <v>238</v>
      </c>
      <c r="CK2990" s="5" t="s">
        <v>258</v>
      </c>
      <c r="CL2990" s="5" t="s">
        <v>238</v>
      </c>
      <c r="CM2990" s="5" t="s">
        <v>238</v>
      </c>
      <c r="CN2990" s="5">
        <v>0</v>
      </c>
      <c r="CO2990" s="5" t="s">
        <v>259</v>
      </c>
      <c r="CP2990" s="5" t="s">
        <v>260</v>
      </c>
      <c r="CQ2990" s="5" t="s">
        <v>260</v>
      </c>
      <c r="CR2990" s="5" t="s">
        <v>261</v>
      </c>
      <c r="CU2990" s="8">
        <f>1</f>
        <v>1</v>
      </c>
      <c r="CV2990" s="8">
        <f>0</f>
        <v>0</v>
      </c>
      <c r="CX2990" s="8">
        <f>0</f>
        <v>0</v>
      </c>
      <c r="CY2990" s="8">
        <f>1</f>
        <v>1</v>
      </c>
      <c r="DA2990" s="5" t="s">
        <v>274</v>
      </c>
      <c r="DB2990" s="5" t="s">
        <v>238</v>
      </c>
      <c r="DD2990" s="5" t="s">
        <v>274</v>
      </c>
      <c r="DE2990" s="8">
        <f>1857</f>
        <v>1857</v>
      </c>
      <c r="DG2990" s="5" t="s">
        <v>238</v>
      </c>
      <c r="DH2990" s="5" t="s">
        <v>238</v>
      </c>
      <c r="DI2990" s="5" t="s">
        <v>238</v>
      </c>
      <c r="DJ2990" s="5" t="s">
        <v>238</v>
      </c>
      <c r="DN2990" s="5" t="s">
        <v>238</v>
      </c>
      <c r="DO2990" s="5" t="s">
        <v>238</v>
      </c>
      <c r="DP2990" s="5" t="s">
        <v>238</v>
      </c>
      <c r="DQ2990" s="5" t="s">
        <v>238</v>
      </c>
      <c r="DT2990" s="5" t="s">
        <v>275</v>
      </c>
      <c r="DU2990" s="5" t="s">
        <v>2119</v>
      </c>
      <c r="HM2990" s="5" t="s">
        <v>264</v>
      </c>
    </row>
    <row r="2991" spans="1:221" x14ac:dyDescent="0.4">
      <c r="A2991" s="5">
        <v>4695</v>
      </c>
      <c r="B2991" s="5">
        <v>1</v>
      </c>
      <c r="C2991" s="5">
        <v>1</v>
      </c>
      <c r="D2991" s="5" t="s">
        <v>269</v>
      </c>
      <c r="E2991" s="5" t="s">
        <v>271</v>
      </c>
      <c r="F2991" s="5" t="s">
        <v>248</v>
      </c>
      <c r="G2991" s="5" t="s">
        <v>266</v>
      </c>
      <c r="H2991" s="6" t="s">
        <v>4021</v>
      </c>
      <c r="I2991" s="7">
        <f>232</f>
        <v>232</v>
      </c>
      <c r="J2991" s="5" t="s">
        <v>262</v>
      </c>
      <c r="K2991" s="8">
        <f>1</f>
        <v>1</v>
      </c>
      <c r="L2991" s="6" t="s">
        <v>242</v>
      </c>
      <c r="M2991" s="5" t="s">
        <v>267</v>
      </c>
      <c r="N2991" s="5" t="s">
        <v>265</v>
      </c>
      <c r="O2991" s="5" t="s">
        <v>238</v>
      </c>
      <c r="P2991" s="5" t="s">
        <v>238</v>
      </c>
      <c r="Q2991" s="5" t="s">
        <v>268</v>
      </c>
      <c r="R2991" s="5" t="s">
        <v>270</v>
      </c>
      <c r="S2991" s="5" t="s">
        <v>238</v>
      </c>
      <c r="V2991" s="5" t="s">
        <v>238</v>
      </c>
      <c r="X2991" s="6" t="s">
        <v>238</v>
      </c>
      <c r="AA2991" s="6" t="s">
        <v>243</v>
      </c>
      <c r="AB2991" s="5" t="s">
        <v>238</v>
      </c>
      <c r="AC2991" s="5" t="s">
        <v>244</v>
      </c>
      <c r="AD2991" s="5" t="s">
        <v>245</v>
      </c>
      <c r="AT2991" s="5" t="s">
        <v>246</v>
      </c>
      <c r="AU2991" s="5" t="s">
        <v>238</v>
      </c>
      <c r="AV2991" s="5" t="s">
        <v>247</v>
      </c>
      <c r="AW2991" s="5" t="s">
        <v>238</v>
      </c>
      <c r="AX2991" s="5" t="s">
        <v>249</v>
      </c>
      <c r="AY2991" s="5" t="s">
        <v>238</v>
      </c>
      <c r="BA2991" s="5" t="s">
        <v>238</v>
      </c>
      <c r="BC2991" s="5" t="s">
        <v>250</v>
      </c>
      <c r="BD2991" s="6" t="s">
        <v>243</v>
      </c>
      <c r="BE2991" s="5" t="s">
        <v>251</v>
      </c>
      <c r="BF2991" s="5" t="s">
        <v>252</v>
      </c>
      <c r="BG2991" s="5" t="s">
        <v>238</v>
      </c>
      <c r="BH2991" s="7">
        <f>0</f>
        <v>0</v>
      </c>
      <c r="BI2991" s="8">
        <f>0</f>
        <v>0</v>
      </c>
      <c r="BJ2991" s="5" t="s">
        <v>253</v>
      </c>
      <c r="BK2991" s="5" t="s">
        <v>254</v>
      </c>
      <c r="BY2991" s="5" t="s">
        <v>238</v>
      </c>
      <c r="BZ2991" s="5" t="s">
        <v>238</v>
      </c>
      <c r="CD2991" s="5" t="s">
        <v>273</v>
      </c>
      <c r="CE2991" s="5" t="s">
        <v>256</v>
      </c>
      <c r="CF2991" s="5" t="s">
        <v>238</v>
      </c>
      <c r="CI2991" s="6" t="s">
        <v>257</v>
      </c>
      <c r="CJ2991" s="5" t="s">
        <v>238</v>
      </c>
      <c r="CK2991" s="5" t="s">
        <v>258</v>
      </c>
      <c r="CL2991" s="5" t="s">
        <v>238</v>
      </c>
      <c r="CM2991" s="5" t="s">
        <v>238</v>
      </c>
      <c r="CN2991" s="5">
        <v>0</v>
      </c>
      <c r="CO2991" s="5" t="s">
        <v>259</v>
      </c>
      <c r="CP2991" s="5" t="s">
        <v>260</v>
      </c>
      <c r="CQ2991" s="5" t="s">
        <v>260</v>
      </c>
      <c r="CR2991" s="5" t="s">
        <v>261</v>
      </c>
      <c r="CU2991" s="8">
        <f>1</f>
        <v>1</v>
      </c>
      <c r="CV2991" s="8">
        <f>0</f>
        <v>0</v>
      </c>
      <c r="CX2991" s="8">
        <f>0</f>
        <v>0</v>
      </c>
      <c r="CY2991" s="8">
        <f>1</f>
        <v>1</v>
      </c>
      <c r="DA2991" s="5" t="s">
        <v>274</v>
      </c>
      <c r="DB2991" s="5" t="s">
        <v>238</v>
      </c>
      <c r="DD2991" s="5" t="s">
        <v>274</v>
      </c>
      <c r="DE2991" s="8">
        <f>232</f>
        <v>232</v>
      </c>
      <c r="DG2991" s="5" t="s">
        <v>238</v>
      </c>
      <c r="DH2991" s="5" t="s">
        <v>238</v>
      </c>
      <c r="DI2991" s="5" t="s">
        <v>238</v>
      </c>
      <c r="DJ2991" s="5" t="s">
        <v>238</v>
      </c>
      <c r="DN2991" s="5" t="s">
        <v>238</v>
      </c>
      <c r="DO2991" s="5" t="s">
        <v>238</v>
      </c>
      <c r="DP2991" s="5" t="s">
        <v>238</v>
      </c>
      <c r="DQ2991" s="5" t="s">
        <v>238</v>
      </c>
      <c r="DT2991" s="5" t="s">
        <v>275</v>
      </c>
      <c r="DU2991" s="5" t="s">
        <v>2088</v>
      </c>
      <c r="HM2991" s="5" t="s">
        <v>264</v>
      </c>
    </row>
    <row r="2992" spans="1:221" x14ac:dyDescent="0.4">
      <c r="A2992" s="5">
        <v>4696</v>
      </c>
      <c r="B2992" s="5">
        <v>1</v>
      </c>
      <c r="C2992" s="5">
        <v>1</v>
      </c>
      <c r="D2992" s="5" t="s">
        <v>269</v>
      </c>
      <c r="E2992" s="5" t="s">
        <v>271</v>
      </c>
      <c r="F2992" s="5" t="s">
        <v>248</v>
      </c>
      <c r="G2992" s="5" t="s">
        <v>266</v>
      </c>
      <c r="H2992" s="6" t="s">
        <v>4025</v>
      </c>
      <c r="I2992" s="7">
        <f>97</f>
        <v>97</v>
      </c>
      <c r="J2992" s="5" t="s">
        <v>262</v>
      </c>
      <c r="K2992" s="8">
        <f>1</f>
        <v>1</v>
      </c>
      <c r="L2992" s="6" t="s">
        <v>242</v>
      </c>
      <c r="M2992" s="5" t="s">
        <v>267</v>
      </c>
      <c r="N2992" s="5" t="s">
        <v>265</v>
      </c>
      <c r="O2992" s="5" t="s">
        <v>238</v>
      </c>
      <c r="P2992" s="5" t="s">
        <v>238</v>
      </c>
      <c r="Q2992" s="5" t="s">
        <v>268</v>
      </c>
      <c r="R2992" s="5" t="s">
        <v>270</v>
      </c>
      <c r="S2992" s="5" t="s">
        <v>238</v>
      </c>
      <c r="V2992" s="5" t="s">
        <v>238</v>
      </c>
      <c r="X2992" s="6" t="s">
        <v>238</v>
      </c>
      <c r="AA2992" s="6" t="s">
        <v>243</v>
      </c>
      <c r="AB2992" s="5" t="s">
        <v>238</v>
      </c>
      <c r="AC2992" s="5" t="s">
        <v>244</v>
      </c>
      <c r="AD2992" s="5" t="s">
        <v>245</v>
      </c>
      <c r="AT2992" s="5" t="s">
        <v>246</v>
      </c>
      <c r="AU2992" s="5" t="s">
        <v>238</v>
      </c>
      <c r="AV2992" s="5" t="s">
        <v>247</v>
      </c>
      <c r="AW2992" s="5" t="s">
        <v>238</v>
      </c>
      <c r="AX2992" s="5" t="s">
        <v>249</v>
      </c>
      <c r="AY2992" s="5" t="s">
        <v>238</v>
      </c>
      <c r="BA2992" s="5" t="s">
        <v>238</v>
      </c>
      <c r="BC2992" s="5" t="s">
        <v>250</v>
      </c>
      <c r="BD2992" s="6" t="s">
        <v>243</v>
      </c>
      <c r="BE2992" s="5" t="s">
        <v>251</v>
      </c>
      <c r="BF2992" s="5" t="s">
        <v>252</v>
      </c>
      <c r="BG2992" s="5" t="s">
        <v>238</v>
      </c>
      <c r="BH2992" s="7">
        <f>0</f>
        <v>0</v>
      </c>
      <c r="BI2992" s="8">
        <f>0</f>
        <v>0</v>
      </c>
      <c r="BJ2992" s="5" t="s">
        <v>253</v>
      </c>
      <c r="BK2992" s="5" t="s">
        <v>254</v>
      </c>
      <c r="BY2992" s="5" t="s">
        <v>238</v>
      </c>
      <c r="BZ2992" s="5" t="s">
        <v>238</v>
      </c>
      <c r="CD2992" s="5" t="s">
        <v>273</v>
      </c>
      <c r="CE2992" s="5" t="s">
        <v>256</v>
      </c>
      <c r="CF2992" s="5" t="s">
        <v>238</v>
      </c>
      <c r="CI2992" s="6" t="s">
        <v>257</v>
      </c>
      <c r="CJ2992" s="5" t="s">
        <v>238</v>
      </c>
      <c r="CK2992" s="5" t="s">
        <v>258</v>
      </c>
      <c r="CL2992" s="5" t="s">
        <v>238</v>
      </c>
      <c r="CM2992" s="5" t="s">
        <v>238</v>
      </c>
      <c r="CN2992" s="5">
        <v>0</v>
      </c>
      <c r="CO2992" s="5" t="s">
        <v>259</v>
      </c>
      <c r="CP2992" s="5" t="s">
        <v>260</v>
      </c>
      <c r="CQ2992" s="5" t="s">
        <v>260</v>
      </c>
      <c r="CR2992" s="5" t="s">
        <v>261</v>
      </c>
      <c r="CU2992" s="8">
        <f>1</f>
        <v>1</v>
      </c>
      <c r="CV2992" s="8">
        <f>0</f>
        <v>0</v>
      </c>
      <c r="CX2992" s="8">
        <f>0</f>
        <v>0</v>
      </c>
      <c r="CY2992" s="8">
        <f>1</f>
        <v>1</v>
      </c>
      <c r="DA2992" s="5" t="s">
        <v>274</v>
      </c>
      <c r="DB2992" s="5" t="s">
        <v>238</v>
      </c>
      <c r="DD2992" s="5" t="s">
        <v>274</v>
      </c>
      <c r="DE2992" s="8">
        <f>97</f>
        <v>97</v>
      </c>
      <c r="DG2992" s="5" t="s">
        <v>238</v>
      </c>
      <c r="DH2992" s="5" t="s">
        <v>238</v>
      </c>
      <c r="DI2992" s="5" t="s">
        <v>238</v>
      </c>
      <c r="DJ2992" s="5" t="s">
        <v>238</v>
      </c>
      <c r="DN2992" s="5" t="s">
        <v>238</v>
      </c>
      <c r="DO2992" s="5" t="s">
        <v>238</v>
      </c>
      <c r="DP2992" s="5" t="s">
        <v>238</v>
      </c>
      <c r="DQ2992" s="5" t="s">
        <v>238</v>
      </c>
      <c r="DT2992" s="5" t="s">
        <v>275</v>
      </c>
      <c r="DU2992" s="5" t="s">
        <v>2100</v>
      </c>
      <c r="HM2992" s="5" t="s">
        <v>264</v>
      </c>
    </row>
    <row r="2993" spans="1:221" x14ac:dyDescent="0.4">
      <c r="A2993" s="5">
        <v>4697</v>
      </c>
      <c r="B2993" s="5">
        <v>1</v>
      </c>
      <c r="C2993" s="5">
        <v>1</v>
      </c>
      <c r="D2993" s="5" t="s">
        <v>269</v>
      </c>
      <c r="E2993" s="5" t="s">
        <v>271</v>
      </c>
      <c r="F2993" s="5" t="s">
        <v>248</v>
      </c>
      <c r="G2993" s="5" t="s">
        <v>266</v>
      </c>
      <c r="H2993" s="6" t="s">
        <v>4024</v>
      </c>
      <c r="I2993" s="7">
        <f>189</f>
        <v>189</v>
      </c>
      <c r="J2993" s="5" t="s">
        <v>262</v>
      </c>
      <c r="K2993" s="8">
        <f>1</f>
        <v>1</v>
      </c>
      <c r="L2993" s="6" t="s">
        <v>242</v>
      </c>
      <c r="M2993" s="5" t="s">
        <v>267</v>
      </c>
      <c r="N2993" s="5" t="s">
        <v>265</v>
      </c>
      <c r="O2993" s="5" t="s">
        <v>238</v>
      </c>
      <c r="P2993" s="5" t="s">
        <v>238</v>
      </c>
      <c r="Q2993" s="5" t="s">
        <v>268</v>
      </c>
      <c r="R2993" s="5" t="s">
        <v>270</v>
      </c>
      <c r="S2993" s="5" t="s">
        <v>238</v>
      </c>
      <c r="V2993" s="5" t="s">
        <v>238</v>
      </c>
      <c r="X2993" s="6" t="s">
        <v>238</v>
      </c>
      <c r="AA2993" s="6" t="s">
        <v>243</v>
      </c>
      <c r="AB2993" s="5" t="s">
        <v>238</v>
      </c>
      <c r="AC2993" s="5" t="s">
        <v>244</v>
      </c>
      <c r="AD2993" s="5" t="s">
        <v>245</v>
      </c>
      <c r="AT2993" s="5" t="s">
        <v>246</v>
      </c>
      <c r="AU2993" s="5" t="s">
        <v>238</v>
      </c>
      <c r="AV2993" s="5" t="s">
        <v>247</v>
      </c>
      <c r="AW2993" s="5" t="s">
        <v>238</v>
      </c>
      <c r="AX2993" s="5" t="s">
        <v>249</v>
      </c>
      <c r="AY2993" s="5" t="s">
        <v>238</v>
      </c>
      <c r="BA2993" s="5" t="s">
        <v>238</v>
      </c>
      <c r="BC2993" s="5" t="s">
        <v>250</v>
      </c>
      <c r="BD2993" s="6" t="s">
        <v>243</v>
      </c>
      <c r="BE2993" s="5" t="s">
        <v>251</v>
      </c>
      <c r="BF2993" s="5" t="s">
        <v>252</v>
      </c>
      <c r="BG2993" s="5" t="s">
        <v>238</v>
      </c>
      <c r="BH2993" s="7">
        <f>0</f>
        <v>0</v>
      </c>
      <c r="BI2993" s="8">
        <f>0</f>
        <v>0</v>
      </c>
      <c r="BJ2993" s="5" t="s">
        <v>253</v>
      </c>
      <c r="BK2993" s="5" t="s">
        <v>254</v>
      </c>
      <c r="BY2993" s="5" t="s">
        <v>238</v>
      </c>
      <c r="BZ2993" s="5" t="s">
        <v>238</v>
      </c>
      <c r="CD2993" s="5" t="s">
        <v>273</v>
      </c>
      <c r="CE2993" s="5" t="s">
        <v>256</v>
      </c>
      <c r="CF2993" s="5" t="s">
        <v>238</v>
      </c>
      <c r="CI2993" s="6" t="s">
        <v>257</v>
      </c>
      <c r="CJ2993" s="5" t="s">
        <v>238</v>
      </c>
      <c r="CK2993" s="5" t="s">
        <v>258</v>
      </c>
      <c r="CL2993" s="5" t="s">
        <v>238</v>
      </c>
      <c r="CM2993" s="5" t="s">
        <v>238</v>
      </c>
      <c r="CN2993" s="5">
        <v>0</v>
      </c>
      <c r="CO2993" s="5" t="s">
        <v>259</v>
      </c>
      <c r="CP2993" s="5" t="s">
        <v>260</v>
      </c>
      <c r="CQ2993" s="5" t="s">
        <v>260</v>
      </c>
      <c r="CR2993" s="5" t="s">
        <v>261</v>
      </c>
      <c r="CU2993" s="8">
        <f>1</f>
        <v>1</v>
      </c>
      <c r="CV2993" s="8">
        <f>0</f>
        <v>0</v>
      </c>
      <c r="CX2993" s="8">
        <f>0</f>
        <v>0</v>
      </c>
      <c r="CY2993" s="8">
        <f>1</f>
        <v>1</v>
      </c>
      <c r="DA2993" s="5" t="s">
        <v>274</v>
      </c>
      <c r="DB2993" s="5" t="s">
        <v>238</v>
      </c>
      <c r="DD2993" s="5" t="s">
        <v>274</v>
      </c>
      <c r="DE2993" s="8">
        <f>189</f>
        <v>189</v>
      </c>
      <c r="DG2993" s="5" t="s">
        <v>238</v>
      </c>
      <c r="DH2993" s="5" t="s">
        <v>238</v>
      </c>
      <c r="DI2993" s="5" t="s">
        <v>238</v>
      </c>
      <c r="DJ2993" s="5" t="s">
        <v>238</v>
      </c>
      <c r="DN2993" s="5" t="s">
        <v>238</v>
      </c>
      <c r="DO2993" s="5" t="s">
        <v>238</v>
      </c>
      <c r="DP2993" s="5" t="s">
        <v>238</v>
      </c>
      <c r="DQ2993" s="5" t="s">
        <v>238</v>
      </c>
      <c r="DT2993" s="5" t="s">
        <v>275</v>
      </c>
      <c r="DU2993" s="5" t="s">
        <v>2242</v>
      </c>
      <c r="HM2993" s="5" t="s">
        <v>264</v>
      </c>
    </row>
    <row r="2994" spans="1:221" x14ac:dyDescent="0.4">
      <c r="A2994" s="5">
        <v>4698</v>
      </c>
      <c r="B2994" s="5">
        <v>1</v>
      </c>
      <c r="C2994" s="5">
        <v>1</v>
      </c>
      <c r="D2994" s="5" t="s">
        <v>269</v>
      </c>
      <c r="E2994" s="5" t="s">
        <v>271</v>
      </c>
      <c r="F2994" s="5" t="s">
        <v>248</v>
      </c>
      <c r="G2994" s="5" t="s">
        <v>266</v>
      </c>
      <c r="H2994" s="6" t="s">
        <v>4027</v>
      </c>
      <c r="I2994" s="7">
        <f>453</f>
        <v>453</v>
      </c>
      <c r="J2994" s="5" t="s">
        <v>262</v>
      </c>
      <c r="K2994" s="8">
        <f>1</f>
        <v>1</v>
      </c>
      <c r="L2994" s="6" t="s">
        <v>242</v>
      </c>
      <c r="M2994" s="5" t="s">
        <v>267</v>
      </c>
      <c r="N2994" s="5" t="s">
        <v>265</v>
      </c>
      <c r="O2994" s="5" t="s">
        <v>238</v>
      </c>
      <c r="P2994" s="5" t="s">
        <v>238</v>
      </c>
      <c r="Q2994" s="5" t="s">
        <v>268</v>
      </c>
      <c r="R2994" s="5" t="s">
        <v>270</v>
      </c>
      <c r="S2994" s="5" t="s">
        <v>238</v>
      </c>
      <c r="V2994" s="5" t="s">
        <v>238</v>
      </c>
      <c r="X2994" s="6" t="s">
        <v>238</v>
      </c>
      <c r="AA2994" s="6" t="s">
        <v>243</v>
      </c>
      <c r="AB2994" s="5" t="s">
        <v>238</v>
      </c>
      <c r="AC2994" s="5" t="s">
        <v>244</v>
      </c>
      <c r="AD2994" s="5" t="s">
        <v>245</v>
      </c>
      <c r="AT2994" s="5" t="s">
        <v>246</v>
      </c>
      <c r="AU2994" s="5" t="s">
        <v>238</v>
      </c>
      <c r="AV2994" s="5" t="s">
        <v>247</v>
      </c>
      <c r="AW2994" s="5" t="s">
        <v>238</v>
      </c>
      <c r="AX2994" s="5" t="s">
        <v>249</v>
      </c>
      <c r="AY2994" s="5" t="s">
        <v>238</v>
      </c>
      <c r="BA2994" s="5" t="s">
        <v>238</v>
      </c>
      <c r="BC2994" s="5" t="s">
        <v>250</v>
      </c>
      <c r="BD2994" s="6" t="s">
        <v>243</v>
      </c>
      <c r="BE2994" s="5" t="s">
        <v>251</v>
      </c>
      <c r="BF2994" s="5" t="s">
        <v>252</v>
      </c>
      <c r="BG2994" s="5" t="s">
        <v>238</v>
      </c>
      <c r="BH2994" s="7">
        <f>0</f>
        <v>0</v>
      </c>
      <c r="BI2994" s="8">
        <f>0</f>
        <v>0</v>
      </c>
      <c r="BJ2994" s="5" t="s">
        <v>253</v>
      </c>
      <c r="BK2994" s="5" t="s">
        <v>254</v>
      </c>
      <c r="BY2994" s="5" t="s">
        <v>238</v>
      </c>
      <c r="BZ2994" s="5" t="s">
        <v>238</v>
      </c>
      <c r="CD2994" s="5" t="s">
        <v>273</v>
      </c>
      <c r="CE2994" s="5" t="s">
        <v>256</v>
      </c>
      <c r="CF2994" s="5" t="s">
        <v>238</v>
      </c>
      <c r="CI2994" s="6" t="s">
        <v>257</v>
      </c>
      <c r="CJ2994" s="5" t="s">
        <v>238</v>
      </c>
      <c r="CK2994" s="5" t="s">
        <v>258</v>
      </c>
      <c r="CL2994" s="5" t="s">
        <v>238</v>
      </c>
      <c r="CM2994" s="5" t="s">
        <v>238</v>
      </c>
      <c r="CN2994" s="5">
        <v>0</v>
      </c>
      <c r="CO2994" s="5" t="s">
        <v>259</v>
      </c>
      <c r="CP2994" s="5" t="s">
        <v>260</v>
      </c>
      <c r="CQ2994" s="5" t="s">
        <v>260</v>
      </c>
      <c r="CR2994" s="5" t="s">
        <v>261</v>
      </c>
      <c r="CU2994" s="8">
        <f>1</f>
        <v>1</v>
      </c>
      <c r="CV2994" s="8">
        <f>0</f>
        <v>0</v>
      </c>
      <c r="CX2994" s="8">
        <f>0</f>
        <v>0</v>
      </c>
      <c r="CY2994" s="8">
        <f>1</f>
        <v>1</v>
      </c>
      <c r="DA2994" s="5" t="s">
        <v>274</v>
      </c>
      <c r="DB2994" s="5" t="s">
        <v>238</v>
      </c>
      <c r="DD2994" s="5" t="s">
        <v>274</v>
      </c>
      <c r="DE2994" s="8">
        <f>453</f>
        <v>453</v>
      </c>
      <c r="DG2994" s="5" t="s">
        <v>238</v>
      </c>
      <c r="DH2994" s="5" t="s">
        <v>238</v>
      </c>
      <c r="DI2994" s="5" t="s">
        <v>238</v>
      </c>
      <c r="DJ2994" s="5" t="s">
        <v>238</v>
      </c>
      <c r="DN2994" s="5" t="s">
        <v>238</v>
      </c>
      <c r="DO2994" s="5" t="s">
        <v>238</v>
      </c>
      <c r="DP2994" s="5" t="s">
        <v>238</v>
      </c>
      <c r="DQ2994" s="5" t="s">
        <v>238</v>
      </c>
      <c r="DT2994" s="5" t="s">
        <v>275</v>
      </c>
      <c r="DU2994" s="5" t="s">
        <v>2184</v>
      </c>
      <c r="HM2994" s="5" t="s">
        <v>264</v>
      </c>
    </row>
    <row r="2995" spans="1:221" x14ac:dyDescent="0.4">
      <c r="A2995" s="5">
        <v>4699</v>
      </c>
      <c r="B2995" s="5">
        <v>1</v>
      </c>
      <c r="C2995" s="5">
        <v>1</v>
      </c>
      <c r="D2995" s="5" t="s">
        <v>269</v>
      </c>
      <c r="E2995" s="5" t="s">
        <v>271</v>
      </c>
      <c r="F2995" s="5" t="s">
        <v>248</v>
      </c>
      <c r="G2995" s="5" t="s">
        <v>266</v>
      </c>
      <c r="H2995" s="6" t="s">
        <v>4028</v>
      </c>
      <c r="I2995" s="7">
        <f>983</f>
        <v>983</v>
      </c>
      <c r="J2995" s="5" t="s">
        <v>262</v>
      </c>
      <c r="K2995" s="8">
        <f>1</f>
        <v>1</v>
      </c>
      <c r="L2995" s="6" t="s">
        <v>242</v>
      </c>
      <c r="M2995" s="5" t="s">
        <v>267</v>
      </c>
      <c r="N2995" s="5" t="s">
        <v>265</v>
      </c>
      <c r="O2995" s="5" t="s">
        <v>238</v>
      </c>
      <c r="P2995" s="5" t="s">
        <v>238</v>
      </c>
      <c r="Q2995" s="5" t="s">
        <v>268</v>
      </c>
      <c r="R2995" s="5" t="s">
        <v>270</v>
      </c>
      <c r="S2995" s="5" t="s">
        <v>238</v>
      </c>
      <c r="V2995" s="5" t="s">
        <v>238</v>
      </c>
      <c r="X2995" s="6" t="s">
        <v>238</v>
      </c>
      <c r="AA2995" s="6" t="s">
        <v>243</v>
      </c>
      <c r="AB2995" s="5" t="s">
        <v>238</v>
      </c>
      <c r="AC2995" s="5" t="s">
        <v>244</v>
      </c>
      <c r="AD2995" s="5" t="s">
        <v>245</v>
      </c>
      <c r="AT2995" s="5" t="s">
        <v>246</v>
      </c>
      <c r="AU2995" s="5" t="s">
        <v>238</v>
      </c>
      <c r="AV2995" s="5" t="s">
        <v>247</v>
      </c>
      <c r="AW2995" s="5" t="s">
        <v>238</v>
      </c>
      <c r="AX2995" s="5" t="s">
        <v>249</v>
      </c>
      <c r="AY2995" s="5" t="s">
        <v>238</v>
      </c>
      <c r="BA2995" s="5" t="s">
        <v>238</v>
      </c>
      <c r="BC2995" s="5" t="s">
        <v>250</v>
      </c>
      <c r="BD2995" s="6" t="s">
        <v>243</v>
      </c>
      <c r="BE2995" s="5" t="s">
        <v>251</v>
      </c>
      <c r="BF2995" s="5" t="s">
        <v>252</v>
      </c>
      <c r="BG2995" s="5" t="s">
        <v>238</v>
      </c>
      <c r="BH2995" s="7">
        <f>0</f>
        <v>0</v>
      </c>
      <c r="BI2995" s="8">
        <f>0</f>
        <v>0</v>
      </c>
      <c r="BJ2995" s="5" t="s">
        <v>253</v>
      </c>
      <c r="BK2995" s="5" t="s">
        <v>254</v>
      </c>
      <c r="BY2995" s="5" t="s">
        <v>238</v>
      </c>
      <c r="BZ2995" s="5" t="s">
        <v>238</v>
      </c>
      <c r="CD2995" s="5" t="s">
        <v>273</v>
      </c>
      <c r="CE2995" s="5" t="s">
        <v>256</v>
      </c>
      <c r="CF2995" s="5" t="s">
        <v>238</v>
      </c>
      <c r="CI2995" s="6" t="s">
        <v>257</v>
      </c>
      <c r="CJ2995" s="5" t="s">
        <v>238</v>
      </c>
      <c r="CK2995" s="5" t="s">
        <v>258</v>
      </c>
      <c r="CL2995" s="5" t="s">
        <v>238</v>
      </c>
      <c r="CM2995" s="5" t="s">
        <v>238</v>
      </c>
      <c r="CN2995" s="5">
        <v>0</v>
      </c>
      <c r="CO2995" s="5" t="s">
        <v>259</v>
      </c>
      <c r="CP2995" s="5" t="s">
        <v>260</v>
      </c>
      <c r="CQ2995" s="5" t="s">
        <v>260</v>
      </c>
      <c r="CR2995" s="5" t="s">
        <v>261</v>
      </c>
      <c r="CU2995" s="8">
        <f>1</f>
        <v>1</v>
      </c>
      <c r="CV2995" s="8">
        <f>0</f>
        <v>0</v>
      </c>
      <c r="CX2995" s="8">
        <f>0</f>
        <v>0</v>
      </c>
      <c r="CY2995" s="8">
        <f>1</f>
        <v>1</v>
      </c>
      <c r="DA2995" s="5" t="s">
        <v>274</v>
      </c>
      <c r="DB2995" s="5" t="s">
        <v>238</v>
      </c>
      <c r="DD2995" s="5" t="s">
        <v>274</v>
      </c>
      <c r="DE2995" s="8">
        <f>983</f>
        <v>983</v>
      </c>
      <c r="DG2995" s="5" t="s">
        <v>238</v>
      </c>
      <c r="DH2995" s="5" t="s">
        <v>238</v>
      </c>
      <c r="DI2995" s="5" t="s">
        <v>238</v>
      </c>
      <c r="DJ2995" s="5" t="s">
        <v>238</v>
      </c>
      <c r="DN2995" s="5" t="s">
        <v>238</v>
      </c>
      <c r="DO2995" s="5" t="s">
        <v>238</v>
      </c>
      <c r="DP2995" s="5" t="s">
        <v>238</v>
      </c>
      <c r="DQ2995" s="5" t="s">
        <v>238</v>
      </c>
      <c r="DT2995" s="5" t="s">
        <v>275</v>
      </c>
      <c r="DU2995" s="5" t="s">
        <v>2204</v>
      </c>
      <c r="HM2995" s="5" t="s">
        <v>264</v>
      </c>
    </row>
    <row r="2996" spans="1:221" x14ac:dyDescent="0.4">
      <c r="A2996" s="5">
        <v>4700</v>
      </c>
      <c r="B2996" s="5">
        <v>1</v>
      </c>
      <c r="C2996" s="5">
        <v>1</v>
      </c>
      <c r="D2996" s="5" t="s">
        <v>269</v>
      </c>
      <c r="E2996" s="5" t="s">
        <v>271</v>
      </c>
      <c r="F2996" s="5" t="s">
        <v>248</v>
      </c>
      <c r="G2996" s="5" t="s">
        <v>266</v>
      </c>
      <c r="H2996" s="6" t="s">
        <v>4029</v>
      </c>
      <c r="I2996" s="7">
        <f>957</f>
        <v>957</v>
      </c>
      <c r="J2996" s="5" t="s">
        <v>262</v>
      </c>
      <c r="K2996" s="8">
        <f>1</f>
        <v>1</v>
      </c>
      <c r="L2996" s="6" t="s">
        <v>242</v>
      </c>
      <c r="M2996" s="5" t="s">
        <v>267</v>
      </c>
      <c r="N2996" s="5" t="s">
        <v>265</v>
      </c>
      <c r="O2996" s="5" t="s">
        <v>238</v>
      </c>
      <c r="P2996" s="5" t="s">
        <v>238</v>
      </c>
      <c r="Q2996" s="5" t="s">
        <v>268</v>
      </c>
      <c r="R2996" s="5" t="s">
        <v>270</v>
      </c>
      <c r="S2996" s="5" t="s">
        <v>238</v>
      </c>
      <c r="V2996" s="5" t="s">
        <v>238</v>
      </c>
      <c r="X2996" s="6" t="s">
        <v>238</v>
      </c>
      <c r="AA2996" s="6" t="s">
        <v>243</v>
      </c>
      <c r="AB2996" s="5" t="s">
        <v>238</v>
      </c>
      <c r="AC2996" s="5" t="s">
        <v>244</v>
      </c>
      <c r="AD2996" s="5" t="s">
        <v>245</v>
      </c>
      <c r="AT2996" s="5" t="s">
        <v>246</v>
      </c>
      <c r="AU2996" s="5" t="s">
        <v>238</v>
      </c>
      <c r="AV2996" s="5" t="s">
        <v>247</v>
      </c>
      <c r="AW2996" s="5" t="s">
        <v>238</v>
      </c>
      <c r="AX2996" s="5" t="s">
        <v>249</v>
      </c>
      <c r="AY2996" s="5" t="s">
        <v>238</v>
      </c>
      <c r="BA2996" s="5" t="s">
        <v>238</v>
      </c>
      <c r="BC2996" s="5" t="s">
        <v>250</v>
      </c>
      <c r="BD2996" s="6" t="s">
        <v>243</v>
      </c>
      <c r="BE2996" s="5" t="s">
        <v>251</v>
      </c>
      <c r="BF2996" s="5" t="s">
        <v>252</v>
      </c>
      <c r="BG2996" s="5" t="s">
        <v>238</v>
      </c>
      <c r="BH2996" s="7">
        <f>0</f>
        <v>0</v>
      </c>
      <c r="BI2996" s="8">
        <f>0</f>
        <v>0</v>
      </c>
      <c r="BJ2996" s="5" t="s">
        <v>253</v>
      </c>
      <c r="BK2996" s="5" t="s">
        <v>254</v>
      </c>
      <c r="BY2996" s="5" t="s">
        <v>238</v>
      </c>
      <c r="BZ2996" s="5" t="s">
        <v>238</v>
      </c>
      <c r="CD2996" s="5" t="s">
        <v>273</v>
      </c>
      <c r="CE2996" s="5" t="s">
        <v>256</v>
      </c>
      <c r="CF2996" s="5" t="s">
        <v>238</v>
      </c>
      <c r="CI2996" s="6" t="s">
        <v>257</v>
      </c>
      <c r="CJ2996" s="5" t="s">
        <v>238</v>
      </c>
      <c r="CK2996" s="5" t="s">
        <v>258</v>
      </c>
      <c r="CL2996" s="5" t="s">
        <v>238</v>
      </c>
      <c r="CM2996" s="5" t="s">
        <v>238</v>
      </c>
      <c r="CN2996" s="5">
        <v>0</v>
      </c>
      <c r="CO2996" s="5" t="s">
        <v>259</v>
      </c>
      <c r="CP2996" s="5" t="s">
        <v>260</v>
      </c>
      <c r="CQ2996" s="5" t="s">
        <v>260</v>
      </c>
      <c r="CR2996" s="5" t="s">
        <v>261</v>
      </c>
      <c r="CU2996" s="8">
        <f>1</f>
        <v>1</v>
      </c>
      <c r="CV2996" s="8">
        <f>0</f>
        <v>0</v>
      </c>
      <c r="CX2996" s="8">
        <f>0</f>
        <v>0</v>
      </c>
      <c r="CY2996" s="8">
        <f>1</f>
        <v>1</v>
      </c>
      <c r="DA2996" s="5" t="s">
        <v>274</v>
      </c>
      <c r="DB2996" s="5" t="s">
        <v>238</v>
      </c>
      <c r="DD2996" s="5" t="s">
        <v>274</v>
      </c>
      <c r="DE2996" s="8">
        <f>957</f>
        <v>957</v>
      </c>
      <c r="DG2996" s="5" t="s">
        <v>238</v>
      </c>
      <c r="DH2996" s="5" t="s">
        <v>238</v>
      </c>
      <c r="DI2996" s="5" t="s">
        <v>238</v>
      </c>
      <c r="DJ2996" s="5" t="s">
        <v>238</v>
      </c>
      <c r="DN2996" s="5" t="s">
        <v>238</v>
      </c>
      <c r="DO2996" s="5" t="s">
        <v>238</v>
      </c>
      <c r="DP2996" s="5" t="s">
        <v>238</v>
      </c>
      <c r="DQ2996" s="5" t="s">
        <v>238</v>
      </c>
      <c r="DT2996" s="5" t="s">
        <v>275</v>
      </c>
      <c r="DU2996" s="5" t="s">
        <v>2253</v>
      </c>
      <c r="HM2996" s="5" t="s">
        <v>264</v>
      </c>
    </row>
    <row r="2997" spans="1:221" x14ac:dyDescent="0.4">
      <c r="A2997" s="5">
        <v>4701</v>
      </c>
      <c r="B2997" s="5">
        <v>1</v>
      </c>
      <c r="C2997" s="5">
        <v>1</v>
      </c>
      <c r="D2997" s="5" t="s">
        <v>269</v>
      </c>
      <c r="E2997" s="5" t="s">
        <v>271</v>
      </c>
      <c r="F2997" s="5" t="s">
        <v>248</v>
      </c>
      <c r="G2997" s="5" t="s">
        <v>266</v>
      </c>
      <c r="H2997" s="6" t="s">
        <v>4030</v>
      </c>
      <c r="I2997" s="7">
        <f>422</f>
        <v>422</v>
      </c>
      <c r="J2997" s="5" t="s">
        <v>262</v>
      </c>
      <c r="K2997" s="8">
        <f>1</f>
        <v>1</v>
      </c>
      <c r="L2997" s="6" t="s">
        <v>242</v>
      </c>
      <c r="M2997" s="5" t="s">
        <v>267</v>
      </c>
      <c r="N2997" s="5" t="s">
        <v>265</v>
      </c>
      <c r="O2997" s="5" t="s">
        <v>238</v>
      </c>
      <c r="P2997" s="5" t="s">
        <v>238</v>
      </c>
      <c r="Q2997" s="5" t="s">
        <v>268</v>
      </c>
      <c r="R2997" s="5" t="s">
        <v>270</v>
      </c>
      <c r="S2997" s="5" t="s">
        <v>238</v>
      </c>
      <c r="V2997" s="5" t="s">
        <v>238</v>
      </c>
      <c r="X2997" s="6" t="s">
        <v>238</v>
      </c>
      <c r="AA2997" s="6" t="s">
        <v>243</v>
      </c>
      <c r="AB2997" s="5" t="s">
        <v>238</v>
      </c>
      <c r="AC2997" s="5" t="s">
        <v>244</v>
      </c>
      <c r="AD2997" s="5" t="s">
        <v>245</v>
      </c>
      <c r="AT2997" s="5" t="s">
        <v>246</v>
      </c>
      <c r="AU2997" s="5" t="s">
        <v>238</v>
      </c>
      <c r="AV2997" s="5" t="s">
        <v>247</v>
      </c>
      <c r="AW2997" s="5" t="s">
        <v>238</v>
      </c>
      <c r="AX2997" s="5" t="s">
        <v>249</v>
      </c>
      <c r="AY2997" s="5" t="s">
        <v>238</v>
      </c>
      <c r="BA2997" s="5" t="s">
        <v>238</v>
      </c>
      <c r="BC2997" s="5" t="s">
        <v>250</v>
      </c>
      <c r="BD2997" s="6" t="s">
        <v>243</v>
      </c>
      <c r="BE2997" s="5" t="s">
        <v>251</v>
      </c>
      <c r="BF2997" s="5" t="s">
        <v>252</v>
      </c>
      <c r="BG2997" s="5" t="s">
        <v>238</v>
      </c>
      <c r="BH2997" s="7">
        <f>0</f>
        <v>0</v>
      </c>
      <c r="BI2997" s="8">
        <f>0</f>
        <v>0</v>
      </c>
      <c r="BJ2997" s="5" t="s">
        <v>253</v>
      </c>
      <c r="BK2997" s="5" t="s">
        <v>254</v>
      </c>
      <c r="BY2997" s="5" t="s">
        <v>238</v>
      </c>
      <c r="BZ2997" s="5" t="s">
        <v>238</v>
      </c>
      <c r="CD2997" s="5" t="s">
        <v>273</v>
      </c>
      <c r="CE2997" s="5" t="s">
        <v>256</v>
      </c>
      <c r="CF2997" s="5" t="s">
        <v>238</v>
      </c>
      <c r="CI2997" s="6" t="s">
        <v>257</v>
      </c>
      <c r="CJ2997" s="5" t="s">
        <v>238</v>
      </c>
      <c r="CK2997" s="5" t="s">
        <v>258</v>
      </c>
      <c r="CL2997" s="5" t="s">
        <v>238</v>
      </c>
      <c r="CM2997" s="5" t="s">
        <v>238</v>
      </c>
      <c r="CN2997" s="5">
        <v>0</v>
      </c>
      <c r="CO2997" s="5" t="s">
        <v>259</v>
      </c>
      <c r="CP2997" s="5" t="s">
        <v>260</v>
      </c>
      <c r="CQ2997" s="5" t="s">
        <v>260</v>
      </c>
      <c r="CR2997" s="5" t="s">
        <v>261</v>
      </c>
      <c r="CU2997" s="8">
        <f>1</f>
        <v>1</v>
      </c>
      <c r="CV2997" s="8">
        <f>0</f>
        <v>0</v>
      </c>
      <c r="CX2997" s="8">
        <f>0</f>
        <v>0</v>
      </c>
      <c r="CY2997" s="8">
        <f>1</f>
        <v>1</v>
      </c>
      <c r="DA2997" s="5" t="s">
        <v>274</v>
      </c>
      <c r="DB2997" s="5" t="s">
        <v>238</v>
      </c>
      <c r="DD2997" s="5" t="s">
        <v>274</v>
      </c>
      <c r="DE2997" s="8">
        <f>422</f>
        <v>422</v>
      </c>
      <c r="DG2997" s="5" t="s">
        <v>238</v>
      </c>
      <c r="DH2997" s="5" t="s">
        <v>238</v>
      </c>
      <c r="DI2997" s="5" t="s">
        <v>238</v>
      </c>
      <c r="DJ2997" s="5" t="s">
        <v>238</v>
      </c>
      <c r="DN2997" s="5" t="s">
        <v>238</v>
      </c>
      <c r="DO2997" s="5" t="s">
        <v>238</v>
      </c>
      <c r="DP2997" s="5" t="s">
        <v>238</v>
      </c>
      <c r="DQ2997" s="5" t="s">
        <v>238</v>
      </c>
      <c r="DT2997" s="5" t="s">
        <v>275</v>
      </c>
      <c r="DU2997" s="5" t="s">
        <v>2060</v>
      </c>
      <c r="HM2997" s="5" t="s">
        <v>264</v>
      </c>
    </row>
    <row r="2998" spans="1:221" x14ac:dyDescent="0.4">
      <c r="A2998" s="5">
        <v>4702</v>
      </c>
      <c r="B2998" s="5">
        <v>1</v>
      </c>
      <c r="C2998" s="5">
        <v>1</v>
      </c>
      <c r="D2998" s="5" t="s">
        <v>269</v>
      </c>
      <c r="E2998" s="5" t="s">
        <v>271</v>
      </c>
      <c r="F2998" s="5" t="s">
        <v>248</v>
      </c>
      <c r="G2998" s="5" t="s">
        <v>266</v>
      </c>
      <c r="H2998" s="6" t="s">
        <v>4031</v>
      </c>
      <c r="I2998" s="7">
        <f>316</f>
        <v>316</v>
      </c>
      <c r="J2998" s="5" t="s">
        <v>262</v>
      </c>
      <c r="K2998" s="8">
        <f>1</f>
        <v>1</v>
      </c>
      <c r="L2998" s="6" t="s">
        <v>242</v>
      </c>
      <c r="M2998" s="5" t="s">
        <v>267</v>
      </c>
      <c r="N2998" s="5" t="s">
        <v>265</v>
      </c>
      <c r="O2998" s="5" t="s">
        <v>238</v>
      </c>
      <c r="P2998" s="5" t="s">
        <v>238</v>
      </c>
      <c r="Q2998" s="5" t="s">
        <v>268</v>
      </c>
      <c r="R2998" s="5" t="s">
        <v>270</v>
      </c>
      <c r="S2998" s="5" t="s">
        <v>238</v>
      </c>
      <c r="V2998" s="5" t="s">
        <v>238</v>
      </c>
      <c r="X2998" s="6" t="s">
        <v>238</v>
      </c>
      <c r="AA2998" s="6" t="s">
        <v>243</v>
      </c>
      <c r="AB2998" s="5" t="s">
        <v>238</v>
      </c>
      <c r="AC2998" s="5" t="s">
        <v>244</v>
      </c>
      <c r="AD2998" s="5" t="s">
        <v>245</v>
      </c>
      <c r="AT2998" s="5" t="s">
        <v>246</v>
      </c>
      <c r="AU2998" s="5" t="s">
        <v>238</v>
      </c>
      <c r="AV2998" s="5" t="s">
        <v>247</v>
      </c>
      <c r="AW2998" s="5" t="s">
        <v>238</v>
      </c>
      <c r="AX2998" s="5" t="s">
        <v>249</v>
      </c>
      <c r="AY2998" s="5" t="s">
        <v>238</v>
      </c>
      <c r="BA2998" s="5" t="s">
        <v>238</v>
      </c>
      <c r="BC2998" s="5" t="s">
        <v>250</v>
      </c>
      <c r="BD2998" s="6" t="s">
        <v>243</v>
      </c>
      <c r="BE2998" s="5" t="s">
        <v>251</v>
      </c>
      <c r="BF2998" s="5" t="s">
        <v>252</v>
      </c>
      <c r="BG2998" s="5" t="s">
        <v>238</v>
      </c>
      <c r="BH2998" s="7">
        <f>0</f>
        <v>0</v>
      </c>
      <c r="BI2998" s="8">
        <f>0</f>
        <v>0</v>
      </c>
      <c r="BJ2998" s="5" t="s">
        <v>253</v>
      </c>
      <c r="BK2998" s="5" t="s">
        <v>254</v>
      </c>
      <c r="BY2998" s="5" t="s">
        <v>238</v>
      </c>
      <c r="BZ2998" s="5" t="s">
        <v>238</v>
      </c>
      <c r="CD2998" s="5" t="s">
        <v>273</v>
      </c>
      <c r="CE2998" s="5" t="s">
        <v>256</v>
      </c>
      <c r="CF2998" s="5" t="s">
        <v>238</v>
      </c>
      <c r="CI2998" s="6" t="s">
        <v>257</v>
      </c>
      <c r="CJ2998" s="5" t="s">
        <v>238</v>
      </c>
      <c r="CK2998" s="5" t="s">
        <v>258</v>
      </c>
      <c r="CL2998" s="5" t="s">
        <v>238</v>
      </c>
      <c r="CM2998" s="5" t="s">
        <v>238</v>
      </c>
      <c r="CN2998" s="5">
        <v>0</v>
      </c>
      <c r="CO2998" s="5" t="s">
        <v>259</v>
      </c>
      <c r="CP2998" s="5" t="s">
        <v>260</v>
      </c>
      <c r="CQ2998" s="5" t="s">
        <v>260</v>
      </c>
      <c r="CR2998" s="5" t="s">
        <v>261</v>
      </c>
      <c r="CU2998" s="8">
        <f>1</f>
        <v>1</v>
      </c>
      <c r="CV2998" s="8">
        <f>0</f>
        <v>0</v>
      </c>
      <c r="CX2998" s="8">
        <f>0</f>
        <v>0</v>
      </c>
      <c r="CY2998" s="8">
        <f>1</f>
        <v>1</v>
      </c>
      <c r="DA2998" s="5" t="s">
        <v>274</v>
      </c>
      <c r="DB2998" s="5" t="s">
        <v>238</v>
      </c>
      <c r="DD2998" s="5" t="s">
        <v>274</v>
      </c>
      <c r="DE2998" s="8">
        <f>316</f>
        <v>316</v>
      </c>
      <c r="DG2998" s="5" t="s">
        <v>238</v>
      </c>
      <c r="DH2998" s="5" t="s">
        <v>238</v>
      </c>
      <c r="DI2998" s="5" t="s">
        <v>238</v>
      </c>
      <c r="DJ2998" s="5" t="s">
        <v>238</v>
      </c>
      <c r="DN2998" s="5" t="s">
        <v>238</v>
      </c>
      <c r="DO2998" s="5" t="s">
        <v>238</v>
      </c>
      <c r="DP2998" s="5" t="s">
        <v>238</v>
      </c>
      <c r="DQ2998" s="5" t="s">
        <v>238</v>
      </c>
      <c r="DT2998" s="5" t="s">
        <v>275</v>
      </c>
      <c r="DU2998" s="5" t="s">
        <v>2044</v>
      </c>
      <c r="HM2998" s="5" t="s">
        <v>264</v>
      </c>
    </row>
    <row r="2999" spans="1:221" x14ac:dyDescent="0.4">
      <c r="A2999" s="5">
        <v>4703</v>
      </c>
      <c r="B2999" s="5">
        <v>1</v>
      </c>
      <c r="C2999" s="5">
        <v>1</v>
      </c>
      <c r="D2999" s="5" t="s">
        <v>269</v>
      </c>
      <c r="E2999" s="5" t="s">
        <v>271</v>
      </c>
      <c r="F2999" s="5" t="s">
        <v>248</v>
      </c>
      <c r="G2999" s="5" t="s">
        <v>266</v>
      </c>
      <c r="H2999" s="6" t="s">
        <v>4032</v>
      </c>
      <c r="I2999" s="7">
        <f>718</f>
        <v>718</v>
      </c>
      <c r="J2999" s="5" t="s">
        <v>262</v>
      </c>
      <c r="K2999" s="8">
        <f>1</f>
        <v>1</v>
      </c>
      <c r="L2999" s="6" t="s">
        <v>242</v>
      </c>
      <c r="M2999" s="5" t="s">
        <v>267</v>
      </c>
      <c r="N2999" s="5" t="s">
        <v>265</v>
      </c>
      <c r="O2999" s="5" t="s">
        <v>238</v>
      </c>
      <c r="P2999" s="5" t="s">
        <v>238</v>
      </c>
      <c r="Q2999" s="5" t="s">
        <v>268</v>
      </c>
      <c r="R2999" s="5" t="s">
        <v>270</v>
      </c>
      <c r="S2999" s="5" t="s">
        <v>238</v>
      </c>
      <c r="V2999" s="5" t="s">
        <v>238</v>
      </c>
      <c r="X2999" s="6" t="s">
        <v>238</v>
      </c>
      <c r="AA2999" s="6" t="s">
        <v>243</v>
      </c>
      <c r="AB2999" s="5" t="s">
        <v>238</v>
      </c>
      <c r="AC2999" s="5" t="s">
        <v>244</v>
      </c>
      <c r="AD2999" s="5" t="s">
        <v>245</v>
      </c>
      <c r="AT2999" s="5" t="s">
        <v>246</v>
      </c>
      <c r="AU2999" s="5" t="s">
        <v>238</v>
      </c>
      <c r="AV2999" s="5" t="s">
        <v>247</v>
      </c>
      <c r="AW2999" s="5" t="s">
        <v>238</v>
      </c>
      <c r="AX2999" s="5" t="s">
        <v>249</v>
      </c>
      <c r="AY2999" s="5" t="s">
        <v>238</v>
      </c>
      <c r="BA2999" s="5" t="s">
        <v>238</v>
      </c>
      <c r="BC2999" s="5" t="s">
        <v>250</v>
      </c>
      <c r="BD2999" s="6" t="s">
        <v>243</v>
      </c>
      <c r="BE2999" s="5" t="s">
        <v>251</v>
      </c>
      <c r="BF2999" s="5" t="s">
        <v>252</v>
      </c>
      <c r="BG2999" s="5" t="s">
        <v>238</v>
      </c>
      <c r="BH2999" s="7">
        <f>0</f>
        <v>0</v>
      </c>
      <c r="BI2999" s="8">
        <f>0</f>
        <v>0</v>
      </c>
      <c r="BJ2999" s="5" t="s">
        <v>253</v>
      </c>
      <c r="BK2999" s="5" t="s">
        <v>254</v>
      </c>
      <c r="BY2999" s="5" t="s">
        <v>238</v>
      </c>
      <c r="BZ2999" s="5" t="s">
        <v>238</v>
      </c>
      <c r="CD2999" s="5" t="s">
        <v>273</v>
      </c>
      <c r="CE2999" s="5" t="s">
        <v>256</v>
      </c>
      <c r="CF2999" s="5" t="s">
        <v>238</v>
      </c>
      <c r="CI2999" s="6" t="s">
        <v>257</v>
      </c>
      <c r="CJ2999" s="5" t="s">
        <v>238</v>
      </c>
      <c r="CK2999" s="5" t="s">
        <v>258</v>
      </c>
      <c r="CL2999" s="5" t="s">
        <v>238</v>
      </c>
      <c r="CM2999" s="5" t="s">
        <v>238</v>
      </c>
      <c r="CN2999" s="5">
        <v>0</v>
      </c>
      <c r="CO2999" s="5" t="s">
        <v>259</v>
      </c>
      <c r="CP2999" s="5" t="s">
        <v>260</v>
      </c>
      <c r="CQ2999" s="5" t="s">
        <v>260</v>
      </c>
      <c r="CR2999" s="5" t="s">
        <v>261</v>
      </c>
      <c r="CU2999" s="8">
        <f>1</f>
        <v>1</v>
      </c>
      <c r="CV2999" s="8">
        <f>0</f>
        <v>0</v>
      </c>
      <c r="CX2999" s="8">
        <f>0</f>
        <v>0</v>
      </c>
      <c r="CY2999" s="8">
        <f>1</f>
        <v>1</v>
      </c>
      <c r="DA2999" s="5" t="s">
        <v>274</v>
      </c>
      <c r="DB2999" s="5" t="s">
        <v>238</v>
      </c>
      <c r="DD2999" s="5" t="s">
        <v>274</v>
      </c>
      <c r="DE2999" s="8">
        <f>718</f>
        <v>718</v>
      </c>
      <c r="DG2999" s="5" t="s">
        <v>238</v>
      </c>
      <c r="DH2999" s="5" t="s">
        <v>238</v>
      </c>
      <c r="DI2999" s="5" t="s">
        <v>238</v>
      </c>
      <c r="DJ2999" s="5" t="s">
        <v>238</v>
      </c>
      <c r="DN2999" s="5" t="s">
        <v>238</v>
      </c>
      <c r="DO2999" s="5" t="s">
        <v>238</v>
      </c>
      <c r="DP2999" s="5" t="s">
        <v>238</v>
      </c>
      <c r="DQ2999" s="5" t="s">
        <v>238</v>
      </c>
      <c r="DT2999" s="5" t="s">
        <v>275</v>
      </c>
      <c r="DU2999" s="5" t="s">
        <v>3724</v>
      </c>
      <c r="HM2999" s="5" t="s">
        <v>264</v>
      </c>
    </row>
    <row r="3000" spans="1:221" x14ac:dyDescent="0.4">
      <c r="A3000" s="5">
        <v>4704</v>
      </c>
      <c r="B3000" s="5">
        <v>1</v>
      </c>
      <c r="C3000" s="5">
        <v>1</v>
      </c>
      <c r="D3000" s="5" t="s">
        <v>269</v>
      </c>
      <c r="E3000" s="5" t="s">
        <v>271</v>
      </c>
      <c r="F3000" s="5" t="s">
        <v>248</v>
      </c>
      <c r="G3000" s="5" t="s">
        <v>266</v>
      </c>
      <c r="H3000" s="6" t="s">
        <v>4033</v>
      </c>
      <c r="I3000" s="7">
        <f>1021</f>
        <v>1021</v>
      </c>
      <c r="J3000" s="5" t="s">
        <v>262</v>
      </c>
      <c r="K3000" s="8">
        <f>1</f>
        <v>1</v>
      </c>
      <c r="L3000" s="6" t="s">
        <v>242</v>
      </c>
      <c r="M3000" s="5" t="s">
        <v>267</v>
      </c>
      <c r="N3000" s="5" t="s">
        <v>265</v>
      </c>
      <c r="O3000" s="5" t="s">
        <v>238</v>
      </c>
      <c r="P3000" s="5" t="s">
        <v>238</v>
      </c>
      <c r="Q3000" s="5" t="s">
        <v>268</v>
      </c>
      <c r="R3000" s="5" t="s">
        <v>270</v>
      </c>
      <c r="S3000" s="5" t="s">
        <v>238</v>
      </c>
      <c r="V3000" s="5" t="s">
        <v>238</v>
      </c>
      <c r="X3000" s="6" t="s">
        <v>238</v>
      </c>
      <c r="AA3000" s="6" t="s">
        <v>243</v>
      </c>
      <c r="AB3000" s="5" t="s">
        <v>238</v>
      </c>
      <c r="AC3000" s="5" t="s">
        <v>244</v>
      </c>
      <c r="AD3000" s="5" t="s">
        <v>245</v>
      </c>
      <c r="AT3000" s="5" t="s">
        <v>246</v>
      </c>
      <c r="AU3000" s="5" t="s">
        <v>238</v>
      </c>
      <c r="AV3000" s="5" t="s">
        <v>247</v>
      </c>
      <c r="AW3000" s="5" t="s">
        <v>238</v>
      </c>
      <c r="AX3000" s="5" t="s">
        <v>249</v>
      </c>
      <c r="AY3000" s="5" t="s">
        <v>238</v>
      </c>
      <c r="BA3000" s="5" t="s">
        <v>238</v>
      </c>
      <c r="BC3000" s="5" t="s">
        <v>250</v>
      </c>
      <c r="BD3000" s="6" t="s">
        <v>243</v>
      </c>
      <c r="BE3000" s="5" t="s">
        <v>251</v>
      </c>
      <c r="BF3000" s="5" t="s">
        <v>252</v>
      </c>
      <c r="BG3000" s="5" t="s">
        <v>238</v>
      </c>
      <c r="BH3000" s="7">
        <f>0</f>
        <v>0</v>
      </c>
      <c r="BI3000" s="8">
        <f>0</f>
        <v>0</v>
      </c>
      <c r="BJ3000" s="5" t="s">
        <v>253</v>
      </c>
      <c r="BK3000" s="5" t="s">
        <v>254</v>
      </c>
      <c r="BY3000" s="5" t="s">
        <v>238</v>
      </c>
      <c r="BZ3000" s="5" t="s">
        <v>238</v>
      </c>
      <c r="CD3000" s="5" t="s">
        <v>273</v>
      </c>
      <c r="CE3000" s="5" t="s">
        <v>256</v>
      </c>
      <c r="CF3000" s="5" t="s">
        <v>238</v>
      </c>
      <c r="CI3000" s="6" t="s">
        <v>257</v>
      </c>
      <c r="CJ3000" s="5" t="s">
        <v>238</v>
      </c>
      <c r="CK3000" s="5" t="s">
        <v>258</v>
      </c>
      <c r="CL3000" s="5" t="s">
        <v>238</v>
      </c>
      <c r="CM3000" s="5" t="s">
        <v>238</v>
      </c>
      <c r="CN3000" s="5">
        <v>0</v>
      </c>
      <c r="CO3000" s="5" t="s">
        <v>259</v>
      </c>
      <c r="CP3000" s="5" t="s">
        <v>260</v>
      </c>
      <c r="CQ3000" s="5" t="s">
        <v>260</v>
      </c>
      <c r="CR3000" s="5" t="s">
        <v>261</v>
      </c>
      <c r="CU3000" s="8">
        <f>1</f>
        <v>1</v>
      </c>
      <c r="CV3000" s="8">
        <f>0</f>
        <v>0</v>
      </c>
      <c r="CX3000" s="8">
        <f>0</f>
        <v>0</v>
      </c>
      <c r="CY3000" s="8">
        <f>1</f>
        <v>1</v>
      </c>
      <c r="DA3000" s="5" t="s">
        <v>274</v>
      </c>
      <c r="DB3000" s="5" t="s">
        <v>238</v>
      </c>
      <c r="DD3000" s="5" t="s">
        <v>274</v>
      </c>
      <c r="DE3000" s="8">
        <f>1021</f>
        <v>1021</v>
      </c>
      <c r="DG3000" s="5" t="s">
        <v>238</v>
      </c>
      <c r="DH3000" s="5" t="s">
        <v>238</v>
      </c>
      <c r="DI3000" s="5" t="s">
        <v>238</v>
      </c>
      <c r="DJ3000" s="5" t="s">
        <v>238</v>
      </c>
      <c r="DN3000" s="5" t="s">
        <v>238</v>
      </c>
      <c r="DO3000" s="5" t="s">
        <v>238</v>
      </c>
      <c r="DP3000" s="5" t="s">
        <v>238</v>
      </c>
      <c r="DQ3000" s="5" t="s">
        <v>238</v>
      </c>
      <c r="DT3000" s="5" t="s">
        <v>275</v>
      </c>
      <c r="DU3000" s="5" t="s">
        <v>2238</v>
      </c>
      <c r="HM3000" s="5" t="s">
        <v>264</v>
      </c>
    </row>
    <row r="3001" spans="1:221" x14ac:dyDescent="0.4">
      <c r="A3001" s="5">
        <v>4705</v>
      </c>
      <c r="B3001" s="5">
        <v>1</v>
      </c>
      <c r="C3001" s="5">
        <v>1</v>
      </c>
      <c r="D3001" s="5" t="s">
        <v>269</v>
      </c>
      <c r="E3001" s="5" t="s">
        <v>271</v>
      </c>
      <c r="F3001" s="5" t="s">
        <v>248</v>
      </c>
      <c r="G3001" s="5" t="s">
        <v>266</v>
      </c>
      <c r="H3001" s="6" t="s">
        <v>4034</v>
      </c>
      <c r="I3001" s="7">
        <f>58</f>
        <v>58</v>
      </c>
      <c r="J3001" s="5" t="s">
        <v>262</v>
      </c>
      <c r="K3001" s="8">
        <f>1</f>
        <v>1</v>
      </c>
      <c r="L3001" s="6" t="s">
        <v>242</v>
      </c>
      <c r="M3001" s="5" t="s">
        <v>267</v>
      </c>
      <c r="N3001" s="5" t="s">
        <v>265</v>
      </c>
      <c r="O3001" s="5" t="s">
        <v>238</v>
      </c>
      <c r="P3001" s="5" t="s">
        <v>238</v>
      </c>
      <c r="Q3001" s="5" t="s">
        <v>268</v>
      </c>
      <c r="R3001" s="5" t="s">
        <v>270</v>
      </c>
      <c r="S3001" s="5" t="s">
        <v>238</v>
      </c>
      <c r="V3001" s="5" t="s">
        <v>238</v>
      </c>
      <c r="X3001" s="6" t="s">
        <v>238</v>
      </c>
      <c r="AA3001" s="6" t="s">
        <v>243</v>
      </c>
      <c r="AB3001" s="5" t="s">
        <v>238</v>
      </c>
      <c r="AC3001" s="5" t="s">
        <v>244</v>
      </c>
      <c r="AD3001" s="5" t="s">
        <v>245</v>
      </c>
      <c r="AT3001" s="5" t="s">
        <v>246</v>
      </c>
      <c r="AU3001" s="5" t="s">
        <v>238</v>
      </c>
      <c r="AV3001" s="5" t="s">
        <v>247</v>
      </c>
      <c r="AW3001" s="5" t="s">
        <v>238</v>
      </c>
      <c r="AX3001" s="5" t="s">
        <v>249</v>
      </c>
      <c r="AY3001" s="5" t="s">
        <v>238</v>
      </c>
      <c r="BA3001" s="5" t="s">
        <v>238</v>
      </c>
      <c r="BC3001" s="5" t="s">
        <v>250</v>
      </c>
      <c r="BD3001" s="6" t="s">
        <v>243</v>
      </c>
      <c r="BE3001" s="5" t="s">
        <v>251</v>
      </c>
      <c r="BF3001" s="5" t="s">
        <v>252</v>
      </c>
      <c r="BG3001" s="5" t="s">
        <v>238</v>
      </c>
      <c r="BH3001" s="7">
        <f>0</f>
        <v>0</v>
      </c>
      <c r="BI3001" s="8">
        <f>0</f>
        <v>0</v>
      </c>
      <c r="BJ3001" s="5" t="s">
        <v>253</v>
      </c>
      <c r="BK3001" s="5" t="s">
        <v>254</v>
      </c>
      <c r="BY3001" s="5" t="s">
        <v>238</v>
      </c>
      <c r="BZ3001" s="5" t="s">
        <v>238</v>
      </c>
      <c r="CD3001" s="5" t="s">
        <v>273</v>
      </c>
      <c r="CE3001" s="5" t="s">
        <v>256</v>
      </c>
      <c r="CF3001" s="5" t="s">
        <v>238</v>
      </c>
      <c r="CI3001" s="6" t="s">
        <v>257</v>
      </c>
      <c r="CJ3001" s="5" t="s">
        <v>238</v>
      </c>
      <c r="CK3001" s="5" t="s">
        <v>258</v>
      </c>
      <c r="CL3001" s="5" t="s">
        <v>238</v>
      </c>
      <c r="CM3001" s="5" t="s">
        <v>238</v>
      </c>
      <c r="CN3001" s="5">
        <v>0</v>
      </c>
      <c r="CO3001" s="5" t="s">
        <v>259</v>
      </c>
      <c r="CP3001" s="5" t="s">
        <v>260</v>
      </c>
      <c r="CQ3001" s="5" t="s">
        <v>260</v>
      </c>
      <c r="CR3001" s="5" t="s">
        <v>261</v>
      </c>
      <c r="CU3001" s="8">
        <f>1</f>
        <v>1</v>
      </c>
      <c r="CV3001" s="8">
        <f>0</f>
        <v>0</v>
      </c>
      <c r="CX3001" s="8">
        <f>0</f>
        <v>0</v>
      </c>
      <c r="CY3001" s="8">
        <f>1</f>
        <v>1</v>
      </c>
      <c r="DA3001" s="5" t="s">
        <v>274</v>
      </c>
      <c r="DB3001" s="5" t="s">
        <v>238</v>
      </c>
      <c r="DD3001" s="5" t="s">
        <v>274</v>
      </c>
      <c r="DE3001" s="8">
        <f>58</f>
        <v>58</v>
      </c>
      <c r="DG3001" s="5" t="s">
        <v>238</v>
      </c>
      <c r="DH3001" s="5" t="s">
        <v>238</v>
      </c>
      <c r="DI3001" s="5" t="s">
        <v>238</v>
      </c>
      <c r="DJ3001" s="5" t="s">
        <v>238</v>
      </c>
      <c r="DN3001" s="5" t="s">
        <v>238</v>
      </c>
      <c r="DO3001" s="5" t="s">
        <v>238</v>
      </c>
      <c r="DP3001" s="5" t="s">
        <v>238</v>
      </c>
      <c r="DQ3001" s="5" t="s">
        <v>238</v>
      </c>
      <c r="DT3001" s="5" t="s">
        <v>275</v>
      </c>
      <c r="DU3001" s="5" t="s">
        <v>3479</v>
      </c>
      <c r="HM3001" s="5" t="s">
        <v>264</v>
      </c>
    </row>
    <row r="3002" spans="1:221" x14ac:dyDescent="0.4">
      <c r="A3002" s="5">
        <v>4706</v>
      </c>
      <c r="B3002" s="5">
        <v>1</v>
      </c>
      <c r="C3002" s="5">
        <v>1</v>
      </c>
      <c r="D3002" s="5" t="s">
        <v>269</v>
      </c>
      <c r="E3002" s="5" t="s">
        <v>271</v>
      </c>
      <c r="F3002" s="5" t="s">
        <v>248</v>
      </c>
      <c r="G3002" s="5" t="s">
        <v>266</v>
      </c>
      <c r="H3002" s="6" t="s">
        <v>4035</v>
      </c>
      <c r="I3002" s="7">
        <f>1033</f>
        <v>1033</v>
      </c>
      <c r="J3002" s="5" t="s">
        <v>262</v>
      </c>
      <c r="K3002" s="8">
        <f>1</f>
        <v>1</v>
      </c>
      <c r="L3002" s="6" t="s">
        <v>242</v>
      </c>
      <c r="M3002" s="5" t="s">
        <v>267</v>
      </c>
      <c r="N3002" s="5" t="s">
        <v>265</v>
      </c>
      <c r="O3002" s="5" t="s">
        <v>238</v>
      </c>
      <c r="P3002" s="5" t="s">
        <v>238</v>
      </c>
      <c r="Q3002" s="5" t="s">
        <v>268</v>
      </c>
      <c r="R3002" s="5" t="s">
        <v>270</v>
      </c>
      <c r="S3002" s="5" t="s">
        <v>238</v>
      </c>
      <c r="V3002" s="5" t="s">
        <v>238</v>
      </c>
      <c r="X3002" s="6" t="s">
        <v>238</v>
      </c>
      <c r="AA3002" s="6" t="s">
        <v>243</v>
      </c>
      <c r="AB3002" s="5" t="s">
        <v>238</v>
      </c>
      <c r="AC3002" s="5" t="s">
        <v>244</v>
      </c>
      <c r="AD3002" s="5" t="s">
        <v>245</v>
      </c>
      <c r="AT3002" s="5" t="s">
        <v>246</v>
      </c>
      <c r="AU3002" s="5" t="s">
        <v>238</v>
      </c>
      <c r="AV3002" s="5" t="s">
        <v>247</v>
      </c>
      <c r="AW3002" s="5" t="s">
        <v>238</v>
      </c>
      <c r="AX3002" s="5" t="s">
        <v>249</v>
      </c>
      <c r="AY3002" s="5" t="s">
        <v>238</v>
      </c>
      <c r="BA3002" s="5" t="s">
        <v>238</v>
      </c>
      <c r="BC3002" s="5" t="s">
        <v>250</v>
      </c>
      <c r="BD3002" s="6" t="s">
        <v>243</v>
      </c>
      <c r="BE3002" s="5" t="s">
        <v>251</v>
      </c>
      <c r="BF3002" s="5" t="s">
        <v>252</v>
      </c>
      <c r="BG3002" s="5" t="s">
        <v>238</v>
      </c>
      <c r="BH3002" s="7">
        <f>0</f>
        <v>0</v>
      </c>
      <c r="BI3002" s="8">
        <f>0</f>
        <v>0</v>
      </c>
      <c r="BJ3002" s="5" t="s">
        <v>253</v>
      </c>
      <c r="BK3002" s="5" t="s">
        <v>254</v>
      </c>
      <c r="BY3002" s="5" t="s">
        <v>238</v>
      </c>
      <c r="BZ3002" s="5" t="s">
        <v>238</v>
      </c>
      <c r="CD3002" s="5" t="s">
        <v>273</v>
      </c>
      <c r="CE3002" s="5" t="s">
        <v>256</v>
      </c>
      <c r="CF3002" s="5" t="s">
        <v>238</v>
      </c>
      <c r="CI3002" s="6" t="s">
        <v>257</v>
      </c>
      <c r="CJ3002" s="5" t="s">
        <v>238</v>
      </c>
      <c r="CK3002" s="5" t="s">
        <v>258</v>
      </c>
      <c r="CL3002" s="5" t="s">
        <v>238</v>
      </c>
      <c r="CM3002" s="5" t="s">
        <v>238</v>
      </c>
      <c r="CN3002" s="5">
        <v>0</v>
      </c>
      <c r="CO3002" s="5" t="s">
        <v>259</v>
      </c>
      <c r="CP3002" s="5" t="s">
        <v>260</v>
      </c>
      <c r="CQ3002" s="5" t="s">
        <v>260</v>
      </c>
      <c r="CR3002" s="5" t="s">
        <v>261</v>
      </c>
      <c r="CU3002" s="8">
        <f>1</f>
        <v>1</v>
      </c>
      <c r="CV3002" s="8">
        <f>0</f>
        <v>0</v>
      </c>
      <c r="CX3002" s="8">
        <f>0</f>
        <v>0</v>
      </c>
      <c r="CY3002" s="8">
        <f>1</f>
        <v>1</v>
      </c>
      <c r="DA3002" s="5" t="s">
        <v>274</v>
      </c>
      <c r="DB3002" s="5" t="s">
        <v>238</v>
      </c>
      <c r="DD3002" s="5" t="s">
        <v>274</v>
      </c>
      <c r="DE3002" s="8">
        <f>1033</f>
        <v>1033</v>
      </c>
      <c r="DG3002" s="5" t="s">
        <v>238</v>
      </c>
      <c r="DH3002" s="5" t="s">
        <v>238</v>
      </c>
      <c r="DI3002" s="5" t="s">
        <v>238</v>
      </c>
      <c r="DJ3002" s="5" t="s">
        <v>238</v>
      </c>
      <c r="DN3002" s="5" t="s">
        <v>238</v>
      </c>
      <c r="DO3002" s="5" t="s">
        <v>238</v>
      </c>
      <c r="DP3002" s="5" t="s">
        <v>238</v>
      </c>
      <c r="DQ3002" s="5" t="s">
        <v>238</v>
      </c>
      <c r="DT3002" s="5" t="s">
        <v>275</v>
      </c>
      <c r="DU3002" s="5" t="s">
        <v>2465</v>
      </c>
      <c r="HM3002" s="5" t="s">
        <v>264</v>
      </c>
    </row>
    <row r="3003" spans="1:221" x14ac:dyDescent="0.4">
      <c r="A3003" s="5">
        <v>4707</v>
      </c>
      <c r="B3003" s="5">
        <v>1</v>
      </c>
      <c r="C3003" s="5">
        <v>1</v>
      </c>
      <c r="D3003" s="5" t="s">
        <v>269</v>
      </c>
      <c r="E3003" s="5" t="s">
        <v>271</v>
      </c>
      <c r="F3003" s="5" t="s">
        <v>248</v>
      </c>
      <c r="G3003" s="5" t="s">
        <v>266</v>
      </c>
      <c r="H3003" s="6" t="s">
        <v>4036</v>
      </c>
      <c r="I3003" s="7">
        <f>936</f>
        <v>936</v>
      </c>
      <c r="J3003" s="5" t="s">
        <v>262</v>
      </c>
      <c r="K3003" s="8">
        <f>1</f>
        <v>1</v>
      </c>
      <c r="L3003" s="6" t="s">
        <v>242</v>
      </c>
      <c r="M3003" s="5" t="s">
        <v>267</v>
      </c>
      <c r="N3003" s="5" t="s">
        <v>265</v>
      </c>
      <c r="O3003" s="5" t="s">
        <v>238</v>
      </c>
      <c r="P3003" s="5" t="s">
        <v>238</v>
      </c>
      <c r="Q3003" s="5" t="s">
        <v>268</v>
      </c>
      <c r="R3003" s="5" t="s">
        <v>270</v>
      </c>
      <c r="S3003" s="5" t="s">
        <v>238</v>
      </c>
      <c r="V3003" s="5" t="s">
        <v>238</v>
      </c>
      <c r="X3003" s="6" t="s">
        <v>238</v>
      </c>
      <c r="AA3003" s="6" t="s">
        <v>243</v>
      </c>
      <c r="AB3003" s="5" t="s">
        <v>238</v>
      </c>
      <c r="AC3003" s="5" t="s">
        <v>244</v>
      </c>
      <c r="AD3003" s="5" t="s">
        <v>245</v>
      </c>
      <c r="AT3003" s="5" t="s">
        <v>246</v>
      </c>
      <c r="AU3003" s="5" t="s">
        <v>238</v>
      </c>
      <c r="AV3003" s="5" t="s">
        <v>247</v>
      </c>
      <c r="AW3003" s="5" t="s">
        <v>238</v>
      </c>
      <c r="AX3003" s="5" t="s">
        <v>249</v>
      </c>
      <c r="AY3003" s="5" t="s">
        <v>238</v>
      </c>
      <c r="BA3003" s="5" t="s">
        <v>238</v>
      </c>
      <c r="BC3003" s="5" t="s">
        <v>250</v>
      </c>
      <c r="BD3003" s="6" t="s">
        <v>243</v>
      </c>
      <c r="BE3003" s="5" t="s">
        <v>251</v>
      </c>
      <c r="BF3003" s="5" t="s">
        <v>252</v>
      </c>
      <c r="BG3003" s="5" t="s">
        <v>238</v>
      </c>
      <c r="BH3003" s="7">
        <f>0</f>
        <v>0</v>
      </c>
      <c r="BI3003" s="8">
        <f>0</f>
        <v>0</v>
      </c>
      <c r="BJ3003" s="5" t="s">
        <v>253</v>
      </c>
      <c r="BK3003" s="5" t="s">
        <v>254</v>
      </c>
      <c r="BY3003" s="5" t="s">
        <v>238</v>
      </c>
      <c r="BZ3003" s="5" t="s">
        <v>238</v>
      </c>
      <c r="CD3003" s="5" t="s">
        <v>273</v>
      </c>
      <c r="CE3003" s="5" t="s">
        <v>256</v>
      </c>
      <c r="CF3003" s="5" t="s">
        <v>238</v>
      </c>
      <c r="CI3003" s="6" t="s">
        <v>257</v>
      </c>
      <c r="CJ3003" s="5" t="s">
        <v>238</v>
      </c>
      <c r="CK3003" s="5" t="s">
        <v>258</v>
      </c>
      <c r="CL3003" s="5" t="s">
        <v>238</v>
      </c>
      <c r="CM3003" s="5" t="s">
        <v>238</v>
      </c>
      <c r="CN3003" s="5">
        <v>0</v>
      </c>
      <c r="CO3003" s="5" t="s">
        <v>259</v>
      </c>
      <c r="CP3003" s="5" t="s">
        <v>260</v>
      </c>
      <c r="CQ3003" s="5" t="s">
        <v>260</v>
      </c>
      <c r="CR3003" s="5" t="s">
        <v>261</v>
      </c>
      <c r="CU3003" s="8">
        <f>1</f>
        <v>1</v>
      </c>
      <c r="CV3003" s="8">
        <f>0</f>
        <v>0</v>
      </c>
      <c r="CX3003" s="8">
        <f>0</f>
        <v>0</v>
      </c>
      <c r="CY3003" s="8">
        <f>1</f>
        <v>1</v>
      </c>
      <c r="DA3003" s="5" t="s">
        <v>274</v>
      </c>
      <c r="DB3003" s="5" t="s">
        <v>238</v>
      </c>
      <c r="DD3003" s="5" t="s">
        <v>274</v>
      </c>
      <c r="DE3003" s="8">
        <f>936</f>
        <v>936</v>
      </c>
      <c r="DG3003" s="5" t="s">
        <v>238</v>
      </c>
      <c r="DH3003" s="5" t="s">
        <v>238</v>
      </c>
      <c r="DI3003" s="5" t="s">
        <v>238</v>
      </c>
      <c r="DJ3003" s="5" t="s">
        <v>238</v>
      </c>
      <c r="DN3003" s="5" t="s">
        <v>238</v>
      </c>
      <c r="DO3003" s="5" t="s">
        <v>238</v>
      </c>
      <c r="DP3003" s="5" t="s">
        <v>238</v>
      </c>
      <c r="DQ3003" s="5" t="s">
        <v>238</v>
      </c>
      <c r="DT3003" s="5" t="s">
        <v>275</v>
      </c>
      <c r="DU3003" s="5" t="s">
        <v>3465</v>
      </c>
      <c r="HM3003" s="5" t="s">
        <v>264</v>
      </c>
    </row>
    <row r="3004" spans="1:221" x14ac:dyDescent="0.4">
      <c r="A3004" s="5">
        <v>4708</v>
      </c>
      <c r="B3004" s="5">
        <v>1</v>
      </c>
      <c r="C3004" s="5">
        <v>1</v>
      </c>
      <c r="D3004" s="5" t="s">
        <v>269</v>
      </c>
      <c r="E3004" s="5" t="s">
        <v>271</v>
      </c>
      <c r="F3004" s="5" t="s">
        <v>248</v>
      </c>
      <c r="G3004" s="5" t="s">
        <v>266</v>
      </c>
      <c r="H3004" s="6" t="s">
        <v>5720</v>
      </c>
      <c r="I3004" s="7">
        <f>502</f>
        <v>502</v>
      </c>
      <c r="J3004" s="5" t="s">
        <v>262</v>
      </c>
      <c r="K3004" s="8">
        <f>1</f>
        <v>1</v>
      </c>
      <c r="L3004" s="6" t="s">
        <v>242</v>
      </c>
      <c r="M3004" s="5" t="s">
        <v>267</v>
      </c>
      <c r="N3004" s="5" t="s">
        <v>265</v>
      </c>
      <c r="O3004" s="5" t="s">
        <v>238</v>
      </c>
      <c r="P3004" s="5" t="s">
        <v>238</v>
      </c>
      <c r="Q3004" s="5" t="s">
        <v>268</v>
      </c>
      <c r="R3004" s="5" t="s">
        <v>270</v>
      </c>
      <c r="S3004" s="5" t="s">
        <v>238</v>
      </c>
      <c r="V3004" s="5" t="s">
        <v>238</v>
      </c>
      <c r="X3004" s="6" t="s">
        <v>238</v>
      </c>
      <c r="AA3004" s="6" t="s">
        <v>243</v>
      </c>
      <c r="AB3004" s="5" t="s">
        <v>238</v>
      </c>
      <c r="AC3004" s="5" t="s">
        <v>244</v>
      </c>
      <c r="AD3004" s="5" t="s">
        <v>245</v>
      </c>
      <c r="AT3004" s="5" t="s">
        <v>246</v>
      </c>
      <c r="AU3004" s="5" t="s">
        <v>238</v>
      </c>
      <c r="AV3004" s="5" t="s">
        <v>247</v>
      </c>
      <c r="AW3004" s="5" t="s">
        <v>238</v>
      </c>
      <c r="AX3004" s="5" t="s">
        <v>249</v>
      </c>
      <c r="AY3004" s="5" t="s">
        <v>238</v>
      </c>
      <c r="BA3004" s="5" t="s">
        <v>238</v>
      </c>
      <c r="BC3004" s="5" t="s">
        <v>250</v>
      </c>
      <c r="BD3004" s="6" t="s">
        <v>243</v>
      </c>
      <c r="BE3004" s="5" t="s">
        <v>251</v>
      </c>
      <c r="BF3004" s="5" t="s">
        <v>252</v>
      </c>
      <c r="BG3004" s="5" t="s">
        <v>238</v>
      </c>
      <c r="BH3004" s="7">
        <f>0</f>
        <v>0</v>
      </c>
      <c r="BI3004" s="8">
        <f>0</f>
        <v>0</v>
      </c>
      <c r="BJ3004" s="5" t="s">
        <v>253</v>
      </c>
      <c r="BK3004" s="5" t="s">
        <v>254</v>
      </c>
      <c r="BY3004" s="5" t="s">
        <v>238</v>
      </c>
      <c r="BZ3004" s="5" t="s">
        <v>238</v>
      </c>
      <c r="CD3004" s="5" t="s">
        <v>273</v>
      </c>
      <c r="CE3004" s="5" t="s">
        <v>256</v>
      </c>
      <c r="CF3004" s="5" t="s">
        <v>238</v>
      </c>
      <c r="CI3004" s="6" t="s">
        <v>257</v>
      </c>
      <c r="CJ3004" s="5" t="s">
        <v>238</v>
      </c>
      <c r="CK3004" s="5" t="s">
        <v>258</v>
      </c>
      <c r="CL3004" s="5" t="s">
        <v>238</v>
      </c>
      <c r="CM3004" s="5" t="s">
        <v>238</v>
      </c>
      <c r="CN3004" s="5">
        <v>0</v>
      </c>
      <c r="CO3004" s="5" t="s">
        <v>259</v>
      </c>
      <c r="CP3004" s="5" t="s">
        <v>260</v>
      </c>
      <c r="CQ3004" s="5" t="s">
        <v>260</v>
      </c>
      <c r="CR3004" s="5" t="s">
        <v>261</v>
      </c>
      <c r="CU3004" s="8">
        <f>1</f>
        <v>1</v>
      </c>
      <c r="CV3004" s="8">
        <f>0</f>
        <v>0</v>
      </c>
      <c r="CX3004" s="8">
        <f>0</f>
        <v>0</v>
      </c>
      <c r="CY3004" s="8">
        <f>1</f>
        <v>1</v>
      </c>
      <c r="DA3004" s="5" t="s">
        <v>274</v>
      </c>
      <c r="DB3004" s="5" t="s">
        <v>238</v>
      </c>
      <c r="DD3004" s="5" t="s">
        <v>274</v>
      </c>
      <c r="DE3004" s="8">
        <f>502</f>
        <v>502</v>
      </c>
      <c r="DG3004" s="5" t="s">
        <v>238</v>
      </c>
      <c r="DH3004" s="5" t="s">
        <v>238</v>
      </c>
      <c r="DI3004" s="5" t="s">
        <v>238</v>
      </c>
      <c r="DJ3004" s="5" t="s">
        <v>238</v>
      </c>
      <c r="DN3004" s="5" t="s">
        <v>238</v>
      </c>
      <c r="DO3004" s="5" t="s">
        <v>238</v>
      </c>
      <c r="DP3004" s="5" t="s">
        <v>238</v>
      </c>
      <c r="DQ3004" s="5" t="s">
        <v>238</v>
      </c>
      <c r="DT3004" s="5" t="s">
        <v>275</v>
      </c>
      <c r="DU3004" s="5" t="s">
        <v>3517</v>
      </c>
      <c r="HM3004" s="5" t="s">
        <v>264</v>
      </c>
    </row>
    <row r="3005" spans="1:221" x14ac:dyDescent="0.4">
      <c r="A3005" s="5">
        <v>4709</v>
      </c>
      <c r="B3005" s="5">
        <v>1</v>
      </c>
      <c r="C3005" s="5">
        <v>1</v>
      </c>
      <c r="D3005" s="5" t="s">
        <v>269</v>
      </c>
      <c r="E3005" s="5" t="s">
        <v>271</v>
      </c>
      <c r="F3005" s="5" t="s">
        <v>248</v>
      </c>
      <c r="G3005" s="5" t="s">
        <v>266</v>
      </c>
      <c r="H3005" s="6" t="s">
        <v>4037</v>
      </c>
      <c r="I3005" s="7">
        <f>154</f>
        <v>154</v>
      </c>
      <c r="J3005" s="5" t="s">
        <v>262</v>
      </c>
      <c r="K3005" s="8">
        <f>1</f>
        <v>1</v>
      </c>
      <c r="L3005" s="6" t="s">
        <v>242</v>
      </c>
      <c r="M3005" s="5" t="s">
        <v>267</v>
      </c>
      <c r="N3005" s="5" t="s">
        <v>265</v>
      </c>
      <c r="O3005" s="5" t="s">
        <v>238</v>
      </c>
      <c r="P3005" s="5" t="s">
        <v>238</v>
      </c>
      <c r="Q3005" s="5" t="s">
        <v>268</v>
      </c>
      <c r="R3005" s="5" t="s">
        <v>270</v>
      </c>
      <c r="S3005" s="5" t="s">
        <v>238</v>
      </c>
      <c r="V3005" s="5" t="s">
        <v>238</v>
      </c>
      <c r="X3005" s="6" t="s">
        <v>238</v>
      </c>
      <c r="AA3005" s="6" t="s">
        <v>243</v>
      </c>
      <c r="AB3005" s="5" t="s">
        <v>238</v>
      </c>
      <c r="AC3005" s="5" t="s">
        <v>244</v>
      </c>
      <c r="AD3005" s="5" t="s">
        <v>245</v>
      </c>
      <c r="AT3005" s="5" t="s">
        <v>246</v>
      </c>
      <c r="AU3005" s="5" t="s">
        <v>238</v>
      </c>
      <c r="AV3005" s="5" t="s">
        <v>247</v>
      </c>
      <c r="AW3005" s="5" t="s">
        <v>238</v>
      </c>
      <c r="AX3005" s="5" t="s">
        <v>249</v>
      </c>
      <c r="AY3005" s="5" t="s">
        <v>238</v>
      </c>
      <c r="BA3005" s="5" t="s">
        <v>238</v>
      </c>
      <c r="BC3005" s="5" t="s">
        <v>250</v>
      </c>
      <c r="BD3005" s="6" t="s">
        <v>243</v>
      </c>
      <c r="BE3005" s="5" t="s">
        <v>251</v>
      </c>
      <c r="BF3005" s="5" t="s">
        <v>252</v>
      </c>
      <c r="BG3005" s="5" t="s">
        <v>238</v>
      </c>
      <c r="BH3005" s="7">
        <f>0</f>
        <v>0</v>
      </c>
      <c r="BI3005" s="8">
        <f>0</f>
        <v>0</v>
      </c>
      <c r="BJ3005" s="5" t="s">
        <v>253</v>
      </c>
      <c r="BK3005" s="5" t="s">
        <v>254</v>
      </c>
      <c r="BY3005" s="5" t="s">
        <v>238</v>
      </c>
      <c r="BZ3005" s="5" t="s">
        <v>238</v>
      </c>
      <c r="CD3005" s="5" t="s">
        <v>273</v>
      </c>
      <c r="CE3005" s="5" t="s">
        <v>256</v>
      </c>
      <c r="CF3005" s="5" t="s">
        <v>238</v>
      </c>
      <c r="CI3005" s="6" t="s">
        <v>257</v>
      </c>
      <c r="CJ3005" s="5" t="s">
        <v>238</v>
      </c>
      <c r="CK3005" s="5" t="s">
        <v>258</v>
      </c>
      <c r="CL3005" s="5" t="s">
        <v>238</v>
      </c>
      <c r="CM3005" s="5" t="s">
        <v>238</v>
      </c>
      <c r="CN3005" s="5">
        <v>0</v>
      </c>
      <c r="CO3005" s="5" t="s">
        <v>259</v>
      </c>
      <c r="CP3005" s="5" t="s">
        <v>260</v>
      </c>
      <c r="CQ3005" s="5" t="s">
        <v>260</v>
      </c>
      <c r="CR3005" s="5" t="s">
        <v>261</v>
      </c>
      <c r="CU3005" s="8">
        <f>1</f>
        <v>1</v>
      </c>
      <c r="CV3005" s="8">
        <f>0</f>
        <v>0</v>
      </c>
      <c r="CX3005" s="8">
        <f>0</f>
        <v>0</v>
      </c>
      <c r="CY3005" s="8">
        <f>1</f>
        <v>1</v>
      </c>
      <c r="DA3005" s="5" t="s">
        <v>274</v>
      </c>
      <c r="DB3005" s="5" t="s">
        <v>238</v>
      </c>
      <c r="DD3005" s="5" t="s">
        <v>274</v>
      </c>
      <c r="DE3005" s="8">
        <f>154</f>
        <v>154</v>
      </c>
      <c r="DG3005" s="5" t="s">
        <v>238</v>
      </c>
      <c r="DH3005" s="5" t="s">
        <v>238</v>
      </c>
      <c r="DI3005" s="5" t="s">
        <v>238</v>
      </c>
      <c r="DJ3005" s="5" t="s">
        <v>238</v>
      </c>
      <c r="DN3005" s="5" t="s">
        <v>238</v>
      </c>
      <c r="DO3005" s="5" t="s">
        <v>238</v>
      </c>
      <c r="DP3005" s="5" t="s">
        <v>238</v>
      </c>
      <c r="DQ3005" s="5" t="s">
        <v>238</v>
      </c>
      <c r="DT3005" s="5" t="s">
        <v>275</v>
      </c>
      <c r="DU3005" s="5" t="s">
        <v>3473</v>
      </c>
      <c r="HM3005" s="5" t="s">
        <v>264</v>
      </c>
    </row>
    <row r="3006" spans="1:221" x14ac:dyDescent="0.4">
      <c r="A3006" s="5">
        <v>4710</v>
      </c>
      <c r="B3006" s="5">
        <v>1</v>
      </c>
      <c r="C3006" s="5">
        <v>1</v>
      </c>
      <c r="D3006" s="5" t="s">
        <v>269</v>
      </c>
      <c r="E3006" s="5" t="s">
        <v>271</v>
      </c>
      <c r="F3006" s="5" t="s">
        <v>248</v>
      </c>
      <c r="G3006" s="5" t="s">
        <v>266</v>
      </c>
      <c r="H3006" s="6" t="s">
        <v>4041</v>
      </c>
      <c r="I3006" s="7">
        <f>80</f>
        <v>80</v>
      </c>
      <c r="J3006" s="5" t="s">
        <v>262</v>
      </c>
      <c r="K3006" s="8">
        <f>1</f>
        <v>1</v>
      </c>
      <c r="L3006" s="6" t="s">
        <v>242</v>
      </c>
      <c r="M3006" s="5" t="s">
        <v>267</v>
      </c>
      <c r="N3006" s="5" t="s">
        <v>265</v>
      </c>
      <c r="O3006" s="5" t="s">
        <v>238</v>
      </c>
      <c r="P3006" s="5" t="s">
        <v>238</v>
      </c>
      <c r="Q3006" s="5" t="s">
        <v>268</v>
      </c>
      <c r="R3006" s="5" t="s">
        <v>270</v>
      </c>
      <c r="S3006" s="5" t="s">
        <v>238</v>
      </c>
      <c r="V3006" s="5" t="s">
        <v>238</v>
      </c>
      <c r="X3006" s="6" t="s">
        <v>238</v>
      </c>
      <c r="AA3006" s="6" t="s">
        <v>243</v>
      </c>
      <c r="AB3006" s="5" t="s">
        <v>238</v>
      </c>
      <c r="AC3006" s="5" t="s">
        <v>244</v>
      </c>
      <c r="AD3006" s="5" t="s">
        <v>245</v>
      </c>
      <c r="AT3006" s="5" t="s">
        <v>246</v>
      </c>
      <c r="AU3006" s="5" t="s">
        <v>238</v>
      </c>
      <c r="AV3006" s="5" t="s">
        <v>247</v>
      </c>
      <c r="AW3006" s="5" t="s">
        <v>238</v>
      </c>
      <c r="AX3006" s="5" t="s">
        <v>249</v>
      </c>
      <c r="AY3006" s="5" t="s">
        <v>238</v>
      </c>
      <c r="BA3006" s="5" t="s">
        <v>238</v>
      </c>
      <c r="BC3006" s="5" t="s">
        <v>250</v>
      </c>
      <c r="BD3006" s="6" t="s">
        <v>243</v>
      </c>
      <c r="BE3006" s="5" t="s">
        <v>251</v>
      </c>
      <c r="BF3006" s="5" t="s">
        <v>252</v>
      </c>
      <c r="BG3006" s="5" t="s">
        <v>238</v>
      </c>
      <c r="BH3006" s="7">
        <f>0</f>
        <v>0</v>
      </c>
      <c r="BI3006" s="8">
        <f>0</f>
        <v>0</v>
      </c>
      <c r="BJ3006" s="5" t="s">
        <v>253</v>
      </c>
      <c r="BK3006" s="5" t="s">
        <v>254</v>
      </c>
      <c r="BY3006" s="5" t="s">
        <v>238</v>
      </c>
      <c r="BZ3006" s="5" t="s">
        <v>238</v>
      </c>
      <c r="CD3006" s="5" t="s">
        <v>273</v>
      </c>
      <c r="CE3006" s="5" t="s">
        <v>256</v>
      </c>
      <c r="CF3006" s="5" t="s">
        <v>238</v>
      </c>
      <c r="CI3006" s="6" t="s">
        <v>257</v>
      </c>
      <c r="CJ3006" s="5" t="s">
        <v>238</v>
      </c>
      <c r="CK3006" s="5" t="s">
        <v>258</v>
      </c>
      <c r="CL3006" s="5" t="s">
        <v>238</v>
      </c>
      <c r="CM3006" s="5" t="s">
        <v>238</v>
      </c>
      <c r="CN3006" s="5">
        <v>0</v>
      </c>
      <c r="CO3006" s="5" t="s">
        <v>259</v>
      </c>
      <c r="CP3006" s="5" t="s">
        <v>260</v>
      </c>
      <c r="CQ3006" s="5" t="s">
        <v>260</v>
      </c>
      <c r="CR3006" s="5" t="s">
        <v>261</v>
      </c>
      <c r="CU3006" s="8">
        <f>1</f>
        <v>1</v>
      </c>
      <c r="CV3006" s="8">
        <f>0</f>
        <v>0</v>
      </c>
      <c r="CX3006" s="8">
        <f>0</f>
        <v>0</v>
      </c>
      <c r="CY3006" s="8">
        <f>1</f>
        <v>1</v>
      </c>
      <c r="DA3006" s="5" t="s">
        <v>274</v>
      </c>
      <c r="DB3006" s="5" t="s">
        <v>238</v>
      </c>
      <c r="DD3006" s="5" t="s">
        <v>274</v>
      </c>
      <c r="DE3006" s="8">
        <f>80</f>
        <v>80</v>
      </c>
      <c r="DG3006" s="5" t="s">
        <v>238</v>
      </c>
      <c r="DH3006" s="5" t="s">
        <v>238</v>
      </c>
      <c r="DI3006" s="5" t="s">
        <v>238</v>
      </c>
      <c r="DJ3006" s="5" t="s">
        <v>238</v>
      </c>
      <c r="DN3006" s="5" t="s">
        <v>238</v>
      </c>
      <c r="DO3006" s="5" t="s">
        <v>238</v>
      </c>
      <c r="DP3006" s="5" t="s">
        <v>238</v>
      </c>
      <c r="DQ3006" s="5" t="s">
        <v>238</v>
      </c>
      <c r="DT3006" s="5" t="s">
        <v>275</v>
      </c>
      <c r="DU3006" s="5" t="s">
        <v>2262</v>
      </c>
      <c r="HM3006" s="5" t="s">
        <v>264</v>
      </c>
    </row>
    <row r="3007" spans="1:221" x14ac:dyDescent="0.4">
      <c r="A3007" s="5">
        <v>4711</v>
      </c>
      <c r="B3007" s="5">
        <v>1</v>
      </c>
      <c r="C3007" s="5">
        <v>1</v>
      </c>
      <c r="D3007" s="5" t="s">
        <v>269</v>
      </c>
      <c r="E3007" s="5" t="s">
        <v>271</v>
      </c>
      <c r="F3007" s="5" t="s">
        <v>248</v>
      </c>
      <c r="G3007" s="5" t="s">
        <v>266</v>
      </c>
      <c r="H3007" s="6" t="s">
        <v>4042</v>
      </c>
      <c r="I3007" s="7">
        <f>3161</f>
        <v>3161</v>
      </c>
      <c r="J3007" s="5" t="s">
        <v>262</v>
      </c>
      <c r="K3007" s="8">
        <f>1</f>
        <v>1</v>
      </c>
      <c r="L3007" s="6" t="s">
        <v>242</v>
      </c>
      <c r="M3007" s="5" t="s">
        <v>267</v>
      </c>
      <c r="N3007" s="5" t="s">
        <v>265</v>
      </c>
      <c r="O3007" s="5" t="s">
        <v>238</v>
      </c>
      <c r="P3007" s="5" t="s">
        <v>238</v>
      </c>
      <c r="Q3007" s="5" t="s">
        <v>268</v>
      </c>
      <c r="R3007" s="5" t="s">
        <v>270</v>
      </c>
      <c r="S3007" s="5" t="s">
        <v>238</v>
      </c>
      <c r="V3007" s="5" t="s">
        <v>238</v>
      </c>
      <c r="X3007" s="6" t="s">
        <v>238</v>
      </c>
      <c r="AA3007" s="6" t="s">
        <v>243</v>
      </c>
      <c r="AB3007" s="5" t="s">
        <v>238</v>
      </c>
      <c r="AC3007" s="5" t="s">
        <v>244</v>
      </c>
      <c r="AD3007" s="5" t="s">
        <v>245</v>
      </c>
      <c r="AT3007" s="5" t="s">
        <v>246</v>
      </c>
      <c r="AU3007" s="5" t="s">
        <v>238</v>
      </c>
      <c r="AV3007" s="5" t="s">
        <v>247</v>
      </c>
      <c r="AW3007" s="5" t="s">
        <v>238</v>
      </c>
      <c r="AX3007" s="5" t="s">
        <v>249</v>
      </c>
      <c r="AY3007" s="5" t="s">
        <v>238</v>
      </c>
      <c r="BA3007" s="5" t="s">
        <v>238</v>
      </c>
      <c r="BC3007" s="5" t="s">
        <v>250</v>
      </c>
      <c r="BD3007" s="6" t="s">
        <v>243</v>
      </c>
      <c r="BE3007" s="5" t="s">
        <v>251</v>
      </c>
      <c r="BF3007" s="5" t="s">
        <v>252</v>
      </c>
      <c r="BG3007" s="5" t="s">
        <v>238</v>
      </c>
      <c r="BH3007" s="7">
        <f>0</f>
        <v>0</v>
      </c>
      <c r="BI3007" s="8">
        <f>0</f>
        <v>0</v>
      </c>
      <c r="BJ3007" s="5" t="s">
        <v>253</v>
      </c>
      <c r="BK3007" s="5" t="s">
        <v>254</v>
      </c>
      <c r="BY3007" s="5" t="s">
        <v>238</v>
      </c>
      <c r="BZ3007" s="5" t="s">
        <v>238</v>
      </c>
      <c r="CD3007" s="5" t="s">
        <v>273</v>
      </c>
      <c r="CE3007" s="5" t="s">
        <v>256</v>
      </c>
      <c r="CF3007" s="5" t="s">
        <v>238</v>
      </c>
      <c r="CI3007" s="6" t="s">
        <v>257</v>
      </c>
      <c r="CJ3007" s="5" t="s">
        <v>238</v>
      </c>
      <c r="CK3007" s="5" t="s">
        <v>258</v>
      </c>
      <c r="CL3007" s="5" t="s">
        <v>238</v>
      </c>
      <c r="CM3007" s="5" t="s">
        <v>238</v>
      </c>
      <c r="CN3007" s="5">
        <v>0</v>
      </c>
      <c r="CO3007" s="5" t="s">
        <v>259</v>
      </c>
      <c r="CP3007" s="5" t="s">
        <v>260</v>
      </c>
      <c r="CQ3007" s="5" t="s">
        <v>260</v>
      </c>
      <c r="CR3007" s="5" t="s">
        <v>261</v>
      </c>
      <c r="CU3007" s="8">
        <f>1</f>
        <v>1</v>
      </c>
      <c r="CV3007" s="8">
        <f>0</f>
        <v>0</v>
      </c>
      <c r="CX3007" s="8">
        <f>0</f>
        <v>0</v>
      </c>
      <c r="CY3007" s="8">
        <f>1</f>
        <v>1</v>
      </c>
      <c r="DA3007" s="5" t="s">
        <v>274</v>
      </c>
      <c r="DB3007" s="5" t="s">
        <v>238</v>
      </c>
      <c r="DD3007" s="5" t="s">
        <v>274</v>
      </c>
      <c r="DE3007" s="8">
        <f>3161</f>
        <v>3161</v>
      </c>
      <c r="DG3007" s="5" t="s">
        <v>238</v>
      </c>
      <c r="DH3007" s="5" t="s">
        <v>238</v>
      </c>
      <c r="DI3007" s="5" t="s">
        <v>238</v>
      </c>
      <c r="DJ3007" s="5" t="s">
        <v>238</v>
      </c>
      <c r="DN3007" s="5" t="s">
        <v>238</v>
      </c>
      <c r="DO3007" s="5" t="s">
        <v>238</v>
      </c>
      <c r="DP3007" s="5" t="s">
        <v>238</v>
      </c>
      <c r="DQ3007" s="5" t="s">
        <v>238</v>
      </c>
      <c r="DT3007" s="5" t="s">
        <v>275</v>
      </c>
      <c r="DU3007" s="5" t="s">
        <v>2487</v>
      </c>
      <c r="HM3007" s="5" t="s">
        <v>264</v>
      </c>
    </row>
    <row r="3008" spans="1:221" x14ac:dyDescent="0.4">
      <c r="A3008" s="5">
        <v>4712</v>
      </c>
      <c r="B3008" s="5">
        <v>1</v>
      </c>
      <c r="C3008" s="5">
        <v>1</v>
      </c>
      <c r="D3008" s="5" t="s">
        <v>269</v>
      </c>
      <c r="E3008" s="5" t="s">
        <v>271</v>
      </c>
      <c r="F3008" s="5" t="s">
        <v>248</v>
      </c>
      <c r="G3008" s="5" t="s">
        <v>266</v>
      </c>
      <c r="H3008" s="6" t="s">
        <v>4044</v>
      </c>
      <c r="I3008" s="7">
        <f>1173</f>
        <v>1173</v>
      </c>
      <c r="J3008" s="5" t="s">
        <v>262</v>
      </c>
      <c r="K3008" s="8">
        <f>1</f>
        <v>1</v>
      </c>
      <c r="L3008" s="6" t="s">
        <v>242</v>
      </c>
      <c r="M3008" s="5" t="s">
        <v>267</v>
      </c>
      <c r="N3008" s="5" t="s">
        <v>265</v>
      </c>
      <c r="O3008" s="5" t="s">
        <v>238</v>
      </c>
      <c r="P3008" s="5" t="s">
        <v>238</v>
      </c>
      <c r="Q3008" s="5" t="s">
        <v>268</v>
      </c>
      <c r="R3008" s="5" t="s">
        <v>270</v>
      </c>
      <c r="S3008" s="5" t="s">
        <v>238</v>
      </c>
      <c r="V3008" s="5" t="s">
        <v>238</v>
      </c>
      <c r="X3008" s="6" t="s">
        <v>238</v>
      </c>
      <c r="AA3008" s="6" t="s">
        <v>243</v>
      </c>
      <c r="AB3008" s="5" t="s">
        <v>238</v>
      </c>
      <c r="AC3008" s="5" t="s">
        <v>244</v>
      </c>
      <c r="AD3008" s="5" t="s">
        <v>245</v>
      </c>
      <c r="AT3008" s="5" t="s">
        <v>246</v>
      </c>
      <c r="AU3008" s="5" t="s">
        <v>238</v>
      </c>
      <c r="AV3008" s="5" t="s">
        <v>247</v>
      </c>
      <c r="AW3008" s="5" t="s">
        <v>238</v>
      </c>
      <c r="AX3008" s="5" t="s">
        <v>249</v>
      </c>
      <c r="AY3008" s="5" t="s">
        <v>238</v>
      </c>
      <c r="BA3008" s="5" t="s">
        <v>238</v>
      </c>
      <c r="BC3008" s="5" t="s">
        <v>250</v>
      </c>
      <c r="BD3008" s="6" t="s">
        <v>243</v>
      </c>
      <c r="BE3008" s="5" t="s">
        <v>251</v>
      </c>
      <c r="BF3008" s="5" t="s">
        <v>252</v>
      </c>
      <c r="BG3008" s="5" t="s">
        <v>238</v>
      </c>
      <c r="BH3008" s="7">
        <f>0</f>
        <v>0</v>
      </c>
      <c r="BI3008" s="8">
        <f>0</f>
        <v>0</v>
      </c>
      <c r="BJ3008" s="5" t="s">
        <v>253</v>
      </c>
      <c r="BK3008" s="5" t="s">
        <v>254</v>
      </c>
      <c r="BY3008" s="5" t="s">
        <v>238</v>
      </c>
      <c r="BZ3008" s="5" t="s">
        <v>238</v>
      </c>
      <c r="CD3008" s="5" t="s">
        <v>273</v>
      </c>
      <c r="CE3008" s="5" t="s">
        <v>256</v>
      </c>
      <c r="CF3008" s="5" t="s">
        <v>238</v>
      </c>
      <c r="CI3008" s="6" t="s">
        <v>257</v>
      </c>
      <c r="CJ3008" s="5" t="s">
        <v>238</v>
      </c>
      <c r="CK3008" s="5" t="s">
        <v>258</v>
      </c>
      <c r="CL3008" s="5" t="s">
        <v>238</v>
      </c>
      <c r="CM3008" s="5" t="s">
        <v>238</v>
      </c>
      <c r="CN3008" s="5">
        <v>0</v>
      </c>
      <c r="CO3008" s="5" t="s">
        <v>259</v>
      </c>
      <c r="CP3008" s="5" t="s">
        <v>260</v>
      </c>
      <c r="CQ3008" s="5" t="s">
        <v>260</v>
      </c>
      <c r="CR3008" s="5" t="s">
        <v>261</v>
      </c>
      <c r="CU3008" s="8">
        <f>1</f>
        <v>1</v>
      </c>
      <c r="CV3008" s="8">
        <f>0</f>
        <v>0</v>
      </c>
      <c r="CX3008" s="8">
        <f>0</f>
        <v>0</v>
      </c>
      <c r="CY3008" s="8">
        <f>1</f>
        <v>1</v>
      </c>
      <c r="DA3008" s="5" t="s">
        <v>274</v>
      </c>
      <c r="DB3008" s="5" t="s">
        <v>238</v>
      </c>
      <c r="DD3008" s="5" t="s">
        <v>274</v>
      </c>
      <c r="DE3008" s="8">
        <f>1173</f>
        <v>1173</v>
      </c>
      <c r="DG3008" s="5" t="s">
        <v>238</v>
      </c>
      <c r="DH3008" s="5" t="s">
        <v>238</v>
      </c>
      <c r="DI3008" s="5" t="s">
        <v>238</v>
      </c>
      <c r="DJ3008" s="5" t="s">
        <v>238</v>
      </c>
      <c r="DN3008" s="5" t="s">
        <v>238</v>
      </c>
      <c r="DO3008" s="5" t="s">
        <v>238</v>
      </c>
      <c r="DP3008" s="5" t="s">
        <v>238</v>
      </c>
      <c r="DQ3008" s="5" t="s">
        <v>238</v>
      </c>
      <c r="DT3008" s="5" t="s">
        <v>275</v>
      </c>
      <c r="DU3008" s="5" t="s">
        <v>2853</v>
      </c>
      <c r="HM3008" s="5" t="s">
        <v>264</v>
      </c>
    </row>
    <row r="3009" spans="1:221" x14ac:dyDescent="0.4">
      <c r="A3009" s="5">
        <v>4713</v>
      </c>
      <c r="B3009" s="5">
        <v>1</v>
      </c>
      <c r="C3009" s="5">
        <v>1</v>
      </c>
      <c r="D3009" s="5" t="s">
        <v>269</v>
      </c>
      <c r="E3009" s="5" t="s">
        <v>271</v>
      </c>
      <c r="F3009" s="5" t="s">
        <v>248</v>
      </c>
      <c r="G3009" s="5" t="s">
        <v>266</v>
      </c>
      <c r="H3009" s="6" t="s">
        <v>4045</v>
      </c>
      <c r="I3009" s="7">
        <f>18</f>
        <v>18</v>
      </c>
      <c r="J3009" s="5" t="s">
        <v>262</v>
      </c>
      <c r="K3009" s="8">
        <f>1</f>
        <v>1</v>
      </c>
      <c r="L3009" s="6" t="s">
        <v>242</v>
      </c>
      <c r="M3009" s="5" t="s">
        <v>267</v>
      </c>
      <c r="N3009" s="5" t="s">
        <v>265</v>
      </c>
      <c r="O3009" s="5" t="s">
        <v>238</v>
      </c>
      <c r="P3009" s="5" t="s">
        <v>238</v>
      </c>
      <c r="Q3009" s="5" t="s">
        <v>268</v>
      </c>
      <c r="R3009" s="5" t="s">
        <v>270</v>
      </c>
      <c r="S3009" s="5" t="s">
        <v>238</v>
      </c>
      <c r="V3009" s="5" t="s">
        <v>238</v>
      </c>
      <c r="X3009" s="6" t="s">
        <v>238</v>
      </c>
      <c r="AA3009" s="6" t="s">
        <v>243</v>
      </c>
      <c r="AB3009" s="5" t="s">
        <v>238</v>
      </c>
      <c r="AC3009" s="5" t="s">
        <v>244</v>
      </c>
      <c r="AD3009" s="5" t="s">
        <v>245</v>
      </c>
      <c r="AT3009" s="5" t="s">
        <v>246</v>
      </c>
      <c r="AU3009" s="5" t="s">
        <v>238</v>
      </c>
      <c r="AV3009" s="5" t="s">
        <v>247</v>
      </c>
      <c r="AW3009" s="5" t="s">
        <v>238</v>
      </c>
      <c r="AX3009" s="5" t="s">
        <v>249</v>
      </c>
      <c r="AY3009" s="5" t="s">
        <v>238</v>
      </c>
      <c r="BA3009" s="5" t="s">
        <v>238</v>
      </c>
      <c r="BC3009" s="5" t="s">
        <v>250</v>
      </c>
      <c r="BD3009" s="6" t="s">
        <v>243</v>
      </c>
      <c r="BE3009" s="5" t="s">
        <v>251</v>
      </c>
      <c r="BF3009" s="5" t="s">
        <v>252</v>
      </c>
      <c r="BG3009" s="5" t="s">
        <v>238</v>
      </c>
      <c r="BH3009" s="7">
        <f>0</f>
        <v>0</v>
      </c>
      <c r="BI3009" s="8">
        <f>0</f>
        <v>0</v>
      </c>
      <c r="BJ3009" s="5" t="s">
        <v>253</v>
      </c>
      <c r="BK3009" s="5" t="s">
        <v>254</v>
      </c>
      <c r="BY3009" s="5" t="s">
        <v>238</v>
      </c>
      <c r="BZ3009" s="5" t="s">
        <v>238</v>
      </c>
      <c r="CD3009" s="5" t="s">
        <v>273</v>
      </c>
      <c r="CE3009" s="5" t="s">
        <v>256</v>
      </c>
      <c r="CF3009" s="5" t="s">
        <v>238</v>
      </c>
      <c r="CI3009" s="6" t="s">
        <v>257</v>
      </c>
      <c r="CJ3009" s="5" t="s">
        <v>238</v>
      </c>
      <c r="CK3009" s="5" t="s">
        <v>258</v>
      </c>
      <c r="CL3009" s="5" t="s">
        <v>238</v>
      </c>
      <c r="CM3009" s="5" t="s">
        <v>238</v>
      </c>
      <c r="CN3009" s="5">
        <v>0</v>
      </c>
      <c r="CO3009" s="5" t="s">
        <v>259</v>
      </c>
      <c r="CP3009" s="5" t="s">
        <v>260</v>
      </c>
      <c r="CQ3009" s="5" t="s">
        <v>260</v>
      </c>
      <c r="CR3009" s="5" t="s">
        <v>261</v>
      </c>
      <c r="CU3009" s="8">
        <f>1</f>
        <v>1</v>
      </c>
      <c r="CV3009" s="8">
        <f>0</f>
        <v>0</v>
      </c>
      <c r="CX3009" s="8">
        <f>0</f>
        <v>0</v>
      </c>
      <c r="CY3009" s="8">
        <f>1</f>
        <v>1</v>
      </c>
      <c r="DA3009" s="5" t="s">
        <v>274</v>
      </c>
      <c r="DB3009" s="5" t="s">
        <v>238</v>
      </c>
      <c r="DD3009" s="5" t="s">
        <v>274</v>
      </c>
      <c r="DE3009" s="8">
        <f>18</f>
        <v>18</v>
      </c>
      <c r="DG3009" s="5" t="s">
        <v>238</v>
      </c>
      <c r="DH3009" s="5" t="s">
        <v>238</v>
      </c>
      <c r="DI3009" s="5" t="s">
        <v>238</v>
      </c>
      <c r="DJ3009" s="5" t="s">
        <v>238</v>
      </c>
      <c r="DN3009" s="5" t="s">
        <v>238</v>
      </c>
      <c r="DO3009" s="5" t="s">
        <v>238</v>
      </c>
      <c r="DP3009" s="5" t="s">
        <v>238</v>
      </c>
      <c r="DQ3009" s="5" t="s">
        <v>238</v>
      </c>
      <c r="DT3009" s="5" t="s">
        <v>275</v>
      </c>
      <c r="DU3009" s="5" t="s">
        <v>3256</v>
      </c>
      <c r="HM3009" s="5" t="s">
        <v>264</v>
      </c>
    </row>
    <row r="3010" spans="1:221" x14ac:dyDescent="0.4">
      <c r="A3010" s="5">
        <v>4714</v>
      </c>
      <c r="B3010" s="5">
        <v>1</v>
      </c>
      <c r="C3010" s="5">
        <v>1</v>
      </c>
      <c r="D3010" s="5" t="s">
        <v>269</v>
      </c>
      <c r="E3010" s="5" t="s">
        <v>271</v>
      </c>
      <c r="F3010" s="5" t="s">
        <v>248</v>
      </c>
      <c r="G3010" s="5" t="s">
        <v>266</v>
      </c>
      <c r="H3010" s="6" t="s">
        <v>4046</v>
      </c>
      <c r="I3010" s="7">
        <f>641</f>
        <v>641</v>
      </c>
      <c r="J3010" s="5" t="s">
        <v>262</v>
      </c>
      <c r="K3010" s="8">
        <f>1</f>
        <v>1</v>
      </c>
      <c r="L3010" s="6" t="s">
        <v>242</v>
      </c>
      <c r="M3010" s="5" t="s">
        <v>267</v>
      </c>
      <c r="N3010" s="5" t="s">
        <v>265</v>
      </c>
      <c r="O3010" s="5" t="s">
        <v>238</v>
      </c>
      <c r="P3010" s="5" t="s">
        <v>238</v>
      </c>
      <c r="Q3010" s="5" t="s">
        <v>268</v>
      </c>
      <c r="R3010" s="5" t="s">
        <v>270</v>
      </c>
      <c r="S3010" s="5" t="s">
        <v>238</v>
      </c>
      <c r="V3010" s="5" t="s">
        <v>238</v>
      </c>
      <c r="X3010" s="6" t="s">
        <v>238</v>
      </c>
      <c r="AA3010" s="6" t="s">
        <v>243</v>
      </c>
      <c r="AB3010" s="5" t="s">
        <v>238</v>
      </c>
      <c r="AC3010" s="5" t="s">
        <v>244</v>
      </c>
      <c r="AD3010" s="5" t="s">
        <v>245</v>
      </c>
      <c r="AT3010" s="5" t="s">
        <v>246</v>
      </c>
      <c r="AU3010" s="5" t="s">
        <v>238</v>
      </c>
      <c r="AV3010" s="5" t="s">
        <v>247</v>
      </c>
      <c r="AW3010" s="5" t="s">
        <v>238</v>
      </c>
      <c r="AX3010" s="5" t="s">
        <v>249</v>
      </c>
      <c r="AY3010" s="5" t="s">
        <v>238</v>
      </c>
      <c r="BA3010" s="5" t="s">
        <v>238</v>
      </c>
      <c r="BC3010" s="5" t="s">
        <v>250</v>
      </c>
      <c r="BD3010" s="6" t="s">
        <v>243</v>
      </c>
      <c r="BE3010" s="5" t="s">
        <v>251</v>
      </c>
      <c r="BF3010" s="5" t="s">
        <v>252</v>
      </c>
      <c r="BG3010" s="5" t="s">
        <v>238</v>
      </c>
      <c r="BH3010" s="7">
        <f>0</f>
        <v>0</v>
      </c>
      <c r="BI3010" s="8">
        <f>0</f>
        <v>0</v>
      </c>
      <c r="BJ3010" s="5" t="s">
        <v>253</v>
      </c>
      <c r="BK3010" s="5" t="s">
        <v>254</v>
      </c>
      <c r="BY3010" s="5" t="s">
        <v>238</v>
      </c>
      <c r="BZ3010" s="5" t="s">
        <v>238</v>
      </c>
      <c r="CD3010" s="5" t="s">
        <v>273</v>
      </c>
      <c r="CE3010" s="5" t="s">
        <v>256</v>
      </c>
      <c r="CF3010" s="5" t="s">
        <v>238</v>
      </c>
      <c r="CI3010" s="6" t="s">
        <v>257</v>
      </c>
      <c r="CJ3010" s="5" t="s">
        <v>238</v>
      </c>
      <c r="CK3010" s="5" t="s">
        <v>258</v>
      </c>
      <c r="CL3010" s="5" t="s">
        <v>238</v>
      </c>
      <c r="CM3010" s="5" t="s">
        <v>238</v>
      </c>
      <c r="CN3010" s="5">
        <v>0</v>
      </c>
      <c r="CO3010" s="5" t="s">
        <v>259</v>
      </c>
      <c r="CP3010" s="5" t="s">
        <v>260</v>
      </c>
      <c r="CQ3010" s="5" t="s">
        <v>260</v>
      </c>
      <c r="CR3010" s="5" t="s">
        <v>261</v>
      </c>
      <c r="CU3010" s="8">
        <f>1</f>
        <v>1</v>
      </c>
      <c r="CV3010" s="8">
        <f>0</f>
        <v>0</v>
      </c>
      <c r="CX3010" s="8">
        <f>0</f>
        <v>0</v>
      </c>
      <c r="CY3010" s="8">
        <f>1</f>
        <v>1</v>
      </c>
      <c r="DA3010" s="5" t="s">
        <v>274</v>
      </c>
      <c r="DB3010" s="5" t="s">
        <v>238</v>
      </c>
      <c r="DD3010" s="5" t="s">
        <v>274</v>
      </c>
      <c r="DE3010" s="8">
        <f>641</f>
        <v>641</v>
      </c>
      <c r="DG3010" s="5" t="s">
        <v>238</v>
      </c>
      <c r="DH3010" s="5" t="s">
        <v>238</v>
      </c>
      <c r="DI3010" s="5" t="s">
        <v>238</v>
      </c>
      <c r="DJ3010" s="5" t="s">
        <v>238</v>
      </c>
      <c r="DN3010" s="5" t="s">
        <v>238</v>
      </c>
      <c r="DO3010" s="5" t="s">
        <v>238</v>
      </c>
      <c r="DP3010" s="5" t="s">
        <v>238</v>
      </c>
      <c r="DQ3010" s="5" t="s">
        <v>238</v>
      </c>
      <c r="DT3010" s="5" t="s">
        <v>275</v>
      </c>
      <c r="DU3010" s="5" t="s">
        <v>3406</v>
      </c>
      <c r="HM3010" s="5" t="s">
        <v>264</v>
      </c>
    </row>
    <row r="3011" spans="1:221" x14ac:dyDescent="0.4">
      <c r="A3011" s="5">
        <v>4715</v>
      </c>
      <c r="B3011" s="5">
        <v>1</v>
      </c>
      <c r="C3011" s="5">
        <v>1</v>
      </c>
      <c r="D3011" s="5" t="s">
        <v>269</v>
      </c>
      <c r="E3011" s="5" t="s">
        <v>271</v>
      </c>
      <c r="F3011" s="5" t="s">
        <v>248</v>
      </c>
      <c r="G3011" s="5" t="s">
        <v>266</v>
      </c>
      <c r="H3011" s="6" t="s">
        <v>4047</v>
      </c>
      <c r="I3011" s="7">
        <f>625</f>
        <v>625</v>
      </c>
      <c r="J3011" s="5" t="s">
        <v>262</v>
      </c>
      <c r="K3011" s="8">
        <f>1</f>
        <v>1</v>
      </c>
      <c r="L3011" s="6" t="s">
        <v>242</v>
      </c>
      <c r="M3011" s="5" t="s">
        <v>267</v>
      </c>
      <c r="N3011" s="5" t="s">
        <v>265</v>
      </c>
      <c r="O3011" s="5" t="s">
        <v>238</v>
      </c>
      <c r="P3011" s="5" t="s">
        <v>238</v>
      </c>
      <c r="Q3011" s="5" t="s">
        <v>268</v>
      </c>
      <c r="R3011" s="5" t="s">
        <v>270</v>
      </c>
      <c r="S3011" s="5" t="s">
        <v>238</v>
      </c>
      <c r="V3011" s="5" t="s">
        <v>238</v>
      </c>
      <c r="X3011" s="6" t="s">
        <v>238</v>
      </c>
      <c r="AA3011" s="6" t="s">
        <v>243</v>
      </c>
      <c r="AB3011" s="5" t="s">
        <v>238</v>
      </c>
      <c r="AC3011" s="5" t="s">
        <v>244</v>
      </c>
      <c r="AD3011" s="5" t="s">
        <v>245</v>
      </c>
      <c r="AT3011" s="5" t="s">
        <v>246</v>
      </c>
      <c r="AU3011" s="5" t="s">
        <v>238</v>
      </c>
      <c r="AV3011" s="5" t="s">
        <v>247</v>
      </c>
      <c r="AW3011" s="5" t="s">
        <v>238</v>
      </c>
      <c r="AX3011" s="5" t="s">
        <v>249</v>
      </c>
      <c r="AY3011" s="5" t="s">
        <v>238</v>
      </c>
      <c r="BA3011" s="5" t="s">
        <v>238</v>
      </c>
      <c r="BC3011" s="5" t="s">
        <v>250</v>
      </c>
      <c r="BD3011" s="6" t="s">
        <v>243</v>
      </c>
      <c r="BE3011" s="5" t="s">
        <v>251</v>
      </c>
      <c r="BF3011" s="5" t="s">
        <v>252</v>
      </c>
      <c r="BG3011" s="5" t="s">
        <v>238</v>
      </c>
      <c r="BH3011" s="7">
        <f>0</f>
        <v>0</v>
      </c>
      <c r="BI3011" s="8">
        <f>0</f>
        <v>0</v>
      </c>
      <c r="BJ3011" s="5" t="s">
        <v>253</v>
      </c>
      <c r="BK3011" s="5" t="s">
        <v>254</v>
      </c>
      <c r="BY3011" s="5" t="s">
        <v>238</v>
      </c>
      <c r="BZ3011" s="5" t="s">
        <v>238</v>
      </c>
      <c r="CD3011" s="5" t="s">
        <v>273</v>
      </c>
      <c r="CE3011" s="5" t="s">
        <v>256</v>
      </c>
      <c r="CF3011" s="5" t="s">
        <v>238</v>
      </c>
      <c r="CI3011" s="6" t="s">
        <v>257</v>
      </c>
      <c r="CJ3011" s="5" t="s">
        <v>238</v>
      </c>
      <c r="CK3011" s="5" t="s">
        <v>258</v>
      </c>
      <c r="CL3011" s="5" t="s">
        <v>238</v>
      </c>
      <c r="CM3011" s="5" t="s">
        <v>238</v>
      </c>
      <c r="CN3011" s="5">
        <v>0</v>
      </c>
      <c r="CO3011" s="5" t="s">
        <v>259</v>
      </c>
      <c r="CP3011" s="5" t="s">
        <v>260</v>
      </c>
      <c r="CQ3011" s="5" t="s">
        <v>260</v>
      </c>
      <c r="CR3011" s="5" t="s">
        <v>261</v>
      </c>
      <c r="CU3011" s="8">
        <f>1</f>
        <v>1</v>
      </c>
      <c r="CV3011" s="8">
        <f>0</f>
        <v>0</v>
      </c>
      <c r="CX3011" s="8">
        <f>0</f>
        <v>0</v>
      </c>
      <c r="CY3011" s="8">
        <f>1</f>
        <v>1</v>
      </c>
      <c r="DA3011" s="5" t="s">
        <v>274</v>
      </c>
      <c r="DB3011" s="5" t="s">
        <v>238</v>
      </c>
      <c r="DD3011" s="5" t="s">
        <v>274</v>
      </c>
      <c r="DE3011" s="8">
        <f>625</f>
        <v>625</v>
      </c>
      <c r="DG3011" s="5" t="s">
        <v>238</v>
      </c>
      <c r="DH3011" s="5" t="s">
        <v>238</v>
      </c>
      <c r="DI3011" s="5" t="s">
        <v>238</v>
      </c>
      <c r="DJ3011" s="5" t="s">
        <v>238</v>
      </c>
      <c r="DN3011" s="5" t="s">
        <v>238</v>
      </c>
      <c r="DO3011" s="5" t="s">
        <v>238</v>
      </c>
      <c r="DP3011" s="5" t="s">
        <v>238</v>
      </c>
      <c r="DQ3011" s="5" t="s">
        <v>238</v>
      </c>
      <c r="DT3011" s="5" t="s">
        <v>275</v>
      </c>
      <c r="DU3011" s="5" t="s">
        <v>3468</v>
      </c>
      <c r="HM3011" s="5" t="s">
        <v>264</v>
      </c>
    </row>
    <row r="3012" spans="1:221" x14ac:dyDescent="0.4">
      <c r="A3012" s="5">
        <v>4716</v>
      </c>
      <c r="B3012" s="5">
        <v>1</v>
      </c>
      <c r="C3012" s="5">
        <v>1</v>
      </c>
      <c r="D3012" s="5" t="s">
        <v>269</v>
      </c>
      <c r="E3012" s="5" t="s">
        <v>271</v>
      </c>
      <c r="F3012" s="5" t="s">
        <v>248</v>
      </c>
      <c r="G3012" s="5" t="s">
        <v>266</v>
      </c>
      <c r="H3012" s="6" t="s">
        <v>4049</v>
      </c>
      <c r="I3012" s="7">
        <f>428</f>
        <v>428</v>
      </c>
      <c r="J3012" s="5" t="s">
        <v>262</v>
      </c>
      <c r="K3012" s="8">
        <f>1</f>
        <v>1</v>
      </c>
      <c r="L3012" s="6" t="s">
        <v>242</v>
      </c>
      <c r="M3012" s="5" t="s">
        <v>267</v>
      </c>
      <c r="N3012" s="5" t="s">
        <v>265</v>
      </c>
      <c r="O3012" s="5" t="s">
        <v>238</v>
      </c>
      <c r="P3012" s="5" t="s">
        <v>238</v>
      </c>
      <c r="Q3012" s="5" t="s">
        <v>268</v>
      </c>
      <c r="R3012" s="5" t="s">
        <v>270</v>
      </c>
      <c r="S3012" s="5" t="s">
        <v>238</v>
      </c>
      <c r="V3012" s="5" t="s">
        <v>238</v>
      </c>
      <c r="X3012" s="6" t="s">
        <v>238</v>
      </c>
      <c r="AA3012" s="6" t="s">
        <v>243</v>
      </c>
      <c r="AB3012" s="5" t="s">
        <v>238</v>
      </c>
      <c r="AC3012" s="5" t="s">
        <v>244</v>
      </c>
      <c r="AD3012" s="5" t="s">
        <v>245</v>
      </c>
      <c r="AT3012" s="5" t="s">
        <v>246</v>
      </c>
      <c r="AU3012" s="5" t="s">
        <v>238</v>
      </c>
      <c r="AV3012" s="5" t="s">
        <v>247</v>
      </c>
      <c r="AW3012" s="5" t="s">
        <v>238</v>
      </c>
      <c r="AX3012" s="5" t="s">
        <v>249</v>
      </c>
      <c r="AY3012" s="5" t="s">
        <v>238</v>
      </c>
      <c r="BA3012" s="5" t="s">
        <v>238</v>
      </c>
      <c r="BC3012" s="5" t="s">
        <v>250</v>
      </c>
      <c r="BD3012" s="6" t="s">
        <v>243</v>
      </c>
      <c r="BE3012" s="5" t="s">
        <v>251</v>
      </c>
      <c r="BF3012" s="5" t="s">
        <v>252</v>
      </c>
      <c r="BG3012" s="5" t="s">
        <v>238</v>
      </c>
      <c r="BH3012" s="7">
        <f>0</f>
        <v>0</v>
      </c>
      <c r="BI3012" s="8">
        <f>0</f>
        <v>0</v>
      </c>
      <c r="BJ3012" s="5" t="s">
        <v>253</v>
      </c>
      <c r="BK3012" s="5" t="s">
        <v>254</v>
      </c>
      <c r="BY3012" s="5" t="s">
        <v>238</v>
      </c>
      <c r="BZ3012" s="5" t="s">
        <v>238</v>
      </c>
      <c r="CD3012" s="5" t="s">
        <v>273</v>
      </c>
      <c r="CE3012" s="5" t="s">
        <v>256</v>
      </c>
      <c r="CF3012" s="5" t="s">
        <v>238</v>
      </c>
      <c r="CI3012" s="6" t="s">
        <v>257</v>
      </c>
      <c r="CJ3012" s="5" t="s">
        <v>238</v>
      </c>
      <c r="CK3012" s="5" t="s">
        <v>258</v>
      </c>
      <c r="CL3012" s="5" t="s">
        <v>238</v>
      </c>
      <c r="CM3012" s="5" t="s">
        <v>238</v>
      </c>
      <c r="CN3012" s="5">
        <v>0</v>
      </c>
      <c r="CO3012" s="5" t="s">
        <v>259</v>
      </c>
      <c r="CP3012" s="5" t="s">
        <v>260</v>
      </c>
      <c r="CQ3012" s="5" t="s">
        <v>260</v>
      </c>
      <c r="CR3012" s="5" t="s">
        <v>261</v>
      </c>
      <c r="CU3012" s="8">
        <f>1</f>
        <v>1</v>
      </c>
      <c r="CV3012" s="8">
        <f>0</f>
        <v>0</v>
      </c>
      <c r="CX3012" s="8">
        <f>0</f>
        <v>0</v>
      </c>
      <c r="CY3012" s="8">
        <f>1</f>
        <v>1</v>
      </c>
      <c r="DA3012" s="5" t="s">
        <v>274</v>
      </c>
      <c r="DB3012" s="5" t="s">
        <v>238</v>
      </c>
      <c r="DD3012" s="5" t="s">
        <v>274</v>
      </c>
      <c r="DE3012" s="8">
        <f>428</f>
        <v>428</v>
      </c>
      <c r="DG3012" s="5" t="s">
        <v>238</v>
      </c>
      <c r="DH3012" s="5" t="s">
        <v>238</v>
      </c>
      <c r="DI3012" s="5" t="s">
        <v>238</v>
      </c>
      <c r="DJ3012" s="5" t="s">
        <v>238</v>
      </c>
      <c r="DN3012" s="5" t="s">
        <v>238</v>
      </c>
      <c r="DO3012" s="5" t="s">
        <v>238</v>
      </c>
      <c r="DP3012" s="5" t="s">
        <v>238</v>
      </c>
      <c r="DQ3012" s="5" t="s">
        <v>238</v>
      </c>
      <c r="DT3012" s="5" t="s">
        <v>275</v>
      </c>
      <c r="DU3012" s="5" t="s">
        <v>3483</v>
      </c>
      <c r="HM3012" s="5" t="s">
        <v>264</v>
      </c>
    </row>
    <row r="3013" spans="1:221" x14ac:dyDescent="0.4">
      <c r="A3013" s="5">
        <v>4717</v>
      </c>
      <c r="B3013" s="5">
        <v>1</v>
      </c>
      <c r="C3013" s="5">
        <v>1</v>
      </c>
      <c r="D3013" s="5" t="s">
        <v>269</v>
      </c>
      <c r="E3013" s="5" t="s">
        <v>271</v>
      </c>
      <c r="F3013" s="5" t="s">
        <v>248</v>
      </c>
      <c r="G3013" s="5" t="s">
        <v>266</v>
      </c>
      <c r="H3013" s="6" t="s">
        <v>4048</v>
      </c>
      <c r="I3013" s="7">
        <f>1701</f>
        <v>1701</v>
      </c>
      <c r="J3013" s="5" t="s">
        <v>262</v>
      </c>
      <c r="K3013" s="8">
        <f>1</f>
        <v>1</v>
      </c>
      <c r="L3013" s="6" t="s">
        <v>242</v>
      </c>
      <c r="M3013" s="5" t="s">
        <v>267</v>
      </c>
      <c r="N3013" s="5" t="s">
        <v>265</v>
      </c>
      <c r="O3013" s="5" t="s">
        <v>238</v>
      </c>
      <c r="P3013" s="5" t="s">
        <v>238</v>
      </c>
      <c r="Q3013" s="5" t="s">
        <v>268</v>
      </c>
      <c r="R3013" s="5" t="s">
        <v>270</v>
      </c>
      <c r="S3013" s="5" t="s">
        <v>238</v>
      </c>
      <c r="V3013" s="5" t="s">
        <v>238</v>
      </c>
      <c r="X3013" s="6" t="s">
        <v>238</v>
      </c>
      <c r="AA3013" s="6" t="s">
        <v>243</v>
      </c>
      <c r="AB3013" s="5" t="s">
        <v>238</v>
      </c>
      <c r="AC3013" s="5" t="s">
        <v>244</v>
      </c>
      <c r="AD3013" s="5" t="s">
        <v>245</v>
      </c>
      <c r="AT3013" s="5" t="s">
        <v>246</v>
      </c>
      <c r="AU3013" s="5" t="s">
        <v>238</v>
      </c>
      <c r="AV3013" s="5" t="s">
        <v>247</v>
      </c>
      <c r="AW3013" s="5" t="s">
        <v>238</v>
      </c>
      <c r="AX3013" s="5" t="s">
        <v>249</v>
      </c>
      <c r="AY3013" s="5" t="s">
        <v>238</v>
      </c>
      <c r="BA3013" s="5" t="s">
        <v>238</v>
      </c>
      <c r="BC3013" s="5" t="s">
        <v>250</v>
      </c>
      <c r="BD3013" s="6" t="s">
        <v>243</v>
      </c>
      <c r="BE3013" s="5" t="s">
        <v>251</v>
      </c>
      <c r="BF3013" s="5" t="s">
        <v>252</v>
      </c>
      <c r="BG3013" s="5" t="s">
        <v>238</v>
      </c>
      <c r="BH3013" s="7">
        <f>0</f>
        <v>0</v>
      </c>
      <c r="BI3013" s="8">
        <f>0</f>
        <v>0</v>
      </c>
      <c r="BJ3013" s="5" t="s">
        <v>253</v>
      </c>
      <c r="BK3013" s="5" t="s">
        <v>254</v>
      </c>
      <c r="BY3013" s="5" t="s">
        <v>238</v>
      </c>
      <c r="BZ3013" s="5" t="s">
        <v>238</v>
      </c>
      <c r="CD3013" s="5" t="s">
        <v>273</v>
      </c>
      <c r="CE3013" s="5" t="s">
        <v>256</v>
      </c>
      <c r="CF3013" s="5" t="s">
        <v>238</v>
      </c>
      <c r="CI3013" s="6" t="s">
        <v>257</v>
      </c>
      <c r="CJ3013" s="5" t="s">
        <v>238</v>
      </c>
      <c r="CK3013" s="5" t="s">
        <v>258</v>
      </c>
      <c r="CL3013" s="5" t="s">
        <v>238</v>
      </c>
      <c r="CM3013" s="5" t="s">
        <v>238</v>
      </c>
      <c r="CN3013" s="5">
        <v>0</v>
      </c>
      <c r="CO3013" s="5" t="s">
        <v>259</v>
      </c>
      <c r="CP3013" s="5" t="s">
        <v>260</v>
      </c>
      <c r="CQ3013" s="5" t="s">
        <v>260</v>
      </c>
      <c r="CR3013" s="5" t="s">
        <v>261</v>
      </c>
      <c r="CU3013" s="8">
        <f>1</f>
        <v>1</v>
      </c>
      <c r="CV3013" s="8">
        <f>0</f>
        <v>0</v>
      </c>
      <c r="CX3013" s="8">
        <f>0</f>
        <v>0</v>
      </c>
      <c r="CY3013" s="8">
        <f>1</f>
        <v>1</v>
      </c>
      <c r="DA3013" s="5" t="s">
        <v>274</v>
      </c>
      <c r="DB3013" s="5" t="s">
        <v>238</v>
      </c>
      <c r="DD3013" s="5" t="s">
        <v>274</v>
      </c>
      <c r="DE3013" s="8">
        <f>1701</f>
        <v>1701</v>
      </c>
      <c r="DG3013" s="5" t="s">
        <v>238</v>
      </c>
      <c r="DH3013" s="5" t="s">
        <v>238</v>
      </c>
      <c r="DI3013" s="5" t="s">
        <v>238</v>
      </c>
      <c r="DJ3013" s="5" t="s">
        <v>238</v>
      </c>
      <c r="DN3013" s="5" t="s">
        <v>238</v>
      </c>
      <c r="DO3013" s="5" t="s">
        <v>238</v>
      </c>
      <c r="DP3013" s="5" t="s">
        <v>238</v>
      </c>
      <c r="DQ3013" s="5" t="s">
        <v>238</v>
      </c>
      <c r="DT3013" s="5" t="s">
        <v>275</v>
      </c>
      <c r="DU3013" s="5" t="s">
        <v>3496</v>
      </c>
      <c r="HM3013" s="5" t="s">
        <v>264</v>
      </c>
    </row>
    <row r="3014" spans="1:221" x14ac:dyDescent="0.4">
      <c r="A3014" s="5">
        <v>4718</v>
      </c>
      <c r="B3014" s="5">
        <v>1</v>
      </c>
      <c r="C3014" s="5">
        <v>1</v>
      </c>
      <c r="D3014" s="5" t="s">
        <v>269</v>
      </c>
      <c r="E3014" s="5" t="s">
        <v>271</v>
      </c>
      <c r="F3014" s="5" t="s">
        <v>248</v>
      </c>
      <c r="G3014" s="5" t="s">
        <v>266</v>
      </c>
      <c r="H3014" s="6" t="s">
        <v>4050</v>
      </c>
      <c r="I3014" s="7">
        <f>470</f>
        <v>470</v>
      </c>
      <c r="J3014" s="5" t="s">
        <v>262</v>
      </c>
      <c r="K3014" s="8">
        <f>1</f>
        <v>1</v>
      </c>
      <c r="L3014" s="6" t="s">
        <v>242</v>
      </c>
      <c r="M3014" s="5" t="s">
        <v>267</v>
      </c>
      <c r="N3014" s="5" t="s">
        <v>265</v>
      </c>
      <c r="O3014" s="5" t="s">
        <v>238</v>
      </c>
      <c r="P3014" s="5" t="s">
        <v>238</v>
      </c>
      <c r="Q3014" s="5" t="s">
        <v>268</v>
      </c>
      <c r="R3014" s="5" t="s">
        <v>270</v>
      </c>
      <c r="S3014" s="5" t="s">
        <v>238</v>
      </c>
      <c r="V3014" s="5" t="s">
        <v>238</v>
      </c>
      <c r="X3014" s="6" t="s">
        <v>238</v>
      </c>
      <c r="AA3014" s="6" t="s">
        <v>243</v>
      </c>
      <c r="AB3014" s="5" t="s">
        <v>238</v>
      </c>
      <c r="AC3014" s="5" t="s">
        <v>244</v>
      </c>
      <c r="AD3014" s="5" t="s">
        <v>245</v>
      </c>
      <c r="AT3014" s="5" t="s">
        <v>246</v>
      </c>
      <c r="AU3014" s="5" t="s">
        <v>238</v>
      </c>
      <c r="AV3014" s="5" t="s">
        <v>247</v>
      </c>
      <c r="AW3014" s="5" t="s">
        <v>238</v>
      </c>
      <c r="AX3014" s="5" t="s">
        <v>249</v>
      </c>
      <c r="AY3014" s="5" t="s">
        <v>238</v>
      </c>
      <c r="BA3014" s="5" t="s">
        <v>238</v>
      </c>
      <c r="BC3014" s="5" t="s">
        <v>250</v>
      </c>
      <c r="BD3014" s="6" t="s">
        <v>243</v>
      </c>
      <c r="BE3014" s="5" t="s">
        <v>251</v>
      </c>
      <c r="BF3014" s="5" t="s">
        <v>252</v>
      </c>
      <c r="BG3014" s="5" t="s">
        <v>238</v>
      </c>
      <c r="BH3014" s="7">
        <f>0</f>
        <v>0</v>
      </c>
      <c r="BI3014" s="8">
        <f>0</f>
        <v>0</v>
      </c>
      <c r="BJ3014" s="5" t="s">
        <v>253</v>
      </c>
      <c r="BK3014" s="5" t="s">
        <v>254</v>
      </c>
      <c r="BY3014" s="5" t="s">
        <v>238</v>
      </c>
      <c r="BZ3014" s="5" t="s">
        <v>238</v>
      </c>
      <c r="CD3014" s="5" t="s">
        <v>273</v>
      </c>
      <c r="CE3014" s="5" t="s">
        <v>256</v>
      </c>
      <c r="CF3014" s="5" t="s">
        <v>238</v>
      </c>
      <c r="CI3014" s="6" t="s">
        <v>257</v>
      </c>
      <c r="CJ3014" s="5" t="s">
        <v>238</v>
      </c>
      <c r="CK3014" s="5" t="s">
        <v>258</v>
      </c>
      <c r="CL3014" s="5" t="s">
        <v>238</v>
      </c>
      <c r="CM3014" s="5" t="s">
        <v>238</v>
      </c>
      <c r="CN3014" s="5">
        <v>0</v>
      </c>
      <c r="CO3014" s="5" t="s">
        <v>259</v>
      </c>
      <c r="CP3014" s="5" t="s">
        <v>260</v>
      </c>
      <c r="CQ3014" s="5" t="s">
        <v>260</v>
      </c>
      <c r="CR3014" s="5" t="s">
        <v>261</v>
      </c>
      <c r="CU3014" s="8">
        <f>1</f>
        <v>1</v>
      </c>
      <c r="CV3014" s="8">
        <f>0</f>
        <v>0</v>
      </c>
      <c r="CX3014" s="8">
        <f>0</f>
        <v>0</v>
      </c>
      <c r="CY3014" s="8">
        <f>1</f>
        <v>1</v>
      </c>
      <c r="DA3014" s="5" t="s">
        <v>274</v>
      </c>
      <c r="DB3014" s="5" t="s">
        <v>238</v>
      </c>
      <c r="DD3014" s="5" t="s">
        <v>274</v>
      </c>
      <c r="DE3014" s="8">
        <f>470</f>
        <v>470</v>
      </c>
      <c r="DG3014" s="5" t="s">
        <v>238</v>
      </c>
      <c r="DH3014" s="5" t="s">
        <v>238</v>
      </c>
      <c r="DI3014" s="5" t="s">
        <v>238</v>
      </c>
      <c r="DJ3014" s="5" t="s">
        <v>238</v>
      </c>
      <c r="DN3014" s="5" t="s">
        <v>238</v>
      </c>
      <c r="DO3014" s="5" t="s">
        <v>238</v>
      </c>
      <c r="DP3014" s="5" t="s">
        <v>238</v>
      </c>
      <c r="DQ3014" s="5" t="s">
        <v>238</v>
      </c>
      <c r="DT3014" s="5" t="s">
        <v>275</v>
      </c>
      <c r="DU3014" s="5" t="s">
        <v>4051</v>
      </c>
      <c r="HM3014" s="5" t="s">
        <v>264</v>
      </c>
    </row>
    <row r="3015" spans="1:221" x14ac:dyDescent="0.4">
      <c r="A3015" s="5">
        <v>4719</v>
      </c>
      <c r="B3015" s="5">
        <v>1</v>
      </c>
      <c r="C3015" s="5">
        <v>1</v>
      </c>
      <c r="D3015" s="5" t="s">
        <v>269</v>
      </c>
      <c r="E3015" s="5" t="s">
        <v>271</v>
      </c>
      <c r="F3015" s="5" t="s">
        <v>248</v>
      </c>
      <c r="G3015" s="5" t="s">
        <v>266</v>
      </c>
      <c r="H3015" s="6" t="s">
        <v>4052</v>
      </c>
      <c r="I3015" s="7">
        <f>1191</f>
        <v>1191</v>
      </c>
      <c r="J3015" s="5" t="s">
        <v>262</v>
      </c>
      <c r="K3015" s="8">
        <f>1</f>
        <v>1</v>
      </c>
      <c r="L3015" s="6" t="s">
        <v>242</v>
      </c>
      <c r="M3015" s="5" t="s">
        <v>267</v>
      </c>
      <c r="N3015" s="5" t="s">
        <v>265</v>
      </c>
      <c r="O3015" s="5" t="s">
        <v>238</v>
      </c>
      <c r="P3015" s="5" t="s">
        <v>238</v>
      </c>
      <c r="Q3015" s="5" t="s">
        <v>268</v>
      </c>
      <c r="R3015" s="5" t="s">
        <v>270</v>
      </c>
      <c r="S3015" s="5" t="s">
        <v>238</v>
      </c>
      <c r="V3015" s="5" t="s">
        <v>238</v>
      </c>
      <c r="X3015" s="6" t="s">
        <v>238</v>
      </c>
      <c r="AA3015" s="6" t="s">
        <v>243</v>
      </c>
      <c r="AB3015" s="5" t="s">
        <v>238</v>
      </c>
      <c r="AC3015" s="5" t="s">
        <v>244</v>
      </c>
      <c r="AD3015" s="5" t="s">
        <v>245</v>
      </c>
      <c r="AT3015" s="5" t="s">
        <v>246</v>
      </c>
      <c r="AU3015" s="5" t="s">
        <v>238</v>
      </c>
      <c r="AV3015" s="5" t="s">
        <v>247</v>
      </c>
      <c r="AW3015" s="5" t="s">
        <v>238</v>
      </c>
      <c r="AX3015" s="5" t="s">
        <v>249</v>
      </c>
      <c r="AY3015" s="5" t="s">
        <v>238</v>
      </c>
      <c r="BA3015" s="5" t="s">
        <v>238</v>
      </c>
      <c r="BC3015" s="5" t="s">
        <v>250</v>
      </c>
      <c r="BD3015" s="6" t="s">
        <v>243</v>
      </c>
      <c r="BE3015" s="5" t="s">
        <v>251</v>
      </c>
      <c r="BF3015" s="5" t="s">
        <v>252</v>
      </c>
      <c r="BG3015" s="5" t="s">
        <v>238</v>
      </c>
      <c r="BH3015" s="7">
        <f>0</f>
        <v>0</v>
      </c>
      <c r="BI3015" s="8">
        <f>0</f>
        <v>0</v>
      </c>
      <c r="BJ3015" s="5" t="s">
        <v>253</v>
      </c>
      <c r="BK3015" s="5" t="s">
        <v>254</v>
      </c>
      <c r="BY3015" s="5" t="s">
        <v>238</v>
      </c>
      <c r="BZ3015" s="5" t="s">
        <v>238</v>
      </c>
      <c r="CD3015" s="5" t="s">
        <v>273</v>
      </c>
      <c r="CE3015" s="5" t="s">
        <v>256</v>
      </c>
      <c r="CF3015" s="5" t="s">
        <v>238</v>
      </c>
      <c r="CI3015" s="6" t="s">
        <v>257</v>
      </c>
      <c r="CJ3015" s="5" t="s">
        <v>238</v>
      </c>
      <c r="CK3015" s="5" t="s">
        <v>258</v>
      </c>
      <c r="CL3015" s="5" t="s">
        <v>238</v>
      </c>
      <c r="CM3015" s="5" t="s">
        <v>238</v>
      </c>
      <c r="CN3015" s="5">
        <v>0</v>
      </c>
      <c r="CO3015" s="5" t="s">
        <v>259</v>
      </c>
      <c r="CP3015" s="5" t="s">
        <v>260</v>
      </c>
      <c r="CQ3015" s="5" t="s">
        <v>260</v>
      </c>
      <c r="CR3015" s="5" t="s">
        <v>261</v>
      </c>
      <c r="CU3015" s="8">
        <f>1</f>
        <v>1</v>
      </c>
      <c r="CV3015" s="8">
        <f>0</f>
        <v>0</v>
      </c>
      <c r="CX3015" s="8">
        <f>0</f>
        <v>0</v>
      </c>
      <c r="CY3015" s="8">
        <f>1</f>
        <v>1</v>
      </c>
      <c r="DA3015" s="5" t="s">
        <v>274</v>
      </c>
      <c r="DB3015" s="5" t="s">
        <v>238</v>
      </c>
      <c r="DD3015" s="5" t="s">
        <v>274</v>
      </c>
      <c r="DE3015" s="8">
        <f>1191</f>
        <v>1191</v>
      </c>
      <c r="DG3015" s="5" t="s">
        <v>238</v>
      </c>
      <c r="DH3015" s="5" t="s">
        <v>238</v>
      </c>
      <c r="DI3015" s="5" t="s">
        <v>238</v>
      </c>
      <c r="DJ3015" s="5" t="s">
        <v>238</v>
      </c>
      <c r="DN3015" s="5" t="s">
        <v>238</v>
      </c>
      <c r="DO3015" s="5" t="s">
        <v>238</v>
      </c>
      <c r="DP3015" s="5" t="s">
        <v>238</v>
      </c>
      <c r="DQ3015" s="5" t="s">
        <v>238</v>
      </c>
      <c r="DT3015" s="5" t="s">
        <v>275</v>
      </c>
      <c r="DU3015" s="5" t="s">
        <v>3512</v>
      </c>
      <c r="HM3015" s="5" t="s">
        <v>264</v>
      </c>
    </row>
    <row r="3016" spans="1:221" x14ac:dyDescent="0.4">
      <c r="A3016" s="5">
        <v>4720</v>
      </c>
      <c r="B3016" s="5">
        <v>1</v>
      </c>
      <c r="C3016" s="5">
        <v>1</v>
      </c>
      <c r="D3016" s="5" t="s">
        <v>269</v>
      </c>
      <c r="E3016" s="5" t="s">
        <v>271</v>
      </c>
      <c r="F3016" s="5" t="s">
        <v>248</v>
      </c>
      <c r="G3016" s="5" t="s">
        <v>266</v>
      </c>
      <c r="H3016" s="6" t="s">
        <v>4054</v>
      </c>
      <c r="I3016" s="7">
        <f>1744</f>
        <v>1744</v>
      </c>
      <c r="J3016" s="5" t="s">
        <v>262</v>
      </c>
      <c r="K3016" s="8">
        <f>1</f>
        <v>1</v>
      </c>
      <c r="L3016" s="6" t="s">
        <v>242</v>
      </c>
      <c r="M3016" s="5" t="s">
        <v>267</v>
      </c>
      <c r="N3016" s="5" t="s">
        <v>265</v>
      </c>
      <c r="O3016" s="5" t="s">
        <v>238</v>
      </c>
      <c r="P3016" s="5" t="s">
        <v>238</v>
      </c>
      <c r="Q3016" s="5" t="s">
        <v>268</v>
      </c>
      <c r="R3016" s="5" t="s">
        <v>270</v>
      </c>
      <c r="S3016" s="5" t="s">
        <v>238</v>
      </c>
      <c r="V3016" s="5" t="s">
        <v>238</v>
      </c>
      <c r="X3016" s="6" t="s">
        <v>238</v>
      </c>
      <c r="AA3016" s="6" t="s">
        <v>243</v>
      </c>
      <c r="AB3016" s="5" t="s">
        <v>238</v>
      </c>
      <c r="AC3016" s="5" t="s">
        <v>244</v>
      </c>
      <c r="AD3016" s="5" t="s">
        <v>245</v>
      </c>
      <c r="AT3016" s="5" t="s">
        <v>246</v>
      </c>
      <c r="AU3016" s="5" t="s">
        <v>238</v>
      </c>
      <c r="AV3016" s="5" t="s">
        <v>247</v>
      </c>
      <c r="AW3016" s="5" t="s">
        <v>238</v>
      </c>
      <c r="AX3016" s="5" t="s">
        <v>249</v>
      </c>
      <c r="AY3016" s="5" t="s">
        <v>238</v>
      </c>
      <c r="BA3016" s="5" t="s">
        <v>238</v>
      </c>
      <c r="BC3016" s="5" t="s">
        <v>250</v>
      </c>
      <c r="BD3016" s="6" t="s">
        <v>243</v>
      </c>
      <c r="BE3016" s="5" t="s">
        <v>251</v>
      </c>
      <c r="BF3016" s="5" t="s">
        <v>252</v>
      </c>
      <c r="BG3016" s="5" t="s">
        <v>238</v>
      </c>
      <c r="BH3016" s="7">
        <f>0</f>
        <v>0</v>
      </c>
      <c r="BI3016" s="8">
        <f>0</f>
        <v>0</v>
      </c>
      <c r="BJ3016" s="5" t="s">
        <v>253</v>
      </c>
      <c r="BK3016" s="5" t="s">
        <v>254</v>
      </c>
      <c r="BY3016" s="5" t="s">
        <v>238</v>
      </c>
      <c r="BZ3016" s="5" t="s">
        <v>238</v>
      </c>
      <c r="CD3016" s="5" t="s">
        <v>273</v>
      </c>
      <c r="CE3016" s="5" t="s">
        <v>256</v>
      </c>
      <c r="CF3016" s="5" t="s">
        <v>238</v>
      </c>
      <c r="CI3016" s="6" t="s">
        <v>257</v>
      </c>
      <c r="CJ3016" s="5" t="s">
        <v>238</v>
      </c>
      <c r="CK3016" s="5" t="s">
        <v>258</v>
      </c>
      <c r="CL3016" s="5" t="s">
        <v>238</v>
      </c>
      <c r="CM3016" s="5" t="s">
        <v>238</v>
      </c>
      <c r="CN3016" s="5">
        <v>0</v>
      </c>
      <c r="CO3016" s="5" t="s">
        <v>259</v>
      </c>
      <c r="CP3016" s="5" t="s">
        <v>260</v>
      </c>
      <c r="CQ3016" s="5" t="s">
        <v>260</v>
      </c>
      <c r="CR3016" s="5" t="s">
        <v>261</v>
      </c>
      <c r="CU3016" s="8">
        <f>1</f>
        <v>1</v>
      </c>
      <c r="CV3016" s="8">
        <f>0</f>
        <v>0</v>
      </c>
      <c r="CX3016" s="8">
        <f>0</f>
        <v>0</v>
      </c>
      <c r="CY3016" s="8">
        <f>1</f>
        <v>1</v>
      </c>
      <c r="DA3016" s="5" t="s">
        <v>274</v>
      </c>
      <c r="DB3016" s="5" t="s">
        <v>238</v>
      </c>
      <c r="DD3016" s="5" t="s">
        <v>274</v>
      </c>
      <c r="DE3016" s="8">
        <f>1744</f>
        <v>1744</v>
      </c>
      <c r="DG3016" s="5" t="s">
        <v>238</v>
      </c>
      <c r="DH3016" s="5" t="s">
        <v>238</v>
      </c>
      <c r="DI3016" s="5" t="s">
        <v>238</v>
      </c>
      <c r="DJ3016" s="5" t="s">
        <v>238</v>
      </c>
      <c r="DN3016" s="5" t="s">
        <v>238</v>
      </c>
      <c r="DO3016" s="5" t="s">
        <v>238</v>
      </c>
      <c r="DP3016" s="5" t="s">
        <v>238</v>
      </c>
      <c r="DQ3016" s="5" t="s">
        <v>238</v>
      </c>
      <c r="DT3016" s="5" t="s">
        <v>275</v>
      </c>
      <c r="DU3016" s="5" t="s">
        <v>3522</v>
      </c>
      <c r="HM3016" s="5" t="s">
        <v>264</v>
      </c>
    </row>
    <row r="3017" spans="1:221" x14ac:dyDescent="0.4">
      <c r="A3017" s="5">
        <v>4721</v>
      </c>
      <c r="B3017" s="5">
        <v>1</v>
      </c>
      <c r="C3017" s="5">
        <v>1</v>
      </c>
      <c r="D3017" s="5" t="s">
        <v>269</v>
      </c>
      <c r="E3017" s="5" t="s">
        <v>271</v>
      </c>
      <c r="F3017" s="5" t="s">
        <v>248</v>
      </c>
      <c r="G3017" s="5" t="s">
        <v>266</v>
      </c>
      <c r="H3017" s="6" t="s">
        <v>4053</v>
      </c>
      <c r="I3017" s="7">
        <f>941</f>
        <v>941</v>
      </c>
      <c r="J3017" s="5" t="s">
        <v>262</v>
      </c>
      <c r="K3017" s="8">
        <f>1</f>
        <v>1</v>
      </c>
      <c r="L3017" s="6" t="s">
        <v>242</v>
      </c>
      <c r="M3017" s="5" t="s">
        <v>267</v>
      </c>
      <c r="N3017" s="5" t="s">
        <v>265</v>
      </c>
      <c r="O3017" s="5" t="s">
        <v>238</v>
      </c>
      <c r="P3017" s="5" t="s">
        <v>238</v>
      </c>
      <c r="Q3017" s="5" t="s">
        <v>268</v>
      </c>
      <c r="R3017" s="5" t="s">
        <v>270</v>
      </c>
      <c r="S3017" s="5" t="s">
        <v>238</v>
      </c>
      <c r="V3017" s="5" t="s">
        <v>238</v>
      </c>
      <c r="X3017" s="6" t="s">
        <v>238</v>
      </c>
      <c r="AA3017" s="6" t="s">
        <v>243</v>
      </c>
      <c r="AB3017" s="5" t="s">
        <v>238</v>
      </c>
      <c r="AC3017" s="5" t="s">
        <v>244</v>
      </c>
      <c r="AD3017" s="5" t="s">
        <v>245</v>
      </c>
      <c r="AT3017" s="5" t="s">
        <v>246</v>
      </c>
      <c r="AU3017" s="5" t="s">
        <v>238</v>
      </c>
      <c r="AV3017" s="5" t="s">
        <v>247</v>
      </c>
      <c r="AW3017" s="5" t="s">
        <v>238</v>
      </c>
      <c r="AX3017" s="5" t="s">
        <v>249</v>
      </c>
      <c r="AY3017" s="5" t="s">
        <v>238</v>
      </c>
      <c r="BA3017" s="5" t="s">
        <v>238</v>
      </c>
      <c r="BC3017" s="5" t="s">
        <v>250</v>
      </c>
      <c r="BD3017" s="6" t="s">
        <v>243</v>
      </c>
      <c r="BE3017" s="5" t="s">
        <v>251</v>
      </c>
      <c r="BF3017" s="5" t="s">
        <v>252</v>
      </c>
      <c r="BG3017" s="5" t="s">
        <v>238</v>
      </c>
      <c r="BH3017" s="7">
        <f>0</f>
        <v>0</v>
      </c>
      <c r="BI3017" s="8">
        <f>0</f>
        <v>0</v>
      </c>
      <c r="BJ3017" s="5" t="s">
        <v>253</v>
      </c>
      <c r="BK3017" s="5" t="s">
        <v>254</v>
      </c>
      <c r="BY3017" s="5" t="s">
        <v>238</v>
      </c>
      <c r="BZ3017" s="5" t="s">
        <v>238</v>
      </c>
      <c r="CD3017" s="5" t="s">
        <v>273</v>
      </c>
      <c r="CE3017" s="5" t="s">
        <v>256</v>
      </c>
      <c r="CF3017" s="5" t="s">
        <v>238</v>
      </c>
      <c r="CI3017" s="6" t="s">
        <v>257</v>
      </c>
      <c r="CJ3017" s="5" t="s">
        <v>238</v>
      </c>
      <c r="CK3017" s="5" t="s">
        <v>258</v>
      </c>
      <c r="CL3017" s="5" t="s">
        <v>238</v>
      </c>
      <c r="CM3017" s="5" t="s">
        <v>238</v>
      </c>
      <c r="CN3017" s="5">
        <v>0</v>
      </c>
      <c r="CO3017" s="5" t="s">
        <v>259</v>
      </c>
      <c r="CP3017" s="5" t="s">
        <v>260</v>
      </c>
      <c r="CQ3017" s="5" t="s">
        <v>260</v>
      </c>
      <c r="CR3017" s="5" t="s">
        <v>261</v>
      </c>
      <c r="CU3017" s="8">
        <f>1</f>
        <v>1</v>
      </c>
      <c r="CV3017" s="8">
        <f>0</f>
        <v>0</v>
      </c>
      <c r="CX3017" s="8">
        <f>0</f>
        <v>0</v>
      </c>
      <c r="CY3017" s="8">
        <f>1</f>
        <v>1</v>
      </c>
      <c r="DA3017" s="5" t="s">
        <v>274</v>
      </c>
      <c r="DB3017" s="5" t="s">
        <v>238</v>
      </c>
      <c r="DD3017" s="5" t="s">
        <v>274</v>
      </c>
      <c r="DE3017" s="8">
        <f>941</f>
        <v>941</v>
      </c>
      <c r="DG3017" s="5" t="s">
        <v>238</v>
      </c>
      <c r="DH3017" s="5" t="s">
        <v>238</v>
      </c>
      <c r="DI3017" s="5" t="s">
        <v>238</v>
      </c>
      <c r="DJ3017" s="5" t="s">
        <v>238</v>
      </c>
      <c r="DN3017" s="5" t="s">
        <v>238</v>
      </c>
      <c r="DO3017" s="5" t="s">
        <v>238</v>
      </c>
      <c r="DP3017" s="5" t="s">
        <v>238</v>
      </c>
      <c r="DQ3017" s="5" t="s">
        <v>238</v>
      </c>
      <c r="DT3017" s="5" t="s">
        <v>275</v>
      </c>
      <c r="DU3017" s="5" t="s">
        <v>3525</v>
      </c>
      <c r="HM3017" s="5" t="s">
        <v>264</v>
      </c>
    </row>
    <row r="3018" spans="1:221" x14ac:dyDescent="0.4">
      <c r="A3018" s="5">
        <v>4722</v>
      </c>
      <c r="B3018" s="5">
        <v>1</v>
      </c>
      <c r="C3018" s="5">
        <v>1</v>
      </c>
      <c r="D3018" s="5" t="s">
        <v>269</v>
      </c>
      <c r="E3018" s="5" t="s">
        <v>271</v>
      </c>
      <c r="F3018" s="5" t="s">
        <v>248</v>
      </c>
      <c r="G3018" s="5" t="s">
        <v>266</v>
      </c>
      <c r="H3018" s="6" t="s">
        <v>4055</v>
      </c>
      <c r="I3018" s="7">
        <f>463</f>
        <v>463</v>
      </c>
      <c r="J3018" s="5" t="s">
        <v>262</v>
      </c>
      <c r="K3018" s="8">
        <f>1</f>
        <v>1</v>
      </c>
      <c r="L3018" s="6" t="s">
        <v>242</v>
      </c>
      <c r="M3018" s="5" t="s">
        <v>267</v>
      </c>
      <c r="N3018" s="5" t="s">
        <v>265</v>
      </c>
      <c r="O3018" s="5" t="s">
        <v>238</v>
      </c>
      <c r="P3018" s="5" t="s">
        <v>238</v>
      </c>
      <c r="Q3018" s="5" t="s">
        <v>268</v>
      </c>
      <c r="R3018" s="5" t="s">
        <v>270</v>
      </c>
      <c r="S3018" s="5" t="s">
        <v>238</v>
      </c>
      <c r="V3018" s="5" t="s">
        <v>238</v>
      </c>
      <c r="X3018" s="6" t="s">
        <v>238</v>
      </c>
      <c r="AA3018" s="6" t="s">
        <v>243</v>
      </c>
      <c r="AB3018" s="5" t="s">
        <v>238</v>
      </c>
      <c r="AC3018" s="5" t="s">
        <v>244</v>
      </c>
      <c r="AD3018" s="5" t="s">
        <v>245</v>
      </c>
      <c r="AT3018" s="5" t="s">
        <v>246</v>
      </c>
      <c r="AU3018" s="5" t="s">
        <v>238</v>
      </c>
      <c r="AV3018" s="5" t="s">
        <v>247</v>
      </c>
      <c r="AW3018" s="5" t="s">
        <v>238</v>
      </c>
      <c r="AX3018" s="5" t="s">
        <v>249</v>
      </c>
      <c r="AY3018" s="5" t="s">
        <v>238</v>
      </c>
      <c r="BA3018" s="5" t="s">
        <v>238</v>
      </c>
      <c r="BC3018" s="5" t="s">
        <v>250</v>
      </c>
      <c r="BD3018" s="6" t="s">
        <v>243</v>
      </c>
      <c r="BE3018" s="5" t="s">
        <v>251</v>
      </c>
      <c r="BF3018" s="5" t="s">
        <v>252</v>
      </c>
      <c r="BG3018" s="5" t="s">
        <v>238</v>
      </c>
      <c r="BH3018" s="7">
        <f>0</f>
        <v>0</v>
      </c>
      <c r="BI3018" s="8">
        <f>0</f>
        <v>0</v>
      </c>
      <c r="BJ3018" s="5" t="s">
        <v>253</v>
      </c>
      <c r="BK3018" s="5" t="s">
        <v>254</v>
      </c>
      <c r="BY3018" s="5" t="s">
        <v>238</v>
      </c>
      <c r="BZ3018" s="5" t="s">
        <v>238</v>
      </c>
      <c r="CD3018" s="5" t="s">
        <v>273</v>
      </c>
      <c r="CE3018" s="5" t="s">
        <v>256</v>
      </c>
      <c r="CF3018" s="5" t="s">
        <v>238</v>
      </c>
      <c r="CI3018" s="6" t="s">
        <v>257</v>
      </c>
      <c r="CJ3018" s="5" t="s">
        <v>238</v>
      </c>
      <c r="CK3018" s="5" t="s">
        <v>258</v>
      </c>
      <c r="CL3018" s="5" t="s">
        <v>238</v>
      </c>
      <c r="CM3018" s="5" t="s">
        <v>238</v>
      </c>
      <c r="CN3018" s="5">
        <v>0</v>
      </c>
      <c r="CO3018" s="5" t="s">
        <v>259</v>
      </c>
      <c r="CP3018" s="5" t="s">
        <v>260</v>
      </c>
      <c r="CQ3018" s="5" t="s">
        <v>260</v>
      </c>
      <c r="CR3018" s="5" t="s">
        <v>261</v>
      </c>
      <c r="CU3018" s="8">
        <f>1</f>
        <v>1</v>
      </c>
      <c r="CV3018" s="8">
        <f>0</f>
        <v>0</v>
      </c>
      <c r="CX3018" s="8">
        <f>0</f>
        <v>0</v>
      </c>
      <c r="CY3018" s="8">
        <f>1</f>
        <v>1</v>
      </c>
      <c r="DA3018" s="5" t="s">
        <v>274</v>
      </c>
      <c r="DB3018" s="5" t="s">
        <v>238</v>
      </c>
      <c r="DD3018" s="5" t="s">
        <v>274</v>
      </c>
      <c r="DE3018" s="8">
        <f>463</f>
        <v>463</v>
      </c>
      <c r="DG3018" s="5" t="s">
        <v>238</v>
      </c>
      <c r="DH3018" s="5" t="s">
        <v>238</v>
      </c>
      <c r="DI3018" s="5" t="s">
        <v>238</v>
      </c>
      <c r="DJ3018" s="5" t="s">
        <v>238</v>
      </c>
      <c r="DN3018" s="5" t="s">
        <v>238</v>
      </c>
      <c r="DO3018" s="5" t="s">
        <v>238</v>
      </c>
      <c r="DP3018" s="5" t="s">
        <v>238</v>
      </c>
      <c r="DQ3018" s="5" t="s">
        <v>238</v>
      </c>
      <c r="DT3018" s="5" t="s">
        <v>275</v>
      </c>
      <c r="DU3018" s="5" t="s">
        <v>3661</v>
      </c>
      <c r="HM3018" s="5" t="s">
        <v>264</v>
      </c>
    </row>
    <row r="3019" spans="1:221" x14ac:dyDescent="0.4">
      <c r="A3019" s="5">
        <v>4723</v>
      </c>
      <c r="B3019" s="5">
        <v>1</v>
      </c>
      <c r="C3019" s="5">
        <v>1</v>
      </c>
      <c r="D3019" s="5" t="s">
        <v>269</v>
      </c>
      <c r="E3019" s="5" t="s">
        <v>271</v>
      </c>
      <c r="F3019" s="5" t="s">
        <v>248</v>
      </c>
      <c r="G3019" s="5" t="s">
        <v>266</v>
      </c>
      <c r="H3019" s="6" t="s">
        <v>5737</v>
      </c>
      <c r="I3019" s="7">
        <f>624</f>
        <v>624</v>
      </c>
      <c r="J3019" s="5" t="s">
        <v>262</v>
      </c>
      <c r="K3019" s="8">
        <f>1</f>
        <v>1</v>
      </c>
      <c r="L3019" s="6" t="s">
        <v>242</v>
      </c>
      <c r="M3019" s="5" t="s">
        <v>267</v>
      </c>
      <c r="N3019" s="5" t="s">
        <v>265</v>
      </c>
      <c r="O3019" s="5" t="s">
        <v>238</v>
      </c>
      <c r="P3019" s="5" t="s">
        <v>238</v>
      </c>
      <c r="Q3019" s="5" t="s">
        <v>268</v>
      </c>
      <c r="R3019" s="5" t="s">
        <v>270</v>
      </c>
      <c r="S3019" s="5" t="s">
        <v>238</v>
      </c>
      <c r="V3019" s="5" t="s">
        <v>238</v>
      </c>
      <c r="X3019" s="6" t="s">
        <v>238</v>
      </c>
      <c r="AA3019" s="6" t="s">
        <v>243</v>
      </c>
      <c r="AB3019" s="5" t="s">
        <v>238</v>
      </c>
      <c r="AC3019" s="5" t="s">
        <v>244</v>
      </c>
      <c r="AD3019" s="5" t="s">
        <v>245</v>
      </c>
      <c r="AT3019" s="5" t="s">
        <v>246</v>
      </c>
      <c r="AU3019" s="5" t="s">
        <v>238</v>
      </c>
      <c r="AV3019" s="5" t="s">
        <v>247</v>
      </c>
      <c r="AW3019" s="5" t="s">
        <v>238</v>
      </c>
      <c r="AX3019" s="5" t="s">
        <v>249</v>
      </c>
      <c r="AY3019" s="5" t="s">
        <v>238</v>
      </c>
      <c r="BA3019" s="5" t="s">
        <v>238</v>
      </c>
      <c r="BC3019" s="5" t="s">
        <v>250</v>
      </c>
      <c r="BD3019" s="6" t="s">
        <v>243</v>
      </c>
      <c r="BE3019" s="5" t="s">
        <v>251</v>
      </c>
      <c r="BF3019" s="5" t="s">
        <v>252</v>
      </c>
      <c r="BG3019" s="5" t="s">
        <v>238</v>
      </c>
      <c r="BH3019" s="7">
        <f>0</f>
        <v>0</v>
      </c>
      <c r="BI3019" s="8">
        <f>0</f>
        <v>0</v>
      </c>
      <c r="BJ3019" s="5" t="s">
        <v>253</v>
      </c>
      <c r="BK3019" s="5" t="s">
        <v>254</v>
      </c>
      <c r="BY3019" s="5" t="s">
        <v>238</v>
      </c>
      <c r="BZ3019" s="5" t="s">
        <v>238</v>
      </c>
      <c r="CD3019" s="5" t="s">
        <v>273</v>
      </c>
      <c r="CE3019" s="5" t="s">
        <v>256</v>
      </c>
      <c r="CF3019" s="5" t="s">
        <v>238</v>
      </c>
      <c r="CI3019" s="6" t="s">
        <v>257</v>
      </c>
      <c r="CJ3019" s="5" t="s">
        <v>238</v>
      </c>
      <c r="CK3019" s="5" t="s">
        <v>258</v>
      </c>
      <c r="CL3019" s="5" t="s">
        <v>238</v>
      </c>
      <c r="CM3019" s="5" t="s">
        <v>238</v>
      </c>
      <c r="CN3019" s="5">
        <v>0</v>
      </c>
      <c r="CO3019" s="5" t="s">
        <v>259</v>
      </c>
      <c r="CP3019" s="5" t="s">
        <v>260</v>
      </c>
      <c r="CQ3019" s="5" t="s">
        <v>260</v>
      </c>
      <c r="CR3019" s="5" t="s">
        <v>261</v>
      </c>
      <c r="CU3019" s="8">
        <f>1</f>
        <v>1</v>
      </c>
      <c r="CV3019" s="8">
        <f>0</f>
        <v>0</v>
      </c>
      <c r="CX3019" s="8">
        <f>0</f>
        <v>0</v>
      </c>
      <c r="CY3019" s="8">
        <f>1</f>
        <v>1</v>
      </c>
      <c r="DA3019" s="5" t="s">
        <v>274</v>
      </c>
      <c r="DB3019" s="5" t="s">
        <v>238</v>
      </c>
      <c r="DD3019" s="5" t="s">
        <v>274</v>
      </c>
      <c r="DE3019" s="8">
        <f>624</f>
        <v>624</v>
      </c>
      <c r="DG3019" s="5" t="s">
        <v>238</v>
      </c>
      <c r="DH3019" s="5" t="s">
        <v>238</v>
      </c>
      <c r="DI3019" s="5" t="s">
        <v>238</v>
      </c>
      <c r="DJ3019" s="5" t="s">
        <v>238</v>
      </c>
      <c r="DN3019" s="5" t="s">
        <v>238</v>
      </c>
      <c r="DO3019" s="5" t="s">
        <v>238</v>
      </c>
      <c r="DP3019" s="5" t="s">
        <v>238</v>
      </c>
      <c r="DQ3019" s="5" t="s">
        <v>238</v>
      </c>
      <c r="DT3019" s="5" t="s">
        <v>275</v>
      </c>
      <c r="DU3019" s="5" t="s">
        <v>3693</v>
      </c>
      <c r="HM3019" s="5" t="s">
        <v>264</v>
      </c>
    </row>
    <row r="3020" spans="1:221" x14ac:dyDescent="0.4">
      <c r="A3020" s="5">
        <v>4724</v>
      </c>
      <c r="B3020" s="5">
        <v>1</v>
      </c>
      <c r="C3020" s="5">
        <v>1</v>
      </c>
      <c r="D3020" s="5" t="s">
        <v>269</v>
      </c>
      <c r="E3020" s="5" t="s">
        <v>271</v>
      </c>
      <c r="F3020" s="5" t="s">
        <v>248</v>
      </c>
      <c r="G3020" s="5" t="s">
        <v>266</v>
      </c>
      <c r="H3020" s="6" t="s">
        <v>4057</v>
      </c>
      <c r="I3020" s="7">
        <f>258</f>
        <v>258</v>
      </c>
      <c r="J3020" s="5" t="s">
        <v>262</v>
      </c>
      <c r="K3020" s="8">
        <f>1</f>
        <v>1</v>
      </c>
      <c r="L3020" s="6" t="s">
        <v>242</v>
      </c>
      <c r="M3020" s="5" t="s">
        <v>267</v>
      </c>
      <c r="N3020" s="5" t="s">
        <v>265</v>
      </c>
      <c r="O3020" s="5" t="s">
        <v>238</v>
      </c>
      <c r="P3020" s="5" t="s">
        <v>238</v>
      </c>
      <c r="Q3020" s="5" t="s">
        <v>268</v>
      </c>
      <c r="R3020" s="5" t="s">
        <v>270</v>
      </c>
      <c r="S3020" s="5" t="s">
        <v>238</v>
      </c>
      <c r="V3020" s="5" t="s">
        <v>238</v>
      </c>
      <c r="X3020" s="6" t="s">
        <v>238</v>
      </c>
      <c r="AA3020" s="6" t="s">
        <v>243</v>
      </c>
      <c r="AB3020" s="5" t="s">
        <v>238</v>
      </c>
      <c r="AC3020" s="5" t="s">
        <v>244</v>
      </c>
      <c r="AD3020" s="5" t="s">
        <v>245</v>
      </c>
      <c r="AT3020" s="5" t="s">
        <v>246</v>
      </c>
      <c r="AU3020" s="5" t="s">
        <v>238</v>
      </c>
      <c r="AV3020" s="5" t="s">
        <v>247</v>
      </c>
      <c r="AW3020" s="5" t="s">
        <v>238</v>
      </c>
      <c r="AX3020" s="5" t="s">
        <v>249</v>
      </c>
      <c r="AY3020" s="5" t="s">
        <v>238</v>
      </c>
      <c r="BA3020" s="5" t="s">
        <v>238</v>
      </c>
      <c r="BC3020" s="5" t="s">
        <v>250</v>
      </c>
      <c r="BD3020" s="6" t="s">
        <v>243</v>
      </c>
      <c r="BE3020" s="5" t="s">
        <v>251</v>
      </c>
      <c r="BF3020" s="5" t="s">
        <v>252</v>
      </c>
      <c r="BG3020" s="5" t="s">
        <v>238</v>
      </c>
      <c r="BH3020" s="7">
        <f>0</f>
        <v>0</v>
      </c>
      <c r="BI3020" s="8">
        <f>0</f>
        <v>0</v>
      </c>
      <c r="BJ3020" s="5" t="s">
        <v>253</v>
      </c>
      <c r="BK3020" s="5" t="s">
        <v>254</v>
      </c>
      <c r="BY3020" s="5" t="s">
        <v>238</v>
      </c>
      <c r="BZ3020" s="5" t="s">
        <v>238</v>
      </c>
      <c r="CD3020" s="5" t="s">
        <v>273</v>
      </c>
      <c r="CE3020" s="5" t="s">
        <v>256</v>
      </c>
      <c r="CF3020" s="5" t="s">
        <v>238</v>
      </c>
      <c r="CI3020" s="6" t="s">
        <v>257</v>
      </c>
      <c r="CJ3020" s="5" t="s">
        <v>238</v>
      </c>
      <c r="CK3020" s="5" t="s">
        <v>258</v>
      </c>
      <c r="CL3020" s="5" t="s">
        <v>238</v>
      </c>
      <c r="CM3020" s="5" t="s">
        <v>238</v>
      </c>
      <c r="CN3020" s="5">
        <v>0</v>
      </c>
      <c r="CO3020" s="5" t="s">
        <v>259</v>
      </c>
      <c r="CP3020" s="5" t="s">
        <v>260</v>
      </c>
      <c r="CQ3020" s="5" t="s">
        <v>260</v>
      </c>
      <c r="CR3020" s="5" t="s">
        <v>261</v>
      </c>
      <c r="CU3020" s="8">
        <f>1</f>
        <v>1</v>
      </c>
      <c r="CV3020" s="8">
        <f>0</f>
        <v>0</v>
      </c>
      <c r="CX3020" s="8">
        <f>0</f>
        <v>0</v>
      </c>
      <c r="CY3020" s="8">
        <f>1</f>
        <v>1</v>
      </c>
      <c r="DA3020" s="5" t="s">
        <v>274</v>
      </c>
      <c r="DB3020" s="5" t="s">
        <v>238</v>
      </c>
      <c r="DD3020" s="5" t="s">
        <v>274</v>
      </c>
      <c r="DE3020" s="8">
        <f>258</f>
        <v>258</v>
      </c>
      <c r="DG3020" s="5" t="s">
        <v>238</v>
      </c>
      <c r="DH3020" s="5" t="s">
        <v>238</v>
      </c>
      <c r="DI3020" s="5" t="s">
        <v>238</v>
      </c>
      <c r="DJ3020" s="5" t="s">
        <v>238</v>
      </c>
      <c r="DN3020" s="5" t="s">
        <v>238</v>
      </c>
      <c r="DO3020" s="5" t="s">
        <v>238</v>
      </c>
      <c r="DP3020" s="5" t="s">
        <v>238</v>
      </c>
      <c r="DQ3020" s="5" t="s">
        <v>238</v>
      </c>
      <c r="DT3020" s="5" t="s">
        <v>275</v>
      </c>
      <c r="DU3020" s="5" t="s">
        <v>4058</v>
      </c>
      <c r="HM3020" s="5" t="s">
        <v>264</v>
      </c>
    </row>
    <row r="3021" spans="1:221" x14ac:dyDescent="0.4">
      <c r="A3021" s="5">
        <v>4725</v>
      </c>
      <c r="B3021" s="5">
        <v>1</v>
      </c>
      <c r="C3021" s="5">
        <v>1</v>
      </c>
      <c r="D3021" s="5" t="s">
        <v>269</v>
      </c>
      <c r="E3021" s="5" t="s">
        <v>271</v>
      </c>
      <c r="F3021" s="5" t="s">
        <v>248</v>
      </c>
      <c r="G3021" s="5" t="s">
        <v>266</v>
      </c>
      <c r="H3021" s="6" t="s">
        <v>4059</v>
      </c>
      <c r="I3021" s="7">
        <f>366</f>
        <v>366</v>
      </c>
      <c r="J3021" s="5" t="s">
        <v>262</v>
      </c>
      <c r="K3021" s="8">
        <f>1</f>
        <v>1</v>
      </c>
      <c r="L3021" s="6" t="s">
        <v>242</v>
      </c>
      <c r="M3021" s="5" t="s">
        <v>267</v>
      </c>
      <c r="N3021" s="5" t="s">
        <v>265</v>
      </c>
      <c r="O3021" s="5" t="s">
        <v>238</v>
      </c>
      <c r="P3021" s="5" t="s">
        <v>238</v>
      </c>
      <c r="Q3021" s="5" t="s">
        <v>268</v>
      </c>
      <c r="R3021" s="5" t="s">
        <v>270</v>
      </c>
      <c r="S3021" s="5" t="s">
        <v>238</v>
      </c>
      <c r="V3021" s="5" t="s">
        <v>238</v>
      </c>
      <c r="X3021" s="6" t="s">
        <v>238</v>
      </c>
      <c r="AA3021" s="6" t="s">
        <v>243</v>
      </c>
      <c r="AB3021" s="5" t="s">
        <v>238</v>
      </c>
      <c r="AC3021" s="5" t="s">
        <v>244</v>
      </c>
      <c r="AD3021" s="5" t="s">
        <v>245</v>
      </c>
      <c r="AT3021" s="5" t="s">
        <v>246</v>
      </c>
      <c r="AU3021" s="5" t="s">
        <v>238</v>
      </c>
      <c r="AV3021" s="5" t="s">
        <v>247</v>
      </c>
      <c r="AW3021" s="5" t="s">
        <v>238</v>
      </c>
      <c r="AX3021" s="5" t="s">
        <v>249</v>
      </c>
      <c r="AY3021" s="5" t="s">
        <v>238</v>
      </c>
      <c r="BA3021" s="5" t="s">
        <v>238</v>
      </c>
      <c r="BC3021" s="5" t="s">
        <v>250</v>
      </c>
      <c r="BD3021" s="6" t="s">
        <v>243</v>
      </c>
      <c r="BE3021" s="5" t="s">
        <v>251</v>
      </c>
      <c r="BF3021" s="5" t="s">
        <v>252</v>
      </c>
      <c r="BG3021" s="5" t="s">
        <v>238</v>
      </c>
      <c r="BH3021" s="7">
        <f>0</f>
        <v>0</v>
      </c>
      <c r="BI3021" s="8">
        <f>0</f>
        <v>0</v>
      </c>
      <c r="BJ3021" s="5" t="s">
        <v>253</v>
      </c>
      <c r="BK3021" s="5" t="s">
        <v>254</v>
      </c>
      <c r="BY3021" s="5" t="s">
        <v>238</v>
      </c>
      <c r="BZ3021" s="5" t="s">
        <v>238</v>
      </c>
      <c r="CD3021" s="5" t="s">
        <v>273</v>
      </c>
      <c r="CE3021" s="5" t="s">
        <v>256</v>
      </c>
      <c r="CF3021" s="5" t="s">
        <v>238</v>
      </c>
      <c r="CI3021" s="6" t="s">
        <v>257</v>
      </c>
      <c r="CJ3021" s="5" t="s">
        <v>238</v>
      </c>
      <c r="CK3021" s="5" t="s">
        <v>258</v>
      </c>
      <c r="CL3021" s="5" t="s">
        <v>238</v>
      </c>
      <c r="CM3021" s="5" t="s">
        <v>238</v>
      </c>
      <c r="CN3021" s="5">
        <v>0</v>
      </c>
      <c r="CO3021" s="5" t="s">
        <v>259</v>
      </c>
      <c r="CP3021" s="5" t="s">
        <v>260</v>
      </c>
      <c r="CQ3021" s="5" t="s">
        <v>260</v>
      </c>
      <c r="CR3021" s="5" t="s">
        <v>261</v>
      </c>
      <c r="CU3021" s="8">
        <f>1</f>
        <v>1</v>
      </c>
      <c r="CV3021" s="8">
        <f>0</f>
        <v>0</v>
      </c>
      <c r="CX3021" s="8">
        <f>0</f>
        <v>0</v>
      </c>
      <c r="CY3021" s="8">
        <f>1</f>
        <v>1</v>
      </c>
      <c r="DA3021" s="5" t="s">
        <v>274</v>
      </c>
      <c r="DB3021" s="5" t="s">
        <v>238</v>
      </c>
      <c r="DD3021" s="5" t="s">
        <v>274</v>
      </c>
      <c r="DE3021" s="8">
        <f>366</f>
        <v>366</v>
      </c>
      <c r="DG3021" s="5" t="s">
        <v>238</v>
      </c>
      <c r="DH3021" s="5" t="s">
        <v>238</v>
      </c>
      <c r="DI3021" s="5" t="s">
        <v>238</v>
      </c>
      <c r="DJ3021" s="5" t="s">
        <v>238</v>
      </c>
      <c r="DN3021" s="5" t="s">
        <v>238</v>
      </c>
      <c r="DO3021" s="5" t="s">
        <v>238</v>
      </c>
      <c r="DP3021" s="5" t="s">
        <v>238</v>
      </c>
      <c r="DQ3021" s="5" t="s">
        <v>238</v>
      </c>
      <c r="DT3021" s="5" t="s">
        <v>275</v>
      </c>
      <c r="DU3021" s="5" t="s">
        <v>4060</v>
      </c>
      <c r="HM3021" s="5" t="s">
        <v>264</v>
      </c>
    </row>
    <row r="3022" spans="1:221" x14ac:dyDescent="0.4">
      <c r="A3022" s="5">
        <v>4726</v>
      </c>
      <c r="B3022" s="5">
        <v>1</v>
      </c>
      <c r="C3022" s="5">
        <v>1</v>
      </c>
      <c r="D3022" s="5" t="s">
        <v>269</v>
      </c>
      <c r="E3022" s="5" t="s">
        <v>271</v>
      </c>
      <c r="F3022" s="5" t="s">
        <v>248</v>
      </c>
      <c r="G3022" s="5" t="s">
        <v>266</v>
      </c>
      <c r="H3022" s="6" t="s">
        <v>4062</v>
      </c>
      <c r="I3022" s="7">
        <f>574</f>
        <v>574</v>
      </c>
      <c r="J3022" s="5" t="s">
        <v>262</v>
      </c>
      <c r="K3022" s="8">
        <f>1</f>
        <v>1</v>
      </c>
      <c r="L3022" s="6" t="s">
        <v>242</v>
      </c>
      <c r="M3022" s="5" t="s">
        <v>267</v>
      </c>
      <c r="N3022" s="5" t="s">
        <v>265</v>
      </c>
      <c r="O3022" s="5" t="s">
        <v>238</v>
      </c>
      <c r="P3022" s="5" t="s">
        <v>238</v>
      </c>
      <c r="Q3022" s="5" t="s">
        <v>268</v>
      </c>
      <c r="R3022" s="5" t="s">
        <v>270</v>
      </c>
      <c r="S3022" s="5" t="s">
        <v>238</v>
      </c>
      <c r="V3022" s="5" t="s">
        <v>238</v>
      </c>
      <c r="X3022" s="6" t="s">
        <v>238</v>
      </c>
      <c r="AA3022" s="6" t="s">
        <v>243</v>
      </c>
      <c r="AB3022" s="5" t="s">
        <v>238</v>
      </c>
      <c r="AC3022" s="5" t="s">
        <v>244</v>
      </c>
      <c r="AD3022" s="5" t="s">
        <v>245</v>
      </c>
      <c r="AT3022" s="5" t="s">
        <v>246</v>
      </c>
      <c r="AU3022" s="5" t="s">
        <v>238</v>
      </c>
      <c r="AV3022" s="5" t="s">
        <v>247</v>
      </c>
      <c r="AW3022" s="5" t="s">
        <v>238</v>
      </c>
      <c r="AX3022" s="5" t="s">
        <v>249</v>
      </c>
      <c r="AY3022" s="5" t="s">
        <v>238</v>
      </c>
      <c r="BA3022" s="5" t="s">
        <v>238</v>
      </c>
      <c r="BC3022" s="5" t="s">
        <v>250</v>
      </c>
      <c r="BD3022" s="6" t="s">
        <v>243</v>
      </c>
      <c r="BE3022" s="5" t="s">
        <v>251</v>
      </c>
      <c r="BF3022" s="5" t="s">
        <v>252</v>
      </c>
      <c r="BG3022" s="5" t="s">
        <v>238</v>
      </c>
      <c r="BH3022" s="7">
        <f>0</f>
        <v>0</v>
      </c>
      <c r="BI3022" s="8">
        <f>0</f>
        <v>0</v>
      </c>
      <c r="BJ3022" s="5" t="s">
        <v>253</v>
      </c>
      <c r="BK3022" s="5" t="s">
        <v>254</v>
      </c>
      <c r="BY3022" s="5" t="s">
        <v>238</v>
      </c>
      <c r="BZ3022" s="5" t="s">
        <v>238</v>
      </c>
      <c r="CD3022" s="5" t="s">
        <v>273</v>
      </c>
      <c r="CE3022" s="5" t="s">
        <v>256</v>
      </c>
      <c r="CF3022" s="5" t="s">
        <v>238</v>
      </c>
      <c r="CI3022" s="6" t="s">
        <v>257</v>
      </c>
      <c r="CJ3022" s="5" t="s">
        <v>238</v>
      </c>
      <c r="CK3022" s="5" t="s">
        <v>258</v>
      </c>
      <c r="CL3022" s="5" t="s">
        <v>238</v>
      </c>
      <c r="CM3022" s="5" t="s">
        <v>238</v>
      </c>
      <c r="CN3022" s="5">
        <v>0</v>
      </c>
      <c r="CO3022" s="5" t="s">
        <v>259</v>
      </c>
      <c r="CP3022" s="5" t="s">
        <v>260</v>
      </c>
      <c r="CQ3022" s="5" t="s">
        <v>260</v>
      </c>
      <c r="CR3022" s="5" t="s">
        <v>261</v>
      </c>
      <c r="CU3022" s="8">
        <f>1</f>
        <v>1</v>
      </c>
      <c r="CV3022" s="8">
        <f>0</f>
        <v>0</v>
      </c>
      <c r="CX3022" s="8">
        <f>0</f>
        <v>0</v>
      </c>
      <c r="CY3022" s="8">
        <f>1</f>
        <v>1</v>
      </c>
      <c r="DA3022" s="5" t="s">
        <v>274</v>
      </c>
      <c r="DB3022" s="5" t="s">
        <v>238</v>
      </c>
      <c r="DD3022" s="5" t="s">
        <v>274</v>
      </c>
      <c r="DE3022" s="8">
        <f>574</f>
        <v>574</v>
      </c>
      <c r="DG3022" s="5" t="s">
        <v>238</v>
      </c>
      <c r="DH3022" s="5" t="s">
        <v>238</v>
      </c>
      <c r="DI3022" s="5" t="s">
        <v>238</v>
      </c>
      <c r="DJ3022" s="5" t="s">
        <v>238</v>
      </c>
      <c r="DN3022" s="5" t="s">
        <v>238</v>
      </c>
      <c r="DO3022" s="5" t="s">
        <v>238</v>
      </c>
      <c r="DP3022" s="5" t="s">
        <v>238</v>
      </c>
      <c r="DQ3022" s="5" t="s">
        <v>238</v>
      </c>
      <c r="DT3022" s="5" t="s">
        <v>275</v>
      </c>
      <c r="DU3022" s="5" t="s">
        <v>3695</v>
      </c>
      <c r="HM3022" s="5" t="s">
        <v>264</v>
      </c>
    </row>
    <row r="3023" spans="1:221" x14ac:dyDescent="0.4">
      <c r="A3023" s="5">
        <v>4727</v>
      </c>
      <c r="B3023" s="5">
        <v>1</v>
      </c>
      <c r="C3023" s="5">
        <v>1</v>
      </c>
      <c r="D3023" s="5" t="s">
        <v>269</v>
      </c>
      <c r="E3023" s="5" t="s">
        <v>271</v>
      </c>
      <c r="F3023" s="5" t="s">
        <v>248</v>
      </c>
      <c r="G3023" s="5" t="s">
        <v>266</v>
      </c>
      <c r="H3023" s="6" t="s">
        <v>4063</v>
      </c>
      <c r="I3023" s="7">
        <f>752</f>
        <v>752</v>
      </c>
      <c r="J3023" s="5" t="s">
        <v>262</v>
      </c>
      <c r="K3023" s="8">
        <f>1</f>
        <v>1</v>
      </c>
      <c r="L3023" s="6" t="s">
        <v>242</v>
      </c>
      <c r="M3023" s="5" t="s">
        <v>267</v>
      </c>
      <c r="N3023" s="5" t="s">
        <v>265</v>
      </c>
      <c r="O3023" s="5" t="s">
        <v>238</v>
      </c>
      <c r="P3023" s="5" t="s">
        <v>238</v>
      </c>
      <c r="Q3023" s="5" t="s">
        <v>268</v>
      </c>
      <c r="R3023" s="5" t="s">
        <v>270</v>
      </c>
      <c r="S3023" s="5" t="s">
        <v>238</v>
      </c>
      <c r="V3023" s="5" t="s">
        <v>238</v>
      </c>
      <c r="X3023" s="6" t="s">
        <v>238</v>
      </c>
      <c r="AA3023" s="6" t="s">
        <v>243</v>
      </c>
      <c r="AB3023" s="5" t="s">
        <v>238</v>
      </c>
      <c r="AC3023" s="5" t="s">
        <v>244</v>
      </c>
      <c r="AD3023" s="5" t="s">
        <v>245</v>
      </c>
      <c r="AT3023" s="5" t="s">
        <v>246</v>
      </c>
      <c r="AU3023" s="5" t="s">
        <v>238</v>
      </c>
      <c r="AV3023" s="5" t="s">
        <v>247</v>
      </c>
      <c r="AW3023" s="5" t="s">
        <v>238</v>
      </c>
      <c r="AX3023" s="5" t="s">
        <v>249</v>
      </c>
      <c r="AY3023" s="5" t="s">
        <v>238</v>
      </c>
      <c r="BA3023" s="5" t="s">
        <v>238</v>
      </c>
      <c r="BC3023" s="5" t="s">
        <v>250</v>
      </c>
      <c r="BD3023" s="6" t="s">
        <v>243</v>
      </c>
      <c r="BE3023" s="5" t="s">
        <v>251</v>
      </c>
      <c r="BF3023" s="5" t="s">
        <v>252</v>
      </c>
      <c r="BG3023" s="5" t="s">
        <v>238</v>
      </c>
      <c r="BH3023" s="7">
        <f>0</f>
        <v>0</v>
      </c>
      <c r="BI3023" s="8">
        <f>0</f>
        <v>0</v>
      </c>
      <c r="BJ3023" s="5" t="s">
        <v>253</v>
      </c>
      <c r="BK3023" s="5" t="s">
        <v>254</v>
      </c>
      <c r="BY3023" s="5" t="s">
        <v>238</v>
      </c>
      <c r="BZ3023" s="5" t="s">
        <v>238</v>
      </c>
      <c r="CD3023" s="5" t="s">
        <v>273</v>
      </c>
      <c r="CE3023" s="5" t="s">
        <v>256</v>
      </c>
      <c r="CF3023" s="5" t="s">
        <v>238</v>
      </c>
      <c r="CI3023" s="6" t="s">
        <v>257</v>
      </c>
      <c r="CJ3023" s="5" t="s">
        <v>238</v>
      </c>
      <c r="CK3023" s="5" t="s">
        <v>258</v>
      </c>
      <c r="CL3023" s="5" t="s">
        <v>238</v>
      </c>
      <c r="CM3023" s="5" t="s">
        <v>238</v>
      </c>
      <c r="CN3023" s="5">
        <v>0</v>
      </c>
      <c r="CO3023" s="5" t="s">
        <v>259</v>
      </c>
      <c r="CP3023" s="5" t="s">
        <v>260</v>
      </c>
      <c r="CQ3023" s="5" t="s">
        <v>260</v>
      </c>
      <c r="CR3023" s="5" t="s">
        <v>261</v>
      </c>
      <c r="CU3023" s="8">
        <f>1</f>
        <v>1</v>
      </c>
      <c r="CV3023" s="8">
        <f>0</f>
        <v>0</v>
      </c>
      <c r="CX3023" s="8">
        <f>0</f>
        <v>0</v>
      </c>
      <c r="CY3023" s="8">
        <f>1</f>
        <v>1</v>
      </c>
      <c r="DA3023" s="5" t="s">
        <v>274</v>
      </c>
      <c r="DB3023" s="5" t="s">
        <v>238</v>
      </c>
      <c r="DD3023" s="5" t="s">
        <v>274</v>
      </c>
      <c r="DE3023" s="8">
        <f>752</f>
        <v>752</v>
      </c>
      <c r="DG3023" s="5" t="s">
        <v>238</v>
      </c>
      <c r="DH3023" s="5" t="s">
        <v>238</v>
      </c>
      <c r="DI3023" s="5" t="s">
        <v>238</v>
      </c>
      <c r="DJ3023" s="5" t="s">
        <v>238</v>
      </c>
      <c r="DN3023" s="5" t="s">
        <v>238</v>
      </c>
      <c r="DO3023" s="5" t="s">
        <v>238</v>
      </c>
      <c r="DP3023" s="5" t="s">
        <v>238</v>
      </c>
      <c r="DQ3023" s="5" t="s">
        <v>238</v>
      </c>
      <c r="DT3023" s="5" t="s">
        <v>275</v>
      </c>
      <c r="DU3023" s="5" t="s">
        <v>3697</v>
      </c>
      <c r="HM3023" s="5" t="s">
        <v>264</v>
      </c>
    </row>
    <row r="3024" spans="1:221" x14ac:dyDescent="0.4">
      <c r="A3024" s="5">
        <v>4728</v>
      </c>
      <c r="B3024" s="5">
        <v>1</v>
      </c>
      <c r="C3024" s="5">
        <v>1</v>
      </c>
      <c r="D3024" s="5" t="s">
        <v>269</v>
      </c>
      <c r="E3024" s="5" t="s">
        <v>271</v>
      </c>
      <c r="F3024" s="5" t="s">
        <v>248</v>
      </c>
      <c r="G3024" s="5" t="s">
        <v>266</v>
      </c>
      <c r="H3024" s="6" t="s">
        <v>4064</v>
      </c>
      <c r="I3024" s="7">
        <f>1146</f>
        <v>1146</v>
      </c>
      <c r="J3024" s="5" t="s">
        <v>262</v>
      </c>
      <c r="K3024" s="8">
        <f>1</f>
        <v>1</v>
      </c>
      <c r="L3024" s="6" t="s">
        <v>242</v>
      </c>
      <c r="M3024" s="5" t="s">
        <v>267</v>
      </c>
      <c r="N3024" s="5" t="s">
        <v>265</v>
      </c>
      <c r="O3024" s="5" t="s">
        <v>238</v>
      </c>
      <c r="P3024" s="5" t="s">
        <v>238</v>
      </c>
      <c r="Q3024" s="5" t="s">
        <v>268</v>
      </c>
      <c r="R3024" s="5" t="s">
        <v>270</v>
      </c>
      <c r="S3024" s="5" t="s">
        <v>238</v>
      </c>
      <c r="V3024" s="5" t="s">
        <v>238</v>
      </c>
      <c r="X3024" s="6" t="s">
        <v>238</v>
      </c>
      <c r="AA3024" s="6" t="s">
        <v>243</v>
      </c>
      <c r="AB3024" s="5" t="s">
        <v>238</v>
      </c>
      <c r="AC3024" s="5" t="s">
        <v>244</v>
      </c>
      <c r="AD3024" s="5" t="s">
        <v>245</v>
      </c>
      <c r="AT3024" s="5" t="s">
        <v>246</v>
      </c>
      <c r="AU3024" s="5" t="s">
        <v>238</v>
      </c>
      <c r="AV3024" s="5" t="s">
        <v>247</v>
      </c>
      <c r="AW3024" s="5" t="s">
        <v>238</v>
      </c>
      <c r="AX3024" s="5" t="s">
        <v>249</v>
      </c>
      <c r="AY3024" s="5" t="s">
        <v>238</v>
      </c>
      <c r="BA3024" s="5" t="s">
        <v>238</v>
      </c>
      <c r="BC3024" s="5" t="s">
        <v>250</v>
      </c>
      <c r="BD3024" s="6" t="s">
        <v>243</v>
      </c>
      <c r="BE3024" s="5" t="s">
        <v>251</v>
      </c>
      <c r="BF3024" s="5" t="s">
        <v>252</v>
      </c>
      <c r="BG3024" s="5" t="s">
        <v>238</v>
      </c>
      <c r="BH3024" s="7">
        <f>0</f>
        <v>0</v>
      </c>
      <c r="BI3024" s="8">
        <f>0</f>
        <v>0</v>
      </c>
      <c r="BJ3024" s="5" t="s">
        <v>253</v>
      </c>
      <c r="BK3024" s="5" t="s">
        <v>254</v>
      </c>
      <c r="BY3024" s="5" t="s">
        <v>238</v>
      </c>
      <c r="BZ3024" s="5" t="s">
        <v>238</v>
      </c>
      <c r="CD3024" s="5" t="s">
        <v>273</v>
      </c>
      <c r="CE3024" s="5" t="s">
        <v>256</v>
      </c>
      <c r="CF3024" s="5" t="s">
        <v>238</v>
      </c>
      <c r="CI3024" s="6" t="s">
        <v>257</v>
      </c>
      <c r="CJ3024" s="5" t="s">
        <v>238</v>
      </c>
      <c r="CK3024" s="5" t="s">
        <v>258</v>
      </c>
      <c r="CL3024" s="5" t="s">
        <v>238</v>
      </c>
      <c r="CM3024" s="5" t="s">
        <v>238</v>
      </c>
      <c r="CN3024" s="5">
        <v>0</v>
      </c>
      <c r="CO3024" s="5" t="s">
        <v>259</v>
      </c>
      <c r="CP3024" s="5" t="s">
        <v>260</v>
      </c>
      <c r="CQ3024" s="5" t="s">
        <v>260</v>
      </c>
      <c r="CR3024" s="5" t="s">
        <v>261</v>
      </c>
      <c r="CU3024" s="8">
        <f>1</f>
        <v>1</v>
      </c>
      <c r="CV3024" s="8">
        <f>0</f>
        <v>0</v>
      </c>
      <c r="CX3024" s="8">
        <f>0</f>
        <v>0</v>
      </c>
      <c r="CY3024" s="8">
        <f>1</f>
        <v>1</v>
      </c>
      <c r="DA3024" s="5" t="s">
        <v>274</v>
      </c>
      <c r="DB3024" s="5" t="s">
        <v>238</v>
      </c>
      <c r="DD3024" s="5" t="s">
        <v>274</v>
      </c>
      <c r="DE3024" s="8">
        <f>1146</f>
        <v>1146</v>
      </c>
      <c r="DG3024" s="5" t="s">
        <v>238</v>
      </c>
      <c r="DH3024" s="5" t="s">
        <v>238</v>
      </c>
      <c r="DI3024" s="5" t="s">
        <v>238</v>
      </c>
      <c r="DJ3024" s="5" t="s">
        <v>238</v>
      </c>
      <c r="DN3024" s="5" t="s">
        <v>238</v>
      </c>
      <c r="DO3024" s="5" t="s">
        <v>238</v>
      </c>
      <c r="DP3024" s="5" t="s">
        <v>238</v>
      </c>
      <c r="DQ3024" s="5" t="s">
        <v>238</v>
      </c>
      <c r="DT3024" s="5" t="s">
        <v>275</v>
      </c>
      <c r="DU3024" s="5" t="s">
        <v>3700</v>
      </c>
      <c r="HM3024" s="5" t="s">
        <v>264</v>
      </c>
    </row>
    <row r="3025" spans="1:221" x14ac:dyDescent="0.4">
      <c r="A3025" s="5">
        <v>4729</v>
      </c>
      <c r="B3025" s="5">
        <v>1</v>
      </c>
      <c r="C3025" s="5">
        <v>1</v>
      </c>
      <c r="D3025" s="5" t="s">
        <v>269</v>
      </c>
      <c r="E3025" s="5" t="s">
        <v>271</v>
      </c>
      <c r="F3025" s="5" t="s">
        <v>248</v>
      </c>
      <c r="G3025" s="5" t="s">
        <v>266</v>
      </c>
      <c r="H3025" s="6" t="s">
        <v>5744</v>
      </c>
      <c r="I3025" s="7">
        <f>541</f>
        <v>541</v>
      </c>
      <c r="J3025" s="5" t="s">
        <v>262</v>
      </c>
      <c r="K3025" s="8">
        <f>1</f>
        <v>1</v>
      </c>
      <c r="L3025" s="6" t="s">
        <v>242</v>
      </c>
      <c r="M3025" s="5" t="s">
        <v>267</v>
      </c>
      <c r="N3025" s="5" t="s">
        <v>265</v>
      </c>
      <c r="O3025" s="5" t="s">
        <v>238</v>
      </c>
      <c r="P3025" s="5" t="s">
        <v>238</v>
      </c>
      <c r="Q3025" s="5" t="s">
        <v>268</v>
      </c>
      <c r="R3025" s="5" t="s">
        <v>270</v>
      </c>
      <c r="S3025" s="5" t="s">
        <v>238</v>
      </c>
      <c r="V3025" s="5" t="s">
        <v>238</v>
      </c>
      <c r="X3025" s="6" t="s">
        <v>238</v>
      </c>
      <c r="AA3025" s="6" t="s">
        <v>243</v>
      </c>
      <c r="AB3025" s="5" t="s">
        <v>238</v>
      </c>
      <c r="AC3025" s="5" t="s">
        <v>244</v>
      </c>
      <c r="AD3025" s="5" t="s">
        <v>245</v>
      </c>
      <c r="AT3025" s="5" t="s">
        <v>246</v>
      </c>
      <c r="AU3025" s="5" t="s">
        <v>238</v>
      </c>
      <c r="AV3025" s="5" t="s">
        <v>247</v>
      </c>
      <c r="AW3025" s="5" t="s">
        <v>238</v>
      </c>
      <c r="AX3025" s="5" t="s">
        <v>249</v>
      </c>
      <c r="AY3025" s="5" t="s">
        <v>238</v>
      </c>
      <c r="BA3025" s="5" t="s">
        <v>238</v>
      </c>
      <c r="BC3025" s="5" t="s">
        <v>250</v>
      </c>
      <c r="BD3025" s="6" t="s">
        <v>243</v>
      </c>
      <c r="BE3025" s="5" t="s">
        <v>251</v>
      </c>
      <c r="BF3025" s="5" t="s">
        <v>252</v>
      </c>
      <c r="BG3025" s="5" t="s">
        <v>238</v>
      </c>
      <c r="BH3025" s="7">
        <f>0</f>
        <v>0</v>
      </c>
      <c r="BI3025" s="8">
        <f>0</f>
        <v>0</v>
      </c>
      <c r="BJ3025" s="5" t="s">
        <v>253</v>
      </c>
      <c r="BK3025" s="5" t="s">
        <v>254</v>
      </c>
      <c r="BY3025" s="5" t="s">
        <v>238</v>
      </c>
      <c r="BZ3025" s="5" t="s">
        <v>238</v>
      </c>
      <c r="CD3025" s="5" t="s">
        <v>273</v>
      </c>
      <c r="CE3025" s="5" t="s">
        <v>256</v>
      </c>
      <c r="CF3025" s="5" t="s">
        <v>238</v>
      </c>
      <c r="CI3025" s="6" t="s">
        <v>257</v>
      </c>
      <c r="CJ3025" s="5" t="s">
        <v>238</v>
      </c>
      <c r="CK3025" s="5" t="s">
        <v>258</v>
      </c>
      <c r="CL3025" s="5" t="s">
        <v>238</v>
      </c>
      <c r="CM3025" s="5" t="s">
        <v>238</v>
      </c>
      <c r="CN3025" s="5">
        <v>0</v>
      </c>
      <c r="CO3025" s="5" t="s">
        <v>259</v>
      </c>
      <c r="CP3025" s="5" t="s">
        <v>260</v>
      </c>
      <c r="CQ3025" s="5" t="s">
        <v>260</v>
      </c>
      <c r="CR3025" s="5" t="s">
        <v>261</v>
      </c>
      <c r="CU3025" s="8">
        <f>1</f>
        <v>1</v>
      </c>
      <c r="CV3025" s="8">
        <f>0</f>
        <v>0</v>
      </c>
      <c r="CX3025" s="8">
        <f>0</f>
        <v>0</v>
      </c>
      <c r="CY3025" s="8">
        <f>1</f>
        <v>1</v>
      </c>
      <c r="DA3025" s="5" t="s">
        <v>274</v>
      </c>
      <c r="DB3025" s="5" t="s">
        <v>238</v>
      </c>
      <c r="DD3025" s="5" t="s">
        <v>274</v>
      </c>
      <c r="DE3025" s="8">
        <f>541</f>
        <v>541</v>
      </c>
      <c r="DG3025" s="5" t="s">
        <v>238</v>
      </c>
      <c r="DH3025" s="5" t="s">
        <v>238</v>
      </c>
      <c r="DI3025" s="5" t="s">
        <v>238</v>
      </c>
      <c r="DJ3025" s="5" t="s">
        <v>238</v>
      </c>
      <c r="DN3025" s="5" t="s">
        <v>238</v>
      </c>
      <c r="DO3025" s="5" t="s">
        <v>238</v>
      </c>
      <c r="DP3025" s="5" t="s">
        <v>238</v>
      </c>
      <c r="DQ3025" s="5" t="s">
        <v>238</v>
      </c>
      <c r="DT3025" s="5" t="s">
        <v>275</v>
      </c>
      <c r="DU3025" s="5" t="s">
        <v>3702</v>
      </c>
      <c r="HM3025" s="5" t="s">
        <v>264</v>
      </c>
    </row>
    <row r="3026" spans="1:221" x14ac:dyDescent="0.4">
      <c r="A3026" s="5">
        <v>4730</v>
      </c>
      <c r="B3026" s="5">
        <v>1</v>
      </c>
      <c r="C3026" s="5">
        <v>1</v>
      </c>
      <c r="D3026" s="5" t="s">
        <v>269</v>
      </c>
      <c r="E3026" s="5" t="s">
        <v>271</v>
      </c>
      <c r="F3026" s="5" t="s">
        <v>248</v>
      </c>
      <c r="G3026" s="5" t="s">
        <v>266</v>
      </c>
      <c r="H3026" s="6" t="s">
        <v>4069</v>
      </c>
      <c r="I3026" s="7">
        <f>467</f>
        <v>467</v>
      </c>
      <c r="J3026" s="5" t="s">
        <v>262</v>
      </c>
      <c r="K3026" s="8">
        <f>1</f>
        <v>1</v>
      </c>
      <c r="L3026" s="6" t="s">
        <v>242</v>
      </c>
      <c r="M3026" s="5" t="s">
        <v>267</v>
      </c>
      <c r="N3026" s="5" t="s">
        <v>265</v>
      </c>
      <c r="O3026" s="5" t="s">
        <v>238</v>
      </c>
      <c r="P3026" s="5" t="s">
        <v>238</v>
      </c>
      <c r="Q3026" s="5" t="s">
        <v>268</v>
      </c>
      <c r="R3026" s="5" t="s">
        <v>270</v>
      </c>
      <c r="S3026" s="5" t="s">
        <v>238</v>
      </c>
      <c r="V3026" s="5" t="s">
        <v>238</v>
      </c>
      <c r="X3026" s="6" t="s">
        <v>238</v>
      </c>
      <c r="AA3026" s="6" t="s">
        <v>243</v>
      </c>
      <c r="AB3026" s="5" t="s">
        <v>238</v>
      </c>
      <c r="AC3026" s="5" t="s">
        <v>244</v>
      </c>
      <c r="AD3026" s="5" t="s">
        <v>245</v>
      </c>
      <c r="AT3026" s="5" t="s">
        <v>246</v>
      </c>
      <c r="AU3026" s="5" t="s">
        <v>238</v>
      </c>
      <c r="AV3026" s="5" t="s">
        <v>247</v>
      </c>
      <c r="AW3026" s="5" t="s">
        <v>238</v>
      </c>
      <c r="AX3026" s="5" t="s">
        <v>249</v>
      </c>
      <c r="AY3026" s="5" t="s">
        <v>238</v>
      </c>
      <c r="BA3026" s="5" t="s">
        <v>238</v>
      </c>
      <c r="BC3026" s="5" t="s">
        <v>250</v>
      </c>
      <c r="BD3026" s="6" t="s">
        <v>243</v>
      </c>
      <c r="BE3026" s="5" t="s">
        <v>251</v>
      </c>
      <c r="BF3026" s="5" t="s">
        <v>252</v>
      </c>
      <c r="BG3026" s="5" t="s">
        <v>238</v>
      </c>
      <c r="BH3026" s="7">
        <f>0</f>
        <v>0</v>
      </c>
      <c r="BI3026" s="8">
        <f>0</f>
        <v>0</v>
      </c>
      <c r="BJ3026" s="5" t="s">
        <v>253</v>
      </c>
      <c r="BK3026" s="5" t="s">
        <v>254</v>
      </c>
      <c r="BY3026" s="5" t="s">
        <v>238</v>
      </c>
      <c r="BZ3026" s="5" t="s">
        <v>238</v>
      </c>
      <c r="CD3026" s="5" t="s">
        <v>273</v>
      </c>
      <c r="CE3026" s="5" t="s">
        <v>256</v>
      </c>
      <c r="CF3026" s="5" t="s">
        <v>238</v>
      </c>
      <c r="CI3026" s="6" t="s">
        <v>257</v>
      </c>
      <c r="CJ3026" s="5" t="s">
        <v>238</v>
      </c>
      <c r="CK3026" s="5" t="s">
        <v>258</v>
      </c>
      <c r="CL3026" s="5" t="s">
        <v>238</v>
      </c>
      <c r="CM3026" s="5" t="s">
        <v>238</v>
      </c>
      <c r="CN3026" s="5">
        <v>0</v>
      </c>
      <c r="CO3026" s="5" t="s">
        <v>259</v>
      </c>
      <c r="CP3026" s="5" t="s">
        <v>260</v>
      </c>
      <c r="CQ3026" s="5" t="s">
        <v>260</v>
      </c>
      <c r="CR3026" s="5" t="s">
        <v>261</v>
      </c>
      <c r="CU3026" s="8">
        <f>1</f>
        <v>1</v>
      </c>
      <c r="CV3026" s="8">
        <f>0</f>
        <v>0</v>
      </c>
      <c r="CX3026" s="8">
        <f>0</f>
        <v>0</v>
      </c>
      <c r="CY3026" s="8">
        <f>1</f>
        <v>1</v>
      </c>
      <c r="DA3026" s="5" t="s">
        <v>274</v>
      </c>
      <c r="DB3026" s="5" t="s">
        <v>238</v>
      </c>
      <c r="DD3026" s="5" t="s">
        <v>274</v>
      </c>
      <c r="DE3026" s="8">
        <f>467</f>
        <v>467</v>
      </c>
      <c r="DG3026" s="5" t="s">
        <v>238</v>
      </c>
      <c r="DH3026" s="5" t="s">
        <v>238</v>
      </c>
      <c r="DI3026" s="5" t="s">
        <v>238</v>
      </c>
      <c r="DJ3026" s="5" t="s">
        <v>238</v>
      </c>
      <c r="DN3026" s="5" t="s">
        <v>238</v>
      </c>
      <c r="DO3026" s="5" t="s">
        <v>238</v>
      </c>
      <c r="DP3026" s="5" t="s">
        <v>238</v>
      </c>
      <c r="DQ3026" s="5" t="s">
        <v>238</v>
      </c>
      <c r="DT3026" s="5" t="s">
        <v>275</v>
      </c>
      <c r="DU3026" s="5" t="s">
        <v>3705</v>
      </c>
      <c r="HM3026" s="5" t="s">
        <v>264</v>
      </c>
    </row>
    <row r="3027" spans="1:221" x14ac:dyDescent="0.4">
      <c r="A3027" s="5">
        <v>4731</v>
      </c>
      <c r="B3027" s="5">
        <v>1</v>
      </c>
      <c r="C3027" s="5">
        <v>1</v>
      </c>
      <c r="D3027" s="5" t="s">
        <v>269</v>
      </c>
      <c r="E3027" s="5" t="s">
        <v>271</v>
      </c>
      <c r="F3027" s="5" t="s">
        <v>248</v>
      </c>
      <c r="G3027" s="5" t="s">
        <v>266</v>
      </c>
      <c r="H3027" s="6" t="s">
        <v>4071</v>
      </c>
      <c r="I3027" s="7">
        <f>1667</f>
        <v>1667</v>
      </c>
      <c r="J3027" s="5" t="s">
        <v>262</v>
      </c>
      <c r="K3027" s="8">
        <f>1</f>
        <v>1</v>
      </c>
      <c r="L3027" s="6" t="s">
        <v>242</v>
      </c>
      <c r="M3027" s="5" t="s">
        <v>267</v>
      </c>
      <c r="N3027" s="5" t="s">
        <v>265</v>
      </c>
      <c r="O3027" s="5" t="s">
        <v>238</v>
      </c>
      <c r="P3027" s="5" t="s">
        <v>238</v>
      </c>
      <c r="Q3027" s="5" t="s">
        <v>268</v>
      </c>
      <c r="R3027" s="5" t="s">
        <v>270</v>
      </c>
      <c r="S3027" s="5" t="s">
        <v>238</v>
      </c>
      <c r="V3027" s="5" t="s">
        <v>238</v>
      </c>
      <c r="X3027" s="6" t="s">
        <v>238</v>
      </c>
      <c r="AA3027" s="6" t="s">
        <v>243</v>
      </c>
      <c r="AB3027" s="5" t="s">
        <v>238</v>
      </c>
      <c r="AC3027" s="5" t="s">
        <v>244</v>
      </c>
      <c r="AD3027" s="5" t="s">
        <v>245</v>
      </c>
      <c r="AT3027" s="5" t="s">
        <v>246</v>
      </c>
      <c r="AU3027" s="5" t="s">
        <v>238</v>
      </c>
      <c r="AV3027" s="5" t="s">
        <v>247</v>
      </c>
      <c r="AW3027" s="5" t="s">
        <v>238</v>
      </c>
      <c r="AX3027" s="5" t="s">
        <v>249</v>
      </c>
      <c r="AY3027" s="5" t="s">
        <v>238</v>
      </c>
      <c r="BA3027" s="5" t="s">
        <v>238</v>
      </c>
      <c r="BC3027" s="5" t="s">
        <v>250</v>
      </c>
      <c r="BD3027" s="6" t="s">
        <v>243</v>
      </c>
      <c r="BE3027" s="5" t="s">
        <v>251</v>
      </c>
      <c r="BF3027" s="5" t="s">
        <v>252</v>
      </c>
      <c r="BG3027" s="5" t="s">
        <v>238</v>
      </c>
      <c r="BH3027" s="7">
        <f>0</f>
        <v>0</v>
      </c>
      <c r="BI3027" s="8">
        <f>0</f>
        <v>0</v>
      </c>
      <c r="BJ3027" s="5" t="s">
        <v>253</v>
      </c>
      <c r="BK3027" s="5" t="s">
        <v>254</v>
      </c>
      <c r="BY3027" s="5" t="s">
        <v>238</v>
      </c>
      <c r="BZ3027" s="5" t="s">
        <v>238</v>
      </c>
      <c r="CD3027" s="5" t="s">
        <v>273</v>
      </c>
      <c r="CE3027" s="5" t="s">
        <v>256</v>
      </c>
      <c r="CF3027" s="5" t="s">
        <v>238</v>
      </c>
      <c r="CI3027" s="6" t="s">
        <v>257</v>
      </c>
      <c r="CJ3027" s="5" t="s">
        <v>238</v>
      </c>
      <c r="CK3027" s="5" t="s">
        <v>258</v>
      </c>
      <c r="CL3027" s="5" t="s">
        <v>238</v>
      </c>
      <c r="CM3027" s="5" t="s">
        <v>238</v>
      </c>
      <c r="CN3027" s="5">
        <v>0</v>
      </c>
      <c r="CO3027" s="5" t="s">
        <v>259</v>
      </c>
      <c r="CP3027" s="5" t="s">
        <v>260</v>
      </c>
      <c r="CQ3027" s="5" t="s">
        <v>260</v>
      </c>
      <c r="CR3027" s="5" t="s">
        <v>261</v>
      </c>
      <c r="CU3027" s="8">
        <f>1</f>
        <v>1</v>
      </c>
      <c r="CV3027" s="8">
        <f>0</f>
        <v>0</v>
      </c>
      <c r="CX3027" s="8">
        <f>0</f>
        <v>0</v>
      </c>
      <c r="CY3027" s="8">
        <f>1</f>
        <v>1</v>
      </c>
      <c r="DA3027" s="5" t="s">
        <v>274</v>
      </c>
      <c r="DB3027" s="5" t="s">
        <v>238</v>
      </c>
      <c r="DD3027" s="5" t="s">
        <v>274</v>
      </c>
      <c r="DE3027" s="8">
        <f>1667</f>
        <v>1667</v>
      </c>
      <c r="DG3027" s="5" t="s">
        <v>238</v>
      </c>
      <c r="DH3027" s="5" t="s">
        <v>238</v>
      </c>
      <c r="DI3027" s="5" t="s">
        <v>238</v>
      </c>
      <c r="DJ3027" s="5" t="s">
        <v>238</v>
      </c>
      <c r="DN3027" s="5" t="s">
        <v>238</v>
      </c>
      <c r="DO3027" s="5" t="s">
        <v>238</v>
      </c>
      <c r="DP3027" s="5" t="s">
        <v>238</v>
      </c>
      <c r="DQ3027" s="5" t="s">
        <v>238</v>
      </c>
      <c r="DT3027" s="5" t="s">
        <v>275</v>
      </c>
      <c r="DU3027" s="5" t="s">
        <v>3707</v>
      </c>
      <c r="HM3027" s="5" t="s">
        <v>264</v>
      </c>
    </row>
    <row r="3028" spans="1:221" x14ac:dyDescent="0.4">
      <c r="A3028" s="5">
        <v>4732</v>
      </c>
      <c r="B3028" s="5">
        <v>1</v>
      </c>
      <c r="C3028" s="5">
        <v>1</v>
      </c>
      <c r="D3028" s="5" t="s">
        <v>269</v>
      </c>
      <c r="E3028" s="5" t="s">
        <v>271</v>
      </c>
      <c r="F3028" s="5" t="s">
        <v>248</v>
      </c>
      <c r="G3028" s="5" t="s">
        <v>266</v>
      </c>
      <c r="H3028" s="6" t="s">
        <v>4077</v>
      </c>
      <c r="I3028" s="7">
        <f>291</f>
        <v>291</v>
      </c>
      <c r="J3028" s="5" t="s">
        <v>262</v>
      </c>
      <c r="K3028" s="8">
        <f>1</f>
        <v>1</v>
      </c>
      <c r="L3028" s="6" t="s">
        <v>242</v>
      </c>
      <c r="M3028" s="5" t="s">
        <v>267</v>
      </c>
      <c r="N3028" s="5" t="s">
        <v>265</v>
      </c>
      <c r="O3028" s="5" t="s">
        <v>238</v>
      </c>
      <c r="P3028" s="5" t="s">
        <v>238</v>
      </c>
      <c r="Q3028" s="5" t="s">
        <v>268</v>
      </c>
      <c r="R3028" s="5" t="s">
        <v>270</v>
      </c>
      <c r="S3028" s="5" t="s">
        <v>238</v>
      </c>
      <c r="V3028" s="5" t="s">
        <v>238</v>
      </c>
      <c r="X3028" s="6" t="s">
        <v>238</v>
      </c>
      <c r="AA3028" s="6" t="s">
        <v>243</v>
      </c>
      <c r="AB3028" s="5" t="s">
        <v>238</v>
      </c>
      <c r="AC3028" s="5" t="s">
        <v>244</v>
      </c>
      <c r="AD3028" s="5" t="s">
        <v>245</v>
      </c>
      <c r="AT3028" s="5" t="s">
        <v>246</v>
      </c>
      <c r="AU3028" s="5" t="s">
        <v>238</v>
      </c>
      <c r="AV3028" s="5" t="s">
        <v>247</v>
      </c>
      <c r="AW3028" s="5" t="s">
        <v>238</v>
      </c>
      <c r="AX3028" s="5" t="s">
        <v>249</v>
      </c>
      <c r="AY3028" s="5" t="s">
        <v>238</v>
      </c>
      <c r="BA3028" s="5" t="s">
        <v>238</v>
      </c>
      <c r="BC3028" s="5" t="s">
        <v>250</v>
      </c>
      <c r="BD3028" s="6" t="s">
        <v>243</v>
      </c>
      <c r="BE3028" s="5" t="s">
        <v>251</v>
      </c>
      <c r="BF3028" s="5" t="s">
        <v>252</v>
      </c>
      <c r="BG3028" s="5" t="s">
        <v>238</v>
      </c>
      <c r="BH3028" s="7">
        <f>0</f>
        <v>0</v>
      </c>
      <c r="BI3028" s="8">
        <f>0</f>
        <v>0</v>
      </c>
      <c r="BJ3028" s="5" t="s">
        <v>253</v>
      </c>
      <c r="BK3028" s="5" t="s">
        <v>254</v>
      </c>
      <c r="BY3028" s="5" t="s">
        <v>238</v>
      </c>
      <c r="BZ3028" s="5" t="s">
        <v>238</v>
      </c>
      <c r="CD3028" s="5" t="s">
        <v>273</v>
      </c>
      <c r="CE3028" s="5" t="s">
        <v>256</v>
      </c>
      <c r="CF3028" s="5" t="s">
        <v>238</v>
      </c>
      <c r="CI3028" s="6" t="s">
        <v>257</v>
      </c>
      <c r="CJ3028" s="5" t="s">
        <v>238</v>
      </c>
      <c r="CK3028" s="5" t="s">
        <v>258</v>
      </c>
      <c r="CL3028" s="5" t="s">
        <v>238</v>
      </c>
      <c r="CM3028" s="5" t="s">
        <v>238</v>
      </c>
      <c r="CN3028" s="5">
        <v>0</v>
      </c>
      <c r="CO3028" s="5" t="s">
        <v>259</v>
      </c>
      <c r="CP3028" s="5" t="s">
        <v>260</v>
      </c>
      <c r="CQ3028" s="5" t="s">
        <v>260</v>
      </c>
      <c r="CR3028" s="5" t="s">
        <v>261</v>
      </c>
      <c r="CU3028" s="8">
        <f>1</f>
        <v>1</v>
      </c>
      <c r="CV3028" s="8">
        <f>0</f>
        <v>0</v>
      </c>
      <c r="CX3028" s="8">
        <f>0</f>
        <v>0</v>
      </c>
      <c r="CY3028" s="8">
        <f>1</f>
        <v>1</v>
      </c>
      <c r="DA3028" s="5" t="s">
        <v>274</v>
      </c>
      <c r="DB3028" s="5" t="s">
        <v>238</v>
      </c>
      <c r="DD3028" s="5" t="s">
        <v>274</v>
      </c>
      <c r="DE3028" s="8">
        <f>291</f>
        <v>291</v>
      </c>
      <c r="DG3028" s="5" t="s">
        <v>238</v>
      </c>
      <c r="DH3028" s="5" t="s">
        <v>238</v>
      </c>
      <c r="DI3028" s="5" t="s">
        <v>238</v>
      </c>
      <c r="DJ3028" s="5" t="s">
        <v>238</v>
      </c>
      <c r="DN3028" s="5" t="s">
        <v>238</v>
      </c>
      <c r="DO3028" s="5" t="s">
        <v>238</v>
      </c>
      <c r="DP3028" s="5" t="s">
        <v>238</v>
      </c>
      <c r="DQ3028" s="5" t="s">
        <v>238</v>
      </c>
      <c r="DT3028" s="5" t="s">
        <v>275</v>
      </c>
      <c r="DU3028" s="5" t="s">
        <v>3719</v>
      </c>
      <c r="HM3028" s="5" t="s">
        <v>264</v>
      </c>
    </row>
    <row r="3029" spans="1:221" x14ac:dyDescent="0.4">
      <c r="A3029" s="5">
        <v>4733</v>
      </c>
      <c r="B3029" s="5">
        <v>1</v>
      </c>
      <c r="C3029" s="5">
        <v>1</v>
      </c>
      <c r="D3029" s="5" t="s">
        <v>269</v>
      </c>
      <c r="E3029" s="5" t="s">
        <v>271</v>
      </c>
      <c r="F3029" s="5" t="s">
        <v>248</v>
      </c>
      <c r="G3029" s="5" t="s">
        <v>266</v>
      </c>
      <c r="H3029" s="6" t="s">
        <v>5750</v>
      </c>
      <c r="I3029" s="7">
        <f>339</f>
        <v>339</v>
      </c>
      <c r="J3029" s="5" t="s">
        <v>262</v>
      </c>
      <c r="K3029" s="8">
        <f>1</f>
        <v>1</v>
      </c>
      <c r="L3029" s="6" t="s">
        <v>242</v>
      </c>
      <c r="M3029" s="5" t="s">
        <v>267</v>
      </c>
      <c r="N3029" s="5" t="s">
        <v>265</v>
      </c>
      <c r="O3029" s="5" t="s">
        <v>238</v>
      </c>
      <c r="P3029" s="5" t="s">
        <v>238</v>
      </c>
      <c r="Q3029" s="5" t="s">
        <v>268</v>
      </c>
      <c r="R3029" s="5" t="s">
        <v>270</v>
      </c>
      <c r="S3029" s="5" t="s">
        <v>238</v>
      </c>
      <c r="V3029" s="5" t="s">
        <v>238</v>
      </c>
      <c r="X3029" s="6" t="s">
        <v>238</v>
      </c>
      <c r="AA3029" s="6" t="s">
        <v>243</v>
      </c>
      <c r="AB3029" s="5" t="s">
        <v>238</v>
      </c>
      <c r="AC3029" s="5" t="s">
        <v>244</v>
      </c>
      <c r="AD3029" s="5" t="s">
        <v>245</v>
      </c>
      <c r="AT3029" s="5" t="s">
        <v>246</v>
      </c>
      <c r="AU3029" s="5" t="s">
        <v>238</v>
      </c>
      <c r="AV3029" s="5" t="s">
        <v>247</v>
      </c>
      <c r="AW3029" s="5" t="s">
        <v>238</v>
      </c>
      <c r="AX3029" s="5" t="s">
        <v>249</v>
      </c>
      <c r="AY3029" s="5" t="s">
        <v>238</v>
      </c>
      <c r="BA3029" s="5" t="s">
        <v>238</v>
      </c>
      <c r="BC3029" s="5" t="s">
        <v>250</v>
      </c>
      <c r="BD3029" s="6" t="s">
        <v>243</v>
      </c>
      <c r="BE3029" s="5" t="s">
        <v>251</v>
      </c>
      <c r="BF3029" s="5" t="s">
        <v>252</v>
      </c>
      <c r="BG3029" s="5" t="s">
        <v>238</v>
      </c>
      <c r="BH3029" s="7">
        <f>0</f>
        <v>0</v>
      </c>
      <c r="BI3029" s="8">
        <f>0</f>
        <v>0</v>
      </c>
      <c r="BJ3029" s="5" t="s">
        <v>253</v>
      </c>
      <c r="BK3029" s="5" t="s">
        <v>254</v>
      </c>
      <c r="BY3029" s="5" t="s">
        <v>238</v>
      </c>
      <c r="BZ3029" s="5" t="s">
        <v>238</v>
      </c>
      <c r="CD3029" s="5" t="s">
        <v>273</v>
      </c>
      <c r="CE3029" s="5" t="s">
        <v>256</v>
      </c>
      <c r="CF3029" s="5" t="s">
        <v>238</v>
      </c>
      <c r="CI3029" s="6" t="s">
        <v>257</v>
      </c>
      <c r="CJ3029" s="5" t="s">
        <v>238</v>
      </c>
      <c r="CK3029" s="5" t="s">
        <v>258</v>
      </c>
      <c r="CL3029" s="5" t="s">
        <v>238</v>
      </c>
      <c r="CM3029" s="5" t="s">
        <v>238</v>
      </c>
      <c r="CN3029" s="5">
        <v>0</v>
      </c>
      <c r="CO3029" s="5" t="s">
        <v>259</v>
      </c>
      <c r="CP3029" s="5" t="s">
        <v>260</v>
      </c>
      <c r="CQ3029" s="5" t="s">
        <v>260</v>
      </c>
      <c r="CR3029" s="5" t="s">
        <v>261</v>
      </c>
      <c r="CU3029" s="8">
        <f>1</f>
        <v>1</v>
      </c>
      <c r="CV3029" s="8">
        <f>0</f>
        <v>0</v>
      </c>
      <c r="CX3029" s="8">
        <f>0</f>
        <v>0</v>
      </c>
      <c r="CY3029" s="8">
        <f>1</f>
        <v>1</v>
      </c>
      <c r="DA3029" s="5" t="s">
        <v>274</v>
      </c>
      <c r="DB3029" s="5" t="s">
        <v>238</v>
      </c>
      <c r="DD3029" s="5" t="s">
        <v>274</v>
      </c>
      <c r="DE3029" s="8">
        <f>339</f>
        <v>339</v>
      </c>
      <c r="DG3029" s="5" t="s">
        <v>238</v>
      </c>
      <c r="DH3029" s="5" t="s">
        <v>238</v>
      </c>
      <c r="DI3029" s="5" t="s">
        <v>238</v>
      </c>
      <c r="DJ3029" s="5" t="s">
        <v>238</v>
      </c>
      <c r="DN3029" s="5" t="s">
        <v>238</v>
      </c>
      <c r="DO3029" s="5" t="s">
        <v>238</v>
      </c>
      <c r="DP3029" s="5" t="s">
        <v>238</v>
      </c>
      <c r="DQ3029" s="5" t="s">
        <v>238</v>
      </c>
      <c r="DT3029" s="5" t="s">
        <v>275</v>
      </c>
      <c r="DU3029" s="5" t="s">
        <v>2201</v>
      </c>
      <c r="HM3029" s="5" t="s">
        <v>264</v>
      </c>
    </row>
    <row r="3030" spans="1:221" x14ac:dyDescent="0.4">
      <c r="A3030" s="5">
        <v>4734</v>
      </c>
      <c r="B3030" s="5">
        <v>1</v>
      </c>
      <c r="C3030" s="5">
        <v>1</v>
      </c>
      <c r="D3030" s="5" t="s">
        <v>269</v>
      </c>
      <c r="E3030" s="5" t="s">
        <v>271</v>
      </c>
      <c r="F3030" s="5" t="s">
        <v>248</v>
      </c>
      <c r="G3030" s="5" t="s">
        <v>266</v>
      </c>
      <c r="H3030" s="6" t="s">
        <v>4082</v>
      </c>
      <c r="I3030" s="7">
        <f>1637</f>
        <v>1637</v>
      </c>
      <c r="J3030" s="5" t="s">
        <v>262</v>
      </c>
      <c r="K3030" s="8">
        <f>1</f>
        <v>1</v>
      </c>
      <c r="L3030" s="6" t="s">
        <v>242</v>
      </c>
      <c r="M3030" s="5" t="s">
        <v>267</v>
      </c>
      <c r="N3030" s="5" t="s">
        <v>265</v>
      </c>
      <c r="O3030" s="5" t="s">
        <v>238</v>
      </c>
      <c r="P3030" s="5" t="s">
        <v>238</v>
      </c>
      <c r="Q3030" s="5" t="s">
        <v>268</v>
      </c>
      <c r="R3030" s="5" t="s">
        <v>270</v>
      </c>
      <c r="S3030" s="5" t="s">
        <v>238</v>
      </c>
      <c r="V3030" s="5" t="s">
        <v>238</v>
      </c>
      <c r="X3030" s="6" t="s">
        <v>238</v>
      </c>
      <c r="AA3030" s="6" t="s">
        <v>243</v>
      </c>
      <c r="AB3030" s="5" t="s">
        <v>238</v>
      </c>
      <c r="AC3030" s="5" t="s">
        <v>244</v>
      </c>
      <c r="AD3030" s="5" t="s">
        <v>245</v>
      </c>
      <c r="AT3030" s="5" t="s">
        <v>246</v>
      </c>
      <c r="AU3030" s="5" t="s">
        <v>238</v>
      </c>
      <c r="AV3030" s="5" t="s">
        <v>247</v>
      </c>
      <c r="AW3030" s="5" t="s">
        <v>238</v>
      </c>
      <c r="AX3030" s="5" t="s">
        <v>249</v>
      </c>
      <c r="AY3030" s="5" t="s">
        <v>238</v>
      </c>
      <c r="BA3030" s="5" t="s">
        <v>238</v>
      </c>
      <c r="BC3030" s="5" t="s">
        <v>250</v>
      </c>
      <c r="BD3030" s="6" t="s">
        <v>243</v>
      </c>
      <c r="BE3030" s="5" t="s">
        <v>251</v>
      </c>
      <c r="BF3030" s="5" t="s">
        <v>252</v>
      </c>
      <c r="BG3030" s="5" t="s">
        <v>238</v>
      </c>
      <c r="BH3030" s="7">
        <f>0</f>
        <v>0</v>
      </c>
      <c r="BI3030" s="8">
        <f>0</f>
        <v>0</v>
      </c>
      <c r="BJ3030" s="5" t="s">
        <v>253</v>
      </c>
      <c r="BK3030" s="5" t="s">
        <v>254</v>
      </c>
      <c r="BY3030" s="5" t="s">
        <v>238</v>
      </c>
      <c r="BZ3030" s="5" t="s">
        <v>238</v>
      </c>
      <c r="CD3030" s="5" t="s">
        <v>273</v>
      </c>
      <c r="CE3030" s="5" t="s">
        <v>256</v>
      </c>
      <c r="CF3030" s="5" t="s">
        <v>238</v>
      </c>
      <c r="CI3030" s="6" t="s">
        <v>257</v>
      </c>
      <c r="CJ3030" s="5" t="s">
        <v>238</v>
      </c>
      <c r="CK3030" s="5" t="s">
        <v>258</v>
      </c>
      <c r="CL3030" s="5" t="s">
        <v>238</v>
      </c>
      <c r="CM3030" s="5" t="s">
        <v>238</v>
      </c>
      <c r="CN3030" s="5">
        <v>0</v>
      </c>
      <c r="CO3030" s="5" t="s">
        <v>259</v>
      </c>
      <c r="CP3030" s="5" t="s">
        <v>260</v>
      </c>
      <c r="CQ3030" s="5" t="s">
        <v>260</v>
      </c>
      <c r="CR3030" s="5" t="s">
        <v>261</v>
      </c>
      <c r="CU3030" s="8">
        <f>1</f>
        <v>1</v>
      </c>
      <c r="CV3030" s="8">
        <f>0</f>
        <v>0</v>
      </c>
      <c r="CX3030" s="8">
        <f>0</f>
        <v>0</v>
      </c>
      <c r="CY3030" s="8">
        <f>1</f>
        <v>1</v>
      </c>
      <c r="DA3030" s="5" t="s">
        <v>274</v>
      </c>
      <c r="DB3030" s="5" t="s">
        <v>238</v>
      </c>
      <c r="DD3030" s="5" t="s">
        <v>274</v>
      </c>
      <c r="DE3030" s="8">
        <f>1637</f>
        <v>1637</v>
      </c>
      <c r="DG3030" s="5" t="s">
        <v>238</v>
      </c>
      <c r="DH3030" s="5" t="s">
        <v>238</v>
      </c>
      <c r="DI3030" s="5" t="s">
        <v>238</v>
      </c>
      <c r="DJ3030" s="5" t="s">
        <v>238</v>
      </c>
      <c r="DN3030" s="5" t="s">
        <v>238</v>
      </c>
      <c r="DO3030" s="5" t="s">
        <v>238</v>
      </c>
      <c r="DP3030" s="5" t="s">
        <v>238</v>
      </c>
      <c r="DQ3030" s="5" t="s">
        <v>238</v>
      </c>
      <c r="DT3030" s="5" t="s">
        <v>275</v>
      </c>
      <c r="DU3030" s="5" t="s">
        <v>2246</v>
      </c>
      <c r="HM3030" s="5" t="s">
        <v>264</v>
      </c>
    </row>
    <row r="3031" spans="1:221" x14ac:dyDescent="0.4">
      <c r="A3031" s="5">
        <v>4735</v>
      </c>
      <c r="B3031" s="5">
        <v>1</v>
      </c>
      <c r="C3031" s="5">
        <v>1</v>
      </c>
      <c r="D3031" s="5" t="s">
        <v>269</v>
      </c>
      <c r="E3031" s="5" t="s">
        <v>271</v>
      </c>
      <c r="F3031" s="5" t="s">
        <v>248</v>
      </c>
      <c r="G3031" s="5" t="s">
        <v>266</v>
      </c>
      <c r="H3031" s="6" t="s">
        <v>4084</v>
      </c>
      <c r="I3031" s="7">
        <f>208</f>
        <v>208</v>
      </c>
      <c r="J3031" s="5" t="s">
        <v>262</v>
      </c>
      <c r="K3031" s="8">
        <f>1</f>
        <v>1</v>
      </c>
      <c r="L3031" s="6" t="s">
        <v>242</v>
      </c>
      <c r="M3031" s="5" t="s">
        <v>267</v>
      </c>
      <c r="N3031" s="5" t="s">
        <v>265</v>
      </c>
      <c r="O3031" s="5" t="s">
        <v>238</v>
      </c>
      <c r="P3031" s="5" t="s">
        <v>238</v>
      </c>
      <c r="Q3031" s="5" t="s">
        <v>268</v>
      </c>
      <c r="R3031" s="5" t="s">
        <v>270</v>
      </c>
      <c r="S3031" s="5" t="s">
        <v>238</v>
      </c>
      <c r="V3031" s="5" t="s">
        <v>238</v>
      </c>
      <c r="X3031" s="6" t="s">
        <v>238</v>
      </c>
      <c r="AA3031" s="6" t="s">
        <v>243</v>
      </c>
      <c r="AB3031" s="5" t="s">
        <v>238</v>
      </c>
      <c r="AC3031" s="5" t="s">
        <v>244</v>
      </c>
      <c r="AD3031" s="5" t="s">
        <v>245</v>
      </c>
      <c r="AT3031" s="5" t="s">
        <v>246</v>
      </c>
      <c r="AU3031" s="5" t="s">
        <v>238</v>
      </c>
      <c r="AV3031" s="5" t="s">
        <v>247</v>
      </c>
      <c r="AW3031" s="5" t="s">
        <v>238</v>
      </c>
      <c r="AX3031" s="5" t="s">
        <v>249</v>
      </c>
      <c r="AY3031" s="5" t="s">
        <v>238</v>
      </c>
      <c r="BA3031" s="5" t="s">
        <v>238</v>
      </c>
      <c r="BC3031" s="5" t="s">
        <v>250</v>
      </c>
      <c r="BD3031" s="6" t="s">
        <v>243</v>
      </c>
      <c r="BE3031" s="5" t="s">
        <v>251</v>
      </c>
      <c r="BF3031" s="5" t="s">
        <v>252</v>
      </c>
      <c r="BG3031" s="5" t="s">
        <v>238</v>
      </c>
      <c r="BH3031" s="7">
        <f>0</f>
        <v>0</v>
      </c>
      <c r="BI3031" s="8">
        <f>0</f>
        <v>0</v>
      </c>
      <c r="BJ3031" s="5" t="s">
        <v>253</v>
      </c>
      <c r="BK3031" s="5" t="s">
        <v>254</v>
      </c>
      <c r="BY3031" s="5" t="s">
        <v>238</v>
      </c>
      <c r="BZ3031" s="5" t="s">
        <v>238</v>
      </c>
      <c r="CD3031" s="5" t="s">
        <v>273</v>
      </c>
      <c r="CE3031" s="5" t="s">
        <v>256</v>
      </c>
      <c r="CF3031" s="5" t="s">
        <v>238</v>
      </c>
      <c r="CI3031" s="6" t="s">
        <v>257</v>
      </c>
      <c r="CJ3031" s="5" t="s">
        <v>238</v>
      </c>
      <c r="CK3031" s="5" t="s">
        <v>258</v>
      </c>
      <c r="CL3031" s="5" t="s">
        <v>238</v>
      </c>
      <c r="CM3031" s="5" t="s">
        <v>238</v>
      </c>
      <c r="CN3031" s="5">
        <v>0</v>
      </c>
      <c r="CO3031" s="5" t="s">
        <v>259</v>
      </c>
      <c r="CP3031" s="5" t="s">
        <v>260</v>
      </c>
      <c r="CQ3031" s="5" t="s">
        <v>260</v>
      </c>
      <c r="CR3031" s="5" t="s">
        <v>261</v>
      </c>
      <c r="CU3031" s="8">
        <f>1</f>
        <v>1</v>
      </c>
      <c r="CV3031" s="8">
        <f>0</f>
        <v>0</v>
      </c>
      <c r="CX3031" s="8">
        <f>0</f>
        <v>0</v>
      </c>
      <c r="CY3031" s="8">
        <f>1</f>
        <v>1</v>
      </c>
      <c r="DA3031" s="5" t="s">
        <v>274</v>
      </c>
      <c r="DB3031" s="5" t="s">
        <v>238</v>
      </c>
      <c r="DD3031" s="5" t="s">
        <v>274</v>
      </c>
      <c r="DE3031" s="8">
        <f>208</f>
        <v>208</v>
      </c>
      <c r="DG3031" s="5" t="s">
        <v>238</v>
      </c>
      <c r="DH3031" s="5" t="s">
        <v>238</v>
      </c>
      <c r="DI3031" s="5" t="s">
        <v>238</v>
      </c>
      <c r="DJ3031" s="5" t="s">
        <v>238</v>
      </c>
      <c r="DN3031" s="5" t="s">
        <v>238</v>
      </c>
      <c r="DO3031" s="5" t="s">
        <v>238</v>
      </c>
      <c r="DP3031" s="5" t="s">
        <v>238</v>
      </c>
      <c r="DQ3031" s="5" t="s">
        <v>238</v>
      </c>
      <c r="DT3031" s="5" t="s">
        <v>275</v>
      </c>
      <c r="DU3031" s="5" t="s">
        <v>2274</v>
      </c>
      <c r="HM3031" s="5" t="s">
        <v>264</v>
      </c>
    </row>
    <row r="3032" spans="1:221" x14ac:dyDescent="0.4">
      <c r="A3032" s="5">
        <v>4736</v>
      </c>
      <c r="B3032" s="5">
        <v>1</v>
      </c>
      <c r="C3032" s="5">
        <v>1</v>
      </c>
      <c r="D3032" s="5" t="s">
        <v>269</v>
      </c>
      <c r="E3032" s="5" t="s">
        <v>271</v>
      </c>
      <c r="F3032" s="5" t="s">
        <v>248</v>
      </c>
      <c r="G3032" s="5" t="s">
        <v>266</v>
      </c>
      <c r="H3032" s="6" t="s">
        <v>4090</v>
      </c>
      <c r="I3032" s="7">
        <f>336</f>
        <v>336</v>
      </c>
      <c r="J3032" s="5" t="s">
        <v>262</v>
      </c>
      <c r="K3032" s="8">
        <f>1</f>
        <v>1</v>
      </c>
      <c r="L3032" s="6" t="s">
        <v>242</v>
      </c>
      <c r="M3032" s="5" t="s">
        <v>267</v>
      </c>
      <c r="N3032" s="5" t="s">
        <v>265</v>
      </c>
      <c r="O3032" s="5" t="s">
        <v>238</v>
      </c>
      <c r="P3032" s="5" t="s">
        <v>238</v>
      </c>
      <c r="Q3032" s="5" t="s">
        <v>268</v>
      </c>
      <c r="R3032" s="5" t="s">
        <v>270</v>
      </c>
      <c r="S3032" s="5" t="s">
        <v>238</v>
      </c>
      <c r="V3032" s="5" t="s">
        <v>238</v>
      </c>
      <c r="X3032" s="6" t="s">
        <v>238</v>
      </c>
      <c r="AA3032" s="6" t="s">
        <v>243</v>
      </c>
      <c r="AB3032" s="5" t="s">
        <v>238</v>
      </c>
      <c r="AC3032" s="5" t="s">
        <v>244</v>
      </c>
      <c r="AD3032" s="5" t="s">
        <v>245</v>
      </c>
      <c r="AT3032" s="5" t="s">
        <v>246</v>
      </c>
      <c r="AU3032" s="5" t="s">
        <v>238</v>
      </c>
      <c r="AV3032" s="5" t="s">
        <v>247</v>
      </c>
      <c r="AW3032" s="5" t="s">
        <v>238</v>
      </c>
      <c r="AX3032" s="5" t="s">
        <v>249</v>
      </c>
      <c r="AY3032" s="5" t="s">
        <v>238</v>
      </c>
      <c r="BA3032" s="5" t="s">
        <v>238</v>
      </c>
      <c r="BC3032" s="5" t="s">
        <v>250</v>
      </c>
      <c r="BD3032" s="6" t="s">
        <v>243</v>
      </c>
      <c r="BE3032" s="5" t="s">
        <v>251</v>
      </c>
      <c r="BF3032" s="5" t="s">
        <v>252</v>
      </c>
      <c r="BG3032" s="5" t="s">
        <v>238</v>
      </c>
      <c r="BH3032" s="7">
        <f>0</f>
        <v>0</v>
      </c>
      <c r="BI3032" s="8">
        <f>0</f>
        <v>0</v>
      </c>
      <c r="BJ3032" s="5" t="s">
        <v>253</v>
      </c>
      <c r="BK3032" s="5" t="s">
        <v>254</v>
      </c>
      <c r="BY3032" s="5" t="s">
        <v>238</v>
      </c>
      <c r="BZ3032" s="5" t="s">
        <v>238</v>
      </c>
      <c r="CD3032" s="5" t="s">
        <v>273</v>
      </c>
      <c r="CE3032" s="5" t="s">
        <v>256</v>
      </c>
      <c r="CF3032" s="5" t="s">
        <v>238</v>
      </c>
      <c r="CI3032" s="6" t="s">
        <v>257</v>
      </c>
      <c r="CJ3032" s="5" t="s">
        <v>238</v>
      </c>
      <c r="CK3032" s="5" t="s">
        <v>258</v>
      </c>
      <c r="CL3032" s="5" t="s">
        <v>238</v>
      </c>
      <c r="CM3032" s="5" t="s">
        <v>238</v>
      </c>
      <c r="CN3032" s="5">
        <v>0</v>
      </c>
      <c r="CO3032" s="5" t="s">
        <v>259</v>
      </c>
      <c r="CP3032" s="5" t="s">
        <v>260</v>
      </c>
      <c r="CQ3032" s="5" t="s">
        <v>260</v>
      </c>
      <c r="CR3032" s="5" t="s">
        <v>261</v>
      </c>
      <c r="CU3032" s="8">
        <f>1</f>
        <v>1</v>
      </c>
      <c r="CV3032" s="8">
        <f>0</f>
        <v>0</v>
      </c>
      <c r="CX3032" s="8">
        <f>0</f>
        <v>0</v>
      </c>
      <c r="CY3032" s="8">
        <f>1</f>
        <v>1</v>
      </c>
      <c r="DA3032" s="5" t="s">
        <v>274</v>
      </c>
      <c r="DB3032" s="5" t="s">
        <v>238</v>
      </c>
      <c r="DD3032" s="5" t="s">
        <v>274</v>
      </c>
      <c r="DE3032" s="8">
        <f>336</f>
        <v>336</v>
      </c>
      <c r="DG3032" s="5" t="s">
        <v>238</v>
      </c>
      <c r="DH3032" s="5" t="s">
        <v>238</v>
      </c>
      <c r="DI3032" s="5" t="s">
        <v>238</v>
      </c>
      <c r="DJ3032" s="5" t="s">
        <v>238</v>
      </c>
      <c r="DN3032" s="5" t="s">
        <v>238</v>
      </c>
      <c r="DO3032" s="5" t="s">
        <v>238</v>
      </c>
      <c r="DP3032" s="5" t="s">
        <v>238</v>
      </c>
      <c r="DQ3032" s="5" t="s">
        <v>238</v>
      </c>
      <c r="DT3032" s="5" t="s">
        <v>275</v>
      </c>
      <c r="DU3032" s="5" t="s">
        <v>2297</v>
      </c>
      <c r="HM3032" s="5" t="s">
        <v>264</v>
      </c>
    </row>
    <row r="3033" spans="1:221" x14ac:dyDescent="0.4">
      <c r="A3033" s="5">
        <v>4737</v>
      </c>
      <c r="B3033" s="5">
        <v>1</v>
      </c>
      <c r="C3033" s="5">
        <v>1</v>
      </c>
      <c r="D3033" s="5" t="s">
        <v>269</v>
      </c>
      <c r="E3033" s="5" t="s">
        <v>271</v>
      </c>
      <c r="F3033" s="5" t="s">
        <v>248</v>
      </c>
      <c r="G3033" s="5" t="s">
        <v>266</v>
      </c>
      <c r="H3033" s="6" t="s">
        <v>4078</v>
      </c>
      <c r="I3033" s="7">
        <f>406</f>
        <v>406</v>
      </c>
      <c r="J3033" s="5" t="s">
        <v>262</v>
      </c>
      <c r="K3033" s="8">
        <f>1</f>
        <v>1</v>
      </c>
      <c r="L3033" s="6" t="s">
        <v>242</v>
      </c>
      <c r="M3033" s="5" t="s">
        <v>267</v>
      </c>
      <c r="N3033" s="5" t="s">
        <v>265</v>
      </c>
      <c r="O3033" s="5" t="s">
        <v>238</v>
      </c>
      <c r="P3033" s="5" t="s">
        <v>238</v>
      </c>
      <c r="Q3033" s="5" t="s">
        <v>268</v>
      </c>
      <c r="R3033" s="5" t="s">
        <v>270</v>
      </c>
      <c r="S3033" s="5" t="s">
        <v>238</v>
      </c>
      <c r="V3033" s="5" t="s">
        <v>238</v>
      </c>
      <c r="X3033" s="6" t="s">
        <v>238</v>
      </c>
      <c r="AA3033" s="6" t="s">
        <v>243</v>
      </c>
      <c r="AB3033" s="5" t="s">
        <v>238</v>
      </c>
      <c r="AC3033" s="5" t="s">
        <v>244</v>
      </c>
      <c r="AD3033" s="5" t="s">
        <v>245</v>
      </c>
      <c r="AT3033" s="5" t="s">
        <v>246</v>
      </c>
      <c r="AU3033" s="5" t="s">
        <v>238</v>
      </c>
      <c r="AV3033" s="5" t="s">
        <v>247</v>
      </c>
      <c r="AW3033" s="5" t="s">
        <v>238</v>
      </c>
      <c r="AX3033" s="5" t="s">
        <v>249</v>
      </c>
      <c r="AY3033" s="5" t="s">
        <v>238</v>
      </c>
      <c r="BA3033" s="5" t="s">
        <v>238</v>
      </c>
      <c r="BC3033" s="5" t="s">
        <v>250</v>
      </c>
      <c r="BD3033" s="6" t="s">
        <v>243</v>
      </c>
      <c r="BE3033" s="5" t="s">
        <v>251</v>
      </c>
      <c r="BF3033" s="5" t="s">
        <v>252</v>
      </c>
      <c r="BG3033" s="5" t="s">
        <v>238</v>
      </c>
      <c r="BH3033" s="7">
        <f>0</f>
        <v>0</v>
      </c>
      <c r="BI3033" s="8">
        <f>0</f>
        <v>0</v>
      </c>
      <c r="BJ3033" s="5" t="s">
        <v>253</v>
      </c>
      <c r="BK3033" s="5" t="s">
        <v>254</v>
      </c>
      <c r="BY3033" s="5" t="s">
        <v>238</v>
      </c>
      <c r="BZ3033" s="5" t="s">
        <v>238</v>
      </c>
      <c r="CD3033" s="5" t="s">
        <v>273</v>
      </c>
      <c r="CE3033" s="5" t="s">
        <v>256</v>
      </c>
      <c r="CF3033" s="5" t="s">
        <v>238</v>
      </c>
      <c r="CI3033" s="6" t="s">
        <v>257</v>
      </c>
      <c r="CJ3033" s="5" t="s">
        <v>238</v>
      </c>
      <c r="CK3033" s="5" t="s">
        <v>258</v>
      </c>
      <c r="CL3033" s="5" t="s">
        <v>238</v>
      </c>
      <c r="CM3033" s="5" t="s">
        <v>238</v>
      </c>
      <c r="CN3033" s="5">
        <v>0</v>
      </c>
      <c r="CO3033" s="5" t="s">
        <v>259</v>
      </c>
      <c r="CP3033" s="5" t="s">
        <v>260</v>
      </c>
      <c r="CQ3033" s="5" t="s">
        <v>260</v>
      </c>
      <c r="CR3033" s="5" t="s">
        <v>261</v>
      </c>
      <c r="CU3033" s="8">
        <f>1</f>
        <v>1</v>
      </c>
      <c r="CV3033" s="8">
        <f>0</f>
        <v>0</v>
      </c>
      <c r="CX3033" s="8">
        <f>0</f>
        <v>0</v>
      </c>
      <c r="CY3033" s="8">
        <f>1</f>
        <v>1</v>
      </c>
      <c r="DA3033" s="5" t="s">
        <v>274</v>
      </c>
      <c r="DB3033" s="5" t="s">
        <v>238</v>
      </c>
      <c r="DD3033" s="5" t="s">
        <v>274</v>
      </c>
      <c r="DE3033" s="8">
        <f>406</f>
        <v>406</v>
      </c>
      <c r="DG3033" s="5" t="s">
        <v>238</v>
      </c>
      <c r="DH3033" s="5" t="s">
        <v>238</v>
      </c>
      <c r="DI3033" s="5" t="s">
        <v>238</v>
      </c>
      <c r="DJ3033" s="5" t="s">
        <v>238</v>
      </c>
      <c r="DN3033" s="5" t="s">
        <v>238</v>
      </c>
      <c r="DO3033" s="5" t="s">
        <v>238</v>
      </c>
      <c r="DP3033" s="5" t="s">
        <v>238</v>
      </c>
      <c r="DQ3033" s="5" t="s">
        <v>238</v>
      </c>
      <c r="DT3033" s="5" t="s">
        <v>275</v>
      </c>
      <c r="DU3033" s="5" t="s">
        <v>2322</v>
      </c>
      <c r="HM3033" s="5" t="s">
        <v>264</v>
      </c>
    </row>
    <row r="3034" spans="1:221" x14ac:dyDescent="0.4">
      <c r="A3034" s="5">
        <v>4738</v>
      </c>
      <c r="B3034" s="5">
        <v>1</v>
      </c>
      <c r="C3034" s="5">
        <v>1</v>
      </c>
      <c r="D3034" s="5" t="s">
        <v>269</v>
      </c>
      <c r="E3034" s="5" t="s">
        <v>271</v>
      </c>
      <c r="F3034" s="5" t="s">
        <v>248</v>
      </c>
      <c r="G3034" s="5" t="s">
        <v>266</v>
      </c>
      <c r="H3034" s="6" t="s">
        <v>4093</v>
      </c>
      <c r="I3034" s="7">
        <f>1938</f>
        <v>1938</v>
      </c>
      <c r="J3034" s="5" t="s">
        <v>262</v>
      </c>
      <c r="K3034" s="8">
        <f>1</f>
        <v>1</v>
      </c>
      <c r="L3034" s="6" t="s">
        <v>242</v>
      </c>
      <c r="M3034" s="5" t="s">
        <v>267</v>
      </c>
      <c r="N3034" s="5" t="s">
        <v>265</v>
      </c>
      <c r="O3034" s="5" t="s">
        <v>238</v>
      </c>
      <c r="P3034" s="5" t="s">
        <v>238</v>
      </c>
      <c r="Q3034" s="5" t="s">
        <v>268</v>
      </c>
      <c r="R3034" s="5" t="s">
        <v>270</v>
      </c>
      <c r="S3034" s="5" t="s">
        <v>238</v>
      </c>
      <c r="V3034" s="5" t="s">
        <v>238</v>
      </c>
      <c r="X3034" s="6" t="s">
        <v>238</v>
      </c>
      <c r="AA3034" s="6" t="s">
        <v>243</v>
      </c>
      <c r="AB3034" s="5" t="s">
        <v>238</v>
      </c>
      <c r="AC3034" s="5" t="s">
        <v>244</v>
      </c>
      <c r="AD3034" s="5" t="s">
        <v>245</v>
      </c>
      <c r="AT3034" s="5" t="s">
        <v>246</v>
      </c>
      <c r="AU3034" s="5" t="s">
        <v>238</v>
      </c>
      <c r="AV3034" s="5" t="s">
        <v>247</v>
      </c>
      <c r="AW3034" s="5" t="s">
        <v>238</v>
      </c>
      <c r="AX3034" s="5" t="s">
        <v>249</v>
      </c>
      <c r="AY3034" s="5" t="s">
        <v>238</v>
      </c>
      <c r="BA3034" s="5" t="s">
        <v>238</v>
      </c>
      <c r="BC3034" s="5" t="s">
        <v>250</v>
      </c>
      <c r="BD3034" s="6" t="s">
        <v>243</v>
      </c>
      <c r="BE3034" s="5" t="s">
        <v>251</v>
      </c>
      <c r="BF3034" s="5" t="s">
        <v>252</v>
      </c>
      <c r="BG3034" s="5" t="s">
        <v>238</v>
      </c>
      <c r="BH3034" s="7">
        <f>0</f>
        <v>0</v>
      </c>
      <c r="BI3034" s="8">
        <f>0</f>
        <v>0</v>
      </c>
      <c r="BJ3034" s="5" t="s">
        <v>253</v>
      </c>
      <c r="BK3034" s="5" t="s">
        <v>254</v>
      </c>
      <c r="BY3034" s="5" t="s">
        <v>238</v>
      </c>
      <c r="BZ3034" s="5" t="s">
        <v>238</v>
      </c>
      <c r="CD3034" s="5" t="s">
        <v>273</v>
      </c>
      <c r="CE3034" s="5" t="s">
        <v>256</v>
      </c>
      <c r="CF3034" s="5" t="s">
        <v>238</v>
      </c>
      <c r="CI3034" s="6" t="s">
        <v>257</v>
      </c>
      <c r="CJ3034" s="5" t="s">
        <v>238</v>
      </c>
      <c r="CK3034" s="5" t="s">
        <v>258</v>
      </c>
      <c r="CL3034" s="5" t="s">
        <v>238</v>
      </c>
      <c r="CM3034" s="5" t="s">
        <v>238</v>
      </c>
      <c r="CN3034" s="5">
        <v>0</v>
      </c>
      <c r="CO3034" s="5" t="s">
        <v>259</v>
      </c>
      <c r="CP3034" s="5" t="s">
        <v>260</v>
      </c>
      <c r="CQ3034" s="5" t="s">
        <v>260</v>
      </c>
      <c r="CR3034" s="5" t="s">
        <v>261</v>
      </c>
      <c r="CU3034" s="8">
        <f>1</f>
        <v>1</v>
      </c>
      <c r="CV3034" s="8">
        <f>0</f>
        <v>0</v>
      </c>
      <c r="CX3034" s="8">
        <f>0</f>
        <v>0</v>
      </c>
      <c r="CY3034" s="8">
        <f>1</f>
        <v>1</v>
      </c>
      <c r="DA3034" s="5" t="s">
        <v>274</v>
      </c>
      <c r="DB3034" s="5" t="s">
        <v>238</v>
      </c>
      <c r="DD3034" s="5" t="s">
        <v>274</v>
      </c>
      <c r="DE3034" s="8">
        <f>1938</f>
        <v>1938</v>
      </c>
      <c r="DG3034" s="5" t="s">
        <v>238</v>
      </c>
      <c r="DH3034" s="5" t="s">
        <v>238</v>
      </c>
      <c r="DI3034" s="5" t="s">
        <v>238</v>
      </c>
      <c r="DJ3034" s="5" t="s">
        <v>238</v>
      </c>
      <c r="DN3034" s="5" t="s">
        <v>238</v>
      </c>
      <c r="DO3034" s="5" t="s">
        <v>238</v>
      </c>
      <c r="DP3034" s="5" t="s">
        <v>238</v>
      </c>
      <c r="DQ3034" s="5" t="s">
        <v>238</v>
      </c>
      <c r="DT3034" s="5" t="s">
        <v>275</v>
      </c>
      <c r="DU3034" s="5" t="s">
        <v>2342</v>
      </c>
      <c r="HM3034" s="5" t="s">
        <v>264</v>
      </c>
    </row>
    <row r="3035" spans="1:221" x14ac:dyDescent="0.4">
      <c r="A3035" s="5">
        <v>4739</v>
      </c>
      <c r="B3035" s="5">
        <v>1</v>
      </c>
      <c r="C3035" s="5">
        <v>1</v>
      </c>
      <c r="D3035" s="5" t="s">
        <v>269</v>
      </c>
      <c r="E3035" s="5" t="s">
        <v>271</v>
      </c>
      <c r="F3035" s="5" t="s">
        <v>248</v>
      </c>
      <c r="G3035" s="5" t="s">
        <v>266</v>
      </c>
      <c r="H3035" s="6" t="s">
        <v>4096</v>
      </c>
      <c r="I3035" s="7">
        <f>3040</f>
        <v>3040</v>
      </c>
      <c r="J3035" s="5" t="s">
        <v>262</v>
      </c>
      <c r="K3035" s="8">
        <f>1</f>
        <v>1</v>
      </c>
      <c r="L3035" s="6" t="s">
        <v>242</v>
      </c>
      <c r="M3035" s="5" t="s">
        <v>267</v>
      </c>
      <c r="N3035" s="5" t="s">
        <v>265</v>
      </c>
      <c r="O3035" s="5" t="s">
        <v>238</v>
      </c>
      <c r="P3035" s="5" t="s">
        <v>238</v>
      </c>
      <c r="Q3035" s="5" t="s">
        <v>268</v>
      </c>
      <c r="R3035" s="5" t="s">
        <v>270</v>
      </c>
      <c r="S3035" s="5" t="s">
        <v>238</v>
      </c>
      <c r="V3035" s="5" t="s">
        <v>238</v>
      </c>
      <c r="X3035" s="6" t="s">
        <v>238</v>
      </c>
      <c r="AA3035" s="6" t="s">
        <v>243</v>
      </c>
      <c r="AB3035" s="5" t="s">
        <v>238</v>
      </c>
      <c r="AC3035" s="5" t="s">
        <v>244</v>
      </c>
      <c r="AD3035" s="5" t="s">
        <v>245</v>
      </c>
      <c r="AT3035" s="5" t="s">
        <v>246</v>
      </c>
      <c r="AU3035" s="5" t="s">
        <v>238</v>
      </c>
      <c r="AV3035" s="5" t="s">
        <v>247</v>
      </c>
      <c r="AW3035" s="5" t="s">
        <v>238</v>
      </c>
      <c r="AX3035" s="5" t="s">
        <v>249</v>
      </c>
      <c r="AY3035" s="5" t="s">
        <v>238</v>
      </c>
      <c r="BA3035" s="5" t="s">
        <v>238</v>
      </c>
      <c r="BC3035" s="5" t="s">
        <v>250</v>
      </c>
      <c r="BD3035" s="6" t="s">
        <v>243</v>
      </c>
      <c r="BE3035" s="5" t="s">
        <v>251</v>
      </c>
      <c r="BF3035" s="5" t="s">
        <v>252</v>
      </c>
      <c r="BG3035" s="5" t="s">
        <v>238</v>
      </c>
      <c r="BH3035" s="7">
        <f>0</f>
        <v>0</v>
      </c>
      <c r="BI3035" s="8">
        <f>0</f>
        <v>0</v>
      </c>
      <c r="BJ3035" s="5" t="s">
        <v>253</v>
      </c>
      <c r="BK3035" s="5" t="s">
        <v>254</v>
      </c>
      <c r="BY3035" s="5" t="s">
        <v>238</v>
      </c>
      <c r="BZ3035" s="5" t="s">
        <v>238</v>
      </c>
      <c r="CD3035" s="5" t="s">
        <v>273</v>
      </c>
      <c r="CE3035" s="5" t="s">
        <v>256</v>
      </c>
      <c r="CF3035" s="5" t="s">
        <v>238</v>
      </c>
      <c r="CI3035" s="6" t="s">
        <v>257</v>
      </c>
      <c r="CJ3035" s="5" t="s">
        <v>238</v>
      </c>
      <c r="CK3035" s="5" t="s">
        <v>258</v>
      </c>
      <c r="CL3035" s="5" t="s">
        <v>238</v>
      </c>
      <c r="CM3035" s="5" t="s">
        <v>238</v>
      </c>
      <c r="CN3035" s="5">
        <v>0</v>
      </c>
      <c r="CO3035" s="5" t="s">
        <v>259</v>
      </c>
      <c r="CP3035" s="5" t="s">
        <v>260</v>
      </c>
      <c r="CQ3035" s="5" t="s">
        <v>260</v>
      </c>
      <c r="CR3035" s="5" t="s">
        <v>261</v>
      </c>
      <c r="CU3035" s="8">
        <f>1</f>
        <v>1</v>
      </c>
      <c r="CV3035" s="8">
        <f>0</f>
        <v>0</v>
      </c>
      <c r="CX3035" s="8">
        <f>0</f>
        <v>0</v>
      </c>
      <c r="CY3035" s="8">
        <f>1</f>
        <v>1</v>
      </c>
      <c r="DA3035" s="5" t="s">
        <v>274</v>
      </c>
      <c r="DB3035" s="5" t="s">
        <v>238</v>
      </c>
      <c r="DD3035" s="5" t="s">
        <v>274</v>
      </c>
      <c r="DE3035" s="8">
        <f>3040</f>
        <v>3040</v>
      </c>
      <c r="DG3035" s="5" t="s">
        <v>238</v>
      </c>
      <c r="DH3035" s="5" t="s">
        <v>238</v>
      </c>
      <c r="DI3035" s="5" t="s">
        <v>238</v>
      </c>
      <c r="DJ3035" s="5" t="s">
        <v>238</v>
      </c>
      <c r="DN3035" s="5" t="s">
        <v>238</v>
      </c>
      <c r="DO3035" s="5" t="s">
        <v>238</v>
      </c>
      <c r="DP3035" s="5" t="s">
        <v>238</v>
      </c>
      <c r="DQ3035" s="5" t="s">
        <v>238</v>
      </c>
      <c r="DT3035" s="5" t="s">
        <v>275</v>
      </c>
      <c r="DU3035" s="5" t="s">
        <v>2346</v>
      </c>
      <c r="HM3035" s="5" t="s">
        <v>264</v>
      </c>
    </row>
    <row r="3036" spans="1:221" x14ac:dyDescent="0.4">
      <c r="A3036" s="5">
        <v>4740</v>
      </c>
      <c r="B3036" s="5">
        <v>1</v>
      </c>
      <c r="C3036" s="5">
        <v>1</v>
      </c>
      <c r="D3036" s="5" t="s">
        <v>269</v>
      </c>
      <c r="E3036" s="5" t="s">
        <v>271</v>
      </c>
      <c r="F3036" s="5" t="s">
        <v>248</v>
      </c>
      <c r="G3036" s="5" t="s">
        <v>266</v>
      </c>
      <c r="H3036" s="6" t="s">
        <v>4099</v>
      </c>
      <c r="I3036" s="7">
        <f>1993</f>
        <v>1993</v>
      </c>
      <c r="J3036" s="5" t="s">
        <v>262</v>
      </c>
      <c r="K3036" s="8">
        <f>1</f>
        <v>1</v>
      </c>
      <c r="L3036" s="6" t="s">
        <v>242</v>
      </c>
      <c r="M3036" s="5" t="s">
        <v>267</v>
      </c>
      <c r="N3036" s="5" t="s">
        <v>265</v>
      </c>
      <c r="O3036" s="5" t="s">
        <v>238</v>
      </c>
      <c r="P3036" s="5" t="s">
        <v>238</v>
      </c>
      <c r="Q3036" s="5" t="s">
        <v>268</v>
      </c>
      <c r="R3036" s="5" t="s">
        <v>270</v>
      </c>
      <c r="S3036" s="5" t="s">
        <v>238</v>
      </c>
      <c r="V3036" s="5" t="s">
        <v>238</v>
      </c>
      <c r="X3036" s="6" t="s">
        <v>238</v>
      </c>
      <c r="AA3036" s="6" t="s">
        <v>243</v>
      </c>
      <c r="AB3036" s="5" t="s">
        <v>238</v>
      </c>
      <c r="AC3036" s="5" t="s">
        <v>244</v>
      </c>
      <c r="AD3036" s="5" t="s">
        <v>245</v>
      </c>
      <c r="AT3036" s="5" t="s">
        <v>246</v>
      </c>
      <c r="AU3036" s="5" t="s">
        <v>238</v>
      </c>
      <c r="AV3036" s="5" t="s">
        <v>247</v>
      </c>
      <c r="AW3036" s="5" t="s">
        <v>238</v>
      </c>
      <c r="AX3036" s="5" t="s">
        <v>249</v>
      </c>
      <c r="AY3036" s="5" t="s">
        <v>238</v>
      </c>
      <c r="BA3036" s="5" t="s">
        <v>238</v>
      </c>
      <c r="BC3036" s="5" t="s">
        <v>250</v>
      </c>
      <c r="BD3036" s="6" t="s">
        <v>243</v>
      </c>
      <c r="BE3036" s="5" t="s">
        <v>251</v>
      </c>
      <c r="BF3036" s="5" t="s">
        <v>252</v>
      </c>
      <c r="BG3036" s="5" t="s">
        <v>238</v>
      </c>
      <c r="BH3036" s="7">
        <f>0</f>
        <v>0</v>
      </c>
      <c r="BI3036" s="8">
        <f>0</f>
        <v>0</v>
      </c>
      <c r="BJ3036" s="5" t="s">
        <v>253</v>
      </c>
      <c r="BK3036" s="5" t="s">
        <v>254</v>
      </c>
      <c r="BY3036" s="5" t="s">
        <v>238</v>
      </c>
      <c r="BZ3036" s="5" t="s">
        <v>238</v>
      </c>
      <c r="CD3036" s="5" t="s">
        <v>273</v>
      </c>
      <c r="CE3036" s="5" t="s">
        <v>256</v>
      </c>
      <c r="CF3036" s="5" t="s">
        <v>238</v>
      </c>
      <c r="CI3036" s="6" t="s">
        <v>257</v>
      </c>
      <c r="CJ3036" s="5" t="s">
        <v>238</v>
      </c>
      <c r="CK3036" s="5" t="s">
        <v>258</v>
      </c>
      <c r="CL3036" s="5" t="s">
        <v>238</v>
      </c>
      <c r="CM3036" s="5" t="s">
        <v>238</v>
      </c>
      <c r="CN3036" s="5">
        <v>0</v>
      </c>
      <c r="CO3036" s="5" t="s">
        <v>259</v>
      </c>
      <c r="CP3036" s="5" t="s">
        <v>260</v>
      </c>
      <c r="CQ3036" s="5" t="s">
        <v>260</v>
      </c>
      <c r="CR3036" s="5" t="s">
        <v>261</v>
      </c>
      <c r="CU3036" s="8">
        <f>1</f>
        <v>1</v>
      </c>
      <c r="CV3036" s="8">
        <f>0</f>
        <v>0</v>
      </c>
      <c r="CX3036" s="8">
        <f>0</f>
        <v>0</v>
      </c>
      <c r="CY3036" s="8">
        <f>1</f>
        <v>1</v>
      </c>
      <c r="DA3036" s="5" t="s">
        <v>274</v>
      </c>
      <c r="DB3036" s="5" t="s">
        <v>238</v>
      </c>
      <c r="DD3036" s="5" t="s">
        <v>274</v>
      </c>
      <c r="DE3036" s="8">
        <f>1993</f>
        <v>1993</v>
      </c>
      <c r="DG3036" s="5" t="s">
        <v>238</v>
      </c>
      <c r="DH3036" s="5" t="s">
        <v>238</v>
      </c>
      <c r="DI3036" s="5" t="s">
        <v>238</v>
      </c>
      <c r="DJ3036" s="5" t="s">
        <v>238</v>
      </c>
      <c r="DN3036" s="5" t="s">
        <v>238</v>
      </c>
      <c r="DO3036" s="5" t="s">
        <v>238</v>
      </c>
      <c r="DP3036" s="5" t="s">
        <v>238</v>
      </c>
      <c r="DQ3036" s="5" t="s">
        <v>238</v>
      </c>
      <c r="DT3036" s="5" t="s">
        <v>275</v>
      </c>
      <c r="DU3036" s="5" t="s">
        <v>2400</v>
      </c>
      <c r="HM3036" s="5" t="s">
        <v>264</v>
      </c>
    </row>
    <row r="3037" spans="1:221" x14ac:dyDescent="0.4">
      <c r="A3037" s="5">
        <v>4741</v>
      </c>
      <c r="B3037" s="5">
        <v>1</v>
      </c>
      <c r="C3037" s="5">
        <v>1</v>
      </c>
      <c r="D3037" s="5" t="s">
        <v>269</v>
      </c>
      <c r="E3037" s="5" t="s">
        <v>271</v>
      </c>
      <c r="F3037" s="5" t="s">
        <v>248</v>
      </c>
      <c r="G3037" s="5" t="s">
        <v>266</v>
      </c>
      <c r="H3037" s="6" t="s">
        <v>4102</v>
      </c>
      <c r="I3037" s="7">
        <f>1418</f>
        <v>1418</v>
      </c>
      <c r="J3037" s="5" t="s">
        <v>262</v>
      </c>
      <c r="K3037" s="8">
        <f>1</f>
        <v>1</v>
      </c>
      <c r="L3037" s="6" t="s">
        <v>242</v>
      </c>
      <c r="M3037" s="5" t="s">
        <v>267</v>
      </c>
      <c r="N3037" s="5" t="s">
        <v>265</v>
      </c>
      <c r="O3037" s="5" t="s">
        <v>238</v>
      </c>
      <c r="P3037" s="5" t="s">
        <v>238</v>
      </c>
      <c r="Q3037" s="5" t="s">
        <v>268</v>
      </c>
      <c r="R3037" s="5" t="s">
        <v>270</v>
      </c>
      <c r="S3037" s="5" t="s">
        <v>238</v>
      </c>
      <c r="V3037" s="5" t="s">
        <v>238</v>
      </c>
      <c r="X3037" s="6" t="s">
        <v>238</v>
      </c>
      <c r="AA3037" s="6" t="s">
        <v>243</v>
      </c>
      <c r="AB3037" s="5" t="s">
        <v>238</v>
      </c>
      <c r="AC3037" s="5" t="s">
        <v>244</v>
      </c>
      <c r="AD3037" s="5" t="s">
        <v>245</v>
      </c>
      <c r="AT3037" s="5" t="s">
        <v>246</v>
      </c>
      <c r="AU3037" s="5" t="s">
        <v>238</v>
      </c>
      <c r="AV3037" s="5" t="s">
        <v>247</v>
      </c>
      <c r="AW3037" s="5" t="s">
        <v>238</v>
      </c>
      <c r="AX3037" s="5" t="s">
        <v>249</v>
      </c>
      <c r="AY3037" s="5" t="s">
        <v>238</v>
      </c>
      <c r="BA3037" s="5" t="s">
        <v>238</v>
      </c>
      <c r="BC3037" s="5" t="s">
        <v>250</v>
      </c>
      <c r="BD3037" s="6" t="s">
        <v>243</v>
      </c>
      <c r="BE3037" s="5" t="s">
        <v>251</v>
      </c>
      <c r="BF3037" s="5" t="s">
        <v>252</v>
      </c>
      <c r="BG3037" s="5" t="s">
        <v>238</v>
      </c>
      <c r="BH3037" s="7">
        <f>0</f>
        <v>0</v>
      </c>
      <c r="BI3037" s="8">
        <f>0</f>
        <v>0</v>
      </c>
      <c r="BJ3037" s="5" t="s">
        <v>253</v>
      </c>
      <c r="BK3037" s="5" t="s">
        <v>254</v>
      </c>
      <c r="BY3037" s="5" t="s">
        <v>238</v>
      </c>
      <c r="BZ3037" s="5" t="s">
        <v>238</v>
      </c>
      <c r="CD3037" s="5" t="s">
        <v>273</v>
      </c>
      <c r="CE3037" s="5" t="s">
        <v>256</v>
      </c>
      <c r="CF3037" s="5" t="s">
        <v>238</v>
      </c>
      <c r="CI3037" s="6" t="s">
        <v>257</v>
      </c>
      <c r="CJ3037" s="5" t="s">
        <v>238</v>
      </c>
      <c r="CK3037" s="5" t="s">
        <v>258</v>
      </c>
      <c r="CL3037" s="5" t="s">
        <v>238</v>
      </c>
      <c r="CM3037" s="5" t="s">
        <v>238</v>
      </c>
      <c r="CN3037" s="5">
        <v>0</v>
      </c>
      <c r="CO3037" s="5" t="s">
        <v>259</v>
      </c>
      <c r="CP3037" s="5" t="s">
        <v>260</v>
      </c>
      <c r="CQ3037" s="5" t="s">
        <v>260</v>
      </c>
      <c r="CR3037" s="5" t="s">
        <v>261</v>
      </c>
      <c r="CU3037" s="8">
        <f>1</f>
        <v>1</v>
      </c>
      <c r="CV3037" s="8">
        <f>0</f>
        <v>0</v>
      </c>
      <c r="CX3037" s="8">
        <f>0</f>
        <v>0</v>
      </c>
      <c r="CY3037" s="8">
        <f>1</f>
        <v>1</v>
      </c>
      <c r="DA3037" s="5" t="s">
        <v>274</v>
      </c>
      <c r="DB3037" s="5" t="s">
        <v>238</v>
      </c>
      <c r="DD3037" s="5" t="s">
        <v>274</v>
      </c>
      <c r="DE3037" s="8">
        <f>1418</f>
        <v>1418</v>
      </c>
      <c r="DG3037" s="5" t="s">
        <v>238</v>
      </c>
      <c r="DH3037" s="5" t="s">
        <v>238</v>
      </c>
      <c r="DI3037" s="5" t="s">
        <v>238</v>
      </c>
      <c r="DJ3037" s="5" t="s">
        <v>238</v>
      </c>
      <c r="DN3037" s="5" t="s">
        <v>238</v>
      </c>
      <c r="DO3037" s="5" t="s">
        <v>238</v>
      </c>
      <c r="DP3037" s="5" t="s">
        <v>238</v>
      </c>
      <c r="DQ3037" s="5" t="s">
        <v>238</v>
      </c>
      <c r="DT3037" s="5" t="s">
        <v>275</v>
      </c>
      <c r="DU3037" s="5" t="s">
        <v>2418</v>
      </c>
      <c r="HM3037" s="5" t="s">
        <v>264</v>
      </c>
    </row>
    <row r="3038" spans="1:221" x14ac:dyDescent="0.4">
      <c r="A3038" s="5">
        <v>4742</v>
      </c>
      <c r="B3038" s="5">
        <v>1</v>
      </c>
      <c r="C3038" s="5">
        <v>1</v>
      </c>
      <c r="D3038" s="5" t="s">
        <v>269</v>
      </c>
      <c r="E3038" s="5" t="s">
        <v>271</v>
      </c>
      <c r="F3038" s="5" t="s">
        <v>248</v>
      </c>
      <c r="G3038" s="5" t="s">
        <v>266</v>
      </c>
      <c r="H3038" s="6" t="s">
        <v>4106</v>
      </c>
      <c r="I3038" s="7">
        <f>196</f>
        <v>196</v>
      </c>
      <c r="J3038" s="5" t="s">
        <v>262</v>
      </c>
      <c r="K3038" s="8">
        <f>1</f>
        <v>1</v>
      </c>
      <c r="L3038" s="6" t="s">
        <v>242</v>
      </c>
      <c r="M3038" s="5" t="s">
        <v>267</v>
      </c>
      <c r="N3038" s="5" t="s">
        <v>265</v>
      </c>
      <c r="O3038" s="5" t="s">
        <v>238</v>
      </c>
      <c r="P3038" s="5" t="s">
        <v>238</v>
      </c>
      <c r="Q3038" s="5" t="s">
        <v>268</v>
      </c>
      <c r="R3038" s="5" t="s">
        <v>270</v>
      </c>
      <c r="S3038" s="5" t="s">
        <v>238</v>
      </c>
      <c r="V3038" s="5" t="s">
        <v>238</v>
      </c>
      <c r="X3038" s="6" t="s">
        <v>238</v>
      </c>
      <c r="AA3038" s="6" t="s">
        <v>243</v>
      </c>
      <c r="AB3038" s="5" t="s">
        <v>238</v>
      </c>
      <c r="AC3038" s="5" t="s">
        <v>244</v>
      </c>
      <c r="AD3038" s="5" t="s">
        <v>245</v>
      </c>
      <c r="AT3038" s="5" t="s">
        <v>246</v>
      </c>
      <c r="AU3038" s="5" t="s">
        <v>238</v>
      </c>
      <c r="AV3038" s="5" t="s">
        <v>247</v>
      </c>
      <c r="AW3038" s="5" t="s">
        <v>238</v>
      </c>
      <c r="AX3038" s="5" t="s">
        <v>249</v>
      </c>
      <c r="AY3038" s="5" t="s">
        <v>238</v>
      </c>
      <c r="BA3038" s="5" t="s">
        <v>238</v>
      </c>
      <c r="BC3038" s="5" t="s">
        <v>250</v>
      </c>
      <c r="BD3038" s="6" t="s">
        <v>243</v>
      </c>
      <c r="BE3038" s="5" t="s">
        <v>251</v>
      </c>
      <c r="BF3038" s="5" t="s">
        <v>252</v>
      </c>
      <c r="BG3038" s="5" t="s">
        <v>238</v>
      </c>
      <c r="BH3038" s="7">
        <f>0</f>
        <v>0</v>
      </c>
      <c r="BI3038" s="8">
        <f>0</f>
        <v>0</v>
      </c>
      <c r="BJ3038" s="5" t="s">
        <v>253</v>
      </c>
      <c r="BK3038" s="5" t="s">
        <v>254</v>
      </c>
      <c r="BY3038" s="5" t="s">
        <v>238</v>
      </c>
      <c r="BZ3038" s="5" t="s">
        <v>238</v>
      </c>
      <c r="CD3038" s="5" t="s">
        <v>273</v>
      </c>
      <c r="CE3038" s="5" t="s">
        <v>256</v>
      </c>
      <c r="CF3038" s="5" t="s">
        <v>238</v>
      </c>
      <c r="CI3038" s="6" t="s">
        <v>257</v>
      </c>
      <c r="CJ3038" s="5" t="s">
        <v>238</v>
      </c>
      <c r="CK3038" s="5" t="s">
        <v>258</v>
      </c>
      <c r="CL3038" s="5" t="s">
        <v>238</v>
      </c>
      <c r="CM3038" s="5" t="s">
        <v>238</v>
      </c>
      <c r="CN3038" s="5">
        <v>0</v>
      </c>
      <c r="CO3038" s="5" t="s">
        <v>259</v>
      </c>
      <c r="CP3038" s="5" t="s">
        <v>260</v>
      </c>
      <c r="CQ3038" s="5" t="s">
        <v>260</v>
      </c>
      <c r="CR3038" s="5" t="s">
        <v>261</v>
      </c>
      <c r="CU3038" s="8">
        <f>1</f>
        <v>1</v>
      </c>
      <c r="CV3038" s="8">
        <f>0</f>
        <v>0</v>
      </c>
      <c r="CX3038" s="8">
        <f>0</f>
        <v>0</v>
      </c>
      <c r="CY3038" s="8">
        <f>1</f>
        <v>1</v>
      </c>
      <c r="DA3038" s="5" t="s">
        <v>274</v>
      </c>
      <c r="DB3038" s="5" t="s">
        <v>238</v>
      </c>
      <c r="DD3038" s="5" t="s">
        <v>274</v>
      </c>
      <c r="DE3038" s="8">
        <f>196</f>
        <v>196</v>
      </c>
      <c r="DG3038" s="5" t="s">
        <v>238</v>
      </c>
      <c r="DH3038" s="5" t="s">
        <v>238</v>
      </c>
      <c r="DI3038" s="5" t="s">
        <v>238</v>
      </c>
      <c r="DJ3038" s="5" t="s">
        <v>238</v>
      </c>
      <c r="DN3038" s="5" t="s">
        <v>238</v>
      </c>
      <c r="DO3038" s="5" t="s">
        <v>238</v>
      </c>
      <c r="DP3038" s="5" t="s">
        <v>238</v>
      </c>
      <c r="DQ3038" s="5" t="s">
        <v>238</v>
      </c>
      <c r="DT3038" s="5" t="s">
        <v>275</v>
      </c>
      <c r="DU3038" s="5" t="s">
        <v>2437</v>
      </c>
      <c r="HM3038" s="5" t="s">
        <v>264</v>
      </c>
    </row>
    <row r="3039" spans="1:221" x14ac:dyDescent="0.4">
      <c r="A3039" s="5">
        <v>4743</v>
      </c>
      <c r="B3039" s="5">
        <v>1</v>
      </c>
      <c r="C3039" s="5">
        <v>1</v>
      </c>
      <c r="D3039" s="5" t="s">
        <v>269</v>
      </c>
      <c r="E3039" s="5" t="s">
        <v>271</v>
      </c>
      <c r="F3039" s="5" t="s">
        <v>248</v>
      </c>
      <c r="G3039" s="5" t="s">
        <v>266</v>
      </c>
      <c r="H3039" s="6" t="s">
        <v>4109</v>
      </c>
      <c r="I3039" s="7">
        <f>903</f>
        <v>903</v>
      </c>
      <c r="J3039" s="5" t="s">
        <v>262</v>
      </c>
      <c r="K3039" s="8">
        <f>1</f>
        <v>1</v>
      </c>
      <c r="L3039" s="6" t="s">
        <v>242</v>
      </c>
      <c r="M3039" s="5" t="s">
        <v>267</v>
      </c>
      <c r="N3039" s="5" t="s">
        <v>265</v>
      </c>
      <c r="O3039" s="5" t="s">
        <v>238</v>
      </c>
      <c r="P3039" s="5" t="s">
        <v>238</v>
      </c>
      <c r="Q3039" s="5" t="s">
        <v>268</v>
      </c>
      <c r="R3039" s="5" t="s">
        <v>270</v>
      </c>
      <c r="S3039" s="5" t="s">
        <v>238</v>
      </c>
      <c r="V3039" s="5" t="s">
        <v>238</v>
      </c>
      <c r="X3039" s="6" t="s">
        <v>238</v>
      </c>
      <c r="AA3039" s="6" t="s">
        <v>243</v>
      </c>
      <c r="AB3039" s="5" t="s">
        <v>238</v>
      </c>
      <c r="AC3039" s="5" t="s">
        <v>244</v>
      </c>
      <c r="AD3039" s="5" t="s">
        <v>245</v>
      </c>
      <c r="AT3039" s="5" t="s">
        <v>246</v>
      </c>
      <c r="AU3039" s="5" t="s">
        <v>238</v>
      </c>
      <c r="AV3039" s="5" t="s">
        <v>247</v>
      </c>
      <c r="AW3039" s="5" t="s">
        <v>238</v>
      </c>
      <c r="AX3039" s="5" t="s">
        <v>249</v>
      </c>
      <c r="AY3039" s="5" t="s">
        <v>238</v>
      </c>
      <c r="BA3039" s="5" t="s">
        <v>238</v>
      </c>
      <c r="BC3039" s="5" t="s">
        <v>250</v>
      </c>
      <c r="BD3039" s="6" t="s">
        <v>243</v>
      </c>
      <c r="BE3039" s="5" t="s">
        <v>251</v>
      </c>
      <c r="BF3039" s="5" t="s">
        <v>252</v>
      </c>
      <c r="BG3039" s="5" t="s">
        <v>238</v>
      </c>
      <c r="BH3039" s="7">
        <f>0</f>
        <v>0</v>
      </c>
      <c r="BI3039" s="8">
        <f>0</f>
        <v>0</v>
      </c>
      <c r="BJ3039" s="5" t="s">
        <v>253</v>
      </c>
      <c r="BK3039" s="5" t="s">
        <v>254</v>
      </c>
      <c r="BY3039" s="5" t="s">
        <v>238</v>
      </c>
      <c r="BZ3039" s="5" t="s">
        <v>238</v>
      </c>
      <c r="CD3039" s="5" t="s">
        <v>273</v>
      </c>
      <c r="CE3039" s="5" t="s">
        <v>256</v>
      </c>
      <c r="CF3039" s="5" t="s">
        <v>238</v>
      </c>
      <c r="CI3039" s="6" t="s">
        <v>257</v>
      </c>
      <c r="CJ3039" s="5" t="s">
        <v>238</v>
      </c>
      <c r="CK3039" s="5" t="s">
        <v>258</v>
      </c>
      <c r="CL3039" s="5" t="s">
        <v>238</v>
      </c>
      <c r="CM3039" s="5" t="s">
        <v>238</v>
      </c>
      <c r="CN3039" s="5">
        <v>0</v>
      </c>
      <c r="CO3039" s="5" t="s">
        <v>259</v>
      </c>
      <c r="CP3039" s="5" t="s">
        <v>260</v>
      </c>
      <c r="CQ3039" s="5" t="s">
        <v>260</v>
      </c>
      <c r="CR3039" s="5" t="s">
        <v>261</v>
      </c>
      <c r="CU3039" s="8">
        <f>1</f>
        <v>1</v>
      </c>
      <c r="CV3039" s="8">
        <f>0</f>
        <v>0</v>
      </c>
      <c r="CX3039" s="8">
        <f>0</f>
        <v>0</v>
      </c>
      <c r="CY3039" s="8">
        <f>1</f>
        <v>1</v>
      </c>
      <c r="DA3039" s="5" t="s">
        <v>274</v>
      </c>
      <c r="DB3039" s="5" t="s">
        <v>238</v>
      </c>
      <c r="DD3039" s="5" t="s">
        <v>274</v>
      </c>
      <c r="DE3039" s="8">
        <f>903</f>
        <v>903</v>
      </c>
      <c r="DG3039" s="5" t="s">
        <v>238</v>
      </c>
      <c r="DH3039" s="5" t="s">
        <v>238</v>
      </c>
      <c r="DI3039" s="5" t="s">
        <v>238</v>
      </c>
      <c r="DJ3039" s="5" t="s">
        <v>238</v>
      </c>
      <c r="DN3039" s="5" t="s">
        <v>238</v>
      </c>
      <c r="DO3039" s="5" t="s">
        <v>238</v>
      </c>
      <c r="DP3039" s="5" t="s">
        <v>238</v>
      </c>
      <c r="DQ3039" s="5" t="s">
        <v>238</v>
      </c>
      <c r="DT3039" s="5" t="s">
        <v>275</v>
      </c>
      <c r="DU3039" s="5" t="s">
        <v>2456</v>
      </c>
      <c r="HM3039" s="5" t="s">
        <v>264</v>
      </c>
    </row>
    <row r="3040" spans="1:221" x14ac:dyDescent="0.4">
      <c r="A3040" s="5">
        <v>4744</v>
      </c>
      <c r="B3040" s="5">
        <v>1</v>
      </c>
      <c r="C3040" s="5">
        <v>1</v>
      </c>
      <c r="D3040" s="5" t="s">
        <v>269</v>
      </c>
      <c r="E3040" s="5" t="s">
        <v>271</v>
      </c>
      <c r="F3040" s="5" t="s">
        <v>248</v>
      </c>
      <c r="G3040" s="5" t="s">
        <v>266</v>
      </c>
      <c r="H3040" s="6" t="s">
        <v>4114</v>
      </c>
      <c r="I3040" s="7">
        <f>1385</f>
        <v>1385</v>
      </c>
      <c r="J3040" s="5" t="s">
        <v>262</v>
      </c>
      <c r="K3040" s="8">
        <f>1</f>
        <v>1</v>
      </c>
      <c r="L3040" s="6" t="s">
        <v>242</v>
      </c>
      <c r="M3040" s="5" t="s">
        <v>267</v>
      </c>
      <c r="N3040" s="5" t="s">
        <v>265</v>
      </c>
      <c r="O3040" s="5" t="s">
        <v>238</v>
      </c>
      <c r="P3040" s="5" t="s">
        <v>238</v>
      </c>
      <c r="Q3040" s="5" t="s">
        <v>268</v>
      </c>
      <c r="R3040" s="5" t="s">
        <v>270</v>
      </c>
      <c r="S3040" s="5" t="s">
        <v>238</v>
      </c>
      <c r="V3040" s="5" t="s">
        <v>238</v>
      </c>
      <c r="X3040" s="6" t="s">
        <v>238</v>
      </c>
      <c r="AA3040" s="6" t="s">
        <v>243</v>
      </c>
      <c r="AB3040" s="5" t="s">
        <v>238</v>
      </c>
      <c r="AC3040" s="5" t="s">
        <v>244</v>
      </c>
      <c r="AD3040" s="5" t="s">
        <v>245</v>
      </c>
      <c r="AT3040" s="5" t="s">
        <v>246</v>
      </c>
      <c r="AU3040" s="5" t="s">
        <v>238</v>
      </c>
      <c r="AV3040" s="5" t="s">
        <v>247</v>
      </c>
      <c r="AW3040" s="5" t="s">
        <v>238</v>
      </c>
      <c r="AX3040" s="5" t="s">
        <v>249</v>
      </c>
      <c r="AY3040" s="5" t="s">
        <v>238</v>
      </c>
      <c r="BA3040" s="5" t="s">
        <v>238</v>
      </c>
      <c r="BC3040" s="5" t="s">
        <v>250</v>
      </c>
      <c r="BD3040" s="6" t="s">
        <v>243</v>
      </c>
      <c r="BE3040" s="5" t="s">
        <v>251</v>
      </c>
      <c r="BF3040" s="5" t="s">
        <v>252</v>
      </c>
      <c r="BG3040" s="5" t="s">
        <v>238</v>
      </c>
      <c r="BH3040" s="7">
        <f>0</f>
        <v>0</v>
      </c>
      <c r="BI3040" s="8">
        <f>0</f>
        <v>0</v>
      </c>
      <c r="BJ3040" s="5" t="s">
        <v>253</v>
      </c>
      <c r="BK3040" s="5" t="s">
        <v>254</v>
      </c>
      <c r="BY3040" s="5" t="s">
        <v>238</v>
      </c>
      <c r="BZ3040" s="5" t="s">
        <v>238</v>
      </c>
      <c r="CD3040" s="5" t="s">
        <v>273</v>
      </c>
      <c r="CE3040" s="5" t="s">
        <v>256</v>
      </c>
      <c r="CF3040" s="5" t="s">
        <v>238</v>
      </c>
      <c r="CI3040" s="6" t="s">
        <v>257</v>
      </c>
      <c r="CJ3040" s="5" t="s">
        <v>238</v>
      </c>
      <c r="CK3040" s="5" t="s">
        <v>258</v>
      </c>
      <c r="CL3040" s="5" t="s">
        <v>238</v>
      </c>
      <c r="CM3040" s="5" t="s">
        <v>238</v>
      </c>
      <c r="CN3040" s="5">
        <v>0</v>
      </c>
      <c r="CO3040" s="5" t="s">
        <v>259</v>
      </c>
      <c r="CP3040" s="5" t="s">
        <v>260</v>
      </c>
      <c r="CQ3040" s="5" t="s">
        <v>260</v>
      </c>
      <c r="CR3040" s="5" t="s">
        <v>261</v>
      </c>
      <c r="CU3040" s="8">
        <f>1</f>
        <v>1</v>
      </c>
      <c r="CV3040" s="8">
        <f>0</f>
        <v>0</v>
      </c>
      <c r="CX3040" s="8">
        <f>0</f>
        <v>0</v>
      </c>
      <c r="CY3040" s="8">
        <f>1</f>
        <v>1</v>
      </c>
      <c r="DA3040" s="5" t="s">
        <v>274</v>
      </c>
      <c r="DB3040" s="5" t="s">
        <v>238</v>
      </c>
      <c r="DD3040" s="5" t="s">
        <v>274</v>
      </c>
      <c r="DE3040" s="8">
        <f>1385</f>
        <v>1385</v>
      </c>
      <c r="DG3040" s="5" t="s">
        <v>238</v>
      </c>
      <c r="DH3040" s="5" t="s">
        <v>238</v>
      </c>
      <c r="DI3040" s="5" t="s">
        <v>238</v>
      </c>
      <c r="DJ3040" s="5" t="s">
        <v>238</v>
      </c>
      <c r="DN3040" s="5" t="s">
        <v>238</v>
      </c>
      <c r="DO3040" s="5" t="s">
        <v>238</v>
      </c>
      <c r="DP3040" s="5" t="s">
        <v>238</v>
      </c>
      <c r="DQ3040" s="5" t="s">
        <v>238</v>
      </c>
      <c r="DT3040" s="5" t="s">
        <v>275</v>
      </c>
      <c r="DU3040" s="5" t="s">
        <v>2476</v>
      </c>
      <c r="HM3040" s="5" t="s">
        <v>264</v>
      </c>
    </row>
    <row r="3041" spans="1:221" x14ac:dyDescent="0.4">
      <c r="A3041" s="5">
        <v>4745</v>
      </c>
      <c r="B3041" s="5">
        <v>1</v>
      </c>
      <c r="C3041" s="5">
        <v>1</v>
      </c>
      <c r="D3041" s="5" t="s">
        <v>269</v>
      </c>
      <c r="E3041" s="5" t="s">
        <v>271</v>
      </c>
      <c r="F3041" s="5" t="s">
        <v>248</v>
      </c>
      <c r="G3041" s="5" t="s">
        <v>266</v>
      </c>
      <c r="H3041" s="6" t="s">
        <v>4115</v>
      </c>
      <c r="I3041" s="7">
        <f>345</f>
        <v>345</v>
      </c>
      <c r="J3041" s="5" t="s">
        <v>262</v>
      </c>
      <c r="K3041" s="8">
        <f>1</f>
        <v>1</v>
      </c>
      <c r="L3041" s="6" t="s">
        <v>242</v>
      </c>
      <c r="M3041" s="5" t="s">
        <v>267</v>
      </c>
      <c r="N3041" s="5" t="s">
        <v>265</v>
      </c>
      <c r="O3041" s="5" t="s">
        <v>238</v>
      </c>
      <c r="P3041" s="5" t="s">
        <v>238</v>
      </c>
      <c r="Q3041" s="5" t="s">
        <v>268</v>
      </c>
      <c r="R3041" s="5" t="s">
        <v>270</v>
      </c>
      <c r="S3041" s="5" t="s">
        <v>238</v>
      </c>
      <c r="V3041" s="5" t="s">
        <v>238</v>
      </c>
      <c r="X3041" s="6" t="s">
        <v>238</v>
      </c>
      <c r="AA3041" s="6" t="s">
        <v>243</v>
      </c>
      <c r="AB3041" s="5" t="s">
        <v>238</v>
      </c>
      <c r="AC3041" s="5" t="s">
        <v>244</v>
      </c>
      <c r="AD3041" s="5" t="s">
        <v>245</v>
      </c>
      <c r="AT3041" s="5" t="s">
        <v>246</v>
      </c>
      <c r="AU3041" s="5" t="s">
        <v>238</v>
      </c>
      <c r="AV3041" s="5" t="s">
        <v>247</v>
      </c>
      <c r="AW3041" s="5" t="s">
        <v>238</v>
      </c>
      <c r="AX3041" s="5" t="s">
        <v>249</v>
      </c>
      <c r="AY3041" s="5" t="s">
        <v>238</v>
      </c>
      <c r="BA3041" s="5" t="s">
        <v>238</v>
      </c>
      <c r="BC3041" s="5" t="s">
        <v>250</v>
      </c>
      <c r="BD3041" s="6" t="s">
        <v>243</v>
      </c>
      <c r="BE3041" s="5" t="s">
        <v>251</v>
      </c>
      <c r="BF3041" s="5" t="s">
        <v>252</v>
      </c>
      <c r="BG3041" s="5" t="s">
        <v>238</v>
      </c>
      <c r="BH3041" s="7">
        <f>0</f>
        <v>0</v>
      </c>
      <c r="BI3041" s="8">
        <f>0</f>
        <v>0</v>
      </c>
      <c r="BJ3041" s="5" t="s">
        <v>253</v>
      </c>
      <c r="BK3041" s="5" t="s">
        <v>254</v>
      </c>
      <c r="BY3041" s="5" t="s">
        <v>238</v>
      </c>
      <c r="BZ3041" s="5" t="s">
        <v>238</v>
      </c>
      <c r="CD3041" s="5" t="s">
        <v>273</v>
      </c>
      <c r="CE3041" s="5" t="s">
        <v>256</v>
      </c>
      <c r="CF3041" s="5" t="s">
        <v>238</v>
      </c>
      <c r="CI3041" s="6" t="s">
        <v>257</v>
      </c>
      <c r="CJ3041" s="5" t="s">
        <v>238</v>
      </c>
      <c r="CK3041" s="5" t="s">
        <v>258</v>
      </c>
      <c r="CL3041" s="5" t="s">
        <v>238</v>
      </c>
      <c r="CM3041" s="5" t="s">
        <v>238</v>
      </c>
      <c r="CN3041" s="5">
        <v>0</v>
      </c>
      <c r="CO3041" s="5" t="s">
        <v>259</v>
      </c>
      <c r="CP3041" s="5" t="s">
        <v>260</v>
      </c>
      <c r="CQ3041" s="5" t="s">
        <v>260</v>
      </c>
      <c r="CR3041" s="5" t="s">
        <v>261</v>
      </c>
      <c r="CU3041" s="8">
        <f>1</f>
        <v>1</v>
      </c>
      <c r="CV3041" s="8">
        <f>0</f>
        <v>0</v>
      </c>
      <c r="CX3041" s="8">
        <f>0</f>
        <v>0</v>
      </c>
      <c r="CY3041" s="8">
        <f>1</f>
        <v>1</v>
      </c>
      <c r="DA3041" s="5" t="s">
        <v>274</v>
      </c>
      <c r="DB3041" s="5" t="s">
        <v>238</v>
      </c>
      <c r="DD3041" s="5" t="s">
        <v>274</v>
      </c>
      <c r="DE3041" s="8">
        <f>345</f>
        <v>345</v>
      </c>
      <c r="DG3041" s="5" t="s">
        <v>238</v>
      </c>
      <c r="DH3041" s="5" t="s">
        <v>238</v>
      </c>
      <c r="DI3041" s="5" t="s">
        <v>238</v>
      </c>
      <c r="DJ3041" s="5" t="s">
        <v>238</v>
      </c>
      <c r="DN3041" s="5" t="s">
        <v>238</v>
      </c>
      <c r="DO3041" s="5" t="s">
        <v>238</v>
      </c>
      <c r="DP3041" s="5" t="s">
        <v>238</v>
      </c>
      <c r="DQ3041" s="5" t="s">
        <v>238</v>
      </c>
      <c r="DT3041" s="5" t="s">
        <v>275</v>
      </c>
      <c r="DU3041" s="5" t="s">
        <v>3709</v>
      </c>
      <c r="HM3041" s="5" t="s">
        <v>264</v>
      </c>
    </row>
    <row r="3042" spans="1:221" x14ac:dyDescent="0.4">
      <c r="A3042" s="5">
        <v>4746</v>
      </c>
      <c r="B3042" s="5">
        <v>1</v>
      </c>
      <c r="C3042" s="5">
        <v>1</v>
      </c>
      <c r="D3042" s="5" t="s">
        <v>269</v>
      </c>
      <c r="E3042" s="5" t="s">
        <v>271</v>
      </c>
      <c r="F3042" s="5" t="s">
        <v>248</v>
      </c>
      <c r="G3042" s="5" t="s">
        <v>266</v>
      </c>
      <c r="H3042" s="6" t="s">
        <v>4118</v>
      </c>
      <c r="I3042" s="7">
        <f>180</f>
        <v>180</v>
      </c>
      <c r="J3042" s="5" t="s">
        <v>262</v>
      </c>
      <c r="K3042" s="8">
        <f>1</f>
        <v>1</v>
      </c>
      <c r="L3042" s="6" t="s">
        <v>242</v>
      </c>
      <c r="M3042" s="5" t="s">
        <v>267</v>
      </c>
      <c r="N3042" s="5" t="s">
        <v>265</v>
      </c>
      <c r="O3042" s="5" t="s">
        <v>238</v>
      </c>
      <c r="P3042" s="5" t="s">
        <v>238</v>
      </c>
      <c r="Q3042" s="5" t="s">
        <v>268</v>
      </c>
      <c r="R3042" s="5" t="s">
        <v>270</v>
      </c>
      <c r="S3042" s="5" t="s">
        <v>238</v>
      </c>
      <c r="V3042" s="5" t="s">
        <v>238</v>
      </c>
      <c r="X3042" s="6" t="s">
        <v>238</v>
      </c>
      <c r="AA3042" s="6" t="s">
        <v>243</v>
      </c>
      <c r="AB3042" s="5" t="s">
        <v>238</v>
      </c>
      <c r="AC3042" s="5" t="s">
        <v>244</v>
      </c>
      <c r="AD3042" s="5" t="s">
        <v>245</v>
      </c>
      <c r="AT3042" s="5" t="s">
        <v>246</v>
      </c>
      <c r="AU3042" s="5" t="s">
        <v>238</v>
      </c>
      <c r="AV3042" s="5" t="s">
        <v>247</v>
      </c>
      <c r="AW3042" s="5" t="s">
        <v>238</v>
      </c>
      <c r="AX3042" s="5" t="s">
        <v>249</v>
      </c>
      <c r="AY3042" s="5" t="s">
        <v>238</v>
      </c>
      <c r="BA3042" s="5" t="s">
        <v>238</v>
      </c>
      <c r="BC3042" s="5" t="s">
        <v>250</v>
      </c>
      <c r="BD3042" s="6" t="s">
        <v>243</v>
      </c>
      <c r="BE3042" s="5" t="s">
        <v>251</v>
      </c>
      <c r="BF3042" s="5" t="s">
        <v>252</v>
      </c>
      <c r="BG3042" s="5" t="s">
        <v>238</v>
      </c>
      <c r="BH3042" s="7">
        <f>0</f>
        <v>0</v>
      </c>
      <c r="BI3042" s="8">
        <f>0</f>
        <v>0</v>
      </c>
      <c r="BJ3042" s="5" t="s">
        <v>253</v>
      </c>
      <c r="BK3042" s="5" t="s">
        <v>254</v>
      </c>
      <c r="BY3042" s="5" t="s">
        <v>238</v>
      </c>
      <c r="BZ3042" s="5" t="s">
        <v>238</v>
      </c>
      <c r="CD3042" s="5" t="s">
        <v>273</v>
      </c>
      <c r="CE3042" s="5" t="s">
        <v>256</v>
      </c>
      <c r="CF3042" s="5" t="s">
        <v>238</v>
      </c>
      <c r="CI3042" s="6" t="s">
        <v>257</v>
      </c>
      <c r="CJ3042" s="5" t="s">
        <v>238</v>
      </c>
      <c r="CK3042" s="5" t="s">
        <v>258</v>
      </c>
      <c r="CL3042" s="5" t="s">
        <v>238</v>
      </c>
      <c r="CM3042" s="5" t="s">
        <v>238</v>
      </c>
      <c r="CN3042" s="5">
        <v>0</v>
      </c>
      <c r="CO3042" s="5" t="s">
        <v>259</v>
      </c>
      <c r="CP3042" s="5" t="s">
        <v>260</v>
      </c>
      <c r="CQ3042" s="5" t="s">
        <v>260</v>
      </c>
      <c r="CR3042" s="5" t="s">
        <v>261</v>
      </c>
      <c r="CU3042" s="8">
        <f>1</f>
        <v>1</v>
      </c>
      <c r="CV3042" s="8">
        <f>0</f>
        <v>0</v>
      </c>
      <c r="CX3042" s="8">
        <f>0</f>
        <v>0</v>
      </c>
      <c r="CY3042" s="8">
        <f>1</f>
        <v>1</v>
      </c>
      <c r="DA3042" s="5" t="s">
        <v>274</v>
      </c>
      <c r="DB3042" s="5" t="s">
        <v>238</v>
      </c>
      <c r="DD3042" s="5" t="s">
        <v>274</v>
      </c>
      <c r="DE3042" s="8">
        <f>180</f>
        <v>180</v>
      </c>
      <c r="DG3042" s="5" t="s">
        <v>238</v>
      </c>
      <c r="DH3042" s="5" t="s">
        <v>238</v>
      </c>
      <c r="DI3042" s="5" t="s">
        <v>238</v>
      </c>
      <c r="DJ3042" s="5" t="s">
        <v>238</v>
      </c>
      <c r="DN3042" s="5" t="s">
        <v>238</v>
      </c>
      <c r="DO3042" s="5" t="s">
        <v>238</v>
      </c>
      <c r="DP3042" s="5" t="s">
        <v>238</v>
      </c>
      <c r="DQ3042" s="5" t="s">
        <v>238</v>
      </c>
      <c r="DT3042" s="5" t="s">
        <v>275</v>
      </c>
      <c r="DU3042" s="5" t="s">
        <v>2137</v>
      </c>
      <c r="HM3042" s="5" t="s">
        <v>264</v>
      </c>
    </row>
    <row r="3043" spans="1:221" x14ac:dyDescent="0.4">
      <c r="A3043" s="5">
        <v>4747</v>
      </c>
      <c r="B3043" s="5">
        <v>1</v>
      </c>
      <c r="C3043" s="5">
        <v>1</v>
      </c>
      <c r="D3043" s="5" t="s">
        <v>269</v>
      </c>
      <c r="E3043" s="5" t="s">
        <v>271</v>
      </c>
      <c r="F3043" s="5" t="s">
        <v>248</v>
      </c>
      <c r="G3043" s="5" t="s">
        <v>266</v>
      </c>
      <c r="H3043" s="6" t="s">
        <v>5786</v>
      </c>
      <c r="I3043" s="7">
        <f>119</f>
        <v>119</v>
      </c>
      <c r="J3043" s="5" t="s">
        <v>262</v>
      </c>
      <c r="K3043" s="8">
        <f>1</f>
        <v>1</v>
      </c>
      <c r="L3043" s="6" t="s">
        <v>242</v>
      </c>
      <c r="M3043" s="5" t="s">
        <v>267</v>
      </c>
      <c r="N3043" s="5" t="s">
        <v>265</v>
      </c>
      <c r="O3043" s="5" t="s">
        <v>238</v>
      </c>
      <c r="P3043" s="5" t="s">
        <v>238</v>
      </c>
      <c r="Q3043" s="5" t="s">
        <v>268</v>
      </c>
      <c r="R3043" s="5" t="s">
        <v>270</v>
      </c>
      <c r="S3043" s="5" t="s">
        <v>238</v>
      </c>
      <c r="V3043" s="5" t="s">
        <v>238</v>
      </c>
      <c r="X3043" s="6" t="s">
        <v>238</v>
      </c>
      <c r="AA3043" s="6" t="s">
        <v>243</v>
      </c>
      <c r="AB3043" s="5" t="s">
        <v>238</v>
      </c>
      <c r="AC3043" s="5" t="s">
        <v>244</v>
      </c>
      <c r="AD3043" s="5" t="s">
        <v>245</v>
      </c>
      <c r="AT3043" s="5" t="s">
        <v>246</v>
      </c>
      <c r="AU3043" s="5" t="s">
        <v>238</v>
      </c>
      <c r="AV3043" s="5" t="s">
        <v>247</v>
      </c>
      <c r="AW3043" s="5" t="s">
        <v>238</v>
      </c>
      <c r="AX3043" s="5" t="s">
        <v>249</v>
      </c>
      <c r="AY3043" s="5" t="s">
        <v>238</v>
      </c>
      <c r="BA3043" s="5" t="s">
        <v>238</v>
      </c>
      <c r="BC3043" s="5" t="s">
        <v>250</v>
      </c>
      <c r="BD3043" s="6" t="s">
        <v>243</v>
      </c>
      <c r="BE3043" s="5" t="s">
        <v>251</v>
      </c>
      <c r="BF3043" s="5" t="s">
        <v>252</v>
      </c>
      <c r="BG3043" s="5" t="s">
        <v>238</v>
      </c>
      <c r="BH3043" s="7">
        <f>0</f>
        <v>0</v>
      </c>
      <c r="BI3043" s="8">
        <f>0</f>
        <v>0</v>
      </c>
      <c r="BJ3043" s="5" t="s">
        <v>253</v>
      </c>
      <c r="BK3043" s="5" t="s">
        <v>254</v>
      </c>
      <c r="BY3043" s="5" t="s">
        <v>238</v>
      </c>
      <c r="BZ3043" s="5" t="s">
        <v>238</v>
      </c>
      <c r="CD3043" s="5" t="s">
        <v>273</v>
      </c>
      <c r="CE3043" s="5" t="s">
        <v>256</v>
      </c>
      <c r="CF3043" s="5" t="s">
        <v>238</v>
      </c>
      <c r="CI3043" s="6" t="s">
        <v>257</v>
      </c>
      <c r="CJ3043" s="5" t="s">
        <v>238</v>
      </c>
      <c r="CK3043" s="5" t="s">
        <v>258</v>
      </c>
      <c r="CL3043" s="5" t="s">
        <v>238</v>
      </c>
      <c r="CM3043" s="5" t="s">
        <v>238</v>
      </c>
      <c r="CN3043" s="5">
        <v>0</v>
      </c>
      <c r="CO3043" s="5" t="s">
        <v>259</v>
      </c>
      <c r="CP3043" s="5" t="s">
        <v>260</v>
      </c>
      <c r="CQ3043" s="5" t="s">
        <v>260</v>
      </c>
      <c r="CR3043" s="5" t="s">
        <v>261</v>
      </c>
      <c r="CU3043" s="8">
        <f>1</f>
        <v>1</v>
      </c>
      <c r="CV3043" s="8">
        <f>0</f>
        <v>0</v>
      </c>
      <c r="CX3043" s="8">
        <f>0</f>
        <v>0</v>
      </c>
      <c r="CY3043" s="8">
        <f>1</f>
        <v>1</v>
      </c>
      <c r="DA3043" s="5" t="s">
        <v>274</v>
      </c>
      <c r="DB3043" s="5" t="s">
        <v>238</v>
      </c>
      <c r="DD3043" s="5" t="s">
        <v>274</v>
      </c>
      <c r="DE3043" s="8">
        <f>119</f>
        <v>119</v>
      </c>
      <c r="DG3043" s="5" t="s">
        <v>238</v>
      </c>
      <c r="DH3043" s="5" t="s">
        <v>238</v>
      </c>
      <c r="DI3043" s="5" t="s">
        <v>238</v>
      </c>
      <c r="DJ3043" s="5" t="s">
        <v>238</v>
      </c>
      <c r="DN3043" s="5" t="s">
        <v>238</v>
      </c>
      <c r="DO3043" s="5" t="s">
        <v>238</v>
      </c>
      <c r="DP3043" s="5" t="s">
        <v>238</v>
      </c>
      <c r="DQ3043" s="5" t="s">
        <v>238</v>
      </c>
      <c r="DT3043" s="5" t="s">
        <v>275</v>
      </c>
      <c r="DU3043" s="5" t="s">
        <v>3712</v>
      </c>
      <c r="HM3043" s="5" t="s">
        <v>264</v>
      </c>
    </row>
    <row r="3044" spans="1:221" x14ac:dyDescent="0.4">
      <c r="A3044" s="5">
        <v>4748</v>
      </c>
      <c r="B3044" s="5">
        <v>1</v>
      </c>
      <c r="C3044" s="5">
        <v>1</v>
      </c>
      <c r="D3044" s="5" t="s">
        <v>269</v>
      </c>
      <c r="E3044" s="5" t="s">
        <v>271</v>
      </c>
      <c r="F3044" s="5" t="s">
        <v>248</v>
      </c>
      <c r="G3044" s="5" t="s">
        <v>266</v>
      </c>
      <c r="H3044" s="6" t="s">
        <v>4127</v>
      </c>
      <c r="I3044" s="7">
        <f>176</f>
        <v>176</v>
      </c>
      <c r="J3044" s="5" t="s">
        <v>262</v>
      </c>
      <c r="K3044" s="8">
        <f>1</f>
        <v>1</v>
      </c>
      <c r="L3044" s="6" t="s">
        <v>242</v>
      </c>
      <c r="M3044" s="5" t="s">
        <v>267</v>
      </c>
      <c r="N3044" s="5" t="s">
        <v>265</v>
      </c>
      <c r="O3044" s="5" t="s">
        <v>238</v>
      </c>
      <c r="P3044" s="5" t="s">
        <v>238</v>
      </c>
      <c r="Q3044" s="5" t="s">
        <v>268</v>
      </c>
      <c r="R3044" s="5" t="s">
        <v>270</v>
      </c>
      <c r="S3044" s="5" t="s">
        <v>238</v>
      </c>
      <c r="V3044" s="5" t="s">
        <v>238</v>
      </c>
      <c r="X3044" s="6" t="s">
        <v>238</v>
      </c>
      <c r="AA3044" s="6" t="s">
        <v>243</v>
      </c>
      <c r="AB3044" s="5" t="s">
        <v>238</v>
      </c>
      <c r="AC3044" s="5" t="s">
        <v>244</v>
      </c>
      <c r="AD3044" s="5" t="s">
        <v>245</v>
      </c>
      <c r="AT3044" s="5" t="s">
        <v>246</v>
      </c>
      <c r="AU3044" s="5" t="s">
        <v>238</v>
      </c>
      <c r="AV3044" s="5" t="s">
        <v>247</v>
      </c>
      <c r="AW3044" s="5" t="s">
        <v>238</v>
      </c>
      <c r="AX3044" s="5" t="s">
        <v>249</v>
      </c>
      <c r="AY3044" s="5" t="s">
        <v>238</v>
      </c>
      <c r="BA3044" s="5" t="s">
        <v>238</v>
      </c>
      <c r="BC3044" s="5" t="s">
        <v>250</v>
      </c>
      <c r="BD3044" s="6" t="s">
        <v>243</v>
      </c>
      <c r="BE3044" s="5" t="s">
        <v>251</v>
      </c>
      <c r="BF3044" s="5" t="s">
        <v>252</v>
      </c>
      <c r="BG3044" s="5" t="s">
        <v>238</v>
      </c>
      <c r="BH3044" s="7">
        <f>0</f>
        <v>0</v>
      </c>
      <c r="BI3044" s="8">
        <f>0</f>
        <v>0</v>
      </c>
      <c r="BJ3044" s="5" t="s">
        <v>253</v>
      </c>
      <c r="BK3044" s="5" t="s">
        <v>254</v>
      </c>
      <c r="BY3044" s="5" t="s">
        <v>238</v>
      </c>
      <c r="BZ3044" s="5" t="s">
        <v>238</v>
      </c>
      <c r="CD3044" s="5" t="s">
        <v>273</v>
      </c>
      <c r="CE3044" s="5" t="s">
        <v>256</v>
      </c>
      <c r="CF3044" s="5" t="s">
        <v>238</v>
      </c>
      <c r="CI3044" s="6" t="s">
        <v>257</v>
      </c>
      <c r="CJ3044" s="5" t="s">
        <v>238</v>
      </c>
      <c r="CK3044" s="5" t="s">
        <v>258</v>
      </c>
      <c r="CL3044" s="5" t="s">
        <v>238</v>
      </c>
      <c r="CM3044" s="5" t="s">
        <v>238</v>
      </c>
      <c r="CN3044" s="5">
        <v>0</v>
      </c>
      <c r="CO3044" s="5" t="s">
        <v>259</v>
      </c>
      <c r="CP3044" s="5" t="s">
        <v>260</v>
      </c>
      <c r="CQ3044" s="5" t="s">
        <v>260</v>
      </c>
      <c r="CR3044" s="5" t="s">
        <v>261</v>
      </c>
      <c r="CU3044" s="8">
        <f>1</f>
        <v>1</v>
      </c>
      <c r="CV3044" s="8">
        <f>0</f>
        <v>0</v>
      </c>
      <c r="CX3044" s="8">
        <f>0</f>
        <v>0</v>
      </c>
      <c r="CY3044" s="8">
        <f>1</f>
        <v>1</v>
      </c>
      <c r="DA3044" s="5" t="s">
        <v>274</v>
      </c>
      <c r="DB3044" s="5" t="s">
        <v>238</v>
      </c>
      <c r="DD3044" s="5" t="s">
        <v>274</v>
      </c>
      <c r="DE3044" s="8">
        <f>176</f>
        <v>176</v>
      </c>
      <c r="DG3044" s="5" t="s">
        <v>238</v>
      </c>
      <c r="DH3044" s="5" t="s">
        <v>238</v>
      </c>
      <c r="DI3044" s="5" t="s">
        <v>238</v>
      </c>
      <c r="DJ3044" s="5" t="s">
        <v>238</v>
      </c>
      <c r="DN3044" s="5" t="s">
        <v>238</v>
      </c>
      <c r="DO3044" s="5" t="s">
        <v>238</v>
      </c>
      <c r="DP3044" s="5" t="s">
        <v>238</v>
      </c>
      <c r="DQ3044" s="5" t="s">
        <v>238</v>
      </c>
      <c r="DT3044" s="5" t="s">
        <v>275</v>
      </c>
      <c r="DU3044" s="5" t="s">
        <v>2356</v>
      </c>
      <c r="HM3044" s="5" t="s">
        <v>264</v>
      </c>
    </row>
    <row r="3045" spans="1:221" x14ac:dyDescent="0.4">
      <c r="A3045" s="5">
        <v>4749</v>
      </c>
      <c r="B3045" s="5">
        <v>1</v>
      </c>
      <c r="C3045" s="5">
        <v>1</v>
      </c>
      <c r="D3045" s="5" t="s">
        <v>269</v>
      </c>
      <c r="E3045" s="5" t="s">
        <v>271</v>
      </c>
      <c r="F3045" s="5" t="s">
        <v>248</v>
      </c>
      <c r="G3045" s="5" t="s">
        <v>266</v>
      </c>
      <c r="H3045" s="6" t="s">
        <v>4128</v>
      </c>
      <c r="I3045" s="7">
        <f>385</f>
        <v>385</v>
      </c>
      <c r="J3045" s="5" t="s">
        <v>262</v>
      </c>
      <c r="K3045" s="8">
        <f>1</f>
        <v>1</v>
      </c>
      <c r="L3045" s="6" t="s">
        <v>242</v>
      </c>
      <c r="M3045" s="5" t="s">
        <v>267</v>
      </c>
      <c r="N3045" s="5" t="s">
        <v>265</v>
      </c>
      <c r="O3045" s="5" t="s">
        <v>238</v>
      </c>
      <c r="P3045" s="5" t="s">
        <v>238</v>
      </c>
      <c r="Q3045" s="5" t="s">
        <v>268</v>
      </c>
      <c r="R3045" s="5" t="s">
        <v>270</v>
      </c>
      <c r="S3045" s="5" t="s">
        <v>238</v>
      </c>
      <c r="V3045" s="5" t="s">
        <v>238</v>
      </c>
      <c r="X3045" s="6" t="s">
        <v>238</v>
      </c>
      <c r="AA3045" s="6" t="s">
        <v>243</v>
      </c>
      <c r="AB3045" s="5" t="s">
        <v>238</v>
      </c>
      <c r="AC3045" s="5" t="s">
        <v>244</v>
      </c>
      <c r="AD3045" s="5" t="s">
        <v>245</v>
      </c>
      <c r="AT3045" s="5" t="s">
        <v>246</v>
      </c>
      <c r="AU3045" s="5" t="s">
        <v>238</v>
      </c>
      <c r="AV3045" s="5" t="s">
        <v>247</v>
      </c>
      <c r="AW3045" s="5" t="s">
        <v>238</v>
      </c>
      <c r="AX3045" s="5" t="s">
        <v>249</v>
      </c>
      <c r="AY3045" s="5" t="s">
        <v>238</v>
      </c>
      <c r="BA3045" s="5" t="s">
        <v>238</v>
      </c>
      <c r="BC3045" s="5" t="s">
        <v>250</v>
      </c>
      <c r="BD3045" s="6" t="s">
        <v>243</v>
      </c>
      <c r="BE3045" s="5" t="s">
        <v>251</v>
      </c>
      <c r="BF3045" s="5" t="s">
        <v>252</v>
      </c>
      <c r="BG3045" s="5" t="s">
        <v>238</v>
      </c>
      <c r="BH3045" s="7">
        <f>0</f>
        <v>0</v>
      </c>
      <c r="BI3045" s="8">
        <f>0</f>
        <v>0</v>
      </c>
      <c r="BJ3045" s="5" t="s">
        <v>253</v>
      </c>
      <c r="BK3045" s="5" t="s">
        <v>254</v>
      </c>
      <c r="BY3045" s="5" t="s">
        <v>238</v>
      </c>
      <c r="BZ3045" s="5" t="s">
        <v>238</v>
      </c>
      <c r="CD3045" s="5" t="s">
        <v>273</v>
      </c>
      <c r="CE3045" s="5" t="s">
        <v>256</v>
      </c>
      <c r="CF3045" s="5" t="s">
        <v>238</v>
      </c>
      <c r="CI3045" s="6" t="s">
        <v>257</v>
      </c>
      <c r="CJ3045" s="5" t="s">
        <v>238</v>
      </c>
      <c r="CK3045" s="5" t="s">
        <v>258</v>
      </c>
      <c r="CL3045" s="5" t="s">
        <v>238</v>
      </c>
      <c r="CM3045" s="5" t="s">
        <v>238</v>
      </c>
      <c r="CN3045" s="5">
        <v>0</v>
      </c>
      <c r="CO3045" s="5" t="s">
        <v>259</v>
      </c>
      <c r="CP3045" s="5" t="s">
        <v>260</v>
      </c>
      <c r="CQ3045" s="5" t="s">
        <v>260</v>
      </c>
      <c r="CR3045" s="5" t="s">
        <v>261</v>
      </c>
      <c r="CU3045" s="8">
        <f>1</f>
        <v>1</v>
      </c>
      <c r="CV3045" s="8">
        <f>0</f>
        <v>0</v>
      </c>
      <c r="CX3045" s="8">
        <f>0</f>
        <v>0</v>
      </c>
      <c r="CY3045" s="8">
        <f>1</f>
        <v>1</v>
      </c>
      <c r="DA3045" s="5" t="s">
        <v>274</v>
      </c>
      <c r="DB3045" s="5" t="s">
        <v>238</v>
      </c>
      <c r="DD3045" s="5" t="s">
        <v>274</v>
      </c>
      <c r="DE3045" s="8">
        <f>385</f>
        <v>385</v>
      </c>
      <c r="DG3045" s="5" t="s">
        <v>238</v>
      </c>
      <c r="DH3045" s="5" t="s">
        <v>238</v>
      </c>
      <c r="DI3045" s="5" t="s">
        <v>238</v>
      </c>
      <c r="DJ3045" s="5" t="s">
        <v>238</v>
      </c>
      <c r="DN3045" s="5" t="s">
        <v>238</v>
      </c>
      <c r="DO3045" s="5" t="s">
        <v>238</v>
      </c>
      <c r="DP3045" s="5" t="s">
        <v>238</v>
      </c>
      <c r="DQ3045" s="5" t="s">
        <v>238</v>
      </c>
      <c r="DT3045" s="5" t="s">
        <v>275</v>
      </c>
      <c r="DU3045" s="5" t="s">
        <v>2353</v>
      </c>
      <c r="HM3045" s="5" t="s">
        <v>264</v>
      </c>
    </row>
    <row r="3046" spans="1:221" x14ac:dyDescent="0.4">
      <c r="A3046" s="5">
        <v>4750</v>
      </c>
      <c r="B3046" s="5">
        <v>1</v>
      </c>
      <c r="C3046" s="5">
        <v>1</v>
      </c>
      <c r="D3046" s="5" t="s">
        <v>269</v>
      </c>
      <c r="E3046" s="5" t="s">
        <v>271</v>
      </c>
      <c r="F3046" s="5" t="s">
        <v>248</v>
      </c>
      <c r="G3046" s="5" t="s">
        <v>266</v>
      </c>
      <c r="H3046" s="6" t="s">
        <v>4133</v>
      </c>
      <c r="I3046" s="7">
        <f>402</f>
        <v>402</v>
      </c>
      <c r="J3046" s="5" t="s">
        <v>262</v>
      </c>
      <c r="K3046" s="8">
        <f>1</f>
        <v>1</v>
      </c>
      <c r="L3046" s="6" t="s">
        <v>242</v>
      </c>
      <c r="M3046" s="5" t="s">
        <v>267</v>
      </c>
      <c r="N3046" s="5" t="s">
        <v>265</v>
      </c>
      <c r="O3046" s="5" t="s">
        <v>238</v>
      </c>
      <c r="P3046" s="5" t="s">
        <v>238</v>
      </c>
      <c r="Q3046" s="5" t="s">
        <v>268</v>
      </c>
      <c r="R3046" s="5" t="s">
        <v>270</v>
      </c>
      <c r="S3046" s="5" t="s">
        <v>238</v>
      </c>
      <c r="V3046" s="5" t="s">
        <v>238</v>
      </c>
      <c r="X3046" s="6" t="s">
        <v>238</v>
      </c>
      <c r="AA3046" s="6" t="s">
        <v>243</v>
      </c>
      <c r="AB3046" s="5" t="s">
        <v>238</v>
      </c>
      <c r="AC3046" s="5" t="s">
        <v>244</v>
      </c>
      <c r="AD3046" s="5" t="s">
        <v>245</v>
      </c>
      <c r="AT3046" s="5" t="s">
        <v>246</v>
      </c>
      <c r="AU3046" s="5" t="s">
        <v>238</v>
      </c>
      <c r="AV3046" s="5" t="s">
        <v>247</v>
      </c>
      <c r="AW3046" s="5" t="s">
        <v>238</v>
      </c>
      <c r="AX3046" s="5" t="s">
        <v>249</v>
      </c>
      <c r="AY3046" s="5" t="s">
        <v>238</v>
      </c>
      <c r="BA3046" s="5" t="s">
        <v>238</v>
      </c>
      <c r="BC3046" s="5" t="s">
        <v>250</v>
      </c>
      <c r="BD3046" s="6" t="s">
        <v>243</v>
      </c>
      <c r="BE3046" s="5" t="s">
        <v>251</v>
      </c>
      <c r="BF3046" s="5" t="s">
        <v>252</v>
      </c>
      <c r="BG3046" s="5" t="s">
        <v>238</v>
      </c>
      <c r="BH3046" s="7">
        <f>0</f>
        <v>0</v>
      </c>
      <c r="BI3046" s="8">
        <f>0</f>
        <v>0</v>
      </c>
      <c r="BJ3046" s="5" t="s">
        <v>253</v>
      </c>
      <c r="BK3046" s="5" t="s">
        <v>254</v>
      </c>
      <c r="BY3046" s="5" t="s">
        <v>238</v>
      </c>
      <c r="BZ3046" s="5" t="s">
        <v>238</v>
      </c>
      <c r="CD3046" s="5" t="s">
        <v>273</v>
      </c>
      <c r="CE3046" s="5" t="s">
        <v>256</v>
      </c>
      <c r="CF3046" s="5" t="s">
        <v>238</v>
      </c>
      <c r="CI3046" s="6" t="s">
        <v>257</v>
      </c>
      <c r="CJ3046" s="5" t="s">
        <v>238</v>
      </c>
      <c r="CK3046" s="5" t="s">
        <v>258</v>
      </c>
      <c r="CL3046" s="5" t="s">
        <v>238</v>
      </c>
      <c r="CM3046" s="5" t="s">
        <v>238</v>
      </c>
      <c r="CN3046" s="5">
        <v>0</v>
      </c>
      <c r="CO3046" s="5" t="s">
        <v>259</v>
      </c>
      <c r="CP3046" s="5" t="s">
        <v>260</v>
      </c>
      <c r="CQ3046" s="5" t="s">
        <v>260</v>
      </c>
      <c r="CR3046" s="5" t="s">
        <v>261</v>
      </c>
      <c r="CU3046" s="8">
        <f>1</f>
        <v>1</v>
      </c>
      <c r="CV3046" s="8">
        <f>0</f>
        <v>0</v>
      </c>
      <c r="CX3046" s="8">
        <f>0</f>
        <v>0</v>
      </c>
      <c r="CY3046" s="8">
        <f>1</f>
        <v>1</v>
      </c>
      <c r="DA3046" s="5" t="s">
        <v>274</v>
      </c>
      <c r="DB3046" s="5" t="s">
        <v>238</v>
      </c>
      <c r="DD3046" s="5" t="s">
        <v>274</v>
      </c>
      <c r="DE3046" s="8">
        <f>402</f>
        <v>402</v>
      </c>
      <c r="DG3046" s="5" t="s">
        <v>238</v>
      </c>
      <c r="DH3046" s="5" t="s">
        <v>238</v>
      </c>
      <c r="DI3046" s="5" t="s">
        <v>238</v>
      </c>
      <c r="DJ3046" s="5" t="s">
        <v>238</v>
      </c>
      <c r="DN3046" s="5" t="s">
        <v>238</v>
      </c>
      <c r="DO3046" s="5" t="s">
        <v>238</v>
      </c>
      <c r="DP3046" s="5" t="s">
        <v>238</v>
      </c>
      <c r="DQ3046" s="5" t="s">
        <v>238</v>
      </c>
      <c r="DT3046" s="5" t="s">
        <v>275</v>
      </c>
      <c r="DU3046" s="5" t="s">
        <v>2360</v>
      </c>
      <c r="HM3046" s="5" t="s">
        <v>264</v>
      </c>
    </row>
    <row r="3047" spans="1:221" x14ac:dyDescent="0.4">
      <c r="A3047" s="5">
        <v>4751</v>
      </c>
      <c r="B3047" s="5">
        <v>1</v>
      </c>
      <c r="C3047" s="5">
        <v>1</v>
      </c>
      <c r="D3047" s="5" t="s">
        <v>269</v>
      </c>
      <c r="E3047" s="5" t="s">
        <v>271</v>
      </c>
      <c r="F3047" s="5" t="s">
        <v>248</v>
      </c>
      <c r="G3047" s="5" t="s">
        <v>266</v>
      </c>
      <c r="H3047" s="6" t="s">
        <v>4139</v>
      </c>
      <c r="I3047" s="7">
        <f>465</f>
        <v>465</v>
      </c>
      <c r="J3047" s="5" t="s">
        <v>262</v>
      </c>
      <c r="K3047" s="8">
        <f>1</f>
        <v>1</v>
      </c>
      <c r="L3047" s="6" t="s">
        <v>242</v>
      </c>
      <c r="M3047" s="5" t="s">
        <v>267</v>
      </c>
      <c r="N3047" s="5" t="s">
        <v>265</v>
      </c>
      <c r="O3047" s="5" t="s">
        <v>238</v>
      </c>
      <c r="P3047" s="5" t="s">
        <v>238</v>
      </c>
      <c r="Q3047" s="5" t="s">
        <v>268</v>
      </c>
      <c r="R3047" s="5" t="s">
        <v>270</v>
      </c>
      <c r="S3047" s="5" t="s">
        <v>238</v>
      </c>
      <c r="V3047" s="5" t="s">
        <v>238</v>
      </c>
      <c r="X3047" s="6" t="s">
        <v>238</v>
      </c>
      <c r="AA3047" s="6" t="s">
        <v>243</v>
      </c>
      <c r="AB3047" s="5" t="s">
        <v>238</v>
      </c>
      <c r="AC3047" s="5" t="s">
        <v>244</v>
      </c>
      <c r="AD3047" s="5" t="s">
        <v>245</v>
      </c>
      <c r="AT3047" s="5" t="s">
        <v>246</v>
      </c>
      <c r="AU3047" s="5" t="s">
        <v>238</v>
      </c>
      <c r="AV3047" s="5" t="s">
        <v>247</v>
      </c>
      <c r="AW3047" s="5" t="s">
        <v>238</v>
      </c>
      <c r="AX3047" s="5" t="s">
        <v>249</v>
      </c>
      <c r="AY3047" s="5" t="s">
        <v>238</v>
      </c>
      <c r="BA3047" s="5" t="s">
        <v>238</v>
      </c>
      <c r="BC3047" s="5" t="s">
        <v>250</v>
      </c>
      <c r="BD3047" s="6" t="s">
        <v>243</v>
      </c>
      <c r="BE3047" s="5" t="s">
        <v>251</v>
      </c>
      <c r="BF3047" s="5" t="s">
        <v>252</v>
      </c>
      <c r="BG3047" s="5" t="s">
        <v>238</v>
      </c>
      <c r="BH3047" s="7">
        <f>0</f>
        <v>0</v>
      </c>
      <c r="BI3047" s="8">
        <f>0</f>
        <v>0</v>
      </c>
      <c r="BJ3047" s="5" t="s">
        <v>253</v>
      </c>
      <c r="BK3047" s="5" t="s">
        <v>254</v>
      </c>
      <c r="BY3047" s="5" t="s">
        <v>238</v>
      </c>
      <c r="BZ3047" s="5" t="s">
        <v>238</v>
      </c>
      <c r="CD3047" s="5" t="s">
        <v>273</v>
      </c>
      <c r="CE3047" s="5" t="s">
        <v>256</v>
      </c>
      <c r="CF3047" s="5" t="s">
        <v>238</v>
      </c>
      <c r="CI3047" s="6" t="s">
        <v>257</v>
      </c>
      <c r="CJ3047" s="5" t="s">
        <v>238</v>
      </c>
      <c r="CK3047" s="5" t="s">
        <v>258</v>
      </c>
      <c r="CL3047" s="5" t="s">
        <v>238</v>
      </c>
      <c r="CM3047" s="5" t="s">
        <v>238</v>
      </c>
      <c r="CN3047" s="5">
        <v>0</v>
      </c>
      <c r="CO3047" s="5" t="s">
        <v>259</v>
      </c>
      <c r="CP3047" s="5" t="s">
        <v>260</v>
      </c>
      <c r="CQ3047" s="5" t="s">
        <v>260</v>
      </c>
      <c r="CR3047" s="5" t="s">
        <v>261</v>
      </c>
      <c r="CU3047" s="8">
        <f>1</f>
        <v>1</v>
      </c>
      <c r="CV3047" s="8">
        <f>0</f>
        <v>0</v>
      </c>
      <c r="CX3047" s="8">
        <f>0</f>
        <v>0</v>
      </c>
      <c r="CY3047" s="8">
        <f>1</f>
        <v>1</v>
      </c>
      <c r="DA3047" s="5" t="s">
        <v>274</v>
      </c>
      <c r="DB3047" s="5" t="s">
        <v>238</v>
      </c>
      <c r="DD3047" s="5" t="s">
        <v>274</v>
      </c>
      <c r="DE3047" s="8">
        <f>465</f>
        <v>465</v>
      </c>
      <c r="DG3047" s="5" t="s">
        <v>238</v>
      </c>
      <c r="DH3047" s="5" t="s">
        <v>238</v>
      </c>
      <c r="DI3047" s="5" t="s">
        <v>238</v>
      </c>
      <c r="DJ3047" s="5" t="s">
        <v>238</v>
      </c>
      <c r="DN3047" s="5" t="s">
        <v>238</v>
      </c>
      <c r="DO3047" s="5" t="s">
        <v>238</v>
      </c>
      <c r="DP3047" s="5" t="s">
        <v>238</v>
      </c>
      <c r="DQ3047" s="5" t="s">
        <v>238</v>
      </c>
      <c r="DT3047" s="5" t="s">
        <v>275</v>
      </c>
      <c r="DU3047" s="5" t="s">
        <v>2557</v>
      </c>
      <c r="HM3047" s="5" t="s">
        <v>264</v>
      </c>
    </row>
    <row r="3048" spans="1:221" x14ac:dyDescent="0.4">
      <c r="A3048" s="5">
        <v>4752</v>
      </c>
      <c r="B3048" s="5">
        <v>1</v>
      </c>
      <c r="C3048" s="5">
        <v>1</v>
      </c>
      <c r="D3048" s="5" t="s">
        <v>269</v>
      </c>
      <c r="E3048" s="5" t="s">
        <v>271</v>
      </c>
      <c r="F3048" s="5" t="s">
        <v>248</v>
      </c>
      <c r="G3048" s="5" t="s">
        <v>266</v>
      </c>
      <c r="H3048" s="6" t="s">
        <v>4149</v>
      </c>
      <c r="I3048" s="7">
        <f>625</f>
        <v>625</v>
      </c>
      <c r="J3048" s="5" t="s">
        <v>262</v>
      </c>
      <c r="K3048" s="8">
        <f>1</f>
        <v>1</v>
      </c>
      <c r="L3048" s="6" t="s">
        <v>242</v>
      </c>
      <c r="M3048" s="5" t="s">
        <v>267</v>
      </c>
      <c r="N3048" s="5" t="s">
        <v>265</v>
      </c>
      <c r="O3048" s="5" t="s">
        <v>238</v>
      </c>
      <c r="P3048" s="5" t="s">
        <v>238</v>
      </c>
      <c r="Q3048" s="5" t="s">
        <v>268</v>
      </c>
      <c r="R3048" s="5" t="s">
        <v>270</v>
      </c>
      <c r="S3048" s="5" t="s">
        <v>238</v>
      </c>
      <c r="V3048" s="5" t="s">
        <v>238</v>
      </c>
      <c r="X3048" s="6" t="s">
        <v>238</v>
      </c>
      <c r="AA3048" s="6" t="s">
        <v>243</v>
      </c>
      <c r="AB3048" s="5" t="s">
        <v>238</v>
      </c>
      <c r="AC3048" s="5" t="s">
        <v>244</v>
      </c>
      <c r="AD3048" s="5" t="s">
        <v>245</v>
      </c>
      <c r="AT3048" s="5" t="s">
        <v>246</v>
      </c>
      <c r="AU3048" s="5" t="s">
        <v>238</v>
      </c>
      <c r="AV3048" s="5" t="s">
        <v>247</v>
      </c>
      <c r="AW3048" s="5" t="s">
        <v>238</v>
      </c>
      <c r="AX3048" s="5" t="s">
        <v>249</v>
      </c>
      <c r="AY3048" s="5" t="s">
        <v>238</v>
      </c>
      <c r="BA3048" s="5" t="s">
        <v>238</v>
      </c>
      <c r="BC3048" s="5" t="s">
        <v>250</v>
      </c>
      <c r="BD3048" s="6" t="s">
        <v>243</v>
      </c>
      <c r="BE3048" s="5" t="s">
        <v>251</v>
      </c>
      <c r="BF3048" s="5" t="s">
        <v>252</v>
      </c>
      <c r="BG3048" s="5" t="s">
        <v>238</v>
      </c>
      <c r="BH3048" s="7">
        <f>0</f>
        <v>0</v>
      </c>
      <c r="BI3048" s="8">
        <f>0</f>
        <v>0</v>
      </c>
      <c r="BJ3048" s="5" t="s">
        <v>253</v>
      </c>
      <c r="BK3048" s="5" t="s">
        <v>254</v>
      </c>
      <c r="BY3048" s="5" t="s">
        <v>238</v>
      </c>
      <c r="BZ3048" s="5" t="s">
        <v>238</v>
      </c>
      <c r="CD3048" s="5" t="s">
        <v>273</v>
      </c>
      <c r="CE3048" s="5" t="s">
        <v>256</v>
      </c>
      <c r="CF3048" s="5" t="s">
        <v>238</v>
      </c>
      <c r="CI3048" s="6" t="s">
        <v>257</v>
      </c>
      <c r="CJ3048" s="5" t="s">
        <v>238</v>
      </c>
      <c r="CK3048" s="5" t="s">
        <v>258</v>
      </c>
      <c r="CL3048" s="5" t="s">
        <v>238</v>
      </c>
      <c r="CM3048" s="5" t="s">
        <v>238</v>
      </c>
      <c r="CN3048" s="5">
        <v>0</v>
      </c>
      <c r="CO3048" s="5" t="s">
        <v>259</v>
      </c>
      <c r="CP3048" s="5" t="s">
        <v>260</v>
      </c>
      <c r="CQ3048" s="5" t="s">
        <v>260</v>
      </c>
      <c r="CR3048" s="5" t="s">
        <v>261</v>
      </c>
      <c r="CU3048" s="8">
        <f>1</f>
        <v>1</v>
      </c>
      <c r="CV3048" s="8">
        <f>0</f>
        <v>0</v>
      </c>
      <c r="CX3048" s="8">
        <f>0</f>
        <v>0</v>
      </c>
      <c r="CY3048" s="8">
        <f>1</f>
        <v>1</v>
      </c>
      <c r="DA3048" s="5" t="s">
        <v>274</v>
      </c>
      <c r="DB3048" s="5" t="s">
        <v>238</v>
      </c>
      <c r="DD3048" s="5" t="s">
        <v>274</v>
      </c>
      <c r="DE3048" s="8">
        <f>625</f>
        <v>625</v>
      </c>
      <c r="DG3048" s="5" t="s">
        <v>238</v>
      </c>
      <c r="DH3048" s="5" t="s">
        <v>238</v>
      </c>
      <c r="DI3048" s="5" t="s">
        <v>238</v>
      </c>
      <c r="DJ3048" s="5" t="s">
        <v>238</v>
      </c>
      <c r="DN3048" s="5" t="s">
        <v>238</v>
      </c>
      <c r="DO3048" s="5" t="s">
        <v>238</v>
      </c>
      <c r="DP3048" s="5" t="s">
        <v>238</v>
      </c>
      <c r="DQ3048" s="5" t="s">
        <v>238</v>
      </c>
      <c r="DT3048" s="5" t="s">
        <v>275</v>
      </c>
      <c r="DU3048" s="5" t="s">
        <v>3553</v>
      </c>
      <c r="HM3048" s="5" t="s">
        <v>264</v>
      </c>
    </row>
    <row r="3049" spans="1:221" x14ac:dyDescent="0.4">
      <c r="A3049" s="5">
        <v>4753</v>
      </c>
      <c r="B3049" s="5">
        <v>1</v>
      </c>
      <c r="C3049" s="5">
        <v>1</v>
      </c>
      <c r="D3049" s="5" t="s">
        <v>269</v>
      </c>
      <c r="E3049" s="5" t="s">
        <v>271</v>
      </c>
      <c r="F3049" s="5" t="s">
        <v>248</v>
      </c>
      <c r="G3049" s="5" t="s">
        <v>266</v>
      </c>
      <c r="H3049" s="6" t="s">
        <v>4151</v>
      </c>
      <c r="I3049" s="7">
        <f>291</f>
        <v>291</v>
      </c>
      <c r="J3049" s="5" t="s">
        <v>262</v>
      </c>
      <c r="K3049" s="8">
        <f>1</f>
        <v>1</v>
      </c>
      <c r="L3049" s="6" t="s">
        <v>242</v>
      </c>
      <c r="M3049" s="5" t="s">
        <v>267</v>
      </c>
      <c r="N3049" s="5" t="s">
        <v>265</v>
      </c>
      <c r="O3049" s="5" t="s">
        <v>238</v>
      </c>
      <c r="P3049" s="5" t="s">
        <v>238</v>
      </c>
      <c r="Q3049" s="5" t="s">
        <v>268</v>
      </c>
      <c r="R3049" s="5" t="s">
        <v>270</v>
      </c>
      <c r="S3049" s="5" t="s">
        <v>238</v>
      </c>
      <c r="V3049" s="5" t="s">
        <v>238</v>
      </c>
      <c r="X3049" s="6" t="s">
        <v>238</v>
      </c>
      <c r="AA3049" s="6" t="s">
        <v>243</v>
      </c>
      <c r="AB3049" s="5" t="s">
        <v>238</v>
      </c>
      <c r="AC3049" s="5" t="s">
        <v>244</v>
      </c>
      <c r="AD3049" s="5" t="s">
        <v>245</v>
      </c>
      <c r="AT3049" s="5" t="s">
        <v>246</v>
      </c>
      <c r="AU3049" s="5" t="s">
        <v>238</v>
      </c>
      <c r="AV3049" s="5" t="s">
        <v>247</v>
      </c>
      <c r="AW3049" s="5" t="s">
        <v>238</v>
      </c>
      <c r="AX3049" s="5" t="s">
        <v>249</v>
      </c>
      <c r="AY3049" s="5" t="s">
        <v>238</v>
      </c>
      <c r="BA3049" s="5" t="s">
        <v>238</v>
      </c>
      <c r="BC3049" s="5" t="s">
        <v>250</v>
      </c>
      <c r="BD3049" s="6" t="s">
        <v>243</v>
      </c>
      <c r="BE3049" s="5" t="s">
        <v>251</v>
      </c>
      <c r="BF3049" s="5" t="s">
        <v>252</v>
      </c>
      <c r="BG3049" s="5" t="s">
        <v>238</v>
      </c>
      <c r="BH3049" s="7">
        <f>0</f>
        <v>0</v>
      </c>
      <c r="BI3049" s="8">
        <f>0</f>
        <v>0</v>
      </c>
      <c r="BJ3049" s="5" t="s">
        <v>253</v>
      </c>
      <c r="BK3049" s="5" t="s">
        <v>254</v>
      </c>
      <c r="BY3049" s="5" t="s">
        <v>238</v>
      </c>
      <c r="BZ3049" s="5" t="s">
        <v>238</v>
      </c>
      <c r="CD3049" s="5" t="s">
        <v>273</v>
      </c>
      <c r="CE3049" s="5" t="s">
        <v>256</v>
      </c>
      <c r="CF3049" s="5" t="s">
        <v>238</v>
      </c>
      <c r="CI3049" s="6" t="s">
        <v>257</v>
      </c>
      <c r="CJ3049" s="5" t="s">
        <v>238</v>
      </c>
      <c r="CK3049" s="5" t="s">
        <v>258</v>
      </c>
      <c r="CL3049" s="5" t="s">
        <v>238</v>
      </c>
      <c r="CM3049" s="5" t="s">
        <v>238</v>
      </c>
      <c r="CN3049" s="5">
        <v>0</v>
      </c>
      <c r="CO3049" s="5" t="s">
        <v>259</v>
      </c>
      <c r="CP3049" s="5" t="s">
        <v>260</v>
      </c>
      <c r="CQ3049" s="5" t="s">
        <v>260</v>
      </c>
      <c r="CR3049" s="5" t="s">
        <v>261</v>
      </c>
      <c r="CU3049" s="8">
        <f>1</f>
        <v>1</v>
      </c>
      <c r="CV3049" s="8">
        <f>0</f>
        <v>0</v>
      </c>
      <c r="CX3049" s="8">
        <f>0</f>
        <v>0</v>
      </c>
      <c r="CY3049" s="8">
        <f>1</f>
        <v>1</v>
      </c>
      <c r="DA3049" s="5" t="s">
        <v>274</v>
      </c>
      <c r="DB3049" s="5" t="s">
        <v>238</v>
      </c>
      <c r="DD3049" s="5" t="s">
        <v>274</v>
      </c>
      <c r="DE3049" s="8">
        <f>291</f>
        <v>291</v>
      </c>
      <c r="DG3049" s="5" t="s">
        <v>238</v>
      </c>
      <c r="DH3049" s="5" t="s">
        <v>238</v>
      </c>
      <c r="DI3049" s="5" t="s">
        <v>238</v>
      </c>
      <c r="DJ3049" s="5" t="s">
        <v>238</v>
      </c>
      <c r="DN3049" s="5" t="s">
        <v>238</v>
      </c>
      <c r="DO3049" s="5" t="s">
        <v>238</v>
      </c>
      <c r="DP3049" s="5" t="s">
        <v>238</v>
      </c>
      <c r="DQ3049" s="5" t="s">
        <v>238</v>
      </c>
      <c r="DT3049" s="5" t="s">
        <v>275</v>
      </c>
      <c r="DU3049" s="5" t="s">
        <v>3556</v>
      </c>
      <c r="HM3049" s="5" t="s">
        <v>264</v>
      </c>
    </row>
    <row r="3050" spans="1:221" x14ac:dyDescent="0.4">
      <c r="A3050" s="5">
        <v>4754</v>
      </c>
      <c r="B3050" s="5">
        <v>1</v>
      </c>
      <c r="C3050" s="5">
        <v>1</v>
      </c>
      <c r="D3050" s="5" t="s">
        <v>269</v>
      </c>
      <c r="E3050" s="5" t="s">
        <v>271</v>
      </c>
      <c r="F3050" s="5" t="s">
        <v>248</v>
      </c>
      <c r="G3050" s="5" t="s">
        <v>266</v>
      </c>
      <c r="H3050" s="6" t="s">
        <v>4158</v>
      </c>
      <c r="I3050" s="7">
        <f>555</f>
        <v>555</v>
      </c>
      <c r="J3050" s="5" t="s">
        <v>262</v>
      </c>
      <c r="K3050" s="8">
        <f>1</f>
        <v>1</v>
      </c>
      <c r="L3050" s="6" t="s">
        <v>242</v>
      </c>
      <c r="M3050" s="5" t="s">
        <v>267</v>
      </c>
      <c r="N3050" s="5" t="s">
        <v>265</v>
      </c>
      <c r="O3050" s="5" t="s">
        <v>238</v>
      </c>
      <c r="P3050" s="5" t="s">
        <v>238</v>
      </c>
      <c r="Q3050" s="5" t="s">
        <v>268</v>
      </c>
      <c r="R3050" s="5" t="s">
        <v>270</v>
      </c>
      <c r="S3050" s="5" t="s">
        <v>238</v>
      </c>
      <c r="V3050" s="5" t="s">
        <v>238</v>
      </c>
      <c r="X3050" s="6" t="s">
        <v>238</v>
      </c>
      <c r="AA3050" s="6" t="s">
        <v>243</v>
      </c>
      <c r="AB3050" s="5" t="s">
        <v>238</v>
      </c>
      <c r="AC3050" s="5" t="s">
        <v>244</v>
      </c>
      <c r="AD3050" s="5" t="s">
        <v>245</v>
      </c>
      <c r="AT3050" s="5" t="s">
        <v>246</v>
      </c>
      <c r="AU3050" s="5" t="s">
        <v>238</v>
      </c>
      <c r="AV3050" s="5" t="s">
        <v>247</v>
      </c>
      <c r="AW3050" s="5" t="s">
        <v>238</v>
      </c>
      <c r="AX3050" s="5" t="s">
        <v>249</v>
      </c>
      <c r="AY3050" s="5" t="s">
        <v>238</v>
      </c>
      <c r="BA3050" s="5" t="s">
        <v>238</v>
      </c>
      <c r="BC3050" s="5" t="s">
        <v>250</v>
      </c>
      <c r="BD3050" s="6" t="s">
        <v>243</v>
      </c>
      <c r="BE3050" s="5" t="s">
        <v>251</v>
      </c>
      <c r="BF3050" s="5" t="s">
        <v>252</v>
      </c>
      <c r="BG3050" s="5" t="s">
        <v>238</v>
      </c>
      <c r="BH3050" s="7">
        <f>0</f>
        <v>0</v>
      </c>
      <c r="BI3050" s="8">
        <f>0</f>
        <v>0</v>
      </c>
      <c r="BJ3050" s="5" t="s">
        <v>253</v>
      </c>
      <c r="BK3050" s="5" t="s">
        <v>254</v>
      </c>
      <c r="BY3050" s="5" t="s">
        <v>238</v>
      </c>
      <c r="BZ3050" s="5" t="s">
        <v>238</v>
      </c>
      <c r="CD3050" s="5" t="s">
        <v>273</v>
      </c>
      <c r="CE3050" s="5" t="s">
        <v>256</v>
      </c>
      <c r="CF3050" s="5" t="s">
        <v>238</v>
      </c>
      <c r="CI3050" s="6" t="s">
        <v>257</v>
      </c>
      <c r="CJ3050" s="5" t="s">
        <v>238</v>
      </c>
      <c r="CK3050" s="5" t="s">
        <v>258</v>
      </c>
      <c r="CL3050" s="5" t="s">
        <v>238</v>
      </c>
      <c r="CM3050" s="5" t="s">
        <v>238</v>
      </c>
      <c r="CN3050" s="5">
        <v>0</v>
      </c>
      <c r="CO3050" s="5" t="s">
        <v>259</v>
      </c>
      <c r="CP3050" s="5" t="s">
        <v>260</v>
      </c>
      <c r="CQ3050" s="5" t="s">
        <v>260</v>
      </c>
      <c r="CR3050" s="5" t="s">
        <v>261</v>
      </c>
      <c r="CU3050" s="8">
        <f>1</f>
        <v>1</v>
      </c>
      <c r="CV3050" s="8">
        <f>0</f>
        <v>0</v>
      </c>
      <c r="CX3050" s="8">
        <f>0</f>
        <v>0</v>
      </c>
      <c r="CY3050" s="8">
        <f>1</f>
        <v>1</v>
      </c>
      <c r="DA3050" s="5" t="s">
        <v>274</v>
      </c>
      <c r="DB3050" s="5" t="s">
        <v>238</v>
      </c>
      <c r="DD3050" s="5" t="s">
        <v>274</v>
      </c>
      <c r="DE3050" s="8">
        <f>555</f>
        <v>555</v>
      </c>
      <c r="DG3050" s="5" t="s">
        <v>238</v>
      </c>
      <c r="DH3050" s="5" t="s">
        <v>238</v>
      </c>
      <c r="DI3050" s="5" t="s">
        <v>238</v>
      </c>
      <c r="DJ3050" s="5" t="s">
        <v>238</v>
      </c>
      <c r="DN3050" s="5" t="s">
        <v>238</v>
      </c>
      <c r="DO3050" s="5" t="s">
        <v>238</v>
      </c>
      <c r="DP3050" s="5" t="s">
        <v>238</v>
      </c>
      <c r="DQ3050" s="5" t="s">
        <v>238</v>
      </c>
      <c r="DT3050" s="5" t="s">
        <v>275</v>
      </c>
      <c r="DU3050" s="5" t="s">
        <v>3561</v>
      </c>
      <c r="HM3050" s="5" t="s">
        <v>264</v>
      </c>
    </row>
    <row r="3051" spans="1:221" x14ac:dyDescent="0.4">
      <c r="A3051" s="5">
        <v>4755</v>
      </c>
      <c r="B3051" s="5">
        <v>1</v>
      </c>
      <c r="C3051" s="5">
        <v>1</v>
      </c>
      <c r="D3051" s="5" t="s">
        <v>269</v>
      </c>
      <c r="E3051" s="5" t="s">
        <v>271</v>
      </c>
      <c r="F3051" s="5" t="s">
        <v>248</v>
      </c>
      <c r="G3051" s="5" t="s">
        <v>266</v>
      </c>
      <c r="H3051" s="6" t="s">
        <v>4164</v>
      </c>
      <c r="I3051" s="7">
        <f>288</f>
        <v>288</v>
      </c>
      <c r="J3051" s="5" t="s">
        <v>262</v>
      </c>
      <c r="K3051" s="8">
        <f>1</f>
        <v>1</v>
      </c>
      <c r="L3051" s="6" t="s">
        <v>242</v>
      </c>
      <c r="M3051" s="5" t="s">
        <v>267</v>
      </c>
      <c r="N3051" s="5" t="s">
        <v>265</v>
      </c>
      <c r="O3051" s="5" t="s">
        <v>238</v>
      </c>
      <c r="P3051" s="5" t="s">
        <v>238</v>
      </c>
      <c r="Q3051" s="5" t="s">
        <v>268</v>
      </c>
      <c r="R3051" s="5" t="s">
        <v>270</v>
      </c>
      <c r="S3051" s="5" t="s">
        <v>238</v>
      </c>
      <c r="V3051" s="5" t="s">
        <v>238</v>
      </c>
      <c r="X3051" s="6" t="s">
        <v>238</v>
      </c>
      <c r="AA3051" s="6" t="s">
        <v>243</v>
      </c>
      <c r="AB3051" s="5" t="s">
        <v>238</v>
      </c>
      <c r="AC3051" s="5" t="s">
        <v>244</v>
      </c>
      <c r="AD3051" s="5" t="s">
        <v>245</v>
      </c>
      <c r="AT3051" s="5" t="s">
        <v>246</v>
      </c>
      <c r="AU3051" s="5" t="s">
        <v>238</v>
      </c>
      <c r="AV3051" s="5" t="s">
        <v>247</v>
      </c>
      <c r="AW3051" s="5" t="s">
        <v>238</v>
      </c>
      <c r="AX3051" s="5" t="s">
        <v>249</v>
      </c>
      <c r="AY3051" s="5" t="s">
        <v>238</v>
      </c>
      <c r="BA3051" s="5" t="s">
        <v>238</v>
      </c>
      <c r="BC3051" s="5" t="s">
        <v>250</v>
      </c>
      <c r="BD3051" s="6" t="s">
        <v>243</v>
      </c>
      <c r="BE3051" s="5" t="s">
        <v>251</v>
      </c>
      <c r="BF3051" s="5" t="s">
        <v>252</v>
      </c>
      <c r="BG3051" s="5" t="s">
        <v>238</v>
      </c>
      <c r="BH3051" s="7">
        <f>0</f>
        <v>0</v>
      </c>
      <c r="BI3051" s="8">
        <f>0</f>
        <v>0</v>
      </c>
      <c r="BJ3051" s="5" t="s">
        <v>253</v>
      </c>
      <c r="BK3051" s="5" t="s">
        <v>254</v>
      </c>
      <c r="BY3051" s="5" t="s">
        <v>238</v>
      </c>
      <c r="BZ3051" s="5" t="s">
        <v>238</v>
      </c>
      <c r="CD3051" s="5" t="s">
        <v>273</v>
      </c>
      <c r="CE3051" s="5" t="s">
        <v>256</v>
      </c>
      <c r="CF3051" s="5" t="s">
        <v>238</v>
      </c>
      <c r="CI3051" s="6" t="s">
        <v>257</v>
      </c>
      <c r="CJ3051" s="5" t="s">
        <v>238</v>
      </c>
      <c r="CK3051" s="5" t="s">
        <v>258</v>
      </c>
      <c r="CL3051" s="5" t="s">
        <v>238</v>
      </c>
      <c r="CM3051" s="5" t="s">
        <v>238</v>
      </c>
      <c r="CN3051" s="5">
        <v>0</v>
      </c>
      <c r="CO3051" s="5" t="s">
        <v>259</v>
      </c>
      <c r="CP3051" s="5" t="s">
        <v>260</v>
      </c>
      <c r="CQ3051" s="5" t="s">
        <v>260</v>
      </c>
      <c r="CR3051" s="5" t="s">
        <v>261</v>
      </c>
      <c r="CU3051" s="8">
        <f>1</f>
        <v>1</v>
      </c>
      <c r="CV3051" s="8">
        <f>0</f>
        <v>0</v>
      </c>
      <c r="CX3051" s="8">
        <f>0</f>
        <v>0</v>
      </c>
      <c r="CY3051" s="8">
        <f>1</f>
        <v>1</v>
      </c>
      <c r="DA3051" s="5" t="s">
        <v>274</v>
      </c>
      <c r="DB3051" s="5" t="s">
        <v>238</v>
      </c>
      <c r="DD3051" s="5" t="s">
        <v>274</v>
      </c>
      <c r="DE3051" s="8">
        <f>288</f>
        <v>288</v>
      </c>
      <c r="DG3051" s="5" t="s">
        <v>238</v>
      </c>
      <c r="DH3051" s="5" t="s">
        <v>238</v>
      </c>
      <c r="DI3051" s="5" t="s">
        <v>238</v>
      </c>
      <c r="DJ3051" s="5" t="s">
        <v>238</v>
      </c>
      <c r="DN3051" s="5" t="s">
        <v>238</v>
      </c>
      <c r="DO3051" s="5" t="s">
        <v>238</v>
      </c>
      <c r="DP3051" s="5" t="s">
        <v>238</v>
      </c>
      <c r="DQ3051" s="5" t="s">
        <v>238</v>
      </c>
      <c r="DT3051" s="5" t="s">
        <v>275</v>
      </c>
      <c r="DU3051" s="5" t="s">
        <v>3568</v>
      </c>
      <c r="HM3051" s="5" t="s">
        <v>264</v>
      </c>
    </row>
    <row r="3052" spans="1:221" x14ac:dyDescent="0.4">
      <c r="A3052" s="5">
        <v>4756</v>
      </c>
      <c r="B3052" s="5">
        <v>1</v>
      </c>
      <c r="C3052" s="5">
        <v>1</v>
      </c>
      <c r="D3052" s="5" t="s">
        <v>269</v>
      </c>
      <c r="E3052" s="5" t="s">
        <v>271</v>
      </c>
      <c r="F3052" s="5" t="s">
        <v>248</v>
      </c>
      <c r="G3052" s="5" t="s">
        <v>266</v>
      </c>
      <c r="H3052" s="6" t="s">
        <v>4170</v>
      </c>
      <c r="I3052" s="7">
        <f>182</f>
        <v>182</v>
      </c>
      <c r="J3052" s="5" t="s">
        <v>262</v>
      </c>
      <c r="K3052" s="8">
        <f>1</f>
        <v>1</v>
      </c>
      <c r="L3052" s="6" t="s">
        <v>242</v>
      </c>
      <c r="M3052" s="5" t="s">
        <v>267</v>
      </c>
      <c r="N3052" s="5" t="s">
        <v>265</v>
      </c>
      <c r="O3052" s="5" t="s">
        <v>238</v>
      </c>
      <c r="P3052" s="5" t="s">
        <v>238</v>
      </c>
      <c r="Q3052" s="5" t="s">
        <v>268</v>
      </c>
      <c r="R3052" s="5" t="s">
        <v>270</v>
      </c>
      <c r="S3052" s="5" t="s">
        <v>238</v>
      </c>
      <c r="V3052" s="5" t="s">
        <v>238</v>
      </c>
      <c r="X3052" s="6" t="s">
        <v>238</v>
      </c>
      <c r="AA3052" s="6" t="s">
        <v>243</v>
      </c>
      <c r="AB3052" s="5" t="s">
        <v>238</v>
      </c>
      <c r="AC3052" s="5" t="s">
        <v>244</v>
      </c>
      <c r="AD3052" s="5" t="s">
        <v>245</v>
      </c>
      <c r="AT3052" s="5" t="s">
        <v>246</v>
      </c>
      <c r="AU3052" s="5" t="s">
        <v>238</v>
      </c>
      <c r="AV3052" s="5" t="s">
        <v>247</v>
      </c>
      <c r="AW3052" s="5" t="s">
        <v>238</v>
      </c>
      <c r="AX3052" s="5" t="s">
        <v>249</v>
      </c>
      <c r="AY3052" s="5" t="s">
        <v>238</v>
      </c>
      <c r="BA3052" s="5" t="s">
        <v>238</v>
      </c>
      <c r="BC3052" s="5" t="s">
        <v>250</v>
      </c>
      <c r="BD3052" s="6" t="s">
        <v>243</v>
      </c>
      <c r="BE3052" s="5" t="s">
        <v>251</v>
      </c>
      <c r="BF3052" s="5" t="s">
        <v>252</v>
      </c>
      <c r="BG3052" s="5" t="s">
        <v>238</v>
      </c>
      <c r="BH3052" s="7">
        <f>0</f>
        <v>0</v>
      </c>
      <c r="BI3052" s="8">
        <f>0</f>
        <v>0</v>
      </c>
      <c r="BJ3052" s="5" t="s">
        <v>253</v>
      </c>
      <c r="BK3052" s="5" t="s">
        <v>254</v>
      </c>
      <c r="BY3052" s="5" t="s">
        <v>238</v>
      </c>
      <c r="BZ3052" s="5" t="s">
        <v>238</v>
      </c>
      <c r="CD3052" s="5" t="s">
        <v>273</v>
      </c>
      <c r="CE3052" s="5" t="s">
        <v>256</v>
      </c>
      <c r="CF3052" s="5" t="s">
        <v>238</v>
      </c>
      <c r="CI3052" s="6" t="s">
        <v>257</v>
      </c>
      <c r="CJ3052" s="5" t="s">
        <v>238</v>
      </c>
      <c r="CK3052" s="5" t="s">
        <v>258</v>
      </c>
      <c r="CL3052" s="5" t="s">
        <v>238</v>
      </c>
      <c r="CM3052" s="5" t="s">
        <v>238</v>
      </c>
      <c r="CN3052" s="5">
        <v>0</v>
      </c>
      <c r="CO3052" s="5" t="s">
        <v>259</v>
      </c>
      <c r="CP3052" s="5" t="s">
        <v>260</v>
      </c>
      <c r="CQ3052" s="5" t="s">
        <v>260</v>
      </c>
      <c r="CR3052" s="5" t="s">
        <v>261</v>
      </c>
      <c r="CU3052" s="8">
        <f>1</f>
        <v>1</v>
      </c>
      <c r="CV3052" s="8">
        <f>0</f>
        <v>0</v>
      </c>
      <c r="CX3052" s="8">
        <f>0</f>
        <v>0</v>
      </c>
      <c r="CY3052" s="8">
        <f>1</f>
        <v>1</v>
      </c>
      <c r="DA3052" s="5" t="s">
        <v>274</v>
      </c>
      <c r="DB3052" s="5" t="s">
        <v>238</v>
      </c>
      <c r="DD3052" s="5" t="s">
        <v>274</v>
      </c>
      <c r="DE3052" s="8">
        <f>182</f>
        <v>182</v>
      </c>
      <c r="DG3052" s="5" t="s">
        <v>238</v>
      </c>
      <c r="DH3052" s="5" t="s">
        <v>238</v>
      </c>
      <c r="DI3052" s="5" t="s">
        <v>238</v>
      </c>
      <c r="DJ3052" s="5" t="s">
        <v>238</v>
      </c>
      <c r="DN3052" s="5" t="s">
        <v>238</v>
      </c>
      <c r="DO3052" s="5" t="s">
        <v>238</v>
      </c>
      <c r="DP3052" s="5" t="s">
        <v>238</v>
      </c>
      <c r="DQ3052" s="5" t="s">
        <v>238</v>
      </c>
      <c r="DT3052" s="5" t="s">
        <v>275</v>
      </c>
      <c r="DU3052" s="5" t="s">
        <v>3599</v>
      </c>
      <c r="HM3052" s="5" t="s">
        <v>264</v>
      </c>
    </row>
    <row r="3053" spans="1:221" x14ac:dyDescent="0.4">
      <c r="A3053" s="5">
        <v>4757</v>
      </c>
      <c r="B3053" s="5">
        <v>1</v>
      </c>
      <c r="C3053" s="5">
        <v>1</v>
      </c>
      <c r="D3053" s="5" t="s">
        <v>269</v>
      </c>
      <c r="E3053" s="5" t="s">
        <v>271</v>
      </c>
      <c r="F3053" s="5" t="s">
        <v>248</v>
      </c>
      <c r="G3053" s="5" t="s">
        <v>266</v>
      </c>
      <c r="H3053" s="6" t="s">
        <v>4175</v>
      </c>
      <c r="I3053" s="7">
        <f>1796</f>
        <v>1796</v>
      </c>
      <c r="J3053" s="5" t="s">
        <v>262</v>
      </c>
      <c r="K3053" s="8">
        <f>1</f>
        <v>1</v>
      </c>
      <c r="L3053" s="6" t="s">
        <v>242</v>
      </c>
      <c r="M3053" s="5" t="s">
        <v>267</v>
      </c>
      <c r="N3053" s="5" t="s">
        <v>265</v>
      </c>
      <c r="O3053" s="5" t="s">
        <v>238</v>
      </c>
      <c r="P3053" s="5" t="s">
        <v>238</v>
      </c>
      <c r="Q3053" s="5" t="s">
        <v>268</v>
      </c>
      <c r="R3053" s="5" t="s">
        <v>270</v>
      </c>
      <c r="S3053" s="5" t="s">
        <v>238</v>
      </c>
      <c r="V3053" s="5" t="s">
        <v>238</v>
      </c>
      <c r="X3053" s="6" t="s">
        <v>238</v>
      </c>
      <c r="AA3053" s="6" t="s">
        <v>243</v>
      </c>
      <c r="AB3053" s="5" t="s">
        <v>238</v>
      </c>
      <c r="AC3053" s="5" t="s">
        <v>244</v>
      </c>
      <c r="AD3053" s="5" t="s">
        <v>245</v>
      </c>
      <c r="AT3053" s="5" t="s">
        <v>246</v>
      </c>
      <c r="AU3053" s="5" t="s">
        <v>238</v>
      </c>
      <c r="AV3053" s="5" t="s">
        <v>247</v>
      </c>
      <c r="AW3053" s="5" t="s">
        <v>238</v>
      </c>
      <c r="AX3053" s="5" t="s">
        <v>249</v>
      </c>
      <c r="AY3053" s="5" t="s">
        <v>238</v>
      </c>
      <c r="BA3053" s="5" t="s">
        <v>238</v>
      </c>
      <c r="BC3053" s="5" t="s">
        <v>250</v>
      </c>
      <c r="BD3053" s="6" t="s">
        <v>243</v>
      </c>
      <c r="BE3053" s="5" t="s">
        <v>251</v>
      </c>
      <c r="BF3053" s="5" t="s">
        <v>252</v>
      </c>
      <c r="BG3053" s="5" t="s">
        <v>238</v>
      </c>
      <c r="BH3053" s="7">
        <f>0</f>
        <v>0</v>
      </c>
      <c r="BI3053" s="8">
        <f>0</f>
        <v>0</v>
      </c>
      <c r="BJ3053" s="5" t="s">
        <v>253</v>
      </c>
      <c r="BK3053" s="5" t="s">
        <v>254</v>
      </c>
      <c r="BY3053" s="5" t="s">
        <v>238</v>
      </c>
      <c r="BZ3053" s="5" t="s">
        <v>238</v>
      </c>
      <c r="CD3053" s="5" t="s">
        <v>273</v>
      </c>
      <c r="CE3053" s="5" t="s">
        <v>256</v>
      </c>
      <c r="CF3053" s="5" t="s">
        <v>238</v>
      </c>
      <c r="CI3053" s="6" t="s">
        <v>257</v>
      </c>
      <c r="CJ3053" s="5" t="s">
        <v>238</v>
      </c>
      <c r="CK3053" s="5" t="s">
        <v>258</v>
      </c>
      <c r="CL3053" s="5" t="s">
        <v>238</v>
      </c>
      <c r="CM3053" s="5" t="s">
        <v>238</v>
      </c>
      <c r="CN3053" s="5">
        <v>0</v>
      </c>
      <c r="CO3053" s="5" t="s">
        <v>259</v>
      </c>
      <c r="CP3053" s="5" t="s">
        <v>260</v>
      </c>
      <c r="CQ3053" s="5" t="s">
        <v>260</v>
      </c>
      <c r="CR3053" s="5" t="s">
        <v>261</v>
      </c>
      <c r="CU3053" s="8">
        <f>1</f>
        <v>1</v>
      </c>
      <c r="CV3053" s="8">
        <f>0</f>
        <v>0</v>
      </c>
      <c r="CX3053" s="8">
        <f>0</f>
        <v>0</v>
      </c>
      <c r="CY3053" s="8">
        <f>1</f>
        <v>1</v>
      </c>
      <c r="DA3053" s="5" t="s">
        <v>274</v>
      </c>
      <c r="DB3053" s="5" t="s">
        <v>238</v>
      </c>
      <c r="DD3053" s="5" t="s">
        <v>274</v>
      </c>
      <c r="DE3053" s="8">
        <f>1796</f>
        <v>1796</v>
      </c>
      <c r="DG3053" s="5" t="s">
        <v>238</v>
      </c>
      <c r="DH3053" s="5" t="s">
        <v>238</v>
      </c>
      <c r="DI3053" s="5" t="s">
        <v>238</v>
      </c>
      <c r="DJ3053" s="5" t="s">
        <v>238</v>
      </c>
      <c r="DN3053" s="5" t="s">
        <v>238</v>
      </c>
      <c r="DO3053" s="5" t="s">
        <v>238</v>
      </c>
      <c r="DP3053" s="5" t="s">
        <v>238</v>
      </c>
      <c r="DQ3053" s="5" t="s">
        <v>238</v>
      </c>
      <c r="DT3053" s="5" t="s">
        <v>275</v>
      </c>
      <c r="DU3053" s="5" t="s">
        <v>3621</v>
      </c>
      <c r="HM3053" s="5" t="s">
        <v>264</v>
      </c>
    </row>
    <row r="3054" spans="1:221" x14ac:dyDescent="0.4">
      <c r="A3054" s="5">
        <v>4758</v>
      </c>
      <c r="B3054" s="5">
        <v>1</v>
      </c>
      <c r="C3054" s="5">
        <v>1</v>
      </c>
      <c r="D3054" s="5" t="s">
        <v>269</v>
      </c>
      <c r="E3054" s="5" t="s">
        <v>271</v>
      </c>
      <c r="F3054" s="5" t="s">
        <v>248</v>
      </c>
      <c r="G3054" s="5" t="s">
        <v>266</v>
      </c>
      <c r="H3054" s="6" t="s">
        <v>4187</v>
      </c>
      <c r="I3054" s="7">
        <f>1939</f>
        <v>1939</v>
      </c>
      <c r="J3054" s="5" t="s">
        <v>262</v>
      </c>
      <c r="K3054" s="8">
        <f>1</f>
        <v>1</v>
      </c>
      <c r="L3054" s="6" t="s">
        <v>242</v>
      </c>
      <c r="M3054" s="5" t="s">
        <v>267</v>
      </c>
      <c r="N3054" s="5" t="s">
        <v>265</v>
      </c>
      <c r="O3054" s="5" t="s">
        <v>238</v>
      </c>
      <c r="P3054" s="5" t="s">
        <v>238</v>
      </c>
      <c r="Q3054" s="5" t="s">
        <v>268</v>
      </c>
      <c r="R3054" s="5" t="s">
        <v>270</v>
      </c>
      <c r="S3054" s="5" t="s">
        <v>238</v>
      </c>
      <c r="V3054" s="5" t="s">
        <v>238</v>
      </c>
      <c r="X3054" s="6" t="s">
        <v>238</v>
      </c>
      <c r="AA3054" s="6" t="s">
        <v>243</v>
      </c>
      <c r="AB3054" s="5" t="s">
        <v>238</v>
      </c>
      <c r="AC3054" s="5" t="s">
        <v>244</v>
      </c>
      <c r="AD3054" s="5" t="s">
        <v>245</v>
      </c>
      <c r="AT3054" s="5" t="s">
        <v>246</v>
      </c>
      <c r="AU3054" s="5" t="s">
        <v>238</v>
      </c>
      <c r="AV3054" s="5" t="s">
        <v>247</v>
      </c>
      <c r="AW3054" s="5" t="s">
        <v>238</v>
      </c>
      <c r="AX3054" s="5" t="s">
        <v>249</v>
      </c>
      <c r="AY3054" s="5" t="s">
        <v>238</v>
      </c>
      <c r="BA3054" s="5" t="s">
        <v>238</v>
      </c>
      <c r="BC3054" s="5" t="s">
        <v>250</v>
      </c>
      <c r="BD3054" s="6" t="s">
        <v>243</v>
      </c>
      <c r="BE3054" s="5" t="s">
        <v>251</v>
      </c>
      <c r="BF3054" s="5" t="s">
        <v>252</v>
      </c>
      <c r="BG3054" s="5" t="s">
        <v>238</v>
      </c>
      <c r="BH3054" s="7">
        <f>0</f>
        <v>0</v>
      </c>
      <c r="BI3054" s="8">
        <f>0</f>
        <v>0</v>
      </c>
      <c r="BJ3054" s="5" t="s">
        <v>253</v>
      </c>
      <c r="BK3054" s="5" t="s">
        <v>254</v>
      </c>
      <c r="BY3054" s="5" t="s">
        <v>238</v>
      </c>
      <c r="BZ3054" s="5" t="s">
        <v>238</v>
      </c>
      <c r="CD3054" s="5" t="s">
        <v>273</v>
      </c>
      <c r="CE3054" s="5" t="s">
        <v>256</v>
      </c>
      <c r="CF3054" s="5" t="s">
        <v>238</v>
      </c>
      <c r="CI3054" s="6" t="s">
        <v>257</v>
      </c>
      <c r="CJ3054" s="5" t="s">
        <v>238</v>
      </c>
      <c r="CK3054" s="5" t="s">
        <v>258</v>
      </c>
      <c r="CL3054" s="5" t="s">
        <v>238</v>
      </c>
      <c r="CM3054" s="5" t="s">
        <v>238</v>
      </c>
      <c r="CN3054" s="5">
        <v>0</v>
      </c>
      <c r="CO3054" s="5" t="s">
        <v>259</v>
      </c>
      <c r="CP3054" s="5" t="s">
        <v>260</v>
      </c>
      <c r="CQ3054" s="5" t="s">
        <v>260</v>
      </c>
      <c r="CR3054" s="5" t="s">
        <v>261</v>
      </c>
      <c r="CU3054" s="8">
        <f>1</f>
        <v>1</v>
      </c>
      <c r="CV3054" s="8">
        <f>0</f>
        <v>0</v>
      </c>
      <c r="CX3054" s="8">
        <f>0</f>
        <v>0</v>
      </c>
      <c r="CY3054" s="8">
        <f>1</f>
        <v>1</v>
      </c>
      <c r="DA3054" s="5" t="s">
        <v>274</v>
      </c>
      <c r="DB3054" s="5" t="s">
        <v>238</v>
      </c>
      <c r="DD3054" s="5" t="s">
        <v>274</v>
      </c>
      <c r="DE3054" s="8">
        <f>1939</f>
        <v>1939</v>
      </c>
      <c r="DG3054" s="5" t="s">
        <v>238</v>
      </c>
      <c r="DH3054" s="5" t="s">
        <v>238</v>
      </c>
      <c r="DI3054" s="5" t="s">
        <v>238</v>
      </c>
      <c r="DJ3054" s="5" t="s">
        <v>238</v>
      </c>
      <c r="DN3054" s="5" t="s">
        <v>238</v>
      </c>
      <c r="DO3054" s="5" t="s">
        <v>238</v>
      </c>
      <c r="DP3054" s="5" t="s">
        <v>238</v>
      </c>
      <c r="DQ3054" s="5" t="s">
        <v>238</v>
      </c>
      <c r="DT3054" s="5" t="s">
        <v>275</v>
      </c>
      <c r="DU3054" s="5" t="s">
        <v>3636</v>
      </c>
      <c r="HM3054" s="5" t="s">
        <v>264</v>
      </c>
    </row>
    <row r="3055" spans="1:221" x14ac:dyDescent="0.4">
      <c r="A3055" s="5">
        <v>4759</v>
      </c>
      <c r="B3055" s="5">
        <v>1</v>
      </c>
      <c r="C3055" s="5">
        <v>1</v>
      </c>
      <c r="D3055" s="5" t="s">
        <v>269</v>
      </c>
      <c r="E3055" s="5" t="s">
        <v>271</v>
      </c>
      <c r="F3055" s="5" t="s">
        <v>248</v>
      </c>
      <c r="G3055" s="5" t="s">
        <v>266</v>
      </c>
      <c r="H3055" s="6" t="s">
        <v>4193</v>
      </c>
      <c r="I3055" s="7">
        <f>239</f>
        <v>239</v>
      </c>
      <c r="J3055" s="5" t="s">
        <v>262</v>
      </c>
      <c r="K3055" s="8">
        <f>1</f>
        <v>1</v>
      </c>
      <c r="L3055" s="6" t="s">
        <v>242</v>
      </c>
      <c r="M3055" s="5" t="s">
        <v>267</v>
      </c>
      <c r="N3055" s="5" t="s">
        <v>265</v>
      </c>
      <c r="O3055" s="5" t="s">
        <v>238</v>
      </c>
      <c r="P3055" s="5" t="s">
        <v>238</v>
      </c>
      <c r="Q3055" s="5" t="s">
        <v>268</v>
      </c>
      <c r="R3055" s="5" t="s">
        <v>270</v>
      </c>
      <c r="S3055" s="5" t="s">
        <v>238</v>
      </c>
      <c r="V3055" s="5" t="s">
        <v>238</v>
      </c>
      <c r="X3055" s="6" t="s">
        <v>238</v>
      </c>
      <c r="AA3055" s="6" t="s">
        <v>243</v>
      </c>
      <c r="AB3055" s="5" t="s">
        <v>238</v>
      </c>
      <c r="AC3055" s="5" t="s">
        <v>244</v>
      </c>
      <c r="AD3055" s="5" t="s">
        <v>245</v>
      </c>
      <c r="AT3055" s="5" t="s">
        <v>246</v>
      </c>
      <c r="AU3055" s="5" t="s">
        <v>238</v>
      </c>
      <c r="AV3055" s="5" t="s">
        <v>247</v>
      </c>
      <c r="AW3055" s="5" t="s">
        <v>238</v>
      </c>
      <c r="AX3055" s="5" t="s">
        <v>249</v>
      </c>
      <c r="AY3055" s="5" t="s">
        <v>238</v>
      </c>
      <c r="BA3055" s="5" t="s">
        <v>238</v>
      </c>
      <c r="BC3055" s="5" t="s">
        <v>250</v>
      </c>
      <c r="BD3055" s="6" t="s">
        <v>243</v>
      </c>
      <c r="BE3055" s="5" t="s">
        <v>251</v>
      </c>
      <c r="BF3055" s="5" t="s">
        <v>252</v>
      </c>
      <c r="BG3055" s="5" t="s">
        <v>238</v>
      </c>
      <c r="BH3055" s="7">
        <f>0</f>
        <v>0</v>
      </c>
      <c r="BI3055" s="8">
        <f>0</f>
        <v>0</v>
      </c>
      <c r="BJ3055" s="5" t="s">
        <v>253</v>
      </c>
      <c r="BK3055" s="5" t="s">
        <v>254</v>
      </c>
      <c r="BY3055" s="5" t="s">
        <v>238</v>
      </c>
      <c r="BZ3055" s="5" t="s">
        <v>238</v>
      </c>
      <c r="CD3055" s="5" t="s">
        <v>273</v>
      </c>
      <c r="CE3055" s="5" t="s">
        <v>256</v>
      </c>
      <c r="CF3055" s="5" t="s">
        <v>238</v>
      </c>
      <c r="CI3055" s="6" t="s">
        <v>257</v>
      </c>
      <c r="CJ3055" s="5" t="s">
        <v>238</v>
      </c>
      <c r="CK3055" s="5" t="s">
        <v>258</v>
      </c>
      <c r="CL3055" s="5" t="s">
        <v>238</v>
      </c>
      <c r="CM3055" s="5" t="s">
        <v>238</v>
      </c>
      <c r="CN3055" s="5">
        <v>0</v>
      </c>
      <c r="CO3055" s="5" t="s">
        <v>259</v>
      </c>
      <c r="CP3055" s="5" t="s">
        <v>260</v>
      </c>
      <c r="CQ3055" s="5" t="s">
        <v>260</v>
      </c>
      <c r="CR3055" s="5" t="s">
        <v>261</v>
      </c>
      <c r="CU3055" s="8">
        <f>1</f>
        <v>1</v>
      </c>
      <c r="CV3055" s="8">
        <f>0</f>
        <v>0</v>
      </c>
      <c r="CX3055" s="8">
        <f>0</f>
        <v>0</v>
      </c>
      <c r="CY3055" s="8">
        <f>1</f>
        <v>1</v>
      </c>
      <c r="DA3055" s="5" t="s">
        <v>274</v>
      </c>
      <c r="DB3055" s="5" t="s">
        <v>238</v>
      </c>
      <c r="DD3055" s="5" t="s">
        <v>274</v>
      </c>
      <c r="DE3055" s="8">
        <f>239</f>
        <v>239</v>
      </c>
      <c r="DG3055" s="5" t="s">
        <v>238</v>
      </c>
      <c r="DH3055" s="5" t="s">
        <v>238</v>
      </c>
      <c r="DI3055" s="5" t="s">
        <v>238</v>
      </c>
      <c r="DJ3055" s="5" t="s">
        <v>238</v>
      </c>
      <c r="DN3055" s="5" t="s">
        <v>238</v>
      </c>
      <c r="DO3055" s="5" t="s">
        <v>238</v>
      </c>
      <c r="DP3055" s="5" t="s">
        <v>238</v>
      </c>
      <c r="DQ3055" s="5" t="s">
        <v>238</v>
      </c>
      <c r="DT3055" s="5" t="s">
        <v>275</v>
      </c>
      <c r="DU3055" s="5" t="s">
        <v>3575</v>
      </c>
      <c r="HM3055" s="5" t="s">
        <v>264</v>
      </c>
    </row>
    <row r="3056" spans="1:221" x14ac:dyDescent="0.4">
      <c r="A3056" s="5">
        <v>4760</v>
      </c>
      <c r="B3056" s="5">
        <v>1</v>
      </c>
      <c r="C3056" s="5">
        <v>1</v>
      </c>
      <c r="D3056" s="5" t="s">
        <v>269</v>
      </c>
      <c r="E3056" s="5" t="s">
        <v>271</v>
      </c>
      <c r="F3056" s="5" t="s">
        <v>248</v>
      </c>
      <c r="G3056" s="5" t="s">
        <v>266</v>
      </c>
      <c r="H3056" s="6" t="s">
        <v>4201</v>
      </c>
      <c r="I3056" s="7">
        <f>486</f>
        <v>486</v>
      </c>
      <c r="J3056" s="5" t="s">
        <v>262</v>
      </c>
      <c r="K3056" s="8">
        <f>1</f>
        <v>1</v>
      </c>
      <c r="L3056" s="6" t="s">
        <v>242</v>
      </c>
      <c r="M3056" s="5" t="s">
        <v>267</v>
      </c>
      <c r="N3056" s="5" t="s">
        <v>265</v>
      </c>
      <c r="O3056" s="5" t="s">
        <v>238</v>
      </c>
      <c r="P3056" s="5" t="s">
        <v>238</v>
      </c>
      <c r="Q3056" s="5" t="s">
        <v>268</v>
      </c>
      <c r="R3056" s="5" t="s">
        <v>270</v>
      </c>
      <c r="S3056" s="5" t="s">
        <v>238</v>
      </c>
      <c r="V3056" s="5" t="s">
        <v>238</v>
      </c>
      <c r="X3056" s="6" t="s">
        <v>238</v>
      </c>
      <c r="AA3056" s="6" t="s">
        <v>243</v>
      </c>
      <c r="AB3056" s="5" t="s">
        <v>238</v>
      </c>
      <c r="AC3056" s="5" t="s">
        <v>244</v>
      </c>
      <c r="AD3056" s="5" t="s">
        <v>245</v>
      </c>
      <c r="AT3056" s="5" t="s">
        <v>246</v>
      </c>
      <c r="AU3056" s="5" t="s">
        <v>238</v>
      </c>
      <c r="AV3056" s="5" t="s">
        <v>247</v>
      </c>
      <c r="AW3056" s="5" t="s">
        <v>238</v>
      </c>
      <c r="AX3056" s="5" t="s">
        <v>249</v>
      </c>
      <c r="AY3056" s="5" t="s">
        <v>238</v>
      </c>
      <c r="BA3056" s="5" t="s">
        <v>238</v>
      </c>
      <c r="BC3056" s="5" t="s">
        <v>250</v>
      </c>
      <c r="BD3056" s="6" t="s">
        <v>243</v>
      </c>
      <c r="BE3056" s="5" t="s">
        <v>251</v>
      </c>
      <c r="BF3056" s="5" t="s">
        <v>252</v>
      </c>
      <c r="BG3056" s="5" t="s">
        <v>238</v>
      </c>
      <c r="BH3056" s="7">
        <f>0</f>
        <v>0</v>
      </c>
      <c r="BI3056" s="8">
        <f>0</f>
        <v>0</v>
      </c>
      <c r="BJ3056" s="5" t="s">
        <v>253</v>
      </c>
      <c r="BK3056" s="5" t="s">
        <v>254</v>
      </c>
      <c r="BY3056" s="5" t="s">
        <v>238</v>
      </c>
      <c r="BZ3056" s="5" t="s">
        <v>238</v>
      </c>
      <c r="CD3056" s="5" t="s">
        <v>273</v>
      </c>
      <c r="CE3056" s="5" t="s">
        <v>256</v>
      </c>
      <c r="CF3056" s="5" t="s">
        <v>238</v>
      </c>
      <c r="CI3056" s="6" t="s">
        <v>257</v>
      </c>
      <c r="CJ3056" s="5" t="s">
        <v>238</v>
      </c>
      <c r="CK3056" s="5" t="s">
        <v>258</v>
      </c>
      <c r="CL3056" s="5" t="s">
        <v>238</v>
      </c>
      <c r="CM3056" s="5" t="s">
        <v>238</v>
      </c>
      <c r="CN3056" s="5">
        <v>0</v>
      </c>
      <c r="CO3056" s="5" t="s">
        <v>259</v>
      </c>
      <c r="CP3056" s="5" t="s">
        <v>260</v>
      </c>
      <c r="CQ3056" s="5" t="s">
        <v>260</v>
      </c>
      <c r="CR3056" s="5" t="s">
        <v>261</v>
      </c>
      <c r="CU3056" s="8">
        <f>1</f>
        <v>1</v>
      </c>
      <c r="CV3056" s="8">
        <f>0</f>
        <v>0</v>
      </c>
      <c r="CX3056" s="8">
        <f>0</f>
        <v>0</v>
      </c>
      <c r="CY3056" s="8">
        <f>1</f>
        <v>1</v>
      </c>
      <c r="DA3056" s="5" t="s">
        <v>274</v>
      </c>
      <c r="DB3056" s="5" t="s">
        <v>238</v>
      </c>
      <c r="DD3056" s="5" t="s">
        <v>274</v>
      </c>
      <c r="DE3056" s="8">
        <f>486</f>
        <v>486</v>
      </c>
      <c r="DG3056" s="5" t="s">
        <v>238</v>
      </c>
      <c r="DH3056" s="5" t="s">
        <v>238</v>
      </c>
      <c r="DI3056" s="5" t="s">
        <v>238</v>
      </c>
      <c r="DJ3056" s="5" t="s">
        <v>238</v>
      </c>
      <c r="DN3056" s="5" t="s">
        <v>238</v>
      </c>
      <c r="DO3056" s="5" t="s">
        <v>238</v>
      </c>
      <c r="DP3056" s="5" t="s">
        <v>238</v>
      </c>
      <c r="DQ3056" s="5" t="s">
        <v>238</v>
      </c>
      <c r="DT3056" s="5" t="s">
        <v>275</v>
      </c>
      <c r="DU3056" s="5" t="s">
        <v>2367</v>
      </c>
      <c r="HM3056" s="5" t="s">
        <v>264</v>
      </c>
    </row>
    <row r="3057" spans="1:221" x14ac:dyDescent="0.4">
      <c r="A3057" s="5">
        <v>4761</v>
      </c>
      <c r="B3057" s="5">
        <v>1</v>
      </c>
      <c r="C3057" s="5">
        <v>1</v>
      </c>
      <c r="D3057" s="5" t="s">
        <v>269</v>
      </c>
      <c r="E3057" s="5" t="s">
        <v>271</v>
      </c>
      <c r="F3057" s="5" t="s">
        <v>248</v>
      </c>
      <c r="G3057" s="5" t="s">
        <v>266</v>
      </c>
      <c r="H3057" s="6" t="s">
        <v>4204</v>
      </c>
      <c r="I3057" s="7">
        <f>2578</f>
        <v>2578</v>
      </c>
      <c r="J3057" s="5" t="s">
        <v>262</v>
      </c>
      <c r="K3057" s="8">
        <f>1</f>
        <v>1</v>
      </c>
      <c r="L3057" s="6" t="s">
        <v>242</v>
      </c>
      <c r="M3057" s="5" t="s">
        <v>267</v>
      </c>
      <c r="N3057" s="5" t="s">
        <v>265</v>
      </c>
      <c r="O3057" s="5" t="s">
        <v>238</v>
      </c>
      <c r="P3057" s="5" t="s">
        <v>238</v>
      </c>
      <c r="Q3057" s="5" t="s">
        <v>268</v>
      </c>
      <c r="R3057" s="5" t="s">
        <v>270</v>
      </c>
      <c r="S3057" s="5" t="s">
        <v>238</v>
      </c>
      <c r="V3057" s="5" t="s">
        <v>238</v>
      </c>
      <c r="X3057" s="6" t="s">
        <v>238</v>
      </c>
      <c r="AA3057" s="6" t="s">
        <v>243</v>
      </c>
      <c r="AB3057" s="5" t="s">
        <v>238</v>
      </c>
      <c r="AC3057" s="5" t="s">
        <v>244</v>
      </c>
      <c r="AD3057" s="5" t="s">
        <v>245</v>
      </c>
      <c r="AT3057" s="5" t="s">
        <v>246</v>
      </c>
      <c r="AU3057" s="5" t="s">
        <v>238</v>
      </c>
      <c r="AV3057" s="5" t="s">
        <v>247</v>
      </c>
      <c r="AW3057" s="5" t="s">
        <v>238</v>
      </c>
      <c r="AX3057" s="5" t="s">
        <v>249</v>
      </c>
      <c r="AY3057" s="5" t="s">
        <v>238</v>
      </c>
      <c r="BA3057" s="5" t="s">
        <v>238</v>
      </c>
      <c r="BC3057" s="5" t="s">
        <v>250</v>
      </c>
      <c r="BD3057" s="6" t="s">
        <v>243</v>
      </c>
      <c r="BE3057" s="5" t="s">
        <v>251</v>
      </c>
      <c r="BF3057" s="5" t="s">
        <v>252</v>
      </c>
      <c r="BG3057" s="5" t="s">
        <v>238</v>
      </c>
      <c r="BH3057" s="7">
        <f>0</f>
        <v>0</v>
      </c>
      <c r="BI3057" s="8">
        <f>0</f>
        <v>0</v>
      </c>
      <c r="BJ3057" s="5" t="s">
        <v>253</v>
      </c>
      <c r="BK3057" s="5" t="s">
        <v>254</v>
      </c>
      <c r="BY3057" s="5" t="s">
        <v>238</v>
      </c>
      <c r="BZ3057" s="5" t="s">
        <v>238</v>
      </c>
      <c r="CD3057" s="5" t="s">
        <v>273</v>
      </c>
      <c r="CE3057" s="5" t="s">
        <v>256</v>
      </c>
      <c r="CF3057" s="5" t="s">
        <v>238</v>
      </c>
      <c r="CI3057" s="6" t="s">
        <v>257</v>
      </c>
      <c r="CJ3057" s="5" t="s">
        <v>238</v>
      </c>
      <c r="CK3057" s="5" t="s">
        <v>258</v>
      </c>
      <c r="CL3057" s="5" t="s">
        <v>238</v>
      </c>
      <c r="CM3057" s="5" t="s">
        <v>238</v>
      </c>
      <c r="CN3057" s="5">
        <v>0</v>
      </c>
      <c r="CO3057" s="5" t="s">
        <v>259</v>
      </c>
      <c r="CP3057" s="5" t="s">
        <v>260</v>
      </c>
      <c r="CQ3057" s="5" t="s">
        <v>260</v>
      </c>
      <c r="CR3057" s="5" t="s">
        <v>261</v>
      </c>
      <c r="CU3057" s="8">
        <f>1</f>
        <v>1</v>
      </c>
      <c r="CV3057" s="8">
        <f>0</f>
        <v>0</v>
      </c>
      <c r="CX3057" s="8">
        <f>0</f>
        <v>0</v>
      </c>
      <c r="CY3057" s="8">
        <f>1</f>
        <v>1</v>
      </c>
      <c r="DA3057" s="5" t="s">
        <v>274</v>
      </c>
      <c r="DB3057" s="5" t="s">
        <v>238</v>
      </c>
      <c r="DD3057" s="5" t="s">
        <v>274</v>
      </c>
      <c r="DE3057" s="8">
        <f>2578</f>
        <v>2578</v>
      </c>
      <c r="DG3057" s="5" t="s">
        <v>238</v>
      </c>
      <c r="DH3057" s="5" t="s">
        <v>238</v>
      </c>
      <c r="DI3057" s="5" t="s">
        <v>238</v>
      </c>
      <c r="DJ3057" s="5" t="s">
        <v>238</v>
      </c>
      <c r="DN3057" s="5" t="s">
        <v>238</v>
      </c>
      <c r="DO3057" s="5" t="s">
        <v>238</v>
      </c>
      <c r="DP3057" s="5" t="s">
        <v>238</v>
      </c>
      <c r="DQ3057" s="5" t="s">
        <v>238</v>
      </c>
      <c r="DT3057" s="5" t="s">
        <v>275</v>
      </c>
      <c r="DU3057" s="5" t="s">
        <v>3584</v>
      </c>
      <c r="HM3057" s="5" t="s">
        <v>264</v>
      </c>
    </row>
    <row r="3058" spans="1:221" x14ac:dyDescent="0.4">
      <c r="A3058" s="5">
        <v>4762</v>
      </c>
      <c r="B3058" s="5">
        <v>1</v>
      </c>
      <c r="C3058" s="5">
        <v>1</v>
      </c>
      <c r="D3058" s="5" t="s">
        <v>269</v>
      </c>
      <c r="E3058" s="5" t="s">
        <v>271</v>
      </c>
      <c r="F3058" s="5" t="s">
        <v>248</v>
      </c>
      <c r="G3058" s="5" t="s">
        <v>266</v>
      </c>
      <c r="H3058" s="6" t="s">
        <v>4212</v>
      </c>
      <c r="I3058" s="7">
        <f>531</f>
        <v>531</v>
      </c>
      <c r="J3058" s="5" t="s">
        <v>262</v>
      </c>
      <c r="K3058" s="8">
        <f>1</f>
        <v>1</v>
      </c>
      <c r="L3058" s="6" t="s">
        <v>242</v>
      </c>
      <c r="M3058" s="5" t="s">
        <v>267</v>
      </c>
      <c r="N3058" s="5" t="s">
        <v>265</v>
      </c>
      <c r="O3058" s="5" t="s">
        <v>238</v>
      </c>
      <c r="P3058" s="5" t="s">
        <v>238</v>
      </c>
      <c r="Q3058" s="5" t="s">
        <v>268</v>
      </c>
      <c r="R3058" s="5" t="s">
        <v>270</v>
      </c>
      <c r="S3058" s="5" t="s">
        <v>238</v>
      </c>
      <c r="V3058" s="5" t="s">
        <v>238</v>
      </c>
      <c r="X3058" s="6" t="s">
        <v>238</v>
      </c>
      <c r="AA3058" s="6" t="s">
        <v>243</v>
      </c>
      <c r="AB3058" s="5" t="s">
        <v>238</v>
      </c>
      <c r="AC3058" s="5" t="s">
        <v>244</v>
      </c>
      <c r="AD3058" s="5" t="s">
        <v>245</v>
      </c>
      <c r="AT3058" s="5" t="s">
        <v>246</v>
      </c>
      <c r="AU3058" s="5" t="s">
        <v>238</v>
      </c>
      <c r="AV3058" s="5" t="s">
        <v>247</v>
      </c>
      <c r="AW3058" s="5" t="s">
        <v>238</v>
      </c>
      <c r="AX3058" s="5" t="s">
        <v>249</v>
      </c>
      <c r="AY3058" s="5" t="s">
        <v>238</v>
      </c>
      <c r="BA3058" s="5" t="s">
        <v>238</v>
      </c>
      <c r="BC3058" s="5" t="s">
        <v>250</v>
      </c>
      <c r="BD3058" s="6" t="s">
        <v>243</v>
      </c>
      <c r="BE3058" s="5" t="s">
        <v>251</v>
      </c>
      <c r="BF3058" s="5" t="s">
        <v>252</v>
      </c>
      <c r="BG3058" s="5" t="s">
        <v>238</v>
      </c>
      <c r="BH3058" s="7">
        <f>0</f>
        <v>0</v>
      </c>
      <c r="BI3058" s="8">
        <f>0</f>
        <v>0</v>
      </c>
      <c r="BJ3058" s="5" t="s">
        <v>253</v>
      </c>
      <c r="BK3058" s="5" t="s">
        <v>254</v>
      </c>
      <c r="BY3058" s="5" t="s">
        <v>238</v>
      </c>
      <c r="BZ3058" s="5" t="s">
        <v>238</v>
      </c>
      <c r="CD3058" s="5" t="s">
        <v>273</v>
      </c>
      <c r="CE3058" s="5" t="s">
        <v>256</v>
      </c>
      <c r="CF3058" s="5" t="s">
        <v>238</v>
      </c>
      <c r="CI3058" s="6" t="s">
        <v>257</v>
      </c>
      <c r="CJ3058" s="5" t="s">
        <v>238</v>
      </c>
      <c r="CK3058" s="5" t="s">
        <v>258</v>
      </c>
      <c r="CL3058" s="5" t="s">
        <v>238</v>
      </c>
      <c r="CM3058" s="5" t="s">
        <v>238</v>
      </c>
      <c r="CN3058" s="5">
        <v>0</v>
      </c>
      <c r="CO3058" s="5" t="s">
        <v>259</v>
      </c>
      <c r="CP3058" s="5" t="s">
        <v>260</v>
      </c>
      <c r="CQ3058" s="5" t="s">
        <v>260</v>
      </c>
      <c r="CR3058" s="5" t="s">
        <v>261</v>
      </c>
      <c r="CU3058" s="8">
        <f>1</f>
        <v>1</v>
      </c>
      <c r="CV3058" s="8">
        <f>0</f>
        <v>0</v>
      </c>
      <c r="CX3058" s="8">
        <f>0</f>
        <v>0</v>
      </c>
      <c r="CY3058" s="8">
        <f>1</f>
        <v>1</v>
      </c>
      <c r="DA3058" s="5" t="s">
        <v>274</v>
      </c>
      <c r="DB3058" s="5" t="s">
        <v>238</v>
      </c>
      <c r="DD3058" s="5" t="s">
        <v>274</v>
      </c>
      <c r="DE3058" s="8">
        <f>531</f>
        <v>531</v>
      </c>
      <c r="DG3058" s="5" t="s">
        <v>238</v>
      </c>
      <c r="DH3058" s="5" t="s">
        <v>238</v>
      </c>
      <c r="DI3058" s="5" t="s">
        <v>238</v>
      </c>
      <c r="DJ3058" s="5" t="s">
        <v>238</v>
      </c>
      <c r="DN3058" s="5" t="s">
        <v>238</v>
      </c>
      <c r="DO3058" s="5" t="s">
        <v>238</v>
      </c>
      <c r="DP3058" s="5" t="s">
        <v>238</v>
      </c>
      <c r="DQ3058" s="5" t="s">
        <v>238</v>
      </c>
      <c r="DT3058" s="5" t="s">
        <v>275</v>
      </c>
      <c r="DU3058" s="5" t="s">
        <v>3591</v>
      </c>
      <c r="HM3058" s="5" t="s">
        <v>264</v>
      </c>
    </row>
    <row r="3059" spans="1:221" x14ac:dyDescent="0.4">
      <c r="A3059" s="5">
        <v>4763</v>
      </c>
      <c r="B3059" s="5">
        <v>1</v>
      </c>
      <c r="C3059" s="5">
        <v>1</v>
      </c>
      <c r="D3059" s="5" t="s">
        <v>269</v>
      </c>
      <c r="E3059" s="5" t="s">
        <v>271</v>
      </c>
      <c r="F3059" s="5" t="s">
        <v>248</v>
      </c>
      <c r="G3059" s="5" t="s">
        <v>266</v>
      </c>
      <c r="H3059" s="6" t="s">
        <v>4218</v>
      </c>
      <c r="I3059" s="7">
        <f>2783</f>
        <v>2783</v>
      </c>
      <c r="J3059" s="5" t="s">
        <v>262</v>
      </c>
      <c r="K3059" s="8">
        <f>1</f>
        <v>1</v>
      </c>
      <c r="L3059" s="6" t="s">
        <v>242</v>
      </c>
      <c r="M3059" s="5" t="s">
        <v>267</v>
      </c>
      <c r="N3059" s="5" t="s">
        <v>265</v>
      </c>
      <c r="O3059" s="5" t="s">
        <v>238</v>
      </c>
      <c r="P3059" s="5" t="s">
        <v>238</v>
      </c>
      <c r="Q3059" s="5" t="s">
        <v>268</v>
      </c>
      <c r="R3059" s="5" t="s">
        <v>270</v>
      </c>
      <c r="S3059" s="5" t="s">
        <v>238</v>
      </c>
      <c r="V3059" s="5" t="s">
        <v>238</v>
      </c>
      <c r="X3059" s="6" t="s">
        <v>238</v>
      </c>
      <c r="AA3059" s="6" t="s">
        <v>243</v>
      </c>
      <c r="AB3059" s="5" t="s">
        <v>238</v>
      </c>
      <c r="AC3059" s="5" t="s">
        <v>244</v>
      </c>
      <c r="AD3059" s="5" t="s">
        <v>245</v>
      </c>
      <c r="AT3059" s="5" t="s">
        <v>246</v>
      </c>
      <c r="AU3059" s="5" t="s">
        <v>238</v>
      </c>
      <c r="AV3059" s="5" t="s">
        <v>247</v>
      </c>
      <c r="AW3059" s="5" t="s">
        <v>238</v>
      </c>
      <c r="AX3059" s="5" t="s">
        <v>249</v>
      </c>
      <c r="AY3059" s="5" t="s">
        <v>238</v>
      </c>
      <c r="BA3059" s="5" t="s">
        <v>238</v>
      </c>
      <c r="BC3059" s="5" t="s">
        <v>250</v>
      </c>
      <c r="BD3059" s="6" t="s">
        <v>243</v>
      </c>
      <c r="BE3059" s="5" t="s">
        <v>251</v>
      </c>
      <c r="BF3059" s="5" t="s">
        <v>252</v>
      </c>
      <c r="BG3059" s="5" t="s">
        <v>238</v>
      </c>
      <c r="BH3059" s="7">
        <f>0</f>
        <v>0</v>
      </c>
      <c r="BI3059" s="8">
        <f>0</f>
        <v>0</v>
      </c>
      <c r="BJ3059" s="5" t="s">
        <v>253</v>
      </c>
      <c r="BK3059" s="5" t="s">
        <v>254</v>
      </c>
      <c r="BY3059" s="5" t="s">
        <v>238</v>
      </c>
      <c r="BZ3059" s="5" t="s">
        <v>238</v>
      </c>
      <c r="CD3059" s="5" t="s">
        <v>273</v>
      </c>
      <c r="CE3059" s="5" t="s">
        <v>256</v>
      </c>
      <c r="CF3059" s="5" t="s">
        <v>238</v>
      </c>
      <c r="CI3059" s="6" t="s">
        <v>257</v>
      </c>
      <c r="CJ3059" s="5" t="s">
        <v>238</v>
      </c>
      <c r="CK3059" s="5" t="s">
        <v>258</v>
      </c>
      <c r="CL3059" s="5" t="s">
        <v>238</v>
      </c>
      <c r="CM3059" s="5" t="s">
        <v>238</v>
      </c>
      <c r="CN3059" s="5">
        <v>0</v>
      </c>
      <c r="CO3059" s="5" t="s">
        <v>259</v>
      </c>
      <c r="CP3059" s="5" t="s">
        <v>260</v>
      </c>
      <c r="CQ3059" s="5" t="s">
        <v>260</v>
      </c>
      <c r="CR3059" s="5" t="s">
        <v>261</v>
      </c>
      <c r="CU3059" s="8">
        <f>1</f>
        <v>1</v>
      </c>
      <c r="CV3059" s="8">
        <f>0</f>
        <v>0</v>
      </c>
      <c r="CX3059" s="8">
        <f>0</f>
        <v>0</v>
      </c>
      <c r="CY3059" s="8">
        <f>1</f>
        <v>1</v>
      </c>
      <c r="DA3059" s="5" t="s">
        <v>274</v>
      </c>
      <c r="DB3059" s="5" t="s">
        <v>238</v>
      </c>
      <c r="DD3059" s="5" t="s">
        <v>274</v>
      </c>
      <c r="DE3059" s="8">
        <f>2783</f>
        <v>2783</v>
      </c>
      <c r="DG3059" s="5" t="s">
        <v>238</v>
      </c>
      <c r="DH3059" s="5" t="s">
        <v>238</v>
      </c>
      <c r="DI3059" s="5" t="s">
        <v>238</v>
      </c>
      <c r="DJ3059" s="5" t="s">
        <v>238</v>
      </c>
      <c r="DN3059" s="5" t="s">
        <v>238</v>
      </c>
      <c r="DO3059" s="5" t="s">
        <v>238</v>
      </c>
      <c r="DP3059" s="5" t="s">
        <v>238</v>
      </c>
      <c r="DQ3059" s="5" t="s">
        <v>238</v>
      </c>
      <c r="DT3059" s="5" t="s">
        <v>275</v>
      </c>
      <c r="DU3059" s="5" t="s">
        <v>3645</v>
      </c>
      <c r="HM3059" s="5" t="s">
        <v>264</v>
      </c>
    </row>
    <row r="3060" spans="1:221" x14ac:dyDescent="0.4">
      <c r="A3060" s="5">
        <v>4764</v>
      </c>
      <c r="B3060" s="5">
        <v>1</v>
      </c>
      <c r="C3060" s="5">
        <v>1</v>
      </c>
      <c r="D3060" s="5" t="s">
        <v>269</v>
      </c>
      <c r="E3060" s="5" t="s">
        <v>271</v>
      </c>
      <c r="F3060" s="5" t="s">
        <v>248</v>
      </c>
      <c r="G3060" s="5" t="s">
        <v>266</v>
      </c>
      <c r="H3060" s="6" t="s">
        <v>4228</v>
      </c>
      <c r="I3060" s="7">
        <f>254</f>
        <v>254</v>
      </c>
      <c r="J3060" s="5" t="s">
        <v>262</v>
      </c>
      <c r="K3060" s="8">
        <f>1</f>
        <v>1</v>
      </c>
      <c r="L3060" s="6" t="s">
        <v>242</v>
      </c>
      <c r="M3060" s="5" t="s">
        <v>267</v>
      </c>
      <c r="N3060" s="5" t="s">
        <v>265</v>
      </c>
      <c r="O3060" s="5" t="s">
        <v>238</v>
      </c>
      <c r="P3060" s="5" t="s">
        <v>238</v>
      </c>
      <c r="Q3060" s="5" t="s">
        <v>268</v>
      </c>
      <c r="R3060" s="5" t="s">
        <v>270</v>
      </c>
      <c r="S3060" s="5" t="s">
        <v>238</v>
      </c>
      <c r="V3060" s="5" t="s">
        <v>238</v>
      </c>
      <c r="X3060" s="6" t="s">
        <v>238</v>
      </c>
      <c r="AA3060" s="6" t="s">
        <v>243</v>
      </c>
      <c r="AB3060" s="5" t="s">
        <v>238</v>
      </c>
      <c r="AC3060" s="5" t="s">
        <v>244</v>
      </c>
      <c r="AD3060" s="5" t="s">
        <v>245</v>
      </c>
      <c r="AT3060" s="5" t="s">
        <v>246</v>
      </c>
      <c r="AU3060" s="5" t="s">
        <v>238</v>
      </c>
      <c r="AV3060" s="5" t="s">
        <v>247</v>
      </c>
      <c r="AW3060" s="5" t="s">
        <v>238</v>
      </c>
      <c r="AX3060" s="5" t="s">
        <v>249</v>
      </c>
      <c r="AY3060" s="5" t="s">
        <v>238</v>
      </c>
      <c r="BA3060" s="5" t="s">
        <v>238</v>
      </c>
      <c r="BC3060" s="5" t="s">
        <v>250</v>
      </c>
      <c r="BD3060" s="6" t="s">
        <v>243</v>
      </c>
      <c r="BE3060" s="5" t="s">
        <v>251</v>
      </c>
      <c r="BF3060" s="5" t="s">
        <v>252</v>
      </c>
      <c r="BG3060" s="5" t="s">
        <v>238</v>
      </c>
      <c r="BH3060" s="7">
        <f>0</f>
        <v>0</v>
      </c>
      <c r="BI3060" s="8">
        <f>0</f>
        <v>0</v>
      </c>
      <c r="BJ3060" s="5" t="s">
        <v>253</v>
      </c>
      <c r="BK3060" s="5" t="s">
        <v>254</v>
      </c>
      <c r="BY3060" s="5" t="s">
        <v>238</v>
      </c>
      <c r="BZ3060" s="5" t="s">
        <v>238</v>
      </c>
      <c r="CD3060" s="5" t="s">
        <v>273</v>
      </c>
      <c r="CE3060" s="5" t="s">
        <v>256</v>
      </c>
      <c r="CF3060" s="5" t="s">
        <v>238</v>
      </c>
      <c r="CI3060" s="6" t="s">
        <v>257</v>
      </c>
      <c r="CJ3060" s="5" t="s">
        <v>238</v>
      </c>
      <c r="CK3060" s="5" t="s">
        <v>258</v>
      </c>
      <c r="CL3060" s="5" t="s">
        <v>238</v>
      </c>
      <c r="CM3060" s="5" t="s">
        <v>238</v>
      </c>
      <c r="CN3060" s="5">
        <v>0</v>
      </c>
      <c r="CO3060" s="5" t="s">
        <v>259</v>
      </c>
      <c r="CP3060" s="5" t="s">
        <v>260</v>
      </c>
      <c r="CQ3060" s="5" t="s">
        <v>260</v>
      </c>
      <c r="CR3060" s="5" t="s">
        <v>261</v>
      </c>
      <c r="CU3060" s="8">
        <f>1</f>
        <v>1</v>
      </c>
      <c r="CV3060" s="8">
        <f>0</f>
        <v>0</v>
      </c>
      <c r="CX3060" s="8">
        <f>0</f>
        <v>0</v>
      </c>
      <c r="CY3060" s="8">
        <f>1</f>
        <v>1</v>
      </c>
      <c r="DA3060" s="5" t="s">
        <v>274</v>
      </c>
      <c r="DB3060" s="5" t="s">
        <v>238</v>
      </c>
      <c r="DD3060" s="5" t="s">
        <v>274</v>
      </c>
      <c r="DE3060" s="8">
        <f>254</f>
        <v>254</v>
      </c>
      <c r="DG3060" s="5" t="s">
        <v>238</v>
      </c>
      <c r="DH3060" s="5" t="s">
        <v>238</v>
      </c>
      <c r="DI3060" s="5" t="s">
        <v>238</v>
      </c>
      <c r="DJ3060" s="5" t="s">
        <v>238</v>
      </c>
      <c r="DN3060" s="5" t="s">
        <v>238</v>
      </c>
      <c r="DO3060" s="5" t="s">
        <v>238</v>
      </c>
      <c r="DP3060" s="5" t="s">
        <v>238</v>
      </c>
      <c r="DQ3060" s="5" t="s">
        <v>238</v>
      </c>
      <c r="DT3060" s="5" t="s">
        <v>275</v>
      </c>
      <c r="DU3060" s="5" t="s">
        <v>3606</v>
      </c>
      <c r="HM3060" s="5" t="s">
        <v>264</v>
      </c>
    </row>
    <row r="3061" spans="1:221" x14ac:dyDescent="0.4">
      <c r="A3061" s="5">
        <v>4765</v>
      </c>
      <c r="B3061" s="5">
        <v>1</v>
      </c>
      <c r="C3061" s="5">
        <v>1</v>
      </c>
      <c r="D3061" s="5" t="s">
        <v>269</v>
      </c>
      <c r="E3061" s="5" t="s">
        <v>271</v>
      </c>
      <c r="F3061" s="5" t="s">
        <v>248</v>
      </c>
      <c r="G3061" s="5" t="s">
        <v>266</v>
      </c>
      <c r="H3061" s="6" t="s">
        <v>4230</v>
      </c>
      <c r="I3061" s="7">
        <f>1076</f>
        <v>1076</v>
      </c>
      <c r="J3061" s="5" t="s">
        <v>262</v>
      </c>
      <c r="K3061" s="8">
        <f>1</f>
        <v>1</v>
      </c>
      <c r="L3061" s="6" t="s">
        <v>242</v>
      </c>
      <c r="M3061" s="5" t="s">
        <v>267</v>
      </c>
      <c r="N3061" s="5" t="s">
        <v>265</v>
      </c>
      <c r="O3061" s="5" t="s">
        <v>238</v>
      </c>
      <c r="P3061" s="5" t="s">
        <v>238</v>
      </c>
      <c r="Q3061" s="5" t="s">
        <v>268</v>
      </c>
      <c r="R3061" s="5" t="s">
        <v>270</v>
      </c>
      <c r="S3061" s="5" t="s">
        <v>238</v>
      </c>
      <c r="V3061" s="5" t="s">
        <v>238</v>
      </c>
      <c r="X3061" s="6" t="s">
        <v>238</v>
      </c>
      <c r="AA3061" s="6" t="s">
        <v>243</v>
      </c>
      <c r="AB3061" s="5" t="s">
        <v>238</v>
      </c>
      <c r="AC3061" s="5" t="s">
        <v>244</v>
      </c>
      <c r="AD3061" s="5" t="s">
        <v>245</v>
      </c>
      <c r="AT3061" s="5" t="s">
        <v>246</v>
      </c>
      <c r="AU3061" s="5" t="s">
        <v>238</v>
      </c>
      <c r="AV3061" s="5" t="s">
        <v>247</v>
      </c>
      <c r="AW3061" s="5" t="s">
        <v>238</v>
      </c>
      <c r="AX3061" s="5" t="s">
        <v>249</v>
      </c>
      <c r="AY3061" s="5" t="s">
        <v>238</v>
      </c>
      <c r="BA3061" s="5" t="s">
        <v>238</v>
      </c>
      <c r="BC3061" s="5" t="s">
        <v>250</v>
      </c>
      <c r="BD3061" s="6" t="s">
        <v>243</v>
      </c>
      <c r="BE3061" s="5" t="s">
        <v>251</v>
      </c>
      <c r="BF3061" s="5" t="s">
        <v>252</v>
      </c>
      <c r="BG3061" s="5" t="s">
        <v>238</v>
      </c>
      <c r="BH3061" s="7">
        <f>0</f>
        <v>0</v>
      </c>
      <c r="BI3061" s="8">
        <f>0</f>
        <v>0</v>
      </c>
      <c r="BJ3061" s="5" t="s">
        <v>253</v>
      </c>
      <c r="BK3061" s="5" t="s">
        <v>254</v>
      </c>
      <c r="BY3061" s="5" t="s">
        <v>238</v>
      </c>
      <c r="BZ3061" s="5" t="s">
        <v>238</v>
      </c>
      <c r="CD3061" s="5" t="s">
        <v>273</v>
      </c>
      <c r="CE3061" s="5" t="s">
        <v>256</v>
      </c>
      <c r="CF3061" s="5" t="s">
        <v>238</v>
      </c>
      <c r="CI3061" s="6" t="s">
        <v>257</v>
      </c>
      <c r="CJ3061" s="5" t="s">
        <v>238</v>
      </c>
      <c r="CK3061" s="5" t="s">
        <v>258</v>
      </c>
      <c r="CL3061" s="5" t="s">
        <v>238</v>
      </c>
      <c r="CM3061" s="5" t="s">
        <v>238</v>
      </c>
      <c r="CN3061" s="5">
        <v>0</v>
      </c>
      <c r="CO3061" s="5" t="s">
        <v>259</v>
      </c>
      <c r="CP3061" s="5" t="s">
        <v>260</v>
      </c>
      <c r="CQ3061" s="5" t="s">
        <v>260</v>
      </c>
      <c r="CR3061" s="5" t="s">
        <v>261</v>
      </c>
      <c r="CU3061" s="8">
        <f>1</f>
        <v>1</v>
      </c>
      <c r="CV3061" s="8">
        <f>0</f>
        <v>0</v>
      </c>
      <c r="CX3061" s="8">
        <f>0</f>
        <v>0</v>
      </c>
      <c r="CY3061" s="8">
        <f>1</f>
        <v>1</v>
      </c>
      <c r="DA3061" s="5" t="s">
        <v>274</v>
      </c>
      <c r="DB3061" s="5" t="s">
        <v>238</v>
      </c>
      <c r="DD3061" s="5" t="s">
        <v>274</v>
      </c>
      <c r="DE3061" s="8">
        <f>1076</f>
        <v>1076</v>
      </c>
      <c r="DG3061" s="5" t="s">
        <v>238</v>
      </c>
      <c r="DH3061" s="5" t="s">
        <v>238</v>
      </c>
      <c r="DI3061" s="5" t="s">
        <v>238</v>
      </c>
      <c r="DJ3061" s="5" t="s">
        <v>238</v>
      </c>
      <c r="DN3061" s="5" t="s">
        <v>238</v>
      </c>
      <c r="DO3061" s="5" t="s">
        <v>238</v>
      </c>
      <c r="DP3061" s="5" t="s">
        <v>238</v>
      </c>
      <c r="DQ3061" s="5" t="s">
        <v>238</v>
      </c>
      <c r="DT3061" s="5" t="s">
        <v>275</v>
      </c>
      <c r="DU3061" s="5" t="s">
        <v>3617</v>
      </c>
      <c r="HM3061" s="5" t="s">
        <v>264</v>
      </c>
    </row>
    <row r="3062" spans="1:221" x14ac:dyDescent="0.4">
      <c r="A3062" s="5">
        <v>4766</v>
      </c>
      <c r="B3062" s="5">
        <v>1</v>
      </c>
      <c r="C3062" s="5">
        <v>1</v>
      </c>
      <c r="D3062" s="5" t="s">
        <v>269</v>
      </c>
      <c r="E3062" s="5" t="s">
        <v>271</v>
      </c>
      <c r="F3062" s="5" t="s">
        <v>248</v>
      </c>
      <c r="G3062" s="5" t="s">
        <v>266</v>
      </c>
      <c r="H3062" s="6" t="s">
        <v>4236</v>
      </c>
      <c r="I3062" s="7">
        <f>1191</f>
        <v>1191</v>
      </c>
      <c r="J3062" s="5" t="s">
        <v>262</v>
      </c>
      <c r="K3062" s="8">
        <f>1</f>
        <v>1</v>
      </c>
      <c r="L3062" s="6" t="s">
        <v>242</v>
      </c>
      <c r="M3062" s="5" t="s">
        <v>267</v>
      </c>
      <c r="N3062" s="5" t="s">
        <v>265</v>
      </c>
      <c r="O3062" s="5" t="s">
        <v>238</v>
      </c>
      <c r="P3062" s="5" t="s">
        <v>238</v>
      </c>
      <c r="Q3062" s="5" t="s">
        <v>268</v>
      </c>
      <c r="R3062" s="5" t="s">
        <v>270</v>
      </c>
      <c r="S3062" s="5" t="s">
        <v>238</v>
      </c>
      <c r="V3062" s="5" t="s">
        <v>238</v>
      </c>
      <c r="X3062" s="6" t="s">
        <v>238</v>
      </c>
      <c r="AA3062" s="6" t="s">
        <v>243</v>
      </c>
      <c r="AB3062" s="5" t="s">
        <v>238</v>
      </c>
      <c r="AC3062" s="5" t="s">
        <v>244</v>
      </c>
      <c r="AD3062" s="5" t="s">
        <v>245</v>
      </c>
      <c r="AT3062" s="5" t="s">
        <v>246</v>
      </c>
      <c r="AU3062" s="5" t="s">
        <v>238</v>
      </c>
      <c r="AV3062" s="5" t="s">
        <v>247</v>
      </c>
      <c r="AW3062" s="5" t="s">
        <v>238</v>
      </c>
      <c r="AX3062" s="5" t="s">
        <v>249</v>
      </c>
      <c r="AY3062" s="5" t="s">
        <v>238</v>
      </c>
      <c r="BA3062" s="5" t="s">
        <v>238</v>
      </c>
      <c r="BC3062" s="5" t="s">
        <v>250</v>
      </c>
      <c r="BD3062" s="6" t="s">
        <v>243</v>
      </c>
      <c r="BE3062" s="5" t="s">
        <v>251</v>
      </c>
      <c r="BF3062" s="5" t="s">
        <v>252</v>
      </c>
      <c r="BG3062" s="5" t="s">
        <v>238</v>
      </c>
      <c r="BH3062" s="7">
        <f>0</f>
        <v>0</v>
      </c>
      <c r="BI3062" s="8">
        <f>0</f>
        <v>0</v>
      </c>
      <c r="BJ3062" s="5" t="s">
        <v>253</v>
      </c>
      <c r="BK3062" s="5" t="s">
        <v>254</v>
      </c>
      <c r="BY3062" s="5" t="s">
        <v>238</v>
      </c>
      <c r="BZ3062" s="5" t="s">
        <v>238</v>
      </c>
      <c r="CD3062" s="5" t="s">
        <v>273</v>
      </c>
      <c r="CE3062" s="5" t="s">
        <v>256</v>
      </c>
      <c r="CF3062" s="5" t="s">
        <v>238</v>
      </c>
      <c r="CI3062" s="6" t="s">
        <v>257</v>
      </c>
      <c r="CJ3062" s="5" t="s">
        <v>238</v>
      </c>
      <c r="CK3062" s="5" t="s">
        <v>258</v>
      </c>
      <c r="CL3062" s="5" t="s">
        <v>238</v>
      </c>
      <c r="CM3062" s="5" t="s">
        <v>238</v>
      </c>
      <c r="CN3062" s="5">
        <v>0</v>
      </c>
      <c r="CO3062" s="5" t="s">
        <v>259</v>
      </c>
      <c r="CP3062" s="5" t="s">
        <v>260</v>
      </c>
      <c r="CQ3062" s="5" t="s">
        <v>260</v>
      </c>
      <c r="CR3062" s="5" t="s">
        <v>261</v>
      </c>
      <c r="CU3062" s="8">
        <f>1</f>
        <v>1</v>
      </c>
      <c r="CV3062" s="8">
        <f>0</f>
        <v>0</v>
      </c>
      <c r="CX3062" s="8">
        <f>0</f>
        <v>0</v>
      </c>
      <c r="CY3062" s="8">
        <f>1</f>
        <v>1</v>
      </c>
      <c r="DA3062" s="5" t="s">
        <v>274</v>
      </c>
      <c r="DB3062" s="5" t="s">
        <v>238</v>
      </c>
      <c r="DD3062" s="5" t="s">
        <v>274</v>
      </c>
      <c r="DE3062" s="8">
        <f>1191</f>
        <v>1191</v>
      </c>
      <c r="DG3062" s="5" t="s">
        <v>238</v>
      </c>
      <c r="DH3062" s="5" t="s">
        <v>238</v>
      </c>
      <c r="DI3062" s="5" t="s">
        <v>238</v>
      </c>
      <c r="DJ3062" s="5" t="s">
        <v>238</v>
      </c>
      <c r="DN3062" s="5" t="s">
        <v>238</v>
      </c>
      <c r="DO3062" s="5" t="s">
        <v>238</v>
      </c>
      <c r="DP3062" s="5" t="s">
        <v>238</v>
      </c>
      <c r="DQ3062" s="5" t="s">
        <v>238</v>
      </c>
      <c r="DT3062" s="5" t="s">
        <v>275</v>
      </c>
      <c r="DU3062" s="5" t="s">
        <v>2371</v>
      </c>
      <c r="HM3062" s="5" t="s">
        <v>264</v>
      </c>
    </row>
    <row r="3063" spans="1:221" x14ac:dyDescent="0.4">
      <c r="A3063" s="5">
        <v>4767</v>
      </c>
      <c r="B3063" s="5">
        <v>1</v>
      </c>
      <c r="C3063" s="5">
        <v>1</v>
      </c>
      <c r="D3063" s="5" t="s">
        <v>269</v>
      </c>
      <c r="E3063" s="5" t="s">
        <v>271</v>
      </c>
      <c r="F3063" s="5" t="s">
        <v>248</v>
      </c>
      <c r="G3063" s="5" t="s">
        <v>266</v>
      </c>
      <c r="H3063" s="6" t="s">
        <v>4244</v>
      </c>
      <c r="I3063" s="7">
        <f>2217</f>
        <v>2217</v>
      </c>
      <c r="J3063" s="5" t="s">
        <v>262</v>
      </c>
      <c r="K3063" s="8">
        <f>1</f>
        <v>1</v>
      </c>
      <c r="L3063" s="6" t="s">
        <v>242</v>
      </c>
      <c r="M3063" s="5" t="s">
        <v>267</v>
      </c>
      <c r="N3063" s="5" t="s">
        <v>265</v>
      </c>
      <c r="O3063" s="5" t="s">
        <v>238</v>
      </c>
      <c r="P3063" s="5" t="s">
        <v>238</v>
      </c>
      <c r="Q3063" s="5" t="s">
        <v>268</v>
      </c>
      <c r="R3063" s="5" t="s">
        <v>270</v>
      </c>
      <c r="S3063" s="5" t="s">
        <v>238</v>
      </c>
      <c r="V3063" s="5" t="s">
        <v>238</v>
      </c>
      <c r="X3063" s="6" t="s">
        <v>238</v>
      </c>
      <c r="AA3063" s="6" t="s">
        <v>243</v>
      </c>
      <c r="AB3063" s="5" t="s">
        <v>238</v>
      </c>
      <c r="AC3063" s="5" t="s">
        <v>244</v>
      </c>
      <c r="AD3063" s="5" t="s">
        <v>245</v>
      </c>
      <c r="AT3063" s="5" t="s">
        <v>246</v>
      </c>
      <c r="AU3063" s="5" t="s">
        <v>238</v>
      </c>
      <c r="AV3063" s="5" t="s">
        <v>247</v>
      </c>
      <c r="AW3063" s="5" t="s">
        <v>238</v>
      </c>
      <c r="AX3063" s="5" t="s">
        <v>249</v>
      </c>
      <c r="AY3063" s="5" t="s">
        <v>238</v>
      </c>
      <c r="BA3063" s="5" t="s">
        <v>238</v>
      </c>
      <c r="BC3063" s="5" t="s">
        <v>250</v>
      </c>
      <c r="BD3063" s="6" t="s">
        <v>243</v>
      </c>
      <c r="BE3063" s="5" t="s">
        <v>251</v>
      </c>
      <c r="BF3063" s="5" t="s">
        <v>252</v>
      </c>
      <c r="BG3063" s="5" t="s">
        <v>238</v>
      </c>
      <c r="BH3063" s="7">
        <f>0</f>
        <v>0</v>
      </c>
      <c r="BI3063" s="8">
        <f>0</f>
        <v>0</v>
      </c>
      <c r="BJ3063" s="5" t="s">
        <v>253</v>
      </c>
      <c r="BK3063" s="5" t="s">
        <v>254</v>
      </c>
      <c r="BY3063" s="5" t="s">
        <v>238</v>
      </c>
      <c r="BZ3063" s="5" t="s">
        <v>238</v>
      </c>
      <c r="CD3063" s="5" t="s">
        <v>273</v>
      </c>
      <c r="CE3063" s="5" t="s">
        <v>256</v>
      </c>
      <c r="CF3063" s="5" t="s">
        <v>238</v>
      </c>
      <c r="CI3063" s="6" t="s">
        <v>257</v>
      </c>
      <c r="CJ3063" s="5" t="s">
        <v>238</v>
      </c>
      <c r="CK3063" s="5" t="s">
        <v>258</v>
      </c>
      <c r="CL3063" s="5" t="s">
        <v>238</v>
      </c>
      <c r="CM3063" s="5" t="s">
        <v>238</v>
      </c>
      <c r="CN3063" s="5">
        <v>0</v>
      </c>
      <c r="CO3063" s="5" t="s">
        <v>259</v>
      </c>
      <c r="CP3063" s="5" t="s">
        <v>260</v>
      </c>
      <c r="CQ3063" s="5" t="s">
        <v>260</v>
      </c>
      <c r="CR3063" s="5" t="s">
        <v>261</v>
      </c>
      <c r="CU3063" s="8">
        <f>1</f>
        <v>1</v>
      </c>
      <c r="CV3063" s="8">
        <f>0</f>
        <v>0</v>
      </c>
      <c r="CX3063" s="8">
        <f>0</f>
        <v>0</v>
      </c>
      <c r="CY3063" s="8">
        <f>1</f>
        <v>1</v>
      </c>
      <c r="DA3063" s="5" t="s">
        <v>274</v>
      </c>
      <c r="DB3063" s="5" t="s">
        <v>238</v>
      </c>
      <c r="DD3063" s="5" t="s">
        <v>274</v>
      </c>
      <c r="DE3063" s="8">
        <f>2217</f>
        <v>2217</v>
      </c>
      <c r="DG3063" s="5" t="s">
        <v>238</v>
      </c>
      <c r="DH3063" s="5" t="s">
        <v>238</v>
      </c>
      <c r="DI3063" s="5" t="s">
        <v>238</v>
      </c>
      <c r="DJ3063" s="5" t="s">
        <v>238</v>
      </c>
      <c r="DN3063" s="5" t="s">
        <v>238</v>
      </c>
      <c r="DO3063" s="5" t="s">
        <v>238</v>
      </c>
      <c r="DP3063" s="5" t="s">
        <v>238</v>
      </c>
      <c r="DQ3063" s="5" t="s">
        <v>238</v>
      </c>
      <c r="DT3063" s="5" t="s">
        <v>275</v>
      </c>
      <c r="DU3063" s="5" t="s">
        <v>2624</v>
      </c>
      <c r="HM3063" s="5" t="s">
        <v>264</v>
      </c>
    </row>
    <row r="3064" spans="1:221" x14ac:dyDescent="0.4">
      <c r="A3064" s="5">
        <v>4768</v>
      </c>
      <c r="B3064" s="5">
        <v>1</v>
      </c>
      <c r="C3064" s="5">
        <v>1</v>
      </c>
      <c r="D3064" s="5" t="s">
        <v>269</v>
      </c>
      <c r="E3064" s="5" t="s">
        <v>271</v>
      </c>
      <c r="F3064" s="5" t="s">
        <v>248</v>
      </c>
      <c r="G3064" s="5" t="s">
        <v>266</v>
      </c>
      <c r="H3064" s="6" t="s">
        <v>4253</v>
      </c>
      <c r="I3064" s="7">
        <f>977</f>
        <v>977</v>
      </c>
      <c r="J3064" s="5" t="s">
        <v>262</v>
      </c>
      <c r="K3064" s="8">
        <f>1</f>
        <v>1</v>
      </c>
      <c r="L3064" s="6" t="s">
        <v>242</v>
      </c>
      <c r="M3064" s="5" t="s">
        <v>267</v>
      </c>
      <c r="N3064" s="5" t="s">
        <v>265</v>
      </c>
      <c r="O3064" s="5" t="s">
        <v>238</v>
      </c>
      <c r="P3064" s="5" t="s">
        <v>238</v>
      </c>
      <c r="Q3064" s="5" t="s">
        <v>268</v>
      </c>
      <c r="R3064" s="5" t="s">
        <v>270</v>
      </c>
      <c r="S3064" s="5" t="s">
        <v>238</v>
      </c>
      <c r="V3064" s="5" t="s">
        <v>238</v>
      </c>
      <c r="X3064" s="6" t="s">
        <v>238</v>
      </c>
      <c r="AA3064" s="6" t="s">
        <v>243</v>
      </c>
      <c r="AB3064" s="5" t="s">
        <v>238</v>
      </c>
      <c r="AC3064" s="5" t="s">
        <v>244</v>
      </c>
      <c r="AD3064" s="5" t="s">
        <v>245</v>
      </c>
      <c r="AT3064" s="5" t="s">
        <v>246</v>
      </c>
      <c r="AU3064" s="5" t="s">
        <v>238</v>
      </c>
      <c r="AV3064" s="5" t="s">
        <v>247</v>
      </c>
      <c r="AW3064" s="5" t="s">
        <v>238</v>
      </c>
      <c r="AX3064" s="5" t="s">
        <v>249</v>
      </c>
      <c r="AY3064" s="5" t="s">
        <v>238</v>
      </c>
      <c r="BA3064" s="5" t="s">
        <v>238</v>
      </c>
      <c r="BC3064" s="5" t="s">
        <v>250</v>
      </c>
      <c r="BD3064" s="6" t="s">
        <v>243</v>
      </c>
      <c r="BE3064" s="5" t="s">
        <v>251</v>
      </c>
      <c r="BF3064" s="5" t="s">
        <v>252</v>
      </c>
      <c r="BG3064" s="5" t="s">
        <v>238</v>
      </c>
      <c r="BH3064" s="7">
        <f>0</f>
        <v>0</v>
      </c>
      <c r="BI3064" s="8">
        <f>0</f>
        <v>0</v>
      </c>
      <c r="BJ3064" s="5" t="s">
        <v>253</v>
      </c>
      <c r="BK3064" s="5" t="s">
        <v>254</v>
      </c>
      <c r="BY3064" s="5" t="s">
        <v>238</v>
      </c>
      <c r="BZ3064" s="5" t="s">
        <v>238</v>
      </c>
      <c r="CD3064" s="5" t="s">
        <v>273</v>
      </c>
      <c r="CE3064" s="5" t="s">
        <v>256</v>
      </c>
      <c r="CF3064" s="5" t="s">
        <v>238</v>
      </c>
      <c r="CI3064" s="6" t="s">
        <v>257</v>
      </c>
      <c r="CJ3064" s="5" t="s">
        <v>238</v>
      </c>
      <c r="CK3064" s="5" t="s">
        <v>258</v>
      </c>
      <c r="CL3064" s="5" t="s">
        <v>238</v>
      </c>
      <c r="CM3064" s="5" t="s">
        <v>238</v>
      </c>
      <c r="CN3064" s="5">
        <v>0</v>
      </c>
      <c r="CO3064" s="5" t="s">
        <v>259</v>
      </c>
      <c r="CP3064" s="5" t="s">
        <v>260</v>
      </c>
      <c r="CQ3064" s="5" t="s">
        <v>260</v>
      </c>
      <c r="CR3064" s="5" t="s">
        <v>261</v>
      </c>
      <c r="CU3064" s="8">
        <f>1</f>
        <v>1</v>
      </c>
      <c r="CV3064" s="8">
        <f>0</f>
        <v>0</v>
      </c>
      <c r="CX3064" s="8">
        <f>0</f>
        <v>0</v>
      </c>
      <c r="CY3064" s="8">
        <f>1</f>
        <v>1</v>
      </c>
      <c r="DA3064" s="5" t="s">
        <v>274</v>
      </c>
      <c r="DB3064" s="5" t="s">
        <v>238</v>
      </c>
      <c r="DD3064" s="5" t="s">
        <v>274</v>
      </c>
      <c r="DE3064" s="8">
        <f>977</f>
        <v>977</v>
      </c>
      <c r="DG3064" s="5" t="s">
        <v>238</v>
      </c>
      <c r="DH3064" s="5" t="s">
        <v>238</v>
      </c>
      <c r="DI3064" s="5" t="s">
        <v>238</v>
      </c>
      <c r="DJ3064" s="5" t="s">
        <v>238</v>
      </c>
      <c r="DN3064" s="5" t="s">
        <v>238</v>
      </c>
      <c r="DO3064" s="5" t="s">
        <v>238</v>
      </c>
      <c r="DP3064" s="5" t="s">
        <v>238</v>
      </c>
      <c r="DQ3064" s="5" t="s">
        <v>238</v>
      </c>
      <c r="DT3064" s="5" t="s">
        <v>275</v>
      </c>
      <c r="DU3064" s="5" t="s">
        <v>3631</v>
      </c>
      <c r="HM3064" s="5" t="s">
        <v>264</v>
      </c>
    </row>
    <row r="3065" spans="1:221" x14ac:dyDescent="0.4">
      <c r="A3065" s="5">
        <v>4769</v>
      </c>
      <c r="B3065" s="5">
        <v>1</v>
      </c>
      <c r="C3065" s="5">
        <v>1</v>
      </c>
      <c r="D3065" s="5" t="s">
        <v>269</v>
      </c>
      <c r="E3065" s="5" t="s">
        <v>271</v>
      </c>
      <c r="F3065" s="5" t="s">
        <v>248</v>
      </c>
      <c r="G3065" s="5" t="s">
        <v>266</v>
      </c>
      <c r="H3065" s="6" t="s">
        <v>4255</v>
      </c>
      <c r="I3065" s="7">
        <f>249</f>
        <v>249</v>
      </c>
      <c r="J3065" s="5" t="s">
        <v>262</v>
      </c>
      <c r="K3065" s="8">
        <f>1</f>
        <v>1</v>
      </c>
      <c r="L3065" s="6" t="s">
        <v>242</v>
      </c>
      <c r="M3065" s="5" t="s">
        <v>267</v>
      </c>
      <c r="N3065" s="5" t="s">
        <v>265</v>
      </c>
      <c r="O3065" s="5" t="s">
        <v>238</v>
      </c>
      <c r="P3065" s="5" t="s">
        <v>238</v>
      </c>
      <c r="Q3065" s="5" t="s">
        <v>268</v>
      </c>
      <c r="R3065" s="5" t="s">
        <v>270</v>
      </c>
      <c r="S3065" s="5" t="s">
        <v>238</v>
      </c>
      <c r="V3065" s="5" t="s">
        <v>238</v>
      </c>
      <c r="X3065" s="6" t="s">
        <v>238</v>
      </c>
      <c r="AA3065" s="6" t="s">
        <v>243</v>
      </c>
      <c r="AB3065" s="5" t="s">
        <v>238</v>
      </c>
      <c r="AC3065" s="5" t="s">
        <v>244</v>
      </c>
      <c r="AD3065" s="5" t="s">
        <v>245</v>
      </c>
      <c r="AT3065" s="5" t="s">
        <v>246</v>
      </c>
      <c r="AU3065" s="5" t="s">
        <v>238</v>
      </c>
      <c r="AV3065" s="5" t="s">
        <v>247</v>
      </c>
      <c r="AW3065" s="5" t="s">
        <v>238</v>
      </c>
      <c r="AX3065" s="5" t="s">
        <v>249</v>
      </c>
      <c r="AY3065" s="5" t="s">
        <v>238</v>
      </c>
      <c r="BA3065" s="5" t="s">
        <v>238</v>
      </c>
      <c r="BC3065" s="5" t="s">
        <v>250</v>
      </c>
      <c r="BD3065" s="6" t="s">
        <v>243</v>
      </c>
      <c r="BE3065" s="5" t="s">
        <v>251</v>
      </c>
      <c r="BF3065" s="5" t="s">
        <v>252</v>
      </c>
      <c r="BG3065" s="5" t="s">
        <v>238</v>
      </c>
      <c r="BH3065" s="7">
        <f>0</f>
        <v>0</v>
      </c>
      <c r="BI3065" s="8">
        <f>0</f>
        <v>0</v>
      </c>
      <c r="BJ3065" s="5" t="s">
        <v>253</v>
      </c>
      <c r="BK3065" s="5" t="s">
        <v>254</v>
      </c>
      <c r="BY3065" s="5" t="s">
        <v>238</v>
      </c>
      <c r="BZ3065" s="5" t="s">
        <v>238</v>
      </c>
      <c r="CD3065" s="5" t="s">
        <v>273</v>
      </c>
      <c r="CE3065" s="5" t="s">
        <v>256</v>
      </c>
      <c r="CF3065" s="5" t="s">
        <v>238</v>
      </c>
      <c r="CI3065" s="6" t="s">
        <v>257</v>
      </c>
      <c r="CJ3065" s="5" t="s">
        <v>238</v>
      </c>
      <c r="CK3065" s="5" t="s">
        <v>258</v>
      </c>
      <c r="CL3065" s="5" t="s">
        <v>238</v>
      </c>
      <c r="CM3065" s="5" t="s">
        <v>238</v>
      </c>
      <c r="CN3065" s="5">
        <v>0</v>
      </c>
      <c r="CO3065" s="5" t="s">
        <v>259</v>
      </c>
      <c r="CP3065" s="5" t="s">
        <v>260</v>
      </c>
      <c r="CQ3065" s="5" t="s">
        <v>260</v>
      </c>
      <c r="CR3065" s="5" t="s">
        <v>261</v>
      </c>
      <c r="CU3065" s="8">
        <f>1</f>
        <v>1</v>
      </c>
      <c r="CV3065" s="8">
        <f>0</f>
        <v>0</v>
      </c>
      <c r="CX3065" s="8">
        <f>0</f>
        <v>0</v>
      </c>
      <c r="CY3065" s="8">
        <f>1</f>
        <v>1</v>
      </c>
      <c r="DA3065" s="5" t="s">
        <v>274</v>
      </c>
      <c r="DB3065" s="5" t="s">
        <v>238</v>
      </c>
      <c r="DD3065" s="5" t="s">
        <v>274</v>
      </c>
      <c r="DE3065" s="8">
        <f>249</f>
        <v>249</v>
      </c>
      <c r="DG3065" s="5" t="s">
        <v>238</v>
      </c>
      <c r="DH3065" s="5" t="s">
        <v>238</v>
      </c>
      <c r="DI3065" s="5" t="s">
        <v>238</v>
      </c>
      <c r="DJ3065" s="5" t="s">
        <v>238</v>
      </c>
      <c r="DN3065" s="5" t="s">
        <v>238</v>
      </c>
      <c r="DO3065" s="5" t="s">
        <v>238</v>
      </c>
      <c r="DP3065" s="5" t="s">
        <v>238</v>
      </c>
      <c r="DQ3065" s="5" t="s">
        <v>238</v>
      </c>
      <c r="DT3065" s="5" t="s">
        <v>275</v>
      </c>
      <c r="DU3065" s="5" t="s">
        <v>2682</v>
      </c>
      <c r="HM3065" s="5" t="s">
        <v>264</v>
      </c>
    </row>
    <row r="3066" spans="1:221" x14ac:dyDescent="0.4">
      <c r="A3066" s="5">
        <v>4770</v>
      </c>
      <c r="B3066" s="5">
        <v>1</v>
      </c>
      <c r="C3066" s="5">
        <v>1</v>
      </c>
      <c r="D3066" s="5" t="s">
        <v>269</v>
      </c>
      <c r="E3066" s="5" t="s">
        <v>271</v>
      </c>
      <c r="F3066" s="5" t="s">
        <v>248</v>
      </c>
      <c r="G3066" s="5" t="s">
        <v>266</v>
      </c>
      <c r="H3066" s="6" t="s">
        <v>4262</v>
      </c>
      <c r="I3066" s="7">
        <f>713</f>
        <v>713</v>
      </c>
      <c r="J3066" s="5" t="s">
        <v>262</v>
      </c>
      <c r="K3066" s="8">
        <f>1</f>
        <v>1</v>
      </c>
      <c r="L3066" s="6" t="s">
        <v>242</v>
      </c>
      <c r="M3066" s="5" t="s">
        <v>267</v>
      </c>
      <c r="N3066" s="5" t="s">
        <v>265</v>
      </c>
      <c r="O3066" s="5" t="s">
        <v>238</v>
      </c>
      <c r="P3066" s="5" t="s">
        <v>238</v>
      </c>
      <c r="Q3066" s="5" t="s">
        <v>268</v>
      </c>
      <c r="R3066" s="5" t="s">
        <v>270</v>
      </c>
      <c r="S3066" s="5" t="s">
        <v>238</v>
      </c>
      <c r="V3066" s="5" t="s">
        <v>238</v>
      </c>
      <c r="X3066" s="6" t="s">
        <v>238</v>
      </c>
      <c r="AA3066" s="6" t="s">
        <v>243</v>
      </c>
      <c r="AB3066" s="5" t="s">
        <v>238</v>
      </c>
      <c r="AC3066" s="5" t="s">
        <v>244</v>
      </c>
      <c r="AD3066" s="5" t="s">
        <v>245</v>
      </c>
      <c r="AT3066" s="5" t="s">
        <v>246</v>
      </c>
      <c r="AU3066" s="5" t="s">
        <v>238</v>
      </c>
      <c r="AV3066" s="5" t="s">
        <v>247</v>
      </c>
      <c r="AW3066" s="5" t="s">
        <v>238</v>
      </c>
      <c r="AX3066" s="5" t="s">
        <v>249</v>
      </c>
      <c r="AY3066" s="5" t="s">
        <v>238</v>
      </c>
      <c r="BA3066" s="5" t="s">
        <v>238</v>
      </c>
      <c r="BC3066" s="5" t="s">
        <v>250</v>
      </c>
      <c r="BD3066" s="6" t="s">
        <v>243</v>
      </c>
      <c r="BE3066" s="5" t="s">
        <v>251</v>
      </c>
      <c r="BF3066" s="5" t="s">
        <v>252</v>
      </c>
      <c r="BG3066" s="5" t="s">
        <v>238</v>
      </c>
      <c r="BH3066" s="7">
        <f>0</f>
        <v>0</v>
      </c>
      <c r="BI3066" s="8">
        <f>0</f>
        <v>0</v>
      </c>
      <c r="BJ3066" s="5" t="s">
        <v>253</v>
      </c>
      <c r="BK3066" s="5" t="s">
        <v>254</v>
      </c>
      <c r="BY3066" s="5" t="s">
        <v>238</v>
      </c>
      <c r="BZ3066" s="5" t="s">
        <v>238</v>
      </c>
      <c r="CD3066" s="5" t="s">
        <v>273</v>
      </c>
      <c r="CE3066" s="5" t="s">
        <v>256</v>
      </c>
      <c r="CF3066" s="5" t="s">
        <v>238</v>
      </c>
      <c r="CI3066" s="6" t="s">
        <v>257</v>
      </c>
      <c r="CJ3066" s="5" t="s">
        <v>238</v>
      </c>
      <c r="CK3066" s="5" t="s">
        <v>258</v>
      </c>
      <c r="CL3066" s="5" t="s">
        <v>238</v>
      </c>
      <c r="CM3066" s="5" t="s">
        <v>238</v>
      </c>
      <c r="CN3066" s="5">
        <v>0</v>
      </c>
      <c r="CO3066" s="5" t="s">
        <v>259</v>
      </c>
      <c r="CP3066" s="5" t="s">
        <v>260</v>
      </c>
      <c r="CQ3066" s="5" t="s">
        <v>260</v>
      </c>
      <c r="CR3066" s="5" t="s">
        <v>261</v>
      </c>
      <c r="CU3066" s="8">
        <f>1</f>
        <v>1</v>
      </c>
      <c r="CV3066" s="8">
        <f>0</f>
        <v>0</v>
      </c>
      <c r="CX3066" s="8">
        <f>0</f>
        <v>0</v>
      </c>
      <c r="CY3066" s="8">
        <f>1</f>
        <v>1</v>
      </c>
      <c r="DA3066" s="5" t="s">
        <v>274</v>
      </c>
      <c r="DB3066" s="5" t="s">
        <v>238</v>
      </c>
      <c r="DD3066" s="5" t="s">
        <v>274</v>
      </c>
      <c r="DE3066" s="8">
        <f>713</f>
        <v>713</v>
      </c>
      <c r="DG3066" s="5" t="s">
        <v>238</v>
      </c>
      <c r="DH3066" s="5" t="s">
        <v>238</v>
      </c>
      <c r="DI3066" s="5" t="s">
        <v>238</v>
      </c>
      <c r="DJ3066" s="5" t="s">
        <v>238</v>
      </c>
      <c r="DN3066" s="5" t="s">
        <v>238</v>
      </c>
      <c r="DO3066" s="5" t="s">
        <v>238</v>
      </c>
      <c r="DP3066" s="5" t="s">
        <v>238</v>
      </c>
      <c r="DQ3066" s="5" t="s">
        <v>238</v>
      </c>
      <c r="DT3066" s="5" t="s">
        <v>275</v>
      </c>
      <c r="DU3066" s="5" t="s">
        <v>2744</v>
      </c>
      <c r="HM3066" s="5" t="s">
        <v>264</v>
      </c>
    </row>
    <row r="3067" spans="1:221" x14ac:dyDescent="0.4">
      <c r="A3067" s="5">
        <v>4771</v>
      </c>
      <c r="B3067" s="5">
        <v>1</v>
      </c>
      <c r="C3067" s="5">
        <v>1</v>
      </c>
      <c r="D3067" s="5" t="s">
        <v>269</v>
      </c>
      <c r="E3067" s="5" t="s">
        <v>271</v>
      </c>
      <c r="F3067" s="5" t="s">
        <v>248</v>
      </c>
      <c r="G3067" s="5" t="s">
        <v>266</v>
      </c>
      <c r="H3067" s="6" t="s">
        <v>4267</v>
      </c>
      <c r="I3067" s="7">
        <f>514</f>
        <v>514</v>
      </c>
      <c r="J3067" s="5" t="s">
        <v>262</v>
      </c>
      <c r="K3067" s="8">
        <f>1</f>
        <v>1</v>
      </c>
      <c r="L3067" s="6" t="s">
        <v>242</v>
      </c>
      <c r="M3067" s="5" t="s">
        <v>267</v>
      </c>
      <c r="N3067" s="5" t="s">
        <v>265</v>
      </c>
      <c r="O3067" s="5" t="s">
        <v>238</v>
      </c>
      <c r="P3067" s="5" t="s">
        <v>238</v>
      </c>
      <c r="Q3067" s="5" t="s">
        <v>268</v>
      </c>
      <c r="R3067" s="5" t="s">
        <v>270</v>
      </c>
      <c r="S3067" s="5" t="s">
        <v>238</v>
      </c>
      <c r="V3067" s="5" t="s">
        <v>238</v>
      </c>
      <c r="X3067" s="6" t="s">
        <v>238</v>
      </c>
      <c r="AA3067" s="6" t="s">
        <v>243</v>
      </c>
      <c r="AB3067" s="5" t="s">
        <v>238</v>
      </c>
      <c r="AC3067" s="5" t="s">
        <v>244</v>
      </c>
      <c r="AD3067" s="5" t="s">
        <v>245</v>
      </c>
      <c r="AT3067" s="5" t="s">
        <v>246</v>
      </c>
      <c r="AU3067" s="5" t="s">
        <v>238</v>
      </c>
      <c r="AV3067" s="5" t="s">
        <v>247</v>
      </c>
      <c r="AW3067" s="5" t="s">
        <v>238</v>
      </c>
      <c r="AX3067" s="5" t="s">
        <v>249</v>
      </c>
      <c r="AY3067" s="5" t="s">
        <v>238</v>
      </c>
      <c r="BA3067" s="5" t="s">
        <v>238</v>
      </c>
      <c r="BC3067" s="5" t="s">
        <v>250</v>
      </c>
      <c r="BD3067" s="6" t="s">
        <v>243</v>
      </c>
      <c r="BE3067" s="5" t="s">
        <v>251</v>
      </c>
      <c r="BF3067" s="5" t="s">
        <v>252</v>
      </c>
      <c r="BG3067" s="5" t="s">
        <v>238</v>
      </c>
      <c r="BH3067" s="7">
        <f>0</f>
        <v>0</v>
      </c>
      <c r="BI3067" s="8">
        <f>0</f>
        <v>0</v>
      </c>
      <c r="BJ3067" s="5" t="s">
        <v>253</v>
      </c>
      <c r="BK3067" s="5" t="s">
        <v>254</v>
      </c>
      <c r="BY3067" s="5" t="s">
        <v>238</v>
      </c>
      <c r="BZ3067" s="5" t="s">
        <v>238</v>
      </c>
      <c r="CD3067" s="5" t="s">
        <v>273</v>
      </c>
      <c r="CE3067" s="5" t="s">
        <v>256</v>
      </c>
      <c r="CF3067" s="5" t="s">
        <v>238</v>
      </c>
      <c r="CI3067" s="6" t="s">
        <v>257</v>
      </c>
      <c r="CJ3067" s="5" t="s">
        <v>238</v>
      </c>
      <c r="CK3067" s="5" t="s">
        <v>258</v>
      </c>
      <c r="CL3067" s="5" t="s">
        <v>238</v>
      </c>
      <c r="CM3067" s="5" t="s">
        <v>238</v>
      </c>
      <c r="CN3067" s="5">
        <v>0</v>
      </c>
      <c r="CO3067" s="5" t="s">
        <v>259</v>
      </c>
      <c r="CP3067" s="5" t="s">
        <v>260</v>
      </c>
      <c r="CQ3067" s="5" t="s">
        <v>260</v>
      </c>
      <c r="CR3067" s="5" t="s">
        <v>261</v>
      </c>
      <c r="CU3067" s="8">
        <f>1</f>
        <v>1</v>
      </c>
      <c r="CV3067" s="8">
        <f>0</f>
        <v>0</v>
      </c>
      <c r="CX3067" s="8">
        <f>0</f>
        <v>0</v>
      </c>
      <c r="CY3067" s="8">
        <f>1</f>
        <v>1</v>
      </c>
      <c r="DA3067" s="5" t="s">
        <v>274</v>
      </c>
      <c r="DB3067" s="5" t="s">
        <v>238</v>
      </c>
      <c r="DD3067" s="5" t="s">
        <v>274</v>
      </c>
      <c r="DE3067" s="8">
        <f>514</f>
        <v>514</v>
      </c>
      <c r="DG3067" s="5" t="s">
        <v>238</v>
      </c>
      <c r="DH3067" s="5" t="s">
        <v>238</v>
      </c>
      <c r="DI3067" s="5" t="s">
        <v>238</v>
      </c>
      <c r="DJ3067" s="5" t="s">
        <v>238</v>
      </c>
      <c r="DN3067" s="5" t="s">
        <v>238</v>
      </c>
      <c r="DO3067" s="5" t="s">
        <v>238</v>
      </c>
      <c r="DP3067" s="5" t="s">
        <v>238</v>
      </c>
      <c r="DQ3067" s="5" t="s">
        <v>238</v>
      </c>
      <c r="DT3067" s="5" t="s">
        <v>275</v>
      </c>
      <c r="DU3067" s="5" t="s">
        <v>3715</v>
      </c>
      <c r="HM3067" s="5" t="s">
        <v>264</v>
      </c>
    </row>
    <row r="3068" spans="1:221" x14ac:dyDescent="0.4">
      <c r="A3068" s="5">
        <v>4772</v>
      </c>
      <c r="B3068" s="5">
        <v>1</v>
      </c>
      <c r="C3068" s="5">
        <v>1</v>
      </c>
      <c r="D3068" s="5" t="s">
        <v>269</v>
      </c>
      <c r="E3068" s="5" t="s">
        <v>271</v>
      </c>
      <c r="F3068" s="5" t="s">
        <v>248</v>
      </c>
      <c r="G3068" s="5" t="s">
        <v>266</v>
      </c>
      <c r="H3068" s="6" t="s">
        <v>4273</v>
      </c>
      <c r="I3068" s="7">
        <f>2934</f>
        <v>2934</v>
      </c>
      <c r="J3068" s="5" t="s">
        <v>262</v>
      </c>
      <c r="K3068" s="8">
        <f>1</f>
        <v>1</v>
      </c>
      <c r="L3068" s="6" t="s">
        <v>242</v>
      </c>
      <c r="M3068" s="5" t="s">
        <v>267</v>
      </c>
      <c r="N3068" s="5" t="s">
        <v>265</v>
      </c>
      <c r="O3068" s="5" t="s">
        <v>238</v>
      </c>
      <c r="P3068" s="5" t="s">
        <v>238</v>
      </c>
      <c r="Q3068" s="5" t="s">
        <v>268</v>
      </c>
      <c r="R3068" s="5" t="s">
        <v>270</v>
      </c>
      <c r="S3068" s="5" t="s">
        <v>238</v>
      </c>
      <c r="V3068" s="5" t="s">
        <v>238</v>
      </c>
      <c r="X3068" s="6" t="s">
        <v>238</v>
      </c>
      <c r="AA3068" s="6" t="s">
        <v>243</v>
      </c>
      <c r="AB3068" s="5" t="s">
        <v>238</v>
      </c>
      <c r="AC3068" s="5" t="s">
        <v>244</v>
      </c>
      <c r="AD3068" s="5" t="s">
        <v>245</v>
      </c>
      <c r="AT3068" s="5" t="s">
        <v>246</v>
      </c>
      <c r="AU3068" s="5" t="s">
        <v>238</v>
      </c>
      <c r="AV3068" s="5" t="s">
        <v>247</v>
      </c>
      <c r="AW3068" s="5" t="s">
        <v>238</v>
      </c>
      <c r="AX3068" s="5" t="s">
        <v>249</v>
      </c>
      <c r="AY3068" s="5" t="s">
        <v>238</v>
      </c>
      <c r="BA3068" s="5" t="s">
        <v>238</v>
      </c>
      <c r="BC3068" s="5" t="s">
        <v>250</v>
      </c>
      <c r="BD3068" s="6" t="s">
        <v>243</v>
      </c>
      <c r="BE3068" s="5" t="s">
        <v>251</v>
      </c>
      <c r="BF3068" s="5" t="s">
        <v>252</v>
      </c>
      <c r="BG3068" s="5" t="s">
        <v>238</v>
      </c>
      <c r="BH3068" s="7">
        <f>0</f>
        <v>0</v>
      </c>
      <c r="BI3068" s="8">
        <f>0</f>
        <v>0</v>
      </c>
      <c r="BJ3068" s="5" t="s">
        <v>253</v>
      </c>
      <c r="BK3068" s="5" t="s">
        <v>254</v>
      </c>
      <c r="BY3068" s="5" t="s">
        <v>238</v>
      </c>
      <c r="BZ3068" s="5" t="s">
        <v>238</v>
      </c>
      <c r="CD3068" s="5" t="s">
        <v>273</v>
      </c>
      <c r="CE3068" s="5" t="s">
        <v>256</v>
      </c>
      <c r="CF3068" s="5" t="s">
        <v>238</v>
      </c>
      <c r="CI3068" s="6" t="s">
        <v>257</v>
      </c>
      <c r="CJ3068" s="5" t="s">
        <v>238</v>
      </c>
      <c r="CK3068" s="5" t="s">
        <v>258</v>
      </c>
      <c r="CL3068" s="5" t="s">
        <v>238</v>
      </c>
      <c r="CM3068" s="5" t="s">
        <v>238</v>
      </c>
      <c r="CN3068" s="5">
        <v>0</v>
      </c>
      <c r="CO3068" s="5" t="s">
        <v>259</v>
      </c>
      <c r="CP3068" s="5" t="s">
        <v>260</v>
      </c>
      <c r="CQ3068" s="5" t="s">
        <v>260</v>
      </c>
      <c r="CR3068" s="5" t="s">
        <v>261</v>
      </c>
      <c r="CU3068" s="8">
        <f>1</f>
        <v>1</v>
      </c>
      <c r="CV3068" s="8">
        <f>0</f>
        <v>0</v>
      </c>
      <c r="CX3068" s="8">
        <f>0</f>
        <v>0</v>
      </c>
      <c r="CY3068" s="8">
        <f>1</f>
        <v>1</v>
      </c>
      <c r="DA3068" s="5" t="s">
        <v>274</v>
      </c>
      <c r="DB3068" s="5" t="s">
        <v>238</v>
      </c>
      <c r="DD3068" s="5" t="s">
        <v>274</v>
      </c>
      <c r="DE3068" s="8">
        <f>2934</f>
        <v>2934</v>
      </c>
      <c r="DG3068" s="5" t="s">
        <v>238</v>
      </c>
      <c r="DH3068" s="5" t="s">
        <v>238</v>
      </c>
      <c r="DI3068" s="5" t="s">
        <v>238</v>
      </c>
      <c r="DJ3068" s="5" t="s">
        <v>238</v>
      </c>
      <c r="DN3068" s="5" t="s">
        <v>238</v>
      </c>
      <c r="DO3068" s="5" t="s">
        <v>238</v>
      </c>
      <c r="DP3068" s="5" t="s">
        <v>238</v>
      </c>
      <c r="DQ3068" s="5" t="s">
        <v>238</v>
      </c>
      <c r="DT3068" s="5" t="s">
        <v>275</v>
      </c>
      <c r="DU3068" s="5" t="s">
        <v>3532</v>
      </c>
      <c r="HM3068" s="5" t="s">
        <v>264</v>
      </c>
    </row>
    <row r="3069" spans="1:221" x14ac:dyDescent="0.4">
      <c r="A3069" s="5">
        <v>4773</v>
      </c>
      <c r="B3069" s="5">
        <v>1</v>
      </c>
      <c r="C3069" s="5">
        <v>1</v>
      </c>
      <c r="D3069" s="5" t="s">
        <v>269</v>
      </c>
      <c r="E3069" s="5" t="s">
        <v>271</v>
      </c>
      <c r="F3069" s="5" t="s">
        <v>248</v>
      </c>
      <c r="G3069" s="5" t="s">
        <v>266</v>
      </c>
      <c r="H3069" s="6" t="s">
        <v>4279</v>
      </c>
      <c r="I3069" s="7">
        <f>2774</f>
        <v>2774</v>
      </c>
      <c r="J3069" s="5" t="s">
        <v>262</v>
      </c>
      <c r="K3069" s="8">
        <f>1</f>
        <v>1</v>
      </c>
      <c r="L3069" s="6" t="s">
        <v>242</v>
      </c>
      <c r="M3069" s="5" t="s">
        <v>267</v>
      </c>
      <c r="N3069" s="5" t="s">
        <v>265</v>
      </c>
      <c r="O3069" s="5" t="s">
        <v>238</v>
      </c>
      <c r="P3069" s="5" t="s">
        <v>238</v>
      </c>
      <c r="Q3069" s="5" t="s">
        <v>268</v>
      </c>
      <c r="R3069" s="5" t="s">
        <v>270</v>
      </c>
      <c r="S3069" s="5" t="s">
        <v>238</v>
      </c>
      <c r="V3069" s="5" t="s">
        <v>238</v>
      </c>
      <c r="X3069" s="6" t="s">
        <v>238</v>
      </c>
      <c r="AA3069" s="6" t="s">
        <v>243</v>
      </c>
      <c r="AB3069" s="5" t="s">
        <v>238</v>
      </c>
      <c r="AC3069" s="5" t="s">
        <v>244</v>
      </c>
      <c r="AD3069" s="5" t="s">
        <v>245</v>
      </c>
      <c r="AT3069" s="5" t="s">
        <v>246</v>
      </c>
      <c r="AU3069" s="5" t="s">
        <v>238</v>
      </c>
      <c r="AV3069" s="5" t="s">
        <v>247</v>
      </c>
      <c r="AW3069" s="5" t="s">
        <v>238</v>
      </c>
      <c r="AX3069" s="5" t="s">
        <v>249</v>
      </c>
      <c r="AY3069" s="5" t="s">
        <v>238</v>
      </c>
      <c r="BA3069" s="5" t="s">
        <v>238</v>
      </c>
      <c r="BC3069" s="5" t="s">
        <v>250</v>
      </c>
      <c r="BD3069" s="6" t="s">
        <v>243</v>
      </c>
      <c r="BE3069" s="5" t="s">
        <v>251</v>
      </c>
      <c r="BF3069" s="5" t="s">
        <v>252</v>
      </c>
      <c r="BG3069" s="5" t="s">
        <v>238</v>
      </c>
      <c r="BH3069" s="7">
        <f>0</f>
        <v>0</v>
      </c>
      <c r="BI3069" s="8">
        <f>0</f>
        <v>0</v>
      </c>
      <c r="BJ3069" s="5" t="s">
        <v>253</v>
      </c>
      <c r="BK3069" s="5" t="s">
        <v>254</v>
      </c>
      <c r="BY3069" s="5" t="s">
        <v>238</v>
      </c>
      <c r="BZ3069" s="5" t="s">
        <v>238</v>
      </c>
      <c r="CD3069" s="5" t="s">
        <v>273</v>
      </c>
      <c r="CE3069" s="5" t="s">
        <v>256</v>
      </c>
      <c r="CF3069" s="5" t="s">
        <v>238</v>
      </c>
      <c r="CI3069" s="6" t="s">
        <v>257</v>
      </c>
      <c r="CJ3069" s="5" t="s">
        <v>238</v>
      </c>
      <c r="CK3069" s="5" t="s">
        <v>258</v>
      </c>
      <c r="CL3069" s="5" t="s">
        <v>238</v>
      </c>
      <c r="CM3069" s="5" t="s">
        <v>238</v>
      </c>
      <c r="CN3069" s="5">
        <v>0</v>
      </c>
      <c r="CO3069" s="5" t="s">
        <v>259</v>
      </c>
      <c r="CP3069" s="5" t="s">
        <v>260</v>
      </c>
      <c r="CQ3069" s="5" t="s">
        <v>260</v>
      </c>
      <c r="CR3069" s="5" t="s">
        <v>261</v>
      </c>
      <c r="CU3069" s="8">
        <f>1</f>
        <v>1</v>
      </c>
      <c r="CV3069" s="8">
        <f>0</f>
        <v>0</v>
      </c>
      <c r="CX3069" s="8">
        <f>0</f>
        <v>0</v>
      </c>
      <c r="CY3069" s="8">
        <f>1</f>
        <v>1</v>
      </c>
      <c r="DA3069" s="5" t="s">
        <v>274</v>
      </c>
      <c r="DB3069" s="5" t="s">
        <v>238</v>
      </c>
      <c r="DD3069" s="5" t="s">
        <v>274</v>
      </c>
      <c r="DE3069" s="8">
        <f>2774</f>
        <v>2774</v>
      </c>
      <c r="DG3069" s="5" t="s">
        <v>238</v>
      </c>
      <c r="DH3069" s="5" t="s">
        <v>238</v>
      </c>
      <c r="DI3069" s="5" t="s">
        <v>238</v>
      </c>
      <c r="DJ3069" s="5" t="s">
        <v>238</v>
      </c>
      <c r="DN3069" s="5" t="s">
        <v>238</v>
      </c>
      <c r="DO3069" s="5" t="s">
        <v>238</v>
      </c>
      <c r="DP3069" s="5" t="s">
        <v>238</v>
      </c>
      <c r="DQ3069" s="5" t="s">
        <v>238</v>
      </c>
      <c r="DT3069" s="5" t="s">
        <v>275</v>
      </c>
      <c r="DU3069" s="5" t="s">
        <v>3544</v>
      </c>
      <c r="HM3069" s="5" t="s">
        <v>264</v>
      </c>
    </row>
    <row r="3070" spans="1:221" x14ac:dyDescent="0.4">
      <c r="A3070" s="5">
        <v>4774</v>
      </c>
      <c r="B3070" s="5">
        <v>1</v>
      </c>
      <c r="C3070" s="5">
        <v>1</v>
      </c>
      <c r="D3070" s="5" t="s">
        <v>269</v>
      </c>
      <c r="E3070" s="5" t="s">
        <v>271</v>
      </c>
      <c r="F3070" s="5" t="s">
        <v>248</v>
      </c>
      <c r="G3070" s="5" t="s">
        <v>266</v>
      </c>
      <c r="H3070" s="6" t="s">
        <v>4290</v>
      </c>
      <c r="I3070" s="7">
        <f>1508</f>
        <v>1508</v>
      </c>
      <c r="J3070" s="5" t="s">
        <v>262</v>
      </c>
      <c r="K3070" s="8">
        <f>1</f>
        <v>1</v>
      </c>
      <c r="L3070" s="6" t="s">
        <v>242</v>
      </c>
      <c r="M3070" s="5" t="s">
        <v>267</v>
      </c>
      <c r="N3070" s="5" t="s">
        <v>265</v>
      </c>
      <c r="O3070" s="5" t="s">
        <v>238</v>
      </c>
      <c r="P3070" s="5" t="s">
        <v>238</v>
      </c>
      <c r="Q3070" s="5" t="s">
        <v>268</v>
      </c>
      <c r="R3070" s="5" t="s">
        <v>270</v>
      </c>
      <c r="S3070" s="5" t="s">
        <v>238</v>
      </c>
      <c r="V3070" s="5" t="s">
        <v>238</v>
      </c>
      <c r="X3070" s="6" t="s">
        <v>238</v>
      </c>
      <c r="AA3070" s="6" t="s">
        <v>243</v>
      </c>
      <c r="AB3070" s="5" t="s">
        <v>238</v>
      </c>
      <c r="AC3070" s="5" t="s">
        <v>244</v>
      </c>
      <c r="AD3070" s="5" t="s">
        <v>245</v>
      </c>
      <c r="AT3070" s="5" t="s">
        <v>246</v>
      </c>
      <c r="AU3070" s="5" t="s">
        <v>238</v>
      </c>
      <c r="AV3070" s="5" t="s">
        <v>247</v>
      </c>
      <c r="AW3070" s="5" t="s">
        <v>238</v>
      </c>
      <c r="AX3070" s="5" t="s">
        <v>249</v>
      </c>
      <c r="AY3070" s="5" t="s">
        <v>238</v>
      </c>
      <c r="BA3070" s="5" t="s">
        <v>238</v>
      </c>
      <c r="BC3070" s="5" t="s">
        <v>250</v>
      </c>
      <c r="BD3070" s="6" t="s">
        <v>243</v>
      </c>
      <c r="BE3070" s="5" t="s">
        <v>251</v>
      </c>
      <c r="BF3070" s="5" t="s">
        <v>252</v>
      </c>
      <c r="BG3070" s="5" t="s">
        <v>238</v>
      </c>
      <c r="BH3070" s="7">
        <f>0</f>
        <v>0</v>
      </c>
      <c r="BI3070" s="8">
        <f>0</f>
        <v>0</v>
      </c>
      <c r="BJ3070" s="5" t="s">
        <v>253</v>
      </c>
      <c r="BK3070" s="5" t="s">
        <v>254</v>
      </c>
      <c r="BY3070" s="5" t="s">
        <v>238</v>
      </c>
      <c r="BZ3070" s="5" t="s">
        <v>238</v>
      </c>
      <c r="CD3070" s="5" t="s">
        <v>273</v>
      </c>
      <c r="CE3070" s="5" t="s">
        <v>256</v>
      </c>
      <c r="CF3070" s="5" t="s">
        <v>238</v>
      </c>
      <c r="CI3070" s="6" t="s">
        <v>257</v>
      </c>
      <c r="CJ3070" s="5" t="s">
        <v>238</v>
      </c>
      <c r="CK3070" s="5" t="s">
        <v>258</v>
      </c>
      <c r="CL3070" s="5" t="s">
        <v>238</v>
      </c>
      <c r="CM3070" s="5" t="s">
        <v>238</v>
      </c>
      <c r="CN3070" s="5">
        <v>0</v>
      </c>
      <c r="CO3070" s="5" t="s">
        <v>259</v>
      </c>
      <c r="CP3070" s="5" t="s">
        <v>260</v>
      </c>
      <c r="CQ3070" s="5" t="s">
        <v>260</v>
      </c>
      <c r="CR3070" s="5" t="s">
        <v>261</v>
      </c>
      <c r="CU3070" s="8">
        <f>1</f>
        <v>1</v>
      </c>
      <c r="CV3070" s="8">
        <f>0</f>
        <v>0</v>
      </c>
      <c r="CX3070" s="8">
        <f>0</f>
        <v>0</v>
      </c>
      <c r="CY3070" s="8">
        <f>1</f>
        <v>1</v>
      </c>
      <c r="DA3070" s="5" t="s">
        <v>274</v>
      </c>
      <c r="DB3070" s="5" t="s">
        <v>238</v>
      </c>
      <c r="DD3070" s="5" t="s">
        <v>274</v>
      </c>
      <c r="DE3070" s="8">
        <f>1508</f>
        <v>1508</v>
      </c>
      <c r="DG3070" s="5" t="s">
        <v>238</v>
      </c>
      <c r="DH3070" s="5" t="s">
        <v>238</v>
      </c>
      <c r="DI3070" s="5" t="s">
        <v>238</v>
      </c>
      <c r="DJ3070" s="5" t="s">
        <v>238</v>
      </c>
      <c r="DN3070" s="5" t="s">
        <v>238</v>
      </c>
      <c r="DO3070" s="5" t="s">
        <v>238</v>
      </c>
      <c r="DP3070" s="5" t="s">
        <v>238</v>
      </c>
      <c r="DQ3070" s="5" t="s">
        <v>238</v>
      </c>
      <c r="DT3070" s="5" t="s">
        <v>275</v>
      </c>
      <c r="DU3070" s="5" t="s">
        <v>3547</v>
      </c>
      <c r="HM3070" s="5" t="s">
        <v>264</v>
      </c>
    </row>
    <row r="3071" spans="1:221" x14ac:dyDescent="0.4">
      <c r="A3071" s="5">
        <v>4775</v>
      </c>
      <c r="B3071" s="5">
        <v>1</v>
      </c>
      <c r="C3071" s="5">
        <v>1</v>
      </c>
      <c r="D3071" s="5" t="s">
        <v>269</v>
      </c>
      <c r="E3071" s="5" t="s">
        <v>271</v>
      </c>
      <c r="F3071" s="5" t="s">
        <v>248</v>
      </c>
      <c r="G3071" s="5" t="s">
        <v>266</v>
      </c>
      <c r="H3071" s="6" t="s">
        <v>4296</v>
      </c>
      <c r="I3071" s="7">
        <f>794</f>
        <v>794</v>
      </c>
      <c r="J3071" s="5" t="s">
        <v>262</v>
      </c>
      <c r="K3071" s="8">
        <f>1</f>
        <v>1</v>
      </c>
      <c r="L3071" s="6" t="s">
        <v>242</v>
      </c>
      <c r="M3071" s="5" t="s">
        <v>267</v>
      </c>
      <c r="N3071" s="5" t="s">
        <v>265</v>
      </c>
      <c r="O3071" s="5" t="s">
        <v>238</v>
      </c>
      <c r="P3071" s="5" t="s">
        <v>238</v>
      </c>
      <c r="Q3071" s="5" t="s">
        <v>268</v>
      </c>
      <c r="R3071" s="5" t="s">
        <v>270</v>
      </c>
      <c r="S3071" s="5" t="s">
        <v>238</v>
      </c>
      <c r="V3071" s="5" t="s">
        <v>238</v>
      </c>
      <c r="X3071" s="6" t="s">
        <v>238</v>
      </c>
      <c r="AA3071" s="6" t="s">
        <v>243</v>
      </c>
      <c r="AB3071" s="5" t="s">
        <v>238</v>
      </c>
      <c r="AC3071" s="5" t="s">
        <v>244</v>
      </c>
      <c r="AD3071" s="5" t="s">
        <v>245</v>
      </c>
      <c r="AT3071" s="5" t="s">
        <v>246</v>
      </c>
      <c r="AU3071" s="5" t="s">
        <v>238</v>
      </c>
      <c r="AV3071" s="5" t="s">
        <v>247</v>
      </c>
      <c r="AW3071" s="5" t="s">
        <v>238</v>
      </c>
      <c r="AX3071" s="5" t="s">
        <v>249</v>
      </c>
      <c r="AY3071" s="5" t="s">
        <v>238</v>
      </c>
      <c r="BA3071" s="5" t="s">
        <v>238</v>
      </c>
      <c r="BC3071" s="5" t="s">
        <v>250</v>
      </c>
      <c r="BD3071" s="6" t="s">
        <v>243</v>
      </c>
      <c r="BE3071" s="5" t="s">
        <v>251</v>
      </c>
      <c r="BF3071" s="5" t="s">
        <v>252</v>
      </c>
      <c r="BG3071" s="5" t="s">
        <v>238</v>
      </c>
      <c r="BH3071" s="7">
        <f>0</f>
        <v>0</v>
      </c>
      <c r="BI3071" s="8">
        <f>0</f>
        <v>0</v>
      </c>
      <c r="BJ3071" s="5" t="s">
        <v>253</v>
      </c>
      <c r="BK3071" s="5" t="s">
        <v>254</v>
      </c>
      <c r="BY3071" s="5" t="s">
        <v>238</v>
      </c>
      <c r="BZ3071" s="5" t="s">
        <v>238</v>
      </c>
      <c r="CD3071" s="5" t="s">
        <v>273</v>
      </c>
      <c r="CE3071" s="5" t="s">
        <v>256</v>
      </c>
      <c r="CF3071" s="5" t="s">
        <v>238</v>
      </c>
      <c r="CI3071" s="6" t="s">
        <v>257</v>
      </c>
      <c r="CJ3071" s="5" t="s">
        <v>238</v>
      </c>
      <c r="CK3071" s="5" t="s">
        <v>258</v>
      </c>
      <c r="CL3071" s="5" t="s">
        <v>238</v>
      </c>
      <c r="CM3071" s="5" t="s">
        <v>238</v>
      </c>
      <c r="CN3071" s="5">
        <v>0</v>
      </c>
      <c r="CO3071" s="5" t="s">
        <v>259</v>
      </c>
      <c r="CP3071" s="5" t="s">
        <v>260</v>
      </c>
      <c r="CQ3071" s="5" t="s">
        <v>260</v>
      </c>
      <c r="CR3071" s="5" t="s">
        <v>261</v>
      </c>
      <c r="CU3071" s="8">
        <f>1</f>
        <v>1</v>
      </c>
      <c r="CV3071" s="8">
        <f>0</f>
        <v>0</v>
      </c>
      <c r="CX3071" s="8">
        <f>0</f>
        <v>0</v>
      </c>
      <c r="CY3071" s="8">
        <f>1</f>
        <v>1</v>
      </c>
      <c r="DA3071" s="5" t="s">
        <v>274</v>
      </c>
      <c r="DB3071" s="5" t="s">
        <v>238</v>
      </c>
      <c r="DD3071" s="5" t="s">
        <v>274</v>
      </c>
      <c r="DE3071" s="8">
        <f>794</f>
        <v>794</v>
      </c>
      <c r="DG3071" s="5" t="s">
        <v>238</v>
      </c>
      <c r="DH3071" s="5" t="s">
        <v>238</v>
      </c>
      <c r="DI3071" s="5" t="s">
        <v>238</v>
      </c>
      <c r="DJ3071" s="5" t="s">
        <v>238</v>
      </c>
      <c r="DN3071" s="5" t="s">
        <v>238</v>
      </c>
      <c r="DO3071" s="5" t="s">
        <v>238</v>
      </c>
      <c r="DP3071" s="5" t="s">
        <v>238</v>
      </c>
      <c r="DQ3071" s="5" t="s">
        <v>238</v>
      </c>
      <c r="DT3071" s="5" t="s">
        <v>275</v>
      </c>
      <c r="DU3071" s="5" t="s">
        <v>3565</v>
      </c>
      <c r="HM3071" s="5" t="s">
        <v>264</v>
      </c>
    </row>
    <row r="3072" spans="1:221" x14ac:dyDescent="0.4">
      <c r="A3072" s="5">
        <v>4776</v>
      </c>
      <c r="B3072" s="5">
        <v>1</v>
      </c>
      <c r="C3072" s="5">
        <v>1</v>
      </c>
      <c r="D3072" s="5" t="s">
        <v>269</v>
      </c>
      <c r="E3072" s="5" t="s">
        <v>271</v>
      </c>
      <c r="F3072" s="5" t="s">
        <v>248</v>
      </c>
      <c r="G3072" s="5" t="s">
        <v>266</v>
      </c>
      <c r="H3072" s="6" t="s">
        <v>4304</v>
      </c>
      <c r="I3072" s="7">
        <f>863</f>
        <v>863</v>
      </c>
      <c r="J3072" s="5" t="s">
        <v>262</v>
      </c>
      <c r="K3072" s="8">
        <f>1</f>
        <v>1</v>
      </c>
      <c r="L3072" s="6" t="s">
        <v>242</v>
      </c>
      <c r="M3072" s="5" t="s">
        <v>267</v>
      </c>
      <c r="N3072" s="5" t="s">
        <v>265</v>
      </c>
      <c r="O3072" s="5" t="s">
        <v>238</v>
      </c>
      <c r="P3072" s="5" t="s">
        <v>238</v>
      </c>
      <c r="Q3072" s="5" t="s">
        <v>268</v>
      </c>
      <c r="R3072" s="5" t="s">
        <v>270</v>
      </c>
      <c r="S3072" s="5" t="s">
        <v>238</v>
      </c>
      <c r="V3072" s="5" t="s">
        <v>238</v>
      </c>
      <c r="X3072" s="6" t="s">
        <v>238</v>
      </c>
      <c r="AA3072" s="6" t="s">
        <v>243</v>
      </c>
      <c r="AB3072" s="5" t="s">
        <v>238</v>
      </c>
      <c r="AC3072" s="5" t="s">
        <v>244</v>
      </c>
      <c r="AD3072" s="5" t="s">
        <v>245</v>
      </c>
      <c r="AT3072" s="5" t="s">
        <v>246</v>
      </c>
      <c r="AU3072" s="5" t="s">
        <v>238</v>
      </c>
      <c r="AV3072" s="5" t="s">
        <v>247</v>
      </c>
      <c r="AW3072" s="5" t="s">
        <v>238</v>
      </c>
      <c r="AX3072" s="5" t="s">
        <v>249</v>
      </c>
      <c r="AY3072" s="5" t="s">
        <v>238</v>
      </c>
      <c r="BA3072" s="5" t="s">
        <v>238</v>
      </c>
      <c r="BC3072" s="5" t="s">
        <v>250</v>
      </c>
      <c r="BD3072" s="6" t="s">
        <v>243</v>
      </c>
      <c r="BE3072" s="5" t="s">
        <v>251</v>
      </c>
      <c r="BF3072" s="5" t="s">
        <v>252</v>
      </c>
      <c r="BG3072" s="5" t="s">
        <v>238</v>
      </c>
      <c r="BH3072" s="7">
        <f>0</f>
        <v>0</v>
      </c>
      <c r="BI3072" s="8">
        <f>0</f>
        <v>0</v>
      </c>
      <c r="BJ3072" s="5" t="s">
        <v>253</v>
      </c>
      <c r="BK3072" s="5" t="s">
        <v>254</v>
      </c>
      <c r="BY3072" s="5" t="s">
        <v>238</v>
      </c>
      <c r="BZ3072" s="5" t="s">
        <v>238</v>
      </c>
      <c r="CD3072" s="5" t="s">
        <v>273</v>
      </c>
      <c r="CE3072" s="5" t="s">
        <v>256</v>
      </c>
      <c r="CF3072" s="5" t="s">
        <v>238</v>
      </c>
      <c r="CI3072" s="6" t="s">
        <v>257</v>
      </c>
      <c r="CJ3072" s="5" t="s">
        <v>238</v>
      </c>
      <c r="CK3072" s="5" t="s">
        <v>258</v>
      </c>
      <c r="CL3072" s="5" t="s">
        <v>238</v>
      </c>
      <c r="CM3072" s="5" t="s">
        <v>238</v>
      </c>
      <c r="CN3072" s="5">
        <v>0</v>
      </c>
      <c r="CO3072" s="5" t="s">
        <v>259</v>
      </c>
      <c r="CP3072" s="5" t="s">
        <v>260</v>
      </c>
      <c r="CQ3072" s="5" t="s">
        <v>260</v>
      </c>
      <c r="CR3072" s="5" t="s">
        <v>261</v>
      </c>
      <c r="CU3072" s="8">
        <f>1</f>
        <v>1</v>
      </c>
      <c r="CV3072" s="8">
        <f>0</f>
        <v>0</v>
      </c>
      <c r="CX3072" s="8">
        <f>0</f>
        <v>0</v>
      </c>
      <c r="CY3072" s="8">
        <f>1</f>
        <v>1</v>
      </c>
      <c r="DA3072" s="5" t="s">
        <v>274</v>
      </c>
      <c r="DB3072" s="5" t="s">
        <v>238</v>
      </c>
      <c r="DD3072" s="5" t="s">
        <v>274</v>
      </c>
      <c r="DE3072" s="8">
        <f>863</f>
        <v>863</v>
      </c>
      <c r="DG3072" s="5" t="s">
        <v>238</v>
      </c>
      <c r="DH3072" s="5" t="s">
        <v>238</v>
      </c>
      <c r="DI3072" s="5" t="s">
        <v>238</v>
      </c>
      <c r="DJ3072" s="5" t="s">
        <v>238</v>
      </c>
      <c r="DN3072" s="5" t="s">
        <v>238</v>
      </c>
      <c r="DO3072" s="5" t="s">
        <v>238</v>
      </c>
      <c r="DP3072" s="5" t="s">
        <v>238</v>
      </c>
      <c r="DQ3072" s="5" t="s">
        <v>238</v>
      </c>
      <c r="DT3072" s="5" t="s">
        <v>275</v>
      </c>
      <c r="DU3072" s="5" t="s">
        <v>3580</v>
      </c>
      <c r="HM3072" s="5" t="s">
        <v>264</v>
      </c>
    </row>
    <row r="3073" spans="1:221" x14ac:dyDescent="0.4">
      <c r="A3073" s="5">
        <v>4777</v>
      </c>
      <c r="B3073" s="5">
        <v>1</v>
      </c>
      <c r="C3073" s="5">
        <v>1</v>
      </c>
      <c r="D3073" s="5" t="s">
        <v>269</v>
      </c>
      <c r="E3073" s="5" t="s">
        <v>271</v>
      </c>
      <c r="F3073" s="5" t="s">
        <v>248</v>
      </c>
      <c r="G3073" s="5" t="s">
        <v>266</v>
      </c>
      <c r="H3073" s="6" t="s">
        <v>4306</v>
      </c>
      <c r="I3073" s="7">
        <f>196</f>
        <v>196</v>
      </c>
      <c r="J3073" s="5" t="s">
        <v>262</v>
      </c>
      <c r="K3073" s="8">
        <f>1</f>
        <v>1</v>
      </c>
      <c r="L3073" s="6" t="s">
        <v>242</v>
      </c>
      <c r="M3073" s="5" t="s">
        <v>267</v>
      </c>
      <c r="N3073" s="5" t="s">
        <v>265</v>
      </c>
      <c r="O3073" s="5" t="s">
        <v>238</v>
      </c>
      <c r="P3073" s="5" t="s">
        <v>238</v>
      </c>
      <c r="Q3073" s="5" t="s">
        <v>268</v>
      </c>
      <c r="R3073" s="5" t="s">
        <v>270</v>
      </c>
      <c r="S3073" s="5" t="s">
        <v>238</v>
      </c>
      <c r="V3073" s="5" t="s">
        <v>238</v>
      </c>
      <c r="X3073" s="6" t="s">
        <v>238</v>
      </c>
      <c r="AA3073" s="6" t="s">
        <v>243</v>
      </c>
      <c r="AB3073" s="5" t="s">
        <v>238</v>
      </c>
      <c r="AC3073" s="5" t="s">
        <v>244</v>
      </c>
      <c r="AD3073" s="5" t="s">
        <v>245</v>
      </c>
      <c r="AT3073" s="5" t="s">
        <v>246</v>
      </c>
      <c r="AU3073" s="5" t="s">
        <v>238</v>
      </c>
      <c r="AV3073" s="5" t="s">
        <v>247</v>
      </c>
      <c r="AW3073" s="5" t="s">
        <v>238</v>
      </c>
      <c r="AX3073" s="5" t="s">
        <v>249</v>
      </c>
      <c r="AY3073" s="5" t="s">
        <v>238</v>
      </c>
      <c r="BA3073" s="5" t="s">
        <v>238</v>
      </c>
      <c r="BC3073" s="5" t="s">
        <v>250</v>
      </c>
      <c r="BD3073" s="6" t="s">
        <v>243</v>
      </c>
      <c r="BE3073" s="5" t="s">
        <v>251</v>
      </c>
      <c r="BF3073" s="5" t="s">
        <v>252</v>
      </c>
      <c r="BG3073" s="5" t="s">
        <v>238</v>
      </c>
      <c r="BH3073" s="7">
        <f>0</f>
        <v>0</v>
      </c>
      <c r="BI3073" s="8">
        <f>0</f>
        <v>0</v>
      </c>
      <c r="BJ3073" s="5" t="s">
        <v>253</v>
      </c>
      <c r="BK3073" s="5" t="s">
        <v>254</v>
      </c>
      <c r="BY3073" s="5" t="s">
        <v>238</v>
      </c>
      <c r="BZ3073" s="5" t="s">
        <v>238</v>
      </c>
      <c r="CD3073" s="5" t="s">
        <v>273</v>
      </c>
      <c r="CE3073" s="5" t="s">
        <v>256</v>
      </c>
      <c r="CF3073" s="5" t="s">
        <v>238</v>
      </c>
      <c r="CI3073" s="6" t="s">
        <v>257</v>
      </c>
      <c r="CJ3073" s="5" t="s">
        <v>238</v>
      </c>
      <c r="CK3073" s="5" t="s">
        <v>258</v>
      </c>
      <c r="CL3073" s="5" t="s">
        <v>238</v>
      </c>
      <c r="CM3073" s="5" t="s">
        <v>238</v>
      </c>
      <c r="CN3073" s="5">
        <v>0</v>
      </c>
      <c r="CO3073" s="5" t="s">
        <v>259</v>
      </c>
      <c r="CP3073" s="5" t="s">
        <v>260</v>
      </c>
      <c r="CQ3073" s="5" t="s">
        <v>260</v>
      </c>
      <c r="CR3073" s="5" t="s">
        <v>261</v>
      </c>
      <c r="CU3073" s="8">
        <f>1</f>
        <v>1</v>
      </c>
      <c r="CV3073" s="8">
        <f>0</f>
        <v>0</v>
      </c>
      <c r="CX3073" s="8">
        <f>0</f>
        <v>0</v>
      </c>
      <c r="CY3073" s="8">
        <f>1</f>
        <v>1</v>
      </c>
      <c r="DA3073" s="5" t="s">
        <v>274</v>
      </c>
      <c r="DB3073" s="5" t="s">
        <v>238</v>
      </c>
      <c r="DD3073" s="5" t="s">
        <v>274</v>
      </c>
      <c r="DE3073" s="8">
        <f>196</f>
        <v>196</v>
      </c>
      <c r="DG3073" s="5" t="s">
        <v>238</v>
      </c>
      <c r="DH3073" s="5" t="s">
        <v>238</v>
      </c>
      <c r="DI3073" s="5" t="s">
        <v>238</v>
      </c>
      <c r="DJ3073" s="5" t="s">
        <v>238</v>
      </c>
      <c r="DN3073" s="5" t="s">
        <v>238</v>
      </c>
      <c r="DO3073" s="5" t="s">
        <v>238</v>
      </c>
      <c r="DP3073" s="5" t="s">
        <v>238</v>
      </c>
      <c r="DQ3073" s="5" t="s">
        <v>238</v>
      </c>
      <c r="DT3073" s="5" t="s">
        <v>275</v>
      </c>
      <c r="DU3073" s="5" t="s">
        <v>3597</v>
      </c>
      <c r="HM3073" s="5" t="s">
        <v>264</v>
      </c>
    </row>
    <row r="3074" spans="1:221" x14ac:dyDescent="0.4">
      <c r="A3074" s="5">
        <v>4778</v>
      </c>
      <c r="B3074" s="5">
        <v>1</v>
      </c>
      <c r="C3074" s="5">
        <v>1</v>
      </c>
      <c r="D3074" s="5" t="s">
        <v>269</v>
      </c>
      <c r="E3074" s="5" t="s">
        <v>271</v>
      </c>
      <c r="F3074" s="5" t="s">
        <v>248</v>
      </c>
      <c r="G3074" s="5" t="s">
        <v>266</v>
      </c>
      <c r="H3074" s="6" t="s">
        <v>4318</v>
      </c>
      <c r="I3074" s="7">
        <f>70</f>
        <v>70</v>
      </c>
      <c r="J3074" s="5" t="s">
        <v>262</v>
      </c>
      <c r="K3074" s="8">
        <f>1</f>
        <v>1</v>
      </c>
      <c r="L3074" s="6" t="s">
        <v>242</v>
      </c>
      <c r="M3074" s="5" t="s">
        <v>267</v>
      </c>
      <c r="N3074" s="5" t="s">
        <v>265</v>
      </c>
      <c r="O3074" s="5" t="s">
        <v>238</v>
      </c>
      <c r="P3074" s="5" t="s">
        <v>238</v>
      </c>
      <c r="Q3074" s="5" t="s">
        <v>268</v>
      </c>
      <c r="R3074" s="5" t="s">
        <v>270</v>
      </c>
      <c r="S3074" s="5" t="s">
        <v>238</v>
      </c>
      <c r="V3074" s="5" t="s">
        <v>238</v>
      </c>
      <c r="X3074" s="6" t="s">
        <v>238</v>
      </c>
      <c r="AA3074" s="6" t="s">
        <v>243</v>
      </c>
      <c r="AB3074" s="5" t="s">
        <v>238</v>
      </c>
      <c r="AC3074" s="5" t="s">
        <v>244</v>
      </c>
      <c r="AD3074" s="5" t="s">
        <v>245</v>
      </c>
      <c r="AT3074" s="5" t="s">
        <v>246</v>
      </c>
      <c r="AU3074" s="5" t="s">
        <v>238</v>
      </c>
      <c r="AV3074" s="5" t="s">
        <v>247</v>
      </c>
      <c r="AW3074" s="5" t="s">
        <v>238</v>
      </c>
      <c r="AX3074" s="5" t="s">
        <v>249</v>
      </c>
      <c r="AY3074" s="5" t="s">
        <v>238</v>
      </c>
      <c r="BA3074" s="5" t="s">
        <v>238</v>
      </c>
      <c r="BC3074" s="5" t="s">
        <v>250</v>
      </c>
      <c r="BD3074" s="6" t="s">
        <v>243</v>
      </c>
      <c r="BE3074" s="5" t="s">
        <v>251</v>
      </c>
      <c r="BF3074" s="5" t="s">
        <v>252</v>
      </c>
      <c r="BG3074" s="5" t="s">
        <v>238</v>
      </c>
      <c r="BH3074" s="7">
        <f>0</f>
        <v>0</v>
      </c>
      <c r="BI3074" s="8">
        <f>0</f>
        <v>0</v>
      </c>
      <c r="BJ3074" s="5" t="s">
        <v>253</v>
      </c>
      <c r="BK3074" s="5" t="s">
        <v>254</v>
      </c>
      <c r="BY3074" s="5" t="s">
        <v>238</v>
      </c>
      <c r="BZ3074" s="5" t="s">
        <v>238</v>
      </c>
      <c r="CD3074" s="5" t="s">
        <v>273</v>
      </c>
      <c r="CE3074" s="5" t="s">
        <v>256</v>
      </c>
      <c r="CF3074" s="5" t="s">
        <v>238</v>
      </c>
      <c r="CI3074" s="6" t="s">
        <v>257</v>
      </c>
      <c r="CJ3074" s="5" t="s">
        <v>238</v>
      </c>
      <c r="CK3074" s="5" t="s">
        <v>258</v>
      </c>
      <c r="CL3074" s="5" t="s">
        <v>238</v>
      </c>
      <c r="CM3074" s="5" t="s">
        <v>238</v>
      </c>
      <c r="CN3074" s="5">
        <v>0</v>
      </c>
      <c r="CO3074" s="5" t="s">
        <v>259</v>
      </c>
      <c r="CP3074" s="5" t="s">
        <v>260</v>
      </c>
      <c r="CQ3074" s="5" t="s">
        <v>260</v>
      </c>
      <c r="CR3074" s="5" t="s">
        <v>261</v>
      </c>
      <c r="CU3074" s="8">
        <f>1</f>
        <v>1</v>
      </c>
      <c r="CV3074" s="8">
        <f>0</f>
        <v>0</v>
      </c>
      <c r="CX3074" s="8">
        <f>0</f>
        <v>0</v>
      </c>
      <c r="CY3074" s="8">
        <f>1</f>
        <v>1</v>
      </c>
      <c r="DA3074" s="5" t="s">
        <v>274</v>
      </c>
      <c r="DB3074" s="5" t="s">
        <v>238</v>
      </c>
      <c r="DD3074" s="5" t="s">
        <v>274</v>
      </c>
      <c r="DE3074" s="8">
        <f>70</f>
        <v>70</v>
      </c>
      <c r="DG3074" s="5" t="s">
        <v>238</v>
      </c>
      <c r="DH3074" s="5" t="s">
        <v>238</v>
      </c>
      <c r="DI3074" s="5" t="s">
        <v>238</v>
      </c>
      <c r="DJ3074" s="5" t="s">
        <v>238</v>
      </c>
      <c r="DN3074" s="5" t="s">
        <v>238</v>
      </c>
      <c r="DO3074" s="5" t="s">
        <v>238</v>
      </c>
      <c r="DP3074" s="5" t="s">
        <v>238</v>
      </c>
      <c r="DQ3074" s="5" t="s">
        <v>238</v>
      </c>
      <c r="DT3074" s="5" t="s">
        <v>275</v>
      </c>
      <c r="DU3074" s="5" t="s">
        <v>3612</v>
      </c>
      <c r="HM3074" s="5" t="s">
        <v>264</v>
      </c>
    </row>
    <row r="3075" spans="1:221" x14ac:dyDescent="0.4">
      <c r="A3075" s="5">
        <v>4779</v>
      </c>
      <c r="B3075" s="5">
        <v>1</v>
      </c>
      <c r="C3075" s="5">
        <v>1</v>
      </c>
      <c r="D3075" s="5" t="s">
        <v>269</v>
      </c>
      <c r="E3075" s="5" t="s">
        <v>271</v>
      </c>
      <c r="F3075" s="5" t="s">
        <v>248</v>
      </c>
      <c r="G3075" s="5" t="s">
        <v>266</v>
      </c>
      <c r="H3075" s="6" t="s">
        <v>4325</v>
      </c>
      <c r="I3075" s="7">
        <f>384</f>
        <v>384</v>
      </c>
      <c r="J3075" s="5" t="s">
        <v>262</v>
      </c>
      <c r="K3075" s="8">
        <f>1</f>
        <v>1</v>
      </c>
      <c r="L3075" s="6" t="s">
        <v>242</v>
      </c>
      <c r="M3075" s="5" t="s">
        <v>267</v>
      </c>
      <c r="N3075" s="5" t="s">
        <v>265</v>
      </c>
      <c r="O3075" s="5" t="s">
        <v>238</v>
      </c>
      <c r="P3075" s="5" t="s">
        <v>238</v>
      </c>
      <c r="Q3075" s="5" t="s">
        <v>268</v>
      </c>
      <c r="R3075" s="5" t="s">
        <v>270</v>
      </c>
      <c r="S3075" s="5" t="s">
        <v>238</v>
      </c>
      <c r="V3075" s="5" t="s">
        <v>238</v>
      </c>
      <c r="X3075" s="6" t="s">
        <v>238</v>
      </c>
      <c r="AA3075" s="6" t="s">
        <v>243</v>
      </c>
      <c r="AB3075" s="5" t="s">
        <v>238</v>
      </c>
      <c r="AC3075" s="5" t="s">
        <v>244</v>
      </c>
      <c r="AD3075" s="5" t="s">
        <v>245</v>
      </c>
      <c r="AT3075" s="5" t="s">
        <v>246</v>
      </c>
      <c r="AU3075" s="5" t="s">
        <v>238</v>
      </c>
      <c r="AV3075" s="5" t="s">
        <v>247</v>
      </c>
      <c r="AW3075" s="5" t="s">
        <v>238</v>
      </c>
      <c r="AX3075" s="5" t="s">
        <v>249</v>
      </c>
      <c r="AY3075" s="5" t="s">
        <v>238</v>
      </c>
      <c r="BA3075" s="5" t="s">
        <v>238</v>
      </c>
      <c r="BC3075" s="5" t="s">
        <v>250</v>
      </c>
      <c r="BD3075" s="6" t="s">
        <v>243</v>
      </c>
      <c r="BE3075" s="5" t="s">
        <v>251</v>
      </c>
      <c r="BF3075" s="5" t="s">
        <v>252</v>
      </c>
      <c r="BG3075" s="5" t="s">
        <v>238</v>
      </c>
      <c r="BH3075" s="7">
        <f>0</f>
        <v>0</v>
      </c>
      <c r="BI3075" s="8">
        <f>0</f>
        <v>0</v>
      </c>
      <c r="BJ3075" s="5" t="s">
        <v>253</v>
      </c>
      <c r="BK3075" s="5" t="s">
        <v>254</v>
      </c>
      <c r="BY3075" s="5" t="s">
        <v>238</v>
      </c>
      <c r="BZ3075" s="5" t="s">
        <v>238</v>
      </c>
      <c r="CD3075" s="5" t="s">
        <v>273</v>
      </c>
      <c r="CE3075" s="5" t="s">
        <v>256</v>
      </c>
      <c r="CF3075" s="5" t="s">
        <v>238</v>
      </c>
      <c r="CI3075" s="6" t="s">
        <v>257</v>
      </c>
      <c r="CJ3075" s="5" t="s">
        <v>238</v>
      </c>
      <c r="CK3075" s="5" t="s">
        <v>258</v>
      </c>
      <c r="CL3075" s="5" t="s">
        <v>238</v>
      </c>
      <c r="CM3075" s="5" t="s">
        <v>238</v>
      </c>
      <c r="CN3075" s="5">
        <v>0</v>
      </c>
      <c r="CO3075" s="5" t="s">
        <v>259</v>
      </c>
      <c r="CP3075" s="5" t="s">
        <v>260</v>
      </c>
      <c r="CQ3075" s="5" t="s">
        <v>260</v>
      </c>
      <c r="CR3075" s="5" t="s">
        <v>261</v>
      </c>
      <c r="CU3075" s="8">
        <f>1</f>
        <v>1</v>
      </c>
      <c r="CV3075" s="8">
        <f>0</f>
        <v>0</v>
      </c>
      <c r="CX3075" s="8">
        <f>0</f>
        <v>0</v>
      </c>
      <c r="CY3075" s="8">
        <f>1</f>
        <v>1</v>
      </c>
      <c r="DA3075" s="5" t="s">
        <v>274</v>
      </c>
      <c r="DB3075" s="5" t="s">
        <v>238</v>
      </c>
      <c r="DD3075" s="5" t="s">
        <v>274</v>
      </c>
      <c r="DE3075" s="8">
        <f>384</f>
        <v>384</v>
      </c>
      <c r="DG3075" s="5" t="s">
        <v>238</v>
      </c>
      <c r="DH3075" s="5" t="s">
        <v>238</v>
      </c>
      <c r="DI3075" s="5" t="s">
        <v>238</v>
      </c>
      <c r="DJ3075" s="5" t="s">
        <v>238</v>
      </c>
      <c r="DN3075" s="5" t="s">
        <v>238</v>
      </c>
      <c r="DO3075" s="5" t="s">
        <v>238</v>
      </c>
      <c r="DP3075" s="5" t="s">
        <v>238</v>
      </c>
      <c r="DQ3075" s="5" t="s">
        <v>238</v>
      </c>
      <c r="DT3075" s="5" t="s">
        <v>275</v>
      </c>
      <c r="DU3075" s="5" t="s">
        <v>3627</v>
      </c>
      <c r="HM3075" s="5" t="s">
        <v>264</v>
      </c>
    </row>
    <row r="3076" spans="1:221" x14ac:dyDescent="0.4">
      <c r="A3076" s="5">
        <v>4780</v>
      </c>
      <c r="B3076" s="5">
        <v>1</v>
      </c>
      <c r="C3076" s="5">
        <v>1</v>
      </c>
      <c r="D3076" s="5" t="s">
        <v>269</v>
      </c>
      <c r="E3076" s="5" t="s">
        <v>271</v>
      </c>
      <c r="F3076" s="5" t="s">
        <v>248</v>
      </c>
      <c r="G3076" s="5" t="s">
        <v>266</v>
      </c>
      <c r="H3076" s="6" t="s">
        <v>4333</v>
      </c>
      <c r="I3076" s="7">
        <f>179</f>
        <v>179</v>
      </c>
      <c r="J3076" s="5" t="s">
        <v>262</v>
      </c>
      <c r="K3076" s="8">
        <f>1</f>
        <v>1</v>
      </c>
      <c r="L3076" s="6" t="s">
        <v>242</v>
      </c>
      <c r="M3076" s="5" t="s">
        <v>267</v>
      </c>
      <c r="N3076" s="5" t="s">
        <v>265</v>
      </c>
      <c r="O3076" s="5" t="s">
        <v>238</v>
      </c>
      <c r="P3076" s="5" t="s">
        <v>238</v>
      </c>
      <c r="Q3076" s="5" t="s">
        <v>268</v>
      </c>
      <c r="R3076" s="5" t="s">
        <v>270</v>
      </c>
      <c r="S3076" s="5" t="s">
        <v>238</v>
      </c>
      <c r="V3076" s="5" t="s">
        <v>238</v>
      </c>
      <c r="X3076" s="6" t="s">
        <v>238</v>
      </c>
      <c r="AA3076" s="6" t="s">
        <v>243</v>
      </c>
      <c r="AB3076" s="5" t="s">
        <v>238</v>
      </c>
      <c r="AC3076" s="5" t="s">
        <v>244</v>
      </c>
      <c r="AD3076" s="5" t="s">
        <v>245</v>
      </c>
      <c r="AT3076" s="5" t="s">
        <v>246</v>
      </c>
      <c r="AU3076" s="5" t="s">
        <v>238</v>
      </c>
      <c r="AV3076" s="5" t="s">
        <v>247</v>
      </c>
      <c r="AW3076" s="5" t="s">
        <v>238</v>
      </c>
      <c r="AX3076" s="5" t="s">
        <v>249</v>
      </c>
      <c r="AY3076" s="5" t="s">
        <v>238</v>
      </c>
      <c r="BA3076" s="5" t="s">
        <v>238</v>
      </c>
      <c r="BC3076" s="5" t="s">
        <v>250</v>
      </c>
      <c r="BD3076" s="6" t="s">
        <v>243</v>
      </c>
      <c r="BE3076" s="5" t="s">
        <v>251</v>
      </c>
      <c r="BF3076" s="5" t="s">
        <v>252</v>
      </c>
      <c r="BG3076" s="5" t="s">
        <v>238</v>
      </c>
      <c r="BH3076" s="7">
        <f>0</f>
        <v>0</v>
      </c>
      <c r="BI3076" s="8">
        <f>0</f>
        <v>0</v>
      </c>
      <c r="BJ3076" s="5" t="s">
        <v>253</v>
      </c>
      <c r="BK3076" s="5" t="s">
        <v>254</v>
      </c>
      <c r="BY3076" s="5" t="s">
        <v>238</v>
      </c>
      <c r="BZ3076" s="5" t="s">
        <v>238</v>
      </c>
      <c r="CD3076" s="5" t="s">
        <v>273</v>
      </c>
      <c r="CE3076" s="5" t="s">
        <v>256</v>
      </c>
      <c r="CF3076" s="5" t="s">
        <v>238</v>
      </c>
      <c r="CI3076" s="6" t="s">
        <v>257</v>
      </c>
      <c r="CJ3076" s="5" t="s">
        <v>238</v>
      </c>
      <c r="CK3076" s="5" t="s">
        <v>258</v>
      </c>
      <c r="CL3076" s="5" t="s">
        <v>238</v>
      </c>
      <c r="CM3076" s="5" t="s">
        <v>238</v>
      </c>
      <c r="CN3076" s="5">
        <v>0</v>
      </c>
      <c r="CO3076" s="5" t="s">
        <v>259</v>
      </c>
      <c r="CP3076" s="5" t="s">
        <v>260</v>
      </c>
      <c r="CQ3076" s="5" t="s">
        <v>260</v>
      </c>
      <c r="CR3076" s="5" t="s">
        <v>261</v>
      </c>
      <c r="CU3076" s="8">
        <f>1</f>
        <v>1</v>
      </c>
      <c r="CV3076" s="8">
        <f>0</f>
        <v>0</v>
      </c>
      <c r="CX3076" s="8">
        <f>0</f>
        <v>0</v>
      </c>
      <c r="CY3076" s="8">
        <f>1</f>
        <v>1</v>
      </c>
      <c r="DA3076" s="5" t="s">
        <v>274</v>
      </c>
      <c r="DB3076" s="5" t="s">
        <v>238</v>
      </c>
      <c r="DD3076" s="5" t="s">
        <v>274</v>
      </c>
      <c r="DE3076" s="8">
        <f>179</f>
        <v>179</v>
      </c>
      <c r="DG3076" s="5" t="s">
        <v>238</v>
      </c>
      <c r="DH3076" s="5" t="s">
        <v>238</v>
      </c>
      <c r="DI3076" s="5" t="s">
        <v>238</v>
      </c>
      <c r="DJ3076" s="5" t="s">
        <v>238</v>
      </c>
      <c r="DN3076" s="5" t="s">
        <v>238</v>
      </c>
      <c r="DO3076" s="5" t="s">
        <v>238</v>
      </c>
      <c r="DP3076" s="5" t="s">
        <v>238</v>
      </c>
      <c r="DQ3076" s="5" t="s">
        <v>238</v>
      </c>
      <c r="DT3076" s="5" t="s">
        <v>275</v>
      </c>
      <c r="DU3076" s="5" t="s">
        <v>3642</v>
      </c>
      <c r="HM3076" s="5" t="s">
        <v>264</v>
      </c>
    </row>
    <row r="3077" spans="1:221" x14ac:dyDescent="0.4">
      <c r="A3077" s="5">
        <v>4781</v>
      </c>
      <c r="B3077" s="5">
        <v>1</v>
      </c>
      <c r="C3077" s="5">
        <v>1</v>
      </c>
      <c r="D3077" s="5" t="s">
        <v>269</v>
      </c>
      <c r="E3077" s="5" t="s">
        <v>271</v>
      </c>
      <c r="F3077" s="5" t="s">
        <v>248</v>
      </c>
      <c r="G3077" s="5" t="s">
        <v>266</v>
      </c>
      <c r="H3077" s="6" t="s">
        <v>4339</v>
      </c>
      <c r="I3077" s="7">
        <f>366</f>
        <v>366</v>
      </c>
      <c r="J3077" s="5" t="s">
        <v>262</v>
      </c>
      <c r="K3077" s="8">
        <f>1</f>
        <v>1</v>
      </c>
      <c r="L3077" s="6" t="s">
        <v>242</v>
      </c>
      <c r="M3077" s="5" t="s">
        <v>267</v>
      </c>
      <c r="N3077" s="5" t="s">
        <v>265</v>
      </c>
      <c r="O3077" s="5" t="s">
        <v>238</v>
      </c>
      <c r="P3077" s="5" t="s">
        <v>238</v>
      </c>
      <c r="Q3077" s="5" t="s">
        <v>268</v>
      </c>
      <c r="R3077" s="5" t="s">
        <v>270</v>
      </c>
      <c r="S3077" s="5" t="s">
        <v>238</v>
      </c>
      <c r="V3077" s="5" t="s">
        <v>238</v>
      </c>
      <c r="X3077" s="6" t="s">
        <v>238</v>
      </c>
      <c r="AA3077" s="6" t="s">
        <v>243</v>
      </c>
      <c r="AB3077" s="5" t="s">
        <v>238</v>
      </c>
      <c r="AC3077" s="5" t="s">
        <v>244</v>
      </c>
      <c r="AD3077" s="5" t="s">
        <v>245</v>
      </c>
      <c r="AT3077" s="5" t="s">
        <v>246</v>
      </c>
      <c r="AU3077" s="5" t="s">
        <v>238</v>
      </c>
      <c r="AV3077" s="5" t="s">
        <v>247</v>
      </c>
      <c r="AW3077" s="5" t="s">
        <v>238</v>
      </c>
      <c r="AX3077" s="5" t="s">
        <v>249</v>
      </c>
      <c r="AY3077" s="5" t="s">
        <v>238</v>
      </c>
      <c r="BA3077" s="5" t="s">
        <v>238</v>
      </c>
      <c r="BC3077" s="5" t="s">
        <v>250</v>
      </c>
      <c r="BD3077" s="6" t="s">
        <v>243</v>
      </c>
      <c r="BE3077" s="5" t="s">
        <v>251</v>
      </c>
      <c r="BF3077" s="5" t="s">
        <v>252</v>
      </c>
      <c r="BG3077" s="5" t="s">
        <v>238</v>
      </c>
      <c r="BH3077" s="7">
        <f>0</f>
        <v>0</v>
      </c>
      <c r="BI3077" s="8">
        <f>0</f>
        <v>0</v>
      </c>
      <c r="BJ3077" s="5" t="s">
        <v>253</v>
      </c>
      <c r="BK3077" s="5" t="s">
        <v>254</v>
      </c>
      <c r="BY3077" s="5" t="s">
        <v>238</v>
      </c>
      <c r="BZ3077" s="5" t="s">
        <v>238</v>
      </c>
      <c r="CD3077" s="5" t="s">
        <v>273</v>
      </c>
      <c r="CE3077" s="5" t="s">
        <v>256</v>
      </c>
      <c r="CF3077" s="5" t="s">
        <v>238</v>
      </c>
      <c r="CI3077" s="6" t="s">
        <v>257</v>
      </c>
      <c r="CJ3077" s="5" t="s">
        <v>238</v>
      </c>
      <c r="CK3077" s="5" t="s">
        <v>258</v>
      </c>
      <c r="CL3077" s="5" t="s">
        <v>238</v>
      </c>
      <c r="CM3077" s="5" t="s">
        <v>238</v>
      </c>
      <c r="CN3077" s="5">
        <v>0</v>
      </c>
      <c r="CO3077" s="5" t="s">
        <v>259</v>
      </c>
      <c r="CP3077" s="5" t="s">
        <v>260</v>
      </c>
      <c r="CQ3077" s="5" t="s">
        <v>260</v>
      </c>
      <c r="CR3077" s="5" t="s">
        <v>261</v>
      </c>
      <c r="CU3077" s="8">
        <f>1</f>
        <v>1</v>
      </c>
      <c r="CV3077" s="8">
        <f>0</f>
        <v>0</v>
      </c>
      <c r="CX3077" s="8">
        <f>0</f>
        <v>0</v>
      </c>
      <c r="CY3077" s="8">
        <f>1</f>
        <v>1</v>
      </c>
      <c r="DA3077" s="5" t="s">
        <v>274</v>
      </c>
      <c r="DB3077" s="5" t="s">
        <v>238</v>
      </c>
      <c r="DD3077" s="5" t="s">
        <v>274</v>
      </c>
      <c r="DE3077" s="8">
        <f>366</f>
        <v>366</v>
      </c>
      <c r="DG3077" s="5" t="s">
        <v>238</v>
      </c>
      <c r="DH3077" s="5" t="s">
        <v>238</v>
      </c>
      <c r="DI3077" s="5" t="s">
        <v>238</v>
      </c>
      <c r="DJ3077" s="5" t="s">
        <v>238</v>
      </c>
      <c r="DN3077" s="5" t="s">
        <v>238</v>
      </c>
      <c r="DO3077" s="5" t="s">
        <v>238</v>
      </c>
      <c r="DP3077" s="5" t="s">
        <v>238</v>
      </c>
      <c r="DQ3077" s="5" t="s">
        <v>238</v>
      </c>
      <c r="DT3077" s="5" t="s">
        <v>275</v>
      </c>
      <c r="DU3077" s="5" t="s">
        <v>3656</v>
      </c>
      <c r="HM3077" s="5" t="s">
        <v>264</v>
      </c>
    </row>
    <row r="3078" spans="1:221" x14ac:dyDescent="0.4">
      <c r="A3078" s="5">
        <v>4782</v>
      </c>
      <c r="B3078" s="5">
        <v>1</v>
      </c>
      <c r="C3078" s="5">
        <v>1</v>
      </c>
      <c r="D3078" s="5" t="s">
        <v>269</v>
      </c>
      <c r="E3078" s="5" t="s">
        <v>271</v>
      </c>
      <c r="F3078" s="5" t="s">
        <v>248</v>
      </c>
      <c r="G3078" s="5" t="s">
        <v>266</v>
      </c>
      <c r="H3078" s="6" t="s">
        <v>4346</v>
      </c>
      <c r="I3078" s="7">
        <f>513</f>
        <v>513</v>
      </c>
      <c r="J3078" s="5" t="s">
        <v>262</v>
      </c>
      <c r="K3078" s="8">
        <f>1</f>
        <v>1</v>
      </c>
      <c r="L3078" s="6" t="s">
        <v>242</v>
      </c>
      <c r="M3078" s="5" t="s">
        <v>267</v>
      </c>
      <c r="N3078" s="5" t="s">
        <v>265</v>
      </c>
      <c r="O3078" s="5" t="s">
        <v>238</v>
      </c>
      <c r="P3078" s="5" t="s">
        <v>238</v>
      </c>
      <c r="Q3078" s="5" t="s">
        <v>268</v>
      </c>
      <c r="R3078" s="5" t="s">
        <v>270</v>
      </c>
      <c r="S3078" s="5" t="s">
        <v>238</v>
      </c>
      <c r="V3078" s="5" t="s">
        <v>238</v>
      </c>
      <c r="X3078" s="6" t="s">
        <v>238</v>
      </c>
      <c r="AA3078" s="6" t="s">
        <v>243</v>
      </c>
      <c r="AB3078" s="5" t="s">
        <v>238</v>
      </c>
      <c r="AC3078" s="5" t="s">
        <v>244</v>
      </c>
      <c r="AD3078" s="5" t="s">
        <v>245</v>
      </c>
      <c r="AT3078" s="5" t="s">
        <v>246</v>
      </c>
      <c r="AU3078" s="5" t="s">
        <v>238</v>
      </c>
      <c r="AV3078" s="5" t="s">
        <v>247</v>
      </c>
      <c r="AW3078" s="5" t="s">
        <v>238</v>
      </c>
      <c r="AX3078" s="5" t="s">
        <v>249</v>
      </c>
      <c r="AY3078" s="5" t="s">
        <v>238</v>
      </c>
      <c r="BA3078" s="5" t="s">
        <v>238</v>
      </c>
      <c r="BC3078" s="5" t="s">
        <v>250</v>
      </c>
      <c r="BD3078" s="6" t="s">
        <v>243</v>
      </c>
      <c r="BE3078" s="5" t="s">
        <v>251</v>
      </c>
      <c r="BF3078" s="5" t="s">
        <v>252</v>
      </c>
      <c r="BG3078" s="5" t="s">
        <v>238</v>
      </c>
      <c r="BH3078" s="7">
        <f>0</f>
        <v>0</v>
      </c>
      <c r="BI3078" s="8">
        <f>0</f>
        <v>0</v>
      </c>
      <c r="BJ3078" s="5" t="s">
        <v>253</v>
      </c>
      <c r="BK3078" s="5" t="s">
        <v>254</v>
      </c>
      <c r="BY3078" s="5" t="s">
        <v>238</v>
      </c>
      <c r="BZ3078" s="5" t="s">
        <v>238</v>
      </c>
      <c r="CD3078" s="5" t="s">
        <v>273</v>
      </c>
      <c r="CE3078" s="5" t="s">
        <v>256</v>
      </c>
      <c r="CF3078" s="5" t="s">
        <v>238</v>
      </c>
      <c r="CI3078" s="6" t="s">
        <v>257</v>
      </c>
      <c r="CJ3078" s="5" t="s">
        <v>238</v>
      </c>
      <c r="CK3078" s="5" t="s">
        <v>258</v>
      </c>
      <c r="CL3078" s="5" t="s">
        <v>238</v>
      </c>
      <c r="CM3078" s="5" t="s">
        <v>238</v>
      </c>
      <c r="CN3078" s="5">
        <v>0</v>
      </c>
      <c r="CO3078" s="5" t="s">
        <v>259</v>
      </c>
      <c r="CP3078" s="5" t="s">
        <v>260</v>
      </c>
      <c r="CQ3078" s="5" t="s">
        <v>260</v>
      </c>
      <c r="CR3078" s="5" t="s">
        <v>261</v>
      </c>
      <c r="CU3078" s="8">
        <f>1</f>
        <v>1</v>
      </c>
      <c r="CV3078" s="8">
        <f>0</f>
        <v>0</v>
      </c>
      <c r="CX3078" s="8">
        <f>0</f>
        <v>0</v>
      </c>
      <c r="CY3078" s="8">
        <f>1</f>
        <v>1</v>
      </c>
      <c r="DA3078" s="5" t="s">
        <v>274</v>
      </c>
      <c r="DB3078" s="5" t="s">
        <v>238</v>
      </c>
      <c r="DD3078" s="5" t="s">
        <v>274</v>
      </c>
      <c r="DE3078" s="8">
        <f>513</f>
        <v>513</v>
      </c>
      <c r="DG3078" s="5" t="s">
        <v>238</v>
      </c>
      <c r="DH3078" s="5" t="s">
        <v>238</v>
      </c>
      <c r="DI3078" s="5" t="s">
        <v>238</v>
      </c>
      <c r="DJ3078" s="5" t="s">
        <v>238</v>
      </c>
      <c r="DN3078" s="5" t="s">
        <v>238</v>
      </c>
      <c r="DO3078" s="5" t="s">
        <v>238</v>
      </c>
      <c r="DP3078" s="5" t="s">
        <v>238</v>
      </c>
      <c r="DQ3078" s="5" t="s">
        <v>238</v>
      </c>
      <c r="DT3078" s="5" t="s">
        <v>275</v>
      </c>
      <c r="DU3078" s="5" t="s">
        <v>3669</v>
      </c>
      <c r="HM3078" s="5" t="s">
        <v>264</v>
      </c>
    </row>
    <row r="3079" spans="1:221" x14ac:dyDescent="0.4">
      <c r="A3079" s="5">
        <v>4783</v>
      </c>
      <c r="B3079" s="5">
        <v>1</v>
      </c>
      <c r="C3079" s="5">
        <v>1</v>
      </c>
      <c r="D3079" s="5" t="s">
        <v>269</v>
      </c>
      <c r="E3079" s="5" t="s">
        <v>271</v>
      </c>
      <c r="F3079" s="5" t="s">
        <v>248</v>
      </c>
      <c r="G3079" s="5" t="s">
        <v>266</v>
      </c>
      <c r="H3079" s="6" t="s">
        <v>4353</v>
      </c>
      <c r="I3079" s="7">
        <f>1692</f>
        <v>1692</v>
      </c>
      <c r="J3079" s="5" t="s">
        <v>262</v>
      </c>
      <c r="K3079" s="8">
        <f>1</f>
        <v>1</v>
      </c>
      <c r="L3079" s="6" t="s">
        <v>242</v>
      </c>
      <c r="M3079" s="5" t="s">
        <v>267</v>
      </c>
      <c r="N3079" s="5" t="s">
        <v>265</v>
      </c>
      <c r="O3079" s="5" t="s">
        <v>238</v>
      </c>
      <c r="P3079" s="5" t="s">
        <v>238</v>
      </c>
      <c r="Q3079" s="5" t="s">
        <v>268</v>
      </c>
      <c r="R3079" s="5" t="s">
        <v>270</v>
      </c>
      <c r="S3079" s="5" t="s">
        <v>238</v>
      </c>
      <c r="V3079" s="5" t="s">
        <v>238</v>
      </c>
      <c r="X3079" s="6" t="s">
        <v>238</v>
      </c>
      <c r="AA3079" s="6" t="s">
        <v>243</v>
      </c>
      <c r="AB3079" s="5" t="s">
        <v>238</v>
      </c>
      <c r="AC3079" s="5" t="s">
        <v>244</v>
      </c>
      <c r="AD3079" s="5" t="s">
        <v>245</v>
      </c>
      <c r="AT3079" s="5" t="s">
        <v>246</v>
      </c>
      <c r="AU3079" s="5" t="s">
        <v>238</v>
      </c>
      <c r="AV3079" s="5" t="s">
        <v>247</v>
      </c>
      <c r="AW3079" s="5" t="s">
        <v>238</v>
      </c>
      <c r="AX3079" s="5" t="s">
        <v>249</v>
      </c>
      <c r="AY3079" s="5" t="s">
        <v>238</v>
      </c>
      <c r="BA3079" s="5" t="s">
        <v>238</v>
      </c>
      <c r="BC3079" s="5" t="s">
        <v>250</v>
      </c>
      <c r="BD3079" s="6" t="s">
        <v>243</v>
      </c>
      <c r="BE3079" s="5" t="s">
        <v>251</v>
      </c>
      <c r="BF3079" s="5" t="s">
        <v>252</v>
      </c>
      <c r="BG3079" s="5" t="s">
        <v>238</v>
      </c>
      <c r="BH3079" s="7">
        <f>0</f>
        <v>0</v>
      </c>
      <c r="BI3079" s="8">
        <f>0</f>
        <v>0</v>
      </c>
      <c r="BJ3079" s="5" t="s">
        <v>253</v>
      </c>
      <c r="BK3079" s="5" t="s">
        <v>254</v>
      </c>
      <c r="BY3079" s="5" t="s">
        <v>238</v>
      </c>
      <c r="BZ3079" s="5" t="s">
        <v>238</v>
      </c>
      <c r="CD3079" s="5" t="s">
        <v>273</v>
      </c>
      <c r="CE3079" s="5" t="s">
        <v>256</v>
      </c>
      <c r="CF3079" s="5" t="s">
        <v>238</v>
      </c>
      <c r="CI3079" s="6" t="s">
        <v>257</v>
      </c>
      <c r="CJ3079" s="5" t="s">
        <v>238</v>
      </c>
      <c r="CK3079" s="5" t="s">
        <v>258</v>
      </c>
      <c r="CL3079" s="5" t="s">
        <v>238</v>
      </c>
      <c r="CM3079" s="5" t="s">
        <v>238</v>
      </c>
      <c r="CN3079" s="5">
        <v>0</v>
      </c>
      <c r="CO3079" s="5" t="s">
        <v>259</v>
      </c>
      <c r="CP3079" s="5" t="s">
        <v>260</v>
      </c>
      <c r="CQ3079" s="5" t="s">
        <v>260</v>
      </c>
      <c r="CR3079" s="5" t="s">
        <v>261</v>
      </c>
      <c r="CU3079" s="8">
        <f>1</f>
        <v>1</v>
      </c>
      <c r="CV3079" s="8">
        <f>0</f>
        <v>0</v>
      </c>
      <c r="CX3079" s="8">
        <f>0</f>
        <v>0</v>
      </c>
      <c r="CY3079" s="8">
        <f>1</f>
        <v>1</v>
      </c>
      <c r="DA3079" s="5" t="s">
        <v>274</v>
      </c>
      <c r="DB3079" s="5" t="s">
        <v>238</v>
      </c>
      <c r="DD3079" s="5" t="s">
        <v>274</v>
      </c>
      <c r="DE3079" s="8">
        <f>1692</f>
        <v>1692</v>
      </c>
      <c r="DG3079" s="5" t="s">
        <v>238</v>
      </c>
      <c r="DH3079" s="5" t="s">
        <v>238</v>
      </c>
      <c r="DI3079" s="5" t="s">
        <v>238</v>
      </c>
      <c r="DJ3079" s="5" t="s">
        <v>238</v>
      </c>
      <c r="DN3079" s="5" t="s">
        <v>238</v>
      </c>
      <c r="DO3079" s="5" t="s">
        <v>238</v>
      </c>
      <c r="DP3079" s="5" t="s">
        <v>238</v>
      </c>
      <c r="DQ3079" s="5" t="s">
        <v>238</v>
      </c>
      <c r="DT3079" s="5" t="s">
        <v>275</v>
      </c>
      <c r="DU3079" s="5" t="s">
        <v>3678</v>
      </c>
      <c r="HM3079" s="5" t="s">
        <v>264</v>
      </c>
    </row>
    <row r="3080" spans="1:221" x14ac:dyDescent="0.4">
      <c r="A3080" s="5">
        <v>4784</v>
      </c>
      <c r="B3080" s="5">
        <v>1</v>
      </c>
      <c r="C3080" s="5">
        <v>1</v>
      </c>
      <c r="D3080" s="5" t="s">
        <v>269</v>
      </c>
      <c r="E3080" s="5" t="s">
        <v>271</v>
      </c>
      <c r="F3080" s="5" t="s">
        <v>248</v>
      </c>
      <c r="G3080" s="5" t="s">
        <v>266</v>
      </c>
      <c r="H3080" s="6" t="s">
        <v>4358</v>
      </c>
      <c r="I3080" s="7">
        <f>1068</f>
        <v>1068</v>
      </c>
      <c r="J3080" s="5" t="s">
        <v>262</v>
      </c>
      <c r="K3080" s="8">
        <f>1</f>
        <v>1</v>
      </c>
      <c r="L3080" s="6" t="s">
        <v>242</v>
      </c>
      <c r="M3080" s="5" t="s">
        <v>267</v>
      </c>
      <c r="N3080" s="5" t="s">
        <v>265</v>
      </c>
      <c r="O3080" s="5" t="s">
        <v>238</v>
      </c>
      <c r="P3080" s="5" t="s">
        <v>238</v>
      </c>
      <c r="Q3080" s="5" t="s">
        <v>268</v>
      </c>
      <c r="R3080" s="5" t="s">
        <v>270</v>
      </c>
      <c r="S3080" s="5" t="s">
        <v>238</v>
      </c>
      <c r="V3080" s="5" t="s">
        <v>238</v>
      </c>
      <c r="X3080" s="6" t="s">
        <v>238</v>
      </c>
      <c r="AA3080" s="6" t="s">
        <v>243</v>
      </c>
      <c r="AB3080" s="5" t="s">
        <v>238</v>
      </c>
      <c r="AC3080" s="5" t="s">
        <v>244</v>
      </c>
      <c r="AD3080" s="5" t="s">
        <v>245</v>
      </c>
      <c r="AT3080" s="5" t="s">
        <v>246</v>
      </c>
      <c r="AU3080" s="5" t="s">
        <v>238</v>
      </c>
      <c r="AV3080" s="5" t="s">
        <v>247</v>
      </c>
      <c r="AW3080" s="5" t="s">
        <v>238</v>
      </c>
      <c r="AX3080" s="5" t="s">
        <v>249</v>
      </c>
      <c r="AY3080" s="5" t="s">
        <v>238</v>
      </c>
      <c r="BA3080" s="5" t="s">
        <v>238</v>
      </c>
      <c r="BC3080" s="5" t="s">
        <v>250</v>
      </c>
      <c r="BD3080" s="6" t="s">
        <v>243</v>
      </c>
      <c r="BE3080" s="5" t="s">
        <v>251</v>
      </c>
      <c r="BF3080" s="5" t="s">
        <v>252</v>
      </c>
      <c r="BG3080" s="5" t="s">
        <v>238</v>
      </c>
      <c r="BH3080" s="7">
        <f>0</f>
        <v>0</v>
      </c>
      <c r="BI3080" s="8">
        <f>0</f>
        <v>0</v>
      </c>
      <c r="BJ3080" s="5" t="s">
        <v>253</v>
      </c>
      <c r="BK3080" s="5" t="s">
        <v>254</v>
      </c>
      <c r="BY3080" s="5" t="s">
        <v>238</v>
      </c>
      <c r="BZ3080" s="5" t="s">
        <v>238</v>
      </c>
      <c r="CD3080" s="5" t="s">
        <v>273</v>
      </c>
      <c r="CE3080" s="5" t="s">
        <v>256</v>
      </c>
      <c r="CF3080" s="5" t="s">
        <v>238</v>
      </c>
      <c r="CI3080" s="6" t="s">
        <v>257</v>
      </c>
      <c r="CJ3080" s="5" t="s">
        <v>238</v>
      </c>
      <c r="CK3080" s="5" t="s">
        <v>258</v>
      </c>
      <c r="CL3080" s="5" t="s">
        <v>238</v>
      </c>
      <c r="CM3080" s="5" t="s">
        <v>238</v>
      </c>
      <c r="CN3080" s="5">
        <v>0</v>
      </c>
      <c r="CO3080" s="5" t="s">
        <v>259</v>
      </c>
      <c r="CP3080" s="5" t="s">
        <v>260</v>
      </c>
      <c r="CQ3080" s="5" t="s">
        <v>260</v>
      </c>
      <c r="CR3080" s="5" t="s">
        <v>261</v>
      </c>
      <c r="CU3080" s="8">
        <f>1</f>
        <v>1</v>
      </c>
      <c r="CV3080" s="8">
        <f>0</f>
        <v>0</v>
      </c>
      <c r="CX3080" s="8">
        <f>0</f>
        <v>0</v>
      </c>
      <c r="CY3080" s="8">
        <f>1</f>
        <v>1</v>
      </c>
      <c r="DA3080" s="5" t="s">
        <v>274</v>
      </c>
      <c r="DB3080" s="5" t="s">
        <v>238</v>
      </c>
      <c r="DD3080" s="5" t="s">
        <v>274</v>
      </c>
      <c r="DE3080" s="8">
        <f>1068</f>
        <v>1068</v>
      </c>
      <c r="DG3080" s="5" t="s">
        <v>238</v>
      </c>
      <c r="DH3080" s="5" t="s">
        <v>238</v>
      </c>
      <c r="DI3080" s="5" t="s">
        <v>238</v>
      </c>
      <c r="DJ3080" s="5" t="s">
        <v>238</v>
      </c>
      <c r="DN3080" s="5" t="s">
        <v>238</v>
      </c>
      <c r="DO3080" s="5" t="s">
        <v>238</v>
      </c>
      <c r="DP3080" s="5" t="s">
        <v>238</v>
      </c>
      <c r="DQ3080" s="5" t="s">
        <v>238</v>
      </c>
      <c r="DT3080" s="5" t="s">
        <v>275</v>
      </c>
      <c r="DU3080" s="5" t="s">
        <v>3689</v>
      </c>
      <c r="HM3080" s="5" t="s">
        <v>264</v>
      </c>
    </row>
    <row r="3081" spans="1:221" x14ac:dyDescent="0.4">
      <c r="A3081" s="5">
        <v>4785</v>
      </c>
      <c r="B3081" s="5">
        <v>1</v>
      </c>
      <c r="C3081" s="5">
        <v>1</v>
      </c>
      <c r="D3081" s="5" t="s">
        <v>269</v>
      </c>
      <c r="E3081" s="5" t="s">
        <v>271</v>
      </c>
      <c r="F3081" s="5" t="s">
        <v>248</v>
      </c>
      <c r="G3081" s="5" t="s">
        <v>266</v>
      </c>
      <c r="H3081" s="6" t="s">
        <v>4364</v>
      </c>
      <c r="I3081" s="7">
        <f>1005</f>
        <v>1005</v>
      </c>
      <c r="J3081" s="5" t="s">
        <v>262</v>
      </c>
      <c r="K3081" s="8">
        <f>1</f>
        <v>1</v>
      </c>
      <c r="L3081" s="6" t="s">
        <v>242</v>
      </c>
      <c r="M3081" s="5" t="s">
        <v>267</v>
      </c>
      <c r="N3081" s="5" t="s">
        <v>265</v>
      </c>
      <c r="O3081" s="5" t="s">
        <v>238</v>
      </c>
      <c r="P3081" s="5" t="s">
        <v>238</v>
      </c>
      <c r="Q3081" s="5" t="s">
        <v>268</v>
      </c>
      <c r="R3081" s="5" t="s">
        <v>270</v>
      </c>
      <c r="S3081" s="5" t="s">
        <v>238</v>
      </c>
      <c r="V3081" s="5" t="s">
        <v>238</v>
      </c>
      <c r="X3081" s="6" t="s">
        <v>238</v>
      </c>
      <c r="AA3081" s="6" t="s">
        <v>243</v>
      </c>
      <c r="AB3081" s="5" t="s">
        <v>238</v>
      </c>
      <c r="AC3081" s="5" t="s">
        <v>244</v>
      </c>
      <c r="AD3081" s="5" t="s">
        <v>245</v>
      </c>
      <c r="AT3081" s="5" t="s">
        <v>246</v>
      </c>
      <c r="AU3081" s="5" t="s">
        <v>238</v>
      </c>
      <c r="AV3081" s="5" t="s">
        <v>247</v>
      </c>
      <c r="AW3081" s="5" t="s">
        <v>238</v>
      </c>
      <c r="AX3081" s="5" t="s">
        <v>249</v>
      </c>
      <c r="AY3081" s="5" t="s">
        <v>238</v>
      </c>
      <c r="BA3081" s="5" t="s">
        <v>238</v>
      </c>
      <c r="BC3081" s="5" t="s">
        <v>250</v>
      </c>
      <c r="BD3081" s="6" t="s">
        <v>243</v>
      </c>
      <c r="BE3081" s="5" t="s">
        <v>251</v>
      </c>
      <c r="BF3081" s="5" t="s">
        <v>252</v>
      </c>
      <c r="BG3081" s="5" t="s">
        <v>238</v>
      </c>
      <c r="BH3081" s="7">
        <f>0</f>
        <v>0</v>
      </c>
      <c r="BI3081" s="8">
        <f>0</f>
        <v>0</v>
      </c>
      <c r="BJ3081" s="5" t="s">
        <v>253</v>
      </c>
      <c r="BK3081" s="5" t="s">
        <v>254</v>
      </c>
      <c r="BY3081" s="5" t="s">
        <v>238</v>
      </c>
      <c r="BZ3081" s="5" t="s">
        <v>238</v>
      </c>
      <c r="CD3081" s="5" t="s">
        <v>273</v>
      </c>
      <c r="CE3081" s="5" t="s">
        <v>256</v>
      </c>
      <c r="CF3081" s="5" t="s">
        <v>238</v>
      </c>
      <c r="CI3081" s="6" t="s">
        <v>257</v>
      </c>
      <c r="CJ3081" s="5" t="s">
        <v>238</v>
      </c>
      <c r="CK3081" s="5" t="s">
        <v>258</v>
      </c>
      <c r="CL3081" s="5" t="s">
        <v>238</v>
      </c>
      <c r="CM3081" s="5" t="s">
        <v>238</v>
      </c>
      <c r="CN3081" s="5">
        <v>0</v>
      </c>
      <c r="CO3081" s="5" t="s">
        <v>259</v>
      </c>
      <c r="CP3081" s="5" t="s">
        <v>260</v>
      </c>
      <c r="CQ3081" s="5" t="s">
        <v>260</v>
      </c>
      <c r="CR3081" s="5" t="s">
        <v>261</v>
      </c>
      <c r="CU3081" s="8">
        <f>1</f>
        <v>1</v>
      </c>
      <c r="CV3081" s="8">
        <f>0</f>
        <v>0</v>
      </c>
      <c r="CX3081" s="8">
        <f>0</f>
        <v>0</v>
      </c>
      <c r="CY3081" s="8">
        <f>1</f>
        <v>1</v>
      </c>
      <c r="DA3081" s="5" t="s">
        <v>274</v>
      </c>
      <c r="DB3081" s="5" t="s">
        <v>238</v>
      </c>
      <c r="DD3081" s="5" t="s">
        <v>274</v>
      </c>
      <c r="DE3081" s="8">
        <f>1005</f>
        <v>1005</v>
      </c>
      <c r="DG3081" s="5" t="s">
        <v>238</v>
      </c>
      <c r="DH3081" s="5" t="s">
        <v>238</v>
      </c>
      <c r="DI3081" s="5" t="s">
        <v>238</v>
      </c>
      <c r="DJ3081" s="5" t="s">
        <v>238</v>
      </c>
      <c r="DN3081" s="5" t="s">
        <v>238</v>
      </c>
      <c r="DO3081" s="5" t="s">
        <v>238</v>
      </c>
      <c r="DP3081" s="5" t="s">
        <v>238</v>
      </c>
      <c r="DQ3081" s="5" t="s">
        <v>238</v>
      </c>
      <c r="DT3081" s="5" t="s">
        <v>275</v>
      </c>
      <c r="DU3081" s="5" t="s">
        <v>3722</v>
      </c>
      <c r="HM3081" s="5" t="s">
        <v>264</v>
      </c>
    </row>
    <row r="3082" spans="1:221" x14ac:dyDescent="0.4">
      <c r="A3082" s="5">
        <v>4786</v>
      </c>
      <c r="B3082" s="5">
        <v>1</v>
      </c>
      <c r="C3082" s="5">
        <v>1</v>
      </c>
      <c r="D3082" s="5" t="s">
        <v>269</v>
      </c>
      <c r="E3082" s="5" t="s">
        <v>271</v>
      </c>
      <c r="F3082" s="5" t="s">
        <v>248</v>
      </c>
      <c r="G3082" s="5" t="s">
        <v>266</v>
      </c>
      <c r="H3082" s="6" t="s">
        <v>2022</v>
      </c>
      <c r="I3082" s="7">
        <f>532</f>
        <v>532</v>
      </c>
      <c r="J3082" s="5" t="s">
        <v>262</v>
      </c>
      <c r="K3082" s="8">
        <f>1</f>
        <v>1</v>
      </c>
      <c r="L3082" s="6" t="s">
        <v>242</v>
      </c>
      <c r="M3082" s="5" t="s">
        <v>267</v>
      </c>
      <c r="N3082" s="5" t="s">
        <v>265</v>
      </c>
      <c r="O3082" s="5" t="s">
        <v>238</v>
      </c>
      <c r="P3082" s="5" t="s">
        <v>238</v>
      </c>
      <c r="Q3082" s="5" t="s">
        <v>268</v>
      </c>
      <c r="R3082" s="5" t="s">
        <v>270</v>
      </c>
      <c r="S3082" s="5" t="s">
        <v>238</v>
      </c>
      <c r="V3082" s="5" t="s">
        <v>238</v>
      </c>
      <c r="X3082" s="6" t="s">
        <v>238</v>
      </c>
      <c r="AA3082" s="6" t="s">
        <v>243</v>
      </c>
      <c r="AB3082" s="5" t="s">
        <v>238</v>
      </c>
      <c r="AC3082" s="5" t="s">
        <v>244</v>
      </c>
      <c r="AD3082" s="5" t="s">
        <v>245</v>
      </c>
      <c r="AT3082" s="5" t="s">
        <v>246</v>
      </c>
      <c r="AU3082" s="5" t="s">
        <v>238</v>
      </c>
      <c r="AV3082" s="5" t="s">
        <v>247</v>
      </c>
      <c r="AW3082" s="5" t="s">
        <v>238</v>
      </c>
      <c r="AX3082" s="5" t="s">
        <v>249</v>
      </c>
      <c r="AY3082" s="5" t="s">
        <v>238</v>
      </c>
      <c r="BA3082" s="5" t="s">
        <v>238</v>
      </c>
      <c r="BC3082" s="5" t="s">
        <v>250</v>
      </c>
      <c r="BD3082" s="6" t="s">
        <v>243</v>
      </c>
      <c r="BE3082" s="5" t="s">
        <v>251</v>
      </c>
      <c r="BF3082" s="5" t="s">
        <v>252</v>
      </c>
      <c r="BG3082" s="5" t="s">
        <v>238</v>
      </c>
      <c r="BH3082" s="7">
        <f>0</f>
        <v>0</v>
      </c>
      <c r="BI3082" s="8">
        <f>0</f>
        <v>0</v>
      </c>
      <c r="BJ3082" s="5" t="s">
        <v>253</v>
      </c>
      <c r="BK3082" s="5" t="s">
        <v>254</v>
      </c>
      <c r="BY3082" s="5" t="s">
        <v>238</v>
      </c>
      <c r="BZ3082" s="5" t="s">
        <v>238</v>
      </c>
      <c r="CD3082" s="5" t="s">
        <v>273</v>
      </c>
      <c r="CE3082" s="5" t="s">
        <v>256</v>
      </c>
      <c r="CF3082" s="5" t="s">
        <v>238</v>
      </c>
      <c r="CI3082" s="6" t="s">
        <v>257</v>
      </c>
      <c r="CJ3082" s="5" t="s">
        <v>238</v>
      </c>
      <c r="CK3082" s="5" t="s">
        <v>258</v>
      </c>
      <c r="CL3082" s="5" t="s">
        <v>238</v>
      </c>
      <c r="CM3082" s="5" t="s">
        <v>238</v>
      </c>
      <c r="CN3082" s="5">
        <v>0</v>
      </c>
      <c r="CO3082" s="5" t="s">
        <v>259</v>
      </c>
      <c r="CP3082" s="5" t="s">
        <v>260</v>
      </c>
      <c r="CQ3082" s="5" t="s">
        <v>260</v>
      </c>
      <c r="CR3082" s="5" t="s">
        <v>261</v>
      </c>
      <c r="CU3082" s="8">
        <f>1</f>
        <v>1</v>
      </c>
      <c r="CV3082" s="8">
        <f>0</f>
        <v>0</v>
      </c>
      <c r="CX3082" s="8">
        <f>0</f>
        <v>0</v>
      </c>
      <c r="CY3082" s="8">
        <f>1</f>
        <v>1</v>
      </c>
      <c r="DA3082" s="5" t="s">
        <v>274</v>
      </c>
      <c r="DB3082" s="5" t="s">
        <v>238</v>
      </c>
      <c r="DD3082" s="5" t="s">
        <v>274</v>
      </c>
      <c r="DE3082" s="8">
        <f>532</f>
        <v>532</v>
      </c>
      <c r="DG3082" s="5" t="s">
        <v>238</v>
      </c>
      <c r="DH3082" s="5" t="s">
        <v>238</v>
      </c>
      <c r="DI3082" s="5" t="s">
        <v>238</v>
      </c>
      <c r="DJ3082" s="5" t="s">
        <v>238</v>
      </c>
      <c r="DN3082" s="5" t="s">
        <v>238</v>
      </c>
      <c r="DO3082" s="5" t="s">
        <v>238</v>
      </c>
      <c r="DP3082" s="5" t="s">
        <v>238</v>
      </c>
      <c r="DQ3082" s="5" t="s">
        <v>238</v>
      </c>
      <c r="DT3082" s="5" t="s">
        <v>275</v>
      </c>
      <c r="DU3082" s="5" t="s">
        <v>2023</v>
      </c>
      <c r="HM3082" s="5" t="s">
        <v>264</v>
      </c>
    </row>
    <row r="3083" spans="1:221" x14ac:dyDescent="0.4">
      <c r="A3083" s="5">
        <v>4787</v>
      </c>
      <c r="B3083" s="5">
        <v>1</v>
      </c>
      <c r="C3083" s="5">
        <v>1</v>
      </c>
      <c r="D3083" s="5" t="s">
        <v>269</v>
      </c>
      <c r="E3083" s="5" t="s">
        <v>271</v>
      </c>
      <c r="F3083" s="5" t="s">
        <v>248</v>
      </c>
      <c r="G3083" s="5" t="s">
        <v>266</v>
      </c>
      <c r="H3083" s="6" t="s">
        <v>2016</v>
      </c>
      <c r="I3083" s="7">
        <f>1273</f>
        <v>1273</v>
      </c>
      <c r="J3083" s="5" t="s">
        <v>262</v>
      </c>
      <c r="K3083" s="8">
        <f>1</f>
        <v>1</v>
      </c>
      <c r="L3083" s="6" t="s">
        <v>242</v>
      </c>
      <c r="M3083" s="5" t="s">
        <v>267</v>
      </c>
      <c r="N3083" s="5" t="s">
        <v>265</v>
      </c>
      <c r="O3083" s="5" t="s">
        <v>238</v>
      </c>
      <c r="P3083" s="5" t="s">
        <v>238</v>
      </c>
      <c r="Q3083" s="5" t="s">
        <v>268</v>
      </c>
      <c r="R3083" s="5" t="s">
        <v>270</v>
      </c>
      <c r="S3083" s="5" t="s">
        <v>238</v>
      </c>
      <c r="V3083" s="5" t="s">
        <v>238</v>
      </c>
      <c r="X3083" s="6" t="s">
        <v>238</v>
      </c>
      <c r="AA3083" s="6" t="s">
        <v>243</v>
      </c>
      <c r="AB3083" s="5" t="s">
        <v>238</v>
      </c>
      <c r="AC3083" s="5" t="s">
        <v>244</v>
      </c>
      <c r="AD3083" s="5" t="s">
        <v>245</v>
      </c>
      <c r="AT3083" s="5" t="s">
        <v>246</v>
      </c>
      <c r="AU3083" s="5" t="s">
        <v>238</v>
      </c>
      <c r="AV3083" s="5" t="s">
        <v>247</v>
      </c>
      <c r="AW3083" s="5" t="s">
        <v>238</v>
      </c>
      <c r="AX3083" s="5" t="s">
        <v>249</v>
      </c>
      <c r="AY3083" s="5" t="s">
        <v>238</v>
      </c>
      <c r="BA3083" s="5" t="s">
        <v>238</v>
      </c>
      <c r="BC3083" s="5" t="s">
        <v>250</v>
      </c>
      <c r="BD3083" s="6" t="s">
        <v>243</v>
      </c>
      <c r="BE3083" s="5" t="s">
        <v>251</v>
      </c>
      <c r="BF3083" s="5" t="s">
        <v>252</v>
      </c>
      <c r="BG3083" s="5" t="s">
        <v>238</v>
      </c>
      <c r="BH3083" s="7">
        <f>0</f>
        <v>0</v>
      </c>
      <c r="BI3083" s="8">
        <f>0</f>
        <v>0</v>
      </c>
      <c r="BJ3083" s="5" t="s">
        <v>253</v>
      </c>
      <c r="BK3083" s="5" t="s">
        <v>254</v>
      </c>
      <c r="BY3083" s="5" t="s">
        <v>238</v>
      </c>
      <c r="BZ3083" s="5" t="s">
        <v>238</v>
      </c>
      <c r="CD3083" s="5" t="s">
        <v>273</v>
      </c>
      <c r="CE3083" s="5" t="s">
        <v>256</v>
      </c>
      <c r="CF3083" s="5" t="s">
        <v>238</v>
      </c>
      <c r="CI3083" s="6" t="s">
        <v>257</v>
      </c>
      <c r="CJ3083" s="5" t="s">
        <v>238</v>
      </c>
      <c r="CK3083" s="5" t="s">
        <v>258</v>
      </c>
      <c r="CL3083" s="5" t="s">
        <v>238</v>
      </c>
      <c r="CM3083" s="5" t="s">
        <v>238</v>
      </c>
      <c r="CN3083" s="5">
        <v>0</v>
      </c>
      <c r="CO3083" s="5" t="s">
        <v>259</v>
      </c>
      <c r="CP3083" s="5" t="s">
        <v>260</v>
      </c>
      <c r="CQ3083" s="5" t="s">
        <v>260</v>
      </c>
      <c r="CR3083" s="5" t="s">
        <v>261</v>
      </c>
      <c r="CU3083" s="8">
        <f>1</f>
        <v>1</v>
      </c>
      <c r="CV3083" s="8">
        <f>0</f>
        <v>0</v>
      </c>
      <c r="CX3083" s="8">
        <f>0</f>
        <v>0</v>
      </c>
      <c r="CY3083" s="8">
        <f>1</f>
        <v>1</v>
      </c>
      <c r="DA3083" s="5" t="s">
        <v>274</v>
      </c>
      <c r="DB3083" s="5" t="s">
        <v>238</v>
      </c>
      <c r="DD3083" s="5" t="s">
        <v>274</v>
      </c>
      <c r="DE3083" s="8">
        <f>1273</f>
        <v>1273</v>
      </c>
      <c r="DG3083" s="5" t="s">
        <v>238</v>
      </c>
      <c r="DH3083" s="5" t="s">
        <v>238</v>
      </c>
      <c r="DI3083" s="5" t="s">
        <v>238</v>
      </c>
      <c r="DJ3083" s="5" t="s">
        <v>238</v>
      </c>
      <c r="DN3083" s="5" t="s">
        <v>238</v>
      </c>
      <c r="DO3083" s="5" t="s">
        <v>238</v>
      </c>
      <c r="DP3083" s="5" t="s">
        <v>238</v>
      </c>
      <c r="DQ3083" s="5" t="s">
        <v>238</v>
      </c>
      <c r="DT3083" s="5" t="s">
        <v>275</v>
      </c>
      <c r="DU3083" s="5" t="s">
        <v>2017</v>
      </c>
      <c r="HM3083" s="5" t="s">
        <v>264</v>
      </c>
    </row>
    <row r="3084" spans="1:221" x14ac:dyDescent="0.4">
      <c r="A3084" s="5">
        <v>4788</v>
      </c>
      <c r="B3084" s="5">
        <v>1</v>
      </c>
      <c r="C3084" s="5">
        <v>1</v>
      </c>
      <c r="D3084" s="5" t="s">
        <v>269</v>
      </c>
      <c r="E3084" s="5" t="s">
        <v>271</v>
      </c>
      <c r="F3084" s="5" t="s">
        <v>248</v>
      </c>
      <c r="G3084" s="5" t="s">
        <v>266</v>
      </c>
      <c r="H3084" s="6" t="s">
        <v>2006</v>
      </c>
      <c r="I3084" s="7">
        <f>654</f>
        <v>654</v>
      </c>
      <c r="J3084" s="5" t="s">
        <v>262</v>
      </c>
      <c r="K3084" s="8">
        <f>1</f>
        <v>1</v>
      </c>
      <c r="L3084" s="6" t="s">
        <v>242</v>
      </c>
      <c r="M3084" s="5" t="s">
        <v>267</v>
      </c>
      <c r="N3084" s="5" t="s">
        <v>265</v>
      </c>
      <c r="O3084" s="5" t="s">
        <v>238</v>
      </c>
      <c r="P3084" s="5" t="s">
        <v>238</v>
      </c>
      <c r="Q3084" s="5" t="s">
        <v>268</v>
      </c>
      <c r="R3084" s="5" t="s">
        <v>270</v>
      </c>
      <c r="S3084" s="5" t="s">
        <v>238</v>
      </c>
      <c r="V3084" s="5" t="s">
        <v>238</v>
      </c>
      <c r="X3084" s="6" t="s">
        <v>238</v>
      </c>
      <c r="AA3084" s="6" t="s">
        <v>243</v>
      </c>
      <c r="AB3084" s="5" t="s">
        <v>238</v>
      </c>
      <c r="AC3084" s="5" t="s">
        <v>244</v>
      </c>
      <c r="AD3084" s="5" t="s">
        <v>245</v>
      </c>
      <c r="AT3084" s="5" t="s">
        <v>246</v>
      </c>
      <c r="AU3084" s="5" t="s">
        <v>238</v>
      </c>
      <c r="AV3084" s="5" t="s">
        <v>247</v>
      </c>
      <c r="AW3084" s="5" t="s">
        <v>238</v>
      </c>
      <c r="AX3084" s="5" t="s">
        <v>249</v>
      </c>
      <c r="AY3084" s="5" t="s">
        <v>238</v>
      </c>
      <c r="BA3084" s="5" t="s">
        <v>238</v>
      </c>
      <c r="BC3084" s="5" t="s">
        <v>250</v>
      </c>
      <c r="BD3084" s="6" t="s">
        <v>243</v>
      </c>
      <c r="BE3084" s="5" t="s">
        <v>251</v>
      </c>
      <c r="BF3084" s="5" t="s">
        <v>252</v>
      </c>
      <c r="BG3084" s="5" t="s">
        <v>238</v>
      </c>
      <c r="BH3084" s="7">
        <f>0</f>
        <v>0</v>
      </c>
      <c r="BI3084" s="8">
        <f>0</f>
        <v>0</v>
      </c>
      <c r="BJ3084" s="5" t="s">
        <v>253</v>
      </c>
      <c r="BK3084" s="5" t="s">
        <v>254</v>
      </c>
      <c r="BY3084" s="5" t="s">
        <v>238</v>
      </c>
      <c r="BZ3084" s="5" t="s">
        <v>238</v>
      </c>
      <c r="CD3084" s="5" t="s">
        <v>273</v>
      </c>
      <c r="CE3084" s="5" t="s">
        <v>256</v>
      </c>
      <c r="CF3084" s="5" t="s">
        <v>238</v>
      </c>
      <c r="CI3084" s="6" t="s">
        <v>257</v>
      </c>
      <c r="CJ3084" s="5" t="s">
        <v>238</v>
      </c>
      <c r="CK3084" s="5" t="s">
        <v>258</v>
      </c>
      <c r="CL3084" s="5" t="s">
        <v>238</v>
      </c>
      <c r="CM3084" s="5" t="s">
        <v>238</v>
      </c>
      <c r="CN3084" s="5">
        <v>0</v>
      </c>
      <c r="CO3084" s="5" t="s">
        <v>259</v>
      </c>
      <c r="CP3084" s="5" t="s">
        <v>260</v>
      </c>
      <c r="CQ3084" s="5" t="s">
        <v>260</v>
      </c>
      <c r="CR3084" s="5" t="s">
        <v>261</v>
      </c>
      <c r="CU3084" s="8">
        <f>1</f>
        <v>1</v>
      </c>
      <c r="CV3084" s="8">
        <f>0</f>
        <v>0</v>
      </c>
      <c r="CX3084" s="8">
        <f>0</f>
        <v>0</v>
      </c>
      <c r="CY3084" s="8">
        <f>1</f>
        <v>1</v>
      </c>
      <c r="DA3084" s="5" t="s">
        <v>274</v>
      </c>
      <c r="DB3084" s="5" t="s">
        <v>238</v>
      </c>
      <c r="DD3084" s="5" t="s">
        <v>274</v>
      </c>
      <c r="DE3084" s="8">
        <f>654</f>
        <v>654</v>
      </c>
      <c r="DG3084" s="5" t="s">
        <v>238</v>
      </c>
      <c r="DH3084" s="5" t="s">
        <v>238</v>
      </c>
      <c r="DI3084" s="5" t="s">
        <v>238</v>
      </c>
      <c r="DJ3084" s="5" t="s">
        <v>238</v>
      </c>
      <c r="DN3084" s="5" t="s">
        <v>238</v>
      </c>
      <c r="DO3084" s="5" t="s">
        <v>238</v>
      </c>
      <c r="DP3084" s="5" t="s">
        <v>238</v>
      </c>
      <c r="DQ3084" s="5" t="s">
        <v>238</v>
      </c>
      <c r="DT3084" s="5" t="s">
        <v>275</v>
      </c>
      <c r="DU3084" s="5" t="s">
        <v>2007</v>
      </c>
      <c r="HM3084" s="5" t="s">
        <v>264</v>
      </c>
    </row>
    <row r="3085" spans="1:221" x14ac:dyDescent="0.4">
      <c r="A3085" s="5">
        <v>4789</v>
      </c>
      <c r="B3085" s="5">
        <v>1</v>
      </c>
      <c r="C3085" s="5">
        <v>1</v>
      </c>
      <c r="D3085" s="5" t="s">
        <v>269</v>
      </c>
      <c r="E3085" s="5" t="s">
        <v>271</v>
      </c>
      <c r="F3085" s="5" t="s">
        <v>248</v>
      </c>
      <c r="G3085" s="5" t="s">
        <v>266</v>
      </c>
      <c r="H3085" s="6" t="s">
        <v>2000</v>
      </c>
      <c r="I3085" s="7">
        <f>125</f>
        <v>125</v>
      </c>
      <c r="J3085" s="5" t="s">
        <v>262</v>
      </c>
      <c r="K3085" s="8">
        <f>1</f>
        <v>1</v>
      </c>
      <c r="L3085" s="6" t="s">
        <v>242</v>
      </c>
      <c r="M3085" s="5" t="s">
        <v>267</v>
      </c>
      <c r="N3085" s="5" t="s">
        <v>265</v>
      </c>
      <c r="O3085" s="5" t="s">
        <v>238</v>
      </c>
      <c r="P3085" s="5" t="s">
        <v>238</v>
      </c>
      <c r="Q3085" s="5" t="s">
        <v>268</v>
      </c>
      <c r="R3085" s="5" t="s">
        <v>270</v>
      </c>
      <c r="S3085" s="5" t="s">
        <v>238</v>
      </c>
      <c r="V3085" s="5" t="s">
        <v>238</v>
      </c>
      <c r="X3085" s="6" t="s">
        <v>238</v>
      </c>
      <c r="AA3085" s="6" t="s">
        <v>243</v>
      </c>
      <c r="AB3085" s="5" t="s">
        <v>238</v>
      </c>
      <c r="AC3085" s="5" t="s">
        <v>244</v>
      </c>
      <c r="AD3085" s="5" t="s">
        <v>245</v>
      </c>
      <c r="AT3085" s="5" t="s">
        <v>246</v>
      </c>
      <c r="AU3085" s="5" t="s">
        <v>238</v>
      </c>
      <c r="AV3085" s="5" t="s">
        <v>247</v>
      </c>
      <c r="AW3085" s="5" t="s">
        <v>238</v>
      </c>
      <c r="AX3085" s="5" t="s">
        <v>249</v>
      </c>
      <c r="AY3085" s="5" t="s">
        <v>238</v>
      </c>
      <c r="BA3085" s="5" t="s">
        <v>238</v>
      </c>
      <c r="BC3085" s="5" t="s">
        <v>250</v>
      </c>
      <c r="BD3085" s="6" t="s">
        <v>243</v>
      </c>
      <c r="BE3085" s="5" t="s">
        <v>251</v>
      </c>
      <c r="BF3085" s="5" t="s">
        <v>252</v>
      </c>
      <c r="BG3085" s="5" t="s">
        <v>238</v>
      </c>
      <c r="BH3085" s="7">
        <f>0</f>
        <v>0</v>
      </c>
      <c r="BI3085" s="8">
        <f>0</f>
        <v>0</v>
      </c>
      <c r="BJ3085" s="5" t="s">
        <v>253</v>
      </c>
      <c r="BK3085" s="5" t="s">
        <v>254</v>
      </c>
      <c r="BY3085" s="5" t="s">
        <v>238</v>
      </c>
      <c r="BZ3085" s="5" t="s">
        <v>238</v>
      </c>
      <c r="CD3085" s="5" t="s">
        <v>273</v>
      </c>
      <c r="CE3085" s="5" t="s">
        <v>256</v>
      </c>
      <c r="CF3085" s="5" t="s">
        <v>238</v>
      </c>
      <c r="CI3085" s="6" t="s">
        <v>257</v>
      </c>
      <c r="CJ3085" s="5" t="s">
        <v>238</v>
      </c>
      <c r="CK3085" s="5" t="s">
        <v>258</v>
      </c>
      <c r="CL3085" s="5" t="s">
        <v>238</v>
      </c>
      <c r="CM3085" s="5" t="s">
        <v>238</v>
      </c>
      <c r="CN3085" s="5">
        <v>0</v>
      </c>
      <c r="CO3085" s="5" t="s">
        <v>259</v>
      </c>
      <c r="CP3085" s="5" t="s">
        <v>260</v>
      </c>
      <c r="CQ3085" s="5" t="s">
        <v>260</v>
      </c>
      <c r="CR3085" s="5" t="s">
        <v>261</v>
      </c>
      <c r="CU3085" s="8">
        <f>1</f>
        <v>1</v>
      </c>
      <c r="CV3085" s="8">
        <f>0</f>
        <v>0</v>
      </c>
      <c r="CX3085" s="8">
        <f>0</f>
        <v>0</v>
      </c>
      <c r="CY3085" s="8">
        <f>1</f>
        <v>1</v>
      </c>
      <c r="DA3085" s="5" t="s">
        <v>274</v>
      </c>
      <c r="DB3085" s="5" t="s">
        <v>238</v>
      </c>
      <c r="DD3085" s="5" t="s">
        <v>274</v>
      </c>
      <c r="DE3085" s="8">
        <f>125</f>
        <v>125</v>
      </c>
      <c r="DG3085" s="5" t="s">
        <v>238</v>
      </c>
      <c r="DH3085" s="5" t="s">
        <v>238</v>
      </c>
      <c r="DI3085" s="5" t="s">
        <v>238</v>
      </c>
      <c r="DJ3085" s="5" t="s">
        <v>238</v>
      </c>
      <c r="DN3085" s="5" t="s">
        <v>238</v>
      </c>
      <c r="DO3085" s="5" t="s">
        <v>238</v>
      </c>
      <c r="DP3085" s="5" t="s">
        <v>238</v>
      </c>
      <c r="DQ3085" s="5" t="s">
        <v>238</v>
      </c>
      <c r="DT3085" s="5" t="s">
        <v>275</v>
      </c>
      <c r="DU3085" s="5" t="s">
        <v>2001</v>
      </c>
      <c r="HM3085" s="5" t="s">
        <v>264</v>
      </c>
    </row>
    <row r="3086" spans="1:221" x14ac:dyDescent="0.4">
      <c r="A3086" s="5">
        <v>4790</v>
      </c>
      <c r="B3086" s="5">
        <v>1</v>
      </c>
      <c r="C3086" s="5">
        <v>1</v>
      </c>
      <c r="D3086" s="5" t="s">
        <v>269</v>
      </c>
      <c r="E3086" s="5" t="s">
        <v>271</v>
      </c>
      <c r="F3086" s="5" t="s">
        <v>248</v>
      </c>
      <c r="G3086" s="5" t="s">
        <v>266</v>
      </c>
      <c r="H3086" s="6" t="s">
        <v>1990</v>
      </c>
      <c r="I3086" s="7">
        <f>822</f>
        <v>822</v>
      </c>
      <c r="J3086" s="5" t="s">
        <v>262</v>
      </c>
      <c r="K3086" s="8">
        <f>1</f>
        <v>1</v>
      </c>
      <c r="L3086" s="6" t="s">
        <v>242</v>
      </c>
      <c r="M3086" s="5" t="s">
        <v>267</v>
      </c>
      <c r="N3086" s="5" t="s">
        <v>265</v>
      </c>
      <c r="O3086" s="5" t="s">
        <v>238</v>
      </c>
      <c r="P3086" s="5" t="s">
        <v>238</v>
      </c>
      <c r="Q3086" s="5" t="s">
        <v>268</v>
      </c>
      <c r="R3086" s="5" t="s">
        <v>270</v>
      </c>
      <c r="S3086" s="5" t="s">
        <v>238</v>
      </c>
      <c r="V3086" s="5" t="s">
        <v>238</v>
      </c>
      <c r="X3086" s="6" t="s">
        <v>238</v>
      </c>
      <c r="AA3086" s="6" t="s">
        <v>243</v>
      </c>
      <c r="AB3086" s="5" t="s">
        <v>238</v>
      </c>
      <c r="AC3086" s="5" t="s">
        <v>244</v>
      </c>
      <c r="AD3086" s="5" t="s">
        <v>245</v>
      </c>
      <c r="AT3086" s="5" t="s">
        <v>246</v>
      </c>
      <c r="AU3086" s="5" t="s">
        <v>238</v>
      </c>
      <c r="AV3086" s="5" t="s">
        <v>247</v>
      </c>
      <c r="AW3086" s="5" t="s">
        <v>238</v>
      </c>
      <c r="AX3086" s="5" t="s">
        <v>249</v>
      </c>
      <c r="AY3086" s="5" t="s">
        <v>238</v>
      </c>
      <c r="BA3086" s="5" t="s">
        <v>238</v>
      </c>
      <c r="BC3086" s="5" t="s">
        <v>250</v>
      </c>
      <c r="BD3086" s="6" t="s">
        <v>243</v>
      </c>
      <c r="BE3086" s="5" t="s">
        <v>251</v>
      </c>
      <c r="BF3086" s="5" t="s">
        <v>252</v>
      </c>
      <c r="BG3086" s="5" t="s">
        <v>238</v>
      </c>
      <c r="BH3086" s="7">
        <f>0</f>
        <v>0</v>
      </c>
      <c r="BI3086" s="8">
        <f>0</f>
        <v>0</v>
      </c>
      <c r="BJ3086" s="5" t="s">
        <v>253</v>
      </c>
      <c r="BK3086" s="5" t="s">
        <v>254</v>
      </c>
      <c r="BY3086" s="5" t="s">
        <v>238</v>
      </c>
      <c r="BZ3086" s="5" t="s">
        <v>238</v>
      </c>
      <c r="CD3086" s="5" t="s">
        <v>273</v>
      </c>
      <c r="CE3086" s="5" t="s">
        <v>256</v>
      </c>
      <c r="CF3086" s="5" t="s">
        <v>238</v>
      </c>
      <c r="CI3086" s="6" t="s">
        <v>257</v>
      </c>
      <c r="CJ3086" s="5" t="s">
        <v>238</v>
      </c>
      <c r="CK3086" s="5" t="s">
        <v>258</v>
      </c>
      <c r="CL3086" s="5" t="s">
        <v>238</v>
      </c>
      <c r="CM3086" s="5" t="s">
        <v>238</v>
      </c>
      <c r="CN3086" s="5">
        <v>0</v>
      </c>
      <c r="CO3086" s="5" t="s">
        <v>259</v>
      </c>
      <c r="CP3086" s="5" t="s">
        <v>260</v>
      </c>
      <c r="CQ3086" s="5" t="s">
        <v>260</v>
      </c>
      <c r="CR3086" s="5" t="s">
        <v>261</v>
      </c>
      <c r="CU3086" s="8">
        <f>1</f>
        <v>1</v>
      </c>
      <c r="CV3086" s="8">
        <f>0</f>
        <v>0</v>
      </c>
      <c r="CX3086" s="8">
        <f>0</f>
        <v>0</v>
      </c>
      <c r="CY3086" s="8">
        <f>1</f>
        <v>1</v>
      </c>
      <c r="DA3086" s="5" t="s">
        <v>274</v>
      </c>
      <c r="DB3086" s="5" t="s">
        <v>238</v>
      </c>
      <c r="DD3086" s="5" t="s">
        <v>274</v>
      </c>
      <c r="DE3086" s="8">
        <f>822</f>
        <v>822</v>
      </c>
      <c r="DG3086" s="5" t="s">
        <v>238</v>
      </c>
      <c r="DH3086" s="5" t="s">
        <v>238</v>
      </c>
      <c r="DI3086" s="5" t="s">
        <v>238</v>
      </c>
      <c r="DJ3086" s="5" t="s">
        <v>238</v>
      </c>
      <c r="DN3086" s="5" t="s">
        <v>238</v>
      </c>
      <c r="DO3086" s="5" t="s">
        <v>238</v>
      </c>
      <c r="DP3086" s="5" t="s">
        <v>238</v>
      </c>
      <c r="DQ3086" s="5" t="s">
        <v>238</v>
      </c>
      <c r="DT3086" s="5" t="s">
        <v>275</v>
      </c>
      <c r="DU3086" s="5" t="s">
        <v>1991</v>
      </c>
      <c r="HM3086" s="5" t="s">
        <v>264</v>
      </c>
    </row>
    <row r="3087" spans="1:221" x14ac:dyDescent="0.4">
      <c r="A3087" s="5">
        <v>4791</v>
      </c>
      <c r="B3087" s="5">
        <v>1</v>
      </c>
      <c r="C3087" s="5">
        <v>1</v>
      </c>
      <c r="D3087" s="5" t="s">
        <v>269</v>
      </c>
      <c r="E3087" s="5" t="s">
        <v>271</v>
      </c>
      <c r="F3087" s="5" t="s">
        <v>248</v>
      </c>
      <c r="G3087" s="5" t="s">
        <v>266</v>
      </c>
      <c r="H3087" s="6" t="s">
        <v>1982</v>
      </c>
      <c r="I3087" s="7">
        <f>723</f>
        <v>723</v>
      </c>
      <c r="J3087" s="5" t="s">
        <v>262</v>
      </c>
      <c r="K3087" s="8">
        <f>1</f>
        <v>1</v>
      </c>
      <c r="L3087" s="6" t="s">
        <v>242</v>
      </c>
      <c r="M3087" s="5" t="s">
        <v>267</v>
      </c>
      <c r="N3087" s="5" t="s">
        <v>265</v>
      </c>
      <c r="O3087" s="5" t="s">
        <v>238</v>
      </c>
      <c r="P3087" s="5" t="s">
        <v>238</v>
      </c>
      <c r="Q3087" s="5" t="s">
        <v>268</v>
      </c>
      <c r="R3087" s="5" t="s">
        <v>270</v>
      </c>
      <c r="S3087" s="5" t="s">
        <v>238</v>
      </c>
      <c r="V3087" s="5" t="s">
        <v>238</v>
      </c>
      <c r="X3087" s="6" t="s">
        <v>238</v>
      </c>
      <c r="AA3087" s="6" t="s">
        <v>243</v>
      </c>
      <c r="AB3087" s="5" t="s">
        <v>238</v>
      </c>
      <c r="AC3087" s="5" t="s">
        <v>244</v>
      </c>
      <c r="AD3087" s="5" t="s">
        <v>245</v>
      </c>
      <c r="AT3087" s="5" t="s">
        <v>246</v>
      </c>
      <c r="AU3087" s="5" t="s">
        <v>238</v>
      </c>
      <c r="AV3087" s="5" t="s">
        <v>247</v>
      </c>
      <c r="AW3087" s="5" t="s">
        <v>238</v>
      </c>
      <c r="AX3087" s="5" t="s">
        <v>249</v>
      </c>
      <c r="AY3087" s="5" t="s">
        <v>238</v>
      </c>
      <c r="BA3087" s="5" t="s">
        <v>238</v>
      </c>
      <c r="BC3087" s="5" t="s">
        <v>250</v>
      </c>
      <c r="BD3087" s="6" t="s">
        <v>243</v>
      </c>
      <c r="BE3087" s="5" t="s">
        <v>251</v>
      </c>
      <c r="BF3087" s="5" t="s">
        <v>252</v>
      </c>
      <c r="BG3087" s="5" t="s">
        <v>238</v>
      </c>
      <c r="BH3087" s="7">
        <f>0</f>
        <v>0</v>
      </c>
      <c r="BI3087" s="8">
        <f>0</f>
        <v>0</v>
      </c>
      <c r="BJ3087" s="5" t="s">
        <v>253</v>
      </c>
      <c r="BK3087" s="5" t="s">
        <v>254</v>
      </c>
      <c r="BY3087" s="5" t="s">
        <v>238</v>
      </c>
      <c r="BZ3087" s="5" t="s">
        <v>238</v>
      </c>
      <c r="CD3087" s="5" t="s">
        <v>273</v>
      </c>
      <c r="CE3087" s="5" t="s">
        <v>256</v>
      </c>
      <c r="CF3087" s="5" t="s">
        <v>238</v>
      </c>
      <c r="CI3087" s="6" t="s">
        <v>257</v>
      </c>
      <c r="CJ3087" s="5" t="s">
        <v>238</v>
      </c>
      <c r="CK3087" s="5" t="s">
        <v>258</v>
      </c>
      <c r="CL3087" s="5" t="s">
        <v>238</v>
      </c>
      <c r="CM3087" s="5" t="s">
        <v>238</v>
      </c>
      <c r="CN3087" s="5">
        <v>0</v>
      </c>
      <c r="CO3087" s="5" t="s">
        <v>259</v>
      </c>
      <c r="CP3087" s="5" t="s">
        <v>260</v>
      </c>
      <c r="CQ3087" s="5" t="s">
        <v>260</v>
      </c>
      <c r="CR3087" s="5" t="s">
        <v>261</v>
      </c>
      <c r="CU3087" s="8">
        <f>1</f>
        <v>1</v>
      </c>
      <c r="CV3087" s="8">
        <f>0</f>
        <v>0</v>
      </c>
      <c r="CX3087" s="8">
        <f>0</f>
        <v>0</v>
      </c>
      <c r="CY3087" s="8">
        <f>1</f>
        <v>1</v>
      </c>
      <c r="DA3087" s="5" t="s">
        <v>274</v>
      </c>
      <c r="DB3087" s="5" t="s">
        <v>238</v>
      </c>
      <c r="DD3087" s="5" t="s">
        <v>274</v>
      </c>
      <c r="DE3087" s="8">
        <f>723</f>
        <v>723</v>
      </c>
      <c r="DG3087" s="5" t="s">
        <v>238</v>
      </c>
      <c r="DH3087" s="5" t="s">
        <v>238</v>
      </c>
      <c r="DI3087" s="5" t="s">
        <v>238</v>
      </c>
      <c r="DJ3087" s="5" t="s">
        <v>238</v>
      </c>
      <c r="DN3087" s="5" t="s">
        <v>238</v>
      </c>
      <c r="DO3087" s="5" t="s">
        <v>238</v>
      </c>
      <c r="DP3087" s="5" t="s">
        <v>238</v>
      </c>
      <c r="DQ3087" s="5" t="s">
        <v>238</v>
      </c>
      <c r="DT3087" s="5" t="s">
        <v>275</v>
      </c>
      <c r="DU3087" s="5" t="s">
        <v>1983</v>
      </c>
      <c r="HM3087" s="5" t="s">
        <v>264</v>
      </c>
    </row>
    <row r="3088" spans="1:221" x14ac:dyDescent="0.4">
      <c r="A3088" s="5">
        <v>4792</v>
      </c>
      <c r="B3088" s="5">
        <v>1</v>
      </c>
      <c r="C3088" s="5">
        <v>1</v>
      </c>
      <c r="D3088" s="5" t="s">
        <v>269</v>
      </c>
      <c r="E3088" s="5" t="s">
        <v>271</v>
      </c>
      <c r="F3088" s="5" t="s">
        <v>248</v>
      </c>
      <c r="G3088" s="5" t="s">
        <v>266</v>
      </c>
      <c r="H3088" s="6" t="s">
        <v>1974</v>
      </c>
      <c r="I3088" s="7">
        <f>201</f>
        <v>201</v>
      </c>
      <c r="J3088" s="5" t="s">
        <v>262</v>
      </c>
      <c r="K3088" s="8">
        <f>1</f>
        <v>1</v>
      </c>
      <c r="L3088" s="6" t="s">
        <v>242</v>
      </c>
      <c r="M3088" s="5" t="s">
        <v>267</v>
      </c>
      <c r="N3088" s="5" t="s">
        <v>265</v>
      </c>
      <c r="O3088" s="5" t="s">
        <v>238</v>
      </c>
      <c r="P3088" s="5" t="s">
        <v>238</v>
      </c>
      <c r="Q3088" s="5" t="s">
        <v>268</v>
      </c>
      <c r="R3088" s="5" t="s">
        <v>270</v>
      </c>
      <c r="S3088" s="5" t="s">
        <v>238</v>
      </c>
      <c r="V3088" s="5" t="s">
        <v>238</v>
      </c>
      <c r="X3088" s="6" t="s">
        <v>238</v>
      </c>
      <c r="AA3088" s="6" t="s">
        <v>243</v>
      </c>
      <c r="AB3088" s="5" t="s">
        <v>238</v>
      </c>
      <c r="AC3088" s="5" t="s">
        <v>244</v>
      </c>
      <c r="AD3088" s="5" t="s">
        <v>245</v>
      </c>
      <c r="AT3088" s="5" t="s">
        <v>246</v>
      </c>
      <c r="AU3088" s="5" t="s">
        <v>238</v>
      </c>
      <c r="AV3088" s="5" t="s">
        <v>247</v>
      </c>
      <c r="AW3088" s="5" t="s">
        <v>238</v>
      </c>
      <c r="AX3088" s="5" t="s">
        <v>249</v>
      </c>
      <c r="AY3088" s="5" t="s">
        <v>238</v>
      </c>
      <c r="BA3088" s="5" t="s">
        <v>238</v>
      </c>
      <c r="BC3088" s="5" t="s">
        <v>250</v>
      </c>
      <c r="BD3088" s="6" t="s">
        <v>243</v>
      </c>
      <c r="BE3088" s="5" t="s">
        <v>251</v>
      </c>
      <c r="BF3088" s="5" t="s">
        <v>252</v>
      </c>
      <c r="BG3088" s="5" t="s">
        <v>238</v>
      </c>
      <c r="BH3088" s="7">
        <f>0</f>
        <v>0</v>
      </c>
      <c r="BI3088" s="8">
        <f>0</f>
        <v>0</v>
      </c>
      <c r="BJ3088" s="5" t="s">
        <v>253</v>
      </c>
      <c r="BK3088" s="5" t="s">
        <v>254</v>
      </c>
      <c r="BY3088" s="5" t="s">
        <v>238</v>
      </c>
      <c r="BZ3088" s="5" t="s">
        <v>238</v>
      </c>
      <c r="CD3088" s="5" t="s">
        <v>273</v>
      </c>
      <c r="CE3088" s="5" t="s">
        <v>256</v>
      </c>
      <c r="CF3088" s="5" t="s">
        <v>238</v>
      </c>
      <c r="CI3088" s="6" t="s">
        <v>257</v>
      </c>
      <c r="CJ3088" s="5" t="s">
        <v>238</v>
      </c>
      <c r="CK3088" s="5" t="s">
        <v>258</v>
      </c>
      <c r="CL3088" s="5" t="s">
        <v>238</v>
      </c>
      <c r="CM3088" s="5" t="s">
        <v>238</v>
      </c>
      <c r="CN3088" s="5">
        <v>0</v>
      </c>
      <c r="CO3088" s="5" t="s">
        <v>259</v>
      </c>
      <c r="CP3088" s="5" t="s">
        <v>260</v>
      </c>
      <c r="CQ3088" s="5" t="s">
        <v>260</v>
      </c>
      <c r="CR3088" s="5" t="s">
        <v>261</v>
      </c>
      <c r="CU3088" s="8">
        <f>1</f>
        <v>1</v>
      </c>
      <c r="CV3088" s="8">
        <f>0</f>
        <v>0</v>
      </c>
      <c r="CX3088" s="8">
        <f>0</f>
        <v>0</v>
      </c>
      <c r="CY3088" s="8">
        <f>1</f>
        <v>1</v>
      </c>
      <c r="DA3088" s="5" t="s">
        <v>274</v>
      </c>
      <c r="DB3088" s="5" t="s">
        <v>238</v>
      </c>
      <c r="DD3088" s="5" t="s">
        <v>274</v>
      </c>
      <c r="DE3088" s="8">
        <f>201</f>
        <v>201</v>
      </c>
      <c r="DG3088" s="5" t="s">
        <v>238</v>
      </c>
      <c r="DH3088" s="5" t="s">
        <v>238</v>
      </c>
      <c r="DI3088" s="5" t="s">
        <v>238</v>
      </c>
      <c r="DJ3088" s="5" t="s">
        <v>238</v>
      </c>
      <c r="DN3088" s="5" t="s">
        <v>238</v>
      </c>
      <c r="DO3088" s="5" t="s">
        <v>238</v>
      </c>
      <c r="DP3088" s="5" t="s">
        <v>238</v>
      </c>
      <c r="DQ3088" s="5" t="s">
        <v>238</v>
      </c>
      <c r="DT3088" s="5" t="s">
        <v>275</v>
      </c>
      <c r="DU3088" s="5" t="s">
        <v>1975</v>
      </c>
      <c r="HM3088" s="5" t="s">
        <v>264</v>
      </c>
    </row>
    <row r="3089" spans="1:221" x14ac:dyDescent="0.4">
      <c r="A3089" s="5">
        <v>4793</v>
      </c>
      <c r="B3089" s="5">
        <v>1</v>
      </c>
      <c r="C3089" s="5">
        <v>1</v>
      </c>
      <c r="D3089" s="5" t="s">
        <v>269</v>
      </c>
      <c r="E3089" s="5" t="s">
        <v>271</v>
      </c>
      <c r="F3089" s="5" t="s">
        <v>248</v>
      </c>
      <c r="G3089" s="5" t="s">
        <v>266</v>
      </c>
      <c r="H3089" s="6" t="s">
        <v>1965</v>
      </c>
      <c r="I3089" s="7">
        <f>122</f>
        <v>122</v>
      </c>
      <c r="J3089" s="5" t="s">
        <v>262</v>
      </c>
      <c r="K3089" s="8">
        <f>1</f>
        <v>1</v>
      </c>
      <c r="L3089" s="6" t="s">
        <v>242</v>
      </c>
      <c r="M3089" s="5" t="s">
        <v>267</v>
      </c>
      <c r="N3089" s="5" t="s">
        <v>265</v>
      </c>
      <c r="O3089" s="5" t="s">
        <v>238</v>
      </c>
      <c r="P3089" s="5" t="s">
        <v>238</v>
      </c>
      <c r="Q3089" s="5" t="s">
        <v>268</v>
      </c>
      <c r="R3089" s="5" t="s">
        <v>270</v>
      </c>
      <c r="S3089" s="5" t="s">
        <v>238</v>
      </c>
      <c r="V3089" s="5" t="s">
        <v>238</v>
      </c>
      <c r="X3089" s="6" t="s">
        <v>238</v>
      </c>
      <c r="AA3089" s="6" t="s">
        <v>243</v>
      </c>
      <c r="AB3089" s="5" t="s">
        <v>238</v>
      </c>
      <c r="AC3089" s="5" t="s">
        <v>244</v>
      </c>
      <c r="AD3089" s="5" t="s">
        <v>245</v>
      </c>
      <c r="AT3089" s="5" t="s">
        <v>246</v>
      </c>
      <c r="AU3089" s="5" t="s">
        <v>238</v>
      </c>
      <c r="AV3089" s="5" t="s">
        <v>247</v>
      </c>
      <c r="AW3089" s="5" t="s">
        <v>238</v>
      </c>
      <c r="AX3089" s="5" t="s">
        <v>249</v>
      </c>
      <c r="AY3089" s="5" t="s">
        <v>238</v>
      </c>
      <c r="BA3089" s="5" t="s">
        <v>238</v>
      </c>
      <c r="BC3089" s="5" t="s">
        <v>250</v>
      </c>
      <c r="BD3089" s="6" t="s">
        <v>243</v>
      </c>
      <c r="BE3089" s="5" t="s">
        <v>251</v>
      </c>
      <c r="BF3089" s="5" t="s">
        <v>252</v>
      </c>
      <c r="BG3089" s="5" t="s">
        <v>238</v>
      </c>
      <c r="BH3089" s="7">
        <f>0</f>
        <v>0</v>
      </c>
      <c r="BI3089" s="8">
        <f>0</f>
        <v>0</v>
      </c>
      <c r="BJ3089" s="5" t="s">
        <v>253</v>
      </c>
      <c r="BK3089" s="5" t="s">
        <v>254</v>
      </c>
      <c r="BY3089" s="5" t="s">
        <v>238</v>
      </c>
      <c r="BZ3089" s="5" t="s">
        <v>238</v>
      </c>
      <c r="CD3089" s="5" t="s">
        <v>273</v>
      </c>
      <c r="CE3089" s="5" t="s">
        <v>256</v>
      </c>
      <c r="CF3089" s="5" t="s">
        <v>238</v>
      </c>
      <c r="CI3089" s="6" t="s">
        <v>257</v>
      </c>
      <c r="CJ3089" s="5" t="s">
        <v>238</v>
      </c>
      <c r="CK3089" s="5" t="s">
        <v>258</v>
      </c>
      <c r="CL3089" s="5" t="s">
        <v>238</v>
      </c>
      <c r="CM3089" s="5" t="s">
        <v>238</v>
      </c>
      <c r="CN3089" s="5">
        <v>0</v>
      </c>
      <c r="CO3089" s="5" t="s">
        <v>259</v>
      </c>
      <c r="CP3089" s="5" t="s">
        <v>260</v>
      </c>
      <c r="CQ3089" s="5" t="s">
        <v>260</v>
      </c>
      <c r="CR3089" s="5" t="s">
        <v>261</v>
      </c>
      <c r="CU3089" s="8">
        <f>1</f>
        <v>1</v>
      </c>
      <c r="CV3089" s="8">
        <f>0</f>
        <v>0</v>
      </c>
      <c r="CX3089" s="8">
        <f>0</f>
        <v>0</v>
      </c>
      <c r="CY3089" s="8">
        <f>1</f>
        <v>1</v>
      </c>
      <c r="DA3089" s="5" t="s">
        <v>274</v>
      </c>
      <c r="DB3089" s="5" t="s">
        <v>238</v>
      </c>
      <c r="DD3089" s="5" t="s">
        <v>274</v>
      </c>
      <c r="DE3089" s="8">
        <f>122</f>
        <v>122</v>
      </c>
      <c r="DG3089" s="5" t="s">
        <v>238</v>
      </c>
      <c r="DH3089" s="5" t="s">
        <v>238</v>
      </c>
      <c r="DI3089" s="5" t="s">
        <v>238</v>
      </c>
      <c r="DJ3089" s="5" t="s">
        <v>238</v>
      </c>
      <c r="DN3089" s="5" t="s">
        <v>238</v>
      </c>
      <c r="DO3089" s="5" t="s">
        <v>238</v>
      </c>
      <c r="DP3089" s="5" t="s">
        <v>238</v>
      </c>
      <c r="DQ3089" s="5" t="s">
        <v>238</v>
      </c>
      <c r="DT3089" s="5" t="s">
        <v>275</v>
      </c>
      <c r="DU3089" s="5" t="s">
        <v>1966</v>
      </c>
      <c r="HM3089" s="5" t="s">
        <v>264</v>
      </c>
    </row>
    <row r="3090" spans="1:221" x14ac:dyDescent="0.4">
      <c r="A3090" s="5">
        <v>4794</v>
      </c>
      <c r="B3090" s="5">
        <v>1</v>
      </c>
      <c r="C3090" s="5">
        <v>1</v>
      </c>
      <c r="D3090" s="5" t="s">
        <v>269</v>
      </c>
      <c r="E3090" s="5" t="s">
        <v>271</v>
      </c>
      <c r="F3090" s="5" t="s">
        <v>248</v>
      </c>
      <c r="G3090" s="5" t="s">
        <v>266</v>
      </c>
      <c r="H3090" s="6" t="s">
        <v>1955</v>
      </c>
      <c r="I3090" s="7">
        <f>17</f>
        <v>17</v>
      </c>
      <c r="J3090" s="5" t="s">
        <v>262</v>
      </c>
      <c r="K3090" s="8">
        <f>1</f>
        <v>1</v>
      </c>
      <c r="L3090" s="6" t="s">
        <v>242</v>
      </c>
      <c r="M3090" s="5" t="s">
        <v>267</v>
      </c>
      <c r="N3090" s="5" t="s">
        <v>265</v>
      </c>
      <c r="O3090" s="5" t="s">
        <v>238</v>
      </c>
      <c r="P3090" s="5" t="s">
        <v>238</v>
      </c>
      <c r="Q3090" s="5" t="s">
        <v>268</v>
      </c>
      <c r="R3090" s="5" t="s">
        <v>270</v>
      </c>
      <c r="S3090" s="5" t="s">
        <v>238</v>
      </c>
      <c r="V3090" s="5" t="s">
        <v>238</v>
      </c>
      <c r="X3090" s="6" t="s">
        <v>238</v>
      </c>
      <c r="AA3090" s="6" t="s">
        <v>243</v>
      </c>
      <c r="AB3090" s="5" t="s">
        <v>238</v>
      </c>
      <c r="AC3090" s="5" t="s">
        <v>244</v>
      </c>
      <c r="AD3090" s="5" t="s">
        <v>245</v>
      </c>
      <c r="AT3090" s="5" t="s">
        <v>246</v>
      </c>
      <c r="AU3090" s="5" t="s">
        <v>238</v>
      </c>
      <c r="AV3090" s="5" t="s">
        <v>247</v>
      </c>
      <c r="AW3090" s="5" t="s">
        <v>238</v>
      </c>
      <c r="AX3090" s="5" t="s">
        <v>249</v>
      </c>
      <c r="AY3090" s="5" t="s">
        <v>238</v>
      </c>
      <c r="BA3090" s="5" t="s">
        <v>238</v>
      </c>
      <c r="BC3090" s="5" t="s">
        <v>250</v>
      </c>
      <c r="BD3090" s="6" t="s">
        <v>243</v>
      </c>
      <c r="BE3090" s="5" t="s">
        <v>251</v>
      </c>
      <c r="BF3090" s="5" t="s">
        <v>252</v>
      </c>
      <c r="BG3090" s="5" t="s">
        <v>238</v>
      </c>
      <c r="BH3090" s="7">
        <f>0</f>
        <v>0</v>
      </c>
      <c r="BI3090" s="8">
        <f>0</f>
        <v>0</v>
      </c>
      <c r="BJ3090" s="5" t="s">
        <v>253</v>
      </c>
      <c r="BK3090" s="5" t="s">
        <v>254</v>
      </c>
      <c r="BY3090" s="5" t="s">
        <v>238</v>
      </c>
      <c r="BZ3090" s="5" t="s">
        <v>238</v>
      </c>
      <c r="CD3090" s="5" t="s">
        <v>273</v>
      </c>
      <c r="CE3090" s="5" t="s">
        <v>256</v>
      </c>
      <c r="CF3090" s="5" t="s">
        <v>238</v>
      </c>
      <c r="CI3090" s="6" t="s">
        <v>257</v>
      </c>
      <c r="CJ3090" s="5" t="s">
        <v>238</v>
      </c>
      <c r="CK3090" s="5" t="s">
        <v>258</v>
      </c>
      <c r="CL3090" s="5" t="s">
        <v>238</v>
      </c>
      <c r="CM3090" s="5" t="s">
        <v>238</v>
      </c>
      <c r="CN3090" s="5">
        <v>0</v>
      </c>
      <c r="CO3090" s="5" t="s">
        <v>259</v>
      </c>
      <c r="CP3090" s="5" t="s">
        <v>260</v>
      </c>
      <c r="CQ3090" s="5" t="s">
        <v>260</v>
      </c>
      <c r="CR3090" s="5" t="s">
        <v>261</v>
      </c>
      <c r="CU3090" s="8">
        <f>1</f>
        <v>1</v>
      </c>
      <c r="CV3090" s="8">
        <f>0</f>
        <v>0</v>
      </c>
      <c r="CX3090" s="8">
        <f>0</f>
        <v>0</v>
      </c>
      <c r="CY3090" s="8">
        <f>1</f>
        <v>1</v>
      </c>
      <c r="DA3090" s="5" t="s">
        <v>274</v>
      </c>
      <c r="DB3090" s="5" t="s">
        <v>238</v>
      </c>
      <c r="DD3090" s="5" t="s">
        <v>274</v>
      </c>
      <c r="DE3090" s="8">
        <f>17</f>
        <v>17</v>
      </c>
      <c r="DG3090" s="5" t="s">
        <v>238</v>
      </c>
      <c r="DH3090" s="5" t="s">
        <v>238</v>
      </c>
      <c r="DI3090" s="5" t="s">
        <v>238</v>
      </c>
      <c r="DJ3090" s="5" t="s">
        <v>238</v>
      </c>
      <c r="DN3090" s="5" t="s">
        <v>238</v>
      </c>
      <c r="DO3090" s="5" t="s">
        <v>238</v>
      </c>
      <c r="DP3090" s="5" t="s">
        <v>238</v>
      </c>
      <c r="DQ3090" s="5" t="s">
        <v>238</v>
      </c>
      <c r="DT3090" s="5" t="s">
        <v>275</v>
      </c>
      <c r="DU3090" s="5" t="s">
        <v>1956</v>
      </c>
      <c r="HM3090" s="5" t="s">
        <v>264</v>
      </c>
    </row>
    <row r="3091" spans="1:221" x14ac:dyDescent="0.4">
      <c r="A3091" s="5">
        <v>4795</v>
      </c>
      <c r="B3091" s="5">
        <v>1</v>
      </c>
      <c r="C3091" s="5">
        <v>1</v>
      </c>
      <c r="D3091" s="5" t="s">
        <v>269</v>
      </c>
      <c r="E3091" s="5" t="s">
        <v>271</v>
      </c>
      <c r="F3091" s="5" t="s">
        <v>248</v>
      </c>
      <c r="G3091" s="5" t="s">
        <v>266</v>
      </c>
      <c r="H3091" s="6" t="s">
        <v>1947</v>
      </c>
      <c r="I3091" s="7">
        <f>111</f>
        <v>111</v>
      </c>
      <c r="J3091" s="5" t="s">
        <v>262</v>
      </c>
      <c r="K3091" s="8">
        <f>1</f>
        <v>1</v>
      </c>
      <c r="L3091" s="6" t="s">
        <v>242</v>
      </c>
      <c r="M3091" s="5" t="s">
        <v>267</v>
      </c>
      <c r="N3091" s="5" t="s">
        <v>265</v>
      </c>
      <c r="O3091" s="5" t="s">
        <v>238</v>
      </c>
      <c r="P3091" s="5" t="s">
        <v>238</v>
      </c>
      <c r="Q3091" s="5" t="s">
        <v>268</v>
      </c>
      <c r="R3091" s="5" t="s">
        <v>270</v>
      </c>
      <c r="S3091" s="5" t="s">
        <v>238</v>
      </c>
      <c r="V3091" s="5" t="s">
        <v>238</v>
      </c>
      <c r="X3091" s="6" t="s">
        <v>238</v>
      </c>
      <c r="AA3091" s="6" t="s">
        <v>243</v>
      </c>
      <c r="AB3091" s="5" t="s">
        <v>238</v>
      </c>
      <c r="AC3091" s="5" t="s">
        <v>244</v>
      </c>
      <c r="AD3091" s="5" t="s">
        <v>245</v>
      </c>
      <c r="AT3091" s="5" t="s">
        <v>246</v>
      </c>
      <c r="AU3091" s="5" t="s">
        <v>238</v>
      </c>
      <c r="AV3091" s="5" t="s">
        <v>247</v>
      </c>
      <c r="AW3091" s="5" t="s">
        <v>238</v>
      </c>
      <c r="AX3091" s="5" t="s">
        <v>249</v>
      </c>
      <c r="AY3091" s="5" t="s">
        <v>238</v>
      </c>
      <c r="BA3091" s="5" t="s">
        <v>238</v>
      </c>
      <c r="BC3091" s="5" t="s">
        <v>250</v>
      </c>
      <c r="BD3091" s="6" t="s">
        <v>243</v>
      </c>
      <c r="BE3091" s="5" t="s">
        <v>251</v>
      </c>
      <c r="BF3091" s="5" t="s">
        <v>252</v>
      </c>
      <c r="BG3091" s="5" t="s">
        <v>238</v>
      </c>
      <c r="BH3091" s="7">
        <f>0</f>
        <v>0</v>
      </c>
      <c r="BI3091" s="8">
        <f>0</f>
        <v>0</v>
      </c>
      <c r="BJ3091" s="5" t="s">
        <v>253</v>
      </c>
      <c r="BK3091" s="5" t="s">
        <v>254</v>
      </c>
      <c r="BY3091" s="5" t="s">
        <v>238</v>
      </c>
      <c r="BZ3091" s="5" t="s">
        <v>238</v>
      </c>
      <c r="CD3091" s="5" t="s">
        <v>273</v>
      </c>
      <c r="CE3091" s="5" t="s">
        <v>256</v>
      </c>
      <c r="CF3091" s="5" t="s">
        <v>238</v>
      </c>
      <c r="CI3091" s="6" t="s">
        <v>257</v>
      </c>
      <c r="CJ3091" s="5" t="s">
        <v>238</v>
      </c>
      <c r="CK3091" s="5" t="s">
        <v>258</v>
      </c>
      <c r="CL3091" s="5" t="s">
        <v>238</v>
      </c>
      <c r="CM3091" s="5" t="s">
        <v>238</v>
      </c>
      <c r="CN3091" s="5">
        <v>0</v>
      </c>
      <c r="CO3091" s="5" t="s">
        <v>259</v>
      </c>
      <c r="CP3091" s="5" t="s">
        <v>260</v>
      </c>
      <c r="CQ3091" s="5" t="s">
        <v>260</v>
      </c>
      <c r="CR3091" s="5" t="s">
        <v>261</v>
      </c>
      <c r="CU3091" s="8">
        <f>1</f>
        <v>1</v>
      </c>
      <c r="CV3091" s="8">
        <f>0</f>
        <v>0</v>
      </c>
      <c r="CX3091" s="8">
        <f>0</f>
        <v>0</v>
      </c>
      <c r="CY3091" s="8">
        <f>1</f>
        <v>1</v>
      </c>
      <c r="DA3091" s="5" t="s">
        <v>274</v>
      </c>
      <c r="DB3091" s="5" t="s">
        <v>238</v>
      </c>
      <c r="DD3091" s="5" t="s">
        <v>274</v>
      </c>
      <c r="DE3091" s="8">
        <f>111</f>
        <v>111</v>
      </c>
      <c r="DG3091" s="5" t="s">
        <v>238</v>
      </c>
      <c r="DH3091" s="5" t="s">
        <v>238</v>
      </c>
      <c r="DI3091" s="5" t="s">
        <v>238</v>
      </c>
      <c r="DJ3091" s="5" t="s">
        <v>238</v>
      </c>
      <c r="DN3091" s="5" t="s">
        <v>238</v>
      </c>
      <c r="DO3091" s="5" t="s">
        <v>238</v>
      </c>
      <c r="DP3091" s="5" t="s">
        <v>238</v>
      </c>
      <c r="DQ3091" s="5" t="s">
        <v>238</v>
      </c>
      <c r="DT3091" s="5" t="s">
        <v>275</v>
      </c>
      <c r="DU3091" s="5" t="s">
        <v>1948</v>
      </c>
      <c r="HM3091" s="5" t="s">
        <v>264</v>
      </c>
    </row>
    <row r="3092" spans="1:221" x14ac:dyDescent="0.4">
      <c r="A3092" s="5">
        <v>4796</v>
      </c>
      <c r="B3092" s="5">
        <v>1</v>
      </c>
      <c r="C3092" s="5">
        <v>1</v>
      </c>
      <c r="D3092" s="5" t="s">
        <v>269</v>
      </c>
      <c r="E3092" s="5" t="s">
        <v>271</v>
      </c>
      <c r="F3092" s="5" t="s">
        <v>248</v>
      </c>
      <c r="G3092" s="5" t="s">
        <v>266</v>
      </c>
      <c r="H3092" s="6" t="s">
        <v>1941</v>
      </c>
      <c r="I3092" s="7">
        <f>876</f>
        <v>876</v>
      </c>
      <c r="J3092" s="5" t="s">
        <v>262</v>
      </c>
      <c r="K3092" s="8">
        <f>1</f>
        <v>1</v>
      </c>
      <c r="L3092" s="6" t="s">
        <v>242</v>
      </c>
      <c r="M3092" s="5" t="s">
        <v>267</v>
      </c>
      <c r="N3092" s="5" t="s">
        <v>265</v>
      </c>
      <c r="O3092" s="5" t="s">
        <v>238</v>
      </c>
      <c r="P3092" s="5" t="s">
        <v>238</v>
      </c>
      <c r="Q3092" s="5" t="s">
        <v>268</v>
      </c>
      <c r="R3092" s="5" t="s">
        <v>270</v>
      </c>
      <c r="S3092" s="5" t="s">
        <v>238</v>
      </c>
      <c r="V3092" s="5" t="s">
        <v>238</v>
      </c>
      <c r="X3092" s="6" t="s">
        <v>238</v>
      </c>
      <c r="AA3092" s="6" t="s">
        <v>243</v>
      </c>
      <c r="AB3092" s="5" t="s">
        <v>238</v>
      </c>
      <c r="AC3092" s="5" t="s">
        <v>244</v>
      </c>
      <c r="AD3092" s="5" t="s">
        <v>245</v>
      </c>
      <c r="AT3092" s="5" t="s">
        <v>246</v>
      </c>
      <c r="AU3092" s="5" t="s">
        <v>238</v>
      </c>
      <c r="AV3092" s="5" t="s">
        <v>247</v>
      </c>
      <c r="AW3092" s="5" t="s">
        <v>238</v>
      </c>
      <c r="AX3092" s="5" t="s">
        <v>249</v>
      </c>
      <c r="AY3092" s="5" t="s">
        <v>238</v>
      </c>
      <c r="BA3092" s="5" t="s">
        <v>238</v>
      </c>
      <c r="BC3092" s="5" t="s">
        <v>250</v>
      </c>
      <c r="BD3092" s="6" t="s">
        <v>243</v>
      </c>
      <c r="BE3092" s="5" t="s">
        <v>251</v>
      </c>
      <c r="BF3092" s="5" t="s">
        <v>252</v>
      </c>
      <c r="BG3092" s="5" t="s">
        <v>238</v>
      </c>
      <c r="BH3092" s="7">
        <f>0</f>
        <v>0</v>
      </c>
      <c r="BI3092" s="8">
        <f>0</f>
        <v>0</v>
      </c>
      <c r="BJ3092" s="5" t="s">
        <v>253</v>
      </c>
      <c r="BK3092" s="5" t="s">
        <v>254</v>
      </c>
      <c r="BY3092" s="5" t="s">
        <v>238</v>
      </c>
      <c r="BZ3092" s="5" t="s">
        <v>238</v>
      </c>
      <c r="CD3092" s="5" t="s">
        <v>273</v>
      </c>
      <c r="CE3092" s="5" t="s">
        <v>256</v>
      </c>
      <c r="CF3092" s="5" t="s">
        <v>238</v>
      </c>
      <c r="CI3092" s="6" t="s">
        <v>257</v>
      </c>
      <c r="CJ3092" s="5" t="s">
        <v>238</v>
      </c>
      <c r="CK3092" s="5" t="s">
        <v>258</v>
      </c>
      <c r="CL3092" s="5" t="s">
        <v>238</v>
      </c>
      <c r="CM3092" s="5" t="s">
        <v>238</v>
      </c>
      <c r="CN3092" s="5">
        <v>0</v>
      </c>
      <c r="CO3092" s="5" t="s">
        <v>259</v>
      </c>
      <c r="CP3092" s="5" t="s">
        <v>260</v>
      </c>
      <c r="CQ3092" s="5" t="s">
        <v>260</v>
      </c>
      <c r="CR3092" s="5" t="s">
        <v>261</v>
      </c>
      <c r="CU3092" s="8">
        <f>1</f>
        <v>1</v>
      </c>
      <c r="CV3092" s="8">
        <f>0</f>
        <v>0</v>
      </c>
      <c r="CX3092" s="8">
        <f>0</f>
        <v>0</v>
      </c>
      <c r="CY3092" s="8">
        <f>1</f>
        <v>1</v>
      </c>
      <c r="DA3092" s="5" t="s">
        <v>274</v>
      </c>
      <c r="DB3092" s="5" t="s">
        <v>238</v>
      </c>
      <c r="DD3092" s="5" t="s">
        <v>274</v>
      </c>
      <c r="DE3092" s="8">
        <f>876</f>
        <v>876</v>
      </c>
      <c r="DG3092" s="5" t="s">
        <v>238</v>
      </c>
      <c r="DH3092" s="5" t="s">
        <v>238</v>
      </c>
      <c r="DI3092" s="5" t="s">
        <v>238</v>
      </c>
      <c r="DJ3092" s="5" t="s">
        <v>238</v>
      </c>
      <c r="DN3092" s="5" t="s">
        <v>238</v>
      </c>
      <c r="DO3092" s="5" t="s">
        <v>238</v>
      </c>
      <c r="DP3092" s="5" t="s">
        <v>238</v>
      </c>
      <c r="DQ3092" s="5" t="s">
        <v>238</v>
      </c>
      <c r="DT3092" s="5" t="s">
        <v>275</v>
      </c>
      <c r="DU3092" s="5" t="s">
        <v>1942</v>
      </c>
      <c r="HM3092" s="5" t="s">
        <v>264</v>
      </c>
    </row>
    <row r="3093" spans="1:221" x14ac:dyDescent="0.4">
      <c r="A3093" s="5">
        <v>4797</v>
      </c>
      <c r="B3093" s="5">
        <v>1</v>
      </c>
      <c r="C3093" s="5">
        <v>1</v>
      </c>
      <c r="D3093" s="5" t="s">
        <v>269</v>
      </c>
      <c r="E3093" s="5" t="s">
        <v>271</v>
      </c>
      <c r="F3093" s="5" t="s">
        <v>248</v>
      </c>
      <c r="G3093" s="5" t="s">
        <v>266</v>
      </c>
      <c r="H3093" s="6" t="s">
        <v>1933</v>
      </c>
      <c r="I3093" s="7">
        <f>712</f>
        <v>712</v>
      </c>
      <c r="J3093" s="5" t="s">
        <v>262</v>
      </c>
      <c r="K3093" s="8">
        <f>1</f>
        <v>1</v>
      </c>
      <c r="L3093" s="6" t="s">
        <v>242</v>
      </c>
      <c r="M3093" s="5" t="s">
        <v>267</v>
      </c>
      <c r="N3093" s="5" t="s">
        <v>265</v>
      </c>
      <c r="O3093" s="5" t="s">
        <v>238</v>
      </c>
      <c r="P3093" s="5" t="s">
        <v>238</v>
      </c>
      <c r="Q3093" s="5" t="s">
        <v>268</v>
      </c>
      <c r="R3093" s="5" t="s">
        <v>270</v>
      </c>
      <c r="S3093" s="5" t="s">
        <v>238</v>
      </c>
      <c r="V3093" s="5" t="s">
        <v>238</v>
      </c>
      <c r="X3093" s="6" t="s">
        <v>238</v>
      </c>
      <c r="AA3093" s="6" t="s">
        <v>243</v>
      </c>
      <c r="AB3093" s="5" t="s">
        <v>238</v>
      </c>
      <c r="AC3093" s="5" t="s">
        <v>244</v>
      </c>
      <c r="AD3093" s="5" t="s">
        <v>245</v>
      </c>
      <c r="AT3093" s="5" t="s">
        <v>246</v>
      </c>
      <c r="AU3093" s="5" t="s">
        <v>238</v>
      </c>
      <c r="AV3093" s="5" t="s">
        <v>247</v>
      </c>
      <c r="AW3093" s="5" t="s">
        <v>238</v>
      </c>
      <c r="AX3093" s="5" t="s">
        <v>249</v>
      </c>
      <c r="AY3093" s="5" t="s">
        <v>238</v>
      </c>
      <c r="BA3093" s="5" t="s">
        <v>238</v>
      </c>
      <c r="BC3093" s="5" t="s">
        <v>250</v>
      </c>
      <c r="BD3093" s="6" t="s">
        <v>243</v>
      </c>
      <c r="BE3093" s="5" t="s">
        <v>251</v>
      </c>
      <c r="BF3093" s="5" t="s">
        <v>252</v>
      </c>
      <c r="BG3093" s="5" t="s">
        <v>238</v>
      </c>
      <c r="BH3093" s="7">
        <f>0</f>
        <v>0</v>
      </c>
      <c r="BI3093" s="8">
        <f>0</f>
        <v>0</v>
      </c>
      <c r="BJ3093" s="5" t="s">
        <v>253</v>
      </c>
      <c r="BK3093" s="5" t="s">
        <v>254</v>
      </c>
      <c r="BY3093" s="5" t="s">
        <v>238</v>
      </c>
      <c r="BZ3093" s="5" t="s">
        <v>238</v>
      </c>
      <c r="CD3093" s="5" t="s">
        <v>273</v>
      </c>
      <c r="CE3093" s="5" t="s">
        <v>256</v>
      </c>
      <c r="CF3093" s="5" t="s">
        <v>238</v>
      </c>
      <c r="CI3093" s="6" t="s">
        <v>257</v>
      </c>
      <c r="CJ3093" s="5" t="s">
        <v>238</v>
      </c>
      <c r="CK3093" s="5" t="s">
        <v>258</v>
      </c>
      <c r="CL3093" s="5" t="s">
        <v>238</v>
      </c>
      <c r="CM3093" s="5" t="s">
        <v>238</v>
      </c>
      <c r="CN3093" s="5">
        <v>0</v>
      </c>
      <c r="CO3093" s="5" t="s">
        <v>259</v>
      </c>
      <c r="CP3093" s="5" t="s">
        <v>260</v>
      </c>
      <c r="CQ3093" s="5" t="s">
        <v>260</v>
      </c>
      <c r="CR3093" s="5" t="s">
        <v>261</v>
      </c>
      <c r="CU3093" s="8">
        <f>1</f>
        <v>1</v>
      </c>
      <c r="CV3093" s="8">
        <f>0</f>
        <v>0</v>
      </c>
      <c r="CX3093" s="8">
        <f>0</f>
        <v>0</v>
      </c>
      <c r="CY3093" s="8">
        <f>1</f>
        <v>1</v>
      </c>
      <c r="DA3093" s="5" t="s">
        <v>274</v>
      </c>
      <c r="DB3093" s="5" t="s">
        <v>238</v>
      </c>
      <c r="DD3093" s="5" t="s">
        <v>274</v>
      </c>
      <c r="DE3093" s="8">
        <f>712</f>
        <v>712</v>
      </c>
      <c r="DG3093" s="5" t="s">
        <v>238</v>
      </c>
      <c r="DH3093" s="5" t="s">
        <v>238</v>
      </c>
      <c r="DI3093" s="5" t="s">
        <v>238</v>
      </c>
      <c r="DJ3093" s="5" t="s">
        <v>238</v>
      </c>
      <c r="DN3093" s="5" t="s">
        <v>238</v>
      </c>
      <c r="DO3093" s="5" t="s">
        <v>238</v>
      </c>
      <c r="DP3093" s="5" t="s">
        <v>238</v>
      </c>
      <c r="DQ3093" s="5" t="s">
        <v>238</v>
      </c>
      <c r="DT3093" s="5" t="s">
        <v>275</v>
      </c>
      <c r="DU3093" s="5" t="s">
        <v>1934</v>
      </c>
      <c r="HM3093" s="5" t="s">
        <v>264</v>
      </c>
    </row>
    <row r="3094" spans="1:221" x14ac:dyDescent="0.4">
      <c r="A3094" s="5">
        <v>4798</v>
      </c>
      <c r="B3094" s="5">
        <v>1</v>
      </c>
      <c r="C3094" s="5">
        <v>1</v>
      </c>
      <c r="D3094" s="5" t="s">
        <v>269</v>
      </c>
      <c r="E3094" s="5" t="s">
        <v>271</v>
      </c>
      <c r="F3094" s="5" t="s">
        <v>248</v>
      </c>
      <c r="G3094" s="5" t="s">
        <v>266</v>
      </c>
      <c r="H3094" s="6" t="s">
        <v>1925</v>
      </c>
      <c r="I3094" s="7">
        <f>86</f>
        <v>86</v>
      </c>
      <c r="J3094" s="5" t="s">
        <v>262</v>
      </c>
      <c r="K3094" s="8">
        <f>1</f>
        <v>1</v>
      </c>
      <c r="L3094" s="6" t="s">
        <v>242</v>
      </c>
      <c r="M3094" s="5" t="s">
        <v>267</v>
      </c>
      <c r="N3094" s="5" t="s">
        <v>265</v>
      </c>
      <c r="O3094" s="5" t="s">
        <v>238</v>
      </c>
      <c r="P3094" s="5" t="s">
        <v>238</v>
      </c>
      <c r="Q3094" s="5" t="s">
        <v>268</v>
      </c>
      <c r="R3094" s="5" t="s">
        <v>270</v>
      </c>
      <c r="S3094" s="5" t="s">
        <v>238</v>
      </c>
      <c r="V3094" s="5" t="s">
        <v>238</v>
      </c>
      <c r="X3094" s="6" t="s">
        <v>238</v>
      </c>
      <c r="AA3094" s="6" t="s">
        <v>243</v>
      </c>
      <c r="AB3094" s="5" t="s">
        <v>238</v>
      </c>
      <c r="AC3094" s="5" t="s">
        <v>244</v>
      </c>
      <c r="AD3094" s="5" t="s">
        <v>245</v>
      </c>
      <c r="AT3094" s="5" t="s">
        <v>246</v>
      </c>
      <c r="AU3094" s="5" t="s">
        <v>238</v>
      </c>
      <c r="AV3094" s="5" t="s">
        <v>247</v>
      </c>
      <c r="AW3094" s="5" t="s">
        <v>238</v>
      </c>
      <c r="AX3094" s="5" t="s">
        <v>249</v>
      </c>
      <c r="AY3094" s="5" t="s">
        <v>238</v>
      </c>
      <c r="BA3094" s="5" t="s">
        <v>238</v>
      </c>
      <c r="BC3094" s="5" t="s">
        <v>250</v>
      </c>
      <c r="BD3094" s="6" t="s">
        <v>243</v>
      </c>
      <c r="BE3094" s="5" t="s">
        <v>251</v>
      </c>
      <c r="BF3094" s="5" t="s">
        <v>252</v>
      </c>
      <c r="BG3094" s="5" t="s">
        <v>238</v>
      </c>
      <c r="BH3094" s="7">
        <f>0</f>
        <v>0</v>
      </c>
      <c r="BI3094" s="8">
        <f>0</f>
        <v>0</v>
      </c>
      <c r="BJ3094" s="5" t="s">
        <v>253</v>
      </c>
      <c r="BK3094" s="5" t="s">
        <v>254</v>
      </c>
      <c r="BY3094" s="5" t="s">
        <v>238</v>
      </c>
      <c r="BZ3094" s="5" t="s">
        <v>238</v>
      </c>
      <c r="CD3094" s="5" t="s">
        <v>273</v>
      </c>
      <c r="CE3094" s="5" t="s">
        <v>256</v>
      </c>
      <c r="CF3094" s="5" t="s">
        <v>238</v>
      </c>
      <c r="CI3094" s="6" t="s">
        <v>257</v>
      </c>
      <c r="CJ3094" s="5" t="s">
        <v>238</v>
      </c>
      <c r="CK3094" s="5" t="s">
        <v>258</v>
      </c>
      <c r="CL3094" s="5" t="s">
        <v>238</v>
      </c>
      <c r="CM3094" s="5" t="s">
        <v>238</v>
      </c>
      <c r="CN3094" s="5">
        <v>0</v>
      </c>
      <c r="CO3094" s="5" t="s">
        <v>259</v>
      </c>
      <c r="CP3094" s="5" t="s">
        <v>260</v>
      </c>
      <c r="CQ3094" s="5" t="s">
        <v>260</v>
      </c>
      <c r="CR3094" s="5" t="s">
        <v>261</v>
      </c>
      <c r="CU3094" s="8">
        <f>1</f>
        <v>1</v>
      </c>
      <c r="CV3094" s="8">
        <f>0</f>
        <v>0</v>
      </c>
      <c r="CX3094" s="8">
        <f>0</f>
        <v>0</v>
      </c>
      <c r="CY3094" s="8">
        <f>1</f>
        <v>1</v>
      </c>
      <c r="DA3094" s="5" t="s">
        <v>274</v>
      </c>
      <c r="DB3094" s="5" t="s">
        <v>238</v>
      </c>
      <c r="DD3094" s="5" t="s">
        <v>274</v>
      </c>
      <c r="DE3094" s="8">
        <f>86</f>
        <v>86</v>
      </c>
      <c r="DG3094" s="5" t="s">
        <v>238</v>
      </c>
      <c r="DH3094" s="5" t="s">
        <v>238</v>
      </c>
      <c r="DI3094" s="5" t="s">
        <v>238</v>
      </c>
      <c r="DJ3094" s="5" t="s">
        <v>238</v>
      </c>
      <c r="DN3094" s="5" t="s">
        <v>238</v>
      </c>
      <c r="DO3094" s="5" t="s">
        <v>238</v>
      </c>
      <c r="DP3094" s="5" t="s">
        <v>238</v>
      </c>
      <c r="DQ3094" s="5" t="s">
        <v>238</v>
      </c>
      <c r="DT3094" s="5" t="s">
        <v>275</v>
      </c>
      <c r="DU3094" s="5" t="s">
        <v>1926</v>
      </c>
      <c r="HM3094" s="5" t="s">
        <v>264</v>
      </c>
    </row>
    <row r="3095" spans="1:221" x14ac:dyDescent="0.4">
      <c r="A3095" s="5">
        <v>4799</v>
      </c>
      <c r="B3095" s="5">
        <v>1</v>
      </c>
      <c r="C3095" s="5">
        <v>1</v>
      </c>
      <c r="D3095" s="5" t="s">
        <v>269</v>
      </c>
      <c r="E3095" s="5" t="s">
        <v>271</v>
      </c>
      <c r="F3095" s="5" t="s">
        <v>248</v>
      </c>
      <c r="G3095" s="5" t="s">
        <v>266</v>
      </c>
      <c r="H3095" s="6" t="s">
        <v>1919</v>
      </c>
      <c r="I3095" s="7">
        <f>1532</f>
        <v>1532</v>
      </c>
      <c r="J3095" s="5" t="s">
        <v>262</v>
      </c>
      <c r="K3095" s="8">
        <f>1</f>
        <v>1</v>
      </c>
      <c r="L3095" s="6" t="s">
        <v>242</v>
      </c>
      <c r="M3095" s="5" t="s">
        <v>267</v>
      </c>
      <c r="N3095" s="5" t="s">
        <v>265</v>
      </c>
      <c r="O3095" s="5" t="s">
        <v>238</v>
      </c>
      <c r="P3095" s="5" t="s">
        <v>238</v>
      </c>
      <c r="Q3095" s="5" t="s">
        <v>268</v>
      </c>
      <c r="R3095" s="5" t="s">
        <v>270</v>
      </c>
      <c r="S3095" s="5" t="s">
        <v>238</v>
      </c>
      <c r="V3095" s="5" t="s">
        <v>238</v>
      </c>
      <c r="X3095" s="6" t="s">
        <v>238</v>
      </c>
      <c r="AA3095" s="6" t="s">
        <v>243</v>
      </c>
      <c r="AB3095" s="5" t="s">
        <v>238</v>
      </c>
      <c r="AC3095" s="5" t="s">
        <v>244</v>
      </c>
      <c r="AD3095" s="5" t="s">
        <v>245</v>
      </c>
      <c r="AT3095" s="5" t="s">
        <v>246</v>
      </c>
      <c r="AU3095" s="5" t="s">
        <v>238</v>
      </c>
      <c r="AV3095" s="5" t="s">
        <v>247</v>
      </c>
      <c r="AW3095" s="5" t="s">
        <v>238</v>
      </c>
      <c r="AX3095" s="5" t="s">
        <v>249</v>
      </c>
      <c r="AY3095" s="5" t="s">
        <v>238</v>
      </c>
      <c r="BA3095" s="5" t="s">
        <v>238</v>
      </c>
      <c r="BC3095" s="5" t="s">
        <v>250</v>
      </c>
      <c r="BD3095" s="6" t="s">
        <v>243</v>
      </c>
      <c r="BE3095" s="5" t="s">
        <v>251</v>
      </c>
      <c r="BF3095" s="5" t="s">
        <v>252</v>
      </c>
      <c r="BG3095" s="5" t="s">
        <v>238</v>
      </c>
      <c r="BH3095" s="7">
        <f>0</f>
        <v>0</v>
      </c>
      <c r="BI3095" s="8">
        <f>0</f>
        <v>0</v>
      </c>
      <c r="BJ3095" s="5" t="s">
        <v>253</v>
      </c>
      <c r="BK3095" s="5" t="s">
        <v>254</v>
      </c>
      <c r="BY3095" s="5" t="s">
        <v>238</v>
      </c>
      <c r="BZ3095" s="5" t="s">
        <v>238</v>
      </c>
      <c r="CD3095" s="5" t="s">
        <v>273</v>
      </c>
      <c r="CE3095" s="5" t="s">
        <v>256</v>
      </c>
      <c r="CF3095" s="5" t="s">
        <v>238</v>
      </c>
      <c r="CI3095" s="6" t="s">
        <v>257</v>
      </c>
      <c r="CJ3095" s="5" t="s">
        <v>238</v>
      </c>
      <c r="CK3095" s="5" t="s">
        <v>258</v>
      </c>
      <c r="CL3095" s="5" t="s">
        <v>238</v>
      </c>
      <c r="CM3095" s="5" t="s">
        <v>238</v>
      </c>
      <c r="CN3095" s="5">
        <v>0</v>
      </c>
      <c r="CO3095" s="5" t="s">
        <v>259</v>
      </c>
      <c r="CP3095" s="5" t="s">
        <v>260</v>
      </c>
      <c r="CQ3095" s="5" t="s">
        <v>260</v>
      </c>
      <c r="CR3095" s="5" t="s">
        <v>261</v>
      </c>
      <c r="CU3095" s="8">
        <f>1</f>
        <v>1</v>
      </c>
      <c r="CV3095" s="8">
        <f>0</f>
        <v>0</v>
      </c>
      <c r="CX3095" s="8">
        <f>0</f>
        <v>0</v>
      </c>
      <c r="CY3095" s="8">
        <f>1</f>
        <v>1</v>
      </c>
      <c r="DA3095" s="5" t="s">
        <v>274</v>
      </c>
      <c r="DB3095" s="5" t="s">
        <v>238</v>
      </c>
      <c r="DD3095" s="5" t="s">
        <v>274</v>
      </c>
      <c r="DE3095" s="8">
        <f>1532</f>
        <v>1532</v>
      </c>
      <c r="DG3095" s="5" t="s">
        <v>238</v>
      </c>
      <c r="DH3095" s="5" t="s">
        <v>238</v>
      </c>
      <c r="DI3095" s="5" t="s">
        <v>238</v>
      </c>
      <c r="DJ3095" s="5" t="s">
        <v>238</v>
      </c>
      <c r="DN3095" s="5" t="s">
        <v>238</v>
      </c>
      <c r="DO3095" s="5" t="s">
        <v>238</v>
      </c>
      <c r="DP3095" s="5" t="s">
        <v>238</v>
      </c>
      <c r="DQ3095" s="5" t="s">
        <v>238</v>
      </c>
      <c r="DT3095" s="5" t="s">
        <v>275</v>
      </c>
      <c r="DU3095" s="5" t="s">
        <v>1920</v>
      </c>
      <c r="HM3095" s="5" t="s">
        <v>264</v>
      </c>
    </row>
    <row r="3096" spans="1:221" x14ac:dyDescent="0.4">
      <c r="A3096" s="5">
        <v>4800</v>
      </c>
      <c r="B3096" s="5">
        <v>1</v>
      </c>
      <c r="C3096" s="5">
        <v>1</v>
      </c>
      <c r="D3096" s="5" t="s">
        <v>269</v>
      </c>
      <c r="E3096" s="5" t="s">
        <v>271</v>
      </c>
      <c r="F3096" s="5" t="s">
        <v>248</v>
      </c>
      <c r="G3096" s="5" t="s">
        <v>266</v>
      </c>
      <c r="H3096" s="6" t="s">
        <v>1913</v>
      </c>
      <c r="I3096" s="7">
        <f>808</f>
        <v>808</v>
      </c>
      <c r="J3096" s="5" t="s">
        <v>262</v>
      </c>
      <c r="K3096" s="8">
        <f>1</f>
        <v>1</v>
      </c>
      <c r="L3096" s="6" t="s">
        <v>242</v>
      </c>
      <c r="M3096" s="5" t="s">
        <v>267</v>
      </c>
      <c r="N3096" s="5" t="s">
        <v>265</v>
      </c>
      <c r="O3096" s="5" t="s">
        <v>238</v>
      </c>
      <c r="P3096" s="5" t="s">
        <v>238</v>
      </c>
      <c r="Q3096" s="5" t="s">
        <v>268</v>
      </c>
      <c r="R3096" s="5" t="s">
        <v>270</v>
      </c>
      <c r="S3096" s="5" t="s">
        <v>238</v>
      </c>
      <c r="V3096" s="5" t="s">
        <v>238</v>
      </c>
      <c r="X3096" s="6" t="s">
        <v>238</v>
      </c>
      <c r="AA3096" s="6" t="s">
        <v>243</v>
      </c>
      <c r="AB3096" s="5" t="s">
        <v>238</v>
      </c>
      <c r="AC3096" s="5" t="s">
        <v>244</v>
      </c>
      <c r="AD3096" s="5" t="s">
        <v>245</v>
      </c>
      <c r="AT3096" s="5" t="s">
        <v>246</v>
      </c>
      <c r="AU3096" s="5" t="s">
        <v>238</v>
      </c>
      <c r="AV3096" s="5" t="s">
        <v>247</v>
      </c>
      <c r="AW3096" s="5" t="s">
        <v>238</v>
      </c>
      <c r="AX3096" s="5" t="s">
        <v>249</v>
      </c>
      <c r="AY3096" s="5" t="s">
        <v>238</v>
      </c>
      <c r="BA3096" s="5" t="s">
        <v>238</v>
      </c>
      <c r="BC3096" s="5" t="s">
        <v>250</v>
      </c>
      <c r="BD3096" s="6" t="s">
        <v>243</v>
      </c>
      <c r="BE3096" s="5" t="s">
        <v>251</v>
      </c>
      <c r="BF3096" s="5" t="s">
        <v>252</v>
      </c>
      <c r="BG3096" s="5" t="s">
        <v>238</v>
      </c>
      <c r="BH3096" s="7">
        <f>0</f>
        <v>0</v>
      </c>
      <c r="BI3096" s="8">
        <f>0</f>
        <v>0</v>
      </c>
      <c r="BJ3096" s="5" t="s">
        <v>253</v>
      </c>
      <c r="BK3096" s="5" t="s">
        <v>254</v>
      </c>
      <c r="BY3096" s="5" t="s">
        <v>238</v>
      </c>
      <c r="BZ3096" s="5" t="s">
        <v>238</v>
      </c>
      <c r="CD3096" s="5" t="s">
        <v>273</v>
      </c>
      <c r="CE3096" s="5" t="s">
        <v>256</v>
      </c>
      <c r="CF3096" s="5" t="s">
        <v>238</v>
      </c>
      <c r="CI3096" s="6" t="s">
        <v>257</v>
      </c>
      <c r="CJ3096" s="5" t="s">
        <v>238</v>
      </c>
      <c r="CK3096" s="5" t="s">
        <v>258</v>
      </c>
      <c r="CL3096" s="5" t="s">
        <v>238</v>
      </c>
      <c r="CM3096" s="5" t="s">
        <v>238</v>
      </c>
      <c r="CN3096" s="5">
        <v>0</v>
      </c>
      <c r="CO3096" s="5" t="s">
        <v>259</v>
      </c>
      <c r="CP3096" s="5" t="s">
        <v>260</v>
      </c>
      <c r="CQ3096" s="5" t="s">
        <v>260</v>
      </c>
      <c r="CR3096" s="5" t="s">
        <v>261</v>
      </c>
      <c r="CU3096" s="8">
        <f>1</f>
        <v>1</v>
      </c>
      <c r="CV3096" s="8">
        <f>0</f>
        <v>0</v>
      </c>
      <c r="CX3096" s="8">
        <f>0</f>
        <v>0</v>
      </c>
      <c r="CY3096" s="8">
        <f>1</f>
        <v>1</v>
      </c>
      <c r="DA3096" s="5" t="s">
        <v>274</v>
      </c>
      <c r="DB3096" s="5" t="s">
        <v>238</v>
      </c>
      <c r="DD3096" s="5" t="s">
        <v>274</v>
      </c>
      <c r="DE3096" s="8">
        <f>808</f>
        <v>808</v>
      </c>
      <c r="DG3096" s="5" t="s">
        <v>238</v>
      </c>
      <c r="DH3096" s="5" t="s">
        <v>238</v>
      </c>
      <c r="DI3096" s="5" t="s">
        <v>238</v>
      </c>
      <c r="DJ3096" s="5" t="s">
        <v>238</v>
      </c>
      <c r="DN3096" s="5" t="s">
        <v>238</v>
      </c>
      <c r="DO3096" s="5" t="s">
        <v>238</v>
      </c>
      <c r="DP3096" s="5" t="s">
        <v>238</v>
      </c>
      <c r="DQ3096" s="5" t="s">
        <v>238</v>
      </c>
      <c r="DT3096" s="5" t="s">
        <v>275</v>
      </c>
      <c r="DU3096" s="5" t="s">
        <v>1914</v>
      </c>
      <c r="HM3096" s="5" t="s">
        <v>264</v>
      </c>
    </row>
    <row r="3097" spans="1:221" x14ac:dyDescent="0.4">
      <c r="A3097" s="5">
        <v>4801</v>
      </c>
      <c r="B3097" s="5">
        <v>1</v>
      </c>
      <c r="C3097" s="5">
        <v>1</v>
      </c>
      <c r="D3097" s="5" t="s">
        <v>269</v>
      </c>
      <c r="E3097" s="5" t="s">
        <v>271</v>
      </c>
      <c r="F3097" s="5" t="s">
        <v>248</v>
      </c>
      <c r="G3097" s="5" t="s">
        <v>266</v>
      </c>
      <c r="H3097" s="6" t="s">
        <v>1903</v>
      </c>
      <c r="I3097" s="7">
        <f>149</f>
        <v>149</v>
      </c>
      <c r="J3097" s="5" t="s">
        <v>262</v>
      </c>
      <c r="K3097" s="8">
        <f>1</f>
        <v>1</v>
      </c>
      <c r="L3097" s="6" t="s">
        <v>242</v>
      </c>
      <c r="M3097" s="5" t="s">
        <v>267</v>
      </c>
      <c r="N3097" s="5" t="s">
        <v>265</v>
      </c>
      <c r="O3097" s="5" t="s">
        <v>238</v>
      </c>
      <c r="P3097" s="5" t="s">
        <v>238</v>
      </c>
      <c r="Q3097" s="5" t="s">
        <v>268</v>
      </c>
      <c r="R3097" s="5" t="s">
        <v>270</v>
      </c>
      <c r="S3097" s="5" t="s">
        <v>238</v>
      </c>
      <c r="V3097" s="5" t="s">
        <v>238</v>
      </c>
      <c r="X3097" s="6" t="s">
        <v>238</v>
      </c>
      <c r="AA3097" s="6" t="s">
        <v>243</v>
      </c>
      <c r="AB3097" s="5" t="s">
        <v>238</v>
      </c>
      <c r="AC3097" s="5" t="s">
        <v>244</v>
      </c>
      <c r="AD3097" s="5" t="s">
        <v>245</v>
      </c>
      <c r="AT3097" s="5" t="s">
        <v>246</v>
      </c>
      <c r="AU3097" s="5" t="s">
        <v>238</v>
      </c>
      <c r="AV3097" s="5" t="s">
        <v>247</v>
      </c>
      <c r="AW3097" s="5" t="s">
        <v>238</v>
      </c>
      <c r="AX3097" s="5" t="s">
        <v>249</v>
      </c>
      <c r="AY3097" s="5" t="s">
        <v>238</v>
      </c>
      <c r="BA3097" s="5" t="s">
        <v>238</v>
      </c>
      <c r="BC3097" s="5" t="s">
        <v>250</v>
      </c>
      <c r="BD3097" s="6" t="s">
        <v>243</v>
      </c>
      <c r="BE3097" s="5" t="s">
        <v>251</v>
      </c>
      <c r="BF3097" s="5" t="s">
        <v>252</v>
      </c>
      <c r="BG3097" s="5" t="s">
        <v>238</v>
      </c>
      <c r="BH3097" s="7">
        <f>0</f>
        <v>0</v>
      </c>
      <c r="BI3097" s="8">
        <f>0</f>
        <v>0</v>
      </c>
      <c r="BJ3097" s="5" t="s">
        <v>253</v>
      </c>
      <c r="BK3097" s="5" t="s">
        <v>254</v>
      </c>
      <c r="BY3097" s="5" t="s">
        <v>238</v>
      </c>
      <c r="BZ3097" s="5" t="s">
        <v>238</v>
      </c>
      <c r="CD3097" s="5" t="s">
        <v>273</v>
      </c>
      <c r="CE3097" s="5" t="s">
        <v>256</v>
      </c>
      <c r="CF3097" s="5" t="s">
        <v>238</v>
      </c>
      <c r="CI3097" s="6" t="s">
        <v>257</v>
      </c>
      <c r="CJ3097" s="5" t="s">
        <v>238</v>
      </c>
      <c r="CK3097" s="5" t="s">
        <v>258</v>
      </c>
      <c r="CL3097" s="5" t="s">
        <v>238</v>
      </c>
      <c r="CM3097" s="5" t="s">
        <v>238</v>
      </c>
      <c r="CN3097" s="5">
        <v>0</v>
      </c>
      <c r="CO3097" s="5" t="s">
        <v>259</v>
      </c>
      <c r="CP3097" s="5" t="s">
        <v>260</v>
      </c>
      <c r="CQ3097" s="5" t="s">
        <v>260</v>
      </c>
      <c r="CR3097" s="5" t="s">
        <v>261</v>
      </c>
      <c r="CU3097" s="8">
        <f>1</f>
        <v>1</v>
      </c>
      <c r="CV3097" s="8">
        <f>0</f>
        <v>0</v>
      </c>
      <c r="CX3097" s="8">
        <f>0</f>
        <v>0</v>
      </c>
      <c r="CY3097" s="8">
        <f>1</f>
        <v>1</v>
      </c>
      <c r="DA3097" s="5" t="s">
        <v>274</v>
      </c>
      <c r="DB3097" s="5" t="s">
        <v>238</v>
      </c>
      <c r="DD3097" s="5" t="s">
        <v>274</v>
      </c>
      <c r="DE3097" s="8">
        <f>149</f>
        <v>149</v>
      </c>
      <c r="DG3097" s="5" t="s">
        <v>238</v>
      </c>
      <c r="DH3097" s="5" t="s">
        <v>238</v>
      </c>
      <c r="DI3097" s="5" t="s">
        <v>238</v>
      </c>
      <c r="DJ3097" s="5" t="s">
        <v>238</v>
      </c>
      <c r="DN3097" s="5" t="s">
        <v>238</v>
      </c>
      <c r="DO3097" s="5" t="s">
        <v>238</v>
      </c>
      <c r="DP3097" s="5" t="s">
        <v>238</v>
      </c>
      <c r="DQ3097" s="5" t="s">
        <v>238</v>
      </c>
      <c r="DT3097" s="5" t="s">
        <v>275</v>
      </c>
      <c r="DU3097" s="5" t="s">
        <v>1904</v>
      </c>
      <c r="HM3097" s="5" t="s">
        <v>264</v>
      </c>
    </row>
    <row r="3098" spans="1:221" x14ac:dyDescent="0.4">
      <c r="A3098" s="5">
        <v>4802</v>
      </c>
      <c r="B3098" s="5">
        <v>1</v>
      </c>
      <c r="C3098" s="5">
        <v>1</v>
      </c>
      <c r="D3098" s="5" t="s">
        <v>269</v>
      </c>
      <c r="E3098" s="5" t="s">
        <v>271</v>
      </c>
      <c r="F3098" s="5" t="s">
        <v>248</v>
      </c>
      <c r="G3098" s="5" t="s">
        <v>266</v>
      </c>
      <c r="H3098" s="6" t="s">
        <v>1893</v>
      </c>
      <c r="I3098" s="7">
        <f>464</f>
        <v>464</v>
      </c>
      <c r="J3098" s="5" t="s">
        <v>262</v>
      </c>
      <c r="K3098" s="8">
        <f>1</f>
        <v>1</v>
      </c>
      <c r="L3098" s="6" t="s">
        <v>242</v>
      </c>
      <c r="M3098" s="5" t="s">
        <v>267</v>
      </c>
      <c r="N3098" s="5" t="s">
        <v>265</v>
      </c>
      <c r="O3098" s="5" t="s">
        <v>238</v>
      </c>
      <c r="P3098" s="5" t="s">
        <v>238</v>
      </c>
      <c r="Q3098" s="5" t="s">
        <v>268</v>
      </c>
      <c r="R3098" s="5" t="s">
        <v>270</v>
      </c>
      <c r="S3098" s="5" t="s">
        <v>238</v>
      </c>
      <c r="V3098" s="5" t="s">
        <v>238</v>
      </c>
      <c r="X3098" s="6" t="s">
        <v>238</v>
      </c>
      <c r="AA3098" s="6" t="s">
        <v>243</v>
      </c>
      <c r="AB3098" s="5" t="s">
        <v>238</v>
      </c>
      <c r="AC3098" s="5" t="s">
        <v>244</v>
      </c>
      <c r="AD3098" s="5" t="s">
        <v>245</v>
      </c>
      <c r="AT3098" s="5" t="s">
        <v>246</v>
      </c>
      <c r="AU3098" s="5" t="s">
        <v>238</v>
      </c>
      <c r="AV3098" s="5" t="s">
        <v>247</v>
      </c>
      <c r="AW3098" s="5" t="s">
        <v>238</v>
      </c>
      <c r="AX3098" s="5" t="s">
        <v>249</v>
      </c>
      <c r="AY3098" s="5" t="s">
        <v>238</v>
      </c>
      <c r="BA3098" s="5" t="s">
        <v>238</v>
      </c>
      <c r="BC3098" s="5" t="s">
        <v>250</v>
      </c>
      <c r="BD3098" s="6" t="s">
        <v>243</v>
      </c>
      <c r="BE3098" s="5" t="s">
        <v>251</v>
      </c>
      <c r="BF3098" s="5" t="s">
        <v>252</v>
      </c>
      <c r="BG3098" s="5" t="s">
        <v>238</v>
      </c>
      <c r="BH3098" s="7">
        <f>0</f>
        <v>0</v>
      </c>
      <c r="BI3098" s="8">
        <f>0</f>
        <v>0</v>
      </c>
      <c r="BJ3098" s="5" t="s">
        <v>253</v>
      </c>
      <c r="BK3098" s="5" t="s">
        <v>254</v>
      </c>
      <c r="BY3098" s="5" t="s">
        <v>238</v>
      </c>
      <c r="BZ3098" s="5" t="s">
        <v>238</v>
      </c>
      <c r="CD3098" s="5" t="s">
        <v>273</v>
      </c>
      <c r="CE3098" s="5" t="s">
        <v>256</v>
      </c>
      <c r="CF3098" s="5" t="s">
        <v>238</v>
      </c>
      <c r="CI3098" s="6" t="s">
        <v>257</v>
      </c>
      <c r="CJ3098" s="5" t="s">
        <v>238</v>
      </c>
      <c r="CK3098" s="5" t="s">
        <v>258</v>
      </c>
      <c r="CL3098" s="5" t="s">
        <v>238</v>
      </c>
      <c r="CM3098" s="5" t="s">
        <v>238</v>
      </c>
      <c r="CN3098" s="5">
        <v>0</v>
      </c>
      <c r="CO3098" s="5" t="s">
        <v>259</v>
      </c>
      <c r="CP3098" s="5" t="s">
        <v>260</v>
      </c>
      <c r="CQ3098" s="5" t="s">
        <v>260</v>
      </c>
      <c r="CR3098" s="5" t="s">
        <v>261</v>
      </c>
      <c r="CU3098" s="8">
        <f>1</f>
        <v>1</v>
      </c>
      <c r="CV3098" s="8">
        <f>0</f>
        <v>0</v>
      </c>
      <c r="CX3098" s="8">
        <f>0</f>
        <v>0</v>
      </c>
      <c r="CY3098" s="8">
        <f>1</f>
        <v>1</v>
      </c>
      <c r="DA3098" s="5" t="s">
        <v>274</v>
      </c>
      <c r="DB3098" s="5" t="s">
        <v>238</v>
      </c>
      <c r="DD3098" s="5" t="s">
        <v>274</v>
      </c>
      <c r="DE3098" s="8">
        <f>464</f>
        <v>464</v>
      </c>
      <c r="DG3098" s="5" t="s">
        <v>238</v>
      </c>
      <c r="DH3098" s="5" t="s">
        <v>238</v>
      </c>
      <c r="DI3098" s="5" t="s">
        <v>238</v>
      </c>
      <c r="DJ3098" s="5" t="s">
        <v>238</v>
      </c>
      <c r="DN3098" s="5" t="s">
        <v>238</v>
      </c>
      <c r="DO3098" s="5" t="s">
        <v>238</v>
      </c>
      <c r="DP3098" s="5" t="s">
        <v>238</v>
      </c>
      <c r="DQ3098" s="5" t="s">
        <v>238</v>
      </c>
      <c r="DT3098" s="5" t="s">
        <v>275</v>
      </c>
      <c r="DU3098" s="5" t="s">
        <v>1894</v>
      </c>
      <c r="HM3098" s="5" t="s">
        <v>264</v>
      </c>
    </row>
    <row r="3099" spans="1:221" x14ac:dyDescent="0.4">
      <c r="A3099" s="5">
        <v>4803</v>
      </c>
      <c r="B3099" s="5">
        <v>1</v>
      </c>
      <c r="C3099" s="5">
        <v>1</v>
      </c>
      <c r="D3099" s="5" t="s">
        <v>269</v>
      </c>
      <c r="E3099" s="5" t="s">
        <v>271</v>
      </c>
      <c r="F3099" s="5" t="s">
        <v>248</v>
      </c>
      <c r="G3099" s="5" t="s">
        <v>266</v>
      </c>
      <c r="H3099" s="6" t="s">
        <v>1887</v>
      </c>
      <c r="I3099" s="7">
        <f>677</f>
        <v>677</v>
      </c>
      <c r="J3099" s="5" t="s">
        <v>262</v>
      </c>
      <c r="K3099" s="8">
        <f>1</f>
        <v>1</v>
      </c>
      <c r="L3099" s="6" t="s">
        <v>242</v>
      </c>
      <c r="M3099" s="5" t="s">
        <v>267</v>
      </c>
      <c r="N3099" s="5" t="s">
        <v>265</v>
      </c>
      <c r="O3099" s="5" t="s">
        <v>238</v>
      </c>
      <c r="P3099" s="5" t="s">
        <v>238</v>
      </c>
      <c r="Q3099" s="5" t="s">
        <v>268</v>
      </c>
      <c r="R3099" s="5" t="s">
        <v>270</v>
      </c>
      <c r="S3099" s="5" t="s">
        <v>238</v>
      </c>
      <c r="V3099" s="5" t="s">
        <v>238</v>
      </c>
      <c r="X3099" s="6" t="s">
        <v>238</v>
      </c>
      <c r="AA3099" s="6" t="s">
        <v>243</v>
      </c>
      <c r="AB3099" s="5" t="s">
        <v>238</v>
      </c>
      <c r="AC3099" s="5" t="s">
        <v>244</v>
      </c>
      <c r="AD3099" s="5" t="s">
        <v>245</v>
      </c>
      <c r="AT3099" s="5" t="s">
        <v>246</v>
      </c>
      <c r="AU3099" s="5" t="s">
        <v>238</v>
      </c>
      <c r="AV3099" s="5" t="s">
        <v>247</v>
      </c>
      <c r="AW3099" s="5" t="s">
        <v>238</v>
      </c>
      <c r="AX3099" s="5" t="s">
        <v>249</v>
      </c>
      <c r="AY3099" s="5" t="s">
        <v>238</v>
      </c>
      <c r="BA3099" s="5" t="s">
        <v>238</v>
      </c>
      <c r="BC3099" s="5" t="s">
        <v>250</v>
      </c>
      <c r="BD3099" s="6" t="s">
        <v>243</v>
      </c>
      <c r="BE3099" s="5" t="s">
        <v>251</v>
      </c>
      <c r="BF3099" s="5" t="s">
        <v>252</v>
      </c>
      <c r="BG3099" s="5" t="s">
        <v>238</v>
      </c>
      <c r="BH3099" s="7">
        <f>0</f>
        <v>0</v>
      </c>
      <c r="BI3099" s="8">
        <f>0</f>
        <v>0</v>
      </c>
      <c r="BJ3099" s="5" t="s">
        <v>253</v>
      </c>
      <c r="BK3099" s="5" t="s">
        <v>254</v>
      </c>
      <c r="BY3099" s="5" t="s">
        <v>238</v>
      </c>
      <c r="BZ3099" s="5" t="s">
        <v>238</v>
      </c>
      <c r="CD3099" s="5" t="s">
        <v>273</v>
      </c>
      <c r="CE3099" s="5" t="s">
        <v>256</v>
      </c>
      <c r="CF3099" s="5" t="s">
        <v>238</v>
      </c>
      <c r="CI3099" s="6" t="s">
        <v>257</v>
      </c>
      <c r="CJ3099" s="5" t="s">
        <v>238</v>
      </c>
      <c r="CK3099" s="5" t="s">
        <v>258</v>
      </c>
      <c r="CL3099" s="5" t="s">
        <v>238</v>
      </c>
      <c r="CM3099" s="5" t="s">
        <v>238</v>
      </c>
      <c r="CN3099" s="5">
        <v>0</v>
      </c>
      <c r="CO3099" s="5" t="s">
        <v>259</v>
      </c>
      <c r="CP3099" s="5" t="s">
        <v>260</v>
      </c>
      <c r="CQ3099" s="5" t="s">
        <v>260</v>
      </c>
      <c r="CR3099" s="5" t="s">
        <v>261</v>
      </c>
      <c r="CU3099" s="8">
        <f>1</f>
        <v>1</v>
      </c>
      <c r="CV3099" s="8">
        <f>0</f>
        <v>0</v>
      </c>
      <c r="CX3099" s="8">
        <f>0</f>
        <v>0</v>
      </c>
      <c r="CY3099" s="8">
        <f>1</f>
        <v>1</v>
      </c>
      <c r="DA3099" s="5" t="s">
        <v>274</v>
      </c>
      <c r="DB3099" s="5" t="s">
        <v>238</v>
      </c>
      <c r="DD3099" s="5" t="s">
        <v>274</v>
      </c>
      <c r="DE3099" s="8">
        <f>677</f>
        <v>677</v>
      </c>
      <c r="DG3099" s="5" t="s">
        <v>238</v>
      </c>
      <c r="DH3099" s="5" t="s">
        <v>238</v>
      </c>
      <c r="DI3099" s="5" t="s">
        <v>238</v>
      </c>
      <c r="DJ3099" s="5" t="s">
        <v>238</v>
      </c>
      <c r="DN3099" s="5" t="s">
        <v>238</v>
      </c>
      <c r="DO3099" s="5" t="s">
        <v>238</v>
      </c>
      <c r="DP3099" s="5" t="s">
        <v>238</v>
      </c>
      <c r="DQ3099" s="5" t="s">
        <v>238</v>
      </c>
      <c r="DT3099" s="5" t="s">
        <v>275</v>
      </c>
      <c r="DU3099" s="5" t="s">
        <v>1888</v>
      </c>
      <c r="HM3099" s="5" t="s">
        <v>264</v>
      </c>
    </row>
    <row r="3100" spans="1:221" x14ac:dyDescent="0.4">
      <c r="A3100" s="5">
        <v>4804</v>
      </c>
      <c r="B3100" s="5">
        <v>1</v>
      </c>
      <c r="C3100" s="5">
        <v>1</v>
      </c>
      <c r="D3100" s="5" t="s">
        <v>269</v>
      </c>
      <c r="E3100" s="5" t="s">
        <v>271</v>
      </c>
      <c r="F3100" s="5" t="s">
        <v>248</v>
      </c>
      <c r="G3100" s="5" t="s">
        <v>266</v>
      </c>
      <c r="H3100" s="6" t="s">
        <v>1879</v>
      </c>
      <c r="I3100" s="7">
        <f>80</f>
        <v>80</v>
      </c>
      <c r="J3100" s="5" t="s">
        <v>262</v>
      </c>
      <c r="K3100" s="8">
        <f>1</f>
        <v>1</v>
      </c>
      <c r="L3100" s="6" t="s">
        <v>242</v>
      </c>
      <c r="M3100" s="5" t="s">
        <v>267</v>
      </c>
      <c r="N3100" s="5" t="s">
        <v>265</v>
      </c>
      <c r="O3100" s="5" t="s">
        <v>238</v>
      </c>
      <c r="P3100" s="5" t="s">
        <v>238</v>
      </c>
      <c r="Q3100" s="5" t="s">
        <v>268</v>
      </c>
      <c r="R3100" s="5" t="s">
        <v>270</v>
      </c>
      <c r="S3100" s="5" t="s">
        <v>238</v>
      </c>
      <c r="V3100" s="5" t="s">
        <v>238</v>
      </c>
      <c r="X3100" s="6" t="s">
        <v>238</v>
      </c>
      <c r="AA3100" s="6" t="s">
        <v>243</v>
      </c>
      <c r="AB3100" s="5" t="s">
        <v>238</v>
      </c>
      <c r="AC3100" s="5" t="s">
        <v>244</v>
      </c>
      <c r="AD3100" s="5" t="s">
        <v>245</v>
      </c>
      <c r="AT3100" s="5" t="s">
        <v>246</v>
      </c>
      <c r="AU3100" s="5" t="s">
        <v>238</v>
      </c>
      <c r="AV3100" s="5" t="s">
        <v>247</v>
      </c>
      <c r="AW3100" s="5" t="s">
        <v>238</v>
      </c>
      <c r="AX3100" s="5" t="s">
        <v>249</v>
      </c>
      <c r="AY3100" s="5" t="s">
        <v>238</v>
      </c>
      <c r="BA3100" s="5" t="s">
        <v>238</v>
      </c>
      <c r="BC3100" s="5" t="s">
        <v>250</v>
      </c>
      <c r="BD3100" s="6" t="s">
        <v>243</v>
      </c>
      <c r="BE3100" s="5" t="s">
        <v>251</v>
      </c>
      <c r="BF3100" s="5" t="s">
        <v>252</v>
      </c>
      <c r="BG3100" s="5" t="s">
        <v>238</v>
      </c>
      <c r="BH3100" s="7">
        <f>0</f>
        <v>0</v>
      </c>
      <c r="BI3100" s="8">
        <f>0</f>
        <v>0</v>
      </c>
      <c r="BJ3100" s="5" t="s">
        <v>253</v>
      </c>
      <c r="BK3100" s="5" t="s">
        <v>254</v>
      </c>
      <c r="BY3100" s="5" t="s">
        <v>238</v>
      </c>
      <c r="BZ3100" s="5" t="s">
        <v>238</v>
      </c>
      <c r="CD3100" s="5" t="s">
        <v>273</v>
      </c>
      <c r="CE3100" s="5" t="s">
        <v>256</v>
      </c>
      <c r="CF3100" s="5" t="s">
        <v>238</v>
      </c>
      <c r="CI3100" s="6" t="s">
        <v>257</v>
      </c>
      <c r="CJ3100" s="5" t="s">
        <v>238</v>
      </c>
      <c r="CK3100" s="5" t="s">
        <v>258</v>
      </c>
      <c r="CL3100" s="5" t="s">
        <v>238</v>
      </c>
      <c r="CM3100" s="5" t="s">
        <v>238</v>
      </c>
      <c r="CN3100" s="5">
        <v>0</v>
      </c>
      <c r="CO3100" s="5" t="s">
        <v>259</v>
      </c>
      <c r="CP3100" s="5" t="s">
        <v>260</v>
      </c>
      <c r="CQ3100" s="5" t="s">
        <v>260</v>
      </c>
      <c r="CR3100" s="5" t="s">
        <v>261</v>
      </c>
      <c r="CU3100" s="8">
        <f>1</f>
        <v>1</v>
      </c>
      <c r="CV3100" s="8">
        <f>0</f>
        <v>0</v>
      </c>
      <c r="CX3100" s="8">
        <f>0</f>
        <v>0</v>
      </c>
      <c r="CY3100" s="8">
        <f>1</f>
        <v>1</v>
      </c>
      <c r="DA3100" s="5" t="s">
        <v>274</v>
      </c>
      <c r="DB3100" s="5" t="s">
        <v>238</v>
      </c>
      <c r="DD3100" s="5" t="s">
        <v>274</v>
      </c>
      <c r="DE3100" s="8">
        <f>80</f>
        <v>80</v>
      </c>
      <c r="DG3100" s="5" t="s">
        <v>238</v>
      </c>
      <c r="DH3100" s="5" t="s">
        <v>238</v>
      </c>
      <c r="DI3100" s="5" t="s">
        <v>238</v>
      </c>
      <c r="DJ3100" s="5" t="s">
        <v>238</v>
      </c>
      <c r="DN3100" s="5" t="s">
        <v>238</v>
      </c>
      <c r="DO3100" s="5" t="s">
        <v>238</v>
      </c>
      <c r="DP3100" s="5" t="s">
        <v>238</v>
      </c>
      <c r="DQ3100" s="5" t="s">
        <v>238</v>
      </c>
      <c r="DT3100" s="5" t="s">
        <v>275</v>
      </c>
      <c r="DU3100" s="5" t="s">
        <v>1880</v>
      </c>
      <c r="HM3100" s="5" t="s">
        <v>264</v>
      </c>
    </row>
    <row r="3101" spans="1:221" x14ac:dyDescent="0.4">
      <c r="A3101" s="5">
        <v>4805</v>
      </c>
      <c r="B3101" s="5">
        <v>1</v>
      </c>
      <c r="C3101" s="5">
        <v>1</v>
      </c>
      <c r="D3101" s="5" t="s">
        <v>269</v>
      </c>
      <c r="E3101" s="5" t="s">
        <v>271</v>
      </c>
      <c r="F3101" s="5" t="s">
        <v>248</v>
      </c>
      <c r="G3101" s="5" t="s">
        <v>266</v>
      </c>
      <c r="H3101" s="6" t="s">
        <v>1436</v>
      </c>
      <c r="I3101" s="7">
        <f>73</f>
        <v>73</v>
      </c>
      <c r="J3101" s="5" t="s">
        <v>262</v>
      </c>
      <c r="K3101" s="8">
        <f>1</f>
        <v>1</v>
      </c>
      <c r="L3101" s="6" t="s">
        <v>242</v>
      </c>
      <c r="M3101" s="5" t="s">
        <v>267</v>
      </c>
      <c r="N3101" s="5" t="s">
        <v>265</v>
      </c>
      <c r="O3101" s="5" t="s">
        <v>238</v>
      </c>
      <c r="P3101" s="5" t="s">
        <v>238</v>
      </c>
      <c r="Q3101" s="5" t="s">
        <v>268</v>
      </c>
      <c r="R3101" s="5" t="s">
        <v>270</v>
      </c>
      <c r="S3101" s="5" t="s">
        <v>238</v>
      </c>
      <c r="V3101" s="5" t="s">
        <v>238</v>
      </c>
      <c r="X3101" s="6" t="s">
        <v>238</v>
      </c>
      <c r="AA3101" s="6" t="s">
        <v>243</v>
      </c>
      <c r="AB3101" s="5" t="s">
        <v>238</v>
      </c>
      <c r="AC3101" s="5" t="s">
        <v>244</v>
      </c>
      <c r="AD3101" s="5" t="s">
        <v>245</v>
      </c>
      <c r="AT3101" s="5" t="s">
        <v>246</v>
      </c>
      <c r="AU3101" s="5" t="s">
        <v>238</v>
      </c>
      <c r="AV3101" s="5" t="s">
        <v>247</v>
      </c>
      <c r="AW3101" s="5" t="s">
        <v>238</v>
      </c>
      <c r="AX3101" s="5" t="s">
        <v>249</v>
      </c>
      <c r="AY3101" s="5" t="s">
        <v>238</v>
      </c>
      <c r="BA3101" s="5" t="s">
        <v>238</v>
      </c>
      <c r="BC3101" s="5" t="s">
        <v>250</v>
      </c>
      <c r="BD3101" s="6" t="s">
        <v>243</v>
      </c>
      <c r="BE3101" s="5" t="s">
        <v>251</v>
      </c>
      <c r="BF3101" s="5" t="s">
        <v>252</v>
      </c>
      <c r="BG3101" s="5" t="s">
        <v>238</v>
      </c>
      <c r="BH3101" s="7">
        <f>0</f>
        <v>0</v>
      </c>
      <c r="BI3101" s="8">
        <f>0</f>
        <v>0</v>
      </c>
      <c r="BJ3101" s="5" t="s">
        <v>253</v>
      </c>
      <c r="BK3101" s="5" t="s">
        <v>254</v>
      </c>
      <c r="BY3101" s="5" t="s">
        <v>238</v>
      </c>
      <c r="BZ3101" s="5" t="s">
        <v>238</v>
      </c>
      <c r="CD3101" s="5" t="s">
        <v>273</v>
      </c>
      <c r="CE3101" s="5" t="s">
        <v>256</v>
      </c>
      <c r="CF3101" s="5" t="s">
        <v>238</v>
      </c>
      <c r="CI3101" s="6" t="s">
        <v>257</v>
      </c>
      <c r="CJ3101" s="5" t="s">
        <v>238</v>
      </c>
      <c r="CK3101" s="5" t="s">
        <v>258</v>
      </c>
      <c r="CL3101" s="5" t="s">
        <v>238</v>
      </c>
      <c r="CM3101" s="5" t="s">
        <v>238</v>
      </c>
      <c r="CN3101" s="5">
        <v>0</v>
      </c>
      <c r="CO3101" s="5" t="s">
        <v>259</v>
      </c>
      <c r="CP3101" s="5" t="s">
        <v>260</v>
      </c>
      <c r="CQ3101" s="5" t="s">
        <v>260</v>
      </c>
      <c r="CR3101" s="5" t="s">
        <v>261</v>
      </c>
      <c r="CU3101" s="8">
        <f>1</f>
        <v>1</v>
      </c>
      <c r="CV3101" s="8">
        <f>0</f>
        <v>0</v>
      </c>
      <c r="CX3101" s="8">
        <f>0</f>
        <v>0</v>
      </c>
      <c r="CY3101" s="8">
        <f>1</f>
        <v>1</v>
      </c>
      <c r="DA3101" s="5" t="s">
        <v>274</v>
      </c>
      <c r="DB3101" s="5" t="s">
        <v>238</v>
      </c>
      <c r="DD3101" s="5" t="s">
        <v>274</v>
      </c>
      <c r="DE3101" s="8">
        <f>73</f>
        <v>73</v>
      </c>
      <c r="DG3101" s="5" t="s">
        <v>238</v>
      </c>
      <c r="DH3101" s="5" t="s">
        <v>238</v>
      </c>
      <c r="DI3101" s="5" t="s">
        <v>238</v>
      </c>
      <c r="DJ3101" s="5" t="s">
        <v>238</v>
      </c>
      <c r="DN3101" s="5" t="s">
        <v>238</v>
      </c>
      <c r="DO3101" s="5" t="s">
        <v>238</v>
      </c>
      <c r="DP3101" s="5" t="s">
        <v>238</v>
      </c>
      <c r="DQ3101" s="5" t="s">
        <v>238</v>
      </c>
      <c r="DT3101" s="5" t="s">
        <v>275</v>
      </c>
      <c r="DU3101" s="5" t="s">
        <v>1437</v>
      </c>
      <c r="HM3101" s="5" t="s">
        <v>264</v>
      </c>
    </row>
    <row r="3102" spans="1:221" x14ac:dyDescent="0.4">
      <c r="A3102" s="5">
        <v>4806</v>
      </c>
      <c r="B3102" s="5">
        <v>1</v>
      </c>
      <c r="C3102" s="5">
        <v>1</v>
      </c>
      <c r="D3102" s="5" t="s">
        <v>269</v>
      </c>
      <c r="E3102" s="5" t="s">
        <v>271</v>
      </c>
      <c r="F3102" s="5" t="s">
        <v>248</v>
      </c>
      <c r="G3102" s="5" t="s">
        <v>266</v>
      </c>
      <c r="H3102" s="6" t="s">
        <v>1875</v>
      </c>
      <c r="I3102" s="7">
        <f>159</f>
        <v>159</v>
      </c>
      <c r="J3102" s="5" t="s">
        <v>262</v>
      </c>
      <c r="K3102" s="8">
        <f>1</f>
        <v>1</v>
      </c>
      <c r="L3102" s="6" t="s">
        <v>242</v>
      </c>
      <c r="M3102" s="5" t="s">
        <v>267</v>
      </c>
      <c r="N3102" s="5" t="s">
        <v>265</v>
      </c>
      <c r="O3102" s="5" t="s">
        <v>238</v>
      </c>
      <c r="P3102" s="5" t="s">
        <v>238</v>
      </c>
      <c r="Q3102" s="5" t="s">
        <v>268</v>
      </c>
      <c r="R3102" s="5" t="s">
        <v>270</v>
      </c>
      <c r="S3102" s="5" t="s">
        <v>238</v>
      </c>
      <c r="V3102" s="5" t="s">
        <v>238</v>
      </c>
      <c r="X3102" s="6" t="s">
        <v>238</v>
      </c>
      <c r="AA3102" s="6" t="s">
        <v>243</v>
      </c>
      <c r="AB3102" s="5" t="s">
        <v>238</v>
      </c>
      <c r="AC3102" s="5" t="s">
        <v>244</v>
      </c>
      <c r="AD3102" s="5" t="s">
        <v>245</v>
      </c>
      <c r="AT3102" s="5" t="s">
        <v>246</v>
      </c>
      <c r="AU3102" s="5" t="s">
        <v>238</v>
      </c>
      <c r="AV3102" s="5" t="s">
        <v>247</v>
      </c>
      <c r="AW3102" s="5" t="s">
        <v>238</v>
      </c>
      <c r="AX3102" s="5" t="s">
        <v>249</v>
      </c>
      <c r="AY3102" s="5" t="s">
        <v>238</v>
      </c>
      <c r="BA3102" s="5" t="s">
        <v>238</v>
      </c>
      <c r="BC3102" s="5" t="s">
        <v>250</v>
      </c>
      <c r="BD3102" s="6" t="s">
        <v>243</v>
      </c>
      <c r="BE3102" s="5" t="s">
        <v>251</v>
      </c>
      <c r="BF3102" s="5" t="s">
        <v>252</v>
      </c>
      <c r="BG3102" s="5" t="s">
        <v>238</v>
      </c>
      <c r="BH3102" s="7">
        <f>0</f>
        <v>0</v>
      </c>
      <c r="BI3102" s="8">
        <f>0</f>
        <v>0</v>
      </c>
      <c r="BJ3102" s="5" t="s">
        <v>253</v>
      </c>
      <c r="BK3102" s="5" t="s">
        <v>254</v>
      </c>
      <c r="BY3102" s="5" t="s">
        <v>238</v>
      </c>
      <c r="BZ3102" s="5" t="s">
        <v>238</v>
      </c>
      <c r="CD3102" s="5" t="s">
        <v>273</v>
      </c>
      <c r="CE3102" s="5" t="s">
        <v>256</v>
      </c>
      <c r="CF3102" s="5" t="s">
        <v>238</v>
      </c>
      <c r="CI3102" s="6" t="s">
        <v>257</v>
      </c>
      <c r="CJ3102" s="5" t="s">
        <v>238</v>
      </c>
      <c r="CK3102" s="5" t="s">
        <v>258</v>
      </c>
      <c r="CL3102" s="5" t="s">
        <v>238</v>
      </c>
      <c r="CM3102" s="5" t="s">
        <v>238</v>
      </c>
      <c r="CN3102" s="5">
        <v>0</v>
      </c>
      <c r="CO3102" s="5" t="s">
        <v>259</v>
      </c>
      <c r="CP3102" s="5" t="s">
        <v>260</v>
      </c>
      <c r="CQ3102" s="5" t="s">
        <v>260</v>
      </c>
      <c r="CR3102" s="5" t="s">
        <v>261</v>
      </c>
      <c r="CU3102" s="8">
        <f>1</f>
        <v>1</v>
      </c>
      <c r="CV3102" s="8">
        <f>0</f>
        <v>0</v>
      </c>
      <c r="CX3102" s="8">
        <f>0</f>
        <v>0</v>
      </c>
      <c r="CY3102" s="8">
        <f>1</f>
        <v>1</v>
      </c>
      <c r="DA3102" s="5" t="s">
        <v>274</v>
      </c>
      <c r="DB3102" s="5" t="s">
        <v>238</v>
      </c>
      <c r="DD3102" s="5" t="s">
        <v>274</v>
      </c>
      <c r="DE3102" s="8">
        <f>159</f>
        <v>159</v>
      </c>
      <c r="DG3102" s="5" t="s">
        <v>238</v>
      </c>
      <c r="DH3102" s="5" t="s">
        <v>238</v>
      </c>
      <c r="DI3102" s="5" t="s">
        <v>238</v>
      </c>
      <c r="DJ3102" s="5" t="s">
        <v>238</v>
      </c>
      <c r="DN3102" s="5" t="s">
        <v>238</v>
      </c>
      <c r="DO3102" s="5" t="s">
        <v>238</v>
      </c>
      <c r="DP3102" s="5" t="s">
        <v>238</v>
      </c>
      <c r="DQ3102" s="5" t="s">
        <v>238</v>
      </c>
      <c r="DT3102" s="5" t="s">
        <v>275</v>
      </c>
      <c r="DU3102" s="5" t="s">
        <v>1876</v>
      </c>
      <c r="HM3102" s="5" t="s">
        <v>264</v>
      </c>
    </row>
    <row r="3103" spans="1:221" x14ac:dyDescent="0.4">
      <c r="A3103" s="5">
        <v>4807</v>
      </c>
      <c r="B3103" s="5">
        <v>1</v>
      </c>
      <c r="C3103" s="5">
        <v>1</v>
      </c>
      <c r="D3103" s="5" t="s">
        <v>269</v>
      </c>
      <c r="E3103" s="5" t="s">
        <v>271</v>
      </c>
      <c r="F3103" s="5" t="s">
        <v>248</v>
      </c>
      <c r="G3103" s="5" t="s">
        <v>266</v>
      </c>
      <c r="H3103" s="6" t="s">
        <v>1871</v>
      </c>
      <c r="I3103" s="7">
        <f>176</f>
        <v>176</v>
      </c>
      <c r="J3103" s="5" t="s">
        <v>262</v>
      </c>
      <c r="K3103" s="8">
        <f>1</f>
        <v>1</v>
      </c>
      <c r="L3103" s="6" t="s">
        <v>242</v>
      </c>
      <c r="M3103" s="5" t="s">
        <v>267</v>
      </c>
      <c r="N3103" s="5" t="s">
        <v>265</v>
      </c>
      <c r="O3103" s="5" t="s">
        <v>238</v>
      </c>
      <c r="P3103" s="5" t="s">
        <v>238</v>
      </c>
      <c r="Q3103" s="5" t="s">
        <v>268</v>
      </c>
      <c r="R3103" s="5" t="s">
        <v>270</v>
      </c>
      <c r="S3103" s="5" t="s">
        <v>238</v>
      </c>
      <c r="V3103" s="5" t="s">
        <v>238</v>
      </c>
      <c r="X3103" s="6" t="s">
        <v>238</v>
      </c>
      <c r="AA3103" s="6" t="s">
        <v>243</v>
      </c>
      <c r="AB3103" s="5" t="s">
        <v>238</v>
      </c>
      <c r="AC3103" s="5" t="s">
        <v>244</v>
      </c>
      <c r="AD3103" s="5" t="s">
        <v>245</v>
      </c>
      <c r="AT3103" s="5" t="s">
        <v>246</v>
      </c>
      <c r="AU3103" s="5" t="s">
        <v>238</v>
      </c>
      <c r="AV3103" s="5" t="s">
        <v>247</v>
      </c>
      <c r="AW3103" s="5" t="s">
        <v>238</v>
      </c>
      <c r="AX3103" s="5" t="s">
        <v>249</v>
      </c>
      <c r="AY3103" s="5" t="s">
        <v>238</v>
      </c>
      <c r="BA3103" s="5" t="s">
        <v>238</v>
      </c>
      <c r="BC3103" s="5" t="s">
        <v>250</v>
      </c>
      <c r="BD3103" s="6" t="s">
        <v>243</v>
      </c>
      <c r="BE3103" s="5" t="s">
        <v>251</v>
      </c>
      <c r="BF3103" s="5" t="s">
        <v>252</v>
      </c>
      <c r="BG3103" s="5" t="s">
        <v>238</v>
      </c>
      <c r="BH3103" s="7">
        <f>0</f>
        <v>0</v>
      </c>
      <c r="BI3103" s="8">
        <f>0</f>
        <v>0</v>
      </c>
      <c r="BJ3103" s="5" t="s">
        <v>253</v>
      </c>
      <c r="BK3103" s="5" t="s">
        <v>254</v>
      </c>
      <c r="BY3103" s="5" t="s">
        <v>238</v>
      </c>
      <c r="BZ3103" s="5" t="s">
        <v>238</v>
      </c>
      <c r="CD3103" s="5" t="s">
        <v>273</v>
      </c>
      <c r="CE3103" s="5" t="s">
        <v>256</v>
      </c>
      <c r="CF3103" s="5" t="s">
        <v>238</v>
      </c>
      <c r="CI3103" s="6" t="s">
        <v>257</v>
      </c>
      <c r="CJ3103" s="5" t="s">
        <v>238</v>
      </c>
      <c r="CK3103" s="5" t="s">
        <v>258</v>
      </c>
      <c r="CL3103" s="5" t="s">
        <v>238</v>
      </c>
      <c r="CM3103" s="5" t="s">
        <v>238</v>
      </c>
      <c r="CN3103" s="5">
        <v>0</v>
      </c>
      <c r="CO3103" s="5" t="s">
        <v>259</v>
      </c>
      <c r="CP3103" s="5" t="s">
        <v>260</v>
      </c>
      <c r="CQ3103" s="5" t="s">
        <v>260</v>
      </c>
      <c r="CR3103" s="5" t="s">
        <v>261</v>
      </c>
      <c r="CU3103" s="8">
        <f>1</f>
        <v>1</v>
      </c>
      <c r="CV3103" s="8">
        <f>0</f>
        <v>0</v>
      </c>
      <c r="CX3103" s="8">
        <f>0</f>
        <v>0</v>
      </c>
      <c r="CY3103" s="8">
        <f>1</f>
        <v>1</v>
      </c>
      <c r="DA3103" s="5" t="s">
        <v>274</v>
      </c>
      <c r="DB3103" s="5" t="s">
        <v>238</v>
      </c>
      <c r="DD3103" s="5" t="s">
        <v>274</v>
      </c>
      <c r="DE3103" s="8">
        <f>176</f>
        <v>176</v>
      </c>
      <c r="DG3103" s="5" t="s">
        <v>238</v>
      </c>
      <c r="DH3103" s="5" t="s">
        <v>238</v>
      </c>
      <c r="DI3103" s="5" t="s">
        <v>238</v>
      </c>
      <c r="DJ3103" s="5" t="s">
        <v>238</v>
      </c>
      <c r="DN3103" s="5" t="s">
        <v>238</v>
      </c>
      <c r="DO3103" s="5" t="s">
        <v>238</v>
      </c>
      <c r="DP3103" s="5" t="s">
        <v>238</v>
      </c>
      <c r="DQ3103" s="5" t="s">
        <v>238</v>
      </c>
      <c r="DT3103" s="5" t="s">
        <v>275</v>
      </c>
      <c r="DU3103" s="5" t="s">
        <v>1872</v>
      </c>
      <c r="HM3103" s="5" t="s">
        <v>264</v>
      </c>
    </row>
    <row r="3104" spans="1:221" x14ac:dyDescent="0.4">
      <c r="A3104" s="5">
        <v>4808</v>
      </c>
      <c r="B3104" s="5">
        <v>1</v>
      </c>
      <c r="C3104" s="5">
        <v>1</v>
      </c>
      <c r="D3104" s="5" t="s">
        <v>269</v>
      </c>
      <c r="E3104" s="5" t="s">
        <v>271</v>
      </c>
      <c r="F3104" s="5" t="s">
        <v>248</v>
      </c>
      <c r="G3104" s="5" t="s">
        <v>266</v>
      </c>
      <c r="H3104" s="6" t="s">
        <v>1869</v>
      </c>
      <c r="I3104" s="7">
        <f>837</f>
        <v>837</v>
      </c>
      <c r="J3104" s="5" t="s">
        <v>262</v>
      </c>
      <c r="K3104" s="8">
        <f>1</f>
        <v>1</v>
      </c>
      <c r="L3104" s="6" t="s">
        <v>242</v>
      </c>
      <c r="M3104" s="5" t="s">
        <v>267</v>
      </c>
      <c r="N3104" s="5" t="s">
        <v>265</v>
      </c>
      <c r="O3104" s="5" t="s">
        <v>238</v>
      </c>
      <c r="P3104" s="5" t="s">
        <v>238</v>
      </c>
      <c r="Q3104" s="5" t="s">
        <v>268</v>
      </c>
      <c r="R3104" s="5" t="s">
        <v>270</v>
      </c>
      <c r="S3104" s="5" t="s">
        <v>238</v>
      </c>
      <c r="V3104" s="5" t="s">
        <v>238</v>
      </c>
      <c r="X3104" s="6" t="s">
        <v>238</v>
      </c>
      <c r="AA3104" s="6" t="s">
        <v>243</v>
      </c>
      <c r="AB3104" s="5" t="s">
        <v>238</v>
      </c>
      <c r="AC3104" s="5" t="s">
        <v>244</v>
      </c>
      <c r="AD3104" s="5" t="s">
        <v>245</v>
      </c>
      <c r="AT3104" s="5" t="s">
        <v>246</v>
      </c>
      <c r="AU3104" s="5" t="s">
        <v>238</v>
      </c>
      <c r="AV3104" s="5" t="s">
        <v>247</v>
      </c>
      <c r="AW3104" s="5" t="s">
        <v>238</v>
      </c>
      <c r="AX3104" s="5" t="s">
        <v>249</v>
      </c>
      <c r="AY3104" s="5" t="s">
        <v>238</v>
      </c>
      <c r="BA3104" s="5" t="s">
        <v>238</v>
      </c>
      <c r="BC3104" s="5" t="s">
        <v>250</v>
      </c>
      <c r="BD3104" s="6" t="s">
        <v>243</v>
      </c>
      <c r="BE3104" s="5" t="s">
        <v>251</v>
      </c>
      <c r="BF3104" s="5" t="s">
        <v>252</v>
      </c>
      <c r="BG3104" s="5" t="s">
        <v>238</v>
      </c>
      <c r="BH3104" s="7">
        <f>0</f>
        <v>0</v>
      </c>
      <c r="BI3104" s="8">
        <f>0</f>
        <v>0</v>
      </c>
      <c r="BJ3104" s="5" t="s">
        <v>253</v>
      </c>
      <c r="BK3104" s="5" t="s">
        <v>254</v>
      </c>
      <c r="BY3104" s="5" t="s">
        <v>238</v>
      </c>
      <c r="BZ3104" s="5" t="s">
        <v>238</v>
      </c>
      <c r="CD3104" s="5" t="s">
        <v>273</v>
      </c>
      <c r="CE3104" s="5" t="s">
        <v>256</v>
      </c>
      <c r="CF3104" s="5" t="s">
        <v>238</v>
      </c>
      <c r="CI3104" s="6" t="s">
        <v>257</v>
      </c>
      <c r="CJ3104" s="5" t="s">
        <v>238</v>
      </c>
      <c r="CK3104" s="5" t="s">
        <v>258</v>
      </c>
      <c r="CL3104" s="5" t="s">
        <v>238</v>
      </c>
      <c r="CM3104" s="5" t="s">
        <v>238</v>
      </c>
      <c r="CN3104" s="5">
        <v>0</v>
      </c>
      <c r="CO3104" s="5" t="s">
        <v>259</v>
      </c>
      <c r="CP3104" s="5" t="s">
        <v>260</v>
      </c>
      <c r="CQ3104" s="5" t="s">
        <v>260</v>
      </c>
      <c r="CR3104" s="5" t="s">
        <v>261</v>
      </c>
      <c r="CU3104" s="8">
        <f>1</f>
        <v>1</v>
      </c>
      <c r="CV3104" s="8">
        <f>0</f>
        <v>0</v>
      </c>
      <c r="CX3104" s="8">
        <f>0</f>
        <v>0</v>
      </c>
      <c r="CY3104" s="8">
        <f>1</f>
        <v>1</v>
      </c>
      <c r="DA3104" s="5" t="s">
        <v>274</v>
      </c>
      <c r="DB3104" s="5" t="s">
        <v>238</v>
      </c>
      <c r="DD3104" s="5" t="s">
        <v>274</v>
      </c>
      <c r="DE3104" s="8">
        <f>837</f>
        <v>837</v>
      </c>
      <c r="DG3104" s="5" t="s">
        <v>238</v>
      </c>
      <c r="DH3104" s="5" t="s">
        <v>238</v>
      </c>
      <c r="DI3104" s="5" t="s">
        <v>238</v>
      </c>
      <c r="DJ3104" s="5" t="s">
        <v>238</v>
      </c>
      <c r="DN3104" s="5" t="s">
        <v>238</v>
      </c>
      <c r="DO3104" s="5" t="s">
        <v>238</v>
      </c>
      <c r="DP3104" s="5" t="s">
        <v>238</v>
      </c>
      <c r="DQ3104" s="5" t="s">
        <v>238</v>
      </c>
      <c r="DT3104" s="5" t="s">
        <v>275</v>
      </c>
      <c r="DU3104" s="5" t="s">
        <v>1870</v>
      </c>
      <c r="HM3104" s="5" t="s">
        <v>264</v>
      </c>
    </row>
    <row r="3105" spans="1:221" x14ac:dyDescent="0.4">
      <c r="A3105" s="5">
        <v>4809</v>
      </c>
      <c r="B3105" s="5">
        <v>1</v>
      </c>
      <c r="C3105" s="5">
        <v>1</v>
      </c>
      <c r="D3105" s="5" t="s">
        <v>269</v>
      </c>
      <c r="E3105" s="5" t="s">
        <v>271</v>
      </c>
      <c r="F3105" s="5" t="s">
        <v>248</v>
      </c>
      <c r="G3105" s="5" t="s">
        <v>266</v>
      </c>
      <c r="H3105" s="6" t="s">
        <v>1745</v>
      </c>
      <c r="I3105" s="7">
        <f>228</f>
        <v>228</v>
      </c>
      <c r="J3105" s="5" t="s">
        <v>262</v>
      </c>
      <c r="K3105" s="8">
        <f>1</f>
        <v>1</v>
      </c>
      <c r="L3105" s="6" t="s">
        <v>242</v>
      </c>
      <c r="M3105" s="5" t="s">
        <v>267</v>
      </c>
      <c r="N3105" s="5" t="s">
        <v>265</v>
      </c>
      <c r="O3105" s="5" t="s">
        <v>238</v>
      </c>
      <c r="P3105" s="5" t="s">
        <v>238</v>
      </c>
      <c r="Q3105" s="5" t="s">
        <v>268</v>
      </c>
      <c r="R3105" s="5" t="s">
        <v>270</v>
      </c>
      <c r="S3105" s="5" t="s">
        <v>238</v>
      </c>
      <c r="V3105" s="5" t="s">
        <v>238</v>
      </c>
      <c r="X3105" s="6" t="s">
        <v>238</v>
      </c>
      <c r="AA3105" s="6" t="s">
        <v>243</v>
      </c>
      <c r="AB3105" s="5" t="s">
        <v>238</v>
      </c>
      <c r="AC3105" s="5" t="s">
        <v>244</v>
      </c>
      <c r="AD3105" s="5" t="s">
        <v>245</v>
      </c>
      <c r="AT3105" s="5" t="s">
        <v>246</v>
      </c>
      <c r="AU3105" s="5" t="s">
        <v>238</v>
      </c>
      <c r="AV3105" s="5" t="s">
        <v>247</v>
      </c>
      <c r="AW3105" s="5" t="s">
        <v>238</v>
      </c>
      <c r="AX3105" s="5" t="s">
        <v>249</v>
      </c>
      <c r="AY3105" s="5" t="s">
        <v>238</v>
      </c>
      <c r="BA3105" s="5" t="s">
        <v>238</v>
      </c>
      <c r="BC3105" s="5" t="s">
        <v>250</v>
      </c>
      <c r="BD3105" s="6" t="s">
        <v>243</v>
      </c>
      <c r="BE3105" s="5" t="s">
        <v>251</v>
      </c>
      <c r="BF3105" s="5" t="s">
        <v>252</v>
      </c>
      <c r="BG3105" s="5" t="s">
        <v>238</v>
      </c>
      <c r="BH3105" s="7">
        <f>0</f>
        <v>0</v>
      </c>
      <c r="BI3105" s="8">
        <f>0</f>
        <v>0</v>
      </c>
      <c r="BJ3105" s="5" t="s">
        <v>253</v>
      </c>
      <c r="BK3105" s="5" t="s">
        <v>254</v>
      </c>
      <c r="BY3105" s="5" t="s">
        <v>238</v>
      </c>
      <c r="BZ3105" s="5" t="s">
        <v>238</v>
      </c>
      <c r="CD3105" s="5" t="s">
        <v>273</v>
      </c>
      <c r="CE3105" s="5" t="s">
        <v>256</v>
      </c>
      <c r="CF3105" s="5" t="s">
        <v>238</v>
      </c>
      <c r="CI3105" s="6" t="s">
        <v>257</v>
      </c>
      <c r="CJ3105" s="5" t="s">
        <v>238</v>
      </c>
      <c r="CK3105" s="5" t="s">
        <v>258</v>
      </c>
      <c r="CL3105" s="5" t="s">
        <v>238</v>
      </c>
      <c r="CM3105" s="5" t="s">
        <v>238</v>
      </c>
      <c r="CN3105" s="5">
        <v>0</v>
      </c>
      <c r="CO3105" s="5" t="s">
        <v>259</v>
      </c>
      <c r="CP3105" s="5" t="s">
        <v>260</v>
      </c>
      <c r="CQ3105" s="5" t="s">
        <v>260</v>
      </c>
      <c r="CR3105" s="5" t="s">
        <v>261</v>
      </c>
      <c r="CU3105" s="8">
        <f>1</f>
        <v>1</v>
      </c>
      <c r="CV3105" s="8">
        <f>0</f>
        <v>0</v>
      </c>
      <c r="CX3105" s="8">
        <f>0</f>
        <v>0</v>
      </c>
      <c r="CY3105" s="8">
        <f>1</f>
        <v>1</v>
      </c>
      <c r="DA3105" s="5" t="s">
        <v>274</v>
      </c>
      <c r="DB3105" s="5" t="s">
        <v>238</v>
      </c>
      <c r="DD3105" s="5" t="s">
        <v>274</v>
      </c>
      <c r="DE3105" s="8">
        <f>228</f>
        <v>228</v>
      </c>
      <c r="DG3105" s="5" t="s">
        <v>238</v>
      </c>
      <c r="DH3105" s="5" t="s">
        <v>238</v>
      </c>
      <c r="DI3105" s="5" t="s">
        <v>238</v>
      </c>
      <c r="DJ3105" s="5" t="s">
        <v>238</v>
      </c>
      <c r="DN3105" s="5" t="s">
        <v>238</v>
      </c>
      <c r="DO3105" s="5" t="s">
        <v>238</v>
      </c>
      <c r="DP3105" s="5" t="s">
        <v>238</v>
      </c>
      <c r="DQ3105" s="5" t="s">
        <v>238</v>
      </c>
      <c r="DT3105" s="5" t="s">
        <v>275</v>
      </c>
      <c r="DU3105" s="5" t="s">
        <v>1746</v>
      </c>
      <c r="HM3105" s="5" t="s">
        <v>264</v>
      </c>
    </row>
    <row r="3106" spans="1:221" x14ac:dyDescent="0.4">
      <c r="A3106" s="5">
        <v>4810</v>
      </c>
      <c r="B3106" s="5">
        <v>1</v>
      </c>
      <c r="C3106" s="5">
        <v>1</v>
      </c>
      <c r="D3106" s="5" t="s">
        <v>269</v>
      </c>
      <c r="E3106" s="5" t="s">
        <v>271</v>
      </c>
      <c r="F3106" s="5" t="s">
        <v>248</v>
      </c>
      <c r="G3106" s="5" t="s">
        <v>266</v>
      </c>
      <c r="H3106" s="6" t="s">
        <v>1863</v>
      </c>
      <c r="I3106" s="7">
        <f>128</f>
        <v>128</v>
      </c>
      <c r="J3106" s="5" t="s">
        <v>262</v>
      </c>
      <c r="K3106" s="8">
        <f>1</f>
        <v>1</v>
      </c>
      <c r="L3106" s="6" t="s">
        <v>242</v>
      </c>
      <c r="M3106" s="5" t="s">
        <v>267</v>
      </c>
      <c r="N3106" s="5" t="s">
        <v>265</v>
      </c>
      <c r="O3106" s="5" t="s">
        <v>238</v>
      </c>
      <c r="P3106" s="5" t="s">
        <v>238</v>
      </c>
      <c r="Q3106" s="5" t="s">
        <v>268</v>
      </c>
      <c r="R3106" s="5" t="s">
        <v>270</v>
      </c>
      <c r="S3106" s="5" t="s">
        <v>238</v>
      </c>
      <c r="V3106" s="5" t="s">
        <v>238</v>
      </c>
      <c r="X3106" s="6" t="s">
        <v>238</v>
      </c>
      <c r="AA3106" s="6" t="s">
        <v>243</v>
      </c>
      <c r="AB3106" s="5" t="s">
        <v>238</v>
      </c>
      <c r="AC3106" s="5" t="s">
        <v>244</v>
      </c>
      <c r="AD3106" s="5" t="s">
        <v>245</v>
      </c>
      <c r="AT3106" s="5" t="s">
        <v>246</v>
      </c>
      <c r="AU3106" s="5" t="s">
        <v>238</v>
      </c>
      <c r="AV3106" s="5" t="s">
        <v>247</v>
      </c>
      <c r="AW3106" s="5" t="s">
        <v>238</v>
      </c>
      <c r="AX3106" s="5" t="s">
        <v>249</v>
      </c>
      <c r="AY3106" s="5" t="s">
        <v>238</v>
      </c>
      <c r="BA3106" s="5" t="s">
        <v>238</v>
      </c>
      <c r="BC3106" s="5" t="s">
        <v>250</v>
      </c>
      <c r="BD3106" s="6" t="s">
        <v>243</v>
      </c>
      <c r="BE3106" s="5" t="s">
        <v>251</v>
      </c>
      <c r="BF3106" s="5" t="s">
        <v>252</v>
      </c>
      <c r="BG3106" s="5" t="s">
        <v>238</v>
      </c>
      <c r="BH3106" s="7">
        <f>0</f>
        <v>0</v>
      </c>
      <c r="BI3106" s="8">
        <f>0</f>
        <v>0</v>
      </c>
      <c r="BJ3106" s="5" t="s">
        <v>253</v>
      </c>
      <c r="BK3106" s="5" t="s">
        <v>254</v>
      </c>
      <c r="BY3106" s="5" t="s">
        <v>238</v>
      </c>
      <c r="BZ3106" s="5" t="s">
        <v>238</v>
      </c>
      <c r="CD3106" s="5" t="s">
        <v>273</v>
      </c>
      <c r="CE3106" s="5" t="s">
        <v>256</v>
      </c>
      <c r="CF3106" s="5" t="s">
        <v>238</v>
      </c>
      <c r="CI3106" s="6" t="s">
        <v>257</v>
      </c>
      <c r="CJ3106" s="5" t="s">
        <v>238</v>
      </c>
      <c r="CK3106" s="5" t="s">
        <v>258</v>
      </c>
      <c r="CL3106" s="5" t="s">
        <v>238</v>
      </c>
      <c r="CM3106" s="5" t="s">
        <v>238</v>
      </c>
      <c r="CN3106" s="5">
        <v>0</v>
      </c>
      <c r="CO3106" s="5" t="s">
        <v>259</v>
      </c>
      <c r="CP3106" s="5" t="s">
        <v>260</v>
      </c>
      <c r="CQ3106" s="5" t="s">
        <v>260</v>
      </c>
      <c r="CR3106" s="5" t="s">
        <v>261</v>
      </c>
      <c r="CU3106" s="8">
        <f>1</f>
        <v>1</v>
      </c>
      <c r="CV3106" s="8">
        <f>0</f>
        <v>0</v>
      </c>
      <c r="CX3106" s="8">
        <f>0</f>
        <v>0</v>
      </c>
      <c r="CY3106" s="8">
        <f>1</f>
        <v>1</v>
      </c>
      <c r="DA3106" s="5" t="s">
        <v>274</v>
      </c>
      <c r="DB3106" s="5" t="s">
        <v>238</v>
      </c>
      <c r="DD3106" s="5" t="s">
        <v>274</v>
      </c>
      <c r="DE3106" s="8">
        <f>128</f>
        <v>128</v>
      </c>
      <c r="DG3106" s="5" t="s">
        <v>238</v>
      </c>
      <c r="DH3106" s="5" t="s">
        <v>238</v>
      </c>
      <c r="DI3106" s="5" t="s">
        <v>238</v>
      </c>
      <c r="DJ3106" s="5" t="s">
        <v>238</v>
      </c>
      <c r="DN3106" s="5" t="s">
        <v>238</v>
      </c>
      <c r="DO3106" s="5" t="s">
        <v>238</v>
      </c>
      <c r="DP3106" s="5" t="s">
        <v>238</v>
      </c>
      <c r="DQ3106" s="5" t="s">
        <v>238</v>
      </c>
      <c r="DT3106" s="5" t="s">
        <v>275</v>
      </c>
      <c r="DU3106" s="5" t="s">
        <v>1864</v>
      </c>
      <c r="HM3106" s="5" t="s">
        <v>264</v>
      </c>
    </row>
    <row r="3107" spans="1:221" x14ac:dyDescent="0.4">
      <c r="A3107" s="5">
        <v>4811</v>
      </c>
      <c r="B3107" s="5">
        <v>1</v>
      </c>
      <c r="C3107" s="5">
        <v>1</v>
      </c>
      <c r="D3107" s="5" t="s">
        <v>269</v>
      </c>
      <c r="E3107" s="5" t="s">
        <v>271</v>
      </c>
      <c r="F3107" s="5" t="s">
        <v>248</v>
      </c>
      <c r="G3107" s="5" t="s">
        <v>266</v>
      </c>
      <c r="H3107" s="6" t="s">
        <v>1611</v>
      </c>
      <c r="I3107" s="7">
        <f>388</f>
        <v>388</v>
      </c>
      <c r="J3107" s="5" t="s">
        <v>262</v>
      </c>
      <c r="K3107" s="8">
        <f>1</f>
        <v>1</v>
      </c>
      <c r="L3107" s="6" t="s">
        <v>242</v>
      </c>
      <c r="M3107" s="5" t="s">
        <v>267</v>
      </c>
      <c r="N3107" s="5" t="s">
        <v>265</v>
      </c>
      <c r="O3107" s="5" t="s">
        <v>238</v>
      </c>
      <c r="P3107" s="5" t="s">
        <v>238</v>
      </c>
      <c r="Q3107" s="5" t="s">
        <v>268</v>
      </c>
      <c r="R3107" s="5" t="s">
        <v>270</v>
      </c>
      <c r="S3107" s="5" t="s">
        <v>238</v>
      </c>
      <c r="V3107" s="5" t="s">
        <v>238</v>
      </c>
      <c r="X3107" s="6" t="s">
        <v>238</v>
      </c>
      <c r="AA3107" s="6" t="s">
        <v>243</v>
      </c>
      <c r="AB3107" s="5" t="s">
        <v>238</v>
      </c>
      <c r="AC3107" s="5" t="s">
        <v>244</v>
      </c>
      <c r="AD3107" s="5" t="s">
        <v>245</v>
      </c>
      <c r="AT3107" s="5" t="s">
        <v>246</v>
      </c>
      <c r="AU3107" s="5" t="s">
        <v>238</v>
      </c>
      <c r="AV3107" s="5" t="s">
        <v>247</v>
      </c>
      <c r="AW3107" s="5" t="s">
        <v>238</v>
      </c>
      <c r="AX3107" s="5" t="s">
        <v>249</v>
      </c>
      <c r="AY3107" s="5" t="s">
        <v>238</v>
      </c>
      <c r="BA3107" s="5" t="s">
        <v>238</v>
      </c>
      <c r="BC3107" s="5" t="s">
        <v>250</v>
      </c>
      <c r="BD3107" s="6" t="s">
        <v>243</v>
      </c>
      <c r="BE3107" s="5" t="s">
        <v>251</v>
      </c>
      <c r="BF3107" s="5" t="s">
        <v>252</v>
      </c>
      <c r="BG3107" s="5" t="s">
        <v>238</v>
      </c>
      <c r="BH3107" s="7">
        <f>0</f>
        <v>0</v>
      </c>
      <c r="BI3107" s="8">
        <f>0</f>
        <v>0</v>
      </c>
      <c r="BJ3107" s="5" t="s">
        <v>253</v>
      </c>
      <c r="BK3107" s="5" t="s">
        <v>254</v>
      </c>
      <c r="BY3107" s="5" t="s">
        <v>238</v>
      </c>
      <c r="BZ3107" s="5" t="s">
        <v>238</v>
      </c>
      <c r="CD3107" s="5" t="s">
        <v>273</v>
      </c>
      <c r="CE3107" s="5" t="s">
        <v>256</v>
      </c>
      <c r="CF3107" s="5" t="s">
        <v>238</v>
      </c>
      <c r="CI3107" s="6" t="s">
        <v>257</v>
      </c>
      <c r="CJ3107" s="5" t="s">
        <v>238</v>
      </c>
      <c r="CK3107" s="5" t="s">
        <v>258</v>
      </c>
      <c r="CL3107" s="5" t="s">
        <v>238</v>
      </c>
      <c r="CM3107" s="5" t="s">
        <v>238</v>
      </c>
      <c r="CN3107" s="5">
        <v>0</v>
      </c>
      <c r="CO3107" s="5" t="s">
        <v>259</v>
      </c>
      <c r="CP3107" s="5" t="s">
        <v>260</v>
      </c>
      <c r="CQ3107" s="5" t="s">
        <v>260</v>
      </c>
      <c r="CR3107" s="5" t="s">
        <v>261</v>
      </c>
      <c r="CU3107" s="8">
        <f>1</f>
        <v>1</v>
      </c>
      <c r="CV3107" s="8">
        <f>0</f>
        <v>0</v>
      </c>
      <c r="CX3107" s="8">
        <f>0</f>
        <v>0</v>
      </c>
      <c r="CY3107" s="8">
        <f>1</f>
        <v>1</v>
      </c>
      <c r="DA3107" s="5" t="s">
        <v>274</v>
      </c>
      <c r="DB3107" s="5" t="s">
        <v>238</v>
      </c>
      <c r="DD3107" s="5" t="s">
        <v>274</v>
      </c>
      <c r="DE3107" s="8">
        <f>388</f>
        <v>388</v>
      </c>
      <c r="DG3107" s="5" t="s">
        <v>238</v>
      </c>
      <c r="DH3107" s="5" t="s">
        <v>238</v>
      </c>
      <c r="DI3107" s="5" t="s">
        <v>238</v>
      </c>
      <c r="DJ3107" s="5" t="s">
        <v>238</v>
      </c>
      <c r="DN3107" s="5" t="s">
        <v>238</v>
      </c>
      <c r="DO3107" s="5" t="s">
        <v>238</v>
      </c>
      <c r="DP3107" s="5" t="s">
        <v>238</v>
      </c>
      <c r="DQ3107" s="5" t="s">
        <v>238</v>
      </c>
      <c r="DT3107" s="5" t="s">
        <v>275</v>
      </c>
      <c r="DU3107" s="5" t="s">
        <v>1612</v>
      </c>
      <c r="HM3107" s="5" t="s">
        <v>264</v>
      </c>
    </row>
    <row r="3108" spans="1:221" x14ac:dyDescent="0.4">
      <c r="A3108" s="5">
        <v>4812</v>
      </c>
      <c r="B3108" s="5">
        <v>1</v>
      </c>
      <c r="C3108" s="5">
        <v>1</v>
      </c>
      <c r="D3108" s="5" t="s">
        <v>269</v>
      </c>
      <c r="E3108" s="5" t="s">
        <v>271</v>
      </c>
      <c r="F3108" s="5" t="s">
        <v>248</v>
      </c>
      <c r="G3108" s="5" t="s">
        <v>266</v>
      </c>
      <c r="H3108" s="6" t="s">
        <v>1847</v>
      </c>
      <c r="I3108" s="7">
        <f>88</f>
        <v>88</v>
      </c>
      <c r="J3108" s="5" t="s">
        <v>262</v>
      </c>
      <c r="K3108" s="8">
        <f>1</f>
        <v>1</v>
      </c>
      <c r="L3108" s="6" t="s">
        <v>242</v>
      </c>
      <c r="M3108" s="5" t="s">
        <v>267</v>
      </c>
      <c r="N3108" s="5" t="s">
        <v>265</v>
      </c>
      <c r="O3108" s="5" t="s">
        <v>238</v>
      </c>
      <c r="P3108" s="5" t="s">
        <v>238</v>
      </c>
      <c r="Q3108" s="5" t="s">
        <v>268</v>
      </c>
      <c r="R3108" s="5" t="s">
        <v>270</v>
      </c>
      <c r="S3108" s="5" t="s">
        <v>238</v>
      </c>
      <c r="V3108" s="5" t="s">
        <v>238</v>
      </c>
      <c r="X3108" s="6" t="s">
        <v>238</v>
      </c>
      <c r="AA3108" s="6" t="s">
        <v>243</v>
      </c>
      <c r="AB3108" s="5" t="s">
        <v>238</v>
      </c>
      <c r="AC3108" s="5" t="s">
        <v>244</v>
      </c>
      <c r="AD3108" s="5" t="s">
        <v>245</v>
      </c>
      <c r="AT3108" s="5" t="s">
        <v>246</v>
      </c>
      <c r="AU3108" s="5" t="s">
        <v>238</v>
      </c>
      <c r="AV3108" s="5" t="s">
        <v>247</v>
      </c>
      <c r="AW3108" s="5" t="s">
        <v>238</v>
      </c>
      <c r="AX3108" s="5" t="s">
        <v>249</v>
      </c>
      <c r="AY3108" s="5" t="s">
        <v>238</v>
      </c>
      <c r="BA3108" s="5" t="s">
        <v>238</v>
      </c>
      <c r="BC3108" s="5" t="s">
        <v>250</v>
      </c>
      <c r="BD3108" s="6" t="s">
        <v>243</v>
      </c>
      <c r="BE3108" s="5" t="s">
        <v>251</v>
      </c>
      <c r="BF3108" s="5" t="s">
        <v>252</v>
      </c>
      <c r="BG3108" s="5" t="s">
        <v>238</v>
      </c>
      <c r="BH3108" s="7">
        <f>0</f>
        <v>0</v>
      </c>
      <c r="BI3108" s="8">
        <f>0</f>
        <v>0</v>
      </c>
      <c r="BJ3108" s="5" t="s">
        <v>253</v>
      </c>
      <c r="BK3108" s="5" t="s">
        <v>254</v>
      </c>
      <c r="BY3108" s="5" t="s">
        <v>238</v>
      </c>
      <c r="BZ3108" s="5" t="s">
        <v>238</v>
      </c>
      <c r="CD3108" s="5" t="s">
        <v>273</v>
      </c>
      <c r="CE3108" s="5" t="s">
        <v>256</v>
      </c>
      <c r="CF3108" s="5" t="s">
        <v>238</v>
      </c>
      <c r="CI3108" s="6" t="s">
        <v>257</v>
      </c>
      <c r="CJ3108" s="5" t="s">
        <v>238</v>
      </c>
      <c r="CK3108" s="5" t="s">
        <v>258</v>
      </c>
      <c r="CL3108" s="5" t="s">
        <v>238</v>
      </c>
      <c r="CM3108" s="5" t="s">
        <v>238</v>
      </c>
      <c r="CN3108" s="5">
        <v>0</v>
      </c>
      <c r="CO3108" s="5" t="s">
        <v>259</v>
      </c>
      <c r="CP3108" s="5" t="s">
        <v>260</v>
      </c>
      <c r="CQ3108" s="5" t="s">
        <v>260</v>
      </c>
      <c r="CR3108" s="5" t="s">
        <v>261</v>
      </c>
      <c r="CU3108" s="8">
        <f>1</f>
        <v>1</v>
      </c>
      <c r="CV3108" s="8">
        <f>0</f>
        <v>0</v>
      </c>
      <c r="CX3108" s="8">
        <f>0</f>
        <v>0</v>
      </c>
      <c r="CY3108" s="8">
        <f>1</f>
        <v>1</v>
      </c>
      <c r="DA3108" s="5" t="s">
        <v>274</v>
      </c>
      <c r="DB3108" s="5" t="s">
        <v>238</v>
      </c>
      <c r="DD3108" s="5" t="s">
        <v>274</v>
      </c>
      <c r="DE3108" s="8">
        <f>88</f>
        <v>88</v>
      </c>
      <c r="DG3108" s="5" t="s">
        <v>238</v>
      </c>
      <c r="DH3108" s="5" t="s">
        <v>238</v>
      </c>
      <c r="DI3108" s="5" t="s">
        <v>238</v>
      </c>
      <c r="DJ3108" s="5" t="s">
        <v>238</v>
      </c>
      <c r="DN3108" s="5" t="s">
        <v>238</v>
      </c>
      <c r="DO3108" s="5" t="s">
        <v>238</v>
      </c>
      <c r="DP3108" s="5" t="s">
        <v>238</v>
      </c>
      <c r="DQ3108" s="5" t="s">
        <v>238</v>
      </c>
      <c r="DT3108" s="5" t="s">
        <v>275</v>
      </c>
      <c r="DU3108" s="5" t="s">
        <v>1848</v>
      </c>
      <c r="HM3108" s="5" t="s">
        <v>264</v>
      </c>
    </row>
    <row r="3109" spans="1:221" x14ac:dyDescent="0.4">
      <c r="A3109" s="5">
        <v>4813</v>
      </c>
      <c r="B3109" s="5">
        <v>1</v>
      </c>
      <c r="C3109" s="5">
        <v>1</v>
      </c>
      <c r="D3109" s="5" t="s">
        <v>269</v>
      </c>
      <c r="E3109" s="5" t="s">
        <v>271</v>
      </c>
      <c r="F3109" s="5" t="s">
        <v>248</v>
      </c>
      <c r="G3109" s="5" t="s">
        <v>266</v>
      </c>
      <c r="H3109" s="6" t="s">
        <v>1851</v>
      </c>
      <c r="I3109" s="7">
        <f>151</f>
        <v>151</v>
      </c>
      <c r="J3109" s="5" t="s">
        <v>262</v>
      </c>
      <c r="K3109" s="8">
        <f>1</f>
        <v>1</v>
      </c>
      <c r="L3109" s="6" t="s">
        <v>242</v>
      </c>
      <c r="M3109" s="5" t="s">
        <v>267</v>
      </c>
      <c r="N3109" s="5" t="s">
        <v>265</v>
      </c>
      <c r="O3109" s="5" t="s">
        <v>238</v>
      </c>
      <c r="P3109" s="5" t="s">
        <v>238</v>
      </c>
      <c r="Q3109" s="5" t="s">
        <v>268</v>
      </c>
      <c r="R3109" s="5" t="s">
        <v>270</v>
      </c>
      <c r="S3109" s="5" t="s">
        <v>238</v>
      </c>
      <c r="V3109" s="5" t="s">
        <v>238</v>
      </c>
      <c r="X3109" s="6" t="s">
        <v>238</v>
      </c>
      <c r="AA3109" s="6" t="s">
        <v>243</v>
      </c>
      <c r="AB3109" s="5" t="s">
        <v>238</v>
      </c>
      <c r="AC3109" s="5" t="s">
        <v>244</v>
      </c>
      <c r="AD3109" s="5" t="s">
        <v>245</v>
      </c>
      <c r="AT3109" s="5" t="s">
        <v>246</v>
      </c>
      <c r="AU3109" s="5" t="s">
        <v>238</v>
      </c>
      <c r="AV3109" s="5" t="s">
        <v>247</v>
      </c>
      <c r="AW3109" s="5" t="s">
        <v>238</v>
      </c>
      <c r="AX3109" s="5" t="s">
        <v>249</v>
      </c>
      <c r="AY3109" s="5" t="s">
        <v>238</v>
      </c>
      <c r="BA3109" s="5" t="s">
        <v>238</v>
      </c>
      <c r="BC3109" s="5" t="s">
        <v>250</v>
      </c>
      <c r="BD3109" s="6" t="s">
        <v>243</v>
      </c>
      <c r="BE3109" s="5" t="s">
        <v>251</v>
      </c>
      <c r="BF3109" s="5" t="s">
        <v>252</v>
      </c>
      <c r="BG3109" s="5" t="s">
        <v>238</v>
      </c>
      <c r="BH3109" s="7">
        <f>0</f>
        <v>0</v>
      </c>
      <c r="BI3109" s="8">
        <f>0</f>
        <v>0</v>
      </c>
      <c r="BJ3109" s="5" t="s">
        <v>253</v>
      </c>
      <c r="BK3109" s="5" t="s">
        <v>254</v>
      </c>
      <c r="BY3109" s="5" t="s">
        <v>238</v>
      </c>
      <c r="BZ3109" s="5" t="s">
        <v>238</v>
      </c>
      <c r="CD3109" s="5" t="s">
        <v>273</v>
      </c>
      <c r="CE3109" s="5" t="s">
        <v>256</v>
      </c>
      <c r="CF3109" s="5" t="s">
        <v>238</v>
      </c>
      <c r="CI3109" s="6" t="s">
        <v>257</v>
      </c>
      <c r="CJ3109" s="5" t="s">
        <v>238</v>
      </c>
      <c r="CK3109" s="5" t="s">
        <v>258</v>
      </c>
      <c r="CL3109" s="5" t="s">
        <v>238</v>
      </c>
      <c r="CM3109" s="5" t="s">
        <v>238</v>
      </c>
      <c r="CN3109" s="5">
        <v>0</v>
      </c>
      <c r="CO3109" s="5" t="s">
        <v>259</v>
      </c>
      <c r="CP3109" s="5" t="s">
        <v>260</v>
      </c>
      <c r="CQ3109" s="5" t="s">
        <v>260</v>
      </c>
      <c r="CR3109" s="5" t="s">
        <v>261</v>
      </c>
      <c r="CU3109" s="8">
        <f>1</f>
        <v>1</v>
      </c>
      <c r="CV3109" s="8">
        <f>0</f>
        <v>0</v>
      </c>
      <c r="CX3109" s="8">
        <f>0</f>
        <v>0</v>
      </c>
      <c r="CY3109" s="8">
        <f>1</f>
        <v>1</v>
      </c>
      <c r="DA3109" s="5" t="s">
        <v>274</v>
      </c>
      <c r="DB3109" s="5" t="s">
        <v>238</v>
      </c>
      <c r="DD3109" s="5" t="s">
        <v>274</v>
      </c>
      <c r="DE3109" s="8">
        <f>151</f>
        <v>151</v>
      </c>
      <c r="DG3109" s="5" t="s">
        <v>238</v>
      </c>
      <c r="DH3109" s="5" t="s">
        <v>238</v>
      </c>
      <c r="DI3109" s="5" t="s">
        <v>238</v>
      </c>
      <c r="DJ3109" s="5" t="s">
        <v>238</v>
      </c>
      <c r="DN3109" s="5" t="s">
        <v>238</v>
      </c>
      <c r="DO3109" s="5" t="s">
        <v>238</v>
      </c>
      <c r="DP3109" s="5" t="s">
        <v>238</v>
      </c>
      <c r="DQ3109" s="5" t="s">
        <v>238</v>
      </c>
      <c r="DT3109" s="5" t="s">
        <v>275</v>
      </c>
      <c r="DU3109" s="5" t="s">
        <v>1852</v>
      </c>
      <c r="HM3109" s="5" t="s">
        <v>264</v>
      </c>
    </row>
    <row r="3110" spans="1:221" x14ac:dyDescent="0.4">
      <c r="A3110" s="5">
        <v>4814</v>
      </c>
      <c r="B3110" s="5">
        <v>1</v>
      </c>
      <c r="C3110" s="5">
        <v>1</v>
      </c>
      <c r="D3110" s="5" t="s">
        <v>269</v>
      </c>
      <c r="E3110" s="5" t="s">
        <v>271</v>
      </c>
      <c r="F3110" s="5" t="s">
        <v>248</v>
      </c>
      <c r="G3110" s="5" t="s">
        <v>266</v>
      </c>
      <c r="H3110" s="6" t="s">
        <v>1829</v>
      </c>
      <c r="I3110" s="7">
        <f>152</f>
        <v>152</v>
      </c>
      <c r="J3110" s="5" t="s">
        <v>262</v>
      </c>
      <c r="K3110" s="8">
        <f>1</f>
        <v>1</v>
      </c>
      <c r="L3110" s="6" t="s">
        <v>242</v>
      </c>
      <c r="M3110" s="5" t="s">
        <v>267</v>
      </c>
      <c r="N3110" s="5" t="s">
        <v>265</v>
      </c>
      <c r="O3110" s="5" t="s">
        <v>238</v>
      </c>
      <c r="P3110" s="5" t="s">
        <v>238</v>
      </c>
      <c r="Q3110" s="5" t="s">
        <v>268</v>
      </c>
      <c r="R3110" s="5" t="s">
        <v>270</v>
      </c>
      <c r="S3110" s="5" t="s">
        <v>238</v>
      </c>
      <c r="V3110" s="5" t="s">
        <v>238</v>
      </c>
      <c r="X3110" s="6" t="s">
        <v>238</v>
      </c>
      <c r="AA3110" s="6" t="s">
        <v>243</v>
      </c>
      <c r="AB3110" s="5" t="s">
        <v>238</v>
      </c>
      <c r="AC3110" s="5" t="s">
        <v>244</v>
      </c>
      <c r="AD3110" s="5" t="s">
        <v>245</v>
      </c>
      <c r="AT3110" s="5" t="s">
        <v>246</v>
      </c>
      <c r="AU3110" s="5" t="s">
        <v>238</v>
      </c>
      <c r="AV3110" s="5" t="s">
        <v>247</v>
      </c>
      <c r="AW3110" s="5" t="s">
        <v>238</v>
      </c>
      <c r="AX3110" s="5" t="s">
        <v>249</v>
      </c>
      <c r="AY3110" s="5" t="s">
        <v>238</v>
      </c>
      <c r="BA3110" s="5" t="s">
        <v>238</v>
      </c>
      <c r="BC3110" s="5" t="s">
        <v>250</v>
      </c>
      <c r="BD3110" s="6" t="s">
        <v>243</v>
      </c>
      <c r="BE3110" s="5" t="s">
        <v>251</v>
      </c>
      <c r="BF3110" s="5" t="s">
        <v>252</v>
      </c>
      <c r="BG3110" s="5" t="s">
        <v>238</v>
      </c>
      <c r="BH3110" s="7">
        <f>0</f>
        <v>0</v>
      </c>
      <c r="BI3110" s="8">
        <f>0</f>
        <v>0</v>
      </c>
      <c r="BJ3110" s="5" t="s">
        <v>253</v>
      </c>
      <c r="BK3110" s="5" t="s">
        <v>254</v>
      </c>
      <c r="BY3110" s="5" t="s">
        <v>238</v>
      </c>
      <c r="BZ3110" s="5" t="s">
        <v>238</v>
      </c>
      <c r="CD3110" s="5" t="s">
        <v>273</v>
      </c>
      <c r="CE3110" s="5" t="s">
        <v>256</v>
      </c>
      <c r="CF3110" s="5" t="s">
        <v>238</v>
      </c>
      <c r="CI3110" s="6" t="s">
        <v>257</v>
      </c>
      <c r="CJ3110" s="5" t="s">
        <v>238</v>
      </c>
      <c r="CK3110" s="5" t="s">
        <v>258</v>
      </c>
      <c r="CL3110" s="5" t="s">
        <v>238</v>
      </c>
      <c r="CM3110" s="5" t="s">
        <v>238</v>
      </c>
      <c r="CN3110" s="5">
        <v>0</v>
      </c>
      <c r="CO3110" s="5" t="s">
        <v>259</v>
      </c>
      <c r="CP3110" s="5" t="s">
        <v>260</v>
      </c>
      <c r="CQ3110" s="5" t="s">
        <v>260</v>
      </c>
      <c r="CR3110" s="5" t="s">
        <v>261</v>
      </c>
      <c r="CU3110" s="8">
        <f>1</f>
        <v>1</v>
      </c>
      <c r="CV3110" s="8">
        <f>0</f>
        <v>0</v>
      </c>
      <c r="CX3110" s="8">
        <f>0</f>
        <v>0</v>
      </c>
      <c r="CY3110" s="8">
        <f>1</f>
        <v>1</v>
      </c>
      <c r="DA3110" s="5" t="s">
        <v>274</v>
      </c>
      <c r="DB3110" s="5" t="s">
        <v>238</v>
      </c>
      <c r="DD3110" s="5" t="s">
        <v>274</v>
      </c>
      <c r="DE3110" s="8">
        <f>152</f>
        <v>152</v>
      </c>
      <c r="DG3110" s="5" t="s">
        <v>238</v>
      </c>
      <c r="DH3110" s="5" t="s">
        <v>238</v>
      </c>
      <c r="DI3110" s="5" t="s">
        <v>238</v>
      </c>
      <c r="DJ3110" s="5" t="s">
        <v>238</v>
      </c>
      <c r="DN3110" s="5" t="s">
        <v>238</v>
      </c>
      <c r="DO3110" s="5" t="s">
        <v>238</v>
      </c>
      <c r="DP3110" s="5" t="s">
        <v>238</v>
      </c>
      <c r="DQ3110" s="5" t="s">
        <v>238</v>
      </c>
      <c r="DT3110" s="5" t="s">
        <v>275</v>
      </c>
      <c r="DU3110" s="5" t="s">
        <v>1830</v>
      </c>
      <c r="HM3110" s="5" t="s">
        <v>264</v>
      </c>
    </row>
    <row r="3111" spans="1:221" x14ac:dyDescent="0.4">
      <c r="A3111" s="5">
        <v>4815</v>
      </c>
      <c r="B3111" s="5">
        <v>1</v>
      </c>
      <c r="C3111" s="5">
        <v>1</v>
      </c>
      <c r="D3111" s="5" t="s">
        <v>269</v>
      </c>
      <c r="E3111" s="5" t="s">
        <v>271</v>
      </c>
      <c r="F3111" s="5" t="s">
        <v>248</v>
      </c>
      <c r="G3111" s="5" t="s">
        <v>266</v>
      </c>
      <c r="H3111" s="6" t="s">
        <v>1827</v>
      </c>
      <c r="I3111" s="7">
        <f>3424</f>
        <v>3424</v>
      </c>
      <c r="J3111" s="5" t="s">
        <v>262</v>
      </c>
      <c r="K3111" s="8">
        <f>1</f>
        <v>1</v>
      </c>
      <c r="L3111" s="6" t="s">
        <v>242</v>
      </c>
      <c r="M3111" s="5" t="s">
        <v>267</v>
      </c>
      <c r="N3111" s="5" t="s">
        <v>265</v>
      </c>
      <c r="O3111" s="5" t="s">
        <v>238</v>
      </c>
      <c r="P3111" s="5" t="s">
        <v>238</v>
      </c>
      <c r="Q3111" s="5" t="s">
        <v>268</v>
      </c>
      <c r="R3111" s="5" t="s">
        <v>270</v>
      </c>
      <c r="S3111" s="5" t="s">
        <v>238</v>
      </c>
      <c r="V3111" s="5" t="s">
        <v>238</v>
      </c>
      <c r="X3111" s="6" t="s">
        <v>238</v>
      </c>
      <c r="AA3111" s="6" t="s">
        <v>243</v>
      </c>
      <c r="AB3111" s="5" t="s">
        <v>238</v>
      </c>
      <c r="AC3111" s="5" t="s">
        <v>244</v>
      </c>
      <c r="AD3111" s="5" t="s">
        <v>245</v>
      </c>
      <c r="AT3111" s="5" t="s">
        <v>246</v>
      </c>
      <c r="AU3111" s="5" t="s">
        <v>238</v>
      </c>
      <c r="AV3111" s="5" t="s">
        <v>247</v>
      </c>
      <c r="AW3111" s="5" t="s">
        <v>238</v>
      </c>
      <c r="AX3111" s="5" t="s">
        <v>249</v>
      </c>
      <c r="AY3111" s="5" t="s">
        <v>238</v>
      </c>
      <c r="BA3111" s="5" t="s">
        <v>238</v>
      </c>
      <c r="BC3111" s="5" t="s">
        <v>250</v>
      </c>
      <c r="BD3111" s="6" t="s">
        <v>243</v>
      </c>
      <c r="BE3111" s="5" t="s">
        <v>251</v>
      </c>
      <c r="BF3111" s="5" t="s">
        <v>252</v>
      </c>
      <c r="BG3111" s="5" t="s">
        <v>238</v>
      </c>
      <c r="BH3111" s="7">
        <f>0</f>
        <v>0</v>
      </c>
      <c r="BI3111" s="8">
        <f>0</f>
        <v>0</v>
      </c>
      <c r="BJ3111" s="5" t="s">
        <v>253</v>
      </c>
      <c r="BK3111" s="5" t="s">
        <v>254</v>
      </c>
      <c r="BY3111" s="5" t="s">
        <v>238</v>
      </c>
      <c r="BZ3111" s="5" t="s">
        <v>238</v>
      </c>
      <c r="CD3111" s="5" t="s">
        <v>273</v>
      </c>
      <c r="CE3111" s="5" t="s">
        <v>256</v>
      </c>
      <c r="CF3111" s="5" t="s">
        <v>238</v>
      </c>
      <c r="CI3111" s="6" t="s">
        <v>257</v>
      </c>
      <c r="CJ3111" s="5" t="s">
        <v>238</v>
      </c>
      <c r="CK3111" s="5" t="s">
        <v>258</v>
      </c>
      <c r="CL3111" s="5" t="s">
        <v>238</v>
      </c>
      <c r="CM3111" s="5" t="s">
        <v>238</v>
      </c>
      <c r="CN3111" s="5">
        <v>0</v>
      </c>
      <c r="CO3111" s="5" t="s">
        <v>259</v>
      </c>
      <c r="CP3111" s="5" t="s">
        <v>260</v>
      </c>
      <c r="CQ3111" s="5" t="s">
        <v>260</v>
      </c>
      <c r="CR3111" s="5" t="s">
        <v>261</v>
      </c>
      <c r="CU3111" s="8">
        <f>1</f>
        <v>1</v>
      </c>
      <c r="CV3111" s="8">
        <f>0</f>
        <v>0</v>
      </c>
      <c r="CX3111" s="8">
        <f>0</f>
        <v>0</v>
      </c>
      <c r="CY3111" s="8">
        <f>1</f>
        <v>1</v>
      </c>
      <c r="DA3111" s="5" t="s">
        <v>274</v>
      </c>
      <c r="DB3111" s="5" t="s">
        <v>238</v>
      </c>
      <c r="DD3111" s="5" t="s">
        <v>274</v>
      </c>
      <c r="DE3111" s="8">
        <f>3424</f>
        <v>3424</v>
      </c>
      <c r="DG3111" s="5" t="s">
        <v>238</v>
      </c>
      <c r="DH3111" s="5" t="s">
        <v>238</v>
      </c>
      <c r="DI3111" s="5" t="s">
        <v>238</v>
      </c>
      <c r="DJ3111" s="5" t="s">
        <v>238</v>
      </c>
      <c r="DN3111" s="5" t="s">
        <v>238</v>
      </c>
      <c r="DO3111" s="5" t="s">
        <v>238</v>
      </c>
      <c r="DP3111" s="5" t="s">
        <v>238</v>
      </c>
      <c r="DQ3111" s="5" t="s">
        <v>238</v>
      </c>
      <c r="DT3111" s="5" t="s">
        <v>275</v>
      </c>
      <c r="DU3111" s="5" t="s">
        <v>1828</v>
      </c>
      <c r="HM3111" s="5" t="s">
        <v>264</v>
      </c>
    </row>
    <row r="3112" spans="1:221" x14ac:dyDescent="0.4">
      <c r="A3112" s="5">
        <v>4816</v>
      </c>
      <c r="B3112" s="5">
        <v>1</v>
      </c>
      <c r="C3112" s="5">
        <v>1</v>
      </c>
      <c r="D3112" s="5" t="s">
        <v>269</v>
      </c>
      <c r="E3112" s="5" t="s">
        <v>271</v>
      </c>
      <c r="F3112" s="5" t="s">
        <v>248</v>
      </c>
      <c r="G3112" s="5" t="s">
        <v>266</v>
      </c>
      <c r="H3112" s="6" t="s">
        <v>1825</v>
      </c>
      <c r="I3112" s="7">
        <f>504</f>
        <v>504</v>
      </c>
      <c r="J3112" s="5" t="s">
        <v>262</v>
      </c>
      <c r="K3112" s="8">
        <f>1</f>
        <v>1</v>
      </c>
      <c r="L3112" s="6" t="s">
        <v>242</v>
      </c>
      <c r="M3112" s="5" t="s">
        <v>267</v>
      </c>
      <c r="N3112" s="5" t="s">
        <v>265</v>
      </c>
      <c r="O3112" s="5" t="s">
        <v>238</v>
      </c>
      <c r="P3112" s="5" t="s">
        <v>238</v>
      </c>
      <c r="Q3112" s="5" t="s">
        <v>268</v>
      </c>
      <c r="R3112" s="5" t="s">
        <v>270</v>
      </c>
      <c r="S3112" s="5" t="s">
        <v>238</v>
      </c>
      <c r="V3112" s="5" t="s">
        <v>238</v>
      </c>
      <c r="X3112" s="6" t="s">
        <v>238</v>
      </c>
      <c r="AA3112" s="6" t="s">
        <v>243</v>
      </c>
      <c r="AB3112" s="5" t="s">
        <v>238</v>
      </c>
      <c r="AC3112" s="5" t="s">
        <v>244</v>
      </c>
      <c r="AD3112" s="5" t="s">
        <v>245</v>
      </c>
      <c r="AT3112" s="5" t="s">
        <v>246</v>
      </c>
      <c r="AU3112" s="5" t="s">
        <v>238</v>
      </c>
      <c r="AV3112" s="5" t="s">
        <v>247</v>
      </c>
      <c r="AW3112" s="5" t="s">
        <v>238</v>
      </c>
      <c r="AX3112" s="5" t="s">
        <v>249</v>
      </c>
      <c r="AY3112" s="5" t="s">
        <v>238</v>
      </c>
      <c r="BA3112" s="5" t="s">
        <v>238</v>
      </c>
      <c r="BC3112" s="5" t="s">
        <v>250</v>
      </c>
      <c r="BD3112" s="6" t="s">
        <v>243</v>
      </c>
      <c r="BE3112" s="5" t="s">
        <v>251</v>
      </c>
      <c r="BF3112" s="5" t="s">
        <v>252</v>
      </c>
      <c r="BG3112" s="5" t="s">
        <v>238</v>
      </c>
      <c r="BH3112" s="7">
        <f>0</f>
        <v>0</v>
      </c>
      <c r="BI3112" s="8">
        <f>0</f>
        <v>0</v>
      </c>
      <c r="BJ3112" s="5" t="s">
        <v>253</v>
      </c>
      <c r="BK3112" s="5" t="s">
        <v>254</v>
      </c>
      <c r="BY3112" s="5" t="s">
        <v>238</v>
      </c>
      <c r="BZ3112" s="5" t="s">
        <v>238</v>
      </c>
      <c r="CD3112" s="5" t="s">
        <v>273</v>
      </c>
      <c r="CE3112" s="5" t="s">
        <v>256</v>
      </c>
      <c r="CF3112" s="5" t="s">
        <v>238</v>
      </c>
      <c r="CI3112" s="6" t="s">
        <v>257</v>
      </c>
      <c r="CJ3112" s="5" t="s">
        <v>238</v>
      </c>
      <c r="CK3112" s="5" t="s">
        <v>258</v>
      </c>
      <c r="CL3112" s="5" t="s">
        <v>238</v>
      </c>
      <c r="CM3112" s="5" t="s">
        <v>238</v>
      </c>
      <c r="CN3112" s="5">
        <v>0</v>
      </c>
      <c r="CO3112" s="5" t="s">
        <v>259</v>
      </c>
      <c r="CP3112" s="5" t="s">
        <v>260</v>
      </c>
      <c r="CQ3112" s="5" t="s">
        <v>260</v>
      </c>
      <c r="CR3112" s="5" t="s">
        <v>261</v>
      </c>
      <c r="CU3112" s="8">
        <f>1</f>
        <v>1</v>
      </c>
      <c r="CV3112" s="8">
        <f>0</f>
        <v>0</v>
      </c>
      <c r="CX3112" s="8">
        <f>0</f>
        <v>0</v>
      </c>
      <c r="CY3112" s="8">
        <f>1</f>
        <v>1</v>
      </c>
      <c r="DA3112" s="5" t="s">
        <v>274</v>
      </c>
      <c r="DB3112" s="5" t="s">
        <v>238</v>
      </c>
      <c r="DD3112" s="5" t="s">
        <v>274</v>
      </c>
      <c r="DE3112" s="8">
        <f>504</f>
        <v>504</v>
      </c>
      <c r="DG3112" s="5" t="s">
        <v>238</v>
      </c>
      <c r="DH3112" s="5" t="s">
        <v>238</v>
      </c>
      <c r="DI3112" s="5" t="s">
        <v>238</v>
      </c>
      <c r="DJ3112" s="5" t="s">
        <v>238</v>
      </c>
      <c r="DN3112" s="5" t="s">
        <v>238</v>
      </c>
      <c r="DO3112" s="5" t="s">
        <v>238</v>
      </c>
      <c r="DP3112" s="5" t="s">
        <v>238</v>
      </c>
      <c r="DQ3112" s="5" t="s">
        <v>238</v>
      </c>
      <c r="DT3112" s="5" t="s">
        <v>275</v>
      </c>
      <c r="DU3112" s="5" t="s">
        <v>1826</v>
      </c>
      <c r="HM3112" s="5" t="s">
        <v>264</v>
      </c>
    </row>
    <row r="3113" spans="1:221" x14ac:dyDescent="0.4">
      <c r="A3113" s="5">
        <v>4817</v>
      </c>
      <c r="B3113" s="5">
        <v>1</v>
      </c>
      <c r="C3113" s="5">
        <v>1</v>
      </c>
      <c r="D3113" s="5" t="s">
        <v>269</v>
      </c>
      <c r="E3113" s="5" t="s">
        <v>271</v>
      </c>
      <c r="F3113" s="5" t="s">
        <v>248</v>
      </c>
      <c r="G3113" s="5" t="s">
        <v>266</v>
      </c>
      <c r="H3113" s="6" t="s">
        <v>1498</v>
      </c>
      <c r="I3113" s="7">
        <f>926</f>
        <v>926</v>
      </c>
      <c r="J3113" s="5" t="s">
        <v>262</v>
      </c>
      <c r="K3113" s="8">
        <f>1</f>
        <v>1</v>
      </c>
      <c r="L3113" s="6" t="s">
        <v>242</v>
      </c>
      <c r="M3113" s="5" t="s">
        <v>267</v>
      </c>
      <c r="N3113" s="5" t="s">
        <v>265</v>
      </c>
      <c r="O3113" s="5" t="s">
        <v>238</v>
      </c>
      <c r="P3113" s="5" t="s">
        <v>238</v>
      </c>
      <c r="Q3113" s="5" t="s">
        <v>268</v>
      </c>
      <c r="R3113" s="5" t="s">
        <v>270</v>
      </c>
      <c r="S3113" s="5" t="s">
        <v>238</v>
      </c>
      <c r="V3113" s="5" t="s">
        <v>238</v>
      </c>
      <c r="X3113" s="6" t="s">
        <v>238</v>
      </c>
      <c r="AA3113" s="6" t="s">
        <v>243</v>
      </c>
      <c r="AB3113" s="5" t="s">
        <v>238</v>
      </c>
      <c r="AC3113" s="5" t="s">
        <v>244</v>
      </c>
      <c r="AD3113" s="5" t="s">
        <v>245</v>
      </c>
      <c r="AT3113" s="5" t="s">
        <v>246</v>
      </c>
      <c r="AU3113" s="5" t="s">
        <v>238</v>
      </c>
      <c r="AV3113" s="5" t="s">
        <v>247</v>
      </c>
      <c r="AW3113" s="5" t="s">
        <v>238</v>
      </c>
      <c r="AX3113" s="5" t="s">
        <v>249</v>
      </c>
      <c r="AY3113" s="5" t="s">
        <v>238</v>
      </c>
      <c r="BA3113" s="5" t="s">
        <v>238</v>
      </c>
      <c r="BC3113" s="5" t="s">
        <v>250</v>
      </c>
      <c r="BD3113" s="6" t="s">
        <v>243</v>
      </c>
      <c r="BE3113" s="5" t="s">
        <v>251</v>
      </c>
      <c r="BF3113" s="5" t="s">
        <v>252</v>
      </c>
      <c r="BG3113" s="5" t="s">
        <v>238</v>
      </c>
      <c r="BH3113" s="7">
        <f>0</f>
        <v>0</v>
      </c>
      <c r="BI3113" s="8">
        <f>0</f>
        <v>0</v>
      </c>
      <c r="BJ3113" s="5" t="s">
        <v>253</v>
      </c>
      <c r="BK3113" s="5" t="s">
        <v>254</v>
      </c>
      <c r="BY3113" s="5" t="s">
        <v>238</v>
      </c>
      <c r="BZ3113" s="5" t="s">
        <v>238</v>
      </c>
      <c r="CD3113" s="5" t="s">
        <v>273</v>
      </c>
      <c r="CE3113" s="5" t="s">
        <v>256</v>
      </c>
      <c r="CF3113" s="5" t="s">
        <v>238</v>
      </c>
      <c r="CI3113" s="6" t="s">
        <v>257</v>
      </c>
      <c r="CJ3113" s="5" t="s">
        <v>238</v>
      </c>
      <c r="CK3113" s="5" t="s">
        <v>258</v>
      </c>
      <c r="CL3113" s="5" t="s">
        <v>238</v>
      </c>
      <c r="CM3113" s="5" t="s">
        <v>238</v>
      </c>
      <c r="CN3113" s="5">
        <v>0</v>
      </c>
      <c r="CO3113" s="5" t="s">
        <v>259</v>
      </c>
      <c r="CP3113" s="5" t="s">
        <v>260</v>
      </c>
      <c r="CQ3113" s="5" t="s">
        <v>260</v>
      </c>
      <c r="CR3113" s="5" t="s">
        <v>261</v>
      </c>
      <c r="CU3113" s="8">
        <f>1</f>
        <v>1</v>
      </c>
      <c r="CV3113" s="8">
        <f>0</f>
        <v>0</v>
      </c>
      <c r="CX3113" s="8">
        <f>0</f>
        <v>0</v>
      </c>
      <c r="CY3113" s="8">
        <f>1</f>
        <v>1</v>
      </c>
      <c r="DA3113" s="5" t="s">
        <v>274</v>
      </c>
      <c r="DB3113" s="5" t="s">
        <v>238</v>
      </c>
      <c r="DD3113" s="5" t="s">
        <v>274</v>
      </c>
      <c r="DE3113" s="8">
        <f>926</f>
        <v>926</v>
      </c>
      <c r="DG3113" s="5" t="s">
        <v>238</v>
      </c>
      <c r="DH3113" s="5" t="s">
        <v>238</v>
      </c>
      <c r="DI3113" s="5" t="s">
        <v>238</v>
      </c>
      <c r="DJ3113" s="5" t="s">
        <v>238</v>
      </c>
      <c r="DN3113" s="5" t="s">
        <v>238</v>
      </c>
      <c r="DO3113" s="5" t="s">
        <v>238</v>
      </c>
      <c r="DP3113" s="5" t="s">
        <v>238</v>
      </c>
      <c r="DQ3113" s="5" t="s">
        <v>238</v>
      </c>
      <c r="DT3113" s="5" t="s">
        <v>275</v>
      </c>
      <c r="DU3113" s="5" t="s">
        <v>1499</v>
      </c>
      <c r="HM3113" s="5" t="s">
        <v>264</v>
      </c>
    </row>
    <row r="3114" spans="1:221" x14ac:dyDescent="0.4">
      <c r="A3114" s="5">
        <v>4818</v>
      </c>
      <c r="B3114" s="5">
        <v>1</v>
      </c>
      <c r="C3114" s="5">
        <v>1</v>
      </c>
      <c r="D3114" s="5" t="s">
        <v>269</v>
      </c>
      <c r="E3114" s="5" t="s">
        <v>271</v>
      </c>
      <c r="F3114" s="5" t="s">
        <v>248</v>
      </c>
      <c r="G3114" s="5" t="s">
        <v>266</v>
      </c>
      <c r="H3114" s="6" t="s">
        <v>1819</v>
      </c>
      <c r="I3114" s="7">
        <f>2871</f>
        <v>2871</v>
      </c>
      <c r="J3114" s="5" t="s">
        <v>262</v>
      </c>
      <c r="K3114" s="8">
        <f>1</f>
        <v>1</v>
      </c>
      <c r="L3114" s="6" t="s">
        <v>242</v>
      </c>
      <c r="M3114" s="5" t="s">
        <v>267</v>
      </c>
      <c r="N3114" s="5" t="s">
        <v>265</v>
      </c>
      <c r="O3114" s="5" t="s">
        <v>238</v>
      </c>
      <c r="P3114" s="5" t="s">
        <v>238</v>
      </c>
      <c r="Q3114" s="5" t="s">
        <v>268</v>
      </c>
      <c r="R3114" s="5" t="s">
        <v>270</v>
      </c>
      <c r="S3114" s="5" t="s">
        <v>238</v>
      </c>
      <c r="V3114" s="5" t="s">
        <v>238</v>
      </c>
      <c r="X3114" s="6" t="s">
        <v>238</v>
      </c>
      <c r="AA3114" s="6" t="s">
        <v>243</v>
      </c>
      <c r="AB3114" s="5" t="s">
        <v>238</v>
      </c>
      <c r="AC3114" s="5" t="s">
        <v>244</v>
      </c>
      <c r="AD3114" s="5" t="s">
        <v>245</v>
      </c>
      <c r="AT3114" s="5" t="s">
        <v>246</v>
      </c>
      <c r="AU3114" s="5" t="s">
        <v>238</v>
      </c>
      <c r="AV3114" s="5" t="s">
        <v>247</v>
      </c>
      <c r="AW3114" s="5" t="s">
        <v>238</v>
      </c>
      <c r="AX3114" s="5" t="s">
        <v>249</v>
      </c>
      <c r="AY3114" s="5" t="s">
        <v>238</v>
      </c>
      <c r="BA3114" s="5" t="s">
        <v>238</v>
      </c>
      <c r="BC3114" s="5" t="s">
        <v>250</v>
      </c>
      <c r="BD3114" s="6" t="s">
        <v>243</v>
      </c>
      <c r="BE3114" s="5" t="s">
        <v>251</v>
      </c>
      <c r="BF3114" s="5" t="s">
        <v>252</v>
      </c>
      <c r="BG3114" s="5" t="s">
        <v>238</v>
      </c>
      <c r="BH3114" s="7">
        <f>0</f>
        <v>0</v>
      </c>
      <c r="BI3114" s="8">
        <f>0</f>
        <v>0</v>
      </c>
      <c r="BJ3114" s="5" t="s">
        <v>253</v>
      </c>
      <c r="BK3114" s="5" t="s">
        <v>254</v>
      </c>
      <c r="BY3114" s="5" t="s">
        <v>238</v>
      </c>
      <c r="BZ3114" s="5" t="s">
        <v>238</v>
      </c>
      <c r="CD3114" s="5" t="s">
        <v>273</v>
      </c>
      <c r="CE3114" s="5" t="s">
        <v>256</v>
      </c>
      <c r="CF3114" s="5" t="s">
        <v>238</v>
      </c>
      <c r="CI3114" s="6" t="s">
        <v>257</v>
      </c>
      <c r="CJ3114" s="5" t="s">
        <v>238</v>
      </c>
      <c r="CK3114" s="5" t="s">
        <v>258</v>
      </c>
      <c r="CL3114" s="5" t="s">
        <v>238</v>
      </c>
      <c r="CM3114" s="5" t="s">
        <v>238</v>
      </c>
      <c r="CN3114" s="5">
        <v>0</v>
      </c>
      <c r="CO3114" s="5" t="s">
        <v>259</v>
      </c>
      <c r="CP3114" s="5" t="s">
        <v>260</v>
      </c>
      <c r="CQ3114" s="5" t="s">
        <v>260</v>
      </c>
      <c r="CR3114" s="5" t="s">
        <v>261</v>
      </c>
      <c r="CU3114" s="8">
        <f>1</f>
        <v>1</v>
      </c>
      <c r="CV3114" s="8">
        <f>0</f>
        <v>0</v>
      </c>
      <c r="CX3114" s="8">
        <f>0</f>
        <v>0</v>
      </c>
      <c r="CY3114" s="8">
        <f>1</f>
        <v>1</v>
      </c>
      <c r="DA3114" s="5" t="s">
        <v>274</v>
      </c>
      <c r="DB3114" s="5" t="s">
        <v>238</v>
      </c>
      <c r="DD3114" s="5" t="s">
        <v>274</v>
      </c>
      <c r="DE3114" s="8">
        <f>2871</f>
        <v>2871</v>
      </c>
      <c r="DG3114" s="5" t="s">
        <v>238</v>
      </c>
      <c r="DH3114" s="5" t="s">
        <v>238</v>
      </c>
      <c r="DI3114" s="5" t="s">
        <v>238</v>
      </c>
      <c r="DJ3114" s="5" t="s">
        <v>238</v>
      </c>
      <c r="DN3114" s="5" t="s">
        <v>238</v>
      </c>
      <c r="DO3114" s="5" t="s">
        <v>238</v>
      </c>
      <c r="DP3114" s="5" t="s">
        <v>238</v>
      </c>
      <c r="DQ3114" s="5" t="s">
        <v>238</v>
      </c>
      <c r="DT3114" s="5" t="s">
        <v>275</v>
      </c>
      <c r="DU3114" s="5" t="s">
        <v>1820</v>
      </c>
      <c r="HM3114" s="5" t="s">
        <v>264</v>
      </c>
    </row>
    <row r="3115" spans="1:221" x14ac:dyDescent="0.4">
      <c r="A3115" s="5">
        <v>4819</v>
      </c>
      <c r="B3115" s="5">
        <v>1</v>
      </c>
      <c r="C3115" s="5">
        <v>1</v>
      </c>
      <c r="D3115" s="5" t="s">
        <v>269</v>
      </c>
      <c r="E3115" s="5" t="s">
        <v>271</v>
      </c>
      <c r="F3115" s="5" t="s">
        <v>248</v>
      </c>
      <c r="G3115" s="5" t="s">
        <v>266</v>
      </c>
      <c r="H3115" s="6" t="s">
        <v>1001</v>
      </c>
      <c r="I3115" s="7">
        <f>1373</f>
        <v>1373</v>
      </c>
      <c r="J3115" s="5" t="s">
        <v>262</v>
      </c>
      <c r="K3115" s="8">
        <f>1</f>
        <v>1</v>
      </c>
      <c r="L3115" s="6" t="s">
        <v>242</v>
      </c>
      <c r="M3115" s="5" t="s">
        <v>267</v>
      </c>
      <c r="N3115" s="5" t="s">
        <v>265</v>
      </c>
      <c r="O3115" s="5" t="s">
        <v>238</v>
      </c>
      <c r="P3115" s="5" t="s">
        <v>238</v>
      </c>
      <c r="Q3115" s="5" t="s">
        <v>268</v>
      </c>
      <c r="R3115" s="5" t="s">
        <v>270</v>
      </c>
      <c r="S3115" s="5" t="s">
        <v>238</v>
      </c>
      <c r="V3115" s="5" t="s">
        <v>238</v>
      </c>
      <c r="X3115" s="6" t="s">
        <v>238</v>
      </c>
      <c r="AA3115" s="6" t="s">
        <v>243</v>
      </c>
      <c r="AB3115" s="5" t="s">
        <v>238</v>
      </c>
      <c r="AC3115" s="5" t="s">
        <v>244</v>
      </c>
      <c r="AD3115" s="5" t="s">
        <v>245</v>
      </c>
      <c r="AT3115" s="5" t="s">
        <v>246</v>
      </c>
      <c r="AU3115" s="5" t="s">
        <v>238</v>
      </c>
      <c r="AV3115" s="5" t="s">
        <v>247</v>
      </c>
      <c r="AW3115" s="5" t="s">
        <v>238</v>
      </c>
      <c r="AX3115" s="5" t="s">
        <v>249</v>
      </c>
      <c r="AY3115" s="5" t="s">
        <v>238</v>
      </c>
      <c r="BA3115" s="5" t="s">
        <v>238</v>
      </c>
      <c r="BC3115" s="5" t="s">
        <v>250</v>
      </c>
      <c r="BD3115" s="6" t="s">
        <v>243</v>
      </c>
      <c r="BE3115" s="5" t="s">
        <v>251</v>
      </c>
      <c r="BF3115" s="5" t="s">
        <v>252</v>
      </c>
      <c r="BG3115" s="5" t="s">
        <v>238</v>
      </c>
      <c r="BH3115" s="7">
        <f>0</f>
        <v>0</v>
      </c>
      <c r="BI3115" s="8">
        <f>0</f>
        <v>0</v>
      </c>
      <c r="BJ3115" s="5" t="s">
        <v>253</v>
      </c>
      <c r="BK3115" s="5" t="s">
        <v>254</v>
      </c>
      <c r="BY3115" s="5" t="s">
        <v>238</v>
      </c>
      <c r="BZ3115" s="5" t="s">
        <v>238</v>
      </c>
      <c r="CD3115" s="5" t="s">
        <v>273</v>
      </c>
      <c r="CE3115" s="5" t="s">
        <v>256</v>
      </c>
      <c r="CF3115" s="5" t="s">
        <v>238</v>
      </c>
      <c r="CI3115" s="6" t="s">
        <v>257</v>
      </c>
      <c r="CJ3115" s="5" t="s">
        <v>238</v>
      </c>
      <c r="CK3115" s="5" t="s">
        <v>258</v>
      </c>
      <c r="CL3115" s="5" t="s">
        <v>238</v>
      </c>
      <c r="CM3115" s="5" t="s">
        <v>238</v>
      </c>
      <c r="CN3115" s="5">
        <v>0</v>
      </c>
      <c r="CO3115" s="5" t="s">
        <v>259</v>
      </c>
      <c r="CP3115" s="5" t="s">
        <v>260</v>
      </c>
      <c r="CQ3115" s="5" t="s">
        <v>260</v>
      </c>
      <c r="CR3115" s="5" t="s">
        <v>261</v>
      </c>
      <c r="CU3115" s="8">
        <f>1</f>
        <v>1</v>
      </c>
      <c r="CV3115" s="8">
        <f>0</f>
        <v>0</v>
      </c>
      <c r="CX3115" s="8">
        <f>0</f>
        <v>0</v>
      </c>
      <c r="CY3115" s="8">
        <f>1</f>
        <v>1</v>
      </c>
      <c r="DA3115" s="5" t="s">
        <v>274</v>
      </c>
      <c r="DB3115" s="5" t="s">
        <v>238</v>
      </c>
      <c r="DD3115" s="5" t="s">
        <v>274</v>
      </c>
      <c r="DE3115" s="8">
        <f>1373</f>
        <v>1373</v>
      </c>
      <c r="DG3115" s="5" t="s">
        <v>238</v>
      </c>
      <c r="DH3115" s="5" t="s">
        <v>238</v>
      </c>
      <c r="DI3115" s="5" t="s">
        <v>238</v>
      </c>
      <c r="DJ3115" s="5" t="s">
        <v>238</v>
      </c>
      <c r="DN3115" s="5" t="s">
        <v>238</v>
      </c>
      <c r="DO3115" s="5" t="s">
        <v>238</v>
      </c>
      <c r="DP3115" s="5" t="s">
        <v>238</v>
      </c>
      <c r="DQ3115" s="5" t="s">
        <v>238</v>
      </c>
      <c r="DT3115" s="5" t="s">
        <v>275</v>
      </c>
      <c r="DU3115" s="5" t="s">
        <v>1002</v>
      </c>
      <c r="HM3115" s="5" t="s">
        <v>264</v>
      </c>
    </row>
    <row r="3116" spans="1:221" x14ac:dyDescent="0.4">
      <c r="A3116" s="5">
        <v>4820</v>
      </c>
      <c r="B3116" s="5">
        <v>1</v>
      </c>
      <c r="C3116" s="5">
        <v>1</v>
      </c>
      <c r="D3116" s="5" t="s">
        <v>269</v>
      </c>
      <c r="E3116" s="5" t="s">
        <v>271</v>
      </c>
      <c r="F3116" s="5" t="s">
        <v>248</v>
      </c>
      <c r="G3116" s="5" t="s">
        <v>266</v>
      </c>
      <c r="H3116" s="6" t="s">
        <v>1815</v>
      </c>
      <c r="I3116" s="7">
        <f>1107</f>
        <v>1107</v>
      </c>
      <c r="J3116" s="5" t="s">
        <v>262</v>
      </c>
      <c r="K3116" s="8">
        <f>1</f>
        <v>1</v>
      </c>
      <c r="L3116" s="6" t="s">
        <v>242</v>
      </c>
      <c r="M3116" s="5" t="s">
        <v>267</v>
      </c>
      <c r="N3116" s="5" t="s">
        <v>265</v>
      </c>
      <c r="O3116" s="5" t="s">
        <v>238</v>
      </c>
      <c r="P3116" s="5" t="s">
        <v>238</v>
      </c>
      <c r="Q3116" s="5" t="s">
        <v>268</v>
      </c>
      <c r="R3116" s="5" t="s">
        <v>270</v>
      </c>
      <c r="S3116" s="5" t="s">
        <v>238</v>
      </c>
      <c r="V3116" s="5" t="s">
        <v>238</v>
      </c>
      <c r="X3116" s="6" t="s">
        <v>238</v>
      </c>
      <c r="AA3116" s="6" t="s">
        <v>243</v>
      </c>
      <c r="AB3116" s="5" t="s">
        <v>238</v>
      </c>
      <c r="AC3116" s="5" t="s">
        <v>244</v>
      </c>
      <c r="AD3116" s="5" t="s">
        <v>245</v>
      </c>
      <c r="AT3116" s="5" t="s">
        <v>246</v>
      </c>
      <c r="AU3116" s="5" t="s">
        <v>238</v>
      </c>
      <c r="AV3116" s="5" t="s">
        <v>247</v>
      </c>
      <c r="AW3116" s="5" t="s">
        <v>238</v>
      </c>
      <c r="AX3116" s="5" t="s">
        <v>249</v>
      </c>
      <c r="AY3116" s="5" t="s">
        <v>238</v>
      </c>
      <c r="BA3116" s="5" t="s">
        <v>238</v>
      </c>
      <c r="BC3116" s="5" t="s">
        <v>250</v>
      </c>
      <c r="BD3116" s="6" t="s">
        <v>243</v>
      </c>
      <c r="BE3116" s="5" t="s">
        <v>251</v>
      </c>
      <c r="BF3116" s="5" t="s">
        <v>252</v>
      </c>
      <c r="BG3116" s="5" t="s">
        <v>238</v>
      </c>
      <c r="BH3116" s="7">
        <f>0</f>
        <v>0</v>
      </c>
      <c r="BI3116" s="8">
        <f>0</f>
        <v>0</v>
      </c>
      <c r="BJ3116" s="5" t="s">
        <v>253</v>
      </c>
      <c r="BK3116" s="5" t="s">
        <v>254</v>
      </c>
      <c r="BY3116" s="5" t="s">
        <v>238</v>
      </c>
      <c r="BZ3116" s="5" t="s">
        <v>238</v>
      </c>
      <c r="CD3116" s="5" t="s">
        <v>273</v>
      </c>
      <c r="CE3116" s="5" t="s">
        <v>256</v>
      </c>
      <c r="CF3116" s="5" t="s">
        <v>238</v>
      </c>
      <c r="CI3116" s="6" t="s">
        <v>257</v>
      </c>
      <c r="CJ3116" s="5" t="s">
        <v>238</v>
      </c>
      <c r="CK3116" s="5" t="s">
        <v>258</v>
      </c>
      <c r="CL3116" s="5" t="s">
        <v>238</v>
      </c>
      <c r="CM3116" s="5" t="s">
        <v>238</v>
      </c>
      <c r="CN3116" s="5">
        <v>0</v>
      </c>
      <c r="CO3116" s="5" t="s">
        <v>259</v>
      </c>
      <c r="CP3116" s="5" t="s">
        <v>260</v>
      </c>
      <c r="CQ3116" s="5" t="s">
        <v>260</v>
      </c>
      <c r="CR3116" s="5" t="s">
        <v>261</v>
      </c>
      <c r="CU3116" s="8">
        <f>1</f>
        <v>1</v>
      </c>
      <c r="CV3116" s="8">
        <f>0</f>
        <v>0</v>
      </c>
      <c r="CX3116" s="8">
        <f>0</f>
        <v>0</v>
      </c>
      <c r="CY3116" s="8">
        <f>1</f>
        <v>1</v>
      </c>
      <c r="DA3116" s="5" t="s">
        <v>274</v>
      </c>
      <c r="DB3116" s="5" t="s">
        <v>238</v>
      </c>
      <c r="DD3116" s="5" t="s">
        <v>274</v>
      </c>
      <c r="DE3116" s="8">
        <f>1107</f>
        <v>1107</v>
      </c>
      <c r="DG3116" s="5" t="s">
        <v>238</v>
      </c>
      <c r="DH3116" s="5" t="s">
        <v>238</v>
      </c>
      <c r="DI3116" s="5" t="s">
        <v>238</v>
      </c>
      <c r="DJ3116" s="5" t="s">
        <v>238</v>
      </c>
      <c r="DN3116" s="5" t="s">
        <v>238</v>
      </c>
      <c r="DO3116" s="5" t="s">
        <v>238</v>
      </c>
      <c r="DP3116" s="5" t="s">
        <v>238</v>
      </c>
      <c r="DQ3116" s="5" t="s">
        <v>238</v>
      </c>
      <c r="DT3116" s="5" t="s">
        <v>275</v>
      </c>
      <c r="DU3116" s="5" t="s">
        <v>1816</v>
      </c>
      <c r="HM3116" s="5" t="s">
        <v>264</v>
      </c>
    </row>
    <row r="3117" spans="1:221" x14ac:dyDescent="0.4">
      <c r="A3117" s="5">
        <v>4821</v>
      </c>
      <c r="B3117" s="5">
        <v>1</v>
      </c>
      <c r="C3117" s="5">
        <v>1</v>
      </c>
      <c r="D3117" s="5" t="s">
        <v>269</v>
      </c>
      <c r="E3117" s="5" t="s">
        <v>271</v>
      </c>
      <c r="F3117" s="5" t="s">
        <v>248</v>
      </c>
      <c r="G3117" s="5" t="s">
        <v>266</v>
      </c>
      <c r="H3117" s="6" t="s">
        <v>4072</v>
      </c>
      <c r="I3117" s="7">
        <f>836</f>
        <v>836</v>
      </c>
      <c r="J3117" s="5" t="s">
        <v>262</v>
      </c>
      <c r="K3117" s="8">
        <f>1</f>
        <v>1</v>
      </c>
      <c r="L3117" s="6" t="s">
        <v>242</v>
      </c>
      <c r="M3117" s="5" t="s">
        <v>267</v>
      </c>
      <c r="N3117" s="5" t="s">
        <v>265</v>
      </c>
      <c r="O3117" s="5" t="s">
        <v>238</v>
      </c>
      <c r="P3117" s="5" t="s">
        <v>238</v>
      </c>
      <c r="Q3117" s="5" t="s">
        <v>268</v>
      </c>
      <c r="R3117" s="5" t="s">
        <v>270</v>
      </c>
      <c r="S3117" s="5" t="s">
        <v>238</v>
      </c>
      <c r="V3117" s="5" t="s">
        <v>238</v>
      </c>
      <c r="X3117" s="6" t="s">
        <v>238</v>
      </c>
      <c r="AA3117" s="6" t="s">
        <v>243</v>
      </c>
      <c r="AB3117" s="5" t="s">
        <v>238</v>
      </c>
      <c r="AC3117" s="5" t="s">
        <v>244</v>
      </c>
      <c r="AD3117" s="5" t="s">
        <v>245</v>
      </c>
      <c r="AT3117" s="5" t="s">
        <v>246</v>
      </c>
      <c r="AU3117" s="5" t="s">
        <v>238</v>
      </c>
      <c r="AV3117" s="5" t="s">
        <v>247</v>
      </c>
      <c r="AW3117" s="5" t="s">
        <v>238</v>
      </c>
      <c r="AX3117" s="5" t="s">
        <v>249</v>
      </c>
      <c r="AY3117" s="5" t="s">
        <v>238</v>
      </c>
      <c r="BA3117" s="5" t="s">
        <v>238</v>
      </c>
      <c r="BC3117" s="5" t="s">
        <v>250</v>
      </c>
      <c r="BD3117" s="6" t="s">
        <v>243</v>
      </c>
      <c r="BE3117" s="5" t="s">
        <v>251</v>
      </c>
      <c r="BF3117" s="5" t="s">
        <v>252</v>
      </c>
      <c r="BG3117" s="5" t="s">
        <v>238</v>
      </c>
      <c r="BH3117" s="7">
        <f>0</f>
        <v>0</v>
      </c>
      <c r="BI3117" s="8">
        <f>0</f>
        <v>0</v>
      </c>
      <c r="BJ3117" s="5" t="s">
        <v>253</v>
      </c>
      <c r="BK3117" s="5" t="s">
        <v>254</v>
      </c>
      <c r="BY3117" s="5" t="s">
        <v>238</v>
      </c>
      <c r="BZ3117" s="5" t="s">
        <v>238</v>
      </c>
      <c r="CD3117" s="5" t="s">
        <v>273</v>
      </c>
      <c r="CE3117" s="5" t="s">
        <v>256</v>
      </c>
      <c r="CF3117" s="5" t="s">
        <v>238</v>
      </c>
      <c r="CI3117" s="6" t="s">
        <v>257</v>
      </c>
      <c r="CJ3117" s="5" t="s">
        <v>238</v>
      </c>
      <c r="CK3117" s="5" t="s">
        <v>258</v>
      </c>
      <c r="CL3117" s="5" t="s">
        <v>238</v>
      </c>
      <c r="CM3117" s="5" t="s">
        <v>238</v>
      </c>
      <c r="CN3117" s="5">
        <v>0</v>
      </c>
      <c r="CO3117" s="5" t="s">
        <v>259</v>
      </c>
      <c r="CP3117" s="5" t="s">
        <v>260</v>
      </c>
      <c r="CQ3117" s="5" t="s">
        <v>260</v>
      </c>
      <c r="CR3117" s="5" t="s">
        <v>261</v>
      </c>
      <c r="CU3117" s="8">
        <f>1</f>
        <v>1</v>
      </c>
      <c r="CV3117" s="8">
        <f>0</f>
        <v>0</v>
      </c>
      <c r="CX3117" s="8">
        <f>0</f>
        <v>0</v>
      </c>
      <c r="CY3117" s="8">
        <f>1</f>
        <v>1</v>
      </c>
      <c r="DA3117" s="5" t="s">
        <v>274</v>
      </c>
      <c r="DB3117" s="5" t="s">
        <v>238</v>
      </c>
      <c r="DD3117" s="5" t="s">
        <v>274</v>
      </c>
      <c r="DE3117" s="8">
        <f>836</f>
        <v>836</v>
      </c>
      <c r="DG3117" s="5" t="s">
        <v>238</v>
      </c>
      <c r="DH3117" s="5" t="s">
        <v>238</v>
      </c>
      <c r="DI3117" s="5" t="s">
        <v>238</v>
      </c>
      <c r="DJ3117" s="5" t="s">
        <v>238</v>
      </c>
      <c r="DN3117" s="5" t="s">
        <v>238</v>
      </c>
      <c r="DO3117" s="5" t="s">
        <v>238</v>
      </c>
      <c r="DP3117" s="5" t="s">
        <v>238</v>
      </c>
      <c r="DQ3117" s="5" t="s">
        <v>238</v>
      </c>
      <c r="DT3117" s="5" t="s">
        <v>275</v>
      </c>
      <c r="DU3117" s="5" t="s">
        <v>4073</v>
      </c>
      <c r="HM3117" s="5" t="s">
        <v>264</v>
      </c>
    </row>
    <row r="3118" spans="1:221" x14ac:dyDescent="0.4">
      <c r="A3118" s="5">
        <v>4822</v>
      </c>
      <c r="B3118" s="5">
        <v>1</v>
      </c>
      <c r="C3118" s="5">
        <v>1</v>
      </c>
      <c r="D3118" s="5" t="s">
        <v>269</v>
      </c>
      <c r="E3118" s="5" t="s">
        <v>271</v>
      </c>
      <c r="F3118" s="5" t="s">
        <v>248</v>
      </c>
      <c r="G3118" s="5" t="s">
        <v>266</v>
      </c>
      <c r="H3118" s="6" t="s">
        <v>1807</v>
      </c>
      <c r="I3118" s="7">
        <f>2771</f>
        <v>2771</v>
      </c>
      <c r="J3118" s="5" t="s">
        <v>262</v>
      </c>
      <c r="K3118" s="8">
        <f>1</f>
        <v>1</v>
      </c>
      <c r="L3118" s="6" t="s">
        <v>242</v>
      </c>
      <c r="M3118" s="5" t="s">
        <v>267</v>
      </c>
      <c r="N3118" s="5" t="s">
        <v>265</v>
      </c>
      <c r="O3118" s="5" t="s">
        <v>238</v>
      </c>
      <c r="P3118" s="5" t="s">
        <v>238</v>
      </c>
      <c r="Q3118" s="5" t="s">
        <v>268</v>
      </c>
      <c r="R3118" s="5" t="s">
        <v>270</v>
      </c>
      <c r="S3118" s="5" t="s">
        <v>238</v>
      </c>
      <c r="V3118" s="5" t="s">
        <v>238</v>
      </c>
      <c r="X3118" s="6" t="s">
        <v>238</v>
      </c>
      <c r="AA3118" s="6" t="s">
        <v>243</v>
      </c>
      <c r="AB3118" s="5" t="s">
        <v>238</v>
      </c>
      <c r="AC3118" s="5" t="s">
        <v>244</v>
      </c>
      <c r="AD3118" s="5" t="s">
        <v>245</v>
      </c>
      <c r="AT3118" s="5" t="s">
        <v>246</v>
      </c>
      <c r="AU3118" s="5" t="s">
        <v>238</v>
      </c>
      <c r="AV3118" s="5" t="s">
        <v>247</v>
      </c>
      <c r="AW3118" s="5" t="s">
        <v>238</v>
      </c>
      <c r="AX3118" s="5" t="s">
        <v>249</v>
      </c>
      <c r="AY3118" s="5" t="s">
        <v>238</v>
      </c>
      <c r="BA3118" s="5" t="s">
        <v>238</v>
      </c>
      <c r="BC3118" s="5" t="s">
        <v>250</v>
      </c>
      <c r="BD3118" s="6" t="s">
        <v>243</v>
      </c>
      <c r="BE3118" s="5" t="s">
        <v>251</v>
      </c>
      <c r="BF3118" s="5" t="s">
        <v>252</v>
      </c>
      <c r="BG3118" s="5" t="s">
        <v>238</v>
      </c>
      <c r="BH3118" s="7">
        <f>0</f>
        <v>0</v>
      </c>
      <c r="BI3118" s="8">
        <f>0</f>
        <v>0</v>
      </c>
      <c r="BJ3118" s="5" t="s">
        <v>253</v>
      </c>
      <c r="BK3118" s="5" t="s">
        <v>254</v>
      </c>
      <c r="BY3118" s="5" t="s">
        <v>238</v>
      </c>
      <c r="BZ3118" s="5" t="s">
        <v>238</v>
      </c>
      <c r="CD3118" s="5" t="s">
        <v>273</v>
      </c>
      <c r="CE3118" s="5" t="s">
        <v>256</v>
      </c>
      <c r="CF3118" s="5" t="s">
        <v>238</v>
      </c>
      <c r="CI3118" s="6" t="s">
        <v>257</v>
      </c>
      <c r="CJ3118" s="5" t="s">
        <v>238</v>
      </c>
      <c r="CK3118" s="5" t="s">
        <v>258</v>
      </c>
      <c r="CL3118" s="5" t="s">
        <v>238</v>
      </c>
      <c r="CM3118" s="5" t="s">
        <v>238</v>
      </c>
      <c r="CN3118" s="5">
        <v>0</v>
      </c>
      <c r="CO3118" s="5" t="s">
        <v>259</v>
      </c>
      <c r="CP3118" s="5" t="s">
        <v>260</v>
      </c>
      <c r="CQ3118" s="5" t="s">
        <v>260</v>
      </c>
      <c r="CR3118" s="5" t="s">
        <v>261</v>
      </c>
      <c r="CU3118" s="8">
        <f>1</f>
        <v>1</v>
      </c>
      <c r="CV3118" s="8">
        <f>0</f>
        <v>0</v>
      </c>
      <c r="CX3118" s="8">
        <f>0</f>
        <v>0</v>
      </c>
      <c r="CY3118" s="8">
        <f>1</f>
        <v>1</v>
      </c>
      <c r="DA3118" s="5" t="s">
        <v>274</v>
      </c>
      <c r="DB3118" s="5" t="s">
        <v>238</v>
      </c>
      <c r="DD3118" s="5" t="s">
        <v>274</v>
      </c>
      <c r="DE3118" s="8">
        <f>2771</f>
        <v>2771</v>
      </c>
      <c r="DG3118" s="5" t="s">
        <v>238</v>
      </c>
      <c r="DH3118" s="5" t="s">
        <v>238</v>
      </c>
      <c r="DI3118" s="5" t="s">
        <v>238</v>
      </c>
      <c r="DJ3118" s="5" t="s">
        <v>238</v>
      </c>
      <c r="DN3118" s="5" t="s">
        <v>238</v>
      </c>
      <c r="DO3118" s="5" t="s">
        <v>238</v>
      </c>
      <c r="DP3118" s="5" t="s">
        <v>238</v>
      </c>
      <c r="DQ3118" s="5" t="s">
        <v>238</v>
      </c>
      <c r="DT3118" s="5" t="s">
        <v>275</v>
      </c>
      <c r="DU3118" s="5" t="s">
        <v>1808</v>
      </c>
      <c r="HM3118" s="5" t="s">
        <v>264</v>
      </c>
    </row>
    <row r="3119" spans="1:221" x14ac:dyDescent="0.4">
      <c r="A3119" s="5">
        <v>4823</v>
      </c>
      <c r="B3119" s="5">
        <v>1</v>
      </c>
      <c r="C3119" s="5">
        <v>1</v>
      </c>
      <c r="D3119" s="5" t="s">
        <v>269</v>
      </c>
      <c r="E3119" s="5" t="s">
        <v>271</v>
      </c>
      <c r="F3119" s="5" t="s">
        <v>248</v>
      </c>
      <c r="G3119" s="5" t="s">
        <v>266</v>
      </c>
      <c r="H3119" s="6" t="s">
        <v>1805</v>
      </c>
      <c r="I3119" s="7">
        <f>199</f>
        <v>199</v>
      </c>
      <c r="J3119" s="5" t="s">
        <v>262</v>
      </c>
      <c r="K3119" s="8">
        <f>1</f>
        <v>1</v>
      </c>
      <c r="L3119" s="6" t="s">
        <v>242</v>
      </c>
      <c r="M3119" s="5" t="s">
        <v>267</v>
      </c>
      <c r="N3119" s="5" t="s">
        <v>265</v>
      </c>
      <c r="O3119" s="5" t="s">
        <v>238</v>
      </c>
      <c r="P3119" s="5" t="s">
        <v>238</v>
      </c>
      <c r="Q3119" s="5" t="s">
        <v>268</v>
      </c>
      <c r="R3119" s="5" t="s">
        <v>270</v>
      </c>
      <c r="S3119" s="5" t="s">
        <v>238</v>
      </c>
      <c r="V3119" s="5" t="s">
        <v>238</v>
      </c>
      <c r="X3119" s="6" t="s">
        <v>238</v>
      </c>
      <c r="AA3119" s="6" t="s">
        <v>243</v>
      </c>
      <c r="AB3119" s="5" t="s">
        <v>238</v>
      </c>
      <c r="AC3119" s="5" t="s">
        <v>244</v>
      </c>
      <c r="AD3119" s="5" t="s">
        <v>245</v>
      </c>
      <c r="AT3119" s="5" t="s">
        <v>246</v>
      </c>
      <c r="AU3119" s="5" t="s">
        <v>238</v>
      </c>
      <c r="AV3119" s="5" t="s">
        <v>247</v>
      </c>
      <c r="AW3119" s="5" t="s">
        <v>238</v>
      </c>
      <c r="AX3119" s="5" t="s">
        <v>249</v>
      </c>
      <c r="AY3119" s="5" t="s">
        <v>238</v>
      </c>
      <c r="BA3119" s="5" t="s">
        <v>238</v>
      </c>
      <c r="BC3119" s="5" t="s">
        <v>250</v>
      </c>
      <c r="BD3119" s="6" t="s">
        <v>243</v>
      </c>
      <c r="BE3119" s="5" t="s">
        <v>251</v>
      </c>
      <c r="BF3119" s="5" t="s">
        <v>252</v>
      </c>
      <c r="BG3119" s="5" t="s">
        <v>238</v>
      </c>
      <c r="BH3119" s="7">
        <f>0</f>
        <v>0</v>
      </c>
      <c r="BI3119" s="8">
        <f>0</f>
        <v>0</v>
      </c>
      <c r="BJ3119" s="5" t="s">
        <v>253</v>
      </c>
      <c r="BK3119" s="5" t="s">
        <v>254</v>
      </c>
      <c r="BY3119" s="5" t="s">
        <v>238</v>
      </c>
      <c r="BZ3119" s="5" t="s">
        <v>238</v>
      </c>
      <c r="CD3119" s="5" t="s">
        <v>273</v>
      </c>
      <c r="CE3119" s="5" t="s">
        <v>256</v>
      </c>
      <c r="CF3119" s="5" t="s">
        <v>238</v>
      </c>
      <c r="CI3119" s="6" t="s">
        <v>257</v>
      </c>
      <c r="CJ3119" s="5" t="s">
        <v>238</v>
      </c>
      <c r="CK3119" s="5" t="s">
        <v>258</v>
      </c>
      <c r="CL3119" s="5" t="s">
        <v>238</v>
      </c>
      <c r="CM3119" s="5" t="s">
        <v>238</v>
      </c>
      <c r="CN3119" s="5">
        <v>0</v>
      </c>
      <c r="CO3119" s="5" t="s">
        <v>259</v>
      </c>
      <c r="CP3119" s="5" t="s">
        <v>260</v>
      </c>
      <c r="CQ3119" s="5" t="s">
        <v>260</v>
      </c>
      <c r="CR3119" s="5" t="s">
        <v>261</v>
      </c>
      <c r="CU3119" s="8">
        <f>1</f>
        <v>1</v>
      </c>
      <c r="CV3119" s="8">
        <f>0</f>
        <v>0</v>
      </c>
      <c r="CX3119" s="8">
        <f>0</f>
        <v>0</v>
      </c>
      <c r="CY3119" s="8">
        <f>1</f>
        <v>1</v>
      </c>
      <c r="DA3119" s="5" t="s">
        <v>274</v>
      </c>
      <c r="DB3119" s="5" t="s">
        <v>238</v>
      </c>
      <c r="DD3119" s="5" t="s">
        <v>274</v>
      </c>
      <c r="DE3119" s="8">
        <f>199</f>
        <v>199</v>
      </c>
      <c r="DG3119" s="5" t="s">
        <v>238</v>
      </c>
      <c r="DH3119" s="5" t="s">
        <v>238</v>
      </c>
      <c r="DI3119" s="5" t="s">
        <v>238</v>
      </c>
      <c r="DJ3119" s="5" t="s">
        <v>238</v>
      </c>
      <c r="DN3119" s="5" t="s">
        <v>238</v>
      </c>
      <c r="DO3119" s="5" t="s">
        <v>238</v>
      </c>
      <c r="DP3119" s="5" t="s">
        <v>238</v>
      </c>
      <c r="DQ3119" s="5" t="s">
        <v>238</v>
      </c>
      <c r="DT3119" s="5" t="s">
        <v>275</v>
      </c>
      <c r="DU3119" s="5" t="s">
        <v>1806</v>
      </c>
      <c r="HM3119" s="5" t="s">
        <v>264</v>
      </c>
    </row>
    <row r="3120" spans="1:221" x14ac:dyDescent="0.4">
      <c r="A3120" s="5">
        <v>4824</v>
      </c>
      <c r="B3120" s="5">
        <v>1</v>
      </c>
      <c r="C3120" s="5">
        <v>1</v>
      </c>
      <c r="D3120" s="5" t="s">
        <v>269</v>
      </c>
      <c r="E3120" s="5" t="s">
        <v>271</v>
      </c>
      <c r="F3120" s="5" t="s">
        <v>248</v>
      </c>
      <c r="G3120" s="5" t="s">
        <v>266</v>
      </c>
      <c r="H3120" s="6" t="s">
        <v>1803</v>
      </c>
      <c r="I3120" s="7">
        <f>867</f>
        <v>867</v>
      </c>
      <c r="J3120" s="5" t="s">
        <v>262</v>
      </c>
      <c r="K3120" s="8">
        <f>1</f>
        <v>1</v>
      </c>
      <c r="L3120" s="6" t="s">
        <v>242</v>
      </c>
      <c r="M3120" s="5" t="s">
        <v>267</v>
      </c>
      <c r="N3120" s="5" t="s">
        <v>265</v>
      </c>
      <c r="O3120" s="5" t="s">
        <v>238</v>
      </c>
      <c r="P3120" s="5" t="s">
        <v>238</v>
      </c>
      <c r="Q3120" s="5" t="s">
        <v>268</v>
      </c>
      <c r="R3120" s="5" t="s">
        <v>270</v>
      </c>
      <c r="S3120" s="5" t="s">
        <v>238</v>
      </c>
      <c r="V3120" s="5" t="s">
        <v>238</v>
      </c>
      <c r="X3120" s="6" t="s">
        <v>238</v>
      </c>
      <c r="AA3120" s="6" t="s">
        <v>243</v>
      </c>
      <c r="AB3120" s="5" t="s">
        <v>238</v>
      </c>
      <c r="AC3120" s="5" t="s">
        <v>244</v>
      </c>
      <c r="AD3120" s="5" t="s">
        <v>245</v>
      </c>
      <c r="AT3120" s="5" t="s">
        <v>246</v>
      </c>
      <c r="AU3120" s="5" t="s">
        <v>238</v>
      </c>
      <c r="AV3120" s="5" t="s">
        <v>247</v>
      </c>
      <c r="AW3120" s="5" t="s">
        <v>238</v>
      </c>
      <c r="AX3120" s="5" t="s">
        <v>249</v>
      </c>
      <c r="AY3120" s="5" t="s">
        <v>238</v>
      </c>
      <c r="BA3120" s="5" t="s">
        <v>238</v>
      </c>
      <c r="BC3120" s="5" t="s">
        <v>250</v>
      </c>
      <c r="BD3120" s="6" t="s">
        <v>243</v>
      </c>
      <c r="BE3120" s="5" t="s">
        <v>251</v>
      </c>
      <c r="BF3120" s="5" t="s">
        <v>252</v>
      </c>
      <c r="BG3120" s="5" t="s">
        <v>238</v>
      </c>
      <c r="BH3120" s="7">
        <f>0</f>
        <v>0</v>
      </c>
      <c r="BI3120" s="8">
        <f>0</f>
        <v>0</v>
      </c>
      <c r="BJ3120" s="5" t="s">
        <v>253</v>
      </c>
      <c r="BK3120" s="5" t="s">
        <v>254</v>
      </c>
      <c r="BY3120" s="5" t="s">
        <v>238</v>
      </c>
      <c r="BZ3120" s="5" t="s">
        <v>238</v>
      </c>
      <c r="CD3120" s="5" t="s">
        <v>273</v>
      </c>
      <c r="CE3120" s="5" t="s">
        <v>256</v>
      </c>
      <c r="CF3120" s="5" t="s">
        <v>238</v>
      </c>
      <c r="CI3120" s="6" t="s">
        <v>257</v>
      </c>
      <c r="CJ3120" s="5" t="s">
        <v>238</v>
      </c>
      <c r="CK3120" s="5" t="s">
        <v>258</v>
      </c>
      <c r="CL3120" s="5" t="s">
        <v>238</v>
      </c>
      <c r="CM3120" s="5" t="s">
        <v>238</v>
      </c>
      <c r="CN3120" s="5">
        <v>0</v>
      </c>
      <c r="CO3120" s="5" t="s">
        <v>259</v>
      </c>
      <c r="CP3120" s="5" t="s">
        <v>260</v>
      </c>
      <c r="CQ3120" s="5" t="s">
        <v>260</v>
      </c>
      <c r="CR3120" s="5" t="s">
        <v>261</v>
      </c>
      <c r="CU3120" s="8">
        <f>1</f>
        <v>1</v>
      </c>
      <c r="CV3120" s="8">
        <f>0</f>
        <v>0</v>
      </c>
      <c r="CX3120" s="8">
        <f>0</f>
        <v>0</v>
      </c>
      <c r="CY3120" s="8">
        <f>1</f>
        <v>1</v>
      </c>
      <c r="DA3120" s="5" t="s">
        <v>274</v>
      </c>
      <c r="DB3120" s="5" t="s">
        <v>238</v>
      </c>
      <c r="DD3120" s="5" t="s">
        <v>274</v>
      </c>
      <c r="DE3120" s="8">
        <f>867</f>
        <v>867</v>
      </c>
      <c r="DG3120" s="5" t="s">
        <v>238</v>
      </c>
      <c r="DH3120" s="5" t="s">
        <v>238</v>
      </c>
      <c r="DI3120" s="5" t="s">
        <v>238</v>
      </c>
      <c r="DJ3120" s="5" t="s">
        <v>238</v>
      </c>
      <c r="DN3120" s="5" t="s">
        <v>238</v>
      </c>
      <c r="DO3120" s="5" t="s">
        <v>238</v>
      </c>
      <c r="DP3120" s="5" t="s">
        <v>238</v>
      </c>
      <c r="DQ3120" s="5" t="s">
        <v>238</v>
      </c>
      <c r="DT3120" s="5" t="s">
        <v>275</v>
      </c>
      <c r="DU3120" s="5" t="s">
        <v>1804</v>
      </c>
      <c r="HM3120" s="5" t="s">
        <v>264</v>
      </c>
    </row>
    <row r="3121" spans="1:221" x14ac:dyDescent="0.4">
      <c r="A3121" s="5">
        <v>4825</v>
      </c>
      <c r="B3121" s="5">
        <v>1</v>
      </c>
      <c r="C3121" s="5">
        <v>1</v>
      </c>
      <c r="D3121" s="5" t="s">
        <v>269</v>
      </c>
      <c r="E3121" s="5" t="s">
        <v>271</v>
      </c>
      <c r="F3121" s="5" t="s">
        <v>248</v>
      </c>
      <c r="G3121" s="5" t="s">
        <v>266</v>
      </c>
      <c r="H3121" s="6" t="s">
        <v>1801</v>
      </c>
      <c r="I3121" s="7">
        <f>2242</f>
        <v>2242</v>
      </c>
      <c r="J3121" s="5" t="s">
        <v>262</v>
      </c>
      <c r="K3121" s="8">
        <f>1</f>
        <v>1</v>
      </c>
      <c r="L3121" s="6" t="s">
        <v>242</v>
      </c>
      <c r="M3121" s="5" t="s">
        <v>267</v>
      </c>
      <c r="N3121" s="5" t="s">
        <v>265</v>
      </c>
      <c r="O3121" s="5" t="s">
        <v>238</v>
      </c>
      <c r="P3121" s="5" t="s">
        <v>238</v>
      </c>
      <c r="Q3121" s="5" t="s">
        <v>268</v>
      </c>
      <c r="R3121" s="5" t="s">
        <v>270</v>
      </c>
      <c r="S3121" s="5" t="s">
        <v>238</v>
      </c>
      <c r="V3121" s="5" t="s">
        <v>238</v>
      </c>
      <c r="X3121" s="6" t="s">
        <v>238</v>
      </c>
      <c r="AA3121" s="6" t="s">
        <v>243</v>
      </c>
      <c r="AB3121" s="5" t="s">
        <v>238</v>
      </c>
      <c r="AC3121" s="5" t="s">
        <v>244</v>
      </c>
      <c r="AD3121" s="5" t="s">
        <v>245</v>
      </c>
      <c r="AT3121" s="5" t="s">
        <v>246</v>
      </c>
      <c r="AU3121" s="5" t="s">
        <v>238</v>
      </c>
      <c r="AV3121" s="5" t="s">
        <v>247</v>
      </c>
      <c r="AW3121" s="5" t="s">
        <v>238</v>
      </c>
      <c r="AX3121" s="5" t="s">
        <v>249</v>
      </c>
      <c r="AY3121" s="5" t="s">
        <v>238</v>
      </c>
      <c r="BA3121" s="5" t="s">
        <v>238</v>
      </c>
      <c r="BC3121" s="5" t="s">
        <v>250</v>
      </c>
      <c r="BD3121" s="6" t="s">
        <v>243</v>
      </c>
      <c r="BE3121" s="5" t="s">
        <v>251</v>
      </c>
      <c r="BF3121" s="5" t="s">
        <v>252</v>
      </c>
      <c r="BG3121" s="5" t="s">
        <v>238</v>
      </c>
      <c r="BH3121" s="7">
        <f>0</f>
        <v>0</v>
      </c>
      <c r="BI3121" s="8">
        <f>0</f>
        <v>0</v>
      </c>
      <c r="BJ3121" s="5" t="s">
        <v>253</v>
      </c>
      <c r="BK3121" s="5" t="s">
        <v>254</v>
      </c>
      <c r="BY3121" s="5" t="s">
        <v>238</v>
      </c>
      <c r="BZ3121" s="5" t="s">
        <v>238</v>
      </c>
      <c r="CD3121" s="5" t="s">
        <v>273</v>
      </c>
      <c r="CE3121" s="5" t="s">
        <v>256</v>
      </c>
      <c r="CF3121" s="5" t="s">
        <v>238</v>
      </c>
      <c r="CI3121" s="6" t="s">
        <v>257</v>
      </c>
      <c r="CJ3121" s="5" t="s">
        <v>238</v>
      </c>
      <c r="CK3121" s="5" t="s">
        <v>258</v>
      </c>
      <c r="CL3121" s="5" t="s">
        <v>238</v>
      </c>
      <c r="CM3121" s="5" t="s">
        <v>238</v>
      </c>
      <c r="CN3121" s="5">
        <v>0</v>
      </c>
      <c r="CO3121" s="5" t="s">
        <v>259</v>
      </c>
      <c r="CP3121" s="5" t="s">
        <v>260</v>
      </c>
      <c r="CQ3121" s="5" t="s">
        <v>260</v>
      </c>
      <c r="CR3121" s="5" t="s">
        <v>261</v>
      </c>
      <c r="CU3121" s="8">
        <f>1</f>
        <v>1</v>
      </c>
      <c r="CV3121" s="8">
        <f>0</f>
        <v>0</v>
      </c>
      <c r="CX3121" s="8">
        <f>0</f>
        <v>0</v>
      </c>
      <c r="CY3121" s="8">
        <f>1</f>
        <v>1</v>
      </c>
      <c r="DA3121" s="5" t="s">
        <v>274</v>
      </c>
      <c r="DB3121" s="5" t="s">
        <v>238</v>
      </c>
      <c r="DD3121" s="5" t="s">
        <v>274</v>
      </c>
      <c r="DE3121" s="8">
        <f>2242</f>
        <v>2242</v>
      </c>
      <c r="DG3121" s="5" t="s">
        <v>238</v>
      </c>
      <c r="DH3121" s="5" t="s">
        <v>238</v>
      </c>
      <c r="DI3121" s="5" t="s">
        <v>238</v>
      </c>
      <c r="DJ3121" s="5" t="s">
        <v>238</v>
      </c>
      <c r="DN3121" s="5" t="s">
        <v>238</v>
      </c>
      <c r="DO3121" s="5" t="s">
        <v>238</v>
      </c>
      <c r="DP3121" s="5" t="s">
        <v>238</v>
      </c>
      <c r="DQ3121" s="5" t="s">
        <v>238</v>
      </c>
      <c r="DT3121" s="5" t="s">
        <v>275</v>
      </c>
      <c r="DU3121" s="5" t="s">
        <v>1802</v>
      </c>
      <c r="HM3121" s="5" t="s">
        <v>264</v>
      </c>
    </row>
    <row r="3122" spans="1:221" x14ac:dyDescent="0.4">
      <c r="A3122" s="5">
        <v>4826</v>
      </c>
      <c r="B3122" s="5">
        <v>1</v>
      </c>
      <c r="C3122" s="5">
        <v>1</v>
      </c>
      <c r="D3122" s="5" t="s">
        <v>269</v>
      </c>
      <c r="E3122" s="5" t="s">
        <v>271</v>
      </c>
      <c r="F3122" s="5" t="s">
        <v>248</v>
      </c>
      <c r="G3122" s="5" t="s">
        <v>266</v>
      </c>
      <c r="H3122" s="6" t="s">
        <v>1799</v>
      </c>
      <c r="I3122" s="7">
        <f>1177</f>
        <v>1177</v>
      </c>
      <c r="J3122" s="5" t="s">
        <v>262</v>
      </c>
      <c r="K3122" s="8">
        <f>1</f>
        <v>1</v>
      </c>
      <c r="L3122" s="6" t="s">
        <v>242</v>
      </c>
      <c r="M3122" s="5" t="s">
        <v>267</v>
      </c>
      <c r="N3122" s="5" t="s">
        <v>265</v>
      </c>
      <c r="O3122" s="5" t="s">
        <v>238</v>
      </c>
      <c r="P3122" s="5" t="s">
        <v>238</v>
      </c>
      <c r="Q3122" s="5" t="s">
        <v>268</v>
      </c>
      <c r="R3122" s="5" t="s">
        <v>270</v>
      </c>
      <c r="S3122" s="5" t="s">
        <v>238</v>
      </c>
      <c r="V3122" s="5" t="s">
        <v>238</v>
      </c>
      <c r="X3122" s="6" t="s">
        <v>238</v>
      </c>
      <c r="AA3122" s="6" t="s">
        <v>243</v>
      </c>
      <c r="AB3122" s="5" t="s">
        <v>238</v>
      </c>
      <c r="AC3122" s="5" t="s">
        <v>244</v>
      </c>
      <c r="AD3122" s="5" t="s">
        <v>245</v>
      </c>
      <c r="AT3122" s="5" t="s">
        <v>246</v>
      </c>
      <c r="AU3122" s="5" t="s">
        <v>238</v>
      </c>
      <c r="AV3122" s="5" t="s">
        <v>247</v>
      </c>
      <c r="AW3122" s="5" t="s">
        <v>238</v>
      </c>
      <c r="AX3122" s="5" t="s">
        <v>249</v>
      </c>
      <c r="AY3122" s="5" t="s">
        <v>238</v>
      </c>
      <c r="BA3122" s="5" t="s">
        <v>238</v>
      </c>
      <c r="BC3122" s="5" t="s">
        <v>250</v>
      </c>
      <c r="BD3122" s="6" t="s">
        <v>243</v>
      </c>
      <c r="BE3122" s="5" t="s">
        <v>251</v>
      </c>
      <c r="BF3122" s="5" t="s">
        <v>252</v>
      </c>
      <c r="BG3122" s="5" t="s">
        <v>238</v>
      </c>
      <c r="BH3122" s="7">
        <f>0</f>
        <v>0</v>
      </c>
      <c r="BI3122" s="8">
        <f>0</f>
        <v>0</v>
      </c>
      <c r="BJ3122" s="5" t="s">
        <v>253</v>
      </c>
      <c r="BK3122" s="5" t="s">
        <v>254</v>
      </c>
      <c r="BY3122" s="5" t="s">
        <v>238</v>
      </c>
      <c r="BZ3122" s="5" t="s">
        <v>238</v>
      </c>
      <c r="CD3122" s="5" t="s">
        <v>273</v>
      </c>
      <c r="CE3122" s="5" t="s">
        <v>256</v>
      </c>
      <c r="CF3122" s="5" t="s">
        <v>238</v>
      </c>
      <c r="CI3122" s="6" t="s">
        <v>257</v>
      </c>
      <c r="CJ3122" s="5" t="s">
        <v>238</v>
      </c>
      <c r="CK3122" s="5" t="s">
        <v>258</v>
      </c>
      <c r="CL3122" s="5" t="s">
        <v>238</v>
      </c>
      <c r="CM3122" s="5" t="s">
        <v>238</v>
      </c>
      <c r="CN3122" s="5">
        <v>0</v>
      </c>
      <c r="CO3122" s="5" t="s">
        <v>259</v>
      </c>
      <c r="CP3122" s="5" t="s">
        <v>260</v>
      </c>
      <c r="CQ3122" s="5" t="s">
        <v>260</v>
      </c>
      <c r="CR3122" s="5" t="s">
        <v>261</v>
      </c>
      <c r="CU3122" s="8">
        <f>1</f>
        <v>1</v>
      </c>
      <c r="CV3122" s="8">
        <f>0</f>
        <v>0</v>
      </c>
      <c r="CX3122" s="8">
        <f>0</f>
        <v>0</v>
      </c>
      <c r="CY3122" s="8">
        <f>1</f>
        <v>1</v>
      </c>
      <c r="DA3122" s="5" t="s">
        <v>274</v>
      </c>
      <c r="DB3122" s="5" t="s">
        <v>238</v>
      </c>
      <c r="DD3122" s="5" t="s">
        <v>274</v>
      </c>
      <c r="DE3122" s="8">
        <f>1177</f>
        <v>1177</v>
      </c>
      <c r="DG3122" s="5" t="s">
        <v>238</v>
      </c>
      <c r="DH3122" s="5" t="s">
        <v>238</v>
      </c>
      <c r="DI3122" s="5" t="s">
        <v>238</v>
      </c>
      <c r="DJ3122" s="5" t="s">
        <v>238</v>
      </c>
      <c r="DN3122" s="5" t="s">
        <v>238</v>
      </c>
      <c r="DO3122" s="5" t="s">
        <v>238</v>
      </c>
      <c r="DP3122" s="5" t="s">
        <v>238</v>
      </c>
      <c r="DQ3122" s="5" t="s">
        <v>238</v>
      </c>
      <c r="DT3122" s="5" t="s">
        <v>275</v>
      </c>
      <c r="DU3122" s="5" t="s">
        <v>1800</v>
      </c>
      <c r="HM3122" s="5" t="s">
        <v>264</v>
      </c>
    </row>
    <row r="3123" spans="1:221" x14ac:dyDescent="0.4">
      <c r="A3123" s="5">
        <v>4827</v>
      </c>
      <c r="B3123" s="5">
        <v>1</v>
      </c>
      <c r="C3123" s="5">
        <v>1</v>
      </c>
      <c r="D3123" s="5" t="s">
        <v>269</v>
      </c>
      <c r="E3123" s="5" t="s">
        <v>271</v>
      </c>
      <c r="F3123" s="5" t="s">
        <v>248</v>
      </c>
      <c r="G3123" s="5" t="s">
        <v>266</v>
      </c>
      <c r="H3123" s="6" t="s">
        <v>1795</v>
      </c>
      <c r="I3123" s="7">
        <f>6.86</f>
        <v>6.86</v>
      </c>
      <c r="J3123" s="5" t="s">
        <v>262</v>
      </c>
      <c r="K3123" s="8">
        <f>1</f>
        <v>1</v>
      </c>
      <c r="L3123" s="6" t="s">
        <v>242</v>
      </c>
      <c r="M3123" s="5" t="s">
        <v>267</v>
      </c>
      <c r="N3123" s="5" t="s">
        <v>265</v>
      </c>
      <c r="O3123" s="5" t="s">
        <v>238</v>
      </c>
      <c r="P3123" s="5" t="s">
        <v>238</v>
      </c>
      <c r="Q3123" s="5" t="s">
        <v>268</v>
      </c>
      <c r="R3123" s="5" t="s">
        <v>270</v>
      </c>
      <c r="S3123" s="5" t="s">
        <v>238</v>
      </c>
      <c r="V3123" s="5" t="s">
        <v>238</v>
      </c>
      <c r="X3123" s="6" t="s">
        <v>238</v>
      </c>
      <c r="AA3123" s="6" t="s">
        <v>243</v>
      </c>
      <c r="AB3123" s="5" t="s">
        <v>238</v>
      </c>
      <c r="AC3123" s="5" t="s">
        <v>244</v>
      </c>
      <c r="AD3123" s="5" t="s">
        <v>245</v>
      </c>
      <c r="AT3123" s="5" t="s">
        <v>246</v>
      </c>
      <c r="AU3123" s="5" t="s">
        <v>238</v>
      </c>
      <c r="AV3123" s="5" t="s">
        <v>247</v>
      </c>
      <c r="AW3123" s="5" t="s">
        <v>238</v>
      </c>
      <c r="AX3123" s="5" t="s">
        <v>249</v>
      </c>
      <c r="AY3123" s="5" t="s">
        <v>238</v>
      </c>
      <c r="BA3123" s="5" t="s">
        <v>238</v>
      </c>
      <c r="BC3123" s="5" t="s">
        <v>250</v>
      </c>
      <c r="BD3123" s="6" t="s">
        <v>243</v>
      </c>
      <c r="BE3123" s="5" t="s">
        <v>251</v>
      </c>
      <c r="BF3123" s="5" t="s">
        <v>252</v>
      </c>
      <c r="BG3123" s="5" t="s">
        <v>238</v>
      </c>
      <c r="BH3123" s="7">
        <f>0</f>
        <v>0</v>
      </c>
      <c r="BI3123" s="8">
        <f>0</f>
        <v>0</v>
      </c>
      <c r="BJ3123" s="5" t="s">
        <v>253</v>
      </c>
      <c r="BK3123" s="5" t="s">
        <v>254</v>
      </c>
      <c r="BY3123" s="5" t="s">
        <v>238</v>
      </c>
      <c r="BZ3123" s="5" t="s">
        <v>238</v>
      </c>
      <c r="CD3123" s="5" t="s">
        <v>273</v>
      </c>
      <c r="CE3123" s="5" t="s">
        <v>256</v>
      </c>
      <c r="CF3123" s="5" t="s">
        <v>238</v>
      </c>
      <c r="CI3123" s="6" t="s">
        <v>257</v>
      </c>
      <c r="CJ3123" s="5" t="s">
        <v>238</v>
      </c>
      <c r="CK3123" s="5" t="s">
        <v>258</v>
      </c>
      <c r="CL3123" s="5" t="s">
        <v>238</v>
      </c>
      <c r="CM3123" s="5" t="s">
        <v>238</v>
      </c>
      <c r="CN3123" s="5">
        <v>0</v>
      </c>
      <c r="CO3123" s="5" t="s">
        <v>259</v>
      </c>
      <c r="CP3123" s="5" t="s">
        <v>260</v>
      </c>
      <c r="CQ3123" s="5" t="s">
        <v>260</v>
      </c>
      <c r="CR3123" s="5" t="s">
        <v>261</v>
      </c>
      <c r="CU3123" s="8">
        <f>1</f>
        <v>1</v>
      </c>
      <c r="CV3123" s="8">
        <f>0</f>
        <v>0</v>
      </c>
      <c r="CX3123" s="8">
        <f>0</f>
        <v>0</v>
      </c>
      <c r="CY3123" s="8">
        <f>1</f>
        <v>1</v>
      </c>
      <c r="DA3123" s="5" t="s">
        <v>274</v>
      </c>
      <c r="DB3123" s="5" t="s">
        <v>238</v>
      </c>
      <c r="DD3123" s="5" t="s">
        <v>274</v>
      </c>
      <c r="DE3123" s="8">
        <f>6.86</f>
        <v>6.86</v>
      </c>
      <c r="DG3123" s="5" t="s">
        <v>238</v>
      </c>
      <c r="DH3123" s="5" t="s">
        <v>238</v>
      </c>
      <c r="DI3123" s="5" t="s">
        <v>238</v>
      </c>
      <c r="DJ3123" s="5" t="s">
        <v>238</v>
      </c>
      <c r="DN3123" s="5" t="s">
        <v>238</v>
      </c>
      <c r="DO3123" s="5" t="s">
        <v>238</v>
      </c>
      <c r="DP3123" s="5" t="s">
        <v>238</v>
      </c>
      <c r="DQ3123" s="5" t="s">
        <v>238</v>
      </c>
      <c r="DT3123" s="5" t="s">
        <v>275</v>
      </c>
      <c r="DU3123" s="5" t="s">
        <v>1796</v>
      </c>
      <c r="HM3123" s="5" t="s">
        <v>264</v>
      </c>
    </row>
    <row r="3124" spans="1:221" x14ac:dyDescent="0.4">
      <c r="A3124" s="5">
        <v>4828</v>
      </c>
      <c r="B3124" s="5">
        <v>1</v>
      </c>
      <c r="C3124" s="5">
        <v>1</v>
      </c>
      <c r="D3124" s="5" t="s">
        <v>269</v>
      </c>
      <c r="E3124" s="5" t="s">
        <v>271</v>
      </c>
      <c r="F3124" s="5" t="s">
        <v>248</v>
      </c>
      <c r="G3124" s="5" t="s">
        <v>266</v>
      </c>
      <c r="H3124" s="6" t="s">
        <v>1789</v>
      </c>
      <c r="I3124" s="7">
        <f>33</f>
        <v>33</v>
      </c>
      <c r="J3124" s="5" t="s">
        <v>262</v>
      </c>
      <c r="K3124" s="8">
        <f>1</f>
        <v>1</v>
      </c>
      <c r="L3124" s="6" t="s">
        <v>242</v>
      </c>
      <c r="M3124" s="5" t="s">
        <v>267</v>
      </c>
      <c r="N3124" s="5" t="s">
        <v>265</v>
      </c>
      <c r="O3124" s="5" t="s">
        <v>238</v>
      </c>
      <c r="P3124" s="5" t="s">
        <v>238</v>
      </c>
      <c r="Q3124" s="5" t="s">
        <v>268</v>
      </c>
      <c r="R3124" s="5" t="s">
        <v>270</v>
      </c>
      <c r="S3124" s="5" t="s">
        <v>238</v>
      </c>
      <c r="V3124" s="5" t="s">
        <v>238</v>
      </c>
      <c r="X3124" s="6" t="s">
        <v>238</v>
      </c>
      <c r="AA3124" s="6" t="s">
        <v>243</v>
      </c>
      <c r="AB3124" s="5" t="s">
        <v>238</v>
      </c>
      <c r="AC3124" s="5" t="s">
        <v>244</v>
      </c>
      <c r="AD3124" s="5" t="s">
        <v>245</v>
      </c>
      <c r="AT3124" s="5" t="s">
        <v>246</v>
      </c>
      <c r="AU3124" s="5" t="s">
        <v>238</v>
      </c>
      <c r="AV3124" s="5" t="s">
        <v>247</v>
      </c>
      <c r="AW3124" s="5" t="s">
        <v>238</v>
      </c>
      <c r="AX3124" s="5" t="s">
        <v>249</v>
      </c>
      <c r="AY3124" s="5" t="s">
        <v>238</v>
      </c>
      <c r="BA3124" s="5" t="s">
        <v>238</v>
      </c>
      <c r="BC3124" s="5" t="s">
        <v>250</v>
      </c>
      <c r="BD3124" s="6" t="s">
        <v>243</v>
      </c>
      <c r="BE3124" s="5" t="s">
        <v>251</v>
      </c>
      <c r="BF3124" s="5" t="s">
        <v>252</v>
      </c>
      <c r="BG3124" s="5" t="s">
        <v>238</v>
      </c>
      <c r="BH3124" s="7">
        <f>0</f>
        <v>0</v>
      </c>
      <c r="BI3124" s="8">
        <f>0</f>
        <v>0</v>
      </c>
      <c r="BJ3124" s="5" t="s">
        <v>253</v>
      </c>
      <c r="BK3124" s="5" t="s">
        <v>254</v>
      </c>
      <c r="BY3124" s="5" t="s">
        <v>238</v>
      </c>
      <c r="BZ3124" s="5" t="s">
        <v>238</v>
      </c>
      <c r="CD3124" s="5" t="s">
        <v>273</v>
      </c>
      <c r="CE3124" s="5" t="s">
        <v>256</v>
      </c>
      <c r="CF3124" s="5" t="s">
        <v>238</v>
      </c>
      <c r="CI3124" s="6" t="s">
        <v>257</v>
      </c>
      <c r="CJ3124" s="5" t="s">
        <v>238</v>
      </c>
      <c r="CK3124" s="5" t="s">
        <v>258</v>
      </c>
      <c r="CL3124" s="5" t="s">
        <v>238</v>
      </c>
      <c r="CM3124" s="5" t="s">
        <v>238</v>
      </c>
      <c r="CN3124" s="5">
        <v>0</v>
      </c>
      <c r="CO3124" s="5" t="s">
        <v>259</v>
      </c>
      <c r="CP3124" s="5" t="s">
        <v>260</v>
      </c>
      <c r="CQ3124" s="5" t="s">
        <v>260</v>
      </c>
      <c r="CR3124" s="5" t="s">
        <v>261</v>
      </c>
      <c r="CU3124" s="8">
        <f>1</f>
        <v>1</v>
      </c>
      <c r="CV3124" s="8">
        <f>0</f>
        <v>0</v>
      </c>
      <c r="CX3124" s="8">
        <f>0</f>
        <v>0</v>
      </c>
      <c r="CY3124" s="8">
        <f>1</f>
        <v>1</v>
      </c>
      <c r="DA3124" s="5" t="s">
        <v>274</v>
      </c>
      <c r="DB3124" s="5" t="s">
        <v>238</v>
      </c>
      <c r="DD3124" s="5" t="s">
        <v>274</v>
      </c>
      <c r="DE3124" s="8">
        <f>33</f>
        <v>33</v>
      </c>
      <c r="DG3124" s="5" t="s">
        <v>238</v>
      </c>
      <c r="DH3124" s="5" t="s">
        <v>238</v>
      </c>
      <c r="DI3124" s="5" t="s">
        <v>238</v>
      </c>
      <c r="DJ3124" s="5" t="s">
        <v>238</v>
      </c>
      <c r="DN3124" s="5" t="s">
        <v>238</v>
      </c>
      <c r="DO3124" s="5" t="s">
        <v>238</v>
      </c>
      <c r="DP3124" s="5" t="s">
        <v>238</v>
      </c>
      <c r="DQ3124" s="5" t="s">
        <v>238</v>
      </c>
      <c r="DT3124" s="5" t="s">
        <v>275</v>
      </c>
      <c r="DU3124" s="5" t="s">
        <v>1790</v>
      </c>
      <c r="HM3124" s="5" t="s">
        <v>264</v>
      </c>
    </row>
    <row r="3125" spans="1:221" x14ac:dyDescent="0.4">
      <c r="A3125" s="5">
        <v>4829</v>
      </c>
      <c r="B3125" s="5">
        <v>1</v>
      </c>
      <c r="C3125" s="5">
        <v>1</v>
      </c>
      <c r="D3125" s="5" t="s">
        <v>269</v>
      </c>
      <c r="E3125" s="5" t="s">
        <v>271</v>
      </c>
      <c r="F3125" s="5" t="s">
        <v>248</v>
      </c>
      <c r="G3125" s="5" t="s">
        <v>266</v>
      </c>
      <c r="H3125" s="6" t="s">
        <v>1460</v>
      </c>
      <c r="I3125" s="7">
        <f>2153</f>
        <v>2153</v>
      </c>
      <c r="J3125" s="5" t="s">
        <v>262</v>
      </c>
      <c r="K3125" s="8">
        <f>1</f>
        <v>1</v>
      </c>
      <c r="L3125" s="6" t="s">
        <v>242</v>
      </c>
      <c r="M3125" s="5" t="s">
        <v>267</v>
      </c>
      <c r="N3125" s="5" t="s">
        <v>265</v>
      </c>
      <c r="O3125" s="5" t="s">
        <v>238</v>
      </c>
      <c r="P3125" s="5" t="s">
        <v>238</v>
      </c>
      <c r="Q3125" s="5" t="s">
        <v>268</v>
      </c>
      <c r="R3125" s="5" t="s">
        <v>270</v>
      </c>
      <c r="S3125" s="5" t="s">
        <v>238</v>
      </c>
      <c r="V3125" s="5" t="s">
        <v>238</v>
      </c>
      <c r="X3125" s="6" t="s">
        <v>238</v>
      </c>
      <c r="AA3125" s="6" t="s">
        <v>243</v>
      </c>
      <c r="AB3125" s="5" t="s">
        <v>238</v>
      </c>
      <c r="AC3125" s="5" t="s">
        <v>244</v>
      </c>
      <c r="AD3125" s="5" t="s">
        <v>245</v>
      </c>
      <c r="AT3125" s="5" t="s">
        <v>246</v>
      </c>
      <c r="AU3125" s="5" t="s">
        <v>238</v>
      </c>
      <c r="AV3125" s="5" t="s">
        <v>247</v>
      </c>
      <c r="AW3125" s="5" t="s">
        <v>238</v>
      </c>
      <c r="AX3125" s="5" t="s">
        <v>249</v>
      </c>
      <c r="AY3125" s="5" t="s">
        <v>238</v>
      </c>
      <c r="BA3125" s="5" t="s">
        <v>238</v>
      </c>
      <c r="BC3125" s="5" t="s">
        <v>250</v>
      </c>
      <c r="BD3125" s="6" t="s">
        <v>243</v>
      </c>
      <c r="BE3125" s="5" t="s">
        <v>251</v>
      </c>
      <c r="BF3125" s="5" t="s">
        <v>252</v>
      </c>
      <c r="BG3125" s="5" t="s">
        <v>238</v>
      </c>
      <c r="BH3125" s="7">
        <f>0</f>
        <v>0</v>
      </c>
      <c r="BI3125" s="8">
        <f>0</f>
        <v>0</v>
      </c>
      <c r="BJ3125" s="5" t="s">
        <v>253</v>
      </c>
      <c r="BK3125" s="5" t="s">
        <v>254</v>
      </c>
      <c r="BY3125" s="5" t="s">
        <v>238</v>
      </c>
      <c r="BZ3125" s="5" t="s">
        <v>238</v>
      </c>
      <c r="CD3125" s="5" t="s">
        <v>273</v>
      </c>
      <c r="CE3125" s="5" t="s">
        <v>256</v>
      </c>
      <c r="CF3125" s="5" t="s">
        <v>238</v>
      </c>
      <c r="CI3125" s="6" t="s">
        <v>257</v>
      </c>
      <c r="CJ3125" s="5" t="s">
        <v>238</v>
      </c>
      <c r="CK3125" s="5" t="s">
        <v>258</v>
      </c>
      <c r="CL3125" s="5" t="s">
        <v>238</v>
      </c>
      <c r="CM3125" s="5" t="s">
        <v>238</v>
      </c>
      <c r="CN3125" s="5">
        <v>0</v>
      </c>
      <c r="CO3125" s="5" t="s">
        <v>259</v>
      </c>
      <c r="CP3125" s="5" t="s">
        <v>260</v>
      </c>
      <c r="CQ3125" s="5" t="s">
        <v>260</v>
      </c>
      <c r="CR3125" s="5" t="s">
        <v>261</v>
      </c>
      <c r="CU3125" s="8">
        <f>1</f>
        <v>1</v>
      </c>
      <c r="CV3125" s="8">
        <f>0</f>
        <v>0</v>
      </c>
      <c r="CX3125" s="8">
        <f>0</f>
        <v>0</v>
      </c>
      <c r="CY3125" s="8">
        <f>1</f>
        <v>1</v>
      </c>
      <c r="DA3125" s="5" t="s">
        <v>274</v>
      </c>
      <c r="DB3125" s="5" t="s">
        <v>238</v>
      </c>
      <c r="DD3125" s="5" t="s">
        <v>274</v>
      </c>
      <c r="DE3125" s="8">
        <f>2153</f>
        <v>2153</v>
      </c>
      <c r="DG3125" s="5" t="s">
        <v>238</v>
      </c>
      <c r="DH3125" s="5" t="s">
        <v>238</v>
      </c>
      <c r="DI3125" s="5" t="s">
        <v>238</v>
      </c>
      <c r="DJ3125" s="5" t="s">
        <v>238</v>
      </c>
      <c r="DN3125" s="5" t="s">
        <v>238</v>
      </c>
      <c r="DO3125" s="5" t="s">
        <v>238</v>
      </c>
      <c r="DP3125" s="5" t="s">
        <v>238</v>
      </c>
      <c r="DQ3125" s="5" t="s">
        <v>238</v>
      </c>
      <c r="DT3125" s="5" t="s">
        <v>275</v>
      </c>
      <c r="DU3125" s="5" t="s">
        <v>1461</v>
      </c>
      <c r="HM3125" s="5" t="s">
        <v>264</v>
      </c>
    </row>
    <row r="3126" spans="1:221" x14ac:dyDescent="0.4">
      <c r="A3126" s="5">
        <v>4830</v>
      </c>
      <c r="B3126" s="5">
        <v>1</v>
      </c>
      <c r="C3126" s="5">
        <v>1</v>
      </c>
      <c r="D3126" s="5" t="s">
        <v>269</v>
      </c>
      <c r="E3126" s="5" t="s">
        <v>271</v>
      </c>
      <c r="F3126" s="5" t="s">
        <v>248</v>
      </c>
      <c r="G3126" s="5" t="s">
        <v>266</v>
      </c>
      <c r="H3126" s="6" t="s">
        <v>1785</v>
      </c>
      <c r="I3126" s="7">
        <f>1200</f>
        <v>1200</v>
      </c>
      <c r="J3126" s="5" t="s">
        <v>262</v>
      </c>
      <c r="K3126" s="8">
        <f>1</f>
        <v>1</v>
      </c>
      <c r="L3126" s="6" t="s">
        <v>242</v>
      </c>
      <c r="M3126" s="5" t="s">
        <v>267</v>
      </c>
      <c r="N3126" s="5" t="s">
        <v>265</v>
      </c>
      <c r="O3126" s="5" t="s">
        <v>238</v>
      </c>
      <c r="P3126" s="5" t="s">
        <v>238</v>
      </c>
      <c r="Q3126" s="5" t="s">
        <v>268</v>
      </c>
      <c r="R3126" s="5" t="s">
        <v>270</v>
      </c>
      <c r="S3126" s="5" t="s">
        <v>238</v>
      </c>
      <c r="V3126" s="5" t="s">
        <v>238</v>
      </c>
      <c r="X3126" s="6" t="s">
        <v>238</v>
      </c>
      <c r="AA3126" s="6" t="s">
        <v>243</v>
      </c>
      <c r="AB3126" s="5" t="s">
        <v>238</v>
      </c>
      <c r="AC3126" s="5" t="s">
        <v>244</v>
      </c>
      <c r="AD3126" s="5" t="s">
        <v>245</v>
      </c>
      <c r="AT3126" s="5" t="s">
        <v>246</v>
      </c>
      <c r="AU3126" s="5" t="s">
        <v>238</v>
      </c>
      <c r="AV3126" s="5" t="s">
        <v>247</v>
      </c>
      <c r="AW3126" s="5" t="s">
        <v>238</v>
      </c>
      <c r="AX3126" s="5" t="s">
        <v>249</v>
      </c>
      <c r="AY3126" s="5" t="s">
        <v>238</v>
      </c>
      <c r="BA3126" s="5" t="s">
        <v>238</v>
      </c>
      <c r="BC3126" s="5" t="s">
        <v>250</v>
      </c>
      <c r="BD3126" s="6" t="s">
        <v>243</v>
      </c>
      <c r="BE3126" s="5" t="s">
        <v>251</v>
      </c>
      <c r="BF3126" s="5" t="s">
        <v>252</v>
      </c>
      <c r="BG3126" s="5" t="s">
        <v>238</v>
      </c>
      <c r="BH3126" s="7">
        <f>0</f>
        <v>0</v>
      </c>
      <c r="BI3126" s="8">
        <f>0</f>
        <v>0</v>
      </c>
      <c r="BJ3126" s="5" t="s">
        <v>253</v>
      </c>
      <c r="BK3126" s="5" t="s">
        <v>254</v>
      </c>
      <c r="BY3126" s="5" t="s">
        <v>238</v>
      </c>
      <c r="BZ3126" s="5" t="s">
        <v>238</v>
      </c>
      <c r="CD3126" s="5" t="s">
        <v>273</v>
      </c>
      <c r="CE3126" s="5" t="s">
        <v>256</v>
      </c>
      <c r="CF3126" s="5" t="s">
        <v>238</v>
      </c>
      <c r="CI3126" s="6" t="s">
        <v>257</v>
      </c>
      <c r="CJ3126" s="5" t="s">
        <v>238</v>
      </c>
      <c r="CK3126" s="5" t="s">
        <v>258</v>
      </c>
      <c r="CL3126" s="5" t="s">
        <v>238</v>
      </c>
      <c r="CM3126" s="5" t="s">
        <v>238</v>
      </c>
      <c r="CN3126" s="5">
        <v>0</v>
      </c>
      <c r="CO3126" s="5" t="s">
        <v>259</v>
      </c>
      <c r="CP3126" s="5" t="s">
        <v>260</v>
      </c>
      <c r="CQ3126" s="5" t="s">
        <v>260</v>
      </c>
      <c r="CR3126" s="5" t="s">
        <v>261</v>
      </c>
      <c r="CU3126" s="8">
        <f>1</f>
        <v>1</v>
      </c>
      <c r="CV3126" s="8">
        <f>0</f>
        <v>0</v>
      </c>
      <c r="CX3126" s="8">
        <f>0</f>
        <v>0</v>
      </c>
      <c r="CY3126" s="8">
        <f>1</f>
        <v>1</v>
      </c>
      <c r="DA3126" s="5" t="s">
        <v>274</v>
      </c>
      <c r="DB3126" s="5" t="s">
        <v>238</v>
      </c>
      <c r="DD3126" s="5" t="s">
        <v>274</v>
      </c>
      <c r="DE3126" s="8">
        <f>1200</f>
        <v>1200</v>
      </c>
      <c r="DG3126" s="5" t="s">
        <v>238</v>
      </c>
      <c r="DH3126" s="5" t="s">
        <v>238</v>
      </c>
      <c r="DI3126" s="5" t="s">
        <v>238</v>
      </c>
      <c r="DJ3126" s="5" t="s">
        <v>238</v>
      </c>
      <c r="DN3126" s="5" t="s">
        <v>238</v>
      </c>
      <c r="DO3126" s="5" t="s">
        <v>238</v>
      </c>
      <c r="DP3126" s="5" t="s">
        <v>238</v>
      </c>
      <c r="DQ3126" s="5" t="s">
        <v>238</v>
      </c>
      <c r="DT3126" s="5" t="s">
        <v>275</v>
      </c>
      <c r="DU3126" s="5" t="s">
        <v>1786</v>
      </c>
      <c r="HM3126" s="5" t="s">
        <v>264</v>
      </c>
    </row>
    <row r="3127" spans="1:221" x14ac:dyDescent="0.4">
      <c r="A3127" s="5">
        <v>4831</v>
      </c>
      <c r="B3127" s="5">
        <v>1</v>
      </c>
      <c r="C3127" s="5">
        <v>1</v>
      </c>
      <c r="D3127" s="5" t="s">
        <v>269</v>
      </c>
      <c r="E3127" s="5" t="s">
        <v>271</v>
      </c>
      <c r="F3127" s="5" t="s">
        <v>248</v>
      </c>
      <c r="G3127" s="5" t="s">
        <v>266</v>
      </c>
      <c r="H3127" s="6" t="s">
        <v>3958</v>
      </c>
      <c r="I3127" s="7">
        <f>2614</f>
        <v>2614</v>
      </c>
      <c r="J3127" s="5" t="s">
        <v>262</v>
      </c>
      <c r="K3127" s="8">
        <f>1</f>
        <v>1</v>
      </c>
      <c r="L3127" s="6" t="s">
        <v>242</v>
      </c>
      <c r="M3127" s="5" t="s">
        <v>267</v>
      </c>
      <c r="N3127" s="5" t="s">
        <v>265</v>
      </c>
      <c r="O3127" s="5" t="s">
        <v>238</v>
      </c>
      <c r="P3127" s="5" t="s">
        <v>238</v>
      </c>
      <c r="Q3127" s="5" t="s">
        <v>268</v>
      </c>
      <c r="R3127" s="5" t="s">
        <v>270</v>
      </c>
      <c r="S3127" s="5" t="s">
        <v>238</v>
      </c>
      <c r="V3127" s="5" t="s">
        <v>238</v>
      </c>
      <c r="X3127" s="6" t="s">
        <v>238</v>
      </c>
      <c r="AA3127" s="6" t="s">
        <v>243</v>
      </c>
      <c r="AB3127" s="5" t="s">
        <v>238</v>
      </c>
      <c r="AC3127" s="5" t="s">
        <v>244</v>
      </c>
      <c r="AD3127" s="5" t="s">
        <v>245</v>
      </c>
      <c r="AT3127" s="5" t="s">
        <v>246</v>
      </c>
      <c r="AU3127" s="5" t="s">
        <v>238</v>
      </c>
      <c r="AV3127" s="5" t="s">
        <v>247</v>
      </c>
      <c r="AW3127" s="5" t="s">
        <v>238</v>
      </c>
      <c r="AX3127" s="5" t="s">
        <v>249</v>
      </c>
      <c r="AY3127" s="5" t="s">
        <v>238</v>
      </c>
      <c r="BA3127" s="5" t="s">
        <v>238</v>
      </c>
      <c r="BC3127" s="5" t="s">
        <v>250</v>
      </c>
      <c r="BD3127" s="6" t="s">
        <v>243</v>
      </c>
      <c r="BE3127" s="5" t="s">
        <v>251</v>
      </c>
      <c r="BF3127" s="5" t="s">
        <v>252</v>
      </c>
      <c r="BG3127" s="5" t="s">
        <v>238</v>
      </c>
      <c r="BH3127" s="7">
        <f>0</f>
        <v>0</v>
      </c>
      <c r="BI3127" s="8">
        <f>0</f>
        <v>0</v>
      </c>
      <c r="BJ3127" s="5" t="s">
        <v>253</v>
      </c>
      <c r="BK3127" s="5" t="s">
        <v>254</v>
      </c>
      <c r="BY3127" s="5" t="s">
        <v>238</v>
      </c>
      <c r="BZ3127" s="5" t="s">
        <v>238</v>
      </c>
      <c r="CD3127" s="5" t="s">
        <v>273</v>
      </c>
      <c r="CE3127" s="5" t="s">
        <v>256</v>
      </c>
      <c r="CF3127" s="5" t="s">
        <v>238</v>
      </c>
      <c r="CI3127" s="6" t="s">
        <v>257</v>
      </c>
      <c r="CJ3127" s="5" t="s">
        <v>238</v>
      </c>
      <c r="CK3127" s="5" t="s">
        <v>258</v>
      </c>
      <c r="CL3127" s="5" t="s">
        <v>238</v>
      </c>
      <c r="CM3127" s="5" t="s">
        <v>238</v>
      </c>
      <c r="CN3127" s="5">
        <v>0</v>
      </c>
      <c r="CO3127" s="5" t="s">
        <v>259</v>
      </c>
      <c r="CP3127" s="5" t="s">
        <v>260</v>
      </c>
      <c r="CQ3127" s="5" t="s">
        <v>260</v>
      </c>
      <c r="CR3127" s="5" t="s">
        <v>261</v>
      </c>
      <c r="CU3127" s="8">
        <f>1</f>
        <v>1</v>
      </c>
      <c r="CV3127" s="8">
        <f>0</f>
        <v>0</v>
      </c>
      <c r="CX3127" s="8">
        <f>0</f>
        <v>0</v>
      </c>
      <c r="CY3127" s="8">
        <f>1</f>
        <v>1</v>
      </c>
      <c r="DA3127" s="5" t="s">
        <v>274</v>
      </c>
      <c r="DB3127" s="5" t="s">
        <v>238</v>
      </c>
      <c r="DD3127" s="5" t="s">
        <v>274</v>
      </c>
      <c r="DE3127" s="8">
        <f>2614</f>
        <v>2614</v>
      </c>
      <c r="DG3127" s="5" t="s">
        <v>238</v>
      </c>
      <c r="DH3127" s="5" t="s">
        <v>238</v>
      </c>
      <c r="DI3127" s="5" t="s">
        <v>238</v>
      </c>
      <c r="DJ3127" s="5" t="s">
        <v>238</v>
      </c>
      <c r="DN3127" s="5" t="s">
        <v>238</v>
      </c>
      <c r="DO3127" s="5" t="s">
        <v>238</v>
      </c>
      <c r="DP3127" s="5" t="s">
        <v>238</v>
      </c>
      <c r="DQ3127" s="5" t="s">
        <v>238</v>
      </c>
      <c r="DT3127" s="5" t="s">
        <v>275</v>
      </c>
      <c r="DU3127" s="5" t="s">
        <v>2065</v>
      </c>
      <c r="HM3127" s="5" t="s">
        <v>264</v>
      </c>
    </row>
    <row r="3128" spans="1:221" x14ac:dyDescent="0.4">
      <c r="A3128" s="5">
        <v>4832</v>
      </c>
      <c r="B3128" s="5">
        <v>1</v>
      </c>
      <c r="C3128" s="5">
        <v>1</v>
      </c>
      <c r="D3128" s="5" t="s">
        <v>269</v>
      </c>
      <c r="E3128" s="5" t="s">
        <v>271</v>
      </c>
      <c r="F3128" s="5" t="s">
        <v>248</v>
      </c>
      <c r="G3128" s="5" t="s">
        <v>266</v>
      </c>
      <c r="H3128" s="6" t="s">
        <v>1779</v>
      </c>
      <c r="I3128" s="7">
        <f>305</f>
        <v>305</v>
      </c>
      <c r="J3128" s="5" t="s">
        <v>262</v>
      </c>
      <c r="K3128" s="8">
        <f>1</f>
        <v>1</v>
      </c>
      <c r="L3128" s="6" t="s">
        <v>242</v>
      </c>
      <c r="M3128" s="5" t="s">
        <v>267</v>
      </c>
      <c r="N3128" s="5" t="s">
        <v>265</v>
      </c>
      <c r="O3128" s="5" t="s">
        <v>238</v>
      </c>
      <c r="P3128" s="5" t="s">
        <v>238</v>
      </c>
      <c r="Q3128" s="5" t="s">
        <v>268</v>
      </c>
      <c r="R3128" s="5" t="s">
        <v>270</v>
      </c>
      <c r="S3128" s="5" t="s">
        <v>238</v>
      </c>
      <c r="V3128" s="5" t="s">
        <v>238</v>
      </c>
      <c r="X3128" s="6" t="s">
        <v>238</v>
      </c>
      <c r="AA3128" s="6" t="s">
        <v>243</v>
      </c>
      <c r="AB3128" s="5" t="s">
        <v>238</v>
      </c>
      <c r="AC3128" s="5" t="s">
        <v>244</v>
      </c>
      <c r="AD3128" s="5" t="s">
        <v>245</v>
      </c>
      <c r="AT3128" s="5" t="s">
        <v>246</v>
      </c>
      <c r="AU3128" s="5" t="s">
        <v>238</v>
      </c>
      <c r="AV3128" s="5" t="s">
        <v>247</v>
      </c>
      <c r="AW3128" s="5" t="s">
        <v>238</v>
      </c>
      <c r="AX3128" s="5" t="s">
        <v>249</v>
      </c>
      <c r="AY3128" s="5" t="s">
        <v>238</v>
      </c>
      <c r="BA3128" s="5" t="s">
        <v>238</v>
      </c>
      <c r="BC3128" s="5" t="s">
        <v>250</v>
      </c>
      <c r="BD3128" s="6" t="s">
        <v>243</v>
      </c>
      <c r="BE3128" s="5" t="s">
        <v>251</v>
      </c>
      <c r="BF3128" s="5" t="s">
        <v>252</v>
      </c>
      <c r="BG3128" s="5" t="s">
        <v>238</v>
      </c>
      <c r="BH3128" s="7">
        <f>0</f>
        <v>0</v>
      </c>
      <c r="BI3128" s="8">
        <f>0</f>
        <v>0</v>
      </c>
      <c r="BJ3128" s="5" t="s">
        <v>253</v>
      </c>
      <c r="BK3128" s="5" t="s">
        <v>254</v>
      </c>
      <c r="BY3128" s="5" t="s">
        <v>238</v>
      </c>
      <c r="BZ3128" s="5" t="s">
        <v>238</v>
      </c>
      <c r="CD3128" s="5" t="s">
        <v>273</v>
      </c>
      <c r="CE3128" s="5" t="s">
        <v>256</v>
      </c>
      <c r="CF3128" s="5" t="s">
        <v>238</v>
      </c>
      <c r="CI3128" s="6" t="s">
        <v>257</v>
      </c>
      <c r="CJ3128" s="5" t="s">
        <v>238</v>
      </c>
      <c r="CK3128" s="5" t="s">
        <v>258</v>
      </c>
      <c r="CL3128" s="5" t="s">
        <v>238</v>
      </c>
      <c r="CM3128" s="5" t="s">
        <v>238</v>
      </c>
      <c r="CN3128" s="5">
        <v>0</v>
      </c>
      <c r="CO3128" s="5" t="s">
        <v>259</v>
      </c>
      <c r="CP3128" s="5" t="s">
        <v>260</v>
      </c>
      <c r="CQ3128" s="5" t="s">
        <v>260</v>
      </c>
      <c r="CR3128" s="5" t="s">
        <v>261</v>
      </c>
      <c r="CU3128" s="8">
        <f>1</f>
        <v>1</v>
      </c>
      <c r="CV3128" s="8">
        <f>0</f>
        <v>0</v>
      </c>
      <c r="CX3128" s="8">
        <f>0</f>
        <v>0</v>
      </c>
      <c r="CY3128" s="8">
        <f>1</f>
        <v>1</v>
      </c>
      <c r="DA3128" s="5" t="s">
        <v>274</v>
      </c>
      <c r="DB3128" s="5" t="s">
        <v>238</v>
      </c>
      <c r="DD3128" s="5" t="s">
        <v>274</v>
      </c>
      <c r="DE3128" s="8">
        <f>305</f>
        <v>305</v>
      </c>
      <c r="DG3128" s="5" t="s">
        <v>238</v>
      </c>
      <c r="DH3128" s="5" t="s">
        <v>238</v>
      </c>
      <c r="DI3128" s="5" t="s">
        <v>238</v>
      </c>
      <c r="DJ3128" s="5" t="s">
        <v>238</v>
      </c>
      <c r="DN3128" s="5" t="s">
        <v>238</v>
      </c>
      <c r="DO3128" s="5" t="s">
        <v>238</v>
      </c>
      <c r="DP3128" s="5" t="s">
        <v>238</v>
      </c>
      <c r="DQ3128" s="5" t="s">
        <v>238</v>
      </c>
      <c r="DT3128" s="5" t="s">
        <v>275</v>
      </c>
      <c r="DU3128" s="5" t="s">
        <v>1780</v>
      </c>
      <c r="HM3128" s="5" t="s">
        <v>264</v>
      </c>
    </row>
    <row r="3129" spans="1:221" x14ac:dyDescent="0.4">
      <c r="A3129" s="5">
        <v>4833</v>
      </c>
      <c r="B3129" s="5">
        <v>1</v>
      </c>
      <c r="C3129" s="5">
        <v>1</v>
      </c>
      <c r="D3129" s="5" t="s">
        <v>269</v>
      </c>
      <c r="E3129" s="5" t="s">
        <v>271</v>
      </c>
      <c r="F3129" s="5" t="s">
        <v>248</v>
      </c>
      <c r="G3129" s="5" t="s">
        <v>266</v>
      </c>
      <c r="H3129" s="6" t="s">
        <v>1873</v>
      </c>
      <c r="I3129" s="7">
        <f>383</f>
        <v>383</v>
      </c>
      <c r="J3129" s="5" t="s">
        <v>262</v>
      </c>
      <c r="K3129" s="8">
        <f>1</f>
        <v>1</v>
      </c>
      <c r="L3129" s="6" t="s">
        <v>242</v>
      </c>
      <c r="M3129" s="5" t="s">
        <v>267</v>
      </c>
      <c r="N3129" s="5" t="s">
        <v>265</v>
      </c>
      <c r="O3129" s="5" t="s">
        <v>238</v>
      </c>
      <c r="P3129" s="5" t="s">
        <v>238</v>
      </c>
      <c r="Q3129" s="5" t="s">
        <v>268</v>
      </c>
      <c r="R3129" s="5" t="s">
        <v>270</v>
      </c>
      <c r="S3129" s="5" t="s">
        <v>238</v>
      </c>
      <c r="V3129" s="5" t="s">
        <v>238</v>
      </c>
      <c r="X3129" s="6" t="s">
        <v>238</v>
      </c>
      <c r="AA3129" s="6" t="s">
        <v>243</v>
      </c>
      <c r="AB3129" s="5" t="s">
        <v>238</v>
      </c>
      <c r="AC3129" s="5" t="s">
        <v>244</v>
      </c>
      <c r="AD3129" s="5" t="s">
        <v>245</v>
      </c>
      <c r="AT3129" s="5" t="s">
        <v>246</v>
      </c>
      <c r="AU3129" s="5" t="s">
        <v>238</v>
      </c>
      <c r="AV3129" s="5" t="s">
        <v>247</v>
      </c>
      <c r="AW3129" s="5" t="s">
        <v>238</v>
      </c>
      <c r="AX3129" s="5" t="s">
        <v>249</v>
      </c>
      <c r="AY3129" s="5" t="s">
        <v>238</v>
      </c>
      <c r="BA3129" s="5" t="s">
        <v>238</v>
      </c>
      <c r="BC3129" s="5" t="s">
        <v>250</v>
      </c>
      <c r="BD3129" s="6" t="s">
        <v>243</v>
      </c>
      <c r="BE3129" s="5" t="s">
        <v>251</v>
      </c>
      <c r="BF3129" s="5" t="s">
        <v>252</v>
      </c>
      <c r="BG3129" s="5" t="s">
        <v>238</v>
      </c>
      <c r="BH3129" s="7">
        <f>0</f>
        <v>0</v>
      </c>
      <c r="BI3129" s="8">
        <f>0</f>
        <v>0</v>
      </c>
      <c r="BJ3129" s="5" t="s">
        <v>253</v>
      </c>
      <c r="BK3129" s="5" t="s">
        <v>254</v>
      </c>
      <c r="BY3129" s="5" t="s">
        <v>238</v>
      </c>
      <c r="BZ3129" s="5" t="s">
        <v>238</v>
      </c>
      <c r="CD3129" s="5" t="s">
        <v>273</v>
      </c>
      <c r="CE3129" s="5" t="s">
        <v>256</v>
      </c>
      <c r="CF3129" s="5" t="s">
        <v>238</v>
      </c>
      <c r="CI3129" s="6" t="s">
        <v>257</v>
      </c>
      <c r="CJ3129" s="5" t="s">
        <v>238</v>
      </c>
      <c r="CK3129" s="5" t="s">
        <v>258</v>
      </c>
      <c r="CL3129" s="5" t="s">
        <v>238</v>
      </c>
      <c r="CM3129" s="5" t="s">
        <v>238</v>
      </c>
      <c r="CN3129" s="5">
        <v>0</v>
      </c>
      <c r="CO3129" s="5" t="s">
        <v>259</v>
      </c>
      <c r="CP3129" s="5" t="s">
        <v>260</v>
      </c>
      <c r="CQ3129" s="5" t="s">
        <v>260</v>
      </c>
      <c r="CR3129" s="5" t="s">
        <v>261</v>
      </c>
      <c r="CU3129" s="8">
        <f>1</f>
        <v>1</v>
      </c>
      <c r="CV3129" s="8">
        <f>0</f>
        <v>0</v>
      </c>
      <c r="CX3129" s="8">
        <f>0</f>
        <v>0</v>
      </c>
      <c r="CY3129" s="8">
        <f>1</f>
        <v>1</v>
      </c>
      <c r="DA3129" s="5" t="s">
        <v>274</v>
      </c>
      <c r="DB3129" s="5" t="s">
        <v>238</v>
      </c>
      <c r="DD3129" s="5" t="s">
        <v>274</v>
      </c>
      <c r="DE3129" s="8">
        <f>383</f>
        <v>383</v>
      </c>
      <c r="DG3129" s="5" t="s">
        <v>238</v>
      </c>
      <c r="DH3129" s="5" t="s">
        <v>238</v>
      </c>
      <c r="DI3129" s="5" t="s">
        <v>238</v>
      </c>
      <c r="DJ3129" s="5" t="s">
        <v>238</v>
      </c>
      <c r="DN3129" s="5" t="s">
        <v>238</v>
      </c>
      <c r="DO3129" s="5" t="s">
        <v>238</v>
      </c>
      <c r="DP3129" s="5" t="s">
        <v>238</v>
      </c>
      <c r="DQ3129" s="5" t="s">
        <v>238</v>
      </c>
      <c r="DT3129" s="5" t="s">
        <v>275</v>
      </c>
      <c r="DU3129" s="5" t="s">
        <v>1874</v>
      </c>
      <c r="HM3129" s="5" t="s">
        <v>264</v>
      </c>
    </row>
    <row r="3130" spans="1:221" x14ac:dyDescent="0.4">
      <c r="A3130" s="5">
        <v>4834</v>
      </c>
      <c r="B3130" s="5">
        <v>1</v>
      </c>
      <c r="C3130" s="5">
        <v>1</v>
      </c>
      <c r="D3130" s="5" t="s">
        <v>269</v>
      </c>
      <c r="E3130" s="5" t="s">
        <v>271</v>
      </c>
      <c r="F3130" s="5" t="s">
        <v>248</v>
      </c>
      <c r="G3130" s="5" t="s">
        <v>266</v>
      </c>
      <c r="H3130" s="6" t="s">
        <v>1773</v>
      </c>
      <c r="I3130" s="7">
        <f>362</f>
        <v>362</v>
      </c>
      <c r="J3130" s="5" t="s">
        <v>262</v>
      </c>
      <c r="K3130" s="8">
        <f>1</f>
        <v>1</v>
      </c>
      <c r="L3130" s="6" t="s">
        <v>242</v>
      </c>
      <c r="M3130" s="5" t="s">
        <v>267</v>
      </c>
      <c r="N3130" s="5" t="s">
        <v>265</v>
      </c>
      <c r="O3130" s="5" t="s">
        <v>238</v>
      </c>
      <c r="P3130" s="5" t="s">
        <v>238</v>
      </c>
      <c r="Q3130" s="5" t="s">
        <v>268</v>
      </c>
      <c r="R3130" s="5" t="s">
        <v>270</v>
      </c>
      <c r="S3130" s="5" t="s">
        <v>238</v>
      </c>
      <c r="V3130" s="5" t="s">
        <v>238</v>
      </c>
      <c r="X3130" s="6" t="s">
        <v>238</v>
      </c>
      <c r="AA3130" s="6" t="s">
        <v>243</v>
      </c>
      <c r="AB3130" s="5" t="s">
        <v>238</v>
      </c>
      <c r="AC3130" s="5" t="s">
        <v>244</v>
      </c>
      <c r="AD3130" s="5" t="s">
        <v>245</v>
      </c>
      <c r="AT3130" s="5" t="s">
        <v>246</v>
      </c>
      <c r="AU3130" s="5" t="s">
        <v>238</v>
      </c>
      <c r="AV3130" s="5" t="s">
        <v>247</v>
      </c>
      <c r="AW3130" s="5" t="s">
        <v>238</v>
      </c>
      <c r="AX3130" s="5" t="s">
        <v>249</v>
      </c>
      <c r="AY3130" s="5" t="s">
        <v>238</v>
      </c>
      <c r="BA3130" s="5" t="s">
        <v>238</v>
      </c>
      <c r="BC3130" s="5" t="s">
        <v>250</v>
      </c>
      <c r="BD3130" s="6" t="s">
        <v>243</v>
      </c>
      <c r="BE3130" s="5" t="s">
        <v>251</v>
      </c>
      <c r="BF3130" s="5" t="s">
        <v>252</v>
      </c>
      <c r="BG3130" s="5" t="s">
        <v>238</v>
      </c>
      <c r="BH3130" s="7">
        <f>0</f>
        <v>0</v>
      </c>
      <c r="BI3130" s="8">
        <f>0</f>
        <v>0</v>
      </c>
      <c r="BJ3130" s="5" t="s">
        <v>253</v>
      </c>
      <c r="BK3130" s="5" t="s">
        <v>254</v>
      </c>
      <c r="BY3130" s="5" t="s">
        <v>238</v>
      </c>
      <c r="BZ3130" s="5" t="s">
        <v>238</v>
      </c>
      <c r="CD3130" s="5" t="s">
        <v>273</v>
      </c>
      <c r="CE3130" s="5" t="s">
        <v>256</v>
      </c>
      <c r="CF3130" s="5" t="s">
        <v>238</v>
      </c>
      <c r="CI3130" s="6" t="s">
        <v>257</v>
      </c>
      <c r="CJ3130" s="5" t="s">
        <v>238</v>
      </c>
      <c r="CK3130" s="5" t="s">
        <v>258</v>
      </c>
      <c r="CL3130" s="5" t="s">
        <v>238</v>
      </c>
      <c r="CM3130" s="5" t="s">
        <v>238</v>
      </c>
      <c r="CN3130" s="5">
        <v>0</v>
      </c>
      <c r="CO3130" s="5" t="s">
        <v>259</v>
      </c>
      <c r="CP3130" s="5" t="s">
        <v>260</v>
      </c>
      <c r="CQ3130" s="5" t="s">
        <v>260</v>
      </c>
      <c r="CR3130" s="5" t="s">
        <v>261</v>
      </c>
      <c r="CU3130" s="8">
        <f>1</f>
        <v>1</v>
      </c>
      <c r="CV3130" s="8">
        <f>0</f>
        <v>0</v>
      </c>
      <c r="CX3130" s="8">
        <f>0</f>
        <v>0</v>
      </c>
      <c r="CY3130" s="8">
        <f>1</f>
        <v>1</v>
      </c>
      <c r="DA3130" s="5" t="s">
        <v>274</v>
      </c>
      <c r="DB3130" s="5" t="s">
        <v>238</v>
      </c>
      <c r="DD3130" s="5" t="s">
        <v>274</v>
      </c>
      <c r="DE3130" s="8">
        <f>362</f>
        <v>362</v>
      </c>
      <c r="DG3130" s="5" t="s">
        <v>238</v>
      </c>
      <c r="DH3130" s="5" t="s">
        <v>238</v>
      </c>
      <c r="DI3130" s="5" t="s">
        <v>238</v>
      </c>
      <c r="DJ3130" s="5" t="s">
        <v>238</v>
      </c>
      <c r="DN3130" s="5" t="s">
        <v>238</v>
      </c>
      <c r="DO3130" s="5" t="s">
        <v>238</v>
      </c>
      <c r="DP3130" s="5" t="s">
        <v>238</v>
      </c>
      <c r="DQ3130" s="5" t="s">
        <v>238</v>
      </c>
      <c r="DT3130" s="5" t="s">
        <v>275</v>
      </c>
      <c r="DU3130" s="5" t="s">
        <v>1774</v>
      </c>
      <c r="HM3130" s="5" t="s">
        <v>264</v>
      </c>
    </row>
    <row r="3131" spans="1:221" x14ac:dyDescent="0.4">
      <c r="A3131" s="5">
        <v>4835</v>
      </c>
      <c r="B3131" s="5">
        <v>1</v>
      </c>
      <c r="C3131" s="5">
        <v>1</v>
      </c>
      <c r="D3131" s="5" t="s">
        <v>269</v>
      </c>
      <c r="E3131" s="5" t="s">
        <v>271</v>
      </c>
      <c r="F3131" s="5" t="s">
        <v>248</v>
      </c>
      <c r="G3131" s="5" t="s">
        <v>266</v>
      </c>
      <c r="H3131" s="6" t="s">
        <v>1769</v>
      </c>
      <c r="I3131" s="7">
        <f>966</f>
        <v>966</v>
      </c>
      <c r="J3131" s="5" t="s">
        <v>262</v>
      </c>
      <c r="K3131" s="8">
        <f>1</f>
        <v>1</v>
      </c>
      <c r="L3131" s="6" t="s">
        <v>242</v>
      </c>
      <c r="M3131" s="5" t="s">
        <v>267</v>
      </c>
      <c r="N3131" s="5" t="s">
        <v>265</v>
      </c>
      <c r="O3131" s="5" t="s">
        <v>238</v>
      </c>
      <c r="P3131" s="5" t="s">
        <v>238</v>
      </c>
      <c r="Q3131" s="5" t="s">
        <v>268</v>
      </c>
      <c r="R3131" s="5" t="s">
        <v>270</v>
      </c>
      <c r="S3131" s="5" t="s">
        <v>238</v>
      </c>
      <c r="V3131" s="5" t="s">
        <v>238</v>
      </c>
      <c r="X3131" s="6" t="s">
        <v>238</v>
      </c>
      <c r="AA3131" s="6" t="s">
        <v>243</v>
      </c>
      <c r="AB3131" s="5" t="s">
        <v>238</v>
      </c>
      <c r="AC3131" s="5" t="s">
        <v>244</v>
      </c>
      <c r="AD3131" s="5" t="s">
        <v>245</v>
      </c>
      <c r="AT3131" s="5" t="s">
        <v>246</v>
      </c>
      <c r="AU3131" s="5" t="s">
        <v>238</v>
      </c>
      <c r="AV3131" s="5" t="s">
        <v>247</v>
      </c>
      <c r="AW3131" s="5" t="s">
        <v>238</v>
      </c>
      <c r="AX3131" s="5" t="s">
        <v>249</v>
      </c>
      <c r="AY3131" s="5" t="s">
        <v>238</v>
      </c>
      <c r="BA3131" s="5" t="s">
        <v>238</v>
      </c>
      <c r="BC3131" s="5" t="s">
        <v>250</v>
      </c>
      <c r="BD3131" s="6" t="s">
        <v>243</v>
      </c>
      <c r="BE3131" s="5" t="s">
        <v>251</v>
      </c>
      <c r="BF3131" s="5" t="s">
        <v>252</v>
      </c>
      <c r="BG3131" s="5" t="s">
        <v>238</v>
      </c>
      <c r="BH3131" s="7">
        <f>0</f>
        <v>0</v>
      </c>
      <c r="BI3131" s="8">
        <f>0</f>
        <v>0</v>
      </c>
      <c r="BJ3131" s="5" t="s">
        <v>253</v>
      </c>
      <c r="BK3131" s="5" t="s">
        <v>254</v>
      </c>
      <c r="BY3131" s="5" t="s">
        <v>238</v>
      </c>
      <c r="BZ3131" s="5" t="s">
        <v>238</v>
      </c>
      <c r="CD3131" s="5" t="s">
        <v>273</v>
      </c>
      <c r="CE3131" s="5" t="s">
        <v>256</v>
      </c>
      <c r="CF3131" s="5" t="s">
        <v>238</v>
      </c>
      <c r="CI3131" s="6" t="s">
        <v>257</v>
      </c>
      <c r="CJ3131" s="5" t="s">
        <v>238</v>
      </c>
      <c r="CK3131" s="5" t="s">
        <v>258</v>
      </c>
      <c r="CL3131" s="5" t="s">
        <v>238</v>
      </c>
      <c r="CM3131" s="5" t="s">
        <v>238</v>
      </c>
      <c r="CN3131" s="5">
        <v>0</v>
      </c>
      <c r="CO3131" s="5" t="s">
        <v>259</v>
      </c>
      <c r="CP3131" s="5" t="s">
        <v>260</v>
      </c>
      <c r="CQ3131" s="5" t="s">
        <v>260</v>
      </c>
      <c r="CR3131" s="5" t="s">
        <v>261</v>
      </c>
      <c r="CU3131" s="8">
        <f>1</f>
        <v>1</v>
      </c>
      <c r="CV3131" s="8">
        <f>0</f>
        <v>0</v>
      </c>
      <c r="CX3131" s="8">
        <f>0</f>
        <v>0</v>
      </c>
      <c r="CY3131" s="8">
        <f>1</f>
        <v>1</v>
      </c>
      <c r="DA3131" s="5" t="s">
        <v>274</v>
      </c>
      <c r="DB3131" s="5" t="s">
        <v>238</v>
      </c>
      <c r="DD3131" s="5" t="s">
        <v>274</v>
      </c>
      <c r="DE3131" s="8">
        <f>966</f>
        <v>966</v>
      </c>
      <c r="DG3131" s="5" t="s">
        <v>238</v>
      </c>
      <c r="DH3131" s="5" t="s">
        <v>238</v>
      </c>
      <c r="DI3131" s="5" t="s">
        <v>238</v>
      </c>
      <c r="DJ3131" s="5" t="s">
        <v>238</v>
      </c>
      <c r="DN3131" s="5" t="s">
        <v>238</v>
      </c>
      <c r="DO3131" s="5" t="s">
        <v>238</v>
      </c>
      <c r="DP3131" s="5" t="s">
        <v>238</v>
      </c>
      <c r="DQ3131" s="5" t="s">
        <v>238</v>
      </c>
      <c r="DT3131" s="5" t="s">
        <v>275</v>
      </c>
      <c r="DU3131" s="5" t="s">
        <v>1770</v>
      </c>
      <c r="HM3131" s="5" t="s">
        <v>264</v>
      </c>
    </row>
    <row r="3132" spans="1:221" x14ac:dyDescent="0.4">
      <c r="A3132" s="5">
        <v>4836</v>
      </c>
      <c r="B3132" s="5">
        <v>1</v>
      </c>
      <c r="C3132" s="5">
        <v>1</v>
      </c>
      <c r="D3132" s="5" t="s">
        <v>269</v>
      </c>
      <c r="E3132" s="5" t="s">
        <v>271</v>
      </c>
      <c r="F3132" s="5" t="s">
        <v>248</v>
      </c>
      <c r="G3132" s="5" t="s">
        <v>266</v>
      </c>
      <c r="H3132" s="6" t="s">
        <v>1767</v>
      </c>
      <c r="I3132" s="7">
        <f>149</f>
        <v>149</v>
      </c>
      <c r="J3132" s="5" t="s">
        <v>262</v>
      </c>
      <c r="K3132" s="8">
        <f>1</f>
        <v>1</v>
      </c>
      <c r="L3132" s="6" t="s">
        <v>242</v>
      </c>
      <c r="M3132" s="5" t="s">
        <v>267</v>
      </c>
      <c r="N3132" s="5" t="s">
        <v>265</v>
      </c>
      <c r="O3132" s="5" t="s">
        <v>238</v>
      </c>
      <c r="P3132" s="5" t="s">
        <v>238</v>
      </c>
      <c r="Q3132" s="5" t="s">
        <v>268</v>
      </c>
      <c r="R3132" s="5" t="s">
        <v>270</v>
      </c>
      <c r="S3132" s="5" t="s">
        <v>238</v>
      </c>
      <c r="V3132" s="5" t="s">
        <v>238</v>
      </c>
      <c r="X3132" s="6" t="s">
        <v>238</v>
      </c>
      <c r="AA3132" s="6" t="s">
        <v>243</v>
      </c>
      <c r="AB3132" s="5" t="s">
        <v>238</v>
      </c>
      <c r="AC3132" s="5" t="s">
        <v>244</v>
      </c>
      <c r="AD3132" s="5" t="s">
        <v>245</v>
      </c>
      <c r="AT3132" s="5" t="s">
        <v>246</v>
      </c>
      <c r="AU3132" s="5" t="s">
        <v>238</v>
      </c>
      <c r="AV3132" s="5" t="s">
        <v>247</v>
      </c>
      <c r="AW3132" s="5" t="s">
        <v>238</v>
      </c>
      <c r="AX3132" s="5" t="s">
        <v>249</v>
      </c>
      <c r="AY3132" s="5" t="s">
        <v>238</v>
      </c>
      <c r="BA3132" s="5" t="s">
        <v>238</v>
      </c>
      <c r="BC3132" s="5" t="s">
        <v>250</v>
      </c>
      <c r="BD3132" s="6" t="s">
        <v>243</v>
      </c>
      <c r="BE3132" s="5" t="s">
        <v>251</v>
      </c>
      <c r="BF3132" s="5" t="s">
        <v>252</v>
      </c>
      <c r="BG3132" s="5" t="s">
        <v>238</v>
      </c>
      <c r="BH3132" s="7">
        <f>0</f>
        <v>0</v>
      </c>
      <c r="BI3132" s="8">
        <f>0</f>
        <v>0</v>
      </c>
      <c r="BJ3132" s="5" t="s">
        <v>253</v>
      </c>
      <c r="BK3132" s="5" t="s">
        <v>254</v>
      </c>
      <c r="BY3132" s="5" t="s">
        <v>238</v>
      </c>
      <c r="BZ3132" s="5" t="s">
        <v>238</v>
      </c>
      <c r="CD3132" s="5" t="s">
        <v>273</v>
      </c>
      <c r="CE3132" s="5" t="s">
        <v>256</v>
      </c>
      <c r="CF3132" s="5" t="s">
        <v>238</v>
      </c>
      <c r="CI3132" s="6" t="s">
        <v>257</v>
      </c>
      <c r="CJ3132" s="5" t="s">
        <v>238</v>
      </c>
      <c r="CK3132" s="5" t="s">
        <v>258</v>
      </c>
      <c r="CL3132" s="5" t="s">
        <v>238</v>
      </c>
      <c r="CM3132" s="5" t="s">
        <v>238</v>
      </c>
      <c r="CN3132" s="5">
        <v>0</v>
      </c>
      <c r="CO3132" s="5" t="s">
        <v>259</v>
      </c>
      <c r="CP3132" s="5" t="s">
        <v>260</v>
      </c>
      <c r="CQ3132" s="5" t="s">
        <v>260</v>
      </c>
      <c r="CR3132" s="5" t="s">
        <v>261</v>
      </c>
      <c r="CU3132" s="8">
        <f>1</f>
        <v>1</v>
      </c>
      <c r="CV3132" s="8">
        <f>0</f>
        <v>0</v>
      </c>
      <c r="CX3132" s="8">
        <f>0</f>
        <v>0</v>
      </c>
      <c r="CY3132" s="8">
        <f>1</f>
        <v>1</v>
      </c>
      <c r="DA3132" s="5" t="s">
        <v>274</v>
      </c>
      <c r="DB3132" s="5" t="s">
        <v>238</v>
      </c>
      <c r="DD3132" s="5" t="s">
        <v>274</v>
      </c>
      <c r="DE3132" s="8">
        <f>149</f>
        <v>149</v>
      </c>
      <c r="DG3132" s="5" t="s">
        <v>238</v>
      </c>
      <c r="DH3132" s="5" t="s">
        <v>238</v>
      </c>
      <c r="DI3132" s="5" t="s">
        <v>238</v>
      </c>
      <c r="DJ3132" s="5" t="s">
        <v>238</v>
      </c>
      <c r="DN3132" s="5" t="s">
        <v>238</v>
      </c>
      <c r="DO3132" s="5" t="s">
        <v>238</v>
      </c>
      <c r="DP3132" s="5" t="s">
        <v>238</v>
      </c>
      <c r="DQ3132" s="5" t="s">
        <v>238</v>
      </c>
      <c r="DT3132" s="5" t="s">
        <v>275</v>
      </c>
      <c r="DU3132" s="5" t="s">
        <v>1768</v>
      </c>
      <c r="HM3132" s="5" t="s">
        <v>264</v>
      </c>
    </row>
    <row r="3133" spans="1:221" x14ac:dyDescent="0.4">
      <c r="A3133" s="5">
        <v>4837</v>
      </c>
      <c r="B3133" s="5">
        <v>1</v>
      </c>
      <c r="C3133" s="5">
        <v>1</v>
      </c>
      <c r="D3133" s="5" t="s">
        <v>269</v>
      </c>
      <c r="E3133" s="5" t="s">
        <v>271</v>
      </c>
      <c r="F3133" s="5" t="s">
        <v>248</v>
      </c>
      <c r="G3133" s="5" t="s">
        <v>266</v>
      </c>
      <c r="H3133" s="6" t="s">
        <v>1765</v>
      </c>
      <c r="I3133" s="7">
        <f>58</f>
        <v>58</v>
      </c>
      <c r="J3133" s="5" t="s">
        <v>262</v>
      </c>
      <c r="K3133" s="8">
        <f>1</f>
        <v>1</v>
      </c>
      <c r="L3133" s="6" t="s">
        <v>242</v>
      </c>
      <c r="M3133" s="5" t="s">
        <v>267</v>
      </c>
      <c r="N3133" s="5" t="s">
        <v>265</v>
      </c>
      <c r="O3133" s="5" t="s">
        <v>238</v>
      </c>
      <c r="P3133" s="5" t="s">
        <v>238</v>
      </c>
      <c r="Q3133" s="5" t="s">
        <v>268</v>
      </c>
      <c r="R3133" s="5" t="s">
        <v>270</v>
      </c>
      <c r="S3133" s="5" t="s">
        <v>238</v>
      </c>
      <c r="V3133" s="5" t="s">
        <v>238</v>
      </c>
      <c r="X3133" s="6" t="s">
        <v>238</v>
      </c>
      <c r="AA3133" s="6" t="s">
        <v>243</v>
      </c>
      <c r="AB3133" s="5" t="s">
        <v>238</v>
      </c>
      <c r="AC3133" s="5" t="s">
        <v>244</v>
      </c>
      <c r="AD3133" s="5" t="s">
        <v>245</v>
      </c>
      <c r="AT3133" s="5" t="s">
        <v>246</v>
      </c>
      <c r="AU3133" s="5" t="s">
        <v>238</v>
      </c>
      <c r="AV3133" s="5" t="s">
        <v>247</v>
      </c>
      <c r="AW3133" s="5" t="s">
        <v>238</v>
      </c>
      <c r="AX3133" s="5" t="s">
        <v>249</v>
      </c>
      <c r="AY3133" s="5" t="s">
        <v>238</v>
      </c>
      <c r="BA3133" s="5" t="s">
        <v>238</v>
      </c>
      <c r="BC3133" s="5" t="s">
        <v>250</v>
      </c>
      <c r="BD3133" s="6" t="s">
        <v>243</v>
      </c>
      <c r="BE3133" s="5" t="s">
        <v>251</v>
      </c>
      <c r="BF3133" s="5" t="s">
        <v>252</v>
      </c>
      <c r="BG3133" s="5" t="s">
        <v>238</v>
      </c>
      <c r="BH3133" s="7">
        <f>0</f>
        <v>0</v>
      </c>
      <c r="BI3133" s="8">
        <f>0</f>
        <v>0</v>
      </c>
      <c r="BJ3133" s="5" t="s">
        <v>253</v>
      </c>
      <c r="BK3133" s="5" t="s">
        <v>254</v>
      </c>
      <c r="BY3133" s="5" t="s">
        <v>238</v>
      </c>
      <c r="BZ3133" s="5" t="s">
        <v>238</v>
      </c>
      <c r="CD3133" s="5" t="s">
        <v>273</v>
      </c>
      <c r="CE3133" s="5" t="s">
        <v>256</v>
      </c>
      <c r="CF3133" s="5" t="s">
        <v>238</v>
      </c>
      <c r="CI3133" s="6" t="s">
        <v>257</v>
      </c>
      <c r="CJ3133" s="5" t="s">
        <v>238</v>
      </c>
      <c r="CK3133" s="5" t="s">
        <v>258</v>
      </c>
      <c r="CL3133" s="5" t="s">
        <v>238</v>
      </c>
      <c r="CM3133" s="5" t="s">
        <v>238</v>
      </c>
      <c r="CN3133" s="5">
        <v>0</v>
      </c>
      <c r="CO3133" s="5" t="s">
        <v>259</v>
      </c>
      <c r="CP3133" s="5" t="s">
        <v>260</v>
      </c>
      <c r="CQ3133" s="5" t="s">
        <v>260</v>
      </c>
      <c r="CR3133" s="5" t="s">
        <v>261</v>
      </c>
      <c r="CU3133" s="8">
        <f>1</f>
        <v>1</v>
      </c>
      <c r="CV3133" s="8">
        <f>0</f>
        <v>0</v>
      </c>
      <c r="CX3133" s="8">
        <f>0</f>
        <v>0</v>
      </c>
      <c r="CY3133" s="8">
        <f>1</f>
        <v>1</v>
      </c>
      <c r="DA3133" s="5" t="s">
        <v>274</v>
      </c>
      <c r="DB3133" s="5" t="s">
        <v>238</v>
      </c>
      <c r="DD3133" s="5" t="s">
        <v>274</v>
      </c>
      <c r="DE3133" s="8">
        <f>58</f>
        <v>58</v>
      </c>
      <c r="DG3133" s="5" t="s">
        <v>238</v>
      </c>
      <c r="DH3133" s="5" t="s">
        <v>238</v>
      </c>
      <c r="DI3133" s="5" t="s">
        <v>238</v>
      </c>
      <c r="DJ3133" s="5" t="s">
        <v>238</v>
      </c>
      <c r="DN3133" s="5" t="s">
        <v>238</v>
      </c>
      <c r="DO3133" s="5" t="s">
        <v>238</v>
      </c>
      <c r="DP3133" s="5" t="s">
        <v>238</v>
      </c>
      <c r="DQ3133" s="5" t="s">
        <v>238</v>
      </c>
      <c r="DT3133" s="5" t="s">
        <v>275</v>
      </c>
      <c r="DU3133" s="5" t="s">
        <v>1766</v>
      </c>
      <c r="HM3133" s="5" t="s">
        <v>264</v>
      </c>
    </row>
    <row r="3134" spans="1:221" x14ac:dyDescent="0.4">
      <c r="A3134" s="5">
        <v>4838</v>
      </c>
      <c r="B3134" s="5">
        <v>1</v>
      </c>
      <c r="C3134" s="5">
        <v>1</v>
      </c>
      <c r="D3134" s="5" t="s">
        <v>269</v>
      </c>
      <c r="E3134" s="5" t="s">
        <v>271</v>
      </c>
      <c r="F3134" s="5" t="s">
        <v>248</v>
      </c>
      <c r="G3134" s="5" t="s">
        <v>266</v>
      </c>
      <c r="H3134" s="6" t="s">
        <v>1761</v>
      </c>
      <c r="I3134" s="7">
        <f>31</f>
        <v>31</v>
      </c>
      <c r="J3134" s="5" t="s">
        <v>262</v>
      </c>
      <c r="K3134" s="8">
        <f>1</f>
        <v>1</v>
      </c>
      <c r="L3134" s="6" t="s">
        <v>242</v>
      </c>
      <c r="M3134" s="5" t="s">
        <v>267</v>
      </c>
      <c r="N3134" s="5" t="s">
        <v>265</v>
      </c>
      <c r="O3134" s="5" t="s">
        <v>238</v>
      </c>
      <c r="P3134" s="5" t="s">
        <v>238</v>
      </c>
      <c r="Q3134" s="5" t="s">
        <v>268</v>
      </c>
      <c r="R3134" s="5" t="s">
        <v>270</v>
      </c>
      <c r="S3134" s="5" t="s">
        <v>238</v>
      </c>
      <c r="V3134" s="5" t="s">
        <v>238</v>
      </c>
      <c r="X3134" s="6" t="s">
        <v>238</v>
      </c>
      <c r="AA3134" s="6" t="s">
        <v>243</v>
      </c>
      <c r="AB3134" s="5" t="s">
        <v>238</v>
      </c>
      <c r="AC3134" s="5" t="s">
        <v>244</v>
      </c>
      <c r="AD3134" s="5" t="s">
        <v>245</v>
      </c>
      <c r="AT3134" s="5" t="s">
        <v>246</v>
      </c>
      <c r="AU3134" s="5" t="s">
        <v>238</v>
      </c>
      <c r="AV3134" s="5" t="s">
        <v>247</v>
      </c>
      <c r="AW3134" s="5" t="s">
        <v>238</v>
      </c>
      <c r="AX3134" s="5" t="s">
        <v>249</v>
      </c>
      <c r="AY3134" s="5" t="s">
        <v>238</v>
      </c>
      <c r="BA3134" s="5" t="s">
        <v>238</v>
      </c>
      <c r="BC3134" s="5" t="s">
        <v>250</v>
      </c>
      <c r="BD3134" s="6" t="s">
        <v>243</v>
      </c>
      <c r="BE3134" s="5" t="s">
        <v>251</v>
      </c>
      <c r="BF3134" s="5" t="s">
        <v>252</v>
      </c>
      <c r="BG3134" s="5" t="s">
        <v>238</v>
      </c>
      <c r="BH3134" s="7">
        <f>0</f>
        <v>0</v>
      </c>
      <c r="BI3134" s="8">
        <f>0</f>
        <v>0</v>
      </c>
      <c r="BJ3134" s="5" t="s">
        <v>253</v>
      </c>
      <c r="BK3134" s="5" t="s">
        <v>254</v>
      </c>
      <c r="BY3134" s="5" t="s">
        <v>238</v>
      </c>
      <c r="BZ3134" s="5" t="s">
        <v>238</v>
      </c>
      <c r="CD3134" s="5" t="s">
        <v>273</v>
      </c>
      <c r="CE3134" s="5" t="s">
        <v>256</v>
      </c>
      <c r="CF3134" s="5" t="s">
        <v>238</v>
      </c>
      <c r="CI3134" s="6" t="s">
        <v>257</v>
      </c>
      <c r="CJ3134" s="5" t="s">
        <v>238</v>
      </c>
      <c r="CK3134" s="5" t="s">
        <v>258</v>
      </c>
      <c r="CL3134" s="5" t="s">
        <v>238</v>
      </c>
      <c r="CM3134" s="5" t="s">
        <v>238</v>
      </c>
      <c r="CN3134" s="5">
        <v>0</v>
      </c>
      <c r="CO3134" s="5" t="s">
        <v>259</v>
      </c>
      <c r="CP3134" s="5" t="s">
        <v>260</v>
      </c>
      <c r="CQ3134" s="5" t="s">
        <v>260</v>
      </c>
      <c r="CR3134" s="5" t="s">
        <v>261</v>
      </c>
      <c r="CU3134" s="8">
        <f>1</f>
        <v>1</v>
      </c>
      <c r="CV3134" s="8">
        <f>0</f>
        <v>0</v>
      </c>
      <c r="CX3134" s="8">
        <f>0</f>
        <v>0</v>
      </c>
      <c r="CY3134" s="8">
        <f>1</f>
        <v>1</v>
      </c>
      <c r="DA3134" s="5" t="s">
        <v>274</v>
      </c>
      <c r="DB3134" s="5" t="s">
        <v>238</v>
      </c>
      <c r="DD3134" s="5" t="s">
        <v>274</v>
      </c>
      <c r="DE3134" s="8">
        <f>31</f>
        <v>31</v>
      </c>
      <c r="DG3134" s="5" t="s">
        <v>238</v>
      </c>
      <c r="DH3134" s="5" t="s">
        <v>238</v>
      </c>
      <c r="DI3134" s="5" t="s">
        <v>238</v>
      </c>
      <c r="DJ3134" s="5" t="s">
        <v>238</v>
      </c>
      <c r="DN3134" s="5" t="s">
        <v>238</v>
      </c>
      <c r="DO3134" s="5" t="s">
        <v>238</v>
      </c>
      <c r="DP3134" s="5" t="s">
        <v>238</v>
      </c>
      <c r="DQ3134" s="5" t="s">
        <v>238</v>
      </c>
      <c r="DT3134" s="5" t="s">
        <v>275</v>
      </c>
      <c r="DU3134" s="5" t="s">
        <v>1762</v>
      </c>
      <c r="HM3134" s="5" t="s">
        <v>264</v>
      </c>
    </row>
    <row r="3135" spans="1:221" x14ac:dyDescent="0.4">
      <c r="A3135" s="5">
        <v>4839</v>
      </c>
      <c r="B3135" s="5">
        <v>1</v>
      </c>
      <c r="C3135" s="5">
        <v>1</v>
      </c>
      <c r="D3135" s="5" t="s">
        <v>269</v>
      </c>
      <c r="E3135" s="5" t="s">
        <v>271</v>
      </c>
      <c r="F3135" s="5" t="s">
        <v>248</v>
      </c>
      <c r="G3135" s="5" t="s">
        <v>266</v>
      </c>
      <c r="H3135" s="6" t="s">
        <v>4312</v>
      </c>
      <c r="I3135" s="7">
        <f>2010</f>
        <v>2010</v>
      </c>
      <c r="J3135" s="5" t="s">
        <v>262</v>
      </c>
      <c r="K3135" s="8">
        <f>1</f>
        <v>1</v>
      </c>
      <c r="L3135" s="6" t="s">
        <v>242</v>
      </c>
      <c r="M3135" s="5" t="s">
        <v>267</v>
      </c>
      <c r="N3135" s="5" t="s">
        <v>265</v>
      </c>
      <c r="O3135" s="5" t="s">
        <v>238</v>
      </c>
      <c r="P3135" s="5" t="s">
        <v>238</v>
      </c>
      <c r="Q3135" s="5" t="s">
        <v>268</v>
      </c>
      <c r="R3135" s="5" t="s">
        <v>270</v>
      </c>
      <c r="S3135" s="5" t="s">
        <v>238</v>
      </c>
      <c r="V3135" s="5" t="s">
        <v>238</v>
      </c>
      <c r="X3135" s="6" t="s">
        <v>238</v>
      </c>
      <c r="AA3135" s="6" t="s">
        <v>243</v>
      </c>
      <c r="AB3135" s="5" t="s">
        <v>238</v>
      </c>
      <c r="AC3135" s="5" t="s">
        <v>244</v>
      </c>
      <c r="AD3135" s="5" t="s">
        <v>245</v>
      </c>
      <c r="AT3135" s="5" t="s">
        <v>246</v>
      </c>
      <c r="AU3135" s="5" t="s">
        <v>238</v>
      </c>
      <c r="AV3135" s="5" t="s">
        <v>247</v>
      </c>
      <c r="AW3135" s="5" t="s">
        <v>238</v>
      </c>
      <c r="AX3135" s="5" t="s">
        <v>249</v>
      </c>
      <c r="AY3135" s="5" t="s">
        <v>238</v>
      </c>
      <c r="BA3135" s="5" t="s">
        <v>238</v>
      </c>
      <c r="BC3135" s="5" t="s">
        <v>250</v>
      </c>
      <c r="BD3135" s="6" t="s">
        <v>243</v>
      </c>
      <c r="BE3135" s="5" t="s">
        <v>251</v>
      </c>
      <c r="BF3135" s="5" t="s">
        <v>252</v>
      </c>
      <c r="BG3135" s="5" t="s">
        <v>238</v>
      </c>
      <c r="BH3135" s="7">
        <f>0</f>
        <v>0</v>
      </c>
      <c r="BI3135" s="8">
        <f>0</f>
        <v>0</v>
      </c>
      <c r="BJ3135" s="5" t="s">
        <v>253</v>
      </c>
      <c r="BK3135" s="5" t="s">
        <v>254</v>
      </c>
      <c r="BY3135" s="5" t="s">
        <v>238</v>
      </c>
      <c r="BZ3135" s="5" t="s">
        <v>238</v>
      </c>
      <c r="CD3135" s="5" t="s">
        <v>273</v>
      </c>
      <c r="CE3135" s="5" t="s">
        <v>256</v>
      </c>
      <c r="CF3135" s="5" t="s">
        <v>238</v>
      </c>
      <c r="CI3135" s="6" t="s">
        <v>257</v>
      </c>
      <c r="CJ3135" s="5" t="s">
        <v>238</v>
      </c>
      <c r="CK3135" s="5" t="s">
        <v>258</v>
      </c>
      <c r="CL3135" s="5" t="s">
        <v>238</v>
      </c>
      <c r="CM3135" s="5" t="s">
        <v>238</v>
      </c>
      <c r="CN3135" s="5">
        <v>0</v>
      </c>
      <c r="CO3135" s="5" t="s">
        <v>259</v>
      </c>
      <c r="CP3135" s="5" t="s">
        <v>260</v>
      </c>
      <c r="CQ3135" s="5" t="s">
        <v>260</v>
      </c>
      <c r="CR3135" s="5" t="s">
        <v>261</v>
      </c>
      <c r="CU3135" s="8">
        <f>1</f>
        <v>1</v>
      </c>
      <c r="CV3135" s="8">
        <f>0</f>
        <v>0</v>
      </c>
      <c r="CX3135" s="8">
        <f>0</f>
        <v>0</v>
      </c>
      <c r="CY3135" s="8">
        <f>1</f>
        <v>1</v>
      </c>
      <c r="DA3135" s="5" t="s">
        <v>274</v>
      </c>
      <c r="DB3135" s="5" t="s">
        <v>238</v>
      </c>
      <c r="DD3135" s="5" t="s">
        <v>274</v>
      </c>
      <c r="DE3135" s="8">
        <f>2010</f>
        <v>2010</v>
      </c>
      <c r="DG3135" s="5" t="s">
        <v>238</v>
      </c>
      <c r="DH3135" s="5" t="s">
        <v>238</v>
      </c>
      <c r="DI3135" s="5" t="s">
        <v>238</v>
      </c>
      <c r="DJ3135" s="5" t="s">
        <v>238</v>
      </c>
      <c r="DN3135" s="5" t="s">
        <v>238</v>
      </c>
      <c r="DO3135" s="5" t="s">
        <v>238</v>
      </c>
      <c r="DP3135" s="5" t="s">
        <v>238</v>
      </c>
      <c r="DQ3135" s="5" t="s">
        <v>238</v>
      </c>
      <c r="DT3135" s="5" t="s">
        <v>275</v>
      </c>
      <c r="DU3135" s="5" t="s">
        <v>4313</v>
      </c>
      <c r="HM3135" s="5" t="s">
        <v>264</v>
      </c>
    </row>
    <row r="3136" spans="1:221" x14ac:dyDescent="0.4">
      <c r="A3136" s="5">
        <v>4840</v>
      </c>
      <c r="B3136" s="5">
        <v>1</v>
      </c>
      <c r="C3136" s="5">
        <v>1</v>
      </c>
      <c r="D3136" s="5" t="s">
        <v>269</v>
      </c>
      <c r="E3136" s="5" t="s">
        <v>271</v>
      </c>
      <c r="F3136" s="5" t="s">
        <v>248</v>
      </c>
      <c r="G3136" s="5" t="s">
        <v>266</v>
      </c>
      <c r="H3136" s="6" t="s">
        <v>961</v>
      </c>
      <c r="I3136" s="7">
        <f>940</f>
        <v>940</v>
      </c>
      <c r="J3136" s="5" t="s">
        <v>262</v>
      </c>
      <c r="K3136" s="8">
        <f>1</f>
        <v>1</v>
      </c>
      <c r="L3136" s="6" t="s">
        <v>242</v>
      </c>
      <c r="M3136" s="5" t="s">
        <v>267</v>
      </c>
      <c r="N3136" s="5" t="s">
        <v>265</v>
      </c>
      <c r="O3136" s="5" t="s">
        <v>238</v>
      </c>
      <c r="P3136" s="5" t="s">
        <v>238</v>
      </c>
      <c r="Q3136" s="5" t="s">
        <v>268</v>
      </c>
      <c r="R3136" s="5" t="s">
        <v>270</v>
      </c>
      <c r="S3136" s="5" t="s">
        <v>238</v>
      </c>
      <c r="V3136" s="5" t="s">
        <v>238</v>
      </c>
      <c r="X3136" s="6" t="s">
        <v>238</v>
      </c>
      <c r="AA3136" s="6" t="s">
        <v>243</v>
      </c>
      <c r="AB3136" s="5" t="s">
        <v>238</v>
      </c>
      <c r="AC3136" s="5" t="s">
        <v>244</v>
      </c>
      <c r="AD3136" s="5" t="s">
        <v>245</v>
      </c>
      <c r="AT3136" s="5" t="s">
        <v>246</v>
      </c>
      <c r="AU3136" s="5" t="s">
        <v>238</v>
      </c>
      <c r="AV3136" s="5" t="s">
        <v>247</v>
      </c>
      <c r="AW3136" s="5" t="s">
        <v>238</v>
      </c>
      <c r="AX3136" s="5" t="s">
        <v>249</v>
      </c>
      <c r="AY3136" s="5" t="s">
        <v>238</v>
      </c>
      <c r="BA3136" s="5" t="s">
        <v>238</v>
      </c>
      <c r="BC3136" s="5" t="s">
        <v>250</v>
      </c>
      <c r="BD3136" s="6" t="s">
        <v>243</v>
      </c>
      <c r="BE3136" s="5" t="s">
        <v>251</v>
      </c>
      <c r="BF3136" s="5" t="s">
        <v>252</v>
      </c>
      <c r="BG3136" s="5" t="s">
        <v>238</v>
      </c>
      <c r="BH3136" s="7">
        <f>0</f>
        <v>0</v>
      </c>
      <c r="BI3136" s="8">
        <f>0</f>
        <v>0</v>
      </c>
      <c r="BJ3136" s="5" t="s">
        <v>253</v>
      </c>
      <c r="BK3136" s="5" t="s">
        <v>254</v>
      </c>
      <c r="BY3136" s="5" t="s">
        <v>238</v>
      </c>
      <c r="BZ3136" s="5" t="s">
        <v>238</v>
      </c>
      <c r="CD3136" s="5" t="s">
        <v>273</v>
      </c>
      <c r="CE3136" s="5" t="s">
        <v>256</v>
      </c>
      <c r="CF3136" s="5" t="s">
        <v>238</v>
      </c>
      <c r="CI3136" s="6" t="s">
        <v>257</v>
      </c>
      <c r="CJ3136" s="5" t="s">
        <v>238</v>
      </c>
      <c r="CK3136" s="5" t="s">
        <v>258</v>
      </c>
      <c r="CL3136" s="5" t="s">
        <v>238</v>
      </c>
      <c r="CM3136" s="5" t="s">
        <v>238</v>
      </c>
      <c r="CN3136" s="5">
        <v>0</v>
      </c>
      <c r="CO3136" s="5" t="s">
        <v>259</v>
      </c>
      <c r="CP3136" s="5" t="s">
        <v>260</v>
      </c>
      <c r="CQ3136" s="5" t="s">
        <v>260</v>
      </c>
      <c r="CR3136" s="5" t="s">
        <v>261</v>
      </c>
      <c r="CU3136" s="8">
        <f>1</f>
        <v>1</v>
      </c>
      <c r="CV3136" s="8">
        <f>0</f>
        <v>0</v>
      </c>
      <c r="CX3136" s="8">
        <f>0</f>
        <v>0</v>
      </c>
      <c r="CY3136" s="8">
        <f>1</f>
        <v>1</v>
      </c>
      <c r="DA3136" s="5" t="s">
        <v>274</v>
      </c>
      <c r="DB3136" s="5" t="s">
        <v>238</v>
      </c>
      <c r="DD3136" s="5" t="s">
        <v>274</v>
      </c>
      <c r="DE3136" s="8">
        <f>940</f>
        <v>940</v>
      </c>
      <c r="DG3136" s="5" t="s">
        <v>238</v>
      </c>
      <c r="DH3136" s="5" t="s">
        <v>238</v>
      </c>
      <c r="DI3136" s="5" t="s">
        <v>238</v>
      </c>
      <c r="DJ3136" s="5" t="s">
        <v>238</v>
      </c>
      <c r="DN3136" s="5" t="s">
        <v>238</v>
      </c>
      <c r="DO3136" s="5" t="s">
        <v>238</v>
      </c>
      <c r="DP3136" s="5" t="s">
        <v>238</v>
      </c>
      <c r="DQ3136" s="5" t="s">
        <v>238</v>
      </c>
      <c r="DT3136" s="5" t="s">
        <v>275</v>
      </c>
      <c r="DU3136" s="5" t="s">
        <v>962</v>
      </c>
      <c r="HM3136" s="5" t="s">
        <v>264</v>
      </c>
    </row>
    <row r="3137" spans="1:221" x14ac:dyDescent="0.4">
      <c r="A3137" s="5">
        <v>4841</v>
      </c>
      <c r="B3137" s="5">
        <v>1</v>
      </c>
      <c r="C3137" s="5">
        <v>1</v>
      </c>
      <c r="D3137" s="5" t="s">
        <v>269</v>
      </c>
      <c r="E3137" s="5" t="s">
        <v>271</v>
      </c>
      <c r="F3137" s="5" t="s">
        <v>248</v>
      </c>
      <c r="G3137" s="5" t="s">
        <v>266</v>
      </c>
      <c r="H3137" s="6" t="s">
        <v>909</v>
      </c>
      <c r="I3137" s="7">
        <f>981</f>
        <v>981</v>
      </c>
      <c r="J3137" s="5" t="s">
        <v>262</v>
      </c>
      <c r="K3137" s="8">
        <f>1</f>
        <v>1</v>
      </c>
      <c r="L3137" s="6" t="s">
        <v>242</v>
      </c>
      <c r="M3137" s="5" t="s">
        <v>267</v>
      </c>
      <c r="N3137" s="5" t="s">
        <v>265</v>
      </c>
      <c r="O3137" s="5" t="s">
        <v>238</v>
      </c>
      <c r="P3137" s="5" t="s">
        <v>238</v>
      </c>
      <c r="Q3137" s="5" t="s">
        <v>268</v>
      </c>
      <c r="R3137" s="5" t="s">
        <v>270</v>
      </c>
      <c r="S3137" s="5" t="s">
        <v>238</v>
      </c>
      <c r="V3137" s="5" t="s">
        <v>238</v>
      </c>
      <c r="X3137" s="6" t="s">
        <v>238</v>
      </c>
      <c r="AA3137" s="6" t="s">
        <v>243</v>
      </c>
      <c r="AB3137" s="5" t="s">
        <v>238</v>
      </c>
      <c r="AC3137" s="5" t="s">
        <v>244</v>
      </c>
      <c r="AD3137" s="5" t="s">
        <v>245</v>
      </c>
      <c r="AT3137" s="5" t="s">
        <v>246</v>
      </c>
      <c r="AU3137" s="5" t="s">
        <v>238</v>
      </c>
      <c r="AV3137" s="5" t="s">
        <v>247</v>
      </c>
      <c r="AW3137" s="5" t="s">
        <v>238</v>
      </c>
      <c r="AX3137" s="5" t="s">
        <v>249</v>
      </c>
      <c r="AY3137" s="5" t="s">
        <v>238</v>
      </c>
      <c r="BA3137" s="5" t="s">
        <v>238</v>
      </c>
      <c r="BC3137" s="5" t="s">
        <v>250</v>
      </c>
      <c r="BD3137" s="6" t="s">
        <v>243</v>
      </c>
      <c r="BE3137" s="5" t="s">
        <v>251</v>
      </c>
      <c r="BF3137" s="5" t="s">
        <v>252</v>
      </c>
      <c r="BG3137" s="5" t="s">
        <v>238</v>
      </c>
      <c r="BH3137" s="7">
        <f>0</f>
        <v>0</v>
      </c>
      <c r="BI3137" s="8">
        <f>0</f>
        <v>0</v>
      </c>
      <c r="BJ3137" s="5" t="s">
        <v>253</v>
      </c>
      <c r="BK3137" s="5" t="s">
        <v>254</v>
      </c>
      <c r="BY3137" s="5" t="s">
        <v>238</v>
      </c>
      <c r="BZ3137" s="5" t="s">
        <v>238</v>
      </c>
      <c r="CD3137" s="5" t="s">
        <v>273</v>
      </c>
      <c r="CE3137" s="5" t="s">
        <v>256</v>
      </c>
      <c r="CF3137" s="5" t="s">
        <v>238</v>
      </c>
      <c r="CI3137" s="6" t="s">
        <v>257</v>
      </c>
      <c r="CJ3137" s="5" t="s">
        <v>238</v>
      </c>
      <c r="CK3137" s="5" t="s">
        <v>258</v>
      </c>
      <c r="CL3137" s="5" t="s">
        <v>238</v>
      </c>
      <c r="CM3137" s="5" t="s">
        <v>238</v>
      </c>
      <c r="CN3137" s="5">
        <v>0</v>
      </c>
      <c r="CO3137" s="5" t="s">
        <v>259</v>
      </c>
      <c r="CP3137" s="5" t="s">
        <v>260</v>
      </c>
      <c r="CQ3137" s="5" t="s">
        <v>260</v>
      </c>
      <c r="CR3137" s="5" t="s">
        <v>261</v>
      </c>
      <c r="CU3137" s="8">
        <f>1</f>
        <v>1</v>
      </c>
      <c r="CV3137" s="8">
        <f>0</f>
        <v>0</v>
      </c>
      <c r="CX3137" s="8">
        <f>0</f>
        <v>0</v>
      </c>
      <c r="CY3137" s="8">
        <f>1</f>
        <v>1</v>
      </c>
      <c r="DA3137" s="5" t="s">
        <v>274</v>
      </c>
      <c r="DB3137" s="5" t="s">
        <v>238</v>
      </c>
      <c r="DD3137" s="5" t="s">
        <v>274</v>
      </c>
      <c r="DE3137" s="8">
        <f>981</f>
        <v>981</v>
      </c>
      <c r="DG3137" s="5" t="s">
        <v>238</v>
      </c>
      <c r="DH3137" s="5" t="s">
        <v>238</v>
      </c>
      <c r="DI3137" s="5" t="s">
        <v>238</v>
      </c>
      <c r="DJ3137" s="5" t="s">
        <v>238</v>
      </c>
      <c r="DN3137" s="5" t="s">
        <v>238</v>
      </c>
      <c r="DO3137" s="5" t="s">
        <v>238</v>
      </c>
      <c r="DP3137" s="5" t="s">
        <v>238</v>
      </c>
      <c r="DQ3137" s="5" t="s">
        <v>238</v>
      </c>
      <c r="DT3137" s="5" t="s">
        <v>275</v>
      </c>
      <c r="DU3137" s="5" t="s">
        <v>910</v>
      </c>
      <c r="HM3137" s="5" t="s">
        <v>264</v>
      </c>
    </row>
    <row r="3138" spans="1:221" x14ac:dyDescent="0.4">
      <c r="A3138" s="5">
        <v>4842</v>
      </c>
      <c r="B3138" s="5">
        <v>1</v>
      </c>
      <c r="C3138" s="5">
        <v>1</v>
      </c>
      <c r="D3138" s="5" t="s">
        <v>269</v>
      </c>
      <c r="E3138" s="5" t="s">
        <v>271</v>
      </c>
      <c r="F3138" s="5" t="s">
        <v>248</v>
      </c>
      <c r="G3138" s="5" t="s">
        <v>266</v>
      </c>
      <c r="H3138" s="6" t="s">
        <v>1755</v>
      </c>
      <c r="I3138" s="7">
        <f>996</f>
        <v>996</v>
      </c>
      <c r="J3138" s="5" t="s">
        <v>262</v>
      </c>
      <c r="K3138" s="8">
        <f>1</f>
        <v>1</v>
      </c>
      <c r="L3138" s="6" t="s">
        <v>242</v>
      </c>
      <c r="M3138" s="5" t="s">
        <v>267</v>
      </c>
      <c r="N3138" s="5" t="s">
        <v>265</v>
      </c>
      <c r="O3138" s="5" t="s">
        <v>238</v>
      </c>
      <c r="P3138" s="5" t="s">
        <v>238</v>
      </c>
      <c r="Q3138" s="5" t="s">
        <v>268</v>
      </c>
      <c r="R3138" s="5" t="s">
        <v>270</v>
      </c>
      <c r="S3138" s="5" t="s">
        <v>238</v>
      </c>
      <c r="V3138" s="5" t="s">
        <v>238</v>
      </c>
      <c r="X3138" s="6" t="s">
        <v>238</v>
      </c>
      <c r="AA3138" s="6" t="s">
        <v>243</v>
      </c>
      <c r="AB3138" s="5" t="s">
        <v>238</v>
      </c>
      <c r="AC3138" s="5" t="s">
        <v>244</v>
      </c>
      <c r="AD3138" s="5" t="s">
        <v>245</v>
      </c>
      <c r="AT3138" s="5" t="s">
        <v>246</v>
      </c>
      <c r="AU3138" s="5" t="s">
        <v>238</v>
      </c>
      <c r="AV3138" s="5" t="s">
        <v>247</v>
      </c>
      <c r="AW3138" s="5" t="s">
        <v>238</v>
      </c>
      <c r="AX3138" s="5" t="s">
        <v>249</v>
      </c>
      <c r="AY3138" s="5" t="s">
        <v>238</v>
      </c>
      <c r="BA3138" s="5" t="s">
        <v>238</v>
      </c>
      <c r="BC3138" s="5" t="s">
        <v>250</v>
      </c>
      <c r="BD3138" s="6" t="s">
        <v>243</v>
      </c>
      <c r="BE3138" s="5" t="s">
        <v>251</v>
      </c>
      <c r="BF3138" s="5" t="s">
        <v>252</v>
      </c>
      <c r="BG3138" s="5" t="s">
        <v>238</v>
      </c>
      <c r="BH3138" s="7">
        <f>0</f>
        <v>0</v>
      </c>
      <c r="BI3138" s="8">
        <f>0</f>
        <v>0</v>
      </c>
      <c r="BJ3138" s="5" t="s">
        <v>253</v>
      </c>
      <c r="BK3138" s="5" t="s">
        <v>254</v>
      </c>
      <c r="BY3138" s="5" t="s">
        <v>238</v>
      </c>
      <c r="BZ3138" s="5" t="s">
        <v>238</v>
      </c>
      <c r="CD3138" s="5" t="s">
        <v>273</v>
      </c>
      <c r="CE3138" s="5" t="s">
        <v>256</v>
      </c>
      <c r="CF3138" s="5" t="s">
        <v>238</v>
      </c>
      <c r="CI3138" s="6" t="s">
        <v>257</v>
      </c>
      <c r="CJ3138" s="5" t="s">
        <v>238</v>
      </c>
      <c r="CK3138" s="5" t="s">
        <v>258</v>
      </c>
      <c r="CL3138" s="5" t="s">
        <v>238</v>
      </c>
      <c r="CM3138" s="5" t="s">
        <v>238</v>
      </c>
      <c r="CN3138" s="5">
        <v>0</v>
      </c>
      <c r="CO3138" s="5" t="s">
        <v>259</v>
      </c>
      <c r="CP3138" s="5" t="s">
        <v>260</v>
      </c>
      <c r="CQ3138" s="5" t="s">
        <v>260</v>
      </c>
      <c r="CR3138" s="5" t="s">
        <v>261</v>
      </c>
      <c r="CU3138" s="8">
        <f>1</f>
        <v>1</v>
      </c>
      <c r="CV3138" s="8">
        <f>0</f>
        <v>0</v>
      </c>
      <c r="CX3138" s="8">
        <f>0</f>
        <v>0</v>
      </c>
      <c r="CY3138" s="8">
        <f>1</f>
        <v>1</v>
      </c>
      <c r="DA3138" s="5" t="s">
        <v>274</v>
      </c>
      <c r="DB3138" s="5" t="s">
        <v>238</v>
      </c>
      <c r="DD3138" s="5" t="s">
        <v>274</v>
      </c>
      <c r="DE3138" s="8">
        <f>996</f>
        <v>996</v>
      </c>
      <c r="DG3138" s="5" t="s">
        <v>238</v>
      </c>
      <c r="DH3138" s="5" t="s">
        <v>238</v>
      </c>
      <c r="DI3138" s="5" t="s">
        <v>238</v>
      </c>
      <c r="DJ3138" s="5" t="s">
        <v>238</v>
      </c>
      <c r="DN3138" s="5" t="s">
        <v>238</v>
      </c>
      <c r="DO3138" s="5" t="s">
        <v>238</v>
      </c>
      <c r="DP3138" s="5" t="s">
        <v>238</v>
      </c>
      <c r="DQ3138" s="5" t="s">
        <v>238</v>
      </c>
      <c r="DT3138" s="5" t="s">
        <v>275</v>
      </c>
      <c r="DU3138" s="5" t="s">
        <v>1756</v>
      </c>
      <c r="HM3138" s="5" t="s">
        <v>264</v>
      </c>
    </row>
    <row r="3139" spans="1:221" x14ac:dyDescent="0.4">
      <c r="A3139" s="5">
        <v>4843</v>
      </c>
      <c r="B3139" s="5">
        <v>1</v>
      </c>
      <c r="C3139" s="5">
        <v>1</v>
      </c>
      <c r="D3139" s="5" t="s">
        <v>269</v>
      </c>
      <c r="E3139" s="5" t="s">
        <v>271</v>
      </c>
      <c r="F3139" s="5" t="s">
        <v>248</v>
      </c>
      <c r="G3139" s="5" t="s">
        <v>266</v>
      </c>
      <c r="H3139" s="6" t="s">
        <v>1733</v>
      </c>
      <c r="I3139" s="7">
        <f>2238</f>
        <v>2238</v>
      </c>
      <c r="J3139" s="5" t="s">
        <v>262</v>
      </c>
      <c r="K3139" s="8">
        <f>1</f>
        <v>1</v>
      </c>
      <c r="L3139" s="6" t="s">
        <v>242</v>
      </c>
      <c r="M3139" s="5" t="s">
        <v>267</v>
      </c>
      <c r="N3139" s="5" t="s">
        <v>265</v>
      </c>
      <c r="O3139" s="5" t="s">
        <v>238</v>
      </c>
      <c r="P3139" s="5" t="s">
        <v>238</v>
      </c>
      <c r="Q3139" s="5" t="s">
        <v>268</v>
      </c>
      <c r="R3139" s="5" t="s">
        <v>270</v>
      </c>
      <c r="S3139" s="5" t="s">
        <v>238</v>
      </c>
      <c r="V3139" s="5" t="s">
        <v>238</v>
      </c>
      <c r="X3139" s="6" t="s">
        <v>238</v>
      </c>
      <c r="AA3139" s="6" t="s">
        <v>243</v>
      </c>
      <c r="AB3139" s="5" t="s">
        <v>238</v>
      </c>
      <c r="AC3139" s="5" t="s">
        <v>244</v>
      </c>
      <c r="AD3139" s="5" t="s">
        <v>245</v>
      </c>
      <c r="AT3139" s="5" t="s">
        <v>246</v>
      </c>
      <c r="AU3139" s="5" t="s">
        <v>238</v>
      </c>
      <c r="AV3139" s="5" t="s">
        <v>247</v>
      </c>
      <c r="AW3139" s="5" t="s">
        <v>238</v>
      </c>
      <c r="AX3139" s="5" t="s">
        <v>249</v>
      </c>
      <c r="AY3139" s="5" t="s">
        <v>238</v>
      </c>
      <c r="BA3139" s="5" t="s">
        <v>238</v>
      </c>
      <c r="BC3139" s="5" t="s">
        <v>250</v>
      </c>
      <c r="BD3139" s="6" t="s">
        <v>243</v>
      </c>
      <c r="BE3139" s="5" t="s">
        <v>251</v>
      </c>
      <c r="BF3139" s="5" t="s">
        <v>252</v>
      </c>
      <c r="BG3139" s="5" t="s">
        <v>238</v>
      </c>
      <c r="BH3139" s="7">
        <f>0</f>
        <v>0</v>
      </c>
      <c r="BI3139" s="8">
        <f>0</f>
        <v>0</v>
      </c>
      <c r="BJ3139" s="5" t="s">
        <v>253</v>
      </c>
      <c r="BK3139" s="5" t="s">
        <v>254</v>
      </c>
      <c r="BY3139" s="5" t="s">
        <v>238</v>
      </c>
      <c r="BZ3139" s="5" t="s">
        <v>238</v>
      </c>
      <c r="CD3139" s="5" t="s">
        <v>273</v>
      </c>
      <c r="CE3139" s="5" t="s">
        <v>256</v>
      </c>
      <c r="CF3139" s="5" t="s">
        <v>238</v>
      </c>
      <c r="CI3139" s="6" t="s">
        <v>257</v>
      </c>
      <c r="CJ3139" s="5" t="s">
        <v>238</v>
      </c>
      <c r="CK3139" s="5" t="s">
        <v>258</v>
      </c>
      <c r="CL3139" s="5" t="s">
        <v>238</v>
      </c>
      <c r="CM3139" s="5" t="s">
        <v>238</v>
      </c>
      <c r="CN3139" s="5">
        <v>0</v>
      </c>
      <c r="CO3139" s="5" t="s">
        <v>259</v>
      </c>
      <c r="CP3139" s="5" t="s">
        <v>260</v>
      </c>
      <c r="CQ3139" s="5" t="s">
        <v>260</v>
      </c>
      <c r="CR3139" s="5" t="s">
        <v>261</v>
      </c>
      <c r="CU3139" s="8">
        <f>1</f>
        <v>1</v>
      </c>
      <c r="CV3139" s="8">
        <f>0</f>
        <v>0</v>
      </c>
      <c r="CX3139" s="8">
        <f>0</f>
        <v>0</v>
      </c>
      <c r="CY3139" s="8">
        <f>1</f>
        <v>1</v>
      </c>
      <c r="DA3139" s="5" t="s">
        <v>274</v>
      </c>
      <c r="DB3139" s="5" t="s">
        <v>238</v>
      </c>
      <c r="DD3139" s="5" t="s">
        <v>274</v>
      </c>
      <c r="DE3139" s="8">
        <f>2238</f>
        <v>2238</v>
      </c>
      <c r="DG3139" s="5" t="s">
        <v>238</v>
      </c>
      <c r="DH3139" s="5" t="s">
        <v>238</v>
      </c>
      <c r="DI3139" s="5" t="s">
        <v>238</v>
      </c>
      <c r="DJ3139" s="5" t="s">
        <v>238</v>
      </c>
      <c r="DN3139" s="5" t="s">
        <v>238</v>
      </c>
      <c r="DO3139" s="5" t="s">
        <v>238</v>
      </c>
      <c r="DP3139" s="5" t="s">
        <v>238</v>
      </c>
      <c r="DQ3139" s="5" t="s">
        <v>238</v>
      </c>
      <c r="DT3139" s="5" t="s">
        <v>275</v>
      </c>
      <c r="DU3139" s="5" t="s">
        <v>1734</v>
      </c>
      <c r="HM3139" s="5" t="s">
        <v>264</v>
      </c>
    </row>
    <row r="3140" spans="1:221" x14ac:dyDescent="0.4">
      <c r="A3140" s="5">
        <v>4844</v>
      </c>
      <c r="B3140" s="5">
        <v>1</v>
      </c>
      <c r="C3140" s="5">
        <v>1</v>
      </c>
      <c r="D3140" s="5" t="s">
        <v>269</v>
      </c>
      <c r="E3140" s="5" t="s">
        <v>271</v>
      </c>
      <c r="F3140" s="5" t="s">
        <v>248</v>
      </c>
      <c r="G3140" s="5" t="s">
        <v>266</v>
      </c>
      <c r="H3140" s="6" t="s">
        <v>1725</v>
      </c>
      <c r="I3140" s="7">
        <f>916</f>
        <v>916</v>
      </c>
      <c r="J3140" s="5" t="s">
        <v>262</v>
      </c>
      <c r="K3140" s="8">
        <f>1</f>
        <v>1</v>
      </c>
      <c r="L3140" s="6" t="s">
        <v>242</v>
      </c>
      <c r="M3140" s="5" t="s">
        <v>267</v>
      </c>
      <c r="N3140" s="5" t="s">
        <v>265</v>
      </c>
      <c r="O3140" s="5" t="s">
        <v>238</v>
      </c>
      <c r="P3140" s="5" t="s">
        <v>238</v>
      </c>
      <c r="Q3140" s="5" t="s">
        <v>268</v>
      </c>
      <c r="R3140" s="5" t="s">
        <v>270</v>
      </c>
      <c r="S3140" s="5" t="s">
        <v>238</v>
      </c>
      <c r="V3140" s="5" t="s">
        <v>238</v>
      </c>
      <c r="X3140" s="6" t="s">
        <v>238</v>
      </c>
      <c r="AA3140" s="6" t="s">
        <v>243</v>
      </c>
      <c r="AB3140" s="5" t="s">
        <v>238</v>
      </c>
      <c r="AC3140" s="5" t="s">
        <v>244</v>
      </c>
      <c r="AD3140" s="5" t="s">
        <v>245</v>
      </c>
      <c r="AT3140" s="5" t="s">
        <v>246</v>
      </c>
      <c r="AU3140" s="5" t="s">
        <v>238</v>
      </c>
      <c r="AV3140" s="5" t="s">
        <v>247</v>
      </c>
      <c r="AW3140" s="5" t="s">
        <v>238</v>
      </c>
      <c r="AX3140" s="5" t="s">
        <v>249</v>
      </c>
      <c r="AY3140" s="5" t="s">
        <v>238</v>
      </c>
      <c r="BA3140" s="5" t="s">
        <v>238</v>
      </c>
      <c r="BC3140" s="5" t="s">
        <v>250</v>
      </c>
      <c r="BD3140" s="6" t="s">
        <v>243</v>
      </c>
      <c r="BE3140" s="5" t="s">
        <v>251</v>
      </c>
      <c r="BF3140" s="5" t="s">
        <v>252</v>
      </c>
      <c r="BG3140" s="5" t="s">
        <v>238</v>
      </c>
      <c r="BH3140" s="7">
        <f>0</f>
        <v>0</v>
      </c>
      <c r="BI3140" s="8">
        <f>0</f>
        <v>0</v>
      </c>
      <c r="BJ3140" s="5" t="s">
        <v>253</v>
      </c>
      <c r="BK3140" s="5" t="s">
        <v>254</v>
      </c>
      <c r="BY3140" s="5" t="s">
        <v>238</v>
      </c>
      <c r="BZ3140" s="5" t="s">
        <v>238</v>
      </c>
      <c r="CD3140" s="5" t="s">
        <v>273</v>
      </c>
      <c r="CE3140" s="5" t="s">
        <v>256</v>
      </c>
      <c r="CF3140" s="5" t="s">
        <v>238</v>
      </c>
      <c r="CI3140" s="6" t="s">
        <v>257</v>
      </c>
      <c r="CJ3140" s="5" t="s">
        <v>238</v>
      </c>
      <c r="CK3140" s="5" t="s">
        <v>258</v>
      </c>
      <c r="CL3140" s="5" t="s">
        <v>238</v>
      </c>
      <c r="CM3140" s="5" t="s">
        <v>238</v>
      </c>
      <c r="CN3140" s="5">
        <v>0</v>
      </c>
      <c r="CO3140" s="5" t="s">
        <v>259</v>
      </c>
      <c r="CP3140" s="5" t="s">
        <v>260</v>
      </c>
      <c r="CQ3140" s="5" t="s">
        <v>260</v>
      </c>
      <c r="CR3140" s="5" t="s">
        <v>261</v>
      </c>
      <c r="CU3140" s="8">
        <f>1</f>
        <v>1</v>
      </c>
      <c r="CV3140" s="8">
        <f>0</f>
        <v>0</v>
      </c>
      <c r="CX3140" s="8">
        <f>0</f>
        <v>0</v>
      </c>
      <c r="CY3140" s="8">
        <f>1</f>
        <v>1</v>
      </c>
      <c r="DA3140" s="5" t="s">
        <v>274</v>
      </c>
      <c r="DB3140" s="5" t="s">
        <v>238</v>
      </c>
      <c r="DD3140" s="5" t="s">
        <v>274</v>
      </c>
      <c r="DE3140" s="8">
        <f>916</f>
        <v>916</v>
      </c>
      <c r="DG3140" s="5" t="s">
        <v>238</v>
      </c>
      <c r="DH3140" s="5" t="s">
        <v>238</v>
      </c>
      <c r="DI3140" s="5" t="s">
        <v>238</v>
      </c>
      <c r="DJ3140" s="5" t="s">
        <v>238</v>
      </c>
      <c r="DN3140" s="5" t="s">
        <v>238</v>
      </c>
      <c r="DO3140" s="5" t="s">
        <v>238</v>
      </c>
      <c r="DP3140" s="5" t="s">
        <v>238</v>
      </c>
      <c r="DQ3140" s="5" t="s">
        <v>238</v>
      </c>
      <c r="DT3140" s="5" t="s">
        <v>275</v>
      </c>
      <c r="DU3140" s="5" t="s">
        <v>1726</v>
      </c>
      <c r="HM3140" s="5" t="s">
        <v>264</v>
      </c>
    </row>
    <row r="3141" spans="1:221" x14ac:dyDescent="0.4">
      <c r="A3141" s="5">
        <v>4845</v>
      </c>
      <c r="B3141" s="5">
        <v>1</v>
      </c>
      <c r="C3141" s="5">
        <v>1</v>
      </c>
      <c r="D3141" s="5" t="s">
        <v>269</v>
      </c>
      <c r="E3141" s="5" t="s">
        <v>271</v>
      </c>
      <c r="F3141" s="5" t="s">
        <v>248</v>
      </c>
      <c r="G3141" s="5" t="s">
        <v>266</v>
      </c>
      <c r="H3141" s="6" t="s">
        <v>1709</v>
      </c>
      <c r="I3141" s="7">
        <f>749</f>
        <v>749</v>
      </c>
      <c r="J3141" s="5" t="s">
        <v>262</v>
      </c>
      <c r="K3141" s="8">
        <f>1</f>
        <v>1</v>
      </c>
      <c r="L3141" s="6" t="s">
        <v>242</v>
      </c>
      <c r="M3141" s="5" t="s">
        <v>267</v>
      </c>
      <c r="N3141" s="5" t="s">
        <v>265</v>
      </c>
      <c r="O3141" s="5" t="s">
        <v>238</v>
      </c>
      <c r="P3141" s="5" t="s">
        <v>238</v>
      </c>
      <c r="Q3141" s="5" t="s">
        <v>268</v>
      </c>
      <c r="R3141" s="5" t="s">
        <v>270</v>
      </c>
      <c r="S3141" s="5" t="s">
        <v>238</v>
      </c>
      <c r="V3141" s="5" t="s">
        <v>238</v>
      </c>
      <c r="X3141" s="6" t="s">
        <v>238</v>
      </c>
      <c r="AA3141" s="6" t="s">
        <v>243</v>
      </c>
      <c r="AB3141" s="5" t="s">
        <v>238</v>
      </c>
      <c r="AC3141" s="5" t="s">
        <v>244</v>
      </c>
      <c r="AD3141" s="5" t="s">
        <v>245</v>
      </c>
      <c r="AT3141" s="5" t="s">
        <v>246</v>
      </c>
      <c r="AU3141" s="5" t="s">
        <v>238</v>
      </c>
      <c r="AV3141" s="5" t="s">
        <v>247</v>
      </c>
      <c r="AW3141" s="5" t="s">
        <v>238</v>
      </c>
      <c r="AX3141" s="5" t="s">
        <v>249</v>
      </c>
      <c r="AY3141" s="5" t="s">
        <v>238</v>
      </c>
      <c r="BA3141" s="5" t="s">
        <v>238</v>
      </c>
      <c r="BC3141" s="5" t="s">
        <v>250</v>
      </c>
      <c r="BD3141" s="6" t="s">
        <v>243</v>
      </c>
      <c r="BE3141" s="5" t="s">
        <v>251</v>
      </c>
      <c r="BF3141" s="5" t="s">
        <v>252</v>
      </c>
      <c r="BG3141" s="5" t="s">
        <v>238</v>
      </c>
      <c r="BH3141" s="7">
        <f>0</f>
        <v>0</v>
      </c>
      <c r="BI3141" s="8">
        <f>0</f>
        <v>0</v>
      </c>
      <c r="BJ3141" s="5" t="s">
        <v>253</v>
      </c>
      <c r="BK3141" s="5" t="s">
        <v>254</v>
      </c>
      <c r="BY3141" s="5" t="s">
        <v>238</v>
      </c>
      <c r="BZ3141" s="5" t="s">
        <v>238</v>
      </c>
      <c r="CD3141" s="5" t="s">
        <v>273</v>
      </c>
      <c r="CE3141" s="5" t="s">
        <v>256</v>
      </c>
      <c r="CF3141" s="5" t="s">
        <v>238</v>
      </c>
      <c r="CI3141" s="6" t="s">
        <v>257</v>
      </c>
      <c r="CJ3141" s="5" t="s">
        <v>238</v>
      </c>
      <c r="CK3141" s="5" t="s">
        <v>258</v>
      </c>
      <c r="CL3141" s="5" t="s">
        <v>238</v>
      </c>
      <c r="CM3141" s="5" t="s">
        <v>238</v>
      </c>
      <c r="CN3141" s="5">
        <v>0</v>
      </c>
      <c r="CO3141" s="5" t="s">
        <v>259</v>
      </c>
      <c r="CP3141" s="5" t="s">
        <v>260</v>
      </c>
      <c r="CQ3141" s="5" t="s">
        <v>260</v>
      </c>
      <c r="CR3141" s="5" t="s">
        <v>261</v>
      </c>
      <c r="CU3141" s="8">
        <f>1</f>
        <v>1</v>
      </c>
      <c r="CV3141" s="8">
        <f>0</f>
        <v>0</v>
      </c>
      <c r="CX3141" s="8">
        <f>0</f>
        <v>0</v>
      </c>
      <c r="CY3141" s="8">
        <f>1</f>
        <v>1</v>
      </c>
      <c r="DA3141" s="5" t="s">
        <v>274</v>
      </c>
      <c r="DB3141" s="5" t="s">
        <v>238</v>
      </c>
      <c r="DD3141" s="5" t="s">
        <v>274</v>
      </c>
      <c r="DE3141" s="8">
        <f>749</f>
        <v>749</v>
      </c>
      <c r="DG3141" s="5" t="s">
        <v>238</v>
      </c>
      <c r="DH3141" s="5" t="s">
        <v>238</v>
      </c>
      <c r="DI3141" s="5" t="s">
        <v>238</v>
      </c>
      <c r="DJ3141" s="5" t="s">
        <v>238</v>
      </c>
      <c r="DN3141" s="5" t="s">
        <v>238</v>
      </c>
      <c r="DO3141" s="5" t="s">
        <v>238</v>
      </c>
      <c r="DP3141" s="5" t="s">
        <v>238</v>
      </c>
      <c r="DQ3141" s="5" t="s">
        <v>238</v>
      </c>
      <c r="DT3141" s="5" t="s">
        <v>275</v>
      </c>
      <c r="DU3141" s="5" t="s">
        <v>1710</v>
      </c>
      <c r="HM3141" s="5" t="s">
        <v>264</v>
      </c>
    </row>
    <row r="3142" spans="1:221" x14ac:dyDescent="0.4">
      <c r="A3142" s="5">
        <v>4846</v>
      </c>
      <c r="B3142" s="5">
        <v>1</v>
      </c>
      <c r="C3142" s="5">
        <v>1</v>
      </c>
      <c r="D3142" s="5" t="s">
        <v>269</v>
      </c>
      <c r="E3142" s="5" t="s">
        <v>271</v>
      </c>
      <c r="F3142" s="5" t="s">
        <v>248</v>
      </c>
      <c r="G3142" s="5" t="s">
        <v>266</v>
      </c>
      <c r="H3142" s="6" t="s">
        <v>1701</v>
      </c>
      <c r="I3142" s="7">
        <f>483</f>
        <v>483</v>
      </c>
      <c r="J3142" s="5" t="s">
        <v>262</v>
      </c>
      <c r="K3142" s="8">
        <f>1</f>
        <v>1</v>
      </c>
      <c r="L3142" s="6" t="s">
        <v>242</v>
      </c>
      <c r="M3142" s="5" t="s">
        <v>267</v>
      </c>
      <c r="N3142" s="5" t="s">
        <v>265</v>
      </c>
      <c r="O3142" s="5" t="s">
        <v>238</v>
      </c>
      <c r="P3142" s="5" t="s">
        <v>238</v>
      </c>
      <c r="Q3142" s="5" t="s">
        <v>268</v>
      </c>
      <c r="R3142" s="5" t="s">
        <v>270</v>
      </c>
      <c r="S3142" s="5" t="s">
        <v>238</v>
      </c>
      <c r="V3142" s="5" t="s">
        <v>238</v>
      </c>
      <c r="X3142" s="6" t="s">
        <v>238</v>
      </c>
      <c r="AA3142" s="6" t="s">
        <v>243</v>
      </c>
      <c r="AB3142" s="5" t="s">
        <v>238</v>
      </c>
      <c r="AC3142" s="5" t="s">
        <v>244</v>
      </c>
      <c r="AD3142" s="5" t="s">
        <v>245</v>
      </c>
      <c r="AT3142" s="5" t="s">
        <v>246</v>
      </c>
      <c r="AU3142" s="5" t="s">
        <v>238</v>
      </c>
      <c r="AV3142" s="5" t="s">
        <v>247</v>
      </c>
      <c r="AW3142" s="5" t="s">
        <v>238</v>
      </c>
      <c r="AX3142" s="5" t="s">
        <v>249</v>
      </c>
      <c r="AY3142" s="5" t="s">
        <v>238</v>
      </c>
      <c r="BA3142" s="5" t="s">
        <v>238</v>
      </c>
      <c r="BC3142" s="5" t="s">
        <v>250</v>
      </c>
      <c r="BD3142" s="6" t="s">
        <v>243</v>
      </c>
      <c r="BE3142" s="5" t="s">
        <v>251</v>
      </c>
      <c r="BF3142" s="5" t="s">
        <v>252</v>
      </c>
      <c r="BG3142" s="5" t="s">
        <v>238</v>
      </c>
      <c r="BH3142" s="7">
        <f>0</f>
        <v>0</v>
      </c>
      <c r="BI3142" s="8">
        <f>0</f>
        <v>0</v>
      </c>
      <c r="BJ3142" s="5" t="s">
        <v>253</v>
      </c>
      <c r="BK3142" s="5" t="s">
        <v>254</v>
      </c>
      <c r="BY3142" s="5" t="s">
        <v>238</v>
      </c>
      <c r="BZ3142" s="5" t="s">
        <v>238</v>
      </c>
      <c r="CD3142" s="5" t="s">
        <v>273</v>
      </c>
      <c r="CE3142" s="5" t="s">
        <v>256</v>
      </c>
      <c r="CF3142" s="5" t="s">
        <v>238</v>
      </c>
      <c r="CI3142" s="6" t="s">
        <v>257</v>
      </c>
      <c r="CJ3142" s="5" t="s">
        <v>238</v>
      </c>
      <c r="CK3142" s="5" t="s">
        <v>258</v>
      </c>
      <c r="CL3142" s="5" t="s">
        <v>238</v>
      </c>
      <c r="CM3142" s="5" t="s">
        <v>238</v>
      </c>
      <c r="CN3142" s="5">
        <v>0</v>
      </c>
      <c r="CO3142" s="5" t="s">
        <v>259</v>
      </c>
      <c r="CP3142" s="5" t="s">
        <v>260</v>
      </c>
      <c r="CQ3142" s="5" t="s">
        <v>260</v>
      </c>
      <c r="CR3142" s="5" t="s">
        <v>261</v>
      </c>
      <c r="CU3142" s="8">
        <f>1</f>
        <v>1</v>
      </c>
      <c r="CV3142" s="8">
        <f>0</f>
        <v>0</v>
      </c>
      <c r="CX3142" s="8">
        <f>0</f>
        <v>0</v>
      </c>
      <c r="CY3142" s="8">
        <f>1</f>
        <v>1</v>
      </c>
      <c r="DA3142" s="5" t="s">
        <v>274</v>
      </c>
      <c r="DB3142" s="5" t="s">
        <v>238</v>
      </c>
      <c r="DD3142" s="5" t="s">
        <v>274</v>
      </c>
      <c r="DE3142" s="8">
        <f>483</f>
        <v>483</v>
      </c>
      <c r="DG3142" s="5" t="s">
        <v>238</v>
      </c>
      <c r="DH3142" s="5" t="s">
        <v>238</v>
      </c>
      <c r="DI3142" s="5" t="s">
        <v>238</v>
      </c>
      <c r="DJ3142" s="5" t="s">
        <v>238</v>
      </c>
      <c r="DN3142" s="5" t="s">
        <v>238</v>
      </c>
      <c r="DO3142" s="5" t="s">
        <v>238</v>
      </c>
      <c r="DP3142" s="5" t="s">
        <v>238</v>
      </c>
      <c r="DQ3142" s="5" t="s">
        <v>238</v>
      </c>
      <c r="DT3142" s="5" t="s">
        <v>275</v>
      </c>
      <c r="DU3142" s="5" t="s">
        <v>1702</v>
      </c>
      <c r="HM3142" s="5" t="s">
        <v>264</v>
      </c>
    </row>
    <row r="3143" spans="1:221" x14ac:dyDescent="0.4">
      <c r="A3143" s="5">
        <v>4847</v>
      </c>
      <c r="B3143" s="5">
        <v>1</v>
      </c>
      <c r="C3143" s="5">
        <v>1</v>
      </c>
      <c r="D3143" s="5" t="s">
        <v>269</v>
      </c>
      <c r="E3143" s="5" t="s">
        <v>271</v>
      </c>
      <c r="F3143" s="5" t="s">
        <v>248</v>
      </c>
      <c r="G3143" s="5" t="s">
        <v>266</v>
      </c>
      <c r="H3143" s="6" t="s">
        <v>1691</v>
      </c>
      <c r="I3143" s="7">
        <f>114</f>
        <v>114</v>
      </c>
      <c r="J3143" s="5" t="s">
        <v>262</v>
      </c>
      <c r="K3143" s="8">
        <f>1</f>
        <v>1</v>
      </c>
      <c r="L3143" s="6" t="s">
        <v>242</v>
      </c>
      <c r="M3143" s="5" t="s">
        <v>267</v>
      </c>
      <c r="N3143" s="5" t="s">
        <v>265</v>
      </c>
      <c r="O3143" s="5" t="s">
        <v>238</v>
      </c>
      <c r="P3143" s="5" t="s">
        <v>238</v>
      </c>
      <c r="Q3143" s="5" t="s">
        <v>268</v>
      </c>
      <c r="R3143" s="5" t="s">
        <v>270</v>
      </c>
      <c r="S3143" s="5" t="s">
        <v>238</v>
      </c>
      <c r="V3143" s="5" t="s">
        <v>238</v>
      </c>
      <c r="X3143" s="6" t="s">
        <v>238</v>
      </c>
      <c r="AA3143" s="6" t="s">
        <v>243</v>
      </c>
      <c r="AB3143" s="5" t="s">
        <v>238</v>
      </c>
      <c r="AC3143" s="5" t="s">
        <v>244</v>
      </c>
      <c r="AD3143" s="5" t="s">
        <v>245</v>
      </c>
      <c r="AT3143" s="5" t="s">
        <v>246</v>
      </c>
      <c r="AU3143" s="5" t="s">
        <v>238</v>
      </c>
      <c r="AV3143" s="5" t="s">
        <v>247</v>
      </c>
      <c r="AW3143" s="5" t="s">
        <v>238</v>
      </c>
      <c r="AX3143" s="5" t="s">
        <v>249</v>
      </c>
      <c r="AY3143" s="5" t="s">
        <v>238</v>
      </c>
      <c r="BA3143" s="5" t="s">
        <v>238</v>
      </c>
      <c r="BC3143" s="5" t="s">
        <v>250</v>
      </c>
      <c r="BD3143" s="6" t="s">
        <v>243</v>
      </c>
      <c r="BE3143" s="5" t="s">
        <v>251</v>
      </c>
      <c r="BF3143" s="5" t="s">
        <v>252</v>
      </c>
      <c r="BG3143" s="5" t="s">
        <v>238</v>
      </c>
      <c r="BH3143" s="7">
        <f>0</f>
        <v>0</v>
      </c>
      <c r="BI3143" s="8">
        <f>0</f>
        <v>0</v>
      </c>
      <c r="BJ3143" s="5" t="s">
        <v>253</v>
      </c>
      <c r="BK3143" s="5" t="s">
        <v>254</v>
      </c>
      <c r="BY3143" s="5" t="s">
        <v>238</v>
      </c>
      <c r="BZ3143" s="5" t="s">
        <v>238</v>
      </c>
      <c r="CD3143" s="5" t="s">
        <v>273</v>
      </c>
      <c r="CE3143" s="5" t="s">
        <v>256</v>
      </c>
      <c r="CF3143" s="5" t="s">
        <v>238</v>
      </c>
      <c r="CI3143" s="6" t="s">
        <v>257</v>
      </c>
      <c r="CJ3143" s="5" t="s">
        <v>238</v>
      </c>
      <c r="CK3143" s="5" t="s">
        <v>258</v>
      </c>
      <c r="CL3143" s="5" t="s">
        <v>238</v>
      </c>
      <c r="CM3143" s="5" t="s">
        <v>238</v>
      </c>
      <c r="CN3143" s="5">
        <v>0</v>
      </c>
      <c r="CO3143" s="5" t="s">
        <v>259</v>
      </c>
      <c r="CP3143" s="5" t="s">
        <v>260</v>
      </c>
      <c r="CQ3143" s="5" t="s">
        <v>260</v>
      </c>
      <c r="CR3143" s="5" t="s">
        <v>261</v>
      </c>
      <c r="CU3143" s="8">
        <f>1</f>
        <v>1</v>
      </c>
      <c r="CV3143" s="8">
        <f>0</f>
        <v>0</v>
      </c>
      <c r="CX3143" s="8">
        <f>0</f>
        <v>0</v>
      </c>
      <c r="CY3143" s="8">
        <f>1</f>
        <v>1</v>
      </c>
      <c r="DA3143" s="5" t="s">
        <v>274</v>
      </c>
      <c r="DB3143" s="5" t="s">
        <v>238</v>
      </c>
      <c r="DD3143" s="5" t="s">
        <v>274</v>
      </c>
      <c r="DE3143" s="8">
        <f>114</f>
        <v>114</v>
      </c>
      <c r="DG3143" s="5" t="s">
        <v>238</v>
      </c>
      <c r="DH3143" s="5" t="s">
        <v>238</v>
      </c>
      <c r="DI3143" s="5" t="s">
        <v>238</v>
      </c>
      <c r="DJ3143" s="5" t="s">
        <v>238</v>
      </c>
      <c r="DN3143" s="5" t="s">
        <v>238</v>
      </c>
      <c r="DO3143" s="5" t="s">
        <v>238</v>
      </c>
      <c r="DP3143" s="5" t="s">
        <v>238</v>
      </c>
      <c r="DQ3143" s="5" t="s">
        <v>238</v>
      </c>
      <c r="DT3143" s="5" t="s">
        <v>275</v>
      </c>
      <c r="DU3143" s="5" t="s">
        <v>1692</v>
      </c>
      <c r="HM3143" s="5" t="s">
        <v>264</v>
      </c>
    </row>
    <row r="3144" spans="1:221" x14ac:dyDescent="0.4">
      <c r="A3144" s="5">
        <v>4848</v>
      </c>
      <c r="B3144" s="5">
        <v>1</v>
      </c>
      <c r="C3144" s="5">
        <v>1</v>
      </c>
      <c r="D3144" s="5" t="s">
        <v>269</v>
      </c>
      <c r="E3144" s="5" t="s">
        <v>271</v>
      </c>
      <c r="F3144" s="5" t="s">
        <v>248</v>
      </c>
      <c r="G3144" s="5" t="s">
        <v>266</v>
      </c>
      <c r="H3144" s="6" t="s">
        <v>1676</v>
      </c>
      <c r="I3144" s="7">
        <f>1228</f>
        <v>1228</v>
      </c>
      <c r="J3144" s="5" t="s">
        <v>262</v>
      </c>
      <c r="K3144" s="8">
        <f>1</f>
        <v>1</v>
      </c>
      <c r="L3144" s="6" t="s">
        <v>242</v>
      </c>
      <c r="M3144" s="5" t="s">
        <v>267</v>
      </c>
      <c r="N3144" s="5" t="s">
        <v>265</v>
      </c>
      <c r="O3144" s="5" t="s">
        <v>238</v>
      </c>
      <c r="P3144" s="5" t="s">
        <v>238</v>
      </c>
      <c r="Q3144" s="5" t="s">
        <v>268</v>
      </c>
      <c r="R3144" s="5" t="s">
        <v>270</v>
      </c>
      <c r="S3144" s="5" t="s">
        <v>238</v>
      </c>
      <c r="V3144" s="5" t="s">
        <v>238</v>
      </c>
      <c r="X3144" s="6" t="s">
        <v>238</v>
      </c>
      <c r="AA3144" s="6" t="s">
        <v>243</v>
      </c>
      <c r="AB3144" s="5" t="s">
        <v>238</v>
      </c>
      <c r="AC3144" s="5" t="s">
        <v>244</v>
      </c>
      <c r="AD3144" s="5" t="s">
        <v>245</v>
      </c>
      <c r="AT3144" s="5" t="s">
        <v>246</v>
      </c>
      <c r="AU3144" s="5" t="s">
        <v>238</v>
      </c>
      <c r="AV3144" s="5" t="s">
        <v>247</v>
      </c>
      <c r="AW3144" s="5" t="s">
        <v>238</v>
      </c>
      <c r="AX3144" s="5" t="s">
        <v>249</v>
      </c>
      <c r="AY3144" s="5" t="s">
        <v>238</v>
      </c>
      <c r="BA3144" s="5" t="s">
        <v>238</v>
      </c>
      <c r="BC3144" s="5" t="s">
        <v>250</v>
      </c>
      <c r="BD3144" s="6" t="s">
        <v>243</v>
      </c>
      <c r="BE3144" s="5" t="s">
        <v>251</v>
      </c>
      <c r="BF3144" s="5" t="s">
        <v>252</v>
      </c>
      <c r="BG3144" s="5" t="s">
        <v>238</v>
      </c>
      <c r="BH3144" s="7">
        <f>0</f>
        <v>0</v>
      </c>
      <c r="BI3144" s="8">
        <f>0</f>
        <v>0</v>
      </c>
      <c r="BJ3144" s="5" t="s">
        <v>253</v>
      </c>
      <c r="BK3144" s="5" t="s">
        <v>254</v>
      </c>
      <c r="BY3144" s="5" t="s">
        <v>238</v>
      </c>
      <c r="BZ3144" s="5" t="s">
        <v>238</v>
      </c>
      <c r="CD3144" s="5" t="s">
        <v>273</v>
      </c>
      <c r="CE3144" s="5" t="s">
        <v>256</v>
      </c>
      <c r="CF3144" s="5" t="s">
        <v>238</v>
      </c>
      <c r="CI3144" s="6" t="s">
        <v>257</v>
      </c>
      <c r="CJ3144" s="5" t="s">
        <v>238</v>
      </c>
      <c r="CK3144" s="5" t="s">
        <v>258</v>
      </c>
      <c r="CL3144" s="5" t="s">
        <v>238</v>
      </c>
      <c r="CM3144" s="5" t="s">
        <v>238</v>
      </c>
      <c r="CN3144" s="5">
        <v>0</v>
      </c>
      <c r="CO3144" s="5" t="s">
        <v>259</v>
      </c>
      <c r="CP3144" s="5" t="s">
        <v>260</v>
      </c>
      <c r="CQ3144" s="5" t="s">
        <v>260</v>
      </c>
      <c r="CR3144" s="5" t="s">
        <v>261</v>
      </c>
      <c r="CU3144" s="8">
        <f>1</f>
        <v>1</v>
      </c>
      <c r="CV3144" s="8">
        <f>0</f>
        <v>0</v>
      </c>
      <c r="CX3144" s="8">
        <f>0</f>
        <v>0</v>
      </c>
      <c r="CY3144" s="8">
        <f>1</f>
        <v>1</v>
      </c>
      <c r="DA3144" s="5" t="s">
        <v>274</v>
      </c>
      <c r="DB3144" s="5" t="s">
        <v>238</v>
      </c>
      <c r="DD3144" s="5" t="s">
        <v>274</v>
      </c>
      <c r="DE3144" s="8">
        <f>1228</f>
        <v>1228</v>
      </c>
      <c r="DG3144" s="5" t="s">
        <v>238</v>
      </c>
      <c r="DH3144" s="5" t="s">
        <v>238</v>
      </c>
      <c r="DI3144" s="5" t="s">
        <v>238</v>
      </c>
      <c r="DJ3144" s="5" t="s">
        <v>238</v>
      </c>
      <c r="DN3144" s="5" t="s">
        <v>238</v>
      </c>
      <c r="DO3144" s="5" t="s">
        <v>238</v>
      </c>
      <c r="DP3144" s="5" t="s">
        <v>238</v>
      </c>
      <c r="DQ3144" s="5" t="s">
        <v>238</v>
      </c>
      <c r="DT3144" s="5" t="s">
        <v>275</v>
      </c>
      <c r="DU3144" s="5" t="s">
        <v>1677</v>
      </c>
      <c r="HM3144" s="5" t="s">
        <v>264</v>
      </c>
    </row>
    <row r="3145" spans="1:221" x14ac:dyDescent="0.4">
      <c r="A3145" s="5">
        <v>4849</v>
      </c>
      <c r="B3145" s="5">
        <v>1</v>
      </c>
      <c r="C3145" s="5">
        <v>1</v>
      </c>
      <c r="D3145" s="5" t="s">
        <v>269</v>
      </c>
      <c r="E3145" s="5" t="s">
        <v>271</v>
      </c>
      <c r="F3145" s="5" t="s">
        <v>248</v>
      </c>
      <c r="G3145" s="5" t="s">
        <v>266</v>
      </c>
      <c r="H3145" s="6" t="s">
        <v>1813</v>
      </c>
      <c r="I3145" s="7">
        <f>473</f>
        <v>473</v>
      </c>
      <c r="J3145" s="5" t="s">
        <v>262</v>
      </c>
      <c r="K3145" s="8">
        <f>1</f>
        <v>1</v>
      </c>
      <c r="L3145" s="6" t="s">
        <v>242</v>
      </c>
      <c r="M3145" s="5" t="s">
        <v>267</v>
      </c>
      <c r="N3145" s="5" t="s">
        <v>265</v>
      </c>
      <c r="O3145" s="5" t="s">
        <v>238</v>
      </c>
      <c r="P3145" s="5" t="s">
        <v>238</v>
      </c>
      <c r="Q3145" s="5" t="s">
        <v>268</v>
      </c>
      <c r="R3145" s="5" t="s">
        <v>270</v>
      </c>
      <c r="S3145" s="5" t="s">
        <v>238</v>
      </c>
      <c r="V3145" s="5" t="s">
        <v>238</v>
      </c>
      <c r="X3145" s="6" t="s">
        <v>238</v>
      </c>
      <c r="AA3145" s="6" t="s">
        <v>243</v>
      </c>
      <c r="AB3145" s="5" t="s">
        <v>238</v>
      </c>
      <c r="AC3145" s="5" t="s">
        <v>244</v>
      </c>
      <c r="AD3145" s="5" t="s">
        <v>245</v>
      </c>
      <c r="AT3145" s="5" t="s">
        <v>246</v>
      </c>
      <c r="AU3145" s="5" t="s">
        <v>238</v>
      </c>
      <c r="AV3145" s="5" t="s">
        <v>247</v>
      </c>
      <c r="AW3145" s="5" t="s">
        <v>238</v>
      </c>
      <c r="AX3145" s="5" t="s">
        <v>249</v>
      </c>
      <c r="AY3145" s="5" t="s">
        <v>238</v>
      </c>
      <c r="BA3145" s="5" t="s">
        <v>238</v>
      </c>
      <c r="BC3145" s="5" t="s">
        <v>250</v>
      </c>
      <c r="BD3145" s="6" t="s">
        <v>243</v>
      </c>
      <c r="BE3145" s="5" t="s">
        <v>251</v>
      </c>
      <c r="BF3145" s="5" t="s">
        <v>252</v>
      </c>
      <c r="BG3145" s="5" t="s">
        <v>238</v>
      </c>
      <c r="BH3145" s="7">
        <f>0</f>
        <v>0</v>
      </c>
      <c r="BI3145" s="8">
        <f>0</f>
        <v>0</v>
      </c>
      <c r="BJ3145" s="5" t="s">
        <v>253</v>
      </c>
      <c r="BK3145" s="5" t="s">
        <v>254</v>
      </c>
      <c r="BY3145" s="5" t="s">
        <v>238</v>
      </c>
      <c r="BZ3145" s="5" t="s">
        <v>238</v>
      </c>
      <c r="CD3145" s="5" t="s">
        <v>273</v>
      </c>
      <c r="CE3145" s="5" t="s">
        <v>256</v>
      </c>
      <c r="CF3145" s="5" t="s">
        <v>238</v>
      </c>
      <c r="CI3145" s="6" t="s">
        <v>257</v>
      </c>
      <c r="CJ3145" s="5" t="s">
        <v>238</v>
      </c>
      <c r="CK3145" s="5" t="s">
        <v>258</v>
      </c>
      <c r="CL3145" s="5" t="s">
        <v>238</v>
      </c>
      <c r="CM3145" s="5" t="s">
        <v>238</v>
      </c>
      <c r="CN3145" s="5">
        <v>0</v>
      </c>
      <c r="CO3145" s="5" t="s">
        <v>259</v>
      </c>
      <c r="CP3145" s="5" t="s">
        <v>260</v>
      </c>
      <c r="CQ3145" s="5" t="s">
        <v>260</v>
      </c>
      <c r="CR3145" s="5" t="s">
        <v>261</v>
      </c>
      <c r="CU3145" s="8">
        <f>1</f>
        <v>1</v>
      </c>
      <c r="CV3145" s="8">
        <f>0</f>
        <v>0</v>
      </c>
      <c r="CX3145" s="8">
        <f>0</f>
        <v>0</v>
      </c>
      <c r="CY3145" s="8">
        <f>1</f>
        <v>1</v>
      </c>
      <c r="DA3145" s="5" t="s">
        <v>274</v>
      </c>
      <c r="DB3145" s="5" t="s">
        <v>238</v>
      </c>
      <c r="DD3145" s="5" t="s">
        <v>274</v>
      </c>
      <c r="DE3145" s="8">
        <f>473</f>
        <v>473</v>
      </c>
      <c r="DG3145" s="5" t="s">
        <v>238</v>
      </c>
      <c r="DH3145" s="5" t="s">
        <v>238</v>
      </c>
      <c r="DI3145" s="5" t="s">
        <v>238</v>
      </c>
      <c r="DJ3145" s="5" t="s">
        <v>238</v>
      </c>
      <c r="DN3145" s="5" t="s">
        <v>238</v>
      </c>
      <c r="DO3145" s="5" t="s">
        <v>238</v>
      </c>
      <c r="DP3145" s="5" t="s">
        <v>238</v>
      </c>
      <c r="DQ3145" s="5" t="s">
        <v>238</v>
      </c>
      <c r="DT3145" s="5" t="s">
        <v>275</v>
      </c>
      <c r="DU3145" s="5" t="s">
        <v>1814</v>
      </c>
      <c r="HM3145" s="5" t="s">
        <v>264</v>
      </c>
    </row>
    <row r="3146" spans="1:221" x14ac:dyDescent="0.4">
      <c r="A3146" s="5">
        <v>4850</v>
      </c>
      <c r="B3146" s="5">
        <v>1</v>
      </c>
      <c r="C3146" s="5">
        <v>1</v>
      </c>
      <c r="D3146" s="5" t="s">
        <v>269</v>
      </c>
      <c r="E3146" s="5" t="s">
        <v>271</v>
      </c>
      <c r="F3146" s="5" t="s">
        <v>248</v>
      </c>
      <c r="G3146" s="5" t="s">
        <v>266</v>
      </c>
      <c r="H3146" s="6" t="s">
        <v>1670</v>
      </c>
      <c r="I3146" s="7">
        <f>35</f>
        <v>35</v>
      </c>
      <c r="J3146" s="5" t="s">
        <v>262</v>
      </c>
      <c r="K3146" s="8">
        <f>1</f>
        <v>1</v>
      </c>
      <c r="L3146" s="6" t="s">
        <v>242</v>
      </c>
      <c r="M3146" s="5" t="s">
        <v>267</v>
      </c>
      <c r="N3146" s="5" t="s">
        <v>265</v>
      </c>
      <c r="O3146" s="5" t="s">
        <v>238</v>
      </c>
      <c r="P3146" s="5" t="s">
        <v>238</v>
      </c>
      <c r="Q3146" s="5" t="s">
        <v>268</v>
      </c>
      <c r="R3146" s="5" t="s">
        <v>270</v>
      </c>
      <c r="S3146" s="5" t="s">
        <v>238</v>
      </c>
      <c r="V3146" s="5" t="s">
        <v>238</v>
      </c>
      <c r="X3146" s="6" t="s">
        <v>238</v>
      </c>
      <c r="AA3146" s="6" t="s">
        <v>243</v>
      </c>
      <c r="AB3146" s="5" t="s">
        <v>238</v>
      </c>
      <c r="AC3146" s="5" t="s">
        <v>244</v>
      </c>
      <c r="AD3146" s="5" t="s">
        <v>245</v>
      </c>
      <c r="AT3146" s="5" t="s">
        <v>246</v>
      </c>
      <c r="AU3146" s="5" t="s">
        <v>238</v>
      </c>
      <c r="AV3146" s="5" t="s">
        <v>247</v>
      </c>
      <c r="AW3146" s="5" t="s">
        <v>238</v>
      </c>
      <c r="AX3146" s="5" t="s">
        <v>249</v>
      </c>
      <c r="AY3146" s="5" t="s">
        <v>238</v>
      </c>
      <c r="BA3146" s="5" t="s">
        <v>238</v>
      </c>
      <c r="BC3146" s="5" t="s">
        <v>250</v>
      </c>
      <c r="BD3146" s="6" t="s">
        <v>243</v>
      </c>
      <c r="BE3146" s="5" t="s">
        <v>251</v>
      </c>
      <c r="BF3146" s="5" t="s">
        <v>252</v>
      </c>
      <c r="BG3146" s="5" t="s">
        <v>238</v>
      </c>
      <c r="BH3146" s="7">
        <f>0</f>
        <v>0</v>
      </c>
      <c r="BI3146" s="8">
        <f>0</f>
        <v>0</v>
      </c>
      <c r="BJ3146" s="5" t="s">
        <v>253</v>
      </c>
      <c r="BK3146" s="5" t="s">
        <v>254</v>
      </c>
      <c r="BY3146" s="5" t="s">
        <v>238</v>
      </c>
      <c r="BZ3146" s="5" t="s">
        <v>238</v>
      </c>
      <c r="CD3146" s="5" t="s">
        <v>273</v>
      </c>
      <c r="CE3146" s="5" t="s">
        <v>256</v>
      </c>
      <c r="CF3146" s="5" t="s">
        <v>238</v>
      </c>
      <c r="CI3146" s="6" t="s">
        <v>257</v>
      </c>
      <c r="CJ3146" s="5" t="s">
        <v>238</v>
      </c>
      <c r="CK3146" s="5" t="s">
        <v>258</v>
      </c>
      <c r="CL3146" s="5" t="s">
        <v>238</v>
      </c>
      <c r="CM3146" s="5" t="s">
        <v>238</v>
      </c>
      <c r="CN3146" s="5">
        <v>0</v>
      </c>
      <c r="CO3146" s="5" t="s">
        <v>259</v>
      </c>
      <c r="CP3146" s="5" t="s">
        <v>260</v>
      </c>
      <c r="CQ3146" s="5" t="s">
        <v>260</v>
      </c>
      <c r="CR3146" s="5" t="s">
        <v>261</v>
      </c>
      <c r="CU3146" s="8">
        <f>1</f>
        <v>1</v>
      </c>
      <c r="CV3146" s="8">
        <f>0</f>
        <v>0</v>
      </c>
      <c r="CX3146" s="8">
        <f>0</f>
        <v>0</v>
      </c>
      <c r="CY3146" s="8">
        <f>1</f>
        <v>1</v>
      </c>
      <c r="DA3146" s="5" t="s">
        <v>274</v>
      </c>
      <c r="DB3146" s="5" t="s">
        <v>238</v>
      </c>
      <c r="DD3146" s="5" t="s">
        <v>274</v>
      </c>
      <c r="DE3146" s="8">
        <f>35</f>
        <v>35</v>
      </c>
      <c r="DG3146" s="5" t="s">
        <v>238</v>
      </c>
      <c r="DH3146" s="5" t="s">
        <v>238</v>
      </c>
      <c r="DI3146" s="5" t="s">
        <v>238</v>
      </c>
      <c r="DJ3146" s="5" t="s">
        <v>238</v>
      </c>
      <c r="DN3146" s="5" t="s">
        <v>238</v>
      </c>
      <c r="DO3146" s="5" t="s">
        <v>238</v>
      </c>
      <c r="DP3146" s="5" t="s">
        <v>238</v>
      </c>
      <c r="DQ3146" s="5" t="s">
        <v>238</v>
      </c>
      <c r="DT3146" s="5" t="s">
        <v>275</v>
      </c>
      <c r="DU3146" s="5" t="s">
        <v>1671</v>
      </c>
      <c r="HM3146" s="5" t="s">
        <v>264</v>
      </c>
    </row>
    <row r="3147" spans="1:221" x14ac:dyDescent="0.4">
      <c r="A3147" s="5">
        <v>4851</v>
      </c>
      <c r="B3147" s="5">
        <v>1</v>
      </c>
      <c r="C3147" s="5">
        <v>1</v>
      </c>
      <c r="D3147" s="5" t="s">
        <v>269</v>
      </c>
      <c r="E3147" s="5" t="s">
        <v>271</v>
      </c>
      <c r="F3147" s="5" t="s">
        <v>248</v>
      </c>
      <c r="G3147" s="5" t="s">
        <v>266</v>
      </c>
      <c r="H3147" s="6" t="s">
        <v>1659</v>
      </c>
      <c r="I3147" s="7">
        <f>454</f>
        <v>454</v>
      </c>
      <c r="J3147" s="5" t="s">
        <v>262</v>
      </c>
      <c r="K3147" s="8">
        <f>1</f>
        <v>1</v>
      </c>
      <c r="L3147" s="6" t="s">
        <v>242</v>
      </c>
      <c r="M3147" s="5" t="s">
        <v>267</v>
      </c>
      <c r="N3147" s="5" t="s">
        <v>265</v>
      </c>
      <c r="O3147" s="5" t="s">
        <v>238</v>
      </c>
      <c r="P3147" s="5" t="s">
        <v>238</v>
      </c>
      <c r="Q3147" s="5" t="s">
        <v>268</v>
      </c>
      <c r="R3147" s="5" t="s">
        <v>270</v>
      </c>
      <c r="S3147" s="5" t="s">
        <v>238</v>
      </c>
      <c r="V3147" s="5" t="s">
        <v>238</v>
      </c>
      <c r="X3147" s="6" t="s">
        <v>238</v>
      </c>
      <c r="AA3147" s="6" t="s">
        <v>243</v>
      </c>
      <c r="AB3147" s="5" t="s">
        <v>238</v>
      </c>
      <c r="AC3147" s="5" t="s">
        <v>244</v>
      </c>
      <c r="AD3147" s="5" t="s">
        <v>245</v>
      </c>
      <c r="AT3147" s="5" t="s">
        <v>246</v>
      </c>
      <c r="AU3147" s="5" t="s">
        <v>238</v>
      </c>
      <c r="AV3147" s="5" t="s">
        <v>247</v>
      </c>
      <c r="AW3147" s="5" t="s">
        <v>238</v>
      </c>
      <c r="AX3147" s="5" t="s">
        <v>249</v>
      </c>
      <c r="AY3147" s="5" t="s">
        <v>238</v>
      </c>
      <c r="BA3147" s="5" t="s">
        <v>238</v>
      </c>
      <c r="BC3147" s="5" t="s">
        <v>250</v>
      </c>
      <c r="BD3147" s="6" t="s">
        <v>243</v>
      </c>
      <c r="BE3147" s="5" t="s">
        <v>251</v>
      </c>
      <c r="BF3147" s="5" t="s">
        <v>252</v>
      </c>
      <c r="BG3147" s="5" t="s">
        <v>238</v>
      </c>
      <c r="BH3147" s="7">
        <f>0</f>
        <v>0</v>
      </c>
      <c r="BI3147" s="8">
        <f>0</f>
        <v>0</v>
      </c>
      <c r="BJ3147" s="5" t="s">
        <v>253</v>
      </c>
      <c r="BK3147" s="5" t="s">
        <v>254</v>
      </c>
      <c r="BY3147" s="5" t="s">
        <v>238</v>
      </c>
      <c r="BZ3147" s="5" t="s">
        <v>238</v>
      </c>
      <c r="CD3147" s="5" t="s">
        <v>273</v>
      </c>
      <c r="CE3147" s="5" t="s">
        <v>256</v>
      </c>
      <c r="CF3147" s="5" t="s">
        <v>238</v>
      </c>
      <c r="CI3147" s="6" t="s">
        <v>257</v>
      </c>
      <c r="CJ3147" s="5" t="s">
        <v>238</v>
      </c>
      <c r="CK3147" s="5" t="s">
        <v>258</v>
      </c>
      <c r="CL3147" s="5" t="s">
        <v>238</v>
      </c>
      <c r="CM3147" s="5" t="s">
        <v>238</v>
      </c>
      <c r="CN3147" s="5">
        <v>0</v>
      </c>
      <c r="CO3147" s="5" t="s">
        <v>259</v>
      </c>
      <c r="CP3147" s="5" t="s">
        <v>260</v>
      </c>
      <c r="CQ3147" s="5" t="s">
        <v>260</v>
      </c>
      <c r="CR3147" s="5" t="s">
        <v>261</v>
      </c>
      <c r="CU3147" s="8">
        <f>1</f>
        <v>1</v>
      </c>
      <c r="CV3147" s="8">
        <f>0</f>
        <v>0</v>
      </c>
      <c r="CX3147" s="8">
        <f>0</f>
        <v>0</v>
      </c>
      <c r="CY3147" s="8">
        <f>1</f>
        <v>1</v>
      </c>
      <c r="DA3147" s="5" t="s">
        <v>274</v>
      </c>
      <c r="DB3147" s="5" t="s">
        <v>238</v>
      </c>
      <c r="DD3147" s="5" t="s">
        <v>1660</v>
      </c>
      <c r="DE3147" s="8">
        <f>454</f>
        <v>454</v>
      </c>
      <c r="DG3147" s="5" t="s">
        <v>238</v>
      </c>
      <c r="DH3147" s="5" t="s">
        <v>238</v>
      </c>
      <c r="DI3147" s="5" t="s">
        <v>238</v>
      </c>
      <c r="DJ3147" s="5" t="s">
        <v>238</v>
      </c>
      <c r="DN3147" s="5" t="s">
        <v>238</v>
      </c>
      <c r="DO3147" s="5" t="s">
        <v>238</v>
      </c>
      <c r="DP3147" s="5" t="s">
        <v>238</v>
      </c>
      <c r="DQ3147" s="5" t="s">
        <v>238</v>
      </c>
      <c r="DT3147" s="5" t="s">
        <v>275</v>
      </c>
      <c r="DU3147" s="5" t="s">
        <v>1661</v>
      </c>
      <c r="HM3147" s="5" t="s">
        <v>264</v>
      </c>
    </row>
    <row r="3148" spans="1:221" x14ac:dyDescent="0.4">
      <c r="A3148" s="5">
        <v>4852</v>
      </c>
      <c r="B3148" s="5">
        <v>1</v>
      </c>
      <c r="C3148" s="5">
        <v>1</v>
      </c>
      <c r="D3148" s="5" t="s">
        <v>269</v>
      </c>
      <c r="E3148" s="5" t="s">
        <v>271</v>
      </c>
      <c r="F3148" s="5" t="s">
        <v>248</v>
      </c>
      <c r="G3148" s="5" t="s">
        <v>266</v>
      </c>
      <c r="H3148" s="6" t="s">
        <v>1653</v>
      </c>
      <c r="I3148" s="7">
        <f>496</f>
        <v>496</v>
      </c>
      <c r="J3148" s="5" t="s">
        <v>262</v>
      </c>
      <c r="K3148" s="8">
        <f>1</f>
        <v>1</v>
      </c>
      <c r="L3148" s="6" t="s">
        <v>242</v>
      </c>
      <c r="M3148" s="5" t="s">
        <v>267</v>
      </c>
      <c r="N3148" s="5" t="s">
        <v>265</v>
      </c>
      <c r="O3148" s="5" t="s">
        <v>238</v>
      </c>
      <c r="P3148" s="5" t="s">
        <v>238</v>
      </c>
      <c r="Q3148" s="5" t="s">
        <v>268</v>
      </c>
      <c r="R3148" s="5" t="s">
        <v>270</v>
      </c>
      <c r="S3148" s="5" t="s">
        <v>238</v>
      </c>
      <c r="V3148" s="5" t="s">
        <v>238</v>
      </c>
      <c r="X3148" s="6" t="s">
        <v>238</v>
      </c>
      <c r="AA3148" s="6" t="s">
        <v>243</v>
      </c>
      <c r="AB3148" s="5" t="s">
        <v>238</v>
      </c>
      <c r="AC3148" s="5" t="s">
        <v>244</v>
      </c>
      <c r="AD3148" s="5" t="s">
        <v>245</v>
      </c>
      <c r="AT3148" s="5" t="s">
        <v>246</v>
      </c>
      <c r="AU3148" s="5" t="s">
        <v>238</v>
      </c>
      <c r="AV3148" s="5" t="s">
        <v>247</v>
      </c>
      <c r="AW3148" s="5" t="s">
        <v>238</v>
      </c>
      <c r="AX3148" s="5" t="s">
        <v>249</v>
      </c>
      <c r="AY3148" s="5" t="s">
        <v>238</v>
      </c>
      <c r="BA3148" s="5" t="s">
        <v>238</v>
      </c>
      <c r="BC3148" s="5" t="s">
        <v>250</v>
      </c>
      <c r="BD3148" s="6" t="s">
        <v>243</v>
      </c>
      <c r="BE3148" s="5" t="s">
        <v>251</v>
      </c>
      <c r="BF3148" s="5" t="s">
        <v>252</v>
      </c>
      <c r="BG3148" s="5" t="s">
        <v>238</v>
      </c>
      <c r="BH3148" s="7">
        <f>0</f>
        <v>0</v>
      </c>
      <c r="BI3148" s="8">
        <f>0</f>
        <v>0</v>
      </c>
      <c r="BJ3148" s="5" t="s">
        <v>253</v>
      </c>
      <c r="BK3148" s="5" t="s">
        <v>254</v>
      </c>
      <c r="BY3148" s="5" t="s">
        <v>238</v>
      </c>
      <c r="BZ3148" s="5" t="s">
        <v>238</v>
      </c>
      <c r="CD3148" s="5" t="s">
        <v>273</v>
      </c>
      <c r="CE3148" s="5" t="s">
        <v>256</v>
      </c>
      <c r="CF3148" s="5" t="s">
        <v>238</v>
      </c>
      <c r="CI3148" s="6" t="s">
        <v>257</v>
      </c>
      <c r="CJ3148" s="5" t="s">
        <v>238</v>
      </c>
      <c r="CK3148" s="5" t="s">
        <v>258</v>
      </c>
      <c r="CL3148" s="5" t="s">
        <v>238</v>
      </c>
      <c r="CM3148" s="5" t="s">
        <v>238</v>
      </c>
      <c r="CN3148" s="5">
        <v>0</v>
      </c>
      <c r="CO3148" s="5" t="s">
        <v>259</v>
      </c>
      <c r="CP3148" s="5" t="s">
        <v>260</v>
      </c>
      <c r="CQ3148" s="5" t="s">
        <v>260</v>
      </c>
      <c r="CR3148" s="5" t="s">
        <v>261</v>
      </c>
      <c r="CU3148" s="8">
        <f>1</f>
        <v>1</v>
      </c>
      <c r="CV3148" s="8">
        <f>0</f>
        <v>0</v>
      </c>
      <c r="CX3148" s="8">
        <f>0</f>
        <v>0</v>
      </c>
      <c r="CY3148" s="8">
        <f>1</f>
        <v>1</v>
      </c>
      <c r="DA3148" s="5" t="s">
        <v>274</v>
      </c>
      <c r="DB3148" s="5" t="s">
        <v>238</v>
      </c>
      <c r="DD3148" s="5" t="s">
        <v>274</v>
      </c>
      <c r="DE3148" s="8">
        <f>496</f>
        <v>496</v>
      </c>
      <c r="DG3148" s="5" t="s">
        <v>238</v>
      </c>
      <c r="DH3148" s="5" t="s">
        <v>238</v>
      </c>
      <c r="DI3148" s="5" t="s">
        <v>238</v>
      </c>
      <c r="DJ3148" s="5" t="s">
        <v>238</v>
      </c>
      <c r="DN3148" s="5" t="s">
        <v>238</v>
      </c>
      <c r="DO3148" s="5" t="s">
        <v>238</v>
      </c>
      <c r="DP3148" s="5" t="s">
        <v>238</v>
      </c>
      <c r="DQ3148" s="5" t="s">
        <v>238</v>
      </c>
      <c r="DT3148" s="5" t="s">
        <v>275</v>
      </c>
      <c r="DU3148" s="5" t="s">
        <v>1654</v>
      </c>
      <c r="HM3148" s="5" t="s">
        <v>264</v>
      </c>
    </row>
    <row r="3149" spans="1:221" x14ac:dyDescent="0.4">
      <c r="A3149" s="5">
        <v>4853</v>
      </c>
      <c r="B3149" s="5">
        <v>1</v>
      </c>
      <c r="C3149" s="5">
        <v>1</v>
      </c>
      <c r="D3149" s="5" t="s">
        <v>269</v>
      </c>
      <c r="E3149" s="5" t="s">
        <v>271</v>
      </c>
      <c r="F3149" s="5" t="s">
        <v>248</v>
      </c>
      <c r="G3149" s="5" t="s">
        <v>266</v>
      </c>
      <c r="H3149" s="6" t="s">
        <v>1637</v>
      </c>
      <c r="I3149" s="7">
        <f>806</f>
        <v>806</v>
      </c>
      <c r="J3149" s="5" t="s">
        <v>262</v>
      </c>
      <c r="K3149" s="8">
        <f>1</f>
        <v>1</v>
      </c>
      <c r="L3149" s="6" t="s">
        <v>242</v>
      </c>
      <c r="M3149" s="5" t="s">
        <v>267</v>
      </c>
      <c r="N3149" s="5" t="s">
        <v>265</v>
      </c>
      <c r="O3149" s="5" t="s">
        <v>238</v>
      </c>
      <c r="P3149" s="5" t="s">
        <v>238</v>
      </c>
      <c r="Q3149" s="5" t="s">
        <v>268</v>
      </c>
      <c r="R3149" s="5" t="s">
        <v>270</v>
      </c>
      <c r="S3149" s="5" t="s">
        <v>238</v>
      </c>
      <c r="V3149" s="5" t="s">
        <v>238</v>
      </c>
      <c r="X3149" s="6" t="s">
        <v>238</v>
      </c>
      <c r="AA3149" s="6" t="s">
        <v>243</v>
      </c>
      <c r="AB3149" s="5" t="s">
        <v>238</v>
      </c>
      <c r="AC3149" s="5" t="s">
        <v>244</v>
      </c>
      <c r="AD3149" s="5" t="s">
        <v>245</v>
      </c>
      <c r="AT3149" s="5" t="s">
        <v>246</v>
      </c>
      <c r="AU3149" s="5" t="s">
        <v>238</v>
      </c>
      <c r="AV3149" s="5" t="s">
        <v>247</v>
      </c>
      <c r="AW3149" s="5" t="s">
        <v>238</v>
      </c>
      <c r="AX3149" s="5" t="s">
        <v>249</v>
      </c>
      <c r="AY3149" s="5" t="s">
        <v>238</v>
      </c>
      <c r="BA3149" s="5" t="s">
        <v>238</v>
      </c>
      <c r="BC3149" s="5" t="s">
        <v>250</v>
      </c>
      <c r="BD3149" s="6" t="s">
        <v>243</v>
      </c>
      <c r="BE3149" s="5" t="s">
        <v>251</v>
      </c>
      <c r="BF3149" s="5" t="s">
        <v>252</v>
      </c>
      <c r="BG3149" s="5" t="s">
        <v>238</v>
      </c>
      <c r="BH3149" s="7">
        <f>0</f>
        <v>0</v>
      </c>
      <c r="BI3149" s="8">
        <f>0</f>
        <v>0</v>
      </c>
      <c r="BJ3149" s="5" t="s">
        <v>253</v>
      </c>
      <c r="BK3149" s="5" t="s">
        <v>254</v>
      </c>
      <c r="BY3149" s="5" t="s">
        <v>238</v>
      </c>
      <c r="BZ3149" s="5" t="s">
        <v>238</v>
      </c>
      <c r="CD3149" s="5" t="s">
        <v>273</v>
      </c>
      <c r="CE3149" s="5" t="s">
        <v>256</v>
      </c>
      <c r="CF3149" s="5" t="s">
        <v>238</v>
      </c>
      <c r="CI3149" s="6" t="s">
        <v>257</v>
      </c>
      <c r="CJ3149" s="5" t="s">
        <v>238</v>
      </c>
      <c r="CK3149" s="5" t="s">
        <v>258</v>
      </c>
      <c r="CL3149" s="5" t="s">
        <v>238</v>
      </c>
      <c r="CM3149" s="5" t="s">
        <v>238</v>
      </c>
      <c r="CN3149" s="5">
        <v>0</v>
      </c>
      <c r="CO3149" s="5" t="s">
        <v>259</v>
      </c>
      <c r="CP3149" s="5" t="s">
        <v>260</v>
      </c>
      <c r="CQ3149" s="5" t="s">
        <v>260</v>
      </c>
      <c r="CR3149" s="5" t="s">
        <v>261</v>
      </c>
      <c r="CU3149" s="8">
        <f>1</f>
        <v>1</v>
      </c>
      <c r="CV3149" s="8">
        <f>0</f>
        <v>0</v>
      </c>
      <c r="CX3149" s="8">
        <f>0</f>
        <v>0</v>
      </c>
      <c r="CY3149" s="8">
        <f>1</f>
        <v>1</v>
      </c>
      <c r="DA3149" s="5" t="s">
        <v>274</v>
      </c>
      <c r="DB3149" s="5" t="s">
        <v>238</v>
      </c>
      <c r="DD3149" s="5" t="s">
        <v>274</v>
      </c>
      <c r="DE3149" s="8">
        <f>806</f>
        <v>806</v>
      </c>
      <c r="DG3149" s="5" t="s">
        <v>238</v>
      </c>
      <c r="DH3149" s="5" t="s">
        <v>238</v>
      </c>
      <c r="DI3149" s="5" t="s">
        <v>238</v>
      </c>
      <c r="DJ3149" s="5" t="s">
        <v>238</v>
      </c>
      <c r="DN3149" s="5" t="s">
        <v>238</v>
      </c>
      <c r="DO3149" s="5" t="s">
        <v>238</v>
      </c>
      <c r="DP3149" s="5" t="s">
        <v>238</v>
      </c>
      <c r="DQ3149" s="5" t="s">
        <v>238</v>
      </c>
      <c r="DT3149" s="5" t="s">
        <v>275</v>
      </c>
      <c r="DU3149" s="5" t="s">
        <v>1638</v>
      </c>
      <c r="HM3149" s="5" t="s">
        <v>264</v>
      </c>
    </row>
    <row r="3150" spans="1:221" x14ac:dyDescent="0.4">
      <c r="A3150" s="5">
        <v>4854</v>
      </c>
      <c r="B3150" s="5">
        <v>1</v>
      </c>
      <c r="C3150" s="5">
        <v>1</v>
      </c>
      <c r="D3150" s="5" t="s">
        <v>269</v>
      </c>
      <c r="E3150" s="5" t="s">
        <v>271</v>
      </c>
      <c r="F3150" s="5" t="s">
        <v>248</v>
      </c>
      <c r="G3150" s="5" t="s">
        <v>266</v>
      </c>
      <c r="H3150" s="6" t="s">
        <v>1631</v>
      </c>
      <c r="I3150" s="7">
        <f>1185</f>
        <v>1185</v>
      </c>
      <c r="J3150" s="5" t="s">
        <v>262</v>
      </c>
      <c r="K3150" s="8">
        <f>1</f>
        <v>1</v>
      </c>
      <c r="L3150" s="6" t="s">
        <v>242</v>
      </c>
      <c r="M3150" s="5" t="s">
        <v>267</v>
      </c>
      <c r="N3150" s="5" t="s">
        <v>265</v>
      </c>
      <c r="O3150" s="5" t="s">
        <v>238</v>
      </c>
      <c r="P3150" s="5" t="s">
        <v>238</v>
      </c>
      <c r="Q3150" s="5" t="s">
        <v>268</v>
      </c>
      <c r="R3150" s="5" t="s">
        <v>270</v>
      </c>
      <c r="S3150" s="5" t="s">
        <v>238</v>
      </c>
      <c r="V3150" s="5" t="s">
        <v>238</v>
      </c>
      <c r="X3150" s="6" t="s">
        <v>238</v>
      </c>
      <c r="AA3150" s="6" t="s">
        <v>243</v>
      </c>
      <c r="AB3150" s="5" t="s">
        <v>238</v>
      </c>
      <c r="AC3150" s="5" t="s">
        <v>244</v>
      </c>
      <c r="AD3150" s="5" t="s">
        <v>245</v>
      </c>
      <c r="AT3150" s="5" t="s">
        <v>246</v>
      </c>
      <c r="AU3150" s="5" t="s">
        <v>238</v>
      </c>
      <c r="AV3150" s="5" t="s">
        <v>247</v>
      </c>
      <c r="AW3150" s="5" t="s">
        <v>238</v>
      </c>
      <c r="AX3150" s="5" t="s">
        <v>249</v>
      </c>
      <c r="AY3150" s="5" t="s">
        <v>238</v>
      </c>
      <c r="BA3150" s="5" t="s">
        <v>238</v>
      </c>
      <c r="BC3150" s="5" t="s">
        <v>250</v>
      </c>
      <c r="BD3150" s="6" t="s">
        <v>243</v>
      </c>
      <c r="BE3150" s="5" t="s">
        <v>251</v>
      </c>
      <c r="BF3150" s="5" t="s">
        <v>252</v>
      </c>
      <c r="BG3150" s="5" t="s">
        <v>238</v>
      </c>
      <c r="BH3150" s="7">
        <f>0</f>
        <v>0</v>
      </c>
      <c r="BI3150" s="8">
        <f>0</f>
        <v>0</v>
      </c>
      <c r="BJ3150" s="5" t="s">
        <v>253</v>
      </c>
      <c r="BK3150" s="5" t="s">
        <v>254</v>
      </c>
      <c r="BY3150" s="5" t="s">
        <v>238</v>
      </c>
      <c r="BZ3150" s="5" t="s">
        <v>238</v>
      </c>
      <c r="CD3150" s="5" t="s">
        <v>273</v>
      </c>
      <c r="CE3150" s="5" t="s">
        <v>256</v>
      </c>
      <c r="CF3150" s="5" t="s">
        <v>238</v>
      </c>
      <c r="CI3150" s="6" t="s">
        <v>257</v>
      </c>
      <c r="CJ3150" s="5" t="s">
        <v>238</v>
      </c>
      <c r="CK3150" s="5" t="s">
        <v>258</v>
      </c>
      <c r="CL3150" s="5" t="s">
        <v>238</v>
      </c>
      <c r="CM3150" s="5" t="s">
        <v>238</v>
      </c>
      <c r="CN3150" s="5">
        <v>0</v>
      </c>
      <c r="CO3150" s="5" t="s">
        <v>259</v>
      </c>
      <c r="CP3150" s="5" t="s">
        <v>260</v>
      </c>
      <c r="CQ3150" s="5" t="s">
        <v>260</v>
      </c>
      <c r="CR3150" s="5" t="s">
        <v>261</v>
      </c>
      <c r="CU3150" s="8">
        <f>1</f>
        <v>1</v>
      </c>
      <c r="CV3150" s="8">
        <f>0</f>
        <v>0</v>
      </c>
      <c r="CX3150" s="8">
        <f>0</f>
        <v>0</v>
      </c>
      <c r="CY3150" s="8">
        <f>1</f>
        <v>1</v>
      </c>
      <c r="DA3150" s="5" t="s">
        <v>274</v>
      </c>
      <c r="DB3150" s="5" t="s">
        <v>238</v>
      </c>
      <c r="DD3150" s="5" t="s">
        <v>274</v>
      </c>
      <c r="DE3150" s="8">
        <f>1185</f>
        <v>1185</v>
      </c>
      <c r="DG3150" s="5" t="s">
        <v>238</v>
      </c>
      <c r="DH3150" s="5" t="s">
        <v>238</v>
      </c>
      <c r="DI3150" s="5" t="s">
        <v>238</v>
      </c>
      <c r="DJ3150" s="5" t="s">
        <v>238</v>
      </c>
      <c r="DN3150" s="5" t="s">
        <v>238</v>
      </c>
      <c r="DO3150" s="5" t="s">
        <v>238</v>
      </c>
      <c r="DP3150" s="5" t="s">
        <v>238</v>
      </c>
      <c r="DQ3150" s="5" t="s">
        <v>238</v>
      </c>
      <c r="DT3150" s="5" t="s">
        <v>275</v>
      </c>
      <c r="DU3150" s="5" t="s">
        <v>1632</v>
      </c>
      <c r="HM3150" s="5" t="s">
        <v>264</v>
      </c>
    </row>
    <row r="3151" spans="1:221" x14ac:dyDescent="0.4">
      <c r="A3151" s="5">
        <v>4855</v>
      </c>
      <c r="B3151" s="5">
        <v>1</v>
      </c>
      <c r="C3151" s="5">
        <v>1</v>
      </c>
      <c r="D3151" s="5" t="s">
        <v>269</v>
      </c>
      <c r="E3151" s="5" t="s">
        <v>271</v>
      </c>
      <c r="F3151" s="5" t="s">
        <v>248</v>
      </c>
      <c r="G3151" s="5" t="s">
        <v>266</v>
      </c>
      <c r="H3151" s="6" t="s">
        <v>1623</v>
      </c>
      <c r="I3151" s="7">
        <f>1238</f>
        <v>1238</v>
      </c>
      <c r="J3151" s="5" t="s">
        <v>262</v>
      </c>
      <c r="K3151" s="8">
        <f>1</f>
        <v>1</v>
      </c>
      <c r="L3151" s="6" t="s">
        <v>242</v>
      </c>
      <c r="M3151" s="5" t="s">
        <v>267</v>
      </c>
      <c r="N3151" s="5" t="s">
        <v>265</v>
      </c>
      <c r="O3151" s="5" t="s">
        <v>238</v>
      </c>
      <c r="P3151" s="5" t="s">
        <v>238</v>
      </c>
      <c r="Q3151" s="5" t="s">
        <v>268</v>
      </c>
      <c r="R3151" s="5" t="s">
        <v>270</v>
      </c>
      <c r="S3151" s="5" t="s">
        <v>238</v>
      </c>
      <c r="V3151" s="5" t="s">
        <v>238</v>
      </c>
      <c r="X3151" s="6" t="s">
        <v>238</v>
      </c>
      <c r="AA3151" s="6" t="s">
        <v>243</v>
      </c>
      <c r="AB3151" s="5" t="s">
        <v>238</v>
      </c>
      <c r="AC3151" s="5" t="s">
        <v>244</v>
      </c>
      <c r="AD3151" s="5" t="s">
        <v>245</v>
      </c>
      <c r="AT3151" s="5" t="s">
        <v>246</v>
      </c>
      <c r="AU3151" s="5" t="s">
        <v>238</v>
      </c>
      <c r="AV3151" s="5" t="s">
        <v>247</v>
      </c>
      <c r="AW3151" s="5" t="s">
        <v>238</v>
      </c>
      <c r="AX3151" s="5" t="s">
        <v>249</v>
      </c>
      <c r="AY3151" s="5" t="s">
        <v>238</v>
      </c>
      <c r="BA3151" s="5" t="s">
        <v>238</v>
      </c>
      <c r="BC3151" s="5" t="s">
        <v>250</v>
      </c>
      <c r="BD3151" s="6" t="s">
        <v>243</v>
      </c>
      <c r="BE3151" s="5" t="s">
        <v>251</v>
      </c>
      <c r="BF3151" s="5" t="s">
        <v>252</v>
      </c>
      <c r="BG3151" s="5" t="s">
        <v>238</v>
      </c>
      <c r="BH3151" s="7">
        <f>0</f>
        <v>0</v>
      </c>
      <c r="BI3151" s="8">
        <f>0</f>
        <v>0</v>
      </c>
      <c r="BJ3151" s="5" t="s">
        <v>253</v>
      </c>
      <c r="BK3151" s="5" t="s">
        <v>254</v>
      </c>
      <c r="BY3151" s="5" t="s">
        <v>238</v>
      </c>
      <c r="BZ3151" s="5" t="s">
        <v>238</v>
      </c>
      <c r="CD3151" s="5" t="s">
        <v>273</v>
      </c>
      <c r="CE3151" s="5" t="s">
        <v>256</v>
      </c>
      <c r="CF3151" s="5" t="s">
        <v>238</v>
      </c>
      <c r="CI3151" s="6" t="s">
        <v>257</v>
      </c>
      <c r="CJ3151" s="5" t="s">
        <v>238</v>
      </c>
      <c r="CK3151" s="5" t="s">
        <v>258</v>
      </c>
      <c r="CL3151" s="5" t="s">
        <v>238</v>
      </c>
      <c r="CM3151" s="5" t="s">
        <v>238</v>
      </c>
      <c r="CN3151" s="5">
        <v>0</v>
      </c>
      <c r="CO3151" s="5" t="s">
        <v>259</v>
      </c>
      <c r="CP3151" s="5" t="s">
        <v>260</v>
      </c>
      <c r="CQ3151" s="5" t="s">
        <v>260</v>
      </c>
      <c r="CR3151" s="5" t="s">
        <v>261</v>
      </c>
      <c r="CU3151" s="8">
        <f>1</f>
        <v>1</v>
      </c>
      <c r="CV3151" s="8">
        <f>0</f>
        <v>0</v>
      </c>
      <c r="CX3151" s="8">
        <f>0</f>
        <v>0</v>
      </c>
      <c r="CY3151" s="8">
        <f>1</f>
        <v>1</v>
      </c>
      <c r="DA3151" s="5" t="s">
        <v>274</v>
      </c>
      <c r="DB3151" s="5" t="s">
        <v>238</v>
      </c>
      <c r="DD3151" s="5" t="s">
        <v>274</v>
      </c>
      <c r="DE3151" s="8">
        <f>1238</f>
        <v>1238</v>
      </c>
      <c r="DG3151" s="5" t="s">
        <v>238</v>
      </c>
      <c r="DH3151" s="5" t="s">
        <v>238</v>
      </c>
      <c r="DI3151" s="5" t="s">
        <v>238</v>
      </c>
      <c r="DJ3151" s="5" t="s">
        <v>238</v>
      </c>
      <c r="DN3151" s="5" t="s">
        <v>238</v>
      </c>
      <c r="DO3151" s="5" t="s">
        <v>238</v>
      </c>
      <c r="DP3151" s="5" t="s">
        <v>238</v>
      </c>
      <c r="DQ3151" s="5" t="s">
        <v>238</v>
      </c>
      <c r="DT3151" s="5" t="s">
        <v>275</v>
      </c>
      <c r="DU3151" s="5" t="s">
        <v>1624</v>
      </c>
      <c r="HM3151" s="5" t="s">
        <v>264</v>
      </c>
    </row>
    <row r="3152" spans="1:221" x14ac:dyDescent="0.4">
      <c r="A3152" s="5">
        <v>4856</v>
      </c>
      <c r="B3152" s="5">
        <v>1</v>
      </c>
      <c r="C3152" s="5">
        <v>1</v>
      </c>
      <c r="D3152" s="5" t="s">
        <v>269</v>
      </c>
      <c r="E3152" s="5" t="s">
        <v>271</v>
      </c>
      <c r="F3152" s="5" t="s">
        <v>248</v>
      </c>
      <c r="G3152" s="5" t="s">
        <v>266</v>
      </c>
      <c r="H3152" s="6" t="s">
        <v>1613</v>
      </c>
      <c r="I3152" s="7">
        <f>1736</f>
        <v>1736</v>
      </c>
      <c r="J3152" s="5" t="s">
        <v>262</v>
      </c>
      <c r="K3152" s="8">
        <f>1</f>
        <v>1</v>
      </c>
      <c r="L3152" s="6" t="s">
        <v>242</v>
      </c>
      <c r="M3152" s="5" t="s">
        <v>267</v>
      </c>
      <c r="N3152" s="5" t="s">
        <v>265</v>
      </c>
      <c r="O3152" s="5" t="s">
        <v>238</v>
      </c>
      <c r="P3152" s="5" t="s">
        <v>238</v>
      </c>
      <c r="Q3152" s="5" t="s">
        <v>268</v>
      </c>
      <c r="R3152" s="5" t="s">
        <v>270</v>
      </c>
      <c r="S3152" s="5" t="s">
        <v>238</v>
      </c>
      <c r="V3152" s="5" t="s">
        <v>238</v>
      </c>
      <c r="X3152" s="6" t="s">
        <v>238</v>
      </c>
      <c r="AA3152" s="6" t="s">
        <v>243</v>
      </c>
      <c r="AB3152" s="5" t="s">
        <v>238</v>
      </c>
      <c r="AC3152" s="5" t="s">
        <v>244</v>
      </c>
      <c r="AD3152" s="5" t="s">
        <v>245</v>
      </c>
      <c r="AT3152" s="5" t="s">
        <v>246</v>
      </c>
      <c r="AU3152" s="5" t="s">
        <v>238</v>
      </c>
      <c r="AV3152" s="5" t="s">
        <v>247</v>
      </c>
      <c r="AW3152" s="5" t="s">
        <v>238</v>
      </c>
      <c r="AX3152" s="5" t="s">
        <v>249</v>
      </c>
      <c r="AY3152" s="5" t="s">
        <v>238</v>
      </c>
      <c r="BA3152" s="5" t="s">
        <v>238</v>
      </c>
      <c r="BC3152" s="5" t="s">
        <v>250</v>
      </c>
      <c r="BD3152" s="6" t="s">
        <v>243</v>
      </c>
      <c r="BE3152" s="5" t="s">
        <v>251</v>
      </c>
      <c r="BF3152" s="5" t="s">
        <v>252</v>
      </c>
      <c r="BG3152" s="5" t="s">
        <v>238</v>
      </c>
      <c r="BH3152" s="7">
        <f>0</f>
        <v>0</v>
      </c>
      <c r="BI3152" s="8">
        <f>0</f>
        <v>0</v>
      </c>
      <c r="BJ3152" s="5" t="s">
        <v>253</v>
      </c>
      <c r="BK3152" s="5" t="s">
        <v>254</v>
      </c>
      <c r="BY3152" s="5" t="s">
        <v>238</v>
      </c>
      <c r="BZ3152" s="5" t="s">
        <v>238</v>
      </c>
      <c r="CD3152" s="5" t="s">
        <v>273</v>
      </c>
      <c r="CE3152" s="5" t="s">
        <v>256</v>
      </c>
      <c r="CF3152" s="5" t="s">
        <v>238</v>
      </c>
      <c r="CI3152" s="6" t="s">
        <v>257</v>
      </c>
      <c r="CJ3152" s="5" t="s">
        <v>238</v>
      </c>
      <c r="CK3152" s="5" t="s">
        <v>258</v>
      </c>
      <c r="CL3152" s="5" t="s">
        <v>238</v>
      </c>
      <c r="CM3152" s="5" t="s">
        <v>238</v>
      </c>
      <c r="CN3152" s="5">
        <v>0</v>
      </c>
      <c r="CO3152" s="5" t="s">
        <v>259</v>
      </c>
      <c r="CP3152" s="5" t="s">
        <v>260</v>
      </c>
      <c r="CQ3152" s="5" t="s">
        <v>260</v>
      </c>
      <c r="CR3152" s="5" t="s">
        <v>261</v>
      </c>
      <c r="CU3152" s="8">
        <f>1</f>
        <v>1</v>
      </c>
      <c r="CV3152" s="8">
        <f>0</f>
        <v>0</v>
      </c>
      <c r="CX3152" s="8">
        <f>0</f>
        <v>0</v>
      </c>
      <c r="CY3152" s="8">
        <f>1</f>
        <v>1</v>
      </c>
      <c r="DA3152" s="5" t="s">
        <v>274</v>
      </c>
      <c r="DB3152" s="5" t="s">
        <v>238</v>
      </c>
      <c r="DD3152" s="5" t="s">
        <v>274</v>
      </c>
      <c r="DE3152" s="8">
        <f>1736</f>
        <v>1736</v>
      </c>
      <c r="DG3152" s="5" t="s">
        <v>238</v>
      </c>
      <c r="DH3152" s="5" t="s">
        <v>238</v>
      </c>
      <c r="DI3152" s="5" t="s">
        <v>238</v>
      </c>
      <c r="DJ3152" s="5" t="s">
        <v>238</v>
      </c>
      <c r="DN3152" s="5" t="s">
        <v>238</v>
      </c>
      <c r="DO3152" s="5" t="s">
        <v>238</v>
      </c>
      <c r="DP3152" s="5" t="s">
        <v>238</v>
      </c>
      <c r="DQ3152" s="5" t="s">
        <v>238</v>
      </c>
      <c r="DT3152" s="5" t="s">
        <v>275</v>
      </c>
      <c r="DU3152" s="5" t="s">
        <v>1614</v>
      </c>
      <c r="HM3152" s="5" t="s">
        <v>264</v>
      </c>
    </row>
    <row r="3153" spans="1:221" x14ac:dyDescent="0.4">
      <c r="A3153" s="5">
        <v>4857</v>
      </c>
      <c r="B3153" s="5">
        <v>1</v>
      </c>
      <c r="C3153" s="5">
        <v>1</v>
      </c>
      <c r="D3153" s="5" t="s">
        <v>269</v>
      </c>
      <c r="E3153" s="5" t="s">
        <v>271</v>
      </c>
      <c r="F3153" s="5" t="s">
        <v>248</v>
      </c>
      <c r="G3153" s="5" t="s">
        <v>266</v>
      </c>
      <c r="H3153" s="6" t="s">
        <v>1603</v>
      </c>
      <c r="I3153" s="7">
        <f>142</f>
        <v>142</v>
      </c>
      <c r="J3153" s="5" t="s">
        <v>262</v>
      </c>
      <c r="K3153" s="8">
        <f>1</f>
        <v>1</v>
      </c>
      <c r="L3153" s="6" t="s">
        <v>242</v>
      </c>
      <c r="M3153" s="5" t="s">
        <v>267</v>
      </c>
      <c r="N3153" s="5" t="s">
        <v>265</v>
      </c>
      <c r="O3153" s="5" t="s">
        <v>238</v>
      </c>
      <c r="P3153" s="5" t="s">
        <v>238</v>
      </c>
      <c r="Q3153" s="5" t="s">
        <v>268</v>
      </c>
      <c r="R3153" s="5" t="s">
        <v>270</v>
      </c>
      <c r="S3153" s="5" t="s">
        <v>238</v>
      </c>
      <c r="V3153" s="5" t="s">
        <v>238</v>
      </c>
      <c r="X3153" s="6" t="s">
        <v>238</v>
      </c>
      <c r="AA3153" s="6" t="s">
        <v>243</v>
      </c>
      <c r="AB3153" s="5" t="s">
        <v>238</v>
      </c>
      <c r="AC3153" s="5" t="s">
        <v>244</v>
      </c>
      <c r="AD3153" s="5" t="s">
        <v>245</v>
      </c>
      <c r="AT3153" s="5" t="s">
        <v>246</v>
      </c>
      <c r="AU3153" s="5" t="s">
        <v>238</v>
      </c>
      <c r="AV3153" s="5" t="s">
        <v>247</v>
      </c>
      <c r="AW3153" s="5" t="s">
        <v>238</v>
      </c>
      <c r="AX3153" s="5" t="s">
        <v>249</v>
      </c>
      <c r="AY3153" s="5" t="s">
        <v>238</v>
      </c>
      <c r="BA3153" s="5" t="s">
        <v>238</v>
      </c>
      <c r="BC3153" s="5" t="s">
        <v>250</v>
      </c>
      <c r="BD3153" s="6" t="s">
        <v>243</v>
      </c>
      <c r="BE3153" s="5" t="s">
        <v>251</v>
      </c>
      <c r="BF3153" s="5" t="s">
        <v>252</v>
      </c>
      <c r="BG3153" s="5" t="s">
        <v>238</v>
      </c>
      <c r="BH3153" s="7">
        <f>0</f>
        <v>0</v>
      </c>
      <c r="BI3153" s="8">
        <f>0</f>
        <v>0</v>
      </c>
      <c r="BJ3153" s="5" t="s">
        <v>253</v>
      </c>
      <c r="BK3153" s="5" t="s">
        <v>254</v>
      </c>
      <c r="BY3153" s="5" t="s">
        <v>238</v>
      </c>
      <c r="BZ3153" s="5" t="s">
        <v>238</v>
      </c>
      <c r="CD3153" s="5" t="s">
        <v>273</v>
      </c>
      <c r="CE3153" s="5" t="s">
        <v>256</v>
      </c>
      <c r="CF3153" s="5" t="s">
        <v>238</v>
      </c>
      <c r="CI3153" s="6" t="s">
        <v>257</v>
      </c>
      <c r="CJ3153" s="5" t="s">
        <v>238</v>
      </c>
      <c r="CK3153" s="5" t="s">
        <v>258</v>
      </c>
      <c r="CL3153" s="5" t="s">
        <v>238</v>
      </c>
      <c r="CM3153" s="5" t="s">
        <v>238</v>
      </c>
      <c r="CN3153" s="5">
        <v>0</v>
      </c>
      <c r="CO3153" s="5" t="s">
        <v>259</v>
      </c>
      <c r="CP3153" s="5" t="s">
        <v>260</v>
      </c>
      <c r="CQ3153" s="5" t="s">
        <v>260</v>
      </c>
      <c r="CR3153" s="5" t="s">
        <v>261</v>
      </c>
      <c r="CU3153" s="8">
        <f>1</f>
        <v>1</v>
      </c>
      <c r="CV3153" s="8">
        <f>0</f>
        <v>0</v>
      </c>
      <c r="CX3153" s="8">
        <f>0</f>
        <v>0</v>
      </c>
      <c r="CY3153" s="8">
        <f>1</f>
        <v>1</v>
      </c>
      <c r="DA3153" s="5" t="s">
        <v>274</v>
      </c>
      <c r="DB3153" s="5" t="s">
        <v>238</v>
      </c>
      <c r="DD3153" s="5" t="s">
        <v>274</v>
      </c>
      <c r="DE3153" s="8">
        <f>142</f>
        <v>142</v>
      </c>
      <c r="DG3153" s="5" t="s">
        <v>238</v>
      </c>
      <c r="DH3153" s="5" t="s">
        <v>238</v>
      </c>
      <c r="DI3153" s="5" t="s">
        <v>238</v>
      </c>
      <c r="DJ3153" s="5" t="s">
        <v>238</v>
      </c>
      <c r="DN3153" s="5" t="s">
        <v>238</v>
      </c>
      <c r="DO3153" s="5" t="s">
        <v>238</v>
      </c>
      <c r="DP3153" s="5" t="s">
        <v>238</v>
      </c>
      <c r="DQ3153" s="5" t="s">
        <v>238</v>
      </c>
      <c r="DT3153" s="5" t="s">
        <v>275</v>
      </c>
      <c r="DU3153" s="5" t="s">
        <v>1604</v>
      </c>
      <c r="HM3153" s="5" t="s">
        <v>264</v>
      </c>
    </row>
    <row r="3154" spans="1:221" x14ac:dyDescent="0.4">
      <c r="A3154" s="5">
        <v>4858</v>
      </c>
      <c r="B3154" s="5">
        <v>1</v>
      </c>
      <c r="C3154" s="5">
        <v>1</v>
      </c>
      <c r="D3154" s="5" t="s">
        <v>269</v>
      </c>
      <c r="E3154" s="5" t="s">
        <v>271</v>
      </c>
      <c r="F3154" s="5" t="s">
        <v>248</v>
      </c>
      <c r="G3154" s="5" t="s">
        <v>266</v>
      </c>
      <c r="H3154" s="6" t="s">
        <v>1597</v>
      </c>
      <c r="I3154" s="7">
        <f>180</f>
        <v>180</v>
      </c>
      <c r="J3154" s="5" t="s">
        <v>262</v>
      </c>
      <c r="K3154" s="8">
        <f>1</f>
        <v>1</v>
      </c>
      <c r="L3154" s="6" t="s">
        <v>242</v>
      </c>
      <c r="M3154" s="5" t="s">
        <v>267</v>
      </c>
      <c r="N3154" s="5" t="s">
        <v>265</v>
      </c>
      <c r="O3154" s="5" t="s">
        <v>238</v>
      </c>
      <c r="P3154" s="5" t="s">
        <v>238</v>
      </c>
      <c r="Q3154" s="5" t="s">
        <v>268</v>
      </c>
      <c r="R3154" s="5" t="s">
        <v>270</v>
      </c>
      <c r="S3154" s="5" t="s">
        <v>238</v>
      </c>
      <c r="V3154" s="5" t="s">
        <v>238</v>
      </c>
      <c r="X3154" s="6" t="s">
        <v>238</v>
      </c>
      <c r="AA3154" s="6" t="s">
        <v>243</v>
      </c>
      <c r="AB3154" s="5" t="s">
        <v>238</v>
      </c>
      <c r="AC3154" s="5" t="s">
        <v>244</v>
      </c>
      <c r="AD3154" s="5" t="s">
        <v>245</v>
      </c>
      <c r="AT3154" s="5" t="s">
        <v>246</v>
      </c>
      <c r="AU3154" s="5" t="s">
        <v>238</v>
      </c>
      <c r="AV3154" s="5" t="s">
        <v>247</v>
      </c>
      <c r="AW3154" s="5" t="s">
        <v>238</v>
      </c>
      <c r="AX3154" s="5" t="s">
        <v>249</v>
      </c>
      <c r="AY3154" s="5" t="s">
        <v>238</v>
      </c>
      <c r="BA3154" s="5" t="s">
        <v>238</v>
      </c>
      <c r="BC3154" s="5" t="s">
        <v>250</v>
      </c>
      <c r="BD3154" s="6" t="s">
        <v>243</v>
      </c>
      <c r="BE3154" s="5" t="s">
        <v>251</v>
      </c>
      <c r="BF3154" s="5" t="s">
        <v>252</v>
      </c>
      <c r="BG3154" s="5" t="s">
        <v>238</v>
      </c>
      <c r="BH3154" s="7">
        <f>0</f>
        <v>0</v>
      </c>
      <c r="BI3154" s="8">
        <f>0</f>
        <v>0</v>
      </c>
      <c r="BJ3154" s="5" t="s">
        <v>253</v>
      </c>
      <c r="BK3154" s="5" t="s">
        <v>254</v>
      </c>
      <c r="BY3154" s="5" t="s">
        <v>238</v>
      </c>
      <c r="BZ3154" s="5" t="s">
        <v>238</v>
      </c>
      <c r="CD3154" s="5" t="s">
        <v>273</v>
      </c>
      <c r="CE3154" s="5" t="s">
        <v>256</v>
      </c>
      <c r="CF3154" s="5" t="s">
        <v>238</v>
      </c>
      <c r="CI3154" s="6" t="s">
        <v>257</v>
      </c>
      <c r="CJ3154" s="5" t="s">
        <v>238</v>
      </c>
      <c r="CK3154" s="5" t="s">
        <v>258</v>
      </c>
      <c r="CL3154" s="5" t="s">
        <v>238</v>
      </c>
      <c r="CM3154" s="5" t="s">
        <v>238</v>
      </c>
      <c r="CN3154" s="5">
        <v>0</v>
      </c>
      <c r="CO3154" s="5" t="s">
        <v>259</v>
      </c>
      <c r="CP3154" s="5" t="s">
        <v>260</v>
      </c>
      <c r="CQ3154" s="5" t="s">
        <v>260</v>
      </c>
      <c r="CR3154" s="5" t="s">
        <v>261</v>
      </c>
      <c r="CU3154" s="8">
        <f>1</f>
        <v>1</v>
      </c>
      <c r="CV3154" s="8">
        <f>0</f>
        <v>0</v>
      </c>
      <c r="CX3154" s="8">
        <f>0</f>
        <v>0</v>
      </c>
      <c r="CY3154" s="8">
        <f>1</f>
        <v>1</v>
      </c>
      <c r="DA3154" s="5" t="s">
        <v>274</v>
      </c>
      <c r="DB3154" s="5" t="s">
        <v>238</v>
      </c>
      <c r="DD3154" s="5" t="s">
        <v>274</v>
      </c>
      <c r="DE3154" s="8">
        <f>180</f>
        <v>180</v>
      </c>
      <c r="DG3154" s="5" t="s">
        <v>238</v>
      </c>
      <c r="DH3154" s="5" t="s">
        <v>238</v>
      </c>
      <c r="DI3154" s="5" t="s">
        <v>238</v>
      </c>
      <c r="DJ3154" s="5" t="s">
        <v>238</v>
      </c>
      <c r="DN3154" s="5" t="s">
        <v>238</v>
      </c>
      <c r="DO3154" s="5" t="s">
        <v>238</v>
      </c>
      <c r="DP3154" s="5" t="s">
        <v>238</v>
      </c>
      <c r="DQ3154" s="5" t="s">
        <v>238</v>
      </c>
      <c r="DT3154" s="5" t="s">
        <v>275</v>
      </c>
      <c r="DU3154" s="5" t="s">
        <v>1598</v>
      </c>
      <c r="HM3154" s="5" t="s">
        <v>264</v>
      </c>
    </row>
    <row r="3155" spans="1:221" x14ac:dyDescent="0.4">
      <c r="A3155" s="5">
        <v>4859</v>
      </c>
      <c r="B3155" s="5">
        <v>1</v>
      </c>
      <c r="C3155" s="5">
        <v>1</v>
      </c>
      <c r="D3155" s="5" t="s">
        <v>269</v>
      </c>
      <c r="E3155" s="5" t="s">
        <v>271</v>
      </c>
      <c r="F3155" s="5" t="s">
        <v>248</v>
      </c>
      <c r="G3155" s="5" t="s">
        <v>266</v>
      </c>
      <c r="H3155" s="6" t="s">
        <v>1589</v>
      </c>
      <c r="I3155" s="7">
        <f>177</f>
        <v>177</v>
      </c>
      <c r="J3155" s="5" t="s">
        <v>262</v>
      </c>
      <c r="K3155" s="8">
        <f>1</f>
        <v>1</v>
      </c>
      <c r="L3155" s="6" t="s">
        <v>242</v>
      </c>
      <c r="M3155" s="5" t="s">
        <v>267</v>
      </c>
      <c r="N3155" s="5" t="s">
        <v>265</v>
      </c>
      <c r="O3155" s="5" t="s">
        <v>238</v>
      </c>
      <c r="P3155" s="5" t="s">
        <v>238</v>
      </c>
      <c r="Q3155" s="5" t="s">
        <v>268</v>
      </c>
      <c r="R3155" s="5" t="s">
        <v>270</v>
      </c>
      <c r="S3155" s="5" t="s">
        <v>238</v>
      </c>
      <c r="V3155" s="5" t="s">
        <v>238</v>
      </c>
      <c r="X3155" s="6" t="s">
        <v>238</v>
      </c>
      <c r="AA3155" s="6" t="s">
        <v>243</v>
      </c>
      <c r="AB3155" s="5" t="s">
        <v>238</v>
      </c>
      <c r="AC3155" s="5" t="s">
        <v>244</v>
      </c>
      <c r="AD3155" s="5" t="s">
        <v>245</v>
      </c>
      <c r="AT3155" s="5" t="s">
        <v>246</v>
      </c>
      <c r="AU3155" s="5" t="s">
        <v>238</v>
      </c>
      <c r="AV3155" s="5" t="s">
        <v>247</v>
      </c>
      <c r="AW3155" s="5" t="s">
        <v>238</v>
      </c>
      <c r="AX3155" s="5" t="s">
        <v>249</v>
      </c>
      <c r="AY3155" s="5" t="s">
        <v>238</v>
      </c>
      <c r="BA3155" s="5" t="s">
        <v>238</v>
      </c>
      <c r="BC3155" s="5" t="s">
        <v>250</v>
      </c>
      <c r="BD3155" s="6" t="s">
        <v>243</v>
      </c>
      <c r="BE3155" s="5" t="s">
        <v>251</v>
      </c>
      <c r="BF3155" s="5" t="s">
        <v>252</v>
      </c>
      <c r="BG3155" s="5" t="s">
        <v>238</v>
      </c>
      <c r="BH3155" s="7">
        <f>0</f>
        <v>0</v>
      </c>
      <c r="BI3155" s="8">
        <f>0</f>
        <v>0</v>
      </c>
      <c r="BJ3155" s="5" t="s">
        <v>253</v>
      </c>
      <c r="BK3155" s="5" t="s">
        <v>254</v>
      </c>
      <c r="BY3155" s="5" t="s">
        <v>238</v>
      </c>
      <c r="BZ3155" s="5" t="s">
        <v>238</v>
      </c>
      <c r="CD3155" s="5" t="s">
        <v>273</v>
      </c>
      <c r="CE3155" s="5" t="s">
        <v>256</v>
      </c>
      <c r="CF3155" s="5" t="s">
        <v>238</v>
      </c>
      <c r="CI3155" s="6" t="s">
        <v>257</v>
      </c>
      <c r="CJ3155" s="5" t="s">
        <v>238</v>
      </c>
      <c r="CK3155" s="5" t="s">
        <v>258</v>
      </c>
      <c r="CL3155" s="5" t="s">
        <v>238</v>
      </c>
      <c r="CM3155" s="5" t="s">
        <v>238</v>
      </c>
      <c r="CN3155" s="5">
        <v>0</v>
      </c>
      <c r="CO3155" s="5" t="s">
        <v>259</v>
      </c>
      <c r="CP3155" s="5" t="s">
        <v>260</v>
      </c>
      <c r="CQ3155" s="5" t="s">
        <v>260</v>
      </c>
      <c r="CR3155" s="5" t="s">
        <v>261</v>
      </c>
      <c r="CU3155" s="8">
        <f>1</f>
        <v>1</v>
      </c>
      <c r="CV3155" s="8">
        <f>0</f>
        <v>0</v>
      </c>
      <c r="CX3155" s="8">
        <f>0</f>
        <v>0</v>
      </c>
      <c r="CY3155" s="8">
        <f>1</f>
        <v>1</v>
      </c>
      <c r="DA3155" s="5" t="s">
        <v>274</v>
      </c>
      <c r="DB3155" s="5" t="s">
        <v>238</v>
      </c>
      <c r="DD3155" s="5" t="s">
        <v>274</v>
      </c>
      <c r="DE3155" s="8">
        <f>177</f>
        <v>177</v>
      </c>
      <c r="DG3155" s="5" t="s">
        <v>238</v>
      </c>
      <c r="DH3155" s="5" t="s">
        <v>238</v>
      </c>
      <c r="DI3155" s="5" t="s">
        <v>238</v>
      </c>
      <c r="DJ3155" s="5" t="s">
        <v>238</v>
      </c>
      <c r="DN3155" s="5" t="s">
        <v>238</v>
      </c>
      <c r="DO3155" s="5" t="s">
        <v>238</v>
      </c>
      <c r="DP3155" s="5" t="s">
        <v>238</v>
      </c>
      <c r="DQ3155" s="5" t="s">
        <v>238</v>
      </c>
      <c r="DT3155" s="5" t="s">
        <v>275</v>
      </c>
      <c r="DU3155" s="5" t="s">
        <v>1590</v>
      </c>
      <c r="HM3155" s="5" t="s">
        <v>264</v>
      </c>
    </row>
    <row r="3156" spans="1:221" x14ac:dyDescent="0.4">
      <c r="A3156" s="5">
        <v>4860</v>
      </c>
      <c r="B3156" s="5">
        <v>1</v>
      </c>
      <c r="C3156" s="5">
        <v>1</v>
      </c>
      <c r="D3156" s="5" t="s">
        <v>269</v>
      </c>
      <c r="E3156" s="5" t="s">
        <v>271</v>
      </c>
      <c r="F3156" s="5" t="s">
        <v>248</v>
      </c>
      <c r="G3156" s="5" t="s">
        <v>266</v>
      </c>
      <c r="H3156" s="6" t="s">
        <v>1583</v>
      </c>
      <c r="I3156" s="7">
        <f>130</f>
        <v>130</v>
      </c>
      <c r="J3156" s="5" t="s">
        <v>262</v>
      </c>
      <c r="K3156" s="8">
        <f>1</f>
        <v>1</v>
      </c>
      <c r="L3156" s="6" t="s">
        <v>242</v>
      </c>
      <c r="M3156" s="5" t="s">
        <v>267</v>
      </c>
      <c r="N3156" s="5" t="s">
        <v>265</v>
      </c>
      <c r="O3156" s="5" t="s">
        <v>238</v>
      </c>
      <c r="P3156" s="5" t="s">
        <v>238</v>
      </c>
      <c r="Q3156" s="5" t="s">
        <v>268</v>
      </c>
      <c r="R3156" s="5" t="s">
        <v>270</v>
      </c>
      <c r="S3156" s="5" t="s">
        <v>238</v>
      </c>
      <c r="V3156" s="5" t="s">
        <v>238</v>
      </c>
      <c r="X3156" s="6" t="s">
        <v>238</v>
      </c>
      <c r="AA3156" s="6" t="s">
        <v>243</v>
      </c>
      <c r="AB3156" s="5" t="s">
        <v>238</v>
      </c>
      <c r="AC3156" s="5" t="s">
        <v>244</v>
      </c>
      <c r="AD3156" s="5" t="s">
        <v>245</v>
      </c>
      <c r="AT3156" s="5" t="s">
        <v>246</v>
      </c>
      <c r="AU3156" s="5" t="s">
        <v>238</v>
      </c>
      <c r="AV3156" s="5" t="s">
        <v>247</v>
      </c>
      <c r="AW3156" s="5" t="s">
        <v>238</v>
      </c>
      <c r="AX3156" s="5" t="s">
        <v>249</v>
      </c>
      <c r="AY3156" s="5" t="s">
        <v>238</v>
      </c>
      <c r="BA3156" s="5" t="s">
        <v>238</v>
      </c>
      <c r="BC3156" s="5" t="s">
        <v>250</v>
      </c>
      <c r="BD3156" s="6" t="s">
        <v>243</v>
      </c>
      <c r="BE3156" s="5" t="s">
        <v>251</v>
      </c>
      <c r="BF3156" s="5" t="s">
        <v>252</v>
      </c>
      <c r="BG3156" s="5" t="s">
        <v>238</v>
      </c>
      <c r="BH3156" s="7">
        <f>0</f>
        <v>0</v>
      </c>
      <c r="BI3156" s="8">
        <f>0</f>
        <v>0</v>
      </c>
      <c r="BJ3156" s="5" t="s">
        <v>253</v>
      </c>
      <c r="BK3156" s="5" t="s">
        <v>254</v>
      </c>
      <c r="BY3156" s="5" t="s">
        <v>238</v>
      </c>
      <c r="BZ3156" s="5" t="s">
        <v>238</v>
      </c>
      <c r="CD3156" s="5" t="s">
        <v>273</v>
      </c>
      <c r="CE3156" s="5" t="s">
        <v>256</v>
      </c>
      <c r="CF3156" s="5" t="s">
        <v>238</v>
      </c>
      <c r="CI3156" s="6" t="s">
        <v>257</v>
      </c>
      <c r="CJ3156" s="5" t="s">
        <v>238</v>
      </c>
      <c r="CK3156" s="5" t="s">
        <v>258</v>
      </c>
      <c r="CL3156" s="5" t="s">
        <v>238</v>
      </c>
      <c r="CM3156" s="5" t="s">
        <v>238</v>
      </c>
      <c r="CN3156" s="5">
        <v>0</v>
      </c>
      <c r="CO3156" s="5" t="s">
        <v>259</v>
      </c>
      <c r="CP3156" s="5" t="s">
        <v>260</v>
      </c>
      <c r="CQ3156" s="5" t="s">
        <v>260</v>
      </c>
      <c r="CR3156" s="5" t="s">
        <v>261</v>
      </c>
      <c r="CU3156" s="8">
        <f>1</f>
        <v>1</v>
      </c>
      <c r="CV3156" s="8">
        <f>0</f>
        <v>0</v>
      </c>
      <c r="CX3156" s="8">
        <f>0</f>
        <v>0</v>
      </c>
      <c r="CY3156" s="8">
        <f>1</f>
        <v>1</v>
      </c>
      <c r="DA3156" s="5" t="s">
        <v>274</v>
      </c>
      <c r="DB3156" s="5" t="s">
        <v>238</v>
      </c>
      <c r="DD3156" s="5" t="s">
        <v>274</v>
      </c>
      <c r="DE3156" s="8">
        <f>130</f>
        <v>130</v>
      </c>
      <c r="DG3156" s="5" t="s">
        <v>238</v>
      </c>
      <c r="DH3156" s="5" t="s">
        <v>238</v>
      </c>
      <c r="DI3156" s="5" t="s">
        <v>238</v>
      </c>
      <c r="DJ3156" s="5" t="s">
        <v>238</v>
      </c>
      <c r="DN3156" s="5" t="s">
        <v>238</v>
      </c>
      <c r="DO3156" s="5" t="s">
        <v>238</v>
      </c>
      <c r="DP3156" s="5" t="s">
        <v>238</v>
      </c>
      <c r="DQ3156" s="5" t="s">
        <v>238</v>
      </c>
      <c r="DT3156" s="5" t="s">
        <v>275</v>
      </c>
      <c r="DU3156" s="5" t="s">
        <v>1584</v>
      </c>
      <c r="HM3156" s="5" t="s">
        <v>264</v>
      </c>
    </row>
    <row r="3157" spans="1:221" x14ac:dyDescent="0.4">
      <c r="A3157" s="5">
        <v>4861</v>
      </c>
      <c r="B3157" s="5">
        <v>1</v>
      </c>
      <c r="C3157" s="5">
        <v>1</v>
      </c>
      <c r="D3157" s="5" t="s">
        <v>269</v>
      </c>
      <c r="E3157" s="5" t="s">
        <v>271</v>
      </c>
      <c r="F3157" s="5" t="s">
        <v>248</v>
      </c>
      <c r="G3157" s="5" t="s">
        <v>266</v>
      </c>
      <c r="H3157" s="6" t="s">
        <v>1571</v>
      </c>
      <c r="I3157" s="7">
        <f>188</f>
        <v>188</v>
      </c>
      <c r="J3157" s="5" t="s">
        <v>262</v>
      </c>
      <c r="K3157" s="8">
        <f>1</f>
        <v>1</v>
      </c>
      <c r="L3157" s="6" t="s">
        <v>242</v>
      </c>
      <c r="M3157" s="5" t="s">
        <v>267</v>
      </c>
      <c r="N3157" s="5" t="s">
        <v>265</v>
      </c>
      <c r="O3157" s="5" t="s">
        <v>238</v>
      </c>
      <c r="P3157" s="5" t="s">
        <v>238</v>
      </c>
      <c r="Q3157" s="5" t="s">
        <v>268</v>
      </c>
      <c r="R3157" s="5" t="s">
        <v>270</v>
      </c>
      <c r="S3157" s="5" t="s">
        <v>238</v>
      </c>
      <c r="V3157" s="5" t="s">
        <v>238</v>
      </c>
      <c r="X3157" s="6" t="s">
        <v>238</v>
      </c>
      <c r="AA3157" s="6" t="s">
        <v>243</v>
      </c>
      <c r="AB3157" s="5" t="s">
        <v>238</v>
      </c>
      <c r="AC3157" s="5" t="s">
        <v>244</v>
      </c>
      <c r="AD3157" s="5" t="s">
        <v>245</v>
      </c>
      <c r="AT3157" s="5" t="s">
        <v>246</v>
      </c>
      <c r="AU3157" s="5" t="s">
        <v>238</v>
      </c>
      <c r="AV3157" s="5" t="s">
        <v>247</v>
      </c>
      <c r="AW3157" s="5" t="s">
        <v>238</v>
      </c>
      <c r="AX3157" s="5" t="s">
        <v>249</v>
      </c>
      <c r="AY3157" s="5" t="s">
        <v>238</v>
      </c>
      <c r="BA3157" s="5" t="s">
        <v>238</v>
      </c>
      <c r="BC3157" s="5" t="s">
        <v>250</v>
      </c>
      <c r="BD3157" s="6" t="s">
        <v>243</v>
      </c>
      <c r="BE3157" s="5" t="s">
        <v>251</v>
      </c>
      <c r="BF3157" s="5" t="s">
        <v>252</v>
      </c>
      <c r="BG3157" s="5" t="s">
        <v>238</v>
      </c>
      <c r="BH3157" s="7">
        <f>0</f>
        <v>0</v>
      </c>
      <c r="BI3157" s="8">
        <f>0</f>
        <v>0</v>
      </c>
      <c r="BJ3157" s="5" t="s">
        <v>253</v>
      </c>
      <c r="BK3157" s="5" t="s">
        <v>254</v>
      </c>
      <c r="BY3157" s="5" t="s">
        <v>238</v>
      </c>
      <c r="BZ3157" s="5" t="s">
        <v>238</v>
      </c>
      <c r="CD3157" s="5" t="s">
        <v>273</v>
      </c>
      <c r="CE3157" s="5" t="s">
        <v>256</v>
      </c>
      <c r="CF3157" s="5" t="s">
        <v>238</v>
      </c>
      <c r="CI3157" s="6" t="s">
        <v>257</v>
      </c>
      <c r="CJ3157" s="5" t="s">
        <v>238</v>
      </c>
      <c r="CK3157" s="5" t="s">
        <v>258</v>
      </c>
      <c r="CL3157" s="5" t="s">
        <v>238</v>
      </c>
      <c r="CM3157" s="5" t="s">
        <v>238</v>
      </c>
      <c r="CN3157" s="5">
        <v>0</v>
      </c>
      <c r="CO3157" s="5" t="s">
        <v>259</v>
      </c>
      <c r="CP3157" s="5" t="s">
        <v>260</v>
      </c>
      <c r="CQ3157" s="5" t="s">
        <v>260</v>
      </c>
      <c r="CR3157" s="5" t="s">
        <v>261</v>
      </c>
      <c r="CU3157" s="8">
        <f>1</f>
        <v>1</v>
      </c>
      <c r="CV3157" s="8">
        <f>0</f>
        <v>0</v>
      </c>
      <c r="CX3157" s="8">
        <f>0</f>
        <v>0</v>
      </c>
      <c r="CY3157" s="8">
        <f>1</f>
        <v>1</v>
      </c>
      <c r="DA3157" s="5" t="s">
        <v>274</v>
      </c>
      <c r="DB3157" s="5" t="s">
        <v>238</v>
      </c>
      <c r="DD3157" s="5" t="s">
        <v>274</v>
      </c>
      <c r="DE3157" s="8">
        <f>188</f>
        <v>188</v>
      </c>
      <c r="DG3157" s="5" t="s">
        <v>238</v>
      </c>
      <c r="DH3157" s="5" t="s">
        <v>238</v>
      </c>
      <c r="DI3157" s="5" t="s">
        <v>238</v>
      </c>
      <c r="DJ3157" s="5" t="s">
        <v>238</v>
      </c>
      <c r="DN3157" s="5" t="s">
        <v>238</v>
      </c>
      <c r="DO3157" s="5" t="s">
        <v>238</v>
      </c>
      <c r="DP3157" s="5" t="s">
        <v>238</v>
      </c>
      <c r="DQ3157" s="5" t="s">
        <v>238</v>
      </c>
      <c r="DT3157" s="5" t="s">
        <v>275</v>
      </c>
      <c r="DU3157" s="5" t="s">
        <v>1572</v>
      </c>
      <c r="HM3157" s="5" t="s">
        <v>264</v>
      </c>
    </row>
    <row r="3158" spans="1:221" x14ac:dyDescent="0.4">
      <c r="A3158" s="5">
        <v>4862</v>
      </c>
      <c r="B3158" s="5">
        <v>1</v>
      </c>
      <c r="C3158" s="5">
        <v>1</v>
      </c>
      <c r="D3158" s="5" t="s">
        <v>269</v>
      </c>
      <c r="E3158" s="5" t="s">
        <v>271</v>
      </c>
      <c r="F3158" s="5" t="s">
        <v>248</v>
      </c>
      <c r="G3158" s="5" t="s">
        <v>266</v>
      </c>
      <c r="H3158" s="6" t="s">
        <v>1563</v>
      </c>
      <c r="I3158" s="7">
        <f>190</f>
        <v>190</v>
      </c>
      <c r="J3158" s="5" t="s">
        <v>262</v>
      </c>
      <c r="K3158" s="8">
        <f>1</f>
        <v>1</v>
      </c>
      <c r="L3158" s="6" t="s">
        <v>242</v>
      </c>
      <c r="M3158" s="5" t="s">
        <v>267</v>
      </c>
      <c r="N3158" s="5" t="s">
        <v>265</v>
      </c>
      <c r="O3158" s="5" t="s">
        <v>238</v>
      </c>
      <c r="P3158" s="5" t="s">
        <v>238</v>
      </c>
      <c r="Q3158" s="5" t="s">
        <v>268</v>
      </c>
      <c r="R3158" s="5" t="s">
        <v>270</v>
      </c>
      <c r="S3158" s="5" t="s">
        <v>238</v>
      </c>
      <c r="V3158" s="5" t="s">
        <v>238</v>
      </c>
      <c r="X3158" s="6" t="s">
        <v>238</v>
      </c>
      <c r="AA3158" s="6" t="s">
        <v>243</v>
      </c>
      <c r="AB3158" s="5" t="s">
        <v>238</v>
      </c>
      <c r="AC3158" s="5" t="s">
        <v>244</v>
      </c>
      <c r="AD3158" s="5" t="s">
        <v>245</v>
      </c>
      <c r="AT3158" s="5" t="s">
        <v>246</v>
      </c>
      <c r="AU3158" s="5" t="s">
        <v>238</v>
      </c>
      <c r="AV3158" s="5" t="s">
        <v>247</v>
      </c>
      <c r="AW3158" s="5" t="s">
        <v>238</v>
      </c>
      <c r="AX3158" s="5" t="s">
        <v>249</v>
      </c>
      <c r="AY3158" s="5" t="s">
        <v>238</v>
      </c>
      <c r="BA3158" s="5" t="s">
        <v>238</v>
      </c>
      <c r="BC3158" s="5" t="s">
        <v>250</v>
      </c>
      <c r="BD3158" s="6" t="s">
        <v>243</v>
      </c>
      <c r="BE3158" s="5" t="s">
        <v>251</v>
      </c>
      <c r="BF3158" s="5" t="s">
        <v>252</v>
      </c>
      <c r="BG3158" s="5" t="s">
        <v>238</v>
      </c>
      <c r="BH3158" s="7">
        <f>0</f>
        <v>0</v>
      </c>
      <c r="BI3158" s="8">
        <f>0</f>
        <v>0</v>
      </c>
      <c r="BJ3158" s="5" t="s">
        <v>253</v>
      </c>
      <c r="BK3158" s="5" t="s">
        <v>254</v>
      </c>
      <c r="BY3158" s="5" t="s">
        <v>238</v>
      </c>
      <c r="BZ3158" s="5" t="s">
        <v>238</v>
      </c>
      <c r="CD3158" s="5" t="s">
        <v>273</v>
      </c>
      <c r="CE3158" s="5" t="s">
        <v>256</v>
      </c>
      <c r="CF3158" s="5" t="s">
        <v>238</v>
      </c>
      <c r="CI3158" s="6" t="s">
        <v>257</v>
      </c>
      <c r="CJ3158" s="5" t="s">
        <v>238</v>
      </c>
      <c r="CK3158" s="5" t="s">
        <v>258</v>
      </c>
      <c r="CL3158" s="5" t="s">
        <v>238</v>
      </c>
      <c r="CM3158" s="5" t="s">
        <v>238</v>
      </c>
      <c r="CN3158" s="5">
        <v>0</v>
      </c>
      <c r="CO3158" s="5" t="s">
        <v>259</v>
      </c>
      <c r="CP3158" s="5" t="s">
        <v>260</v>
      </c>
      <c r="CQ3158" s="5" t="s">
        <v>260</v>
      </c>
      <c r="CR3158" s="5" t="s">
        <v>261</v>
      </c>
      <c r="CU3158" s="8">
        <f>1</f>
        <v>1</v>
      </c>
      <c r="CV3158" s="8">
        <f>0</f>
        <v>0</v>
      </c>
      <c r="CX3158" s="8">
        <f>0</f>
        <v>0</v>
      </c>
      <c r="CY3158" s="8">
        <f>1</f>
        <v>1</v>
      </c>
      <c r="DA3158" s="5" t="s">
        <v>274</v>
      </c>
      <c r="DB3158" s="5" t="s">
        <v>238</v>
      </c>
      <c r="DD3158" s="5" t="s">
        <v>274</v>
      </c>
      <c r="DE3158" s="8">
        <f>190</f>
        <v>190</v>
      </c>
      <c r="DG3158" s="5" t="s">
        <v>238</v>
      </c>
      <c r="DH3158" s="5" t="s">
        <v>238</v>
      </c>
      <c r="DI3158" s="5" t="s">
        <v>238</v>
      </c>
      <c r="DJ3158" s="5" t="s">
        <v>238</v>
      </c>
      <c r="DN3158" s="5" t="s">
        <v>238</v>
      </c>
      <c r="DO3158" s="5" t="s">
        <v>238</v>
      </c>
      <c r="DP3158" s="5" t="s">
        <v>238</v>
      </c>
      <c r="DQ3158" s="5" t="s">
        <v>238</v>
      </c>
      <c r="DT3158" s="5" t="s">
        <v>275</v>
      </c>
      <c r="DU3158" s="5" t="s">
        <v>1564</v>
      </c>
      <c r="HM3158" s="5" t="s">
        <v>264</v>
      </c>
    </row>
    <row r="3159" spans="1:221" x14ac:dyDescent="0.4">
      <c r="A3159" s="5">
        <v>4863</v>
      </c>
      <c r="B3159" s="5">
        <v>1</v>
      </c>
      <c r="C3159" s="5">
        <v>1</v>
      </c>
      <c r="D3159" s="5" t="s">
        <v>269</v>
      </c>
      <c r="E3159" s="5" t="s">
        <v>271</v>
      </c>
      <c r="F3159" s="5" t="s">
        <v>248</v>
      </c>
      <c r="G3159" s="5" t="s">
        <v>266</v>
      </c>
      <c r="H3159" s="6" t="s">
        <v>1556</v>
      </c>
      <c r="I3159" s="7">
        <f>302</f>
        <v>302</v>
      </c>
      <c r="J3159" s="5" t="s">
        <v>262</v>
      </c>
      <c r="K3159" s="8">
        <f>1</f>
        <v>1</v>
      </c>
      <c r="L3159" s="6" t="s">
        <v>242</v>
      </c>
      <c r="M3159" s="5" t="s">
        <v>267</v>
      </c>
      <c r="N3159" s="5" t="s">
        <v>265</v>
      </c>
      <c r="O3159" s="5" t="s">
        <v>238</v>
      </c>
      <c r="P3159" s="5" t="s">
        <v>238</v>
      </c>
      <c r="Q3159" s="5" t="s">
        <v>268</v>
      </c>
      <c r="R3159" s="5" t="s">
        <v>270</v>
      </c>
      <c r="S3159" s="5" t="s">
        <v>238</v>
      </c>
      <c r="V3159" s="5" t="s">
        <v>238</v>
      </c>
      <c r="X3159" s="6" t="s">
        <v>238</v>
      </c>
      <c r="AA3159" s="6" t="s">
        <v>243</v>
      </c>
      <c r="AB3159" s="5" t="s">
        <v>238</v>
      </c>
      <c r="AC3159" s="5" t="s">
        <v>244</v>
      </c>
      <c r="AD3159" s="5" t="s">
        <v>245</v>
      </c>
      <c r="AT3159" s="5" t="s">
        <v>246</v>
      </c>
      <c r="AU3159" s="5" t="s">
        <v>238</v>
      </c>
      <c r="AV3159" s="5" t="s">
        <v>247</v>
      </c>
      <c r="AW3159" s="5" t="s">
        <v>238</v>
      </c>
      <c r="AX3159" s="5" t="s">
        <v>249</v>
      </c>
      <c r="AY3159" s="5" t="s">
        <v>238</v>
      </c>
      <c r="BA3159" s="5" t="s">
        <v>238</v>
      </c>
      <c r="BC3159" s="5" t="s">
        <v>250</v>
      </c>
      <c r="BD3159" s="6" t="s">
        <v>243</v>
      </c>
      <c r="BE3159" s="5" t="s">
        <v>251</v>
      </c>
      <c r="BF3159" s="5" t="s">
        <v>252</v>
      </c>
      <c r="BG3159" s="5" t="s">
        <v>238</v>
      </c>
      <c r="BH3159" s="7">
        <f>0</f>
        <v>0</v>
      </c>
      <c r="BI3159" s="8">
        <f>0</f>
        <v>0</v>
      </c>
      <c r="BJ3159" s="5" t="s">
        <v>253</v>
      </c>
      <c r="BK3159" s="5" t="s">
        <v>254</v>
      </c>
      <c r="BY3159" s="5" t="s">
        <v>238</v>
      </c>
      <c r="BZ3159" s="5" t="s">
        <v>238</v>
      </c>
      <c r="CD3159" s="5" t="s">
        <v>273</v>
      </c>
      <c r="CE3159" s="5" t="s">
        <v>256</v>
      </c>
      <c r="CF3159" s="5" t="s">
        <v>238</v>
      </c>
      <c r="CI3159" s="6" t="s">
        <v>257</v>
      </c>
      <c r="CJ3159" s="5" t="s">
        <v>238</v>
      </c>
      <c r="CK3159" s="5" t="s">
        <v>258</v>
      </c>
      <c r="CL3159" s="5" t="s">
        <v>238</v>
      </c>
      <c r="CM3159" s="5" t="s">
        <v>238</v>
      </c>
      <c r="CN3159" s="5">
        <v>0</v>
      </c>
      <c r="CO3159" s="5" t="s">
        <v>259</v>
      </c>
      <c r="CP3159" s="5" t="s">
        <v>260</v>
      </c>
      <c r="CQ3159" s="5" t="s">
        <v>260</v>
      </c>
      <c r="CR3159" s="5" t="s">
        <v>261</v>
      </c>
      <c r="CU3159" s="8">
        <f>1</f>
        <v>1</v>
      </c>
      <c r="CV3159" s="8">
        <f>0</f>
        <v>0</v>
      </c>
      <c r="CX3159" s="8">
        <f>0</f>
        <v>0</v>
      </c>
      <c r="CY3159" s="8">
        <f>1</f>
        <v>1</v>
      </c>
      <c r="DA3159" s="5" t="s">
        <v>274</v>
      </c>
      <c r="DB3159" s="5" t="s">
        <v>238</v>
      </c>
      <c r="DD3159" s="5" t="s">
        <v>274</v>
      </c>
      <c r="DE3159" s="8">
        <f>302</f>
        <v>302</v>
      </c>
      <c r="DG3159" s="5" t="s">
        <v>238</v>
      </c>
      <c r="DH3159" s="5" t="s">
        <v>238</v>
      </c>
      <c r="DI3159" s="5" t="s">
        <v>238</v>
      </c>
      <c r="DJ3159" s="5" t="s">
        <v>238</v>
      </c>
      <c r="DN3159" s="5" t="s">
        <v>238</v>
      </c>
      <c r="DO3159" s="5" t="s">
        <v>238</v>
      </c>
      <c r="DP3159" s="5" t="s">
        <v>238</v>
      </c>
      <c r="DQ3159" s="5" t="s">
        <v>238</v>
      </c>
      <c r="DT3159" s="5" t="s">
        <v>275</v>
      </c>
      <c r="DU3159" s="5" t="s">
        <v>1557</v>
      </c>
      <c r="HM3159" s="5" t="s">
        <v>264</v>
      </c>
    </row>
    <row r="3160" spans="1:221" x14ac:dyDescent="0.4">
      <c r="A3160" s="5">
        <v>4864</v>
      </c>
      <c r="B3160" s="5">
        <v>1</v>
      </c>
      <c r="C3160" s="5">
        <v>1</v>
      </c>
      <c r="D3160" s="5" t="s">
        <v>269</v>
      </c>
      <c r="E3160" s="5" t="s">
        <v>271</v>
      </c>
      <c r="F3160" s="5" t="s">
        <v>248</v>
      </c>
      <c r="G3160" s="5" t="s">
        <v>266</v>
      </c>
      <c r="H3160" s="6" t="s">
        <v>1548</v>
      </c>
      <c r="I3160" s="7">
        <f>1314</f>
        <v>1314</v>
      </c>
      <c r="J3160" s="5" t="s">
        <v>262</v>
      </c>
      <c r="K3160" s="8">
        <f>1</f>
        <v>1</v>
      </c>
      <c r="L3160" s="6" t="s">
        <v>242</v>
      </c>
      <c r="M3160" s="5" t="s">
        <v>267</v>
      </c>
      <c r="N3160" s="5" t="s">
        <v>265</v>
      </c>
      <c r="O3160" s="5" t="s">
        <v>238</v>
      </c>
      <c r="P3160" s="5" t="s">
        <v>238</v>
      </c>
      <c r="Q3160" s="5" t="s">
        <v>268</v>
      </c>
      <c r="R3160" s="5" t="s">
        <v>270</v>
      </c>
      <c r="S3160" s="5" t="s">
        <v>238</v>
      </c>
      <c r="V3160" s="5" t="s">
        <v>238</v>
      </c>
      <c r="X3160" s="6" t="s">
        <v>238</v>
      </c>
      <c r="AA3160" s="6" t="s">
        <v>243</v>
      </c>
      <c r="AB3160" s="5" t="s">
        <v>238</v>
      </c>
      <c r="AC3160" s="5" t="s">
        <v>244</v>
      </c>
      <c r="AD3160" s="5" t="s">
        <v>245</v>
      </c>
      <c r="AT3160" s="5" t="s">
        <v>246</v>
      </c>
      <c r="AU3160" s="5" t="s">
        <v>238</v>
      </c>
      <c r="AV3160" s="5" t="s">
        <v>247</v>
      </c>
      <c r="AW3160" s="5" t="s">
        <v>238</v>
      </c>
      <c r="AX3160" s="5" t="s">
        <v>249</v>
      </c>
      <c r="AY3160" s="5" t="s">
        <v>238</v>
      </c>
      <c r="BA3160" s="5" t="s">
        <v>238</v>
      </c>
      <c r="BC3160" s="5" t="s">
        <v>250</v>
      </c>
      <c r="BD3160" s="6" t="s">
        <v>243</v>
      </c>
      <c r="BE3160" s="5" t="s">
        <v>251</v>
      </c>
      <c r="BF3160" s="5" t="s">
        <v>252</v>
      </c>
      <c r="BG3160" s="5" t="s">
        <v>238</v>
      </c>
      <c r="BH3160" s="7">
        <f>0</f>
        <v>0</v>
      </c>
      <c r="BI3160" s="8">
        <f>0</f>
        <v>0</v>
      </c>
      <c r="BJ3160" s="5" t="s">
        <v>253</v>
      </c>
      <c r="BK3160" s="5" t="s">
        <v>254</v>
      </c>
      <c r="BY3160" s="5" t="s">
        <v>238</v>
      </c>
      <c r="BZ3160" s="5" t="s">
        <v>238</v>
      </c>
      <c r="CD3160" s="5" t="s">
        <v>273</v>
      </c>
      <c r="CE3160" s="5" t="s">
        <v>256</v>
      </c>
      <c r="CF3160" s="5" t="s">
        <v>238</v>
      </c>
      <c r="CI3160" s="6" t="s">
        <v>257</v>
      </c>
      <c r="CJ3160" s="5" t="s">
        <v>238</v>
      </c>
      <c r="CK3160" s="5" t="s">
        <v>258</v>
      </c>
      <c r="CL3160" s="5" t="s">
        <v>238</v>
      </c>
      <c r="CM3160" s="5" t="s">
        <v>238</v>
      </c>
      <c r="CN3160" s="5">
        <v>0</v>
      </c>
      <c r="CO3160" s="5" t="s">
        <v>259</v>
      </c>
      <c r="CP3160" s="5" t="s">
        <v>260</v>
      </c>
      <c r="CQ3160" s="5" t="s">
        <v>260</v>
      </c>
      <c r="CR3160" s="5" t="s">
        <v>261</v>
      </c>
      <c r="CU3160" s="8">
        <f>1</f>
        <v>1</v>
      </c>
      <c r="CV3160" s="8">
        <f>0</f>
        <v>0</v>
      </c>
      <c r="CX3160" s="8">
        <f>0</f>
        <v>0</v>
      </c>
      <c r="CY3160" s="8">
        <f>1</f>
        <v>1</v>
      </c>
      <c r="DA3160" s="5" t="s">
        <v>274</v>
      </c>
      <c r="DB3160" s="5" t="s">
        <v>238</v>
      </c>
      <c r="DD3160" s="5" t="s">
        <v>274</v>
      </c>
      <c r="DE3160" s="8">
        <f>1314</f>
        <v>1314</v>
      </c>
      <c r="DG3160" s="5" t="s">
        <v>238</v>
      </c>
      <c r="DH3160" s="5" t="s">
        <v>238</v>
      </c>
      <c r="DI3160" s="5" t="s">
        <v>238</v>
      </c>
      <c r="DJ3160" s="5" t="s">
        <v>238</v>
      </c>
      <c r="DN3160" s="5" t="s">
        <v>238</v>
      </c>
      <c r="DO3160" s="5" t="s">
        <v>238</v>
      </c>
      <c r="DP3160" s="5" t="s">
        <v>238</v>
      </c>
      <c r="DQ3160" s="5" t="s">
        <v>238</v>
      </c>
      <c r="DT3160" s="5" t="s">
        <v>275</v>
      </c>
      <c r="DU3160" s="5" t="s">
        <v>1549</v>
      </c>
      <c r="HM3160" s="5" t="s">
        <v>264</v>
      </c>
    </row>
    <row r="3161" spans="1:221" x14ac:dyDescent="0.4">
      <c r="A3161" s="5">
        <v>4865</v>
      </c>
      <c r="B3161" s="5">
        <v>1</v>
      </c>
      <c r="C3161" s="5">
        <v>1</v>
      </c>
      <c r="D3161" s="5" t="s">
        <v>269</v>
      </c>
      <c r="E3161" s="5" t="s">
        <v>271</v>
      </c>
      <c r="F3161" s="5" t="s">
        <v>248</v>
      </c>
      <c r="G3161" s="5" t="s">
        <v>266</v>
      </c>
      <c r="H3161" s="6" t="s">
        <v>1540</v>
      </c>
      <c r="I3161" s="7">
        <f>261</f>
        <v>261</v>
      </c>
      <c r="J3161" s="5" t="s">
        <v>262</v>
      </c>
      <c r="K3161" s="8">
        <f>1</f>
        <v>1</v>
      </c>
      <c r="L3161" s="6" t="s">
        <v>242</v>
      </c>
      <c r="M3161" s="5" t="s">
        <v>267</v>
      </c>
      <c r="N3161" s="5" t="s">
        <v>265</v>
      </c>
      <c r="O3161" s="5" t="s">
        <v>238</v>
      </c>
      <c r="P3161" s="5" t="s">
        <v>238</v>
      </c>
      <c r="Q3161" s="5" t="s">
        <v>268</v>
      </c>
      <c r="R3161" s="5" t="s">
        <v>270</v>
      </c>
      <c r="S3161" s="5" t="s">
        <v>238</v>
      </c>
      <c r="V3161" s="5" t="s">
        <v>238</v>
      </c>
      <c r="X3161" s="6" t="s">
        <v>238</v>
      </c>
      <c r="AA3161" s="6" t="s">
        <v>243</v>
      </c>
      <c r="AB3161" s="5" t="s">
        <v>238</v>
      </c>
      <c r="AC3161" s="5" t="s">
        <v>244</v>
      </c>
      <c r="AD3161" s="5" t="s">
        <v>245</v>
      </c>
      <c r="AT3161" s="5" t="s">
        <v>246</v>
      </c>
      <c r="AU3161" s="5" t="s">
        <v>238</v>
      </c>
      <c r="AV3161" s="5" t="s">
        <v>247</v>
      </c>
      <c r="AW3161" s="5" t="s">
        <v>238</v>
      </c>
      <c r="AX3161" s="5" t="s">
        <v>249</v>
      </c>
      <c r="AY3161" s="5" t="s">
        <v>238</v>
      </c>
      <c r="BA3161" s="5" t="s">
        <v>238</v>
      </c>
      <c r="BC3161" s="5" t="s">
        <v>250</v>
      </c>
      <c r="BD3161" s="6" t="s">
        <v>243</v>
      </c>
      <c r="BE3161" s="5" t="s">
        <v>251</v>
      </c>
      <c r="BF3161" s="5" t="s">
        <v>252</v>
      </c>
      <c r="BG3161" s="5" t="s">
        <v>238</v>
      </c>
      <c r="BH3161" s="7">
        <f>0</f>
        <v>0</v>
      </c>
      <c r="BI3161" s="8">
        <f>0</f>
        <v>0</v>
      </c>
      <c r="BJ3161" s="5" t="s">
        <v>253</v>
      </c>
      <c r="BK3161" s="5" t="s">
        <v>254</v>
      </c>
      <c r="BY3161" s="5" t="s">
        <v>238</v>
      </c>
      <c r="BZ3161" s="5" t="s">
        <v>238</v>
      </c>
      <c r="CD3161" s="5" t="s">
        <v>273</v>
      </c>
      <c r="CE3161" s="5" t="s">
        <v>256</v>
      </c>
      <c r="CF3161" s="5" t="s">
        <v>238</v>
      </c>
      <c r="CI3161" s="6" t="s">
        <v>257</v>
      </c>
      <c r="CJ3161" s="5" t="s">
        <v>238</v>
      </c>
      <c r="CK3161" s="5" t="s">
        <v>258</v>
      </c>
      <c r="CL3161" s="5" t="s">
        <v>238</v>
      </c>
      <c r="CM3161" s="5" t="s">
        <v>238</v>
      </c>
      <c r="CN3161" s="5">
        <v>0</v>
      </c>
      <c r="CO3161" s="5" t="s">
        <v>259</v>
      </c>
      <c r="CP3161" s="5" t="s">
        <v>260</v>
      </c>
      <c r="CQ3161" s="5" t="s">
        <v>260</v>
      </c>
      <c r="CR3161" s="5" t="s">
        <v>261</v>
      </c>
      <c r="CU3161" s="8">
        <f>1</f>
        <v>1</v>
      </c>
      <c r="CV3161" s="8">
        <f>0</f>
        <v>0</v>
      </c>
      <c r="CX3161" s="8">
        <f>0</f>
        <v>0</v>
      </c>
      <c r="CY3161" s="8">
        <f>1</f>
        <v>1</v>
      </c>
      <c r="DA3161" s="5" t="s">
        <v>274</v>
      </c>
      <c r="DB3161" s="5" t="s">
        <v>238</v>
      </c>
      <c r="DD3161" s="5" t="s">
        <v>274</v>
      </c>
      <c r="DE3161" s="8">
        <f>261</f>
        <v>261</v>
      </c>
      <c r="DG3161" s="5" t="s">
        <v>238</v>
      </c>
      <c r="DH3161" s="5" t="s">
        <v>238</v>
      </c>
      <c r="DI3161" s="5" t="s">
        <v>238</v>
      </c>
      <c r="DJ3161" s="5" t="s">
        <v>238</v>
      </c>
      <c r="DN3161" s="5" t="s">
        <v>238</v>
      </c>
      <c r="DO3161" s="5" t="s">
        <v>238</v>
      </c>
      <c r="DP3161" s="5" t="s">
        <v>238</v>
      </c>
      <c r="DQ3161" s="5" t="s">
        <v>238</v>
      </c>
      <c r="DT3161" s="5" t="s">
        <v>275</v>
      </c>
      <c r="DU3161" s="5" t="s">
        <v>1541</v>
      </c>
      <c r="HM3161" s="5" t="s">
        <v>264</v>
      </c>
    </row>
    <row r="3162" spans="1:221" x14ac:dyDescent="0.4">
      <c r="A3162" s="5">
        <v>4866</v>
      </c>
      <c r="B3162" s="5">
        <v>1</v>
      </c>
      <c r="C3162" s="5">
        <v>1</v>
      </c>
      <c r="D3162" s="5" t="s">
        <v>269</v>
      </c>
      <c r="E3162" s="5" t="s">
        <v>271</v>
      </c>
      <c r="F3162" s="5" t="s">
        <v>248</v>
      </c>
      <c r="G3162" s="5" t="s">
        <v>266</v>
      </c>
      <c r="H3162" s="6" t="s">
        <v>1528</v>
      </c>
      <c r="I3162" s="7">
        <f>25</f>
        <v>25</v>
      </c>
      <c r="J3162" s="5" t="s">
        <v>262</v>
      </c>
      <c r="K3162" s="8">
        <f>1</f>
        <v>1</v>
      </c>
      <c r="L3162" s="6" t="s">
        <v>242</v>
      </c>
      <c r="M3162" s="5" t="s">
        <v>267</v>
      </c>
      <c r="N3162" s="5" t="s">
        <v>265</v>
      </c>
      <c r="O3162" s="5" t="s">
        <v>238</v>
      </c>
      <c r="P3162" s="5" t="s">
        <v>238</v>
      </c>
      <c r="Q3162" s="5" t="s">
        <v>268</v>
      </c>
      <c r="R3162" s="5" t="s">
        <v>270</v>
      </c>
      <c r="S3162" s="5" t="s">
        <v>238</v>
      </c>
      <c r="V3162" s="5" t="s">
        <v>238</v>
      </c>
      <c r="X3162" s="6" t="s">
        <v>238</v>
      </c>
      <c r="AA3162" s="6" t="s">
        <v>243</v>
      </c>
      <c r="AB3162" s="5" t="s">
        <v>238</v>
      </c>
      <c r="AC3162" s="5" t="s">
        <v>244</v>
      </c>
      <c r="AD3162" s="5" t="s">
        <v>245</v>
      </c>
      <c r="AT3162" s="5" t="s">
        <v>246</v>
      </c>
      <c r="AU3162" s="5" t="s">
        <v>238</v>
      </c>
      <c r="AV3162" s="5" t="s">
        <v>247</v>
      </c>
      <c r="AW3162" s="5" t="s">
        <v>238</v>
      </c>
      <c r="AX3162" s="5" t="s">
        <v>249</v>
      </c>
      <c r="AY3162" s="5" t="s">
        <v>238</v>
      </c>
      <c r="BA3162" s="5" t="s">
        <v>238</v>
      </c>
      <c r="BC3162" s="5" t="s">
        <v>250</v>
      </c>
      <c r="BD3162" s="6" t="s">
        <v>243</v>
      </c>
      <c r="BE3162" s="5" t="s">
        <v>251</v>
      </c>
      <c r="BF3162" s="5" t="s">
        <v>252</v>
      </c>
      <c r="BG3162" s="5" t="s">
        <v>238</v>
      </c>
      <c r="BH3162" s="7">
        <f>0</f>
        <v>0</v>
      </c>
      <c r="BI3162" s="8">
        <f>0</f>
        <v>0</v>
      </c>
      <c r="BJ3162" s="5" t="s">
        <v>253</v>
      </c>
      <c r="BK3162" s="5" t="s">
        <v>254</v>
      </c>
      <c r="BY3162" s="5" t="s">
        <v>238</v>
      </c>
      <c r="BZ3162" s="5" t="s">
        <v>238</v>
      </c>
      <c r="CD3162" s="5" t="s">
        <v>273</v>
      </c>
      <c r="CE3162" s="5" t="s">
        <v>256</v>
      </c>
      <c r="CF3162" s="5" t="s">
        <v>238</v>
      </c>
      <c r="CI3162" s="6" t="s">
        <v>257</v>
      </c>
      <c r="CJ3162" s="5" t="s">
        <v>238</v>
      </c>
      <c r="CK3162" s="5" t="s">
        <v>258</v>
      </c>
      <c r="CL3162" s="5" t="s">
        <v>238</v>
      </c>
      <c r="CM3162" s="5" t="s">
        <v>238</v>
      </c>
      <c r="CN3162" s="5">
        <v>0</v>
      </c>
      <c r="CO3162" s="5" t="s">
        <v>259</v>
      </c>
      <c r="CP3162" s="5" t="s">
        <v>260</v>
      </c>
      <c r="CQ3162" s="5" t="s">
        <v>260</v>
      </c>
      <c r="CR3162" s="5" t="s">
        <v>261</v>
      </c>
      <c r="CU3162" s="8">
        <f>1</f>
        <v>1</v>
      </c>
      <c r="CV3162" s="8">
        <f>0</f>
        <v>0</v>
      </c>
      <c r="CX3162" s="8">
        <f>0</f>
        <v>0</v>
      </c>
      <c r="CY3162" s="8">
        <f>1</f>
        <v>1</v>
      </c>
      <c r="DA3162" s="5" t="s">
        <v>274</v>
      </c>
      <c r="DB3162" s="5" t="s">
        <v>238</v>
      </c>
      <c r="DD3162" s="5" t="s">
        <v>274</v>
      </c>
      <c r="DE3162" s="8">
        <f>25</f>
        <v>25</v>
      </c>
      <c r="DG3162" s="5" t="s">
        <v>238</v>
      </c>
      <c r="DH3162" s="5" t="s">
        <v>238</v>
      </c>
      <c r="DI3162" s="5" t="s">
        <v>238</v>
      </c>
      <c r="DJ3162" s="5" t="s">
        <v>238</v>
      </c>
      <c r="DN3162" s="5" t="s">
        <v>238</v>
      </c>
      <c r="DO3162" s="5" t="s">
        <v>238</v>
      </c>
      <c r="DP3162" s="5" t="s">
        <v>238</v>
      </c>
      <c r="DQ3162" s="5" t="s">
        <v>238</v>
      </c>
      <c r="DT3162" s="5" t="s">
        <v>275</v>
      </c>
      <c r="DU3162" s="5" t="s">
        <v>1529</v>
      </c>
      <c r="HM3162" s="5" t="s">
        <v>264</v>
      </c>
    </row>
    <row r="3163" spans="1:221" x14ac:dyDescent="0.4">
      <c r="A3163" s="5">
        <v>4867</v>
      </c>
      <c r="B3163" s="5">
        <v>1</v>
      </c>
      <c r="C3163" s="5">
        <v>1</v>
      </c>
      <c r="D3163" s="5" t="s">
        <v>269</v>
      </c>
      <c r="E3163" s="5" t="s">
        <v>271</v>
      </c>
      <c r="F3163" s="5" t="s">
        <v>248</v>
      </c>
      <c r="G3163" s="5" t="s">
        <v>266</v>
      </c>
      <c r="H3163" s="6" t="s">
        <v>1518</v>
      </c>
      <c r="I3163" s="7">
        <f>21</f>
        <v>21</v>
      </c>
      <c r="J3163" s="5" t="s">
        <v>262</v>
      </c>
      <c r="K3163" s="8">
        <f>1</f>
        <v>1</v>
      </c>
      <c r="L3163" s="6" t="s">
        <v>242</v>
      </c>
      <c r="M3163" s="5" t="s">
        <v>267</v>
      </c>
      <c r="N3163" s="5" t="s">
        <v>265</v>
      </c>
      <c r="O3163" s="5" t="s">
        <v>238</v>
      </c>
      <c r="P3163" s="5" t="s">
        <v>238</v>
      </c>
      <c r="Q3163" s="5" t="s">
        <v>268</v>
      </c>
      <c r="R3163" s="5" t="s">
        <v>270</v>
      </c>
      <c r="S3163" s="5" t="s">
        <v>238</v>
      </c>
      <c r="V3163" s="5" t="s">
        <v>238</v>
      </c>
      <c r="X3163" s="6" t="s">
        <v>238</v>
      </c>
      <c r="AA3163" s="6" t="s">
        <v>243</v>
      </c>
      <c r="AB3163" s="5" t="s">
        <v>238</v>
      </c>
      <c r="AC3163" s="5" t="s">
        <v>244</v>
      </c>
      <c r="AD3163" s="5" t="s">
        <v>245</v>
      </c>
      <c r="AT3163" s="5" t="s">
        <v>246</v>
      </c>
      <c r="AU3163" s="5" t="s">
        <v>238</v>
      </c>
      <c r="AV3163" s="5" t="s">
        <v>247</v>
      </c>
      <c r="AW3163" s="5" t="s">
        <v>238</v>
      </c>
      <c r="AX3163" s="5" t="s">
        <v>249</v>
      </c>
      <c r="AY3163" s="5" t="s">
        <v>238</v>
      </c>
      <c r="BA3163" s="5" t="s">
        <v>238</v>
      </c>
      <c r="BC3163" s="5" t="s">
        <v>250</v>
      </c>
      <c r="BD3163" s="6" t="s">
        <v>243</v>
      </c>
      <c r="BE3163" s="5" t="s">
        <v>251</v>
      </c>
      <c r="BF3163" s="5" t="s">
        <v>252</v>
      </c>
      <c r="BG3163" s="5" t="s">
        <v>238</v>
      </c>
      <c r="BH3163" s="7">
        <f>0</f>
        <v>0</v>
      </c>
      <c r="BI3163" s="8">
        <f>0</f>
        <v>0</v>
      </c>
      <c r="BJ3163" s="5" t="s">
        <v>253</v>
      </c>
      <c r="BK3163" s="5" t="s">
        <v>254</v>
      </c>
      <c r="BY3163" s="5" t="s">
        <v>238</v>
      </c>
      <c r="BZ3163" s="5" t="s">
        <v>238</v>
      </c>
      <c r="CD3163" s="5" t="s">
        <v>273</v>
      </c>
      <c r="CE3163" s="5" t="s">
        <v>256</v>
      </c>
      <c r="CF3163" s="5" t="s">
        <v>238</v>
      </c>
      <c r="CI3163" s="6" t="s">
        <v>257</v>
      </c>
      <c r="CJ3163" s="5" t="s">
        <v>238</v>
      </c>
      <c r="CK3163" s="5" t="s">
        <v>258</v>
      </c>
      <c r="CL3163" s="5" t="s">
        <v>238</v>
      </c>
      <c r="CM3163" s="5" t="s">
        <v>238</v>
      </c>
      <c r="CN3163" s="5">
        <v>0</v>
      </c>
      <c r="CO3163" s="5" t="s">
        <v>259</v>
      </c>
      <c r="CP3163" s="5" t="s">
        <v>260</v>
      </c>
      <c r="CQ3163" s="5" t="s">
        <v>260</v>
      </c>
      <c r="CR3163" s="5" t="s">
        <v>261</v>
      </c>
      <c r="CU3163" s="8">
        <f>1</f>
        <v>1</v>
      </c>
      <c r="CV3163" s="8">
        <f>0</f>
        <v>0</v>
      </c>
      <c r="CX3163" s="8">
        <f>0</f>
        <v>0</v>
      </c>
      <c r="CY3163" s="8">
        <f>1</f>
        <v>1</v>
      </c>
      <c r="DA3163" s="5" t="s">
        <v>274</v>
      </c>
      <c r="DB3163" s="5" t="s">
        <v>238</v>
      </c>
      <c r="DD3163" s="5" t="s">
        <v>274</v>
      </c>
      <c r="DE3163" s="8">
        <f>21</f>
        <v>21</v>
      </c>
      <c r="DG3163" s="5" t="s">
        <v>238</v>
      </c>
      <c r="DH3163" s="5" t="s">
        <v>238</v>
      </c>
      <c r="DI3163" s="5" t="s">
        <v>238</v>
      </c>
      <c r="DJ3163" s="5" t="s">
        <v>238</v>
      </c>
      <c r="DN3163" s="5" t="s">
        <v>238</v>
      </c>
      <c r="DO3163" s="5" t="s">
        <v>238</v>
      </c>
      <c r="DP3163" s="5" t="s">
        <v>238</v>
      </c>
      <c r="DQ3163" s="5" t="s">
        <v>238</v>
      </c>
      <c r="DT3163" s="5" t="s">
        <v>275</v>
      </c>
      <c r="DU3163" s="5" t="s">
        <v>1519</v>
      </c>
      <c r="HM3163" s="5" t="s">
        <v>264</v>
      </c>
    </row>
    <row r="3164" spans="1:221" x14ac:dyDescent="0.4">
      <c r="A3164" s="5">
        <v>4868</v>
      </c>
      <c r="B3164" s="5">
        <v>1</v>
      </c>
      <c r="C3164" s="5">
        <v>1</v>
      </c>
      <c r="D3164" s="5" t="s">
        <v>269</v>
      </c>
      <c r="E3164" s="5" t="s">
        <v>271</v>
      </c>
      <c r="F3164" s="5" t="s">
        <v>248</v>
      </c>
      <c r="G3164" s="5" t="s">
        <v>266</v>
      </c>
      <c r="H3164" s="6" t="s">
        <v>1510</v>
      </c>
      <c r="I3164" s="7">
        <f>78</f>
        <v>78</v>
      </c>
      <c r="J3164" s="5" t="s">
        <v>262</v>
      </c>
      <c r="K3164" s="8">
        <f>1</f>
        <v>1</v>
      </c>
      <c r="L3164" s="6" t="s">
        <v>242</v>
      </c>
      <c r="M3164" s="5" t="s">
        <v>267</v>
      </c>
      <c r="N3164" s="5" t="s">
        <v>265</v>
      </c>
      <c r="O3164" s="5" t="s">
        <v>238</v>
      </c>
      <c r="P3164" s="5" t="s">
        <v>238</v>
      </c>
      <c r="Q3164" s="5" t="s">
        <v>268</v>
      </c>
      <c r="R3164" s="5" t="s">
        <v>270</v>
      </c>
      <c r="S3164" s="5" t="s">
        <v>238</v>
      </c>
      <c r="V3164" s="5" t="s">
        <v>238</v>
      </c>
      <c r="X3164" s="6" t="s">
        <v>238</v>
      </c>
      <c r="AA3164" s="6" t="s">
        <v>243</v>
      </c>
      <c r="AB3164" s="5" t="s">
        <v>238</v>
      </c>
      <c r="AC3164" s="5" t="s">
        <v>244</v>
      </c>
      <c r="AD3164" s="5" t="s">
        <v>245</v>
      </c>
      <c r="AT3164" s="5" t="s">
        <v>246</v>
      </c>
      <c r="AU3164" s="5" t="s">
        <v>238</v>
      </c>
      <c r="AV3164" s="5" t="s">
        <v>247</v>
      </c>
      <c r="AW3164" s="5" t="s">
        <v>238</v>
      </c>
      <c r="AX3164" s="5" t="s">
        <v>249</v>
      </c>
      <c r="AY3164" s="5" t="s">
        <v>238</v>
      </c>
      <c r="BA3164" s="5" t="s">
        <v>238</v>
      </c>
      <c r="BC3164" s="5" t="s">
        <v>250</v>
      </c>
      <c r="BD3164" s="6" t="s">
        <v>243</v>
      </c>
      <c r="BE3164" s="5" t="s">
        <v>251</v>
      </c>
      <c r="BF3164" s="5" t="s">
        <v>252</v>
      </c>
      <c r="BG3164" s="5" t="s">
        <v>238</v>
      </c>
      <c r="BH3164" s="7">
        <f>0</f>
        <v>0</v>
      </c>
      <c r="BI3164" s="8">
        <f>0</f>
        <v>0</v>
      </c>
      <c r="BJ3164" s="5" t="s">
        <v>253</v>
      </c>
      <c r="BK3164" s="5" t="s">
        <v>254</v>
      </c>
      <c r="BY3164" s="5" t="s">
        <v>238</v>
      </c>
      <c r="BZ3164" s="5" t="s">
        <v>238</v>
      </c>
      <c r="CD3164" s="5" t="s">
        <v>273</v>
      </c>
      <c r="CE3164" s="5" t="s">
        <v>256</v>
      </c>
      <c r="CF3164" s="5" t="s">
        <v>238</v>
      </c>
      <c r="CI3164" s="6" t="s">
        <v>257</v>
      </c>
      <c r="CJ3164" s="5" t="s">
        <v>238</v>
      </c>
      <c r="CK3164" s="5" t="s">
        <v>258</v>
      </c>
      <c r="CL3164" s="5" t="s">
        <v>238</v>
      </c>
      <c r="CM3164" s="5" t="s">
        <v>238</v>
      </c>
      <c r="CN3164" s="5">
        <v>0</v>
      </c>
      <c r="CO3164" s="5" t="s">
        <v>259</v>
      </c>
      <c r="CP3164" s="5" t="s">
        <v>260</v>
      </c>
      <c r="CQ3164" s="5" t="s">
        <v>260</v>
      </c>
      <c r="CR3164" s="5" t="s">
        <v>261</v>
      </c>
      <c r="CU3164" s="8">
        <f>1</f>
        <v>1</v>
      </c>
      <c r="CV3164" s="8">
        <f>0</f>
        <v>0</v>
      </c>
      <c r="CX3164" s="8">
        <f>0</f>
        <v>0</v>
      </c>
      <c r="CY3164" s="8">
        <f>1</f>
        <v>1</v>
      </c>
      <c r="DA3164" s="5" t="s">
        <v>274</v>
      </c>
      <c r="DB3164" s="5" t="s">
        <v>238</v>
      </c>
      <c r="DD3164" s="5" t="s">
        <v>274</v>
      </c>
      <c r="DE3164" s="8">
        <f>78</f>
        <v>78</v>
      </c>
      <c r="DG3164" s="5" t="s">
        <v>238</v>
      </c>
      <c r="DH3164" s="5" t="s">
        <v>238</v>
      </c>
      <c r="DI3164" s="5" t="s">
        <v>238</v>
      </c>
      <c r="DJ3164" s="5" t="s">
        <v>238</v>
      </c>
      <c r="DN3164" s="5" t="s">
        <v>238</v>
      </c>
      <c r="DO3164" s="5" t="s">
        <v>238</v>
      </c>
      <c r="DP3164" s="5" t="s">
        <v>238</v>
      </c>
      <c r="DQ3164" s="5" t="s">
        <v>238</v>
      </c>
      <c r="DT3164" s="5" t="s">
        <v>275</v>
      </c>
      <c r="DU3164" s="5" t="s">
        <v>1511</v>
      </c>
      <c r="HM3164" s="5" t="s">
        <v>264</v>
      </c>
    </row>
    <row r="3165" spans="1:221" x14ac:dyDescent="0.4">
      <c r="A3165" s="5">
        <v>4869</v>
      </c>
      <c r="B3165" s="5">
        <v>1</v>
      </c>
      <c r="C3165" s="5">
        <v>1</v>
      </c>
      <c r="D3165" s="5" t="s">
        <v>269</v>
      </c>
      <c r="E3165" s="5" t="s">
        <v>271</v>
      </c>
      <c r="F3165" s="5" t="s">
        <v>248</v>
      </c>
      <c r="G3165" s="5" t="s">
        <v>266</v>
      </c>
      <c r="H3165" s="6" t="s">
        <v>1500</v>
      </c>
      <c r="I3165" s="7">
        <f>555</f>
        <v>555</v>
      </c>
      <c r="J3165" s="5" t="s">
        <v>262</v>
      </c>
      <c r="K3165" s="8">
        <f>1</f>
        <v>1</v>
      </c>
      <c r="L3165" s="6" t="s">
        <v>242</v>
      </c>
      <c r="M3165" s="5" t="s">
        <v>267</v>
      </c>
      <c r="N3165" s="5" t="s">
        <v>265</v>
      </c>
      <c r="O3165" s="5" t="s">
        <v>238</v>
      </c>
      <c r="P3165" s="5" t="s">
        <v>238</v>
      </c>
      <c r="Q3165" s="5" t="s">
        <v>268</v>
      </c>
      <c r="R3165" s="5" t="s">
        <v>270</v>
      </c>
      <c r="S3165" s="5" t="s">
        <v>238</v>
      </c>
      <c r="V3165" s="5" t="s">
        <v>238</v>
      </c>
      <c r="X3165" s="6" t="s">
        <v>238</v>
      </c>
      <c r="AA3165" s="6" t="s">
        <v>243</v>
      </c>
      <c r="AB3165" s="5" t="s">
        <v>238</v>
      </c>
      <c r="AC3165" s="5" t="s">
        <v>244</v>
      </c>
      <c r="AD3165" s="5" t="s">
        <v>245</v>
      </c>
      <c r="AT3165" s="5" t="s">
        <v>246</v>
      </c>
      <c r="AU3165" s="5" t="s">
        <v>238</v>
      </c>
      <c r="AV3165" s="5" t="s">
        <v>247</v>
      </c>
      <c r="AW3165" s="5" t="s">
        <v>238</v>
      </c>
      <c r="AX3165" s="5" t="s">
        <v>249</v>
      </c>
      <c r="AY3165" s="5" t="s">
        <v>238</v>
      </c>
      <c r="BA3165" s="5" t="s">
        <v>238</v>
      </c>
      <c r="BC3165" s="5" t="s">
        <v>250</v>
      </c>
      <c r="BD3165" s="6" t="s">
        <v>243</v>
      </c>
      <c r="BE3165" s="5" t="s">
        <v>251</v>
      </c>
      <c r="BF3165" s="5" t="s">
        <v>252</v>
      </c>
      <c r="BG3165" s="5" t="s">
        <v>238</v>
      </c>
      <c r="BH3165" s="7">
        <f>0</f>
        <v>0</v>
      </c>
      <c r="BI3165" s="8">
        <f>0</f>
        <v>0</v>
      </c>
      <c r="BJ3165" s="5" t="s">
        <v>253</v>
      </c>
      <c r="BK3165" s="5" t="s">
        <v>254</v>
      </c>
      <c r="BY3165" s="5" t="s">
        <v>238</v>
      </c>
      <c r="BZ3165" s="5" t="s">
        <v>238</v>
      </c>
      <c r="CD3165" s="5" t="s">
        <v>273</v>
      </c>
      <c r="CE3165" s="5" t="s">
        <v>256</v>
      </c>
      <c r="CF3165" s="5" t="s">
        <v>238</v>
      </c>
      <c r="CI3165" s="6" t="s">
        <v>257</v>
      </c>
      <c r="CJ3165" s="5" t="s">
        <v>238</v>
      </c>
      <c r="CK3165" s="5" t="s">
        <v>258</v>
      </c>
      <c r="CL3165" s="5" t="s">
        <v>238</v>
      </c>
      <c r="CM3165" s="5" t="s">
        <v>238</v>
      </c>
      <c r="CN3165" s="5">
        <v>0</v>
      </c>
      <c r="CO3165" s="5" t="s">
        <v>259</v>
      </c>
      <c r="CP3165" s="5" t="s">
        <v>260</v>
      </c>
      <c r="CQ3165" s="5" t="s">
        <v>260</v>
      </c>
      <c r="CR3165" s="5" t="s">
        <v>261</v>
      </c>
      <c r="CU3165" s="8">
        <f>1</f>
        <v>1</v>
      </c>
      <c r="CV3165" s="8">
        <f>0</f>
        <v>0</v>
      </c>
      <c r="CX3165" s="8">
        <f>0</f>
        <v>0</v>
      </c>
      <c r="CY3165" s="8">
        <f>1</f>
        <v>1</v>
      </c>
      <c r="DA3165" s="5" t="s">
        <v>274</v>
      </c>
      <c r="DB3165" s="5" t="s">
        <v>238</v>
      </c>
      <c r="DD3165" s="5" t="s">
        <v>274</v>
      </c>
      <c r="DE3165" s="8">
        <f>555</f>
        <v>555</v>
      </c>
      <c r="DG3165" s="5" t="s">
        <v>238</v>
      </c>
      <c r="DH3165" s="5" t="s">
        <v>238</v>
      </c>
      <c r="DI3165" s="5" t="s">
        <v>238</v>
      </c>
      <c r="DJ3165" s="5" t="s">
        <v>238</v>
      </c>
      <c r="DN3165" s="5" t="s">
        <v>238</v>
      </c>
      <c r="DO3165" s="5" t="s">
        <v>238</v>
      </c>
      <c r="DP3165" s="5" t="s">
        <v>238</v>
      </c>
      <c r="DQ3165" s="5" t="s">
        <v>238</v>
      </c>
      <c r="DT3165" s="5" t="s">
        <v>275</v>
      </c>
      <c r="DU3165" s="5" t="s">
        <v>1501</v>
      </c>
      <c r="HM3165" s="5" t="s">
        <v>264</v>
      </c>
    </row>
    <row r="3166" spans="1:221" x14ac:dyDescent="0.4">
      <c r="A3166" s="5">
        <v>4870</v>
      </c>
      <c r="B3166" s="5">
        <v>1</v>
      </c>
      <c r="C3166" s="5">
        <v>1</v>
      </c>
      <c r="D3166" s="5" t="s">
        <v>269</v>
      </c>
      <c r="E3166" s="5" t="s">
        <v>271</v>
      </c>
      <c r="F3166" s="5" t="s">
        <v>248</v>
      </c>
      <c r="G3166" s="5" t="s">
        <v>266</v>
      </c>
      <c r="H3166" s="6" t="s">
        <v>1492</v>
      </c>
      <c r="I3166" s="7">
        <f>548</f>
        <v>548</v>
      </c>
      <c r="J3166" s="5" t="s">
        <v>262</v>
      </c>
      <c r="K3166" s="8">
        <f>1</f>
        <v>1</v>
      </c>
      <c r="L3166" s="6" t="s">
        <v>242</v>
      </c>
      <c r="M3166" s="5" t="s">
        <v>267</v>
      </c>
      <c r="N3166" s="5" t="s">
        <v>265</v>
      </c>
      <c r="O3166" s="5" t="s">
        <v>238</v>
      </c>
      <c r="P3166" s="5" t="s">
        <v>238</v>
      </c>
      <c r="Q3166" s="5" t="s">
        <v>268</v>
      </c>
      <c r="R3166" s="5" t="s">
        <v>270</v>
      </c>
      <c r="S3166" s="5" t="s">
        <v>238</v>
      </c>
      <c r="V3166" s="5" t="s">
        <v>238</v>
      </c>
      <c r="X3166" s="6" t="s">
        <v>238</v>
      </c>
      <c r="AA3166" s="6" t="s">
        <v>243</v>
      </c>
      <c r="AB3166" s="5" t="s">
        <v>238</v>
      </c>
      <c r="AC3166" s="5" t="s">
        <v>244</v>
      </c>
      <c r="AD3166" s="5" t="s">
        <v>245</v>
      </c>
      <c r="AT3166" s="5" t="s">
        <v>246</v>
      </c>
      <c r="AU3166" s="5" t="s">
        <v>238</v>
      </c>
      <c r="AV3166" s="5" t="s">
        <v>247</v>
      </c>
      <c r="AW3166" s="5" t="s">
        <v>238</v>
      </c>
      <c r="AX3166" s="5" t="s">
        <v>249</v>
      </c>
      <c r="AY3166" s="5" t="s">
        <v>238</v>
      </c>
      <c r="BA3166" s="5" t="s">
        <v>238</v>
      </c>
      <c r="BC3166" s="5" t="s">
        <v>250</v>
      </c>
      <c r="BD3166" s="6" t="s">
        <v>243</v>
      </c>
      <c r="BE3166" s="5" t="s">
        <v>251</v>
      </c>
      <c r="BF3166" s="5" t="s">
        <v>252</v>
      </c>
      <c r="BG3166" s="5" t="s">
        <v>238</v>
      </c>
      <c r="BH3166" s="7">
        <f>0</f>
        <v>0</v>
      </c>
      <c r="BI3166" s="8">
        <f>0</f>
        <v>0</v>
      </c>
      <c r="BJ3166" s="5" t="s">
        <v>253</v>
      </c>
      <c r="BK3166" s="5" t="s">
        <v>254</v>
      </c>
      <c r="BY3166" s="5" t="s">
        <v>238</v>
      </c>
      <c r="BZ3166" s="5" t="s">
        <v>238</v>
      </c>
      <c r="CD3166" s="5" t="s">
        <v>273</v>
      </c>
      <c r="CE3166" s="5" t="s">
        <v>256</v>
      </c>
      <c r="CF3166" s="5" t="s">
        <v>238</v>
      </c>
      <c r="CI3166" s="6" t="s">
        <v>257</v>
      </c>
      <c r="CJ3166" s="5" t="s">
        <v>238</v>
      </c>
      <c r="CK3166" s="5" t="s">
        <v>258</v>
      </c>
      <c r="CL3166" s="5" t="s">
        <v>238</v>
      </c>
      <c r="CM3166" s="5" t="s">
        <v>238</v>
      </c>
      <c r="CN3166" s="5">
        <v>0</v>
      </c>
      <c r="CO3166" s="5" t="s">
        <v>259</v>
      </c>
      <c r="CP3166" s="5" t="s">
        <v>260</v>
      </c>
      <c r="CQ3166" s="5" t="s">
        <v>260</v>
      </c>
      <c r="CR3166" s="5" t="s">
        <v>261</v>
      </c>
      <c r="CU3166" s="8">
        <f>1</f>
        <v>1</v>
      </c>
      <c r="CV3166" s="8">
        <f>0</f>
        <v>0</v>
      </c>
      <c r="CX3166" s="8">
        <f>0</f>
        <v>0</v>
      </c>
      <c r="CY3166" s="8">
        <f>1</f>
        <v>1</v>
      </c>
      <c r="DA3166" s="5" t="s">
        <v>274</v>
      </c>
      <c r="DB3166" s="5" t="s">
        <v>238</v>
      </c>
      <c r="DD3166" s="5" t="s">
        <v>274</v>
      </c>
      <c r="DE3166" s="8">
        <f>548</f>
        <v>548</v>
      </c>
      <c r="DG3166" s="5" t="s">
        <v>238</v>
      </c>
      <c r="DH3166" s="5" t="s">
        <v>238</v>
      </c>
      <c r="DI3166" s="5" t="s">
        <v>238</v>
      </c>
      <c r="DJ3166" s="5" t="s">
        <v>238</v>
      </c>
      <c r="DN3166" s="5" t="s">
        <v>238</v>
      </c>
      <c r="DO3166" s="5" t="s">
        <v>238</v>
      </c>
      <c r="DP3166" s="5" t="s">
        <v>238</v>
      </c>
      <c r="DQ3166" s="5" t="s">
        <v>238</v>
      </c>
      <c r="DT3166" s="5" t="s">
        <v>275</v>
      </c>
      <c r="DU3166" s="5" t="s">
        <v>1493</v>
      </c>
      <c r="HM3166" s="5" t="s">
        <v>264</v>
      </c>
    </row>
    <row r="3167" spans="1:221" x14ac:dyDescent="0.4">
      <c r="A3167" s="5">
        <v>4871</v>
      </c>
      <c r="B3167" s="5">
        <v>1</v>
      </c>
      <c r="C3167" s="5">
        <v>1</v>
      </c>
      <c r="D3167" s="5" t="s">
        <v>269</v>
      </c>
      <c r="E3167" s="5" t="s">
        <v>271</v>
      </c>
      <c r="F3167" s="5" t="s">
        <v>248</v>
      </c>
      <c r="G3167" s="5" t="s">
        <v>266</v>
      </c>
      <c r="H3167" s="6" t="s">
        <v>1482</v>
      </c>
      <c r="I3167" s="7">
        <f>147</f>
        <v>147</v>
      </c>
      <c r="J3167" s="5" t="s">
        <v>262</v>
      </c>
      <c r="K3167" s="8">
        <f>1</f>
        <v>1</v>
      </c>
      <c r="L3167" s="6" t="s">
        <v>242</v>
      </c>
      <c r="M3167" s="5" t="s">
        <v>267</v>
      </c>
      <c r="N3167" s="5" t="s">
        <v>265</v>
      </c>
      <c r="O3167" s="5" t="s">
        <v>238</v>
      </c>
      <c r="P3167" s="5" t="s">
        <v>238</v>
      </c>
      <c r="Q3167" s="5" t="s">
        <v>268</v>
      </c>
      <c r="R3167" s="5" t="s">
        <v>270</v>
      </c>
      <c r="S3167" s="5" t="s">
        <v>238</v>
      </c>
      <c r="V3167" s="5" t="s">
        <v>238</v>
      </c>
      <c r="X3167" s="6" t="s">
        <v>238</v>
      </c>
      <c r="AA3167" s="6" t="s">
        <v>1481</v>
      </c>
      <c r="AB3167" s="5" t="s">
        <v>238</v>
      </c>
      <c r="AC3167" s="5" t="s">
        <v>244</v>
      </c>
      <c r="AD3167" s="5" t="s">
        <v>245</v>
      </c>
      <c r="AT3167" s="5" t="s">
        <v>246</v>
      </c>
      <c r="AU3167" s="5" t="s">
        <v>238</v>
      </c>
      <c r="AV3167" s="5" t="s">
        <v>247</v>
      </c>
      <c r="AW3167" s="5" t="s">
        <v>238</v>
      </c>
      <c r="AX3167" s="5" t="s">
        <v>249</v>
      </c>
      <c r="AY3167" s="5" t="s">
        <v>238</v>
      </c>
      <c r="BA3167" s="5" t="s">
        <v>238</v>
      </c>
      <c r="BC3167" s="5" t="s">
        <v>1433</v>
      </c>
      <c r="BD3167" s="6" t="s">
        <v>1481</v>
      </c>
      <c r="BE3167" s="5" t="s">
        <v>251</v>
      </c>
      <c r="BF3167" s="5" t="s">
        <v>252</v>
      </c>
      <c r="BG3167" s="5" t="s">
        <v>238</v>
      </c>
      <c r="BH3167" s="7">
        <f>0</f>
        <v>0</v>
      </c>
      <c r="BI3167" s="8">
        <f>0</f>
        <v>0</v>
      </c>
      <c r="BJ3167" s="5" t="s">
        <v>253</v>
      </c>
      <c r="BK3167" s="5" t="s">
        <v>254</v>
      </c>
      <c r="BY3167" s="5" t="s">
        <v>238</v>
      </c>
      <c r="BZ3167" s="5" t="s">
        <v>238</v>
      </c>
      <c r="CD3167" s="5" t="s">
        <v>273</v>
      </c>
      <c r="CE3167" s="5" t="s">
        <v>256</v>
      </c>
      <c r="CF3167" s="5" t="s">
        <v>238</v>
      </c>
      <c r="CI3167" s="6" t="s">
        <v>257</v>
      </c>
      <c r="CJ3167" s="5" t="s">
        <v>238</v>
      </c>
      <c r="CK3167" s="5" t="s">
        <v>258</v>
      </c>
      <c r="CL3167" s="5" t="s">
        <v>238</v>
      </c>
      <c r="CM3167" s="5" t="s">
        <v>238</v>
      </c>
      <c r="CN3167" s="5">
        <v>0</v>
      </c>
      <c r="CO3167" s="5" t="s">
        <v>259</v>
      </c>
      <c r="CP3167" s="5" t="s">
        <v>260</v>
      </c>
      <c r="CQ3167" s="5" t="s">
        <v>260</v>
      </c>
      <c r="CR3167" s="5" t="s">
        <v>261</v>
      </c>
      <c r="CU3167" s="8">
        <f>1</f>
        <v>1</v>
      </c>
      <c r="CV3167" s="8">
        <f>0</f>
        <v>0</v>
      </c>
      <c r="CX3167" s="8">
        <f>0</f>
        <v>0</v>
      </c>
      <c r="CY3167" s="8">
        <f>1</f>
        <v>1</v>
      </c>
      <c r="DA3167" s="5" t="s">
        <v>274</v>
      </c>
      <c r="DB3167" s="5" t="s">
        <v>238</v>
      </c>
      <c r="DD3167" s="5" t="s">
        <v>274</v>
      </c>
      <c r="DE3167" s="8">
        <f>147</f>
        <v>147</v>
      </c>
      <c r="DG3167" s="5" t="s">
        <v>238</v>
      </c>
      <c r="DH3167" s="5" t="s">
        <v>238</v>
      </c>
      <c r="DI3167" s="5" t="s">
        <v>238</v>
      </c>
      <c r="DJ3167" s="5" t="s">
        <v>238</v>
      </c>
      <c r="DN3167" s="5" t="s">
        <v>238</v>
      </c>
      <c r="DO3167" s="5" t="s">
        <v>238</v>
      </c>
      <c r="DP3167" s="5" t="s">
        <v>238</v>
      </c>
      <c r="DQ3167" s="5" t="s">
        <v>238</v>
      </c>
      <c r="DT3167" s="5" t="s">
        <v>275</v>
      </c>
      <c r="DU3167" s="5" t="s">
        <v>1483</v>
      </c>
      <c r="HM3167" s="5" t="s">
        <v>264</v>
      </c>
    </row>
    <row r="3168" spans="1:221" x14ac:dyDescent="0.4">
      <c r="A3168" s="5">
        <v>4872</v>
      </c>
      <c r="B3168" s="5">
        <v>1</v>
      </c>
      <c r="C3168" s="5">
        <v>1</v>
      </c>
      <c r="D3168" s="5" t="s">
        <v>269</v>
      </c>
      <c r="E3168" s="5" t="s">
        <v>271</v>
      </c>
      <c r="F3168" s="5" t="s">
        <v>248</v>
      </c>
      <c r="G3168" s="5" t="s">
        <v>266</v>
      </c>
      <c r="H3168" s="6" t="s">
        <v>1467</v>
      </c>
      <c r="I3168" s="7">
        <f>444</f>
        <v>444</v>
      </c>
      <c r="J3168" s="5" t="s">
        <v>262</v>
      </c>
      <c r="K3168" s="8">
        <f>1</f>
        <v>1</v>
      </c>
      <c r="L3168" s="6" t="s">
        <v>242</v>
      </c>
      <c r="M3168" s="5" t="s">
        <v>267</v>
      </c>
      <c r="N3168" s="5" t="s">
        <v>265</v>
      </c>
      <c r="O3168" s="5" t="s">
        <v>238</v>
      </c>
      <c r="P3168" s="5" t="s">
        <v>238</v>
      </c>
      <c r="Q3168" s="5" t="s">
        <v>268</v>
      </c>
      <c r="R3168" s="5" t="s">
        <v>270</v>
      </c>
      <c r="S3168" s="5" t="s">
        <v>238</v>
      </c>
      <c r="V3168" s="5" t="s">
        <v>238</v>
      </c>
      <c r="X3168" s="6" t="s">
        <v>238</v>
      </c>
      <c r="AA3168" s="6" t="s">
        <v>1466</v>
      </c>
      <c r="AB3168" s="5" t="s">
        <v>238</v>
      </c>
      <c r="AC3168" s="5" t="s">
        <v>244</v>
      </c>
      <c r="AD3168" s="5" t="s">
        <v>245</v>
      </c>
      <c r="AT3168" s="5" t="s">
        <v>246</v>
      </c>
      <c r="AU3168" s="5" t="s">
        <v>238</v>
      </c>
      <c r="AV3168" s="5" t="s">
        <v>247</v>
      </c>
      <c r="AW3168" s="5" t="s">
        <v>238</v>
      </c>
      <c r="AX3168" s="5" t="s">
        <v>249</v>
      </c>
      <c r="AY3168" s="5" t="s">
        <v>238</v>
      </c>
      <c r="BA3168" s="5" t="s">
        <v>238</v>
      </c>
      <c r="BC3168" s="5" t="s">
        <v>1468</v>
      </c>
      <c r="BD3168" s="6" t="s">
        <v>1466</v>
      </c>
      <c r="BE3168" s="5" t="s">
        <v>251</v>
      </c>
      <c r="BF3168" s="5" t="s">
        <v>252</v>
      </c>
      <c r="BG3168" s="5" t="s">
        <v>238</v>
      </c>
      <c r="BH3168" s="7">
        <f>0</f>
        <v>0</v>
      </c>
      <c r="BI3168" s="8">
        <f>0</f>
        <v>0</v>
      </c>
      <c r="BJ3168" s="5" t="s">
        <v>253</v>
      </c>
      <c r="BK3168" s="5" t="s">
        <v>254</v>
      </c>
      <c r="BY3168" s="5" t="s">
        <v>238</v>
      </c>
      <c r="BZ3168" s="5" t="s">
        <v>238</v>
      </c>
      <c r="CD3168" s="5" t="s">
        <v>273</v>
      </c>
      <c r="CE3168" s="5" t="s">
        <v>256</v>
      </c>
      <c r="CF3168" s="5" t="s">
        <v>238</v>
      </c>
      <c r="CI3168" s="6" t="s">
        <v>257</v>
      </c>
      <c r="CJ3168" s="5" t="s">
        <v>238</v>
      </c>
      <c r="CK3168" s="5" t="s">
        <v>258</v>
      </c>
      <c r="CL3168" s="5" t="s">
        <v>238</v>
      </c>
      <c r="CM3168" s="5" t="s">
        <v>238</v>
      </c>
      <c r="CN3168" s="5">
        <v>0</v>
      </c>
      <c r="CO3168" s="5" t="s">
        <v>259</v>
      </c>
      <c r="CP3168" s="5" t="s">
        <v>260</v>
      </c>
      <c r="CQ3168" s="5" t="s">
        <v>260</v>
      </c>
      <c r="CR3168" s="5" t="s">
        <v>261</v>
      </c>
      <c r="CU3168" s="8">
        <f>1</f>
        <v>1</v>
      </c>
      <c r="CV3168" s="8">
        <f>0</f>
        <v>0</v>
      </c>
      <c r="CX3168" s="8">
        <f>0</f>
        <v>0</v>
      </c>
      <c r="CY3168" s="8">
        <f>1</f>
        <v>1</v>
      </c>
      <c r="DA3168" s="5" t="s">
        <v>274</v>
      </c>
      <c r="DB3168" s="5" t="s">
        <v>238</v>
      </c>
      <c r="DD3168" s="5" t="s">
        <v>274</v>
      </c>
      <c r="DE3168" s="8">
        <f>444</f>
        <v>444</v>
      </c>
      <c r="DF3168" s="6" t="s">
        <v>1469</v>
      </c>
      <c r="DG3168" s="5" t="s">
        <v>238</v>
      </c>
      <c r="DH3168" s="5" t="s">
        <v>238</v>
      </c>
      <c r="DI3168" s="5" t="s">
        <v>238</v>
      </c>
      <c r="DJ3168" s="5" t="s">
        <v>238</v>
      </c>
      <c r="DN3168" s="5" t="s">
        <v>238</v>
      </c>
      <c r="DO3168" s="5" t="s">
        <v>238</v>
      </c>
      <c r="DP3168" s="5" t="s">
        <v>238</v>
      </c>
      <c r="DQ3168" s="5" t="s">
        <v>238</v>
      </c>
      <c r="DT3168" s="5" t="s">
        <v>275</v>
      </c>
      <c r="DU3168" s="5" t="s">
        <v>1470</v>
      </c>
      <c r="HM3168" s="5" t="s">
        <v>264</v>
      </c>
    </row>
    <row r="3169" spans="1:221" x14ac:dyDescent="0.4">
      <c r="A3169" s="5">
        <v>4873</v>
      </c>
      <c r="B3169" s="5">
        <v>1</v>
      </c>
      <c r="C3169" s="5">
        <v>1</v>
      </c>
      <c r="D3169" s="5" t="s">
        <v>269</v>
      </c>
      <c r="E3169" s="5" t="s">
        <v>271</v>
      </c>
      <c r="F3169" s="5" t="s">
        <v>248</v>
      </c>
      <c r="G3169" s="5" t="s">
        <v>266</v>
      </c>
      <c r="H3169" s="6" t="s">
        <v>1454</v>
      </c>
      <c r="I3169" s="7">
        <f>482</f>
        <v>482</v>
      </c>
      <c r="J3169" s="5" t="s">
        <v>262</v>
      </c>
      <c r="K3169" s="8">
        <f>1</f>
        <v>1</v>
      </c>
      <c r="L3169" s="6" t="s">
        <v>242</v>
      </c>
      <c r="M3169" s="5" t="s">
        <v>267</v>
      </c>
      <c r="N3169" s="5" t="s">
        <v>265</v>
      </c>
      <c r="O3169" s="5" t="s">
        <v>238</v>
      </c>
      <c r="P3169" s="5" t="s">
        <v>238</v>
      </c>
      <c r="Q3169" s="5" t="s">
        <v>268</v>
      </c>
      <c r="R3169" s="5" t="s">
        <v>270</v>
      </c>
      <c r="S3169" s="5" t="s">
        <v>238</v>
      </c>
      <c r="V3169" s="5" t="s">
        <v>238</v>
      </c>
      <c r="X3169" s="6" t="s">
        <v>238</v>
      </c>
      <c r="AA3169" s="6" t="s">
        <v>1453</v>
      </c>
      <c r="AB3169" s="5" t="s">
        <v>238</v>
      </c>
      <c r="AC3169" s="5" t="s">
        <v>244</v>
      </c>
      <c r="AD3169" s="5" t="s">
        <v>245</v>
      </c>
      <c r="AT3169" s="5" t="s">
        <v>246</v>
      </c>
      <c r="AU3169" s="5" t="s">
        <v>238</v>
      </c>
      <c r="AV3169" s="5" t="s">
        <v>247</v>
      </c>
      <c r="AW3169" s="5" t="s">
        <v>238</v>
      </c>
      <c r="AX3169" s="5" t="s">
        <v>249</v>
      </c>
      <c r="AY3169" s="5" t="s">
        <v>238</v>
      </c>
      <c r="BA3169" s="5" t="s">
        <v>238</v>
      </c>
      <c r="BC3169" s="5" t="s">
        <v>1433</v>
      </c>
      <c r="BD3169" s="6" t="s">
        <v>1453</v>
      </c>
      <c r="BE3169" s="5" t="s">
        <v>251</v>
      </c>
      <c r="BF3169" s="5" t="s">
        <v>252</v>
      </c>
      <c r="BG3169" s="5" t="s">
        <v>238</v>
      </c>
      <c r="BH3169" s="7">
        <f>0</f>
        <v>0</v>
      </c>
      <c r="BI3169" s="8">
        <f>0</f>
        <v>0</v>
      </c>
      <c r="BJ3169" s="5" t="s">
        <v>253</v>
      </c>
      <c r="BK3169" s="5" t="s">
        <v>254</v>
      </c>
      <c r="BY3169" s="5" t="s">
        <v>238</v>
      </c>
      <c r="BZ3169" s="5" t="s">
        <v>238</v>
      </c>
      <c r="CD3169" s="5" t="s">
        <v>273</v>
      </c>
      <c r="CE3169" s="5" t="s">
        <v>256</v>
      </c>
      <c r="CF3169" s="5" t="s">
        <v>238</v>
      </c>
      <c r="CI3169" s="6" t="s">
        <v>257</v>
      </c>
      <c r="CJ3169" s="5" t="s">
        <v>238</v>
      </c>
      <c r="CK3169" s="5" t="s">
        <v>258</v>
      </c>
      <c r="CL3169" s="5" t="s">
        <v>238</v>
      </c>
      <c r="CM3169" s="5" t="s">
        <v>238</v>
      </c>
      <c r="CN3169" s="5">
        <v>0</v>
      </c>
      <c r="CO3169" s="5" t="s">
        <v>259</v>
      </c>
      <c r="CP3169" s="5" t="s">
        <v>260</v>
      </c>
      <c r="CQ3169" s="5" t="s">
        <v>260</v>
      </c>
      <c r="CR3169" s="5" t="s">
        <v>261</v>
      </c>
      <c r="CU3169" s="8">
        <f>1</f>
        <v>1</v>
      </c>
      <c r="CV3169" s="8">
        <f>0</f>
        <v>0</v>
      </c>
      <c r="CX3169" s="8">
        <f>0</f>
        <v>0</v>
      </c>
      <c r="CY3169" s="8">
        <f>1</f>
        <v>1</v>
      </c>
      <c r="DA3169" s="5" t="s">
        <v>274</v>
      </c>
      <c r="DB3169" s="5" t="s">
        <v>238</v>
      </c>
      <c r="DD3169" s="5" t="s">
        <v>274</v>
      </c>
      <c r="DE3169" s="8">
        <f>482</f>
        <v>482</v>
      </c>
      <c r="DG3169" s="5" t="s">
        <v>238</v>
      </c>
      <c r="DH3169" s="5" t="s">
        <v>238</v>
      </c>
      <c r="DI3169" s="5" t="s">
        <v>238</v>
      </c>
      <c r="DJ3169" s="5" t="s">
        <v>238</v>
      </c>
      <c r="DN3169" s="5" t="s">
        <v>238</v>
      </c>
      <c r="DO3169" s="5" t="s">
        <v>238</v>
      </c>
      <c r="DP3169" s="5" t="s">
        <v>238</v>
      </c>
      <c r="DQ3169" s="5" t="s">
        <v>238</v>
      </c>
      <c r="DT3169" s="5" t="s">
        <v>275</v>
      </c>
      <c r="DU3169" s="5" t="s">
        <v>1455</v>
      </c>
      <c r="HM3169" s="5" t="s">
        <v>264</v>
      </c>
    </row>
    <row r="3170" spans="1:221" x14ac:dyDescent="0.4">
      <c r="A3170" s="5">
        <v>4874</v>
      </c>
      <c r="B3170" s="5">
        <v>1</v>
      </c>
      <c r="C3170" s="5">
        <v>1</v>
      </c>
      <c r="D3170" s="5" t="s">
        <v>269</v>
      </c>
      <c r="E3170" s="5" t="s">
        <v>271</v>
      </c>
      <c r="F3170" s="5" t="s">
        <v>248</v>
      </c>
      <c r="G3170" s="5" t="s">
        <v>266</v>
      </c>
      <c r="H3170" s="6" t="s">
        <v>1449</v>
      </c>
      <c r="I3170" s="7">
        <f>98</f>
        <v>98</v>
      </c>
      <c r="J3170" s="5" t="s">
        <v>262</v>
      </c>
      <c r="K3170" s="8">
        <f>1</f>
        <v>1</v>
      </c>
      <c r="L3170" s="6" t="s">
        <v>242</v>
      </c>
      <c r="M3170" s="5" t="s">
        <v>267</v>
      </c>
      <c r="N3170" s="5" t="s">
        <v>265</v>
      </c>
      <c r="O3170" s="5" t="s">
        <v>238</v>
      </c>
      <c r="P3170" s="5" t="s">
        <v>238</v>
      </c>
      <c r="Q3170" s="5" t="s">
        <v>268</v>
      </c>
      <c r="R3170" s="5" t="s">
        <v>270</v>
      </c>
      <c r="S3170" s="5" t="s">
        <v>238</v>
      </c>
      <c r="V3170" s="5" t="s">
        <v>238</v>
      </c>
      <c r="X3170" s="6" t="s">
        <v>238</v>
      </c>
      <c r="AA3170" s="6" t="s">
        <v>1448</v>
      </c>
      <c r="AB3170" s="5" t="s">
        <v>238</v>
      </c>
      <c r="AC3170" s="5" t="s">
        <v>244</v>
      </c>
      <c r="AD3170" s="5" t="s">
        <v>245</v>
      </c>
      <c r="AT3170" s="5" t="s">
        <v>246</v>
      </c>
      <c r="AU3170" s="5" t="s">
        <v>238</v>
      </c>
      <c r="AV3170" s="5" t="s">
        <v>247</v>
      </c>
      <c r="AW3170" s="5" t="s">
        <v>238</v>
      </c>
      <c r="AX3170" s="5" t="s">
        <v>249</v>
      </c>
      <c r="AY3170" s="5" t="s">
        <v>238</v>
      </c>
      <c r="BA3170" s="5" t="s">
        <v>238</v>
      </c>
      <c r="BC3170" s="5" t="s">
        <v>1433</v>
      </c>
      <c r="BD3170" s="6" t="s">
        <v>1448</v>
      </c>
      <c r="BE3170" s="5" t="s">
        <v>251</v>
      </c>
      <c r="BF3170" s="5" t="s">
        <v>252</v>
      </c>
      <c r="BG3170" s="5" t="s">
        <v>238</v>
      </c>
      <c r="BH3170" s="7">
        <f>0</f>
        <v>0</v>
      </c>
      <c r="BI3170" s="8">
        <f>0</f>
        <v>0</v>
      </c>
      <c r="BJ3170" s="5" t="s">
        <v>253</v>
      </c>
      <c r="BK3170" s="5" t="s">
        <v>254</v>
      </c>
      <c r="BY3170" s="5" t="s">
        <v>238</v>
      </c>
      <c r="BZ3170" s="5" t="s">
        <v>238</v>
      </c>
      <c r="CD3170" s="5" t="s">
        <v>273</v>
      </c>
      <c r="CE3170" s="5" t="s">
        <v>256</v>
      </c>
      <c r="CF3170" s="5" t="s">
        <v>238</v>
      </c>
      <c r="CI3170" s="6" t="s">
        <v>257</v>
      </c>
      <c r="CJ3170" s="5" t="s">
        <v>238</v>
      </c>
      <c r="CK3170" s="5" t="s">
        <v>258</v>
      </c>
      <c r="CL3170" s="5" t="s">
        <v>238</v>
      </c>
      <c r="CM3170" s="5" t="s">
        <v>238</v>
      </c>
      <c r="CN3170" s="5">
        <v>0</v>
      </c>
      <c r="CO3170" s="5" t="s">
        <v>259</v>
      </c>
      <c r="CP3170" s="5" t="s">
        <v>260</v>
      </c>
      <c r="CQ3170" s="5" t="s">
        <v>260</v>
      </c>
      <c r="CR3170" s="5" t="s">
        <v>261</v>
      </c>
      <c r="CU3170" s="8">
        <f>1</f>
        <v>1</v>
      </c>
      <c r="CV3170" s="8">
        <f>0</f>
        <v>0</v>
      </c>
      <c r="CX3170" s="8">
        <f>0</f>
        <v>0</v>
      </c>
      <c r="CY3170" s="8">
        <f>1</f>
        <v>1</v>
      </c>
      <c r="DA3170" s="5" t="s">
        <v>274</v>
      </c>
      <c r="DB3170" s="5" t="s">
        <v>238</v>
      </c>
      <c r="DD3170" s="5" t="s">
        <v>274</v>
      </c>
      <c r="DE3170" s="8">
        <f>98</f>
        <v>98</v>
      </c>
      <c r="DG3170" s="5" t="s">
        <v>238</v>
      </c>
      <c r="DH3170" s="5" t="s">
        <v>238</v>
      </c>
      <c r="DI3170" s="5" t="s">
        <v>238</v>
      </c>
      <c r="DJ3170" s="5" t="s">
        <v>238</v>
      </c>
      <c r="DN3170" s="5" t="s">
        <v>238</v>
      </c>
      <c r="DO3170" s="5" t="s">
        <v>238</v>
      </c>
      <c r="DP3170" s="5" t="s">
        <v>238</v>
      </c>
      <c r="DQ3170" s="5" t="s">
        <v>238</v>
      </c>
      <c r="DT3170" s="5" t="s">
        <v>275</v>
      </c>
      <c r="DU3170" s="5" t="s">
        <v>1450</v>
      </c>
      <c r="HM3170" s="5" t="s">
        <v>264</v>
      </c>
    </row>
    <row r="3171" spans="1:221" x14ac:dyDescent="0.4">
      <c r="A3171" s="5">
        <v>4875</v>
      </c>
      <c r="B3171" s="5">
        <v>1</v>
      </c>
      <c r="C3171" s="5">
        <v>1</v>
      </c>
      <c r="D3171" s="5" t="s">
        <v>269</v>
      </c>
      <c r="E3171" s="5" t="s">
        <v>271</v>
      </c>
      <c r="F3171" s="5" t="s">
        <v>248</v>
      </c>
      <c r="G3171" s="5" t="s">
        <v>266</v>
      </c>
      <c r="H3171" s="6" t="s">
        <v>1432</v>
      </c>
      <c r="I3171" s="7">
        <f>4685</f>
        <v>4685</v>
      </c>
      <c r="J3171" s="5" t="s">
        <v>262</v>
      </c>
      <c r="K3171" s="8">
        <f>1</f>
        <v>1</v>
      </c>
      <c r="L3171" s="6" t="s">
        <v>242</v>
      </c>
      <c r="M3171" s="5" t="s">
        <v>267</v>
      </c>
      <c r="N3171" s="5" t="s">
        <v>265</v>
      </c>
      <c r="O3171" s="5" t="s">
        <v>238</v>
      </c>
      <c r="P3171" s="5" t="s">
        <v>238</v>
      </c>
      <c r="Q3171" s="5" t="s">
        <v>268</v>
      </c>
      <c r="R3171" s="5" t="s">
        <v>270</v>
      </c>
      <c r="S3171" s="5" t="s">
        <v>238</v>
      </c>
      <c r="V3171" s="5" t="s">
        <v>238</v>
      </c>
      <c r="X3171" s="6" t="s">
        <v>238</v>
      </c>
      <c r="AA3171" s="6" t="s">
        <v>1431</v>
      </c>
      <c r="AB3171" s="5" t="s">
        <v>238</v>
      </c>
      <c r="AC3171" s="5" t="s">
        <v>244</v>
      </c>
      <c r="AD3171" s="5" t="s">
        <v>245</v>
      </c>
      <c r="AT3171" s="5" t="s">
        <v>246</v>
      </c>
      <c r="AU3171" s="5" t="s">
        <v>238</v>
      </c>
      <c r="AV3171" s="5" t="s">
        <v>247</v>
      </c>
      <c r="AW3171" s="5" t="s">
        <v>238</v>
      </c>
      <c r="AX3171" s="5" t="s">
        <v>249</v>
      </c>
      <c r="AY3171" s="5" t="s">
        <v>238</v>
      </c>
      <c r="BA3171" s="5" t="s">
        <v>238</v>
      </c>
      <c r="BC3171" s="5" t="s">
        <v>1433</v>
      </c>
      <c r="BD3171" s="6" t="s">
        <v>1434</v>
      </c>
      <c r="BE3171" s="5" t="s">
        <v>251</v>
      </c>
      <c r="BF3171" s="5" t="s">
        <v>252</v>
      </c>
      <c r="BG3171" s="5" t="s">
        <v>238</v>
      </c>
      <c r="BH3171" s="7">
        <f>0</f>
        <v>0</v>
      </c>
      <c r="BI3171" s="8">
        <f>0</f>
        <v>0</v>
      </c>
      <c r="BJ3171" s="5" t="s">
        <v>253</v>
      </c>
      <c r="BK3171" s="5" t="s">
        <v>254</v>
      </c>
      <c r="BY3171" s="5" t="s">
        <v>238</v>
      </c>
      <c r="BZ3171" s="5" t="s">
        <v>238</v>
      </c>
      <c r="CD3171" s="5" t="s">
        <v>273</v>
      </c>
      <c r="CE3171" s="5" t="s">
        <v>256</v>
      </c>
      <c r="CF3171" s="5" t="s">
        <v>238</v>
      </c>
      <c r="CI3171" s="6" t="s">
        <v>257</v>
      </c>
      <c r="CJ3171" s="5" t="s">
        <v>238</v>
      </c>
      <c r="CK3171" s="5" t="s">
        <v>258</v>
      </c>
      <c r="CL3171" s="5" t="s">
        <v>238</v>
      </c>
      <c r="CM3171" s="5" t="s">
        <v>238</v>
      </c>
      <c r="CN3171" s="5">
        <v>0</v>
      </c>
      <c r="CO3171" s="5" t="s">
        <v>259</v>
      </c>
      <c r="CP3171" s="5" t="s">
        <v>260</v>
      </c>
      <c r="CQ3171" s="5" t="s">
        <v>260</v>
      </c>
      <c r="CR3171" s="5" t="s">
        <v>261</v>
      </c>
      <c r="CU3171" s="8">
        <f>1</f>
        <v>1</v>
      </c>
      <c r="CV3171" s="8">
        <f>0</f>
        <v>0</v>
      </c>
      <c r="CX3171" s="8">
        <f>0</f>
        <v>0</v>
      </c>
      <c r="CY3171" s="8">
        <f>1</f>
        <v>1</v>
      </c>
      <c r="DA3171" s="5" t="s">
        <v>274</v>
      </c>
      <c r="DB3171" s="5" t="s">
        <v>238</v>
      </c>
      <c r="DD3171" s="5" t="s">
        <v>274</v>
      </c>
      <c r="DE3171" s="8">
        <f>4685</f>
        <v>4685</v>
      </c>
      <c r="DG3171" s="5" t="s">
        <v>238</v>
      </c>
      <c r="DH3171" s="5" t="s">
        <v>238</v>
      </c>
      <c r="DI3171" s="5" t="s">
        <v>238</v>
      </c>
      <c r="DJ3171" s="5" t="s">
        <v>238</v>
      </c>
      <c r="DN3171" s="5" t="s">
        <v>238</v>
      </c>
      <c r="DO3171" s="5" t="s">
        <v>238</v>
      </c>
      <c r="DP3171" s="5" t="s">
        <v>238</v>
      </c>
      <c r="DQ3171" s="5" t="s">
        <v>238</v>
      </c>
      <c r="DT3171" s="5" t="s">
        <v>275</v>
      </c>
      <c r="DU3171" s="5" t="s">
        <v>1435</v>
      </c>
      <c r="HM3171" s="5" t="s">
        <v>264</v>
      </c>
    </row>
    <row r="3172" spans="1:221" x14ac:dyDescent="0.4">
      <c r="A3172" s="5">
        <v>4876</v>
      </c>
      <c r="B3172" s="5">
        <v>1</v>
      </c>
      <c r="C3172" s="5">
        <v>1</v>
      </c>
      <c r="D3172" s="5" t="s">
        <v>269</v>
      </c>
      <c r="E3172" s="5" t="s">
        <v>271</v>
      </c>
      <c r="F3172" s="5" t="s">
        <v>248</v>
      </c>
      <c r="G3172" s="5" t="s">
        <v>266</v>
      </c>
      <c r="H3172" s="6" t="s">
        <v>1423</v>
      </c>
      <c r="I3172" s="7">
        <f>2904</f>
        <v>2904</v>
      </c>
      <c r="J3172" s="5" t="s">
        <v>262</v>
      </c>
      <c r="K3172" s="8">
        <f>1</f>
        <v>1</v>
      </c>
      <c r="L3172" s="6" t="s">
        <v>242</v>
      </c>
      <c r="M3172" s="5" t="s">
        <v>267</v>
      </c>
      <c r="N3172" s="5" t="s">
        <v>265</v>
      </c>
      <c r="O3172" s="5" t="s">
        <v>238</v>
      </c>
      <c r="P3172" s="5" t="s">
        <v>238</v>
      </c>
      <c r="Q3172" s="5" t="s">
        <v>268</v>
      </c>
      <c r="R3172" s="5" t="s">
        <v>270</v>
      </c>
      <c r="S3172" s="5" t="s">
        <v>238</v>
      </c>
      <c r="V3172" s="5" t="s">
        <v>238</v>
      </c>
      <c r="X3172" s="6" t="s">
        <v>238</v>
      </c>
      <c r="AA3172" s="6" t="s">
        <v>243</v>
      </c>
      <c r="AB3172" s="5" t="s">
        <v>238</v>
      </c>
      <c r="AC3172" s="5" t="s">
        <v>244</v>
      </c>
      <c r="AD3172" s="5" t="s">
        <v>245</v>
      </c>
      <c r="AT3172" s="5" t="s">
        <v>246</v>
      </c>
      <c r="AU3172" s="5" t="s">
        <v>238</v>
      </c>
      <c r="AV3172" s="5" t="s">
        <v>247</v>
      </c>
      <c r="AW3172" s="5" t="s">
        <v>238</v>
      </c>
      <c r="AX3172" s="5" t="s">
        <v>249</v>
      </c>
      <c r="AY3172" s="5" t="s">
        <v>238</v>
      </c>
      <c r="BA3172" s="5" t="s">
        <v>238</v>
      </c>
      <c r="BC3172" s="5" t="s">
        <v>250</v>
      </c>
      <c r="BD3172" s="6" t="s">
        <v>243</v>
      </c>
      <c r="BE3172" s="5" t="s">
        <v>251</v>
      </c>
      <c r="BF3172" s="5" t="s">
        <v>252</v>
      </c>
      <c r="BG3172" s="5" t="s">
        <v>238</v>
      </c>
      <c r="BH3172" s="7">
        <f>0</f>
        <v>0</v>
      </c>
      <c r="BI3172" s="8">
        <f>0</f>
        <v>0</v>
      </c>
      <c r="BJ3172" s="5" t="s">
        <v>253</v>
      </c>
      <c r="BK3172" s="5" t="s">
        <v>254</v>
      </c>
      <c r="BY3172" s="5" t="s">
        <v>238</v>
      </c>
      <c r="BZ3172" s="5" t="s">
        <v>238</v>
      </c>
      <c r="CD3172" s="5" t="s">
        <v>273</v>
      </c>
      <c r="CE3172" s="5" t="s">
        <v>256</v>
      </c>
      <c r="CF3172" s="5" t="s">
        <v>238</v>
      </c>
      <c r="CI3172" s="6" t="s">
        <v>257</v>
      </c>
      <c r="CJ3172" s="5" t="s">
        <v>238</v>
      </c>
      <c r="CK3172" s="5" t="s">
        <v>258</v>
      </c>
      <c r="CL3172" s="5" t="s">
        <v>238</v>
      </c>
      <c r="CM3172" s="5" t="s">
        <v>238</v>
      </c>
      <c r="CN3172" s="5">
        <v>0</v>
      </c>
      <c r="CO3172" s="5" t="s">
        <v>259</v>
      </c>
      <c r="CP3172" s="5" t="s">
        <v>260</v>
      </c>
      <c r="CQ3172" s="5" t="s">
        <v>260</v>
      </c>
      <c r="CR3172" s="5" t="s">
        <v>261</v>
      </c>
      <c r="CU3172" s="8">
        <f>1</f>
        <v>1</v>
      </c>
      <c r="CV3172" s="8">
        <f>0</f>
        <v>0</v>
      </c>
      <c r="CX3172" s="8">
        <f>0</f>
        <v>0</v>
      </c>
      <c r="CY3172" s="8">
        <f>1</f>
        <v>1</v>
      </c>
      <c r="DA3172" s="5" t="s">
        <v>274</v>
      </c>
      <c r="DB3172" s="5" t="s">
        <v>238</v>
      </c>
      <c r="DD3172" s="5" t="s">
        <v>274</v>
      </c>
      <c r="DE3172" s="8">
        <f>2904</f>
        <v>2904</v>
      </c>
      <c r="DF3172" s="6" t="s">
        <v>1407</v>
      </c>
      <c r="DG3172" s="5" t="s">
        <v>238</v>
      </c>
      <c r="DH3172" s="5" t="s">
        <v>238</v>
      </c>
      <c r="DI3172" s="5" t="s">
        <v>238</v>
      </c>
      <c r="DJ3172" s="5" t="s">
        <v>238</v>
      </c>
      <c r="DN3172" s="5" t="s">
        <v>238</v>
      </c>
      <c r="DO3172" s="5" t="s">
        <v>238</v>
      </c>
      <c r="DP3172" s="5" t="s">
        <v>238</v>
      </c>
      <c r="DQ3172" s="5" t="s">
        <v>238</v>
      </c>
      <c r="DT3172" s="5" t="s">
        <v>275</v>
      </c>
      <c r="DU3172" s="5" t="s">
        <v>1424</v>
      </c>
      <c r="HM3172" s="5" t="s">
        <v>264</v>
      </c>
    </row>
    <row r="3173" spans="1:221" x14ac:dyDescent="0.4">
      <c r="A3173" s="5">
        <v>4877</v>
      </c>
      <c r="B3173" s="5">
        <v>1</v>
      </c>
      <c r="C3173" s="5">
        <v>1</v>
      </c>
      <c r="D3173" s="5" t="s">
        <v>269</v>
      </c>
      <c r="E3173" s="5" t="s">
        <v>271</v>
      </c>
      <c r="F3173" s="5" t="s">
        <v>248</v>
      </c>
      <c r="G3173" s="5" t="s">
        <v>266</v>
      </c>
      <c r="H3173" s="6" t="s">
        <v>1413</v>
      </c>
      <c r="I3173" s="7">
        <f>3492</f>
        <v>3492</v>
      </c>
      <c r="J3173" s="5" t="s">
        <v>262</v>
      </c>
      <c r="K3173" s="8">
        <f>1</f>
        <v>1</v>
      </c>
      <c r="L3173" s="6" t="s">
        <v>242</v>
      </c>
      <c r="M3173" s="5" t="s">
        <v>267</v>
      </c>
      <c r="N3173" s="5" t="s">
        <v>265</v>
      </c>
      <c r="O3173" s="5" t="s">
        <v>238</v>
      </c>
      <c r="P3173" s="5" t="s">
        <v>238</v>
      </c>
      <c r="Q3173" s="5" t="s">
        <v>268</v>
      </c>
      <c r="R3173" s="5" t="s">
        <v>270</v>
      </c>
      <c r="S3173" s="5" t="s">
        <v>238</v>
      </c>
      <c r="V3173" s="5" t="s">
        <v>238</v>
      </c>
      <c r="X3173" s="6" t="s">
        <v>238</v>
      </c>
      <c r="AA3173" s="6" t="s">
        <v>243</v>
      </c>
      <c r="AB3173" s="5" t="s">
        <v>238</v>
      </c>
      <c r="AC3173" s="5" t="s">
        <v>244</v>
      </c>
      <c r="AD3173" s="5" t="s">
        <v>245</v>
      </c>
      <c r="AT3173" s="5" t="s">
        <v>246</v>
      </c>
      <c r="AU3173" s="5" t="s">
        <v>238</v>
      </c>
      <c r="AV3173" s="5" t="s">
        <v>247</v>
      </c>
      <c r="AW3173" s="5" t="s">
        <v>238</v>
      </c>
      <c r="AX3173" s="5" t="s">
        <v>249</v>
      </c>
      <c r="AY3173" s="5" t="s">
        <v>238</v>
      </c>
      <c r="BA3173" s="5" t="s">
        <v>238</v>
      </c>
      <c r="BC3173" s="5" t="s">
        <v>250</v>
      </c>
      <c r="BD3173" s="6" t="s">
        <v>243</v>
      </c>
      <c r="BE3173" s="5" t="s">
        <v>251</v>
      </c>
      <c r="BF3173" s="5" t="s">
        <v>252</v>
      </c>
      <c r="BG3173" s="5" t="s">
        <v>238</v>
      </c>
      <c r="BH3173" s="7">
        <f>0</f>
        <v>0</v>
      </c>
      <c r="BI3173" s="8">
        <f>0</f>
        <v>0</v>
      </c>
      <c r="BJ3173" s="5" t="s">
        <v>253</v>
      </c>
      <c r="BK3173" s="5" t="s">
        <v>254</v>
      </c>
      <c r="BY3173" s="5" t="s">
        <v>238</v>
      </c>
      <c r="BZ3173" s="5" t="s">
        <v>238</v>
      </c>
      <c r="CD3173" s="5" t="s">
        <v>273</v>
      </c>
      <c r="CE3173" s="5" t="s">
        <v>256</v>
      </c>
      <c r="CF3173" s="5" t="s">
        <v>238</v>
      </c>
      <c r="CI3173" s="6" t="s">
        <v>257</v>
      </c>
      <c r="CJ3173" s="5" t="s">
        <v>238</v>
      </c>
      <c r="CK3173" s="5" t="s">
        <v>258</v>
      </c>
      <c r="CL3173" s="5" t="s">
        <v>238</v>
      </c>
      <c r="CM3173" s="5" t="s">
        <v>238</v>
      </c>
      <c r="CN3173" s="5">
        <v>0</v>
      </c>
      <c r="CO3173" s="5" t="s">
        <v>259</v>
      </c>
      <c r="CP3173" s="5" t="s">
        <v>260</v>
      </c>
      <c r="CQ3173" s="5" t="s">
        <v>260</v>
      </c>
      <c r="CR3173" s="5" t="s">
        <v>261</v>
      </c>
      <c r="CU3173" s="8">
        <f>1</f>
        <v>1</v>
      </c>
      <c r="CV3173" s="8">
        <f>0</f>
        <v>0</v>
      </c>
      <c r="CX3173" s="8">
        <f>0</f>
        <v>0</v>
      </c>
      <c r="CY3173" s="8">
        <f>1</f>
        <v>1</v>
      </c>
      <c r="DA3173" s="5" t="s">
        <v>274</v>
      </c>
      <c r="DB3173" s="5" t="s">
        <v>238</v>
      </c>
      <c r="DD3173" s="5" t="s">
        <v>274</v>
      </c>
      <c r="DE3173" s="8">
        <f>3492</f>
        <v>3492</v>
      </c>
      <c r="DF3173" s="6" t="s">
        <v>1407</v>
      </c>
      <c r="DG3173" s="5" t="s">
        <v>238</v>
      </c>
      <c r="DH3173" s="5" t="s">
        <v>238</v>
      </c>
      <c r="DI3173" s="5" t="s">
        <v>238</v>
      </c>
      <c r="DJ3173" s="5" t="s">
        <v>238</v>
      </c>
      <c r="DN3173" s="5" t="s">
        <v>238</v>
      </c>
      <c r="DO3173" s="5" t="s">
        <v>238</v>
      </c>
      <c r="DP3173" s="5" t="s">
        <v>238</v>
      </c>
      <c r="DQ3173" s="5" t="s">
        <v>238</v>
      </c>
      <c r="DT3173" s="5" t="s">
        <v>275</v>
      </c>
      <c r="DU3173" s="5" t="s">
        <v>1414</v>
      </c>
      <c r="HM3173" s="5" t="s">
        <v>264</v>
      </c>
    </row>
    <row r="3174" spans="1:221" x14ac:dyDescent="0.4">
      <c r="A3174" s="5">
        <v>4878</v>
      </c>
      <c r="B3174" s="5">
        <v>1</v>
      </c>
      <c r="C3174" s="5">
        <v>1</v>
      </c>
      <c r="D3174" s="5" t="s">
        <v>269</v>
      </c>
      <c r="E3174" s="5" t="s">
        <v>271</v>
      </c>
      <c r="F3174" s="5" t="s">
        <v>248</v>
      </c>
      <c r="G3174" s="5" t="s">
        <v>266</v>
      </c>
      <c r="H3174" s="6" t="s">
        <v>1406</v>
      </c>
      <c r="I3174" s="7">
        <f>2335</f>
        <v>2335</v>
      </c>
      <c r="J3174" s="5" t="s">
        <v>262</v>
      </c>
      <c r="K3174" s="8">
        <f>1</f>
        <v>1</v>
      </c>
      <c r="L3174" s="6" t="s">
        <v>242</v>
      </c>
      <c r="M3174" s="5" t="s">
        <v>267</v>
      </c>
      <c r="N3174" s="5" t="s">
        <v>265</v>
      </c>
      <c r="O3174" s="5" t="s">
        <v>238</v>
      </c>
      <c r="P3174" s="5" t="s">
        <v>238</v>
      </c>
      <c r="Q3174" s="5" t="s">
        <v>268</v>
      </c>
      <c r="R3174" s="5" t="s">
        <v>270</v>
      </c>
      <c r="S3174" s="5" t="s">
        <v>238</v>
      </c>
      <c r="V3174" s="5" t="s">
        <v>238</v>
      </c>
      <c r="X3174" s="6" t="s">
        <v>238</v>
      </c>
      <c r="AA3174" s="6" t="s">
        <v>243</v>
      </c>
      <c r="AB3174" s="5" t="s">
        <v>238</v>
      </c>
      <c r="AC3174" s="5" t="s">
        <v>244</v>
      </c>
      <c r="AD3174" s="5" t="s">
        <v>245</v>
      </c>
      <c r="AT3174" s="5" t="s">
        <v>246</v>
      </c>
      <c r="AU3174" s="5" t="s">
        <v>238</v>
      </c>
      <c r="AV3174" s="5" t="s">
        <v>247</v>
      </c>
      <c r="AW3174" s="5" t="s">
        <v>238</v>
      </c>
      <c r="AX3174" s="5" t="s">
        <v>249</v>
      </c>
      <c r="AY3174" s="5" t="s">
        <v>238</v>
      </c>
      <c r="BA3174" s="5" t="s">
        <v>238</v>
      </c>
      <c r="BC3174" s="5" t="s">
        <v>250</v>
      </c>
      <c r="BD3174" s="6" t="s">
        <v>243</v>
      </c>
      <c r="BE3174" s="5" t="s">
        <v>251</v>
      </c>
      <c r="BF3174" s="5" t="s">
        <v>252</v>
      </c>
      <c r="BG3174" s="5" t="s">
        <v>238</v>
      </c>
      <c r="BH3174" s="7">
        <f>0</f>
        <v>0</v>
      </c>
      <c r="BI3174" s="8">
        <f>0</f>
        <v>0</v>
      </c>
      <c r="BJ3174" s="5" t="s">
        <v>253</v>
      </c>
      <c r="BK3174" s="5" t="s">
        <v>254</v>
      </c>
      <c r="BY3174" s="5" t="s">
        <v>238</v>
      </c>
      <c r="BZ3174" s="5" t="s">
        <v>238</v>
      </c>
      <c r="CD3174" s="5" t="s">
        <v>273</v>
      </c>
      <c r="CE3174" s="5" t="s">
        <v>256</v>
      </c>
      <c r="CF3174" s="5" t="s">
        <v>238</v>
      </c>
      <c r="CI3174" s="6" t="s">
        <v>257</v>
      </c>
      <c r="CJ3174" s="5" t="s">
        <v>238</v>
      </c>
      <c r="CK3174" s="5" t="s">
        <v>258</v>
      </c>
      <c r="CL3174" s="5" t="s">
        <v>238</v>
      </c>
      <c r="CM3174" s="5" t="s">
        <v>238</v>
      </c>
      <c r="CN3174" s="5">
        <v>0</v>
      </c>
      <c r="CO3174" s="5" t="s">
        <v>259</v>
      </c>
      <c r="CP3174" s="5" t="s">
        <v>260</v>
      </c>
      <c r="CQ3174" s="5" t="s">
        <v>260</v>
      </c>
      <c r="CR3174" s="5" t="s">
        <v>261</v>
      </c>
      <c r="CU3174" s="8">
        <f>1</f>
        <v>1</v>
      </c>
      <c r="CV3174" s="8">
        <f>0</f>
        <v>0</v>
      </c>
      <c r="CX3174" s="8">
        <f>0</f>
        <v>0</v>
      </c>
      <c r="CY3174" s="8">
        <f>1</f>
        <v>1</v>
      </c>
      <c r="DA3174" s="5" t="s">
        <v>274</v>
      </c>
      <c r="DB3174" s="5" t="s">
        <v>238</v>
      </c>
      <c r="DD3174" s="5" t="s">
        <v>274</v>
      </c>
      <c r="DE3174" s="8">
        <f>2335</f>
        <v>2335</v>
      </c>
      <c r="DF3174" s="6" t="s">
        <v>1407</v>
      </c>
      <c r="DG3174" s="5" t="s">
        <v>238</v>
      </c>
      <c r="DH3174" s="5" t="s">
        <v>238</v>
      </c>
      <c r="DI3174" s="5" t="s">
        <v>238</v>
      </c>
      <c r="DJ3174" s="5" t="s">
        <v>238</v>
      </c>
      <c r="DN3174" s="5" t="s">
        <v>238</v>
      </c>
      <c r="DO3174" s="5" t="s">
        <v>238</v>
      </c>
      <c r="DP3174" s="5" t="s">
        <v>238</v>
      </c>
      <c r="DQ3174" s="5" t="s">
        <v>238</v>
      </c>
      <c r="DT3174" s="5" t="s">
        <v>275</v>
      </c>
      <c r="DU3174" s="5" t="s">
        <v>1408</v>
      </c>
      <c r="HM3174" s="5" t="s">
        <v>264</v>
      </c>
    </row>
    <row r="3175" spans="1:221" x14ac:dyDescent="0.4">
      <c r="A3175" s="5">
        <v>4879</v>
      </c>
      <c r="B3175" s="5">
        <v>1</v>
      </c>
      <c r="C3175" s="5">
        <v>1</v>
      </c>
      <c r="D3175" s="5" t="s">
        <v>269</v>
      </c>
      <c r="E3175" s="5" t="s">
        <v>271</v>
      </c>
      <c r="F3175" s="5" t="s">
        <v>248</v>
      </c>
      <c r="G3175" s="5" t="s">
        <v>266</v>
      </c>
      <c r="H3175" s="6" t="s">
        <v>1394</v>
      </c>
      <c r="I3175" s="7">
        <f>957</f>
        <v>957</v>
      </c>
      <c r="J3175" s="5" t="s">
        <v>262</v>
      </c>
      <c r="K3175" s="8">
        <f>1</f>
        <v>1</v>
      </c>
      <c r="L3175" s="6" t="s">
        <v>242</v>
      </c>
      <c r="M3175" s="5" t="s">
        <v>267</v>
      </c>
      <c r="N3175" s="5" t="s">
        <v>265</v>
      </c>
      <c r="O3175" s="5" t="s">
        <v>238</v>
      </c>
      <c r="P3175" s="5" t="s">
        <v>238</v>
      </c>
      <c r="Q3175" s="5" t="s">
        <v>268</v>
      </c>
      <c r="R3175" s="5" t="s">
        <v>270</v>
      </c>
      <c r="S3175" s="5" t="s">
        <v>238</v>
      </c>
      <c r="V3175" s="5" t="s">
        <v>238</v>
      </c>
      <c r="X3175" s="6" t="s">
        <v>238</v>
      </c>
      <c r="AA3175" s="6" t="s">
        <v>243</v>
      </c>
      <c r="AB3175" s="5" t="s">
        <v>238</v>
      </c>
      <c r="AC3175" s="5" t="s">
        <v>244</v>
      </c>
      <c r="AD3175" s="5" t="s">
        <v>245</v>
      </c>
      <c r="AT3175" s="5" t="s">
        <v>246</v>
      </c>
      <c r="AU3175" s="5" t="s">
        <v>238</v>
      </c>
      <c r="AV3175" s="5" t="s">
        <v>247</v>
      </c>
      <c r="AW3175" s="5" t="s">
        <v>238</v>
      </c>
      <c r="AX3175" s="5" t="s">
        <v>249</v>
      </c>
      <c r="AY3175" s="5" t="s">
        <v>238</v>
      </c>
      <c r="BA3175" s="5" t="s">
        <v>238</v>
      </c>
      <c r="BC3175" s="5" t="s">
        <v>250</v>
      </c>
      <c r="BD3175" s="6" t="s">
        <v>243</v>
      </c>
      <c r="BE3175" s="5" t="s">
        <v>251</v>
      </c>
      <c r="BF3175" s="5" t="s">
        <v>252</v>
      </c>
      <c r="BG3175" s="5" t="s">
        <v>238</v>
      </c>
      <c r="BH3175" s="7">
        <f>0</f>
        <v>0</v>
      </c>
      <c r="BI3175" s="8">
        <f>0</f>
        <v>0</v>
      </c>
      <c r="BJ3175" s="5" t="s">
        <v>253</v>
      </c>
      <c r="BK3175" s="5" t="s">
        <v>254</v>
      </c>
      <c r="BY3175" s="5" t="s">
        <v>238</v>
      </c>
      <c r="BZ3175" s="5" t="s">
        <v>238</v>
      </c>
      <c r="CD3175" s="5" t="s">
        <v>273</v>
      </c>
      <c r="CE3175" s="5" t="s">
        <v>256</v>
      </c>
      <c r="CF3175" s="5" t="s">
        <v>238</v>
      </c>
      <c r="CI3175" s="6" t="s">
        <v>257</v>
      </c>
      <c r="CJ3175" s="5" t="s">
        <v>238</v>
      </c>
      <c r="CK3175" s="5" t="s">
        <v>258</v>
      </c>
      <c r="CL3175" s="5" t="s">
        <v>238</v>
      </c>
      <c r="CM3175" s="5" t="s">
        <v>238</v>
      </c>
      <c r="CN3175" s="5">
        <v>0</v>
      </c>
      <c r="CO3175" s="5" t="s">
        <v>259</v>
      </c>
      <c r="CP3175" s="5" t="s">
        <v>260</v>
      </c>
      <c r="CQ3175" s="5" t="s">
        <v>260</v>
      </c>
      <c r="CR3175" s="5" t="s">
        <v>261</v>
      </c>
      <c r="CU3175" s="8">
        <f>1</f>
        <v>1</v>
      </c>
      <c r="CV3175" s="8">
        <f>0</f>
        <v>0</v>
      </c>
      <c r="CX3175" s="8">
        <f>0</f>
        <v>0</v>
      </c>
      <c r="CY3175" s="8">
        <f>1</f>
        <v>1</v>
      </c>
      <c r="DA3175" s="5" t="s">
        <v>274</v>
      </c>
      <c r="DB3175" s="5" t="s">
        <v>238</v>
      </c>
      <c r="DD3175" s="5" t="s">
        <v>274</v>
      </c>
      <c r="DE3175" s="8">
        <f>957</f>
        <v>957</v>
      </c>
      <c r="DG3175" s="5" t="s">
        <v>238</v>
      </c>
      <c r="DH3175" s="5" t="s">
        <v>238</v>
      </c>
      <c r="DI3175" s="5" t="s">
        <v>238</v>
      </c>
      <c r="DJ3175" s="5" t="s">
        <v>238</v>
      </c>
      <c r="DN3175" s="5" t="s">
        <v>238</v>
      </c>
      <c r="DO3175" s="5" t="s">
        <v>238</v>
      </c>
      <c r="DP3175" s="5" t="s">
        <v>238</v>
      </c>
      <c r="DQ3175" s="5" t="s">
        <v>238</v>
      </c>
      <c r="DT3175" s="5" t="s">
        <v>275</v>
      </c>
      <c r="DU3175" s="5" t="s">
        <v>1395</v>
      </c>
      <c r="HM3175" s="5" t="s">
        <v>264</v>
      </c>
    </row>
    <row r="3176" spans="1:221" x14ac:dyDescent="0.4">
      <c r="A3176" s="5">
        <v>4880</v>
      </c>
      <c r="B3176" s="5">
        <v>1</v>
      </c>
      <c r="C3176" s="5">
        <v>1</v>
      </c>
      <c r="D3176" s="5" t="s">
        <v>269</v>
      </c>
      <c r="E3176" s="5" t="s">
        <v>271</v>
      </c>
      <c r="F3176" s="5" t="s">
        <v>248</v>
      </c>
      <c r="G3176" s="5" t="s">
        <v>266</v>
      </c>
      <c r="H3176" s="6" t="s">
        <v>1388</v>
      </c>
      <c r="I3176" s="7">
        <f>398</f>
        <v>398</v>
      </c>
      <c r="J3176" s="5" t="s">
        <v>262</v>
      </c>
      <c r="K3176" s="8">
        <f>1</f>
        <v>1</v>
      </c>
      <c r="L3176" s="6" t="s">
        <v>242</v>
      </c>
      <c r="M3176" s="5" t="s">
        <v>267</v>
      </c>
      <c r="N3176" s="5" t="s">
        <v>265</v>
      </c>
      <c r="O3176" s="5" t="s">
        <v>238</v>
      </c>
      <c r="P3176" s="5" t="s">
        <v>238</v>
      </c>
      <c r="Q3176" s="5" t="s">
        <v>268</v>
      </c>
      <c r="R3176" s="5" t="s">
        <v>270</v>
      </c>
      <c r="S3176" s="5" t="s">
        <v>238</v>
      </c>
      <c r="V3176" s="5" t="s">
        <v>238</v>
      </c>
      <c r="X3176" s="6" t="s">
        <v>238</v>
      </c>
      <c r="AA3176" s="6" t="s">
        <v>243</v>
      </c>
      <c r="AB3176" s="5" t="s">
        <v>238</v>
      </c>
      <c r="AC3176" s="5" t="s">
        <v>244</v>
      </c>
      <c r="AD3176" s="5" t="s">
        <v>245</v>
      </c>
      <c r="AT3176" s="5" t="s">
        <v>246</v>
      </c>
      <c r="AU3176" s="5" t="s">
        <v>238</v>
      </c>
      <c r="AV3176" s="5" t="s">
        <v>247</v>
      </c>
      <c r="AW3176" s="5" t="s">
        <v>238</v>
      </c>
      <c r="AX3176" s="5" t="s">
        <v>249</v>
      </c>
      <c r="AY3176" s="5" t="s">
        <v>238</v>
      </c>
      <c r="BA3176" s="5" t="s">
        <v>238</v>
      </c>
      <c r="BC3176" s="5" t="s">
        <v>250</v>
      </c>
      <c r="BD3176" s="6" t="s">
        <v>243</v>
      </c>
      <c r="BE3176" s="5" t="s">
        <v>251</v>
      </c>
      <c r="BF3176" s="5" t="s">
        <v>252</v>
      </c>
      <c r="BG3176" s="5" t="s">
        <v>238</v>
      </c>
      <c r="BH3176" s="7">
        <f>0</f>
        <v>0</v>
      </c>
      <c r="BI3176" s="8">
        <f>0</f>
        <v>0</v>
      </c>
      <c r="BJ3176" s="5" t="s">
        <v>253</v>
      </c>
      <c r="BK3176" s="5" t="s">
        <v>254</v>
      </c>
      <c r="BY3176" s="5" t="s">
        <v>238</v>
      </c>
      <c r="BZ3176" s="5" t="s">
        <v>238</v>
      </c>
      <c r="CD3176" s="5" t="s">
        <v>273</v>
      </c>
      <c r="CE3176" s="5" t="s">
        <v>256</v>
      </c>
      <c r="CF3176" s="5" t="s">
        <v>238</v>
      </c>
      <c r="CI3176" s="6" t="s">
        <v>257</v>
      </c>
      <c r="CJ3176" s="5" t="s">
        <v>238</v>
      </c>
      <c r="CK3176" s="5" t="s">
        <v>258</v>
      </c>
      <c r="CL3176" s="5" t="s">
        <v>238</v>
      </c>
      <c r="CM3176" s="5" t="s">
        <v>238</v>
      </c>
      <c r="CN3176" s="5">
        <v>0</v>
      </c>
      <c r="CO3176" s="5" t="s">
        <v>259</v>
      </c>
      <c r="CP3176" s="5" t="s">
        <v>260</v>
      </c>
      <c r="CQ3176" s="5" t="s">
        <v>260</v>
      </c>
      <c r="CR3176" s="5" t="s">
        <v>261</v>
      </c>
      <c r="CU3176" s="8">
        <f>1</f>
        <v>1</v>
      </c>
      <c r="CV3176" s="8">
        <f>0</f>
        <v>0</v>
      </c>
      <c r="CX3176" s="8">
        <f>0</f>
        <v>0</v>
      </c>
      <c r="CY3176" s="8">
        <f>1</f>
        <v>1</v>
      </c>
      <c r="DA3176" s="5" t="s">
        <v>274</v>
      </c>
      <c r="DB3176" s="5" t="s">
        <v>238</v>
      </c>
      <c r="DD3176" s="5" t="s">
        <v>274</v>
      </c>
      <c r="DE3176" s="8">
        <f>398</f>
        <v>398</v>
      </c>
      <c r="DG3176" s="5" t="s">
        <v>238</v>
      </c>
      <c r="DH3176" s="5" t="s">
        <v>238</v>
      </c>
      <c r="DI3176" s="5" t="s">
        <v>238</v>
      </c>
      <c r="DJ3176" s="5" t="s">
        <v>238</v>
      </c>
      <c r="DN3176" s="5" t="s">
        <v>238</v>
      </c>
      <c r="DO3176" s="5" t="s">
        <v>238</v>
      </c>
      <c r="DP3176" s="5" t="s">
        <v>238</v>
      </c>
      <c r="DQ3176" s="5" t="s">
        <v>238</v>
      </c>
      <c r="DT3176" s="5" t="s">
        <v>275</v>
      </c>
      <c r="DU3176" s="5" t="s">
        <v>1389</v>
      </c>
      <c r="HM3176" s="5" t="s">
        <v>264</v>
      </c>
    </row>
    <row r="3177" spans="1:221" x14ac:dyDescent="0.4">
      <c r="A3177" s="5">
        <v>4881</v>
      </c>
      <c r="B3177" s="5">
        <v>1</v>
      </c>
      <c r="C3177" s="5">
        <v>1</v>
      </c>
      <c r="D3177" s="5" t="s">
        <v>269</v>
      </c>
      <c r="E3177" s="5" t="s">
        <v>271</v>
      </c>
      <c r="F3177" s="5" t="s">
        <v>248</v>
      </c>
      <c r="G3177" s="5" t="s">
        <v>266</v>
      </c>
      <c r="H3177" s="6" t="s">
        <v>1373</v>
      </c>
      <c r="I3177" s="7">
        <f>756</f>
        <v>756</v>
      </c>
      <c r="J3177" s="5" t="s">
        <v>262</v>
      </c>
      <c r="K3177" s="8">
        <f>1</f>
        <v>1</v>
      </c>
      <c r="L3177" s="6" t="s">
        <v>242</v>
      </c>
      <c r="M3177" s="5" t="s">
        <v>267</v>
      </c>
      <c r="N3177" s="5" t="s">
        <v>265</v>
      </c>
      <c r="O3177" s="5" t="s">
        <v>238</v>
      </c>
      <c r="P3177" s="5" t="s">
        <v>238</v>
      </c>
      <c r="Q3177" s="5" t="s">
        <v>268</v>
      </c>
      <c r="R3177" s="5" t="s">
        <v>270</v>
      </c>
      <c r="S3177" s="5" t="s">
        <v>238</v>
      </c>
      <c r="V3177" s="5" t="s">
        <v>238</v>
      </c>
      <c r="X3177" s="6" t="s">
        <v>238</v>
      </c>
      <c r="AA3177" s="6" t="s">
        <v>243</v>
      </c>
      <c r="AB3177" s="5" t="s">
        <v>238</v>
      </c>
      <c r="AC3177" s="5" t="s">
        <v>244</v>
      </c>
      <c r="AD3177" s="5" t="s">
        <v>245</v>
      </c>
      <c r="AT3177" s="5" t="s">
        <v>246</v>
      </c>
      <c r="AU3177" s="5" t="s">
        <v>238</v>
      </c>
      <c r="AV3177" s="5" t="s">
        <v>247</v>
      </c>
      <c r="AW3177" s="5" t="s">
        <v>238</v>
      </c>
      <c r="AX3177" s="5" t="s">
        <v>249</v>
      </c>
      <c r="AY3177" s="5" t="s">
        <v>238</v>
      </c>
      <c r="BA3177" s="5" t="s">
        <v>238</v>
      </c>
      <c r="BC3177" s="5" t="s">
        <v>250</v>
      </c>
      <c r="BD3177" s="6" t="s">
        <v>243</v>
      </c>
      <c r="BE3177" s="5" t="s">
        <v>251</v>
      </c>
      <c r="BF3177" s="5" t="s">
        <v>252</v>
      </c>
      <c r="BG3177" s="5" t="s">
        <v>238</v>
      </c>
      <c r="BH3177" s="7">
        <f>0</f>
        <v>0</v>
      </c>
      <c r="BI3177" s="8">
        <f>0</f>
        <v>0</v>
      </c>
      <c r="BJ3177" s="5" t="s">
        <v>253</v>
      </c>
      <c r="BK3177" s="5" t="s">
        <v>254</v>
      </c>
      <c r="BY3177" s="5" t="s">
        <v>238</v>
      </c>
      <c r="BZ3177" s="5" t="s">
        <v>238</v>
      </c>
      <c r="CD3177" s="5" t="s">
        <v>273</v>
      </c>
      <c r="CE3177" s="5" t="s">
        <v>256</v>
      </c>
      <c r="CF3177" s="5" t="s">
        <v>238</v>
      </c>
      <c r="CI3177" s="6" t="s">
        <v>257</v>
      </c>
      <c r="CJ3177" s="5" t="s">
        <v>238</v>
      </c>
      <c r="CK3177" s="5" t="s">
        <v>258</v>
      </c>
      <c r="CL3177" s="5" t="s">
        <v>238</v>
      </c>
      <c r="CM3177" s="5" t="s">
        <v>238</v>
      </c>
      <c r="CN3177" s="5">
        <v>0</v>
      </c>
      <c r="CO3177" s="5" t="s">
        <v>259</v>
      </c>
      <c r="CP3177" s="5" t="s">
        <v>260</v>
      </c>
      <c r="CQ3177" s="5" t="s">
        <v>260</v>
      </c>
      <c r="CR3177" s="5" t="s">
        <v>261</v>
      </c>
      <c r="CU3177" s="8">
        <f>1</f>
        <v>1</v>
      </c>
      <c r="CV3177" s="8">
        <f>0</f>
        <v>0</v>
      </c>
      <c r="CX3177" s="8">
        <f>0</f>
        <v>0</v>
      </c>
      <c r="CY3177" s="8">
        <f>1</f>
        <v>1</v>
      </c>
      <c r="DA3177" s="5" t="s">
        <v>274</v>
      </c>
      <c r="DB3177" s="5" t="s">
        <v>238</v>
      </c>
      <c r="DD3177" s="5" t="s">
        <v>274</v>
      </c>
      <c r="DE3177" s="8">
        <f>756</f>
        <v>756</v>
      </c>
      <c r="DG3177" s="5" t="s">
        <v>238</v>
      </c>
      <c r="DH3177" s="5" t="s">
        <v>238</v>
      </c>
      <c r="DI3177" s="5" t="s">
        <v>238</v>
      </c>
      <c r="DJ3177" s="5" t="s">
        <v>238</v>
      </c>
      <c r="DN3177" s="5" t="s">
        <v>238</v>
      </c>
      <c r="DO3177" s="5" t="s">
        <v>238</v>
      </c>
      <c r="DP3177" s="5" t="s">
        <v>238</v>
      </c>
      <c r="DQ3177" s="5" t="s">
        <v>238</v>
      </c>
      <c r="DT3177" s="5" t="s">
        <v>275</v>
      </c>
      <c r="DU3177" s="5" t="s">
        <v>1374</v>
      </c>
      <c r="HM3177" s="5" t="s">
        <v>264</v>
      </c>
    </row>
    <row r="3178" spans="1:221" x14ac:dyDescent="0.4">
      <c r="A3178" s="5">
        <v>4882</v>
      </c>
      <c r="B3178" s="5">
        <v>1</v>
      </c>
      <c r="C3178" s="5">
        <v>1</v>
      </c>
      <c r="D3178" s="5" t="s">
        <v>269</v>
      </c>
      <c r="E3178" s="5" t="s">
        <v>271</v>
      </c>
      <c r="F3178" s="5" t="s">
        <v>248</v>
      </c>
      <c r="G3178" s="5" t="s">
        <v>266</v>
      </c>
      <c r="H3178" s="6" t="s">
        <v>1351</v>
      </c>
      <c r="I3178" s="7">
        <f>1760</f>
        <v>1760</v>
      </c>
      <c r="J3178" s="5" t="s">
        <v>262</v>
      </c>
      <c r="K3178" s="8">
        <f>1</f>
        <v>1</v>
      </c>
      <c r="L3178" s="6" t="s">
        <v>242</v>
      </c>
      <c r="M3178" s="5" t="s">
        <v>267</v>
      </c>
      <c r="N3178" s="5" t="s">
        <v>265</v>
      </c>
      <c r="O3178" s="5" t="s">
        <v>238</v>
      </c>
      <c r="P3178" s="5" t="s">
        <v>238</v>
      </c>
      <c r="Q3178" s="5" t="s">
        <v>268</v>
      </c>
      <c r="R3178" s="5" t="s">
        <v>270</v>
      </c>
      <c r="S3178" s="5" t="s">
        <v>238</v>
      </c>
      <c r="V3178" s="5" t="s">
        <v>238</v>
      </c>
      <c r="X3178" s="6" t="s">
        <v>238</v>
      </c>
      <c r="AA3178" s="6" t="s">
        <v>243</v>
      </c>
      <c r="AB3178" s="5" t="s">
        <v>238</v>
      </c>
      <c r="AC3178" s="5" t="s">
        <v>244</v>
      </c>
      <c r="AD3178" s="5" t="s">
        <v>245</v>
      </c>
      <c r="AT3178" s="5" t="s">
        <v>246</v>
      </c>
      <c r="AU3178" s="5" t="s">
        <v>238</v>
      </c>
      <c r="AV3178" s="5" t="s">
        <v>247</v>
      </c>
      <c r="AW3178" s="5" t="s">
        <v>238</v>
      </c>
      <c r="AX3178" s="5" t="s">
        <v>249</v>
      </c>
      <c r="AY3178" s="5" t="s">
        <v>238</v>
      </c>
      <c r="BA3178" s="5" t="s">
        <v>238</v>
      </c>
      <c r="BC3178" s="5" t="s">
        <v>250</v>
      </c>
      <c r="BD3178" s="6" t="s">
        <v>243</v>
      </c>
      <c r="BE3178" s="5" t="s">
        <v>251</v>
      </c>
      <c r="BF3178" s="5" t="s">
        <v>252</v>
      </c>
      <c r="BG3178" s="5" t="s">
        <v>238</v>
      </c>
      <c r="BH3178" s="7">
        <f>0</f>
        <v>0</v>
      </c>
      <c r="BI3178" s="8">
        <f>0</f>
        <v>0</v>
      </c>
      <c r="BJ3178" s="5" t="s">
        <v>253</v>
      </c>
      <c r="BK3178" s="5" t="s">
        <v>254</v>
      </c>
      <c r="BY3178" s="5" t="s">
        <v>238</v>
      </c>
      <c r="BZ3178" s="5" t="s">
        <v>238</v>
      </c>
      <c r="CD3178" s="5" t="s">
        <v>273</v>
      </c>
      <c r="CE3178" s="5" t="s">
        <v>256</v>
      </c>
      <c r="CF3178" s="5" t="s">
        <v>238</v>
      </c>
      <c r="CI3178" s="6" t="s">
        <v>257</v>
      </c>
      <c r="CJ3178" s="5" t="s">
        <v>238</v>
      </c>
      <c r="CK3178" s="5" t="s">
        <v>258</v>
      </c>
      <c r="CL3178" s="5" t="s">
        <v>238</v>
      </c>
      <c r="CM3178" s="5" t="s">
        <v>238</v>
      </c>
      <c r="CN3178" s="5">
        <v>0</v>
      </c>
      <c r="CO3178" s="5" t="s">
        <v>259</v>
      </c>
      <c r="CP3178" s="5" t="s">
        <v>260</v>
      </c>
      <c r="CQ3178" s="5" t="s">
        <v>260</v>
      </c>
      <c r="CR3178" s="5" t="s">
        <v>261</v>
      </c>
      <c r="CU3178" s="8">
        <f>1</f>
        <v>1</v>
      </c>
      <c r="CV3178" s="8">
        <f>0</f>
        <v>0</v>
      </c>
      <c r="CX3178" s="8">
        <f>0</f>
        <v>0</v>
      </c>
      <c r="CY3178" s="8">
        <f>1</f>
        <v>1</v>
      </c>
      <c r="DA3178" s="5" t="s">
        <v>274</v>
      </c>
      <c r="DB3178" s="5" t="s">
        <v>238</v>
      </c>
      <c r="DD3178" s="5" t="s">
        <v>274</v>
      </c>
      <c r="DE3178" s="8">
        <f>1760</f>
        <v>1760</v>
      </c>
      <c r="DG3178" s="5" t="s">
        <v>238</v>
      </c>
      <c r="DH3178" s="5" t="s">
        <v>238</v>
      </c>
      <c r="DI3178" s="5" t="s">
        <v>238</v>
      </c>
      <c r="DJ3178" s="5" t="s">
        <v>238</v>
      </c>
      <c r="DN3178" s="5" t="s">
        <v>238</v>
      </c>
      <c r="DO3178" s="5" t="s">
        <v>238</v>
      </c>
      <c r="DP3178" s="5" t="s">
        <v>238</v>
      </c>
      <c r="DQ3178" s="5" t="s">
        <v>238</v>
      </c>
      <c r="DT3178" s="5" t="s">
        <v>275</v>
      </c>
      <c r="DU3178" s="5" t="s">
        <v>1352</v>
      </c>
      <c r="HM3178" s="5" t="s">
        <v>264</v>
      </c>
    </row>
    <row r="3179" spans="1:221" x14ac:dyDescent="0.4">
      <c r="A3179" s="5">
        <v>4883</v>
      </c>
      <c r="B3179" s="5">
        <v>1</v>
      </c>
      <c r="C3179" s="5">
        <v>1</v>
      </c>
      <c r="D3179" s="5" t="s">
        <v>269</v>
      </c>
      <c r="E3179" s="5" t="s">
        <v>271</v>
      </c>
      <c r="F3179" s="5" t="s">
        <v>248</v>
      </c>
      <c r="G3179" s="5" t="s">
        <v>266</v>
      </c>
      <c r="H3179" s="6" t="s">
        <v>1343</v>
      </c>
      <c r="I3179" s="7">
        <f>1091</f>
        <v>1091</v>
      </c>
      <c r="J3179" s="5" t="s">
        <v>262</v>
      </c>
      <c r="K3179" s="8">
        <f>1</f>
        <v>1</v>
      </c>
      <c r="L3179" s="6" t="s">
        <v>242</v>
      </c>
      <c r="M3179" s="5" t="s">
        <v>267</v>
      </c>
      <c r="N3179" s="5" t="s">
        <v>265</v>
      </c>
      <c r="O3179" s="5" t="s">
        <v>238</v>
      </c>
      <c r="P3179" s="5" t="s">
        <v>238</v>
      </c>
      <c r="Q3179" s="5" t="s">
        <v>268</v>
      </c>
      <c r="R3179" s="5" t="s">
        <v>270</v>
      </c>
      <c r="S3179" s="5" t="s">
        <v>238</v>
      </c>
      <c r="V3179" s="5" t="s">
        <v>238</v>
      </c>
      <c r="X3179" s="6" t="s">
        <v>238</v>
      </c>
      <c r="AA3179" s="6" t="s">
        <v>243</v>
      </c>
      <c r="AB3179" s="5" t="s">
        <v>238</v>
      </c>
      <c r="AC3179" s="5" t="s">
        <v>244</v>
      </c>
      <c r="AD3179" s="5" t="s">
        <v>245</v>
      </c>
      <c r="AT3179" s="5" t="s">
        <v>246</v>
      </c>
      <c r="AU3179" s="5" t="s">
        <v>238</v>
      </c>
      <c r="AV3179" s="5" t="s">
        <v>247</v>
      </c>
      <c r="AW3179" s="5" t="s">
        <v>238</v>
      </c>
      <c r="AX3179" s="5" t="s">
        <v>249</v>
      </c>
      <c r="AY3179" s="5" t="s">
        <v>238</v>
      </c>
      <c r="BA3179" s="5" t="s">
        <v>238</v>
      </c>
      <c r="BC3179" s="5" t="s">
        <v>250</v>
      </c>
      <c r="BD3179" s="6" t="s">
        <v>243</v>
      </c>
      <c r="BE3179" s="5" t="s">
        <v>251</v>
      </c>
      <c r="BF3179" s="5" t="s">
        <v>252</v>
      </c>
      <c r="BG3179" s="5" t="s">
        <v>238</v>
      </c>
      <c r="BH3179" s="7">
        <f>0</f>
        <v>0</v>
      </c>
      <c r="BI3179" s="8">
        <f>0</f>
        <v>0</v>
      </c>
      <c r="BJ3179" s="5" t="s">
        <v>253</v>
      </c>
      <c r="BK3179" s="5" t="s">
        <v>254</v>
      </c>
      <c r="BY3179" s="5" t="s">
        <v>238</v>
      </c>
      <c r="BZ3179" s="5" t="s">
        <v>238</v>
      </c>
      <c r="CD3179" s="5" t="s">
        <v>273</v>
      </c>
      <c r="CE3179" s="5" t="s">
        <v>256</v>
      </c>
      <c r="CF3179" s="5" t="s">
        <v>238</v>
      </c>
      <c r="CI3179" s="6" t="s">
        <v>257</v>
      </c>
      <c r="CJ3179" s="5" t="s">
        <v>238</v>
      </c>
      <c r="CK3179" s="5" t="s">
        <v>258</v>
      </c>
      <c r="CL3179" s="5" t="s">
        <v>238</v>
      </c>
      <c r="CM3179" s="5" t="s">
        <v>238</v>
      </c>
      <c r="CN3179" s="5">
        <v>0</v>
      </c>
      <c r="CO3179" s="5" t="s">
        <v>259</v>
      </c>
      <c r="CP3179" s="5" t="s">
        <v>260</v>
      </c>
      <c r="CQ3179" s="5" t="s">
        <v>260</v>
      </c>
      <c r="CR3179" s="5" t="s">
        <v>261</v>
      </c>
      <c r="CU3179" s="8">
        <f>1</f>
        <v>1</v>
      </c>
      <c r="CV3179" s="8">
        <f>0</f>
        <v>0</v>
      </c>
      <c r="CX3179" s="8">
        <f>0</f>
        <v>0</v>
      </c>
      <c r="CY3179" s="8">
        <f>1</f>
        <v>1</v>
      </c>
      <c r="DA3179" s="5" t="s">
        <v>274</v>
      </c>
      <c r="DB3179" s="5" t="s">
        <v>238</v>
      </c>
      <c r="DD3179" s="5" t="s">
        <v>274</v>
      </c>
      <c r="DE3179" s="8">
        <f>1091</f>
        <v>1091</v>
      </c>
      <c r="DG3179" s="5" t="s">
        <v>238</v>
      </c>
      <c r="DH3179" s="5" t="s">
        <v>238</v>
      </c>
      <c r="DI3179" s="5" t="s">
        <v>238</v>
      </c>
      <c r="DJ3179" s="5" t="s">
        <v>238</v>
      </c>
      <c r="DN3179" s="5" t="s">
        <v>238</v>
      </c>
      <c r="DO3179" s="5" t="s">
        <v>238</v>
      </c>
      <c r="DP3179" s="5" t="s">
        <v>238</v>
      </c>
      <c r="DQ3179" s="5" t="s">
        <v>238</v>
      </c>
      <c r="DT3179" s="5" t="s">
        <v>275</v>
      </c>
      <c r="DU3179" s="5" t="s">
        <v>1344</v>
      </c>
      <c r="HM3179" s="5" t="s">
        <v>264</v>
      </c>
    </row>
    <row r="3180" spans="1:221" x14ac:dyDescent="0.4">
      <c r="A3180" s="5">
        <v>4884</v>
      </c>
      <c r="B3180" s="5">
        <v>1</v>
      </c>
      <c r="C3180" s="5">
        <v>1</v>
      </c>
      <c r="D3180" s="5" t="s">
        <v>269</v>
      </c>
      <c r="E3180" s="5" t="s">
        <v>271</v>
      </c>
      <c r="F3180" s="5" t="s">
        <v>248</v>
      </c>
      <c r="G3180" s="5" t="s">
        <v>266</v>
      </c>
      <c r="H3180" s="6" t="s">
        <v>1321</v>
      </c>
      <c r="I3180" s="7">
        <f>415</f>
        <v>415</v>
      </c>
      <c r="J3180" s="5" t="s">
        <v>262</v>
      </c>
      <c r="K3180" s="8">
        <f>1</f>
        <v>1</v>
      </c>
      <c r="L3180" s="6" t="s">
        <v>242</v>
      </c>
      <c r="M3180" s="5" t="s">
        <v>267</v>
      </c>
      <c r="N3180" s="5" t="s">
        <v>265</v>
      </c>
      <c r="O3180" s="5" t="s">
        <v>238</v>
      </c>
      <c r="P3180" s="5" t="s">
        <v>238</v>
      </c>
      <c r="Q3180" s="5" t="s">
        <v>268</v>
      </c>
      <c r="R3180" s="5" t="s">
        <v>270</v>
      </c>
      <c r="S3180" s="5" t="s">
        <v>238</v>
      </c>
      <c r="V3180" s="5" t="s">
        <v>238</v>
      </c>
      <c r="X3180" s="6" t="s">
        <v>238</v>
      </c>
      <c r="AA3180" s="6" t="s">
        <v>243</v>
      </c>
      <c r="AB3180" s="5" t="s">
        <v>238</v>
      </c>
      <c r="AC3180" s="5" t="s">
        <v>244</v>
      </c>
      <c r="AD3180" s="5" t="s">
        <v>245</v>
      </c>
      <c r="AT3180" s="5" t="s">
        <v>246</v>
      </c>
      <c r="AU3180" s="5" t="s">
        <v>238</v>
      </c>
      <c r="AV3180" s="5" t="s">
        <v>247</v>
      </c>
      <c r="AW3180" s="5" t="s">
        <v>238</v>
      </c>
      <c r="AX3180" s="5" t="s">
        <v>249</v>
      </c>
      <c r="AY3180" s="5" t="s">
        <v>238</v>
      </c>
      <c r="BA3180" s="5" t="s">
        <v>238</v>
      </c>
      <c r="BC3180" s="5" t="s">
        <v>250</v>
      </c>
      <c r="BD3180" s="6" t="s">
        <v>243</v>
      </c>
      <c r="BE3180" s="5" t="s">
        <v>251</v>
      </c>
      <c r="BF3180" s="5" t="s">
        <v>252</v>
      </c>
      <c r="BG3180" s="5" t="s">
        <v>238</v>
      </c>
      <c r="BH3180" s="7">
        <f>0</f>
        <v>0</v>
      </c>
      <c r="BI3180" s="8">
        <f>0</f>
        <v>0</v>
      </c>
      <c r="BJ3180" s="5" t="s">
        <v>253</v>
      </c>
      <c r="BK3180" s="5" t="s">
        <v>254</v>
      </c>
      <c r="BY3180" s="5" t="s">
        <v>238</v>
      </c>
      <c r="BZ3180" s="5" t="s">
        <v>238</v>
      </c>
      <c r="CD3180" s="5" t="s">
        <v>273</v>
      </c>
      <c r="CE3180" s="5" t="s">
        <v>256</v>
      </c>
      <c r="CF3180" s="5" t="s">
        <v>238</v>
      </c>
      <c r="CI3180" s="6" t="s">
        <v>257</v>
      </c>
      <c r="CJ3180" s="5" t="s">
        <v>238</v>
      </c>
      <c r="CK3180" s="5" t="s">
        <v>258</v>
      </c>
      <c r="CL3180" s="5" t="s">
        <v>238</v>
      </c>
      <c r="CM3180" s="5" t="s">
        <v>238</v>
      </c>
      <c r="CN3180" s="5">
        <v>0</v>
      </c>
      <c r="CO3180" s="5" t="s">
        <v>259</v>
      </c>
      <c r="CP3180" s="5" t="s">
        <v>260</v>
      </c>
      <c r="CQ3180" s="5" t="s">
        <v>260</v>
      </c>
      <c r="CR3180" s="5" t="s">
        <v>261</v>
      </c>
      <c r="CU3180" s="8">
        <f>1</f>
        <v>1</v>
      </c>
      <c r="CV3180" s="8">
        <f>0</f>
        <v>0</v>
      </c>
      <c r="CX3180" s="8">
        <f>0</f>
        <v>0</v>
      </c>
      <c r="CY3180" s="8">
        <f>1</f>
        <v>1</v>
      </c>
      <c r="DA3180" s="5" t="s">
        <v>274</v>
      </c>
      <c r="DB3180" s="5" t="s">
        <v>238</v>
      </c>
      <c r="DD3180" s="5" t="s">
        <v>274</v>
      </c>
      <c r="DE3180" s="8">
        <f>415</f>
        <v>415</v>
      </c>
      <c r="DF3180" s="6" t="s">
        <v>1322</v>
      </c>
      <c r="DG3180" s="5" t="s">
        <v>238</v>
      </c>
      <c r="DH3180" s="5" t="s">
        <v>238</v>
      </c>
      <c r="DI3180" s="5" t="s">
        <v>238</v>
      </c>
      <c r="DJ3180" s="5" t="s">
        <v>238</v>
      </c>
      <c r="DN3180" s="5" t="s">
        <v>238</v>
      </c>
      <c r="DO3180" s="5" t="s">
        <v>238</v>
      </c>
      <c r="DP3180" s="5" t="s">
        <v>238</v>
      </c>
      <c r="DQ3180" s="5" t="s">
        <v>238</v>
      </c>
      <c r="DT3180" s="5" t="s">
        <v>275</v>
      </c>
      <c r="DU3180" s="5" t="s">
        <v>1323</v>
      </c>
      <c r="HM3180" s="5" t="s">
        <v>264</v>
      </c>
    </row>
    <row r="3181" spans="1:221" x14ac:dyDescent="0.4">
      <c r="A3181" s="5">
        <v>4885</v>
      </c>
      <c r="B3181" s="5">
        <v>1</v>
      </c>
      <c r="C3181" s="5">
        <v>1</v>
      </c>
      <c r="D3181" s="5" t="s">
        <v>269</v>
      </c>
      <c r="E3181" s="5" t="s">
        <v>271</v>
      </c>
      <c r="F3181" s="5" t="s">
        <v>248</v>
      </c>
      <c r="G3181" s="5" t="s">
        <v>266</v>
      </c>
      <c r="H3181" s="6" t="s">
        <v>1308</v>
      </c>
      <c r="I3181" s="7">
        <f>411</f>
        <v>411</v>
      </c>
      <c r="J3181" s="5" t="s">
        <v>262</v>
      </c>
      <c r="K3181" s="8">
        <f>1</f>
        <v>1</v>
      </c>
      <c r="L3181" s="6" t="s">
        <v>242</v>
      </c>
      <c r="M3181" s="5" t="s">
        <v>267</v>
      </c>
      <c r="N3181" s="5" t="s">
        <v>265</v>
      </c>
      <c r="O3181" s="5" t="s">
        <v>238</v>
      </c>
      <c r="P3181" s="5" t="s">
        <v>238</v>
      </c>
      <c r="Q3181" s="5" t="s">
        <v>268</v>
      </c>
      <c r="R3181" s="5" t="s">
        <v>270</v>
      </c>
      <c r="S3181" s="5" t="s">
        <v>238</v>
      </c>
      <c r="V3181" s="5" t="s">
        <v>238</v>
      </c>
      <c r="X3181" s="6" t="s">
        <v>238</v>
      </c>
      <c r="AA3181" s="6" t="s">
        <v>243</v>
      </c>
      <c r="AB3181" s="5" t="s">
        <v>238</v>
      </c>
      <c r="AC3181" s="5" t="s">
        <v>244</v>
      </c>
      <c r="AD3181" s="5" t="s">
        <v>245</v>
      </c>
      <c r="AT3181" s="5" t="s">
        <v>246</v>
      </c>
      <c r="AU3181" s="5" t="s">
        <v>238</v>
      </c>
      <c r="AV3181" s="5" t="s">
        <v>247</v>
      </c>
      <c r="AW3181" s="5" t="s">
        <v>238</v>
      </c>
      <c r="AX3181" s="5" t="s">
        <v>249</v>
      </c>
      <c r="AY3181" s="5" t="s">
        <v>238</v>
      </c>
      <c r="BA3181" s="5" t="s">
        <v>238</v>
      </c>
      <c r="BC3181" s="5" t="s">
        <v>250</v>
      </c>
      <c r="BD3181" s="6" t="s">
        <v>243</v>
      </c>
      <c r="BE3181" s="5" t="s">
        <v>251</v>
      </c>
      <c r="BF3181" s="5" t="s">
        <v>252</v>
      </c>
      <c r="BG3181" s="5" t="s">
        <v>238</v>
      </c>
      <c r="BH3181" s="7">
        <f>0</f>
        <v>0</v>
      </c>
      <c r="BI3181" s="8">
        <f>0</f>
        <v>0</v>
      </c>
      <c r="BJ3181" s="5" t="s">
        <v>253</v>
      </c>
      <c r="BK3181" s="5" t="s">
        <v>254</v>
      </c>
      <c r="BY3181" s="5" t="s">
        <v>238</v>
      </c>
      <c r="BZ3181" s="5" t="s">
        <v>238</v>
      </c>
      <c r="CD3181" s="5" t="s">
        <v>273</v>
      </c>
      <c r="CE3181" s="5" t="s">
        <v>256</v>
      </c>
      <c r="CF3181" s="5" t="s">
        <v>238</v>
      </c>
      <c r="CI3181" s="6" t="s">
        <v>257</v>
      </c>
      <c r="CJ3181" s="5" t="s">
        <v>238</v>
      </c>
      <c r="CK3181" s="5" t="s">
        <v>258</v>
      </c>
      <c r="CL3181" s="5" t="s">
        <v>238</v>
      </c>
      <c r="CM3181" s="5" t="s">
        <v>238</v>
      </c>
      <c r="CN3181" s="5">
        <v>0</v>
      </c>
      <c r="CO3181" s="5" t="s">
        <v>259</v>
      </c>
      <c r="CP3181" s="5" t="s">
        <v>260</v>
      </c>
      <c r="CQ3181" s="5" t="s">
        <v>260</v>
      </c>
      <c r="CR3181" s="5" t="s">
        <v>261</v>
      </c>
      <c r="CU3181" s="8">
        <f>1</f>
        <v>1</v>
      </c>
      <c r="CV3181" s="8">
        <f>0</f>
        <v>0</v>
      </c>
      <c r="CX3181" s="8">
        <f>0</f>
        <v>0</v>
      </c>
      <c r="CY3181" s="8">
        <f>1</f>
        <v>1</v>
      </c>
      <c r="DA3181" s="5" t="s">
        <v>274</v>
      </c>
      <c r="DB3181" s="5" t="s">
        <v>238</v>
      </c>
      <c r="DD3181" s="5" t="s">
        <v>274</v>
      </c>
      <c r="DE3181" s="8">
        <f>411</f>
        <v>411</v>
      </c>
      <c r="DG3181" s="5" t="s">
        <v>238</v>
      </c>
      <c r="DH3181" s="5" t="s">
        <v>238</v>
      </c>
      <c r="DI3181" s="5" t="s">
        <v>238</v>
      </c>
      <c r="DJ3181" s="5" t="s">
        <v>238</v>
      </c>
      <c r="DN3181" s="5" t="s">
        <v>238</v>
      </c>
      <c r="DO3181" s="5" t="s">
        <v>238</v>
      </c>
      <c r="DP3181" s="5" t="s">
        <v>238</v>
      </c>
      <c r="DQ3181" s="5" t="s">
        <v>238</v>
      </c>
      <c r="DT3181" s="5" t="s">
        <v>275</v>
      </c>
      <c r="DU3181" s="5" t="s">
        <v>1309</v>
      </c>
      <c r="HM3181" s="5" t="s">
        <v>264</v>
      </c>
    </row>
    <row r="3182" spans="1:221" x14ac:dyDescent="0.4">
      <c r="A3182" s="5">
        <v>4886</v>
      </c>
      <c r="B3182" s="5">
        <v>1</v>
      </c>
      <c r="C3182" s="5">
        <v>1</v>
      </c>
      <c r="D3182" s="5" t="s">
        <v>269</v>
      </c>
      <c r="E3182" s="5" t="s">
        <v>271</v>
      </c>
      <c r="F3182" s="5" t="s">
        <v>248</v>
      </c>
      <c r="G3182" s="5" t="s">
        <v>266</v>
      </c>
      <c r="H3182" s="6" t="s">
        <v>1294</v>
      </c>
      <c r="I3182" s="7">
        <f>14362</f>
        <v>14362</v>
      </c>
      <c r="J3182" s="5" t="s">
        <v>262</v>
      </c>
      <c r="K3182" s="8">
        <f>1</f>
        <v>1</v>
      </c>
      <c r="L3182" s="6" t="s">
        <v>242</v>
      </c>
      <c r="M3182" s="5" t="s">
        <v>267</v>
      </c>
      <c r="N3182" s="5" t="s">
        <v>265</v>
      </c>
      <c r="O3182" s="5" t="s">
        <v>238</v>
      </c>
      <c r="P3182" s="5" t="s">
        <v>238</v>
      </c>
      <c r="Q3182" s="5" t="s">
        <v>268</v>
      </c>
      <c r="R3182" s="5" t="s">
        <v>270</v>
      </c>
      <c r="S3182" s="5" t="s">
        <v>238</v>
      </c>
      <c r="V3182" s="5" t="s">
        <v>238</v>
      </c>
      <c r="X3182" s="6" t="s">
        <v>238</v>
      </c>
      <c r="AA3182" s="6" t="s">
        <v>243</v>
      </c>
      <c r="AB3182" s="5" t="s">
        <v>238</v>
      </c>
      <c r="AC3182" s="5" t="s">
        <v>244</v>
      </c>
      <c r="AD3182" s="5" t="s">
        <v>245</v>
      </c>
      <c r="AT3182" s="5" t="s">
        <v>246</v>
      </c>
      <c r="AU3182" s="5" t="s">
        <v>238</v>
      </c>
      <c r="AV3182" s="5" t="s">
        <v>247</v>
      </c>
      <c r="AW3182" s="5" t="s">
        <v>238</v>
      </c>
      <c r="AX3182" s="5" t="s">
        <v>249</v>
      </c>
      <c r="AY3182" s="5" t="s">
        <v>238</v>
      </c>
      <c r="BA3182" s="5" t="s">
        <v>238</v>
      </c>
      <c r="BC3182" s="5" t="s">
        <v>250</v>
      </c>
      <c r="BD3182" s="6" t="s">
        <v>243</v>
      </c>
      <c r="BE3182" s="5" t="s">
        <v>251</v>
      </c>
      <c r="BF3182" s="5" t="s">
        <v>252</v>
      </c>
      <c r="BG3182" s="5" t="s">
        <v>238</v>
      </c>
      <c r="BH3182" s="7">
        <f>0</f>
        <v>0</v>
      </c>
      <c r="BI3182" s="8">
        <f>0</f>
        <v>0</v>
      </c>
      <c r="BJ3182" s="5" t="s">
        <v>253</v>
      </c>
      <c r="BK3182" s="5" t="s">
        <v>254</v>
      </c>
      <c r="BY3182" s="5" t="s">
        <v>238</v>
      </c>
      <c r="BZ3182" s="5" t="s">
        <v>238</v>
      </c>
      <c r="CD3182" s="5" t="s">
        <v>273</v>
      </c>
      <c r="CE3182" s="5" t="s">
        <v>256</v>
      </c>
      <c r="CF3182" s="5" t="s">
        <v>238</v>
      </c>
      <c r="CI3182" s="6" t="s">
        <v>257</v>
      </c>
      <c r="CJ3182" s="5" t="s">
        <v>238</v>
      </c>
      <c r="CK3182" s="5" t="s">
        <v>258</v>
      </c>
      <c r="CL3182" s="5" t="s">
        <v>238</v>
      </c>
      <c r="CM3182" s="5" t="s">
        <v>238</v>
      </c>
      <c r="CN3182" s="5">
        <v>0</v>
      </c>
      <c r="CO3182" s="5" t="s">
        <v>259</v>
      </c>
      <c r="CP3182" s="5" t="s">
        <v>260</v>
      </c>
      <c r="CQ3182" s="5" t="s">
        <v>260</v>
      </c>
      <c r="CR3182" s="5" t="s">
        <v>261</v>
      </c>
      <c r="CU3182" s="8">
        <f>1</f>
        <v>1</v>
      </c>
      <c r="CV3182" s="8">
        <f>0</f>
        <v>0</v>
      </c>
      <c r="CX3182" s="8">
        <f>0</f>
        <v>0</v>
      </c>
      <c r="CY3182" s="8">
        <f>1</f>
        <v>1</v>
      </c>
      <c r="DA3182" s="5" t="s">
        <v>274</v>
      </c>
      <c r="DB3182" s="5" t="s">
        <v>238</v>
      </c>
      <c r="DD3182" s="5" t="s">
        <v>274</v>
      </c>
      <c r="DE3182" s="8">
        <f>14362</f>
        <v>14362</v>
      </c>
      <c r="DG3182" s="5" t="s">
        <v>238</v>
      </c>
      <c r="DH3182" s="5" t="s">
        <v>238</v>
      </c>
      <c r="DI3182" s="5" t="s">
        <v>238</v>
      </c>
      <c r="DJ3182" s="5" t="s">
        <v>238</v>
      </c>
      <c r="DN3182" s="5" t="s">
        <v>238</v>
      </c>
      <c r="DO3182" s="5" t="s">
        <v>238</v>
      </c>
      <c r="DP3182" s="5" t="s">
        <v>238</v>
      </c>
      <c r="DQ3182" s="5" t="s">
        <v>238</v>
      </c>
      <c r="DT3182" s="5" t="s">
        <v>275</v>
      </c>
      <c r="DU3182" s="5" t="s">
        <v>1295</v>
      </c>
      <c r="HM3182" s="5" t="s">
        <v>264</v>
      </c>
    </row>
    <row r="3183" spans="1:221" x14ac:dyDescent="0.4">
      <c r="A3183" s="5">
        <v>4887</v>
      </c>
      <c r="B3183" s="5">
        <v>1</v>
      </c>
      <c r="C3183" s="5">
        <v>1</v>
      </c>
      <c r="D3183" s="5" t="s">
        <v>269</v>
      </c>
      <c r="E3183" s="5" t="s">
        <v>271</v>
      </c>
      <c r="F3183" s="5" t="s">
        <v>248</v>
      </c>
      <c r="G3183" s="5" t="s">
        <v>266</v>
      </c>
      <c r="H3183" s="6" t="s">
        <v>1279</v>
      </c>
      <c r="I3183" s="7">
        <f>391</f>
        <v>391</v>
      </c>
      <c r="J3183" s="5" t="s">
        <v>262</v>
      </c>
      <c r="K3183" s="8">
        <f>1</f>
        <v>1</v>
      </c>
      <c r="L3183" s="6" t="s">
        <v>242</v>
      </c>
      <c r="M3183" s="5" t="s">
        <v>267</v>
      </c>
      <c r="N3183" s="5" t="s">
        <v>265</v>
      </c>
      <c r="O3183" s="5" t="s">
        <v>238</v>
      </c>
      <c r="P3183" s="5" t="s">
        <v>238</v>
      </c>
      <c r="Q3183" s="5" t="s">
        <v>268</v>
      </c>
      <c r="R3183" s="5" t="s">
        <v>270</v>
      </c>
      <c r="S3183" s="5" t="s">
        <v>238</v>
      </c>
      <c r="V3183" s="5" t="s">
        <v>238</v>
      </c>
      <c r="X3183" s="6" t="s">
        <v>238</v>
      </c>
      <c r="AA3183" s="6" t="s">
        <v>243</v>
      </c>
      <c r="AB3183" s="5" t="s">
        <v>238</v>
      </c>
      <c r="AC3183" s="5" t="s">
        <v>244</v>
      </c>
      <c r="AD3183" s="5" t="s">
        <v>245</v>
      </c>
      <c r="AT3183" s="5" t="s">
        <v>246</v>
      </c>
      <c r="AU3183" s="5" t="s">
        <v>238</v>
      </c>
      <c r="AV3183" s="5" t="s">
        <v>247</v>
      </c>
      <c r="AW3183" s="5" t="s">
        <v>238</v>
      </c>
      <c r="AX3183" s="5" t="s">
        <v>249</v>
      </c>
      <c r="AY3183" s="5" t="s">
        <v>238</v>
      </c>
      <c r="BA3183" s="5" t="s">
        <v>238</v>
      </c>
      <c r="BC3183" s="5" t="s">
        <v>250</v>
      </c>
      <c r="BD3183" s="6" t="s">
        <v>243</v>
      </c>
      <c r="BE3183" s="5" t="s">
        <v>251</v>
      </c>
      <c r="BF3183" s="5" t="s">
        <v>252</v>
      </c>
      <c r="BG3183" s="5" t="s">
        <v>238</v>
      </c>
      <c r="BH3183" s="7">
        <f>0</f>
        <v>0</v>
      </c>
      <c r="BI3183" s="8">
        <f>0</f>
        <v>0</v>
      </c>
      <c r="BJ3183" s="5" t="s">
        <v>253</v>
      </c>
      <c r="BK3183" s="5" t="s">
        <v>254</v>
      </c>
      <c r="BY3183" s="5" t="s">
        <v>238</v>
      </c>
      <c r="BZ3183" s="5" t="s">
        <v>238</v>
      </c>
      <c r="CD3183" s="5" t="s">
        <v>273</v>
      </c>
      <c r="CE3183" s="5" t="s">
        <v>256</v>
      </c>
      <c r="CF3183" s="5" t="s">
        <v>238</v>
      </c>
      <c r="CI3183" s="6" t="s">
        <v>257</v>
      </c>
      <c r="CJ3183" s="5" t="s">
        <v>238</v>
      </c>
      <c r="CK3183" s="5" t="s">
        <v>258</v>
      </c>
      <c r="CL3183" s="5" t="s">
        <v>238</v>
      </c>
      <c r="CM3183" s="5" t="s">
        <v>238</v>
      </c>
      <c r="CN3183" s="5">
        <v>0</v>
      </c>
      <c r="CO3183" s="5" t="s">
        <v>259</v>
      </c>
      <c r="CP3183" s="5" t="s">
        <v>260</v>
      </c>
      <c r="CQ3183" s="5" t="s">
        <v>260</v>
      </c>
      <c r="CR3183" s="5" t="s">
        <v>261</v>
      </c>
      <c r="CU3183" s="8">
        <f>1</f>
        <v>1</v>
      </c>
      <c r="CV3183" s="8">
        <f>0</f>
        <v>0</v>
      </c>
      <c r="CX3183" s="8">
        <f>0</f>
        <v>0</v>
      </c>
      <c r="CY3183" s="8">
        <f>1</f>
        <v>1</v>
      </c>
      <c r="DA3183" s="5" t="s">
        <v>274</v>
      </c>
      <c r="DB3183" s="5" t="s">
        <v>238</v>
      </c>
      <c r="DD3183" s="5" t="s">
        <v>274</v>
      </c>
      <c r="DE3183" s="8">
        <f>391</f>
        <v>391</v>
      </c>
      <c r="DG3183" s="5" t="s">
        <v>238</v>
      </c>
      <c r="DH3183" s="5" t="s">
        <v>238</v>
      </c>
      <c r="DI3183" s="5" t="s">
        <v>238</v>
      </c>
      <c r="DJ3183" s="5" t="s">
        <v>238</v>
      </c>
      <c r="DN3183" s="5" t="s">
        <v>238</v>
      </c>
      <c r="DO3183" s="5" t="s">
        <v>238</v>
      </c>
      <c r="DP3183" s="5" t="s">
        <v>238</v>
      </c>
      <c r="DQ3183" s="5" t="s">
        <v>238</v>
      </c>
      <c r="DT3183" s="5" t="s">
        <v>275</v>
      </c>
      <c r="DU3183" s="5" t="s">
        <v>1280</v>
      </c>
      <c r="HM3183" s="5" t="s">
        <v>264</v>
      </c>
    </row>
    <row r="3184" spans="1:221" x14ac:dyDescent="0.4">
      <c r="A3184" s="5">
        <v>4888</v>
      </c>
      <c r="B3184" s="5">
        <v>1</v>
      </c>
      <c r="C3184" s="5">
        <v>1</v>
      </c>
      <c r="D3184" s="5" t="s">
        <v>269</v>
      </c>
      <c r="E3184" s="5" t="s">
        <v>271</v>
      </c>
      <c r="F3184" s="5" t="s">
        <v>248</v>
      </c>
      <c r="G3184" s="5" t="s">
        <v>266</v>
      </c>
      <c r="H3184" s="6" t="s">
        <v>1271</v>
      </c>
      <c r="I3184" s="7">
        <f>231</f>
        <v>231</v>
      </c>
      <c r="J3184" s="5" t="s">
        <v>262</v>
      </c>
      <c r="K3184" s="8">
        <f>1</f>
        <v>1</v>
      </c>
      <c r="L3184" s="6" t="s">
        <v>242</v>
      </c>
      <c r="M3184" s="5" t="s">
        <v>267</v>
      </c>
      <c r="N3184" s="5" t="s">
        <v>265</v>
      </c>
      <c r="O3184" s="5" t="s">
        <v>238</v>
      </c>
      <c r="P3184" s="5" t="s">
        <v>238</v>
      </c>
      <c r="Q3184" s="5" t="s">
        <v>268</v>
      </c>
      <c r="R3184" s="5" t="s">
        <v>270</v>
      </c>
      <c r="S3184" s="5" t="s">
        <v>238</v>
      </c>
      <c r="V3184" s="5" t="s">
        <v>238</v>
      </c>
      <c r="X3184" s="6" t="s">
        <v>238</v>
      </c>
      <c r="AA3184" s="6" t="s">
        <v>243</v>
      </c>
      <c r="AB3184" s="5" t="s">
        <v>238</v>
      </c>
      <c r="AC3184" s="5" t="s">
        <v>244</v>
      </c>
      <c r="AD3184" s="5" t="s">
        <v>245</v>
      </c>
      <c r="AT3184" s="5" t="s">
        <v>246</v>
      </c>
      <c r="AU3184" s="5" t="s">
        <v>238</v>
      </c>
      <c r="AV3184" s="5" t="s">
        <v>247</v>
      </c>
      <c r="AW3184" s="5" t="s">
        <v>238</v>
      </c>
      <c r="AX3184" s="5" t="s">
        <v>249</v>
      </c>
      <c r="AY3184" s="5" t="s">
        <v>238</v>
      </c>
      <c r="BA3184" s="5" t="s">
        <v>238</v>
      </c>
      <c r="BC3184" s="5" t="s">
        <v>250</v>
      </c>
      <c r="BD3184" s="6" t="s">
        <v>243</v>
      </c>
      <c r="BE3184" s="5" t="s">
        <v>251</v>
      </c>
      <c r="BF3184" s="5" t="s">
        <v>252</v>
      </c>
      <c r="BG3184" s="5" t="s">
        <v>238</v>
      </c>
      <c r="BH3184" s="7">
        <f>0</f>
        <v>0</v>
      </c>
      <c r="BI3184" s="8">
        <f>0</f>
        <v>0</v>
      </c>
      <c r="BJ3184" s="5" t="s">
        <v>253</v>
      </c>
      <c r="BK3184" s="5" t="s">
        <v>254</v>
      </c>
      <c r="BY3184" s="5" t="s">
        <v>238</v>
      </c>
      <c r="BZ3184" s="5" t="s">
        <v>238</v>
      </c>
      <c r="CD3184" s="5" t="s">
        <v>273</v>
      </c>
      <c r="CE3184" s="5" t="s">
        <v>256</v>
      </c>
      <c r="CF3184" s="5" t="s">
        <v>238</v>
      </c>
      <c r="CI3184" s="6" t="s">
        <v>257</v>
      </c>
      <c r="CJ3184" s="5" t="s">
        <v>238</v>
      </c>
      <c r="CK3184" s="5" t="s">
        <v>258</v>
      </c>
      <c r="CL3184" s="5" t="s">
        <v>238</v>
      </c>
      <c r="CM3184" s="5" t="s">
        <v>238</v>
      </c>
      <c r="CN3184" s="5">
        <v>0</v>
      </c>
      <c r="CO3184" s="5" t="s">
        <v>259</v>
      </c>
      <c r="CP3184" s="5" t="s">
        <v>260</v>
      </c>
      <c r="CQ3184" s="5" t="s">
        <v>260</v>
      </c>
      <c r="CR3184" s="5" t="s">
        <v>261</v>
      </c>
      <c r="CU3184" s="8">
        <f>1</f>
        <v>1</v>
      </c>
      <c r="CV3184" s="8">
        <f>0</f>
        <v>0</v>
      </c>
      <c r="CX3184" s="8">
        <f>0</f>
        <v>0</v>
      </c>
      <c r="CY3184" s="8">
        <f>1</f>
        <v>1</v>
      </c>
      <c r="DA3184" s="5" t="s">
        <v>274</v>
      </c>
      <c r="DB3184" s="5" t="s">
        <v>238</v>
      </c>
      <c r="DD3184" s="5" t="s">
        <v>274</v>
      </c>
      <c r="DE3184" s="8">
        <f>231</f>
        <v>231</v>
      </c>
      <c r="DG3184" s="5" t="s">
        <v>238</v>
      </c>
      <c r="DH3184" s="5" t="s">
        <v>238</v>
      </c>
      <c r="DI3184" s="5" t="s">
        <v>238</v>
      </c>
      <c r="DJ3184" s="5" t="s">
        <v>238</v>
      </c>
      <c r="DN3184" s="5" t="s">
        <v>238</v>
      </c>
      <c r="DO3184" s="5" t="s">
        <v>238</v>
      </c>
      <c r="DP3184" s="5" t="s">
        <v>238</v>
      </c>
      <c r="DQ3184" s="5" t="s">
        <v>238</v>
      </c>
      <c r="DT3184" s="5" t="s">
        <v>275</v>
      </c>
      <c r="DU3184" s="5" t="s">
        <v>1272</v>
      </c>
      <c r="HM3184" s="5" t="s">
        <v>264</v>
      </c>
    </row>
    <row r="3185" spans="1:221" x14ac:dyDescent="0.4">
      <c r="A3185" s="5">
        <v>4889</v>
      </c>
      <c r="B3185" s="5">
        <v>1</v>
      </c>
      <c r="C3185" s="5">
        <v>1</v>
      </c>
      <c r="D3185" s="5" t="s">
        <v>269</v>
      </c>
      <c r="E3185" s="5" t="s">
        <v>271</v>
      </c>
      <c r="F3185" s="5" t="s">
        <v>248</v>
      </c>
      <c r="G3185" s="5" t="s">
        <v>266</v>
      </c>
      <c r="H3185" s="6" t="s">
        <v>1246</v>
      </c>
      <c r="I3185" s="7">
        <f>2473</f>
        <v>2473</v>
      </c>
      <c r="J3185" s="5" t="s">
        <v>262</v>
      </c>
      <c r="K3185" s="8">
        <f>1</f>
        <v>1</v>
      </c>
      <c r="L3185" s="6" t="s">
        <v>242</v>
      </c>
      <c r="M3185" s="5" t="s">
        <v>267</v>
      </c>
      <c r="N3185" s="5" t="s">
        <v>265</v>
      </c>
      <c r="O3185" s="5" t="s">
        <v>238</v>
      </c>
      <c r="P3185" s="5" t="s">
        <v>238</v>
      </c>
      <c r="Q3185" s="5" t="s">
        <v>268</v>
      </c>
      <c r="R3185" s="5" t="s">
        <v>270</v>
      </c>
      <c r="S3185" s="5" t="s">
        <v>238</v>
      </c>
      <c r="V3185" s="5" t="s">
        <v>238</v>
      </c>
      <c r="X3185" s="6" t="s">
        <v>238</v>
      </c>
      <c r="AA3185" s="6" t="s">
        <v>243</v>
      </c>
      <c r="AB3185" s="5" t="s">
        <v>238</v>
      </c>
      <c r="AC3185" s="5" t="s">
        <v>244</v>
      </c>
      <c r="AD3185" s="5" t="s">
        <v>245</v>
      </c>
      <c r="AT3185" s="5" t="s">
        <v>246</v>
      </c>
      <c r="AU3185" s="5" t="s">
        <v>238</v>
      </c>
      <c r="AV3185" s="5" t="s">
        <v>247</v>
      </c>
      <c r="AW3185" s="5" t="s">
        <v>238</v>
      </c>
      <c r="AX3185" s="5" t="s">
        <v>249</v>
      </c>
      <c r="AY3185" s="5" t="s">
        <v>238</v>
      </c>
      <c r="BA3185" s="5" t="s">
        <v>238</v>
      </c>
      <c r="BC3185" s="5" t="s">
        <v>250</v>
      </c>
      <c r="BD3185" s="6" t="s">
        <v>243</v>
      </c>
      <c r="BE3185" s="5" t="s">
        <v>251</v>
      </c>
      <c r="BF3185" s="5" t="s">
        <v>252</v>
      </c>
      <c r="BG3185" s="5" t="s">
        <v>238</v>
      </c>
      <c r="BH3185" s="7">
        <f>0</f>
        <v>0</v>
      </c>
      <c r="BI3185" s="8">
        <f>0</f>
        <v>0</v>
      </c>
      <c r="BJ3185" s="5" t="s">
        <v>253</v>
      </c>
      <c r="BK3185" s="5" t="s">
        <v>254</v>
      </c>
      <c r="BY3185" s="5" t="s">
        <v>238</v>
      </c>
      <c r="BZ3185" s="5" t="s">
        <v>238</v>
      </c>
      <c r="CD3185" s="5" t="s">
        <v>273</v>
      </c>
      <c r="CE3185" s="5" t="s">
        <v>256</v>
      </c>
      <c r="CF3185" s="5" t="s">
        <v>238</v>
      </c>
      <c r="CI3185" s="6" t="s">
        <v>257</v>
      </c>
      <c r="CJ3185" s="5" t="s">
        <v>238</v>
      </c>
      <c r="CK3185" s="5" t="s">
        <v>258</v>
      </c>
      <c r="CL3185" s="5" t="s">
        <v>238</v>
      </c>
      <c r="CM3185" s="5" t="s">
        <v>238</v>
      </c>
      <c r="CN3185" s="5">
        <v>0</v>
      </c>
      <c r="CO3185" s="5" t="s">
        <v>259</v>
      </c>
      <c r="CP3185" s="5" t="s">
        <v>260</v>
      </c>
      <c r="CQ3185" s="5" t="s">
        <v>260</v>
      </c>
      <c r="CR3185" s="5" t="s">
        <v>261</v>
      </c>
      <c r="CU3185" s="8">
        <f>1</f>
        <v>1</v>
      </c>
      <c r="CV3185" s="8">
        <f>0</f>
        <v>0</v>
      </c>
      <c r="CX3185" s="8">
        <f>0</f>
        <v>0</v>
      </c>
      <c r="CY3185" s="8">
        <f>1</f>
        <v>1</v>
      </c>
      <c r="DA3185" s="5" t="s">
        <v>274</v>
      </c>
      <c r="DB3185" s="5" t="s">
        <v>238</v>
      </c>
      <c r="DD3185" s="5" t="s">
        <v>274</v>
      </c>
      <c r="DE3185" s="8">
        <f>2473</f>
        <v>2473</v>
      </c>
      <c r="DF3185" s="6" t="s">
        <v>1247</v>
      </c>
      <c r="DG3185" s="5" t="s">
        <v>238</v>
      </c>
      <c r="DH3185" s="5" t="s">
        <v>238</v>
      </c>
      <c r="DI3185" s="5" t="s">
        <v>238</v>
      </c>
      <c r="DJ3185" s="5" t="s">
        <v>238</v>
      </c>
      <c r="DN3185" s="5" t="s">
        <v>238</v>
      </c>
      <c r="DO3185" s="5" t="s">
        <v>238</v>
      </c>
      <c r="DP3185" s="5" t="s">
        <v>238</v>
      </c>
      <c r="DQ3185" s="5" t="s">
        <v>238</v>
      </c>
      <c r="DT3185" s="5" t="s">
        <v>275</v>
      </c>
      <c r="DU3185" s="5" t="s">
        <v>1248</v>
      </c>
      <c r="HM3185" s="5" t="s">
        <v>264</v>
      </c>
    </row>
    <row r="3186" spans="1:221" x14ac:dyDescent="0.4">
      <c r="A3186" s="5">
        <v>4890</v>
      </c>
      <c r="B3186" s="5">
        <v>1</v>
      </c>
      <c r="C3186" s="5">
        <v>1</v>
      </c>
      <c r="D3186" s="5" t="s">
        <v>269</v>
      </c>
      <c r="E3186" s="5" t="s">
        <v>271</v>
      </c>
      <c r="F3186" s="5" t="s">
        <v>248</v>
      </c>
      <c r="G3186" s="5" t="s">
        <v>266</v>
      </c>
      <c r="H3186" s="6" t="s">
        <v>1233</v>
      </c>
      <c r="I3186" s="7">
        <f>399</f>
        <v>399</v>
      </c>
      <c r="J3186" s="5" t="s">
        <v>262</v>
      </c>
      <c r="K3186" s="8">
        <f>1</f>
        <v>1</v>
      </c>
      <c r="L3186" s="6" t="s">
        <v>242</v>
      </c>
      <c r="M3186" s="5" t="s">
        <v>267</v>
      </c>
      <c r="N3186" s="5" t="s">
        <v>265</v>
      </c>
      <c r="O3186" s="5" t="s">
        <v>238</v>
      </c>
      <c r="P3186" s="5" t="s">
        <v>238</v>
      </c>
      <c r="Q3186" s="5" t="s">
        <v>268</v>
      </c>
      <c r="R3186" s="5" t="s">
        <v>270</v>
      </c>
      <c r="S3186" s="5" t="s">
        <v>238</v>
      </c>
      <c r="V3186" s="5" t="s">
        <v>238</v>
      </c>
      <c r="X3186" s="6" t="s">
        <v>238</v>
      </c>
      <c r="AA3186" s="6" t="s">
        <v>243</v>
      </c>
      <c r="AB3186" s="5" t="s">
        <v>238</v>
      </c>
      <c r="AC3186" s="5" t="s">
        <v>244</v>
      </c>
      <c r="AD3186" s="5" t="s">
        <v>245</v>
      </c>
      <c r="AT3186" s="5" t="s">
        <v>246</v>
      </c>
      <c r="AU3186" s="5" t="s">
        <v>238</v>
      </c>
      <c r="AV3186" s="5" t="s">
        <v>247</v>
      </c>
      <c r="AW3186" s="5" t="s">
        <v>238</v>
      </c>
      <c r="AX3186" s="5" t="s">
        <v>249</v>
      </c>
      <c r="AY3186" s="5" t="s">
        <v>238</v>
      </c>
      <c r="BA3186" s="5" t="s">
        <v>238</v>
      </c>
      <c r="BC3186" s="5" t="s">
        <v>250</v>
      </c>
      <c r="BD3186" s="6" t="s">
        <v>243</v>
      </c>
      <c r="BE3186" s="5" t="s">
        <v>251</v>
      </c>
      <c r="BF3186" s="5" t="s">
        <v>252</v>
      </c>
      <c r="BG3186" s="5" t="s">
        <v>238</v>
      </c>
      <c r="BH3186" s="7">
        <f>0</f>
        <v>0</v>
      </c>
      <c r="BI3186" s="8">
        <f>0</f>
        <v>0</v>
      </c>
      <c r="BJ3186" s="5" t="s">
        <v>253</v>
      </c>
      <c r="BK3186" s="5" t="s">
        <v>254</v>
      </c>
      <c r="BY3186" s="5" t="s">
        <v>238</v>
      </c>
      <c r="BZ3186" s="5" t="s">
        <v>238</v>
      </c>
      <c r="CD3186" s="5" t="s">
        <v>273</v>
      </c>
      <c r="CE3186" s="5" t="s">
        <v>256</v>
      </c>
      <c r="CF3186" s="5" t="s">
        <v>238</v>
      </c>
      <c r="CI3186" s="6" t="s">
        <v>257</v>
      </c>
      <c r="CJ3186" s="5" t="s">
        <v>238</v>
      </c>
      <c r="CK3186" s="5" t="s">
        <v>258</v>
      </c>
      <c r="CL3186" s="5" t="s">
        <v>238</v>
      </c>
      <c r="CM3186" s="5" t="s">
        <v>238</v>
      </c>
      <c r="CN3186" s="5">
        <v>0</v>
      </c>
      <c r="CO3186" s="5" t="s">
        <v>259</v>
      </c>
      <c r="CP3186" s="5" t="s">
        <v>260</v>
      </c>
      <c r="CQ3186" s="5" t="s">
        <v>260</v>
      </c>
      <c r="CR3186" s="5" t="s">
        <v>261</v>
      </c>
      <c r="CU3186" s="8">
        <f>1</f>
        <v>1</v>
      </c>
      <c r="CV3186" s="8">
        <f>0</f>
        <v>0</v>
      </c>
      <c r="CX3186" s="8">
        <f>0</f>
        <v>0</v>
      </c>
      <c r="CY3186" s="8">
        <f>1</f>
        <v>1</v>
      </c>
      <c r="DA3186" s="5" t="s">
        <v>274</v>
      </c>
      <c r="DB3186" s="5" t="s">
        <v>238</v>
      </c>
      <c r="DD3186" s="5" t="s">
        <v>274</v>
      </c>
      <c r="DE3186" s="8">
        <f>399</f>
        <v>399</v>
      </c>
      <c r="DF3186" s="6" t="s">
        <v>1234</v>
      </c>
      <c r="DG3186" s="5" t="s">
        <v>238</v>
      </c>
      <c r="DH3186" s="5" t="s">
        <v>238</v>
      </c>
      <c r="DI3186" s="5" t="s">
        <v>238</v>
      </c>
      <c r="DJ3186" s="5" t="s">
        <v>238</v>
      </c>
      <c r="DN3186" s="5" t="s">
        <v>238</v>
      </c>
      <c r="DO3186" s="5" t="s">
        <v>238</v>
      </c>
      <c r="DP3186" s="5" t="s">
        <v>238</v>
      </c>
      <c r="DQ3186" s="5" t="s">
        <v>238</v>
      </c>
      <c r="DT3186" s="5" t="s">
        <v>275</v>
      </c>
      <c r="DU3186" s="5" t="s">
        <v>1235</v>
      </c>
      <c r="HM3186" s="5" t="s">
        <v>264</v>
      </c>
    </row>
    <row r="3187" spans="1:221" x14ac:dyDescent="0.4">
      <c r="A3187" s="5">
        <v>4891</v>
      </c>
      <c r="B3187" s="5">
        <v>1</v>
      </c>
      <c r="C3187" s="5">
        <v>1</v>
      </c>
      <c r="D3187" s="5" t="s">
        <v>269</v>
      </c>
      <c r="E3187" s="5" t="s">
        <v>271</v>
      </c>
      <c r="F3187" s="5" t="s">
        <v>248</v>
      </c>
      <c r="G3187" s="5" t="s">
        <v>266</v>
      </c>
      <c r="H3187" s="6" t="s">
        <v>1218</v>
      </c>
      <c r="I3187" s="7">
        <f>318</f>
        <v>318</v>
      </c>
      <c r="J3187" s="5" t="s">
        <v>262</v>
      </c>
      <c r="K3187" s="8">
        <f>1</f>
        <v>1</v>
      </c>
      <c r="L3187" s="6" t="s">
        <v>242</v>
      </c>
      <c r="M3187" s="5" t="s">
        <v>267</v>
      </c>
      <c r="N3187" s="5" t="s">
        <v>265</v>
      </c>
      <c r="O3187" s="5" t="s">
        <v>238</v>
      </c>
      <c r="P3187" s="5" t="s">
        <v>238</v>
      </c>
      <c r="Q3187" s="5" t="s">
        <v>268</v>
      </c>
      <c r="R3187" s="5" t="s">
        <v>270</v>
      </c>
      <c r="S3187" s="5" t="s">
        <v>238</v>
      </c>
      <c r="V3187" s="5" t="s">
        <v>238</v>
      </c>
      <c r="X3187" s="6" t="s">
        <v>238</v>
      </c>
      <c r="AA3187" s="6" t="s">
        <v>243</v>
      </c>
      <c r="AB3187" s="5" t="s">
        <v>238</v>
      </c>
      <c r="AC3187" s="5" t="s">
        <v>244</v>
      </c>
      <c r="AD3187" s="5" t="s">
        <v>245</v>
      </c>
      <c r="AT3187" s="5" t="s">
        <v>246</v>
      </c>
      <c r="AU3187" s="5" t="s">
        <v>238</v>
      </c>
      <c r="AV3187" s="5" t="s">
        <v>247</v>
      </c>
      <c r="AW3187" s="5" t="s">
        <v>238</v>
      </c>
      <c r="AX3187" s="5" t="s">
        <v>249</v>
      </c>
      <c r="AY3187" s="5" t="s">
        <v>238</v>
      </c>
      <c r="BA3187" s="5" t="s">
        <v>238</v>
      </c>
      <c r="BC3187" s="5" t="s">
        <v>250</v>
      </c>
      <c r="BD3187" s="6" t="s">
        <v>243</v>
      </c>
      <c r="BE3187" s="5" t="s">
        <v>251</v>
      </c>
      <c r="BF3187" s="5" t="s">
        <v>252</v>
      </c>
      <c r="BG3187" s="5" t="s">
        <v>238</v>
      </c>
      <c r="BH3187" s="7">
        <f>0</f>
        <v>0</v>
      </c>
      <c r="BI3187" s="8">
        <f>0</f>
        <v>0</v>
      </c>
      <c r="BJ3187" s="5" t="s">
        <v>253</v>
      </c>
      <c r="BK3187" s="5" t="s">
        <v>254</v>
      </c>
      <c r="BY3187" s="5" t="s">
        <v>238</v>
      </c>
      <c r="BZ3187" s="5" t="s">
        <v>238</v>
      </c>
      <c r="CD3187" s="5" t="s">
        <v>273</v>
      </c>
      <c r="CE3187" s="5" t="s">
        <v>256</v>
      </c>
      <c r="CF3187" s="5" t="s">
        <v>238</v>
      </c>
      <c r="CI3187" s="6" t="s">
        <v>257</v>
      </c>
      <c r="CJ3187" s="5" t="s">
        <v>238</v>
      </c>
      <c r="CK3187" s="5" t="s">
        <v>258</v>
      </c>
      <c r="CL3187" s="5" t="s">
        <v>238</v>
      </c>
      <c r="CM3187" s="5" t="s">
        <v>238</v>
      </c>
      <c r="CN3187" s="5">
        <v>0</v>
      </c>
      <c r="CO3187" s="5" t="s">
        <v>259</v>
      </c>
      <c r="CP3187" s="5" t="s">
        <v>260</v>
      </c>
      <c r="CQ3187" s="5" t="s">
        <v>260</v>
      </c>
      <c r="CR3187" s="5" t="s">
        <v>261</v>
      </c>
      <c r="CU3187" s="8">
        <f>1</f>
        <v>1</v>
      </c>
      <c r="CV3187" s="8">
        <f>0</f>
        <v>0</v>
      </c>
      <c r="CX3187" s="8">
        <f>0</f>
        <v>0</v>
      </c>
      <c r="CY3187" s="8">
        <f>1</f>
        <v>1</v>
      </c>
      <c r="DA3187" s="5" t="s">
        <v>274</v>
      </c>
      <c r="DB3187" s="5" t="s">
        <v>238</v>
      </c>
      <c r="DD3187" s="5" t="s">
        <v>274</v>
      </c>
      <c r="DE3187" s="8">
        <f>318</f>
        <v>318</v>
      </c>
      <c r="DF3187" s="6" t="s">
        <v>1219</v>
      </c>
      <c r="DG3187" s="5" t="s">
        <v>238</v>
      </c>
      <c r="DH3187" s="5" t="s">
        <v>238</v>
      </c>
      <c r="DI3187" s="5" t="s">
        <v>238</v>
      </c>
      <c r="DJ3187" s="5" t="s">
        <v>238</v>
      </c>
      <c r="DN3187" s="5" t="s">
        <v>238</v>
      </c>
      <c r="DO3187" s="5" t="s">
        <v>238</v>
      </c>
      <c r="DP3187" s="5" t="s">
        <v>238</v>
      </c>
      <c r="DQ3187" s="5" t="s">
        <v>238</v>
      </c>
      <c r="DT3187" s="5" t="s">
        <v>275</v>
      </c>
      <c r="DU3187" s="5" t="s">
        <v>1220</v>
      </c>
      <c r="HM3187" s="5" t="s">
        <v>264</v>
      </c>
    </row>
    <row r="3188" spans="1:221" x14ac:dyDescent="0.4">
      <c r="A3188" s="5">
        <v>4892</v>
      </c>
      <c r="B3188" s="5">
        <v>1</v>
      </c>
      <c r="C3188" s="5">
        <v>1</v>
      </c>
      <c r="D3188" s="5" t="s">
        <v>269</v>
      </c>
      <c r="E3188" s="5" t="s">
        <v>271</v>
      </c>
      <c r="F3188" s="5" t="s">
        <v>248</v>
      </c>
      <c r="G3188" s="5" t="s">
        <v>266</v>
      </c>
      <c r="H3188" s="6" t="s">
        <v>1203</v>
      </c>
      <c r="I3188" s="7">
        <f>10373</f>
        <v>10373</v>
      </c>
      <c r="J3188" s="5" t="s">
        <v>262</v>
      </c>
      <c r="K3188" s="8">
        <f>1</f>
        <v>1</v>
      </c>
      <c r="L3188" s="6" t="s">
        <v>242</v>
      </c>
      <c r="M3188" s="5" t="s">
        <v>267</v>
      </c>
      <c r="N3188" s="5" t="s">
        <v>265</v>
      </c>
      <c r="O3188" s="5" t="s">
        <v>238</v>
      </c>
      <c r="P3188" s="5" t="s">
        <v>238</v>
      </c>
      <c r="Q3188" s="5" t="s">
        <v>268</v>
      </c>
      <c r="R3188" s="5" t="s">
        <v>270</v>
      </c>
      <c r="S3188" s="5" t="s">
        <v>238</v>
      </c>
      <c r="V3188" s="5" t="s">
        <v>238</v>
      </c>
      <c r="X3188" s="6" t="s">
        <v>238</v>
      </c>
      <c r="AA3188" s="6" t="s">
        <v>243</v>
      </c>
      <c r="AB3188" s="5" t="s">
        <v>238</v>
      </c>
      <c r="AC3188" s="5" t="s">
        <v>244</v>
      </c>
      <c r="AD3188" s="5" t="s">
        <v>245</v>
      </c>
      <c r="AT3188" s="5" t="s">
        <v>246</v>
      </c>
      <c r="AU3188" s="5" t="s">
        <v>238</v>
      </c>
      <c r="AV3188" s="5" t="s">
        <v>247</v>
      </c>
      <c r="AW3188" s="5" t="s">
        <v>238</v>
      </c>
      <c r="AX3188" s="5" t="s">
        <v>249</v>
      </c>
      <c r="AY3188" s="5" t="s">
        <v>238</v>
      </c>
      <c r="BA3188" s="5" t="s">
        <v>238</v>
      </c>
      <c r="BC3188" s="5" t="s">
        <v>250</v>
      </c>
      <c r="BD3188" s="6" t="s">
        <v>243</v>
      </c>
      <c r="BE3188" s="5" t="s">
        <v>251</v>
      </c>
      <c r="BF3188" s="5" t="s">
        <v>252</v>
      </c>
      <c r="BG3188" s="5" t="s">
        <v>238</v>
      </c>
      <c r="BH3188" s="7">
        <f>0</f>
        <v>0</v>
      </c>
      <c r="BI3188" s="8">
        <f>0</f>
        <v>0</v>
      </c>
      <c r="BJ3188" s="5" t="s">
        <v>253</v>
      </c>
      <c r="BK3188" s="5" t="s">
        <v>254</v>
      </c>
      <c r="BY3188" s="5" t="s">
        <v>238</v>
      </c>
      <c r="BZ3188" s="5" t="s">
        <v>238</v>
      </c>
      <c r="CD3188" s="5" t="s">
        <v>273</v>
      </c>
      <c r="CE3188" s="5" t="s">
        <v>256</v>
      </c>
      <c r="CF3188" s="5" t="s">
        <v>238</v>
      </c>
      <c r="CI3188" s="6" t="s">
        <v>257</v>
      </c>
      <c r="CJ3188" s="5" t="s">
        <v>238</v>
      </c>
      <c r="CK3188" s="5" t="s">
        <v>258</v>
      </c>
      <c r="CL3188" s="5" t="s">
        <v>238</v>
      </c>
      <c r="CM3188" s="5" t="s">
        <v>238</v>
      </c>
      <c r="CN3188" s="5">
        <v>0</v>
      </c>
      <c r="CO3188" s="5" t="s">
        <v>259</v>
      </c>
      <c r="CP3188" s="5" t="s">
        <v>260</v>
      </c>
      <c r="CQ3188" s="5" t="s">
        <v>260</v>
      </c>
      <c r="CR3188" s="5" t="s">
        <v>261</v>
      </c>
      <c r="CU3188" s="8">
        <f>1</f>
        <v>1</v>
      </c>
      <c r="CV3188" s="8">
        <f>0</f>
        <v>0</v>
      </c>
      <c r="CX3188" s="8">
        <f>0</f>
        <v>0</v>
      </c>
      <c r="CY3188" s="8">
        <f>1</f>
        <v>1</v>
      </c>
      <c r="DA3188" s="5" t="s">
        <v>274</v>
      </c>
      <c r="DB3188" s="5" t="s">
        <v>238</v>
      </c>
      <c r="DD3188" s="5" t="s">
        <v>274</v>
      </c>
      <c r="DE3188" s="8">
        <f>10373</f>
        <v>10373</v>
      </c>
      <c r="DF3188" s="6" t="s">
        <v>1204</v>
      </c>
      <c r="DG3188" s="5" t="s">
        <v>238</v>
      </c>
      <c r="DH3188" s="5" t="s">
        <v>238</v>
      </c>
      <c r="DI3188" s="5" t="s">
        <v>238</v>
      </c>
      <c r="DJ3188" s="5" t="s">
        <v>238</v>
      </c>
      <c r="DN3188" s="5" t="s">
        <v>238</v>
      </c>
      <c r="DO3188" s="5" t="s">
        <v>238</v>
      </c>
      <c r="DP3188" s="5" t="s">
        <v>238</v>
      </c>
      <c r="DQ3188" s="5" t="s">
        <v>238</v>
      </c>
      <c r="DT3188" s="5" t="s">
        <v>275</v>
      </c>
      <c r="DU3188" s="5" t="s">
        <v>1205</v>
      </c>
      <c r="HM3188" s="5" t="s">
        <v>264</v>
      </c>
    </row>
    <row r="3189" spans="1:221" x14ac:dyDescent="0.4">
      <c r="A3189" s="5">
        <v>4893</v>
      </c>
      <c r="B3189" s="5">
        <v>1</v>
      </c>
      <c r="C3189" s="5">
        <v>1</v>
      </c>
      <c r="D3189" s="5" t="s">
        <v>269</v>
      </c>
      <c r="E3189" s="5" t="s">
        <v>271</v>
      </c>
      <c r="F3189" s="5" t="s">
        <v>248</v>
      </c>
      <c r="G3189" s="5" t="s">
        <v>266</v>
      </c>
      <c r="H3189" s="6" t="s">
        <v>1187</v>
      </c>
      <c r="I3189" s="7">
        <f>361</f>
        <v>361</v>
      </c>
      <c r="J3189" s="5" t="s">
        <v>262</v>
      </c>
      <c r="K3189" s="8">
        <f>1</f>
        <v>1</v>
      </c>
      <c r="L3189" s="6" t="s">
        <v>242</v>
      </c>
      <c r="M3189" s="5" t="s">
        <v>267</v>
      </c>
      <c r="N3189" s="5" t="s">
        <v>265</v>
      </c>
      <c r="O3189" s="5" t="s">
        <v>238</v>
      </c>
      <c r="P3189" s="5" t="s">
        <v>238</v>
      </c>
      <c r="Q3189" s="5" t="s">
        <v>268</v>
      </c>
      <c r="R3189" s="5" t="s">
        <v>270</v>
      </c>
      <c r="S3189" s="5" t="s">
        <v>238</v>
      </c>
      <c r="V3189" s="5" t="s">
        <v>238</v>
      </c>
      <c r="X3189" s="6" t="s">
        <v>238</v>
      </c>
      <c r="AA3189" s="6" t="s">
        <v>243</v>
      </c>
      <c r="AB3189" s="5" t="s">
        <v>238</v>
      </c>
      <c r="AC3189" s="5" t="s">
        <v>244</v>
      </c>
      <c r="AD3189" s="5" t="s">
        <v>245</v>
      </c>
      <c r="AT3189" s="5" t="s">
        <v>246</v>
      </c>
      <c r="AU3189" s="5" t="s">
        <v>238</v>
      </c>
      <c r="AV3189" s="5" t="s">
        <v>247</v>
      </c>
      <c r="AW3189" s="5" t="s">
        <v>238</v>
      </c>
      <c r="AX3189" s="5" t="s">
        <v>249</v>
      </c>
      <c r="AY3189" s="5" t="s">
        <v>238</v>
      </c>
      <c r="BA3189" s="5" t="s">
        <v>238</v>
      </c>
      <c r="BC3189" s="5" t="s">
        <v>250</v>
      </c>
      <c r="BD3189" s="6" t="s">
        <v>243</v>
      </c>
      <c r="BE3189" s="5" t="s">
        <v>251</v>
      </c>
      <c r="BF3189" s="5" t="s">
        <v>252</v>
      </c>
      <c r="BG3189" s="5" t="s">
        <v>238</v>
      </c>
      <c r="BH3189" s="7">
        <f>0</f>
        <v>0</v>
      </c>
      <c r="BI3189" s="8">
        <f>0</f>
        <v>0</v>
      </c>
      <c r="BJ3189" s="5" t="s">
        <v>253</v>
      </c>
      <c r="BK3189" s="5" t="s">
        <v>254</v>
      </c>
      <c r="BY3189" s="5" t="s">
        <v>238</v>
      </c>
      <c r="BZ3189" s="5" t="s">
        <v>238</v>
      </c>
      <c r="CD3189" s="5" t="s">
        <v>273</v>
      </c>
      <c r="CE3189" s="5" t="s">
        <v>256</v>
      </c>
      <c r="CF3189" s="5" t="s">
        <v>238</v>
      </c>
      <c r="CI3189" s="6" t="s">
        <v>257</v>
      </c>
      <c r="CJ3189" s="5" t="s">
        <v>238</v>
      </c>
      <c r="CK3189" s="5" t="s">
        <v>258</v>
      </c>
      <c r="CL3189" s="5" t="s">
        <v>238</v>
      </c>
      <c r="CM3189" s="5" t="s">
        <v>238</v>
      </c>
      <c r="CN3189" s="5">
        <v>0</v>
      </c>
      <c r="CO3189" s="5" t="s">
        <v>259</v>
      </c>
      <c r="CP3189" s="5" t="s">
        <v>260</v>
      </c>
      <c r="CQ3189" s="5" t="s">
        <v>260</v>
      </c>
      <c r="CR3189" s="5" t="s">
        <v>261</v>
      </c>
      <c r="CU3189" s="8">
        <f>1</f>
        <v>1</v>
      </c>
      <c r="CV3189" s="8">
        <f>0</f>
        <v>0</v>
      </c>
      <c r="CX3189" s="8">
        <f>0</f>
        <v>0</v>
      </c>
      <c r="CY3189" s="8">
        <f>1</f>
        <v>1</v>
      </c>
      <c r="DA3189" s="5" t="s">
        <v>274</v>
      </c>
      <c r="DB3189" s="5" t="s">
        <v>238</v>
      </c>
      <c r="DD3189" s="5" t="s">
        <v>274</v>
      </c>
      <c r="DE3189" s="8">
        <f>361</f>
        <v>361</v>
      </c>
      <c r="DF3189" s="6" t="s">
        <v>1188</v>
      </c>
      <c r="DG3189" s="5" t="s">
        <v>238</v>
      </c>
      <c r="DH3189" s="5" t="s">
        <v>238</v>
      </c>
      <c r="DI3189" s="5" t="s">
        <v>238</v>
      </c>
      <c r="DJ3189" s="5" t="s">
        <v>238</v>
      </c>
      <c r="DN3189" s="5" t="s">
        <v>238</v>
      </c>
      <c r="DO3189" s="5" t="s">
        <v>238</v>
      </c>
      <c r="DP3189" s="5" t="s">
        <v>238</v>
      </c>
      <c r="DQ3189" s="5" t="s">
        <v>238</v>
      </c>
      <c r="DT3189" s="5" t="s">
        <v>275</v>
      </c>
      <c r="DU3189" s="5" t="s">
        <v>1189</v>
      </c>
      <c r="HM3189" s="5" t="s">
        <v>264</v>
      </c>
    </row>
    <row r="3190" spans="1:221" x14ac:dyDescent="0.4">
      <c r="A3190" s="5">
        <v>4894</v>
      </c>
      <c r="B3190" s="5">
        <v>1</v>
      </c>
      <c r="C3190" s="5">
        <v>1</v>
      </c>
      <c r="D3190" s="5" t="s">
        <v>269</v>
      </c>
      <c r="E3190" s="5" t="s">
        <v>271</v>
      </c>
      <c r="F3190" s="5" t="s">
        <v>248</v>
      </c>
      <c r="G3190" s="5" t="s">
        <v>266</v>
      </c>
      <c r="H3190" s="6" t="s">
        <v>1174</v>
      </c>
      <c r="I3190" s="7">
        <f>76</f>
        <v>76</v>
      </c>
      <c r="J3190" s="5" t="s">
        <v>262</v>
      </c>
      <c r="K3190" s="8">
        <f>1</f>
        <v>1</v>
      </c>
      <c r="L3190" s="6" t="s">
        <v>242</v>
      </c>
      <c r="M3190" s="5" t="s">
        <v>267</v>
      </c>
      <c r="N3190" s="5" t="s">
        <v>265</v>
      </c>
      <c r="O3190" s="5" t="s">
        <v>238</v>
      </c>
      <c r="P3190" s="5" t="s">
        <v>238</v>
      </c>
      <c r="Q3190" s="5" t="s">
        <v>268</v>
      </c>
      <c r="R3190" s="5" t="s">
        <v>270</v>
      </c>
      <c r="S3190" s="5" t="s">
        <v>238</v>
      </c>
      <c r="V3190" s="5" t="s">
        <v>238</v>
      </c>
      <c r="X3190" s="6" t="s">
        <v>238</v>
      </c>
      <c r="AA3190" s="6" t="s">
        <v>243</v>
      </c>
      <c r="AB3190" s="5" t="s">
        <v>238</v>
      </c>
      <c r="AC3190" s="5" t="s">
        <v>244</v>
      </c>
      <c r="AD3190" s="5" t="s">
        <v>245</v>
      </c>
      <c r="AT3190" s="5" t="s">
        <v>246</v>
      </c>
      <c r="AU3190" s="5" t="s">
        <v>238</v>
      </c>
      <c r="AV3190" s="5" t="s">
        <v>247</v>
      </c>
      <c r="AW3190" s="5" t="s">
        <v>238</v>
      </c>
      <c r="AX3190" s="5" t="s">
        <v>249</v>
      </c>
      <c r="AY3190" s="5" t="s">
        <v>238</v>
      </c>
      <c r="BA3190" s="5" t="s">
        <v>238</v>
      </c>
      <c r="BC3190" s="5" t="s">
        <v>250</v>
      </c>
      <c r="BD3190" s="6" t="s">
        <v>243</v>
      </c>
      <c r="BE3190" s="5" t="s">
        <v>251</v>
      </c>
      <c r="BF3190" s="5" t="s">
        <v>252</v>
      </c>
      <c r="BG3190" s="5" t="s">
        <v>238</v>
      </c>
      <c r="BH3190" s="7">
        <f>0</f>
        <v>0</v>
      </c>
      <c r="BI3190" s="8">
        <f>0</f>
        <v>0</v>
      </c>
      <c r="BJ3190" s="5" t="s">
        <v>253</v>
      </c>
      <c r="BK3190" s="5" t="s">
        <v>254</v>
      </c>
      <c r="BY3190" s="5" t="s">
        <v>238</v>
      </c>
      <c r="BZ3190" s="5" t="s">
        <v>238</v>
      </c>
      <c r="CD3190" s="5" t="s">
        <v>273</v>
      </c>
      <c r="CE3190" s="5" t="s">
        <v>256</v>
      </c>
      <c r="CF3190" s="5" t="s">
        <v>238</v>
      </c>
      <c r="CI3190" s="6" t="s">
        <v>257</v>
      </c>
      <c r="CJ3190" s="5" t="s">
        <v>238</v>
      </c>
      <c r="CK3190" s="5" t="s">
        <v>258</v>
      </c>
      <c r="CL3190" s="5" t="s">
        <v>238</v>
      </c>
      <c r="CM3190" s="5" t="s">
        <v>238</v>
      </c>
      <c r="CN3190" s="5">
        <v>0</v>
      </c>
      <c r="CO3190" s="5" t="s">
        <v>259</v>
      </c>
      <c r="CP3190" s="5" t="s">
        <v>260</v>
      </c>
      <c r="CQ3190" s="5" t="s">
        <v>260</v>
      </c>
      <c r="CR3190" s="5" t="s">
        <v>261</v>
      </c>
      <c r="CU3190" s="8">
        <f>1</f>
        <v>1</v>
      </c>
      <c r="CV3190" s="8">
        <f>0</f>
        <v>0</v>
      </c>
      <c r="CX3190" s="8">
        <f>0</f>
        <v>0</v>
      </c>
      <c r="CY3190" s="8">
        <f>1</f>
        <v>1</v>
      </c>
      <c r="DA3190" s="5" t="s">
        <v>274</v>
      </c>
      <c r="DB3190" s="5" t="s">
        <v>238</v>
      </c>
      <c r="DD3190" s="5" t="s">
        <v>274</v>
      </c>
      <c r="DE3190" s="8">
        <f>76</f>
        <v>76</v>
      </c>
      <c r="DF3190" s="6" t="s">
        <v>1175</v>
      </c>
      <c r="DG3190" s="5" t="s">
        <v>238</v>
      </c>
      <c r="DH3190" s="5" t="s">
        <v>238</v>
      </c>
      <c r="DI3190" s="5" t="s">
        <v>238</v>
      </c>
      <c r="DJ3190" s="5" t="s">
        <v>238</v>
      </c>
      <c r="DN3190" s="5" t="s">
        <v>238</v>
      </c>
      <c r="DO3190" s="5" t="s">
        <v>238</v>
      </c>
      <c r="DP3190" s="5" t="s">
        <v>238</v>
      </c>
      <c r="DQ3190" s="5" t="s">
        <v>238</v>
      </c>
      <c r="DT3190" s="5" t="s">
        <v>275</v>
      </c>
      <c r="DU3190" s="5" t="s">
        <v>1176</v>
      </c>
      <c r="HM3190" s="5" t="s">
        <v>264</v>
      </c>
    </row>
    <row r="3191" spans="1:221" x14ac:dyDescent="0.4">
      <c r="A3191" s="5">
        <v>4895</v>
      </c>
      <c r="B3191" s="5">
        <v>1</v>
      </c>
      <c r="C3191" s="5">
        <v>1</v>
      </c>
      <c r="D3191" s="5" t="s">
        <v>269</v>
      </c>
      <c r="E3191" s="5" t="s">
        <v>271</v>
      </c>
      <c r="F3191" s="5" t="s">
        <v>248</v>
      </c>
      <c r="G3191" s="5" t="s">
        <v>4152</v>
      </c>
      <c r="H3191" s="6" t="s">
        <v>4153</v>
      </c>
      <c r="I3191" s="7">
        <f>62.6</f>
        <v>62.6</v>
      </c>
      <c r="J3191" s="5" t="s">
        <v>262</v>
      </c>
      <c r="K3191" s="8">
        <f>215970</f>
        <v>215970</v>
      </c>
      <c r="L3191" s="6" t="s">
        <v>1481</v>
      </c>
      <c r="M3191" s="5" t="s">
        <v>267</v>
      </c>
      <c r="N3191" s="5" t="s">
        <v>265</v>
      </c>
      <c r="O3191" s="5" t="s">
        <v>238</v>
      </c>
      <c r="P3191" s="5" t="s">
        <v>238</v>
      </c>
      <c r="Q3191" s="5" t="s">
        <v>239</v>
      </c>
      <c r="R3191" s="5" t="s">
        <v>238</v>
      </c>
      <c r="S3191" s="5" t="s">
        <v>238</v>
      </c>
      <c r="V3191" s="5" t="s">
        <v>238</v>
      </c>
      <c r="X3191" s="6" t="s">
        <v>238</v>
      </c>
      <c r="AA3191" s="6" t="s">
        <v>243</v>
      </c>
      <c r="AB3191" s="5" t="s">
        <v>238</v>
      </c>
      <c r="AC3191" s="5" t="s">
        <v>244</v>
      </c>
      <c r="AD3191" s="5" t="s">
        <v>245</v>
      </c>
      <c r="AT3191" s="5" t="s">
        <v>246</v>
      </c>
      <c r="AU3191" s="5" t="s">
        <v>238</v>
      </c>
      <c r="AV3191" s="5" t="s">
        <v>247</v>
      </c>
      <c r="AW3191" s="5" t="s">
        <v>238</v>
      </c>
      <c r="AX3191" s="5" t="s">
        <v>249</v>
      </c>
      <c r="AY3191" s="5" t="s">
        <v>238</v>
      </c>
      <c r="BA3191" s="5" t="s">
        <v>238</v>
      </c>
      <c r="BC3191" s="5" t="s">
        <v>250</v>
      </c>
      <c r="BD3191" s="6" t="s">
        <v>1481</v>
      </c>
      <c r="BE3191" s="5" t="s">
        <v>251</v>
      </c>
      <c r="BF3191" s="5" t="s">
        <v>2043</v>
      </c>
      <c r="BG3191" s="5" t="s">
        <v>238</v>
      </c>
      <c r="BH3191" s="7">
        <f>0</f>
        <v>0</v>
      </c>
      <c r="BI3191" s="8">
        <f>0</f>
        <v>0</v>
      </c>
      <c r="BJ3191" s="5" t="s">
        <v>253</v>
      </c>
      <c r="BK3191" s="5" t="s">
        <v>254</v>
      </c>
      <c r="BY3191" s="5" t="s">
        <v>238</v>
      </c>
      <c r="BZ3191" s="5" t="s">
        <v>238</v>
      </c>
      <c r="CD3191" s="5" t="s">
        <v>293</v>
      </c>
      <c r="CE3191" s="5" t="s">
        <v>256</v>
      </c>
      <c r="CF3191" s="5" t="s">
        <v>238</v>
      </c>
      <c r="CI3191" s="6" t="s">
        <v>257</v>
      </c>
      <c r="CJ3191" s="5" t="s">
        <v>238</v>
      </c>
      <c r="CK3191" s="5" t="s">
        <v>258</v>
      </c>
      <c r="CL3191" s="5" t="s">
        <v>238</v>
      </c>
      <c r="CM3191" s="5" t="s">
        <v>238</v>
      </c>
      <c r="CN3191" s="5">
        <v>0</v>
      </c>
      <c r="CO3191" s="5" t="s">
        <v>259</v>
      </c>
      <c r="CP3191" s="5" t="s">
        <v>260</v>
      </c>
      <c r="CQ3191" s="5" t="s">
        <v>260</v>
      </c>
      <c r="CR3191" s="5" t="s">
        <v>261</v>
      </c>
      <c r="CU3191" s="8">
        <f>215970</f>
        <v>215970</v>
      </c>
      <c r="CV3191" s="8">
        <f>0</f>
        <v>0</v>
      </c>
      <c r="CX3191" s="8">
        <f>0</f>
        <v>0</v>
      </c>
      <c r="CY3191" s="8">
        <f>215970</f>
        <v>215970</v>
      </c>
      <c r="DA3191" s="5" t="s">
        <v>356</v>
      </c>
      <c r="DB3191" s="5" t="s">
        <v>238</v>
      </c>
      <c r="DD3191" s="5" t="s">
        <v>274</v>
      </c>
      <c r="DE3191" s="8">
        <f>62.6</f>
        <v>62.6</v>
      </c>
      <c r="DF3191" s="6" t="s">
        <v>1204</v>
      </c>
      <c r="DG3191" s="5" t="s">
        <v>238</v>
      </c>
      <c r="DH3191" s="5" t="s">
        <v>238</v>
      </c>
      <c r="DI3191" s="5" t="s">
        <v>238</v>
      </c>
      <c r="DJ3191" s="5" t="s">
        <v>238</v>
      </c>
      <c r="DN3191" s="5" t="s">
        <v>238</v>
      </c>
      <c r="DO3191" s="5" t="s">
        <v>238</v>
      </c>
      <c r="DP3191" s="5" t="s">
        <v>238</v>
      </c>
      <c r="DQ3191" s="5" t="s">
        <v>238</v>
      </c>
      <c r="DT3191" s="5" t="s">
        <v>275</v>
      </c>
      <c r="DU3191" s="5" t="s">
        <v>4154</v>
      </c>
      <c r="HM3191" s="5" t="s">
        <v>264</v>
      </c>
    </row>
    <row r="3192" spans="1:221" x14ac:dyDescent="0.4">
      <c r="A3192" s="5">
        <v>4896</v>
      </c>
      <c r="B3192" s="5">
        <v>1</v>
      </c>
      <c r="C3192" s="5">
        <v>1</v>
      </c>
      <c r="D3192" s="5" t="s">
        <v>269</v>
      </c>
      <c r="E3192" s="5" t="s">
        <v>271</v>
      </c>
      <c r="F3192" s="5" t="s">
        <v>248</v>
      </c>
      <c r="G3192" s="5" t="s">
        <v>266</v>
      </c>
      <c r="H3192" s="6" t="s">
        <v>4328</v>
      </c>
      <c r="I3192" s="7">
        <f>68</f>
        <v>68</v>
      </c>
      <c r="J3192" s="5" t="s">
        <v>262</v>
      </c>
      <c r="K3192" s="8">
        <f>516800</f>
        <v>516800</v>
      </c>
      <c r="L3192" s="6" t="s">
        <v>2369</v>
      </c>
      <c r="M3192" s="5" t="s">
        <v>267</v>
      </c>
      <c r="N3192" s="5" t="s">
        <v>265</v>
      </c>
      <c r="O3192" s="5" t="s">
        <v>238</v>
      </c>
      <c r="P3192" s="5" t="s">
        <v>238</v>
      </c>
      <c r="Q3192" s="5" t="s">
        <v>268</v>
      </c>
      <c r="R3192" s="5" t="s">
        <v>238</v>
      </c>
      <c r="S3192" s="5" t="s">
        <v>238</v>
      </c>
      <c r="V3192" s="5" t="s">
        <v>238</v>
      </c>
      <c r="X3192" s="6" t="s">
        <v>238</v>
      </c>
      <c r="AA3192" s="6" t="s">
        <v>243</v>
      </c>
      <c r="AB3192" s="5" t="s">
        <v>238</v>
      </c>
      <c r="AC3192" s="5" t="s">
        <v>244</v>
      </c>
      <c r="AD3192" s="5" t="s">
        <v>245</v>
      </c>
      <c r="AT3192" s="5" t="s">
        <v>246</v>
      </c>
      <c r="AU3192" s="5" t="s">
        <v>238</v>
      </c>
      <c r="AV3192" s="5" t="s">
        <v>247</v>
      </c>
      <c r="AW3192" s="5" t="s">
        <v>238</v>
      </c>
      <c r="AX3192" s="5" t="s">
        <v>249</v>
      </c>
      <c r="AY3192" s="5" t="s">
        <v>238</v>
      </c>
      <c r="BA3192" s="5" t="s">
        <v>238</v>
      </c>
      <c r="BC3192" s="5" t="s">
        <v>250</v>
      </c>
      <c r="BD3192" s="6" t="s">
        <v>2369</v>
      </c>
      <c r="BE3192" s="5" t="s">
        <v>251</v>
      </c>
      <c r="BF3192" s="5" t="s">
        <v>2036</v>
      </c>
      <c r="BG3192" s="5" t="s">
        <v>238</v>
      </c>
      <c r="BH3192" s="7">
        <f>0</f>
        <v>0</v>
      </c>
      <c r="BI3192" s="8">
        <f>0</f>
        <v>0</v>
      </c>
      <c r="BJ3192" s="5" t="s">
        <v>253</v>
      </c>
      <c r="BK3192" s="5" t="s">
        <v>254</v>
      </c>
      <c r="BY3192" s="5" t="s">
        <v>238</v>
      </c>
      <c r="BZ3192" s="5" t="s">
        <v>238</v>
      </c>
      <c r="CD3192" s="5" t="s">
        <v>255</v>
      </c>
      <c r="CE3192" s="5" t="s">
        <v>256</v>
      </c>
      <c r="CF3192" s="5" t="s">
        <v>238</v>
      </c>
      <c r="CI3192" s="6" t="s">
        <v>257</v>
      </c>
      <c r="CJ3192" s="5" t="s">
        <v>238</v>
      </c>
      <c r="CK3192" s="5" t="s">
        <v>258</v>
      </c>
      <c r="CL3192" s="5" t="s">
        <v>238</v>
      </c>
      <c r="CM3192" s="5" t="s">
        <v>238</v>
      </c>
      <c r="CN3192" s="5">
        <v>0</v>
      </c>
      <c r="CO3192" s="5" t="s">
        <v>259</v>
      </c>
      <c r="CP3192" s="5" t="s">
        <v>260</v>
      </c>
      <c r="CQ3192" s="5" t="s">
        <v>260</v>
      </c>
      <c r="CR3192" s="5" t="s">
        <v>261</v>
      </c>
      <c r="CU3192" s="8">
        <f>516800</f>
        <v>516800</v>
      </c>
      <c r="CV3192" s="8">
        <f>0</f>
        <v>0</v>
      </c>
      <c r="CX3192" s="8">
        <f>0</f>
        <v>0</v>
      </c>
      <c r="CY3192" s="8">
        <f>516800</f>
        <v>516800</v>
      </c>
      <c r="DA3192" s="5" t="s">
        <v>274</v>
      </c>
      <c r="DB3192" s="5" t="s">
        <v>238</v>
      </c>
      <c r="DD3192" s="5" t="s">
        <v>263</v>
      </c>
      <c r="DE3192" s="8">
        <f>0</f>
        <v>0</v>
      </c>
      <c r="DF3192" s="6" t="s">
        <v>1188</v>
      </c>
      <c r="DG3192" s="5" t="s">
        <v>238</v>
      </c>
      <c r="DH3192" s="5" t="s">
        <v>238</v>
      </c>
      <c r="DI3192" s="5" t="s">
        <v>238</v>
      </c>
      <c r="DJ3192" s="5" t="s">
        <v>238</v>
      </c>
      <c r="DN3192" s="5" t="s">
        <v>238</v>
      </c>
      <c r="DO3192" s="5" t="s">
        <v>238</v>
      </c>
      <c r="DP3192" s="5" t="s">
        <v>238</v>
      </c>
      <c r="DQ3192" s="5" t="s">
        <v>238</v>
      </c>
      <c r="DT3192" s="5" t="s">
        <v>275</v>
      </c>
      <c r="DU3192" s="5" t="s">
        <v>4329</v>
      </c>
      <c r="HM3192" s="5" t="s">
        <v>264</v>
      </c>
    </row>
    <row r="3193" spans="1:221" x14ac:dyDescent="0.4">
      <c r="A3193" s="5">
        <v>4897</v>
      </c>
      <c r="B3193" s="5">
        <v>1</v>
      </c>
      <c r="C3193" s="5">
        <v>1</v>
      </c>
      <c r="D3193" s="5" t="s">
        <v>269</v>
      </c>
      <c r="E3193" s="5" t="s">
        <v>271</v>
      </c>
      <c r="F3193" s="5" t="s">
        <v>248</v>
      </c>
      <c r="G3193" s="5" t="s">
        <v>266</v>
      </c>
      <c r="H3193" s="6" t="s">
        <v>4284</v>
      </c>
      <c r="I3193" s="7">
        <f>617</f>
        <v>617</v>
      </c>
      <c r="J3193" s="5" t="s">
        <v>262</v>
      </c>
      <c r="K3193" s="8">
        <f>4689200</f>
        <v>4689200</v>
      </c>
      <c r="L3193" s="6" t="s">
        <v>2369</v>
      </c>
      <c r="M3193" s="5" t="s">
        <v>267</v>
      </c>
      <c r="N3193" s="5" t="s">
        <v>265</v>
      </c>
      <c r="O3193" s="5" t="s">
        <v>238</v>
      </c>
      <c r="P3193" s="5" t="s">
        <v>238</v>
      </c>
      <c r="Q3193" s="5" t="s">
        <v>268</v>
      </c>
      <c r="R3193" s="5" t="s">
        <v>238</v>
      </c>
      <c r="S3193" s="5" t="s">
        <v>238</v>
      </c>
      <c r="V3193" s="5" t="s">
        <v>238</v>
      </c>
      <c r="X3193" s="6" t="s">
        <v>238</v>
      </c>
      <c r="AA3193" s="6" t="s">
        <v>243</v>
      </c>
      <c r="AB3193" s="5" t="s">
        <v>238</v>
      </c>
      <c r="AC3193" s="5" t="s">
        <v>244</v>
      </c>
      <c r="AD3193" s="5" t="s">
        <v>245</v>
      </c>
      <c r="AT3193" s="5" t="s">
        <v>246</v>
      </c>
      <c r="AU3193" s="5" t="s">
        <v>238</v>
      </c>
      <c r="AV3193" s="5" t="s">
        <v>247</v>
      </c>
      <c r="AW3193" s="5" t="s">
        <v>238</v>
      </c>
      <c r="AX3193" s="5" t="s">
        <v>249</v>
      </c>
      <c r="AY3193" s="5" t="s">
        <v>238</v>
      </c>
      <c r="BA3193" s="5" t="s">
        <v>238</v>
      </c>
      <c r="BC3193" s="5" t="s">
        <v>250</v>
      </c>
      <c r="BD3193" s="6" t="s">
        <v>2369</v>
      </c>
      <c r="BE3193" s="5" t="s">
        <v>251</v>
      </c>
      <c r="BF3193" s="5" t="s">
        <v>2036</v>
      </c>
      <c r="BG3193" s="5" t="s">
        <v>238</v>
      </c>
      <c r="BH3193" s="7">
        <f>0</f>
        <v>0</v>
      </c>
      <c r="BI3193" s="8">
        <f>0</f>
        <v>0</v>
      </c>
      <c r="BJ3193" s="5" t="s">
        <v>253</v>
      </c>
      <c r="BK3193" s="5" t="s">
        <v>254</v>
      </c>
      <c r="BY3193" s="5" t="s">
        <v>238</v>
      </c>
      <c r="BZ3193" s="5" t="s">
        <v>238</v>
      </c>
      <c r="CD3193" s="5" t="s">
        <v>255</v>
      </c>
      <c r="CE3193" s="5" t="s">
        <v>256</v>
      </c>
      <c r="CF3193" s="5" t="s">
        <v>238</v>
      </c>
      <c r="CI3193" s="6" t="s">
        <v>257</v>
      </c>
      <c r="CJ3193" s="5" t="s">
        <v>238</v>
      </c>
      <c r="CK3193" s="5" t="s">
        <v>258</v>
      </c>
      <c r="CL3193" s="5" t="s">
        <v>238</v>
      </c>
      <c r="CM3193" s="5" t="s">
        <v>238</v>
      </c>
      <c r="CN3193" s="5">
        <v>0</v>
      </c>
      <c r="CO3193" s="5" t="s">
        <v>259</v>
      </c>
      <c r="CP3193" s="5" t="s">
        <v>260</v>
      </c>
      <c r="CQ3193" s="5" t="s">
        <v>260</v>
      </c>
      <c r="CR3193" s="5" t="s">
        <v>261</v>
      </c>
      <c r="CU3193" s="8">
        <f>4689200</f>
        <v>4689200</v>
      </c>
      <c r="CV3193" s="8">
        <f>0</f>
        <v>0</v>
      </c>
      <c r="CX3193" s="8">
        <f>0</f>
        <v>0</v>
      </c>
      <c r="CY3193" s="8">
        <f>4689200</f>
        <v>4689200</v>
      </c>
      <c r="DA3193" s="5" t="s">
        <v>274</v>
      </c>
      <c r="DB3193" s="5" t="s">
        <v>238</v>
      </c>
      <c r="DD3193" s="5" t="s">
        <v>274</v>
      </c>
      <c r="DE3193" s="8">
        <f>0</f>
        <v>0</v>
      </c>
      <c r="DF3193" s="6" t="s">
        <v>4285</v>
      </c>
      <c r="DG3193" s="5" t="s">
        <v>238</v>
      </c>
      <c r="DH3193" s="5" t="s">
        <v>238</v>
      </c>
      <c r="DI3193" s="5" t="s">
        <v>238</v>
      </c>
      <c r="DJ3193" s="5" t="s">
        <v>238</v>
      </c>
      <c r="DN3193" s="5" t="s">
        <v>238</v>
      </c>
      <c r="DO3193" s="5" t="s">
        <v>238</v>
      </c>
      <c r="DP3193" s="5" t="s">
        <v>238</v>
      </c>
      <c r="DQ3193" s="5" t="s">
        <v>238</v>
      </c>
      <c r="DT3193" s="5" t="s">
        <v>275</v>
      </c>
      <c r="DU3193" s="5" t="s">
        <v>4286</v>
      </c>
      <c r="HM3193" s="5" t="s">
        <v>264</v>
      </c>
    </row>
    <row r="3194" spans="1:221" x14ac:dyDescent="0.4">
      <c r="A3194" s="5">
        <v>4898</v>
      </c>
      <c r="B3194" s="5">
        <v>1</v>
      </c>
      <c r="C3194" s="5">
        <v>1</v>
      </c>
      <c r="D3194" s="5" t="s">
        <v>269</v>
      </c>
      <c r="E3194" s="5" t="s">
        <v>271</v>
      </c>
      <c r="F3194" s="5" t="s">
        <v>248</v>
      </c>
      <c r="G3194" s="5" t="s">
        <v>266</v>
      </c>
      <c r="H3194" s="6" t="s">
        <v>4292</v>
      </c>
      <c r="I3194" s="7">
        <f>7.29</f>
        <v>7.29</v>
      </c>
      <c r="J3194" s="5" t="s">
        <v>262</v>
      </c>
      <c r="K3194" s="8">
        <f>204</f>
        <v>204</v>
      </c>
      <c r="L3194" s="6" t="s">
        <v>242</v>
      </c>
      <c r="M3194" s="5" t="s">
        <v>267</v>
      </c>
      <c r="N3194" s="5" t="s">
        <v>237</v>
      </c>
      <c r="O3194" s="5" t="s">
        <v>238</v>
      </c>
      <c r="P3194" s="5" t="s">
        <v>238</v>
      </c>
      <c r="Q3194" s="5" t="s">
        <v>268</v>
      </c>
      <c r="R3194" s="5" t="s">
        <v>270</v>
      </c>
      <c r="S3194" s="5" t="s">
        <v>238</v>
      </c>
      <c r="V3194" s="5" t="s">
        <v>238</v>
      </c>
      <c r="X3194" s="6" t="s">
        <v>238</v>
      </c>
      <c r="AA3194" s="6" t="s">
        <v>243</v>
      </c>
      <c r="AB3194" s="5" t="s">
        <v>238</v>
      </c>
      <c r="AC3194" s="5" t="s">
        <v>244</v>
      </c>
      <c r="AD3194" s="5" t="s">
        <v>245</v>
      </c>
      <c r="AT3194" s="5" t="s">
        <v>246</v>
      </c>
      <c r="AU3194" s="5" t="s">
        <v>238</v>
      </c>
      <c r="AV3194" s="5" t="s">
        <v>247</v>
      </c>
      <c r="AW3194" s="5" t="s">
        <v>238</v>
      </c>
      <c r="AX3194" s="5" t="s">
        <v>249</v>
      </c>
      <c r="AY3194" s="5" t="s">
        <v>238</v>
      </c>
      <c r="BA3194" s="5" t="s">
        <v>238</v>
      </c>
      <c r="BC3194" s="5" t="s">
        <v>250</v>
      </c>
      <c r="BD3194" s="6" t="s">
        <v>243</v>
      </c>
      <c r="BE3194" s="5" t="s">
        <v>251</v>
      </c>
      <c r="BF3194" s="5" t="s">
        <v>2036</v>
      </c>
      <c r="BG3194" s="5" t="s">
        <v>238</v>
      </c>
      <c r="BH3194" s="7">
        <f>0</f>
        <v>0</v>
      </c>
      <c r="BI3194" s="8">
        <f>0</f>
        <v>0</v>
      </c>
      <c r="BJ3194" s="5" t="s">
        <v>253</v>
      </c>
      <c r="BK3194" s="5" t="s">
        <v>254</v>
      </c>
      <c r="BY3194" s="5" t="s">
        <v>238</v>
      </c>
      <c r="BZ3194" s="5" t="s">
        <v>238</v>
      </c>
      <c r="CD3194" s="5" t="s">
        <v>255</v>
      </c>
      <c r="CE3194" s="5" t="s">
        <v>256</v>
      </c>
      <c r="CF3194" s="5" t="s">
        <v>238</v>
      </c>
      <c r="CI3194" s="6" t="s">
        <v>257</v>
      </c>
      <c r="CJ3194" s="5" t="s">
        <v>238</v>
      </c>
      <c r="CK3194" s="5" t="s">
        <v>258</v>
      </c>
      <c r="CL3194" s="5" t="s">
        <v>238</v>
      </c>
      <c r="CM3194" s="5" t="s">
        <v>238</v>
      </c>
      <c r="CN3194" s="5">
        <v>0</v>
      </c>
      <c r="CO3194" s="5" t="s">
        <v>259</v>
      </c>
      <c r="CP3194" s="5" t="s">
        <v>260</v>
      </c>
      <c r="CQ3194" s="5" t="s">
        <v>260</v>
      </c>
      <c r="CR3194" s="5" t="s">
        <v>261</v>
      </c>
      <c r="CU3194" s="8">
        <f>204</f>
        <v>204</v>
      </c>
      <c r="CV3194" s="8">
        <f>0</f>
        <v>0</v>
      </c>
      <c r="CX3194" s="8">
        <f>0</f>
        <v>0</v>
      </c>
      <c r="CY3194" s="8">
        <f>204</f>
        <v>204</v>
      </c>
      <c r="DA3194" s="5" t="s">
        <v>274</v>
      </c>
      <c r="DB3194" s="5" t="s">
        <v>238</v>
      </c>
      <c r="DD3194" s="5" t="s">
        <v>263</v>
      </c>
      <c r="DE3194" s="8">
        <f>7.29</f>
        <v>7.29</v>
      </c>
      <c r="DF3194" s="6" t="s">
        <v>1204</v>
      </c>
      <c r="DG3194" s="5" t="s">
        <v>421</v>
      </c>
      <c r="DH3194" s="5" t="s">
        <v>238</v>
      </c>
      <c r="DI3194" s="5" t="s">
        <v>238</v>
      </c>
      <c r="DJ3194" s="5" t="s">
        <v>238</v>
      </c>
      <c r="DN3194" s="5" t="s">
        <v>238</v>
      </c>
      <c r="DO3194" s="5" t="s">
        <v>238</v>
      </c>
      <c r="DP3194" s="5" t="s">
        <v>238</v>
      </c>
      <c r="DQ3194" s="5" t="s">
        <v>238</v>
      </c>
      <c r="DT3194" s="5" t="s">
        <v>275</v>
      </c>
      <c r="DU3194" s="5" t="s">
        <v>4293</v>
      </c>
      <c r="HM3194" s="5" t="s">
        <v>264</v>
      </c>
    </row>
    <row r="3195" spans="1:221" x14ac:dyDescent="0.4">
      <c r="A3195" s="5">
        <v>4899</v>
      </c>
      <c r="B3195" s="5">
        <v>1</v>
      </c>
      <c r="C3195" s="5">
        <v>1</v>
      </c>
      <c r="D3195" s="5" t="s">
        <v>2037</v>
      </c>
      <c r="E3195" s="5" t="s">
        <v>2587</v>
      </c>
      <c r="F3195" s="5" t="s">
        <v>248</v>
      </c>
      <c r="G3195" s="5" t="s">
        <v>2364</v>
      </c>
      <c r="H3195" s="6" t="s">
        <v>2588</v>
      </c>
      <c r="I3195" s="7">
        <f>35</f>
        <v>35</v>
      </c>
      <c r="J3195" s="5" t="s">
        <v>262</v>
      </c>
      <c r="K3195" s="8">
        <f>224999</f>
        <v>224999</v>
      </c>
      <c r="L3195" s="6" t="s">
        <v>1469</v>
      </c>
      <c r="M3195" s="5" t="s">
        <v>267</v>
      </c>
      <c r="N3195" s="5" t="s">
        <v>265</v>
      </c>
      <c r="O3195" s="5" t="s">
        <v>238</v>
      </c>
      <c r="P3195" s="5" t="s">
        <v>238</v>
      </c>
      <c r="Q3195" s="5" t="s">
        <v>239</v>
      </c>
      <c r="R3195" s="5" t="s">
        <v>270</v>
      </c>
      <c r="S3195" s="5" t="s">
        <v>238</v>
      </c>
      <c r="V3195" s="5" t="s">
        <v>238</v>
      </c>
      <c r="X3195" s="6" t="s">
        <v>238</v>
      </c>
      <c r="AA3195" s="6" t="s">
        <v>243</v>
      </c>
      <c r="AB3195" s="5" t="s">
        <v>238</v>
      </c>
      <c r="AC3195" s="5" t="s">
        <v>244</v>
      </c>
      <c r="AD3195" s="5" t="s">
        <v>245</v>
      </c>
      <c r="AT3195" s="5" t="s">
        <v>246</v>
      </c>
      <c r="AU3195" s="5" t="s">
        <v>238</v>
      </c>
      <c r="AV3195" s="5" t="s">
        <v>247</v>
      </c>
      <c r="AW3195" s="5" t="s">
        <v>238</v>
      </c>
      <c r="AX3195" s="5" t="s">
        <v>249</v>
      </c>
      <c r="AY3195" s="5" t="s">
        <v>238</v>
      </c>
      <c r="BA3195" s="5" t="s">
        <v>238</v>
      </c>
      <c r="BC3195" s="5" t="s">
        <v>250</v>
      </c>
      <c r="BD3195" s="6" t="s">
        <v>1469</v>
      </c>
      <c r="BE3195" s="5" t="s">
        <v>251</v>
      </c>
      <c r="BF3195" s="5" t="s">
        <v>2589</v>
      </c>
      <c r="BG3195" s="5" t="s">
        <v>238</v>
      </c>
      <c r="BH3195" s="7">
        <f>0</f>
        <v>0</v>
      </c>
      <c r="BI3195" s="8">
        <f>0</f>
        <v>0</v>
      </c>
      <c r="BJ3195" s="5" t="s">
        <v>253</v>
      </c>
      <c r="BK3195" s="5" t="s">
        <v>254</v>
      </c>
      <c r="BY3195" s="5" t="s">
        <v>238</v>
      </c>
      <c r="BZ3195" s="5" t="s">
        <v>238</v>
      </c>
      <c r="CD3195" s="5" t="s">
        <v>255</v>
      </c>
      <c r="CE3195" s="5" t="s">
        <v>256</v>
      </c>
      <c r="CF3195" s="5" t="s">
        <v>238</v>
      </c>
      <c r="CI3195" s="6" t="s">
        <v>257</v>
      </c>
      <c r="CJ3195" s="5" t="s">
        <v>238</v>
      </c>
      <c r="CK3195" s="5" t="s">
        <v>258</v>
      </c>
      <c r="CL3195" s="5" t="s">
        <v>238</v>
      </c>
      <c r="CM3195" s="5" t="s">
        <v>238</v>
      </c>
      <c r="CN3195" s="5">
        <v>0</v>
      </c>
      <c r="CO3195" s="5" t="s">
        <v>259</v>
      </c>
      <c r="CP3195" s="5" t="s">
        <v>260</v>
      </c>
      <c r="CQ3195" s="5" t="s">
        <v>260</v>
      </c>
      <c r="CR3195" s="5" t="s">
        <v>261</v>
      </c>
      <c r="CU3195" s="8">
        <f>224999</f>
        <v>224999</v>
      </c>
      <c r="CV3195" s="8">
        <f>0</f>
        <v>0</v>
      </c>
      <c r="CX3195" s="8">
        <f>0</f>
        <v>0</v>
      </c>
      <c r="CY3195" s="8">
        <f>224999</f>
        <v>224999</v>
      </c>
      <c r="DA3195" s="5" t="s">
        <v>356</v>
      </c>
      <c r="DB3195" s="5" t="s">
        <v>238</v>
      </c>
      <c r="DD3195" s="5" t="s">
        <v>2590</v>
      </c>
      <c r="DE3195" s="8">
        <f>0</f>
        <v>0</v>
      </c>
      <c r="DG3195" s="5" t="s">
        <v>238</v>
      </c>
      <c r="DH3195" s="5" t="s">
        <v>238</v>
      </c>
      <c r="DI3195" s="5" t="s">
        <v>238</v>
      </c>
      <c r="DJ3195" s="5" t="s">
        <v>238</v>
      </c>
      <c r="DN3195" s="5" t="s">
        <v>238</v>
      </c>
      <c r="DO3195" s="5" t="s">
        <v>238</v>
      </c>
      <c r="DP3195" s="5" t="s">
        <v>238</v>
      </c>
      <c r="DQ3195" s="5" t="s">
        <v>238</v>
      </c>
      <c r="DT3195" s="5" t="s">
        <v>2591</v>
      </c>
      <c r="DU3195" s="5" t="s">
        <v>264</v>
      </c>
      <c r="HM3195" s="5" t="s">
        <v>264</v>
      </c>
    </row>
    <row r="3196" spans="1:221" x14ac:dyDescent="0.4">
      <c r="A3196" s="5">
        <v>4900</v>
      </c>
      <c r="B3196" s="5">
        <v>1</v>
      </c>
      <c r="C3196" s="5">
        <v>1</v>
      </c>
      <c r="D3196" s="5" t="s">
        <v>2037</v>
      </c>
      <c r="E3196" s="5" t="s">
        <v>271</v>
      </c>
      <c r="F3196" s="5" t="s">
        <v>248</v>
      </c>
      <c r="G3196" s="5" t="s">
        <v>2284</v>
      </c>
      <c r="H3196" s="6" t="s">
        <v>2286</v>
      </c>
      <c r="I3196" s="7">
        <f>13.6</f>
        <v>13.6</v>
      </c>
      <c r="J3196" s="5" t="s">
        <v>262</v>
      </c>
      <c r="K3196" s="8">
        <f>381</f>
        <v>381</v>
      </c>
      <c r="L3196" s="6" t="s">
        <v>1453</v>
      </c>
      <c r="M3196" s="5" t="s">
        <v>267</v>
      </c>
      <c r="N3196" s="5" t="s">
        <v>265</v>
      </c>
      <c r="O3196" s="5" t="s">
        <v>238</v>
      </c>
      <c r="P3196" s="5" t="s">
        <v>238</v>
      </c>
      <c r="Q3196" s="5" t="s">
        <v>239</v>
      </c>
      <c r="R3196" s="5" t="s">
        <v>238</v>
      </c>
      <c r="S3196" s="5" t="s">
        <v>238</v>
      </c>
      <c r="V3196" s="5" t="s">
        <v>238</v>
      </c>
      <c r="X3196" s="6" t="s">
        <v>238</v>
      </c>
      <c r="AA3196" s="6" t="s">
        <v>243</v>
      </c>
      <c r="AB3196" s="5" t="s">
        <v>2285</v>
      </c>
      <c r="AC3196" s="5" t="s">
        <v>244</v>
      </c>
      <c r="AD3196" s="5" t="s">
        <v>245</v>
      </c>
      <c r="AT3196" s="5" t="s">
        <v>246</v>
      </c>
      <c r="AU3196" s="5" t="s">
        <v>238</v>
      </c>
      <c r="AV3196" s="5" t="s">
        <v>247</v>
      </c>
      <c r="AW3196" s="5" t="s">
        <v>238</v>
      </c>
      <c r="AX3196" s="5" t="s">
        <v>249</v>
      </c>
      <c r="AY3196" s="5" t="s">
        <v>238</v>
      </c>
      <c r="BA3196" s="5" t="s">
        <v>238</v>
      </c>
      <c r="BC3196" s="5" t="s">
        <v>250</v>
      </c>
      <c r="BD3196" s="6" t="s">
        <v>1453</v>
      </c>
      <c r="BE3196" s="5" t="s">
        <v>251</v>
      </c>
      <c r="BF3196" s="5" t="s">
        <v>2036</v>
      </c>
      <c r="BG3196" s="5" t="s">
        <v>238</v>
      </c>
      <c r="BH3196" s="7">
        <f>0</f>
        <v>0</v>
      </c>
      <c r="BI3196" s="8">
        <f>0</f>
        <v>0</v>
      </c>
      <c r="BJ3196" s="5" t="s">
        <v>253</v>
      </c>
      <c r="BK3196" s="5" t="s">
        <v>254</v>
      </c>
      <c r="BY3196" s="5" t="s">
        <v>238</v>
      </c>
      <c r="BZ3196" s="5" t="s">
        <v>238</v>
      </c>
      <c r="CD3196" s="5" t="s">
        <v>255</v>
      </c>
      <c r="CE3196" s="5" t="s">
        <v>256</v>
      </c>
      <c r="CF3196" s="5" t="s">
        <v>238</v>
      </c>
      <c r="CI3196" s="6" t="s">
        <v>257</v>
      </c>
      <c r="CJ3196" s="5" t="s">
        <v>238</v>
      </c>
      <c r="CK3196" s="5" t="s">
        <v>258</v>
      </c>
      <c r="CL3196" s="5" t="s">
        <v>238</v>
      </c>
      <c r="CM3196" s="5" t="s">
        <v>238</v>
      </c>
      <c r="CN3196" s="5">
        <v>0</v>
      </c>
      <c r="CO3196" s="5" t="s">
        <v>259</v>
      </c>
      <c r="CP3196" s="5" t="s">
        <v>260</v>
      </c>
      <c r="CQ3196" s="5" t="s">
        <v>260</v>
      </c>
      <c r="CR3196" s="5" t="s">
        <v>261</v>
      </c>
      <c r="CU3196" s="8">
        <f>381</f>
        <v>381</v>
      </c>
      <c r="CV3196" s="8">
        <f>0</f>
        <v>0</v>
      </c>
      <c r="CX3196" s="8">
        <f>0</f>
        <v>0</v>
      </c>
      <c r="CY3196" s="8">
        <f>381</f>
        <v>381</v>
      </c>
      <c r="DA3196" s="5" t="s">
        <v>356</v>
      </c>
      <c r="DB3196" s="5" t="s">
        <v>238</v>
      </c>
      <c r="DD3196" s="5" t="s">
        <v>356</v>
      </c>
      <c r="DE3196" s="8">
        <f>13.6</f>
        <v>13.6</v>
      </c>
      <c r="DF3196" s="6" t="s">
        <v>2287</v>
      </c>
      <c r="DG3196" s="5" t="s">
        <v>238</v>
      </c>
      <c r="DH3196" s="5" t="s">
        <v>238</v>
      </c>
      <c r="DI3196" s="5" t="s">
        <v>238</v>
      </c>
      <c r="DJ3196" s="5" t="s">
        <v>238</v>
      </c>
      <c r="DN3196" s="5" t="s">
        <v>238</v>
      </c>
      <c r="DO3196" s="5" t="s">
        <v>238</v>
      </c>
      <c r="DP3196" s="5" t="s">
        <v>238</v>
      </c>
      <c r="DQ3196" s="5" t="s">
        <v>238</v>
      </c>
      <c r="DT3196" s="5" t="s">
        <v>2288</v>
      </c>
      <c r="DU3196" s="5" t="s">
        <v>264</v>
      </c>
      <c r="HM3196" s="5" t="s">
        <v>264</v>
      </c>
    </row>
    <row r="3197" spans="1:221" x14ac:dyDescent="0.4">
      <c r="A3197" s="5">
        <v>4901</v>
      </c>
      <c r="B3197" s="5">
        <v>1</v>
      </c>
      <c r="C3197" s="5">
        <v>1</v>
      </c>
      <c r="D3197" s="5" t="s">
        <v>3866</v>
      </c>
      <c r="E3197" s="5" t="s">
        <v>3336</v>
      </c>
      <c r="F3197" s="5" t="s">
        <v>248</v>
      </c>
      <c r="G3197" s="5" t="s">
        <v>3870</v>
      </c>
      <c r="H3197" s="6" t="s">
        <v>3867</v>
      </c>
      <c r="I3197" s="7">
        <f>5281.61</f>
        <v>5281.61</v>
      </c>
      <c r="J3197" s="5" t="s">
        <v>262</v>
      </c>
      <c r="K3197" s="8">
        <f>8321705</f>
        <v>8321705</v>
      </c>
      <c r="L3197" s="6" t="s">
        <v>1448</v>
      </c>
      <c r="M3197" s="5" t="s">
        <v>267</v>
      </c>
      <c r="N3197" s="5" t="s">
        <v>265</v>
      </c>
      <c r="O3197" s="5" t="s">
        <v>238</v>
      </c>
      <c r="P3197" s="5" t="s">
        <v>238</v>
      </c>
      <c r="Q3197" s="5" t="s">
        <v>239</v>
      </c>
      <c r="R3197" s="5" t="s">
        <v>238</v>
      </c>
      <c r="S3197" s="5" t="s">
        <v>238</v>
      </c>
      <c r="V3197" s="5" t="s">
        <v>238</v>
      </c>
      <c r="X3197" s="6" t="s">
        <v>238</v>
      </c>
      <c r="AA3197" s="6" t="s">
        <v>243</v>
      </c>
      <c r="AB3197" s="5" t="s">
        <v>238</v>
      </c>
      <c r="AC3197" s="5" t="s">
        <v>244</v>
      </c>
      <c r="AD3197" s="5" t="s">
        <v>261</v>
      </c>
      <c r="AT3197" s="5" t="s">
        <v>246</v>
      </c>
      <c r="AU3197" s="5" t="s">
        <v>238</v>
      </c>
      <c r="AV3197" s="5" t="s">
        <v>247</v>
      </c>
      <c r="AW3197" s="5" t="s">
        <v>238</v>
      </c>
      <c r="AX3197" s="5" t="s">
        <v>249</v>
      </c>
      <c r="AY3197" s="5" t="s">
        <v>238</v>
      </c>
      <c r="BA3197" s="5" t="s">
        <v>238</v>
      </c>
      <c r="BC3197" s="5" t="s">
        <v>250</v>
      </c>
      <c r="BD3197" s="6" t="s">
        <v>1448</v>
      </c>
      <c r="BE3197" s="5" t="s">
        <v>251</v>
      </c>
      <c r="BF3197" s="5" t="s">
        <v>3552</v>
      </c>
      <c r="BG3197" s="5" t="s">
        <v>238</v>
      </c>
      <c r="BH3197" s="7">
        <f>0</f>
        <v>0</v>
      </c>
      <c r="BI3197" s="8">
        <f>0</f>
        <v>0</v>
      </c>
      <c r="BJ3197" s="5" t="s">
        <v>253</v>
      </c>
      <c r="BK3197" s="5" t="s">
        <v>254</v>
      </c>
      <c r="BY3197" s="5" t="s">
        <v>238</v>
      </c>
      <c r="BZ3197" s="5" t="s">
        <v>238</v>
      </c>
      <c r="CD3197" s="5" t="s">
        <v>293</v>
      </c>
      <c r="CE3197" s="5" t="s">
        <v>256</v>
      </c>
      <c r="CF3197" s="5" t="s">
        <v>238</v>
      </c>
      <c r="CI3197" s="6" t="s">
        <v>257</v>
      </c>
      <c r="CJ3197" s="5" t="s">
        <v>238</v>
      </c>
      <c r="CK3197" s="5" t="s">
        <v>258</v>
      </c>
      <c r="CL3197" s="5" t="s">
        <v>238</v>
      </c>
      <c r="CM3197" s="5" t="s">
        <v>238</v>
      </c>
      <c r="CN3197" s="5">
        <v>0</v>
      </c>
      <c r="CO3197" s="5" t="s">
        <v>259</v>
      </c>
      <c r="CP3197" s="5" t="s">
        <v>260</v>
      </c>
      <c r="CQ3197" s="5" t="s">
        <v>260</v>
      </c>
      <c r="CR3197" s="5" t="s">
        <v>261</v>
      </c>
      <c r="CU3197" s="8">
        <f>8321705</f>
        <v>8321705</v>
      </c>
      <c r="CV3197" s="8">
        <f>0</f>
        <v>0</v>
      </c>
      <c r="CX3197" s="8">
        <f>0</f>
        <v>0</v>
      </c>
      <c r="CY3197" s="8">
        <f>8321705</f>
        <v>8321705</v>
      </c>
      <c r="DA3197" s="5" t="s">
        <v>356</v>
      </c>
      <c r="DB3197" s="5" t="s">
        <v>238</v>
      </c>
      <c r="DD3197" s="5" t="s">
        <v>356</v>
      </c>
      <c r="DE3197" s="8">
        <f>0</f>
        <v>0</v>
      </c>
      <c r="DG3197" s="5" t="s">
        <v>238</v>
      </c>
      <c r="DH3197" s="5" t="s">
        <v>238</v>
      </c>
      <c r="DI3197" s="5" t="s">
        <v>238</v>
      </c>
      <c r="DJ3197" s="5" t="s">
        <v>238</v>
      </c>
      <c r="DN3197" s="5" t="s">
        <v>238</v>
      </c>
      <c r="DO3197" s="5" t="s">
        <v>238</v>
      </c>
      <c r="DP3197" s="5" t="s">
        <v>238</v>
      </c>
      <c r="DQ3197" s="5" t="s">
        <v>238</v>
      </c>
      <c r="DT3197" s="5" t="s">
        <v>3869</v>
      </c>
      <c r="DU3197" s="5" t="s">
        <v>264</v>
      </c>
      <c r="HM3197" s="5" t="s">
        <v>264</v>
      </c>
    </row>
    <row r="3198" spans="1:221" x14ac:dyDescent="0.4">
      <c r="A3198" s="5">
        <v>4902</v>
      </c>
      <c r="B3198" s="5">
        <v>1</v>
      </c>
      <c r="C3198" s="5">
        <v>1</v>
      </c>
      <c r="D3198" s="5" t="s">
        <v>3866</v>
      </c>
      <c r="E3198" s="5" t="s">
        <v>3336</v>
      </c>
      <c r="F3198" s="5" t="s">
        <v>248</v>
      </c>
      <c r="G3198" s="5" t="s">
        <v>3865</v>
      </c>
      <c r="H3198" s="6" t="s">
        <v>3867</v>
      </c>
      <c r="I3198" s="7">
        <f>564.51</f>
        <v>564.51</v>
      </c>
      <c r="J3198" s="5" t="s">
        <v>262</v>
      </c>
      <c r="K3198" s="8">
        <f>5172335</f>
        <v>5172335</v>
      </c>
      <c r="L3198" s="6" t="s">
        <v>1431</v>
      </c>
      <c r="M3198" s="5" t="s">
        <v>267</v>
      </c>
      <c r="N3198" s="5" t="s">
        <v>265</v>
      </c>
      <c r="O3198" s="5" t="s">
        <v>238</v>
      </c>
      <c r="P3198" s="5" t="s">
        <v>238</v>
      </c>
      <c r="Q3198" s="5" t="s">
        <v>239</v>
      </c>
      <c r="R3198" s="5" t="s">
        <v>270</v>
      </c>
      <c r="S3198" s="5" t="s">
        <v>238</v>
      </c>
      <c r="V3198" s="5" t="s">
        <v>238</v>
      </c>
      <c r="X3198" s="6" t="s">
        <v>238</v>
      </c>
      <c r="AA3198" s="6" t="s">
        <v>243</v>
      </c>
      <c r="AB3198" s="5" t="s">
        <v>1969</v>
      </c>
      <c r="AC3198" s="5" t="s">
        <v>244</v>
      </c>
      <c r="AD3198" s="5" t="s">
        <v>245</v>
      </c>
      <c r="AT3198" s="5" t="s">
        <v>246</v>
      </c>
      <c r="AU3198" s="5" t="s">
        <v>238</v>
      </c>
      <c r="AV3198" s="5" t="s">
        <v>247</v>
      </c>
      <c r="AW3198" s="5" t="s">
        <v>238</v>
      </c>
      <c r="AX3198" s="5" t="s">
        <v>249</v>
      </c>
      <c r="AY3198" s="5" t="s">
        <v>238</v>
      </c>
      <c r="BA3198" s="5" t="s">
        <v>238</v>
      </c>
      <c r="BC3198" s="5" t="s">
        <v>250</v>
      </c>
      <c r="BD3198" s="6" t="s">
        <v>1431</v>
      </c>
      <c r="BE3198" s="5" t="s">
        <v>251</v>
      </c>
      <c r="BF3198" s="5" t="s">
        <v>2153</v>
      </c>
      <c r="BG3198" s="5" t="s">
        <v>238</v>
      </c>
      <c r="BH3198" s="7">
        <f>0</f>
        <v>0</v>
      </c>
      <c r="BI3198" s="8">
        <f>0</f>
        <v>0</v>
      </c>
      <c r="BJ3198" s="5" t="s">
        <v>253</v>
      </c>
      <c r="BK3198" s="5" t="s">
        <v>254</v>
      </c>
      <c r="BY3198" s="5" t="s">
        <v>238</v>
      </c>
      <c r="BZ3198" s="5" t="s">
        <v>238</v>
      </c>
      <c r="CD3198" s="5" t="s">
        <v>293</v>
      </c>
      <c r="CE3198" s="5" t="s">
        <v>256</v>
      </c>
      <c r="CF3198" s="5" t="s">
        <v>238</v>
      </c>
      <c r="CI3198" s="6" t="s">
        <v>257</v>
      </c>
      <c r="CJ3198" s="5" t="s">
        <v>238</v>
      </c>
      <c r="CK3198" s="5" t="s">
        <v>258</v>
      </c>
      <c r="CL3198" s="5" t="s">
        <v>238</v>
      </c>
      <c r="CM3198" s="5" t="s">
        <v>238</v>
      </c>
      <c r="CN3198" s="5">
        <v>0</v>
      </c>
      <c r="CO3198" s="5" t="s">
        <v>259</v>
      </c>
      <c r="CP3198" s="5" t="s">
        <v>260</v>
      </c>
      <c r="CQ3198" s="5" t="s">
        <v>260</v>
      </c>
      <c r="CR3198" s="5" t="s">
        <v>261</v>
      </c>
      <c r="CU3198" s="8">
        <f>5172335</f>
        <v>5172335</v>
      </c>
      <c r="CV3198" s="8">
        <f>0</f>
        <v>0</v>
      </c>
      <c r="CX3198" s="8">
        <f>0</f>
        <v>0</v>
      </c>
      <c r="CY3198" s="8">
        <f>5172335</f>
        <v>5172335</v>
      </c>
      <c r="DA3198" s="5" t="s">
        <v>356</v>
      </c>
      <c r="DB3198" s="5" t="s">
        <v>238</v>
      </c>
      <c r="DD3198" s="5" t="s">
        <v>356</v>
      </c>
      <c r="DE3198" s="8">
        <f>564.51</f>
        <v>564.51</v>
      </c>
      <c r="DF3198" s="6" t="s">
        <v>3868</v>
      </c>
      <c r="DG3198" s="5" t="s">
        <v>238</v>
      </c>
      <c r="DH3198" s="5" t="s">
        <v>238</v>
      </c>
      <c r="DI3198" s="5" t="s">
        <v>238</v>
      </c>
      <c r="DJ3198" s="5" t="s">
        <v>238</v>
      </c>
      <c r="DN3198" s="5" t="s">
        <v>238</v>
      </c>
      <c r="DO3198" s="5" t="s">
        <v>238</v>
      </c>
      <c r="DP3198" s="5" t="s">
        <v>238</v>
      </c>
      <c r="DQ3198" s="5" t="s">
        <v>238</v>
      </c>
      <c r="DT3198" s="5" t="s">
        <v>3869</v>
      </c>
      <c r="DU3198" s="5" t="s">
        <v>806</v>
      </c>
      <c r="HM3198" s="5" t="s">
        <v>806</v>
      </c>
    </row>
    <row r="3199" spans="1:221" x14ac:dyDescent="0.4">
      <c r="A3199" s="5">
        <v>8437</v>
      </c>
      <c r="B3199" s="5">
        <v>1</v>
      </c>
      <c r="C3199" s="5">
        <v>1</v>
      </c>
      <c r="D3199" s="5" t="s">
        <v>5195</v>
      </c>
      <c r="E3199" s="5" t="s">
        <v>878</v>
      </c>
      <c r="F3199" s="5" t="s">
        <v>1684</v>
      </c>
      <c r="G3199" s="5" t="s">
        <v>5194</v>
      </c>
      <c r="H3199" s="6" t="s">
        <v>5205</v>
      </c>
      <c r="I3199" s="7">
        <f>440</f>
        <v>440</v>
      </c>
      <c r="J3199" s="5" t="s">
        <v>262</v>
      </c>
      <c r="K3199" s="8">
        <f>974600</f>
        <v>974600</v>
      </c>
      <c r="L3199" s="6" t="s">
        <v>242</v>
      </c>
      <c r="M3199" s="5" t="s">
        <v>267</v>
      </c>
      <c r="N3199" s="5" t="s">
        <v>237</v>
      </c>
      <c r="O3199" s="5" t="s">
        <v>238</v>
      </c>
      <c r="P3199" s="5" t="s">
        <v>238</v>
      </c>
      <c r="Q3199" s="5" t="s">
        <v>239</v>
      </c>
      <c r="R3199" s="5" t="s">
        <v>270</v>
      </c>
      <c r="S3199" s="5" t="s">
        <v>238</v>
      </c>
      <c r="V3199" s="5" t="s">
        <v>238</v>
      </c>
      <c r="X3199" s="6" t="s">
        <v>238</v>
      </c>
      <c r="AA3199" s="6" t="s">
        <v>243</v>
      </c>
      <c r="AB3199" s="5" t="s">
        <v>238</v>
      </c>
      <c r="AC3199" s="5" t="s">
        <v>244</v>
      </c>
      <c r="AD3199" s="5" t="s">
        <v>245</v>
      </c>
      <c r="AT3199" s="5" t="s">
        <v>246</v>
      </c>
      <c r="AU3199" s="5" t="s">
        <v>238</v>
      </c>
      <c r="AV3199" s="5" t="s">
        <v>247</v>
      </c>
      <c r="AW3199" s="5" t="s">
        <v>238</v>
      </c>
      <c r="AX3199" s="5" t="s">
        <v>249</v>
      </c>
      <c r="AY3199" s="5" t="s">
        <v>238</v>
      </c>
      <c r="BA3199" s="5" t="s">
        <v>238</v>
      </c>
      <c r="BC3199" s="5" t="s">
        <v>1433</v>
      </c>
      <c r="BD3199" s="6" t="s">
        <v>1434</v>
      </c>
      <c r="BE3199" s="5" t="s">
        <v>251</v>
      </c>
      <c r="BF3199" s="5" t="s">
        <v>2153</v>
      </c>
      <c r="BG3199" s="5" t="s">
        <v>238</v>
      </c>
      <c r="BH3199" s="7">
        <f>0</f>
        <v>0</v>
      </c>
      <c r="BI3199" s="8">
        <f>0</f>
        <v>0</v>
      </c>
      <c r="BJ3199" s="5" t="s">
        <v>253</v>
      </c>
      <c r="BK3199" s="5" t="s">
        <v>254</v>
      </c>
      <c r="BY3199" s="5" t="s">
        <v>238</v>
      </c>
      <c r="BZ3199" s="5" t="s">
        <v>238</v>
      </c>
      <c r="CD3199" s="5" t="s">
        <v>255</v>
      </c>
      <c r="CE3199" s="5" t="s">
        <v>256</v>
      </c>
      <c r="CF3199" s="5" t="s">
        <v>238</v>
      </c>
      <c r="CI3199" s="6" t="s">
        <v>257</v>
      </c>
      <c r="CJ3199" s="5" t="s">
        <v>238</v>
      </c>
      <c r="CK3199" s="5" t="s">
        <v>258</v>
      </c>
      <c r="CL3199" s="5" t="s">
        <v>238</v>
      </c>
      <c r="CM3199" s="5" t="s">
        <v>238</v>
      </c>
      <c r="CN3199" s="5">
        <v>0</v>
      </c>
      <c r="CO3199" s="5" t="s">
        <v>259</v>
      </c>
      <c r="CP3199" s="5" t="s">
        <v>260</v>
      </c>
      <c r="CQ3199" s="5" t="s">
        <v>260</v>
      </c>
      <c r="CR3199" s="5" t="s">
        <v>261</v>
      </c>
      <c r="CU3199" s="8">
        <f>974600</f>
        <v>974600</v>
      </c>
      <c r="CV3199" s="8">
        <f>0</f>
        <v>0</v>
      </c>
      <c r="CX3199" s="8">
        <f>0</f>
        <v>0</v>
      </c>
      <c r="CY3199" s="8">
        <f>974600</f>
        <v>974600</v>
      </c>
      <c r="DA3199" s="5" t="s">
        <v>2032</v>
      </c>
      <c r="DB3199" s="5" t="s">
        <v>238</v>
      </c>
      <c r="DD3199" s="5" t="s">
        <v>356</v>
      </c>
      <c r="DE3199" s="8">
        <f>0</f>
        <v>0</v>
      </c>
      <c r="DG3199" s="5" t="s">
        <v>389</v>
      </c>
      <c r="DH3199" s="5" t="s">
        <v>238</v>
      </c>
      <c r="DI3199" s="5" t="s">
        <v>238</v>
      </c>
      <c r="DJ3199" s="5" t="s">
        <v>238</v>
      </c>
      <c r="DN3199" s="5" t="s">
        <v>238</v>
      </c>
      <c r="DO3199" s="5" t="s">
        <v>238</v>
      </c>
      <c r="DP3199" s="5" t="s">
        <v>238</v>
      </c>
      <c r="DQ3199" s="5" t="s">
        <v>238</v>
      </c>
      <c r="DT3199" s="5" t="s">
        <v>5197</v>
      </c>
      <c r="DU3199" s="5" t="s">
        <v>264</v>
      </c>
      <c r="HM3199" s="5" t="s">
        <v>806</v>
      </c>
    </row>
    <row r="3200" spans="1:221" x14ac:dyDescent="0.4">
      <c r="A3200" s="5">
        <v>8552</v>
      </c>
      <c r="B3200" s="5">
        <v>1</v>
      </c>
      <c r="C3200" s="5">
        <v>1</v>
      </c>
      <c r="D3200" s="5" t="s">
        <v>2037</v>
      </c>
      <c r="E3200" s="5" t="s">
        <v>271</v>
      </c>
      <c r="F3200" s="5" t="s">
        <v>248</v>
      </c>
      <c r="G3200" s="5" t="s">
        <v>2172</v>
      </c>
      <c r="H3200" s="6" t="s">
        <v>2174</v>
      </c>
      <c r="J3200" s="5" t="s">
        <v>262</v>
      </c>
      <c r="K3200" s="8">
        <f>7101506</f>
        <v>7101506</v>
      </c>
      <c r="L3200" s="6" t="s">
        <v>2173</v>
      </c>
      <c r="M3200" s="5" t="s">
        <v>267</v>
      </c>
      <c r="N3200" s="5" t="s">
        <v>2092</v>
      </c>
      <c r="O3200" s="5" t="s">
        <v>238</v>
      </c>
      <c r="P3200" s="5" t="s">
        <v>238</v>
      </c>
      <c r="Q3200" s="5" t="s">
        <v>239</v>
      </c>
      <c r="R3200" s="5" t="s">
        <v>240</v>
      </c>
      <c r="S3200" s="5" t="s">
        <v>238</v>
      </c>
      <c r="V3200" s="5" t="s">
        <v>238</v>
      </c>
      <c r="AA3200" s="6" t="s">
        <v>2173</v>
      </c>
      <c r="AB3200" s="5" t="s">
        <v>238</v>
      </c>
      <c r="AC3200" s="5" t="s">
        <v>244</v>
      </c>
      <c r="AD3200" s="5" t="s">
        <v>245</v>
      </c>
      <c r="AT3200" s="5" t="s">
        <v>238</v>
      </c>
      <c r="AU3200" s="5" t="s">
        <v>238</v>
      </c>
      <c r="AV3200" s="5" t="s">
        <v>247</v>
      </c>
      <c r="AW3200" s="5" t="s">
        <v>238</v>
      </c>
      <c r="AX3200" s="5" t="s">
        <v>249</v>
      </c>
      <c r="AY3200" s="5" t="s">
        <v>238</v>
      </c>
      <c r="BA3200" s="5" t="s">
        <v>238</v>
      </c>
      <c r="BC3200" s="5" t="s">
        <v>2095</v>
      </c>
      <c r="BD3200" s="6" t="s">
        <v>2173</v>
      </c>
      <c r="BE3200" s="5" t="s">
        <v>493</v>
      </c>
      <c r="BF3200" s="5" t="s">
        <v>252</v>
      </c>
      <c r="BG3200" s="5" t="s">
        <v>238</v>
      </c>
      <c r="BH3200" s="7">
        <f>0</f>
        <v>0</v>
      </c>
      <c r="BI3200" s="8">
        <f>7101506</f>
        <v>7101506</v>
      </c>
      <c r="BJ3200" s="5" t="s">
        <v>253</v>
      </c>
      <c r="BK3200" s="5" t="s">
        <v>254</v>
      </c>
      <c r="BY3200" s="5" t="s">
        <v>238</v>
      </c>
      <c r="BZ3200" s="5" t="s">
        <v>238</v>
      </c>
      <c r="CD3200" s="5" t="s">
        <v>293</v>
      </c>
      <c r="CE3200" s="5" t="s">
        <v>256</v>
      </c>
      <c r="CF3200" s="5" t="s">
        <v>238</v>
      </c>
      <c r="CI3200" s="6" t="s">
        <v>257</v>
      </c>
      <c r="CJ3200" s="5" t="s">
        <v>238</v>
      </c>
      <c r="CK3200" s="5" t="s">
        <v>258</v>
      </c>
      <c r="CL3200" s="5" t="s">
        <v>238</v>
      </c>
      <c r="CM3200" s="5" t="s">
        <v>238</v>
      </c>
      <c r="CN3200" s="5">
        <v>0</v>
      </c>
      <c r="CO3200" s="5" t="s">
        <v>497</v>
      </c>
      <c r="CP3200" s="5" t="s">
        <v>260</v>
      </c>
      <c r="CQ3200" s="5" t="s">
        <v>260</v>
      </c>
      <c r="CR3200" s="5" t="s">
        <v>261</v>
      </c>
      <c r="CU3200" s="8">
        <f>7101506</f>
        <v>7101506</v>
      </c>
      <c r="CX3200" s="8">
        <f>0</f>
        <v>0</v>
      </c>
      <c r="CY3200" s="8">
        <f>7101506</f>
        <v>7101506</v>
      </c>
      <c r="DA3200" s="5" t="s">
        <v>238</v>
      </c>
      <c r="DB3200" s="5" t="s">
        <v>238</v>
      </c>
      <c r="DD3200" s="5" t="s">
        <v>238</v>
      </c>
      <c r="DE3200" s="8" t="s">
        <v>238</v>
      </c>
      <c r="DG3200" s="5" t="s">
        <v>238</v>
      </c>
      <c r="DH3200" s="5" t="s">
        <v>238</v>
      </c>
      <c r="DI3200" s="5" t="s">
        <v>238</v>
      </c>
      <c r="DJ3200" s="5" t="s">
        <v>238</v>
      </c>
      <c r="DN3200" s="5" t="s">
        <v>238</v>
      </c>
      <c r="DO3200" s="5" t="s">
        <v>238</v>
      </c>
      <c r="DP3200" s="5" t="s">
        <v>238</v>
      </c>
      <c r="DQ3200" s="5" t="s">
        <v>238</v>
      </c>
      <c r="DT3200" s="5" t="s">
        <v>2039</v>
      </c>
      <c r="DU3200" s="5" t="s">
        <v>1880</v>
      </c>
    </row>
    <row r="3201" spans="1:238" x14ac:dyDescent="0.4">
      <c r="A3201" s="5">
        <v>8553</v>
      </c>
      <c r="B3201" s="5">
        <v>1</v>
      </c>
      <c r="C3201" s="5">
        <v>1</v>
      </c>
      <c r="D3201" s="5" t="s">
        <v>2037</v>
      </c>
      <c r="E3201" s="5" t="s">
        <v>271</v>
      </c>
      <c r="F3201" s="5" t="s">
        <v>248</v>
      </c>
      <c r="G3201" s="5" t="s">
        <v>2093</v>
      </c>
      <c r="H3201" s="6" t="s">
        <v>2054</v>
      </c>
      <c r="I3201" s="7">
        <f>526.65</f>
        <v>526.65</v>
      </c>
      <c r="J3201" s="5" t="s">
        <v>262</v>
      </c>
      <c r="K3201" s="8">
        <f>5266793</f>
        <v>5266793</v>
      </c>
      <c r="L3201" s="6" t="s">
        <v>2094</v>
      </c>
      <c r="M3201" s="5" t="s">
        <v>267</v>
      </c>
      <c r="N3201" s="5" t="s">
        <v>2092</v>
      </c>
      <c r="O3201" s="5" t="s">
        <v>238</v>
      </c>
      <c r="P3201" s="5" t="s">
        <v>238</v>
      </c>
      <c r="Q3201" s="5" t="s">
        <v>239</v>
      </c>
      <c r="R3201" s="5" t="s">
        <v>240</v>
      </c>
      <c r="S3201" s="5" t="s">
        <v>238</v>
      </c>
      <c r="V3201" s="5" t="s">
        <v>238</v>
      </c>
      <c r="AA3201" s="6" t="s">
        <v>2094</v>
      </c>
      <c r="AB3201" s="5" t="s">
        <v>238</v>
      </c>
      <c r="AC3201" s="5" t="s">
        <v>244</v>
      </c>
      <c r="AD3201" s="5" t="s">
        <v>245</v>
      </c>
      <c r="AT3201" s="5" t="s">
        <v>238</v>
      </c>
      <c r="AU3201" s="5" t="s">
        <v>238</v>
      </c>
      <c r="AV3201" s="5" t="s">
        <v>247</v>
      </c>
      <c r="AW3201" s="5" t="s">
        <v>238</v>
      </c>
      <c r="AX3201" s="5" t="s">
        <v>249</v>
      </c>
      <c r="AY3201" s="5" t="s">
        <v>238</v>
      </c>
      <c r="BA3201" s="5" t="s">
        <v>238</v>
      </c>
      <c r="BC3201" s="5" t="s">
        <v>2095</v>
      </c>
      <c r="BD3201" s="6" t="s">
        <v>2094</v>
      </c>
      <c r="BE3201" s="5" t="s">
        <v>493</v>
      </c>
      <c r="BF3201" s="5" t="s">
        <v>252</v>
      </c>
      <c r="BG3201" s="5" t="s">
        <v>238</v>
      </c>
      <c r="BH3201" s="7">
        <f>526.65</f>
        <v>526.65</v>
      </c>
      <c r="BI3201" s="8">
        <f>5266793</f>
        <v>5266793</v>
      </c>
      <c r="BJ3201" s="5" t="s">
        <v>253</v>
      </c>
      <c r="BK3201" s="5" t="s">
        <v>254</v>
      </c>
      <c r="BY3201" s="5" t="s">
        <v>238</v>
      </c>
      <c r="BZ3201" s="5" t="s">
        <v>238</v>
      </c>
      <c r="CD3201" s="5" t="s">
        <v>293</v>
      </c>
      <c r="CE3201" s="5" t="s">
        <v>256</v>
      </c>
      <c r="CF3201" s="5" t="s">
        <v>238</v>
      </c>
      <c r="CI3201" s="6" t="s">
        <v>257</v>
      </c>
      <c r="CJ3201" s="5" t="s">
        <v>238</v>
      </c>
      <c r="CK3201" s="5" t="s">
        <v>258</v>
      </c>
      <c r="CL3201" s="5" t="s">
        <v>238</v>
      </c>
      <c r="CM3201" s="5" t="s">
        <v>238</v>
      </c>
      <c r="CN3201" s="5">
        <v>0</v>
      </c>
      <c r="CO3201" s="5" t="s">
        <v>497</v>
      </c>
      <c r="CP3201" s="5" t="s">
        <v>260</v>
      </c>
      <c r="CQ3201" s="5" t="s">
        <v>260</v>
      </c>
      <c r="CR3201" s="5" t="s">
        <v>261</v>
      </c>
      <c r="CT3201" s="7">
        <f>10000.55</f>
        <v>10000.549999999999</v>
      </c>
      <c r="CU3201" s="8">
        <f>5266793</f>
        <v>5266793</v>
      </c>
      <c r="CX3201" s="8">
        <f>0</f>
        <v>0</v>
      </c>
      <c r="CY3201" s="8">
        <f>5266793</f>
        <v>5266793</v>
      </c>
      <c r="DA3201" s="5" t="s">
        <v>238</v>
      </c>
      <c r="DB3201" s="5" t="s">
        <v>238</v>
      </c>
      <c r="DD3201" s="5" t="s">
        <v>238</v>
      </c>
      <c r="DE3201" s="8" t="s">
        <v>238</v>
      </c>
      <c r="DG3201" s="5" t="s">
        <v>238</v>
      </c>
      <c r="DH3201" s="5" t="s">
        <v>238</v>
      </c>
      <c r="DI3201" s="5" t="s">
        <v>238</v>
      </c>
      <c r="DJ3201" s="5" t="s">
        <v>238</v>
      </c>
      <c r="DN3201" s="5" t="s">
        <v>238</v>
      </c>
      <c r="DO3201" s="5" t="s">
        <v>238</v>
      </c>
      <c r="DP3201" s="5" t="s">
        <v>238</v>
      </c>
      <c r="DQ3201" s="5" t="s">
        <v>238</v>
      </c>
      <c r="DT3201" s="5" t="s">
        <v>2039</v>
      </c>
      <c r="DU3201" s="5" t="s">
        <v>1746</v>
      </c>
    </row>
    <row r="3202" spans="1:238" x14ac:dyDescent="0.4">
      <c r="A3202" s="5">
        <v>8554</v>
      </c>
      <c r="B3202" s="5">
        <v>1</v>
      </c>
      <c r="C3202" s="5">
        <v>2</v>
      </c>
      <c r="D3202" s="5" t="s">
        <v>238</v>
      </c>
      <c r="E3202" s="5" t="s">
        <v>271</v>
      </c>
      <c r="F3202" s="5" t="s">
        <v>248</v>
      </c>
      <c r="G3202" s="5" t="s">
        <v>6524</v>
      </c>
      <c r="I3202" s="7">
        <f>75.04</f>
        <v>75.040000000000006</v>
      </c>
      <c r="J3202" s="5" t="s">
        <v>262</v>
      </c>
      <c r="K3202" s="8">
        <f>105056</f>
        <v>105056</v>
      </c>
      <c r="L3202" s="6" t="s">
        <v>6525</v>
      </c>
      <c r="M3202" s="5" t="s">
        <v>267</v>
      </c>
      <c r="N3202" s="5" t="s">
        <v>238</v>
      </c>
      <c r="Q3202" s="5" t="s">
        <v>238</v>
      </c>
      <c r="R3202" s="5" t="s">
        <v>238</v>
      </c>
      <c r="S3202" s="5" t="s">
        <v>238</v>
      </c>
      <c r="V3202" s="5" t="s">
        <v>271</v>
      </c>
      <c r="W3202" s="6" t="s">
        <v>238</v>
      </c>
      <c r="X3202" s="6" t="s">
        <v>238</v>
      </c>
      <c r="Y3202" s="5" t="s">
        <v>238</v>
      </c>
      <c r="Z3202" s="6" t="s">
        <v>238</v>
      </c>
      <c r="AA3202" s="6" t="s">
        <v>6526</v>
      </c>
      <c r="AB3202" s="5" t="s">
        <v>6527</v>
      </c>
      <c r="AC3202" s="5" t="s">
        <v>244</v>
      </c>
      <c r="AD3202" s="5" t="s">
        <v>238</v>
      </c>
      <c r="AJ3202" s="5" t="s">
        <v>238</v>
      </c>
      <c r="AK3202" s="5" t="s">
        <v>238</v>
      </c>
      <c r="AL3202" s="5" t="s">
        <v>238</v>
      </c>
      <c r="AM3202" s="6" t="s">
        <v>238</v>
      </c>
      <c r="AN3202" s="6" t="s">
        <v>238</v>
      </c>
      <c r="AO3202" s="6" t="s">
        <v>238</v>
      </c>
      <c r="AR3202" s="5" t="s">
        <v>488</v>
      </c>
      <c r="AS3202" s="5" t="s">
        <v>488</v>
      </c>
      <c r="AT3202" s="5" t="s">
        <v>246</v>
      </c>
      <c r="AU3202" s="5" t="s">
        <v>489</v>
      </c>
      <c r="AV3202" s="5" t="s">
        <v>247</v>
      </c>
      <c r="AW3202" s="5" t="s">
        <v>238</v>
      </c>
      <c r="AX3202" s="5" t="s">
        <v>249</v>
      </c>
      <c r="AY3202" s="5" t="s">
        <v>490</v>
      </c>
      <c r="BA3202" s="5" t="s">
        <v>238</v>
      </c>
      <c r="BC3202" s="5" t="s">
        <v>6518</v>
      </c>
      <c r="BD3202" s="6" t="s">
        <v>6526</v>
      </c>
      <c r="BE3202" s="5" t="s">
        <v>6528</v>
      </c>
      <c r="BF3202" s="5" t="s">
        <v>6529</v>
      </c>
      <c r="BG3202" s="5" t="s">
        <v>238</v>
      </c>
      <c r="BH3202" s="7">
        <f>0</f>
        <v>0</v>
      </c>
      <c r="BI3202" s="8">
        <f>105056</f>
        <v>105056</v>
      </c>
      <c r="BJ3202" s="5" t="s">
        <v>253</v>
      </c>
      <c r="BK3202" s="5" t="s">
        <v>254</v>
      </c>
      <c r="BL3202" s="5" t="s">
        <v>6530</v>
      </c>
      <c r="BM3202" s="5" t="s">
        <v>6531</v>
      </c>
      <c r="BN3202" s="5" t="s">
        <v>6531</v>
      </c>
      <c r="BO3202" s="5" t="s">
        <v>238</v>
      </c>
      <c r="BP3202" s="5" t="s">
        <v>253</v>
      </c>
      <c r="BQ3202" s="5" t="s">
        <v>6532</v>
      </c>
      <c r="BR3202" s="5" t="s">
        <v>6532</v>
      </c>
      <c r="BT3202" s="6" t="s">
        <v>6533</v>
      </c>
      <c r="BU3202" s="5" t="s">
        <v>253</v>
      </c>
      <c r="BV3202" s="5" t="s">
        <v>238</v>
      </c>
      <c r="BW3202" s="5" t="s">
        <v>238</v>
      </c>
      <c r="BX3202" s="5" t="s">
        <v>254</v>
      </c>
      <c r="BY3202" s="5" t="s">
        <v>238</v>
      </c>
      <c r="BZ3202" s="5" t="s">
        <v>238</v>
      </c>
      <c r="CD3202" s="5" t="s">
        <v>238</v>
      </c>
      <c r="CE3202" s="5" t="s">
        <v>238</v>
      </c>
      <c r="CF3202" s="5" t="s">
        <v>261</v>
      </c>
      <c r="CH3202" s="5" t="s">
        <v>238</v>
      </c>
      <c r="CI3202" s="6" t="s">
        <v>257</v>
      </c>
      <c r="CJ3202" s="5" t="s">
        <v>495</v>
      </c>
      <c r="CK3202" s="5" t="s">
        <v>6520</v>
      </c>
      <c r="CL3202" s="5" t="s">
        <v>496</v>
      </c>
      <c r="CM3202" s="5" t="s">
        <v>238</v>
      </c>
      <c r="CN3202" s="5">
        <v>0</v>
      </c>
      <c r="CO3202" s="5" t="s">
        <v>238</v>
      </c>
      <c r="CP3202" s="5" t="s">
        <v>238</v>
      </c>
      <c r="CQ3202" s="5" t="s">
        <v>238</v>
      </c>
      <c r="CR3202" s="5" t="s">
        <v>261</v>
      </c>
      <c r="CS3202" s="5" t="s">
        <v>238</v>
      </c>
      <c r="CT3202" s="7">
        <f>2800</f>
        <v>2800</v>
      </c>
      <c r="CU3202" s="8">
        <f>210112</f>
        <v>210112</v>
      </c>
      <c r="CV3202" s="8">
        <f>0</f>
        <v>0</v>
      </c>
      <c r="CW3202" s="8">
        <f>0</f>
        <v>0</v>
      </c>
      <c r="CX3202" s="8">
        <f>105056</f>
        <v>105056</v>
      </c>
      <c r="CY3202" s="8">
        <f>105056</f>
        <v>105056</v>
      </c>
      <c r="CZ3202" s="8" t="s">
        <v>238</v>
      </c>
      <c r="DA3202" s="5" t="s">
        <v>238</v>
      </c>
      <c r="DB3202" s="5" t="s">
        <v>238</v>
      </c>
      <c r="DD3202" s="5" t="s">
        <v>238</v>
      </c>
      <c r="DE3202" s="8">
        <f>0</f>
        <v>0</v>
      </c>
      <c r="DF3202" s="6" t="s">
        <v>238</v>
      </c>
      <c r="DG3202" s="5" t="s">
        <v>238</v>
      </c>
      <c r="DH3202" s="5" t="s">
        <v>238</v>
      </c>
      <c r="DI3202" s="5" t="s">
        <v>238</v>
      </c>
      <c r="DJ3202" s="5" t="s">
        <v>238</v>
      </c>
      <c r="DK3202" s="5" t="s">
        <v>238</v>
      </c>
      <c r="DL3202" s="5" t="s">
        <v>238</v>
      </c>
      <c r="DM3202" s="8" t="s">
        <v>238</v>
      </c>
      <c r="DN3202" s="5" t="s">
        <v>238</v>
      </c>
      <c r="DO3202" s="5" t="s">
        <v>244</v>
      </c>
      <c r="DP3202" s="5" t="s">
        <v>490</v>
      </c>
      <c r="DQ3202" s="5" t="s">
        <v>490</v>
      </c>
      <c r="DR3202" s="5" t="s">
        <v>238</v>
      </c>
      <c r="DS3202" s="5" t="s">
        <v>238</v>
      </c>
      <c r="GL3202" s="5" t="s">
        <v>6534</v>
      </c>
      <c r="HP3202" s="5" t="s">
        <v>238</v>
      </c>
      <c r="HQ3202" s="5" t="s">
        <v>238</v>
      </c>
      <c r="HR3202" s="5" t="s">
        <v>238</v>
      </c>
      <c r="HS3202" s="5" t="s">
        <v>238</v>
      </c>
      <c r="HT3202" s="5" t="s">
        <v>238</v>
      </c>
      <c r="HU3202" s="5" t="s">
        <v>238</v>
      </c>
      <c r="HV3202" s="5" t="s">
        <v>238</v>
      </c>
      <c r="HW3202" s="5" t="s">
        <v>238</v>
      </c>
      <c r="HX3202" s="5" t="s">
        <v>238</v>
      </c>
      <c r="HY3202" s="5" t="s">
        <v>238</v>
      </c>
      <c r="HZ3202" s="5" t="s">
        <v>238</v>
      </c>
      <c r="IA3202" s="5" t="s">
        <v>238</v>
      </c>
      <c r="IB3202" s="5" t="s">
        <v>238</v>
      </c>
      <c r="IC3202" s="5" t="s">
        <v>238</v>
      </c>
      <c r="ID3202" s="5" t="s">
        <v>238</v>
      </c>
    </row>
    <row r="3203" spans="1:238" x14ac:dyDescent="0.4">
      <c r="A3203" s="5">
        <v>8555</v>
      </c>
      <c r="B3203" s="5">
        <v>1</v>
      </c>
      <c r="C3203" s="5">
        <v>2</v>
      </c>
      <c r="D3203" s="5" t="s">
        <v>238</v>
      </c>
      <c r="E3203" s="5" t="s">
        <v>271</v>
      </c>
      <c r="F3203" s="5" t="s">
        <v>248</v>
      </c>
      <c r="G3203" s="5" t="s">
        <v>6755</v>
      </c>
      <c r="I3203" s="7">
        <f>110.15</f>
        <v>110.15</v>
      </c>
      <c r="J3203" s="5" t="s">
        <v>262</v>
      </c>
      <c r="K3203" s="8">
        <f>220300</f>
        <v>220300</v>
      </c>
      <c r="L3203" s="6" t="s">
        <v>6756</v>
      </c>
      <c r="M3203" s="5" t="s">
        <v>267</v>
      </c>
      <c r="N3203" s="5" t="s">
        <v>238</v>
      </c>
      <c r="Q3203" s="5" t="s">
        <v>238</v>
      </c>
      <c r="R3203" s="5" t="s">
        <v>238</v>
      </c>
      <c r="S3203" s="5" t="s">
        <v>238</v>
      </c>
      <c r="V3203" s="5" t="s">
        <v>271</v>
      </c>
      <c r="W3203" s="6" t="s">
        <v>238</v>
      </c>
      <c r="X3203" s="6" t="s">
        <v>238</v>
      </c>
      <c r="Y3203" s="5" t="s">
        <v>238</v>
      </c>
      <c r="Z3203" s="6" t="s">
        <v>238</v>
      </c>
      <c r="AA3203" s="6" t="s">
        <v>238</v>
      </c>
      <c r="AB3203" s="5" t="s">
        <v>6527</v>
      </c>
      <c r="AC3203" s="5" t="s">
        <v>244</v>
      </c>
      <c r="AD3203" s="5" t="s">
        <v>238</v>
      </c>
      <c r="AJ3203" s="5" t="s">
        <v>238</v>
      </c>
      <c r="AK3203" s="5" t="s">
        <v>238</v>
      </c>
      <c r="AL3203" s="5" t="s">
        <v>238</v>
      </c>
      <c r="AM3203" s="6" t="s">
        <v>238</v>
      </c>
      <c r="AN3203" s="6" t="s">
        <v>238</v>
      </c>
      <c r="AO3203" s="6" t="s">
        <v>238</v>
      </c>
      <c r="AR3203" s="5" t="s">
        <v>488</v>
      </c>
      <c r="AS3203" s="5" t="s">
        <v>488</v>
      </c>
      <c r="AT3203" s="5" t="s">
        <v>246</v>
      </c>
      <c r="AU3203" s="5" t="s">
        <v>489</v>
      </c>
      <c r="AV3203" s="5" t="s">
        <v>247</v>
      </c>
      <c r="AW3203" s="5" t="s">
        <v>238</v>
      </c>
      <c r="AX3203" s="5" t="s">
        <v>249</v>
      </c>
      <c r="AY3203" s="5" t="s">
        <v>490</v>
      </c>
      <c r="BA3203" s="5" t="s">
        <v>238</v>
      </c>
      <c r="BC3203" s="5" t="s">
        <v>6518</v>
      </c>
      <c r="BD3203" s="6" t="s">
        <v>6757</v>
      </c>
      <c r="BE3203" s="5" t="s">
        <v>6528</v>
      </c>
      <c r="BF3203" s="5" t="s">
        <v>6529</v>
      </c>
      <c r="BG3203" s="5" t="s">
        <v>238</v>
      </c>
      <c r="BH3203" s="7">
        <f>0</f>
        <v>0</v>
      </c>
      <c r="BI3203" s="8">
        <f>220300</f>
        <v>220300</v>
      </c>
      <c r="BJ3203" s="5" t="s">
        <v>253</v>
      </c>
      <c r="BK3203" s="5" t="s">
        <v>254</v>
      </c>
      <c r="BL3203" s="5" t="s">
        <v>6530</v>
      </c>
      <c r="BM3203" s="5" t="s">
        <v>6531</v>
      </c>
      <c r="BN3203" s="5" t="s">
        <v>6531</v>
      </c>
      <c r="BO3203" s="5" t="s">
        <v>238</v>
      </c>
      <c r="BP3203" s="5" t="s">
        <v>253</v>
      </c>
      <c r="BQ3203" s="5" t="s">
        <v>6532</v>
      </c>
      <c r="BR3203" s="5" t="s">
        <v>6532</v>
      </c>
      <c r="BT3203" s="6" t="s">
        <v>6758</v>
      </c>
      <c r="BU3203" s="5" t="s">
        <v>253</v>
      </c>
      <c r="BV3203" s="5" t="s">
        <v>238</v>
      </c>
      <c r="BW3203" s="5" t="s">
        <v>238</v>
      </c>
      <c r="BX3203" s="5" t="s">
        <v>254</v>
      </c>
      <c r="BY3203" s="5" t="s">
        <v>238</v>
      </c>
      <c r="BZ3203" s="5" t="s">
        <v>238</v>
      </c>
      <c r="CD3203" s="5" t="s">
        <v>238</v>
      </c>
      <c r="CE3203" s="5" t="s">
        <v>238</v>
      </c>
      <c r="CF3203" s="5" t="s">
        <v>261</v>
      </c>
      <c r="CH3203" s="5" t="s">
        <v>238</v>
      </c>
      <c r="CI3203" s="6" t="s">
        <v>257</v>
      </c>
      <c r="CJ3203" s="5" t="s">
        <v>495</v>
      </c>
      <c r="CK3203" s="5" t="s">
        <v>6520</v>
      </c>
      <c r="CL3203" s="5" t="s">
        <v>496</v>
      </c>
      <c r="CM3203" s="5" t="s">
        <v>238</v>
      </c>
      <c r="CN3203" s="5">
        <v>0</v>
      </c>
      <c r="CO3203" s="5" t="s">
        <v>238</v>
      </c>
      <c r="CP3203" s="5" t="s">
        <v>238</v>
      </c>
      <c r="CQ3203" s="5" t="s">
        <v>238</v>
      </c>
      <c r="CR3203" s="5" t="s">
        <v>261</v>
      </c>
      <c r="CS3203" s="5" t="s">
        <v>238</v>
      </c>
      <c r="CT3203" s="7">
        <f>4000</f>
        <v>4000</v>
      </c>
      <c r="CU3203" s="8">
        <f>440600</f>
        <v>440600</v>
      </c>
      <c r="CV3203" s="8">
        <f>0</f>
        <v>0</v>
      </c>
      <c r="CW3203" s="8">
        <f>0</f>
        <v>0</v>
      </c>
      <c r="CX3203" s="8">
        <f>220300</f>
        <v>220300</v>
      </c>
      <c r="CY3203" s="8">
        <f>220300</f>
        <v>220300</v>
      </c>
      <c r="CZ3203" s="8" t="s">
        <v>238</v>
      </c>
      <c r="DA3203" s="5" t="s">
        <v>238</v>
      </c>
      <c r="DB3203" s="5" t="s">
        <v>238</v>
      </c>
      <c r="DD3203" s="5" t="s">
        <v>238</v>
      </c>
      <c r="DE3203" s="8">
        <f>0</f>
        <v>0</v>
      </c>
      <c r="DF3203" s="6" t="s">
        <v>238</v>
      </c>
      <c r="DG3203" s="5" t="s">
        <v>238</v>
      </c>
      <c r="DH3203" s="5" t="s">
        <v>238</v>
      </c>
      <c r="DI3203" s="5" t="s">
        <v>238</v>
      </c>
      <c r="DJ3203" s="5" t="s">
        <v>238</v>
      </c>
      <c r="DK3203" s="5" t="s">
        <v>238</v>
      </c>
      <c r="DL3203" s="5" t="s">
        <v>238</v>
      </c>
      <c r="DM3203" s="8" t="s">
        <v>238</v>
      </c>
      <c r="DN3203" s="5" t="s">
        <v>238</v>
      </c>
      <c r="DO3203" s="5" t="s">
        <v>244</v>
      </c>
      <c r="DP3203" s="5" t="s">
        <v>490</v>
      </c>
      <c r="DQ3203" s="5" t="s">
        <v>490</v>
      </c>
      <c r="DR3203" s="5" t="s">
        <v>238</v>
      </c>
      <c r="DS3203" s="5" t="s">
        <v>238</v>
      </c>
      <c r="GL3203" s="5" t="s">
        <v>6759</v>
      </c>
      <c r="HP3203" s="5" t="s">
        <v>238</v>
      </c>
      <c r="HQ3203" s="5" t="s">
        <v>238</v>
      </c>
      <c r="HR3203" s="5" t="s">
        <v>238</v>
      </c>
      <c r="HS3203" s="5" t="s">
        <v>238</v>
      </c>
      <c r="HT3203" s="5" t="s">
        <v>238</v>
      </c>
      <c r="HU3203" s="5" t="s">
        <v>238</v>
      </c>
      <c r="HV3203" s="5" t="s">
        <v>238</v>
      </c>
      <c r="HW3203" s="5" t="s">
        <v>238</v>
      </c>
      <c r="HX3203" s="5" t="s">
        <v>238</v>
      </c>
      <c r="HY3203" s="5" t="s">
        <v>238</v>
      </c>
      <c r="HZ3203" s="5" t="s">
        <v>238</v>
      </c>
      <c r="IA3203" s="5" t="s">
        <v>238</v>
      </c>
      <c r="IB3203" s="5" t="s">
        <v>238</v>
      </c>
      <c r="IC3203" s="5" t="s">
        <v>238</v>
      </c>
      <c r="ID3203" s="5" t="s">
        <v>238</v>
      </c>
    </row>
    <row r="3204" spans="1:238" x14ac:dyDescent="0.4">
      <c r="A3204" s="5">
        <v>8562</v>
      </c>
      <c r="B3204" s="5">
        <v>1</v>
      </c>
      <c r="C3204" s="5">
        <v>3</v>
      </c>
      <c r="D3204" s="5" t="s">
        <v>2037</v>
      </c>
      <c r="E3204" s="5" t="s">
        <v>271</v>
      </c>
      <c r="F3204" s="5" t="s">
        <v>248</v>
      </c>
      <c r="G3204" s="5" t="s">
        <v>6722</v>
      </c>
      <c r="H3204" s="6" t="s">
        <v>6725</v>
      </c>
      <c r="I3204" s="7">
        <f>71.2</f>
        <v>71.2</v>
      </c>
      <c r="J3204" s="5" t="s">
        <v>262</v>
      </c>
      <c r="K3204" s="8">
        <f>704979</f>
        <v>704979</v>
      </c>
      <c r="L3204" s="6" t="s">
        <v>6723</v>
      </c>
      <c r="M3204" s="5" t="s">
        <v>267</v>
      </c>
      <c r="N3204" s="5" t="s">
        <v>265</v>
      </c>
      <c r="Q3204" s="5" t="s">
        <v>238</v>
      </c>
      <c r="R3204" s="5" t="s">
        <v>238</v>
      </c>
      <c r="S3204" s="5" t="s">
        <v>238</v>
      </c>
      <c r="V3204" s="5" t="s">
        <v>2587</v>
      </c>
      <c r="W3204" s="6" t="s">
        <v>238</v>
      </c>
      <c r="X3204" s="6" t="s">
        <v>238</v>
      </c>
      <c r="Y3204" s="5" t="s">
        <v>238</v>
      </c>
      <c r="Z3204" s="6" t="s">
        <v>238</v>
      </c>
      <c r="AA3204" s="6" t="s">
        <v>6724</v>
      </c>
      <c r="AB3204" s="5" t="s">
        <v>6554</v>
      </c>
      <c r="AC3204" s="5" t="s">
        <v>244</v>
      </c>
      <c r="AD3204" s="5" t="s">
        <v>238</v>
      </c>
      <c r="AJ3204" s="5" t="s">
        <v>238</v>
      </c>
      <c r="AK3204" s="5" t="s">
        <v>238</v>
      </c>
      <c r="AL3204" s="5" t="s">
        <v>238</v>
      </c>
      <c r="AM3204" s="6" t="s">
        <v>238</v>
      </c>
      <c r="AN3204" s="6" t="s">
        <v>238</v>
      </c>
      <c r="AO3204" s="6" t="s">
        <v>238</v>
      </c>
      <c r="AR3204" s="5" t="s">
        <v>488</v>
      </c>
      <c r="AS3204" s="5" t="s">
        <v>488</v>
      </c>
      <c r="AT3204" s="5" t="s">
        <v>246</v>
      </c>
      <c r="AU3204" s="5" t="s">
        <v>489</v>
      </c>
      <c r="AV3204" s="5" t="s">
        <v>247</v>
      </c>
      <c r="AW3204" s="5" t="s">
        <v>238</v>
      </c>
      <c r="AX3204" s="5" t="s">
        <v>249</v>
      </c>
      <c r="AY3204" s="5" t="s">
        <v>490</v>
      </c>
      <c r="BA3204" s="5" t="s">
        <v>238</v>
      </c>
      <c r="BC3204" s="5" t="s">
        <v>6518</v>
      </c>
      <c r="BD3204" s="6" t="s">
        <v>6726</v>
      </c>
      <c r="BE3204" s="5" t="s">
        <v>6528</v>
      </c>
      <c r="BF3204" s="5" t="s">
        <v>6529</v>
      </c>
      <c r="BG3204" s="5" t="s">
        <v>238</v>
      </c>
      <c r="BH3204" s="7">
        <f>0</f>
        <v>0</v>
      </c>
      <c r="BI3204" s="8">
        <f>212000</f>
        <v>212000</v>
      </c>
      <c r="BJ3204" s="5" t="s">
        <v>253</v>
      </c>
      <c r="BK3204" s="5" t="s">
        <v>254</v>
      </c>
      <c r="BL3204" s="5" t="s">
        <v>6530</v>
      </c>
      <c r="BM3204" s="5" t="s">
        <v>6531</v>
      </c>
      <c r="BN3204" s="5" t="s">
        <v>6540</v>
      </c>
      <c r="BO3204" s="5" t="s">
        <v>238</v>
      </c>
      <c r="BP3204" s="5" t="s">
        <v>253</v>
      </c>
      <c r="BQ3204" s="5" t="s">
        <v>6532</v>
      </c>
      <c r="BR3204" s="5" t="s">
        <v>6532</v>
      </c>
      <c r="BT3204" s="6" t="s">
        <v>6727</v>
      </c>
      <c r="BU3204" s="5" t="s">
        <v>253</v>
      </c>
      <c r="BV3204" s="5" t="s">
        <v>238</v>
      </c>
      <c r="BW3204" s="5" t="s">
        <v>238</v>
      </c>
      <c r="BX3204" s="5" t="s">
        <v>254</v>
      </c>
      <c r="BY3204" s="5" t="s">
        <v>238</v>
      </c>
      <c r="BZ3204" s="5" t="s">
        <v>238</v>
      </c>
      <c r="CD3204" s="5" t="s">
        <v>238</v>
      </c>
      <c r="CE3204" s="5" t="s">
        <v>238</v>
      </c>
      <c r="CF3204" s="5" t="s">
        <v>261</v>
      </c>
      <c r="CH3204" s="5" t="s">
        <v>238</v>
      </c>
      <c r="CI3204" s="6" t="s">
        <v>257</v>
      </c>
      <c r="CJ3204" s="5" t="s">
        <v>495</v>
      </c>
      <c r="CK3204" s="5" t="s">
        <v>6520</v>
      </c>
      <c r="CL3204" s="5" t="s">
        <v>496</v>
      </c>
      <c r="CM3204" s="5" t="s">
        <v>238</v>
      </c>
      <c r="CN3204" s="5">
        <v>0</v>
      </c>
      <c r="CO3204" s="5" t="s">
        <v>238</v>
      </c>
      <c r="CP3204" s="5" t="s">
        <v>238</v>
      </c>
      <c r="CQ3204" s="5" t="s">
        <v>238</v>
      </c>
      <c r="CR3204" s="5" t="s">
        <v>261</v>
      </c>
      <c r="CS3204" s="5" t="s">
        <v>238</v>
      </c>
      <c r="CT3204" s="7">
        <f>9901</f>
        <v>9901</v>
      </c>
      <c r="CU3204" s="8">
        <f>704979</f>
        <v>704979</v>
      </c>
      <c r="CV3204" s="8">
        <f>0</f>
        <v>0</v>
      </c>
      <c r="CW3204" s="8">
        <f>0</f>
        <v>0</v>
      </c>
      <c r="CX3204" s="8">
        <f>704979</f>
        <v>704979</v>
      </c>
      <c r="CY3204" s="8">
        <f>704979</f>
        <v>704979</v>
      </c>
      <c r="CZ3204" s="8" t="s">
        <v>238</v>
      </c>
      <c r="DA3204" s="5" t="s">
        <v>238</v>
      </c>
      <c r="DB3204" s="5" t="s">
        <v>238</v>
      </c>
      <c r="DD3204" s="5" t="s">
        <v>238</v>
      </c>
      <c r="DE3204" s="8">
        <f>0</f>
        <v>0</v>
      </c>
      <c r="DF3204" s="6" t="s">
        <v>238</v>
      </c>
      <c r="DG3204" s="5" t="s">
        <v>238</v>
      </c>
      <c r="DH3204" s="5" t="s">
        <v>238</v>
      </c>
      <c r="DI3204" s="5" t="s">
        <v>238</v>
      </c>
      <c r="DJ3204" s="5" t="s">
        <v>238</v>
      </c>
      <c r="DK3204" s="5" t="s">
        <v>238</v>
      </c>
      <c r="DL3204" s="5" t="s">
        <v>238</v>
      </c>
      <c r="DM3204" s="8" t="s">
        <v>238</v>
      </c>
      <c r="DN3204" s="5" t="s">
        <v>238</v>
      </c>
      <c r="DO3204" s="5" t="s">
        <v>244</v>
      </c>
      <c r="DP3204" s="5" t="s">
        <v>490</v>
      </c>
      <c r="DQ3204" s="5" t="s">
        <v>490</v>
      </c>
      <c r="DR3204" s="5" t="s">
        <v>238</v>
      </c>
      <c r="DS3204" s="5" t="s">
        <v>238</v>
      </c>
      <c r="GL3204" s="5" t="s">
        <v>6728</v>
      </c>
      <c r="HP3204" s="5" t="s">
        <v>238</v>
      </c>
      <c r="HQ3204" s="5" t="s">
        <v>238</v>
      </c>
      <c r="HR3204" s="5" t="s">
        <v>238</v>
      </c>
      <c r="HS3204" s="5" t="s">
        <v>238</v>
      </c>
      <c r="HT3204" s="5" t="s">
        <v>238</v>
      </c>
      <c r="HU3204" s="5" t="s">
        <v>238</v>
      </c>
      <c r="HV3204" s="5" t="s">
        <v>238</v>
      </c>
      <c r="HW3204" s="5" t="s">
        <v>238</v>
      </c>
      <c r="HX3204" s="5" t="s">
        <v>238</v>
      </c>
      <c r="HY3204" s="5" t="s">
        <v>238</v>
      </c>
      <c r="HZ3204" s="5" t="s">
        <v>238</v>
      </c>
      <c r="IA3204" s="5" t="s">
        <v>238</v>
      </c>
      <c r="IB3204" s="5" t="s">
        <v>238</v>
      </c>
      <c r="IC3204" s="5" t="s">
        <v>238</v>
      </c>
      <c r="ID3204" s="5" t="s">
        <v>238</v>
      </c>
    </row>
    <row r="3205" spans="1:238" x14ac:dyDescent="0.4">
      <c r="A3205" s="5">
        <v>8568</v>
      </c>
      <c r="B3205" s="5">
        <v>1</v>
      </c>
      <c r="C3205" s="5">
        <v>9</v>
      </c>
      <c r="D3205" s="5" t="s">
        <v>238</v>
      </c>
      <c r="E3205" s="5" t="s">
        <v>271</v>
      </c>
      <c r="F3205" s="5" t="s">
        <v>248</v>
      </c>
      <c r="G3205" s="5" t="s">
        <v>6663</v>
      </c>
      <c r="H3205" s="6" t="s">
        <v>6615</v>
      </c>
      <c r="I3205" s="7">
        <f>6637.19</f>
        <v>6637.19</v>
      </c>
      <c r="J3205" s="5" t="s">
        <v>262</v>
      </c>
      <c r="K3205" s="8">
        <f>28665217</f>
        <v>28665217</v>
      </c>
      <c r="L3205" s="6" t="s">
        <v>6664</v>
      </c>
      <c r="M3205" s="5" t="s">
        <v>267</v>
      </c>
      <c r="N3205" s="5" t="s">
        <v>238</v>
      </c>
      <c r="Q3205" s="5" t="s">
        <v>238</v>
      </c>
      <c r="R3205" s="5" t="s">
        <v>238</v>
      </c>
      <c r="S3205" s="5" t="s">
        <v>238</v>
      </c>
      <c r="V3205" s="5" t="s">
        <v>2587</v>
      </c>
      <c r="W3205" s="6" t="s">
        <v>238</v>
      </c>
      <c r="X3205" s="6" t="s">
        <v>238</v>
      </c>
      <c r="Y3205" s="5" t="s">
        <v>238</v>
      </c>
      <c r="Z3205" s="6" t="s">
        <v>238</v>
      </c>
      <c r="AA3205" s="6" t="s">
        <v>6664</v>
      </c>
      <c r="AB3205" s="5" t="s">
        <v>6554</v>
      </c>
      <c r="AC3205" s="5" t="s">
        <v>244</v>
      </c>
      <c r="AD3205" s="5" t="s">
        <v>238</v>
      </c>
      <c r="AJ3205" s="5" t="s">
        <v>238</v>
      </c>
      <c r="AK3205" s="5" t="s">
        <v>238</v>
      </c>
      <c r="AL3205" s="5" t="s">
        <v>238</v>
      </c>
      <c r="AM3205" s="6" t="s">
        <v>238</v>
      </c>
      <c r="AN3205" s="6" t="s">
        <v>238</v>
      </c>
      <c r="AO3205" s="6" t="s">
        <v>238</v>
      </c>
      <c r="AR3205" s="5" t="s">
        <v>488</v>
      </c>
      <c r="AS3205" s="5" t="s">
        <v>488</v>
      </c>
      <c r="AT3205" s="5" t="s">
        <v>246</v>
      </c>
      <c r="AU3205" s="5" t="s">
        <v>489</v>
      </c>
      <c r="AV3205" s="5" t="s">
        <v>247</v>
      </c>
      <c r="AW3205" s="5" t="s">
        <v>238</v>
      </c>
      <c r="AX3205" s="5" t="s">
        <v>249</v>
      </c>
      <c r="AY3205" s="5" t="s">
        <v>490</v>
      </c>
      <c r="BA3205" s="5" t="s">
        <v>238</v>
      </c>
      <c r="BC3205" s="5" t="s">
        <v>6518</v>
      </c>
      <c r="BD3205" s="6" t="s">
        <v>6665</v>
      </c>
      <c r="BE3205" s="5" t="s">
        <v>6528</v>
      </c>
      <c r="BF3205" s="5" t="s">
        <v>6529</v>
      </c>
      <c r="BG3205" s="5" t="s">
        <v>238</v>
      </c>
      <c r="BH3205" s="7">
        <f>0</f>
        <v>0</v>
      </c>
      <c r="BI3205" s="8">
        <f>125300</f>
        <v>125300</v>
      </c>
      <c r="BJ3205" s="5" t="s">
        <v>253</v>
      </c>
      <c r="BK3205" s="5" t="s">
        <v>254</v>
      </c>
      <c r="BL3205" s="5" t="s">
        <v>6530</v>
      </c>
      <c r="BM3205" s="5" t="s">
        <v>6531</v>
      </c>
      <c r="BN3205" s="5" t="s">
        <v>6540</v>
      </c>
      <c r="BO3205" s="5" t="s">
        <v>238</v>
      </c>
      <c r="BP3205" s="5" t="s">
        <v>253</v>
      </c>
      <c r="BQ3205" s="5" t="s">
        <v>6532</v>
      </c>
      <c r="BR3205" s="5" t="s">
        <v>6532</v>
      </c>
      <c r="BT3205" s="6" t="s">
        <v>6666</v>
      </c>
      <c r="BU3205" s="5" t="s">
        <v>253</v>
      </c>
      <c r="BV3205" s="5" t="s">
        <v>238</v>
      </c>
      <c r="BW3205" s="5" t="s">
        <v>238</v>
      </c>
      <c r="BX3205" s="5" t="s">
        <v>254</v>
      </c>
      <c r="BY3205" s="5" t="s">
        <v>238</v>
      </c>
      <c r="BZ3205" s="5" t="s">
        <v>238</v>
      </c>
      <c r="CD3205" s="5" t="s">
        <v>238</v>
      </c>
      <c r="CE3205" s="5" t="s">
        <v>238</v>
      </c>
      <c r="CF3205" s="5" t="s">
        <v>261</v>
      </c>
      <c r="CH3205" s="5" t="s">
        <v>238</v>
      </c>
      <c r="CI3205" s="6" t="s">
        <v>257</v>
      </c>
      <c r="CJ3205" s="5" t="s">
        <v>495</v>
      </c>
      <c r="CK3205" s="5" t="s">
        <v>6520</v>
      </c>
      <c r="CL3205" s="5" t="s">
        <v>496</v>
      </c>
      <c r="CM3205" s="5" t="s">
        <v>238</v>
      </c>
      <c r="CN3205" s="5">
        <v>0</v>
      </c>
      <c r="CO3205" s="5" t="s">
        <v>238</v>
      </c>
      <c r="CP3205" s="5" t="s">
        <v>238</v>
      </c>
      <c r="CQ3205" s="5" t="s">
        <v>238</v>
      </c>
      <c r="CR3205" s="5" t="s">
        <v>261</v>
      </c>
      <c r="CS3205" s="5" t="s">
        <v>238</v>
      </c>
      <c r="CT3205" s="7">
        <f>4319</f>
        <v>4319</v>
      </c>
      <c r="CU3205" s="8">
        <f>28665217</f>
        <v>28665217</v>
      </c>
      <c r="CV3205" s="8">
        <f>0</f>
        <v>0</v>
      </c>
      <c r="CW3205" s="8">
        <f>0</f>
        <v>0</v>
      </c>
      <c r="CX3205" s="8">
        <f>28665217</f>
        <v>28665217</v>
      </c>
      <c r="CY3205" s="8">
        <f>28665217</f>
        <v>28665217</v>
      </c>
      <c r="CZ3205" s="8" t="s">
        <v>238</v>
      </c>
      <c r="DA3205" s="5" t="s">
        <v>238</v>
      </c>
      <c r="DB3205" s="5" t="s">
        <v>238</v>
      </c>
      <c r="DD3205" s="5" t="s">
        <v>238</v>
      </c>
      <c r="DE3205" s="8">
        <f>0</f>
        <v>0</v>
      </c>
      <c r="DF3205" s="6" t="s">
        <v>238</v>
      </c>
      <c r="DG3205" s="5" t="s">
        <v>238</v>
      </c>
      <c r="DH3205" s="5" t="s">
        <v>238</v>
      </c>
      <c r="DI3205" s="5" t="s">
        <v>238</v>
      </c>
      <c r="DJ3205" s="5" t="s">
        <v>238</v>
      </c>
      <c r="DK3205" s="5" t="s">
        <v>238</v>
      </c>
      <c r="DL3205" s="5" t="s">
        <v>238</v>
      </c>
      <c r="DM3205" s="8" t="s">
        <v>238</v>
      </c>
      <c r="DN3205" s="5" t="s">
        <v>238</v>
      </c>
      <c r="DO3205" s="5" t="s">
        <v>244</v>
      </c>
      <c r="DP3205" s="5" t="s">
        <v>490</v>
      </c>
      <c r="DQ3205" s="5" t="s">
        <v>490</v>
      </c>
      <c r="DR3205" s="5" t="s">
        <v>238</v>
      </c>
      <c r="DS3205" s="5" t="s">
        <v>238</v>
      </c>
      <c r="GL3205" s="5" t="s">
        <v>6667</v>
      </c>
      <c r="HP3205" s="5" t="s">
        <v>238</v>
      </c>
      <c r="HQ3205" s="5" t="s">
        <v>238</v>
      </c>
      <c r="HR3205" s="5" t="s">
        <v>238</v>
      </c>
      <c r="HS3205" s="5" t="s">
        <v>238</v>
      </c>
      <c r="HT3205" s="5" t="s">
        <v>238</v>
      </c>
      <c r="HU3205" s="5" t="s">
        <v>238</v>
      </c>
      <c r="HV3205" s="5" t="s">
        <v>238</v>
      </c>
      <c r="HW3205" s="5" t="s">
        <v>238</v>
      </c>
      <c r="HX3205" s="5" t="s">
        <v>238</v>
      </c>
      <c r="HY3205" s="5" t="s">
        <v>238</v>
      </c>
      <c r="HZ3205" s="5" t="s">
        <v>238</v>
      </c>
      <c r="IA3205" s="5" t="s">
        <v>238</v>
      </c>
      <c r="IB3205" s="5" t="s">
        <v>238</v>
      </c>
      <c r="IC3205" s="5" t="s">
        <v>238</v>
      </c>
      <c r="ID3205" s="5" t="s">
        <v>238</v>
      </c>
    </row>
    <row r="3206" spans="1:238" x14ac:dyDescent="0.4">
      <c r="A3206" s="5">
        <v>8570</v>
      </c>
      <c r="B3206" s="5">
        <v>1</v>
      </c>
      <c r="C3206" s="5">
        <v>4</v>
      </c>
      <c r="D3206" s="5" t="s">
        <v>2037</v>
      </c>
      <c r="E3206" s="5" t="s">
        <v>271</v>
      </c>
      <c r="F3206" s="5" t="s">
        <v>248</v>
      </c>
      <c r="G3206" s="5" t="s">
        <v>6772</v>
      </c>
      <c r="H3206" s="6" t="s">
        <v>6773</v>
      </c>
      <c r="I3206" s="7">
        <f>621.7</f>
        <v>621.70000000000005</v>
      </c>
      <c r="J3206" s="5" t="s">
        <v>262</v>
      </c>
      <c r="K3206" s="8">
        <f>1234526</f>
        <v>1234526</v>
      </c>
      <c r="L3206" s="6" t="s">
        <v>6553</v>
      </c>
      <c r="M3206" s="5" t="s">
        <v>267</v>
      </c>
      <c r="N3206" s="5" t="s">
        <v>238</v>
      </c>
      <c r="Q3206" s="5" t="s">
        <v>238</v>
      </c>
      <c r="R3206" s="5" t="s">
        <v>238</v>
      </c>
      <c r="S3206" s="5" t="s">
        <v>238</v>
      </c>
      <c r="V3206" s="5" t="s">
        <v>2587</v>
      </c>
      <c r="W3206" s="6" t="s">
        <v>238</v>
      </c>
      <c r="X3206" s="6" t="s">
        <v>238</v>
      </c>
      <c r="Y3206" s="5" t="s">
        <v>238</v>
      </c>
      <c r="Z3206" s="6" t="s">
        <v>238</v>
      </c>
      <c r="AA3206" s="6" t="s">
        <v>6553</v>
      </c>
      <c r="AB3206" s="5" t="s">
        <v>6554</v>
      </c>
      <c r="AC3206" s="5" t="s">
        <v>244</v>
      </c>
      <c r="AD3206" s="5" t="s">
        <v>238</v>
      </c>
      <c r="AJ3206" s="5" t="s">
        <v>238</v>
      </c>
      <c r="AK3206" s="5" t="s">
        <v>238</v>
      </c>
      <c r="AL3206" s="5" t="s">
        <v>238</v>
      </c>
      <c r="AM3206" s="6" t="s">
        <v>238</v>
      </c>
      <c r="AN3206" s="6" t="s">
        <v>238</v>
      </c>
      <c r="AO3206" s="6" t="s">
        <v>238</v>
      </c>
      <c r="AR3206" s="5" t="s">
        <v>488</v>
      </c>
      <c r="AS3206" s="5" t="s">
        <v>488</v>
      </c>
      <c r="AT3206" s="5" t="s">
        <v>246</v>
      </c>
      <c r="AU3206" s="5" t="s">
        <v>489</v>
      </c>
      <c r="AV3206" s="5" t="s">
        <v>247</v>
      </c>
      <c r="AW3206" s="5" t="s">
        <v>238</v>
      </c>
      <c r="AX3206" s="5" t="s">
        <v>249</v>
      </c>
      <c r="AY3206" s="5" t="s">
        <v>490</v>
      </c>
      <c r="BA3206" s="5" t="s">
        <v>238</v>
      </c>
      <c r="BC3206" s="5" t="s">
        <v>6518</v>
      </c>
      <c r="BD3206" s="6" t="s">
        <v>6556</v>
      </c>
      <c r="BE3206" s="5" t="s">
        <v>6528</v>
      </c>
      <c r="BF3206" s="5" t="s">
        <v>6529</v>
      </c>
      <c r="BG3206" s="5" t="s">
        <v>238</v>
      </c>
      <c r="BH3206" s="7">
        <f>0</f>
        <v>0</v>
      </c>
      <c r="BI3206" s="8">
        <f>146000</f>
        <v>146000</v>
      </c>
      <c r="BJ3206" s="5" t="s">
        <v>253</v>
      </c>
      <c r="BK3206" s="5" t="s">
        <v>254</v>
      </c>
      <c r="BL3206" s="5" t="s">
        <v>6530</v>
      </c>
      <c r="BM3206" s="5" t="s">
        <v>6531</v>
      </c>
      <c r="BN3206" s="5" t="s">
        <v>6540</v>
      </c>
      <c r="BO3206" s="5" t="s">
        <v>238</v>
      </c>
      <c r="BP3206" s="5" t="s">
        <v>253</v>
      </c>
      <c r="BQ3206" s="5" t="s">
        <v>6532</v>
      </c>
      <c r="BR3206" s="5" t="s">
        <v>6532</v>
      </c>
      <c r="BT3206" s="6" t="s">
        <v>6774</v>
      </c>
      <c r="BU3206" s="5" t="s">
        <v>253</v>
      </c>
      <c r="BV3206" s="5" t="s">
        <v>238</v>
      </c>
      <c r="BW3206" s="5" t="s">
        <v>238</v>
      </c>
      <c r="BX3206" s="5" t="s">
        <v>254</v>
      </c>
      <c r="BY3206" s="5" t="s">
        <v>238</v>
      </c>
      <c r="BZ3206" s="5" t="s">
        <v>238</v>
      </c>
      <c r="CD3206" s="5" t="s">
        <v>238</v>
      </c>
      <c r="CE3206" s="5" t="s">
        <v>238</v>
      </c>
      <c r="CF3206" s="5" t="s">
        <v>261</v>
      </c>
      <c r="CH3206" s="5" t="s">
        <v>238</v>
      </c>
      <c r="CI3206" s="6" t="s">
        <v>257</v>
      </c>
      <c r="CJ3206" s="5" t="s">
        <v>495</v>
      </c>
      <c r="CK3206" s="5" t="s">
        <v>6520</v>
      </c>
      <c r="CL3206" s="5" t="s">
        <v>496</v>
      </c>
      <c r="CM3206" s="5" t="s">
        <v>238</v>
      </c>
      <c r="CN3206" s="5">
        <v>0</v>
      </c>
      <c r="CO3206" s="5" t="s">
        <v>238</v>
      </c>
      <c r="CP3206" s="5" t="s">
        <v>238</v>
      </c>
      <c r="CQ3206" s="5" t="s">
        <v>238</v>
      </c>
      <c r="CR3206" s="5" t="s">
        <v>261</v>
      </c>
      <c r="CS3206" s="5" t="s">
        <v>238</v>
      </c>
      <c r="CT3206" s="7">
        <f>1986</f>
        <v>1986</v>
      </c>
      <c r="CU3206" s="8">
        <f>1234526</f>
        <v>1234526</v>
      </c>
      <c r="CV3206" s="8">
        <f>0</f>
        <v>0</v>
      </c>
      <c r="CW3206" s="8">
        <f>0</f>
        <v>0</v>
      </c>
      <c r="CX3206" s="8">
        <f>1234526</f>
        <v>1234526</v>
      </c>
      <c r="CY3206" s="8">
        <f>1234526</f>
        <v>1234526</v>
      </c>
      <c r="CZ3206" s="8" t="s">
        <v>238</v>
      </c>
      <c r="DA3206" s="5" t="s">
        <v>238</v>
      </c>
      <c r="DB3206" s="5" t="s">
        <v>238</v>
      </c>
      <c r="DD3206" s="5" t="s">
        <v>238</v>
      </c>
      <c r="DE3206" s="8">
        <f>0</f>
        <v>0</v>
      </c>
      <c r="DF3206" s="6" t="s">
        <v>238</v>
      </c>
      <c r="DG3206" s="5" t="s">
        <v>238</v>
      </c>
      <c r="DH3206" s="5" t="s">
        <v>238</v>
      </c>
      <c r="DI3206" s="5" t="s">
        <v>238</v>
      </c>
      <c r="DJ3206" s="5" t="s">
        <v>238</v>
      </c>
      <c r="DK3206" s="5" t="s">
        <v>238</v>
      </c>
      <c r="DL3206" s="5" t="s">
        <v>238</v>
      </c>
      <c r="DM3206" s="8" t="s">
        <v>238</v>
      </c>
      <c r="DN3206" s="5" t="s">
        <v>238</v>
      </c>
      <c r="DO3206" s="5" t="s">
        <v>244</v>
      </c>
      <c r="DP3206" s="5" t="s">
        <v>490</v>
      </c>
      <c r="DQ3206" s="5" t="s">
        <v>490</v>
      </c>
      <c r="DR3206" s="5" t="s">
        <v>238</v>
      </c>
      <c r="DS3206" s="5" t="s">
        <v>238</v>
      </c>
      <c r="GL3206" s="5" t="s">
        <v>6775</v>
      </c>
      <c r="HP3206" s="5" t="s">
        <v>238</v>
      </c>
      <c r="HQ3206" s="5" t="s">
        <v>238</v>
      </c>
      <c r="HR3206" s="5" t="s">
        <v>238</v>
      </c>
      <c r="HS3206" s="5" t="s">
        <v>238</v>
      </c>
      <c r="HT3206" s="5" t="s">
        <v>238</v>
      </c>
      <c r="HU3206" s="5" t="s">
        <v>238</v>
      </c>
      <c r="HV3206" s="5" t="s">
        <v>238</v>
      </c>
      <c r="HW3206" s="5" t="s">
        <v>238</v>
      </c>
      <c r="HX3206" s="5" t="s">
        <v>238</v>
      </c>
      <c r="HY3206" s="5" t="s">
        <v>238</v>
      </c>
      <c r="HZ3206" s="5" t="s">
        <v>238</v>
      </c>
      <c r="IA3206" s="5" t="s">
        <v>238</v>
      </c>
      <c r="IB3206" s="5" t="s">
        <v>238</v>
      </c>
      <c r="IC3206" s="5" t="s">
        <v>238</v>
      </c>
      <c r="ID3206" s="5" t="s">
        <v>238</v>
      </c>
    </row>
    <row r="3207" spans="1:238" x14ac:dyDescent="0.4">
      <c r="A3207" s="5">
        <v>8571</v>
      </c>
      <c r="B3207" s="5">
        <v>1</v>
      </c>
      <c r="C3207" s="5">
        <v>2</v>
      </c>
      <c r="D3207" s="5" t="s">
        <v>2037</v>
      </c>
      <c r="E3207" s="5" t="s">
        <v>271</v>
      </c>
      <c r="F3207" s="5" t="s">
        <v>248</v>
      </c>
      <c r="G3207" s="5" t="s">
        <v>6622</v>
      </c>
      <c r="I3207" s="7">
        <f>10.85</f>
        <v>10.85</v>
      </c>
      <c r="J3207" s="5" t="s">
        <v>262</v>
      </c>
      <c r="K3207" s="8">
        <f>37975</f>
        <v>37975</v>
      </c>
      <c r="L3207" s="6" t="s">
        <v>6623</v>
      </c>
      <c r="M3207" s="5" t="s">
        <v>267</v>
      </c>
      <c r="N3207" s="5" t="s">
        <v>238</v>
      </c>
      <c r="Q3207" s="5" t="s">
        <v>238</v>
      </c>
      <c r="R3207" s="5" t="s">
        <v>238</v>
      </c>
      <c r="S3207" s="5" t="s">
        <v>238</v>
      </c>
      <c r="V3207" s="5" t="s">
        <v>2587</v>
      </c>
      <c r="W3207" s="6" t="s">
        <v>238</v>
      </c>
      <c r="X3207" s="6" t="s">
        <v>238</v>
      </c>
      <c r="Y3207" s="5" t="s">
        <v>238</v>
      </c>
      <c r="Z3207" s="6" t="s">
        <v>238</v>
      </c>
      <c r="AA3207" s="6" t="s">
        <v>6623</v>
      </c>
      <c r="AB3207" s="5" t="s">
        <v>6554</v>
      </c>
      <c r="AC3207" s="5" t="s">
        <v>244</v>
      </c>
      <c r="AD3207" s="5" t="s">
        <v>238</v>
      </c>
      <c r="AJ3207" s="5" t="s">
        <v>238</v>
      </c>
      <c r="AK3207" s="5" t="s">
        <v>238</v>
      </c>
      <c r="AL3207" s="5" t="s">
        <v>238</v>
      </c>
      <c r="AM3207" s="6" t="s">
        <v>238</v>
      </c>
      <c r="AN3207" s="6" t="s">
        <v>238</v>
      </c>
      <c r="AO3207" s="6" t="s">
        <v>238</v>
      </c>
      <c r="AR3207" s="5" t="s">
        <v>488</v>
      </c>
      <c r="AS3207" s="5" t="s">
        <v>488</v>
      </c>
      <c r="AT3207" s="5" t="s">
        <v>246</v>
      </c>
      <c r="AU3207" s="5" t="s">
        <v>489</v>
      </c>
      <c r="AV3207" s="5" t="s">
        <v>247</v>
      </c>
      <c r="AW3207" s="5" t="s">
        <v>238</v>
      </c>
      <c r="AX3207" s="5" t="s">
        <v>249</v>
      </c>
      <c r="AY3207" s="5" t="s">
        <v>490</v>
      </c>
      <c r="BA3207" s="5" t="s">
        <v>238</v>
      </c>
      <c r="BC3207" s="5" t="s">
        <v>6518</v>
      </c>
      <c r="BD3207" s="6" t="s">
        <v>6624</v>
      </c>
      <c r="BE3207" s="5" t="s">
        <v>6528</v>
      </c>
      <c r="BF3207" s="5" t="s">
        <v>6529</v>
      </c>
      <c r="BG3207" s="5" t="s">
        <v>238</v>
      </c>
      <c r="BH3207" s="7">
        <f>0</f>
        <v>0</v>
      </c>
      <c r="BI3207" s="8">
        <f>37975</f>
        <v>37975</v>
      </c>
      <c r="BJ3207" s="5" t="s">
        <v>253</v>
      </c>
      <c r="BK3207" s="5" t="s">
        <v>254</v>
      </c>
      <c r="BL3207" s="5" t="s">
        <v>6530</v>
      </c>
      <c r="BM3207" s="5" t="s">
        <v>6531</v>
      </c>
      <c r="BN3207" s="5" t="s">
        <v>6540</v>
      </c>
      <c r="BO3207" s="5" t="s">
        <v>238</v>
      </c>
      <c r="BP3207" s="5" t="s">
        <v>253</v>
      </c>
      <c r="BQ3207" s="5" t="s">
        <v>6532</v>
      </c>
      <c r="BR3207" s="5" t="s">
        <v>6532</v>
      </c>
      <c r="BT3207" s="6" t="s">
        <v>6625</v>
      </c>
      <c r="BU3207" s="5" t="s">
        <v>253</v>
      </c>
      <c r="BV3207" s="5" t="s">
        <v>238</v>
      </c>
      <c r="BW3207" s="5" t="s">
        <v>238</v>
      </c>
      <c r="BX3207" s="5" t="s">
        <v>254</v>
      </c>
      <c r="BY3207" s="5" t="s">
        <v>238</v>
      </c>
      <c r="BZ3207" s="5" t="s">
        <v>238</v>
      </c>
      <c r="CD3207" s="5" t="s">
        <v>238</v>
      </c>
      <c r="CE3207" s="5" t="s">
        <v>238</v>
      </c>
      <c r="CF3207" s="5" t="s">
        <v>261</v>
      </c>
      <c r="CH3207" s="5" t="s">
        <v>238</v>
      </c>
      <c r="CI3207" s="6" t="s">
        <v>257</v>
      </c>
      <c r="CJ3207" s="5" t="s">
        <v>495</v>
      </c>
      <c r="CK3207" s="5" t="s">
        <v>6520</v>
      </c>
      <c r="CL3207" s="5" t="s">
        <v>496</v>
      </c>
      <c r="CM3207" s="5" t="s">
        <v>238</v>
      </c>
      <c r="CN3207" s="5">
        <v>0</v>
      </c>
      <c r="CO3207" s="5" t="s">
        <v>238</v>
      </c>
      <c r="CP3207" s="5" t="s">
        <v>238</v>
      </c>
      <c r="CQ3207" s="5" t="s">
        <v>238</v>
      </c>
      <c r="CR3207" s="5" t="s">
        <v>261</v>
      </c>
      <c r="CS3207" s="5" t="s">
        <v>238</v>
      </c>
      <c r="CT3207" s="7">
        <f>3500</f>
        <v>3500</v>
      </c>
      <c r="CU3207" s="8">
        <f>37975</f>
        <v>37975</v>
      </c>
      <c r="CV3207" s="8">
        <f>0</f>
        <v>0</v>
      </c>
      <c r="CW3207" s="8">
        <f>0</f>
        <v>0</v>
      </c>
      <c r="CX3207" s="8">
        <f>37975</f>
        <v>37975</v>
      </c>
      <c r="CY3207" s="8">
        <f>37975</f>
        <v>37975</v>
      </c>
      <c r="CZ3207" s="8" t="s">
        <v>238</v>
      </c>
      <c r="DA3207" s="5" t="s">
        <v>238</v>
      </c>
      <c r="DB3207" s="5" t="s">
        <v>238</v>
      </c>
      <c r="DD3207" s="5" t="s">
        <v>238</v>
      </c>
      <c r="DE3207" s="8">
        <f>0</f>
        <v>0</v>
      </c>
      <c r="DF3207" s="6" t="s">
        <v>238</v>
      </c>
      <c r="DG3207" s="5" t="s">
        <v>238</v>
      </c>
      <c r="DH3207" s="5" t="s">
        <v>238</v>
      </c>
      <c r="DI3207" s="5" t="s">
        <v>238</v>
      </c>
      <c r="DJ3207" s="5" t="s">
        <v>238</v>
      </c>
      <c r="DK3207" s="5" t="s">
        <v>238</v>
      </c>
      <c r="DL3207" s="5" t="s">
        <v>238</v>
      </c>
      <c r="DM3207" s="8" t="s">
        <v>238</v>
      </c>
      <c r="DN3207" s="5" t="s">
        <v>238</v>
      </c>
      <c r="DO3207" s="5" t="s">
        <v>244</v>
      </c>
      <c r="DP3207" s="5" t="s">
        <v>490</v>
      </c>
      <c r="DQ3207" s="5" t="s">
        <v>490</v>
      </c>
      <c r="DR3207" s="5" t="s">
        <v>238</v>
      </c>
      <c r="DS3207" s="5" t="s">
        <v>238</v>
      </c>
      <c r="GL3207" s="5" t="s">
        <v>6626</v>
      </c>
      <c r="HP3207" s="5" t="s">
        <v>238</v>
      </c>
      <c r="HQ3207" s="5" t="s">
        <v>238</v>
      </c>
      <c r="HR3207" s="5" t="s">
        <v>238</v>
      </c>
      <c r="HS3207" s="5" t="s">
        <v>238</v>
      </c>
      <c r="HT3207" s="5" t="s">
        <v>238</v>
      </c>
      <c r="HU3207" s="5" t="s">
        <v>238</v>
      </c>
      <c r="HV3207" s="5" t="s">
        <v>238</v>
      </c>
      <c r="HW3207" s="5" t="s">
        <v>238</v>
      </c>
      <c r="HX3207" s="5" t="s">
        <v>238</v>
      </c>
      <c r="HY3207" s="5" t="s">
        <v>238</v>
      </c>
      <c r="HZ3207" s="5" t="s">
        <v>238</v>
      </c>
      <c r="IA3207" s="5" t="s">
        <v>238</v>
      </c>
      <c r="IB3207" s="5" t="s">
        <v>238</v>
      </c>
      <c r="IC3207" s="5" t="s">
        <v>238</v>
      </c>
      <c r="ID3207" s="5" t="s">
        <v>238</v>
      </c>
    </row>
    <row r="3208" spans="1:238" x14ac:dyDescent="0.4">
      <c r="A3208" s="5">
        <v>8572</v>
      </c>
      <c r="B3208" s="5">
        <v>1</v>
      </c>
      <c r="C3208" s="5">
        <v>4</v>
      </c>
      <c r="D3208" s="5" t="s">
        <v>238</v>
      </c>
      <c r="E3208" s="5" t="s">
        <v>271</v>
      </c>
      <c r="F3208" s="5" t="s">
        <v>248</v>
      </c>
      <c r="G3208" s="5" t="s">
        <v>6552</v>
      </c>
      <c r="H3208" s="6" t="s">
        <v>6555</v>
      </c>
      <c r="I3208" s="7">
        <f>422.65</f>
        <v>422.65</v>
      </c>
      <c r="J3208" s="5" t="s">
        <v>262</v>
      </c>
      <c r="K3208" s="8">
        <f>845300</f>
        <v>845300</v>
      </c>
      <c r="L3208" s="6" t="s">
        <v>6553</v>
      </c>
      <c r="M3208" s="5" t="s">
        <v>267</v>
      </c>
      <c r="N3208" s="5" t="s">
        <v>238</v>
      </c>
      <c r="Q3208" s="5" t="s">
        <v>238</v>
      </c>
      <c r="R3208" s="5" t="s">
        <v>238</v>
      </c>
      <c r="S3208" s="5" t="s">
        <v>238</v>
      </c>
      <c r="V3208" s="5" t="s">
        <v>2587</v>
      </c>
      <c r="W3208" s="6" t="s">
        <v>238</v>
      </c>
      <c r="X3208" s="6" t="s">
        <v>238</v>
      </c>
      <c r="Y3208" s="5" t="s">
        <v>238</v>
      </c>
      <c r="Z3208" s="6" t="s">
        <v>238</v>
      </c>
      <c r="AA3208" s="6" t="s">
        <v>6553</v>
      </c>
      <c r="AB3208" s="5" t="s">
        <v>6554</v>
      </c>
      <c r="AC3208" s="5" t="s">
        <v>244</v>
      </c>
      <c r="AD3208" s="5" t="s">
        <v>238</v>
      </c>
      <c r="AJ3208" s="5" t="s">
        <v>238</v>
      </c>
      <c r="AK3208" s="5" t="s">
        <v>238</v>
      </c>
      <c r="AL3208" s="5" t="s">
        <v>238</v>
      </c>
      <c r="AM3208" s="6" t="s">
        <v>238</v>
      </c>
      <c r="AN3208" s="6" t="s">
        <v>238</v>
      </c>
      <c r="AO3208" s="6" t="s">
        <v>238</v>
      </c>
      <c r="AR3208" s="5" t="s">
        <v>488</v>
      </c>
      <c r="AS3208" s="5" t="s">
        <v>488</v>
      </c>
      <c r="AT3208" s="5" t="s">
        <v>246</v>
      </c>
      <c r="AU3208" s="5" t="s">
        <v>489</v>
      </c>
      <c r="AV3208" s="5" t="s">
        <v>247</v>
      </c>
      <c r="AW3208" s="5" t="s">
        <v>238</v>
      </c>
      <c r="AX3208" s="5" t="s">
        <v>249</v>
      </c>
      <c r="AY3208" s="5" t="s">
        <v>490</v>
      </c>
      <c r="BA3208" s="5" t="s">
        <v>238</v>
      </c>
      <c r="BC3208" s="5" t="s">
        <v>6518</v>
      </c>
      <c r="BD3208" s="6" t="s">
        <v>6556</v>
      </c>
      <c r="BE3208" s="5" t="s">
        <v>6528</v>
      </c>
      <c r="BF3208" s="5" t="s">
        <v>6529</v>
      </c>
      <c r="BG3208" s="5" t="s">
        <v>238</v>
      </c>
      <c r="BH3208" s="7">
        <f>0</f>
        <v>0</v>
      </c>
      <c r="BI3208" s="8">
        <f>127360</f>
        <v>127360</v>
      </c>
      <c r="BJ3208" s="5" t="s">
        <v>253</v>
      </c>
      <c r="BK3208" s="5" t="s">
        <v>254</v>
      </c>
      <c r="BL3208" s="5" t="s">
        <v>6530</v>
      </c>
      <c r="BM3208" s="5" t="s">
        <v>6531</v>
      </c>
      <c r="BN3208" s="5" t="s">
        <v>6540</v>
      </c>
      <c r="BO3208" s="5" t="s">
        <v>238</v>
      </c>
      <c r="BP3208" s="5" t="s">
        <v>253</v>
      </c>
      <c r="BQ3208" s="5" t="s">
        <v>6532</v>
      </c>
      <c r="BR3208" s="5" t="s">
        <v>6532</v>
      </c>
      <c r="BT3208" s="6" t="s">
        <v>6557</v>
      </c>
      <c r="BU3208" s="5" t="s">
        <v>253</v>
      </c>
      <c r="BV3208" s="5" t="s">
        <v>238</v>
      </c>
      <c r="BW3208" s="5" t="s">
        <v>238</v>
      </c>
      <c r="BX3208" s="5" t="s">
        <v>254</v>
      </c>
      <c r="BY3208" s="5" t="s">
        <v>238</v>
      </c>
      <c r="BZ3208" s="5" t="s">
        <v>238</v>
      </c>
      <c r="CD3208" s="5" t="s">
        <v>238</v>
      </c>
      <c r="CE3208" s="5" t="s">
        <v>238</v>
      </c>
      <c r="CF3208" s="5" t="s">
        <v>261</v>
      </c>
      <c r="CH3208" s="5" t="s">
        <v>238</v>
      </c>
      <c r="CI3208" s="6" t="s">
        <v>257</v>
      </c>
      <c r="CJ3208" s="5" t="s">
        <v>495</v>
      </c>
      <c r="CK3208" s="5" t="s">
        <v>6520</v>
      </c>
      <c r="CL3208" s="5" t="s">
        <v>496</v>
      </c>
      <c r="CM3208" s="5" t="s">
        <v>238</v>
      </c>
      <c r="CN3208" s="5">
        <v>0</v>
      </c>
      <c r="CO3208" s="5" t="s">
        <v>238</v>
      </c>
      <c r="CP3208" s="5" t="s">
        <v>238</v>
      </c>
      <c r="CQ3208" s="5" t="s">
        <v>238</v>
      </c>
      <c r="CR3208" s="5" t="s">
        <v>261</v>
      </c>
      <c r="CS3208" s="5" t="s">
        <v>238</v>
      </c>
      <c r="CT3208" s="7">
        <f>2000</f>
        <v>2000</v>
      </c>
      <c r="CU3208" s="8">
        <f>845300</f>
        <v>845300</v>
      </c>
      <c r="CV3208" s="8">
        <f>0</f>
        <v>0</v>
      </c>
      <c r="CW3208" s="8">
        <f>0</f>
        <v>0</v>
      </c>
      <c r="CX3208" s="8">
        <f>845300</f>
        <v>845300</v>
      </c>
      <c r="CY3208" s="8">
        <f>845300</f>
        <v>845300</v>
      </c>
      <c r="CZ3208" s="8" t="s">
        <v>238</v>
      </c>
      <c r="DA3208" s="5" t="s">
        <v>238</v>
      </c>
      <c r="DB3208" s="5" t="s">
        <v>238</v>
      </c>
      <c r="DD3208" s="5" t="s">
        <v>238</v>
      </c>
      <c r="DE3208" s="8">
        <f>0</f>
        <v>0</v>
      </c>
      <c r="DF3208" s="6" t="s">
        <v>238</v>
      </c>
      <c r="DG3208" s="5" t="s">
        <v>238</v>
      </c>
      <c r="DH3208" s="5" t="s">
        <v>238</v>
      </c>
      <c r="DI3208" s="5" t="s">
        <v>238</v>
      </c>
      <c r="DJ3208" s="5" t="s">
        <v>238</v>
      </c>
      <c r="DK3208" s="5" t="s">
        <v>238</v>
      </c>
      <c r="DL3208" s="5" t="s">
        <v>238</v>
      </c>
      <c r="DM3208" s="8" t="s">
        <v>238</v>
      </c>
      <c r="DN3208" s="5" t="s">
        <v>238</v>
      </c>
      <c r="DO3208" s="5" t="s">
        <v>244</v>
      </c>
      <c r="DP3208" s="5" t="s">
        <v>490</v>
      </c>
      <c r="DQ3208" s="5" t="s">
        <v>490</v>
      </c>
      <c r="DR3208" s="5" t="s">
        <v>238</v>
      </c>
      <c r="DS3208" s="5" t="s">
        <v>238</v>
      </c>
      <c r="GL3208" s="5" t="s">
        <v>6558</v>
      </c>
      <c r="HP3208" s="5" t="s">
        <v>238</v>
      </c>
      <c r="HQ3208" s="5" t="s">
        <v>238</v>
      </c>
      <c r="HR3208" s="5" t="s">
        <v>238</v>
      </c>
      <c r="HS3208" s="5" t="s">
        <v>238</v>
      </c>
      <c r="HT3208" s="5" t="s">
        <v>238</v>
      </c>
      <c r="HU3208" s="5" t="s">
        <v>238</v>
      </c>
      <c r="HV3208" s="5" t="s">
        <v>238</v>
      </c>
      <c r="HW3208" s="5" t="s">
        <v>238</v>
      </c>
      <c r="HX3208" s="5" t="s">
        <v>238</v>
      </c>
      <c r="HY3208" s="5" t="s">
        <v>238</v>
      </c>
      <c r="HZ3208" s="5" t="s">
        <v>238</v>
      </c>
      <c r="IA3208" s="5" t="s">
        <v>238</v>
      </c>
      <c r="IB3208" s="5" t="s">
        <v>238</v>
      </c>
      <c r="IC3208" s="5" t="s">
        <v>238</v>
      </c>
      <c r="ID3208" s="5" t="s">
        <v>238</v>
      </c>
    </row>
    <row r="3209" spans="1:238" x14ac:dyDescent="0.4">
      <c r="A3209" s="5">
        <v>8573</v>
      </c>
      <c r="B3209" s="5">
        <v>1</v>
      </c>
      <c r="C3209" s="5">
        <v>2</v>
      </c>
      <c r="D3209" s="5" t="s">
        <v>238</v>
      </c>
      <c r="E3209" s="5" t="s">
        <v>271</v>
      </c>
      <c r="F3209" s="5" t="s">
        <v>248</v>
      </c>
      <c r="G3209" s="5" t="s">
        <v>6893</v>
      </c>
      <c r="H3209" s="6" t="s">
        <v>6547</v>
      </c>
      <c r="I3209" s="7">
        <f>105.08</f>
        <v>105.08</v>
      </c>
      <c r="J3209" s="5" t="s">
        <v>262</v>
      </c>
      <c r="K3209" s="8">
        <f>1376548</f>
        <v>1376548</v>
      </c>
      <c r="L3209" s="6" t="s">
        <v>6894</v>
      </c>
      <c r="M3209" s="5" t="s">
        <v>267</v>
      </c>
      <c r="N3209" s="5" t="s">
        <v>238</v>
      </c>
      <c r="Q3209" s="5" t="s">
        <v>238</v>
      </c>
      <c r="R3209" s="5" t="s">
        <v>238</v>
      </c>
      <c r="S3209" s="5" t="s">
        <v>238</v>
      </c>
      <c r="V3209" s="5" t="s">
        <v>2587</v>
      </c>
      <c r="W3209" s="6" t="s">
        <v>238</v>
      </c>
      <c r="X3209" s="6" t="s">
        <v>238</v>
      </c>
      <c r="Y3209" s="5" t="s">
        <v>238</v>
      </c>
      <c r="Z3209" s="6" t="s">
        <v>238</v>
      </c>
      <c r="AA3209" s="6" t="s">
        <v>6894</v>
      </c>
      <c r="AB3209" s="5" t="s">
        <v>6554</v>
      </c>
      <c r="AC3209" s="5" t="s">
        <v>244</v>
      </c>
      <c r="AD3209" s="5" t="s">
        <v>238</v>
      </c>
      <c r="AJ3209" s="5" t="s">
        <v>238</v>
      </c>
      <c r="AK3209" s="5" t="s">
        <v>238</v>
      </c>
      <c r="AL3209" s="5" t="s">
        <v>238</v>
      </c>
      <c r="AM3209" s="6" t="s">
        <v>238</v>
      </c>
      <c r="AN3209" s="6" t="s">
        <v>238</v>
      </c>
      <c r="AO3209" s="6" t="s">
        <v>238</v>
      </c>
      <c r="AR3209" s="5" t="s">
        <v>488</v>
      </c>
      <c r="AS3209" s="5" t="s">
        <v>488</v>
      </c>
      <c r="AT3209" s="5" t="s">
        <v>246</v>
      </c>
      <c r="AU3209" s="5" t="s">
        <v>489</v>
      </c>
      <c r="AV3209" s="5" t="s">
        <v>247</v>
      </c>
      <c r="AW3209" s="5" t="s">
        <v>238</v>
      </c>
      <c r="AX3209" s="5" t="s">
        <v>249</v>
      </c>
      <c r="AY3209" s="5" t="s">
        <v>490</v>
      </c>
      <c r="BA3209" s="5" t="s">
        <v>238</v>
      </c>
      <c r="BC3209" s="5" t="s">
        <v>6518</v>
      </c>
      <c r="BD3209" s="6" t="s">
        <v>6876</v>
      </c>
      <c r="BE3209" s="5" t="s">
        <v>6528</v>
      </c>
      <c r="BF3209" s="5" t="s">
        <v>6529</v>
      </c>
      <c r="BG3209" s="5" t="s">
        <v>238</v>
      </c>
      <c r="BH3209" s="7">
        <f>0</f>
        <v>0</v>
      </c>
      <c r="BI3209" s="8">
        <f>413000</f>
        <v>413000</v>
      </c>
      <c r="BJ3209" s="5" t="s">
        <v>253</v>
      </c>
      <c r="BK3209" s="5" t="s">
        <v>254</v>
      </c>
      <c r="BL3209" s="5" t="s">
        <v>6530</v>
      </c>
      <c r="BM3209" s="5" t="s">
        <v>6531</v>
      </c>
      <c r="BN3209" s="5" t="s">
        <v>6540</v>
      </c>
      <c r="BO3209" s="5" t="s">
        <v>238</v>
      </c>
      <c r="BP3209" s="5" t="s">
        <v>253</v>
      </c>
      <c r="BQ3209" s="5" t="s">
        <v>6532</v>
      </c>
      <c r="BR3209" s="5" t="s">
        <v>6532</v>
      </c>
      <c r="BT3209" s="6" t="s">
        <v>6895</v>
      </c>
      <c r="BU3209" s="5" t="s">
        <v>253</v>
      </c>
      <c r="BV3209" s="5" t="s">
        <v>238</v>
      </c>
      <c r="BW3209" s="5" t="s">
        <v>238</v>
      </c>
      <c r="BX3209" s="5" t="s">
        <v>254</v>
      </c>
      <c r="BY3209" s="5" t="s">
        <v>238</v>
      </c>
      <c r="BZ3209" s="5" t="s">
        <v>238</v>
      </c>
      <c r="CD3209" s="5" t="s">
        <v>238</v>
      </c>
      <c r="CE3209" s="5" t="s">
        <v>238</v>
      </c>
      <c r="CF3209" s="5" t="s">
        <v>261</v>
      </c>
      <c r="CH3209" s="5" t="s">
        <v>238</v>
      </c>
      <c r="CI3209" s="6" t="s">
        <v>257</v>
      </c>
      <c r="CJ3209" s="5" t="s">
        <v>495</v>
      </c>
      <c r="CK3209" s="5" t="s">
        <v>6520</v>
      </c>
      <c r="CL3209" s="5" t="s">
        <v>496</v>
      </c>
      <c r="CM3209" s="5" t="s">
        <v>238</v>
      </c>
      <c r="CN3209" s="5">
        <v>0</v>
      </c>
      <c r="CO3209" s="5" t="s">
        <v>238</v>
      </c>
      <c r="CP3209" s="5" t="s">
        <v>238</v>
      </c>
      <c r="CQ3209" s="5" t="s">
        <v>238</v>
      </c>
      <c r="CR3209" s="5" t="s">
        <v>261</v>
      </c>
      <c r="CS3209" s="5" t="s">
        <v>238</v>
      </c>
      <c r="CT3209" s="7">
        <f>13100</f>
        <v>13100</v>
      </c>
      <c r="CU3209" s="8">
        <f>1376548</f>
        <v>1376548</v>
      </c>
      <c r="CV3209" s="8">
        <f>0</f>
        <v>0</v>
      </c>
      <c r="CW3209" s="8">
        <f>0</f>
        <v>0</v>
      </c>
      <c r="CX3209" s="8">
        <f>1376548</f>
        <v>1376548</v>
      </c>
      <c r="CY3209" s="8">
        <f>1376548</f>
        <v>1376548</v>
      </c>
      <c r="CZ3209" s="8" t="s">
        <v>238</v>
      </c>
      <c r="DA3209" s="5" t="s">
        <v>238</v>
      </c>
      <c r="DB3209" s="5" t="s">
        <v>238</v>
      </c>
      <c r="DD3209" s="5" t="s">
        <v>238</v>
      </c>
      <c r="DE3209" s="8">
        <f>0</f>
        <v>0</v>
      </c>
      <c r="DF3209" s="6" t="s">
        <v>238</v>
      </c>
      <c r="DG3209" s="5" t="s">
        <v>238</v>
      </c>
      <c r="DH3209" s="5" t="s">
        <v>238</v>
      </c>
      <c r="DI3209" s="5" t="s">
        <v>238</v>
      </c>
      <c r="DJ3209" s="5" t="s">
        <v>238</v>
      </c>
      <c r="DK3209" s="5" t="s">
        <v>238</v>
      </c>
      <c r="DL3209" s="5" t="s">
        <v>238</v>
      </c>
      <c r="DM3209" s="8" t="s">
        <v>238</v>
      </c>
      <c r="DN3209" s="5" t="s">
        <v>238</v>
      </c>
      <c r="DO3209" s="5" t="s">
        <v>244</v>
      </c>
      <c r="DP3209" s="5" t="s">
        <v>490</v>
      </c>
      <c r="DQ3209" s="5" t="s">
        <v>490</v>
      </c>
      <c r="DR3209" s="5" t="s">
        <v>238</v>
      </c>
      <c r="DS3209" s="5" t="s">
        <v>238</v>
      </c>
      <c r="GL3209" s="5" t="s">
        <v>6896</v>
      </c>
      <c r="HP3209" s="5" t="s">
        <v>238</v>
      </c>
      <c r="HQ3209" s="5" t="s">
        <v>238</v>
      </c>
      <c r="HR3209" s="5" t="s">
        <v>238</v>
      </c>
      <c r="HS3209" s="5" t="s">
        <v>238</v>
      </c>
      <c r="HT3209" s="5" t="s">
        <v>238</v>
      </c>
      <c r="HU3209" s="5" t="s">
        <v>238</v>
      </c>
      <c r="HV3209" s="5" t="s">
        <v>238</v>
      </c>
      <c r="HW3209" s="5" t="s">
        <v>238</v>
      </c>
      <c r="HX3209" s="5" t="s">
        <v>238</v>
      </c>
      <c r="HY3209" s="5" t="s">
        <v>238</v>
      </c>
      <c r="HZ3209" s="5" t="s">
        <v>238</v>
      </c>
      <c r="IA3209" s="5" t="s">
        <v>238</v>
      </c>
      <c r="IB3209" s="5" t="s">
        <v>238</v>
      </c>
      <c r="IC3209" s="5" t="s">
        <v>238</v>
      </c>
      <c r="ID3209" s="5" t="s">
        <v>238</v>
      </c>
    </row>
    <row r="3210" spans="1:238" x14ac:dyDescent="0.4">
      <c r="A3210" s="5">
        <v>8574</v>
      </c>
      <c r="B3210" s="5">
        <v>1</v>
      </c>
      <c r="C3210" s="5">
        <v>4</v>
      </c>
      <c r="D3210" s="5" t="s">
        <v>238</v>
      </c>
      <c r="E3210" s="5" t="s">
        <v>271</v>
      </c>
      <c r="F3210" s="5" t="s">
        <v>248</v>
      </c>
      <c r="G3210" s="5" t="s">
        <v>6922</v>
      </c>
      <c r="H3210" s="6" t="s">
        <v>6889</v>
      </c>
      <c r="I3210" s="7">
        <f>4258.01</f>
        <v>4258.01</v>
      </c>
      <c r="J3210" s="5" t="s">
        <v>262</v>
      </c>
      <c r="K3210" s="8">
        <f>7662573</f>
        <v>7662573</v>
      </c>
      <c r="L3210" s="6" t="s">
        <v>6923</v>
      </c>
      <c r="M3210" s="5" t="s">
        <v>267</v>
      </c>
      <c r="N3210" s="5" t="s">
        <v>238</v>
      </c>
      <c r="Q3210" s="5" t="s">
        <v>238</v>
      </c>
      <c r="R3210" s="5" t="s">
        <v>238</v>
      </c>
      <c r="S3210" s="5" t="s">
        <v>238</v>
      </c>
      <c r="V3210" s="5" t="s">
        <v>2587</v>
      </c>
      <c r="W3210" s="6" t="s">
        <v>238</v>
      </c>
      <c r="X3210" s="6" t="s">
        <v>238</v>
      </c>
      <c r="Y3210" s="5" t="s">
        <v>238</v>
      </c>
      <c r="Z3210" s="6" t="s">
        <v>238</v>
      </c>
      <c r="AA3210" s="6" t="s">
        <v>6923</v>
      </c>
      <c r="AB3210" s="5" t="s">
        <v>6554</v>
      </c>
      <c r="AC3210" s="5" t="s">
        <v>244</v>
      </c>
      <c r="AD3210" s="5" t="s">
        <v>238</v>
      </c>
      <c r="AJ3210" s="5" t="s">
        <v>238</v>
      </c>
      <c r="AK3210" s="5" t="s">
        <v>238</v>
      </c>
      <c r="AL3210" s="5" t="s">
        <v>238</v>
      </c>
      <c r="AM3210" s="6" t="s">
        <v>238</v>
      </c>
      <c r="AN3210" s="6" t="s">
        <v>238</v>
      </c>
      <c r="AO3210" s="6" t="s">
        <v>238</v>
      </c>
      <c r="AR3210" s="5" t="s">
        <v>488</v>
      </c>
      <c r="AS3210" s="5" t="s">
        <v>488</v>
      </c>
      <c r="AT3210" s="5" t="s">
        <v>246</v>
      </c>
      <c r="AU3210" s="5" t="s">
        <v>489</v>
      </c>
      <c r="AV3210" s="5" t="s">
        <v>247</v>
      </c>
      <c r="AW3210" s="5" t="s">
        <v>238</v>
      </c>
      <c r="AX3210" s="5" t="s">
        <v>249</v>
      </c>
      <c r="AY3210" s="5" t="s">
        <v>490</v>
      </c>
      <c r="BA3210" s="5" t="s">
        <v>238</v>
      </c>
      <c r="BC3210" s="5" t="s">
        <v>6518</v>
      </c>
      <c r="BD3210" s="6" t="s">
        <v>6743</v>
      </c>
      <c r="BE3210" s="5" t="s">
        <v>6528</v>
      </c>
      <c r="BF3210" s="5" t="s">
        <v>6529</v>
      </c>
      <c r="BG3210" s="5" t="s">
        <v>238</v>
      </c>
      <c r="BH3210" s="7">
        <f>0</f>
        <v>0</v>
      </c>
      <c r="BI3210" s="8">
        <f>69683</f>
        <v>69683</v>
      </c>
      <c r="BJ3210" s="5" t="s">
        <v>253</v>
      </c>
      <c r="BK3210" s="5" t="s">
        <v>254</v>
      </c>
      <c r="BL3210" s="5" t="s">
        <v>6530</v>
      </c>
      <c r="BM3210" s="5" t="s">
        <v>6531</v>
      </c>
      <c r="BN3210" s="5" t="s">
        <v>6540</v>
      </c>
      <c r="BO3210" s="5" t="s">
        <v>238</v>
      </c>
      <c r="BP3210" s="5" t="s">
        <v>253</v>
      </c>
      <c r="BQ3210" s="5" t="s">
        <v>6532</v>
      </c>
      <c r="BR3210" s="5" t="s">
        <v>6532</v>
      </c>
      <c r="BT3210" s="6" t="s">
        <v>6924</v>
      </c>
      <c r="BU3210" s="5" t="s">
        <v>253</v>
      </c>
      <c r="BV3210" s="5" t="s">
        <v>238</v>
      </c>
      <c r="BW3210" s="5" t="s">
        <v>238</v>
      </c>
      <c r="BX3210" s="5" t="s">
        <v>254</v>
      </c>
      <c r="BY3210" s="5" t="s">
        <v>238</v>
      </c>
      <c r="BZ3210" s="5" t="s">
        <v>238</v>
      </c>
      <c r="CD3210" s="5" t="s">
        <v>238</v>
      </c>
      <c r="CE3210" s="5" t="s">
        <v>238</v>
      </c>
      <c r="CF3210" s="5" t="s">
        <v>261</v>
      </c>
      <c r="CH3210" s="5" t="s">
        <v>238</v>
      </c>
      <c r="CI3210" s="6" t="s">
        <v>257</v>
      </c>
      <c r="CJ3210" s="5" t="s">
        <v>495</v>
      </c>
      <c r="CK3210" s="5" t="s">
        <v>6520</v>
      </c>
      <c r="CL3210" s="5" t="s">
        <v>496</v>
      </c>
      <c r="CM3210" s="5" t="s">
        <v>238</v>
      </c>
      <c r="CN3210" s="5">
        <v>0</v>
      </c>
      <c r="CO3210" s="5" t="s">
        <v>238</v>
      </c>
      <c r="CP3210" s="5" t="s">
        <v>238</v>
      </c>
      <c r="CQ3210" s="5" t="s">
        <v>238</v>
      </c>
      <c r="CR3210" s="5" t="s">
        <v>261</v>
      </c>
      <c r="CS3210" s="5" t="s">
        <v>238</v>
      </c>
      <c r="CT3210" s="7">
        <f>1800</f>
        <v>1800</v>
      </c>
      <c r="CU3210" s="8">
        <f>7662573</f>
        <v>7662573</v>
      </c>
      <c r="CV3210" s="8">
        <f>0</f>
        <v>0</v>
      </c>
      <c r="CW3210" s="8">
        <f>0</f>
        <v>0</v>
      </c>
      <c r="CX3210" s="8">
        <f>7662573</f>
        <v>7662573</v>
      </c>
      <c r="CY3210" s="8">
        <f>7662573</f>
        <v>7662573</v>
      </c>
      <c r="CZ3210" s="8" t="s">
        <v>238</v>
      </c>
      <c r="DA3210" s="5" t="s">
        <v>238</v>
      </c>
      <c r="DB3210" s="5" t="s">
        <v>238</v>
      </c>
      <c r="DD3210" s="5" t="s">
        <v>238</v>
      </c>
      <c r="DE3210" s="8">
        <f>0</f>
        <v>0</v>
      </c>
      <c r="DF3210" s="6" t="s">
        <v>238</v>
      </c>
      <c r="DG3210" s="5" t="s">
        <v>238</v>
      </c>
      <c r="DH3210" s="5" t="s">
        <v>238</v>
      </c>
      <c r="DI3210" s="5" t="s">
        <v>238</v>
      </c>
      <c r="DJ3210" s="5" t="s">
        <v>238</v>
      </c>
      <c r="DK3210" s="5" t="s">
        <v>238</v>
      </c>
      <c r="DL3210" s="5" t="s">
        <v>238</v>
      </c>
      <c r="DM3210" s="8" t="s">
        <v>238</v>
      </c>
      <c r="DN3210" s="5" t="s">
        <v>238</v>
      </c>
      <c r="DO3210" s="5" t="s">
        <v>244</v>
      </c>
      <c r="DP3210" s="5" t="s">
        <v>490</v>
      </c>
      <c r="DQ3210" s="5" t="s">
        <v>490</v>
      </c>
      <c r="DR3210" s="5" t="s">
        <v>238</v>
      </c>
      <c r="DS3210" s="5" t="s">
        <v>238</v>
      </c>
      <c r="GL3210" s="5" t="s">
        <v>6925</v>
      </c>
      <c r="HP3210" s="5" t="s">
        <v>238</v>
      </c>
      <c r="HQ3210" s="5" t="s">
        <v>238</v>
      </c>
      <c r="HR3210" s="5" t="s">
        <v>238</v>
      </c>
      <c r="HS3210" s="5" t="s">
        <v>238</v>
      </c>
      <c r="HT3210" s="5" t="s">
        <v>238</v>
      </c>
      <c r="HU3210" s="5" t="s">
        <v>238</v>
      </c>
      <c r="HV3210" s="5" t="s">
        <v>238</v>
      </c>
      <c r="HW3210" s="5" t="s">
        <v>238</v>
      </c>
      <c r="HX3210" s="5" t="s">
        <v>238</v>
      </c>
      <c r="HY3210" s="5" t="s">
        <v>238</v>
      </c>
      <c r="HZ3210" s="5" t="s">
        <v>238</v>
      </c>
      <c r="IA3210" s="5" t="s">
        <v>238</v>
      </c>
      <c r="IB3210" s="5" t="s">
        <v>238</v>
      </c>
      <c r="IC3210" s="5" t="s">
        <v>238</v>
      </c>
      <c r="ID3210" s="5" t="s">
        <v>238</v>
      </c>
    </row>
    <row r="3211" spans="1:238" x14ac:dyDescent="0.4">
      <c r="A3211" s="5">
        <v>8575</v>
      </c>
      <c r="B3211" s="5">
        <v>1</v>
      </c>
      <c r="C3211" s="5">
        <v>1</v>
      </c>
      <c r="D3211" s="5" t="s">
        <v>238</v>
      </c>
      <c r="E3211" s="5" t="s">
        <v>271</v>
      </c>
      <c r="F3211" s="5" t="s">
        <v>248</v>
      </c>
      <c r="G3211" s="5" t="s">
        <v>6632</v>
      </c>
      <c r="H3211" s="6" t="s">
        <v>6634</v>
      </c>
      <c r="I3211" s="7">
        <f>1670.88</f>
        <v>1670.88</v>
      </c>
      <c r="J3211" s="5" t="s">
        <v>262</v>
      </c>
      <c r="K3211" s="8">
        <f>3216460</f>
        <v>3216460</v>
      </c>
      <c r="L3211" s="6" t="s">
        <v>6633</v>
      </c>
      <c r="M3211" s="5" t="s">
        <v>267</v>
      </c>
      <c r="N3211" s="5" t="s">
        <v>238</v>
      </c>
      <c r="Q3211" s="5" t="s">
        <v>238</v>
      </c>
      <c r="R3211" s="5" t="s">
        <v>238</v>
      </c>
      <c r="S3211" s="5" t="s">
        <v>238</v>
      </c>
      <c r="V3211" s="5" t="s">
        <v>2587</v>
      </c>
      <c r="W3211" s="6" t="s">
        <v>238</v>
      </c>
      <c r="X3211" s="6" t="s">
        <v>238</v>
      </c>
      <c r="Y3211" s="5" t="s">
        <v>238</v>
      </c>
      <c r="Z3211" s="6" t="s">
        <v>238</v>
      </c>
      <c r="AA3211" s="6" t="s">
        <v>6633</v>
      </c>
      <c r="AB3211" s="5" t="s">
        <v>6554</v>
      </c>
      <c r="AC3211" s="5" t="s">
        <v>244</v>
      </c>
      <c r="AD3211" s="5" t="s">
        <v>238</v>
      </c>
      <c r="AJ3211" s="5" t="s">
        <v>238</v>
      </c>
      <c r="AK3211" s="5" t="s">
        <v>238</v>
      </c>
      <c r="AL3211" s="5" t="s">
        <v>238</v>
      </c>
      <c r="AM3211" s="6" t="s">
        <v>238</v>
      </c>
      <c r="AN3211" s="6" t="s">
        <v>238</v>
      </c>
      <c r="AO3211" s="6" t="s">
        <v>238</v>
      </c>
      <c r="AR3211" s="5" t="s">
        <v>488</v>
      </c>
      <c r="AS3211" s="5" t="s">
        <v>488</v>
      </c>
      <c r="AT3211" s="5" t="s">
        <v>246</v>
      </c>
      <c r="AU3211" s="5" t="s">
        <v>489</v>
      </c>
      <c r="AV3211" s="5" t="s">
        <v>247</v>
      </c>
      <c r="AW3211" s="5" t="s">
        <v>238</v>
      </c>
      <c r="AX3211" s="5" t="s">
        <v>249</v>
      </c>
      <c r="AY3211" s="5" t="s">
        <v>490</v>
      </c>
      <c r="BA3211" s="5" t="s">
        <v>238</v>
      </c>
      <c r="BC3211" s="5" t="s">
        <v>6518</v>
      </c>
      <c r="BD3211" s="6" t="s">
        <v>6633</v>
      </c>
      <c r="BE3211" s="5" t="s">
        <v>6529</v>
      </c>
      <c r="BF3211" s="5" t="s">
        <v>6529</v>
      </c>
      <c r="BG3211" s="5" t="s">
        <v>238</v>
      </c>
      <c r="BH3211" s="7">
        <f>1670.88</f>
        <v>1670.88</v>
      </c>
      <c r="BI3211" s="8">
        <f>0</f>
        <v>0</v>
      </c>
      <c r="BJ3211" s="5" t="s">
        <v>253</v>
      </c>
      <c r="BK3211" s="5" t="s">
        <v>254</v>
      </c>
      <c r="BL3211" s="5" t="s">
        <v>6530</v>
      </c>
      <c r="BM3211" s="5" t="s">
        <v>6531</v>
      </c>
      <c r="BN3211" s="5" t="s">
        <v>6540</v>
      </c>
      <c r="BO3211" s="5" t="s">
        <v>238</v>
      </c>
      <c r="BP3211" s="5" t="s">
        <v>253</v>
      </c>
      <c r="BQ3211" s="5" t="s">
        <v>6532</v>
      </c>
      <c r="BR3211" s="5" t="s">
        <v>6532</v>
      </c>
      <c r="BT3211" s="6" t="s">
        <v>6635</v>
      </c>
      <c r="BU3211" s="5" t="s">
        <v>253</v>
      </c>
      <c r="BV3211" s="5" t="s">
        <v>238</v>
      </c>
      <c r="BW3211" s="5" t="s">
        <v>238</v>
      </c>
      <c r="BX3211" s="5" t="s">
        <v>254</v>
      </c>
      <c r="BY3211" s="5" t="s">
        <v>238</v>
      </c>
      <c r="BZ3211" s="5" t="s">
        <v>238</v>
      </c>
      <c r="CD3211" s="5" t="s">
        <v>238</v>
      </c>
      <c r="CE3211" s="5" t="s">
        <v>238</v>
      </c>
      <c r="CF3211" s="5" t="s">
        <v>261</v>
      </c>
      <c r="CH3211" s="5" t="s">
        <v>238</v>
      </c>
      <c r="CI3211" s="6" t="s">
        <v>257</v>
      </c>
      <c r="CJ3211" s="5" t="s">
        <v>495</v>
      </c>
      <c r="CK3211" s="5" t="s">
        <v>6520</v>
      </c>
      <c r="CL3211" s="5" t="s">
        <v>496</v>
      </c>
      <c r="CM3211" s="5" t="s">
        <v>238</v>
      </c>
      <c r="CN3211" s="5">
        <v>0</v>
      </c>
      <c r="CO3211" s="5" t="s">
        <v>238</v>
      </c>
      <c r="CP3211" s="5" t="s">
        <v>238</v>
      </c>
      <c r="CQ3211" s="5" t="s">
        <v>238</v>
      </c>
      <c r="CR3211" s="5" t="s">
        <v>261</v>
      </c>
      <c r="CS3211" s="5" t="s">
        <v>238</v>
      </c>
      <c r="CT3211" s="7">
        <f>1925</f>
        <v>1925</v>
      </c>
      <c r="CU3211" s="8">
        <f>3216460</f>
        <v>3216460</v>
      </c>
      <c r="CV3211" s="8">
        <f>0</f>
        <v>0</v>
      </c>
      <c r="CW3211" s="8">
        <f>0</f>
        <v>0</v>
      </c>
      <c r="CX3211" s="8">
        <f>3216460</f>
        <v>3216460</v>
      </c>
      <c r="CY3211" s="8">
        <f>3216460</f>
        <v>3216460</v>
      </c>
      <c r="CZ3211" s="8" t="s">
        <v>238</v>
      </c>
      <c r="DA3211" s="5" t="s">
        <v>238</v>
      </c>
      <c r="DB3211" s="5" t="s">
        <v>238</v>
      </c>
      <c r="DD3211" s="5" t="s">
        <v>238</v>
      </c>
      <c r="DE3211" s="8">
        <f>0</f>
        <v>0</v>
      </c>
      <c r="DF3211" s="6" t="s">
        <v>238</v>
      </c>
      <c r="DG3211" s="5" t="s">
        <v>238</v>
      </c>
      <c r="DH3211" s="5" t="s">
        <v>238</v>
      </c>
      <c r="DI3211" s="5" t="s">
        <v>238</v>
      </c>
      <c r="DJ3211" s="5" t="s">
        <v>238</v>
      </c>
      <c r="DK3211" s="5" t="s">
        <v>238</v>
      </c>
      <c r="DL3211" s="5" t="s">
        <v>238</v>
      </c>
      <c r="DM3211" s="8" t="s">
        <v>238</v>
      </c>
      <c r="DN3211" s="5" t="s">
        <v>238</v>
      </c>
      <c r="DO3211" s="5" t="s">
        <v>244</v>
      </c>
      <c r="DP3211" s="5" t="s">
        <v>490</v>
      </c>
      <c r="DQ3211" s="5" t="s">
        <v>490</v>
      </c>
      <c r="DR3211" s="5" t="s">
        <v>238</v>
      </c>
      <c r="DS3211" s="5" t="s">
        <v>238</v>
      </c>
      <c r="GL3211" s="5" t="s">
        <v>6636</v>
      </c>
      <c r="HP3211" s="5" t="s">
        <v>238</v>
      </c>
      <c r="HQ3211" s="5" t="s">
        <v>238</v>
      </c>
      <c r="HR3211" s="5" t="s">
        <v>238</v>
      </c>
      <c r="HS3211" s="5" t="s">
        <v>238</v>
      </c>
      <c r="HT3211" s="5" t="s">
        <v>238</v>
      </c>
      <c r="HU3211" s="5" t="s">
        <v>238</v>
      </c>
      <c r="HV3211" s="5" t="s">
        <v>238</v>
      </c>
      <c r="HW3211" s="5" t="s">
        <v>238</v>
      </c>
      <c r="HX3211" s="5" t="s">
        <v>238</v>
      </c>
      <c r="HY3211" s="5" t="s">
        <v>238</v>
      </c>
      <c r="HZ3211" s="5" t="s">
        <v>238</v>
      </c>
      <c r="IA3211" s="5" t="s">
        <v>238</v>
      </c>
      <c r="IB3211" s="5" t="s">
        <v>238</v>
      </c>
      <c r="IC3211" s="5" t="s">
        <v>238</v>
      </c>
      <c r="ID3211" s="5" t="s">
        <v>238</v>
      </c>
    </row>
    <row r="3212" spans="1:238" x14ac:dyDescent="0.4">
      <c r="A3212" s="5">
        <v>8576</v>
      </c>
      <c r="B3212" s="5">
        <v>1</v>
      </c>
      <c r="C3212" s="5">
        <v>3</v>
      </c>
      <c r="D3212" s="5" t="s">
        <v>238</v>
      </c>
      <c r="E3212" s="5" t="s">
        <v>271</v>
      </c>
      <c r="F3212" s="5" t="s">
        <v>248</v>
      </c>
      <c r="G3212" s="5" t="s">
        <v>6844</v>
      </c>
      <c r="H3212" s="6" t="s">
        <v>6846</v>
      </c>
      <c r="I3212" s="7">
        <f>374.82</f>
        <v>374.82</v>
      </c>
      <c r="J3212" s="5" t="s">
        <v>262</v>
      </c>
      <c r="K3212" s="8">
        <f>1071518</f>
        <v>1071518</v>
      </c>
      <c r="L3212" s="6" t="s">
        <v>6845</v>
      </c>
      <c r="M3212" s="5" t="s">
        <v>267</v>
      </c>
      <c r="N3212" s="5" t="s">
        <v>238</v>
      </c>
      <c r="Q3212" s="5" t="s">
        <v>238</v>
      </c>
      <c r="R3212" s="5" t="s">
        <v>238</v>
      </c>
      <c r="S3212" s="5" t="s">
        <v>238</v>
      </c>
      <c r="V3212" s="5" t="s">
        <v>2587</v>
      </c>
      <c r="W3212" s="6" t="s">
        <v>238</v>
      </c>
      <c r="X3212" s="6" t="s">
        <v>238</v>
      </c>
      <c r="Y3212" s="5" t="s">
        <v>238</v>
      </c>
      <c r="Z3212" s="6" t="s">
        <v>238</v>
      </c>
      <c r="AA3212" s="6" t="s">
        <v>6845</v>
      </c>
      <c r="AB3212" s="5" t="s">
        <v>6554</v>
      </c>
      <c r="AC3212" s="5" t="s">
        <v>244</v>
      </c>
      <c r="AD3212" s="5" t="s">
        <v>238</v>
      </c>
      <c r="AJ3212" s="5" t="s">
        <v>238</v>
      </c>
      <c r="AK3212" s="5" t="s">
        <v>238</v>
      </c>
      <c r="AL3212" s="5" t="s">
        <v>238</v>
      </c>
      <c r="AM3212" s="6" t="s">
        <v>238</v>
      </c>
      <c r="AN3212" s="6" t="s">
        <v>238</v>
      </c>
      <c r="AO3212" s="6" t="s">
        <v>238</v>
      </c>
      <c r="AR3212" s="5" t="s">
        <v>488</v>
      </c>
      <c r="AS3212" s="5" t="s">
        <v>488</v>
      </c>
      <c r="AT3212" s="5" t="s">
        <v>246</v>
      </c>
      <c r="AU3212" s="5" t="s">
        <v>489</v>
      </c>
      <c r="AV3212" s="5" t="s">
        <v>247</v>
      </c>
      <c r="AW3212" s="5" t="s">
        <v>238</v>
      </c>
      <c r="AX3212" s="5" t="s">
        <v>249</v>
      </c>
      <c r="AY3212" s="5" t="s">
        <v>490</v>
      </c>
      <c r="BA3212" s="5" t="s">
        <v>238</v>
      </c>
      <c r="BC3212" s="5" t="s">
        <v>6518</v>
      </c>
      <c r="BD3212" s="6" t="s">
        <v>6847</v>
      </c>
      <c r="BE3212" s="5" t="s">
        <v>6528</v>
      </c>
      <c r="BF3212" s="5" t="s">
        <v>6529</v>
      </c>
      <c r="BG3212" s="5" t="s">
        <v>238</v>
      </c>
      <c r="BH3212" s="7">
        <f>0</f>
        <v>0</v>
      </c>
      <c r="BI3212" s="8">
        <f>108000</f>
        <v>108000</v>
      </c>
      <c r="BJ3212" s="5" t="s">
        <v>253</v>
      </c>
      <c r="BK3212" s="5" t="s">
        <v>254</v>
      </c>
      <c r="BL3212" s="5" t="s">
        <v>6530</v>
      </c>
      <c r="BM3212" s="5" t="s">
        <v>6531</v>
      </c>
      <c r="BN3212" s="5" t="s">
        <v>6540</v>
      </c>
      <c r="BO3212" s="5" t="s">
        <v>238</v>
      </c>
      <c r="BP3212" s="5" t="s">
        <v>253</v>
      </c>
      <c r="BQ3212" s="5" t="s">
        <v>6532</v>
      </c>
      <c r="BR3212" s="5" t="s">
        <v>6532</v>
      </c>
      <c r="BT3212" s="6" t="s">
        <v>6848</v>
      </c>
      <c r="BU3212" s="5" t="s">
        <v>253</v>
      </c>
      <c r="BV3212" s="5" t="s">
        <v>238</v>
      </c>
      <c r="BW3212" s="5" t="s">
        <v>238</v>
      </c>
      <c r="BX3212" s="5" t="s">
        <v>254</v>
      </c>
      <c r="BY3212" s="5" t="s">
        <v>238</v>
      </c>
      <c r="BZ3212" s="5" t="s">
        <v>238</v>
      </c>
      <c r="CD3212" s="5" t="s">
        <v>238</v>
      </c>
      <c r="CE3212" s="5" t="s">
        <v>238</v>
      </c>
      <c r="CF3212" s="5" t="s">
        <v>261</v>
      </c>
      <c r="CH3212" s="5" t="s">
        <v>238</v>
      </c>
      <c r="CI3212" s="6" t="s">
        <v>257</v>
      </c>
      <c r="CJ3212" s="5" t="s">
        <v>495</v>
      </c>
      <c r="CK3212" s="5" t="s">
        <v>6520</v>
      </c>
      <c r="CL3212" s="5" t="s">
        <v>496</v>
      </c>
      <c r="CM3212" s="5" t="s">
        <v>238</v>
      </c>
      <c r="CN3212" s="5">
        <v>0</v>
      </c>
      <c r="CO3212" s="5" t="s">
        <v>238</v>
      </c>
      <c r="CP3212" s="5" t="s">
        <v>238</v>
      </c>
      <c r="CQ3212" s="5" t="s">
        <v>238</v>
      </c>
      <c r="CR3212" s="5" t="s">
        <v>261</v>
      </c>
      <c r="CS3212" s="5" t="s">
        <v>238</v>
      </c>
      <c r="CT3212" s="7">
        <f>2859</f>
        <v>2859</v>
      </c>
      <c r="CU3212" s="8">
        <f>1071518</f>
        <v>1071518</v>
      </c>
      <c r="CV3212" s="8">
        <f>0</f>
        <v>0</v>
      </c>
      <c r="CW3212" s="8">
        <f>0</f>
        <v>0</v>
      </c>
      <c r="CX3212" s="8">
        <f>1071518</f>
        <v>1071518</v>
      </c>
      <c r="CY3212" s="8">
        <f>1071518</f>
        <v>1071518</v>
      </c>
      <c r="CZ3212" s="8" t="s">
        <v>238</v>
      </c>
      <c r="DA3212" s="5" t="s">
        <v>238</v>
      </c>
      <c r="DB3212" s="5" t="s">
        <v>238</v>
      </c>
      <c r="DD3212" s="5" t="s">
        <v>238</v>
      </c>
      <c r="DE3212" s="8">
        <f>0</f>
        <v>0</v>
      </c>
      <c r="DF3212" s="6" t="s">
        <v>238</v>
      </c>
      <c r="DG3212" s="5" t="s">
        <v>238</v>
      </c>
      <c r="DH3212" s="5" t="s">
        <v>238</v>
      </c>
      <c r="DI3212" s="5" t="s">
        <v>238</v>
      </c>
      <c r="DJ3212" s="5" t="s">
        <v>238</v>
      </c>
      <c r="DK3212" s="5" t="s">
        <v>238</v>
      </c>
      <c r="DL3212" s="5" t="s">
        <v>238</v>
      </c>
      <c r="DM3212" s="8" t="s">
        <v>238</v>
      </c>
      <c r="DN3212" s="5" t="s">
        <v>238</v>
      </c>
      <c r="DO3212" s="5" t="s">
        <v>244</v>
      </c>
      <c r="DP3212" s="5" t="s">
        <v>490</v>
      </c>
      <c r="DQ3212" s="5" t="s">
        <v>490</v>
      </c>
      <c r="DR3212" s="5" t="s">
        <v>238</v>
      </c>
      <c r="DS3212" s="5" t="s">
        <v>238</v>
      </c>
      <c r="GL3212" s="5" t="s">
        <v>6849</v>
      </c>
      <c r="HP3212" s="5" t="s">
        <v>238</v>
      </c>
      <c r="HQ3212" s="5" t="s">
        <v>238</v>
      </c>
      <c r="HR3212" s="5" t="s">
        <v>238</v>
      </c>
      <c r="HS3212" s="5" t="s">
        <v>238</v>
      </c>
      <c r="HT3212" s="5" t="s">
        <v>238</v>
      </c>
      <c r="HU3212" s="5" t="s">
        <v>238</v>
      </c>
      <c r="HV3212" s="5" t="s">
        <v>238</v>
      </c>
      <c r="HW3212" s="5" t="s">
        <v>238</v>
      </c>
      <c r="HX3212" s="5" t="s">
        <v>238</v>
      </c>
      <c r="HY3212" s="5" t="s">
        <v>238</v>
      </c>
      <c r="HZ3212" s="5" t="s">
        <v>238</v>
      </c>
      <c r="IA3212" s="5" t="s">
        <v>238</v>
      </c>
      <c r="IB3212" s="5" t="s">
        <v>238</v>
      </c>
      <c r="IC3212" s="5" t="s">
        <v>238</v>
      </c>
      <c r="ID3212" s="5" t="s">
        <v>238</v>
      </c>
    </row>
    <row r="3213" spans="1:238" x14ac:dyDescent="0.4">
      <c r="A3213" s="5">
        <v>8577</v>
      </c>
      <c r="B3213" s="5">
        <v>1</v>
      </c>
      <c r="C3213" s="5">
        <v>2</v>
      </c>
      <c r="D3213" s="5" t="s">
        <v>2037</v>
      </c>
      <c r="E3213" s="5" t="s">
        <v>271</v>
      </c>
      <c r="F3213" s="5" t="s">
        <v>248</v>
      </c>
      <c r="G3213" s="5" t="s">
        <v>6833</v>
      </c>
      <c r="H3213" s="6" t="s">
        <v>238</v>
      </c>
      <c r="I3213" s="8">
        <f>0</f>
        <v>0</v>
      </c>
      <c r="J3213" s="5" t="s">
        <v>265</v>
      </c>
      <c r="K3213" s="8">
        <f>176000</f>
        <v>176000</v>
      </c>
      <c r="L3213" s="6" t="s">
        <v>6628</v>
      </c>
      <c r="M3213" s="5" t="s">
        <v>267</v>
      </c>
      <c r="N3213" s="5" t="s">
        <v>238</v>
      </c>
      <c r="Q3213" s="5" t="s">
        <v>239</v>
      </c>
      <c r="R3213" s="5" t="s">
        <v>238</v>
      </c>
      <c r="S3213" s="5" t="s">
        <v>238</v>
      </c>
      <c r="V3213" s="5" t="s">
        <v>271</v>
      </c>
      <c r="W3213" s="6" t="s">
        <v>238</v>
      </c>
      <c r="X3213" s="6" t="s">
        <v>238</v>
      </c>
      <c r="Y3213" s="5" t="s">
        <v>238</v>
      </c>
      <c r="Z3213" s="6" t="s">
        <v>238</v>
      </c>
      <c r="AA3213" s="6" t="s">
        <v>6628</v>
      </c>
      <c r="AB3213" s="5" t="s">
        <v>6834</v>
      </c>
      <c r="AC3213" s="5" t="s">
        <v>244</v>
      </c>
      <c r="AD3213" s="5" t="s">
        <v>238</v>
      </c>
      <c r="AJ3213" s="5" t="s">
        <v>238</v>
      </c>
      <c r="AK3213" s="5" t="s">
        <v>238</v>
      </c>
      <c r="AL3213" s="5" t="s">
        <v>238</v>
      </c>
      <c r="AM3213" s="6" t="s">
        <v>238</v>
      </c>
      <c r="AN3213" s="6" t="s">
        <v>238</v>
      </c>
      <c r="AO3213" s="6" t="s">
        <v>238</v>
      </c>
      <c r="AR3213" s="5" t="s">
        <v>488</v>
      </c>
      <c r="AS3213" s="5" t="s">
        <v>488</v>
      </c>
      <c r="AT3213" s="5" t="s">
        <v>246</v>
      </c>
      <c r="AU3213" s="5" t="s">
        <v>489</v>
      </c>
      <c r="AV3213" s="5" t="s">
        <v>247</v>
      </c>
      <c r="AW3213" s="5" t="s">
        <v>238</v>
      </c>
      <c r="AX3213" s="5" t="s">
        <v>249</v>
      </c>
      <c r="AY3213" s="5" t="s">
        <v>490</v>
      </c>
      <c r="BA3213" s="5" t="s">
        <v>238</v>
      </c>
      <c r="BC3213" s="5" t="s">
        <v>6518</v>
      </c>
      <c r="BD3213" s="6" t="s">
        <v>6630</v>
      </c>
      <c r="BE3213" s="5" t="s">
        <v>6528</v>
      </c>
      <c r="BF3213" s="5" t="s">
        <v>6529</v>
      </c>
      <c r="BG3213" s="5" t="s">
        <v>238</v>
      </c>
      <c r="BH3213" s="8">
        <f>0</f>
        <v>0</v>
      </c>
      <c r="BI3213" s="8">
        <f>176000</f>
        <v>176000</v>
      </c>
      <c r="BJ3213" s="5" t="s">
        <v>253</v>
      </c>
      <c r="BK3213" s="5" t="s">
        <v>254</v>
      </c>
      <c r="BL3213" s="5" t="s">
        <v>6530</v>
      </c>
      <c r="BM3213" s="5" t="s">
        <v>6531</v>
      </c>
      <c r="BN3213" s="5" t="s">
        <v>6531</v>
      </c>
      <c r="BO3213" s="5" t="s">
        <v>238</v>
      </c>
      <c r="BP3213" s="5" t="s">
        <v>253</v>
      </c>
      <c r="BQ3213" s="5" t="s">
        <v>6532</v>
      </c>
      <c r="BR3213" s="5" t="s">
        <v>6532</v>
      </c>
      <c r="BT3213" s="6" t="s">
        <v>6835</v>
      </c>
      <c r="BU3213" s="5" t="s">
        <v>253</v>
      </c>
      <c r="BV3213" s="5" t="s">
        <v>238</v>
      </c>
      <c r="BW3213" s="5" t="s">
        <v>238</v>
      </c>
      <c r="BX3213" s="5" t="s">
        <v>254</v>
      </c>
      <c r="BY3213" s="5" t="s">
        <v>238</v>
      </c>
      <c r="BZ3213" s="5" t="s">
        <v>238</v>
      </c>
      <c r="CD3213" s="5" t="s">
        <v>238</v>
      </c>
      <c r="CE3213" s="5" t="s">
        <v>238</v>
      </c>
      <c r="CF3213" s="5" t="s">
        <v>261</v>
      </c>
      <c r="CH3213" s="5" t="s">
        <v>238</v>
      </c>
      <c r="CI3213" s="6" t="s">
        <v>257</v>
      </c>
      <c r="CJ3213" s="5" t="s">
        <v>495</v>
      </c>
      <c r="CK3213" s="5" t="s">
        <v>6520</v>
      </c>
      <c r="CL3213" s="5" t="s">
        <v>496</v>
      </c>
      <c r="CM3213" s="5" t="s">
        <v>238</v>
      </c>
      <c r="CN3213" s="5">
        <v>0</v>
      </c>
      <c r="CO3213" s="5" t="s">
        <v>238</v>
      </c>
      <c r="CP3213" s="5" t="s">
        <v>238</v>
      </c>
      <c r="CQ3213" s="5" t="s">
        <v>238</v>
      </c>
      <c r="CR3213" s="5" t="s">
        <v>261</v>
      </c>
      <c r="CS3213" s="5" t="s">
        <v>238</v>
      </c>
      <c r="CT3213" s="7">
        <f>0</f>
        <v>0</v>
      </c>
      <c r="CU3213" s="8">
        <f>176000</f>
        <v>176000</v>
      </c>
      <c r="CV3213" s="8">
        <f>0</f>
        <v>0</v>
      </c>
      <c r="CW3213" s="8">
        <f>0</f>
        <v>0</v>
      </c>
      <c r="CX3213" s="8">
        <f>176000</f>
        <v>176000</v>
      </c>
      <c r="CY3213" s="8">
        <f>176000</f>
        <v>176000</v>
      </c>
      <c r="CZ3213" s="8" t="s">
        <v>238</v>
      </c>
      <c r="DA3213" s="5" t="s">
        <v>238</v>
      </c>
      <c r="DB3213" s="5" t="s">
        <v>238</v>
      </c>
      <c r="DD3213" s="5" t="s">
        <v>238</v>
      </c>
      <c r="DE3213" s="8">
        <f>0</f>
        <v>0</v>
      </c>
      <c r="DF3213" s="6" t="s">
        <v>238</v>
      </c>
      <c r="DG3213" s="5" t="s">
        <v>238</v>
      </c>
      <c r="DH3213" s="5" t="s">
        <v>238</v>
      </c>
      <c r="DI3213" s="5" t="s">
        <v>238</v>
      </c>
      <c r="DJ3213" s="5" t="s">
        <v>238</v>
      </c>
      <c r="DK3213" s="5" t="s">
        <v>238</v>
      </c>
      <c r="DL3213" s="5" t="s">
        <v>238</v>
      </c>
      <c r="DM3213" s="8" t="s">
        <v>238</v>
      </c>
      <c r="DN3213" s="5" t="s">
        <v>238</v>
      </c>
      <c r="DO3213" s="5" t="s">
        <v>244</v>
      </c>
      <c r="DP3213" s="5" t="s">
        <v>490</v>
      </c>
      <c r="DQ3213" s="5" t="s">
        <v>490</v>
      </c>
      <c r="DR3213" s="5" t="s">
        <v>238</v>
      </c>
      <c r="DS3213" s="5" t="s">
        <v>238</v>
      </c>
      <c r="HP3213" s="5" t="s">
        <v>238</v>
      </c>
      <c r="HQ3213" s="5" t="s">
        <v>238</v>
      </c>
      <c r="HR3213" s="5" t="s">
        <v>238</v>
      </c>
      <c r="HS3213" s="5" t="s">
        <v>238</v>
      </c>
      <c r="HT3213" s="5" t="s">
        <v>238</v>
      </c>
      <c r="HU3213" s="5" t="s">
        <v>238</v>
      </c>
      <c r="HV3213" s="5" t="s">
        <v>238</v>
      </c>
      <c r="HW3213" s="5" t="s">
        <v>238</v>
      </c>
      <c r="HX3213" s="5" t="s">
        <v>238</v>
      </c>
      <c r="HY3213" s="5" t="s">
        <v>238</v>
      </c>
      <c r="HZ3213" s="5" t="s">
        <v>238</v>
      </c>
      <c r="IA3213" s="5" t="s">
        <v>238</v>
      </c>
      <c r="IB3213" s="5" t="s">
        <v>238</v>
      </c>
      <c r="IC3213" s="5" t="s">
        <v>238</v>
      </c>
      <c r="ID3213" s="5" t="s">
        <v>238</v>
      </c>
    </row>
    <row r="3214" spans="1:238" x14ac:dyDescent="0.4">
      <c r="A3214" s="5">
        <v>8578</v>
      </c>
      <c r="B3214" s="5">
        <v>1</v>
      </c>
      <c r="C3214" s="5">
        <v>2</v>
      </c>
      <c r="D3214" s="5" t="s">
        <v>238</v>
      </c>
      <c r="E3214" s="5" t="s">
        <v>271</v>
      </c>
      <c r="F3214" s="5" t="s">
        <v>248</v>
      </c>
      <c r="G3214" s="5" t="s">
        <v>6703</v>
      </c>
      <c r="I3214" s="8">
        <f>0</f>
        <v>0</v>
      </c>
      <c r="J3214" s="5" t="s">
        <v>265</v>
      </c>
      <c r="K3214" s="8">
        <f>182700</f>
        <v>182700</v>
      </c>
      <c r="L3214" s="6" t="s">
        <v>6704</v>
      </c>
      <c r="M3214" s="5" t="s">
        <v>267</v>
      </c>
      <c r="N3214" s="5" t="s">
        <v>238</v>
      </c>
      <c r="Q3214" s="5" t="s">
        <v>238</v>
      </c>
      <c r="R3214" s="5" t="s">
        <v>238</v>
      </c>
      <c r="S3214" s="5" t="s">
        <v>238</v>
      </c>
      <c r="V3214" s="5" t="s">
        <v>271</v>
      </c>
      <c r="W3214" s="6" t="s">
        <v>238</v>
      </c>
      <c r="X3214" s="6" t="s">
        <v>238</v>
      </c>
      <c r="Y3214" s="5" t="s">
        <v>238</v>
      </c>
      <c r="Z3214" s="6" t="s">
        <v>238</v>
      </c>
      <c r="AA3214" s="6" t="s">
        <v>6704</v>
      </c>
      <c r="AB3214" s="5" t="s">
        <v>6705</v>
      </c>
      <c r="AC3214" s="5" t="s">
        <v>244</v>
      </c>
      <c r="AD3214" s="5" t="s">
        <v>238</v>
      </c>
      <c r="AJ3214" s="5" t="s">
        <v>238</v>
      </c>
      <c r="AK3214" s="5" t="s">
        <v>238</v>
      </c>
      <c r="AL3214" s="5" t="s">
        <v>238</v>
      </c>
      <c r="AM3214" s="6" t="s">
        <v>238</v>
      </c>
      <c r="AN3214" s="6" t="s">
        <v>238</v>
      </c>
      <c r="AO3214" s="6" t="s">
        <v>238</v>
      </c>
      <c r="AR3214" s="5" t="s">
        <v>488</v>
      </c>
      <c r="AS3214" s="5" t="s">
        <v>488</v>
      </c>
      <c r="AT3214" s="5" t="s">
        <v>246</v>
      </c>
      <c r="AU3214" s="5" t="s">
        <v>489</v>
      </c>
      <c r="AV3214" s="5" t="s">
        <v>247</v>
      </c>
      <c r="AW3214" s="5" t="s">
        <v>238</v>
      </c>
      <c r="AX3214" s="5" t="s">
        <v>249</v>
      </c>
      <c r="AY3214" s="5" t="s">
        <v>490</v>
      </c>
      <c r="BA3214" s="5" t="s">
        <v>238</v>
      </c>
      <c r="BC3214" s="5" t="s">
        <v>6518</v>
      </c>
      <c r="BD3214" s="6" t="s">
        <v>6624</v>
      </c>
      <c r="BE3214" s="5" t="s">
        <v>6528</v>
      </c>
      <c r="BF3214" s="5" t="s">
        <v>6529</v>
      </c>
      <c r="BG3214" s="5" t="s">
        <v>238</v>
      </c>
      <c r="BH3214" s="8">
        <f>0</f>
        <v>0</v>
      </c>
      <c r="BI3214" s="8">
        <f>182700</f>
        <v>182700</v>
      </c>
      <c r="BJ3214" s="5" t="s">
        <v>253</v>
      </c>
      <c r="BK3214" s="5" t="s">
        <v>254</v>
      </c>
      <c r="BL3214" s="5" t="s">
        <v>6530</v>
      </c>
      <c r="BM3214" s="5" t="s">
        <v>6531</v>
      </c>
      <c r="BN3214" s="5" t="s">
        <v>6531</v>
      </c>
      <c r="BO3214" s="5" t="s">
        <v>238</v>
      </c>
      <c r="BP3214" s="5" t="s">
        <v>253</v>
      </c>
      <c r="BQ3214" s="5" t="s">
        <v>6532</v>
      </c>
      <c r="BR3214" s="5" t="s">
        <v>6532</v>
      </c>
      <c r="BT3214" s="6" t="s">
        <v>6706</v>
      </c>
      <c r="BU3214" s="5" t="s">
        <v>253</v>
      </c>
      <c r="BV3214" s="5" t="s">
        <v>238</v>
      </c>
      <c r="BW3214" s="5" t="s">
        <v>238</v>
      </c>
      <c r="BX3214" s="5" t="s">
        <v>254</v>
      </c>
      <c r="BY3214" s="5" t="s">
        <v>238</v>
      </c>
      <c r="BZ3214" s="5" t="s">
        <v>238</v>
      </c>
      <c r="CD3214" s="5" t="s">
        <v>238</v>
      </c>
      <c r="CE3214" s="5" t="s">
        <v>238</v>
      </c>
      <c r="CF3214" s="5" t="s">
        <v>261</v>
      </c>
      <c r="CH3214" s="5" t="s">
        <v>238</v>
      </c>
      <c r="CI3214" s="6" t="s">
        <v>257</v>
      </c>
      <c r="CJ3214" s="5" t="s">
        <v>495</v>
      </c>
      <c r="CK3214" s="5" t="s">
        <v>6520</v>
      </c>
      <c r="CL3214" s="5" t="s">
        <v>496</v>
      </c>
      <c r="CM3214" s="5" t="s">
        <v>238</v>
      </c>
      <c r="CN3214" s="5">
        <v>0</v>
      </c>
      <c r="CO3214" s="5" t="s">
        <v>238</v>
      </c>
      <c r="CP3214" s="5" t="s">
        <v>238</v>
      </c>
      <c r="CQ3214" s="5" t="s">
        <v>238</v>
      </c>
      <c r="CR3214" s="5" t="s">
        <v>261</v>
      </c>
      <c r="CS3214" s="5" t="s">
        <v>238</v>
      </c>
      <c r="CT3214" s="7">
        <f>0</f>
        <v>0</v>
      </c>
      <c r="CU3214" s="8">
        <f>182700</f>
        <v>182700</v>
      </c>
      <c r="CV3214" s="8">
        <f>0</f>
        <v>0</v>
      </c>
      <c r="CW3214" s="8">
        <f>0</f>
        <v>0</v>
      </c>
      <c r="CX3214" s="8">
        <f>182700</f>
        <v>182700</v>
      </c>
      <c r="CY3214" s="8">
        <f>182700</f>
        <v>182700</v>
      </c>
      <c r="CZ3214" s="8" t="s">
        <v>238</v>
      </c>
      <c r="DA3214" s="5" t="s">
        <v>238</v>
      </c>
      <c r="DB3214" s="5" t="s">
        <v>238</v>
      </c>
      <c r="DD3214" s="5" t="s">
        <v>238</v>
      </c>
      <c r="DE3214" s="8">
        <f>0</f>
        <v>0</v>
      </c>
      <c r="DF3214" s="6" t="s">
        <v>238</v>
      </c>
      <c r="DG3214" s="5" t="s">
        <v>238</v>
      </c>
      <c r="DH3214" s="5" t="s">
        <v>238</v>
      </c>
      <c r="DI3214" s="5" t="s">
        <v>238</v>
      </c>
      <c r="DJ3214" s="5" t="s">
        <v>238</v>
      </c>
      <c r="DK3214" s="5" t="s">
        <v>238</v>
      </c>
      <c r="DL3214" s="5" t="s">
        <v>238</v>
      </c>
      <c r="DM3214" s="8" t="s">
        <v>238</v>
      </c>
      <c r="DN3214" s="5" t="s">
        <v>238</v>
      </c>
      <c r="DO3214" s="5" t="s">
        <v>244</v>
      </c>
      <c r="DP3214" s="5" t="s">
        <v>490</v>
      </c>
      <c r="DQ3214" s="5" t="s">
        <v>490</v>
      </c>
      <c r="DR3214" s="5" t="s">
        <v>238</v>
      </c>
      <c r="DS3214" s="5" t="s">
        <v>238</v>
      </c>
      <c r="GL3214" s="5" t="s">
        <v>6707</v>
      </c>
      <c r="HP3214" s="5" t="s">
        <v>238</v>
      </c>
      <c r="HQ3214" s="5" t="s">
        <v>238</v>
      </c>
      <c r="HR3214" s="5" t="s">
        <v>238</v>
      </c>
      <c r="HS3214" s="5" t="s">
        <v>238</v>
      </c>
      <c r="HT3214" s="5" t="s">
        <v>238</v>
      </c>
      <c r="HU3214" s="5" t="s">
        <v>238</v>
      </c>
      <c r="HV3214" s="5" t="s">
        <v>238</v>
      </c>
      <c r="HW3214" s="5" t="s">
        <v>238</v>
      </c>
      <c r="HX3214" s="5" t="s">
        <v>238</v>
      </c>
      <c r="HY3214" s="5" t="s">
        <v>238</v>
      </c>
      <c r="HZ3214" s="5" t="s">
        <v>238</v>
      </c>
      <c r="IA3214" s="5" t="s">
        <v>238</v>
      </c>
      <c r="IB3214" s="5" t="s">
        <v>238</v>
      </c>
      <c r="IC3214" s="5" t="s">
        <v>238</v>
      </c>
      <c r="ID3214" s="5" t="s">
        <v>238</v>
      </c>
    </row>
    <row r="3215" spans="1:238" x14ac:dyDescent="0.4">
      <c r="A3215" s="5">
        <v>8579</v>
      </c>
      <c r="B3215" s="5">
        <v>1</v>
      </c>
      <c r="C3215" s="5">
        <v>2</v>
      </c>
      <c r="D3215" s="5" t="s">
        <v>238</v>
      </c>
      <c r="E3215" s="5" t="s">
        <v>271</v>
      </c>
      <c r="F3215" s="5" t="s">
        <v>248</v>
      </c>
      <c r="G3215" s="5" t="s">
        <v>6750</v>
      </c>
      <c r="I3215" s="8">
        <f>0</f>
        <v>0</v>
      </c>
      <c r="J3215" s="5" t="s">
        <v>265</v>
      </c>
      <c r="K3215" s="8">
        <f>72900</f>
        <v>72900</v>
      </c>
      <c r="L3215" s="6" t="s">
        <v>6751</v>
      </c>
      <c r="M3215" s="5" t="s">
        <v>267</v>
      </c>
      <c r="N3215" s="5" t="s">
        <v>238</v>
      </c>
      <c r="Q3215" s="5" t="s">
        <v>238</v>
      </c>
      <c r="R3215" s="5" t="s">
        <v>238</v>
      </c>
      <c r="S3215" s="5" t="s">
        <v>238</v>
      </c>
      <c r="V3215" s="5" t="s">
        <v>271</v>
      </c>
      <c r="W3215" s="6" t="s">
        <v>238</v>
      </c>
      <c r="X3215" s="6" t="s">
        <v>238</v>
      </c>
      <c r="Y3215" s="5" t="s">
        <v>238</v>
      </c>
      <c r="Z3215" s="6" t="s">
        <v>238</v>
      </c>
      <c r="AA3215" s="6" t="s">
        <v>6751</v>
      </c>
      <c r="AB3215" s="5" t="s">
        <v>6752</v>
      </c>
      <c r="AC3215" s="5" t="s">
        <v>244</v>
      </c>
      <c r="AD3215" s="5" t="s">
        <v>238</v>
      </c>
      <c r="AJ3215" s="5" t="s">
        <v>238</v>
      </c>
      <c r="AK3215" s="5" t="s">
        <v>238</v>
      </c>
      <c r="AL3215" s="5" t="s">
        <v>238</v>
      </c>
      <c r="AM3215" s="6" t="s">
        <v>238</v>
      </c>
      <c r="AN3215" s="6" t="s">
        <v>238</v>
      </c>
      <c r="AO3215" s="6" t="s">
        <v>238</v>
      </c>
      <c r="AR3215" s="5" t="s">
        <v>488</v>
      </c>
      <c r="AS3215" s="5" t="s">
        <v>488</v>
      </c>
      <c r="AT3215" s="5" t="s">
        <v>246</v>
      </c>
      <c r="AU3215" s="5" t="s">
        <v>489</v>
      </c>
      <c r="AV3215" s="5" t="s">
        <v>247</v>
      </c>
      <c r="AW3215" s="5" t="s">
        <v>238</v>
      </c>
      <c r="AX3215" s="5" t="s">
        <v>249</v>
      </c>
      <c r="AY3215" s="5" t="s">
        <v>490</v>
      </c>
      <c r="BA3215" s="5" t="s">
        <v>238</v>
      </c>
      <c r="BC3215" s="5" t="s">
        <v>6518</v>
      </c>
      <c r="BD3215" s="6" t="s">
        <v>6556</v>
      </c>
      <c r="BE3215" s="5" t="s">
        <v>6528</v>
      </c>
      <c r="BF3215" s="5" t="s">
        <v>6529</v>
      </c>
      <c r="BG3215" s="5" t="s">
        <v>238</v>
      </c>
      <c r="BH3215" s="8">
        <f>0</f>
        <v>0</v>
      </c>
      <c r="BI3215" s="8">
        <f>72900</f>
        <v>72900</v>
      </c>
      <c r="BJ3215" s="5" t="s">
        <v>253</v>
      </c>
      <c r="BK3215" s="5" t="s">
        <v>254</v>
      </c>
      <c r="BL3215" s="5" t="s">
        <v>6530</v>
      </c>
      <c r="BM3215" s="5" t="s">
        <v>6531</v>
      </c>
      <c r="BN3215" s="5" t="s">
        <v>6531</v>
      </c>
      <c r="BO3215" s="5" t="s">
        <v>238</v>
      </c>
      <c r="BP3215" s="5" t="s">
        <v>253</v>
      </c>
      <c r="BQ3215" s="5" t="s">
        <v>6532</v>
      </c>
      <c r="BR3215" s="5" t="s">
        <v>6532</v>
      </c>
      <c r="BT3215" s="6" t="s">
        <v>6753</v>
      </c>
      <c r="BU3215" s="5" t="s">
        <v>253</v>
      </c>
      <c r="BV3215" s="5" t="s">
        <v>238</v>
      </c>
      <c r="BW3215" s="5" t="s">
        <v>238</v>
      </c>
      <c r="BX3215" s="5" t="s">
        <v>254</v>
      </c>
      <c r="BY3215" s="5" t="s">
        <v>238</v>
      </c>
      <c r="BZ3215" s="5" t="s">
        <v>238</v>
      </c>
      <c r="CD3215" s="5" t="s">
        <v>238</v>
      </c>
      <c r="CE3215" s="5" t="s">
        <v>238</v>
      </c>
      <c r="CF3215" s="5" t="s">
        <v>261</v>
      </c>
      <c r="CH3215" s="5" t="s">
        <v>238</v>
      </c>
      <c r="CI3215" s="6" t="s">
        <v>257</v>
      </c>
      <c r="CJ3215" s="5" t="s">
        <v>495</v>
      </c>
      <c r="CK3215" s="5" t="s">
        <v>6520</v>
      </c>
      <c r="CL3215" s="5" t="s">
        <v>496</v>
      </c>
      <c r="CM3215" s="5" t="s">
        <v>238</v>
      </c>
      <c r="CN3215" s="5">
        <v>0</v>
      </c>
      <c r="CO3215" s="5" t="s">
        <v>238</v>
      </c>
      <c r="CP3215" s="5" t="s">
        <v>238</v>
      </c>
      <c r="CQ3215" s="5" t="s">
        <v>238</v>
      </c>
      <c r="CR3215" s="5" t="s">
        <v>261</v>
      </c>
      <c r="CS3215" s="5" t="s">
        <v>238</v>
      </c>
      <c r="CT3215" s="7">
        <f>0</f>
        <v>0</v>
      </c>
      <c r="CU3215" s="8">
        <f>72900</f>
        <v>72900</v>
      </c>
      <c r="CV3215" s="8">
        <f>0</f>
        <v>0</v>
      </c>
      <c r="CW3215" s="8">
        <f>0</f>
        <v>0</v>
      </c>
      <c r="CX3215" s="8">
        <f>72900</f>
        <v>72900</v>
      </c>
      <c r="CY3215" s="8">
        <f>72900</f>
        <v>72900</v>
      </c>
      <c r="CZ3215" s="8" t="s">
        <v>238</v>
      </c>
      <c r="DA3215" s="5" t="s">
        <v>238</v>
      </c>
      <c r="DB3215" s="5" t="s">
        <v>238</v>
      </c>
      <c r="DD3215" s="5" t="s">
        <v>238</v>
      </c>
      <c r="DE3215" s="8">
        <f>0</f>
        <v>0</v>
      </c>
      <c r="DF3215" s="6" t="s">
        <v>238</v>
      </c>
      <c r="DG3215" s="5" t="s">
        <v>238</v>
      </c>
      <c r="DH3215" s="5" t="s">
        <v>238</v>
      </c>
      <c r="DI3215" s="5" t="s">
        <v>238</v>
      </c>
      <c r="DJ3215" s="5" t="s">
        <v>238</v>
      </c>
      <c r="DK3215" s="5" t="s">
        <v>238</v>
      </c>
      <c r="DL3215" s="5" t="s">
        <v>238</v>
      </c>
      <c r="DM3215" s="8" t="s">
        <v>238</v>
      </c>
      <c r="DN3215" s="5" t="s">
        <v>238</v>
      </c>
      <c r="DO3215" s="5" t="s">
        <v>244</v>
      </c>
      <c r="DP3215" s="5" t="s">
        <v>490</v>
      </c>
      <c r="DQ3215" s="5" t="s">
        <v>490</v>
      </c>
      <c r="DR3215" s="5" t="s">
        <v>238</v>
      </c>
      <c r="DS3215" s="5" t="s">
        <v>238</v>
      </c>
      <c r="GL3215" s="5" t="s">
        <v>6754</v>
      </c>
      <c r="HP3215" s="5" t="s">
        <v>238</v>
      </c>
      <c r="HQ3215" s="5" t="s">
        <v>238</v>
      </c>
      <c r="HR3215" s="5" t="s">
        <v>238</v>
      </c>
      <c r="HS3215" s="5" t="s">
        <v>238</v>
      </c>
      <c r="HT3215" s="5" t="s">
        <v>238</v>
      </c>
      <c r="HU3215" s="5" t="s">
        <v>238</v>
      </c>
      <c r="HV3215" s="5" t="s">
        <v>238</v>
      </c>
      <c r="HW3215" s="5" t="s">
        <v>238</v>
      </c>
      <c r="HX3215" s="5" t="s">
        <v>238</v>
      </c>
      <c r="HY3215" s="5" t="s">
        <v>238</v>
      </c>
      <c r="HZ3215" s="5" t="s">
        <v>238</v>
      </c>
      <c r="IA3215" s="5" t="s">
        <v>238</v>
      </c>
      <c r="IB3215" s="5" t="s">
        <v>238</v>
      </c>
      <c r="IC3215" s="5" t="s">
        <v>238</v>
      </c>
      <c r="ID3215" s="5" t="s">
        <v>238</v>
      </c>
    </row>
    <row r="3216" spans="1:238" x14ac:dyDescent="0.4">
      <c r="A3216" s="5">
        <v>8580</v>
      </c>
      <c r="B3216" s="5">
        <v>1</v>
      </c>
      <c r="C3216" s="5">
        <v>2</v>
      </c>
      <c r="D3216" s="5" t="s">
        <v>238</v>
      </c>
      <c r="E3216" s="5" t="s">
        <v>271</v>
      </c>
      <c r="F3216" s="5" t="s">
        <v>248</v>
      </c>
      <c r="G3216" s="5" t="s">
        <v>6897</v>
      </c>
      <c r="I3216" s="8">
        <f>0</f>
        <v>0</v>
      </c>
      <c r="J3216" s="5" t="s">
        <v>265</v>
      </c>
      <c r="K3216" s="8">
        <f>239000</f>
        <v>239000</v>
      </c>
      <c r="L3216" s="6" t="s">
        <v>6898</v>
      </c>
      <c r="M3216" s="5" t="s">
        <v>267</v>
      </c>
      <c r="N3216" s="5" t="s">
        <v>238</v>
      </c>
      <c r="Q3216" s="5" t="s">
        <v>238</v>
      </c>
      <c r="R3216" s="5" t="s">
        <v>238</v>
      </c>
      <c r="S3216" s="5" t="s">
        <v>238</v>
      </c>
      <c r="V3216" s="5" t="s">
        <v>271</v>
      </c>
      <c r="W3216" s="6" t="s">
        <v>238</v>
      </c>
      <c r="X3216" s="6" t="s">
        <v>238</v>
      </c>
      <c r="Y3216" s="5" t="s">
        <v>238</v>
      </c>
      <c r="Z3216" s="6" t="s">
        <v>238</v>
      </c>
      <c r="AA3216" s="6" t="s">
        <v>6898</v>
      </c>
      <c r="AB3216" s="5" t="s">
        <v>6899</v>
      </c>
      <c r="AC3216" s="5" t="s">
        <v>244</v>
      </c>
      <c r="AD3216" s="5" t="s">
        <v>238</v>
      </c>
      <c r="AJ3216" s="5" t="s">
        <v>238</v>
      </c>
      <c r="AK3216" s="5" t="s">
        <v>238</v>
      </c>
      <c r="AL3216" s="5" t="s">
        <v>238</v>
      </c>
      <c r="AM3216" s="6" t="s">
        <v>238</v>
      </c>
      <c r="AN3216" s="6" t="s">
        <v>238</v>
      </c>
      <c r="AO3216" s="6" t="s">
        <v>238</v>
      </c>
      <c r="AR3216" s="5" t="s">
        <v>488</v>
      </c>
      <c r="AS3216" s="5" t="s">
        <v>488</v>
      </c>
      <c r="AT3216" s="5" t="s">
        <v>246</v>
      </c>
      <c r="AU3216" s="5" t="s">
        <v>489</v>
      </c>
      <c r="AV3216" s="5" t="s">
        <v>247</v>
      </c>
      <c r="AW3216" s="5" t="s">
        <v>238</v>
      </c>
      <c r="AX3216" s="5" t="s">
        <v>249</v>
      </c>
      <c r="AY3216" s="5" t="s">
        <v>490</v>
      </c>
      <c r="BA3216" s="5" t="s">
        <v>238</v>
      </c>
      <c r="BC3216" s="5" t="s">
        <v>6518</v>
      </c>
      <c r="BD3216" s="6" t="s">
        <v>6875</v>
      </c>
      <c r="BE3216" s="5" t="s">
        <v>6528</v>
      </c>
      <c r="BF3216" s="5" t="s">
        <v>6529</v>
      </c>
      <c r="BG3216" s="5" t="s">
        <v>238</v>
      </c>
      <c r="BH3216" s="8">
        <f>0</f>
        <v>0</v>
      </c>
      <c r="BI3216" s="8">
        <f>239000</f>
        <v>239000</v>
      </c>
      <c r="BJ3216" s="5" t="s">
        <v>253</v>
      </c>
      <c r="BK3216" s="5" t="s">
        <v>254</v>
      </c>
      <c r="BL3216" s="5" t="s">
        <v>6530</v>
      </c>
      <c r="BM3216" s="5" t="s">
        <v>6531</v>
      </c>
      <c r="BN3216" s="5" t="s">
        <v>6531</v>
      </c>
      <c r="BO3216" s="5" t="s">
        <v>238</v>
      </c>
      <c r="BP3216" s="5" t="s">
        <v>253</v>
      </c>
      <c r="BQ3216" s="5" t="s">
        <v>6532</v>
      </c>
      <c r="BR3216" s="5" t="s">
        <v>6532</v>
      </c>
      <c r="BT3216" s="6" t="s">
        <v>6900</v>
      </c>
      <c r="BU3216" s="5" t="s">
        <v>253</v>
      </c>
      <c r="BV3216" s="5" t="s">
        <v>238</v>
      </c>
      <c r="BW3216" s="5" t="s">
        <v>238</v>
      </c>
      <c r="BX3216" s="5" t="s">
        <v>254</v>
      </c>
      <c r="BY3216" s="5" t="s">
        <v>238</v>
      </c>
      <c r="BZ3216" s="5" t="s">
        <v>238</v>
      </c>
      <c r="CD3216" s="5" t="s">
        <v>238</v>
      </c>
      <c r="CE3216" s="5" t="s">
        <v>238</v>
      </c>
      <c r="CF3216" s="5" t="s">
        <v>261</v>
      </c>
      <c r="CH3216" s="5" t="s">
        <v>238</v>
      </c>
      <c r="CI3216" s="6" t="s">
        <v>257</v>
      </c>
      <c r="CJ3216" s="5" t="s">
        <v>495</v>
      </c>
      <c r="CK3216" s="5" t="s">
        <v>6520</v>
      </c>
      <c r="CL3216" s="5" t="s">
        <v>496</v>
      </c>
      <c r="CM3216" s="5" t="s">
        <v>238</v>
      </c>
      <c r="CN3216" s="5">
        <v>0</v>
      </c>
      <c r="CO3216" s="5" t="s">
        <v>238</v>
      </c>
      <c r="CP3216" s="5" t="s">
        <v>238</v>
      </c>
      <c r="CQ3216" s="5" t="s">
        <v>238</v>
      </c>
      <c r="CR3216" s="5" t="s">
        <v>261</v>
      </c>
      <c r="CS3216" s="5" t="s">
        <v>238</v>
      </c>
      <c r="CT3216" s="7">
        <f>0</f>
        <v>0</v>
      </c>
      <c r="CU3216" s="8">
        <f>239000</f>
        <v>239000</v>
      </c>
      <c r="CV3216" s="8">
        <f>0</f>
        <v>0</v>
      </c>
      <c r="CW3216" s="8">
        <f>0</f>
        <v>0</v>
      </c>
      <c r="CX3216" s="8">
        <f>239000</f>
        <v>239000</v>
      </c>
      <c r="CY3216" s="8">
        <f>239000</f>
        <v>239000</v>
      </c>
      <c r="CZ3216" s="8" t="s">
        <v>238</v>
      </c>
      <c r="DA3216" s="5" t="s">
        <v>238</v>
      </c>
      <c r="DB3216" s="5" t="s">
        <v>238</v>
      </c>
      <c r="DD3216" s="5" t="s">
        <v>238</v>
      </c>
      <c r="DE3216" s="8">
        <f>0</f>
        <v>0</v>
      </c>
      <c r="DF3216" s="6" t="s">
        <v>238</v>
      </c>
      <c r="DG3216" s="5" t="s">
        <v>238</v>
      </c>
      <c r="DH3216" s="5" t="s">
        <v>238</v>
      </c>
      <c r="DI3216" s="5" t="s">
        <v>238</v>
      </c>
      <c r="DJ3216" s="5" t="s">
        <v>238</v>
      </c>
      <c r="DK3216" s="5" t="s">
        <v>238</v>
      </c>
      <c r="DL3216" s="5" t="s">
        <v>238</v>
      </c>
      <c r="DM3216" s="8" t="s">
        <v>238</v>
      </c>
      <c r="DN3216" s="5" t="s">
        <v>238</v>
      </c>
      <c r="DO3216" s="5" t="s">
        <v>244</v>
      </c>
      <c r="DP3216" s="5" t="s">
        <v>490</v>
      </c>
      <c r="DQ3216" s="5" t="s">
        <v>490</v>
      </c>
      <c r="DR3216" s="5" t="s">
        <v>238</v>
      </c>
      <c r="DS3216" s="5" t="s">
        <v>238</v>
      </c>
      <c r="GL3216" s="5" t="s">
        <v>6901</v>
      </c>
      <c r="HP3216" s="5" t="s">
        <v>238</v>
      </c>
      <c r="HQ3216" s="5" t="s">
        <v>238</v>
      </c>
      <c r="HR3216" s="5" t="s">
        <v>238</v>
      </c>
      <c r="HS3216" s="5" t="s">
        <v>238</v>
      </c>
      <c r="HT3216" s="5" t="s">
        <v>238</v>
      </c>
      <c r="HU3216" s="5" t="s">
        <v>238</v>
      </c>
      <c r="HV3216" s="5" t="s">
        <v>238</v>
      </c>
      <c r="HW3216" s="5" t="s">
        <v>238</v>
      </c>
      <c r="HX3216" s="5" t="s">
        <v>238</v>
      </c>
      <c r="HY3216" s="5" t="s">
        <v>238</v>
      </c>
      <c r="HZ3216" s="5" t="s">
        <v>238</v>
      </c>
      <c r="IA3216" s="5" t="s">
        <v>238</v>
      </c>
      <c r="IB3216" s="5" t="s">
        <v>238</v>
      </c>
      <c r="IC3216" s="5" t="s">
        <v>238</v>
      </c>
      <c r="ID3216" s="5" t="s">
        <v>238</v>
      </c>
    </row>
    <row r="3217" spans="1:238" x14ac:dyDescent="0.4">
      <c r="A3217" s="5">
        <v>8581</v>
      </c>
      <c r="B3217" s="5">
        <v>1</v>
      </c>
      <c r="C3217" s="5">
        <v>2</v>
      </c>
      <c r="D3217" s="5" t="s">
        <v>2037</v>
      </c>
      <c r="E3217" s="5" t="s">
        <v>271</v>
      </c>
      <c r="F3217" s="5" t="s">
        <v>248</v>
      </c>
      <c r="G3217" s="5" t="s">
        <v>6806</v>
      </c>
      <c r="H3217" s="6" t="s">
        <v>238</v>
      </c>
      <c r="I3217" s="8">
        <f>0</f>
        <v>0</v>
      </c>
      <c r="J3217" s="5" t="s">
        <v>265</v>
      </c>
      <c r="K3217" s="8">
        <f>418000</f>
        <v>418000</v>
      </c>
      <c r="L3217" s="6" t="s">
        <v>6628</v>
      </c>
      <c r="M3217" s="5" t="s">
        <v>267</v>
      </c>
      <c r="N3217" s="5" t="s">
        <v>238</v>
      </c>
      <c r="Q3217" s="5" t="s">
        <v>239</v>
      </c>
      <c r="R3217" s="5" t="s">
        <v>238</v>
      </c>
      <c r="S3217" s="5" t="s">
        <v>238</v>
      </c>
      <c r="V3217" s="5" t="s">
        <v>271</v>
      </c>
      <c r="W3217" s="6" t="s">
        <v>238</v>
      </c>
      <c r="X3217" s="6" t="s">
        <v>238</v>
      </c>
      <c r="Y3217" s="5" t="s">
        <v>238</v>
      </c>
      <c r="Z3217" s="6" t="s">
        <v>238</v>
      </c>
      <c r="AA3217" s="6" t="s">
        <v>6628</v>
      </c>
      <c r="AB3217" s="5" t="s">
        <v>6807</v>
      </c>
      <c r="AC3217" s="5" t="s">
        <v>244</v>
      </c>
      <c r="AD3217" s="5" t="s">
        <v>238</v>
      </c>
      <c r="AJ3217" s="5" t="s">
        <v>238</v>
      </c>
      <c r="AK3217" s="5" t="s">
        <v>238</v>
      </c>
      <c r="AL3217" s="5" t="s">
        <v>238</v>
      </c>
      <c r="AM3217" s="6" t="s">
        <v>238</v>
      </c>
      <c r="AN3217" s="6" t="s">
        <v>238</v>
      </c>
      <c r="AO3217" s="6" t="s">
        <v>238</v>
      </c>
      <c r="AR3217" s="5" t="s">
        <v>488</v>
      </c>
      <c r="AS3217" s="5" t="s">
        <v>488</v>
      </c>
      <c r="AT3217" s="5" t="s">
        <v>246</v>
      </c>
      <c r="AU3217" s="5" t="s">
        <v>489</v>
      </c>
      <c r="AV3217" s="5" t="s">
        <v>247</v>
      </c>
      <c r="AW3217" s="5" t="s">
        <v>238</v>
      </c>
      <c r="AX3217" s="5" t="s">
        <v>249</v>
      </c>
      <c r="AY3217" s="5" t="s">
        <v>490</v>
      </c>
      <c r="BA3217" s="5" t="s">
        <v>238</v>
      </c>
      <c r="BC3217" s="5" t="s">
        <v>6518</v>
      </c>
      <c r="BD3217" s="6" t="s">
        <v>6630</v>
      </c>
      <c r="BE3217" s="5" t="s">
        <v>6528</v>
      </c>
      <c r="BF3217" s="5" t="s">
        <v>6529</v>
      </c>
      <c r="BG3217" s="5" t="s">
        <v>238</v>
      </c>
      <c r="BH3217" s="8">
        <f>0</f>
        <v>0</v>
      </c>
      <c r="BI3217" s="8">
        <f>418000</f>
        <v>418000</v>
      </c>
      <c r="BJ3217" s="5" t="s">
        <v>253</v>
      </c>
      <c r="BK3217" s="5" t="s">
        <v>254</v>
      </c>
      <c r="BL3217" s="5" t="s">
        <v>6530</v>
      </c>
      <c r="BM3217" s="5" t="s">
        <v>6531</v>
      </c>
      <c r="BN3217" s="5" t="s">
        <v>6531</v>
      </c>
      <c r="BO3217" s="5" t="s">
        <v>238</v>
      </c>
      <c r="BP3217" s="5" t="s">
        <v>253</v>
      </c>
      <c r="BQ3217" s="5" t="s">
        <v>6532</v>
      </c>
      <c r="BR3217" s="5" t="s">
        <v>6532</v>
      </c>
      <c r="BT3217" s="6" t="s">
        <v>6808</v>
      </c>
      <c r="BU3217" s="5" t="s">
        <v>253</v>
      </c>
      <c r="BV3217" s="5" t="s">
        <v>238</v>
      </c>
      <c r="BW3217" s="5" t="s">
        <v>238</v>
      </c>
      <c r="BX3217" s="5" t="s">
        <v>254</v>
      </c>
      <c r="BY3217" s="5" t="s">
        <v>238</v>
      </c>
      <c r="BZ3217" s="5" t="s">
        <v>238</v>
      </c>
      <c r="CD3217" s="5" t="s">
        <v>238</v>
      </c>
      <c r="CE3217" s="5" t="s">
        <v>238</v>
      </c>
      <c r="CF3217" s="5" t="s">
        <v>261</v>
      </c>
      <c r="CH3217" s="5" t="s">
        <v>238</v>
      </c>
      <c r="CI3217" s="6" t="s">
        <v>257</v>
      </c>
      <c r="CJ3217" s="5" t="s">
        <v>495</v>
      </c>
      <c r="CK3217" s="5" t="s">
        <v>6520</v>
      </c>
      <c r="CL3217" s="5" t="s">
        <v>496</v>
      </c>
      <c r="CM3217" s="5" t="s">
        <v>238</v>
      </c>
      <c r="CN3217" s="5">
        <v>0</v>
      </c>
      <c r="CO3217" s="5" t="s">
        <v>238</v>
      </c>
      <c r="CP3217" s="5" t="s">
        <v>238</v>
      </c>
      <c r="CQ3217" s="5" t="s">
        <v>238</v>
      </c>
      <c r="CR3217" s="5" t="s">
        <v>261</v>
      </c>
      <c r="CS3217" s="5" t="s">
        <v>238</v>
      </c>
      <c r="CT3217" s="7">
        <f>0</f>
        <v>0</v>
      </c>
      <c r="CU3217" s="8">
        <f>418000</f>
        <v>418000</v>
      </c>
      <c r="CV3217" s="8">
        <f>0</f>
        <v>0</v>
      </c>
      <c r="CW3217" s="8">
        <f>0</f>
        <v>0</v>
      </c>
      <c r="CX3217" s="8">
        <f>418000</f>
        <v>418000</v>
      </c>
      <c r="CY3217" s="8">
        <f>418000</f>
        <v>418000</v>
      </c>
      <c r="CZ3217" s="8" t="s">
        <v>238</v>
      </c>
      <c r="DA3217" s="5" t="s">
        <v>238</v>
      </c>
      <c r="DB3217" s="5" t="s">
        <v>238</v>
      </c>
      <c r="DD3217" s="5" t="s">
        <v>238</v>
      </c>
      <c r="DE3217" s="8">
        <f>0</f>
        <v>0</v>
      </c>
      <c r="DF3217" s="6" t="s">
        <v>238</v>
      </c>
      <c r="DG3217" s="5" t="s">
        <v>238</v>
      </c>
      <c r="DH3217" s="5" t="s">
        <v>238</v>
      </c>
      <c r="DI3217" s="5" t="s">
        <v>238</v>
      </c>
      <c r="DJ3217" s="5" t="s">
        <v>238</v>
      </c>
      <c r="DK3217" s="5" t="s">
        <v>238</v>
      </c>
      <c r="DL3217" s="5" t="s">
        <v>238</v>
      </c>
      <c r="DM3217" s="8" t="s">
        <v>238</v>
      </c>
      <c r="DN3217" s="5" t="s">
        <v>238</v>
      </c>
      <c r="DO3217" s="5" t="s">
        <v>244</v>
      </c>
      <c r="DP3217" s="5" t="s">
        <v>490</v>
      </c>
      <c r="DQ3217" s="5" t="s">
        <v>490</v>
      </c>
      <c r="DR3217" s="5" t="s">
        <v>238</v>
      </c>
      <c r="DS3217" s="5" t="s">
        <v>238</v>
      </c>
      <c r="HP3217" s="5" t="s">
        <v>238</v>
      </c>
      <c r="HQ3217" s="5" t="s">
        <v>238</v>
      </c>
      <c r="HR3217" s="5" t="s">
        <v>238</v>
      </c>
      <c r="HS3217" s="5" t="s">
        <v>238</v>
      </c>
      <c r="HT3217" s="5" t="s">
        <v>238</v>
      </c>
      <c r="HU3217" s="5" t="s">
        <v>238</v>
      </c>
      <c r="HV3217" s="5" t="s">
        <v>238</v>
      </c>
      <c r="HW3217" s="5" t="s">
        <v>238</v>
      </c>
      <c r="HX3217" s="5" t="s">
        <v>238</v>
      </c>
      <c r="HY3217" s="5" t="s">
        <v>238</v>
      </c>
      <c r="HZ3217" s="5" t="s">
        <v>238</v>
      </c>
      <c r="IA3217" s="5" t="s">
        <v>238</v>
      </c>
      <c r="IB3217" s="5" t="s">
        <v>238</v>
      </c>
      <c r="IC3217" s="5" t="s">
        <v>238</v>
      </c>
      <c r="ID3217" s="5" t="s">
        <v>238</v>
      </c>
    </row>
    <row r="3218" spans="1:238" x14ac:dyDescent="0.4">
      <c r="A3218" s="5">
        <v>8582</v>
      </c>
      <c r="B3218" s="5">
        <v>1</v>
      </c>
      <c r="C3218" s="5">
        <v>2</v>
      </c>
      <c r="D3218" s="5" t="s">
        <v>2037</v>
      </c>
      <c r="E3218" s="5" t="s">
        <v>271</v>
      </c>
      <c r="F3218" s="5" t="s">
        <v>248</v>
      </c>
      <c r="G3218" s="5" t="s">
        <v>6809</v>
      </c>
      <c r="H3218" s="6" t="s">
        <v>238</v>
      </c>
      <c r="I3218" s="8">
        <f>0</f>
        <v>0</v>
      </c>
      <c r="J3218" s="5" t="s">
        <v>265</v>
      </c>
      <c r="K3218" s="8">
        <f>498203</f>
        <v>498203</v>
      </c>
      <c r="L3218" s="6" t="s">
        <v>6628</v>
      </c>
      <c r="M3218" s="5" t="s">
        <v>267</v>
      </c>
      <c r="N3218" s="5" t="s">
        <v>238</v>
      </c>
      <c r="Q3218" s="5" t="s">
        <v>239</v>
      </c>
      <c r="R3218" s="5" t="s">
        <v>238</v>
      </c>
      <c r="S3218" s="5" t="s">
        <v>238</v>
      </c>
      <c r="V3218" s="5" t="s">
        <v>271</v>
      </c>
      <c r="W3218" s="6" t="s">
        <v>238</v>
      </c>
      <c r="X3218" s="6" t="s">
        <v>238</v>
      </c>
      <c r="Y3218" s="5" t="s">
        <v>238</v>
      </c>
      <c r="Z3218" s="6" t="s">
        <v>238</v>
      </c>
      <c r="AA3218" s="6" t="s">
        <v>6628</v>
      </c>
      <c r="AB3218" s="5" t="s">
        <v>6810</v>
      </c>
      <c r="AC3218" s="5" t="s">
        <v>244</v>
      </c>
      <c r="AD3218" s="5" t="s">
        <v>238</v>
      </c>
      <c r="AJ3218" s="5" t="s">
        <v>238</v>
      </c>
      <c r="AK3218" s="5" t="s">
        <v>238</v>
      </c>
      <c r="AL3218" s="5" t="s">
        <v>238</v>
      </c>
      <c r="AM3218" s="6" t="s">
        <v>238</v>
      </c>
      <c r="AN3218" s="6" t="s">
        <v>238</v>
      </c>
      <c r="AO3218" s="6" t="s">
        <v>238</v>
      </c>
      <c r="AR3218" s="5" t="s">
        <v>488</v>
      </c>
      <c r="AS3218" s="5" t="s">
        <v>488</v>
      </c>
      <c r="AT3218" s="5" t="s">
        <v>246</v>
      </c>
      <c r="AU3218" s="5" t="s">
        <v>489</v>
      </c>
      <c r="AV3218" s="5" t="s">
        <v>247</v>
      </c>
      <c r="AW3218" s="5" t="s">
        <v>238</v>
      </c>
      <c r="AX3218" s="5" t="s">
        <v>249</v>
      </c>
      <c r="AY3218" s="5" t="s">
        <v>490</v>
      </c>
      <c r="BA3218" s="5" t="s">
        <v>238</v>
      </c>
      <c r="BC3218" s="5" t="s">
        <v>6518</v>
      </c>
      <c r="BD3218" s="6" t="s">
        <v>6630</v>
      </c>
      <c r="BE3218" s="5" t="s">
        <v>6528</v>
      </c>
      <c r="BF3218" s="5" t="s">
        <v>6529</v>
      </c>
      <c r="BG3218" s="5" t="s">
        <v>238</v>
      </c>
      <c r="BH3218" s="8">
        <f>0</f>
        <v>0</v>
      </c>
      <c r="BI3218" s="8">
        <f>498203</f>
        <v>498203</v>
      </c>
      <c r="BJ3218" s="5" t="s">
        <v>253</v>
      </c>
      <c r="BK3218" s="5" t="s">
        <v>254</v>
      </c>
      <c r="BL3218" s="5" t="s">
        <v>6530</v>
      </c>
      <c r="BM3218" s="5" t="s">
        <v>6531</v>
      </c>
      <c r="BN3218" s="5" t="s">
        <v>6531</v>
      </c>
      <c r="BO3218" s="5" t="s">
        <v>238</v>
      </c>
      <c r="BP3218" s="5" t="s">
        <v>253</v>
      </c>
      <c r="BQ3218" s="5" t="s">
        <v>6532</v>
      </c>
      <c r="BR3218" s="5" t="s">
        <v>6532</v>
      </c>
      <c r="BT3218" s="6" t="s">
        <v>6811</v>
      </c>
      <c r="BU3218" s="5" t="s">
        <v>253</v>
      </c>
      <c r="BV3218" s="5" t="s">
        <v>238</v>
      </c>
      <c r="BW3218" s="5" t="s">
        <v>238</v>
      </c>
      <c r="BX3218" s="5" t="s">
        <v>254</v>
      </c>
      <c r="BY3218" s="5" t="s">
        <v>238</v>
      </c>
      <c r="BZ3218" s="5" t="s">
        <v>238</v>
      </c>
      <c r="CD3218" s="5" t="s">
        <v>238</v>
      </c>
      <c r="CE3218" s="5" t="s">
        <v>238</v>
      </c>
      <c r="CF3218" s="5" t="s">
        <v>261</v>
      </c>
      <c r="CH3218" s="5" t="s">
        <v>238</v>
      </c>
      <c r="CI3218" s="6" t="s">
        <v>257</v>
      </c>
      <c r="CJ3218" s="5" t="s">
        <v>495</v>
      </c>
      <c r="CK3218" s="5" t="s">
        <v>6520</v>
      </c>
      <c r="CL3218" s="5" t="s">
        <v>496</v>
      </c>
      <c r="CM3218" s="5" t="s">
        <v>238</v>
      </c>
      <c r="CN3218" s="5">
        <v>0</v>
      </c>
      <c r="CO3218" s="5" t="s">
        <v>238</v>
      </c>
      <c r="CP3218" s="5" t="s">
        <v>238</v>
      </c>
      <c r="CQ3218" s="5" t="s">
        <v>238</v>
      </c>
      <c r="CR3218" s="5" t="s">
        <v>261</v>
      </c>
      <c r="CS3218" s="5" t="s">
        <v>238</v>
      </c>
      <c r="CT3218" s="7">
        <f>0</f>
        <v>0</v>
      </c>
      <c r="CU3218" s="8">
        <f>498203</f>
        <v>498203</v>
      </c>
      <c r="CV3218" s="8">
        <f>0</f>
        <v>0</v>
      </c>
      <c r="CW3218" s="8">
        <f>0</f>
        <v>0</v>
      </c>
      <c r="CX3218" s="8">
        <f>498203</f>
        <v>498203</v>
      </c>
      <c r="CY3218" s="8">
        <f>498203</f>
        <v>498203</v>
      </c>
      <c r="CZ3218" s="8" t="s">
        <v>238</v>
      </c>
      <c r="DA3218" s="5" t="s">
        <v>238</v>
      </c>
      <c r="DB3218" s="5" t="s">
        <v>238</v>
      </c>
      <c r="DD3218" s="5" t="s">
        <v>238</v>
      </c>
      <c r="DE3218" s="8">
        <f>0</f>
        <v>0</v>
      </c>
      <c r="DF3218" s="6" t="s">
        <v>238</v>
      </c>
      <c r="DG3218" s="5" t="s">
        <v>238</v>
      </c>
      <c r="DH3218" s="5" t="s">
        <v>238</v>
      </c>
      <c r="DI3218" s="5" t="s">
        <v>238</v>
      </c>
      <c r="DJ3218" s="5" t="s">
        <v>238</v>
      </c>
      <c r="DK3218" s="5" t="s">
        <v>238</v>
      </c>
      <c r="DL3218" s="5" t="s">
        <v>238</v>
      </c>
      <c r="DM3218" s="8" t="s">
        <v>238</v>
      </c>
      <c r="DN3218" s="5" t="s">
        <v>238</v>
      </c>
      <c r="DO3218" s="5" t="s">
        <v>244</v>
      </c>
      <c r="DP3218" s="5" t="s">
        <v>490</v>
      </c>
      <c r="DQ3218" s="5" t="s">
        <v>490</v>
      </c>
      <c r="DR3218" s="5" t="s">
        <v>238</v>
      </c>
      <c r="DS3218" s="5" t="s">
        <v>238</v>
      </c>
      <c r="HP3218" s="5" t="s">
        <v>238</v>
      </c>
      <c r="HQ3218" s="5" t="s">
        <v>238</v>
      </c>
      <c r="HR3218" s="5" t="s">
        <v>238</v>
      </c>
      <c r="HS3218" s="5" t="s">
        <v>238</v>
      </c>
      <c r="HT3218" s="5" t="s">
        <v>238</v>
      </c>
      <c r="HU3218" s="5" t="s">
        <v>238</v>
      </c>
      <c r="HV3218" s="5" t="s">
        <v>238</v>
      </c>
      <c r="HW3218" s="5" t="s">
        <v>238</v>
      </c>
      <c r="HX3218" s="5" t="s">
        <v>238</v>
      </c>
      <c r="HY3218" s="5" t="s">
        <v>238</v>
      </c>
      <c r="HZ3218" s="5" t="s">
        <v>238</v>
      </c>
      <c r="IA3218" s="5" t="s">
        <v>238</v>
      </c>
      <c r="IB3218" s="5" t="s">
        <v>238</v>
      </c>
      <c r="IC3218" s="5" t="s">
        <v>238</v>
      </c>
      <c r="ID3218" s="5" t="s">
        <v>238</v>
      </c>
    </row>
    <row r="3219" spans="1:238" x14ac:dyDescent="0.4">
      <c r="A3219" s="5">
        <v>8583</v>
      </c>
      <c r="B3219" s="5">
        <v>1</v>
      </c>
      <c r="C3219" s="5">
        <v>2</v>
      </c>
      <c r="D3219" s="5" t="s">
        <v>238</v>
      </c>
      <c r="E3219" s="5" t="s">
        <v>271</v>
      </c>
      <c r="F3219" s="5" t="s">
        <v>248</v>
      </c>
      <c r="G3219" s="5" t="s">
        <v>6686</v>
      </c>
      <c r="I3219" s="8">
        <f>0</f>
        <v>0</v>
      </c>
      <c r="J3219" s="5" t="s">
        <v>265</v>
      </c>
      <c r="K3219" s="8">
        <f>726000</f>
        <v>726000</v>
      </c>
      <c r="L3219" s="6" t="s">
        <v>6687</v>
      </c>
      <c r="M3219" s="5" t="s">
        <v>267</v>
      </c>
      <c r="N3219" s="5" t="s">
        <v>238</v>
      </c>
      <c r="Q3219" s="5" t="s">
        <v>238</v>
      </c>
      <c r="R3219" s="5" t="s">
        <v>238</v>
      </c>
      <c r="S3219" s="5" t="s">
        <v>238</v>
      </c>
      <c r="V3219" s="5" t="s">
        <v>271</v>
      </c>
      <c r="W3219" s="6" t="s">
        <v>238</v>
      </c>
      <c r="X3219" s="6" t="s">
        <v>238</v>
      </c>
      <c r="Y3219" s="5" t="s">
        <v>238</v>
      </c>
      <c r="Z3219" s="6" t="s">
        <v>238</v>
      </c>
      <c r="AA3219" s="6" t="s">
        <v>6687</v>
      </c>
      <c r="AB3219" s="5" t="s">
        <v>6688</v>
      </c>
      <c r="AC3219" s="5" t="s">
        <v>244</v>
      </c>
      <c r="AD3219" s="5" t="s">
        <v>238</v>
      </c>
      <c r="AJ3219" s="5" t="s">
        <v>238</v>
      </c>
      <c r="AK3219" s="5" t="s">
        <v>238</v>
      </c>
      <c r="AL3219" s="5" t="s">
        <v>238</v>
      </c>
      <c r="AM3219" s="6" t="s">
        <v>238</v>
      </c>
      <c r="AN3219" s="6" t="s">
        <v>238</v>
      </c>
      <c r="AO3219" s="6" t="s">
        <v>238</v>
      </c>
      <c r="AR3219" s="5" t="s">
        <v>488</v>
      </c>
      <c r="AS3219" s="5" t="s">
        <v>488</v>
      </c>
      <c r="AT3219" s="5" t="s">
        <v>246</v>
      </c>
      <c r="AU3219" s="5" t="s">
        <v>489</v>
      </c>
      <c r="AV3219" s="5" t="s">
        <v>247</v>
      </c>
      <c r="AW3219" s="5" t="s">
        <v>238</v>
      </c>
      <c r="AX3219" s="5" t="s">
        <v>249</v>
      </c>
      <c r="AY3219" s="5" t="s">
        <v>490</v>
      </c>
      <c r="BA3219" s="5" t="s">
        <v>238</v>
      </c>
      <c r="BC3219" s="5" t="s">
        <v>6518</v>
      </c>
      <c r="BD3219" s="6" t="s">
        <v>6689</v>
      </c>
      <c r="BE3219" s="5" t="s">
        <v>6528</v>
      </c>
      <c r="BF3219" s="5" t="s">
        <v>6529</v>
      </c>
      <c r="BG3219" s="5" t="s">
        <v>238</v>
      </c>
      <c r="BH3219" s="8">
        <f>0</f>
        <v>0</v>
      </c>
      <c r="BI3219" s="8">
        <f>726000</f>
        <v>726000</v>
      </c>
      <c r="BJ3219" s="5" t="s">
        <v>253</v>
      </c>
      <c r="BK3219" s="5" t="s">
        <v>254</v>
      </c>
      <c r="BL3219" s="5" t="s">
        <v>6530</v>
      </c>
      <c r="BM3219" s="5" t="s">
        <v>6531</v>
      </c>
      <c r="BN3219" s="5" t="s">
        <v>6531</v>
      </c>
      <c r="BO3219" s="5" t="s">
        <v>238</v>
      </c>
      <c r="BP3219" s="5" t="s">
        <v>253</v>
      </c>
      <c r="BQ3219" s="5" t="s">
        <v>6532</v>
      </c>
      <c r="BR3219" s="5" t="s">
        <v>6532</v>
      </c>
      <c r="BT3219" s="6" t="s">
        <v>6690</v>
      </c>
      <c r="BU3219" s="5" t="s">
        <v>253</v>
      </c>
      <c r="BV3219" s="5" t="s">
        <v>238</v>
      </c>
      <c r="BW3219" s="5" t="s">
        <v>238</v>
      </c>
      <c r="BX3219" s="5" t="s">
        <v>254</v>
      </c>
      <c r="BY3219" s="5" t="s">
        <v>238</v>
      </c>
      <c r="BZ3219" s="5" t="s">
        <v>238</v>
      </c>
      <c r="CD3219" s="5" t="s">
        <v>238</v>
      </c>
      <c r="CE3219" s="5" t="s">
        <v>238</v>
      </c>
      <c r="CF3219" s="5" t="s">
        <v>261</v>
      </c>
      <c r="CH3219" s="5" t="s">
        <v>238</v>
      </c>
      <c r="CI3219" s="6" t="s">
        <v>257</v>
      </c>
      <c r="CJ3219" s="5" t="s">
        <v>495</v>
      </c>
      <c r="CK3219" s="5" t="s">
        <v>6520</v>
      </c>
      <c r="CL3219" s="5" t="s">
        <v>496</v>
      </c>
      <c r="CM3219" s="5" t="s">
        <v>238</v>
      </c>
      <c r="CN3219" s="5">
        <v>0</v>
      </c>
      <c r="CO3219" s="5" t="s">
        <v>238</v>
      </c>
      <c r="CP3219" s="5" t="s">
        <v>238</v>
      </c>
      <c r="CQ3219" s="5" t="s">
        <v>238</v>
      </c>
      <c r="CR3219" s="5" t="s">
        <v>261</v>
      </c>
      <c r="CS3219" s="5" t="s">
        <v>238</v>
      </c>
      <c r="CT3219" s="7">
        <f>0</f>
        <v>0</v>
      </c>
      <c r="CU3219" s="8">
        <f>726000</f>
        <v>726000</v>
      </c>
      <c r="CV3219" s="8">
        <f>0</f>
        <v>0</v>
      </c>
      <c r="CW3219" s="8">
        <f>0</f>
        <v>0</v>
      </c>
      <c r="CX3219" s="8">
        <f>726000</f>
        <v>726000</v>
      </c>
      <c r="CY3219" s="8">
        <f>726000</f>
        <v>726000</v>
      </c>
      <c r="CZ3219" s="8" t="s">
        <v>238</v>
      </c>
      <c r="DA3219" s="5" t="s">
        <v>238</v>
      </c>
      <c r="DB3219" s="5" t="s">
        <v>238</v>
      </c>
      <c r="DD3219" s="5" t="s">
        <v>238</v>
      </c>
      <c r="DE3219" s="8">
        <f>0</f>
        <v>0</v>
      </c>
      <c r="DF3219" s="6" t="s">
        <v>238</v>
      </c>
      <c r="DG3219" s="5" t="s">
        <v>238</v>
      </c>
      <c r="DH3219" s="5" t="s">
        <v>238</v>
      </c>
      <c r="DI3219" s="5" t="s">
        <v>238</v>
      </c>
      <c r="DJ3219" s="5" t="s">
        <v>238</v>
      </c>
      <c r="DK3219" s="5" t="s">
        <v>238</v>
      </c>
      <c r="DL3219" s="5" t="s">
        <v>238</v>
      </c>
      <c r="DM3219" s="8" t="s">
        <v>238</v>
      </c>
      <c r="DN3219" s="5" t="s">
        <v>238</v>
      </c>
      <c r="DO3219" s="5" t="s">
        <v>244</v>
      </c>
      <c r="DP3219" s="5" t="s">
        <v>490</v>
      </c>
      <c r="DQ3219" s="5" t="s">
        <v>490</v>
      </c>
      <c r="DR3219" s="5" t="s">
        <v>238</v>
      </c>
      <c r="DS3219" s="5" t="s">
        <v>238</v>
      </c>
      <c r="GL3219" s="5" t="s">
        <v>6691</v>
      </c>
      <c r="HP3219" s="5" t="s">
        <v>238</v>
      </c>
      <c r="HQ3219" s="5" t="s">
        <v>238</v>
      </c>
      <c r="HR3219" s="5" t="s">
        <v>238</v>
      </c>
      <c r="HS3219" s="5" t="s">
        <v>238</v>
      </c>
      <c r="HT3219" s="5" t="s">
        <v>238</v>
      </c>
      <c r="HU3219" s="5" t="s">
        <v>238</v>
      </c>
      <c r="HV3219" s="5" t="s">
        <v>238</v>
      </c>
      <c r="HW3219" s="5" t="s">
        <v>238</v>
      </c>
      <c r="HX3219" s="5" t="s">
        <v>238</v>
      </c>
      <c r="HY3219" s="5" t="s">
        <v>238</v>
      </c>
      <c r="HZ3219" s="5" t="s">
        <v>238</v>
      </c>
      <c r="IA3219" s="5" t="s">
        <v>238</v>
      </c>
      <c r="IB3219" s="5" t="s">
        <v>238</v>
      </c>
      <c r="IC3219" s="5" t="s">
        <v>238</v>
      </c>
      <c r="ID3219" s="5" t="s">
        <v>238</v>
      </c>
    </row>
    <row r="3220" spans="1:238" x14ac:dyDescent="0.4">
      <c r="A3220" s="5">
        <v>8584</v>
      </c>
      <c r="B3220" s="5">
        <v>1</v>
      </c>
      <c r="C3220" s="5">
        <v>2</v>
      </c>
      <c r="D3220" s="5" t="s">
        <v>2037</v>
      </c>
      <c r="E3220" s="5" t="s">
        <v>271</v>
      </c>
      <c r="F3220" s="5" t="s">
        <v>248</v>
      </c>
      <c r="G3220" s="5" t="s">
        <v>6627</v>
      </c>
      <c r="H3220" s="6" t="s">
        <v>238</v>
      </c>
      <c r="I3220" s="8">
        <f>0</f>
        <v>0</v>
      </c>
      <c r="J3220" s="5" t="s">
        <v>265</v>
      </c>
      <c r="K3220" s="8">
        <f>247020</f>
        <v>247020</v>
      </c>
      <c r="L3220" s="6" t="s">
        <v>6628</v>
      </c>
      <c r="M3220" s="5" t="s">
        <v>267</v>
      </c>
      <c r="N3220" s="5" t="s">
        <v>238</v>
      </c>
      <c r="Q3220" s="5" t="s">
        <v>239</v>
      </c>
      <c r="R3220" s="5" t="s">
        <v>238</v>
      </c>
      <c r="S3220" s="5" t="s">
        <v>238</v>
      </c>
      <c r="V3220" s="5" t="s">
        <v>271</v>
      </c>
      <c r="W3220" s="6" t="s">
        <v>238</v>
      </c>
      <c r="X3220" s="6" t="s">
        <v>238</v>
      </c>
      <c r="Y3220" s="5" t="s">
        <v>238</v>
      </c>
      <c r="Z3220" s="6" t="s">
        <v>238</v>
      </c>
      <c r="AA3220" s="6" t="s">
        <v>6628</v>
      </c>
      <c r="AB3220" s="5" t="s">
        <v>6629</v>
      </c>
      <c r="AC3220" s="5" t="s">
        <v>244</v>
      </c>
      <c r="AD3220" s="5" t="s">
        <v>238</v>
      </c>
      <c r="AJ3220" s="5" t="s">
        <v>238</v>
      </c>
      <c r="AK3220" s="5" t="s">
        <v>238</v>
      </c>
      <c r="AL3220" s="5" t="s">
        <v>238</v>
      </c>
      <c r="AM3220" s="6" t="s">
        <v>238</v>
      </c>
      <c r="AN3220" s="6" t="s">
        <v>238</v>
      </c>
      <c r="AO3220" s="6" t="s">
        <v>238</v>
      </c>
      <c r="AR3220" s="5" t="s">
        <v>488</v>
      </c>
      <c r="AS3220" s="5" t="s">
        <v>488</v>
      </c>
      <c r="AT3220" s="5" t="s">
        <v>246</v>
      </c>
      <c r="AU3220" s="5" t="s">
        <v>489</v>
      </c>
      <c r="AV3220" s="5" t="s">
        <v>247</v>
      </c>
      <c r="AW3220" s="5" t="s">
        <v>238</v>
      </c>
      <c r="AX3220" s="5" t="s">
        <v>249</v>
      </c>
      <c r="AY3220" s="5" t="s">
        <v>490</v>
      </c>
      <c r="BA3220" s="5" t="s">
        <v>238</v>
      </c>
      <c r="BC3220" s="5" t="s">
        <v>6518</v>
      </c>
      <c r="BD3220" s="6" t="s">
        <v>6630</v>
      </c>
      <c r="BE3220" s="5" t="s">
        <v>6528</v>
      </c>
      <c r="BF3220" s="5" t="s">
        <v>6529</v>
      </c>
      <c r="BG3220" s="5" t="s">
        <v>238</v>
      </c>
      <c r="BH3220" s="8">
        <f>0</f>
        <v>0</v>
      </c>
      <c r="BI3220" s="8">
        <f>247020</f>
        <v>247020</v>
      </c>
      <c r="BJ3220" s="5" t="s">
        <v>253</v>
      </c>
      <c r="BK3220" s="5" t="s">
        <v>254</v>
      </c>
      <c r="BL3220" s="5" t="s">
        <v>6530</v>
      </c>
      <c r="BM3220" s="5" t="s">
        <v>6531</v>
      </c>
      <c r="BN3220" s="5" t="s">
        <v>6531</v>
      </c>
      <c r="BO3220" s="5" t="s">
        <v>238</v>
      </c>
      <c r="BP3220" s="5" t="s">
        <v>253</v>
      </c>
      <c r="BQ3220" s="5" t="s">
        <v>6532</v>
      </c>
      <c r="BR3220" s="5" t="s">
        <v>6532</v>
      </c>
      <c r="BT3220" s="6" t="s">
        <v>6631</v>
      </c>
      <c r="BU3220" s="5" t="s">
        <v>253</v>
      </c>
      <c r="BV3220" s="5" t="s">
        <v>238</v>
      </c>
      <c r="BW3220" s="5" t="s">
        <v>238</v>
      </c>
      <c r="BX3220" s="5" t="s">
        <v>254</v>
      </c>
      <c r="BY3220" s="5" t="s">
        <v>238</v>
      </c>
      <c r="BZ3220" s="5" t="s">
        <v>238</v>
      </c>
      <c r="CD3220" s="5" t="s">
        <v>238</v>
      </c>
      <c r="CE3220" s="5" t="s">
        <v>238</v>
      </c>
      <c r="CF3220" s="5" t="s">
        <v>261</v>
      </c>
      <c r="CH3220" s="5" t="s">
        <v>238</v>
      </c>
      <c r="CI3220" s="6" t="s">
        <v>257</v>
      </c>
      <c r="CJ3220" s="5" t="s">
        <v>495</v>
      </c>
      <c r="CK3220" s="5" t="s">
        <v>6520</v>
      </c>
      <c r="CL3220" s="5" t="s">
        <v>496</v>
      </c>
      <c r="CM3220" s="5" t="s">
        <v>238</v>
      </c>
      <c r="CN3220" s="5">
        <v>0</v>
      </c>
      <c r="CO3220" s="5" t="s">
        <v>238</v>
      </c>
      <c r="CP3220" s="5" t="s">
        <v>238</v>
      </c>
      <c r="CQ3220" s="5" t="s">
        <v>238</v>
      </c>
      <c r="CR3220" s="5" t="s">
        <v>261</v>
      </c>
      <c r="CS3220" s="5" t="s">
        <v>238</v>
      </c>
      <c r="CT3220" s="7">
        <f>0</f>
        <v>0</v>
      </c>
      <c r="CU3220" s="8">
        <f>247020</f>
        <v>247020</v>
      </c>
      <c r="CV3220" s="8">
        <f>0</f>
        <v>0</v>
      </c>
      <c r="CW3220" s="8">
        <f>0</f>
        <v>0</v>
      </c>
      <c r="CX3220" s="8">
        <f>247020</f>
        <v>247020</v>
      </c>
      <c r="CY3220" s="8">
        <f>247020</f>
        <v>247020</v>
      </c>
      <c r="CZ3220" s="8" t="s">
        <v>238</v>
      </c>
      <c r="DA3220" s="5" t="s">
        <v>238</v>
      </c>
      <c r="DB3220" s="5" t="s">
        <v>238</v>
      </c>
      <c r="DD3220" s="5" t="s">
        <v>238</v>
      </c>
      <c r="DE3220" s="8">
        <f>0</f>
        <v>0</v>
      </c>
      <c r="DF3220" s="6" t="s">
        <v>238</v>
      </c>
      <c r="DG3220" s="5" t="s">
        <v>238</v>
      </c>
      <c r="DH3220" s="5" t="s">
        <v>238</v>
      </c>
      <c r="DI3220" s="5" t="s">
        <v>238</v>
      </c>
      <c r="DJ3220" s="5" t="s">
        <v>238</v>
      </c>
      <c r="DK3220" s="5" t="s">
        <v>238</v>
      </c>
      <c r="DL3220" s="5" t="s">
        <v>238</v>
      </c>
      <c r="DM3220" s="8" t="s">
        <v>238</v>
      </c>
      <c r="DN3220" s="5" t="s">
        <v>238</v>
      </c>
      <c r="DO3220" s="5" t="s">
        <v>244</v>
      </c>
      <c r="DP3220" s="5" t="s">
        <v>490</v>
      </c>
      <c r="DQ3220" s="5" t="s">
        <v>490</v>
      </c>
      <c r="DR3220" s="5" t="s">
        <v>238</v>
      </c>
      <c r="DS3220" s="5" t="s">
        <v>238</v>
      </c>
      <c r="HP3220" s="5" t="s">
        <v>238</v>
      </c>
      <c r="HQ3220" s="5" t="s">
        <v>238</v>
      </c>
      <c r="HR3220" s="5" t="s">
        <v>238</v>
      </c>
      <c r="HS3220" s="5" t="s">
        <v>238</v>
      </c>
      <c r="HT3220" s="5" t="s">
        <v>238</v>
      </c>
      <c r="HU3220" s="5" t="s">
        <v>238</v>
      </c>
      <c r="HV3220" s="5" t="s">
        <v>238</v>
      </c>
      <c r="HW3220" s="5" t="s">
        <v>238</v>
      </c>
      <c r="HX3220" s="5" t="s">
        <v>238</v>
      </c>
      <c r="HY3220" s="5" t="s">
        <v>238</v>
      </c>
      <c r="HZ3220" s="5" t="s">
        <v>238</v>
      </c>
      <c r="IA3220" s="5" t="s">
        <v>238</v>
      </c>
      <c r="IB3220" s="5" t="s">
        <v>238</v>
      </c>
      <c r="IC3220" s="5" t="s">
        <v>238</v>
      </c>
      <c r="ID3220" s="5" t="s">
        <v>238</v>
      </c>
    </row>
    <row r="3221" spans="1:238" x14ac:dyDescent="0.4">
      <c r="A3221" s="5">
        <v>8585</v>
      </c>
      <c r="B3221" s="5">
        <v>1</v>
      </c>
      <c r="C3221" s="5">
        <v>2</v>
      </c>
      <c r="D3221" s="5" t="s">
        <v>238</v>
      </c>
      <c r="E3221" s="5" t="s">
        <v>271</v>
      </c>
      <c r="F3221" s="5" t="s">
        <v>248</v>
      </c>
      <c r="G3221" s="5" t="s">
        <v>6916</v>
      </c>
      <c r="I3221" s="8">
        <f>0</f>
        <v>0</v>
      </c>
      <c r="J3221" s="5" t="s">
        <v>265</v>
      </c>
      <c r="K3221" s="8">
        <f>199276</f>
        <v>199276</v>
      </c>
      <c r="L3221" s="6" t="s">
        <v>6917</v>
      </c>
      <c r="M3221" s="5" t="s">
        <v>267</v>
      </c>
      <c r="N3221" s="5" t="s">
        <v>238</v>
      </c>
      <c r="Q3221" s="5" t="s">
        <v>238</v>
      </c>
      <c r="R3221" s="5" t="s">
        <v>238</v>
      </c>
      <c r="S3221" s="5" t="s">
        <v>238</v>
      </c>
      <c r="V3221" s="5" t="s">
        <v>271</v>
      </c>
      <c r="W3221" s="6" t="s">
        <v>238</v>
      </c>
      <c r="X3221" s="6" t="s">
        <v>238</v>
      </c>
      <c r="Y3221" s="5" t="s">
        <v>238</v>
      </c>
      <c r="Z3221" s="6" t="s">
        <v>238</v>
      </c>
      <c r="AA3221" s="6" t="s">
        <v>6917</v>
      </c>
      <c r="AB3221" s="5" t="s">
        <v>6918</v>
      </c>
      <c r="AC3221" s="5" t="s">
        <v>244</v>
      </c>
      <c r="AD3221" s="5" t="s">
        <v>238</v>
      </c>
      <c r="AJ3221" s="5" t="s">
        <v>238</v>
      </c>
      <c r="AK3221" s="5" t="s">
        <v>238</v>
      </c>
      <c r="AL3221" s="5" t="s">
        <v>238</v>
      </c>
      <c r="AM3221" s="6" t="s">
        <v>238</v>
      </c>
      <c r="AN3221" s="6" t="s">
        <v>238</v>
      </c>
      <c r="AO3221" s="6" t="s">
        <v>238</v>
      </c>
      <c r="AR3221" s="5" t="s">
        <v>488</v>
      </c>
      <c r="AS3221" s="5" t="s">
        <v>488</v>
      </c>
      <c r="AT3221" s="5" t="s">
        <v>246</v>
      </c>
      <c r="AU3221" s="5" t="s">
        <v>489</v>
      </c>
      <c r="AV3221" s="5" t="s">
        <v>247</v>
      </c>
      <c r="AW3221" s="5" t="s">
        <v>238</v>
      </c>
      <c r="AX3221" s="5" t="s">
        <v>249</v>
      </c>
      <c r="AY3221" s="5" t="s">
        <v>490</v>
      </c>
      <c r="BA3221" s="5" t="s">
        <v>238</v>
      </c>
      <c r="BC3221" s="5" t="s">
        <v>6518</v>
      </c>
      <c r="BD3221" s="6" t="s">
        <v>6919</v>
      </c>
      <c r="BE3221" s="5" t="s">
        <v>6528</v>
      </c>
      <c r="BF3221" s="5" t="s">
        <v>6529</v>
      </c>
      <c r="BG3221" s="5" t="s">
        <v>238</v>
      </c>
      <c r="BH3221" s="8">
        <f>0</f>
        <v>0</v>
      </c>
      <c r="BI3221" s="8">
        <f>199276</f>
        <v>199276</v>
      </c>
      <c r="BJ3221" s="5" t="s">
        <v>253</v>
      </c>
      <c r="BK3221" s="5" t="s">
        <v>254</v>
      </c>
      <c r="BL3221" s="5" t="s">
        <v>6530</v>
      </c>
      <c r="BM3221" s="5" t="s">
        <v>6531</v>
      </c>
      <c r="BN3221" s="5" t="s">
        <v>6531</v>
      </c>
      <c r="BO3221" s="5" t="s">
        <v>238</v>
      </c>
      <c r="BP3221" s="5" t="s">
        <v>253</v>
      </c>
      <c r="BQ3221" s="5" t="s">
        <v>6532</v>
      </c>
      <c r="BR3221" s="5" t="s">
        <v>6532</v>
      </c>
      <c r="BT3221" s="6" t="s">
        <v>6920</v>
      </c>
      <c r="BU3221" s="5" t="s">
        <v>253</v>
      </c>
      <c r="BV3221" s="5" t="s">
        <v>238</v>
      </c>
      <c r="BW3221" s="5" t="s">
        <v>238</v>
      </c>
      <c r="BX3221" s="5" t="s">
        <v>254</v>
      </c>
      <c r="BY3221" s="5" t="s">
        <v>238</v>
      </c>
      <c r="BZ3221" s="5" t="s">
        <v>238</v>
      </c>
      <c r="CD3221" s="5" t="s">
        <v>238</v>
      </c>
      <c r="CE3221" s="5" t="s">
        <v>238</v>
      </c>
      <c r="CF3221" s="5" t="s">
        <v>261</v>
      </c>
      <c r="CH3221" s="5" t="s">
        <v>238</v>
      </c>
      <c r="CI3221" s="6" t="s">
        <v>257</v>
      </c>
      <c r="CJ3221" s="5" t="s">
        <v>495</v>
      </c>
      <c r="CK3221" s="5" t="s">
        <v>6520</v>
      </c>
      <c r="CL3221" s="5" t="s">
        <v>496</v>
      </c>
      <c r="CM3221" s="5" t="s">
        <v>238</v>
      </c>
      <c r="CN3221" s="5">
        <v>0</v>
      </c>
      <c r="CO3221" s="5" t="s">
        <v>238</v>
      </c>
      <c r="CP3221" s="5" t="s">
        <v>238</v>
      </c>
      <c r="CQ3221" s="5" t="s">
        <v>238</v>
      </c>
      <c r="CR3221" s="5" t="s">
        <v>261</v>
      </c>
      <c r="CS3221" s="5" t="s">
        <v>238</v>
      </c>
      <c r="CT3221" s="7">
        <f>0</f>
        <v>0</v>
      </c>
      <c r="CU3221" s="8">
        <f>199276</f>
        <v>199276</v>
      </c>
      <c r="CV3221" s="8">
        <f>0</f>
        <v>0</v>
      </c>
      <c r="CW3221" s="8">
        <f>0</f>
        <v>0</v>
      </c>
      <c r="CX3221" s="8">
        <f>199276</f>
        <v>199276</v>
      </c>
      <c r="CY3221" s="8">
        <f>199276</f>
        <v>199276</v>
      </c>
      <c r="CZ3221" s="8" t="s">
        <v>238</v>
      </c>
      <c r="DA3221" s="5" t="s">
        <v>238</v>
      </c>
      <c r="DB3221" s="5" t="s">
        <v>238</v>
      </c>
      <c r="DD3221" s="5" t="s">
        <v>238</v>
      </c>
      <c r="DE3221" s="8">
        <f>0</f>
        <v>0</v>
      </c>
      <c r="DF3221" s="6" t="s">
        <v>238</v>
      </c>
      <c r="DG3221" s="5" t="s">
        <v>238</v>
      </c>
      <c r="DH3221" s="5" t="s">
        <v>238</v>
      </c>
      <c r="DI3221" s="5" t="s">
        <v>238</v>
      </c>
      <c r="DJ3221" s="5" t="s">
        <v>238</v>
      </c>
      <c r="DK3221" s="5" t="s">
        <v>238</v>
      </c>
      <c r="DL3221" s="5" t="s">
        <v>238</v>
      </c>
      <c r="DM3221" s="8" t="s">
        <v>238</v>
      </c>
      <c r="DN3221" s="5" t="s">
        <v>238</v>
      </c>
      <c r="DO3221" s="5" t="s">
        <v>244</v>
      </c>
      <c r="DP3221" s="5" t="s">
        <v>490</v>
      </c>
      <c r="DQ3221" s="5" t="s">
        <v>490</v>
      </c>
      <c r="DR3221" s="5" t="s">
        <v>238</v>
      </c>
      <c r="DS3221" s="5" t="s">
        <v>238</v>
      </c>
      <c r="GL3221" s="5" t="s">
        <v>6921</v>
      </c>
      <c r="HP3221" s="5" t="s">
        <v>238</v>
      </c>
      <c r="HQ3221" s="5" t="s">
        <v>238</v>
      </c>
      <c r="HR3221" s="5" t="s">
        <v>238</v>
      </c>
      <c r="HS3221" s="5" t="s">
        <v>238</v>
      </c>
      <c r="HT3221" s="5" t="s">
        <v>238</v>
      </c>
      <c r="HU3221" s="5" t="s">
        <v>238</v>
      </c>
      <c r="HV3221" s="5" t="s">
        <v>238</v>
      </c>
      <c r="HW3221" s="5" t="s">
        <v>238</v>
      </c>
      <c r="HX3221" s="5" t="s">
        <v>238</v>
      </c>
      <c r="HY3221" s="5" t="s">
        <v>238</v>
      </c>
      <c r="HZ3221" s="5" t="s">
        <v>238</v>
      </c>
      <c r="IA3221" s="5" t="s">
        <v>238</v>
      </c>
      <c r="IB3221" s="5" t="s">
        <v>238</v>
      </c>
      <c r="IC3221" s="5" t="s">
        <v>238</v>
      </c>
      <c r="ID3221" s="5" t="s">
        <v>238</v>
      </c>
    </row>
    <row r="3222" spans="1:238" x14ac:dyDescent="0.4">
      <c r="A3222" s="5">
        <v>8586</v>
      </c>
      <c r="B3222" s="5">
        <v>1</v>
      </c>
      <c r="C3222" s="5">
        <v>2</v>
      </c>
      <c r="D3222" s="5" t="s">
        <v>238</v>
      </c>
      <c r="E3222" s="5" t="s">
        <v>271</v>
      </c>
      <c r="F3222" s="5" t="s">
        <v>248</v>
      </c>
      <c r="G3222" s="5" t="s">
        <v>6864</v>
      </c>
      <c r="I3222" s="8">
        <f>0</f>
        <v>0</v>
      </c>
      <c r="J3222" s="5" t="s">
        <v>265</v>
      </c>
      <c r="K3222" s="8">
        <f>198000</f>
        <v>198000</v>
      </c>
      <c r="L3222" s="6" t="s">
        <v>6865</v>
      </c>
      <c r="M3222" s="5" t="s">
        <v>267</v>
      </c>
      <c r="N3222" s="5" t="s">
        <v>238</v>
      </c>
      <c r="Q3222" s="5" t="s">
        <v>238</v>
      </c>
      <c r="R3222" s="5" t="s">
        <v>238</v>
      </c>
      <c r="S3222" s="5" t="s">
        <v>238</v>
      </c>
      <c r="V3222" s="5" t="s">
        <v>271</v>
      </c>
      <c r="W3222" s="6" t="s">
        <v>238</v>
      </c>
      <c r="X3222" s="6" t="s">
        <v>238</v>
      </c>
      <c r="Y3222" s="5" t="s">
        <v>238</v>
      </c>
      <c r="Z3222" s="6" t="s">
        <v>238</v>
      </c>
      <c r="AA3222" s="6" t="s">
        <v>6865</v>
      </c>
      <c r="AB3222" s="5" t="s">
        <v>6866</v>
      </c>
      <c r="AC3222" s="5" t="s">
        <v>244</v>
      </c>
      <c r="AD3222" s="5" t="s">
        <v>238</v>
      </c>
      <c r="AJ3222" s="5" t="s">
        <v>238</v>
      </c>
      <c r="AK3222" s="5" t="s">
        <v>238</v>
      </c>
      <c r="AL3222" s="5" t="s">
        <v>238</v>
      </c>
      <c r="AM3222" s="6" t="s">
        <v>238</v>
      </c>
      <c r="AN3222" s="6" t="s">
        <v>238</v>
      </c>
      <c r="AO3222" s="6" t="s">
        <v>238</v>
      </c>
      <c r="AR3222" s="5" t="s">
        <v>488</v>
      </c>
      <c r="AS3222" s="5" t="s">
        <v>488</v>
      </c>
      <c r="AT3222" s="5" t="s">
        <v>246</v>
      </c>
      <c r="AU3222" s="5" t="s">
        <v>489</v>
      </c>
      <c r="AV3222" s="5" t="s">
        <v>247</v>
      </c>
      <c r="AW3222" s="5" t="s">
        <v>238</v>
      </c>
      <c r="AX3222" s="5" t="s">
        <v>249</v>
      </c>
      <c r="AY3222" s="5" t="s">
        <v>490</v>
      </c>
      <c r="BA3222" s="5" t="s">
        <v>238</v>
      </c>
      <c r="BC3222" s="5" t="s">
        <v>6518</v>
      </c>
      <c r="BD3222" s="6" t="s">
        <v>6867</v>
      </c>
      <c r="BE3222" s="5" t="s">
        <v>6528</v>
      </c>
      <c r="BF3222" s="5" t="s">
        <v>6529</v>
      </c>
      <c r="BG3222" s="5" t="s">
        <v>238</v>
      </c>
      <c r="BH3222" s="8">
        <f>0</f>
        <v>0</v>
      </c>
      <c r="BI3222" s="8">
        <f>198000</f>
        <v>198000</v>
      </c>
      <c r="BJ3222" s="5" t="s">
        <v>253</v>
      </c>
      <c r="BK3222" s="5" t="s">
        <v>254</v>
      </c>
      <c r="BL3222" s="5" t="s">
        <v>6530</v>
      </c>
      <c r="BM3222" s="5" t="s">
        <v>6531</v>
      </c>
      <c r="BN3222" s="5" t="s">
        <v>6531</v>
      </c>
      <c r="BO3222" s="5" t="s">
        <v>238</v>
      </c>
      <c r="BP3222" s="5" t="s">
        <v>253</v>
      </c>
      <c r="BQ3222" s="5" t="s">
        <v>6532</v>
      </c>
      <c r="BR3222" s="5" t="s">
        <v>6532</v>
      </c>
      <c r="BT3222" s="6" t="s">
        <v>6868</v>
      </c>
      <c r="BU3222" s="5" t="s">
        <v>253</v>
      </c>
      <c r="BV3222" s="5" t="s">
        <v>238</v>
      </c>
      <c r="BW3222" s="5" t="s">
        <v>238</v>
      </c>
      <c r="BX3222" s="5" t="s">
        <v>254</v>
      </c>
      <c r="BY3222" s="5" t="s">
        <v>238</v>
      </c>
      <c r="BZ3222" s="5" t="s">
        <v>238</v>
      </c>
      <c r="CD3222" s="5" t="s">
        <v>238</v>
      </c>
      <c r="CE3222" s="5" t="s">
        <v>238</v>
      </c>
      <c r="CF3222" s="5" t="s">
        <v>261</v>
      </c>
      <c r="CH3222" s="5" t="s">
        <v>238</v>
      </c>
      <c r="CI3222" s="6" t="s">
        <v>257</v>
      </c>
      <c r="CJ3222" s="5" t="s">
        <v>495</v>
      </c>
      <c r="CK3222" s="5" t="s">
        <v>6520</v>
      </c>
      <c r="CL3222" s="5" t="s">
        <v>496</v>
      </c>
      <c r="CM3222" s="5" t="s">
        <v>238</v>
      </c>
      <c r="CN3222" s="5">
        <v>0</v>
      </c>
      <c r="CO3222" s="5" t="s">
        <v>238</v>
      </c>
      <c r="CP3222" s="5" t="s">
        <v>238</v>
      </c>
      <c r="CQ3222" s="5" t="s">
        <v>238</v>
      </c>
      <c r="CR3222" s="5" t="s">
        <v>261</v>
      </c>
      <c r="CS3222" s="5" t="s">
        <v>238</v>
      </c>
      <c r="CT3222" s="7">
        <f>0</f>
        <v>0</v>
      </c>
      <c r="CU3222" s="8">
        <f>198000</f>
        <v>198000</v>
      </c>
      <c r="CV3222" s="8">
        <f>0</f>
        <v>0</v>
      </c>
      <c r="CW3222" s="8">
        <f>0</f>
        <v>0</v>
      </c>
      <c r="CX3222" s="8">
        <f>198000</f>
        <v>198000</v>
      </c>
      <c r="CY3222" s="8">
        <f>198000</f>
        <v>198000</v>
      </c>
      <c r="CZ3222" s="8" t="s">
        <v>238</v>
      </c>
      <c r="DA3222" s="5" t="s">
        <v>238</v>
      </c>
      <c r="DB3222" s="5" t="s">
        <v>238</v>
      </c>
      <c r="DD3222" s="5" t="s">
        <v>238</v>
      </c>
      <c r="DE3222" s="8">
        <f>0</f>
        <v>0</v>
      </c>
      <c r="DF3222" s="6" t="s">
        <v>238</v>
      </c>
      <c r="DG3222" s="5" t="s">
        <v>238</v>
      </c>
      <c r="DH3222" s="5" t="s">
        <v>238</v>
      </c>
      <c r="DI3222" s="5" t="s">
        <v>238</v>
      </c>
      <c r="DJ3222" s="5" t="s">
        <v>238</v>
      </c>
      <c r="DK3222" s="5" t="s">
        <v>238</v>
      </c>
      <c r="DL3222" s="5" t="s">
        <v>238</v>
      </c>
      <c r="DM3222" s="8" t="s">
        <v>238</v>
      </c>
      <c r="DN3222" s="5" t="s">
        <v>238</v>
      </c>
      <c r="DO3222" s="5" t="s">
        <v>244</v>
      </c>
      <c r="DP3222" s="5" t="s">
        <v>490</v>
      </c>
      <c r="DQ3222" s="5" t="s">
        <v>490</v>
      </c>
      <c r="DR3222" s="5" t="s">
        <v>238</v>
      </c>
      <c r="DS3222" s="5" t="s">
        <v>238</v>
      </c>
      <c r="GL3222" s="5" t="s">
        <v>6869</v>
      </c>
      <c r="HP3222" s="5" t="s">
        <v>238</v>
      </c>
      <c r="HQ3222" s="5" t="s">
        <v>238</v>
      </c>
      <c r="HR3222" s="5" t="s">
        <v>238</v>
      </c>
      <c r="HS3222" s="5" t="s">
        <v>238</v>
      </c>
      <c r="HT3222" s="5" t="s">
        <v>238</v>
      </c>
      <c r="HU3222" s="5" t="s">
        <v>238</v>
      </c>
      <c r="HV3222" s="5" t="s">
        <v>238</v>
      </c>
      <c r="HW3222" s="5" t="s">
        <v>238</v>
      </c>
      <c r="HX3222" s="5" t="s">
        <v>238</v>
      </c>
      <c r="HY3222" s="5" t="s">
        <v>238</v>
      </c>
      <c r="HZ3222" s="5" t="s">
        <v>238</v>
      </c>
      <c r="IA3222" s="5" t="s">
        <v>238</v>
      </c>
      <c r="IB3222" s="5" t="s">
        <v>238</v>
      </c>
      <c r="IC3222" s="5" t="s">
        <v>238</v>
      </c>
      <c r="ID3222" s="5" t="s">
        <v>238</v>
      </c>
    </row>
    <row r="3223" spans="1:238" x14ac:dyDescent="0.4">
      <c r="A3223" s="5">
        <v>8587</v>
      </c>
      <c r="B3223" s="5">
        <v>1</v>
      </c>
      <c r="C3223" s="5">
        <v>3</v>
      </c>
      <c r="D3223" s="5" t="s">
        <v>2037</v>
      </c>
      <c r="E3223" s="5" t="s">
        <v>271</v>
      </c>
      <c r="F3223" s="5" t="s">
        <v>248</v>
      </c>
      <c r="G3223" s="5" t="s">
        <v>6887</v>
      </c>
      <c r="H3223" s="6" t="s">
        <v>6889</v>
      </c>
      <c r="I3223" s="8">
        <f>1</f>
        <v>1</v>
      </c>
      <c r="J3223" s="5" t="s">
        <v>6542</v>
      </c>
      <c r="K3223" s="8">
        <f>17114564</f>
        <v>17114564</v>
      </c>
      <c r="L3223" s="6" t="s">
        <v>6888</v>
      </c>
      <c r="M3223" s="5" t="s">
        <v>267</v>
      </c>
      <c r="N3223" s="5" t="s">
        <v>238</v>
      </c>
      <c r="Q3223" s="5" t="s">
        <v>238</v>
      </c>
      <c r="R3223" s="5" t="s">
        <v>238</v>
      </c>
      <c r="S3223" s="5" t="s">
        <v>238</v>
      </c>
      <c r="V3223" s="5" t="s">
        <v>2587</v>
      </c>
      <c r="W3223" s="6" t="s">
        <v>238</v>
      </c>
      <c r="X3223" s="6" t="s">
        <v>238</v>
      </c>
      <c r="Y3223" s="5" t="s">
        <v>238</v>
      </c>
      <c r="Z3223" s="6" t="s">
        <v>238</v>
      </c>
      <c r="AA3223" s="6" t="s">
        <v>6888</v>
      </c>
      <c r="AB3223" s="5" t="s">
        <v>238</v>
      </c>
      <c r="AC3223" s="5" t="s">
        <v>244</v>
      </c>
      <c r="AD3223" s="5" t="s">
        <v>238</v>
      </c>
      <c r="AJ3223" s="5" t="s">
        <v>238</v>
      </c>
      <c r="AK3223" s="5" t="s">
        <v>238</v>
      </c>
      <c r="AL3223" s="5" t="s">
        <v>238</v>
      </c>
      <c r="AM3223" s="6" t="s">
        <v>238</v>
      </c>
      <c r="AN3223" s="6" t="s">
        <v>238</v>
      </c>
      <c r="AO3223" s="6" t="s">
        <v>238</v>
      </c>
      <c r="AR3223" s="5" t="s">
        <v>488</v>
      </c>
      <c r="AS3223" s="5" t="s">
        <v>488</v>
      </c>
      <c r="AT3223" s="5" t="s">
        <v>246</v>
      </c>
      <c r="AU3223" s="5" t="s">
        <v>489</v>
      </c>
      <c r="AV3223" s="5" t="s">
        <v>247</v>
      </c>
      <c r="AW3223" s="5" t="s">
        <v>238</v>
      </c>
      <c r="AX3223" s="5" t="s">
        <v>249</v>
      </c>
      <c r="AY3223" s="5" t="s">
        <v>490</v>
      </c>
      <c r="BA3223" s="5" t="s">
        <v>238</v>
      </c>
      <c r="BC3223" s="5" t="s">
        <v>6518</v>
      </c>
      <c r="BD3223" s="6" t="s">
        <v>6757</v>
      </c>
      <c r="BE3223" s="5" t="s">
        <v>6528</v>
      </c>
      <c r="BF3223" s="5" t="s">
        <v>6529</v>
      </c>
      <c r="BG3223" s="5" t="s">
        <v>238</v>
      </c>
      <c r="BH3223" s="8">
        <f>0</f>
        <v>0</v>
      </c>
      <c r="BI3223" s="8">
        <f>96000</f>
        <v>96000</v>
      </c>
      <c r="BJ3223" s="5" t="s">
        <v>253</v>
      </c>
      <c r="BK3223" s="5" t="s">
        <v>254</v>
      </c>
      <c r="BL3223" s="5" t="s">
        <v>6530</v>
      </c>
      <c r="BM3223" s="5" t="s">
        <v>6531</v>
      </c>
      <c r="BN3223" s="5" t="s">
        <v>6540</v>
      </c>
      <c r="BO3223" s="5" t="s">
        <v>238</v>
      </c>
      <c r="BP3223" s="5" t="s">
        <v>253</v>
      </c>
      <c r="BQ3223" s="5" t="s">
        <v>6532</v>
      </c>
      <c r="BR3223" s="5" t="s">
        <v>6532</v>
      </c>
      <c r="BT3223" s="6" t="s">
        <v>6890</v>
      </c>
      <c r="BU3223" s="5" t="s">
        <v>253</v>
      </c>
      <c r="BV3223" s="5" t="s">
        <v>238</v>
      </c>
      <c r="BW3223" s="5" t="s">
        <v>238</v>
      </c>
      <c r="BX3223" s="5" t="s">
        <v>254</v>
      </c>
      <c r="BY3223" s="5" t="s">
        <v>238</v>
      </c>
      <c r="BZ3223" s="5" t="s">
        <v>238</v>
      </c>
      <c r="CD3223" s="5" t="s">
        <v>238</v>
      </c>
      <c r="CE3223" s="5" t="s">
        <v>238</v>
      </c>
      <c r="CF3223" s="5" t="s">
        <v>261</v>
      </c>
      <c r="CH3223" s="5" t="s">
        <v>238</v>
      </c>
      <c r="CI3223" s="6" t="s">
        <v>257</v>
      </c>
      <c r="CJ3223" s="5" t="s">
        <v>495</v>
      </c>
      <c r="CK3223" s="5" t="s">
        <v>6520</v>
      </c>
      <c r="CL3223" s="5" t="s">
        <v>496</v>
      </c>
      <c r="CM3223" s="5" t="s">
        <v>238</v>
      </c>
      <c r="CN3223" s="5">
        <v>0</v>
      </c>
      <c r="CO3223" s="5" t="s">
        <v>238</v>
      </c>
      <c r="CP3223" s="5" t="s">
        <v>238</v>
      </c>
      <c r="CQ3223" s="5" t="s">
        <v>238</v>
      </c>
      <c r="CR3223" s="5" t="s">
        <v>261</v>
      </c>
      <c r="CS3223" s="5" t="s">
        <v>238</v>
      </c>
      <c r="CT3223" s="7">
        <f>17114564</f>
        <v>17114564</v>
      </c>
      <c r="CU3223" s="8">
        <f>17114564</f>
        <v>17114564</v>
      </c>
      <c r="CV3223" s="8">
        <f>0</f>
        <v>0</v>
      </c>
      <c r="CW3223" s="8">
        <f>0</f>
        <v>0</v>
      </c>
      <c r="CX3223" s="8">
        <f>17114564</f>
        <v>17114564</v>
      </c>
      <c r="CY3223" s="8">
        <f>17114564</f>
        <v>17114564</v>
      </c>
      <c r="CZ3223" s="8" t="s">
        <v>238</v>
      </c>
      <c r="DA3223" s="5" t="s">
        <v>238</v>
      </c>
      <c r="DB3223" s="5" t="s">
        <v>238</v>
      </c>
      <c r="DD3223" s="5" t="s">
        <v>238</v>
      </c>
      <c r="DE3223" s="8">
        <f>0</f>
        <v>0</v>
      </c>
      <c r="DF3223" s="6" t="s">
        <v>238</v>
      </c>
      <c r="DG3223" s="5" t="s">
        <v>238</v>
      </c>
      <c r="DH3223" s="5" t="s">
        <v>238</v>
      </c>
      <c r="DI3223" s="5" t="s">
        <v>238</v>
      </c>
      <c r="DJ3223" s="5" t="s">
        <v>238</v>
      </c>
      <c r="DK3223" s="5" t="s">
        <v>238</v>
      </c>
      <c r="DL3223" s="5" t="s">
        <v>238</v>
      </c>
      <c r="DM3223" s="8" t="s">
        <v>238</v>
      </c>
      <c r="DN3223" s="5" t="s">
        <v>238</v>
      </c>
      <c r="DO3223" s="5" t="s">
        <v>244</v>
      </c>
      <c r="DP3223" s="5" t="s">
        <v>490</v>
      </c>
      <c r="DQ3223" s="5" t="s">
        <v>490</v>
      </c>
      <c r="DR3223" s="5" t="s">
        <v>238</v>
      </c>
      <c r="DS3223" s="5" t="s">
        <v>238</v>
      </c>
      <c r="GL3223" s="5" t="s">
        <v>6891</v>
      </c>
      <c r="HP3223" s="5" t="s">
        <v>238</v>
      </c>
      <c r="HQ3223" s="5" t="s">
        <v>238</v>
      </c>
      <c r="HR3223" s="5" t="s">
        <v>238</v>
      </c>
      <c r="HS3223" s="5" t="s">
        <v>238</v>
      </c>
      <c r="HT3223" s="5" t="s">
        <v>238</v>
      </c>
      <c r="HU3223" s="5" t="s">
        <v>238</v>
      </c>
      <c r="HV3223" s="5" t="s">
        <v>238</v>
      </c>
      <c r="HW3223" s="5" t="s">
        <v>238</v>
      </c>
      <c r="HX3223" s="5" t="s">
        <v>238</v>
      </c>
      <c r="HY3223" s="5" t="s">
        <v>238</v>
      </c>
      <c r="HZ3223" s="5" t="s">
        <v>238</v>
      </c>
      <c r="IA3223" s="5" t="s">
        <v>238</v>
      </c>
      <c r="IB3223" s="5" t="s">
        <v>238</v>
      </c>
      <c r="IC3223" s="5" t="s">
        <v>238</v>
      </c>
      <c r="ID3223" s="5" t="s">
        <v>238</v>
      </c>
    </row>
    <row r="3224" spans="1:238" x14ac:dyDescent="0.4">
      <c r="A3224" s="5">
        <v>8588</v>
      </c>
      <c r="B3224" s="5">
        <v>1</v>
      </c>
      <c r="C3224" s="5">
        <v>2</v>
      </c>
      <c r="D3224" s="5" t="s">
        <v>238</v>
      </c>
      <c r="E3224" s="5" t="s">
        <v>271</v>
      </c>
      <c r="F3224" s="5" t="s">
        <v>248</v>
      </c>
      <c r="G3224" s="5" t="s">
        <v>6742</v>
      </c>
      <c r="H3224" s="6" t="s">
        <v>6744</v>
      </c>
      <c r="I3224" s="8">
        <f>1</f>
        <v>1</v>
      </c>
      <c r="J3224" s="5" t="s">
        <v>6542</v>
      </c>
      <c r="K3224" s="8">
        <f>29278612</f>
        <v>29278612</v>
      </c>
      <c r="L3224" s="6" t="s">
        <v>6743</v>
      </c>
      <c r="M3224" s="5" t="s">
        <v>267</v>
      </c>
      <c r="N3224" s="5" t="s">
        <v>238</v>
      </c>
      <c r="Q3224" s="5" t="s">
        <v>238</v>
      </c>
      <c r="R3224" s="5" t="s">
        <v>238</v>
      </c>
      <c r="S3224" s="5" t="s">
        <v>238</v>
      </c>
      <c r="V3224" s="5" t="s">
        <v>2587</v>
      </c>
      <c r="W3224" s="6" t="s">
        <v>238</v>
      </c>
      <c r="X3224" s="6" t="s">
        <v>238</v>
      </c>
      <c r="Y3224" s="5" t="s">
        <v>238</v>
      </c>
      <c r="Z3224" s="6" t="s">
        <v>238</v>
      </c>
      <c r="AA3224" s="6" t="s">
        <v>6743</v>
      </c>
      <c r="AB3224" s="5" t="s">
        <v>6554</v>
      </c>
      <c r="AC3224" s="5" t="s">
        <v>244</v>
      </c>
      <c r="AD3224" s="5" t="s">
        <v>238</v>
      </c>
      <c r="AJ3224" s="5" t="s">
        <v>238</v>
      </c>
      <c r="AK3224" s="5" t="s">
        <v>238</v>
      </c>
      <c r="AL3224" s="5" t="s">
        <v>238</v>
      </c>
      <c r="AM3224" s="6" t="s">
        <v>238</v>
      </c>
      <c r="AN3224" s="6" t="s">
        <v>238</v>
      </c>
      <c r="AO3224" s="6" t="s">
        <v>238</v>
      </c>
      <c r="AR3224" s="5" t="s">
        <v>488</v>
      </c>
      <c r="AS3224" s="5" t="s">
        <v>488</v>
      </c>
      <c r="AT3224" s="5" t="s">
        <v>246</v>
      </c>
      <c r="AU3224" s="5" t="s">
        <v>489</v>
      </c>
      <c r="AV3224" s="5" t="s">
        <v>247</v>
      </c>
      <c r="AW3224" s="5" t="s">
        <v>238</v>
      </c>
      <c r="AX3224" s="5" t="s">
        <v>249</v>
      </c>
      <c r="AY3224" s="5" t="s">
        <v>490</v>
      </c>
      <c r="BA3224" s="5" t="s">
        <v>238</v>
      </c>
      <c r="BC3224" s="5" t="s">
        <v>6518</v>
      </c>
      <c r="BD3224" s="6" t="s">
        <v>6745</v>
      </c>
      <c r="BE3224" s="5" t="s">
        <v>6528</v>
      </c>
      <c r="BF3224" s="5" t="s">
        <v>6529</v>
      </c>
      <c r="BG3224" s="5" t="s">
        <v>238</v>
      </c>
      <c r="BH3224" s="8">
        <f>0</f>
        <v>0</v>
      </c>
      <c r="BI3224" s="8">
        <f>326269</f>
        <v>326269</v>
      </c>
      <c r="BJ3224" s="5" t="s">
        <v>253</v>
      </c>
      <c r="BK3224" s="5" t="s">
        <v>254</v>
      </c>
      <c r="BL3224" s="5" t="s">
        <v>6530</v>
      </c>
      <c r="BM3224" s="5" t="s">
        <v>6531</v>
      </c>
      <c r="BN3224" s="5" t="s">
        <v>6540</v>
      </c>
      <c r="BO3224" s="5" t="s">
        <v>238</v>
      </c>
      <c r="BP3224" s="5" t="s">
        <v>253</v>
      </c>
      <c r="BQ3224" s="5" t="s">
        <v>6532</v>
      </c>
      <c r="BR3224" s="5" t="s">
        <v>6532</v>
      </c>
      <c r="BT3224" s="6" t="s">
        <v>6746</v>
      </c>
      <c r="BU3224" s="5" t="s">
        <v>253</v>
      </c>
      <c r="BV3224" s="5" t="s">
        <v>238</v>
      </c>
      <c r="BW3224" s="5" t="s">
        <v>238</v>
      </c>
      <c r="BX3224" s="5" t="s">
        <v>254</v>
      </c>
      <c r="BY3224" s="5" t="s">
        <v>238</v>
      </c>
      <c r="BZ3224" s="5" t="s">
        <v>238</v>
      </c>
      <c r="CD3224" s="5" t="s">
        <v>238</v>
      </c>
      <c r="CE3224" s="5" t="s">
        <v>238</v>
      </c>
      <c r="CF3224" s="5" t="s">
        <v>261</v>
      </c>
      <c r="CH3224" s="5" t="s">
        <v>238</v>
      </c>
      <c r="CI3224" s="6" t="s">
        <v>257</v>
      </c>
      <c r="CJ3224" s="5" t="s">
        <v>495</v>
      </c>
      <c r="CK3224" s="5" t="s">
        <v>6520</v>
      </c>
      <c r="CL3224" s="5" t="s">
        <v>496</v>
      </c>
      <c r="CM3224" s="5" t="s">
        <v>238</v>
      </c>
      <c r="CN3224" s="5">
        <v>0</v>
      </c>
      <c r="CO3224" s="5" t="s">
        <v>238</v>
      </c>
      <c r="CP3224" s="5" t="s">
        <v>238</v>
      </c>
      <c r="CQ3224" s="5" t="s">
        <v>238</v>
      </c>
      <c r="CR3224" s="5" t="s">
        <v>261</v>
      </c>
      <c r="CS3224" s="5" t="s">
        <v>238</v>
      </c>
      <c r="CT3224" s="7">
        <f>29278612</f>
        <v>29278612</v>
      </c>
      <c r="CU3224" s="8">
        <f>29278612</f>
        <v>29278612</v>
      </c>
      <c r="CV3224" s="8">
        <f>0</f>
        <v>0</v>
      </c>
      <c r="CW3224" s="8">
        <f>0</f>
        <v>0</v>
      </c>
      <c r="CX3224" s="8">
        <f>29278612</f>
        <v>29278612</v>
      </c>
      <c r="CY3224" s="8">
        <f>29278612</f>
        <v>29278612</v>
      </c>
      <c r="CZ3224" s="8" t="s">
        <v>238</v>
      </c>
      <c r="DA3224" s="5" t="s">
        <v>238</v>
      </c>
      <c r="DB3224" s="5" t="s">
        <v>238</v>
      </c>
      <c r="DD3224" s="5" t="s">
        <v>238</v>
      </c>
      <c r="DE3224" s="8">
        <f>0</f>
        <v>0</v>
      </c>
      <c r="DF3224" s="6" t="s">
        <v>238</v>
      </c>
      <c r="DG3224" s="5" t="s">
        <v>238</v>
      </c>
      <c r="DH3224" s="5" t="s">
        <v>238</v>
      </c>
      <c r="DI3224" s="5" t="s">
        <v>238</v>
      </c>
      <c r="DJ3224" s="5" t="s">
        <v>238</v>
      </c>
      <c r="DK3224" s="5" t="s">
        <v>238</v>
      </c>
      <c r="DL3224" s="5" t="s">
        <v>238</v>
      </c>
      <c r="DM3224" s="8" t="s">
        <v>238</v>
      </c>
      <c r="DN3224" s="5" t="s">
        <v>238</v>
      </c>
      <c r="DO3224" s="5" t="s">
        <v>244</v>
      </c>
      <c r="DP3224" s="5" t="s">
        <v>490</v>
      </c>
      <c r="DQ3224" s="5" t="s">
        <v>490</v>
      </c>
      <c r="DR3224" s="5" t="s">
        <v>238</v>
      </c>
      <c r="DS3224" s="5" t="s">
        <v>238</v>
      </c>
      <c r="GL3224" s="5" t="s">
        <v>6747</v>
      </c>
      <c r="HP3224" s="5" t="s">
        <v>238</v>
      </c>
      <c r="HQ3224" s="5" t="s">
        <v>238</v>
      </c>
      <c r="HR3224" s="5" t="s">
        <v>238</v>
      </c>
      <c r="HS3224" s="5" t="s">
        <v>238</v>
      </c>
      <c r="HT3224" s="5" t="s">
        <v>238</v>
      </c>
      <c r="HU3224" s="5" t="s">
        <v>238</v>
      </c>
      <c r="HV3224" s="5" t="s">
        <v>238</v>
      </c>
      <c r="HW3224" s="5" t="s">
        <v>238</v>
      </c>
      <c r="HX3224" s="5" t="s">
        <v>238</v>
      </c>
      <c r="HY3224" s="5" t="s">
        <v>238</v>
      </c>
      <c r="HZ3224" s="5" t="s">
        <v>238</v>
      </c>
      <c r="IA3224" s="5" t="s">
        <v>238</v>
      </c>
      <c r="IB3224" s="5" t="s">
        <v>238</v>
      </c>
      <c r="IC3224" s="5" t="s">
        <v>238</v>
      </c>
      <c r="ID3224" s="5" t="s">
        <v>238</v>
      </c>
    </row>
    <row r="3225" spans="1:238" x14ac:dyDescent="0.4">
      <c r="A3225" s="5">
        <v>8589</v>
      </c>
      <c r="B3225" s="5">
        <v>1</v>
      </c>
      <c r="C3225" s="5">
        <v>2</v>
      </c>
      <c r="D3225" s="5" t="s">
        <v>238</v>
      </c>
      <c r="E3225" s="5" t="s">
        <v>271</v>
      </c>
      <c r="F3225" s="5" t="s">
        <v>248</v>
      </c>
      <c r="G3225" s="5" t="s">
        <v>6738</v>
      </c>
      <c r="I3225" s="8">
        <f>1</f>
        <v>1</v>
      </c>
      <c r="J3225" s="5" t="s">
        <v>6542</v>
      </c>
      <c r="K3225" s="8">
        <f>364000</f>
        <v>364000</v>
      </c>
      <c r="L3225" s="6" t="s">
        <v>6739</v>
      </c>
      <c r="M3225" s="5" t="s">
        <v>267</v>
      </c>
      <c r="N3225" s="5" t="s">
        <v>238</v>
      </c>
      <c r="Q3225" s="5" t="s">
        <v>238</v>
      </c>
      <c r="R3225" s="5" t="s">
        <v>238</v>
      </c>
      <c r="S3225" s="5" t="s">
        <v>238</v>
      </c>
      <c r="V3225" s="5" t="s">
        <v>2587</v>
      </c>
      <c r="W3225" s="6" t="s">
        <v>238</v>
      </c>
      <c r="X3225" s="6" t="s">
        <v>238</v>
      </c>
      <c r="Y3225" s="5" t="s">
        <v>238</v>
      </c>
      <c r="Z3225" s="6" t="s">
        <v>238</v>
      </c>
      <c r="AA3225" s="6" t="s">
        <v>6739</v>
      </c>
      <c r="AB3225" s="5" t="s">
        <v>6554</v>
      </c>
      <c r="AC3225" s="5" t="s">
        <v>244</v>
      </c>
      <c r="AD3225" s="5" t="s">
        <v>238</v>
      </c>
      <c r="AJ3225" s="5" t="s">
        <v>238</v>
      </c>
      <c r="AK3225" s="5" t="s">
        <v>238</v>
      </c>
      <c r="AL3225" s="5" t="s">
        <v>238</v>
      </c>
      <c r="AM3225" s="6" t="s">
        <v>238</v>
      </c>
      <c r="AN3225" s="6" t="s">
        <v>238</v>
      </c>
      <c r="AO3225" s="6" t="s">
        <v>238</v>
      </c>
      <c r="AR3225" s="5" t="s">
        <v>488</v>
      </c>
      <c r="AS3225" s="5" t="s">
        <v>488</v>
      </c>
      <c r="AT3225" s="5" t="s">
        <v>246</v>
      </c>
      <c r="AU3225" s="5" t="s">
        <v>489</v>
      </c>
      <c r="AV3225" s="5" t="s">
        <v>247</v>
      </c>
      <c r="AW3225" s="5" t="s">
        <v>238</v>
      </c>
      <c r="AX3225" s="5" t="s">
        <v>249</v>
      </c>
      <c r="AY3225" s="5" t="s">
        <v>490</v>
      </c>
      <c r="BA3225" s="5" t="s">
        <v>238</v>
      </c>
      <c r="BC3225" s="5" t="s">
        <v>6518</v>
      </c>
      <c r="BD3225" s="6" t="s">
        <v>6624</v>
      </c>
      <c r="BE3225" s="5" t="s">
        <v>6528</v>
      </c>
      <c r="BF3225" s="5" t="s">
        <v>6529</v>
      </c>
      <c r="BG3225" s="5" t="s">
        <v>238</v>
      </c>
      <c r="BH3225" s="8">
        <f>0</f>
        <v>0</v>
      </c>
      <c r="BI3225" s="8">
        <f>364000</f>
        <v>364000</v>
      </c>
      <c r="BJ3225" s="5" t="s">
        <v>253</v>
      </c>
      <c r="BK3225" s="5" t="s">
        <v>254</v>
      </c>
      <c r="BL3225" s="5" t="s">
        <v>6530</v>
      </c>
      <c r="BM3225" s="5" t="s">
        <v>6531</v>
      </c>
      <c r="BN3225" s="5" t="s">
        <v>6540</v>
      </c>
      <c r="BO3225" s="5" t="s">
        <v>238</v>
      </c>
      <c r="BP3225" s="5" t="s">
        <v>253</v>
      </c>
      <c r="BQ3225" s="5" t="s">
        <v>6532</v>
      </c>
      <c r="BR3225" s="5" t="s">
        <v>6532</v>
      </c>
      <c r="BT3225" s="6" t="s">
        <v>6740</v>
      </c>
      <c r="BU3225" s="5" t="s">
        <v>253</v>
      </c>
      <c r="BV3225" s="5" t="s">
        <v>238</v>
      </c>
      <c r="BW3225" s="5" t="s">
        <v>238</v>
      </c>
      <c r="BX3225" s="5" t="s">
        <v>254</v>
      </c>
      <c r="BY3225" s="5" t="s">
        <v>238</v>
      </c>
      <c r="BZ3225" s="5" t="s">
        <v>238</v>
      </c>
      <c r="CD3225" s="5" t="s">
        <v>238</v>
      </c>
      <c r="CE3225" s="5" t="s">
        <v>238</v>
      </c>
      <c r="CF3225" s="5" t="s">
        <v>261</v>
      </c>
      <c r="CH3225" s="5" t="s">
        <v>238</v>
      </c>
      <c r="CI3225" s="6" t="s">
        <v>257</v>
      </c>
      <c r="CJ3225" s="5" t="s">
        <v>495</v>
      </c>
      <c r="CK3225" s="5" t="s">
        <v>6520</v>
      </c>
      <c r="CL3225" s="5" t="s">
        <v>496</v>
      </c>
      <c r="CM3225" s="5" t="s">
        <v>238</v>
      </c>
      <c r="CN3225" s="5">
        <v>0</v>
      </c>
      <c r="CO3225" s="5" t="s">
        <v>238</v>
      </c>
      <c r="CP3225" s="5" t="s">
        <v>238</v>
      </c>
      <c r="CQ3225" s="5" t="s">
        <v>238</v>
      </c>
      <c r="CR3225" s="5" t="s">
        <v>261</v>
      </c>
      <c r="CS3225" s="5" t="s">
        <v>238</v>
      </c>
      <c r="CT3225" s="7">
        <f>364000</f>
        <v>364000</v>
      </c>
      <c r="CU3225" s="8">
        <f>364000</f>
        <v>364000</v>
      </c>
      <c r="CV3225" s="8">
        <f>0</f>
        <v>0</v>
      </c>
      <c r="CW3225" s="8">
        <f>0</f>
        <v>0</v>
      </c>
      <c r="CX3225" s="8">
        <f>364000</f>
        <v>364000</v>
      </c>
      <c r="CY3225" s="8">
        <f>364000</f>
        <v>364000</v>
      </c>
      <c r="CZ3225" s="8" t="s">
        <v>238</v>
      </c>
      <c r="DA3225" s="5" t="s">
        <v>238</v>
      </c>
      <c r="DB3225" s="5" t="s">
        <v>238</v>
      </c>
      <c r="DD3225" s="5" t="s">
        <v>238</v>
      </c>
      <c r="DE3225" s="8">
        <f>0</f>
        <v>0</v>
      </c>
      <c r="DF3225" s="6" t="s">
        <v>238</v>
      </c>
      <c r="DG3225" s="5" t="s">
        <v>238</v>
      </c>
      <c r="DH3225" s="5" t="s">
        <v>238</v>
      </c>
      <c r="DI3225" s="5" t="s">
        <v>238</v>
      </c>
      <c r="DJ3225" s="5" t="s">
        <v>238</v>
      </c>
      <c r="DK3225" s="5" t="s">
        <v>238</v>
      </c>
      <c r="DL3225" s="5" t="s">
        <v>238</v>
      </c>
      <c r="DM3225" s="8" t="s">
        <v>238</v>
      </c>
      <c r="DN3225" s="5" t="s">
        <v>238</v>
      </c>
      <c r="DO3225" s="5" t="s">
        <v>244</v>
      </c>
      <c r="DP3225" s="5" t="s">
        <v>490</v>
      </c>
      <c r="DQ3225" s="5" t="s">
        <v>490</v>
      </c>
      <c r="DR3225" s="5" t="s">
        <v>238</v>
      </c>
      <c r="DS3225" s="5" t="s">
        <v>238</v>
      </c>
      <c r="GL3225" s="5" t="s">
        <v>6741</v>
      </c>
      <c r="HP3225" s="5" t="s">
        <v>238</v>
      </c>
      <c r="HQ3225" s="5" t="s">
        <v>238</v>
      </c>
      <c r="HR3225" s="5" t="s">
        <v>238</v>
      </c>
      <c r="HS3225" s="5" t="s">
        <v>238</v>
      </c>
      <c r="HT3225" s="5" t="s">
        <v>238</v>
      </c>
      <c r="HU3225" s="5" t="s">
        <v>238</v>
      </c>
      <c r="HV3225" s="5" t="s">
        <v>238</v>
      </c>
      <c r="HW3225" s="5" t="s">
        <v>238</v>
      </c>
      <c r="HX3225" s="5" t="s">
        <v>238</v>
      </c>
      <c r="HY3225" s="5" t="s">
        <v>238</v>
      </c>
      <c r="HZ3225" s="5" t="s">
        <v>238</v>
      </c>
      <c r="IA3225" s="5" t="s">
        <v>238</v>
      </c>
      <c r="IB3225" s="5" t="s">
        <v>238</v>
      </c>
      <c r="IC3225" s="5" t="s">
        <v>238</v>
      </c>
      <c r="ID3225" s="5" t="s">
        <v>238</v>
      </c>
    </row>
    <row r="3226" spans="1:238" x14ac:dyDescent="0.4">
      <c r="A3226" s="5">
        <v>8590</v>
      </c>
      <c r="B3226" s="5">
        <v>1</v>
      </c>
      <c r="C3226" s="5">
        <v>2</v>
      </c>
      <c r="D3226" s="5" t="s">
        <v>238</v>
      </c>
      <c r="E3226" s="5" t="s">
        <v>271</v>
      </c>
      <c r="F3226" s="5" t="s">
        <v>248</v>
      </c>
      <c r="G3226" s="5" t="s">
        <v>6789</v>
      </c>
      <c r="H3226" s="6" t="s">
        <v>6791</v>
      </c>
      <c r="I3226" s="8">
        <f>1</f>
        <v>1</v>
      </c>
      <c r="J3226" s="5" t="s">
        <v>6542</v>
      </c>
      <c r="K3226" s="8">
        <f>576400</f>
        <v>576400</v>
      </c>
      <c r="L3226" s="6" t="s">
        <v>6790</v>
      </c>
      <c r="M3226" s="5" t="s">
        <v>267</v>
      </c>
      <c r="N3226" s="5" t="s">
        <v>238</v>
      </c>
      <c r="Q3226" s="5" t="s">
        <v>238</v>
      </c>
      <c r="R3226" s="5" t="s">
        <v>238</v>
      </c>
      <c r="S3226" s="5" t="s">
        <v>238</v>
      </c>
      <c r="V3226" s="5" t="s">
        <v>2587</v>
      </c>
      <c r="W3226" s="6" t="s">
        <v>238</v>
      </c>
      <c r="X3226" s="6" t="s">
        <v>238</v>
      </c>
      <c r="Y3226" s="5" t="s">
        <v>238</v>
      </c>
      <c r="Z3226" s="6" t="s">
        <v>238</v>
      </c>
      <c r="AA3226" s="6" t="s">
        <v>6790</v>
      </c>
      <c r="AB3226" s="5" t="s">
        <v>6554</v>
      </c>
      <c r="AC3226" s="5" t="s">
        <v>244</v>
      </c>
      <c r="AD3226" s="5" t="s">
        <v>238</v>
      </c>
      <c r="AJ3226" s="5" t="s">
        <v>238</v>
      </c>
      <c r="AK3226" s="5" t="s">
        <v>238</v>
      </c>
      <c r="AL3226" s="5" t="s">
        <v>238</v>
      </c>
      <c r="AM3226" s="6" t="s">
        <v>238</v>
      </c>
      <c r="AN3226" s="6" t="s">
        <v>238</v>
      </c>
      <c r="AO3226" s="6" t="s">
        <v>238</v>
      </c>
      <c r="AR3226" s="5" t="s">
        <v>488</v>
      </c>
      <c r="AS3226" s="5" t="s">
        <v>488</v>
      </c>
      <c r="AT3226" s="5" t="s">
        <v>246</v>
      </c>
      <c r="AU3226" s="5" t="s">
        <v>489</v>
      </c>
      <c r="AV3226" s="5" t="s">
        <v>247</v>
      </c>
      <c r="AW3226" s="5" t="s">
        <v>238</v>
      </c>
      <c r="AX3226" s="5" t="s">
        <v>249</v>
      </c>
      <c r="AY3226" s="5" t="s">
        <v>490</v>
      </c>
      <c r="BA3226" s="5" t="s">
        <v>238</v>
      </c>
      <c r="BC3226" s="5" t="s">
        <v>6518</v>
      </c>
      <c r="BD3226" s="6" t="s">
        <v>6792</v>
      </c>
      <c r="BE3226" s="5" t="s">
        <v>6528</v>
      </c>
      <c r="BF3226" s="5" t="s">
        <v>6529</v>
      </c>
      <c r="BG3226" s="5" t="s">
        <v>238</v>
      </c>
      <c r="BH3226" s="8">
        <f>0</f>
        <v>0</v>
      </c>
      <c r="BI3226" s="8">
        <f>576400</f>
        <v>576400</v>
      </c>
      <c r="BJ3226" s="5" t="s">
        <v>253</v>
      </c>
      <c r="BK3226" s="5" t="s">
        <v>254</v>
      </c>
      <c r="BL3226" s="5" t="s">
        <v>6530</v>
      </c>
      <c r="BM3226" s="5" t="s">
        <v>6531</v>
      </c>
      <c r="BN3226" s="5" t="s">
        <v>6540</v>
      </c>
      <c r="BO3226" s="5" t="s">
        <v>238</v>
      </c>
      <c r="BP3226" s="5" t="s">
        <v>253</v>
      </c>
      <c r="BQ3226" s="5" t="s">
        <v>6532</v>
      </c>
      <c r="BR3226" s="5" t="s">
        <v>6532</v>
      </c>
      <c r="BT3226" s="6" t="s">
        <v>6793</v>
      </c>
      <c r="BU3226" s="5" t="s">
        <v>253</v>
      </c>
      <c r="BV3226" s="5" t="s">
        <v>238</v>
      </c>
      <c r="BW3226" s="5" t="s">
        <v>238</v>
      </c>
      <c r="BX3226" s="5" t="s">
        <v>254</v>
      </c>
      <c r="BY3226" s="5" t="s">
        <v>238</v>
      </c>
      <c r="BZ3226" s="5" t="s">
        <v>238</v>
      </c>
      <c r="CD3226" s="5" t="s">
        <v>238</v>
      </c>
      <c r="CE3226" s="5" t="s">
        <v>238</v>
      </c>
      <c r="CF3226" s="5" t="s">
        <v>261</v>
      </c>
      <c r="CH3226" s="5" t="s">
        <v>238</v>
      </c>
      <c r="CI3226" s="6" t="s">
        <v>257</v>
      </c>
      <c r="CJ3226" s="5" t="s">
        <v>495</v>
      </c>
      <c r="CK3226" s="5" t="s">
        <v>6520</v>
      </c>
      <c r="CL3226" s="5" t="s">
        <v>496</v>
      </c>
      <c r="CM3226" s="5" t="s">
        <v>238</v>
      </c>
      <c r="CN3226" s="5">
        <v>0</v>
      </c>
      <c r="CO3226" s="5" t="s">
        <v>238</v>
      </c>
      <c r="CP3226" s="5" t="s">
        <v>238</v>
      </c>
      <c r="CQ3226" s="5" t="s">
        <v>238</v>
      </c>
      <c r="CR3226" s="5" t="s">
        <v>261</v>
      </c>
      <c r="CS3226" s="5" t="s">
        <v>238</v>
      </c>
      <c r="CT3226" s="7">
        <f>576400</f>
        <v>576400</v>
      </c>
      <c r="CU3226" s="8">
        <f>576400</f>
        <v>576400</v>
      </c>
      <c r="CV3226" s="8">
        <f>0</f>
        <v>0</v>
      </c>
      <c r="CW3226" s="8">
        <f>0</f>
        <v>0</v>
      </c>
      <c r="CX3226" s="8">
        <f>576400</f>
        <v>576400</v>
      </c>
      <c r="CY3226" s="8">
        <f>576400</f>
        <v>576400</v>
      </c>
      <c r="CZ3226" s="8" t="s">
        <v>238</v>
      </c>
      <c r="DA3226" s="5" t="s">
        <v>238</v>
      </c>
      <c r="DB3226" s="5" t="s">
        <v>238</v>
      </c>
      <c r="DD3226" s="5" t="s">
        <v>238</v>
      </c>
      <c r="DE3226" s="8">
        <f>0</f>
        <v>0</v>
      </c>
      <c r="DF3226" s="6" t="s">
        <v>238</v>
      </c>
      <c r="DG3226" s="5" t="s">
        <v>238</v>
      </c>
      <c r="DH3226" s="5" t="s">
        <v>238</v>
      </c>
      <c r="DI3226" s="5" t="s">
        <v>238</v>
      </c>
      <c r="DJ3226" s="5" t="s">
        <v>238</v>
      </c>
      <c r="DK3226" s="5" t="s">
        <v>238</v>
      </c>
      <c r="DL3226" s="5" t="s">
        <v>238</v>
      </c>
      <c r="DM3226" s="8" t="s">
        <v>238</v>
      </c>
      <c r="DN3226" s="5" t="s">
        <v>238</v>
      </c>
      <c r="DO3226" s="5" t="s">
        <v>244</v>
      </c>
      <c r="DP3226" s="5" t="s">
        <v>490</v>
      </c>
      <c r="DQ3226" s="5" t="s">
        <v>490</v>
      </c>
      <c r="DR3226" s="5" t="s">
        <v>238</v>
      </c>
      <c r="DS3226" s="5" t="s">
        <v>238</v>
      </c>
      <c r="GL3226" s="5" t="s">
        <v>6794</v>
      </c>
      <c r="HP3226" s="5" t="s">
        <v>238</v>
      </c>
      <c r="HQ3226" s="5" t="s">
        <v>238</v>
      </c>
      <c r="HR3226" s="5" t="s">
        <v>238</v>
      </c>
      <c r="HS3226" s="5" t="s">
        <v>238</v>
      </c>
      <c r="HT3226" s="5" t="s">
        <v>238</v>
      </c>
      <c r="HU3226" s="5" t="s">
        <v>238</v>
      </c>
      <c r="HV3226" s="5" t="s">
        <v>238</v>
      </c>
      <c r="HW3226" s="5" t="s">
        <v>238</v>
      </c>
      <c r="HX3226" s="5" t="s">
        <v>238</v>
      </c>
      <c r="HY3226" s="5" t="s">
        <v>238</v>
      </c>
      <c r="HZ3226" s="5" t="s">
        <v>238</v>
      </c>
      <c r="IA3226" s="5" t="s">
        <v>238</v>
      </c>
      <c r="IB3226" s="5" t="s">
        <v>238</v>
      </c>
      <c r="IC3226" s="5" t="s">
        <v>238</v>
      </c>
      <c r="ID3226" s="5" t="s">
        <v>238</v>
      </c>
    </row>
    <row r="3227" spans="1:238" x14ac:dyDescent="0.4">
      <c r="A3227" s="5">
        <v>8591</v>
      </c>
      <c r="B3227" s="5">
        <v>1</v>
      </c>
      <c r="C3227" s="5">
        <v>2</v>
      </c>
      <c r="D3227" s="5" t="s">
        <v>238</v>
      </c>
      <c r="E3227" s="5" t="s">
        <v>271</v>
      </c>
      <c r="F3227" s="5" t="s">
        <v>248</v>
      </c>
      <c r="G3227" s="5" t="s">
        <v>6617</v>
      </c>
      <c r="I3227" s="8">
        <f>1</f>
        <v>1</v>
      </c>
      <c r="J3227" s="5" t="s">
        <v>6542</v>
      </c>
      <c r="K3227" s="8">
        <f>1246300</f>
        <v>1246300</v>
      </c>
      <c r="L3227" s="6" t="s">
        <v>6618</v>
      </c>
      <c r="M3227" s="5" t="s">
        <v>267</v>
      </c>
      <c r="N3227" s="5" t="s">
        <v>238</v>
      </c>
      <c r="Q3227" s="5" t="s">
        <v>238</v>
      </c>
      <c r="R3227" s="5" t="s">
        <v>238</v>
      </c>
      <c r="S3227" s="5" t="s">
        <v>238</v>
      </c>
      <c r="V3227" s="5" t="s">
        <v>2587</v>
      </c>
      <c r="W3227" s="6" t="s">
        <v>238</v>
      </c>
      <c r="X3227" s="6" t="s">
        <v>238</v>
      </c>
      <c r="Y3227" s="5" t="s">
        <v>238</v>
      </c>
      <c r="Z3227" s="6" t="s">
        <v>238</v>
      </c>
      <c r="AA3227" s="6" t="s">
        <v>6618</v>
      </c>
      <c r="AB3227" s="5" t="s">
        <v>6554</v>
      </c>
      <c r="AC3227" s="5" t="s">
        <v>244</v>
      </c>
      <c r="AD3227" s="5" t="s">
        <v>238</v>
      </c>
      <c r="AJ3227" s="5" t="s">
        <v>238</v>
      </c>
      <c r="AK3227" s="5" t="s">
        <v>238</v>
      </c>
      <c r="AL3227" s="5" t="s">
        <v>238</v>
      </c>
      <c r="AM3227" s="6" t="s">
        <v>238</v>
      </c>
      <c r="AN3227" s="6" t="s">
        <v>238</v>
      </c>
      <c r="AO3227" s="6" t="s">
        <v>238</v>
      </c>
      <c r="AR3227" s="5" t="s">
        <v>488</v>
      </c>
      <c r="AS3227" s="5" t="s">
        <v>488</v>
      </c>
      <c r="AT3227" s="5" t="s">
        <v>246</v>
      </c>
      <c r="AU3227" s="5" t="s">
        <v>489</v>
      </c>
      <c r="AV3227" s="5" t="s">
        <v>247</v>
      </c>
      <c r="AW3227" s="5" t="s">
        <v>238</v>
      </c>
      <c r="AX3227" s="5" t="s">
        <v>249</v>
      </c>
      <c r="AY3227" s="5" t="s">
        <v>490</v>
      </c>
      <c r="BA3227" s="5" t="s">
        <v>238</v>
      </c>
      <c r="BC3227" s="5" t="s">
        <v>6518</v>
      </c>
      <c r="BD3227" s="6" t="s">
        <v>6619</v>
      </c>
      <c r="BE3227" s="5" t="s">
        <v>6528</v>
      </c>
      <c r="BF3227" s="5" t="s">
        <v>6529</v>
      </c>
      <c r="BG3227" s="5" t="s">
        <v>238</v>
      </c>
      <c r="BH3227" s="8">
        <f>0</f>
        <v>0</v>
      </c>
      <c r="BI3227" s="8">
        <f>1246300</f>
        <v>1246300</v>
      </c>
      <c r="BJ3227" s="5" t="s">
        <v>253</v>
      </c>
      <c r="BK3227" s="5" t="s">
        <v>254</v>
      </c>
      <c r="BL3227" s="5" t="s">
        <v>6530</v>
      </c>
      <c r="BM3227" s="5" t="s">
        <v>6531</v>
      </c>
      <c r="BN3227" s="5" t="s">
        <v>6540</v>
      </c>
      <c r="BO3227" s="5" t="s">
        <v>238</v>
      </c>
      <c r="BP3227" s="5" t="s">
        <v>253</v>
      </c>
      <c r="BQ3227" s="5" t="s">
        <v>6532</v>
      </c>
      <c r="BR3227" s="5" t="s">
        <v>6532</v>
      </c>
      <c r="BT3227" s="6" t="s">
        <v>6620</v>
      </c>
      <c r="BU3227" s="5" t="s">
        <v>253</v>
      </c>
      <c r="BV3227" s="5" t="s">
        <v>238</v>
      </c>
      <c r="BW3227" s="5" t="s">
        <v>238</v>
      </c>
      <c r="BX3227" s="5" t="s">
        <v>254</v>
      </c>
      <c r="BY3227" s="5" t="s">
        <v>238</v>
      </c>
      <c r="BZ3227" s="5" t="s">
        <v>238</v>
      </c>
      <c r="CD3227" s="5" t="s">
        <v>238</v>
      </c>
      <c r="CE3227" s="5" t="s">
        <v>238</v>
      </c>
      <c r="CF3227" s="5" t="s">
        <v>261</v>
      </c>
      <c r="CH3227" s="5" t="s">
        <v>238</v>
      </c>
      <c r="CI3227" s="6" t="s">
        <v>257</v>
      </c>
      <c r="CJ3227" s="5" t="s">
        <v>495</v>
      </c>
      <c r="CK3227" s="5" t="s">
        <v>6520</v>
      </c>
      <c r="CL3227" s="5" t="s">
        <v>496</v>
      </c>
      <c r="CM3227" s="5" t="s">
        <v>238</v>
      </c>
      <c r="CN3227" s="5">
        <v>0</v>
      </c>
      <c r="CO3227" s="5" t="s">
        <v>238</v>
      </c>
      <c r="CP3227" s="5" t="s">
        <v>238</v>
      </c>
      <c r="CQ3227" s="5" t="s">
        <v>238</v>
      </c>
      <c r="CR3227" s="5" t="s">
        <v>261</v>
      </c>
      <c r="CS3227" s="5" t="s">
        <v>238</v>
      </c>
      <c r="CT3227" s="7">
        <f>1246300</f>
        <v>1246300</v>
      </c>
      <c r="CU3227" s="8">
        <f>1246300</f>
        <v>1246300</v>
      </c>
      <c r="CV3227" s="8">
        <f>0</f>
        <v>0</v>
      </c>
      <c r="CW3227" s="8">
        <f>0</f>
        <v>0</v>
      </c>
      <c r="CX3227" s="8">
        <f>1246300</f>
        <v>1246300</v>
      </c>
      <c r="CY3227" s="8">
        <f>1246300</f>
        <v>1246300</v>
      </c>
      <c r="CZ3227" s="8" t="s">
        <v>238</v>
      </c>
      <c r="DA3227" s="5" t="s">
        <v>238</v>
      </c>
      <c r="DB3227" s="5" t="s">
        <v>238</v>
      </c>
      <c r="DD3227" s="5" t="s">
        <v>238</v>
      </c>
      <c r="DE3227" s="8">
        <f>0</f>
        <v>0</v>
      </c>
      <c r="DF3227" s="6" t="s">
        <v>238</v>
      </c>
      <c r="DG3227" s="5" t="s">
        <v>238</v>
      </c>
      <c r="DH3227" s="5" t="s">
        <v>238</v>
      </c>
      <c r="DI3227" s="5" t="s">
        <v>238</v>
      </c>
      <c r="DJ3227" s="5" t="s">
        <v>238</v>
      </c>
      <c r="DK3227" s="5" t="s">
        <v>238</v>
      </c>
      <c r="DL3227" s="5" t="s">
        <v>238</v>
      </c>
      <c r="DM3227" s="8" t="s">
        <v>238</v>
      </c>
      <c r="DN3227" s="5" t="s">
        <v>238</v>
      </c>
      <c r="DO3227" s="5" t="s">
        <v>244</v>
      </c>
      <c r="DP3227" s="5" t="s">
        <v>490</v>
      </c>
      <c r="DQ3227" s="5" t="s">
        <v>490</v>
      </c>
      <c r="DR3227" s="5" t="s">
        <v>238</v>
      </c>
      <c r="DS3227" s="5" t="s">
        <v>238</v>
      </c>
      <c r="GL3227" s="5" t="s">
        <v>6621</v>
      </c>
      <c r="HP3227" s="5" t="s">
        <v>238</v>
      </c>
      <c r="HQ3227" s="5" t="s">
        <v>238</v>
      </c>
      <c r="HR3227" s="5" t="s">
        <v>238</v>
      </c>
      <c r="HS3227" s="5" t="s">
        <v>238</v>
      </c>
      <c r="HT3227" s="5" t="s">
        <v>238</v>
      </c>
      <c r="HU3227" s="5" t="s">
        <v>238</v>
      </c>
      <c r="HV3227" s="5" t="s">
        <v>238</v>
      </c>
      <c r="HW3227" s="5" t="s">
        <v>238</v>
      </c>
      <c r="HX3227" s="5" t="s">
        <v>238</v>
      </c>
      <c r="HY3227" s="5" t="s">
        <v>238</v>
      </c>
      <c r="HZ3227" s="5" t="s">
        <v>238</v>
      </c>
      <c r="IA3227" s="5" t="s">
        <v>238</v>
      </c>
      <c r="IB3227" s="5" t="s">
        <v>238</v>
      </c>
      <c r="IC3227" s="5" t="s">
        <v>238</v>
      </c>
      <c r="ID3227" s="5" t="s">
        <v>238</v>
      </c>
    </row>
    <row r="3228" spans="1:238" x14ac:dyDescent="0.4">
      <c r="A3228" s="5">
        <v>8592</v>
      </c>
      <c r="B3228" s="5">
        <v>1</v>
      </c>
      <c r="C3228" s="5">
        <v>2</v>
      </c>
      <c r="D3228" s="5" t="s">
        <v>238</v>
      </c>
      <c r="E3228" s="5" t="s">
        <v>271</v>
      </c>
      <c r="F3228" s="5" t="s">
        <v>248</v>
      </c>
      <c r="G3228" s="5" t="s">
        <v>6873</v>
      </c>
      <c r="H3228" s="6" t="s">
        <v>6547</v>
      </c>
      <c r="I3228" s="8">
        <f>1</f>
        <v>1</v>
      </c>
      <c r="J3228" s="5" t="s">
        <v>6542</v>
      </c>
      <c r="K3228" s="8">
        <f>1620044</f>
        <v>1620044</v>
      </c>
      <c r="L3228" s="6" t="s">
        <v>6874</v>
      </c>
      <c r="M3228" s="5" t="s">
        <v>267</v>
      </c>
      <c r="N3228" s="5" t="s">
        <v>238</v>
      </c>
      <c r="Q3228" s="5" t="s">
        <v>238</v>
      </c>
      <c r="R3228" s="5" t="s">
        <v>238</v>
      </c>
      <c r="S3228" s="5" t="s">
        <v>238</v>
      </c>
      <c r="V3228" s="5" t="s">
        <v>2587</v>
      </c>
      <c r="W3228" s="6" t="s">
        <v>238</v>
      </c>
      <c r="X3228" s="6" t="s">
        <v>238</v>
      </c>
      <c r="Y3228" s="5" t="s">
        <v>238</v>
      </c>
      <c r="Z3228" s="6" t="s">
        <v>238</v>
      </c>
      <c r="AA3228" s="6" t="s">
        <v>6875</v>
      </c>
      <c r="AB3228" s="5" t="s">
        <v>6554</v>
      </c>
      <c r="AC3228" s="5" t="s">
        <v>244</v>
      </c>
      <c r="AD3228" s="5" t="s">
        <v>238</v>
      </c>
      <c r="AJ3228" s="5" t="s">
        <v>238</v>
      </c>
      <c r="AK3228" s="5" t="s">
        <v>238</v>
      </c>
      <c r="AL3228" s="5" t="s">
        <v>238</v>
      </c>
      <c r="AM3228" s="6" t="s">
        <v>238</v>
      </c>
      <c r="AN3228" s="6" t="s">
        <v>238</v>
      </c>
      <c r="AO3228" s="6" t="s">
        <v>238</v>
      </c>
      <c r="AR3228" s="5" t="s">
        <v>488</v>
      </c>
      <c r="AS3228" s="5" t="s">
        <v>488</v>
      </c>
      <c r="AT3228" s="5" t="s">
        <v>246</v>
      </c>
      <c r="AU3228" s="5" t="s">
        <v>489</v>
      </c>
      <c r="AV3228" s="5" t="s">
        <v>247</v>
      </c>
      <c r="AW3228" s="5" t="s">
        <v>238</v>
      </c>
      <c r="AX3228" s="5" t="s">
        <v>249</v>
      </c>
      <c r="AY3228" s="5" t="s">
        <v>490</v>
      </c>
      <c r="BA3228" s="5" t="s">
        <v>238</v>
      </c>
      <c r="BC3228" s="5" t="s">
        <v>6518</v>
      </c>
      <c r="BD3228" s="6" t="s">
        <v>6876</v>
      </c>
      <c r="BE3228" s="5" t="s">
        <v>6528</v>
      </c>
      <c r="BF3228" s="5" t="s">
        <v>6529</v>
      </c>
      <c r="BG3228" s="5" t="s">
        <v>238</v>
      </c>
      <c r="BH3228" s="8">
        <f>0</f>
        <v>0</v>
      </c>
      <c r="BI3228" s="8">
        <f>487000</f>
        <v>487000</v>
      </c>
      <c r="BJ3228" s="5" t="s">
        <v>253</v>
      </c>
      <c r="BK3228" s="5" t="s">
        <v>254</v>
      </c>
      <c r="BL3228" s="5" t="s">
        <v>6530</v>
      </c>
      <c r="BM3228" s="5" t="s">
        <v>6531</v>
      </c>
      <c r="BN3228" s="5" t="s">
        <v>6540</v>
      </c>
      <c r="BO3228" s="5" t="s">
        <v>238</v>
      </c>
      <c r="BP3228" s="5" t="s">
        <v>253</v>
      </c>
      <c r="BQ3228" s="5" t="s">
        <v>6532</v>
      </c>
      <c r="BR3228" s="5" t="s">
        <v>6532</v>
      </c>
      <c r="BT3228" s="6" t="s">
        <v>6877</v>
      </c>
      <c r="BU3228" s="5" t="s">
        <v>253</v>
      </c>
      <c r="BV3228" s="5" t="s">
        <v>238</v>
      </c>
      <c r="BW3228" s="5" t="s">
        <v>238</v>
      </c>
      <c r="BX3228" s="5" t="s">
        <v>254</v>
      </c>
      <c r="BY3228" s="5" t="s">
        <v>238</v>
      </c>
      <c r="BZ3228" s="5" t="s">
        <v>238</v>
      </c>
      <c r="CD3228" s="5" t="s">
        <v>238</v>
      </c>
      <c r="CE3228" s="5" t="s">
        <v>238</v>
      </c>
      <c r="CF3228" s="5" t="s">
        <v>261</v>
      </c>
      <c r="CH3228" s="5" t="s">
        <v>238</v>
      </c>
      <c r="CI3228" s="6" t="s">
        <v>257</v>
      </c>
      <c r="CJ3228" s="5" t="s">
        <v>495</v>
      </c>
      <c r="CK3228" s="5" t="s">
        <v>6520</v>
      </c>
      <c r="CL3228" s="5" t="s">
        <v>496</v>
      </c>
      <c r="CM3228" s="5" t="s">
        <v>238</v>
      </c>
      <c r="CN3228" s="5">
        <v>0</v>
      </c>
      <c r="CO3228" s="5" t="s">
        <v>238</v>
      </c>
      <c r="CP3228" s="5" t="s">
        <v>238</v>
      </c>
      <c r="CQ3228" s="5" t="s">
        <v>238</v>
      </c>
      <c r="CR3228" s="5" t="s">
        <v>261</v>
      </c>
      <c r="CS3228" s="5" t="s">
        <v>238</v>
      </c>
      <c r="CT3228" s="7">
        <f>1620044</f>
        <v>1620044</v>
      </c>
      <c r="CU3228" s="8">
        <f>1620044</f>
        <v>1620044</v>
      </c>
      <c r="CV3228" s="8">
        <f>0</f>
        <v>0</v>
      </c>
      <c r="CW3228" s="8">
        <f>0</f>
        <v>0</v>
      </c>
      <c r="CX3228" s="8">
        <f>1620044</f>
        <v>1620044</v>
      </c>
      <c r="CY3228" s="8">
        <f>1620044</f>
        <v>1620044</v>
      </c>
      <c r="CZ3228" s="8" t="s">
        <v>238</v>
      </c>
      <c r="DA3228" s="5" t="s">
        <v>238</v>
      </c>
      <c r="DB3228" s="5" t="s">
        <v>238</v>
      </c>
      <c r="DD3228" s="5" t="s">
        <v>238</v>
      </c>
      <c r="DE3228" s="8">
        <f>0</f>
        <v>0</v>
      </c>
      <c r="DF3228" s="6" t="s">
        <v>238</v>
      </c>
      <c r="DG3228" s="5" t="s">
        <v>238</v>
      </c>
      <c r="DH3228" s="5" t="s">
        <v>238</v>
      </c>
      <c r="DI3228" s="5" t="s">
        <v>238</v>
      </c>
      <c r="DJ3228" s="5" t="s">
        <v>238</v>
      </c>
      <c r="DK3228" s="5" t="s">
        <v>238</v>
      </c>
      <c r="DL3228" s="5" t="s">
        <v>238</v>
      </c>
      <c r="DM3228" s="8" t="s">
        <v>238</v>
      </c>
      <c r="DN3228" s="5" t="s">
        <v>238</v>
      </c>
      <c r="DO3228" s="5" t="s">
        <v>244</v>
      </c>
      <c r="DP3228" s="5" t="s">
        <v>490</v>
      </c>
      <c r="DQ3228" s="5" t="s">
        <v>490</v>
      </c>
      <c r="DR3228" s="5" t="s">
        <v>238</v>
      </c>
      <c r="DS3228" s="5" t="s">
        <v>238</v>
      </c>
      <c r="GL3228" s="5" t="s">
        <v>6878</v>
      </c>
      <c r="HP3228" s="5" t="s">
        <v>238</v>
      </c>
      <c r="HQ3228" s="5" t="s">
        <v>238</v>
      </c>
      <c r="HR3228" s="5" t="s">
        <v>238</v>
      </c>
      <c r="HS3228" s="5" t="s">
        <v>238</v>
      </c>
      <c r="HT3228" s="5" t="s">
        <v>238</v>
      </c>
      <c r="HU3228" s="5" t="s">
        <v>238</v>
      </c>
      <c r="HV3228" s="5" t="s">
        <v>238</v>
      </c>
      <c r="HW3228" s="5" t="s">
        <v>238</v>
      </c>
      <c r="HX3228" s="5" t="s">
        <v>238</v>
      </c>
      <c r="HY3228" s="5" t="s">
        <v>238</v>
      </c>
      <c r="HZ3228" s="5" t="s">
        <v>238</v>
      </c>
      <c r="IA3228" s="5" t="s">
        <v>238</v>
      </c>
      <c r="IB3228" s="5" t="s">
        <v>238</v>
      </c>
      <c r="IC3228" s="5" t="s">
        <v>238</v>
      </c>
      <c r="ID3228" s="5" t="s">
        <v>238</v>
      </c>
    </row>
    <row r="3229" spans="1:238" x14ac:dyDescent="0.4">
      <c r="A3229" s="5">
        <v>8593</v>
      </c>
      <c r="B3229" s="5">
        <v>1</v>
      </c>
      <c r="C3229" s="5">
        <v>2</v>
      </c>
      <c r="D3229" s="5" t="s">
        <v>238</v>
      </c>
      <c r="E3229" s="5" t="s">
        <v>271</v>
      </c>
      <c r="F3229" s="5" t="s">
        <v>248</v>
      </c>
      <c r="G3229" s="5" t="s">
        <v>6907</v>
      </c>
      <c r="H3229" s="6" t="s">
        <v>6908</v>
      </c>
      <c r="I3229" s="8">
        <f>1</f>
        <v>1</v>
      </c>
      <c r="J3229" s="5" t="s">
        <v>6542</v>
      </c>
      <c r="K3229" s="8">
        <f>956112</f>
        <v>956112</v>
      </c>
      <c r="L3229" s="6" t="s">
        <v>6845</v>
      </c>
      <c r="M3229" s="5" t="s">
        <v>267</v>
      </c>
      <c r="N3229" s="5" t="s">
        <v>238</v>
      </c>
      <c r="Q3229" s="5" t="s">
        <v>238</v>
      </c>
      <c r="R3229" s="5" t="s">
        <v>238</v>
      </c>
      <c r="S3229" s="5" t="s">
        <v>238</v>
      </c>
      <c r="V3229" s="5" t="s">
        <v>2587</v>
      </c>
      <c r="W3229" s="6" t="s">
        <v>238</v>
      </c>
      <c r="X3229" s="6" t="s">
        <v>238</v>
      </c>
      <c r="Y3229" s="5" t="s">
        <v>238</v>
      </c>
      <c r="Z3229" s="6" t="s">
        <v>238</v>
      </c>
      <c r="AA3229" s="6" t="s">
        <v>6845</v>
      </c>
      <c r="AB3229" s="5" t="s">
        <v>6554</v>
      </c>
      <c r="AC3229" s="5" t="s">
        <v>244</v>
      </c>
      <c r="AD3229" s="5" t="s">
        <v>238</v>
      </c>
      <c r="AJ3229" s="5" t="s">
        <v>238</v>
      </c>
      <c r="AK3229" s="5" t="s">
        <v>238</v>
      </c>
      <c r="AL3229" s="5" t="s">
        <v>238</v>
      </c>
      <c r="AM3229" s="6" t="s">
        <v>238</v>
      </c>
      <c r="AN3229" s="6" t="s">
        <v>238</v>
      </c>
      <c r="AO3229" s="6" t="s">
        <v>238</v>
      </c>
      <c r="AR3229" s="5" t="s">
        <v>488</v>
      </c>
      <c r="AS3229" s="5" t="s">
        <v>488</v>
      </c>
      <c r="AT3229" s="5" t="s">
        <v>246</v>
      </c>
      <c r="AU3229" s="5" t="s">
        <v>489</v>
      </c>
      <c r="AV3229" s="5" t="s">
        <v>247</v>
      </c>
      <c r="AW3229" s="5" t="s">
        <v>238</v>
      </c>
      <c r="AX3229" s="5" t="s">
        <v>249</v>
      </c>
      <c r="AY3229" s="5" t="s">
        <v>490</v>
      </c>
      <c r="BA3229" s="5" t="s">
        <v>238</v>
      </c>
      <c r="BC3229" s="5" t="s">
        <v>6518</v>
      </c>
      <c r="BD3229" s="6" t="s">
        <v>6847</v>
      </c>
      <c r="BE3229" s="5" t="s">
        <v>6528</v>
      </c>
      <c r="BF3229" s="5" t="s">
        <v>6529</v>
      </c>
      <c r="BG3229" s="5" t="s">
        <v>238</v>
      </c>
      <c r="BH3229" s="8">
        <f>0</f>
        <v>0</v>
      </c>
      <c r="BI3229" s="8">
        <f>956112</f>
        <v>956112</v>
      </c>
      <c r="BJ3229" s="5" t="s">
        <v>253</v>
      </c>
      <c r="BK3229" s="5" t="s">
        <v>254</v>
      </c>
      <c r="BL3229" s="5" t="s">
        <v>6530</v>
      </c>
      <c r="BM3229" s="5" t="s">
        <v>6531</v>
      </c>
      <c r="BN3229" s="5" t="s">
        <v>6540</v>
      </c>
      <c r="BO3229" s="5" t="s">
        <v>238</v>
      </c>
      <c r="BP3229" s="5" t="s">
        <v>253</v>
      </c>
      <c r="BQ3229" s="5" t="s">
        <v>6532</v>
      </c>
      <c r="BR3229" s="5" t="s">
        <v>6532</v>
      </c>
      <c r="BT3229" s="6" t="s">
        <v>6909</v>
      </c>
      <c r="BU3229" s="5" t="s">
        <v>253</v>
      </c>
      <c r="BV3229" s="5" t="s">
        <v>238</v>
      </c>
      <c r="BW3229" s="5" t="s">
        <v>238</v>
      </c>
      <c r="BX3229" s="5" t="s">
        <v>254</v>
      </c>
      <c r="BY3229" s="5" t="s">
        <v>238</v>
      </c>
      <c r="BZ3229" s="5" t="s">
        <v>238</v>
      </c>
      <c r="CD3229" s="5" t="s">
        <v>238</v>
      </c>
      <c r="CE3229" s="5" t="s">
        <v>238</v>
      </c>
      <c r="CF3229" s="5" t="s">
        <v>261</v>
      </c>
      <c r="CH3229" s="5" t="s">
        <v>238</v>
      </c>
      <c r="CI3229" s="6" t="s">
        <v>257</v>
      </c>
      <c r="CJ3229" s="5" t="s">
        <v>495</v>
      </c>
      <c r="CK3229" s="5" t="s">
        <v>6520</v>
      </c>
      <c r="CL3229" s="5" t="s">
        <v>496</v>
      </c>
      <c r="CM3229" s="5" t="s">
        <v>238</v>
      </c>
      <c r="CN3229" s="5">
        <v>0</v>
      </c>
      <c r="CO3229" s="5" t="s">
        <v>238</v>
      </c>
      <c r="CP3229" s="5" t="s">
        <v>238</v>
      </c>
      <c r="CQ3229" s="5" t="s">
        <v>238</v>
      </c>
      <c r="CR3229" s="5" t="s">
        <v>261</v>
      </c>
      <c r="CS3229" s="5" t="s">
        <v>238</v>
      </c>
      <c r="CT3229" s="7">
        <f>956112</f>
        <v>956112</v>
      </c>
      <c r="CU3229" s="8">
        <f>956112</f>
        <v>956112</v>
      </c>
      <c r="CV3229" s="8">
        <f>0</f>
        <v>0</v>
      </c>
      <c r="CW3229" s="8">
        <f>0</f>
        <v>0</v>
      </c>
      <c r="CX3229" s="8">
        <f>956112</f>
        <v>956112</v>
      </c>
      <c r="CY3229" s="8">
        <f>956112</f>
        <v>956112</v>
      </c>
      <c r="CZ3229" s="8" t="s">
        <v>238</v>
      </c>
      <c r="DA3229" s="5" t="s">
        <v>238</v>
      </c>
      <c r="DB3229" s="5" t="s">
        <v>238</v>
      </c>
      <c r="DD3229" s="5" t="s">
        <v>238</v>
      </c>
      <c r="DE3229" s="8">
        <f>0</f>
        <v>0</v>
      </c>
      <c r="DF3229" s="6" t="s">
        <v>238</v>
      </c>
      <c r="DG3229" s="5" t="s">
        <v>238</v>
      </c>
      <c r="DH3229" s="5" t="s">
        <v>238</v>
      </c>
      <c r="DI3229" s="5" t="s">
        <v>238</v>
      </c>
      <c r="DJ3229" s="5" t="s">
        <v>238</v>
      </c>
      <c r="DK3229" s="5" t="s">
        <v>238</v>
      </c>
      <c r="DL3229" s="5" t="s">
        <v>238</v>
      </c>
      <c r="DM3229" s="8" t="s">
        <v>238</v>
      </c>
      <c r="DN3229" s="5" t="s">
        <v>238</v>
      </c>
      <c r="DO3229" s="5" t="s">
        <v>244</v>
      </c>
      <c r="DP3229" s="5" t="s">
        <v>490</v>
      </c>
      <c r="DQ3229" s="5" t="s">
        <v>490</v>
      </c>
      <c r="DR3229" s="5" t="s">
        <v>238</v>
      </c>
      <c r="DS3229" s="5" t="s">
        <v>238</v>
      </c>
      <c r="GL3229" s="5" t="s">
        <v>6910</v>
      </c>
      <c r="HP3229" s="5" t="s">
        <v>238</v>
      </c>
      <c r="HQ3229" s="5" t="s">
        <v>238</v>
      </c>
      <c r="HR3229" s="5" t="s">
        <v>238</v>
      </c>
      <c r="HS3229" s="5" t="s">
        <v>238</v>
      </c>
      <c r="HT3229" s="5" t="s">
        <v>238</v>
      </c>
      <c r="HU3229" s="5" t="s">
        <v>238</v>
      </c>
      <c r="HV3229" s="5" t="s">
        <v>238</v>
      </c>
      <c r="HW3229" s="5" t="s">
        <v>238</v>
      </c>
      <c r="HX3229" s="5" t="s">
        <v>238</v>
      </c>
      <c r="HY3229" s="5" t="s">
        <v>238</v>
      </c>
      <c r="HZ3229" s="5" t="s">
        <v>238</v>
      </c>
      <c r="IA3229" s="5" t="s">
        <v>238</v>
      </c>
      <c r="IB3229" s="5" t="s">
        <v>238</v>
      </c>
      <c r="IC3229" s="5" t="s">
        <v>238</v>
      </c>
      <c r="ID3229" s="5" t="s">
        <v>238</v>
      </c>
    </row>
    <row r="3230" spans="1:238" x14ac:dyDescent="0.4">
      <c r="A3230" s="5">
        <v>8595</v>
      </c>
      <c r="B3230" s="5">
        <v>1</v>
      </c>
      <c r="C3230" s="5">
        <v>1</v>
      </c>
      <c r="D3230" s="5" t="s">
        <v>238</v>
      </c>
      <c r="E3230" s="5" t="s">
        <v>271</v>
      </c>
      <c r="F3230" s="5" t="s">
        <v>248</v>
      </c>
      <c r="G3230" s="5" t="s">
        <v>6861</v>
      </c>
      <c r="I3230" s="8">
        <f>0</f>
        <v>0</v>
      </c>
      <c r="J3230" s="5" t="s">
        <v>265</v>
      </c>
      <c r="K3230" s="8">
        <f>7891459</f>
        <v>7891459</v>
      </c>
      <c r="L3230" s="6" t="s">
        <v>6519</v>
      </c>
      <c r="M3230" s="5" t="s">
        <v>267</v>
      </c>
      <c r="N3230" s="5" t="s">
        <v>238</v>
      </c>
      <c r="Q3230" s="5" t="s">
        <v>238</v>
      </c>
      <c r="R3230" s="5" t="s">
        <v>238</v>
      </c>
      <c r="S3230" s="5" t="s">
        <v>238</v>
      </c>
      <c r="V3230" s="5" t="s">
        <v>238</v>
      </c>
      <c r="W3230" s="6" t="s">
        <v>238</v>
      </c>
      <c r="X3230" s="6" t="s">
        <v>238</v>
      </c>
      <c r="Y3230" s="5" t="s">
        <v>238</v>
      </c>
      <c r="Z3230" s="6" t="s">
        <v>238</v>
      </c>
      <c r="AA3230" s="6" t="s">
        <v>238</v>
      </c>
      <c r="AB3230" s="5" t="s">
        <v>6517</v>
      </c>
      <c r="AC3230" s="5" t="s">
        <v>244</v>
      </c>
      <c r="AD3230" s="5" t="s">
        <v>238</v>
      </c>
      <c r="AJ3230" s="5" t="s">
        <v>238</v>
      </c>
      <c r="AK3230" s="5" t="s">
        <v>238</v>
      </c>
      <c r="AL3230" s="5" t="s">
        <v>238</v>
      </c>
      <c r="AM3230" s="6" t="s">
        <v>238</v>
      </c>
      <c r="AN3230" s="6" t="s">
        <v>238</v>
      </c>
      <c r="AO3230" s="6" t="s">
        <v>238</v>
      </c>
      <c r="AQ3230" s="5" t="s">
        <v>6523</v>
      </c>
      <c r="AR3230" s="5" t="s">
        <v>238</v>
      </c>
      <c r="AS3230" s="5" t="s">
        <v>238</v>
      </c>
      <c r="AT3230" s="5" t="s">
        <v>246</v>
      </c>
      <c r="AU3230" s="5" t="s">
        <v>489</v>
      </c>
      <c r="AV3230" s="5" t="s">
        <v>247</v>
      </c>
      <c r="AW3230" s="5" t="s">
        <v>238</v>
      </c>
      <c r="AX3230" s="5" t="s">
        <v>4524</v>
      </c>
      <c r="AY3230" s="5" t="s">
        <v>490</v>
      </c>
      <c r="BA3230" s="5" t="s">
        <v>238</v>
      </c>
      <c r="BC3230" s="5" t="s">
        <v>6518</v>
      </c>
      <c r="BD3230" s="6" t="s">
        <v>6519</v>
      </c>
      <c r="BE3230" s="5" t="s">
        <v>493</v>
      </c>
      <c r="BF3230" s="5" t="s">
        <v>493</v>
      </c>
      <c r="BG3230" s="5" t="s">
        <v>238</v>
      </c>
      <c r="BH3230" s="8">
        <f>0</f>
        <v>0</v>
      </c>
      <c r="BI3230" s="8">
        <f>7891459</f>
        <v>7891459</v>
      </c>
      <c r="BJ3230" s="5" t="s">
        <v>253</v>
      </c>
      <c r="BK3230" s="5" t="s">
        <v>254</v>
      </c>
      <c r="BL3230" s="5" t="s">
        <v>238</v>
      </c>
      <c r="BM3230" s="5" t="s">
        <v>238</v>
      </c>
      <c r="BN3230" s="5" t="s">
        <v>238</v>
      </c>
      <c r="BO3230" s="5" t="s">
        <v>238</v>
      </c>
      <c r="BT3230" s="6" t="s">
        <v>238</v>
      </c>
      <c r="BU3230" s="5" t="s">
        <v>238</v>
      </c>
      <c r="BV3230" s="5" t="s">
        <v>238</v>
      </c>
      <c r="BW3230" s="5" t="s">
        <v>238</v>
      </c>
      <c r="BX3230" s="5" t="s">
        <v>254</v>
      </c>
      <c r="BY3230" s="5" t="s">
        <v>238</v>
      </c>
      <c r="BZ3230" s="5" t="s">
        <v>238</v>
      </c>
      <c r="CD3230" s="5" t="s">
        <v>238</v>
      </c>
      <c r="CE3230" s="5" t="s">
        <v>238</v>
      </c>
      <c r="CF3230" s="5" t="s">
        <v>261</v>
      </c>
      <c r="CH3230" s="5" t="s">
        <v>238</v>
      </c>
      <c r="CI3230" s="6" t="s">
        <v>257</v>
      </c>
      <c r="CJ3230" s="5" t="s">
        <v>495</v>
      </c>
      <c r="CK3230" s="5" t="s">
        <v>6520</v>
      </c>
      <c r="CL3230" s="5" t="s">
        <v>496</v>
      </c>
      <c r="CM3230" s="5" t="s">
        <v>238</v>
      </c>
      <c r="CN3230" s="5">
        <v>0</v>
      </c>
      <c r="CO3230" s="5" t="s">
        <v>238</v>
      </c>
      <c r="CP3230" s="5" t="s">
        <v>238</v>
      </c>
      <c r="CQ3230" s="5" t="s">
        <v>238</v>
      </c>
      <c r="CR3230" s="5" t="s">
        <v>261</v>
      </c>
      <c r="CS3230" s="5" t="s">
        <v>238</v>
      </c>
      <c r="CT3230" s="7">
        <f>0</f>
        <v>0</v>
      </c>
      <c r="CU3230" s="8">
        <f>7891459</f>
        <v>7891459</v>
      </c>
      <c r="CV3230" s="8">
        <f>0</f>
        <v>0</v>
      </c>
      <c r="CW3230" s="8">
        <f>0</f>
        <v>0</v>
      </c>
      <c r="CX3230" s="8">
        <f>7891459</f>
        <v>7891459</v>
      </c>
      <c r="CY3230" s="8">
        <f>7891459</f>
        <v>7891459</v>
      </c>
      <c r="CZ3230" s="8" t="s">
        <v>238</v>
      </c>
      <c r="DA3230" s="5" t="s">
        <v>238</v>
      </c>
      <c r="DB3230" s="5" t="s">
        <v>238</v>
      </c>
      <c r="DD3230" s="5" t="s">
        <v>238</v>
      </c>
      <c r="DE3230" s="8">
        <f>0</f>
        <v>0</v>
      </c>
      <c r="DF3230" s="6" t="s">
        <v>238</v>
      </c>
      <c r="DG3230" s="5" t="s">
        <v>238</v>
      </c>
      <c r="DH3230" s="5" t="s">
        <v>238</v>
      </c>
      <c r="DI3230" s="5" t="s">
        <v>238</v>
      </c>
      <c r="DJ3230" s="5" t="s">
        <v>238</v>
      </c>
      <c r="DK3230" s="5" t="s">
        <v>238</v>
      </c>
      <c r="DL3230" s="5" t="s">
        <v>238</v>
      </c>
      <c r="DM3230" s="8" t="s">
        <v>238</v>
      </c>
      <c r="DN3230" s="5" t="s">
        <v>238</v>
      </c>
      <c r="DO3230" s="5" t="s">
        <v>244</v>
      </c>
      <c r="DP3230" s="5" t="s">
        <v>490</v>
      </c>
      <c r="DQ3230" s="5" t="s">
        <v>490</v>
      </c>
      <c r="DR3230" s="5" t="s">
        <v>238</v>
      </c>
      <c r="DS3230" s="5" t="s">
        <v>238</v>
      </c>
      <c r="GL3230" s="5" t="s">
        <v>6883</v>
      </c>
      <c r="HP3230" s="5" t="s">
        <v>238</v>
      </c>
      <c r="HQ3230" s="5" t="s">
        <v>238</v>
      </c>
      <c r="HR3230" s="5" t="s">
        <v>238</v>
      </c>
      <c r="HS3230" s="5" t="s">
        <v>238</v>
      </c>
      <c r="HT3230" s="5" t="s">
        <v>238</v>
      </c>
      <c r="HU3230" s="5" t="s">
        <v>238</v>
      </c>
      <c r="HV3230" s="5" t="s">
        <v>238</v>
      </c>
      <c r="HW3230" s="5" t="s">
        <v>238</v>
      </c>
      <c r="HX3230" s="5" t="s">
        <v>238</v>
      </c>
      <c r="HY3230" s="5" t="s">
        <v>238</v>
      </c>
      <c r="HZ3230" s="5" t="s">
        <v>238</v>
      </c>
      <c r="IA3230" s="5" t="s">
        <v>238</v>
      </c>
      <c r="IB3230" s="5" t="s">
        <v>238</v>
      </c>
      <c r="IC3230" s="5" t="s">
        <v>238</v>
      </c>
      <c r="ID3230" s="5" t="s">
        <v>238</v>
      </c>
    </row>
    <row r="3231" spans="1:238" x14ac:dyDescent="0.4">
      <c r="A3231" s="5">
        <v>8596</v>
      </c>
      <c r="B3231" s="5">
        <v>1</v>
      </c>
      <c r="C3231" s="5">
        <v>1</v>
      </c>
      <c r="D3231" s="5" t="s">
        <v>238</v>
      </c>
      <c r="E3231" s="5" t="s">
        <v>271</v>
      </c>
      <c r="F3231" s="5" t="s">
        <v>248</v>
      </c>
      <c r="G3231" s="5" t="s">
        <v>6861</v>
      </c>
      <c r="I3231" s="8">
        <f>0</f>
        <v>0</v>
      </c>
      <c r="J3231" s="5" t="s">
        <v>265</v>
      </c>
      <c r="K3231" s="8">
        <f>7891459</f>
        <v>7891459</v>
      </c>
      <c r="L3231" s="6" t="s">
        <v>6519</v>
      </c>
      <c r="M3231" s="5" t="s">
        <v>267</v>
      </c>
      <c r="N3231" s="5" t="s">
        <v>238</v>
      </c>
      <c r="Q3231" s="5" t="s">
        <v>238</v>
      </c>
      <c r="R3231" s="5" t="s">
        <v>238</v>
      </c>
      <c r="S3231" s="5" t="s">
        <v>238</v>
      </c>
      <c r="V3231" s="5" t="s">
        <v>238</v>
      </c>
      <c r="W3231" s="6" t="s">
        <v>238</v>
      </c>
      <c r="X3231" s="6" t="s">
        <v>238</v>
      </c>
      <c r="Y3231" s="5" t="s">
        <v>238</v>
      </c>
      <c r="Z3231" s="6" t="s">
        <v>238</v>
      </c>
      <c r="AA3231" s="6" t="s">
        <v>238</v>
      </c>
      <c r="AB3231" s="5" t="s">
        <v>6517</v>
      </c>
      <c r="AC3231" s="5" t="s">
        <v>244</v>
      </c>
      <c r="AD3231" s="5" t="s">
        <v>238</v>
      </c>
      <c r="AJ3231" s="5" t="s">
        <v>238</v>
      </c>
      <c r="AK3231" s="5" t="s">
        <v>238</v>
      </c>
      <c r="AL3231" s="5" t="s">
        <v>238</v>
      </c>
      <c r="AM3231" s="6" t="s">
        <v>238</v>
      </c>
      <c r="AN3231" s="6" t="s">
        <v>238</v>
      </c>
      <c r="AO3231" s="6" t="s">
        <v>238</v>
      </c>
      <c r="AQ3231" s="5" t="s">
        <v>6523</v>
      </c>
      <c r="AR3231" s="5" t="s">
        <v>238</v>
      </c>
      <c r="AS3231" s="5" t="s">
        <v>238</v>
      </c>
      <c r="AT3231" s="5" t="s">
        <v>246</v>
      </c>
      <c r="AU3231" s="5" t="s">
        <v>489</v>
      </c>
      <c r="AV3231" s="5" t="s">
        <v>247</v>
      </c>
      <c r="AW3231" s="5" t="s">
        <v>238</v>
      </c>
      <c r="AX3231" s="5" t="s">
        <v>4524</v>
      </c>
      <c r="AY3231" s="5" t="s">
        <v>490</v>
      </c>
      <c r="BA3231" s="5" t="s">
        <v>238</v>
      </c>
      <c r="BC3231" s="5" t="s">
        <v>6518</v>
      </c>
      <c r="BD3231" s="6" t="s">
        <v>6519</v>
      </c>
      <c r="BE3231" s="5" t="s">
        <v>493</v>
      </c>
      <c r="BF3231" s="5" t="s">
        <v>493</v>
      </c>
      <c r="BG3231" s="5" t="s">
        <v>238</v>
      </c>
      <c r="BH3231" s="8">
        <f>0</f>
        <v>0</v>
      </c>
      <c r="BI3231" s="8">
        <f>7891459</f>
        <v>7891459</v>
      </c>
      <c r="BJ3231" s="5" t="s">
        <v>253</v>
      </c>
      <c r="BK3231" s="5" t="s">
        <v>254</v>
      </c>
      <c r="BL3231" s="5" t="s">
        <v>238</v>
      </c>
      <c r="BM3231" s="5" t="s">
        <v>238</v>
      </c>
      <c r="BN3231" s="5" t="s">
        <v>238</v>
      </c>
      <c r="BO3231" s="5" t="s">
        <v>238</v>
      </c>
      <c r="BT3231" s="6" t="s">
        <v>238</v>
      </c>
      <c r="BU3231" s="5" t="s">
        <v>238</v>
      </c>
      <c r="BV3231" s="5" t="s">
        <v>238</v>
      </c>
      <c r="BW3231" s="5" t="s">
        <v>238</v>
      </c>
      <c r="BX3231" s="5" t="s">
        <v>254</v>
      </c>
      <c r="BY3231" s="5" t="s">
        <v>238</v>
      </c>
      <c r="BZ3231" s="5" t="s">
        <v>238</v>
      </c>
      <c r="CD3231" s="5" t="s">
        <v>238</v>
      </c>
      <c r="CE3231" s="5" t="s">
        <v>238</v>
      </c>
      <c r="CF3231" s="5" t="s">
        <v>261</v>
      </c>
      <c r="CH3231" s="5" t="s">
        <v>238</v>
      </c>
      <c r="CI3231" s="6" t="s">
        <v>257</v>
      </c>
      <c r="CJ3231" s="5" t="s">
        <v>495</v>
      </c>
      <c r="CK3231" s="5" t="s">
        <v>6520</v>
      </c>
      <c r="CL3231" s="5" t="s">
        <v>496</v>
      </c>
      <c r="CM3231" s="5" t="s">
        <v>238</v>
      </c>
      <c r="CN3231" s="5">
        <v>0</v>
      </c>
      <c r="CO3231" s="5" t="s">
        <v>238</v>
      </c>
      <c r="CP3231" s="5" t="s">
        <v>238</v>
      </c>
      <c r="CQ3231" s="5" t="s">
        <v>238</v>
      </c>
      <c r="CR3231" s="5" t="s">
        <v>261</v>
      </c>
      <c r="CS3231" s="5" t="s">
        <v>238</v>
      </c>
      <c r="CT3231" s="7">
        <f>0</f>
        <v>0</v>
      </c>
      <c r="CU3231" s="8">
        <f>7891459</f>
        <v>7891459</v>
      </c>
      <c r="CV3231" s="8">
        <f>0</f>
        <v>0</v>
      </c>
      <c r="CW3231" s="8">
        <f>0</f>
        <v>0</v>
      </c>
      <c r="CX3231" s="8">
        <f>7891459</f>
        <v>7891459</v>
      </c>
      <c r="CY3231" s="8">
        <f>7891459</f>
        <v>7891459</v>
      </c>
      <c r="CZ3231" s="8" t="s">
        <v>238</v>
      </c>
      <c r="DA3231" s="5" t="s">
        <v>238</v>
      </c>
      <c r="DB3231" s="5" t="s">
        <v>238</v>
      </c>
      <c r="DD3231" s="5" t="s">
        <v>238</v>
      </c>
      <c r="DE3231" s="8">
        <f>0</f>
        <v>0</v>
      </c>
      <c r="DF3231" s="6" t="s">
        <v>238</v>
      </c>
      <c r="DG3231" s="5" t="s">
        <v>238</v>
      </c>
      <c r="DH3231" s="5" t="s">
        <v>238</v>
      </c>
      <c r="DI3231" s="5" t="s">
        <v>238</v>
      </c>
      <c r="DJ3231" s="5" t="s">
        <v>238</v>
      </c>
      <c r="DK3231" s="5" t="s">
        <v>238</v>
      </c>
      <c r="DL3231" s="5" t="s">
        <v>238</v>
      </c>
      <c r="DM3231" s="8" t="s">
        <v>238</v>
      </c>
      <c r="DN3231" s="5" t="s">
        <v>238</v>
      </c>
      <c r="DO3231" s="5" t="s">
        <v>244</v>
      </c>
      <c r="DP3231" s="5" t="s">
        <v>490</v>
      </c>
      <c r="DQ3231" s="5" t="s">
        <v>490</v>
      </c>
      <c r="DR3231" s="5" t="s">
        <v>238</v>
      </c>
      <c r="DS3231" s="5" t="s">
        <v>238</v>
      </c>
      <c r="GL3231" s="5" t="s">
        <v>6862</v>
      </c>
      <c r="HP3231" s="5" t="s">
        <v>238</v>
      </c>
      <c r="HQ3231" s="5" t="s">
        <v>238</v>
      </c>
      <c r="HR3231" s="5" t="s">
        <v>238</v>
      </c>
      <c r="HS3231" s="5" t="s">
        <v>238</v>
      </c>
      <c r="HT3231" s="5" t="s">
        <v>238</v>
      </c>
      <c r="HU3231" s="5" t="s">
        <v>238</v>
      </c>
      <c r="HV3231" s="5" t="s">
        <v>238</v>
      </c>
      <c r="HW3231" s="5" t="s">
        <v>238</v>
      </c>
      <c r="HX3231" s="5" t="s">
        <v>238</v>
      </c>
      <c r="HY3231" s="5" t="s">
        <v>238</v>
      </c>
      <c r="HZ3231" s="5" t="s">
        <v>238</v>
      </c>
      <c r="IA3231" s="5" t="s">
        <v>238</v>
      </c>
      <c r="IB3231" s="5" t="s">
        <v>238</v>
      </c>
      <c r="IC3231" s="5" t="s">
        <v>238</v>
      </c>
      <c r="ID3231" s="5" t="s">
        <v>238</v>
      </c>
    </row>
    <row r="3232" spans="1:238" x14ac:dyDescent="0.4">
      <c r="A3232" s="5">
        <v>8597</v>
      </c>
      <c r="B3232" s="5">
        <v>1</v>
      </c>
      <c r="C3232" s="5">
        <v>1</v>
      </c>
      <c r="D3232" s="5" t="s">
        <v>238</v>
      </c>
      <c r="E3232" s="5" t="s">
        <v>271</v>
      </c>
      <c r="F3232" s="5" t="s">
        <v>248</v>
      </c>
      <c r="G3232" s="5" t="s">
        <v>3798</v>
      </c>
      <c r="I3232" s="8">
        <f>0</f>
        <v>0</v>
      </c>
      <c r="J3232" s="5" t="s">
        <v>265</v>
      </c>
      <c r="K3232" s="8">
        <f>251920</f>
        <v>251920</v>
      </c>
      <c r="L3232" s="6" t="s">
        <v>6519</v>
      </c>
      <c r="M3232" s="5" t="s">
        <v>267</v>
      </c>
      <c r="N3232" s="5" t="s">
        <v>238</v>
      </c>
      <c r="Q3232" s="5" t="s">
        <v>238</v>
      </c>
      <c r="R3232" s="5" t="s">
        <v>238</v>
      </c>
      <c r="S3232" s="5" t="s">
        <v>238</v>
      </c>
      <c r="V3232" s="5" t="s">
        <v>238</v>
      </c>
      <c r="W3232" s="6" t="s">
        <v>238</v>
      </c>
      <c r="X3232" s="6" t="s">
        <v>238</v>
      </c>
      <c r="Y3232" s="5" t="s">
        <v>238</v>
      </c>
      <c r="Z3232" s="6" t="s">
        <v>238</v>
      </c>
      <c r="AA3232" s="6" t="s">
        <v>238</v>
      </c>
      <c r="AB3232" s="5" t="s">
        <v>238</v>
      </c>
      <c r="AC3232" s="5" t="s">
        <v>244</v>
      </c>
      <c r="AD3232" s="5" t="s">
        <v>238</v>
      </c>
      <c r="AJ3232" s="5" t="s">
        <v>238</v>
      </c>
      <c r="AK3232" s="5" t="s">
        <v>238</v>
      </c>
      <c r="AL3232" s="5" t="s">
        <v>238</v>
      </c>
      <c r="AM3232" s="6" t="s">
        <v>238</v>
      </c>
      <c r="AN3232" s="6" t="s">
        <v>238</v>
      </c>
      <c r="AO3232" s="6" t="s">
        <v>238</v>
      </c>
      <c r="AQ3232" s="5" t="s">
        <v>6522</v>
      </c>
      <c r="AR3232" s="5" t="s">
        <v>238</v>
      </c>
      <c r="AS3232" s="5" t="s">
        <v>238</v>
      </c>
      <c r="AT3232" s="5" t="s">
        <v>246</v>
      </c>
      <c r="AU3232" s="5" t="s">
        <v>489</v>
      </c>
      <c r="AV3232" s="5" t="s">
        <v>247</v>
      </c>
      <c r="AW3232" s="5" t="s">
        <v>238</v>
      </c>
      <c r="AX3232" s="5" t="s">
        <v>4524</v>
      </c>
      <c r="AY3232" s="5" t="s">
        <v>490</v>
      </c>
      <c r="BA3232" s="5" t="s">
        <v>238</v>
      </c>
      <c r="BC3232" s="5" t="s">
        <v>6518</v>
      </c>
      <c r="BD3232" s="6" t="s">
        <v>6519</v>
      </c>
      <c r="BE3232" s="5" t="s">
        <v>493</v>
      </c>
      <c r="BF3232" s="5" t="s">
        <v>493</v>
      </c>
      <c r="BG3232" s="5" t="s">
        <v>238</v>
      </c>
      <c r="BH3232" s="8">
        <f>0</f>
        <v>0</v>
      </c>
      <c r="BI3232" s="8">
        <f>251920</f>
        <v>251920</v>
      </c>
      <c r="BJ3232" s="5" t="s">
        <v>253</v>
      </c>
      <c r="BK3232" s="5" t="s">
        <v>254</v>
      </c>
      <c r="BL3232" s="5" t="s">
        <v>238</v>
      </c>
      <c r="BM3232" s="5" t="s">
        <v>238</v>
      </c>
      <c r="BN3232" s="5" t="s">
        <v>238</v>
      </c>
      <c r="BO3232" s="5" t="s">
        <v>238</v>
      </c>
      <c r="BT3232" s="6" t="s">
        <v>238</v>
      </c>
      <c r="BU3232" s="5" t="s">
        <v>238</v>
      </c>
      <c r="BV3232" s="5" t="s">
        <v>238</v>
      </c>
      <c r="BW3232" s="5" t="s">
        <v>238</v>
      </c>
      <c r="BX3232" s="5" t="s">
        <v>254</v>
      </c>
      <c r="BY3232" s="5" t="s">
        <v>238</v>
      </c>
      <c r="BZ3232" s="5" t="s">
        <v>238</v>
      </c>
      <c r="CD3232" s="5" t="s">
        <v>238</v>
      </c>
      <c r="CE3232" s="5" t="s">
        <v>238</v>
      </c>
      <c r="CF3232" s="5" t="s">
        <v>261</v>
      </c>
      <c r="CH3232" s="5" t="s">
        <v>238</v>
      </c>
      <c r="CI3232" s="6" t="s">
        <v>257</v>
      </c>
      <c r="CJ3232" s="5" t="s">
        <v>495</v>
      </c>
      <c r="CK3232" s="5" t="s">
        <v>6520</v>
      </c>
      <c r="CL3232" s="5" t="s">
        <v>496</v>
      </c>
      <c r="CM3232" s="5" t="s">
        <v>238</v>
      </c>
      <c r="CN3232" s="5">
        <v>0</v>
      </c>
      <c r="CO3232" s="5" t="s">
        <v>238</v>
      </c>
      <c r="CP3232" s="5" t="s">
        <v>238</v>
      </c>
      <c r="CQ3232" s="5" t="s">
        <v>238</v>
      </c>
      <c r="CR3232" s="5" t="s">
        <v>261</v>
      </c>
      <c r="CS3232" s="5" t="s">
        <v>238</v>
      </c>
      <c r="CT3232" s="7">
        <f>0</f>
        <v>0</v>
      </c>
      <c r="CU3232" s="8">
        <f>251920</f>
        <v>251920</v>
      </c>
      <c r="CV3232" s="8">
        <f>0</f>
        <v>0</v>
      </c>
      <c r="CW3232" s="8">
        <f>0</f>
        <v>0</v>
      </c>
      <c r="CX3232" s="8">
        <f>251920</f>
        <v>251920</v>
      </c>
      <c r="CY3232" s="8">
        <f>251920</f>
        <v>251920</v>
      </c>
      <c r="CZ3232" s="8" t="s">
        <v>238</v>
      </c>
      <c r="DA3232" s="5" t="s">
        <v>238</v>
      </c>
      <c r="DB3232" s="5" t="s">
        <v>238</v>
      </c>
      <c r="DD3232" s="5" t="s">
        <v>238</v>
      </c>
      <c r="DE3232" s="8">
        <f>0</f>
        <v>0</v>
      </c>
      <c r="DF3232" s="6" t="s">
        <v>238</v>
      </c>
      <c r="DG3232" s="5" t="s">
        <v>238</v>
      </c>
      <c r="DH3232" s="5" t="s">
        <v>238</v>
      </c>
      <c r="DI3232" s="5" t="s">
        <v>238</v>
      </c>
      <c r="DJ3232" s="5" t="s">
        <v>238</v>
      </c>
      <c r="DK3232" s="5" t="s">
        <v>238</v>
      </c>
      <c r="DL3232" s="5" t="s">
        <v>238</v>
      </c>
      <c r="DM3232" s="8" t="s">
        <v>238</v>
      </c>
      <c r="DN3232" s="5" t="s">
        <v>238</v>
      </c>
      <c r="DO3232" s="5" t="s">
        <v>244</v>
      </c>
      <c r="DP3232" s="5" t="s">
        <v>490</v>
      </c>
      <c r="DQ3232" s="5" t="s">
        <v>490</v>
      </c>
      <c r="DR3232" s="5" t="s">
        <v>238</v>
      </c>
      <c r="DS3232" s="5" t="s">
        <v>238</v>
      </c>
      <c r="GL3232" s="5" t="s">
        <v>6729</v>
      </c>
      <c r="HP3232" s="5" t="s">
        <v>238</v>
      </c>
      <c r="HQ3232" s="5" t="s">
        <v>238</v>
      </c>
      <c r="HR3232" s="5" t="s">
        <v>238</v>
      </c>
      <c r="HS3232" s="5" t="s">
        <v>238</v>
      </c>
      <c r="HT3232" s="5" t="s">
        <v>238</v>
      </c>
      <c r="HU3232" s="5" t="s">
        <v>238</v>
      </c>
      <c r="HV3232" s="5" t="s">
        <v>238</v>
      </c>
      <c r="HW3232" s="5" t="s">
        <v>238</v>
      </c>
      <c r="HX3232" s="5" t="s">
        <v>238</v>
      </c>
      <c r="HY3232" s="5" t="s">
        <v>238</v>
      </c>
      <c r="HZ3232" s="5" t="s">
        <v>238</v>
      </c>
      <c r="IA3232" s="5" t="s">
        <v>238</v>
      </c>
      <c r="IB3232" s="5" t="s">
        <v>238</v>
      </c>
      <c r="IC3232" s="5" t="s">
        <v>238</v>
      </c>
      <c r="ID3232" s="5" t="s">
        <v>238</v>
      </c>
    </row>
    <row r="3233" spans="1:238" x14ac:dyDescent="0.4">
      <c r="A3233" s="5">
        <v>8598</v>
      </c>
      <c r="B3233" s="5">
        <v>1</v>
      </c>
      <c r="C3233" s="5">
        <v>1</v>
      </c>
      <c r="D3233" s="5" t="s">
        <v>238</v>
      </c>
      <c r="E3233" s="5" t="s">
        <v>271</v>
      </c>
      <c r="F3233" s="5" t="s">
        <v>248</v>
      </c>
      <c r="G3233" s="5" t="s">
        <v>6857</v>
      </c>
      <c r="I3233" s="8">
        <f>0</f>
        <v>0</v>
      </c>
      <c r="J3233" s="5" t="s">
        <v>265</v>
      </c>
      <c r="K3233" s="8">
        <f>251920</f>
        <v>251920</v>
      </c>
      <c r="L3233" s="6" t="s">
        <v>6519</v>
      </c>
      <c r="M3233" s="5" t="s">
        <v>267</v>
      </c>
      <c r="N3233" s="5" t="s">
        <v>238</v>
      </c>
      <c r="Q3233" s="5" t="s">
        <v>238</v>
      </c>
      <c r="R3233" s="5" t="s">
        <v>238</v>
      </c>
      <c r="S3233" s="5" t="s">
        <v>238</v>
      </c>
      <c r="V3233" s="5" t="s">
        <v>238</v>
      </c>
      <c r="W3233" s="6" t="s">
        <v>238</v>
      </c>
      <c r="X3233" s="6" t="s">
        <v>238</v>
      </c>
      <c r="Y3233" s="5" t="s">
        <v>238</v>
      </c>
      <c r="Z3233" s="6" t="s">
        <v>238</v>
      </c>
      <c r="AA3233" s="6" t="s">
        <v>238</v>
      </c>
      <c r="AB3233" s="5" t="s">
        <v>238</v>
      </c>
      <c r="AC3233" s="5" t="s">
        <v>244</v>
      </c>
      <c r="AD3233" s="5" t="s">
        <v>238</v>
      </c>
      <c r="AJ3233" s="5" t="s">
        <v>238</v>
      </c>
      <c r="AK3233" s="5" t="s">
        <v>238</v>
      </c>
      <c r="AL3233" s="5" t="s">
        <v>238</v>
      </c>
      <c r="AM3233" s="6" t="s">
        <v>238</v>
      </c>
      <c r="AN3233" s="6" t="s">
        <v>238</v>
      </c>
      <c r="AO3233" s="6" t="s">
        <v>238</v>
      </c>
      <c r="AQ3233" s="5" t="s">
        <v>6522</v>
      </c>
      <c r="AR3233" s="5" t="s">
        <v>238</v>
      </c>
      <c r="AS3233" s="5" t="s">
        <v>238</v>
      </c>
      <c r="AT3233" s="5" t="s">
        <v>246</v>
      </c>
      <c r="AU3233" s="5" t="s">
        <v>489</v>
      </c>
      <c r="AV3233" s="5" t="s">
        <v>247</v>
      </c>
      <c r="AW3233" s="5" t="s">
        <v>238</v>
      </c>
      <c r="AX3233" s="5" t="s">
        <v>4524</v>
      </c>
      <c r="AY3233" s="5" t="s">
        <v>490</v>
      </c>
      <c r="BA3233" s="5" t="s">
        <v>238</v>
      </c>
      <c r="BC3233" s="5" t="s">
        <v>6518</v>
      </c>
      <c r="BD3233" s="6" t="s">
        <v>6519</v>
      </c>
      <c r="BE3233" s="5" t="s">
        <v>493</v>
      </c>
      <c r="BF3233" s="5" t="s">
        <v>493</v>
      </c>
      <c r="BG3233" s="5" t="s">
        <v>238</v>
      </c>
      <c r="BH3233" s="8">
        <f>0</f>
        <v>0</v>
      </c>
      <c r="BI3233" s="8">
        <f>251920</f>
        <v>251920</v>
      </c>
      <c r="BJ3233" s="5" t="s">
        <v>253</v>
      </c>
      <c r="BK3233" s="5" t="s">
        <v>254</v>
      </c>
      <c r="BL3233" s="5" t="s">
        <v>238</v>
      </c>
      <c r="BM3233" s="5" t="s">
        <v>238</v>
      </c>
      <c r="BN3233" s="5" t="s">
        <v>238</v>
      </c>
      <c r="BO3233" s="5" t="s">
        <v>238</v>
      </c>
      <c r="BT3233" s="6" t="s">
        <v>238</v>
      </c>
      <c r="BU3233" s="5" t="s">
        <v>238</v>
      </c>
      <c r="BV3233" s="5" t="s">
        <v>238</v>
      </c>
      <c r="BW3233" s="5" t="s">
        <v>238</v>
      </c>
      <c r="BX3233" s="5" t="s">
        <v>254</v>
      </c>
      <c r="BY3233" s="5" t="s">
        <v>238</v>
      </c>
      <c r="BZ3233" s="5" t="s">
        <v>238</v>
      </c>
      <c r="CD3233" s="5" t="s">
        <v>238</v>
      </c>
      <c r="CE3233" s="5" t="s">
        <v>238</v>
      </c>
      <c r="CF3233" s="5" t="s">
        <v>261</v>
      </c>
      <c r="CH3233" s="5" t="s">
        <v>238</v>
      </c>
      <c r="CI3233" s="6" t="s">
        <v>257</v>
      </c>
      <c r="CJ3233" s="5" t="s">
        <v>495</v>
      </c>
      <c r="CK3233" s="5" t="s">
        <v>6520</v>
      </c>
      <c r="CL3233" s="5" t="s">
        <v>496</v>
      </c>
      <c r="CM3233" s="5" t="s">
        <v>238</v>
      </c>
      <c r="CN3233" s="5">
        <v>0</v>
      </c>
      <c r="CO3233" s="5" t="s">
        <v>238</v>
      </c>
      <c r="CP3233" s="5" t="s">
        <v>238</v>
      </c>
      <c r="CQ3233" s="5" t="s">
        <v>238</v>
      </c>
      <c r="CR3233" s="5" t="s">
        <v>261</v>
      </c>
      <c r="CS3233" s="5" t="s">
        <v>238</v>
      </c>
      <c r="CT3233" s="7">
        <f>0</f>
        <v>0</v>
      </c>
      <c r="CU3233" s="8">
        <f>251920</f>
        <v>251920</v>
      </c>
      <c r="CV3233" s="8">
        <f>0</f>
        <v>0</v>
      </c>
      <c r="CW3233" s="8">
        <f>0</f>
        <v>0</v>
      </c>
      <c r="CX3233" s="8">
        <f>251920</f>
        <v>251920</v>
      </c>
      <c r="CY3233" s="8">
        <f>251920</f>
        <v>251920</v>
      </c>
      <c r="CZ3233" s="8" t="s">
        <v>238</v>
      </c>
      <c r="DA3233" s="5" t="s">
        <v>238</v>
      </c>
      <c r="DB3233" s="5" t="s">
        <v>238</v>
      </c>
      <c r="DD3233" s="5" t="s">
        <v>238</v>
      </c>
      <c r="DE3233" s="8">
        <f>0</f>
        <v>0</v>
      </c>
      <c r="DF3233" s="6" t="s">
        <v>238</v>
      </c>
      <c r="DG3233" s="5" t="s">
        <v>238</v>
      </c>
      <c r="DH3233" s="5" t="s">
        <v>238</v>
      </c>
      <c r="DI3233" s="5" t="s">
        <v>238</v>
      </c>
      <c r="DJ3233" s="5" t="s">
        <v>238</v>
      </c>
      <c r="DK3233" s="5" t="s">
        <v>238</v>
      </c>
      <c r="DL3233" s="5" t="s">
        <v>238</v>
      </c>
      <c r="DM3233" s="8" t="s">
        <v>238</v>
      </c>
      <c r="DN3233" s="5" t="s">
        <v>238</v>
      </c>
      <c r="DO3233" s="5" t="s">
        <v>244</v>
      </c>
      <c r="DP3233" s="5" t="s">
        <v>490</v>
      </c>
      <c r="DQ3233" s="5" t="s">
        <v>490</v>
      </c>
      <c r="DR3233" s="5" t="s">
        <v>238</v>
      </c>
      <c r="DS3233" s="5" t="s">
        <v>238</v>
      </c>
      <c r="GL3233" s="5" t="s">
        <v>6858</v>
      </c>
      <c r="HP3233" s="5" t="s">
        <v>238</v>
      </c>
      <c r="HQ3233" s="5" t="s">
        <v>238</v>
      </c>
      <c r="HR3233" s="5" t="s">
        <v>238</v>
      </c>
      <c r="HS3233" s="5" t="s">
        <v>238</v>
      </c>
      <c r="HT3233" s="5" t="s">
        <v>238</v>
      </c>
      <c r="HU3233" s="5" t="s">
        <v>238</v>
      </c>
      <c r="HV3233" s="5" t="s">
        <v>238</v>
      </c>
      <c r="HW3233" s="5" t="s">
        <v>238</v>
      </c>
      <c r="HX3233" s="5" t="s">
        <v>238</v>
      </c>
      <c r="HY3233" s="5" t="s">
        <v>238</v>
      </c>
      <c r="HZ3233" s="5" t="s">
        <v>238</v>
      </c>
      <c r="IA3233" s="5" t="s">
        <v>238</v>
      </c>
      <c r="IB3233" s="5" t="s">
        <v>238</v>
      </c>
      <c r="IC3233" s="5" t="s">
        <v>238</v>
      </c>
      <c r="ID3233" s="5" t="s">
        <v>238</v>
      </c>
    </row>
    <row r="3234" spans="1:238" x14ac:dyDescent="0.4">
      <c r="A3234" s="5">
        <v>8599</v>
      </c>
      <c r="B3234" s="5">
        <v>1</v>
      </c>
      <c r="C3234" s="5">
        <v>1</v>
      </c>
      <c r="D3234" s="5" t="s">
        <v>238</v>
      </c>
      <c r="E3234" s="5" t="s">
        <v>271</v>
      </c>
      <c r="F3234" s="5" t="s">
        <v>248</v>
      </c>
      <c r="G3234" s="5" t="s">
        <v>6770</v>
      </c>
      <c r="I3234" s="8">
        <f>0</f>
        <v>0</v>
      </c>
      <c r="J3234" s="5" t="s">
        <v>265</v>
      </c>
      <c r="K3234" s="8">
        <f>52883072</f>
        <v>52883072</v>
      </c>
      <c r="L3234" s="6" t="s">
        <v>6519</v>
      </c>
      <c r="M3234" s="5" t="s">
        <v>267</v>
      </c>
      <c r="N3234" s="5" t="s">
        <v>238</v>
      </c>
      <c r="Q3234" s="5" t="s">
        <v>238</v>
      </c>
      <c r="R3234" s="5" t="s">
        <v>238</v>
      </c>
      <c r="S3234" s="5" t="s">
        <v>238</v>
      </c>
      <c r="V3234" s="5" t="s">
        <v>238</v>
      </c>
      <c r="W3234" s="6" t="s">
        <v>238</v>
      </c>
      <c r="X3234" s="6" t="s">
        <v>238</v>
      </c>
      <c r="Y3234" s="5" t="s">
        <v>238</v>
      </c>
      <c r="Z3234" s="6" t="s">
        <v>238</v>
      </c>
      <c r="AA3234" s="6" t="s">
        <v>238</v>
      </c>
      <c r="AB3234" s="5" t="s">
        <v>238</v>
      </c>
      <c r="AC3234" s="5" t="s">
        <v>244</v>
      </c>
      <c r="AD3234" s="5" t="s">
        <v>238</v>
      </c>
      <c r="AJ3234" s="5" t="s">
        <v>238</v>
      </c>
      <c r="AK3234" s="5" t="s">
        <v>238</v>
      </c>
      <c r="AL3234" s="5" t="s">
        <v>238</v>
      </c>
      <c r="AM3234" s="6" t="s">
        <v>238</v>
      </c>
      <c r="AN3234" s="6" t="s">
        <v>238</v>
      </c>
      <c r="AO3234" s="6" t="s">
        <v>238</v>
      </c>
      <c r="AR3234" s="5" t="s">
        <v>238</v>
      </c>
      <c r="AS3234" s="5" t="s">
        <v>238</v>
      </c>
      <c r="AT3234" s="5" t="s">
        <v>246</v>
      </c>
      <c r="AU3234" s="5" t="s">
        <v>489</v>
      </c>
      <c r="AV3234" s="5" t="s">
        <v>247</v>
      </c>
      <c r="AW3234" s="5" t="s">
        <v>238</v>
      </c>
      <c r="AX3234" s="5" t="s">
        <v>4524</v>
      </c>
      <c r="AY3234" s="5" t="s">
        <v>490</v>
      </c>
      <c r="BA3234" s="5" t="s">
        <v>238</v>
      </c>
      <c r="BC3234" s="5" t="s">
        <v>6518</v>
      </c>
      <c r="BD3234" s="6" t="s">
        <v>6519</v>
      </c>
      <c r="BE3234" s="5" t="s">
        <v>493</v>
      </c>
      <c r="BF3234" s="5" t="s">
        <v>493</v>
      </c>
      <c r="BG3234" s="5" t="s">
        <v>238</v>
      </c>
      <c r="BH3234" s="8">
        <f>0</f>
        <v>0</v>
      </c>
      <c r="BI3234" s="8">
        <f>52883072</f>
        <v>52883072</v>
      </c>
      <c r="BJ3234" s="5" t="s">
        <v>253</v>
      </c>
      <c r="BK3234" s="5" t="s">
        <v>254</v>
      </c>
      <c r="BL3234" s="5" t="s">
        <v>238</v>
      </c>
      <c r="BM3234" s="5" t="s">
        <v>238</v>
      </c>
      <c r="BN3234" s="5" t="s">
        <v>238</v>
      </c>
      <c r="BO3234" s="5" t="s">
        <v>238</v>
      </c>
      <c r="BT3234" s="6" t="s">
        <v>238</v>
      </c>
      <c r="BU3234" s="5" t="s">
        <v>238</v>
      </c>
      <c r="BV3234" s="5" t="s">
        <v>238</v>
      </c>
      <c r="BW3234" s="5" t="s">
        <v>238</v>
      </c>
      <c r="BX3234" s="5" t="s">
        <v>254</v>
      </c>
      <c r="BY3234" s="5" t="s">
        <v>238</v>
      </c>
      <c r="BZ3234" s="5" t="s">
        <v>238</v>
      </c>
      <c r="CD3234" s="5" t="s">
        <v>238</v>
      </c>
      <c r="CE3234" s="5" t="s">
        <v>238</v>
      </c>
      <c r="CF3234" s="5" t="s">
        <v>261</v>
      </c>
      <c r="CH3234" s="5" t="s">
        <v>238</v>
      </c>
      <c r="CI3234" s="6" t="s">
        <v>257</v>
      </c>
      <c r="CJ3234" s="5" t="s">
        <v>495</v>
      </c>
      <c r="CK3234" s="5" t="s">
        <v>6520</v>
      </c>
      <c r="CL3234" s="5" t="s">
        <v>496</v>
      </c>
      <c r="CM3234" s="5" t="s">
        <v>238</v>
      </c>
      <c r="CN3234" s="5">
        <v>0</v>
      </c>
      <c r="CO3234" s="5" t="s">
        <v>238</v>
      </c>
      <c r="CP3234" s="5" t="s">
        <v>238</v>
      </c>
      <c r="CQ3234" s="5" t="s">
        <v>238</v>
      </c>
      <c r="CR3234" s="5" t="s">
        <v>261</v>
      </c>
      <c r="CS3234" s="5" t="s">
        <v>238</v>
      </c>
      <c r="CT3234" s="7">
        <f>0</f>
        <v>0</v>
      </c>
      <c r="CU3234" s="8">
        <f>52883072</f>
        <v>52883072</v>
      </c>
      <c r="CV3234" s="8">
        <f>0</f>
        <v>0</v>
      </c>
      <c r="CW3234" s="8">
        <f>0</f>
        <v>0</v>
      </c>
      <c r="CX3234" s="8">
        <f>52883072</f>
        <v>52883072</v>
      </c>
      <c r="CY3234" s="8">
        <f>52883072</f>
        <v>52883072</v>
      </c>
      <c r="CZ3234" s="8" t="s">
        <v>238</v>
      </c>
      <c r="DA3234" s="5" t="s">
        <v>238</v>
      </c>
      <c r="DB3234" s="5" t="s">
        <v>238</v>
      </c>
      <c r="DD3234" s="5" t="s">
        <v>238</v>
      </c>
      <c r="DE3234" s="8">
        <f>0</f>
        <v>0</v>
      </c>
      <c r="DF3234" s="6" t="s">
        <v>238</v>
      </c>
      <c r="DG3234" s="5" t="s">
        <v>238</v>
      </c>
      <c r="DH3234" s="5" t="s">
        <v>238</v>
      </c>
      <c r="DI3234" s="5" t="s">
        <v>238</v>
      </c>
      <c r="DJ3234" s="5" t="s">
        <v>238</v>
      </c>
      <c r="DK3234" s="5" t="s">
        <v>238</v>
      </c>
      <c r="DL3234" s="5" t="s">
        <v>238</v>
      </c>
      <c r="DM3234" s="8" t="s">
        <v>238</v>
      </c>
      <c r="DN3234" s="5" t="s">
        <v>238</v>
      </c>
      <c r="DO3234" s="5" t="s">
        <v>244</v>
      </c>
      <c r="DP3234" s="5" t="s">
        <v>490</v>
      </c>
      <c r="DQ3234" s="5" t="s">
        <v>490</v>
      </c>
      <c r="DR3234" s="5" t="s">
        <v>238</v>
      </c>
      <c r="DS3234" s="5" t="s">
        <v>238</v>
      </c>
      <c r="GL3234" s="5" t="s">
        <v>6771</v>
      </c>
      <c r="HP3234" s="5" t="s">
        <v>238</v>
      </c>
      <c r="HQ3234" s="5" t="s">
        <v>238</v>
      </c>
      <c r="HR3234" s="5" t="s">
        <v>238</v>
      </c>
      <c r="HS3234" s="5" t="s">
        <v>238</v>
      </c>
      <c r="HT3234" s="5" t="s">
        <v>238</v>
      </c>
      <c r="HU3234" s="5" t="s">
        <v>238</v>
      </c>
      <c r="HV3234" s="5" t="s">
        <v>238</v>
      </c>
      <c r="HW3234" s="5" t="s">
        <v>238</v>
      </c>
      <c r="HX3234" s="5" t="s">
        <v>238</v>
      </c>
      <c r="HY3234" s="5" t="s">
        <v>238</v>
      </c>
      <c r="HZ3234" s="5" t="s">
        <v>238</v>
      </c>
      <c r="IA3234" s="5" t="s">
        <v>238</v>
      </c>
      <c r="IB3234" s="5" t="s">
        <v>238</v>
      </c>
      <c r="IC3234" s="5" t="s">
        <v>238</v>
      </c>
      <c r="ID3234" s="5" t="s">
        <v>238</v>
      </c>
    </row>
    <row r="3235" spans="1:238" x14ac:dyDescent="0.4">
      <c r="A3235" s="5">
        <v>8600</v>
      </c>
      <c r="B3235" s="5">
        <v>1</v>
      </c>
      <c r="C3235" s="5">
        <v>1</v>
      </c>
      <c r="D3235" s="5" t="s">
        <v>238</v>
      </c>
      <c r="E3235" s="5" t="s">
        <v>271</v>
      </c>
      <c r="F3235" s="5" t="s">
        <v>248</v>
      </c>
      <c r="G3235" s="5" t="s">
        <v>6884</v>
      </c>
      <c r="I3235" s="8">
        <f>1</f>
        <v>1</v>
      </c>
      <c r="J3235" s="5" t="s">
        <v>6542</v>
      </c>
      <c r="K3235" s="8">
        <f>847432</f>
        <v>847432</v>
      </c>
      <c r="L3235" s="6" t="s">
        <v>6519</v>
      </c>
      <c r="M3235" s="5" t="s">
        <v>267</v>
      </c>
      <c r="N3235" s="5" t="s">
        <v>238</v>
      </c>
      <c r="Q3235" s="5" t="s">
        <v>238</v>
      </c>
      <c r="R3235" s="5" t="s">
        <v>238</v>
      </c>
      <c r="S3235" s="5" t="s">
        <v>238</v>
      </c>
      <c r="V3235" s="5" t="s">
        <v>238</v>
      </c>
      <c r="W3235" s="6" t="s">
        <v>238</v>
      </c>
      <c r="X3235" s="6" t="s">
        <v>238</v>
      </c>
      <c r="Y3235" s="5" t="s">
        <v>238</v>
      </c>
      <c r="Z3235" s="6" t="s">
        <v>238</v>
      </c>
      <c r="AA3235" s="6" t="s">
        <v>238</v>
      </c>
      <c r="AB3235" s="5" t="s">
        <v>238</v>
      </c>
      <c r="AC3235" s="5" t="s">
        <v>244</v>
      </c>
      <c r="AD3235" s="5" t="s">
        <v>238</v>
      </c>
      <c r="AJ3235" s="5" t="s">
        <v>238</v>
      </c>
      <c r="AK3235" s="5" t="s">
        <v>238</v>
      </c>
      <c r="AL3235" s="5" t="s">
        <v>238</v>
      </c>
      <c r="AM3235" s="6" t="s">
        <v>238</v>
      </c>
      <c r="AN3235" s="6" t="s">
        <v>238</v>
      </c>
      <c r="AO3235" s="6" t="s">
        <v>238</v>
      </c>
      <c r="AQ3235" s="5" t="s">
        <v>6521</v>
      </c>
      <c r="AR3235" s="5" t="s">
        <v>238</v>
      </c>
      <c r="AS3235" s="5" t="s">
        <v>238</v>
      </c>
      <c r="AT3235" s="5" t="s">
        <v>246</v>
      </c>
      <c r="AU3235" s="5" t="s">
        <v>489</v>
      </c>
      <c r="AV3235" s="5" t="s">
        <v>247</v>
      </c>
      <c r="AW3235" s="5" t="s">
        <v>238</v>
      </c>
      <c r="AX3235" s="5" t="s">
        <v>4524</v>
      </c>
      <c r="AY3235" s="5" t="s">
        <v>490</v>
      </c>
      <c r="BA3235" s="5" t="s">
        <v>238</v>
      </c>
      <c r="BC3235" s="5" t="s">
        <v>6518</v>
      </c>
      <c r="BD3235" s="6" t="s">
        <v>6519</v>
      </c>
      <c r="BE3235" s="5" t="s">
        <v>493</v>
      </c>
      <c r="BF3235" s="5" t="s">
        <v>493</v>
      </c>
      <c r="BG3235" s="5" t="s">
        <v>238</v>
      </c>
      <c r="BH3235" s="8">
        <f>1</f>
        <v>1</v>
      </c>
      <c r="BI3235" s="8">
        <f>847432</f>
        <v>847432</v>
      </c>
      <c r="BJ3235" s="5" t="s">
        <v>253</v>
      </c>
      <c r="BK3235" s="5" t="s">
        <v>254</v>
      </c>
      <c r="BL3235" s="5" t="s">
        <v>238</v>
      </c>
      <c r="BM3235" s="5" t="s">
        <v>238</v>
      </c>
      <c r="BN3235" s="5" t="s">
        <v>238</v>
      </c>
      <c r="BO3235" s="5" t="s">
        <v>238</v>
      </c>
      <c r="BT3235" s="6" t="s">
        <v>238</v>
      </c>
      <c r="BU3235" s="5" t="s">
        <v>238</v>
      </c>
      <c r="BV3235" s="5" t="s">
        <v>238</v>
      </c>
      <c r="BW3235" s="5" t="s">
        <v>238</v>
      </c>
      <c r="BX3235" s="5" t="s">
        <v>254</v>
      </c>
      <c r="BY3235" s="5" t="s">
        <v>238</v>
      </c>
      <c r="BZ3235" s="5" t="s">
        <v>238</v>
      </c>
      <c r="CD3235" s="5" t="s">
        <v>238</v>
      </c>
      <c r="CE3235" s="5" t="s">
        <v>238</v>
      </c>
      <c r="CF3235" s="5" t="s">
        <v>261</v>
      </c>
      <c r="CH3235" s="5" t="s">
        <v>238</v>
      </c>
      <c r="CI3235" s="6" t="s">
        <v>257</v>
      </c>
      <c r="CJ3235" s="5" t="s">
        <v>495</v>
      </c>
      <c r="CK3235" s="5" t="s">
        <v>6520</v>
      </c>
      <c r="CL3235" s="5" t="s">
        <v>496</v>
      </c>
      <c r="CM3235" s="5" t="s">
        <v>238</v>
      </c>
      <c r="CN3235" s="5">
        <v>0</v>
      </c>
      <c r="CO3235" s="5" t="s">
        <v>238</v>
      </c>
      <c r="CP3235" s="5" t="s">
        <v>238</v>
      </c>
      <c r="CQ3235" s="5" t="s">
        <v>238</v>
      </c>
      <c r="CR3235" s="5" t="s">
        <v>261</v>
      </c>
      <c r="CS3235" s="5" t="s">
        <v>238</v>
      </c>
      <c r="CT3235" s="7">
        <f>0</f>
        <v>0</v>
      </c>
      <c r="CU3235" s="8">
        <f>847432</f>
        <v>847432</v>
      </c>
      <c r="CV3235" s="8">
        <f>0</f>
        <v>0</v>
      </c>
      <c r="CW3235" s="8">
        <f>0</f>
        <v>0</v>
      </c>
      <c r="CX3235" s="8">
        <f>847432</f>
        <v>847432</v>
      </c>
      <c r="CY3235" s="8">
        <f>847432</f>
        <v>847432</v>
      </c>
      <c r="CZ3235" s="8" t="s">
        <v>238</v>
      </c>
      <c r="DA3235" s="5" t="s">
        <v>238</v>
      </c>
      <c r="DB3235" s="5" t="s">
        <v>238</v>
      </c>
      <c r="DD3235" s="5" t="s">
        <v>238</v>
      </c>
      <c r="DE3235" s="8">
        <f>0</f>
        <v>0</v>
      </c>
      <c r="DF3235" s="6" t="s">
        <v>238</v>
      </c>
      <c r="DG3235" s="5" t="s">
        <v>238</v>
      </c>
      <c r="DH3235" s="5" t="s">
        <v>238</v>
      </c>
      <c r="DI3235" s="5" t="s">
        <v>238</v>
      </c>
      <c r="DJ3235" s="5" t="s">
        <v>238</v>
      </c>
      <c r="DK3235" s="5" t="s">
        <v>238</v>
      </c>
      <c r="DL3235" s="5" t="s">
        <v>238</v>
      </c>
      <c r="DM3235" s="8" t="s">
        <v>238</v>
      </c>
      <c r="DN3235" s="5" t="s">
        <v>238</v>
      </c>
      <c r="DO3235" s="5" t="s">
        <v>244</v>
      </c>
      <c r="DP3235" s="5" t="s">
        <v>490</v>
      </c>
      <c r="DQ3235" s="5" t="s">
        <v>490</v>
      </c>
      <c r="DR3235" s="5" t="s">
        <v>238</v>
      </c>
      <c r="DS3235" s="5" t="s">
        <v>238</v>
      </c>
      <c r="GL3235" s="5" t="s">
        <v>6885</v>
      </c>
      <c r="HP3235" s="5" t="s">
        <v>238</v>
      </c>
      <c r="HQ3235" s="5" t="s">
        <v>238</v>
      </c>
      <c r="HR3235" s="5" t="s">
        <v>238</v>
      </c>
      <c r="HS3235" s="5" t="s">
        <v>238</v>
      </c>
      <c r="HT3235" s="5" t="s">
        <v>238</v>
      </c>
      <c r="HU3235" s="5" t="s">
        <v>238</v>
      </c>
      <c r="HV3235" s="5" t="s">
        <v>238</v>
      </c>
      <c r="HW3235" s="5" t="s">
        <v>238</v>
      </c>
      <c r="HX3235" s="5" t="s">
        <v>238</v>
      </c>
      <c r="HY3235" s="5" t="s">
        <v>238</v>
      </c>
      <c r="HZ3235" s="5" t="s">
        <v>238</v>
      </c>
      <c r="IA3235" s="5" t="s">
        <v>238</v>
      </c>
      <c r="IB3235" s="5" t="s">
        <v>238</v>
      </c>
      <c r="IC3235" s="5" t="s">
        <v>238</v>
      </c>
      <c r="ID3235" s="5" t="s">
        <v>238</v>
      </c>
    </row>
    <row r="3236" spans="1:238" x14ac:dyDescent="0.4">
      <c r="A3236" s="5">
        <v>8601</v>
      </c>
      <c r="B3236" s="5">
        <v>1</v>
      </c>
      <c r="C3236" s="5">
        <v>1</v>
      </c>
      <c r="D3236" s="5" t="s">
        <v>238</v>
      </c>
      <c r="E3236" s="5" t="s">
        <v>271</v>
      </c>
      <c r="F3236" s="5" t="s">
        <v>248</v>
      </c>
      <c r="G3236" s="5" t="s">
        <v>6776</v>
      </c>
      <c r="I3236" s="8">
        <f>0</f>
        <v>0</v>
      </c>
      <c r="J3236" s="5" t="s">
        <v>265</v>
      </c>
      <c r="K3236" s="8">
        <f>847432</f>
        <v>847432</v>
      </c>
      <c r="L3236" s="6" t="s">
        <v>6519</v>
      </c>
      <c r="M3236" s="5" t="s">
        <v>267</v>
      </c>
      <c r="N3236" s="5" t="s">
        <v>238</v>
      </c>
      <c r="Q3236" s="5" t="s">
        <v>238</v>
      </c>
      <c r="R3236" s="5" t="s">
        <v>238</v>
      </c>
      <c r="S3236" s="5" t="s">
        <v>238</v>
      </c>
      <c r="V3236" s="5" t="s">
        <v>238</v>
      </c>
      <c r="W3236" s="6" t="s">
        <v>238</v>
      </c>
      <c r="X3236" s="6" t="s">
        <v>238</v>
      </c>
      <c r="Y3236" s="5" t="s">
        <v>238</v>
      </c>
      <c r="Z3236" s="6" t="s">
        <v>238</v>
      </c>
      <c r="AA3236" s="6" t="s">
        <v>238</v>
      </c>
      <c r="AB3236" s="5" t="s">
        <v>238</v>
      </c>
      <c r="AC3236" s="5" t="s">
        <v>244</v>
      </c>
      <c r="AD3236" s="5" t="s">
        <v>238</v>
      </c>
      <c r="AJ3236" s="5" t="s">
        <v>238</v>
      </c>
      <c r="AK3236" s="5" t="s">
        <v>238</v>
      </c>
      <c r="AL3236" s="5" t="s">
        <v>238</v>
      </c>
      <c r="AM3236" s="6" t="s">
        <v>238</v>
      </c>
      <c r="AN3236" s="6" t="s">
        <v>238</v>
      </c>
      <c r="AO3236" s="6" t="s">
        <v>238</v>
      </c>
      <c r="AQ3236" s="5" t="s">
        <v>6521</v>
      </c>
      <c r="AR3236" s="5" t="s">
        <v>238</v>
      </c>
      <c r="AS3236" s="5" t="s">
        <v>238</v>
      </c>
      <c r="AT3236" s="5" t="s">
        <v>246</v>
      </c>
      <c r="AU3236" s="5" t="s">
        <v>489</v>
      </c>
      <c r="AV3236" s="5" t="s">
        <v>247</v>
      </c>
      <c r="AW3236" s="5" t="s">
        <v>238</v>
      </c>
      <c r="AX3236" s="5" t="s">
        <v>4524</v>
      </c>
      <c r="AY3236" s="5" t="s">
        <v>490</v>
      </c>
      <c r="BA3236" s="5" t="s">
        <v>238</v>
      </c>
      <c r="BC3236" s="5" t="s">
        <v>6518</v>
      </c>
      <c r="BD3236" s="6" t="s">
        <v>6519</v>
      </c>
      <c r="BE3236" s="5" t="s">
        <v>493</v>
      </c>
      <c r="BF3236" s="5" t="s">
        <v>493</v>
      </c>
      <c r="BG3236" s="5" t="s">
        <v>238</v>
      </c>
      <c r="BH3236" s="8">
        <f>0</f>
        <v>0</v>
      </c>
      <c r="BI3236" s="8">
        <f>847432</f>
        <v>847432</v>
      </c>
      <c r="BJ3236" s="5" t="s">
        <v>253</v>
      </c>
      <c r="BK3236" s="5" t="s">
        <v>254</v>
      </c>
      <c r="BL3236" s="5" t="s">
        <v>238</v>
      </c>
      <c r="BM3236" s="5" t="s">
        <v>238</v>
      </c>
      <c r="BN3236" s="5" t="s">
        <v>238</v>
      </c>
      <c r="BO3236" s="5" t="s">
        <v>238</v>
      </c>
      <c r="BT3236" s="6" t="s">
        <v>238</v>
      </c>
      <c r="BU3236" s="5" t="s">
        <v>238</v>
      </c>
      <c r="BV3236" s="5" t="s">
        <v>238</v>
      </c>
      <c r="BW3236" s="5" t="s">
        <v>238</v>
      </c>
      <c r="BX3236" s="5" t="s">
        <v>254</v>
      </c>
      <c r="BY3236" s="5" t="s">
        <v>238</v>
      </c>
      <c r="BZ3236" s="5" t="s">
        <v>238</v>
      </c>
      <c r="CD3236" s="5" t="s">
        <v>238</v>
      </c>
      <c r="CE3236" s="5" t="s">
        <v>238</v>
      </c>
      <c r="CF3236" s="5" t="s">
        <v>261</v>
      </c>
      <c r="CH3236" s="5" t="s">
        <v>238</v>
      </c>
      <c r="CI3236" s="6" t="s">
        <v>257</v>
      </c>
      <c r="CJ3236" s="5" t="s">
        <v>495</v>
      </c>
      <c r="CK3236" s="5" t="s">
        <v>6520</v>
      </c>
      <c r="CL3236" s="5" t="s">
        <v>496</v>
      </c>
      <c r="CM3236" s="5" t="s">
        <v>238</v>
      </c>
      <c r="CN3236" s="5">
        <v>0</v>
      </c>
      <c r="CO3236" s="5" t="s">
        <v>238</v>
      </c>
      <c r="CP3236" s="5" t="s">
        <v>238</v>
      </c>
      <c r="CQ3236" s="5" t="s">
        <v>238</v>
      </c>
      <c r="CR3236" s="5" t="s">
        <v>261</v>
      </c>
      <c r="CS3236" s="5" t="s">
        <v>238</v>
      </c>
      <c r="CT3236" s="7">
        <f>0</f>
        <v>0</v>
      </c>
      <c r="CU3236" s="8">
        <f>847432</f>
        <v>847432</v>
      </c>
      <c r="CV3236" s="8">
        <f>0</f>
        <v>0</v>
      </c>
      <c r="CW3236" s="8">
        <f>0</f>
        <v>0</v>
      </c>
      <c r="CX3236" s="8">
        <f>847432</f>
        <v>847432</v>
      </c>
      <c r="CY3236" s="8">
        <f>847432</f>
        <v>847432</v>
      </c>
      <c r="CZ3236" s="8" t="s">
        <v>238</v>
      </c>
      <c r="DA3236" s="5" t="s">
        <v>238</v>
      </c>
      <c r="DB3236" s="5" t="s">
        <v>238</v>
      </c>
      <c r="DD3236" s="5" t="s">
        <v>238</v>
      </c>
      <c r="DE3236" s="8">
        <f>0</f>
        <v>0</v>
      </c>
      <c r="DF3236" s="6" t="s">
        <v>238</v>
      </c>
      <c r="DG3236" s="5" t="s">
        <v>238</v>
      </c>
      <c r="DH3236" s="5" t="s">
        <v>238</v>
      </c>
      <c r="DI3236" s="5" t="s">
        <v>238</v>
      </c>
      <c r="DJ3236" s="5" t="s">
        <v>238</v>
      </c>
      <c r="DK3236" s="5" t="s">
        <v>238</v>
      </c>
      <c r="DL3236" s="5" t="s">
        <v>238</v>
      </c>
      <c r="DM3236" s="8" t="s">
        <v>238</v>
      </c>
      <c r="DN3236" s="5" t="s">
        <v>238</v>
      </c>
      <c r="DO3236" s="5" t="s">
        <v>244</v>
      </c>
      <c r="DP3236" s="5" t="s">
        <v>490</v>
      </c>
      <c r="DQ3236" s="5" t="s">
        <v>490</v>
      </c>
      <c r="DR3236" s="5" t="s">
        <v>238</v>
      </c>
      <c r="DS3236" s="5" t="s">
        <v>238</v>
      </c>
      <c r="GL3236" s="5" t="s">
        <v>6777</v>
      </c>
      <c r="HP3236" s="5" t="s">
        <v>238</v>
      </c>
      <c r="HQ3236" s="5" t="s">
        <v>238</v>
      </c>
      <c r="HR3236" s="5" t="s">
        <v>238</v>
      </c>
      <c r="HS3236" s="5" t="s">
        <v>238</v>
      </c>
      <c r="HT3236" s="5" t="s">
        <v>238</v>
      </c>
      <c r="HU3236" s="5" t="s">
        <v>238</v>
      </c>
      <c r="HV3236" s="5" t="s">
        <v>238</v>
      </c>
      <c r="HW3236" s="5" t="s">
        <v>238</v>
      </c>
      <c r="HX3236" s="5" t="s">
        <v>238</v>
      </c>
      <c r="HY3236" s="5" t="s">
        <v>238</v>
      </c>
      <c r="HZ3236" s="5" t="s">
        <v>238</v>
      </c>
      <c r="IA3236" s="5" t="s">
        <v>238</v>
      </c>
      <c r="IB3236" s="5" t="s">
        <v>238</v>
      </c>
      <c r="IC3236" s="5" t="s">
        <v>238</v>
      </c>
      <c r="ID3236" s="5" t="s">
        <v>238</v>
      </c>
    </row>
    <row r="3237" spans="1:238" x14ac:dyDescent="0.4">
      <c r="A3237" s="5">
        <v>8726</v>
      </c>
      <c r="B3237" s="5">
        <v>1</v>
      </c>
      <c r="C3237" s="5">
        <v>2</v>
      </c>
      <c r="D3237" s="5" t="s">
        <v>2037</v>
      </c>
      <c r="E3237" s="5" t="s">
        <v>271</v>
      </c>
      <c r="F3237" s="5" t="s">
        <v>248</v>
      </c>
      <c r="G3237" s="5" t="s">
        <v>6760</v>
      </c>
      <c r="H3237" s="6" t="s">
        <v>6762</v>
      </c>
      <c r="I3237" s="7">
        <f>7.28</f>
        <v>7.28</v>
      </c>
      <c r="J3237" s="5" t="s">
        <v>262</v>
      </c>
      <c r="K3237" s="8">
        <f>40040</f>
        <v>40040</v>
      </c>
      <c r="L3237" s="6" t="s">
        <v>6761</v>
      </c>
      <c r="M3237" s="5" t="s">
        <v>267</v>
      </c>
      <c r="N3237" s="5" t="s">
        <v>2092</v>
      </c>
      <c r="Q3237" s="5" t="s">
        <v>268</v>
      </c>
      <c r="R3237" s="5" t="s">
        <v>270</v>
      </c>
      <c r="S3237" s="5" t="s">
        <v>238</v>
      </c>
      <c r="V3237" s="5" t="s">
        <v>2587</v>
      </c>
      <c r="W3237" s="6" t="s">
        <v>238</v>
      </c>
      <c r="X3237" s="6" t="s">
        <v>238</v>
      </c>
      <c r="Y3237" s="5" t="s">
        <v>238</v>
      </c>
      <c r="Z3237" s="6" t="s">
        <v>238</v>
      </c>
      <c r="AA3237" s="6" t="s">
        <v>6761</v>
      </c>
      <c r="AB3237" s="5" t="s">
        <v>6546</v>
      </c>
      <c r="AC3237" s="5" t="s">
        <v>244</v>
      </c>
      <c r="AD3237" s="5" t="s">
        <v>245</v>
      </c>
      <c r="AJ3237" s="5" t="s">
        <v>238</v>
      </c>
      <c r="AK3237" s="5" t="s">
        <v>238</v>
      </c>
      <c r="AL3237" s="5" t="s">
        <v>238</v>
      </c>
      <c r="AM3237" s="6" t="s">
        <v>238</v>
      </c>
      <c r="AN3237" s="6" t="s">
        <v>238</v>
      </c>
      <c r="AO3237" s="6" t="s">
        <v>238</v>
      </c>
      <c r="AR3237" s="5" t="s">
        <v>488</v>
      </c>
      <c r="AS3237" s="5" t="s">
        <v>488</v>
      </c>
      <c r="AT3237" s="5" t="s">
        <v>246</v>
      </c>
      <c r="AU3237" s="5" t="s">
        <v>489</v>
      </c>
      <c r="AV3237" s="5" t="s">
        <v>247</v>
      </c>
      <c r="AW3237" s="5" t="s">
        <v>600</v>
      </c>
      <c r="AX3237" s="5" t="s">
        <v>249</v>
      </c>
      <c r="AY3237" s="5" t="s">
        <v>490</v>
      </c>
      <c r="BA3237" s="5" t="s">
        <v>238</v>
      </c>
      <c r="BC3237" s="5" t="s">
        <v>491</v>
      </c>
      <c r="BD3237" s="6" t="s">
        <v>6662</v>
      </c>
      <c r="BE3237" s="5" t="s">
        <v>6528</v>
      </c>
      <c r="BF3237" s="5" t="s">
        <v>6529</v>
      </c>
      <c r="BG3237" s="5" t="s">
        <v>238</v>
      </c>
      <c r="BH3237" s="7">
        <f>0</f>
        <v>0</v>
      </c>
      <c r="BI3237" s="8">
        <f>40040</f>
        <v>40040</v>
      </c>
      <c r="BJ3237" s="5" t="s">
        <v>253</v>
      </c>
      <c r="BK3237" s="5" t="s">
        <v>254</v>
      </c>
      <c r="BL3237" s="5" t="s">
        <v>6530</v>
      </c>
      <c r="BM3237" s="5" t="s">
        <v>6531</v>
      </c>
      <c r="BN3237" s="5" t="s">
        <v>6540</v>
      </c>
      <c r="BO3237" s="5" t="s">
        <v>238</v>
      </c>
      <c r="BP3237" s="5" t="s">
        <v>253</v>
      </c>
      <c r="BQ3237" s="5" t="s">
        <v>6532</v>
      </c>
      <c r="BR3237" s="5" t="s">
        <v>6532</v>
      </c>
      <c r="BT3237" s="6" t="s">
        <v>6763</v>
      </c>
      <c r="BU3237" s="5" t="s">
        <v>253</v>
      </c>
      <c r="BV3237" s="5" t="s">
        <v>238</v>
      </c>
      <c r="BW3237" s="5" t="s">
        <v>238</v>
      </c>
      <c r="BX3237" s="5" t="s">
        <v>254</v>
      </c>
      <c r="BY3237" s="5" t="s">
        <v>238</v>
      </c>
      <c r="BZ3237" s="5" t="s">
        <v>238</v>
      </c>
      <c r="CD3237" s="5" t="s">
        <v>238</v>
      </c>
      <c r="CE3237" s="5" t="s">
        <v>238</v>
      </c>
      <c r="CF3237" s="5" t="s">
        <v>261</v>
      </c>
      <c r="CH3237" s="5" t="s">
        <v>238</v>
      </c>
      <c r="CI3237" s="6" t="s">
        <v>257</v>
      </c>
      <c r="CJ3237" s="5" t="s">
        <v>495</v>
      </c>
      <c r="CK3237" s="5" t="s">
        <v>258</v>
      </c>
      <c r="CL3237" s="5" t="s">
        <v>496</v>
      </c>
      <c r="CM3237" s="5" t="s">
        <v>238</v>
      </c>
      <c r="CN3237" s="5">
        <v>0</v>
      </c>
      <c r="CO3237" s="5" t="s">
        <v>497</v>
      </c>
      <c r="CP3237" s="5" t="s">
        <v>260</v>
      </c>
      <c r="CQ3237" s="5" t="s">
        <v>260</v>
      </c>
      <c r="CR3237" s="5" t="s">
        <v>261</v>
      </c>
      <c r="CS3237" s="5" t="s">
        <v>238</v>
      </c>
      <c r="CT3237" s="7">
        <f>0</f>
        <v>0</v>
      </c>
      <c r="CU3237" s="8">
        <f>40040</f>
        <v>40040</v>
      </c>
      <c r="CV3237" s="8">
        <f>0</f>
        <v>0</v>
      </c>
      <c r="CW3237" s="8">
        <f>0</f>
        <v>0</v>
      </c>
      <c r="CX3237" s="8">
        <f>40040</f>
        <v>40040</v>
      </c>
      <c r="CY3237" s="8">
        <f>40040</f>
        <v>40040</v>
      </c>
      <c r="CZ3237" s="8" t="s">
        <v>238</v>
      </c>
      <c r="DA3237" s="5" t="s">
        <v>238</v>
      </c>
      <c r="DB3237" s="5" t="s">
        <v>238</v>
      </c>
      <c r="DD3237" s="5" t="s">
        <v>238</v>
      </c>
      <c r="DE3237" s="8">
        <f>0</f>
        <v>0</v>
      </c>
      <c r="DF3237" s="6" t="s">
        <v>238</v>
      </c>
      <c r="DG3237" s="5" t="s">
        <v>238</v>
      </c>
      <c r="DH3237" s="5" t="s">
        <v>238</v>
      </c>
      <c r="DI3237" s="5" t="s">
        <v>238</v>
      </c>
      <c r="DJ3237" s="5" t="s">
        <v>238</v>
      </c>
      <c r="DK3237" s="5" t="s">
        <v>238</v>
      </c>
      <c r="DL3237" s="5" t="s">
        <v>238</v>
      </c>
      <c r="DM3237" s="8" t="s">
        <v>238</v>
      </c>
      <c r="DN3237" s="5" t="s">
        <v>238</v>
      </c>
      <c r="DO3237" s="5" t="s">
        <v>244</v>
      </c>
      <c r="DP3237" s="5" t="s">
        <v>490</v>
      </c>
      <c r="DQ3237" s="5" t="s">
        <v>490</v>
      </c>
      <c r="DR3237" s="5" t="s">
        <v>238</v>
      </c>
      <c r="DS3237" s="5" t="s">
        <v>238</v>
      </c>
      <c r="HP3237" s="5" t="s">
        <v>238</v>
      </c>
      <c r="HQ3237" s="5" t="s">
        <v>238</v>
      </c>
      <c r="HR3237" s="5" t="s">
        <v>238</v>
      </c>
      <c r="HS3237" s="5" t="s">
        <v>238</v>
      </c>
      <c r="HT3237" s="5" t="s">
        <v>238</v>
      </c>
      <c r="HU3237" s="5" t="s">
        <v>238</v>
      </c>
      <c r="HV3237" s="5" t="s">
        <v>238</v>
      </c>
      <c r="HW3237" s="5" t="s">
        <v>238</v>
      </c>
      <c r="HX3237" s="5" t="s">
        <v>238</v>
      </c>
      <c r="HY3237" s="5" t="s">
        <v>238</v>
      </c>
      <c r="HZ3237" s="5" t="s">
        <v>238</v>
      </c>
      <c r="IA3237" s="5" t="s">
        <v>238</v>
      </c>
      <c r="IB3237" s="5" t="s">
        <v>238</v>
      </c>
      <c r="IC3237" s="5" t="s">
        <v>238</v>
      </c>
      <c r="ID3237" s="5" t="s">
        <v>238</v>
      </c>
    </row>
    <row r="3238" spans="1:238" x14ac:dyDescent="0.4">
      <c r="A3238" s="5">
        <v>8727</v>
      </c>
      <c r="B3238" s="5">
        <v>1</v>
      </c>
      <c r="C3238" s="5">
        <v>2</v>
      </c>
      <c r="D3238" s="5" t="s">
        <v>2037</v>
      </c>
      <c r="E3238" s="5" t="s">
        <v>271</v>
      </c>
      <c r="F3238" s="5" t="s">
        <v>248</v>
      </c>
      <c r="G3238" s="5" t="s">
        <v>6815</v>
      </c>
      <c r="H3238" s="6" t="s">
        <v>6694</v>
      </c>
      <c r="I3238" s="7">
        <f>27.97</f>
        <v>27.97</v>
      </c>
      <c r="J3238" s="5" t="s">
        <v>262</v>
      </c>
      <c r="K3238" s="8">
        <f>131459</f>
        <v>131459</v>
      </c>
      <c r="L3238" s="6" t="s">
        <v>6816</v>
      </c>
      <c r="M3238" s="5" t="s">
        <v>267</v>
      </c>
      <c r="N3238" s="5" t="s">
        <v>2092</v>
      </c>
      <c r="Q3238" s="5" t="s">
        <v>268</v>
      </c>
      <c r="R3238" s="5" t="s">
        <v>270</v>
      </c>
      <c r="S3238" s="5" t="s">
        <v>238</v>
      </c>
      <c r="V3238" s="5" t="s">
        <v>2587</v>
      </c>
      <c r="W3238" s="6" t="s">
        <v>238</v>
      </c>
      <c r="X3238" s="6" t="s">
        <v>238</v>
      </c>
      <c r="Y3238" s="5" t="s">
        <v>238</v>
      </c>
      <c r="Z3238" s="6" t="s">
        <v>238</v>
      </c>
      <c r="AA3238" s="6" t="s">
        <v>6816</v>
      </c>
      <c r="AB3238" s="5" t="s">
        <v>6546</v>
      </c>
      <c r="AC3238" s="5" t="s">
        <v>244</v>
      </c>
      <c r="AD3238" s="5" t="s">
        <v>245</v>
      </c>
      <c r="AJ3238" s="5" t="s">
        <v>238</v>
      </c>
      <c r="AK3238" s="5" t="s">
        <v>238</v>
      </c>
      <c r="AL3238" s="5" t="s">
        <v>238</v>
      </c>
      <c r="AM3238" s="6" t="s">
        <v>238</v>
      </c>
      <c r="AN3238" s="6" t="s">
        <v>238</v>
      </c>
      <c r="AO3238" s="6" t="s">
        <v>238</v>
      </c>
      <c r="AR3238" s="5" t="s">
        <v>488</v>
      </c>
      <c r="AS3238" s="5" t="s">
        <v>488</v>
      </c>
      <c r="AT3238" s="5" t="s">
        <v>246</v>
      </c>
      <c r="AU3238" s="5" t="s">
        <v>489</v>
      </c>
      <c r="AV3238" s="5" t="s">
        <v>247</v>
      </c>
      <c r="AW3238" s="5" t="s">
        <v>600</v>
      </c>
      <c r="AX3238" s="5" t="s">
        <v>249</v>
      </c>
      <c r="AY3238" s="5" t="s">
        <v>490</v>
      </c>
      <c r="BA3238" s="5" t="s">
        <v>238</v>
      </c>
      <c r="BC3238" s="5" t="s">
        <v>491</v>
      </c>
      <c r="BD3238" s="6" t="s">
        <v>6562</v>
      </c>
      <c r="BE3238" s="5" t="s">
        <v>6528</v>
      </c>
      <c r="BF3238" s="5" t="s">
        <v>6529</v>
      </c>
      <c r="BG3238" s="5" t="s">
        <v>238</v>
      </c>
      <c r="BH3238" s="7">
        <f>0</f>
        <v>0</v>
      </c>
      <c r="BI3238" s="8">
        <f>131459</f>
        <v>131459</v>
      </c>
      <c r="BJ3238" s="5" t="s">
        <v>253</v>
      </c>
      <c r="BK3238" s="5" t="s">
        <v>254</v>
      </c>
      <c r="BL3238" s="5" t="s">
        <v>6530</v>
      </c>
      <c r="BM3238" s="5" t="s">
        <v>6531</v>
      </c>
      <c r="BN3238" s="5" t="s">
        <v>6540</v>
      </c>
      <c r="BO3238" s="5" t="s">
        <v>238</v>
      </c>
      <c r="BP3238" s="5" t="s">
        <v>253</v>
      </c>
      <c r="BQ3238" s="5" t="s">
        <v>6532</v>
      </c>
      <c r="BR3238" s="5" t="s">
        <v>6532</v>
      </c>
      <c r="BT3238" s="6" t="s">
        <v>6817</v>
      </c>
      <c r="BU3238" s="5" t="s">
        <v>253</v>
      </c>
      <c r="BV3238" s="5" t="s">
        <v>238</v>
      </c>
      <c r="BW3238" s="5" t="s">
        <v>238</v>
      </c>
      <c r="BX3238" s="5" t="s">
        <v>254</v>
      </c>
      <c r="BY3238" s="5" t="s">
        <v>238</v>
      </c>
      <c r="BZ3238" s="5" t="s">
        <v>238</v>
      </c>
      <c r="CD3238" s="5" t="s">
        <v>238</v>
      </c>
      <c r="CE3238" s="5" t="s">
        <v>238</v>
      </c>
      <c r="CF3238" s="5" t="s">
        <v>261</v>
      </c>
      <c r="CH3238" s="5" t="s">
        <v>238</v>
      </c>
      <c r="CI3238" s="6" t="s">
        <v>257</v>
      </c>
      <c r="CJ3238" s="5" t="s">
        <v>495</v>
      </c>
      <c r="CK3238" s="5" t="s">
        <v>258</v>
      </c>
      <c r="CL3238" s="5" t="s">
        <v>496</v>
      </c>
      <c r="CM3238" s="5" t="s">
        <v>238</v>
      </c>
      <c r="CN3238" s="5">
        <v>0</v>
      </c>
      <c r="CO3238" s="5" t="s">
        <v>497</v>
      </c>
      <c r="CP3238" s="5" t="s">
        <v>260</v>
      </c>
      <c r="CQ3238" s="5" t="s">
        <v>260</v>
      </c>
      <c r="CR3238" s="5" t="s">
        <v>261</v>
      </c>
      <c r="CS3238" s="5" t="s">
        <v>238</v>
      </c>
      <c r="CT3238" s="7">
        <f>4700</f>
        <v>4700</v>
      </c>
      <c r="CU3238" s="8">
        <f>131459</f>
        <v>131459</v>
      </c>
      <c r="CV3238" s="8">
        <f>0</f>
        <v>0</v>
      </c>
      <c r="CW3238" s="8">
        <f>0</f>
        <v>0</v>
      </c>
      <c r="CX3238" s="8">
        <f>131459</f>
        <v>131459</v>
      </c>
      <c r="CY3238" s="8">
        <f>131459</f>
        <v>131459</v>
      </c>
      <c r="CZ3238" s="8" t="s">
        <v>238</v>
      </c>
      <c r="DA3238" s="5" t="s">
        <v>238</v>
      </c>
      <c r="DB3238" s="5" t="s">
        <v>238</v>
      </c>
      <c r="DD3238" s="5" t="s">
        <v>238</v>
      </c>
      <c r="DE3238" s="8">
        <f>0</f>
        <v>0</v>
      </c>
      <c r="DF3238" s="6" t="s">
        <v>238</v>
      </c>
      <c r="DG3238" s="5" t="s">
        <v>238</v>
      </c>
      <c r="DH3238" s="5" t="s">
        <v>238</v>
      </c>
      <c r="DI3238" s="5" t="s">
        <v>238</v>
      </c>
      <c r="DJ3238" s="5" t="s">
        <v>238</v>
      </c>
      <c r="DK3238" s="5" t="s">
        <v>238</v>
      </c>
      <c r="DL3238" s="5" t="s">
        <v>238</v>
      </c>
      <c r="DM3238" s="8" t="s">
        <v>238</v>
      </c>
      <c r="DN3238" s="5" t="s">
        <v>238</v>
      </c>
      <c r="DO3238" s="5" t="s">
        <v>244</v>
      </c>
      <c r="DP3238" s="5" t="s">
        <v>490</v>
      </c>
      <c r="DQ3238" s="5" t="s">
        <v>490</v>
      </c>
      <c r="DR3238" s="5" t="s">
        <v>238</v>
      </c>
      <c r="DS3238" s="5" t="s">
        <v>238</v>
      </c>
      <c r="HP3238" s="5" t="s">
        <v>238</v>
      </c>
      <c r="HQ3238" s="5" t="s">
        <v>238</v>
      </c>
      <c r="HR3238" s="5" t="s">
        <v>238</v>
      </c>
      <c r="HS3238" s="5" t="s">
        <v>238</v>
      </c>
      <c r="HT3238" s="5" t="s">
        <v>238</v>
      </c>
      <c r="HU3238" s="5" t="s">
        <v>238</v>
      </c>
      <c r="HV3238" s="5" t="s">
        <v>238</v>
      </c>
      <c r="HW3238" s="5" t="s">
        <v>238</v>
      </c>
      <c r="HX3238" s="5" t="s">
        <v>238</v>
      </c>
      <c r="HY3238" s="5" t="s">
        <v>238</v>
      </c>
      <c r="HZ3238" s="5" t="s">
        <v>238</v>
      </c>
      <c r="IA3238" s="5" t="s">
        <v>238</v>
      </c>
      <c r="IB3238" s="5" t="s">
        <v>238</v>
      </c>
      <c r="IC3238" s="5" t="s">
        <v>238</v>
      </c>
      <c r="ID3238" s="5" t="s">
        <v>238</v>
      </c>
    </row>
    <row r="3239" spans="1:238" x14ac:dyDescent="0.4">
      <c r="A3239" s="5">
        <v>8728</v>
      </c>
      <c r="B3239" s="5">
        <v>1</v>
      </c>
      <c r="C3239" s="5">
        <v>2</v>
      </c>
      <c r="D3239" s="5" t="s">
        <v>2037</v>
      </c>
      <c r="E3239" s="5" t="s">
        <v>271</v>
      </c>
      <c r="F3239" s="5" t="s">
        <v>248</v>
      </c>
      <c r="G3239" s="5" t="s">
        <v>6544</v>
      </c>
      <c r="H3239" s="6" t="s">
        <v>6547</v>
      </c>
      <c r="I3239" s="7">
        <f>19.62</f>
        <v>19.62</v>
      </c>
      <c r="J3239" s="5" t="s">
        <v>262</v>
      </c>
      <c r="K3239" s="8">
        <f>257022</f>
        <v>257022</v>
      </c>
      <c r="L3239" s="6" t="s">
        <v>6545</v>
      </c>
      <c r="M3239" s="5" t="s">
        <v>267</v>
      </c>
      <c r="N3239" s="5" t="s">
        <v>6543</v>
      </c>
      <c r="Q3239" s="5" t="s">
        <v>268</v>
      </c>
      <c r="R3239" s="5" t="s">
        <v>270</v>
      </c>
      <c r="S3239" s="5" t="s">
        <v>238</v>
      </c>
      <c r="V3239" s="5" t="s">
        <v>2587</v>
      </c>
      <c r="W3239" s="6" t="s">
        <v>238</v>
      </c>
      <c r="X3239" s="6" t="s">
        <v>238</v>
      </c>
      <c r="Y3239" s="5" t="s">
        <v>238</v>
      </c>
      <c r="Z3239" s="6" t="s">
        <v>238</v>
      </c>
      <c r="AA3239" s="6" t="s">
        <v>6545</v>
      </c>
      <c r="AB3239" s="5" t="s">
        <v>6546</v>
      </c>
      <c r="AC3239" s="5" t="s">
        <v>244</v>
      </c>
      <c r="AD3239" s="5" t="s">
        <v>245</v>
      </c>
      <c r="AJ3239" s="5" t="s">
        <v>238</v>
      </c>
      <c r="AK3239" s="5" t="s">
        <v>238</v>
      </c>
      <c r="AL3239" s="5" t="s">
        <v>238</v>
      </c>
      <c r="AM3239" s="6" t="s">
        <v>238</v>
      </c>
      <c r="AN3239" s="6" t="s">
        <v>238</v>
      </c>
      <c r="AO3239" s="6" t="s">
        <v>238</v>
      </c>
      <c r="AR3239" s="5" t="s">
        <v>488</v>
      </c>
      <c r="AS3239" s="5" t="s">
        <v>488</v>
      </c>
      <c r="AT3239" s="5" t="s">
        <v>246</v>
      </c>
      <c r="AU3239" s="5" t="s">
        <v>489</v>
      </c>
      <c r="AV3239" s="5" t="s">
        <v>247</v>
      </c>
      <c r="AW3239" s="5" t="s">
        <v>600</v>
      </c>
      <c r="AX3239" s="5" t="s">
        <v>249</v>
      </c>
      <c r="AY3239" s="5" t="s">
        <v>490</v>
      </c>
      <c r="BA3239" s="5" t="s">
        <v>238</v>
      </c>
      <c r="BC3239" s="5" t="s">
        <v>491</v>
      </c>
      <c r="BD3239" s="6" t="s">
        <v>6548</v>
      </c>
      <c r="BE3239" s="5" t="s">
        <v>6528</v>
      </c>
      <c r="BF3239" s="5" t="s">
        <v>6529</v>
      </c>
      <c r="BG3239" s="5" t="s">
        <v>238</v>
      </c>
      <c r="BH3239" s="7">
        <f>0</f>
        <v>0</v>
      </c>
      <c r="BI3239" s="8">
        <f>257022</f>
        <v>257022</v>
      </c>
      <c r="BJ3239" s="5" t="s">
        <v>253</v>
      </c>
      <c r="BK3239" s="5" t="s">
        <v>254</v>
      </c>
      <c r="BL3239" s="5" t="s">
        <v>6530</v>
      </c>
      <c r="BM3239" s="5" t="s">
        <v>6531</v>
      </c>
      <c r="BN3239" s="5" t="s">
        <v>6540</v>
      </c>
      <c r="BO3239" s="5" t="s">
        <v>238</v>
      </c>
      <c r="BP3239" s="5" t="s">
        <v>253</v>
      </c>
      <c r="BQ3239" s="5" t="s">
        <v>6532</v>
      </c>
      <c r="BR3239" s="5" t="s">
        <v>6532</v>
      </c>
      <c r="BT3239" s="6" t="s">
        <v>6549</v>
      </c>
      <c r="BU3239" s="5" t="s">
        <v>253</v>
      </c>
      <c r="BV3239" s="5" t="s">
        <v>238</v>
      </c>
      <c r="BW3239" s="5" t="s">
        <v>238</v>
      </c>
      <c r="BX3239" s="5" t="s">
        <v>254</v>
      </c>
      <c r="BY3239" s="5" t="s">
        <v>238</v>
      </c>
      <c r="BZ3239" s="5" t="s">
        <v>238</v>
      </c>
      <c r="CD3239" s="5" t="s">
        <v>238</v>
      </c>
      <c r="CE3239" s="5" t="s">
        <v>238</v>
      </c>
      <c r="CF3239" s="5" t="s">
        <v>261</v>
      </c>
      <c r="CH3239" s="5" t="s">
        <v>238</v>
      </c>
      <c r="CI3239" s="6" t="s">
        <v>257</v>
      </c>
      <c r="CJ3239" s="5" t="s">
        <v>495</v>
      </c>
      <c r="CK3239" s="5" t="s">
        <v>258</v>
      </c>
      <c r="CL3239" s="5" t="s">
        <v>496</v>
      </c>
      <c r="CM3239" s="5" t="s">
        <v>238</v>
      </c>
      <c r="CN3239" s="5">
        <v>0</v>
      </c>
      <c r="CO3239" s="5" t="s">
        <v>497</v>
      </c>
      <c r="CP3239" s="5" t="s">
        <v>260</v>
      </c>
      <c r="CQ3239" s="5" t="s">
        <v>260</v>
      </c>
      <c r="CR3239" s="5" t="s">
        <v>261</v>
      </c>
      <c r="CS3239" s="5" t="s">
        <v>238</v>
      </c>
      <c r="CT3239" s="7">
        <f>13100</f>
        <v>13100</v>
      </c>
      <c r="CU3239" s="8">
        <f>257022</f>
        <v>257022</v>
      </c>
      <c r="CV3239" s="8">
        <f>0</f>
        <v>0</v>
      </c>
      <c r="CW3239" s="8">
        <f>0</f>
        <v>0</v>
      </c>
      <c r="CX3239" s="8">
        <f>257022</f>
        <v>257022</v>
      </c>
      <c r="CY3239" s="8">
        <f>257022</f>
        <v>257022</v>
      </c>
      <c r="CZ3239" s="8" t="s">
        <v>238</v>
      </c>
      <c r="DA3239" s="5" t="s">
        <v>238</v>
      </c>
      <c r="DB3239" s="5" t="s">
        <v>238</v>
      </c>
      <c r="DD3239" s="5" t="s">
        <v>238</v>
      </c>
      <c r="DE3239" s="8">
        <f>0</f>
        <v>0</v>
      </c>
      <c r="DF3239" s="6" t="s">
        <v>238</v>
      </c>
      <c r="DG3239" s="5" t="s">
        <v>238</v>
      </c>
      <c r="DH3239" s="5" t="s">
        <v>238</v>
      </c>
      <c r="DI3239" s="5" t="s">
        <v>238</v>
      </c>
      <c r="DJ3239" s="5" t="s">
        <v>238</v>
      </c>
      <c r="DK3239" s="5" t="s">
        <v>238</v>
      </c>
      <c r="DL3239" s="5" t="s">
        <v>238</v>
      </c>
      <c r="DM3239" s="8" t="s">
        <v>238</v>
      </c>
      <c r="DN3239" s="5" t="s">
        <v>238</v>
      </c>
      <c r="DO3239" s="5" t="s">
        <v>244</v>
      </c>
      <c r="DP3239" s="5" t="s">
        <v>490</v>
      </c>
      <c r="DQ3239" s="5" t="s">
        <v>490</v>
      </c>
      <c r="DR3239" s="5" t="s">
        <v>238</v>
      </c>
      <c r="DS3239" s="5" t="s">
        <v>238</v>
      </c>
      <c r="HP3239" s="5" t="s">
        <v>238</v>
      </c>
      <c r="HQ3239" s="5" t="s">
        <v>238</v>
      </c>
      <c r="HR3239" s="5" t="s">
        <v>238</v>
      </c>
      <c r="HS3239" s="5" t="s">
        <v>238</v>
      </c>
      <c r="HT3239" s="5" t="s">
        <v>238</v>
      </c>
      <c r="HU3239" s="5" t="s">
        <v>238</v>
      </c>
      <c r="HV3239" s="5" t="s">
        <v>238</v>
      </c>
      <c r="HW3239" s="5" t="s">
        <v>238</v>
      </c>
      <c r="HX3239" s="5" t="s">
        <v>238</v>
      </c>
      <c r="HY3239" s="5" t="s">
        <v>238</v>
      </c>
      <c r="HZ3239" s="5" t="s">
        <v>238</v>
      </c>
      <c r="IA3239" s="5" t="s">
        <v>238</v>
      </c>
      <c r="IB3239" s="5" t="s">
        <v>238</v>
      </c>
      <c r="IC3239" s="5" t="s">
        <v>238</v>
      </c>
      <c r="ID3239" s="5" t="s">
        <v>238</v>
      </c>
    </row>
    <row r="3240" spans="1:238" x14ac:dyDescent="0.4">
      <c r="A3240" s="5">
        <v>8729</v>
      </c>
      <c r="B3240" s="5">
        <v>1</v>
      </c>
      <c r="C3240" s="5">
        <v>3</v>
      </c>
      <c r="D3240" s="5" t="s">
        <v>2037</v>
      </c>
      <c r="E3240" s="5" t="s">
        <v>271</v>
      </c>
      <c r="F3240" s="5" t="s">
        <v>248</v>
      </c>
      <c r="G3240" s="5" t="s">
        <v>6565</v>
      </c>
      <c r="H3240" s="6" t="s">
        <v>6567</v>
      </c>
      <c r="I3240" s="7">
        <f>55.95</f>
        <v>55.95</v>
      </c>
      <c r="J3240" s="5" t="s">
        <v>262</v>
      </c>
      <c r="K3240" s="8">
        <f>884010</f>
        <v>884010</v>
      </c>
      <c r="L3240" s="6" t="s">
        <v>6566</v>
      </c>
      <c r="M3240" s="5" t="s">
        <v>267</v>
      </c>
      <c r="N3240" s="5" t="s">
        <v>2092</v>
      </c>
      <c r="Q3240" s="5" t="s">
        <v>268</v>
      </c>
      <c r="R3240" s="5" t="s">
        <v>270</v>
      </c>
      <c r="S3240" s="5" t="s">
        <v>238</v>
      </c>
      <c r="V3240" s="5" t="s">
        <v>2587</v>
      </c>
      <c r="W3240" s="6" t="s">
        <v>238</v>
      </c>
      <c r="X3240" s="6" t="s">
        <v>238</v>
      </c>
      <c r="Y3240" s="5" t="s">
        <v>238</v>
      </c>
      <c r="Z3240" s="6" t="s">
        <v>238</v>
      </c>
      <c r="AA3240" s="6" t="s">
        <v>6566</v>
      </c>
      <c r="AB3240" s="5" t="s">
        <v>6546</v>
      </c>
      <c r="AC3240" s="5" t="s">
        <v>244</v>
      </c>
      <c r="AD3240" s="5" t="s">
        <v>245</v>
      </c>
      <c r="AJ3240" s="5" t="s">
        <v>238</v>
      </c>
      <c r="AK3240" s="5" t="s">
        <v>238</v>
      </c>
      <c r="AL3240" s="5" t="s">
        <v>238</v>
      </c>
      <c r="AM3240" s="6" t="s">
        <v>238</v>
      </c>
      <c r="AN3240" s="6" t="s">
        <v>238</v>
      </c>
      <c r="AO3240" s="6" t="s">
        <v>238</v>
      </c>
      <c r="AR3240" s="5" t="s">
        <v>488</v>
      </c>
      <c r="AS3240" s="5" t="s">
        <v>488</v>
      </c>
      <c r="AT3240" s="5" t="s">
        <v>246</v>
      </c>
      <c r="AU3240" s="5" t="s">
        <v>489</v>
      </c>
      <c r="AV3240" s="5" t="s">
        <v>247</v>
      </c>
      <c r="AW3240" s="5" t="s">
        <v>600</v>
      </c>
      <c r="AX3240" s="5" t="s">
        <v>249</v>
      </c>
      <c r="AY3240" s="5" t="s">
        <v>490</v>
      </c>
      <c r="BA3240" s="5" t="s">
        <v>238</v>
      </c>
      <c r="BC3240" s="5" t="s">
        <v>491</v>
      </c>
      <c r="BD3240" s="6" t="s">
        <v>6568</v>
      </c>
      <c r="BE3240" s="5" t="s">
        <v>6528</v>
      </c>
      <c r="BF3240" s="5" t="s">
        <v>6529</v>
      </c>
      <c r="BG3240" s="5" t="s">
        <v>238</v>
      </c>
      <c r="BH3240" s="7">
        <f>0</f>
        <v>0</v>
      </c>
      <c r="BI3240" s="8">
        <f>266000</f>
        <v>266000</v>
      </c>
      <c r="BJ3240" s="5" t="s">
        <v>253</v>
      </c>
      <c r="BK3240" s="5" t="s">
        <v>254</v>
      </c>
      <c r="BL3240" s="5" t="s">
        <v>6530</v>
      </c>
      <c r="BM3240" s="5" t="s">
        <v>6531</v>
      </c>
      <c r="BN3240" s="5" t="s">
        <v>6540</v>
      </c>
      <c r="BO3240" s="5" t="s">
        <v>238</v>
      </c>
      <c r="BP3240" s="5" t="s">
        <v>253</v>
      </c>
      <c r="BQ3240" s="5" t="s">
        <v>6532</v>
      </c>
      <c r="BR3240" s="5" t="s">
        <v>6532</v>
      </c>
      <c r="BT3240" s="6" t="s">
        <v>6569</v>
      </c>
      <c r="BU3240" s="5" t="s">
        <v>253</v>
      </c>
      <c r="BV3240" s="5" t="s">
        <v>238</v>
      </c>
      <c r="BW3240" s="5" t="s">
        <v>238</v>
      </c>
      <c r="BX3240" s="5" t="s">
        <v>254</v>
      </c>
      <c r="BY3240" s="5" t="s">
        <v>238</v>
      </c>
      <c r="BZ3240" s="5" t="s">
        <v>238</v>
      </c>
      <c r="CD3240" s="5" t="s">
        <v>238</v>
      </c>
      <c r="CE3240" s="5" t="s">
        <v>238</v>
      </c>
      <c r="CF3240" s="5" t="s">
        <v>261</v>
      </c>
      <c r="CH3240" s="5" t="s">
        <v>238</v>
      </c>
      <c r="CI3240" s="6" t="s">
        <v>257</v>
      </c>
      <c r="CJ3240" s="5" t="s">
        <v>495</v>
      </c>
      <c r="CK3240" s="5" t="s">
        <v>258</v>
      </c>
      <c r="CL3240" s="5" t="s">
        <v>496</v>
      </c>
      <c r="CM3240" s="5" t="s">
        <v>238</v>
      </c>
      <c r="CN3240" s="5">
        <v>0</v>
      </c>
      <c r="CO3240" s="5" t="s">
        <v>497</v>
      </c>
      <c r="CP3240" s="5" t="s">
        <v>260</v>
      </c>
      <c r="CQ3240" s="5" t="s">
        <v>260</v>
      </c>
      <c r="CR3240" s="5" t="s">
        <v>261</v>
      </c>
      <c r="CS3240" s="5" t="s">
        <v>238</v>
      </c>
      <c r="CT3240" s="7">
        <f>15800</f>
        <v>15800</v>
      </c>
      <c r="CU3240" s="8">
        <f>884010</f>
        <v>884010</v>
      </c>
      <c r="CV3240" s="8">
        <f>0</f>
        <v>0</v>
      </c>
      <c r="CW3240" s="8">
        <f>0</f>
        <v>0</v>
      </c>
      <c r="CX3240" s="8">
        <f>884010</f>
        <v>884010</v>
      </c>
      <c r="CY3240" s="8">
        <f>884010</f>
        <v>884010</v>
      </c>
      <c r="CZ3240" s="8" t="s">
        <v>238</v>
      </c>
      <c r="DA3240" s="5" t="s">
        <v>238</v>
      </c>
      <c r="DB3240" s="5" t="s">
        <v>238</v>
      </c>
      <c r="DD3240" s="5" t="s">
        <v>238</v>
      </c>
      <c r="DE3240" s="8">
        <f>0</f>
        <v>0</v>
      </c>
      <c r="DF3240" s="6" t="s">
        <v>238</v>
      </c>
      <c r="DG3240" s="5" t="s">
        <v>238</v>
      </c>
      <c r="DH3240" s="5" t="s">
        <v>238</v>
      </c>
      <c r="DI3240" s="5" t="s">
        <v>238</v>
      </c>
      <c r="DJ3240" s="5" t="s">
        <v>238</v>
      </c>
      <c r="DK3240" s="5" t="s">
        <v>238</v>
      </c>
      <c r="DL3240" s="5" t="s">
        <v>238</v>
      </c>
      <c r="DM3240" s="8" t="s">
        <v>238</v>
      </c>
      <c r="DN3240" s="5" t="s">
        <v>238</v>
      </c>
      <c r="DO3240" s="5" t="s">
        <v>244</v>
      </c>
      <c r="DP3240" s="5" t="s">
        <v>490</v>
      </c>
      <c r="DQ3240" s="5" t="s">
        <v>490</v>
      </c>
      <c r="DR3240" s="5" t="s">
        <v>238</v>
      </c>
      <c r="DS3240" s="5" t="s">
        <v>238</v>
      </c>
      <c r="HP3240" s="5" t="s">
        <v>238</v>
      </c>
      <c r="HQ3240" s="5" t="s">
        <v>238</v>
      </c>
      <c r="HR3240" s="5" t="s">
        <v>238</v>
      </c>
      <c r="HS3240" s="5" t="s">
        <v>238</v>
      </c>
      <c r="HT3240" s="5" t="s">
        <v>238</v>
      </c>
      <c r="HU3240" s="5" t="s">
        <v>238</v>
      </c>
      <c r="HV3240" s="5" t="s">
        <v>238</v>
      </c>
      <c r="HW3240" s="5" t="s">
        <v>238</v>
      </c>
      <c r="HX3240" s="5" t="s">
        <v>238</v>
      </c>
      <c r="HY3240" s="5" t="s">
        <v>238</v>
      </c>
      <c r="HZ3240" s="5" t="s">
        <v>238</v>
      </c>
      <c r="IA3240" s="5" t="s">
        <v>238</v>
      </c>
      <c r="IB3240" s="5" t="s">
        <v>238</v>
      </c>
      <c r="IC3240" s="5" t="s">
        <v>238</v>
      </c>
      <c r="ID3240" s="5" t="s">
        <v>238</v>
      </c>
    </row>
    <row r="3241" spans="1:238" x14ac:dyDescent="0.4">
      <c r="A3241" s="5">
        <v>8730</v>
      </c>
      <c r="B3241" s="5">
        <v>1</v>
      </c>
      <c r="C3241" s="5">
        <v>2</v>
      </c>
      <c r="D3241" s="5" t="s">
        <v>2037</v>
      </c>
      <c r="E3241" s="5" t="s">
        <v>271</v>
      </c>
      <c r="F3241" s="5" t="s">
        <v>248</v>
      </c>
      <c r="G3241" s="5" t="s">
        <v>6765</v>
      </c>
      <c r="H3241" s="6" t="s">
        <v>6767</v>
      </c>
      <c r="I3241" s="7">
        <f>345.83</f>
        <v>345.83</v>
      </c>
      <c r="J3241" s="5" t="s">
        <v>262</v>
      </c>
      <c r="K3241" s="8">
        <f>155623</f>
        <v>155623</v>
      </c>
      <c r="L3241" s="6" t="s">
        <v>6766</v>
      </c>
      <c r="M3241" s="5" t="s">
        <v>267</v>
      </c>
      <c r="N3241" s="5" t="s">
        <v>2092</v>
      </c>
      <c r="Q3241" s="5" t="s">
        <v>268</v>
      </c>
      <c r="R3241" s="5" t="s">
        <v>270</v>
      </c>
      <c r="S3241" s="5" t="s">
        <v>238</v>
      </c>
      <c r="V3241" s="5" t="s">
        <v>2587</v>
      </c>
      <c r="W3241" s="6" t="s">
        <v>238</v>
      </c>
      <c r="X3241" s="6" t="s">
        <v>238</v>
      </c>
      <c r="Y3241" s="5" t="s">
        <v>238</v>
      </c>
      <c r="Z3241" s="6" t="s">
        <v>238</v>
      </c>
      <c r="AA3241" s="6" t="s">
        <v>6766</v>
      </c>
      <c r="AB3241" s="5" t="s">
        <v>6546</v>
      </c>
      <c r="AC3241" s="5" t="s">
        <v>244</v>
      </c>
      <c r="AD3241" s="5" t="s">
        <v>245</v>
      </c>
      <c r="AJ3241" s="5" t="s">
        <v>238</v>
      </c>
      <c r="AK3241" s="5" t="s">
        <v>238</v>
      </c>
      <c r="AL3241" s="5" t="s">
        <v>238</v>
      </c>
      <c r="AM3241" s="6" t="s">
        <v>238</v>
      </c>
      <c r="AN3241" s="6" t="s">
        <v>238</v>
      </c>
      <c r="AO3241" s="6" t="s">
        <v>238</v>
      </c>
      <c r="AR3241" s="5" t="s">
        <v>488</v>
      </c>
      <c r="AS3241" s="5" t="s">
        <v>488</v>
      </c>
      <c r="AT3241" s="5" t="s">
        <v>246</v>
      </c>
      <c r="AU3241" s="5" t="s">
        <v>489</v>
      </c>
      <c r="AV3241" s="5" t="s">
        <v>247</v>
      </c>
      <c r="AW3241" s="5" t="s">
        <v>600</v>
      </c>
      <c r="AX3241" s="5" t="s">
        <v>249</v>
      </c>
      <c r="AY3241" s="5" t="s">
        <v>490</v>
      </c>
      <c r="BA3241" s="5" t="s">
        <v>238</v>
      </c>
      <c r="BC3241" s="5" t="s">
        <v>491</v>
      </c>
      <c r="BD3241" s="6" t="s">
        <v>6669</v>
      </c>
      <c r="BE3241" s="5" t="s">
        <v>6528</v>
      </c>
      <c r="BF3241" s="5" t="s">
        <v>6529</v>
      </c>
      <c r="BG3241" s="5" t="s">
        <v>238</v>
      </c>
      <c r="BH3241" s="7">
        <f>0</f>
        <v>0</v>
      </c>
      <c r="BI3241" s="8">
        <f>79123</f>
        <v>79123</v>
      </c>
      <c r="BJ3241" s="5" t="s">
        <v>253</v>
      </c>
      <c r="BK3241" s="5" t="s">
        <v>254</v>
      </c>
      <c r="BL3241" s="5" t="s">
        <v>1360</v>
      </c>
      <c r="BM3241" s="5" t="s">
        <v>6531</v>
      </c>
      <c r="BN3241" s="5" t="s">
        <v>254</v>
      </c>
      <c r="BO3241" s="5" t="s">
        <v>238</v>
      </c>
      <c r="BP3241" s="5" t="s">
        <v>6768</v>
      </c>
      <c r="BQ3241" s="5" t="s">
        <v>6532</v>
      </c>
      <c r="BR3241" s="5" t="s">
        <v>6532</v>
      </c>
      <c r="BT3241" s="6" t="s">
        <v>6769</v>
      </c>
      <c r="BU3241" s="5" t="s">
        <v>253</v>
      </c>
      <c r="BV3241" s="5" t="s">
        <v>238</v>
      </c>
      <c r="BW3241" s="5" t="s">
        <v>238</v>
      </c>
      <c r="BX3241" s="5" t="s">
        <v>254</v>
      </c>
      <c r="BY3241" s="5" t="s">
        <v>238</v>
      </c>
      <c r="BZ3241" s="5" t="s">
        <v>238</v>
      </c>
      <c r="CD3241" s="5" t="s">
        <v>238</v>
      </c>
      <c r="CE3241" s="5" t="s">
        <v>238</v>
      </c>
      <c r="CF3241" s="5" t="s">
        <v>261</v>
      </c>
      <c r="CH3241" s="5" t="s">
        <v>238</v>
      </c>
      <c r="CI3241" s="6" t="s">
        <v>257</v>
      </c>
      <c r="CJ3241" s="5" t="s">
        <v>495</v>
      </c>
      <c r="CK3241" s="5" t="s">
        <v>258</v>
      </c>
      <c r="CL3241" s="5" t="s">
        <v>496</v>
      </c>
      <c r="CM3241" s="5" t="s">
        <v>238</v>
      </c>
      <c r="CN3241" s="5">
        <v>0</v>
      </c>
      <c r="CO3241" s="5" t="s">
        <v>497</v>
      </c>
      <c r="CP3241" s="5" t="s">
        <v>260</v>
      </c>
      <c r="CQ3241" s="5" t="s">
        <v>260</v>
      </c>
      <c r="CR3241" s="5" t="s">
        <v>261</v>
      </c>
      <c r="CS3241" s="5" t="s">
        <v>238</v>
      </c>
      <c r="CT3241" s="7">
        <f>450</f>
        <v>450</v>
      </c>
      <c r="CU3241" s="8">
        <f>155623</f>
        <v>155623</v>
      </c>
      <c r="CV3241" s="8">
        <f>0</f>
        <v>0</v>
      </c>
      <c r="CW3241" s="8">
        <f>0</f>
        <v>0</v>
      </c>
      <c r="CX3241" s="8">
        <f>155623</f>
        <v>155623</v>
      </c>
      <c r="CY3241" s="8">
        <f>155623</f>
        <v>155623</v>
      </c>
      <c r="CZ3241" s="8" t="s">
        <v>238</v>
      </c>
      <c r="DA3241" s="5" t="s">
        <v>238</v>
      </c>
      <c r="DB3241" s="5" t="s">
        <v>238</v>
      </c>
      <c r="DD3241" s="5" t="s">
        <v>238</v>
      </c>
      <c r="DE3241" s="8">
        <f>0</f>
        <v>0</v>
      </c>
      <c r="DF3241" s="6" t="s">
        <v>238</v>
      </c>
      <c r="DG3241" s="5" t="s">
        <v>238</v>
      </c>
      <c r="DH3241" s="5" t="s">
        <v>238</v>
      </c>
      <c r="DI3241" s="5" t="s">
        <v>238</v>
      </c>
      <c r="DJ3241" s="5" t="s">
        <v>238</v>
      </c>
      <c r="DK3241" s="5" t="s">
        <v>238</v>
      </c>
      <c r="DL3241" s="5" t="s">
        <v>238</v>
      </c>
      <c r="DM3241" s="8" t="s">
        <v>238</v>
      </c>
      <c r="DN3241" s="5" t="s">
        <v>238</v>
      </c>
      <c r="DO3241" s="5" t="s">
        <v>244</v>
      </c>
      <c r="DP3241" s="5" t="s">
        <v>490</v>
      </c>
      <c r="DQ3241" s="5" t="s">
        <v>490</v>
      </c>
      <c r="DR3241" s="5" t="s">
        <v>238</v>
      </c>
      <c r="DS3241" s="5" t="s">
        <v>238</v>
      </c>
      <c r="HP3241" s="5" t="s">
        <v>238</v>
      </c>
      <c r="HQ3241" s="5" t="s">
        <v>238</v>
      </c>
      <c r="HR3241" s="5" t="s">
        <v>238</v>
      </c>
      <c r="HS3241" s="5" t="s">
        <v>238</v>
      </c>
      <c r="HT3241" s="5" t="s">
        <v>238</v>
      </c>
      <c r="HU3241" s="5" t="s">
        <v>238</v>
      </c>
      <c r="HV3241" s="5" t="s">
        <v>238</v>
      </c>
      <c r="HW3241" s="5" t="s">
        <v>238</v>
      </c>
      <c r="HX3241" s="5" t="s">
        <v>238</v>
      </c>
      <c r="HY3241" s="5" t="s">
        <v>238</v>
      </c>
      <c r="HZ3241" s="5" t="s">
        <v>238</v>
      </c>
      <c r="IA3241" s="5" t="s">
        <v>238</v>
      </c>
      <c r="IB3241" s="5" t="s">
        <v>238</v>
      </c>
      <c r="IC3241" s="5" t="s">
        <v>238</v>
      </c>
      <c r="ID3241" s="5" t="s">
        <v>238</v>
      </c>
    </row>
    <row r="3242" spans="1:238" x14ac:dyDescent="0.4">
      <c r="A3242" s="5">
        <v>8731</v>
      </c>
      <c r="B3242" s="5">
        <v>1</v>
      </c>
      <c r="C3242" s="5">
        <v>3</v>
      </c>
      <c r="D3242" s="5" t="s">
        <v>2037</v>
      </c>
      <c r="E3242" s="5" t="s">
        <v>271</v>
      </c>
      <c r="F3242" s="5" t="s">
        <v>248</v>
      </c>
      <c r="G3242" s="5" t="s">
        <v>6609</v>
      </c>
      <c r="H3242" s="6" t="s">
        <v>6538</v>
      </c>
      <c r="I3242" s="7">
        <f>609.23</f>
        <v>609.23</v>
      </c>
      <c r="J3242" s="5" t="s">
        <v>262</v>
      </c>
      <c r="K3242" s="8">
        <f>1218460</f>
        <v>1218460</v>
      </c>
      <c r="L3242" s="6" t="s">
        <v>6610</v>
      </c>
      <c r="M3242" s="5" t="s">
        <v>267</v>
      </c>
      <c r="N3242" s="5" t="s">
        <v>2092</v>
      </c>
      <c r="Q3242" s="5" t="s">
        <v>268</v>
      </c>
      <c r="R3242" s="5" t="s">
        <v>270</v>
      </c>
      <c r="S3242" s="5" t="s">
        <v>238</v>
      </c>
      <c r="V3242" s="5" t="s">
        <v>2587</v>
      </c>
      <c r="W3242" s="6" t="s">
        <v>238</v>
      </c>
      <c r="X3242" s="6" t="s">
        <v>238</v>
      </c>
      <c r="Y3242" s="5" t="s">
        <v>238</v>
      </c>
      <c r="Z3242" s="6" t="s">
        <v>238</v>
      </c>
      <c r="AA3242" s="6" t="s">
        <v>6610</v>
      </c>
      <c r="AB3242" s="5" t="s">
        <v>6546</v>
      </c>
      <c r="AC3242" s="5" t="s">
        <v>244</v>
      </c>
      <c r="AD3242" s="5" t="s">
        <v>245</v>
      </c>
      <c r="AJ3242" s="5" t="s">
        <v>238</v>
      </c>
      <c r="AK3242" s="5" t="s">
        <v>238</v>
      </c>
      <c r="AL3242" s="5" t="s">
        <v>238</v>
      </c>
      <c r="AM3242" s="6" t="s">
        <v>238</v>
      </c>
      <c r="AN3242" s="6" t="s">
        <v>238</v>
      </c>
      <c r="AO3242" s="6" t="s">
        <v>238</v>
      </c>
      <c r="AR3242" s="5" t="s">
        <v>488</v>
      </c>
      <c r="AS3242" s="5" t="s">
        <v>488</v>
      </c>
      <c r="AT3242" s="5" t="s">
        <v>246</v>
      </c>
      <c r="AU3242" s="5" t="s">
        <v>489</v>
      </c>
      <c r="AV3242" s="5" t="s">
        <v>247</v>
      </c>
      <c r="AW3242" s="5" t="s">
        <v>600</v>
      </c>
      <c r="AX3242" s="5" t="s">
        <v>249</v>
      </c>
      <c r="AY3242" s="5" t="s">
        <v>490</v>
      </c>
      <c r="BA3242" s="5" t="s">
        <v>238</v>
      </c>
      <c r="BC3242" s="5" t="s">
        <v>491</v>
      </c>
      <c r="BD3242" s="6" t="s">
        <v>6611</v>
      </c>
      <c r="BE3242" s="5" t="s">
        <v>6528</v>
      </c>
      <c r="BF3242" s="5" t="s">
        <v>6529</v>
      </c>
      <c r="BG3242" s="5" t="s">
        <v>238</v>
      </c>
      <c r="BH3242" s="7">
        <f>0</f>
        <v>0</v>
      </c>
      <c r="BI3242" s="8">
        <f>91000</f>
        <v>91000</v>
      </c>
      <c r="BJ3242" s="5" t="s">
        <v>253</v>
      </c>
      <c r="BK3242" s="5" t="s">
        <v>254</v>
      </c>
      <c r="BL3242" s="5" t="s">
        <v>6530</v>
      </c>
      <c r="BM3242" s="5" t="s">
        <v>6531</v>
      </c>
      <c r="BN3242" s="5" t="s">
        <v>6540</v>
      </c>
      <c r="BO3242" s="5" t="s">
        <v>238</v>
      </c>
      <c r="BP3242" s="5" t="s">
        <v>253</v>
      </c>
      <c r="BQ3242" s="5" t="s">
        <v>6532</v>
      </c>
      <c r="BR3242" s="5" t="s">
        <v>6532</v>
      </c>
      <c r="BT3242" s="6" t="s">
        <v>6612</v>
      </c>
      <c r="BU3242" s="5" t="s">
        <v>253</v>
      </c>
      <c r="BV3242" s="5" t="s">
        <v>238</v>
      </c>
      <c r="BW3242" s="5" t="s">
        <v>238</v>
      </c>
      <c r="BX3242" s="5" t="s">
        <v>254</v>
      </c>
      <c r="BY3242" s="5" t="s">
        <v>238</v>
      </c>
      <c r="BZ3242" s="5" t="s">
        <v>238</v>
      </c>
      <c r="CD3242" s="5" t="s">
        <v>238</v>
      </c>
      <c r="CE3242" s="5" t="s">
        <v>238</v>
      </c>
      <c r="CF3242" s="5" t="s">
        <v>261</v>
      </c>
      <c r="CH3242" s="5" t="s">
        <v>238</v>
      </c>
      <c r="CI3242" s="6" t="s">
        <v>257</v>
      </c>
      <c r="CJ3242" s="5" t="s">
        <v>495</v>
      </c>
      <c r="CK3242" s="5" t="s">
        <v>258</v>
      </c>
      <c r="CL3242" s="5" t="s">
        <v>496</v>
      </c>
      <c r="CM3242" s="5" t="s">
        <v>238</v>
      </c>
      <c r="CN3242" s="5">
        <v>0</v>
      </c>
      <c r="CO3242" s="5" t="s">
        <v>497</v>
      </c>
      <c r="CP3242" s="5" t="s">
        <v>260</v>
      </c>
      <c r="CQ3242" s="5" t="s">
        <v>260</v>
      </c>
      <c r="CR3242" s="5" t="s">
        <v>261</v>
      </c>
      <c r="CS3242" s="5" t="s">
        <v>238</v>
      </c>
      <c r="CT3242" s="7">
        <f>2000</f>
        <v>2000</v>
      </c>
      <c r="CU3242" s="8">
        <f>1218460</f>
        <v>1218460</v>
      </c>
      <c r="CV3242" s="8">
        <f>0</f>
        <v>0</v>
      </c>
      <c r="CW3242" s="8">
        <f>0</f>
        <v>0</v>
      </c>
      <c r="CX3242" s="8">
        <f>1218460</f>
        <v>1218460</v>
      </c>
      <c r="CY3242" s="8">
        <f>1218460</f>
        <v>1218460</v>
      </c>
      <c r="CZ3242" s="8" t="s">
        <v>238</v>
      </c>
      <c r="DA3242" s="5" t="s">
        <v>238</v>
      </c>
      <c r="DB3242" s="5" t="s">
        <v>238</v>
      </c>
      <c r="DD3242" s="5" t="s">
        <v>238</v>
      </c>
      <c r="DE3242" s="8">
        <f>0</f>
        <v>0</v>
      </c>
      <c r="DF3242" s="6" t="s">
        <v>238</v>
      </c>
      <c r="DG3242" s="5" t="s">
        <v>238</v>
      </c>
      <c r="DH3242" s="5" t="s">
        <v>238</v>
      </c>
      <c r="DI3242" s="5" t="s">
        <v>238</v>
      </c>
      <c r="DJ3242" s="5" t="s">
        <v>238</v>
      </c>
      <c r="DK3242" s="5" t="s">
        <v>238</v>
      </c>
      <c r="DL3242" s="5" t="s">
        <v>238</v>
      </c>
      <c r="DM3242" s="8" t="s">
        <v>238</v>
      </c>
      <c r="DN3242" s="5" t="s">
        <v>238</v>
      </c>
      <c r="DO3242" s="5" t="s">
        <v>244</v>
      </c>
      <c r="DP3242" s="5" t="s">
        <v>490</v>
      </c>
      <c r="DQ3242" s="5" t="s">
        <v>490</v>
      </c>
      <c r="DR3242" s="5" t="s">
        <v>238</v>
      </c>
      <c r="DS3242" s="5" t="s">
        <v>238</v>
      </c>
      <c r="HP3242" s="5" t="s">
        <v>238</v>
      </c>
      <c r="HQ3242" s="5" t="s">
        <v>238</v>
      </c>
      <c r="HR3242" s="5" t="s">
        <v>238</v>
      </c>
      <c r="HS3242" s="5" t="s">
        <v>238</v>
      </c>
      <c r="HT3242" s="5" t="s">
        <v>238</v>
      </c>
      <c r="HU3242" s="5" t="s">
        <v>238</v>
      </c>
      <c r="HV3242" s="5" t="s">
        <v>238</v>
      </c>
      <c r="HW3242" s="5" t="s">
        <v>238</v>
      </c>
      <c r="HX3242" s="5" t="s">
        <v>238</v>
      </c>
      <c r="HY3242" s="5" t="s">
        <v>238</v>
      </c>
      <c r="HZ3242" s="5" t="s">
        <v>238</v>
      </c>
      <c r="IA3242" s="5" t="s">
        <v>238</v>
      </c>
      <c r="IB3242" s="5" t="s">
        <v>238</v>
      </c>
      <c r="IC3242" s="5" t="s">
        <v>238</v>
      </c>
      <c r="ID3242" s="5" t="s">
        <v>238</v>
      </c>
    </row>
    <row r="3243" spans="1:238" x14ac:dyDescent="0.4">
      <c r="A3243" s="5">
        <v>8732</v>
      </c>
      <c r="B3243" s="5">
        <v>1</v>
      </c>
      <c r="C3243" s="5">
        <v>2</v>
      </c>
      <c r="D3243" s="5" t="s">
        <v>2037</v>
      </c>
      <c r="E3243" s="5" t="s">
        <v>271</v>
      </c>
      <c r="F3243" s="5" t="s">
        <v>248</v>
      </c>
      <c r="G3243" s="5" t="s">
        <v>6653</v>
      </c>
      <c r="H3243" s="6" t="s">
        <v>6655</v>
      </c>
      <c r="I3243" s="7">
        <f>1069.53</f>
        <v>1069.53</v>
      </c>
      <c r="J3243" s="5" t="s">
        <v>262</v>
      </c>
      <c r="K3243" s="8">
        <f>2139060</f>
        <v>2139060</v>
      </c>
      <c r="L3243" s="6" t="s">
        <v>6654</v>
      </c>
      <c r="M3243" s="5" t="s">
        <v>267</v>
      </c>
      <c r="N3243" s="5" t="s">
        <v>2092</v>
      </c>
      <c r="Q3243" s="5" t="s">
        <v>268</v>
      </c>
      <c r="R3243" s="5" t="s">
        <v>270</v>
      </c>
      <c r="S3243" s="5" t="s">
        <v>238</v>
      </c>
      <c r="V3243" s="5" t="s">
        <v>2587</v>
      </c>
      <c r="W3243" s="6" t="s">
        <v>238</v>
      </c>
      <c r="X3243" s="6" t="s">
        <v>238</v>
      </c>
      <c r="Y3243" s="5" t="s">
        <v>238</v>
      </c>
      <c r="Z3243" s="6" t="s">
        <v>238</v>
      </c>
      <c r="AA3243" s="6" t="s">
        <v>6654</v>
      </c>
      <c r="AB3243" s="5" t="s">
        <v>6546</v>
      </c>
      <c r="AC3243" s="5" t="s">
        <v>244</v>
      </c>
      <c r="AD3243" s="5" t="s">
        <v>245</v>
      </c>
      <c r="AJ3243" s="5" t="s">
        <v>238</v>
      </c>
      <c r="AK3243" s="5" t="s">
        <v>238</v>
      </c>
      <c r="AL3243" s="5" t="s">
        <v>238</v>
      </c>
      <c r="AM3243" s="6" t="s">
        <v>238</v>
      </c>
      <c r="AN3243" s="6" t="s">
        <v>238</v>
      </c>
      <c r="AO3243" s="6" t="s">
        <v>238</v>
      </c>
      <c r="AR3243" s="5" t="s">
        <v>488</v>
      </c>
      <c r="AS3243" s="5" t="s">
        <v>488</v>
      </c>
      <c r="AT3243" s="5" t="s">
        <v>246</v>
      </c>
      <c r="AU3243" s="5" t="s">
        <v>489</v>
      </c>
      <c r="AV3243" s="5" t="s">
        <v>247</v>
      </c>
      <c r="AW3243" s="5" t="s">
        <v>600</v>
      </c>
      <c r="AX3243" s="5" t="s">
        <v>249</v>
      </c>
      <c r="AY3243" s="5" t="s">
        <v>490</v>
      </c>
      <c r="BA3243" s="5" t="s">
        <v>238</v>
      </c>
      <c r="BC3243" s="5" t="s">
        <v>491</v>
      </c>
      <c r="BD3243" s="6" t="s">
        <v>6656</v>
      </c>
      <c r="BE3243" s="5" t="s">
        <v>6528</v>
      </c>
      <c r="BF3243" s="5" t="s">
        <v>6529</v>
      </c>
      <c r="BG3243" s="5" t="s">
        <v>238</v>
      </c>
      <c r="BH3243" s="7">
        <f>0</f>
        <v>0</v>
      </c>
      <c r="BI3243" s="8">
        <f>167000</f>
        <v>167000</v>
      </c>
      <c r="BJ3243" s="5" t="s">
        <v>253</v>
      </c>
      <c r="BK3243" s="5" t="s">
        <v>254</v>
      </c>
      <c r="BL3243" s="5" t="s">
        <v>6530</v>
      </c>
      <c r="BM3243" s="5" t="s">
        <v>6531</v>
      </c>
      <c r="BN3243" s="5" t="s">
        <v>6540</v>
      </c>
      <c r="BO3243" s="5" t="s">
        <v>238</v>
      </c>
      <c r="BP3243" s="5" t="s">
        <v>253</v>
      </c>
      <c r="BQ3243" s="5" t="s">
        <v>6532</v>
      </c>
      <c r="BR3243" s="5" t="s">
        <v>6532</v>
      </c>
      <c r="BT3243" s="6" t="s">
        <v>6657</v>
      </c>
      <c r="BU3243" s="5" t="s">
        <v>253</v>
      </c>
      <c r="BV3243" s="5" t="s">
        <v>238</v>
      </c>
      <c r="BW3243" s="5" t="s">
        <v>238</v>
      </c>
      <c r="BX3243" s="5" t="s">
        <v>254</v>
      </c>
      <c r="BY3243" s="5" t="s">
        <v>238</v>
      </c>
      <c r="BZ3243" s="5" t="s">
        <v>238</v>
      </c>
      <c r="CD3243" s="5" t="s">
        <v>238</v>
      </c>
      <c r="CE3243" s="5" t="s">
        <v>238</v>
      </c>
      <c r="CF3243" s="5" t="s">
        <v>261</v>
      </c>
      <c r="CH3243" s="5" t="s">
        <v>238</v>
      </c>
      <c r="CI3243" s="6" t="s">
        <v>257</v>
      </c>
      <c r="CJ3243" s="5" t="s">
        <v>495</v>
      </c>
      <c r="CK3243" s="5" t="s">
        <v>258</v>
      </c>
      <c r="CL3243" s="5" t="s">
        <v>496</v>
      </c>
      <c r="CM3243" s="5" t="s">
        <v>238</v>
      </c>
      <c r="CN3243" s="5">
        <v>0</v>
      </c>
      <c r="CO3243" s="5" t="s">
        <v>497</v>
      </c>
      <c r="CP3243" s="5" t="s">
        <v>260</v>
      </c>
      <c r="CQ3243" s="5" t="s">
        <v>260</v>
      </c>
      <c r="CR3243" s="5" t="s">
        <v>261</v>
      </c>
      <c r="CS3243" s="5" t="s">
        <v>238</v>
      </c>
      <c r="CT3243" s="7">
        <f>2000</f>
        <v>2000</v>
      </c>
      <c r="CU3243" s="8">
        <f>2139060</f>
        <v>2139060</v>
      </c>
      <c r="CV3243" s="8">
        <f>0</f>
        <v>0</v>
      </c>
      <c r="CW3243" s="8">
        <f>0</f>
        <v>0</v>
      </c>
      <c r="CX3243" s="8">
        <f>2139060</f>
        <v>2139060</v>
      </c>
      <c r="CY3243" s="8">
        <f>2139060</f>
        <v>2139060</v>
      </c>
      <c r="CZ3243" s="8" t="s">
        <v>238</v>
      </c>
      <c r="DA3243" s="5" t="s">
        <v>238</v>
      </c>
      <c r="DB3243" s="5" t="s">
        <v>238</v>
      </c>
      <c r="DD3243" s="5" t="s">
        <v>238</v>
      </c>
      <c r="DE3243" s="8">
        <f>0</f>
        <v>0</v>
      </c>
      <c r="DF3243" s="6" t="s">
        <v>238</v>
      </c>
      <c r="DG3243" s="5" t="s">
        <v>238</v>
      </c>
      <c r="DH3243" s="5" t="s">
        <v>238</v>
      </c>
      <c r="DI3243" s="5" t="s">
        <v>238</v>
      </c>
      <c r="DJ3243" s="5" t="s">
        <v>238</v>
      </c>
      <c r="DK3243" s="5" t="s">
        <v>238</v>
      </c>
      <c r="DL3243" s="5" t="s">
        <v>238</v>
      </c>
      <c r="DM3243" s="8" t="s">
        <v>238</v>
      </c>
      <c r="DN3243" s="5" t="s">
        <v>238</v>
      </c>
      <c r="DO3243" s="5" t="s">
        <v>244</v>
      </c>
      <c r="DP3243" s="5" t="s">
        <v>490</v>
      </c>
      <c r="DQ3243" s="5" t="s">
        <v>490</v>
      </c>
      <c r="DR3243" s="5" t="s">
        <v>238</v>
      </c>
      <c r="DS3243" s="5" t="s">
        <v>238</v>
      </c>
      <c r="HP3243" s="5" t="s">
        <v>238</v>
      </c>
      <c r="HQ3243" s="5" t="s">
        <v>238</v>
      </c>
      <c r="HR3243" s="5" t="s">
        <v>238</v>
      </c>
      <c r="HS3243" s="5" t="s">
        <v>238</v>
      </c>
      <c r="HT3243" s="5" t="s">
        <v>238</v>
      </c>
      <c r="HU3243" s="5" t="s">
        <v>238</v>
      </c>
      <c r="HV3243" s="5" t="s">
        <v>238</v>
      </c>
      <c r="HW3243" s="5" t="s">
        <v>238</v>
      </c>
      <c r="HX3243" s="5" t="s">
        <v>238</v>
      </c>
      <c r="HY3243" s="5" t="s">
        <v>238</v>
      </c>
      <c r="HZ3243" s="5" t="s">
        <v>238</v>
      </c>
      <c r="IA3243" s="5" t="s">
        <v>238</v>
      </c>
      <c r="IB3243" s="5" t="s">
        <v>238</v>
      </c>
      <c r="IC3243" s="5" t="s">
        <v>238</v>
      </c>
      <c r="ID3243" s="5" t="s">
        <v>238</v>
      </c>
    </row>
    <row r="3244" spans="1:238" x14ac:dyDescent="0.4">
      <c r="A3244" s="5">
        <v>8733</v>
      </c>
      <c r="B3244" s="5">
        <v>1</v>
      </c>
      <c r="C3244" s="5">
        <v>2</v>
      </c>
      <c r="D3244" s="5" t="s">
        <v>2037</v>
      </c>
      <c r="E3244" s="5" t="s">
        <v>271</v>
      </c>
      <c r="F3244" s="5" t="s">
        <v>248</v>
      </c>
      <c r="G3244" s="5" t="s">
        <v>6613</v>
      </c>
      <c r="H3244" s="6" t="s">
        <v>6615</v>
      </c>
      <c r="I3244" s="7">
        <f>8123.86</f>
        <v>8123.86</v>
      </c>
      <c r="J3244" s="5" t="s">
        <v>262</v>
      </c>
      <c r="K3244" s="8">
        <f>34932598</f>
        <v>34932598</v>
      </c>
      <c r="L3244" s="6" t="s">
        <v>6614</v>
      </c>
      <c r="M3244" s="5" t="s">
        <v>267</v>
      </c>
      <c r="N3244" s="5" t="s">
        <v>2092</v>
      </c>
      <c r="Q3244" s="5" t="s">
        <v>268</v>
      </c>
      <c r="R3244" s="5" t="s">
        <v>270</v>
      </c>
      <c r="S3244" s="5" t="s">
        <v>238</v>
      </c>
      <c r="V3244" s="5" t="s">
        <v>2587</v>
      </c>
      <c r="W3244" s="6" t="s">
        <v>238</v>
      </c>
      <c r="X3244" s="6" t="s">
        <v>238</v>
      </c>
      <c r="Y3244" s="5" t="s">
        <v>238</v>
      </c>
      <c r="Z3244" s="6" t="s">
        <v>238</v>
      </c>
      <c r="AA3244" s="6" t="s">
        <v>6614</v>
      </c>
      <c r="AB3244" s="5" t="s">
        <v>6546</v>
      </c>
      <c r="AC3244" s="5" t="s">
        <v>244</v>
      </c>
      <c r="AD3244" s="5" t="s">
        <v>245</v>
      </c>
      <c r="AJ3244" s="5" t="s">
        <v>238</v>
      </c>
      <c r="AK3244" s="5" t="s">
        <v>238</v>
      </c>
      <c r="AL3244" s="5" t="s">
        <v>238</v>
      </c>
      <c r="AM3244" s="6" t="s">
        <v>238</v>
      </c>
      <c r="AN3244" s="6" t="s">
        <v>238</v>
      </c>
      <c r="AO3244" s="6" t="s">
        <v>238</v>
      </c>
      <c r="AR3244" s="5" t="s">
        <v>488</v>
      </c>
      <c r="AS3244" s="5" t="s">
        <v>488</v>
      </c>
      <c r="AT3244" s="5" t="s">
        <v>246</v>
      </c>
      <c r="AU3244" s="5" t="s">
        <v>489</v>
      </c>
      <c r="AV3244" s="5" t="s">
        <v>247</v>
      </c>
      <c r="AW3244" s="5" t="s">
        <v>600</v>
      </c>
      <c r="AX3244" s="5" t="s">
        <v>249</v>
      </c>
      <c r="AY3244" s="5" t="s">
        <v>490</v>
      </c>
      <c r="BA3244" s="5" t="s">
        <v>238</v>
      </c>
      <c r="BC3244" s="5" t="s">
        <v>491</v>
      </c>
      <c r="BD3244" s="6" t="s">
        <v>6548</v>
      </c>
      <c r="BE3244" s="5" t="s">
        <v>6528</v>
      </c>
      <c r="BF3244" s="5" t="s">
        <v>6529</v>
      </c>
      <c r="BG3244" s="5" t="s">
        <v>238</v>
      </c>
      <c r="BH3244" s="7">
        <f>0</f>
        <v>0</v>
      </c>
      <c r="BI3244" s="8">
        <f>546000</f>
        <v>546000</v>
      </c>
      <c r="BJ3244" s="5" t="s">
        <v>253</v>
      </c>
      <c r="BK3244" s="5" t="s">
        <v>254</v>
      </c>
      <c r="BL3244" s="5" t="s">
        <v>6530</v>
      </c>
      <c r="BM3244" s="5" t="s">
        <v>6531</v>
      </c>
      <c r="BN3244" s="5" t="s">
        <v>6540</v>
      </c>
      <c r="BO3244" s="5" t="s">
        <v>238</v>
      </c>
      <c r="BP3244" s="5" t="s">
        <v>253</v>
      </c>
      <c r="BQ3244" s="5" t="s">
        <v>6532</v>
      </c>
      <c r="BR3244" s="5" t="s">
        <v>6532</v>
      </c>
      <c r="BT3244" s="6" t="s">
        <v>6616</v>
      </c>
      <c r="BU3244" s="5" t="s">
        <v>253</v>
      </c>
      <c r="BV3244" s="5" t="s">
        <v>238</v>
      </c>
      <c r="BW3244" s="5" t="s">
        <v>238</v>
      </c>
      <c r="BX3244" s="5" t="s">
        <v>254</v>
      </c>
      <c r="BY3244" s="5" t="s">
        <v>238</v>
      </c>
      <c r="BZ3244" s="5" t="s">
        <v>238</v>
      </c>
      <c r="CD3244" s="5" t="s">
        <v>238</v>
      </c>
      <c r="CE3244" s="5" t="s">
        <v>238</v>
      </c>
      <c r="CF3244" s="5" t="s">
        <v>261</v>
      </c>
      <c r="CH3244" s="5" t="s">
        <v>238</v>
      </c>
      <c r="CI3244" s="6" t="s">
        <v>257</v>
      </c>
      <c r="CJ3244" s="5" t="s">
        <v>495</v>
      </c>
      <c r="CK3244" s="5" t="s">
        <v>258</v>
      </c>
      <c r="CL3244" s="5" t="s">
        <v>496</v>
      </c>
      <c r="CM3244" s="5" t="s">
        <v>238</v>
      </c>
      <c r="CN3244" s="5">
        <v>0</v>
      </c>
      <c r="CO3244" s="5" t="s">
        <v>497</v>
      </c>
      <c r="CP3244" s="5" t="s">
        <v>260</v>
      </c>
      <c r="CQ3244" s="5" t="s">
        <v>260</v>
      </c>
      <c r="CR3244" s="5" t="s">
        <v>261</v>
      </c>
      <c r="CS3244" s="5" t="s">
        <v>238</v>
      </c>
      <c r="CT3244" s="7">
        <f>4300</f>
        <v>4300</v>
      </c>
      <c r="CU3244" s="8">
        <f>34932598</f>
        <v>34932598</v>
      </c>
      <c r="CV3244" s="8">
        <f>0</f>
        <v>0</v>
      </c>
      <c r="CW3244" s="8">
        <f>0</f>
        <v>0</v>
      </c>
      <c r="CX3244" s="8">
        <f>34932598</f>
        <v>34932598</v>
      </c>
      <c r="CY3244" s="8">
        <f>34932598</f>
        <v>34932598</v>
      </c>
      <c r="CZ3244" s="8" t="s">
        <v>238</v>
      </c>
      <c r="DA3244" s="5" t="s">
        <v>238</v>
      </c>
      <c r="DB3244" s="5" t="s">
        <v>238</v>
      </c>
      <c r="DD3244" s="5" t="s">
        <v>238</v>
      </c>
      <c r="DE3244" s="8">
        <f>0</f>
        <v>0</v>
      </c>
      <c r="DF3244" s="6" t="s">
        <v>238</v>
      </c>
      <c r="DG3244" s="5" t="s">
        <v>238</v>
      </c>
      <c r="DH3244" s="5" t="s">
        <v>238</v>
      </c>
      <c r="DI3244" s="5" t="s">
        <v>238</v>
      </c>
      <c r="DJ3244" s="5" t="s">
        <v>238</v>
      </c>
      <c r="DK3244" s="5" t="s">
        <v>238</v>
      </c>
      <c r="DL3244" s="5" t="s">
        <v>238</v>
      </c>
      <c r="DM3244" s="8" t="s">
        <v>238</v>
      </c>
      <c r="DN3244" s="5" t="s">
        <v>238</v>
      </c>
      <c r="DO3244" s="5" t="s">
        <v>244</v>
      </c>
      <c r="DP3244" s="5" t="s">
        <v>490</v>
      </c>
      <c r="DQ3244" s="5" t="s">
        <v>490</v>
      </c>
      <c r="DR3244" s="5" t="s">
        <v>238</v>
      </c>
      <c r="DS3244" s="5" t="s">
        <v>238</v>
      </c>
      <c r="HP3244" s="5" t="s">
        <v>238</v>
      </c>
      <c r="HQ3244" s="5" t="s">
        <v>238</v>
      </c>
      <c r="HR3244" s="5" t="s">
        <v>238</v>
      </c>
      <c r="HS3244" s="5" t="s">
        <v>238</v>
      </c>
      <c r="HT3244" s="5" t="s">
        <v>238</v>
      </c>
      <c r="HU3244" s="5" t="s">
        <v>238</v>
      </c>
      <c r="HV3244" s="5" t="s">
        <v>238</v>
      </c>
      <c r="HW3244" s="5" t="s">
        <v>238</v>
      </c>
      <c r="HX3244" s="5" t="s">
        <v>238</v>
      </c>
      <c r="HY3244" s="5" t="s">
        <v>238</v>
      </c>
      <c r="HZ3244" s="5" t="s">
        <v>238</v>
      </c>
      <c r="IA3244" s="5" t="s">
        <v>238</v>
      </c>
      <c r="IB3244" s="5" t="s">
        <v>238</v>
      </c>
      <c r="IC3244" s="5" t="s">
        <v>238</v>
      </c>
      <c r="ID3244" s="5" t="s">
        <v>238</v>
      </c>
    </row>
    <row r="3245" spans="1:238" x14ac:dyDescent="0.4">
      <c r="A3245" s="5">
        <v>8734</v>
      </c>
      <c r="B3245" s="5">
        <v>1</v>
      </c>
      <c r="C3245" s="5">
        <v>2</v>
      </c>
      <c r="D3245" s="5" t="s">
        <v>2037</v>
      </c>
      <c r="E3245" s="5" t="s">
        <v>271</v>
      </c>
      <c r="F3245" s="5" t="s">
        <v>248</v>
      </c>
      <c r="G3245" s="5" t="s">
        <v>6661</v>
      </c>
      <c r="H3245" s="6" t="s">
        <v>6735</v>
      </c>
      <c r="I3245" s="7">
        <f>407.36</f>
        <v>407.36</v>
      </c>
      <c r="J3245" s="5" t="s">
        <v>262</v>
      </c>
      <c r="K3245" s="8">
        <f>637787</f>
        <v>637787</v>
      </c>
      <c r="L3245" s="6" t="s">
        <v>6734</v>
      </c>
      <c r="M3245" s="5" t="s">
        <v>267</v>
      </c>
      <c r="N3245" s="5" t="s">
        <v>2092</v>
      </c>
      <c r="Q3245" s="5" t="s">
        <v>268</v>
      </c>
      <c r="R3245" s="5" t="s">
        <v>270</v>
      </c>
      <c r="S3245" s="5" t="s">
        <v>238</v>
      </c>
      <c r="V3245" s="5" t="s">
        <v>2587</v>
      </c>
      <c r="W3245" s="6" t="s">
        <v>238</v>
      </c>
      <c r="X3245" s="6" t="s">
        <v>238</v>
      </c>
      <c r="Y3245" s="5" t="s">
        <v>238</v>
      </c>
      <c r="Z3245" s="6" t="s">
        <v>238</v>
      </c>
      <c r="AA3245" s="6" t="s">
        <v>6734</v>
      </c>
      <c r="AB3245" s="5" t="s">
        <v>6546</v>
      </c>
      <c r="AC3245" s="5" t="s">
        <v>244</v>
      </c>
      <c r="AD3245" s="5" t="s">
        <v>245</v>
      </c>
      <c r="AJ3245" s="5" t="s">
        <v>238</v>
      </c>
      <c r="AK3245" s="5" t="s">
        <v>238</v>
      </c>
      <c r="AL3245" s="5" t="s">
        <v>238</v>
      </c>
      <c r="AM3245" s="6" t="s">
        <v>238</v>
      </c>
      <c r="AN3245" s="6" t="s">
        <v>238</v>
      </c>
      <c r="AO3245" s="6" t="s">
        <v>238</v>
      </c>
      <c r="AR3245" s="5" t="s">
        <v>488</v>
      </c>
      <c r="AS3245" s="5" t="s">
        <v>488</v>
      </c>
      <c r="AT3245" s="5" t="s">
        <v>246</v>
      </c>
      <c r="AU3245" s="5" t="s">
        <v>489</v>
      </c>
      <c r="AV3245" s="5" t="s">
        <v>247</v>
      </c>
      <c r="AW3245" s="5" t="s">
        <v>600</v>
      </c>
      <c r="AX3245" s="5" t="s">
        <v>249</v>
      </c>
      <c r="AY3245" s="5" t="s">
        <v>490</v>
      </c>
      <c r="BA3245" s="5" t="s">
        <v>238</v>
      </c>
      <c r="BC3245" s="5" t="s">
        <v>491</v>
      </c>
      <c r="BD3245" s="6" t="s">
        <v>6611</v>
      </c>
      <c r="BE3245" s="5" t="s">
        <v>6528</v>
      </c>
      <c r="BF3245" s="5" t="s">
        <v>6529</v>
      </c>
      <c r="BG3245" s="5" t="s">
        <v>238</v>
      </c>
      <c r="BH3245" s="7">
        <f>0</f>
        <v>0</v>
      </c>
      <c r="BI3245" s="8">
        <f>100061</f>
        <v>100061</v>
      </c>
      <c r="BJ3245" s="5" t="s">
        <v>253</v>
      </c>
      <c r="BK3245" s="5" t="s">
        <v>254</v>
      </c>
      <c r="BL3245" s="5" t="s">
        <v>6530</v>
      </c>
      <c r="BM3245" s="5" t="s">
        <v>6531</v>
      </c>
      <c r="BN3245" s="5" t="s">
        <v>6540</v>
      </c>
      <c r="BO3245" s="5" t="s">
        <v>238</v>
      </c>
      <c r="BP3245" s="5" t="s">
        <v>253</v>
      </c>
      <c r="BQ3245" s="5" t="s">
        <v>6532</v>
      </c>
      <c r="BR3245" s="5" t="s">
        <v>6532</v>
      </c>
      <c r="BT3245" s="6" t="s">
        <v>6736</v>
      </c>
      <c r="BU3245" s="5" t="s">
        <v>253</v>
      </c>
      <c r="BV3245" s="5" t="s">
        <v>238</v>
      </c>
      <c r="BW3245" s="5" t="s">
        <v>238</v>
      </c>
      <c r="BX3245" s="5" t="s">
        <v>254</v>
      </c>
      <c r="BY3245" s="5" t="s">
        <v>238</v>
      </c>
      <c r="BZ3245" s="5" t="s">
        <v>238</v>
      </c>
      <c r="CD3245" s="5" t="s">
        <v>238</v>
      </c>
      <c r="CE3245" s="5" t="s">
        <v>238</v>
      </c>
      <c r="CF3245" s="5" t="s">
        <v>261</v>
      </c>
      <c r="CH3245" s="5" t="s">
        <v>238</v>
      </c>
      <c r="CI3245" s="6" t="s">
        <v>257</v>
      </c>
      <c r="CJ3245" s="5" t="s">
        <v>495</v>
      </c>
      <c r="CK3245" s="5" t="s">
        <v>258</v>
      </c>
      <c r="CL3245" s="5" t="s">
        <v>496</v>
      </c>
      <c r="CM3245" s="5" t="s">
        <v>238</v>
      </c>
      <c r="CN3245" s="5">
        <v>0</v>
      </c>
      <c r="CO3245" s="5" t="s">
        <v>497</v>
      </c>
      <c r="CP3245" s="5" t="s">
        <v>260</v>
      </c>
      <c r="CQ3245" s="5" t="s">
        <v>260</v>
      </c>
      <c r="CR3245" s="5" t="s">
        <v>261</v>
      </c>
      <c r="CS3245" s="5" t="s">
        <v>238</v>
      </c>
      <c r="CT3245" s="7">
        <f>1566</f>
        <v>1566</v>
      </c>
      <c r="CU3245" s="8">
        <f>637787</f>
        <v>637787</v>
      </c>
      <c r="CV3245" s="8">
        <f>0</f>
        <v>0</v>
      </c>
      <c r="CW3245" s="8">
        <f>0</f>
        <v>0</v>
      </c>
      <c r="CX3245" s="8">
        <f>637787</f>
        <v>637787</v>
      </c>
      <c r="CY3245" s="8">
        <f>637787</f>
        <v>637787</v>
      </c>
      <c r="CZ3245" s="8" t="s">
        <v>238</v>
      </c>
      <c r="DA3245" s="5" t="s">
        <v>238</v>
      </c>
      <c r="DB3245" s="5" t="s">
        <v>238</v>
      </c>
      <c r="DD3245" s="5" t="s">
        <v>238</v>
      </c>
      <c r="DE3245" s="8">
        <f>0</f>
        <v>0</v>
      </c>
      <c r="DF3245" s="6" t="s">
        <v>238</v>
      </c>
      <c r="DG3245" s="5" t="s">
        <v>238</v>
      </c>
      <c r="DH3245" s="5" t="s">
        <v>238</v>
      </c>
      <c r="DI3245" s="5" t="s">
        <v>238</v>
      </c>
      <c r="DJ3245" s="5" t="s">
        <v>238</v>
      </c>
      <c r="DK3245" s="5" t="s">
        <v>238</v>
      </c>
      <c r="DL3245" s="5" t="s">
        <v>238</v>
      </c>
      <c r="DM3245" s="8" t="s">
        <v>238</v>
      </c>
      <c r="DN3245" s="5" t="s">
        <v>238</v>
      </c>
      <c r="DO3245" s="5" t="s">
        <v>244</v>
      </c>
      <c r="DP3245" s="5" t="s">
        <v>490</v>
      </c>
      <c r="DQ3245" s="5" t="s">
        <v>490</v>
      </c>
      <c r="DR3245" s="5" t="s">
        <v>238</v>
      </c>
      <c r="DS3245" s="5" t="s">
        <v>238</v>
      </c>
      <c r="HP3245" s="5" t="s">
        <v>238</v>
      </c>
      <c r="HQ3245" s="5" t="s">
        <v>238</v>
      </c>
      <c r="HR3245" s="5" t="s">
        <v>238</v>
      </c>
      <c r="HS3245" s="5" t="s">
        <v>238</v>
      </c>
      <c r="HT3245" s="5" t="s">
        <v>238</v>
      </c>
      <c r="HU3245" s="5" t="s">
        <v>238</v>
      </c>
      <c r="HV3245" s="5" t="s">
        <v>238</v>
      </c>
      <c r="HW3245" s="5" t="s">
        <v>238</v>
      </c>
      <c r="HX3245" s="5" t="s">
        <v>238</v>
      </c>
      <c r="HY3245" s="5" t="s">
        <v>238</v>
      </c>
      <c r="HZ3245" s="5" t="s">
        <v>238</v>
      </c>
      <c r="IA3245" s="5" t="s">
        <v>238</v>
      </c>
      <c r="IB3245" s="5" t="s">
        <v>238</v>
      </c>
      <c r="IC3245" s="5" t="s">
        <v>238</v>
      </c>
      <c r="ID3245" s="5" t="s">
        <v>238</v>
      </c>
    </row>
    <row r="3246" spans="1:238" x14ac:dyDescent="0.4">
      <c r="A3246" s="5">
        <v>8735</v>
      </c>
      <c r="B3246" s="5">
        <v>1</v>
      </c>
      <c r="C3246" s="5">
        <v>2</v>
      </c>
      <c r="D3246" s="5" t="s">
        <v>2037</v>
      </c>
      <c r="E3246" s="5" t="s">
        <v>271</v>
      </c>
      <c r="F3246" s="5" t="s">
        <v>248</v>
      </c>
      <c r="G3246" s="5" t="s">
        <v>6820</v>
      </c>
      <c r="H3246" s="6" t="s">
        <v>6547</v>
      </c>
      <c r="I3246" s="8">
        <f>1</f>
        <v>1</v>
      </c>
      <c r="J3246" s="5" t="s">
        <v>6542</v>
      </c>
      <c r="K3246" s="8">
        <f>159750</f>
        <v>159750</v>
      </c>
      <c r="L3246" s="6" t="s">
        <v>6821</v>
      </c>
      <c r="M3246" s="5" t="s">
        <v>267</v>
      </c>
      <c r="N3246" s="5" t="s">
        <v>2092</v>
      </c>
      <c r="Q3246" s="5" t="s">
        <v>268</v>
      </c>
      <c r="R3246" s="5" t="s">
        <v>270</v>
      </c>
      <c r="S3246" s="5" t="s">
        <v>238</v>
      </c>
      <c r="V3246" s="5" t="s">
        <v>2587</v>
      </c>
      <c r="W3246" s="6" t="s">
        <v>238</v>
      </c>
      <c r="X3246" s="6" t="s">
        <v>238</v>
      </c>
      <c r="Y3246" s="5" t="s">
        <v>238</v>
      </c>
      <c r="Z3246" s="6" t="s">
        <v>238</v>
      </c>
      <c r="AA3246" s="6" t="s">
        <v>6821</v>
      </c>
      <c r="AB3246" s="5" t="s">
        <v>6546</v>
      </c>
      <c r="AC3246" s="5" t="s">
        <v>244</v>
      </c>
      <c r="AD3246" s="5" t="s">
        <v>245</v>
      </c>
      <c r="AJ3246" s="5" t="s">
        <v>238</v>
      </c>
      <c r="AK3246" s="5" t="s">
        <v>238</v>
      </c>
      <c r="AL3246" s="5" t="s">
        <v>238</v>
      </c>
      <c r="AM3246" s="6" t="s">
        <v>238</v>
      </c>
      <c r="AN3246" s="6" t="s">
        <v>238</v>
      </c>
      <c r="AO3246" s="6" t="s">
        <v>238</v>
      </c>
      <c r="AR3246" s="5" t="s">
        <v>488</v>
      </c>
      <c r="AS3246" s="5" t="s">
        <v>488</v>
      </c>
      <c r="AT3246" s="5" t="s">
        <v>246</v>
      </c>
      <c r="AU3246" s="5" t="s">
        <v>489</v>
      </c>
      <c r="AV3246" s="5" t="s">
        <v>247</v>
      </c>
      <c r="AW3246" s="5" t="s">
        <v>600</v>
      </c>
      <c r="AX3246" s="5" t="s">
        <v>249</v>
      </c>
      <c r="AY3246" s="5" t="s">
        <v>490</v>
      </c>
      <c r="BA3246" s="5" t="s">
        <v>238</v>
      </c>
      <c r="BC3246" s="5" t="s">
        <v>491</v>
      </c>
      <c r="BD3246" s="6" t="s">
        <v>6548</v>
      </c>
      <c r="BE3246" s="5" t="s">
        <v>6528</v>
      </c>
      <c r="BF3246" s="5" t="s">
        <v>6529</v>
      </c>
      <c r="BG3246" s="5" t="s">
        <v>238</v>
      </c>
      <c r="BH3246" s="8">
        <f>0</f>
        <v>0</v>
      </c>
      <c r="BI3246" s="8">
        <f>159750</f>
        <v>159750</v>
      </c>
      <c r="BJ3246" s="5" t="s">
        <v>253</v>
      </c>
      <c r="BK3246" s="5" t="s">
        <v>254</v>
      </c>
      <c r="BL3246" s="5" t="s">
        <v>6530</v>
      </c>
      <c r="BM3246" s="5" t="s">
        <v>6531</v>
      </c>
      <c r="BN3246" s="5" t="s">
        <v>6540</v>
      </c>
      <c r="BO3246" s="5" t="s">
        <v>238</v>
      </c>
      <c r="BP3246" s="5" t="s">
        <v>253</v>
      </c>
      <c r="BQ3246" s="5" t="s">
        <v>6532</v>
      </c>
      <c r="BR3246" s="5" t="s">
        <v>6532</v>
      </c>
      <c r="BT3246" s="6" t="s">
        <v>6822</v>
      </c>
      <c r="BU3246" s="5" t="s">
        <v>253</v>
      </c>
      <c r="BV3246" s="5" t="s">
        <v>238</v>
      </c>
      <c r="BW3246" s="5" t="s">
        <v>238</v>
      </c>
      <c r="BX3246" s="5" t="s">
        <v>254</v>
      </c>
      <c r="BY3246" s="5" t="s">
        <v>238</v>
      </c>
      <c r="BZ3246" s="5" t="s">
        <v>238</v>
      </c>
      <c r="CD3246" s="5" t="s">
        <v>238</v>
      </c>
      <c r="CE3246" s="5" t="s">
        <v>238</v>
      </c>
      <c r="CF3246" s="5" t="s">
        <v>261</v>
      </c>
      <c r="CH3246" s="5" t="s">
        <v>238</v>
      </c>
      <c r="CI3246" s="6" t="s">
        <v>257</v>
      </c>
      <c r="CJ3246" s="5" t="s">
        <v>495</v>
      </c>
      <c r="CK3246" s="5" t="s">
        <v>258</v>
      </c>
      <c r="CL3246" s="5" t="s">
        <v>496</v>
      </c>
      <c r="CM3246" s="5" t="s">
        <v>238</v>
      </c>
      <c r="CN3246" s="5">
        <v>0</v>
      </c>
      <c r="CO3246" s="5" t="s">
        <v>497</v>
      </c>
      <c r="CP3246" s="5" t="s">
        <v>260</v>
      </c>
      <c r="CQ3246" s="5" t="s">
        <v>260</v>
      </c>
      <c r="CR3246" s="5" t="s">
        <v>261</v>
      </c>
      <c r="CS3246" s="5" t="s">
        <v>238</v>
      </c>
      <c r="CT3246" s="7">
        <f>0</f>
        <v>0</v>
      </c>
      <c r="CU3246" s="8">
        <f>159750</f>
        <v>159750</v>
      </c>
      <c r="CV3246" s="8">
        <f>0</f>
        <v>0</v>
      </c>
      <c r="CW3246" s="8">
        <f>0</f>
        <v>0</v>
      </c>
      <c r="CX3246" s="8">
        <f>159750</f>
        <v>159750</v>
      </c>
      <c r="CY3246" s="8">
        <f>159750</f>
        <v>159750</v>
      </c>
      <c r="CZ3246" s="8" t="s">
        <v>238</v>
      </c>
      <c r="DA3246" s="5" t="s">
        <v>238</v>
      </c>
      <c r="DB3246" s="5" t="s">
        <v>238</v>
      </c>
      <c r="DD3246" s="5" t="s">
        <v>238</v>
      </c>
      <c r="DE3246" s="8">
        <f>0</f>
        <v>0</v>
      </c>
      <c r="DF3246" s="6" t="s">
        <v>238</v>
      </c>
      <c r="DG3246" s="5" t="s">
        <v>238</v>
      </c>
      <c r="DH3246" s="5" t="s">
        <v>238</v>
      </c>
      <c r="DI3246" s="5" t="s">
        <v>238</v>
      </c>
      <c r="DJ3246" s="5" t="s">
        <v>238</v>
      </c>
      <c r="DK3246" s="5" t="s">
        <v>238</v>
      </c>
      <c r="DL3246" s="5" t="s">
        <v>238</v>
      </c>
      <c r="DM3246" s="8" t="s">
        <v>238</v>
      </c>
      <c r="DN3246" s="5" t="s">
        <v>238</v>
      </c>
      <c r="DO3246" s="5" t="s">
        <v>244</v>
      </c>
      <c r="DP3246" s="5" t="s">
        <v>490</v>
      </c>
      <c r="DQ3246" s="5" t="s">
        <v>490</v>
      </c>
      <c r="DR3246" s="5" t="s">
        <v>238</v>
      </c>
      <c r="DS3246" s="5" t="s">
        <v>238</v>
      </c>
      <c r="HP3246" s="5" t="s">
        <v>238</v>
      </c>
      <c r="HQ3246" s="5" t="s">
        <v>238</v>
      </c>
      <c r="HR3246" s="5" t="s">
        <v>238</v>
      </c>
      <c r="HS3246" s="5" t="s">
        <v>238</v>
      </c>
      <c r="HT3246" s="5" t="s">
        <v>238</v>
      </c>
      <c r="HU3246" s="5" t="s">
        <v>238</v>
      </c>
      <c r="HV3246" s="5" t="s">
        <v>238</v>
      </c>
      <c r="HW3246" s="5" t="s">
        <v>238</v>
      </c>
      <c r="HX3246" s="5" t="s">
        <v>238</v>
      </c>
      <c r="HY3246" s="5" t="s">
        <v>238</v>
      </c>
      <c r="HZ3246" s="5" t="s">
        <v>238</v>
      </c>
      <c r="IA3246" s="5" t="s">
        <v>238</v>
      </c>
      <c r="IB3246" s="5" t="s">
        <v>238</v>
      </c>
      <c r="IC3246" s="5" t="s">
        <v>238</v>
      </c>
      <c r="ID3246" s="5" t="s">
        <v>238</v>
      </c>
    </row>
    <row r="3247" spans="1:238" x14ac:dyDescent="0.4">
      <c r="A3247" s="5">
        <v>8736</v>
      </c>
      <c r="B3247" s="5">
        <v>1</v>
      </c>
      <c r="C3247" s="5">
        <v>2</v>
      </c>
      <c r="D3247" s="5" t="s">
        <v>2037</v>
      </c>
      <c r="E3247" s="5" t="s">
        <v>271</v>
      </c>
      <c r="F3247" s="5" t="s">
        <v>248</v>
      </c>
      <c r="G3247" s="5" t="s">
        <v>6692</v>
      </c>
      <c r="H3247" s="6" t="s">
        <v>6694</v>
      </c>
      <c r="I3247" s="8">
        <f>1</f>
        <v>1</v>
      </c>
      <c r="J3247" s="5" t="s">
        <v>6542</v>
      </c>
      <c r="K3247" s="8">
        <f>1061163</f>
        <v>1061163</v>
      </c>
      <c r="L3247" s="6" t="s">
        <v>6693</v>
      </c>
      <c r="M3247" s="5" t="s">
        <v>267</v>
      </c>
      <c r="N3247" s="5" t="s">
        <v>2092</v>
      </c>
      <c r="Q3247" s="5" t="s">
        <v>268</v>
      </c>
      <c r="R3247" s="5" t="s">
        <v>270</v>
      </c>
      <c r="S3247" s="5" t="s">
        <v>238</v>
      </c>
      <c r="V3247" s="5" t="s">
        <v>2587</v>
      </c>
      <c r="W3247" s="6" t="s">
        <v>238</v>
      </c>
      <c r="X3247" s="6" t="s">
        <v>238</v>
      </c>
      <c r="Y3247" s="5" t="s">
        <v>238</v>
      </c>
      <c r="Z3247" s="6" t="s">
        <v>238</v>
      </c>
      <c r="AA3247" s="6" t="s">
        <v>6693</v>
      </c>
      <c r="AB3247" s="5" t="s">
        <v>6546</v>
      </c>
      <c r="AC3247" s="5" t="s">
        <v>244</v>
      </c>
      <c r="AD3247" s="5" t="s">
        <v>245</v>
      </c>
      <c r="AJ3247" s="5" t="s">
        <v>238</v>
      </c>
      <c r="AK3247" s="5" t="s">
        <v>238</v>
      </c>
      <c r="AL3247" s="5" t="s">
        <v>238</v>
      </c>
      <c r="AM3247" s="6" t="s">
        <v>238</v>
      </c>
      <c r="AN3247" s="6" t="s">
        <v>238</v>
      </c>
      <c r="AO3247" s="6" t="s">
        <v>238</v>
      </c>
      <c r="AR3247" s="5" t="s">
        <v>488</v>
      </c>
      <c r="AS3247" s="5" t="s">
        <v>488</v>
      </c>
      <c r="AT3247" s="5" t="s">
        <v>246</v>
      </c>
      <c r="AU3247" s="5" t="s">
        <v>489</v>
      </c>
      <c r="AV3247" s="5" t="s">
        <v>247</v>
      </c>
      <c r="AW3247" s="5" t="s">
        <v>600</v>
      </c>
      <c r="AX3247" s="5" t="s">
        <v>249</v>
      </c>
      <c r="AY3247" s="5" t="s">
        <v>490</v>
      </c>
      <c r="BA3247" s="5" t="s">
        <v>238</v>
      </c>
      <c r="BC3247" s="5" t="s">
        <v>491</v>
      </c>
      <c r="BD3247" s="6" t="s">
        <v>6562</v>
      </c>
      <c r="BE3247" s="5" t="s">
        <v>6528</v>
      </c>
      <c r="BF3247" s="5" t="s">
        <v>6529</v>
      </c>
      <c r="BG3247" s="5" t="s">
        <v>238</v>
      </c>
      <c r="BH3247" s="8">
        <f>0</f>
        <v>0</v>
      </c>
      <c r="BI3247" s="8">
        <f>319000</f>
        <v>319000</v>
      </c>
      <c r="BJ3247" s="5" t="s">
        <v>253</v>
      </c>
      <c r="BK3247" s="5" t="s">
        <v>254</v>
      </c>
      <c r="BL3247" s="5" t="s">
        <v>6530</v>
      </c>
      <c r="BM3247" s="5" t="s">
        <v>6531</v>
      </c>
      <c r="BN3247" s="5" t="s">
        <v>6540</v>
      </c>
      <c r="BO3247" s="5" t="s">
        <v>238</v>
      </c>
      <c r="BP3247" s="5" t="s">
        <v>253</v>
      </c>
      <c r="BQ3247" s="5" t="s">
        <v>6532</v>
      </c>
      <c r="BR3247" s="5" t="s">
        <v>6532</v>
      </c>
      <c r="BT3247" s="6" t="s">
        <v>6695</v>
      </c>
      <c r="BU3247" s="5" t="s">
        <v>253</v>
      </c>
      <c r="BV3247" s="5" t="s">
        <v>238</v>
      </c>
      <c r="BW3247" s="5" t="s">
        <v>238</v>
      </c>
      <c r="BX3247" s="5" t="s">
        <v>254</v>
      </c>
      <c r="BY3247" s="5" t="s">
        <v>238</v>
      </c>
      <c r="BZ3247" s="5" t="s">
        <v>238</v>
      </c>
      <c r="CD3247" s="5" t="s">
        <v>238</v>
      </c>
      <c r="CE3247" s="5" t="s">
        <v>238</v>
      </c>
      <c r="CF3247" s="5" t="s">
        <v>261</v>
      </c>
      <c r="CH3247" s="5" t="s">
        <v>238</v>
      </c>
      <c r="CI3247" s="6" t="s">
        <v>257</v>
      </c>
      <c r="CJ3247" s="5" t="s">
        <v>495</v>
      </c>
      <c r="CK3247" s="5" t="s">
        <v>258</v>
      </c>
      <c r="CL3247" s="5" t="s">
        <v>496</v>
      </c>
      <c r="CM3247" s="5" t="s">
        <v>238</v>
      </c>
      <c r="CN3247" s="5">
        <v>0</v>
      </c>
      <c r="CO3247" s="5" t="s">
        <v>497</v>
      </c>
      <c r="CP3247" s="5" t="s">
        <v>260</v>
      </c>
      <c r="CQ3247" s="5" t="s">
        <v>260</v>
      </c>
      <c r="CR3247" s="5" t="s">
        <v>261</v>
      </c>
      <c r="CS3247" s="5" t="s">
        <v>238</v>
      </c>
      <c r="CT3247" s="7">
        <f>1061163</f>
        <v>1061163</v>
      </c>
      <c r="CU3247" s="8">
        <f>1061163</f>
        <v>1061163</v>
      </c>
      <c r="CV3247" s="8">
        <f>0</f>
        <v>0</v>
      </c>
      <c r="CW3247" s="8">
        <f>0</f>
        <v>0</v>
      </c>
      <c r="CX3247" s="8">
        <f>1061163</f>
        <v>1061163</v>
      </c>
      <c r="CY3247" s="8">
        <f>1061163</f>
        <v>1061163</v>
      </c>
      <c r="CZ3247" s="8" t="s">
        <v>238</v>
      </c>
      <c r="DA3247" s="5" t="s">
        <v>238</v>
      </c>
      <c r="DB3247" s="5" t="s">
        <v>238</v>
      </c>
      <c r="DD3247" s="5" t="s">
        <v>238</v>
      </c>
      <c r="DE3247" s="8">
        <f>0</f>
        <v>0</v>
      </c>
      <c r="DF3247" s="6" t="s">
        <v>238</v>
      </c>
      <c r="DG3247" s="5" t="s">
        <v>238</v>
      </c>
      <c r="DH3247" s="5" t="s">
        <v>238</v>
      </c>
      <c r="DI3247" s="5" t="s">
        <v>238</v>
      </c>
      <c r="DJ3247" s="5" t="s">
        <v>238</v>
      </c>
      <c r="DK3247" s="5" t="s">
        <v>238</v>
      </c>
      <c r="DL3247" s="5" t="s">
        <v>238</v>
      </c>
      <c r="DM3247" s="8" t="s">
        <v>238</v>
      </c>
      <c r="DN3247" s="5" t="s">
        <v>238</v>
      </c>
      <c r="DO3247" s="5" t="s">
        <v>244</v>
      </c>
      <c r="DP3247" s="5" t="s">
        <v>490</v>
      </c>
      <c r="DQ3247" s="5" t="s">
        <v>490</v>
      </c>
      <c r="DR3247" s="5" t="s">
        <v>238</v>
      </c>
      <c r="DS3247" s="5" t="s">
        <v>238</v>
      </c>
      <c r="HP3247" s="5" t="s">
        <v>238</v>
      </c>
      <c r="HQ3247" s="5" t="s">
        <v>238</v>
      </c>
      <c r="HR3247" s="5" t="s">
        <v>238</v>
      </c>
      <c r="HS3247" s="5" t="s">
        <v>238</v>
      </c>
      <c r="HT3247" s="5" t="s">
        <v>238</v>
      </c>
      <c r="HU3247" s="5" t="s">
        <v>238</v>
      </c>
      <c r="HV3247" s="5" t="s">
        <v>238</v>
      </c>
      <c r="HW3247" s="5" t="s">
        <v>238</v>
      </c>
      <c r="HX3247" s="5" t="s">
        <v>238</v>
      </c>
      <c r="HY3247" s="5" t="s">
        <v>238</v>
      </c>
      <c r="HZ3247" s="5" t="s">
        <v>238</v>
      </c>
      <c r="IA3247" s="5" t="s">
        <v>238</v>
      </c>
      <c r="IB3247" s="5" t="s">
        <v>238</v>
      </c>
      <c r="IC3247" s="5" t="s">
        <v>238</v>
      </c>
      <c r="ID3247" s="5" t="s">
        <v>238</v>
      </c>
    </row>
    <row r="3248" spans="1:238" x14ac:dyDescent="0.4">
      <c r="A3248" s="5">
        <v>8737</v>
      </c>
      <c r="B3248" s="5">
        <v>1</v>
      </c>
      <c r="C3248" s="5">
        <v>3</v>
      </c>
      <c r="D3248" s="5" t="s">
        <v>2037</v>
      </c>
      <c r="E3248" s="5" t="s">
        <v>271</v>
      </c>
      <c r="F3248" s="5" t="s">
        <v>248</v>
      </c>
      <c r="G3248" s="5" t="s">
        <v>6535</v>
      </c>
      <c r="H3248" s="6" t="s">
        <v>6538</v>
      </c>
      <c r="I3248" s="8">
        <f>1</f>
        <v>1</v>
      </c>
      <c r="J3248" s="5" t="s">
        <v>6542</v>
      </c>
      <c r="K3248" s="8">
        <f>133257</f>
        <v>133257</v>
      </c>
      <c r="L3248" s="6" t="s">
        <v>6536</v>
      </c>
      <c r="M3248" s="5" t="s">
        <v>267</v>
      </c>
      <c r="N3248" s="5" t="s">
        <v>2092</v>
      </c>
      <c r="Q3248" s="5" t="s">
        <v>268</v>
      </c>
      <c r="R3248" s="5" t="s">
        <v>270</v>
      </c>
      <c r="S3248" s="5" t="s">
        <v>238</v>
      </c>
      <c r="V3248" s="5" t="s">
        <v>2587</v>
      </c>
      <c r="W3248" s="6" t="s">
        <v>238</v>
      </c>
      <c r="X3248" s="6" t="s">
        <v>238</v>
      </c>
      <c r="Y3248" s="5" t="s">
        <v>238</v>
      </c>
      <c r="Z3248" s="6" t="s">
        <v>238</v>
      </c>
      <c r="AA3248" s="6" t="s">
        <v>6536</v>
      </c>
      <c r="AB3248" s="5" t="s">
        <v>6537</v>
      </c>
      <c r="AC3248" s="5" t="s">
        <v>244</v>
      </c>
      <c r="AD3248" s="5" t="s">
        <v>245</v>
      </c>
      <c r="AJ3248" s="5" t="s">
        <v>238</v>
      </c>
      <c r="AK3248" s="5" t="s">
        <v>238</v>
      </c>
      <c r="AL3248" s="5" t="s">
        <v>238</v>
      </c>
      <c r="AM3248" s="6" t="s">
        <v>238</v>
      </c>
      <c r="AN3248" s="6" t="s">
        <v>238</v>
      </c>
      <c r="AO3248" s="6" t="s">
        <v>238</v>
      </c>
      <c r="AR3248" s="5" t="s">
        <v>488</v>
      </c>
      <c r="AS3248" s="5" t="s">
        <v>488</v>
      </c>
      <c r="AT3248" s="5" t="s">
        <v>246</v>
      </c>
      <c r="AU3248" s="5" t="s">
        <v>489</v>
      </c>
      <c r="AV3248" s="5" t="s">
        <v>247</v>
      </c>
      <c r="AW3248" s="5" t="s">
        <v>600</v>
      </c>
      <c r="AX3248" s="5" t="s">
        <v>249</v>
      </c>
      <c r="AY3248" s="5" t="s">
        <v>490</v>
      </c>
      <c r="BA3248" s="5" t="s">
        <v>238</v>
      </c>
      <c r="BC3248" s="5" t="s">
        <v>491</v>
      </c>
      <c r="BD3248" s="6" t="s">
        <v>6539</v>
      </c>
      <c r="BE3248" s="5" t="s">
        <v>6528</v>
      </c>
      <c r="BF3248" s="5" t="s">
        <v>6529</v>
      </c>
      <c r="BG3248" s="5" t="s">
        <v>238</v>
      </c>
      <c r="BH3248" s="8">
        <f>0</f>
        <v>0</v>
      </c>
      <c r="BI3248" s="8">
        <f>40385</f>
        <v>40385</v>
      </c>
      <c r="BJ3248" s="5" t="s">
        <v>253</v>
      </c>
      <c r="BK3248" s="5" t="s">
        <v>254</v>
      </c>
      <c r="BL3248" s="5" t="s">
        <v>6530</v>
      </c>
      <c r="BM3248" s="5" t="s">
        <v>6531</v>
      </c>
      <c r="BN3248" s="5" t="s">
        <v>6540</v>
      </c>
      <c r="BO3248" s="5" t="s">
        <v>238</v>
      </c>
      <c r="BP3248" s="5" t="s">
        <v>253</v>
      </c>
      <c r="BQ3248" s="5" t="s">
        <v>6532</v>
      </c>
      <c r="BR3248" s="5" t="s">
        <v>6532</v>
      </c>
      <c r="BT3248" s="6" t="s">
        <v>6541</v>
      </c>
      <c r="BU3248" s="5" t="s">
        <v>253</v>
      </c>
      <c r="BV3248" s="5" t="s">
        <v>238</v>
      </c>
      <c r="BW3248" s="5" t="s">
        <v>238</v>
      </c>
      <c r="BX3248" s="5" t="s">
        <v>254</v>
      </c>
      <c r="BY3248" s="5" t="s">
        <v>238</v>
      </c>
      <c r="BZ3248" s="5" t="s">
        <v>238</v>
      </c>
      <c r="CD3248" s="5" t="s">
        <v>238</v>
      </c>
      <c r="CE3248" s="5" t="s">
        <v>238</v>
      </c>
      <c r="CF3248" s="5" t="s">
        <v>261</v>
      </c>
      <c r="CH3248" s="5" t="s">
        <v>238</v>
      </c>
      <c r="CI3248" s="6" t="s">
        <v>257</v>
      </c>
      <c r="CJ3248" s="5" t="s">
        <v>495</v>
      </c>
      <c r="CK3248" s="5" t="s">
        <v>258</v>
      </c>
      <c r="CL3248" s="5" t="s">
        <v>496</v>
      </c>
      <c r="CM3248" s="5" t="s">
        <v>238</v>
      </c>
      <c r="CN3248" s="5">
        <v>0</v>
      </c>
      <c r="CO3248" s="5" t="s">
        <v>497</v>
      </c>
      <c r="CP3248" s="5" t="s">
        <v>260</v>
      </c>
      <c r="CQ3248" s="5" t="s">
        <v>260</v>
      </c>
      <c r="CR3248" s="5" t="s">
        <v>261</v>
      </c>
      <c r="CS3248" s="5" t="s">
        <v>238</v>
      </c>
      <c r="CT3248" s="7">
        <f>133257</f>
        <v>133257</v>
      </c>
      <c r="CU3248" s="8">
        <f>133257</f>
        <v>133257</v>
      </c>
      <c r="CV3248" s="8">
        <f>0</f>
        <v>0</v>
      </c>
      <c r="CW3248" s="8">
        <f>0</f>
        <v>0</v>
      </c>
      <c r="CX3248" s="8">
        <f>133257</f>
        <v>133257</v>
      </c>
      <c r="CY3248" s="8">
        <f>133257</f>
        <v>133257</v>
      </c>
      <c r="CZ3248" s="8" t="s">
        <v>238</v>
      </c>
      <c r="DA3248" s="5" t="s">
        <v>238</v>
      </c>
      <c r="DB3248" s="5" t="s">
        <v>238</v>
      </c>
      <c r="DD3248" s="5" t="s">
        <v>238</v>
      </c>
      <c r="DE3248" s="8">
        <f>0</f>
        <v>0</v>
      </c>
      <c r="DF3248" s="6" t="s">
        <v>238</v>
      </c>
      <c r="DG3248" s="5" t="s">
        <v>238</v>
      </c>
      <c r="DH3248" s="5" t="s">
        <v>238</v>
      </c>
      <c r="DI3248" s="5" t="s">
        <v>238</v>
      </c>
      <c r="DJ3248" s="5" t="s">
        <v>238</v>
      </c>
      <c r="DK3248" s="5" t="s">
        <v>238</v>
      </c>
      <c r="DL3248" s="5" t="s">
        <v>238</v>
      </c>
      <c r="DM3248" s="8" t="s">
        <v>238</v>
      </c>
      <c r="DN3248" s="5" t="s">
        <v>238</v>
      </c>
      <c r="DO3248" s="5" t="s">
        <v>244</v>
      </c>
      <c r="DP3248" s="5" t="s">
        <v>490</v>
      </c>
      <c r="DQ3248" s="5" t="s">
        <v>490</v>
      </c>
      <c r="DR3248" s="5" t="s">
        <v>238</v>
      </c>
      <c r="DS3248" s="5" t="s">
        <v>238</v>
      </c>
      <c r="HP3248" s="5" t="s">
        <v>238</v>
      </c>
      <c r="HQ3248" s="5" t="s">
        <v>238</v>
      </c>
      <c r="HR3248" s="5" t="s">
        <v>238</v>
      </c>
      <c r="HS3248" s="5" t="s">
        <v>238</v>
      </c>
      <c r="HT3248" s="5" t="s">
        <v>238</v>
      </c>
      <c r="HU3248" s="5" t="s">
        <v>238</v>
      </c>
      <c r="HV3248" s="5" t="s">
        <v>238</v>
      </c>
      <c r="HW3248" s="5" t="s">
        <v>238</v>
      </c>
      <c r="HX3248" s="5" t="s">
        <v>238</v>
      </c>
      <c r="HY3248" s="5" t="s">
        <v>238</v>
      </c>
      <c r="HZ3248" s="5" t="s">
        <v>238</v>
      </c>
      <c r="IA3248" s="5" t="s">
        <v>238</v>
      </c>
      <c r="IB3248" s="5" t="s">
        <v>238</v>
      </c>
      <c r="IC3248" s="5" t="s">
        <v>238</v>
      </c>
      <c r="ID3248" s="5" t="s">
        <v>238</v>
      </c>
    </row>
    <row r="3249" spans="1:238" x14ac:dyDescent="0.4">
      <c r="A3249" s="5">
        <v>8738</v>
      </c>
      <c r="B3249" s="5">
        <v>1</v>
      </c>
      <c r="C3249" s="5">
        <v>2</v>
      </c>
      <c r="D3249" s="5" t="s">
        <v>2037</v>
      </c>
      <c r="E3249" s="5" t="s">
        <v>271</v>
      </c>
      <c r="F3249" s="5" t="s">
        <v>248</v>
      </c>
      <c r="G3249" s="5" t="s">
        <v>6795</v>
      </c>
      <c r="H3249" s="6" t="s">
        <v>6744</v>
      </c>
      <c r="I3249" s="8">
        <f>1</f>
        <v>1</v>
      </c>
      <c r="J3249" s="5" t="s">
        <v>6542</v>
      </c>
      <c r="K3249" s="8">
        <f>1270383</f>
        <v>1270383</v>
      </c>
      <c r="L3249" s="6" t="s">
        <v>6796</v>
      </c>
      <c r="M3249" s="5" t="s">
        <v>267</v>
      </c>
      <c r="N3249" s="5" t="s">
        <v>2092</v>
      </c>
      <c r="Q3249" s="5" t="s">
        <v>268</v>
      </c>
      <c r="R3249" s="5" t="s">
        <v>270</v>
      </c>
      <c r="S3249" s="5" t="s">
        <v>238</v>
      </c>
      <c r="V3249" s="5" t="s">
        <v>2587</v>
      </c>
      <c r="W3249" s="6" t="s">
        <v>238</v>
      </c>
      <c r="X3249" s="6" t="s">
        <v>238</v>
      </c>
      <c r="Y3249" s="5" t="s">
        <v>238</v>
      </c>
      <c r="Z3249" s="6" t="s">
        <v>238</v>
      </c>
      <c r="AA3249" s="6" t="s">
        <v>6796</v>
      </c>
      <c r="AB3249" s="5" t="s">
        <v>6546</v>
      </c>
      <c r="AC3249" s="5" t="s">
        <v>244</v>
      </c>
      <c r="AD3249" s="5" t="s">
        <v>245</v>
      </c>
      <c r="AJ3249" s="5" t="s">
        <v>238</v>
      </c>
      <c r="AK3249" s="5" t="s">
        <v>238</v>
      </c>
      <c r="AL3249" s="5" t="s">
        <v>238</v>
      </c>
      <c r="AM3249" s="6" t="s">
        <v>238</v>
      </c>
      <c r="AN3249" s="6" t="s">
        <v>238</v>
      </c>
      <c r="AO3249" s="6" t="s">
        <v>238</v>
      </c>
      <c r="AR3249" s="5" t="s">
        <v>488</v>
      </c>
      <c r="AS3249" s="5" t="s">
        <v>488</v>
      </c>
      <c r="AT3249" s="5" t="s">
        <v>246</v>
      </c>
      <c r="AU3249" s="5" t="s">
        <v>489</v>
      </c>
      <c r="AV3249" s="5" t="s">
        <v>247</v>
      </c>
      <c r="AW3249" s="5" t="s">
        <v>600</v>
      </c>
      <c r="AX3249" s="5" t="s">
        <v>249</v>
      </c>
      <c r="AY3249" s="5" t="s">
        <v>490</v>
      </c>
      <c r="BA3249" s="5" t="s">
        <v>238</v>
      </c>
      <c r="BC3249" s="5" t="s">
        <v>491</v>
      </c>
      <c r="BD3249" s="6" t="s">
        <v>6797</v>
      </c>
      <c r="BE3249" s="5" t="s">
        <v>6528</v>
      </c>
      <c r="BF3249" s="5" t="s">
        <v>6529</v>
      </c>
      <c r="BG3249" s="5" t="s">
        <v>238</v>
      </c>
      <c r="BH3249" s="8">
        <f>0</f>
        <v>0</v>
      </c>
      <c r="BI3249" s="8">
        <f>789409</f>
        <v>789409</v>
      </c>
      <c r="BJ3249" s="5" t="s">
        <v>253</v>
      </c>
      <c r="BK3249" s="5" t="s">
        <v>254</v>
      </c>
      <c r="BL3249" s="5" t="s">
        <v>6530</v>
      </c>
      <c r="BM3249" s="5" t="s">
        <v>6531</v>
      </c>
      <c r="BN3249" s="5" t="s">
        <v>6540</v>
      </c>
      <c r="BO3249" s="5" t="s">
        <v>238</v>
      </c>
      <c r="BP3249" s="5" t="s">
        <v>253</v>
      </c>
      <c r="BQ3249" s="5" t="s">
        <v>6532</v>
      </c>
      <c r="BR3249" s="5" t="s">
        <v>6532</v>
      </c>
      <c r="BT3249" s="6" t="s">
        <v>6798</v>
      </c>
      <c r="BU3249" s="5" t="s">
        <v>253</v>
      </c>
      <c r="BV3249" s="5" t="s">
        <v>238</v>
      </c>
      <c r="BW3249" s="5" t="s">
        <v>238</v>
      </c>
      <c r="BX3249" s="5" t="s">
        <v>254</v>
      </c>
      <c r="BY3249" s="5" t="s">
        <v>238</v>
      </c>
      <c r="BZ3249" s="5" t="s">
        <v>238</v>
      </c>
      <c r="CD3249" s="5" t="s">
        <v>238</v>
      </c>
      <c r="CE3249" s="5" t="s">
        <v>238</v>
      </c>
      <c r="CF3249" s="5" t="s">
        <v>261</v>
      </c>
      <c r="CH3249" s="5" t="s">
        <v>238</v>
      </c>
      <c r="CI3249" s="6" t="s">
        <v>257</v>
      </c>
      <c r="CJ3249" s="5" t="s">
        <v>495</v>
      </c>
      <c r="CK3249" s="5" t="s">
        <v>258</v>
      </c>
      <c r="CL3249" s="5" t="s">
        <v>496</v>
      </c>
      <c r="CM3249" s="5" t="s">
        <v>238</v>
      </c>
      <c r="CN3249" s="5">
        <v>0</v>
      </c>
      <c r="CO3249" s="5" t="s">
        <v>497</v>
      </c>
      <c r="CP3249" s="5" t="s">
        <v>260</v>
      </c>
      <c r="CQ3249" s="5" t="s">
        <v>260</v>
      </c>
      <c r="CR3249" s="5" t="s">
        <v>261</v>
      </c>
      <c r="CS3249" s="5" t="s">
        <v>238</v>
      </c>
      <c r="CT3249" s="7">
        <f>1270383</f>
        <v>1270383</v>
      </c>
      <c r="CU3249" s="8">
        <f>1270383</f>
        <v>1270383</v>
      </c>
      <c r="CV3249" s="8">
        <f>0</f>
        <v>0</v>
      </c>
      <c r="CW3249" s="8">
        <f>0</f>
        <v>0</v>
      </c>
      <c r="CX3249" s="8">
        <f>1270383</f>
        <v>1270383</v>
      </c>
      <c r="CY3249" s="8">
        <f>1270383</f>
        <v>1270383</v>
      </c>
      <c r="CZ3249" s="8" t="s">
        <v>238</v>
      </c>
      <c r="DA3249" s="5" t="s">
        <v>238</v>
      </c>
      <c r="DB3249" s="5" t="s">
        <v>238</v>
      </c>
      <c r="DD3249" s="5" t="s">
        <v>238</v>
      </c>
      <c r="DE3249" s="8">
        <f>0</f>
        <v>0</v>
      </c>
      <c r="DF3249" s="6" t="s">
        <v>238</v>
      </c>
      <c r="DG3249" s="5" t="s">
        <v>238</v>
      </c>
      <c r="DH3249" s="5" t="s">
        <v>238</v>
      </c>
      <c r="DI3249" s="5" t="s">
        <v>238</v>
      </c>
      <c r="DJ3249" s="5" t="s">
        <v>238</v>
      </c>
      <c r="DK3249" s="5" t="s">
        <v>238</v>
      </c>
      <c r="DL3249" s="5" t="s">
        <v>238</v>
      </c>
      <c r="DM3249" s="8" t="s">
        <v>238</v>
      </c>
      <c r="DN3249" s="5" t="s">
        <v>238</v>
      </c>
      <c r="DO3249" s="5" t="s">
        <v>244</v>
      </c>
      <c r="DP3249" s="5" t="s">
        <v>490</v>
      </c>
      <c r="DQ3249" s="5" t="s">
        <v>490</v>
      </c>
      <c r="DR3249" s="5" t="s">
        <v>238</v>
      </c>
      <c r="DS3249" s="5" t="s">
        <v>238</v>
      </c>
      <c r="HP3249" s="5" t="s">
        <v>238</v>
      </c>
      <c r="HQ3249" s="5" t="s">
        <v>238</v>
      </c>
      <c r="HR3249" s="5" t="s">
        <v>238</v>
      </c>
      <c r="HS3249" s="5" t="s">
        <v>238</v>
      </c>
      <c r="HT3249" s="5" t="s">
        <v>238</v>
      </c>
      <c r="HU3249" s="5" t="s">
        <v>238</v>
      </c>
      <c r="HV3249" s="5" t="s">
        <v>238</v>
      </c>
      <c r="HW3249" s="5" t="s">
        <v>238</v>
      </c>
      <c r="HX3249" s="5" t="s">
        <v>238</v>
      </c>
      <c r="HY3249" s="5" t="s">
        <v>238</v>
      </c>
      <c r="HZ3249" s="5" t="s">
        <v>238</v>
      </c>
      <c r="IA3249" s="5" t="s">
        <v>238</v>
      </c>
      <c r="IB3249" s="5" t="s">
        <v>238</v>
      </c>
      <c r="IC3249" s="5" t="s">
        <v>238</v>
      </c>
      <c r="ID3249" s="5" t="s">
        <v>238</v>
      </c>
    </row>
    <row r="3250" spans="1:238" x14ac:dyDescent="0.4">
      <c r="A3250" s="5">
        <v>8739</v>
      </c>
      <c r="B3250" s="5">
        <v>1</v>
      </c>
      <c r="C3250" s="5">
        <v>2</v>
      </c>
      <c r="D3250" s="5" t="s">
        <v>2037</v>
      </c>
      <c r="E3250" s="5" t="s">
        <v>271</v>
      </c>
      <c r="F3250" s="5" t="s">
        <v>248</v>
      </c>
      <c r="G3250" s="5" t="s">
        <v>6559</v>
      </c>
      <c r="H3250" s="6" t="s">
        <v>6561</v>
      </c>
      <c r="I3250" s="8">
        <f>1</f>
        <v>1</v>
      </c>
      <c r="J3250" s="5" t="s">
        <v>6542</v>
      </c>
      <c r="K3250" s="8">
        <f>308606</f>
        <v>308606</v>
      </c>
      <c r="L3250" s="6" t="s">
        <v>6560</v>
      </c>
      <c r="M3250" s="5" t="s">
        <v>267</v>
      </c>
      <c r="N3250" s="5" t="s">
        <v>2092</v>
      </c>
      <c r="Q3250" s="5" t="s">
        <v>268</v>
      </c>
      <c r="R3250" s="5" t="s">
        <v>270</v>
      </c>
      <c r="S3250" s="5" t="s">
        <v>238</v>
      </c>
      <c r="V3250" s="5" t="s">
        <v>2587</v>
      </c>
      <c r="W3250" s="6" t="s">
        <v>238</v>
      </c>
      <c r="X3250" s="6" t="s">
        <v>238</v>
      </c>
      <c r="Y3250" s="5" t="s">
        <v>238</v>
      </c>
      <c r="Z3250" s="6" t="s">
        <v>238</v>
      </c>
      <c r="AA3250" s="6" t="s">
        <v>6560</v>
      </c>
      <c r="AB3250" s="5" t="s">
        <v>6546</v>
      </c>
      <c r="AC3250" s="5" t="s">
        <v>244</v>
      </c>
      <c r="AD3250" s="5" t="s">
        <v>245</v>
      </c>
      <c r="AJ3250" s="5" t="s">
        <v>238</v>
      </c>
      <c r="AK3250" s="5" t="s">
        <v>238</v>
      </c>
      <c r="AL3250" s="5" t="s">
        <v>238</v>
      </c>
      <c r="AM3250" s="6" t="s">
        <v>238</v>
      </c>
      <c r="AN3250" s="6" t="s">
        <v>238</v>
      </c>
      <c r="AO3250" s="6" t="s">
        <v>238</v>
      </c>
      <c r="AR3250" s="5" t="s">
        <v>488</v>
      </c>
      <c r="AS3250" s="5" t="s">
        <v>488</v>
      </c>
      <c r="AT3250" s="5" t="s">
        <v>246</v>
      </c>
      <c r="AU3250" s="5" t="s">
        <v>489</v>
      </c>
      <c r="AV3250" s="5" t="s">
        <v>247</v>
      </c>
      <c r="AW3250" s="5" t="s">
        <v>600</v>
      </c>
      <c r="AX3250" s="5" t="s">
        <v>249</v>
      </c>
      <c r="AY3250" s="5" t="s">
        <v>490</v>
      </c>
      <c r="BA3250" s="5" t="s">
        <v>238</v>
      </c>
      <c r="BC3250" s="5" t="s">
        <v>491</v>
      </c>
      <c r="BD3250" s="6" t="s">
        <v>6562</v>
      </c>
      <c r="BE3250" s="5" t="s">
        <v>6528</v>
      </c>
      <c r="BF3250" s="5" t="s">
        <v>6529</v>
      </c>
      <c r="BG3250" s="5" t="s">
        <v>238</v>
      </c>
      <c r="BH3250" s="8">
        <f>0</f>
        <v>0</v>
      </c>
      <c r="BI3250" s="8">
        <f>179800</f>
        <v>179800</v>
      </c>
      <c r="BJ3250" s="5" t="s">
        <v>253</v>
      </c>
      <c r="BK3250" s="5" t="s">
        <v>254</v>
      </c>
      <c r="BL3250" s="5" t="s">
        <v>6530</v>
      </c>
      <c r="BM3250" s="5" t="s">
        <v>6531</v>
      </c>
      <c r="BN3250" s="5" t="s">
        <v>6540</v>
      </c>
      <c r="BO3250" s="5" t="s">
        <v>238</v>
      </c>
      <c r="BP3250" s="5" t="s">
        <v>253</v>
      </c>
      <c r="BQ3250" s="5" t="s">
        <v>6532</v>
      </c>
      <c r="BR3250" s="5" t="s">
        <v>6532</v>
      </c>
      <c r="BT3250" s="6" t="s">
        <v>6563</v>
      </c>
      <c r="BU3250" s="5" t="s">
        <v>253</v>
      </c>
      <c r="BV3250" s="5" t="s">
        <v>238</v>
      </c>
      <c r="BW3250" s="5" t="s">
        <v>238</v>
      </c>
      <c r="BX3250" s="5" t="s">
        <v>254</v>
      </c>
      <c r="BY3250" s="5" t="s">
        <v>238</v>
      </c>
      <c r="BZ3250" s="5" t="s">
        <v>238</v>
      </c>
      <c r="CD3250" s="5" t="s">
        <v>238</v>
      </c>
      <c r="CE3250" s="5" t="s">
        <v>238</v>
      </c>
      <c r="CF3250" s="5" t="s">
        <v>261</v>
      </c>
      <c r="CH3250" s="5" t="s">
        <v>238</v>
      </c>
      <c r="CI3250" s="6" t="s">
        <v>257</v>
      </c>
      <c r="CJ3250" s="5" t="s">
        <v>495</v>
      </c>
      <c r="CK3250" s="5" t="s">
        <v>258</v>
      </c>
      <c r="CL3250" s="5" t="s">
        <v>496</v>
      </c>
      <c r="CM3250" s="5" t="s">
        <v>238</v>
      </c>
      <c r="CN3250" s="5">
        <v>0</v>
      </c>
      <c r="CO3250" s="5" t="s">
        <v>497</v>
      </c>
      <c r="CP3250" s="5" t="s">
        <v>260</v>
      </c>
      <c r="CQ3250" s="5" t="s">
        <v>260</v>
      </c>
      <c r="CR3250" s="5" t="s">
        <v>261</v>
      </c>
      <c r="CS3250" s="5" t="s">
        <v>238</v>
      </c>
      <c r="CT3250" s="7">
        <f>308606</f>
        <v>308606</v>
      </c>
      <c r="CU3250" s="8">
        <f>308606</f>
        <v>308606</v>
      </c>
      <c r="CV3250" s="8">
        <f>0</f>
        <v>0</v>
      </c>
      <c r="CW3250" s="8">
        <f>0</f>
        <v>0</v>
      </c>
      <c r="CX3250" s="8">
        <f>308606</f>
        <v>308606</v>
      </c>
      <c r="CY3250" s="8">
        <f>308606</f>
        <v>308606</v>
      </c>
      <c r="CZ3250" s="8" t="s">
        <v>238</v>
      </c>
      <c r="DA3250" s="5" t="s">
        <v>238</v>
      </c>
      <c r="DB3250" s="5" t="s">
        <v>238</v>
      </c>
      <c r="DD3250" s="5" t="s">
        <v>238</v>
      </c>
      <c r="DE3250" s="8">
        <f>0</f>
        <v>0</v>
      </c>
      <c r="DF3250" s="6" t="s">
        <v>238</v>
      </c>
      <c r="DG3250" s="5" t="s">
        <v>238</v>
      </c>
      <c r="DH3250" s="5" t="s">
        <v>238</v>
      </c>
      <c r="DI3250" s="5" t="s">
        <v>238</v>
      </c>
      <c r="DJ3250" s="5" t="s">
        <v>238</v>
      </c>
      <c r="DK3250" s="5" t="s">
        <v>238</v>
      </c>
      <c r="DL3250" s="5" t="s">
        <v>238</v>
      </c>
      <c r="DM3250" s="8" t="s">
        <v>238</v>
      </c>
      <c r="DN3250" s="5" t="s">
        <v>238</v>
      </c>
      <c r="DO3250" s="5" t="s">
        <v>244</v>
      </c>
      <c r="DP3250" s="5" t="s">
        <v>490</v>
      </c>
      <c r="DQ3250" s="5" t="s">
        <v>490</v>
      </c>
      <c r="DR3250" s="5" t="s">
        <v>238</v>
      </c>
      <c r="DS3250" s="5" t="s">
        <v>238</v>
      </c>
      <c r="HP3250" s="5" t="s">
        <v>238</v>
      </c>
      <c r="HQ3250" s="5" t="s">
        <v>238</v>
      </c>
      <c r="HR3250" s="5" t="s">
        <v>238</v>
      </c>
      <c r="HS3250" s="5" t="s">
        <v>238</v>
      </c>
      <c r="HT3250" s="5" t="s">
        <v>238</v>
      </c>
      <c r="HU3250" s="5" t="s">
        <v>238</v>
      </c>
      <c r="HV3250" s="5" t="s">
        <v>238</v>
      </c>
      <c r="HW3250" s="5" t="s">
        <v>238</v>
      </c>
      <c r="HX3250" s="5" t="s">
        <v>238</v>
      </c>
      <c r="HY3250" s="5" t="s">
        <v>238</v>
      </c>
      <c r="HZ3250" s="5" t="s">
        <v>238</v>
      </c>
      <c r="IA3250" s="5" t="s">
        <v>238</v>
      </c>
      <c r="IB3250" s="5" t="s">
        <v>238</v>
      </c>
      <c r="IC3250" s="5" t="s">
        <v>238</v>
      </c>
      <c r="ID3250" s="5" t="s">
        <v>238</v>
      </c>
    </row>
    <row r="3251" spans="1:238" x14ac:dyDescent="0.4">
      <c r="A3251" s="5">
        <v>8740</v>
      </c>
      <c r="B3251" s="5">
        <v>1</v>
      </c>
      <c r="C3251" s="5">
        <v>2</v>
      </c>
      <c r="D3251" s="5" t="s">
        <v>2037</v>
      </c>
      <c r="E3251" s="5" t="s">
        <v>271</v>
      </c>
      <c r="F3251" s="5" t="s">
        <v>248</v>
      </c>
      <c r="G3251" s="5" t="s">
        <v>6682</v>
      </c>
      <c r="H3251" s="6" t="s">
        <v>6684</v>
      </c>
      <c r="I3251" s="8">
        <f>1</f>
        <v>1</v>
      </c>
      <c r="J3251" s="5" t="s">
        <v>6542</v>
      </c>
      <c r="K3251" s="8">
        <f>133600</f>
        <v>133600</v>
      </c>
      <c r="L3251" s="6" t="s">
        <v>6683</v>
      </c>
      <c r="M3251" s="5" t="s">
        <v>267</v>
      </c>
      <c r="N3251" s="5" t="s">
        <v>2092</v>
      </c>
      <c r="Q3251" s="5" t="s">
        <v>268</v>
      </c>
      <c r="R3251" s="5" t="s">
        <v>270</v>
      </c>
      <c r="S3251" s="5" t="s">
        <v>238</v>
      </c>
      <c r="V3251" s="5" t="s">
        <v>2587</v>
      </c>
      <c r="W3251" s="6" t="s">
        <v>238</v>
      </c>
      <c r="X3251" s="6" t="s">
        <v>238</v>
      </c>
      <c r="Y3251" s="5" t="s">
        <v>238</v>
      </c>
      <c r="Z3251" s="6" t="s">
        <v>238</v>
      </c>
      <c r="AA3251" s="6" t="s">
        <v>6683</v>
      </c>
      <c r="AB3251" s="5" t="s">
        <v>6546</v>
      </c>
      <c r="AC3251" s="5" t="s">
        <v>244</v>
      </c>
      <c r="AD3251" s="5" t="s">
        <v>245</v>
      </c>
      <c r="AJ3251" s="5" t="s">
        <v>238</v>
      </c>
      <c r="AK3251" s="5" t="s">
        <v>238</v>
      </c>
      <c r="AL3251" s="5" t="s">
        <v>238</v>
      </c>
      <c r="AM3251" s="6" t="s">
        <v>238</v>
      </c>
      <c r="AN3251" s="6" t="s">
        <v>238</v>
      </c>
      <c r="AO3251" s="6" t="s">
        <v>238</v>
      </c>
      <c r="AR3251" s="5" t="s">
        <v>488</v>
      </c>
      <c r="AS3251" s="5" t="s">
        <v>488</v>
      </c>
      <c r="AT3251" s="5" t="s">
        <v>246</v>
      </c>
      <c r="AU3251" s="5" t="s">
        <v>489</v>
      </c>
      <c r="AV3251" s="5" t="s">
        <v>247</v>
      </c>
      <c r="AW3251" s="5" t="s">
        <v>600</v>
      </c>
      <c r="AX3251" s="5" t="s">
        <v>249</v>
      </c>
      <c r="AY3251" s="5" t="s">
        <v>490</v>
      </c>
      <c r="BA3251" s="5" t="s">
        <v>238</v>
      </c>
      <c r="BC3251" s="5" t="s">
        <v>491</v>
      </c>
      <c r="BD3251" s="6" t="s">
        <v>6669</v>
      </c>
      <c r="BE3251" s="5" t="s">
        <v>6528</v>
      </c>
      <c r="BF3251" s="5" t="s">
        <v>6529</v>
      </c>
      <c r="BG3251" s="5" t="s">
        <v>238</v>
      </c>
      <c r="BH3251" s="8">
        <f>0</f>
        <v>0</v>
      </c>
      <c r="BI3251" s="8">
        <f>133600</f>
        <v>133600</v>
      </c>
      <c r="BJ3251" s="5" t="s">
        <v>253</v>
      </c>
      <c r="BK3251" s="5" t="s">
        <v>254</v>
      </c>
      <c r="BL3251" s="5" t="s">
        <v>6530</v>
      </c>
      <c r="BM3251" s="5" t="s">
        <v>6531</v>
      </c>
      <c r="BN3251" s="5" t="s">
        <v>6540</v>
      </c>
      <c r="BO3251" s="5" t="s">
        <v>238</v>
      </c>
      <c r="BP3251" s="5" t="s">
        <v>253</v>
      </c>
      <c r="BQ3251" s="5" t="s">
        <v>6532</v>
      </c>
      <c r="BR3251" s="5" t="s">
        <v>6532</v>
      </c>
      <c r="BT3251" s="6" t="s">
        <v>6685</v>
      </c>
      <c r="BU3251" s="5" t="s">
        <v>253</v>
      </c>
      <c r="BV3251" s="5" t="s">
        <v>238</v>
      </c>
      <c r="BW3251" s="5" t="s">
        <v>238</v>
      </c>
      <c r="BX3251" s="5" t="s">
        <v>254</v>
      </c>
      <c r="BY3251" s="5" t="s">
        <v>238</v>
      </c>
      <c r="BZ3251" s="5" t="s">
        <v>238</v>
      </c>
      <c r="CD3251" s="5" t="s">
        <v>238</v>
      </c>
      <c r="CE3251" s="5" t="s">
        <v>238</v>
      </c>
      <c r="CF3251" s="5" t="s">
        <v>261</v>
      </c>
      <c r="CH3251" s="5" t="s">
        <v>238</v>
      </c>
      <c r="CI3251" s="6" t="s">
        <v>257</v>
      </c>
      <c r="CJ3251" s="5" t="s">
        <v>495</v>
      </c>
      <c r="CK3251" s="5" t="s">
        <v>258</v>
      </c>
      <c r="CL3251" s="5" t="s">
        <v>496</v>
      </c>
      <c r="CM3251" s="5" t="s">
        <v>238</v>
      </c>
      <c r="CN3251" s="5">
        <v>0</v>
      </c>
      <c r="CO3251" s="5" t="s">
        <v>497</v>
      </c>
      <c r="CP3251" s="5" t="s">
        <v>260</v>
      </c>
      <c r="CQ3251" s="5" t="s">
        <v>260</v>
      </c>
      <c r="CR3251" s="5" t="s">
        <v>261</v>
      </c>
      <c r="CS3251" s="5" t="s">
        <v>238</v>
      </c>
      <c r="CT3251" s="7">
        <f>133600</f>
        <v>133600</v>
      </c>
      <c r="CU3251" s="8">
        <f>133600</f>
        <v>133600</v>
      </c>
      <c r="CV3251" s="8">
        <f>0</f>
        <v>0</v>
      </c>
      <c r="CW3251" s="8">
        <f>0</f>
        <v>0</v>
      </c>
      <c r="CX3251" s="8">
        <f>133600</f>
        <v>133600</v>
      </c>
      <c r="CY3251" s="8">
        <f>133600</f>
        <v>133600</v>
      </c>
      <c r="CZ3251" s="8" t="s">
        <v>238</v>
      </c>
      <c r="DA3251" s="5" t="s">
        <v>238</v>
      </c>
      <c r="DB3251" s="5" t="s">
        <v>238</v>
      </c>
      <c r="DD3251" s="5" t="s">
        <v>238</v>
      </c>
      <c r="DE3251" s="8">
        <f>0</f>
        <v>0</v>
      </c>
      <c r="DF3251" s="6" t="s">
        <v>238</v>
      </c>
      <c r="DG3251" s="5" t="s">
        <v>238</v>
      </c>
      <c r="DH3251" s="5" t="s">
        <v>238</v>
      </c>
      <c r="DI3251" s="5" t="s">
        <v>238</v>
      </c>
      <c r="DJ3251" s="5" t="s">
        <v>238</v>
      </c>
      <c r="DK3251" s="5" t="s">
        <v>238</v>
      </c>
      <c r="DL3251" s="5" t="s">
        <v>238</v>
      </c>
      <c r="DM3251" s="8" t="s">
        <v>238</v>
      </c>
      <c r="DN3251" s="5" t="s">
        <v>238</v>
      </c>
      <c r="DO3251" s="5" t="s">
        <v>244</v>
      </c>
      <c r="DP3251" s="5" t="s">
        <v>490</v>
      </c>
      <c r="DQ3251" s="5" t="s">
        <v>490</v>
      </c>
      <c r="DR3251" s="5" t="s">
        <v>238</v>
      </c>
      <c r="DS3251" s="5" t="s">
        <v>238</v>
      </c>
      <c r="HP3251" s="5" t="s">
        <v>238</v>
      </c>
      <c r="HQ3251" s="5" t="s">
        <v>238</v>
      </c>
      <c r="HR3251" s="5" t="s">
        <v>238</v>
      </c>
      <c r="HS3251" s="5" t="s">
        <v>238</v>
      </c>
      <c r="HT3251" s="5" t="s">
        <v>238</v>
      </c>
      <c r="HU3251" s="5" t="s">
        <v>238</v>
      </c>
      <c r="HV3251" s="5" t="s">
        <v>238</v>
      </c>
      <c r="HW3251" s="5" t="s">
        <v>238</v>
      </c>
      <c r="HX3251" s="5" t="s">
        <v>238</v>
      </c>
      <c r="HY3251" s="5" t="s">
        <v>238</v>
      </c>
      <c r="HZ3251" s="5" t="s">
        <v>238</v>
      </c>
      <c r="IA3251" s="5" t="s">
        <v>238</v>
      </c>
      <c r="IB3251" s="5" t="s">
        <v>238</v>
      </c>
      <c r="IC3251" s="5" t="s">
        <v>238</v>
      </c>
      <c r="ID3251" s="5" t="s">
        <v>238</v>
      </c>
    </row>
    <row r="3252" spans="1:238" x14ac:dyDescent="0.4">
      <c r="A3252" s="5">
        <v>8749</v>
      </c>
      <c r="B3252" s="5">
        <v>1</v>
      </c>
      <c r="C3252" s="5">
        <v>2</v>
      </c>
      <c r="D3252" s="5" t="s">
        <v>6607</v>
      </c>
      <c r="E3252" s="5" t="s">
        <v>271</v>
      </c>
      <c r="F3252" s="5" t="s">
        <v>248</v>
      </c>
      <c r="G3252" s="5" t="s">
        <v>6850</v>
      </c>
      <c r="H3252" s="6" t="s">
        <v>6853</v>
      </c>
      <c r="I3252" s="8">
        <f>0</f>
        <v>0</v>
      </c>
      <c r="J3252" s="5" t="s">
        <v>265</v>
      </c>
      <c r="K3252" s="8">
        <f>199276</f>
        <v>199276</v>
      </c>
      <c r="L3252" s="6" t="s">
        <v>6851</v>
      </c>
      <c r="M3252" s="5" t="s">
        <v>267</v>
      </c>
      <c r="N3252" s="5" t="s">
        <v>238</v>
      </c>
      <c r="Q3252" s="5" t="s">
        <v>239</v>
      </c>
      <c r="R3252" s="5" t="s">
        <v>270</v>
      </c>
      <c r="S3252" s="5" t="s">
        <v>238</v>
      </c>
      <c r="V3252" s="5" t="s">
        <v>271</v>
      </c>
      <c r="W3252" s="6" t="s">
        <v>238</v>
      </c>
      <c r="X3252" s="6" t="s">
        <v>238</v>
      </c>
      <c r="Y3252" s="5" t="s">
        <v>238</v>
      </c>
      <c r="Z3252" s="6" t="s">
        <v>238</v>
      </c>
      <c r="AA3252" s="6" t="s">
        <v>6851</v>
      </c>
      <c r="AB3252" s="5" t="s">
        <v>6852</v>
      </c>
      <c r="AC3252" s="5" t="s">
        <v>244</v>
      </c>
      <c r="AD3252" s="5" t="s">
        <v>245</v>
      </c>
      <c r="AJ3252" s="5" t="s">
        <v>238</v>
      </c>
      <c r="AK3252" s="5" t="s">
        <v>238</v>
      </c>
      <c r="AL3252" s="5" t="s">
        <v>238</v>
      </c>
      <c r="AM3252" s="6" t="s">
        <v>238</v>
      </c>
      <c r="AN3252" s="6" t="s">
        <v>238</v>
      </c>
      <c r="AO3252" s="6" t="s">
        <v>238</v>
      </c>
      <c r="AR3252" s="5" t="s">
        <v>488</v>
      </c>
      <c r="AS3252" s="5" t="s">
        <v>488</v>
      </c>
      <c r="AT3252" s="5" t="s">
        <v>246</v>
      </c>
      <c r="AU3252" s="5" t="s">
        <v>489</v>
      </c>
      <c r="AV3252" s="5" t="s">
        <v>247</v>
      </c>
      <c r="AW3252" s="5" t="s">
        <v>600</v>
      </c>
      <c r="AX3252" s="5" t="s">
        <v>249</v>
      </c>
      <c r="AY3252" s="5" t="s">
        <v>490</v>
      </c>
      <c r="BA3252" s="5" t="s">
        <v>238</v>
      </c>
      <c r="BC3252" s="5" t="s">
        <v>491</v>
      </c>
      <c r="BD3252" s="6" t="s">
        <v>6851</v>
      </c>
      <c r="BE3252" s="5" t="s">
        <v>6528</v>
      </c>
      <c r="BF3252" s="5" t="s">
        <v>6529</v>
      </c>
      <c r="BG3252" s="5" t="s">
        <v>238</v>
      </c>
      <c r="BH3252" s="8">
        <f>0</f>
        <v>0</v>
      </c>
      <c r="BI3252" s="8">
        <f>199276</f>
        <v>199276</v>
      </c>
      <c r="BJ3252" s="5" t="s">
        <v>253</v>
      </c>
      <c r="BK3252" s="5" t="s">
        <v>254</v>
      </c>
      <c r="BL3252" s="5" t="s">
        <v>6530</v>
      </c>
      <c r="BM3252" s="5" t="s">
        <v>6531</v>
      </c>
      <c r="BN3252" s="5" t="s">
        <v>6531</v>
      </c>
      <c r="BO3252" s="5" t="s">
        <v>238</v>
      </c>
      <c r="BP3252" s="5" t="s">
        <v>253</v>
      </c>
      <c r="BQ3252" s="5" t="s">
        <v>6532</v>
      </c>
      <c r="BR3252" s="5" t="s">
        <v>6532</v>
      </c>
      <c r="BT3252" s="6" t="s">
        <v>6854</v>
      </c>
      <c r="BU3252" s="5" t="s">
        <v>253</v>
      </c>
      <c r="BV3252" s="5" t="s">
        <v>238</v>
      </c>
      <c r="BW3252" s="5" t="s">
        <v>238</v>
      </c>
      <c r="BX3252" s="5" t="s">
        <v>254</v>
      </c>
      <c r="BY3252" s="5" t="s">
        <v>238</v>
      </c>
      <c r="BZ3252" s="5" t="s">
        <v>238</v>
      </c>
      <c r="CD3252" s="5" t="s">
        <v>238</v>
      </c>
      <c r="CE3252" s="5" t="s">
        <v>238</v>
      </c>
      <c r="CF3252" s="5" t="s">
        <v>261</v>
      </c>
      <c r="CH3252" s="5" t="s">
        <v>238</v>
      </c>
      <c r="CI3252" s="6" t="s">
        <v>257</v>
      </c>
      <c r="CJ3252" s="5" t="s">
        <v>495</v>
      </c>
      <c r="CK3252" s="5" t="s">
        <v>258</v>
      </c>
      <c r="CL3252" s="5" t="s">
        <v>496</v>
      </c>
      <c r="CM3252" s="5" t="s">
        <v>238</v>
      </c>
      <c r="CN3252" s="5">
        <v>0</v>
      </c>
      <c r="CO3252" s="5" t="s">
        <v>497</v>
      </c>
      <c r="CP3252" s="5" t="s">
        <v>260</v>
      </c>
      <c r="CQ3252" s="5" t="s">
        <v>260</v>
      </c>
      <c r="CR3252" s="5" t="s">
        <v>261</v>
      </c>
      <c r="CS3252" s="5" t="s">
        <v>238</v>
      </c>
      <c r="CT3252" s="7">
        <f>0</f>
        <v>0</v>
      </c>
      <c r="CU3252" s="8">
        <f>199276</f>
        <v>199276</v>
      </c>
      <c r="CV3252" s="8">
        <f>0</f>
        <v>0</v>
      </c>
      <c r="CW3252" s="8">
        <f>0</f>
        <v>0</v>
      </c>
      <c r="CX3252" s="8">
        <f>199276</f>
        <v>199276</v>
      </c>
      <c r="CY3252" s="8">
        <f>199276</f>
        <v>199276</v>
      </c>
      <c r="CZ3252" s="8" t="s">
        <v>238</v>
      </c>
      <c r="DA3252" s="5" t="s">
        <v>238</v>
      </c>
      <c r="DB3252" s="5" t="s">
        <v>238</v>
      </c>
      <c r="DD3252" s="5" t="s">
        <v>238</v>
      </c>
      <c r="DE3252" s="8">
        <f>0</f>
        <v>0</v>
      </c>
      <c r="DF3252" s="6" t="s">
        <v>238</v>
      </c>
      <c r="DG3252" s="5" t="s">
        <v>238</v>
      </c>
      <c r="DH3252" s="5" t="s">
        <v>238</v>
      </c>
      <c r="DI3252" s="5" t="s">
        <v>238</v>
      </c>
      <c r="DJ3252" s="5" t="s">
        <v>238</v>
      </c>
      <c r="DK3252" s="5" t="s">
        <v>238</v>
      </c>
      <c r="DL3252" s="5" t="s">
        <v>238</v>
      </c>
      <c r="DM3252" s="8" t="s">
        <v>238</v>
      </c>
      <c r="DN3252" s="5" t="s">
        <v>238</v>
      </c>
      <c r="DO3252" s="5" t="s">
        <v>244</v>
      </c>
      <c r="DP3252" s="5" t="s">
        <v>490</v>
      </c>
      <c r="DQ3252" s="5" t="s">
        <v>490</v>
      </c>
      <c r="DR3252" s="5" t="s">
        <v>238</v>
      </c>
      <c r="DS3252" s="5" t="s">
        <v>238</v>
      </c>
      <c r="HP3252" s="5" t="s">
        <v>238</v>
      </c>
      <c r="HQ3252" s="5" t="s">
        <v>238</v>
      </c>
      <c r="HR3252" s="5" t="s">
        <v>238</v>
      </c>
      <c r="HS3252" s="5" t="s">
        <v>238</v>
      </c>
      <c r="HT3252" s="5" t="s">
        <v>238</v>
      </c>
      <c r="HU3252" s="5" t="s">
        <v>238</v>
      </c>
      <c r="HV3252" s="5" t="s">
        <v>238</v>
      </c>
      <c r="HW3252" s="5" t="s">
        <v>238</v>
      </c>
      <c r="HX3252" s="5" t="s">
        <v>238</v>
      </c>
      <c r="HY3252" s="5" t="s">
        <v>238</v>
      </c>
      <c r="HZ3252" s="5" t="s">
        <v>238</v>
      </c>
      <c r="IA3252" s="5" t="s">
        <v>238</v>
      </c>
      <c r="IB3252" s="5" t="s">
        <v>238</v>
      </c>
      <c r="IC3252" s="5" t="s">
        <v>238</v>
      </c>
      <c r="ID3252" s="5" t="s">
        <v>238</v>
      </c>
    </row>
    <row r="3253" spans="1:238" x14ac:dyDescent="0.4">
      <c r="A3253" s="5">
        <v>8750</v>
      </c>
      <c r="B3253" s="5">
        <v>1</v>
      </c>
      <c r="C3253" s="5">
        <v>3</v>
      </c>
      <c r="D3253" s="5" t="s">
        <v>6607</v>
      </c>
      <c r="E3253" s="5" t="s">
        <v>271</v>
      </c>
      <c r="F3253" s="5" t="s">
        <v>248</v>
      </c>
      <c r="G3253" s="5" t="s">
        <v>6718</v>
      </c>
      <c r="H3253" s="6" t="s">
        <v>238</v>
      </c>
      <c r="I3253" s="8">
        <f>0</f>
        <v>0</v>
      </c>
      <c r="J3253" s="5" t="s">
        <v>265</v>
      </c>
      <c r="K3253" s="8">
        <f>330000</f>
        <v>330000</v>
      </c>
      <c r="L3253" s="6" t="s">
        <v>6719</v>
      </c>
      <c r="M3253" s="5" t="s">
        <v>267</v>
      </c>
      <c r="N3253" s="5" t="s">
        <v>237</v>
      </c>
      <c r="Q3253" s="5" t="s">
        <v>239</v>
      </c>
      <c r="R3253" s="5" t="s">
        <v>270</v>
      </c>
      <c r="S3253" s="5" t="s">
        <v>238</v>
      </c>
      <c r="V3253" s="5" t="s">
        <v>271</v>
      </c>
      <c r="W3253" s="6" t="s">
        <v>238</v>
      </c>
      <c r="X3253" s="6" t="s">
        <v>238</v>
      </c>
      <c r="Y3253" s="5" t="s">
        <v>238</v>
      </c>
      <c r="Z3253" s="6" t="s">
        <v>238</v>
      </c>
      <c r="AA3253" s="6" t="s">
        <v>6719</v>
      </c>
      <c r="AB3253" s="5" t="s">
        <v>6720</v>
      </c>
      <c r="AC3253" s="5" t="s">
        <v>244</v>
      </c>
      <c r="AD3253" s="5" t="s">
        <v>245</v>
      </c>
      <c r="AJ3253" s="5" t="s">
        <v>238</v>
      </c>
      <c r="AK3253" s="5" t="s">
        <v>238</v>
      </c>
      <c r="AL3253" s="5" t="s">
        <v>238</v>
      </c>
      <c r="AM3253" s="6" t="s">
        <v>238</v>
      </c>
      <c r="AN3253" s="6" t="s">
        <v>238</v>
      </c>
      <c r="AO3253" s="6" t="s">
        <v>238</v>
      </c>
      <c r="AR3253" s="5" t="s">
        <v>488</v>
      </c>
      <c r="AS3253" s="5" t="s">
        <v>488</v>
      </c>
      <c r="AT3253" s="5" t="s">
        <v>246</v>
      </c>
      <c r="AU3253" s="5" t="s">
        <v>489</v>
      </c>
      <c r="AV3253" s="5" t="s">
        <v>247</v>
      </c>
      <c r="AW3253" s="5" t="s">
        <v>600</v>
      </c>
      <c r="AX3253" s="5" t="s">
        <v>249</v>
      </c>
      <c r="AY3253" s="5" t="s">
        <v>490</v>
      </c>
      <c r="BA3253" s="5" t="s">
        <v>238</v>
      </c>
      <c r="BC3253" s="5" t="s">
        <v>491</v>
      </c>
      <c r="BD3253" s="6" t="s">
        <v>6719</v>
      </c>
      <c r="BE3253" s="5" t="s">
        <v>6528</v>
      </c>
      <c r="BF3253" s="5" t="s">
        <v>6529</v>
      </c>
      <c r="BG3253" s="5" t="s">
        <v>238</v>
      </c>
      <c r="BH3253" s="8">
        <f>0</f>
        <v>0</v>
      </c>
      <c r="BI3253" s="8">
        <f>330000</f>
        <v>330000</v>
      </c>
      <c r="BJ3253" s="5" t="s">
        <v>253</v>
      </c>
      <c r="BK3253" s="5" t="s">
        <v>254</v>
      </c>
      <c r="BL3253" s="5" t="s">
        <v>6530</v>
      </c>
      <c r="BM3253" s="5" t="s">
        <v>6531</v>
      </c>
      <c r="BN3253" s="5" t="s">
        <v>6531</v>
      </c>
      <c r="BO3253" s="5" t="s">
        <v>238</v>
      </c>
      <c r="BP3253" s="5" t="s">
        <v>253</v>
      </c>
      <c r="BQ3253" s="5" t="s">
        <v>6532</v>
      </c>
      <c r="BR3253" s="5" t="s">
        <v>6532</v>
      </c>
      <c r="BT3253" s="6" t="s">
        <v>6721</v>
      </c>
      <c r="BU3253" s="5" t="s">
        <v>253</v>
      </c>
      <c r="BV3253" s="5" t="s">
        <v>238</v>
      </c>
      <c r="BW3253" s="5" t="s">
        <v>238</v>
      </c>
      <c r="BX3253" s="5" t="s">
        <v>254</v>
      </c>
      <c r="BY3253" s="5" t="s">
        <v>238</v>
      </c>
      <c r="BZ3253" s="5" t="s">
        <v>238</v>
      </c>
      <c r="CD3253" s="5" t="s">
        <v>238</v>
      </c>
      <c r="CE3253" s="5" t="s">
        <v>238</v>
      </c>
      <c r="CF3253" s="5" t="s">
        <v>261</v>
      </c>
      <c r="CH3253" s="5" t="s">
        <v>238</v>
      </c>
      <c r="CI3253" s="6" t="s">
        <v>257</v>
      </c>
      <c r="CJ3253" s="5" t="s">
        <v>495</v>
      </c>
      <c r="CK3253" s="5" t="s">
        <v>6520</v>
      </c>
      <c r="CL3253" s="5" t="s">
        <v>496</v>
      </c>
      <c r="CM3253" s="5" t="s">
        <v>238</v>
      </c>
      <c r="CN3253" s="5">
        <v>0</v>
      </c>
      <c r="CO3253" s="5" t="s">
        <v>497</v>
      </c>
      <c r="CP3253" s="5" t="s">
        <v>260</v>
      </c>
      <c r="CQ3253" s="5" t="s">
        <v>260</v>
      </c>
      <c r="CR3253" s="5" t="s">
        <v>261</v>
      </c>
      <c r="CS3253" s="5" t="s">
        <v>238</v>
      </c>
      <c r="CT3253" s="7">
        <f>0</f>
        <v>0</v>
      </c>
      <c r="CU3253" s="8">
        <f>330000</f>
        <v>330000</v>
      </c>
      <c r="CV3253" s="8">
        <f>0</f>
        <v>0</v>
      </c>
      <c r="CW3253" s="8">
        <f>0</f>
        <v>0</v>
      </c>
      <c r="CX3253" s="8">
        <f>0</f>
        <v>0</v>
      </c>
      <c r="CY3253" s="8">
        <f>330000</f>
        <v>330000</v>
      </c>
      <c r="CZ3253" s="8" t="s">
        <v>238</v>
      </c>
      <c r="DA3253" s="5" t="s">
        <v>238</v>
      </c>
      <c r="DB3253" s="5" t="s">
        <v>238</v>
      </c>
      <c r="DD3253" s="5" t="s">
        <v>238</v>
      </c>
      <c r="DE3253" s="8">
        <f>0</f>
        <v>0</v>
      </c>
      <c r="DF3253" s="6" t="s">
        <v>238</v>
      </c>
      <c r="DG3253" s="5" t="s">
        <v>238</v>
      </c>
      <c r="DH3253" s="5" t="s">
        <v>238</v>
      </c>
      <c r="DI3253" s="5" t="s">
        <v>238</v>
      </c>
      <c r="DJ3253" s="5" t="s">
        <v>238</v>
      </c>
      <c r="DK3253" s="5" t="s">
        <v>238</v>
      </c>
      <c r="DL3253" s="5" t="s">
        <v>238</v>
      </c>
      <c r="DM3253" s="8" t="s">
        <v>238</v>
      </c>
      <c r="DN3253" s="5" t="s">
        <v>238</v>
      </c>
      <c r="DO3253" s="5" t="s">
        <v>244</v>
      </c>
      <c r="DP3253" s="5" t="s">
        <v>490</v>
      </c>
      <c r="DQ3253" s="5" t="s">
        <v>490</v>
      </c>
      <c r="DR3253" s="5" t="s">
        <v>238</v>
      </c>
      <c r="DS3253" s="5" t="s">
        <v>238</v>
      </c>
      <c r="HP3253" s="5" t="s">
        <v>238</v>
      </c>
      <c r="HQ3253" s="5" t="s">
        <v>238</v>
      </c>
      <c r="HR3253" s="5" t="s">
        <v>238</v>
      </c>
      <c r="HS3253" s="5" t="s">
        <v>238</v>
      </c>
      <c r="HT3253" s="5" t="s">
        <v>238</v>
      </c>
      <c r="HU3253" s="5" t="s">
        <v>238</v>
      </c>
      <c r="HV3253" s="5" t="s">
        <v>238</v>
      </c>
      <c r="HW3253" s="5" t="s">
        <v>238</v>
      </c>
      <c r="HX3253" s="5" t="s">
        <v>238</v>
      </c>
      <c r="HY3253" s="5" t="s">
        <v>238</v>
      </c>
      <c r="HZ3253" s="5" t="s">
        <v>238</v>
      </c>
      <c r="IA3253" s="5" t="s">
        <v>238</v>
      </c>
      <c r="IB3253" s="5" t="s">
        <v>238</v>
      </c>
      <c r="IC3253" s="5" t="s">
        <v>238</v>
      </c>
      <c r="ID3253" s="5" t="s">
        <v>238</v>
      </c>
    </row>
    <row r="3254" spans="1:238" x14ac:dyDescent="0.4">
      <c r="A3254" s="5">
        <v>8751</v>
      </c>
      <c r="B3254" s="5">
        <v>1</v>
      </c>
      <c r="C3254" s="5">
        <v>2</v>
      </c>
      <c r="D3254" s="5" t="s">
        <v>6607</v>
      </c>
      <c r="E3254" s="5" t="s">
        <v>271</v>
      </c>
      <c r="F3254" s="5" t="s">
        <v>248</v>
      </c>
      <c r="G3254" s="5" t="s">
        <v>6911</v>
      </c>
      <c r="H3254" s="6" t="s">
        <v>6914</v>
      </c>
      <c r="I3254" s="8">
        <f>0</f>
        <v>0</v>
      </c>
      <c r="J3254" s="5" t="s">
        <v>265</v>
      </c>
      <c r="K3254" s="8">
        <f>104500</f>
        <v>104500</v>
      </c>
      <c r="L3254" s="6" t="s">
        <v>6912</v>
      </c>
      <c r="M3254" s="5" t="s">
        <v>267</v>
      </c>
      <c r="N3254" s="5" t="s">
        <v>238</v>
      </c>
      <c r="Q3254" s="5" t="s">
        <v>239</v>
      </c>
      <c r="R3254" s="5" t="s">
        <v>270</v>
      </c>
      <c r="S3254" s="5" t="s">
        <v>238</v>
      </c>
      <c r="V3254" s="5" t="s">
        <v>271</v>
      </c>
      <c r="W3254" s="6" t="s">
        <v>238</v>
      </c>
      <c r="X3254" s="6" t="s">
        <v>238</v>
      </c>
      <c r="Y3254" s="5" t="s">
        <v>238</v>
      </c>
      <c r="Z3254" s="6" t="s">
        <v>238</v>
      </c>
      <c r="AA3254" s="6" t="s">
        <v>6912</v>
      </c>
      <c r="AB3254" s="5" t="s">
        <v>6913</v>
      </c>
      <c r="AC3254" s="5" t="s">
        <v>244</v>
      </c>
      <c r="AD3254" s="5" t="s">
        <v>245</v>
      </c>
      <c r="AJ3254" s="5" t="s">
        <v>238</v>
      </c>
      <c r="AK3254" s="5" t="s">
        <v>238</v>
      </c>
      <c r="AL3254" s="5" t="s">
        <v>238</v>
      </c>
      <c r="AM3254" s="6" t="s">
        <v>238</v>
      </c>
      <c r="AN3254" s="6" t="s">
        <v>238</v>
      </c>
      <c r="AO3254" s="6" t="s">
        <v>238</v>
      </c>
      <c r="AR3254" s="5" t="s">
        <v>488</v>
      </c>
      <c r="AS3254" s="5" t="s">
        <v>488</v>
      </c>
      <c r="AT3254" s="5" t="s">
        <v>246</v>
      </c>
      <c r="AU3254" s="5" t="s">
        <v>489</v>
      </c>
      <c r="AV3254" s="5" t="s">
        <v>247</v>
      </c>
      <c r="AW3254" s="5" t="s">
        <v>600</v>
      </c>
      <c r="AX3254" s="5" t="s">
        <v>249</v>
      </c>
      <c r="AY3254" s="5" t="s">
        <v>490</v>
      </c>
      <c r="BA3254" s="5" t="s">
        <v>238</v>
      </c>
      <c r="BC3254" s="5" t="s">
        <v>491</v>
      </c>
      <c r="BD3254" s="6" t="s">
        <v>6912</v>
      </c>
      <c r="BE3254" s="5" t="s">
        <v>6528</v>
      </c>
      <c r="BF3254" s="5" t="s">
        <v>6529</v>
      </c>
      <c r="BG3254" s="5" t="s">
        <v>238</v>
      </c>
      <c r="BH3254" s="8">
        <f>0</f>
        <v>0</v>
      </c>
      <c r="BI3254" s="8">
        <f>104500</f>
        <v>104500</v>
      </c>
      <c r="BJ3254" s="5" t="s">
        <v>253</v>
      </c>
      <c r="BK3254" s="5" t="s">
        <v>254</v>
      </c>
      <c r="BL3254" s="5" t="s">
        <v>6530</v>
      </c>
      <c r="BM3254" s="5" t="s">
        <v>6531</v>
      </c>
      <c r="BN3254" s="5" t="s">
        <v>6531</v>
      </c>
      <c r="BO3254" s="5" t="s">
        <v>238</v>
      </c>
      <c r="BP3254" s="5" t="s">
        <v>253</v>
      </c>
      <c r="BQ3254" s="5" t="s">
        <v>6532</v>
      </c>
      <c r="BR3254" s="5" t="s">
        <v>6532</v>
      </c>
      <c r="BT3254" s="6" t="s">
        <v>6915</v>
      </c>
      <c r="BU3254" s="5" t="s">
        <v>253</v>
      </c>
      <c r="BV3254" s="5" t="s">
        <v>238</v>
      </c>
      <c r="BW3254" s="5" t="s">
        <v>238</v>
      </c>
      <c r="BX3254" s="5" t="s">
        <v>254</v>
      </c>
      <c r="BY3254" s="5" t="s">
        <v>238</v>
      </c>
      <c r="BZ3254" s="5" t="s">
        <v>238</v>
      </c>
      <c r="CD3254" s="5" t="s">
        <v>238</v>
      </c>
      <c r="CE3254" s="5" t="s">
        <v>238</v>
      </c>
      <c r="CF3254" s="5" t="s">
        <v>261</v>
      </c>
      <c r="CH3254" s="5" t="s">
        <v>238</v>
      </c>
      <c r="CI3254" s="6" t="s">
        <v>257</v>
      </c>
      <c r="CJ3254" s="5" t="s">
        <v>495</v>
      </c>
      <c r="CK3254" s="5" t="s">
        <v>258</v>
      </c>
      <c r="CL3254" s="5" t="s">
        <v>496</v>
      </c>
      <c r="CM3254" s="5" t="s">
        <v>238</v>
      </c>
      <c r="CN3254" s="5">
        <v>0</v>
      </c>
      <c r="CO3254" s="5" t="s">
        <v>497</v>
      </c>
      <c r="CP3254" s="5" t="s">
        <v>260</v>
      </c>
      <c r="CQ3254" s="5" t="s">
        <v>260</v>
      </c>
      <c r="CR3254" s="5" t="s">
        <v>261</v>
      </c>
      <c r="CS3254" s="5" t="s">
        <v>238</v>
      </c>
      <c r="CT3254" s="7">
        <f>0</f>
        <v>0</v>
      </c>
      <c r="CU3254" s="8">
        <f>104500</f>
        <v>104500</v>
      </c>
      <c r="CV3254" s="8">
        <f>0</f>
        <v>0</v>
      </c>
      <c r="CW3254" s="8">
        <f>0</f>
        <v>0</v>
      </c>
      <c r="CX3254" s="8">
        <f>104500</f>
        <v>104500</v>
      </c>
      <c r="CY3254" s="8">
        <f>104500</f>
        <v>104500</v>
      </c>
      <c r="CZ3254" s="8" t="s">
        <v>238</v>
      </c>
      <c r="DA3254" s="5" t="s">
        <v>238</v>
      </c>
      <c r="DB3254" s="5" t="s">
        <v>238</v>
      </c>
      <c r="DD3254" s="5" t="s">
        <v>238</v>
      </c>
      <c r="DE3254" s="8">
        <f>0</f>
        <v>0</v>
      </c>
      <c r="DF3254" s="6" t="s">
        <v>238</v>
      </c>
      <c r="DG3254" s="5" t="s">
        <v>238</v>
      </c>
      <c r="DH3254" s="5" t="s">
        <v>238</v>
      </c>
      <c r="DI3254" s="5" t="s">
        <v>238</v>
      </c>
      <c r="DJ3254" s="5" t="s">
        <v>238</v>
      </c>
      <c r="DK3254" s="5" t="s">
        <v>238</v>
      </c>
      <c r="DL3254" s="5" t="s">
        <v>238</v>
      </c>
      <c r="DM3254" s="8" t="s">
        <v>238</v>
      </c>
      <c r="DN3254" s="5" t="s">
        <v>238</v>
      </c>
      <c r="DO3254" s="5" t="s">
        <v>244</v>
      </c>
      <c r="DP3254" s="5" t="s">
        <v>490</v>
      </c>
      <c r="DQ3254" s="5" t="s">
        <v>490</v>
      </c>
      <c r="DR3254" s="5" t="s">
        <v>238</v>
      </c>
      <c r="DS3254" s="5" t="s">
        <v>238</v>
      </c>
      <c r="HP3254" s="5" t="s">
        <v>238</v>
      </c>
      <c r="HQ3254" s="5" t="s">
        <v>238</v>
      </c>
      <c r="HR3254" s="5" t="s">
        <v>238</v>
      </c>
      <c r="HS3254" s="5" t="s">
        <v>238</v>
      </c>
      <c r="HT3254" s="5" t="s">
        <v>238</v>
      </c>
      <c r="HU3254" s="5" t="s">
        <v>238</v>
      </c>
      <c r="HV3254" s="5" t="s">
        <v>238</v>
      </c>
      <c r="HW3254" s="5" t="s">
        <v>238</v>
      </c>
      <c r="HX3254" s="5" t="s">
        <v>238</v>
      </c>
      <c r="HY3254" s="5" t="s">
        <v>238</v>
      </c>
      <c r="HZ3254" s="5" t="s">
        <v>238</v>
      </c>
      <c r="IA3254" s="5" t="s">
        <v>238</v>
      </c>
      <c r="IB3254" s="5" t="s">
        <v>238</v>
      </c>
      <c r="IC3254" s="5" t="s">
        <v>238</v>
      </c>
      <c r="ID3254" s="5" t="s">
        <v>238</v>
      </c>
    </row>
    <row r="3255" spans="1:238" x14ac:dyDescent="0.4">
      <c r="A3255" s="5">
        <v>8760</v>
      </c>
      <c r="B3255" s="5">
        <v>1</v>
      </c>
      <c r="C3255" s="5">
        <v>2</v>
      </c>
      <c r="D3255" s="5" t="s">
        <v>269</v>
      </c>
      <c r="E3255" s="5" t="s">
        <v>271</v>
      </c>
      <c r="F3255" s="5" t="s">
        <v>248</v>
      </c>
      <c r="G3255" s="5" t="s">
        <v>6800</v>
      </c>
      <c r="H3255" s="6" t="s">
        <v>6800</v>
      </c>
      <c r="I3255" s="7">
        <f>46.29</f>
        <v>46.29</v>
      </c>
      <c r="J3255" s="5" t="s">
        <v>262</v>
      </c>
      <c r="K3255" s="8">
        <f>74306</f>
        <v>74306</v>
      </c>
      <c r="L3255" s="6" t="s">
        <v>6608</v>
      </c>
      <c r="M3255" s="5" t="s">
        <v>267</v>
      </c>
      <c r="N3255" s="5" t="s">
        <v>237</v>
      </c>
      <c r="Q3255" s="5" t="s">
        <v>239</v>
      </c>
      <c r="R3255" s="5" t="s">
        <v>270</v>
      </c>
      <c r="S3255" s="5" t="s">
        <v>238</v>
      </c>
      <c r="V3255" s="5" t="s">
        <v>271</v>
      </c>
      <c r="W3255" s="6" t="s">
        <v>238</v>
      </c>
      <c r="X3255" s="6" t="s">
        <v>238</v>
      </c>
      <c r="Y3255" s="5" t="s">
        <v>238</v>
      </c>
      <c r="Z3255" s="6" t="s">
        <v>238</v>
      </c>
      <c r="AA3255" s="6" t="s">
        <v>6608</v>
      </c>
      <c r="AB3255" s="5" t="s">
        <v>6801</v>
      </c>
      <c r="AC3255" s="5" t="s">
        <v>244</v>
      </c>
      <c r="AD3255" s="5" t="s">
        <v>245</v>
      </c>
      <c r="AJ3255" s="5" t="s">
        <v>238</v>
      </c>
      <c r="AK3255" s="5" t="s">
        <v>238</v>
      </c>
      <c r="AL3255" s="5" t="s">
        <v>238</v>
      </c>
      <c r="AM3255" s="6" t="s">
        <v>238</v>
      </c>
      <c r="AN3255" s="6" t="s">
        <v>238</v>
      </c>
      <c r="AO3255" s="6" t="s">
        <v>238</v>
      </c>
      <c r="AR3255" s="5" t="s">
        <v>488</v>
      </c>
      <c r="AS3255" s="5" t="s">
        <v>488</v>
      </c>
      <c r="AT3255" s="5" t="s">
        <v>246</v>
      </c>
      <c r="AU3255" s="5" t="s">
        <v>489</v>
      </c>
      <c r="AV3255" s="5" t="s">
        <v>247</v>
      </c>
      <c r="AW3255" s="5" t="s">
        <v>600</v>
      </c>
      <c r="AX3255" s="5" t="s">
        <v>249</v>
      </c>
      <c r="AY3255" s="5" t="s">
        <v>490</v>
      </c>
      <c r="BA3255" s="5" t="s">
        <v>238</v>
      </c>
      <c r="BC3255" s="5" t="s">
        <v>491</v>
      </c>
      <c r="BD3255" s="6" t="s">
        <v>6608</v>
      </c>
      <c r="BE3255" s="5" t="s">
        <v>6528</v>
      </c>
      <c r="BF3255" s="5" t="s">
        <v>6529</v>
      </c>
      <c r="BG3255" s="5" t="s">
        <v>238</v>
      </c>
      <c r="BH3255" s="7">
        <f>0</f>
        <v>0</v>
      </c>
      <c r="BI3255" s="8">
        <f>74306</f>
        <v>74306</v>
      </c>
      <c r="BJ3255" s="5" t="s">
        <v>253</v>
      </c>
      <c r="BK3255" s="5" t="s">
        <v>254</v>
      </c>
      <c r="BL3255" s="5" t="s">
        <v>6530</v>
      </c>
      <c r="BM3255" s="5" t="s">
        <v>6531</v>
      </c>
      <c r="BN3255" s="5" t="s">
        <v>6531</v>
      </c>
      <c r="BO3255" s="5" t="s">
        <v>238</v>
      </c>
      <c r="BP3255" s="5" t="s">
        <v>253</v>
      </c>
      <c r="BQ3255" s="5" t="s">
        <v>6532</v>
      </c>
      <c r="BR3255" s="5" t="s">
        <v>6532</v>
      </c>
      <c r="BT3255" s="6" t="s">
        <v>6802</v>
      </c>
      <c r="BU3255" s="5" t="s">
        <v>253</v>
      </c>
      <c r="BV3255" s="5" t="s">
        <v>238</v>
      </c>
      <c r="BW3255" s="5" t="s">
        <v>238</v>
      </c>
      <c r="BX3255" s="5" t="s">
        <v>254</v>
      </c>
      <c r="BY3255" s="5" t="s">
        <v>238</v>
      </c>
      <c r="BZ3255" s="5" t="s">
        <v>238</v>
      </c>
      <c r="CD3255" s="5" t="s">
        <v>238</v>
      </c>
      <c r="CE3255" s="5" t="s">
        <v>238</v>
      </c>
      <c r="CF3255" s="5" t="s">
        <v>261</v>
      </c>
      <c r="CH3255" s="5" t="s">
        <v>238</v>
      </c>
      <c r="CI3255" s="6" t="s">
        <v>257</v>
      </c>
      <c r="CJ3255" s="5" t="s">
        <v>495</v>
      </c>
      <c r="CK3255" s="5" t="s">
        <v>6520</v>
      </c>
      <c r="CL3255" s="5" t="s">
        <v>496</v>
      </c>
      <c r="CM3255" s="5" t="s">
        <v>238</v>
      </c>
      <c r="CN3255" s="5">
        <v>0</v>
      </c>
      <c r="CO3255" s="5" t="s">
        <v>497</v>
      </c>
      <c r="CP3255" s="5" t="s">
        <v>260</v>
      </c>
      <c r="CQ3255" s="5" t="s">
        <v>260</v>
      </c>
      <c r="CR3255" s="5" t="s">
        <v>261</v>
      </c>
      <c r="CS3255" s="5" t="s">
        <v>238</v>
      </c>
      <c r="CT3255" s="7">
        <f>1607</f>
        <v>1607</v>
      </c>
      <c r="CU3255" s="8">
        <f>74306</f>
        <v>74306</v>
      </c>
      <c r="CV3255" s="8">
        <f>0</f>
        <v>0</v>
      </c>
      <c r="CW3255" s="8">
        <f>0</f>
        <v>0</v>
      </c>
      <c r="CX3255" s="8">
        <f>74306</f>
        <v>74306</v>
      </c>
      <c r="CY3255" s="8">
        <f>74306</f>
        <v>74306</v>
      </c>
      <c r="CZ3255" s="8" t="s">
        <v>238</v>
      </c>
      <c r="DA3255" s="5" t="s">
        <v>238</v>
      </c>
      <c r="DB3255" s="5" t="s">
        <v>238</v>
      </c>
      <c r="DD3255" s="5" t="s">
        <v>238</v>
      </c>
      <c r="DE3255" s="8">
        <f>0</f>
        <v>0</v>
      </c>
      <c r="DF3255" s="6" t="s">
        <v>238</v>
      </c>
      <c r="DG3255" s="5" t="s">
        <v>238</v>
      </c>
      <c r="DH3255" s="5" t="s">
        <v>238</v>
      </c>
      <c r="DI3255" s="5" t="s">
        <v>238</v>
      </c>
      <c r="DJ3255" s="5" t="s">
        <v>238</v>
      </c>
      <c r="DK3255" s="5" t="s">
        <v>238</v>
      </c>
      <c r="DL3255" s="5" t="s">
        <v>238</v>
      </c>
      <c r="DM3255" s="8" t="s">
        <v>238</v>
      </c>
      <c r="DN3255" s="5" t="s">
        <v>238</v>
      </c>
      <c r="DO3255" s="5" t="s">
        <v>244</v>
      </c>
      <c r="DP3255" s="5" t="s">
        <v>490</v>
      </c>
      <c r="DQ3255" s="5" t="s">
        <v>490</v>
      </c>
      <c r="DR3255" s="5" t="s">
        <v>238</v>
      </c>
      <c r="DS3255" s="5" t="s">
        <v>238</v>
      </c>
      <c r="HP3255" s="5" t="s">
        <v>238</v>
      </c>
      <c r="HQ3255" s="5" t="s">
        <v>238</v>
      </c>
      <c r="HR3255" s="5" t="s">
        <v>238</v>
      </c>
      <c r="HS3255" s="5" t="s">
        <v>238</v>
      </c>
      <c r="HT3255" s="5" t="s">
        <v>238</v>
      </c>
      <c r="HU3255" s="5" t="s">
        <v>238</v>
      </c>
      <c r="HV3255" s="5" t="s">
        <v>238</v>
      </c>
      <c r="HW3255" s="5" t="s">
        <v>238</v>
      </c>
      <c r="HX3255" s="5" t="s">
        <v>238</v>
      </c>
      <c r="HY3255" s="5" t="s">
        <v>238</v>
      </c>
      <c r="HZ3255" s="5" t="s">
        <v>238</v>
      </c>
      <c r="IA3255" s="5" t="s">
        <v>238</v>
      </c>
      <c r="IB3255" s="5" t="s">
        <v>238</v>
      </c>
      <c r="IC3255" s="5" t="s">
        <v>238</v>
      </c>
      <c r="ID3255" s="5" t="s">
        <v>238</v>
      </c>
    </row>
    <row r="3256" spans="1:238" x14ac:dyDescent="0.4">
      <c r="A3256" s="5">
        <v>8782</v>
      </c>
      <c r="B3256" s="5">
        <v>1</v>
      </c>
      <c r="C3256" s="5">
        <v>2</v>
      </c>
      <c r="D3256" s="5" t="s">
        <v>269</v>
      </c>
      <c r="E3256" s="5" t="s">
        <v>271</v>
      </c>
      <c r="F3256" s="5" t="s">
        <v>248</v>
      </c>
      <c r="G3256" s="5" t="s">
        <v>6781</v>
      </c>
      <c r="H3256" s="6" t="s">
        <v>6781</v>
      </c>
      <c r="I3256" s="7">
        <f>23.21</f>
        <v>23.21</v>
      </c>
      <c r="J3256" s="5" t="s">
        <v>262</v>
      </c>
      <c r="K3256" s="8">
        <f>32494</f>
        <v>32494</v>
      </c>
      <c r="L3256" s="6" t="s">
        <v>6782</v>
      </c>
      <c r="M3256" s="5" t="s">
        <v>267</v>
      </c>
      <c r="N3256" s="5" t="s">
        <v>237</v>
      </c>
      <c r="Q3256" s="5" t="s">
        <v>268</v>
      </c>
      <c r="R3256" s="5" t="s">
        <v>270</v>
      </c>
      <c r="S3256" s="5" t="s">
        <v>238</v>
      </c>
      <c r="V3256" s="5" t="s">
        <v>271</v>
      </c>
      <c r="W3256" s="6" t="s">
        <v>238</v>
      </c>
      <c r="X3256" s="6" t="s">
        <v>238</v>
      </c>
      <c r="Y3256" s="5" t="s">
        <v>238</v>
      </c>
      <c r="Z3256" s="6" t="s">
        <v>238</v>
      </c>
      <c r="AA3256" s="6" t="s">
        <v>6782</v>
      </c>
      <c r="AB3256" s="5" t="s">
        <v>6783</v>
      </c>
      <c r="AC3256" s="5" t="s">
        <v>244</v>
      </c>
      <c r="AD3256" s="5" t="s">
        <v>245</v>
      </c>
      <c r="AJ3256" s="5" t="s">
        <v>238</v>
      </c>
      <c r="AK3256" s="5" t="s">
        <v>238</v>
      </c>
      <c r="AL3256" s="5" t="s">
        <v>238</v>
      </c>
      <c r="AM3256" s="6" t="s">
        <v>238</v>
      </c>
      <c r="AN3256" s="6" t="s">
        <v>238</v>
      </c>
      <c r="AO3256" s="6" t="s">
        <v>238</v>
      </c>
      <c r="AR3256" s="5" t="s">
        <v>488</v>
      </c>
      <c r="AS3256" s="5" t="s">
        <v>488</v>
      </c>
      <c r="AT3256" s="5" t="s">
        <v>246</v>
      </c>
      <c r="AU3256" s="5" t="s">
        <v>489</v>
      </c>
      <c r="AV3256" s="5" t="s">
        <v>247</v>
      </c>
      <c r="AW3256" s="5" t="s">
        <v>600</v>
      </c>
      <c r="AX3256" s="5" t="s">
        <v>249</v>
      </c>
      <c r="AY3256" s="5" t="s">
        <v>490</v>
      </c>
      <c r="BA3256" s="5" t="s">
        <v>238</v>
      </c>
      <c r="BC3256" s="5" t="s">
        <v>491</v>
      </c>
      <c r="BD3256" s="6" t="s">
        <v>6658</v>
      </c>
      <c r="BE3256" s="5" t="s">
        <v>6528</v>
      </c>
      <c r="BF3256" s="5" t="s">
        <v>6529</v>
      </c>
      <c r="BG3256" s="5" t="s">
        <v>238</v>
      </c>
      <c r="BH3256" s="7">
        <f>0</f>
        <v>0</v>
      </c>
      <c r="BI3256" s="8">
        <f>32494</f>
        <v>32494</v>
      </c>
      <c r="BJ3256" s="5" t="s">
        <v>253</v>
      </c>
      <c r="BK3256" s="5" t="s">
        <v>254</v>
      </c>
      <c r="BL3256" s="5" t="s">
        <v>1360</v>
      </c>
      <c r="BM3256" s="5" t="s">
        <v>6531</v>
      </c>
      <c r="BN3256" s="5" t="s">
        <v>6531</v>
      </c>
      <c r="BO3256" s="5" t="s">
        <v>238</v>
      </c>
      <c r="BP3256" s="5" t="s">
        <v>6784</v>
      </c>
      <c r="BQ3256" s="5" t="s">
        <v>6532</v>
      </c>
      <c r="BR3256" s="5" t="s">
        <v>6532</v>
      </c>
      <c r="BT3256" s="6" t="s">
        <v>6785</v>
      </c>
      <c r="BU3256" s="5" t="s">
        <v>253</v>
      </c>
      <c r="BV3256" s="5" t="s">
        <v>238</v>
      </c>
      <c r="BW3256" s="5" t="s">
        <v>238</v>
      </c>
      <c r="BX3256" s="5" t="s">
        <v>254</v>
      </c>
      <c r="BY3256" s="5" t="s">
        <v>238</v>
      </c>
      <c r="BZ3256" s="5" t="s">
        <v>238</v>
      </c>
      <c r="CD3256" s="5" t="s">
        <v>238</v>
      </c>
      <c r="CE3256" s="5" t="s">
        <v>238</v>
      </c>
      <c r="CF3256" s="5" t="s">
        <v>261</v>
      </c>
      <c r="CH3256" s="5" t="s">
        <v>238</v>
      </c>
      <c r="CI3256" s="6" t="s">
        <v>257</v>
      </c>
      <c r="CJ3256" s="5" t="s">
        <v>495</v>
      </c>
      <c r="CK3256" s="5" t="s">
        <v>258</v>
      </c>
      <c r="CL3256" s="5" t="s">
        <v>496</v>
      </c>
      <c r="CM3256" s="5" t="s">
        <v>238</v>
      </c>
      <c r="CN3256" s="5">
        <v>0</v>
      </c>
      <c r="CO3256" s="5" t="s">
        <v>497</v>
      </c>
      <c r="CP3256" s="5" t="s">
        <v>260</v>
      </c>
      <c r="CQ3256" s="5" t="s">
        <v>260</v>
      </c>
      <c r="CR3256" s="5" t="s">
        <v>261</v>
      </c>
      <c r="CS3256" s="5" t="s">
        <v>238</v>
      </c>
      <c r="CT3256" s="7">
        <f>1400</f>
        <v>1400</v>
      </c>
      <c r="CU3256" s="8">
        <f>32494</f>
        <v>32494</v>
      </c>
      <c r="CV3256" s="8">
        <f>0</f>
        <v>0</v>
      </c>
      <c r="CW3256" s="8">
        <f>0</f>
        <v>0</v>
      </c>
      <c r="CX3256" s="8">
        <f>32494</f>
        <v>32494</v>
      </c>
      <c r="CY3256" s="8">
        <f>32494</f>
        <v>32494</v>
      </c>
      <c r="CZ3256" s="8" t="s">
        <v>238</v>
      </c>
      <c r="DA3256" s="5" t="s">
        <v>238</v>
      </c>
      <c r="DB3256" s="5" t="s">
        <v>238</v>
      </c>
      <c r="DD3256" s="5" t="s">
        <v>238</v>
      </c>
      <c r="DE3256" s="8">
        <f>0</f>
        <v>0</v>
      </c>
      <c r="DF3256" s="6" t="s">
        <v>238</v>
      </c>
      <c r="DG3256" s="5" t="s">
        <v>238</v>
      </c>
      <c r="DH3256" s="5" t="s">
        <v>238</v>
      </c>
      <c r="DI3256" s="5" t="s">
        <v>238</v>
      </c>
      <c r="DJ3256" s="5" t="s">
        <v>238</v>
      </c>
      <c r="DK3256" s="5" t="s">
        <v>238</v>
      </c>
      <c r="DL3256" s="5" t="s">
        <v>238</v>
      </c>
      <c r="DM3256" s="8" t="s">
        <v>238</v>
      </c>
      <c r="DN3256" s="5" t="s">
        <v>238</v>
      </c>
      <c r="DO3256" s="5" t="s">
        <v>244</v>
      </c>
      <c r="DP3256" s="5" t="s">
        <v>490</v>
      </c>
      <c r="DQ3256" s="5" t="s">
        <v>490</v>
      </c>
      <c r="DR3256" s="5" t="s">
        <v>238</v>
      </c>
      <c r="DS3256" s="5" t="s">
        <v>238</v>
      </c>
      <c r="HP3256" s="5" t="s">
        <v>238</v>
      </c>
      <c r="HQ3256" s="5" t="s">
        <v>238</v>
      </c>
      <c r="HR3256" s="5" t="s">
        <v>238</v>
      </c>
      <c r="HS3256" s="5" t="s">
        <v>238</v>
      </c>
      <c r="HT3256" s="5" t="s">
        <v>238</v>
      </c>
      <c r="HU3256" s="5" t="s">
        <v>238</v>
      </c>
      <c r="HV3256" s="5" t="s">
        <v>238</v>
      </c>
      <c r="HW3256" s="5" t="s">
        <v>238</v>
      </c>
      <c r="HX3256" s="5" t="s">
        <v>238</v>
      </c>
      <c r="HY3256" s="5" t="s">
        <v>238</v>
      </c>
      <c r="HZ3256" s="5" t="s">
        <v>238</v>
      </c>
      <c r="IA3256" s="5" t="s">
        <v>238</v>
      </c>
      <c r="IB3256" s="5" t="s">
        <v>238</v>
      </c>
      <c r="IC3256" s="5" t="s">
        <v>238</v>
      </c>
      <c r="ID3256" s="5" t="s">
        <v>238</v>
      </c>
    </row>
    <row r="3257" spans="1:238" x14ac:dyDescent="0.4">
      <c r="A3257" s="5">
        <v>8799</v>
      </c>
      <c r="B3257" s="5">
        <v>1</v>
      </c>
      <c r="C3257" s="5">
        <v>2</v>
      </c>
      <c r="D3257" s="5" t="s">
        <v>6084</v>
      </c>
      <c r="E3257" s="5" t="s">
        <v>4391</v>
      </c>
      <c r="F3257" s="5" t="s">
        <v>1684</v>
      </c>
      <c r="G3257" s="5" t="s">
        <v>6812</v>
      </c>
      <c r="H3257" s="6" t="s">
        <v>6813</v>
      </c>
      <c r="I3257" s="7">
        <f>1316.41</f>
        <v>1316.41</v>
      </c>
      <c r="J3257" s="5" t="s">
        <v>262</v>
      </c>
      <c r="K3257" s="8">
        <f>8462636</f>
        <v>8462636</v>
      </c>
      <c r="L3257" s="6" t="s">
        <v>4552</v>
      </c>
      <c r="M3257" s="5" t="s">
        <v>267</v>
      </c>
      <c r="N3257" s="5" t="s">
        <v>237</v>
      </c>
      <c r="Q3257" s="5" t="s">
        <v>239</v>
      </c>
      <c r="R3257" s="5" t="s">
        <v>270</v>
      </c>
      <c r="S3257" s="5" t="s">
        <v>238</v>
      </c>
      <c r="V3257" s="5" t="s">
        <v>878</v>
      </c>
      <c r="W3257" s="6" t="s">
        <v>238</v>
      </c>
      <c r="X3257" s="6" t="s">
        <v>238</v>
      </c>
      <c r="Y3257" s="5" t="s">
        <v>238</v>
      </c>
      <c r="Z3257" s="6" t="s">
        <v>238</v>
      </c>
      <c r="AA3257" s="6" t="s">
        <v>243</v>
      </c>
      <c r="AB3257" s="5" t="s">
        <v>6600</v>
      </c>
      <c r="AC3257" s="5" t="s">
        <v>244</v>
      </c>
      <c r="AD3257" s="5" t="s">
        <v>245</v>
      </c>
      <c r="AJ3257" s="5" t="s">
        <v>238</v>
      </c>
      <c r="AK3257" s="5" t="s">
        <v>238</v>
      </c>
      <c r="AL3257" s="5" t="s">
        <v>238</v>
      </c>
      <c r="AM3257" s="6" t="s">
        <v>238</v>
      </c>
      <c r="AN3257" s="6" t="s">
        <v>238</v>
      </c>
      <c r="AO3257" s="6" t="s">
        <v>238</v>
      </c>
      <c r="AR3257" s="5" t="s">
        <v>488</v>
      </c>
      <c r="AS3257" s="5" t="s">
        <v>488</v>
      </c>
      <c r="AT3257" s="5" t="s">
        <v>246</v>
      </c>
      <c r="AU3257" s="5" t="s">
        <v>489</v>
      </c>
      <c r="AV3257" s="5" t="s">
        <v>247</v>
      </c>
      <c r="AW3257" s="5" t="s">
        <v>600</v>
      </c>
      <c r="AX3257" s="5" t="s">
        <v>249</v>
      </c>
      <c r="AY3257" s="5" t="s">
        <v>490</v>
      </c>
      <c r="BA3257" s="5" t="s">
        <v>1397</v>
      </c>
      <c r="BC3257" s="5" t="s">
        <v>491</v>
      </c>
      <c r="BD3257" s="6" t="s">
        <v>492</v>
      </c>
      <c r="BE3257" s="5" t="s">
        <v>6550</v>
      </c>
      <c r="BF3257" s="5" t="s">
        <v>6602</v>
      </c>
      <c r="BG3257" s="5" t="s">
        <v>238</v>
      </c>
      <c r="BH3257" s="7">
        <f>0</f>
        <v>0</v>
      </c>
      <c r="BI3257" s="8">
        <f>0</f>
        <v>0</v>
      </c>
      <c r="BJ3257" s="5" t="s">
        <v>253</v>
      </c>
      <c r="BK3257" s="5" t="s">
        <v>254</v>
      </c>
      <c r="BL3257" s="5" t="s">
        <v>238</v>
      </c>
      <c r="BM3257" s="5" t="s">
        <v>238</v>
      </c>
      <c r="BN3257" s="5" t="s">
        <v>238</v>
      </c>
      <c r="BO3257" s="5" t="s">
        <v>238</v>
      </c>
      <c r="BT3257" s="6" t="s">
        <v>238</v>
      </c>
      <c r="BU3257" s="5" t="s">
        <v>238</v>
      </c>
      <c r="BV3257" s="5" t="s">
        <v>6603</v>
      </c>
      <c r="BW3257" s="5" t="s">
        <v>264</v>
      </c>
      <c r="BX3257" s="5" t="s">
        <v>254</v>
      </c>
      <c r="BY3257" s="5" t="s">
        <v>238</v>
      </c>
      <c r="BZ3257" s="5" t="s">
        <v>238</v>
      </c>
      <c r="CD3257" s="5" t="s">
        <v>255</v>
      </c>
      <c r="CE3257" s="5" t="s">
        <v>256</v>
      </c>
      <c r="CF3257" s="5" t="s">
        <v>261</v>
      </c>
      <c r="CH3257" s="5" t="s">
        <v>238</v>
      </c>
      <c r="CI3257" s="6" t="s">
        <v>257</v>
      </c>
      <c r="CJ3257" s="5" t="s">
        <v>495</v>
      </c>
      <c r="CK3257" s="5" t="s">
        <v>258</v>
      </c>
      <c r="CL3257" s="5" t="s">
        <v>496</v>
      </c>
      <c r="CM3257" s="5" t="s">
        <v>238</v>
      </c>
      <c r="CN3257" s="5">
        <v>0</v>
      </c>
      <c r="CO3257" s="5" t="s">
        <v>259</v>
      </c>
      <c r="CP3257" s="5" t="s">
        <v>260</v>
      </c>
      <c r="CQ3257" s="5" t="s">
        <v>260</v>
      </c>
      <c r="CR3257" s="5" t="s">
        <v>261</v>
      </c>
      <c r="CS3257" s="5" t="s">
        <v>238</v>
      </c>
      <c r="CT3257" s="7">
        <f>6429</f>
        <v>6429</v>
      </c>
      <c r="CU3257" s="8">
        <f>8462636</f>
        <v>8462636</v>
      </c>
      <c r="CV3257" s="8">
        <f>0</f>
        <v>0</v>
      </c>
      <c r="CW3257" s="8" t="s">
        <v>238</v>
      </c>
      <c r="CX3257" s="8">
        <f>8462636</f>
        <v>8462636</v>
      </c>
      <c r="CY3257" s="8">
        <f>8462636</f>
        <v>8462636</v>
      </c>
      <c r="CZ3257" s="8" t="s">
        <v>238</v>
      </c>
      <c r="DA3257" s="5" t="s">
        <v>238</v>
      </c>
      <c r="DB3257" s="5" t="s">
        <v>238</v>
      </c>
      <c r="DD3257" s="5" t="s">
        <v>263</v>
      </c>
      <c r="DE3257" s="8">
        <f>1316.41</f>
        <v>1316.41</v>
      </c>
      <c r="DF3257" s="6" t="s">
        <v>6593</v>
      </c>
      <c r="DG3257" s="5" t="s">
        <v>263</v>
      </c>
      <c r="DH3257" s="5" t="s">
        <v>238</v>
      </c>
      <c r="DI3257" s="5" t="s">
        <v>238</v>
      </c>
      <c r="DJ3257" s="5" t="s">
        <v>238</v>
      </c>
      <c r="DK3257" s="5" t="s">
        <v>238</v>
      </c>
      <c r="DL3257" s="5" t="s">
        <v>238</v>
      </c>
      <c r="DM3257" s="8" t="s">
        <v>238</v>
      </c>
      <c r="DN3257" s="5" t="s">
        <v>238</v>
      </c>
      <c r="DO3257" s="5" t="s">
        <v>244</v>
      </c>
      <c r="DP3257" s="5" t="s">
        <v>490</v>
      </c>
      <c r="DQ3257" s="5" t="s">
        <v>490</v>
      </c>
      <c r="DR3257" s="5" t="s">
        <v>238</v>
      </c>
      <c r="DS3257" s="5" t="s">
        <v>238</v>
      </c>
      <c r="DT3257" s="5" t="s">
        <v>6604</v>
      </c>
      <c r="DU3257" s="5" t="s">
        <v>264</v>
      </c>
      <c r="HP3257" s="5" t="s">
        <v>238</v>
      </c>
      <c r="HQ3257" s="5" t="s">
        <v>238</v>
      </c>
      <c r="HR3257" s="5" t="s">
        <v>238</v>
      </c>
      <c r="HS3257" s="5" t="s">
        <v>238</v>
      </c>
      <c r="HT3257" s="5" t="s">
        <v>238</v>
      </c>
      <c r="HU3257" s="5" t="s">
        <v>238</v>
      </c>
      <c r="HV3257" s="5" t="s">
        <v>238</v>
      </c>
      <c r="HW3257" s="5" t="s">
        <v>238</v>
      </c>
      <c r="HX3257" s="5" t="s">
        <v>238</v>
      </c>
      <c r="HY3257" s="5" t="s">
        <v>238</v>
      </c>
      <c r="HZ3257" s="5" t="s">
        <v>238</v>
      </c>
      <c r="IA3257" s="5" t="s">
        <v>238</v>
      </c>
      <c r="IB3257" s="5" t="s">
        <v>238</v>
      </c>
      <c r="IC3257" s="5" t="s">
        <v>238</v>
      </c>
      <c r="ID3257" s="5" t="s">
        <v>238</v>
      </c>
    </row>
    <row r="3258" spans="1:238" x14ac:dyDescent="0.4">
      <c r="A3258" s="5">
        <v>8800</v>
      </c>
      <c r="B3258" s="5">
        <v>1</v>
      </c>
      <c r="C3258" s="5">
        <v>2</v>
      </c>
      <c r="D3258" s="5" t="s">
        <v>6084</v>
      </c>
      <c r="E3258" s="5" t="s">
        <v>4391</v>
      </c>
      <c r="F3258" s="5" t="s">
        <v>1684</v>
      </c>
      <c r="G3258" s="5" t="s">
        <v>6599</v>
      </c>
      <c r="H3258" s="6" t="s">
        <v>6601</v>
      </c>
      <c r="I3258" s="7">
        <f>1739.3</f>
        <v>1739.3</v>
      </c>
      <c r="J3258" s="5" t="s">
        <v>262</v>
      </c>
      <c r="K3258" s="8">
        <f>11181214</f>
        <v>11181214</v>
      </c>
      <c r="L3258" s="6" t="s">
        <v>4552</v>
      </c>
      <c r="M3258" s="5" t="s">
        <v>267</v>
      </c>
      <c r="N3258" s="5" t="s">
        <v>237</v>
      </c>
      <c r="Q3258" s="5" t="s">
        <v>239</v>
      </c>
      <c r="R3258" s="5" t="s">
        <v>270</v>
      </c>
      <c r="S3258" s="5" t="s">
        <v>238</v>
      </c>
      <c r="V3258" s="5" t="s">
        <v>238</v>
      </c>
      <c r="W3258" s="6" t="s">
        <v>238</v>
      </c>
      <c r="X3258" s="6" t="s">
        <v>238</v>
      </c>
      <c r="Y3258" s="5" t="s">
        <v>238</v>
      </c>
      <c r="Z3258" s="6" t="s">
        <v>238</v>
      </c>
      <c r="AA3258" s="6" t="s">
        <v>243</v>
      </c>
      <c r="AB3258" s="5" t="s">
        <v>6600</v>
      </c>
      <c r="AC3258" s="5" t="s">
        <v>244</v>
      </c>
      <c r="AD3258" s="5" t="s">
        <v>245</v>
      </c>
      <c r="AJ3258" s="5" t="s">
        <v>238</v>
      </c>
      <c r="AK3258" s="5" t="s">
        <v>238</v>
      </c>
      <c r="AL3258" s="5" t="s">
        <v>238</v>
      </c>
      <c r="AM3258" s="6" t="s">
        <v>238</v>
      </c>
      <c r="AN3258" s="6" t="s">
        <v>238</v>
      </c>
      <c r="AO3258" s="6" t="s">
        <v>238</v>
      </c>
      <c r="AR3258" s="5" t="s">
        <v>488</v>
      </c>
      <c r="AS3258" s="5" t="s">
        <v>488</v>
      </c>
      <c r="AT3258" s="5" t="s">
        <v>246</v>
      </c>
      <c r="AU3258" s="5" t="s">
        <v>489</v>
      </c>
      <c r="AV3258" s="5" t="s">
        <v>247</v>
      </c>
      <c r="AW3258" s="5" t="s">
        <v>600</v>
      </c>
      <c r="AX3258" s="5" t="s">
        <v>249</v>
      </c>
      <c r="AY3258" s="5" t="s">
        <v>490</v>
      </c>
      <c r="BA3258" s="5" t="s">
        <v>4547</v>
      </c>
      <c r="BC3258" s="5" t="s">
        <v>491</v>
      </c>
      <c r="BD3258" s="6" t="s">
        <v>492</v>
      </c>
      <c r="BE3258" s="5" t="s">
        <v>6550</v>
      </c>
      <c r="BF3258" s="5" t="s">
        <v>6602</v>
      </c>
      <c r="BG3258" s="5" t="s">
        <v>238</v>
      </c>
      <c r="BH3258" s="7">
        <f>0</f>
        <v>0</v>
      </c>
      <c r="BI3258" s="8">
        <f>0</f>
        <v>0</v>
      </c>
      <c r="BJ3258" s="5" t="s">
        <v>253</v>
      </c>
      <c r="BK3258" s="5" t="s">
        <v>254</v>
      </c>
      <c r="BL3258" s="5" t="s">
        <v>238</v>
      </c>
      <c r="BM3258" s="5" t="s">
        <v>238</v>
      </c>
      <c r="BN3258" s="5" t="s">
        <v>238</v>
      </c>
      <c r="BO3258" s="5" t="s">
        <v>238</v>
      </c>
      <c r="BT3258" s="6" t="s">
        <v>238</v>
      </c>
      <c r="BU3258" s="5" t="s">
        <v>238</v>
      </c>
      <c r="BV3258" s="5" t="s">
        <v>6603</v>
      </c>
      <c r="BW3258" s="5" t="s">
        <v>264</v>
      </c>
      <c r="BX3258" s="5" t="s">
        <v>254</v>
      </c>
      <c r="BY3258" s="5" t="s">
        <v>238</v>
      </c>
      <c r="BZ3258" s="5" t="s">
        <v>238</v>
      </c>
      <c r="CD3258" s="5" t="s">
        <v>255</v>
      </c>
      <c r="CE3258" s="5" t="s">
        <v>256</v>
      </c>
      <c r="CF3258" s="5" t="s">
        <v>261</v>
      </c>
      <c r="CH3258" s="5" t="s">
        <v>238</v>
      </c>
      <c r="CI3258" s="6" t="s">
        <v>257</v>
      </c>
      <c r="CJ3258" s="5" t="s">
        <v>495</v>
      </c>
      <c r="CK3258" s="5" t="s">
        <v>258</v>
      </c>
      <c r="CL3258" s="5" t="s">
        <v>496</v>
      </c>
      <c r="CM3258" s="5" t="s">
        <v>238</v>
      </c>
      <c r="CN3258" s="5">
        <v>0</v>
      </c>
      <c r="CO3258" s="5" t="s">
        <v>259</v>
      </c>
      <c r="CP3258" s="5" t="s">
        <v>260</v>
      </c>
      <c r="CQ3258" s="5" t="s">
        <v>260</v>
      </c>
      <c r="CR3258" s="5" t="s">
        <v>261</v>
      </c>
      <c r="CS3258" s="5" t="s">
        <v>238</v>
      </c>
      <c r="CT3258" s="7">
        <f>6429</f>
        <v>6429</v>
      </c>
      <c r="CU3258" s="8">
        <f>11181214</f>
        <v>11181214</v>
      </c>
      <c r="CV3258" s="8">
        <f>0</f>
        <v>0</v>
      </c>
      <c r="CW3258" s="8" t="s">
        <v>238</v>
      </c>
      <c r="CX3258" s="8">
        <f>11181214</f>
        <v>11181214</v>
      </c>
      <c r="CY3258" s="8">
        <f>11181214</f>
        <v>11181214</v>
      </c>
      <c r="CZ3258" s="8" t="s">
        <v>238</v>
      </c>
      <c r="DA3258" s="5" t="s">
        <v>238</v>
      </c>
      <c r="DB3258" s="5" t="s">
        <v>238</v>
      </c>
      <c r="DD3258" s="5" t="s">
        <v>263</v>
      </c>
      <c r="DE3258" s="8">
        <f>1739.3</f>
        <v>1739.3</v>
      </c>
      <c r="DF3258" s="6" t="s">
        <v>6593</v>
      </c>
      <c r="DG3258" s="5" t="s">
        <v>263</v>
      </c>
      <c r="DH3258" s="5" t="s">
        <v>238</v>
      </c>
      <c r="DI3258" s="5" t="s">
        <v>238</v>
      </c>
      <c r="DJ3258" s="5" t="s">
        <v>238</v>
      </c>
      <c r="DK3258" s="5" t="s">
        <v>238</v>
      </c>
      <c r="DL3258" s="5" t="s">
        <v>238</v>
      </c>
      <c r="DM3258" s="8" t="s">
        <v>238</v>
      </c>
      <c r="DN3258" s="5" t="s">
        <v>238</v>
      </c>
      <c r="DO3258" s="5" t="s">
        <v>244</v>
      </c>
      <c r="DP3258" s="5" t="s">
        <v>490</v>
      </c>
      <c r="DQ3258" s="5" t="s">
        <v>490</v>
      </c>
      <c r="DR3258" s="5" t="s">
        <v>238</v>
      </c>
      <c r="DS3258" s="5" t="s">
        <v>238</v>
      </c>
      <c r="DT3258" s="5" t="s">
        <v>6604</v>
      </c>
      <c r="DU3258" s="5" t="s">
        <v>264</v>
      </c>
      <c r="HP3258" s="5" t="s">
        <v>238</v>
      </c>
      <c r="HQ3258" s="5" t="s">
        <v>238</v>
      </c>
      <c r="HR3258" s="5" t="s">
        <v>238</v>
      </c>
      <c r="HS3258" s="5" t="s">
        <v>238</v>
      </c>
      <c r="HT3258" s="5" t="s">
        <v>238</v>
      </c>
      <c r="HU3258" s="5" t="s">
        <v>238</v>
      </c>
      <c r="HV3258" s="5" t="s">
        <v>238</v>
      </c>
      <c r="HW3258" s="5" t="s">
        <v>238</v>
      </c>
      <c r="HX3258" s="5" t="s">
        <v>238</v>
      </c>
      <c r="HY3258" s="5" t="s">
        <v>238</v>
      </c>
      <c r="HZ3258" s="5" t="s">
        <v>238</v>
      </c>
      <c r="IA3258" s="5" t="s">
        <v>238</v>
      </c>
      <c r="IB3258" s="5" t="s">
        <v>238</v>
      </c>
      <c r="IC3258" s="5" t="s">
        <v>238</v>
      </c>
      <c r="ID3258" s="5" t="s">
        <v>238</v>
      </c>
    </row>
    <row r="3259" spans="1:238" x14ac:dyDescent="0.4">
      <c r="A3259" s="5">
        <v>8804</v>
      </c>
      <c r="B3259" s="5">
        <v>1</v>
      </c>
      <c r="C3259" s="5">
        <v>2</v>
      </c>
      <c r="D3259" s="5" t="s">
        <v>6697</v>
      </c>
      <c r="E3259" s="5" t="s">
        <v>4391</v>
      </c>
      <c r="F3259" s="5" t="s">
        <v>248</v>
      </c>
      <c r="G3259" s="5" t="s">
        <v>6696</v>
      </c>
      <c r="H3259" s="6" t="s">
        <v>6700</v>
      </c>
      <c r="I3259" s="7">
        <f>197.83</f>
        <v>197.83</v>
      </c>
      <c r="J3259" s="5" t="s">
        <v>262</v>
      </c>
      <c r="K3259" s="8">
        <f>6468474</f>
        <v>6468474</v>
      </c>
      <c r="L3259" s="6" t="s">
        <v>6698</v>
      </c>
      <c r="M3259" s="5" t="s">
        <v>267</v>
      </c>
      <c r="N3259" s="5" t="s">
        <v>237</v>
      </c>
      <c r="Q3259" s="5" t="s">
        <v>239</v>
      </c>
      <c r="R3259" s="5" t="s">
        <v>270</v>
      </c>
      <c r="S3259" s="5" t="s">
        <v>238</v>
      </c>
      <c r="V3259" s="5" t="s">
        <v>4391</v>
      </c>
      <c r="W3259" s="6" t="s">
        <v>238</v>
      </c>
      <c r="X3259" s="6" t="s">
        <v>238</v>
      </c>
      <c r="Y3259" s="5" t="s">
        <v>238</v>
      </c>
      <c r="Z3259" s="6" t="s">
        <v>238</v>
      </c>
      <c r="AA3259" s="6" t="s">
        <v>6698</v>
      </c>
      <c r="AB3259" s="5" t="s">
        <v>6699</v>
      </c>
      <c r="AC3259" s="5" t="s">
        <v>244</v>
      </c>
      <c r="AD3259" s="5" t="s">
        <v>245</v>
      </c>
      <c r="AJ3259" s="5" t="s">
        <v>238</v>
      </c>
      <c r="AK3259" s="5" t="s">
        <v>238</v>
      </c>
      <c r="AL3259" s="5" t="s">
        <v>238</v>
      </c>
      <c r="AM3259" s="6" t="s">
        <v>238</v>
      </c>
      <c r="AN3259" s="6" t="s">
        <v>238</v>
      </c>
      <c r="AO3259" s="6" t="s">
        <v>238</v>
      </c>
      <c r="AR3259" s="5" t="s">
        <v>488</v>
      </c>
      <c r="AS3259" s="5" t="s">
        <v>488</v>
      </c>
      <c r="AT3259" s="5" t="s">
        <v>246</v>
      </c>
      <c r="AU3259" s="5" t="s">
        <v>489</v>
      </c>
      <c r="AV3259" s="5" t="s">
        <v>247</v>
      </c>
      <c r="AW3259" s="5" t="s">
        <v>600</v>
      </c>
      <c r="AX3259" s="5" t="s">
        <v>249</v>
      </c>
      <c r="AY3259" s="5" t="s">
        <v>490</v>
      </c>
      <c r="BA3259" s="5" t="s">
        <v>1397</v>
      </c>
      <c r="BC3259" s="5" t="s">
        <v>491</v>
      </c>
      <c r="BD3259" s="6" t="s">
        <v>6698</v>
      </c>
      <c r="BE3259" s="5" t="s">
        <v>6528</v>
      </c>
      <c r="BF3259" s="5" t="s">
        <v>6529</v>
      </c>
      <c r="BG3259" s="5" t="s">
        <v>238</v>
      </c>
      <c r="BH3259" s="7">
        <f>0</f>
        <v>0</v>
      </c>
      <c r="BI3259" s="8">
        <f>6468474</f>
        <v>6468474</v>
      </c>
      <c r="BJ3259" s="5" t="s">
        <v>253</v>
      </c>
      <c r="BK3259" s="5" t="s">
        <v>254</v>
      </c>
      <c r="BL3259" s="5" t="s">
        <v>6551</v>
      </c>
      <c r="BM3259" s="5" t="s">
        <v>6531</v>
      </c>
      <c r="BN3259" s="5" t="s">
        <v>6531</v>
      </c>
      <c r="BO3259" s="5" t="s">
        <v>238</v>
      </c>
      <c r="BP3259" s="5" t="s">
        <v>6701</v>
      </c>
      <c r="BQ3259" s="5" t="s">
        <v>6532</v>
      </c>
      <c r="BR3259" s="5" t="s">
        <v>6532</v>
      </c>
      <c r="BT3259" s="6" t="s">
        <v>6702</v>
      </c>
      <c r="BU3259" s="5" t="s">
        <v>253</v>
      </c>
      <c r="BV3259" s="5" t="s">
        <v>238</v>
      </c>
      <c r="BW3259" s="5" t="s">
        <v>238</v>
      </c>
      <c r="BX3259" s="5" t="s">
        <v>254</v>
      </c>
      <c r="BY3259" s="5" t="s">
        <v>238</v>
      </c>
      <c r="BZ3259" s="5" t="s">
        <v>238</v>
      </c>
      <c r="CD3259" s="5" t="s">
        <v>238</v>
      </c>
      <c r="CE3259" s="5" t="s">
        <v>238</v>
      </c>
      <c r="CF3259" s="5" t="s">
        <v>261</v>
      </c>
      <c r="CH3259" s="5" t="s">
        <v>238</v>
      </c>
      <c r="CI3259" s="6" t="s">
        <v>257</v>
      </c>
      <c r="CJ3259" s="5" t="s">
        <v>495</v>
      </c>
      <c r="CK3259" s="5" t="s">
        <v>258</v>
      </c>
      <c r="CL3259" s="5" t="s">
        <v>496</v>
      </c>
      <c r="CM3259" s="5" t="s">
        <v>238</v>
      </c>
      <c r="CN3259" s="5">
        <v>0</v>
      </c>
      <c r="CO3259" s="5" t="s">
        <v>497</v>
      </c>
      <c r="CP3259" s="5" t="s">
        <v>260</v>
      </c>
      <c r="CQ3259" s="5" t="s">
        <v>260</v>
      </c>
      <c r="CR3259" s="5" t="s">
        <v>261</v>
      </c>
      <c r="CS3259" s="5" t="s">
        <v>238</v>
      </c>
      <c r="CT3259" s="7">
        <f>32697</f>
        <v>32697</v>
      </c>
      <c r="CU3259" s="8">
        <f>6468474</f>
        <v>6468474</v>
      </c>
      <c r="CV3259" s="8">
        <f>0</f>
        <v>0</v>
      </c>
      <c r="CW3259" s="8">
        <f>0</f>
        <v>0</v>
      </c>
      <c r="CX3259" s="8">
        <f>6468474</f>
        <v>6468474</v>
      </c>
      <c r="CY3259" s="8">
        <f>6468474</f>
        <v>6468474</v>
      </c>
      <c r="CZ3259" s="8" t="s">
        <v>238</v>
      </c>
      <c r="DA3259" s="5" t="s">
        <v>238</v>
      </c>
      <c r="DB3259" s="5" t="s">
        <v>238</v>
      </c>
      <c r="DD3259" s="5" t="s">
        <v>263</v>
      </c>
      <c r="DE3259" s="8">
        <f>197.83</f>
        <v>197.83</v>
      </c>
      <c r="DF3259" s="6" t="s">
        <v>6698</v>
      </c>
      <c r="DG3259" s="5" t="s">
        <v>263</v>
      </c>
      <c r="DH3259" s="5" t="s">
        <v>238</v>
      </c>
      <c r="DI3259" s="5" t="s">
        <v>238</v>
      </c>
      <c r="DJ3259" s="5" t="s">
        <v>238</v>
      </c>
      <c r="DK3259" s="5" t="s">
        <v>238</v>
      </c>
      <c r="DL3259" s="5" t="s">
        <v>238</v>
      </c>
      <c r="DM3259" s="8" t="s">
        <v>238</v>
      </c>
      <c r="DN3259" s="5" t="s">
        <v>238</v>
      </c>
      <c r="DO3259" s="5" t="s">
        <v>244</v>
      </c>
      <c r="DP3259" s="5" t="s">
        <v>490</v>
      </c>
      <c r="DQ3259" s="5" t="s">
        <v>490</v>
      </c>
      <c r="DR3259" s="5" t="s">
        <v>238</v>
      </c>
      <c r="DS3259" s="5" t="s">
        <v>238</v>
      </c>
      <c r="HP3259" s="5" t="s">
        <v>238</v>
      </c>
      <c r="HQ3259" s="5" t="s">
        <v>238</v>
      </c>
      <c r="HR3259" s="5" t="s">
        <v>238</v>
      </c>
      <c r="HS3259" s="5" t="s">
        <v>238</v>
      </c>
      <c r="HT3259" s="5" t="s">
        <v>238</v>
      </c>
      <c r="HU3259" s="5" t="s">
        <v>238</v>
      </c>
      <c r="HV3259" s="5" t="s">
        <v>238</v>
      </c>
      <c r="HW3259" s="5" t="s">
        <v>238</v>
      </c>
      <c r="HX3259" s="5" t="s">
        <v>238</v>
      </c>
      <c r="HY3259" s="5" t="s">
        <v>238</v>
      </c>
      <c r="HZ3259" s="5" t="s">
        <v>238</v>
      </c>
      <c r="IA3259" s="5" t="s">
        <v>238</v>
      </c>
      <c r="IB3259" s="5" t="s">
        <v>238</v>
      </c>
      <c r="IC3259" s="5" t="s">
        <v>238</v>
      </c>
      <c r="ID3259" s="5" t="s">
        <v>238</v>
      </c>
    </row>
    <row r="3260" spans="1:238" x14ac:dyDescent="0.4">
      <c r="A3260" s="5">
        <v>8805</v>
      </c>
      <c r="B3260" s="5">
        <v>1</v>
      </c>
      <c r="C3260" s="5">
        <v>1</v>
      </c>
      <c r="D3260" s="5" t="s">
        <v>6084</v>
      </c>
      <c r="E3260" s="5" t="s">
        <v>4391</v>
      </c>
      <c r="F3260" s="5" t="s">
        <v>248</v>
      </c>
      <c r="G3260" s="5" t="s">
        <v>6570</v>
      </c>
      <c r="H3260" s="6" t="s">
        <v>6678</v>
      </c>
      <c r="I3260" s="7">
        <f>14.44</f>
        <v>14.44</v>
      </c>
      <c r="J3260" s="5" t="s">
        <v>262</v>
      </c>
      <c r="K3260" s="8">
        <f>23207</f>
        <v>23207</v>
      </c>
      <c r="L3260" s="6" t="s">
        <v>6669</v>
      </c>
      <c r="M3260" s="5" t="s">
        <v>267</v>
      </c>
      <c r="N3260" s="5" t="s">
        <v>237</v>
      </c>
      <c r="Q3260" s="5" t="s">
        <v>239</v>
      </c>
      <c r="R3260" s="5" t="s">
        <v>270</v>
      </c>
      <c r="S3260" s="5" t="s">
        <v>238</v>
      </c>
      <c r="V3260" s="5" t="s">
        <v>878</v>
      </c>
      <c r="W3260" s="6" t="s">
        <v>238</v>
      </c>
      <c r="X3260" s="6" t="s">
        <v>238</v>
      </c>
      <c r="Y3260" s="5" t="s">
        <v>238</v>
      </c>
      <c r="Z3260" s="6" t="s">
        <v>238</v>
      </c>
      <c r="AA3260" s="6" t="s">
        <v>238</v>
      </c>
      <c r="AB3260" s="5" t="s">
        <v>6677</v>
      </c>
      <c r="AC3260" s="5" t="s">
        <v>244</v>
      </c>
      <c r="AD3260" s="5" t="s">
        <v>245</v>
      </c>
      <c r="AJ3260" s="5" t="s">
        <v>238</v>
      </c>
      <c r="AK3260" s="5" t="s">
        <v>238</v>
      </c>
      <c r="AL3260" s="5" t="s">
        <v>238</v>
      </c>
      <c r="AM3260" s="6" t="s">
        <v>238</v>
      </c>
      <c r="AN3260" s="6" t="s">
        <v>238</v>
      </c>
      <c r="AO3260" s="6" t="s">
        <v>238</v>
      </c>
      <c r="AR3260" s="5" t="s">
        <v>488</v>
      </c>
      <c r="AS3260" s="5" t="s">
        <v>488</v>
      </c>
      <c r="AT3260" s="5" t="s">
        <v>246</v>
      </c>
      <c r="AU3260" s="5" t="s">
        <v>489</v>
      </c>
      <c r="AV3260" s="5" t="s">
        <v>247</v>
      </c>
      <c r="AW3260" s="5" t="s">
        <v>600</v>
      </c>
      <c r="AX3260" s="5" t="s">
        <v>249</v>
      </c>
      <c r="AY3260" s="5" t="s">
        <v>490</v>
      </c>
      <c r="BA3260" s="5" t="s">
        <v>4547</v>
      </c>
      <c r="BC3260" s="5" t="s">
        <v>491</v>
      </c>
      <c r="BD3260" s="6" t="s">
        <v>6669</v>
      </c>
      <c r="BE3260" s="5" t="s">
        <v>6574</v>
      </c>
      <c r="BF3260" s="5" t="s">
        <v>6574</v>
      </c>
      <c r="BG3260" s="5" t="s">
        <v>238</v>
      </c>
      <c r="BH3260" s="7">
        <f>14.44</f>
        <v>14.44</v>
      </c>
      <c r="BI3260" s="8">
        <f>23207</f>
        <v>23207</v>
      </c>
      <c r="BJ3260" s="5" t="s">
        <v>253</v>
      </c>
      <c r="BK3260" s="5" t="s">
        <v>254</v>
      </c>
      <c r="BL3260" s="5" t="s">
        <v>238</v>
      </c>
      <c r="BM3260" s="5" t="s">
        <v>238</v>
      </c>
      <c r="BN3260" s="5" t="s">
        <v>238</v>
      </c>
      <c r="BO3260" s="5" t="s">
        <v>238</v>
      </c>
      <c r="BT3260" s="6" t="s">
        <v>238</v>
      </c>
      <c r="BU3260" s="5" t="s">
        <v>238</v>
      </c>
      <c r="BV3260" s="5" t="s">
        <v>238</v>
      </c>
      <c r="BW3260" s="5" t="s">
        <v>238</v>
      </c>
      <c r="BX3260" s="5" t="s">
        <v>254</v>
      </c>
      <c r="BY3260" s="5" t="s">
        <v>238</v>
      </c>
      <c r="BZ3260" s="5" t="s">
        <v>238</v>
      </c>
      <c r="CD3260" s="5" t="s">
        <v>238</v>
      </c>
      <c r="CE3260" s="5" t="s">
        <v>238</v>
      </c>
      <c r="CF3260" s="5" t="s">
        <v>261</v>
      </c>
      <c r="CG3260" s="5" t="s">
        <v>6679</v>
      </c>
      <c r="CH3260" s="5" t="s">
        <v>6669</v>
      </c>
      <c r="CI3260" s="6" t="s">
        <v>257</v>
      </c>
      <c r="CJ3260" s="5" t="s">
        <v>495</v>
      </c>
      <c r="CK3260" s="5" t="s">
        <v>258</v>
      </c>
      <c r="CL3260" s="5" t="s">
        <v>496</v>
      </c>
      <c r="CM3260" s="5" t="s">
        <v>238</v>
      </c>
      <c r="CN3260" s="5">
        <v>0</v>
      </c>
      <c r="CO3260" s="5" t="s">
        <v>497</v>
      </c>
      <c r="CP3260" s="5" t="s">
        <v>260</v>
      </c>
      <c r="CQ3260" s="5" t="s">
        <v>260</v>
      </c>
      <c r="CR3260" s="5" t="s">
        <v>261</v>
      </c>
      <c r="CS3260" s="5" t="s">
        <v>238</v>
      </c>
      <c r="CT3260" s="7">
        <f>1607</f>
        <v>1607</v>
      </c>
      <c r="CU3260" s="8">
        <f>23207</f>
        <v>23207</v>
      </c>
      <c r="CV3260" s="8">
        <f>0</f>
        <v>0</v>
      </c>
      <c r="CW3260" s="8">
        <f>0</f>
        <v>0</v>
      </c>
      <c r="CX3260" s="8">
        <f>23207</f>
        <v>23207</v>
      </c>
      <c r="CY3260" s="8">
        <f>23207</f>
        <v>23207</v>
      </c>
      <c r="CZ3260" s="8" t="s">
        <v>238</v>
      </c>
      <c r="DA3260" s="5" t="s">
        <v>238</v>
      </c>
      <c r="DB3260" s="5" t="s">
        <v>238</v>
      </c>
      <c r="DD3260" s="5" t="s">
        <v>274</v>
      </c>
      <c r="DE3260" s="8">
        <f>14.44</f>
        <v>14.44</v>
      </c>
      <c r="DF3260" s="6" t="s">
        <v>6669</v>
      </c>
      <c r="DG3260" s="5" t="s">
        <v>274</v>
      </c>
      <c r="DH3260" s="5" t="s">
        <v>238</v>
      </c>
      <c r="DI3260" s="5" t="s">
        <v>238</v>
      </c>
      <c r="DJ3260" s="5" t="s">
        <v>238</v>
      </c>
      <c r="DK3260" s="5" t="s">
        <v>238</v>
      </c>
      <c r="DL3260" s="5" t="s">
        <v>238</v>
      </c>
      <c r="DM3260" s="8" t="s">
        <v>238</v>
      </c>
      <c r="DN3260" s="5" t="s">
        <v>238</v>
      </c>
      <c r="DO3260" s="5" t="s">
        <v>244</v>
      </c>
      <c r="DP3260" s="5" t="s">
        <v>490</v>
      </c>
      <c r="DQ3260" s="5" t="s">
        <v>490</v>
      </c>
      <c r="DR3260" s="5" t="s">
        <v>238</v>
      </c>
      <c r="DS3260" s="5" t="s">
        <v>238</v>
      </c>
      <c r="HP3260" s="5" t="s">
        <v>238</v>
      </c>
      <c r="HQ3260" s="5" t="s">
        <v>238</v>
      </c>
      <c r="HR3260" s="5" t="s">
        <v>238</v>
      </c>
      <c r="HS3260" s="5" t="s">
        <v>238</v>
      </c>
      <c r="HT3260" s="5" t="s">
        <v>238</v>
      </c>
      <c r="HU3260" s="5" t="s">
        <v>238</v>
      </c>
      <c r="HV3260" s="5" t="s">
        <v>238</v>
      </c>
      <c r="HW3260" s="5" t="s">
        <v>238</v>
      </c>
      <c r="HX3260" s="5" t="s">
        <v>238</v>
      </c>
      <c r="HY3260" s="5" t="s">
        <v>238</v>
      </c>
      <c r="HZ3260" s="5" t="s">
        <v>238</v>
      </c>
      <c r="IA3260" s="5" t="s">
        <v>238</v>
      </c>
      <c r="IB3260" s="5" t="s">
        <v>238</v>
      </c>
      <c r="IC3260" s="5" t="s">
        <v>238</v>
      </c>
      <c r="ID3260" s="5" t="s">
        <v>238</v>
      </c>
    </row>
    <row r="3261" spans="1:238" x14ac:dyDescent="0.4">
      <c r="A3261" s="5">
        <v>8806</v>
      </c>
      <c r="B3261" s="5">
        <v>1</v>
      </c>
      <c r="C3261" s="5">
        <v>1</v>
      </c>
      <c r="D3261" s="5" t="s">
        <v>6084</v>
      </c>
      <c r="E3261" s="5" t="s">
        <v>4391</v>
      </c>
      <c r="F3261" s="5" t="s">
        <v>248</v>
      </c>
      <c r="G3261" s="5" t="s">
        <v>6570</v>
      </c>
      <c r="H3261" s="6" t="s">
        <v>6670</v>
      </c>
      <c r="I3261" s="7">
        <f>7.48</f>
        <v>7.48</v>
      </c>
      <c r="J3261" s="5" t="s">
        <v>262</v>
      </c>
      <c r="K3261" s="8">
        <f>12021</f>
        <v>12021</v>
      </c>
      <c r="L3261" s="6" t="s">
        <v>6669</v>
      </c>
      <c r="M3261" s="5" t="s">
        <v>267</v>
      </c>
      <c r="N3261" s="5" t="s">
        <v>237</v>
      </c>
      <c r="Q3261" s="5" t="s">
        <v>239</v>
      </c>
      <c r="R3261" s="5" t="s">
        <v>270</v>
      </c>
      <c r="S3261" s="5" t="s">
        <v>238</v>
      </c>
      <c r="V3261" s="5" t="s">
        <v>878</v>
      </c>
      <c r="W3261" s="6" t="s">
        <v>238</v>
      </c>
      <c r="X3261" s="6" t="s">
        <v>6669</v>
      </c>
      <c r="Y3261" s="5" t="s">
        <v>238</v>
      </c>
      <c r="Z3261" s="6" t="s">
        <v>238</v>
      </c>
      <c r="AA3261" s="6" t="s">
        <v>238</v>
      </c>
      <c r="AB3261" s="5" t="s">
        <v>6572</v>
      </c>
      <c r="AC3261" s="5" t="s">
        <v>244</v>
      </c>
      <c r="AD3261" s="5" t="s">
        <v>245</v>
      </c>
      <c r="AJ3261" s="5" t="s">
        <v>238</v>
      </c>
      <c r="AK3261" s="5" t="s">
        <v>238</v>
      </c>
      <c r="AL3261" s="5" t="s">
        <v>238</v>
      </c>
      <c r="AM3261" s="6" t="s">
        <v>238</v>
      </c>
      <c r="AN3261" s="6" t="s">
        <v>238</v>
      </c>
      <c r="AO3261" s="6" t="s">
        <v>238</v>
      </c>
      <c r="AR3261" s="5" t="s">
        <v>488</v>
      </c>
      <c r="AS3261" s="5" t="s">
        <v>488</v>
      </c>
      <c r="AT3261" s="5" t="s">
        <v>246</v>
      </c>
      <c r="AU3261" s="5" t="s">
        <v>489</v>
      </c>
      <c r="AV3261" s="5" t="s">
        <v>247</v>
      </c>
      <c r="AW3261" s="5" t="s">
        <v>600</v>
      </c>
      <c r="AX3261" s="5" t="s">
        <v>249</v>
      </c>
      <c r="AY3261" s="5" t="s">
        <v>490</v>
      </c>
      <c r="BA3261" s="5" t="s">
        <v>4547</v>
      </c>
      <c r="BC3261" s="5" t="s">
        <v>491</v>
      </c>
      <c r="BD3261" s="6" t="s">
        <v>6669</v>
      </c>
      <c r="BE3261" s="5" t="s">
        <v>6574</v>
      </c>
      <c r="BF3261" s="5" t="s">
        <v>6574</v>
      </c>
      <c r="BG3261" s="5" t="s">
        <v>238</v>
      </c>
      <c r="BH3261" s="7">
        <f>7.48</f>
        <v>7.48</v>
      </c>
      <c r="BI3261" s="8">
        <f>12021</f>
        <v>12021</v>
      </c>
      <c r="BJ3261" s="5" t="s">
        <v>253</v>
      </c>
      <c r="BK3261" s="5" t="s">
        <v>254</v>
      </c>
      <c r="BL3261" s="5" t="s">
        <v>238</v>
      </c>
      <c r="BM3261" s="5" t="s">
        <v>238</v>
      </c>
      <c r="BN3261" s="5" t="s">
        <v>238</v>
      </c>
      <c r="BO3261" s="5" t="s">
        <v>238</v>
      </c>
      <c r="BT3261" s="6" t="s">
        <v>238</v>
      </c>
      <c r="BU3261" s="5" t="s">
        <v>238</v>
      </c>
      <c r="BV3261" s="5" t="s">
        <v>238</v>
      </c>
      <c r="BW3261" s="5" t="s">
        <v>238</v>
      </c>
      <c r="BX3261" s="5" t="s">
        <v>254</v>
      </c>
      <c r="BY3261" s="5" t="s">
        <v>238</v>
      </c>
      <c r="BZ3261" s="5" t="s">
        <v>238</v>
      </c>
      <c r="CD3261" s="5" t="s">
        <v>238</v>
      </c>
      <c r="CE3261" s="5" t="s">
        <v>238</v>
      </c>
      <c r="CF3261" s="5" t="s">
        <v>261</v>
      </c>
      <c r="CG3261" s="5" t="s">
        <v>6575</v>
      </c>
      <c r="CH3261" s="5" t="s">
        <v>238</v>
      </c>
      <c r="CI3261" s="6" t="s">
        <v>257</v>
      </c>
      <c r="CJ3261" s="5" t="s">
        <v>495</v>
      </c>
      <c r="CK3261" s="5" t="s">
        <v>258</v>
      </c>
      <c r="CL3261" s="5" t="s">
        <v>496</v>
      </c>
      <c r="CM3261" s="5" t="s">
        <v>238</v>
      </c>
      <c r="CN3261" s="5">
        <v>0</v>
      </c>
      <c r="CO3261" s="5" t="s">
        <v>497</v>
      </c>
      <c r="CP3261" s="5" t="s">
        <v>260</v>
      </c>
      <c r="CQ3261" s="5" t="s">
        <v>260</v>
      </c>
      <c r="CR3261" s="5" t="s">
        <v>261</v>
      </c>
      <c r="CS3261" s="5" t="s">
        <v>238</v>
      </c>
      <c r="CT3261" s="7">
        <f>1607</f>
        <v>1607</v>
      </c>
      <c r="CU3261" s="8">
        <f>12021</f>
        <v>12021</v>
      </c>
      <c r="CV3261" s="8">
        <f>0</f>
        <v>0</v>
      </c>
      <c r="CW3261" s="8">
        <f>0</f>
        <v>0</v>
      </c>
      <c r="CX3261" s="8">
        <f>12021</f>
        <v>12021</v>
      </c>
      <c r="CY3261" s="8">
        <f>12021</f>
        <v>12021</v>
      </c>
      <c r="CZ3261" s="8" t="s">
        <v>238</v>
      </c>
      <c r="DA3261" s="5" t="s">
        <v>238</v>
      </c>
      <c r="DB3261" s="5" t="s">
        <v>238</v>
      </c>
      <c r="DD3261" s="5" t="s">
        <v>274</v>
      </c>
      <c r="DE3261" s="8">
        <f>7.48</f>
        <v>7.48</v>
      </c>
      <c r="DF3261" s="6" t="s">
        <v>6669</v>
      </c>
      <c r="DG3261" s="5" t="s">
        <v>274</v>
      </c>
      <c r="DH3261" s="5" t="s">
        <v>238</v>
      </c>
      <c r="DI3261" s="5" t="s">
        <v>238</v>
      </c>
      <c r="DJ3261" s="5" t="s">
        <v>238</v>
      </c>
      <c r="DK3261" s="5" t="s">
        <v>238</v>
      </c>
      <c r="DL3261" s="5" t="s">
        <v>238</v>
      </c>
      <c r="DM3261" s="8" t="s">
        <v>238</v>
      </c>
      <c r="DN3261" s="5" t="s">
        <v>238</v>
      </c>
      <c r="DO3261" s="5" t="s">
        <v>244</v>
      </c>
      <c r="DP3261" s="5" t="s">
        <v>490</v>
      </c>
      <c r="DQ3261" s="5" t="s">
        <v>490</v>
      </c>
      <c r="DR3261" s="5" t="s">
        <v>238</v>
      </c>
      <c r="DS3261" s="5" t="s">
        <v>238</v>
      </c>
      <c r="HP3261" s="5" t="s">
        <v>238</v>
      </c>
      <c r="HQ3261" s="5" t="s">
        <v>238</v>
      </c>
      <c r="HR3261" s="5" t="s">
        <v>238</v>
      </c>
      <c r="HS3261" s="5" t="s">
        <v>238</v>
      </c>
      <c r="HT3261" s="5" t="s">
        <v>238</v>
      </c>
      <c r="HU3261" s="5" t="s">
        <v>238</v>
      </c>
      <c r="HV3261" s="5" t="s">
        <v>238</v>
      </c>
      <c r="HW3261" s="5" t="s">
        <v>238</v>
      </c>
      <c r="HX3261" s="5" t="s">
        <v>238</v>
      </c>
      <c r="HY3261" s="5" t="s">
        <v>238</v>
      </c>
      <c r="HZ3261" s="5" t="s">
        <v>238</v>
      </c>
      <c r="IA3261" s="5" t="s">
        <v>238</v>
      </c>
      <c r="IB3261" s="5" t="s">
        <v>238</v>
      </c>
      <c r="IC3261" s="5" t="s">
        <v>238</v>
      </c>
      <c r="ID3261" s="5" t="s">
        <v>238</v>
      </c>
    </row>
    <row r="3262" spans="1:238" x14ac:dyDescent="0.4">
      <c r="A3262" s="5">
        <v>8807</v>
      </c>
      <c r="B3262" s="5">
        <v>1</v>
      </c>
      <c r="C3262" s="5">
        <v>1</v>
      </c>
      <c r="D3262" s="5" t="s">
        <v>6084</v>
      </c>
      <c r="E3262" s="5" t="s">
        <v>4391</v>
      </c>
      <c r="F3262" s="5" t="s">
        <v>248</v>
      </c>
      <c r="G3262" s="5" t="s">
        <v>6570</v>
      </c>
      <c r="H3262" s="6" t="s">
        <v>6573</v>
      </c>
      <c r="I3262" s="7">
        <f>20</f>
        <v>20</v>
      </c>
      <c r="J3262" s="5" t="s">
        <v>262</v>
      </c>
      <c r="K3262" s="8">
        <f>32143</f>
        <v>32143</v>
      </c>
      <c r="L3262" s="6" t="s">
        <v>6571</v>
      </c>
      <c r="M3262" s="5" t="s">
        <v>267</v>
      </c>
      <c r="N3262" s="5" t="s">
        <v>237</v>
      </c>
      <c r="Q3262" s="5" t="s">
        <v>239</v>
      </c>
      <c r="R3262" s="5" t="s">
        <v>270</v>
      </c>
      <c r="S3262" s="5" t="s">
        <v>238</v>
      </c>
      <c r="V3262" s="5" t="s">
        <v>878</v>
      </c>
      <c r="W3262" s="6" t="s">
        <v>238</v>
      </c>
      <c r="X3262" s="6" t="s">
        <v>238</v>
      </c>
      <c r="Y3262" s="5" t="s">
        <v>238</v>
      </c>
      <c r="Z3262" s="6" t="s">
        <v>238</v>
      </c>
      <c r="AA3262" s="6" t="s">
        <v>238</v>
      </c>
      <c r="AB3262" s="5" t="s">
        <v>6572</v>
      </c>
      <c r="AC3262" s="5" t="s">
        <v>244</v>
      </c>
      <c r="AD3262" s="5" t="s">
        <v>245</v>
      </c>
      <c r="AJ3262" s="5" t="s">
        <v>238</v>
      </c>
      <c r="AK3262" s="5" t="s">
        <v>238</v>
      </c>
      <c r="AL3262" s="5" t="s">
        <v>238</v>
      </c>
      <c r="AM3262" s="6" t="s">
        <v>238</v>
      </c>
      <c r="AN3262" s="6" t="s">
        <v>238</v>
      </c>
      <c r="AO3262" s="6" t="s">
        <v>238</v>
      </c>
      <c r="AR3262" s="5" t="s">
        <v>488</v>
      </c>
      <c r="AS3262" s="5" t="s">
        <v>488</v>
      </c>
      <c r="AT3262" s="5" t="s">
        <v>246</v>
      </c>
      <c r="AU3262" s="5" t="s">
        <v>489</v>
      </c>
      <c r="AV3262" s="5" t="s">
        <v>247</v>
      </c>
      <c r="AW3262" s="5" t="s">
        <v>600</v>
      </c>
      <c r="AX3262" s="5" t="s">
        <v>249</v>
      </c>
      <c r="AY3262" s="5" t="s">
        <v>490</v>
      </c>
      <c r="BA3262" s="5" t="s">
        <v>4547</v>
      </c>
      <c r="BC3262" s="5" t="s">
        <v>491</v>
      </c>
      <c r="BD3262" s="6" t="s">
        <v>6571</v>
      </c>
      <c r="BE3262" s="5" t="s">
        <v>6574</v>
      </c>
      <c r="BF3262" s="5" t="s">
        <v>6574</v>
      </c>
      <c r="BG3262" s="5" t="s">
        <v>238</v>
      </c>
      <c r="BH3262" s="7">
        <f>20</f>
        <v>20</v>
      </c>
      <c r="BI3262" s="8">
        <f>32143</f>
        <v>32143</v>
      </c>
      <c r="BJ3262" s="5" t="s">
        <v>253</v>
      </c>
      <c r="BK3262" s="5" t="s">
        <v>254</v>
      </c>
      <c r="BL3262" s="5" t="s">
        <v>238</v>
      </c>
      <c r="BM3262" s="5" t="s">
        <v>238</v>
      </c>
      <c r="BN3262" s="5" t="s">
        <v>238</v>
      </c>
      <c r="BO3262" s="5" t="s">
        <v>238</v>
      </c>
      <c r="BT3262" s="6" t="s">
        <v>238</v>
      </c>
      <c r="BU3262" s="5" t="s">
        <v>238</v>
      </c>
      <c r="BV3262" s="5" t="s">
        <v>238</v>
      </c>
      <c r="BW3262" s="5" t="s">
        <v>238</v>
      </c>
      <c r="BX3262" s="5" t="s">
        <v>254</v>
      </c>
      <c r="BY3262" s="5" t="s">
        <v>238</v>
      </c>
      <c r="BZ3262" s="5" t="s">
        <v>238</v>
      </c>
      <c r="CD3262" s="5" t="s">
        <v>238</v>
      </c>
      <c r="CE3262" s="5" t="s">
        <v>238</v>
      </c>
      <c r="CF3262" s="5" t="s">
        <v>261</v>
      </c>
      <c r="CG3262" s="5" t="s">
        <v>6575</v>
      </c>
      <c r="CH3262" s="5" t="s">
        <v>238</v>
      </c>
      <c r="CI3262" s="6" t="s">
        <v>257</v>
      </c>
      <c r="CJ3262" s="5" t="s">
        <v>495</v>
      </c>
      <c r="CK3262" s="5" t="s">
        <v>258</v>
      </c>
      <c r="CL3262" s="5" t="s">
        <v>496</v>
      </c>
      <c r="CM3262" s="5" t="s">
        <v>238</v>
      </c>
      <c r="CN3262" s="5">
        <v>0</v>
      </c>
      <c r="CO3262" s="5" t="s">
        <v>497</v>
      </c>
      <c r="CP3262" s="5" t="s">
        <v>260</v>
      </c>
      <c r="CQ3262" s="5" t="s">
        <v>260</v>
      </c>
      <c r="CR3262" s="5" t="s">
        <v>261</v>
      </c>
      <c r="CS3262" s="5" t="s">
        <v>238</v>
      </c>
      <c r="CT3262" s="7">
        <f>1607</f>
        <v>1607</v>
      </c>
      <c r="CU3262" s="8">
        <f>32143</f>
        <v>32143</v>
      </c>
      <c r="CV3262" s="8">
        <f>0</f>
        <v>0</v>
      </c>
      <c r="CW3262" s="8">
        <f>0</f>
        <v>0</v>
      </c>
      <c r="CX3262" s="8">
        <f>32143</f>
        <v>32143</v>
      </c>
      <c r="CY3262" s="8">
        <f>32143</f>
        <v>32143</v>
      </c>
      <c r="CZ3262" s="8" t="s">
        <v>238</v>
      </c>
      <c r="DA3262" s="5" t="s">
        <v>238</v>
      </c>
      <c r="DB3262" s="5" t="s">
        <v>238</v>
      </c>
      <c r="DD3262" s="5" t="s">
        <v>274</v>
      </c>
      <c r="DE3262" s="8">
        <f>20</f>
        <v>20</v>
      </c>
      <c r="DF3262" s="6" t="s">
        <v>6571</v>
      </c>
      <c r="DG3262" s="5" t="s">
        <v>274</v>
      </c>
      <c r="DH3262" s="5" t="s">
        <v>238</v>
      </c>
      <c r="DI3262" s="5" t="s">
        <v>238</v>
      </c>
      <c r="DJ3262" s="5" t="s">
        <v>238</v>
      </c>
      <c r="DK3262" s="5" t="s">
        <v>238</v>
      </c>
      <c r="DL3262" s="5" t="s">
        <v>238</v>
      </c>
      <c r="DM3262" s="8" t="s">
        <v>238</v>
      </c>
      <c r="DN3262" s="5" t="s">
        <v>238</v>
      </c>
      <c r="DO3262" s="5" t="s">
        <v>244</v>
      </c>
      <c r="DP3262" s="5" t="s">
        <v>490</v>
      </c>
      <c r="DQ3262" s="5" t="s">
        <v>490</v>
      </c>
      <c r="DR3262" s="5" t="s">
        <v>238</v>
      </c>
      <c r="DS3262" s="5" t="s">
        <v>238</v>
      </c>
      <c r="HP3262" s="5" t="s">
        <v>238</v>
      </c>
      <c r="HQ3262" s="5" t="s">
        <v>238</v>
      </c>
      <c r="HR3262" s="5" t="s">
        <v>238</v>
      </c>
      <c r="HS3262" s="5" t="s">
        <v>238</v>
      </c>
      <c r="HT3262" s="5" t="s">
        <v>238</v>
      </c>
      <c r="HU3262" s="5" t="s">
        <v>238</v>
      </c>
      <c r="HV3262" s="5" t="s">
        <v>238</v>
      </c>
      <c r="HW3262" s="5" t="s">
        <v>238</v>
      </c>
      <c r="HX3262" s="5" t="s">
        <v>238</v>
      </c>
      <c r="HY3262" s="5" t="s">
        <v>238</v>
      </c>
      <c r="HZ3262" s="5" t="s">
        <v>238</v>
      </c>
      <c r="IA3262" s="5" t="s">
        <v>238</v>
      </c>
      <c r="IB3262" s="5" t="s">
        <v>238</v>
      </c>
      <c r="IC3262" s="5" t="s">
        <v>238</v>
      </c>
      <c r="ID3262" s="5" t="s">
        <v>238</v>
      </c>
    </row>
    <row r="3263" spans="1:238" x14ac:dyDescent="0.4">
      <c r="A3263" s="5">
        <v>8981</v>
      </c>
      <c r="B3263" s="5">
        <v>1</v>
      </c>
      <c r="C3263" s="5">
        <v>1</v>
      </c>
      <c r="D3263" s="5" t="s">
        <v>484</v>
      </c>
      <c r="E3263" s="5" t="s">
        <v>475</v>
      </c>
      <c r="F3263" s="5" t="s">
        <v>248</v>
      </c>
      <c r="G3263" s="5" t="s">
        <v>531</v>
      </c>
      <c r="H3263" s="6" t="s">
        <v>6647</v>
      </c>
      <c r="I3263" s="7">
        <f>4769</f>
        <v>4769</v>
      </c>
      <c r="J3263" s="5" t="s">
        <v>262</v>
      </c>
      <c r="K3263" s="8">
        <f>1</f>
        <v>1</v>
      </c>
      <c r="L3263" s="6" t="s">
        <v>6644</v>
      </c>
      <c r="M3263" s="5" t="s">
        <v>267</v>
      </c>
      <c r="N3263" s="5" t="s">
        <v>237</v>
      </c>
      <c r="Q3263" s="5" t="s">
        <v>239</v>
      </c>
      <c r="R3263" s="5" t="s">
        <v>270</v>
      </c>
      <c r="S3263" s="5" t="s">
        <v>238</v>
      </c>
      <c r="V3263" s="5" t="s">
        <v>238</v>
      </c>
      <c r="W3263" s="6" t="s">
        <v>238</v>
      </c>
      <c r="X3263" s="6" t="s">
        <v>238</v>
      </c>
      <c r="Y3263" s="5" t="s">
        <v>238</v>
      </c>
      <c r="Z3263" s="6" t="s">
        <v>238</v>
      </c>
      <c r="AA3263" s="6" t="s">
        <v>6645</v>
      </c>
      <c r="AB3263" s="5" t="s">
        <v>6646</v>
      </c>
      <c r="AC3263" s="5" t="s">
        <v>244</v>
      </c>
      <c r="AD3263" s="5" t="s">
        <v>245</v>
      </c>
      <c r="AJ3263" s="5" t="s">
        <v>238</v>
      </c>
      <c r="AK3263" s="5" t="s">
        <v>238</v>
      </c>
      <c r="AL3263" s="5" t="s">
        <v>238</v>
      </c>
      <c r="AM3263" s="6" t="s">
        <v>238</v>
      </c>
      <c r="AN3263" s="6" t="s">
        <v>238</v>
      </c>
      <c r="AO3263" s="6" t="s">
        <v>238</v>
      </c>
      <c r="AR3263" s="5" t="s">
        <v>488</v>
      </c>
      <c r="AS3263" s="5" t="s">
        <v>488</v>
      </c>
      <c r="AT3263" s="5" t="s">
        <v>246</v>
      </c>
      <c r="AU3263" s="5" t="s">
        <v>489</v>
      </c>
      <c r="AV3263" s="5" t="s">
        <v>247</v>
      </c>
      <c r="AW3263" s="5" t="s">
        <v>600</v>
      </c>
      <c r="AX3263" s="5" t="s">
        <v>249</v>
      </c>
      <c r="AY3263" s="5" t="s">
        <v>490</v>
      </c>
      <c r="BA3263" s="5" t="s">
        <v>1397</v>
      </c>
      <c r="BC3263" s="5" t="s">
        <v>491</v>
      </c>
      <c r="BD3263" s="6" t="s">
        <v>492</v>
      </c>
      <c r="BE3263" s="5" t="s">
        <v>493</v>
      </c>
      <c r="BF3263" s="5" t="s">
        <v>493</v>
      </c>
      <c r="BG3263" s="5" t="s">
        <v>238</v>
      </c>
      <c r="BH3263" s="7">
        <f>4769</f>
        <v>4769</v>
      </c>
      <c r="BI3263" s="8">
        <f>1</f>
        <v>1</v>
      </c>
      <c r="BJ3263" s="5" t="s">
        <v>253</v>
      </c>
      <c r="BK3263" s="5" t="s">
        <v>254</v>
      </c>
      <c r="BL3263" s="5" t="s">
        <v>238</v>
      </c>
      <c r="BM3263" s="5" t="s">
        <v>238</v>
      </c>
      <c r="BN3263" s="5" t="s">
        <v>238</v>
      </c>
      <c r="BO3263" s="5" t="s">
        <v>238</v>
      </c>
      <c r="BT3263" s="6" t="s">
        <v>238</v>
      </c>
      <c r="BU3263" s="5" t="s">
        <v>238</v>
      </c>
      <c r="BV3263" s="5" t="s">
        <v>238</v>
      </c>
      <c r="BW3263" s="5" t="s">
        <v>238</v>
      </c>
      <c r="BX3263" s="5" t="s">
        <v>254</v>
      </c>
      <c r="BY3263" s="5" t="s">
        <v>238</v>
      </c>
      <c r="BZ3263" s="5" t="s">
        <v>238</v>
      </c>
      <c r="CD3263" s="5" t="s">
        <v>238</v>
      </c>
      <c r="CE3263" s="5" t="s">
        <v>238</v>
      </c>
      <c r="CF3263" s="5" t="s">
        <v>261</v>
      </c>
      <c r="CH3263" s="5" t="s">
        <v>238</v>
      </c>
      <c r="CI3263" s="6" t="s">
        <v>257</v>
      </c>
      <c r="CJ3263" s="5" t="s">
        <v>495</v>
      </c>
      <c r="CK3263" s="5" t="s">
        <v>258</v>
      </c>
      <c r="CL3263" s="5" t="s">
        <v>496</v>
      </c>
      <c r="CM3263" s="5" t="s">
        <v>238</v>
      </c>
      <c r="CN3263" s="5">
        <v>0</v>
      </c>
      <c r="CO3263" s="5" t="s">
        <v>497</v>
      </c>
      <c r="CP3263" s="5" t="s">
        <v>260</v>
      </c>
      <c r="CQ3263" s="5" t="s">
        <v>260</v>
      </c>
      <c r="CR3263" s="5" t="s">
        <v>261</v>
      </c>
      <c r="CS3263" s="5" t="s">
        <v>238</v>
      </c>
      <c r="CT3263" s="7">
        <f>0</f>
        <v>0</v>
      </c>
      <c r="CU3263" s="8">
        <f>1</f>
        <v>1</v>
      </c>
      <c r="CV3263" s="8">
        <f>0</f>
        <v>0</v>
      </c>
      <c r="CW3263" s="8">
        <f>0</f>
        <v>0</v>
      </c>
      <c r="CX3263" s="8">
        <f>1</f>
        <v>1</v>
      </c>
      <c r="CY3263" s="8">
        <f>1</f>
        <v>1</v>
      </c>
      <c r="CZ3263" s="8" t="s">
        <v>238</v>
      </c>
      <c r="DA3263" s="5" t="s">
        <v>238</v>
      </c>
      <c r="DB3263" s="5" t="s">
        <v>238</v>
      </c>
      <c r="DD3263" s="5" t="s">
        <v>238</v>
      </c>
      <c r="DE3263" s="8">
        <f>0</f>
        <v>0</v>
      </c>
      <c r="DF3263" s="6" t="s">
        <v>238</v>
      </c>
      <c r="DG3263" s="5" t="s">
        <v>238</v>
      </c>
      <c r="DH3263" s="5" t="s">
        <v>238</v>
      </c>
      <c r="DI3263" s="5" t="s">
        <v>238</v>
      </c>
      <c r="DJ3263" s="5" t="s">
        <v>238</v>
      </c>
      <c r="DK3263" s="5" t="s">
        <v>238</v>
      </c>
      <c r="DL3263" s="5" t="s">
        <v>238</v>
      </c>
      <c r="DM3263" s="8" t="s">
        <v>238</v>
      </c>
      <c r="DN3263" s="5" t="s">
        <v>238</v>
      </c>
      <c r="DO3263" s="5" t="s">
        <v>244</v>
      </c>
      <c r="DP3263" s="5" t="s">
        <v>490</v>
      </c>
      <c r="DQ3263" s="5" t="s">
        <v>490</v>
      </c>
      <c r="DR3263" s="5" t="s">
        <v>238</v>
      </c>
      <c r="DS3263" s="5" t="s">
        <v>238</v>
      </c>
      <c r="HP3263" s="5" t="s">
        <v>238</v>
      </c>
      <c r="HQ3263" s="5" t="s">
        <v>238</v>
      </c>
      <c r="HR3263" s="5" t="s">
        <v>238</v>
      </c>
      <c r="HS3263" s="5" t="s">
        <v>238</v>
      </c>
      <c r="HT3263" s="5" t="s">
        <v>238</v>
      </c>
      <c r="HU3263" s="5" t="s">
        <v>238</v>
      </c>
      <c r="HV3263" s="5" t="s">
        <v>238</v>
      </c>
      <c r="HW3263" s="5" t="s">
        <v>238</v>
      </c>
      <c r="HX3263" s="5" t="s">
        <v>238</v>
      </c>
      <c r="HY3263" s="5" t="s">
        <v>238</v>
      </c>
      <c r="HZ3263" s="5" t="s">
        <v>238</v>
      </c>
      <c r="IA3263" s="5" t="s">
        <v>238</v>
      </c>
      <c r="IB3263" s="5" t="s">
        <v>238</v>
      </c>
      <c r="IC3263" s="5" t="s">
        <v>238</v>
      </c>
      <c r="ID3263" s="5" t="s">
        <v>238</v>
      </c>
    </row>
    <row r="3264" spans="1:238" x14ac:dyDescent="0.4">
      <c r="A3264" s="5">
        <v>8982</v>
      </c>
      <c r="B3264" s="5">
        <v>1</v>
      </c>
      <c r="C3264" s="5">
        <v>1</v>
      </c>
      <c r="D3264" s="5" t="s">
        <v>484</v>
      </c>
      <c r="E3264" s="5" t="s">
        <v>475</v>
      </c>
      <c r="F3264" s="5" t="s">
        <v>248</v>
      </c>
      <c r="G3264" s="5" t="s">
        <v>531</v>
      </c>
      <c r="H3264" s="6" t="s">
        <v>6764</v>
      </c>
      <c r="I3264" s="7">
        <f>4783</f>
        <v>4783</v>
      </c>
      <c r="J3264" s="5" t="s">
        <v>262</v>
      </c>
      <c r="K3264" s="8">
        <f>52613</f>
        <v>52613</v>
      </c>
      <c r="L3264" s="6" t="s">
        <v>242</v>
      </c>
      <c r="M3264" s="5" t="s">
        <v>267</v>
      </c>
      <c r="N3264" s="5" t="s">
        <v>482</v>
      </c>
      <c r="Q3264" s="5" t="s">
        <v>239</v>
      </c>
      <c r="R3264" s="5" t="s">
        <v>270</v>
      </c>
      <c r="S3264" s="5" t="s">
        <v>238</v>
      </c>
      <c r="V3264" s="5" t="s">
        <v>238</v>
      </c>
      <c r="W3264" s="6" t="s">
        <v>238</v>
      </c>
      <c r="X3264" s="6" t="s">
        <v>238</v>
      </c>
      <c r="Y3264" s="5" t="s">
        <v>238</v>
      </c>
      <c r="Z3264" s="6" t="s">
        <v>238</v>
      </c>
      <c r="AA3264" s="6" t="s">
        <v>6645</v>
      </c>
      <c r="AB3264" s="5" t="s">
        <v>486</v>
      </c>
      <c r="AC3264" s="5" t="s">
        <v>244</v>
      </c>
      <c r="AD3264" s="5" t="s">
        <v>245</v>
      </c>
      <c r="AJ3264" s="5" t="s">
        <v>238</v>
      </c>
      <c r="AK3264" s="5" t="s">
        <v>238</v>
      </c>
      <c r="AL3264" s="5" t="s">
        <v>238</v>
      </c>
      <c r="AM3264" s="6" t="s">
        <v>238</v>
      </c>
      <c r="AN3264" s="6" t="s">
        <v>238</v>
      </c>
      <c r="AO3264" s="6" t="s">
        <v>238</v>
      </c>
      <c r="AR3264" s="5" t="s">
        <v>488</v>
      </c>
      <c r="AS3264" s="5" t="s">
        <v>488</v>
      </c>
      <c r="AT3264" s="5" t="s">
        <v>246</v>
      </c>
      <c r="AU3264" s="5" t="s">
        <v>489</v>
      </c>
      <c r="AV3264" s="5" t="s">
        <v>247</v>
      </c>
      <c r="AW3264" s="5" t="s">
        <v>600</v>
      </c>
      <c r="AX3264" s="5" t="s">
        <v>249</v>
      </c>
      <c r="AY3264" s="5" t="s">
        <v>490</v>
      </c>
      <c r="BA3264" s="5" t="s">
        <v>1397</v>
      </c>
      <c r="BC3264" s="5" t="s">
        <v>491</v>
      </c>
      <c r="BD3264" s="6" t="s">
        <v>492</v>
      </c>
      <c r="BE3264" s="5" t="s">
        <v>493</v>
      </c>
      <c r="BF3264" s="5" t="s">
        <v>493</v>
      </c>
      <c r="BG3264" s="5" t="s">
        <v>238</v>
      </c>
      <c r="BH3264" s="7">
        <f>4783</f>
        <v>4783</v>
      </c>
      <c r="BI3264" s="8">
        <f>52613</f>
        <v>52613</v>
      </c>
      <c r="BJ3264" s="5" t="s">
        <v>253</v>
      </c>
      <c r="BK3264" s="5" t="s">
        <v>254</v>
      </c>
      <c r="BL3264" s="5" t="s">
        <v>238</v>
      </c>
      <c r="BM3264" s="5" t="s">
        <v>238</v>
      </c>
      <c r="BN3264" s="5" t="s">
        <v>238</v>
      </c>
      <c r="BO3264" s="5" t="s">
        <v>238</v>
      </c>
      <c r="BT3264" s="6" t="s">
        <v>238</v>
      </c>
      <c r="BU3264" s="5" t="s">
        <v>238</v>
      </c>
      <c r="BV3264" s="5" t="s">
        <v>238</v>
      </c>
      <c r="BW3264" s="5" t="s">
        <v>238</v>
      </c>
      <c r="BX3264" s="5" t="s">
        <v>254</v>
      </c>
      <c r="BY3264" s="5" t="s">
        <v>238</v>
      </c>
      <c r="BZ3264" s="5" t="s">
        <v>238</v>
      </c>
      <c r="CD3264" s="5" t="s">
        <v>238</v>
      </c>
      <c r="CE3264" s="5" t="s">
        <v>238</v>
      </c>
      <c r="CF3264" s="5" t="s">
        <v>261</v>
      </c>
      <c r="CH3264" s="5" t="s">
        <v>238</v>
      </c>
      <c r="CI3264" s="6" t="s">
        <v>257</v>
      </c>
      <c r="CJ3264" s="5" t="s">
        <v>495</v>
      </c>
      <c r="CK3264" s="5" t="s">
        <v>258</v>
      </c>
      <c r="CL3264" s="5" t="s">
        <v>496</v>
      </c>
      <c r="CM3264" s="5" t="s">
        <v>238</v>
      </c>
      <c r="CN3264" s="5">
        <v>0</v>
      </c>
      <c r="CO3264" s="5" t="s">
        <v>497</v>
      </c>
      <c r="CP3264" s="5" t="s">
        <v>260</v>
      </c>
      <c r="CQ3264" s="5" t="s">
        <v>260</v>
      </c>
      <c r="CR3264" s="5" t="s">
        <v>261</v>
      </c>
      <c r="CS3264" s="5" t="s">
        <v>238</v>
      </c>
      <c r="CT3264" s="7">
        <f>11</f>
        <v>11</v>
      </c>
      <c r="CU3264" s="8">
        <f>52613</f>
        <v>52613</v>
      </c>
      <c r="CV3264" s="8">
        <f>0</f>
        <v>0</v>
      </c>
      <c r="CW3264" s="8">
        <f>0</f>
        <v>0</v>
      </c>
      <c r="CX3264" s="8">
        <f>52613</f>
        <v>52613</v>
      </c>
      <c r="CY3264" s="8">
        <f>52613</f>
        <v>52613</v>
      </c>
      <c r="CZ3264" s="8" t="s">
        <v>238</v>
      </c>
      <c r="DA3264" s="5" t="s">
        <v>238</v>
      </c>
      <c r="DB3264" s="5" t="s">
        <v>238</v>
      </c>
      <c r="DD3264" s="5" t="s">
        <v>238</v>
      </c>
      <c r="DE3264" s="8">
        <f>0</f>
        <v>0</v>
      </c>
      <c r="DF3264" s="6" t="s">
        <v>238</v>
      </c>
      <c r="DG3264" s="5" t="s">
        <v>238</v>
      </c>
      <c r="DH3264" s="5" t="s">
        <v>238</v>
      </c>
      <c r="DI3264" s="5" t="s">
        <v>238</v>
      </c>
      <c r="DJ3264" s="5" t="s">
        <v>238</v>
      </c>
      <c r="DK3264" s="5" t="s">
        <v>238</v>
      </c>
      <c r="DL3264" s="5" t="s">
        <v>238</v>
      </c>
      <c r="DM3264" s="8" t="s">
        <v>238</v>
      </c>
      <c r="DN3264" s="5" t="s">
        <v>238</v>
      </c>
      <c r="DO3264" s="5" t="s">
        <v>244</v>
      </c>
      <c r="DP3264" s="5" t="s">
        <v>490</v>
      </c>
      <c r="DQ3264" s="5" t="s">
        <v>490</v>
      </c>
      <c r="DR3264" s="5" t="s">
        <v>238</v>
      </c>
      <c r="DS3264" s="5" t="s">
        <v>238</v>
      </c>
      <c r="HP3264" s="5" t="s">
        <v>238</v>
      </c>
      <c r="HQ3264" s="5" t="s">
        <v>238</v>
      </c>
      <c r="HR3264" s="5" t="s">
        <v>238</v>
      </c>
      <c r="HS3264" s="5" t="s">
        <v>238</v>
      </c>
      <c r="HT3264" s="5" t="s">
        <v>238</v>
      </c>
      <c r="HU3264" s="5" t="s">
        <v>238</v>
      </c>
      <c r="HV3264" s="5" t="s">
        <v>238</v>
      </c>
      <c r="HW3264" s="5" t="s">
        <v>238</v>
      </c>
      <c r="HX3264" s="5" t="s">
        <v>238</v>
      </c>
      <c r="HY3264" s="5" t="s">
        <v>238</v>
      </c>
      <c r="HZ3264" s="5" t="s">
        <v>238</v>
      </c>
      <c r="IA3264" s="5" t="s">
        <v>238</v>
      </c>
      <c r="IB3264" s="5" t="s">
        <v>238</v>
      </c>
      <c r="IC3264" s="5" t="s">
        <v>238</v>
      </c>
      <c r="ID3264" s="5" t="s">
        <v>238</v>
      </c>
    </row>
    <row r="3265" spans="1:238" x14ac:dyDescent="0.4">
      <c r="A3265" s="5">
        <v>8983</v>
      </c>
      <c r="B3265" s="5">
        <v>1</v>
      </c>
      <c r="C3265" s="5">
        <v>1</v>
      </c>
      <c r="D3265" s="5" t="s">
        <v>484</v>
      </c>
      <c r="E3265" s="5" t="s">
        <v>475</v>
      </c>
      <c r="F3265" s="5" t="s">
        <v>248</v>
      </c>
      <c r="G3265" s="5" t="s">
        <v>531</v>
      </c>
      <c r="H3265" s="6" t="s">
        <v>6827</v>
      </c>
      <c r="I3265" s="7">
        <f>1452</f>
        <v>1452</v>
      </c>
      <c r="J3265" s="5" t="s">
        <v>262</v>
      </c>
      <c r="K3265" s="8">
        <f>15972</f>
        <v>15972</v>
      </c>
      <c r="L3265" s="6" t="s">
        <v>242</v>
      </c>
      <c r="M3265" s="5" t="s">
        <v>267</v>
      </c>
      <c r="N3265" s="5" t="s">
        <v>482</v>
      </c>
      <c r="Q3265" s="5" t="s">
        <v>239</v>
      </c>
      <c r="R3265" s="5" t="s">
        <v>270</v>
      </c>
      <c r="S3265" s="5" t="s">
        <v>238</v>
      </c>
      <c r="V3265" s="5" t="s">
        <v>238</v>
      </c>
      <c r="W3265" s="6" t="s">
        <v>238</v>
      </c>
      <c r="X3265" s="6" t="s">
        <v>238</v>
      </c>
      <c r="Y3265" s="5" t="s">
        <v>238</v>
      </c>
      <c r="Z3265" s="6" t="s">
        <v>238</v>
      </c>
      <c r="AA3265" s="6" t="s">
        <v>6645</v>
      </c>
      <c r="AB3265" s="5" t="s">
        <v>486</v>
      </c>
      <c r="AC3265" s="5" t="s">
        <v>244</v>
      </c>
      <c r="AD3265" s="5" t="s">
        <v>245</v>
      </c>
      <c r="AJ3265" s="5" t="s">
        <v>238</v>
      </c>
      <c r="AK3265" s="5" t="s">
        <v>238</v>
      </c>
      <c r="AL3265" s="5" t="s">
        <v>238</v>
      </c>
      <c r="AM3265" s="6" t="s">
        <v>238</v>
      </c>
      <c r="AN3265" s="6" t="s">
        <v>238</v>
      </c>
      <c r="AO3265" s="6" t="s">
        <v>238</v>
      </c>
      <c r="AR3265" s="5" t="s">
        <v>488</v>
      </c>
      <c r="AS3265" s="5" t="s">
        <v>488</v>
      </c>
      <c r="AT3265" s="5" t="s">
        <v>246</v>
      </c>
      <c r="AU3265" s="5" t="s">
        <v>489</v>
      </c>
      <c r="AV3265" s="5" t="s">
        <v>247</v>
      </c>
      <c r="AW3265" s="5" t="s">
        <v>600</v>
      </c>
      <c r="AX3265" s="5" t="s">
        <v>249</v>
      </c>
      <c r="AY3265" s="5" t="s">
        <v>490</v>
      </c>
      <c r="BA3265" s="5" t="s">
        <v>1397</v>
      </c>
      <c r="BC3265" s="5" t="s">
        <v>491</v>
      </c>
      <c r="BD3265" s="6" t="s">
        <v>492</v>
      </c>
      <c r="BE3265" s="5" t="s">
        <v>493</v>
      </c>
      <c r="BF3265" s="5" t="s">
        <v>493</v>
      </c>
      <c r="BG3265" s="5" t="s">
        <v>238</v>
      </c>
      <c r="BH3265" s="7">
        <f>1452</f>
        <v>1452</v>
      </c>
      <c r="BI3265" s="8">
        <f>15972</f>
        <v>15972</v>
      </c>
      <c r="BJ3265" s="5" t="s">
        <v>253</v>
      </c>
      <c r="BK3265" s="5" t="s">
        <v>254</v>
      </c>
      <c r="BL3265" s="5" t="s">
        <v>238</v>
      </c>
      <c r="BM3265" s="5" t="s">
        <v>238</v>
      </c>
      <c r="BN3265" s="5" t="s">
        <v>238</v>
      </c>
      <c r="BO3265" s="5" t="s">
        <v>238</v>
      </c>
      <c r="BT3265" s="6" t="s">
        <v>238</v>
      </c>
      <c r="BU3265" s="5" t="s">
        <v>238</v>
      </c>
      <c r="BV3265" s="5" t="s">
        <v>238</v>
      </c>
      <c r="BW3265" s="5" t="s">
        <v>238</v>
      </c>
      <c r="BX3265" s="5" t="s">
        <v>254</v>
      </c>
      <c r="BY3265" s="5" t="s">
        <v>238</v>
      </c>
      <c r="BZ3265" s="5" t="s">
        <v>238</v>
      </c>
      <c r="CD3265" s="5" t="s">
        <v>238</v>
      </c>
      <c r="CE3265" s="5" t="s">
        <v>238</v>
      </c>
      <c r="CF3265" s="5" t="s">
        <v>261</v>
      </c>
      <c r="CH3265" s="5" t="s">
        <v>238</v>
      </c>
      <c r="CI3265" s="6" t="s">
        <v>257</v>
      </c>
      <c r="CJ3265" s="5" t="s">
        <v>495</v>
      </c>
      <c r="CK3265" s="5" t="s">
        <v>258</v>
      </c>
      <c r="CL3265" s="5" t="s">
        <v>496</v>
      </c>
      <c r="CM3265" s="5" t="s">
        <v>238</v>
      </c>
      <c r="CN3265" s="5">
        <v>0</v>
      </c>
      <c r="CO3265" s="5" t="s">
        <v>497</v>
      </c>
      <c r="CP3265" s="5" t="s">
        <v>260</v>
      </c>
      <c r="CQ3265" s="5" t="s">
        <v>260</v>
      </c>
      <c r="CR3265" s="5" t="s">
        <v>261</v>
      </c>
      <c r="CS3265" s="5" t="s">
        <v>238</v>
      </c>
      <c r="CT3265" s="7">
        <f>11</f>
        <v>11</v>
      </c>
      <c r="CU3265" s="8">
        <f>15972</f>
        <v>15972</v>
      </c>
      <c r="CV3265" s="8">
        <f>0</f>
        <v>0</v>
      </c>
      <c r="CW3265" s="8">
        <f>0</f>
        <v>0</v>
      </c>
      <c r="CX3265" s="8">
        <f>15972</f>
        <v>15972</v>
      </c>
      <c r="CY3265" s="8">
        <f>15972</f>
        <v>15972</v>
      </c>
      <c r="CZ3265" s="8" t="s">
        <v>238</v>
      </c>
      <c r="DA3265" s="5" t="s">
        <v>238</v>
      </c>
      <c r="DB3265" s="5" t="s">
        <v>238</v>
      </c>
      <c r="DD3265" s="5" t="s">
        <v>238</v>
      </c>
      <c r="DE3265" s="8">
        <f>0</f>
        <v>0</v>
      </c>
      <c r="DF3265" s="6" t="s">
        <v>238</v>
      </c>
      <c r="DG3265" s="5" t="s">
        <v>238</v>
      </c>
      <c r="DH3265" s="5" t="s">
        <v>238</v>
      </c>
      <c r="DI3265" s="5" t="s">
        <v>238</v>
      </c>
      <c r="DJ3265" s="5" t="s">
        <v>238</v>
      </c>
      <c r="DK3265" s="5" t="s">
        <v>238</v>
      </c>
      <c r="DL3265" s="5" t="s">
        <v>238</v>
      </c>
      <c r="DM3265" s="8" t="s">
        <v>238</v>
      </c>
      <c r="DN3265" s="5" t="s">
        <v>238</v>
      </c>
      <c r="DO3265" s="5" t="s">
        <v>244</v>
      </c>
      <c r="DP3265" s="5" t="s">
        <v>490</v>
      </c>
      <c r="DQ3265" s="5" t="s">
        <v>490</v>
      </c>
      <c r="DR3265" s="5" t="s">
        <v>238</v>
      </c>
      <c r="DS3265" s="5" t="s">
        <v>238</v>
      </c>
      <c r="HP3265" s="5" t="s">
        <v>238</v>
      </c>
      <c r="HQ3265" s="5" t="s">
        <v>238</v>
      </c>
      <c r="HR3265" s="5" t="s">
        <v>238</v>
      </c>
      <c r="HS3265" s="5" t="s">
        <v>238</v>
      </c>
      <c r="HT3265" s="5" t="s">
        <v>238</v>
      </c>
      <c r="HU3265" s="5" t="s">
        <v>238</v>
      </c>
      <c r="HV3265" s="5" t="s">
        <v>238</v>
      </c>
      <c r="HW3265" s="5" t="s">
        <v>238</v>
      </c>
      <c r="HX3265" s="5" t="s">
        <v>238</v>
      </c>
      <c r="HY3265" s="5" t="s">
        <v>238</v>
      </c>
      <c r="HZ3265" s="5" t="s">
        <v>238</v>
      </c>
      <c r="IA3265" s="5" t="s">
        <v>238</v>
      </c>
      <c r="IB3265" s="5" t="s">
        <v>238</v>
      </c>
      <c r="IC3265" s="5" t="s">
        <v>238</v>
      </c>
      <c r="ID3265" s="5" t="s">
        <v>238</v>
      </c>
    </row>
    <row r="3266" spans="1:238" x14ac:dyDescent="0.4">
      <c r="A3266" s="5">
        <v>8984</v>
      </c>
      <c r="B3266" s="5">
        <v>1</v>
      </c>
      <c r="C3266" s="5">
        <v>1</v>
      </c>
      <c r="D3266" s="5" t="s">
        <v>484</v>
      </c>
      <c r="E3266" s="5" t="s">
        <v>475</v>
      </c>
      <c r="F3266" s="5" t="s">
        <v>248</v>
      </c>
      <c r="G3266" s="5" t="s">
        <v>531</v>
      </c>
      <c r="H3266" s="6" t="s">
        <v>6843</v>
      </c>
      <c r="I3266" s="7">
        <f>1.95</f>
        <v>1.95</v>
      </c>
      <c r="J3266" s="5" t="s">
        <v>262</v>
      </c>
      <c r="K3266" s="8">
        <f>21</f>
        <v>21</v>
      </c>
      <c r="L3266" s="6" t="s">
        <v>242</v>
      </c>
      <c r="M3266" s="5" t="s">
        <v>267</v>
      </c>
      <c r="N3266" s="5" t="s">
        <v>482</v>
      </c>
      <c r="Q3266" s="5" t="s">
        <v>239</v>
      </c>
      <c r="R3266" s="5" t="s">
        <v>270</v>
      </c>
      <c r="S3266" s="5" t="s">
        <v>238</v>
      </c>
      <c r="V3266" s="5" t="s">
        <v>238</v>
      </c>
      <c r="W3266" s="6" t="s">
        <v>238</v>
      </c>
      <c r="X3266" s="6" t="s">
        <v>238</v>
      </c>
      <c r="Y3266" s="5" t="s">
        <v>238</v>
      </c>
      <c r="Z3266" s="6" t="s">
        <v>238</v>
      </c>
      <c r="AA3266" s="6" t="s">
        <v>6645</v>
      </c>
      <c r="AB3266" s="5" t="s">
        <v>486</v>
      </c>
      <c r="AC3266" s="5" t="s">
        <v>244</v>
      </c>
      <c r="AD3266" s="5" t="s">
        <v>245</v>
      </c>
      <c r="AJ3266" s="5" t="s">
        <v>238</v>
      </c>
      <c r="AK3266" s="5" t="s">
        <v>238</v>
      </c>
      <c r="AL3266" s="5" t="s">
        <v>238</v>
      </c>
      <c r="AM3266" s="6" t="s">
        <v>238</v>
      </c>
      <c r="AN3266" s="6" t="s">
        <v>238</v>
      </c>
      <c r="AO3266" s="6" t="s">
        <v>238</v>
      </c>
      <c r="AR3266" s="5" t="s">
        <v>488</v>
      </c>
      <c r="AS3266" s="5" t="s">
        <v>488</v>
      </c>
      <c r="AT3266" s="5" t="s">
        <v>246</v>
      </c>
      <c r="AU3266" s="5" t="s">
        <v>489</v>
      </c>
      <c r="AV3266" s="5" t="s">
        <v>247</v>
      </c>
      <c r="AW3266" s="5" t="s">
        <v>600</v>
      </c>
      <c r="AX3266" s="5" t="s">
        <v>249</v>
      </c>
      <c r="AY3266" s="5" t="s">
        <v>490</v>
      </c>
      <c r="BA3266" s="5" t="s">
        <v>1397</v>
      </c>
      <c r="BC3266" s="5" t="s">
        <v>491</v>
      </c>
      <c r="BD3266" s="6" t="s">
        <v>492</v>
      </c>
      <c r="BE3266" s="5" t="s">
        <v>493</v>
      </c>
      <c r="BF3266" s="5" t="s">
        <v>493</v>
      </c>
      <c r="BG3266" s="5" t="s">
        <v>238</v>
      </c>
      <c r="BH3266" s="7">
        <f>1.95</f>
        <v>1.95</v>
      </c>
      <c r="BI3266" s="8">
        <f>21</f>
        <v>21</v>
      </c>
      <c r="BJ3266" s="5" t="s">
        <v>253</v>
      </c>
      <c r="BK3266" s="5" t="s">
        <v>254</v>
      </c>
      <c r="BL3266" s="5" t="s">
        <v>238</v>
      </c>
      <c r="BM3266" s="5" t="s">
        <v>238</v>
      </c>
      <c r="BN3266" s="5" t="s">
        <v>238</v>
      </c>
      <c r="BO3266" s="5" t="s">
        <v>238</v>
      </c>
      <c r="BT3266" s="6" t="s">
        <v>238</v>
      </c>
      <c r="BU3266" s="5" t="s">
        <v>238</v>
      </c>
      <c r="BV3266" s="5" t="s">
        <v>238</v>
      </c>
      <c r="BW3266" s="5" t="s">
        <v>238</v>
      </c>
      <c r="BX3266" s="5" t="s">
        <v>254</v>
      </c>
      <c r="BY3266" s="5" t="s">
        <v>238</v>
      </c>
      <c r="BZ3266" s="5" t="s">
        <v>238</v>
      </c>
      <c r="CD3266" s="5" t="s">
        <v>238</v>
      </c>
      <c r="CE3266" s="5" t="s">
        <v>238</v>
      </c>
      <c r="CF3266" s="5" t="s">
        <v>261</v>
      </c>
      <c r="CH3266" s="5" t="s">
        <v>238</v>
      </c>
      <c r="CI3266" s="6" t="s">
        <v>257</v>
      </c>
      <c r="CJ3266" s="5" t="s">
        <v>495</v>
      </c>
      <c r="CK3266" s="5" t="s">
        <v>258</v>
      </c>
      <c r="CL3266" s="5" t="s">
        <v>496</v>
      </c>
      <c r="CM3266" s="5" t="s">
        <v>238</v>
      </c>
      <c r="CN3266" s="5">
        <v>0</v>
      </c>
      <c r="CO3266" s="5" t="s">
        <v>497</v>
      </c>
      <c r="CP3266" s="5" t="s">
        <v>260</v>
      </c>
      <c r="CQ3266" s="5" t="s">
        <v>260</v>
      </c>
      <c r="CR3266" s="5" t="s">
        <v>261</v>
      </c>
      <c r="CS3266" s="5" t="s">
        <v>238</v>
      </c>
      <c r="CT3266" s="7">
        <f>11</f>
        <v>11</v>
      </c>
      <c r="CU3266" s="8">
        <f>21</f>
        <v>21</v>
      </c>
      <c r="CV3266" s="8">
        <f>0</f>
        <v>0</v>
      </c>
      <c r="CW3266" s="8">
        <f>0</f>
        <v>0</v>
      </c>
      <c r="CX3266" s="8">
        <f>21</f>
        <v>21</v>
      </c>
      <c r="CY3266" s="8">
        <f>21</f>
        <v>21</v>
      </c>
      <c r="CZ3266" s="8" t="s">
        <v>238</v>
      </c>
      <c r="DA3266" s="5" t="s">
        <v>238</v>
      </c>
      <c r="DB3266" s="5" t="s">
        <v>238</v>
      </c>
      <c r="DD3266" s="5" t="s">
        <v>238</v>
      </c>
      <c r="DE3266" s="8">
        <f>0</f>
        <v>0</v>
      </c>
      <c r="DF3266" s="6" t="s">
        <v>238</v>
      </c>
      <c r="DG3266" s="5" t="s">
        <v>238</v>
      </c>
      <c r="DH3266" s="5" t="s">
        <v>238</v>
      </c>
      <c r="DI3266" s="5" t="s">
        <v>238</v>
      </c>
      <c r="DJ3266" s="5" t="s">
        <v>238</v>
      </c>
      <c r="DK3266" s="5" t="s">
        <v>238</v>
      </c>
      <c r="DL3266" s="5" t="s">
        <v>238</v>
      </c>
      <c r="DM3266" s="8" t="s">
        <v>238</v>
      </c>
      <c r="DN3266" s="5" t="s">
        <v>238</v>
      </c>
      <c r="DO3266" s="5" t="s">
        <v>244</v>
      </c>
      <c r="DP3266" s="5" t="s">
        <v>490</v>
      </c>
      <c r="DQ3266" s="5" t="s">
        <v>490</v>
      </c>
      <c r="DR3266" s="5" t="s">
        <v>238</v>
      </c>
      <c r="DS3266" s="5" t="s">
        <v>238</v>
      </c>
      <c r="HP3266" s="5" t="s">
        <v>238</v>
      </c>
      <c r="HQ3266" s="5" t="s">
        <v>238</v>
      </c>
      <c r="HR3266" s="5" t="s">
        <v>238</v>
      </c>
      <c r="HS3266" s="5" t="s">
        <v>238</v>
      </c>
      <c r="HT3266" s="5" t="s">
        <v>238</v>
      </c>
      <c r="HU3266" s="5" t="s">
        <v>238</v>
      </c>
      <c r="HV3266" s="5" t="s">
        <v>238</v>
      </c>
      <c r="HW3266" s="5" t="s">
        <v>238</v>
      </c>
      <c r="HX3266" s="5" t="s">
        <v>238</v>
      </c>
      <c r="HY3266" s="5" t="s">
        <v>238</v>
      </c>
      <c r="HZ3266" s="5" t="s">
        <v>238</v>
      </c>
      <c r="IA3266" s="5" t="s">
        <v>238</v>
      </c>
      <c r="IB3266" s="5" t="s">
        <v>238</v>
      </c>
      <c r="IC3266" s="5" t="s">
        <v>238</v>
      </c>
      <c r="ID3266" s="5" t="s">
        <v>238</v>
      </c>
    </row>
    <row r="3267" spans="1:238" x14ac:dyDescent="0.4">
      <c r="A3267" s="5">
        <v>8985</v>
      </c>
      <c r="B3267" s="5">
        <v>1</v>
      </c>
      <c r="C3267" s="5">
        <v>1</v>
      </c>
      <c r="D3267" s="5" t="s">
        <v>484</v>
      </c>
      <c r="E3267" s="5" t="s">
        <v>289</v>
      </c>
      <c r="F3267" s="5" t="s">
        <v>1684</v>
      </c>
      <c r="G3267" s="5" t="s">
        <v>6870</v>
      </c>
      <c r="H3267" s="6" t="s">
        <v>6514</v>
      </c>
      <c r="I3267" s="7">
        <f>6659.06</f>
        <v>6659.06</v>
      </c>
      <c r="J3267" s="5" t="s">
        <v>262</v>
      </c>
      <c r="K3267" s="8">
        <f>73249</f>
        <v>73249</v>
      </c>
      <c r="L3267" s="6" t="s">
        <v>242</v>
      </c>
      <c r="M3267" s="5" t="s">
        <v>267</v>
      </c>
      <c r="N3267" s="5" t="s">
        <v>482</v>
      </c>
      <c r="Q3267" s="5" t="s">
        <v>239</v>
      </c>
      <c r="R3267" s="5" t="s">
        <v>270</v>
      </c>
      <c r="S3267" s="5" t="s">
        <v>238</v>
      </c>
      <c r="V3267" s="5" t="s">
        <v>238</v>
      </c>
      <c r="W3267" s="6" t="s">
        <v>238</v>
      </c>
      <c r="X3267" s="6" t="s">
        <v>238</v>
      </c>
      <c r="Y3267" s="5" t="s">
        <v>238</v>
      </c>
      <c r="Z3267" s="6" t="s">
        <v>238</v>
      </c>
      <c r="AA3267" s="6" t="s">
        <v>6645</v>
      </c>
      <c r="AB3267" s="5" t="s">
        <v>6871</v>
      </c>
      <c r="AC3267" s="5" t="s">
        <v>244</v>
      </c>
      <c r="AD3267" s="5" t="s">
        <v>245</v>
      </c>
      <c r="AJ3267" s="5" t="s">
        <v>238</v>
      </c>
      <c r="AK3267" s="5" t="s">
        <v>238</v>
      </c>
      <c r="AL3267" s="5" t="s">
        <v>238</v>
      </c>
      <c r="AM3267" s="6" t="s">
        <v>238</v>
      </c>
      <c r="AN3267" s="6" t="s">
        <v>238</v>
      </c>
      <c r="AO3267" s="6" t="s">
        <v>238</v>
      </c>
      <c r="AR3267" s="5" t="s">
        <v>488</v>
      </c>
      <c r="AS3267" s="5" t="s">
        <v>488</v>
      </c>
      <c r="AT3267" s="5" t="s">
        <v>246</v>
      </c>
      <c r="AU3267" s="5" t="s">
        <v>489</v>
      </c>
      <c r="AV3267" s="5" t="s">
        <v>247</v>
      </c>
      <c r="AW3267" s="5" t="s">
        <v>600</v>
      </c>
      <c r="AX3267" s="5" t="s">
        <v>249</v>
      </c>
      <c r="AY3267" s="5" t="s">
        <v>490</v>
      </c>
      <c r="BA3267" s="5" t="s">
        <v>1397</v>
      </c>
      <c r="BC3267" s="5" t="s">
        <v>491</v>
      </c>
      <c r="BD3267" s="6" t="s">
        <v>492</v>
      </c>
      <c r="BE3267" s="5" t="s">
        <v>493</v>
      </c>
      <c r="BF3267" s="5" t="s">
        <v>493</v>
      </c>
      <c r="BG3267" s="5" t="s">
        <v>238</v>
      </c>
      <c r="BH3267" s="7">
        <f>6659.06</f>
        <v>6659.06</v>
      </c>
      <c r="BI3267" s="8">
        <f>73249</f>
        <v>73249</v>
      </c>
      <c r="BJ3267" s="5" t="s">
        <v>253</v>
      </c>
      <c r="BK3267" s="5" t="s">
        <v>254</v>
      </c>
      <c r="BL3267" s="5" t="s">
        <v>238</v>
      </c>
      <c r="BM3267" s="5" t="s">
        <v>238</v>
      </c>
      <c r="BN3267" s="5" t="s">
        <v>238</v>
      </c>
      <c r="BO3267" s="5" t="s">
        <v>238</v>
      </c>
      <c r="BT3267" s="6" t="s">
        <v>238</v>
      </c>
      <c r="BU3267" s="5" t="s">
        <v>238</v>
      </c>
      <c r="BV3267" s="5" t="s">
        <v>238</v>
      </c>
      <c r="BW3267" s="5" t="s">
        <v>238</v>
      </c>
      <c r="BX3267" s="5" t="s">
        <v>254</v>
      </c>
      <c r="BY3267" s="5" t="s">
        <v>238</v>
      </c>
      <c r="BZ3267" s="5" t="s">
        <v>238</v>
      </c>
      <c r="CD3267" s="5" t="s">
        <v>238</v>
      </c>
      <c r="CE3267" s="5" t="s">
        <v>238</v>
      </c>
      <c r="CF3267" s="5" t="s">
        <v>261</v>
      </c>
      <c r="CH3267" s="5" t="s">
        <v>238</v>
      </c>
      <c r="CI3267" s="6" t="s">
        <v>257</v>
      </c>
      <c r="CJ3267" s="5" t="s">
        <v>495</v>
      </c>
      <c r="CK3267" s="5" t="s">
        <v>258</v>
      </c>
      <c r="CL3267" s="5" t="s">
        <v>496</v>
      </c>
      <c r="CM3267" s="5" t="s">
        <v>238</v>
      </c>
      <c r="CN3267" s="5">
        <v>0</v>
      </c>
      <c r="CO3267" s="5" t="s">
        <v>497</v>
      </c>
      <c r="CP3267" s="5" t="s">
        <v>260</v>
      </c>
      <c r="CQ3267" s="5" t="s">
        <v>260</v>
      </c>
      <c r="CR3267" s="5" t="s">
        <v>261</v>
      </c>
      <c r="CS3267" s="5" t="s">
        <v>238</v>
      </c>
      <c r="CT3267" s="7">
        <f>11</f>
        <v>11</v>
      </c>
      <c r="CU3267" s="8">
        <f>73249</f>
        <v>73249</v>
      </c>
      <c r="CV3267" s="8">
        <f>0</f>
        <v>0</v>
      </c>
      <c r="CW3267" s="8">
        <f>0</f>
        <v>0</v>
      </c>
      <c r="CX3267" s="8">
        <f>73249</f>
        <v>73249</v>
      </c>
      <c r="CY3267" s="8">
        <f>73249</f>
        <v>73249</v>
      </c>
      <c r="CZ3267" s="8" t="s">
        <v>238</v>
      </c>
      <c r="DA3267" s="5" t="s">
        <v>238</v>
      </c>
      <c r="DB3267" s="5" t="s">
        <v>238</v>
      </c>
      <c r="DD3267" s="5" t="s">
        <v>238</v>
      </c>
      <c r="DE3267" s="8">
        <f>0</f>
        <v>0</v>
      </c>
      <c r="DF3267" s="6" t="s">
        <v>238</v>
      </c>
      <c r="DG3267" s="5" t="s">
        <v>238</v>
      </c>
      <c r="DH3267" s="5" t="s">
        <v>238</v>
      </c>
      <c r="DI3267" s="5" t="s">
        <v>238</v>
      </c>
      <c r="DJ3267" s="5" t="s">
        <v>238</v>
      </c>
      <c r="DK3267" s="5" t="s">
        <v>238</v>
      </c>
      <c r="DL3267" s="5" t="s">
        <v>238</v>
      </c>
      <c r="DM3267" s="8" t="s">
        <v>238</v>
      </c>
      <c r="DN3267" s="5" t="s">
        <v>238</v>
      </c>
      <c r="DO3267" s="5" t="s">
        <v>244</v>
      </c>
      <c r="DP3267" s="5" t="s">
        <v>490</v>
      </c>
      <c r="DQ3267" s="5" t="s">
        <v>490</v>
      </c>
      <c r="DR3267" s="5" t="s">
        <v>238</v>
      </c>
      <c r="DS3267" s="5" t="s">
        <v>238</v>
      </c>
      <c r="HP3267" s="5" t="s">
        <v>238</v>
      </c>
      <c r="HQ3267" s="5" t="s">
        <v>238</v>
      </c>
      <c r="HR3267" s="5" t="s">
        <v>238</v>
      </c>
      <c r="HS3267" s="5" t="s">
        <v>238</v>
      </c>
      <c r="HT3267" s="5" t="s">
        <v>238</v>
      </c>
      <c r="HU3267" s="5" t="s">
        <v>238</v>
      </c>
      <c r="HV3267" s="5" t="s">
        <v>238</v>
      </c>
      <c r="HW3267" s="5" t="s">
        <v>238</v>
      </c>
      <c r="HX3267" s="5" t="s">
        <v>238</v>
      </c>
      <c r="HY3267" s="5" t="s">
        <v>238</v>
      </c>
      <c r="HZ3267" s="5" t="s">
        <v>238</v>
      </c>
      <c r="IA3267" s="5" t="s">
        <v>238</v>
      </c>
      <c r="IB3267" s="5" t="s">
        <v>238</v>
      </c>
      <c r="IC3267" s="5" t="s">
        <v>238</v>
      </c>
      <c r="ID3267" s="5" t="s">
        <v>238</v>
      </c>
    </row>
    <row r="3268" spans="1:238" x14ac:dyDescent="0.4">
      <c r="A3268" s="5">
        <v>8986</v>
      </c>
      <c r="B3268" s="5">
        <v>1</v>
      </c>
      <c r="C3268" s="5">
        <v>1</v>
      </c>
      <c r="D3268" s="5" t="s">
        <v>484</v>
      </c>
      <c r="E3268" s="5" t="s">
        <v>355</v>
      </c>
      <c r="F3268" s="5" t="s">
        <v>248</v>
      </c>
      <c r="G3268" s="5" t="s">
        <v>531</v>
      </c>
      <c r="H3268" s="6" t="s">
        <v>6799</v>
      </c>
      <c r="I3268" s="8">
        <f>1</f>
        <v>1</v>
      </c>
      <c r="J3268" s="5" t="s">
        <v>499</v>
      </c>
      <c r="K3268" s="8">
        <f>1</f>
        <v>1</v>
      </c>
      <c r="L3268" s="6" t="s">
        <v>242</v>
      </c>
      <c r="M3268" s="5" t="s">
        <v>267</v>
      </c>
      <c r="N3268" s="5" t="s">
        <v>482</v>
      </c>
      <c r="Q3268" s="5" t="s">
        <v>239</v>
      </c>
      <c r="R3268" s="5" t="s">
        <v>270</v>
      </c>
      <c r="S3268" s="5" t="s">
        <v>238</v>
      </c>
      <c r="V3268" s="5" t="s">
        <v>238</v>
      </c>
      <c r="W3268" s="6" t="s">
        <v>238</v>
      </c>
      <c r="X3268" s="6" t="s">
        <v>238</v>
      </c>
      <c r="Y3268" s="5" t="s">
        <v>238</v>
      </c>
      <c r="Z3268" s="6" t="s">
        <v>238</v>
      </c>
      <c r="AA3268" s="6" t="s">
        <v>6645</v>
      </c>
      <c r="AB3268" s="5" t="s">
        <v>486</v>
      </c>
      <c r="AC3268" s="5" t="s">
        <v>244</v>
      </c>
      <c r="AD3268" s="5" t="s">
        <v>245</v>
      </c>
      <c r="AJ3268" s="5" t="s">
        <v>238</v>
      </c>
      <c r="AK3268" s="5" t="s">
        <v>238</v>
      </c>
      <c r="AL3268" s="5" t="s">
        <v>238</v>
      </c>
      <c r="AM3268" s="6" t="s">
        <v>238</v>
      </c>
      <c r="AN3268" s="6" t="s">
        <v>238</v>
      </c>
      <c r="AO3268" s="6" t="s">
        <v>238</v>
      </c>
      <c r="AR3268" s="5" t="s">
        <v>488</v>
      </c>
      <c r="AS3268" s="5" t="s">
        <v>488</v>
      </c>
      <c r="AT3268" s="5" t="s">
        <v>246</v>
      </c>
      <c r="AU3268" s="5" t="s">
        <v>489</v>
      </c>
      <c r="AV3268" s="5" t="s">
        <v>247</v>
      </c>
      <c r="AW3268" s="5" t="s">
        <v>600</v>
      </c>
      <c r="AX3268" s="5" t="s">
        <v>249</v>
      </c>
      <c r="AY3268" s="5" t="s">
        <v>490</v>
      </c>
      <c r="BA3268" s="5" t="s">
        <v>1397</v>
      </c>
      <c r="BC3268" s="5" t="s">
        <v>491</v>
      </c>
      <c r="BD3268" s="6" t="s">
        <v>492</v>
      </c>
      <c r="BE3268" s="5" t="s">
        <v>493</v>
      </c>
      <c r="BF3268" s="5" t="s">
        <v>493</v>
      </c>
      <c r="BG3268" s="5" t="s">
        <v>238</v>
      </c>
      <c r="BH3268" s="8">
        <f>1</f>
        <v>1</v>
      </c>
      <c r="BI3268" s="8">
        <f>1</f>
        <v>1</v>
      </c>
      <c r="BJ3268" s="5" t="s">
        <v>253</v>
      </c>
      <c r="BK3268" s="5" t="s">
        <v>254</v>
      </c>
      <c r="BL3268" s="5" t="s">
        <v>238</v>
      </c>
      <c r="BM3268" s="5" t="s">
        <v>238</v>
      </c>
      <c r="BN3268" s="5" t="s">
        <v>238</v>
      </c>
      <c r="BO3268" s="5" t="s">
        <v>238</v>
      </c>
      <c r="BT3268" s="6" t="s">
        <v>238</v>
      </c>
      <c r="BU3268" s="5" t="s">
        <v>238</v>
      </c>
      <c r="BV3268" s="5" t="s">
        <v>238</v>
      </c>
      <c r="BW3268" s="5" t="s">
        <v>238</v>
      </c>
      <c r="BX3268" s="5" t="s">
        <v>254</v>
      </c>
      <c r="BY3268" s="5" t="s">
        <v>238</v>
      </c>
      <c r="BZ3268" s="5" t="s">
        <v>238</v>
      </c>
      <c r="CD3268" s="5" t="s">
        <v>238</v>
      </c>
      <c r="CE3268" s="5" t="s">
        <v>238</v>
      </c>
      <c r="CF3268" s="5" t="s">
        <v>261</v>
      </c>
      <c r="CH3268" s="5" t="s">
        <v>238</v>
      </c>
      <c r="CI3268" s="6" t="s">
        <v>257</v>
      </c>
      <c r="CJ3268" s="5" t="s">
        <v>495</v>
      </c>
      <c r="CK3268" s="5" t="s">
        <v>258</v>
      </c>
      <c r="CL3268" s="5" t="s">
        <v>496</v>
      </c>
      <c r="CM3268" s="5" t="s">
        <v>238</v>
      </c>
      <c r="CN3268" s="5">
        <v>0</v>
      </c>
      <c r="CO3268" s="5" t="s">
        <v>497</v>
      </c>
      <c r="CP3268" s="5" t="s">
        <v>260</v>
      </c>
      <c r="CQ3268" s="5" t="s">
        <v>260</v>
      </c>
      <c r="CR3268" s="5" t="s">
        <v>261</v>
      </c>
      <c r="CS3268" s="5" t="s">
        <v>238</v>
      </c>
      <c r="CT3268" s="7">
        <f>1</f>
        <v>1</v>
      </c>
      <c r="CU3268" s="8">
        <f>1</f>
        <v>1</v>
      </c>
      <c r="CV3268" s="8">
        <f>0</f>
        <v>0</v>
      </c>
      <c r="CW3268" s="8">
        <f>0</f>
        <v>0</v>
      </c>
      <c r="CX3268" s="8">
        <f>1</f>
        <v>1</v>
      </c>
      <c r="CY3268" s="8">
        <f>1</f>
        <v>1</v>
      </c>
      <c r="CZ3268" s="8" t="s">
        <v>238</v>
      </c>
      <c r="DA3268" s="5" t="s">
        <v>238</v>
      </c>
      <c r="DB3268" s="5" t="s">
        <v>238</v>
      </c>
      <c r="DD3268" s="5" t="s">
        <v>238</v>
      </c>
      <c r="DE3268" s="8">
        <f>0</f>
        <v>0</v>
      </c>
      <c r="DF3268" s="6" t="s">
        <v>238</v>
      </c>
      <c r="DG3268" s="5" t="s">
        <v>238</v>
      </c>
      <c r="DH3268" s="5" t="s">
        <v>238</v>
      </c>
      <c r="DI3268" s="5" t="s">
        <v>238</v>
      </c>
      <c r="DJ3268" s="5" t="s">
        <v>238</v>
      </c>
      <c r="DK3268" s="5" t="s">
        <v>238</v>
      </c>
      <c r="DL3268" s="5" t="s">
        <v>238</v>
      </c>
      <c r="DM3268" s="8" t="s">
        <v>238</v>
      </c>
      <c r="DN3268" s="5" t="s">
        <v>238</v>
      </c>
      <c r="DO3268" s="5" t="s">
        <v>244</v>
      </c>
      <c r="DP3268" s="5" t="s">
        <v>490</v>
      </c>
      <c r="DQ3268" s="5" t="s">
        <v>490</v>
      </c>
      <c r="DR3268" s="5" t="s">
        <v>238</v>
      </c>
      <c r="DS3268" s="5" t="s">
        <v>238</v>
      </c>
      <c r="HP3268" s="5" t="s">
        <v>238</v>
      </c>
      <c r="HQ3268" s="5" t="s">
        <v>238</v>
      </c>
      <c r="HR3268" s="5" t="s">
        <v>238</v>
      </c>
      <c r="HS3268" s="5" t="s">
        <v>238</v>
      </c>
      <c r="HT3268" s="5" t="s">
        <v>238</v>
      </c>
      <c r="HU3268" s="5" t="s">
        <v>238</v>
      </c>
      <c r="HV3268" s="5" t="s">
        <v>238</v>
      </c>
      <c r="HW3268" s="5" t="s">
        <v>238</v>
      </c>
      <c r="HX3268" s="5" t="s">
        <v>238</v>
      </c>
      <c r="HY3268" s="5" t="s">
        <v>238</v>
      </c>
      <c r="HZ3268" s="5" t="s">
        <v>238</v>
      </c>
      <c r="IA3268" s="5" t="s">
        <v>238</v>
      </c>
      <c r="IB3268" s="5" t="s">
        <v>238</v>
      </c>
      <c r="IC3268" s="5" t="s">
        <v>238</v>
      </c>
      <c r="ID3268" s="5" t="s">
        <v>238</v>
      </c>
    </row>
    <row r="3269" spans="1:238" x14ac:dyDescent="0.4">
      <c r="A3269" s="5">
        <v>8987</v>
      </c>
      <c r="B3269" s="5">
        <v>1</v>
      </c>
      <c r="C3269" s="5">
        <v>1</v>
      </c>
      <c r="D3269" s="5" t="s">
        <v>484</v>
      </c>
      <c r="E3269" s="5" t="s">
        <v>271</v>
      </c>
      <c r="F3269" s="5" t="s">
        <v>248</v>
      </c>
      <c r="G3269" s="5" t="s">
        <v>531</v>
      </c>
      <c r="H3269" s="6" t="s">
        <v>6842</v>
      </c>
      <c r="I3269" s="8">
        <f>1</f>
        <v>1</v>
      </c>
      <c r="J3269" s="5" t="s">
        <v>499</v>
      </c>
      <c r="K3269" s="8">
        <f>1</f>
        <v>1</v>
      </c>
      <c r="L3269" s="6" t="s">
        <v>242</v>
      </c>
      <c r="M3269" s="5" t="s">
        <v>267</v>
      </c>
      <c r="N3269" s="5" t="s">
        <v>482</v>
      </c>
      <c r="Q3269" s="5" t="s">
        <v>239</v>
      </c>
      <c r="R3269" s="5" t="s">
        <v>270</v>
      </c>
      <c r="S3269" s="5" t="s">
        <v>238</v>
      </c>
      <c r="V3269" s="5" t="s">
        <v>238</v>
      </c>
      <c r="W3269" s="6" t="s">
        <v>238</v>
      </c>
      <c r="X3269" s="6" t="s">
        <v>238</v>
      </c>
      <c r="Y3269" s="5" t="s">
        <v>238</v>
      </c>
      <c r="Z3269" s="6" t="s">
        <v>238</v>
      </c>
      <c r="AA3269" s="6" t="s">
        <v>6645</v>
      </c>
      <c r="AB3269" s="5" t="s">
        <v>486</v>
      </c>
      <c r="AC3269" s="5" t="s">
        <v>244</v>
      </c>
      <c r="AD3269" s="5" t="s">
        <v>245</v>
      </c>
      <c r="AJ3269" s="5" t="s">
        <v>238</v>
      </c>
      <c r="AK3269" s="5" t="s">
        <v>238</v>
      </c>
      <c r="AL3269" s="5" t="s">
        <v>238</v>
      </c>
      <c r="AM3269" s="6" t="s">
        <v>238</v>
      </c>
      <c r="AN3269" s="6" t="s">
        <v>238</v>
      </c>
      <c r="AO3269" s="6" t="s">
        <v>238</v>
      </c>
      <c r="AR3269" s="5" t="s">
        <v>488</v>
      </c>
      <c r="AS3269" s="5" t="s">
        <v>488</v>
      </c>
      <c r="AT3269" s="5" t="s">
        <v>246</v>
      </c>
      <c r="AU3269" s="5" t="s">
        <v>489</v>
      </c>
      <c r="AV3269" s="5" t="s">
        <v>247</v>
      </c>
      <c r="AW3269" s="5" t="s">
        <v>600</v>
      </c>
      <c r="AX3269" s="5" t="s">
        <v>249</v>
      </c>
      <c r="AY3269" s="5" t="s">
        <v>490</v>
      </c>
      <c r="BA3269" s="5" t="s">
        <v>1397</v>
      </c>
      <c r="BC3269" s="5" t="s">
        <v>491</v>
      </c>
      <c r="BD3269" s="6" t="s">
        <v>492</v>
      </c>
      <c r="BE3269" s="5" t="s">
        <v>493</v>
      </c>
      <c r="BF3269" s="5" t="s">
        <v>493</v>
      </c>
      <c r="BG3269" s="5" t="s">
        <v>238</v>
      </c>
      <c r="BH3269" s="8">
        <f>1</f>
        <v>1</v>
      </c>
      <c r="BI3269" s="8">
        <f>1</f>
        <v>1</v>
      </c>
      <c r="BJ3269" s="5" t="s">
        <v>253</v>
      </c>
      <c r="BK3269" s="5" t="s">
        <v>254</v>
      </c>
      <c r="BL3269" s="5" t="s">
        <v>238</v>
      </c>
      <c r="BM3269" s="5" t="s">
        <v>238</v>
      </c>
      <c r="BN3269" s="5" t="s">
        <v>238</v>
      </c>
      <c r="BO3269" s="5" t="s">
        <v>238</v>
      </c>
      <c r="BT3269" s="6" t="s">
        <v>238</v>
      </c>
      <c r="BU3269" s="5" t="s">
        <v>238</v>
      </c>
      <c r="BV3269" s="5" t="s">
        <v>238</v>
      </c>
      <c r="BW3269" s="5" t="s">
        <v>238</v>
      </c>
      <c r="BX3269" s="5" t="s">
        <v>254</v>
      </c>
      <c r="BY3269" s="5" t="s">
        <v>238</v>
      </c>
      <c r="BZ3269" s="5" t="s">
        <v>238</v>
      </c>
      <c r="CD3269" s="5" t="s">
        <v>238</v>
      </c>
      <c r="CE3269" s="5" t="s">
        <v>238</v>
      </c>
      <c r="CF3269" s="5" t="s">
        <v>261</v>
      </c>
      <c r="CH3269" s="5" t="s">
        <v>238</v>
      </c>
      <c r="CI3269" s="6" t="s">
        <v>257</v>
      </c>
      <c r="CJ3269" s="5" t="s">
        <v>495</v>
      </c>
      <c r="CK3269" s="5" t="s">
        <v>258</v>
      </c>
      <c r="CL3269" s="5" t="s">
        <v>496</v>
      </c>
      <c r="CM3269" s="5" t="s">
        <v>238</v>
      </c>
      <c r="CN3269" s="5">
        <v>0</v>
      </c>
      <c r="CO3269" s="5" t="s">
        <v>497</v>
      </c>
      <c r="CP3269" s="5" t="s">
        <v>260</v>
      </c>
      <c r="CQ3269" s="5" t="s">
        <v>260</v>
      </c>
      <c r="CR3269" s="5" t="s">
        <v>261</v>
      </c>
      <c r="CS3269" s="5" t="s">
        <v>238</v>
      </c>
      <c r="CT3269" s="7">
        <f>1</f>
        <v>1</v>
      </c>
      <c r="CU3269" s="8">
        <f>1</f>
        <v>1</v>
      </c>
      <c r="CV3269" s="8">
        <f>0</f>
        <v>0</v>
      </c>
      <c r="CW3269" s="8">
        <f>0</f>
        <v>0</v>
      </c>
      <c r="CX3269" s="8">
        <f>1</f>
        <v>1</v>
      </c>
      <c r="CY3269" s="8">
        <f>1</f>
        <v>1</v>
      </c>
      <c r="CZ3269" s="8" t="s">
        <v>238</v>
      </c>
      <c r="DA3269" s="5" t="s">
        <v>238</v>
      </c>
      <c r="DB3269" s="5" t="s">
        <v>238</v>
      </c>
      <c r="DD3269" s="5" t="s">
        <v>238</v>
      </c>
      <c r="DE3269" s="8">
        <f>0</f>
        <v>0</v>
      </c>
      <c r="DF3269" s="6" t="s">
        <v>238</v>
      </c>
      <c r="DG3269" s="5" t="s">
        <v>238</v>
      </c>
      <c r="DH3269" s="5" t="s">
        <v>238</v>
      </c>
      <c r="DI3269" s="5" t="s">
        <v>238</v>
      </c>
      <c r="DJ3269" s="5" t="s">
        <v>238</v>
      </c>
      <c r="DK3269" s="5" t="s">
        <v>238</v>
      </c>
      <c r="DL3269" s="5" t="s">
        <v>238</v>
      </c>
      <c r="DM3269" s="8" t="s">
        <v>238</v>
      </c>
      <c r="DN3269" s="5" t="s">
        <v>238</v>
      </c>
      <c r="DO3269" s="5" t="s">
        <v>244</v>
      </c>
      <c r="DP3269" s="5" t="s">
        <v>490</v>
      </c>
      <c r="DQ3269" s="5" t="s">
        <v>490</v>
      </c>
      <c r="DR3269" s="5" t="s">
        <v>238</v>
      </c>
      <c r="DS3269" s="5" t="s">
        <v>238</v>
      </c>
      <c r="HP3269" s="5" t="s">
        <v>238</v>
      </c>
      <c r="HQ3269" s="5" t="s">
        <v>238</v>
      </c>
      <c r="HR3269" s="5" t="s">
        <v>238</v>
      </c>
      <c r="HS3269" s="5" t="s">
        <v>238</v>
      </c>
      <c r="HT3269" s="5" t="s">
        <v>238</v>
      </c>
      <c r="HU3269" s="5" t="s">
        <v>238</v>
      </c>
      <c r="HV3269" s="5" t="s">
        <v>238</v>
      </c>
      <c r="HW3269" s="5" t="s">
        <v>238</v>
      </c>
      <c r="HX3269" s="5" t="s">
        <v>238</v>
      </c>
      <c r="HY3269" s="5" t="s">
        <v>238</v>
      </c>
      <c r="HZ3269" s="5" t="s">
        <v>238</v>
      </c>
      <c r="IA3269" s="5" t="s">
        <v>238</v>
      </c>
      <c r="IB3269" s="5" t="s">
        <v>238</v>
      </c>
      <c r="IC3269" s="5" t="s">
        <v>238</v>
      </c>
      <c r="ID3269" s="5" t="s">
        <v>238</v>
      </c>
    </row>
    <row r="3270" spans="1:238" x14ac:dyDescent="0.4">
      <c r="A3270" s="5">
        <v>8988</v>
      </c>
      <c r="B3270" s="5">
        <v>1</v>
      </c>
      <c r="C3270" s="5">
        <v>1</v>
      </c>
      <c r="D3270" s="5" t="s">
        <v>484</v>
      </c>
      <c r="E3270" s="5" t="s">
        <v>271</v>
      </c>
      <c r="F3270" s="5" t="s">
        <v>248</v>
      </c>
      <c r="G3270" s="5" t="s">
        <v>531</v>
      </c>
      <c r="H3270" s="6" t="s">
        <v>6892</v>
      </c>
      <c r="I3270" s="8">
        <f>1</f>
        <v>1</v>
      </c>
      <c r="J3270" s="5" t="s">
        <v>499</v>
      </c>
      <c r="K3270" s="8">
        <f>1</f>
        <v>1</v>
      </c>
      <c r="L3270" s="6" t="s">
        <v>242</v>
      </c>
      <c r="M3270" s="5" t="s">
        <v>267</v>
      </c>
      <c r="N3270" s="5" t="s">
        <v>482</v>
      </c>
      <c r="Q3270" s="5" t="s">
        <v>239</v>
      </c>
      <c r="R3270" s="5" t="s">
        <v>270</v>
      </c>
      <c r="S3270" s="5" t="s">
        <v>238</v>
      </c>
      <c r="V3270" s="5" t="s">
        <v>238</v>
      </c>
      <c r="W3270" s="6" t="s">
        <v>238</v>
      </c>
      <c r="X3270" s="6" t="s">
        <v>238</v>
      </c>
      <c r="Y3270" s="5" t="s">
        <v>238</v>
      </c>
      <c r="Z3270" s="6" t="s">
        <v>238</v>
      </c>
      <c r="AA3270" s="6" t="s">
        <v>6645</v>
      </c>
      <c r="AB3270" s="5" t="s">
        <v>486</v>
      </c>
      <c r="AC3270" s="5" t="s">
        <v>244</v>
      </c>
      <c r="AD3270" s="5" t="s">
        <v>245</v>
      </c>
      <c r="AJ3270" s="5" t="s">
        <v>238</v>
      </c>
      <c r="AK3270" s="5" t="s">
        <v>238</v>
      </c>
      <c r="AL3270" s="5" t="s">
        <v>238</v>
      </c>
      <c r="AM3270" s="6" t="s">
        <v>238</v>
      </c>
      <c r="AN3270" s="6" t="s">
        <v>238</v>
      </c>
      <c r="AO3270" s="6" t="s">
        <v>238</v>
      </c>
      <c r="AR3270" s="5" t="s">
        <v>488</v>
      </c>
      <c r="AS3270" s="5" t="s">
        <v>488</v>
      </c>
      <c r="AT3270" s="5" t="s">
        <v>246</v>
      </c>
      <c r="AU3270" s="5" t="s">
        <v>489</v>
      </c>
      <c r="AV3270" s="5" t="s">
        <v>247</v>
      </c>
      <c r="AW3270" s="5" t="s">
        <v>600</v>
      </c>
      <c r="AX3270" s="5" t="s">
        <v>249</v>
      </c>
      <c r="AY3270" s="5" t="s">
        <v>490</v>
      </c>
      <c r="BA3270" s="5" t="s">
        <v>1397</v>
      </c>
      <c r="BC3270" s="5" t="s">
        <v>491</v>
      </c>
      <c r="BD3270" s="6" t="s">
        <v>492</v>
      </c>
      <c r="BE3270" s="5" t="s">
        <v>493</v>
      </c>
      <c r="BF3270" s="5" t="s">
        <v>493</v>
      </c>
      <c r="BG3270" s="5" t="s">
        <v>238</v>
      </c>
      <c r="BH3270" s="8">
        <f>1</f>
        <v>1</v>
      </c>
      <c r="BI3270" s="8">
        <f>1</f>
        <v>1</v>
      </c>
      <c r="BJ3270" s="5" t="s">
        <v>253</v>
      </c>
      <c r="BK3270" s="5" t="s">
        <v>254</v>
      </c>
      <c r="BL3270" s="5" t="s">
        <v>238</v>
      </c>
      <c r="BM3270" s="5" t="s">
        <v>238</v>
      </c>
      <c r="BN3270" s="5" t="s">
        <v>238</v>
      </c>
      <c r="BO3270" s="5" t="s">
        <v>238</v>
      </c>
      <c r="BT3270" s="6" t="s">
        <v>238</v>
      </c>
      <c r="BU3270" s="5" t="s">
        <v>238</v>
      </c>
      <c r="BV3270" s="5" t="s">
        <v>238</v>
      </c>
      <c r="BW3270" s="5" t="s">
        <v>238</v>
      </c>
      <c r="BX3270" s="5" t="s">
        <v>254</v>
      </c>
      <c r="BY3270" s="5" t="s">
        <v>238</v>
      </c>
      <c r="BZ3270" s="5" t="s">
        <v>238</v>
      </c>
      <c r="CD3270" s="5" t="s">
        <v>238</v>
      </c>
      <c r="CE3270" s="5" t="s">
        <v>238</v>
      </c>
      <c r="CF3270" s="5" t="s">
        <v>261</v>
      </c>
      <c r="CH3270" s="5" t="s">
        <v>238</v>
      </c>
      <c r="CI3270" s="6" t="s">
        <v>257</v>
      </c>
      <c r="CJ3270" s="5" t="s">
        <v>495</v>
      </c>
      <c r="CK3270" s="5" t="s">
        <v>258</v>
      </c>
      <c r="CL3270" s="5" t="s">
        <v>496</v>
      </c>
      <c r="CM3270" s="5" t="s">
        <v>238</v>
      </c>
      <c r="CN3270" s="5">
        <v>0</v>
      </c>
      <c r="CO3270" s="5" t="s">
        <v>497</v>
      </c>
      <c r="CP3270" s="5" t="s">
        <v>260</v>
      </c>
      <c r="CQ3270" s="5" t="s">
        <v>260</v>
      </c>
      <c r="CR3270" s="5" t="s">
        <v>261</v>
      </c>
      <c r="CS3270" s="5" t="s">
        <v>238</v>
      </c>
      <c r="CT3270" s="7">
        <f>1</f>
        <v>1</v>
      </c>
      <c r="CU3270" s="8">
        <f>1</f>
        <v>1</v>
      </c>
      <c r="CV3270" s="8">
        <f>0</f>
        <v>0</v>
      </c>
      <c r="CW3270" s="8">
        <f>0</f>
        <v>0</v>
      </c>
      <c r="CX3270" s="8">
        <f>1</f>
        <v>1</v>
      </c>
      <c r="CY3270" s="8">
        <f>1</f>
        <v>1</v>
      </c>
      <c r="CZ3270" s="8" t="s">
        <v>238</v>
      </c>
      <c r="DA3270" s="5" t="s">
        <v>238</v>
      </c>
      <c r="DB3270" s="5" t="s">
        <v>238</v>
      </c>
      <c r="DD3270" s="5" t="s">
        <v>238</v>
      </c>
      <c r="DE3270" s="8">
        <f>0</f>
        <v>0</v>
      </c>
      <c r="DF3270" s="6" t="s">
        <v>238</v>
      </c>
      <c r="DG3270" s="5" t="s">
        <v>238</v>
      </c>
      <c r="DH3270" s="5" t="s">
        <v>238</v>
      </c>
      <c r="DI3270" s="5" t="s">
        <v>238</v>
      </c>
      <c r="DJ3270" s="5" t="s">
        <v>238</v>
      </c>
      <c r="DK3270" s="5" t="s">
        <v>238</v>
      </c>
      <c r="DL3270" s="5" t="s">
        <v>238</v>
      </c>
      <c r="DM3270" s="8" t="s">
        <v>238</v>
      </c>
      <c r="DN3270" s="5" t="s">
        <v>238</v>
      </c>
      <c r="DO3270" s="5" t="s">
        <v>244</v>
      </c>
      <c r="DP3270" s="5" t="s">
        <v>490</v>
      </c>
      <c r="DQ3270" s="5" t="s">
        <v>490</v>
      </c>
      <c r="DR3270" s="5" t="s">
        <v>238</v>
      </c>
      <c r="DS3270" s="5" t="s">
        <v>238</v>
      </c>
      <c r="HP3270" s="5" t="s">
        <v>238</v>
      </c>
      <c r="HQ3270" s="5" t="s">
        <v>238</v>
      </c>
      <c r="HR3270" s="5" t="s">
        <v>238</v>
      </c>
      <c r="HS3270" s="5" t="s">
        <v>238</v>
      </c>
      <c r="HT3270" s="5" t="s">
        <v>238</v>
      </c>
      <c r="HU3270" s="5" t="s">
        <v>238</v>
      </c>
      <c r="HV3270" s="5" t="s">
        <v>238</v>
      </c>
      <c r="HW3270" s="5" t="s">
        <v>238</v>
      </c>
      <c r="HX3270" s="5" t="s">
        <v>238</v>
      </c>
      <c r="HY3270" s="5" t="s">
        <v>238</v>
      </c>
      <c r="HZ3270" s="5" t="s">
        <v>238</v>
      </c>
      <c r="IA3270" s="5" t="s">
        <v>238</v>
      </c>
      <c r="IB3270" s="5" t="s">
        <v>238</v>
      </c>
      <c r="IC3270" s="5" t="s">
        <v>238</v>
      </c>
      <c r="ID3270" s="5" t="s">
        <v>238</v>
      </c>
    </row>
    <row r="3271" spans="1:238" x14ac:dyDescent="0.4">
      <c r="A3271" s="5">
        <v>8989</v>
      </c>
      <c r="B3271" s="5">
        <v>1</v>
      </c>
      <c r="C3271" s="5">
        <v>1</v>
      </c>
      <c r="D3271" s="5" t="s">
        <v>484</v>
      </c>
      <c r="E3271" s="5" t="s">
        <v>271</v>
      </c>
      <c r="F3271" s="5" t="s">
        <v>248</v>
      </c>
      <c r="G3271" s="5" t="s">
        <v>531</v>
      </c>
      <c r="H3271" s="6" t="s">
        <v>6886</v>
      </c>
      <c r="I3271" s="8">
        <f>1</f>
        <v>1</v>
      </c>
      <c r="J3271" s="5" t="s">
        <v>499</v>
      </c>
      <c r="K3271" s="8">
        <f>1</f>
        <v>1</v>
      </c>
      <c r="L3271" s="6" t="s">
        <v>242</v>
      </c>
      <c r="M3271" s="5" t="s">
        <v>267</v>
      </c>
      <c r="N3271" s="5" t="s">
        <v>482</v>
      </c>
      <c r="Q3271" s="5" t="s">
        <v>239</v>
      </c>
      <c r="R3271" s="5" t="s">
        <v>270</v>
      </c>
      <c r="S3271" s="5" t="s">
        <v>238</v>
      </c>
      <c r="V3271" s="5" t="s">
        <v>238</v>
      </c>
      <c r="W3271" s="6" t="s">
        <v>238</v>
      </c>
      <c r="X3271" s="6" t="s">
        <v>238</v>
      </c>
      <c r="Y3271" s="5" t="s">
        <v>238</v>
      </c>
      <c r="Z3271" s="6" t="s">
        <v>238</v>
      </c>
      <c r="AA3271" s="6" t="s">
        <v>6645</v>
      </c>
      <c r="AB3271" s="5" t="s">
        <v>486</v>
      </c>
      <c r="AC3271" s="5" t="s">
        <v>244</v>
      </c>
      <c r="AD3271" s="5" t="s">
        <v>245</v>
      </c>
      <c r="AJ3271" s="5" t="s">
        <v>238</v>
      </c>
      <c r="AK3271" s="5" t="s">
        <v>238</v>
      </c>
      <c r="AL3271" s="5" t="s">
        <v>238</v>
      </c>
      <c r="AM3271" s="6" t="s">
        <v>238</v>
      </c>
      <c r="AN3271" s="6" t="s">
        <v>238</v>
      </c>
      <c r="AO3271" s="6" t="s">
        <v>238</v>
      </c>
      <c r="AR3271" s="5" t="s">
        <v>488</v>
      </c>
      <c r="AS3271" s="5" t="s">
        <v>488</v>
      </c>
      <c r="AT3271" s="5" t="s">
        <v>246</v>
      </c>
      <c r="AU3271" s="5" t="s">
        <v>489</v>
      </c>
      <c r="AV3271" s="5" t="s">
        <v>247</v>
      </c>
      <c r="AW3271" s="5" t="s">
        <v>600</v>
      </c>
      <c r="AX3271" s="5" t="s">
        <v>249</v>
      </c>
      <c r="AY3271" s="5" t="s">
        <v>490</v>
      </c>
      <c r="BA3271" s="5" t="s">
        <v>1397</v>
      </c>
      <c r="BC3271" s="5" t="s">
        <v>491</v>
      </c>
      <c r="BD3271" s="6" t="s">
        <v>492</v>
      </c>
      <c r="BE3271" s="5" t="s">
        <v>493</v>
      </c>
      <c r="BF3271" s="5" t="s">
        <v>493</v>
      </c>
      <c r="BG3271" s="5" t="s">
        <v>238</v>
      </c>
      <c r="BH3271" s="8">
        <f>1</f>
        <v>1</v>
      </c>
      <c r="BI3271" s="8">
        <f>1</f>
        <v>1</v>
      </c>
      <c r="BJ3271" s="5" t="s">
        <v>253</v>
      </c>
      <c r="BK3271" s="5" t="s">
        <v>254</v>
      </c>
      <c r="BL3271" s="5" t="s">
        <v>238</v>
      </c>
      <c r="BM3271" s="5" t="s">
        <v>238</v>
      </c>
      <c r="BN3271" s="5" t="s">
        <v>238</v>
      </c>
      <c r="BO3271" s="5" t="s">
        <v>238</v>
      </c>
      <c r="BT3271" s="6" t="s">
        <v>238</v>
      </c>
      <c r="BU3271" s="5" t="s">
        <v>238</v>
      </c>
      <c r="BV3271" s="5" t="s">
        <v>238</v>
      </c>
      <c r="BW3271" s="5" t="s">
        <v>238</v>
      </c>
      <c r="BX3271" s="5" t="s">
        <v>254</v>
      </c>
      <c r="BY3271" s="5" t="s">
        <v>238</v>
      </c>
      <c r="BZ3271" s="5" t="s">
        <v>238</v>
      </c>
      <c r="CD3271" s="5" t="s">
        <v>238</v>
      </c>
      <c r="CE3271" s="5" t="s">
        <v>238</v>
      </c>
      <c r="CF3271" s="5" t="s">
        <v>261</v>
      </c>
      <c r="CH3271" s="5" t="s">
        <v>238</v>
      </c>
      <c r="CI3271" s="6" t="s">
        <v>257</v>
      </c>
      <c r="CJ3271" s="5" t="s">
        <v>495</v>
      </c>
      <c r="CK3271" s="5" t="s">
        <v>258</v>
      </c>
      <c r="CL3271" s="5" t="s">
        <v>496</v>
      </c>
      <c r="CM3271" s="5" t="s">
        <v>238</v>
      </c>
      <c r="CN3271" s="5">
        <v>0</v>
      </c>
      <c r="CO3271" s="5" t="s">
        <v>497</v>
      </c>
      <c r="CP3271" s="5" t="s">
        <v>260</v>
      </c>
      <c r="CQ3271" s="5" t="s">
        <v>260</v>
      </c>
      <c r="CR3271" s="5" t="s">
        <v>261</v>
      </c>
      <c r="CS3271" s="5" t="s">
        <v>238</v>
      </c>
      <c r="CT3271" s="7">
        <f>1</f>
        <v>1</v>
      </c>
      <c r="CU3271" s="8">
        <f>1</f>
        <v>1</v>
      </c>
      <c r="CV3271" s="8">
        <f>0</f>
        <v>0</v>
      </c>
      <c r="CW3271" s="8">
        <f>0</f>
        <v>0</v>
      </c>
      <c r="CX3271" s="8">
        <f>1</f>
        <v>1</v>
      </c>
      <c r="CY3271" s="8">
        <f>1</f>
        <v>1</v>
      </c>
      <c r="CZ3271" s="8" t="s">
        <v>238</v>
      </c>
      <c r="DA3271" s="5" t="s">
        <v>238</v>
      </c>
      <c r="DB3271" s="5" t="s">
        <v>238</v>
      </c>
      <c r="DD3271" s="5" t="s">
        <v>238</v>
      </c>
      <c r="DE3271" s="8">
        <f>0</f>
        <v>0</v>
      </c>
      <c r="DF3271" s="6" t="s">
        <v>238</v>
      </c>
      <c r="DG3271" s="5" t="s">
        <v>238</v>
      </c>
      <c r="DH3271" s="5" t="s">
        <v>238</v>
      </c>
      <c r="DI3271" s="5" t="s">
        <v>238</v>
      </c>
      <c r="DJ3271" s="5" t="s">
        <v>238</v>
      </c>
      <c r="DK3271" s="5" t="s">
        <v>238</v>
      </c>
      <c r="DL3271" s="5" t="s">
        <v>238</v>
      </c>
      <c r="DM3271" s="8" t="s">
        <v>238</v>
      </c>
      <c r="DN3271" s="5" t="s">
        <v>238</v>
      </c>
      <c r="DO3271" s="5" t="s">
        <v>244</v>
      </c>
      <c r="DP3271" s="5" t="s">
        <v>490</v>
      </c>
      <c r="DQ3271" s="5" t="s">
        <v>490</v>
      </c>
      <c r="DR3271" s="5" t="s">
        <v>238</v>
      </c>
      <c r="DS3271" s="5" t="s">
        <v>238</v>
      </c>
      <c r="HP3271" s="5" t="s">
        <v>238</v>
      </c>
      <c r="HQ3271" s="5" t="s">
        <v>238</v>
      </c>
      <c r="HR3271" s="5" t="s">
        <v>238</v>
      </c>
      <c r="HS3271" s="5" t="s">
        <v>238</v>
      </c>
      <c r="HT3271" s="5" t="s">
        <v>238</v>
      </c>
      <c r="HU3271" s="5" t="s">
        <v>238</v>
      </c>
      <c r="HV3271" s="5" t="s">
        <v>238</v>
      </c>
      <c r="HW3271" s="5" t="s">
        <v>238</v>
      </c>
      <c r="HX3271" s="5" t="s">
        <v>238</v>
      </c>
      <c r="HY3271" s="5" t="s">
        <v>238</v>
      </c>
      <c r="HZ3271" s="5" t="s">
        <v>238</v>
      </c>
      <c r="IA3271" s="5" t="s">
        <v>238</v>
      </c>
      <c r="IB3271" s="5" t="s">
        <v>238</v>
      </c>
      <c r="IC3271" s="5" t="s">
        <v>238</v>
      </c>
      <c r="ID3271" s="5" t="s">
        <v>238</v>
      </c>
    </row>
    <row r="3272" spans="1:238" x14ac:dyDescent="0.4">
      <c r="A3272" s="5">
        <v>8990</v>
      </c>
      <c r="B3272" s="5">
        <v>1</v>
      </c>
      <c r="C3272" s="5">
        <v>1</v>
      </c>
      <c r="D3272" s="5" t="s">
        <v>484</v>
      </c>
      <c r="E3272" s="5" t="s">
        <v>878</v>
      </c>
      <c r="F3272" s="5" t="s">
        <v>248</v>
      </c>
      <c r="G3272" s="5" t="s">
        <v>4841</v>
      </c>
      <c r="H3272" s="6" t="s">
        <v>4842</v>
      </c>
      <c r="I3272" s="8">
        <f>1</f>
        <v>1</v>
      </c>
      <c r="J3272" s="5" t="s">
        <v>499</v>
      </c>
      <c r="K3272" s="8">
        <f>1</f>
        <v>1</v>
      </c>
      <c r="L3272" s="6" t="s">
        <v>242</v>
      </c>
      <c r="M3272" s="5" t="s">
        <v>267</v>
      </c>
      <c r="N3272" s="5" t="s">
        <v>482</v>
      </c>
      <c r="O3272" s="5" t="s">
        <v>238</v>
      </c>
      <c r="P3272" s="5" t="s">
        <v>238</v>
      </c>
      <c r="Q3272" s="5" t="s">
        <v>239</v>
      </c>
      <c r="R3272" s="5" t="s">
        <v>270</v>
      </c>
      <c r="S3272" s="5" t="s">
        <v>238</v>
      </c>
      <c r="T3272" s="5" t="s">
        <v>238</v>
      </c>
      <c r="U3272" s="5" t="s">
        <v>238</v>
      </c>
      <c r="V3272" s="5" t="s">
        <v>238</v>
      </c>
      <c r="W3272" s="6" t="s">
        <v>238</v>
      </c>
      <c r="X3272" s="6" t="s">
        <v>238</v>
      </c>
      <c r="Y3272" s="5" t="s">
        <v>238</v>
      </c>
      <c r="Z3272" s="6" t="s">
        <v>238</v>
      </c>
      <c r="AA3272" s="6" t="s">
        <v>243</v>
      </c>
      <c r="AB3272" s="5" t="s">
        <v>879</v>
      </c>
      <c r="AC3272" s="5" t="s">
        <v>244</v>
      </c>
      <c r="AD3272" s="5" t="s">
        <v>245</v>
      </c>
      <c r="AE3272" s="5" t="s">
        <v>238</v>
      </c>
      <c r="AF3272" s="5" t="s">
        <v>238</v>
      </c>
      <c r="AG3272" s="5" t="s">
        <v>238</v>
      </c>
      <c r="AH3272" s="5" t="s">
        <v>238</v>
      </c>
      <c r="AI3272" s="5" t="s">
        <v>238</v>
      </c>
      <c r="AJ3272" s="5" t="s">
        <v>238</v>
      </c>
      <c r="AK3272" s="5" t="s">
        <v>238</v>
      </c>
      <c r="AL3272" s="5" t="s">
        <v>238</v>
      </c>
      <c r="AM3272" s="6" t="s">
        <v>238</v>
      </c>
      <c r="AN3272" s="6" t="s">
        <v>238</v>
      </c>
      <c r="AO3272" s="6" t="s">
        <v>238</v>
      </c>
      <c r="AP3272" s="6" t="s">
        <v>238</v>
      </c>
      <c r="AQ3272" s="5" t="s">
        <v>238</v>
      </c>
      <c r="AR3272" s="5" t="s">
        <v>488</v>
      </c>
      <c r="AS3272" s="5" t="s">
        <v>488</v>
      </c>
      <c r="AT3272" s="5" t="s">
        <v>246</v>
      </c>
      <c r="AU3272" s="5" t="s">
        <v>489</v>
      </c>
      <c r="AV3272" s="5" t="s">
        <v>247</v>
      </c>
      <c r="AW3272" s="5" t="s">
        <v>238</v>
      </c>
      <c r="AX3272" s="5" t="s">
        <v>249</v>
      </c>
      <c r="AY3272" s="5" t="s">
        <v>490</v>
      </c>
      <c r="BA3272" s="5" t="s">
        <v>238</v>
      </c>
      <c r="BC3272" s="5" t="s">
        <v>491</v>
      </c>
      <c r="BD3272" s="6" t="s">
        <v>492</v>
      </c>
      <c r="BE3272" s="5" t="s">
        <v>493</v>
      </c>
      <c r="BF3272" s="5" t="s">
        <v>493</v>
      </c>
      <c r="BG3272" s="5" t="s">
        <v>238</v>
      </c>
      <c r="BH3272" s="8">
        <f>1</f>
        <v>1</v>
      </c>
      <c r="BI3272" s="8">
        <f>1</f>
        <v>1</v>
      </c>
      <c r="BJ3272" s="5" t="s">
        <v>253</v>
      </c>
      <c r="BK3272" s="5" t="s">
        <v>254</v>
      </c>
      <c r="BL3272" s="5" t="s">
        <v>238</v>
      </c>
      <c r="BM3272" s="5" t="s">
        <v>238</v>
      </c>
      <c r="BN3272" s="5" t="s">
        <v>238</v>
      </c>
      <c r="BO3272" s="5" t="s">
        <v>238</v>
      </c>
      <c r="BP3272" s="5" t="s">
        <v>238</v>
      </c>
      <c r="BQ3272" s="5" t="s">
        <v>238</v>
      </c>
      <c r="BR3272" s="5" t="s">
        <v>238</v>
      </c>
      <c r="BS3272" s="5" t="s">
        <v>238</v>
      </c>
      <c r="BT3272" s="6" t="s">
        <v>238</v>
      </c>
      <c r="BU3272" s="5" t="s">
        <v>238</v>
      </c>
      <c r="BV3272" s="5" t="s">
        <v>238</v>
      </c>
      <c r="BW3272" s="5" t="s">
        <v>238</v>
      </c>
      <c r="BX3272" s="5" t="s">
        <v>254</v>
      </c>
      <c r="BY3272" s="5" t="s">
        <v>238</v>
      </c>
      <c r="BZ3272" s="5" t="s">
        <v>238</v>
      </c>
      <c r="CA3272" s="5" t="s">
        <v>238</v>
      </c>
      <c r="CB3272" s="5" t="s">
        <v>238</v>
      </c>
      <c r="CC3272" s="5" t="s">
        <v>238</v>
      </c>
      <c r="CD3272" s="5" t="s">
        <v>273</v>
      </c>
      <c r="CE3272" s="5" t="s">
        <v>256</v>
      </c>
      <c r="CF3272" s="5" t="s">
        <v>238</v>
      </c>
      <c r="CH3272" s="5" t="s">
        <v>494</v>
      </c>
      <c r="CI3272" s="6" t="s">
        <v>257</v>
      </c>
      <c r="CJ3272" s="5" t="s">
        <v>495</v>
      </c>
      <c r="CK3272" s="5" t="s">
        <v>258</v>
      </c>
      <c r="CL3272" s="5" t="s">
        <v>496</v>
      </c>
      <c r="CM3272" s="5" t="s">
        <v>238</v>
      </c>
      <c r="CN3272" s="5">
        <v>0</v>
      </c>
      <c r="CO3272" s="5" t="s">
        <v>497</v>
      </c>
      <c r="CP3272" s="5" t="s">
        <v>260</v>
      </c>
      <c r="CQ3272" s="5" t="s">
        <v>260</v>
      </c>
      <c r="CR3272" s="5" t="s">
        <v>261</v>
      </c>
      <c r="CS3272" s="5" t="s">
        <v>498</v>
      </c>
      <c r="CT3272" s="7">
        <f>1</f>
        <v>1</v>
      </c>
      <c r="CU3272" s="8">
        <f>1</f>
        <v>1</v>
      </c>
      <c r="CV3272" s="8">
        <f>0</f>
        <v>0</v>
      </c>
      <c r="CX3272" s="8">
        <f>1</f>
        <v>1</v>
      </c>
      <c r="CY3272" s="8">
        <f>1</f>
        <v>1</v>
      </c>
      <c r="CZ3272" s="8" t="s">
        <v>238</v>
      </c>
      <c r="DA3272" s="5" t="s">
        <v>238</v>
      </c>
      <c r="DB3272" s="5" t="s">
        <v>238</v>
      </c>
      <c r="DC3272" s="5" t="s">
        <v>238</v>
      </c>
      <c r="DD3272" s="5" t="s">
        <v>238</v>
      </c>
      <c r="DE3272" s="8">
        <f>0</f>
        <v>0</v>
      </c>
      <c r="DG3272" s="5" t="s">
        <v>238</v>
      </c>
      <c r="DH3272" s="5" t="s">
        <v>238</v>
      </c>
      <c r="DI3272" s="5" t="s">
        <v>238</v>
      </c>
      <c r="DJ3272" s="5" t="s">
        <v>238</v>
      </c>
      <c r="DK3272" s="5" t="s">
        <v>238</v>
      </c>
      <c r="DL3272" s="5" t="s">
        <v>238</v>
      </c>
      <c r="DM3272" s="8" t="s">
        <v>238</v>
      </c>
      <c r="DN3272" s="5" t="s">
        <v>238</v>
      </c>
      <c r="DO3272" s="5" t="s">
        <v>238</v>
      </c>
      <c r="DP3272" s="5" t="s">
        <v>490</v>
      </c>
      <c r="DQ3272" s="5" t="s">
        <v>490</v>
      </c>
      <c r="DR3272" s="5" t="s">
        <v>238</v>
      </c>
      <c r="DS3272" s="5" t="s">
        <v>238</v>
      </c>
      <c r="DT3272" s="5" t="s">
        <v>881</v>
      </c>
      <c r="DU3272" s="5" t="s">
        <v>1334</v>
      </c>
      <c r="DV3272" s="5" t="s">
        <v>238</v>
      </c>
      <c r="DW3272" s="5" t="s">
        <v>238</v>
      </c>
      <c r="DX3272" s="5" t="s">
        <v>238</v>
      </c>
      <c r="DY3272" s="5" t="s">
        <v>238</v>
      </c>
      <c r="DZ3272" s="5" t="s">
        <v>238</v>
      </c>
      <c r="EA3272" s="5" t="s">
        <v>238</v>
      </c>
      <c r="EB3272" s="5" t="s">
        <v>238</v>
      </c>
      <c r="EC3272" s="5" t="s">
        <v>238</v>
      </c>
      <c r="ED3272" s="5" t="s">
        <v>238</v>
      </c>
      <c r="EE3272" s="5" t="s">
        <v>238</v>
      </c>
      <c r="EF3272" s="5" t="s">
        <v>238</v>
      </c>
      <c r="EG3272" s="5" t="s">
        <v>238</v>
      </c>
      <c r="EH3272" s="5" t="s">
        <v>238</v>
      </c>
      <c r="EI3272" s="5" t="s">
        <v>238</v>
      </c>
      <c r="EJ3272" s="5" t="s">
        <v>238</v>
      </c>
      <c r="EK3272" s="5" t="s">
        <v>238</v>
      </c>
      <c r="EL3272" s="5" t="s">
        <v>238</v>
      </c>
      <c r="EM3272" s="5" t="s">
        <v>238</v>
      </c>
      <c r="EN3272" s="5" t="s">
        <v>238</v>
      </c>
      <c r="EO3272" s="5" t="s">
        <v>238</v>
      </c>
      <c r="EP3272" s="5" t="s">
        <v>238</v>
      </c>
      <c r="EQ3272" s="5" t="s">
        <v>238</v>
      </c>
      <c r="ER3272" s="5" t="s">
        <v>238</v>
      </c>
      <c r="ES3272" s="5" t="s">
        <v>238</v>
      </c>
      <c r="ET3272" s="5" t="s">
        <v>238</v>
      </c>
      <c r="EU3272" s="5" t="s">
        <v>238</v>
      </c>
      <c r="EV3272" s="5" t="s">
        <v>238</v>
      </c>
      <c r="EW3272" s="5" t="s">
        <v>238</v>
      </c>
      <c r="EX3272" s="5" t="s">
        <v>238</v>
      </c>
      <c r="EY3272" s="5" t="s">
        <v>238</v>
      </c>
      <c r="EZ3272" s="5" t="s">
        <v>238</v>
      </c>
      <c r="FA3272" s="5" t="s">
        <v>238</v>
      </c>
      <c r="FB3272" s="5" t="s">
        <v>238</v>
      </c>
      <c r="FC3272" s="5" t="s">
        <v>238</v>
      </c>
      <c r="FD3272" s="5" t="s">
        <v>238</v>
      </c>
      <c r="FE3272" s="5" t="s">
        <v>238</v>
      </c>
      <c r="FF3272" s="5" t="s">
        <v>238</v>
      </c>
      <c r="FG3272" s="5" t="s">
        <v>238</v>
      </c>
      <c r="FH3272" s="5" t="s">
        <v>238</v>
      </c>
      <c r="FI3272" s="5" t="s">
        <v>238</v>
      </c>
      <c r="FJ3272" s="5" t="s">
        <v>238</v>
      </c>
      <c r="FK3272" s="5" t="s">
        <v>238</v>
      </c>
      <c r="FL3272" s="5" t="s">
        <v>238</v>
      </c>
      <c r="FM3272" s="5" t="s">
        <v>238</v>
      </c>
      <c r="FN3272" s="5" t="s">
        <v>238</v>
      </c>
      <c r="FO3272" s="5" t="s">
        <v>238</v>
      </c>
      <c r="FP3272" s="5" t="s">
        <v>238</v>
      </c>
      <c r="FQ3272" s="5" t="s">
        <v>238</v>
      </c>
      <c r="FR3272" s="5" t="s">
        <v>238</v>
      </c>
      <c r="FS3272" s="5" t="s">
        <v>238</v>
      </c>
      <c r="FT3272" s="5" t="s">
        <v>238</v>
      </c>
      <c r="FU3272" s="5" t="s">
        <v>238</v>
      </c>
      <c r="FV3272" s="5" t="s">
        <v>238</v>
      </c>
      <c r="FW3272" s="5" t="s">
        <v>238</v>
      </c>
      <c r="FX3272" s="5" t="s">
        <v>238</v>
      </c>
      <c r="FY3272" s="5" t="s">
        <v>238</v>
      </c>
      <c r="FZ3272" s="5" t="s">
        <v>238</v>
      </c>
      <c r="GA3272" s="5" t="s">
        <v>238</v>
      </c>
      <c r="GB3272" s="5" t="s">
        <v>238</v>
      </c>
      <c r="GC3272" s="5" t="s">
        <v>238</v>
      </c>
      <c r="GD3272" s="5" t="s">
        <v>238</v>
      </c>
      <c r="GE3272" s="5" t="s">
        <v>238</v>
      </c>
      <c r="GF3272" s="5" t="s">
        <v>238</v>
      </c>
      <c r="GG3272" s="5" t="s">
        <v>238</v>
      </c>
      <c r="GH3272" s="5" t="s">
        <v>238</v>
      </c>
      <c r="GI3272" s="5" t="s">
        <v>238</v>
      </c>
      <c r="GJ3272" s="5" t="s">
        <v>238</v>
      </c>
      <c r="GK3272" s="5" t="s">
        <v>238</v>
      </c>
      <c r="GL3272" s="5" t="s">
        <v>238</v>
      </c>
      <c r="GM3272" s="5" t="s">
        <v>238</v>
      </c>
      <c r="GN3272" s="5" t="s">
        <v>238</v>
      </c>
      <c r="GO3272" s="5" t="s">
        <v>238</v>
      </c>
      <c r="GP3272" s="5" t="s">
        <v>238</v>
      </c>
      <c r="GQ3272" s="5" t="s">
        <v>238</v>
      </c>
      <c r="GR3272" s="5" t="s">
        <v>238</v>
      </c>
      <c r="GS3272" s="5" t="s">
        <v>238</v>
      </c>
      <c r="GT3272" s="5" t="s">
        <v>238</v>
      </c>
      <c r="GU3272" s="5" t="s">
        <v>238</v>
      </c>
      <c r="GV3272" s="5" t="s">
        <v>238</v>
      </c>
      <c r="GW3272" s="5" t="s">
        <v>238</v>
      </c>
      <c r="GX3272" s="5" t="s">
        <v>238</v>
      </c>
      <c r="GY3272" s="5" t="s">
        <v>238</v>
      </c>
      <c r="GZ3272" s="5" t="s">
        <v>238</v>
      </c>
      <c r="HA3272" s="5" t="s">
        <v>238</v>
      </c>
      <c r="HB3272" s="5" t="s">
        <v>238</v>
      </c>
      <c r="HC3272" s="5" t="s">
        <v>238</v>
      </c>
      <c r="HD3272" s="5" t="s">
        <v>238</v>
      </c>
      <c r="HE3272" s="5" t="s">
        <v>238</v>
      </c>
      <c r="HF3272" s="5" t="s">
        <v>238</v>
      </c>
      <c r="HG3272" s="5" t="s">
        <v>238</v>
      </c>
      <c r="HH3272" s="5" t="s">
        <v>238</v>
      </c>
      <c r="HI3272" s="5" t="s">
        <v>238</v>
      </c>
      <c r="HJ3272" s="5" t="s">
        <v>238</v>
      </c>
      <c r="HK3272" s="5" t="s">
        <v>238</v>
      </c>
      <c r="HL3272" s="5" t="s">
        <v>238</v>
      </c>
      <c r="HM3272" s="5" t="s">
        <v>264</v>
      </c>
      <c r="HN3272" s="5" t="s">
        <v>238</v>
      </c>
      <c r="HO3272" s="5" t="s">
        <v>238</v>
      </c>
      <c r="HP3272" s="5" t="s">
        <v>238</v>
      </c>
      <c r="HQ3272" s="5" t="s">
        <v>238</v>
      </c>
      <c r="HR3272" s="5" t="s">
        <v>238</v>
      </c>
      <c r="HS3272" s="5" t="s">
        <v>238</v>
      </c>
      <c r="HT3272" s="5" t="s">
        <v>238</v>
      </c>
      <c r="HU3272" s="5" t="s">
        <v>238</v>
      </c>
      <c r="HV3272" s="5" t="s">
        <v>238</v>
      </c>
      <c r="HW3272" s="5" t="s">
        <v>238</v>
      </c>
      <c r="HX3272" s="5" t="s">
        <v>238</v>
      </c>
      <c r="HY3272" s="5" t="s">
        <v>238</v>
      </c>
      <c r="HZ3272" s="5" t="s">
        <v>238</v>
      </c>
      <c r="IA3272" s="5" t="s">
        <v>238</v>
      </c>
      <c r="IB3272" s="5" t="s">
        <v>238</v>
      </c>
      <c r="IC3272" s="5" t="s">
        <v>238</v>
      </c>
      <c r="ID3272" s="5" t="s">
        <v>238</v>
      </c>
    </row>
    <row r="3273" spans="1:238" x14ac:dyDescent="0.4">
      <c r="A3273" s="5">
        <v>8991</v>
      </c>
      <c r="B3273" s="5">
        <v>1</v>
      </c>
      <c r="C3273" s="5">
        <v>1</v>
      </c>
      <c r="D3273" s="5" t="s">
        <v>484</v>
      </c>
      <c r="E3273" s="5" t="s">
        <v>878</v>
      </c>
      <c r="F3273" s="5" t="s">
        <v>248</v>
      </c>
      <c r="G3273" s="5" t="s">
        <v>5100</v>
      </c>
      <c r="H3273" s="6" t="s">
        <v>5101</v>
      </c>
      <c r="I3273" s="8">
        <f>1</f>
        <v>1</v>
      </c>
      <c r="J3273" s="5" t="s">
        <v>499</v>
      </c>
      <c r="K3273" s="8">
        <f>1</f>
        <v>1</v>
      </c>
      <c r="L3273" s="6" t="s">
        <v>242</v>
      </c>
      <c r="M3273" s="5" t="s">
        <v>267</v>
      </c>
      <c r="N3273" s="5" t="s">
        <v>482</v>
      </c>
      <c r="O3273" s="5" t="s">
        <v>238</v>
      </c>
      <c r="P3273" s="5" t="s">
        <v>238</v>
      </c>
      <c r="Q3273" s="5" t="s">
        <v>239</v>
      </c>
      <c r="R3273" s="5" t="s">
        <v>270</v>
      </c>
      <c r="S3273" s="5" t="s">
        <v>238</v>
      </c>
      <c r="T3273" s="5" t="s">
        <v>238</v>
      </c>
      <c r="U3273" s="5" t="s">
        <v>238</v>
      </c>
      <c r="V3273" s="5" t="s">
        <v>238</v>
      </c>
      <c r="W3273" s="6" t="s">
        <v>238</v>
      </c>
      <c r="X3273" s="6" t="s">
        <v>238</v>
      </c>
      <c r="Y3273" s="5" t="s">
        <v>238</v>
      </c>
      <c r="Z3273" s="6" t="s">
        <v>238</v>
      </c>
      <c r="AA3273" s="6" t="s">
        <v>243</v>
      </c>
      <c r="AB3273" s="5" t="s">
        <v>879</v>
      </c>
      <c r="AC3273" s="5" t="s">
        <v>244</v>
      </c>
      <c r="AD3273" s="5" t="s">
        <v>245</v>
      </c>
      <c r="AE3273" s="5" t="s">
        <v>238</v>
      </c>
      <c r="AF3273" s="5" t="s">
        <v>238</v>
      </c>
      <c r="AG3273" s="5" t="s">
        <v>238</v>
      </c>
      <c r="AH3273" s="5" t="s">
        <v>238</v>
      </c>
      <c r="AI3273" s="5" t="s">
        <v>238</v>
      </c>
      <c r="AJ3273" s="5" t="s">
        <v>238</v>
      </c>
      <c r="AK3273" s="5" t="s">
        <v>238</v>
      </c>
      <c r="AL3273" s="5" t="s">
        <v>238</v>
      </c>
      <c r="AM3273" s="6" t="s">
        <v>238</v>
      </c>
      <c r="AN3273" s="6" t="s">
        <v>238</v>
      </c>
      <c r="AO3273" s="6" t="s">
        <v>238</v>
      </c>
      <c r="AP3273" s="6" t="s">
        <v>238</v>
      </c>
      <c r="AQ3273" s="5" t="s">
        <v>238</v>
      </c>
      <c r="AR3273" s="5" t="s">
        <v>488</v>
      </c>
      <c r="AS3273" s="5" t="s">
        <v>488</v>
      </c>
      <c r="AT3273" s="5" t="s">
        <v>246</v>
      </c>
      <c r="AU3273" s="5" t="s">
        <v>489</v>
      </c>
      <c r="AV3273" s="5" t="s">
        <v>247</v>
      </c>
      <c r="AW3273" s="5" t="s">
        <v>238</v>
      </c>
      <c r="AX3273" s="5" t="s">
        <v>249</v>
      </c>
      <c r="AY3273" s="5" t="s">
        <v>490</v>
      </c>
      <c r="BA3273" s="5" t="s">
        <v>238</v>
      </c>
      <c r="BC3273" s="5" t="s">
        <v>491</v>
      </c>
      <c r="BD3273" s="6" t="s">
        <v>492</v>
      </c>
      <c r="BE3273" s="5" t="s">
        <v>493</v>
      </c>
      <c r="BF3273" s="5" t="s">
        <v>493</v>
      </c>
      <c r="BG3273" s="5" t="s">
        <v>238</v>
      </c>
      <c r="BH3273" s="8">
        <f>1</f>
        <v>1</v>
      </c>
      <c r="BI3273" s="8">
        <f>1</f>
        <v>1</v>
      </c>
      <c r="BJ3273" s="5" t="s">
        <v>253</v>
      </c>
      <c r="BK3273" s="5" t="s">
        <v>254</v>
      </c>
      <c r="BL3273" s="5" t="s">
        <v>238</v>
      </c>
      <c r="BM3273" s="5" t="s">
        <v>238</v>
      </c>
      <c r="BN3273" s="5" t="s">
        <v>238</v>
      </c>
      <c r="BO3273" s="5" t="s">
        <v>238</v>
      </c>
      <c r="BP3273" s="5" t="s">
        <v>238</v>
      </c>
      <c r="BQ3273" s="5" t="s">
        <v>238</v>
      </c>
      <c r="BR3273" s="5" t="s">
        <v>238</v>
      </c>
      <c r="BS3273" s="5" t="s">
        <v>238</v>
      </c>
      <c r="BT3273" s="6" t="s">
        <v>238</v>
      </c>
      <c r="BU3273" s="5" t="s">
        <v>238</v>
      </c>
      <c r="BV3273" s="5" t="s">
        <v>238</v>
      </c>
      <c r="BW3273" s="5" t="s">
        <v>238</v>
      </c>
      <c r="BX3273" s="5" t="s">
        <v>254</v>
      </c>
      <c r="BY3273" s="5" t="s">
        <v>238</v>
      </c>
      <c r="BZ3273" s="5" t="s">
        <v>238</v>
      </c>
      <c r="CA3273" s="5" t="s">
        <v>238</v>
      </c>
      <c r="CB3273" s="5" t="s">
        <v>238</v>
      </c>
      <c r="CC3273" s="5" t="s">
        <v>238</v>
      </c>
      <c r="CD3273" s="5" t="s">
        <v>273</v>
      </c>
      <c r="CE3273" s="5" t="s">
        <v>256</v>
      </c>
      <c r="CF3273" s="5" t="s">
        <v>238</v>
      </c>
      <c r="CH3273" s="5" t="s">
        <v>494</v>
      </c>
      <c r="CI3273" s="6" t="s">
        <v>257</v>
      </c>
      <c r="CJ3273" s="5" t="s">
        <v>495</v>
      </c>
      <c r="CK3273" s="5" t="s">
        <v>258</v>
      </c>
      <c r="CL3273" s="5" t="s">
        <v>496</v>
      </c>
      <c r="CM3273" s="5" t="s">
        <v>238</v>
      </c>
      <c r="CN3273" s="5">
        <v>0</v>
      </c>
      <c r="CO3273" s="5" t="s">
        <v>497</v>
      </c>
      <c r="CP3273" s="5" t="s">
        <v>260</v>
      </c>
      <c r="CQ3273" s="5" t="s">
        <v>260</v>
      </c>
      <c r="CR3273" s="5" t="s">
        <v>261</v>
      </c>
      <c r="CS3273" s="5" t="s">
        <v>498</v>
      </c>
      <c r="CT3273" s="7">
        <f>1</f>
        <v>1</v>
      </c>
      <c r="CU3273" s="8">
        <f>1</f>
        <v>1</v>
      </c>
      <c r="CV3273" s="8">
        <f>0</f>
        <v>0</v>
      </c>
      <c r="CX3273" s="8">
        <f>1</f>
        <v>1</v>
      </c>
      <c r="CY3273" s="8">
        <f>1</f>
        <v>1</v>
      </c>
      <c r="CZ3273" s="8" t="s">
        <v>238</v>
      </c>
      <c r="DA3273" s="5" t="s">
        <v>238</v>
      </c>
      <c r="DB3273" s="5" t="s">
        <v>238</v>
      </c>
      <c r="DC3273" s="5" t="s">
        <v>238</v>
      </c>
      <c r="DD3273" s="5" t="s">
        <v>238</v>
      </c>
      <c r="DE3273" s="8">
        <f>0</f>
        <v>0</v>
      </c>
      <c r="DG3273" s="5" t="s">
        <v>238</v>
      </c>
      <c r="DH3273" s="5" t="s">
        <v>238</v>
      </c>
      <c r="DI3273" s="5" t="s">
        <v>238</v>
      </c>
      <c r="DJ3273" s="5" t="s">
        <v>238</v>
      </c>
      <c r="DK3273" s="5" t="s">
        <v>238</v>
      </c>
      <c r="DL3273" s="5" t="s">
        <v>238</v>
      </c>
      <c r="DM3273" s="8" t="s">
        <v>238</v>
      </c>
      <c r="DN3273" s="5" t="s">
        <v>238</v>
      </c>
      <c r="DO3273" s="5" t="s">
        <v>238</v>
      </c>
      <c r="DP3273" s="5" t="s">
        <v>490</v>
      </c>
      <c r="DQ3273" s="5" t="s">
        <v>490</v>
      </c>
      <c r="DR3273" s="5" t="s">
        <v>238</v>
      </c>
      <c r="DS3273" s="5" t="s">
        <v>238</v>
      </c>
      <c r="DT3273" s="5" t="s">
        <v>881</v>
      </c>
      <c r="DU3273" s="5" t="s">
        <v>1327</v>
      </c>
      <c r="DV3273" s="5" t="s">
        <v>238</v>
      </c>
      <c r="DW3273" s="5" t="s">
        <v>238</v>
      </c>
      <c r="DX3273" s="5" t="s">
        <v>238</v>
      </c>
      <c r="DY3273" s="5" t="s">
        <v>238</v>
      </c>
      <c r="DZ3273" s="5" t="s">
        <v>238</v>
      </c>
      <c r="EA3273" s="5" t="s">
        <v>238</v>
      </c>
      <c r="EB3273" s="5" t="s">
        <v>238</v>
      </c>
      <c r="EC3273" s="5" t="s">
        <v>238</v>
      </c>
      <c r="ED3273" s="5" t="s">
        <v>238</v>
      </c>
      <c r="EE3273" s="5" t="s">
        <v>238</v>
      </c>
      <c r="EF3273" s="5" t="s">
        <v>238</v>
      </c>
      <c r="EG3273" s="5" t="s">
        <v>238</v>
      </c>
      <c r="EH3273" s="5" t="s">
        <v>238</v>
      </c>
      <c r="EI3273" s="5" t="s">
        <v>238</v>
      </c>
      <c r="EJ3273" s="5" t="s">
        <v>238</v>
      </c>
      <c r="EK3273" s="5" t="s">
        <v>238</v>
      </c>
      <c r="EL3273" s="5" t="s">
        <v>238</v>
      </c>
      <c r="EM3273" s="5" t="s">
        <v>238</v>
      </c>
      <c r="EN3273" s="5" t="s">
        <v>238</v>
      </c>
      <c r="EO3273" s="5" t="s">
        <v>238</v>
      </c>
      <c r="EP3273" s="5" t="s">
        <v>238</v>
      </c>
      <c r="EQ3273" s="5" t="s">
        <v>238</v>
      </c>
      <c r="ER3273" s="5" t="s">
        <v>238</v>
      </c>
      <c r="ES3273" s="5" t="s">
        <v>238</v>
      </c>
      <c r="ET3273" s="5" t="s">
        <v>238</v>
      </c>
      <c r="EU3273" s="5" t="s">
        <v>238</v>
      </c>
      <c r="EV3273" s="5" t="s">
        <v>238</v>
      </c>
      <c r="EW3273" s="5" t="s">
        <v>238</v>
      </c>
      <c r="EX3273" s="5" t="s">
        <v>238</v>
      </c>
      <c r="EY3273" s="5" t="s">
        <v>238</v>
      </c>
      <c r="EZ3273" s="5" t="s">
        <v>238</v>
      </c>
      <c r="FA3273" s="5" t="s">
        <v>238</v>
      </c>
      <c r="FB3273" s="5" t="s">
        <v>238</v>
      </c>
      <c r="FC3273" s="5" t="s">
        <v>238</v>
      </c>
      <c r="FD3273" s="5" t="s">
        <v>238</v>
      </c>
      <c r="FE3273" s="5" t="s">
        <v>238</v>
      </c>
      <c r="FF3273" s="5" t="s">
        <v>238</v>
      </c>
      <c r="FG3273" s="5" t="s">
        <v>238</v>
      </c>
      <c r="FH3273" s="5" t="s">
        <v>238</v>
      </c>
      <c r="FI3273" s="5" t="s">
        <v>238</v>
      </c>
      <c r="FJ3273" s="5" t="s">
        <v>238</v>
      </c>
      <c r="FK3273" s="5" t="s">
        <v>238</v>
      </c>
      <c r="FL3273" s="5" t="s">
        <v>238</v>
      </c>
      <c r="FM3273" s="5" t="s">
        <v>238</v>
      </c>
      <c r="FN3273" s="5" t="s">
        <v>238</v>
      </c>
      <c r="FO3273" s="5" t="s">
        <v>238</v>
      </c>
      <c r="FP3273" s="5" t="s">
        <v>238</v>
      </c>
      <c r="FQ3273" s="5" t="s">
        <v>238</v>
      </c>
      <c r="FR3273" s="5" t="s">
        <v>238</v>
      </c>
      <c r="FS3273" s="5" t="s">
        <v>238</v>
      </c>
      <c r="FT3273" s="5" t="s">
        <v>238</v>
      </c>
      <c r="FU3273" s="5" t="s">
        <v>238</v>
      </c>
      <c r="FV3273" s="5" t="s">
        <v>238</v>
      </c>
      <c r="FW3273" s="5" t="s">
        <v>238</v>
      </c>
      <c r="FX3273" s="5" t="s">
        <v>238</v>
      </c>
      <c r="FY3273" s="5" t="s">
        <v>238</v>
      </c>
      <c r="FZ3273" s="5" t="s">
        <v>238</v>
      </c>
      <c r="GA3273" s="5" t="s">
        <v>238</v>
      </c>
      <c r="GB3273" s="5" t="s">
        <v>238</v>
      </c>
      <c r="GC3273" s="5" t="s">
        <v>238</v>
      </c>
      <c r="GD3273" s="5" t="s">
        <v>238</v>
      </c>
      <c r="GE3273" s="5" t="s">
        <v>238</v>
      </c>
      <c r="GF3273" s="5" t="s">
        <v>238</v>
      </c>
      <c r="GG3273" s="5" t="s">
        <v>238</v>
      </c>
      <c r="GH3273" s="5" t="s">
        <v>238</v>
      </c>
      <c r="GI3273" s="5" t="s">
        <v>238</v>
      </c>
      <c r="GJ3273" s="5" t="s">
        <v>238</v>
      </c>
      <c r="GK3273" s="5" t="s">
        <v>238</v>
      </c>
      <c r="GL3273" s="5" t="s">
        <v>238</v>
      </c>
      <c r="GM3273" s="5" t="s">
        <v>238</v>
      </c>
      <c r="GN3273" s="5" t="s">
        <v>238</v>
      </c>
      <c r="GO3273" s="5" t="s">
        <v>238</v>
      </c>
      <c r="GP3273" s="5" t="s">
        <v>238</v>
      </c>
      <c r="GQ3273" s="5" t="s">
        <v>238</v>
      </c>
      <c r="GR3273" s="5" t="s">
        <v>238</v>
      </c>
      <c r="GS3273" s="5" t="s">
        <v>238</v>
      </c>
      <c r="GT3273" s="5" t="s">
        <v>238</v>
      </c>
      <c r="GU3273" s="5" t="s">
        <v>238</v>
      </c>
      <c r="GV3273" s="5" t="s">
        <v>238</v>
      </c>
      <c r="GW3273" s="5" t="s">
        <v>238</v>
      </c>
      <c r="GX3273" s="5" t="s">
        <v>238</v>
      </c>
      <c r="GY3273" s="5" t="s">
        <v>238</v>
      </c>
      <c r="GZ3273" s="5" t="s">
        <v>238</v>
      </c>
      <c r="HA3273" s="5" t="s">
        <v>238</v>
      </c>
      <c r="HB3273" s="5" t="s">
        <v>238</v>
      </c>
      <c r="HC3273" s="5" t="s">
        <v>238</v>
      </c>
      <c r="HD3273" s="5" t="s">
        <v>238</v>
      </c>
      <c r="HE3273" s="5" t="s">
        <v>238</v>
      </c>
      <c r="HF3273" s="5" t="s">
        <v>238</v>
      </c>
      <c r="HG3273" s="5" t="s">
        <v>238</v>
      </c>
      <c r="HH3273" s="5" t="s">
        <v>238</v>
      </c>
      <c r="HI3273" s="5" t="s">
        <v>238</v>
      </c>
      <c r="HJ3273" s="5" t="s">
        <v>238</v>
      </c>
      <c r="HK3273" s="5" t="s">
        <v>238</v>
      </c>
      <c r="HL3273" s="5" t="s">
        <v>238</v>
      </c>
      <c r="HM3273" s="5" t="s">
        <v>264</v>
      </c>
      <c r="HN3273" s="5" t="s">
        <v>238</v>
      </c>
      <c r="HO3273" s="5" t="s">
        <v>238</v>
      </c>
      <c r="HP3273" s="5" t="s">
        <v>238</v>
      </c>
      <c r="HQ3273" s="5" t="s">
        <v>238</v>
      </c>
      <c r="HR3273" s="5" t="s">
        <v>238</v>
      </c>
      <c r="HS3273" s="5" t="s">
        <v>238</v>
      </c>
      <c r="HT3273" s="5" t="s">
        <v>238</v>
      </c>
      <c r="HU3273" s="5" t="s">
        <v>238</v>
      </c>
      <c r="HV3273" s="5" t="s">
        <v>238</v>
      </c>
      <c r="HW3273" s="5" t="s">
        <v>238</v>
      </c>
      <c r="HX3273" s="5" t="s">
        <v>238</v>
      </c>
      <c r="HY3273" s="5" t="s">
        <v>238</v>
      </c>
      <c r="HZ3273" s="5" t="s">
        <v>238</v>
      </c>
      <c r="IA3273" s="5" t="s">
        <v>238</v>
      </c>
      <c r="IB3273" s="5" t="s">
        <v>238</v>
      </c>
      <c r="IC3273" s="5" t="s">
        <v>238</v>
      </c>
      <c r="ID3273" s="5" t="s">
        <v>238</v>
      </c>
    </row>
    <row r="3274" spans="1:238" x14ac:dyDescent="0.4">
      <c r="A3274" s="5">
        <v>8992</v>
      </c>
      <c r="B3274" s="5">
        <v>1</v>
      </c>
      <c r="C3274" s="5">
        <v>1</v>
      </c>
      <c r="D3274" s="5" t="s">
        <v>484</v>
      </c>
      <c r="E3274" s="5" t="s">
        <v>878</v>
      </c>
      <c r="F3274" s="5" t="s">
        <v>248</v>
      </c>
      <c r="G3274" s="5" t="s">
        <v>4879</v>
      </c>
      <c r="H3274" s="6" t="s">
        <v>4880</v>
      </c>
      <c r="I3274" s="8">
        <f>1</f>
        <v>1</v>
      </c>
      <c r="J3274" s="5" t="s">
        <v>499</v>
      </c>
      <c r="K3274" s="8">
        <f>1</f>
        <v>1</v>
      </c>
      <c r="L3274" s="6" t="s">
        <v>242</v>
      </c>
      <c r="M3274" s="5" t="s">
        <v>267</v>
      </c>
      <c r="N3274" s="5" t="s">
        <v>482</v>
      </c>
      <c r="O3274" s="5" t="s">
        <v>238</v>
      </c>
      <c r="P3274" s="5" t="s">
        <v>238</v>
      </c>
      <c r="Q3274" s="5" t="s">
        <v>239</v>
      </c>
      <c r="R3274" s="5" t="s">
        <v>270</v>
      </c>
      <c r="S3274" s="5" t="s">
        <v>238</v>
      </c>
      <c r="T3274" s="5" t="s">
        <v>238</v>
      </c>
      <c r="U3274" s="5" t="s">
        <v>238</v>
      </c>
      <c r="V3274" s="5" t="s">
        <v>238</v>
      </c>
      <c r="W3274" s="6" t="s">
        <v>238</v>
      </c>
      <c r="X3274" s="6" t="s">
        <v>238</v>
      </c>
      <c r="Y3274" s="5" t="s">
        <v>238</v>
      </c>
      <c r="Z3274" s="6" t="s">
        <v>238</v>
      </c>
      <c r="AA3274" s="6" t="s">
        <v>243</v>
      </c>
      <c r="AB3274" s="5" t="s">
        <v>879</v>
      </c>
      <c r="AC3274" s="5" t="s">
        <v>244</v>
      </c>
      <c r="AD3274" s="5" t="s">
        <v>245</v>
      </c>
      <c r="AE3274" s="5" t="s">
        <v>238</v>
      </c>
      <c r="AF3274" s="5" t="s">
        <v>238</v>
      </c>
      <c r="AG3274" s="5" t="s">
        <v>238</v>
      </c>
      <c r="AH3274" s="5" t="s">
        <v>238</v>
      </c>
      <c r="AI3274" s="5" t="s">
        <v>238</v>
      </c>
      <c r="AJ3274" s="5" t="s">
        <v>238</v>
      </c>
      <c r="AK3274" s="5" t="s">
        <v>238</v>
      </c>
      <c r="AL3274" s="5" t="s">
        <v>238</v>
      </c>
      <c r="AM3274" s="6" t="s">
        <v>238</v>
      </c>
      <c r="AN3274" s="6" t="s">
        <v>238</v>
      </c>
      <c r="AO3274" s="6" t="s">
        <v>238</v>
      </c>
      <c r="AP3274" s="6" t="s">
        <v>238</v>
      </c>
      <c r="AQ3274" s="5" t="s">
        <v>238</v>
      </c>
      <c r="AR3274" s="5" t="s">
        <v>488</v>
      </c>
      <c r="AS3274" s="5" t="s">
        <v>488</v>
      </c>
      <c r="AT3274" s="5" t="s">
        <v>246</v>
      </c>
      <c r="AU3274" s="5" t="s">
        <v>489</v>
      </c>
      <c r="AV3274" s="5" t="s">
        <v>247</v>
      </c>
      <c r="AW3274" s="5" t="s">
        <v>238</v>
      </c>
      <c r="AX3274" s="5" t="s">
        <v>249</v>
      </c>
      <c r="AY3274" s="5" t="s">
        <v>490</v>
      </c>
      <c r="BA3274" s="5" t="s">
        <v>238</v>
      </c>
      <c r="BC3274" s="5" t="s">
        <v>491</v>
      </c>
      <c r="BD3274" s="6" t="s">
        <v>492</v>
      </c>
      <c r="BE3274" s="5" t="s">
        <v>493</v>
      </c>
      <c r="BF3274" s="5" t="s">
        <v>493</v>
      </c>
      <c r="BG3274" s="5" t="s">
        <v>238</v>
      </c>
      <c r="BH3274" s="8">
        <f>1</f>
        <v>1</v>
      </c>
      <c r="BI3274" s="8">
        <f>1</f>
        <v>1</v>
      </c>
      <c r="BJ3274" s="5" t="s">
        <v>253</v>
      </c>
      <c r="BK3274" s="5" t="s">
        <v>254</v>
      </c>
      <c r="BL3274" s="5" t="s">
        <v>238</v>
      </c>
      <c r="BM3274" s="5" t="s">
        <v>238</v>
      </c>
      <c r="BN3274" s="5" t="s">
        <v>238</v>
      </c>
      <c r="BO3274" s="5" t="s">
        <v>238</v>
      </c>
      <c r="BP3274" s="5" t="s">
        <v>238</v>
      </c>
      <c r="BQ3274" s="5" t="s">
        <v>238</v>
      </c>
      <c r="BR3274" s="5" t="s">
        <v>238</v>
      </c>
      <c r="BS3274" s="5" t="s">
        <v>238</v>
      </c>
      <c r="BT3274" s="6" t="s">
        <v>238</v>
      </c>
      <c r="BU3274" s="5" t="s">
        <v>238</v>
      </c>
      <c r="BV3274" s="5" t="s">
        <v>238</v>
      </c>
      <c r="BW3274" s="5" t="s">
        <v>238</v>
      </c>
      <c r="BX3274" s="5" t="s">
        <v>254</v>
      </c>
      <c r="BY3274" s="5" t="s">
        <v>238</v>
      </c>
      <c r="BZ3274" s="5" t="s">
        <v>238</v>
      </c>
      <c r="CA3274" s="5" t="s">
        <v>238</v>
      </c>
      <c r="CB3274" s="5" t="s">
        <v>238</v>
      </c>
      <c r="CC3274" s="5" t="s">
        <v>238</v>
      </c>
      <c r="CD3274" s="5" t="s">
        <v>273</v>
      </c>
      <c r="CE3274" s="5" t="s">
        <v>256</v>
      </c>
      <c r="CF3274" s="5" t="s">
        <v>238</v>
      </c>
      <c r="CH3274" s="5" t="s">
        <v>494</v>
      </c>
      <c r="CI3274" s="6" t="s">
        <v>257</v>
      </c>
      <c r="CJ3274" s="5" t="s">
        <v>495</v>
      </c>
      <c r="CK3274" s="5" t="s">
        <v>258</v>
      </c>
      <c r="CL3274" s="5" t="s">
        <v>496</v>
      </c>
      <c r="CM3274" s="5" t="s">
        <v>238</v>
      </c>
      <c r="CN3274" s="5">
        <v>0</v>
      </c>
      <c r="CO3274" s="5" t="s">
        <v>497</v>
      </c>
      <c r="CP3274" s="5" t="s">
        <v>260</v>
      </c>
      <c r="CQ3274" s="5" t="s">
        <v>260</v>
      </c>
      <c r="CR3274" s="5" t="s">
        <v>261</v>
      </c>
      <c r="CS3274" s="5" t="s">
        <v>498</v>
      </c>
      <c r="CT3274" s="7">
        <f>1</f>
        <v>1</v>
      </c>
      <c r="CU3274" s="8">
        <f>1</f>
        <v>1</v>
      </c>
      <c r="CV3274" s="8">
        <f>0</f>
        <v>0</v>
      </c>
      <c r="CX3274" s="8">
        <f>1</f>
        <v>1</v>
      </c>
      <c r="CY3274" s="8">
        <f>1</f>
        <v>1</v>
      </c>
      <c r="CZ3274" s="8" t="s">
        <v>238</v>
      </c>
      <c r="DA3274" s="5" t="s">
        <v>238</v>
      </c>
      <c r="DB3274" s="5" t="s">
        <v>238</v>
      </c>
      <c r="DC3274" s="5" t="s">
        <v>238</v>
      </c>
      <c r="DD3274" s="5" t="s">
        <v>238</v>
      </c>
      <c r="DE3274" s="8">
        <f>0</f>
        <v>0</v>
      </c>
      <c r="DG3274" s="5" t="s">
        <v>238</v>
      </c>
      <c r="DH3274" s="5" t="s">
        <v>238</v>
      </c>
      <c r="DI3274" s="5" t="s">
        <v>238</v>
      </c>
      <c r="DJ3274" s="5" t="s">
        <v>238</v>
      </c>
      <c r="DK3274" s="5" t="s">
        <v>238</v>
      </c>
      <c r="DL3274" s="5" t="s">
        <v>238</v>
      </c>
      <c r="DM3274" s="8" t="s">
        <v>238</v>
      </c>
      <c r="DN3274" s="5" t="s">
        <v>238</v>
      </c>
      <c r="DO3274" s="5" t="s">
        <v>238</v>
      </c>
      <c r="DP3274" s="5" t="s">
        <v>490</v>
      </c>
      <c r="DQ3274" s="5" t="s">
        <v>490</v>
      </c>
      <c r="DR3274" s="5" t="s">
        <v>238</v>
      </c>
      <c r="DS3274" s="5" t="s">
        <v>238</v>
      </c>
      <c r="DT3274" s="5" t="s">
        <v>881</v>
      </c>
      <c r="DU3274" s="5" t="s">
        <v>602</v>
      </c>
      <c r="DV3274" s="5" t="s">
        <v>238</v>
      </c>
      <c r="DW3274" s="5" t="s">
        <v>238</v>
      </c>
      <c r="DX3274" s="5" t="s">
        <v>238</v>
      </c>
      <c r="DY3274" s="5" t="s">
        <v>238</v>
      </c>
      <c r="DZ3274" s="5" t="s">
        <v>238</v>
      </c>
      <c r="EA3274" s="5" t="s">
        <v>238</v>
      </c>
      <c r="EB3274" s="5" t="s">
        <v>238</v>
      </c>
      <c r="EC3274" s="5" t="s">
        <v>238</v>
      </c>
      <c r="ED3274" s="5" t="s">
        <v>238</v>
      </c>
      <c r="EE3274" s="5" t="s">
        <v>238</v>
      </c>
      <c r="EF3274" s="5" t="s">
        <v>238</v>
      </c>
      <c r="EG3274" s="5" t="s">
        <v>238</v>
      </c>
      <c r="EH3274" s="5" t="s">
        <v>238</v>
      </c>
      <c r="EI3274" s="5" t="s">
        <v>238</v>
      </c>
      <c r="EJ3274" s="5" t="s">
        <v>238</v>
      </c>
      <c r="EK3274" s="5" t="s">
        <v>238</v>
      </c>
      <c r="EL3274" s="5" t="s">
        <v>238</v>
      </c>
      <c r="EM3274" s="5" t="s">
        <v>238</v>
      </c>
      <c r="EN3274" s="5" t="s">
        <v>238</v>
      </c>
      <c r="EO3274" s="5" t="s">
        <v>238</v>
      </c>
      <c r="EP3274" s="5" t="s">
        <v>238</v>
      </c>
      <c r="EQ3274" s="5" t="s">
        <v>238</v>
      </c>
      <c r="ER3274" s="5" t="s">
        <v>238</v>
      </c>
      <c r="ES3274" s="5" t="s">
        <v>238</v>
      </c>
      <c r="ET3274" s="5" t="s">
        <v>238</v>
      </c>
      <c r="EU3274" s="5" t="s">
        <v>238</v>
      </c>
      <c r="EV3274" s="5" t="s">
        <v>238</v>
      </c>
      <c r="EW3274" s="5" t="s">
        <v>238</v>
      </c>
      <c r="EX3274" s="5" t="s">
        <v>238</v>
      </c>
      <c r="EY3274" s="5" t="s">
        <v>238</v>
      </c>
      <c r="EZ3274" s="5" t="s">
        <v>238</v>
      </c>
      <c r="FA3274" s="5" t="s">
        <v>238</v>
      </c>
      <c r="FB3274" s="5" t="s">
        <v>238</v>
      </c>
      <c r="FC3274" s="5" t="s">
        <v>238</v>
      </c>
      <c r="FD3274" s="5" t="s">
        <v>238</v>
      </c>
      <c r="FE3274" s="5" t="s">
        <v>238</v>
      </c>
      <c r="FF3274" s="5" t="s">
        <v>238</v>
      </c>
      <c r="FG3274" s="5" t="s">
        <v>238</v>
      </c>
      <c r="FH3274" s="5" t="s">
        <v>238</v>
      </c>
      <c r="FI3274" s="5" t="s">
        <v>238</v>
      </c>
      <c r="FJ3274" s="5" t="s">
        <v>238</v>
      </c>
      <c r="FK3274" s="5" t="s">
        <v>238</v>
      </c>
      <c r="FL3274" s="5" t="s">
        <v>238</v>
      </c>
      <c r="FM3274" s="5" t="s">
        <v>238</v>
      </c>
      <c r="FN3274" s="5" t="s">
        <v>238</v>
      </c>
      <c r="FO3274" s="5" t="s">
        <v>238</v>
      </c>
      <c r="FP3274" s="5" t="s">
        <v>238</v>
      </c>
      <c r="FQ3274" s="5" t="s">
        <v>238</v>
      </c>
      <c r="FR3274" s="5" t="s">
        <v>238</v>
      </c>
      <c r="FS3274" s="5" t="s">
        <v>238</v>
      </c>
      <c r="FT3274" s="5" t="s">
        <v>238</v>
      </c>
      <c r="FU3274" s="5" t="s">
        <v>238</v>
      </c>
      <c r="FV3274" s="5" t="s">
        <v>238</v>
      </c>
      <c r="FW3274" s="5" t="s">
        <v>238</v>
      </c>
      <c r="FX3274" s="5" t="s">
        <v>238</v>
      </c>
      <c r="FY3274" s="5" t="s">
        <v>238</v>
      </c>
      <c r="FZ3274" s="5" t="s">
        <v>238</v>
      </c>
      <c r="GA3274" s="5" t="s">
        <v>238</v>
      </c>
      <c r="GB3274" s="5" t="s">
        <v>238</v>
      </c>
      <c r="GC3274" s="5" t="s">
        <v>238</v>
      </c>
      <c r="GD3274" s="5" t="s">
        <v>238</v>
      </c>
      <c r="GE3274" s="5" t="s">
        <v>238</v>
      </c>
      <c r="GF3274" s="5" t="s">
        <v>238</v>
      </c>
      <c r="GG3274" s="5" t="s">
        <v>238</v>
      </c>
      <c r="GH3274" s="5" t="s">
        <v>238</v>
      </c>
      <c r="GI3274" s="5" t="s">
        <v>238</v>
      </c>
      <c r="GJ3274" s="5" t="s">
        <v>238</v>
      </c>
      <c r="GK3274" s="5" t="s">
        <v>238</v>
      </c>
      <c r="GL3274" s="5" t="s">
        <v>238</v>
      </c>
      <c r="GM3274" s="5" t="s">
        <v>238</v>
      </c>
      <c r="GN3274" s="5" t="s">
        <v>238</v>
      </c>
      <c r="GO3274" s="5" t="s">
        <v>238</v>
      </c>
      <c r="GP3274" s="5" t="s">
        <v>238</v>
      </c>
      <c r="GQ3274" s="5" t="s">
        <v>238</v>
      </c>
      <c r="GR3274" s="5" t="s">
        <v>238</v>
      </c>
      <c r="GS3274" s="5" t="s">
        <v>238</v>
      </c>
      <c r="GT3274" s="5" t="s">
        <v>238</v>
      </c>
      <c r="GU3274" s="5" t="s">
        <v>238</v>
      </c>
      <c r="GV3274" s="5" t="s">
        <v>238</v>
      </c>
      <c r="GW3274" s="5" t="s">
        <v>238</v>
      </c>
      <c r="GX3274" s="5" t="s">
        <v>238</v>
      </c>
      <c r="GY3274" s="5" t="s">
        <v>238</v>
      </c>
      <c r="GZ3274" s="5" t="s">
        <v>238</v>
      </c>
      <c r="HA3274" s="5" t="s">
        <v>238</v>
      </c>
      <c r="HB3274" s="5" t="s">
        <v>238</v>
      </c>
      <c r="HC3274" s="5" t="s">
        <v>238</v>
      </c>
      <c r="HD3274" s="5" t="s">
        <v>238</v>
      </c>
      <c r="HE3274" s="5" t="s">
        <v>238</v>
      </c>
      <c r="HF3274" s="5" t="s">
        <v>238</v>
      </c>
      <c r="HG3274" s="5" t="s">
        <v>238</v>
      </c>
      <c r="HH3274" s="5" t="s">
        <v>238</v>
      </c>
      <c r="HI3274" s="5" t="s">
        <v>238</v>
      </c>
      <c r="HJ3274" s="5" t="s">
        <v>238</v>
      </c>
      <c r="HK3274" s="5" t="s">
        <v>238</v>
      </c>
      <c r="HL3274" s="5" t="s">
        <v>238</v>
      </c>
      <c r="HM3274" s="5" t="s">
        <v>264</v>
      </c>
      <c r="HN3274" s="5" t="s">
        <v>238</v>
      </c>
      <c r="HO3274" s="5" t="s">
        <v>238</v>
      </c>
      <c r="HP3274" s="5" t="s">
        <v>238</v>
      </c>
      <c r="HQ3274" s="5" t="s">
        <v>238</v>
      </c>
      <c r="HR3274" s="5" t="s">
        <v>238</v>
      </c>
      <c r="HS3274" s="5" t="s">
        <v>238</v>
      </c>
      <c r="HT3274" s="5" t="s">
        <v>238</v>
      </c>
      <c r="HU3274" s="5" t="s">
        <v>238</v>
      </c>
      <c r="HV3274" s="5" t="s">
        <v>238</v>
      </c>
      <c r="HW3274" s="5" t="s">
        <v>238</v>
      </c>
      <c r="HX3274" s="5" t="s">
        <v>238</v>
      </c>
      <c r="HY3274" s="5" t="s">
        <v>238</v>
      </c>
      <c r="HZ3274" s="5" t="s">
        <v>238</v>
      </c>
      <c r="IA3274" s="5" t="s">
        <v>238</v>
      </c>
      <c r="IB3274" s="5" t="s">
        <v>238</v>
      </c>
      <c r="IC3274" s="5" t="s">
        <v>238</v>
      </c>
      <c r="ID3274" s="5" t="s">
        <v>238</v>
      </c>
    </row>
    <row r="3275" spans="1:238" x14ac:dyDescent="0.4">
      <c r="A3275" s="5">
        <v>8993</v>
      </c>
      <c r="B3275" s="5">
        <v>1</v>
      </c>
      <c r="C3275" s="5">
        <v>1</v>
      </c>
      <c r="D3275" s="5" t="s">
        <v>484</v>
      </c>
      <c r="E3275" s="5" t="s">
        <v>878</v>
      </c>
      <c r="F3275" s="5" t="s">
        <v>248</v>
      </c>
      <c r="G3275" s="5" t="s">
        <v>5135</v>
      </c>
      <c r="H3275" s="6" t="s">
        <v>5136</v>
      </c>
      <c r="I3275" s="8">
        <f>1</f>
        <v>1</v>
      </c>
      <c r="J3275" s="5" t="s">
        <v>499</v>
      </c>
      <c r="K3275" s="8">
        <f>1</f>
        <v>1</v>
      </c>
      <c r="L3275" s="6" t="s">
        <v>242</v>
      </c>
      <c r="M3275" s="5" t="s">
        <v>267</v>
      </c>
      <c r="N3275" s="5" t="s">
        <v>482</v>
      </c>
      <c r="O3275" s="5" t="s">
        <v>238</v>
      </c>
      <c r="P3275" s="5" t="s">
        <v>238</v>
      </c>
      <c r="Q3275" s="5" t="s">
        <v>239</v>
      </c>
      <c r="R3275" s="5" t="s">
        <v>270</v>
      </c>
      <c r="S3275" s="5" t="s">
        <v>238</v>
      </c>
      <c r="T3275" s="5" t="s">
        <v>238</v>
      </c>
      <c r="U3275" s="5" t="s">
        <v>238</v>
      </c>
      <c r="V3275" s="5" t="s">
        <v>238</v>
      </c>
      <c r="W3275" s="6" t="s">
        <v>238</v>
      </c>
      <c r="X3275" s="6" t="s">
        <v>238</v>
      </c>
      <c r="Y3275" s="5" t="s">
        <v>238</v>
      </c>
      <c r="Z3275" s="6" t="s">
        <v>238</v>
      </c>
      <c r="AA3275" s="6" t="s">
        <v>243</v>
      </c>
      <c r="AB3275" s="5" t="s">
        <v>879</v>
      </c>
      <c r="AC3275" s="5" t="s">
        <v>244</v>
      </c>
      <c r="AD3275" s="5" t="s">
        <v>245</v>
      </c>
      <c r="AE3275" s="5" t="s">
        <v>238</v>
      </c>
      <c r="AF3275" s="5" t="s">
        <v>238</v>
      </c>
      <c r="AG3275" s="5" t="s">
        <v>238</v>
      </c>
      <c r="AH3275" s="5" t="s">
        <v>238</v>
      </c>
      <c r="AI3275" s="5" t="s">
        <v>238</v>
      </c>
      <c r="AJ3275" s="5" t="s">
        <v>238</v>
      </c>
      <c r="AK3275" s="5" t="s">
        <v>238</v>
      </c>
      <c r="AL3275" s="5" t="s">
        <v>238</v>
      </c>
      <c r="AM3275" s="6" t="s">
        <v>238</v>
      </c>
      <c r="AN3275" s="6" t="s">
        <v>238</v>
      </c>
      <c r="AO3275" s="6" t="s">
        <v>238</v>
      </c>
      <c r="AP3275" s="6" t="s">
        <v>238</v>
      </c>
      <c r="AQ3275" s="5" t="s">
        <v>238</v>
      </c>
      <c r="AR3275" s="5" t="s">
        <v>488</v>
      </c>
      <c r="AS3275" s="5" t="s">
        <v>488</v>
      </c>
      <c r="AT3275" s="5" t="s">
        <v>246</v>
      </c>
      <c r="AU3275" s="5" t="s">
        <v>489</v>
      </c>
      <c r="AV3275" s="5" t="s">
        <v>247</v>
      </c>
      <c r="AW3275" s="5" t="s">
        <v>238</v>
      </c>
      <c r="AX3275" s="5" t="s">
        <v>249</v>
      </c>
      <c r="AY3275" s="5" t="s">
        <v>490</v>
      </c>
      <c r="BA3275" s="5" t="s">
        <v>238</v>
      </c>
      <c r="BC3275" s="5" t="s">
        <v>491</v>
      </c>
      <c r="BD3275" s="6" t="s">
        <v>492</v>
      </c>
      <c r="BE3275" s="5" t="s">
        <v>493</v>
      </c>
      <c r="BF3275" s="5" t="s">
        <v>493</v>
      </c>
      <c r="BG3275" s="5" t="s">
        <v>238</v>
      </c>
      <c r="BH3275" s="8">
        <f>1</f>
        <v>1</v>
      </c>
      <c r="BI3275" s="8">
        <f>1</f>
        <v>1</v>
      </c>
      <c r="BJ3275" s="5" t="s">
        <v>253</v>
      </c>
      <c r="BK3275" s="5" t="s">
        <v>254</v>
      </c>
      <c r="BL3275" s="5" t="s">
        <v>238</v>
      </c>
      <c r="BM3275" s="5" t="s">
        <v>238</v>
      </c>
      <c r="BN3275" s="5" t="s">
        <v>238</v>
      </c>
      <c r="BO3275" s="5" t="s">
        <v>238</v>
      </c>
      <c r="BP3275" s="5" t="s">
        <v>238</v>
      </c>
      <c r="BQ3275" s="5" t="s">
        <v>238</v>
      </c>
      <c r="BR3275" s="5" t="s">
        <v>238</v>
      </c>
      <c r="BS3275" s="5" t="s">
        <v>238</v>
      </c>
      <c r="BT3275" s="6" t="s">
        <v>238</v>
      </c>
      <c r="BU3275" s="5" t="s">
        <v>238</v>
      </c>
      <c r="BV3275" s="5" t="s">
        <v>238</v>
      </c>
      <c r="BW3275" s="5" t="s">
        <v>238</v>
      </c>
      <c r="BX3275" s="5" t="s">
        <v>254</v>
      </c>
      <c r="BY3275" s="5" t="s">
        <v>238</v>
      </c>
      <c r="BZ3275" s="5" t="s">
        <v>238</v>
      </c>
      <c r="CA3275" s="5" t="s">
        <v>238</v>
      </c>
      <c r="CB3275" s="5" t="s">
        <v>238</v>
      </c>
      <c r="CC3275" s="5" t="s">
        <v>238</v>
      </c>
      <c r="CD3275" s="5" t="s">
        <v>273</v>
      </c>
      <c r="CE3275" s="5" t="s">
        <v>256</v>
      </c>
      <c r="CF3275" s="5" t="s">
        <v>238</v>
      </c>
      <c r="CH3275" s="5" t="s">
        <v>494</v>
      </c>
      <c r="CI3275" s="6" t="s">
        <v>257</v>
      </c>
      <c r="CJ3275" s="5" t="s">
        <v>495</v>
      </c>
      <c r="CK3275" s="5" t="s">
        <v>258</v>
      </c>
      <c r="CL3275" s="5" t="s">
        <v>496</v>
      </c>
      <c r="CM3275" s="5" t="s">
        <v>238</v>
      </c>
      <c r="CN3275" s="5">
        <v>0</v>
      </c>
      <c r="CO3275" s="5" t="s">
        <v>497</v>
      </c>
      <c r="CP3275" s="5" t="s">
        <v>260</v>
      </c>
      <c r="CQ3275" s="5" t="s">
        <v>260</v>
      </c>
      <c r="CR3275" s="5" t="s">
        <v>261</v>
      </c>
      <c r="CS3275" s="5" t="s">
        <v>498</v>
      </c>
      <c r="CT3275" s="7">
        <f>1</f>
        <v>1</v>
      </c>
      <c r="CU3275" s="8">
        <f>1</f>
        <v>1</v>
      </c>
      <c r="CV3275" s="8">
        <f>0</f>
        <v>0</v>
      </c>
      <c r="CX3275" s="8">
        <f>1</f>
        <v>1</v>
      </c>
      <c r="CY3275" s="8">
        <f>1</f>
        <v>1</v>
      </c>
      <c r="CZ3275" s="8" t="s">
        <v>238</v>
      </c>
      <c r="DA3275" s="5" t="s">
        <v>238</v>
      </c>
      <c r="DB3275" s="5" t="s">
        <v>238</v>
      </c>
      <c r="DC3275" s="5" t="s">
        <v>238</v>
      </c>
      <c r="DD3275" s="5" t="s">
        <v>238</v>
      </c>
      <c r="DE3275" s="8">
        <f>0</f>
        <v>0</v>
      </c>
      <c r="DG3275" s="5" t="s">
        <v>238</v>
      </c>
      <c r="DH3275" s="5" t="s">
        <v>238</v>
      </c>
      <c r="DI3275" s="5" t="s">
        <v>238</v>
      </c>
      <c r="DJ3275" s="5" t="s">
        <v>238</v>
      </c>
      <c r="DK3275" s="5" t="s">
        <v>238</v>
      </c>
      <c r="DL3275" s="5" t="s">
        <v>238</v>
      </c>
      <c r="DM3275" s="8" t="s">
        <v>238</v>
      </c>
      <c r="DN3275" s="5" t="s">
        <v>238</v>
      </c>
      <c r="DO3275" s="5" t="s">
        <v>238</v>
      </c>
      <c r="DP3275" s="5" t="s">
        <v>490</v>
      </c>
      <c r="DQ3275" s="5" t="s">
        <v>490</v>
      </c>
      <c r="DR3275" s="5" t="s">
        <v>238</v>
      </c>
      <c r="DS3275" s="5" t="s">
        <v>238</v>
      </c>
      <c r="DT3275" s="5" t="s">
        <v>881</v>
      </c>
      <c r="DU3275" s="5" t="s">
        <v>1299</v>
      </c>
      <c r="DV3275" s="5" t="s">
        <v>238</v>
      </c>
      <c r="DW3275" s="5" t="s">
        <v>238</v>
      </c>
      <c r="DX3275" s="5" t="s">
        <v>238</v>
      </c>
      <c r="DY3275" s="5" t="s">
        <v>238</v>
      </c>
      <c r="DZ3275" s="5" t="s">
        <v>238</v>
      </c>
      <c r="EA3275" s="5" t="s">
        <v>238</v>
      </c>
      <c r="EB3275" s="5" t="s">
        <v>238</v>
      </c>
      <c r="EC3275" s="5" t="s">
        <v>238</v>
      </c>
      <c r="ED3275" s="5" t="s">
        <v>238</v>
      </c>
      <c r="EE3275" s="5" t="s">
        <v>238</v>
      </c>
      <c r="EF3275" s="5" t="s">
        <v>238</v>
      </c>
      <c r="EG3275" s="5" t="s">
        <v>238</v>
      </c>
      <c r="EH3275" s="5" t="s">
        <v>238</v>
      </c>
      <c r="EI3275" s="5" t="s">
        <v>238</v>
      </c>
      <c r="EJ3275" s="5" t="s">
        <v>238</v>
      </c>
      <c r="EK3275" s="5" t="s">
        <v>238</v>
      </c>
      <c r="EL3275" s="5" t="s">
        <v>238</v>
      </c>
      <c r="EM3275" s="5" t="s">
        <v>238</v>
      </c>
      <c r="EN3275" s="5" t="s">
        <v>238</v>
      </c>
      <c r="EO3275" s="5" t="s">
        <v>238</v>
      </c>
      <c r="EP3275" s="5" t="s">
        <v>238</v>
      </c>
      <c r="EQ3275" s="5" t="s">
        <v>238</v>
      </c>
      <c r="ER3275" s="5" t="s">
        <v>238</v>
      </c>
      <c r="ES3275" s="5" t="s">
        <v>238</v>
      </c>
      <c r="ET3275" s="5" t="s">
        <v>238</v>
      </c>
      <c r="EU3275" s="5" t="s">
        <v>238</v>
      </c>
      <c r="EV3275" s="5" t="s">
        <v>238</v>
      </c>
      <c r="EW3275" s="5" t="s">
        <v>238</v>
      </c>
      <c r="EX3275" s="5" t="s">
        <v>238</v>
      </c>
      <c r="EY3275" s="5" t="s">
        <v>238</v>
      </c>
      <c r="EZ3275" s="5" t="s">
        <v>238</v>
      </c>
      <c r="FA3275" s="5" t="s">
        <v>238</v>
      </c>
      <c r="FB3275" s="5" t="s">
        <v>238</v>
      </c>
      <c r="FC3275" s="5" t="s">
        <v>238</v>
      </c>
      <c r="FD3275" s="5" t="s">
        <v>238</v>
      </c>
      <c r="FE3275" s="5" t="s">
        <v>238</v>
      </c>
      <c r="FF3275" s="5" t="s">
        <v>238</v>
      </c>
      <c r="FG3275" s="5" t="s">
        <v>238</v>
      </c>
      <c r="FH3275" s="5" t="s">
        <v>238</v>
      </c>
      <c r="FI3275" s="5" t="s">
        <v>238</v>
      </c>
      <c r="FJ3275" s="5" t="s">
        <v>238</v>
      </c>
      <c r="FK3275" s="5" t="s">
        <v>238</v>
      </c>
      <c r="FL3275" s="5" t="s">
        <v>238</v>
      </c>
      <c r="FM3275" s="5" t="s">
        <v>238</v>
      </c>
      <c r="FN3275" s="5" t="s">
        <v>238</v>
      </c>
      <c r="FO3275" s="5" t="s">
        <v>238</v>
      </c>
      <c r="FP3275" s="5" t="s">
        <v>238</v>
      </c>
      <c r="FQ3275" s="5" t="s">
        <v>238</v>
      </c>
      <c r="FR3275" s="5" t="s">
        <v>238</v>
      </c>
      <c r="FS3275" s="5" t="s">
        <v>238</v>
      </c>
      <c r="FT3275" s="5" t="s">
        <v>238</v>
      </c>
      <c r="FU3275" s="5" t="s">
        <v>238</v>
      </c>
      <c r="FV3275" s="5" t="s">
        <v>238</v>
      </c>
      <c r="FW3275" s="5" t="s">
        <v>238</v>
      </c>
      <c r="FX3275" s="5" t="s">
        <v>238</v>
      </c>
      <c r="FY3275" s="5" t="s">
        <v>238</v>
      </c>
      <c r="FZ3275" s="5" t="s">
        <v>238</v>
      </c>
      <c r="GA3275" s="5" t="s">
        <v>238</v>
      </c>
      <c r="GB3275" s="5" t="s">
        <v>238</v>
      </c>
      <c r="GC3275" s="5" t="s">
        <v>238</v>
      </c>
      <c r="GD3275" s="5" t="s">
        <v>238</v>
      </c>
      <c r="GE3275" s="5" t="s">
        <v>238</v>
      </c>
      <c r="GF3275" s="5" t="s">
        <v>238</v>
      </c>
      <c r="GG3275" s="5" t="s">
        <v>238</v>
      </c>
      <c r="GH3275" s="5" t="s">
        <v>238</v>
      </c>
      <c r="GI3275" s="5" t="s">
        <v>238</v>
      </c>
      <c r="GJ3275" s="5" t="s">
        <v>238</v>
      </c>
      <c r="GK3275" s="5" t="s">
        <v>238</v>
      </c>
      <c r="GL3275" s="5" t="s">
        <v>238</v>
      </c>
      <c r="GM3275" s="5" t="s">
        <v>238</v>
      </c>
      <c r="GN3275" s="5" t="s">
        <v>238</v>
      </c>
      <c r="GO3275" s="5" t="s">
        <v>238</v>
      </c>
      <c r="GP3275" s="5" t="s">
        <v>238</v>
      </c>
      <c r="GQ3275" s="5" t="s">
        <v>238</v>
      </c>
      <c r="GR3275" s="5" t="s">
        <v>238</v>
      </c>
      <c r="GS3275" s="5" t="s">
        <v>238</v>
      </c>
      <c r="GT3275" s="5" t="s">
        <v>238</v>
      </c>
      <c r="GU3275" s="5" t="s">
        <v>238</v>
      </c>
      <c r="GV3275" s="5" t="s">
        <v>238</v>
      </c>
      <c r="GW3275" s="5" t="s">
        <v>238</v>
      </c>
      <c r="GX3275" s="5" t="s">
        <v>238</v>
      </c>
      <c r="GY3275" s="5" t="s">
        <v>238</v>
      </c>
      <c r="GZ3275" s="5" t="s">
        <v>238</v>
      </c>
      <c r="HA3275" s="5" t="s">
        <v>238</v>
      </c>
      <c r="HB3275" s="5" t="s">
        <v>238</v>
      </c>
      <c r="HC3275" s="5" t="s">
        <v>238</v>
      </c>
      <c r="HD3275" s="5" t="s">
        <v>238</v>
      </c>
      <c r="HE3275" s="5" t="s">
        <v>238</v>
      </c>
      <c r="HF3275" s="5" t="s">
        <v>238</v>
      </c>
      <c r="HG3275" s="5" t="s">
        <v>238</v>
      </c>
      <c r="HH3275" s="5" t="s">
        <v>238</v>
      </c>
      <c r="HI3275" s="5" t="s">
        <v>238</v>
      </c>
      <c r="HJ3275" s="5" t="s">
        <v>238</v>
      </c>
      <c r="HK3275" s="5" t="s">
        <v>238</v>
      </c>
      <c r="HL3275" s="5" t="s">
        <v>238</v>
      </c>
      <c r="HM3275" s="5" t="s">
        <v>264</v>
      </c>
      <c r="HN3275" s="5" t="s">
        <v>238</v>
      </c>
      <c r="HO3275" s="5" t="s">
        <v>238</v>
      </c>
      <c r="HP3275" s="5" t="s">
        <v>238</v>
      </c>
      <c r="HQ3275" s="5" t="s">
        <v>238</v>
      </c>
      <c r="HR3275" s="5" t="s">
        <v>238</v>
      </c>
      <c r="HS3275" s="5" t="s">
        <v>238</v>
      </c>
      <c r="HT3275" s="5" t="s">
        <v>238</v>
      </c>
      <c r="HU3275" s="5" t="s">
        <v>238</v>
      </c>
      <c r="HV3275" s="5" t="s">
        <v>238</v>
      </c>
      <c r="HW3275" s="5" t="s">
        <v>238</v>
      </c>
      <c r="HX3275" s="5" t="s">
        <v>238</v>
      </c>
      <c r="HY3275" s="5" t="s">
        <v>238</v>
      </c>
      <c r="HZ3275" s="5" t="s">
        <v>238</v>
      </c>
      <c r="IA3275" s="5" t="s">
        <v>238</v>
      </c>
      <c r="IB3275" s="5" t="s">
        <v>238</v>
      </c>
      <c r="IC3275" s="5" t="s">
        <v>238</v>
      </c>
      <c r="ID3275" s="5" t="s">
        <v>238</v>
      </c>
    </row>
    <row r="3276" spans="1:238" x14ac:dyDescent="0.4">
      <c r="A3276" s="5">
        <v>8994</v>
      </c>
      <c r="B3276" s="5">
        <v>1</v>
      </c>
      <c r="C3276" s="5">
        <v>1</v>
      </c>
      <c r="D3276" s="5" t="s">
        <v>484</v>
      </c>
      <c r="E3276" s="5" t="s">
        <v>878</v>
      </c>
      <c r="F3276" s="5" t="s">
        <v>248</v>
      </c>
      <c r="G3276" s="5" t="s">
        <v>5732</v>
      </c>
      <c r="H3276" s="6" t="s">
        <v>5733</v>
      </c>
      <c r="I3276" s="8">
        <f>1</f>
        <v>1</v>
      </c>
      <c r="J3276" s="5" t="s">
        <v>499</v>
      </c>
      <c r="K3276" s="8">
        <f>1</f>
        <v>1</v>
      </c>
      <c r="L3276" s="6" t="s">
        <v>242</v>
      </c>
      <c r="M3276" s="5" t="s">
        <v>267</v>
      </c>
      <c r="N3276" s="5" t="s">
        <v>482</v>
      </c>
      <c r="O3276" s="5" t="s">
        <v>238</v>
      </c>
      <c r="P3276" s="5" t="s">
        <v>238</v>
      </c>
      <c r="Q3276" s="5" t="s">
        <v>239</v>
      </c>
      <c r="R3276" s="5" t="s">
        <v>270</v>
      </c>
      <c r="S3276" s="5" t="s">
        <v>238</v>
      </c>
      <c r="T3276" s="5" t="s">
        <v>238</v>
      </c>
      <c r="U3276" s="5" t="s">
        <v>238</v>
      </c>
      <c r="V3276" s="5" t="s">
        <v>238</v>
      </c>
      <c r="W3276" s="6" t="s">
        <v>238</v>
      </c>
      <c r="X3276" s="6" t="s">
        <v>238</v>
      </c>
      <c r="Y3276" s="5" t="s">
        <v>238</v>
      </c>
      <c r="Z3276" s="6" t="s">
        <v>238</v>
      </c>
      <c r="AA3276" s="6" t="s">
        <v>243</v>
      </c>
      <c r="AB3276" s="5" t="s">
        <v>879</v>
      </c>
      <c r="AC3276" s="5" t="s">
        <v>244</v>
      </c>
      <c r="AD3276" s="5" t="s">
        <v>245</v>
      </c>
      <c r="AE3276" s="5" t="s">
        <v>238</v>
      </c>
      <c r="AF3276" s="5" t="s">
        <v>238</v>
      </c>
      <c r="AG3276" s="5" t="s">
        <v>238</v>
      </c>
      <c r="AH3276" s="5" t="s">
        <v>238</v>
      </c>
      <c r="AI3276" s="5" t="s">
        <v>238</v>
      </c>
      <c r="AJ3276" s="5" t="s">
        <v>238</v>
      </c>
      <c r="AK3276" s="5" t="s">
        <v>238</v>
      </c>
      <c r="AL3276" s="5" t="s">
        <v>238</v>
      </c>
      <c r="AM3276" s="6" t="s">
        <v>238</v>
      </c>
      <c r="AN3276" s="6" t="s">
        <v>238</v>
      </c>
      <c r="AO3276" s="6" t="s">
        <v>238</v>
      </c>
      <c r="AP3276" s="6" t="s">
        <v>238</v>
      </c>
      <c r="AQ3276" s="5" t="s">
        <v>238</v>
      </c>
      <c r="AR3276" s="5" t="s">
        <v>488</v>
      </c>
      <c r="AS3276" s="5" t="s">
        <v>488</v>
      </c>
      <c r="AT3276" s="5" t="s">
        <v>246</v>
      </c>
      <c r="AU3276" s="5" t="s">
        <v>489</v>
      </c>
      <c r="AV3276" s="5" t="s">
        <v>247</v>
      </c>
      <c r="AW3276" s="5" t="s">
        <v>238</v>
      </c>
      <c r="AX3276" s="5" t="s">
        <v>249</v>
      </c>
      <c r="AY3276" s="5" t="s">
        <v>490</v>
      </c>
      <c r="BA3276" s="5" t="s">
        <v>238</v>
      </c>
      <c r="BC3276" s="5" t="s">
        <v>491</v>
      </c>
      <c r="BD3276" s="6" t="s">
        <v>492</v>
      </c>
      <c r="BE3276" s="5" t="s">
        <v>493</v>
      </c>
      <c r="BF3276" s="5" t="s">
        <v>493</v>
      </c>
      <c r="BG3276" s="5" t="s">
        <v>238</v>
      </c>
      <c r="BH3276" s="8">
        <f>1</f>
        <v>1</v>
      </c>
      <c r="BI3276" s="8">
        <f>1</f>
        <v>1</v>
      </c>
      <c r="BJ3276" s="5" t="s">
        <v>253</v>
      </c>
      <c r="BK3276" s="5" t="s">
        <v>254</v>
      </c>
      <c r="BL3276" s="5" t="s">
        <v>238</v>
      </c>
      <c r="BM3276" s="5" t="s">
        <v>238</v>
      </c>
      <c r="BN3276" s="5" t="s">
        <v>238</v>
      </c>
      <c r="BO3276" s="5" t="s">
        <v>238</v>
      </c>
      <c r="BP3276" s="5" t="s">
        <v>238</v>
      </c>
      <c r="BQ3276" s="5" t="s">
        <v>238</v>
      </c>
      <c r="BR3276" s="5" t="s">
        <v>238</v>
      </c>
      <c r="BS3276" s="5" t="s">
        <v>238</v>
      </c>
      <c r="BT3276" s="6" t="s">
        <v>238</v>
      </c>
      <c r="BU3276" s="5" t="s">
        <v>238</v>
      </c>
      <c r="BV3276" s="5" t="s">
        <v>238</v>
      </c>
      <c r="BW3276" s="5" t="s">
        <v>238</v>
      </c>
      <c r="BX3276" s="5" t="s">
        <v>254</v>
      </c>
      <c r="BY3276" s="5" t="s">
        <v>238</v>
      </c>
      <c r="BZ3276" s="5" t="s">
        <v>238</v>
      </c>
      <c r="CA3276" s="5" t="s">
        <v>238</v>
      </c>
      <c r="CB3276" s="5" t="s">
        <v>238</v>
      </c>
      <c r="CC3276" s="5" t="s">
        <v>238</v>
      </c>
      <c r="CD3276" s="5" t="s">
        <v>273</v>
      </c>
      <c r="CE3276" s="5" t="s">
        <v>256</v>
      </c>
      <c r="CF3276" s="5" t="s">
        <v>238</v>
      </c>
      <c r="CH3276" s="5" t="s">
        <v>494</v>
      </c>
      <c r="CI3276" s="6" t="s">
        <v>257</v>
      </c>
      <c r="CJ3276" s="5" t="s">
        <v>495</v>
      </c>
      <c r="CK3276" s="5" t="s">
        <v>258</v>
      </c>
      <c r="CL3276" s="5" t="s">
        <v>496</v>
      </c>
      <c r="CM3276" s="5" t="s">
        <v>238</v>
      </c>
      <c r="CN3276" s="5">
        <v>0</v>
      </c>
      <c r="CO3276" s="5" t="s">
        <v>497</v>
      </c>
      <c r="CP3276" s="5" t="s">
        <v>260</v>
      </c>
      <c r="CQ3276" s="5" t="s">
        <v>260</v>
      </c>
      <c r="CR3276" s="5" t="s">
        <v>261</v>
      </c>
      <c r="CS3276" s="5" t="s">
        <v>498</v>
      </c>
      <c r="CT3276" s="7">
        <f>1</f>
        <v>1</v>
      </c>
      <c r="CU3276" s="8">
        <f>1</f>
        <v>1</v>
      </c>
      <c r="CV3276" s="8">
        <f>0</f>
        <v>0</v>
      </c>
      <c r="CX3276" s="8">
        <f>1</f>
        <v>1</v>
      </c>
      <c r="CY3276" s="8">
        <f>1</f>
        <v>1</v>
      </c>
      <c r="CZ3276" s="8" t="s">
        <v>238</v>
      </c>
      <c r="DA3276" s="5" t="s">
        <v>238</v>
      </c>
      <c r="DB3276" s="5" t="s">
        <v>238</v>
      </c>
      <c r="DC3276" s="5" t="s">
        <v>238</v>
      </c>
      <c r="DD3276" s="5" t="s">
        <v>238</v>
      </c>
      <c r="DE3276" s="8">
        <f>0</f>
        <v>0</v>
      </c>
      <c r="DG3276" s="5" t="s">
        <v>238</v>
      </c>
      <c r="DH3276" s="5" t="s">
        <v>238</v>
      </c>
      <c r="DI3276" s="5" t="s">
        <v>238</v>
      </c>
      <c r="DJ3276" s="5" t="s">
        <v>238</v>
      </c>
      <c r="DK3276" s="5" t="s">
        <v>238</v>
      </c>
      <c r="DL3276" s="5" t="s">
        <v>238</v>
      </c>
      <c r="DM3276" s="8" t="s">
        <v>238</v>
      </c>
      <c r="DN3276" s="5" t="s">
        <v>238</v>
      </c>
      <c r="DO3276" s="5" t="s">
        <v>238</v>
      </c>
      <c r="DP3276" s="5" t="s">
        <v>490</v>
      </c>
      <c r="DQ3276" s="5" t="s">
        <v>490</v>
      </c>
      <c r="DR3276" s="5" t="s">
        <v>238</v>
      </c>
      <c r="DS3276" s="5" t="s">
        <v>238</v>
      </c>
      <c r="DT3276" s="5" t="s">
        <v>881</v>
      </c>
      <c r="DU3276" s="5" t="s">
        <v>1284</v>
      </c>
      <c r="DV3276" s="5" t="s">
        <v>238</v>
      </c>
      <c r="DW3276" s="5" t="s">
        <v>238</v>
      </c>
      <c r="DX3276" s="5" t="s">
        <v>238</v>
      </c>
      <c r="DY3276" s="5" t="s">
        <v>238</v>
      </c>
      <c r="DZ3276" s="5" t="s">
        <v>238</v>
      </c>
      <c r="EA3276" s="5" t="s">
        <v>238</v>
      </c>
      <c r="EB3276" s="5" t="s">
        <v>238</v>
      </c>
      <c r="EC3276" s="5" t="s">
        <v>238</v>
      </c>
      <c r="ED3276" s="5" t="s">
        <v>238</v>
      </c>
      <c r="EE3276" s="5" t="s">
        <v>238</v>
      </c>
      <c r="EF3276" s="5" t="s">
        <v>238</v>
      </c>
      <c r="EG3276" s="5" t="s">
        <v>238</v>
      </c>
      <c r="EH3276" s="5" t="s">
        <v>238</v>
      </c>
      <c r="EI3276" s="5" t="s">
        <v>238</v>
      </c>
      <c r="EJ3276" s="5" t="s">
        <v>238</v>
      </c>
      <c r="EK3276" s="5" t="s">
        <v>238</v>
      </c>
      <c r="EL3276" s="5" t="s">
        <v>238</v>
      </c>
      <c r="EM3276" s="5" t="s">
        <v>238</v>
      </c>
      <c r="EN3276" s="5" t="s">
        <v>238</v>
      </c>
      <c r="EO3276" s="5" t="s">
        <v>238</v>
      </c>
      <c r="EP3276" s="5" t="s">
        <v>238</v>
      </c>
      <c r="EQ3276" s="5" t="s">
        <v>238</v>
      </c>
      <c r="ER3276" s="5" t="s">
        <v>238</v>
      </c>
      <c r="ES3276" s="5" t="s">
        <v>238</v>
      </c>
      <c r="ET3276" s="5" t="s">
        <v>238</v>
      </c>
      <c r="EU3276" s="5" t="s">
        <v>238</v>
      </c>
      <c r="EV3276" s="5" t="s">
        <v>238</v>
      </c>
      <c r="EW3276" s="5" t="s">
        <v>238</v>
      </c>
      <c r="EX3276" s="5" t="s">
        <v>238</v>
      </c>
      <c r="EY3276" s="5" t="s">
        <v>238</v>
      </c>
      <c r="EZ3276" s="5" t="s">
        <v>238</v>
      </c>
      <c r="FA3276" s="5" t="s">
        <v>238</v>
      </c>
      <c r="FB3276" s="5" t="s">
        <v>238</v>
      </c>
      <c r="FC3276" s="5" t="s">
        <v>238</v>
      </c>
      <c r="FD3276" s="5" t="s">
        <v>238</v>
      </c>
      <c r="FE3276" s="5" t="s">
        <v>238</v>
      </c>
      <c r="FF3276" s="5" t="s">
        <v>238</v>
      </c>
      <c r="FG3276" s="5" t="s">
        <v>238</v>
      </c>
      <c r="FH3276" s="5" t="s">
        <v>238</v>
      </c>
      <c r="FI3276" s="5" t="s">
        <v>238</v>
      </c>
      <c r="FJ3276" s="5" t="s">
        <v>238</v>
      </c>
      <c r="FK3276" s="5" t="s">
        <v>238</v>
      </c>
      <c r="FL3276" s="5" t="s">
        <v>238</v>
      </c>
      <c r="FM3276" s="5" t="s">
        <v>238</v>
      </c>
      <c r="FN3276" s="5" t="s">
        <v>238</v>
      </c>
      <c r="FO3276" s="5" t="s">
        <v>238</v>
      </c>
      <c r="FP3276" s="5" t="s">
        <v>238</v>
      </c>
      <c r="FQ3276" s="5" t="s">
        <v>238</v>
      </c>
      <c r="FR3276" s="5" t="s">
        <v>238</v>
      </c>
      <c r="FS3276" s="5" t="s">
        <v>238</v>
      </c>
      <c r="FT3276" s="5" t="s">
        <v>238</v>
      </c>
      <c r="FU3276" s="5" t="s">
        <v>238</v>
      </c>
      <c r="FV3276" s="5" t="s">
        <v>238</v>
      </c>
      <c r="FW3276" s="5" t="s">
        <v>238</v>
      </c>
      <c r="FX3276" s="5" t="s">
        <v>238</v>
      </c>
      <c r="FY3276" s="5" t="s">
        <v>238</v>
      </c>
      <c r="FZ3276" s="5" t="s">
        <v>238</v>
      </c>
      <c r="GA3276" s="5" t="s">
        <v>238</v>
      </c>
      <c r="GB3276" s="5" t="s">
        <v>238</v>
      </c>
      <c r="GC3276" s="5" t="s">
        <v>238</v>
      </c>
      <c r="GD3276" s="5" t="s">
        <v>238</v>
      </c>
      <c r="GE3276" s="5" t="s">
        <v>238</v>
      </c>
      <c r="GF3276" s="5" t="s">
        <v>238</v>
      </c>
      <c r="GG3276" s="5" t="s">
        <v>238</v>
      </c>
      <c r="GH3276" s="5" t="s">
        <v>238</v>
      </c>
      <c r="GI3276" s="5" t="s">
        <v>238</v>
      </c>
      <c r="GJ3276" s="5" t="s">
        <v>238</v>
      </c>
      <c r="GK3276" s="5" t="s">
        <v>238</v>
      </c>
      <c r="GL3276" s="5" t="s">
        <v>238</v>
      </c>
      <c r="GM3276" s="5" t="s">
        <v>238</v>
      </c>
      <c r="GN3276" s="5" t="s">
        <v>238</v>
      </c>
      <c r="GO3276" s="5" t="s">
        <v>238</v>
      </c>
      <c r="GP3276" s="5" t="s">
        <v>238</v>
      </c>
      <c r="GQ3276" s="5" t="s">
        <v>238</v>
      </c>
      <c r="GR3276" s="5" t="s">
        <v>238</v>
      </c>
      <c r="GS3276" s="5" t="s">
        <v>238</v>
      </c>
      <c r="GT3276" s="5" t="s">
        <v>238</v>
      </c>
      <c r="GU3276" s="5" t="s">
        <v>238</v>
      </c>
      <c r="GV3276" s="5" t="s">
        <v>238</v>
      </c>
      <c r="GW3276" s="5" t="s">
        <v>238</v>
      </c>
      <c r="GX3276" s="5" t="s">
        <v>238</v>
      </c>
      <c r="GY3276" s="5" t="s">
        <v>238</v>
      </c>
      <c r="GZ3276" s="5" t="s">
        <v>238</v>
      </c>
      <c r="HA3276" s="5" t="s">
        <v>238</v>
      </c>
      <c r="HB3276" s="5" t="s">
        <v>238</v>
      </c>
      <c r="HC3276" s="5" t="s">
        <v>238</v>
      </c>
      <c r="HD3276" s="5" t="s">
        <v>238</v>
      </c>
      <c r="HE3276" s="5" t="s">
        <v>238</v>
      </c>
      <c r="HF3276" s="5" t="s">
        <v>238</v>
      </c>
      <c r="HG3276" s="5" t="s">
        <v>238</v>
      </c>
      <c r="HH3276" s="5" t="s">
        <v>238</v>
      </c>
      <c r="HI3276" s="5" t="s">
        <v>238</v>
      </c>
      <c r="HJ3276" s="5" t="s">
        <v>238</v>
      </c>
      <c r="HK3276" s="5" t="s">
        <v>238</v>
      </c>
      <c r="HL3276" s="5" t="s">
        <v>238</v>
      </c>
      <c r="HM3276" s="5" t="s">
        <v>264</v>
      </c>
      <c r="HN3276" s="5" t="s">
        <v>238</v>
      </c>
      <c r="HO3276" s="5" t="s">
        <v>238</v>
      </c>
      <c r="HP3276" s="5" t="s">
        <v>238</v>
      </c>
      <c r="HQ3276" s="5" t="s">
        <v>238</v>
      </c>
      <c r="HR3276" s="5" t="s">
        <v>238</v>
      </c>
      <c r="HS3276" s="5" t="s">
        <v>238</v>
      </c>
      <c r="HT3276" s="5" t="s">
        <v>238</v>
      </c>
      <c r="HU3276" s="5" t="s">
        <v>238</v>
      </c>
      <c r="HV3276" s="5" t="s">
        <v>238</v>
      </c>
      <c r="HW3276" s="5" t="s">
        <v>238</v>
      </c>
      <c r="HX3276" s="5" t="s">
        <v>238</v>
      </c>
      <c r="HY3276" s="5" t="s">
        <v>238</v>
      </c>
      <c r="HZ3276" s="5" t="s">
        <v>238</v>
      </c>
      <c r="IA3276" s="5" t="s">
        <v>238</v>
      </c>
      <c r="IB3276" s="5" t="s">
        <v>238</v>
      </c>
      <c r="IC3276" s="5" t="s">
        <v>238</v>
      </c>
      <c r="ID3276" s="5" t="s">
        <v>238</v>
      </c>
    </row>
    <row r="3277" spans="1:238" x14ac:dyDescent="0.4">
      <c r="A3277" s="5">
        <v>8995</v>
      </c>
      <c r="B3277" s="5">
        <v>1</v>
      </c>
      <c r="C3277" s="5">
        <v>1</v>
      </c>
      <c r="D3277" s="5" t="s">
        <v>484</v>
      </c>
      <c r="E3277" s="5" t="s">
        <v>878</v>
      </c>
      <c r="F3277" s="5" t="s">
        <v>248</v>
      </c>
      <c r="G3277" s="5" t="s">
        <v>4835</v>
      </c>
      <c r="H3277" s="6" t="s">
        <v>4836</v>
      </c>
      <c r="I3277" s="8">
        <f>1</f>
        <v>1</v>
      </c>
      <c r="J3277" s="5" t="s">
        <v>499</v>
      </c>
      <c r="K3277" s="8">
        <f>1</f>
        <v>1</v>
      </c>
      <c r="L3277" s="6" t="s">
        <v>242</v>
      </c>
      <c r="M3277" s="5" t="s">
        <v>267</v>
      </c>
      <c r="N3277" s="5" t="s">
        <v>482</v>
      </c>
      <c r="O3277" s="5" t="s">
        <v>238</v>
      </c>
      <c r="P3277" s="5" t="s">
        <v>238</v>
      </c>
      <c r="Q3277" s="5" t="s">
        <v>239</v>
      </c>
      <c r="R3277" s="5" t="s">
        <v>270</v>
      </c>
      <c r="S3277" s="5" t="s">
        <v>238</v>
      </c>
      <c r="T3277" s="5" t="s">
        <v>238</v>
      </c>
      <c r="U3277" s="5" t="s">
        <v>238</v>
      </c>
      <c r="V3277" s="5" t="s">
        <v>238</v>
      </c>
      <c r="W3277" s="6" t="s">
        <v>238</v>
      </c>
      <c r="X3277" s="6" t="s">
        <v>238</v>
      </c>
      <c r="Y3277" s="5" t="s">
        <v>238</v>
      </c>
      <c r="Z3277" s="6" t="s">
        <v>238</v>
      </c>
      <c r="AA3277" s="6" t="s">
        <v>243</v>
      </c>
      <c r="AB3277" s="5" t="s">
        <v>879</v>
      </c>
      <c r="AC3277" s="5" t="s">
        <v>244</v>
      </c>
      <c r="AD3277" s="5" t="s">
        <v>245</v>
      </c>
      <c r="AE3277" s="5" t="s">
        <v>238</v>
      </c>
      <c r="AF3277" s="5" t="s">
        <v>238</v>
      </c>
      <c r="AG3277" s="5" t="s">
        <v>238</v>
      </c>
      <c r="AH3277" s="5" t="s">
        <v>238</v>
      </c>
      <c r="AI3277" s="5" t="s">
        <v>238</v>
      </c>
      <c r="AJ3277" s="5" t="s">
        <v>238</v>
      </c>
      <c r="AK3277" s="5" t="s">
        <v>238</v>
      </c>
      <c r="AL3277" s="5" t="s">
        <v>238</v>
      </c>
      <c r="AM3277" s="6" t="s">
        <v>238</v>
      </c>
      <c r="AN3277" s="6" t="s">
        <v>238</v>
      </c>
      <c r="AO3277" s="6" t="s">
        <v>238</v>
      </c>
      <c r="AP3277" s="6" t="s">
        <v>238</v>
      </c>
      <c r="AQ3277" s="5" t="s">
        <v>238</v>
      </c>
      <c r="AR3277" s="5" t="s">
        <v>488</v>
      </c>
      <c r="AS3277" s="5" t="s">
        <v>488</v>
      </c>
      <c r="AT3277" s="5" t="s">
        <v>246</v>
      </c>
      <c r="AU3277" s="5" t="s">
        <v>489</v>
      </c>
      <c r="AV3277" s="5" t="s">
        <v>247</v>
      </c>
      <c r="AW3277" s="5" t="s">
        <v>238</v>
      </c>
      <c r="AX3277" s="5" t="s">
        <v>249</v>
      </c>
      <c r="AY3277" s="5" t="s">
        <v>490</v>
      </c>
      <c r="BA3277" s="5" t="s">
        <v>238</v>
      </c>
      <c r="BC3277" s="5" t="s">
        <v>491</v>
      </c>
      <c r="BD3277" s="6" t="s">
        <v>492</v>
      </c>
      <c r="BE3277" s="5" t="s">
        <v>493</v>
      </c>
      <c r="BF3277" s="5" t="s">
        <v>493</v>
      </c>
      <c r="BG3277" s="5" t="s">
        <v>238</v>
      </c>
      <c r="BH3277" s="8">
        <f>1</f>
        <v>1</v>
      </c>
      <c r="BI3277" s="8">
        <f>1</f>
        <v>1</v>
      </c>
      <c r="BJ3277" s="5" t="s">
        <v>253</v>
      </c>
      <c r="BK3277" s="5" t="s">
        <v>254</v>
      </c>
      <c r="BL3277" s="5" t="s">
        <v>238</v>
      </c>
      <c r="BM3277" s="5" t="s">
        <v>238</v>
      </c>
      <c r="BN3277" s="5" t="s">
        <v>238</v>
      </c>
      <c r="BO3277" s="5" t="s">
        <v>238</v>
      </c>
      <c r="BP3277" s="5" t="s">
        <v>238</v>
      </c>
      <c r="BQ3277" s="5" t="s">
        <v>238</v>
      </c>
      <c r="BR3277" s="5" t="s">
        <v>238</v>
      </c>
      <c r="BS3277" s="5" t="s">
        <v>238</v>
      </c>
      <c r="BT3277" s="6" t="s">
        <v>238</v>
      </c>
      <c r="BU3277" s="5" t="s">
        <v>238</v>
      </c>
      <c r="BV3277" s="5" t="s">
        <v>238</v>
      </c>
      <c r="BW3277" s="5" t="s">
        <v>238</v>
      </c>
      <c r="BX3277" s="5" t="s">
        <v>254</v>
      </c>
      <c r="BY3277" s="5" t="s">
        <v>238</v>
      </c>
      <c r="BZ3277" s="5" t="s">
        <v>238</v>
      </c>
      <c r="CA3277" s="5" t="s">
        <v>238</v>
      </c>
      <c r="CB3277" s="5" t="s">
        <v>238</v>
      </c>
      <c r="CC3277" s="5" t="s">
        <v>238</v>
      </c>
      <c r="CD3277" s="5" t="s">
        <v>273</v>
      </c>
      <c r="CE3277" s="5" t="s">
        <v>256</v>
      </c>
      <c r="CF3277" s="5" t="s">
        <v>238</v>
      </c>
      <c r="CH3277" s="5" t="s">
        <v>494</v>
      </c>
      <c r="CI3277" s="6" t="s">
        <v>257</v>
      </c>
      <c r="CJ3277" s="5" t="s">
        <v>495</v>
      </c>
      <c r="CK3277" s="5" t="s">
        <v>258</v>
      </c>
      <c r="CL3277" s="5" t="s">
        <v>496</v>
      </c>
      <c r="CM3277" s="5" t="s">
        <v>238</v>
      </c>
      <c r="CN3277" s="5">
        <v>0</v>
      </c>
      <c r="CO3277" s="5" t="s">
        <v>497</v>
      </c>
      <c r="CP3277" s="5" t="s">
        <v>260</v>
      </c>
      <c r="CQ3277" s="5" t="s">
        <v>260</v>
      </c>
      <c r="CR3277" s="5" t="s">
        <v>261</v>
      </c>
      <c r="CS3277" s="5" t="s">
        <v>498</v>
      </c>
      <c r="CT3277" s="7">
        <f>1</f>
        <v>1</v>
      </c>
      <c r="CU3277" s="8">
        <f>1</f>
        <v>1</v>
      </c>
      <c r="CV3277" s="8">
        <f>0</f>
        <v>0</v>
      </c>
      <c r="CX3277" s="8">
        <f>1</f>
        <v>1</v>
      </c>
      <c r="CY3277" s="8">
        <f>1</f>
        <v>1</v>
      </c>
      <c r="CZ3277" s="8" t="s">
        <v>238</v>
      </c>
      <c r="DA3277" s="5" t="s">
        <v>238</v>
      </c>
      <c r="DB3277" s="5" t="s">
        <v>238</v>
      </c>
      <c r="DC3277" s="5" t="s">
        <v>238</v>
      </c>
      <c r="DD3277" s="5" t="s">
        <v>238</v>
      </c>
      <c r="DE3277" s="8">
        <f>0</f>
        <v>0</v>
      </c>
      <c r="DG3277" s="5" t="s">
        <v>238</v>
      </c>
      <c r="DH3277" s="5" t="s">
        <v>238</v>
      </c>
      <c r="DI3277" s="5" t="s">
        <v>238</v>
      </c>
      <c r="DJ3277" s="5" t="s">
        <v>238</v>
      </c>
      <c r="DK3277" s="5" t="s">
        <v>238</v>
      </c>
      <c r="DL3277" s="5" t="s">
        <v>238</v>
      </c>
      <c r="DM3277" s="8" t="s">
        <v>238</v>
      </c>
      <c r="DN3277" s="5" t="s">
        <v>238</v>
      </c>
      <c r="DO3277" s="5" t="s">
        <v>238</v>
      </c>
      <c r="DP3277" s="5" t="s">
        <v>490</v>
      </c>
      <c r="DQ3277" s="5" t="s">
        <v>490</v>
      </c>
      <c r="DR3277" s="5" t="s">
        <v>238</v>
      </c>
      <c r="DS3277" s="5" t="s">
        <v>238</v>
      </c>
      <c r="DT3277" s="5" t="s">
        <v>881</v>
      </c>
      <c r="DU3277" s="5" t="s">
        <v>1268</v>
      </c>
      <c r="DV3277" s="5" t="s">
        <v>238</v>
      </c>
      <c r="DW3277" s="5" t="s">
        <v>238</v>
      </c>
      <c r="DX3277" s="5" t="s">
        <v>238</v>
      </c>
      <c r="DY3277" s="5" t="s">
        <v>238</v>
      </c>
      <c r="DZ3277" s="5" t="s">
        <v>238</v>
      </c>
      <c r="EA3277" s="5" t="s">
        <v>238</v>
      </c>
      <c r="EB3277" s="5" t="s">
        <v>238</v>
      </c>
      <c r="EC3277" s="5" t="s">
        <v>238</v>
      </c>
      <c r="ED3277" s="5" t="s">
        <v>238</v>
      </c>
      <c r="EE3277" s="5" t="s">
        <v>238</v>
      </c>
      <c r="EF3277" s="5" t="s">
        <v>238</v>
      </c>
      <c r="EG3277" s="5" t="s">
        <v>238</v>
      </c>
      <c r="EH3277" s="5" t="s">
        <v>238</v>
      </c>
      <c r="EI3277" s="5" t="s">
        <v>238</v>
      </c>
      <c r="EJ3277" s="5" t="s">
        <v>238</v>
      </c>
      <c r="EK3277" s="5" t="s">
        <v>238</v>
      </c>
      <c r="EL3277" s="5" t="s">
        <v>238</v>
      </c>
      <c r="EM3277" s="5" t="s">
        <v>238</v>
      </c>
      <c r="EN3277" s="5" t="s">
        <v>238</v>
      </c>
      <c r="EO3277" s="5" t="s">
        <v>238</v>
      </c>
      <c r="EP3277" s="5" t="s">
        <v>238</v>
      </c>
      <c r="EQ3277" s="5" t="s">
        <v>238</v>
      </c>
      <c r="ER3277" s="5" t="s">
        <v>238</v>
      </c>
      <c r="ES3277" s="5" t="s">
        <v>238</v>
      </c>
      <c r="ET3277" s="5" t="s">
        <v>238</v>
      </c>
      <c r="EU3277" s="5" t="s">
        <v>238</v>
      </c>
      <c r="EV3277" s="5" t="s">
        <v>238</v>
      </c>
      <c r="EW3277" s="5" t="s">
        <v>238</v>
      </c>
      <c r="EX3277" s="5" t="s">
        <v>238</v>
      </c>
      <c r="EY3277" s="5" t="s">
        <v>238</v>
      </c>
      <c r="EZ3277" s="5" t="s">
        <v>238</v>
      </c>
      <c r="FA3277" s="5" t="s">
        <v>238</v>
      </c>
      <c r="FB3277" s="5" t="s">
        <v>238</v>
      </c>
      <c r="FC3277" s="5" t="s">
        <v>238</v>
      </c>
      <c r="FD3277" s="5" t="s">
        <v>238</v>
      </c>
      <c r="FE3277" s="5" t="s">
        <v>238</v>
      </c>
      <c r="FF3277" s="5" t="s">
        <v>238</v>
      </c>
      <c r="FG3277" s="5" t="s">
        <v>238</v>
      </c>
      <c r="FH3277" s="5" t="s">
        <v>238</v>
      </c>
      <c r="FI3277" s="5" t="s">
        <v>238</v>
      </c>
      <c r="FJ3277" s="5" t="s">
        <v>238</v>
      </c>
      <c r="FK3277" s="5" t="s">
        <v>238</v>
      </c>
      <c r="FL3277" s="5" t="s">
        <v>238</v>
      </c>
      <c r="FM3277" s="5" t="s">
        <v>238</v>
      </c>
      <c r="FN3277" s="5" t="s">
        <v>238</v>
      </c>
      <c r="FO3277" s="5" t="s">
        <v>238</v>
      </c>
      <c r="FP3277" s="5" t="s">
        <v>238</v>
      </c>
      <c r="FQ3277" s="5" t="s">
        <v>238</v>
      </c>
      <c r="FR3277" s="5" t="s">
        <v>238</v>
      </c>
      <c r="FS3277" s="5" t="s">
        <v>238</v>
      </c>
      <c r="FT3277" s="5" t="s">
        <v>238</v>
      </c>
      <c r="FU3277" s="5" t="s">
        <v>238</v>
      </c>
      <c r="FV3277" s="5" t="s">
        <v>238</v>
      </c>
      <c r="FW3277" s="5" t="s">
        <v>238</v>
      </c>
      <c r="FX3277" s="5" t="s">
        <v>238</v>
      </c>
      <c r="FY3277" s="5" t="s">
        <v>238</v>
      </c>
      <c r="FZ3277" s="5" t="s">
        <v>238</v>
      </c>
      <c r="GA3277" s="5" t="s">
        <v>238</v>
      </c>
      <c r="GB3277" s="5" t="s">
        <v>238</v>
      </c>
      <c r="GC3277" s="5" t="s">
        <v>238</v>
      </c>
      <c r="GD3277" s="5" t="s">
        <v>238</v>
      </c>
      <c r="GE3277" s="5" t="s">
        <v>238</v>
      </c>
      <c r="GF3277" s="5" t="s">
        <v>238</v>
      </c>
      <c r="GG3277" s="5" t="s">
        <v>238</v>
      </c>
      <c r="GH3277" s="5" t="s">
        <v>238</v>
      </c>
      <c r="GI3277" s="5" t="s">
        <v>238</v>
      </c>
      <c r="GJ3277" s="5" t="s">
        <v>238</v>
      </c>
      <c r="GK3277" s="5" t="s">
        <v>238</v>
      </c>
      <c r="GL3277" s="5" t="s">
        <v>238</v>
      </c>
      <c r="GM3277" s="5" t="s">
        <v>238</v>
      </c>
      <c r="GN3277" s="5" t="s">
        <v>238</v>
      </c>
      <c r="GO3277" s="5" t="s">
        <v>238</v>
      </c>
      <c r="GP3277" s="5" t="s">
        <v>238</v>
      </c>
      <c r="GQ3277" s="5" t="s">
        <v>238</v>
      </c>
      <c r="GR3277" s="5" t="s">
        <v>238</v>
      </c>
      <c r="GS3277" s="5" t="s">
        <v>238</v>
      </c>
      <c r="GT3277" s="5" t="s">
        <v>238</v>
      </c>
      <c r="GU3277" s="5" t="s">
        <v>238</v>
      </c>
      <c r="GV3277" s="5" t="s">
        <v>238</v>
      </c>
      <c r="GW3277" s="5" t="s">
        <v>238</v>
      </c>
      <c r="GX3277" s="5" t="s">
        <v>238</v>
      </c>
      <c r="GY3277" s="5" t="s">
        <v>238</v>
      </c>
      <c r="GZ3277" s="5" t="s">
        <v>238</v>
      </c>
      <c r="HA3277" s="5" t="s">
        <v>238</v>
      </c>
      <c r="HB3277" s="5" t="s">
        <v>238</v>
      </c>
      <c r="HC3277" s="5" t="s">
        <v>238</v>
      </c>
      <c r="HD3277" s="5" t="s">
        <v>238</v>
      </c>
      <c r="HE3277" s="5" t="s">
        <v>238</v>
      </c>
      <c r="HF3277" s="5" t="s">
        <v>238</v>
      </c>
      <c r="HG3277" s="5" t="s">
        <v>238</v>
      </c>
      <c r="HH3277" s="5" t="s">
        <v>238</v>
      </c>
      <c r="HI3277" s="5" t="s">
        <v>238</v>
      </c>
      <c r="HJ3277" s="5" t="s">
        <v>238</v>
      </c>
      <c r="HK3277" s="5" t="s">
        <v>238</v>
      </c>
      <c r="HL3277" s="5" t="s">
        <v>238</v>
      </c>
      <c r="HM3277" s="5" t="s">
        <v>264</v>
      </c>
      <c r="HN3277" s="5" t="s">
        <v>238</v>
      </c>
      <c r="HO3277" s="5" t="s">
        <v>238</v>
      </c>
      <c r="HP3277" s="5" t="s">
        <v>238</v>
      </c>
      <c r="HQ3277" s="5" t="s">
        <v>238</v>
      </c>
      <c r="HR3277" s="5" t="s">
        <v>238</v>
      </c>
      <c r="HS3277" s="5" t="s">
        <v>238</v>
      </c>
      <c r="HT3277" s="5" t="s">
        <v>238</v>
      </c>
      <c r="HU3277" s="5" t="s">
        <v>238</v>
      </c>
      <c r="HV3277" s="5" t="s">
        <v>238</v>
      </c>
      <c r="HW3277" s="5" t="s">
        <v>238</v>
      </c>
      <c r="HX3277" s="5" t="s">
        <v>238</v>
      </c>
      <c r="HY3277" s="5" t="s">
        <v>238</v>
      </c>
      <c r="HZ3277" s="5" t="s">
        <v>238</v>
      </c>
      <c r="IA3277" s="5" t="s">
        <v>238</v>
      </c>
      <c r="IB3277" s="5" t="s">
        <v>238</v>
      </c>
      <c r="IC3277" s="5" t="s">
        <v>238</v>
      </c>
      <c r="ID3277" s="5" t="s">
        <v>238</v>
      </c>
    </row>
    <row r="3278" spans="1:238" x14ac:dyDescent="0.4">
      <c r="A3278" s="5">
        <v>8996</v>
      </c>
      <c r="B3278" s="5">
        <v>1</v>
      </c>
      <c r="C3278" s="5">
        <v>1</v>
      </c>
      <c r="D3278" s="5" t="s">
        <v>484</v>
      </c>
      <c r="E3278" s="5" t="s">
        <v>878</v>
      </c>
      <c r="F3278" s="5" t="s">
        <v>248</v>
      </c>
      <c r="G3278" s="5" t="s">
        <v>4202</v>
      </c>
      <c r="H3278" s="6" t="s">
        <v>4203</v>
      </c>
      <c r="I3278" s="8">
        <f>1</f>
        <v>1</v>
      </c>
      <c r="J3278" s="5" t="s">
        <v>499</v>
      </c>
      <c r="K3278" s="8">
        <f>1</f>
        <v>1</v>
      </c>
      <c r="L3278" s="6" t="s">
        <v>242</v>
      </c>
      <c r="M3278" s="5" t="s">
        <v>267</v>
      </c>
      <c r="N3278" s="5" t="s">
        <v>482</v>
      </c>
      <c r="O3278" s="5" t="s">
        <v>238</v>
      </c>
      <c r="P3278" s="5" t="s">
        <v>238</v>
      </c>
      <c r="Q3278" s="5" t="s">
        <v>239</v>
      </c>
      <c r="R3278" s="5" t="s">
        <v>270</v>
      </c>
      <c r="S3278" s="5" t="s">
        <v>238</v>
      </c>
      <c r="T3278" s="5" t="s">
        <v>238</v>
      </c>
      <c r="U3278" s="5" t="s">
        <v>238</v>
      </c>
      <c r="V3278" s="5" t="s">
        <v>238</v>
      </c>
      <c r="W3278" s="6" t="s">
        <v>238</v>
      </c>
      <c r="X3278" s="6" t="s">
        <v>238</v>
      </c>
      <c r="Y3278" s="5" t="s">
        <v>238</v>
      </c>
      <c r="Z3278" s="6" t="s">
        <v>238</v>
      </c>
      <c r="AA3278" s="6" t="s">
        <v>243</v>
      </c>
      <c r="AB3278" s="5" t="s">
        <v>879</v>
      </c>
      <c r="AC3278" s="5" t="s">
        <v>244</v>
      </c>
      <c r="AD3278" s="5" t="s">
        <v>245</v>
      </c>
      <c r="AE3278" s="5" t="s">
        <v>238</v>
      </c>
      <c r="AF3278" s="5" t="s">
        <v>238</v>
      </c>
      <c r="AG3278" s="5" t="s">
        <v>238</v>
      </c>
      <c r="AH3278" s="5" t="s">
        <v>238</v>
      </c>
      <c r="AI3278" s="5" t="s">
        <v>238</v>
      </c>
      <c r="AJ3278" s="5" t="s">
        <v>238</v>
      </c>
      <c r="AK3278" s="5" t="s">
        <v>238</v>
      </c>
      <c r="AL3278" s="5" t="s">
        <v>238</v>
      </c>
      <c r="AM3278" s="6" t="s">
        <v>238</v>
      </c>
      <c r="AN3278" s="6" t="s">
        <v>238</v>
      </c>
      <c r="AO3278" s="6" t="s">
        <v>238</v>
      </c>
      <c r="AP3278" s="6" t="s">
        <v>238</v>
      </c>
      <c r="AQ3278" s="5" t="s">
        <v>238</v>
      </c>
      <c r="AR3278" s="5" t="s">
        <v>488</v>
      </c>
      <c r="AS3278" s="5" t="s">
        <v>488</v>
      </c>
      <c r="AT3278" s="5" t="s">
        <v>246</v>
      </c>
      <c r="AU3278" s="5" t="s">
        <v>489</v>
      </c>
      <c r="AV3278" s="5" t="s">
        <v>247</v>
      </c>
      <c r="AW3278" s="5" t="s">
        <v>238</v>
      </c>
      <c r="AX3278" s="5" t="s">
        <v>249</v>
      </c>
      <c r="AY3278" s="5" t="s">
        <v>490</v>
      </c>
      <c r="BA3278" s="5" t="s">
        <v>238</v>
      </c>
      <c r="BC3278" s="5" t="s">
        <v>491</v>
      </c>
      <c r="BD3278" s="6" t="s">
        <v>492</v>
      </c>
      <c r="BE3278" s="5" t="s">
        <v>493</v>
      </c>
      <c r="BF3278" s="5" t="s">
        <v>493</v>
      </c>
      <c r="BG3278" s="5" t="s">
        <v>238</v>
      </c>
      <c r="BH3278" s="8">
        <f>1</f>
        <v>1</v>
      </c>
      <c r="BI3278" s="8">
        <f>1</f>
        <v>1</v>
      </c>
      <c r="BJ3278" s="5" t="s">
        <v>253</v>
      </c>
      <c r="BK3278" s="5" t="s">
        <v>254</v>
      </c>
      <c r="BL3278" s="5" t="s">
        <v>238</v>
      </c>
      <c r="BM3278" s="5" t="s">
        <v>238</v>
      </c>
      <c r="BN3278" s="5" t="s">
        <v>238</v>
      </c>
      <c r="BO3278" s="5" t="s">
        <v>238</v>
      </c>
      <c r="BP3278" s="5" t="s">
        <v>238</v>
      </c>
      <c r="BQ3278" s="5" t="s">
        <v>238</v>
      </c>
      <c r="BR3278" s="5" t="s">
        <v>238</v>
      </c>
      <c r="BS3278" s="5" t="s">
        <v>238</v>
      </c>
      <c r="BT3278" s="6" t="s">
        <v>238</v>
      </c>
      <c r="BU3278" s="5" t="s">
        <v>238</v>
      </c>
      <c r="BV3278" s="5" t="s">
        <v>238</v>
      </c>
      <c r="BW3278" s="5" t="s">
        <v>238</v>
      </c>
      <c r="BX3278" s="5" t="s">
        <v>254</v>
      </c>
      <c r="BY3278" s="5" t="s">
        <v>238</v>
      </c>
      <c r="BZ3278" s="5" t="s">
        <v>238</v>
      </c>
      <c r="CA3278" s="5" t="s">
        <v>238</v>
      </c>
      <c r="CB3278" s="5" t="s">
        <v>238</v>
      </c>
      <c r="CC3278" s="5" t="s">
        <v>238</v>
      </c>
      <c r="CD3278" s="5" t="s">
        <v>273</v>
      </c>
      <c r="CE3278" s="5" t="s">
        <v>256</v>
      </c>
      <c r="CF3278" s="5" t="s">
        <v>238</v>
      </c>
      <c r="CH3278" s="5" t="s">
        <v>494</v>
      </c>
      <c r="CI3278" s="6" t="s">
        <v>257</v>
      </c>
      <c r="CJ3278" s="5" t="s">
        <v>495</v>
      </c>
      <c r="CK3278" s="5" t="s">
        <v>258</v>
      </c>
      <c r="CL3278" s="5" t="s">
        <v>496</v>
      </c>
      <c r="CM3278" s="5" t="s">
        <v>238</v>
      </c>
      <c r="CN3278" s="5">
        <v>0</v>
      </c>
      <c r="CO3278" s="5" t="s">
        <v>497</v>
      </c>
      <c r="CP3278" s="5" t="s">
        <v>260</v>
      </c>
      <c r="CQ3278" s="5" t="s">
        <v>260</v>
      </c>
      <c r="CR3278" s="5" t="s">
        <v>261</v>
      </c>
      <c r="CS3278" s="5" t="s">
        <v>498</v>
      </c>
      <c r="CT3278" s="7">
        <f>1</f>
        <v>1</v>
      </c>
      <c r="CU3278" s="8">
        <f>1</f>
        <v>1</v>
      </c>
      <c r="CV3278" s="8">
        <f>0</f>
        <v>0</v>
      </c>
      <c r="CX3278" s="8">
        <f>1</f>
        <v>1</v>
      </c>
      <c r="CY3278" s="8">
        <f>1</f>
        <v>1</v>
      </c>
      <c r="CZ3278" s="8" t="s">
        <v>238</v>
      </c>
      <c r="DA3278" s="5" t="s">
        <v>238</v>
      </c>
      <c r="DB3278" s="5" t="s">
        <v>238</v>
      </c>
      <c r="DC3278" s="5" t="s">
        <v>238</v>
      </c>
      <c r="DD3278" s="5" t="s">
        <v>238</v>
      </c>
      <c r="DE3278" s="8">
        <f>0</f>
        <v>0</v>
      </c>
      <c r="DG3278" s="5" t="s">
        <v>238</v>
      </c>
      <c r="DH3278" s="5" t="s">
        <v>238</v>
      </c>
      <c r="DI3278" s="5" t="s">
        <v>238</v>
      </c>
      <c r="DJ3278" s="5" t="s">
        <v>238</v>
      </c>
      <c r="DK3278" s="5" t="s">
        <v>238</v>
      </c>
      <c r="DL3278" s="5" t="s">
        <v>238</v>
      </c>
      <c r="DM3278" s="8" t="s">
        <v>238</v>
      </c>
      <c r="DN3278" s="5" t="s">
        <v>238</v>
      </c>
      <c r="DO3278" s="5" t="s">
        <v>238</v>
      </c>
      <c r="DP3278" s="5" t="s">
        <v>490</v>
      </c>
      <c r="DQ3278" s="5" t="s">
        <v>490</v>
      </c>
      <c r="DR3278" s="5" t="s">
        <v>238</v>
      </c>
      <c r="DS3278" s="5" t="s">
        <v>238</v>
      </c>
      <c r="DT3278" s="5" t="s">
        <v>881</v>
      </c>
      <c r="DU3278" s="5" t="s">
        <v>1252</v>
      </c>
      <c r="DV3278" s="5" t="s">
        <v>238</v>
      </c>
      <c r="DW3278" s="5" t="s">
        <v>238</v>
      </c>
      <c r="DX3278" s="5" t="s">
        <v>238</v>
      </c>
      <c r="DY3278" s="5" t="s">
        <v>238</v>
      </c>
      <c r="DZ3278" s="5" t="s">
        <v>238</v>
      </c>
      <c r="EA3278" s="5" t="s">
        <v>238</v>
      </c>
      <c r="EB3278" s="5" t="s">
        <v>238</v>
      </c>
      <c r="EC3278" s="5" t="s">
        <v>238</v>
      </c>
      <c r="ED3278" s="5" t="s">
        <v>238</v>
      </c>
      <c r="EE3278" s="5" t="s">
        <v>238</v>
      </c>
      <c r="EF3278" s="5" t="s">
        <v>238</v>
      </c>
      <c r="EG3278" s="5" t="s">
        <v>238</v>
      </c>
      <c r="EH3278" s="5" t="s">
        <v>238</v>
      </c>
      <c r="EI3278" s="5" t="s">
        <v>238</v>
      </c>
      <c r="EJ3278" s="5" t="s">
        <v>238</v>
      </c>
      <c r="EK3278" s="5" t="s">
        <v>238</v>
      </c>
      <c r="EL3278" s="5" t="s">
        <v>238</v>
      </c>
      <c r="EM3278" s="5" t="s">
        <v>238</v>
      </c>
      <c r="EN3278" s="5" t="s">
        <v>238</v>
      </c>
      <c r="EO3278" s="5" t="s">
        <v>238</v>
      </c>
      <c r="EP3278" s="5" t="s">
        <v>238</v>
      </c>
      <c r="EQ3278" s="5" t="s">
        <v>238</v>
      </c>
      <c r="ER3278" s="5" t="s">
        <v>238</v>
      </c>
      <c r="ES3278" s="5" t="s">
        <v>238</v>
      </c>
      <c r="ET3278" s="5" t="s">
        <v>238</v>
      </c>
      <c r="EU3278" s="5" t="s">
        <v>238</v>
      </c>
      <c r="EV3278" s="5" t="s">
        <v>238</v>
      </c>
      <c r="EW3278" s="5" t="s">
        <v>238</v>
      </c>
      <c r="EX3278" s="5" t="s">
        <v>238</v>
      </c>
      <c r="EY3278" s="5" t="s">
        <v>238</v>
      </c>
      <c r="EZ3278" s="5" t="s">
        <v>238</v>
      </c>
      <c r="FA3278" s="5" t="s">
        <v>238</v>
      </c>
      <c r="FB3278" s="5" t="s">
        <v>238</v>
      </c>
      <c r="FC3278" s="5" t="s">
        <v>238</v>
      </c>
      <c r="FD3278" s="5" t="s">
        <v>238</v>
      </c>
      <c r="FE3278" s="5" t="s">
        <v>238</v>
      </c>
      <c r="FF3278" s="5" t="s">
        <v>238</v>
      </c>
      <c r="FG3278" s="5" t="s">
        <v>238</v>
      </c>
      <c r="FH3278" s="5" t="s">
        <v>238</v>
      </c>
      <c r="FI3278" s="5" t="s">
        <v>238</v>
      </c>
      <c r="FJ3278" s="5" t="s">
        <v>238</v>
      </c>
      <c r="FK3278" s="5" t="s">
        <v>238</v>
      </c>
      <c r="FL3278" s="5" t="s">
        <v>238</v>
      </c>
      <c r="FM3278" s="5" t="s">
        <v>238</v>
      </c>
      <c r="FN3278" s="5" t="s">
        <v>238</v>
      </c>
      <c r="FO3278" s="5" t="s">
        <v>238</v>
      </c>
      <c r="FP3278" s="5" t="s">
        <v>238</v>
      </c>
      <c r="FQ3278" s="5" t="s">
        <v>238</v>
      </c>
      <c r="FR3278" s="5" t="s">
        <v>238</v>
      </c>
      <c r="FS3278" s="5" t="s">
        <v>238</v>
      </c>
      <c r="FT3278" s="5" t="s">
        <v>238</v>
      </c>
      <c r="FU3278" s="5" t="s">
        <v>238</v>
      </c>
      <c r="FV3278" s="5" t="s">
        <v>238</v>
      </c>
      <c r="FW3278" s="5" t="s">
        <v>238</v>
      </c>
      <c r="FX3278" s="5" t="s">
        <v>238</v>
      </c>
      <c r="FY3278" s="5" t="s">
        <v>238</v>
      </c>
      <c r="FZ3278" s="5" t="s">
        <v>238</v>
      </c>
      <c r="GA3278" s="5" t="s">
        <v>238</v>
      </c>
      <c r="GB3278" s="5" t="s">
        <v>238</v>
      </c>
      <c r="GC3278" s="5" t="s">
        <v>238</v>
      </c>
      <c r="GD3278" s="5" t="s">
        <v>238</v>
      </c>
      <c r="GE3278" s="5" t="s">
        <v>238</v>
      </c>
      <c r="GF3278" s="5" t="s">
        <v>238</v>
      </c>
      <c r="GG3278" s="5" t="s">
        <v>238</v>
      </c>
      <c r="GH3278" s="5" t="s">
        <v>238</v>
      </c>
      <c r="GI3278" s="5" t="s">
        <v>238</v>
      </c>
      <c r="GJ3278" s="5" t="s">
        <v>238</v>
      </c>
      <c r="GK3278" s="5" t="s">
        <v>238</v>
      </c>
      <c r="GL3278" s="5" t="s">
        <v>238</v>
      </c>
      <c r="GM3278" s="5" t="s">
        <v>238</v>
      </c>
      <c r="GN3278" s="5" t="s">
        <v>238</v>
      </c>
      <c r="GO3278" s="5" t="s">
        <v>238</v>
      </c>
      <c r="GP3278" s="5" t="s">
        <v>238</v>
      </c>
      <c r="GQ3278" s="5" t="s">
        <v>238</v>
      </c>
      <c r="GR3278" s="5" t="s">
        <v>238</v>
      </c>
      <c r="GS3278" s="5" t="s">
        <v>238</v>
      </c>
      <c r="GT3278" s="5" t="s">
        <v>238</v>
      </c>
      <c r="GU3278" s="5" t="s">
        <v>238</v>
      </c>
      <c r="GV3278" s="5" t="s">
        <v>238</v>
      </c>
      <c r="GW3278" s="5" t="s">
        <v>238</v>
      </c>
      <c r="GX3278" s="5" t="s">
        <v>238</v>
      </c>
      <c r="GY3278" s="5" t="s">
        <v>238</v>
      </c>
      <c r="GZ3278" s="5" t="s">
        <v>238</v>
      </c>
      <c r="HA3278" s="5" t="s">
        <v>238</v>
      </c>
      <c r="HB3278" s="5" t="s">
        <v>238</v>
      </c>
      <c r="HC3278" s="5" t="s">
        <v>238</v>
      </c>
      <c r="HD3278" s="5" t="s">
        <v>238</v>
      </c>
      <c r="HE3278" s="5" t="s">
        <v>238</v>
      </c>
      <c r="HF3278" s="5" t="s">
        <v>238</v>
      </c>
      <c r="HG3278" s="5" t="s">
        <v>238</v>
      </c>
      <c r="HH3278" s="5" t="s">
        <v>238</v>
      </c>
      <c r="HI3278" s="5" t="s">
        <v>238</v>
      </c>
      <c r="HJ3278" s="5" t="s">
        <v>238</v>
      </c>
      <c r="HK3278" s="5" t="s">
        <v>238</v>
      </c>
      <c r="HL3278" s="5" t="s">
        <v>238</v>
      </c>
      <c r="HM3278" s="5" t="s">
        <v>264</v>
      </c>
      <c r="HN3278" s="5" t="s">
        <v>238</v>
      </c>
      <c r="HO3278" s="5" t="s">
        <v>238</v>
      </c>
      <c r="HP3278" s="5" t="s">
        <v>238</v>
      </c>
      <c r="HQ3278" s="5" t="s">
        <v>238</v>
      </c>
      <c r="HR3278" s="5" t="s">
        <v>238</v>
      </c>
      <c r="HS3278" s="5" t="s">
        <v>238</v>
      </c>
      <c r="HT3278" s="5" t="s">
        <v>238</v>
      </c>
      <c r="HU3278" s="5" t="s">
        <v>238</v>
      </c>
      <c r="HV3278" s="5" t="s">
        <v>238</v>
      </c>
      <c r="HW3278" s="5" t="s">
        <v>238</v>
      </c>
      <c r="HX3278" s="5" t="s">
        <v>238</v>
      </c>
      <c r="HY3278" s="5" t="s">
        <v>238</v>
      </c>
      <c r="HZ3278" s="5" t="s">
        <v>238</v>
      </c>
      <c r="IA3278" s="5" t="s">
        <v>238</v>
      </c>
      <c r="IB3278" s="5" t="s">
        <v>238</v>
      </c>
      <c r="IC3278" s="5" t="s">
        <v>238</v>
      </c>
      <c r="ID3278" s="5" t="s">
        <v>238</v>
      </c>
    </row>
    <row r="3279" spans="1:238" x14ac:dyDescent="0.4">
      <c r="A3279" s="5">
        <v>8997</v>
      </c>
      <c r="B3279" s="5">
        <v>1</v>
      </c>
      <c r="C3279" s="5">
        <v>1</v>
      </c>
      <c r="D3279" s="5" t="s">
        <v>484</v>
      </c>
      <c r="E3279" s="5" t="s">
        <v>878</v>
      </c>
      <c r="F3279" s="5" t="s">
        <v>248</v>
      </c>
      <c r="G3279" s="5" t="s">
        <v>5271</v>
      </c>
      <c r="H3279" s="6" t="s">
        <v>5272</v>
      </c>
      <c r="I3279" s="8">
        <f>1</f>
        <v>1</v>
      </c>
      <c r="J3279" s="5" t="s">
        <v>499</v>
      </c>
      <c r="K3279" s="8">
        <f>1</f>
        <v>1</v>
      </c>
      <c r="L3279" s="6" t="s">
        <v>242</v>
      </c>
      <c r="M3279" s="5" t="s">
        <v>267</v>
      </c>
      <c r="N3279" s="5" t="s">
        <v>482</v>
      </c>
      <c r="O3279" s="5" t="s">
        <v>238</v>
      </c>
      <c r="P3279" s="5" t="s">
        <v>238</v>
      </c>
      <c r="Q3279" s="5" t="s">
        <v>239</v>
      </c>
      <c r="R3279" s="5" t="s">
        <v>270</v>
      </c>
      <c r="S3279" s="5" t="s">
        <v>238</v>
      </c>
      <c r="T3279" s="5" t="s">
        <v>238</v>
      </c>
      <c r="U3279" s="5" t="s">
        <v>238</v>
      </c>
      <c r="V3279" s="5" t="s">
        <v>238</v>
      </c>
      <c r="W3279" s="6" t="s">
        <v>238</v>
      </c>
      <c r="X3279" s="6" t="s">
        <v>238</v>
      </c>
      <c r="Y3279" s="5" t="s">
        <v>238</v>
      </c>
      <c r="Z3279" s="6" t="s">
        <v>238</v>
      </c>
      <c r="AA3279" s="6" t="s">
        <v>243</v>
      </c>
      <c r="AB3279" s="5" t="s">
        <v>879</v>
      </c>
      <c r="AC3279" s="5" t="s">
        <v>244</v>
      </c>
      <c r="AD3279" s="5" t="s">
        <v>245</v>
      </c>
      <c r="AE3279" s="5" t="s">
        <v>238</v>
      </c>
      <c r="AF3279" s="5" t="s">
        <v>238</v>
      </c>
      <c r="AG3279" s="5" t="s">
        <v>238</v>
      </c>
      <c r="AH3279" s="5" t="s">
        <v>238</v>
      </c>
      <c r="AI3279" s="5" t="s">
        <v>238</v>
      </c>
      <c r="AJ3279" s="5" t="s">
        <v>238</v>
      </c>
      <c r="AK3279" s="5" t="s">
        <v>238</v>
      </c>
      <c r="AL3279" s="5" t="s">
        <v>238</v>
      </c>
      <c r="AM3279" s="6" t="s">
        <v>238</v>
      </c>
      <c r="AN3279" s="6" t="s">
        <v>238</v>
      </c>
      <c r="AO3279" s="6" t="s">
        <v>238</v>
      </c>
      <c r="AP3279" s="6" t="s">
        <v>238</v>
      </c>
      <c r="AQ3279" s="5" t="s">
        <v>238</v>
      </c>
      <c r="AR3279" s="5" t="s">
        <v>488</v>
      </c>
      <c r="AS3279" s="5" t="s">
        <v>488</v>
      </c>
      <c r="AT3279" s="5" t="s">
        <v>246</v>
      </c>
      <c r="AU3279" s="5" t="s">
        <v>489</v>
      </c>
      <c r="AV3279" s="5" t="s">
        <v>247</v>
      </c>
      <c r="AW3279" s="5" t="s">
        <v>238</v>
      </c>
      <c r="AX3279" s="5" t="s">
        <v>249</v>
      </c>
      <c r="AY3279" s="5" t="s">
        <v>490</v>
      </c>
      <c r="BA3279" s="5" t="s">
        <v>238</v>
      </c>
      <c r="BC3279" s="5" t="s">
        <v>491</v>
      </c>
      <c r="BD3279" s="6" t="s">
        <v>492</v>
      </c>
      <c r="BE3279" s="5" t="s">
        <v>493</v>
      </c>
      <c r="BF3279" s="5" t="s">
        <v>493</v>
      </c>
      <c r="BG3279" s="5" t="s">
        <v>238</v>
      </c>
      <c r="BH3279" s="8">
        <f>1</f>
        <v>1</v>
      </c>
      <c r="BI3279" s="8">
        <f>1</f>
        <v>1</v>
      </c>
      <c r="BJ3279" s="5" t="s">
        <v>253</v>
      </c>
      <c r="BK3279" s="5" t="s">
        <v>254</v>
      </c>
      <c r="BL3279" s="5" t="s">
        <v>238</v>
      </c>
      <c r="BM3279" s="5" t="s">
        <v>238</v>
      </c>
      <c r="BN3279" s="5" t="s">
        <v>238</v>
      </c>
      <c r="BO3279" s="5" t="s">
        <v>238</v>
      </c>
      <c r="BP3279" s="5" t="s">
        <v>238</v>
      </c>
      <c r="BQ3279" s="5" t="s">
        <v>238</v>
      </c>
      <c r="BR3279" s="5" t="s">
        <v>238</v>
      </c>
      <c r="BS3279" s="5" t="s">
        <v>238</v>
      </c>
      <c r="BT3279" s="6" t="s">
        <v>238</v>
      </c>
      <c r="BU3279" s="5" t="s">
        <v>238</v>
      </c>
      <c r="BV3279" s="5" t="s">
        <v>238</v>
      </c>
      <c r="BW3279" s="5" t="s">
        <v>238</v>
      </c>
      <c r="BX3279" s="5" t="s">
        <v>254</v>
      </c>
      <c r="BY3279" s="5" t="s">
        <v>238</v>
      </c>
      <c r="BZ3279" s="5" t="s">
        <v>238</v>
      </c>
      <c r="CA3279" s="5" t="s">
        <v>238</v>
      </c>
      <c r="CB3279" s="5" t="s">
        <v>238</v>
      </c>
      <c r="CC3279" s="5" t="s">
        <v>238</v>
      </c>
      <c r="CD3279" s="5" t="s">
        <v>273</v>
      </c>
      <c r="CE3279" s="5" t="s">
        <v>256</v>
      </c>
      <c r="CF3279" s="5" t="s">
        <v>238</v>
      </c>
      <c r="CH3279" s="5" t="s">
        <v>494</v>
      </c>
      <c r="CI3279" s="6" t="s">
        <v>257</v>
      </c>
      <c r="CJ3279" s="5" t="s">
        <v>495</v>
      </c>
      <c r="CK3279" s="5" t="s">
        <v>258</v>
      </c>
      <c r="CL3279" s="5" t="s">
        <v>496</v>
      </c>
      <c r="CM3279" s="5" t="s">
        <v>238</v>
      </c>
      <c r="CN3279" s="5">
        <v>0</v>
      </c>
      <c r="CO3279" s="5" t="s">
        <v>497</v>
      </c>
      <c r="CP3279" s="5" t="s">
        <v>260</v>
      </c>
      <c r="CQ3279" s="5" t="s">
        <v>260</v>
      </c>
      <c r="CR3279" s="5" t="s">
        <v>261</v>
      </c>
      <c r="CS3279" s="5" t="s">
        <v>498</v>
      </c>
      <c r="CT3279" s="7">
        <f>1</f>
        <v>1</v>
      </c>
      <c r="CU3279" s="8">
        <f>1</f>
        <v>1</v>
      </c>
      <c r="CV3279" s="8">
        <f>0</f>
        <v>0</v>
      </c>
      <c r="CX3279" s="8">
        <f>1</f>
        <v>1</v>
      </c>
      <c r="CY3279" s="8">
        <f>1</f>
        <v>1</v>
      </c>
      <c r="CZ3279" s="8" t="s">
        <v>238</v>
      </c>
      <c r="DA3279" s="5" t="s">
        <v>238</v>
      </c>
      <c r="DB3279" s="5" t="s">
        <v>238</v>
      </c>
      <c r="DC3279" s="5" t="s">
        <v>238</v>
      </c>
      <c r="DD3279" s="5" t="s">
        <v>238</v>
      </c>
      <c r="DE3279" s="8">
        <f>0</f>
        <v>0</v>
      </c>
      <c r="DG3279" s="5" t="s">
        <v>238</v>
      </c>
      <c r="DH3279" s="5" t="s">
        <v>238</v>
      </c>
      <c r="DI3279" s="5" t="s">
        <v>238</v>
      </c>
      <c r="DJ3279" s="5" t="s">
        <v>238</v>
      </c>
      <c r="DK3279" s="5" t="s">
        <v>238</v>
      </c>
      <c r="DL3279" s="5" t="s">
        <v>238</v>
      </c>
      <c r="DM3279" s="8" t="s">
        <v>238</v>
      </c>
      <c r="DN3279" s="5" t="s">
        <v>238</v>
      </c>
      <c r="DO3279" s="5" t="s">
        <v>238</v>
      </c>
      <c r="DP3279" s="5" t="s">
        <v>490</v>
      </c>
      <c r="DQ3279" s="5" t="s">
        <v>490</v>
      </c>
      <c r="DR3279" s="5" t="s">
        <v>238</v>
      </c>
      <c r="DS3279" s="5" t="s">
        <v>238</v>
      </c>
      <c r="DT3279" s="5" t="s">
        <v>881</v>
      </c>
      <c r="DU3279" s="5" t="s">
        <v>1232</v>
      </c>
      <c r="DV3279" s="5" t="s">
        <v>238</v>
      </c>
      <c r="DW3279" s="5" t="s">
        <v>238</v>
      </c>
      <c r="DX3279" s="5" t="s">
        <v>238</v>
      </c>
      <c r="DY3279" s="5" t="s">
        <v>238</v>
      </c>
      <c r="DZ3279" s="5" t="s">
        <v>238</v>
      </c>
      <c r="EA3279" s="5" t="s">
        <v>238</v>
      </c>
      <c r="EB3279" s="5" t="s">
        <v>238</v>
      </c>
      <c r="EC3279" s="5" t="s">
        <v>238</v>
      </c>
      <c r="ED3279" s="5" t="s">
        <v>238</v>
      </c>
      <c r="EE3279" s="5" t="s">
        <v>238</v>
      </c>
      <c r="EF3279" s="5" t="s">
        <v>238</v>
      </c>
      <c r="EG3279" s="5" t="s">
        <v>238</v>
      </c>
      <c r="EH3279" s="5" t="s">
        <v>238</v>
      </c>
      <c r="EI3279" s="5" t="s">
        <v>238</v>
      </c>
      <c r="EJ3279" s="5" t="s">
        <v>238</v>
      </c>
      <c r="EK3279" s="5" t="s">
        <v>238</v>
      </c>
      <c r="EL3279" s="5" t="s">
        <v>238</v>
      </c>
      <c r="EM3279" s="5" t="s">
        <v>238</v>
      </c>
      <c r="EN3279" s="5" t="s">
        <v>238</v>
      </c>
      <c r="EO3279" s="5" t="s">
        <v>238</v>
      </c>
      <c r="EP3279" s="5" t="s">
        <v>238</v>
      </c>
      <c r="EQ3279" s="5" t="s">
        <v>238</v>
      </c>
      <c r="ER3279" s="5" t="s">
        <v>238</v>
      </c>
      <c r="ES3279" s="5" t="s">
        <v>238</v>
      </c>
      <c r="ET3279" s="5" t="s">
        <v>238</v>
      </c>
      <c r="EU3279" s="5" t="s">
        <v>238</v>
      </c>
      <c r="EV3279" s="5" t="s">
        <v>238</v>
      </c>
      <c r="EW3279" s="5" t="s">
        <v>238</v>
      </c>
      <c r="EX3279" s="5" t="s">
        <v>238</v>
      </c>
      <c r="EY3279" s="5" t="s">
        <v>238</v>
      </c>
      <c r="EZ3279" s="5" t="s">
        <v>238</v>
      </c>
      <c r="FA3279" s="5" t="s">
        <v>238</v>
      </c>
      <c r="FB3279" s="5" t="s">
        <v>238</v>
      </c>
      <c r="FC3279" s="5" t="s">
        <v>238</v>
      </c>
      <c r="FD3279" s="5" t="s">
        <v>238</v>
      </c>
      <c r="FE3279" s="5" t="s">
        <v>238</v>
      </c>
      <c r="FF3279" s="5" t="s">
        <v>238</v>
      </c>
      <c r="FG3279" s="5" t="s">
        <v>238</v>
      </c>
      <c r="FH3279" s="5" t="s">
        <v>238</v>
      </c>
      <c r="FI3279" s="5" t="s">
        <v>238</v>
      </c>
      <c r="FJ3279" s="5" t="s">
        <v>238</v>
      </c>
      <c r="FK3279" s="5" t="s">
        <v>238</v>
      </c>
      <c r="FL3279" s="5" t="s">
        <v>238</v>
      </c>
      <c r="FM3279" s="5" t="s">
        <v>238</v>
      </c>
      <c r="FN3279" s="5" t="s">
        <v>238</v>
      </c>
      <c r="FO3279" s="5" t="s">
        <v>238</v>
      </c>
      <c r="FP3279" s="5" t="s">
        <v>238</v>
      </c>
      <c r="FQ3279" s="5" t="s">
        <v>238</v>
      </c>
      <c r="FR3279" s="5" t="s">
        <v>238</v>
      </c>
      <c r="FS3279" s="5" t="s">
        <v>238</v>
      </c>
      <c r="FT3279" s="5" t="s">
        <v>238</v>
      </c>
      <c r="FU3279" s="5" t="s">
        <v>238</v>
      </c>
      <c r="FV3279" s="5" t="s">
        <v>238</v>
      </c>
      <c r="FW3279" s="5" t="s">
        <v>238</v>
      </c>
      <c r="FX3279" s="5" t="s">
        <v>238</v>
      </c>
      <c r="FY3279" s="5" t="s">
        <v>238</v>
      </c>
      <c r="FZ3279" s="5" t="s">
        <v>238</v>
      </c>
      <c r="GA3279" s="5" t="s">
        <v>238</v>
      </c>
      <c r="GB3279" s="5" t="s">
        <v>238</v>
      </c>
      <c r="GC3279" s="5" t="s">
        <v>238</v>
      </c>
      <c r="GD3279" s="5" t="s">
        <v>238</v>
      </c>
      <c r="GE3279" s="5" t="s">
        <v>238</v>
      </c>
      <c r="GF3279" s="5" t="s">
        <v>238</v>
      </c>
      <c r="GG3279" s="5" t="s">
        <v>238</v>
      </c>
      <c r="GH3279" s="5" t="s">
        <v>238</v>
      </c>
      <c r="GI3279" s="5" t="s">
        <v>238</v>
      </c>
      <c r="GJ3279" s="5" t="s">
        <v>238</v>
      </c>
      <c r="GK3279" s="5" t="s">
        <v>238</v>
      </c>
      <c r="GL3279" s="5" t="s">
        <v>238</v>
      </c>
      <c r="GM3279" s="5" t="s">
        <v>238</v>
      </c>
      <c r="GN3279" s="5" t="s">
        <v>238</v>
      </c>
      <c r="GO3279" s="5" t="s">
        <v>238</v>
      </c>
      <c r="GP3279" s="5" t="s">
        <v>238</v>
      </c>
      <c r="GQ3279" s="5" t="s">
        <v>238</v>
      </c>
      <c r="GR3279" s="5" t="s">
        <v>238</v>
      </c>
      <c r="GS3279" s="5" t="s">
        <v>238</v>
      </c>
      <c r="GT3279" s="5" t="s">
        <v>238</v>
      </c>
      <c r="GU3279" s="5" t="s">
        <v>238</v>
      </c>
      <c r="GV3279" s="5" t="s">
        <v>238</v>
      </c>
      <c r="GW3279" s="5" t="s">
        <v>238</v>
      </c>
      <c r="GX3279" s="5" t="s">
        <v>238</v>
      </c>
      <c r="GY3279" s="5" t="s">
        <v>238</v>
      </c>
      <c r="GZ3279" s="5" t="s">
        <v>238</v>
      </c>
      <c r="HA3279" s="5" t="s">
        <v>238</v>
      </c>
      <c r="HB3279" s="5" t="s">
        <v>238</v>
      </c>
      <c r="HC3279" s="5" t="s">
        <v>238</v>
      </c>
      <c r="HD3279" s="5" t="s">
        <v>238</v>
      </c>
      <c r="HE3279" s="5" t="s">
        <v>238</v>
      </c>
      <c r="HF3279" s="5" t="s">
        <v>238</v>
      </c>
      <c r="HG3279" s="5" t="s">
        <v>238</v>
      </c>
      <c r="HH3279" s="5" t="s">
        <v>238</v>
      </c>
      <c r="HI3279" s="5" t="s">
        <v>238</v>
      </c>
      <c r="HJ3279" s="5" t="s">
        <v>238</v>
      </c>
      <c r="HK3279" s="5" t="s">
        <v>238</v>
      </c>
      <c r="HL3279" s="5" t="s">
        <v>238</v>
      </c>
      <c r="HM3279" s="5" t="s">
        <v>264</v>
      </c>
      <c r="HN3279" s="5" t="s">
        <v>238</v>
      </c>
      <c r="HO3279" s="5" t="s">
        <v>238</v>
      </c>
      <c r="HP3279" s="5" t="s">
        <v>238</v>
      </c>
      <c r="HQ3279" s="5" t="s">
        <v>238</v>
      </c>
      <c r="HR3279" s="5" t="s">
        <v>238</v>
      </c>
      <c r="HS3279" s="5" t="s">
        <v>238</v>
      </c>
      <c r="HT3279" s="5" t="s">
        <v>238</v>
      </c>
      <c r="HU3279" s="5" t="s">
        <v>238</v>
      </c>
      <c r="HV3279" s="5" t="s">
        <v>238</v>
      </c>
      <c r="HW3279" s="5" t="s">
        <v>238</v>
      </c>
      <c r="HX3279" s="5" t="s">
        <v>238</v>
      </c>
      <c r="HY3279" s="5" t="s">
        <v>238</v>
      </c>
      <c r="HZ3279" s="5" t="s">
        <v>238</v>
      </c>
      <c r="IA3279" s="5" t="s">
        <v>238</v>
      </c>
      <c r="IB3279" s="5" t="s">
        <v>238</v>
      </c>
      <c r="IC3279" s="5" t="s">
        <v>238</v>
      </c>
      <c r="ID3279" s="5" t="s">
        <v>238</v>
      </c>
    </row>
    <row r="3280" spans="1:238" x14ac:dyDescent="0.4">
      <c r="A3280" s="5">
        <v>8998</v>
      </c>
      <c r="B3280" s="5">
        <v>1</v>
      </c>
      <c r="C3280" s="5">
        <v>1</v>
      </c>
      <c r="D3280" s="5" t="s">
        <v>484</v>
      </c>
      <c r="E3280" s="5" t="s">
        <v>878</v>
      </c>
      <c r="F3280" s="5" t="s">
        <v>248</v>
      </c>
      <c r="G3280" s="5" t="s">
        <v>5459</v>
      </c>
      <c r="H3280" s="6" t="s">
        <v>5460</v>
      </c>
      <c r="I3280" s="8">
        <f>1</f>
        <v>1</v>
      </c>
      <c r="J3280" s="5" t="s">
        <v>499</v>
      </c>
      <c r="K3280" s="8">
        <f>1</f>
        <v>1</v>
      </c>
      <c r="L3280" s="6" t="s">
        <v>242</v>
      </c>
      <c r="M3280" s="5" t="s">
        <v>267</v>
      </c>
      <c r="N3280" s="5" t="s">
        <v>482</v>
      </c>
      <c r="O3280" s="5" t="s">
        <v>238</v>
      </c>
      <c r="P3280" s="5" t="s">
        <v>238</v>
      </c>
      <c r="Q3280" s="5" t="s">
        <v>239</v>
      </c>
      <c r="R3280" s="5" t="s">
        <v>270</v>
      </c>
      <c r="S3280" s="5" t="s">
        <v>238</v>
      </c>
      <c r="T3280" s="5" t="s">
        <v>238</v>
      </c>
      <c r="U3280" s="5" t="s">
        <v>238</v>
      </c>
      <c r="V3280" s="5" t="s">
        <v>238</v>
      </c>
      <c r="W3280" s="6" t="s">
        <v>238</v>
      </c>
      <c r="X3280" s="6" t="s">
        <v>238</v>
      </c>
      <c r="Y3280" s="5" t="s">
        <v>238</v>
      </c>
      <c r="Z3280" s="6" t="s">
        <v>238</v>
      </c>
      <c r="AA3280" s="6" t="s">
        <v>243</v>
      </c>
      <c r="AB3280" s="5" t="s">
        <v>879</v>
      </c>
      <c r="AC3280" s="5" t="s">
        <v>244</v>
      </c>
      <c r="AD3280" s="5" t="s">
        <v>245</v>
      </c>
      <c r="AE3280" s="5" t="s">
        <v>238</v>
      </c>
      <c r="AF3280" s="5" t="s">
        <v>238</v>
      </c>
      <c r="AG3280" s="5" t="s">
        <v>238</v>
      </c>
      <c r="AH3280" s="5" t="s">
        <v>238</v>
      </c>
      <c r="AI3280" s="5" t="s">
        <v>238</v>
      </c>
      <c r="AJ3280" s="5" t="s">
        <v>238</v>
      </c>
      <c r="AK3280" s="5" t="s">
        <v>238</v>
      </c>
      <c r="AL3280" s="5" t="s">
        <v>238</v>
      </c>
      <c r="AM3280" s="6" t="s">
        <v>238</v>
      </c>
      <c r="AN3280" s="6" t="s">
        <v>238</v>
      </c>
      <c r="AO3280" s="6" t="s">
        <v>238</v>
      </c>
      <c r="AP3280" s="6" t="s">
        <v>238</v>
      </c>
      <c r="AQ3280" s="5" t="s">
        <v>238</v>
      </c>
      <c r="AR3280" s="5" t="s">
        <v>488</v>
      </c>
      <c r="AS3280" s="5" t="s">
        <v>488</v>
      </c>
      <c r="AT3280" s="5" t="s">
        <v>246</v>
      </c>
      <c r="AU3280" s="5" t="s">
        <v>489</v>
      </c>
      <c r="AV3280" s="5" t="s">
        <v>247</v>
      </c>
      <c r="AW3280" s="5" t="s">
        <v>238</v>
      </c>
      <c r="AX3280" s="5" t="s">
        <v>249</v>
      </c>
      <c r="AY3280" s="5" t="s">
        <v>490</v>
      </c>
      <c r="BA3280" s="5" t="s">
        <v>238</v>
      </c>
      <c r="BC3280" s="5" t="s">
        <v>491</v>
      </c>
      <c r="BD3280" s="6" t="s">
        <v>492</v>
      </c>
      <c r="BE3280" s="5" t="s">
        <v>493</v>
      </c>
      <c r="BF3280" s="5" t="s">
        <v>493</v>
      </c>
      <c r="BG3280" s="5" t="s">
        <v>238</v>
      </c>
      <c r="BH3280" s="8">
        <f>1</f>
        <v>1</v>
      </c>
      <c r="BI3280" s="8">
        <f>1</f>
        <v>1</v>
      </c>
      <c r="BJ3280" s="5" t="s">
        <v>253</v>
      </c>
      <c r="BK3280" s="5" t="s">
        <v>254</v>
      </c>
      <c r="BL3280" s="5" t="s">
        <v>238</v>
      </c>
      <c r="BM3280" s="5" t="s">
        <v>238</v>
      </c>
      <c r="BN3280" s="5" t="s">
        <v>238</v>
      </c>
      <c r="BO3280" s="5" t="s">
        <v>238</v>
      </c>
      <c r="BP3280" s="5" t="s">
        <v>238</v>
      </c>
      <c r="BQ3280" s="5" t="s">
        <v>238</v>
      </c>
      <c r="BR3280" s="5" t="s">
        <v>238</v>
      </c>
      <c r="BS3280" s="5" t="s">
        <v>238</v>
      </c>
      <c r="BT3280" s="6" t="s">
        <v>238</v>
      </c>
      <c r="BU3280" s="5" t="s">
        <v>238</v>
      </c>
      <c r="BV3280" s="5" t="s">
        <v>238</v>
      </c>
      <c r="BW3280" s="5" t="s">
        <v>238</v>
      </c>
      <c r="BX3280" s="5" t="s">
        <v>254</v>
      </c>
      <c r="BY3280" s="5" t="s">
        <v>238</v>
      </c>
      <c r="BZ3280" s="5" t="s">
        <v>238</v>
      </c>
      <c r="CA3280" s="5" t="s">
        <v>238</v>
      </c>
      <c r="CB3280" s="5" t="s">
        <v>238</v>
      </c>
      <c r="CC3280" s="5" t="s">
        <v>238</v>
      </c>
      <c r="CD3280" s="5" t="s">
        <v>273</v>
      </c>
      <c r="CE3280" s="5" t="s">
        <v>256</v>
      </c>
      <c r="CF3280" s="5" t="s">
        <v>238</v>
      </c>
      <c r="CH3280" s="5" t="s">
        <v>494</v>
      </c>
      <c r="CI3280" s="6" t="s">
        <v>257</v>
      </c>
      <c r="CJ3280" s="5" t="s">
        <v>495</v>
      </c>
      <c r="CK3280" s="5" t="s">
        <v>258</v>
      </c>
      <c r="CL3280" s="5" t="s">
        <v>496</v>
      </c>
      <c r="CM3280" s="5" t="s">
        <v>238</v>
      </c>
      <c r="CN3280" s="5">
        <v>0</v>
      </c>
      <c r="CO3280" s="5" t="s">
        <v>497</v>
      </c>
      <c r="CP3280" s="5" t="s">
        <v>260</v>
      </c>
      <c r="CQ3280" s="5" t="s">
        <v>260</v>
      </c>
      <c r="CR3280" s="5" t="s">
        <v>261</v>
      </c>
      <c r="CS3280" s="5" t="s">
        <v>498</v>
      </c>
      <c r="CT3280" s="7">
        <f>1</f>
        <v>1</v>
      </c>
      <c r="CU3280" s="8">
        <f>1</f>
        <v>1</v>
      </c>
      <c r="CV3280" s="8">
        <f>0</f>
        <v>0</v>
      </c>
      <c r="CX3280" s="8">
        <f>1</f>
        <v>1</v>
      </c>
      <c r="CY3280" s="8">
        <f>1</f>
        <v>1</v>
      </c>
      <c r="CZ3280" s="8" t="s">
        <v>238</v>
      </c>
      <c r="DA3280" s="5" t="s">
        <v>238</v>
      </c>
      <c r="DB3280" s="5" t="s">
        <v>238</v>
      </c>
      <c r="DC3280" s="5" t="s">
        <v>238</v>
      </c>
      <c r="DD3280" s="5" t="s">
        <v>238</v>
      </c>
      <c r="DE3280" s="8">
        <f>0</f>
        <v>0</v>
      </c>
      <c r="DG3280" s="5" t="s">
        <v>238</v>
      </c>
      <c r="DH3280" s="5" t="s">
        <v>238</v>
      </c>
      <c r="DI3280" s="5" t="s">
        <v>238</v>
      </c>
      <c r="DJ3280" s="5" t="s">
        <v>238</v>
      </c>
      <c r="DK3280" s="5" t="s">
        <v>238</v>
      </c>
      <c r="DL3280" s="5" t="s">
        <v>238</v>
      </c>
      <c r="DM3280" s="8" t="s">
        <v>238</v>
      </c>
      <c r="DN3280" s="5" t="s">
        <v>238</v>
      </c>
      <c r="DO3280" s="5" t="s">
        <v>238</v>
      </c>
      <c r="DP3280" s="5" t="s">
        <v>490</v>
      </c>
      <c r="DQ3280" s="5" t="s">
        <v>490</v>
      </c>
      <c r="DR3280" s="5" t="s">
        <v>238</v>
      </c>
      <c r="DS3280" s="5" t="s">
        <v>238</v>
      </c>
      <c r="DT3280" s="5" t="s">
        <v>881</v>
      </c>
      <c r="DU3280" s="5" t="s">
        <v>1360</v>
      </c>
      <c r="DV3280" s="5" t="s">
        <v>238</v>
      </c>
      <c r="DW3280" s="5" t="s">
        <v>238</v>
      </c>
      <c r="DX3280" s="5" t="s">
        <v>238</v>
      </c>
      <c r="DY3280" s="5" t="s">
        <v>238</v>
      </c>
      <c r="DZ3280" s="5" t="s">
        <v>238</v>
      </c>
      <c r="EA3280" s="5" t="s">
        <v>238</v>
      </c>
      <c r="EB3280" s="5" t="s">
        <v>238</v>
      </c>
      <c r="EC3280" s="5" t="s">
        <v>238</v>
      </c>
      <c r="ED3280" s="5" t="s">
        <v>238</v>
      </c>
      <c r="EE3280" s="5" t="s">
        <v>238</v>
      </c>
      <c r="EF3280" s="5" t="s">
        <v>238</v>
      </c>
      <c r="EG3280" s="5" t="s">
        <v>238</v>
      </c>
      <c r="EH3280" s="5" t="s">
        <v>238</v>
      </c>
      <c r="EI3280" s="5" t="s">
        <v>238</v>
      </c>
      <c r="EJ3280" s="5" t="s">
        <v>238</v>
      </c>
      <c r="EK3280" s="5" t="s">
        <v>238</v>
      </c>
      <c r="EL3280" s="5" t="s">
        <v>238</v>
      </c>
      <c r="EM3280" s="5" t="s">
        <v>238</v>
      </c>
      <c r="EN3280" s="5" t="s">
        <v>238</v>
      </c>
      <c r="EO3280" s="5" t="s">
        <v>238</v>
      </c>
      <c r="EP3280" s="5" t="s">
        <v>238</v>
      </c>
      <c r="EQ3280" s="5" t="s">
        <v>238</v>
      </c>
      <c r="ER3280" s="5" t="s">
        <v>238</v>
      </c>
      <c r="ES3280" s="5" t="s">
        <v>238</v>
      </c>
      <c r="ET3280" s="5" t="s">
        <v>238</v>
      </c>
      <c r="EU3280" s="5" t="s">
        <v>238</v>
      </c>
      <c r="EV3280" s="5" t="s">
        <v>238</v>
      </c>
      <c r="EW3280" s="5" t="s">
        <v>238</v>
      </c>
      <c r="EX3280" s="5" t="s">
        <v>238</v>
      </c>
      <c r="EY3280" s="5" t="s">
        <v>238</v>
      </c>
      <c r="EZ3280" s="5" t="s">
        <v>238</v>
      </c>
      <c r="FA3280" s="5" t="s">
        <v>238</v>
      </c>
      <c r="FB3280" s="5" t="s">
        <v>238</v>
      </c>
      <c r="FC3280" s="5" t="s">
        <v>238</v>
      </c>
      <c r="FD3280" s="5" t="s">
        <v>238</v>
      </c>
      <c r="FE3280" s="5" t="s">
        <v>238</v>
      </c>
      <c r="FF3280" s="5" t="s">
        <v>238</v>
      </c>
      <c r="FG3280" s="5" t="s">
        <v>238</v>
      </c>
      <c r="FH3280" s="5" t="s">
        <v>238</v>
      </c>
      <c r="FI3280" s="5" t="s">
        <v>238</v>
      </c>
      <c r="FJ3280" s="5" t="s">
        <v>238</v>
      </c>
      <c r="FK3280" s="5" t="s">
        <v>238</v>
      </c>
      <c r="FL3280" s="5" t="s">
        <v>238</v>
      </c>
      <c r="FM3280" s="5" t="s">
        <v>238</v>
      </c>
      <c r="FN3280" s="5" t="s">
        <v>238</v>
      </c>
      <c r="FO3280" s="5" t="s">
        <v>238</v>
      </c>
      <c r="FP3280" s="5" t="s">
        <v>238</v>
      </c>
      <c r="FQ3280" s="5" t="s">
        <v>238</v>
      </c>
      <c r="FR3280" s="5" t="s">
        <v>238</v>
      </c>
      <c r="FS3280" s="5" t="s">
        <v>238</v>
      </c>
      <c r="FT3280" s="5" t="s">
        <v>238</v>
      </c>
      <c r="FU3280" s="5" t="s">
        <v>238</v>
      </c>
      <c r="FV3280" s="5" t="s">
        <v>238</v>
      </c>
      <c r="FW3280" s="5" t="s">
        <v>238</v>
      </c>
      <c r="FX3280" s="5" t="s">
        <v>238</v>
      </c>
      <c r="FY3280" s="5" t="s">
        <v>238</v>
      </c>
      <c r="FZ3280" s="5" t="s">
        <v>238</v>
      </c>
      <c r="GA3280" s="5" t="s">
        <v>238</v>
      </c>
      <c r="GB3280" s="5" t="s">
        <v>238</v>
      </c>
      <c r="GC3280" s="5" t="s">
        <v>238</v>
      </c>
      <c r="GD3280" s="5" t="s">
        <v>238</v>
      </c>
      <c r="GE3280" s="5" t="s">
        <v>238</v>
      </c>
      <c r="GF3280" s="5" t="s">
        <v>238</v>
      </c>
      <c r="GG3280" s="5" t="s">
        <v>238</v>
      </c>
      <c r="GH3280" s="5" t="s">
        <v>238</v>
      </c>
      <c r="GI3280" s="5" t="s">
        <v>238</v>
      </c>
      <c r="GJ3280" s="5" t="s">
        <v>238</v>
      </c>
      <c r="GK3280" s="5" t="s">
        <v>238</v>
      </c>
      <c r="GL3280" s="5" t="s">
        <v>238</v>
      </c>
      <c r="GM3280" s="5" t="s">
        <v>238</v>
      </c>
      <c r="GN3280" s="5" t="s">
        <v>238</v>
      </c>
      <c r="GO3280" s="5" t="s">
        <v>238</v>
      </c>
      <c r="GP3280" s="5" t="s">
        <v>238</v>
      </c>
      <c r="GQ3280" s="5" t="s">
        <v>238</v>
      </c>
      <c r="GR3280" s="5" t="s">
        <v>238</v>
      </c>
      <c r="GS3280" s="5" t="s">
        <v>238</v>
      </c>
      <c r="GT3280" s="5" t="s">
        <v>238</v>
      </c>
      <c r="GU3280" s="5" t="s">
        <v>238</v>
      </c>
      <c r="GV3280" s="5" t="s">
        <v>238</v>
      </c>
      <c r="GW3280" s="5" t="s">
        <v>238</v>
      </c>
      <c r="GX3280" s="5" t="s">
        <v>238</v>
      </c>
      <c r="GY3280" s="5" t="s">
        <v>238</v>
      </c>
      <c r="GZ3280" s="5" t="s">
        <v>238</v>
      </c>
      <c r="HA3280" s="5" t="s">
        <v>238</v>
      </c>
      <c r="HB3280" s="5" t="s">
        <v>238</v>
      </c>
      <c r="HC3280" s="5" t="s">
        <v>238</v>
      </c>
      <c r="HD3280" s="5" t="s">
        <v>238</v>
      </c>
      <c r="HE3280" s="5" t="s">
        <v>238</v>
      </c>
      <c r="HF3280" s="5" t="s">
        <v>238</v>
      </c>
      <c r="HG3280" s="5" t="s">
        <v>238</v>
      </c>
      <c r="HH3280" s="5" t="s">
        <v>238</v>
      </c>
      <c r="HI3280" s="5" t="s">
        <v>238</v>
      </c>
      <c r="HJ3280" s="5" t="s">
        <v>238</v>
      </c>
      <c r="HK3280" s="5" t="s">
        <v>238</v>
      </c>
      <c r="HL3280" s="5" t="s">
        <v>238</v>
      </c>
      <c r="HM3280" s="5" t="s">
        <v>264</v>
      </c>
      <c r="HN3280" s="5" t="s">
        <v>238</v>
      </c>
      <c r="HO3280" s="5" t="s">
        <v>238</v>
      </c>
      <c r="HP3280" s="5" t="s">
        <v>238</v>
      </c>
      <c r="HQ3280" s="5" t="s">
        <v>238</v>
      </c>
      <c r="HR3280" s="5" t="s">
        <v>238</v>
      </c>
      <c r="HS3280" s="5" t="s">
        <v>238</v>
      </c>
      <c r="HT3280" s="5" t="s">
        <v>238</v>
      </c>
      <c r="HU3280" s="5" t="s">
        <v>238</v>
      </c>
      <c r="HV3280" s="5" t="s">
        <v>238</v>
      </c>
      <c r="HW3280" s="5" t="s">
        <v>238</v>
      </c>
      <c r="HX3280" s="5" t="s">
        <v>238</v>
      </c>
      <c r="HY3280" s="5" t="s">
        <v>238</v>
      </c>
      <c r="HZ3280" s="5" t="s">
        <v>238</v>
      </c>
      <c r="IA3280" s="5" t="s">
        <v>238</v>
      </c>
      <c r="IB3280" s="5" t="s">
        <v>238</v>
      </c>
      <c r="IC3280" s="5" t="s">
        <v>238</v>
      </c>
      <c r="ID3280" s="5" t="s">
        <v>238</v>
      </c>
    </row>
    <row r="3281" spans="1:238" x14ac:dyDescent="0.4">
      <c r="A3281" s="5">
        <v>8999</v>
      </c>
      <c r="B3281" s="5">
        <v>1</v>
      </c>
      <c r="C3281" s="5">
        <v>1</v>
      </c>
      <c r="D3281" s="5" t="s">
        <v>484</v>
      </c>
      <c r="E3281" s="5" t="s">
        <v>878</v>
      </c>
      <c r="F3281" s="5" t="s">
        <v>248</v>
      </c>
      <c r="G3281" s="5" t="s">
        <v>5382</v>
      </c>
      <c r="H3281" s="6" t="s">
        <v>5383</v>
      </c>
      <c r="I3281" s="8">
        <f>1</f>
        <v>1</v>
      </c>
      <c r="J3281" s="5" t="s">
        <v>499</v>
      </c>
      <c r="K3281" s="8">
        <f>1</f>
        <v>1</v>
      </c>
      <c r="L3281" s="6" t="s">
        <v>242</v>
      </c>
      <c r="M3281" s="5" t="s">
        <v>267</v>
      </c>
      <c r="N3281" s="5" t="s">
        <v>482</v>
      </c>
      <c r="O3281" s="5" t="s">
        <v>238</v>
      </c>
      <c r="P3281" s="5" t="s">
        <v>238</v>
      </c>
      <c r="Q3281" s="5" t="s">
        <v>239</v>
      </c>
      <c r="R3281" s="5" t="s">
        <v>270</v>
      </c>
      <c r="S3281" s="5" t="s">
        <v>238</v>
      </c>
      <c r="T3281" s="5" t="s">
        <v>238</v>
      </c>
      <c r="U3281" s="5" t="s">
        <v>238</v>
      </c>
      <c r="V3281" s="5" t="s">
        <v>238</v>
      </c>
      <c r="W3281" s="6" t="s">
        <v>238</v>
      </c>
      <c r="X3281" s="6" t="s">
        <v>238</v>
      </c>
      <c r="Y3281" s="5" t="s">
        <v>238</v>
      </c>
      <c r="Z3281" s="6" t="s">
        <v>238</v>
      </c>
      <c r="AA3281" s="6" t="s">
        <v>243</v>
      </c>
      <c r="AB3281" s="5" t="s">
        <v>879</v>
      </c>
      <c r="AC3281" s="5" t="s">
        <v>244</v>
      </c>
      <c r="AD3281" s="5" t="s">
        <v>245</v>
      </c>
      <c r="AE3281" s="5" t="s">
        <v>238</v>
      </c>
      <c r="AF3281" s="5" t="s">
        <v>238</v>
      </c>
      <c r="AG3281" s="5" t="s">
        <v>238</v>
      </c>
      <c r="AH3281" s="5" t="s">
        <v>238</v>
      </c>
      <c r="AI3281" s="5" t="s">
        <v>238</v>
      </c>
      <c r="AJ3281" s="5" t="s">
        <v>238</v>
      </c>
      <c r="AK3281" s="5" t="s">
        <v>238</v>
      </c>
      <c r="AL3281" s="5" t="s">
        <v>238</v>
      </c>
      <c r="AM3281" s="6" t="s">
        <v>238</v>
      </c>
      <c r="AN3281" s="6" t="s">
        <v>238</v>
      </c>
      <c r="AO3281" s="6" t="s">
        <v>238</v>
      </c>
      <c r="AP3281" s="6" t="s">
        <v>238</v>
      </c>
      <c r="AQ3281" s="5" t="s">
        <v>238</v>
      </c>
      <c r="AR3281" s="5" t="s">
        <v>488</v>
      </c>
      <c r="AS3281" s="5" t="s">
        <v>488</v>
      </c>
      <c r="AT3281" s="5" t="s">
        <v>246</v>
      </c>
      <c r="AU3281" s="5" t="s">
        <v>489</v>
      </c>
      <c r="AV3281" s="5" t="s">
        <v>247</v>
      </c>
      <c r="AW3281" s="5" t="s">
        <v>238</v>
      </c>
      <c r="AX3281" s="5" t="s">
        <v>249</v>
      </c>
      <c r="AY3281" s="5" t="s">
        <v>490</v>
      </c>
      <c r="BA3281" s="5" t="s">
        <v>238</v>
      </c>
      <c r="BC3281" s="5" t="s">
        <v>491</v>
      </c>
      <c r="BD3281" s="6" t="s">
        <v>492</v>
      </c>
      <c r="BE3281" s="5" t="s">
        <v>493</v>
      </c>
      <c r="BF3281" s="5" t="s">
        <v>493</v>
      </c>
      <c r="BG3281" s="5" t="s">
        <v>238</v>
      </c>
      <c r="BH3281" s="8">
        <f>1</f>
        <v>1</v>
      </c>
      <c r="BI3281" s="8">
        <f>1</f>
        <v>1</v>
      </c>
      <c r="BJ3281" s="5" t="s">
        <v>253</v>
      </c>
      <c r="BK3281" s="5" t="s">
        <v>254</v>
      </c>
      <c r="BL3281" s="5" t="s">
        <v>238</v>
      </c>
      <c r="BM3281" s="5" t="s">
        <v>238</v>
      </c>
      <c r="BN3281" s="5" t="s">
        <v>238</v>
      </c>
      <c r="BO3281" s="5" t="s">
        <v>238</v>
      </c>
      <c r="BP3281" s="5" t="s">
        <v>238</v>
      </c>
      <c r="BQ3281" s="5" t="s">
        <v>238</v>
      </c>
      <c r="BR3281" s="5" t="s">
        <v>238</v>
      </c>
      <c r="BS3281" s="5" t="s">
        <v>238</v>
      </c>
      <c r="BT3281" s="6" t="s">
        <v>238</v>
      </c>
      <c r="BU3281" s="5" t="s">
        <v>238</v>
      </c>
      <c r="BV3281" s="5" t="s">
        <v>238</v>
      </c>
      <c r="BW3281" s="5" t="s">
        <v>238</v>
      </c>
      <c r="BX3281" s="5" t="s">
        <v>254</v>
      </c>
      <c r="BY3281" s="5" t="s">
        <v>238</v>
      </c>
      <c r="BZ3281" s="5" t="s">
        <v>238</v>
      </c>
      <c r="CA3281" s="5" t="s">
        <v>238</v>
      </c>
      <c r="CB3281" s="5" t="s">
        <v>238</v>
      </c>
      <c r="CC3281" s="5" t="s">
        <v>238</v>
      </c>
      <c r="CD3281" s="5" t="s">
        <v>273</v>
      </c>
      <c r="CE3281" s="5" t="s">
        <v>256</v>
      </c>
      <c r="CF3281" s="5" t="s">
        <v>238</v>
      </c>
      <c r="CH3281" s="5" t="s">
        <v>494</v>
      </c>
      <c r="CI3281" s="6" t="s">
        <v>257</v>
      </c>
      <c r="CJ3281" s="5" t="s">
        <v>495</v>
      </c>
      <c r="CK3281" s="5" t="s">
        <v>258</v>
      </c>
      <c r="CL3281" s="5" t="s">
        <v>496</v>
      </c>
      <c r="CM3281" s="5" t="s">
        <v>238</v>
      </c>
      <c r="CN3281" s="5">
        <v>0</v>
      </c>
      <c r="CO3281" s="5" t="s">
        <v>497</v>
      </c>
      <c r="CP3281" s="5" t="s">
        <v>260</v>
      </c>
      <c r="CQ3281" s="5" t="s">
        <v>260</v>
      </c>
      <c r="CR3281" s="5" t="s">
        <v>261</v>
      </c>
      <c r="CS3281" s="5" t="s">
        <v>498</v>
      </c>
      <c r="CT3281" s="7">
        <f>1</f>
        <v>1</v>
      </c>
      <c r="CU3281" s="8">
        <f>1</f>
        <v>1</v>
      </c>
      <c r="CV3281" s="8">
        <f>0</f>
        <v>0</v>
      </c>
      <c r="CX3281" s="8">
        <f>1</f>
        <v>1</v>
      </c>
      <c r="CY3281" s="8">
        <f>1</f>
        <v>1</v>
      </c>
      <c r="CZ3281" s="8" t="s">
        <v>238</v>
      </c>
      <c r="DA3281" s="5" t="s">
        <v>238</v>
      </c>
      <c r="DB3281" s="5" t="s">
        <v>238</v>
      </c>
      <c r="DC3281" s="5" t="s">
        <v>238</v>
      </c>
      <c r="DD3281" s="5" t="s">
        <v>238</v>
      </c>
      <c r="DE3281" s="8">
        <f>0</f>
        <v>0</v>
      </c>
      <c r="DG3281" s="5" t="s">
        <v>238</v>
      </c>
      <c r="DH3281" s="5" t="s">
        <v>238</v>
      </c>
      <c r="DI3281" s="5" t="s">
        <v>238</v>
      </c>
      <c r="DJ3281" s="5" t="s">
        <v>238</v>
      </c>
      <c r="DK3281" s="5" t="s">
        <v>238</v>
      </c>
      <c r="DL3281" s="5" t="s">
        <v>238</v>
      </c>
      <c r="DM3281" s="8" t="s">
        <v>238</v>
      </c>
      <c r="DN3281" s="5" t="s">
        <v>238</v>
      </c>
      <c r="DO3281" s="5" t="s">
        <v>238</v>
      </c>
      <c r="DP3281" s="5" t="s">
        <v>490</v>
      </c>
      <c r="DQ3281" s="5" t="s">
        <v>490</v>
      </c>
      <c r="DR3281" s="5" t="s">
        <v>238</v>
      </c>
      <c r="DS3281" s="5" t="s">
        <v>238</v>
      </c>
      <c r="DT3281" s="5" t="s">
        <v>881</v>
      </c>
      <c r="DU3281" s="5" t="s">
        <v>1217</v>
      </c>
      <c r="DV3281" s="5" t="s">
        <v>238</v>
      </c>
      <c r="DW3281" s="5" t="s">
        <v>238</v>
      </c>
      <c r="DX3281" s="5" t="s">
        <v>238</v>
      </c>
      <c r="DY3281" s="5" t="s">
        <v>238</v>
      </c>
      <c r="DZ3281" s="5" t="s">
        <v>238</v>
      </c>
      <c r="EA3281" s="5" t="s">
        <v>238</v>
      </c>
      <c r="EB3281" s="5" t="s">
        <v>238</v>
      </c>
      <c r="EC3281" s="5" t="s">
        <v>238</v>
      </c>
      <c r="ED3281" s="5" t="s">
        <v>238</v>
      </c>
      <c r="EE3281" s="5" t="s">
        <v>238</v>
      </c>
      <c r="EF3281" s="5" t="s">
        <v>238</v>
      </c>
      <c r="EG3281" s="5" t="s">
        <v>238</v>
      </c>
      <c r="EH3281" s="5" t="s">
        <v>238</v>
      </c>
      <c r="EI3281" s="5" t="s">
        <v>238</v>
      </c>
      <c r="EJ3281" s="5" t="s">
        <v>238</v>
      </c>
      <c r="EK3281" s="5" t="s">
        <v>238</v>
      </c>
      <c r="EL3281" s="5" t="s">
        <v>238</v>
      </c>
      <c r="EM3281" s="5" t="s">
        <v>238</v>
      </c>
      <c r="EN3281" s="5" t="s">
        <v>238</v>
      </c>
      <c r="EO3281" s="5" t="s">
        <v>238</v>
      </c>
      <c r="EP3281" s="5" t="s">
        <v>238</v>
      </c>
      <c r="EQ3281" s="5" t="s">
        <v>238</v>
      </c>
      <c r="ER3281" s="5" t="s">
        <v>238</v>
      </c>
      <c r="ES3281" s="5" t="s">
        <v>238</v>
      </c>
      <c r="ET3281" s="5" t="s">
        <v>238</v>
      </c>
      <c r="EU3281" s="5" t="s">
        <v>238</v>
      </c>
      <c r="EV3281" s="5" t="s">
        <v>238</v>
      </c>
      <c r="EW3281" s="5" t="s">
        <v>238</v>
      </c>
      <c r="EX3281" s="5" t="s">
        <v>238</v>
      </c>
      <c r="EY3281" s="5" t="s">
        <v>238</v>
      </c>
      <c r="EZ3281" s="5" t="s">
        <v>238</v>
      </c>
      <c r="FA3281" s="5" t="s">
        <v>238</v>
      </c>
      <c r="FB3281" s="5" t="s">
        <v>238</v>
      </c>
      <c r="FC3281" s="5" t="s">
        <v>238</v>
      </c>
      <c r="FD3281" s="5" t="s">
        <v>238</v>
      </c>
      <c r="FE3281" s="5" t="s">
        <v>238</v>
      </c>
      <c r="FF3281" s="5" t="s">
        <v>238</v>
      </c>
      <c r="FG3281" s="5" t="s">
        <v>238</v>
      </c>
      <c r="FH3281" s="5" t="s">
        <v>238</v>
      </c>
      <c r="FI3281" s="5" t="s">
        <v>238</v>
      </c>
      <c r="FJ3281" s="5" t="s">
        <v>238</v>
      </c>
      <c r="FK3281" s="5" t="s">
        <v>238</v>
      </c>
      <c r="FL3281" s="5" t="s">
        <v>238</v>
      </c>
      <c r="FM3281" s="5" t="s">
        <v>238</v>
      </c>
      <c r="FN3281" s="5" t="s">
        <v>238</v>
      </c>
      <c r="FO3281" s="5" t="s">
        <v>238</v>
      </c>
      <c r="FP3281" s="5" t="s">
        <v>238</v>
      </c>
      <c r="FQ3281" s="5" t="s">
        <v>238</v>
      </c>
      <c r="FR3281" s="5" t="s">
        <v>238</v>
      </c>
      <c r="FS3281" s="5" t="s">
        <v>238</v>
      </c>
      <c r="FT3281" s="5" t="s">
        <v>238</v>
      </c>
      <c r="FU3281" s="5" t="s">
        <v>238</v>
      </c>
      <c r="FV3281" s="5" t="s">
        <v>238</v>
      </c>
      <c r="FW3281" s="5" t="s">
        <v>238</v>
      </c>
      <c r="FX3281" s="5" t="s">
        <v>238</v>
      </c>
      <c r="FY3281" s="5" t="s">
        <v>238</v>
      </c>
      <c r="FZ3281" s="5" t="s">
        <v>238</v>
      </c>
      <c r="GA3281" s="5" t="s">
        <v>238</v>
      </c>
      <c r="GB3281" s="5" t="s">
        <v>238</v>
      </c>
      <c r="GC3281" s="5" t="s">
        <v>238</v>
      </c>
      <c r="GD3281" s="5" t="s">
        <v>238</v>
      </c>
      <c r="GE3281" s="5" t="s">
        <v>238</v>
      </c>
      <c r="GF3281" s="5" t="s">
        <v>238</v>
      </c>
      <c r="GG3281" s="5" t="s">
        <v>238</v>
      </c>
      <c r="GH3281" s="5" t="s">
        <v>238</v>
      </c>
      <c r="GI3281" s="5" t="s">
        <v>238</v>
      </c>
      <c r="GJ3281" s="5" t="s">
        <v>238</v>
      </c>
      <c r="GK3281" s="5" t="s">
        <v>238</v>
      </c>
      <c r="GL3281" s="5" t="s">
        <v>238</v>
      </c>
      <c r="GM3281" s="5" t="s">
        <v>238</v>
      </c>
      <c r="GN3281" s="5" t="s">
        <v>238</v>
      </c>
      <c r="GO3281" s="5" t="s">
        <v>238</v>
      </c>
      <c r="GP3281" s="5" t="s">
        <v>238</v>
      </c>
      <c r="GQ3281" s="5" t="s">
        <v>238</v>
      </c>
      <c r="GR3281" s="5" t="s">
        <v>238</v>
      </c>
      <c r="GS3281" s="5" t="s">
        <v>238</v>
      </c>
      <c r="GT3281" s="5" t="s">
        <v>238</v>
      </c>
      <c r="GU3281" s="5" t="s">
        <v>238</v>
      </c>
      <c r="GV3281" s="5" t="s">
        <v>238</v>
      </c>
      <c r="GW3281" s="5" t="s">
        <v>238</v>
      </c>
      <c r="GX3281" s="5" t="s">
        <v>238</v>
      </c>
      <c r="GY3281" s="5" t="s">
        <v>238</v>
      </c>
      <c r="GZ3281" s="5" t="s">
        <v>238</v>
      </c>
      <c r="HA3281" s="5" t="s">
        <v>238</v>
      </c>
      <c r="HB3281" s="5" t="s">
        <v>238</v>
      </c>
      <c r="HC3281" s="5" t="s">
        <v>238</v>
      </c>
      <c r="HD3281" s="5" t="s">
        <v>238</v>
      </c>
      <c r="HE3281" s="5" t="s">
        <v>238</v>
      </c>
      <c r="HF3281" s="5" t="s">
        <v>238</v>
      </c>
      <c r="HG3281" s="5" t="s">
        <v>238</v>
      </c>
      <c r="HH3281" s="5" t="s">
        <v>238</v>
      </c>
      <c r="HI3281" s="5" t="s">
        <v>238</v>
      </c>
      <c r="HJ3281" s="5" t="s">
        <v>238</v>
      </c>
      <c r="HK3281" s="5" t="s">
        <v>238</v>
      </c>
      <c r="HL3281" s="5" t="s">
        <v>238</v>
      </c>
      <c r="HM3281" s="5" t="s">
        <v>264</v>
      </c>
      <c r="HN3281" s="5" t="s">
        <v>238</v>
      </c>
      <c r="HO3281" s="5" t="s">
        <v>238</v>
      </c>
      <c r="HP3281" s="5" t="s">
        <v>238</v>
      </c>
      <c r="HQ3281" s="5" t="s">
        <v>238</v>
      </c>
      <c r="HR3281" s="5" t="s">
        <v>238</v>
      </c>
      <c r="HS3281" s="5" t="s">
        <v>238</v>
      </c>
      <c r="HT3281" s="5" t="s">
        <v>238</v>
      </c>
      <c r="HU3281" s="5" t="s">
        <v>238</v>
      </c>
      <c r="HV3281" s="5" t="s">
        <v>238</v>
      </c>
      <c r="HW3281" s="5" t="s">
        <v>238</v>
      </c>
      <c r="HX3281" s="5" t="s">
        <v>238</v>
      </c>
      <c r="HY3281" s="5" t="s">
        <v>238</v>
      </c>
      <c r="HZ3281" s="5" t="s">
        <v>238</v>
      </c>
      <c r="IA3281" s="5" t="s">
        <v>238</v>
      </c>
      <c r="IB3281" s="5" t="s">
        <v>238</v>
      </c>
      <c r="IC3281" s="5" t="s">
        <v>238</v>
      </c>
      <c r="ID3281" s="5" t="s">
        <v>238</v>
      </c>
    </row>
    <row r="3282" spans="1:238" x14ac:dyDescent="0.4">
      <c r="A3282" s="5">
        <v>9000</v>
      </c>
      <c r="B3282" s="5">
        <v>1</v>
      </c>
      <c r="C3282" s="5">
        <v>1</v>
      </c>
      <c r="D3282" s="5" t="s">
        <v>484</v>
      </c>
      <c r="E3282" s="5" t="s">
        <v>878</v>
      </c>
      <c r="F3282" s="5" t="s">
        <v>248</v>
      </c>
      <c r="G3282" s="5" t="s">
        <v>4511</v>
      </c>
      <c r="H3282" s="6" t="s">
        <v>4512</v>
      </c>
      <c r="I3282" s="8">
        <f>1</f>
        <v>1</v>
      </c>
      <c r="J3282" s="5" t="s">
        <v>499</v>
      </c>
      <c r="K3282" s="8">
        <f>1</f>
        <v>1</v>
      </c>
      <c r="L3282" s="6" t="s">
        <v>242</v>
      </c>
      <c r="M3282" s="5" t="s">
        <v>267</v>
      </c>
      <c r="N3282" s="5" t="s">
        <v>482</v>
      </c>
      <c r="O3282" s="5" t="s">
        <v>238</v>
      </c>
      <c r="P3282" s="5" t="s">
        <v>238</v>
      </c>
      <c r="Q3282" s="5" t="s">
        <v>239</v>
      </c>
      <c r="R3282" s="5" t="s">
        <v>270</v>
      </c>
      <c r="S3282" s="5" t="s">
        <v>238</v>
      </c>
      <c r="T3282" s="5" t="s">
        <v>238</v>
      </c>
      <c r="U3282" s="5" t="s">
        <v>238</v>
      </c>
      <c r="V3282" s="5" t="s">
        <v>238</v>
      </c>
      <c r="W3282" s="6" t="s">
        <v>238</v>
      </c>
      <c r="X3282" s="6" t="s">
        <v>238</v>
      </c>
      <c r="Y3282" s="5" t="s">
        <v>238</v>
      </c>
      <c r="Z3282" s="6" t="s">
        <v>238</v>
      </c>
      <c r="AA3282" s="6" t="s">
        <v>243</v>
      </c>
      <c r="AB3282" s="5" t="s">
        <v>879</v>
      </c>
      <c r="AC3282" s="5" t="s">
        <v>244</v>
      </c>
      <c r="AD3282" s="5" t="s">
        <v>245</v>
      </c>
      <c r="AE3282" s="5" t="s">
        <v>238</v>
      </c>
      <c r="AF3282" s="5" t="s">
        <v>238</v>
      </c>
      <c r="AG3282" s="5" t="s">
        <v>238</v>
      </c>
      <c r="AH3282" s="5" t="s">
        <v>238</v>
      </c>
      <c r="AI3282" s="5" t="s">
        <v>238</v>
      </c>
      <c r="AJ3282" s="5" t="s">
        <v>238</v>
      </c>
      <c r="AK3282" s="5" t="s">
        <v>238</v>
      </c>
      <c r="AL3282" s="5" t="s">
        <v>238</v>
      </c>
      <c r="AM3282" s="6" t="s">
        <v>238</v>
      </c>
      <c r="AN3282" s="6" t="s">
        <v>238</v>
      </c>
      <c r="AO3282" s="6" t="s">
        <v>238</v>
      </c>
      <c r="AP3282" s="6" t="s">
        <v>238</v>
      </c>
      <c r="AQ3282" s="5" t="s">
        <v>238</v>
      </c>
      <c r="AR3282" s="5" t="s">
        <v>488</v>
      </c>
      <c r="AS3282" s="5" t="s">
        <v>488</v>
      </c>
      <c r="AT3282" s="5" t="s">
        <v>246</v>
      </c>
      <c r="AU3282" s="5" t="s">
        <v>489</v>
      </c>
      <c r="AV3282" s="5" t="s">
        <v>247</v>
      </c>
      <c r="AW3282" s="5" t="s">
        <v>238</v>
      </c>
      <c r="AX3282" s="5" t="s">
        <v>249</v>
      </c>
      <c r="AY3282" s="5" t="s">
        <v>490</v>
      </c>
      <c r="BA3282" s="5" t="s">
        <v>238</v>
      </c>
      <c r="BC3282" s="5" t="s">
        <v>491</v>
      </c>
      <c r="BD3282" s="6" t="s">
        <v>492</v>
      </c>
      <c r="BE3282" s="5" t="s">
        <v>493</v>
      </c>
      <c r="BF3282" s="5" t="s">
        <v>493</v>
      </c>
      <c r="BG3282" s="5" t="s">
        <v>238</v>
      </c>
      <c r="BH3282" s="8">
        <f>1</f>
        <v>1</v>
      </c>
      <c r="BI3282" s="8">
        <f>1</f>
        <v>1</v>
      </c>
      <c r="BJ3282" s="5" t="s">
        <v>253</v>
      </c>
      <c r="BK3282" s="5" t="s">
        <v>254</v>
      </c>
      <c r="BL3282" s="5" t="s">
        <v>238</v>
      </c>
      <c r="BM3282" s="5" t="s">
        <v>238</v>
      </c>
      <c r="BN3282" s="5" t="s">
        <v>238</v>
      </c>
      <c r="BO3282" s="5" t="s">
        <v>238</v>
      </c>
      <c r="BP3282" s="5" t="s">
        <v>238</v>
      </c>
      <c r="BQ3282" s="5" t="s">
        <v>238</v>
      </c>
      <c r="BR3282" s="5" t="s">
        <v>238</v>
      </c>
      <c r="BS3282" s="5" t="s">
        <v>238</v>
      </c>
      <c r="BT3282" s="6" t="s">
        <v>238</v>
      </c>
      <c r="BU3282" s="5" t="s">
        <v>238</v>
      </c>
      <c r="BV3282" s="5" t="s">
        <v>238</v>
      </c>
      <c r="BW3282" s="5" t="s">
        <v>238</v>
      </c>
      <c r="BX3282" s="5" t="s">
        <v>254</v>
      </c>
      <c r="BY3282" s="5" t="s">
        <v>238</v>
      </c>
      <c r="BZ3282" s="5" t="s">
        <v>238</v>
      </c>
      <c r="CA3282" s="5" t="s">
        <v>238</v>
      </c>
      <c r="CB3282" s="5" t="s">
        <v>238</v>
      </c>
      <c r="CC3282" s="5" t="s">
        <v>238</v>
      </c>
      <c r="CD3282" s="5" t="s">
        <v>273</v>
      </c>
      <c r="CE3282" s="5" t="s">
        <v>256</v>
      </c>
      <c r="CF3282" s="5" t="s">
        <v>238</v>
      </c>
      <c r="CH3282" s="5" t="s">
        <v>494</v>
      </c>
      <c r="CI3282" s="6" t="s">
        <v>257</v>
      </c>
      <c r="CJ3282" s="5" t="s">
        <v>495</v>
      </c>
      <c r="CK3282" s="5" t="s">
        <v>258</v>
      </c>
      <c r="CL3282" s="5" t="s">
        <v>496</v>
      </c>
      <c r="CM3282" s="5" t="s">
        <v>238</v>
      </c>
      <c r="CN3282" s="5">
        <v>0</v>
      </c>
      <c r="CO3282" s="5" t="s">
        <v>497</v>
      </c>
      <c r="CP3282" s="5" t="s">
        <v>260</v>
      </c>
      <c r="CQ3282" s="5" t="s">
        <v>260</v>
      </c>
      <c r="CR3282" s="5" t="s">
        <v>261</v>
      </c>
      <c r="CS3282" s="5" t="s">
        <v>498</v>
      </c>
      <c r="CT3282" s="7">
        <f>1</f>
        <v>1</v>
      </c>
      <c r="CU3282" s="8">
        <f>1</f>
        <v>1</v>
      </c>
      <c r="CV3282" s="8">
        <f>0</f>
        <v>0</v>
      </c>
      <c r="CX3282" s="8">
        <f>1</f>
        <v>1</v>
      </c>
      <c r="CY3282" s="8">
        <f>1</f>
        <v>1</v>
      </c>
      <c r="CZ3282" s="8" t="s">
        <v>238</v>
      </c>
      <c r="DA3282" s="5" t="s">
        <v>238</v>
      </c>
      <c r="DB3282" s="5" t="s">
        <v>238</v>
      </c>
      <c r="DC3282" s="5" t="s">
        <v>238</v>
      </c>
      <c r="DD3282" s="5" t="s">
        <v>238</v>
      </c>
      <c r="DE3282" s="8">
        <f>0</f>
        <v>0</v>
      </c>
      <c r="DG3282" s="5" t="s">
        <v>238</v>
      </c>
      <c r="DH3282" s="5" t="s">
        <v>238</v>
      </c>
      <c r="DI3282" s="5" t="s">
        <v>238</v>
      </c>
      <c r="DJ3282" s="5" t="s">
        <v>238</v>
      </c>
      <c r="DK3282" s="5" t="s">
        <v>238</v>
      </c>
      <c r="DL3282" s="5" t="s">
        <v>238</v>
      </c>
      <c r="DM3282" s="8" t="s">
        <v>238</v>
      </c>
      <c r="DN3282" s="5" t="s">
        <v>238</v>
      </c>
      <c r="DO3282" s="5" t="s">
        <v>238</v>
      </c>
      <c r="DP3282" s="5" t="s">
        <v>490</v>
      </c>
      <c r="DQ3282" s="5" t="s">
        <v>490</v>
      </c>
      <c r="DR3282" s="5" t="s">
        <v>238</v>
      </c>
      <c r="DS3282" s="5" t="s">
        <v>238</v>
      </c>
      <c r="DT3282" s="5" t="s">
        <v>881</v>
      </c>
      <c r="DU3282" s="5" t="s">
        <v>984</v>
      </c>
      <c r="DV3282" s="5" t="s">
        <v>238</v>
      </c>
      <c r="DW3282" s="5" t="s">
        <v>238</v>
      </c>
      <c r="DX3282" s="5" t="s">
        <v>238</v>
      </c>
      <c r="DY3282" s="5" t="s">
        <v>238</v>
      </c>
      <c r="DZ3282" s="5" t="s">
        <v>238</v>
      </c>
      <c r="EA3282" s="5" t="s">
        <v>238</v>
      </c>
      <c r="EB3282" s="5" t="s">
        <v>238</v>
      </c>
      <c r="EC3282" s="5" t="s">
        <v>238</v>
      </c>
      <c r="ED3282" s="5" t="s">
        <v>238</v>
      </c>
      <c r="EE3282" s="5" t="s">
        <v>238</v>
      </c>
      <c r="EF3282" s="5" t="s">
        <v>238</v>
      </c>
      <c r="EG3282" s="5" t="s">
        <v>238</v>
      </c>
      <c r="EH3282" s="5" t="s">
        <v>238</v>
      </c>
      <c r="EI3282" s="5" t="s">
        <v>238</v>
      </c>
      <c r="EJ3282" s="5" t="s">
        <v>238</v>
      </c>
      <c r="EK3282" s="5" t="s">
        <v>238</v>
      </c>
      <c r="EL3282" s="5" t="s">
        <v>238</v>
      </c>
      <c r="EM3282" s="5" t="s">
        <v>238</v>
      </c>
      <c r="EN3282" s="5" t="s">
        <v>238</v>
      </c>
      <c r="EO3282" s="5" t="s">
        <v>238</v>
      </c>
      <c r="EP3282" s="5" t="s">
        <v>238</v>
      </c>
      <c r="EQ3282" s="5" t="s">
        <v>238</v>
      </c>
      <c r="ER3282" s="5" t="s">
        <v>238</v>
      </c>
      <c r="ES3282" s="5" t="s">
        <v>238</v>
      </c>
      <c r="ET3282" s="5" t="s">
        <v>238</v>
      </c>
      <c r="EU3282" s="5" t="s">
        <v>238</v>
      </c>
      <c r="EV3282" s="5" t="s">
        <v>238</v>
      </c>
      <c r="EW3282" s="5" t="s">
        <v>238</v>
      </c>
      <c r="EX3282" s="5" t="s">
        <v>238</v>
      </c>
      <c r="EY3282" s="5" t="s">
        <v>238</v>
      </c>
      <c r="EZ3282" s="5" t="s">
        <v>238</v>
      </c>
      <c r="FA3282" s="5" t="s">
        <v>238</v>
      </c>
      <c r="FB3282" s="5" t="s">
        <v>238</v>
      </c>
      <c r="FC3282" s="5" t="s">
        <v>238</v>
      </c>
      <c r="FD3282" s="5" t="s">
        <v>238</v>
      </c>
      <c r="FE3282" s="5" t="s">
        <v>238</v>
      </c>
      <c r="FF3282" s="5" t="s">
        <v>238</v>
      </c>
      <c r="FG3282" s="5" t="s">
        <v>238</v>
      </c>
      <c r="FH3282" s="5" t="s">
        <v>238</v>
      </c>
      <c r="FI3282" s="5" t="s">
        <v>238</v>
      </c>
      <c r="FJ3282" s="5" t="s">
        <v>238</v>
      </c>
      <c r="FK3282" s="5" t="s">
        <v>238</v>
      </c>
      <c r="FL3282" s="5" t="s">
        <v>238</v>
      </c>
      <c r="FM3282" s="5" t="s">
        <v>238</v>
      </c>
      <c r="FN3282" s="5" t="s">
        <v>238</v>
      </c>
      <c r="FO3282" s="5" t="s">
        <v>238</v>
      </c>
      <c r="FP3282" s="5" t="s">
        <v>238</v>
      </c>
      <c r="FQ3282" s="5" t="s">
        <v>238</v>
      </c>
      <c r="FR3282" s="5" t="s">
        <v>238</v>
      </c>
      <c r="FS3282" s="5" t="s">
        <v>238</v>
      </c>
      <c r="FT3282" s="5" t="s">
        <v>238</v>
      </c>
      <c r="FU3282" s="5" t="s">
        <v>238</v>
      </c>
      <c r="FV3282" s="5" t="s">
        <v>238</v>
      </c>
      <c r="FW3282" s="5" t="s">
        <v>238</v>
      </c>
      <c r="FX3282" s="5" t="s">
        <v>238</v>
      </c>
      <c r="FY3282" s="5" t="s">
        <v>238</v>
      </c>
      <c r="FZ3282" s="5" t="s">
        <v>238</v>
      </c>
      <c r="GA3282" s="5" t="s">
        <v>238</v>
      </c>
      <c r="GB3282" s="5" t="s">
        <v>238</v>
      </c>
      <c r="GC3282" s="5" t="s">
        <v>238</v>
      </c>
      <c r="GD3282" s="5" t="s">
        <v>238</v>
      </c>
      <c r="GE3282" s="5" t="s">
        <v>238</v>
      </c>
      <c r="GF3282" s="5" t="s">
        <v>238</v>
      </c>
      <c r="GG3282" s="5" t="s">
        <v>238</v>
      </c>
      <c r="GH3282" s="5" t="s">
        <v>238</v>
      </c>
      <c r="GI3282" s="5" t="s">
        <v>238</v>
      </c>
      <c r="GJ3282" s="5" t="s">
        <v>238</v>
      </c>
      <c r="GK3282" s="5" t="s">
        <v>238</v>
      </c>
      <c r="GL3282" s="5" t="s">
        <v>238</v>
      </c>
      <c r="GM3282" s="5" t="s">
        <v>238</v>
      </c>
      <c r="GN3282" s="5" t="s">
        <v>238</v>
      </c>
      <c r="GO3282" s="5" t="s">
        <v>238</v>
      </c>
      <c r="GP3282" s="5" t="s">
        <v>238</v>
      </c>
      <c r="GQ3282" s="5" t="s">
        <v>238</v>
      </c>
      <c r="GR3282" s="5" t="s">
        <v>238</v>
      </c>
      <c r="GS3282" s="5" t="s">
        <v>238</v>
      </c>
      <c r="GT3282" s="5" t="s">
        <v>238</v>
      </c>
      <c r="GU3282" s="5" t="s">
        <v>238</v>
      </c>
      <c r="GV3282" s="5" t="s">
        <v>238</v>
      </c>
      <c r="GW3282" s="5" t="s">
        <v>238</v>
      </c>
      <c r="GX3282" s="5" t="s">
        <v>238</v>
      </c>
      <c r="GY3282" s="5" t="s">
        <v>238</v>
      </c>
      <c r="GZ3282" s="5" t="s">
        <v>238</v>
      </c>
      <c r="HA3282" s="5" t="s">
        <v>238</v>
      </c>
      <c r="HB3282" s="5" t="s">
        <v>238</v>
      </c>
      <c r="HC3282" s="5" t="s">
        <v>238</v>
      </c>
      <c r="HD3282" s="5" t="s">
        <v>238</v>
      </c>
      <c r="HE3282" s="5" t="s">
        <v>238</v>
      </c>
      <c r="HF3282" s="5" t="s">
        <v>238</v>
      </c>
      <c r="HG3282" s="5" t="s">
        <v>238</v>
      </c>
      <c r="HH3282" s="5" t="s">
        <v>238</v>
      </c>
      <c r="HI3282" s="5" t="s">
        <v>238</v>
      </c>
      <c r="HJ3282" s="5" t="s">
        <v>238</v>
      </c>
      <c r="HK3282" s="5" t="s">
        <v>238</v>
      </c>
      <c r="HL3282" s="5" t="s">
        <v>238</v>
      </c>
      <c r="HM3282" s="5" t="s">
        <v>264</v>
      </c>
      <c r="HN3282" s="5" t="s">
        <v>238</v>
      </c>
      <c r="HO3282" s="5" t="s">
        <v>238</v>
      </c>
      <c r="HP3282" s="5" t="s">
        <v>238</v>
      </c>
      <c r="HQ3282" s="5" t="s">
        <v>238</v>
      </c>
      <c r="HR3282" s="5" t="s">
        <v>238</v>
      </c>
      <c r="HS3282" s="5" t="s">
        <v>238</v>
      </c>
      <c r="HT3282" s="5" t="s">
        <v>238</v>
      </c>
      <c r="HU3282" s="5" t="s">
        <v>238</v>
      </c>
      <c r="HV3282" s="5" t="s">
        <v>238</v>
      </c>
      <c r="HW3282" s="5" t="s">
        <v>238</v>
      </c>
      <c r="HX3282" s="5" t="s">
        <v>238</v>
      </c>
      <c r="HY3282" s="5" t="s">
        <v>238</v>
      </c>
      <c r="HZ3282" s="5" t="s">
        <v>238</v>
      </c>
      <c r="IA3282" s="5" t="s">
        <v>238</v>
      </c>
      <c r="IB3282" s="5" t="s">
        <v>238</v>
      </c>
      <c r="IC3282" s="5" t="s">
        <v>238</v>
      </c>
      <c r="ID3282" s="5" t="s">
        <v>238</v>
      </c>
    </row>
    <row r="3283" spans="1:238" x14ac:dyDescent="0.4">
      <c r="A3283" s="5">
        <v>9001</v>
      </c>
      <c r="B3283" s="5">
        <v>1</v>
      </c>
      <c r="C3283" s="5">
        <v>1</v>
      </c>
      <c r="D3283" s="5" t="s">
        <v>484</v>
      </c>
      <c r="E3283" s="5" t="s">
        <v>878</v>
      </c>
      <c r="F3283" s="5" t="s">
        <v>248</v>
      </c>
      <c r="G3283" s="5" t="s">
        <v>3924</v>
      </c>
      <c r="H3283" s="6" t="s">
        <v>3925</v>
      </c>
      <c r="I3283" s="8">
        <f>1</f>
        <v>1</v>
      </c>
      <c r="J3283" s="5" t="s">
        <v>499</v>
      </c>
      <c r="K3283" s="8">
        <f>1</f>
        <v>1</v>
      </c>
      <c r="L3283" s="6" t="s">
        <v>242</v>
      </c>
      <c r="M3283" s="5" t="s">
        <v>267</v>
      </c>
      <c r="N3283" s="5" t="s">
        <v>482</v>
      </c>
      <c r="O3283" s="5" t="s">
        <v>238</v>
      </c>
      <c r="P3283" s="5" t="s">
        <v>238</v>
      </c>
      <c r="Q3283" s="5" t="s">
        <v>239</v>
      </c>
      <c r="R3283" s="5" t="s">
        <v>270</v>
      </c>
      <c r="S3283" s="5" t="s">
        <v>238</v>
      </c>
      <c r="T3283" s="5" t="s">
        <v>238</v>
      </c>
      <c r="U3283" s="5" t="s">
        <v>238</v>
      </c>
      <c r="V3283" s="5" t="s">
        <v>238</v>
      </c>
      <c r="W3283" s="6" t="s">
        <v>238</v>
      </c>
      <c r="X3283" s="6" t="s">
        <v>238</v>
      </c>
      <c r="Y3283" s="5" t="s">
        <v>238</v>
      </c>
      <c r="Z3283" s="6" t="s">
        <v>238</v>
      </c>
      <c r="AA3283" s="6" t="s">
        <v>243</v>
      </c>
      <c r="AB3283" s="5" t="s">
        <v>879</v>
      </c>
      <c r="AC3283" s="5" t="s">
        <v>244</v>
      </c>
      <c r="AD3283" s="5" t="s">
        <v>245</v>
      </c>
      <c r="AE3283" s="5" t="s">
        <v>238</v>
      </c>
      <c r="AF3283" s="5" t="s">
        <v>238</v>
      </c>
      <c r="AG3283" s="5" t="s">
        <v>238</v>
      </c>
      <c r="AH3283" s="5" t="s">
        <v>238</v>
      </c>
      <c r="AI3283" s="5" t="s">
        <v>238</v>
      </c>
      <c r="AJ3283" s="5" t="s">
        <v>238</v>
      </c>
      <c r="AK3283" s="5" t="s">
        <v>238</v>
      </c>
      <c r="AL3283" s="5" t="s">
        <v>238</v>
      </c>
      <c r="AM3283" s="6" t="s">
        <v>238</v>
      </c>
      <c r="AN3283" s="6" t="s">
        <v>238</v>
      </c>
      <c r="AO3283" s="6" t="s">
        <v>238</v>
      </c>
      <c r="AP3283" s="6" t="s">
        <v>238</v>
      </c>
      <c r="AQ3283" s="5" t="s">
        <v>238</v>
      </c>
      <c r="AR3283" s="5" t="s">
        <v>488</v>
      </c>
      <c r="AS3283" s="5" t="s">
        <v>488</v>
      </c>
      <c r="AT3283" s="5" t="s">
        <v>246</v>
      </c>
      <c r="AU3283" s="5" t="s">
        <v>489</v>
      </c>
      <c r="AV3283" s="5" t="s">
        <v>247</v>
      </c>
      <c r="AW3283" s="5" t="s">
        <v>238</v>
      </c>
      <c r="AX3283" s="5" t="s">
        <v>249</v>
      </c>
      <c r="AY3283" s="5" t="s">
        <v>490</v>
      </c>
      <c r="BA3283" s="5" t="s">
        <v>238</v>
      </c>
      <c r="BC3283" s="5" t="s">
        <v>491</v>
      </c>
      <c r="BD3283" s="6" t="s">
        <v>492</v>
      </c>
      <c r="BE3283" s="5" t="s">
        <v>493</v>
      </c>
      <c r="BF3283" s="5" t="s">
        <v>493</v>
      </c>
      <c r="BG3283" s="5" t="s">
        <v>238</v>
      </c>
      <c r="BH3283" s="8">
        <f>1</f>
        <v>1</v>
      </c>
      <c r="BI3283" s="8">
        <f>1</f>
        <v>1</v>
      </c>
      <c r="BJ3283" s="5" t="s">
        <v>253</v>
      </c>
      <c r="BK3283" s="5" t="s">
        <v>254</v>
      </c>
      <c r="BL3283" s="5" t="s">
        <v>238</v>
      </c>
      <c r="BM3283" s="5" t="s">
        <v>238</v>
      </c>
      <c r="BN3283" s="5" t="s">
        <v>238</v>
      </c>
      <c r="BO3283" s="5" t="s">
        <v>238</v>
      </c>
      <c r="BP3283" s="5" t="s">
        <v>238</v>
      </c>
      <c r="BQ3283" s="5" t="s">
        <v>238</v>
      </c>
      <c r="BR3283" s="5" t="s">
        <v>238</v>
      </c>
      <c r="BS3283" s="5" t="s">
        <v>238</v>
      </c>
      <c r="BT3283" s="6" t="s">
        <v>238</v>
      </c>
      <c r="BU3283" s="5" t="s">
        <v>238</v>
      </c>
      <c r="BV3283" s="5" t="s">
        <v>238</v>
      </c>
      <c r="BW3283" s="5" t="s">
        <v>238</v>
      </c>
      <c r="BX3283" s="5" t="s">
        <v>254</v>
      </c>
      <c r="BY3283" s="5" t="s">
        <v>238</v>
      </c>
      <c r="BZ3283" s="5" t="s">
        <v>238</v>
      </c>
      <c r="CA3283" s="5" t="s">
        <v>238</v>
      </c>
      <c r="CB3283" s="5" t="s">
        <v>238</v>
      </c>
      <c r="CC3283" s="5" t="s">
        <v>238</v>
      </c>
      <c r="CD3283" s="5" t="s">
        <v>273</v>
      </c>
      <c r="CE3283" s="5" t="s">
        <v>256</v>
      </c>
      <c r="CF3283" s="5" t="s">
        <v>238</v>
      </c>
      <c r="CH3283" s="5" t="s">
        <v>494</v>
      </c>
      <c r="CI3283" s="6" t="s">
        <v>257</v>
      </c>
      <c r="CJ3283" s="5" t="s">
        <v>495</v>
      </c>
      <c r="CK3283" s="5" t="s">
        <v>258</v>
      </c>
      <c r="CL3283" s="5" t="s">
        <v>496</v>
      </c>
      <c r="CM3283" s="5" t="s">
        <v>238</v>
      </c>
      <c r="CN3283" s="5">
        <v>0</v>
      </c>
      <c r="CO3283" s="5" t="s">
        <v>497</v>
      </c>
      <c r="CP3283" s="5" t="s">
        <v>260</v>
      </c>
      <c r="CQ3283" s="5" t="s">
        <v>260</v>
      </c>
      <c r="CR3283" s="5" t="s">
        <v>261</v>
      </c>
      <c r="CS3283" s="5" t="s">
        <v>498</v>
      </c>
      <c r="CT3283" s="7">
        <f>1</f>
        <v>1</v>
      </c>
      <c r="CU3283" s="8">
        <f>1</f>
        <v>1</v>
      </c>
      <c r="CV3283" s="8">
        <f>0</f>
        <v>0</v>
      </c>
      <c r="CX3283" s="8">
        <f>1</f>
        <v>1</v>
      </c>
      <c r="CY3283" s="8">
        <f>1</f>
        <v>1</v>
      </c>
      <c r="CZ3283" s="8" t="s">
        <v>238</v>
      </c>
      <c r="DA3283" s="5" t="s">
        <v>238</v>
      </c>
      <c r="DB3283" s="5" t="s">
        <v>238</v>
      </c>
      <c r="DC3283" s="5" t="s">
        <v>238</v>
      </c>
      <c r="DD3283" s="5" t="s">
        <v>238</v>
      </c>
      <c r="DE3283" s="8">
        <f>0</f>
        <v>0</v>
      </c>
      <c r="DG3283" s="5" t="s">
        <v>238</v>
      </c>
      <c r="DH3283" s="5" t="s">
        <v>238</v>
      </c>
      <c r="DI3283" s="5" t="s">
        <v>238</v>
      </c>
      <c r="DJ3283" s="5" t="s">
        <v>238</v>
      </c>
      <c r="DK3283" s="5" t="s">
        <v>238</v>
      </c>
      <c r="DL3283" s="5" t="s">
        <v>238</v>
      </c>
      <c r="DM3283" s="8" t="s">
        <v>238</v>
      </c>
      <c r="DN3283" s="5" t="s">
        <v>238</v>
      </c>
      <c r="DO3283" s="5" t="s">
        <v>238</v>
      </c>
      <c r="DP3283" s="5" t="s">
        <v>490</v>
      </c>
      <c r="DQ3283" s="5" t="s">
        <v>490</v>
      </c>
      <c r="DR3283" s="5" t="s">
        <v>238</v>
      </c>
      <c r="DS3283" s="5" t="s">
        <v>238</v>
      </c>
      <c r="DT3283" s="5" t="s">
        <v>881</v>
      </c>
      <c r="DU3283" s="5" t="s">
        <v>839</v>
      </c>
      <c r="DV3283" s="5" t="s">
        <v>238</v>
      </c>
      <c r="DW3283" s="5" t="s">
        <v>238</v>
      </c>
      <c r="DX3283" s="5" t="s">
        <v>238</v>
      </c>
      <c r="DY3283" s="5" t="s">
        <v>238</v>
      </c>
      <c r="DZ3283" s="5" t="s">
        <v>238</v>
      </c>
      <c r="EA3283" s="5" t="s">
        <v>238</v>
      </c>
      <c r="EB3283" s="5" t="s">
        <v>238</v>
      </c>
      <c r="EC3283" s="5" t="s">
        <v>238</v>
      </c>
      <c r="ED3283" s="5" t="s">
        <v>238</v>
      </c>
      <c r="EE3283" s="5" t="s">
        <v>238</v>
      </c>
      <c r="EF3283" s="5" t="s">
        <v>238</v>
      </c>
      <c r="EG3283" s="5" t="s">
        <v>238</v>
      </c>
      <c r="EH3283" s="5" t="s">
        <v>238</v>
      </c>
      <c r="EI3283" s="5" t="s">
        <v>238</v>
      </c>
      <c r="EJ3283" s="5" t="s">
        <v>238</v>
      </c>
      <c r="EK3283" s="5" t="s">
        <v>238</v>
      </c>
      <c r="EL3283" s="5" t="s">
        <v>238</v>
      </c>
      <c r="EM3283" s="5" t="s">
        <v>238</v>
      </c>
      <c r="EN3283" s="5" t="s">
        <v>238</v>
      </c>
      <c r="EO3283" s="5" t="s">
        <v>238</v>
      </c>
      <c r="EP3283" s="5" t="s">
        <v>238</v>
      </c>
      <c r="EQ3283" s="5" t="s">
        <v>238</v>
      </c>
      <c r="ER3283" s="5" t="s">
        <v>238</v>
      </c>
      <c r="ES3283" s="5" t="s">
        <v>238</v>
      </c>
      <c r="ET3283" s="5" t="s">
        <v>238</v>
      </c>
      <c r="EU3283" s="5" t="s">
        <v>238</v>
      </c>
      <c r="EV3283" s="5" t="s">
        <v>238</v>
      </c>
      <c r="EW3283" s="5" t="s">
        <v>238</v>
      </c>
      <c r="EX3283" s="5" t="s">
        <v>238</v>
      </c>
      <c r="EY3283" s="5" t="s">
        <v>238</v>
      </c>
      <c r="EZ3283" s="5" t="s">
        <v>238</v>
      </c>
      <c r="FA3283" s="5" t="s">
        <v>238</v>
      </c>
      <c r="FB3283" s="5" t="s">
        <v>238</v>
      </c>
      <c r="FC3283" s="5" t="s">
        <v>238</v>
      </c>
      <c r="FD3283" s="5" t="s">
        <v>238</v>
      </c>
      <c r="FE3283" s="5" t="s">
        <v>238</v>
      </c>
      <c r="FF3283" s="5" t="s">
        <v>238</v>
      </c>
      <c r="FG3283" s="5" t="s">
        <v>238</v>
      </c>
      <c r="FH3283" s="5" t="s">
        <v>238</v>
      </c>
      <c r="FI3283" s="5" t="s">
        <v>238</v>
      </c>
      <c r="FJ3283" s="5" t="s">
        <v>238</v>
      </c>
      <c r="FK3283" s="5" t="s">
        <v>238</v>
      </c>
      <c r="FL3283" s="5" t="s">
        <v>238</v>
      </c>
      <c r="FM3283" s="5" t="s">
        <v>238</v>
      </c>
      <c r="FN3283" s="5" t="s">
        <v>238</v>
      </c>
      <c r="FO3283" s="5" t="s">
        <v>238</v>
      </c>
      <c r="FP3283" s="5" t="s">
        <v>238</v>
      </c>
      <c r="FQ3283" s="5" t="s">
        <v>238</v>
      </c>
      <c r="FR3283" s="5" t="s">
        <v>238</v>
      </c>
      <c r="FS3283" s="5" t="s">
        <v>238</v>
      </c>
      <c r="FT3283" s="5" t="s">
        <v>238</v>
      </c>
      <c r="FU3283" s="5" t="s">
        <v>238</v>
      </c>
      <c r="FV3283" s="5" t="s">
        <v>238</v>
      </c>
      <c r="FW3283" s="5" t="s">
        <v>238</v>
      </c>
      <c r="FX3283" s="5" t="s">
        <v>238</v>
      </c>
      <c r="FY3283" s="5" t="s">
        <v>238</v>
      </c>
      <c r="FZ3283" s="5" t="s">
        <v>238</v>
      </c>
      <c r="GA3283" s="5" t="s">
        <v>238</v>
      </c>
      <c r="GB3283" s="5" t="s">
        <v>238</v>
      </c>
      <c r="GC3283" s="5" t="s">
        <v>238</v>
      </c>
      <c r="GD3283" s="5" t="s">
        <v>238</v>
      </c>
      <c r="GE3283" s="5" t="s">
        <v>238</v>
      </c>
      <c r="GF3283" s="5" t="s">
        <v>238</v>
      </c>
      <c r="GG3283" s="5" t="s">
        <v>238</v>
      </c>
      <c r="GH3283" s="5" t="s">
        <v>238</v>
      </c>
      <c r="GI3283" s="5" t="s">
        <v>238</v>
      </c>
      <c r="GJ3283" s="5" t="s">
        <v>238</v>
      </c>
      <c r="GK3283" s="5" t="s">
        <v>238</v>
      </c>
      <c r="GL3283" s="5" t="s">
        <v>238</v>
      </c>
      <c r="GM3283" s="5" t="s">
        <v>238</v>
      </c>
      <c r="GN3283" s="5" t="s">
        <v>238</v>
      </c>
      <c r="GO3283" s="5" t="s">
        <v>238</v>
      </c>
      <c r="GP3283" s="5" t="s">
        <v>238</v>
      </c>
      <c r="GQ3283" s="5" t="s">
        <v>238</v>
      </c>
      <c r="GR3283" s="5" t="s">
        <v>238</v>
      </c>
      <c r="GS3283" s="5" t="s">
        <v>238</v>
      </c>
      <c r="GT3283" s="5" t="s">
        <v>238</v>
      </c>
      <c r="GU3283" s="5" t="s">
        <v>238</v>
      </c>
      <c r="GV3283" s="5" t="s">
        <v>238</v>
      </c>
      <c r="GW3283" s="5" t="s">
        <v>238</v>
      </c>
      <c r="GX3283" s="5" t="s">
        <v>238</v>
      </c>
      <c r="GY3283" s="5" t="s">
        <v>238</v>
      </c>
      <c r="GZ3283" s="5" t="s">
        <v>238</v>
      </c>
      <c r="HA3283" s="5" t="s">
        <v>238</v>
      </c>
      <c r="HB3283" s="5" t="s">
        <v>238</v>
      </c>
      <c r="HC3283" s="5" t="s">
        <v>238</v>
      </c>
      <c r="HD3283" s="5" t="s">
        <v>238</v>
      </c>
      <c r="HE3283" s="5" t="s">
        <v>238</v>
      </c>
      <c r="HF3283" s="5" t="s">
        <v>238</v>
      </c>
      <c r="HG3283" s="5" t="s">
        <v>238</v>
      </c>
      <c r="HH3283" s="5" t="s">
        <v>238</v>
      </c>
      <c r="HI3283" s="5" t="s">
        <v>238</v>
      </c>
      <c r="HJ3283" s="5" t="s">
        <v>238</v>
      </c>
      <c r="HK3283" s="5" t="s">
        <v>238</v>
      </c>
      <c r="HL3283" s="5" t="s">
        <v>238</v>
      </c>
      <c r="HM3283" s="5" t="s">
        <v>264</v>
      </c>
      <c r="HN3283" s="5" t="s">
        <v>238</v>
      </c>
      <c r="HO3283" s="5" t="s">
        <v>238</v>
      </c>
      <c r="HP3283" s="5" t="s">
        <v>238</v>
      </c>
      <c r="HQ3283" s="5" t="s">
        <v>238</v>
      </c>
      <c r="HR3283" s="5" t="s">
        <v>238</v>
      </c>
      <c r="HS3283" s="5" t="s">
        <v>238</v>
      </c>
      <c r="HT3283" s="5" t="s">
        <v>238</v>
      </c>
      <c r="HU3283" s="5" t="s">
        <v>238</v>
      </c>
      <c r="HV3283" s="5" t="s">
        <v>238</v>
      </c>
      <c r="HW3283" s="5" t="s">
        <v>238</v>
      </c>
      <c r="HX3283" s="5" t="s">
        <v>238</v>
      </c>
      <c r="HY3283" s="5" t="s">
        <v>238</v>
      </c>
      <c r="HZ3283" s="5" t="s">
        <v>238</v>
      </c>
      <c r="IA3283" s="5" t="s">
        <v>238</v>
      </c>
      <c r="IB3283" s="5" t="s">
        <v>238</v>
      </c>
      <c r="IC3283" s="5" t="s">
        <v>238</v>
      </c>
      <c r="ID3283" s="5" t="s">
        <v>238</v>
      </c>
    </row>
    <row r="3284" spans="1:238" x14ac:dyDescent="0.4">
      <c r="A3284" s="5">
        <v>9002</v>
      </c>
      <c r="B3284" s="5">
        <v>1</v>
      </c>
      <c r="C3284" s="5">
        <v>1</v>
      </c>
      <c r="D3284" s="5" t="s">
        <v>484</v>
      </c>
      <c r="E3284" s="5" t="s">
        <v>878</v>
      </c>
      <c r="F3284" s="5" t="s">
        <v>248</v>
      </c>
      <c r="G3284" s="5" t="s">
        <v>5377</v>
      </c>
      <c r="H3284" s="6" t="s">
        <v>5378</v>
      </c>
      <c r="I3284" s="8">
        <f>1</f>
        <v>1</v>
      </c>
      <c r="J3284" s="5" t="s">
        <v>499</v>
      </c>
      <c r="K3284" s="8">
        <f>1</f>
        <v>1</v>
      </c>
      <c r="L3284" s="6" t="s">
        <v>242</v>
      </c>
      <c r="M3284" s="5" t="s">
        <v>267</v>
      </c>
      <c r="N3284" s="5" t="s">
        <v>482</v>
      </c>
      <c r="O3284" s="5" t="s">
        <v>238</v>
      </c>
      <c r="P3284" s="5" t="s">
        <v>238</v>
      </c>
      <c r="Q3284" s="5" t="s">
        <v>239</v>
      </c>
      <c r="R3284" s="5" t="s">
        <v>270</v>
      </c>
      <c r="S3284" s="5" t="s">
        <v>238</v>
      </c>
      <c r="T3284" s="5" t="s">
        <v>238</v>
      </c>
      <c r="U3284" s="5" t="s">
        <v>238</v>
      </c>
      <c r="V3284" s="5" t="s">
        <v>238</v>
      </c>
      <c r="W3284" s="6" t="s">
        <v>238</v>
      </c>
      <c r="X3284" s="6" t="s">
        <v>238</v>
      </c>
      <c r="Y3284" s="5" t="s">
        <v>238</v>
      </c>
      <c r="Z3284" s="6" t="s">
        <v>238</v>
      </c>
      <c r="AA3284" s="6" t="s">
        <v>243</v>
      </c>
      <c r="AB3284" s="5" t="s">
        <v>879</v>
      </c>
      <c r="AC3284" s="5" t="s">
        <v>244</v>
      </c>
      <c r="AD3284" s="5" t="s">
        <v>245</v>
      </c>
      <c r="AE3284" s="5" t="s">
        <v>238</v>
      </c>
      <c r="AF3284" s="5" t="s">
        <v>238</v>
      </c>
      <c r="AG3284" s="5" t="s">
        <v>238</v>
      </c>
      <c r="AH3284" s="5" t="s">
        <v>238</v>
      </c>
      <c r="AI3284" s="5" t="s">
        <v>238</v>
      </c>
      <c r="AJ3284" s="5" t="s">
        <v>238</v>
      </c>
      <c r="AK3284" s="5" t="s">
        <v>238</v>
      </c>
      <c r="AL3284" s="5" t="s">
        <v>238</v>
      </c>
      <c r="AM3284" s="6" t="s">
        <v>238</v>
      </c>
      <c r="AN3284" s="6" t="s">
        <v>238</v>
      </c>
      <c r="AO3284" s="6" t="s">
        <v>238</v>
      </c>
      <c r="AP3284" s="6" t="s">
        <v>238</v>
      </c>
      <c r="AQ3284" s="5" t="s">
        <v>238</v>
      </c>
      <c r="AR3284" s="5" t="s">
        <v>488</v>
      </c>
      <c r="AS3284" s="5" t="s">
        <v>488</v>
      </c>
      <c r="AT3284" s="5" t="s">
        <v>246</v>
      </c>
      <c r="AU3284" s="5" t="s">
        <v>489</v>
      </c>
      <c r="AV3284" s="5" t="s">
        <v>247</v>
      </c>
      <c r="AW3284" s="5" t="s">
        <v>238</v>
      </c>
      <c r="AX3284" s="5" t="s">
        <v>249</v>
      </c>
      <c r="AY3284" s="5" t="s">
        <v>490</v>
      </c>
      <c r="BA3284" s="5" t="s">
        <v>238</v>
      </c>
      <c r="BC3284" s="5" t="s">
        <v>491</v>
      </c>
      <c r="BD3284" s="6" t="s">
        <v>492</v>
      </c>
      <c r="BE3284" s="5" t="s">
        <v>493</v>
      </c>
      <c r="BF3284" s="5" t="s">
        <v>493</v>
      </c>
      <c r="BG3284" s="5" t="s">
        <v>238</v>
      </c>
      <c r="BH3284" s="8">
        <f>1</f>
        <v>1</v>
      </c>
      <c r="BI3284" s="8">
        <f>1</f>
        <v>1</v>
      </c>
      <c r="BJ3284" s="5" t="s">
        <v>253</v>
      </c>
      <c r="BK3284" s="5" t="s">
        <v>254</v>
      </c>
      <c r="BL3284" s="5" t="s">
        <v>238</v>
      </c>
      <c r="BM3284" s="5" t="s">
        <v>238</v>
      </c>
      <c r="BN3284" s="5" t="s">
        <v>238</v>
      </c>
      <c r="BO3284" s="5" t="s">
        <v>238</v>
      </c>
      <c r="BP3284" s="5" t="s">
        <v>238</v>
      </c>
      <c r="BQ3284" s="5" t="s">
        <v>238</v>
      </c>
      <c r="BR3284" s="5" t="s">
        <v>238</v>
      </c>
      <c r="BS3284" s="5" t="s">
        <v>238</v>
      </c>
      <c r="BT3284" s="6" t="s">
        <v>238</v>
      </c>
      <c r="BU3284" s="5" t="s">
        <v>238</v>
      </c>
      <c r="BV3284" s="5" t="s">
        <v>238</v>
      </c>
      <c r="BW3284" s="5" t="s">
        <v>238</v>
      </c>
      <c r="BX3284" s="5" t="s">
        <v>254</v>
      </c>
      <c r="BY3284" s="5" t="s">
        <v>238</v>
      </c>
      <c r="BZ3284" s="5" t="s">
        <v>238</v>
      </c>
      <c r="CA3284" s="5" t="s">
        <v>238</v>
      </c>
      <c r="CB3284" s="5" t="s">
        <v>238</v>
      </c>
      <c r="CC3284" s="5" t="s">
        <v>238</v>
      </c>
      <c r="CD3284" s="5" t="s">
        <v>273</v>
      </c>
      <c r="CE3284" s="5" t="s">
        <v>256</v>
      </c>
      <c r="CF3284" s="5" t="s">
        <v>238</v>
      </c>
      <c r="CH3284" s="5" t="s">
        <v>494</v>
      </c>
      <c r="CI3284" s="6" t="s">
        <v>257</v>
      </c>
      <c r="CJ3284" s="5" t="s">
        <v>495</v>
      </c>
      <c r="CK3284" s="5" t="s">
        <v>258</v>
      </c>
      <c r="CL3284" s="5" t="s">
        <v>496</v>
      </c>
      <c r="CM3284" s="5" t="s">
        <v>238</v>
      </c>
      <c r="CN3284" s="5">
        <v>0</v>
      </c>
      <c r="CO3284" s="5" t="s">
        <v>497</v>
      </c>
      <c r="CP3284" s="5" t="s">
        <v>260</v>
      </c>
      <c r="CQ3284" s="5" t="s">
        <v>260</v>
      </c>
      <c r="CR3284" s="5" t="s">
        <v>261</v>
      </c>
      <c r="CS3284" s="5" t="s">
        <v>498</v>
      </c>
      <c r="CT3284" s="7">
        <f>1</f>
        <v>1</v>
      </c>
      <c r="CU3284" s="8">
        <f>1</f>
        <v>1</v>
      </c>
      <c r="CV3284" s="8">
        <f>0</f>
        <v>0</v>
      </c>
      <c r="CX3284" s="8">
        <f>1</f>
        <v>1</v>
      </c>
      <c r="CY3284" s="8">
        <f>1</f>
        <v>1</v>
      </c>
      <c r="CZ3284" s="8" t="s">
        <v>238</v>
      </c>
      <c r="DA3284" s="5" t="s">
        <v>238</v>
      </c>
      <c r="DB3284" s="5" t="s">
        <v>238</v>
      </c>
      <c r="DC3284" s="5" t="s">
        <v>238</v>
      </c>
      <c r="DD3284" s="5" t="s">
        <v>238</v>
      </c>
      <c r="DE3284" s="8">
        <f>0</f>
        <v>0</v>
      </c>
      <c r="DG3284" s="5" t="s">
        <v>238</v>
      </c>
      <c r="DH3284" s="5" t="s">
        <v>238</v>
      </c>
      <c r="DI3284" s="5" t="s">
        <v>238</v>
      </c>
      <c r="DJ3284" s="5" t="s">
        <v>238</v>
      </c>
      <c r="DK3284" s="5" t="s">
        <v>238</v>
      </c>
      <c r="DL3284" s="5" t="s">
        <v>238</v>
      </c>
      <c r="DM3284" s="8" t="s">
        <v>238</v>
      </c>
      <c r="DN3284" s="5" t="s">
        <v>238</v>
      </c>
      <c r="DO3284" s="5" t="s">
        <v>238</v>
      </c>
      <c r="DP3284" s="5" t="s">
        <v>490</v>
      </c>
      <c r="DQ3284" s="5" t="s">
        <v>490</v>
      </c>
      <c r="DR3284" s="5" t="s">
        <v>238</v>
      </c>
      <c r="DS3284" s="5" t="s">
        <v>238</v>
      </c>
      <c r="DT3284" s="5" t="s">
        <v>881</v>
      </c>
      <c r="DU3284" s="5" t="s">
        <v>666</v>
      </c>
      <c r="DV3284" s="5" t="s">
        <v>238</v>
      </c>
      <c r="DW3284" s="5" t="s">
        <v>238</v>
      </c>
      <c r="DX3284" s="5" t="s">
        <v>238</v>
      </c>
      <c r="DY3284" s="5" t="s">
        <v>238</v>
      </c>
      <c r="DZ3284" s="5" t="s">
        <v>238</v>
      </c>
      <c r="EA3284" s="5" t="s">
        <v>238</v>
      </c>
      <c r="EB3284" s="5" t="s">
        <v>238</v>
      </c>
      <c r="EC3284" s="5" t="s">
        <v>238</v>
      </c>
      <c r="ED3284" s="5" t="s">
        <v>238</v>
      </c>
      <c r="EE3284" s="5" t="s">
        <v>238</v>
      </c>
      <c r="EF3284" s="5" t="s">
        <v>238</v>
      </c>
      <c r="EG3284" s="5" t="s">
        <v>238</v>
      </c>
      <c r="EH3284" s="5" t="s">
        <v>238</v>
      </c>
      <c r="EI3284" s="5" t="s">
        <v>238</v>
      </c>
      <c r="EJ3284" s="5" t="s">
        <v>238</v>
      </c>
      <c r="EK3284" s="5" t="s">
        <v>238</v>
      </c>
      <c r="EL3284" s="5" t="s">
        <v>238</v>
      </c>
      <c r="EM3284" s="5" t="s">
        <v>238</v>
      </c>
      <c r="EN3284" s="5" t="s">
        <v>238</v>
      </c>
      <c r="EO3284" s="5" t="s">
        <v>238</v>
      </c>
      <c r="EP3284" s="5" t="s">
        <v>238</v>
      </c>
      <c r="EQ3284" s="5" t="s">
        <v>238</v>
      </c>
      <c r="ER3284" s="5" t="s">
        <v>238</v>
      </c>
      <c r="ES3284" s="5" t="s">
        <v>238</v>
      </c>
      <c r="ET3284" s="5" t="s">
        <v>238</v>
      </c>
      <c r="EU3284" s="5" t="s">
        <v>238</v>
      </c>
      <c r="EV3284" s="5" t="s">
        <v>238</v>
      </c>
      <c r="EW3284" s="5" t="s">
        <v>238</v>
      </c>
      <c r="EX3284" s="5" t="s">
        <v>238</v>
      </c>
      <c r="EY3284" s="5" t="s">
        <v>238</v>
      </c>
      <c r="EZ3284" s="5" t="s">
        <v>238</v>
      </c>
      <c r="FA3284" s="5" t="s">
        <v>238</v>
      </c>
      <c r="FB3284" s="5" t="s">
        <v>238</v>
      </c>
      <c r="FC3284" s="5" t="s">
        <v>238</v>
      </c>
      <c r="FD3284" s="5" t="s">
        <v>238</v>
      </c>
      <c r="FE3284" s="5" t="s">
        <v>238</v>
      </c>
      <c r="FF3284" s="5" t="s">
        <v>238</v>
      </c>
      <c r="FG3284" s="5" t="s">
        <v>238</v>
      </c>
      <c r="FH3284" s="5" t="s">
        <v>238</v>
      </c>
      <c r="FI3284" s="5" t="s">
        <v>238</v>
      </c>
      <c r="FJ3284" s="5" t="s">
        <v>238</v>
      </c>
      <c r="FK3284" s="5" t="s">
        <v>238</v>
      </c>
      <c r="FL3284" s="5" t="s">
        <v>238</v>
      </c>
      <c r="FM3284" s="5" t="s">
        <v>238</v>
      </c>
      <c r="FN3284" s="5" t="s">
        <v>238</v>
      </c>
      <c r="FO3284" s="5" t="s">
        <v>238</v>
      </c>
      <c r="FP3284" s="5" t="s">
        <v>238</v>
      </c>
      <c r="FQ3284" s="5" t="s">
        <v>238</v>
      </c>
      <c r="FR3284" s="5" t="s">
        <v>238</v>
      </c>
      <c r="FS3284" s="5" t="s">
        <v>238</v>
      </c>
      <c r="FT3284" s="5" t="s">
        <v>238</v>
      </c>
      <c r="FU3284" s="5" t="s">
        <v>238</v>
      </c>
      <c r="FV3284" s="5" t="s">
        <v>238</v>
      </c>
      <c r="FW3284" s="5" t="s">
        <v>238</v>
      </c>
      <c r="FX3284" s="5" t="s">
        <v>238</v>
      </c>
      <c r="FY3284" s="5" t="s">
        <v>238</v>
      </c>
      <c r="FZ3284" s="5" t="s">
        <v>238</v>
      </c>
      <c r="GA3284" s="5" t="s">
        <v>238</v>
      </c>
      <c r="GB3284" s="5" t="s">
        <v>238</v>
      </c>
      <c r="GC3284" s="5" t="s">
        <v>238</v>
      </c>
      <c r="GD3284" s="5" t="s">
        <v>238</v>
      </c>
      <c r="GE3284" s="5" t="s">
        <v>238</v>
      </c>
      <c r="GF3284" s="5" t="s">
        <v>238</v>
      </c>
      <c r="GG3284" s="5" t="s">
        <v>238</v>
      </c>
      <c r="GH3284" s="5" t="s">
        <v>238</v>
      </c>
      <c r="GI3284" s="5" t="s">
        <v>238</v>
      </c>
      <c r="GJ3284" s="5" t="s">
        <v>238</v>
      </c>
      <c r="GK3284" s="5" t="s">
        <v>238</v>
      </c>
      <c r="GL3284" s="5" t="s">
        <v>238</v>
      </c>
      <c r="GM3284" s="5" t="s">
        <v>238</v>
      </c>
      <c r="GN3284" s="5" t="s">
        <v>238</v>
      </c>
      <c r="GO3284" s="5" t="s">
        <v>238</v>
      </c>
      <c r="GP3284" s="5" t="s">
        <v>238</v>
      </c>
      <c r="GQ3284" s="5" t="s">
        <v>238</v>
      </c>
      <c r="GR3284" s="5" t="s">
        <v>238</v>
      </c>
      <c r="GS3284" s="5" t="s">
        <v>238</v>
      </c>
      <c r="GT3284" s="5" t="s">
        <v>238</v>
      </c>
      <c r="GU3284" s="5" t="s">
        <v>238</v>
      </c>
      <c r="GV3284" s="5" t="s">
        <v>238</v>
      </c>
      <c r="GW3284" s="5" t="s">
        <v>238</v>
      </c>
      <c r="GX3284" s="5" t="s">
        <v>238</v>
      </c>
      <c r="GY3284" s="5" t="s">
        <v>238</v>
      </c>
      <c r="GZ3284" s="5" t="s">
        <v>238</v>
      </c>
      <c r="HA3284" s="5" t="s">
        <v>238</v>
      </c>
      <c r="HB3284" s="5" t="s">
        <v>238</v>
      </c>
      <c r="HC3284" s="5" t="s">
        <v>238</v>
      </c>
      <c r="HD3284" s="5" t="s">
        <v>238</v>
      </c>
      <c r="HE3284" s="5" t="s">
        <v>238</v>
      </c>
      <c r="HF3284" s="5" t="s">
        <v>238</v>
      </c>
      <c r="HG3284" s="5" t="s">
        <v>238</v>
      </c>
      <c r="HH3284" s="5" t="s">
        <v>238</v>
      </c>
      <c r="HI3284" s="5" t="s">
        <v>238</v>
      </c>
      <c r="HJ3284" s="5" t="s">
        <v>238</v>
      </c>
      <c r="HK3284" s="5" t="s">
        <v>238</v>
      </c>
      <c r="HL3284" s="5" t="s">
        <v>238</v>
      </c>
      <c r="HM3284" s="5" t="s">
        <v>264</v>
      </c>
      <c r="HN3284" s="5" t="s">
        <v>238</v>
      </c>
      <c r="HO3284" s="5" t="s">
        <v>238</v>
      </c>
      <c r="HP3284" s="5" t="s">
        <v>238</v>
      </c>
      <c r="HQ3284" s="5" t="s">
        <v>238</v>
      </c>
      <c r="HR3284" s="5" t="s">
        <v>238</v>
      </c>
      <c r="HS3284" s="5" t="s">
        <v>238</v>
      </c>
      <c r="HT3284" s="5" t="s">
        <v>238</v>
      </c>
      <c r="HU3284" s="5" t="s">
        <v>238</v>
      </c>
      <c r="HV3284" s="5" t="s">
        <v>238</v>
      </c>
      <c r="HW3284" s="5" t="s">
        <v>238</v>
      </c>
      <c r="HX3284" s="5" t="s">
        <v>238</v>
      </c>
      <c r="HY3284" s="5" t="s">
        <v>238</v>
      </c>
      <c r="HZ3284" s="5" t="s">
        <v>238</v>
      </c>
      <c r="IA3284" s="5" t="s">
        <v>238</v>
      </c>
      <c r="IB3284" s="5" t="s">
        <v>238</v>
      </c>
      <c r="IC3284" s="5" t="s">
        <v>238</v>
      </c>
      <c r="ID3284" s="5" t="s">
        <v>238</v>
      </c>
    </row>
    <row r="3285" spans="1:238" x14ac:dyDescent="0.4">
      <c r="A3285" s="5">
        <v>9003</v>
      </c>
      <c r="B3285" s="5">
        <v>1</v>
      </c>
      <c r="C3285" s="5">
        <v>1</v>
      </c>
      <c r="D3285" s="5" t="s">
        <v>484</v>
      </c>
      <c r="E3285" s="5" t="s">
        <v>878</v>
      </c>
      <c r="F3285" s="5" t="s">
        <v>248</v>
      </c>
      <c r="G3285" s="5" t="s">
        <v>4909</v>
      </c>
      <c r="H3285" s="6" t="s">
        <v>4910</v>
      </c>
      <c r="I3285" s="8">
        <f>1</f>
        <v>1</v>
      </c>
      <c r="J3285" s="5" t="s">
        <v>499</v>
      </c>
      <c r="K3285" s="8">
        <f>1</f>
        <v>1</v>
      </c>
      <c r="L3285" s="6" t="s">
        <v>242</v>
      </c>
      <c r="M3285" s="5" t="s">
        <v>267</v>
      </c>
      <c r="N3285" s="5" t="s">
        <v>482</v>
      </c>
      <c r="O3285" s="5" t="s">
        <v>238</v>
      </c>
      <c r="P3285" s="5" t="s">
        <v>238</v>
      </c>
      <c r="Q3285" s="5" t="s">
        <v>239</v>
      </c>
      <c r="R3285" s="5" t="s">
        <v>270</v>
      </c>
      <c r="S3285" s="5" t="s">
        <v>238</v>
      </c>
      <c r="T3285" s="5" t="s">
        <v>238</v>
      </c>
      <c r="U3285" s="5" t="s">
        <v>238</v>
      </c>
      <c r="V3285" s="5" t="s">
        <v>238</v>
      </c>
      <c r="W3285" s="6" t="s">
        <v>238</v>
      </c>
      <c r="X3285" s="6" t="s">
        <v>238</v>
      </c>
      <c r="Y3285" s="5" t="s">
        <v>238</v>
      </c>
      <c r="Z3285" s="6" t="s">
        <v>238</v>
      </c>
      <c r="AA3285" s="6" t="s">
        <v>243</v>
      </c>
      <c r="AB3285" s="5" t="s">
        <v>879</v>
      </c>
      <c r="AC3285" s="5" t="s">
        <v>244</v>
      </c>
      <c r="AD3285" s="5" t="s">
        <v>245</v>
      </c>
      <c r="AE3285" s="5" t="s">
        <v>238</v>
      </c>
      <c r="AF3285" s="5" t="s">
        <v>238</v>
      </c>
      <c r="AG3285" s="5" t="s">
        <v>238</v>
      </c>
      <c r="AH3285" s="5" t="s">
        <v>238</v>
      </c>
      <c r="AI3285" s="5" t="s">
        <v>238</v>
      </c>
      <c r="AJ3285" s="5" t="s">
        <v>238</v>
      </c>
      <c r="AK3285" s="5" t="s">
        <v>238</v>
      </c>
      <c r="AL3285" s="5" t="s">
        <v>238</v>
      </c>
      <c r="AM3285" s="6" t="s">
        <v>238</v>
      </c>
      <c r="AN3285" s="6" t="s">
        <v>238</v>
      </c>
      <c r="AO3285" s="6" t="s">
        <v>238</v>
      </c>
      <c r="AP3285" s="6" t="s">
        <v>238</v>
      </c>
      <c r="AQ3285" s="5" t="s">
        <v>238</v>
      </c>
      <c r="AR3285" s="5" t="s">
        <v>488</v>
      </c>
      <c r="AS3285" s="5" t="s">
        <v>488</v>
      </c>
      <c r="AT3285" s="5" t="s">
        <v>246</v>
      </c>
      <c r="AU3285" s="5" t="s">
        <v>489</v>
      </c>
      <c r="AV3285" s="5" t="s">
        <v>247</v>
      </c>
      <c r="AW3285" s="5" t="s">
        <v>238</v>
      </c>
      <c r="AX3285" s="5" t="s">
        <v>249</v>
      </c>
      <c r="AY3285" s="5" t="s">
        <v>490</v>
      </c>
      <c r="BA3285" s="5" t="s">
        <v>238</v>
      </c>
      <c r="BC3285" s="5" t="s">
        <v>491</v>
      </c>
      <c r="BD3285" s="6" t="s">
        <v>492</v>
      </c>
      <c r="BE3285" s="5" t="s">
        <v>493</v>
      </c>
      <c r="BF3285" s="5" t="s">
        <v>493</v>
      </c>
      <c r="BG3285" s="5" t="s">
        <v>238</v>
      </c>
      <c r="BH3285" s="8">
        <f>1</f>
        <v>1</v>
      </c>
      <c r="BI3285" s="8">
        <f>1</f>
        <v>1</v>
      </c>
      <c r="BJ3285" s="5" t="s">
        <v>253</v>
      </c>
      <c r="BK3285" s="5" t="s">
        <v>254</v>
      </c>
      <c r="BL3285" s="5" t="s">
        <v>238</v>
      </c>
      <c r="BM3285" s="5" t="s">
        <v>238</v>
      </c>
      <c r="BN3285" s="5" t="s">
        <v>238</v>
      </c>
      <c r="BO3285" s="5" t="s">
        <v>238</v>
      </c>
      <c r="BP3285" s="5" t="s">
        <v>238</v>
      </c>
      <c r="BQ3285" s="5" t="s">
        <v>238</v>
      </c>
      <c r="BR3285" s="5" t="s">
        <v>238</v>
      </c>
      <c r="BS3285" s="5" t="s">
        <v>238</v>
      </c>
      <c r="BT3285" s="6" t="s">
        <v>238</v>
      </c>
      <c r="BU3285" s="5" t="s">
        <v>238</v>
      </c>
      <c r="BV3285" s="5" t="s">
        <v>238</v>
      </c>
      <c r="BW3285" s="5" t="s">
        <v>238</v>
      </c>
      <c r="BX3285" s="5" t="s">
        <v>254</v>
      </c>
      <c r="BY3285" s="5" t="s">
        <v>238</v>
      </c>
      <c r="BZ3285" s="5" t="s">
        <v>238</v>
      </c>
      <c r="CA3285" s="5" t="s">
        <v>238</v>
      </c>
      <c r="CB3285" s="5" t="s">
        <v>238</v>
      </c>
      <c r="CC3285" s="5" t="s">
        <v>238</v>
      </c>
      <c r="CD3285" s="5" t="s">
        <v>273</v>
      </c>
      <c r="CE3285" s="5" t="s">
        <v>256</v>
      </c>
      <c r="CF3285" s="5" t="s">
        <v>238</v>
      </c>
      <c r="CH3285" s="5" t="s">
        <v>494</v>
      </c>
      <c r="CI3285" s="6" t="s">
        <v>257</v>
      </c>
      <c r="CJ3285" s="5" t="s">
        <v>495</v>
      </c>
      <c r="CK3285" s="5" t="s">
        <v>258</v>
      </c>
      <c r="CL3285" s="5" t="s">
        <v>496</v>
      </c>
      <c r="CM3285" s="5" t="s">
        <v>238</v>
      </c>
      <c r="CN3285" s="5">
        <v>0</v>
      </c>
      <c r="CO3285" s="5" t="s">
        <v>497</v>
      </c>
      <c r="CP3285" s="5" t="s">
        <v>260</v>
      </c>
      <c r="CQ3285" s="5" t="s">
        <v>260</v>
      </c>
      <c r="CR3285" s="5" t="s">
        <v>261</v>
      </c>
      <c r="CS3285" s="5" t="s">
        <v>498</v>
      </c>
      <c r="CT3285" s="7">
        <f>1</f>
        <v>1</v>
      </c>
      <c r="CU3285" s="8">
        <f>1</f>
        <v>1</v>
      </c>
      <c r="CV3285" s="8">
        <f>0</f>
        <v>0</v>
      </c>
      <c r="CX3285" s="8">
        <f>1</f>
        <v>1</v>
      </c>
      <c r="CY3285" s="8">
        <f>1</f>
        <v>1</v>
      </c>
      <c r="CZ3285" s="8" t="s">
        <v>238</v>
      </c>
      <c r="DA3285" s="5" t="s">
        <v>238</v>
      </c>
      <c r="DB3285" s="5" t="s">
        <v>238</v>
      </c>
      <c r="DC3285" s="5" t="s">
        <v>238</v>
      </c>
      <c r="DD3285" s="5" t="s">
        <v>238</v>
      </c>
      <c r="DE3285" s="8">
        <f>0</f>
        <v>0</v>
      </c>
      <c r="DG3285" s="5" t="s">
        <v>238</v>
      </c>
      <c r="DH3285" s="5" t="s">
        <v>238</v>
      </c>
      <c r="DI3285" s="5" t="s">
        <v>238</v>
      </c>
      <c r="DJ3285" s="5" t="s">
        <v>238</v>
      </c>
      <c r="DK3285" s="5" t="s">
        <v>238</v>
      </c>
      <c r="DL3285" s="5" t="s">
        <v>238</v>
      </c>
      <c r="DM3285" s="8" t="s">
        <v>238</v>
      </c>
      <c r="DN3285" s="5" t="s">
        <v>238</v>
      </c>
      <c r="DO3285" s="5" t="s">
        <v>238</v>
      </c>
      <c r="DP3285" s="5" t="s">
        <v>490</v>
      </c>
      <c r="DQ3285" s="5" t="s">
        <v>490</v>
      </c>
      <c r="DR3285" s="5" t="s">
        <v>238</v>
      </c>
      <c r="DS3285" s="5" t="s">
        <v>238</v>
      </c>
      <c r="DT3285" s="5" t="s">
        <v>881</v>
      </c>
      <c r="DU3285" s="5" t="s">
        <v>1158</v>
      </c>
      <c r="DV3285" s="5" t="s">
        <v>238</v>
      </c>
      <c r="DW3285" s="5" t="s">
        <v>238</v>
      </c>
      <c r="DX3285" s="5" t="s">
        <v>238</v>
      </c>
      <c r="DY3285" s="5" t="s">
        <v>238</v>
      </c>
      <c r="DZ3285" s="5" t="s">
        <v>238</v>
      </c>
      <c r="EA3285" s="5" t="s">
        <v>238</v>
      </c>
      <c r="EB3285" s="5" t="s">
        <v>238</v>
      </c>
      <c r="EC3285" s="5" t="s">
        <v>238</v>
      </c>
      <c r="ED3285" s="5" t="s">
        <v>238</v>
      </c>
      <c r="EE3285" s="5" t="s">
        <v>238</v>
      </c>
      <c r="EF3285" s="5" t="s">
        <v>238</v>
      </c>
      <c r="EG3285" s="5" t="s">
        <v>238</v>
      </c>
      <c r="EH3285" s="5" t="s">
        <v>238</v>
      </c>
      <c r="EI3285" s="5" t="s">
        <v>238</v>
      </c>
      <c r="EJ3285" s="5" t="s">
        <v>238</v>
      </c>
      <c r="EK3285" s="5" t="s">
        <v>238</v>
      </c>
      <c r="EL3285" s="5" t="s">
        <v>238</v>
      </c>
      <c r="EM3285" s="5" t="s">
        <v>238</v>
      </c>
      <c r="EN3285" s="5" t="s">
        <v>238</v>
      </c>
      <c r="EO3285" s="5" t="s">
        <v>238</v>
      </c>
      <c r="EP3285" s="5" t="s">
        <v>238</v>
      </c>
      <c r="EQ3285" s="5" t="s">
        <v>238</v>
      </c>
      <c r="ER3285" s="5" t="s">
        <v>238</v>
      </c>
      <c r="ES3285" s="5" t="s">
        <v>238</v>
      </c>
      <c r="ET3285" s="5" t="s">
        <v>238</v>
      </c>
      <c r="EU3285" s="5" t="s">
        <v>238</v>
      </c>
      <c r="EV3285" s="5" t="s">
        <v>238</v>
      </c>
      <c r="EW3285" s="5" t="s">
        <v>238</v>
      </c>
      <c r="EX3285" s="5" t="s">
        <v>238</v>
      </c>
      <c r="EY3285" s="5" t="s">
        <v>238</v>
      </c>
      <c r="EZ3285" s="5" t="s">
        <v>238</v>
      </c>
      <c r="FA3285" s="5" t="s">
        <v>238</v>
      </c>
      <c r="FB3285" s="5" t="s">
        <v>238</v>
      </c>
      <c r="FC3285" s="5" t="s">
        <v>238</v>
      </c>
      <c r="FD3285" s="5" t="s">
        <v>238</v>
      </c>
      <c r="FE3285" s="5" t="s">
        <v>238</v>
      </c>
      <c r="FF3285" s="5" t="s">
        <v>238</v>
      </c>
      <c r="FG3285" s="5" t="s">
        <v>238</v>
      </c>
      <c r="FH3285" s="5" t="s">
        <v>238</v>
      </c>
      <c r="FI3285" s="5" t="s">
        <v>238</v>
      </c>
      <c r="FJ3285" s="5" t="s">
        <v>238</v>
      </c>
      <c r="FK3285" s="5" t="s">
        <v>238</v>
      </c>
      <c r="FL3285" s="5" t="s">
        <v>238</v>
      </c>
      <c r="FM3285" s="5" t="s">
        <v>238</v>
      </c>
      <c r="FN3285" s="5" t="s">
        <v>238</v>
      </c>
      <c r="FO3285" s="5" t="s">
        <v>238</v>
      </c>
      <c r="FP3285" s="5" t="s">
        <v>238</v>
      </c>
      <c r="FQ3285" s="5" t="s">
        <v>238</v>
      </c>
      <c r="FR3285" s="5" t="s">
        <v>238</v>
      </c>
      <c r="FS3285" s="5" t="s">
        <v>238</v>
      </c>
      <c r="FT3285" s="5" t="s">
        <v>238</v>
      </c>
      <c r="FU3285" s="5" t="s">
        <v>238</v>
      </c>
      <c r="FV3285" s="5" t="s">
        <v>238</v>
      </c>
      <c r="FW3285" s="5" t="s">
        <v>238</v>
      </c>
      <c r="FX3285" s="5" t="s">
        <v>238</v>
      </c>
      <c r="FY3285" s="5" t="s">
        <v>238</v>
      </c>
      <c r="FZ3285" s="5" t="s">
        <v>238</v>
      </c>
      <c r="GA3285" s="5" t="s">
        <v>238</v>
      </c>
      <c r="GB3285" s="5" t="s">
        <v>238</v>
      </c>
      <c r="GC3285" s="5" t="s">
        <v>238</v>
      </c>
      <c r="GD3285" s="5" t="s">
        <v>238</v>
      </c>
      <c r="GE3285" s="5" t="s">
        <v>238</v>
      </c>
      <c r="GF3285" s="5" t="s">
        <v>238</v>
      </c>
      <c r="GG3285" s="5" t="s">
        <v>238</v>
      </c>
      <c r="GH3285" s="5" t="s">
        <v>238</v>
      </c>
      <c r="GI3285" s="5" t="s">
        <v>238</v>
      </c>
      <c r="GJ3285" s="5" t="s">
        <v>238</v>
      </c>
      <c r="GK3285" s="5" t="s">
        <v>238</v>
      </c>
      <c r="GL3285" s="5" t="s">
        <v>238</v>
      </c>
      <c r="GM3285" s="5" t="s">
        <v>238</v>
      </c>
      <c r="GN3285" s="5" t="s">
        <v>238</v>
      </c>
      <c r="GO3285" s="5" t="s">
        <v>238</v>
      </c>
      <c r="GP3285" s="5" t="s">
        <v>238</v>
      </c>
      <c r="GQ3285" s="5" t="s">
        <v>238</v>
      </c>
      <c r="GR3285" s="5" t="s">
        <v>238</v>
      </c>
      <c r="GS3285" s="5" t="s">
        <v>238</v>
      </c>
      <c r="GT3285" s="5" t="s">
        <v>238</v>
      </c>
      <c r="GU3285" s="5" t="s">
        <v>238</v>
      </c>
      <c r="GV3285" s="5" t="s">
        <v>238</v>
      </c>
      <c r="GW3285" s="5" t="s">
        <v>238</v>
      </c>
      <c r="GX3285" s="5" t="s">
        <v>238</v>
      </c>
      <c r="GY3285" s="5" t="s">
        <v>238</v>
      </c>
      <c r="GZ3285" s="5" t="s">
        <v>238</v>
      </c>
      <c r="HA3285" s="5" t="s">
        <v>238</v>
      </c>
      <c r="HB3285" s="5" t="s">
        <v>238</v>
      </c>
      <c r="HC3285" s="5" t="s">
        <v>238</v>
      </c>
      <c r="HD3285" s="5" t="s">
        <v>238</v>
      </c>
      <c r="HE3285" s="5" t="s">
        <v>238</v>
      </c>
      <c r="HF3285" s="5" t="s">
        <v>238</v>
      </c>
      <c r="HG3285" s="5" t="s">
        <v>238</v>
      </c>
      <c r="HH3285" s="5" t="s">
        <v>238</v>
      </c>
      <c r="HI3285" s="5" t="s">
        <v>238</v>
      </c>
      <c r="HJ3285" s="5" t="s">
        <v>238</v>
      </c>
      <c r="HK3285" s="5" t="s">
        <v>238</v>
      </c>
      <c r="HL3285" s="5" t="s">
        <v>238</v>
      </c>
      <c r="HM3285" s="5" t="s">
        <v>264</v>
      </c>
      <c r="HN3285" s="5" t="s">
        <v>238</v>
      </c>
      <c r="HO3285" s="5" t="s">
        <v>238</v>
      </c>
      <c r="HP3285" s="5" t="s">
        <v>238</v>
      </c>
      <c r="HQ3285" s="5" t="s">
        <v>238</v>
      </c>
      <c r="HR3285" s="5" t="s">
        <v>238</v>
      </c>
      <c r="HS3285" s="5" t="s">
        <v>238</v>
      </c>
      <c r="HT3285" s="5" t="s">
        <v>238</v>
      </c>
      <c r="HU3285" s="5" t="s">
        <v>238</v>
      </c>
      <c r="HV3285" s="5" t="s">
        <v>238</v>
      </c>
      <c r="HW3285" s="5" t="s">
        <v>238</v>
      </c>
      <c r="HX3285" s="5" t="s">
        <v>238</v>
      </c>
      <c r="HY3285" s="5" t="s">
        <v>238</v>
      </c>
      <c r="HZ3285" s="5" t="s">
        <v>238</v>
      </c>
      <c r="IA3285" s="5" t="s">
        <v>238</v>
      </c>
      <c r="IB3285" s="5" t="s">
        <v>238</v>
      </c>
      <c r="IC3285" s="5" t="s">
        <v>238</v>
      </c>
      <c r="ID3285" s="5" t="s">
        <v>238</v>
      </c>
    </row>
    <row r="3286" spans="1:238" x14ac:dyDescent="0.4">
      <c r="A3286" s="5">
        <v>9004</v>
      </c>
      <c r="B3286" s="5">
        <v>1</v>
      </c>
      <c r="C3286" s="5">
        <v>1</v>
      </c>
      <c r="D3286" s="5" t="s">
        <v>484</v>
      </c>
      <c r="E3286" s="5" t="s">
        <v>878</v>
      </c>
      <c r="F3286" s="5" t="s">
        <v>248</v>
      </c>
      <c r="G3286" s="5" t="s">
        <v>5546</v>
      </c>
      <c r="H3286" s="6" t="s">
        <v>5547</v>
      </c>
      <c r="I3286" s="8">
        <f>1</f>
        <v>1</v>
      </c>
      <c r="J3286" s="5" t="s">
        <v>499</v>
      </c>
      <c r="K3286" s="8">
        <f>1</f>
        <v>1</v>
      </c>
      <c r="L3286" s="6" t="s">
        <v>242</v>
      </c>
      <c r="M3286" s="5" t="s">
        <v>267</v>
      </c>
      <c r="N3286" s="5" t="s">
        <v>482</v>
      </c>
      <c r="O3286" s="5" t="s">
        <v>238</v>
      </c>
      <c r="P3286" s="5" t="s">
        <v>238</v>
      </c>
      <c r="Q3286" s="5" t="s">
        <v>239</v>
      </c>
      <c r="R3286" s="5" t="s">
        <v>270</v>
      </c>
      <c r="S3286" s="5" t="s">
        <v>238</v>
      </c>
      <c r="T3286" s="5" t="s">
        <v>238</v>
      </c>
      <c r="U3286" s="5" t="s">
        <v>238</v>
      </c>
      <c r="V3286" s="5" t="s">
        <v>238</v>
      </c>
      <c r="W3286" s="6" t="s">
        <v>238</v>
      </c>
      <c r="X3286" s="6" t="s">
        <v>238</v>
      </c>
      <c r="Y3286" s="5" t="s">
        <v>238</v>
      </c>
      <c r="Z3286" s="6" t="s">
        <v>238</v>
      </c>
      <c r="AA3286" s="6" t="s">
        <v>243</v>
      </c>
      <c r="AB3286" s="5" t="s">
        <v>879</v>
      </c>
      <c r="AC3286" s="5" t="s">
        <v>244</v>
      </c>
      <c r="AD3286" s="5" t="s">
        <v>245</v>
      </c>
      <c r="AE3286" s="5" t="s">
        <v>238</v>
      </c>
      <c r="AF3286" s="5" t="s">
        <v>238</v>
      </c>
      <c r="AG3286" s="5" t="s">
        <v>238</v>
      </c>
      <c r="AH3286" s="5" t="s">
        <v>238</v>
      </c>
      <c r="AI3286" s="5" t="s">
        <v>238</v>
      </c>
      <c r="AJ3286" s="5" t="s">
        <v>238</v>
      </c>
      <c r="AK3286" s="5" t="s">
        <v>238</v>
      </c>
      <c r="AL3286" s="5" t="s">
        <v>238</v>
      </c>
      <c r="AM3286" s="6" t="s">
        <v>238</v>
      </c>
      <c r="AN3286" s="6" t="s">
        <v>238</v>
      </c>
      <c r="AO3286" s="6" t="s">
        <v>238</v>
      </c>
      <c r="AP3286" s="6" t="s">
        <v>238</v>
      </c>
      <c r="AQ3286" s="5" t="s">
        <v>238</v>
      </c>
      <c r="AR3286" s="5" t="s">
        <v>488</v>
      </c>
      <c r="AS3286" s="5" t="s">
        <v>488</v>
      </c>
      <c r="AT3286" s="5" t="s">
        <v>246</v>
      </c>
      <c r="AU3286" s="5" t="s">
        <v>489</v>
      </c>
      <c r="AV3286" s="5" t="s">
        <v>247</v>
      </c>
      <c r="AW3286" s="5" t="s">
        <v>238</v>
      </c>
      <c r="AX3286" s="5" t="s">
        <v>249</v>
      </c>
      <c r="AY3286" s="5" t="s">
        <v>490</v>
      </c>
      <c r="BA3286" s="5" t="s">
        <v>238</v>
      </c>
      <c r="BC3286" s="5" t="s">
        <v>491</v>
      </c>
      <c r="BD3286" s="6" t="s">
        <v>492</v>
      </c>
      <c r="BE3286" s="5" t="s">
        <v>493</v>
      </c>
      <c r="BF3286" s="5" t="s">
        <v>493</v>
      </c>
      <c r="BG3286" s="5" t="s">
        <v>238</v>
      </c>
      <c r="BH3286" s="8">
        <f>1</f>
        <v>1</v>
      </c>
      <c r="BI3286" s="8">
        <f>1</f>
        <v>1</v>
      </c>
      <c r="BJ3286" s="5" t="s">
        <v>253</v>
      </c>
      <c r="BK3286" s="5" t="s">
        <v>254</v>
      </c>
      <c r="BL3286" s="5" t="s">
        <v>238</v>
      </c>
      <c r="BM3286" s="5" t="s">
        <v>238</v>
      </c>
      <c r="BN3286" s="5" t="s">
        <v>238</v>
      </c>
      <c r="BO3286" s="5" t="s">
        <v>238</v>
      </c>
      <c r="BP3286" s="5" t="s">
        <v>238</v>
      </c>
      <c r="BQ3286" s="5" t="s">
        <v>238</v>
      </c>
      <c r="BR3286" s="5" t="s">
        <v>238</v>
      </c>
      <c r="BS3286" s="5" t="s">
        <v>238</v>
      </c>
      <c r="BT3286" s="6" t="s">
        <v>238</v>
      </c>
      <c r="BU3286" s="5" t="s">
        <v>238</v>
      </c>
      <c r="BV3286" s="5" t="s">
        <v>238</v>
      </c>
      <c r="BW3286" s="5" t="s">
        <v>238</v>
      </c>
      <c r="BX3286" s="5" t="s">
        <v>254</v>
      </c>
      <c r="BY3286" s="5" t="s">
        <v>238</v>
      </c>
      <c r="BZ3286" s="5" t="s">
        <v>238</v>
      </c>
      <c r="CA3286" s="5" t="s">
        <v>238</v>
      </c>
      <c r="CB3286" s="5" t="s">
        <v>238</v>
      </c>
      <c r="CC3286" s="5" t="s">
        <v>238</v>
      </c>
      <c r="CD3286" s="5" t="s">
        <v>273</v>
      </c>
      <c r="CE3286" s="5" t="s">
        <v>256</v>
      </c>
      <c r="CF3286" s="5" t="s">
        <v>238</v>
      </c>
      <c r="CH3286" s="5" t="s">
        <v>494</v>
      </c>
      <c r="CI3286" s="6" t="s">
        <v>257</v>
      </c>
      <c r="CJ3286" s="5" t="s">
        <v>495</v>
      </c>
      <c r="CK3286" s="5" t="s">
        <v>258</v>
      </c>
      <c r="CL3286" s="5" t="s">
        <v>496</v>
      </c>
      <c r="CM3286" s="5" t="s">
        <v>238</v>
      </c>
      <c r="CN3286" s="5">
        <v>0</v>
      </c>
      <c r="CO3286" s="5" t="s">
        <v>497</v>
      </c>
      <c r="CP3286" s="5" t="s">
        <v>260</v>
      </c>
      <c r="CQ3286" s="5" t="s">
        <v>260</v>
      </c>
      <c r="CR3286" s="5" t="s">
        <v>261</v>
      </c>
      <c r="CS3286" s="5" t="s">
        <v>498</v>
      </c>
      <c r="CT3286" s="7">
        <f>1</f>
        <v>1</v>
      </c>
      <c r="CU3286" s="8">
        <f>1</f>
        <v>1</v>
      </c>
      <c r="CV3286" s="8">
        <f>0</f>
        <v>0</v>
      </c>
      <c r="CX3286" s="8">
        <f>1</f>
        <v>1</v>
      </c>
      <c r="CY3286" s="8">
        <f>1</f>
        <v>1</v>
      </c>
      <c r="CZ3286" s="8" t="s">
        <v>238</v>
      </c>
      <c r="DA3286" s="5" t="s">
        <v>238</v>
      </c>
      <c r="DB3286" s="5" t="s">
        <v>238</v>
      </c>
      <c r="DC3286" s="5" t="s">
        <v>238</v>
      </c>
      <c r="DD3286" s="5" t="s">
        <v>238</v>
      </c>
      <c r="DE3286" s="8">
        <f>0</f>
        <v>0</v>
      </c>
      <c r="DG3286" s="5" t="s">
        <v>238</v>
      </c>
      <c r="DH3286" s="5" t="s">
        <v>238</v>
      </c>
      <c r="DI3286" s="5" t="s">
        <v>238</v>
      </c>
      <c r="DJ3286" s="5" t="s">
        <v>238</v>
      </c>
      <c r="DK3286" s="5" t="s">
        <v>238</v>
      </c>
      <c r="DL3286" s="5" t="s">
        <v>238</v>
      </c>
      <c r="DM3286" s="8" t="s">
        <v>238</v>
      </c>
      <c r="DN3286" s="5" t="s">
        <v>238</v>
      </c>
      <c r="DO3286" s="5" t="s">
        <v>238</v>
      </c>
      <c r="DP3286" s="5" t="s">
        <v>490</v>
      </c>
      <c r="DQ3286" s="5" t="s">
        <v>490</v>
      </c>
      <c r="DR3286" s="5" t="s">
        <v>238</v>
      </c>
      <c r="DS3286" s="5" t="s">
        <v>238</v>
      </c>
      <c r="DT3286" s="5" t="s">
        <v>881</v>
      </c>
      <c r="DU3286" s="5" t="s">
        <v>1146</v>
      </c>
      <c r="DV3286" s="5" t="s">
        <v>238</v>
      </c>
      <c r="DW3286" s="5" t="s">
        <v>238</v>
      </c>
      <c r="DX3286" s="5" t="s">
        <v>238</v>
      </c>
      <c r="DY3286" s="5" t="s">
        <v>238</v>
      </c>
      <c r="DZ3286" s="5" t="s">
        <v>238</v>
      </c>
      <c r="EA3286" s="5" t="s">
        <v>238</v>
      </c>
      <c r="EB3286" s="5" t="s">
        <v>238</v>
      </c>
      <c r="EC3286" s="5" t="s">
        <v>238</v>
      </c>
      <c r="ED3286" s="5" t="s">
        <v>238</v>
      </c>
      <c r="EE3286" s="5" t="s">
        <v>238</v>
      </c>
      <c r="EF3286" s="5" t="s">
        <v>238</v>
      </c>
      <c r="EG3286" s="5" t="s">
        <v>238</v>
      </c>
      <c r="EH3286" s="5" t="s">
        <v>238</v>
      </c>
      <c r="EI3286" s="5" t="s">
        <v>238</v>
      </c>
      <c r="EJ3286" s="5" t="s">
        <v>238</v>
      </c>
      <c r="EK3286" s="5" t="s">
        <v>238</v>
      </c>
      <c r="EL3286" s="5" t="s">
        <v>238</v>
      </c>
      <c r="EM3286" s="5" t="s">
        <v>238</v>
      </c>
      <c r="EN3286" s="5" t="s">
        <v>238</v>
      </c>
      <c r="EO3286" s="5" t="s">
        <v>238</v>
      </c>
      <c r="EP3286" s="5" t="s">
        <v>238</v>
      </c>
      <c r="EQ3286" s="5" t="s">
        <v>238</v>
      </c>
      <c r="ER3286" s="5" t="s">
        <v>238</v>
      </c>
      <c r="ES3286" s="5" t="s">
        <v>238</v>
      </c>
      <c r="ET3286" s="5" t="s">
        <v>238</v>
      </c>
      <c r="EU3286" s="5" t="s">
        <v>238</v>
      </c>
      <c r="EV3286" s="5" t="s">
        <v>238</v>
      </c>
      <c r="EW3286" s="5" t="s">
        <v>238</v>
      </c>
      <c r="EX3286" s="5" t="s">
        <v>238</v>
      </c>
      <c r="EY3286" s="5" t="s">
        <v>238</v>
      </c>
      <c r="EZ3286" s="5" t="s">
        <v>238</v>
      </c>
      <c r="FA3286" s="5" t="s">
        <v>238</v>
      </c>
      <c r="FB3286" s="5" t="s">
        <v>238</v>
      </c>
      <c r="FC3286" s="5" t="s">
        <v>238</v>
      </c>
      <c r="FD3286" s="5" t="s">
        <v>238</v>
      </c>
      <c r="FE3286" s="5" t="s">
        <v>238</v>
      </c>
      <c r="FF3286" s="5" t="s">
        <v>238</v>
      </c>
      <c r="FG3286" s="5" t="s">
        <v>238</v>
      </c>
      <c r="FH3286" s="5" t="s">
        <v>238</v>
      </c>
      <c r="FI3286" s="5" t="s">
        <v>238</v>
      </c>
      <c r="FJ3286" s="5" t="s">
        <v>238</v>
      </c>
      <c r="FK3286" s="5" t="s">
        <v>238</v>
      </c>
      <c r="FL3286" s="5" t="s">
        <v>238</v>
      </c>
      <c r="FM3286" s="5" t="s">
        <v>238</v>
      </c>
      <c r="FN3286" s="5" t="s">
        <v>238</v>
      </c>
      <c r="FO3286" s="5" t="s">
        <v>238</v>
      </c>
      <c r="FP3286" s="5" t="s">
        <v>238</v>
      </c>
      <c r="FQ3286" s="5" t="s">
        <v>238</v>
      </c>
      <c r="FR3286" s="5" t="s">
        <v>238</v>
      </c>
      <c r="FS3286" s="5" t="s">
        <v>238</v>
      </c>
      <c r="FT3286" s="5" t="s">
        <v>238</v>
      </c>
      <c r="FU3286" s="5" t="s">
        <v>238</v>
      </c>
      <c r="FV3286" s="5" t="s">
        <v>238</v>
      </c>
      <c r="FW3286" s="5" t="s">
        <v>238</v>
      </c>
      <c r="FX3286" s="5" t="s">
        <v>238</v>
      </c>
      <c r="FY3286" s="5" t="s">
        <v>238</v>
      </c>
      <c r="FZ3286" s="5" t="s">
        <v>238</v>
      </c>
      <c r="GA3286" s="5" t="s">
        <v>238</v>
      </c>
      <c r="GB3286" s="5" t="s">
        <v>238</v>
      </c>
      <c r="GC3286" s="5" t="s">
        <v>238</v>
      </c>
      <c r="GD3286" s="5" t="s">
        <v>238</v>
      </c>
      <c r="GE3286" s="5" t="s">
        <v>238</v>
      </c>
      <c r="GF3286" s="5" t="s">
        <v>238</v>
      </c>
      <c r="GG3286" s="5" t="s">
        <v>238</v>
      </c>
      <c r="GH3286" s="5" t="s">
        <v>238</v>
      </c>
      <c r="GI3286" s="5" t="s">
        <v>238</v>
      </c>
      <c r="GJ3286" s="5" t="s">
        <v>238</v>
      </c>
      <c r="GK3286" s="5" t="s">
        <v>238</v>
      </c>
      <c r="GL3286" s="5" t="s">
        <v>238</v>
      </c>
      <c r="GM3286" s="5" t="s">
        <v>238</v>
      </c>
      <c r="GN3286" s="5" t="s">
        <v>238</v>
      </c>
      <c r="GO3286" s="5" t="s">
        <v>238</v>
      </c>
      <c r="GP3286" s="5" t="s">
        <v>238</v>
      </c>
      <c r="GQ3286" s="5" t="s">
        <v>238</v>
      </c>
      <c r="GR3286" s="5" t="s">
        <v>238</v>
      </c>
      <c r="GS3286" s="5" t="s">
        <v>238</v>
      </c>
      <c r="GT3286" s="5" t="s">
        <v>238</v>
      </c>
      <c r="GU3286" s="5" t="s">
        <v>238</v>
      </c>
      <c r="GV3286" s="5" t="s">
        <v>238</v>
      </c>
      <c r="GW3286" s="5" t="s">
        <v>238</v>
      </c>
      <c r="GX3286" s="5" t="s">
        <v>238</v>
      </c>
      <c r="GY3286" s="5" t="s">
        <v>238</v>
      </c>
      <c r="GZ3286" s="5" t="s">
        <v>238</v>
      </c>
      <c r="HA3286" s="5" t="s">
        <v>238</v>
      </c>
      <c r="HB3286" s="5" t="s">
        <v>238</v>
      </c>
      <c r="HC3286" s="5" t="s">
        <v>238</v>
      </c>
      <c r="HD3286" s="5" t="s">
        <v>238</v>
      </c>
      <c r="HE3286" s="5" t="s">
        <v>238</v>
      </c>
      <c r="HF3286" s="5" t="s">
        <v>238</v>
      </c>
      <c r="HG3286" s="5" t="s">
        <v>238</v>
      </c>
      <c r="HH3286" s="5" t="s">
        <v>238</v>
      </c>
      <c r="HI3286" s="5" t="s">
        <v>238</v>
      </c>
      <c r="HJ3286" s="5" t="s">
        <v>238</v>
      </c>
      <c r="HK3286" s="5" t="s">
        <v>238</v>
      </c>
      <c r="HL3286" s="5" t="s">
        <v>238</v>
      </c>
      <c r="HM3286" s="5" t="s">
        <v>264</v>
      </c>
      <c r="HN3286" s="5" t="s">
        <v>238</v>
      </c>
      <c r="HO3286" s="5" t="s">
        <v>238</v>
      </c>
      <c r="HP3286" s="5" t="s">
        <v>238</v>
      </c>
      <c r="HQ3286" s="5" t="s">
        <v>238</v>
      </c>
      <c r="HR3286" s="5" t="s">
        <v>238</v>
      </c>
      <c r="HS3286" s="5" t="s">
        <v>238</v>
      </c>
      <c r="HT3286" s="5" t="s">
        <v>238</v>
      </c>
      <c r="HU3286" s="5" t="s">
        <v>238</v>
      </c>
      <c r="HV3286" s="5" t="s">
        <v>238</v>
      </c>
      <c r="HW3286" s="5" t="s">
        <v>238</v>
      </c>
      <c r="HX3286" s="5" t="s">
        <v>238</v>
      </c>
      <c r="HY3286" s="5" t="s">
        <v>238</v>
      </c>
      <c r="HZ3286" s="5" t="s">
        <v>238</v>
      </c>
      <c r="IA3286" s="5" t="s">
        <v>238</v>
      </c>
      <c r="IB3286" s="5" t="s">
        <v>238</v>
      </c>
      <c r="IC3286" s="5" t="s">
        <v>238</v>
      </c>
      <c r="ID3286" s="5" t="s">
        <v>238</v>
      </c>
    </row>
    <row r="3287" spans="1:238" x14ac:dyDescent="0.4">
      <c r="A3287" s="5">
        <v>9005</v>
      </c>
      <c r="B3287" s="5">
        <v>1</v>
      </c>
      <c r="C3287" s="5">
        <v>1</v>
      </c>
      <c r="D3287" s="5" t="s">
        <v>484</v>
      </c>
      <c r="E3287" s="5" t="s">
        <v>878</v>
      </c>
      <c r="F3287" s="5" t="s">
        <v>248</v>
      </c>
      <c r="G3287" s="5" t="s">
        <v>4379</v>
      </c>
      <c r="H3287" s="6" t="s">
        <v>4380</v>
      </c>
      <c r="I3287" s="8">
        <f>1</f>
        <v>1</v>
      </c>
      <c r="J3287" s="5" t="s">
        <v>499</v>
      </c>
      <c r="K3287" s="8">
        <f>1</f>
        <v>1</v>
      </c>
      <c r="L3287" s="6" t="s">
        <v>242</v>
      </c>
      <c r="M3287" s="5" t="s">
        <v>267</v>
      </c>
      <c r="N3287" s="5" t="s">
        <v>482</v>
      </c>
      <c r="O3287" s="5" t="s">
        <v>238</v>
      </c>
      <c r="P3287" s="5" t="s">
        <v>238</v>
      </c>
      <c r="Q3287" s="5" t="s">
        <v>239</v>
      </c>
      <c r="R3287" s="5" t="s">
        <v>270</v>
      </c>
      <c r="S3287" s="5" t="s">
        <v>238</v>
      </c>
      <c r="T3287" s="5" t="s">
        <v>238</v>
      </c>
      <c r="U3287" s="5" t="s">
        <v>238</v>
      </c>
      <c r="V3287" s="5" t="s">
        <v>238</v>
      </c>
      <c r="W3287" s="6" t="s">
        <v>238</v>
      </c>
      <c r="X3287" s="6" t="s">
        <v>238</v>
      </c>
      <c r="Y3287" s="5" t="s">
        <v>238</v>
      </c>
      <c r="Z3287" s="6" t="s">
        <v>238</v>
      </c>
      <c r="AA3287" s="6" t="s">
        <v>243</v>
      </c>
      <c r="AB3287" s="5" t="s">
        <v>879</v>
      </c>
      <c r="AC3287" s="5" t="s">
        <v>244</v>
      </c>
      <c r="AD3287" s="5" t="s">
        <v>245</v>
      </c>
      <c r="AE3287" s="5" t="s">
        <v>238</v>
      </c>
      <c r="AF3287" s="5" t="s">
        <v>238</v>
      </c>
      <c r="AG3287" s="5" t="s">
        <v>238</v>
      </c>
      <c r="AH3287" s="5" t="s">
        <v>238</v>
      </c>
      <c r="AI3287" s="5" t="s">
        <v>238</v>
      </c>
      <c r="AJ3287" s="5" t="s">
        <v>238</v>
      </c>
      <c r="AK3287" s="5" t="s">
        <v>238</v>
      </c>
      <c r="AL3287" s="5" t="s">
        <v>238</v>
      </c>
      <c r="AM3287" s="6" t="s">
        <v>238</v>
      </c>
      <c r="AN3287" s="6" t="s">
        <v>238</v>
      </c>
      <c r="AO3287" s="6" t="s">
        <v>238</v>
      </c>
      <c r="AP3287" s="6" t="s">
        <v>238</v>
      </c>
      <c r="AQ3287" s="5" t="s">
        <v>238</v>
      </c>
      <c r="AR3287" s="5" t="s">
        <v>488</v>
      </c>
      <c r="AS3287" s="5" t="s">
        <v>488</v>
      </c>
      <c r="AT3287" s="5" t="s">
        <v>246</v>
      </c>
      <c r="AU3287" s="5" t="s">
        <v>489</v>
      </c>
      <c r="AV3287" s="5" t="s">
        <v>247</v>
      </c>
      <c r="AW3287" s="5" t="s">
        <v>238</v>
      </c>
      <c r="AX3287" s="5" t="s">
        <v>249</v>
      </c>
      <c r="AY3287" s="5" t="s">
        <v>490</v>
      </c>
      <c r="BA3287" s="5" t="s">
        <v>238</v>
      </c>
      <c r="BC3287" s="5" t="s">
        <v>491</v>
      </c>
      <c r="BD3287" s="6" t="s">
        <v>492</v>
      </c>
      <c r="BE3287" s="5" t="s">
        <v>493</v>
      </c>
      <c r="BF3287" s="5" t="s">
        <v>493</v>
      </c>
      <c r="BG3287" s="5" t="s">
        <v>238</v>
      </c>
      <c r="BH3287" s="8">
        <f>1</f>
        <v>1</v>
      </c>
      <c r="BI3287" s="8">
        <f>1</f>
        <v>1</v>
      </c>
      <c r="BJ3287" s="5" t="s">
        <v>253</v>
      </c>
      <c r="BK3287" s="5" t="s">
        <v>254</v>
      </c>
      <c r="BL3287" s="5" t="s">
        <v>238</v>
      </c>
      <c r="BM3287" s="5" t="s">
        <v>238</v>
      </c>
      <c r="BN3287" s="5" t="s">
        <v>238</v>
      </c>
      <c r="BO3287" s="5" t="s">
        <v>238</v>
      </c>
      <c r="BP3287" s="5" t="s">
        <v>238</v>
      </c>
      <c r="BQ3287" s="5" t="s">
        <v>238</v>
      </c>
      <c r="BR3287" s="5" t="s">
        <v>238</v>
      </c>
      <c r="BS3287" s="5" t="s">
        <v>238</v>
      </c>
      <c r="BT3287" s="6" t="s">
        <v>238</v>
      </c>
      <c r="BU3287" s="5" t="s">
        <v>238</v>
      </c>
      <c r="BV3287" s="5" t="s">
        <v>238</v>
      </c>
      <c r="BW3287" s="5" t="s">
        <v>238</v>
      </c>
      <c r="BX3287" s="5" t="s">
        <v>254</v>
      </c>
      <c r="BY3287" s="5" t="s">
        <v>238</v>
      </c>
      <c r="BZ3287" s="5" t="s">
        <v>238</v>
      </c>
      <c r="CA3287" s="5" t="s">
        <v>238</v>
      </c>
      <c r="CB3287" s="5" t="s">
        <v>238</v>
      </c>
      <c r="CC3287" s="5" t="s">
        <v>238</v>
      </c>
      <c r="CD3287" s="5" t="s">
        <v>273</v>
      </c>
      <c r="CE3287" s="5" t="s">
        <v>256</v>
      </c>
      <c r="CF3287" s="5" t="s">
        <v>238</v>
      </c>
      <c r="CH3287" s="5" t="s">
        <v>494</v>
      </c>
      <c r="CI3287" s="6" t="s">
        <v>257</v>
      </c>
      <c r="CJ3287" s="5" t="s">
        <v>495</v>
      </c>
      <c r="CK3287" s="5" t="s">
        <v>258</v>
      </c>
      <c r="CL3287" s="5" t="s">
        <v>496</v>
      </c>
      <c r="CM3287" s="5" t="s">
        <v>238</v>
      </c>
      <c r="CN3287" s="5">
        <v>0</v>
      </c>
      <c r="CO3287" s="5" t="s">
        <v>497</v>
      </c>
      <c r="CP3287" s="5" t="s">
        <v>260</v>
      </c>
      <c r="CQ3287" s="5" t="s">
        <v>260</v>
      </c>
      <c r="CR3287" s="5" t="s">
        <v>261</v>
      </c>
      <c r="CS3287" s="5" t="s">
        <v>498</v>
      </c>
      <c r="CT3287" s="7">
        <f>1</f>
        <v>1</v>
      </c>
      <c r="CU3287" s="8">
        <f>1</f>
        <v>1</v>
      </c>
      <c r="CV3287" s="8">
        <f>0</f>
        <v>0</v>
      </c>
      <c r="CX3287" s="8">
        <f>1</f>
        <v>1</v>
      </c>
      <c r="CY3287" s="8">
        <f>1</f>
        <v>1</v>
      </c>
      <c r="CZ3287" s="8" t="s">
        <v>238</v>
      </c>
      <c r="DA3287" s="5" t="s">
        <v>238</v>
      </c>
      <c r="DB3287" s="5" t="s">
        <v>238</v>
      </c>
      <c r="DC3287" s="5" t="s">
        <v>238</v>
      </c>
      <c r="DD3287" s="5" t="s">
        <v>238</v>
      </c>
      <c r="DE3287" s="8">
        <f>0</f>
        <v>0</v>
      </c>
      <c r="DG3287" s="5" t="s">
        <v>238</v>
      </c>
      <c r="DH3287" s="5" t="s">
        <v>238</v>
      </c>
      <c r="DI3287" s="5" t="s">
        <v>238</v>
      </c>
      <c r="DJ3287" s="5" t="s">
        <v>238</v>
      </c>
      <c r="DK3287" s="5" t="s">
        <v>238</v>
      </c>
      <c r="DL3287" s="5" t="s">
        <v>238</v>
      </c>
      <c r="DM3287" s="8" t="s">
        <v>238</v>
      </c>
      <c r="DN3287" s="5" t="s">
        <v>238</v>
      </c>
      <c r="DO3287" s="5" t="s">
        <v>238</v>
      </c>
      <c r="DP3287" s="5" t="s">
        <v>490</v>
      </c>
      <c r="DQ3287" s="5" t="s">
        <v>490</v>
      </c>
      <c r="DR3287" s="5" t="s">
        <v>238</v>
      </c>
      <c r="DS3287" s="5" t="s">
        <v>238</v>
      </c>
      <c r="DT3287" s="5" t="s">
        <v>881</v>
      </c>
      <c r="DU3287" s="5" t="s">
        <v>1137</v>
      </c>
      <c r="DV3287" s="5" t="s">
        <v>238</v>
      </c>
      <c r="DW3287" s="5" t="s">
        <v>238</v>
      </c>
      <c r="DX3287" s="5" t="s">
        <v>238</v>
      </c>
      <c r="DY3287" s="5" t="s">
        <v>238</v>
      </c>
      <c r="DZ3287" s="5" t="s">
        <v>238</v>
      </c>
      <c r="EA3287" s="5" t="s">
        <v>238</v>
      </c>
      <c r="EB3287" s="5" t="s">
        <v>238</v>
      </c>
      <c r="EC3287" s="5" t="s">
        <v>238</v>
      </c>
      <c r="ED3287" s="5" t="s">
        <v>238</v>
      </c>
      <c r="EE3287" s="5" t="s">
        <v>238</v>
      </c>
      <c r="EF3287" s="5" t="s">
        <v>238</v>
      </c>
      <c r="EG3287" s="5" t="s">
        <v>238</v>
      </c>
      <c r="EH3287" s="5" t="s">
        <v>238</v>
      </c>
      <c r="EI3287" s="5" t="s">
        <v>238</v>
      </c>
      <c r="EJ3287" s="5" t="s">
        <v>238</v>
      </c>
      <c r="EK3287" s="5" t="s">
        <v>238</v>
      </c>
      <c r="EL3287" s="5" t="s">
        <v>238</v>
      </c>
      <c r="EM3287" s="5" t="s">
        <v>238</v>
      </c>
      <c r="EN3287" s="5" t="s">
        <v>238</v>
      </c>
      <c r="EO3287" s="5" t="s">
        <v>238</v>
      </c>
      <c r="EP3287" s="5" t="s">
        <v>238</v>
      </c>
      <c r="EQ3287" s="5" t="s">
        <v>238</v>
      </c>
      <c r="ER3287" s="5" t="s">
        <v>238</v>
      </c>
      <c r="ES3287" s="5" t="s">
        <v>238</v>
      </c>
      <c r="ET3287" s="5" t="s">
        <v>238</v>
      </c>
      <c r="EU3287" s="5" t="s">
        <v>238</v>
      </c>
      <c r="EV3287" s="5" t="s">
        <v>238</v>
      </c>
      <c r="EW3287" s="5" t="s">
        <v>238</v>
      </c>
      <c r="EX3287" s="5" t="s">
        <v>238</v>
      </c>
      <c r="EY3287" s="5" t="s">
        <v>238</v>
      </c>
      <c r="EZ3287" s="5" t="s">
        <v>238</v>
      </c>
      <c r="FA3287" s="5" t="s">
        <v>238</v>
      </c>
      <c r="FB3287" s="5" t="s">
        <v>238</v>
      </c>
      <c r="FC3287" s="5" t="s">
        <v>238</v>
      </c>
      <c r="FD3287" s="5" t="s">
        <v>238</v>
      </c>
      <c r="FE3287" s="5" t="s">
        <v>238</v>
      </c>
      <c r="FF3287" s="5" t="s">
        <v>238</v>
      </c>
      <c r="FG3287" s="5" t="s">
        <v>238</v>
      </c>
      <c r="FH3287" s="5" t="s">
        <v>238</v>
      </c>
      <c r="FI3287" s="5" t="s">
        <v>238</v>
      </c>
      <c r="FJ3287" s="5" t="s">
        <v>238</v>
      </c>
      <c r="FK3287" s="5" t="s">
        <v>238</v>
      </c>
      <c r="FL3287" s="5" t="s">
        <v>238</v>
      </c>
      <c r="FM3287" s="5" t="s">
        <v>238</v>
      </c>
      <c r="FN3287" s="5" t="s">
        <v>238</v>
      </c>
      <c r="FO3287" s="5" t="s">
        <v>238</v>
      </c>
      <c r="FP3287" s="5" t="s">
        <v>238</v>
      </c>
      <c r="FQ3287" s="5" t="s">
        <v>238</v>
      </c>
      <c r="FR3287" s="5" t="s">
        <v>238</v>
      </c>
      <c r="FS3287" s="5" t="s">
        <v>238</v>
      </c>
      <c r="FT3287" s="5" t="s">
        <v>238</v>
      </c>
      <c r="FU3287" s="5" t="s">
        <v>238</v>
      </c>
      <c r="FV3287" s="5" t="s">
        <v>238</v>
      </c>
      <c r="FW3287" s="5" t="s">
        <v>238</v>
      </c>
      <c r="FX3287" s="5" t="s">
        <v>238</v>
      </c>
      <c r="FY3287" s="5" t="s">
        <v>238</v>
      </c>
      <c r="FZ3287" s="5" t="s">
        <v>238</v>
      </c>
      <c r="GA3287" s="5" t="s">
        <v>238</v>
      </c>
      <c r="GB3287" s="5" t="s">
        <v>238</v>
      </c>
      <c r="GC3287" s="5" t="s">
        <v>238</v>
      </c>
      <c r="GD3287" s="5" t="s">
        <v>238</v>
      </c>
      <c r="GE3287" s="5" t="s">
        <v>238</v>
      </c>
      <c r="GF3287" s="5" t="s">
        <v>238</v>
      </c>
      <c r="GG3287" s="5" t="s">
        <v>238</v>
      </c>
      <c r="GH3287" s="5" t="s">
        <v>238</v>
      </c>
      <c r="GI3287" s="5" t="s">
        <v>238</v>
      </c>
      <c r="GJ3287" s="5" t="s">
        <v>238</v>
      </c>
      <c r="GK3287" s="5" t="s">
        <v>238</v>
      </c>
      <c r="GL3287" s="5" t="s">
        <v>238</v>
      </c>
      <c r="GM3287" s="5" t="s">
        <v>238</v>
      </c>
      <c r="GN3287" s="5" t="s">
        <v>238</v>
      </c>
      <c r="GO3287" s="5" t="s">
        <v>238</v>
      </c>
      <c r="GP3287" s="5" t="s">
        <v>238</v>
      </c>
      <c r="GQ3287" s="5" t="s">
        <v>238</v>
      </c>
      <c r="GR3287" s="5" t="s">
        <v>238</v>
      </c>
      <c r="GS3287" s="5" t="s">
        <v>238</v>
      </c>
      <c r="GT3287" s="5" t="s">
        <v>238</v>
      </c>
      <c r="GU3287" s="5" t="s">
        <v>238</v>
      </c>
      <c r="GV3287" s="5" t="s">
        <v>238</v>
      </c>
      <c r="GW3287" s="5" t="s">
        <v>238</v>
      </c>
      <c r="GX3287" s="5" t="s">
        <v>238</v>
      </c>
      <c r="GY3287" s="5" t="s">
        <v>238</v>
      </c>
      <c r="GZ3287" s="5" t="s">
        <v>238</v>
      </c>
      <c r="HA3287" s="5" t="s">
        <v>238</v>
      </c>
      <c r="HB3287" s="5" t="s">
        <v>238</v>
      </c>
      <c r="HC3287" s="5" t="s">
        <v>238</v>
      </c>
      <c r="HD3287" s="5" t="s">
        <v>238</v>
      </c>
      <c r="HE3287" s="5" t="s">
        <v>238</v>
      </c>
      <c r="HF3287" s="5" t="s">
        <v>238</v>
      </c>
      <c r="HG3287" s="5" t="s">
        <v>238</v>
      </c>
      <c r="HH3287" s="5" t="s">
        <v>238</v>
      </c>
      <c r="HI3287" s="5" t="s">
        <v>238</v>
      </c>
      <c r="HJ3287" s="5" t="s">
        <v>238</v>
      </c>
      <c r="HK3287" s="5" t="s">
        <v>238</v>
      </c>
      <c r="HL3287" s="5" t="s">
        <v>238</v>
      </c>
      <c r="HM3287" s="5" t="s">
        <v>264</v>
      </c>
      <c r="HN3287" s="5" t="s">
        <v>238</v>
      </c>
      <c r="HO3287" s="5" t="s">
        <v>238</v>
      </c>
      <c r="HP3287" s="5" t="s">
        <v>238</v>
      </c>
      <c r="HQ3287" s="5" t="s">
        <v>238</v>
      </c>
      <c r="HR3287" s="5" t="s">
        <v>238</v>
      </c>
      <c r="HS3287" s="5" t="s">
        <v>238</v>
      </c>
      <c r="HT3287" s="5" t="s">
        <v>238</v>
      </c>
      <c r="HU3287" s="5" t="s">
        <v>238</v>
      </c>
      <c r="HV3287" s="5" t="s">
        <v>238</v>
      </c>
      <c r="HW3287" s="5" t="s">
        <v>238</v>
      </c>
      <c r="HX3287" s="5" t="s">
        <v>238</v>
      </c>
      <c r="HY3287" s="5" t="s">
        <v>238</v>
      </c>
      <c r="HZ3287" s="5" t="s">
        <v>238</v>
      </c>
      <c r="IA3287" s="5" t="s">
        <v>238</v>
      </c>
      <c r="IB3287" s="5" t="s">
        <v>238</v>
      </c>
      <c r="IC3287" s="5" t="s">
        <v>238</v>
      </c>
      <c r="ID3287" s="5" t="s">
        <v>238</v>
      </c>
    </row>
    <row r="3288" spans="1:238" x14ac:dyDescent="0.4">
      <c r="A3288" s="5">
        <v>9006</v>
      </c>
      <c r="B3288" s="5">
        <v>1</v>
      </c>
      <c r="C3288" s="5">
        <v>1</v>
      </c>
      <c r="D3288" s="5" t="s">
        <v>484</v>
      </c>
      <c r="E3288" s="5" t="s">
        <v>878</v>
      </c>
      <c r="F3288" s="5" t="s">
        <v>248</v>
      </c>
      <c r="G3288" s="5" t="s">
        <v>4772</v>
      </c>
      <c r="H3288" s="6" t="s">
        <v>4773</v>
      </c>
      <c r="I3288" s="8">
        <f>1</f>
        <v>1</v>
      </c>
      <c r="J3288" s="5" t="s">
        <v>499</v>
      </c>
      <c r="K3288" s="8">
        <f>1</f>
        <v>1</v>
      </c>
      <c r="L3288" s="6" t="s">
        <v>242</v>
      </c>
      <c r="M3288" s="5" t="s">
        <v>267</v>
      </c>
      <c r="N3288" s="5" t="s">
        <v>482</v>
      </c>
      <c r="O3288" s="5" t="s">
        <v>238</v>
      </c>
      <c r="P3288" s="5" t="s">
        <v>238</v>
      </c>
      <c r="Q3288" s="5" t="s">
        <v>239</v>
      </c>
      <c r="R3288" s="5" t="s">
        <v>270</v>
      </c>
      <c r="S3288" s="5" t="s">
        <v>238</v>
      </c>
      <c r="T3288" s="5" t="s">
        <v>238</v>
      </c>
      <c r="U3288" s="5" t="s">
        <v>238</v>
      </c>
      <c r="V3288" s="5" t="s">
        <v>238</v>
      </c>
      <c r="W3288" s="6" t="s">
        <v>238</v>
      </c>
      <c r="X3288" s="6" t="s">
        <v>238</v>
      </c>
      <c r="Y3288" s="5" t="s">
        <v>238</v>
      </c>
      <c r="Z3288" s="6" t="s">
        <v>238</v>
      </c>
      <c r="AA3288" s="6" t="s">
        <v>243</v>
      </c>
      <c r="AB3288" s="5" t="s">
        <v>879</v>
      </c>
      <c r="AC3288" s="5" t="s">
        <v>244</v>
      </c>
      <c r="AD3288" s="5" t="s">
        <v>245</v>
      </c>
      <c r="AE3288" s="5" t="s">
        <v>238</v>
      </c>
      <c r="AF3288" s="5" t="s">
        <v>238</v>
      </c>
      <c r="AG3288" s="5" t="s">
        <v>238</v>
      </c>
      <c r="AH3288" s="5" t="s">
        <v>238</v>
      </c>
      <c r="AI3288" s="5" t="s">
        <v>238</v>
      </c>
      <c r="AJ3288" s="5" t="s">
        <v>238</v>
      </c>
      <c r="AK3288" s="5" t="s">
        <v>238</v>
      </c>
      <c r="AL3288" s="5" t="s">
        <v>238</v>
      </c>
      <c r="AM3288" s="6" t="s">
        <v>238</v>
      </c>
      <c r="AN3288" s="6" t="s">
        <v>238</v>
      </c>
      <c r="AO3288" s="6" t="s">
        <v>238</v>
      </c>
      <c r="AP3288" s="6" t="s">
        <v>238</v>
      </c>
      <c r="AQ3288" s="5" t="s">
        <v>238</v>
      </c>
      <c r="AR3288" s="5" t="s">
        <v>488</v>
      </c>
      <c r="AS3288" s="5" t="s">
        <v>488</v>
      </c>
      <c r="AT3288" s="5" t="s">
        <v>246</v>
      </c>
      <c r="AU3288" s="5" t="s">
        <v>489</v>
      </c>
      <c r="AV3288" s="5" t="s">
        <v>247</v>
      </c>
      <c r="AW3288" s="5" t="s">
        <v>238</v>
      </c>
      <c r="AX3288" s="5" t="s">
        <v>249</v>
      </c>
      <c r="AY3288" s="5" t="s">
        <v>490</v>
      </c>
      <c r="BA3288" s="5" t="s">
        <v>238</v>
      </c>
      <c r="BC3288" s="5" t="s">
        <v>491</v>
      </c>
      <c r="BD3288" s="6" t="s">
        <v>492</v>
      </c>
      <c r="BE3288" s="5" t="s">
        <v>493</v>
      </c>
      <c r="BF3288" s="5" t="s">
        <v>493</v>
      </c>
      <c r="BG3288" s="5" t="s">
        <v>238</v>
      </c>
      <c r="BH3288" s="8">
        <f>1</f>
        <v>1</v>
      </c>
      <c r="BI3288" s="8">
        <f>1</f>
        <v>1</v>
      </c>
      <c r="BJ3288" s="5" t="s">
        <v>253</v>
      </c>
      <c r="BK3288" s="5" t="s">
        <v>254</v>
      </c>
      <c r="BL3288" s="5" t="s">
        <v>238</v>
      </c>
      <c r="BM3288" s="5" t="s">
        <v>238</v>
      </c>
      <c r="BN3288" s="5" t="s">
        <v>238</v>
      </c>
      <c r="BO3288" s="5" t="s">
        <v>238</v>
      </c>
      <c r="BP3288" s="5" t="s">
        <v>238</v>
      </c>
      <c r="BQ3288" s="5" t="s">
        <v>238</v>
      </c>
      <c r="BR3288" s="5" t="s">
        <v>238</v>
      </c>
      <c r="BS3288" s="5" t="s">
        <v>238</v>
      </c>
      <c r="BT3288" s="6" t="s">
        <v>238</v>
      </c>
      <c r="BU3288" s="5" t="s">
        <v>238</v>
      </c>
      <c r="BV3288" s="5" t="s">
        <v>238</v>
      </c>
      <c r="BW3288" s="5" t="s">
        <v>238</v>
      </c>
      <c r="BX3288" s="5" t="s">
        <v>254</v>
      </c>
      <c r="BY3288" s="5" t="s">
        <v>238</v>
      </c>
      <c r="BZ3288" s="5" t="s">
        <v>238</v>
      </c>
      <c r="CA3288" s="5" t="s">
        <v>238</v>
      </c>
      <c r="CB3288" s="5" t="s">
        <v>238</v>
      </c>
      <c r="CC3288" s="5" t="s">
        <v>238</v>
      </c>
      <c r="CD3288" s="5" t="s">
        <v>273</v>
      </c>
      <c r="CE3288" s="5" t="s">
        <v>256</v>
      </c>
      <c r="CF3288" s="5" t="s">
        <v>238</v>
      </c>
      <c r="CH3288" s="5" t="s">
        <v>494</v>
      </c>
      <c r="CI3288" s="6" t="s">
        <v>257</v>
      </c>
      <c r="CJ3288" s="5" t="s">
        <v>495</v>
      </c>
      <c r="CK3288" s="5" t="s">
        <v>258</v>
      </c>
      <c r="CL3288" s="5" t="s">
        <v>496</v>
      </c>
      <c r="CM3288" s="5" t="s">
        <v>238</v>
      </c>
      <c r="CN3288" s="5">
        <v>0</v>
      </c>
      <c r="CO3288" s="5" t="s">
        <v>497</v>
      </c>
      <c r="CP3288" s="5" t="s">
        <v>260</v>
      </c>
      <c r="CQ3288" s="5" t="s">
        <v>260</v>
      </c>
      <c r="CR3288" s="5" t="s">
        <v>261</v>
      </c>
      <c r="CS3288" s="5" t="s">
        <v>498</v>
      </c>
      <c r="CT3288" s="7">
        <f>1</f>
        <v>1</v>
      </c>
      <c r="CU3288" s="8">
        <f>1</f>
        <v>1</v>
      </c>
      <c r="CV3288" s="8">
        <f>0</f>
        <v>0</v>
      </c>
      <c r="CX3288" s="8">
        <f>1</f>
        <v>1</v>
      </c>
      <c r="CY3288" s="8">
        <f>1</f>
        <v>1</v>
      </c>
      <c r="CZ3288" s="8" t="s">
        <v>238</v>
      </c>
      <c r="DA3288" s="5" t="s">
        <v>238</v>
      </c>
      <c r="DB3288" s="5" t="s">
        <v>238</v>
      </c>
      <c r="DC3288" s="5" t="s">
        <v>238</v>
      </c>
      <c r="DD3288" s="5" t="s">
        <v>238</v>
      </c>
      <c r="DE3288" s="8">
        <f>0</f>
        <v>0</v>
      </c>
      <c r="DG3288" s="5" t="s">
        <v>238</v>
      </c>
      <c r="DH3288" s="5" t="s">
        <v>238</v>
      </c>
      <c r="DI3288" s="5" t="s">
        <v>238</v>
      </c>
      <c r="DJ3288" s="5" t="s">
        <v>238</v>
      </c>
      <c r="DK3288" s="5" t="s">
        <v>238</v>
      </c>
      <c r="DL3288" s="5" t="s">
        <v>238</v>
      </c>
      <c r="DM3288" s="8" t="s">
        <v>238</v>
      </c>
      <c r="DN3288" s="5" t="s">
        <v>238</v>
      </c>
      <c r="DO3288" s="5" t="s">
        <v>238</v>
      </c>
      <c r="DP3288" s="5" t="s">
        <v>490</v>
      </c>
      <c r="DQ3288" s="5" t="s">
        <v>490</v>
      </c>
      <c r="DR3288" s="5" t="s">
        <v>238</v>
      </c>
      <c r="DS3288" s="5" t="s">
        <v>238</v>
      </c>
      <c r="DT3288" s="5" t="s">
        <v>881</v>
      </c>
      <c r="DU3288" s="5" t="s">
        <v>1098</v>
      </c>
      <c r="DV3288" s="5" t="s">
        <v>238</v>
      </c>
      <c r="DW3288" s="5" t="s">
        <v>238</v>
      </c>
      <c r="DX3288" s="5" t="s">
        <v>238</v>
      </c>
      <c r="DY3288" s="5" t="s">
        <v>238</v>
      </c>
      <c r="DZ3288" s="5" t="s">
        <v>238</v>
      </c>
      <c r="EA3288" s="5" t="s">
        <v>238</v>
      </c>
      <c r="EB3288" s="5" t="s">
        <v>238</v>
      </c>
      <c r="EC3288" s="5" t="s">
        <v>238</v>
      </c>
      <c r="ED3288" s="5" t="s">
        <v>238</v>
      </c>
      <c r="EE3288" s="5" t="s">
        <v>238</v>
      </c>
      <c r="EF3288" s="5" t="s">
        <v>238</v>
      </c>
      <c r="EG3288" s="5" t="s">
        <v>238</v>
      </c>
      <c r="EH3288" s="5" t="s">
        <v>238</v>
      </c>
      <c r="EI3288" s="5" t="s">
        <v>238</v>
      </c>
      <c r="EJ3288" s="5" t="s">
        <v>238</v>
      </c>
      <c r="EK3288" s="5" t="s">
        <v>238</v>
      </c>
      <c r="EL3288" s="5" t="s">
        <v>238</v>
      </c>
      <c r="EM3288" s="5" t="s">
        <v>238</v>
      </c>
      <c r="EN3288" s="5" t="s">
        <v>238</v>
      </c>
      <c r="EO3288" s="5" t="s">
        <v>238</v>
      </c>
      <c r="EP3288" s="5" t="s">
        <v>238</v>
      </c>
      <c r="EQ3288" s="5" t="s">
        <v>238</v>
      </c>
      <c r="ER3288" s="5" t="s">
        <v>238</v>
      </c>
      <c r="ES3288" s="5" t="s">
        <v>238</v>
      </c>
      <c r="ET3288" s="5" t="s">
        <v>238</v>
      </c>
      <c r="EU3288" s="5" t="s">
        <v>238</v>
      </c>
      <c r="EV3288" s="5" t="s">
        <v>238</v>
      </c>
      <c r="EW3288" s="5" t="s">
        <v>238</v>
      </c>
      <c r="EX3288" s="5" t="s">
        <v>238</v>
      </c>
      <c r="EY3288" s="5" t="s">
        <v>238</v>
      </c>
      <c r="EZ3288" s="5" t="s">
        <v>238</v>
      </c>
      <c r="FA3288" s="5" t="s">
        <v>238</v>
      </c>
      <c r="FB3288" s="5" t="s">
        <v>238</v>
      </c>
      <c r="FC3288" s="5" t="s">
        <v>238</v>
      </c>
      <c r="FD3288" s="5" t="s">
        <v>238</v>
      </c>
      <c r="FE3288" s="5" t="s">
        <v>238</v>
      </c>
      <c r="FF3288" s="5" t="s">
        <v>238</v>
      </c>
      <c r="FG3288" s="5" t="s">
        <v>238</v>
      </c>
      <c r="FH3288" s="5" t="s">
        <v>238</v>
      </c>
      <c r="FI3288" s="5" t="s">
        <v>238</v>
      </c>
      <c r="FJ3288" s="5" t="s">
        <v>238</v>
      </c>
      <c r="FK3288" s="5" t="s">
        <v>238</v>
      </c>
      <c r="FL3288" s="5" t="s">
        <v>238</v>
      </c>
      <c r="FM3288" s="5" t="s">
        <v>238</v>
      </c>
      <c r="FN3288" s="5" t="s">
        <v>238</v>
      </c>
      <c r="FO3288" s="5" t="s">
        <v>238</v>
      </c>
      <c r="FP3288" s="5" t="s">
        <v>238</v>
      </c>
      <c r="FQ3288" s="5" t="s">
        <v>238</v>
      </c>
      <c r="FR3288" s="5" t="s">
        <v>238</v>
      </c>
      <c r="FS3288" s="5" t="s">
        <v>238</v>
      </c>
      <c r="FT3288" s="5" t="s">
        <v>238</v>
      </c>
      <c r="FU3288" s="5" t="s">
        <v>238</v>
      </c>
      <c r="FV3288" s="5" t="s">
        <v>238</v>
      </c>
      <c r="FW3288" s="5" t="s">
        <v>238</v>
      </c>
      <c r="FX3288" s="5" t="s">
        <v>238</v>
      </c>
      <c r="FY3288" s="5" t="s">
        <v>238</v>
      </c>
      <c r="FZ3288" s="5" t="s">
        <v>238</v>
      </c>
      <c r="GA3288" s="5" t="s">
        <v>238</v>
      </c>
      <c r="GB3288" s="5" t="s">
        <v>238</v>
      </c>
      <c r="GC3288" s="5" t="s">
        <v>238</v>
      </c>
      <c r="GD3288" s="5" t="s">
        <v>238</v>
      </c>
      <c r="GE3288" s="5" t="s">
        <v>238</v>
      </c>
      <c r="GF3288" s="5" t="s">
        <v>238</v>
      </c>
      <c r="GG3288" s="5" t="s">
        <v>238</v>
      </c>
      <c r="GH3288" s="5" t="s">
        <v>238</v>
      </c>
      <c r="GI3288" s="5" t="s">
        <v>238</v>
      </c>
      <c r="GJ3288" s="5" t="s">
        <v>238</v>
      </c>
      <c r="GK3288" s="5" t="s">
        <v>238</v>
      </c>
      <c r="GL3288" s="5" t="s">
        <v>238</v>
      </c>
      <c r="GM3288" s="5" t="s">
        <v>238</v>
      </c>
      <c r="GN3288" s="5" t="s">
        <v>238</v>
      </c>
      <c r="GO3288" s="5" t="s">
        <v>238</v>
      </c>
      <c r="GP3288" s="5" t="s">
        <v>238</v>
      </c>
      <c r="GQ3288" s="5" t="s">
        <v>238</v>
      </c>
      <c r="GR3288" s="5" t="s">
        <v>238</v>
      </c>
      <c r="GS3288" s="5" t="s">
        <v>238</v>
      </c>
      <c r="GT3288" s="5" t="s">
        <v>238</v>
      </c>
      <c r="GU3288" s="5" t="s">
        <v>238</v>
      </c>
      <c r="GV3288" s="5" t="s">
        <v>238</v>
      </c>
      <c r="GW3288" s="5" t="s">
        <v>238</v>
      </c>
      <c r="GX3288" s="5" t="s">
        <v>238</v>
      </c>
      <c r="GY3288" s="5" t="s">
        <v>238</v>
      </c>
      <c r="GZ3288" s="5" t="s">
        <v>238</v>
      </c>
      <c r="HA3288" s="5" t="s">
        <v>238</v>
      </c>
      <c r="HB3288" s="5" t="s">
        <v>238</v>
      </c>
      <c r="HC3288" s="5" t="s">
        <v>238</v>
      </c>
      <c r="HD3288" s="5" t="s">
        <v>238</v>
      </c>
      <c r="HE3288" s="5" t="s">
        <v>238</v>
      </c>
      <c r="HF3288" s="5" t="s">
        <v>238</v>
      </c>
      <c r="HG3288" s="5" t="s">
        <v>238</v>
      </c>
      <c r="HH3288" s="5" t="s">
        <v>238</v>
      </c>
      <c r="HI3288" s="5" t="s">
        <v>238</v>
      </c>
      <c r="HJ3288" s="5" t="s">
        <v>238</v>
      </c>
      <c r="HK3288" s="5" t="s">
        <v>238</v>
      </c>
      <c r="HL3288" s="5" t="s">
        <v>238</v>
      </c>
      <c r="HM3288" s="5" t="s">
        <v>264</v>
      </c>
      <c r="HN3288" s="5" t="s">
        <v>238</v>
      </c>
      <c r="HO3288" s="5" t="s">
        <v>238</v>
      </c>
      <c r="HP3288" s="5" t="s">
        <v>238</v>
      </c>
      <c r="HQ3288" s="5" t="s">
        <v>238</v>
      </c>
      <c r="HR3288" s="5" t="s">
        <v>238</v>
      </c>
      <c r="HS3288" s="5" t="s">
        <v>238</v>
      </c>
      <c r="HT3288" s="5" t="s">
        <v>238</v>
      </c>
      <c r="HU3288" s="5" t="s">
        <v>238</v>
      </c>
      <c r="HV3288" s="5" t="s">
        <v>238</v>
      </c>
      <c r="HW3288" s="5" t="s">
        <v>238</v>
      </c>
      <c r="HX3288" s="5" t="s">
        <v>238</v>
      </c>
      <c r="HY3288" s="5" t="s">
        <v>238</v>
      </c>
      <c r="HZ3288" s="5" t="s">
        <v>238</v>
      </c>
      <c r="IA3288" s="5" t="s">
        <v>238</v>
      </c>
      <c r="IB3288" s="5" t="s">
        <v>238</v>
      </c>
      <c r="IC3288" s="5" t="s">
        <v>238</v>
      </c>
      <c r="ID3288" s="5" t="s">
        <v>238</v>
      </c>
    </row>
    <row r="3289" spans="1:238" x14ac:dyDescent="0.4">
      <c r="A3289" s="5">
        <v>9007</v>
      </c>
      <c r="B3289" s="5">
        <v>1</v>
      </c>
      <c r="C3289" s="5">
        <v>1</v>
      </c>
      <c r="D3289" s="5" t="s">
        <v>484</v>
      </c>
      <c r="E3289" s="5" t="s">
        <v>878</v>
      </c>
      <c r="F3289" s="5" t="s">
        <v>248</v>
      </c>
      <c r="G3289" s="5" t="s">
        <v>6859</v>
      </c>
      <c r="H3289" s="6" t="s">
        <v>6860</v>
      </c>
      <c r="I3289" s="8">
        <f>1</f>
        <v>1</v>
      </c>
      <c r="J3289" s="5" t="s">
        <v>499</v>
      </c>
      <c r="K3289" s="8">
        <f>1</f>
        <v>1</v>
      </c>
      <c r="L3289" s="6" t="s">
        <v>242</v>
      </c>
      <c r="M3289" s="5" t="s">
        <v>267</v>
      </c>
      <c r="N3289" s="5" t="s">
        <v>482</v>
      </c>
      <c r="Q3289" s="5" t="s">
        <v>239</v>
      </c>
      <c r="R3289" s="5" t="s">
        <v>270</v>
      </c>
      <c r="S3289" s="5" t="s">
        <v>238</v>
      </c>
      <c r="V3289" s="5" t="s">
        <v>238</v>
      </c>
      <c r="W3289" s="6" t="s">
        <v>238</v>
      </c>
      <c r="X3289" s="6" t="s">
        <v>238</v>
      </c>
      <c r="Y3289" s="5" t="s">
        <v>238</v>
      </c>
      <c r="Z3289" s="6" t="s">
        <v>238</v>
      </c>
      <c r="AA3289" s="6" t="s">
        <v>243</v>
      </c>
      <c r="AB3289" s="5" t="s">
        <v>879</v>
      </c>
      <c r="AC3289" s="5" t="s">
        <v>244</v>
      </c>
      <c r="AD3289" s="5" t="s">
        <v>245</v>
      </c>
      <c r="AJ3289" s="5" t="s">
        <v>238</v>
      </c>
      <c r="AK3289" s="5" t="s">
        <v>238</v>
      </c>
      <c r="AL3289" s="5" t="s">
        <v>238</v>
      </c>
      <c r="AM3289" s="6" t="s">
        <v>238</v>
      </c>
      <c r="AN3289" s="6" t="s">
        <v>238</v>
      </c>
      <c r="AO3289" s="6" t="s">
        <v>238</v>
      </c>
      <c r="AR3289" s="5" t="s">
        <v>488</v>
      </c>
      <c r="AS3289" s="5" t="s">
        <v>488</v>
      </c>
      <c r="AT3289" s="5" t="s">
        <v>246</v>
      </c>
      <c r="AU3289" s="5" t="s">
        <v>489</v>
      </c>
      <c r="AV3289" s="5" t="s">
        <v>247</v>
      </c>
      <c r="AW3289" s="5" t="s">
        <v>600</v>
      </c>
      <c r="AX3289" s="5" t="s">
        <v>249</v>
      </c>
      <c r="AY3289" s="5" t="s">
        <v>490</v>
      </c>
      <c r="BA3289" s="5" t="s">
        <v>238</v>
      </c>
      <c r="BC3289" s="5" t="s">
        <v>491</v>
      </c>
      <c r="BD3289" s="6" t="s">
        <v>492</v>
      </c>
      <c r="BE3289" s="5" t="s">
        <v>493</v>
      </c>
      <c r="BF3289" s="5" t="s">
        <v>493</v>
      </c>
      <c r="BG3289" s="5" t="s">
        <v>238</v>
      </c>
      <c r="BH3289" s="8">
        <f>1</f>
        <v>1</v>
      </c>
      <c r="BI3289" s="8">
        <f>1</f>
        <v>1</v>
      </c>
      <c r="BJ3289" s="5" t="s">
        <v>253</v>
      </c>
      <c r="BK3289" s="5" t="s">
        <v>254</v>
      </c>
      <c r="BL3289" s="5" t="s">
        <v>238</v>
      </c>
      <c r="BM3289" s="5" t="s">
        <v>238</v>
      </c>
      <c r="BN3289" s="5" t="s">
        <v>238</v>
      </c>
      <c r="BO3289" s="5" t="s">
        <v>238</v>
      </c>
      <c r="BT3289" s="6" t="s">
        <v>238</v>
      </c>
      <c r="BU3289" s="5" t="s">
        <v>238</v>
      </c>
      <c r="BV3289" s="5" t="s">
        <v>238</v>
      </c>
      <c r="BW3289" s="5" t="s">
        <v>238</v>
      </c>
      <c r="BX3289" s="5" t="s">
        <v>254</v>
      </c>
      <c r="BY3289" s="5" t="s">
        <v>238</v>
      </c>
      <c r="BZ3289" s="5" t="s">
        <v>238</v>
      </c>
      <c r="CD3289" s="5" t="s">
        <v>273</v>
      </c>
      <c r="CE3289" s="5" t="s">
        <v>256</v>
      </c>
      <c r="CF3289" s="5" t="s">
        <v>261</v>
      </c>
      <c r="CH3289" s="5" t="s">
        <v>494</v>
      </c>
      <c r="CI3289" s="6" t="s">
        <v>257</v>
      </c>
      <c r="CJ3289" s="5" t="s">
        <v>495</v>
      </c>
      <c r="CK3289" s="5" t="s">
        <v>258</v>
      </c>
      <c r="CL3289" s="5" t="s">
        <v>496</v>
      </c>
      <c r="CM3289" s="5" t="s">
        <v>238</v>
      </c>
      <c r="CN3289" s="5">
        <v>0</v>
      </c>
      <c r="CO3289" s="5" t="s">
        <v>497</v>
      </c>
      <c r="CP3289" s="5" t="s">
        <v>260</v>
      </c>
      <c r="CQ3289" s="5" t="s">
        <v>260</v>
      </c>
      <c r="CR3289" s="5" t="s">
        <v>261</v>
      </c>
      <c r="CS3289" s="5" t="s">
        <v>498</v>
      </c>
      <c r="CT3289" s="7">
        <f>1</f>
        <v>1</v>
      </c>
      <c r="CU3289" s="8">
        <f>1</f>
        <v>1</v>
      </c>
      <c r="CV3289" s="8">
        <f>0</f>
        <v>0</v>
      </c>
      <c r="CW3289" s="8" t="s">
        <v>238</v>
      </c>
      <c r="CX3289" s="8">
        <f>1</f>
        <v>1</v>
      </c>
      <c r="CY3289" s="8">
        <f>1</f>
        <v>1</v>
      </c>
      <c r="CZ3289" s="8" t="s">
        <v>238</v>
      </c>
      <c r="DA3289" s="5" t="s">
        <v>238</v>
      </c>
      <c r="DB3289" s="5" t="s">
        <v>238</v>
      </c>
      <c r="DD3289" s="5" t="s">
        <v>238</v>
      </c>
      <c r="DE3289" s="8">
        <f>0</f>
        <v>0</v>
      </c>
      <c r="DF3289" s="6" t="s">
        <v>238</v>
      </c>
      <c r="DG3289" s="5" t="s">
        <v>238</v>
      </c>
      <c r="DH3289" s="5" t="s">
        <v>238</v>
      </c>
      <c r="DI3289" s="5" t="s">
        <v>238</v>
      </c>
      <c r="DJ3289" s="5" t="s">
        <v>238</v>
      </c>
      <c r="DK3289" s="5" t="s">
        <v>238</v>
      </c>
      <c r="DL3289" s="5" t="s">
        <v>238</v>
      </c>
      <c r="DM3289" s="8" t="s">
        <v>238</v>
      </c>
      <c r="DN3289" s="5" t="s">
        <v>238</v>
      </c>
      <c r="DO3289" s="5" t="s">
        <v>244</v>
      </c>
      <c r="DP3289" s="5" t="s">
        <v>490</v>
      </c>
      <c r="DQ3289" s="5" t="s">
        <v>490</v>
      </c>
      <c r="DR3289" s="5" t="s">
        <v>238</v>
      </c>
      <c r="DS3289" s="5" t="s">
        <v>238</v>
      </c>
      <c r="DT3289" s="5" t="s">
        <v>881</v>
      </c>
      <c r="DU3289" s="5" t="s">
        <v>1376</v>
      </c>
      <c r="HP3289" s="5" t="s">
        <v>238</v>
      </c>
      <c r="HQ3289" s="5" t="s">
        <v>238</v>
      </c>
      <c r="HR3289" s="5" t="s">
        <v>238</v>
      </c>
      <c r="HS3289" s="5" t="s">
        <v>238</v>
      </c>
      <c r="HT3289" s="5" t="s">
        <v>238</v>
      </c>
      <c r="HU3289" s="5" t="s">
        <v>238</v>
      </c>
      <c r="HV3289" s="5" t="s">
        <v>238</v>
      </c>
      <c r="HW3289" s="5" t="s">
        <v>238</v>
      </c>
      <c r="HX3289" s="5" t="s">
        <v>238</v>
      </c>
      <c r="HY3289" s="5" t="s">
        <v>238</v>
      </c>
      <c r="HZ3289" s="5" t="s">
        <v>238</v>
      </c>
      <c r="IA3289" s="5" t="s">
        <v>238</v>
      </c>
      <c r="IB3289" s="5" t="s">
        <v>238</v>
      </c>
      <c r="IC3289" s="5" t="s">
        <v>238</v>
      </c>
      <c r="ID3289" s="5" t="s">
        <v>238</v>
      </c>
    </row>
    <row r="3290" spans="1:238" x14ac:dyDescent="0.4">
      <c r="A3290" s="5">
        <v>9008</v>
      </c>
      <c r="B3290" s="5">
        <v>1</v>
      </c>
      <c r="C3290" s="5">
        <v>1</v>
      </c>
      <c r="D3290" s="5" t="s">
        <v>484</v>
      </c>
      <c r="E3290" s="5" t="s">
        <v>878</v>
      </c>
      <c r="F3290" s="5" t="s">
        <v>248</v>
      </c>
      <c r="G3290" s="5" t="s">
        <v>6639</v>
      </c>
      <c r="H3290" s="6" t="s">
        <v>6640</v>
      </c>
      <c r="I3290" s="8">
        <f>1</f>
        <v>1</v>
      </c>
      <c r="J3290" s="5" t="s">
        <v>499</v>
      </c>
      <c r="K3290" s="8">
        <f>1</f>
        <v>1</v>
      </c>
      <c r="L3290" s="6" t="s">
        <v>242</v>
      </c>
      <c r="M3290" s="5" t="s">
        <v>267</v>
      </c>
      <c r="N3290" s="5" t="s">
        <v>482</v>
      </c>
      <c r="Q3290" s="5" t="s">
        <v>239</v>
      </c>
      <c r="R3290" s="5" t="s">
        <v>270</v>
      </c>
      <c r="S3290" s="5" t="s">
        <v>238</v>
      </c>
      <c r="V3290" s="5" t="s">
        <v>238</v>
      </c>
      <c r="W3290" s="6" t="s">
        <v>238</v>
      </c>
      <c r="X3290" s="6" t="s">
        <v>238</v>
      </c>
      <c r="Y3290" s="5" t="s">
        <v>238</v>
      </c>
      <c r="Z3290" s="6" t="s">
        <v>238</v>
      </c>
      <c r="AA3290" s="6" t="s">
        <v>243</v>
      </c>
      <c r="AB3290" s="5" t="s">
        <v>879</v>
      </c>
      <c r="AC3290" s="5" t="s">
        <v>244</v>
      </c>
      <c r="AD3290" s="5" t="s">
        <v>245</v>
      </c>
      <c r="AJ3290" s="5" t="s">
        <v>238</v>
      </c>
      <c r="AK3290" s="5" t="s">
        <v>238</v>
      </c>
      <c r="AL3290" s="5" t="s">
        <v>238</v>
      </c>
      <c r="AM3290" s="6" t="s">
        <v>238</v>
      </c>
      <c r="AN3290" s="6" t="s">
        <v>238</v>
      </c>
      <c r="AO3290" s="6" t="s">
        <v>238</v>
      </c>
      <c r="AR3290" s="5" t="s">
        <v>488</v>
      </c>
      <c r="AS3290" s="5" t="s">
        <v>488</v>
      </c>
      <c r="AT3290" s="5" t="s">
        <v>246</v>
      </c>
      <c r="AU3290" s="5" t="s">
        <v>489</v>
      </c>
      <c r="AV3290" s="5" t="s">
        <v>247</v>
      </c>
      <c r="AW3290" s="5" t="s">
        <v>600</v>
      </c>
      <c r="AX3290" s="5" t="s">
        <v>249</v>
      </c>
      <c r="AY3290" s="5" t="s">
        <v>490</v>
      </c>
      <c r="BA3290" s="5" t="s">
        <v>238</v>
      </c>
      <c r="BC3290" s="5" t="s">
        <v>491</v>
      </c>
      <c r="BD3290" s="6" t="s">
        <v>492</v>
      </c>
      <c r="BE3290" s="5" t="s">
        <v>493</v>
      </c>
      <c r="BF3290" s="5" t="s">
        <v>493</v>
      </c>
      <c r="BG3290" s="5" t="s">
        <v>238</v>
      </c>
      <c r="BH3290" s="8">
        <f>1</f>
        <v>1</v>
      </c>
      <c r="BI3290" s="8">
        <f>1</f>
        <v>1</v>
      </c>
      <c r="BJ3290" s="5" t="s">
        <v>253</v>
      </c>
      <c r="BK3290" s="5" t="s">
        <v>254</v>
      </c>
      <c r="BL3290" s="5" t="s">
        <v>238</v>
      </c>
      <c r="BM3290" s="5" t="s">
        <v>238</v>
      </c>
      <c r="BN3290" s="5" t="s">
        <v>238</v>
      </c>
      <c r="BO3290" s="5" t="s">
        <v>238</v>
      </c>
      <c r="BT3290" s="6" t="s">
        <v>238</v>
      </c>
      <c r="BU3290" s="5" t="s">
        <v>238</v>
      </c>
      <c r="BV3290" s="5" t="s">
        <v>238</v>
      </c>
      <c r="BW3290" s="5" t="s">
        <v>238</v>
      </c>
      <c r="BX3290" s="5" t="s">
        <v>254</v>
      </c>
      <c r="BY3290" s="5" t="s">
        <v>238</v>
      </c>
      <c r="BZ3290" s="5" t="s">
        <v>238</v>
      </c>
      <c r="CD3290" s="5" t="s">
        <v>273</v>
      </c>
      <c r="CE3290" s="5" t="s">
        <v>256</v>
      </c>
      <c r="CF3290" s="5" t="s">
        <v>261</v>
      </c>
      <c r="CH3290" s="5" t="s">
        <v>494</v>
      </c>
      <c r="CI3290" s="6" t="s">
        <v>257</v>
      </c>
      <c r="CJ3290" s="5" t="s">
        <v>495</v>
      </c>
      <c r="CK3290" s="5" t="s">
        <v>258</v>
      </c>
      <c r="CL3290" s="5" t="s">
        <v>496</v>
      </c>
      <c r="CM3290" s="5" t="s">
        <v>238</v>
      </c>
      <c r="CN3290" s="5">
        <v>0</v>
      </c>
      <c r="CO3290" s="5" t="s">
        <v>497</v>
      </c>
      <c r="CP3290" s="5" t="s">
        <v>260</v>
      </c>
      <c r="CQ3290" s="5" t="s">
        <v>260</v>
      </c>
      <c r="CR3290" s="5" t="s">
        <v>261</v>
      </c>
      <c r="CS3290" s="5" t="s">
        <v>498</v>
      </c>
      <c r="CT3290" s="7">
        <f>1</f>
        <v>1</v>
      </c>
      <c r="CU3290" s="8">
        <f>1</f>
        <v>1</v>
      </c>
      <c r="CV3290" s="8">
        <f>0</f>
        <v>0</v>
      </c>
      <c r="CW3290" s="8" t="s">
        <v>238</v>
      </c>
      <c r="CX3290" s="8">
        <f>1</f>
        <v>1</v>
      </c>
      <c r="CY3290" s="8">
        <f>1</f>
        <v>1</v>
      </c>
      <c r="CZ3290" s="8" t="s">
        <v>238</v>
      </c>
      <c r="DA3290" s="5" t="s">
        <v>238</v>
      </c>
      <c r="DB3290" s="5" t="s">
        <v>238</v>
      </c>
      <c r="DD3290" s="5" t="s">
        <v>238</v>
      </c>
      <c r="DE3290" s="8">
        <f>0</f>
        <v>0</v>
      </c>
      <c r="DF3290" s="6" t="s">
        <v>238</v>
      </c>
      <c r="DG3290" s="5" t="s">
        <v>238</v>
      </c>
      <c r="DH3290" s="5" t="s">
        <v>238</v>
      </c>
      <c r="DI3290" s="5" t="s">
        <v>238</v>
      </c>
      <c r="DJ3290" s="5" t="s">
        <v>238</v>
      </c>
      <c r="DK3290" s="5" t="s">
        <v>238</v>
      </c>
      <c r="DL3290" s="5" t="s">
        <v>238</v>
      </c>
      <c r="DM3290" s="8" t="s">
        <v>238</v>
      </c>
      <c r="DN3290" s="5" t="s">
        <v>238</v>
      </c>
      <c r="DO3290" s="5" t="s">
        <v>244</v>
      </c>
      <c r="DP3290" s="5" t="s">
        <v>490</v>
      </c>
      <c r="DQ3290" s="5" t="s">
        <v>490</v>
      </c>
      <c r="DR3290" s="5" t="s">
        <v>238</v>
      </c>
      <c r="DS3290" s="5" t="s">
        <v>238</v>
      </c>
      <c r="DT3290" s="5" t="s">
        <v>881</v>
      </c>
      <c r="DU3290" s="5" t="s">
        <v>967</v>
      </c>
      <c r="HP3290" s="5" t="s">
        <v>238</v>
      </c>
      <c r="HQ3290" s="5" t="s">
        <v>238</v>
      </c>
      <c r="HR3290" s="5" t="s">
        <v>238</v>
      </c>
      <c r="HS3290" s="5" t="s">
        <v>238</v>
      </c>
      <c r="HT3290" s="5" t="s">
        <v>238</v>
      </c>
      <c r="HU3290" s="5" t="s">
        <v>238</v>
      </c>
      <c r="HV3290" s="5" t="s">
        <v>238</v>
      </c>
      <c r="HW3290" s="5" t="s">
        <v>238</v>
      </c>
      <c r="HX3290" s="5" t="s">
        <v>238</v>
      </c>
      <c r="HY3290" s="5" t="s">
        <v>238</v>
      </c>
      <c r="HZ3290" s="5" t="s">
        <v>238</v>
      </c>
      <c r="IA3290" s="5" t="s">
        <v>238</v>
      </c>
      <c r="IB3290" s="5" t="s">
        <v>238</v>
      </c>
      <c r="IC3290" s="5" t="s">
        <v>238</v>
      </c>
      <c r="ID3290" s="5" t="s">
        <v>238</v>
      </c>
    </row>
    <row r="3291" spans="1:238" x14ac:dyDescent="0.4">
      <c r="A3291" s="5">
        <v>9009</v>
      </c>
      <c r="B3291" s="5">
        <v>1</v>
      </c>
      <c r="C3291" s="5">
        <v>1</v>
      </c>
      <c r="D3291" s="5" t="s">
        <v>484</v>
      </c>
      <c r="E3291" s="5" t="s">
        <v>878</v>
      </c>
      <c r="F3291" s="5" t="s">
        <v>248</v>
      </c>
      <c r="G3291" s="5" t="s">
        <v>6881</v>
      </c>
      <c r="H3291" s="6" t="s">
        <v>6882</v>
      </c>
      <c r="I3291" s="8">
        <f>1</f>
        <v>1</v>
      </c>
      <c r="J3291" s="5" t="s">
        <v>499</v>
      </c>
      <c r="K3291" s="8">
        <f>1</f>
        <v>1</v>
      </c>
      <c r="L3291" s="6" t="s">
        <v>242</v>
      </c>
      <c r="M3291" s="5" t="s">
        <v>267</v>
      </c>
      <c r="N3291" s="5" t="s">
        <v>482</v>
      </c>
      <c r="Q3291" s="5" t="s">
        <v>239</v>
      </c>
      <c r="R3291" s="5" t="s">
        <v>270</v>
      </c>
      <c r="S3291" s="5" t="s">
        <v>238</v>
      </c>
      <c r="V3291" s="5" t="s">
        <v>238</v>
      </c>
      <c r="W3291" s="6" t="s">
        <v>238</v>
      </c>
      <c r="X3291" s="6" t="s">
        <v>238</v>
      </c>
      <c r="Y3291" s="5" t="s">
        <v>238</v>
      </c>
      <c r="Z3291" s="6" t="s">
        <v>238</v>
      </c>
      <c r="AA3291" s="6" t="s">
        <v>243</v>
      </c>
      <c r="AB3291" s="5" t="s">
        <v>879</v>
      </c>
      <c r="AC3291" s="5" t="s">
        <v>244</v>
      </c>
      <c r="AD3291" s="5" t="s">
        <v>245</v>
      </c>
      <c r="AJ3291" s="5" t="s">
        <v>238</v>
      </c>
      <c r="AK3291" s="5" t="s">
        <v>238</v>
      </c>
      <c r="AL3291" s="5" t="s">
        <v>238</v>
      </c>
      <c r="AM3291" s="6" t="s">
        <v>238</v>
      </c>
      <c r="AN3291" s="6" t="s">
        <v>238</v>
      </c>
      <c r="AO3291" s="6" t="s">
        <v>238</v>
      </c>
      <c r="AR3291" s="5" t="s">
        <v>488</v>
      </c>
      <c r="AS3291" s="5" t="s">
        <v>488</v>
      </c>
      <c r="AT3291" s="5" t="s">
        <v>246</v>
      </c>
      <c r="AU3291" s="5" t="s">
        <v>489</v>
      </c>
      <c r="AV3291" s="5" t="s">
        <v>247</v>
      </c>
      <c r="AW3291" s="5" t="s">
        <v>600</v>
      </c>
      <c r="AX3291" s="5" t="s">
        <v>249</v>
      </c>
      <c r="AY3291" s="5" t="s">
        <v>490</v>
      </c>
      <c r="BA3291" s="5" t="s">
        <v>238</v>
      </c>
      <c r="BC3291" s="5" t="s">
        <v>491</v>
      </c>
      <c r="BD3291" s="6" t="s">
        <v>492</v>
      </c>
      <c r="BE3291" s="5" t="s">
        <v>493</v>
      </c>
      <c r="BF3291" s="5" t="s">
        <v>493</v>
      </c>
      <c r="BG3291" s="5" t="s">
        <v>238</v>
      </c>
      <c r="BH3291" s="8">
        <f>1</f>
        <v>1</v>
      </c>
      <c r="BI3291" s="8">
        <f>1</f>
        <v>1</v>
      </c>
      <c r="BJ3291" s="5" t="s">
        <v>253</v>
      </c>
      <c r="BK3291" s="5" t="s">
        <v>254</v>
      </c>
      <c r="BL3291" s="5" t="s">
        <v>238</v>
      </c>
      <c r="BM3291" s="5" t="s">
        <v>238</v>
      </c>
      <c r="BN3291" s="5" t="s">
        <v>238</v>
      </c>
      <c r="BO3291" s="5" t="s">
        <v>238</v>
      </c>
      <c r="BT3291" s="6" t="s">
        <v>238</v>
      </c>
      <c r="BU3291" s="5" t="s">
        <v>238</v>
      </c>
      <c r="BV3291" s="5" t="s">
        <v>238</v>
      </c>
      <c r="BW3291" s="5" t="s">
        <v>238</v>
      </c>
      <c r="BX3291" s="5" t="s">
        <v>254</v>
      </c>
      <c r="BY3291" s="5" t="s">
        <v>238</v>
      </c>
      <c r="BZ3291" s="5" t="s">
        <v>238</v>
      </c>
      <c r="CD3291" s="5" t="s">
        <v>273</v>
      </c>
      <c r="CE3291" s="5" t="s">
        <v>256</v>
      </c>
      <c r="CF3291" s="5" t="s">
        <v>261</v>
      </c>
      <c r="CH3291" s="5" t="s">
        <v>494</v>
      </c>
      <c r="CI3291" s="6" t="s">
        <v>257</v>
      </c>
      <c r="CJ3291" s="5" t="s">
        <v>495</v>
      </c>
      <c r="CK3291" s="5" t="s">
        <v>258</v>
      </c>
      <c r="CL3291" s="5" t="s">
        <v>496</v>
      </c>
      <c r="CM3291" s="5" t="s">
        <v>238</v>
      </c>
      <c r="CN3291" s="5">
        <v>0</v>
      </c>
      <c r="CO3291" s="5" t="s">
        <v>497</v>
      </c>
      <c r="CP3291" s="5" t="s">
        <v>260</v>
      </c>
      <c r="CQ3291" s="5" t="s">
        <v>260</v>
      </c>
      <c r="CR3291" s="5" t="s">
        <v>261</v>
      </c>
      <c r="CS3291" s="5" t="s">
        <v>498</v>
      </c>
      <c r="CT3291" s="7">
        <f>1</f>
        <v>1</v>
      </c>
      <c r="CU3291" s="8">
        <f>1</f>
        <v>1</v>
      </c>
      <c r="CV3291" s="8">
        <f>0</f>
        <v>0</v>
      </c>
      <c r="CW3291" s="8" t="s">
        <v>238</v>
      </c>
      <c r="CX3291" s="8">
        <f>1</f>
        <v>1</v>
      </c>
      <c r="CY3291" s="8">
        <f>1</f>
        <v>1</v>
      </c>
      <c r="CZ3291" s="8" t="s">
        <v>238</v>
      </c>
      <c r="DA3291" s="5" t="s">
        <v>238</v>
      </c>
      <c r="DB3291" s="5" t="s">
        <v>238</v>
      </c>
      <c r="DD3291" s="5" t="s">
        <v>238</v>
      </c>
      <c r="DE3291" s="8">
        <f>0</f>
        <v>0</v>
      </c>
      <c r="DF3291" s="6" t="s">
        <v>238</v>
      </c>
      <c r="DG3291" s="5" t="s">
        <v>238</v>
      </c>
      <c r="DH3291" s="5" t="s">
        <v>238</v>
      </c>
      <c r="DI3291" s="5" t="s">
        <v>238</v>
      </c>
      <c r="DJ3291" s="5" t="s">
        <v>238</v>
      </c>
      <c r="DK3291" s="5" t="s">
        <v>238</v>
      </c>
      <c r="DL3291" s="5" t="s">
        <v>238</v>
      </c>
      <c r="DM3291" s="8" t="s">
        <v>238</v>
      </c>
      <c r="DN3291" s="5" t="s">
        <v>238</v>
      </c>
      <c r="DO3291" s="5" t="s">
        <v>244</v>
      </c>
      <c r="DP3291" s="5" t="s">
        <v>490</v>
      </c>
      <c r="DQ3291" s="5" t="s">
        <v>490</v>
      </c>
      <c r="DR3291" s="5" t="s">
        <v>238</v>
      </c>
      <c r="DS3291" s="5" t="s">
        <v>238</v>
      </c>
      <c r="DT3291" s="5" t="s">
        <v>881</v>
      </c>
      <c r="DU3291" s="5" t="s">
        <v>911</v>
      </c>
      <c r="HP3291" s="5" t="s">
        <v>238</v>
      </c>
      <c r="HQ3291" s="5" t="s">
        <v>238</v>
      </c>
      <c r="HR3291" s="5" t="s">
        <v>238</v>
      </c>
      <c r="HS3291" s="5" t="s">
        <v>238</v>
      </c>
      <c r="HT3291" s="5" t="s">
        <v>238</v>
      </c>
      <c r="HU3291" s="5" t="s">
        <v>238</v>
      </c>
      <c r="HV3291" s="5" t="s">
        <v>238</v>
      </c>
      <c r="HW3291" s="5" t="s">
        <v>238</v>
      </c>
      <c r="HX3291" s="5" t="s">
        <v>238</v>
      </c>
      <c r="HY3291" s="5" t="s">
        <v>238</v>
      </c>
      <c r="HZ3291" s="5" t="s">
        <v>238</v>
      </c>
      <c r="IA3291" s="5" t="s">
        <v>238</v>
      </c>
      <c r="IB3291" s="5" t="s">
        <v>238</v>
      </c>
      <c r="IC3291" s="5" t="s">
        <v>238</v>
      </c>
      <c r="ID3291" s="5" t="s">
        <v>238</v>
      </c>
    </row>
    <row r="3292" spans="1:238" x14ac:dyDescent="0.4">
      <c r="A3292" s="5">
        <v>9010</v>
      </c>
      <c r="B3292" s="5">
        <v>1</v>
      </c>
      <c r="C3292" s="5">
        <v>1</v>
      </c>
      <c r="D3292" s="5" t="s">
        <v>484</v>
      </c>
      <c r="E3292" s="5" t="s">
        <v>878</v>
      </c>
      <c r="F3292" s="5" t="s">
        <v>248</v>
      </c>
      <c r="G3292" s="5" t="s">
        <v>6818</v>
      </c>
      <c r="H3292" s="6" t="s">
        <v>6819</v>
      </c>
      <c r="I3292" s="8">
        <f>1</f>
        <v>1</v>
      </c>
      <c r="J3292" s="5" t="s">
        <v>499</v>
      </c>
      <c r="K3292" s="8">
        <f>1</f>
        <v>1</v>
      </c>
      <c r="L3292" s="6" t="s">
        <v>242</v>
      </c>
      <c r="M3292" s="5" t="s">
        <v>267</v>
      </c>
      <c r="N3292" s="5" t="s">
        <v>482</v>
      </c>
      <c r="Q3292" s="5" t="s">
        <v>239</v>
      </c>
      <c r="R3292" s="5" t="s">
        <v>270</v>
      </c>
      <c r="S3292" s="5" t="s">
        <v>238</v>
      </c>
      <c r="V3292" s="5" t="s">
        <v>238</v>
      </c>
      <c r="W3292" s="6" t="s">
        <v>238</v>
      </c>
      <c r="X3292" s="6" t="s">
        <v>238</v>
      </c>
      <c r="Y3292" s="5" t="s">
        <v>238</v>
      </c>
      <c r="Z3292" s="6" t="s">
        <v>238</v>
      </c>
      <c r="AA3292" s="6" t="s">
        <v>243</v>
      </c>
      <c r="AB3292" s="5" t="s">
        <v>879</v>
      </c>
      <c r="AC3292" s="5" t="s">
        <v>244</v>
      </c>
      <c r="AD3292" s="5" t="s">
        <v>245</v>
      </c>
      <c r="AJ3292" s="5" t="s">
        <v>238</v>
      </c>
      <c r="AK3292" s="5" t="s">
        <v>238</v>
      </c>
      <c r="AL3292" s="5" t="s">
        <v>238</v>
      </c>
      <c r="AM3292" s="6" t="s">
        <v>238</v>
      </c>
      <c r="AN3292" s="6" t="s">
        <v>238</v>
      </c>
      <c r="AO3292" s="6" t="s">
        <v>238</v>
      </c>
      <c r="AR3292" s="5" t="s">
        <v>488</v>
      </c>
      <c r="AS3292" s="5" t="s">
        <v>488</v>
      </c>
      <c r="AT3292" s="5" t="s">
        <v>246</v>
      </c>
      <c r="AU3292" s="5" t="s">
        <v>489</v>
      </c>
      <c r="AV3292" s="5" t="s">
        <v>247</v>
      </c>
      <c r="AW3292" s="5" t="s">
        <v>600</v>
      </c>
      <c r="AX3292" s="5" t="s">
        <v>249</v>
      </c>
      <c r="AY3292" s="5" t="s">
        <v>490</v>
      </c>
      <c r="BA3292" s="5" t="s">
        <v>238</v>
      </c>
      <c r="BC3292" s="5" t="s">
        <v>491</v>
      </c>
      <c r="BD3292" s="6" t="s">
        <v>492</v>
      </c>
      <c r="BE3292" s="5" t="s">
        <v>493</v>
      </c>
      <c r="BF3292" s="5" t="s">
        <v>493</v>
      </c>
      <c r="BG3292" s="5" t="s">
        <v>238</v>
      </c>
      <c r="BH3292" s="8">
        <f>1</f>
        <v>1</v>
      </c>
      <c r="BI3292" s="8">
        <f>1</f>
        <v>1</v>
      </c>
      <c r="BJ3292" s="5" t="s">
        <v>253</v>
      </c>
      <c r="BK3292" s="5" t="s">
        <v>254</v>
      </c>
      <c r="BL3292" s="5" t="s">
        <v>238</v>
      </c>
      <c r="BM3292" s="5" t="s">
        <v>238</v>
      </c>
      <c r="BN3292" s="5" t="s">
        <v>238</v>
      </c>
      <c r="BO3292" s="5" t="s">
        <v>238</v>
      </c>
      <c r="BT3292" s="6" t="s">
        <v>238</v>
      </c>
      <c r="BU3292" s="5" t="s">
        <v>238</v>
      </c>
      <c r="BV3292" s="5" t="s">
        <v>238</v>
      </c>
      <c r="BW3292" s="5" t="s">
        <v>238</v>
      </c>
      <c r="BX3292" s="5" t="s">
        <v>254</v>
      </c>
      <c r="BY3292" s="5" t="s">
        <v>238</v>
      </c>
      <c r="BZ3292" s="5" t="s">
        <v>238</v>
      </c>
      <c r="CD3292" s="5" t="s">
        <v>273</v>
      </c>
      <c r="CE3292" s="5" t="s">
        <v>256</v>
      </c>
      <c r="CF3292" s="5" t="s">
        <v>261</v>
      </c>
      <c r="CH3292" s="5" t="s">
        <v>494</v>
      </c>
      <c r="CI3292" s="6" t="s">
        <v>257</v>
      </c>
      <c r="CJ3292" s="5" t="s">
        <v>495</v>
      </c>
      <c r="CK3292" s="5" t="s">
        <v>258</v>
      </c>
      <c r="CL3292" s="5" t="s">
        <v>496</v>
      </c>
      <c r="CM3292" s="5" t="s">
        <v>238</v>
      </c>
      <c r="CN3292" s="5">
        <v>0</v>
      </c>
      <c r="CO3292" s="5" t="s">
        <v>497</v>
      </c>
      <c r="CP3292" s="5" t="s">
        <v>260</v>
      </c>
      <c r="CQ3292" s="5" t="s">
        <v>260</v>
      </c>
      <c r="CR3292" s="5" t="s">
        <v>261</v>
      </c>
      <c r="CS3292" s="5" t="s">
        <v>498</v>
      </c>
      <c r="CT3292" s="7">
        <f>1</f>
        <v>1</v>
      </c>
      <c r="CU3292" s="8">
        <f>1</f>
        <v>1</v>
      </c>
      <c r="CV3292" s="8">
        <f>0</f>
        <v>0</v>
      </c>
      <c r="CW3292" s="8" t="s">
        <v>238</v>
      </c>
      <c r="CX3292" s="8">
        <f>1</f>
        <v>1</v>
      </c>
      <c r="CY3292" s="8">
        <f>1</f>
        <v>1</v>
      </c>
      <c r="CZ3292" s="8" t="s">
        <v>238</v>
      </c>
      <c r="DA3292" s="5" t="s">
        <v>238</v>
      </c>
      <c r="DB3292" s="5" t="s">
        <v>238</v>
      </c>
      <c r="DD3292" s="5" t="s">
        <v>238</v>
      </c>
      <c r="DE3292" s="8">
        <f>0</f>
        <v>0</v>
      </c>
      <c r="DF3292" s="6" t="s">
        <v>238</v>
      </c>
      <c r="DG3292" s="5" t="s">
        <v>238</v>
      </c>
      <c r="DH3292" s="5" t="s">
        <v>238</v>
      </c>
      <c r="DI3292" s="5" t="s">
        <v>238</v>
      </c>
      <c r="DJ3292" s="5" t="s">
        <v>238</v>
      </c>
      <c r="DK3292" s="5" t="s">
        <v>238</v>
      </c>
      <c r="DL3292" s="5" t="s">
        <v>238</v>
      </c>
      <c r="DM3292" s="8" t="s">
        <v>238</v>
      </c>
      <c r="DN3292" s="5" t="s">
        <v>238</v>
      </c>
      <c r="DO3292" s="5" t="s">
        <v>244</v>
      </c>
      <c r="DP3292" s="5" t="s">
        <v>490</v>
      </c>
      <c r="DQ3292" s="5" t="s">
        <v>490</v>
      </c>
      <c r="DR3292" s="5" t="s">
        <v>238</v>
      </c>
      <c r="DS3292" s="5" t="s">
        <v>238</v>
      </c>
      <c r="DT3292" s="5" t="s">
        <v>881</v>
      </c>
      <c r="DU3292" s="5" t="s">
        <v>854</v>
      </c>
      <c r="HP3292" s="5" t="s">
        <v>238</v>
      </c>
      <c r="HQ3292" s="5" t="s">
        <v>238</v>
      </c>
      <c r="HR3292" s="5" t="s">
        <v>238</v>
      </c>
      <c r="HS3292" s="5" t="s">
        <v>238</v>
      </c>
      <c r="HT3292" s="5" t="s">
        <v>238</v>
      </c>
      <c r="HU3292" s="5" t="s">
        <v>238</v>
      </c>
      <c r="HV3292" s="5" t="s">
        <v>238</v>
      </c>
      <c r="HW3292" s="5" t="s">
        <v>238</v>
      </c>
      <c r="HX3292" s="5" t="s">
        <v>238</v>
      </c>
      <c r="HY3292" s="5" t="s">
        <v>238</v>
      </c>
      <c r="HZ3292" s="5" t="s">
        <v>238</v>
      </c>
      <c r="IA3292" s="5" t="s">
        <v>238</v>
      </c>
      <c r="IB3292" s="5" t="s">
        <v>238</v>
      </c>
      <c r="IC3292" s="5" t="s">
        <v>238</v>
      </c>
      <c r="ID3292" s="5" t="s">
        <v>238</v>
      </c>
    </row>
    <row r="3293" spans="1:238" x14ac:dyDescent="0.4">
      <c r="A3293" s="5">
        <v>9011</v>
      </c>
      <c r="B3293" s="5">
        <v>1</v>
      </c>
      <c r="C3293" s="5">
        <v>1</v>
      </c>
      <c r="D3293" s="5" t="s">
        <v>484</v>
      </c>
      <c r="E3293" s="5" t="s">
        <v>878</v>
      </c>
      <c r="F3293" s="5" t="s">
        <v>248</v>
      </c>
      <c r="G3293" s="5" t="s">
        <v>6825</v>
      </c>
      <c r="H3293" s="6" t="s">
        <v>6826</v>
      </c>
      <c r="I3293" s="8">
        <f>1</f>
        <v>1</v>
      </c>
      <c r="J3293" s="5" t="s">
        <v>499</v>
      </c>
      <c r="K3293" s="8">
        <f>1</f>
        <v>1</v>
      </c>
      <c r="L3293" s="6" t="s">
        <v>242</v>
      </c>
      <c r="M3293" s="5" t="s">
        <v>267</v>
      </c>
      <c r="N3293" s="5" t="s">
        <v>482</v>
      </c>
      <c r="Q3293" s="5" t="s">
        <v>239</v>
      </c>
      <c r="R3293" s="5" t="s">
        <v>270</v>
      </c>
      <c r="S3293" s="5" t="s">
        <v>238</v>
      </c>
      <c r="V3293" s="5" t="s">
        <v>238</v>
      </c>
      <c r="W3293" s="6" t="s">
        <v>238</v>
      </c>
      <c r="X3293" s="6" t="s">
        <v>238</v>
      </c>
      <c r="Y3293" s="5" t="s">
        <v>238</v>
      </c>
      <c r="Z3293" s="6" t="s">
        <v>238</v>
      </c>
      <c r="AA3293" s="6" t="s">
        <v>243</v>
      </c>
      <c r="AB3293" s="5" t="s">
        <v>879</v>
      </c>
      <c r="AC3293" s="5" t="s">
        <v>244</v>
      </c>
      <c r="AD3293" s="5" t="s">
        <v>245</v>
      </c>
      <c r="AJ3293" s="5" t="s">
        <v>238</v>
      </c>
      <c r="AK3293" s="5" t="s">
        <v>238</v>
      </c>
      <c r="AL3293" s="5" t="s">
        <v>238</v>
      </c>
      <c r="AM3293" s="6" t="s">
        <v>238</v>
      </c>
      <c r="AN3293" s="6" t="s">
        <v>238</v>
      </c>
      <c r="AO3293" s="6" t="s">
        <v>238</v>
      </c>
      <c r="AR3293" s="5" t="s">
        <v>488</v>
      </c>
      <c r="AS3293" s="5" t="s">
        <v>488</v>
      </c>
      <c r="AT3293" s="5" t="s">
        <v>246</v>
      </c>
      <c r="AU3293" s="5" t="s">
        <v>489</v>
      </c>
      <c r="AV3293" s="5" t="s">
        <v>247</v>
      </c>
      <c r="AW3293" s="5" t="s">
        <v>600</v>
      </c>
      <c r="AX3293" s="5" t="s">
        <v>249</v>
      </c>
      <c r="AY3293" s="5" t="s">
        <v>490</v>
      </c>
      <c r="BA3293" s="5" t="s">
        <v>238</v>
      </c>
      <c r="BC3293" s="5" t="s">
        <v>491</v>
      </c>
      <c r="BD3293" s="6" t="s">
        <v>492</v>
      </c>
      <c r="BE3293" s="5" t="s">
        <v>493</v>
      </c>
      <c r="BF3293" s="5" t="s">
        <v>493</v>
      </c>
      <c r="BG3293" s="5" t="s">
        <v>238</v>
      </c>
      <c r="BH3293" s="8">
        <f>1</f>
        <v>1</v>
      </c>
      <c r="BI3293" s="8">
        <f>1</f>
        <v>1</v>
      </c>
      <c r="BJ3293" s="5" t="s">
        <v>253</v>
      </c>
      <c r="BK3293" s="5" t="s">
        <v>254</v>
      </c>
      <c r="BL3293" s="5" t="s">
        <v>238</v>
      </c>
      <c r="BM3293" s="5" t="s">
        <v>238</v>
      </c>
      <c r="BN3293" s="5" t="s">
        <v>238</v>
      </c>
      <c r="BO3293" s="5" t="s">
        <v>238</v>
      </c>
      <c r="BT3293" s="6" t="s">
        <v>238</v>
      </c>
      <c r="BU3293" s="5" t="s">
        <v>238</v>
      </c>
      <c r="BV3293" s="5" t="s">
        <v>238</v>
      </c>
      <c r="BW3293" s="5" t="s">
        <v>238</v>
      </c>
      <c r="BX3293" s="5" t="s">
        <v>254</v>
      </c>
      <c r="BY3293" s="5" t="s">
        <v>238</v>
      </c>
      <c r="BZ3293" s="5" t="s">
        <v>238</v>
      </c>
      <c r="CD3293" s="5" t="s">
        <v>273</v>
      </c>
      <c r="CE3293" s="5" t="s">
        <v>256</v>
      </c>
      <c r="CF3293" s="5" t="s">
        <v>261</v>
      </c>
      <c r="CH3293" s="5" t="s">
        <v>494</v>
      </c>
      <c r="CI3293" s="6" t="s">
        <v>257</v>
      </c>
      <c r="CJ3293" s="5" t="s">
        <v>495</v>
      </c>
      <c r="CK3293" s="5" t="s">
        <v>258</v>
      </c>
      <c r="CL3293" s="5" t="s">
        <v>496</v>
      </c>
      <c r="CM3293" s="5" t="s">
        <v>238</v>
      </c>
      <c r="CN3293" s="5">
        <v>0</v>
      </c>
      <c r="CO3293" s="5" t="s">
        <v>497</v>
      </c>
      <c r="CP3293" s="5" t="s">
        <v>260</v>
      </c>
      <c r="CQ3293" s="5" t="s">
        <v>260</v>
      </c>
      <c r="CR3293" s="5" t="s">
        <v>261</v>
      </c>
      <c r="CS3293" s="5" t="s">
        <v>498</v>
      </c>
      <c r="CT3293" s="7">
        <f>1</f>
        <v>1</v>
      </c>
      <c r="CU3293" s="8">
        <f>1</f>
        <v>1</v>
      </c>
      <c r="CV3293" s="8">
        <f>0</f>
        <v>0</v>
      </c>
      <c r="CW3293" s="8" t="s">
        <v>238</v>
      </c>
      <c r="CX3293" s="8">
        <f>1</f>
        <v>1</v>
      </c>
      <c r="CY3293" s="8">
        <f>1</f>
        <v>1</v>
      </c>
      <c r="CZ3293" s="8" t="s">
        <v>238</v>
      </c>
      <c r="DA3293" s="5" t="s">
        <v>238</v>
      </c>
      <c r="DB3293" s="5" t="s">
        <v>238</v>
      </c>
      <c r="DD3293" s="5" t="s">
        <v>238</v>
      </c>
      <c r="DE3293" s="8">
        <f>0</f>
        <v>0</v>
      </c>
      <c r="DF3293" s="6" t="s">
        <v>238</v>
      </c>
      <c r="DG3293" s="5" t="s">
        <v>238</v>
      </c>
      <c r="DH3293" s="5" t="s">
        <v>238</v>
      </c>
      <c r="DI3293" s="5" t="s">
        <v>238</v>
      </c>
      <c r="DJ3293" s="5" t="s">
        <v>238</v>
      </c>
      <c r="DK3293" s="5" t="s">
        <v>238</v>
      </c>
      <c r="DL3293" s="5" t="s">
        <v>238</v>
      </c>
      <c r="DM3293" s="8" t="s">
        <v>238</v>
      </c>
      <c r="DN3293" s="5" t="s">
        <v>238</v>
      </c>
      <c r="DO3293" s="5" t="s">
        <v>244</v>
      </c>
      <c r="DP3293" s="5" t="s">
        <v>490</v>
      </c>
      <c r="DQ3293" s="5" t="s">
        <v>490</v>
      </c>
      <c r="DR3293" s="5" t="s">
        <v>238</v>
      </c>
      <c r="DS3293" s="5" t="s">
        <v>238</v>
      </c>
      <c r="DT3293" s="5" t="s">
        <v>881</v>
      </c>
      <c r="DU3293" s="5" t="s">
        <v>806</v>
      </c>
      <c r="HP3293" s="5" t="s">
        <v>238</v>
      </c>
      <c r="HQ3293" s="5" t="s">
        <v>238</v>
      </c>
      <c r="HR3293" s="5" t="s">
        <v>238</v>
      </c>
      <c r="HS3293" s="5" t="s">
        <v>238</v>
      </c>
      <c r="HT3293" s="5" t="s">
        <v>238</v>
      </c>
      <c r="HU3293" s="5" t="s">
        <v>238</v>
      </c>
      <c r="HV3293" s="5" t="s">
        <v>238</v>
      </c>
      <c r="HW3293" s="5" t="s">
        <v>238</v>
      </c>
      <c r="HX3293" s="5" t="s">
        <v>238</v>
      </c>
      <c r="HY3293" s="5" t="s">
        <v>238</v>
      </c>
      <c r="HZ3293" s="5" t="s">
        <v>238</v>
      </c>
      <c r="IA3293" s="5" t="s">
        <v>238</v>
      </c>
      <c r="IB3293" s="5" t="s">
        <v>238</v>
      </c>
      <c r="IC3293" s="5" t="s">
        <v>238</v>
      </c>
      <c r="ID3293" s="5" t="s">
        <v>238</v>
      </c>
    </row>
    <row r="3294" spans="1:238" x14ac:dyDescent="0.4">
      <c r="A3294" s="5">
        <v>9012</v>
      </c>
      <c r="B3294" s="5">
        <v>1</v>
      </c>
      <c r="C3294" s="5">
        <v>1</v>
      </c>
      <c r="D3294" s="5" t="s">
        <v>484</v>
      </c>
      <c r="E3294" s="5" t="s">
        <v>878</v>
      </c>
      <c r="F3294" s="5" t="s">
        <v>248</v>
      </c>
      <c r="G3294" s="5" t="s">
        <v>6659</v>
      </c>
      <c r="H3294" s="6" t="s">
        <v>6660</v>
      </c>
      <c r="I3294" s="8">
        <f>1</f>
        <v>1</v>
      </c>
      <c r="J3294" s="5" t="s">
        <v>499</v>
      </c>
      <c r="K3294" s="8">
        <f>1</f>
        <v>1</v>
      </c>
      <c r="L3294" s="6" t="s">
        <v>242</v>
      </c>
      <c r="M3294" s="5" t="s">
        <v>267</v>
      </c>
      <c r="N3294" s="5" t="s">
        <v>482</v>
      </c>
      <c r="Q3294" s="5" t="s">
        <v>239</v>
      </c>
      <c r="R3294" s="5" t="s">
        <v>270</v>
      </c>
      <c r="S3294" s="5" t="s">
        <v>238</v>
      </c>
      <c r="V3294" s="5" t="s">
        <v>238</v>
      </c>
      <c r="W3294" s="6" t="s">
        <v>238</v>
      </c>
      <c r="X3294" s="6" t="s">
        <v>238</v>
      </c>
      <c r="Y3294" s="5" t="s">
        <v>238</v>
      </c>
      <c r="Z3294" s="6" t="s">
        <v>238</v>
      </c>
      <c r="AA3294" s="6" t="s">
        <v>243</v>
      </c>
      <c r="AB3294" s="5" t="s">
        <v>879</v>
      </c>
      <c r="AC3294" s="5" t="s">
        <v>244</v>
      </c>
      <c r="AD3294" s="5" t="s">
        <v>245</v>
      </c>
      <c r="AJ3294" s="5" t="s">
        <v>238</v>
      </c>
      <c r="AK3294" s="5" t="s">
        <v>238</v>
      </c>
      <c r="AL3294" s="5" t="s">
        <v>238</v>
      </c>
      <c r="AM3294" s="6" t="s">
        <v>238</v>
      </c>
      <c r="AN3294" s="6" t="s">
        <v>238</v>
      </c>
      <c r="AO3294" s="6" t="s">
        <v>238</v>
      </c>
      <c r="AR3294" s="5" t="s">
        <v>488</v>
      </c>
      <c r="AS3294" s="5" t="s">
        <v>488</v>
      </c>
      <c r="AT3294" s="5" t="s">
        <v>246</v>
      </c>
      <c r="AU3294" s="5" t="s">
        <v>489</v>
      </c>
      <c r="AV3294" s="5" t="s">
        <v>247</v>
      </c>
      <c r="AW3294" s="5" t="s">
        <v>600</v>
      </c>
      <c r="AX3294" s="5" t="s">
        <v>249</v>
      </c>
      <c r="AY3294" s="5" t="s">
        <v>490</v>
      </c>
      <c r="BA3294" s="5" t="s">
        <v>238</v>
      </c>
      <c r="BC3294" s="5" t="s">
        <v>491</v>
      </c>
      <c r="BD3294" s="6" t="s">
        <v>492</v>
      </c>
      <c r="BE3294" s="5" t="s">
        <v>493</v>
      </c>
      <c r="BF3294" s="5" t="s">
        <v>493</v>
      </c>
      <c r="BG3294" s="5" t="s">
        <v>238</v>
      </c>
      <c r="BH3294" s="8">
        <f>1</f>
        <v>1</v>
      </c>
      <c r="BI3294" s="8">
        <f>1</f>
        <v>1</v>
      </c>
      <c r="BJ3294" s="5" t="s">
        <v>253</v>
      </c>
      <c r="BK3294" s="5" t="s">
        <v>254</v>
      </c>
      <c r="BL3294" s="5" t="s">
        <v>238</v>
      </c>
      <c r="BM3294" s="5" t="s">
        <v>238</v>
      </c>
      <c r="BN3294" s="5" t="s">
        <v>238</v>
      </c>
      <c r="BO3294" s="5" t="s">
        <v>238</v>
      </c>
      <c r="BT3294" s="6" t="s">
        <v>238</v>
      </c>
      <c r="BU3294" s="5" t="s">
        <v>238</v>
      </c>
      <c r="BV3294" s="5" t="s">
        <v>238</v>
      </c>
      <c r="BW3294" s="5" t="s">
        <v>238</v>
      </c>
      <c r="BX3294" s="5" t="s">
        <v>254</v>
      </c>
      <c r="BY3294" s="5" t="s">
        <v>238</v>
      </c>
      <c r="BZ3294" s="5" t="s">
        <v>238</v>
      </c>
      <c r="CD3294" s="5" t="s">
        <v>273</v>
      </c>
      <c r="CE3294" s="5" t="s">
        <v>256</v>
      </c>
      <c r="CF3294" s="5" t="s">
        <v>261</v>
      </c>
      <c r="CH3294" s="5" t="s">
        <v>494</v>
      </c>
      <c r="CI3294" s="6" t="s">
        <v>257</v>
      </c>
      <c r="CJ3294" s="5" t="s">
        <v>495</v>
      </c>
      <c r="CK3294" s="5" t="s">
        <v>258</v>
      </c>
      <c r="CL3294" s="5" t="s">
        <v>496</v>
      </c>
      <c r="CM3294" s="5" t="s">
        <v>238</v>
      </c>
      <c r="CN3294" s="5">
        <v>0</v>
      </c>
      <c r="CO3294" s="5" t="s">
        <v>497</v>
      </c>
      <c r="CP3294" s="5" t="s">
        <v>260</v>
      </c>
      <c r="CQ3294" s="5" t="s">
        <v>260</v>
      </c>
      <c r="CR3294" s="5" t="s">
        <v>261</v>
      </c>
      <c r="CS3294" s="5" t="s">
        <v>498</v>
      </c>
      <c r="CT3294" s="7">
        <f>1</f>
        <v>1</v>
      </c>
      <c r="CU3294" s="8">
        <f>1</f>
        <v>1</v>
      </c>
      <c r="CV3294" s="8">
        <f>0</f>
        <v>0</v>
      </c>
      <c r="CW3294" s="8" t="s">
        <v>238</v>
      </c>
      <c r="CX3294" s="8">
        <f>1</f>
        <v>1</v>
      </c>
      <c r="CY3294" s="8">
        <f>1</f>
        <v>1</v>
      </c>
      <c r="CZ3294" s="8" t="s">
        <v>238</v>
      </c>
      <c r="DA3294" s="5" t="s">
        <v>238</v>
      </c>
      <c r="DB3294" s="5" t="s">
        <v>238</v>
      </c>
      <c r="DD3294" s="5" t="s">
        <v>238</v>
      </c>
      <c r="DE3294" s="8">
        <f>0</f>
        <v>0</v>
      </c>
      <c r="DF3294" s="6" t="s">
        <v>238</v>
      </c>
      <c r="DG3294" s="5" t="s">
        <v>238</v>
      </c>
      <c r="DH3294" s="5" t="s">
        <v>238</v>
      </c>
      <c r="DI3294" s="5" t="s">
        <v>238</v>
      </c>
      <c r="DJ3294" s="5" t="s">
        <v>238</v>
      </c>
      <c r="DK3294" s="5" t="s">
        <v>238</v>
      </c>
      <c r="DL3294" s="5" t="s">
        <v>238</v>
      </c>
      <c r="DM3294" s="8" t="s">
        <v>238</v>
      </c>
      <c r="DN3294" s="5" t="s">
        <v>238</v>
      </c>
      <c r="DO3294" s="5" t="s">
        <v>244</v>
      </c>
      <c r="DP3294" s="5" t="s">
        <v>490</v>
      </c>
      <c r="DQ3294" s="5" t="s">
        <v>490</v>
      </c>
      <c r="DR3294" s="5" t="s">
        <v>238</v>
      </c>
      <c r="DS3294" s="5" t="s">
        <v>238</v>
      </c>
      <c r="DT3294" s="5" t="s">
        <v>881</v>
      </c>
      <c r="DU3294" s="5" t="s">
        <v>294</v>
      </c>
      <c r="HP3294" s="5" t="s">
        <v>238</v>
      </c>
      <c r="HQ3294" s="5" t="s">
        <v>238</v>
      </c>
      <c r="HR3294" s="5" t="s">
        <v>238</v>
      </c>
      <c r="HS3294" s="5" t="s">
        <v>238</v>
      </c>
      <c r="HT3294" s="5" t="s">
        <v>238</v>
      </c>
      <c r="HU3294" s="5" t="s">
        <v>238</v>
      </c>
      <c r="HV3294" s="5" t="s">
        <v>238</v>
      </c>
      <c r="HW3294" s="5" t="s">
        <v>238</v>
      </c>
      <c r="HX3294" s="5" t="s">
        <v>238</v>
      </c>
      <c r="HY3294" s="5" t="s">
        <v>238</v>
      </c>
      <c r="HZ3294" s="5" t="s">
        <v>238</v>
      </c>
      <c r="IA3294" s="5" t="s">
        <v>238</v>
      </c>
      <c r="IB3294" s="5" t="s">
        <v>238</v>
      </c>
      <c r="IC3294" s="5" t="s">
        <v>238</v>
      </c>
      <c r="ID3294" s="5" t="s">
        <v>238</v>
      </c>
    </row>
    <row r="3295" spans="1:238" x14ac:dyDescent="0.4">
      <c r="A3295" s="5">
        <v>9013</v>
      </c>
      <c r="B3295" s="5">
        <v>1</v>
      </c>
      <c r="C3295" s="5">
        <v>1</v>
      </c>
      <c r="D3295" s="5" t="s">
        <v>484</v>
      </c>
      <c r="E3295" s="5" t="s">
        <v>878</v>
      </c>
      <c r="F3295" s="5" t="s">
        <v>248</v>
      </c>
      <c r="G3295" s="5" t="s">
        <v>6637</v>
      </c>
      <c r="H3295" s="6" t="s">
        <v>6638</v>
      </c>
      <c r="I3295" s="8">
        <f>1</f>
        <v>1</v>
      </c>
      <c r="J3295" s="5" t="s">
        <v>499</v>
      </c>
      <c r="K3295" s="8">
        <f>1</f>
        <v>1</v>
      </c>
      <c r="L3295" s="6" t="s">
        <v>242</v>
      </c>
      <c r="M3295" s="5" t="s">
        <v>267</v>
      </c>
      <c r="N3295" s="5" t="s">
        <v>482</v>
      </c>
      <c r="Q3295" s="5" t="s">
        <v>239</v>
      </c>
      <c r="R3295" s="5" t="s">
        <v>270</v>
      </c>
      <c r="S3295" s="5" t="s">
        <v>238</v>
      </c>
      <c r="V3295" s="5" t="s">
        <v>238</v>
      </c>
      <c r="W3295" s="6" t="s">
        <v>238</v>
      </c>
      <c r="X3295" s="6" t="s">
        <v>238</v>
      </c>
      <c r="Y3295" s="5" t="s">
        <v>238</v>
      </c>
      <c r="Z3295" s="6" t="s">
        <v>238</v>
      </c>
      <c r="AA3295" s="6" t="s">
        <v>243</v>
      </c>
      <c r="AB3295" s="5" t="s">
        <v>879</v>
      </c>
      <c r="AC3295" s="5" t="s">
        <v>244</v>
      </c>
      <c r="AD3295" s="5" t="s">
        <v>245</v>
      </c>
      <c r="AJ3295" s="5" t="s">
        <v>238</v>
      </c>
      <c r="AK3295" s="5" t="s">
        <v>238</v>
      </c>
      <c r="AL3295" s="5" t="s">
        <v>238</v>
      </c>
      <c r="AM3295" s="6" t="s">
        <v>238</v>
      </c>
      <c r="AN3295" s="6" t="s">
        <v>238</v>
      </c>
      <c r="AO3295" s="6" t="s">
        <v>238</v>
      </c>
      <c r="AR3295" s="5" t="s">
        <v>488</v>
      </c>
      <c r="AS3295" s="5" t="s">
        <v>488</v>
      </c>
      <c r="AT3295" s="5" t="s">
        <v>246</v>
      </c>
      <c r="AU3295" s="5" t="s">
        <v>489</v>
      </c>
      <c r="AV3295" s="5" t="s">
        <v>247</v>
      </c>
      <c r="AW3295" s="5" t="s">
        <v>600</v>
      </c>
      <c r="AX3295" s="5" t="s">
        <v>249</v>
      </c>
      <c r="AY3295" s="5" t="s">
        <v>490</v>
      </c>
      <c r="BA3295" s="5" t="s">
        <v>238</v>
      </c>
      <c r="BC3295" s="5" t="s">
        <v>491</v>
      </c>
      <c r="BD3295" s="6" t="s">
        <v>492</v>
      </c>
      <c r="BE3295" s="5" t="s">
        <v>493</v>
      </c>
      <c r="BF3295" s="5" t="s">
        <v>493</v>
      </c>
      <c r="BG3295" s="5" t="s">
        <v>238</v>
      </c>
      <c r="BH3295" s="8">
        <f>1</f>
        <v>1</v>
      </c>
      <c r="BI3295" s="8">
        <f>1</f>
        <v>1</v>
      </c>
      <c r="BJ3295" s="5" t="s">
        <v>253</v>
      </c>
      <c r="BK3295" s="5" t="s">
        <v>254</v>
      </c>
      <c r="BL3295" s="5" t="s">
        <v>238</v>
      </c>
      <c r="BM3295" s="5" t="s">
        <v>238</v>
      </c>
      <c r="BN3295" s="5" t="s">
        <v>238</v>
      </c>
      <c r="BO3295" s="5" t="s">
        <v>238</v>
      </c>
      <c r="BT3295" s="6" t="s">
        <v>238</v>
      </c>
      <c r="BU3295" s="5" t="s">
        <v>238</v>
      </c>
      <c r="BV3295" s="5" t="s">
        <v>238</v>
      </c>
      <c r="BW3295" s="5" t="s">
        <v>238</v>
      </c>
      <c r="BX3295" s="5" t="s">
        <v>254</v>
      </c>
      <c r="BY3295" s="5" t="s">
        <v>238</v>
      </c>
      <c r="BZ3295" s="5" t="s">
        <v>238</v>
      </c>
      <c r="CD3295" s="5" t="s">
        <v>273</v>
      </c>
      <c r="CE3295" s="5" t="s">
        <v>256</v>
      </c>
      <c r="CF3295" s="5" t="s">
        <v>261</v>
      </c>
      <c r="CH3295" s="5" t="s">
        <v>494</v>
      </c>
      <c r="CI3295" s="6" t="s">
        <v>257</v>
      </c>
      <c r="CJ3295" s="5" t="s">
        <v>495</v>
      </c>
      <c r="CK3295" s="5" t="s">
        <v>258</v>
      </c>
      <c r="CL3295" s="5" t="s">
        <v>496</v>
      </c>
      <c r="CM3295" s="5" t="s">
        <v>238</v>
      </c>
      <c r="CN3295" s="5">
        <v>0</v>
      </c>
      <c r="CO3295" s="5" t="s">
        <v>497</v>
      </c>
      <c r="CP3295" s="5" t="s">
        <v>260</v>
      </c>
      <c r="CQ3295" s="5" t="s">
        <v>260</v>
      </c>
      <c r="CR3295" s="5" t="s">
        <v>261</v>
      </c>
      <c r="CS3295" s="5" t="s">
        <v>498</v>
      </c>
      <c r="CT3295" s="7">
        <f>1</f>
        <v>1</v>
      </c>
      <c r="CU3295" s="8">
        <f>1</f>
        <v>1</v>
      </c>
      <c r="CV3295" s="8">
        <f>0</f>
        <v>0</v>
      </c>
      <c r="CW3295" s="8" t="s">
        <v>238</v>
      </c>
      <c r="CX3295" s="8">
        <f>1</f>
        <v>1</v>
      </c>
      <c r="CY3295" s="8">
        <f>1</f>
        <v>1</v>
      </c>
      <c r="CZ3295" s="8" t="s">
        <v>238</v>
      </c>
      <c r="DA3295" s="5" t="s">
        <v>238</v>
      </c>
      <c r="DB3295" s="5" t="s">
        <v>238</v>
      </c>
      <c r="DD3295" s="5" t="s">
        <v>238</v>
      </c>
      <c r="DE3295" s="8">
        <f>0</f>
        <v>0</v>
      </c>
      <c r="DF3295" s="6" t="s">
        <v>238</v>
      </c>
      <c r="DG3295" s="5" t="s">
        <v>238</v>
      </c>
      <c r="DH3295" s="5" t="s">
        <v>238</v>
      </c>
      <c r="DI3295" s="5" t="s">
        <v>238</v>
      </c>
      <c r="DJ3295" s="5" t="s">
        <v>238</v>
      </c>
      <c r="DK3295" s="5" t="s">
        <v>238</v>
      </c>
      <c r="DL3295" s="5" t="s">
        <v>238</v>
      </c>
      <c r="DM3295" s="8" t="s">
        <v>238</v>
      </c>
      <c r="DN3295" s="5" t="s">
        <v>238</v>
      </c>
      <c r="DO3295" s="5" t="s">
        <v>244</v>
      </c>
      <c r="DP3295" s="5" t="s">
        <v>490</v>
      </c>
      <c r="DQ3295" s="5" t="s">
        <v>490</v>
      </c>
      <c r="DR3295" s="5" t="s">
        <v>238</v>
      </c>
      <c r="DS3295" s="5" t="s">
        <v>238</v>
      </c>
      <c r="DT3295" s="5" t="s">
        <v>881</v>
      </c>
      <c r="DU3295" s="5" t="s">
        <v>1364</v>
      </c>
      <c r="HP3295" s="5" t="s">
        <v>238</v>
      </c>
      <c r="HQ3295" s="5" t="s">
        <v>238</v>
      </c>
      <c r="HR3295" s="5" t="s">
        <v>238</v>
      </c>
      <c r="HS3295" s="5" t="s">
        <v>238</v>
      </c>
      <c r="HT3295" s="5" t="s">
        <v>238</v>
      </c>
      <c r="HU3295" s="5" t="s">
        <v>238</v>
      </c>
      <c r="HV3295" s="5" t="s">
        <v>238</v>
      </c>
      <c r="HW3295" s="5" t="s">
        <v>238</v>
      </c>
      <c r="HX3295" s="5" t="s">
        <v>238</v>
      </c>
      <c r="HY3295" s="5" t="s">
        <v>238</v>
      </c>
      <c r="HZ3295" s="5" t="s">
        <v>238</v>
      </c>
      <c r="IA3295" s="5" t="s">
        <v>238</v>
      </c>
      <c r="IB3295" s="5" t="s">
        <v>238</v>
      </c>
      <c r="IC3295" s="5" t="s">
        <v>238</v>
      </c>
      <c r="ID3295" s="5" t="s">
        <v>238</v>
      </c>
    </row>
    <row r="3296" spans="1:238" x14ac:dyDescent="0.4">
      <c r="A3296" s="5">
        <v>9014</v>
      </c>
      <c r="B3296" s="5">
        <v>1</v>
      </c>
      <c r="C3296" s="5">
        <v>1</v>
      </c>
      <c r="D3296" s="5" t="s">
        <v>484</v>
      </c>
      <c r="E3296" s="5" t="s">
        <v>878</v>
      </c>
      <c r="F3296" s="5" t="s">
        <v>248</v>
      </c>
      <c r="G3296" s="5" t="s">
        <v>6642</v>
      </c>
      <c r="H3296" s="6" t="s">
        <v>6643</v>
      </c>
      <c r="I3296" s="8">
        <f>1</f>
        <v>1</v>
      </c>
      <c r="J3296" s="5" t="s">
        <v>499</v>
      </c>
      <c r="K3296" s="8">
        <f>1</f>
        <v>1</v>
      </c>
      <c r="L3296" s="6" t="s">
        <v>242</v>
      </c>
      <c r="M3296" s="5" t="s">
        <v>267</v>
      </c>
      <c r="N3296" s="5" t="s">
        <v>482</v>
      </c>
      <c r="Q3296" s="5" t="s">
        <v>239</v>
      </c>
      <c r="R3296" s="5" t="s">
        <v>270</v>
      </c>
      <c r="S3296" s="5" t="s">
        <v>238</v>
      </c>
      <c r="V3296" s="5" t="s">
        <v>238</v>
      </c>
      <c r="W3296" s="6" t="s">
        <v>238</v>
      </c>
      <c r="X3296" s="6" t="s">
        <v>238</v>
      </c>
      <c r="Y3296" s="5" t="s">
        <v>238</v>
      </c>
      <c r="Z3296" s="6" t="s">
        <v>238</v>
      </c>
      <c r="AA3296" s="6" t="s">
        <v>243</v>
      </c>
      <c r="AB3296" s="5" t="s">
        <v>879</v>
      </c>
      <c r="AC3296" s="5" t="s">
        <v>244</v>
      </c>
      <c r="AD3296" s="5" t="s">
        <v>245</v>
      </c>
      <c r="AJ3296" s="5" t="s">
        <v>238</v>
      </c>
      <c r="AK3296" s="5" t="s">
        <v>238</v>
      </c>
      <c r="AL3296" s="5" t="s">
        <v>238</v>
      </c>
      <c r="AM3296" s="6" t="s">
        <v>238</v>
      </c>
      <c r="AN3296" s="6" t="s">
        <v>238</v>
      </c>
      <c r="AO3296" s="6" t="s">
        <v>238</v>
      </c>
      <c r="AR3296" s="5" t="s">
        <v>488</v>
      </c>
      <c r="AS3296" s="5" t="s">
        <v>488</v>
      </c>
      <c r="AT3296" s="5" t="s">
        <v>246</v>
      </c>
      <c r="AU3296" s="5" t="s">
        <v>489</v>
      </c>
      <c r="AV3296" s="5" t="s">
        <v>247</v>
      </c>
      <c r="AW3296" s="5" t="s">
        <v>600</v>
      </c>
      <c r="AX3296" s="5" t="s">
        <v>249</v>
      </c>
      <c r="AY3296" s="5" t="s">
        <v>490</v>
      </c>
      <c r="BA3296" s="5" t="s">
        <v>238</v>
      </c>
      <c r="BC3296" s="5" t="s">
        <v>491</v>
      </c>
      <c r="BD3296" s="6" t="s">
        <v>492</v>
      </c>
      <c r="BE3296" s="5" t="s">
        <v>493</v>
      </c>
      <c r="BF3296" s="5" t="s">
        <v>493</v>
      </c>
      <c r="BG3296" s="5" t="s">
        <v>238</v>
      </c>
      <c r="BH3296" s="8">
        <f>1</f>
        <v>1</v>
      </c>
      <c r="BI3296" s="8">
        <f>1</f>
        <v>1</v>
      </c>
      <c r="BJ3296" s="5" t="s">
        <v>253</v>
      </c>
      <c r="BK3296" s="5" t="s">
        <v>254</v>
      </c>
      <c r="BL3296" s="5" t="s">
        <v>238</v>
      </c>
      <c r="BM3296" s="5" t="s">
        <v>238</v>
      </c>
      <c r="BN3296" s="5" t="s">
        <v>238</v>
      </c>
      <c r="BO3296" s="5" t="s">
        <v>238</v>
      </c>
      <c r="BT3296" s="6" t="s">
        <v>238</v>
      </c>
      <c r="BU3296" s="5" t="s">
        <v>238</v>
      </c>
      <c r="BV3296" s="5" t="s">
        <v>238</v>
      </c>
      <c r="BW3296" s="5" t="s">
        <v>238</v>
      </c>
      <c r="BX3296" s="5" t="s">
        <v>254</v>
      </c>
      <c r="BY3296" s="5" t="s">
        <v>238</v>
      </c>
      <c r="BZ3296" s="5" t="s">
        <v>238</v>
      </c>
      <c r="CD3296" s="5" t="s">
        <v>273</v>
      </c>
      <c r="CE3296" s="5" t="s">
        <v>256</v>
      </c>
      <c r="CF3296" s="5" t="s">
        <v>261</v>
      </c>
      <c r="CH3296" s="5" t="s">
        <v>494</v>
      </c>
      <c r="CI3296" s="6" t="s">
        <v>257</v>
      </c>
      <c r="CJ3296" s="5" t="s">
        <v>495</v>
      </c>
      <c r="CK3296" s="5" t="s">
        <v>258</v>
      </c>
      <c r="CL3296" s="5" t="s">
        <v>496</v>
      </c>
      <c r="CM3296" s="5" t="s">
        <v>238</v>
      </c>
      <c r="CN3296" s="5">
        <v>0</v>
      </c>
      <c r="CO3296" s="5" t="s">
        <v>497</v>
      </c>
      <c r="CP3296" s="5" t="s">
        <v>260</v>
      </c>
      <c r="CQ3296" s="5" t="s">
        <v>260</v>
      </c>
      <c r="CR3296" s="5" t="s">
        <v>261</v>
      </c>
      <c r="CS3296" s="5" t="s">
        <v>498</v>
      </c>
      <c r="CT3296" s="7">
        <f>1</f>
        <v>1</v>
      </c>
      <c r="CU3296" s="8">
        <f>1</f>
        <v>1</v>
      </c>
      <c r="CV3296" s="8">
        <f>0</f>
        <v>0</v>
      </c>
      <c r="CW3296" s="8" t="s">
        <v>238</v>
      </c>
      <c r="CX3296" s="8">
        <f>1</f>
        <v>1</v>
      </c>
      <c r="CY3296" s="8">
        <f>1</f>
        <v>1</v>
      </c>
      <c r="CZ3296" s="8" t="s">
        <v>238</v>
      </c>
      <c r="DA3296" s="5" t="s">
        <v>238</v>
      </c>
      <c r="DB3296" s="5" t="s">
        <v>238</v>
      </c>
      <c r="DD3296" s="5" t="s">
        <v>238</v>
      </c>
      <c r="DE3296" s="8">
        <f>0</f>
        <v>0</v>
      </c>
      <c r="DF3296" s="6" t="s">
        <v>238</v>
      </c>
      <c r="DG3296" s="5" t="s">
        <v>238</v>
      </c>
      <c r="DH3296" s="5" t="s">
        <v>238</v>
      </c>
      <c r="DI3296" s="5" t="s">
        <v>238</v>
      </c>
      <c r="DJ3296" s="5" t="s">
        <v>238</v>
      </c>
      <c r="DK3296" s="5" t="s">
        <v>238</v>
      </c>
      <c r="DL3296" s="5" t="s">
        <v>238</v>
      </c>
      <c r="DM3296" s="8" t="s">
        <v>238</v>
      </c>
      <c r="DN3296" s="5" t="s">
        <v>238</v>
      </c>
      <c r="DO3296" s="5" t="s">
        <v>244</v>
      </c>
      <c r="DP3296" s="5" t="s">
        <v>490</v>
      </c>
      <c r="DQ3296" s="5" t="s">
        <v>490</v>
      </c>
      <c r="DR3296" s="5" t="s">
        <v>238</v>
      </c>
      <c r="DS3296" s="5" t="s">
        <v>238</v>
      </c>
      <c r="DT3296" s="5" t="s">
        <v>881</v>
      </c>
      <c r="DU3296" s="5" t="s">
        <v>1372</v>
      </c>
      <c r="HP3296" s="5" t="s">
        <v>238</v>
      </c>
      <c r="HQ3296" s="5" t="s">
        <v>238</v>
      </c>
      <c r="HR3296" s="5" t="s">
        <v>238</v>
      </c>
      <c r="HS3296" s="5" t="s">
        <v>238</v>
      </c>
      <c r="HT3296" s="5" t="s">
        <v>238</v>
      </c>
      <c r="HU3296" s="5" t="s">
        <v>238</v>
      </c>
      <c r="HV3296" s="5" t="s">
        <v>238</v>
      </c>
      <c r="HW3296" s="5" t="s">
        <v>238</v>
      </c>
      <c r="HX3296" s="5" t="s">
        <v>238</v>
      </c>
      <c r="HY3296" s="5" t="s">
        <v>238</v>
      </c>
      <c r="HZ3296" s="5" t="s">
        <v>238</v>
      </c>
      <c r="IA3296" s="5" t="s">
        <v>238</v>
      </c>
      <c r="IB3296" s="5" t="s">
        <v>238</v>
      </c>
      <c r="IC3296" s="5" t="s">
        <v>238</v>
      </c>
      <c r="ID3296" s="5" t="s">
        <v>238</v>
      </c>
    </row>
    <row r="3297" spans="1:238" x14ac:dyDescent="0.4">
      <c r="A3297" s="5">
        <v>9015</v>
      </c>
      <c r="B3297" s="5">
        <v>1</v>
      </c>
      <c r="C3297" s="5">
        <v>1</v>
      </c>
      <c r="D3297" s="5" t="s">
        <v>484</v>
      </c>
      <c r="E3297" s="5" t="s">
        <v>878</v>
      </c>
      <c r="F3297" s="5" t="s">
        <v>248</v>
      </c>
      <c r="G3297" s="5" t="s">
        <v>6680</v>
      </c>
      <c r="H3297" s="6" t="s">
        <v>6681</v>
      </c>
      <c r="I3297" s="8">
        <f>1</f>
        <v>1</v>
      </c>
      <c r="J3297" s="5" t="s">
        <v>499</v>
      </c>
      <c r="K3297" s="8">
        <f>1</f>
        <v>1</v>
      </c>
      <c r="L3297" s="6" t="s">
        <v>242</v>
      </c>
      <c r="M3297" s="5" t="s">
        <v>267</v>
      </c>
      <c r="N3297" s="5" t="s">
        <v>482</v>
      </c>
      <c r="Q3297" s="5" t="s">
        <v>239</v>
      </c>
      <c r="R3297" s="5" t="s">
        <v>270</v>
      </c>
      <c r="S3297" s="5" t="s">
        <v>238</v>
      </c>
      <c r="V3297" s="5" t="s">
        <v>238</v>
      </c>
      <c r="W3297" s="6" t="s">
        <v>238</v>
      </c>
      <c r="X3297" s="6" t="s">
        <v>238</v>
      </c>
      <c r="Y3297" s="5" t="s">
        <v>238</v>
      </c>
      <c r="Z3297" s="6" t="s">
        <v>238</v>
      </c>
      <c r="AA3297" s="6" t="s">
        <v>243</v>
      </c>
      <c r="AB3297" s="5" t="s">
        <v>879</v>
      </c>
      <c r="AC3297" s="5" t="s">
        <v>244</v>
      </c>
      <c r="AD3297" s="5" t="s">
        <v>245</v>
      </c>
      <c r="AJ3297" s="5" t="s">
        <v>238</v>
      </c>
      <c r="AK3297" s="5" t="s">
        <v>238</v>
      </c>
      <c r="AL3297" s="5" t="s">
        <v>238</v>
      </c>
      <c r="AM3297" s="6" t="s">
        <v>238</v>
      </c>
      <c r="AN3297" s="6" t="s">
        <v>238</v>
      </c>
      <c r="AO3297" s="6" t="s">
        <v>238</v>
      </c>
      <c r="AR3297" s="5" t="s">
        <v>488</v>
      </c>
      <c r="AS3297" s="5" t="s">
        <v>488</v>
      </c>
      <c r="AT3297" s="5" t="s">
        <v>246</v>
      </c>
      <c r="AU3297" s="5" t="s">
        <v>489</v>
      </c>
      <c r="AV3297" s="5" t="s">
        <v>247</v>
      </c>
      <c r="AW3297" s="5" t="s">
        <v>600</v>
      </c>
      <c r="AX3297" s="5" t="s">
        <v>249</v>
      </c>
      <c r="AY3297" s="5" t="s">
        <v>490</v>
      </c>
      <c r="BA3297" s="5" t="s">
        <v>238</v>
      </c>
      <c r="BC3297" s="5" t="s">
        <v>491</v>
      </c>
      <c r="BD3297" s="6" t="s">
        <v>492</v>
      </c>
      <c r="BE3297" s="5" t="s">
        <v>493</v>
      </c>
      <c r="BF3297" s="5" t="s">
        <v>493</v>
      </c>
      <c r="BG3297" s="5" t="s">
        <v>238</v>
      </c>
      <c r="BH3297" s="8">
        <f>1</f>
        <v>1</v>
      </c>
      <c r="BI3297" s="8">
        <f>1</f>
        <v>1</v>
      </c>
      <c r="BJ3297" s="5" t="s">
        <v>253</v>
      </c>
      <c r="BK3297" s="5" t="s">
        <v>254</v>
      </c>
      <c r="BL3297" s="5" t="s">
        <v>238</v>
      </c>
      <c r="BM3297" s="5" t="s">
        <v>238</v>
      </c>
      <c r="BN3297" s="5" t="s">
        <v>238</v>
      </c>
      <c r="BO3297" s="5" t="s">
        <v>238</v>
      </c>
      <c r="BT3297" s="6" t="s">
        <v>238</v>
      </c>
      <c r="BU3297" s="5" t="s">
        <v>238</v>
      </c>
      <c r="BV3297" s="5" t="s">
        <v>238</v>
      </c>
      <c r="BW3297" s="5" t="s">
        <v>238</v>
      </c>
      <c r="BX3297" s="5" t="s">
        <v>254</v>
      </c>
      <c r="BY3297" s="5" t="s">
        <v>238</v>
      </c>
      <c r="BZ3297" s="5" t="s">
        <v>238</v>
      </c>
      <c r="CD3297" s="5" t="s">
        <v>273</v>
      </c>
      <c r="CE3297" s="5" t="s">
        <v>256</v>
      </c>
      <c r="CF3297" s="5" t="s">
        <v>261</v>
      </c>
      <c r="CH3297" s="5" t="s">
        <v>494</v>
      </c>
      <c r="CI3297" s="6" t="s">
        <v>257</v>
      </c>
      <c r="CJ3297" s="5" t="s">
        <v>495</v>
      </c>
      <c r="CK3297" s="5" t="s">
        <v>258</v>
      </c>
      <c r="CL3297" s="5" t="s">
        <v>496</v>
      </c>
      <c r="CM3297" s="5" t="s">
        <v>238</v>
      </c>
      <c r="CN3297" s="5">
        <v>0</v>
      </c>
      <c r="CO3297" s="5" t="s">
        <v>497</v>
      </c>
      <c r="CP3297" s="5" t="s">
        <v>260</v>
      </c>
      <c r="CQ3297" s="5" t="s">
        <v>260</v>
      </c>
      <c r="CR3297" s="5" t="s">
        <v>261</v>
      </c>
      <c r="CS3297" s="5" t="s">
        <v>498</v>
      </c>
      <c r="CT3297" s="7">
        <f>1</f>
        <v>1</v>
      </c>
      <c r="CU3297" s="8">
        <f>1</f>
        <v>1</v>
      </c>
      <c r="CV3297" s="8">
        <f>0</f>
        <v>0</v>
      </c>
      <c r="CW3297" s="8" t="s">
        <v>238</v>
      </c>
      <c r="CX3297" s="8">
        <f>1</f>
        <v>1</v>
      </c>
      <c r="CY3297" s="8">
        <f>1</f>
        <v>1</v>
      </c>
      <c r="CZ3297" s="8" t="s">
        <v>238</v>
      </c>
      <c r="DA3297" s="5" t="s">
        <v>238</v>
      </c>
      <c r="DB3297" s="5" t="s">
        <v>238</v>
      </c>
      <c r="DD3297" s="5" t="s">
        <v>238</v>
      </c>
      <c r="DE3297" s="8">
        <f>0</f>
        <v>0</v>
      </c>
      <c r="DF3297" s="6" t="s">
        <v>238</v>
      </c>
      <c r="DG3297" s="5" t="s">
        <v>238</v>
      </c>
      <c r="DH3297" s="5" t="s">
        <v>238</v>
      </c>
      <c r="DI3297" s="5" t="s">
        <v>238</v>
      </c>
      <c r="DJ3297" s="5" t="s">
        <v>238</v>
      </c>
      <c r="DK3297" s="5" t="s">
        <v>238</v>
      </c>
      <c r="DL3297" s="5" t="s">
        <v>238</v>
      </c>
      <c r="DM3297" s="8" t="s">
        <v>238</v>
      </c>
      <c r="DN3297" s="5" t="s">
        <v>238</v>
      </c>
      <c r="DO3297" s="5" t="s">
        <v>244</v>
      </c>
      <c r="DP3297" s="5" t="s">
        <v>490</v>
      </c>
      <c r="DQ3297" s="5" t="s">
        <v>490</v>
      </c>
      <c r="DR3297" s="5" t="s">
        <v>238</v>
      </c>
      <c r="DS3297" s="5" t="s">
        <v>238</v>
      </c>
      <c r="DT3297" s="5" t="s">
        <v>881</v>
      </c>
      <c r="DU3297" s="5" t="s">
        <v>1370</v>
      </c>
      <c r="HP3297" s="5" t="s">
        <v>238</v>
      </c>
      <c r="HQ3297" s="5" t="s">
        <v>238</v>
      </c>
      <c r="HR3297" s="5" t="s">
        <v>238</v>
      </c>
      <c r="HS3297" s="5" t="s">
        <v>238</v>
      </c>
      <c r="HT3297" s="5" t="s">
        <v>238</v>
      </c>
      <c r="HU3297" s="5" t="s">
        <v>238</v>
      </c>
      <c r="HV3297" s="5" t="s">
        <v>238</v>
      </c>
      <c r="HW3297" s="5" t="s">
        <v>238</v>
      </c>
      <c r="HX3297" s="5" t="s">
        <v>238</v>
      </c>
      <c r="HY3297" s="5" t="s">
        <v>238</v>
      </c>
      <c r="HZ3297" s="5" t="s">
        <v>238</v>
      </c>
      <c r="IA3297" s="5" t="s">
        <v>238</v>
      </c>
      <c r="IB3297" s="5" t="s">
        <v>238</v>
      </c>
      <c r="IC3297" s="5" t="s">
        <v>238</v>
      </c>
      <c r="ID3297" s="5" t="s">
        <v>238</v>
      </c>
    </row>
    <row r="3298" spans="1:238" x14ac:dyDescent="0.4">
      <c r="A3298" s="5">
        <v>9016</v>
      </c>
      <c r="B3298" s="5">
        <v>1</v>
      </c>
      <c r="C3298" s="5">
        <v>1</v>
      </c>
      <c r="D3298" s="5" t="s">
        <v>484</v>
      </c>
      <c r="E3298" s="5" t="s">
        <v>878</v>
      </c>
      <c r="F3298" s="5" t="s">
        <v>248</v>
      </c>
      <c r="G3298" s="5" t="s">
        <v>4949</v>
      </c>
      <c r="H3298" s="6" t="s">
        <v>4950</v>
      </c>
      <c r="I3298" s="8">
        <f>1</f>
        <v>1</v>
      </c>
      <c r="J3298" s="5" t="s">
        <v>499</v>
      </c>
      <c r="K3298" s="8">
        <f>1</f>
        <v>1</v>
      </c>
      <c r="L3298" s="6" t="s">
        <v>242</v>
      </c>
      <c r="M3298" s="5" t="s">
        <v>267</v>
      </c>
      <c r="N3298" s="5" t="s">
        <v>482</v>
      </c>
      <c r="O3298" s="5" t="s">
        <v>238</v>
      </c>
      <c r="P3298" s="5" t="s">
        <v>238</v>
      </c>
      <c r="Q3298" s="5" t="s">
        <v>239</v>
      </c>
      <c r="R3298" s="5" t="s">
        <v>270</v>
      </c>
      <c r="S3298" s="5" t="s">
        <v>238</v>
      </c>
      <c r="T3298" s="5" t="s">
        <v>238</v>
      </c>
      <c r="U3298" s="5" t="s">
        <v>238</v>
      </c>
      <c r="V3298" s="5" t="s">
        <v>238</v>
      </c>
      <c r="W3298" s="6" t="s">
        <v>238</v>
      </c>
      <c r="X3298" s="6" t="s">
        <v>238</v>
      </c>
      <c r="Y3298" s="5" t="s">
        <v>238</v>
      </c>
      <c r="Z3298" s="6" t="s">
        <v>238</v>
      </c>
      <c r="AA3298" s="6" t="s">
        <v>243</v>
      </c>
      <c r="AB3298" s="5" t="s">
        <v>879</v>
      </c>
      <c r="AC3298" s="5" t="s">
        <v>244</v>
      </c>
      <c r="AD3298" s="5" t="s">
        <v>245</v>
      </c>
      <c r="AE3298" s="5" t="s">
        <v>238</v>
      </c>
      <c r="AF3298" s="5" t="s">
        <v>238</v>
      </c>
      <c r="AG3298" s="5" t="s">
        <v>238</v>
      </c>
      <c r="AH3298" s="5" t="s">
        <v>238</v>
      </c>
      <c r="AI3298" s="5" t="s">
        <v>238</v>
      </c>
      <c r="AJ3298" s="5" t="s">
        <v>238</v>
      </c>
      <c r="AK3298" s="5" t="s">
        <v>238</v>
      </c>
      <c r="AL3298" s="5" t="s">
        <v>238</v>
      </c>
      <c r="AM3298" s="6" t="s">
        <v>238</v>
      </c>
      <c r="AN3298" s="6" t="s">
        <v>238</v>
      </c>
      <c r="AO3298" s="6" t="s">
        <v>238</v>
      </c>
      <c r="AP3298" s="6" t="s">
        <v>238</v>
      </c>
      <c r="AQ3298" s="5" t="s">
        <v>238</v>
      </c>
      <c r="AR3298" s="5" t="s">
        <v>488</v>
      </c>
      <c r="AS3298" s="5" t="s">
        <v>488</v>
      </c>
      <c r="AT3298" s="5" t="s">
        <v>246</v>
      </c>
      <c r="AU3298" s="5" t="s">
        <v>489</v>
      </c>
      <c r="AV3298" s="5" t="s">
        <v>247</v>
      </c>
      <c r="AW3298" s="5" t="s">
        <v>238</v>
      </c>
      <c r="AX3298" s="5" t="s">
        <v>249</v>
      </c>
      <c r="AY3298" s="5" t="s">
        <v>490</v>
      </c>
      <c r="BA3298" s="5" t="s">
        <v>238</v>
      </c>
      <c r="BC3298" s="5" t="s">
        <v>491</v>
      </c>
      <c r="BD3298" s="6" t="s">
        <v>492</v>
      </c>
      <c r="BE3298" s="5" t="s">
        <v>493</v>
      </c>
      <c r="BF3298" s="5" t="s">
        <v>493</v>
      </c>
      <c r="BG3298" s="5" t="s">
        <v>238</v>
      </c>
      <c r="BH3298" s="8">
        <f>1</f>
        <v>1</v>
      </c>
      <c r="BI3298" s="8">
        <f>1</f>
        <v>1</v>
      </c>
      <c r="BJ3298" s="5" t="s">
        <v>253</v>
      </c>
      <c r="BK3298" s="5" t="s">
        <v>254</v>
      </c>
      <c r="BL3298" s="5" t="s">
        <v>238</v>
      </c>
      <c r="BM3298" s="5" t="s">
        <v>238</v>
      </c>
      <c r="BN3298" s="5" t="s">
        <v>238</v>
      </c>
      <c r="BO3298" s="5" t="s">
        <v>238</v>
      </c>
      <c r="BP3298" s="5" t="s">
        <v>238</v>
      </c>
      <c r="BQ3298" s="5" t="s">
        <v>238</v>
      </c>
      <c r="BR3298" s="5" t="s">
        <v>238</v>
      </c>
      <c r="BS3298" s="5" t="s">
        <v>238</v>
      </c>
      <c r="BT3298" s="6" t="s">
        <v>238</v>
      </c>
      <c r="BU3298" s="5" t="s">
        <v>238</v>
      </c>
      <c r="BV3298" s="5" t="s">
        <v>238</v>
      </c>
      <c r="BW3298" s="5" t="s">
        <v>238</v>
      </c>
      <c r="BX3298" s="5" t="s">
        <v>254</v>
      </c>
      <c r="BY3298" s="5" t="s">
        <v>238</v>
      </c>
      <c r="BZ3298" s="5" t="s">
        <v>238</v>
      </c>
      <c r="CA3298" s="5" t="s">
        <v>238</v>
      </c>
      <c r="CB3298" s="5" t="s">
        <v>238</v>
      </c>
      <c r="CC3298" s="5" t="s">
        <v>238</v>
      </c>
      <c r="CD3298" s="5" t="s">
        <v>273</v>
      </c>
      <c r="CE3298" s="5" t="s">
        <v>256</v>
      </c>
      <c r="CF3298" s="5" t="s">
        <v>238</v>
      </c>
      <c r="CH3298" s="5" t="s">
        <v>494</v>
      </c>
      <c r="CI3298" s="6" t="s">
        <v>257</v>
      </c>
      <c r="CJ3298" s="5" t="s">
        <v>495</v>
      </c>
      <c r="CK3298" s="5" t="s">
        <v>258</v>
      </c>
      <c r="CL3298" s="5" t="s">
        <v>496</v>
      </c>
      <c r="CM3298" s="5" t="s">
        <v>238</v>
      </c>
      <c r="CN3298" s="5">
        <v>0</v>
      </c>
      <c r="CO3298" s="5" t="s">
        <v>497</v>
      </c>
      <c r="CP3298" s="5" t="s">
        <v>260</v>
      </c>
      <c r="CQ3298" s="5" t="s">
        <v>260</v>
      </c>
      <c r="CR3298" s="5" t="s">
        <v>261</v>
      </c>
      <c r="CS3298" s="5" t="s">
        <v>498</v>
      </c>
      <c r="CT3298" s="7">
        <f>1</f>
        <v>1</v>
      </c>
      <c r="CU3298" s="8">
        <f>1</f>
        <v>1</v>
      </c>
      <c r="CV3298" s="8">
        <f>0</f>
        <v>0</v>
      </c>
      <c r="CX3298" s="8">
        <f>1</f>
        <v>1</v>
      </c>
      <c r="CY3298" s="8">
        <f>1</f>
        <v>1</v>
      </c>
      <c r="CZ3298" s="8" t="s">
        <v>238</v>
      </c>
      <c r="DA3298" s="5" t="s">
        <v>238</v>
      </c>
      <c r="DB3298" s="5" t="s">
        <v>238</v>
      </c>
      <c r="DC3298" s="5" t="s">
        <v>238</v>
      </c>
      <c r="DD3298" s="5" t="s">
        <v>238</v>
      </c>
      <c r="DE3298" s="8">
        <f>0</f>
        <v>0</v>
      </c>
      <c r="DG3298" s="5" t="s">
        <v>238</v>
      </c>
      <c r="DH3298" s="5" t="s">
        <v>238</v>
      </c>
      <c r="DI3298" s="5" t="s">
        <v>238</v>
      </c>
      <c r="DJ3298" s="5" t="s">
        <v>238</v>
      </c>
      <c r="DK3298" s="5" t="s">
        <v>238</v>
      </c>
      <c r="DL3298" s="5" t="s">
        <v>238</v>
      </c>
      <c r="DM3298" s="8" t="s">
        <v>238</v>
      </c>
      <c r="DN3298" s="5" t="s">
        <v>238</v>
      </c>
      <c r="DO3298" s="5" t="s">
        <v>238</v>
      </c>
      <c r="DP3298" s="5" t="s">
        <v>490</v>
      </c>
      <c r="DQ3298" s="5" t="s">
        <v>490</v>
      </c>
      <c r="DR3298" s="5" t="s">
        <v>238</v>
      </c>
      <c r="DS3298" s="5" t="s">
        <v>238</v>
      </c>
      <c r="DT3298" s="5" t="s">
        <v>881</v>
      </c>
      <c r="DU3298" s="5" t="s">
        <v>1239</v>
      </c>
      <c r="DV3298" s="5" t="s">
        <v>238</v>
      </c>
      <c r="DW3298" s="5" t="s">
        <v>238</v>
      </c>
      <c r="DX3298" s="5" t="s">
        <v>238</v>
      </c>
      <c r="DY3298" s="5" t="s">
        <v>238</v>
      </c>
      <c r="DZ3298" s="5" t="s">
        <v>238</v>
      </c>
      <c r="EA3298" s="5" t="s">
        <v>238</v>
      </c>
      <c r="EB3298" s="5" t="s">
        <v>238</v>
      </c>
      <c r="EC3298" s="5" t="s">
        <v>238</v>
      </c>
      <c r="ED3298" s="5" t="s">
        <v>238</v>
      </c>
      <c r="EE3298" s="5" t="s">
        <v>238</v>
      </c>
      <c r="EF3298" s="5" t="s">
        <v>238</v>
      </c>
      <c r="EG3298" s="5" t="s">
        <v>238</v>
      </c>
      <c r="EH3298" s="5" t="s">
        <v>238</v>
      </c>
      <c r="EI3298" s="5" t="s">
        <v>238</v>
      </c>
      <c r="EJ3298" s="5" t="s">
        <v>238</v>
      </c>
      <c r="EK3298" s="5" t="s">
        <v>238</v>
      </c>
      <c r="EL3298" s="5" t="s">
        <v>238</v>
      </c>
      <c r="EM3298" s="5" t="s">
        <v>238</v>
      </c>
      <c r="EN3298" s="5" t="s">
        <v>238</v>
      </c>
      <c r="EO3298" s="5" t="s">
        <v>238</v>
      </c>
      <c r="EP3298" s="5" t="s">
        <v>238</v>
      </c>
      <c r="EQ3298" s="5" t="s">
        <v>238</v>
      </c>
      <c r="ER3298" s="5" t="s">
        <v>238</v>
      </c>
      <c r="ES3298" s="5" t="s">
        <v>238</v>
      </c>
      <c r="ET3298" s="5" t="s">
        <v>238</v>
      </c>
      <c r="EU3298" s="5" t="s">
        <v>238</v>
      </c>
      <c r="EV3298" s="5" t="s">
        <v>238</v>
      </c>
      <c r="EW3298" s="5" t="s">
        <v>238</v>
      </c>
      <c r="EX3298" s="5" t="s">
        <v>238</v>
      </c>
      <c r="EY3298" s="5" t="s">
        <v>238</v>
      </c>
      <c r="EZ3298" s="5" t="s">
        <v>238</v>
      </c>
      <c r="FA3298" s="5" t="s">
        <v>238</v>
      </c>
      <c r="FB3298" s="5" t="s">
        <v>238</v>
      </c>
      <c r="FC3298" s="5" t="s">
        <v>238</v>
      </c>
      <c r="FD3298" s="5" t="s">
        <v>238</v>
      </c>
      <c r="FE3298" s="5" t="s">
        <v>238</v>
      </c>
      <c r="FF3298" s="5" t="s">
        <v>238</v>
      </c>
      <c r="FG3298" s="5" t="s">
        <v>238</v>
      </c>
      <c r="FH3298" s="5" t="s">
        <v>238</v>
      </c>
      <c r="FI3298" s="5" t="s">
        <v>238</v>
      </c>
      <c r="FJ3298" s="5" t="s">
        <v>238</v>
      </c>
      <c r="FK3298" s="5" t="s">
        <v>238</v>
      </c>
      <c r="FL3298" s="5" t="s">
        <v>238</v>
      </c>
      <c r="FM3298" s="5" t="s">
        <v>238</v>
      </c>
      <c r="FN3298" s="5" t="s">
        <v>238</v>
      </c>
      <c r="FO3298" s="5" t="s">
        <v>238</v>
      </c>
      <c r="FP3298" s="5" t="s">
        <v>238</v>
      </c>
      <c r="FQ3298" s="5" t="s">
        <v>238</v>
      </c>
      <c r="FR3298" s="5" t="s">
        <v>238</v>
      </c>
      <c r="FS3298" s="5" t="s">
        <v>238</v>
      </c>
      <c r="FT3298" s="5" t="s">
        <v>238</v>
      </c>
      <c r="FU3298" s="5" t="s">
        <v>238</v>
      </c>
      <c r="FV3298" s="5" t="s">
        <v>238</v>
      </c>
      <c r="FW3298" s="5" t="s">
        <v>238</v>
      </c>
      <c r="FX3298" s="5" t="s">
        <v>238</v>
      </c>
      <c r="FY3298" s="5" t="s">
        <v>238</v>
      </c>
      <c r="FZ3298" s="5" t="s">
        <v>238</v>
      </c>
      <c r="GA3298" s="5" t="s">
        <v>238</v>
      </c>
      <c r="GB3298" s="5" t="s">
        <v>238</v>
      </c>
      <c r="GC3298" s="5" t="s">
        <v>238</v>
      </c>
      <c r="GD3298" s="5" t="s">
        <v>238</v>
      </c>
      <c r="GE3298" s="5" t="s">
        <v>238</v>
      </c>
      <c r="GF3298" s="5" t="s">
        <v>238</v>
      </c>
      <c r="GG3298" s="5" t="s">
        <v>238</v>
      </c>
      <c r="GH3298" s="5" t="s">
        <v>238</v>
      </c>
      <c r="GI3298" s="5" t="s">
        <v>238</v>
      </c>
      <c r="GJ3298" s="5" t="s">
        <v>238</v>
      </c>
      <c r="GK3298" s="5" t="s">
        <v>238</v>
      </c>
      <c r="GL3298" s="5" t="s">
        <v>238</v>
      </c>
      <c r="GM3298" s="5" t="s">
        <v>238</v>
      </c>
      <c r="GN3298" s="5" t="s">
        <v>238</v>
      </c>
      <c r="GO3298" s="5" t="s">
        <v>238</v>
      </c>
      <c r="GP3298" s="5" t="s">
        <v>238</v>
      </c>
      <c r="GQ3298" s="5" t="s">
        <v>238</v>
      </c>
      <c r="GR3298" s="5" t="s">
        <v>238</v>
      </c>
      <c r="GS3298" s="5" t="s">
        <v>238</v>
      </c>
      <c r="GT3298" s="5" t="s">
        <v>238</v>
      </c>
      <c r="GU3298" s="5" t="s">
        <v>238</v>
      </c>
      <c r="GV3298" s="5" t="s">
        <v>238</v>
      </c>
      <c r="GW3298" s="5" t="s">
        <v>238</v>
      </c>
      <c r="GX3298" s="5" t="s">
        <v>238</v>
      </c>
      <c r="GY3298" s="5" t="s">
        <v>238</v>
      </c>
      <c r="GZ3298" s="5" t="s">
        <v>238</v>
      </c>
      <c r="HA3298" s="5" t="s">
        <v>238</v>
      </c>
      <c r="HB3298" s="5" t="s">
        <v>238</v>
      </c>
      <c r="HC3298" s="5" t="s">
        <v>238</v>
      </c>
      <c r="HD3298" s="5" t="s">
        <v>238</v>
      </c>
      <c r="HE3298" s="5" t="s">
        <v>238</v>
      </c>
      <c r="HF3298" s="5" t="s">
        <v>238</v>
      </c>
      <c r="HG3298" s="5" t="s">
        <v>238</v>
      </c>
      <c r="HH3298" s="5" t="s">
        <v>238</v>
      </c>
      <c r="HI3298" s="5" t="s">
        <v>238</v>
      </c>
      <c r="HJ3298" s="5" t="s">
        <v>238</v>
      </c>
      <c r="HK3298" s="5" t="s">
        <v>238</v>
      </c>
      <c r="HL3298" s="5" t="s">
        <v>238</v>
      </c>
      <c r="HM3298" s="5" t="s">
        <v>264</v>
      </c>
      <c r="HN3298" s="5" t="s">
        <v>238</v>
      </c>
      <c r="HO3298" s="5" t="s">
        <v>238</v>
      </c>
      <c r="HP3298" s="5" t="s">
        <v>238</v>
      </c>
      <c r="HQ3298" s="5" t="s">
        <v>238</v>
      </c>
      <c r="HR3298" s="5" t="s">
        <v>238</v>
      </c>
      <c r="HS3298" s="5" t="s">
        <v>238</v>
      </c>
      <c r="HT3298" s="5" t="s">
        <v>238</v>
      </c>
      <c r="HU3298" s="5" t="s">
        <v>238</v>
      </c>
      <c r="HV3298" s="5" t="s">
        <v>238</v>
      </c>
      <c r="HW3298" s="5" t="s">
        <v>238</v>
      </c>
      <c r="HX3298" s="5" t="s">
        <v>238</v>
      </c>
      <c r="HY3298" s="5" t="s">
        <v>238</v>
      </c>
      <c r="HZ3298" s="5" t="s">
        <v>238</v>
      </c>
      <c r="IA3298" s="5" t="s">
        <v>238</v>
      </c>
      <c r="IB3298" s="5" t="s">
        <v>238</v>
      </c>
      <c r="IC3298" s="5" t="s">
        <v>238</v>
      </c>
      <c r="ID3298" s="5" t="s">
        <v>238</v>
      </c>
    </row>
    <row r="3299" spans="1:238" x14ac:dyDescent="0.4">
      <c r="A3299" s="5">
        <v>9017</v>
      </c>
      <c r="B3299" s="5">
        <v>1</v>
      </c>
      <c r="C3299" s="5">
        <v>1</v>
      </c>
      <c r="D3299" s="5" t="s">
        <v>484</v>
      </c>
      <c r="E3299" s="5" t="s">
        <v>878</v>
      </c>
      <c r="F3299" s="5" t="s">
        <v>248</v>
      </c>
      <c r="G3299" s="5" t="s">
        <v>6427</v>
      </c>
      <c r="H3299" s="6" t="s">
        <v>6428</v>
      </c>
      <c r="I3299" s="8">
        <f>1</f>
        <v>1</v>
      </c>
      <c r="J3299" s="5" t="s">
        <v>499</v>
      </c>
      <c r="K3299" s="8">
        <f>1</f>
        <v>1</v>
      </c>
      <c r="L3299" s="6" t="s">
        <v>242</v>
      </c>
      <c r="M3299" s="5" t="s">
        <v>267</v>
      </c>
      <c r="N3299" s="5" t="s">
        <v>482</v>
      </c>
      <c r="O3299" s="5" t="s">
        <v>238</v>
      </c>
      <c r="P3299" s="5" t="s">
        <v>238</v>
      </c>
      <c r="Q3299" s="5" t="s">
        <v>239</v>
      </c>
      <c r="R3299" s="5" t="s">
        <v>270</v>
      </c>
      <c r="S3299" s="5" t="s">
        <v>238</v>
      </c>
      <c r="T3299" s="5" t="s">
        <v>238</v>
      </c>
      <c r="U3299" s="5" t="s">
        <v>238</v>
      </c>
      <c r="V3299" s="5" t="s">
        <v>238</v>
      </c>
      <c r="W3299" s="6" t="s">
        <v>238</v>
      </c>
      <c r="X3299" s="6" t="s">
        <v>238</v>
      </c>
      <c r="Y3299" s="5" t="s">
        <v>238</v>
      </c>
      <c r="Z3299" s="6" t="s">
        <v>238</v>
      </c>
      <c r="AA3299" s="6" t="s">
        <v>243</v>
      </c>
      <c r="AB3299" s="5" t="s">
        <v>879</v>
      </c>
      <c r="AC3299" s="5" t="s">
        <v>244</v>
      </c>
      <c r="AD3299" s="5" t="s">
        <v>245</v>
      </c>
      <c r="AE3299" s="5" t="s">
        <v>238</v>
      </c>
      <c r="AF3299" s="5" t="s">
        <v>238</v>
      </c>
      <c r="AG3299" s="5" t="s">
        <v>238</v>
      </c>
      <c r="AH3299" s="5" t="s">
        <v>238</v>
      </c>
      <c r="AI3299" s="5" t="s">
        <v>238</v>
      </c>
      <c r="AJ3299" s="5" t="s">
        <v>238</v>
      </c>
      <c r="AK3299" s="5" t="s">
        <v>238</v>
      </c>
      <c r="AL3299" s="5" t="s">
        <v>238</v>
      </c>
      <c r="AM3299" s="6" t="s">
        <v>238</v>
      </c>
      <c r="AN3299" s="6" t="s">
        <v>238</v>
      </c>
      <c r="AO3299" s="6" t="s">
        <v>238</v>
      </c>
      <c r="AP3299" s="6" t="s">
        <v>238</v>
      </c>
      <c r="AQ3299" s="5" t="s">
        <v>238</v>
      </c>
      <c r="AR3299" s="5" t="s">
        <v>488</v>
      </c>
      <c r="AS3299" s="5" t="s">
        <v>488</v>
      </c>
      <c r="AT3299" s="5" t="s">
        <v>246</v>
      </c>
      <c r="AU3299" s="5" t="s">
        <v>489</v>
      </c>
      <c r="AV3299" s="5" t="s">
        <v>247</v>
      </c>
      <c r="AW3299" s="5" t="s">
        <v>238</v>
      </c>
      <c r="AX3299" s="5" t="s">
        <v>249</v>
      </c>
      <c r="AY3299" s="5" t="s">
        <v>490</v>
      </c>
      <c r="BA3299" s="5" t="s">
        <v>238</v>
      </c>
      <c r="BC3299" s="5" t="s">
        <v>491</v>
      </c>
      <c r="BD3299" s="6" t="s">
        <v>492</v>
      </c>
      <c r="BE3299" s="5" t="s">
        <v>493</v>
      </c>
      <c r="BF3299" s="5" t="s">
        <v>493</v>
      </c>
      <c r="BG3299" s="5" t="s">
        <v>238</v>
      </c>
      <c r="BH3299" s="8">
        <f>1</f>
        <v>1</v>
      </c>
      <c r="BI3299" s="8">
        <f>1</f>
        <v>1</v>
      </c>
      <c r="BJ3299" s="5" t="s">
        <v>253</v>
      </c>
      <c r="BK3299" s="5" t="s">
        <v>254</v>
      </c>
      <c r="BL3299" s="5" t="s">
        <v>238</v>
      </c>
      <c r="BM3299" s="5" t="s">
        <v>238</v>
      </c>
      <c r="BN3299" s="5" t="s">
        <v>238</v>
      </c>
      <c r="BO3299" s="5" t="s">
        <v>238</v>
      </c>
      <c r="BP3299" s="5" t="s">
        <v>238</v>
      </c>
      <c r="BQ3299" s="5" t="s">
        <v>238</v>
      </c>
      <c r="BR3299" s="5" t="s">
        <v>238</v>
      </c>
      <c r="BS3299" s="5" t="s">
        <v>238</v>
      </c>
      <c r="BT3299" s="6" t="s">
        <v>238</v>
      </c>
      <c r="BU3299" s="5" t="s">
        <v>238</v>
      </c>
      <c r="BV3299" s="5" t="s">
        <v>238</v>
      </c>
      <c r="BW3299" s="5" t="s">
        <v>238</v>
      </c>
      <c r="BX3299" s="5" t="s">
        <v>254</v>
      </c>
      <c r="BY3299" s="5" t="s">
        <v>238</v>
      </c>
      <c r="BZ3299" s="5" t="s">
        <v>238</v>
      </c>
      <c r="CA3299" s="5" t="s">
        <v>238</v>
      </c>
      <c r="CB3299" s="5" t="s">
        <v>238</v>
      </c>
      <c r="CC3299" s="5" t="s">
        <v>238</v>
      </c>
      <c r="CD3299" s="5" t="s">
        <v>273</v>
      </c>
      <c r="CE3299" s="5" t="s">
        <v>256</v>
      </c>
      <c r="CF3299" s="5" t="s">
        <v>238</v>
      </c>
      <c r="CH3299" s="5" t="s">
        <v>494</v>
      </c>
      <c r="CI3299" s="6" t="s">
        <v>257</v>
      </c>
      <c r="CJ3299" s="5" t="s">
        <v>495</v>
      </c>
      <c r="CK3299" s="5" t="s">
        <v>258</v>
      </c>
      <c r="CL3299" s="5" t="s">
        <v>496</v>
      </c>
      <c r="CM3299" s="5" t="s">
        <v>238</v>
      </c>
      <c r="CN3299" s="5">
        <v>0</v>
      </c>
      <c r="CO3299" s="5" t="s">
        <v>497</v>
      </c>
      <c r="CP3299" s="5" t="s">
        <v>260</v>
      </c>
      <c r="CQ3299" s="5" t="s">
        <v>260</v>
      </c>
      <c r="CR3299" s="5" t="s">
        <v>261</v>
      </c>
      <c r="CS3299" s="5" t="s">
        <v>498</v>
      </c>
      <c r="CT3299" s="7">
        <f>1</f>
        <v>1</v>
      </c>
      <c r="CU3299" s="8">
        <f>1</f>
        <v>1</v>
      </c>
      <c r="CV3299" s="8">
        <f>0</f>
        <v>0</v>
      </c>
      <c r="CX3299" s="8">
        <f>1</f>
        <v>1</v>
      </c>
      <c r="CY3299" s="8">
        <f>1</f>
        <v>1</v>
      </c>
      <c r="CZ3299" s="8" t="s">
        <v>238</v>
      </c>
      <c r="DA3299" s="5" t="s">
        <v>238</v>
      </c>
      <c r="DB3299" s="5" t="s">
        <v>238</v>
      </c>
      <c r="DC3299" s="5" t="s">
        <v>238</v>
      </c>
      <c r="DD3299" s="5" t="s">
        <v>238</v>
      </c>
      <c r="DE3299" s="8">
        <f>0</f>
        <v>0</v>
      </c>
      <c r="DG3299" s="5" t="s">
        <v>238</v>
      </c>
      <c r="DH3299" s="5" t="s">
        <v>238</v>
      </c>
      <c r="DI3299" s="5" t="s">
        <v>238</v>
      </c>
      <c r="DJ3299" s="5" t="s">
        <v>238</v>
      </c>
      <c r="DK3299" s="5" t="s">
        <v>238</v>
      </c>
      <c r="DL3299" s="5" t="s">
        <v>238</v>
      </c>
      <c r="DM3299" s="8" t="s">
        <v>238</v>
      </c>
      <c r="DN3299" s="5" t="s">
        <v>238</v>
      </c>
      <c r="DO3299" s="5" t="s">
        <v>238</v>
      </c>
      <c r="DP3299" s="5" t="s">
        <v>490</v>
      </c>
      <c r="DQ3299" s="5" t="s">
        <v>490</v>
      </c>
      <c r="DR3299" s="5" t="s">
        <v>238</v>
      </c>
      <c r="DS3299" s="5" t="s">
        <v>238</v>
      </c>
      <c r="DT3299" s="5" t="s">
        <v>881</v>
      </c>
      <c r="DU3299" s="5" t="s">
        <v>1338</v>
      </c>
      <c r="DV3299" s="5" t="s">
        <v>238</v>
      </c>
      <c r="DW3299" s="5" t="s">
        <v>238</v>
      </c>
      <c r="DX3299" s="5" t="s">
        <v>238</v>
      </c>
      <c r="DY3299" s="5" t="s">
        <v>238</v>
      </c>
      <c r="DZ3299" s="5" t="s">
        <v>238</v>
      </c>
      <c r="EA3299" s="5" t="s">
        <v>238</v>
      </c>
      <c r="EB3299" s="5" t="s">
        <v>238</v>
      </c>
      <c r="EC3299" s="5" t="s">
        <v>238</v>
      </c>
      <c r="ED3299" s="5" t="s">
        <v>238</v>
      </c>
      <c r="EE3299" s="5" t="s">
        <v>238</v>
      </c>
      <c r="EF3299" s="5" t="s">
        <v>238</v>
      </c>
      <c r="EG3299" s="5" t="s">
        <v>238</v>
      </c>
      <c r="EH3299" s="5" t="s">
        <v>238</v>
      </c>
      <c r="EI3299" s="5" t="s">
        <v>238</v>
      </c>
      <c r="EJ3299" s="5" t="s">
        <v>238</v>
      </c>
      <c r="EK3299" s="5" t="s">
        <v>238</v>
      </c>
      <c r="EL3299" s="5" t="s">
        <v>238</v>
      </c>
      <c r="EM3299" s="5" t="s">
        <v>238</v>
      </c>
      <c r="EN3299" s="5" t="s">
        <v>238</v>
      </c>
      <c r="EO3299" s="5" t="s">
        <v>238</v>
      </c>
      <c r="EP3299" s="5" t="s">
        <v>238</v>
      </c>
      <c r="EQ3299" s="5" t="s">
        <v>238</v>
      </c>
      <c r="ER3299" s="5" t="s">
        <v>238</v>
      </c>
      <c r="ES3299" s="5" t="s">
        <v>238</v>
      </c>
      <c r="ET3299" s="5" t="s">
        <v>238</v>
      </c>
      <c r="EU3299" s="5" t="s">
        <v>238</v>
      </c>
      <c r="EV3299" s="5" t="s">
        <v>238</v>
      </c>
      <c r="EW3299" s="5" t="s">
        <v>238</v>
      </c>
      <c r="EX3299" s="5" t="s">
        <v>238</v>
      </c>
      <c r="EY3299" s="5" t="s">
        <v>238</v>
      </c>
      <c r="EZ3299" s="5" t="s">
        <v>238</v>
      </c>
      <c r="FA3299" s="5" t="s">
        <v>238</v>
      </c>
      <c r="FB3299" s="5" t="s">
        <v>238</v>
      </c>
      <c r="FC3299" s="5" t="s">
        <v>238</v>
      </c>
      <c r="FD3299" s="5" t="s">
        <v>238</v>
      </c>
      <c r="FE3299" s="5" t="s">
        <v>238</v>
      </c>
      <c r="FF3299" s="5" t="s">
        <v>238</v>
      </c>
      <c r="FG3299" s="5" t="s">
        <v>238</v>
      </c>
      <c r="FH3299" s="5" t="s">
        <v>238</v>
      </c>
      <c r="FI3299" s="5" t="s">
        <v>238</v>
      </c>
      <c r="FJ3299" s="5" t="s">
        <v>238</v>
      </c>
      <c r="FK3299" s="5" t="s">
        <v>238</v>
      </c>
      <c r="FL3299" s="5" t="s">
        <v>238</v>
      </c>
      <c r="FM3299" s="5" t="s">
        <v>238</v>
      </c>
      <c r="FN3299" s="5" t="s">
        <v>238</v>
      </c>
      <c r="FO3299" s="5" t="s">
        <v>238</v>
      </c>
      <c r="FP3299" s="5" t="s">
        <v>238</v>
      </c>
      <c r="FQ3299" s="5" t="s">
        <v>238</v>
      </c>
      <c r="FR3299" s="5" t="s">
        <v>238</v>
      </c>
      <c r="FS3299" s="5" t="s">
        <v>238</v>
      </c>
      <c r="FT3299" s="5" t="s">
        <v>238</v>
      </c>
      <c r="FU3299" s="5" t="s">
        <v>238</v>
      </c>
      <c r="FV3299" s="5" t="s">
        <v>238</v>
      </c>
      <c r="FW3299" s="5" t="s">
        <v>238</v>
      </c>
      <c r="FX3299" s="5" t="s">
        <v>238</v>
      </c>
      <c r="FY3299" s="5" t="s">
        <v>238</v>
      </c>
      <c r="FZ3299" s="5" t="s">
        <v>238</v>
      </c>
      <c r="GA3299" s="5" t="s">
        <v>238</v>
      </c>
      <c r="GB3299" s="5" t="s">
        <v>238</v>
      </c>
      <c r="GC3299" s="5" t="s">
        <v>238</v>
      </c>
      <c r="GD3299" s="5" t="s">
        <v>238</v>
      </c>
      <c r="GE3299" s="5" t="s">
        <v>238</v>
      </c>
      <c r="GF3299" s="5" t="s">
        <v>238</v>
      </c>
      <c r="GG3299" s="5" t="s">
        <v>238</v>
      </c>
      <c r="GH3299" s="5" t="s">
        <v>238</v>
      </c>
      <c r="GI3299" s="5" t="s">
        <v>238</v>
      </c>
      <c r="GJ3299" s="5" t="s">
        <v>238</v>
      </c>
      <c r="GK3299" s="5" t="s">
        <v>238</v>
      </c>
      <c r="GL3299" s="5" t="s">
        <v>238</v>
      </c>
      <c r="GM3299" s="5" t="s">
        <v>238</v>
      </c>
      <c r="GN3299" s="5" t="s">
        <v>238</v>
      </c>
      <c r="GO3299" s="5" t="s">
        <v>238</v>
      </c>
      <c r="GP3299" s="5" t="s">
        <v>238</v>
      </c>
      <c r="GQ3299" s="5" t="s">
        <v>238</v>
      </c>
      <c r="GR3299" s="5" t="s">
        <v>238</v>
      </c>
      <c r="GS3299" s="5" t="s">
        <v>238</v>
      </c>
      <c r="GT3299" s="5" t="s">
        <v>238</v>
      </c>
      <c r="GU3299" s="5" t="s">
        <v>238</v>
      </c>
      <c r="GV3299" s="5" t="s">
        <v>238</v>
      </c>
      <c r="GW3299" s="5" t="s">
        <v>238</v>
      </c>
      <c r="GX3299" s="5" t="s">
        <v>238</v>
      </c>
      <c r="GY3299" s="5" t="s">
        <v>238</v>
      </c>
      <c r="GZ3299" s="5" t="s">
        <v>238</v>
      </c>
      <c r="HA3299" s="5" t="s">
        <v>238</v>
      </c>
      <c r="HB3299" s="5" t="s">
        <v>238</v>
      </c>
      <c r="HC3299" s="5" t="s">
        <v>238</v>
      </c>
      <c r="HD3299" s="5" t="s">
        <v>238</v>
      </c>
      <c r="HE3299" s="5" t="s">
        <v>238</v>
      </c>
      <c r="HF3299" s="5" t="s">
        <v>238</v>
      </c>
      <c r="HG3299" s="5" t="s">
        <v>238</v>
      </c>
      <c r="HH3299" s="5" t="s">
        <v>238</v>
      </c>
      <c r="HI3299" s="5" t="s">
        <v>238</v>
      </c>
      <c r="HJ3299" s="5" t="s">
        <v>238</v>
      </c>
      <c r="HK3299" s="5" t="s">
        <v>238</v>
      </c>
      <c r="HL3299" s="5" t="s">
        <v>238</v>
      </c>
      <c r="HM3299" s="5" t="s">
        <v>264</v>
      </c>
      <c r="HN3299" s="5" t="s">
        <v>238</v>
      </c>
      <c r="HO3299" s="5" t="s">
        <v>238</v>
      </c>
      <c r="HP3299" s="5" t="s">
        <v>238</v>
      </c>
      <c r="HQ3299" s="5" t="s">
        <v>238</v>
      </c>
      <c r="HR3299" s="5" t="s">
        <v>238</v>
      </c>
      <c r="HS3299" s="5" t="s">
        <v>238</v>
      </c>
      <c r="HT3299" s="5" t="s">
        <v>238</v>
      </c>
      <c r="HU3299" s="5" t="s">
        <v>238</v>
      </c>
      <c r="HV3299" s="5" t="s">
        <v>238</v>
      </c>
      <c r="HW3299" s="5" t="s">
        <v>238</v>
      </c>
      <c r="HX3299" s="5" t="s">
        <v>238</v>
      </c>
      <c r="HY3299" s="5" t="s">
        <v>238</v>
      </c>
      <c r="HZ3299" s="5" t="s">
        <v>238</v>
      </c>
      <c r="IA3299" s="5" t="s">
        <v>238</v>
      </c>
      <c r="IB3299" s="5" t="s">
        <v>238</v>
      </c>
      <c r="IC3299" s="5" t="s">
        <v>238</v>
      </c>
      <c r="ID3299" s="5" t="s">
        <v>238</v>
      </c>
    </row>
    <row r="3300" spans="1:238" x14ac:dyDescent="0.4">
      <c r="A3300" s="5">
        <v>9018</v>
      </c>
      <c r="B3300" s="5">
        <v>1</v>
      </c>
      <c r="C3300" s="5">
        <v>1</v>
      </c>
      <c r="D3300" s="5" t="s">
        <v>484</v>
      </c>
      <c r="E3300" s="5" t="s">
        <v>878</v>
      </c>
      <c r="F3300" s="5" t="s">
        <v>248</v>
      </c>
      <c r="G3300" s="5" t="s">
        <v>6481</v>
      </c>
      <c r="H3300" s="6" t="s">
        <v>6482</v>
      </c>
      <c r="I3300" s="8">
        <f>1</f>
        <v>1</v>
      </c>
      <c r="J3300" s="5" t="s">
        <v>499</v>
      </c>
      <c r="K3300" s="8">
        <f>1</f>
        <v>1</v>
      </c>
      <c r="L3300" s="6" t="s">
        <v>242</v>
      </c>
      <c r="M3300" s="5" t="s">
        <v>267</v>
      </c>
      <c r="N3300" s="5" t="s">
        <v>482</v>
      </c>
      <c r="O3300" s="5" t="s">
        <v>238</v>
      </c>
      <c r="P3300" s="5" t="s">
        <v>238</v>
      </c>
      <c r="Q3300" s="5" t="s">
        <v>239</v>
      </c>
      <c r="R3300" s="5" t="s">
        <v>270</v>
      </c>
      <c r="S3300" s="5" t="s">
        <v>238</v>
      </c>
      <c r="T3300" s="5" t="s">
        <v>238</v>
      </c>
      <c r="U3300" s="5" t="s">
        <v>238</v>
      </c>
      <c r="V3300" s="5" t="s">
        <v>238</v>
      </c>
      <c r="W3300" s="6" t="s">
        <v>238</v>
      </c>
      <c r="X3300" s="6" t="s">
        <v>238</v>
      </c>
      <c r="Y3300" s="5" t="s">
        <v>238</v>
      </c>
      <c r="Z3300" s="6" t="s">
        <v>238</v>
      </c>
      <c r="AA3300" s="6" t="s">
        <v>243</v>
      </c>
      <c r="AB3300" s="5" t="s">
        <v>879</v>
      </c>
      <c r="AC3300" s="5" t="s">
        <v>244</v>
      </c>
      <c r="AD3300" s="5" t="s">
        <v>245</v>
      </c>
      <c r="AE3300" s="5" t="s">
        <v>238</v>
      </c>
      <c r="AF3300" s="5" t="s">
        <v>238</v>
      </c>
      <c r="AG3300" s="5" t="s">
        <v>238</v>
      </c>
      <c r="AH3300" s="5" t="s">
        <v>238</v>
      </c>
      <c r="AI3300" s="5" t="s">
        <v>238</v>
      </c>
      <c r="AJ3300" s="5" t="s">
        <v>238</v>
      </c>
      <c r="AK3300" s="5" t="s">
        <v>238</v>
      </c>
      <c r="AL3300" s="5" t="s">
        <v>238</v>
      </c>
      <c r="AM3300" s="6" t="s">
        <v>238</v>
      </c>
      <c r="AN3300" s="6" t="s">
        <v>238</v>
      </c>
      <c r="AO3300" s="6" t="s">
        <v>238</v>
      </c>
      <c r="AP3300" s="6" t="s">
        <v>238</v>
      </c>
      <c r="AQ3300" s="5" t="s">
        <v>238</v>
      </c>
      <c r="AR3300" s="5" t="s">
        <v>488</v>
      </c>
      <c r="AS3300" s="5" t="s">
        <v>488</v>
      </c>
      <c r="AT3300" s="5" t="s">
        <v>246</v>
      </c>
      <c r="AU3300" s="5" t="s">
        <v>489</v>
      </c>
      <c r="AV3300" s="5" t="s">
        <v>247</v>
      </c>
      <c r="AW3300" s="5" t="s">
        <v>238</v>
      </c>
      <c r="AX3300" s="5" t="s">
        <v>249</v>
      </c>
      <c r="AY3300" s="5" t="s">
        <v>490</v>
      </c>
      <c r="BA3300" s="5" t="s">
        <v>238</v>
      </c>
      <c r="BC3300" s="5" t="s">
        <v>491</v>
      </c>
      <c r="BD3300" s="6" t="s">
        <v>492</v>
      </c>
      <c r="BE3300" s="5" t="s">
        <v>493</v>
      </c>
      <c r="BF3300" s="5" t="s">
        <v>493</v>
      </c>
      <c r="BG3300" s="5" t="s">
        <v>238</v>
      </c>
      <c r="BH3300" s="8">
        <f>1</f>
        <v>1</v>
      </c>
      <c r="BI3300" s="8">
        <f>1</f>
        <v>1</v>
      </c>
      <c r="BJ3300" s="5" t="s">
        <v>253</v>
      </c>
      <c r="BK3300" s="5" t="s">
        <v>254</v>
      </c>
      <c r="BL3300" s="5" t="s">
        <v>238</v>
      </c>
      <c r="BM3300" s="5" t="s">
        <v>238</v>
      </c>
      <c r="BN3300" s="5" t="s">
        <v>238</v>
      </c>
      <c r="BO3300" s="5" t="s">
        <v>238</v>
      </c>
      <c r="BP3300" s="5" t="s">
        <v>238</v>
      </c>
      <c r="BQ3300" s="5" t="s">
        <v>238</v>
      </c>
      <c r="BR3300" s="5" t="s">
        <v>238</v>
      </c>
      <c r="BS3300" s="5" t="s">
        <v>238</v>
      </c>
      <c r="BT3300" s="6" t="s">
        <v>238</v>
      </c>
      <c r="BU3300" s="5" t="s">
        <v>238</v>
      </c>
      <c r="BV3300" s="5" t="s">
        <v>238</v>
      </c>
      <c r="BW3300" s="5" t="s">
        <v>238</v>
      </c>
      <c r="BX3300" s="5" t="s">
        <v>254</v>
      </c>
      <c r="BY3300" s="5" t="s">
        <v>238</v>
      </c>
      <c r="BZ3300" s="5" t="s">
        <v>238</v>
      </c>
      <c r="CA3300" s="5" t="s">
        <v>238</v>
      </c>
      <c r="CB3300" s="5" t="s">
        <v>238</v>
      </c>
      <c r="CC3300" s="5" t="s">
        <v>238</v>
      </c>
      <c r="CD3300" s="5" t="s">
        <v>273</v>
      </c>
      <c r="CE3300" s="5" t="s">
        <v>256</v>
      </c>
      <c r="CF3300" s="5" t="s">
        <v>238</v>
      </c>
      <c r="CH3300" s="5" t="s">
        <v>494</v>
      </c>
      <c r="CI3300" s="6" t="s">
        <v>257</v>
      </c>
      <c r="CJ3300" s="5" t="s">
        <v>495</v>
      </c>
      <c r="CK3300" s="5" t="s">
        <v>258</v>
      </c>
      <c r="CL3300" s="5" t="s">
        <v>496</v>
      </c>
      <c r="CM3300" s="5" t="s">
        <v>238</v>
      </c>
      <c r="CN3300" s="5">
        <v>0</v>
      </c>
      <c r="CO3300" s="5" t="s">
        <v>497</v>
      </c>
      <c r="CP3300" s="5" t="s">
        <v>260</v>
      </c>
      <c r="CQ3300" s="5" t="s">
        <v>260</v>
      </c>
      <c r="CR3300" s="5" t="s">
        <v>261</v>
      </c>
      <c r="CS3300" s="5" t="s">
        <v>498</v>
      </c>
      <c r="CT3300" s="7">
        <f>1</f>
        <v>1</v>
      </c>
      <c r="CU3300" s="8">
        <f>1</f>
        <v>1</v>
      </c>
      <c r="CV3300" s="8">
        <f>0</f>
        <v>0</v>
      </c>
      <c r="CX3300" s="8">
        <f>1</f>
        <v>1</v>
      </c>
      <c r="CY3300" s="8">
        <f>1</f>
        <v>1</v>
      </c>
      <c r="CZ3300" s="8" t="s">
        <v>238</v>
      </c>
      <c r="DA3300" s="5" t="s">
        <v>238</v>
      </c>
      <c r="DB3300" s="5" t="s">
        <v>238</v>
      </c>
      <c r="DC3300" s="5" t="s">
        <v>238</v>
      </c>
      <c r="DD3300" s="5" t="s">
        <v>238</v>
      </c>
      <c r="DE3300" s="8">
        <f>0</f>
        <v>0</v>
      </c>
      <c r="DG3300" s="5" t="s">
        <v>238</v>
      </c>
      <c r="DH3300" s="5" t="s">
        <v>238</v>
      </c>
      <c r="DI3300" s="5" t="s">
        <v>238</v>
      </c>
      <c r="DJ3300" s="5" t="s">
        <v>238</v>
      </c>
      <c r="DK3300" s="5" t="s">
        <v>238</v>
      </c>
      <c r="DL3300" s="5" t="s">
        <v>238</v>
      </c>
      <c r="DM3300" s="8" t="s">
        <v>238</v>
      </c>
      <c r="DN3300" s="5" t="s">
        <v>238</v>
      </c>
      <c r="DO3300" s="5" t="s">
        <v>238</v>
      </c>
      <c r="DP3300" s="5" t="s">
        <v>490</v>
      </c>
      <c r="DQ3300" s="5" t="s">
        <v>490</v>
      </c>
      <c r="DR3300" s="5" t="s">
        <v>238</v>
      </c>
      <c r="DS3300" s="5" t="s">
        <v>238</v>
      </c>
      <c r="DT3300" s="5" t="s">
        <v>881</v>
      </c>
      <c r="DU3300" s="5" t="s">
        <v>1329</v>
      </c>
      <c r="DV3300" s="5" t="s">
        <v>238</v>
      </c>
      <c r="DW3300" s="5" t="s">
        <v>238</v>
      </c>
      <c r="DX3300" s="5" t="s">
        <v>238</v>
      </c>
      <c r="DY3300" s="5" t="s">
        <v>238</v>
      </c>
      <c r="DZ3300" s="5" t="s">
        <v>238</v>
      </c>
      <c r="EA3300" s="5" t="s">
        <v>238</v>
      </c>
      <c r="EB3300" s="5" t="s">
        <v>238</v>
      </c>
      <c r="EC3300" s="5" t="s">
        <v>238</v>
      </c>
      <c r="ED3300" s="5" t="s">
        <v>238</v>
      </c>
      <c r="EE3300" s="5" t="s">
        <v>238</v>
      </c>
      <c r="EF3300" s="5" t="s">
        <v>238</v>
      </c>
      <c r="EG3300" s="5" t="s">
        <v>238</v>
      </c>
      <c r="EH3300" s="5" t="s">
        <v>238</v>
      </c>
      <c r="EI3300" s="5" t="s">
        <v>238</v>
      </c>
      <c r="EJ3300" s="5" t="s">
        <v>238</v>
      </c>
      <c r="EK3300" s="5" t="s">
        <v>238</v>
      </c>
      <c r="EL3300" s="5" t="s">
        <v>238</v>
      </c>
      <c r="EM3300" s="5" t="s">
        <v>238</v>
      </c>
      <c r="EN3300" s="5" t="s">
        <v>238</v>
      </c>
      <c r="EO3300" s="5" t="s">
        <v>238</v>
      </c>
      <c r="EP3300" s="5" t="s">
        <v>238</v>
      </c>
      <c r="EQ3300" s="5" t="s">
        <v>238</v>
      </c>
      <c r="ER3300" s="5" t="s">
        <v>238</v>
      </c>
      <c r="ES3300" s="5" t="s">
        <v>238</v>
      </c>
      <c r="ET3300" s="5" t="s">
        <v>238</v>
      </c>
      <c r="EU3300" s="5" t="s">
        <v>238</v>
      </c>
      <c r="EV3300" s="5" t="s">
        <v>238</v>
      </c>
      <c r="EW3300" s="5" t="s">
        <v>238</v>
      </c>
      <c r="EX3300" s="5" t="s">
        <v>238</v>
      </c>
      <c r="EY3300" s="5" t="s">
        <v>238</v>
      </c>
      <c r="EZ3300" s="5" t="s">
        <v>238</v>
      </c>
      <c r="FA3300" s="5" t="s">
        <v>238</v>
      </c>
      <c r="FB3300" s="5" t="s">
        <v>238</v>
      </c>
      <c r="FC3300" s="5" t="s">
        <v>238</v>
      </c>
      <c r="FD3300" s="5" t="s">
        <v>238</v>
      </c>
      <c r="FE3300" s="5" t="s">
        <v>238</v>
      </c>
      <c r="FF3300" s="5" t="s">
        <v>238</v>
      </c>
      <c r="FG3300" s="5" t="s">
        <v>238</v>
      </c>
      <c r="FH3300" s="5" t="s">
        <v>238</v>
      </c>
      <c r="FI3300" s="5" t="s">
        <v>238</v>
      </c>
      <c r="FJ3300" s="5" t="s">
        <v>238</v>
      </c>
      <c r="FK3300" s="5" t="s">
        <v>238</v>
      </c>
      <c r="FL3300" s="5" t="s">
        <v>238</v>
      </c>
      <c r="FM3300" s="5" t="s">
        <v>238</v>
      </c>
      <c r="FN3300" s="5" t="s">
        <v>238</v>
      </c>
      <c r="FO3300" s="5" t="s">
        <v>238</v>
      </c>
      <c r="FP3300" s="5" t="s">
        <v>238</v>
      </c>
      <c r="FQ3300" s="5" t="s">
        <v>238</v>
      </c>
      <c r="FR3300" s="5" t="s">
        <v>238</v>
      </c>
      <c r="FS3300" s="5" t="s">
        <v>238</v>
      </c>
      <c r="FT3300" s="5" t="s">
        <v>238</v>
      </c>
      <c r="FU3300" s="5" t="s">
        <v>238</v>
      </c>
      <c r="FV3300" s="5" t="s">
        <v>238</v>
      </c>
      <c r="FW3300" s="5" t="s">
        <v>238</v>
      </c>
      <c r="FX3300" s="5" t="s">
        <v>238</v>
      </c>
      <c r="FY3300" s="5" t="s">
        <v>238</v>
      </c>
      <c r="FZ3300" s="5" t="s">
        <v>238</v>
      </c>
      <c r="GA3300" s="5" t="s">
        <v>238</v>
      </c>
      <c r="GB3300" s="5" t="s">
        <v>238</v>
      </c>
      <c r="GC3300" s="5" t="s">
        <v>238</v>
      </c>
      <c r="GD3300" s="5" t="s">
        <v>238</v>
      </c>
      <c r="GE3300" s="5" t="s">
        <v>238</v>
      </c>
      <c r="GF3300" s="5" t="s">
        <v>238</v>
      </c>
      <c r="GG3300" s="5" t="s">
        <v>238</v>
      </c>
      <c r="GH3300" s="5" t="s">
        <v>238</v>
      </c>
      <c r="GI3300" s="5" t="s">
        <v>238</v>
      </c>
      <c r="GJ3300" s="5" t="s">
        <v>238</v>
      </c>
      <c r="GK3300" s="5" t="s">
        <v>238</v>
      </c>
      <c r="GL3300" s="5" t="s">
        <v>238</v>
      </c>
      <c r="GM3300" s="5" t="s">
        <v>238</v>
      </c>
      <c r="GN3300" s="5" t="s">
        <v>238</v>
      </c>
      <c r="GO3300" s="5" t="s">
        <v>238</v>
      </c>
      <c r="GP3300" s="5" t="s">
        <v>238</v>
      </c>
      <c r="GQ3300" s="5" t="s">
        <v>238</v>
      </c>
      <c r="GR3300" s="5" t="s">
        <v>238</v>
      </c>
      <c r="GS3300" s="5" t="s">
        <v>238</v>
      </c>
      <c r="GT3300" s="5" t="s">
        <v>238</v>
      </c>
      <c r="GU3300" s="5" t="s">
        <v>238</v>
      </c>
      <c r="GV3300" s="5" t="s">
        <v>238</v>
      </c>
      <c r="GW3300" s="5" t="s">
        <v>238</v>
      </c>
      <c r="GX3300" s="5" t="s">
        <v>238</v>
      </c>
      <c r="GY3300" s="5" t="s">
        <v>238</v>
      </c>
      <c r="GZ3300" s="5" t="s">
        <v>238</v>
      </c>
      <c r="HA3300" s="5" t="s">
        <v>238</v>
      </c>
      <c r="HB3300" s="5" t="s">
        <v>238</v>
      </c>
      <c r="HC3300" s="5" t="s">
        <v>238</v>
      </c>
      <c r="HD3300" s="5" t="s">
        <v>238</v>
      </c>
      <c r="HE3300" s="5" t="s">
        <v>238</v>
      </c>
      <c r="HF3300" s="5" t="s">
        <v>238</v>
      </c>
      <c r="HG3300" s="5" t="s">
        <v>238</v>
      </c>
      <c r="HH3300" s="5" t="s">
        <v>238</v>
      </c>
      <c r="HI3300" s="5" t="s">
        <v>238</v>
      </c>
      <c r="HJ3300" s="5" t="s">
        <v>238</v>
      </c>
      <c r="HK3300" s="5" t="s">
        <v>238</v>
      </c>
      <c r="HL3300" s="5" t="s">
        <v>238</v>
      </c>
      <c r="HM3300" s="5" t="s">
        <v>264</v>
      </c>
      <c r="HN3300" s="5" t="s">
        <v>238</v>
      </c>
      <c r="HO3300" s="5" t="s">
        <v>238</v>
      </c>
      <c r="HP3300" s="5" t="s">
        <v>238</v>
      </c>
      <c r="HQ3300" s="5" t="s">
        <v>238</v>
      </c>
      <c r="HR3300" s="5" t="s">
        <v>238</v>
      </c>
      <c r="HS3300" s="5" t="s">
        <v>238</v>
      </c>
      <c r="HT3300" s="5" t="s">
        <v>238</v>
      </c>
      <c r="HU3300" s="5" t="s">
        <v>238</v>
      </c>
      <c r="HV3300" s="5" t="s">
        <v>238</v>
      </c>
      <c r="HW3300" s="5" t="s">
        <v>238</v>
      </c>
      <c r="HX3300" s="5" t="s">
        <v>238</v>
      </c>
      <c r="HY3300" s="5" t="s">
        <v>238</v>
      </c>
      <c r="HZ3300" s="5" t="s">
        <v>238</v>
      </c>
      <c r="IA3300" s="5" t="s">
        <v>238</v>
      </c>
      <c r="IB3300" s="5" t="s">
        <v>238</v>
      </c>
      <c r="IC3300" s="5" t="s">
        <v>238</v>
      </c>
      <c r="ID3300" s="5" t="s">
        <v>238</v>
      </c>
    </row>
    <row r="3301" spans="1:238" x14ac:dyDescent="0.4">
      <c r="A3301" s="5">
        <v>9019</v>
      </c>
      <c r="B3301" s="5">
        <v>1</v>
      </c>
      <c r="C3301" s="5">
        <v>1</v>
      </c>
      <c r="D3301" s="5" t="s">
        <v>484</v>
      </c>
      <c r="E3301" s="5" t="s">
        <v>878</v>
      </c>
      <c r="F3301" s="5" t="s">
        <v>248</v>
      </c>
      <c r="G3301" s="5" t="s">
        <v>4896</v>
      </c>
      <c r="H3301" s="6" t="s">
        <v>4897</v>
      </c>
      <c r="I3301" s="8">
        <f>1</f>
        <v>1</v>
      </c>
      <c r="J3301" s="5" t="s">
        <v>499</v>
      </c>
      <c r="K3301" s="8">
        <f>1</f>
        <v>1</v>
      </c>
      <c r="L3301" s="6" t="s">
        <v>242</v>
      </c>
      <c r="M3301" s="5" t="s">
        <v>267</v>
      </c>
      <c r="N3301" s="5" t="s">
        <v>482</v>
      </c>
      <c r="O3301" s="5" t="s">
        <v>238</v>
      </c>
      <c r="P3301" s="5" t="s">
        <v>238</v>
      </c>
      <c r="Q3301" s="5" t="s">
        <v>239</v>
      </c>
      <c r="R3301" s="5" t="s">
        <v>270</v>
      </c>
      <c r="S3301" s="5" t="s">
        <v>238</v>
      </c>
      <c r="T3301" s="5" t="s">
        <v>238</v>
      </c>
      <c r="U3301" s="5" t="s">
        <v>238</v>
      </c>
      <c r="V3301" s="5" t="s">
        <v>238</v>
      </c>
      <c r="W3301" s="6" t="s">
        <v>238</v>
      </c>
      <c r="X3301" s="6" t="s">
        <v>238</v>
      </c>
      <c r="Y3301" s="5" t="s">
        <v>238</v>
      </c>
      <c r="Z3301" s="6" t="s">
        <v>238</v>
      </c>
      <c r="AA3301" s="6" t="s">
        <v>243</v>
      </c>
      <c r="AB3301" s="5" t="s">
        <v>879</v>
      </c>
      <c r="AC3301" s="5" t="s">
        <v>244</v>
      </c>
      <c r="AD3301" s="5" t="s">
        <v>245</v>
      </c>
      <c r="AE3301" s="5" t="s">
        <v>238</v>
      </c>
      <c r="AF3301" s="5" t="s">
        <v>238</v>
      </c>
      <c r="AG3301" s="5" t="s">
        <v>238</v>
      </c>
      <c r="AH3301" s="5" t="s">
        <v>238</v>
      </c>
      <c r="AI3301" s="5" t="s">
        <v>238</v>
      </c>
      <c r="AJ3301" s="5" t="s">
        <v>238</v>
      </c>
      <c r="AK3301" s="5" t="s">
        <v>238</v>
      </c>
      <c r="AL3301" s="5" t="s">
        <v>238</v>
      </c>
      <c r="AM3301" s="6" t="s">
        <v>238</v>
      </c>
      <c r="AN3301" s="6" t="s">
        <v>238</v>
      </c>
      <c r="AO3301" s="6" t="s">
        <v>238</v>
      </c>
      <c r="AP3301" s="6" t="s">
        <v>238</v>
      </c>
      <c r="AQ3301" s="5" t="s">
        <v>238</v>
      </c>
      <c r="AR3301" s="5" t="s">
        <v>488</v>
      </c>
      <c r="AS3301" s="5" t="s">
        <v>488</v>
      </c>
      <c r="AT3301" s="5" t="s">
        <v>246</v>
      </c>
      <c r="AU3301" s="5" t="s">
        <v>489</v>
      </c>
      <c r="AV3301" s="5" t="s">
        <v>247</v>
      </c>
      <c r="AW3301" s="5" t="s">
        <v>238</v>
      </c>
      <c r="AX3301" s="5" t="s">
        <v>249</v>
      </c>
      <c r="AY3301" s="5" t="s">
        <v>490</v>
      </c>
      <c r="BA3301" s="5" t="s">
        <v>238</v>
      </c>
      <c r="BC3301" s="5" t="s">
        <v>491</v>
      </c>
      <c r="BD3301" s="6" t="s">
        <v>492</v>
      </c>
      <c r="BE3301" s="5" t="s">
        <v>493</v>
      </c>
      <c r="BF3301" s="5" t="s">
        <v>493</v>
      </c>
      <c r="BG3301" s="5" t="s">
        <v>238</v>
      </c>
      <c r="BH3301" s="8">
        <f>1</f>
        <v>1</v>
      </c>
      <c r="BI3301" s="8">
        <f>1</f>
        <v>1</v>
      </c>
      <c r="BJ3301" s="5" t="s">
        <v>253</v>
      </c>
      <c r="BK3301" s="5" t="s">
        <v>254</v>
      </c>
      <c r="BL3301" s="5" t="s">
        <v>238</v>
      </c>
      <c r="BM3301" s="5" t="s">
        <v>238</v>
      </c>
      <c r="BN3301" s="5" t="s">
        <v>238</v>
      </c>
      <c r="BO3301" s="5" t="s">
        <v>238</v>
      </c>
      <c r="BP3301" s="5" t="s">
        <v>238</v>
      </c>
      <c r="BQ3301" s="5" t="s">
        <v>238</v>
      </c>
      <c r="BR3301" s="5" t="s">
        <v>238</v>
      </c>
      <c r="BS3301" s="5" t="s">
        <v>238</v>
      </c>
      <c r="BT3301" s="6" t="s">
        <v>238</v>
      </c>
      <c r="BU3301" s="5" t="s">
        <v>238</v>
      </c>
      <c r="BV3301" s="5" t="s">
        <v>238</v>
      </c>
      <c r="BW3301" s="5" t="s">
        <v>238</v>
      </c>
      <c r="BX3301" s="5" t="s">
        <v>254</v>
      </c>
      <c r="BY3301" s="5" t="s">
        <v>238</v>
      </c>
      <c r="BZ3301" s="5" t="s">
        <v>238</v>
      </c>
      <c r="CA3301" s="5" t="s">
        <v>238</v>
      </c>
      <c r="CB3301" s="5" t="s">
        <v>238</v>
      </c>
      <c r="CC3301" s="5" t="s">
        <v>238</v>
      </c>
      <c r="CD3301" s="5" t="s">
        <v>273</v>
      </c>
      <c r="CE3301" s="5" t="s">
        <v>256</v>
      </c>
      <c r="CF3301" s="5" t="s">
        <v>238</v>
      </c>
      <c r="CH3301" s="5" t="s">
        <v>494</v>
      </c>
      <c r="CI3301" s="6" t="s">
        <v>257</v>
      </c>
      <c r="CJ3301" s="5" t="s">
        <v>495</v>
      </c>
      <c r="CK3301" s="5" t="s">
        <v>258</v>
      </c>
      <c r="CL3301" s="5" t="s">
        <v>496</v>
      </c>
      <c r="CM3301" s="5" t="s">
        <v>238</v>
      </c>
      <c r="CN3301" s="5">
        <v>0</v>
      </c>
      <c r="CO3301" s="5" t="s">
        <v>497</v>
      </c>
      <c r="CP3301" s="5" t="s">
        <v>260</v>
      </c>
      <c r="CQ3301" s="5" t="s">
        <v>260</v>
      </c>
      <c r="CR3301" s="5" t="s">
        <v>261</v>
      </c>
      <c r="CS3301" s="5" t="s">
        <v>498</v>
      </c>
      <c r="CT3301" s="7">
        <f>1</f>
        <v>1</v>
      </c>
      <c r="CU3301" s="8">
        <f>1</f>
        <v>1</v>
      </c>
      <c r="CV3301" s="8">
        <f>0</f>
        <v>0</v>
      </c>
      <c r="CX3301" s="8">
        <f>1</f>
        <v>1</v>
      </c>
      <c r="CY3301" s="8">
        <f>1</f>
        <v>1</v>
      </c>
      <c r="CZ3301" s="8" t="s">
        <v>238</v>
      </c>
      <c r="DA3301" s="5" t="s">
        <v>238</v>
      </c>
      <c r="DB3301" s="5" t="s">
        <v>238</v>
      </c>
      <c r="DC3301" s="5" t="s">
        <v>238</v>
      </c>
      <c r="DD3301" s="5" t="s">
        <v>238</v>
      </c>
      <c r="DE3301" s="8">
        <f>0</f>
        <v>0</v>
      </c>
      <c r="DG3301" s="5" t="s">
        <v>238</v>
      </c>
      <c r="DH3301" s="5" t="s">
        <v>238</v>
      </c>
      <c r="DI3301" s="5" t="s">
        <v>238</v>
      </c>
      <c r="DJ3301" s="5" t="s">
        <v>238</v>
      </c>
      <c r="DK3301" s="5" t="s">
        <v>238</v>
      </c>
      <c r="DL3301" s="5" t="s">
        <v>238</v>
      </c>
      <c r="DM3301" s="8" t="s">
        <v>238</v>
      </c>
      <c r="DN3301" s="5" t="s">
        <v>238</v>
      </c>
      <c r="DO3301" s="5" t="s">
        <v>238</v>
      </c>
      <c r="DP3301" s="5" t="s">
        <v>490</v>
      </c>
      <c r="DQ3301" s="5" t="s">
        <v>490</v>
      </c>
      <c r="DR3301" s="5" t="s">
        <v>238</v>
      </c>
      <c r="DS3301" s="5" t="s">
        <v>238</v>
      </c>
      <c r="DT3301" s="5" t="s">
        <v>881</v>
      </c>
      <c r="DU3301" s="5" t="s">
        <v>1314</v>
      </c>
      <c r="DV3301" s="5" t="s">
        <v>238</v>
      </c>
      <c r="DW3301" s="5" t="s">
        <v>238</v>
      </c>
      <c r="DX3301" s="5" t="s">
        <v>238</v>
      </c>
      <c r="DY3301" s="5" t="s">
        <v>238</v>
      </c>
      <c r="DZ3301" s="5" t="s">
        <v>238</v>
      </c>
      <c r="EA3301" s="5" t="s">
        <v>238</v>
      </c>
      <c r="EB3301" s="5" t="s">
        <v>238</v>
      </c>
      <c r="EC3301" s="5" t="s">
        <v>238</v>
      </c>
      <c r="ED3301" s="5" t="s">
        <v>238</v>
      </c>
      <c r="EE3301" s="5" t="s">
        <v>238</v>
      </c>
      <c r="EF3301" s="5" t="s">
        <v>238</v>
      </c>
      <c r="EG3301" s="5" t="s">
        <v>238</v>
      </c>
      <c r="EH3301" s="5" t="s">
        <v>238</v>
      </c>
      <c r="EI3301" s="5" t="s">
        <v>238</v>
      </c>
      <c r="EJ3301" s="5" t="s">
        <v>238</v>
      </c>
      <c r="EK3301" s="5" t="s">
        <v>238</v>
      </c>
      <c r="EL3301" s="5" t="s">
        <v>238</v>
      </c>
      <c r="EM3301" s="5" t="s">
        <v>238</v>
      </c>
      <c r="EN3301" s="5" t="s">
        <v>238</v>
      </c>
      <c r="EO3301" s="5" t="s">
        <v>238</v>
      </c>
      <c r="EP3301" s="5" t="s">
        <v>238</v>
      </c>
      <c r="EQ3301" s="5" t="s">
        <v>238</v>
      </c>
      <c r="ER3301" s="5" t="s">
        <v>238</v>
      </c>
      <c r="ES3301" s="5" t="s">
        <v>238</v>
      </c>
      <c r="ET3301" s="5" t="s">
        <v>238</v>
      </c>
      <c r="EU3301" s="5" t="s">
        <v>238</v>
      </c>
      <c r="EV3301" s="5" t="s">
        <v>238</v>
      </c>
      <c r="EW3301" s="5" t="s">
        <v>238</v>
      </c>
      <c r="EX3301" s="5" t="s">
        <v>238</v>
      </c>
      <c r="EY3301" s="5" t="s">
        <v>238</v>
      </c>
      <c r="EZ3301" s="5" t="s">
        <v>238</v>
      </c>
      <c r="FA3301" s="5" t="s">
        <v>238</v>
      </c>
      <c r="FB3301" s="5" t="s">
        <v>238</v>
      </c>
      <c r="FC3301" s="5" t="s">
        <v>238</v>
      </c>
      <c r="FD3301" s="5" t="s">
        <v>238</v>
      </c>
      <c r="FE3301" s="5" t="s">
        <v>238</v>
      </c>
      <c r="FF3301" s="5" t="s">
        <v>238</v>
      </c>
      <c r="FG3301" s="5" t="s">
        <v>238</v>
      </c>
      <c r="FH3301" s="5" t="s">
        <v>238</v>
      </c>
      <c r="FI3301" s="5" t="s">
        <v>238</v>
      </c>
      <c r="FJ3301" s="5" t="s">
        <v>238</v>
      </c>
      <c r="FK3301" s="5" t="s">
        <v>238</v>
      </c>
      <c r="FL3301" s="5" t="s">
        <v>238</v>
      </c>
      <c r="FM3301" s="5" t="s">
        <v>238</v>
      </c>
      <c r="FN3301" s="5" t="s">
        <v>238</v>
      </c>
      <c r="FO3301" s="5" t="s">
        <v>238</v>
      </c>
      <c r="FP3301" s="5" t="s">
        <v>238</v>
      </c>
      <c r="FQ3301" s="5" t="s">
        <v>238</v>
      </c>
      <c r="FR3301" s="5" t="s">
        <v>238</v>
      </c>
      <c r="FS3301" s="5" t="s">
        <v>238</v>
      </c>
      <c r="FT3301" s="5" t="s">
        <v>238</v>
      </c>
      <c r="FU3301" s="5" t="s">
        <v>238</v>
      </c>
      <c r="FV3301" s="5" t="s">
        <v>238</v>
      </c>
      <c r="FW3301" s="5" t="s">
        <v>238</v>
      </c>
      <c r="FX3301" s="5" t="s">
        <v>238</v>
      </c>
      <c r="FY3301" s="5" t="s">
        <v>238</v>
      </c>
      <c r="FZ3301" s="5" t="s">
        <v>238</v>
      </c>
      <c r="GA3301" s="5" t="s">
        <v>238</v>
      </c>
      <c r="GB3301" s="5" t="s">
        <v>238</v>
      </c>
      <c r="GC3301" s="5" t="s">
        <v>238</v>
      </c>
      <c r="GD3301" s="5" t="s">
        <v>238</v>
      </c>
      <c r="GE3301" s="5" t="s">
        <v>238</v>
      </c>
      <c r="GF3301" s="5" t="s">
        <v>238</v>
      </c>
      <c r="GG3301" s="5" t="s">
        <v>238</v>
      </c>
      <c r="GH3301" s="5" t="s">
        <v>238</v>
      </c>
      <c r="GI3301" s="5" t="s">
        <v>238</v>
      </c>
      <c r="GJ3301" s="5" t="s">
        <v>238</v>
      </c>
      <c r="GK3301" s="5" t="s">
        <v>238</v>
      </c>
      <c r="GL3301" s="5" t="s">
        <v>238</v>
      </c>
      <c r="GM3301" s="5" t="s">
        <v>238</v>
      </c>
      <c r="GN3301" s="5" t="s">
        <v>238</v>
      </c>
      <c r="GO3301" s="5" t="s">
        <v>238</v>
      </c>
      <c r="GP3301" s="5" t="s">
        <v>238</v>
      </c>
      <c r="GQ3301" s="5" t="s">
        <v>238</v>
      </c>
      <c r="GR3301" s="5" t="s">
        <v>238</v>
      </c>
      <c r="GS3301" s="5" t="s">
        <v>238</v>
      </c>
      <c r="GT3301" s="5" t="s">
        <v>238</v>
      </c>
      <c r="GU3301" s="5" t="s">
        <v>238</v>
      </c>
      <c r="GV3301" s="5" t="s">
        <v>238</v>
      </c>
      <c r="GW3301" s="5" t="s">
        <v>238</v>
      </c>
      <c r="GX3301" s="5" t="s">
        <v>238</v>
      </c>
      <c r="GY3301" s="5" t="s">
        <v>238</v>
      </c>
      <c r="GZ3301" s="5" t="s">
        <v>238</v>
      </c>
      <c r="HA3301" s="5" t="s">
        <v>238</v>
      </c>
      <c r="HB3301" s="5" t="s">
        <v>238</v>
      </c>
      <c r="HC3301" s="5" t="s">
        <v>238</v>
      </c>
      <c r="HD3301" s="5" t="s">
        <v>238</v>
      </c>
      <c r="HE3301" s="5" t="s">
        <v>238</v>
      </c>
      <c r="HF3301" s="5" t="s">
        <v>238</v>
      </c>
      <c r="HG3301" s="5" t="s">
        <v>238</v>
      </c>
      <c r="HH3301" s="5" t="s">
        <v>238</v>
      </c>
      <c r="HI3301" s="5" t="s">
        <v>238</v>
      </c>
      <c r="HJ3301" s="5" t="s">
        <v>238</v>
      </c>
      <c r="HK3301" s="5" t="s">
        <v>238</v>
      </c>
      <c r="HL3301" s="5" t="s">
        <v>238</v>
      </c>
      <c r="HM3301" s="5" t="s">
        <v>264</v>
      </c>
      <c r="HN3301" s="5" t="s">
        <v>238</v>
      </c>
      <c r="HO3301" s="5" t="s">
        <v>238</v>
      </c>
      <c r="HP3301" s="5" t="s">
        <v>238</v>
      </c>
      <c r="HQ3301" s="5" t="s">
        <v>238</v>
      </c>
      <c r="HR3301" s="5" t="s">
        <v>238</v>
      </c>
      <c r="HS3301" s="5" t="s">
        <v>238</v>
      </c>
      <c r="HT3301" s="5" t="s">
        <v>238</v>
      </c>
      <c r="HU3301" s="5" t="s">
        <v>238</v>
      </c>
      <c r="HV3301" s="5" t="s">
        <v>238</v>
      </c>
      <c r="HW3301" s="5" t="s">
        <v>238</v>
      </c>
      <c r="HX3301" s="5" t="s">
        <v>238</v>
      </c>
      <c r="HY3301" s="5" t="s">
        <v>238</v>
      </c>
      <c r="HZ3301" s="5" t="s">
        <v>238</v>
      </c>
      <c r="IA3301" s="5" t="s">
        <v>238</v>
      </c>
      <c r="IB3301" s="5" t="s">
        <v>238</v>
      </c>
      <c r="IC3301" s="5" t="s">
        <v>238</v>
      </c>
      <c r="ID3301" s="5" t="s">
        <v>238</v>
      </c>
    </row>
    <row r="3302" spans="1:238" x14ac:dyDescent="0.4">
      <c r="A3302" s="5">
        <v>9020</v>
      </c>
      <c r="B3302" s="5">
        <v>1</v>
      </c>
      <c r="C3302" s="5">
        <v>1</v>
      </c>
      <c r="D3302" s="5" t="s">
        <v>484</v>
      </c>
      <c r="E3302" s="5" t="s">
        <v>878</v>
      </c>
      <c r="F3302" s="5" t="s">
        <v>248</v>
      </c>
      <c r="G3302" s="5" t="s">
        <v>6423</v>
      </c>
      <c r="H3302" s="6" t="s">
        <v>6424</v>
      </c>
      <c r="I3302" s="8">
        <f>1</f>
        <v>1</v>
      </c>
      <c r="J3302" s="5" t="s">
        <v>499</v>
      </c>
      <c r="K3302" s="8">
        <f>1</f>
        <v>1</v>
      </c>
      <c r="L3302" s="6" t="s">
        <v>242</v>
      </c>
      <c r="M3302" s="5" t="s">
        <v>267</v>
      </c>
      <c r="N3302" s="5" t="s">
        <v>482</v>
      </c>
      <c r="O3302" s="5" t="s">
        <v>238</v>
      </c>
      <c r="P3302" s="5" t="s">
        <v>238</v>
      </c>
      <c r="Q3302" s="5" t="s">
        <v>239</v>
      </c>
      <c r="R3302" s="5" t="s">
        <v>270</v>
      </c>
      <c r="S3302" s="5" t="s">
        <v>238</v>
      </c>
      <c r="T3302" s="5" t="s">
        <v>238</v>
      </c>
      <c r="U3302" s="5" t="s">
        <v>238</v>
      </c>
      <c r="V3302" s="5" t="s">
        <v>238</v>
      </c>
      <c r="W3302" s="6" t="s">
        <v>238</v>
      </c>
      <c r="X3302" s="6" t="s">
        <v>238</v>
      </c>
      <c r="Y3302" s="5" t="s">
        <v>238</v>
      </c>
      <c r="Z3302" s="6" t="s">
        <v>238</v>
      </c>
      <c r="AA3302" s="6" t="s">
        <v>243</v>
      </c>
      <c r="AB3302" s="5" t="s">
        <v>879</v>
      </c>
      <c r="AC3302" s="5" t="s">
        <v>244</v>
      </c>
      <c r="AD3302" s="5" t="s">
        <v>245</v>
      </c>
      <c r="AE3302" s="5" t="s">
        <v>238</v>
      </c>
      <c r="AF3302" s="5" t="s">
        <v>238</v>
      </c>
      <c r="AG3302" s="5" t="s">
        <v>238</v>
      </c>
      <c r="AH3302" s="5" t="s">
        <v>238</v>
      </c>
      <c r="AI3302" s="5" t="s">
        <v>238</v>
      </c>
      <c r="AJ3302" s="5" t="s">
        <v>238</v>
      </c>
      <c r="AK3302" s="5" t="s">
        <v>238</v>
      </c>
      <c r="AL3302" s="5" t="s">
        <v>238</v>
      </c>
      <c r="AM3302" s="6" t="s">
        <v>238</v>
      </c>
      <c r="AN3302" s="6" t="s">
        <v>238</v>
      </c>
      <c r="AO3302" s="6" t="s">
        <v>238</v>
      </c>
      <c r="AP3302" s="6" t="s">
        <v>238</v>
      </c>
      <c r="AQ3302" s="5" t="s">
        <v>238</v>
      </c>
      <c r="AR3302" s="5" t="s">
        <v>488</v>
      </c>
      <c r="AS3302" s="5" t="s">
        <v>488</v>
      </c>
      <c r="AT3302" s="5" t="s">
        <v>246</v>
      </c>
      <c r="AU3302" s="5" t="s">
        <v>489</v>
      </c>
      <c r="AV3302" s="5" t="s">
        <v>247</v>
      </c>
      <c r="AW3302" s="5" t="s">
        <v>238</v>
      </c>
      <c r="AX3302" s="5" t="s">
        <v>249</v>
      </c>
      <c r="AY3302" s="5" t="s">
        <v>490</v>
      </c>
      <c r="BA3302" s="5" t="s">
        <v>238</v>
      </c>
      <c r="BC3302" s="5" t="s">
        <v>491</v>
      </c>
      <c r="BD3302" s="6" t="s">
        <v>492</v>
      </c>
      <c r="BE3302" s="5" t="s">
        <v>493</v>
      </c>
      <c r="BF3302" s="5" t="s">
        <v>493</v>
      </c>
      <c r="BG3302" s="5" t="s">
        <v>238</v>
      </c>
      <c r="BH3302" s="8">
        <f>1</f>
        <v>1</v>
      </c>
      <c r="BI3302" s="8">
        <f>1</f>
        <v>1</v>
      </c>
      <c r="BJ3302" s="5" t="s">
        <v>253</v>
      </c>
      <c r="BK3302" s="5" t="s">
        <v>254</v>
      </c>
      <c r="BL3302" s="5" t="s">
        <v>238</v>
      </c>
      <c r="BM3302" s="5" t="s">
        <v>238</v>
      </c>
      <c r="BN3302" s="5" t="s">
        <v>238</v>
      </c>
      <c r="BO3302" s="5" t="s">
        <v>238</v>
      </c>
      <c r="BP3302" s="5" t="s">
        <v>238</v>
      </c>
      <c r="BQ3302" s="5" t="s">
        <v>238</v>
      </c>
      <c r="BR3302" s="5" t="s">
        <v>238</v>
      </c>
      <c r="BS3302" s="5" t="s">
        <v>238</v>
      </c>
      <c r="BT3302" s="6" t="s">
        <v>238</v>
      </c>
      <c r="BU3302" s="5" t="s">
        <v>238</v>
      </c>
      <c r="BV3302" s="5" t="s">
        <v>238</v>
      </c>
      <c r="BW3302" s="5" t="s">
        <v>238</v>
      </c>
      <c r="BX3302" s="5" t="s">
        <v>254</v>
      </c>
      <c r="BY3302" s="5" t="s">
        <v>238</v>
      </c>
      <c r="BZ3302" s="5" t="s">
        <v>238</v>
      </c>
      <c r="CA3302" s="5" t="s">
        <v>238</v>
      </c>
      <c r="CB3302" s="5" t="s">
        <v>238</v>
      </c>
      <c r="CC3302" s="5" t="s">
        <v>238</v>
      </c>
      <c r="CD3302" s="5" t="s">
        <v>273</v>
      </c>
      <c r="CE3302" s="5" t="s">
        <v>256</v>
      </c>
      <c r="CF3302" s="5" t="s">
        <v>238</v>
      </c>
      <c r="CH3302" s="5" t="s">
        <v>494</v>
      </c>
      <c r="CI3302" s="6" t="s">
        <v>257</v>
      </c>
      <c r="CJ3302" s="5" t="s">
        <v>495</v>
      </c>
      <c r="CK3302" s="5" t="s">
        <v>258</v>
      </c>
      <c r="CL3302" s="5" t="s">
        <v>496</v>
      </c>
      <c r="CM3302" s="5" t="s">
        <v>238</v>
      </c>
      <c r="CN3302" s="5">
        <v>0</v>
      </c>
      <c r="CO3302" s="5" t="s">
        <v>497</v>
      </c>
      <c r="CP3302" s="5" t="s">
        <v>260</v>
      </c>
      <c r="CQ3302" s="5" t="s">
        <v>260</v>
      </c>
      <c r="CR3302" s="5" t="s">
        <v>261</v>
      </c>
      <c r="CS3302" s="5" t="s">
        <v>498</v>
      </c>
      <c r="CT3302" s="7">
        <f>1</f>
        <v>1</v>
      </c>
      <c r="CU3302" s="8">
        <f>1</f>
        <v>1</v>
      </c>
      <c r="CV3302" s="8">
        <f>0</f>
        <v>0</v>
      </c>
      <c r="CX3302" s="8">
        <f>1</f>
        <v>1</v>
      </c>
      <c r="CY3302" s="8">
        <f>1</f>
        <v>1</v>
      </c>
      <c r="CZ3302" s="8" t="s">
        <v>238</v>
      </c>
      <c r="DA3302" s="5" t="s">
        <v>238</v>
      </c>
      <c r="DB3302" s="5" t="s">
        <v>238</v>
      </c>
      <c r="DC3302" s="5" t="s">
        <v>238</v>
      </c>
      <c r="DD3302" s="5" t="s">
        <v>238</v>
      </c>
      <c r="DE3302" s="8">
        <f>0</f>
        <v>0</v>
      </c>
      <c r="DG3302" s="5" t="s">
        <v>238</v>
      </c>
      <c r="DH3302" s="5" t="s">
        <v>238</v>
      </c>
      <c r="DI3302" s="5" t="s">
        <v>238</v>
      </c>
      <c r="DJ3302" s="5" t="s">
        <v>238</v>
      </c>
      <c r="DK3302" s="5" t="s">
        <v>238</v>
      </c>
      <c r="DL3302" s="5" t="s">
        <v>238</v>
      </c>
      <c r="DM3302" s="8" t="s">
        <v>238</v>
      </c>
      <c r="DN3302" s="5" t="s">
        <v>238</v>
      </c>
      <c r="DO3302" s="5" t="s">
        <v>238</v>
      </c>
      <c r="DP3302" s="5" t="s">
        <v>490</v>
      </c>
      <c r="DQ3302" s="5" t="s">
        <v>490</v>
      </c>
      <c r="DR3302" s="5" t="s">
        <v>238</v>
      </c>
      <c r="DS3302" s="5" t="s">
        <v>238</v>
      </c>
      <c r="DT3302" s="5" t="s">
        <v>881</v>
      </c>
      <c r="DU3302" s="5" t="s">
        <v>1301</v>
      </c>
      <c r="DV3302" s="5" t="s">
        <v>238</v>
      </c>
      <c r="DW3302" s="5" t="s">
        <v>238</v>
      </c>
      <c r="DX3302" s="5" t="s">
        <v>238</v>
      </c>
      <c r="DY3302" s="5" t="s">
        <v>238</v>
      </c>
      <c r="DZ3302" s="5" t="s">
        <v>238</v>
      </c>
      <c r="EA3302" s="5" t="s">
        <v>238</v>
      </c>
      <c r="EB3302" s="5" t="s">
        <v>238</v>
      </c>
      <c r="EC3302" s="5" t="s">
        <v>238</v>
      </c>
      <c r="ED3302" s="5" t="s">
        <v>238</v>
      </c>
      <c r="EE3302" s="5" t="s">
        <v>238</v>
      </c>
      <c r="EF3302" s="5" t="s">
        <v>238</v>
      </c>
      <c r="EG3302" s="5" t="s">
        <v>238</v>
      </c>
      <c r="EH3302" s="5" t="s">
        <v>238</v>
      </c>
      <c r="EI3302" s="5" t="s">
        <v>238</v>
      </c>
      <c r="EJ3302" s="5" t="s">
        <v>238</v>
      </c>
      <c r="EK3302" s="5" t="s">
        <v>238</v>
      </c>
      <c r="EL3302" s="5" t="s">
        <v>238</v>
      </c>
      <c r="EM3302" s="5" t="s">
        <v>238</v>
      </c>
      <c r="EN3302" s="5" t="s">
        <v>238</v>
      </c>
      <c r="EO3302" s="5" t="s">
        <v>238</v>
      </c>
      <c r="EP3302" s="5" t="s">
        <v>238</v>
      </c>
      <c r="EQ3302" s="5" t="s">
        <v>238</v>
      </c>
      <c r="ER3302" s="5" t="s">
        <v>238</v>
      </c>
      <c r="ES3302" s="5" t="s">
        <v>238</v>
      </c>
      <c r="ET3302" s="5" t="s">
        <v>238</v>
      </c>
      <c r="EU3302" s="5" t="s">
        <v>238</v>
      </c>
      <c r="EV3302" s="5" t="s">
        <v>238</v>
      </c>
      <c r="EW3302" s="5" t="s">
        <v>238</v>
      </c>
      <c r="EX3302" s="5" t="s">
        <v>238</v>
      </c>
      <c r="EY3302" s="5" t="s">
        <v>238</v>
      </c>
      <c r="EZ3302" s="5" t="s">
        <v>238</v>
      </c>
      <c r="FA3302" s="5" t="s">
        <v>238</v>
      </c>
      <c r="FB3302" s="5" t="s">
        <v>238</v>
      </c>
      <c r="FC3302" s="5" t="s">
        <v>238</v>
      </c>
      <c r="FD3302" s="5" t="s">
        <v>238</v>
      </c>
      <c r="FE3302" s="5" t="s">
        <v>238</v>
      </c>
      <c r="FF3302" s="5" t="s">
        <v>238</v>
      </c>
      <c r="FG3302" s="5" t="s">
        <v>238</v>
      </c>
      <c r="FH3302" s="5" t="s">
        <v>238</v>
      </c>
      <c r="FI3302" s="5" t="s">
        <v>238</v>
      </c>
      <c r="FJ3302" s="5" t="s">
        <v>238</v>
      </c>
      <c r="FK3302" s="5" t="s">
        <v>238</v>
      </c>
      <c r="FL3302" s="5" t="s">
        <v>238</v>
      </c>
      <c r="FM3302" s="5" t="s">
        <v>238</v>
      </c>
      <c r="FN3302" s="5" t="s">
        <v>238</v>
      </c>
      <c r="FO3302" s="5" t="s">
        <v>238</v>
      </c>
      <c r="FP3302" s="5" t="s">
        <v>238</v>
      </c>
      <c r="FQ3302" s="5" t="s">
        <v>238</v>
      </c>
      <c r="FR3302" s="5" t="s">
        <v>238</v>
      </c>
      <c r="FS3302" s="5" t="s">
        <v>238</v>
      </c>
      <c r="FT3302" s="5" t="s">
        <v>238</v>
      </c>
      <c r="FU3302" s="5" t="s">
        <v>238</v>
      </c>
      <c r="FV3302" s="5" t="s">
        <v>238</v>
      </c>
      <c r="FW3302" s="5" t="s">
        <v>238</v>
      </c>
      <c r="FX3302" s="5" t="s">
        <v>238</v>
      </c>
      <c r="FY3302" s="5" t="s">
        <v>238</v>
      </c>
      <c r="FZ3302" s="5" t="s">
        <v>238</v>
      </c>
      <c r="GA3302" s="5" t="s">
        <v>238</v>
      </c>
      <c r="GB3302" s="5" t="s">
        <v>238</v>
      </c>
      <c r="GC3302" s="5" t="s">
        <v>238</v>
      </c>
      <c r="GD3302" s="5" t="s">
        <v>238</v>
      </c>
      <c r="GE3302" s="5" t="s">
        <v>238</v>
      </c>
      <c r="GF3302" s="5" t="s">
        <v>238</v>
      </c>
      <c r="GG3302" s="5" t="s">
        <v>238</v>
      </c>
      <c r="GH3302" s="5" t="s">
        <v>238</v>
      </c>
      <c r="GI3302" s="5" t="s">
        <v>238</v>
      </c>
      <c r="GJ3302" s="5" t="s">
        <v>238</v>
      </c>
      <c r="GK3302" s="5" t="s">
        <v>238</v>
      </c>
      <c r="GL3302" s="5" t="s">
        <v>238</v>
      </c>
      <c r="GM3302" s="5" t="s">
        <v>238</v>
      </c>
      <c r="GN3302" s="5" t="s">
        <v>238</v>
      </c>
      <c r="GO3302" s="5" t="s">
        <v>238</v>
      </c>
      <c r="GP3302" s="5" t="s">
        <v>238</v>
      </c>
      <c r="GQ3302" s="5" t="s">
        <v>238</v>
      </c>
      <c r="GR3302" s="5" t="s">
        <v>238</v>
      </c>
      <c r="GS3302" s="5" t="s">
        <v>238</v>
      </c>
      <c r="GT3302" s="5" t="s">
        <v>238</v>
      </c>
      <c r="GU3302" s="5" t="s">
        <v>238</v>
      </c>
      <c r="GV3302" s="5" t="s">
        <v>238</v>
      </c>
      <c r="GW3302" s="5" t="s">
        <v>238</v>
      </c>
      <c r="GX3302" s="5" t="s">
        <v>238</v>
      </c>
      <c r="GY3302" s="5" t="s">
        <v>238</v>
      </c>
      <c r="GZ3302" s="5" t="s">
        <v>238</v>
      </c>
      <c r="HA3302" s="5" t="s">
        <v>238</v>
      </c>
      <c r="HB3302" s="5" t="s">
        <v>238</v>
      </c>
      <c r="HC3302" s="5" t="s">
        <v>238</v>
      </c>
      <c r="HD3302" s="5" t="s">
        <v>238</v>
      </c>
      <c r="HE3302" s="5" t="s">
        <v>238</v>
      </c>
      <c r="HF3302" s="5" t="s">
        <v>238</v>
      </c>
      <c r="HG3302" s="5" t="s">
        <v>238</v>
      </c>
      <c r="HH3302" s="5" t="s">
        <v>238</v>
      </c>
      <c r="HI3302" s="5" t="s">
        <v>238</v>
      </c>
      <c r="HJ3302" s="5" t="s">
        <v>238</v>
      </c>
      <c r="HK3302" s="5" t="s">
        <v>238</v>
      </c>
      <c r="HL3302" s="5" t="s">
        <v>238</v>
      </c>
      <c r="HM3302" s="5" t="s">
        <v>264</v>
      </c>
      <c r="HN3302" s="5" t="s">
        <v>238</v>
      </c>
      <c r="HO3302" s="5" t="s">
        <v>238</v>
      </c>
      <c r="HP3302" s="5" t="s">
        <v>238</v>
      </c>
      <c r="HQ3302" s="5" t="s">
        <v>238</v>
      </c>
      <c r="HR3302" s="5" t="s">
        <v>238</v>
      </c>
      <c r="HS3302" s="5" t="s">
        <v>238</v>
      </c>
      <c r="HT3302" s="5" t="s">
        <v>238</v>
      </c>
      <c r="HU3302" s="5" t="s">
        <v>238</v>
      </c>
      <c r="HV3302" s="5" t="s">
        <v>238</v>
      </c>
      <c r="HW3302" s="5" t="s">
        <v>238</v>
      </c>
      <c r="HX3302" s="5" t="s">
        <v>238</v>
      </c>
      <c r="HY3302" s="5" t="s">
        <v>238</v>
      </c>
      <c r="HZ3302" s="5" t="s">
        <v>238</v>
      </c>
      <c r="IA3302" s="5" t="s">
        <v>238</v>
      </c>
      <c r="IB3302" s="5" t="s">
        <v>238</v>
      </c>
      <c r="IC3302" s="5" t="s">
        <v>238</v>
      </c>
      <c r="ID3302" s="5" t="s">
        <v>238</v>
      </c>
    </row>
    <row r="3303" spans="1:238" x14ac:dyDescent="0.4">
      <c r="A3303" s="5">
        <v>9021</v>
      </c>
      <c r="B3303" s="5">
        <v>1</v>
      </c>
      <c r="C3303" s="5">
        <v>1</v>
      </c>
      <c r="D3303" s="5" t="s">
        <v>484</v>
      </c>
      <c r="E3303" s="5" t="s">
        <v>878</v>
      </c>
      <c r="F3303" s="5" t="s">
        <v>248</v>
      </c>
      <c r="G3303" s="5" t="s">
        <v>4455</v>
      </c>
      <c r="H3303" s="6" t="s">
        <v>4456</v>
      </c>
      <c r="I3303" s="8">
        <f>1</f>
        <v>1</v>
      </c>
      <c r="J3303" s="5" t="s">
        <v>499</v>
      </c>
      <c r="K3303" s="8">
        <f>1</f>
        <v>1</v>
      </c>
      <c r="L3303" s="6" t="s">
        <v>242</v>
      </c>
      <c r="M3303" s="5" t="s">
        <v>267</v>
      </c>
      <c r="N3303" s="5" t="s">
        <v>482</v>
      </c>
      <c r="O3303" s="5" t="s">
        <v>238</v>
      </c>
      <c r="P3303" s="5" t="s">
        <v>238</v>
      </c>
      <c r="Q3303" s="5" t="s">
        <v>239</v>
      </c>
      <c r="R3303" s="5" t="s">
        <v>270</v>
      </c>
      <c r="S3303" s="5" t="s">
        <v>238</v>
      </c>
      <c r="T3303" s="5" t="s">
        <v>238</v>
      </c>
      <c r="U3303" s="5" t="s">
        <v>238</v>
      </c>
      <c r="V3303" s="5" t="s">
        <v>238</v>
      </c>
      <c r="W3303" s="6" t="s">
        <v>238</v>
      </c>
      <c r="X3303" s="6" t="s">
        <v>238</v>
      </c>
      <c r="Y3303" s="5" t="s">
        <v>238</v>
      </c>
      <c r="Z3303" s="6" t="s">
        <v>238</v>
      </c>
      <c r="AA3303" s="6" t="s">
        <v>243</v>
      </c>
      <c r="AB3303" s="5" t="s">
        <v>879</v>
      </c>
      <c r="AC3303" s="5" t="s">
        <v>244</v>
      </c>
      <c r="AD3303" s="5" t="s">
        <v>245</v>
      </c>
      <c r="AE3303" s="5" t="s">
        <v>238</v>
      </c>
      <c r="AF3303" s="5" t="s">
        <v>238</v>
      </c>
      <c r="AG3303" s="5" t="s">
        <v>238</v>
      </c>
      <c r="AH3303" s="5" t="s">
        <v>238</v>
      </c>
      <c r="AI3303" s="5" t="s">
        <v>238</v>
      </c>
      <c r="AJ3303" s="5" t="s">
        <v>238</v>
      </c>
      <c r="AK3303" s="5" t="s">
        <v>238</v>
      </c>
      <c r="AL3303" s="5" t="s">
        <v>238</v>
      </c>
      <c r="AM3303" s="6" t="s">
        <v>238</v>
      </c>
      <c r="AN3303" s="6" t="s">
        <v>238</v>
      </c>
      <c r="AO3303" s="6" t="s">
        <v>238</v>
      </c>
      <c r="AP3303" s="6" t="s">
        <v>238</v>
      </c>
      <c r="AQ3303" s="5" t="s">
        <v>238</v>
      </c>
      <c r="AR3303" s="5" t="s">
        <v>488</v>
      </c>
      <c r="AS3303" s="5" t="s">
        <v>488</v>
      </c>
      <c r="AT3303" s="5" t="s">
        <v>246</v>
      </c>
      <c r="AU3303" s="5" t="s">
        <v>489</v>
      </c>
      <c r="AV3303" s="5" t="s">
        <v>247</v>
      </c>
      <c r="AW3303" s="5" t="s">
        <v>238</v>
      </c>
      <c r="AX3303" s="5" t="s">
        <v>249</v>
      </c>
      <c r="AY3303" s="5" t="s">
        <v>490</v>
      </c>
      <c r="BA3303" s="5" t="s">
        <v>238</v>
      </c>
      <c r="BC3303" s="5" t="s">
        <v>491</v>
      </c>
      <c r="BD3303" s="6" t="s">
        <v>492</v>
      </c>
      <c r="BE3303" s="5" t="s">
        <v>493</v>
      </c>
      <c r="BF3303" s="5" t="s">
        <v>493</v>
      </c>
      <c r="BG3303" s="5" t="s">
        <v>238</v>
      </c>
      <c r="BH3303" s="8">
        <f>1</f>
        <v>1</v>
      </c>
      <c r="BI3303" s="8">
        <f>1</f>
        <v>1</v>
      </c>
      <c r="BJ3303" s="5" t="s">
        <v>253</v>
      </c>
      <c r="BK3303" s="5" t="s">
        <v>254</v>
      </c>
      <c r="BL3303" s="5" t="s">
        <v>238</v>
      </c>
      <c r="BM3303" s="5" t="s">
        <v>238</v>
      </c>
      <c r="BN3303" s="5" t="s">
        <v>238</v>
      </c>
      <c r="BO3303" s="5" t="s">
        <v>238</v>
      </c>
      <c r="BP3303" s="5" t="s">
        <v>238</v>
      </c>
      <c r="BQ3303" s="5" t="s">
        <v>238</v>
      </c>
      <c r="BR3303" s="5" t="s">
        <v>238</v>
      </c>
      <c r="BS3303" s="5" t="s">
        <v>238</v>
      </c>
      <c r="BT3303" s="6" t="s">
        <v>238</v>
      </c>
      <c r="BU3303" s="5" t="s">
        <v>238</v>
      </c>
      <c r="BV3303" s="5" t="s">
        <v>238</v>
      </c>
      <c r="BW3303" s="5" t="s">
        <v>238</v>
      </c>
      <c r="BX3303" s="5" t="s">
        <v>254</v>
      </c>
      <c r="BY3303" s="5" t="s">
        <v>238</v>
      </c>
      <c r="BZ3303" s="5" t="s">
        <v>238</v>
      </c>
      <c r="CA3303" s="5" t="s">
        <v>238</v>
      </c>
      <c r="CB3303" s="5" t="s">
        <v>238</v>
      </c>
      <c r="CC3303" s="5" t="s">
        <v>238</v>
      </c>
      <c r="CD3303" s="5" t="s">
        <v>273</v>
      </c>
      <c r="CE3303" s="5" t="s">
        <v>256</v>
      </c>
      <c r="CF3303" s="5" t="s">
        <v>238</v>
      </c>
      <c r="CH3303" s="5" t="s">
        <v>494</v>
      </c>
      <c r="CI3303" s="6" t="s">
        <v>257</v>
      </c>
      <c r="CJ3303" s="5" t="s">
        <v>495</v>
      </c>
      <c r="CK3303" s="5" t="s">
        <v>258</v>
      </c>
      <c r="CL3303" s="5" t="s">
        <v>496</v>
      </c>
      <c r="CM3303" s="5" t="s">
        <v>238</v>
      </c>
      <c r="CN3303" s="5">
        <v>0</v>
      </c>
      <c r="CO3303" s="5" t="s">
        <v>497</v>
      </c>
      <c r="CP3303" s="5" t="s">
        <v>260</v>
      </c>
      <c r="CQ3303" s="5" t="s">
        <v>260</v>
      </c>
      <c r="CR3303" s="5" t="s">
        <v>261</v>
      </c>
      <c r="CS3303" s="5" t="s">
        <v>498</v>
      </c>
      <c r="CT3303" s="7">
        <f>1</f>
        <v>1</v>
      </c>
      <c r="CU3303" s="8">
        <f>1</f>
        <v>1</v>
      </c>
      <c r="CV3303" s="8">
        <f>0</f>
        <v>0</v>
      </c>
      <c r="CX3303" s="8">
        <f>1</f>
        <v>1</v>
      </c>
      <c r="CY3303" s="8">
        <f>1</f>
        <v>1</v>
      </c>
      <c r="CZ3303" s="8" t="s">
        <v>238</v>
      </c>
      <c r="DA3303" s="5" t="s">
        <v>238</v>
      </c>
      <c r="DB3303" s="5" t="s">
        <v>238</v>
      </c>
      <c r="DC3303" s="5" t="s">
        <v>238</v>
      </c>
      <c r="DD3303" s="5" t="s">
        <v>238</v>
      </c>
      <c r="DE3303" s="8">
        <f>0</f>
        <v>0</v>
      </c>
      <c r="DG3303" s="5" t="s">
        <v>238</v>
      </c>
      <c r="DH3303" s="5" t="s">
        <v>238</v>
      </c>
      <c r="DI3303" s="5" t="s">
        <v>238</v>
      </c>
      <c r="DJ3303" s="5" t="s">
        <v>238</v>
      </c>
      <c r="DK3303" s="5" t="s">
        <v>238</v>
      </c>
      <c r="DL3303" s="5" t="s">
        <v>238</v>
      </c>
      <c r="DM3303" s="8" t="s">
        <v>238</v>
      </c>
      <c r="DN3303" s="5" t="s">
        <v>238</v>
      </c>
      <c r="DO3303" s="5" t="s">
        <v>238</v>
      </c>
      <c r="DP3303" s="5" t="s">
        <v>490</v>
      </c>
      <c r="DQ3303" s="5" t="s">
        <v>490</v>
      </c>
      <c r="DR3303" s="5" t="s">
        <v>238</v>
      </c>
      <c r="DS3303" s="5" t="s">
        <v>238</v>
      </c>
      <c r="DT3303" s="5" t="s">
        <v>881</v>
      </c>
      <c r="DU3303" s="5" t="s">
        <v>358</v>
      </c>
      <c r="DV3303" s="5" t="s">
        <v>238</v>
      </c>
      <c r="DW3303" s="5" t="s">
        <v>238</v>
      </c>
      <c r="DX3303" s="5" t="s">
        <v>238</v>
      </c>
      <c r="DY3303" s="5" t="s">
        <v>238</v>
      </c>
      <c r="DZ3303" s="5" t="s">
        <v>238</v>
      </c>
      <c r="EA3303" s="5" t="s">
        <v>238</v>
      </c>
      <c r="EB3303" s="5" t="s">
        <v>238</v>
      </c>
      <c r="EC3303" s="5" t="s">
        <v>238</v>
      </c>
      <c r="ED3303" s="5" t="s">
        <v>238</v>
      </c>
      <c r="EE3303" s="5" t="s">
        <v>238</v>
      </c>
      <c r="EF3303" s="5" t="s">
        <v>238</v>
      </c>
      <c r="EG3303" s="5" t="s">
        <v>238</v>
      </c>
      <c r="EH3303" s="5" t="s">
        <v>238</v>
      </c>
      <c r="EI3303" s="5" t="s">
        <v>238</v>
      </c>
      <c r="EJ3303" s="5" t="s">
        <v>238</v>
      </c>
      <c r="EK3303" s="5" t="s">
        <v>238</v>
      </c>
      <c r="EL3303" s="5" t="s">
        <v>238</v>
      </c>
      <c r="EM3303" s="5" t="s">
        <v>238</v>
      </c>
      <c r="EN3303" s="5" t="s">
        <v>238</v>
      </c>
      <c r="EO3303" s="5" t="s">
        <v>238</v>
      </c>
      <c r="EP3303" s="5" t="s">
        <v>238</v>
      </c>
      <c r="EQ3303" s="5" t="s">
        <v>238</v>
      </c>
      <c r="ER3303" s="5" t="s">
        <v>238</v>
      </c>
      <c r="ES3303" s="5" t="s">
        <v>238</v>
      </c>
      <c r="ET3303" s="5" t="s">
        <v>238</v>
      </c>
      <c r="EU3303" s="5" t="s">
        <v>238</v>
      </c>
      <c r="EV3303" s="5" t="s">
        <v>238</v>
      </c>
      <c r="EW3303" s="5" t="s">
        <v>238</v>
      </c>
      <c r="EX3303" s="5" t="s">
        <v>238</v>
      </c>
      <c r="EY3303" s="5" t="s">
        <v>238</v>
      </c>
      <c r="EZ3303" s="5" t="s">
        <v>238</v>
      </c>
      <c r="FA3303" s="5" t="s">
        <v>238</v>
      </c>
      <c r="FB3303" s="5" t="s">
        <v>238</v>
      </c>
      <c r="FC3303" s="5" t="s">
        <v>238</v>
      </c>
      <c r="FD3303" s="5" t="s">
        <v>238</v>
      </c>
      <c r="FE3303" s="5" t="s">
        <v>238</v>
      </c>
      <c r="FF3303" s="5" t="s">
        <v>238</v>
      </c>
      <c r="FG3303" s="5" t="s">
        <v>238</v>
      </c>
      <c r="FH3303" s="5" t="s">
        <v>238</v>
      </c>
      <c r="FI3303" s="5" t="s">
        <v>238</v>
      </c>
      <c r="FJ3303" s="5" t="s">
        <v>238</v>
      </c>
      <c r="FK3303" s="5" t="s">
        <v>238</v>
      </c>
      <c r="FL3303" s="5" t="s">
        <v>238</v>
      </c>
      <c r="FM3303" s="5" t="s">
        <v>238</v>
      </c>
      <c r="FN3303" s="5" t="s">
        <v>238</v>
      </c>
      <c r="FO3303" s="5" t="s">
        <v>238</v>
      </c>
      <c r="FP3303" s="5" t="s">
        <v>238</v>
      </c>
      <c r="FQ3303" s="5" t="s">
        <v>238</v>
      </c>
      <c r="FR3303" s="5" t="s">
        <v>238</v>
      </c>
      <c r="FS3303" s="5" t="s">
        <v>238</v>
      </c>
      <c r="FT3303" s="5" t="s">
        <v>238</v>
      </c>
      <c r="FU3303" s="5" t="s">
        <v>238</v>
      </c>
      <c r="FV3303" s="5" t="s">
        <v>238</v>
      </c>
      <c r="FW3303" s="5" t="s">
        <v>238</v>
      </c>
      <c r="FX3303" s="5" t="s">
        <v>238</v>
      </c>
      <c r="FY3303" s="5" t="s">
        <v>238</v>
      </c>
      <c r="FZ3303" s="5" t="s">
        <v>238</v>
      </c>
      <c r="GA3303" s="5" t="s">
        <v>238</v>
      </c>
      <c r="GB3303" s="5" t="s">
        <v>238</v>
      </c>
      <c r="GC3303" s="5" t="s">
        <v>238</v>
      </c>
      <c r="GD3303" s="5" t="s">
        <v>238</v>
      </c>
      <c r="GE3303" s="5" t="s">
        <v>238</v>
      </c>
      <c r="GF3303" s="5" t="s">
        <v>238</v>
      </c>
      <c r="GG3303" s="5" t="s">
        <v>238</v>
      </c>
      <c r="GH3303" s="5" t="s">
        <v>238</v>
      </c>
      <c r="GI3303" s="5" t="s">
        <v>238</v>
      </c>
      <c r="GJ3303" s="5" t="s">
        <v>238</v>
      </c>
      <c r="GK3303" s="5" t="s">
        <v>238</v>
      </c>
      <c r="GL3303" s="5" t="s">
        <v>238</v>
      </c>
      <c r="GM3303" s="5" t="s">
        <v>238</v>
      </c>
      <c r="GN3303" s="5" t="s">
        <v>238</v>
      </c>
      <c r="GO3303" s="5" t="s">
        <v>238</v>
      </c>
      <c r="GP3303" s="5" t="s">
        <v>238</v>
      </c>
      <c r="GQ3303" s="5" t="s">
        <v>238</v>
      </c>
      <c r="GR3303" s="5" t="s">
        <v>238</v>
      </c>
      <c r="GS3303" s="5" t="s">
        <v>238</v>
      </c>
      <c r="GT3303" s="5" t="s">
        <v>238</v>
      </c>
      <c r="GU3303" s="5" t="s">
        <v>238</v>
      </c>
      <c r="GV3303" s="5" t="s">
        <v>238</v>
      </c>
      <c r="GW3303" s="5" t="s">
        <v>238</v>
      </c>
      <c r="GX3303" s="5" t="s">
        <v>238</v>
      </c>
      <c r="GY3303" s="5" t="s">
        <v>238</v>
      </c>
      <c r="GZ3303" s="5" t="s">
        <v>238</v>
      </c>
      <c r="HA3303" s="5" t="s">
        <v>238</v>
      </c>
      <c r="HB3303" s="5" t="s">
        <v>238</v>
      </c>
      <c r="HC3303" s="5" t="s">
        <v>238</v>
      </c>
      <c r="HD3303" s="5" t="s">
        <v>238</v>
      </c>
      <c r="HE3303" s="5" t="s">
        <v>238</v>
      </c>
      <c r="HF3303" s="5" t="s">
        <v>238</v>
      </c>
      <c r="HG3303" s="5" t="s">
        <v>238</v>
      </c>
      <c r="HH3303" s="5" t="s">
        <v>238</v>
      </c>
      <c r="HI3303" s="5" t="s">
        <v>238</v>
      </c>
      <c r="HJ3303" s="5" t="s">
        <v>238</v>
      </c>
      <c r="HK3303" s="5" t="s">
        <v>238</v>
      </c>
      <c r="HL3303" s="5" t="s">
        <v>238</v>
      </c>
      <c r="HM3303" s="5" t="s">
        <v>264</v>
      </c>
      <c r="HN3303" s="5" t="s">
        <v>238</v>
      </c>
      <c r="HO3303" s="5" t="s">
        <v>238</v>
      </c>
      <c r="HP3303" s="5" t="s">
        <v>238</v>
      </c>
      <c r="HQ3303" s="5" t="s">
        <v>238</v>
      </c>
      <c r="HR3303" s="5" t="s">
        <v>238</v>
      </c>
      <c r="HS3303" s="5" t="s">
        <v>238</v>
      </c>
      <c r="HT3303" s="5" t="s">
        <v>238</v>
      </c>
      <c r="HU3303" s="5" t="s">
        <v>238</v>
      </c>
      <c r="HV3303" s="5" t="s">
        <v>238</v>
      </c>
      <c r="HW3303" s="5" t="s">
        <v>238</v>
      </c>
      <c r="HX3303" s="5" t="s">
        <v>238</v>
      </c>
      <c r="HY3303" s="5" t="s">
        <v>238</v>
      </c>
      <c r="HZ3303" s="5" t="s">
        <v>238</v>
      </c>
      <c r="IA3303" s="5" t="s">
        <v>238</v>
      </c>
      <c r="IB3303" s="5" t="s">
        <v>238</v>
      </c>
      <c r="IC3303" s="5" t="s">
        <v>238</v>
      </c>
      <c r="ID3303" s="5" t="s">
        <v>238</v>
      </c>
    </row>
    <row r="3304" spans="1:238" x14ac:dyDescent="0.4">
      <c r="A3304" s="5">
        <v>9022</v>
      </c>
      <c r="B3304" s="5">
        <v>1</v>
      </c>
      <c r="C3304" s="5">
        <v>1</v>
      </c>
      <c r="D3304" s="5" t="s">
        <v>484</v>
      </c>
      <c r="E3304" s="5" t="s">
        <v>878</v>
      </c>
      <c r="F3304" s="5" t="s">
        <v>248</v>
      </c>
      <c r="G3304" s="5" t="s">
        <v>4479</v>
      </c>
      <c r="H3304" s="6" t="s">
        <v>4480</v>
      </c>
      <c r="I3304" s="8">
        <f>1</f>
        <v>1</v>
      </c>
      <c r="J3304" s="5" t="s">
        <v>499</v>
      </c>
      <c r="K3304" s="8">
        <f>1</f>
        <v>1</v>
      </c>
      <c r="L3304" s="6" t="s">
        <v>242</v>
      </c>
      <c r="M3304" s="5" t="s">
        <v>267</v>
      </c>
      <c r="N3304" s="5" t="s">
        <v>482</v>
      </c>
      <c r="O3304" s="5" t="s">
        <v>238</v>
      </c>
      <c r="P3304" s="5" t="s">
        <v>238</v>
      </c>
      <c r="Q3304" s="5" t="s">
        <v>239</v>
      </c>
      <c r="R3304" s="5" t="s">
        <v>270</v>
      </c>
      <c r="S3304" s="5" t="s">
        <v>238</v>
      </c>
      <c r="T3304" s="5" t="s">
        <v>238</v>
      </c>
      <c r="U3304" s="5" t="s">
        <v>238</v>
      </c>
      <c r="V3304" s="5" t="s">
        <v>238</v>
      </c>
      <c r="W3304" s="6" t="s">
        <v>238</v>
      </c>
      <c r="X3304" s="6" t="s">
        <v>238</v>
      </c>
      <c r="Y3304" s="5" t="s">
        <v>238</v>
      </c>
      <c r="Z3304" s="6" t="s">
        <v>238</v>
      </c>
      <c r="AA3304" s="6" t="s">
        <v>243</v>
      </c>
      <c r="AB3304" s="5" t="s">
        <v>879</v>
      </c>
      <c r="AC3304" s="5" t="s">
        <v>244</v>
      </c>
      <c r="AD3304" s="5" t="s">
        <v>245</v>
      </c>
      <c r="AE3304" s="5" t="s">
        <v>238</v>
      </c>
      <c r="AF3304" s="5" t="s">
        <v>238</v>
      </c>
      <c r="AG3304" s="5" t="s">
        <v>238</v>
      </c>
      <c r="AH3304" s="5" t="s">
        <v>238</v>
      </c>
      <c r="AI3304" s="5" t="s">
        <v>238</v>
      </c>
      <c r="AJ3304" s="5" t="s">
        <v>238</v>
      </c>
      <c r="AK3304" s="5" t="s">
        <v>238</v>
      </c>
      <c r="AL3304" s="5" t="s">
        <v>238</v>
      </c>
      <c r="AM3304" s="6" t="s">
        <v>238</v>
      </c>
      <c r="AN3304" s="6" t="s">
        <v>238</v>
      </c>
      <c r="AO3304" s="6" t="s">
        <v>238</v>
      </c>
      <c r="AP3304" s="6" t="s">
        <v>238</v>
      </c>
      <c r="AQ3304" s="5" t="s">
        <v>238</v>
      </c>
      <c r="AR3304" s="5" t="s">
        <v>488</v>
      </c>
      <c r="AS3304" s="5" t="s">
        <v>488</v>
      </c>
      <c r="AT3304" s="5" t="s">
        <v>246</v>
      </c>
      <c r="AU3304" s="5" t="s">
        <v>489</v>
      </c>
      <c r="AV3304" s="5" t="s">
        <v>247</v>
      </c>
      <c r="AW3304" s="5" t="s">
        <v>238</v>
      </c>
      <c r="AX3304" s="5" t="s">
        <v>249</v>
      </c>
      <c r="AY3304" s="5" t="s">
        <v>490</v>
      </c>
      <c r="BA3304" s="5" t="s">
        <v>238</v>
      </c>
      <c r="BC3304" s="5" t="s">
        <v>491</v>
      </c>
      <c r="BD3304" s="6" t="s">
        <v>492</v>
      </c>
      <c r="BE3304" s="5" t="s">
        <v>493</v>
      </c>
      <c r="BF3304" s="5" t="s">
        <v>493</v>
      </c>
      <c r="BG3304" s="5" t="s">
        <v>238</v>
      </c>
      <c r="BH3304" s="8">
        <f>1</f>
        <v>1</v>
      </c>
      <c r="BI3304" s="8">
        <f>1</f>
        <v>1</v>
      </c>
      <c r="BJ3304" s="5" t="s">
        <v>253</v>
      </c>
      <c r="BK3304" s="5" t="s">
        <v>254</v>
      </c>
      <c r="BL3304" s="5" t="s">
        <v>238</v>
      </c>
      <c r="BM3304" s="5" t="s">
        <v>238</v>
      </c>
      <c r="BN3304" s="5" t="s">
        <v>238</v>
      </c>
      <c r="BO3304" s="5" t="s">
        <v>238</v>
      </c>
      <c r="BP3304" s="5" t="s">
        <v>238</v>
      </c>
      <c r="BQ3304" s="5" t="s">
        <v>238</v>
      </c>
      <c r="BR3304" s="5" t="s">
        <v>238</v>
      </c>
      <c r="BS3304" s="5" t="s">
        <v>238</v>
      </c>
      <c r="BT3304" s="6" t="s">
        <v>238</v>
      </c>
      <c r="BU3304" s="5" t="s">
        <v>238</v>
      </c>
      <c r="BV3304" s="5" t="s">
        <v>238</v>
      </c>
      <c r="BW3304" s="5" t="s">
        <v>238</v>
      </c>
      <c r="BX3304" s="5" t="s">
        <v>254</v>
      </c>
      <c r="BY3304" s="5" t="s">
        <v>238</v>
      </c>
      <c r="BZ3304" s="5" t="s">
        <v>238</v>
      </c>
      <c r="CA3304" s="5" t="s">
        <v>238</v>
      </c>
      <c r="CB3304" s="5" t="s">
        <v>238</v>
      </c>
      <c r="CC3304" s="5" t="s">
        <v>238</v>
      </c>
      <c r="CD3304" s="5" t="s">
        <v>273</v>
      </c>
      <c r="CE3304" s="5" t="s">
        <v>256</v>
      </c>
      <c r="CF3304" s="5" t="s">
        <v>238</v>
      </c>
      <c r="CH3304" s="5" t="s">
        <v>494</v>
      </c>
      <c r="CI3304" s="6" t="s">
        <v>257</v>
      </c>
      <c r="CJ3304" s="5" t="s">
        <v>495</v>
      </c>
      <c r="CK3304" s="5" t="s">
        <v>258</v>
      </c>
      <c r="CL3304" s="5" t="s">
        <v>496</v>
      </c>
      <c r="CM3304" s="5" t="s">
        <v>238</v>
      </c>
      <c r="CN3304" s="5">
        <v>0</v>
      </c>
      <c r="CO3304" s="5" t="s">
        <v>497</v>
      </c>
      <c r="CP3304" s="5" t="s">
        <v>260</v>
      </c>
      <c r="CQ3304" s="5" t="s">
        <v>260</v>
      </c>
      <c r="CR3304" s="5" t="s">
        <v>261</v>
      </c>
      <c r="CS3304" s="5" t="s">
        <v>498</v>
      </c>
      <c r="CT3304" s="7">
        <f>1</f>
        <v>1</v>
      </c>
      <c r="CU3304" s="8">
        <f>1</f>
        <v>1</v>
      </c>
      <c r="CV3304" s="8">
        <f>0</f>
        <v>0</v>
      </c>
      <c r="CX3304" s="8">
        <f>1</f>
        <v>1</v>
      </c>
      <c r="CY3304" s="8">
        <f>1</f>
        <v>1</v>
      </c>
      <c r="CZ3304" s="8" t="s">
        <v>238</v>
      </c>
      <c r="DA3304" s="5" t="s">
        <v>238</v>
      </c>
      <c r="DB3304" s="5" t="s">
        <v>238</v>
      </c>
      <c r="DC3304" s="5" t="s">
        <v>238</v>
      </c>
      <c r="DD3304" s="5" t="s">
        <v>238</v>
      </c>
      <c r="DE3304" s="8">
        <f>0</f>
        <v>0</v>
      </c>
      <c r="DG3304" s="5" t="s">
        <v>238</v>
      </c>
      <c r="DH3304" s="5" t="s">
        <v>238</v>
      </c>
      <c r="DI3304" s="5" t="s">
        <v>238</v>
      </c>
      <c r="DJ3304" s="5" t="s">
        <v>238</v>
      </c>
      <c r="DK3304" s="5" t="s">
        <v>238</v>
      </c>
      <c r="DL3304" s="5" t="s">
        <v>238</v>
      </c>
      <c r="DM3304" s="8" t="s">
        <v>238</v>
      </c>
      <c r="DN3304" s="5" t="s">
        <v>238</v>
      </c>
      <c r="DO3304" s="5" t="s">
        <v>238</v>
      </c>
      <c r="DP3304" s="5" t="s">
        <v>490</v>
      </c>
      <c r="DQ3304" s="5" t="s">
        <v>490</v>
      </c>
      <c r="DR3304" s="5" t="s">
        <v>238</v>
      </c>
      <c r="DS3304" s="5" t="s">
        <v>238</v>
      </c>
      <c r="DT3304" s="5" t="s">
        <v>881</v>
      </c>
      <c r="DU3304" s="5" t="s">
        <v>1270</v>
      </c>
      <c r="DV3304" s="5" t="s">
        <v>238</v>
      </c>
      <c r="DW3304" s="5" t="s">
        <v>238</v>
      </c>
      <c r="DX3304" s="5" t="s">
        <v>238</v>
      </c>
      <c r="DY3304" s="5" t="s">
        <v>238</v>
      </c>
      <c r="DZ3304" s="5" t="s">
        <v>238</v>
      </c>
      <c r="EA3304" s="5" t="s">
        <v>238</v>
      </c>
      <c r="EB3304" s="5" t="s">
        <v>238</v>
      </c>
      <c r="EC3304" s="5" t="s">
        <v>238</v>
      </c>
      <c r="ED3304" s="5" t="s">
        <v>238</v>
      </c>
      <c r="EE3304" s="5" t="s">
        <v>238</v>
      </c>
      <c r="EF3304" s="5" t="s">
        <v>238</v>
      </c>
      <c r="EG3304" s="5" t="s">
        <v>238</v>
      </c>
      <c r="EH3304" s="5" t="s">
        <v>238</v>
      </c>
      <c r="EI3304" s="5" t="s">
        <v>238</v>
      </c>
      <c r="EJ3304" s="5" t="s">
        <v>238</v>
      </c>
      <c r="EK3304" s="5" t="s">
        <v>238</v>
      </c>
      <c r="EL3304" s="5" t="s">
        <v>238</v>
      </c>
      <c r="EM3304" s="5" t="s">
        <v>238</v>
      </c>
      <c r="EN3304" s="5" t="s">
        <v>238</v>
      </c>
      <c r="EO3304" s="5" t="s">
        <v>238</v>
      </c>
      <c r="EP3304" s="5" t="s">
        <v>238</v>
      </c>
      <c r="EQ3304" s="5" t="s">
        <v>238</v>
      </c>
      <c r="ER3304" s="5" t="s">
        <v>238</v>
      </c>
      <c r="ES3304" s="5" t="s">
        <v>238</v>
      </c>
      <c r="ET3304" s="5" t="s">
        <v>238</v>
      </c>
      <c r="EU3304" s="5" t="s">
        <v>238</v>
      </c>
      <c r="EV3304" s="5" t="s">
        <v>238</v>
      </c>
      <c r="EW3304" s="5" t="s">
        <v>238</v>
      </c>
      <c r="EX3304" s="5" t="s">
        <v>238</v>
      </c>
      <c r="EY3304" s="5" t="s">
        <v>238</v>
      </c>
      <c r="EZ3304" s="5" t="s">
        <v>238</v>
      </c>
      <c r="FA3304" s="5" t="s">
        <v>238</v>
      </c>
      <c r="FB3304" s="5" t="s">
        <v>238</v>
      </c>
      <c r="FC3304" s="5" t="s">
        <v>238</v>
      </c>
      <c r="FD3304" s="5" t="s">
        <v>238</v>
      </c>
      <c r="FE3304" s="5" t="s">
        <v>238</v>
      </c>
      <c r="FF3304" s="5" t="s">
        <v>238</v>
      </c>
      <c r="FG3304" s="5" t="s">
        <v>238</v>
      </c>
      <c r="FH3304" s="5" t="s">
        <v>238</v>
      </c>
      <c r="FI3304" s="5" t="s">
        <v>238</v>
      </c>
      <c r="FJ3304" s="5" t="s">
        <v>238</v>
      </c>
      <c r="FK3304" s="5" t="s">
        <v>238</v>
      </c>
      <c r="FL3304" s="5" t="s">
        <v>238</v>
      </c>
      <c r="FM3304" s="5" t="s">
        <v>238</v>
      </c>
      <c r="FN3304" s="5" t="s">
        <v>238</v>
      </c>
      <c r="FO3304" s="5" t="s">
        <v>238</v>
      </c>
      <c r="FP3304" s="5" t="s">
        <v>238</v>
      </c>
      <c r="FQ3304" s="5" t="s">
        <v>238</v>
      </c>
      <c r="FR3304" s="5" t="s">
        <v>238</v>
      </c>
      <c r="FS3304" s="5" t="s">
        <v>238</v>
      </c>
      <c r="FT3304" s="5" t="s">
        <v>238</v>
      </c>
      <c r="FU3304" s="5" t="s">
        <v>238</v>
      </c>
      <c r="FV3304" s="5" t="s">
        <v>238</v>
      </c>
      <c r="FW3304" s="5" t="s">
        <v>238</v>
      </c>
      <c r="FX3304" s="5" t="s">
        <v>238</v>
      </c>
      <c r="FY3304" s="5" t="s">
        <v>238</v>
      </c>
      <c r="FZ3304" s="5" t="s">
        <v>238</v>
      </c>
      <c r="GA3304" s="5" t="s">
        <v>238</v>
      </c>
      <c r="GB3304" s="5" t="s">
        <v>238</v>
      </c>
      <c r="GC3304" s="5" t="s">
        <v>238</v>
      </c>
      <c r="GD3304" s="5" t="s">
        <v>238</v>
      </c>
      <c r="GE3304" s="5" t="s">
        <v>238</v>
      </c>
      <c r="GF3304" s="5" t="s">
        <v>238</v>
      </c>
      <c r="GG3304" s="5" t="s">
        <v>238</v>
      </c>
      <c r="GH3304" s="5" t="s">
        <v>238</v>
      </c>
      <c r="GI3304" s="5" t="s">
        <v>238</v>
      </c>
      <c r="GJ3304" s="5" t="s">
        <v>238</v>
      </c>
      <c r="GK3304" s="5" t="s">
        <v>238</v>
      </c>
      <c r="GL3304" s="5" t="s">
        <v>238</v>
      </c>
      <c r="GM3304" s="5" t="s">
        <v>238</v>
      </c>
      <c r="GN3304" s="5" t="s">
        <v>238</v>
      </c>
      <c r="GO3304" s="5" t="s">
        <v>238</v>
      </c>
      <c r="GP3304" s="5" t="s">
        <v>238</v>
      </c>
      <c r="GQ3304" s="5" t="s">
        <v>238</v>
      </c>
      <c r="GR3304" s="5" t="s">
        <v>238</v>
      </c>
      <c r="GS3304" s="5" t="s">
        <v>238</v>
      </c>
      <c r="GT3304" s="5" t="s">
        <v>238</v>
      </c>
      <c r="GU3304" s="5" t="s">
        <v>238</v>
      </c>
      <c r="GV3304" s="5" t="s">
        <v>238</v>
      </c>
      <c r="GW3304" s="5" t="s">
        <v>238</v>
      </c>
      <c r="GX3304" s="5" t="s">
        <v>238</v>
      </c>
      <c r="GY3304" s="5" t="s">
        <v>238</v>
      </c>
      <c r="GZ3304" s="5" t="s">
        <v>238</v>
      </c>
      <c r="HA3304" s="5" t="s">
        <v>238</v>
      </c>
      <c r="HB3304" s="5" t="s">
        <v>238</v>
      </c>
      <c r="HC3304" s="5" t="s">
        <v>238</v>
      </c>
      <c r="HD3304" s="5" t="s">
        <v>238</v>
      </c>
      <c r="HE3304" s="5" t="s">
        <v>238</v>
      </c>
      <c r="HF3304" s="5" t="s">
        <v>238</v>
      </c>
      <c r="HG3304" s="5" t="s">
        <v>238</v>
      </c>
      <c r="HH3304" s="5" t="s">
        <v>238</v>
      </c>
      <c r="HI3304" s="5" t="s">
        <v>238</v>
      </c>
      <c r="HJ3304" s="5" t="s">
        <v>238</v>
      </c>
      <c r="HK3304" s="5" t="s">
        <v>238</v>
      </c>
      <c r="HL3304" s="5" t="s">
        <v>238</v>
      </c>
      <c r="HM3304" s="5" t="s">
        <v>264</v>
      </c>
      <c r="HN3304" s="5" t="s">
        <v>238</v>
      </c>
      <c r="HO3304" s="5" t="s">
        <v>238</v>
      </c>
      <c r="HP3304" s="5" t="s">
        <v>238</v>
      </c>
      <c r="HQ3304" s="5" t="s">
        <v>238</v>
      </c>
      <c r="HR3304" s="5" t="s">
        <v>238</v>
      </c>
      <c r="HS3304" s="5" t="s">
        <v>238</v>
      </c>
      <c r="HT3304" s="5" t="s">
        <v>238</v>
      </c>
      <c r="HU3304" s="5" t="s">
        <v>238</v>
      </c>
      <c r="HV3304" s="5" t="s">
        <v>238</v>
      </c>
      <c r="HW3304" s="5" t="s">
        <v>238</v>
      </c>
      <c r="HX3304" s="5" t="s">
        <v>238</v>
      </c>
      <c r="HY3304" s="5" t="s">
        <v>238</v>
      </c>
      <c r="HZ3304" s="5" t="s">
        <v>238</v>
      </c>
      <c r="IA3304" s="5" t="s">
        <v>238</v>
      </c>
      <c r="IB3304" s="5" t="s">
        <v>238</v>
      </c>
      <c r="IC3304" s="5" t="s">
        <v>238</v>
      </c>
      <c r="ID3304" s="5" t="s">
        <v>238</v>
      </c>
    </row>
    <row r="3305" spans="1:238" x14ac:dyDescent="0.4">
      <c r="A3305" s="5">
        <v>9023</v>
      </c>
      <c r="B3305" s="5">
        <v>1</v>
      </c>
      <c r="C3305" s="5">
        <v>1</v>
      </c>
      <c r="D3305" s="5" t="s">
        <v>484</v>
      </c>
      <c r="E3305" s="5" t="s">
        <v>878</v>
      </c>
      <c r="F3305" s="5" t="s">
        <v>248</v>
      </c>
      <c r="G3305" s="5" t="s">
        <v>4985</v>
      </c>
      <c r="H3305" s="6" t="s">
        <v>4986</v>
      </c>
      <c r="I3305" s="8">
        <f>1</f>
        <v>1</v>
      </c>
      <c r="J3305" s="5" t="s">
        <v>499</v>
      </c>
      <c r="K3305" s="8">
        <f>1</f>
        <v>1</v>
      </c>
      <c r="L3305" s="6" t="s">
        <v>242</v>
      </c>
      <c r="M3305" s="5" t="s">
        <v>267</v>
      </c>
      <c r="N3305" s="5" t="s">
        <v>482</v>
      </c>
      <c r="O3305" s="5" t="s">
        <v>238</v>
      </c>
      <c r="P3305" s="5" t="s">
        <v>238</v>
      </c>
      <c r="Q3305" s="5" t="s">
        <v>239</v>
      </c>
      <c r="R3305" s="5" t="s">
        <v>270</v>
      </c>
      <c r="S3305" s="5" t="s">
        <v>238</v>
      </c>
      <c r="T3305" s="5" t="s">
        <v>238</v>
      </c>
      <c r="U3305" s="5" t="s">
        <v>238</v>
      </c>
      <c r="V3305" s="5" t="s">
        <v>238</v>
      </c>
      <c r="W3305" s="6" t="s">
        <v>238</v>
      </c>
      <c r="X3305" s="6" t="s">
        <v>238</v>
      </c>
      <c r="Y3305" s="5" t="s">
        <v>238</v>
      </c>
      <c r="Z3305" s="6" t="s">
        <v>238</v>
      </c>
      <c r="AA3305" s="6" t="s">
        <v>243</v>
      </c>
      <c r="AB3305" s="5" t="s">
        <v>879</v>
      </c>
      <c r="AC3305" s="5" t="s">
        <v>244</v>
      </c>
      <c r="AD3305" s="5" t="s">
        <v>245</v>
      </c>
      <c r="AE3305" s="5" t="s">
        <v>238</v>
      </c>
      <c r="AF3305" s="5" t="s">
        <v>238</v>
      </c>
      <c r="AG3305" s="5" t="s">
        <v>238</v>
      </c>
      <c r="AH3305" s="5" t="s">
        <v>238</v>
      </c>
      <c r="AI3305" s="5" t="s">
        <v>238</v>
      </c>
      <c r="AJ3305" s="5" t="s">
        <v>238</v>
      </c>
      <c r="AK3305" s="5" t="s">
        <v>238</v>
      </c>
      <c r="AL3305" s="5" t="s">
        <v>238</v>
      </c>
      <c r="AM3305" s="6" t="s">
        <v>238</v>
      </c>
      <c r="AN3305" s="6" t="s">
        <v>238</v>
      </c>
      <c r="AO3305" s="6" t="s">
        <v>238</v>
      </c>
      <c r="AP3305" s="6" t="s">
        <v>238</v>
      </c>
      <c r="AQ3305" s="5" t="s">
        <v>238</v>
      </c>
      <c r="AR3305" s="5" t="s">
        <v>488</v>
      </c>
      <c r="AS3305" s="5" t="s">
        <v>488</v>
      </c>
      <c r="AT3305" s="5" t="s">
        <v>246</v>
      </c>
      <c r="AU3305" s="5" t="s">
        <v>489</v>
      </c>
      <c r="AV3305" s="5" t="s">
        <v>247</v>
      </c>
      <c r="AW3305" s="5" t="s">
        <v>238</v>
      </c>
      <c r="AX3305" s="5" t="s">
        <v>249</v>
      </c>
      <c r="AY3305" s="5" t="s">
        <v>490</v>
      </c>
      <c r="BA3305" s="5" t="s">
        <v>238</v>
      </c>
      <c r="BC3305" s="5" t="s">
        <v>491</v>
      </c>
      <c r="BD3305" s="6" t="s">
        <v>492</v>
      </c>
      <c r="BE3305" s="5" t="s">
        <v>493</v>
      </c>
      <c r="BF3305" s="5" t="s">
        <v>493</v>
      </c>
      <c r="BG3305" s="5" t="s">
        <v>238</v>
      </c>
      <c r="BH3305" s="8">
        <f>1</f>
        <v>1</v>
      </c>
      <c r="BI3305" s="8">
        <f>1</f>
        <v>1</v>
      </c>
      <c r="BJ3305" s="5" t="s">
        <v>253</v>
      </c>
      <c r="BK3305" s="5" t="s">
        <v>254</v>
      </c>
      <c r="BL3305" s="5" t="s">
        <v>238</v>
      </c>
      <c r="BM3305" s="5" t="s">
        <v>238</v>
      </c>
      <c r="BN3305" s="5" t="s">
        <v>238</v>
      </c>
      <c r="BO3305" s="5" t="s">
        <v>238</v>
      </c>
      <c r="BP3305" s="5" t="s">
        <v>238</v>
      </c>
      <c r="BQ3305" s="5" t="s">
        <v>238</v>
      </c>
      <c r="BR3305" s="5" t="s">
        <v>238</v>
      </c>
      <c r="BS3305" s="5" t="s">
        <v>238</v>
      </c>
      <c r="BT3305" s="6" t="s">
        <v>238</v>
      </c>
      <c r="BU3305" s="5" t="s">
        <v>238</v>
      </c>
      <c r="BV3305" s="5" t="s">
        <v>238</v>
      </c>
      <c r="BW3305" s="5" t="s">
        <v>238</v>
      </c>
      <c r="BX3305" s="5" t="s">
        <v>254</v>
      </c>
      <c r="BY3305" s="5" t="s">
        <v>238</v>
      </c>
      <c r="BZ3305" s="5" t="s">
        <v>238</v>
      </c>
      <c r="CA3305" s="5" t="s">
        <v>238</v>
      </c>
      <c r="CB3305" s="5" t="s">
        <v>238</v>
      </c>
      <c r="CC3305" s="5" t="s">
        <v>238</v>
      </c>
      <c r="CD3305" s="5" t="s">
        <v>273</v>
      </c>
      <c r="CE3305" s="5" t="s">
        <v>256</v>
      </c>
      <c r="CF3305" s="5" t="s">
        <v>238</v>
      </c>
      <c r="CH3305" s="5" t="s">
        <v>494</v>
      </c>
      <c r="CI3305" s="6" t="s">
        <v>257</v>
      </c>
      <c r="CJ3305" s="5" t="s">
        <v>495</v>
      </c>
      <c r="CK3305" s="5" t="s">
        <v>258</v>
      </c>
      <c r="CL3305" s="5" t="s">
        <v>496</v>
      </c>
      <c r="CM3305" s="5" t="s">
        <v>238</v>
      </c>
      <c r="CN3305" s="5">
        <v>0</v>
      </c>
      <c r="CO3305" s="5" t="s">
        <v>497</v>
      </c>
      <c r="CP3305" s="5" t="s">
        <v>260</v>
      </c>
      <c r="CQ3305" s="5" t="s">
        <v>260</v>
      </c>
      <c r="CR3305" s="5" t="s">
        <v>261</v>
      </c>
      <c r="CS3305" s="5" t="s">
        <v>498</v>
      </c>
      <c r="CT3305" s="7">
        <f>1</f>
        <v>1</v>
      </c>
      <c r="CU3305" s="8">
        <f>1</f>
        <v>1</v>
      </c>
      <c r="CV3305" s="8">
        <f>0</f>
        <v>0</v>
      </c>
      <c r="CX3305" s="8">
        <f>1</f>
        <v>1</v>
      </c>
      <c r="CY3305" s="8">
        <f>1</f>
        <v>1</v>
      </c>
      <c r="CZ3305" s="8" t="s">
        <v>238</v>
      </c>
      <c r="DA3305" s="5" t="s">
        <v>238</v>
      </c>
      <c r="DB3305" s="5" t="s">
        <v>238</v>
      </c>
      <c r="DC3305" s="5" t="s">
        <v>238</v>
      </c>
      <c r="DD3305" s="5" t="s">
        <v>238</v>
      </c>
      <c r="DE3305" s="8">
        <f>0</f>
        <v>0</v>
      </c>
      <c r="DG3305" s="5" t="s">
        <v>238</v>
      </c>
      <c r="DH3305" s="5" t="s">
        <v>238</v>
      </c>
      <c r="DI3305" s="5" t="s">
        <v>238</v>
      </c>
      <c r="DJ3305" s="5" t="s">
        <v>238</v>
      </c>
      <c r="DK3305" s="5" t="s">
        <v>238</v>
      </c>
      <c r="DL3305" s="5" t="s">
        <v>238</v>
      </c>
      <c r="DM3305" s="8" t="s">
        <v>238</v>
      </c>
      <c r="DN3305" s="5" t="s">
        <v>238</v>
      </c>
      <c r="DO3305" s="5" t="s">
        <v>238</v>
      </c>
      <c r="DP3305" s="5" t="s">
        <v>490</v>
      </c>
      <c r="DQ3305" s="5" t="s">
        <v>490</v>
      </c>
      <c r="DR3305" s="5" t="s">
        <v>238</v>
      </c>
      <c r="DS3305" s="5" t="s">
        <v>238</v>
      </c>
      <c r="DT3305" s="5" t="s">
        <v>881</v>
      </c>
      <c r="DU3305" s="5" t="s">
        <v>1162</v>
      </c>
      <c r="DV3305" s="5" t="s">
        <v>238</v>
      </c>
      <c r="DW3305" s="5" t="s">
        <v>238</v>
      </c>
      <c r="DX3305" s="5" t="s">
        <v>238</v>
      </c>
      <c r="DY3305" s="5" t="s">
        <v>238</v>
      </c>
      <c r="DZ3305" s="5" t="s">
        <v>238</v>
      </c>
      <c r="EA3305" s="5" t="s">
        <v>238</v>
      </c>
      <c r="EB3305" s="5" t="s">
        <v>238</v>
      </c>
      <c r="EC3305" s="5" t="s">
        <v>238</v>
      </c>
      <c r="ED3305" s="5" t="s">
        <v>238</v>
      </c>
      <c r="EE3305" s="5" t="s">
        <v>238</v>
      </c>
      <c r="EF3305" s="5" t="s">
        <v>238</v>
      </c>
      <c r="EG3305" s="5" t="s">
        <v>238</v>
      </c>
      <c r="EH3305" s="5" t="s">
        <v>238</v>
      </c>
      <c r="EI3305" s="5" t="s">
        <v>238</v>
      </c>
      <c r="EJ3305" s="5" t="s">
        <v>238</v>
      </c>
      <c r="EK3305" s="5" t="s">
        <v>238</v>
      </c>
      <c r="EL3305" s="5" t="s">
        <v>238</v>
      </c>
      <c r="EM3305" s="5" t="s">
        <v>238</v>
      </c>
      <c r="EN3305" s="5" t="s">
        <v>238</v>
      </c>
      <c r="EO3305" s="5" t="s">
        <v>238</v>
      </c>
      <c r="EP3305" s="5" t="s">
        <v>238</v>
      </c>
      <c r="EQ3305" s="5" t="s">
        <v>238</v>
      </c>
      <c r="ER3305" s="5" t="s">
        <v>238</v>
      </c>
      <c r="ES3305" s="5" t="s">
        <v>238</v>
      </c>
      <c r="ET3305" s="5" t="s">
        <v>238</v>
      </c>
      <c r="EU3305" s="5" t="s">
        <v>238</v>
      </c>
      <c r="EV3305" s="5" t="s">
        <v>238</v>
      </c>
      <c r="EW3305" s="5" t="s">
        <v>238</v>
      </c>
      <c r="EX3305" s="5" t="s">
        <v>238</v>
      </c>
      <c r="EY3305" s="5" t="s">
        <v>238</v>
      </c>
      <c r="EZ3305" s="5" t="s">
        <v>238</v>
      </c>
      <c r="FA3305" s="5" t="s">
        <v>238</v>
      </c>
      <c r="FB3305" s="5" t="s">
        <v>238</v>
      </c>
      <c r="FC3305" s="5" t="s">
        <v>238</v>
      </c>
      <c r="FD3305" s="5" t="s">
        <v>238</v>
      </c>
      <c r="FE3305" s="5" t="s">
        <v>238</v>
      </c>
      <c r="FF3305" s="5" t="s">
        <v>238</v>
      </c>
      <c r="FG3305" s="5" t="s">
        <v>238</v>
      </c>
      <c r="FH3305" s="5" t="s">
        <v>238</v>
      </c>
      <c r="FI3305" s="5" t="s">
        <v>238</v>
      </c>
      <c r="FJ3305" s="5" t="s">
        <v>238</v>
      </c>
      <c r="FK3305" s="5" t="s">
        <v>238</v>
      </c>
      <c r="FL3305" s="5" t="s">
        <v>238</v>
      </c>
      <c r="FM3305" s="5" t="s">
        <v>238</v>
      </c>
      <c r="FN3305" s="5" t="s">
        <v>238</v>
      </c>
      <c r="FO3305" s="5" t="s">
        <v>238</v>
      </c>
      <c r="FP3305" s="5" t="s">
        <v>238</v>
      </c>
      <c r="FQ3305" s="5" t="s">
        <v>238</v>
      </c>
      <c r="FR3305" s="5" t="s">
        <v>238</v>
      </c>
      <c r="FS3305" s="5" t="s">
        <v>238</v>
      </c>
      <c r="FT3305" s="5" t="s">
        <v>238</v>
      </c>
      <c r="FU3305" s="5" t="s">
        <v>238</v>
      </c>
      <c r="FV3305" s="5" t="s">
        <v>238</v>
      </c>
      <c r="FW3305" s="5" t="s">
        <v>238</v>
      </c>
      <c r="FX3305" s="5" t="s">
        <v>238</v>
      </c>
      <c r="FY3305" s="5" t="s">
        <v>238</v>
      </c>
      <c r="FZ3305" s="5" t="s">
        <v>238</v>
      </c>
      <c r="GA3305" s="5" t="s">
        <v>238</v>
      </c>
      <c r="GB3305" s="5" t="s">
        <v>238</v>
      </c>
      <c r="GC3305" s="5" t="s">
        <v>238</v>
      </c>
      <c r="GD3305" s="5" t="s">
        <v>238</v>
      </c>
      <c r="GE3305" s="5" t="s">
        <v>238</v>
      </c>
      <c r="GF3305" s="5" t="s">
        <v>238</v>
      </c>
      <c r="GG3305" s="5" t="s">
        <v>238</v>
      </c>
      <c r="GH3305" s="5" t="s">
        <v>238</v>
      </c>
      <c r="GI3305" s="5" t="s">
        <v>238</v>
      </c>
      <c r="GJ3305" s="5" t="s">
        <v>238</v>
      </c>
      <c r="GK3305" s="5" t="s">
        <v>238</v>
      </c>
      <c r="GL3305" s="5" t="s">
        <v>238</v>
      </c>
      <c r="GM3305" s="5" t="s">
        <v>238</v>
      </c>
      <c r="GN3305" s="5" t="s">
        <v>238</v>
      </c>
      <c r="GO3305" s="5" t="s">
        <v>238</v>
      </c>
      <c r="GP3305" s="5" t="s">
        <v>238</v>
      </c>
      <c r="GQ3305" s="5" t="s">
        <v>238</v>
      </c>
      <c r="GR3305" s="5" t="s">
        <v>238</v>
      </c>
      <c r="GS3305" s="5" t="s">
        <v>238</v>
      </c>
      <c r="GT3305" s="5" t="s">
        <v>238</v>
      </c>
      <c r="GU3305" s="5" t="s">
        <v>238</v>
      </c>
      <c r="GV3305" s="5" t="s">
        <v>238</v>
      </c>
      <c r="GW3305" s="5" t="s">
        <v>238</v>
      </c>
      <c r="GX3305" s="5" t="s">
        <v>238</v>
      </c>
      <c r="GY3305" s="5" t="s">
        <v>238</v>
      </c>
      <c r="GZ3305" s="5" t="s">
        <v>238</v>
      </c>
      <c r="HA3305" s="5" t="s">
        <v>238</v>
      </c>
      <c r="HB3305" s="5" t="s">
        <v>238</v>
      </c>
      <c r="HC3305" s="5" t="s">
        <v>238</v>
      </c>
      <c r="HD3305" s="5" t="s">
        <v>238</v>
      </c>
      <c r="HE3305" s="5" t="s">
        <v>238</v>
      </c>
      <c r="HF3305" s="5" t="s">
        <v>238</v>
      </c>
      <c r="HG3305" s="5" t="s">
        <v>238</v>
      </c>
      <c r="HH3305" s="5" t="s">
        <v>238</v>
      </c>
      <c r="HI3305" s="5" t="s">
        <v>238</v>
      </c>
      <c r="HJ3305" s="5" t="s">
        <v>238</v>
      </c>
      <c r="HK3305" s="5" t="s">
        <v>238</v>
      </c>
      <c r="HL3305" s="5" t="s">
        <v>238</v>
      </c>
      <c r="HM3305" s="5" t="s">
        <v>264</v>
      </c>
      <c r="HN3305" s="5" t="s">
        <v>238</v>
      </c>
      <c r="HO3305" s="5" t="s">
        <v>238</v>
      </c>
      <c r="HP3305" s="5" t="s">
        <v>238</v>
      </c>
      <c r="HQ3305" s="5" t="s">
        <v>238</v>
      </c>
      <c r="HR3305" s="5" t="s">
        <v>238</v>
      </c>
      <c r="HS3305" s="5" t="s">
        <v>238</v>
      </c>
      <c r="HT3305" s="5" t="s">
        <v>238</v>
      </c>
      <c r="HU3305" s="5" t="s">
        <v>238</v>
      </c>
      <c r="HV3305" s="5" t="s">
        <v>238</v>
      </c>
      <c r="HW3305" s="5" t="s">
        <v>238</v>
      </c>
      <c r="HX3305" s="5" t="s">
        <v>238</v>
      </c>
      <c r="HY3305" s="5" t="s">
        <v>238</v>
      </c>
      <c r="HZ3305" s="5" t="s">
        <v>238</v>
      </c>
      <c r="IA3305" s="5" t="s">
        <v>238</v>
      </c>
      <c r="IB3305" s="5" t="s">
        <v>238</v>
      </c>
      <c r="IC3305" s="5" t="s">
        <v>238</v>
      </c>
      <c r="ID3305" s="5" t="s">
        <v>238</v>
      </c>
    </row>
    <row r="3306" spans="1:238" x14ac:dyDescent="0.4">
      <c r="A3306" s="5">
        <v>9024</v>
      </c>
      <c r="B3306" s="5">
        <v>1</v>
      </c>
      <c r="C3306" s="5">
        <v>1</v>
      </c>
      <c r="D3306" s="5" t="s">
        <v>484</v>
      </c>
      <c r="E3306" s="5" t="s">
        <v>878</v>
      </c>
      <c r="F3306" s="5" t="s">
        <v>248</v>
      </c>
      <c r="G3306" s="5" t="s">
        <v>6454</v>
      </c>
      <c r="H3306" s="6" t="s">
        <v>6455</v>
      </c>
      <c r="I3306" s="8">
        <f>1</f>
        <v>1</v>
      </c>
      <c r="J3306" s="5" t="s">
        <v>499</v>
      </c>
      <c r="K3306" s="8">
        <f>1</f>
        <v>1</v>
      </c>
      <c r="L3306" s="6" t="s">
        <v>242</v>
      </c>
      <c r="M3306" s="5" t="s">
        <v>267</v>
      </c>
      <c r="N3306" s="5" t="s">
        <v>482</v>
      </c>
      <c r="O3306" s="5" t="s">
        <v>238</v>
      </c>
      <c r="P3306" s="5" t="s">
        <v>238</v>
      </c>
      <c r="Q3306" s="5" t="s">
        <v>239</v>
      </c>
      <c r="R3306" s="5" t="s">
        <v>270</v>
      </c>
      <c r="S3306" s="5" t="s">
        <v>238</v>
      </c>
      <c r="T3306" s="5" t="s">
        <v>238</v>
      </c>
      <c r="U3306" s="5" t="s">
        <v>238</v>
      </c>
      <c r="V3306" s="5" t="s">
        <v>238</v>
      </c>
      <c r="W3306" s="6" t="s">
        <v>238</v>
      </c>
      <c r="X3306" s="6" t="s">
        <v>238</v>
      </c>
      <c r="Y3306" s="5" t="s">
        <v>238</v>
      </c>
      <c r="Z3306" s="6" t="s">
        <v>238</v>
      </c>
      <c r="AA3306" s="6" t="s">
        <v>243</v>
      </c>
      <c r="AB3306" s="5" t="s">
        <v>879</v>
      </c>
      <c r="AC3306" s="5" t="s">
        <v>244</v>
      </c>
      <c r="AD3306" s="5" t="s">
        <v>245</v>
      </c>
      <c r="AE3306" s="5" t="s">
        <v>238</v>
      </c>
      <c r="AF3306" s="5" t="s">
        <v>238</v>
      </c>
      <c r="AG3306" s="5" t="s">
        <v>238</v>
      </c>
      <c r="AH3306" s="5" t="s">
        <v>238</v>
      </c>
      <c r="AI3306" s="5" t="s">
        <v>238</v>
      </c>
      <c r="AJ3306" s="5" t="s">
        <v>238</v>
      </c>
      <c r="AK3306" s="5" t="s">
        <v>238</v>
      </c>
      <c r="AL3306" s="5" t="s">
        <v>238</v>
      </c>
      <c r="AM3306" s="6" t="s">
        <v>238</v>
      </c>
      <c r="AN3306" s="6" t="s">
        <v>238</v>
      </c>
      <c r="AO3306" s="6" t="s">
        <v>238</v>
      </c>
      <c r="AP3306" s="6" t="s">
        <v>238</v>
      </c>
      <c r="AQ3306" s="5" t="s">
        <v>238</v>
      </c>
      <c r="AR3306" s="5" t="s">
        <v>488</v>
      </c>
      <c r="AS3306" s="5" t="s">
        <v>488</v>
      </c>
      <c r="AT3306" s="5" t="s">
        <v>246</v>
      </c>
      <c r="AU3306" s="5" t="s">
        <v>489</v>
      </c>
      <c r="AV3306" s="5" t="s">
        <v>247</v>
      </c>
      <c r="AW3306" s="5" t="s">
        <v>238</v>
      </c>
      <c r="AX3306" s="5" t="s">
        <v>249</v>
      </c>
      <c r="AY3306" s="5" t="s">
        <v>490</v>
      </c>
      <c r="BA3306" s="5" t="s">
        <v>238</v>
      </c>
      <c r="BC3306" s="5" t="s">
        <v>491</v>
      </c>
      <c r="BD3306" s="6" t="s">
        <v>492</v>
      </c>
      <c r="BE3306" s="5" t="s">
        <v>493</v>
      </c>
      <c r="BF3306" s="5" t="s">
        <v>493</v>
      </c>
      <c r="BG3306" s="5" t="s">
        <v>238</v>
      </c>
      <c r="BH3306" s="8">
        <f>1</f>
        <v>1</v>
      </c>
      <c r="BI3306" s="8">
        <f>1</f>
        <v>1</v>
      </c>
      <c r="BJ3306" s="5" t="s">
        <v>253</v>
      </c>
      <c r="BK3306" s="5" t="s">
        <v>254</v>
      </c>
      <c r="BL3306" s="5" t="s">
        <v>238</v>
      </c>
      <c r="BM3306" s="5" t="s">
        <v>238</v>
      </c>
      <c r="BN3306" s="5" t="s">
        <v>238</v>
      </c>
      <c r="BO3306" s="5" t="s">
        <v>238</v>
      </c>
      <c r="BP3306" s="5" t="s">
        <v>238</v>
      </c>
      <c r="BQ3306" s="5" t="s">
        <v>238</v>
      </c>
      <c r="BR3306" s="5" t="s">
        <v>238</v>
      </c>
      <c r="BS3306" s="5" t="s">
        <v>238</v>
      </c>
      <c r="BT3306" s="6" t="s">
        <v>238</v>
      </c>
      <c r="BU3306" s="5" t="s">
        <v>238</v>
      </c>
      <c r="BV3306" s="5" t="s">
        <v>238</v>
      </c>
      <c r="BW3306" s="5" t="s">
        <v>238</v>
      </c>
      <c r="BX3306" s="5" t="s">
        <v>254</v>
      </c>
      <c r="BY3306" s="5" t="s">
        <v>238</v>
      </c>
      <c r="BZ3306" s="5" t="s">
        <v>238</v>
      </c>
      <c r="CA3306" s="5" t="s">
        <v>238</v>
      </c>
      <c r="CB3306" s="5" t="s">
        <v>238</v>
      </c>
      <c r="CC3306" s="5" t="s">
        <v>238</v>
      </c>
      <c r="CD3306" s="5" t="s">
        <v>273</v>
      </c>
      <c r="CE3306" s="5" t="s">
        <v>256</v>
      </c>
      <c r="CF3306" s="5" t="s">
        <v>238</v>
      </c>
      <c r="CH3306" s="5" t="s">
        <v>494</v>
      </c>
      <c r="CI3306" s="6" t="s">
        <v>257</v>
      </c>
      <c r="CJ3306" s="5" t="s">
        <v>495</v>
      </c>
      <c r="CK3306" s="5" t="s">
        <v>258</v>
      </c>
      <c r="CL3306" s="5" t="s">
        <v>496</v>
      </c>
      <c r="CM3306" s="5" t="s">
        <v>238</v>
      </c>
      <c r="CN3306" s="5">
        <v>0</v>
      </c>
      <c r="CO3306" s="5" t="s">
        <v>497</v>
      </c>
      <c r="CP3306" s="5" t="s">
        <v>260</v>
      </c>
      <c r="CQ3306" s="5" t="s">
        <v>260</v>
      </c>
      <c r="CR3306" s="5" t="s">
        <v>261</v>
      </c>
      <c r="CS3306" s="5" t="s">
        <v>498</v>
      </c>
      <c r="CT3306" s="7">
        <f>1</f>
        <v>1</v>
      </c>
      <c r="CU3306" s="8">
        <f>1</f>
        <v>1</v>
      </c>
      <c r="CV3306" s="8">
        <f>0</f>
        <v>0</v>
      </c>
      <c r="CX3306" s="8">
        <f>1</f>
        <v>1</v>
      </c>
      <c r="CY3306" s="8">
        <f>1</f>
        <v>1</v>
      </c>
      <c r="CZ3306" s="8" t="s">
        <v>238</v>
      </c>
      <c r="DA3306" s="5" t="s">
        <v>238</v>
      </c>
      <c r="DB3306" s="5" t="s">
        <v>238</v>
      </c>
      <c r="DC3306" s="5" t="s">
        <v>238</v>
      </c>
      <c r="DD3306" s="5" t="s">
        <v>238</v>
      </c>
      <c r="DE3306" s="8">
        <f>0</f>
        <v>0</v>
      </c>
      <c r="DG3306" s="5" t="s">
        <v>238</v>
      </c>
      <c r="DH3306" s="5" t="s">
        <v>238</v>
      </c>
      <c r="DI3306" s="5" t="s">
        <v>238</v>
      </c>
      <c r="DJ3306" s="5" t="s">
        <v>238</v>
      </c>
      <c r="DK3306" s="5" t="s">
        <v>238</v>
      </c>
      <c r="DL3306" s="5" t="s">
        <v>238</v>
      </c>
      <c r="DM3306" s="8" t="s">
        <v>238</v>
      </c>
      <c r="DN3306" s="5" t="s">
        <v>238</v>
      </c>
      <c r="DO3306" s="5" t="s">
        <v>238</v>
      </c>
      <c r="DP3306" s="5" t="s">
        <v>490</v>
      </c>
      <c r="DQ3306" s="5" t="s">
        <v>490</v>
      </c>
      <c r="DR3306" s="5" t="s">
        <v>238</v>
      </c>
      <c r="DS3306" s="5" t="s">
        <v>238</v>
      </c>
      <c r="DT3306" s="5" t="s">
        <v>881</v>
      </c>
      <c r="DU3306" s="5" t="s">
        <v>1256</v>
      </c>
      <c r="DV3306" s="5" t="s">
        <v>238</v>
      </c>
      <c r="DW3306" s="5" t="s">
        <v>238</v>
      </c>
      <c r="DX3306" s="5" t="s">
        <v>238</v>
      </c>
      <c r="DY3306" s="5" t="s">
        <v>238</v>
      </c>
      <c r="DZ3306" s="5" t="s">
        <v>238</v>
      </c>
      <c r="EA3306" s="5" t="s">
        <v>238</v>
      </c>
      <c r="EB3306" s="5" t="s">
        <v>238</v>
      </c>
      <c r="EC3306" s="5" t="s">
        <v>238</v>
      </c>
      <c r="ED3306" s="5" t="s">
        <v>238</v>
      </c>
      <c r="EE3306" s="5" t="s">
        <v>238</v>
      </c>
      <c r="EF3306" s="5" t="s">
        <v>238</v>
      </c>
      <c r="EG3306" s="5" t="s">
        <v>238</v>
      </c>
      <c r="EH3306" s="5" t="s">
        <v>238</v>
      </c>
      <c r="EI3306" s="5" t="s">
        <v>238</v>
      </c>
      <c r="EJ3306" s="5" t="s">
        <v>238</v>
      </c>
      <c r="EK3306" s="5" t="s">
        <v>238</v>
      </c>
      <c r="EL3306" s="5" t="s">
        <v>238</v>
      </c>
      <c r="EM3306" s="5" t="s">
        <v>238</v>
      </c>
      <c r="EN3306" s="5" t="s">
        <v>238</v>
      </c>
      <c r="EO3306" s="5" t="s">
        <v>238</v>
      </c>
      <c r="EP3306" s="5" t="s">
        <v>238</v>
      </c>
      <c r="EQ3306" s="5" t="s">
        <v>238</v>
      </c>
      <c r="ER3306" s="5" t="s">
        <v>238</v>
      </c>
      <c r="ES3306" s="5" t="s">
        <v>238</v>
      </c>
      <c r="ET3306" s="5" t="s">
        <v>238</v>
      </c>
      <c r="EU3306" s="5" t="s">
        <v>238</v>
      </c>
      <c r="EV3306" s="5" t="s">
        <v>238</v>
      </c>
      <c r="EW3306" s="5" t="s">
        <v>238</v>
      </c>
      <c r="EX3306" s="5" t="s">
        <v>238</v>
      </c>
      <c r="EY3306" s="5" t="s">
        <v>238</v>
      </c>
      <c r="EZ3306" s="5" t="s">
        <v>238</v>
      </c>
      <c r="FA3306" s="5" t="s">
        <v>238</v>
      </c>
      <c r="FB3306" s="5" t="s">
        <v>238</v>
      </c>
      <c r="FC3306" s="5" t="s">
        <v>238</v>
      </c>
      <c r="FD3306" s="5" t="s">
        <v>238</v>
      </c>
      <c r="FE3306" s="5" t="s">
        <v>238</v>
      </c>
      <c r="FF3306" s="5" t="s">
        <v>238</v>
      </c>
      <c r="FG3306" s="5" t="s">
        <v>238</v>
      </c>
      <c r="FH3306" s="5" t="s">
        <v>238</v>
      </c>
      <c r="FI3306" s="5" t="s">
        <v>238</v>
      </c>
      <c r="FJ3306" s="5" t="s">
        <v>238</v>
      </c>
      <c r="FK3306" s="5" t="s">
        <v>238</v>
      </c>
      <c r="FL3306" s="5" t="s">
        <v>238</v>
      </c>
      <c r="FM3306" s="5" t="s">
        <v>238</v>
      </c>
      <c r="FN3306" s="5" t="s">
        <v>238</v>
      </c>
      <c r="FO3306" s="5" t="s">
        <v>238</v>
      </c>
      <c r="FP3306" s="5" t="s">
        <v>238</v>
      </c>
      <c r="FQ3306" s="5" t="s">
        <v>238</v>
      </c>
      <c r="FR3306" s="5" t="s">
        <v>238</v>
      </c>
      <c r="FS3306" s="5" t="s">
        <v>238</v>
      </c>
      <c r="FT3306" s="5" t="s">
        <v>238</v>
      </c>
      <c r="FU3306" s="5" t="s">
        <v>238</v>
      </c>
      <c r="FV3306" s="5" t="s">
        <v>238</v>
      </c>
      <c r="FW3306" s="5" t="s">
        <v>238</v>
      </c>
      <c r="FX3306" s="5" t="s">
        <v>238</v>
      </c>
      <c r="FY3306" s="5" t="s">
        <v>238</v>
      </c>
      <c r="FZ3306" s="5" t="s">
        <v>238</v>
      </c>
      <c r="GA3306" s="5" t="s">
        <v>238</v>
      </c>
      <c r="GB3306" s="5" t="s">
        <v>238</v>
      </c>
      <c r="GC3306" s="5" t="s">
        <v>238</v>
      </c>
      <c r="GD3306" s="5" t="s">
        <v>238</v>
      </c>
      <c r="GE3306" s="5" t="s">
        <v>238</v>
      </c>
      <c r="GF3306" s="5" t="s">
        <v>238</v>
      </c>
      <c r="GG3306" s="5" t="s">
        <v>238</v>
      </c>
      <c r="GH3306" s="5" t="s">
        <v>238</v>
      </c>
      <c r="GI3306" s="5" t="s">
        <v>238</v>
      </c>
      <c r="GJ3306" s="5" t="s">
        <v>238</v>
      </c>
      <c r="GK3306" s="5" t="s">
        <v>238</v>
      </c>
      <c r="GL3306" s="5" t="s">
        <v>238</v>
      </c>
      <c r="GM3306" s="5" t="s">
        <v>238</v>
      </c>
      <c r="GN3306" s="5" t="s">
        <v>238</v>
      </c>
      <c r="GO3306" s="5" t="s">
        <v>238</v>
      </c>
      <c r="GP3306" s="5" t="s">
        <v>238</v>
      </c>
      <c r="GQ3306" s="5" t="s">
        <v>238</v>
      </c>
      <c r="GR3306" s="5" t="s">
        <v>238</v>
      </c>
      <c r="GS3306" s="5" t="s">
        <v>238</v>
      </c>
      <c r="GT3306" s="5" t="s">
        <v>238</v>
      </c>
      <c r="GU3306" s="5" t="s">
        <v>238</v>
      </c>
      <c r="GV3306" s="5" t="s">
        <v>238</v>
      </c>
      <c r="GW3306" s="5" t="s">
        <v>238</v>
      </c>
      <c r="GX3306" s="5" t="s">
        <v>238</v>
      </c>
      <c r="GY3306" s="5" t="s">
        <v>238</v>
      </c>
      <c r="GZ3306" s="5" t="s">
        <v>238</v>
      </c>
      <c r="HA3306" s="5" t="s">
        <v>238</v>
      </c>
      <c r="HB3306" s="5" t="s">
        <v>238</v>
      </c>
      <c r="HC3306" s="5" t="s">
        <v>238</v>
      </c>
      <c r="HD3306" s="5" t="s">
        <v>238</v>
      </c>
      <c r="HE3306" s="5" t="s">
        <v>238</v>
      </c>
      <c r="HF3306" s="5" t="s">
        <v>238</v>
      </c>
      <c r="HG3306" s="5" t="s">
        <v>238</v>
      </c>
      <c r="HH3306" s="5" t="s">
        <v>238</v>
      </c>
      <c r="HI3306" s="5" t="s">
        <v>238</v>
      </c>
      <c r="HJ3306" s="5" t="s">
        <v>238</v>
      </c>
      <c r="HK3306" s="5" t="s">
        <v>238</v>
      </c>
      <c r="HL3306" s="5" t="s">
        <v>238</v>
      </c>
      <c r="HM3306" s="5" t="s">
        <v>264</v>
      </c>
      <c r="HN3306" s="5" t="s">
        <v>238</v>
      </c>
      <c r="HO3306" s="5" t="s">
        <v>238</v>
      </c>
      <c r="HP3306" s="5" t="s">
        <v>238</v>
      </c>
      <c r="HQ3306" s="5" t="s">
        <v>238</v>
      </c>
      <c r="HR3306" s="5" t="s">
        <v>238</v>
      </c>
      <c r="HS3306" s="5" t="s">
        <v>238</v>
      </c>
      <c r="HT3306" s="5" t="s">
        <v>238</v>
      </c>
      <c r="HU3306" s="5" t="s">
        <v>238</v>
      </c>
      <c r="HV3306" s="5" t="s">
        <v>238</v>
      </c>
      <c r="HW3306" s="5" t="s">
        <v>238</v>
      </c>
      <c r="HX3306" s="5" t="s">
        <v>238</v>
      </c>
      <c r="HY3306" s="5" t="s">
        <v>238</v>
      </c>
      <c r="HZ3306" s="5" t="s">
        <v>238</v>
      </c>
      <c r="IA3306" s="5" t="s">
        <v>238</v>
      </c>
      <c r="IB3306" s="5" t="s">
        <v>238</v>
      </c>
      <c r="IC3306" s="5" t="s">
        <v>238</v>
      </c>
      <c r="ID3306" s="5" t="s">
        <v>238</v>
      </c>
    </row>
    <row r="3307" spans="1:238" x14ac:dyDescent="0.4">
      <c r="A3307" s="5">
        <v>9025</v>
      </c>
      <c r="B3307" s="5">
        <v>1</v>
      </c>
      <c r="C3307" s="5">
        <v>1</v>
      </c>
      <c r="D3307" s="5" t="s">
        <v>484</v>
      </c>
      <c r="E3307" s="5" t="s">
        <v>878</v>
      </c>
      <c r="F3307" s="5" t="s">
        <v>248</v>
      </c>
      <c r="G3307" s="5" t="s">
        <v>4894</v>
      </c>
      <c r="H3307" s="6" t="s">
        <v>4895</v>
      </c>
      <c r="I3307" s="8">
        <f>1</f>
        <v>1</v>
      </c>
      <c r="J3307" s="5" t="s">
        <v>499</v>
      </c>
      <c r="K3307" s="8">
        <f>1</f>
        <v>1</v>
      </c>
      <c r="L3307" s="6" t="s">
        <v>242</v>
      </c>
      <c r="M3307" s="5" t="s">
        <v>267</v>
      </c>
      <c r="N3307" s="5" t="s">
        <v>482</v>
      </c>
      <c r="O3307" s="5" t="s">
        <v>238</v>
      </c>
      <c r="P3307" s="5" t="s">
        <v>238</v>
      </c>
      <c r="Q3307" s="5" t="s">
        <v>239</v>
      </c>
      <c r="R3307" s="5" t="s">
        <v>270</v>
      </c>
      <c r="S3307" s="5" t="s">
        <v>238</v>
      </c>
      <c r="T3307" s="5" t="s">
        <v>238</v>
      </c>
      <c r="U3307" s="5" t="s">
        <v>238</v>
      </c>
      <c r="V3307" s="5" t="s">
        <v>238</v>
      </c>
      <c r="W3307" s="6" t="s">
        <v>238</v>
      </c>
      <c r="X3307" s="6" t="s">
        <v>238</v>
      </c>
      <c r="Y3307" s="5" t="s">
        <v>238</v>
      </c>
      <c r="Z3307" s="6" t="s">
        <v>238</v>
      </c>
      <c r="AA3307" s="6" t="s">
        <v>243</v>
      </c>
      <c r="AB3307" s="5" t="s">
        <v>879</v>
      </c>
      <c r="AC3307" s="5" t="s">
        <v>244</v>
      </c>
      <c r="AD3307" s="5" t="s">
        <v>245</v>
      </c>
      <c r="AE3307" s="5" t="s">
        <v>238</v>
      </c>
      <c r="AF3307" s="5" t="s">
        <v>238</v>
      </c>
      <c r="AG3307" s="5" t="s">
        <v>238</v>
      </c>
      <c r="AH3307" s="5" t="s">
        <v>238</v>
      </c>
      <c r="AI3307" s="5" t="s">
        <v>238</v>
      </c>
      <c r="AJ3307" s="5" t="s">
        <v>238</v>
      </c>
      <c r="AK3307" s="5" t="s">
        <v>238</v>
      </c>
      <c r="AL3307" s="5" t="s">
        <v>238</v>
      </c>
      <c r="AM3307" s="6" t="s">
        <v>238</v>
      </c>
      <c r="AN3307" s="6" t="s">
        <v>238</v>
      </c>
      <c r="AO3307" s="6" t="s">
        <v>238</v>
      </c>
      <c r="AP3307" s="6" t="s">
        <v>238</v>
      </c>
      <c r="AQ3307" s="5" t="s">
        <v>238</v>
      </c>
      <c r="AR3307" s="5" t="s">
        <v>488</v>
      </c>
      <c r="AS3307" s="5" t="s">
        <v>488</v>
      </c>
      <c r="AT3307" s="5" t="s">
        <v>246</v>
      </c>
      <c r="AU3307" s="5" t="s">
        <v>489</v>
      </c>
      <c r="AV3307" s="5" t="s">
        <v>247</v>
      </c>
      <c r="AW3307" s="5" t="s">
        <v>238</v>
      </c>
      <c r="AX3307" s="5" t="s">
        <v>249</v>
      </c>
      <c r="AY3307" s="5" t="s">
        <v>490</v>
      </c>
      <c r="BA3307" s="5" t="s">
        <v>238</v>
      </c>
      <c r="BC3307" s="5" t="s">
        <v>491</v>
      </c>
      <c r="BD3307" s="6" t="s">
        <v>492</v>
      </c>
      <c r="BE3307" s="5" t="s">
        <v>493</v>
      </c>
      <c r="BF3307" s="5" t="s">
        <v>493</v>
      </c>
      <c r="BG3307" s="5" t="s">
        <v>238</v>
      </c>
      <c r="BH3307" s="8">
        <f>1</f>
        <v>1</v>
      </c>
      <c r="BI3307" s="8">
        <f>1</f>
        <v>1</v>
      </c>
      <c r="BJ3307" s="5" t="s">
        <v>253</v>
      </c>
      <c r="BK3307" s="5" t="s">
        <v>254</v>
      </c>
      <c r="BL3307" s="5" t="s">
        <v>238</v>
      </c>
      <c r="BM3307" s="5" t="s">
        <v>238</v>
      </c>
      <c r="BN3307" s="5" t="s">
        <v>238</v>
      </c>
      <c r="BO3307" s="5" t="s">
        <v>238</v>
      </c>
      <c r="BP3307" s="5" t="s">
        <v>238</v>
      </c>
      <c r="BQ3307" s="5" t="s">
        <v>238</v>
      </c>
      <c r="BR3307" s="5" t="s">
        <v>238</v>
      </c>
      <c r="BS3307" s="5" t="s">
        <v>238</v>
      </c>
      <c r="BT3307" s="6" t="s">
        <v>238</v>
      </c>
      <c r="BU3307" s="5" t="s">
        <v>238</v>
      </c>
      <c r="BV3307" s="5" t="s">
        <v>238</v>
      </c>
      <c r="BW3307" s="5" t="s">
        <v>238</v>
      </c>
      <c r="BX3307" s="5" t="s">
        <v>254</v>
      </c>
      <c r="BY3307" s="5" t="s">
        <v>238</v>
      </c>
      <c r="BZ3307" s="5" t="s">
        <v>238</v>
      </c>
      <c r="CA3307" s="5" t="s">
        <v>238</v>
      </c>
      <c r="CB3307" s="5" t="s">
        <v>238</v>
      </c>
      <c r="CC3307" s="5" t="s">
        <v>238</v>
      </c>
      <c r="CD3307" s="5" t="s">
        <v>273</v>
      </c>
      <c r="CE3307" s="5" t="s">
        <v>256</v>
      </c>
      <c r="CF3307" s="5" t="s">
        <v>238</v>
      </c>
      <c r="CH3307" s="5" t="s">
        <v>494</v>
      </c>
      <c r="CI3307" s="6" t="s">
        <v>257</v>
      </c>
      <c r="CJ3307" s="5" t="s">
        <v>495</v>
      </c>
      <c r="CK3307" s="5" t="s">
        <v>258</v>
      </c>
      <c r="CL3307" s="5" t="s">
        <v>496</v>
      </c>
      <c r="CM3307" s="5" t="s">
        <v>238</v>
      </c>
      <c r="CN3307" s="5">
        <v>0</v>
      </c>
      <c r="CO3307" s="5" t="s">
        <v>497</v>
      </c>
      <c r="CP3307" s="5" t="s">
        <v>260</v>
      </c>
      <c r="CQ3307" s="5" t="s">
        <v>260</v>
      </c>
      <c r="CR3307" s="5" t="s">
        <v>261</v>
      </c>
      <c r="CS3307" s="5" t="s">
        <v>498</v>
      </c>
      <c r="CT3307" s="7">
        <f>1</f>
        <v>1</v>
      </c>
      <c r="CU3307" s="8">
        <f>1</f>
        <v>1</v>
      </c>
      <c r="CV3307" s="8">
        <f>0</f>
        <v>0</v>
      </c>
      <c r="CX3307" s="8">
        <f>1</f>
        <v>1</v>
      </c>
      <c r="CY3307" s="8">
        <f>1</f>
        <v>1</v>
      </c>
      <c r="CZ3307" s="8" t="s">
        <v>238</v>
      </c>
      <c r="DA3307" s="5" t="s">
        <v>238</v>
      </c>
      <c r="DB3307" s="5" t="s">
        <v>238</v>
      </c>
      <c r="DC3307" s="5" t="s">
        <v>238</v>
      </c>
      <c r="DD3307" s="5" t="s">
        <v>238</v>
      </c>
      <c r="DE3307" s="8">
        <f>0</f>
        <v>0</v>
      </c>
      <c r="DG3307" s="5" t="s">
        <v>238</v>
      </c>
      <c r="DH3307" s="5" t="s">
        <v>238</v>
      </c>
      <c r="DI3307" s="5" t="s">
        <v>238</v>
      </c>
      <c r="DJ3307" s="5" t="s">
        <v>238</v>
      </c>
      <c r="DK3307" s="5" t="s">
        <v>238</v>
      </c>
      <c r="DL3307" s="5" t="s">
        <v>238</v>
      </c>
      <c r="DM3307" s="8" t="s">
        <v>238</v>
      </c>
      <c r="DN3307" s="5" t="s">
        <v>238</v>
      </c>
      <c r="DO3307" s="5" t="s">
        <v>238</v>
      </c>
      <c r="DP3307" s="5" t="s">
        <v>490</v>
      </c>
      <c r="DQ3307" s="5" t="s">
        <v>490</v>
      </c>
      <c r="DR3307" s="5" t="s">
        <v>238</v>
      </c>
      <c r="DS3307" s="5" t="s">
        <v>238</v>
      </c>
      <c r="DT3307" s="5" t="s">
        <v>881</v>
      </c>
      <c r="DU3307" s="5" t="s">
        <v>390</v>
      </c>
      <c r="DV3307" s="5" t="s">
        <v>238</v>
      </c>
      <c r="DW3307" s="5" t="s">
        <v>238</v>
      </c>
      <c r="DX3307" s="5" t="s">
        <v>238</v>
      </c>
      <c r="DY3307" s="5" t="s">
        <v>238</v>
      </c>
      <c r="DZ3307" s="5" t="s">
        <v>238</v>
      </c>
      <c r="EA3307" s="5" t="s">
        <v>238</v>
      </c>
      <c r="EB3307" s="5" t="s">
        <v>238</v>
      </c>
      <c r="EC3307" s="5" t="s">
        <v>238</v>
      </c>
      <c r="ED3307" s="5" t="s">
        <v>238</v>
      </c>
      <c r="EE3307" s="5" t="s">
        <v>238</v>
      </c>
      <c r="EF3307" s="5" t="s">
        <v>238</v>
      </c>
      <c r="EG3307" s="5" t="s">
        <v>238</v>
      </c>
      <c r="EH3307" s="5" t="s">
        <v>238</v>
      </c>
      <c r="EI3307" s="5" t="s">
        <v>238</v>
      </c>
      <c r="EJ3307" s="5" t="s">
        <v>238</v>
      </c>
      <c r="EK3307" s="5" t="s">
        <v>238</v>
      </c>
      <c r="EL3307" s="5" t="s">
        <v>238</v>
      </c>
      <c r="EM3307" s="5" t="s">
        <v>238</v>
      </c>
      <c r="EN3307" s="5" t="s">
        <v>238</v>
      </c>
      <c r="EO3307" s="5" t="s">
        <v>238</v>
      </c>
      <c r="EP3307" s="5" t="s">
        <v>238</v>
      </c>
      <c r="EQ3307" s="5" t="s">
        <v>238</v>
      </c>
      <c r="ER3307" s="5" t="s">
        <v>238</v>
      </c>
      <c r="ES3307" s="5" t="s">
        <v>238</v>
      </c>
      <c r="ET3307" s="5" t="s">
        <v>238</v>
      </c>
      <c r="EU3307" s="5" t="s">
        <v>238</v>
      </c>
      <c r="EV3307" s="5" t="s">
        <v>238</v>
      </c>
      <c r="EW3307" s="5" t="s">
        <v>238</v>
      </c>
      <c r="EX3307" s="5" t="s">
        <v>238</v>
      </c>
      <c r="EY3307" s="5" t="s">
        <v>238</v>
      </c>
      <c r="EZ3307" s="5" t="s">
        <v>238</v>
      </c>
      <c r="FA3307" s="5" t="s">
        <v>238</v>
      </c>
      <c r="FB3307" s="5" t="s">
        <v>238</v>
      </c>
      <c r="FC3307" s="5" t="s">
        <v>238</v>
      </c>
      <c r="FD3307" s="5" t="s">
        <v>238</v>
      </c>
      <c r="FE3307" s="5" t="s">
        <v>238</v>
      </c>
      <c r="FF3307" s="5" t="s">
        <v>238</v>
      </c>
      <c r="FG3307" s="5" t="s">
        <v>238</v>
      </c>
      <c r="FH3307" s="5" t="s">
        <v>238</v>
      </c>
      <c r="FI3307" s="5" t="s">
        <v>238</v>
      </c>
      <c r="FJ3307" s="5" t="s">
        <v>238</v>
      </c>
      <c r="FK3307" s="5" t="s">
        <v>238</v>
      </c>
      <c r="FL3307" s="5" t="s">
        <v>238</v>
      </c>
      <c r="FM3307" s="5" t="s">
        <v>238</v>
      </c>
      <c r="FN3307" s="5" t="s">
        <v>238</v>
      </c>
      <c r="FO3307" s="5" t="s">
        <v>238</v>
      </c>
      <c r="FP3307" s="5" t="s">
        <v>238</v>
      </c>
      <c r="FQ3307" s="5" t="s">
        <v>238</v>
      </c>
      <c r="FR3307" s="5" t="s">
        <v>238</v>
      </c>
      <c r="FS3307" s="5" t="s">
        <v>238</v>
      </c>
      <c r="FT3307" s="5" t="s">
        <v>238</v>
      </c>
      <c r="FU3307" s="5" t="s">
        <v>238</v>
      </c>
      <c r="FV3307" s="5" t="s">
        <v>238</v>
      </c>
      <c r="FW3307" s="5" t="s">
        <v>238</v>
      </c>
      <c r="FX3307" s="5" t="s">
        <v>238</v>
      </c>
      <c r="FY3307" s="5" t="s">
        <v>238</v>
      </c>
      <c r="FZ3307" s="5" t="s">
        <v>238</v>
      </c>
      <c r="GA3307" s="5" t="s">
        <v>238</v>
      </c>
      <c r="GB3307" s="5" t="s">
        <v>238</v>
      </c>
      <c r="GC3307" s="5" t="s">
        <v>238</v>
      </c>
      <c r="GD3307" s="5" t="s">
        <v>238</v>
      </c>
      <c r="GE3307" s="5" t="s">
        <v>238</v>
      </c>
      <c r="GF3307" s="5" t="s">
        <v>238</v>
      </c>
      <c r="GG3307" s="5" t="s">
        <v>238</v>
      </c>
      <c r="GH3307" s="5" t="s">
        <v>238</v>
      </c>
      <c r="GI3307" s="5" t="s">
        <v>238</v>
      </c>
      <c r="GJ3307" s="5" t="s">
        <v>238</v>
      </c>
      <c r="GK3307" s="5" t="s">
        <v>238</v>
      </c>
      <c r="GL3307" s="5" t="s">
        <v>238</v>
      </c>
      <c r="GM3307" s="5" t="s">
        <v>238</v>
      </c>
      <c r="GN3307" s="5" t="s">
        <v>238</v>
      </c>
      <c r="GO3307" s="5" t="s">
        <v>238</v>
      </c>
      <c r="GP3307" s="5" t="s">
        <v>238</v>
      </c>
      <c r="GQ3307" s="5" t="s">
        <v>238</v>
      </c>
      <c r="GR3307" s="5" t="s">
        <v>238</v>
      </c>
      <c r="GS3307" s="5" t="s">
        <v>238</v>
      </c>
      <c r="GT3307" s="5" t="s">
        <v>238</v>
      </c>
      <c r="GU3307" s="5" t="s">
        <v>238</v>
      </c>
      <c r="GV3307" s="5" t="s">
        <v>238</v>
      </c>
      <c r="GW3307" s="5" t="s">
        <v>238</v>
      </c>
      <c r="GX3307" s="5" t="s">
        <v>238</v>
      </c>
      <c r="GY3307" s="5" t="s">
        <v>238</v>
      </c>
      <c r="GZ3307" s="5" t="s">
        <v>238</v>
      </c>
      <c r="HA3307" s="5" t="s">
        <v>238</v>
      </c>
      <c r="HB3307" s="5" t="s">
        <v>238</v>
      </c>
      <c r="HC3307" s="5" t="s">
        <v>238</v>
      </c>
      <c r="HD3307" s="5" t="s">
        <v>238</v>
      </c>
      <c r="HE3307" s="5" t="s">
        <v>238</v>
      </c>
      <c r="HF3307" s="5" t="s">
        <v>238</v>
      </c>
      <c r="HG3307" s="5" t="s">
        <v>238</v>
      </c>
      <c r="HH3307" s="5" t="s">
        <v>238</v>
      </c>
      <c r="HI3307" s="5" t="s">
        <v>238</v>
      </c>
      <c r="HJ3307" s="5" t="s">
        <v>238</v>
      </c>
      <c r="HK3307" s="5" t="s">
        <v>238</v>
      </c>
      <c r="HL3307" s="5" t="s">
        <v>238</v>
      </c>
      <c r="HM3307" s="5" t="s">
        <v>264</v>
      </c>
      <c r="HN3307" s="5" t="s">
        <v>238</v>
      </c>
      <c r="HO3307" s="5" t="s">
        <v>238</v>
      </c>
      <c r="HP3307" s="5" t="s">
        <v>238</v>
      </c>
      <c r="HQ3307" s="5" t="s">
        <v>238</v>
      </c>
      <c r="HR3307" s="5" t="s">
        <v>238</v>
      </c>
      <c r="HS3307" s="5" t="s">
        <v>238</v>
      </c>
      <c r="HT3307" s="5" t="s">
        <v>238</v>
      </c>
      <c r="HU3307" s="5" t="s">
        <v>238</v>
      </c>
      <c r="HV3307" s="5" t="s">
        <v>238</v>
      </c>
      <c r="HW3307" s="5" t="s">
        <v>238</v>
      </c>
      <c r="HX3307" s="5" t="s">
        <v>238</v>
      </c>
      <c r="HY3307" s="5" t="s">
        <v>238</v>
      </c>
      <c r="HZ3307" s="5" t="s">
        <v>238</v>
      </c>
      <c r="IA3307" s="5" t="s">
        <v>238</v>
      </c>
      <c r="IB3307" s="5" t="s">
        <v>238</v>
      </c>
      <c r="IC3307" s="5" t="s">
        <v>238</v>
      </c>
      <c r="ID3307" s="5" t="s">
        <v>238</v>
      </c>
    </row>
    <row r="3308" spans="1:238" x14ac:dyDescent="0.4">
      <c r="A3308" s="5">
        <v>9026</v>
      </c>
      <c r="B3308" s="5">
        <v>1</v>
      </c>
      <c r="C3308" s="5">
        <v>1</v>
      </c>
      <c r="D3308" s="5" t="s">
        <v>484</v>
      </c>
      <c r="E3308" s="5" t="s">
        <v>878</v>
      </c>
      <c r="F3308" s="5" t="s">
        <v>248</v>
      </c>
      <c r="G3308" s="5" t="s">
        <v>3911</v>
      </c>
      <c r="H3308" s="6" t="s">
        <v>3912</v>
      </c>
      <c r="I3308" s="8">
        <f>1</f>
        <v>1</v>
      </c>
      <c r="J3308" s="5" t="s">
        <v>499</v>
      </c>
      <c r="K3308" s="8">
        <f>1</f>
        <v>1</v>
      </c>
      <c r="L3308" s="6" t="s">
        <v>242</v>
      </c>
      <c r="M3308" s="5" t="s">
        <v>267</v>
      </c>
      <c r="N3308" s="5" t="s">
        <v>482</v>
      </c>
      <c r="O3308" s="5" t="s">
        <v>238</v>
      </c>
      <c r="P3308" s="5" t="s">
        <v>238</v>
      </c>
      <c r="Q3308" s="5" t="s">
        <v>239</v>
      </c>
      <c r="R3308" s="5" t="s">
        <v>270</v>
      </c>
      <c r="S3308" s="5" t="s">
        <v>238</v>
      </c>
      <c r="T3308" s="5" t="s">
        <v>238</v>
      </c>
      <c r="U3308" s="5" t="s">
        <v>238</v>
      </c>
      <c r="V3308" s="5" t="s">
        <v>238</v>
      </c>
      <c r="W3308" s="6" t="s">
        <v>238</v>
      </c>
      <c r="X3308" s="6" t="s">
        <v>238</v>
      </c>
      <c r="Y3308" s="5" t="s">
        <v>238</v>
      </c>
      <c r="Z3308" s="6" t="s">
        <v>238</v>
      </c>
      <c r="AA3308" s="6" t="s">
        <v>243</v>
      </c>
      <c r="AB3308" s="5" t="s">
        <v>879</v>
      </c>
      <c r="AC3308" s="5" t="s">
        <v>244</v>
      </c>
      <c r="AD3308" s="5" t="s">
        <v>245</v>
      </c>
      <c r="AE3308" s="5" t="s">
        <v>238</v>
      </c>
      <c r="AF3308" s="5" t="s">
        <v>238</v>
      </c>
      <c r="AG3308" s="5" t="s">
        <v>238</v>
      </c>
      <c r="AH3308" s="5" t="s">
        <v>238</v>
      </c>
      <c r="AI3308" s="5" t="s">
        <v>238</v>
      </c>
      <c r="AJ3308" s="5" t="s">
        <v>238</v>
      </c>
      <c r="AK3308" s="5" t="s">
        <v>238</v>
      </c>
      <c r="AL3308" s="5" t="s">
        <v>238</v>
      </c>
      <c r="AM3308" s="6" t="s">
        <v>238</v>
      </c>
      <c r="AN3308" s="6" t="s">
        <v>238</v>
      </c>
      <c r="AO3308" s="6" t="s">
        <v>238</v>
      </c>
      <c r="AP3308" s="6" t="s">
        <v>238</v>
      </c>
      <c r="AQ3308" s="5" t="s">
        <v>238</v>
      </c>
      <c r="AR3308" s="5" t="s">
        <v>488</v>
      </c>
      <c r="AS3308" s="5" t="s">
        <v>488</v>
      </c>
      <c r="AT3308" s="5" t="s">
        <v>246</v>
      </c>
      <c r="AU3308" s="5" t="s">
        <v>489</v>
      </c>
      <c r="AV3308" s="5" t="s">
        <v>247</v>
      </c>
      <c r="AW3308" s="5" t="s">
        <v>238</v>
      </c>
      <c r="AX3308" s="5" t="s">
        <v>249</v>
      </c>
      <c r="AY3308" s="5" t="s">
        <v>490</v>
      </c>
      <c r="BA3308" s="5" t="s">
        <v>238</v>
      </c>
      <c r="BC3308" s="5" t="s">
        <v>491</v>
      </c>
      <c r="BD3308" s="6" t="s">
        <v>492</v>
      </c>
      <c r="BE3308" s="5" t="s">
        <v>493</v>
      </c>
      <c r="BF3308" s="5" t="s">
        <v>493</v>
      </c>
      <c r="BG3308" s="5" t="s">
        <v>238</v>
      </c>
      <c r="BH3308" s="8">
        <f>1</f>
        <v>1</v>
      </c>
      <c r="BI3308" s="8">
        <f>1</f>
        <v>1</v>
      </c>
      <c r="BJ3308" s="5" t="s">
        <v>253</v>
      </c>
      <c r="BK3308" s="5" t="s">
        <v>254</v>
      </c>
      <c r="BL3308" s="5" t="s">
        <v>238</v>
      </c>
      <c r="BM3308" s="5" t="s">
        <v>238</v>
      </c>
      <c r="BN3308" s="5" t="s">
        <v>238</v>
      </c>
      <c r="BO3308" s="5" t="s">
        <v>238</v>
      </c>
      <c r="BP3308" s="5" t="s">
        <v>238</v>
      </c>
      <c r="BQ3308" s="5" t="s">
        <v>238</v>
      </c>
      <c r="BR3308" s="5" t="s">
        <v>238</v>
      </c>
      <c r="BS3308" s="5" t="s">
        <v>238</v>
      </c>
      <c r="BT3308" s="6" t="s">
        <v>238</v>
      </c>
      <c r="BU3308" s="5" t="s">
        <v>238</v>
      </c>
      <c r="BV3308" s="5" t="s">
        <v>238</v>
      </c>
      <c r="BW3308" s="5" t="s">
        <v>238</v>
      </c>
      <c r="BX3308" s="5" t="s">
        <v>254</v>
      </c>
      <c r="BY3308" s="5" t="s">
        <v>238</v>
      </c>
      <c r="BZ3308" s="5" t="s">
        <v>238</v>
      </c>
      <c r="CA3308" s="5" t="s">
        <v>238</v>
      </c>
      <c r="CB3308" s="5" t="s">
        <v>238</v>
      </c>
      <c r="CC3308" s="5" t="s">
        <v>238</v>
      </c>
      <c r="CD3308" s="5" t="s">
        <v>273</v>
      </c>
      <c r="CE3308" s="5" t="s">
        <v>256</v>
      </c>
      <c r="CF3308" s="5" t="s">
        <v>238</v>
      </c>
      <c r="CH3308" s="5" t="s">
        <v>494</v>
      </c>
      <c r="CI3308" s="6" t="s">
        <v>257</v>
      </c>
      <c r="CJ3308" s="5" t="s">
        <v>495</v>
      </c>
      <c r="CK3308" s="5" t="s">
        <v>258</v>
      </c>
      <c r="CL3308" s="5" t="s">
        <v>496</v>
      </c>
      <c r="CM3308" s="5" t="s">
        <v>238</v>
      </c>
      <c r="CN3308" s="5">
        <v>0</v>
      </c>
      <c r="CO3308" s="5" t="s">
        <v>497</v>
      </c>
      <c r="CP3308" s="5" t="s">
        <v>260</v>
      </c>
      <c r="CQ3308" s="5" t="s">
        <v>260</v>
      </c>
      <c r="CR3308" s="5" t="s">
        <v>261</v>
      </c>
      <c r="CS3308" s="5" t="s">
        <v>498</v>
      </c>
      <c r="CT3308" s="7">
        <f>1</f>
        <v>1</v>
      </c>
      <c r="CU3308" s="8">
        <f>1</f>
        <v>1</v>
      </c>
      <c r="CV3308" s="8">
        <f>0</f>
        <v>0</v>
      </c>
      <c r="CX3308" s="8">
        <f>1</f>
        <v>1</v>
      </c>
      <c r="CY3308" s="8">
        <f>1</f>
        <v>1</v>
      </c>
      <c r="CZ3308" s="8" t="s">
        <v>238</v>
      </c>
      <c r="DA3308" s="5" t="s">
        <v>238</v>
      </c>
      <c r="DB3308" s="5" t="s">
        <v>238</v>
      </c>
      <c r="DC3308" s="5" t="s">
        <v>238</v>
      </c>
      <c r="DD3308" s="5" t="s">
        <v>238</v>
      </c>
      <c r="DE3308" s="8">
        <f>0</f>
        <v>0</v>
      </c>
      <c r="DG3308" s="5" t="s">
        <v>238</v>
      </c>
      <c r="DH3308" s="5" t="s">
        <v>238</v>
      </c>
      <c r="DI3308" s="5" t="s">
        <v>238</v>
      </c>
      <c r="DJ3308" s="5" t="s">
        <v>238</v>
      </c>
      <c r="DK3308" s="5" t="s">
        <v>238</v>
      </c>
      <c r="DL3308" s="5" t="s">
        <v>238</v>
      </c>
      <c r="DM3308" s="8" t="s">
        <v>238</v>
      </c>
      <c r="DN3308" s="5" t="s">
        <v>238</v>
      </c>
      <c r="DO3308" s="5" t="s">
        <v>238</v>
      </c>
      <c r="DP3308" s="5" t="s">
        <v>490</v>
      </c>
      <c r="DQ3308" s="5" t="s">
        <v>490</v>
      </c>
      <c r="DR3308" s="5" t="s">
        <v>238</v>
      </c>
      <c r="DS3308" s="5" t="s">
        <v>238</v>
      </c>
      <c r="DT3308" s="5" t="s">
        <v>881</v>
      </c>
      <c r="DU3308" s="5" t="s">
        <v>890</v>
      </c>
      <c r="DV3308" s="5" t="s">
        <v>238</v>
      </c>
      <c r="DW3308" s="5" t="s">
        <v>238</v>
      </c>
      <c r="DX3308" s="5" t="s">
        <v>238</v>
      </c>
      <c r="DY3308" s="5" t="s">
        <v>238</v>
      </c>
      <c r="DZ3308" s="5" t="s">
        <v>238</v>
      </c>
      <c r="EA3308" s="5" t="s">
        <v>238</v>
      </c>
      <c r="EB3308" s="5" t="s">
        <v>238</v>
      </c>
      <c r="EC3308" s="5" t="s">
        <v>238</v>
      </c>
      <c r="ED3308" s="5" t="s">
        <v>238</v>
      </c>
      <c r="EE3308" s="5" t="s">
        <v>238</v>
      </c>
      <c r="EF3308" s="5" t="s">
        <v>238</v>
      </c>
      <c r="EG3308" s="5" t="s">
        <v>238</v>
      </c>
      <c r="EH3308" s="5" t="s">
        <v>238</v>
      </c>
      <c r="EI3308" s="5" t="s">
        <v>238</v>
      </c>
      <c r="EJ3308" s="5" t="s">
        <v>238</v>
      </c>
      <c r="EK3308" s="5" t="s">
        <v>238</v>
      </c>
      <c r="EL3308" s="5" t="s">
        <v>238</v>
      </c>
      <c r="EM3308" s="5" t="s">
        <v>238</v>
      </c>
      <c r="EN3308" s="5" t="s">
        <v>238</v>
      </c>
      <c r="EO3308" s="5" t="s">
        <v>238</v>
      </c>
      <c r="EP3308" s="5" t="s">
        <v>238</v>
      </c>
      <c r="EQ3308" s="5" t="s">
        <v>238</v>
      </c>
      <c r="ER3308" s="5" t="s">
        <v>238</v>
      </c>
      <c r="ES3308" s="5" t="s">
        <v>238</v>
      </c>
      <c r="ET3308" s="5" t="s">
        <v>238</v>
      </c>
      <c r="EU3308" s="5" t="s">
        <v>238</v>
      </c>
      <c r="EV3308" s="5" t="s">
        <v>238</v>
      </c>
      <c r="EW3308" s="5" t="s">
        <v>238</v>
      </c>
      <c r="EX3308" s="5" t="s">
        <v>238</v>
      </c>
      <c r="EY3308" s="5" t="s">
        <v>238</v>
      </c>
      <c r="EZ3308" s="5" t="s">
        <v>238</v>
      </c>
      <c r="FA3308" s="5" t="s">
        <v>238</v>
      </c>
      <c r="FB3308" s="5" t="s">
        <v>238</v>
      </c>
      <c r="FC3308" s="5" t="s">
        <v>238</v>
      </c>
      <c r="FD3308" s="5" t="s">
        <v>238</v>
      </c>
      <c r="FE3308" s="5" t="s">
        <v>238</v>
      </c>
      <c r="FF3308" s="5" t="s">
        <v>238</v>
      </c>
      <c r="FG3308" s="5" t="s">
        <v>238</v>
      </c>
      <c r="FH3308" s="5" t="s">
        <v>238</v>
      </c>
      <c r="FI3308" s="5" t="s">
        <v>238</v>
      </c>
      <c r="FJ3308" s="5" t="s">
        <v>238</v>
      </c>
      <c r="FK3308" s="5" t="s">
        <v>238</v>
      </c>
      <c r="FL3308" s="5" t="s">
        <v>238</v>
      </c>
      <c r="FM3308" s="5" t="s">
        <v>238</v>
      </c>
      <c r="FN3308" s="5" t="s">
        <v>238</v>
      </c>
      <c r="FO3308" s="5" t="s">
        <v>238</v>
      </c>
      <c r="FP3308" s="5" t="s">
        <v>238</v>
      </c>
      <c r="FQ3308" s="5" t="s">
        <v>238</v>
      </c>
      <c r="FR3308" s="5" t="s">
        <v>238</v>
      </c>
      <c r="FS3308" s="5" t="s">
        <v>238</v>
      </c>
      <c r="FT3308" s="5" t="s">
        <v>238</v>
      </c>
      <c r="FU3308" s="5" t="s">
        <v>238</v>
      </c>
      <c r="FV3308" s="5" t="s">
        <v>238</v>
      </c>
      <c r="FW3308" s="5" t="s">
        <v>238</v>
      </c>
      <c r="FX3308" s="5" t="s">
        <v>238</v>
      </c>
      <c r="FY3308" s="5" t="s">
        <v>238</v>
      </c>
      <c r="FZ3308" s="5" t="s">
        <v>238</v>
      </c>
      <c r="GA3308" s="5" t="s">
        <v>238</v>
      </c>
      <c r="GB3308" s="5" t="s">
        <v>238</v>
      </c>
      <c r="GC3308" s="5" t="s">
        <v>238</v>
      </c>
      <c r="GD3308" s="5" t="s">
        <v>238</v>
      </c>
      <c r="GE3308" s="5" t="s">
        <v>238</v>
      </c>
      <c r="GF3308" s="5" t="s">
        <v>238</v>
      </c>
      <c r="GG3308" s="5" t="s">
        <v>238</v>
      </c>
      <c r="GH3308" s="5" t="s">
        <v>238</v>
      </c>
      <c r="GI3308" s="5" t="s">
        <v>238</v>
      </c>
      <c r="GJ3308" s="5" t="s">
        <v>238</v>
      </c>
      <c r="GK3308" s="5" t="s">
        <v>238</v>
      </c>
      <c r="GL3308" s="5" t="s">
        <v>238</v>
      </c>
      <c r="GM3308" s="5" t="s">
        <v>238</v>
      </c>
      <c r="GN3308" s="5" t="s">
        <v>238</v>
      </c>
      <c r="GO3308" s="5" t="s">
        <v>238</v>
      </c>
      <c r="GP3308" s="5" t="s">
        <v>238</v>
      </c>
      <c r="GQ3308" s="5" t="s">
        <v>238</v>
      </c>
      <c r="GR3308" s="5" t="s">
        <v>238</v>
      </c>
      <c r="GS3308" s="5" t="s">
        <v>238</v>
      </c>
      <c r="GT3308" s="5" t="s">
        <v>238</v>
      </c>
      <c r="GU3308" s="5" t="s">
        <v>238</v>
      </c>
      <c r="GV3308" s="5" t="s">
        <v>238</v>
      </c>
      <c r="GW3308" s="5" t="s">
        <v>238</v>
      </c>
      <c r="GX3308" s="5" t="s">
        <v>238</v>
      </c>
      <c r="GY3308" s="5" t="s">
        <v>238</v>
      </c>
      <c r="GZ3308" s="5" t="s">
        <v>238</v>
      </c>
      <c r="HA3308" s="5" t="s">
        <v>238</v>
      </c>
      <c r="HB3308" s="5" t="s">
        <v>238</v>
      </c>
      <c r="HC3308" s="5" t="s">
        <v>238</v>
      </c>
      <c r="HD3308" s="5" t="s">
        <v>238</v>
      </c>
      <c r="HE3308" s="5" t="s">
        <v>238</v>
      </c>
      <c r="HF3308" s="5" t="s">
        <v>238</v>
      </c>
      <c r="HG3308" s="5" t="s">
        <v>238</v>
      </c>
      <c r="HH3308" s="5" t="s">
        <v>238</v>
      </c>
      <c r="HI3308" s="5" t="s">
        <v>238</v>
      </c>
      <c r="HJ3308" s="5" t="s">
        <v>238</v>
      </c>
      <c r="HK3308" s="5" t="s">
        <v>238</v>
      </c>
      <c r="HL3308" s="5" t="s">
        <v>238</v>
      </c>
      <c r="HM3308" s="5" t="s">
        <v>264</v>
      </c>
      <c r="HN3308" s="5" t="s">
        <v>238</v>
      </c>
      <c r="HO3308" s="5" t="s">
        <v>238</v>
      </c>
      <c r="HP3308" s="5" t="s">
        <v>238</v>
      </c>
      <c r="HQ3308" s="5" t="s">
        <v>238</v>
      </c>
      <c r="HR3308" s="5" t="s">
        <v>238</v>
      </c>
      <c r="HS3308" s="5" t="s">
        <v>238</v>
      </c>
      <c r="HT3308" s="5" t="s">
        <v>238</v>
      </c>
      <c r="HU3308" s="5" t="s">
        <v>238</v>
      </c>
      <c r="HV3308" s="5" t="s">
        <v>238</v>
      </c>
      <c r="HW3308" s="5" t="s">
        <v>238</v>
      </c>
      <c r="HX3308" s="5" t="s">
        <v>238</v>
      </c>
      <c r="HY3308" s="5" t="s">
        <v>238</v>
      </c>
      <c r="HZ3308" s="5" t="s">
        <v>238</v>
      </c>
      <c r="IA3308" s="5" t="s">
        <v>238</v>
      </c>
      <c r="IB3308" s="5" t="s">
        <v>238</v>
      </c>
      <c r="IC3308" s="5" t="s">
        <v>238</v>
      </c>
      <c r="ID3308" s="5" t="s">
        <v>238</v>
      </c>
    </row>
    <row r="3309" spans="1:238" x14ac:dyDescent="0.4">
      <c r="A3309" s="5">
        <v>9027</v>
      </c>
      <c r="B3309" s="5">
        <v>1</v>
      </c>
      <c r="C3309" s="5">
        <v>1</v>
      </c>
      <c r="D3309" s="5" t="s">
        <v>484</v>
      </c>
      <c r="E3309" s="5" t="s">
        <v>878</v>
      </c>
      <c r="F3309" s="5" t="s">
        <v>248</v>
      </c>
      <c r="G3309" s="5" t="s">
        <v>5310</v>
      </c>
      <c r="H3309" s="6" t="s">
        <v>5311</v>
      </c>
      <c r="I3309" s="8">
        <f>1</f>
        <v>1</v>
      </c>
      <c r="J3309" s="5" t="s">
        <v>499</v>
      </c>
      <c r="K3309" s="8">
        <f>1</f>
        <v>1</v>
      </c>
      <c r="L3309" s="6" t="s">
        <v>242</v>
      </c>
      <c r="M3309" s="5" t="s">
        <v>267</v>
      </c>
      <c r="N3309" s="5" t="s">
        <v>482</v>
      </c>
      <c r="O3309" s="5" t="s">
        <v>238</v>
      </c>
      <c r="P3309" s="5" t="s">
        <v>238</v>
      </c>
      <c r="Q3309" s="5" t="s">
        <v>239</v>
      </c>
      <c r="R3309" s="5" t="s">
        <v>270</v>
      </c>
      <c r="S3309" s="5" t="s">
        <v>238</v>
      </c>
      <c r="T3309" s="5" t="s">
        <v>238</v>
      </c>
      <c r="U3309" s="5" t="s">
        <v>238</v>
      </c>
      <c r="V3309" s="5" t="s">
        <v>238</v>
      </c>
      <c r="W3309" s="6" t="s">
        <v>238</v>
      </c>
      <c r="X3309" s="6" t="s">
        <v>238</v>
      </c>
      <c r="Y3309" s="5" t="s">
        <v>238</v>
      </c>
      <c r="Z3309" s="6" t="s">
        <v>238</v>
      </c>
      <c r="AA3309" s="6" t="s">
        <v>243</v>
      </c>
      <c r="AB3309" s="5" t="s">
        <v>879</v>
      </c>
      <c r="AC3309" s="5" t="s">
        <v>244</v>
      </c>
      <c r="AD3309" s="5" t="s">
        <v>245</v>
      </c>
      <c r="AE3309" s="5" t="s">
        <v>238</v>
      </c>
      <c r="AF3309" s="5" t="s">
        <v>238</v>
      </c>
      <c r="AG3309" s="5" t="s">
        <v>238</v>
      </c>
      <c r="AH3309" s="5" t="s">
        <v>238</v>
      </c>
      <c r="AI3309" s="5" t="s">
        <v>238</v>
      </c>
      <c r="AJ3309" s="5" t="s">
        <v>238</v>
      </c>
      <c r="AK3309" s="5" t="s">
        <v>238</v>
      </c>
      <c r="AL3309" s="5" t="s">
        <v>238</v>
      </c>
      <c r="AM3309" s="6" t="s">
        <v>238</v>
      </c>
      <c r="AN3309" s="6" t="s">
        <v>238</v>
      </c>
      <c r="AO3309" s="6" t="s">
        <v>238</v>
      </c>
      <c r="AP3309" s="6" t="s">
        <v>238</v>
      </c>
      <c r="AQ3309" s="5" t="s">
        <v>238</v>
      </c>
      <c r="AR3309" s="5" t="s">
        <v>488</v>
      </c>
      <c r="AS3309" s="5" t="s">
        <v>488</v>
      </c>
      <c r="AT3309" s="5" t="s">
        <v>246</v>
      </c>
      <c r="AU3309" s="5" t="s">
        <v>489</v>
      </c>
      <c r="AV3309" s="5" t="s">
        <v>247</v>
      </c>
      <c r="AW3309" s="5" t="s">
        <v>238</v>
      </c>
      <c r="AX3309" s="5" t="s">
        <v>249</v>
      </c>
      <c r="AY3309" s="5" t="s">
        <v>490</v>
      </c>
      <c r="BA3309" s="5" t="s">
        <v>238</v>
      </c>
      <c r="BC3309" s="5" t="s">
        <v>491</v>
      </c>
      <c r="BD3309" s="6" t="s">
        <v>492</v>
      </c>
      <c r="BE3309" s="5" t="s">
        <v>493</v>
      </c>
      <c r="BF3309" s="5" t="s">
        <v>493</v>
      </c>
      <c r="BG3309" s="5" t="s">
        <v>238</v>
      </c>
      <c r="BH3309" s="8">
        <f>1</f>
        <v>1</v>
      </c>
      <c r="BI3309" s="8">
        <f>1</f>
        <v>1</v>
      </c>
      <c r="BJ3309" s="5" t="s">
        <v>253</v>
      </c>
      <c r="BK3309" s="5" t="s">
        <v>254</v>
      </c>
      <c r="BL3309" s="5" t="s">
        <v>238</v>
      </c>
      <c r="BM3309" s="5" t="s">
        <v>238</v>
      </c>
      <c r="BN3309" s="5" t="s">
        <v>238</v>
      </c>
      <c r="BO3309" s="5" t="s">
        <v>238</v>
      </c>
      <c r="BP3309" s="5" t="s">
        <v>238</v>
      </c>
      <c r="BQ3309" s="5" t="s">
        <v>238</v>
      </c>
      <c r="BR3309" s="5" t="s">
        <v>238</v>
      </c>
      <c r="BS3309" s="5" t="s">
        <v>238</v>
      </c>
      <c r="BT3309" s="6" t="s">
        <v>238</v>
      </c>
      <c r="BU3309" s="5" t="s">
        <v>238</v>
      </c>
      <c r="BV3309" s="5" t="s">
        <v>238</v>
      </c>
      <c r="BW3309" s="5" t="s">
        <v>238</v>
      </c>
      <c r="BX3309" s="5" t="s">
        <v>254</v>
      </c>
      <c r="BY3309" s="5" t="s">
        <v>238</v>
      </c>
      <c r="BZ3309" s="5" t="s">
        <v>238</v>
      </c>
      <c r="CA3309" s="5" t="s">
        <v>238</v>
      </c>
      <c r="CB3309" s="5" t="s">
        <v>238</v>
      </c>
      <c r="CC3309" s="5" t="s">
        <v>238</v>
      </c>
      <c r="CD3309" s="5" t="s">
        <v>273</v>
      </c>
      <c r="CE3309" s="5" t="s">
        <v>256</v>
      </c>
      <c r="CF3309" s="5" t="s">
        <v>238</v>
      </c>
      <c r="CH3309" s="5" t="s">
        <v>494</v>
      </c>
      <c r="CI3309" s="6" t="s">
        <v>257</v>
      </c>
      <c r="CJ3309" s="5" t="s">
        <v>495</v>
      </c>
      <c r="CK3309" s="5" t="s">
        <v>258</v>
      </c>
      <c r="CL3309" s="5" t="s">
        <v>496</v>
      </c>
      <c r="CM3309" s="5" t="s">
        <v>238</v>
      </c>
      <c r="CN3309" s="5">
        <v>0</v>
      </c>
      <c r="CO3309" s="5" t="s">
        <v>497</v>
      </c>
      <c r="CP3309" s="5" t="s">
        <v>260</v>
      </c>
      <c r="CQ3309" s="5" t="s">
        <v>260</v>
      </c>
      <c r="CR3309" s="5" t="s">
        <v>261</v>
      </c>
      <c r="CS3309" s="5" t="s">
        <v>498</v>
      </c>
      <c r="CT3309" s="7">
        <f>1</f>
        <v>1</v>
      </c>
      <c r="CU3309" s="8">
        <f>1</f>
        <v>1</v>
      </c>
      <c r="CV3309" s="8">
        <f>0</f>
        <v>0</v>
      </c>
      <c r="CX3309" s="8">
        <f>1</f>
        <v>1</v>
      </c>
      <c r="CY3309" s="8">
        <f>1</f>
        <v>1</v>
      </c>
      <c r="CZ3309" s="8" t="s">
        <v>238</v>
      </c>
      <c r="DA3309" s="5" t="s">
        <v>238</v>
      </c>
      <c r="DB3309" s="5" t="s">
        <v>238</v>
      </c>
      <c r="DC3309" s="5" t="s">
        <v>238</v>
      </c>
      <c r="DD3309" s="5" t="s">
        <v>238</v>
      </c>
      <c r="DE3309" s="8">
        <f>0</f>
        <v>0</v>
      </c>
      <c r="DG3309" s="5" t="s">
        <v>238</v>
      </c>
      <c r="DH3309" s="5" t="s">
        <v>238</v>
      </c>
      <c r="DI3309" s="5" t="s">
        <v>238</v>
      </c>
      <c r="DJ3309" s="5" t="s">
        <v>238</v>
      </c>
      <c r="DK3309" s="5" t="s">
        <v>238</v>
      </c>
      <c r="DL3309" s="5" t="s">
        <v>238</v>
      </c>
      <c r="DM3309" s="8" t="s">
        <v>238</v>
      </c>
      <c r="DN3309" s="5" t="s">
        <v>238</v>
      </c>
      <c r="DO3309" s="5" t="s">
        <v>238</v>
      </c>
      <c r="DP3309" s="5" t="s">
        <v>490</v>
      </c>
      <c r="DQ3309" s="5" t="s">
        <v>490</v>
      </c>
      <c r="DR3309" s="5" t="s">
        <v>238</v>
      </c>
      <c r="DS3309" s="5" t="s">
        <v>238</v>
      </c>
      <c r="DT3309" s="5" t="s">
        <v>881</v>
      </c>
      <c r="DU3309" s="5" t="s">
        <v>1222</v>
      </c>
      <c r="DV3309" s="5" t="s">
        <v>238</v>
      </c>
      <c r="DW3309" s="5" t="s">
        <v>238</v>
      </c>
      <c r="DX3309" s="5" t="s">
        <v>238</v>
      </c>
      <c r="DY3309" s="5" t="s">
        <v>238</v>
      </c>
      <c r="DZ3309" s="5" t="s">
        <v>238</v>
      </c>
      <c r="EA3309" s="5" t="s">
        <v>238</v>
      </c>
      <c r="EB3309" s="5" t="s">
        <v>238</v>
      </c>
      <c r="EC3309" s="5" t="s">
        <v>238</v>
      </c>
      <c r="ED3309" s="5" t="s">
        <v>238</v>
      </c>
      <c r="EE3309" s="5" t="s">
        <v>238</v>
      </c>
      <c r="EF3309" s="5" t="s">
        <v>238</v>
      </c>
      <c r="EG3309" s="5" t="s">
        <v>238</v>
      </c>
      <c r="EH3309" s="5" t="s">
        <v>238</v>
      </c>
      <c r="EI3309" s="5" t="s">
        <v>238</v>
      </c>
      <c r="EJ3309" s="5" t="s">
        <v>238</v>
      </c>
      <c r="EK3309" s="5" t="s">
        <v>238</v>
      </c>
      <c r="EL3309" s="5" t="s">
        <v>238</v>
      </c>
      <c r="EM3309" s="5" t="s">
        <v>238</v>
      </c>
      <c r="EN3309" s="5" t="s">
        <v>238</v>
      </c>
      <c r="EO3309" s="5" t="s">
        <v>238</v>
      </c>
      <c r="EP3309" s="5" t="s">
        <v>238</v>
      </c>
      <c r="EQ3309" s="5" t="s">
        <v>238</v>
      </c>
      <c r="ER3309" s="5" t="s">
        <v>238</v>
      </c>
      <c r="ES3309" s="5" t="s">
        <v>238</v>
      </c>
      <c r="ET3309" s="5" t="s">
        <v>238</v>
      </c>
      <c r="EU3309" s="5" t="s">
        <v>238</v>
      </c>
      <c r="EV3309" s="5" t="s">
        <v>238</v>
      </c>
      <c r="EW3309" s="5" t="s">
        <v>238</v>
      </c>
      <c r="EX3309" s="5" t="s">
        <v>238</v>
      </c>
      <c r="EY3309" s="5" t="s">
        <v>238</v>
      </c>
      <c r="EZ3309" s="5" t="s">
        <v>238</v>
      </c>
      <c r="FA3309" s="5" t="s">
        <v>238</v>
      </c>
      <c r="FB3309" s="5" t="s">
        <v>238</v>
      </c>
      <c r="FC3309" s="5" t="s">
        <v>238</v>
      </c>
      <c r="FD3309" s="5" t="s">
        <v>238</v>
      </c>
      <c r="FE3309" s="5" t="s">
        <v>238</v>
      </c>
      <c r="FF3309" s="5" t="s">
        <v>238</v>
      </c>
      <c r="FG3309" s="5" t="s">
        <v>238</v>
      </c>
      <c r="FH3309" s="5" t="s">
        <v>238</v>
      </c>
      <c r="FI3309" s="5" t="s">
        <v>238</v>
      </c>
      <c r="FJ3309" s="5" t="s">
        <v>238</v>
      </c>
      <c r="FK3309" s="5" t="s">
        <v>238</v>
      </c>
      <c r="FL3309" s="5" t="s">
        <v>238</v>
      </c>
      <c r="FM3309" s="5" t="s">
        <v>238</v>
      </c>
      <c r="FN3309" s="5" t="s">
        <v>238</v>
      </c>
      <c r="FO3309" s="5" t="s">
        <v>238</v>
      </c>
      <c r="FP3309" s="5" t="s">
        <v>238</v>
      </c>
      <c r="FQ3309" s="5" t="s">
        <v>238</v>
      </c>
      <c r="FR3309" s="5" t="s">
        <v>238</v>
      </c>
      <c r="FS3309" s="5" t="s">
        <v>238</v>
      </c>
      <c r="FT3309" s="5" t="s">
        <v>238</v>
      </c>
      <c r="FU3309" s="5" t="s">
        <v>238</v>
      </c>
      <c r="FV3309" s="5" t="s">
        <v>238</v>
      </c>
      <c r="FW3309" s="5" t="s">
        <v>238</v>
      </c>
      <c r="FX3309" s="5" t="s">
        <v>238</v>
      </c>
      <c r="FY3309" s="5" t="s">
        <v>238</v>
      </c>
      <c r="FZ3309" s="5" t="s">
        <v>238</v>
      </c>
      <c r="GA3309" s="5" t="s">
        <v>238</v>
      </c>
      <c r="GB3309" s="5" t="s">
        <v>238</v>
      </c>
      <c r="GC3309" s="5" t="s">
        <v>238</v>
      </c>
      <c r="GD3309" s="5" t="s">
        <v>238</v>
      </c>
      <c r="GE3309" s="5" t="s">
        <v>238</v>
      </c>
      <c r="GF3309" s="5" t="s">
        <v>238</v>
      </c>
      <c r="GG3309" s="5" t="s">
        <v>238</v>
      </c>
      <c r="GH3309" s="5" t="s">
        <v>238</v>
      </c>
      <c r="GI3309" s="5" t="s">
        <v>238</v>
      </c>
      <c r="GJ3309" s="5" t="s">
        <v>238</v>
      </c>
      <c r="GK3309" s="5" t="s">
        <v>238</v>
      </c>
      <c r="GL3309" s="5" t="s">
        <v>238</v>
      </c>
      <c r="GM3309" s="5" t="s">
        <v>238</v>
      </c>
      <c r="GN3309" s="5" t="s">
        <v>238</v>
      </c>
      <c r="GO3309" s="5" t="s">
        <v>238</v>
      </c>
      <c r="GP3309" s="5" t="s">
        <v>238</v>
      </c>
      <c r="GQ3309" s="5" t="s">
        <v>238</v>
      </c>
      <c r="GR3309" s="5" t="s">
        <v>238</v>
      </c>
      <c r="GS3309" s="5" t="s">
        <v>238</v>
      </c>
      <c r="GT3309" s="5" t="s">
        <v>238</v>
      </c>
      <c r="GU3309" s="5" t="s">
        <v>238</v>
      </c>
      <c r="GV3309" s="5" t="s">
        <v>238</v>
      </c>
      <c r="GW3309" s="5" t="s">
        <v>238</v>
      </c>
      <c r="GX3309" s="5" t="s">
        <v>238</v>
      </c>
      <c r="GY3309" s="5" t="s">
        <v>238</v>
      </c>
      <c r="GZ3309" s="5" t="s">
        <v>238</v>
      </c>
      <c r="HA3309" s="5" t="s">
        <v>238</v>
      </c>
      <c r="HB3309" s="5" t="s">
        <v>238</v>
      </c>
      <c r="HC3309" s="5" t="s">
        <v>238</v>
      </c>
      <c r="HD3309" s="5" t="s">
        <v>238</v>
      </c>
      <c r="HE3309" s="5" t="s">
        <v>238</v>
      </c>
      <c r="HF3309" s="5" t="s">
        <v>238</v>
      </c>
      <c r="HG3309" s="5" t="s">
        <v>238</v>
      </c>
      <c r="HH3309" s="5" t="s">
        <v>238</v>
      </c>
      <c r="HI3309" s="5" t="s">
        <v>238</v>
      </c>
      <c r="HJ3309" s="5" t="s">
        <v>238</v>
      </c>
      <c r="HK3309" s="5" t="s">
        <v>238</v>
      </c>
      <c r="HL3309" s="5" t="s">
        <v>238</v>
      </c>
      <c r="HM3309" s="5" t="s">
        <v>264</v>
      </c>
      <c r="HN3309" s="5" t="s">
        <v>238</v>
      </c>
      <c r="HO3309" s="5" t="s">
        <v>238</v>
      </c>
      <c r="HP3309" s="5" t="s">
        <v>238</v>
      </c>
      <c r="HQ3309" s="5" t="s">
        <v>238</v>
      </c>
      <c r="HR3309" s="5" t="s">
        <v>238</v>
      </c>
      <c r="HS3309" s="5" t="s">
        <v>238</v>
      </c>
      <c r="HT3309" s="5" t="s">
        <v>238</v>
      </c>
      <c r="HU3309" s="5" t="s">
        <v>238</v>
      </c>
      <c r="HV3309" s="5" t="s">
        <v>238</v>
      </c>
      <c r="HW3309" s="5" t="s">
        <v>238</v>
      </c>
      <c r="HX3309" s="5" t="s">
        <v>238</v>
      </c>
      <c r="HY3309" s="5" t="s">
        <v>238</v>
      </c>
      <c r="HZ3309" s="5" t="s">
        <v>238</v>
      </c>
      <c r="IA3309" s="5" t="s">
        <v>238</v>
      </c>
      <c r="IB3309" s="5" t="s">
        <v>238</v>
      </c>
      <c r="IC3309" s="5" t="s">
        <v>238</v>
      </c>
      <c r="ID3309" s="5" t="s">
        <v>238</v>
      </c>
    </row>
    <row r="3310" spans="1:238" x14ac:dyDescent="0.4">
      <c r="A3310" s="5">
        <v>9028</v>
      </c>
      <c r="B3310" s="5">
        <v>1</v>
      </c>
      <c r="C3310" s="5">
        <v>1</v>
      </c>
      <c r="D3310" s="5" t="s">
        <v>484</v>
      </c>
      <c r="E3310" s="5" t="s">
        <v>878</v>
      </c>
      <c r="F3310" s="5" t="s">
        <v>248</v>
      </c>
      <c r="G3310" s="5" t="s">
        <v>5076</v>
      </c>
      <c r="H3310" s="6" t="s">
        <v>5077</v>
      </c>
      <c r="I3310" s="8">
        <f>1</f>
        <v>1</v>
      </c>
      <c r="J3310" s="5" t="s">
        <v>499</v>
      </c>
      <c r="K3310" s="8">
        <f>1</f>
        <v>1</v>
      </c>
      <c r="L3310" s="6" t="s">
        <v>242</v>
      </c>
      <c r="M3310" s="5" t="s">
        <v>267</v>
      </c>
      <c r="N3310" s="5" t="s">
        <v>482</v>
      </c>
      <c r="O3310" s="5" t="s">
        <v>238</v>
      </c>
      <c r="P3310" s="5" t="s">
        <v>238</v>
      </c>
      <c r="Q3310" s="5" t="s">
        <v>239</v>
      </c>
      <c r="R3310" s="5" t="s">
        <v>270</v>
      </c>
      <c r="S3310" s="5" t="s">
        <v>238</v>
      </c>
      <c r="T3310" s="5" t="s">
        <v>238</v>
      </c>
      <c r="U3310" s="5" t="s">
        <v>238</v>
      </c>
      <c r="V3310" s="5" t="s">
        <v>238</v>
      </c>
      <c r="W3310" s="6" t="s">
        <v>238</v>
      </c>
      <c r="X3310" s="6" t="s">
        <v>238</v>
      </c>
      <c r="Y3310" s="5" t="s">
        <v>238</v>
      </c>
      <c r="Z3310" s="6" t="s">
        <v>238</v>
      </c>
      <c r="AA3310" s="6" t="s">
        <v>243</v>
      </c>
      <c r="AB3310" s="5" t="s">
        <v>879</v>
      </c>
      <c r="AC3310" s="5" t="s">
        <v>244</v>
      </c>
      <c r="AD3310" s="5" t="s">
        <v>245</v>
      </c>
      <c r="AE3310" s="5" t="s">
        <v>238</v>
      </c>
      <c r="AF3310" s="5" t="s">
        <v>238</v>
      </c>
      <c r="AG3310" s="5" t="s">
        <v>238</v>
      </c>
      <c r="AH3310" s="5" t="s">
        <v>238</v>
      </c>
      <c r="AI3310" s="5" t="s">
        <v>238</v>
      </c>
      <c r="AJ3310" s="5" t="s">
        <v>238</v>
      </c>
      <c r="AK3310" s="5" t="s">
        <v>238</v>
      </c>
      <c r="AL3310" s="5" t="s">
        <v>238</v>
      </c>
      <c r="AM3310" s="6" t="s">
        <v>238</v>
      </c>
      <c r="AN3310" s="6" t="s">
        <v>238</v>
      </c>
      <c r="AO3310" s="6" t="s">
        <v>238</v>
      </c>
      <c r="AP3310" s="6" t="s">
        <v>238</v>
      </c>
      <c r="AQ3310" s="5" t="s">
        <v>238</v>
      </c>
      <c r="AR3310" s="5" t="s">
        <v>488</v>
      </c>
      <c r="AS3310" s="5" t="s">
        <v>488</v>
      </c>
      <c r="AT3310" s="5" t="s">
        <v>246</v>
      </c>
      <c r="AU3310" s="5" t="s">
        <v>489</v>
      </c>
      <c r="AV3310" s="5" t="s">
        <v>247</v>
      </c>
      <c r="AW3310" s="5" t="s">
        <v>238</v>
      </c>
      <c r="AX3310" s="5" t="s">
        <v>249</v>
      </c>
      <c r="AY3310" s="5" t="s">
        <v>490</v>
      </c>
      <c r="BA3310" s="5" t="s">
        <v>238</v>
      </c>
      <c r="BC3310" s="5" t="s">
        <v>491</v>
      </c>
      <c r="BD3310" s="6" t="s">
        <v>492</v>
      </c>
      <c r="BE3310" s="5" t="s">
        <v>493</v>
      </c>
      <c r="BF3310" s="5" t="s">
        <v>493</v>
      </c>
      <c r="BG3310" s="5" t="s">
        <v>238</v>
      </c>
      <c r="BH3310" s="8">
        <f>1</f>
        <v>1</v>
      </c>
      <c r="BI3310" s="8">
        <f>1</f>
        <v>1</v>
      </c>
      <c r="BJ3310" s="5" t="s">
        <v>253</v>
      </c>
      <c r="BK3310" s="5" t="s">
        <v>254</v>
      </c>
      <c r="BL3310" s="5" t="s">
        <v>238</v>
      </c>
      <c r="BM3310" s="5" t="s">
        <v>238</v>
      </c>
      <c r="BN3310" s="5" t="s">
        <v>238</v>
      </c>
      <c r="BO3310" s="5" t="s">
        <v>238</v>
      </c>
      <c r="BP3310" s="5" t="s">
        <v>238</v>
      </c>
      <c r="BQ3310" s="5" t="s">
        <v>238</v>
      </c>
      <c r="BR3310" s="5" t="s">
        <v>238</v>
      </c>
      <c r="BS3310" s="5" t="s">
        <v>238</v>
      </c>
      <c r="BT3310" s="6" t="s">
        <v>238</v>
      </c>
      <c r="BU3310" s="5" t="s">
        <v>238</v>
      </c>
      <c r="BV3310" s="5" t="s">
        <v>238</v>
      </c>
      <c r="BW3310" s="5" t="s">
        <v>238</v>
      </c>
      <c r="BX3310" s="5" t="s">
        <v>254</v>
      </c>
      <c r="BY3310" s="5" t="s">
        <v>238</v>
      </c>
      <c r="BZ3310" s="5" t="s">
        <v>238</v>
      </c>
      <c r="CA3310" s="5" t="s">
        <v>238</v>
      </c>
      <c r="CB3310" s="5" t="s">
        <v>238</v>
      </c>
      <c r="CC3310" s="5" t="s">
        <v>238</v>
      </c>
      <c r="CD3310" s="5" t="s">
        <v>273</v>
      </c>
      <c r="CE3310" s="5" t="s">
        <v>256</v>
      </c>
      <c r="CF3310" s="5" t="s">
        <v>238</v>
      </c>
      <c r="CH3310" s="5" t="s">
        <v>494</v>
      </c>
      <c r="CI3310" s="6" t="s">
        <v>257</v>
      </c>
      <c r="CJ3310" s="5" t="s">
        <v>495</v>
      </c>
      <c r="CK3310" s="5" t="s">
        <v>258</v>
      </c>
      <c r="CL3310" s="5" t="s">
        <v>496</v>
      </c>
      <c r="CM3310" s="5" t="s">
        <v>238</v>
      </c>
      <c r="CN3310" s="5">
        <v>0</v>
      </c>
      <c r="CO3310" s="5" t="s">
        <v>497</v>
      </c>
      <c r="CP3310" s="5" t="s">
        <v>260</v>
      </c>
      <c r="CQ3310" s="5" t="s">
        <v>260</v>
      </c>
      <c r="CR3310" s="5" t="s">
        <v>261</v>
      </c>
      <c r="CS3310" s="5" t="s">
        <v>498</v>
      </c>
      <c r="CT3310" s="7">
        <f>1</f>
        <v>1</v>
      </c>
      <c r="CU3310" s="8">
        <f>1</f>
        <v>1</v>
      </c>
      <c r="CV3310" s="8">
        <f>0</f>
        <v>0</v>
      </c>
      <c r="CX3310" s="8">
        <f>1</f>
        <v>1</v>
      </c>
      <c r="CY3310" s="8">
        <f>1</f>
        <v>1</v>
      </c>
      <c r="CZ3310" s="8" t="s">
        <v>238</v>
      </c>
      <c r="DA3310" s="5" t="s">
        <v>238</v>
      </c>
      <c r="DB3310" s="5" t="s">
        <v>238</v>
      </c>
      <c r="DC3310" s="5" t="s">
        <v>238</v>
      </c>
      <c r="DD3310" s="5" t="s">
        <v>238</v>
      </c>
      <c r="DE3310" s="8">
        <f>0</f>
        <v>0</v>
      </c>
      <c r="DG3310" s="5" t="s">
        <v>238</v>
      </c>
      <c r="DH3310" s="5" t="s">
        <v>238</v>
      </c>
      <c r="DI3310" s="5" t="s">
        <v>238</v>
      </c>
      <c r="DJ3310" s="5" t="s">
        <v>238</v>
      </c>
      <c r="DK3310" s="5" t="s">
        <v>238</v>
      </c>
      <c r="DL3310" s="5" t="s">
        <v>238</v>
      </c>
      <c r="DM3310" s="8" t="s">
        <v>238</v>
      </c>
      <c r="DN3310" s="5" t="s">
        <v>238</v>
      </c>
      <c r="DO3310" s="5" t="s">
        <v>238</v>
      </c>
      <c r="DP3310" s="5" t="s">
        <v>490</v>
      </c>
      <c r="DQ3310" s="5" t="s">
        <v>490</v>
      </c>
      <c r="DR3310" s="5" t="s">
        <v>238</v>
      </c>
      <c r="DS3310" s="5" t="s">
        <v>238</v>
      </c>
      <c r="DT3310" s="5" t="s">
        <v>881</v>
      </c>
      <c r="DU3310" s="5" t="s">
        <v>1148</v>
      </c>
      <c r="DV3310" s="5" t="s">
        <v>238</v>
      </c>
      <c r="DW3310" s="5" t="s">
        <v>238</v>
      </c>
      <c r="DX3310" s="5" t="s">
        <v>238</v>
      </c>
      <c r="DY3310" s="5" t="s">
        <v>238</v>
      </c>
      <c r="DZ3310" s="5" t="s">
        <v>238</v>
      </c>
      <c r="EA3310" s="5" t="s">
        <v>238</v>
      </c>
      <c r="EB3310" s="5" t="s">
        <v>238</v>
      </c>
      <c r="EC3310" s="5" t="s">
        <v>238</v>
      </c>
      <c r="ED3310" s="5" t="s">
        <v>238</v>
      </c>
      <c r="EE3310" s="5" t="s">
        <v>238</v>
      </c>
      <c r="EF3310" s="5" t="s">
        <v>238</v>
      </c>
      <c r="EG3310" s="5" t="s">
        <v>238</v>
      </c>
      <c r="EH3310" s="5" t="s">
        <v>238</v>
      </c>
      <c r="EI3310" s="5" t="s">
        <v>238</v>
      </c>
      <c r="EJ3310" s="5" t="s">
        <v>238</v>
      </c>
      <c r="EK3310" s="5" t="s">
        <v>238</v>
      </c>
      <c r="EL3310" s="5" t="s">
        <v>238</v>
      </c>
      <c r="EM3310" s="5" t="s">
        <v>238</v>
      </c>
      <c r="EN3310" s="5" t="s">
        <v>238</v>
      </c>
      <c r="EO3310" s="5" t="s">
        <v>238</v>
      </c>
      <c r="EP3310" s="5" t="s">
        <v>238</v>
      </c>
      <c r="EQ3310" s="5" t="s">
        <v>238</v>
      </c>
      <c r="ER3310" s="5" t="s">
        <v>238</v>
      </c>
      <c r="ES3310" s="5" t="s">
        <v>238</v>
      </c>
      <c r="ET3310" s="5" t="s">
        <v>238</v>
      </c>
      <c r="EU3310" s="5" t="s">
        <v>238</v>
      </c>
      <c r="EV3310" s="5" t="s">
        <v>238</v>
      </c>
      <c r="EW3310" s="5" t="s">
        <v>238</v>
      </c>
      <c r="EX3310" s="5" t="s">
        <v>238</v>
      </c>
      <c r="EY3310" s="5" t="s">
        <v>238</v>
      </c>
      <c r="EZ3310" s="5" t="s">
        <v>238</v>
      </c>
      <c r="FA3310" s="5" t="s">
        <v>238</v>
      </c>
      <c r="FB3310" s="5" t="s">
        <v>238</v>
      </c>
      <c r="FC3310" s="5" t="s">
        <v>238</v>
      </c>
      <c r="FD3310" s="5" t="s">
        <v>238</v>
      </c>
      <c r="FE3310" s="5" t="s">
        <v>238</v>
      </c>
      <c r="FF3310" s="5" t="s">
        <v>238</v>
      </c>
      <c r="FG3310" s="5" t="s">
        <v>238</v>
      </c>
      <c r="FH3310" s="5" t="s">
        <v>238</v>
      </c>
      <c r="FI3310" s="5" t="s">
        <v>238</v>
      </c>
      <c r="FJ3310" s="5" t="s">
        <v>238</v>
      </c>
      <c r="FK3310" s="5" t="s">
        <v>238</v>
      </c>
      <c r="FL3310" s="5" t="s">
        <v>238</v>
      </c>
      <c r="FM3310" s="5" t="s">
        <v>238</v>
      </c>
      <c r="FN3310" s="5" t="s">
        <v>238</v>
      </c>
      <c r="FO3310" s="5" t="s">
        <v>238</v>
      </c>
      <c r="FP3310" s="5" t="s">
        <v>238</v>
      </c>
      <c r="FQ3310" s="5" t="s">
        <v>238</v>
      </c>
      <c r="FR3310" s="5" t="s">
        <v>238</v>
      </c>
      <c r="FS3310" s="5" t="s">
        <v>238</v>
      </c>
      <c r="FT3310" s="5" t="s">
        <v>238</v>
      </c>
      <c r="FU3310" s="5" t="s">
        <v>238</v>
      </c>
      <c r="FV3310" s="5" t="s">
        <v>238</v>
      </c>
      <c r="FW3310" s="5" t="s">
        <v>238</v>
      </c>
      <c r="FX3310" s="5" t="s">
        <v>238</v>
      </c>
      <c r="FY3310" s="5" t="s">
        <v>238</v>
      </c>
      <c r="FZ3310" s="5" t="s">
        <v>238</v>
      </c>
      <c r="GA3310" s="5" t="s">
        <v>238</v>
      </c>
      <c r="GB3310" s="5" t="s">
        <v>238</v>
      </c>
      <c r="GC3310" s="5" t="s">
        <v>238</v>
      </c>
      <c r="GD3310" s="5" t="s">
        <v>238</v>
      </c>
      <c r="GE3310" s="5" t="s">
        <v>238</v>
      </c>
      <c r="GF3310" s="5" t="s">
        <v>238</v>
      </c>
      <c r="GG3310" s="5" t="s">
        <v>238</v>
      </c>
      <c r="GH3310" s="5" t="s">
        <v>238</v>
      </c>
      <c r="GI3310" s="5" t="s">
        <v>238</v>
      </c>
      <c r="GJ3310" s="5" t="s">
        <v>238</v>
      </c>
      <c r="GK3310" s="5" t="s">
        <v>238</v>
      </c>
      <c r="GL3310" s="5" t="s">
        <v>238</v>
      </c>
      <c r="GM3310" s="5" t="s">
        <v>238</v>
      </c>
      <c r="GN3310" s="5" t="s">
        <v>238</v>
      </c>
      <c r="GO3310" s="5" t="s">
        <v>238</v>
      </c>
      <c r="GP3310" s="5" t="s">
        <v>238</v>
      </c>
      <c r="GQ3310" s="5" t="s">
        <v>238</v>
      </c>
      <c r="GR3310" s="5" t="s">
        <v>238</v>
      </c>
      <c r="GS3310" s="5" t="s">
        <v>238</v>
      </c>
      <c r="GT3310" s="5" t="s">
        <v>238</v>
      </c>
      <c r="GU3310" s="5" t="s">
        <v>238</v>
      </c>
      <c r="GV3310" s="5" t="s">
        <v>238</v>
      </c>
      <c r="GW3310" s="5" t="s">
        <v>238</v>
      </c>
      <c r="GX3310" s="5" t="s">
        <v>238</v>
      </c>
      <c r="GY3310" s="5" t="s">
        <v>238</v>
      </c>
      <c r="GZ3310" s="5" t="s">
        <v>238</v>
      </c>
      <c r="HA3310" s="5" t="s">
        <v>238</v>
      </c>
      <c r="HB3310" s="5" t="s">
        <v>238</v>
      </c>
      <c r="HC3310" s="5" t="s">
        <v>238</v>
      </c>
      <c r="HD3310" s="5" t="s">
        <v>238</v>
      </c>
      <c r="HE3310" s="5" t="s">
        <v>238</v>
      </c>
      <c r="HF3310" s="5" t="s">
        <v>238</v>
      </c>
      <c r="HG3310" s="5" t="s">
        <v>238</v>
      </c>
      <c r="HH3310" s="5" t="s">
        <v>238</v>
      </c>
      <c r="HI3310" s="5" t="s">
        <v>238</v>
      </c>
      <c r="HJ3310" s="5" t="s">
        <v>238</v>
      </c>
      <c r="HK3310" s="5" t="s">
        <v>238</v>
      </c>
      <c r="HL3310" s="5" t="s">
        <v>238</v>
      </c>
      <c r="HM3310" s="5" t="s">
        <v>264</v>
      </c>
      <c r="HN3310" s="5" t="s">
        <v>238</v>
      </c>
      <c r="HO3310" s="5" t="s">
        <v>238</v>
      </c>
      <c r="HP3310" s="5" t="s">
        <v>238</v>
      </c>
      <c r="HQ3310" s="5" t="s">
        <v>238</v>
      </c>
      <c r="HR3310" s="5" t="s">
        <v>238</v>
      </c>
      <c r="HS3310" s="5" t="s">
        <v>238</v>
      </c>
      <c r="HT3310" s="5" t="s">
        <v>238</v>
      </c>
      <c r="HU3310" s="5" t="s">
        <v>238</v>
      </c>
      <c r="HV3310" s="5" t="s">
        <v>238</v>
      </c>
      <c r="HW3310" s="5" t="s">
        <v>238</v>
      </c>
      <c r="HX3310" s="5" t="s">
        <v>238</v>
      </c>
      <c r="HY3310" s="5" t="s">
        <v>238</v>
      </c>
      <c r="HZ3310" s="5" t="s">
        <v>238</v>
      </c>
      <c r="IA3310" s="5" t="s">
        <v>238</v>
      </c>
      <c r="IB3310" s="5" t="s">
        <v>238</v>
      </c>
      <c r="IC3310" s="5" t="s">
        <v>238</v>
      </c>
      <c r="ID3310" s="5" t="s">
        <v>238</v>
      </c>
    </row>
    <row r="3311" spans="1:238" x14ac:dyDescent="0.4">
      <c r="A3311" s="5">
        <v>9029</v>
      </c>
      <c r="B3311" s="5">
        <v>1</v>
      </c>
      <c r="C3311" s="5">
        <v>1</v>
      </c>
      <c r="D3311" s="5" t="s">
        <v>484</v>
      </c>
      <c r="E3311" s="5" t="s">
        <v>878</v>
      </c>
      <c r="F3311" s="5" t="s">
        <v>248</v>
      </c>
      <c r="G3311" s="5" t="s">
        <v>6391</v>
      </c>
      <c r="H3311" s="6" t="s">
        <v>6392</v>
      </c>
      <c r="I3311" s="8">
        <f>1</f>
        <v>1</v>
      </c>
      <c r="J3311" s="5" t="s">
        <v>499</v>
      </c>
      <c r="K3311" s="8">
        <f>1</f>
        <v>1</v>
      </c>
      <c r="L3311" s="6" t="s">
        <v>242</v>
      </c>
      <c r="M3311" s="5" t="s">
        <v>267</v>
      </c>
      <c r="N3311" s="5" t="s">
        <v>482</v>
      </c>
      <c r="O3311" s="5" t="s">
        <v>238</v>
      </c>
      <c r="P3311" s="5" t="s">
        <v>238</v>
      </c>
      <c r="Q3311" s="5" t="s">
        <v>239</v>
      </c>
      <c r="R3311" s="5" t="s">
        <v>270</v>
      </c>
      <c r="S3311" s="5" t="s">
        <v>238</v>
      </c>
      <c r="T3311" s="5" t="s">
        <v>238</v>
      </c>
      <c r="U3311" s="5" t="s">
        <v>238</v>
      </c>
      <c r="V3311" s="5" t="s">
        <v>238</v>
      </c>
      <c r="W3311" s="6" t="s">
        <v>238</v>
      </c>
      <c r="X3311" s="6" t="s">
        <v>238</v>
      </c>
      <c r="Y3311" s="5" t="s">
        <v>238</v>
      </c>
      <c r="Z3311" s="6" t="s">
        <v>238</v>
      </c>
      <c r="AA3311" s="6" t="s">
        <v>243</v>
      </c>
      <c r="AB3311" s="5" t="s">
        <v>879</v>
      </c>
      <c r="AC3311" s="5" t="s">
        <v>244</v>
      </c>
      <c r="AD3311" s="5" t="s">
        <v>245</v>
      </c>
      <c r="AE3311" s="5" t="s">
        <v>238</v>
      </c>
      <c r="AF3311" s="5" t="s">
        <v>238</v>
      </c>
      <c r="AG3311" s="5" t="s">
        <v>238</v>
      </c>
      <c r="AH3311" s="5" t="s">
        <v>238</v>
      </c>
      <c r="AI3311" s="5" t="s">
        <v>238</v>
      </c>
      <c r="AJ3311" s="5" t="s">
        <v>238</v>
      </c>
      <c r="AK3311" s="5" t="s">
        <v>238</v>
      </c>
      <c r="AL3311" s="5" t="s">
        <v>238</v>
      </c>
      <c r="AM3311" s="6" t="s">
        <v>238</v>
      </c>
      <c r="AN3311" s="6" t="s">
        <v>238</v>
      </c>
      <c r="AO3311" s="6" t="s">
        <v>238</v>
      </c>
      <c r="AP3311" s="6" t="s">
        <v>238</v>
      </c>
      <c r="AQ3311" s="5" t="s">
        <v>238</v>
      </c>
      <c r="AR3311" s="5" t="s">
        <v>488</v>
      </c>
      <c r="AS3311" s="5" t="s">
        <v>488</v>
      </c>
      <c r="AT3311" s="5" t="s">
        <v>246</v>
      </c>
      <c r="AU3311" s="5" t="s">
        <v>489</v>
      </c>
      <c r="AV3311" s="5" t="s">
        <v>247</v>
      </c>
      <c r="AW3311" s="5" t="s">
        <v>238</v>
      </c>
      <c r="AX3311" s="5" t="s">
        <v>249</v>
      </c>
      <c r="AY3311" s="5" t="s">
        <v>490</v>
      </c>
      <c r="BA3311" s="5" t="s">
        <v>238</v>
      </c>
      <c r="BC3311" s="5" t="s">
        <v>491</v>
      </c>
      <c r="BD3311" s="6" t="s">
        <v>492</v>
      </c>
      <c r="BE3311" s="5" t="s">
        <v>493</v>
      </c>
      <c r="BF3311" s="5" t="s">
        <v>493</v>
      </c>
      <c r="BG3311" s="5" t="s">
        <v>238</v>
      </c>
      <c r="BH3311" s="8">
        <f>1</f>
        <v>1</v>
      </c>
      <c r="BI3311" s="8">
        <f>1</f>
        <v>1</v>
      </c>
      <c r="BJ3311" s="5" t="s">
        <v>253</v>
      </c>
      <c r="BK3311" s="5" t="s">
        <v>254</v>
      </c>
      <c r="BL3311" s="5" t="s">
        <v>238</v>
      </c>
      <c r="BM3311" s="5" t="s">
        <v>238</v>
      </c>
      <c r="BN3311" s="5" t="s">
        <v>238</v>
      </c>
      <c r="BO3311" s="5" t="s">
        <v>238</v>
      </c>
      <c r="BP3311" s="5" t="s">
        <v>238</v>
      </c>
      <c r="BQ3311" s="5" t="s">
        <v>238</v>
      </c>
      <c r="BR3311" s="5" t="s">
        <v>238</v>
      </c>
      <c r="BS3311" s="5" t="s">
        <v>238</v>
      </c>
      <c r="BT3311" s="6" t="s">
        <v>238</v>
      </c>
      <c r="BU3311" s="5" t="s">
        <v>238</v>
      </c>
      <c r="BV3311" s="5" t="s">
        <v>238</v>
      </c>
      <c r="BW3311" s="5" t="s">
        <v>238</v>
      </c>
      <c r="BX3311" s="5" t="s">
        <v>254</v>
      </c>
      <c r="BY3311" s="5" t="s">
        <v>238</v>
      </c>
      <c r="BZ3311" s="5" t="s">
        <v>238</v>
      </c>
      <c r="CA3311" s="5" t="s">
        <v>238</v>
      </c>
      <c r="CB3311" s="5" t="s">
        <v>238</v>
      </c>
      <c r="CC3311" s="5" t="s">
        <v>238</v>
      </c>
      <c r="CD3311" s="5" t="s">
        <v>273</v>
      </c>
      <c r="CE3311" s="5" t="s">
        <v>256</v>
      </c>
      <c r="CF3311" s="5" t="s">
        <v>238</v>
      </c>
      <c r="CH3311" s="5" t="s">
        <v>494</v>
      </c>
      <c r="CI3311" s="6" t="s">
        <v>257</v>
      </c>
      <c r="CJ3311" s="5" t="s">
        <v>495</v>
      </c>
      <c r="CK3311" s="5" t="s">
        <v>258</v>
      </c>
      <c r="CL3311" s="5" t="s">
        <v>496</v>
      </c>
      <c r="CM3311" s="5" t="s">
        <v>238</v>
      </c>
      <c r="CN3311" s="5">
        <v>0</v>
      </c>
      <c r="CO3311" s="5" t="s">
        <v>497</v>
      </c>
      <c r="CP3311" s="5" t="s">
        <v>260</v>
      </c>
      <c r="CQ3311" s="5" t="s">
        <v>260</v>
      </c>
      <c r="CR3311" s="5" t="s">
        <v>261</v>
      </c>
      <c r="CS3311" s="5" t="s">
        <v>498</v>
      </c>
      <c r="CT3311" s="7">
        <f>1</f>
        <v>1</v>
      </c>
      <c r="CU3311" s="8">
        <f>1</f>
        <v>1</v>
      </c>
      <c r="CV3311" s="8">
        <f>0</f>
        <v>0</v>
      </c>
      <c r="CX3311" s="8">
        <f>1</f>
        <v>1</v>
      </c>
      <c r="CY3311" s="8">
        <f>1</f>
        <v>1</v>
      </c>
      <c r="CZ3311" s="8" t="s">
        <v>238</v>
      </c>
      <c r="DA3311" s="5" t="s">
        <v>238</v>
      </c>
      <c r="DB3311" s="5" t="s">
        <v>238</v>
      </c>
      <c r="DC3311" s="5" t="s">
        <v>238</v>
      </c>
      <c r="DD3311" s="5" t="s">
        <v>238</v>
      </c>
      <c r="DE3311" s="8">
        <f>0</f>
        <v>0</v>
      </c>
      <c r="DG3311" s="5" t="s">
        <v>238</v>
      </c>
      <c r="DH3311" s="5" t="s">
        <v>238</v>
      </c>
      <c r="DI3311" s="5" t="s">
        <v>238</v>
      </c>
      <c r="DJ3311" s="5" t="s">
        <v>238</v>
      </c>
      <c r="DK3311" s="5" t="s">
        <v>238</v>
      </c>
      <c r="DL3311" s="5" t="s">
        <v>238</v>
      </c>
      <c r="DM3311" s="8" t="s">
        <v>238</v>
      </c>
      <c r="DN3311" s="5" t="s">
        <v>238</v>
      </c>
      <c r="DO3311" s="5" t="s">
        <v>238</v>
      </c>
      <c r="DP3311" s="5" t="s">
        <v>490</v>
      </c>
      <c r="DQ3311" s="5" t="s">
        <v>490</v>
      </c>
      <c r="DR3311" s="5" t="s">
        <v>238</v>
      </c>
      <c r="DS3311" s="5" t="s">
        <v>238</v>
      </c>
      <c r="DT3311" s="5" t="s">
        <v>881</v>
      </c>
      <c r="DU3311" s="5" t="s">
        <v>1202</v>
      </c>
      <c r="DV3311" s="5" t="s">
        <v>238</v>
      </c>
      <c r="DW3311" s="5" t="s">
        <v>238</v>
      </c>
      <c r="DX3311" s="5" t="s">
        <v>238</v>
      </c>
      <c r="DY3311" s="5" t="s">
        <v>238</v>
      </c>
      <c r="DZ3311" s="5" t="s">
        <v>238</v>
      </c>
      <c r="EA3311" s="5" t="s">
        <v>238</v>
      </c>
      <c r="EB3311" s="5" t="s">
        <v>238</v>
      </c>
      <c r="EC3311" s="5" t="s">
        <v>238</v>
      </c>
      <c r="ED3311" s="5" t="s">
        <v>238</v>
      </c>
      <c r="EE3311" s="5" t="s">
        <v>238</v>
      </c>
      <c r="EF3311" s="5" t="s">
        <v>238</v>
      </c>
      <c r="EG3311" s="5" t="s">
        <v>238</v>
      </c>
      <c r="EH3311" s="5" t="s">
        <v>238</v>
      </c>
      <c r="EI3311" s="5" t="s">
        <v>238</v>
      </c>
      <c r="EJ3311" s="5" t="s">
        <v>238</v>
      </c>
      <c r="EK3311" s="5" t="s">
        <v>238</v>
      </c>
      <c r="EL3311" s="5" t="s">
        <v>238</v>
      </c>
      <c r="EM3311" s="5" t="s">
        <v>238</v>
      </c>
      <c r="EN3311" s="5" t="s">
        <v>238</v>
      </c>
      <c r="EO3311" s="5" t="s">
        <v>238</v>
      </c>
      <c r="EP3311" s="5" t="s">
        <v>238</v>
      </c>
      <c r="EQ3311" s="5" t="s">
        <v>238</v>
      </c>
      <c r="ER3311" s="5" t="s">
        <v>238</v>
      </c>
      <c r="ES3311" s="5" t="s">
        <v>238</v>
      </c>
      <c r="ET3311" s="5" t="s">
        <v>238</v>
      </c>
      <c r="EU3311" s="5" t="s">
        <v>238</v>
      </c>
      <c r="EV3311" s="5" t="s">
        <v>238</v>
      </c>
      <c r="EW3311" s="5" t="s">
        <v>238</v>
      </c>
      <c r="EX3311" s="5" t="s">
        <v>238</v>
      </c>
      <c r="EY3311" s="5" t="s">
        <v>238</v>
      </c>
      <c r="EZ3311" s="5" t="s">
        <v>238</v>
      </c>
      <c r="FA3311" s="5" t="s">
        <v>238</v>
      </c>
      <c r="FB3311" s="5" t="s">
        <v>238</v>
      </c>
      <c r="FC3311" s="5" t="s">
        <v>238</v>
      </c>
      <c r="FD3311" s="5" t="s">
        <v>238</v>
      </c>
      <c r="FE3311" s="5" t="s">
        <v>238</v>
      </c>
      <c r="FF3311" s="5" t="s">
        <v>238</v>
      </c>
      <c r="FG3311" s="5" t="s">
        <v>238</v>
      </c>
      <c r="FH3311" s="5" t="s">
        <v>238</v>
      </c>
      <c r="FI3311" s="5" t="s">
        <v>238</v>
      </c>
      <c r="FJ3311" s="5" t="s">
        <v>238</v>
      </c>
      <c r="FK3311" s="5" t="s">
        <v>238</v>
      </c>
      <c r="FL3311" s="5" t="s">
        <v>238</v>
      </c>
      <c r="FM3311" s="5" t="s">
        <v>238</v>
      </c>
      <c r="FN3311" s="5" t="s">
        <v>238</v>
      </c>
      <c r="FO3311" s="5" t="s">
        <v>238</v>
      </c>
      <c r="FP3311" s="5" t="s">
        <v>238</v>
      </c>
      <c r="FQ3311" s="5" t="s">
        <v>238</v>
      </c>
      <c r="FR3311" s="5" t="s">
        <v>238</v>
      </c>
      <c r="FS3311" s="5" t="s">
        <v>238</v>
      </c>
      <c r="FT3311" s="5" t="s">
        <v>238</v>
      </c>
      <c r="FU3311" s="5" t="s">
        <v>238</v>
      </c>
      <c r="FV3311" s="5" t="s">
        <v>238</v>
      </c>
      <c r="FW3311" s="5" t="s">
        <v>238</v>
      </c>
      <c r="FX3311" s="5" t="s">
        <v>238</v>
      </c>
      <c r="FY3311" s="5" t="s">
        <v>238</v>
      </c>
      <c r="FZ3311" s="5" t="s">
        <v>238</v>
      </c>
      <c r="GA3311" s="5" t="s">
        <v>238</v>
      </c>
      <c r="GB3311" s="5" t="s">
        <v>238</v>
      </c>
      <c r="GC3311" s="5" t="s">
        <v>238</v>
      </c>
      <c r="GD3311" s="5" t="s">
        <v>238</v>
      </c>
      <c r="GE3311" s="5" t="s">
        <v>238</v>
      </c>
      <c r="GF3311" s="5" t="s">
        <v>238</v>
      </c>
      <c r="GG3311" s="5" t="s">
        <v>238</v>
      </c>
      <c r="GH3311" s="5" t="s">
        <v>238</v>
      </c>
      <c r="GI3311" s="5" t="s">
        <v>238</v>
      </c>
      <c r="GJ3311" s="5" t="s">
        <v>238</v>
      </c>
      <c r="GK3311" s="5" t="s">
        <v>238</v>
      </c>
      <c r="GL3311" s="5" t="s">
        <v>238</v>
      </c>
      <c r="GM3311" s="5" t="s">
        <v>238</v>
      </c>
      <c r="GN3311" s="5" t="s">
        <v>238</v>
      </c>
      <c r="GO3311" s="5" t="s">
        <v>238</v>
      </c>
      <c r="GP3311" s="5" t="s">
        <v>238</v>
      </c>
      <c r="GQ3311" s="5" t="s">
        <v>238</v>
      </c>
      <c r="GR3311" s="5" t="s">
        <v>238</v>
      </c>
      <c r="GS3311" s="5" t="s">
        <v>238</v>
      </c>
      <c r="GT3311" s="5" t="s">
        <v>238</v>
      </c>
      <c r="GU3311" s="5" t="s">
        <v>238</v>
      </c>
      <c r="GV3311" s="5" t="s">
        <v>238</v>
      </c>
      <c r="GW3311" s="5" t="s">
        <v>238</v>
      </c>
      <c r="GX3311" s="5" t="s">
        <v>238</v>
      </c>
      <c r="GY3311" s="5" t="s">
        <v>238</v>
      </c>
      <c r="GZ3311" s="5" t="s">
        <v>238</v>
      </c>
      <c r="HA3311" s="5" t="s">
        <v>238</v>
      </c>
      <c r="HB3311" s="5" t="s">
        <v>238</v>
      </c>
      <c r="HC3311" s="5" t="s">
        <v>238</v>
      </c>
      <c r="HD3311" s="5" t="s">
        <v>238</v>
      </c>
      <c r="HE3311" s="5" t="s">
        <v>238</v>
      </c>
      <c r="HF3311" s="5" t="s">
        <v>238</v>
      </c>
      <c r="HG3311" s="5" t="s">
        <v>238</v>
      </c>
      <c r="HH3311" s="5" t="s">
        <v>238</v>
      </c>
      <c r="HI3311" s="5" t="s">
        <v>238</v>
      </c>
      <c r="HJ3311" s="5" t="s">
        <v>238</v>
      </c>
      <c r="HK3311" s="5" t="s">
        <v>238</v>
      </c>
      <c r="HL3311" s="5" t="s">
        <v>238</v>
      </c>
      <c r="HM3311" s="5" t="s">
        <v>264</v>
      </c>
      <c r="HN3311" s="5" t="s">
        <v>238</v>
      </c>
      <c r="HO3311" s="5" t="s">
        <v>238</v>
      </c>
      <c r="HP3311" s="5" t="s">
        <v>238</v>
      </c>
      <c r="HQ3311" s="5" t="s">
        <v>238</v>
      </c>
      <c r="HR3311" s="5" t="s">
        <v>238</v>
      </c>
      <c r="HS3311" s="5" t="s">
        <v>238</v>
      </c>
      <c r="HT3311" s="5" t="s">
        <v>238</v>
      </c>
      <c r="HU3311" s="5" t="s">
        <v>238</v>
      </c>
      <c r="HV3311" s="5" t="s">
        <v>238</v>
      </c>
      <c r="HW3311" s="5" t="s">
        <v>238</v>
      </c>
      <c r="HX3311" s="5" t="s">
        <v>238</v>
      </c>
      <c r="HY3311" s="5" t="s">
        <v>238</v>
      </c>
      <c r="HZ3311" s="5" t="s">
        <v>238</v>
      </c>
      <c r="IA3311" s="5" t="s">
        <v>238</v>
      </c>
      <c r="IB3311" s="5" t="s">
        <v>238</v>
      </c>
      <c r="IC3311" s="5" t="s">
        <v>238</v>
      </c>
      <c r="ID3311" s="5" t="s">
        <v>238</v>
      </c>
    </row>
    <row r="3312" spans="1:238" x14ac:dyDescent="0.4">
      <c r="A3312" s="5">
        <v>9030</v>
      </c>
      <c r="B3312" s="5">
        <v>1</v>
      </c>
      <c r="C3312" s="5">
        <v>1</v>
      </c>
      <c r="D3312" s="5" t="s">
        <v>484</v>
      </c>
      <c r="E3312" s="5" t="s">
        <v>878</v>
      </c>
      <c r="F3312" s="5" t="s">
        <v>248</v>
      </c>
      <c r="G3312" s="5" t="s">
        <v>6368</v>
      </c>
      <c r="H3312" s="6" t="s">
        <v>6369</v>
      </c>
      <c r="I3312" s="8">
        <f>1</f>
        <v>1</v>
      </c>
      <c r="J3312" s="5" t="s">
        <v>499</v>
      </c>
      <c r="K3312" s="8">
        <f>1</f>
        <v>1</v>
      </c>
      <c r="L3312" s="6" t="s">
        <v>242</v>
      </c>
      <c r="M3312" s="5" t="s">
        <v>267</v>
      </c>
      <c r="N3312" s="5" t="s">
        <v>482</v>
      </c>
      <c r="O3312" s="5" t="s">
        <v>238</v>
      </c>
      <c r="P3312" s="5" t="s">
        <v>238</v>
      </c>
      <c r="Q3312" s="5" t="s">
        <v>239</v>
      </c>
      <c r="R3312" s="5" t="s">
        <v>270</v>
      </c>
      <c r="S3312" s="5" t="s">
        <v>238</v>
      </c>
      <c r="T3312" s="5" t="s">
        <v>238</v>
      </c>
      <c r="U3312" s="5" t="s">
        <v>238</v>
      </c>
      <c r="V3312" s="5" t="s">
        <v>238</v>
      </c>
      <c r="W3312" s="6" t="s">
        <v>238</v>
      </c>
      <c r="X3312" s="6" t="s">
        <v>238</v>
      </c>
      <c r="Y3312" s="5" t="s">
        <v>238</v>
      </c>
      <c r="Z3312" s="6" t="s">
        <v>238</v>
      </c>
      <c r="AA3312" s="6" t="s">
        <v>243</v>
      </c>
      <c r="AB3312" s="5" t="s">
        <v>879</v>
      </c>
      <c r="AC3312" s="5" t="s">
        <v>244</v>
      </c>
      <c r="AD3312" s="5" t="s">
        <v>245</v>
      </c>
      <c r="AE3312" s="5" t="s">
        <v>238</v>
      </c>
      <c r="AF3312" s="5" t="s">
        <v>238</v>
      </c>
      <c r="AG3312" s="5" t="s">
        <v>238</v>
      </c>
      <c r="AH3312" s="5" t="s">
        <v>238</v>
      </c>
      <c r="AI3312" s="5" t="s">
        <v>238</v>
      </c>
      <c r="AJ3312" s="5" t="s">
        <v>238</v>
      </c>
      <c r="AK3312" s="5" t="s">
        <v>238</v>
      </c>
      <c r="AL3312" s="5" t="s">
        <v>238</v>
      </c>
      <c r="AM3312" s="6" t="s">
        <v>238</v>
      </c>
      <c r="AN3312" s="6" t="s">
        <v>238</v>
      </c>
      <c r="AO3312" s="6" t="s">
        <v>238</v>
      </c>
      <c r="AP3312" s="6" t="s">
        <v>238</v>
      </c>
      <c r="AQ3312" s="5" t="s">
        <v>238</v>
      </c>
      <c r="AR3312" s="5" t="s">
        <v>488</v>
      </c>
      <c r="AS3312" s="5" t="s">
        <v>488</v>
      </c>
      <c r="AT3312" s="5" t="s">
        <v>246</v>
      </c>
      <c r="AU3312" s="5" t="s">
        <v>489</v>
      </c>
      <c r="AV3312" s="5" t="s">
        <v>247</v>
      </c>
      <c r="AW3312" s="5" t="s">
        <v>238</v>
      </c>
      <c r="AX3312" s="5" t="s">
        <v>249</v>
      </c>
      <c r="AY3312" s="5" t="s">
        <v>490</v>
      </c>
      <c r="BA3312" s="5" t="s">
        <v>238</v>
      </c>
      <c r="BC3312" s="5" t="s">
        <v>491</v>
      </c>
      <c r="BD3312" s="6" t="s">
        <v>492</v>
      </c>
      <c r="BE3312" s="5" t="s">
        <v>493</v>
      </c>
      <c r="BF3312" s="5" t="s">
        <v>493</v>
      </c>
      <c r="BG3312" s="5" t="s">
        <v>238</v>
      </c>
      <c r="BH3312" s="8">
        <f>1</f>
        <v>1</v>
      </c>
      <c r="BI3312" s="8">
        <f>1</f>
        <v>1</v>
      </c>
      <c r="BJ3312" s="5" t="s">
        <v>253</v>
      </c>
      <c r="BK3312" s="5" t="s">
        <v>254</v>
      </c>
      <c r="BL3312" s="5" t="s">
        <v>238</v>
      </c>
      <c r="BM3312" s="5" t="s">
        <v>238</v>
      </c>
      <c r="BN3312" s="5" t="s">
        <v>238</v>
      </c>
      <c r="BO3312" s="5" t="s">
        <v>238</v>
      </c>
      <c r="BP3312" s="5" t="s">
        <v>238</v>
      </c>
      <c r="BQ3312" s="5" t="s">
        <v>238</v>
      </c>
      <c r="BR3312" s="5" t="s">
        <v>238</v>
      </c>
      <c r="BS3312" s="5" t="s">
        <v>238</v>
      </c>
      <c r="BT3312" s="6" t="s">
        <v>238</v>
      </c>
      <c r="BU3312" s="5" t="s">
        <v>238</v>
      </c>
      <c r="BV3312" s="5" t="s">
        <v>238</v>
      </c>
      <c r="BW3312" s="5" t="s">
        <v>238</v>
      </c>
      <c r="BX3312" s="5" t="s">
        <v>254</v>
      </c>
      <c r="BY3312" s="5" t="s">
        <v>238</v>
      </c>
      <c r="BZ3312" s="5" t="s">
        <v>238</v>
      </c>
      <c r="CA3312" s="5" t="s">
        <v>238</v>
      </c>
      <c r="CB3312" s="5" t="s">
        <v>238</v>
      </c>
      <c r="CC3312" s="5" t="s">
        <v>238</v>
      </c>
      <c r="CD3312" s="5" t="s">
        <v>273</v>
      </c>
      <c r="CE3312" s="5" t="s">
        <v>256</v>
      </c>
      <c r="CF3312" s="5" t="s">
        <v>238</v>
      </c>
      <c r="CH3312" s="5" t="s">
        <v>494</v>
      </c>
      <c r="CI3312" s="6" t="s">
        <v>257</v>
      </c>
      <c r="CJ3312" s="5" t="s">
        <v>495</v>
      </c>
      <c r="CK3312" s="5" t="s">
        <v>258</v>
      </c>
      <c r="CL3312" s="5" t="s">
        <v>496</v>
      </c>
      <c r="CM3312" s="5" t="s">
        <v>238</v>
      </c>
      <c r="CN3312" s="5">
        <v>0</v>
      </c>
      <c r="CO3312" s="5" t="s">
        <v>497</v>
      </c>
      <c r="CP3312" s="5" t="s">
        <v>260</v>
      </c>
      <c r="CQ3312" s="5" t="s">
        <v>260</v>
      </c>
      <c r="CR3312" s="5" t="s">
        <v>261</v>
      </c>
      <c r="CS3312" s="5" t="s">
        <v>498</v>
      </c>
      <c r="CT3312" s="7">
        <f>1</f>
        <v>1</v>
      </c>
      <c r="CU3312" s="8">
        <f>1</f>
        <v>1</v>
      </c>
      <c r="CV3312" s="8">
        <f>0</f>
        <v>0</v>
      </c>
      <c r="CX3312" s="8">
        <f>1</f>
        <v>1</v>
      </c>
      <c r="CY3312" s="8">
        <f>1</f>
        <v>1</v>
      </c>
      <c r="CZ3312" s="8" t="s">
        <v>238</v>
      </c>
      <c r="DA3312" s="5" t="s">
        <v>238</v>
      </c>
      <c r="DB3312" s="5" t="s">
        <v>238</v>
      </c>
      <c r="DC3312" s="5" t="s">
        <v>238</v>
      </c>
      <c r="DD3312" s="5" t="s">
        <v>238</v>
      </c>
      <c r="DE3312" s="8">
        <f>0</f>
        <v>0</v>
      </c>
      <c r="DG3312" s="5" t="s">
        <v>238</v>
      </c>
      <c r="DH3312" s="5" t="s">
        <v>238</v>
      </c>
      <c r="DI3312" s="5" t="s">
        <v>238</v>
      </c>
      <c r="DJ3312" s="5" t="s">
        <v>238</v>
      </c>
      <c r="DK3312" s="5" t="s">
        <v>238</v>
      </c>
      <c r="DL3312" s="5" t="s">
        <v>238</v>
      </c>
      <c r="DM3312" s="8" t="s">
        <v>238</v>
      </c>
      <c r="DN3312" s="5" t="s">
        <v>238</v>
      </c>
      <c r="DO3312" s="5" t="s">
        <v>238</v>
      </c>
      <c r="DP3312" s="5" t="s">
        <v>490</v>
      </c>
      <c r="DQ3312" s="5" t="s">
        <v>490</v>
      </c>
      <c r="DR3312" s="5" t="s">
        <v>238</v>
      </c>
      <c r="DS3312" s="5" t="s">
        <v>238</v>
      </c>
      <c r="DT3312" s="5" t="s">
        <v>881</v>
      </c>
      <c r="DU3312" s="5" t="s">
        <v>1128</v>
      </c>
      <c r="DV3312" s="5" t="s">
        <v>238</v>
      </c>
      <c r="DW3312" s="5" t="s">
        <v>238</v>
      </c>
      <c r="DX3312" s="5" t="s">
        <v>238</v>
      </c>
      <c r="DY3312" s="5" t="s">
        <v>238</v>
      </c>
      <c r="DZ3312" s="5" t="s">
        <v>238</v>
      </c>
      <c r="EA3312" s="5" t="s">
        <v>238</v>
      </c>
      <c r="EB3312" s="5" t="s">
        <v>238</v>
      </c>
      <c r="EC3312" s="5" t="s">
        <v>238</v>
      </c>
      <c r="ED3312" s="5" t="s">
        <v>238</v>
      </c>
      <c r="EE3312" s="5" t="s">
        <v>238</v>
      </c>
      <c r="EF3312" s="5" t="s">
        <v>238</v>
      </c>
      <c r="EG3312" s="5" t="s">
        <v>238</v>
      </c>
      <c r="EH3312" s="5" t="s">
        <v>238</v>
      </c>
      <c r="EI3312" s="5" t="s">
        <v>238</v>
      </c>
      <c r="EJ3312" s="5" t="s">
        <v>238</v>
      </c>
      <c r="EK3312" s="5" t="s">
        <v>238</v>
      </c>
      <c r="EL3312" s="5" t="s">
        <v>238</v>
      </c>
      <c r="EM3312" s="5" t="s">
        <v>238</v>
      </c>
      <c r="EN3312" s="5" t="s">
        <v>238</v>
      </c>
      <c r="EO3312" s="5" t="s">
        <v>238</v>
      </c>
      <c r="EP3312" s="5" t="s">
        <v>238</v>
      </c>
      <c r="EQ3312" s="5" t="s">
        <v>238</v>
      </c>
      <c r="ER3312" s="5" t="s">
        <v>238</v>
      </c>
      <c r="ES3312" s="5" t="s">
        <v>238</v>
      </c>
      <c r="ET3312" s="5" t="s">
        <v>238</v>
      </c>
      <c r="EU3312" s="5" t="s">
        <v>238</v>
      </c>
      <c r="EV3312" s="5" t="s">
        <v>238</v>
      </c>
      <c r="EW3312" s="5" t="s">
        <v>238</v>
      </c>
      <c r="EX3312" s="5" t="s">
        <v>238</v>
      </c>
      <c r="EY3312" s="5" t="s">
        <v>238</v>
      </c>
      <c r="EZ3312" s="5" t="s">
        <v>238</v>
      </c>
      <c r="FA3312" s="5" t="s">
        <v>238</v>
      </c>
      <c r="FB3312" s="5" t="s">
        <v>238</v>
      </c>
      <c r="FC3312" s="5" t="s">
        <v>238</v>
      </c>
      <c r="FD3312" s="5" t="s">
        <v>238</v>
      </c>
      <c r="FE3312" s="5" t="s">
        <v>238</v>
      </c>
      <c r="FF3312" s="5" t="s">
        <v>238</v>
      </c>
      <c r="FG3312" s="5" t="s">
        <v>238</v>
      </c>
      <c r="FH3312" s="5" t="s">
        <v>238</v>
      </c>
      <c r="FI3312" s="5" t="s">
        <v>238</v>
      </c>
      <c r="FJ3312" s="5" t="s">
        <v>238</v>
      </c>
      <c r="FK3312" s="5" t="s">
        <v>238</v>
      </c>
      <c r="FL3312" s="5" t="s">
        <v>238</v>
      </c>
      <c r="FM3312" s="5" t="s">
        <v>238</v>
      </c>
      <c r="FN3312" s="5" t="s">
        <v>238</v>
      </c>
      <c r="FO3312" s="5" t="s">
        <v>238</v>
      </c>
      <c r="FP3312" s="5" t="s">
        <v>238</v>
      </c>
      <c r="FQ3312" s="5" t="s">
        <v>238</v>
      </c>
      <c r="FR3312" s="5" t="s">
        <v>238</v>
      </c>
      <c r="FS3312" s="5" t="s">
        <v>238</v>
      </c>
      <c r="FT3312" s="5" t="s">
        <v>238</v>
      </c>
      <c r="FU3312" s="5" t="s">
        <v>238</v>
      </c>
      <c r="FV3312" s="5" t="s">
        <v>238</v>
      </c>
      <c r="FW3312" s="5" t="s">
        <v>238</v>
      </c>
      <c r="FX3312" s="5" t="s">
        <v>238</v>
      </c>
      <c r="FY3312" s="5" t="s">
        <v>238</v>
      </c>
      <c r="FZ3312" s="5" t="s">
        <v>238</v>
      </c>
      <c r="GA3312" s="5" t="s">
        <v>238</v>
      </c>
      <c r="GB3312" s="5" t="s">
        <v>238</v>
      </c>
      <c r="GC3312" s="5" t="s">
        <v>238</v>
      </c>
      <c r="GD3312" s="5" t="s">
        <v>238</v>
      </c>
      <c r="GE3312" s="5" t="s">
        <v>238</v>
      </c>
      <c r="GF3312" s="5" t="s">
        <v>238</v>
      </c>
      <c r="GG3312" s="5" t="s">
        <v>238</v>
      </c>
      <c r="GH3312" s="5" t="s">
        <v>238</v>
      </c>
      <c r="GI3312" s="5" t="s">
        <v>238</v>
      </c>
      <c r="GJ3312" s="5" t="s">
        <v>238</v>
      </c>
      <c r="GK3312" s="5" t="s">
        <v>238</v>
      </c>
      <c r="GL3312" s="5" t="s">
        <v>238</v>
      </c>
      <c r="GM3312" s="5" t="s">
        <v>238</v>
      </c>
      <c r="GN3312" s="5" t="s">
        <v>238</v>
      </c>
      <c r="GO3312" s="5" t="s">
        <v>238</v>
      </c>
      <c r="GP3312" s="5" t="s">
        <v>238</v>
      </c>
      <c r="GQ3312" s="5" t="s">
        <v>238</v>
      </c>
      <c r="GR3312" s="5" t="s">
        <v>238</v>
      </c>
      <c r="GS3312" s="5" t="s">
        <v>238</v>
      </c>
      <c r="GT3312" s="5" t="s">
        <v>238</v>
      </c>
      <c r="GU3312" s="5" t="s">
        <v>238</v>
      </c>
      <c r="GV3312" s="5" t="s">
        <v>238</v>
      </c>
      <c r="GW3312" s="5" t="s">
        <v>238</v>
      </c>
      <c r="GX3312" s="5" t="s">
        <v>238</v>
      </c>
      <c r="GY3312" s="5" t="s">
        <v>238</v>
      </c>
      <c r="GZ3312" s="5" t="s">
        <v>238</v>
      </c>
      <c r="HA3312" s="5" t="s">
        <v>238</v>
      </c>
      <c r="HB3312" s="5" t="s">
        <v>238</v>
      </c>
      <c r="HC3312" s="5" t="s">
        <v>238</v>
      </c>
      <c r="HD3312" s="5" t="s">
        <v>238</v>
      </c>
      <c r="HE3312" s="5" t="s">
        <v>238</v>
      </c>
      <c r="HF3312" s="5" t="s">
        <v>238</v>
      </c>
      <c r="HG3312" s="5" t="s">
        <v>238</v>
      </c>
      <c r="HH3312" s="5" t="s">
        <v>238</v>
      </c>
      <c r="HI3312" s="5" t="s">
        <v>238</v>
      </c>
      <c r="HJ3312" s="5" t="s">
        <v>238</v>
      </c>
      <c r="HK3312" s="5" t="s">
        <v>238</v>
      </c>
      <c r="HL3312" s="5" t="s">
        <v>238</v>
      </c>
      <c r="HM3312" s="5" t="s">
        <v>264</v>
      </c>
      <c r="HN3312" s="5" t="s">
        <v>238</v>
      </c>
      <c r="HO3312" s="5" t="s">
        <v>238</v>
      </c>
      <c r="HP3312" s="5" t="s">
        <v>238</v>
      </c>
      <c r="HQ3312" s="5" t="s">
        <v>238</v>
      </c>
      <c r="HR3312" s="5" t="s">
        <v>238</v>
      </c>
      <c r="HS3312" s="5" t="s">
        <v>238</v>
      </c>
      <c r="HT3312" s="5" t="s">
        <v>238</v>
      </c>
      <c r="HU3312" s="5" t="s">
        <v>238</v>
      </c>
      <c r="HV3312" s="5" t="s">
        <v>238</v>
      </c>
      <c r="HW3312" s="5" t="s">
        <v>238</v>
      </c>
      <c r="HX3312" s="5" t="s">
        <v>238</v>
      </c>
      <c r="HY3312" s="5" t="s">
        <v>238</v>
      </c>
      <c r="HZ3312" s="5" t="s">
        <v>238</v>
      </c>
      <c r="IA3312" s="5" t="s">
        <v>238</v>
      </c>
      <c r="IB3312" s="5" t="s">
        <v>238</v>
      </c>
      <c r="IC3312" s="5" t="s">
        <v>238</v>
      </c>
      <c r="ID3312" s="5" t="s">
        <v>238</v>
      </c>
    </row>
    <row r="3313" spans="1:238" x14ac:dyDescent="0.4">
      <c r="A3313" s="5">
        <v>9031</v>
      </c>
      <c r="B3313" s="5">
        <v>1</v>
      </c>
      <c r="C3313" s="5">
        <v>1</v>
      </c>
      <c r="D3313" s="5" t="s">
        <v>484</v>
      </c>
      <c r="E3313" s="5" t="s">
        <v>878</v>
      </c>
      <c r="F3313" s="5" t="s">
        <v>248</v>
      </c>
      <c r="G3313" s="5" t="s">
        <v>6438</v>
      </c>
      <c r="H3313" s="6" t="s">
        <v>6439</v>
      </c>
      <c r="I3313" s="8">
        <f>1</f>
        <v>1</v>
      </c>
      <c r="J3313" s="5" t="s">
        <v>499</v>
      </c>
      <c r="K3313" s="8">
        <f>1</f>
        <v>1</v>
      </c>
      <c r="L3313" s="6" t="s">
        <v>242</v>
      </c>
      <c r="M3313" s="5" t="s">
        <v>267</v>
      </c>
      <c r="N3313" s="5" t="s">
        <v>482</v>
      </c>
      <c r="O3313" s="5" t="s">
        <v>238</v>
      </c>
      <c r="P3313" s="5" t="s">
        <v>238</v>
      </c>
      <c r="Q3313" s="5" t="s">
        <v>239</v>
      </c>
      <c r="R3313" s="5" t="s">
        <v>270</v>
      </c>
      <c r="S3313" s="5" t="s">
        <v>238</v>
      </c>
      <c r="T3313" s="5" t="s">
        <v>238</v>
      </c>
      <c r="U3313" s="5" t="s">
        <v>238</v>
      </c>
      <c r="V3313" s="5" t="s">
        <v>238</v>
      </c>
      <c r="W3313" s="6" t="s">
        <v>238</v>
      </c>
      <c r="X3313" s="6" t="s">
        <v>238</v>
      </c>
      <c r="Y3313" s="5" t="s">
        <v>238</v>
      </c>
      <c r="Z3313" s="6" t="s">
        <v>238</v>
      </c>
      <c r="AA3313" s="6" t="s">
        <v>243</v>
      </c>
      <c r="AB3313" s="5" t="s">
        <v>879</v>
      </c>
      <c r="AC3313" s="5" t="s">
        <v>244</v>
      </c>
      <c r="AD3313" s="5" t="s">
        <v>245</v>
      </c>
      <c r="AE3313" s="5" t="s">
        <v>238</v>
      </c>
      <c r="AF3313" s="5" t="s">
        <v>238</v>
      </c>
      <c r="AG3313" s="5" t="s">
        <v>238</v>
      </c>
      <c r="AH3313" s="5" t="s">
        <v>238</v>
      </c>
      <c r="AI3313" s="5" t="s">
        <v>238</v>
      </c>
      <c r="AJ3313" s="5" t="s">
        <v>238</v>
      </c>
      <c r="AK3313" s="5" t="s">
        <v>238</v>
      </c>
      <c r="AL3313" s="5" t="s">
        <v>238</v>
      </c>
      <c r="AM3313" s="6" t="s">
        <v>238</v>
      </c>
      <c r="AN3313" s="6" t="s">
        <v>238</v>
      </c>
      <c r="AO3313" s="6" t="s">
        <v>238</v>
      </c>
      <c r="AP3313" s="6" t="s">
        <v>238</v>
      </c>
      <c r="AQ3313" s="5" t="s">
        <v>238</v>
      </c>
      <c r="AR3313" s="5" t="s">
        <v>488</v>
      </c>
      <c r="AS3313" s="5" t="s">
        <v>488</v>
      </c>
      <c r="AT3313" s="5" t="s">
        <v>246</v>
      </c>
      <c r="AU3313" s="5" t="s">
        <v>489</v>
      </c>
      <c r="AV3313" s="5" t="s">
        <v>247</v>
      </c>
      <c r="AW3313" s="5" t="s">
        <v>238</v>
      </c>
      <c r="AX3313" s="5" t="s">
        <v>249</v>
      </c>
      <c r="AY3313" s="5" t="s">
        <v>490</v>
      </c>
      <c r="BA3313" s="5" t="s">
        <v>238</v>
      </c>
      <c r="BC3313" s="5" t="s">
        <v>491</v>
      </c>
      <c r="BD3313" s="6" t="s">
        <v>492</v>
      </c>
      <c r="BE3313" s="5" t="s">
        <v>493</v>
      </c>
      <c r="BF3313" s="5" t="s">
        <v>493</v>
      </c>
      <c r="BG3313" s="5" t="s">
        <v>238</v>
      </c>
      <c r="BH3313" s="8">
        <f>1</f>
        <v>1</v>
      </c>
      <c r="BI3313" s="8">
        <f>1</f>
        <v>1</v>
      </c>
      <c r="BJ3313" s="5" t="s">
        <v>253</v>
      </c>
      <c r="BK3313" s="5" t="s">
        <v>254</v>
      </c>
      <c r="BL3313" s="5" t="s">
        <v>238</v>
      </c>
      <c r="BM3313" s="5" t="s">
        <v>238</v>
      </c>
      <c r="BN3313" s="5" t="s">
        <v>238</v>
      </c>
      <c r="BO3313" s="5" t="s">
        <v>238</v>
      </c>
      <c r="BP3313" s="5" t="s">
        <v>238</v>
      </c>
      <c r="BQ3313" s="5" t="s">
        <v>238</v>
      </c>
      <c r="BR3313" s="5" t="s">
        <v>238</v>
      </c>
      <c r="BS3313" s="5" t="s">
        <v>238</v>
      </c>
      <c r="BT3313" s="6" t="s">
        <v>238</v>
      </c>
      <c r="BU3313" s="5" t="s">
        <v>238</v>
      </c>
      <c r="BV3313" s="5" t="s">
        <v>238</v>
      </c>
      <c r="BW3313" s="5" t="s">
        <v>238</v>
      </c>
      <c r="BX3313" s="5" t="s">
        <v>254</v>
      </c>
      <c r="BY3313" s="5" t="s">
        <v>238</v>
      </c>
      <c r="BZ3313" s="5" t="s">
        <v>238</v>
      </c>
      <c r="CA3313" s="5" t="s">
        <v>238</v>
      </c>
      <c r="CB3313" s="5" t="s">
        <v>238</v>
      </c>
      <c r="CC3313" s="5" t="s">
        <v>238</v>
      </c>
      <c r="CD3313" s="5" t="s">
        <v>273</v>
      </c>
      <c r="CE3313" s="5" t="s">
        <v>256</v>
      </c>
      <c r="CF3313" s="5" t="s">
        <v>238</v>
      </c>
      <c r="CH3313" s="5" t="s">
        <v>494</v>
      </c>
      <c r="CI3313" s="6" t="s">
        <v>257</v>
      </c>
      <c r="CJ3313" s="5" t="s">
        <v>495</v>
      </c>
      <c r="CK3313" s="5" t="s">
        <v>258</v>
      </c>
      <c r="CL3313" s="5" t="s">
        <v>496</v>
      </c>
      <c r="CM3313" s="5" t="s">
        <v>238</v>
      </c>
      <c r="CN3313" s="5">
        <v>0</v>
      </c>
      <c r="CO3313" s="5" t="s">
        <v>497</v>
      </c>
      <c r="CP3313" s="5" t="s">
        <v>260</v>
      </c>
      <c r="CQ3313" s="5" t="s">
        <v>260</v>
      </c>
      <c r="CR3313" s="5" t="s">
        <v>261</v>
      </c>
      <c r="CS3313" s="5" t="s">
        <v>498</v>
      </c>
      <c r="CT3313" s="7">
        <f>1</f>
        <v>1</v>
      </c>
      <c r="CU3313" s="8">
        <f>1</f>
        <v>1</v>
      </c>
      <c r="CV3313" s="8">
        <f>0</f>
        <v>0</v>
      </c>
      <c r="CX3313" s="8">
        <f>1</f>
        <v>1</v>
      </c>
      <c r="CY3313" s="8">
        <f>1</f>
        <v>1</v>
      </c>
      <c r="CZ3313" s="8" t="s">
        <v>238</v>
      </c>
      <c r="DA3313" s="5" t="s">
        <v>238</v>
      </c>
      <c r="DB3313" s="5" t="s">
        <v>238</v>
      </c>
      <c r="DC3313" s="5" t="s">
        <v>238</v>
      </c>
      <c r="DD3313" s="5" t="s">
        <v>238</v>
      </c>
      <c r="DE3313" s="8">
        <f>0</f>
        <v>0</v>
      </c>
      <c r="DG3313" s="5" t="s">
        <v>238</v>
      </c>
      <c r="DH3313" s="5" t="s">
        <v>238</v>
      </c>
      <c r="DI3313" s="5" t="s">
        <v>238</v>
      </c>
      <c r="DJ3313" s="5" t="s">
        <v>238</v>
      </c>
      <c r="DK3313" s="5" t="s">
        <v>238</v>
      </c>
      <c r="DL3313" s="5" t="s">
        <v>238</v>
      </c>
      <c r="DM3313" s="8" t="s">
        <v>238</v>
      </c>
      <c r="DN3313" s="5" t="s">
        <v>238</v>
      </c>
      <c r="DO3313" s="5" t="s">
        <v>238</v>
      </c>
      <c r="DP3313" s="5" t="s">
        <v>490</v>
      </c>
      <c r="DQ3313" s="5" t="s">
        <v>490</v>
      </c>
      <c r="DR3313" s="5" t="s">
        <v>238</v>
      </c>
      <c r="DS3313" s="5" t="s">
        <v>238</v>
      </c>
      <c r="DT3313" s="5" t="s">
        <v>881</v>
      </c>
      <c r="DU3313" s="5" t="s">
        <v>1116</v>
      </c>
      <c r="DV3313" s="5" t="s">
        <v>238</v>
      </c>
      <c r="DW3313" s="5" t="s">
        <v>238</v>
      </c>
      <c r="DX3313" s="5" t="s">
        <v>238</v>
      </c>
      <c r="DY3313" s="5" t="s">
        <v>238</v>
      </c>
      <c r="DZ3313" s="5" t="s">
        <v>238</v>
      </c>
      <c r="EA3313" s="5" t="s">
        <v>238</v>
      </c>
      <c r="EB3313" s="5" t="s">
        <v>238</v>
      </c>
      <c r="EC3313" s="5" t="s">
        <v>238</v>
      </c>
      <c r="ED3313" s="5" t="s">
        <v>238</v>
      </c>
      <c r="EE3313" s="5" t="s">
        <v>238</v>
      </c>
      <c r="EF3313" s="5" t="s">
        <v>238</v>
      </c>
      <c r="EG3313" s="5" t="s">
        <v>238</v>
      </c>
      <c r="EH3313" s="5" t="s">
        <v>238</v>
      </c>
      <c r="EI3313" s="5" t="s">
        <v>238</v>
      </c>
      <c r="EJ3313" s="5" t="s">
        <v>238</v>
      </c>
      <c r="EK3313" s="5" t="s">
        <v>238</v>
      </c>
      <c r="EL3313" s="5" t="s">
        <v>238</v>
      </c>
      <c r="EM3313" s="5" t="s">
        <v>238</v>
      </c>
      <c r="EN3313" s="5" t="s">
        <v>238</v>
      </c>
      <c r="EO3313" s="5" t="s">
        <v>238</v>
      </c>
      <c r="EP3313" s="5" t="s">
        <v>238</v>
      </c>
      <c r="EQ3313" s="5" t="s">
        <v>238</v>
      </c>
      <c r="ER3313" s="5" t="s">
        <v>238</v>
      </c>
      <c r="ES3313" s="5" t="s">
        <v>238</v>
      </c>
      <c r="ET3313" s="5" t="s">
        <v>238</v>
      </c>
      <c r="EU3313" s="5" t="s">
        <v>238</v>
      </c>
      <c r="EV3313" s="5" t="s">
        <v>238</v>
      </c>
      <c r="EW3313" s="5" t="s">
        <v>238</v>
      </c>
      <c r="EX3313" s="5" t="s">
        <v>238</v>
      </c>
      <c r="EY3313" s="5" t="s">
        <v>238</v>
      </c>
      <c r="EZ3313" s="5" t="s">
        <v>238</v>
      </c>
      <c r="FA3313" s="5" t="s">
        <v>238</v>
      </c>
      <c r="FB3313" s="5" t="s">
        <v>238</v>
      </c>
      <c r="FC3313" s="5" t="s">
        <v>238</v>
      </c>
      <c r="FD3313" s="5" t="s">
        <v>238</v>
      </c>
      <c r="FE3313" s="5" t="s">
        <v>238</v>
      </c>
      <c r="FF3313" s="5" t="s">
        <v>238</v>
      </c>
      <c r="FG3313" s="5" t="s">
        <v>238</v>
      </c>
      <c r="FH3313" s="5" t="s">
        <v>238</v>
      </c>
      <c r="FI3313" s="5" t="s">
        <v>238</v>
      </c>
      <c r="FJ3313" s="5" t="s">
        <v>238</v>
      </c>
      <c r="FK3313" s="5" t="s">
        <v>238</v>
      </c>
      <c r="FL3313" s="5" t="s">
        <v>238</v>
      </c>
      <c r="FM3313" s="5" t="s">
        <v>238</v>
      </c>
      <c r="FN3313" s="5" t="s">
        <v>238</v>
      </c>
      <c r="FO3313" s="5" t="s">
        <v>238</v>
      </c>
      <c r="FP3313" s="5" t="s">
        <v>238</v>
      </c>
      <c r="FQ3313" s="5" t="s">
        <v>238</v>
      </c>
      <c r="FR3313" s="5" t="s">
        <v>238</v>
      </c>
      <c r="FS3313" s="5" t="s">
        <v>238</v>
      </c>
      <c r="FT3313" s="5" t="s">
        <v>238</v>
      </c>
      <c r="FU3313" s="5" t="s">
        <v>238</v>
      </c>
      <c r="FV3313" s="5" t="s">
        <v>238</v>
      </c>
      <c r="FW3313" s="5" t="s">
        <v>238</v>
      </c>
      <c r="FX3313" s="5" t="s">
        <v>238</v>
      </c>
      <c r="FY3313" s="5" t="s">
        <v>238</v>
      </c>
      <c r="FZ3313" s="5" t="s">
        <v>238</v>
      </c>
      <c r="GA3313" s="5" t="s">
        <v>238</v>
      </c>
      <c r="GB3313" s="5" t="s">
        <v>238</v>
      </c>
      <c r="GC3313" s="5" t="s">
        <v>238</v>
      </c>
      <c r="GD3313" s="5" t="s">
        <v>238</v>
      </c>
      <c r="GE3313" s="5" t="s">
        <v>238</v>
      </c>
      <c r="GF3313" s="5" t="s">
        <v>238</v>
      </c>
      <c r="GG3313" s="5" t="s">
        <v>238</v>
      </c>
      <c r="GH3313" s="5" t="s">
        <v>238</v>
      </c>
      <c r="GI3313" s="5" t="s">
        <v>238</v>
      </c>
      <c r="GJ3313" s="5" t="s">
        <v>238</v>
      </c>
      <c r="GK3313" s="5" t="s">
        <v>238</v>
      </c>
      <c r="GL3313" s="5" t="s">
        <v>238</v>
      </c>
      <c r="GM3313" s="5" t="s">
        <v>238</v>
      </c>
      <c r="GN3313" s="5" t="s">
        <v>238</v>
      </c>
      <c r="GO3313" s="5" t="s">
        <v>238</v>
      </c>
      <c r="GP3313" s="5" t="s">
        <v>238</v>
      </c>
      <c r="GQ3313" s="5" t="s">
        <v>238</v>
      </c>
      <c r="GR3313" s="5" t="s">
        <v>238</v>
      </c>
      <c r="GS3313" s="5" t="s">
        <v>238</v>
      </c>
      <c r="GT3313" s="5" t="s">
        <v>238</v>
      </c>
      <c r="GU3313" s="5" t="s">
        <v>238</v>
      </c>
      <c r="GV3313" s="5" t="s">
        <v>238</v>
      </c>
      <c r="GW3313" s="5" t="s">
        <v>238</v>
      </c>
      <c r="GX3313" s="5" t="s">
        <v>238</v>
      </c>
      <c r="GY3313" s="5" t="s">
        <v>238</v>
      </c>
      <c r="GZ3313" s="5" t="s">
        <v>238</v>
      </c>
      <c r="HA3313" s="5" t="s">
        <v>238</v>
      </c>
      <c r="HB3313" s="5" t="s">
        <v>238</v>
      </c>
      <c r="HC3313" s="5" t="s">
        <v>238</v>
      </c>
      <c r="HD3313" s="5" t="s">
        <v>238</v>
      </c>
      <c r="HE3313" s="5" t="s">
        <v>238</v>
      </c>
      <c r="HF3313" s="5" t="s">
        <v>238</v>
      </c>
      <c r="HG3313" s="5" t="s">
        <v>238</v>
      </c>
      <c r="HH3313" s="5" t="s">
        <v>238</v>
      </c>
      <c r="HI3313" s="5" t="s">
        <v>238</v>
      </c>
      <c r="HJ3313" s="5" t="s">
        <v>238</v>
      </c>
      <c r="HK3313" s="5" t="s">
        <v>238</v>
      </c>
      <c r="HL3313" s="5" t="s">
        <v>238</v>
      </c>
      <c r="HM3313" s="5" t="s">
        <v>264</v>
      </c>
      <c r="HN3313" s="5" t="s">
        <v>238</v>
      </c>
      <c r="HO3313" s="5" t="s">
        <v>238</v>
      </c>
      <c r="HP3313" s="5" t="s">
        <v>238</v>
      </c>
      <c r="HQ3313" s="5" t="s">
        <v>238</v>
      </c>
      <c r="HR3313" s="5" t="s">
        <v>238</v>
      </c>
      <c r="HS3313" s="5" t="s">
        <v>238</v>
      </c>
      <c r="HT3313" s="5" t="s">
        <v>238</v>
      </c>
      <c r="HU3313" s="5" t="s">
        <v>238</v>
      </c>
      <c r="HV3313" s="5" t="s">
        <v>238</v>
      </c>
      <c r="HW3313" s="5" t="s">
        <v>238</v>
      </c>
      <c r="HX3313" s="5" t="s">
        <v>238</v>
      </c>
      <c r="HY3313" s="5" t="s">
        <v>238</v>
      </c>
      <c r="HZ3313" s="5" t="s">
        <v>238</v>
      </c>
      <c r="IA3313" s="5" t="s">
        <v>238</v>
      </c>
      <c r="IB3313" s="5" t="s">
        <v>238</v>
      </c>
      <c r="IC3313" s="5" t="s">
        <v>238</v>
      </c>
      <c r="ID3313" s="5" t="s">
        <v>238</v>
      </c>
    </row>
    <row r="3314" spans="1:238" x14ac:dyDescent="0.4">
      <c r="A3314" s="5">
        <v>9032</v>
      </c>
      <c r="B3314" s="5">
        <v>1</v>
      </c>
      <c r="C3314" s="5">
        <v>1</v>
      </c>
      <c r="D3314" s="5" t="s">
        <v>484</v>
      </c>
      <c r="E3314" s="5" t="s">
        <v>878</v>
      </c>
      <c r="F3314" s="5" t="s">
        <v>248</v>
      </c>
      <c r="G3314" s="5" t="s">
        <v>5418</v>
      </c>
      <c r="H3314" s="6" t="s">
        <v>5419</v>
      </c>
      <c r="I3314" s="8">
        <f>1</f>
        <v>1</v>
      </c>
      <c r="J3314" s="5" t="s">
        <v>499</v>
      </c>
      <c r="K3314" s="8">
        <f>1</f>
        <v>1</v>
      </c>
      <c r="L3314" s="6" t="s">
        <v>242</v>
      </c>
      <c r="M3314" s="5" t="s">
        <v>267</v>
      </c>
      <c r="N3314" s="5" t="s">
        <v>482</v>
      </c>
      <c r="O3314" s="5" t="s">
        <v>238</v>
      </c>
      <c r="P3314" s="5" t="s">
        <v>238</v>
      </c>
      <c r="Q3314" s="5" t="s">
        <v>239</v>
      </c>
      <c r="R3314" s="5" t="s">
        <v>270</v>
      </c>
      <c r="S3314" s="5" t="s">
        <v>238</v>
      </c>
      <c r="T3314" s="5" t="s">
        <v>238</v>
      </c>
      <c r="U3314" s="5" t="s">
        <v>238</v>
      </c>
      <c r="V3314" s="5" t="s">
        <v>238</v>
      </c>
      <c r="W3314" s="6" t="s">
        <v>238</v>
      </c>
      <c r="X3314" s="6" t="s">
        <v>238</v>
      </c>
      <c r="Y3314" s="5" t="s">
        <v>238</v>
      </c>
      <c r="Z3314" s="6" t="s">
        <v>238</v>
      </c>
      <c r="AA3314" s="6" t="s">
        <v>243</v>
      </c>
      <c r="AB3314" s="5" t="s">
        <v>879</v>
      </c>
      <c r="AC3314" s="5" t="s">
        <v>244</v>
      </c>
      <c r="AD3314" s="5" t="s">
        <v>245</v>
      </c>
      <c r="AE3314" s="5" t="s">
        <v>238</v>
      </c>
      <c r="AF3314" s="5" t="s">
        <v>238</v>
      </c>
      <c r="AG3314" s="5" t="s">
        <v>238</v>
      </c>
      <c r="AH3314" s="5" t="s">
        <v>238</v>
      </c>
      <c r="AI3314" s="5" t="s">
        <v>238</v>
      </c>
      <c r="AJ3314" s="5" t="s">
        <v>238</v>
      </c>
      <c r="AK3314" s="5" t="s">
        <v>238</v>
      </c>
      <c r="AL3314" s="5" t="s">
        <v>238</v>
      </c>
      <c r="AM3314" s="6" t="s">
        <v>238</v>
      </c>
      <c r="AN3314" s="6" t="s">
        <v>238</v>
      </c>
      <c r="AO3314" s="6" t="s">
        <v>238</v>
      </c>
      <c r="AP3314" s="6" t="s">
        <v>238</v>
      </c>
      <c r="AQ3314" s="5" t="s">
        <v>238</v>
      </c>
      <c r="AR3314" s="5" t="s">
        <v>488</v>
      </c>
      <c r="AS3314" s="5" t="s">
        <v>488</v>
      </c>
      <c r="AT3314" s="5" t="s">
        <v>246</v>
      </c>
      <c r="AU3314" s="5" t="s">
        <v>489</v>
      </c>
      <c r="AV3314" s="5" t="s">
        <v>247</v>
      </c>
      <c r="AW3314" s="5" t="s">
        <v>238</v>
      </c>
      <c r="AX3314" s="5" t="s">
        <v>249</v>
      </c>
      <c r="AY3314" s="5" t="s">
        <v>490</v>
      </c>
      <c r="BA3314" s="5" t="s">
        <v>238</v>
      </c>
      <c r="BC3314" s="5" t="s">
        <v>491</v>
      </c>
      <c r="BD3314" s="6" t="s">
        <v>492</v>
      </c>
      <c r="BE3314" s="5" t="s">
        <v>493</v>
      </c>
      <c r="BF3314" s="5" t="s">
        <v>493</v>
      </c>
      <c r="BG3314" s="5" t="s">
        <v>238</v>
      </c>
      <c r="BH3314" s="8">
        <f>1</f>
        <v>1</v>
      </c>
      <c r="BI3314" s="8">
        <f>1</f>
        <v>1</v>
      </c>
      <c r="BJ3314" s="5" t="s">
        <v>253</v>
      </c>
      <c r="BK3314" s="5" t="s">
        <v>254</v>
      </c>
      <c r="BL3314" s="5" t="s">
        <v>238</v>
      </c>
      <c r="BM3314" s="5" t="s">
        <v>238</v>
      </c>
      <c r="BN3314" s="5" t="s">
        <v>238</v>
      </c>
      <c r="BO3314" s="5" t="s">
        <v>238</v>
      </c>
      <c r="BP3314" s="5" t="s">
        <v>238</v>
      </c>
      <c r="BQ3314" s="5" t="s">
        <v>238</v>
      </c>
      <c r="BR3314" s="5" t="s">
        <v>238</v>
      </c>
      <c r="BS3314" s="5" t="s">
        <v>238</v>
      </c>
      <c r="BT3314" s="6" t="s">
        <v>238</v>
      </c>
      <c r="BU3314" s="5" t="s">
        <v>238</v>
      </c>
      <c r="BV3314" s="5" t="s">
        <v>238</v>
      </c>
      <c r="BW3314" s="5" t="s">
        <v>238</v>
      </c>
      <c r="BX3314" s="5" t="s">
        <v>254</v>
      </c>
      <c r="BY3314" s="5" t="s">
        <v>238</v>
      </c>
      <c r="BZ3314" s="5" t="s">
        <v>238</v>
      </c>
      <c r="CA3314" s="5" t="s">
        <v>238</v>
      </c>
      <c r="CB3314" s="5" t="s">
        <v>238</v>
      </c>
      <c r="CC3314" s="5" t="s">
        <v>238</v>
      </c>
      <c r="CD3314" s="5" t="s">
        <v>273</v>
      </c>
      <c r="CE3314" s="5" t="s">
        <v>256</v>
      </c>
      <c r="CF3314" s="5" t="s">
        <v>238</v>
      </c>
      <c r="CH3314" s="5" t="s">
        <v>494</v>
      </c>
      <c r="CI3314" s="6" t="s">
        <v>257</v>
      </c>
      <c r="CJ3314" s="5" t="s">
        <v>495</v>
      </c>
      <c r="CK3314" s="5" t="s">
        <v>258</v>
      </c>
      <c r="CL3314" s="5" t="s">
        <v>496</v>
      </c>
      <c r="CM3314" s="5" t="s">
        <v>238</v>
      </c>
      <c r="CN3314" s="5">
        <v>0</v>
      </c>
      <c r="CO3314" s="5" t="s">
        <v>497</v>
      </c>
      <c r="CP3314" s="5" t="s">
        <v>260</v>
      </c>
      <c r="CQ3314" s="5" t="s">
        <v>260</v>
      </c>
      <c r="CR3314" s="5" t="s">
        <v>261</v>
      </c>
      <c r="CS3314" s="5" t="s">
        <v>498</v>
      </c>
      <c r="CT3314" s="7">
        <f>1</f>
        <v>1</v>
      </c>
      <c r="CU3314" s="8">
        <f>1</f>
        <v>1</v>
      </c>
      <c r="CV3314" s="8">
        <f>0</f>
        <v>0</v>
      </c>
      <c r="CX3314" s="8">
        <f>1</f>
        <v>1</v>
      </c>
      <c r="CY3314" s="8">
        <f>1</f>
        <v>1</v>
      </c>
      <c r="CZ3314" s="8" t="s">
        <v>238</v>
      </c>
      <c r="DA3314" s="5" t="s">
        <v>238</v>
      </c>
      <c r="DB3314" s="5" t="s">
        <v>238</v>
      </c>
      <c r="DC3314" s="5" t="s">
        <v>238</v>
      </c>
      <c r="DD3314" s="5" t="s">
        <v>238</v>
      </c>
      <c r="DE3314" s="8">
        <f>0</f>
        <v>0</v>
      </c>
      <c r="DG3314" s="5" t="s">
        <v>238</v>
      </c>
      <c r="DH3314" s="5" t="s">
        <v>238</v>
      </c>
      <c r="DI3314" s="5" t="s">
        <v>238</v>
      </c>
      <c r="DJ3314" s="5" t="s">
        <v>238</v>
      </c>
      <c r="DK3314" s="5" t="s">
        <v>238</v>
      </c>
      <c r="DL3314" s="5" t="s">
        <v>238</v>
      </c>
      <c r="DM3314" s="8" t="s">
        <v>238</v>
      </c>
      <c r="DN3314" s="5" t="s">
        <v>238</v>
      </c>
      <c r="DO3314" s="5" t="s">
        <v>238</v>
      </c>
      <c r="DP3314" s="5" t="s">
        <v>490</v>
      </c>
      <c r="DQ3314" s="5" t="s">
        <v>490</v>
      </c>
      <c r="DR3314" s="5" t="s">
        <v>238</v>
      </c>
      <c r="DS3314" s="5" t="s">
        <v>238</v>
      </c>
      <c r="DT3314" s="5" t="s">
        <v>881</v>
      </c>
      <c r="DU3314" s="5" t="s">
        <v>1102</v>
      </c>
      <c r="DV3314" s="5" t="s">
        <v>238</v>
      </c>
      <c r="DW3314" s="5" t="s">
        <v>238</v>
      </c>
      <c r="DX3314" s="5" t="s">
        <v>238</v>
      </c>
      <c r="DY3314" s="5" t="s">
        <v>238</v>
      </c>
      <c r="DZ3314" s="5" t="s">
        <v>238</v>
      </c>
      <c r="EA3314" s="5" t="s">
        <v>238</v>
      </c>
      <c r="EB3314" s="5" t="s">
        <v>238</v>
      </c>
      <c r="EC3314" s="5" t="s">
        <v>238</v>
      </c>
      <c r="ED3314" s="5" t="s">
        <v>238</v>
      </c>
      <c r="EE3314" s="5" t="s">
        <v>238</v>
      </c>
      <c r="EF3314" s="5" t="s">
        <v>238</v>
      </c>
      <c r="EG3314" s="5" t="s">
        <v>238</v>
      </c>
      <c r="EH3314" s="5" t="s">
        <v>238</v>
      </c>
      <c r="EI3314" s="5" t="s">
        <v>238</v>
      </c>
      <c r="EJ3314" s="5" t="s">
        <v>238</v>
      </c>
      <c r="EK3314" s="5" t="s">
        <v>238</v>
      </c>
      <c r="EL3314" s="5" t="s">
        <v>238</v>
      </c>
      <c r="EM3314" s="5" t="s">
        <v>238</v>
      </c>
      <c r="EN3314" s="5" t="s">
        <v>238</v>
      </c>
      <c r="EO3314" s="5" t="s">
        <v>238</v>
      </c>
      <c r="EP3314" s="5" t="s">
        <v>238</v>
      </c>
      <c r="EQ3314" s="5" t="s">
        <v>238</v>
      </c>
      <c r="ER3314" s="5" t="s">
        <v>238</v>
      </c>
      <c r="ES3314" s="5" t="s">
        <v>238</v>
      </c>
      <c r="ET3314" s="5" t="s">
        <v>238</v>
      </c>
      <c r="EU3314" s="5" t="s">
        <v>238</v>
      </c>
      <c r="EV3314" s="5" t="s">
        <v>238</v>
      </c>
      <c r="EW3314" s="5" t="s">
        <v>238</v>
      </c>
      <c r="EX3314" s="5" t="s">
        <v>238</v>
      </c>
      <c r="EY3314" s="5" t="s">
        <v>238</v>
      </c>
      <c r="EZ3314" s="5" t="s">
        <v>238</v>
      </c>
      <c r="FA3314" s="5" t="s">
        <v>238</v>
      </c>
      <c r="FB3314" s="5" t="s">
        <v>238</v>
      </c>
      <c r="FC3314" s="5" t="s">
        <v>238</v>
      </c>
      <c r="FD3314" s="5" t="s">
        <v>238</v>
      </c>
      <c r="FE3314" s="5" t="s">
        <v>238</v>
      </c>
      <c r="FF3314" s="5" t="s">
        <v>238</v>
      </c>
      <c r="FG3314" s="5" t="s">
        <v>238</v>
      </c>
      <c r="FH3314" s="5" t="s">
        <v>238</v>
      </c>
      <c r="FI3314" s="5" t="s">
        <v>238</v>
      </c>
      <c r="FJ3314" s="5" t="s">
        <v>238</v>
      </c>
      <c r="FK3314" s="5" t="s">
        <v>238</v>
      </c>
      <c r="FL3314" s="5" t="s">
        <v>238</v>
      </c>
      <c r="FM3314" s="5" t="s">
        <v>238</v>
      </c>
      <c r="FN3314" s="5" t="s">
        <v>238</v>
      </c>
      <c r="FO3314" s="5" t="s">
        <v>238</v>
      </c>
      <c r="FP3314" s="5" t="s">
        <v>238</v>
      </c>
      <c r="FQ3314" s="5" t="s">
        <v>238</v>
      </c>
      <c r="FR3314" s="5" t="s">
        <v>238</v>
      </c>
      <c r="FS3314" s="5" t="s">
        <v>238</v>
      </c>
      <c r="FT3314" s="5" t="s">
        <v>238</v>
      </c>
      <c r="FU3314" s="5" t="s">
        <v>238</v>
      </c>
      <c r="FV3314" s="5" t="s">
        <v>238</v>
      </c>
      <c r="FW3314" s="5" t="s">
        <v>238</v>
      </c>
      <c r="FX3314" s="5" t="s">
        <v>238</v>
      </c>
      <c r="FY3314" s="5" t="s">
        <v>238</v>
      </c>
      <c r="FZ3314" s="5" t="s">
        <v>238</v>
      </c>
      <c r="GA3314" s="5" t="s">
        <v>238</v>
      </c>
      <c r="GB3314" s="5" t="s">
        <v>238</v>
      </c>
      <c r="GC3314" s="5" t="s">
        <v>238</v>
      </c>
      <c r="GD3314" s="5" t="s">
        <v>238</v>
      </c>
      <c r="GE3314" s="5" t="s">
        <v>238</v>
      </c>
      <c r="GF3314" s="5" t="s">
        <v>238</v>
      </c>
      <c r="GG3314" s="5" t="s">
        <v>238</v>
      </c>
      <c r="GH3314" s="5" t="s">
        <v>238</v>
      </c>
      <c r="GI3314" s="5" t="s">
        <v>238</v>
      </c>
      <c r="GJ3314" s="5" t="s">
        <v>238</v>
      </c>
      <c r="GK3314" s="5" t="s">
        <v>238</v>
      </c>
      <c r="GL3314" s="5" t="s">
        <v>238</v>
      </c>
      <c r="GM3314" s="5" t="s">
        <v>238</v>
      </c>
      <c r="GN3314" s="5" t="s">
        <v>238</v>
      </c>
      <c r="GO3314" s="5" t="s">
        <v>238</v>
      </c>
      <c r="GP3314" s="5" t="s">
        <v>238</v>
      </c>
      <c r="GQ3314" s="5" t="s">
        <v>238</v>
      </c>
      <c r="GR3314" s="5" t="s">
        <v>238</v>
      </c>
      <c r="GS3314" s="5" t="s">
        <v>238</v>
      </c>
      <c r="GT3314" s="5" t="s">
        <v>238</v>
      </c>
      <c r="GU3314" s="5" t="s">
        <v>238</v>
      </c>
      <c r="GV3314" s="5" t="s">
        <v>238</v>
      </c>
      <c r="GW3314" s="5" t="s">
        <v>238</v>
      </c>
      <c r="GX3314" s="5" t="s">
        <v>238</v>
      </c>
      <c r="GY3314" s="5" t="s">
        <v>238</v>
      </c>
      <c r="GZ3314" s="5" t="s">
        <v>238</v>
      </c>
      <c r="HA3314" s="5" t="s">
        <v>238</v>
      </c>
      <c r="HB3314" s="5" t="s">
        <v>238</v>
      </c>
      <c r="HC3314" s="5" t="s">
        <v>238</v>
      </c>
      <c r="HD3314" s="5" t="s">
        <v>238</v>
      </c>
      <c r="HE3314" s="5" t="s">
        <v>238</v>
      </c>
      <c r="HF3314" s="5" t="s">
        <v>238</v>
      </c>
      <c r="HG3314" s="5" t="s">
        <v>238</v>
      </c>
      <c r="HH3314" s="5" t="s">
        <v>238</v>
      </c>
      <c r="HI3314" s="5" t="s">
        <v>238</v>
      </c>
      <c r="HJ3314" s="5" t="s">
        <v>238</v>
      </c>
      <c r="HK3314" s="5" t="s">
        <v>238</v>
      </c>
      <c r="HL3314" s="5" t="s">
        <v>238</v>
      </c>
      <c r="HM3314" s="5" t="s">
        <v>264</v>
      </c>
      <c r="HN3314" s="5" t="s">
        <v>238</v>
      </c>
      <c r="HO3314" s="5" t="s">
        <v>238</v>
      </c>
      <c r="HP3314" s="5" t="s">
        <v>238</v>
      </c>
      <c r="HQ3314" s="5" t="s">
        <v>238</v>
      </c>
      <c r="HR3314" s="5" t="s">
        <v>238</v>
      </c>
      <c r="HS3314" s="5" t="s">
        <v>238</v>
      </c>
      <c r="HT3314" s="5" t="s">
        <v>238</v>
      </c>
      <c r="HU3314" s="5" t="s">
        <v>238</v>
      </c>
      <c r="HV3314" s="5" t="s">
        <v>238</v>
      </c>
      <c r="HW3314" s="5" t="s">
        <v>238</v>
      </c>
      <c r="HX3314" s="5" t="s">
        <v>238</v>
      </c>
      <c r="HY3314" s="5" t="s">
        <v>238</v>
      </c>
      <c r="HZ3314" s="5" t="s">
        <v>238</v>
      </c>
      <c r="IA3314" s="5" t="s">
        <v>238</v>
      </c>
      <c r="IB3314" s="5" t="s">
        <v>238</v>
      </c>
      <c r="IC3314" s="5" t="s">
        <v>238</v>
      </c>
      <c r="ID3314" s="5" t="s">
        <v>238</v>
      </c>
    </row>
    <row r="3315" spans="1:238" x14ac:dyDescent="0.4">
      <c r="A3315" s="5">
        <v>9033</v>
      </c>
      <c r="B3315" s="5">
        <v>1</v>
      </c>
      <c r="C3315" s="5">
        <v>1</v>
      </c>
      <c r="D3315" s="5" t="s">
        <v>484</v>
      </c>
      <c r="E3315" s="5" t="s">
        <v>878</v>
      </c>
      <c r="F3315" s="5" t="s">
        <v>248</v>
      </c>
      <c r="G3315" s="5" t="s">
        <v>5040</v>
      </c>
      <c r="H3315" s="6" t="s">
        <v>5041</v>
      </c>
      <c r="I3315" s="8">
        <f>1</f>
        <v>1</v>
      </c>
      <c r="J3315" s="5" t="s">
        <v>499</v>
      </c>
      <c r="K3315" s="8">
        <f>1</f>
        <v>1</v>
      </c>
      <c r="L3315" s="6" t="s">
        <v>242</v>
      </c>
      <c r="M3315" s="5" t="s">
        <v>267</v>
      </c>
      <c r="N3315" s="5" t="s">
        <v>482</v>
      </c>
      <c r="O3315" s="5" t="s">
        <v>238</v>
      </c>
      <c r="P3315" s="5" t="s">
        <v>238</v>
      </c>
      <c r="Q3315" s="5" t="s">
        <v>239</v>
      </c>
      <c r="R3315" s="5" t="s">
        <v>270</v>
      </c>
      <c r="S3315" s="5" t="s">
        <v>238</v>
      </c>
      <c r="T3315" s="5" t="s">
        <v>238</v>
      </c>
      <c r="U3315" s="5" t="s">
        <v>238</v>
      </c>
      <c r="V3315" s="5" t="s">
        <v>238</v>
      </c>
      <c r="W3315" s="6" t="s">
        <v>238</v>
      </c>
      <c r="X3315" s="6" t="s">
        <v>238</v>
      </c>
      <c r="Y3315" s="5" t="s">
        <v>238</v>
      </c>
      <c r="Z3315" s="6" t="s">
        <v>238</v>
      </c>
      <c r="AA3315" s="6" t="s">
        <v>243</v>
      </c>
      <c r="AB3315" s="5" t="s">
        <v>879</v>
      </c>
      <c r="AC3315" s="5" t="s">
        <v>244</v>
      </c>
      <c r="AD3315" s="5" t="s">
        <v>245</v>
      </c>
      <c r="AE3315" s="5" t="s">
        <v>238</v>
      </c>
      <c r="AF3315" s="5" t="s">
        <v>238</v>
      </c>
      <c r="AG3315" s="5" t="s">
        <v>238</v>
      </c>
      <c r="AH3315" s="5" t="s">
        <v>238</v>
      </c>
      <c r="AI3315" s="5" t="s">
        <v>238</v>
      </c>
      <c r="AJ3315" s="5" t="s">
        <v>238</v>
      </c>
      <c r="AK3315" s="5" t="s">
        <v>238</v>
      </c>
      <c r="AL3315" s="5" t="s">
        <v>238</v>
      </c>
      <c r="AM3315" s="6" t="s">
        <v>238</v>
      </c>
      <c r="AN3315" s="6" t="s">
        <v>238</v>
      </c>
      <c r="AO3315" s="6" t="s">
        <v>238</v>
      </c>
      <c r="AP3315" s="6" t="s">
        <v>238</v>
      </c>
      <c r="AQ3315" s="5" t="s">
        <v>238</v>
      </c>
      <c r="AR3315" s="5" t="s">
        <v>488</v>
      </c>
      <c r="AS3315" s="5" t="s">
        <v>488</v>
      </c>
      <c r="AT3315" s="5" t="s">
        <v>246</v>
      </c>
      <c r="AU3315" s="5" t="s">
        <v>489</v>
      </c>
      <c r="AV3315" s="5" t="s">
        <v>247</v>
      </c>
      <c r="AW3315" s="5" t="s">
        <v>238</v>
      </c>
      <c r="AX3315" s="5" t="s">
        <v>249</v>
      </c>
      <c r="AY3315" s="5" t="s">
        <v>490</v>
      </c>
      <c r="BA3315" s="5" t="s">
        <v>238</v>
      </c>
      <c r="BC3315" s="5" t="s">
        <v>491</v>
      </c>
      <c r="BD3315" s="6" t="s">
        <v>492</v>
      </c>
      <c r="BE3315" s="5" t="s">
        <v>493</v>
      </c>
      <c r="BF3315" s="5" t="s">
        <v>493</v>
      </c>
      <c r="BG3315" s="5" t="s">
        <v>238</v>
      </c>
      <c r="BH3315" s="8">
        <f>1</f>
        <v>1</v>
      </c>
      <c r="BI3315" s="8">
        <f>1</f>
        <v>1</v>
      </c>
      <c r="BJ3315" s="5" t="s">
        <v>253</v>
      </c>
      <c r="BK3315" s="5" t="s">
        <v>254</v>
      </c>
      <c r="BL3315" s="5" t="s">
        <v>238</v>
      </c>
      <c r="BM3315" s="5" t="s">
        <v>238</v>
      </c>
      <c r="BN3315" s="5" t="s">
        <v>238</v>
      </c>
      <c r="BO3315" s="5" t="s">
        <v>238</v>
      </c>
      <c r="BP3315" s="5" t="s">
        <v>238</v>
      </c>
      <c r="BQ3315" s="5" t="s">
        <v>238</v>
      </c>
      <c r="BR3315" s="5" t="s">
        <v>238</v>
      </c>
      <c r="BS3315" s="5" t="s">
        <v>238</v>
      </c>
      <c r="BT3315" s="6" t="s">
        <v>238</v>
      </c>
      <c r="BU3315" s="5" t="s">
        <v>238</v>
      </c>
      <c r="BV3315" s="5" t="s">
        <v>238</v>
      </c>
      <c r="BW3315" s="5" t="s">
        <v>238</v>
      </c>
      <c r="BX3315" s="5" t="s">
        <v>254</v>
      </c>
      <c r="BY3315" s="5" t="s">
        <v>238</v>
      </c>
      <c r="BZ3315" s="5" t="s">
        <v>238</v>
      </c>
      <c r="CA3315" s="5" t="s">
        <v>238</v>
      </c>
      <c r="CB3315" s="5" t="s">
        <v>238</v>
      </c>
      <c r="CC3315" s="5" t="s">
        <v>238</v>
      </c>
      <c r="CD3315" s="5" t="s">
        <v>273</v>
      </c>
      <c r="CE3315" s="5" t="s">
        <v>256</v>
      </c>
      <c r="CF3315" s="5" t="s">
        <v>238</v>
      </c>
      <c r="CH3315" s="5" t="s">
        <v>494</v>
      </c>
      <c r="CI3315" s="6" t="s">
        <v>257</v>
      </c>
      <c r="CJ3315" s="5" t="s">
        <v>495</v>
      </c>
      <c r="CK3315" s="5" t="s">
        <v>258</v>
      </c>
      <c r="CL3315" s="5" t="s">
        <v>496</v>
      </c>
      <c r="CM3315" s="5" t="s">
        <v>238</v>
      </c>
      <c r="CN3315" s="5">
        <v>0</v>
      </c>
      <c r="CO3315" s="5" t="s">
        <v>497</v>
      </c>
      <c r="CP3315" s="5" t="s">
        <v>260</v>
      </c>
      <c r="CQ3315" s="5" t="s">
        <v>260</v>
      </c>
      <c r="CR3315" s="5" t="s">
        <v>261</v>
      </c>
      <c r="CS3315" s="5" t="s">
        <v>498</v>
      </c>
      <c r="CT3315" s="7">
        <f>1</f>
        <v>1</v>
      </c>
      <c r="CU3315" s="8">
        <f>1</f>
        <v>1</v>
      </c>
      <c r="CV3315" s="8">
        <f>0</f>
        <v>0</v>
      </c>
      <c r="CX3315" s="8">
        <f>1</f>
        <v>1</v>
      </c>
      <c r="CY3315" s="8">
        <f>1</f>
        <v>1</v>
      </c>
      <c r="CZ3315" s="8" t="s">
        <v>238</v>
      </c>
      <c r="DA3315" s="5" t="s">
        <v>238</v>
      </c>
      <c r="DB3315" s="5" t="s">
        <v>238</v>
      </c>
      <c r="DC3315" s="5" t="s">
        <v>238</v>
      </c>
      <c r="DD3315" s="5" t="s">
        <v>238</v>
      </c>
      <c r="DE3315" s="8">
        <f>0</f>
        <v>0</v>
      </c>
      <c r="DG3315" s="5" t="s">
        <v>238</v>
      </c>
      <c r="DH3315" s="5" t="s">
        <v>238</v>
      </c>
      <c r="DI3315" s="5" t="s">
        <v>238</v>
      </c>
      <c r="DJ3315" s="5" t="s">
        <v>238</v>
      </c>
      <c r="DK3315" s="5" t="s">
        <v>238</v>
      </c>
      <c r="DL3315" s="5" t="s">
        <v>238</v>
      </c>
      <c r="DM3315" s="8" t="s">
        <v>238</v>
      </c>
      <c r="DN3315" s="5" t="s">
        <v>238</v>
      </c>
      <c r="DO3315" s="5" t="s">
        <v>238</v>
      </c>
      <c r="DP3315" s="5" t="s">
        <v>490</v>
      </c>
      <c r="DQ3315" s="5" t="s">
        <v>490</v>
      </c>
      <c r="DR3315" s="5" t="s">
        <v>238</v>
      </c>
      <c r="DS3315" s="5" t="s">
        <v>238</v>
      </c>
      <c r="DT3315" s="5" t="s">
        <v>881</v>
      </c>
      <c r="DU3315" s="5" t="s">
        <v>1084</v>
      </c>
      <c r="DV3315" s="5" t="s">
        <v>238</v>
      </c>
      <c r="DW3315" s="5" t="s">
        <v>238</v>
      </c>
      <c r="DX3315" s="5" t="s">
        <v>238</v>
      </c>
      <c r="DY3315" s="5" t="s">
        <v>238</v>
      </c>
      <c r="DZ3315" s="5" t="s">
        <v>238</v>
      </c>
      <c r="EA3315" s="5" t="s">
        <v>238</v>
      </c>
      <c r="EB3315" s="5" t="s">
        <v>238</v>
      </c>
      <c r="EC3315" s="5" t="s">
        <v>238</v>
      </c>
      <c r="ED3315" s="5" t="s">
        <v>238</v>
      </c>
      <c r="EE3315" s="5" t="s">
        <v>238</v>
      </c>
      <c r="EF3315" s="5" t="s">
        <v>238</v>
      </c>
      <c r="EG3315" s="5" t="s">
        <v>238</v>
      </c>
      <c r="EH3315" s="5" t="s">
        <v>238</v>
      </c>
      <c r="EI3315" s="5" t="s">
        <v>238</v>
      </c>
      <c r="EJ3315" s="5" t="s">
        <v>238</v>
      </c>
      <c r="EK3315" s="5" t="s">
        <v>238</v>
      </c>
      <c r="EL3315" s="5" t="s">
        <v>238</v>
      </c>
      <c r="EM3315" s="5" t="s">
        <v>238</v>
      </c>
      <c r="EN3315" s="5" t="s">
        <v>238</v>
      </c>
      <c r="EO3315" s="5" t="s">
        <v>238</v>
      </c>
      <c r="EP3315" s="5" t="s">
        <v>238</v>
      </c>
      <c r="EQ3315" s="5" t="s">
        <v>238</v>
      </c>
      <c r="ER3315" s="5" t="s">
        <v>238</v>
      </c>
      <c r="ES3315" s="5" t="s">
        <v>238</v>
      </c>
      <c r="ET3315" s="5" t="s">
        <v>238</v>
      </c>
      <c r="EU3315" s="5" t="s">
        <v>238</v>
      </c>
      <c r="EV3315" s="5" t="s">
        <v>238</v>
      </c>
      <c r="EW3315" s="5" t="s">
        <v>238</v>
      </c>
      <c r="EX3315" s="5" t="s">
        <v>238</v>
      </c>
      <c r="EY3315" s="5" t="s">
        <v>238</v>
      </c>
      <c r="EZ3315" s="5" t="s">
        <v>238</v>
      </c>
      <c r="FA3315" s="5" t="s">
        <v>238</v>
      </c>
      <c r="FB3315" s="5" t="s">
        <v>238</v>
      </c>
      <c r="FC3315" s="5" t="s">
        <v>238</v>
      </c>
      <c r="FD3315" s="5" t="s">
        <v>238</v>
      </c>
      <c r="FE3315" s="5" t="s">
        <v>238</v>
      </c>
      <c r="FF3315" s="5" t="s">
        <v>238</v>
      </c>
      <c r="FG3315" s="5" t="s">
        <v>238</v>
      </c>
      <c r="FH3315" s="5" t="s">
        <v>238</v>
      </c>
      <c r="FI3315" s="5" t="s">
        <v>238</v>
      </c>
      <c r="FJ3315" s="5" t="s">
        <v>238</v>
      </c>
      <c r="FK3315" s="5" t="s">
        <v>238</v>
      </c>
      <c r="FL3315" s="5" t="s">
        <v>238</v>
      </c>
      <c r="FM3315" s="5" t="s">
        <v>238</v>
      </c>
      <c r="FN3315" s="5" t="s">
        <v>238</v>
      </c>
      <c r="FO3315" s="5" t="s">
        <v>238</v>
      </c>
      <c r="FP3315" s="5" t="s">
        <v>238</v>
      </c>
      <c r="FQ3315" s="5" t="s">
        <v>238</v>
      </c>
      <c r="FR3315" s="5" t="s">
        <v>238</v>
      </c>
      <c r="FS3315" s="5" t="s">
        <v>238</v>
      </c>
      <c r="FT3315" s="5" t="s">
        <v>238</v>
      </c>
      <c r="FU3315" s="5" t="s">
        <v>238</v>
      </c>
      <c r="FV3315" s="5" t="s">
        <v>238</v>
      </c>
      <c r="FW3315" s="5" t="s">
        <v>238</v>
      </c>
      <c r="FX3315" s="5" t="s">
        <v>238</v>
      </c>
      <c r="FY3315" s="5" t="s">
        <v>238</v>
      </c>
      <c r="FZ3315" s="5" t="s">
        <v>238</v>
      </c>
      <c r="GA3315" s="5" t="s">
        <v>238</v>
      </c>
      <c r="GB3315" s="5" t="s">
        <v>238</v>
      </c>
      <c r="GC3315" s="5" t="s">
        <v>238</v>
      </c>
      <c r="GD3315" s="5" t="s">
        <v>238</v>
      </c>
      <c r="GE3315" s="5" t="s">
        <v>238</v>
      </c>
      <c r="GF3315" s="5" t="s">
        <v>238</v>
      </c>
      <c r="GG3315" s="5" t="s">
        <v>238</v>
      </c>
      <c r="GH3315" s="5" t="s">
        <v>238</v>
      </c>
      <c r="GI3315" s="5" t="s">
        <v>238</v>
      </c>
      <c r="GJ3315" s="5" t="s">
        <v>238</v>
      </c>
      <c r="GK3315" s="5" t="s">
        <v>238</v>
      </c>
      <c r="GL3315" s="5" t="s">
        <v>238</v>
      </c>
      <c r="GM3315" s="5" t="s">
        <v>238</v>
      </c>
      <c r="GN3315" s="5" t="s">
        <v>238</v>
      </c>
      <c r="GO3315" s="5" t="s">
        <v>238</v>
      </c>
      <c r="GP3315" s="5" t="s">
        <v>238</v>
      </c>
      <c r="GQ3315" s="5" t="s">
        <v>238</v>
      </c>
      <c r="GR3315" s="5" t="s">
        <v>238</v>
      </c>
      <c r="GS3315" s="5" t="s">
        <v>238</v>
      </c>
      <c r="GT3315" s="5" t="s">
        <v>238</v>
      </c>
      <c r="GU3315" s="5" t="s">
        <v>238</v>
      </c>
      <c r="GV3315" s="5" t="s">
        <v>238</v>
      </c>
      <c r="GW3315" s="5" t="s">
        <v>238</v>
      </c>
      <c r="GX3315" s="5" t="s">
        <v>238</v>
      </c>
      <c r="GY3315" s="5" t="s">
        <v>238</v>
      </c>
      <c r="GZ3315" s="5" t="s">
        <v>238</v>
      </c>
      <c r="HA3315" s="5" t="s">
        <v>238</v>
      </c>
      <c r="HB3315" s="5" t="s">
        <v>238</v>
      </c>
      <c r="HC3315" s="5" t="s">
        <v>238</v>
      </c>
      <c r="HD3315" s="5" t="s">
        <v>238</v>
      </c>
      <c r="HE3315" s="5" t="s">
        <v>238</v>
      </c>
      <c r="HF3315" s="5" t="s">
        <v>238</v>
      </c>
      <c r="HG3315" s="5" t="s">
        <v>238</v>
      </c>
      <c r="HH3315" s="5" t="s">
        <v>238</v>
      </c>
      <c r="HI3315" s="5" t="s">
        <v>238</v>
      </c>
      <c r="HJ3315" s="5" t="s">
        <v>238</v>
      </c>
      <c r="HK3315" s="5" t="s">
        <v>238</v>
      </c>
      <c r="HL3315" s="5" t="s">
        <v>238</v>
      </c>
      <c r="HM3315" s="5" t="s">
        <v>264</v>
      </c>
      <c r="HN3315" s="5" t="s">
        <v>238</v>
      </c>
      <c r="HO3315" s="5" t="s">
        <v>238</v>
      </c>
      <c r="HP3315" s="5" t="s">
        <v>238</v>
      </c>
      <c r="HQ3315" s="5" t="s">
        <v>238</v>
      </c>
      <c r="HR3315" s="5" t="s">
        <v>238</v>
      </c>
      <c r="HS3315" s="5" t="s">
        <v>238</v>
      </c>
      <c r="HT3315" s="5" t="s">
        <v>238</v>
      </c>
      <c r="HU3315" s="5" t="s">
        <v>238</v>
      </c>
      <c r="HV3315" s="5" t="s">
        <v>238</v>
      </c>
      <c r="HW3315" s="5" t="s">
        <v>238</v>
      </c>
      <c r="HX3315" s="5" t="s">
        <v>238</v>
      </c>
      <c r="HY3315" s="5" t="s">
        <v>238</v>
      </c>
      <c r="HZ3315" s="5" t="s">
        <v>238</v>
      </c>
      <c r="IA3315" s="5" t="s">
        <v>238</v>
      </c>
      <c r="IB3315" s="5" t="s">
        <v>238</v>
      </c>
      <c r="IC3315" s="5" t="s">
        <v>238</v>
      </c>
      <c r="ID3315" s="5" t="s">
        <v>238</v>
      </c>
    </row>
    <row r="3316" spans="1:238" x14ac:dyDescent="0.4">
      <c r="A3316" s="5">
        <v>9034</v>
      </c>
      <c r="B3316" s="5">
        <v>1</v>
      </c>
      <c r="C3316" s="5">
        <v>1</v>
      </c>
      <c r="D3316" s="5" t="s">
        <v>484</v>
      </c>
      <c r="E3316" s="5" t="s">
        <v>878</v>
      </c>
      <c r="F3316" s="5" t="s">
        <v>248</v>
      </c>
      <c r="G3316" s="5" t="s">
        <v>3900</v>
      </c>
      <c r="H3316" s="6" t="s">
        <v>3902</v>
      </c>
      <c r="I3316" s="8">
        <f>1</f>
        <v>1</v>
      </c>
      <c r="J3316" s="5" t="s">
        <v>499</v>
      </c>
      <c r="K3316" s="8">
        <f>1</f>
        <v>1</v>
      </c>
      <c r="L3316" s="6" t="s">
        <v>242</v>
      </c>
      <c r="M3316" s="5" t="s">
        <v>267</v>
      </c>
      <c r="N3316" s="5" t="s">
        <v>482</v>
      </c>
      <c r="O3316" s="5" t="s">
        <v>238</v>
      </c>
      <c r="P3316" s="5" t="s">
        <v>238</v>
      </c>
      <c r="Q3316" s="5" t="s">
        <v>239</v>
      </c>
      <c r="R3316" s="5" t="s">
        <v>270</v>
      </c>
      <c r="S3316" s="5" t="s">
        <v>238</v>
      </c>
      <c r="T3316" s="5" t="s">
        <v>238</v>
      </c>
      <c r="U3316" s="5" t="s">
        <v>238</v>
      </c>
      <c r="V3316" s="5" t="s">
        <v>238</v>
      </c>
      <c r="W3316" s="6" t="s">
        <v>238</v>
      </c>
      <c r="X3316" s="6" t="s">
        <v>238</v>
      </c>
      <c r="Y3316" s="5" t="s">
        <v>238</v>
      </c>
      <c r="Z3316" s="6" t="s">
        <v>238</v>
      </c>
      <c r="AA3316" s="6" t="s">
        <v>243</v>
      </c>
      <c r="AB3316" s="5" t="s">
        <v>3901</v>
      </c>
      <c r="AC3316" s="5" t="s">
        <v>244</v>
      </c>
      <c r="AD3316" s="5" t="s">
        <v>245</v>
      </c>
      <c r="AE3316" s="5" t="s">
        <v>238</v>
      </c>
      <c r="AF3316" s="5" t="s">
        <v>238</v>
      </c>
      <c r="AG3316" s="5" t="s">
        <v>238</v>
      </c>
      <c r="AH3316" s="5" t="s">
        <v>238</v>
      </c>
      <c r="AI3316" s="5" t="s">
        <v>238</v>
      </c>
      <c r="AJ3316" s="5" t="s">
        <v>238</v>
      </c>
      <c r="AK3316" s="5" t="s">
        <v>238</v>
      </c>
      <c r="AL3316" s="5" t="s">
        <v>238</v>
      </c>
      <c r="AM3316" s="6" t="s">
        <v>238</v>
      </c>
      <c r="AN3316" s="6" t="s">
        <v>238</v>
      </c>
      <c r="AO3316" s="6" t="s">
        <v>238</v>
      </c>
      <c r="AP3316" s="6" t="s">
        <v>238</v>
      </c>
      <c r="AQ3316" s="5" t="s">
        <v>238</v>
      </c>
      <c r="AR3316" s="5" t="s">
        <v>488</v>
      </c>
      <c r="AS3316" s="5" t="s">
        <v>488</v>
      </c>
      <c r="AT3316" s="5" t="s">
        <v>246</v>
      </c>
      <c r="AU3316" s="5" t="s">
        <v>489</v>
      </c>
      <c r="AV3316" s="5" t="s">
        <v>247</v>
      </c>
      <c r="AW3316" s="5" t="s">
        <v>238</v>
      </c>
      <c r="AX3316" s="5" t="s">
        <v>249</v>
      </c>
      <c r="AY3316" s="5" t="s">
        <v>490</v>
      </c>
      <c r="BA3316" s="5" t="s">
        <v>238</v>
      </c>
      <c r="BC3316" s="5" t="s">
        <v>491</v>
      </c>
      <c r="BD3316" s="6" t="s">
        <v>492</v>
      </c>
      <c r="BE3316" s="5" t="s">
        <v>493</v>
      </c>
      <c r="BF3316" s="5" t="s">
        <v>493</v>
      </c>
      <c r="BG3316" s="5" t="s">
        <v>238</v>
      </c>
      <c r="BH3316" s="8">
        <f>1</f>
        <v>1</v>
      </c>
      <c r="BI3316" s="8">
        <f>1</f>
        <v>1</v>
      </c>
      <c r="BJ3316" s="5" t="s">
        <v>253</v>
      </c>
      <c r="BK3316" s="5" t="s">
        <v>254</v>
      </c>
      <c r="BL3316" s="5" t="s">
        <v>238</v>
      </c>
      <c r="BM3316" s="5" t="s">
        <v>238</v>
      </c>
      <c r="BN3316" s="5" t="s">
        <v>238</v>
      </c>
      <c r="BO3316" s="5" t="s">
        <v>238</v>
      </c>
      <c r="BP3316" s="5" t="s">
        <v>238</v>
      </c>
      <c r="BQ3316" s="5" t="s">
        <v>238</v>
      </c>
      <c r="BR3316" s="5" t="s">
        <v>238</v>
      </c>
      <c r="BS3316" s="5" t="s">
        <v>238</v>
      </c>
      <c r="BT3316" s="6" t="s">
        <v>238</v>
      </c>
      <c r="BU3316" s="5" t="s">
        <v>238</v>
      </c>
      <c r="BV3316" s="5" t="s">
        <v>238</v>
      </c>
      <c r="BW3316" s="5" t="s">
        <v>238</v>
      </c>
      <c r="BX3316" s="5" t="s">
        <v>254</v>
      </c>
      <c r="BY3316" s="5" t="s">
        <v>238</v>
      </c>
      <c r="BZ3316" s="5" t="s">
        <v>238</v>
      </c>
      <c r="CA3316" s="5" t="s">
        <v>238</v>
      </c>
      <c r="CB3316" s="5" t="s">
        <v>238</v>
      </c>
      <c r="CC3316" s="5" t="s">
        <v>238</v>
      </c>
      <c r="CD3316" s="5" t="s">
        <v>273</v>
      </c>
      <c r="CE3316" s="5" t="s">
        <v>256</v>
      </c>
      <c r="CF3316" s="5" t="s">
        <v>238</v>
      </c>
      <c r="CH3316" s="5" t="s">
        <v>494</v>
      </c>
      <c r="CI3316" s="6" t="s">
        <v>257</v>
      </c>
      <c r="CJ3316" s="5" t="s">
        <v>495</v>
      </c>
      <c r="CK3316" s="5" t="s">
        <v>258</v>
      </c>
      <c r="CL3316" s="5" t="s">
        <v>496</v>
      </c>
      <c r="CM3316" s="5" t="s">
        <v>238</v>
      </c>
      <c r="CN3316" s="5">
        <v>0</v>
      </c>
      <c r="CO3316" s="5" t="s">
        <v>497</v>
      </c>
      <c r="CP3316" s="5" t="s">
        <v>260</v>
      </c>
      <c r="CQ3316" s="5" t="s">
        <v>260</v>
      </c>
      <c r="CR3316" s="5" t="s">
        <v>261</v>
      </c>
      <c r="CS3316" s="5" t="s">
        <v>498</v>
      </c>
      <c r="CT3316" s="7">
        <f>1</f>
        <v>1</v>
      </c>
      <c r="CU3316" s="8">
        <f>1</f>
        <v>1</v>
      </c>
      <c r="CV3316" s="8">
        <f>0</f>
        <v>0</v>
      </c>
      <c r="CX3316" s="8">
        <f>1</f>
        <v>1</v>
      </c>
      <c r="CY3316" s="8">
        <f>1</f>
        <v>1</v>
      </c>
      <c r="CZ3316" s="8" t="s">
        <v>238</v>
      </c>
      <c r="DA3316" s="5" t="s">
        <v>238</v>
      </c>
      <c r="DB3316" s="5" t="s">
        <v>238</v>
      </c>
      <c r="DC3316" s="5" t="s">
        <v>238</v>
      </c>
      <c r="DD3316" s="5" t="s">
        <v>238</v>
      </c>
      <c r="DE3316" s="8">
        <f>0</f>
        <v>0</v>
      </c>
      <c r="DG3316" s="5" t="s">
        <v>238</v>
      </c>
      <c r="DH3316" s="5" t="s">
        <v>238</v>
      </c>
      <c r="DI3316" s="5" t="s">
        <v>238</v>
      </c>
      <c r="DJ3316" s="5" t="s">
        <v>238</v>
      </c>
      <c r="DK3316" s="5" t="s">
        <v>238</v>
      </c>
      <c r="DL3316" s="5" t="s">
        <v>238</v>
      </c>
      <c r="DM3316" s="8" t="s">
        <v>238</v>
      </c>
      <c r="DN3316" s="5" t="s">
        <v>238</v>
      </c>
      <c r="DO3316" s="5" t="s">
        <v>238</v>
      </c>
      <c r="DP3316" s="5" t="s">
        <v>490</v>
      </c>
      <c r="DQ3316" s="5" t="s">
        <v>490</v>
      </c>
      <c r="DR3316" s="5" t="s">
        <v>238</v>
      </c>
      <c r="DS3316" s="5" t="s">
        <v>238</v>
      </c>
      <c r="DT3316" s="5" t="s">
        <v>881</v>
      </c>
      <c r="DU3316" s="5" t="s">
        <v>1354</v>
      </c>
      <c r="DV3316" s="5" t="s">
        <v>238</v>
      </c>
      <c r="DW3316" s="5" t="s">
        <v>238</v>
      </c>
      <c r="DX3316" s="5" t="s">
        <v>238</v>
      </c>
      <c r="DY3316" s="5" t="s">
        <v>238</v>
      </c>
      <c r="DZ3316" s="5" t="s">
        <v>238</v>
      </c>
      <c r="EA3316" s="5" t="s">
        <v>238</v>
      </c>
      <c r="EB3316" s="5" t="s">
        <v>238</v>
      </c>
      <c r="EC3316" s="5" t="s">
        <v>238</v>
      </c>
      <c r="ED3316" s="5" t="s">
        <v>238</v>
      </c>
      <c r="EE3316" s="5" t="s">
        <v>238</v>
      </c>
      <c r="EF3316" s="5" t="s">
        <v>238</v>
      </c>
      <c r="EG3316" s="5" t="s">
        <v>238</v>
      </c>
      <c r="EH3316" s="5" t="s">
        <v>238</v>
      </c>
      <c r="EI3316" s="5" t="s">
        <v>238</v>
      </c>
      <c r="EJ3316" s="5" t="s">
        <v>238</v>
      </c>
      <c r="EK3316" s="5" t="s">
        <v>238</v>
      </c>
      <c r="EL3316" s="5" t="s">
        <v>238</v>
      </c>
      <c r="EM3316" s="5" t="s">
        <v>238</v>
      </c>
      <c r="EN3316" s="5" t="s">
        <v>238</v>
      </c>
      <c r="EO3316" s="5" t="s">
        <v>238</v>
      </c>
      <c r="EP3316" s="5" t="s">
        <v>238</v>
      </c>
      <c r="EQ3316" s="5" t="s">
        <v>238</v>
      </c>
      <c r="ER3316" s="5" t="s">
        <v>238</v>
      </c>
      <c r="ES3316" s="5" t="s">
        <v>238</v>
      </c>
      <c r="ET3316" s="5" t="s">
        <v>238</v>
      </c>
      <c r="EU3316" s="5" t="s">
        <v>238</v>
      </c>
      <c r="EV3316" s="5" t="s">
        <v>238</v>
      </c>
      <c r="EW3316" s="5" t="s">
        <v>238</v>
      </c>
      <c r="EX3316" s="5" t="s">
        <v>238</v>
      </c>
      <c r="EY3316" s="5" t="s">
        <v>238</v>
      </c>
      <c r="EZ3316" s="5" t="s">
        <v>238</v>
      </c>
      <c r="FA3316" s="5" t="s">
        <v>238</v>
      </c>
      <c r="FB3316" s="5" t="s">
        <v>238</v>
      </c>
      <c r="FC3316" s="5" t="s">
        <v>238</v>
      </c>
      <c r="FD3316" s="5" t="s">
        <v>238</v>
      </c>
      <c r="FE3316" s="5" t="s">
        <v>238</v>
      </c>
      <c r="FF3316" s="5" t="s">
        <v>238</v>
      </c>
      <c r="FG3316" s="5" t="s">
        <v>238</v>
      </c>
      <c r="FH3316" s="5" t="s">
        <v>238</v>
      </c>
      <c r="FI3316" s="5" t="s">
        <v>238</v>
      </c>
      <c r="FJ3316" s="5" t="s">
        <v>238</v>
      </c>
      <c r="FK3316" s="5" t="s">
        <v>238</v>
      </c>
      <c r="FL3316" s="5" t="s">
        <v>238</v>
      </c>
      <c r="FM3316" s="5" t="s">
        <v>238</v>
      </c>
      <c r="FN3316" s="5" t="s">
        <v>238</v>
      </c>
      <c r="FO3316" s="5" t="s">
        <v>238</v>
      </c>
      <c r="FP3316" s="5" t="s">
        <v>238</v>
      </c>
      <c r="FQ3316" s="5" t="s">
        <v>238</v>
      </c>
      <c r="FR3316" s="5" t="s">
        <v>238</v>
      </c>
      <c r="FS3316" s="5" t="s">
        <v>238</v>
      </c>
      <c r="FT3316" s="5" t="s">
        <v>238</v>
      </c>
      <c r="FU3316" s="5" t="s">
        <v>238</v>
      </c>
      <c r="FV3316" s="5" t="s">
        <v>238</v>
      </c>
      <c r="FW3316" s="5" t="s">
        <v>238</v>
      </c>
      <c r="FX3316" s="5" t="s">
        <v>238</v>
      </c>
      <c r="FY3316" s="5" t="s">
        <v>238</v>
      </c>
      <c r="FZ3316" s="5" t="s">
        <v>238</v>
      </c>
      <c r="GA3316" s="5" t="s">
        <v>238</v>
      </c>
      <c r="GB3316" s="5" t="s">
        <v>238</v>
      </c>
      <c r="GC3316" s="5" t="s">
        <v>238</v>
      </c>
      <c r="GD3316" s="5" t="s">
        <v>238</v>
      </c>
      <c r="GE3316" s="5" t="s">
        <v>238</v>
      </c>
      <c r="GF3316" s="5" t="s">
        <v>238</v>
      </c>
      <c r="GG3316" s="5" t="s">
        <v>238</v>
      </c>
      <c r="GH3316" s="5" t="s">
        <v>238</v>
      </c>
      <c r="GI3316" s="5" t="s">
        <v>238</v>
      </c>
      <c r="GJ3316" s="5" t="s">
        <v>238</v>
      </c>
      <c r="GK3316" s="5" t="s">
        <v>238</v>
      </c>
      <c r="GL3316" s="5" t="s">
        <v>238</v>
      </c>
      <c r="GM3316" s="5" t="s">
        <v>238</v>
      </c>
      <c r="GN3316" s="5" t="s">
        <v>238</v>
      </c>
      <c r="GO3316" s="5" t="s">
        <v>238</v>
      </c>
      <c r="GP3316" s="5" t="s">
        <v>238</v>
      </c>
      <c r="GQ3316" s="5" t="s">
        <v>238</v>
      </c>
      <c r="GR3316" s="5" t="s">
        <v>238</v>
      </c>
      <c r="GS3316" s="5" t="s">
        <v>238</v>
      </c>
      <c r="GT3316" s="5" t="s">
        <v>238</v>
      </c>
      <c r="GU3316" s="5" t="s">
        <v>238</v>
      </c>
      <c r="GV3316" s="5" t="s">
        <v>238</v>
      </c>
      <c r="GW3316" s="5" t="s">
        <v>238</v>
      </c>
      <c r="GX3316" s="5" t="s">
        <v>238</v>
      </c>
      <c r="GY3316" s="5" t="s">
        <v>238</v>
      </c>
      <c r="GZ3316" s="5" t="s">
        <v>238</v>
      </c>
      <c r="HA3316" s="5" t="s">
        <v>238</v>
      </c>
      <c r="HB3316" s="5" t="s">
        <v>238</v>
      </c>
      <c r="HC3316" s="5" t="s">
        <v>238</v>
      </c>
      <c r="HD3316" s="5" t="s">
        <v>238</v>
      </c>
      <c r="HE3316" s="5" t="s">
        <v>238</v>
      </c>
      <c r="HF3316" s="5" t="s">
        <v>238</v>
      </c>
      <c r="HG3316" s="5" t="s">
        <v>238</v>
      </c>
      <c r="HH3316" s="5" t="s">
        <v>238</v>
      </c>
      <c r="HI3316" s="5" t="s">
        <v>238</v>
      </c>
      <c r="HJ3316" s="5" t="s">
        <v>238</v>
      </c>
      <c r="HK3316" s="5" t="s">
        <v>238</v>
      </c>
      <c r="HL3316" s="5" t="s">
        <v>238</v>
      </c>
      <c r="HM3316" s="5" t="s">
        <v>264</v>
      </c>
      <c r="HN3316" s="5" t="s">
        <v>238</v>
      </c>
      <c r="HO3316" s="5" t="s">
        <v>238</v>
      </c>
      <c r="HP3316" s="5" t="s">
        <v>238</v>
      </c>
      <c r="HQ3316" s="5" t="s">
        <v>238</v>
      </c>
      <c r="HR3316" s="5" t="s">
        <v>238</v>
      </c>
      <c r="HS3316" s="5" t="s">
        <v>238</v>
      </c>
      <c r="HT3316" s="5" t="s">
        <v>238</v>
      </c>
      <c r="HU3316" s="5" t="s">
        <v>238</v>
      </c>
      <c r="HV3316" s="5" t="s">
        <v>238</v>
      </c>
      <c r="HW3316" s="5" t="s">
        <v>238</v>
      </c>
      <c r="HX3316" s="5" t="s">
        <v>238</v>
      </c>
      <c r="HY3316" s="5" t="s">
        <v>238</v>
      </c>
      <c r="HZ3316" s="5" t="s">
        <v>238</v>
      </c>
      <c r="IA3316" s="5" t="s">
        <v>238</v>
      </c>
      <c r="IB3316" s="5" t="s">
        <v>238</v>
      </c>
      <c r="IC3316" s="5" t="s">
        <v>238</v>
      </c>
      <c r="ID3316" s="5" t="s">
        <v>238</v>
      </c>
    </row>
    <row r="3317" spans="1:238" x14ac:dyDescent="0.4">
      <c r="A3317" s="5">
        <v>9035</v>
      </c>
      <c r="B3317" s="5">
        <v>1</v>
      </c>
      <c r="C3317" s="5">
        <v>1</v>
      </c>
      <c r="D3317" s="5" t="s">
        <v>484</v>
      </c>
      <c r="E3317" s="5" t="s">
        <v>878</v>
      </c>
      <c r="F3317" s="5" t="s">
        <v>248</v>
      </c>
      <c r="G3317" s="5" t="s">
        <v>5191</v>
      </c>
      <c r="H3317" s="6" t="s">
        <v>5192</v>
      </c>
      <c r="I3317" s="8">
        <f>1</f>
        <v>1</v>
      </c>
      <c r="J3317" s="5" t="s">
        <v>499</v>
      </c>
      <c r="K3317" s="8">
        <f>1</f>
        <v>1</v>
      </c>
      <c r="L3317" s="6" t="s">
        <v>242</v>
      </c>
      <c r="M3317" s="5" t="s">
        <v>267</v>
      </c>
      <c r="N3317" s="5" t="s">
        <v>482</v>
      </c>
      <c r="O3317" s="5" t="s">
        <v>238</v>
      </c>
      <c r="P3317" s="5" t="s">
        <v>238</v>
      </c>
      <c r="Q3317" s="5" t="s">
        <v>239</v>
      </c>
      <c r="R3317" s="5" t="s">
        <v>270</v>
      </c>
      <c r="S3317" s="5" t="s">
        <v>238</v>
      </c>
      <c r="T3317" s="5" t="s">
        <v>238</v>
      </c>
      <c r="U3317" s="5" t="s">
        <v>238</v>
      </c>
      <c r="V3317" s="5" t="s">
        <v>238</v>
      </c>
      <c r="W3317" s="6" t="s">
        <v>238</v>
      </c>
      <c r="X3317" s="6" t="s">
        <v>238</v>
      </c>
      <c r="Y3317" s="5" t="s">
        <v>238</v>
      </c>
      <c r="Z3317" s="6" t="s">
        <v>238</v>
      </c>
      <c r="AA3317" s="6" t="s">
        <v>243</v>
      </c>
      <c r="AB3317" s="5" t="s">
        <v>879</v>
      </c>
      <c r="AC3317" s="5" t="s">
        <v>244</v>
      </c>
      <c r="AD3317" s="5" t="s">
        <v>245</v>
      </c>
      <c r="AE3317" s="5" t="s">
        <v>238</v>
      </c>
      <c r="AF3317" s="5" t="s">
        <v>238</v>
      </c>
      <c r="AG3317" s="5" t="s">
        <v>238</v>
      </c>
      <c r="AH3317" s="5" t="s">
        <v>238</v>
      </c>
      <c r="AI3317" s="5" t="s">
        <v>238</v>
      </c>
      <c r="AJ3317" s="5" t="s">
        <v>238</v>
      </c>
      <c r="AK3317" s="5" t="s">
        <v>238</v>
      </c>
      <c r="AL3317" s="5" t="s">
        <v>238</v>
      </c>
      <c r="AM3317" s="6" t="s">
        <v>238</v>
      </c>
      <c r="AN3317" s="6" t="s">
        <v>238</v>
      </c>
      <c r="AO3317" s="6" t="s">
        <v>238</v>
      </c>
      <c r="AP3317" s="6" t="s">
        <v>238</v>
      </c>
      <c r="AQ3317" s="5" t="s">
        <v>238</v>
      </c>
      <c r="AR3317" s="5" t="s">
        <v>488</v>
      </c>
      <c r="AS3317" s="5" t="s">
        <v>488</v>
      </c>
      <c r="AT3317" s="5" t="s">
        <v>246</v>
      </c>
      <c r="AU3317" s="5" t="s">
        <v>489</v>
      </c>
      <c r="AV3317" s="5" t="s">
        <v>247</v>
      </c>
      <c r="AW3317" s="5" t="s">
        <v>238</v>
      </c>
      <c r="AX3317" s="5" t="s">
        <v>249</v>
      </c>
      <c r="AY3317" s="5" t="s">
        <v>490</v>
      </c>
      <c r="BA3317" s="5" t="s">
        <v>238</v>
      </c>
      <c r="BC3317" s="5" t="s">
        <v>491</v>
      </c>
      <c r="BD3317" s="6" t="s">
        <v>492</v>
      </c>
      <c r="BE3317" s="5" t="s">
        <v>493</v>
      </c>
      <c r="BF3317" s="5" t="s">
        <v>493</v>
      </c>
      <c r="BG3317" s="5" t="s">
        <v>238</v>
      </c>
      <c r="BH3317" s="8">
        <f>1</f>
        <v>1</v>
      </c>
      <c r="BI3317" s="8">
        <f>1</f>
        <v>1</v>
      </c>
      <c r="BJ3317" s="5" t="s">
        <v>253</v>
      </c>
      <c r="BK3317" s="5" t="s">
        <v>254</v>
      </c>
      <c r="BL3317" s="5" t="s">
        <v>238</v>
      </c>
      <c r="BM3317" s="5" t="s">
        <v>238</v>
      </c>
      <c r="BN3317" s="5" t="s">
        <v>238</v>
      </c>
      <c r="BO3317" s="5" t="s">
        <v>238</v>
      </c>
      <c r="BP3317" s="5" t="s">
        <v>238</v>
      </c>
      <c r="BQ3317" s="5" t="s">
        <v>238</v>
      </c>
      <c r="BR3317" s="5" t="s">
        <v>238</v>
      </c>
      <c r="BS3317" s="5" t="s">
        <v>238</v>
      </c>
      <c r="BT3317" s="6" t="s">
        <v>238</v>
      </c>
      <c r="BU3317" s="5" t="s">
        <v>238</v>
      </c>
      <c r="BV3317" s="5" t="s">
        <v>238</v>
      </c>
      <c r="BW3317" s="5" t="s">
        <v>238</v>
      </c>
      <c r="BX3317" s="5" t="s">
        <v>254</v>
      </c>
      <c r="BY3317" s="5" t="s">
        <v>238</v>
      </c>
      <c r="BZ3317" s="5" t="s">
        <v>238</v>
      </c>
      <c r="CA3317" s="5" t="s">
        <v>238</v>
      </c>
      <c r="CB3317" s="5" t="s">
        <v>238</v>
      </c>
      <c r="CC3317" s="5" t="s">
        <v>238</v>
      </c>
      <c r="CD3317" s="5" t="s">
        <v>273</v>
      </c>
      <c r="CE3317" s="5" t="s">
        <v>256</v>
      </c>
      <c r="CF3317" s="5" t="s">
        <v>238</v>
      </c>
      <c r="CH3317" s="5" t="s">
        <v>494</v>
      </c>
      <c r="CI3317" s="6" t="s">
        <v>257</v>
      </c>
      <c r="CJ3317" s="5" t="s">
        <v>495</v>
      </c>
      <c r="CK3317" s="5" t="s">
        <v>258</v>
      </c>
      <c r="CL3317" s="5" t="s">
        <v>496</v>
      </c>
      <c r="CM3317" s="5" t="s">
        <v>238</v>
      </c>
      <c r="CN3317" s="5">
        <v>0</v>
      </c>
      <c r="CO3317" s="5" t="s">
        <v>497</v>
      </c>
      <c r="CP3317" s="5" t="s">
        <v>260</v>
      </c>
      <c r="CQ3317" s="5" t="s">
        <v>260</v>
      </c>
      <c r="CR3317" s="5" t="s">
        <v>261</v>
      </c>
      <c r="CS3317" s="5" t="s">
        <v>498</v>
      </c>
      <c r="CT3317" s="7">
        <f>1</f>
        <v>1</v>
      </c>
      <c r="CU3317" s="8">
        <f>1</f>
        <v>1</v>
      </c>
      <c r="CV3317" s="8">
        <f>0</f>
        <v>0</v>
      </c>
      <c r="CX3317" s="8">
        <f>1</f>
        <v>1</v>
      </c>
      <c r="CY3317" s="8">
        <f>1</f>
        <v>1</v>
      </c>
      <c r="CZ3317" s="8" t="s">
        <v>238</v>
      </c>
      <c r="DA3317" s="5" t="s">
        <v>238</v>
      </c>
      <c r="DB3317" s="5" t="s">
        <v>238</v>
      </c>
      <c r="DC3317" s="5" t="s">
        <v>238</v>
      </c>
      <c r="DD3317" s="5" t="s">
        <v>238</v>
      </c>
      <c r="DE3317" s="8">
        <f>0</f>
        <v>0</v>
      </c>
      <c r="DG3317" s="5" t="s">
        <v>238</v>
      </c>
      <c r="DH3317" s="5" t="s">
        <v>238</v>
      </c>
      <c r="DI3317" s="5" t="s">
        <v>238</v>
      </c>
      <c r="DJ3317" s="5" t="s">
        <v>238</v>
      </c>
      <c r="DK3317" s="5" t="s">
        <v>238</v>
      </c>
      <c r="DL3317" s="5" t="s">
        <v>238</v>
      </c>
      <c r="DM3317" s="8" t="s">
        <v>238</v>
      </c>
      <c r="DN3317" s="5" t="s">
        <v>238</v>
      </c>
      <c r="DO3317" s="5" t="s">
        <v>238</v>
      </c>
      <c r="DP3317" s="5" t="s">
        <v>490</v>
      </c>
      <c r="DQ3317" s="5" t="s">
        <v>490</v>
      </c>
      <c r="DR3317" s="5" t="s">
        <v>238</v>
      </c>
      <c r="DS3317" s="5" t="s">
        <v>238</v>
      </c>
      <c r="DT3317" s="5" t="s">
        <v>881</v>
      </c>
      <c r="DU3317" s="5" t="s">
        <v>714</v>
      </c>
      <c r="DV3317" s="5" t="s">
        <v>238</v>
      </c>
      <c r="DW3317" s="5" t="s">
        <v>238</v>
      </c>
      <c r="DX3317" s="5" t="s">
        <v>238</v>
      </c>
      <c r="DY3317" s="5" t="s">
        <v>238</v>
      </c>
      <c r="DZ3317" s="5" t="s">
        <v>238</v>
      </c>
      <c r="EA3317" s="5" t="s">
        <v>238</v>
      </c>
      <c r="EB3317" s="5" t="s">
        <v>238</v>
      </c>
      <c r="EC3317" s="5" t="s">
        <v>238</v>
      </c>
      <c r="ED3317" s="5" t="s">
        <v>238</v>
      </c>
      <c r="EE3317" s="5" t="s">
        <v>238</v>
      </c>
      <c r="EF3317" s="5" t="s">
        <v>238</v>
      </c>
      <c r="EG3317" s="5" t="s">
        <v>238</v>
      </c>
      <c r="EH3317" s="5" t="s">
        <v>238</v>
      </c>
      <c r="EI3317" s="5" t="s">
        <v>238</v>
      </c>
      <c r="EJ3317" s="5" t="s">
        <v>238</v>
      </c>
      <c r="EK3317" s="5" t="s">
        <v>238</v>
      </c>
      <c r="EL3317" s="5" t="s">
        <v>238</v>
      </c>
      <c r="EM3317" s="5" t="s">
        <v>238</v>
      </c>
      <c r="EN3317" s="5" t="s">
        <v>238</v>
      </c>
      <c r="EO3317" s="5" t="s">
        <v>238</v>
      </c>
      <c r="EP3317" s="5" t="s">
        <v>238</v>
      </c>
      <c r="EQ3317" s="5" t="s">
        <v>238</v>
      </c>
      <c r="ER3317" s="5" t="s">
        <v>238</v>
      </c>
      <c r="ES3317" s="5" t="s">
        <v>238</v>
      </c>
      <c r="ET3317" s="5" t="s">
        <v>238</v>
      </c>
      <c r="EU3317" s="5" t="s">
        <v>238</v>
      </c>
      <c r="EV3317" s="5" t="s">
        <v>238</v>
      </c>
      <c r="EW3317" s="5" t="s">
        <v>238</v>
      </c>
      <c r="EX3317" s="5" t="s">
        <v>238</v>
      </c>
      <c r="EY3317" s="5" t="s">
        <v>238</v>
      </c>
      <c r="EZ3317" s="5" t="s">
        <v>238</v>
      </c>
      <c r="FA3317" s="5" t="s">
        <v>238</v>
      </c>
      <c r="FB3317" s="5" t="s">
        <v>238</v>
      </c>
      <c r="FC3317" s="5" t="s">
        <v>238</v>
      </c>
      <c r="FD3317" s="5" t="s">
        <v>238</v>
      </c>
      <c r="FE3317" s="5" t="s">
        <v>238</v>
      </c>
      <c r="FF3317" s="5" t="s">
        <v>238</v>
      </c>
      <c r="FG3317" s="5" t="s">
        <v>238</v>
      </c>
      <c r="FH3317" s="5" t="s">
        <v>238</v>
      </c>
      <c r="FI3317" s="5" t="s">
        <v>238</v>
      </c>
      <c r="FJ3317" s="5" t="s">
        <v>238</v>
      </c>
      <c r="FK3317" s="5" t="s">
        <v>238</v>
      </c>
      <c r="FL3317" s="5" t="s">
        <v>238</v>
      </c>
      <c r="FM3317" s="5" t="s">
        <v>238</v>
      </c>
      <c r="FN3317" s="5" t="s">
        <v>238</v>
      </c>
      <c r="FO3317" s="5" t="s">
        <v>238</v>
      </c>
      <c r="FP3317" s="5" t="s">
        <v>238</v>
      </c>
      <c r="FQ3317" s="5" t="s">
        <v>238</v>
      </c>
      <c r="FR3317" s="5" t="s">
        <v>238</v>
      </c>
      <c r="FS3317" s="5" t="s">
        <v>238</v>
      </c>
      <c r="FT3317" s="5" t="s">
        <v>238</v>
      </c>
      <c r="FU3317" s="5" t="s">
        <v>238</v>
      </c>
      <c r="FV3317" s="5" t="s">
        <v>238</v>
      </c>
      <c r="FW3317" s="5" t="s">
        <v>238</v>
      </c>
      <c r="FX3317" s="5" t="s">
        <v>238</v>
      </c>
      <c r="FY3317" s="5" t="s">
        <v>238</v>
      </c>
      <c r="FZ3317" s="5" t="s">
        <v>238</v>
      </c>
      <c r="GA3317" s="5" t="s">
        <v>238</v>
      </c>
      <c r="GB3317" s="5" t="s">
        <v>238</v>
      </c>
      <c r="GC3317" s="5" t="s">
        <v>238</v>
      </c>
      <c r="GD3317" s="5" t="s">
        <v>238</v>
      </c>
      <c r="GE3317" s="5" t="s">
        <v>238</v>
      </c>
      <c r="GF3317" s="5" t="s">
        <v>238</v>
      </c>
      <c r="GG3317" s="5" t="s">
        <v>238</v>
      </c>
      <c r="GH3317" s="5" t="s">
        <v>238</v>
      </c>
      <c r="GI3317" s="5" t="s">
        <v>238</v>
      </c>
      <c r="GJ3317" s="5" t="s">
        <v>238</v>
      </c>
      <c r="GK3317" s="5" t="s">
        <v>238</v>
      </c>
      <c r="GL3317" s="5" t="s">
        <v>238</v>
      </c>
      <c r="GM3317" s="5" t="s">
        <v>238</v>
      </c>
      <c r="GN3317" s="5" t="s">
        <v>238</v>
      </c>
      <c r="GO3317" s="5" t="s">
        <v>238</v>
      </c>
      <c r="GP3317" s="5" t="s">
        <v>238</v>
      </c>
      <c r="GQ3317" s="5" t="s">
        <v>238</v>
      </c>
      <c r="GR3317" s="5" t="s">
        <v>238</v>
      </c>
      <c r="GS3317" s="5" t="s">
        <v>238</v>
      </c>
      <c r="GT3317" s="5" t="s">
        <v>238</v>
      </c>
      <c r="GU3317" s="5" t="s">
        <v>238</v>
      </c>
      <c r="GV3317" s="5" t="s">
        <v>238</v>
      </c>
      <c r="GW3317" s="5" t="s">
        <v>238</v>
      </c>
      <c r="GX3317" s="5" t="s">
        <v>238</v>
      </c>
      <c r="GY3317" s="5" t="s">
        <v>238</v>
      </c>
      <c r="GZ3317" s="5" t="s">
        <v>238</v>
      </c>
      <c r="HA3317" s="5" t="s">
        <v>238</v>
      </c>
      <c r="HB3317" s="5" t="s">
        <v>238</v>
      </c>
      <c r="HC3317" s="5" t="s">
        <v>238</v>
      </c>
      <c r="HD3317" s="5" t="s">
        <v>238</v>
      </c>
      <c r="HE3317" s="5" t="s">
        <v>238</v>
      </c>
      <c r="HF3317" s="5" t="s">
        <v>238</v>
      </c>
      <c r="HG3317" s="5" t="s">
        <v>238</v>
      </c>
      <c r="HH3317" s="5" t="s">
        <v>238</v>
      </c>
      <c r="HI3317" s="5" t="s">
        <v>238</v>
      </c>
      <c r="HJ3317" s="5" t="s">
        <v>238</v>
      </c>
      <c r="HK3317" s="5" t="s">
        <v>238</v>
      </c>
      <c r="HL3317" s="5" t="s">
        <v>238</v>
      </c>
      <c r="HM3317" s="5" t="s">
        <v>264</v>
      </c>
      <c r="HN3317" s="5" t="s">
        <v>238</v>
      </c>
      <c r="HO3317" s="5" t="s">
        <v>238</v>
      </c>
      <c r="HP3317" s="5" t="s">
        <v>238</v>
      </c>
      <c r="HQ3317" s="5" t="s">
        <v>238</v>
      </c>
      <c r="HR3317" s="5" t="s">
        <v>238</v>
      </c>
      <c r="HS3317" s="5" t="s">
        <v>238</v>
      </c>
      <c r="HT3317" s="5" t="s">
        <v>238</v>
      </c>
      <c r="HU3317" s="5" t="s">
        <v>238</v>
      </c>
      <c r="HV3317" s="5" t="s">
        <v>238</v>
      </c>
      <c r="HW3317" s="5" t="s">
        <v>238</v>
      </c>
      <c r="HX3317" s="5" t="s">
        <v>238</v>
      </c>
      <c r="HY3317" s="5" t="s">
        <v>238</v>
      </c>
      <c r="HZ3317" s="5" t="s">
        <v>238</v>
      </c>
      <c r="IA3317" s="5" t="s">
        <v>238</v>
      </c>
      <c r="IB3317" s="5" t="s">
        <v>238</v>
      </c>
      <c r="IC3317" s="5" t="s">
        <v>238</v>
      </c>
      <c r="ID3317" s="5" t="s">
        <v>238</v>
      </c>
    </row>
    <row r="3318" spans="1:238" x14ac:dyDescent="0.4">
      <c r="A3318" s="5">
        <v>9036</v>
      </c>
      <c r="B3318" s="5">
        <v>1</v>
      </c>
      <c r="C3318" s="5">
        <v>1</v>
      </c>
      <c r="D3318" s="5" t="s">
        <v>484</v>
      </c>
      <c r="E3318" s="5" t="s">
        <v>878</v>
      </c>
      <c r="F3318" s="5" t="s">
        <v>248</v>
      </c>
      <c r="G3318" s="5" t="s">
        <v>6710</v>
      </c>
      <c r="H3318" s="6" t="s">
        <v>6711</v>
      </c>
      <c r="I3318" s="8">
        <f>1</f>
        <v>1</v>
      </c>
      <c r="J3318" s="5" t="s">
        <v>499</v>
      </c>
      <c r="K3318" s="8">
        <f>1</f>
        <v>1</v>
      </c>
      <c r="L3318" s="6" t="s">
        <v>242</v>
      </c>
      <c r="M3318" s="5" t="s">
        <v>267</v>
      </c>
      <c r="N3318" s="5" t="s">
        <v>482</v>
      </c>
      <c r="Q3318" s="5" t="s">
        <v>239</v>
      </c>
      <c r="R3318" s="5" t="s">
        <v>270</v>
      </c>
      <c r="S3318" s="5" t="s">
        <v>238</v>
      </c>
      <c r="V3318" s="5" t="s">
        <v>238</v>
      </c>
      <c r="W3318" s="6" t="s">
        <v>238</v>
      </c>
      <c r="X3318" s="6" t="s">
        <v>238</v>
      </c>
      <c r="Y3318" s="5" t="s">
        <v>238</v>
      </c>
      <c r="Z3318" s="6" t="s">
        <v>238</v>
      </c>
      <c r="AA3318" s="6" t="s">
        <v>243</v>
      </c>
      <c r="AB3318" s="5" t="s">
        <v>879</v>
      </c>
      <c r="AC3318" s="5" t="s">
        <v>244</v>
      </c>
      <c r="AD3318" s="5" t="s">
        <v>245</v>
      </c>
      <c r="AJ3318" s="5" t="s">
        <v>238</v>
      </c>
      <c r="AK3318" s="5" t="s">
        <v>238</v>
      </c>
      <c r="AL3318" s="5" t="s">
        <v>238</v>
      </c>
      <c r="AM3318" s="6" t="s">
        <v>238</v>
      </c>
      <c r="AN3318" s="6" t="s">
        <v>238</v>
      </c>
      <c r="AO3318" s="6" t="s">
        <v>238</v>
      </c>
      <c r="AR3318" s="5" t="s">
        <v>488</v>
      </c>
      <c r="AS3318" s="5" t="s">
        <v>488</v>
      </c>
      <c r="AT3318" s="5" t="s">
        <v>246</v>
      </c>
      <c r="AU3318" s="5" t="s">
        <v>489</v>
      </c>
      <c r="AV3318" s="5" t="s">
        <v>247</v>
      </c>
      <c r="AW3318" s="5" t="s">
        <v>600</v>
      </c>
      <c r="AX3318" s="5" t="s">
        <v>249</v>
      </c>
      <c r="AY3318" s="5" t="s">
        <v>490</v>
      </c>
      <c r="BA3318" s="5" t="s">
        <v>238</v>
      </c>
      <c r="BC3318" s="5" t="s">
        <v>491</v>
      </c>
      <c r="BD3318" s="6" t="s">
        <v>492</v>
      </c>
      <c r="BE3318" s="5" t="s">
        <v>493</v>
      </c>
      <c r="BF3318" s="5" t="s">
        <v>493</v>
      </c>
      <c r="BG3318" s="5" t="s">
        <v>238</v>
      </c>
      <c r="BH3318" s="8">
        <f>1</f>
        <v>1</v>
      </c>
      <c r="BI3318" s="8">
        <f>1</f>
        <v>1</v>
      </c>
      <c r="BJ3318" s="5" t="s">
        <v>253</v>
      </c>
      <c r="BK3318" s="5" t="s">
        <v>254</v>
      </c>
      <c r="BL3318" s="5" t="s">
        <v>238</v>
      </c>
      <c r="BM3318" s="5" t="s">
        <v>238</v>
      </c>
      <c r="BN3318" s="5" t="s">
        <v>238</v>
      </c>
      <c r="BO3318" s="5" t="s">
        <v>238</v>
      </c>
      <c r="BT3318" s="6" t="s">
        <v>238</v>
      </c>
      <c r="BU3318" s="5" t="s">
        <v>238</v>
      </c>
      <c r="BV3318" s="5" t="s">
        <v>238</v>
      </c>
      <c r="BW3318" s="5" t="s">
        <v>238</v>
      </c>
      <c r="BX3318" s="5" t="s">
        <v>254</v>
      </c>
      <c r="BY3318" s="5" t="s">
        <v>238</v>
      </c>
      <c r="BZ3318" s="5" t="s">
        <v>238</v>
      </c>
      <c r="CD3318" s="5" t="s">
        <v>273</v>
      </c>
      <c r="CE3318" s="5" t="s">
        <v>256</v>
      </c>
      <c r="CF3318" s="5" t="s">
        <v>261</v>
      </c>
      <c r="CH3318" s="5" t="s">
        <v>494</v>
      </c>
      <c r="CI3318" s="6" t="s">
        <v>257</v>
      </c>
      <c r="CJ3318" s="5" t="s">
        <v>495</v>
      </c>
      <c r="CK3318" s="5" t="s">
        <v>258</v>
      </c>
      <c r="CL3318" s="5" t="s">
        <v>496</v>
      </c>
      <c r="CM3318" s="5" t="s">
        <v>238</v>
      </c>
      <c r="CN3318" s="5">
        <v>0</v>
      </c>
      <c r="CO3318" s="5" t="s">
        <v>497</v>
      </c>
      <c r="CP3318" s="5" t="s">
        <v>260</v>
      </c>
      <c r="CQ3318" s="5" t="s">
        <v>260</v>
      </c>
      <c r="CR3318" s="5" t="s">
        <v>261</v>
      </c>
      <c r="CS3318" s="5" t="s">
        <v>498</v>
      </c>
      <c r="CT3318" s="7">
        <f>1</f>
        <v>1</v>
      </c>
      <c r="CU3318" s="8">
        <f>1</f>
        <v>1</v>
      </c>
      <c r="CV3318" s="8">
        <f>0</f>
        <v>0</v>
      </c>
      <c r="CW3318" s="8" t="s">
        <v>238</v>
      </c>
      <c r="CX3318" s="8">
        <f>1</f>
        <v>1</v>
      </c>
      <c r="CY3318" s="8">
        <f>1</f>
        <v>1</v>
      </c>
      <c r="CZ3318" s="8" t="s">
        <v>238</v>
      </c>
      <c r="DA3318" s="5" t="s">
        <v>238</v>
      </c>
      <c r="DB3318" s="5" t="s">
        <v>238</v>
      </c>
      <c r="DD3318" s="5" t="s">
        <v>238</v>
      </c>
      <c r="DE3318" s="8">
        <f>0</f>
        <v>0</v>
      </c>
      <c r="DF3318" s="6" t="s">
        <v>238</v>
      </c>
      <c r="DG3318" s="5" t="s">
        <v>238</v>
      </c>
      <c r="DH3318" s="5" t="s">
        <v>238</v>
      </c>
      <c r="DI3318" s="5" t="s">
        <v>238</v>
      </c>
      <c r="DJ3318" s="5" t="s">
        <v>238</v>
      </c>
      <c r="DK3318" s="5" t="s">
        <v>238</v>
      </c>
      <c r="DL3318" s="5" t="s">
        <v>238</v>
      </c>
      <c r="DM3318" s="8" t="s">
        <v>238</v>
      </c>
      <c r="DN3318" s="5" t="s">
        <v>238</v>
      </c>
      <c r="DO3318" s="5" t="s">
        <v>244</v>
      </c>
      <c r="DP3318" s="5" t="s">
        <v>490</v>
      </c>
      <c r="DQ3318" s="5" t="s">
        <v>490</v>
      </c>
      <c r="DR3318" s="5" t="s">
        <v>238</v>
      </c>
      <c r="DS3318" s="5" t="s">
        <v>238</v>
      </c>
      <c r="DT3318" s="5" t="s">
        <v>881</v>
      </c>
      <c r="DU3318" s="5" t="s">
        <v>264</v>
      </c>
      <c r="HM3318" s="5" t="s">
        <v>264</v>
      </c>
      <c r="HP3318" s="5" t="s">
        <v>238</v>
      </c>
      <c r="HQ3318" s="5" t="s">
        <v>238</v>
      </c>
      <c r="HR3318" s="5" t="s">
        <v>238</v>
      </c>
      <c r="HS3318" s="5" t="s">
        <v>238</v>
      </c>
      <c r="HT3318" s="5" t="s">
        <v>238</v>
      </c>
      <c r="HU3318" s="5" t="s">
        <v>238</v>
      </c>
      <c r="HV3318" s="5" t="s">
        <v>238</v>
      </c>
      <c r="HW3318" s="5" t="s">
        <v>238</v>
      </c>
      <c r="HX3318" s="5" t="s">
        <v>238</v>
      </c>
      <c r="HY3318" s="5" t="s">
        <v>238</v>
      </c>
      <c r="HZ3318" s="5" t="s">
        <v>238</v>
      </c>
      <c r="IA3318" s="5" t="s">
        <v>238</v>
      </c>
      <c r="IB3318" s="5" t="s">
        <v>238</v>
      </c>
      <c r="IC3318" s="5" t="s">
        <v>238</v>
      </c>
      <c r="ID3318" s="5" t="s">
        <v>238</v>
      </c>
    </row>
    <row r="3319" spans="1:238" x14ac:dyDescent="0.4">
      <c r="A3319" s="5">
        <v>9037</v>
      </c>
      <c r="B3319" s="5">
        <v>1</v>
      </c>
      <c r="C3319" s="5">
        <v>1</v>
      </c>
      <c r="D3319" s="5" t="s">
        <v>484</v>
      </c>
      <c r="E3319" s="5" t="s">
        <v>878</v>
      </c>
      <c r="F3319" s="5" t="s">
        <v>248</v>
      </c>
      <c r="G3319" s="5" t="s">
        <v>4406</v>
      </c>
      <c r="H3319" s="6" t="s">
        <v>4407</v>
      </c>
      <c r="I3319" s="8">
        <f>1</f>
        <v>1</v>
      </c>
      <c r="J3319" s="5" t="s">
        <v>499</v>
      </c>
      <c r="K3319" s="8">
        <f>1</f>
        <v>1</v>
      </c>
      <c r="L3319" s="6" t="s">
        <v>242</v>
      </c>
      <c r="M3319" s="5" t="s">
        <v>267</v>
      </c>
      <c r="N3319" s="5" t="s">
        <v>482</v>
      </c>
      <c r="O3319" s="5" t="s">
        <v>238</v>
      </c>
      <c r="P3319" s="5" t="s">
        <v>238</v>
      </c>
      <c r="Q3319" s="5" t="s">
        <v>239</v>
      </c>
      <c r="R3319" s="5" t="s">
        <v>270</v>
      </c>
      <c r="S3319" s="5" t="s">
        <v>238</v>
      </c>
      <c r="T3319" s="5" t="s">
        <v>238</v>
      </c>
      <c r="U3319" s="5" t="s">
        <v>238</v>
      </c>
      <c r="V3319" s="5" t="s">
        <v>238</v>
      </c>
      <c r="W3319" s="6" t="s">
        <v>238</v>
      </c>
      <c r="X3319" s="6" t="s">
        <v>238</v>
      </c>
      <c r="Y3319" s="5" t="s">
        <v>238</v>
      </c>
      <c r="Z3319" s="6" t="s">
        <v>238</v>
      </c>
      <c r="AA3319" s="6" t="s">
        <v>243</v>
      </c>
      <c r="AB3319" s="5" t="s">
        <v>879</v>
      </c>
      <c r="AC3319" s="5" t="s">
        <v>244</v>
      </c>
      <c r="AD3319" s="5" t="s">
        <v>245</v>
      </c>
      <c r="AE3319" s="5" t="s">
        <v>238</v>
      </c>
      <c r="AF3319" s="5" t="s">
        <v>238</v>
      </c>
      <c r="AG3319" s="5" t="s">
        <v>238</v>
      </c>
      <c r="AH3319" s="5" t="s">
        <v>238</v>
      </c>
      <c r="AI3319" s="5" t="s">
        <v>238</v>
      </c>
      <c r="AJ3319" s="5" t="s">
        <v>238</v>
      </c>
      <c r="AK3319" s="5" t="s">
        <v>238</v>
      </c>
      <c r="AL3319" s="5" t="s">
        <v>238</v>
      </c>
      <c r="AM3319" s="6" t="s">
        <v>238</v>
      </c>
      <c r="AN3319" s="6" t="s">
        <v>238</v>
      </c>
      <c r="AO3319" s="6" t="s">
        <v>238</v>
      </c>
      <c r="AP3319" s="6" t="s">
        <v>238</v>
      </c>
      <c r="AQ3319" s="5" t="s">
        <v>238</v>
      </c>
      <c r="AR3319" s="5" t="s">
        <v>488</v>
      </c>
      <c r="AS3319" s="5" t="s">
        <v>488</v>
      </c>
      <c r="AT3319" s="5" t="s">
        <v>246</v>
      </c>
      <c r="AU3319" s="5" t="s">
        <v>489</v>
      </c>
      <c r="AV3319" s="5" t="s">
        <v>247</v>
      </c>
      <c r="AW3319" s="5" t="s">
        <v>238</v>
      </c>
      <c r="AX3319" s="5" t="s">
        <v>249</v>
      </c>
      <c r="AY3319" s="5" t="s">
        <v>490</v>
      </c>
      <c r="BA3319" s="5" t="s">
        <v>238</v>
      </c>
      <c r="BC3319" s="5" t="s">
        <v>491</v>
      </c>
      <c r="BD3319" s="6" t="s">
        <v>492</v>
      </c>
      <c r="BE3319" s="5" t="s">
        <v>493</v>
      </c>
      <c r="BF3319" s="5" t="s">
        <v>493</v>
      </c>
      <c r="BG3319" s="5" t="s">
        <v>238</v>
      </c>
      <c r="BH3319" s="8">
        <f>1</f>
        <v>1</v>
      </c>
      <c r="BI3319" s="8">
        <f>1</f>
        <v>1</v>
      </c>
      <c r="BJ3319" s="5" t="s">
        <v>253</v>
      </c>
      <c r="BK3319" s="5" t="s">
        <v>254</v>
      </c>
      <c r="BL3319" s="5" t="s">
        <v>238</v>
      </c>
      <c r="BM3319" s="5" t="s">
        <v>238</v>
      </c>
      <c r="BN3319" s="5" t="s">
        <v>238</v>
      </c>
      <c r="BO3319" s="5" t="s">
        <v>238</v>
      </c>
      <c r="BP3319" s="5" t="s">
        <v>238</v>
      </c>
      <c r="BQ3319" s="5" t="s">
        <v>238</v>
      </c>
      <c r="BR3319" s="5" t="s">
        <v>238</v>
      </c>
      <c r="BS3319" s="5" t="s">
        <v>238</v>
      </c>
      <c r="BT3319" s="6" t="s">
        <v>238</v>
      </c>
      <c r="BU3319" s="5" t="s">
        <v>238</v>
      </c>
      <c r="BV3319" s="5" t="s">
        <v>238</v>
      </c>
      <c r="BW3319" s="5" t="s">
        <v>238</v>
      </c>
      <c r="BX3319" s="5" t="s">
        <v>254</v>
      </c>
      <c r="BY3319" s="5" t="s">
        <v>238</v>
      </c>
      <c r="BZ3319" s="5" t="s">
        <v>238</v>
      </c>
      <c r="CA3319" s="5" t="s">
        <v>238</v>
      </c>
      <c r="CB3319" s="5" t="s">
        <v>238</v>
      </c>
      <c r="CC3319" s="5" t="s">
        <v>238</v>
      </c>
      <c r="CD3319" s="5" t="s">
        <v>273</v>
      </c>
      <c r="CE3319" s="5" t="s">
        <v>256</v>
      </c>
      <c r="CF3319" s="5" t="s">
        <v>238</v>
      </c>
      <c r="CH3319" s="5" t="s">
        <v>494</v>
      </c>
      <c r="CI3319" s="6" t="s">
        <v>257</v>
      </c>
      <c r="CJ3319" s="5" t="s">
        <v>495</v>
      </c>
      <c r="CK3319" s="5" t="s">
        <v>258</v>
      </c>
      <c r="CL3319" s="5" t="s">
        <v>496</v>
      </c>
      <c r="CM3319" s="5" t="s">
        <v>238</v>
      </c>
      <c r="CN3319" s="5">
        <v>0</v>
      </c>
      <c r="CO3319" s="5" t="s">
        <v>497</v>
      </c>
      <c r="CP3319" s="5" t="s">
        <v>260</v>
      </c>
      <c r="CQ3319" s="5" t="s">
        <v>260</v>
      </c>
      <c r="CR3319" s="5" t="s">
        <v>261</v>
      </c>
      <c r="CS3319" s="5" t="s">
        <v>498</v>
      </c>
      <c r="CT3319" s="7">
        <f>1</f>
        <v>1</v>
      </c>
      <c r="CU3319" s="8">
        <f>1</f>
        <v>1</v>
      </c>
      <c r="CV3319" s="8">
        <f>0</f>
        <v>0</v>
      </c>
      <c r="CX3319" s="8">
        <f>1</f>
        <v>1</v>
      </c>
      <c r="CY3319" s="8">
        <f>1</f>
        <v>1</v>
      </c>
      <c r="CZ3319" s="8" t="s">
        <v>238</v>
      </c>
      <c r="DA3319" s="5" t="s">
        <v>238</v>
      </c>
      <c r="DB3319" s="5" t="s">
        <v>238</v>
      </c>
      <c r="DC3319" s="5" t="s">
        <v>238</v>
      </c>
      <c r="DD3319" s="5" t="s">
        <v>238</v>
      </c>
      <c r="DE3319" s="8">
        <f>0</f>
        <v>0</v>
      </c>
      <c r="DG3319" s="5" t="s">
        <v>238</v>
      </c>
      <c r="DH3319" s="5" t="s">
        <v>238</v>
      </c>
      <c r="DI3319" s="5" t="s">
        <v>238</v>
      </c>
      <c r="DJ3319" s="5" t="s">
        <v>238</v>
      </c>
      <c r="DK3319" s="5" t="s">
        <v>238</v>
      </c>
      <c r="DL3319" s="5" t="s">
        <v>238</v>
      </c>
      <c r="DM3319" s="8" t="s">
        <v>238</v>
      </c>
      <c r="DN3319" s="5" t="s">
        <v>238</v>
      </c>
      <c r="DO3319" s="5" t="s">
        <v>238</v>
      </c>
      <c r="DP3319" s="5" t="s">
        <v>490</v>
      </c>
      <c r="DQ3319" s="5" t="s">
        <v>490</v>
      </c>
      <c r="DR3319" s="5" t="s">
        <v>238</v>
      </c>
      <c r="DS3319" s="5" t="s">
        <v>238</v>
      </c>
      <c r="DT3319" s="5" t="s">
        <v>881</v>
      </c>
      <c r="DU3319" s="5" t="s">
        <v>1258</v>
      </c>
      <c r="DV3319" s="5" t="s">
        <v>238</v>
      </c>
      <c r="DW3319" s="5" t="s">
        <v>238</v>
      </c>
      <c r="DX3319" s="5" t="s">
        <v>238</v>
      </c>
      <c r="DY3319" s="5" t="s">
        <v>238</v>
      </c>
      <c r="DZ3319" s="5" t="s">
        <v>238</v>
      </c>
      <c r="EA3319" s="5" t="s">
        <v>238</v>
      </c>
      <c r="EB3319" s="5" t="s">
        <v>238</v>
      </c>
      <c r="EC3319" s="5" t="s">
        <v>238</v>
      </c>
      <c r="ED3319" s="5" t="s">
        <v>238</v>
      </c>
      <c r="EE3319" s="5" t="s">
        <v>238</v>
      </c>
      <c r="EF3319" s="5" t="s">
        <v>238</v>
      </c>
      <c r="EG3319" s="5" t="s">
        <v>238</v>
      </c>
      <c r="EH3319" s="5" t="s">
        <v>238</v>
      </c>
      <c r="EI3319" s="5" t="s">
        <v>238</v>
      </c>
      <c r="EJ3319" s="5" t="s">
        <v>238</v>
      </c>
      <c r="EK3319" s="5" t="s">
        <v>238</v>
      </c>
      <c r="EL3319" s="5" t="s">
        <v>238</v>
      </c>
      <c r="EM3319" s="5" t="s">
        <v>238</v>
      </c>
      <c r="EN3319" s="5" t="s">
        <v>238</v>
      </c>
      <c r="EO3319" s="5" t="s">
        <v>238</v>
      </c>
      <c r="EP3319" s="5" t="s">
        <v>238</v>
      </c>
      <c r="EQ3319" s="5" t="s">
        <v>238</v>
      </c>
      <c r="ER3319" s="5" t="s">
        <v>238</v>
      </c>
      <c r="ES3319" s="5" t="s">
        <v>238</v>
      </c>
      <c r="ET3319" s="5" t="s">
        <v>238</v>
      </c>
      <c r="EU3319" s="5" t="s">
        <v>238</v>
      </c>
      <c r="EV3319" s="5" t="s">
        <v>238</v>
      </c>
      <c r="EW3319" s="5" t="s">
        <v>238</v>
      </c>
      <c r="EX3319" s="5" t="s">
        <v>238</v>
      </c>
      <c r="EY3319" s="5" t="s">
        <v>238</v>
      </c>
      <c r="EZ3319" s="5" t="s">
        <v>238</v>
      </c>
      <c r="FA3319" s="5" t="s">
        <v>238</v>
      </c>
      <c r="FB3319" s="5" t="s">
        <v>238</v>
      </c>
      <c r="FC3319" s="5" t="s">
        <v>238</v>
      </c>
      <c r="FD3319" s="5" t="s">
        <v>238</v>
      </c>
      <c r="FE3319" s="5" t="s">
        <v>238</v>
      </c>
      <c r="FF3319" s="5" t="s">
        <v>238</v>
      </c>
      <c r="FG3319" s="5" t="s">
        <v>238</v>
      </c>
      <c r="FH3319" s="5" t="s">
        <v>238</v>
      </c>
      <c r="FI3319" s="5" t="s">
        <v>238</v>
      </c>
      <c r="FJ3319" s="5" t="s">
        <v>238</v>
      </c>
      <c r="FK3319" s="5" t="s">
        <v>238</v>
      </c>
      <c r="FL3319" s="5" t="s">
        <v>238</v>
      </c>
      <c r="FM3319" s="5" t="s">
        <v>238</v>
      </c>
      <c r="FN3319" s="5" t="s">
        <v>238</v>
      </c>
      <c r="FO3319" s="5" t="s">
        <v>238</v>
      </c>
      <c r="FP3319" s="5" t="s">
        <v>238</v>
      </c>
      <c r="FQ3319" s="5" t="s">
        <v>238</v>
      </c>
      <c r="FR3319" s="5" t="s">
        <v>238</v>
      </c>
      <c r="FS3319" s="5" t="s">
        <v>238</v>
      </c>
      <c r="FT3319" s="5" t="s">
        <v>238</v>
      </c>
      <c r="FU3319" s="5" t="s">
        <v>238</v>
      </c>
      <c r="FV3319" s="5" t="s">
        <v>238</v>
      </c>
      <c r="FW3319" s="5" t="s">
        <v>238</v>
      </c>
      <c r="FX3319" s="5" t="s">
        <v>238</v>
      </c>
      <c r="FY3319" s="5" t="s">
        <v>238</v>
      </c>
      <c r="FZ3319" s="5" t="s">
        <v>238</v>
      </c>
      <c r="GA3319" s="5" t="s">
        <v>238</v>
      </c>
      <c r="GB3319" s="5" t="s">
        <v>238</v>
      </c>
      <c r="GC3319" s="5" t="s">
        <v>238</v>
      </c>
      <c r="GD3319" s="5" t="s">
        <v>238</v>
      </c>
      <c r="GE3319" s="5" t="s">
        <v>238</v>
      </c>
      <c r="GF3319" s="5" t="s">
        <v>238</v>
      </c>
      <c r="GG3319" s="5" t="s">
        <v>238</v>
      </c>
      <c r="GH3319" s="5" t="s">
        <v>238</v>
      </c>
      <c r="GI3319" s="5" t="s">
        <v>238</v>
      </c>
      <c r="GJ3319" s="5" t="s">
        <v>238</v>
      </c>
      <c r="GK3319" s="5" t="s">
        <v>238</v>
      </c>
      <c r="GL3319" s="5" t="s">
        <v>238</v>
      </c>
      <c r="GM3319" s="5" t="s">
        <v>238</v>
      </c>
      <c r="GN3319" s="5" t="s">
        <v>238</v>
      </c>
      <c r="GO3319" s="5" t="s">
        <v>238</v>
      </c>
      <c r="GP3319" s="5" t="s">
        <v>238</v>
      </c>
      <c r="GQ3319" s="5" t="s">
        <v>238</v>
      </c>
      <c r="GR3319" s="5" t="s">
        <v>238</v>
      </c>
      <c r="GS3319" s="5" t="s">
        <v>238</v>
      </c>
      <c r="GT3319" s="5" t="s">
        <v>238</v>
      </c>
      <c r="GU3319" s="5" t="s">
        <v>238</v>
      </c>
      <c r="GV3319" s="5" t="s">
        <v>238</v>
      </c>
      <c r="GW3319" s="5" t="s">
        <v>238</v>
      </c>
      <c r="GX3319" s="5" t="s">
        <v>238</v>
      </c>
      <c r="GY3319" s="5" t="s">
        <v>238</v>
      </c>
      <c r="GZ3319" s="5" t="s">
        <v>238</v>
      </c>
      <c r="HA3319" s="5" t="s">
        <v>238</v>
      </c>
      <c r="HB3319" s="5" t="s">
        <v>238</v>
      </c>
      <c r="HC3319" s="5" t="s">
        <v>238</v>
      </c>
      <c r="HD3319" s="5" t="s">
        <v>238</v>
      </c>
      <c r="HE3319" s="5" t="s">
        <v>238</v>
      </c>
      <c r="HF3319" s="5" t="s">
        <v>238</v>
      </c>
      <c r="HG3319" s="5" t="s">
        <v>238</v>
      </c>
      <c r="HH3319" s="5" t="s">
        <v>238</v>
      </c>
      <c r="HI3319" s="5" t="s">
        <v>238</v>
      </c>
      <c r="HJ3319" s="5" t="s">
        <v>238</v>
      </c>
      <c r="HK3319" s="5" t="s">
        <v>238</v>
      </c>
      <c r="HL3319" s="5" t="s">
        <v>238</v>
      </c>
      <c r="HM3319" s="5" t="s">
        <v>264</v>
      </c>
      <c r="HN3319" s="5" t="s">
        <v>238</v>
      </c>
      <c r="HO3319" s="5" t="s">
        <v>238</v>
      </c>
      <c r="HP3319" s="5" t="s">
        <v>238</v>
      </c>
      <c r="HQ3319" s="5" t="s">
        <v>238</v>
      </c>
      <c r="HR3319" s="5" t="s">
        <v>238</v>
      </c>
      <c r="HS3319" s="5" t="s">
        <v>238</v>
      </c>
      <c r="HT3319" s="5" t="s">
        <v>238</v>
      </c>
      <c r="HU3319" s="5" t="s">
        <v>238</v>
      </c>
      <c r="HV3319" s="5" t="s">
        <v>238</v>
      </c>
      <c r="HW3319" s="5" t="s">
        <v>238</v>
      </c>
      <c r="HX3319" s="5" t="s">
        <v>238</v>
      </c>
      <c r="HY3319" s="5" t="s">
        <v>238</v>
      </c>
      <c r="HZ3319" s="5" t="s">
        <v>238</v>
      </c>
      <c r="IA3319" s="5" t="s">
        <v>238</v>
      </c>
      <c r="IB3319" s="5" t="s">
        <v>238</v>
      </c>
      <c r="IC3319" s="5" t="s">
        <v>238</v>
      </c>
      <c r="ID3319" s="5" t="s">
        <v>238</v>
      </c>
    </row>
    <row r="3320" spans="1:238" x14ac:dyDescent="0.4">
      <c r="A3320" s="5">
        <v>9038</v>
      </c>
      <c r="B3320" s="5">
        <v>1</v>
      </c>
      <c r="C3320" s="5">
        <v>1</v>
      </c>
      <c r="D3320" s="5" t="s">
        <v>484</v>
      </c>
      <c r="E3320" s="5" t="s">
        <v>878</v>
      </c>
      <c r="F3320" s="5" t="s">
        <v>248</v>
      </c>
      <c r="G3320" s="5" t="s">
        <v>4813</v>
      </c>
      <c r="H3320" s="6" t="s">
        <v>4814</v>
      </c>
      <c r="I3320" s="8">
        <f>1</f>
        <v>1</v>
      </c>
      <c r="J3320" s="5" t="s">
        <v>499</v>
      </c>
      <c r="K3320" s="8">
        <f>1</f>
        <v>1</v>
      </c>
      <c r="L3320" s="6" t="s">
        <v>242</v>
      </c>
      <c r="M3320" s="5" t="s">
        <v>267</v>
      </c>
      <c r="N3320" s="5" t="s">
        <v>482</v>
      </c>
      <c r="O3320" s="5" t="s">
        <v>238</v>
      </c>
      <c r="P3320" s="5" t="s">
        <v>238</v>
      </c>
      <c r="Q3320" s="5" t="s">
        <v>239</v>
      </c>
      <c r="R3320" s="5" t="s">
        <v>270</v>
      </c>
      <c r="S3320" s="5" t="s">
        <v>238</v>
      </c>
      <c r="T3320" s="5" t="s">
        <v>238</v>
      </c>
      <c r="U3320" s="5" t="s">
        <v>238</v>
      </c>
      <c r="V3320" s="5" t="s">
        <v>238</v>
      </c>
      <c r="W3320" s="6" t="s">
        <v>238</v>
      </c>
      <c r="X3320" s="6" t="s">
        <v>238</v>
      </c>
      <c r="Y3320" s="5" t="s">
        <v>238</v>
      </c>
      <c r="Z3320" s="6" t="s">
        <v>238</v>
      </c>
      <c r="AA3320" s="6" t="s">
        <v>243</v>
      </c>
      <c r="AB3320" s="5" t="s">
        <v>879</v>
      </c>
      <c r="AC3320" s="5" t="s">
        <v>244</v>
      </c>
      <c r="AD3320" s="5" t="s">
        <v>245</v>
      </c>
      <c r="AE3320" s="5" t="s">
        <v>238</v>
      </c>
      <c r="AF3320" s="5" t="s">
        <v>238</v>
      </c>
      <c r="AG3320" s="5" t="s">
        <v>238</v>
      </c>
      <c r="AH3320" s="5" t="s">
        <v>238</v>
      </c>
      <c r="AI3320" s="5" t="s">
        <v>238</v>
      </c>
      <c r="AJ3320" s="5" t="s">
        <v>238</v>
      </c>
      <c r="AK3320" s="5" t="s">
        <v>238</v>
      </c>
      <c r="AL3320" s="5" t="s">
        <v>238</v>
      </c>
      <c r="AM3320" s="6" t="s">
        <v>238</v>
      </c>
      <c r="AN3320" s="6" t="s">
        <v>238</v>
      </c>
      <c r="AO3320" s="6" t="s">
        <v>238</v>
      </c>
      <c r="AP3320" s="6" t="s">
        <v>238</v>
      </c>
      <c r="AQ3320" s="5" t="s">
        <v>238</v>
      </c>
      <c r="AR3320" s="5" t="s">
        <v>488</v>
      </c>
      <c r="AS3320" s="5" t="s">
        <v>488</v>
      </c>
      <c r="AT3320" s="5" t="s">
        <v>246</v>
      </c>
      <c r="AU3320" s="5" t="s">
        <v>489</v>
      </c>
      <c r="AV3320" s="5" t="s">
        <v>247</v>
      </c>
      <c r="AW3320" s="5" t="s">
        <v>238</v>
      </c>
      <c r="AX3320" s="5" t="s">
        <v>249</v>
      </c>
      <c r="AY3320" s="5" t="s">
        <v>490</v>
      </c>
      <c r="BA3320" s="5" t="s">
        <v>238</v>
      </c>
      <c r="BC3320" s="5" t="s">
        <v>491</v>
      </c>
      <c r="BD3320" s="6" t="s">
        <v>492</v>
      </c>
      <c r="BE3320" s="5" t="s">
        <v>493</v>
      </c>
      <c r="BF3320" s="5" t="s">
        <v>493</v>
      </c>
      <c r="BG3320" s="5" t="s">
        <v>238</v>
      </c>
      <c r="BH3320" s="8">
        <f>1</f>
        <v>1</v>
      </c>
      <c r="BI3320" s="8">
        <f>1</f>
        <v>1</v>
      </c>
      <c r="BJ3320" s="5" t="s">
        <v>253</v>
      </c>
      <c r="BK3320" s="5" t="s">
        <v>254</v>
      </c>
      <c r="BL3320" s="5" t="s">
        <v>238</v>
      </c>
      <c r="BM3320" s="5" t="s">
        <v>238</v>
      </c>
      <c r="BN3320" s="5" t="s">
        <v>238</v>
      </c>
      <c r="BO3320" s="5" t="s">
        <v>238</v>
      </c>
      <c r="BP3320" s="5" t="s">
        <v>238</v>
      </c>
      <c r="BQ3320" s="5" t="s">
        <v>238</v>
      </c>
      <c r="BR3320" s="5" t="s">
        <v>238</v>
      </c>
      <c r="BS3320" s="5" t="s">
        <v>238</v>
      </c>
      <c r="BT3320" s="6" t="s">
        <v>238</v>
      </c>
      <c r="BU3320" s="5" t="s">
        <v>238</v>
      </c>
      <c r="BV3320" s="5" t="s">
        <v>238</v>
      </c>
      <c r="BW3320" s="5" t="s">
        <v>238</v>
      </c>
      <c r="BX3320" s="5" t="s">
        <v>254</v>
      </c>
      <c r="BY3320" s="5" t="s">
        <v>238</v>
      </c>
      <c r="BZ3320" s="5" t="s">
        <v>238</v>
      </c>
      <c r="CA3320" s="5" t="s">
        <v>238</v>
      </c>
      <c r="CB3320" s="5" t="s">
        <v>238</v>
      </c>
      <c r="CC3320" s="5" t="s">
        <v>238</v>
      </c>
      <c r="CD3320" s="5" t="s">
        <v>273</v>
      </c>
      <c r="CE3320" s="5" t="s">
        <v>256</v>
      </c>
      <c r="CF3320" s="5" t="s">
        <v>238</v>
      </c>
      <c r="CH3320" s="5" t="s">
        <v>494</v>
      </c>
      <c r="CI3320" s="6" t="s">
        <v>257</v>
      </c>
      <c r="CJ3320" s="5" t="s">
        <v>495</v>
      </c>
      <c r="CK3320" s="5" t="s">
        <v>258</v>
      </c>
      <c r="CL3320" s="5" t="s">
        <v>496</v>
      </c>
      <c r="CM3320" s="5" t="s">
        <v>238</v>
      </c>
      <c r="CN3320" s="5">
        <v>0</v>
      </c>
      <c r="CO3320" s="5" t="s">
        <v>497</v>
      </c>
      <c r="CP3320" s="5" t="s">
        <v>260</v>
      </c>
      <c r="CQ3320" s="5" t="s">
        <v>260</v>
      </c>
      <c r="CR3320" s="5" t="s">
        <v>261</v>
      </c>
      <c r="CS3320" s="5" t="s">
        <v>498</v>
      </c>
      <c r="CT3320" s="7">
        <f>1</f>
        <v>1</v>
      </c>
      <c r="CU3320" s="8">
        <f>1</f>
        <v>1</v>
      </c>
      <c r="CV3320" s="8">
        <f>0</f>
        <v>0</v>
      </c>
      <c r="CX3320" s="8">
        <f>1</f>
        <v>1</v>
      </c>
      <c r="CY3320" s="8">
        <f>1</f>
        <v>1</v>
      </c>
      <c r="CZ3320" s="8" t="s">
        <v>238</v>
      </c>
      <c r="DA3320" s="5" t="s">
        <v>238</v>
      </c>
      <c r="DB3320" s="5" t="s">
        <v>238</v>
      </c>
      <c r="DC3320" s="5" t="s">
        <v>238</v>
      </c>
      <c r="DD3320" s="5" t="s">
        <v>238</v>
      </c>
      <c r="DE3320" s="8">
        <f>0</f>
        <v>0</v>
      </c>
      <c r="DG3320" s="5" t="s">
        <v>238</v>
      </c>
      <c r="DH3320" s="5" t="s">
        <v>238</v>
      </c>
      <c r="DI3320" s="5" t="s">
        <v>238</v>
      </c>
      <c r="DJ3320" s="5" t="s">
        <v>238</v>
      </c>
      <c r="DK3320" s="5" t="s">
        <v>238</v>
      </c>
      <c r="DL3320" s="5" t="s">
        <v>238</v>
      </c>
      <c r="DM3320" s="8" t="s">
        <v>238</v>
      </c>
      <c r="DN3320" s="5" t="s">
        <v>238</v>
      </c>
      <c r="DO3320" s="5" t="s">
        <v>238</v>
      </c>
      <c r="DP3320" s="5" t="s">
        <v>490</v>
      </c>
      <c r="DQ3320" s="5" t="s">
        <v>490</v>
      </c>
      <c r="DR3320" s="5" t="s">
        <v>238</v>
      </c>
      <c r="DS3320" s="5" t="s">
        <v>238</v>
      </c>
      <c r="DT3320" s="5" t="s">
        <v>881</v>
      </c>
      <c r="DU3320" s="5" t="s">
        <v>1104</v>
      </c>
      <c r="DV3320" s="5" t="s">
        <v>238</v>
      </c>
      <c r="DW3320" s="5" t="s">
        <v>238</v>
      </c>
      <c r="DX3320" s="5" t="s">
        <v>238</v>
      </c>
      <c r="DY3320" s="5" t="s">
        <v>238</v>
      </c>
      <c r="DZ3320" s="5" t="s">
        <v>238</v>
      </c>
      <c r="EA3320" s="5" t="s">
        <v>238</v>
      </c>
      <c r="EB3320" s="5" t="s">
        <v>238</v>
      </c>
      <c r="EC3320" s="5" t="s">
        <v>238</v>
      </c>
      <c r="ED3320" s="5" t="s">
        <v>238</v>
      </c>
      <c r="EE3320" s="5" t="s">
        <v>238</v>
      </c>
      <c r="EF3320" s="5" t="s">
        <v>238</v>
      </c>
      <c r="EG3320" s="5" t="s">
        <v>238</v>
      </c>
      <c r="EH3320" s="5" t="s">
        <v>238</v>
      </c>
      <c r="EI3320" s="5" t="s">
        <v>238</v>
      </c>
      <c r="EJ3320" s="5" t="s">
        <v>238</v>
      </c>
      <c r="EK3320" s="5" t="s">
        <v>238</v>
      </c>
      <c r="EL3320" s="5" t="s">
        <v>238</v>
      </c>
      <c r="EM3320" s="5" t="s">
        <v>238</v>
      </c>
      <c r="EN3320" s="5" t="s">
        <v>238</v>
      </c>
      <c r="EO3320" s="5" t="s">
        <v>238</v>
      </c>
      <c r="EP3320" s="5" t="s">
        <v>238</v>
      </c>
      <c r="EQ3320" s="5" t="s">
        <v>238</v>
      </c>
      <c r="ER3320" s="5" t="s">
        <v>238</v>
      </c>
      <c r="ES3320" s="5" t="s">
        <v>238</v>
      </c>
      <c r="ET3320" s="5" t="s">
        <v>238</v>
      </c>
      <c r="EU3320" s="5" t="s">
        <v>238</v>
      </c>
      <c r="EV3320" s="5" t="s">
        <v>238</v>
      </c>
      <c r="EW3320" s="5" t="s">
        <v>238</v>
      </c>
      <c r="EX3320" s="5" t="s">
        <v>238</v>
      </c>
      <c r="EY3320" s="5" t="s">
        <v>238</v>
      </c>
      <c r="EZ3320" s="5" t="s">
        <v>238</v>
      </c>
      <c r="FA3320" s="5" t="s">
        <v>238</v>
      </c>
      <c r="FB3320" s="5" t="s">
        <v>238</v>
      </c>
      <c r="FC3320" s="5" t="s">
        <v>238</v>
      </c>
      <c r="FD3320" s="5" t="s">
        <v>238</v>
      </c>
      <c r="FE3320" s="5" t="s">
        <v>238</v>
      </c>
      <c r="FF3320" s="5" t="s">
        <v>238</v>
      </c>
      <c r="FG3320" s="5" t="s">
        <v>238</v>
      </c>
      <c r="FH3320" s="5" t="s">
        <v>238</v>
      </c>
      <c r="FI3320" s="5" t="s">
        <v>238</v>
      </c>
      <c r="FJ3320" s="5" t="s">
        <v>238</v>
      </c>
      <c r="FK3320" s="5" t="s">
        <v>238</v>
      </c>
      <c r="FL3320" s="5" t="s">
        <v>238</v>
      </c>
      <c r="FM3320" s="5" t="s">
        <v>238</v>
      </c>
      <c r="FN3320" s="5" t="s">
        <v>238</v>
      </c>
      <c r="FO3320" s="5" t="s">
        <v>238</v>
      </c>
      <c r="FP3320" s="5" t="s">
        <v>238</v>
      </c>
      <c r="FQ3320" s="5" t="s">
        <v>238</v>
      </c>
      <c r="FR3320" s="5" t="s">
        <v>238</v>
      </c>
      <c r="FS3320" s="5" t="s">
        <v>238</v>
      </c>
      <c r="FT3320" s="5" t="s">
        <v>238</v>
      </c>
      <c r="FU3320" s="5" t="s">
        <v>238</v>
      </c>
      <c r="FV3320" s="5" t="s">
        <v>238</v>
      </c>
      <c r="FW3320" s="5" t="s">
        <v>238</v>
      </c>
      <c r="FX3320" s="5" t="s">
        <v>238</v>
      </c>
      <c r="FY3320" s="5" t="s">
        <v>238</v>
      </c>
      <c r="FZ3320" s="5" t="s">
        <v>238</v>
      </c>
      <c r="GA3320" s="5" t="s">
        <v>238</v>
      </c>
      <c r="GB3320" s="5" t="s">
        <v>238</v>
      </c>
      <c r="GC3320" s="5" t="s">
        <v>238</v>
      </c>
      <c r="GD3320" s="5" t="s">
        <v>238</v>
      </c>
      <c r="GE3320" s="5" t="s">
        <v>238</v>
      </c>
      <c r="GF3320" s="5" t="s">
        <v>238</v>
      </c>
      <c r="GG3320" s="5" t="s">
        <v>238</v>
      </c>
      <c r="GH3320" s="5" t="s">
        <v>238</v>
      </c>
      <c r="GI3320" s="5" t="s">
        <v>238</v>
      </c>
      <c r="GJ3320" s="5" t="s">
        <v>238</v>
      </c>
      <c r="GK3320" s="5" t="s">
        <v>238</v>
      </c>
      <c r="GL3320" s="5" t="s">
        <v>238</v>
      </c>
      <c r="GM3320" s="5" t="s">
        <v>238</v>
      </c>
      <c r="GN3320" s="5" t="s">
        <v>238</v>
      </c>
      <c r="GO3320" s="5" t="s">
        <v>238</v>
      </c>
      <c r="GP3320" s="5" t="s">
        <v>238</v>
      </c>
      <c r="GQ3320" s="5" t="s">
        <v>238</v>
      </c>
      <c r="GR3320" s="5" t="s">
        <v>238</v>
      </c>
      <c r="GS3320" s="5" t="s">
        <v>238</v>
      </c>
      <c r="GT3320" s="5" t="s">
        <v>238</v>
      </c>
      <c r="GU3320" s="5" t="s">
        <v>238</v>
      </c>
      <c r="GV3320" s="5" t="s">
        <v>238</v>
      </c>
      <c r="GW3320" s="5" t="s">
        <v>238</v>
      </c>
      <c r="GX3320" s="5" t="s">
        <v>238</v>
      </c>
      <c r="GY3320" s="5" t="s">
        <v>238</v>
      </c>
      <c r="GZ3320" s="5" t="s">
        <v>238</v>
      </c>
      <c r="HA3320" s="5" t="s">
        <v>238</v>
      </c>
      <c r="HB3320" s="5" t="s">
        <v>238</v>
      </c>
      <c r="HC3320" s="5" t="s">
        <v>238</v>
      </c>
      <c r="HD3320" s="5" t="s">
        <v>238</v>
      </c>
      <c r="HE3320" s="5" t="s">
        <v>238</v>
      </c>
      <c r="HF3320" s="5" t="s">
        <v>238</v>
      </c>
      <c r="HG3320" s="5" t="s">
        <v>238</v>
      </c>
      <c r="HH3320" s="5" t="s">
        <v>238</v>
      </c>
      <c r="HI3320" s="5" t="s">
        <v>238</v>
      </c>
      <c r="HJ3320" s="5" t="s">
        <v>238</v>
      </c>
      <c r="HK3320" s="5" t="s">
        <v>238</v>
      </c>
      <c r="HL3320" s="5" t="s">
        <v>238</v>
      </c>
      <c r="HM3320" s="5" t="s">
        <v>264</v>
      </c>
      <c r="HN3320" s="5" t="s">
        <v>238</v>
      </c>
      <c r="HO3320" s="5" t="s">
        <v>238</v>
      </c>
      <c r="HP3320" s="5" t="s">
        <v>238</v>
      </c>
      <c r="HQ3320" s="5" t="s">
        <v>238</v>
      </c>
      <c r="HR3320" s="5" t="s">
        <v>238</v>
      </c>
      <c r="HS3320" s="5" t="s">
        <v>238</v>
      </c>
      <c r="HT3320" s="5" t="s">
        <v>238</v>
      </c>
      <c r="HU3320" s="5" t="s">
        <v>238</v>
      </c>
      <c r="HV3320" s="5" t="s">
        <v>238</v>
      </c>
      <c r="HW3320" s="5" t="s">
        <v>238</v>
      </c>
      <c r="HX3320" s="5" t="s">
        <v>238</v>
      </c>
      <c r="HY3320" s="5" t="s">
        <v>238</v>
      </c>
      <c r="HZ3320" s="5" t="s">
        <v>238</v>
      </c>
      <c r="IA3320" s="5" t="s">
        <v>238</v>
      </c>
      <c r="IB3320" s="5" t="s">
        <v>238</v>
      </c>
      <c r="IC3320" s="5" t="s">
        <v>238</v>
      </c>
      <c r="ID3320" s="5" t="s">
        <v>238</v>
      </c>
    </row>
    <row r="3321" spans="1:238" x14ac:dyDescent="0.4">
      <c r="A3321" s="5">
        <v>9039</v>
      </c>
      <c r="B3321" s="5">
        <v>1</v>
      </c>
      <c r="C3321" s="5">
        <v>1</v>
      </c>
      <c r="D3321" s="5" t="s">
        <v>484</v>
      </c>
      <c r="E3321" s="5" t="s">
        <v>878</v>
      </c>
      <c r="F3321" s="5" t="s">
        <v>248</v>
      </c>
      <c r="G3321" s="5" t="s">
        <v>4634</v>
      </c>
      <c r="H3321" s="6" t="s">
        <v>4635</v>
      </c>
      <c r="I3321" s="8">
        <f>1</f>
        <v>1</v>
      </c>
      <c r="J3321" s="5" t="s">
        <v>499</v>
      </c>
      <c r="K3321" s="8">
        <f>1</f>
        <v>1</v>
      </c>
      <c r="L3321" s="6" t="s">
        <v>242</v>
      </c>
      <c r="M3321" s="5" t="s">
        <v>267</v>
      </c>
      <c r="N3321" s="5" t="s">
        <v>482</v>
      </c>
      <c r="O3321" s="5" t="s">
        <v>238</v>
      </c>
      <c r="P3321" s="5" t="s">
        <v>238</v>
      </c>
      <c r="Q3321" s="5" t="s">
        <v>239</v>
      </c>
      <c r="R3321" s="5" t="s">
        <v>270</v>
      </c>
      <c r="S3321" s="5" t="s">
        <v>238</v>
      </c>
      <c r="T3321" s="5" t="s">
        <v>238</v>
      </c>
      <c r="U3321" s="5" t="s">
        <v>238</v>
      </c>
      <c r="V3321" s="5" t="s">
        <v>238</v>
      </c>
      <c r="W3321" s="6" t="s">
        <v>238</v>
      </c>
      <c r="X3321" s="6" t="s">
        <v>238</v>
      </c>
      <c r="Y3321" s="5" t="s">
        <v>238</v>
      </c>
      <c r="Z3321" s="6" t="s">
        <v>238</v>
      </c>
      <c r="AA3321" s="6" t="s">
        <v>243</v>
      </c>
      <c r="AB3321" s="5" t="s">
        <v>879</v>
      </c>
      <c r="AC3321" s="5" t="s">
        <v>244</v>
      </c>
      <c r="AD3321" s="5" t="s">
        <v>245</v>
      </c>
      <c r="AE3321" s="5" t="s">
        <v>238</v>
      </c>
      <c r="AF3321" s="5" t="s">
        <v>238</v>
      </c>
      <c r="AG3321" s="5" t="s">
        <v>238</v>
      </c>
      <c r="AH3321" s="5" t="s">
        <v>238</v>
      </c>
      <c r="AI3321" s="5" t="s">
        <v>238</v>
      </c>
      <c r="AJ3321" s="5" t="s">
        <v>238</v>
      </c>
      <c r="AK3321" s="5" t="s">
        <v>238</v>
      </c>
      <c r="AL3321" s="5" t="s">
        <v>238</v>
      </c>
      <c r="AM3321" s="6" t="s">
        <v>238</v>
      </c>
      <c r="AN3321" s="6" t="s">
        <v>238</v>
      </c>
      <c r="AO3321" s="6" t="s">
        <v>238</v>
      </c>
      <c r="AP3321" s="6" t="s">
        <v>238</v>
      </c>
      <c r="AQ3321" s="5" t="s">
        <v>238</v>
      </c>
      <c r="AR3321" s="5" t="s">
        <v>488</v>
      </c>
      <c r="AS3321" s="5" t="s">
        <v>488</v>
      </c>
      <c r="AT3321" s="5" t="s">
        <v>246</v>
      </c>
      <c r="AU3321" s="5" t="s">
        <v>489</v>
      </c>
      <c r="AV3321" s="5" t="s">
        <v>247</v>
      </c>
      <c r="AW3321" s="5" t="s">
        <v>238</v>
      </c>
      <c r="AX3321" s="5" t="s">
        <v>249</v>
      </c>
      <c r="AY3321" s="5" t="s">
        <v>490</v>
      </c>
      <c r="BA3321" s="5" t="s">
        <v>238</v>
      </c>
      <c r="BC3321" s="5" t="s">
        <v>491</v>
      </c>
      <c r="BD3321" s="6" t="s">
        <v>492</v>
      </c>
      <c r="BE3321" s="5" t="s">
        <v>493</v>
      </c>
      <c r="BF3321" s="5" t="s">
        <v>493</v>
      </c>
      <c r="BG3321" s="5" t="s">
        <v>238</v>
      </c>
      <c r="BH3321" s="8">
        <f>1</f>
        <v>1</v>
      </c>
      <c r="BI3321" s="8">
        <f>1</f>
        <v>1</v>
      </c>
      <c r="BJ3321" s="5" t="s">
        <v>253</v>
      </c>
      <c r="BK3321" s="5" t="s">
        <v>254</v>
      </c>
      <c r="BL3321" s="5" t="s">
        <v>238</v>
      </c>
      <c r="BM3321" s="5" t="s">
        <v>238</v>
      </c>
      <c r="BN3321" s="5" t="s">
        <v>238</v>
      </c>
      <c r="BO3321" s="5" t="s">
        <v>238</v>
      </c>
      <c r="BP3321" s="5" t="s">
        <v>238</v>
      </c>
      <c r="BQ3321" s="5" t="s">
        <v>238</v>
      </c>
      <c r="BR3321" s="5" t="s">
        <v>238</v>
      </c>
      <c r="BS3321" s="5" t="s">
        <v>238</v>
      </c>
      <c r="BT3321" s="6" t="s">
        <v>238</v>
      </c>
      <c r="BU3321" s="5" t="s">
        <v>238</v>
      </c>
      <c r="BV3321" s="5" t="s">
        <v>238</v>
      </c>
      <c r="BW3321" s="5" t="s">
        <v>238</v>
      </c>
      <c r="BX3321" s="5" t="s">
        <v>254</v>
      </c>
      <c r="BY3321" s="5" t="s">
        <v>238</v>
      </c>
      <c r="BZ3321" s="5" t="s">
        <v>238</v>
      </c>
      <c r="CA3321" s="5" t="s">
        <v>238</v>
      </c>
      <c r="CB3321" s="5" t="s">
        <v>238</v>
      </c>
      <c r="CC3321" s="5" t="s">
        <v>238</v>
      </c>
      <c r="CD3321" s="5" t="s">
        <v>273</v>
      </c>
      <c r="CE3321" s="5" t="s">
        <v>256</v>
      </c>
      <c r="CF3321" s="5" t="s">
        <v>238</v>
      </c>
      <c r="CH3321" s="5" t="s">
        <v>494</v>
      </c>
      <c r="CI3321" s="6" t="s">
        <v>257</v>
      </c>
      <c r="CJ3321" s="5" t="s">
        <v>495</v>
      </c>
      <c r="CK3321" s="5" t="s">
        <v>258</v>
      </c>
      <c r="CL3321" s="5" t="s">
        <v>496</v>
      </c>
      <c r="CM3321" s="5" t="s">
        <v>238</v>
      </c>
      <c r="CN3321" s="5">
        <v>0</v>
      </c>
      <c r="CO3321" s="5" t="s">
        <v>497</v>
      </c>
      <c r="CP3321" s="5" t="s">
        <v>260</v>
      </c>
      <c r="CQ3321" s="5" t="s">
        <v>260</v>
      </c>
      <c r="CR3321" s="5" t="s">
        <v>261</v>
      </c>
      <c r="CS3321" s="5" t="s">
        <v>498</v>
      </c>
      <c r="CT3321" s="7">
        <f>1</f>
        <v>1</v>
      </c>
      <c r="CU3321" s="8">
        <f>1</f>
        <v>1</v>
      </c>
      <c r="CV3321" s="8">
        <f>0</f>
        <v>0</v>
      </c>
      <c r="CX3321" s="8">
        <f>1</f>
        <v>1</v>
      </c>
      <c r="CY3321" s="8">
        <f>1</f>
        <v>1</v>
      </c>
      <c r="CZ3321" s="8" t="s">
        <v>238</v>
      </c>
      <c r="DA3321" s="5" t="s">
        <v>238</v>
      </c>
      <c r="DB3321" s="5" t="s">
        <v>238</v>
      </c>
      <c r="DC3321" s="5" t="s">
        <v>238</v>
      </c>
      <c r="DD3321" s="5" t="s">
        <v>238</v>
      </c>
      <c r="DE3321" s="8">
        <f>0</f>
        <v>0</v>
      </c>
      <c r="DG3321" s="5" t="s">
        <v>238</v>
      </c>
      <c r="DH3321" s="5" t="s">
        <v>238</v>
      </c>
      <c r="DI3321" s="5" t="s">
        <v>238</v>
      </c>
      <c r="DJ3321" s="5" t="s">
        <v>238</v>
      </c>
      <c r="DK3321" s="5" t="s">
        <v>238</v>
      </c>
      <c r="DL3321" s="5" t="s">
        <v>238</v>
      </c>
      <c r="DM3321" s="8" t="s">
        <v>238</v>
      </c>
      <c r="DN3321" s="5" t="s">
        <v>238</v>
      </c>
      <c r="DO3321" s="5" t="s">
        <v>238</v>
      </c>
      <c r="DP3321" s="5" t="s">
        <v>490</v>
      </c>
      <c r="DQ3321" s="5" t="s">
        <v>490</v>
      </c>
      <c r="DR3321" s="5" t="s">
        <v>238</v>
      </c>
      <c r="DS3321" s="5" t="s">
        <v>238</v>
      </c>
      <c r="DT3321" s="5" t="s">
        <v>881</v>
      </c>
      <c r="DU3321" s="5" t="s">
        <v>1178</v>
      </c>
      <c r="DV3321" s="5" t="s">
        <v>238</v>
      </c>
      <c r="DW3321" s="5" t="s">
        <v>238</v>
      </c>
      <c r="DX3321" s="5" t="s">
        <v>238</v>
      </c>
      <c r="DY3321" s="5" t="s">
        <v>238</v>
      </c>
      <c r="DZ3321" s="5" t="s">
        <v>238</v>
      </c>
      <c r="EA3321" s="5" t="s">
        <v>238</v>
      </c>
      <c r="EB3321" s="5" t="s">
        <v>238</v>
      </c>
      <c r="EC3321" s="5" t="s">
        <v>238</v>
      </c>
      <c r="ED3321" s="5" t="s">
        <v>238</v>
      </c>
      <c r="EE3321" s="5" t="s">
        <v>238</v>
      </c>
      <c r="EF3321" s="5" t="s">
        <v>238</v>
      </c>
      <c r="EG3321" s="5" t="s">
        <v>238</v>
      </c>
      <c r="EH3321" s="5" t="s">
        <v>238</v>
      </c>
      <c r="EI3321" s="5" t="s">
        <v>238</v>
      </c>
      <c r="EJ3321" s="5" t="s">
        <v>238</v>
      </c>
      <c r="EK3321" s="5" t="s">
        <v>238</v>
      </c>
      <c r="EL3321" s="5" t="s">
        <v>238</v>
      </c>
      <c r="EM3321" s="5" t="s">
        <v>238</v>
      </c>
      <c r="EN3321" s="5" t="s">
        <v>238</v>
      </c>
      <c r="EO3321" s="5" t="s">
        <v>238</v>
      </c>
      <c r="EP3321" s="5" t="s">
        <v>238</v>
      </c>
      <c r="EQ3321" s="5" t="s">
        <v>238</v>
      </c>
      <c r="ER3321" s="5" t="s">
        <v>238</v>
      </c>
      <c r="ES3321" s="5" t="s">
        <v>238</v>
      </c>
      <c r="ET3321" s="5" t="s">
        <v>238</v>
      </c>
      <c r="EU3321" s="5" t="s">
        <v>238</v>
      </c>
      <c r="EV3321" s="5" t="s">
        <v>238</v>
      </c>
      <c r="EW3321" s="5" t="s">
        <v>238</v>
      </c>
      <c r="EX3321" s="5" t="s">
        <v>238</v>
      </c>
      <c r="EY3321" s="5" t="s">
        <v>238</v>
      </c>
      <c r="EZ3321" s="5" t="s">
        <v>238</v>
      </c>
      <c r="FA3321" s="5" t="s">
        <v>238</v>
      </c>
      <c r="FB3321" s="5" t="s">
        <v>238</v>
      </c>
      <c r="FC3321" s="5" t="s">
        <v>238</v>
      </c>
      <c r="FD3321" s="5" t="s">
        <v>238</v>
      </c>
      <c r="FE3321" s="5" t="s">
        <v>238</v>
      </c>
      <c r="FF3321" s="5" t="s">
        <v>238</v>
      </c>
      <c r="FG3321" s="5" t="s">
        <v>238</v>
      </c>
      <c r="FH3321" s="5" t="s">
        <v>238</v>
      </c>
      <c r="FI3321" s="5" t="s">
        <v>238</v>
      </c>
      <c r="FJ3321" s="5" t="s">
        <v>238</v>
      </c>
      <c r="FK3321" s="5" t="s">
        <v>238</v>
      </c>
      <c r="FL3321" s="5" t="s">
        <v>238</v>
      </c>
      <c r="FM3321" s="5" t="s">
        <v>238</v>
      </c>
      <c r="FN3321" s="5" t="s">
        <v>238</v>
      </c>
      <c r="FO3321" s="5" t="s">
        <v>238</v>
      </c>
      <c r="FP3321" s="5" t="s">
        <v>238</v>
      </c>
      <c r="FQ3321" s="5" t="s">
        <v>238</v>
      </c>
      <c r="FR3321" s="5" t="s">
        <v>238</v>
      </c>
      <c r="FS3321" s="5" t="s">
        <v>238</v>
      </c>
      <c r="FT3321" s="5" t="s">
        <v>238</v>
      </c>
      <c r="FU3321" s="5" t="s">
        <v>238</v>
      </c>
      <c r="FV3321" s="5" t="s">
        <v>238</v>
      </c>
      <c r="FW3321" s="5" t="s">
        <v>238</v>
      </c>
      <c r="FX3321" s="5" t="s">
        <v>238</v>
      </c>
      <c r="FY3321" s="5" t="s">
        <v>238</v>
      </c>
      <c r="FZ3321" s="5" t="s">
        <v>238</v>
      </c>
      <c r="GA3321" s="5" t="s">
        <v>238</v>
      </c>
      <c r="GB3321" s="5" t="s">
        <v>238</v>
      </c>
      <c r="GC3321" s="5" t="s">
        <v>238</v>
      </c>
      <c r="GD3321" s="5" t="s">
        <v>238</v>
      </c>
      <c r="GE3321" s="5" t="s">
        <v>238</v>
      </c>
      <c r="GF3321" s="5" t="s">
        <v>238</v>
      </c>
      <c r="GG3321" s="5" t="s">
        <v>238</v>
      </c>
      <c r="GH3321" s="5" t="s">
        <v>238</v>
      </c>
      <c r="GI3321" s="5" t="s">
        <v>238</v>
      </c>
      <c r="GJ3321" s="5" t="s">
        <v>238</v>
      </c>
      <c r="GK3321" s="5" t="s">
        <v>238</v>
      </c>
      <c r="GL3321" s="5" t="s">
        <v>238</v>
      </c>
      <c r="GM3321" s="5" t="s">
        <v>238</v>
      </c>
      <c r="GN3321" s="5" t="s">
        <v>238</v>
      </c>
      <c r="GO3321" s="5" t="s">
        <v>238</v>
      </c>
      <c r="GP3321" s="5" t="s">
        <v>238</v>
      </c>
      <c r="GQ3321" s="5" t="s">
        <v>238</v>
      </c>
      <c r="GR3321" s="5" t="s">
        <v>238</v>
      </c>
      <c r="GS3321" s="5" t="s">
        <v>238</v>
      </c>
      <c r="GT3321" s="5" t="s">
        <v>238</v>
      </c>
      <c r="GU3321" s="5" t="s">
        <v>238</v>
      </c>
      <c r="GV3321" s="5" t="s">
        <v>238</v>
      </c>
      <c r="GW3321" s="5" t="s">
        <v>238</v>
      </c>
      <c r="GX3321" s="5" t="s">
        <v>238</v>
      </c>
      <c r="GY3321" s="5" t="s">
        <v>238</v>
      </c>
      <c r="GZ3321" s="5" t="s">
        <v>238</v>
      </c>
      <c r="HA3321" s="5" t="s">
        <v>238</v>
      </c>
      <c r="HB3321" s="5" t="s">
        <v>238</v>
      </c>
      <c r="HC3321" s="5" t="s">
        <v>238</v>
      </c>
      <c r="HD3321" s="5" t="s">
        <v>238</v>
      </c>
      <c r="HE3321" s="5" t="s">
        <v>238</v>
      </c>
      <c r="HF3321" s="5" t="s">
        <v>238</v>
      </c>
      <c r="HG3321" s="5" t="s">
        <v>238</v>
      </c>
      <c r="HH3321" s="5" t="s">
        <v>238</v>
      </c>
      <c r="HI3321" s="5" t="s">
        <v>238</v>
      </c>
      <c r="HJ3321" s="5" t="s">
        <v>238</v>
      </c>
      <c r="HK3321" s="5" t="s">
        <v>238</v>
      </c>
      <c r="HL3321" s="5" t="s">
        <v>238</v>
      </c>
      <c r="HM3321" s="5" t="s">
        <v>264</v>
      </c>
      <c r="HN3321" s="5" t="s">
        <v>238</v>
      </c>
      <c r="HO3321" s="5" t="s">
        <v>238</v>
      </c>
      <c r="HP3321" s="5" t="s">
        <v>238</v>
      </c>
      <c r="HQ3321" s="5" t="s">
        <v>238</v>
      </c>
      <c r="HR3321" s="5" t="s">
        <v>238</v>
      </c>
      <c r="HS3321" s="5" t="s">
        <v>238</v>
      </c>
      <c r="HT3321" s="5" t="s">
        <v>238</v>
      </c>
      <c r="HU3321" s="5" t="s">
        <v>238</v>
      </c>
      <c r="HV3321" s="5" t="s">
        <v>238</v>
      </c>
      <c r="HW3321" s="5" t="s">
        <v>238</v>
      </c>
      <c r="HX3321" s="5" t="s">
        <v>238</v>
      </c>
      <c r="HY3321" s="5" t="s">
        <v>238</v>
      </c>
      <c r="HZ3321" s="5" t="s">
        <v>238</v>
      </c>
      <c r="IA3321" s="5" t="s">
        <v>238</v>
      </c>
      <c r="IB3321" s="5" t="s">
        <v>238</v>
      </c>
      <c r="IC3321" s="5" t="s">
        <v>238</v>
      </c>
      <c r="ID3321" s="5" t="s">
        <v>238</v>
      </c>
    </row>
    <row r="3322" spans="1:238" x14ac:dyDescent="0.4">
      <c r="A3322" s="5">
        <v>9040</v>
      </c>
      <c r="B3322" s="5">
        <v>1</v>
      </c>
      <c r="C3322" s="5">
        <v>1</v>
      </c>
      <c r="D3322" s="5" t="s">
        <v>484</v>
      </c>
      <c r="E3322" s="5" t="s">
        <v>878</v>
      </c>
      <c r="F3322" s="5" t="s">
        <v>248</v>
      </c>
      <c r="G3322" s="5" t="s">
        <v>5476</v>
      </c>
      <c r="H3322" s="6" t="s">
        <v>5477</v>
      </c>
      <c r="I3322" s="8">
        <f>1</f>
        <v>1</v>
      </c>
      <c r="J3322" s="5" t="s">
        <v>499</v>
      </c>
      <c r="K3322" s="8">
        <f>1</f>
        <v>1</v>
      </c>
      <c r="L3322" s="6" t="s">
        <v>242</v>
      </c>
      <c r="M3322" s="5" t="s">
        <v>267</v>
      </c>
      <c r="N3322" s="5" t="s">
        <v>482</v>
      </c>
      <c r="O3322" s="5" t="s">
        <v>238</v>
      </c>
      <c r="P3322" s="5" t="s">
        <v>238</v>
      </c>
      <c r="Q3322" s="5" t="s">
        <v>239</v>
      </c>
      <c r="R3322" s="5" t="s">
        <v>270</v>
      </c>
      <c r="S3322" s="5" t="s">
        <v>238</v>
      </c>
      <c r="T3322" s="5" t="s">
        <v>238</v>
      </c>
      <c r="U3322" s="5" t="s">
        <v>238</v>
      </c>
      <c r="V3322" s="5" t="s">
        <v>238</v>
      </c>
      <c r="W3322" s="6" t="s">
        <v>238</v>
      </c>
      <c r="X3322" s="6" t="s">
        <v>238</v>
      </c>
      <c r="Y3322" s="5" t="s">
        <v>238</v>
      </c>
      <c r="Z3322" s="6" t="s">
        <v>238</v>
      </c>
      <c r="AA3322" s="6" t="s">
        <v>243</v>
      </c>
      <c r="AB3322" s="5" t="s">
        <v>879</v>
      </c>
      <c r="AC3322" s="5" t="s">
        <v>244</v>
      </c>
      <c r="AD3322" s="5" t="s">
        <v>245</v>
      </c>
      <c r="AE3322" s="5" t="s">
        <v>238</v>
      </c>
      <c r="AF3322" s="5" t="s">
        <v>238</v>
      </c>
      <c r="AG3322" s="5" t="s">
        <v>238</v>
      </c>
      <c r="AH3322" s="5" t="s">
        <v>238</v>
      </c>
      <c r="AI3322" s="5" t="s">
        <v>238</v>
      </c>
      <c r="AJ3322" s="5" t="s">
        <v>238</v>
      </c>
      <c r="AK3322" s="5" t="s">
        <v>238</v>
      </c>
      <c r="AL3322" s="5" t="s">
        <v>238</v>
      </c>
      <c r="AM3322" s="6" t="s">
        <v>238</v>
      </c>
      <c r="AN3322" s="6" t="s">
        <v>238</v>
      </c>
      <c r="AO3322" s="6" t="s">
        <v>238</v>
      </c>
      <c r="AP3322" s="6" t="s">
        <v>238</v>
      </c>
      <c r="AQ3322" s="5" t="s">
        <v>238</v>
      </c>
      <c r="AR3322" s="5" t="s">
        <v>488</v>
      </c>
      <c r="AS3322" s="5" t="s">
        <v>488</v>
      </c>
      <c r="AT3322" s="5" t="s">
        <v>246</v>
      </c>
      <c r="AU3322" s="5" t="s">
        <v>489</v>
      </c>
      <c r="AV3322" s="5" t="s">
        <v>247</v>
      </c>
      <c r="AW3322" s="5" t="s">
        <v>238</v>
      </c>
      <c r="AX3322" s="5" t="s">
        <v>249</v>
      </c>
      <c r="AY3322" s="5" t="s">
        <v>490</v>
      </c>
      <c r="BA3322" s="5" t="s">
        <v>238</v>
      </c>
      <c r="BC3322" s="5" t="s">
        <v>491</v>
      </c>
      <c r="BD3322" s="6" t="s">
        <v>492</v>
      </c>
      <c r="BE3322" s="5" t="s">
        <v>493</v>
      </c>
      <c r="BF3322" s="5" t="s">
        <v>493</v>
      </c>
      <c r="BG3322" s="5" t="s">
        <v>238</v>
      </c>
      <c r="BH3322" s="8">
        <f>1</f>
        <v>1</v>
      </c>
      <c r="BI3322" s="8">
        <f>1</f>
        <v>1</v>
      </c>
      <c r="BJ3322" s="5" t="s">
        <v>253</v>
      </c>
      <c r="BK3322" s="5" t="s">
        <v>254</v>
      </c>
      <c r="BL3322" s="5" t="s">
        <v>238</v>
      </c>
      <c r="BM3322" s="5" t="s">
        <v>238</v>
      </c>
      <c r="BN3322" s="5" t="s">
        <v>238</v>
      </c>
      <c r="BO3322" s="5" t="s">
        <v>238</v>
      </c>
      <c r="BP3322" s="5" t="s">
        <v>238</v>
      </c>
      <c r="BQ3322" s="5" t="s">
        <v>238</v>
      </c>
      <c r="BR3322" s="5" t="s">
        <v>238</v>
      </c>
      <c r="BS3322" s="5" t="s">
        <v>238</v>
      </c>
      <c r="BT3322" s="6" t="s">
        <v>238</v>
      </c>
      <c r="BU3322" s="5" t="s">
        <v>238</v>
      </c>
      <c r="BV3322" s="5" t="s">
        <v>238</v>
      </c>
      <c r="BW3322" s="5" t="s">
        <v>238</v>
      </c>
      <c r="BX3322" s="5" t="s">
        <v>254</v>
      </c>
      <c r="BY3322" s="5" t="s">
        <v>238</v>
      </c>
      <c r="BZ3322" s="5" t="s">
        <v>238</v>
      </c>
      <c r="CA3322" s="5" t="s">
        <v>238</v>
      </c>
      <c r="CB3322" s="5" t="s">
        <v>238</v>
      </c>
      <c r="CC3322" s="5" t="s">
        <v>238</v>
      </c>
      <c r="CD3322" s="5" t="s">
        <v>273</v>
      </c>
      <c r="CE3322" s="5" t="s">
        <v>256</v>
      </c>
      <c r="CF3322" s="5" t="s">
        <v>238</v>
      </c>
      <c r="CH3322" s="5" t="s">
        <v>494</v>
      </c>
      <c r="CI3322" s="6" t="s">
        <v>257</v>
      </c>
      <c r="CJ3322" s="5" t="s">
        <v>495</v>
      </c>
      <c r="CK3322" s="5" t="s">
        <v>258</v>
      </c>
      <c r="CL3322" s="5" t="s">
        <v>496</v>
      </c>
      <c r="CM3322" s="5" t="s">
        <v>238</v>
      </c>
      <c r="CN3322" s="5">
        <v>0</v>
      </c>
      <c r="CO3322" s="5" t="s">
        <v>497</v>
      </c>
      <c r="CP3322" s="5" t="s">
        <v>260</v>
      </c>
      <c r="CQ3322" s="5" t="s">
        <v>260</v>
      </c>
      <c r="CR3322" s="5" t="s">
        <v>261</v>
      </c>
      <c r="CS3322" s="5" t="s">
        <v>498</v>
      </c>
      <c r="CT3322" s="7">
        <f>1</f>
        <v>1</v>
      </c>
      <c r="CU3322" s="8">
        <f>1</f>
        <v>1</v>
      </c>
      <c r="CV3322" s="8">
        <f>0</f>
        <v>0</v>
      </c>
      <c r="CX3322" s="8">
        <f>1</f>
        <v>1</v>
      </c>
      <c r="CY3322" s="8">
        <f>1</f>
        <v>1</v>
      </c>
      <c r="CZ3322" s="8" t="s">
        <v>238</v>
      </c>
      <c r="DA3322" s="5" t="s">
        <v>238</v>
      </c>
      <c r="DB3322" s="5" t="s">
        <v>238</v>
      </c>
      <c r="DC3322" s="5" t="s">
        <v>238</v>
      </c>
      <c r="DD3322" s="5" t="s">
        <v>238</v>
      </c>
      <c r="DE3322" s="8">
        <f>0</f>
        <v>0</v>
      </c>
      <c r="DG3322" s="5" t="s">
        <v>238</v>
      </c>
      <c r="DH3322" s="5" t="s">
        <v>238</v>
      </c>
      <c r="DI3322" s="5" t="s">
        <v>238</v>
      </c>
      <c r="DJ3322" s="5" t="s">
        <v>238</v>
      </c>
      <c r="DK3322" s="5" t="s">
        <v>238</v>
      </c>
      <c r="DL3322" s="5" t="s">
        <v>238</v>
      </c>
      <c r="DM3322" s="8" t="s">
        <v>238</v>
      </c>
      <c r="DN3322" s="5" t="s">
        <v>238</v>
      </c>
      <c r="DO3322" s="5" t="s">
        <v>238</v>
      </c>
      <c r="DP3322" s="5" t="s">
        <v>490</v>
      </c>
      <c r="DQ3322" s="5" t="s">
        <v>490</v>
      </c>
      <c r="DR3322" s="5" t="s">
        <v>238</v>
      </c>
      <c r="DS3322" s="5" t="s">
        <v>238</v>
      </c>
      <c r="DT3322" s="5" t="s">
        <v>881</v>
      </c>
      <c r="DU3322" s="5" t="s">
        <v>1241</v>
      </c>
      <c r="DV3322" s="5" t="s">
        <v>238</v>
      </c>
      <c r="DW3322" s="5" t="s">
        <v>238</v>
      </c>
      <c r="DX3322" s="5" t="s">
        <v>238</v>
      </c>
      <c r="DY3322" s="5" t="s">
        <v>238</v>
      </c>
      <c r="DZ3322" s="5" t="s">
        <v>238</v>
      </c>
      <c r="EA3322" s="5" t="s">
        <v>238</v>
      </c>
      <c r="EB3322" s="5" t="s">
        <v>238</v>
      </c>
      <c r="EC3322" s="5" t="s">
        <v>238</v>
      </c>
      <c r="ED3322" s="5" t="s">
        <v>238</v>
      </c>
      <c r="EE3322" s="5" t="s">
        <v>238</v>
      </c>
      <c r="EF3322" s="5" t="s">
        <v>238</v>
      </c>
      <c r="EG3322" s="5" t="s">
        <v>238</v>
      </c>
      <c r="EH3322" s="5" t="s">
        <v>238</v>
      </c>
      <c r="EI3322" s="5" t="s">
        <v>238</v>
      </c>
      <c r="EJ3322" s="5" t="s">
        <v>238</v>
      </c>
      <c r="EK3322" s="5" t="s">
        <v>238</v>
      </c>
      <c r="EL3322" s="5" t="s">
        <v>238</v>
      </c>
      <c r="EM3322" s="5" t="s">
        <v>238</v>
      </c>
      <c r="EN3322" s="5" t="s">
        <v>238</v>
      </c>
      <c r="EO3322" s="5" t="s">
        <v>238</v>
      </c>
      <c r="EP3322" s="5" t="s">
        <v>238</v>
      </c>
      <c r="EQ3322" s="5" t="s">
        <v>238</v>
      </c>
      <c r="ER3322" s="5" t="s">
        <v>238</v>
      </c>
      <c r="ES3322" s="5" t="s">
        <v>238</v>
      </c>
      <c r="ET3322" s="5" t="s">
        <v>238</v>
      </c>
      <c r="EU3322" s="5" t="s">
        <v>238</v>
      </c>
      <c r="EV3322" s="5" t="s">
        <v>238</v>
      </c>
      <c r="EW3322" s="5" t="s">
        <v>238</v>
      </c>
      <c r="EX3322" s="5" t="s">
        <v>238</v>
      </c>
      <c r="EY3322" s="5" t="s">
        <v>238</v>
      </c>
      <c r="EZ3322" s="5" t="s">
        <v>238</v>
      </c>
      <c r="FA3322" s="5" t="s">
        <v>238</v>
      </c>
      <c r="FB3322" s="5" t="s">
        <v>238</v>
      </c>
      <c r="FC3322" s="5" t="s">
        <v>238</v>
      </c>
      <c r="FD3322" s="5" t="s">
        <v>238</v>
      </c>
      <c r="FE3322" s="5" t="s">
        <v>238</v>
      </c>
      <c r="FF3322" s="5" t="s">
        <v>238</v>
      </c>
      <c r="FG3322" s="5" t="s">
        <v>238</v>
      </c>
      <c r="FH3322" s="5" t="s">
        <v>238</v>
      </c>
      <c r="FI3322" s="5" t="s">
        <v>238</v>
      </c>
      <c r="FJ3322" s="5" t="s">
        <v>238</v>
      </c>
      <c r="FK3322" s="5" t="s">
        <v>238</v>
      </c>
      <c r="FL3322" s="5" t="s">
        <v>238</v>
      </c>
      <c r="FM3322" s="5" t="s">
        <v>238</v>
      </c>
      <c r="FN3322" s="5" t="s">
        <v>238</v>
      </c>
      <c r="FO3322" s="5" t="s">
        <v>238</v>
      </c>
      <c r="FP3322" s="5" t="s">
        <v>238</v>
      </c>
      <c r="FQ3322" s="5" t="s">
        <v>238</v>
      </c>
      <c r="FR3322" s="5" t="s">
        <v>238</v>
      </c>
      <c r="FS3322" s="5" t="s">
        <v>238</v>
      </c>
      <c r="FT3322" s="5" t="s">
        <v>238</v>
      </c>
      <c r="FU3322" s="5" t="s">
        <v>238</v>
      </c>
      <c r="FV3322" s="5" t="s">
        <v>238</v>
      </c>
      <c r="FW3322" s="5" t="s">
        <v>238</v>
      </c>
      <c r="FX3322" s="5" t="s">
        <v>238</v>
      </c>
      <c r="FY3322" s="5" t="s">
        <v>238</v>
      </c>
      <c r="FZ3322" s="5" t="s">
        <v>238</v>
      </c>
      <c r="GA3322" s="5" t="s">
        <v>238</v>
      </c>
      <c r="GB3322" s="5" t="s">
        <v>238</v>
      </c>
      <c r="GC3322" s="5" t="s">
        <v>238</v>
      </c>
      <c r="GD3322" s="5" t="s">
        <v>238</v>
      </c>
      <c r="GE3322" s="5" t="s">
        <v>238</v>
      </c>
      <c r="GF3322" s="5" t="s">
        <v>238</v>
      </c>
      <c r="GG3322" s="5" t="s">
        <v>238</v>
      </c>
      <c r="GH3322" s="5" t="s">
        <v>238</v>
      </c>
      <c r="GI3322" s="5" t="s">
        <v>238</v>
      </c>
      <c r="GJ3322" s="5" t="s">
        <v>238</v>
      </c>
      <c r="GK3322" s="5" t="s">
        <v>238</v>
      </c>
      <c r="GL3322" s="5" t="s">
        <v>238</v>
      </c>
      <c r="GM3322" s="5" t="s">
        <v>238</v>
      </c>
      <c r="GN3322" s="5" t="s">
        <v>238</v>
      </c>
      <c r="GO3322" s="5" t="s">
        <v>238</v>
      </c>
      <c r="GP3322" s="5" t="s">
        <v>238</v>
      </c>
      <c r="GQ3322" s="5" t="s">
        <v>238</v>
      </c>
      <c r="GR3322" s="5" t="s">
        <v>238</v>
      </c>
      <c r="GS3322" s="5" t="s">
        <v>238</v>
      </c>
      <c r="GT3322" s="5" t="s">
        <v>238</v>
      </c>
      <c r="GU3322" s="5" t="s">
        <v>238</v>
      </c>
      <c r="GV3322" s="5" t="s">
        <v>238</v>
      </c>
      <c r="GW3322" s="5" t="s">
        <v>238</v>
      </c>
      <c r="GX3322" s="5" t="s">
        <v>238</v>
      </c>
      <c r="GY3322" s="5" t="s">
        <v>238</v>
      </c>
      <c r="GZ3322" s="5" t="s">
        <v>238</v>
      </c>
      <c r="HA3322" s="5" t="s">
        <v>238</v>
      </c>
      <c r="HB3322" s="5" t="s">
        <v>238</v>
      </c>
      <c r="HC3322" s="5" t="s">
        <v>238</v>
      </c>
      <c r="HD3322" s="5" t="s">
        <v>238</v>
      </c>
      <c r="HE3322" s="5" t="s">
        <v>238</v>
      </c>
      <c r="HF3322" s="5" t="s">
        <v>238</v>
      </c>
      <c r="HG3322" s="5" t="s">
        <v>238</v>
      </c>
      <c r="HH3322" s="5" t="s">
        <v>238</v>
      </c>
      <c r="HI3322" s="5" t="s">
        <v>238</v>
      </c>
      <c r="HJ3322" s="5" t="s">
        <v>238</v>
      </c>
      <c r="HK3322" s="5" t="s">
        <v>238</v>
      </c>
      <c r="HL3322" s="5" t="s">
        <v>238</v>
      </c>
      <c r="HM3322" s="5" t="s">
        <v>264</v>
      </c>
      <c r="HN3322" s="5" t="s">
        <v>238</v>
      </c>
      <c r="HO3322" s="5" t="s">
        <v>238</v>
      </c>
      <c r="HP3322" s="5" t="s">
        <v>238</v>
      </c>
      <c r="HQ3322" s="5" t="s">
        <v>238</v>
      </c>
      <c r="HR3322" s="5" t="s">
        <v>238</v>
      </c>
      <c r="HS3322" s="5" t="s">
        <v>238</v>
      </c>
      <c r="HT3322" s="5" t="s">
        <v>238</v>
      </c>
      <c r="HU3322" s="5" t="s">
        <v>238</v>
      </c>
      <c r="HV3322" s="5" t="s">
        <v>238</v>
      </c>
      <c r="HW3322" s="5" t="s">
        <v>238</v>
      </c>
      <c r="HX3322" s="5" t="s">
        <v>238</v>
      </c>
      <c r="HY3322" s="5" t="s">
        <v>238</v>
      </c>
      <c r="HZ3322" s="5" t="s">
        <v>238</v>
      </c>
      <c r="IA3322" s="5" t="s">
        <v>238</v>
      </c>
      <c r="IB3322" s="5" t="s">
        <v>238</v>
      </c>
      <c r="IC3322" s="5" t="s">
        <v>238</v>
      </c>
      <c r="ID3322" s="5" t="s">
        <v>238</v>
      </c>
    </row>
    <row r="3323" spans="1:238" x14ac:dyDescent="0.4">
      <c r="A3323" s="5">
        <v>9041</v>
      </c>
      <c r="B3323" s="5">
        <v>1</v>
      </c>
      <c r="C3323" s="5">
        <v>1</v>
      </c>
      <c r="D3323" s="5" t="s">
        <v>484</v>
      </c>
      <c r="E3323" s="5" t="s">
        <v>878</v>
      </c>
      <c r="F3323" s="5" t="s">
        <v>248</v>
      </c>
      <c r="G3323" s="5" t="s">
        <v>5540</v>
      </c>
      <c r="H3323" s="6" t="s">
        <v>5541</v>
      </c>
      <c r="I3323" s="8">
        <f>1</f>
        <v>1</v>
      </c>
      <c r="J3323" s="5" t="s">
        <v>499</v>
      </c>
      <c r="K3323" s="8">
        <f>1</f>
        <v>1</v>
      </c>
      <c r="L3323" s="6" t="s">
        <v>242</v>
      </c>
      <c r="M3323" s="5" t="s">
        <v>267</v>
      </c>
      <c r="N3323" s="5" t="s">
        <v>482</v>
      </c>
      <c r="O3323" s="5" t="s">
        <v>238</v>
      </c>
      <c r="P3323" s="5" t="s">
        <v>238</v>
      </c>
      <c r="Q3323" s="5" t="s">
        <v>239</v>
      </c>
      <c r="R3323" s="5" t="s">
        <v>270</v>
      </c>
      <c r="S3323" s="5" t="s">
        <v>238</v>
      </c>
      <c r="T3323" s="5" t="s">
        <v>238</v>
      </c>
      <c r="U3323" s="5" t="s">
        <v>238</v>
      </c>
      <c r="V3323" s="5" t="s">
        <v>238</v>
      </c>
      <c r="W3323" s="6" t="s">
        <v>238</v>
      </c>
      <c r="X3323" s="6" t="s">
        <v>238</v>
      </c>
      <c r="Y3323" s="5" t="s">
        <v>238</v>
      </c>
      <c r="Z3323" s="6" t="s">
        <v>238</v>
      </c>
      <c r="AA3323" s="6" t="s">
        <v>243</v>
      </c>
      <c r="AB3323" s="5" t="s">
        <v>879</v>
      </c>
      <c r="AC3323" s="5" t="s">
        <v>244</v>
      </c>
      <c r="AD3323" s="5" t="s">
        <v>245</v>
      </c>
      <c r="AE3323" s="5" t="s">
        <v>238</v>
      </c>
      <c r="AF3323" s="5" t="s">
        <v>238</v>
      </c>
      <c r="AG3323" s="5" t="s">
        <v>238</v>
      </c>
      <c r="AH3323" s="5" t="s">
        <v>238</v>
      </c>
      <c r="AI3323" s="5" t="s">
        <v>238</v>
      </c>
      <c r="AJ3323" s="5" t="s">
        <v>238</v>
      </c>
      <c r="AK3323" s="5" t="s">
        <v>238</v>
      </c>
      <c r="AL3323" s="5" t="s">
        <v>238</v>
      </c>
      <c r="AM3323" s="6" t="s">
        <v>238</v>
      </c>
      <c r="AN3323" s="6" t="s">
        <v>238</v>
      </c>
      <c r="AO3323" s="6" t="s">
        <v>238</v>
      </c>
      <c r="AP3323" s="6" t="s">
        <v>238</v>
      </c>
      <c r="AQ3323" s="5" t="s">
        <v>238</v>
      </c>
      <c r="AR3323" s="5" t="s">
        <v>488</v>
      </c>
      <c r="AS3323" s="5" t="s">
        <v>488</v>
      </c>
      <c r="AT3323" s="5" t="s">
        <v>246</v>
      </c>
      <c r="AU3323" s="5" t="s">
        <v>489</v>
      </c>
      <c r="AV3323" s="5" t="s">
        <v>247</v>
      </c>
      <c r="AW3323" s="5" t="s">
        <v>238</v>
      </c>
      <c r="AX3323" s="5" t="s">
        <v>249</v>
      </c>
      <c r="AY3323" s="5" t="s">
        <v>490</v>
      </c>
      <c r="BA3323" s="5" t="s">
        <v>238</v>
      </c>
      <c r="BC3323" s="5" t="s">
        <v>491</v>
      </c>
      <c r="BD3323" s="6" t="s">
        <v>492</v>
      </c>
      <c r="BE3323" s="5" t="s">
        <v>493</v>
      </c>
      <c r="BF3323" s="5" t="s">
        <v>493</v>
      </c>
      <c r="BG3323" s="5" t="s">
        <v>238</v>
      </c>
      <c r="BH3323" s="8">
        <f>1</f>
        <v>1</v>
      </c>
      <c r="BI3323" s="8">
        <f>1</f>
        <v>1</v>
      </c>
      <c r="BJ3323" s="5" t="s">
        <v>253</v>
      </c>
      <c r="BK3323" s="5" t="s">
        <v>254</v>
      </c>
      <c r="BL3323" s="5" t="s">
        <v>238</v>
      </c>
      <c r="BM3323" s="5" t="s">
        <v>238</v>
      </c>
      <c r="BN3323" s="5" t="s">
        <v>238</v>
      </c>
      <c r="BO3323" s="5" t="s">
        <v>238</v>
      </c>
      <c r="BP3323" s="5" t="s">
        <v>238</v>
      </c>
      <c r="BQ3323" s="5" t="s">
        <v>238</v>
      </c>
      <c r="BR3323" s="5" t="s">
        <v>238</v>
      </c>
      <c r="BS3323" s="5" t="s">
        <v>238</v>
      </c>
      <c r="BT3323" s="6" t="s">
        <v>238</v>
      </c>
      <c r="BU3323" s="5" t="s">
        <v>238</v>
      </c>
      <c r="BV3323" s="5" t="s">
        <v>238</v>
      </c>
      <c r="BW3323" s="5" t="s">
        <v>238</v>
      </c>
      <c r="BX3323" s="5" t="s">
        <v>254</v>
      </c>
      <c r="BY3323" s="5" t="s">
        <v>238</v>
      </c>
      <c r="BZ3323" s="5" t="s">
        <v>238</v>
      </c>
      <c r="CA3323" s="5" t="s">
        <v>238</v>
      </c>
      <c r="CB3323" s="5" t="s">
        <v>238</v>
      </c>
      <c r="CC3323" s="5" t="s">
        <v>238</v>
      </c>
      <c r="CD3323" s="5" t="s">
        <v>273</v>
      </c>
      <c r="CE3323" s="5" t="s">
        <v>256</v>
      </c>
      <c r="CF3323" s="5" t="s">
        <v>238</v>
      </c>
      <c r="CH3323" s="5" t="s">
        <v>494</v>
      </c>
      <c r="CI3323" s="6" t="s">
        <v>257</v>
      </c>
      <c r="CJ3323" s="5" t="s">
        <v>495</v>
      </c>
      <c r="CK3323" s="5" t="s">
        <v>258</v>
      </c>
      <c r="CL3323" s="5" t="s">
        <v>496</v>
      </c>
      <c r="CM3323" s="5" t="s">
        <v>238</v>
      </c>
      <c r="CN3323" s="5">
        <v>0</v>
      </c>
      <c r="CO3323" s="5" t="s">
        <v>497</v>
      </c>
      <c r="CP3323" s="5" t="s">
        <v>260</v>
      </c>
      <c r="CQ3323" s="5" t="s">
        <v>260</v>
      </c>
      <c r="CR3323" s="5" t="s">
        <v>261</v>
      </c>
      <c r="CS3323" s="5" t="s">
        <v>498</v>
      </c>
      <c r="CT3323" s="7">
        <f>1</f>
        <v>1</v>
      </c>
      <c r="CU3323" s="8">
        <f>1</f>
        <v>1</v>
      </c>
      <c r="CV3323" s="8">
        <f>0</f>
        <v>0</v>
      </c>
      <c r="CX3323" s="8">
        <f>1</f>
        <v>1</v>
      </c>
      <c r="CY3323" s="8">
        <f>1</f>
        <v>1</v>
      </c>
      <c r="CZ3323" s="8" t="s">
        <v>238</v>
      </c>
      <c r="DA3323" s="5" t="s">
        <v>238</v>
      </c>
      <c r="DB3323" s="5" t="s">
        <v>238</v>
      </c>
      <c r="DC3323" s="5" t="s">
        <v>238</v>
      </c>
      <c r="DD3323" s="5" t="s">
        <v>238</v>
      </c>
      <c r="DE3323" s="8">
        <f>0</f>
        <v>0</v>
      </c>
      <c r="DG3323" s="5" t="s">
        <v>238</v>
      </c>
      <c r="DH3323" s="5" t="s">
        <v>238</v>
      </c>
      <c r="DI3323" s="5" t="s">
        <v>238</v>
      </c>
      <c r="DJ3323" s="5" t="s">
        <v>238</v>
      </c>
      <c r="DK3323" s="5" t="s">
        <v>238</v>
      </c>
      <c r="DL3323" s="5" t="s">
        <v>238</v>
      </c>
      <c r="DM3323" s="8" t="s">
        <v>238</v>
      </c>
      <c r="DN3323" s="5" t="s">
        <v>238</v>
      </c>
      <c r="DO3323" s="5" t="s">
        <v>238</v>
      </c>
      <c r="DP3323" s="5" t="s">
        <v>490</v>
      </c>
      <c r="DQ3323" s="5" t="s">
        <v>490</v>
      </c>
      <c r="DR3323" s="5" t="s">
        <v>238</v>
      </c>
      <c r="DS3323" s="5" t="s">
        <v>238</v>
      </c>
      <c r="DT3323" s="5" t="s">
        <v>881</v>
      </c>
      <c r="DU3323" s="5" t="s">
        <v>1152</v>
      </c>
      <c r="DV3323" s="5" t="s">
        <v>238</v>
      </c>
      <c r="DW3323" s="5" t="s">
        <v>238</v>
      </c>
      <c r="DX3323" s="5" t="s">
        <v>238</v>
      </c>
      <c r="DY3323" s="5" t="s">
        <v>238</v>
      </c>
      <c r="DZ3323" s="5" t="s">
        <v>238</v>
      </c>
      <c r="EA3323" s="5" t="s">
        <v>238</v>
      </c>
      <c r="EB3323" s="5" t="s">
        <v>238</v>
      </c>
      <c r="EC3323" s="5" t="s">
        <v>238</v>
      </c>
      <c r="ED3323" s="5" t="s">
        <v>238</v>
      </c>
      <c r="EE3323" s="5" t="s">
        <v>238</v>
      </c>
      <c r="EF3323" s="5" t="s">
        <v>238</v>
      </c>
      <c r="EG3323" s="5" t="s">
        <v>238</v>
      </c>
      <c r="EH3323" s="5" t="s">
        <v>238</v>
      </c>
      <c r="EI3323" s="5" t="s">
        <v>238</v>
      </c>
      <c r="EJ3323" s="5" t="s">
        <v>238</v>
      </c>
      <c r="EK3323" s="5" t="s">
        <v>238</v>
      </c>
      <c r="EL3323" s="5" t="s">
        <v>238</v>
      </c>
      <c r="EM3323" s="5" t="s">
        <v>238</v>
      </c>
      <c r="EN3323" s="5" t="s">
        <v>238</v>
      </c>
      <c r="EO3323" s="5" t="s">
        <v>238</v>
      </c>
      <c r="EP3323" s="5" t="s">
        <v>238</v>
      </c>
      <c r="EQ3323" s="5" t="s">
        <v>238</v>
      </c>
      <c r="ER3323" s="5" t="s">
        <v>238</v>
      </c>
      <c r="ES3323" s="5" t="s">
        <v>238</v>
      </c>
      <c r="ET3323" s="5" t="s">
        <v>238</v>
      </c>
      <c r="EU3323" s="5" t="s">
        <v>238</v>
      </c>
      <c r="EV3323" s="5" t="s">
        <v>238</v>
      </c>
      <c r="EW3323" s="5" t="s">
        <v>238</v>
      </c>
      <c r="EX3323" s="5" t="s">
        <v>238</v>
      </c>
      <c r="EY3323" s="5" t="s">
        <v>238</v>
      </c>
      <c r="EZ3323" s="5" t="s">
        <v>238</v>
      </c>
      <c r="FA3323" s="5" t="s">
        <v>238</v>
      </c>
      <c r="FB3323" s="5" t="s">
        <v>238</v>
      </c>
      <c r="FC3323" s="5" t="s">
        <v>238</v>
      </c>
      <c r="FD3323" s="5" t="s">
        <v>238</v>
      </c>
      <c r="FE3323" s="5" t="s">
        <v>238</v>
      </c>
      <c r="FF3323" s="5" t="s">
        <v>238</v>
      </c>
      <c r="FG3323" s="5" t="s">
        <v>238</v>
      </c>
      <c r="FH3323" s="5" t="s">
        <v>238</v>
      </c>
      <c r="FI3323" s="5" t="s">
        <v>238</v>
      </c>
      <c r="FJ3323" s="5" t="s">
        <v>238</v>
      </c>
      <c r="FK3323" s="5" t="s">
        <v>238</v>
      </c>
      <c r="FL3323" s="5" t="s">
        <v>238</v>
      </c>
      <c r="FM3323" s="5" t="s">
        <v>238</v>
      </c>
      <c r="FN3323" s="5" t="s">
        <v>238</v>
      </c>
      <c r="FO3323" s="5" t="s">
        <v>238</v>
      </c>
      <c r="FP3323" s="5" t="s">
        <v>238</v>
      </c>
      <c r="FQ3323" s="5" t="s">
        <v>238</v>
      </c>
      <c r="FR3323" s="5" t="s">
        <v>238</v>
      </c>
      <c r="FS3323" s="5" t="s">
        <v>238</v>
      </c>
      <c r="FT3323" s="5" t="s">
        <v>238</v>
      </c>
      <c r="FU3323" s="5" t="s">
        <v>238</v>
      </c>
      <c r="FV3323" s="5" t="s">
        <v>238</v>
      </c>
      <c r="FW3323" s="5" t="s">
        <v>238</v>
      </c>
      <c r="FX3323" s="5" t="s">
        <v>238</v>
      </c>
      <c r="FY3323" s="5" t="s">
        <v>238</v>
      </c>
      <c r="FZ3323" s="5" t="s">
        <v>238</v>
      </c>
      <c r="GA3323" s="5" t="s">
        <v>238</v>
      </c>
      <c r="GB3323" s="5" t="s">
        <v>238</v>
      </c>
      <c r="GC3323" s="5" t="s">
        <v>238</v>
      </c>
      <c r="GD3323" s="5" t="s">
        <v>238</v>
      </c>
      <c r="GE3323" s="5" t="s">
        <v>238</v>
      </c>
      <c r="GF3323" s="5" t="s">
        <v>238</v>
      </c>
      <c r="GG3323" s="5" t="s">
        <v>238</v>
      </c>
      <c r="GH3323" s="5" t="s">
        <v>238</v>
      </c>
      <c r="GI3323" s="5" t="s">
        <v>238</v>
      </c>
      <c r="GJ3323" s="5" t="s">
        <v>238</v>
      </c>
      <c r="GK3323" s="5" t="s">
        <v>238</v>
      </c>
      <c r="GL3323" s="5" t="s">
        <v>238</v>
      </c>
      <c r="GM3323" s="5" t="s">
        <v>238</v>
      </c>
      <c r="GN3323" s="5" t="s">
        <v>238</v>
      </c>
      <c r="GO3323" s="5" t="s">
        <v>238</v>
      </c>
      <c r="GP3323" s="5" t="s">
        <v>238</v>
      </c>
      <c r="GQ3323" s="5" t="s">
        <v>238</v>
      </c>
      <c r="GR3323" s="5" t="s">
        <v>238</v>
      </c>
      <c r="GS3323" s="5" t="s">
        <v>238</v>
      </c>
      <c r="GT3323" s="5" t="s">
        <v>238</v>
      </c>
      <c r="GU3323" s="5" t="s">
        <v>238</v>
      </c>
      <c r="GV3323" s="5" t="s">
        <v>238</v>
      </c>
      <c r="GW3323" s="5" t="s">
        <v>238</v>
      </c>
      <c r="GX3323" s="5" t="s">
        <v>238</v>
      </c>
      <c r="GY3323" s="5" t="s">
        <v>238</v>
      </c>
      <c r="GZ3323" s="5" t="s">
        <v>238</v>
      </c>
      <c r="HA3323" s="5" t="s">
        <v>238</v>
      </c>
      <c r="HB3323" s="5" t="s">
        <v>238</v>
      </c>
      <c r="HC3323" s="5" t="s">
        <v>238</v>
      </c>
      <c r="HD3323" s="5" t="s">
        <v>238</v>
      </c>
      <c r="HE3323" s="5" t="s">
        <v>238</v>
      </c>
      <c r="HF3323" s="5" t="s">
        <v>238</v>
      </c>
      <c r="HG3323" s="5" t="s">
        <v>238</v>
      </c>
      <c r="HH3323" s="5" t="s">
        <v>238</v>
      </c>
      <c r="HI3323" s="5" t="s">
        <v>238</v>
      </c>
      <c r="HJ3323" s="5" t="s">
        <v>238</v>
      </c>
      <c r="HK3323" s="5" t="s">
        <v>238</v>
      </c>
      <c r="HL3323" s="5" t="s">
        <v>238</v>
      </c>
      <c r="HM3323" s="5" t="s">
        <v>264</v>
      </c>
      <c r="HN3323" s="5" t="s">
        <v>238</v>
      </c>
      <c r="HO3323" s="5" t="s">
        <v>238</v>
      </c>
      <c r="HP3323" s="5" t="s">
        <v>238</v>
      </c>
      <c r="HQ3323" s="5" t="s">
        <v>238</v>
      </c>
      <c r="HR3323" s="5" t="s">
        <v>238</v>
      </c>
      <c r="HS3323" s="5" t="s">
        <v>238</v>
      </c>
      <c r="HT3323" s="5" t="s">
        <v>238</v>
      </c>
      <c r="HU3323" s="5" t="s">
        <v>238</v>
      </c>
      <c r="HV3323" s="5" t="s">
        <v>238</v>
      </c>
      <c r="HW3323" s="5" t="s">
        <v>238</v>
      </c>
      <c r="HX3323" s="5" t="s">
        <v>238</v>
      </c>
      <c r="HY3323" s="5" t="s">
        <v>238</v>
      </c>
      <c r="HZ3323" s="5" t="s">
        <v>238</v>
      </c>
      <c r="IA3323" s="5" t="s">
        <v>238</v>
      </c>
      <c r="IB3323" s="5" t="s">
        <v>238</v>
      </c>
      <c r="IC3323" s="5" t="s">
        <v>238</v>
      </c>
      <c r="ID3323" s="5" t="s">
        <v>238</v>
      </c>
    </row>
    <row r="3324" spans="1:238" x14ac:dyDescent="0.4">
      <c r="A3324" s="5">
        <v>9042</v>
      </c>
      <c r="B3324" s="5">
        <v>1</v>
      </c>
      <c r="C3324" s="5">
        <v>1</v>
      </c>
      <c r="D3324" s="5" t="s">
        <v>484</v>
      </c>
      <c r="E3324" s="5" t="s">
        <v>878</v>
      </c>
      <c r="F3324" s="5" t="s">
        <v>248</v>
      </c>
      <c r="G3324" s="5" t="s">
        <v>4823</v>
      </c>
      <c r="H3324" s="6" t="s">
        <v>4824</v>
      </c>
      <c r="I3324" s="8">
        <f>1</f>
        <v>1</v>
      </c>
      <c r="J3324" s="5" t="s">
        <v>499</v>
      </c>
      <c r="K3324" s="8">
        <f>1</f>
        <v>1</v>
      </c>
      <c r="L3324" s="6" t="s">
        <v>242</v>
      </c>
      <c r="M3324" s="5" t="s">
        <v>267</v>
      </c>
      <c r="N3324" s="5" t="s">
        <v>482</v>
      </c>
      <c r="O3324" s="5" t="s">
        <v>238</v>
      </c>
      <c r="P3324" s="5" t="s">
        <v>238</v>
      </c>
      <c r="Q3324" s="5" t="s">
        <v>239</v>
      </c>
      <c r="R3324" s="5" t="s">
        <v>270</v>
      </c>
      <c r="S3324" s="5" t="s">
        <v>238</v>
      </c>
      <c r="T3324" s="5" t="s">
        <v>238</v>
      </c>
      <c r="U3324" s="5" t="s">
        <v>238</v>
      </c>
      <c r="V3324" s="5" t="s">
        <v>238</v>
      </c>
      <c r="W3324" s="6" t="s">
        <v>238</v>
      </c>
      <c r="X3324" s="6" t="s">
        <v>238</v>
      </c>
      <c r="Y3324" s="5" t="s">
        <v>238</v>
      </c>
      <c r="Z3324" s="6" t="s">
        <v>238</v>
      </c>
      <c r="AA3324" s="6" t="s">
        <v>243</v>
      </c>
      <c r="AB3324" s="5" t="s">
        <v>879</v>
      </c>
      <c r="AC3324" s="5" t="s">
        <v>244</v>
      </c>
      <c r="AD3324" s="5" t="s">
        <v>245</v>
      </c>
      <c r="AE3324" s="5" t="s">
        <v>238</v>
      </c>
      <c r="AF3324" s="5" t="s">
        <v>238</v>
      </c>
      <c r="AG3324" s="5" t="s">
        <v>238</v>
      </c>
      <c r="AH3324" s="5" t="s">
        <v>238</v>
      </c>
      <c r="AI3324" s="5" t="s">
        <v>238</v>
      </c>
      <c r="AJ3324" s="5" t="s">
        <v>238</v>
      </c>
      <c r="AK3324" s="5" t="s">
        <v>238</v>
      </c>
      <c r="AL3324" s="5" t="s">
        <v>238</v>
      </c>
      <c r="AM3324" s="6" t="s">
        <v>238</v>
      </c>
      <c r="AN3324" s="6" t="s">
        <v>238</v>
      </c>
      <c r="AO3324" s="6" t="s">
        <v>238</v>
      </c>
      <c r="AP3324" s="6" t="s">
        <v>238</v>
      </c>
      <c r="AQ3324" s="5" t="s">
        <v>238</v>
      </c>
      <c r="AR3324" s="5" t="s">
        <v>488</v>
      </c>
      <c r="AS3324" s="5" t="s">
        <v>488</v>
      </c>
      <c r="AT3324" s="5" t="s">
        <v>246</v>
      </c>
      <c r="AU3324" s="5" t="s">
        <v>489</v>
      </c>
      <c r="AV3324" s="5" t="s">
        <v>247</v>
      </c>
      <c r="AW3324" s="5" t="s">
        <v>238</v>
      </c>
      <c r="AX3324" s="5" t="s">
        <v>249</v>
      </c>
      <c r="AY3324" s="5" t="s">
        <v>490</v>
      </c>
      <c r="BA3324" s="5" t="s">
        <v>238</v>
      </c>
      <c r="BC3324" s="5" t="s">
        <v>491</v>
      </c>
      <c r="BD3324" s="6" t="s">
        <v>492</v>
      </c>
      <c r="BE3324" s="5" t="s">
        <v>493</v>
      </c>
      <c r="BF3324" s="5" t="s">
        <v>493</v>
      </c>
      <c r="BG3324" s="5" t="s">
        <v>238</v>
      </c>
      <c r="BH3324" s="8">
        <f>1</f>
        <v>1</v>
      </c>
      <c r="BI3324" s="8">
        <f>1</f>
        <v>1</v>
      </c>
      <c r="BJ3324" s="5" t="s">
        <v>253</v>
      </c>
      <c r="BK3324" s="5" t="s">
        <v>254</v>
      </c>
      <c r="BL3324" s="5" t="s">
        <v>238</v>
      </c>
      <c r="BM3324" s="5" t="s">
        <v>238</v>
      </c>
      <c r="BN3324" s="5" t="s">
        <v>238</v>
      </c>
      <c r="BO3324" s="5" t="s">
        <v>238</v>
      </c>
      <c r="BP3324" s="5" t="s">
        <v>238</v>
      </c>
      <c r="BQ3324" s="5" t="s">
        <v>238</v>
      </c>
      <c r="BR3324" s="5" t="s">
        <v>238</v>
      </c>
      <c r="BS3324" s="5" t="s">
        <v>238</v>
      </c>
      <c r="BT3324" s="6" t="s">
        <v>238</v>
      </c>
      <c r="BU3324" s="5" t="s">
        <v>238</v>
      </c>
      <c r="BV3324" s="5" t="s">
        <v>238</v>
      </c>
      <c r="BW3324" s="5" t="s">
        <v>238</v>
      </c>
      <c r="BX3324" s="5" t="s">
        <v>254</v>
      </c>
      <c r="BY3324" s="5" t="s">
        <v>238</v>
      </c>
      <c r="BZ3324" s="5" t="s">
        <v>238</v>
      </c>
      <c r="CA3324" s="5" t="s">
        <v>238</v>
      </c>
      <c r="CB3324" s="5" t="s">
        <v>238</v>
      </c>
      <c r="CC3324" s="5" t="s">
        <v>238</v>
      </c>
      <c r="CD3324" s="5" t="s">
        <v>273</v>
      </c>
      <c r="CE3324" s="5" t="s">
        <v>256</v>
      </c>
      <c r="CF3324" s="5" t="s">
        <v>238</v>
      </c>
      <c r="CH3324" s="5" t="s">
        <v>494</v>
      </c>
      <c r="CI3324" s="6" t="s">
        <v>257</v>
      </c>
      <c r="CJ3324" s="5" t="s">
        <v>495</v>
      </c>
      <c r="CK3324" s="5" t="s">
        <v>258</v>
      </c>
      <c r="CL3324" s="5" t="s">
        <v>496</v>
      </c>
      <c r="CM3324" s="5" t="s">
        <v>238</v>
      </c>
      <c r="CN3324" s="5">
        <v>0</v>
      </c>
      <c r="CO3324" s="5" t="s">
        <v>497</v>
      </c>
      <c r="CP3324" s="5" t="s">
        <v>260</v>
      </c>
      <c r="CQ3324" s="5" t="s">
        <v>260</v>
      </c>
      <c r="CR3324" s="5" t="s">
        <v>261</v>
      </c>
      <c r="CS3324" s="5" t="s">
        <v>498</v>
      </c>
      <c r="CT3324" s="7">
        <f>1</f>
        <v>1</v>
      </c>
      <c r="CU3324" s="8">
        <f>1</f>
        <v>1</v>
      </c>
      <c r="CV3324" s="8">
        <f>0</f>
        <v>0</v>
      </c>
      <c r="CX3324" s="8">
        <f>1</f>
        <v>1</v>
      </c>
      <c r="CY3324" s="8">
        <f>1</f>
        <v>1</v>
      </c>
      <c r="CZ3324" s="8" t="s">
        <v>238</v>
      </c>
      <c r="DA3324" s="5" t="s">
        <v>238</v>
      </c>
      <c r="DB3324" s="5" t="s">
        <v>238</v>
      </c>
      <c r="DC3324" s="5" t="s">
        <v>238</v>
      </c>
      <c r="DD3324" s="5" t="s">
        <v>238</v>
      </c>
      <c r="DE3324" s="8">
        <f>0</f>
        <v>0</v>
      </c>
      <c r="DG3324" s="5" t="s">
        <v>238</v>
      </c>
      <c r="DH3324" s="5" t="s">
        <v>238</v>
      </c>
      <c r="DI3324" s="5" t="s">
        <v>238</v>
      </c>
      <c r="DJ3324" s="5" t="s">
        <v>238</v>
      </c>
      <c r="DK3324" s="5" t="s">
        <v>238</v>
      </c>
      <c r="DL3324" s="5" t="s">
        <v>238</v>
      </c>
      <c r="DM3324" s="8" t="s">
        <v>238</v>
      </c>
      <c r="DN3324" s="5" t="s">
        <v>238</v>
      </c>
      <c r="DO3324" s="5" t="s">
        <v>238</v>
      </c>
      <c r="DP3324" s="5" t="s">
        <v>490</v>
      </c>
      <c r="DQ3324" s="5" t="s">
        <v>490</v>
      </c>
      <c r="DR3324" s="5" t="s">
        <v>238</v>
      </c>
      <c r="DS3324" s="5" t="s">
        <v>238</v>
      </c>
      <c r="DT3324" s="5" t="s">
        <v>881</v>
      </c>
      <c r="DU3324" s="5" t="s">
        <v>1226</v>
      </c>
      <c r="DV3324" s="5" t="s">
        <v>238</v>
      </c>
      <c r="DW3324" s="5" t="s">
        <v>238</v>
      </c>
      <c r="DX3324" s="5" t="s">
        <v>238</v>
      </c>
      <c r="DY3324" s="5" t="s">
        <v>238</v>
      </c>
      <c r="DZ3324" s="5" t="s">
        <v>238</v>
      </c>
      <c r="EA3324" s="5" t="s">
        <v>238</v>
      </c>
      <c r="EB3324" s="5" t="s">
        <v>238</v>
      </c>
      <c r="EC3324" s="5" t="s">
        <v>238</v>
      </c>
      <c r="ED3324" s="5" t="s">
        <v>238</v>
      </c>
      <c r="EE3324" s="5" t="s">
        <v>238</v>
      </c>
      <c r="EF3324" s="5" t="s">
        <v>238</v>
      </c>
      <c r="EG3324" s="5" t="s">
        <v>238</v>
      </c>
      <c r="EH3324" s="5" t="s">
        <v>238</v>
      </c>
      <c r="EI3324" s="5" t="s">
        <v>238</v>
      </c>
      <c r="EJ3324" s="5" t="s">
        <v>238</v>
      </c>
      <c r="EK3324" s="5" t="s">
        <v>238</v>
      </c>
      <c r="EL3324" s="5" t="s">
        <v>238</v>
      </c>
      <c r="EM3324" s="5" t="s">
        <v>238</v>
      </c>
      <c r="EN3324" s="5" t="s">
        <v>238</v>
      </c>
      <c r="EO3324" s="5" t="s">
        <v>238</v>
      </c>
      <c r="EP3324" s="5" t="s">
        <v>238</v>
      </c>
      <c r="EQ3324" s="5" t="s">
        <v>238</v>
      </c>
      <c r="ER3324" s="5" t="s">
        <v>238</v>
      </c>
      <c r="ES3324" s="5" t="s">
        <v>238</v>
      </c>
      <c r="ET3324" s="5" t="s">
        <v>238</v>
      </c>
      <c r="EU3324" s="5" t="s">
        <v>238</v>
      </c>
      <c r="EV3324" s="5" t="s">
        <v>238</v>
      </c>
      <c r="EW3324" s="5" t="s">
        <v>238</v>
      </c>
      <c r="EX3324" s="5" t="s">
        <v>238</v>
      </c>
      <c r="EY3324" s="5" t="s">
        <v>238</v>
      </c>
      <c r="EZ3324" s="5" t="s">
        <v>238</v>
      </c>
      <c r="FA3324" s="5" t="s">
        <v>238</v>
      </c>
      <c r="FB3324" s="5" t="s">
        <v>238</v>
      </c>
      <c r="FC3324" s="5" t="s">
        <v>238</v>
      </c>
      <c r="FD3324" s="5" t="s">
        <v>238</v>
      </c>
      <c r="FE3324" s="5" t="s">
        <v>238</v>
      </c>
      <c r="FF3324" s="5" t="s">
        <v>238</v>
      </c>
      <c r="FG3324" s="5" t="s">
        <v>238</v>
      </c>
      <c r="FH3324" s="5" t="s">
        <v>238</v>
      </c>
      <c r="FI3324" s="5" t="s">
        <v>238</v>
      </c>
      <c r="FJ3324" s="5" t="s">
        <v>238</v>
      </c>
      <c r="FK3324" s="5" t="s">
        <v>238</v>
      </c>
      <c r="FL3324" s="5" t="s">
        <v>238</v>
      </c>
      <c r="FM3324" s="5" t="s">
        <v>238</v>
      </c>
      <c r="FN3324" s="5" t="s">
        <v>238</v>
      </c>
      <c r="FO3324" s="5" t="s">
        <v>238</v>
      </c>
      <c r="FP3324" s="5" t="s">
        <v>238</v>
      </c>
      <c r="FQ3324" s="5" t="s">
        <v>238</v>
      </c>
      <c r="FR3324" s="5" t="s">
        <v>238</v>
      </c>
      <c r="FS3324" s="5" t="s">
        <v>238</v>
      </c>
      <c r="FT3324" s="5" t="s">
        <v>238</v>
      </c>
      <c r="FU3324" s="5" t="s">
        <v>238</v>
      </c>
      <c r="FV3324" s="5" t="s">
        <v>238</v>
      </c>
      <c r="FW3324" s="5" t="s">
        <v>238</v>
      </c>
      <c r="FX3324" s="5" t="s">
        <v>238</v>
      </c>
      <c r="FY3324" s="5" t="s">
        <v>238</v>
      </c>
      <c r="FZ3324" s="5" t="s">
        <v>238</v>
      </c>
      <c r="GA3324" s="5" t="s">
        <v>238</v>
      </c>
      <c r="GB3324" s="5" t="s">
        <v>238</v>
      </c>
      <c r="GC3324" s="5" t="s">
        <v>238</v>
      </c>
      <c r="GD3324" s="5" t="s">
        <v>238</v>
      </c>
      <c r="GE3324" s="5" t="s">
        <v>238</v>
      </c>
      <c r="GF3324" s="5" t="s">
        <v>238</v>
      </c>
      <c r="GG3324" s="5" t="s">
        <v>238</v>
      </c>
      <c r="GH3324" s="5" t="s">
        <v>238</v>
      </c>
      <c r="GI3324" s="5" t="s">
        <v>238</v>
      </c>
      <c r="GJ3324" s="5" t="s">
        <v>238</v>
      </c>
      <c r="GK3324" s="5" t="s">
        <v>238</v>
      </c>
      <c r="GL3324" s="5" t="s">
        <v>238</v>
      </c>
      <c r="GM3324" s="5" t="s">
        <v>238</v>
      </c>
      <c r="GN3324" s="5" t="s">
        <v>238</v>
      </c>
      <c r="GO3324" s="5" t="s">
        <v>238</v>
      </c>
      <c r="GP3324" s="5" t="s">
        <v>238</v>
      </c>
      <c r="GQ3324" s="5" t="s">
        <v>238</v>
      </c>
      <c r="GR3324" s="5" t="s">
        <v>238</v>
      </c>
      <c r="GS3324" s="5" t="s">
        <v>238</v>
      </c>
      <c r="GT3324" s="5" t="s">
        <v>238</v>
      </c>
      <c r="GU3324" s="5" t="s">
        <v>238</v>
      </c>
      <c r="GV3324" s="5" t="s">
        <v>238</v>
      </c>
      <c r="GW3324" s="5" t="s">
        <v>238</v>
      </c>
      <c r="GX3324" s="5" t="s">
        <v>238</v>
      </c>
      <c r="GY3324" s="5" t="s">
        <v>238</v>
      </c>
      <c r="GZ3324" s="5" t="s">
        <v>238</v>
      </c>
      <c r="HA3324" s="5" t="s">
        <v>238</v>
      </c>
      <c r="HB3324" s="5" t="s">
        <v>238</v>
      </c>
      <c r="HC3324" s="5" t="s">
        <v>238</v>
      </c>
      <c r="HD3324" s="5" t="s">
        <v>238</v>
      </c>
      <c r="HE3324" s="5" t="s">
        <v>238</v>
      </c>
      <c r="HF3324" s="5" t="s">
        <v>238</v>
      </c>
      <c r="HG3324" s="5" t="s">
        <v>238</v>
      </c>
      <c r="HH3324" s="5" t="s">
        <v>238</v>
      </c>
      <c r="HI3324" s="5" t="s">
        <v>238</v>
      </c>
      <c r="HJ3324" s="5" t="s">
        <v>238</v>
      </c>
      <c r="HK3324" s="5" t="s">
        <v>238</v>
      </c>
      <c r="HL3324" s="5" t="s">
        <v>238</v>
      </c>
      <c r="HM3324" s="5" t="s">
        <v>264</v>
      </c>
      <c r="HN3324" s="5" t="s">
        <v>238</v>
      </c>
      <c r="HO3324" s="5" t="s">
        <v>238</v>
      </c>
      <c r="HP3324" s="5" t="s">
        <v>238</v>
      </c>
      <c r="HQ3324" s="5" t="s">
        <v>238</v>
      </c>
      <c r="HR3324" s="5" t="s">
        <v>238</v>
      </c>
      <c r="HS3324" s="5" t="s">
        <v>238</v>
      </c>
      <c r="HT3324" s="5" t="s">
        <v>238</v>
      </c>
      <c r="HU3324" s="5" t="s">
        <v>238</v>
      </c>
      <c r="HV3324" s="5" t="s">
        <v>238</v>
      </c>
      <c r="HW3324" s="5" t="s">
        <v>238</v>
      </c>
      <c r="HX3324" s="5" t="s">
        <v>238</v>
      </c>
      <c r="HY3324" s="5" t="s">
        <v>238</v>
      </c>
      <c r="HZ3324" s="5" t="s">
        <v>238</v>
      </c>
      <c r="IA3324" s="5" t="s">
        <v>238</v>
      </c>
      <c r="IB3324" s="5" t="s">
        <v>238</v>
      </c>
      <c r="IC3324" s="5" t="s">
        <v>238</v>
      </c>
      <c r="ID3324" s="5" t="s">
        <v>238</v>
      </c>
    </row>
    <row r="3325" spans="1:238" x14ac:dyDescent="0.4">
      <c r="A3325" s="5">
        <v>9043</v>
      </c>
      <c r="B3325" s="5">
        <v>1</v>
      </c>
      <c r="C3325" s="5">
        <v>1</v>
      </c>
      <c r="D3325" s="5" t="s">
        <v>484</v>
      </c>
      <c r="E3325" s="5" t="s">
        <v>878</v>
      </c>
      <c r="F3325" s="5" t="s">
        <v>248</v>
      </c>
      <c r="G3325" s="5" t="s">
        <v>6515</v>
      </c>
      <c r="H3325" s="6" t="s">
        <v>6516</v>
      </c>
      <c r="I3325" s="8">
        <f>1</f>
        <v>1</v>
      </c>
      <c r="J3325" s="5" t="s">
        <v>499</v>
      </c>
      <c r="K3325" s="8">
        <f>1</f>
        <v>1</v>
      </c>
      <c r="L3325" s="6" t="s">
        <v>242</v>
      </c>
      <c r="M3325" s="5" t="s">
        <v>267</v>
      </c>
      <c r="N3325" s="5" t="s">
        <v>482</v>
      </c>
      <c r="O3325" s="5" t="s">
        <v>238</v>
      </c>
      <c r="P3325" s="5" t="s">
        <v>238</v>
      </c>
      <c r="Q3325" s="5" t="s">
        <v>239</v>
      </c>
      <c r="R3325" s="5" t="s">
        <v>270</v>
      </c>
      <c r="S3325" s="5" t="s">
        <v>238</v>
      </c>
      <c r="T3325" s="5" t="s">
        <v>238</v>
      </c>
      <c r="U3325" s="5" t="s">
        <v>238</v>
      </c>
      <c r="V3325" s="5" t="s">
        <v>238</v>
      </c>
      <c r="W3325" s="6" t="s">
        <v>238</v>
      </c>
      <c r="X3325" s="6" t="s">
        <v>238</v>
      </c>
      <c r="Y3325" s="5" t="s">
        <v>238</v>
      </c>
      <c r="Z3325" s="6" t="s">
        <v>238</v>
      </c>
      <c r="AA3325" s="6" t="s">
        <v>243</v>
      </c>
      <c r="AB3325" s="5" t="s">
        <v>879</v>
      </c>
      <c r="AC3325" s="5" t="s">
        <v>244</v>
      </c>
      <c r="AD3325" s="5" t="s">
        <v>245</v>
      </c>
      <c r="AE3325" s="5" t="s">
        <v>238</v>
      </c>
      <c r="AF3325" s="5" t="s">
        <v>238</v>
      </c>
      <c r="AG3325" s="5" t="s">
        <v>238</v>
      </c>
      <c r="AH3325" s="5" t="s">
        <v>238</v>
      </c>
      <c r="AI3325" s="5" t="s">
        <v>238</v>
      </c>
      <c r="AJ3325" s="5" t="s">
        <v>238</v>
      </c>
      <c r="AK3325" s="5" t="s">
        <v>238</v>
      </c>
      <c r="AL3325" s="5" t="s">
        <v>238</v>
      </c>
      <c r="AM3325" s="6" t="s">
        <v>238</v>
      </c>
      <c r="AN3325" s="6" t="s">
        <v>238</v>
      </c>
      <c r="AO3325" s="6" t="s">
        <v>238</v>
      </c>
      <c r="AP3325" s="6" t="s">
        <v>238</v>
      </c>
      <c r="AQ3325" s="5" t="s">
        <v>238</v>
      </c>
      <c r="AR3325" s="5" t="s">
        <v>488</v>
      </c>
      <c r="AS3325" s="5" t="s">
        <v>488</v>
      </c>
      <c r="AT3325" s="5" t="s">
        <v>246</v>
      </c>
      <c r="AU3325" s="5" t="s">
        <v>489</v>
      </c>
      <c r="AV3325" s="5" t="s">
        <v>247</v>
      </c>
      <c r="AW3325" s="5" t="s">
        <v>238</v>
      </c>
      <c r="AX3325" s="5" t="s">
        <v>249</v>
      </c>
      <c r="AY3325" s="5" t="s">
        <v>490</v>
      </c>
      <c r="BA3325" s="5" t="s">
        <v>238</v>
      </c>
      <c r="BC3325" s="5" t="s">
        <v>491</v>
      </c>
      <c r="BD3325" s="6" t="s">
        <v>492</v>
      </c>
      <c r="BE3325" s="5" t="s">
        <v>493</v>
      </c>
      <c r="BF3325" s="5" t="s">
        <v>493</v>
      </c>
      <c r="BG3325" s="5" t="s">
        <v>238</v>
      </c>
      <c r="BH3325" s="8">
        <f>1</f>
        <v>1</v>
      </c>
      <c r="BI3325" s="8">
        <f>1</f>
        <v>1</v>
      </c>
      <c r="BJ3325" s="5" t="s">
        <v>253</v>
      </c>
      <c r="BK3325" s="5" t="s">
        <v>254</v>
      </c>
      <c r="BL3325" s="5" t="s">
        <v>238</v>
      </c>
      <c r="BM3325" s="5" t="s">
        <v>238</v>
      </c>
      <c r="BN3325" s="5" t="s">
        <v>238</v>
      </c>
      <c r="BO3325" s="5" t="s">
        <v>238</v>
      </c>
      <c r="BP3325" s="5" t="s">
        <v>238</v>
      </c>
      <c r="BQ3325" s="5" t="s">
        <v>238</v>
      </c>
      <c r="BR3325" s="5" t="s">
        <v>238</v>
      </c>
      <c r="BS3325" s="5" t="s">
        <v>238</v>
      </c>
      <c r="BT3325" s="6" t="s">
        <v>238</v>
      </c>
      <c r="BU3325" s="5" t="s">
        <v>238</v>
      </c>
      <c r="BV3325" s="5" t="s">
        <v>238</v>
      </c>
      <c r="BW3325" s="5" t="s">
        <v>238</v>
      </c>
      <c r="BX3325" s="5" t="s">
        <v>254</v>
      </c>
      <c r="BY3325" s="5" t="s">
        <v>238</v>
      </c>
      <c r="BZ3325" s="5" t="s">
        <v>238</v>
      </c>
      <c r="CA3325" s="5" t="s">
        <v>238</v>
      </c>
      <c r="CB3325" s="5" t="s">
        <v>238</v>
      </c>
      <c r="CC3325" s="5" t="s">
        <v>238</v>
      </c>
      <c r="CD3325" s="5" t="s">
        <v>273</v>
      </c>
      <c r="CE3325" s="5" t="s">
        <v>256</v>
      </c>
      <c r="CF3325" s="5" t="s">
        <v>238</v>
      </c>
      <c r="CH3325" s="5" t="s">
        <v>494</v>
      </c>
      <c r="CI3325" s="6" t="s">
        <v>257</v>
      </c>
      <c r="CJ3325" s="5" t="s">
        <v>495</v>
      </c>
      <c r="CK3325" s="5" t="s">
        <v>258</v>
      </c>
      <c r="CL3325" s="5" t="s">
        <v>496</v>
      </c>
      <c r="CM3325" s="5" t="s">
        <v>238</v>
      </c>
      <c r="CN3325" s="5">
        <v>0</v>
      </c>
      <c r="CO3325" s="5" t="s">
        <v>497</v>
      </c>
      <c r="CP3325" s="5" t="s">
        <v>260</v>
      </c>
      <c r="CQ3325" s="5" t="s">
        <v>260</v>
      </c>
      <c r="CR3325" s="5" t="s">
        <v>261</v>
      </c>
      <c r="CS3325" s="5" t="s">
        <v>498</v>
      </c>
      <c r="CT3325" s="7">
        <f>1</f>
        <v>1</v>
      </c>
      <c r="CU3325" s="8">
        <f>1</f>
        <v>1</v>
      </c>
      <c r="CV3325" s="8">
        <f>0</f>
        <v>0</v>
      </c>
      <c r="CX3325" s="8">
        <f>1</f>
        <v>1</v>
      </c>
      <c r="CY3325" s="8">
        <f>1</f>
        <v>1</v>
      </c>
      <c r="CZ3325" s="8" t="s">
        <v>238</v>
      </c>
      <c r="DA3325" s="5" t="s">
        <v>238</v>
      </c>
      <c r="DB3325" s="5" t="s">
        <v>238</v>
      </c>
      <c r="DC3325" s="5" t="s">
        <v>238</v>
      </c>
      <c r="DD3325" s="5" t="s">
        <v>238</v>
      </c>
      <c r="DE3325" s="8">
        <f>0</f>
        <v>0</v>
      </c>
      <c r="DG3325" s="5" t="s">
        <v>238</v>
      </c>
      <c r="DH3325" s="5" t="s">
        <v>238</v>
      </c>
      <c r="DI3325" s="5" t="s">
        <v>238</v>
      </c>
      <c r="DJ3325" s="5" t="s">
        <v>238</v>
      </c>
      <c r="DK3325" s="5" t="s">
        <v>238</v>
      </c>
      <c r="DL3325" s="5" t="s">
        <v>238</v>
      </c>
      <c r="DM3325" s="8" t="s">
        <v>238</v>
      </c>
      <c r="DN3325" s="5" t="s">
        <v>238</v>
      </c>
      <c r="DO3325" s="5" t="s">
        <v>238</v>
      </c>
      <c r="DP3325" s="5" t="s">
        <v>490</v>
      </c>
      <c r="DQ3325" s="5" t="s">
        <v>490</v>
      </c>
      <c r="DR3325" s="5" t="s">
        <v>238</v>
      </c>
      <c r="DS3325" s="5" t="s">
        <v>238</v>
      </c>
      <c r="DT3325" s="5" t="s">
        <v>881</v>
      </c>
      <c r="DU3325" s="5" t="s">
        <v>1090</v>
      </c>
      <c r="DV3325" s="5" t="s">
        <v>238</v>
      </c>
      <c r="DW3325" s="5" t="s">
        <v>238</v>
      </c>
      <c r="DX3325" s="5" t="s">
        <v>238</v>
      </c>
      <c r="DY3325" s="5" t="s">
        <v>238</v>
      </c>
      <c r="DZ3325" s="5" t="s">
        <v>238</v>
      </c>
      <c r="EA3325" s="5" t="s">
        <v>238</v>
      </c>
      <c r="EB3325" s="5" t="s">
        <v>238</v>
      </c>
      <c r="EC3325" s="5" t="s">
        <v>238</v>
      </c>
      <c r="ED3325" s="5" t="s">
        <v>238</v>
      </c>
      <c r="EE3325" s="5" t="s">
        <v>238</v>
      </c>
      <c r="EF3325" s="5" t="s">
        <v>238</v>
      </c>
      <c r="EG3325" s="5" t="s">
        <v>238</v>
      </c>
      <c r="EH3325" s="5" t="s">
        <v>238</v>
      </c>
      <c r="EI3325" s="5" t="s">
        <v>238</v>
      </c>
      <c r="EJ3325" s="5" t="s">
        <v>238</v>
      </c>
      <c r="EK3325" s="5" t="s">
        <v>238</v>
      </c>
      <c r="EL3325" s="5" t="s">
        <v>238</v>
      </c>
      <c r="EM3325" s="5" t="s">
        <v>238</v>
      </c>
      <c r="EN3325" s="5" t="s">
        <v>238</v>
      </c>
      <c r="EO3325" s="5" t="s">
        <v>238</v>
      </c>
      <c r="EP3325" s="5" t="s">
        <v>238</v>
      </c>
      <c r="EQ3325" s="5" t="s">
        <v>238</v>
      </c>
      <c r="ER3325" s="5" t="s">
        <v>238</v>
      </c>
      <c r="ES3325" s="5" t="s">
        <v>238</v>
      </c>
      <c r="ET3325" s="5" t="s">
        <v>238</v>
      </c>
      <c r="EU3325" s="5" t="s">
        <v>238</v>
      </c>
      <c r="EV3325" s="5" t="s">
        <v>238</v>
      </c>
      <c r="EW3325" s="5" t="s">
        <v>238</v>
      </c>
      <c r="EX3325" s="5" t="s">
        <v>238</v>
      </c>
      <c r="EY3325" s="5" t="s">
        <v>238</v>
      </c>
      <c r="EZ3325" s="5" t="s">
        <v>238</v>
      </c>
      <c r="FA3325" s="5" t="s">
        <v>238</v>
      </c>
      <c r="FB3325" s="5" t="s">
        <v>238</v>
      </c>
      <c r="FC3325" s="5" t="s">
        <v>238</v>
      </c>
      <c r="FD3325" s="5" t="s">
        <v>238</v>
      </c>
      <c r="FE3325" s="5" t="s">
        <v>238</v>
      </c>
      <c r="FF3325" s="5" t="s">
        <v>238</v>
      </c>
      <c r="FG3325" s="5" t="s">
        <v>238</v>
      </c>
      <c r="FH3325" s="5" t="s">
        <v>238</v>
      </c>
      <c r="FI3325" s="5" t="s">
        <v>238</v>
      </c>
      <c r="FJ3325" s="5" t="s">
        <v>238</v>
      </c>
      <c r="FK3325" s="5" t="s">
        <v>238</v>
      </c>
      <c r="FL3325" s="5" t="s">
        <v>238</v>
      </c>
      <c r="FM3325" s="5" t="s">
        <v>238</v>
      </c>
      <c r="FN3325" s="5" t="s">
        <v>238</v>
      </c>
      <c r="FO3325" s="5" t="s">
        <v>238</v>
      </c>
      <c r="FP3325" s="5" t="s">
        <v>238</v>
      </c>
      <c r="FQ3325" s="5" t="s">
        <v>238</v>
      </c>
      <c r="FR3325" s="5" t="s">
        <v>238</v>
      </c>
      <c r="FS3325" s="5" t="s">
        <v>238</v>
      </c>
      <c r="FT3325" s="5" t="s">
        <v>238</v>
      </c>
      <c r="FU3325" s="5" t="s">
        <v>238</v>
      </c>
      <c r="FV3325" s="5" t="s">
        <v>238</v>
      </c>
      <c r="FW3325" s="5" t="s">
        <v>238</v>
      </c>
      <c r="FX3325" s="5" t="s">
        <v>238</v>
      </c>
      <c r="FY3325" s="5" t="s">
        <v>238</v>
      </c>
      <c r="FZ3325" s="5" t="s">
        <v>238</v>
      </c>
      <c r="GA3325" s="5" t="s">
        <v>238</v>
      </c>
      <c r="GB3325" s="5" t="s">
        <v>238</v>
      </c>
      <c r="GC3325" s="5" t="s">
        <v>238</v>
      </c>
      <c r="GD3325" s="5" t="s">
        <v>238</v>
      </c>
      <c r="GE3325" s="5" t="s">
        <v>238</v>
      </c>
      <c r="GF3325" s="5" t="s">
        <v>238</v>
      </c>
      <c r="GG3325" s="5" t="s">
        <v>238</v>
      </c>
      <c r="GH3325" s="5" t="s">
        <v>238</v>
      </c>
      <c r="GI3325" s="5" t="s">
        <v>238</v>
      </c>
      <c r="GJ3325" s="5" t="s">
        <v>238</v>
      </c>
      <c r="GK3325" s="5" t="s">
        <v>238</v>
      </c>
      <c r="GL3325" s="5" t="s">
        <v>238</v>
      </c>
      <c r="GM3325" s="5" t="s">
        <v>238</v>
      </c>
      <c r="GN3325" s="5" t="s">
        <v>238</v>
      </c>
      <c r="GO3325" s="5" t="s">
        <v>238</v>
      </c>
      <c r="GP3325" s="5" t="s">
        <v>238</v>
      </c>
      <c r="GQ3325" s="5" t="s">
        <v>238</v>
      </c>
      <c r="GR3325" s="5" t="s">
        <v>238</v>
      </c>
      <c r="GS3325" s="5" t="s">
        <v>238</v>
      </c>
      <c r="GT3325" s="5" t="s">
        <v>238</v>
      </c>
      <c r="GU3325" s="5" t="s">
        <v>238</v>
      </c>
      <c r="GV3325" s="5" t="s">
        <v>238</v>
      </c>
      <c r="GW3325" s="5" t="s">
        <v>238</v>
      </c>
      <c r="GX3325" s="5" t="s">
        <v>238</v>
      </c>
      <c r="GY3325" s="5" t="s">
        <v>238</v>
      </c>
      <c r="GZ3325" s="5" t="s">
        <v>238</v>
      </c>
      <c r="HA3325" s="5" t="s">
        <v>238</v>
      </c>
      <c r="HB3325" s="5" t="s">
        <v>238</v>
      </c>
      <c r="HC3325" s="5" t="s">
        <v>238</v>
      </c>
      <c r="HD3325" s="5" t="s">
        <v>238</v>
      </c>
      <c r="HE3325" s="5" t="s">
        <v>238</v>
      </c>
      <c r="HF3325" s="5" t="s">
        <v>238</v>
      </c>
      <c r="HG3325" s="5" t="s">
        <v>238</v>
      </c>
      <c r="HH3325" s="5" t="s">
        <v>238</v>
      </c>
      <c r="HI3325" s="5" t="s">
        <v>238</v>
      </c>
      <c r="HJ3325" s="5" t="s">
        <v>238</v>
      </c>
      <c r="HK3325" s="5" t="s">
        <v>238</v>
      </c>
      <c r="HL3325" s="5" t="s">
        <v>238</v>
      </c>
      <c r="HM3325" s="5" t="s">
        <v>264</v>
      </c>
      <c r="HN3325" s="5" t="s">
        <v>238</v>
      </c>
      <c r="HO3325" s="5" t="s">
        <v>238</v>
      </c>
      <c r="HP3325" s="5" t="s">
        <v>238</v>
      </c>
      <c r="HQ3325" s="5" t="s">
        <v>238</v>
      </c>
      <c r="HR3325" s="5" t="s">
        <v>238</v>
      </c>
      <c r="HS3325" s="5" t="s">
        <v>238</v>
      </c>
      <c r="HT3325" s="5" t="s">
        <v>238</v>
      </c>
      <c r="HU3325" s="5" t="s">
        <v>238</v>
      </c>
      <c r="HV3325" s="5" t="s">
        <v>238</v>
      </c>
      <c r="HW3325" s="5" t="s">
        <v>238</v>
      </c>
      <c r="HX3325" s="5" t="s">
        <v>238</v>
      </c>
      <c r="HY3325" s="5" t="s">
        <v>238</v>
      </c>
      <c r="HZ3325" s="5" t="s">
        <v>238</v>
      </c>
      <c r="IA3325" s="5" t="s">
        <v>238</v>
      </c>
      <c r="IB3325" s="5" t="s">
        <v>238</v>
      </c>
      <c r="IC3325" s="5" t="s">
        <v>238</v>
      </c>
      <c r="ID3325" s="5" t="s">
        <v>238</v>
      </c>
    </row>
    <row r="3326" spans="1:238" x14ac:dyDescent="0.4">
      <c r="A3326" s="5">
        <v>9044</v>
      </c>
      <c r="B3326" s="5">
        <v>1</v>
      </c>
      <c r="C3326" s="5">
        <v>1</v>
      </c>
      <c r="D3326" s="5" t="s">
        <v>484</v>
      </c>
      <c r="E3326" s="5" t="s">
        <v>878</v>
      </c>
      <c r="F3326" s="5" t="s">
        <v>248</v>
      </c>
      <c r="G3326" s="5" t="s">
        <v>6382</v>
      </c>
      <c r="H3326" s="6" t="s">
        <v>6383</v>
      </c>
      <c r="I3326" s="8">
        <f>1</f>
        <v>1</v>
      </c>
      <c r="J3326" s="5" t="s">
        <v>499</v>
      </c>
      <c r="K3326" s="8">
        <f>1</f>
        <v>1</v>
      </c>
      <c r="L3326" s="6" t="s">
        <v>242</v>
      </c>
      <c r="M3326" s="5" t="s">
        <v>267</v>
      </c>
      <c r="N3326" s="5" t="s">
        <v>482</v>
      </c>
      <c r="O3326" s="5" t="s">
        <v>238</v>
      </c>
      <c r="P3326" s="5" t="s">
        <v>238</v>
      </c>
      <c r="Q3326" s="5" t="s">
        <v>239</v>
      </c>
      <c r="R3326" s="5" t="s">
        <v>270</v>
      </c>
      <c r="S3326" s="5" t="s">
        <v>238</v>
      </c>
      <c r="T3326" s="5" t="s">
        <v>238</v>
      </c>
      <c r="U3326" s="5" t="s">
        <v>238</v>
      </c>
      <c r="V3326" s="5" t="s">
        <v>238</v>
      </c>
      <c r="W3326" s="6" t="s">
        <v>238</v>
      </c>
      <c r="X3326" s="6" t="s">
        <v>238</v>
      </c>
      <c r="Y3326" s="5" t="s">
        <v>238</v>
      </c>
      <c r="Z3326" s="6" t="s">
        <v>238</v>
      </c>
      <c r="AA3326" s="6" t="s">
        <v>243</v>
      </c>
      <c r="AB3326" s="5" t="s">
        <v>879</v>
      </c>
      <c r="AC3326" s="5" t="s">
        <v>244</v>
      </c>
      <c r="AD3326" s="5" t="s">
        <v>245</v>
      </c>
      <c r="AE3326" s="5" t="s">
        <v>238</v>
      </c>
      <c r="AF3326" s="5" t="s">
        <v>238</v>
      </c>
      <c r="AG3326" s="5" t="s">
        <v>238</v>
      </c>
      <c r="AH3326" s="5" t="s">
        <v>238</v>
      </c>
      <c r="AI3326" s="5" t="s">
        <v>238</v>
      </c>
      <c r="AJ3326" s="5" t="s">
        <v>238</v>
      </c>
      <c r="AK3326" s="5" t="s">
        <v>238</v>
      </c>
      <c r="AL3326" s="5" t="s">
        <v>238</v>
      </c>
      <c r="AM3326" s="6" t="s">
        <v>238</v>
      </c>
      <c r="AN3326" s="6" t="s">
        <v>238</v>
      </c>
      <c r="AO3326" s="6" t="s">
        <v>238</v>
      </c>
      <c r="AP3326" s="6" t="s">
        <v>238</v>
      </c>
      <c r="AQ3326" s="5" t="s">
        <v>238</v>
      </c>
      <c r="AR3326" s="5" t="s">
        <v>488</v>
      </c>
      <c r="AS3326" s="5" t="s">
        <v>488</v>
      </c>
      <c r="AT3326" s="5" t="s">
        <v>246</v>
      </c>
      <c r="AU3326" s="5" t="s">
        <v>489</v>
      </c>
      <c r="AV3326" s="5" t="s">
        <v>247</v>
      </c>
      <c r="AW3326" s="5" t="s">
        <v>238</v>
      </c>
      <c r="AX3326" s="5" t="s">
        <v>249</v>
      </c>
      <c r="AY3326" s="5" t="s">
        <v>490</v>
      </c>
      <c r="BA3326" s="5" t="s">
        <v>238</v>
      </c>
      <c r="BC3326" s="5" t="s">
        <v>491</v>
      </c>
      <c r="BD3326" s="6" t="s">
        <v>492</v>
      </c>
      <c r="BE3326" s="5" t="s">
        <v>493</v>
      </c>
      <c r="BF3326" s="5" t="s">
        <v>493</v>
      </c>
      <c r="BG3326" s="5" t="s">
        <v>238</v>
      </c>
      <c r="BH3326" s="8">
        <f>1</f>
        <v>1</v>
      </c>
      <c r="BI3326" s="8">
        <f>1</f>
        <v>1</v>
      </c>
      <c r="BJ3326" s="5" t="s">
        <v>253</v>
      </c>
      <c r="BK3326" s="5" t="s">
        <v>254</v>
      </c>
      <c r="BL3326" s="5" t="s">
        <v>238</v>
      </c>
      <c r="BM3326" s="5" t="s">
        <v>238</v>
      </c>
      <c r="BN3326" s="5" t="s">
        <v>238</v>
      </c>
      <c r="BO3326" s="5" t="s">
        <v>238</v>
      </c>
      <c r="BP3326" s="5" t="s">
        <v>238</v>
      </c>
      <c r="BQ3326" s="5" t="s">
        <v>238</v>
      </c>
      <c r="BR3326" s="5" t="s">
        <v>238</v>
      </c>
      <c r="BS3326" s="5" t="s">
        <v>238</v>
      </c>
      <c r="BT3326" s="6" t="s">
        <v>238</v>
      </c>
      <c r="BU3326" s="5" t="s">
        <v>238</v>
      </c>
      <c r="BV3326" s="5" t="s">
        <v>238</v>
      </c>
      <c r="BW3326" s="5" t="s">
        <v>238</v>
      </c>
      <c r="BX3326" s="5" t="s">
        <v>254</v>
      </c>
      <c r="BY3326" s="5" t="s">
        <v>238</v>
      </c>
      <c r="BZ3326" s="5" t="s">
        <v>238</v>
      </c>
      <c r="CA3326" s="5" t="s">
        <v>238</v>
      </c>
      <c r="CB3326" s="5" t="s">
        <v>238</v>
      </c>
      <c r="CC3326" s="5" t="s">
        <v>238</v>
      </c>
      <c r="CD3326" s="5" t="s">
        <v>273</v>
      </c>
      <c r="CE3326" s="5" t="s">
        <v>256</v>
      </c>
      <c r="CF3326" s="5" t="s">
        <v>238</v>
      </c>
      <c r="CH3326" s="5" t="s">
        <v>494</v>
      </c>
      <c r="CI3326" s="6" t="s">
        <v>257</v>
      </c>
      <c r="CJ3326" s="5" t="s">
        <v>495</v>
      </c>
      <c r="CK3326" s="5" t="s">
        <v>258</v>
      </c>
      <c r="CL3326" s="5" t="s">
        <v>496</v>
      </c>
      <c r="CM3326" s="5" t="s">
        <v>238</v>
      </c>
      <c r="CN3326" s="5">
        <v>0</v>
      </c>
      <c r="CO3326" s="5" t="s">
        <v>497</v>
      </c>
      <c r="CP3326" s="5" t="s">
        <v>260</v>
      </c>
      <c r="CQ3326" s="5" t="s">
        <v>260</v>
      </c>
      <c r="CR3326" s="5" t="s">
        <v>261</v>
      </c>
      <c r="CS3326" s="5" t="s">
        <v>498</v>
      </c>
      <c r="CT3326" s="7">
        <f>1</f>
        <v>1</v>
      </c>
      <c r="CU3326" s="8">
        <f>1</f>
        <v>1</v>
      </c>
      <c r="CV3326" s="8">
        <f>0</f>
        <v>0</v>
      </c>
      <c r="CX3326" s="8">
        <f>1</f>
        <v>1</v>
      </c>
      <c r="CY3326" s="8">
        <f>1</f>
        <v>1</v>
      </c>
      <c r="CZ3326" s="8" t="s">
        <v>238</v>
      </c>
      <c r="DA3326" s="5" t="s">
        <v>238</v>
      </c>
      <c r="DB3326" s="5" t="s">
        <v>238</v>
      </c>
      <c r="DC3326" s="5" t="s">
        <v>238</v>
      </c>
      <c r="DD3326" s="5" t="s">
        <v>238</v>
      </c>
      <c r="DE3326" s="8">
        <f>0</f>
        <v>0</v>
      </c>
      <c r="DG3326" s="5" t="s">
        <v>238</v>
      </c>
      <c r="DH3326" s="5" t="s">
        <v>238</v>
      </c>
      <c r="DI3326" s="5" t="s">
        <v>238</v>
      </c>
      <c r="DJ3326" s="5" t="s">
        <v>238</v>
      </c>
      <c r="DK3326" s="5" t="s">
        <v>238</v>
      </c>
      <c r="DL3326" s="5" t="s">
        <v>238</v>
      </c>
      <c r="DM3326" s="8" t="s">
        <v>238</v>
      </c>
      <c r="DN3326" s="5" t="s">
        <v>238</v>
      </c>
      <c r="DO3326" s="5" t="s">
        <v>238</v>
      </c>
      <c r="DP3326" s="5" t="s">
        <v>490</v>
      </c>
      <c r="DQ3326" s="5" t="s">
        <v>490</v>
      </c>
      <c r="DR3326" s="5" t="s">
        <v>238</v>
      </c>
      <c r="DS3326" s="5" t="s">
        <v>238</v>
      </c>
      <c r="DT3326" s="5" t="s">
        <v>881</v>
      </c>
      <c r="DU3326" s="5" t="s">
        <v>976</v>
      </c>
      <c r="DV3326" s="5" t="s">
        <v>238</v>
      </c>
      <c r="DW3326" s="5" t="s">
        <v>238</v>
      </c>
      <c r="DX3326" s="5" t="s">
        <v>238</v>
      </c>
      <c r="DY3326" s="5" t="s">
        <v>238</v>
      </c>
      <c r="DZ3326" s="5" t="s">
        <v>238</v>
      </c>
      <c r="EA3326" s="5" t="s">
        <v>238</v>
      </c>
      <c r="EB3326" s="5" t="s">
        <v>238</v>
      </c>
      <c r="EC3326" s="5" t="s">
        <v>238</v>
      </c>
      <c r="ED3326" s="5" t="s">
        <v>238</v>
      </c>
      <c r="EE3326" s="5" t="s">
        <v>238</v>
      </c>
      <c r="EF3326" s="5" t="s">
        <v>238</v>
      </c>
      <c r="EG3326" s="5" t="s">
        <v>238</v>
      </c>
      <c r="EH3326" s="5" t="s">
        <v>238</v>
      </c>
      <c r="EI3326" s="5" t="s">
        <v>238</v>
      </c>
      <c r="EJ3326" s="5" t="s">
        <v>238</v>
      </c>
      <c r="EK3326" s="5" t="s">
        <v>238</v>
      </c>
      <c r="EL3326" s="5" t="s">
        <v>238</v>
      </c>
      <c r="EM3326" s="5" t="s">
        <v>238</v>
      </c>
      <c r="EN3326" s="5" t="s">
        <v>238</v>
      </c>
      <c r="EO3326" s="5" t="s">
        <v>238</v>
      </c>
      <c r="EP3326" s="5" t="s">
        <v>238</v>
      </c>
      <c r="EQ3326" s="5" t="s">
        <v>238</v>
      </c>
      <c r="ER3326" s="5" t="s">
        <v>238</v>
      </c>
      <c r="ES3326" s="5" t="s">
        <v>238</v>
      </c>
      <c r="ET3326" s="5" t="s">
        <v>238</v>
      </c>
      <c r="EU3326" s="5" t="s">
        <v>238</v>
      </c>
      <c r="EV3326" s="5" t="s">
        <v>238</v>
      </c>
      <c r="EW3326" s="5" t="s">
        <v>238</v>
      </c>
      <c r="EX3326" s="5" t="s">
        <v>238</v>
      </c>
      <c r="EY3326" s="5" t="s">
        <v>238</v>
      </c>
      <c r="EZ3326" s="5" t="s">
        <v>238</v>
      </c>
      <c r="FA3326" s="5" t="s">
        <v>238</v>
      </c>
      <c r="FB3326" s="5" t="s">
        <v>238</v>
      </c>
      <c r="FC3326" s="5" t="s">
        <v>238</v>
      </c>
      <c r="FD3326" s="5" t="s">
        <v>238</v>
      </c>
      <c r="FE3326" s="5" t="s">
        <v>238</v>
      </c>
      <c r="FF3326" s="5" t="s">
        <v>238</v>
      </c>
      <c r="FG3326" s="5" t="s">
        <v>238</v>
      </c>
      <c r="FH3326" s="5" t="s">
        <v>238</v>
      </c>
      <c r="FI3326" s="5" t="s">
        <v>238</v>
      </c>
      <c r="FJ3326" s="5" t="s">
        <v>238</v>
      </c>
      <c r="FK3326" s="5" t="s">
        <v>238</v>
      </c>
      <c r="FL3326" s="5" t="s">
        <v>238</v>
      </c>
      <c r="FM3326" s="5" t="s">
        <v>238</v>
      </c>
      <c r="FN3326" s="5" t="s">
        <v>238</v>
      </c>
      <c r="FO3326" s="5" t="s">
        <v>238</v>
      </c>
      <c r="FP3326" s="5" t="s">
        <v>238</v>
      </c>
      <c r="FQ3326" s="5" t="s">
        <v>238</v>
      </c>
      <c r="FR3326" s="5" t="s">
        <v>238</v>
      </c>
      <c r="FS3326" s="5" t="s">
        <v>238</v>
      </c>
      <c r="FT3326" s="5" t="s">
        <v>238</v>
      </c>
      <c r="FU3326" s="5" t="s">
        <v>238</v>
      </c>
      <c r="FV3326" s="5" t="s">
        <v>238</v>
      </c>
      <c r="FW3326" s="5" t="s">
        <v>238</v>
      </c>
      <c r="FX3326" s="5" t="s">
        <v>238</v>
      </c>
      <c r="FY3326" s="5" t="s">
        <v>238</v>
      </c>
      <c r="FZ3326" s="5" t="s">
        <v>238</v>
      </c>
      <c r="GA3326" s="5" t="s">
        <v>238</v>
      </c>
      <c r="GB3326" s="5" t="s">
        <v>238</v>
      </c>
      <c r="GC3326" s="5" t="s">
        <v>238</v>
      </c>
      <c r="GD3326" s="5" t="s">
        <v>238</v>
      </c>
      <c r="GE3326" s="5" t="s">
        <v>238</v>
      </c>
      <c r="GF3326" s="5" t="s">
        <v>238</v>
      </c>
      <c r="GG3326" s="5" t="s">
        <v>238</v>
      </c>
      <c r="GH3326" s="5" t="s">
        <v>238</v>
      </c>
      <c r="GI3326" s="5" t="s">
        <v>238</v>
      </c>
      <c r="GJ3326" s="5" t="s">
        <v>238</v>
      </c>
      <c r="GK3326" s="5" t="s">
        <v>238</v>
      </c>
      <c r="GL3326" s="5" t="s">
        <v>238</v>
      </c>
      <c r="GM3326" s="5" t="s">
        <v>238</v>
      </c>
      <c r="GN3326" s="5" t="s">
        <v>238</v>
      </c>
      <c r="GO3326" s="5" t="s">
        <v>238</v>
      </c>
      <c r="GP3326" s="5" t="s">
        <v>238</v>
      </c>
      <c r="GQ3326" s="5" t="s">
        <v>238</v>
      </c>
      <c r="GR3326" s="5" t="s">
        <v>238</v>
      </c>
      <c r="GS3326" s="5" t="s">
        <v>238</v>
      </c>
      <c r="GT3326" s="5" t="s">
        <v>238</v>
      </c>
      <c r="GU3326" s="5" t="s">
        <v>238</v>
      </c>
      <c r="GV3326" s="5" t="s">
        <v>238</v>
      </c>
      <c r="GW3326" s="5" t="s">
        <v>238</v>
      </c>
      <c r="GX3326" s="5" t="s">
        <v>238</v>
      </c>
      <c r="GY3326" s="5" t="s">
        <v>238</v>
      </c>
      <c r="GZ3326" s="5" t="s">
        <v>238</v>
      </c>
      <c r="HA3326" s="5" t="s">
        <v>238</v>
      </c>
      <c r="HB3326" s="5" t="s">
        <v>238</v>
      </c>
      <c r="HC3326" s="5" t="s">
        <v>238</v>
      </c>
      <c r="HD3326" s="5" t="s">
        <v>238</v>
      </c>
      <c r="HE3326" s="5" t="s">
        <v>238</v>
      </c>
      <c r="HF3326" s="5" t="s">
        <v>238</v>
      </c>
      <c r="HG3326" s="5" t="s">
        <v>238</v>
      </c>
      <c r="HH3326" s="5" t="s">
        <v>238</v>
      </c>
      <c r="HI3326" s="5" t="s">
        <v>238</v>
      </c>
      <c r="HJ3326" s="5" t="s">
        <v>238</v>
      </c>
      <c r="HK3326" s="5" t="s">
        <v>238</v>
      </c>
      <c r="HL3326" s="5" t="s">
        <v>238</v>
      </c>
      <c r="HM3326" s="5" t="s">
        <v>264</v>
      </c>
      <c r="HN3326" s="5" t="s">
        <v>238</v>
      </c>
      <c r="HO3326" s="5" t="s">
        <v>238</v>
      </c>
      <c r="HP3326" s="5" t="s">
        <v>238</v>
      </c>
      <c r="HQ3326" s="5" t="s">
        <v>238</v>
      </c>
      <c r="HR3326" s="5" t="s">
        <v>238</v>
      </c>
      <c r="HS3326" s="5" t="s">
        <v>238</v>
      </c>
      <c r="HT3326" s="5" t="s">
        <v>238</v>
      </c>
      <c r="HU3326" s="5" t="s">
        <v>238</v>
      </c>
      <c r="HV3326" s="5" t="s">
        <v>238</v>
      </c>
      <c r="HW3326" s="5" t="s">
        <v>238</v>
      </c>
      <c r="HX3326" s="5" t="s">
        <v>238</v>
      </c>
      <c r="HY3326" s="5" t="s">
        <v>238</v>
      </c>
      <c r="HZ3326" s="5" t="s">
        <v>238</v>
      </c>
      <c r="IA3326" s="5" t="s">
        <v>238</v>
      </c>
      <c r="IB3326" s="5" t="s">
        <v>238</v>
      </c>
      <c r="IC3326" s="5" t="s">
        <v>238</v>
      </c>
      <c r="ID3326" s="5" t="s">
        <v>238</v>
      </c>
    </row>
    <row r="3327" spans="1:238" x14ac:dyDescent="0.4">
      <c r="A3327" s="5">
        <v>9045</v>
      </c>
      <c r="B3327" s="5">
        <v>1</v>
      </c>
      <c r="C3327" s="5">
        <v>1</v>
      </c>
      <c r="D3327" s="5" t="s">
        <v>484</v>
      </c>
      <c r="E3327" s="5" t="s">
        <v>878</v>
      </c>
      <c r="F3327" s="5" t="s">
        <v>248</v>
      </c>
      <c r="G3327" s="5" t="s">
        <v>4854</v>
      </c>
      <c r="H3327" s="6" t="s">
        <v>4855</v>
      </c>
      <c r="I3327" s="8">
        <f>1</f>
        <v>1</v>
      </c>
      <c r="J3327" s="5" t="s">
        <v>499</v>
      </c>
      <c r="K3327" s="8">
        <f>1</f>
        <v>1</v>
      </c>
      <c r="L3327" s="6" t="s">
        <v>242</v>
      </c>
      <c r="M3327" s="5" t="s">
        <v>267</v>
      </c>
      <c r="N3327" s="5" t="s">
        <v>482</v>
      </c>
      <c r="O3327" s="5" t="s">
        <v>238</v>
      </c>
      <c r="P3327" s="5" t="s">
        <v>238</v>
      </c>
      <c r="Q3327" s="5" t="s">
        <v>239</v>
      </c>
      <c r="R3327" s="5" t="s">
        <v>270</v>
      </c>
      <c r="S3327" s="5" t="s">
        <v>238</v>
      </c>
      <c r="T3327" s="5" t="s">
        <v>238</v>
      </c>
      <c r="U3327" s="5" t="s">
        <v>238</v>
      </c>
      <c r="V3327" s="5" t="s">
        <v>238</v>
      </c>
      <c r="W3327" s="6" t="s">
        <v>238</v>
      </c>
      <c r="X3327" s="6" t="s">
        <v>238</v>
      </c>
      <c r="Y3327" s="5" t="s">
        <v>238</v>
      </c>
      <c r="Z3327" s="6" t="s">
        <v>238</v>
      </c>
      <c r="AA3327" s="6" t="s">
        <v>243</v>
      </c>
      <c r="AB3327" s="5" t="s">
        <v>879</v>
      </c>
      <c r="AC3327" s="5" t="s">
        <v>244</v>
      </c>
      <c r="AD3327" s="5" t="s">
        <v>245</v>
      </c>
      <c r="AE3327" s="5" t="s">
        <v>238</v>
      </c>
      <c r="AF3327" s="5" t="s">
        <v>238</v>
      </c>
      <c r="AG3327" s="5" t="s">
        <v>238</v>
      </c>
      <c r="AH3327" s="5" t="s">
        <v>238</v>
      </c>
      <c r="AI3327" s="5" t="s">
        <v>238</v>
      </c>
      <c r="AJ3327" s="5" t="s">
        <v>238</v>
      </c>
      <c r="AK3327" s="5" t="s">
        <v>238</v>
      </c>
      <c r="AL3327" s="5" t="s">
        <v>238</v>
      </c>
      <c r="AM3327" s="6" t="s">
        <v>238</v>
      </c>
      <c r="AN3327" s="6" t="s">
        <v>238</v>
      </c>
      <c r="AO3327" s="6" t="s">
        <v>238</v>
      </c>
      <c r="AP3327" s="6" t="s">
        <v>238</v>
      </c>
      <c r="AQ3327" s="5" t="s">
        <v>238</v>
      </c>
      <c r="AR3327" s="5" t="s">
        <v>488</v>
      </c>
      <c r="AS3327" s="5" t="s">
        <v>488</v>
      </c>
      <c r="AT3327" s="5" t="s">
        <v>246</v>
      </c>
      <c r="AU3327" s="5" t="s">
        <v>489</v>
      </c>
      <c r="AV3327" s="5" t="s">
        <v>247</v>
      </c>
      <c r="AW3327" s="5" t="s">
        <v>238</v>
      </c>
      <c r="AX3327" s="5" t="s">
        <v>249</v>
      </c>
      <c r="AY3327" s="5" t="s">
        <v>490</v>
      </c>
      <c r="BA3327" s="5" t="s">
        <v>238</v>
      </c>
      <c r="BC3327" s="5" t="s">
        <v>491</v>
      </c>
      <c r="BD3327" s="6" t="s">
        <v>492</v>
      </c>
      <c r="BE3327" s="5" t="s">
        <v>493</v>
      </c>
      <c r="BF3327" s="5" t="s">
        <v>493</v>
      </c>
      <c r="BG3327" s="5" t="s">
        <v>238</v>
      </c>
      <c r="BH3327" s="8">
        <f>1</f>
        <v>1</v>
      </c>
      <c r="BI3327" s="8">
        <f>1</f>
        <v>1</v>
      </c>
      <c r="BJ3327" s="5" t="s">
        <v>253</v>
      </c>
      <c r="BK3327" s="5" t="s">
        <v>254</v>
      </c>
      <c r="BL3327" s="5" t="s">
        <v>238</v>
      </c>
      <c r="BM3327" s="5" t="s">
        <v>238</v>
      </c>
      <c r="BN3327" s="5" t="s">
        <v>238</v>
      </c>
      <c r="BO3327" s="5" t="s">
        <v>238</v>
      </c>
      <c r="BP3327" s="5" t="s">
        <v>238</v>
      </c>
      <c r="BQ3327" s="5" t="s">
        <v>238</v>
      </c>
      <c r="BR3327" s="5" t="s">
        <v>238</v>
      </c>
      <c r="BS3327" s="5" t="s">
        <v>238</v>
      </c>
      <c r="BT3327" s="6" t="s">
        <v>238</v>
      </c>
      <c r="BU3327" s="5" t="s">
        <v>238</v>
      </c>
      <c r="BV3327" s="5" t="s">
        <v>238</v>
      </c>
      <c r="BW3327" s="5" t="s">
        <v>238</v>
      </c>
      <c r="BX3327" s="5" t="s">
        <v>254</v>
      </c>
      <c r="BY3327" s="5" t="s">
        <v>238</v>
      </c>
      <c r="BZ3327" s="5" t="s">
        <v>238</v>
      </c>
      <c r="CA3327" s="5" t="s">
        <v>238</v>
      </c>
      <c r="CB3327" s="5" t="s">
        <v>238</v>
      </c>
      <c r="CC3327" s="5" t="s">
        <v>238</v>
      </c>
      <c r="CD3327" s="5" t="s">
        <v>273</v>
      </c>
      <c r="CE3327" s="5" t="s">
        <v>256</v>
      </c>
      <c r="CF3327" s="5" t="s">
        <v>238</v>
      </c>
      <c r="CH3327" s="5" t="s">
        <v>494</v>
      </c>
      <c r="CI3327" s="6" t="s">
        <v>257</v>
      </c>
      <c r="CJ3327" s="5" t="s">
        <v>495</v>
      </c>
      <c r="CK3327" s="5" t="s">
        <v>258</v>
      </c>
      <c r="CL3327" s="5" t="s">
        <v>496</v>
      </c>
      <c r="CM3327" s="5" t="s">
        <v>238</v>
      </c>
      <c r="CN3327" s="5">
        <v>0</v>
      </c>
      <c r="CO3327" s="5" t="s">
        <v>497</v>
      </c>
      <c r="CP3327" s="5" t="s">
        <v>260</v>
      </c>
      <c r="CQ3327" s="5" t="s">
        <v>260</v>
      </c>
      <c r="CR3327" s="5" t="s">
        <v>261</v>
      </c>
      <c r="CS3327" s="5" t="s">
        <v>498</v>
      </c>
      <c r="CT3327" s="7">
        <f>1</f>
        <v>1</v>
      </c>
      <c r="CU3327" s="8">
        <f>1</f>
        <v>1</v>
      </c>
      <c r="CV3327" s="8">
        <f>0</f>
        <v>0</v>
      </c>
      <c r="CX3327" s="8">
        <f>1</f>
        <v>1</v>
      </c>
      <c r="CY3327" s="8">
        <f>1</f>
        <v>1</v>
      </c>
      <c r="CZ3327" s="8" t="s">
        <v>238</v>
      </c>
      <c r="DA3327" s="5" t="s">
        <v>238</v>
      </c>
      <c r="DB3327" s="5" t="s">
        <v>238</v>
      </c>
      <c r="DC3327" s="5" t="s">
        <v>238</v>
      </c>
      <c r="DD3327" s="5" t="s">
        <v>238</v>
      </c>
      <c r="DE3327" s="8">
        <f>0</f>
        <v>0</v>
      </c>
      <c r="DG3327" s="5" t="s">
        <v>238</v>
      </c>
      <c r="DH3327" s="5" t="s">
        <v>238</v>
      </c>
      <c r="DI3327" s="5" t="s">
        <v>238</v>
      </c>
      <c r="DJ3327" s="5" t="s">
        <v>238</v>
      </c>
      <c r="DK3327" s="5" t="s">
        <v>238</v>
      </c>
      <c r="DL3327" s="5" t="s">
        <v>238</v>
      </c>
      <c r="DM3327" s="8" t="s">
        <v>238</v>
      </c>
      <c r="DN3327" s="5" t="s">
        <v>238</v>
      </c>
      <c r="DO3327" s="5" t="s">
        <v>238</v>
      </c>
      <c r="DP3327" s="5" t="s">
        <v>490</v>
      </c>
      <c r="DQ3327" s="5" t="s">
        <v>490</v>
      </c>
      <c r="DR3327" s="5" t="s">
        <v>238</v>
      </c>
      <c r="DS3327" s="5" t="s">
        <v>238</v>
      </c>
      <c r="DT3327" s="5" t="s">
        <v>881</v>
      </c>
      <c r="DU3327" s="5" t="s">
        <v>1209</v>
      </c>
      <c r="DV3327" s="5" t="s">
        <v>238</v>
      </c>
      <c r="DW3327" s="5" t="s">
        <v>238</v>
      </c>
      <c r="DX3327" s="5" t="s">
        <v>238</v>
      </c>
      <c r="DY3327" s="5" t="s">
        <v>238</v>
      </c>
      <c r="DZ3327" s="5" t="s">
        <v>238</v>
      </c>
      <c r="EA3327" s="5" t="s">
        <v>238</v>
      </c>
      <c r="EB3327" s="5" t="s">
        <v>238</v>
      </c>
      <c r="EC3327" s="5" t="s">
        <v>238</v>
      </c>
      <c r="ED3327" s="5" t="s">
        <v>238</v>
      </c>
      <c r="EE3327" s="5" t="s">
        <v>238</v>
      </c>
      <c r="EF3327" s="5" t="s">
        <v>238</v>
      </c>
      <c r="EG3327" s="5" t="s">
        <v>238</v>
      </c>
      <c r="EH3327" s="5" t="s">
        <v>238</v>
      </c>
      <c r="EI3327" s="5" t="s">
        <v>238</v>
      </c>
      <c r="EJ3327" s="5" t="s">
        <v>238</v>
      </c>
      <c r="EK3327" s="5" t="s">
        <v>238</v>
      </c>
      <c r="EL3327" s="5" t="s">
        <v>238</v>
      </c>
      <c r="EM3327" s="5" t="s">
        <v>238</v>
      </c>
      <c r="EN3327" s="5" t="s">
        <v>238</v>
      </c>
      <c r="EO3327" s="5" t="s">
        <v>238</v>
      </c>
      <c r="EP3327" s="5" t="s">
        <v>238</v>
      </c>
      <c r="EQ3327" s="5" t="s">
        <v>238</v>
      </c>
      <c r="ER3327" s="5" t="s">
        <v>238</v>
      </c>
      <c r="ES3327" s="5" t="s">
        <v>238</v>
      </c>
      <c r="ET3327" s="5" t="s">
        <v>238</v>
      </c>
      <c r="EU3327" s="5" t="s">
        <v>238</v>
      </c>
      <c r="EV3327" s="5" t="s">
        <v>238</v>
      </c>
      <c r="EW3327" s="5" t="s">
        <v>238</v>
      </c>
      <c r="EX3327" s="5" t="s">
        <v>238</v>
      </c>
      <c r="EY3327" s="5" t="s">
        <v>238</v>
      </c>
      <c r="EZ3327" s="5" t="s">
        <v>238</v>
      </c>
      <c r="FA3327" s="5" t="s">
        <v>238</v>
      </c>
      <c r="FB3327" s="5" t="s">
        <v>238</v>
      </c>
      <c r="FC3327" s="5" t="s">
        <v>238</v>
      </c>
      <c r="FD3327" s="5" t="s">
        <v>238</v>
      </c>
      <c r="FE3327" s="5" t="s">
        <v>238</v>
      </c>
      <c r="FF3327" s="5" t="s">
        <v>238</v>
      </c>
      <c r="FG3327" s="5" t="s">
        <v>238</v>
      </c>
      <c r="FH3327" s="5" t="s">
        <v>238</v>
      </c>
      <c r="FI3327" s="5" t="s">
        <v>238</v>
      </c>
      <c r="FJ3327" s="5" t="s">
        <v>238</v>
      </c>
      <c r="FK3327" s="5" t="s">
        <v>238</v>
      </c>
      <c r="FL3327" s="5" t="s">
        <v>238</v>
      </c>
      <c r="FM3327" s="5" t="s">
        <v>238</v>
      </c>
      <c r="FN3327" s="5" t="s">
        <v>238</v>
      </c>
      <c r="FO3327" s="5" t="s">
        <v>238</v>
      </c>
      <c r="FP3327" s="5" t="s">
        <v>238</v>
      </c>
      <c r="FQ3327" s="5" t="s">
        <v>238</v>
      </c>
      <c r="FR3327" s="5" t="s">
        <v>238</v>
      </c>
      <c r="FS3327" s="5" t="s">
        <v>238</v>
      </c>
      <c r="FT3327" s="5" t="s">
        <v>238</v>
      </c>
      <c r="FU3327" s="5" t="s">
        <v>238</v>
      </c>
      <c r="FV3327" s="5" t="s">
        <v>238</v>
      </c>
      <c r="FW3327" s="5" t="s">
        <v>238</v>
      </c>
      <c r="FX3327" s="5" t="s">
        <v>238</v>
      </c>
      <c r="FY3327" s="5" t="s">
        <v>238</v>
      </c>
      <c r="FZ3327" s="5" t="s">
        <v>238</v>
      </c>
      <c r="GA3327" s="5" t="s">
        <v>238</v>
      </c>
      <c r="GB3327" s="5" t="s">
        <v>238</v>
      </c>
      <c r="GC3327" s="5" t="s">
        <v>238</v>
      </c>
      <c r="GD3327" s="5" t="s">
        <v>238</v>
      </c>
      <c r="GE3327" s="5" t="s">
        <v>238</v>
      </c>
      <c r="GF3327" s="5" t="s">
        <v>238</v>
      </c>
      <c r="GG3327" s="5" t="s">
        <v>238</v>
      </c>
      <c r="GH3327" s="5" t="s">
        <v>238</v>
      </c>
      <c r="GI3327" s="5" t="s">
        <v>238</v>
      </c>
      <c r="GJ3327" s="5" t="s">
        <v>238</v>
      </c>
      <c r="GK3327" s="5" t="s">
        <v>238</v>
      </c>
      <c r="GL3327" s="5" t="s">
        <v>238</v>
      </c>
      <c r="GM3327" s="5" t="s">
        <v>238</v>
      </c>
      <c r="GN3327" s="5" t="s">
        <v>238</v>
      </c>
      <c r="GO3327" s="5" t="s">
        <v>238</v>
      </c>
      <c r="GP3327" s="5" t="s">
        <v>238</v>
      </c>
      <c r="GQ3327" s="5" t="s">
        <v>238</v>
      </c>
      <c r="GR3327" s="5" t="s">
        <v>238</v>
      </c>
      <c r="GS3327" s="5" t="s">
        <v>238</v>
      </c>
      <c r="GT3327" s="5" t="s">
        <v>238</v>
      </c>
      <c r="GU3327" s="5" t="s">
        <v>238</v>
      </c>
      <c r="GV3327" s="5" t="s">
        <v>238</v>
      </c>
      <c r="GW3327" s="5" t="s">
        <v>238</v>
      </c>
      <c r="GX3327" s="5" t="s">
        <v>238</v>
      </c>
      <c r="GY3327" s="5" t="s">
        <v>238</v>
      </c>
      <c r="GZ3327" s="5" t="s">
        <v>238</v>
      </c>
      <c r="HA3327" s="5" t="s">
        <v>238</v>
      </c>
      <c r="HB3327" s="5" t="s">
        <v>238</v>
      </c>
      <c r="HC3327" s="5" t="s">
        <v>238</v>
      </c>
      <c r="HD3327" s="5" t="s">
        <v>238</v>
      </c>
      <c r="HE3327" s="5" t="s">
        <v>238</v>
      </c>
      <c r="HF3327" s="5" t="s">
        <v>238</v>
      </c>
      <c r="HG3327" s="5" t="s">
        <v>238</v>
      </c>
      <c r="HH3327" s="5" t="s">
        <v>238</v>
      </c>
      <c r="HI3327" s="5" t="s">
        <v>238</v>
      </c>
      <c r="HJ3327" s="5" t="s">
        <v>238</v>
      </c>
      <c r="HK3327" s="5" t="s">
        <v>238</v>
      </c>
      <c r="HL3327" s="5" t="s">
        <v>238</v>
      </c>
      <c r="HM3327" s="5" t="s">
        <v>264</v>
      </c>
      <c r="HN3327" s="5" t="s">
        <v>238</v>
      </c>
      <c r="HO3327" s="5" t="s">
        <v>238</v>
      </c>
      <c r="HP3327" s="5" t="s">
        <v>238</v>
      </c>
      <c r="HQ3327" s="5" t="s">
        <v>238</v>
      </c>
      <c r="HR3327" s="5" t="s">
        <v>238</v>
      </c>
      <c r="HS3327" s="5" t="s">
        <v>238</v>
      </c>
      <c r="HT3327" s="5" t="s">
        <v>238</v>
      </c>
      <c r="HU3327" s="5" t="s">
        <v>238</v>
      </c>
      <c r="HV3327" s="5" t="s">
        <v>238</v>
      </c>
      <c r="HW3327" s="5" t="s">
        <v>238</v>
      </c>
      <c r="HX3327" s="5" t="s">
        <v>238</v>
      </c>
      <c r="HY3327" s="5" t="s">
        <v>238</v>
      </c>
      <c r="HZ3327" s="5" t="s">
        <v>238</v>
      </c>
      <c r="IA3327" s="5" t="s">
        <v>238</v>
      </c>
      <c r="IB3327" s="5" t="s">
        <v>238</v>
      </c>
      <c r="IC3327" s="5" t="s">
        <v>238</v>
      </c>
      <c r="ID3327" s="5" t="s">
        <v>238</v>
      </c>
    </row>
    <row r="3328" spans="1:238" x14ac:dyDescent="0.4">
      <c r="A3328" s="5">
        <v>9046</v>
      </c>
      <c r="B3328" s="5">
        <v>1</v>
      </c>
      <c r="C3328" s="5">
        <v>1</v>
      </c>
      <c r="D3328" s="5" t="s">
        <v>484</v>
      </c>
      <c r="E3328" s="5" t="s">
        <v>878</v>
      </c>
      <c r="F3328" s="5" t="s">
        <v>248</v>
      </c>
      <c r="G3328" s="5" t="s">
        <v>4404</v>
      </c>
      <c r="H3328" s="6" t="s">
        <v>4405</v>
      </c>
      <c r="I3328" s="8">
        <f>1</f>
        <v>1</v>
      </c>
      <c r="J3328" s="5" t="s">
        <v>499</v>
      </c>
      <c r="K3328" s="8">
        <f>1</f>
        <v>1</v>
      </c>
      <c r="L3328" s="6" t="s">
        <v>242</v>
      </c>
      <c r="M3328" s="5" t="s">
        <v>267</v>
      </c>
      <c r="N3328" s="5" t="s">
        <v>482</v>
      </c>
      <c r="O3328" s="5" t="s">
        <v>238</v>
      </c>
      <c r="P3328" s="5" t="s">
        <v>238</v>
      </c>
      <c r="Q3328" s="5" t="s">
        <v>239</v>
      </c>
      <c r="R3328" s="5" t="s">
        <v>270</v>
      </c>
      <c r="S3328" s="5" t="s">
        <v>238</v>
      </c>
      <c r="T3328" s="5" t="s">
        <v>238</v>
      </c>
      <c r="U3328" s="5" t="s">
        <v>238</v>
      </c>
      <c r="V3328" s="5" t="s">
        <v>238</v>
      </c>
      <c r="W3328" s="6" t="s">
        <v>238</v>
      </c>
      <c r="X3328" s="6" t="s">
        <v>238</v>
      </c>
      <c r="Y3328" s="5" t="s">
        <v>238</v>
      </c>
      <c r="Z3328" s="6" t="s">
        <v>238</v>
      </c>
      <c r="AA3328" s="6" t="s">
        <v>243</v>
      </c>
      <c r="AB3328" s="5" t="s">
        <v>879</v>
      </c>
      <c r="AC3328" s="5" t="s">
        <v>244</v>
      </c>
      <c r="AD3328" s="5" t="s">
        <v>245</v>
      </c>
      <c r="AE3328" s="5" t="s">
        <v>238</v>
      </c>
      <c r="AF3328" s="5" t="s">
        <v>238</v>
      </c>
      <c r="AG3328" s="5" t="s">
        <v>238</v>
      </c>
      <c r="AH3328" s="5" t="s">
        <v>238</v>
      </c>
      <c r="AI3328" s="5" t="s">
        <v>238</v>
      </c>
      <c r="AJ3328" s="5" t="s">
        <v>238</v>
      </c>
      <c r="AK3328" s="5" t="s">
        <v>238</v>
      </c>
      <c r="AL3328" s="5" t="s">
        <v>238</v>
      </c>
      <c r="AM3328" s="6" t="s">
        <v>238</v>
      </c>
      <c r="AN3328" s="6" t="s">
        <v>238</v>
      </c>
      <c r="AO3328" s="6" t="s">
        <v>238</v>
      </c>
      <c r="AP3328" s="6" t="s">
        <v>238</v>
      </c>
      <c r="AQ3328" s="5" t="s">
        <v>238</v>
      </c>
      <c r="AR3328" s="5" t="s">
        <v>488</v>
      </c>
      <c r="AS3328" s="5" t="s">
        <v>488</v>
      </c>
      <c r="AT3328" s="5" t="s">
        <v>246</v>
      </c>
      <c r="AU3328" s="5" t="s">
        <v>489</v>
      </c>
      <c r="AV3328" s="5" t="s">
        <v>247</v>
      </c>
      <c r="AW3328" s="5" t="s">
        <v>238</v>
      </c>
      <c r="AX3328" s="5" t="s">
        <v>249</v>
      </c>
      <c r="AY3328" s="5" t="s">
        <v>490</v>
      </c>
      <c r="BA3328" s="5" t="s">
        <v>238</v>
      </c>
      <c r="BC3328" s="5" t="s">
        <v>491</v>
      </c>
      <c r="BD3328" s="6" t="s">
        <v>492</v>
      </c>
      <c r="BE3328" s="5" t="s">
        <v>493</v>
      </c>
      <c r="BF3328" s="5" t="s">
        <v>493</v>
      </c>
      <c r="BG3328" s="5" t="s">
        <v>238</v>
      </c>
      <c r="BH3328" s="8">
        <f>1</f>
        <v>1</v>
      </c>
      <c r="BI3328" s="8">
        <f>1</f>
        <v>1</v>
      </c>
      <c r="BJ3328" s="5" t="s">
        <v>253</v>
      </c>
      <c r="BK3328" s="5" t="s">
        <v>254</v>
      </c>
      <c r="BL3328" s="5" t="s">
        <v>238</v>
      </c>
      <c r="BM3328" s="5" t="s">
        <v>238</v>
      </c>
      <c r="BN3328" s="5" t="s">
        <v>238</v>
      </c>
      <c r="BO3328" s="5" t="s">
        <v>238</v>
      </c>
      <c r="BP3328" s="5" t="s">
        <v>238</v>
      </c>
      <c r="BQ3328" s="5" t="s">
        <v>238</v>
      </c>
      <c r="BR3328" s="5" t="s">
        <v>238</v>
      </c>
      <c r="BS3328" s="5" t="s">
        <v>238</v>
      </c>
      <c r="BT3328" s="6" t="s">
        <v>238</v>
      </c>
      <c r="BU3328" s="5" t="s">
        <v>238</v>
      </c>
      <c r="BV3328" s="5" t="s">
        <v>238</v>
      </c>
      <c r="BW3328" s="5" t="s">
        <v>238</v>
      </c>
      <c r="BX3328" s="5" t="s">
        <v>254</v>
      </c>
      <c r="BY3328" s="5" t="s">
        <v>238</v>
      </c>
      <c r="BZ3328" s="5" t="s">
        <v>238</v>
      </c>
      <c r="CA3328" s="5" t="s">
        <v>238</v>
      </c>
      <c r="CB3328" s="5" t="s">
        <v>238</v>
      </c>
      <c r="CC3328" s="5" t="s">
        <v>238</v>
      </c>
      <c r="CD3328" s="5" t="s">
        <v>273</v>
      </c>
      <c r="CE3328" s="5" t="s">
        <v>256</v>
      </c>
      <c r="CF3328" s="5" t="s">
        <v>238</v>
      </c>
      <c r="CH3328" s="5" t="s">
        <v>494</v>
      </c>
      <c r="CI3328" s="6" t="s">
        <v>257</v>
      </c>
      <c r="CJ3328" s="5" t="s">
        <v>495</v>
      </c>
      <c r="CK3328" s="5" t="s">
        <v>258</v>
      </c>
      <c r="CL3328" s="5" t="s">
        <v>496</v>
      </c>
      <c r="CM3328" s="5" t="s">
        <v>238</v>
      </c>
      <c r="CN3328" s="5">
        <v>0</v>
      </c>
      <c r="CO3328" s="5" t="s">
        <v>497</v>
      </c>
      <c r="CP3328" s="5" t="s">
        <v>260</v>
      </c>
      <c r="CQ3328" s="5" t="s">
        <v>260</v>
      </c>
      <c r="CR3328" s="5" t="s">
        <v>261</v>
      </c>
      <c r="CS3328" s="5" t="s">
        <v>498</v>
      </c>
      <c r="CT3328" s="7">
        <f>1</f>
        <v>1</v>
      </c>
      <c r="CU3328" s="8">
        <f>1</f>
        <v>1</v>
      </c>
      <c r="CV3328" s="8">
        <f>0</f>
        <v>0</v>
      </c>
      <c r="CX3328" s="8">
        <f>1</f>
        <v>1</v>
      </c>
      <c r="CY3328" s="8">
        <f>1</f>
        <v>1</v>
      </c>
      <c r="CZ3328" s="8" t="s">
        <v>238</v>
      </c>
      <c r="DA3328" s="5" t="s">
        <v>238</v>
      </c>
      <c r="DB3328" s="5" t="s">
        <v>238</v>
      </c>
      <c r="DC3328" s="5" t="s">
        <v>238</v>
      </c>
      <c r="DD3328" s="5" t="s">
        <v>238</v>
      </c>
      <c r="DE3328" s="8">
        <f>0</f>
        <v>0</v>
      </c>
      <c r="DG3328" s="5" t="s">
        <v>238</v>
      </c>
      <c r="DH3328" s="5" t="s">
        <v>238</v>
      </c>
      <c r="DI3328" s="5" t="s">
        <v>238</v>
      </c>
      <c r="DJ3328" s="5" t="s">
        <v>238</v>
      </c>
      <c r="DK3328" s="5" t="s">
        <v>238</v>
      </c>
      <c r="DL3328" s="5" t="s">
        <v>238</v>
      </c>
      <c r="DM3328" s="8" t="s">
        <v>238</v>
      </c>
      <c r="DN3328" s="5" t="s">
        <v>238</v>
      </c>
      <c r="DO3328" s="5" t="s">
        <v>238</v>
      </c>
      <c r="DP3328" s="5" t="s">
        <v>490</v>
      </c>
      <c r="DQ3328" s="5" t="s">
        <v>490</v>
      </c>
      <c r="DR3328" s="5" t="s">
        <v>238</v>
      </c>
      <c r="DS3328" s="5" t="s">
        <v>238</v>
      </c>
      <c r="DT3328" s="5" t="s">
        <v>881</v>
      </c>
      <c r="DU3328" s="5" t="s">
        <v>1192</v>
      </c>
      <c r="DV3328" s="5" t="s">
        <v>238</v>
      </c>
      <c r="DW3328" s="5" t="s">
        <v>238</v>
      </c>
      <c r="DX3328" s="5" t="s">
        <v>238</v>
      </c>
      <c r="DY3328" s="5" t="s">
        <v>238</v>
      </c>
      <c r="DZ3328" s="5" t="s">
        <v>238</v>
      </c>
      <c r="EA3328" s="5" t="s">
        <v>238</v>
      </c>
      <c r="EB3328" s="5" t="s">
        <v>238</v>
      </c>
      <c r="EC3328" s="5" t="s">
        <v>238</v>
      </c>
      <c r="ED3328" s="5" t="s">
        <v>238</v>
      </c>
      <c r="EE3328" s="5" t="s">
        <v>238</v>
      </c>
      <c r="EF3328" s="5" t="s">
        <v>238</v>
      </c>
      <c r="EG3328" s="5" t="s">
        <v>238</v>
      </c>
      <c r="EH3328" s="5" t="s">
        <v>238</v>
      </c>
      <c r="EI3328" s="5" t="s">
        <v>238</v>
      </c>
      <c r="EJ3328" s="5" t="s">
        <v>238</v>
      </c>
      <c r="EK3328" s="5" t="s">
        <v>238</v>
      </c>
      <c r="EL3328" s="5" t="s">
        <v>238</v>
      </c>
      <c r="EM3328" s="5" t="s">
        <v>238</v>
      </c>
      <c r="EN3328" s="5" t="s">
        <v>238</v>
      </c>
      <c r="EO3328" s="5" t="s">
        <v>238</v>
      </c>
      <c r="EP3328" s="5" t="s">
        <v>238</v>
      </c>
      <c r="EQ3328" s="5" t="s">
        <v>238</v>
      </c>
      <c r="ER3328" s="5" t="s">
        <v>238</v>
      </c>
      <c r="ES3328" s="5" t="s">
        <v>238</v>
      </c>
      <c r="ET3328" s="5" t="s">
        <v>238</v>
      </c>
      <c r="EU3328" s="5" t="s">
        <v>238</v>
      </c>
      <c r="EV3328" s="5" t="s">
        <v>238</v>
      </c>
      <c r="EW3328" s="5" t="s">
        <v>238</v>
      </c>
      <c r="EX3328" s="5" t="s">
        <v>238</v>
      </c>
      <c r="EY3328" s="5" t="s">
        <v>238</v>
      </c>
      <c r="EZ3328" s="5" t="s">
        <v>238</v>
      </c>
      <c r="FA3328" s="5" t="s">
        <v>238</v>
      </c>
      <c r="FB3328" s="5" t="s">
        <v>238</v>
      </c>
      <c r="FC3328" s="5" t="s">
        <v>238</v>
      </c>
      <c r="FD3328" s="5" t="s">
        <v>238</v>
      </c>
      <c r="FE3328" s="5" t="s">
        <v>238</v>
      </c>
      <c r="FF3328" s="5" t="s">
        <v>238</v>
      </c>
      <c r="FG3328" s="5" t="s">
        <v>238</v>
      </c>
      <c r="FH3328" s="5" t="s">
        <v>238</v>
      </c>
      <c r="FI3328" s="5" t="s">
        <v>238</v>
      </c>
      <c r="FJ3328" s="5" t="s">
        <v>238</v>
      </c>
      <c r="FK3328" s="5" t="s">
        <v>238</v>
      </c>
      <c r="FL3328" s="5" t="s">
        <v>238</v>
      </c>
      <c r="FM3328" s="5" t="s">
        <v>238</v>
      </c>
      <c r="FN3328" s="5" t="s">
        <v>238</v>
      </c>
      <c r="FO3328" s="5" t="s">
        <v>238</v>
      </c>
      <c r="FP3328" s="5" t="s">
        <v>238</v>
      </c>
      <c r="FQ3328" s="5" t="s">
        <v>238</v>
      </c>
      <c r="FR3328" s="5" t="s">
        <v>238</v>
      </c>
      <c r="FS3328" s="5" t="s">
        <v>238</v>
      </c>
      <c r="FT3328" s="5" t="s">
        <v>238</v>
      </c>
      <c r="FU3328" s="5" t="s">
        <v>238</v>
      </c>
      <c r="FV3328" s="5" t="s">
        <v>238</v>
      </c>
      <c r="FW3328" s="5" t="s">
        <v>238</v>
      </c>
      <c r="FX3328" s="5" t="s">
        <v>238</v>
      </c>
      <c r="FY3328" s="5" t="s">
        <v>238</v>
      </c>
      <c r="FZ3328" s="5" t="s">
        <v>238</v>
      </c>
      <c r="GA3328" s="5" t="s">
        <v>238</v>
      </c>
      <c r="GB3328" s="5" t="s">
        <v>238</v>
      </c>
      <c r="GC3328" s="5" t="s">
        <v>238</v>
      </c>
      <c r="GD3328" s="5" t="s">
        <v>238</v>
      </c>
      <c r="GE3328" s="5" t="s">
        <v>238</v>
      </c>
      <c r="GF3328" s="5" t="s">
        <v>238</v>
      </c>
      <c r="GG3328" s="5" t="s">
        <v>238</v>
      </c>
      <c r="GH3328" s="5" t="s">
        <v>238</v>
      </c>
      <c r="GI3328" s="5" t="s">
        <v>238</v>
      </c>
      <c r="GJ3328" s="5" t="s">
        <v>238</v>
      </c>
      <c r="GK3328" s="5" t="s">
        <v>238</v>
      </c>
      <c r="GL3328" s="5" t="s">
        <v>238</v>
      </c>
      <c r="GM3328" s="5" t="s">
        <v>238</v>
      </c>
      <c r="GN3328" s="5" t="s">
        <v>238</v>
      </c>
      <c r="GO3328" s="5" t="s">
        <v>238</v>
      </c>
      <c r="GP3328" s="5" t="s">
        <v>238</v>
      </c>
      <c r="GQ3328" s="5" t="s">
        <v>238</v>
      </c>
      <c r="GR3328" s="5" t="s">
        <v>238</v>
      </c>
      <c r="GS3328" s="5" t="s">
        <v>238</v>
      </c>
      <c r="GT3328" s="5" t="s">
        <v>238</v>
      </c>
      <c r="GU3328" s="5" t="s">
        <v>238</v>
      </c>
      <c r="GV3328" s="5" t="s">
        <v>238</v>
      </c>
      <c r="GW3328" s="5" t="s">
        <v>238</v>
      </c>
      <c r="GX3328" s="5" t="s">
        <v>238</v>
      </c>
      <c r="GY3328" s="5" t="s">
        <v>238</v>
      </c>
      <c r="GZ3328" s="5" t="s">
        <v>238</v>
      </c>
      <c r="HA3328" s="5" t="s">
        <v>238</v>
      </c>
      <c r="HB3328" s="5" t="s">
        <v>238</v>
      </c>
      <c r="HC3328" s="5" t="s">
        <v>238</v>
      </c>
      <c r="HD3328" s="5" t="s">
        <v>238</v>
      </c>
      <c r="HE3328" s="5" t="s">
        <v>238</v>
      </c>
      <c r="HF3328" s="5" t="s">
        <v>238</v>
      </c>
      <c r="HG3328" s="5" t="s">
        <v>238</v>
      </c>
      <c r="HH3328" s="5" t="s">
        <v>238</v>
      </c>
      <c r="HI3328" s="5" t="s">
        <v>238</v>
      </c>
      <c r="HJ3328" s="5" t="s">
        <v>238</v>
      </c>
      <c r="HK3328" s="5" t="s">
        <v>238</v>
      </c>
      <c r="HL3328" s="5" t="s">
        <v>238</v>
      </c>
      <c r="HM3328" s="5" t="s">
        <v>264</v>
      </c>
      <c r="HN3328" s="5" t="s">
        <v>238</v>
      </c>
      <c r="HO3328" s="5" t="s">
        <v>238</v>
      </c>
      <c r="HP3328" s="5" t="s">
        <v>238</v>
      </c>
      <c r="HQ3328" s="5" t="s">
        <v>238</v>
      </c>
      <c r="HR3328" s="5" t="s">
        <v>238</v>
      </c>
      <c r="HS3328" s="5" t="s">
        <v>238</v>
      </c>
      <c r="HT3328" s="5" t="s">
        <v>238</v>
      </c>
      <c r="HU3328" s="5" t="s">
        <v>238</v>
      </c>
      <c r="HV3328" s="5" t="s">
        <v>238</v>
      </c>
      <c r="HW3328" s="5" t="s">
        <v>238</v>
      </c>
      <c r="HX3328" s="5" t="s">
        <v>238</v>
      </c>
      <c r="HY3328" s="5" t="s">
        <v>238</v>
      </c>
      <c r="HZ3328" s="5" t="s">
        <v>238</v>
      </c>
      <c r="IA3328" s="5" t="s">
        <v>238</v>
      </c>
      <c r="IB3328" s="5" t="s">
        <v>238</v>
      </c>
      <c r="IC3328" s="5" t="s">
        <v>238</v>
      </c>
      <c r="ID3328" s="5" t="s">
        <v>238</v>
      </c>
    </row>
    <row r="3329" spans="1:238" x14ac:dyDescent="0.4">
      <c r="A3329" s="5">
        <v>9047</v>
      </c>
      <c r="B3329" s="5">
        <v>1</v>
      </c>
      <c r="C3329" s="5">
        <v>1</v>
      </c>
      <c r="D3329" s="5" t="s">
        <v>484</v>
      </c>
      <c r="E3329" s="5" t="s">
        <v>878</v>
      </c>
      <c r="F3329" s="5" t="s">
        <v>248</v>
      </c>
      <c r="G3329" s="5" t="s">
        <v>4899</v>
      </c>
      <c r="H3329" s="6" t="s">
        <v>4900</v>
      </c>
      <c r="I3329" s="8">
        <f>1</f>
        <v>1</v>
      </c>
      <c r="J3329" s="5" t="s">
        <v>499</v>
      </c>
      <c r="K3329" s="8">
        <f>1</f>
        <v>1</v>
      </c>
      <c r="L3329" s="6" t="s">
        <v>242</v>
      </c>
      <c r="M3329" s="5" t="s">
        <v>267</v>
      </c>
      <c r="N3329" s="5" t="s">
        <v>482</v>
      </c>
      <c r="O3329" s="5" t="s">
        <v>238</v>
      </c>
      <c r="P3329" s="5" t="s">
        <v>238</v>
      </c>
      <c r="Q3329" s="5" t="s">
        <v>239</v>
      </c>
      <c r="R3329" s="5" t="s">
        <v>270</v>
      </c>
      <c r="S3329" s="5" t="s">
        <v>238</v>
      </c>
      <c r="T3329" s="5" t="s">
        <v>238</v>
      </c>
      <c r="U3329" s="5" t="s">
        <v>238</v>
      </c>
      <c r="V3329" s="5" t="s">
        <v>238</v>
      </c>
      <c r="W3329" s="6" t="s">
        <v>238</v>
      </c>
      <c r="X3329" s="6" t="s">
        <v>238</v>
      </c>
      <c r="Y3329" s="5" t="s">
        <v>238</v>
      </c>
      <c r="Z3329" s="6" t="s">
        <v>238</v>
      </c>
      <c r="AA3329" s="6" t="s">
        <v>243</v>
      </c>
      <c r="AB3329" s="5" t="s">
        <v>879</v>
      </c>
      <c r="AC3329" s="5" t="s">
        <v>244</v>
      </c>
      <c r="AD3329" s="5" t="s">
        <v>245</v>
      </c>
      <c r="AE3329" s="5" t="s">
        <v>238</v>
      </c>
      <c r="AF3329" s="5" t="s">
        <v>238</v>
      </c>
      <c r="AG3329" s="5" t="s">
        <v>238</v>
      </c>
      <c r="AH3329" s="5" t="s">
        <v>238</v>
      </c>
      <c r="AI3329" s="5" t="s">
        <v>238</v>
      </c>
      <c r="AJ3329" s="5" t="s">
        <v>238</v>
      </c>
      <c r="AK3329" s="5" t="s">
        <v>238</v>
      </c>
      <c r="AL3329" s="5" t="s">
        <v>238</v>
      </c>
      <c r="AM3329" s="6" t="s">
        <v>238</v>
      </c>
      <c r="AN3329" s="6" t="s">
        <v>238</v>
      </c>
      <c r="AO3329" s="6" t="s">
        <v>238</v>
      </c>
      <c r="AP3329" s="6" t="s">
        <v>238</v>
      </c>
      <c r="AQ3329" s="5" t="s">
        <v>238</v>
      </c>
      <c r="AR3329" s="5" t="s">
        <v>488</v>
      </c>
      <c r="AS3329" s="5" t="s">
        <v>488</v>
      </c>
      <c r="AT3329" s="5" t="s">
        <v>246</v>
      </c>
      <c r="AU3329" s="5" t="s">
        <v>489</v>
      </c>
      <c r="AV3329" s="5" t="s">
        <v>247</v>
      </c>
      <c r="AW3329" s="5" t="s">
        <v>238</v>
      </c>
      <c r="AX3329" s="5" t="s">
        <v>249</v>
      </c>
      <c r="AY3329" s="5" t="s">
        <v>490</v>
      </c>
      <c r="BA3329" s="5" t="s">
        <v>238</v>
      </c>
      <c r="BC3329" s="5" t="s">
        <v>491</v>
      </c>
      <c r="BD3329" s="6" t="s">
        <v>492</v>
      </c>
      <c r="BE3329" s="5" t="s">
        <v>493</v>
      </c>
      <c r="BF3329" s="5" t="s">
        <v>493</v>
      </c>
      <c r="BG3329" s="5" t="s">
        <v>238</v>
      </c>
      <c r="BH3329" s="8">
        <f>1</f>
        <v>1</v>
      </c>
      <c r="BI3329" s="8">
        <f>1</f>
        <v>1</v>
      </c>
      <c r="BJ3329" s="5" t="s">
        <v>253</v>
      </c>
      <c r="BK3329" s="5" t="s">
        <v>254</v>
      </c>
      <c r="BL3329" s="5" t="s">
        <v>238</v>
      </c>
      <c r="BM3329" s="5" t="s">
        <v>238</v>
      </c>
      <c r="BN3329" s="5" t="s">
        <v>238</v>
      </c>
      <c r="BO3329" s="5" t="s">
        <v>238</v>
      </c>
      <c r="BP3329" s="5" t="s">
        <v>238</v>
      </c>
      <c r="BQ3329" s="5" t="s">
        <v>238</v>
      </c>
      <c r="BR3329" s="5" t="s">
        <v>238</v>
      </c>
      <c r="BS3329" s="5" t="s">
        <v>238</v>
      </c>
      <c r="BT3329" s="6" t="s">
        <v>238</v>
      </c>
      <c r="BU3329" s="5" t="s">
        <v>238</v>
      </c>
      <c r="BV3329" s="5" t="s">
        <v>238</v>
      </c>
      <c r="BW3329" s="5" t="s">
        <v>238</v>
      </c>
      <c r="BX3329" s="5" t="s">
        <v>254</v>
      </c>
      <c r="BY3329" s="5" t="s">
        <v>238</v>
      </c>
      <c r="BZ3329" s="5" t="s">
        <v>238</v>
      </c>
      <c r="CA3329" s="5" t="s">
        <v>238</v>
      </c>
      <c r="CB3329" s="5" t="s">
        <v>238</v>
      </c>
      <c r="CC3329" s="5" t="s">
        <v>238</v>
      </c>
      <c r="CD3329" s="5" t="s">
        <v>273</v>
      </c>
      <c r="CE3329" s="5" t="s">
        <v>256</v>
      </c>
      <c r="CF3329" s="5" t="s">
        <v>238</v>
      </c>
      <c r="CH3329" s="5" t="s">
        <v>494</v>
      </c>
      <c r="CI3329" s="6" t="s">
        <v>257</v>
      </c>
      <c r="CJ3329" s="5" t="s">
        <v>495</v>
      </c>
      <c r="CK3329" s="5" t="s">
        <v>258</v>
      </c>
      <c r="CL3329" s="5" t="s">
        <v>496</v>
      </c>
      <c r="CM3329" s="5" t="s">
        <v>238</v>
      </c>
      <c r="CN3329" s="5">
        <v>0</v>
      </c>
      <c r="CO3329" s="5" t="s">
        <v>497</v>
      </c>
      <c r="CP3329" s="5" t="s">
        <v>260</v>
      </c>
      <c r="CQ3329" s="5" t="s">
        <v>260</v>
      </c>
      <c r="CR3329" s="5" t="s">
        <v>261</v>
      </c>
      <c r="CS3329" s="5" t="s">
        <v>498</v>
      </c>
      <c r="CT3329" s="7">
        <f>1</f>
        <v>1</v>
      </c>
      <c r="CU3329" s="8">
        <f>1</f>
        <v>1</v>
      </c>
      <c r="CV3329" s="8">
        <f>0</f>
        <v>0</v>
      </c>
      <c r="CX3329" s="8">
        <f>1</f>
        <v>1</v>
      </c>
      <c r="CY3329" s="8">
        <f>1</f>
        <v>1</v>
      </c>
      <c r="CZ3329" s="8" t="s">
        <v>238</v>
      </c>
      <c r="DA3329" s="5" t="s">
        <v>238</v>
      </c>
      <c r="DB3329" s="5" t="s">
        <v>238</v>
      </c>
      <c r="DC3329" s="5" t="s">
        <v>238</v>
      </c>
      <c r="DD3329" s="5" t="s">
        <v>238</v>
      </c>
      <c r="DE3329" s="8">
        <f>0</f>
        <v>0</v>
      </c>
      <c r="DG3329" s="5" t="s">
        <v>238</v>
      </c>
      <c r="DH3329" s="5" t="s">
        <v>238</v>
      </c>
      <c r="DI3329" s="5" t="s">
        <v>238</v>
      </c>
      <c r="DJ3329" s="5" t="s">
        <v>238</v>
      </c>
      <c r="DK3329" s="5" t="s">
        <v>238</v>
      </c>
      <c r="DL3329" s="5" t="s">
        <v>238</v>
      </c>
      <c r="DM3329" s="8" t="s">
        <v>238</v>
      </c>
      <c r="DN3329" s="5" t="s">
        <v>238</v>
      </c>
      <c r="DO3329" s="5" t="s">
        <v>238</v>
      </c>
      <c r="DP3329" s="5" t="s">
        <v>490</v>
      </c>
      <c r="DQ3329" s="5" t="s">
        <v>490</v>
      </c>
      <c r="DR3329" s="5" t="s">
        <v>238</v>
      </c>
      <c r="DS3329" s="5" t="s">
        <v>238</v>
      </c>
      <c r="DT3329" s="5" t="s">
        <v>881</v>
      </c>
      <c r="DU3329" s="5" t="s">
        <v>422</v>
      </c>
      <c r="DV3329" s="5" t="s">
        <v>238</v>
      </c>
      <c r="DW3329" s="5" t="s">
        <v>238</v>
      </c>
      <c r="DX3329" s="5" t="s">
        <v>238</v>
      </c>
      <c r="DY3329" s="5" t="s">
        <v>238</v>
      </c>
      <c r="DZ3329" s="5" t="s">
        <v>238</v>
      </c>
      <c r="EA3329" s="5" t="s">
        <v>238</v>
      </c>
      <c r="EB3329" s="5" t="s">
        <v>238</v>
      </c>
      <c r="EC3329" s="5" t="s">
        <v>238</v>
      </c>
      <c r="ED3329" s="5" t="s">
        <v>238</v>
      </c>
      <c r="EE3329" s="5" t="s">
        <v>238</v>
      </c>
      <c r="EF3329" s="5" t="s">
        <v>238</v>
      </c>
      <c r="EG3329" s="5" t="s">
        <v>238</v>
      </c>
      <c r="EH3329" s="5" t="s">
        <v>238</v>
      </c>
      <c r="EI3329" s="5" t="s">
        <v>238</v>
      </c>
      <c r="EJ3329" s="5" t="s">
        <v>238</v>
      </c>
      <c r="EK3329" s="5" t="s">
        <v>238</v>
      </c>
      <c r="EL3329" s="5" t="s">
        <v>238</v>
      </c>
      <c r="EM3329" s="5" t="s">
        <v>238</v>
      </c>
      <c r="EN3329" s="5" t="s">
        <v>238</v>
      </c>
      <c r="EO3329" s="5" t="s">
        <v>238</v>
      </c>
      <c r="EP3329" s="5" t="s">
        <v>238</v>
      </c>
      <c r="EQ3329" s="5" t="s">
        <v>238</v>
      </c>
      <c r="ER3329" s="5" t="s">
        <v>238</v>
      </c>
      <c r="ES3329" s="5" t="s">
        <v>238</v>
      </c>
      <c r="ET3329" s="5" t="s">
        <v>238</v>
      </c>
      <c r="EU3329" s="5" t="s">
        <v>238</v>
      </c>
      <c r="EV3329" s="5" t="s">
        <v>238</v>
      </c>
      <c r="EW3329" s="5" t="s">
        <v>238</v>
      </c>
      <c r="EX3329" s="5" t="s">
        <v>238</v>
      </c>
      <c r="EY3329" s="5" t="s">
        <v>238</v>
      </c>
      <c r="EZ3329" s="5" t="s">
        <v>238</v>
      </c>
      <c r="FA3329" s="5" t="s">
        <v>238</v>
      </c>
      <c r="FB3329" s="5" t="s">
        <v>238</v>
      </c>
      <c r="FC3329" s="5" t="s">
        <v>238</v>
      </c>
      <c r="FD3329" s="5" t="s">
        <v>238</v>
      </c>
      <c r="FE3329" s="5" t="s">
        <v>238</v>
      </c>
      <c r="FF3329" s="5" t="s">
        <v>238</v>
      </c>
      <c r="FG3329" s="5" t="s">
        <v>238</v>
      </c>
      <c r="FH3329" s="5" t="s">
        <v>238</v>
      </c>
      <c r="FI3329" s="5" t="s">
        <v>238</v>
      </c>
      <c r="FJ3329" s="5" t="s">
        <v>238</v>
      </c>
      <c r="FK3329" s="5" t="s">
        <v>238</v>
      </c>
      <c r="FL3329" s="5" t="s">
        <v>238</v>
      </c>
      <c r="FM3329" s="5" t="s">
        <v>238</v>
      </c>
      <c r="FN3329" s="5" t="s">
        <v>238</v>
      </c>
      <c r="FO3329" s="5" t="s">
        <v>238</v>
      </c>
      <c r="FP3329" s="5" t="s">
        <v>238</v>
      </c>
      <c r="FQ3329" s="5" t="s">
        <v>238</v>
      </c>
      <c r="FR3329" s="5" t="s">
        <v>238</v>
      </c>
      <c r="FS3329" s="5" t="s">
        <v>238</v>
      </c>
      <c r="FT3329" s="5" t="s">
        <v>238</v>
      </c>
      <c r="FU3329" s="5" t="s">
        <v>238</v>
      </c>
      <c r="FV3329" s="5" t="s">
        <v>238</v>
      </c>
      <c r="FW3329" s="5" t="s">
        <v>238</v>
      </c>
      <c r="FX3329" s="5" t="s">
        <v>238</v>
      </c>
      <c r="FY3329" s="5" t="s">
        <v>238</v>
      </c>
      <c r="FZ3329" s="5" t="s">
        <v>238</v>
      </c>
      <c r="GA3329" s="5" t="s">
        <v>238</v>
      </c>
      <c r="GB3329" s="5" t="s">
        <v>238</v>
      </c>
      <c r="GC3329" s="5" t="s">
        <v>238</v>
      </c>
      <c r="GD3329" s="5" t="s">
        <v>238</v>
      </c>
      <c r="GE3329" s="5" t="s">
        <v>238</v>
      </c>
      <c r="GF3329" s="5" t="s">
        <v>238</v>
      </c>
      <c r="GG3329" s="5" t="s">
        <v>238</v>
      </c>
      <c r="GH3329" s="5" t="s">
        <v>238</v>
      </c>
      <c r="GI3329" s="5" t="s">
        <v>238</v>
      </c>
      <c r="GJ3329" s="5" t="s">
        <v>238</v>
      </c>
      <c r="GK3329" s="5" t="s">
        <v>238</v>
      </c>
      <c r="GL3329" s="5" t="s">
        <v>238</v>
      </c>
      <c r="GM3329" s="5" t="s">
        <v>238</v>
      </c>
      <c r="GN3329" s="5" t="s">
        <v>238</v>
      </c>
      <c r="GO3329" s="5" t="s">
        <v>238</v>
      </c>
      <c r="GP3329" s="5" t="s">
        <v>238</v>
      </c>
      <c r="GQ3329" s="5" t="s">
        <v>238</v>
      </c>
      <c r="GR3329" s="5" t="s">
        <v>238</v>
      </c>
      <c r="GS3329" s="5" t="s">
        <v>238</v>
      </c>
      <c r="GT3329" s="5" t="s">
        <v>238</v>
      </c>
      <c r="GU3329" s="5" t="s">
        <v>238</v>
      </c>
      <c r="GV3329" s="5" t="s">
        <v>238</v>
      </c>
      <c r="GW3329" s="5" t="s">
        <v>238</v>
      </c>
      <c r="GX3329" s="5" t="s">
        <v>238</v>
      </c>
      <c r="GY3329" s="5" t="s">
        <v>238</v>
      </c>
      <c r="GZ3329" s="5" t="s">
        <v>238</v>
      </c>
      <c r="HA3329" s="5" t="s">
        <v>238</v>
      </c>
      <c r="HB3329" s="5" t="s">
        <v>238</v>
      </c>
      <c r="HC3329" s="5" t="s">
        <v>238</v>
      </c>
      <c r="HD3329" s="5" t="s">
        <v>238</v>
      </c>
      <c r="HE3329" s="5" t="s">
        <v>238</v>
      </c>
      <c r="HF3329" s="5" t="s">
        <v>238</v>
      </c>
      <c r="HG3329" s="5" t="s">
        <v>238</v>
      </c>
      <c r="HH3329" s="5" t="s">
        <v>238</v>
      </c>
      <c r="HI3329" s="5" t="s">
        <v>238</v>
      </c>
      <c r="HJ3329" s="5" t="s">
        <v>238</v>
      </c>
      <c r="HK3329" s="5" t="s">
        <v>238</v>
      </c>
      <c r="HL3329" s="5" t="s">
        <v>238</v>
      </c>
      <c r="HM3329" s="5" t="s">
        <v>264</v>
      </c>
      <c r="HN3329" s="5" t="s">
        <v>238</v>
      </c>
      <c r="HO3329" s="5" t="s">
        <v>238</v>
      </c>
      <c r="HP3329" s="5" t="s">
        <v>238</v>
      </c>
      <c r="HQ3329" s="5" t="s">
        <v>238</v>
      </c>
      <c r="HR3329" s="5" t="s">
        <v>238</v>
      </c>
      <c r="HS3329" s="5" t="s">
        <v>238</v>
      </c>
      <c r="HT3329" s="5" t="s">
        <v>238</v>
      </c>
      <c r="HU3329" s="5" t="s">
        <v>238</v>
      </c>
      <c r="HV3329" s="5" t="s">
        <v>238</v>
      </c>
      <c r="HW3329" s="5" t="s">
        <v>238</v>
      </c>
      <c r="HX3329" s="5" t="s">
        <v>238</v>
      </c>
      <c r="HY3329" s="5" t="s">
        <v>238</v>
      </c>
      <c r="HZ3329" s="5" t="s">
        <v>238</v>
      </c>
      <c r="IA3329" s="5" t="s">
        <v>238</v>
      </c>
      <c r="IB3329" s="5" t="s">
        <v>238</v>
      </c>
      <c r="IC3329" s="5" t="s">
        <v>238</v>
      </c>
      <c r="ID3329" s="5" t="s">
        <v>238</v>
      </c>
    </row>
    <row r="3330" spans="1:238" x14ac:dyDescent="0.4">
      <c r="A3330" s="5">
        <v>9048</v>
      </c>
      <c r="B3330" s="5">
        <v>1</v>
      </c>
      <c r="C3330" s="5">
        <v>1</v>
      </c>
      <c r="D3330" s="5" t="s">
        <v>484</v>
      </c>
      <c r="E3330" s="5" t="s">
        <v>878</v>
      </c>
      <c r="F3330" s="5" t="s">
        <v>248</v>
      </c>
      <c r="G3330" s="5" t="s">
        <v>4374</v>
      </c>
      <c r="H3330" s="6" t="s">
        <v>4375</v>
      </c>
      <c r="I3330" s="8">
        <f>1</f>
        <v>1</v>
      </c>
      <c r="J3330" s="5" t="s">
        <v>499</v>
      </c>
      <c r="K3330" s="8">
        <f>1</f>
        <v>1</v>
      </c>
      <c r="L3330" s="6" t="s">
        <v>242</v>
      </c>
      <c r="M3330" s="5" t="s">
        <v>267</v>
      </c>
      <c r="N3330" s="5" t="s">
        <v>482</v>
      </c>
      <c r="O3330" s="5" t="s">
        <v>238</v>
      </c>
      <c r="P3330" s="5" t="s">
        <v>238</v>
      </c>
      <c r="Q3330" s="5" t="s">
        <v>239</v>
      </c>
      <c r="R3330" s="5" t="s">
        <v>270</v>
      </c>
      <c r="S3330" s="5" t="s">
        <v>238</v>
      </c>
      <c r="T3330" s="5" t="s">
        <v>238</v>
      </c>
      <c r="U3330" s="5" t="s">
        <v>238</v>
      </c>
      <c r="V3330" s="5" t="s">
        <v>238</v>
      </c>
      <c r="W3330" s="6" t="s">
        <v>238</v>
      </c>
      <c r="X3330" s="6" t="s">
        <v>238</v>
      </c>
      <c r="Y3330" s="5" t="s">
        <v>238</v>
      </c>
      <c r="Z3330" s="6" t="s">
        <v>238</v>
      </c>
      <c r="AA3330" s="6" t="s">
        <v>243</v>
      </c>
      <c r="AB3330" s="5" t="s">
        <v>879</v>
      </c>
      <c r="AC3330" s="5" t="s">
        <v>244</v>
      </c>
      <c r="AD3330" s="5" t="s">
        <v>245</v>
      </c>
      <c r="AE3330" s="5" t="s">
        <v>238</v>
      </c>
      <c r="AF3330" s="5" t="s">
        <v>238</v>
      </c>
      <c r="AG3330" s="5" t="s">
        <v>238</v>
      </c>
      <c r="AH3330" s="5" t="s">
        <v>238</v>
      </c>
      <c r="AI3330" s="5" t="s">
        <v>238</v>
      </c>
      <c r="AJ3330" s="5" t="s">
        <v>238</v>
      </c>
      <c r="AK3330" s="5" t="s">
        <v>238</v>
      </c>
      <c r="AL3330" s="5" t="s">
        <v>238</v>
      </c>
      <c r="AM3330" s="6" t="s">
        <v>238</v>
      </c>
      <c r="AN3330" s="6" t="s">
        <v>238</v>
      </c>
      <c r="AO3330" s="6" t="s">
        <v>238</v>
      </c>
      <c r="AP3330" s="6" t="s">
        <v>238</v>
      </c>
      <c r="AQ3330" s="5" t="s">
        <v>238</v>
      </c>
      <c r="AR3330" s="5" t="s">
        <v>488</v>
      </c>
      <c r="AS3330" s="5" t="s">
        <v>488</v>
      </c>
      <c r="AT3330" s="5" t="s">
        <v>246</v>
      </c>
      <c r="AU3330" s="5" t="s">
        <v>489</v>
      </c>
      <c r="AV3330" s="5" t="s">
        <v>247</v>
      </c>
      <c r="AW3330" s="5" t="s">
        <v>238</v>
      </c>
      <c r="AX3330" s="5" t="s">
        <v>249</v>
      </c>
      <c r="AY3330" s="5" t="s">
        <v>490</v>
      </c>
      <c r="BA3330" s="5" t="s">
        <v>238</v>
      </c>
      <c r="BC3330" s="5" t="s">
        <v>491</v>
      </c>
      <c r="BD3330" s="6" t="s">
        <v>492</v>
      </c>
      <c r="BE3330" s="5" t="s">
        <v>493</v>
      </c>
      <c r="BF3330" s="5" t="s">
        <v>493</v>
      </c>
      <c r="BG3330" s="5" t="s">
        <v>238</v>
      </c>
      <c r="BH3330" s="8">
        <f>1</f>
        <v>1</v>
      </c>
      <c r="BI3330" s="8">
        <f>1</f>
        <v>1</v>
      </c>
      <c r="BJ3330" s="5" t="s">
        <v>253</v>
      </c>
      <c r="BK3330" s="5" t="s">
        <v>254</v>
      </c>
      <c r="BL3330" s="5" t="s">
        <v>238</v>
      </c>
      <c r="BM3330" s="5" t="s">
        <v>238</v>
      </c>
      <c r="BN3330" s="5" t="s">
        <v>238</v>
      </c>
      <c r="BO3330" s="5" t="s">
        <v>238</v>
      </c>
      <c r="BP3330" s="5" t="s">
        <v>238</v>
      </c>
      <c r="BQ3330" s="5" t="s">
        <v>238</v>
      </c>
      <c r="BR3330" s="5" t="s">
        <v>238</v>
      </c>
      <c r="BS3330" s="5" t="s">
        <v>238</v>
      </c>
      <c r="BT3330" s="6" t="s">
        <v>238</v>
      </c>
      <c r="BU3330" s="5" t="s">
        <v>238</v>
      </c>
      <c r="BV3330" s="5" t="s">
        <v>238</v>
      </c>
      <c r="BW3330" s="5" t="s">
        <v>238</v>
      </c>
      <c r="BX3330" s="5" t="s">
        <v>254</v>
      </c>
      <c r="BY3330" s="5" t="s">
        <v>238</v>
      </c>
      <c r="BZ3330" s="5" t="s">
        <v>238</v>
      </c>
      <c r="CA3330" s="5" t="s">
        <v>238</v>
      </c>
      <c r="CB3330" s="5" t="s">
        <v>238</v>
      </c>
      <c r="CC3330" s="5" t="s">
        <v>238</v>
      </c>
      <c r="CD3330" s="5" t="s">
        <v>273</v>
      </c>
      <c r="CE3330" s="5" t="s">
        <v>256</v>
      </c>
      <c r="CF3330" s="5" t="s">
        <v>238</v>
      </c>
      <c r="CH3330" s="5" t="s">
        <v>494</v>
      </c>
      <c r="CI3330" s="6" t="s">
        <v>257</v>
      </c>
      <c r="CJ3330" s="5" t="s">
        <v>495</v>
      </c>
      <c r="CK3330" s="5" t="s">
        <v>258</v>
      </c>
      <c r="CL3330" s="5" t="s">
        <v>496</v>
      </c>
      <c r="CM3330" s="5" t="s">
        <v>238</v>
      </c>
      <c r="CN3330" s="5">
        <v>0</v>
      </c>
      <c r="CO3330" s="5" t="s">
        <v>497</v>
      </c>
      <c r="CP3330" s="5" t="s">
        <v>260</v>
      </c>
      <c r="CQ3330" s="5" t="s">
        <v>260</v>
      </c>
      <c r="CR3330" s="5" t="s">
        <v>261</v>
      </c>
      <c r="CS3330" s="5" t="s">
        <v>498</v>
      </c>
      <c r="CT3330" s="7">
        <f>1</f>
        <v>1</v>
      </c>
      <c r="CU3330" s="8">
        <f>1</f>
        <v>1</v>
      </c>
      <c r="CV3330" s="8">
        <f>0</f>
        <v>0</v>
      </c>
      <c r="CX3330" s="8">
        <f>1</f>
        <v>1</v>
      </c>
      <c r="CY3330" s="8">
        <f>1</f>
        <v>1</v>
      </c>
      <c r="CZ3330" s="8" t="s">
        <v>238</v>
      </c>
      <c r="DA3330" s="5" t="s">
        <v>238</v>
      </c>
      <c r="DB3330" s="5" t="s">
        <v>238</v>
      </c>
      <c r="DC3330" s="5" t="s">
        <v>238</v>
      </c>
      <c r="DD3330" s="5" t="s">
        <v>238</v>
      </c>
      <c r="DE3330" s="8">
        <f>0</f>
        <v>0</v>
      </c>
      <c r="DG3330" s="5" t="s">
        <v>238</v>
      </c>
      <c r="DH3330" s="5" t="s">
        <v>238</v>
      </c>
      <c r="DI3330" s="5" t="s">
        <v>238</v>
      </c>
      <c r="DJ3330" s="5" t="s">
        <v>238</v>
      </c>
      <c r="DK3330" s="5" t="s">
        <v>238</v>
      </c>
      <c r="DL3330" s="5" t="s">
        <v>238</v>
      </c>
      <c r="DM3330" s="8" t="s">
        <v>238</v>
      </c>
      <c r="DN3330" s="5" t="s">
        <v>238</v>
      </c>
      <c r="DO3330" s="5" t="s">
        <v>238</v>
      </c>
      <c r="DP3330" s="5" t="s">
        <v>490</v>
      </c>
      <c r="DQ3330" s="5" t="s">
        <v>490</v>
      </c>
      <c r="DR3330" s="5" t="s">
        <v>238</v>
      </c>
      <c r="DS3330" s="5" t="s">
        <v>238</v>
      </c>
      <c r="DT3330" s="5" t="s">
        <v>881</v>
      </c>
      <c r="DU3330" s="5" t="s">
        <v>1342</v>
      </c>
      <c r="DV3330" s="5" t="s">
        <v>238</v>
      </c>
      <c r="DW3330" s="5" t="s">
        <v>238</v>
      </c>
      <c r="DX3330" s="5" t="s">
        <v>238</v>
      </c>
      <c r="DY3330" s="5" t="s">
        <v>238</v>
      </c>
      <c r="DZ3330" s="5" t="s">
        <v>238</v>
      </c>
      <c r="EA3330" s="5" t="s">
        <v>238</v>
      </c>
      <c r="EB3330" s="5" t="s">
        <v>238</v>
      </c>
      <c r="EC3330" s="5" t="s">
        <v>238</v>
      </c>
      <c r="ED3330" s="5" t="s">
        <v>238</v>
      </c>
      <c r="EE3330" s="5" t="s">
        <v>238</v>
      </c>
      <c r="EF3330" s="5" t="s">
        <v>238</v>
      </c>
      <c r="EG3330" s="5" t="s">
        <v>238</v>
      </c>
      <c r="EH3330" s="5" t="s">
        <v>238</v>
      </c>
      <c r="EI3330" s="5" t="s">
        <v>238</v>
      </c>
      <c r="EJ3330" s="5" t="s">
        <v>238</v>
      </c>
      <c r="EK3330" s="5" t="s">
        <v>238</v>
      </c>
      <c r="EL3330" s="5" t="s">
        <v>238</v>
      </c>
      <c r="EM3330" s="5" t="s">
        <v>238</v>
      </c>
      <c r="EN3330" s="5" t="s">
        <v>238</v>
      </c>
      <c r="EO3330" s="5" t="s">
        <v>238</v>
      </c>
      <c r="EP3330" s="5" t="s">
        <v>238</v>
      </c>
      <c r="EQ3330" s="5" t="s">
        <v>238</v>
      </c>
      <c r="ER3330" s="5" t="s">
        <v>238</v>
      </c>
      <c r="ES3330" s="5" t="s">
        <v>238</v>
      </c>
      <c r="ET3330" s="5" t="s">
        <v>238</v>
      </c>
      <c r="EU3330" s="5" t="s">
        <v>238</v>
      </c>
      <c r="EV3330" s="5" t="s">
        <v>238</v>
      </c>
      <c r="EW3330" s="5" t="s">
        <v>238</v>
      </c>
      <c r="EX3330" s="5" t="s">
        <v>238</v>
      </c>
      <c r="EY3330" s="5" t="s">
        <v>238</v>
      </c>
      <c r="EZ3330" s="5" t="s">
        <v>238</v>
      </c>
      <c r="FA3330" s="5" t="s">
        <v>238</v>
      </c>
      <c r="FB3330" s="5" t="s">
        <v>238</v>
      </c>
      <c r="FC3330" s="5" t="s">
        <v>238</v>
      </c>
      <c r="FD3330" s="5" t="s">
        <v>238</v>
      </c>
      <c r="FE3330" s="5" t="s">
        <v>238</v>
      </c>
      <c r="FF3330" s="5" t="s">
        <v>238</v>
      </c>
      <c r="FG3330" s="5" t="s">
        <v>238</v>
      </c>
      <c r="FH3330" s="5" t="s">
        <v>238</v>
      </c>
      <c r="FI3330" s="5" t="s">
        <v>238</v>
      </c>
      <c r="FJ3330" s="5" t="s">
        <v>238</v>
      </c>
      <c r="FK3330" s="5" t="s">
        <v>238</v>
      </c>
      <c r="FL3330" s="5" t="s">
        <v>238</v>
      </c>
      <c r="FM3330" s="5" t="s">
        <v>238</v>
      </c>
      <c r="FN3330" s="5" t="s">
        <v>238</v>
      </c>
      <c r="FO3330" s="5" t="s">
        <v>238</v>
      </c>
      <c r="FP3330" s="5" t="s">
        <v>238</v>
      </c>
      <c r="FQ3330" s="5" t="s">
        <v>238</v>
      </c>
      <c r="FR3330" s="5" t="s">
        <v>238</v>
      </c>
      <c r="FS3330" s="5" t="s">
        <v>238</v>
      </c>
      <c r="FT3330" s="5" t="s">
        <v>238</v>
      </c>
      <c r="FU3330" s="5" t="s">
        <v>238</v>
      </c>
      <c r="FV3330" s="5" t="s">
        <v>238</v>
      </c>
      <c r="FW3330" s="5" t="s">
        <v>238</v>
      </c>
      <c r="FX3330" s="5" t="s">
        <v>238</v>
      </c>
      <c r="FY3330" s="5" t="s">
        <v>238</v>
      </c>
      <c r="FZ3330" s="5" t="s">
        <v>238</v>
      </c>
      <c r="GA3330" s="5" t="s">
        <v>238</v>
      </c>
      <c r="GB3330" s="5" t="s">
        <v>238</v>
      </c>
      <c r="GC3330" s="5" t="s">
        <v>238</v>
      </c>
      <c r="GD3330" s="5" t="s">
        <v>238</v>
      </c>
      <c r="GE3330" s="5" t="s">
        <v>238</v>
      </c>
      <c r="GF3330" s="5" t="s">
        <v>238</v>
      </c>
      <c r="GG3330" s="5" t="s">
        <v>238</v>
      </c>
      <c r="GH3330" s="5" t="s">
        <v>238</v>
      </c>
      <c r="GI3330" s="5" t="s">
        <v>238</v>
      </c>
      <c r="GJ3330" s="5" t="s">
        <v>238</v>
      </c>
      <c r="GK3330" s="5" t="s">
        <v>238</v>
      </c>
      <c r="GL3330" s="5" t="s">
        <v>238</v>
      </c>
      <c r="GM3330" s="5" t="s">
        <v>238</v>
      </c>
      <c r="GN3330" s="5" t="s">
        <v>238</v>
      </c>
      <c r="GO3330" s="5" t="s">
        <v>238</v>
      </c>
      <c r="GP3330" s="5" t="s">
        <v>238</v>
      </c>
      <c r="GQ3330" s="5" t="s">
        <v>238</v>
      </c>
      <c r="GR3330" s="5" t="s">
        <v>238</v>
      </c>
      <c r="GS3330" s="5" t="s">
        <v>238</v>
      </c>
      <c r="GT3330" s="5" t="s">
        <v>238</v>
      </c>
      <c r="GU3330" s="5" t="s">
        <v>238</v>
      </c>
      <c r="GV3330" s="5" t="s">
        <v>238</v>
      </c>
      <c r="GW3330" s="5" t="s">
        <v>238</v>
      </c>
      <c r="GX3330" s="5" t="s">
        <v>238</v>
      </c>
      <c r="GY3330" s="5" t="s">
        <v>238</v>
      </c>
      <c r="GZ3330" s="5" t="s">
        <v>238</v>
      </c>
      <c r="HA3330" s="5" t="s">
        <v>238</v>
      </c>
      <c r="HB3330" s="5" t="s">
        <v>238</v>
      </c>
      <c r="HC3330" s="5" t="s">
        <v>238</v>
      </c>
      <c r="HD3330" s="5" t="s">
        <v>238</v>
      </c>
      <c r="HE3330" s="5" t="s">
        <v>238</v>
      </c>
      <c r="HF3330" s="5" t="s">
        <v>238</v>
      </c>
      <c r="HG3330" s="5" t="s">
        <v>238</v>
      </c>
      <c r="HH3330" s="5" t="s">
        <v>238</v>
      </c>
      <c r="HI3330" s="5" t="s">
        <v>238</v>
      </c>
      <c r="HJ3330" s="5" t="s">
        <v>238</v>
      </c>
      <c r="HK3330" s="5" t="s">
        <v>238</v>
      </c>
      <c r="HL3330" s="5" t="s">
        <v>238</v>
      </c>
      <c r="HM3330" s="5" t="s">
        <v>264</v>
      </c>
      <c r="HN3330" s="5" t="s">
        <v>238</v>
      </c>
      <c r="HO3330" s="5" t="s">
        <v>238</v>
      </c>
      <c r="HP3330" s="5" t="s">
        <v>238</v>
      </c>
      <c r="HQ3330" s="5" t="s">
        <v>238</v>
      </c>
      <c r="HR3330" s="5" t="s">
        <v>238</v>
      </c>
      <c r="HS3330" s="5" t="s">
        <v>238</v>
      </c>
      <c r="HT3330" s="5" t="s">
        <v>238</v>
      </c>
      <c r="HU3330" s="5" t="s">
        <v>238</v>
      </c>
      <c r="HV3330" s="5" t="s">
        <v>238</v>
      </c>
      <c r="HW3330" s="5" t="s">
        <v>238</v>
      </c>
      <c r="HX3330" s="5" t="s">
        <v>238</v>
      </c>
      <c r="HY3330" s="5" t="s">
        <v>238</v>
      </c>
      <c r="HZ3330" s="5" t="s">
        <v>238</v>
      </c>
      <c r="IA3330" s="5" t="s">
        <v>238</v>
      </c>
      <c r="IB3330" s="5" t="s">
        <v>238</v>
      </c>
      <c r="IC3330" s="5" t="s">
        <v>238</v>
      </c>
      <c r="ID3330" s="5" t="s">
        <v>238</v>
      </c>
    </row>
    <row r="3331" spans="1:238" x14ac:dyDescent="0.4">
      <c r="A3331" s="5">
        <v>9049</v>
      </c>
      <c r="B3331" s="5">
        <v>1</v>
      </c>
      <c r="C3331" s="5">
        <v>1</v>
      </c>
      <c r="D3331" s="5" t="s">
        <v>484</v>
      </c>
      <c r="E3331" s="5" t="s">
        <v>878</v>
      </c>
      <c r="F3331" s="5" t="s">
        <v>248</v>
      </c>
      <c r="G3331" s="5" t="s">
        <v>4559</v>
      </c>
      <c r="H3331" s="6" t="s">
        <v>4560</v>
      </c>
      <c r="I3331" s="8">
        <f>1</f>
        <v>1</v>
      </c>
      <c r="J3331" s="5" t="s">
        <v>499</v>
      </c>
      <c r="K3331" s="8">
        <f>1</f>
        <v>1</v>
      </c>
      <c r="L3331" s="6" t="s">
        <v>242</v>
      </c>
      <c r="M3331" s="5" t="s">
        <v>267</v>
      </c>
      <c r="N3331" s="5" t="s">
        <v>482</v>
      </c>
      <c r="O3331" s="5" t="s">
        <v>238</v>
      </c>
      <c r="P3331" s="5" t="s">
        <v>238</v>
      </c>
      <c r="Q3331" s="5" t="s">
        <v>239</v>
      </c>
      <c r="R3331" s="5" t="s">
        <v>270</v>
      </c>
      <c r="S3331" s="5" t="s">
        <v>238</v>
      </c>
      <c r="T3331" s="5" t="s">
        <v>238</v>
      </c>
      <c r="U3331" s="5" t="s">
        <v>238</v>
      </c>
      <c r="V3331" s="5" t="s">
        <v>238</v>
      </c>
      <c r="W3331" s="6" t="s">
        <v>238</v>
      </c>
      <c r="X3331" s="6" t="s">
        <v>238</v>
      </c>
      <c r="Y3331" s="5" t="s">
        <v>238</v>
      </c>
      <c r="Z3331" s="6" t="s">
        <v>238</v>
      </c>
      <c r="AA3331" s="6" t="s">
        <v>243</v>
      </c>
      <c r="AB3331" s="5" t="s">
        <v>879</v>
      </c>
      <c r="AC3331" s="5" t="s">
        <v>244</v>
      </c>
      <c r="AD3331" s="5" t="s">
        <v>245</v>
      </c>
      <c r="AE3331" s="5" t="s">
        <v>238</v>
      </c>
      <c r="AF3331" s="5" t="s">
        <v>238</v>
      </c>
      <c r="AG3331" s="5" t="s">
        <v>238</v>
      </c>
      <c r="AH3331" s="5" t="s">
        <v>238</v>
      </c>
      <c r="AI3331" s="5" t="s">
        <v>238</v>
      </c>
      <c r="AJ3331" s="5" t="s">
        <v>238</v>
      </c>
      <c r="AK3331" s="5" t="s">
        <v>238</v>
      </c>
      <c r="AL3331" s="5" t="s">
        <v>238</v>
      </c>
      <c r="AM3331" s="6" t="s">
        <v>238</v>
      </c>
      <c r="AN3331" s="6" t="s">
        <v>238</v>
      </c>
      <c r="AO3331" s="6" t="s">
        <v>238</v>
      </c>
      <c r="AP3331" s="6" t="s">
        <v>238</v>
      </c>
      <c r="AQ3331" s="5" t="s">
        <v>238</v>
      </c>
      <c r="AR3331" s="5" t="s">
        <v>488</v>
      </c>
      <c r="AS3331" s="5" t="s">
        <v>488</v>
      </c>
      <c r="AT3331" s="5" t="s">
        <v>246</v>
      </c>
      <c r="AU3331" s="5" t="s">
        <v>489</v>
      </c>
      <c r="AV3331" s="5" t="s">
        <v>247</v>
      </c>
      <c r="AW3331" s="5" t="s">
        <v>238</v>
      </c>
      <c r="AX3331" s="5" t="s">
        <v>249</v>
      </c>
      <c r="AY3331" s="5" t="s">
        <v>490</v>
      </c>
      <c r="BA3331" s="5" t="s">
        <v>238</v>
      </c>
      <c r="BC3331" s="5" t="s">
        <v>491</v>
      </c>
      <c r="BD3331" s="6" t="s">
        <v>492</v>
      </c>
      <c r="BE3331" s="5" t="s">
        <v>493</v>
      </c>
      <c r="BF3331" s="5" t="s">
        <v>493</v>
      </c>
      <c r="BG3331" s="5" t="s">
        <v>238</v>
      </c>
      <c r="BH3331" s="8">
        <f>1</f>
        <v>1</v>
      </c>
      <c r="BI3331" s="8">
        <f>1</f>
        <v>1</v>
      </c>
      <c r="BJ3331" s="5" t="s">
        <v>253</v>
      </c>
      <c r="BK3331" s="5" t="s">
        <v>254</v>
      </c>
      <c r="BL3331" s="5" t="s">
        <v>238</v>
      </c>
      <c r="BM3331" s="5" t="s">
        <v>238</v>
      </c>
      <c r="BN3331" s="5" t="s">
        <v>238</v>
      </c>
      <c r="BO3331" s="5" t="s">
        <v>238</v>
      </c>
      <c r="BP3331" s="5" t="s">
        <v>238</v>
      </c>
      <c r="BQ3331" s="5" t="s">
        <v>238</v>
      </c>
      <c r="BR3331" s="5" t="s">
        <v>238</v>
      </c>
      <c r="BS3331" s="5" t="s">
        <v>238</v>
      </c>
      <c r="BT3331" s="6" t="s">
        <v>238</v>
      </c>
      <c r="BU3331" s="5" t="s">
        <v>238</v>
      </c>
      <c r="BV3331" s="5" t="s">
        <v>238</v>
      </c>
      <c r="BW3331" s="5" t="s">
        <v>238</v>
      </c>
      <c r="BX3331" s="5" t="s">
        <v>254</v>
      </c>
      <c r="BY3331" s="5" t="s">
        <v>238</v>
      </c>
      <c r="BZ3331" s="5" t="s">
        <v>238</v>
      </c>
      <c r="CA3331" s="5" t="s">
        <v>238</v>
      </c>
      <c r="CB3331" s="5" t="s">
        <v>238</v>
      </c>
      <c r="CC3331" s="5" t="s">
        <v>238</v>
      </c>
      <c r="CD3331" s="5" t="s">
        <v>273</v>
      </c>
      <c r="CE3331" s="5" t="s">
        <v>256</v>
      </c>
      <c r="CF3331" s="5" t="s">
        <v>238</v>
      </c>
      <c r="CH3331" s="5" t="s">
        <v>494</v>
      </c>
      <c r="CI3331" s="6" t="s">
        <v>257</v>
      </c>
      <c r="CJ3331" s="5" t="s">
        <v>495</v>
      </c>
      <c r="CK3331" s="5" t="s">
        <v>258</v>
      </c>
      <c r="CL3331" s="5" t="s">
        <v>496</v>
      </c>
      <c r="CM3331" s="5" t="s">
        <v>238</v>
      </c>
      <c r="CN3331" s="5">
        <v>0</v>
      </c>
      <c r="CO3331" s="5" t="s">
        <v>497</v>
      </c>
      <c r="CP3331" s="5" t="s">
        <v>260</v>
      </c>
      <c r="CQ3331" s="5" t="s">
        <v>260</v>
      </c>
      <c r="CR3331" s="5" t="s">
        <v>261</v>
      </c>
      <c r="CS3331" s="5" t="s">
        <v>498</v>
      </c>
      <c r="CT3331" s="7">
        <f>1</f>
        <v>1</v>
      </c>
      <c r="CU3331" s="8">
        <f>1</f>
        <v>1</v>
      </c>
      <c r="CV3331" s="8">
        <f>0</f>
        <v>0</v>
      </c>
      <c r="CX3331" s="8">
        <f>1</f>
        <v>1</v>
      </c>
      <c r="CY3331" s="8">
        <f>1</f>
        <v>1</v>
      </c>
      <c r="CZ3331" s="8" t="s">
        <v>238</v>
      </c>
      <c r="DA3331" s="5" t="s">
        <v>238</v>
      </c>
      <c r="DB3331" s="5" t="s">
        <v>238</v>
      </c>
      <c r="DC3331" s="5" t="s">
        <v>238</v>
      </c>
      <c r="DD3331" s="5" t="s">
        <v>238</v>
      </c>
      <c r="DE3331" s="8">
        <f>0</f>
        <v>0</v>
      </c>
      <c r="DG3331" s="5" t="s">
        <v>238</v>
      </c>
      <c r="DH3331" s="5" t="s">
        <v>238</v>
      </c>
      <c r="DI3331" s="5" t="s">
        <v>238</v>
      </c>
      <c r="DJ3331" s="5" t="s">
        <v>238</v>
      </c>
      <c r="DK3331" s="5" t="s">
        <v>238</v>
      </c>
      <c r="DL3331" s="5" t="s">
        <v>238</v>
      </c>
      <c r="DM3331" s="8" t="s">
        <v>238</v>
      </c>
      <c r="DN3331" s="5" t="s">
        <v>238</v>
      </c>
      <c r="DO3331" s="5" t="s">
        <v>238</v>
      </c>
      <c r="DP3331" s="5" t="s">
        <v>490</v>
      </c>
      <c r="DQ3331" s="5" t="s">
        <v>490</v>
      </c>
      <c r="DR3331" s="5" t="s">
        <v>238</v>
      </c>
      <c r="DS3331" s="5" t="s">
        <v>238</v>
      </c>
      <c r="DT3331" s="5" t="s">
        <v>881</v>
      </c>
      <c r="DU3331" s="5" t="s">
        <v>1594</v>
      </c>
      <c r="DV3331" s="5" t="s">
        <v>238</v>
      </c>
      <c r="DW3331" s="5" t="s">
        <v>238</v>
      </c>
      <c r="DX3331" s="5" t="s">
        <v>238</v>
      </c>
      <c r="DY3331" s="5" t="s">
        <v>238</v>
      </c>
      <c r="DZ3331" s="5" t="s">
        <v>238</v>
      </c>
      <c r="EA3331" s="5" t="s">
        <v>238</v>
      </c>
      <c r="EB3331" s="5" t="s">
        <v>238</v>
      </c>
      <c r="EC3331" s="5" t="s">
        <v>238</v>
      </c>
      <c r="ED3331" s="5" t="s">
        <v>238</v>
      </c>
      <c r="EE3331" s="5" t="s">
        <v>238</v>
      </c>
      <c r="EF3331" s="5" t="s">
        <v>238</v>
      </c>
      <c r="EG3331" s="5" t="s">
        <v>238</v>
      </c>
      <c r="EH3331" s="5" t="s">
        <v>238</v>
      </c>
      <c r="EI3331" s="5" t="s">
        <v>238</v>
      </c>
      <c r="EJ3331" s="5" t="s">
        <v>238</v>
      </c>
      <c r="EK3331" s="5" t="s">
        <v>238</v>
      </c>
      <c r="EL3331" s="5" t="s">
        <v>238</v>
      </c>
      <c r="EM3331" s="5" t="s">
        <v>238</v>
      </c>
      <c r="EN3331" s="5" t="s">
        <v>238</v>
      </c>
      <c r="EO3331" s="5" t="s">
        <v>238</v>
      </c>
      <c r="EP3331" s="5" t="s">
        <v>238</v>
      </c>
      <c r="EQ3331" s="5" t="s">
        <v>238</v>
      </c>
      <c r="ER3331" s="5" t="s">
        <v>238</v>
      </c>
      <c r="ES3331" s="5" t="s">
        <v>238</v>
      </c>
      <c r="ET3331" s="5" t="s">
        <v>238</v>
      </c>
      <c r="EU3331" s="5" t="s">
        <v>238</v>
      </c>
      <c r="EV3331" s="5" t="s">
        <v>238</v>
      </c>
      <c r="EW3331" s="5" t="s">
        <v>238</v>
      </c>
      <c r="EX3331" s="5" t="s">
        <v>238</v>
      </c>
      <c r="EY3331" s="5" t="s">
        <v>238</v>
      </c>
      <c r="EZ3331" s="5" t="s">
        <v>238</v>
      </c>
      <c r="FA3331" s="5" t="s">
        <v>238</v>
      </c>
      <c r="FB3331" s="5" t="s">
        <v>238</v>
      </c>
      <c r="FC3331" s="5" t="s">
        <v>238</v>
      </c>
      <c r="FD3331" s="5" t="s">
        <v>238</v>
      </c>
      <c r="FE3331" s="5" t="s">
        <v>238</v>
      </c>
      <c r="FF3331" s="5" t="s">
        <v>238</v>
      </c>
      <c r="FG3331" s="5" t="s">
        <v>238</v>
      </c>
      <c r="FH3331" s="5" t="s">
        <v>238</v>
      </c>
      <c r="FI3331" s="5" t="s">
        <v>238</v>
      </c>
      <c r="FJ3331" s="5" t="s">
        <v>238</v>
      </c>
      <c r="FK3331" s="5" t="s">
        <v>238</v>
      </c>
      <c r="FL3331" s="5" t="s">
        <v>238</v>
      </c>
      <c r="FM3331" s="5" t="s">
        <v>238</v>
      </c>
      <c r="FN3331" s="5" t="s">
        <v>238</v>
      </c>
      <c r="FO3331" s="5" t="s">
        <v>238</v>
      </c>
      <c r="FP3331" s="5" t="s">
        <v>238</v>
      </c>
      <c r="FQ3331" s="5" t="s">
        <v>238</v>
      </c>
      <c r="FR3331" s="5" t="s">
        <v>238</v>
      </c>
      <c r="FS3331" s="5" t="s">
        <v>238</v>
      </c>
      <c r="FT3331" s="5" t="s">
        <v>238</v>
      </c>
      <c r="FU3331" s="5" t="s">
        <v>238</v>
      </c>
      <c r="FV3331" s="5" t="s">
        <v>238</v>
      </c>
      <c r="FW3331" s="5" t="s">
        <v>238</v>
      </c>
      <c r="FX3331" s="5" t="s">
        <v>238</v>
      </c>
      <c r="FY3331" s="5" t="s">
        <v>238</v>
      </c>
      <c r="FZ3331" s="5" t="s">
        <v>238</v>
      </c>
      <c r="GA3331" s="5" t="s">
        <v>238</v>
      </c>
      <c r="GB3331" s="5" t="s">
        <v>238</v>
      </c>
      <c r="GC3331" s="5" t="s">
        <v>238</v>
      </c>
      <c r="GD3331" s="5" t="s">
        <v>238</v>
      </c>
      <c r="GE3331" s="5" t="s">
        <v>238</v>
      </c>
      <c r="GF3331" s="5" t="s">
        <v>238</v>
      </c>
      <c r="GG3331" s="5" t="s">
        <v>238</v>
      </c>
      <c r="GH3331" s="5" t="s">
        <v>238</v>
      </c>
      <c r="GI3331" s="5" t="s">
        <v>238</v>
      </c>
      <c r="GJ3331" s="5" t="s">
        <v>238</v>
      </c>
      <c r="GK3331" s="5" t="s">
        <v>238</v>
      </c>
      <c r="GL3331" s="5" t="s">
        <v>238</v>
      </c>
      <c r="GM3331" s="5" t="s">
        <v>238</v>
      </c>
      <c r="GN3331" s="5" t="s">
        <v>238</v>
      </c>
      <c r="GO3331" s="5" t="s">
        <v>238</v>
      </c>
      <c r="GP3331" s="5" t="s">
        <v>238</v>
      </c>
      <c r="GQ3331" s="5" t="s">
        <v>238</v>
      </c>
      <c r="GR3331" s="5" t="s">
        <v>238</v>
      </c>
      <c r="GS3331" s="5" t="s">
        <v>238</v>
      </c>
      <c r="GT3331" s="5" t="s">
        <v>238</v>
      </c>
      <c r="GU3331" s="5" t="s">
        <v>238</v>
      </c>
      <c r="GV3331" s="5" t="s">
        <v>238</v>
      </c>
      <c r="GW3331" s="5" t="s">
        <v>238</v>
      </c>
      <c r="GX3331" s="5" t="s">
        <v>238</v>
      </c>
      <c r="GY3331" s="5" t="s">
        <v>238</v>
      </c>
      <c r="GZ3331" s="5" t="s">
        <v>238</v>
      </c>
      <c r="HA3331" s="5" t="s">
        <v>238</v>
      </c>
      <c r="HB3331" s="5" t="s">
        <v>238</v>
      </c>
      <c r="HC3331" s="5" t="s">
        <v>238</v>
      </c>
      <c r="HD3331" s="5" t="s">
        <v>238</v>
      </c>
      <c r="HE3331" s="5" t="s">
        <v>238</v>
      </c>
      <c r="HF3331" s="5" t="s">
        <v>238</v>
      </c>
      <c r="HG3331" s="5" t="s">
        <v>238</v>
      </c>
      <c r="HH3331" s="5" t="s">
        <v>238</v>
      </c>
      <c r="HI3331" s="5" t="s">
        <v>238</v>
      </c>
      <c r="HJ3331" s="5" t="s">
        <v>238</v>
      </c>
      <c r="HK3331" s="5" t="s">
        <v>238</v>
      </c>
      <c r="HL3331" s="5" t="s">
        <v>238</v>
      </c>
      <c r="HM3331" s="5" t="s">
        <v>264</v>
      </c>
      <c r="HN3331" s="5" t="s">
        <v>238</v>
      </c>
      <c r="HO3331" s="5" t="s">
        <v>238</v>
      </c>
      <c r="HP3331" s="5" t="s">
        <v>238</v>
      </c>
      <c r="HQ3331" s="5" t="s">
        <v>238</v>
      </c>
      <c r="HR3331" s="5" t="s">
        <v>238</v>
      </c>
      <c r="HS3331" s="5" t="s">
        <v>238</v>
      </c>
      <c r="HT3331" s="5" t="s">
        <v>238</v>
      </c>
      <c r="HU3331" s="5" t="s">
        <v>238</v>
      </c>
      <c r="HV3331" s="5" t="s">
        <v>238</v>
      </c>
      <c r="HW3331" s="5" t="s">
        <v>238</v>
      </c>
      <c r="HX3331" s="5" t="s">
        <v>238</v>
      </c>
      <c r="HY3331" s="5" t="s">
        <v>238</v>
      </c>
      <c r="HZ3331" s="5" t="s">
        <v>238</v>
      </c>
      <c r="IA3331" s="5" t="s">
        <v>238</v>
      </c>
      <c r="IB3331" s="5" t="s">
        <v>238</v>
      </c>
      <c r="IC3331" s="5" t="s">
        <v>238</v>
      </c>
      <c r="ID3331" s="5" t="s">
        <v>238</v>
      </c>
    </row>
    <row r="3332" spans="1:238" x14ac:dyDescent="0.4">
      <c r="A3332" s="5">
        <v>9050</v>
      </c>
      <c r="B3332" s="5">
        <v>1</v>
      </c>
      <c r="C3332" s="5">
        <v>1</v>
      </c>
      <c r="D3332" s="5" t="s">
        <v>484</v>
      </c>
      <c r="E3332" s="5" t="s">
        <v>878</v>
      </c>
      <c r="F3332" s="5" t="s">
        <v>248</v>
      </c>
      <c r="G3332" s="5" t="s">
        <v>4940</v>
      </c>
      <c r="H3332" s="6" t="s">
        <v>4941</v>
      </c>
      <c r="I3332" s="8">
        <f>1</f>
        <v>1</v>
      </c>
      <c r="J3332" s="5" t="s">
        <v>499</v>
      </c>
      <c r="K3332" s="8">
        <f>1</f>
        <v>1</v>
      </c>
      <c r="L3332" s="6" t="s">
        <v>242</v>
      </c>
      <c r="M3332" s="5" t="s">
        <v>267</v>
      </c>
      <c r="N3332" s="5" t="s">
        <v>482</v>
      </c>
      <c r="O3332" s="5" t="s">
        <v>238</v>
      </c>
      <c r="P3332" s="5" t="s">
        <v>238</v>
      </c>
      <c r="Q3332" s="5" t="s">
        <v>239</v>
      </c>
      <c r="R3332" s="5" t="s">
        <v>270</v>
      </c>
      <c r="S3332" s="5" t="s">
        <v>238</v>
      </c>
      <c r="T3332" s="5" t="s">
        <v>238</v>
      </c>
      <c r="U3332" s="5" t="s">
        <v>238</v>
      </c>
      <c r="V3332" s="5" t="s">
        <v>238</v>
      </c>
      <c r="W3332" s="6" t="s">
        <v>238</v>
      </c>
      <c r="X3332" s="6" t="s">
        <v>238</v>
      </c>
      <c r="Y3332" s="5" t="s">
        <v>238</v>
      </c>
      <c r="Z3332" s="6" t="s">
        <v>238</v>
      </c>
      <c r="AA3332" s="6" t="s">
        <v>243</v>
      </c>
      <c r="AB3332" s="5" t="s">
        <v>879</v>
      </c>
      <c r="AC3332" s="5" t="s">
        <v>244</v>
      </c>
      <c r="AD3332" s="5" t="s">
        <v>245</v>
      </c>
      <c r="AE3332" s="5" t="s">
        <v>238</v>
      </c>
      <c r="AF3332" s="5" t="s">
        <v>238</v>
      </c>
      <c r="AG3332" s="5" t="s">
        <v>238</v>
      </c>
      <c r="AH3332" s="5" t="s">
        <v>238</v>
      </c>
      <c r="AI3332" s="5" t="s">
        <v>238</v>
      </c>
      <c r="AJ3332" s="5" t="s">
        <v>238</v>
      </c>
      <c r="AK3332" s="5" t="s">
        <v>238</v>
      </c>
      <c r="AL3332" s="5" t="s">
        <v>238</v>
      </c>
      <c r="AM3332" s="6" t="s">
        <v>238</v>
      </c>
      <c r="AN3332" s="6" t="s">
        <v>238</v>
      </c>
      <c r="AO3332" s="6" t="s">
        <v>238</v>
      </c>
      <c r="AP3332" s="6" t="s">
        <v>238</v>
      </c>
      <c r="AQ3332" s="5" t="s">
        <v>238</v>
      </c>
      <c r="AR3332" s="5" t="s">
        <v>488</v>
      </c>
      <c r="AS3332" s="5" t="s">
        <v>488</v>
      </c>
      <c r="AT3332" s="5" t="s">
        <v>246</v>
      </c>
      <c r="AU3332" s="5" t="s">
        <v>489</v>
      </c>
      <c r="AV3332" s="5" t="s">
        <v>247</v>
      </c>
      <c r="AW3332" s="5" t="s">
        <v>238</v>
      </c>
      <c r="AX3332" s="5" t="s">
        <v>249</v>
      </c>
      <c r="AY3332" s="5" t="s">
        <v>490</v>
      </c>
      <c r="BA3332" s="5" t="s">
        <v>238</v>
      </c>
      <c r="BC3332" s="5" t="s">
        <v>491</v>
      </c>
      <c r="BD3332" s="6" t="s">
        <v>492</v>
      </c>
      <c r="BE3332" s="5" t="s">
        <v>493</v>
      </c>
      <c r="BF3332" s="5" t="s">
        <v>493</v>
      </c>
      <c r="BG3332" s="5" t="s">
        <v>238</v>
      </c>
      <c r="BH3332" s="8">
        <f>1</f>
        <v>1</v>
      </c>
      <c r="BI3332" s="8">
        <f>1</f>
        <v>1</v>
      </c>
      <c r="BJ3332" s="5" t="s">
        <v>253</v>
      </c>
      <c r="BK3332" s="5" t="s">
        <v>254</v>
      </c>
      <c r="BL3332" s="5" t="s">
        <v>238</v>
      </c>
      <c r="BM3332" s="5" t="s">
        <v>238</v>
      </c>
      <c r="BN3332" s="5" t="s">
        <v>238</v>
      </c>
      <c r="BO3332" s="5" t="s">
        <v>238</v>
      </c>
      <c r="BP3332" s="5" t="s">
        <v>238</v>
      </c>
      <c r="BQ3332" s="5" t="s">
        <v>238</v>
      </c>
      <c r="BR3332" s="5" t="s">
        <v>238</v>
      </c>
      <c r="BS3332" s="5" t="s">
        <v>238</v>
      </c>
      <c r="BT3332" s="6" t="s">
        <v>238</v>
      </c>
      <c r="BU3332" s="5" t="s">
        <v>238</v>
      </c>
      <c r="BV3332" s="5" t="s">
        <v>238</v>
      </c>
      <c r="BW3332" s="5" t="s">
        <v>238</v>
      </c>
      <c r="BX3332" s="5" t="s">
        <v>254</v>
      </c>
      <c r="BY3332" s="5" t="s">
        <v>238</v>
      </c>
      <c r="BZ3332" s="5" t="s">
        <v>238</v>
      </c>
      <c r="CA3332" s="5" t="s">
        <v>238</v>
      </c>
      <c r="CB3332" s="5" t="s">
        <v>238</v>
      </c>
      <c r="CC3332" s="5" t="s">
        <v>238</v>
      </c>
      <c r="CD3332" s="5" t="s">
        <v>273</v>
      </c>
      <c r="CE3332" s="5" t="s">
        <v>256</v>
      </c>
      <c r="CF3332" s="5" t="s">
        <v>238</v>
      </c>
      <c r="CH3332" s="5" t="s">
        <v>494</v>
      </c>
      <c r="CI3332" s="6" t="s">
        <v>257</v>
      </c>
      <c r="CJ3332" s="5" t="s">
        <v>495</v>
      </c>
      <c r="CK3332" s="5" t="s">
        <v>258</v>
      </c>
      <c r="CL3332" s="5" t="s">
        <v>496</v>
      </c>
      <c r="CM3332" s="5" t="s">
        <v>238</v>
      </c>
      <c r="CN3332" s="5">
        <v>0</v>
      </c>
      <c r="CO3332" s="5" t="s">
        <v>497</v>
      </c>
      <c r="CP3332" s="5" t="s">
        <v>260</v>
      </c>
      <c r="CQ3332" s="5" t="s">
        <v>260</v>
      </c>
      <c r="CR3332" s="5" t="s">
        <v>261</v>
      </c>
      <c r="CS3332" s="5" t="s">
        <v>498</v>
      </c>
      <c r="CT3332" s="7">
        <f>1</f>
        <v>1</v>
      </c>
      <c r="CU3332" s="8">
        <f>1</f>
        <v>1</v>
      </c>
      <c r="CV3332" s="8">
        <f>0</f>
        <v>0</v>
      </c>
      <c r="CX3332" s="8">
        <f>1</f>
        <v>1</v>
      </c>
      <c r="CY3332" s="8">
        <f>1</f>
        <v>1</v>
      </c>
      <c r="CZ3332" s="8" t="s">
        <v>238</v>
      </c>
      <c r="DA3332" s="5" t="s">
        <v>238</v>
      </c>
      <c r="DB3332" s="5" t="s">
        <v>238</v>
      </c>
      <c r="DC3332" s="5" t="s">
        <v>238</v>
      </c>
      <c r="DD3332" s="5" t="s">
        <v>238</v>
      </c>
      <c r="DE3332" s="8">
        <f>0</f>
        <v>0</v>
      </c>
      <c r="DG3332" s="5" t="s">
        <v>238</v>
      </c>
      <c r="DH3332" s="5" t="s">
        <v>238</v>
      </c>
      <c r="DI3332" s="5" t="s">
        <v>238</v>
      </c>
      <c r="DJ3332" s="5" t="s">
        <v>238</v>
      </c>
      <c r="DK3332" s="5" t="s">
        <v>238</v>
      </c>
      <c r="DL3332" s="5" t="s">
        <v>238</v>
      </c>
      <c r="DM3332" s="8" t="s">
        <v>238</v>
      </c>
      <c r="DN3332" s="5" t="s">
        <v>238</v>
      </c>
      <c r="DO3332" s="5" t="s">
        <v>238</v>
      </c>
      <c r="DP3332" s="5" t="s">
        <v>490</v>
      </c>
      <c r="DQ3332" s="5" t="s">
        <v>490</v>
      </c>
      <c r="DR3332" s="5" t="s">
        <v>238</v>
      </c>
      <c r="DS3332" s="5" t="s">
        <v>238</v>
      </c>
      <c r="DT3332" s="5" t="s">
        <v>881</v>
      </c>
      <c r="DU3332" s="5" t="s">
        <v>1164</v>
      </c>
      <c r="DV3332" s="5" t="s">
        <v>238</v>
      </c>
      <c r="DW3332" s="5" t="s">
        <v>238</v>
      </c>
      <c r="DX3332" s="5" t="s">
        <v>238</v>
      </c>
      <c r="DY3332" s="5" t="s">
        <v>238</v>
      </c>
      <c r="DZ3332" s="5" t="s">
        <v>238</v>
      </c>
      <c r="EA3332" s="5" t="s">
        <v>238</v>
      </c>
      <c r="EB3332" s="5" t="s">
        <v>238</v>
      </c>
      <c r="EC3332" s="5" t="s">
        <v>238</v>
      </c>
      <c r="ED3332" s="5" t="s">
        <v>238</v>
      </c>
      <c r="EE3332" s="5" t="s">
        <v>238</v>
      </c>
      <c r="EF3332" s="5" t="s">
        <v>238</v>
      </c>
      <c r="EG3332" s="5" t="s">
        <v>238</v>
      </c>
      <c r="EH3332" s="5" t="s">
        <v>238</v>
      </c>
      <c r="EI3332" s="5" t="s">
        <v>238</v>
      </c>
      <c r="EJ3332" s="5" t="s">
        <v>238</v>
      </c>
      <c r="EK3332" s="5" t="s">
        <v>238</v>
      </c>
      <c r="EL3332" s="5" t="s">
        <v>238</v>
      </c>
      <c r="EM3332" s="5" t="s">
        <v>238</v>
      </c>
      <c r="EN3332" s="5" t="s">
        <v>238</v>
      </c>
      <c r="EO3332" s="5" t="s">
        <v>238</v>
      </c>
      <c r="EP3332" s="5" t="s">
        <v>238</v>
      </c>
      <c r="EQ3332" s="5" t="s">
        <v>238</v>
      </c>
      <c r="ER3332" s="5" t="s">
        <v>238</v>
      </c>
      <c r="ES3332" s="5" t="s">
        <v>238</v>
      </c>
      <c r="ET3332" s="5" t="s">
        <v>238</v>
      </c>
      <c r="EU3332" s="5" t="s">
        <v>238</v>
      </c>
      <c r="EV3332" s="5" t="s">
        <v>238</v>
      </c>
      <c r="EW3332" s="5" t="s">
        <v>238</v>
      </c>
      <c r="EX3332" s="5" t="s">
        <v>238</v>
      </c>
      <c r="EY3332" s="5" t="s">
        <v>238</v>
      </c>
      <c r="EZ3332" s="5" t="s">
        <v>238</v>
      </c>
      <c r="FA3332" s="5" t="s">
        <v>238</v>
      </c>
      <c r="FB3332" s="5" t="s">
        <v>238</v>
      </c>
      <c r="FC3332" s="5" t="s">
        <v>238</v>
      </c>
      <c r="FD3332" s="5" t="s">
        <v>238</v>
      </c>
      <c r="FE3332" s="5" t="s">
        <v>238</v>
      </c>
      <c r="FF3332" s="5" t="s">
        <v>238</v>
      </c>
      <c r="FG3332" s="5" t="s">
        <v>238</v>
      </c>
      <c r="FH3332" s="5" t="s">
        <v>238</v>
      </c>
      <c r="FI3332" s="5" t="s">
        <v>238</v>
      </c>
      <c r="FJ3332" s="5" t="s">
        <v>238</v>
      </c>
      <c r="FK3332" s="5" t="s">
        <v>238</v>
      </c>
      <c r="FL3332" s="5" t="s">
        <v>238</v>
      </c>
      <c r="FM3332" s="5" t="s">
        <v>238</v>
      </c>
      <c r="FN3332" s="5" t="s">
        <v>238</v>
      </c>
      <c r="FO3332" s="5" t="s">
        <v>238</v>
      </c>
      <c r="FP3332" s="5" t="s">
        <v>238</v>
      </c>
      <c r="FQ3332" s="5" t="s">
        <v>238</v>
      </c>
      <c r="FR3332" s="5" t="s">
        <v>238</v>
      </c>
      <c r="FS3332" s="5" t="s">
        <v>238</v>
      </c>
      <c r="FT3332" s="5" t="s">
        <v>238</v>
      </c>
      <c r="FU3332" s="5" t="s">
        <v>238</v>
      </c>
      <c r="FV3332" s="5" t="s">
        <v>238</v>
      </c>
      <c r="FW3332" s="5" t="s">
        <v>238</v>
      </c>
      <c r="FX3332" s="5" t="s">
        <v>238</v>
      </c>
      <c r="FY3332" s="5" t="s">
        <v>238</v>
      </c>
      <c r="FZ3332" s="5" t="s">
        <v>238</v>
      </c>
      <c r="GA3332" s="5" t="s">
        <v>238</v>
      </c>
      <c r="GB3332" s="5" t="s">
        <v>238</v>
      </c>
      <c r="GC3332" s="5" t="s">
        <v>238</v>
      </c>
      <c r="GD3332" s="5" t="s">
        <v>238</v>
      </c>
      <c r="GE3332" s="5" t="s">
        <v>238</v>
      </c>
      <c r="GF3332" s="5" t="s">
        <v>238</v>
      </c>
      <c r="GG3332" s="5" t="s">
        <v>238</v>
      </c>
      <c r="GH3332" s="5" t="s">
        <v>238</v>
      </c>
      <c r="GI3332" s="5" t="s">
        <v>238</v>
      </c>
      <c r="GJ3332" s="5" t="s">
        <v>238</v>
      </c>
      <c r="GK3332" s="5" t="s">
        <v>238</v>
      </c>
      <c r="GL3332" s="5" t="s">
        <v>238</v>
      </c>
      <c r="GM3332" s="5" t="s">
        <v>238</v>
      </c>
      <c r="GN3332" s="5" t="s">
        <v>238</v>
      </c>
      <c r="GO3332" s="5" t="s">
        <v>238</v>
      </c>
      <c r="GP3332" s="5" t="s">
        <v>238</v>
      </c>
      <c r="GQ3332" s="5" t="s">
        <v>238</v>
      </c>
      <c r="GR3332" s="5" t="s">
        <v>238</v>
      </c>
      <c r="GS3332" s="5" t="s">
        <v>238</v>
      </c>
      <c r="GT3332" s="5" t="s">
        <v>238</v>
      </c>
      <c r="GU3332" s="5" t="s">
        <v>238</v>
      </c>
      <c r="GV3332" s="5" t="s">
        <v>238</v>
      </c>
      <c r="GW3332" s="5" t="s">
        <v>238</v>
      </c>
      <c r="GX3332" s="5" t="s">
        <v>238</v>
      </c>
      <c r="GY3332" s="5" t="s">
        <v>238</v>
      </c>
      <c r="GZ3332" s="5" t="s">
        <v>238</v>
      </c>
      <c r="HA3332" s="5" t="s">
        <v>238</v>
      </c>
      <c r="HB3332" s="5" t="s">
        <v>238</v>
      </c>
      <c r="HC3332" s="5" t="s">
        <v>238</v>
      </c>
      <c r="HD3332" s="5" t="s">
        <v>238</v>
      </c>
      <c r="HE3332" s="5" t="s">
        <v>238</v>
      </c>
      <c r="HF3332" s="5" t="s">
        <v>238</v>
      </c>
      <c r="HG3332" s="5" t="s">
        <v>238</v>
      </c>
      <c r="HH3332" s="5" t="s">
        <v>238</v>
      </c>
      <c r="HI3332" s="5" t="s">
        <v>238</v>
      </c>
      <c r="HJ3332" s="5" t="s">
        <v>238</v>
      </c>
      <c r="HK3332" s="5" t="s">
        <v>238</v>
      </c>
      <c r="HL3332" s="5" t="s">
        <v>238</v>
      </c>
      <c r="HM3332" s="5" t="s">
        <v>264</v>
      </c>
      <c r="HN3332" s="5" t="s">
        <v>238</v>
      </c>
      <c r="HO3332" s="5" t="s">
        <v>238</v>
      </c>
      <c r="HP3332" s="5" t="s">
        <v>238</v>
      </c>
      <c r="HQ3332" s="5" t="s">
        <v>238</v>
      </c>
      <c r="HR3332" s="5" t="s">
        <v>238</v>
      </c>
      <c r="HS3332" s="5" t="s">
        <v>238</v>
      </c>
      <c r="HT3332" s="5" t="s">
        <v>238</v>
      </c>
      <c r="HU3332" s="5" t="s">
        <v>238</v>
      </c>
      <c r="HV3332" s="5" t="s">
        <v>238</v>
      </c>
      <c r="HW3332" s="5" t="s">
        <v>238</v>
      </c>
      <c r="HX3332" s="5" t="s">
        <v>238</v>
      </c>
      <c r="HY3332" s="5" t="s">
        <v>238</v>
      </c>
      <c r="HZ3332" s="5" t="s">
        <v>238</v>
      </c>
      <c r="IA3332" s="5" t="s">
        <v>238</v>
      </c>
      <c r="IB3332" s="5" t="s">
        <v>238</v>
      </c>
      <c r="IC3332" s="5" t="s">
        <v>238</v>
      </c>
      <c r="ID3332" s="5" t="s">
        <v>238</v>
      </c>
    </row>
    <row r="3333" spans="1:238" x14ac:dyDescent="0.4">
      <c r="A3333" s="5">
        <v>9051</v>
      </c>
      <c r="B3333" s="5">
        <v>1</v>
      </c>
      <c r="C3333" s="5">
        <v>1</v>
      </c>
      <c r="D3333" s="5" t="s">
        <v>484</v>
      </c>
      <c r="E3333" s="5" t="s">
        <v>878</v>
      </c>
      <c r="F3333" s="5" t="s">
        <v>248</v>
      </c>
      <c r="G3333" s="5" t="s">
        <v>4003</v>
      </c>
      <c r="H3333" s="6" t="s">
        <v>4004</v>
      </c>
      <c r="I3333" s="8">
        <f>1</f>
        <v>1</v>
      </c>
      <c r="J3333" s="5" t="s">
        <v>499</v>
      </c>
      <c r="K3333" s="8">
        <f>1</f>
        <v>1</v>
      </c>
      <c r="L3333" s="6" t="s">
        <v>242</v>
      </c>
      <c r="M3333" s="5" t="s">
        <v>267</v>
      </c>
      <c r="N3333" s="5" t="s">
        <v>482</v>
      </c>
      <c r="O3333" s="5" t="s">
        <v>238</v>
      </c>
      <c r="P3333" s="5" t="s">
        <v>238</v>
      </c>
      <c r="Q3333" s="5" t="s">
        <v>239</v>
      </c>
      <c r="R3333" s="5" t="s">
        <v>270</v>
      </c>
      <c r="S3333" s="5" t="s">
        <v>238</v>
      </c>
      <c r="T3333" s="5" t="s">
        <v>238</v>
      </c>
      <c r="U3333" s="5" t="s">
        <v>238</v>
      </c>
      <c r="V3333" s="5" t="s">
        <v>238</v>
      </c>
      <c r="W3333" s="6" t="s">
        <v>238</v>
      </c>
      <c r="X3333" s="6" t="s">
        <v>238</v>
      </c>
      <c r="Y3333" s="5" t="s">
        <v>238</v>
      </c>
      <c r="Z3333" s="6" t="s">
        <v>238</v>
      </c>
      <c r="AA3333" s="6" t="s">
        <v>243</v>
      </c>
      <c r="AB3333" s="5" t="s">
        <v>879</v>
      </c>
      <c r="AC3333" s="5" t="s">
        <v>244</v>
      </c>
      <c r="AD3333" s="5" t="s">
        <v>245</v>
      </c>
      <c r="AE3333" s="5" t="s">
        <v>238</v>
      </c>
      <c r="AF3333" s="5" t="s">
        <v>238</v>
      </c>
      <c r="AG3333" s="5" t="s">
        <v>238</v>
      </c>
      <c r="AH3333" s="5" t="s">
        <v>238</v>
      </c>
      <c r="AI3333" s="5" t="s">
        <v>238</v>
      </c>
      <c r="AJ3333" s="5" t="s">
        <v>238</v>
      </c>
      <c r="AK3333" s="5" t="s">
        <v>238</v>
      </c>
      <c r="AL3333" s="5" t="s">
        <v>238</v>
      </c>
      <c r="AM3333" s="6" t="s">
        <v>238</v>
      </c>
      <c r="AN3333" s="6" t="s">
        <v>238</v>
      </c>
      <c r="AO3333" s="6" t="s">
        <v>238</v>
      </c>
      <c r="AP3333" s="6" t="s">
        <v>238</v>
      </c>
      <c r="AQ3333" s="5" t="s">
        <v>238</v>
      </c>
      <c r="AR3333" s="5" t="s">
        <v>488</v>
      </c>
      <c r="AS3333" s="5" t="s">
        <v>488</v>
      </c>
      <c r="AT3333" s="5" t="s">
        <v>246</v>
      </c>
      <c r="AU3333" s="5" t="s">
        <v>489</v>
      </c>
      <c r="AV3333" s="5" t="s">
        <v>247</v>
      </c>
      <c r="AW3333" s="5" t="s">
        <v>238</v>
      </c>
      <c r="AX3333" s="5" t="s">
        <v>249</v>
      </c>
      <c r="AY3333" s="5" t="s">
        <v>490</v>
      </c>
      <c r="BA3333" s="5" t="s">
        <v>238</v>
      </c>
      <c r="BC3333" s="5" t="s">
        <v>491</v>
      </c>
      <c r="BD3333" s="6" t="s">
        <v>492</v>
      </c>
      <c r="BE3333" s="5" t="s">
        <v>493</v>
      </c>
      <c r="BF3333" s="5" t="s">
        <v>493</v>
      </c>
      <c r="BG3333" s="5" t="s">
        <v>238</v>
      </c>
      <c r="BH3333" s="8">
        <f>1</f>
        <v>1</v>
      </c>
      <c r="BI3333" s="8">
        <f>1</f>
        <v>1</v>
      </c>
      <c r="BJ3333" s="5" t="s">
        <v>253</v>
      </c>
      <c r="BK3333" s="5" t="s">
        <v>254</v>
      </c>
      <c r="BL3333" s="5" t="s">
        <v>238</v>
      </c>
      <c r="BM3333" s="5" t="s">
        <v>238</v>
      </c>
      <c r="BN3333" s="5" t="s">
        <v>238</v>
      </c>
      <c r="BO3333" s="5" t="s">
        <v>238</v>
      </c>
      <c r="BP3333" s="5" t="s">
        <v>238</v>
      </c>
      <c r="BQ3333" s="5" t="s">
        <v>238</v>
      </c>
      <c r="BR3333" s="5" t="s">
        <v>238</v>
      </c>
      <c r="BS3333" s="5" t="s">
        <v>238</v>
      </c>
      <c r="BT3333" s="6" t="s">
        <v>238</v>
      </c>
      <c r="BU3333" s="5" t="s">
        <v>238</v>
      </c>
      <c r="BV3333" s="5" t="s">
        <v>238</v>
      </c>
      <c r="BW3333" s="5" t="s">
        <v>238</v>
      </c>
      <c r="BX3333" s="5" t="s">
        <v>254</v>
      </c>
      <c r="BY3333" s="5" t="s">
        <v>238</v>
      </c>
      <c r="BZ3333" s="5" t="s">
        <v>238</v>
      </c>
      <c r="CA3333" s="5" t="s">
        <v>238</v>
      </c>
      <c r="CB3333" s="5" t="s">
        <v>238</v>
      </c>
      <c r="CC3333" s="5" t="s">
        <v>238</v>
      </c>
      <c r="CD3333" s="5" t="s">
        <v>273</v>
      </c>
      <c r="CE3333" s="5" t="s">
        <v>256</v>
      </c>
      <c r="CF3333" s="5" t="s">
        <v>238</v>
      </c>
      <c r="CH3333" s="5" t="s">
        <v>494</v>
      </c>
      <c r="CI3333" s="6" t="s">
        <v>257</v>
      </c>
      <c r="CJ3333" s="5" t="s">
        <v>495</v>
      </c>
      <c r="CK3333" s="5" t="s">
        <v>258</v>
      </c>
      <c r="CL3333" s="5" t="s">
        <v>496</v>
      </c>
      <c r="CM3333" s="5" t="s">
        <v>238</v>
      </c>
      <c r="CN3333" s="5">
        <v>0</v>
      </c>
      <c r="CO3333" s="5" t="s">
        <v>497</v>
      </c>
      <c r="CP3333" s="5" t="s">
        <v>260</v>
      </c>
      <c r="CQ3333" s="5" t="s">
        <v>260</v>
      </c>
      <c r="CR3333" s="5" t="s">
        <v>261</v>
      </c>
      <c r="CS3333" s="5" t="s">
        <v>498</v>
      </c>
      <c r="CT3333" s="7">
        <f>1</f>
        <v>1</v>
      </c>
      <c r="CU3333" s="8">
        <f>1</f>
        <v>1</v>
      </c>
      <c r="CV3333" s="8">
        <f>0</f>
        <v>0</v>
      </c>
      <c r="CX3333" s="8">
        <f>1</f>
        <v>1</v>
      </c>
      <c r="CY3333" s="8">
        <f>1</f>
        <v>1</v>
      </c>
      <c r="CZ3333" s="8" t="s">
        <v>238</v>
      </c>
      <c r="DA3333" s="5" t="s">
        <v>238</v>
      </c>
      <c r="DB3333" s="5" t="s">
        <v>238</v>
      </c>
      <c r="DC3333" s="5" t="s">
        <v>238</v>
      </c>
      <c r="DD3333" s="5" t="s">
        <v>238</v>
      </c>
      <c r="DE3333" s="8">
        <f>0</f>
        <v>0</v>
      </c>
      <c r="DG3333" s="5" t="s">
        <v>238</v>
      </c>
      <c r="DH3333" s="5" t="s">
        <v>238</v>
      </c>
      <c r="DI3333" s="5" t="s">
        <v>238</v>
      </c>
      <c r="DJ3333" s="5" t="s">
        <v>238</v>
      </c>
      <c r="DK3333" s="5" t="s">
        <v>238</v>
      </c>
      <c r="DL3333" s="5" t="s">
        <v>238</v>
      </c>
      <c r="DM3333" s="8" t="s">
        <v>238</v>
      </c>
      <c r="DN3333" s="5" t="s">
        <v>238</v>
      </c>
      <c r="DO3333" s="5" t="s">
        <v>238</v>
      </c>
      <c r="DP3333" s="5" t="s">
        <v>490</v>
      </c>
      <c r="DQ3333" s="5" t="s">
        <v>490</v>
      </c>
      <c r="DR3333" s="5" t="s">
        <v>238</v>
      </c>
      <c r="DS3333" s="5" t="s">
        <v>238</v>
      </c>
      <c r="DT3333" s="5" t="s">
        <v>881</v>
      </c>
      <c r="DU3333" s="5" t="s">
        <v>1318</v>
      </c>
      <c r="DV3333" s="5" t="s">
        <v>238</v>
      </c>
      <c r="DW3333" s="5" t="s">
        <v>238</v>
      </c>
      <c r="DX3333" s="5" t="s">
        <v>238</v>
      </c>
      <c r="DY3333" s="5" t="s">
        <v>238</v>
      </c>
      <c r="DZ3333" s="5" t="s">
        <v>238</v>
      </c>
      <c r="EA3333" s="5" t="s">
        <v>238</v>
      </c>
      <c r="EB3333" s="5" t="s">
        <v>238</v>
      </c>
      <c r="EC3333" s="5" t="s">
        <v>238</v>
      </c>
      <c r="ED3333" s="5" t="s">
        <v>238</v>
      </c>
      <c r="EE3333" s="5" t="s">
        <v>238</v>
      </c>
      <c r="EF3333" s="5" t="s">
        <v>238</v>
      </c>
      <c r="EG3333" s="5" t="s">
        <v>238</v>
      </c>
      <c r="EH3333" s="5" t="s">
        <v>238</v>
      </c>
      <c r="EI3333" s="5" t="s">
        <v>238</v>
      </c>
      <c r="EJ3333" s="5" t="s">
        <v>238</v>
      </c>
      <c r="EK3333" s="5" t="s">
        <v>238</v>
      </c>
      <c r="EL3333" s="5" t="s">
        <v>238</v>
      </c>
      <c r="EM3333" s="5" t="s">
        <v>238</v>
      </c>
      <c r="EN3333" s="5" t="s">
        <v>238</v>
      </c>
      <c r="EO3333" s="5" t="s">
        <v>238</v>
      </c>
      <c r="EP3333" s="5" t="s">
        <v>238</v>
      </c>
      <c r="EQ3333" s="5" t="s">
        <v>238</v>
      </c>
      <c r="ER3333" s="5" t="s">
        <v>238</v>
      </c>
      <c r="ES3333" s="5" t="s">
        <v>238</v>
      </c>
      <c r="ET3333" s="5" t="s">
        <v>238</v>
      </c>
      <c r="EU3333" s="5" t="s">
        <v>238</v>
      </c>
      <c r="EV3333" s="5" t="s">
        <v>238</v>
      </c>
      <c r="EW3333" s="5" t="s">
        <v>238</v>
      </c>
      <c r="EX3333" s="5" t="s">
        <v>238</v>
      </c>
      <c r="EY3333" s="5" t="s">
        <v>238</v>
      </c>
      <c r="EZ3333" s="5" t="s">
        <v>238</v>
      </c>
      <c r="FA3333" s="5" t="s">
        <v>238</v>
      </c>
      <c r="FB3333" s="5" t="s">
        <v>238</v>
      </c>
      <c r="FC3333" s="5" t="s">
        <v>238</v>
      </c>
      <c r="FD3333" s="5" t="s">
        <v>238</v>
      </c>
      <c r="FE3333" s="5" t="s">
        <v>238</v>
      </c>
      <c r="FF3333" s="5" t="s">
        <v>238</v>
      </c>
      <c r="FG3333" s="5" t="s">
        <v>238</v>
      </c>
      <c r="FH3333" s="5" t="s">
        <v>238</v>
      </c>
      <c r="FI3333" s="5" t="s">
        <v>238</v>
      </c>
      <c r="FJ3333" s="5" t="s">
        <v>238</v>
      </c>
      <c r="FK3333" s="5" t="s">
        <v>238</v>
      </c>
      <c r="FL3333" s="5" t="s">
        <v>238</v>
      </c>
      <c r="FM3333" s="5" t="s">
        <v>238</v>
      </c>
      <c r="FN3333" s="5" t="s">
        <v>238</v>
      </c>
      <c r="FO3333" s="5" t="s">
        <v>238</v>
      </c>
      <c r="FP3333" s="5" t="s">
        <v>238</v>
      </c>
      <c r="FQ3333" s="5" t="s">
        <v>238</v>
      </c>
      <c r="FR3333" s="5" t="s">
        <v>238</v>
      </c>
      <c r="FS3333" s="5" t="s">
        <v>238</v>
      </c>
      <c r="FT3333" s="5" t="s">
        <v>238</v>
      </c>
      <c r="FU3333" s="5" t="s">
        <v>238</v>
      </c>
      <c r="FV3333" s="5" t="s">
        <v>238</v>
      </c>
      <c r="FW3333" s="5" t="s">
        <v>238</v>
      </c>
      <c r="FX3333" s="5" t="s">
        <v>238</v>
      </c>
      <c r="FY3333" s="5" t="s">
        <v>238</v>
      </c>
      <c r="FZ3333" s="5" t="s">
        <v>238</v>
      </c>
      <c r="GA3333" s="5" t="s">
        <v>238</v>
      </c>
      <c r="GB3333" s="5" t="s">
        <v>238</v>
      </c>
      <c r="GC3333" s="5" t="s">
        <v>238</v>
      </c>
      <c r="GD3333" s="5" t="s">
        <v>238</v>
      </c>
      <c r="GE3333" s="5" t="s">
        <v>238</v>
      </c>
      <c r="GF3333" s="5" t="s">
        <v>238</v>
      </c>
      <c r="GG3333" s="5" t="s">
        <v>238</v>
      </c>
      <c r="GH3333" s="5" t="s">
        <v>238</v>
      </c>
      <c r="GI3333" s="5" t="s">
        <v>238</v>
      </c>
      <c r="GJ3333" s="5" t="s">
        <v>238</v>
      </c>
      <c r="GK3333" s="5" t="s">
        <v>238</v>
      </c>
      <c r="GL3333" s="5" t="s">
        <v>238</v>
      </c>
      <c r="GM3333" s="5" t="s">
        <v>238</v>
      </c>
      <c r="GN3333" s="5" t="s">
        <v>238</v>
      </c>
      <c r="GO3333" s="5" t="s">
        <v>238</v>
      </c>
      <c r="GP3333" s="5" t="s">
        <v>238</v>
      </c>
      <c r="GQ3333" s="5" t="s">
        <v>238</v>
      </c>
      <c r="GR3333" s="5" t="s">
        <v>238</v>
      </c>
      <c r="GS3333" s="5" t="s">
        <v>238</v>
      </c>
      <c r="GT3333" s="5" t="s">
        <v>238</v>
      </c>
      <c r="GU3333" s="5" t="s">
        <v>238</v>
      </c>
      <c r="GV3333" s="5" t="s">
        <v>238</v>
      </c>
      <c r="GW3333" s="5" t="s">
        <v>238</v>
      </c>
      <c r="GX3333" s="5" t="s">
        <v>238</v>
      </c>
      <c r="GY3333" s="5" t="s">
        <v>238</v>
      </c>
      <c r="GZ3333" s="5" t="s">
        <v>238</v>
      </c>
      <c r="HA3333" s="5" t="s">
        <v>238</v>
      </c>
      <c r="HB3333" s="5" t="s">
        <v>238</v>
      </c>
      <c r="HC3333" s="5" t="s">
        <v>238</v>
      </c>
      <c r="HD3333" s="5" t="s">
        <v>238</v>
      </c>
      <c r="HE3333" s="5" t="s">
        <v>238</v>
      </c>
      <c r="HF3333" s="5" t="s">
        <v>238</v>
      </c>
      <c r="HG3333" s="5" t="s">
        <v>238</v>
      </c>
      <c r="HH3333" s="5" t="s">
        <v>238</v>
      </c>
      <c r="HI3333" s="5" t="s">
        <v>238</v>
      </c>
      <c r="HJ3333" s="5" t="s">
        <v>238</v>
      </c>
      <c r="HK3333" s="5" t="s">
        <v>238</v>
      </c>
      <c r="HL3333" s="5" t="s">
        <v>238</v>
      </c>
      <c r="HM3333" s="5" t="s">
        <v>264</v>
      </c>
      <c r="HN3333" s="5" t="s">
        <v>238</v>
      </c>
      <c r="HO3333" s="5" t="s">
        <v>238</v>
      </c>
      <c r="HP3333" s="5" t="s">
        <v>238</v>
      </c>
      <c r="HQ3333" s="5" t="s">
        <v>238</v>
      </c>
      <c r="HR3333" s="5" t="s">
        <v>238</v>
      </c>
      <c r="HS3333" s="5" t="s">
        <v>238</v>
      </c>
      <c r="HT3333" s="5" t="s">
        <v>238</v>
      </c>
      <c r="HU3333" s="5" t="s">
        <v>238</v>
      </c>
      <c r="HV3333" s="5" t="s">
        <v>238</v>
      </c>
      <c r="HW3333" s="5" t="s">
        <v>238</v>
      </c>
      <c r="HX3333" s="5" t="s">
        <v>238</v>
      </c>
      <c r="HY3333" s="5" t="s">
        <v>238</v>
      </c>
      <c r="HZ3333" s="5" t="s">
        <v>238</v>
      </c>
      <c r="IA3333" s="5" t="s">
        <v>238</v>
      </c>
      <c r="IB3333" s="5" t="s">
        <v>238</v>
      </c>
      <c r="IC3333" s="5" t="s">
        <v>238</v>
      </c>
      <c r="ID3333" s="5" t="s">
        <v>238</v>
      </c>
    </row>
    <row r="3334" spans="1:238" x14ac:dyDescent="0.4">
      <c r="A3334" s="5">
        <v>9052</v>
      </c>
      <c r="B3334" s="5">
        <v>1</v>
      </c>
      <c r="C3334" s="5">
        <v>1</v>
      </c>
      <c r="D3334" s="5" t="s">
        <v>484</v>
      </c>
      <c r="E3334" s="5" t="s">
        <v>878</v>
      </c>
      <c r="F3334" s="5" t="s">
        <v>248</v>
      </c>
      <c r="G3334" s="5" t="s">
        <v>5715</v>
      </c>
      <c r="H3334" s="6" t="s">
        <v>5716</v>
      </c>
      <c r="I3334" s="8">
        <f>1</f>
        <v>1</v>
      </c>
      <c r="J3334" s="5" t="s">
        <v>499</v>
      </c>
      <c r="K3334" s="8">
        <f>1</f>
        <v>1</v>
      </c>
      <c r="L3334" s="6" t="s">
        <v>242</v>
      </c>
      <c r="M3334" s="5" t="s">
        <v>267</v>
      </c>
      <c r="N3334" s="5" t="s">
        <v>482</v>
      </c>
      <c r="O3334" s="5" t="s">
        <v>238</v>
      </c>
      <c r="P3334" s="5" t="s">
        <v>238</v>
      </c>
      <c r="Q3334" s="5" t="s">
        <v>239</v>
      </c>
      <c r="R3334" s="5" t="s">
        <v>270</v>
      </c>
      <c r="S3334" s="5" t="s">
        <v>238</v>
      </c>
      <c r="T3334" s="5" t="s">
        <v>238</v>
      </c>
      <c r="U3334" s="5" t="s">
        <v>238</v>
      </c>
      <c r="V3334" s="5" t="s">
        <v>238</v>
      </c>
      <c r="W3334" s="6" t="s">
        <v>238</v>
      </c>
      <c r="X3334" s="6" t="s">
        <v>238</v>
      </c>
      <c r="Y3334" s="5" t="s">
        <v>238</v>
      </c>
      <c r="Z3334" s="6" t="s">
        <v>238</v>
      </c>
      <c r="AA3334" s="6" t="s">
        <v>243</v>
      </c>
      <c r="AB3334" s="5" t="s">
        <v>879</v>
      </c>
      <c r="AC3334" s="5" t="s">
        <v>244</v>
      </c>
      <c r="AD3334" s="5" t="s">
        <v>245</v>
      </c>
      <c r="AE3334" s="5" t="s">
        <v>238</v>
      </c>
      <c r="AF3334" s="5" t="s">
        <v>238</v>
      </c>
      <c r="AG3334" s="5" t="s">
        <v>238</v>
      </c>
      <c r="AH3334" s="5" t="s">
        <v>238</v>
      </c>
      <c r="AI3334" s="5" t="s">
        <v>238</v>
      </c>
      <c r="AJ3334" s="5" t="s">
        <v>238</v>
      </c>
      <c r="AK3334" s="5" t="s">
        <v>238</v>
      </c>
      <c r="AL3334" s="5" t="s">
        <v>238</v>
      </c>
      <c r="AM3334" s="6" t="s">
        <v>238</v>
      </c>
      <c r="AN3334" s="6" t="s">
        <v>238</v>
      </c>
      <c r="AO3334" s="6" t="s">
        <v>238</v>
      </c>
      <c r="AP3334" s="6" t="s">
        <v>238</v>
      </c>
      <c r="AQ3334" s="5" t="s">
        <v>238</v>
      </c>
      <c r="AR3334" s="5" t="s">
        <v>488</v>
      </c>
      <c r="AS3334" s="5" t="s">
        <v>488</v>
      </c>
      <c r="AT3334" s="5" t="s">
        <v>246</v>
      </c>
      <c r="AU3334" s="5" t="s">
        <v>489</v>
      </c>
      <c r="AV3334" s="5" t="s">
        <v>247</v>
      </c>
      <c r="AW3334" s="5" t="s">
        <v>238</v>
      </c>
      <c r="AX3334" s="5" t="s">
        <v>249</v>
      </c>
      <c r="AY3334" s="5" t="s">
        <v>490</v>
      </c>
      <c r="BA3334" s="5" t="s">
        <v>238</v>
      </c>
      <c r="BC3334" s="5" t="s">
        <v>491</v>
      </c>
      <c r="BD3334" s="6" t="s">
        <v>492</v>
      </c>
      <c r="BE3334" s="5" t="s">
        <v>493</v>
      </c>
      <c r="BF3334" s="5" t="s">
        <v>493</v>
      </c>
      <c r="BG3334" s="5" t="s">
        <v>238</v>
      </c>
      <c r="BH3334" s="8">
        <f>1</f>
        <v>1</v>
      </c>
      <c r="BI3334" s="8">
        <f>1</f>
        <v>1</v>
      </c>
      <c r="BJ3334" s="5" t="s">
        <v>253</v>
      </c>
      <c r="BK3334" s="5" t="s">
        <v>254</v>
      </c>
      <c r="BL3334" s="5" t="s">
        <v>238</v>
      </c>
      <c r="BM3334" s="5" t="s">
        <v>238</v>
      </c>
      <c r="BN3334" s="5" t="s">
        <v>238</v>
      </c>
      <c r="BO3334" s="5" t="s">
        <v>238</v>
      </c>
      <c r="BP3334" s="5" t="s">
        <v>238</v>
      </c>
      <c r="BQ3334" s="5" t="s">
        <v>238</v>
      </c>
      <c r="BR3334" s="5" t="s">
        <v>238</v>
      </c>
      <c r="BS3334" s="5" t="s">
        <v>238</v>
      </c>
      <c r="BT3334" s="6" t="s">
        <v>238</v>
      </c>
      <c r="BU3334" s="5" t="s">
        <v>238</v>
      </c>
      <c r="BV3334" s="5" t="s">
        <v>238</v>
      </c>
      <c r="BW3334" s="5" t="s">
        <v>238</v>
      </c>
      <c r="BX3334" s="5" t="s">
        <v>254</v>
      </c>
      <c r="BY3334" s="5" t="s">
        <v>238</v>
      </c>
      <c r="BZ3334" s="5" t="s">
        <v>238</v>
      </c>
      <c r="CA3334" s="5" t="s">
        <v>238</v>
      </c>
      <c r="CB3334" s="5" t="s">
        <v>238</v>
      </c>
      <c r="CC3334" s="5" t="s">
        <v>238</v>
      </c>
      <c r="CD3334" s="5" t="s">
        <v>273</v>
      </c>
      <c r="CE3334" s="5" t="s">
        <v>256</v>
      </c>
      <c r="CF3334" s="5" t="s">
        <v>238</v>
      </c>
      <c r="CH3334" s="5" t="s">
        <v>494</v>
      </c>
      <c r="CI3334" s="6" t="s">
        <v>257</v>
      </c>
      <c r="CJ3334" s="5" t="s">
        <v>495</v>
      </c>
      <c r="CK3334" s="5" t="s">
        <v>258</v>
      </c>
      <c r="CL3334" s="5" t="s">
        <v>496</v>
      </c>
      <c r="CM3334" s="5" t="s">
        <v>238</v>
      </c>
      <c r="CN3334" s="5">
        <v>0</v>
      </c>
      <c r="CO3334" s="5" t="s">
        <v>497</v>
      </c>
      <c r="CP3334" s="5" t="s">
        <v>260</v>
      </c>
      <c r="CQ3334" s="5" t="s">
        <v>260</v>
      </c>
      <c r="CR3334" s="5" t="s">
        <v>261</v>
      </c>
      <c r="CS3334" s="5" t="s">
        <v>498</v>
      </c>
      <c r="CT3334" s="7">
        <f>1</f>
        <v>1</v>
      </c>
      <c r="CU3334" s="8">
        <f>1</f>
        <v>1</v>
      </c>
      <c r="CV3334" s="8">
        <f>0</f>
        <v>0</v>
      </c>
      <c r="CX3334" s="8">
        <f>1</f>
        <v>1</v>
      </c>
      <c r="CY3334" s="8">
        <f>1</f>
        <v>1</v>
      </c>
      <c r="CZ3334" s="8" t="s">
        <v>238</v>
      </c>
      <c r="DA3334" s="5" t="s">
        <v>238</v>
      </c>
      <c r="DB3334" s="5" t="s">
        <v>238</v>
      </c>
      <c r="DC3334" s="5" t="s">
        <v>238</v>
      </c>
      <c r="DD3334" s="5" t="s">
        <v>238</v>
      </c>
      <c r="DE3334" s="8">
        <f>0</f>
        <v>0</v>
      </c>
      <c r="DG3334" s="5" t="s">
        <v>238</v>
      </c>
      <c r="DH3334" s="5" t="s">
        <v>238</v>
      </c>
      <c r="DI3334" s="5" t="s">
        <v>238</v>
      </c>
      <c r="DJ3334" s="5" t="s">
        <v>238</v>
      </c>
      <c r="DK3334" s="5" t="s">
        <v>238</v>
      </c>
      <c r="DL3334" s="5" t="s">
        <v>238</v>
      </c>
      <c r="DM3334" s="8" t="s">
        <v>238</v>
      </c>
      <c r="DN3334" s="5" t="s">
        <v>238</v>
      </c>
      <c r="DO3334" s="5" t="s">
        <v>238</v>
      </c>
      <c r="DP3334" s="5" t="s">
        <v>490</v>
      </c>
      <c r="DQ3334" s="5" t="s">
        <v>490</v>
      </c>
      <c r="DR3334" s="5" t="s">
        <v>238</v>
      </c>
      <c r="DS3334" s="5" t="s">
        <v>238</v>
      </c>
      <c r="DT3334" s="5" t="s">
        <v>881</v>
      </c>
      <c r="DU3334" s="5" t="s">
        <v>1142</v>
      </c>
      <c r="DV3334" s="5" t="s">
        <v>238</v>
      </c>
      <c r="DW3334" s="5" t="s">
        <v>238</v>
      </c>
      <c r="DX3334" s="5" t="s">
        <v>238</v>
      </c>
      <c r="DY3334" s="5" t="s">
        <v>238</v>
      </c>
      <c r="DZ3334" s="5" t="s">
        <v>238</v>
      </c>
      <c r="EA3334" s="5" t="s">
        <v>238</v>
      </c>
      <c r="EB3334" s="5" t="s">
        <v>238</v>
      </c>
      <c r="EC3334" s="5" t="s">
        <v>238</v>
      </c>
      <c r="ED3334" s="5" t="s">
        <v>238</v>
      </c>
      <c r="EE3334" s="5" t="s">
        <v>238</v>
      </c>
      <c r="EF3334" s="5" t="s">
        <v>238</v>
      </c>
      <c r="EG3334" s="5" t="s">
        <v>238</v>
      </c>
      <c r="EH3334" s="5" t="s">
        <v>238</v>
      </c>
      <c r="EI3334" s="5" t="s">
        <v>238</v>
      </c>
      <c r="EJ3334" s="5" t="s">
        <v>238</v>
      </c>
      <c r="EK3334" s="5" t="s">
        <v>238</v>
      </c>
      <c r="EL3334" s="5" t="s">
        <v>238</v>
      </c>
      <c r="EM3334" s="5" t="s">
        <v>238</v>
      </c>
      <c r="EN3334" s="5" t="s">
        <v>238</v>
      </c>
      <c r="EO3334" s="5" t="s">
        <v>238</v>
      </c>
      <c r="EP3334" s="5" t="s">
        <v>238</v>
      </c>
      <c r="EQ3334" s="5" t="s">
        <v>238</v>
      </c>
      <c r="ER3334" s="5" t="s">
        <v>238</v>
      </c>
      <c r="ES3334" s="5" t="s">
        <v>238</v>
      </c>
      <c r="ET3334" s="5" t="s">
        <v>238</v>
      </c>
      <c r="EU3334" s="5" t="s">
        <v>238</v>
      </c>
      <c r="EV3334" s="5" t="s">
        <v>238</v>
      </c>
      <c r="EW3334" s="5" t="s">
        <v>238</v>
      </c>
      <c r="EX3334" s="5" t="s">
        <v>238</v>
      </c>
      <c r="EY3334" s="5" t="s">
        <v>238</v>
      </c>
      <c r="EZ3334" s="5" t="s">
        <v>238</v>
      </c>
      <c r="FA3334" s="5" t="s">
        <v>238</v>
      </c>
      <c r="FB3334" s="5" t="s">
        <v>238</v>
      </c>
      <c r="FC3334" s="5" t="s">
        <v>238</v>
      </c>
      <c r="FD3334" s="5" t="s">
        <v>238</v>
      </c>
      <c r="FE3334" s="5" t="s">
        <v>238</v>
      </c>
      <c r="FF3334" s="5" t="s">
        <v>238</v>
      </c>
      <c r="FG3334" s="5" t="s">
        <v>238</v>
      </c>
      <c r="FH3334" s="5" t="s">
        <v>238</v>
      </c>
      <c r="FI3334" s="5" t="s">
        <v>238</v>
      </c>
      <c r="FJ3334" s="5" t="s">
        <v>238</v>
      </c>
      <c r="FK3334" s="5" t="s">
        <v>238</v>
      </c>
      <c r="FL3334" s="5" t="s">
        <v>238</v>
      </c>
      <c r="FM3334" s="5" t="s">
        <v>238</v>
      </c>
      <c r="FN3334" s="5" t="s">
        <v>238</v>
      </c>
      <c r="FO3334" s="5" t="s">
        <v>238</v>
      </c>
      <c r="FP3334" s="5" t="s">
        <v>238</v>
      </c>
      <c r="FQ3334" s="5" t="s">
        <v>238</v>
      </c>
      <c r="FR3334" s="5" t="s">
        <v>238</v>
      </c>
      <c r="FS3334" s="5" t="s">
        <v>238</v>
      </c>
      <c r="FT3334" s="5" t="s">
        <v>238</v>
      </c>
      <c r="FU3334" s="5" t="s">
        <v>238</v>
      </c>
      <c r="FV3334" s="5" t="s">
        <v>238</v>
      </c>
      <c r="FW3334" s="5" t="s">
        <v>238</v>
      </c>
      <c r="FX3334" s="5" t="s">
        <v>238</v>
      </c>
      <c r="FY3334" s="5" t="s">
        <v>238</v>
      </c>
      <c r="FZ3334" s="5" t="s">
        <v>238</v>
      </c>
      <c r="GA3334" s="5" t="s">
        <v>238</v>
      </c>
      <c r="GB3334" s="5" t="s">
        <v>238</v>
      </c>
      <c r="GC3334" s="5" t="s">
        <v>238</v>
      </c>
      <c r="GD3334" s="5" t="s">
        <v>238</v>
      </c>
      <c r="GE3334" s="5" t="s">
        <v>238</v>
      </c>
      <c r="GF3334" s="5" t="s">
        <v>238</v>
      </c>
      <c r="GG3334" s="5" t="s">
        <v>238</v>
      </c>
      <c r="GH3334" s="5" t="s">
        <v>238</v>
      </c>
      <c r="GI3334" s="5" t="s">
        <v>238</v>
      </c>
      <c r="GJ3334" s="5" t="s">
        <v>238</v>
      </c>
      <c r="GK3334" s="5" t="s">
        <v>238</v>
      </c>
      <c r="GL3334" s="5" t="s">
        <v>238</v>
      </c>
      <c r="GM3334" s="5" t="s">
        <v>238</v>
      </c>
      <c r="GN3334" s="5" t="s">
        <v>238</v>
      </c>
      <c r="GO3334" s="5" t="s">
        <v>238</v>
      </c>
      <c r="GP3334" s="5" t="s">
        <v>238</v>
      </c>
      <c r="GQ3334" s="5" t="s">
        <v>238</v>
      </c>
      <c r="GR3334" s="5" t="s">
        <v>238</v>
      </c>
      <c r="GS3334" s="5" t="s">
        <v>238</v>
      </c>
      <c r="GT3334" s="5" t="s">
        <v>238</v>
      </c>
      <c r="GU3334" s="5" t="s">
        <v>238</v>
      </c>
      <c r="GV3334" s="5" t="s">
        <v>238</v>
      </c>
      <c r="GW3334" s="5" t="s">
        <v>238</v>
      </c>
      <c r="GX3334" s="5" t="s">
        <v>238</v>
      </c>
      <c r="GY3334" s="5" t="s">
        <v>238</v>
      </c>
      <c r="GZ3334" s="5" t="s">
        <v>238</v>
      </c>
      <c r="HA3334" s="5" t="s">
        <v>238</v>
      </c>
      <c r="HB3334" s="5" t="s">
        <v>238</v>
      </c>
      <c r="HC3334" s="5" t="s">
        <v>238</v>
      </c>
      <c r="HD3334" s="5" t="s">
        <v>238</v>
      </c>
      <c r="HE3334" s="5" t="s">
        <v>238</v>
      </c>
      <c r="HF3334" s="5" t="s">
        <v>238</v>
      </c>
      <c r="HG3334" s="5" t="s">
        <v>238</v>
      </c>
      <c r="HH3334" s="5" t="s">
        <v>238</v>
      </c>
      <c r="HI3334" s="5" t="s">
        <v>238</v>
      </c>
      <c r="HJ3334" s="5" t="s">
        <v>238</v>
      </c>
      <c r="HK3334" s="5" t="s">
        <v>238</v>
      </c>
      <c r="HL3334" s="5" t="s">
        <v>238</v>
      </c>
      <c r="HM3334" s="5" t="s">
        <v>264</v>
      </c>
      <c r="HN3334" s="5" t="s">
        <v>238</v>
      </c>
      <c r="HO3334" s="5" t="s">
        <v>238</v>
      </c>
      <c r="HP3334" s="5" t="s">
        <v>238</v>
      </c>
      <c r="HQ3334" s="5" t="s">
        <v>238</v>
      </c>
      <c r="HR3334" s="5" t="s">
        <v>238</v>
      </c>
      <c r="HS3334" s="5" t="s">
        <v>238</v>
      </c>
      <c r="HT3334" s="5" t="s">
        <v>238</v>
      </c>
      <c r="HU3334" s="5" t="s">
        <v>238</v>
      </c>
      <c r="HV3334" s="5" t="s">
        <v>238</v>
      </c>
      <c r="HW3334" s="5" t="s">
        <v>238</v>
      </c>
      <c r="HX3334" s="5" t="s">
        <v>238</v>
      </c>
      <c r="HY3334" s="5" t="s">
        <v>238</v>
      </c>
      <c r="HZ3334" s="5" t="s">
        <v>238</v>
      </c>
      <c r="IA3334" s="5" t="s">
        <v>238</v>
      </c>
      <c r="IB3334" s="5" t="s">
        <v>238</v>
      </c>
      <c r="IC3334" s="5" t="s">
        <v>238</v>
      </c>
      <c r="ID3334" s="5" t="s">
        <v>238</v>
      </c>
    </row>
    <row r="3335" spans="1:238" x14ac:dyDescent="0.4">
      <c r="A3335" s="5">
        <v>9053</v>
      </c>
      <c r="B3335" s="5">
        <v>1</v>
      </c>
      <c r="C3335" s="5">
        <v>1</v>
      </c>
      <c r="D3335" s="5" t="s">
        <v>484</v>
      </c>
      <c r="E3335" s="5" t="s">
        <v>878</v>
      </c>
      <c r="F3335" s="5" t="s">
        <v>248</v>
      </c>
      <c r="G3335" s="5" t="s">
        <v>4887</v>
      </c>
      <c r="H3335" s="6" t="s">
        <v>4888</v>
      </c>
      <c r="I3335" s="8">
        <f>1</f>
        <v>1</v>
      </c>
      <c r="J3335" s="5" t="s">
        <v>499</v>
      </c>
      <c r="K3335" s="8">
        <f>1</f>
        <v>1</v>
      </c>
      <c r="L3335" s="6" t="s">
        <v>242</v>
      </c>
      <c r="M3335" s="5" t="s">
        <v>267</v>
      </c>
      <c r="N3335" s="5" t="s">
        <v>482</v>
      </c>
      <c r="O3335" s="5" t="s">
        <v>238</v>
      </c>
      <c r="P3335" s="5" t="s">
        <v>238</v>
      </c>
      <c r="Q3335" s="5" t="s">
        <v>239</v>
      </c>
      <c r="R3335" s="5" t="s">
        <v>270</v>
      </c>
      <c r="S3335" s="5" t="s">
        <v>238</v>
      </c>
      <c r="T3335" s="5" t="s">
        <v>238</v>
      </c>
      <c r="U3335" s="5" t="s">
        <v>238</v>
      </c>
      <c r="V3335" s="5" t="s">
        <v>238</v>
      </c>
      <c r="W3335" s="6" t="s">
        <v>238</v>
      </c>
      <c r="X3335" s="6" t="s">
        <v>238</v>
      </c>
      <c r="Y3335" s="5" t="s">
        <v>238</v>
      </c>
      <c r="Z3335" s="6" t="s">
        <v>238</v>
      </c>
      <c r="AA3335" s="6" t="s">
        <v>243</v>
      </c>
      <c r="AB3335" s="5" t="s">
        <v>879</v>
      </c>
      <c r="AC3335" s="5" t="s">
        <v>244</v>
      </c>
      <c r="AD3335" s="5" t="s">
        <v>245</v>
      </c>
      <c r="AE3335" s="5" t="s">
        <v>238</v>
      </c>
      <c r="AF3335" s="5" t="s">
        <v>238</v>
      </c>
      <c r="AG3335" s="5" t="s">
        <v>238</v>
      </c>
      <c r="AH3335" s="5" t="s">
        <v>238</v>
      </c>
      <c r="AI3335" s="5" t="s">
        <v>238</v>
      </c>
      <c r="AJ3335" s="5" t="s">
        <v>238</v>
      </c>
      <c r="AK3335" s="5" t="s">
        <v>238</v>
      </c>
      <c r="AL3335" s="5" t="s">
        <v>238</v>
      </c>
      <c r="AM3335" s="6" t="s">
        <v>238</v>
      </c>
      <c r="AN3335" s="6" t="s">
        <v>238</v>
      </c>
      <c r="AO3335" s="6" t="s">
        <v>238</v>
      </c>
      <c r="AP3335" s="6" t="s">
        <v>238</v>
      </c>
      <c r="AQ3335" s="5" t="s">
        <v>238</v>
      </c>
      <c r="AR3335" s="5" t="s">
        <v>488</v>
      </c>
      <c r="AS3335" s="5" t="s">
        <v>488</v>
      </c>
      <c r="AT3335" s="5" t="s">
        <v>246</v>
      </c>
      <c r="AU3335" s="5" t="s">
        <v>489</v>
      </c>
      <c r="AV3335" s="5" t="s">
        <v>247</v>
      </c>
      <c r="AW3335" s="5" t="s">
        <v>238</v>
      </c>
      <c r="AX3335" s="5" t="s">
        <v>249</v>
      </c>
      <c r="AY3335" s="5" t="s">
        <v>490</v>
      </c>
      <c r="BA3335" s="5" t="s">
        <v>238</v>
      </c>
      <c r="BC3335" s="5" t="s">
        <v>491</v>
      </c>
      <c r="BD3335" s="6" t="s">
        <v>492</v>
      </c>
      <c r="BE3335" s="5" t="s">
        <v>493</v>
      </c>
      <c r="BF3335" s="5" t="s">
        <v>493</v>
      </c>
      <c r="BG3335" s="5" t="s">
        <v>238</v>
      </c>
      <c r="BH3335" s="8">
        <f>1</f>
        <v>1</v>
      </c>
      <c r="BI3335" s="8">
        <f>1</f>
        <v>1</v>
      </c>
      <c r="BJ3335" s="5" t="s">
        <v>253</v>
      </c>
      <c r="BK3335" s="5" t="s">
        <v>254</v>
      </c>
      <c r="BL3335" s="5" t="s">
        <v>238</v>
      </c>
      <c r="BM3335" s="5" t="s">
        <v>238</v>
      </c>
      <c r="BN3335" s="5" t="s">
        <v>238</v>
      </c>
      <c r="BO3335" s="5" t="s">
        <v>238</v>
      </c>
      <c r="BP3335" s="5" t="s">
        <v>238</v>
      </c>
      <c r="BQ3335" s="5" t="s">
        <v>238</v>
      </c>
      <c r="BR3335" s="5" t="s">
        <v>238</v>
      </c>
      <c r="BS3335" s="5" t="s">
        <v>238</v>
      </c>
      <c r="BT3335" s="6" t="s">
        <v>238</v>
      </c>
      <c r="BU3335" s="5" t="s">
        <v>238</v>
      </c>
      <c r="BV3335" s="5" t="s">
        <v>238</v>
      </c>
      <c r="BW3335" s="5" t="s">
        <v>238</v>
      </c>
      <c r="BX3335" s="5" t="s">
        <v>254</v>
      </c>
      <c r="BY3335" s="5" t="s">
        <v>238</v>
      </c>
      <c r="BZ3335" s="5" t="s">
        <v>238</v>
      </c>
      <c r="CA3335" s="5" t="s">
        <v>238</v>
      </c>
      <c r="CB3335" s="5" t="s">
        <v>238</v>
      </c>
      <c r="CC3335" s="5" t="s">
        <v>238</v>
      </c>
      <c r="CD3335" s="5" t="s">
        <v>273</v>
      </c>
      <c r="CE3335" s="5" t="s">
        <v>256</v>
      </c>
      <c r="CF3335" s="5" t="s">
        <v>238</v>
      </c>
      <c r="CH3335" s="5" t="s">
        <v>494</v>
      </c>
      <c r="CI3335" s="6" t="s">
        <v>257</v>
      </c>
      <c r="CJ3335" s="5" t="s">
        <v>495</v>
      </c>
      <c r="CK3335" s="5" t="s">
        <v>258</v>
      </c>
      <c r="CL3335" s="5" t="s">
        <v>496</v>
      </c>
      <c r="CM3335" s="5" t="s">
        <v>238</v>
      </c>
      <c r="CN3335" s="5">
        <v>0</v>
      </c>
      <c r="CO3335" s="5" t="s">
        <v>497</v>
      </c>
      <c r="CP3335" s="5" t="s">
        <v>260</v>
      </c>
      <c r="CQ3335" s="5" t="s">
        <v>260</v>
      </c>
      <c r="CR3335" s="5" t="s">
        <v>261</v>
      </c>
      <c r="CS3335" s="5" t="s">
        <v>498</v>
      </c>
      <c r="CT3335" s="7">
        <f>1</f>
        <v>1</v>
      </c>
      <c r="CU3335" s="8">
        <f>1</f>
        <v>1</v>
      </c>
      <c r="CV3335" s="8">
        <f>0</f>
        <v>0</v>
      </c>
      <c r="CX3335" s="8">
        <f>1</f>
        <v>1</v>
      </c>
      <c r="CY3335" s="8">
        <f>1</f>
        <v>1</v>
      </c>
      <c r="CZ3335" s="8" t="s">
        <v>238</v>
      </c>
      <c r="DA3335" s="5" t="s">
        <v>238</v>
      </c>
      <c r="DB3335" s="5" t="s">
        <v>238</v>
      </c>
      <c r="DC3335" s="5" t="s">
        <v>238</v>
      </c>
      <c r="DD3335" s="5" t="s">
        <v>238</v>
      </c>
      <c r="DE3335" s="8">
        <f>0</f>
        <v>0</v>
      </c>
      <c r="DG3335" s="5" t="s">
        <v>238</v>
      </c>
      <c r="DH3335" s="5" t="s">
        <v>238</v>
      </c>
      <c r="DI3335" s="5" t="s">
        <v>238</v>
      </c>
      <c r="DJ3335" s="5" t="s">
        <v>238</v>
      </c>
      <c r="DK3335" s="5" t="s">
        <v>238</v>
      </c>
      <c r="DL3335" s="5" t="s">
        <v>238</v>
      </c>
      <c r="DM3335" s="8" t="s">
        <v>238</v>
      </c>
      <c r="DN3335" s="5" t="s">
        <v>238</v>
      </c>
      <c r="DO3335" s="5" t="s">
        <v>238</v>
      </c>
      <c r="DP3335" s="5" t="s">
        <v>490</v>
      </c>
      <c r="DQ3335" s="5" t="s">
        <v>490</v>
      </c>
      <c r="DR3335" s="5" t="s">
        <v>238</v>
      </c>
      <c r="DS3335" s="5" t="s">
        <v>238</v>
      </c>
      <c r="DT3335" s="5" t="s">
        <v>881</v>
      </c>
      <c r="DU3335" s="5" t="s">
        <v>1305</v>
      </c>
      <c r="DV3335" s="5" t="s">
        <v>238</v>
      </c>
      <c r="DW3335" s="5" t="s">
        <v>238</v>
      </c>
      <c r="DX3335" s="5" t="s">
        <v>238</v>
      </c>
      <c r="DY3335" s="5" t="s">
        <v>238</v>
      </c>
      <c r="DZ3335" s="5" t="s">
        <v>238</v>
      </c>
      <c r="EA3335" s="5" t="s">
        <v>238</v>
      </c>
      <c r="EB3335" s="5" t="s">
        <v>238</v>
      </c>
      <c r="EC3335" s="5" t="s">
        <v>238</v>
      </c>
      <c r="ED3335" s="5" t="s">
        <v>238</v>
      </c>
      <c r="EE3335" s="5" t="s">
        <v>238</v>
      </c>
      <c r="EF3335" s="5" t="s">
        <v>238</v>
      </c>
      <c r="EG3335" s="5" t="s">
        <v>238</v>
      </c>
      <c r="EH3335" s="5" t="s">
        <v>238</v>
      </c>
      <c r="EI3335" s="5" t="s">
        <v>238</v>
      </c>
      <c r="EJ3335" s="5" t="s">
        <v>238</v>
      </c>
      <c r="EK3335" s="5" t="s">
        <v>238</v>
      </c>
      <c r="EL3335" s="5" t="s">
        <v>238</v>
      </c>
      <c r="EM3335" s="5" t="s">
        <v>238</v>
      </c>
      <c r="EN3335" s="5" t="s">
        <v>238</v>
      </c>
      <c r="EO3335" s="5" t="s">
        <v>238</v>
      </c>
      <c r="EP3335" s="5" t="s">
        <v>238</v>
      </c>
      <c r="EQ3335" s="5" t="s">
        <v>238</v>
      </c>
      <c r="ER3335" s="5" t="s">
        <v>238</v>
      </c>
      <c r="ES3335" s="5" t="s">
        <v>238</v>
      </c>
      <c r="ET3335" s="5" t="s">
        <v>238</v>
      </c>
      <c r="EU3335" s="5" t="s">
        <v>238</v>
      </c>
      <c r="EV3335" s="5" t="s">
        <v>238</v>
      </c>
      <c r="EW3335" s="5" t="s">
        <v>238</v>
      </c>
      <c r="EX3335" s="5" t="s">
        <v>238</v>
      </c>
      <c r="EY3335" s="5" t="s">
        <v>238</v>
      </c>
      <c r="EZ3335" s="5" t="s">
        <v>238</v>
      </c>
      <c r="FA3335" s="5" t="s">
        <v>238</v>
      </c>
      <c r="FB3335" s="5" t="s">
        <v>238</v>
      </c>
      <c r="FC3335" s="5" t="s">
        <v>238</v>
      </c>
      <c r="FD3335" s="5" t="s">
        <v>238</v>
      </c>
      <c r="FE3335" s="5" t="s">
        <v>238</v>
      </c>
      <c r="FF3335" s="5" t="s">
        <v>238</v>
      </c>
      <c r="FG3335" s="5" t="s">
        <v>238</v>
      </c>
      <c r="FH3335" s="5" t="s">
        <v>238</v>
      </c>
      <c r="FI3335" s="5" t="s">
        <v>238</v>
      </c>
      <c r="FJ3335" s="5" t="s">
        <v>238</v>
      </c>
      <c r="FK3335" s="5" t="s">
        <v>238</v>
      </c>
      <c r="FL3335" s="5" t="s">
        <v>238</v>
      </c>
      <c r="FM3335" s="5" t="s">
        <v>238</v>
      </c>
      <c r="FN3335" s="5" t="s">
        <v>238</v>
      </c>
      <c r="FO3335" s="5" t="s">
        <v>238</v>
      </c>
      <c r="FP3335" s="5" t="s">
        <v>238</v>
      </c>
      <c r="FQ3335" s="5" t="s">
        <v>238</v>
      </c>
      <c r="FR3335" s="5" t="s">
        <v>238</v>
      </c>
      <c r="FS3335" s="5" t="s">
        <v>238</v>
      </c>
      <c r="FT3335" s="5" t="s">
        <v>238</v>
      </c>
      <c r="FU3335" s="5" t="s">
        <v>238</v>
      </c>
      <c r="FV3335" s="5" t="s">
        <v>238</v>
      </c>
      <c r="FW3335" s="5" t="s">
        <v>238</v>
      </c>
      <c r="FX3335" s="5" t="s">
        <v>238</v>
      </c>
      <c r="FY3335" s="5" t="s">
        <v>238</v>
      </c>
      <c r="FZ3335" s="5" t="s">
        <v>238</v>
      </c>
      <c r="GA3335" s="5" t="s">
        <v>238</v>
      </c>
      <c r="GB3335" s="5" t="s">
        <v>238</v>
      </c>
      <c r="GC3335" s="5" t="s">
        <v>238</v>
      </c>
      <c r="GD3335" s="5" t="s">
        <v>238</v>
      </c>
      <c r="GE3335" s="5" t="s">
        <v>238</v>
      </c>
      <c r="GF3335" s="5" t="s">
        <v>238</v>
      </c>
      <c r="GG3335" s="5" t="s">
        <v>238</v>
      </c>
      <c r="GH3335" s="5" t="s">
        <v>238</v>
      </c>
      <c r="GI3335" s="5" t="s">
        <v>238</v>
      </c>
      <c r="GJ3335" s="5" t="s">
        <v>238</v>
      </c>
      <c r="GK3335" s="5" t="s">
        <v>238</v>
      </c>
      <c r="GL3335" s="5" t="s">
        <v>238</v>
      </c>
      <c r="GM3335" s="5" t="s">
        <v>238</v>
      </c>
      <c r="GN3335" s="5" t="s">
        <v>238</v>
      </c>
      <c r="GO3335" s="5" t="s">
        <v>238</v>
      </c>
      <c r="GP3335" s="5" t="s">
        <v>238</v>
      </c>
      <c r="GQ3335" s="5" t="s">
        <v>238</v>
      </c>
      <c r="GR3335" s="5" t="s">
        <v>238</v>
      </c>
      <c r="GS3335" s="5" t="s">
        <v>238</v>
      </c>
      <c r="GT3335" s="5" t="s">
        <v>238</v>
      </c>
      <c r="GU3335" s="5" t="s">
        <v>238</v>
      </c>
      <c r="GV3335" s="5" t="s">
        <v>238</v>
      </c>
      <c r="GW3335" s="5" t="s">
        <v>238</v>
      </c>
      <c r="GX3335" s="5" t="s">
        <v>238</v>
      </c>
      <c r="GY3335" s="5" t="s">
        <v>238</v>
      </c>
      <c r="GZ3335" s="5" t="s">
        <v>238</v>
      </c>
      <c r="HA3335" s="5" t="s">
        <v>238</v>
      </c>
      <c r="HB3335" s="5" t="s">
        <v>238</v>
      </c>
      <c r="HC3335" s="5" t="s">
        <v>238</v>
      </c>
      <c r="HD3335" s="5" t="s">
        <v>238</v>
      </c>
      <c r="HE3335" s="5" t="s">
        <v>238</v>
      </c>
      <c r="HF3335" s="5" t="s">
        <v>238</v>
      </c>
      <c r="HG3335" s="5" t="s">
        <v>238</v>
      </c>
      <c r="HH3335" s="5" t="s">
        <v>238</v>
      </c>
      <c r="HI3335" s="5" t="s">
        <v>238</v>
      </c>
      <c r="HJ3335" s="5" t="s">
        <v>238</v>
      </c>
      <c r="HK3335" s="5" t="s">
        <v>238</v>
      </c>
      <c r="HL3335" s="5" t="s">
        <v>238</v>
      </c>
      <c r="HM3335" s="5" t="s">
        <v>264</v>
      </c>
      <c r="HN3335" s="5" t="s">
        <v>238</v>
      </c>
      <c r="HO3335" s="5" t="s">
        <v>238</v>
      </c>
      <c r="HP3335" s="5" t="s">
        <v>238</v>
      </c>
      <c r="HQ3335" s="5" t="s">
        <v>238</v>
      </c>
      <c r="HR3335" s="5" t="s">
        <v>238</v>
      </c>
      <c r="HS3335" s="5" t="s">
        <v>238</v>
      </c>
      <c r="HT3335" s="5" t="s">
        <v>238</v>
      </c>
      <c r="HU3335" s="5" t="s">
        <v>238</v>
      </c>
      <c r="HV3335" s="5" t="s">
        <v>238</v>
      </c>
      <c r="HW3335" s="5" t="s">
        <v>238</v>
      </c>
      <c r="HX3335" s="5" t="s">
        <v>238</v>
      </c>
      <c r="HY3335" s="5" t="s">
        <v>238</v>
      </c>
      <c r="HZ3335" s="5" t="s">
        <v>238</v>
      </c>
      <c r="IA3335" s="5" t="s">
        <v>238</v>
      </c>
      <c r="IB3335" s="5" t="s">
        <v>238</v>
      </c>
      <c r="IC3335" s="5" t="s">
        <v>238</v>
      </c>
      <c r="ID3335" s="5" t="s">
        <v>238</v>
      </c>
    </row>
    <row r="3336" spans="1:238" x14ac:dyDescent="0.4">
      <c r="A3336" s="5">
        <v>9054</v>
      </c>
      <c r="B3336" s="5">
        <v>1</v>
      </c>
      <c r="C3336" s="5">
        <v>1</v>
      </c>
      <c r="D3336" s="5" t="s">
        <v>484</v>
      </c>
      <c r="E3336" s="5" t="s">
        <v>878</v>
      </c>
      <c r="F3336" s="5" t="s">
        <v>248</v>
      </c>
      <c r="G3336" s="5" t="s">
        <v>6458</v>
      </c>
      <c r="H3336" s="6" t="s">
        <v>6459</v>
      </c>
      <c r="I3336" s="8">
        <f>1</f>
        <v>1</v>
      </c>
      <c r="J3336" s="5" t="s">
        <v>499</v>
      </c>
      <c r="K3336" s="8">
        <f>1</f>
        <v>1</v>
      </c>
      <c r="L3336" s="6" t="s">
        <v>242</v>
      </c>
      <c r="M3336" s="5" t="s">
        <v>267</v>
      </c>
      <c r="N3336" s="5" t="s">
        <v>482</v>
      </c>
      <c r="O3336" s="5" t="s">
        <v>238</v>
      </c>
      <c r="P3336" s="5" t="s">
        <v>238</v>
      </c>
      <c r="Q3336" s="5" t="s">
        <v>239</v>
      </c>
      <c r="R3336" s="5" t="s">
        <v>270</v>
      </c>
      <c r="S3336" s="5" t="s">
        <v>238</v>
      </c>
      <c r="T3336" s="5" t="s">
        <v>238</v>
      </c>
      <c r="U3336" s="5" t="s">
        <v>238</v>
      </c>
      <c r="V3336" s="5" t="s">
        <v>238</v>
      </c>
      <c r="W3336" s="6" t="s">
        <v>238</v>
      </c>
      <c r="X3336" s="6" t="s">
        <v>238</v>
      </c>
      <c r="Y3336" s="5" t="s">
        <v>238</v>
      </c>
      <c r="Z3336" s="6" t="s">
        <v>238</v>
      </c>
      <c r="AA3336" s="6" t="s">
        <v>243</v>
      </c>
      <c r="AB3336" s="5" t="s">
        <v>879</v>
      </c>
      <c r="AC3336" s="5" t="s">
        <v>244</v>
      </c>
      <c r="AD3336" s="5" t="s">
        <v>245</v>
      </c>
      <c r="AE3336" s="5" t="s">
        <v>238</v>
      </c>
      <c r="AF3336" s="5" t="s">
        <v>238</v>
      </c>
      <c r="AG3336" s="5" t="s">
        <v>238</v>
      </c>
      <c r="AH3336" s="5" t="s">
        <v>238</v>
      </c>
      <c r="AI3336" s="5" t="s">
        <v>238</v>
      </c>
      <c r="AJ3336" s="5" t="s">
        <v>238</v>
      </c>
      <c r="AK3336" s="5" t="s">
        <v>238</v>
      </c>
      <c r="AL3336" s="5" t="s">
        <v>238</v>
      </c>
      <c r="AM3336" s="6" t="s">
        <v>238</v>
      </c>
      <c r="AN3336" s="6" t="s">
        <v>238</v>
      </c>
      <c r="AO3336" s="6" t="s">
        <v>238</v>
      </c>
      <c r="AP3336" s="6" t="s">
        <v>238</v>
      </c>
      <c r="AQ3336" s="5" t="s">
        <v>238</v>
      </c>
      <c r="AR3336" s="5" t="s">
        <v>488</v>
      </c>
      <c r="AS3336" s="5" t="s">
        <v>488</v>
      </c>
      <c r="AT3336" s="5" t="s">
        <v>246</v>
      </c>
      <c r="AU3336" s="5" t="s">
        <v>489</v>
      </c>
      <c r="AV3336" s="5" t="s">
        <v>247</v>
      </c>
      <c r="AW3336" s="5" t="s">
        <v>238</v>
      </c>
      <c r="AX3336" s="5" t="s">
        <v>249</v>
      </c>
      <c r="AY3336" s="5" t="s">
        <v>490</v>
      </c>
      <c r="BA3336" s="5" t="s">
        <v>238</v>
      </c>
      <c r="BC3336" s="5" t="s">
        <v>491</v>
      </c>
      <c r="BD3336" s="6" t="s">
        <v>492</v>
      </c>
      <c r="BE3336" s="5" t="s">
        <v>493</v>
      </c>
      <c r="BF3336" s="5" t="s">
        <v>493</v>
      </c>
      <c r="BG3336" s="5" t="s">
        <v>238</v>
      </c>
      <c r="BH3336" s="8">
        <f>1</f>
        <v>1</v>
      </c>
      <c r="BI3336" s="8">
        <f>1</f>
        <v>1</v>
      </c>
      <c r="BJ3336" s="5" t="s">
        <v>253</v>
      </c>
      <c r="BK3336" s="5" t="s">
        <v>254</v>
      </c>
      <c r="BL3336" s="5" t="s">
        <v>238</v>
      </c>
      <c r="BM3336" s="5" t="s">
        <v>238</v>
      </c>
      <c r="BN3336" s="5" t="s">
        <v>238</v>
      </c>
      <c r="BO3336" s="5" t="s">
        <v>238</v>
      </c>
      <c r="BP3336" s="5" t="s">
        <v>238</v>
      </c>
      <c r="BQ3336" s="5" t="s">
        <v>238</v>
      </c>
      <c r="BR3336" s="5" t="s">
        <v>238</v>
      </c>
      <c r="BS3336" s="5" t="s">
        <v>238</v>
      </c>
      <c r="BT3336" s="6" t="s">
        <v>238</v>
      </c>
      <c r="BU3336" s="5" t="s">
        <v>238</v>
      </c>
      <c r="BV3336" s="5" t="s">
        <v>238</v>
      </c>
      <c r="BW3336" s="5" t="s">
        <v>238</v>
      </c>
      <c r="BX3336" s="5" t="s">
        <v>254</v>
      </c>
      <c r="BY3336" s="5" t="s">
        <v>238</v>
      </c>
      <c r="BZ3336" s="5" t="s">
        <v>238</v>
      </c>
      <c r="CA3336" s="5" t="s">
        <v>238</v>
      </c>
      <c r="CB3336" s="5" t="s">
        <v>238</v>
      </c>
      <c r="CC3336" s="5" t="s">
        <v>238</v>
      </c>
      <c r="CD3336" s="5" t="s">
        <v>273</v>
      </c>
      <c r="CE3336" s="5" t="s">
        <v>256</v>
      </c>
      <c r="CF3336" s="5" t="s">
        <v>238</v>
      </c>
      <c r="CH3336" s="5" t="s">
        <v>494</v>
      </c>
      <c r="CI3336" s="6" t="s">
        <v>257</v>
      </c>
      <c r="CJ3336" s="5" t="s">
        <v>495</v>
      </c>
      <c r="CK3336" s="5" t="s">
        <v>258</v>
      </c>
      <c r="CL3336" s="5" t="s">
        <v>496</v>
      </c>
      <c r="CM3336" s="5" t="s">
        <v>238</v>
      </c>
      <c r="CN3336" s="5">
        <v>0</v>
      </c>
      <c r="CO3336" s="5" t="s">
        <v>497</v>
      </c>
      <c r="CP3336" s="5" t="s">
        <v>260</v>
      </c>
      <c r="CQ3336" s="5" t="s">
        <v>260</v>
      </c>
      <c r="CR3336" s="5" t="s">
        <v>261</v>
      </c>
      <c r="CS3336" s="5" t="s">
        <v>498</v>
      </c>
      <c r="CT3336" s="7">
        <f>1</f>
        <v>1</v>
      </c>
      <c r="CU3336" s="8">
        <f>1</f>
        <v>1</v>
      </c>
      <c r="CV3336" s="8">
        <f>0</f>
        <v>0</v>
      </c>
      <c r="CX3336" s="8">
        <f>1</f>
        <v>1</v>
      </c>
      <c r="CY3336" s="8">
        <f>1</f>
        <v>1</v>
      </c>
      <c r="CZ3336" s="8" t="s">
        <v>238</v>
      </c>
      <c r="DA3336" s="5" t="s">
        <v>238</v>
      </c>
      <c r="DB3336" s="5" t="s">
        <v>238</v>
      </c>
      <c r="DC3336" s="5" t="s">
        <v>238</v>
      </c>
      <c r="DD3336" s="5" t="s">
        <v>238</v>
      </c>
      <c r="DE3336" s="8">
        <f>0</f>
        <v>0</v>
      </c>
      <c r="DG3336" s="5" t="s">
        <v>238</v>
      </c>
      <c r="DH3336" s="5" t="s">
        <v>238</v>
      </c>
      <c r="DI3336" s="5" t="s">
        <v>238</v>
      </c>
      <c r="DJ3336" s="5" t="s">
        <v>238</v>
      </c>
      <c r="DK3336" s="5" t="s">
        <v>238</v>
      </c>
      <c r="DL3336" s="5" t="s">
        <v>238</v>
      </c>
      <c r="DM3336" s="8" t="s">
        <v>238</v>
      </c>
      <c r="DN3336" s="5" t="s">
        <v>238</v>
      </c>
      <c r="DO3336" s="5" t="s">
        <v>238</v>
      </c>
      <c r="DP3336" s="5" t="s">
        <v>490</v>
      </c>
      <c r="DQ3336" s="5" t="s">
        <v>490</v>
      </c>
      <c r="DR3336" s="5" t="s">
        <v>238</v>
      </c>
      <c r="DS3336" s="5" t="s">
        <v>238</v>
      </c>
      <c r="DT3336" s="5" t="s">
        <v>881</v>
      </c>
      <c r="DU3336" s="5" t="s">
        <v>1120</v>
      </c>
      <c r="DV3336" s="5" t="s">
        <v>238</v>
      </c>
      <c r="DW3336" s="5" t="s">
        <v>238</v>
      </c>
      <c r="DX3336" s="5" t="s">
        <v>238</v>
      </c>
      <c r="DY3336" s="5" t="s">
        <v>238</v>
      </c>
      <c r="DZ3336" s="5" t="s">
        <v>238</v>
      </c>
      <c r="EA3336" s="5" t="s">
        <v>238</v>
      </c>
      <c r="EB3336" s="5" t="s">
        <v>238</v>
      </c>
      <c r="EC3336" s="5" t="s">
        <v>238</v>
      </c>
      <c r="ED3336" s="5" t="s">
        <v>238</v>
      </c>
      <c r="EE3336" s="5" t="s">
        <v>238</v>
      </c>
      <c r="EF3336" s="5" t="s">
        <v>238</v>
      </c>
      <c r="EG3336" s="5" t="s">
        <v>238</v>
      </c>
      <c r="EH3336" s="5" t="s">
        <v>238</v>
      </c>
      <c r="EI3336" s="5" t="s">
        <v>238</v>
      </c>
      <c r="EJ3336" s="5" t="s">
        <v>238</v>
      </c>
      <c r="EK3336" s="5" t="s">
        <v>238</v>
      </c>
      <c r="EL3336" s="5" t="s">
        <v>238</v>
      </c>
      <c r="EM3336" s="5" t="s">
        <v>238</v>
      </c>
      <c r="EN3336" s="5" t="s">
        <v>238</v>
      </c>
      <c r="EO3336" s="5" t="s">
        <v>238</v>
      </c>
      <c r="EP3336" s="5" t="s">
        <v>238</v>
      </c>
      <c r="EQ3336" s="5" t="s">
        <v>238</v>
      </c>
      <c r="ER3336" s="5" t="s">
        <v>238</v>
      </c>
      <c r="ES3336" s="5" t="s">
        <v>238</v>
      </c>
      <c r="ET3336" s="5" t="s">
        <v>238</v>
      </c>
      <c r="EU3336" s="5" t="s">
        <v>238</v>
      </c>
      <c r="EV3336" s="5" t="s">
        <v>238</v>
      </c>
      <c r="EW3336" s="5" t="s">
        <v>238</v>
      </c>
      <c r="EX3336" s="5" t="s">
        <v>238</v>
      </c>
      <c r="EY3336" s="5" t="s">
        <v>238</v>
      </c>
      <c r="EZ3336" s="5" t="s">
        <v>238</v>
      </c>
      <c r="FA3336" s="5" t="s">
        <v>238</v>
      </c>
      <c r="FB3336" s="5" t="s">
        <v>238</v>
      </c>
      <c r="FC3336" s="5" t="s">
        <v>238</v>
      </c>
      <c r="FD3336" s="5" t="s">
        <v>238</v>
      </c>
      <c r="FE3336" s="5" t="s">
        <v>238</v>
      </c>
      <c r="FF3336" s="5" t="s">
        <v>238</v>
      </c>
      <c r="FG3336" s="5" t="s">
        <v>238</v>
      </c>
      <c r="FH3336" s="5" t="s">
        <v>238</v>
      </c>
      <c r="FI3336" s="5" t="s">
        <v>238</v>
      </c>
      <c r="FJ3336" s="5" t="s">
        <v>238</v>
      </c>
      <c r="FK3336" s="5" t="s">
        <v>238</v>
      </c>
      <c r="FL3336" s="5" t="s">
        <v>238</v>
      </c>
      <c r="FM3336" s="5" t="s">
        <v>238</v>
      </c>
      <c r="FN3336" s="5" t="s">
        <v>238</v>
      </c>
      <c r="FO3336" s="5" t="s">
        <v>238</v>
      </c>
      <c r="FP3336" s="5" t="s">
        <v>238</v>
      </c>
      <c r="FQ3336" s="5" t="s">
        <v>238</v>
      </c>
      <c r="FR3336" s="5" t="s">
        <v>238</v>
      </c>
      <c r="FS3336" s="5" t="s">
        <v>238</v>
      </c>
      <c r="FT3336" s="5" t="s">
        <v>238</v>
      </c>
      <c r="FU3336" s="5" t="s">
        <v>238</v>
      </c>
      <c r="FV3336" s="5" t="s">
        <v>238</v>
      </c>
      <c r="FW3336" s="5" t="s">
        <v>238</v>
      </c>
      <c r="FX3336" s="5" t="s">
        <v>238</v>
      </c>
      <c r="FY3336" s="5" t="s">
        <v>238</v>
      </c>
      <c r="FZ3336" s="5" t="s">
        <v>238</v>
      </c>
      <c r="GA3336" s="5" t="s">
        <v>238</v>
      </c>
      <c r="GB3336" s="5" t="s">
        <v>238</v>
      </c>
      <c r="GC3336" s="5" t="s">
        <v>238</v>
      </c>
      <c r="GD3336" s="5" t="s">
        <v>238</v>
      </c>
      <c r="GE3336" s="5" t="s">
        <v>238</v>
      </c>
      <c r="GF3336" s="5" t="s">
        <v>238</v>
      </c>
      <c r="GG3336" s="5" t="s">
        <v>238</v>
      </c>
      <c r="GH3336" s="5" t="s">
        <v>238</v>
      </c>
      <c r="GI3336" s="5" t="s">
        <v>238</v>
      </c>
      <c r="GJ3336" s="5" t="s">
        <v>238</v>
      </c>
      <c r="GK3336" s="5" t="s">
        <v>238</v>
      </c>
      <c r="GL3336" s="5" t="s">
        <v>238</v>
      </c>
      <c r="GM3336" s="5" t="s">
        <v>238</v>
      </c>
      <c r="GN3336" s="5" t="s">
        <v>238</v>
      </c>
      <c r="GO3336" s="5" t="s">
        <v>238</v>
      </c>
      <c r="GP3336" s="5" t="s">
        <v>238</v>
      </c>
      <c r="GQ3336" s="5" t="s">
        <v>238</v>
      </c>
      <c r="GR3336" s="5" t="s">
        <v>238</v>
      </c>
      <c r="GS3336" s="5" t="s">
        <v>238</v>
      </c>
      <c r="GT3336" s="5" t="s">
        <v>238</v>
      </c>
      <c r="GU3336" s="5" t="s">
        <v>238</v>
      </c>
      <c r="GV3336" s="5" t="s">
        <v>238</v>
      </c>
      <c r="GW3336" s="5" t="s">
        <v>238</v>
      </c>
      <c r="GX3336" s="5" t="s">
        <v>238</v>
      </c>
      <c r="GY3336" s="5" t="s">
        <v>238</v>
      </c>
      <c r="GZ3336" s="5" t="s">
        <v>238</v>
      </c>
      <c r="HA3336" s="5" t="s">
        <v>238</v>
      </c>
      <c r="HB3336" s="5" t="s">
        <v>238</v>
      </c>
      <c r="HC3336" s="5" t="s">
        <v>238</v>
      </c>
      <c r="HD3336" s="5" t="s">
        <v>238</v>
      </c>
      <c r="HE3336" s="5" t="s">
        <v>238</v>
      </c>
      <c r="HF3336" s="5" t="s">
        <v>238</v>
      </c>
      <c r="HG3336" s="5" t="s">
        <v>238</v>
      </c>
      <c r="HH3336" s="5" t="s">
        <v>238</v>
      </c>
      <c r="HI3336" s="5" t="s">
        <v>238</v>
      </c>
      <c r="HJ3336" s="5" t="s">
        <v>238</v>
      </c>
      <c r="HK3336" s="5" t="s">
        <v>238</v>
      </c>
      <c r="HL3336" s="5" t="s">
        <v>238</v>
      </c>
      <c r="HM3336" s="5" t="s">
        <v>264</v>
      </c>
      <c r="HN3336" s="5" t="s">
        <v>238</v>
      </c>
      <c r="HO3336" s="5" t="s">
        <v>238</v>
      </c>
      <c r="HP3336" s="5" t="s">
        <v>238</v>
      </c>
      <c r="HQ3336" s="5" t="s">
        <v>238</v>
      </c>
      <c r="HR3336" s="5" t="s">
        <v>238</v>
      </c>
      <c r="HS3336" s="5" t="s">
        <v>238</v>
      </c>
      <c r="HT3336" s="5" t="s">
        <v>238</v>
      </c>
      <c r="HU3336" s="5" t="s">
        <v>238</v>
      </c>
      <c r="HV3336" s="5" t="s">
        <v>238</v>
      </c>
      <c r="HW3336" s="5" t="s">
        <v>238</v>
      </c>
      <c r="HX3336" s="5" t="s">
        <v>238</v>
      </c>
      <c r="HY3336" s="5" t="s">
        <v>238</v>
      </c>
      <c r="HZ3336" s="5" t="s">
        <v>238</v>
      </c>
      <c r="IA3336" s="5" t="s">
        <v>238</v>
      </c>
      <c r="IB3336" s="5" t="s">
        <v>238</v>
      </c>
      <c r="IC3336" s="5" t="s">
        <v>238</v>
      </c>
      <c r="ID3336" s="5" t="s">
        <v>238</v>
      </c>
    </row>
    <row r="3337" spans="1:238" x14ac:dyDescent="0.4">
      <c r="A3337" s="5">
        <v>9055</v>
      </c>
      <c r="B3337" s="5">
        <v>1</v>
      </c>
      <c r="C3337" s="5">
        <v>1</v>
      </c>
      <c r="D3337" s="5" t="s">
        <v>484</v>
      </c>
      <c r="E3337" s="5" t="s">
        <v>878</v>
      </c>
      <c r="F3337" s="5" t="s">
        <v>248</v>
      </c>
      <c r="G3337" s="5" t="s">
        <v>6379</v>
      </c>
      <c r="H3337" s="6" t="s">
        <v>6380</v>
      </c>
      <c r="I3337" s="8">
        <f>1</f>
        <v>1</v>
      </c>
      <c r="J3337" s="5" t="s">
        <v>499</v>
      </c>
      <c r="K3337" s="8">
        <f>1</f>
        <v>1</v>
      </c>
      <c r="L3337" s="6" t="s">
        <v>242</v>
      </c>
      <c r="M3337" s="5" t="s">
        <v>267</v>
      </c>
      <c r="N3337" s="5" t="s">
        <v>482</v>
      </c>
      <c r="O3337" s="5" t="s">
        <v>238</v>
      </c>
      <c r="P3337" s="5" t="s">
        <v>238</v>
      </c>
      <c r="Q3337" s="5" t="s">
        <v>239</v>
      </c>
      <c r="R3337" s="5" t="s">
        <v>270</v>
      </c>
      <c r="S3337" s="5" t="s">
        <v>238</v>
      </c>
      <c r="T3337" s="5" t="s">
        <v>238</v>
      </c>
      <c r="U3337" s="5" t="s">
        <v>238</v>
      </c>
      <c r="V3337" s="5" t="s">
        <v>238</v>
      </c>
      <c r="W3337" s="6" t="s">
        <v>238</v>
      </c>
      <c r="X3337" s="6" t="s">
        <v>238</v>
      </c>
      <c r="Y3337" s="5" t="s">
        <v>238</v>
      </c>
      <c r="Z3337" s="6" t="s">
        <v>238</v>
      </c>
      <c r="AA3337" s="6" t="s">
        <v>243</v>
      </c>
      <c r="AB3337" s="5" t="s">
        <v>879</v>
      </c>
      <c r="AC3337" s="5" t="s">
        <v>244</v>
      </c>
      <c r="AD3337" s="5" t="s">
        <v>245</v>
      </c>
      <c r="AE3337" s="5" t="s">
        <v>238</v>
      </c>
      <c r="AF3337" s="5" t="s">
        <v>238</v>
      </c>
      <c r="AG3337" s="5" t="s">
        <v>238</v>
      </c>
      <c r="AH3337" s="5" t="s">
        <v>238</v>
      </c>
      <c r="AI3337" s="5" t="s">
        <v>238</v>
      </c>
      <c r="AJ3337" s="5" t="s">
        <v>238</v>
      </c>
      <c r="AK3337" s="5" t="s">
        <v>238</v>
      </c>
      <c r="AL3337" s="5" t="s">
        <v>238</v>
      </c>
      <c r="AM3337" s="6" t="s">
        <v>238</v>
      </c>
      <c r="AN3337" s="6" t="s">
        <v>238</v>
      </c>
      <c r="AO3337" s="6" t="s">
        <v>238</v>
      </c>
      <c r="AP3337" s="6" t="s">
        <v>238</v>
      </c>
      <c r="AQ3337" s="5" t="s">
        <v>238</v>
      </c>
      <c r="AR3337" s="5" t="s">
        <v>488</v>
      </c>
      <c r="AS3337" s="5" t="s">
        <v>488</v>
      </c>
      <c r="AT3337" s="5" t="s">
        <v>246</v>
      </c>
      <c r="AU3337" s="5" t="s">
        <v>489</v>
      </c>
      <c r="AV3337" s="5" t="s">
        <v>247</v>
      </c>
      <c r="AW3337" s="5" t="s">
        <v>238</v>
      </c>
      <c r="AX3337" s="5" t="s">
        <v>249</v>
      </c>
      <c r="AY3337" s="5" t="s">
        <v>490</v>
      </c>
      <c r="BA3337" s="5" t="s">
        <v>238</v>
      </c>
      <c r="BC3337" s="5" t="s">
        <v>491</v>
      </c>
      <c r="BD3337" s="6" t="s">
        <v>492</v>
      </c>
      <c r="BE3337" s="5" t="s">
        <v>493</v>
      </c>
      <c r="BF3337" s="5" t="s">
        <v>493</v>
      </c>
      <c r="BG3337" s="5" t="s">
        <v>238</v>
      </c>
      <c r="BH3337" s="8">
        <f>1</f>
        <v>1</v>
      </c>
      <c r="BI3337" s="8">
        <f>1</f>
        <v>1</v>
      </c>
      <c r="BJ3337" s="5" t="s">
        <v>253</v>
      </c>
      <c r="BK3337" s="5" t="s">
        <v>254</v>
      </c>
      <c r="BL3337" s="5" t="s">
        <v>238</v>
      </c>
      <c r="BM3337" s="5" t="s">
        <v>238</v>
      </c>
      <c r="BN3337" s="5" t="s">
        <v>238</v>
      </c>
      <c r="BO3337" s="5" t="s">
        <v>238</v>
      </c>
      <c r="BP3337" s="5" t="s">
        <v>238</v>
      </c>
      <c r="BQ3337" s="5" t="s">
        <v>238</v>
      </c>
      <c r="BR3337" s="5" t="s">
        <v>238</v>
      </c>
      <c r="BS3337" s="5" t="s">
        <v>238</v>
      </c>
      <c r="BT3337" s="6" t="s">
        <v>238</v>
      </c>
      <c r="BU3337" s="5" t="s">
        <v>238</v>
      </c>
      <c r="BV3337" s="5" t="s">
        <v>238</v>
      </c>
      <c r="BW3337" s="5" t="s">
        <v>238</v>
      </c>
      <c r="BX3337" s="5" t="s">
        <v>254</v>
      </c>
      <c r="BY3337" s="5" t="s">
        <v>238</v>
      </c>
      <c r="BZ3337" s="5" t="s">
        <v>238</v>
      </c>
      <c r="CA3337" s="5" t="s">
        <v>238</v>
      </c>
      <c r="CB3337" s="5" t="s">
        <v>238</v>
      </c>
      <c r="CC3337" s="5" t="s">
        <v>238</v>
      </c>
      <c r="CD3337" s="5" t="s">
        <v>273</v>
      </c>
      <c r="CE3337" s="5" t="s">
        <v>256</v>
      </c>
      <c r="CF3337" s="5" t="s">
        <v>238</v>
      </c>
      <c r="CH3337" s="5" t="s">
        <v>494</v>
      </c>
      <c r="CI3337" s="6" t="s">
        <v>257</v>
      </c>
      <c r="CJ3337" s="5" t="s">
        <v>495</v>
      </c>
      <c r="CK3337" s="5" t="s">
        <v>258</v>
      </c>
      <c r="CL3337" s="5" t="s">
        <v>496</v>
      </c>
      <c r="CM3337" s="5" t="s">
        <v>238</v>
      </c>
      <c r="CN3337" s="5">
        <v>0</v>
      </c>
      <c r="CO3337" s="5" t="s">
        <v>497</v>
      </c>
      <c r="CP3337" s="5" t="s">
        <v>260</v>
      </c>
      <c r="CQ3337" s="5" t="s">
        <v>260</v>
      </c>
      <c r="CR3337" s="5" t="s">
        <v>261</v>
      </c>
      <c r="CS3337" s="5" t="s">
        <v>498</v>
      </c>
      <c r="CT3337" s="7">
        <f>1</f>
        <v>1</v>
      </c>
      <c r="CU3337" s="8">
        <f>1</f>
        <v>1</v>
      </c>
      <c r="CV3337" s="8">
        <f>0</f>
        <v>0</v>
      </c>
      <c r="CX3337" s="8">
        <f>1</f>
        <v>1</v>
      </c>
      <c r="CY3337" s="8">
        <f>1</f>
        <v>1</v>
      </c>
      <c r="CZ3337" s="8" t="s">
        <v>238</v>
      </c>
      <c r="DA3337" s="5" t="s">
        <v>238</v>
      </c>
      <c r="DB3337" s="5" t="s">
        <v>238</v>
      </c>
      <c r="DC3337" s="5" t="s">
        <v>238</v>
      </c>
      <c r="DD3337" s="5" t="s">
        <v>238</v>
      </c>
      <c r="DE3337" s="8">
        <f>0</f>
        <v>0</v>
      </c>
      <c r="DG3337" s="5" t="s">
        <v>238</v>
      </c>
      <c r="DH3337" s="5" t="s">
        <v>238</v>
      </c>
      <c r="DI3337" s="5" t="s">
        <v>238</v>
      </c>
      <c r="DJ3337" s="5" t="s">
        <v>238</v>
      </c>
      <c r="DK3337" s="5" t="s">
        <v>238</v>
      </c>
      <c r="DL3337" s="5" t="s">
        <v>238</v>
      </c>
      <c r="DM3337" s="8" t="s">
        <v>238</v>
      </c>
      <c r="DN3337" s="5" t="s">
        <v>238</v>
      </c>
      <c r="DO3337" s="5" t="s">
        <v>238</v>
      </c>
      <c r="DP3337" s="5" t="s">
        <v>490</v>
      </c>
      <c r="DQ3337" s="5" t="s">
        <v>490</v>
      </c>
      <c r="DR3337" s="5" t="s">
        <v>238</v>
      </c>
      <c r="DS3337" s="5" t="s">
        <v>238</v>
      </c>
      <c r="DT3337" s="5" t="s">
        <v>881</v>
      </c>
      <c r="DU3337" s="5" t="s">
        <v>1289</v>
      </c>
      <c r="DV3337" s="5" t="s">
        <v>238</v>
      </c>
      <c r="DW3337" s="5" t="s">
        <v>238</v>
      </c>
      <c r="DX3337" s="5" t="s">
        <v>238</v>
      </c>
      <c r="DY3337" s="5" t="s">
        <v>238</v>
      </c>
      <c r="DZ3337" s="5" t="s">
        <v>238</v>
      </c>
      <c r="EA3337" s="5" t="s">
        <v>238</v>
      </c>
      <c r="EB3337" s="5" t="s">
        <v>238</v>
      </c>
      <c r="EC3337" s="5" t="s">
        <v>238</v>
      </c>
      <c r="ED3337" s="5" t="s">
        <v>238</v>
      </c>
      <c r="EE3337" s="5" t="s">
        <v>238</v>
      </c>
      <c r="EF3337" s="5" t="s">
        <v>238</v>
      </c>
      <c r="EG3337" s="5" t="s">
        <v>238</v>
      </c>
      <c r="EH3337" s="5" t="s">
        <v>238</v>
      </c>
      <c r="EI3337" s="5" t="s">
        <v>238</v>
      </c>
      <c r="EJ3337" s="5" t="s">
        <v>238</v>
      </c>
      <c r="EK3337" s="5" t="s">
        <v>238</v>
      </c>
      <c r="EL3337" s="5" t="s">
        <v>238</v>
      </c>
      <c r="EM3337" s="5" t="s">
        <v>238</v>
      </c>
      <c r="EN3337" s="5" t="s">
        <v>238</v>
      </c>
      <c r="EO3337" s="5" t="s">
        <v>238</v>
      </c>
      <c r="EP3337" s="5" t="s">
        <v>238</v>
      </c>
      <c r="EQ3337" s="5" t="s">
        <v>238</v>
      </c>
      <c r="ER3337" s="5" t="s">
        <v>238</v>
      </c>
      <c r="ES3337" s="5" t="s">
        <v>238</v>
      </c>
      <c r="ET3337" s="5" t="s">
        <v>238</v>
      </c>
      <c r="EU3337" s="5" t="s">
        <v>238</v>
      </c>
      <c r="EV3337" s="5" t="s">
        <v>238</v>
      </c>
      <c r="EW3337" s="5" t="s">
        <v>238</v>
      </c>
      <c r="EX3337" s="5" t="s">
        <v>238</v>
      </c>
      <c r="EY3337" s="5" t="s">
        <v>238</v>
      </c>
      <c r="EZ3337" s="5" t="s">
        <v>238</v>
      </c>
      <c r="FA3337" s="5" t="s">
        <v>238</v>
      </c>
      <c r="FB3337" s="5" t="s">
        <v>238</v>
      </c>
      <c r="FC3337" s="5" t="s">
        <v>238</v>
      </c>
      <c r="FD3337" s="5" t="s">
        <v>238</v>
      </c>
      <c r="FE3337" s="5" t="s">
        <v>238</v>
      </c>
      <c r="FF3337" s="5" t="s">
        <v>238</v>
      </c>
      <c r="FG3337" s="5" t="s">
        <v>238</v>
      </c>
      <c r="FH3337" s="5" t="s">
        <v>238</v>
      </c>
      <c r="FI3337" s="5" t="s">
        <v>238</v>
      </c>
      <c r="FJ3337" s="5" t="s">
        <v>238</v>
      </c>
      <c r="FK3337" s="5" t="s">
        <v>238</v>
      </c>
      <c r="FL3337" s="5" t="s">
        <v>238</v>
      </c>
      <c r="FM3337" s="5" t="s">
        <v>238</v>
      </c>
      <c r="FN3337" s="5" t="s">
        <v>238</v>
      </c>
      <c r="FO3337" s="5" t="s">
        <v>238</v>
      </c>
      <c r="FP3337" s="5" t="s">
        <v>238</v>
      </c>
      <c r="FQ3337" s="5" t="s">
        <v>238</v>
      </c>
      <c r="FR3337" s="5" t="s">
        <v>238</v>
      </c>
      <c r="FS3337" s="5" t="s">
        <v>238</v>
      </c>
      <c r="FT3337" s="5" t="s">
        <v>238</v>
      </c>
      <c r="FU3337" s="5" t="s">
        <v>238</v>
      </c>
      <c r="FV3337" s="5" t="s">
        <v>238</v>
      </c>
      <c r="FW3337" s="5" t="s">
        <v>238</v>
      </c>
      <c r="FX3337" s="5" t="s">
        <v>238</v>
      </c>
      <c r="FY3337" s="5" t="s">
        <v>238</v>
      </c>
      <c r="FZ3337" s="5" t="s">
        <v>238</v>
      </c>
      <c r="GA3337" s="5" t="s">
        <v>238</v>
      </c>
      <c r="GB3337" s="5" t="s">
        <v>238</v>
      </c>
      <c r="GC3337" s="5" t="s">
        <v>238</v>
      </c>
      <c r="GD3337" s="5" t="s">
        <v>238</v>
      </c>
      <c r="GE3337" s="5" t="s">
        <v>238</v>
      </c>
      <c r="GF3337" s="5" t="s">
        <v>238</v>
      </c>
      <c r="GG3337" s="5" t="s">
        <v>238</v>
      </c>
      <c r="GH3337" s="5" t="s">
        <v>238</v>
      </c>
      <c r="GI3337" s="5" t="s">
        <v>238</v>
      </c>
      <c r="GJ3337" s="5" t="s">
        <v>238</v>
      </c>
      <c r="GK3337" s="5" t="s">
        <v>238</v>
      </c>
      <c r="GL3337" s="5" t="s">
        <v>238</v>
      </c>
      <c r="GM3337" s="5" t="s">
        <v>238</v>
      </c>
      <c r="GN3337" s="5" t="s">
        <v>238</v>
      </c>
      <c r="GO3337" s="5" t="s">
        <v>238</v>
      </c>
      <c r="GP3337" s="5" t="s">
        <v>238</v>
      </c>
      <c r="GQ3337" s="5" t="s">
        <v>238</v>
      </c>
      <c r="GR3337" s="5" t="s">
        <v>238</v>
      </c>
      <c r="GS3337" s="5" t="s">
        <v>238</v>
      </c>
      <c r="GT3337" s="5" t="s">
        <v>238</v>
      </c>
      <c r="GU3337" s="5" t="s">
        <v>238</v>
      </c>
      <c r="GV3337" s="5" t="s">
        <v>238</v>
      </c>
      <c r="GW3337" s="5" t="s">
        <v>238</v>
      </c>
      <c r="GX3337" s="5" t="s">
        <v>238</v>
      </c>
      <c r="GY3337" s="5" t="s">
        <v>238</v>
      </c>
      <c r="GZ3337" s="5" t="s">
        <v>238</v>
      </c>
      <c r="HA3337" s="5" t="s">
        <v>238</v>
      </c>
      <c r="HB3337" s="5" t="s">
        <v>238</v>
      </c>
      <c r="HC3337" s="5" t="s">
        <v>238</v>
      </c>
      <c r="HD3337" s="5" t="s">
        <v>238</v>
      </c>
      <c r="HE3337" s="5" t="s">
        <v>238</v>
      </c>
      <c r="HF3337" s="5" t="s">
        <v>238</v>
      </c>
      <c r="HG3337" s="5" t="s">
        <v>238</v>
      </c>
      <c r="HH3337" s="5" t="s">
        <v>238</v>
      </c>
      <c r="HI3337" s="5" t="s">
        <v>238</v>
      </c>
      <c r="HJ3337" s="5" t="s">
        <v>238</v>
      </c>
      <c r="HK3337" s="5" t="s">
        <v>238</v>
      </c>
      <c r="HL3337" s="5" t="s">
        <v>238</v>
      </c>
      <c r="HM3337" s="5" t="s">
        <v>264</v>
      </c>
      <c r="HN3337" s="5" t="s">
        <v>238</v>
      </c>
      <c r="HO3337" s="5" t="s">
        <v>238</v>
      </c>
      <c r="HP3337" s="5" t="s">
        <v>238</v>
      </c>
      <c r="HQ3337" s="5" t="s">
        <v>238</v>
      </c>
      <c r="HR3337" s="5" t="s">
        <v>238</v>
      </c>
      <c r="HS3337" s="5" t="s">
        <v>238</v>
      </c>
      <c r="HT3337" s="5" t="s">
        <v>238</v>
      </c>
      <c r="HU3337" s="5" t="s">
        <v>238</v>
      </c>
      <c r="HV3337" s="5" t="s">
        <v>238</v>
      </c>
      <c r="HW3337" s="5" t="s">
        <v>238</v>
      </c>
      <c r="HX3337" s="5" t="s">
        <v>238</v>
      </c>
      <c r="HY3337" s="5" t="s">
        <v>238</v>
      </c>
      <c r="HZ3337" s="5" t="s">
        <v>238</v>
      </c>
      <c r="IA3337" s="5" t="s">
        <v>238</v>
      </c>
      <c r="IB3337" s="5" t="s">
        <v>238</v>
      </c>
      <c r="IC3337" s="5" t="s">
        <v>238</v>
      </c>
      <c r="ID3337" s="5" t="s">
        <v>238</v>
      </c>
    </row>
    <row r="3338" spans="1:238" x14ac:dyDescent="0.4">
      <c r="A3338" s="5">
        <v>9056</v>
      </c>
      <c r="B3338" s="5">
        <v>1</v>
      </c>
      <c r="C3338" s="5">
        <v>1</v>
      </c>
      <c r="D3338" s="5" t="s">
        <v>484</v>
      </c>
      <c r="E3338" s="5" t="s">
        <v>878</v>
      </c>
      <c r="F3338" s="5" t="s">
        <v>248</v>
      </c>
      <c r="G3338" s="5" t="s">
        <v>4506</v>
      </c>
      <c r="H3338" s="6" t="s">
        <v>4507</v>
      </c>
      <c r="I3338" s="8">
        <f>1</f>
        <v>1</v>
      </c>
      <c r="J3338" s="5" t="s">
        <v>499</v>
      </c>
      <c r="K3338" s="8">
        <f>1</f>
        <v>1</v>
      </c>
      <c r="L3338" s="6" t="s">
        <v>242</v>
      </c>
      <c r="M3338" s="5" t="s">
        <v>267</v>
      </c>
      <c r="N3338" s="5" t="s">
        <v>482</v>
      </c>
      <c r="O3338" s="5" t="s">
        <v>238</v>
      </c>
      <c r="P3338" s="5" t="s">
        <v>238</v>
      </c>
      <c r="Q3338" s="5" t="s">
        <v>239</v>
      </c>
      <c r="R3338" s="5" t="s">
        <v>270</v>
      </c>
      <c r="S3338" s="5" t="s">
        <v>238</v>
      </c>
      <c r="T3338" s="5" t="s">
        <v>238</v>
      </c>
      <c r="U3338" s="5" t="s">
        <v>238</v>
      </c>
      <c r="V3338" s="5" t="s">
        <v>238</v>
      </c>
      <c r="W3338" s="6" t="s">
        <v>238</v>
      </c>
      <c r="X3338" s="6" t="s">
        <v>238</v>
      </c>
      <c r="Y3338" s="5" t="s">
        <v>238</v>
      </c>
      <c r="Z3338" s="6" t="s">
        <v>238</v>
      </c>
      <c r="AA3338" s="6" t="s">
        <v>243</v>
      </c>
      <c r="AB3338" s="5" t="s">
        <v>879</v>
      </c>
      <c r="AC3338" s="5" t="s">
        <v>244</v>
      </c>
      <c r="AD3338" s="5" t="s">
        <v>245</v>
      </c>
      <c r="AE3338" s="5" t="s">
        <v>238</v>
      </c>
      <c r="AF3338" s="5" t="s">
        <v>238</v>
      </c>
      <c r="AG3338" s="5" t="s">
        <v>238</v>
      </c>
      <c r="AH3338" s="5" t="s">
        <v>238</v>
      </c>
      <c r="AI3338" s="5" t="s">
        <v>238</v>
      </c>
      <c r="AJ3338" s="5" t="s">
        <v>238</v>
      </c>
      <c r="AK3338" s="5" t="s">
        <v>238</v>
      </c>
      <c r="AL3338" s="5" t="s">
        <v>238</v>
      </c>
      <c r="AM3338" s="6" t="s">
        <v>238</v>
      </c>
      <c r="AN3338" s="6" t="s">
        <v>238</v>
      </c>
      <c r="AO3338" s="6" t="s">
        <v>238</v>
      </c>
      <c r="AP3338" s="6" t="s">
        <v>238</v>
      </c>
      <c r="AQ3338" s="5" t="s">
        <v>238</v>
      </c>
      <c r="AR3338" s="5" t="s">
        <v>488</v>
      </c>
      <c r="AS3338" s="5" t="s">
        <v>488</v>
      </c>
      <c r="AT3338" s="5" t="s">
        <v>246</v>
      </c>
      <c r="AU3338" s="5" t="s">
        <v>489</v>
      </c>
      <c r="AV3338" s="5" t="s">
        <v>247</v>
      </c>
      <c r="AW3338" s="5" t="s">
        <v>238</v>
      </c>
      <c r="AX3338" s="5" t="s">
        <v>249</v>
      </c>
      <c r="AY3338" s="5" t="s">
        <v>490</v>
      </c>
      <c r="BA3338" s="5" t="s">
        <v>238</v>
      </c>
      <c r="BC3338" s="5" t="s">
        <v>491</v>
      </c>
      <c r="BD3338" s="6" t="s">
        <v>492</v>
      </c>
      <c r="BE3338" s="5" t="s">
        <v>493</v>
      </c>
      <c r="BF3338" s="5" t="s">
        <v>493</v>
      </c>
      <c r="BG3338" s="5" t="s">
        <v>238</v>
      </c>
      <c r="BH3338" s="8">
        <f>1</f>
        <v>1</v>
      </c>
      <c r="BI3338" s="8">
        <f>1</f>
        <v>1</v>
      </c>
      <c r="BJ3338" s="5" t="s">
        <v>253</v>
      </c>
      <c r="BK3338" s="5" t="s">
        <v>254</v>
      </c>
      <c r="BL3338" s="5" t="s">
        <v>238</v>
      </c>
      <c r="BM3338" s="5" t="s">
        <v>238</v>
      </c>
      <c r="BN3338" s="5" t="s">
        <v>238</v>
      </c>
      <c r="BO3338" s="5" t="s">
        <v>238</v>
      </c>
      <c r="BP3338" s="5" t="s">
        <v>238</v>
      </c>
      <c r="BQ3338" s="5" t="s">
        <v>238</v>
      </c>
      <c r="BR3338" s="5" t="s">
        <v>238</v>
      </c>
      <c r="BS3338" s="5" t="s">
        <v>238</v>
      </c>
      <c r="BT3338" s="6" t="s">
        <v>238</v>
      </c>
      <c r="BU3338" s="5" t="s">
        <v>238</v>
      </c>
      <c r="BV3338" s="5" t="s">
        <v>238</v>
      </c>
      <c r="BW3338" s="5" t="s">
        <v>238</v>
      </c>
      <c r="BX3338" s="5" t="s">
        <v>254</v>
      </c>
      <c r="BY3338" s="5" t="s">
        <v>238</v>
      </c>
      <c r="BZ3338" s="5" t="s">
        <v>238</v>
      </c>
      <c r="CA3338" s="5" t="s">
        <v>238</v>
      </c>
      <c r="CB3338" s="5" t="s">
        <v>238</v>
      </c>
      <c r="CC3338" s="5" t="s">
        <v>238</v>
      </c>
      <c r="CD3338" s="5" t="s">
        <v>273</v>
      </c>
      <c r="CE3338" s="5" t="s">
        <v>256</v>
      </c>
      <c r="CF3338" s="5" t="s">
        <v>238</v>
      </c>
      <c r="CH3338" s="5" t="s">
        <v>494</v>
      </c>
      <c r="CI3338" s="6" t="s">
        <v>257</v>
      </c>
      <c r="CJ3338" s="5" t="s">
        <v>495</v>
      </c>
      <c r="CK3338" s="5" t="s">
        <v>258</v>
      </c>
      <c r="CL3338" s="5" t="s">
        <v>496</v>
      </c>
      <c r="CM3338" s="5" t="s">
        <v>238</v>
      </c>
      <c r="CN3338" s="5">
        <v>0</v>
      </c>
      <c r="CO3338" s="5" t="s">
        <v>497</v>
      </c>
      <c r="CP3338" s="5" t="s">
        <v>260</v>
      </c>
      <c r="CQ3338" s="5" t="s">
        <v>260</v>
      </c>
      <c r="CR3338" s="5" t="s">
        <v>261</v>
      </c>
      <c r="CS3338" s="5" t="s">
        <v>498</v>
      </c>
      <c r="CT3338" s="7">
        <f>1</f>
        <v>1</v>
      </c>
      <c r="CU3338" s="8">
        <f>1</f>
        <v>1</v>
      </c>
      <c r="CV3338" s="8">
        <f>0</f>
        <v>0</v>
      </c>
      <c r="CX3338" s="8">
        <f>1</f>
        <v>1</v>
      </c>
      <c r="CY3338" s="8">
        <f>1</f>
        <v>1</v>
      </c>
      <c r="CZ3338" s="8" t="s">
        <v>238</v>
      </c>
      <c r="DA3338" s="5" t="s">
        <v>238</v>
      </c>
      <c r="DB3338" s="5" t="s">
        <v>238</v>
      </c>
      <c r="DC3338" s="5" t="s">
        <v>238</v>
      </c>
      <c r="DD3338" s="5" t="s">
        <v>238</v>
      </c>
      <c r="DE3338" s="8">
        <f>0</f>
        <v>0</v>
      </c>
      <c r="DG3338" s="5" t="s">
        <v>238</v>
      </c>
      <c r="DH3338" s="5" t="s">
        <v>238</v>
      </c>
      <c r="DI3338" s="5" t="s">
        <v>238</v>
      </c>
      <c r="DJ3338" s="5" t="s">
        <v>238</v>
      </c>
      <c r="DK3338" s="5" t="s">
        <v>238</v>
      </c>
      <c r="DL3338" s="5" t="s">
        <v>238</v>
      </c>
      <c r="DM3338" s="8" t="s">
        <v>238</v>
      </c>
      <c r="DN3338" s="5" t="s">
        <v>238</v>
      </c>
      <c r="DO3338" s="5" t="s">
        <v>238</v>
      </c>
      <c r="DP3338" s="5" t="s">
        <v>490</v>
      </c>
      <c r="DQ3338" s="5" t="s">
        <v>490</v>
      </c>
      <c r="DR3338" s="5" t="s">
        <v>238</v>
      </c>
      <c r="DS3338" s="5" t="s">
        <v>238</v>
      </c>
      <c r="DT3338" s="5" t="s">
        <v>881</v>
      </c>
      <c r="DU3338" s="5" t="s">
        <v>1274</v>
      </c>
      <c r="DV3338" s="5" t="s">
        <v>238</v>
      </c>
      <c r="DW3338" s="5" t="s">
        <v>238</v>
      </c>
      <c r="DX3338" s="5" t="s">
        <v>238</v>
      </c>
      <c r="DY3338" s="5" t="s">
        <v>238</v>
      </c>
      <c r="DZ3338" s="5" t="s">
        <v>238</v>
      </c>
      <c r="EA3338" s="5" t="s">
        <v>238</v>
      </c>
      <c r="EB3338" s="5" t="s">
        <v>238</v>
      </c>
      <c r="EC3338" s="5" t="s">
        <v>238</v>
      </c>
      <c r="ED3338" s="5" t="s">
        <v>238</v>
      </c>
      <c r="EE3338" s="5" t="s">
        <v>238</v>
      </c>
      <c r="EF3338" s="5" t="s">
        <v>238</v>
      </c>
      <c r="EG3338" s="5" t="s">
        <v>238</v>
      </c>
      <c r="EH3338" s="5" t="s">
        <v>238</v>
      </c>
      <c r="EI3338" s="5" t="s">
        <v>238</v>
      </c>
      <c r="EJ3338" s="5" t="s">
        <v>238</v>
      </c>
      <c r="EK3338" s="5" t="s">
        <v>238</v>
      </c>
      <c r="EL3338" s="5" t="s">
        <v>238</v>
      </c>
      <c r="EM3338" s="5" t="s">
        <v>238</v>
      </c>
      <c r="EN3338" s="5" t="s">
        <v>238</v>
      </c>
      <c r="EO3338" s="5" t="s">
        <v>238</v>
      </c>
      <c r="EP3338" s="5" t="s">
        <v>238</v>
      </c>
      <c r="EQ3338" s="5" t="s">
        <v>238</v>
      </c>
      <c r="ER3338" s="5" t="s">
        <v>238</v>
      </c>
      <c r="ES3338" s="5" t="s">
        <v>238</v>
      </c>
      <c r="ET3338" s="5" t="s">
        <v>238</v>
      </c>
      <c r="EU3338" s="5" t="s">
        <v>238</v>
      </c>
      <c r="EV3338" s="5" t="s">
        <v>238</v>
      </c>
      <c r="EW3338" s="5" t="s">
        <v>238</v>
      </c>
      <c r="EX3338" s="5" t="s">
        <v>238</v>
      </c>
      <c r="EY3338" s="5" t="s">
        <v>238</v>
      </c>
      <c r="EZ3338" s="5" t="s">
        <v>238</v>
      </c>
      <c r="FA3338" s="5" t="s">
        <v>238</v>
      </c>
      <c r="FB3338" s="5" t="s">
        <v>238</v>
      </c>
      <c r="FC3338" s="5" t="s">
        <v>238</v>
      </c>
      <c r="FD3338" s="5" t="s">
        <v>238</v>
      </c>
      <c r="FE3338" s="5" t="s">
        <v>238</v>
      </c>
      <c r="FF3338" s="5" t="s">
        <v>238</v>
      </c>
      <c r="FG3338" s="5" t="s">
        <v>238</v>
      </c>
      <c r="FH3338" s="5" t="s">
        <v>238</v>
      </c>
      <c r="FI3338" s="5" t="s">
        <v>238</v>
      </c>
      <c r="FJ3338" s="5" t="s">
        <v>238</v>
      </c>
      <c r="FK3338" s="5" t="s">
        <v>238</v>
      </c>
      <c r="FL3338" s="5" t="s">
        <v>238</v>
      </c>
      <c r="FM3338" s="5" t="s">
        <v>238</v>
      </c>
      <c r="FN3338" s="5" t="s">
        <v>238</v>
      </c>
      <c r="FO3338" s="5" t="s">
        <v>238</v>
      </c>
      <c r="FP3338" s="5" t="s">
        <v>238</v>
      </c>
      <c r="FQ3338" s="5" t="s">
        <v>238</v>
      </c>
      <c r="FR3338" s="5" t="s">
        <v>238</v>
      </c>
      <c r="FS3338" s="5" t="s">
        <v>238</v>
      </c>
      <c r="FT3338" s="5" t="s">
        <v>238</v>
      </c>
      <c r="FU3338" s="5" t="s">
        <v>238</v>
      </c>
      <c r="FV3338" s="5" t="s">
        <v>238</v>
      </c>
      <c r="FW3338" s="5" t="s">
        <v>238</v>
      </c>
      <c r="FX3338" s="5" t="s">
        <v>238</v>
      </c>
      <c r="FY3338" s="5" t="s">
        <v>238</v>
      </c>
      <c r="FZ3338" s="5" t="s">
        <v>238</v>
      </c>
      <c r="GA3338" s="5" t="s">
        <v>238</v>
      </c>
      <c r="GB3338" s="5" t="s">
        <v>238</v>
      </c>
      <c r="GC3338" s="5" t="s">
        <v>238</v>
      </c>
      <c r="GD3338" s="5" t="s">
        <v>238</v>
      </c>
      <c r="GE3338" s="5" t="s">
        <v>238</v>
      </c>
      <c r="GF3338" s="5" t="s">
        <v>238</v>
      </c>
      <c r="GG3338" s="5" t="s">
        <v>238</v>
      </c>
      <c r="GH3338" s="5" t="s">
        <v>238</v>
      </c>
      <c r="GI3338" s="5" t="s">
        <v>238</v>
      </c>
      <c r="GJ3338" s="5" t="s">
        <v>238</v>
      </c>
      <c r="GK3338" s="5" t="s">
        <v>238</v>
      </c>
      <c r="GL3338" s="5" t="s">
        <v>238</v>
      </c>
      <c r="GM3338" s="5" t="s">
        <v>238</v>
      </c>
      <c r="GN3338" s="5" t="s">
        <v>238</v>
      </c>
      <c r="GO3338" s="5" t="s">
        <v>238</v>
      </c>
      <c r="GP3338" s="5" t="s">
        <v>238</v>
      </c>
      <c r="GQ3338" s="5" t="s">
        <v>238</v>
      </c>
      <c r="GR3338" s="5" t="s">
        <v>238</v>
      </c>
      <c r="GS3338" s="5" t="s">
        <v>238</v>
      </c>
      <c r="GT3338" s="5" t="s">
        <v>238</v>
      </c>
      <c r="GU3338" s="5" t="s">
        <v>238</v>
      </c>
      <c r="GV3338" s="5" t="s">
        <v>238</v>
      </c>
      <c r="GW3338" s="5" t="s">
        <v>238</v>
      </c>
      <c r="GX3338" s="5" t="s">
        <v>238</v>
      </c>
      <c r="GY3338" s="5" t="s">
        <v>238</v>
      </c>
      <c r="GZ3338" s="5" t="s">
        <v>238</v>
      </c>
      <c r="HA3338" s="5" t="s">
        <v>238</v>
      </c>
      <c r="HB3338" s="5" t="s">
        <v>238</v>
      </c>
      <c r="HC3338" s="5" t="s">
        <v>238</v>
      </c>
      <c r="HD3338" s="5" t="s">
        <v>238</v>
      </c>
      <c r="HE3338" s="5" t="s">
        <v>238</v>
      </c>
      <c r="HF3338" s="5" t="s">
        <v>238</v>
      </c>
      <c r="HG3338" s="5" t="s">
        <v>238</v>
      </c>
      <c r="HH3338" s="5" t="s">
        <v>238</v>
      </c>
      <c r="HI3338" s="5" t="s">
        <v>238</v>
      </c>
      <c r="HJ3338" s="5" t="s">
        <v>238</v>
      </c>
      <c r="HK3338" s="5" t="s">
        <v>238</v>
      </c>
      <c r="HL3338" s="5" t="s">
        <v>238</v>
      </c>
      <c r="HM3338" s="5" t="s">
        <v>264</v>
      </c>
      <c r="HN3338" s="5" t="s">
        <v>238</v>
      </c>
      <c r="HO3338" s="5" t="s">
        <v>238</v>
      </c>
      <c r="HP3338" s="5" t="s">
        <v>238</v>
      </c>
      <c r="HQ3338" s="5" t="s">
        <v>238</v>
      </c>
      <c r="HR3338" s="5" t="s">
        <v>238</v>
      </c>
      <c r="HS3338" s="5" t="s">
        <v>238</v>
      </c>
      <c r="HT3338" s="5" t="s">
        <v>238</v>
      </c>
      <c r="HU3338" s="5" t="s">
        <v>238</v>
      </c>
      <c r="HV3338" s="5" t="s">
        <v>238</v>
      </c>
      <c r="HW3338" s="5" t="s">
        <v>238</v>
      </c>
      <c r="HX3338" s="5" t="s">
        <v>238</v>
      </c>
      <c r="HY3338" s="5" t="s">
        <v>238</v>
      </c>
      <c r="HZ3338" s="5" t="s">
        <v>238</v>
      </c>
      <c r="IA3338" s="5" t="s">
        <v>238</v>
      </c>
      <c r="IB3338" s="5" t="s">
        <v>238</v>
      </c>
      <c r="IC3338" s="5" t="s">
        <v>238</v>
      </c>
      <c r="ID3338" s="5" t="s">
        <v>238</v>
      </c>
    </row>
    <row r="3339" spans="1:238" x14ac:dyDescent="0.4">
      <c r="A3339" s="5">
        <v>9057</v>
      </c>
      <c r="B3339" s="5">
        <v>1</v>
      </c>
      <c r="C3339" s="5">
        <v>1</v>
      </c>
      <c r="D3339" s="5" t="s">
        <v>484</v>
      </c>
      <c r="E3339" s="5" t="s">
        <v>878</v>
      </c>
      <c r="F3339" s="5" t="s">
        <v>248</v>
      </c>
      <c r="G3339" s="5" t="s">
        <v>4630</v>
      </c>
      <c r="H3339" s="6" t="s">
        <v>4631</v>
      </c>
      <c r="I3339" s="8">
        <f>1</f>
        <v>1</v>
      </c>
      <c r="J3339" s="5" t="s">
        <v>499</v>
      </c>
      <c r="K3339" s="8">
        <f>1</f>
        <v>1</v>
      </c>
      <c r="L3339" s="6" t="s">
        <v>242</v>
      </c>
      <c r="M3339" s="5" t="s">
        <v>267</v>
      </c>
      <c r="N3339" s="5" t="s">
        <v>482</v>
      </c>
      <c r="O3339" s="5" t="s">
        <v>238</v>
      </c>
      <c r="P3339" s="5" t="s">
        <v>238</v>
      </c>
      <c r="Q3339" s="5" t="s">
        <v>239</v>
      </c>
      <c r="R3339" s="5" t="s">
        <v>270</v>
      </c>
      <c r="S3339" s="5" t="s">
        <v>238</v>
      </c>
      <c r="T3339" s="5" t="s">
        <v>238</v>
      </c>
      <c r="U3339" s="5" t="s">
        <v>238</v>
      </c>
      <c r="V3339" s="5" t="s">
        <v>238</v>
      </c>
      <c r="W3339" s="6" t="s">
        <v>238</v>
      </c>
      <c r="X3339" s="6" t="s">
        <v>238</v>
      </c>
      <c r="Y3339" s="5" t="s">
        <v>238</v>
      </c>
      <c r="Z3339" s="6" t="s">
        <v>238</v>
      </c>
      <c r="AA3339" s="6" t="s">
        <v>243</v>
      </c>
      <c r="AB3339" s="5" t="s">
        <v>879</v>
      </c>
      <c r="AC3339" s="5" t="s">
        <v>244</v>
      </c>
      <c r="AD3339" s="5" t="s">
        <v>245</v>
      </c>
      <c r="AE3339" s="5" t="s">
        <v>238</v>
      </c>
      <c r="AF3339" s="5" t="s">
        <v>238</v>
      </c>
      <c r="AG3339" s="5" t="s">
        <v>238</v>
      </c>
      <c r="AH3339" s="5" t="s">
        <v>238</v>
      </c>
      <c r="AI3339" s="5" t="s">
        <v>238</v>
      </c>
      <c r="AJ3339" s="5" t="s">
        <v>238</v>
      </c>
      <c r="AK3339" s="5" t="s">
        <v>238</v>
      </c>
      <c r="AL3339" s="5" t="s">
        <v>238</v>
      </c>
      <c r="AM3339" s="6" t="s">
        <v>238</v>
      </c>
      <c r="AN3339" s="6" t="s">
        <v>238</v>
      </c>
      <c r="AO3339" s="6" t="s">
        <v>238</v>
      </c>
      <c r="AP3339" s="6" t="s">
        <v>238</v>
      </c>
      <c r="AQ3339" s="5" t="s">
        <v>238</v>
      </c>
      <c r="AR3339" s="5" t="s">
        <v>488</v>
      </c>
      <c r="AS3339" s="5" t="s">
        <v>488</v>
      </c>
      <c r="AT3339" s="5" t="s">
        <v>246</v>
      </c>
      <c r="AU3339" s="5" t="s">
        <v>489</v>
      </c>
      <c r="AV3339" s="5" t="s">
        <v>247</v>
      </c>
      <c r="AW3339" s="5" t="s">
        <v>238</v>
      </c>
      <c r="AX3339" s="5" t="s">
        <v>249</v>
      </c>
      <c r="AY3339" s="5" t="s">
        <v>490</v>
      </c>
      <c r="BA3339" s="5" t="s">
        <v>238</v>
      </c>
      <c r="BC3339" s="5" t="s">
        <v>491</v>
      </c>
      <c r="BD3339" s="6" t="s">
        <v>492</v>
      </c>
      <c r="BE3339" s="5" t="s">
        <v>493</v>
      </c>
      <c r="BF3339" s="5" t="s">
        <v>493</v>
      </c>
      <c r="BG3339" s="5" t="s">
        <v>238</v>
      </c>
      <c r="BH3339" s="8">
        <f>1</f>
        <v>1</v>
      </c>
      <c r="BI3339" s="8">
        <f>1</f>
        <v>1</v>
      </c>
      <c r="BJ3339" s="5" t="s">
        <v>253</v>
      </c>
      <c r="BK3339" s="5" t="s">
        <v>254</v>
      </c>
      <c r="BL3339" s="5" t="s">
        <v>238</v>
      </c>
      <c r="BM3339" s="5" t="s">
        <v>238</v>
      </c>
      <c r="BN3339" s="5" t="s">
        <v>238</v>
      </c>
      <c r="BO3339" s="5" t="s">
        <v>238</v>
      </c>
      <c r="BP3339" s="5" t="s">
        <v>238</v>
      </c>
      <c r="BQ3339" s="5" t="s">
        <v>238</v>
      </c>
      <c r="BR3339" s="5" t="s">
        <v>238</v>
      </c>
      <c r="BS3339" s="5" t="s">
        <v>238</v>
      </c>
      <c r="BT3339" s="6" t="s">
        <v>238</v>
      </c>
      <c r="BU3339" s="5" t="s">
        <v>238</v>
      </c>
      <c r="BV3339" s="5" t="s">
        <v>238</v>
      </c>
      <c r="BW3339" s="5" t="s">
        <v>238</v>
      </c>
      <c r="BX3339" s="5" t="s">
        <v>254</v>
      </c>
      <c r="BY3339" s="5" t="s">
        <v>238</v>
      </c>
      <c r="BZ3339" s="5" t="s">
        <v>238</v>
      </c>
      <c r="CA3339" s="5" t="s">
        <v>238</v>
      </c>
      <c r="CB3339" s="5" t="s">
        <v>238</v>
      </c>
      <c r="CC3339" s="5" t="s">
        <v>238</v>
      </c>
      <c r="CD3339" s="5" t="s">
        <v>273</v>
      </c>
      <c r="CE3339" s="5" t="s">
        <v>256</v>
      </c>
      <c r="CF3339" s="5" t="s">
        <v>238</v>
      </c>
      <c r="CH3339" s="5" t="s">
        <v>494</v>
      </c>
      <c r="CI3339" s="6" t="s">
        <v>257</v>
      </c>
      <c r="CJ3339" s="5" t="s">
        <v>495</v>
      </c>
      <c r="CK3339" s="5" t="s">
        <v>258</v>
      </c>
      <c r="CL3339" s="5" t="s">
        <v>496</v>
      </c>
      <c r="CM3339" s="5" t="s">
        <v>238</v>
      </c>
      <c r="CN3339" s="5">
        <v>0</v>
      </c>
      <c r="CO3339" s="5" t="s">
        <v>497</v>
      </c>
      <c r="CP3339" s="5" t="s">
        <v>260</v>
      </c>
      <c r="CQ3339" s="5" t="s">
        <v>260</v>
      </c>
      <c r="CR3339" s="5" t="s">
        <v>261</v>
      </c>
      <c r="CS3339" s="5" t="s">
        <v>498</v>
      </c>
      <c r="CT3339" s="7">
        <f>1</f>
        <v>1</v>
      </c>
      <c r="CU3339" s="8">
        <f>1</f>
        <v>1</v>
      </c>
      <c r="CV3339" s="8">
        <f>0</f>
        <v>0</v>
      </c>
      <c r="CX3339" s="8">
        <f>1</f>
        <v>1</v>
      </c>
      <c r="CY3339" s="8">
        <f>1</f>
        <v>1</v>
      </c>
      <c r="CZ3339" s="8" t="s">
        <v>238</v>
      </c>
      <c r="DA3339" s="5" t="s">
        <v>238</v>
      </c>
      <c r="DB3339" s="5" t="s">
        <v>238</v>
      </c>
      <c r="DC3339" s="5" t="s">
        <v>238</v>
      </c>
      <c r="DD3339" s="5" t="s">
        <v>238</v>
      </c>
      <c r="DE3339" s="8">
        <f>0</f>
        <v>0</v>
      </c>
      <c r="DG3339" s="5" t="s">
        <v>238</v>
      </c>
      <c r="DH3339" s="5" t="s">
        <v>238</v>
      </c>
      <c r="DI3339" s="5" t="s">
        <v>238</v>
      </c>
      <c r="DJ3339" s="5" t="s">
        <v>238</v>
      </c>
      <c r="DK3339" s="5" t="s">
        <v>238</v>
      </c>
      <c r="DL3339" s="5" t="s">
        <v>238</v>
      </c>
      <c r="DM3339" s="8" t="s">
        <v>238</v>
      </c>
      <c r="DN3339" s="5" t="s">
        <v>238</v>
      </c>
      <c r="DO3339" s="5" t="s">
        <v>238</v>
      </c>
      <c r="DP3339" s="5" t="s">
        <v>490</v>
      </c>
      <c r="DQ3339" s="5" t="s">
        <v>490</v>
      </c>
      <c r="DR3339" s="5" t="s">
        <v>238</v>
      </c>
      <c r="DS3339" s="5" t="s">
        <v>238</v>
      </c>
      <c r="DT3339" s="5" t="s">
        <v>881</v>
      </c>
      <c r="DU3339" s="5" t="s">
        <v>1276</v>
      </c>
      <c r="DV3339" s="5" t="s">
        <v>238</v>
      </c>
      <c r="DW3339" s="5" t="s">
        <v>238</v>
      </c>
      <c r="DX3339" s="5" t="s">
        <v>238</v>
      </c>
      <c r="DY3339" s="5" t="s">
        <v>238</v>
      </c>
      <c r="DZ3339" s="5" t="s">
        <v>238</v>
      </c>
      <c r="EA3339" s="5" t="s">
        <v>238</v>
      </c>
      <c r="EB3339" s="5" t="s">
        <v>238</v>
      </c>
      <c r="EC3339" s="5" t="s">
        <v>238</v>
      </c>
      <c r="ED3339" s="5" t="s">
        <v>238</v>
      </c>
      <c r="EE3339" s="5" t="s">
        <v>238</v>
      </c>
      <c r="EF3339" s="5" t="s">
        <v>238</v>
      </c>
      <c r="EG3339" s="5" t="s">
        <v>238</v>
      </c>
      <c r="EH3339" s="5" t="s">
        <v>238</v>
      </c>
      <c r="EI3339" s="5" t="s">
        <v>238</v>
      </c>
      <c r="EJ3339" s="5" t="s">
        <v>238</v>
      </c>
      <c r="EK3339" s="5" t="s">
        <v>238</v>
      </c>
      <c r="EL3339" s="5" t="s">
        <v>238</v>
      </c>
      <c r="EM3339" s="5" t="s">
        <v>238</v>
      </c>
      <c r="EN3339" s="5" t="s">
        <v>238</v>
      </c>
      <c r="EO3339" s="5" t="s">
        <v>238</v>
      </c>
      <c r="EP3339" s="5" t="s">
        <v>238</v>
      </c>
      <c r="EQ3339" s="5" t="s">
        <v>238</v>
      </c>
      <c r="ER3339" s="5" t="s">
        <v>238</v>
      </c>
      <c r="ES3339" s="5" t="s">
        <v>238</v>
      </c>
      <c r="ET3339" s="5" t="s">
        <v>238</v>
      </c>
      <c r="EU3339" s="5" t="s">
        <v>238</v>
      </c>
      <c r="EV3339" s="5" t="s">
        <v>238</v>
      </c>
      <c r="EW3339" s="5" t="s">
        <v>238</v>
      </c>
      <c r="EX3339" s="5" t="s">
        <v>238</v>
      </c>
      <c r="EY3339" s="5" t="s">
        <v>238</v>
      </c>
      <c r="EZ3339" s="5" t="s">
        <v>238</v>
      </c>
      <c r="FA3339" s="5" t="s">
        <v>238</v>
      </c>
      <c r="FB3339" s="5" t="s">
        <v>238</v>
      </c>
      <c r="FC3339" s="5" t="s">
        <v>238</v>
      </c>
      <c r="FD3339" s="5" t="s">
        <v>238</v>
      </c>
      <c r="FE3339" s="5" t="s">
        <v>238</v>
      </c>
      <c r="FF3339" s="5" t="s">
        <v>238</v>
      </c>
      <c r="FG3339" s="5" t="s">
        <v>238</v>
      </c>
      <c r="FH3339" s="5" t="s">
        <v>238</v>
      </c>
      <c r="FI3339" s="5" t="s">
        <v>238</v>
      </c>
      <c r="FJ3339" s="5" t="s">
        <v>238</v>
      </c>
      <c r="FK3339" s="5" t="s">
        <v>238</v>
      </c>
      <c r="FL3339" s="5" t="s">
        <v>238</v>
      </c>
      <c r="FM3339" s="5" t="s">
        <v>238</v>
      </c>
      <c r="FN3339" s="5" t="s">
        <v>238</v>
      </c>
      <c r="FO3339" s="5" t="s">
        <v>238</v>
      </c>
      <c r="FP3339" s="5" t="s">
        <v>238</v>
      </c>
      <c r="FQ3339" s="5" t="s">
        <v>238</v>
      </c>
      <c r="FR3339" s="5" t="s">
        <v>238</v>
      </c>
      <c r="FS3339" s="5" t="s">
        <v>238</v>
      </c>
      <c r="FT3339" s="5" t="s">
        <v>238</v>
      </c>
      <c r="FU3339" s="5" t="s">
        <v>238</v>
      </c>
      <c r="FV3339" s="5" t="s">
        <v>238</v>
      </c>
      <c r="FW3339" s="5" t="s">
        <v>238</v>
      </c>
      <c r="FX3339" s="5" t="s">
        <v>238</v>
      </c>
      <c r="FY3339" s="5" t="s">
        <v>238</v>
      </c>
      <c r="FZ3339" s="5" t="s">
        <v>238</v>
      </c>
      <c r="GA3339" s="5" t="s">
        <v>238</v>
      </c>
      <c r="GB3339" s="5" t="s">
        <v>238</v>
      </c>
      <c r="GC3339" s="5" t="s">
        <v>238</v>
      </c>
      <c r="GD3339" s="5" t="s">
        <v>238</v>
      </c>
      <c r="GE3339" s="5" t="s">
        <v>238</v>
      </c>
      <c r="GF3339" s="5" t="s">
        <v>238</v>
      </c>
      <c r="GG3339" s="5" t="s">
        <v>238</v>
      </c>
      <c r="GH3339" s="5" t="s">
        <v>238</v>
      </c>
      <c r="GI3339" s="5" t="s">
        <v>238</v>
      </c>
      <c r="GJ3339" s="5" t="s">
        <v>238</v>
      </c>
      <c r="GK3339" s="5" t="s">
        <v>238</v>
      </c>
      <c r="GL3339" s="5" t="s">
        <v>238</v>
      </c>
      <c r="GM3339" s="5" t="s">
        <v>238</v>
      </c>
      <c r="GN3339" s="5" t="s">
        <v>238</v>
      </c>
      <c r="GO3339" s="5" t="s">
        <v>238</v>
      </c>
      <c r="GP3339" s="5" t="s">
        <v>238</v>
      </c>
      <c r="GQ3339" s="5" t="s">
        <v>238</v>
      </c>
      <c r="GR3339" s="5" t="s">
        <v>238</v>
      </c>
      <c r="GS3339" s="5" t="s">
        <v>238</v>
      </c>
      <c r="GT3339" s="5" t="s">
        <v>238</v>
      </c>
      <c r="GU3339" s="5" t="s">
        <v>238</v>
      </c>
      <c r="GV3339" s="5" t="s">
        <v>238</v>
      </c>
      <c r="GW3339" s="5" t="s">
        <v>238</v>
      </c>
      <c r="GX3339" s="5" t="s">
        <v>238</v>
      </c>
      <c r="GY3339" s="5" t="s">
        <v>238</v>
      </c>
      <c r="GZ3339" s="5" t="s">
        <v>238</v>
      </c>
      <c r="HA3339" s="5" t="s">
        <v>238</v>
      </c>
      <c r="HB3339" s="5" t="s">
        <v>238</v>
      </c>
      <c r="HC3339" s="5" t="s">
        <v>238</v>
      </c>
      <c r="HD3339" s="5" t="s">
        <v>238</v>
      </c>
      <c r="HE3339" s="5" t="s">
        <v>238</v>
      </c>
      <c r="HF3339" s="5" t="s">
        <v>238</v>
      </c>
      <c r="HG3339" s="5" t="s">
        <v>238</v>
      </c>
      <c r="HH3339" s="5" t="s">
        <v>238</v>
      </c>
      <c r="HI3339" s="5" t="s">
        <v>238</v>
      </c>
      <c r="HJ3339" s="5" t="s">
        <v>238</v>
      </c>
      <c r="HK3339" s="5" t="s">
        <v>238</v>
      </c>
      <c r="HL3339" s="5" t="s">
        <v>238</v>
      </c>
      <c r="HM3339" s="5" t="s">
        <v>264</v>
      </c>
      <c r="HN3339" s="5" t="s">
        <v>238</v>
      </c>
      <c r="HO3339" s="5" t="s">
        <v>238</v>
      </c>
      <c r="HP3339" s="5" t="s">
        <v>238</v>
      </c>
      <c r="HQ3339" s="5" t="s">
        <v>238</v>
      </c>
      <c r="HR3339" s="5" t="s">
        <v>238</v>
      </c>
      <c r="HS3339" s="5" t="s">
        <v>238</v>
      </c>
      <c r="HT3339" s="5" t="s">
        <v>238</v>
      </c>
      <c r="HU3339" s="5" t="s">
        <v>238</v>
      </c>
      <c r="HV3339" s="5" t="s">
        <v>238</v>
      </c>
      <c r="HW3339" s="5" t="s">
        <v>238</v>
      </c>
      <c r="HX3339" s="5" t="s">
        <v>238</v>
      </c>
      <c r="HY3339" s="5" t="s">
        <v>238</v>
      </c>
      <c r="HZ3339" s="5" t="s">
        <v>238</v>
      </c>
      <c r="IA3339" s="5" t="s">
        <v>238</v>
      </c>
      <c r="IB3339" s="5" t="s">
        <v>238</v>
      </c>
      <c r="IC3339" s="5" t="s">
        <v>238</v>
      </c>
      <c r="ID3339" s="5" t="s">
        <v>238</v>
      </c>
    </row>
    <row r="3340" spans="1:238" x14ac:dyDescent="0.4">
      <c r="A3340" s="5">
        <v>9058</v>
      </c>
      <c r="B3340" s="5">
        <v>1</v>
      </c>
      <c r="C3340" s="5">
        <v>1</v>
      </c>
      <c r="D3340" s="5" t="s">
        <v>484</v>
      </c>
      <c r="E3340" s="5" t="s">
        <v>878</v>
      </c>
      <c r="F3340" s="5" t="s">
        <v>248</v>
      </c>
      <c r="G3340" s="5" t="s">
        <v>3921</v>
      </c>
      <c r="H3340" s="6" t="s">
        <v>3922</v>
      </c>
      <c r="I3340" s="8">
        <f>1</f>
        <v>1</v>
      </c>
      <c r="J3340" s="5" t="s">
        <v>499</v>
      </c>
      <c r="K3340" s="8">
        <f>1</f>
        <v>1</v>
      </c>
      <c r="L3340" s="6" t="s">
        <v>242</v>
      </c>
      <c r="M3340" s="5" t="s">
        <v>267</v>
      </c>
      <c r="N3340" s="5" t="s">
        <v>482</v>
      </c>
      <c r="O3340" s="5" t="s">
        <v>238</v>
      </c>
      <c r="P3340" s="5" t="s">
        <v>238</v>
      </c>
      <c r="Q3340" s="5" t="s">
        <v>239</v>
      </c>
      <c r="R3340" s="5" t="s">
        <v>270</v>
      </c>
      <c r="S3340" s="5" t="s">
        <v>238</v>
      </c>
      <c r="T3340" s="5" t="s">
        <v>238</v>
      </c>
      <c r="U3340" s="5" t="s">
        <v>238</v>
      </c>
      <c r="V3340" s="5" t="s">
        <v>238</v>
      </c>
      <c r="W3340" s="6" t="s">
        <v>238</v>
      </c>
      <c r="X3340" s="6" t="s">
        <v>238</v>
      </c>
      <c r="Y3340" s="5" t="s">
        <v>238</v>
      </c>
      <c r="Z3340" s="6" t="s">
        <v>238</v>
      </c>
      <c r="AA3340" s="6" t="s">
        <v>243</v>
      </c>
      <c r="AB3340" s="5" t="s">
        <v>879</v>
      </c>
      <c r="AC3340" s="5" t="s">
        <v>244</v>
      </c>
      <c r="AD3340" s="5" t="s">
        <v>245</v>
      </c>
      <c r="AE3340" s="5" t="s">
        <v>238</v>
      </c>
      <c r="AF3340" s="5" t="s">
        <v>238</v>
      </c>
      <c r="AG3340" s="5" t="s">
        <v>238</v>
      </c>
      <c r="AH3340" s="5" t="s">
        <v>238</v>
      </c>
      <c r="AI3340" s="5" t="s">
        <v>238</v>
      </c>
      <c r="AJ3340" s="5" t="s">
        <v>238</v>
      </c>
      <c r="AK3340" s="5" t="s">
        <v>238</v>
      </c>
      <c r="AL3340" s="5" t="s">
        <v>238</v>
      </c>
      <c r="AM3340" s="6" t="s">
        <v>238</v>
      </c>
      <c r="AN3340" s="6" t="s">
        <v>238</v>
      </c>
      <c r="AO3340" s="6" t="s">
        <v>238</v>
      </c>
      <c r="AP3340" s="6" t="s">
        <v>238</v>
      </c>
      <c r="AQ3340" s="5" t="s">
        <v>238</v>
      </c>
      <c r="AR3340" s="5" t="s">
        <v>488</v>
      </c>
      <c r="AS3340" s="5" t="s">
        <v>488</v>
      </c>
      <c r="AT3340" s="5" t="s">
        <v>246</v>
      </c>
      <c r="AU3340" s="5" t="s">
        <v>489</v>
      </c>
      <c r="AV3340" s="5" t="s">
        <v>247</v>
      </c>
      <c r="AW3340" s="5" t="s">
        <v>238</v>
      </c>
      <c r="AX3340" s="5" t="s">
        <v>249</v>
      </c>
      <c r="AY3340" s="5" t="s">
        <v>490</v>
      </c>
      <c r="BA3340" s="5" t="s">
        <v>238</v>
      </c>
      <c r="BC3340" s="5" t="s">
        <v>491</v>
      </c>
      <c r="BD3340" s="6" t="s">
        <v>492</v>
      </c>
      <c r="BE3340" s="5" t="s">
        <v>493</v>
      </c>
      <c r="BF3340" s="5" t="s">
        <v>493</v>
      </c>
      <c r="BG3340" s="5" t="s">
        <v>238</v>
      </c>
      <c r="BH3340" s="8">
        <f>1</f>
        <v>1</v>
      </c>
      <c r="BI3340" s="8">
        <f>1</f>
        <v>1</v>
      </c>
      <c r="BJ3340" s="5" t="s">
        <v>253</v>
      </c>
      <c r="BK3340" s="5" t="s">
        <v>254</v>
      </c>
      <c r="BL3340" s="5" t="s">
        <v>238</v>
      </c>
      <c r="BM3340" s="5" t="s">
        <v>238</v>
      </c>
      <c r="BN3340" s="5" t="s">
        <v>238</v>
      </c>
      <c r="BO3340" s="5" t="s">
        <v>238</v>
      </c>
      <c r="BP3340" s="5" t="s">
        <v>238</v>
      </c>
      <c r="BQ3340" s="5" t="s">
        <v>238</v>
      </c>
      <c r="BR3340" s="5" t="s">
        <v>238</v>
      </c>
      <c r="BS3340" s="5" t="s">
        <v>238</v>
      </c>
      <c r="BT3340" s="6" t="s">
        <v>238</v>
      </c>
      <c r="BU3340" s="5" t="s">
        <v>238</v>
      </c>
      <c r="BV3340" s="5" t="s">
        <v>238</v>
      </c>
      <c r="BW3340" s="5" t="s">
        <v>238</v>
      </c>
      <c r="BX3340" s="5" t="s">
        <v>254</v>
      </c>
      <c r="BY3340" s="5" t="s">
        <v>238</v>
      </c>
      <c r="BZ3340" s="5" t="s">
        <v>238</v>
      </c>
      <c r="CA3340" s="5" t="s">
        <v>238</v>
      </c>
      <c r="CB3340" s="5" t="s">
        <v>238</v>
      </c>
      <c r="CC3340" s="5" t="s">
        <v>238</v>
      </c>
      <c r="CD3340" s="5" t="s">
        <v>273</v>
      </c>
      <c r="CE3340" s="5" t="s">
        <v>256</v>
      </c>
      <c r="CF3340" s="5" t="s">
        <v>238</v>
      </c>
      <c r="CH3340" s="5" t="s">
        <v>494</v>
      </c>
      <c r="CI3340" s="6" t="s">
        <v>257</v>
      </c>
      <c r="CJ3340" s="5" t="s">
        <v>495</v>
      </c>
      <c r="CK3340" s="5" t="s">
        <v>258</v>
      </c>
      <c r="CL3340" s="5" t="s">
        <v>496</v>
      </c>
      <c r="CM3340" s="5" t="s">
        <v>238</v>
      </c>
      <c r="CN3340" s="5">
        <v>0</v>
      </c>
      <c r="CO3340" s="5" t="s">
        <v>497</v>
      </c>
      <c r="CP3340" s="5" t="s">
        <v>260</v>
      </c>
      <c r="CQ3340" s="5" t="s">
        <v>260</v>
      </c>
      <c r="CR3340" s="5" t="s">
        <v>261</v>
      </c>
      <c r="CS3340" s="5" t="s">
        <v>498</v>
      </c>
      <c r="CT3340" s="7">
        <f>1</f>
        <v>1</v>
      </c>
      <c r="CU3340" s="8">
        <f>1</f>
        <v>1</v>
      </c>
      <c r="CV3340" s="8">
        <f>0</f>
        <v>0</v>
      </c>
      <c r="CX3340" s="8">
        <f>1</f>
        <v>1</v>
      </c>
      <c r="CY3340" s="8">
        <f>1</f>
        <v>1</v>
      </c>
      <c r="CZ3340" s="8" t="s">
        <v>238</v>
      </c>
      <c r="DA3340" s="5" t="s">
        <v>238</v>
      </c>
      <c r="DB3340" s="5" t="s">
        <v>238</v>
      </c>
      <c r="DC3340" s="5" t="s">
        <v>238</v>
      </c>
      <c r="DD3340" s="5" t="s">
        <v>238</v>
      </c>
      <c r="DE3340" s="8">
        <f>0</f>
        <v>0</v>
      </c>
      <c r="DG3340" s="5" t="s">
        <v>238</v>
      </c>
      <c r="DH3340" s="5" t="s">
        <v>238</v>
      </c>
      <c r="DI3340" s="5" t="s">
        <v>238</v>
      </c>
      <c r="DJ3340" s="5" t="s">
        <v>238</v>
      </c>
      <c r="DK3340" s="5" t="s">
        <v>238</v>
      </c>
      <c r="DL3340" s="5" t="s">
        <v>238</v>
      </c>
      <c r="DM3340" s="8" t="s">
        <v>238</v>
      </c>
      <c r="DN3340" s="5" t="s">
        <v>238</v>
      </c>
      <c r="DO3340" s="5" t="s">
        <v>238</v>
      </c>
      <c r="DP3340" s="5" t="s">
        <v>490</v>
      </c>
      <c r="DQ3340" s="5" t="s">
        <v>490</v>
      </c>
      <c r="DR3340" s="5" t="s">
        <v>238</v>
      </c>
      <c r="DS3340" s="5" t="s">
        <v>238</v>
      </c>
      <c r="DT3340" s="5" t="s">
        <v>881</v>
      </c>
      <c r="DU3340" s="5" t="s">
        <v>1122</v>
      </c>
      <c r="DV3340" s="5" t="s">
        <v>238</v>
      </c>
      <c r="DW3340" s="5" t="s">
        <v>238</v>
      </c>
      <c r="DX3340" s="5" t="s">
        <v>238</v>
      </c>
      <c r="DY3340" s="5" t="s">
        <v>238</v>
      </c>
      <c r="DZ3340" s="5" t="s">
        <v>238</v>
      </c>
      <c r="EA3340" s="5" t="s">
        <v>238</v>
      </c>
      <c r="EB3340" s="5" t="s">
        <v>238</v>
      </c>
      <c r="EC3340" s="5" t="s">
        <v>238</v>
      </c>
      <c r="ED3340" s="5" t="s">
        <v>238</v>
      </c>
      <c r="EE3340" s="5" t="s">
        <v>238</v>
      </c>
      <c r="EF3340" s="5" t="s">
        <v>238</v>
      </c>
      <c r="EG3340" s="5" t="s">
        <v>238</v>
      </c>
      <c r="EH3340" s="5" t="s">
        <v>238</v>
      </c>
      <c r="EI3340" s="5" t="s">
        <v>238</v>
      </c>
      <c r="EJ3340" s="5" t="s">
        <v>238</v>
      </c>
      <c r="EK3340" s="5" t="s">
        <v>238</v>
      </c>
      <c r="EL3340" s="5" t="s">
        <v>238</v>
      </c>
      <c r="EM3340" s="5" t="s">
        <v>238</v>
      </c>
      <c r="EN3340" s="5" t="s">
        <v>238</v>
      </c>
      <c r="EO3340" s="5" t="s">
        <v>238</v>
      </c>
      <c r="EP3340" s="5" t="s">
        <v>238</v>
      </c>
      <c r="EQ3340" s="5" t="s">
        <v>238</v>
      </c>
      <c r="ER3340" s="5" t="s">
        <v>238</v>
      </c>
      <c r="ES3340" s="5" t="s">
        <v>238</v>
      </c>
      <c r="ET3340" s="5" t="s">
        <v>238</v>
      </c>
      <c r="EU3340" s="5" t="s">
        <v>238</v>
      </c>
      <c r="EV3340" s="5" t="s">
        <v>238</v>
      </c>
      <c r="EW3340" s="5" t="s">
        <v>238</v>
      </c>
      <c r="EX3340" s="5" t="s">
        <v>238</v>
      </c>
      <c r="EY3340" s="5" t="s">
        <v>238</v>
      </c>
      <c r="EZ3340" s="5" t="s">
        <v>238</v>
      </c>
      <c r="FA3340" s="5" t="s">
        <v>238</v>
      </c>
      <c r="FB3340" s="5" t="s">
        <v>238</v>
      </c>
      <c r="FC3340" s="5" t="s">
        <v>238</v>
      </c>
      <c r="FD3340" s="5" t="s">
        <v>238</v>
      </c>
      <c r="FE3340" s="5" t="s">
        <v>238</v>
      </c>
      <c r="FF3340" s="5" t="s">
        <v>238</v>
      </c>
      <c r="FG3340" s="5" t="s">
        <v>238</v>
      </c>
      <c r="FH3340" s="5" t="s">
        <v>238</v>
      </c>
      <c r="FI3340" s="5" t="s">
        <v>238</v>
      </c>
      <c r="FJ3340" s="5" t="s">
        <v>238</v>
      </c>
      <c r="FK3340" s="5" t="s">
        <v>238</v>
      </c>
      <c r="FL3340" s="5" t="s">
        <v>238</v>
      </c>
      <c r="FM3340" s="5" t="s">
        <v>238</v>
      </c>
      <c r="FN3340" s="5" t="s">
        <v>238</v>
      </c>
      <c r="FO3340" s="5" t="s">
        <v>238</v>
      </c>
      <c r="FP3340" s="5" t="s">
        <v>238</v>
      </c>
      <c r="FQ3340" s="5" t="s">
        <v>238</v>
      </c>
      <c r="FR3340" s="5" t="s">
        <v>238</v>
      </c>
      <c r="FS3340" s="5" t="s">
        <v>238</v>
      </c>
      <c r="FT3340" s="5" t="s">
        <v>238</v>
      </c>
      <c r="FU3340" s="5" t="s">
        <v>238</v>
      </c>
      <c r="FV3340" s="5" t="s">
        <v>238</v>
      </c>
      <c r="FW3340" s="5" t="s">
        <v>238</v>
      </c>
      <c r="FX3340" s="5" t="s">
        <v>238</v>
      </c>
      <c r="FY3340" s="5" t="s">
        <v>238</v>
      </c>
      <c r="FZ3340" s="5" t="s">
        <v>238</v>
      </c>
      <c r="GA3340" s="5" t="s">
        <v>238</v>
      </c>
      <c r="GB3340" s="5" t="s">
        <v>238</v>
      </c>
      <c r="GC3340" s="5" t="s">
        <v>238</v>
      </c>
      <c r="GD3340" s="5" t="s">
        <v>238</v>
      </c>
      <c r="GE3340" s="5" t="s">
        <v>238</v>
      </c>
      <c r="GF3340" s="5" t="s">
        <v>238</v>
      </c>
      <c r="GG3340" s="5" t="s">
        <v>238</v>
      </c>
      <c r="GH3340" s="5" t="s">
        <v>238</v>
      </c>
      <c r="GI3340" s="5" t="s">
        <v>238</v>
      </c>
      <c r="GJ3340" s="5" t="s">
        <v>238</v>
      </c>
      <c r="GK3340" s="5" t="s">
        <v>238</v>
      </c>
      <c r="GL3340" s="5" t="s">
        <v>238</v>
      </c>
      <c r="GM3340" s="5" t="s">
        <v>238</v>
      </c>
      <c r="GN3340" s="5" t="s">
        <v>238</v>
      </c>
      <c r="GO3340" s="5" t="s">
        <v>238</v>
      </c>
      <c r="GP3340" s="5" t="s">
        <v>238</v>
      </c>
      <c r="GQ3340" s="5" t="s">
        <v>238</v>
      </c>
      <c r="GR3340" s="5" t="s">
        <v>238</v>
      </c>
      <c r="GS3340" s="5" t="s">
        <v>238</v>
      </c>
      <c r="GT3340" s="5" t="s">
        <v>238</v>
      </c>
      <c r="GU3340" s="5" t="s">
        <v>238</v>
      </c>
      <c r="GV3340" s="5" t="s">
        <v>238</v>
      </c>
      <c r="GW3340" s="5" t="s">
        <v>238</v>
      </c>
      <c r="GX3340" s="5" t="s">
        <v>238</v>
      </c>
      <c r="GY3340" s="5" t="s">
        <v>238</v>
      </c>
      <c r="GZ3340" s="5" t="s">
        <v>238</v>
      </c>
      <c r="HA3340" s="5" t="s">
        <v>238</v>
      </c>
      <c r="HB3340" s="5" t="s">
        <v>238</v>
      </c>
      <c r="HC3340" s="5" t="s">
        <v>238</v>
      </c>
      <c r="HD3340" s="5" t="s">
        <v>238</v>
      </c>
      <c r="HE3340" s="5" t="s">
        <v>238</v>
      </c>
      <c r="HF3340" s="5" t="s">
        <v>238</v>
      </c>
      <c r="HG3340" s="5" t="s">
        <v>238</v>
      </c>
      <c r="HH3340" s="5" t="s">
        <v>238</v>
      </c>
      <c r="HI3340" s="5" t="s">
        <v>238</v>
      </c>
      <c r="HJ3340" s="5" t="s">
        <v>238</v>
      </c>
      <c r="HK3340" s="5" t="s">
        <v>238</v>
      </c>
      <c r="HL3340" s="5" t="s">
        <v>238</v>
      </c>
      <c r="HM3340" s="5" t="s">
        <v>264</v>
      </c>
      <c r="HN3340" s="5" t="s">
        <v>238</v>
      </c>
      <c r="HO3340" s="5" t="s">
        <v>238</v>
      </c>
      <c r="HP3340" s="5" t="s">
        <v>238</v>
      </c>
      <c r="HQ3340" s="5" t="s">
        <v>238</v>
      </c>
      <c r="HR3340" s="5" t="s">
        <v>238</v>
      </c>
      <c r="HS3340" s="5" t="s">
        <v>238</v>
      </c>
      <c r="HT3340" s="5" t="s">
        <v>238</v>
      </c>
      <c r="HU3340" s="5" t="s">
        <v>238</v>
      </c>
      <c r="HV3340" s="5" t="s">
        <v>238</v>
      </c>
      <c r="HW3340" s="5" t="s">
        <v>238</v>
      </c>
      <c r="HX3340" s="5" t="s">
        <v>238</v>
      </c>
      <c r="HY3340" s="5" t="s">
        <v>238</v>
      </c>
      <c r="HZ3340" s="5" t="s">
        <v>238</v>
      </c>
      <c r="IA3340" s="5" t="s">
        <v>238</v>
      </c>
      <c r="IB3340" s="5" t="s">
        <v>238</v>
      </c>
      <c r="IC3340" s="5" t="s">
        <v>238</v>
      </c>
      <c r="ID3340" s="5" t="s">
        <v>238</v>
      </c>
    </row>
    <row r="3341" spans="1:238" x14ac:dyDescent="0.4">
      <c r="A3341" s="5">
        <v>9059</v>
      </c>
      <c r="B3341" s="5">
        <v>1</v>
      </c>
      <c r="C3341" s="5">
        <v>1</v>
      </c>
      <c r="D3341" s="5" t="s">
        <v>484</v>
      </c>
      <c r="E3341" s="5" t="s">
        <v>878</v>
      </c>
      <c r="F3341" s="5" t="s">
        <v>248</v>
      </c>
      <c r="G3341" s="5" t="s">
        <v>4624</v>
      </c>
      <c r="H3341" s="6" t="s">
        <v>4625</v>
      </c>
      <c r="I3341" s="8">
        <f>1</f>
        <v>1</v>
      </c>
      <c r="J3341" s="5" t="s">
        <v>499</v>
      </c>
      <c r="K3341" s="8">
        <f>1</f>
        <v>1</v>
      </c>
      <c r="L3341" s="6" t="s">
        <v>242</v>
      </c>
      <c r="M3341" s="5" t="s">
        <v>267</v>
      </c>
      <c r="N3341" s="5" t="s">
        <v>482</v>
      </c>
      <c r="O3341" s="5" t="s">
        <v>238</v>
      </c>
      <c r="P3341" s="5" t="s">
        <v>238</v>
      </c>
      <c r="Q3341" s="5" t="s">
        <v>239</v>
      </c>
      <c r="R3341" s="5" t="s">
        <v>270</v>
      </c>
      <c r="S3341" s="5" t="s">
        <v>238</v>
      </c>
      <c r="T3341" s="5" t="s">
        <v>238</v>
      </c>
      <c r="U3341" s="5" t="s">
        <v>238</v>
      </c>
      <c r="V3341" s="5" t="s">
        <v>238</v>
      </c>
      <c r="W3341" s="6" t="s">
        <v>238</v>
      </c>
      <c r="X3341" s="6" t="s">
        <v>238</v>
      </c>
      <c r="Y3341" s="5" t="s">
        <v>238</v>
      </c>
      <c r="Z3341" s="6" t="s">
        <v>238</v>
      </c>
      <c r="AA3341" s="6" t="s">
        <v>243</v>
      </c>
      <c r="AB3341" s="5" t="s">
        <v>879</v>
      </c>
      <c r="AC3341" s="5" t="s">
        <v>244</v>
      </c>
      <c r="AD3341" s="5" t="s">
        <v>245</v>
      </c>
      <c r="AE3341" s="5" t="s">
        <v>238</v>
      </c>
      <c r="AF3341" s="5" t="s">
        <v>238</v>
      </c>
      <c r="AG3341" s="5" t="s">
        <v>238</v>
      </c>
      <c r="AH3341" s="5" t="s">
        <v>238</v>
      </c>
      <c r="AI3341" s="5" t="s">
        <v>238</v>
      </c>
      <c r="AJ3341" s="5" t="s">
        <v>238</v>
      </c>
      <c r="AK3341" s="5" t="s">
        <v>238</v>
      </c>
      <c r="AL3341" s="5" t="s">
        <v>238</v>
      </c>
      <c r="AM3341" s="6" t="s">
        <v>238</v>
      </c>
      <c r="AN3341" s="6" t="s">
        <v>238</v>
      </c>
      <c r="AO3341" s="6" t="s">
        <v>238</v>
      </c>
      <c r="AP3341" s="6" t="s">
        <v>238</v>
      </c>
      <c r="AQ3341" s="5" t="s">
        <v>238</v>
      </c>
      <c r="AR3341" s="5" t="s">
        <v>488</v>
      </c>
      <c r="AS3341" s="5" t="s">
        <v>488</v>
      </c>
      <c r="AT3341" s="5" t="s">
        <v>246</v>
      </c>
      <c r="AU3341" s="5" t="s">
        <v>489</v>
      </c>
      <c r="AV3341" s="5" t="s">
        <v>247</v>
      </c>
      <c r="AW3341" s="5" t="s">
        <v>238</v>
      </c>
      <c r="AX3341" s="5" t="s">
        <v>249</v>
      </c>
      <c r="AY3341" s="5" t="s">
        <v>490</v>
      </c>
      <c r="BA3341" s="5" t="s">
        <v>238</v>
      </c>
      <c r="BC3341" s="5" t="s">
        <v>491</v>
      </c>
      <c r="BD3341" s="6" t="s">
        <v>492</v>
      </c>
      <c r="BE3341" s="5" t="s">
        <v>493</v>
      </c>
      <c r="BF3341" s="5" t="s">
        <v>493</v>
      </c>
      <c r="BG3341" s="5" t="s">
        <v>238</v>
      </c>
      <c r="BH3341" s="8">
        <f>1</f>
        <v>1</v>
      </c>
      <c r="BI3341" s="8">
        <f>1</f>
        <v>1</v>
      </c>
      <c r="BJ3341" s="5" t="s">
        <v>253</v>
      </c>
      <c r="BK3341" s="5" t="s">
        <v>254</v>
      </c>
      <c r="BL3341" s="5" t="s">
        <v>238</v>
      </c>
      <c r="BM3341" s="5" t="s">
        <v>238</v>
      </c>
      <c r="BN3341" s="5" t="s">
        <v>238</v>
      </c>
      <c r="BO3341" s="5" t="s">
        <v>238</v>
      </c>
      <c r="BP3341" s="5" t="s">
        <v>238</v>
      </c>
      <c r="BQ3341" s="5" t="s">
        <v>238</v>
      </c>
      <c r="BR3341" s="5" t="s">
        <v>238</v>
      </c>
      <c r="BS3341" s="5" t="s">
        <v>238</v>
      </c>
      <c r="BT3341" s="6" t="s">
        <v>238</v>
      </c>
      <c r="BU3341" s="5" t="s">
        <v>238</v>
      </c>
      <c r="BV3341" s="5" t="s">
        <v>238</v>
      </c>
      <c r="BW3341" s="5" t="s">
        <v>238</v>
      </c>
      <c r="BX3341" s="5" t="s">
        <v>254</v>
      </c>
      <c r="BY3341" s="5" t="s">
        <v>238</v>
      </c>
      <c r="BZ3341" s="5" t="s">
        <v>238</v>
      </c>
      <c r="CA3341" s="5" t="s">
        <v>238</v>
      </c>
      <c r="CB3341" s="5" t="s">
        <v>238</v>
      </c>
      <c r="CC3341" s="5" t="s">
        <v>238</v>
      </c>
      <c r="CD3341" s="5" t="s">
        <v>273</v>
      </c>
      <c r="CE3341" s="5" t="s">
        <v>256</v>
      </c>
      <c r="CF3341" s="5" t="s">
        <v>238</v>
      </c>
      <c r="CH3341" s="5" t="s">
        <v>494</v>
      </c>
      <c r="CI3341" s="6" t="s">
        <v>257</v>
      </c>
      <c r="CJ3341" s="5" t="s">
        <v>495</v>
      </c>
      <c r="CK3341" s="5" t="s">
        <v>258</v>
      </c>
      <c r="CL3341" s="5" t="s">
        <v>496</v>
      </c>
      <c r="CM3341" s="5" t="s">
        <v>238</v>
      </c>
      <c r="CN3341" s="5">
        <v>0</v>
      </c>
      <c r="CO3341" s="5" t="s">
        <v>497</v>
      </c>
      <c r="CP3341" s="5" t="s">
        <v>260</v>
      </c>
      <c r="CQ3341" s="5" t="s">
        <v>260</v>
      </c>
      <c r="CR3341" s="5" t="s">
        <v>261</v>
      </c>
      <c r="CS3341" s="5" t="s">
        <v>498</v>
      </c>
      <c r="CT3341" s="7">
        <f>1</f>
        <v>1</v>
      </c>
      <c r="CU3341" s="8">
        <f>1</f>
        <v>1</v>
      </c>
      <c r="CV3341" s="8">
        <f>0</f>
        <v>0</v>
      </c>
      <c r="CX3341" s="8">
        <f>1</f>
        <v>1</v>
      </c>
      <c r="CY3341" s="8">
        <f>1</f>
        <v>1</v>
      </c>
      <c r="CZ3341" s="8" t="s">
        <v>238</v>
      </c>
      <c r="DA3341" s="5" t="s">
        <v>238</v>
      </c>
      <c r="DB3341" s="5" t="s">
        <v>238</v>
      </c>
      <c r="DC3341" s="5" t="s">
        <v>238</v>
      </c>
      <c r="DD3341" s="5" t="s">
        <v>238</v>
      </c>
      <c r="DE3341" s="8">
        <f>0</f>
        <v>0</v>
      </c>
      <c r="DG3341" s="5" t="s">
        <v>238</v>
      </c>
      <c r="DH3341" s="5" t="s">
        <v>238</v>
      </c>
      <c r="DI3341" s="5" t="s">
        <v>238</v>
      </c>
      <c r="DJ3341" s="5" t="s">
        <v>238</v>
      </c>
      <c r="DK3341" s="5" t="s">
        <v>238</v>
      </c>
      <c r="DL3341" s="5" t="s">
        <v>238</v>
      </c>
      <c r="DM3341" s="8" t="s">
        <v>238</v>
      </c>
      <c r="DN3341" s="5" t="s">
        <v>238</v>
      </c>
      <c r="DO3341" s="5" t="s">
        <v>238</v>
      </c>
      <c r="DP3341" s="5" t="s">
        <v>490</v>
      </c>
      <c r="DQ3341" s="5" t="s">
        <v>490</v>
      </c>
      <c r="DR3341" s="5" t="s">
        <v>238</v>
      </c>
      <c r="DS3341" s="5" t="s">
        <v>238</v>
      </c>
      <c r="DT3341" s="5" t="s">
        <v>881</v>
      </c>
      <c r="DU3341" s="5" t="s">
        <v>952</v>
      </c>
      <c r="DV3341" s="5" t="s">
        <v>238</v>
      </c>
      <c r="DW3341" s="5" t="s">
        <v>238</v>
      </c>
      <c r="DX3341" s="5" t="s">
        <v>238</v>
      </c>
      <c r="DY3341" s="5" t="s">
        <v>238</v>
      </c>
      <c r="DZ3341" s="5" t="s">
        <v>238</v>
      </c>
      <c r="EA3341" s="5" t="s">
        <v>238</v>
      </c>
      <c r="EB3341" s="5" t="s">
        <v>238</v>
      </c>
      <c r="EC3341" s="5" t="s">
        <v>238</v>
      </c>
      <c r="ED3341" s="5" t="s">
        <v>238</v>
      </c>
      <c r="EE3341" s="5" t="s">
        <v>238</v>
      </c>
      <c r="EF3341" s="5" t="s">
        <v>238</v>
      </c>
      <c r="EG3341" s="5" t="s">
        <v>238</v>
      </c>
      <c r="EH3341" s="5" t="s">
        <v>238</v>
      </c>
      <c r="EI3341" s="5" t="s">
        <v>238</v>
      </c>
      <c r="EJ3341" s="5" t="s">
        <v>238</v>
      </c>
      <c r="EK3341" s="5" t="s">
        <v>238</v>
      </c>
      <c r="EL3341" s="5" t="s">
        <v>238</v>
      </c>
      <c r="EM3341" s="5" t="s">
        <v>238</v>
      </c>
      <c r="EN3341" s="5" t="s">
        <v>238</v>
      </c>
      <c r="EO3341" s="5" t="s">
        <v>238</v>
      </c>
      <c r="EP3341" s="5" t="s">
        <v>238</v>
      </c>
      <c r="EQ3341" s="5" t="s">
        <v>238</v>
      </c>
      <c r="ER3341" s="5" t="s">
        <v>238</v>
      </c>
      <c r="ES3341" s="5" t="s">
        <v>238</v>
      </c>
      <c r="ET3341" s="5" t="s">
        <v>238</v>
      </c>
      <c r="EU3341" s="5" t="s">
        <v>238</v>
      </c>
      <c r="EV3341" s="5" t="s">
        <v>238</v>
      </c>
      <c r="EW3341" s="5" t="s">
        <v>238</v>
      </c>
      <c r="EX3341" s="5" t="s">
        <v>238</v>
      </c>
      <c r="EY3341" s="5" t="s">
        <v>238</v>
      </c>
      <c r="EZ3341" s="5" t="s">
        <v>238</v>
      </c>
      <c r="FA3341" s="5" t="s">
        <v>238</v>
      </c>
      <c r="FB3341" s="5" t="s">
        <v>238</v>
      </c>
      <c r="FC3341" s="5" t="s">
        <v>238</v>
      </c>
      <c r="FD3341" s="5" t="s">
        <v>238</v>
      </c>
      <c r="FE3341" s="5" t="s">
        <v>238</v>
      </c>
      <c r="FF3341" s="5" t="s">
        <v>238</v>
      </c>
      <c r="FG3341" s="5" t="s">
        <v>238</v>
      </c>
      <c r="FH3341" s="5" t="s">
        <v>238</v>
      </c>
      <c r="FI3341" s="5" t="s">
        <v>238</v>
      </c>
      <c r="FJ3341" s="5" t="s">
        <v>238</v>
      </c>
      <c r="FK3341" s="5" t="s">
        <v>238</v>
      </c>
      <c r="FL3341" s="5" t="s">
        <v>238</v>
      </c>
      <c r="FM3341" s="5" t="s">
        <v>238</v>
      </c>
      <c r="FN3341" s="5" t="s">
        <v>238</v>
      </c>
      <c r="FO3341" s="5" t="s">
        <v>238</v>
      </c>
      <c r="FP3341" s="5" t="s">
        <v>238</v>
      </c>
      <c r="FQ3341" s="5" t="s">
        <v>238</v>
      </c>
      <c r="FR3341" s="5" t="s">
        <v>238</v>
      </c>
      <c r="FS3341" s="5" t="s">
        <v>238</v>
      </c>
      <c r="FT3341" s="5" t="s">
        <v>238</v>
      </c>
      <c r="FU3341" s="5" t="s">
        <v>238</v>
      </c>
      <c r="FV3341" s="5" t="s">
        <v>238</v>
      </c>
      <c r="FW3341" s="5" t="s">
        <v>238</v>
      </c>
      <c r="FX3341" s="5" t="s">
        <v>238</v>
      </c>
      <c r="FY3341" s="5" t="s">
        <v>238</v>
      </c>
      <c r="FZ3341" s="5" t="s">
        <v>238</v>
      </c>
      <c r="GA3341" s="5" t="s">
        <v>238</v>
      </c>
      <c r="GB3341" s="5" t="s">
        <v>238</v>
      </c>
      <c r="GC3341" s="5" t="s">
        <v>238</v>
      </c>
      <c r="GD3341" s="5" t="s">
        <v>238</v>
      </c>
      <c r="GE3341" s="5" t="s">
        <v>238</v>
      </c>
      <c r="GF3341" s="5" t="s">
        <v>238</v>
      </c>
      <c r="GG3341" s="5" t="s">
        <v>238</v>
      </c>
      <c r="GH3341" s="5" t="s">
        <v>238</v>
      </c>
      <c r="GI3341" s="5" t="s">
        <v>238</v>
      </c>
      <c r="GJ3341" s="5" t="s">
        <v>238</v>
      </c>
      <c r="GK3341" s="5" t="s">
        <v>238</v>
      </c>
      <c r="GL3341" s="5" t="s">
        <v>238</v>
      </c>
      <c r="GM3341" s="5" t="s">
        <v>238</v>
      </c>
      <c r="GN3341" s="5" t="s">
        <v>238</v>
      </c>
      <c r="GO3341" s="5" t="s">
        <v>238</v>
      </c>
      <c r="GP3341" s="5" t="s">
        <v>238</v>
      </c>
      <c r="GQ3341" s="5" t="s">
        <v>238</v>
      </c>
      <c r="GR3341" s="5" t="s">
        <v>238</v>
      </c>
      <c r="GS3341" s="5" t="s">
        <v>238</v>
      </c>
      <c r="GT3341" s="5" t="s">
        <v>238</v>
      </c>
      <c r="GU3341" s="5" t="s">
        <v>238</v>
      </c>
      <c r="GV3341" s="5" t="s">
        <v>238</v>
      </c>
      <c r="GW3341" s="5" t="s">
        <v>238</v>
      </c>
      <c r="GX3341" s="5" t="s">
        <v>238</v>
      </c>
      <c r="GY3341" s="5" t="s">
        <v>238</v>
      </c>
      <c r="GZ3341" s="5" t="s">
        <v>238</v>
      </c>
      <c r="HA3341" s="5" t="s">
        <v>238</v>
      </c>
      <c r="HB3341" s="5" t="s">
        <v>238</v>
      </c>
      <c r="HC3341" s="5" t="s">
        <v>238</v>
      </c>
      <c r="HD3341" s="5" t="s">
        <v>238</v>
      </c>
      <c r="HE3341" s="5" t="s">
        <v>238</v>
      </c>
      <c r="HF3341" s="5" t="s">
        <v>238</v>
      </c>
      <c r="HG3341" s="5" t="s">
        <v>238</v>
      </c>
      <c r="HH3341" s="5" t="s">
        <v>238</v>
      </c>
      <c r="HI3341" s="5" t="s">
        <v>238</v>
      </c>
      <c r="HJ3341" s="5" t="s">
        <v>238</v>
      </c>
      <c r="HK3341" s="5" t="s">
        <v>238</v>
      </c>
      <c r="HL3341" s="5" t="s">
        <v>238</v>
      </c>
      <c r="HM3341" s="5" t="s">
        <v>264</v>
      </c>
      <c r="HN3341" s="5" t="s">
        <v>238</v>
      </c>
      <c r="HO3341" s="5" t="s">
        <v>238</v>
      </c>
      <c r="HP3341" s="5" t="s">
        <v>238</v>
      </c>
      <c r="HQ3341" s="5" t="s">
        <v>238</v>
      </c>
      <c r="HR3341" s="5" t="s">
        <v>238</v>
      </c>
      <c r="HS3341" s="5" t="s">
        <v>238</v>
      </c>
      <c r="HT3341" s="5" t="s">
        <v>238</v>
      </c>
      <c r="HU3341" s="5" t="s">
        <v>238</v>
      </c>
      <c r="HV3341" s="5" t="s">
        <v>238</v>
      </c>
      <c r="HW3341" s="5" t="s">
        <v>238</v>
      </c>
      <c r="HX3341" s="5" t="s">
        <v>238</v>
      </c>
      <c r="HY3341" s="5" t="s">
        <v>238</v>
      </c>
      <c r="HZ3341" s="5" t="s">
        <v>238</v>
      </c>
      <c r="IA3341" s="5" t="s">
        <v>238</v>
      </c>
      <c r="IB3341" s="5" t="s">
        <v>238</v>
      </c>
      <c r="IC3341" s="5" t="s">
        <v>238</v>
      </c>
      <c r="ID3341" s="5" t="s">
        <v>238</v>
      </c>
    </row>
    <row r="3342" spans="1:238" x14ac:dyDescent="0.4">
      <c r="A3342" s="5">
        <v>9060</v>
      </c>
      <c r="B3342" s="5">
        <v>1</v>
      </c>
      <c r="C3342" s="5">
        <v>1</v>
      </c>
      <c r="D3342" s="5" t="s">
        <v>484</v>
      </c>
      <c r="E3342" s="5" t="s">
        <v>878</v>
      </c>
      <c r="F3342" s="5" t="s">
        <v>248</v>
      </c>
      <c r="G3342" s="5" t="s">
        <v>5650</v>
      </c>
      <c r="H3342" s="6" t="s">
        <v>5651</v>
      </c>
      <c r="I3342" s="8">
        <f>1</f>
        <v>1</v>
      </c>
      <c r="J3342" s="5" t="s">
        <v>499</v>
      </c>
      <c r="K3342" s="8">
        <f>1</f>
        <v>1</v>
      </c>
      <c r="L3342" s="6" t="s">
        <v>242</v>
      </c>
      <c r="M3342" s="5" t="s">
        <v>267</v>
      </c>
      <c r="N3342" s="5" t="s">
        <v>482</v>
      </c>
      <c r="O3342" s="5" t="s">
        <v>238</v>
      </c>
      <c r="P3342" s="5" t="s">
        <v>238</v>
      </c>
      <c r="Q3342" s="5" t="s">
        <v>239</v>
      </c>
      <c r="R3342" s="5" t="s">
        <v>270</v>
      </c>
      <c r="S3342" s="5" t="s">
        <v>238</v>
      </c>
      <c r="T3342" s="5" t="s">
        <v>238</v>
      </c>
      <c r="U3342" s="5" t="s">
        <v>238</v>
      </c>
      <c r="V3342" s="5" t="s">
        <v>238</v>
      </c>
      <c r="W3342" s="6" t="s">
        <v>238</v>
      </c>
      <c r="X3342" s="6" t="s">
        <v>238</v>
      </c>
      <c r="Y3342" s="5" t="s">
        <v>238</v>
      </c>
      <c r="Z3342" s="6" t="s">
        <v>238</v>
      </c>
      <c r="AA3342" s="6" t="s">
        <v>243</v>
      </c>
      <c r="AB3342" s="5" t="s">
        <v>879</v>
      </c>
      <c r="AC3342" s="5" t="s">
        <v>244</v>
      </c>
      <c r="AD3342" s="5" t="s">
        <v>245</v>
      </c>
      <c r="AE3342" s="5" t="s">
        <v>238</v>
      </c>
      <c r="AF3342" s="5" t="s">
        <v>238</v>
      </c>
      <c r="AG3342" s="5" t="s">
        <v>238</v>
      </c>
      <c r="AH3342" s="5" t="s">
        <v>238</v>
      </c>
      <c r="AI3342" s="5" t="s">
        <v>238</v>
      </c>
      <c r="AJ3342" s="5" t="s">
        <v>238</v>
      </c>
      <c r="AK3342" s="5" t="s">
        <v>238</v>
      </c>
      <c r="AL3342" s="5" t="s">
        <v>238</v>
      </c>
      <c r="AM3342" s="6" t="s">
        <v>238</v>
      </c>
      <c r="AN3342" s="6" t="s">
        <v>238</v>
      </c>
      <c r="AO3342" s="6" t="s">
        <v>238</v>
      </c>
      <c r="AP3342" s="6" t="s">
        <v>238</v>
      </c>
      <c r="AQ3342" s="5" t="s">
        <v>238</v>
      </c>
      <c r="AR3342" s="5" t="s">
        <v>488</v>
      </c>
      <c r="AS3342" s="5" t="s">
        <v>488</v>
      </c>
      <c r="AT3342" s="5" t="s">
        <v>246</v>
      </c>
      <c r="AU3342" s="5" t="s">
        <v>489</v>
      </c>
      <c r="AV3342" s="5" t="s">
        <v>247</v>
      </c>
      <c r="AW3342" s="5" t="s">
        <v>238</v>
      </c>
      <c r="AX3342" s="5" t="s">
        <v>249</v>
      </c>
      <c r="AY3342" s="5" t="s">
        <v>490</v>
      </c>
      <c r="BA3342" s="5" t="s">
        <v>238</v>
      </c>
      <c r="BC3342" s="5" t="s">
        <v>491</v>
      </c>
      <c r="BD3342" s="6" t="s">
        <v>492</v>
      </c>
      <c r="BE3342" s="5" t="s">
        <v>493</v>
      </c>
      <c r="BF3342" s="5" t="s">
        <v>493</v>
      </c>
      <c r="BG3342" s="5" t="s">
        <v>238</v>
      </c>
      <c r="BH3342" s="8">
        <f>1</f>
        <v>1</v>
      </c>
      <c r="BI3342" s="8">
        <f>1</f>
        <v>1</v>
      </c>
      <c r="BJ3342" s="5" t="s">
        <v>253</v>
      </c>
      <c r="BK3342" s="5" t="s">
        <v>254</v>
      </c>
      <c r="BL3342" s="5" t="s">
        <v>238</v>
      </c>
      <c r="BM3342" s="5" t="s">
        <v>238</v>
      </c>
      <c r="BN3342" s="5" t="s">
        <v>238</v>
      </c>
      <c r="BO3342" s="5" t="s">
        <v>238</v>
      </c>
      <c r="BP3342" s="5" t="s">
        <v>238</v>
      </c>
      <c r="BQ3342" s="5" t="s">
        <v>238</v>
      </c>
      <c r="BR3342" s="5" t="s">
        <v>238</v>
      </c>
      <c r="BS3342" s="5" t="s">
        <v>238</v>
      </c>
      <c r="BT3342" s="6" t="s">
        <v>238</v>
      </c>
      <c r="BU3342" s="5" t="s">
        <v>238</v>
      </c>
      <c r="BV3342" s="5" t="s">
        <v>238</v>
      </c>
      <c r="BW3342" s="5" t="s">
        <v>238</v>
      </c>
      <c r="BX3342" s="5" t="s">
        <v>254</v>
      </c>
      <c r="BY3342" s="5" t="s">
        <v>238</v>
      </c>
      <c r="BZ3342" s="5" t="s">
        <v>238</v>
      </c>
      <c r="CA3342" s="5" t="s">
        <v>238</v>
      </c>
      <c r="CB3342" s="5" t="s">
        <v>238</v>
      </c>
      <c r="CC3342" s="5" t="s">
        <v>238</v>
      </c>
      <c r="CD3342" s="5" t="s">
        <v>273</v>
      </c>
      <c r="CE3342" s="5" t="s">
        <v>256</v>
      </c>
      <c r="CF3342" s="5" t="s">
        <v>238</v>
      </c>
      <c r="CH3342" s="5" t="s">
        <v>494</v>
      </c>
      <c r="CI3342" s="6" t="s">
        <v>257</v>
      </c>
      <c r="CJ3342" s="5" t="s">
        <v>495</v>
      </c>
      <c r="CK3342" s="5" t="s">
        <v>258</v>
      </c>
      <c r="CL3342" s="5" t="s">
        <v>496</v>
      </c>
      <c r="CM3342" s="5" t="s">
        <v>238</v>
      </c>
      <c r="CN3342" s="5">
        <v>0</v>
      </c>
      <c r="CO3342" s="5" t="s">
        <v>497</v>
      </c>
      <c r="CP3342" s="5" t="s">
        <v>260</v>
      </c>
      <c r="CQ3342" s="5" t="s">
        <v>260</v>
      </c>
      <c r="CR3342" s="5" t="s">
        <v>261</v>
      </c>
      <c r="CS3342" s="5" t="s">
        <v>498</v>
      </c>
      <c r="CT3342" s="7">
        <f>1</f>
        <v>1</v>
      </c>
      <c r="CU3342" s="8">
        <f>1</f>
        <v>1</v>
      </c>
      <c r="CV3342" s="8">
        <f>0</f>
        <v>0</v>
      </c>
      <c r="CX3342" s="8">
        <f>1</f>
        <v>1</v>
      </c>
      <c r="CY3342" s="8">
        <f>1</f>
        <v>1</v>
      </c>
      <c r="CZ3342" s="8" t="s">
        <v>238</v>
      </c>
      <c r="DA3342" s="5" t="s">
        <v>238</v>
      </c>
      <c r="DB3342" s="5" t="s">
        <v>238</v>
      </c>
      <c r="DC3342" s="5" t="s">
        <v>238</v>
      </c>
      <c r="DD3342" s="5" t="s">
        <v>238</v>
      </c>
      <c r="DE3342" s="8">
        <f>0</f>
        <v>0</v>
      </c>
      <c r="DG3342" s="5" t="s">
        <v>238</v>
      </c>
      <c r="DH3342" s="5" t="s">
        <v>238</v>
      </c>
      <c r="DI3342" s="5" t="s">
        <v>238</v>
      </c>
      <c r="DJ3342" s="5" t="s">
        <v>238</v>
      </c>
      <c r="DK3342" s="5" t="s">
        <v>238</v>
      </c>
      <c r="DL3342" s="5" t="s">
        <v>238</v>
      </c>
      <c r="DM3342" s="8" t="s">
        <v>238</v>
      </c>
      <c r="DN3342" s="5" t="s">
        <v>238</v>
      </c>
      <c r="DO3342" s="5" t="s">
        <v>238</v>
      </c>
      <c r="DP3342" s="5" t="s">
        <v>490</v>
      </c>
      <c r="DQ3342" s="5" t="s">
        <v>490</v>
      </c>
      <c r="DR3342" s="5" t="s">
        <v>238</v>
      </c>
      <c r="DS3342" s="5" t="s">
        <v>238</v>
      </c>
      <c r="DT3342" s="5" t="s">
        <v>881</v>
      </c>
      <c r="DU3342" s="5" t="s">
        <v>1108</v>
      </c>
      <c r="DV3342" s="5" t="s">
        <v>238</v>
      </c>
      <c r="DW3342" s="5" t="s">
        <v>238</v>
      </c>
      <c r="DX3342" s="5" t="s">
        <v>238</v>
      </c>
      <c r="DY3342" s="5" t="s">
        <v>238</v>
      </c>
      <c r="DZ3342" s="5" t="s">
        <v>238</v>
      </c>
      <c r="EA3342" s="5" t="s">
        <v>238</v>
      </c>
      <c r="EB3342" s="5" t="s">
        <v>238</v>
      </c>
      <c r="EC3342" s="5" t="s">
        <v>238</v>
      </c>
      <c r="ED3342" s="5" t="s">
        <v>238</v>
      </c>
      <c r="EE3342" s="5" t="s">
        <v>238</v>
      </c>
      <c r="EF3342" s="5" t="s">
        <v>238</v>
      </c>
      <c r="EG3342" s="5" t="s">
        <v>238</v>
      </c>
      <c r="EH3342" s="5" t="s">
        <v>238</v>
      </c>
      <c r="EI3342" s="5" t="s">
        <v>238</v>
      </c>
      <c r="EJ3342" s="5" t="s">
        <v>238</v>
      </c>
      <c r="EK3342" s="5" t="s">
        <v>238</v>
      </c>
      <c r="EL3342" s="5" t="s">
        <v>238</v>
      </c>
      <c r="EM3342" s="5" t="s">
        <v>238</v>
      </c>
      <c r="EN3342" s="5" t="s">
        <v>238</v>
      </c>
      <c r="EO3342" s="5" t="s">
        <v>238</v>
      </c>
      <c r="EP3342" s="5" t="s">
        <v>238</v>
      </c>
      <c r="EQ3342" s="5" t="s">
        <v>238</v>
      </c>
      <c r="ER3342" s="5" t="s">
        <v>238</v>
      </c>
      <c r="ES3342" s="5" t="s">
        <v>238</v>
      </c>
      <c r="ET3342" s="5" t="s">
        <v>238</v>
      </c>
      <c r="EU3342" s="5" t="s">
        <v>238</v>
      </c>
      <c r="EV3342" s="5" t="s">
        <v>238</v>
      </c>
      <c r="EW3342" s="5" t="s">
        <v>238</v>
      </c>
      <c r="EX3342" s="5" t="s">
        <v>238</v>
      </c>
      <c r="EY3342" s="5" t="s">
        <v>238</v>
      </c>
      <c r="EZ3342" s="5" t="s">
        <v>238</v>
      </c>
      <c r="FA3342" s="5" t="s">
        <v>238</v>
      </c>
      <c r="FB3342" s="5" t="s">
        <v>238</v>
      </c>
      <c r="FC3342" s="5" t="s">
        <v>238</v>
      </c>
      <c r="FD3342" s="5" t="s">
        <v>238</v>
      </c>
      <c r="FE3342" s="5" t="s">
        <v>238</v>
      </c>
      <c r="FF3342" s="5" t="s">
        <v>238</v>
      </c>
      <c r="FG3342" s="5" t="s">
        <v>238</v>
      </c>
      <c r="FH3342" s="5" t="s">
        <v>238</v>
      </c>
      <c r="FI3342" s="5" t="s">
        <v>238</v>
      </c>
      <c r="FJ3342" s="5" t="s">
        <v>238</v>
      </c>
      <c r="FK3342" s="5" t="s">
        <v>238</v>
      </c>
      <c r="FL3342" s="5" t="s">
        <v>238</v>
      </c>
      <c r="FM3342" s="5" t="s">
        <v>238</v>
      </c>
      <c r="FN3342" s="5" t="s">
        <v>238</v>
      </c>
      <c r="FO3342" s="5" t="s">
        <v>238</v>
      </c>
      <c r="FP3342" s="5" t="s">
        <v>238</v>
      </c>
      <c r="FQ3342" s="5" t="s">
        <v>238</v>
      </c>
      <c r="FR3342" s="5" t="s">
        <v>238</v>
      </c>
      <c r="FS3342" s="5" t="s">
        <v>238</v>
      </c>
      <c r="FT3342" s="5" t="s">
        <v>238</v>
      </c>
      <c r="FU3342" s="5" t="s">
        <v>238</v>
      </c>
      <c r="FV3342" s="5" t="s">
        <v>238</v>
      </c>
      <c r="FW3342" s="5" t="s">
        <v>238</v>
      </c>
      <c r="FX3342" s="5" t="s">
        <v>238</v>
      </c>
      <c r="FY3342" s="5" t="s">
        <v>238</v>
      </c>
      <c r="FZ3342" s="5" t="s">
        <v>238</v>
      </c>
      <c r="GA3342" s="5" t="s">
        <v>238</v>
      </c>
      <c r="GB3342" s="5" t="s">
        <v>238</v>
      </c>
      <c r="GC3342" s="5" t="s">
        <v>238</v>
      </c>
      <c r="GD3342" s="5" t="s">
        <v>238</v>
      </c>
      <c r="GE3342" s="5" t="s">
        <v>238</v>
      </c>
      <c r="GF3342" s="5" t="s">
        <v>238</v>
      </c>
      <c r="GG3342" s="5" t="s">
        <v>238</v>
      </c>
      <c r="GH3342" s="5" t="s">
        <v>238</v>
      </c>
      <c r="GI3342" s="5" t="s">
        <v>238</v>
      </c>
      <c r="GJ3342" s="5" t="s">
        <v>238</v>
      </c>
      <c r="GK3342" s="5" t="s">
        <v>238</v>
      </c>
      <c r="GL3342" s="5" t="s">
        <v>238</v>
      </c>
      <c r="GM3342" s="5" t="s">
        <v>238</v>
      </c>
      <c r="GN3342" s="5" t="s">
        <v>238</v>
      </c>
      <c r="GO3342" s="5" t="s">
        <v>238</v>
      </c>
      <c r="GP3342" s="5" t="s">
        <v>238</v>
      </c>
      <c r="GQ3342" s="5" t="s">
        <v>238</v>
      </c>
      <c r="GR3342" s="5" t="s">
        <v>238</v>
      </c>
      <c r="GS3342" s="5" t="s">
        <v>238</v>
      </c>
      <c r="GT3342" s="5" t="s">
        <v>238</v>
      </c>
      <c r="GU3342" s="5" t="s">
        <v>238</v>
      </c>
      <c r="GV3342" s="5" t="s">
        <v>238</v>
      </c>
      <c r="GW3342" s="5" t="s">
        <v>238</v>
      </c>
      <c r="GX3342" s="5" t="s">
        <v>238</v>
      </c>
      <c r="GY3342" s="5" t="s">
        <v>238</v>
      </c>
      <c r="GZ3342" s="5" t="s">
        <v>238</v>
      </c>
      <c r="HA3342" s="5" t="s">
        <v>238</v>
      </c>
      <c r="HB3342" s="5" t="s">
        <v>238</v>
      </c>
      <c r="HC3342" s="5" t="s">
        <v>238</v>
      </c>
      <c r="HD3342" s="5" t="s">
        <v>238</v>
      </c>
      <c r="HE3342" s="5" t="s">
        <v>238</v>
      </c>
      <c r="HF3342" s="5" t="s">
        <v>238</v>
      </c>
      <c r="HG3342" s="5" t="s">
        <v>238</v>
      </c>
      <c r="HH3342" s="5" t="s">
        <v>238</v>
      </c>
      <c r="HI3342" s="5" t="s">
        <v>238</v>
      </c>
      <c r="HJ3342" s="5" t="s">
        <v>238</v>
      </c>
      <c r="HK3342" s="5" t="s">
        <v>238</v>
      </c>
      <c r="HL3342" s="5" t="s">
        <v>238</v>
      </c>
      <c r="HM3342" s="5" t="s">
        <v>264</v>
      </c>
      <c r="HN3342" s="5" t="s">
        <v>238</v>
      </c>
      <c r="HO3342" s="5" t="s">
        <v>238</v>
      </c>
      <c r="HP3342" s="5" t="s">
        <v>238</v>
      </c>
      <c r="HQ3342" s="5" t="s">
        <v>238</v>
      </c>
      <c r="HR3342" s="5" t="s">
        <v>238</v>
      </c>
      <c r="HS3342" s="5" t="s">
        <v>238</v>
      </c>
      <c r="HT3342" s="5" t="s">
        <v>238</v>
      </c>
      <c r="HU3342" s="5" t="s">
        <v>238</v>
      </c>
      <c r="HV3342" s="5" t="s">
        <v>238</v>
      </c>
      <c r="HW3342" s="5" t="s">
        <v>238</v>
      </c>
      <c r="HX3342" s="5" t="s">
        <v>238</v>
      </c>
      <c r="HY3342" s="5" t="s">
        <v>238</v>
      </c>
      <c r="HZ3342" s="5" t="s">
        <v>238</v>
      </c>
      <c r="IA3342" s="5" t="s">
        <v>238</v>
      </c>
      <c r="IB3342" s="5" t="s">
        <v>238</v>
      </c>
      <c r="IC3342" s="5" t="s">
        <v>238</v>
      </c>
      <c r="ID3342" s="5" t="s">
        <v>238</v>
      </c>
    </row>
    <row r="3343" spans="1:238" x14ac:dyDescent="0.4">
      <c r="A3343" s="5">
        <v>9061</v>
      </c>
      <c r="B3343" s="5">
        <v>1</v>
      </c>
      <c r="C3343" s="5">
        <v>1</v>
      </c>
      <c r="D3343" s="5" t="s">
        <v>484</v>
      </c>
      <c r="E3343" s="5" t="s">
        <v>878</v>
      </c>
      <c r="F3343" s="5" t="s">
        <v>248</v>
      </c>
      <c r="G3343" s="5" t="s">
        <v>4121</v>
      </c>
      <c r="H3343" s="6" t="s">
        <v>4122</v>
      </c>
      <c r="I3343" s="8">
        <f>1</f>
        <v>1</v>
      </c>
      <c r="J3343" s="5" t="s">
        <v>499</v>
      </c>
      <c r="K3343" s="8">
        <f>1</f>
        <v>1</v>
      </c>
      <c r="L3343" s="6" t="s">
        <v>242</v>
      </c>
      <c r="M3343" s="5" t="s">
        <v>267</v>
      </c>
      <c r="N3343" s="5" t="s">
        <v>482</v>
      </c>
      <c r="O3343" s="5" t="s">
        <v>238</v>
      </c>
      <c r="P3343" s="5" t="s">
        <v>238</v>
      </c>
      <c r="Q3343" s="5" t="s">
        <v>239</v>
      </c>
      <c r="R3343" s="5" t="s">
        <v>270</v>
      </c>
      <c r="S3343" s="5" t="s">
        <v>238</v>
      </c>
      <c r="T3343" s="5" t="s">
        <v>238</v>
      </c>
      <c r="U3343" s="5" t="s">
        <v>238</v>
      </c>
      <c r="V3343" s="5" t="s">
        <v>238</v>
      </c>
      <c r="W3343" s="6" t="s">
        <v>238</v>
      </c>
      <c r="X3343" s="6" t="s">
        <v>238</v>
      </c>
      <c r="Y3343" s="5" t="s">
        <v>238</v>
      </c>
      <c r="Z3343" s="6" t="s">
        <v>238</v>
      </c>
      <c r="AA3343" s="6" t="s">
        <v>243</v>
      </c>
      <c r="AB3343" s="5" t="s">
        <v>879</v>
      </c>
      <c r="AC3343" s="5" t="s">
        <v>244</v>
      </c>
      <c r="AD3343" s="5" t="s">
        <v>245</v>
      </c>
      <c r="AE3343" s="5" t="s">
        <v>238</v>
      </c>
      <c r="AF3343" s="5" t="s">
        <v>238</v>
      </c>
      <c r="AG3343" s="5" t="s">
        <v>238</v>
      </c>
      <c r="AH3343" s="5" t="s">
        <v>238</v>
      </c>
      <c r="AI3343" s="5" t="s">
        <v>238</v>
      </c>
      <c r="AJ3343" s="5" t="s">
        <v>238</v>
      </c>
      <c r="AK3343" s="5" t="s">
        <v>238</v>
      </c>
      <c r="AL3343" s="5" t="s">
        <v>238</v>
      </c>
      <c r="AM3343" s="6" t="s">
        <v>238</v>
      </c>
      <c r="AN3343" s="6" t="s">
        <v>238</v>
      </c>
      <c r="AO3343" s="6" t="s">
        <v>238</v>
      </c>
      <c r="AP3343" s="6" t="s">
        <v>238</v>
      </c>
      <c r="AQ3343" s="5" t="s">
        <v>238</v>
      </c>
      <c r="AR3343" s="5" t="s">
        <v>488</v>
      </c>
      <c r="AS3343" s="5" t="s">
        <v>488</v>
      </c>
      <c r="AT3343" s="5" t="s">
        <v>246</v>
      </c>
      <c r="AU3343" s="5" t="s">
        <v>489</v>
      </c>
      <c r="AV3343" s="5" t="s">
        <v>247</v>
      </c>
      <c r="AW3343" s="5" t="s">
        <v>238</v>
      </c>
      <c r="AX3343" s="5" t="s">
        <v>249</v>
      </c>
      <c r="AY3343" s="5" t="s">
        <v>490</v>
      </c>
      <c r="BA3343" s="5" t="s">
        <v>238</v>
      </c>
      <c r="BC3343" s="5" t="s">
        <v>491</v>
      </c>
      <c r="BD3343" s="6" t="s">
        <v>492</v>
      </c>
      <c r="BE3343" s="5" t="s">
        <v>493</v>
      </c>
      <c r="BF3343" s="5" t="s">
        <v>493</v>
      </c>
      <c r="BG3343" s="5" t="s">
        <v>238</v>
      </c>
      <c r="BH3343" s="8">
        <f>1</f>
        <v>1</v>
      </c>
      <c r="BI3343" s="8">
        <f>1</f>
        <v>1</v>
      </c>
      <c r="BJ3343" s="5" t="s">
        <v>253</v>
      </c>
      <c r="BK3343" s="5" t="s">
        <v>254</v>
      </c>
      <c r="BL3343" s="5" t="s">
        <v>238</v>
      </c>
      <c r="BM3343" s="5" t="s">
        <v>238</v>
      </c>
      <c r="BN3343" s="5" t="s">
        <v>238</v>
      </c>
      <c r="BO3343" s="5" t="s">
        <v>238</v>
      </c>
      <c r="BP3343" s="5" t="s">
        <v>238</v>
      </c>
      <c r="BQ3343" s="5" t="s">
        <v>238</v>
      </c>
      <c r="BR3343" s="5" t="s">
        <v>238</v>
      </c>
      <c r="BS3343" s="5" t="s">
        <v>238</v>
      </c>
      <c r="BT3343" s="6" t="s">
        <v>238</v>
      </c>
      <c r="BU3343" s="5" t="s">
        <v>238</v>
      </c>
      <c r="BV3343" s="5" t="s">
        <v>238</v>
      </c>
      <c r="BW3343" s="5" t="s">
        <v>238</v>
      </c>
      <c r="BX3343" s="5" t="s">
        <v>254</v>
      </c>
      <c r="BY3343" s="5" t="s">
        <v>238</v>
      </c>
      <c r="BZ3343" s="5" t="s">
        <v>238</v>
      </c>
      <c r="CA3343" s="5" t="s">
        <v>238</v>
      </c>
      <c r="CB3343" s="5" t="s">
        <v>238</v>
      </c>
      <c r="CC3343" s="5" t="s">
        <v>238</v>
      </c>
      <c r="CD3343" s="5" t="s">
        <v>273</v>
      </c>
      <c r="CE3343" s="5" t="s">
        <v>256</v>
      </c>
      <c r="CF3343" s="5" t="s">
        <v>238</v>
      </c>
      <c r="CH3343" s="5" t="s">
        <v>494</v>
      </c>
      <c r="CI3343" s="6" t="s">
        <v>257</v>
      </c>
      <c r="CJ3343" s="5" t="s">
        <v>495</v>
      </c>
      <c r="CK3343" s="5" t="s">
        <v>258</v>
      </c>
      <c r="CL3343" s="5" t="s">
        <v>496</v>
      </c>
      <c r="CM3343" s="5" t="s">
        <v>238</v>
      </c>
      <c r="CN3343" s="5">
        <v>0</v>
      </c>
      <c r="CO3343" s="5" t="s">
        <v>497</v>
      </c>
      <c r="CP3343" s="5" t="s">
        <v>260</v>
      </c>
      <c r="CQ3343" s="5" t="s">
        <v>260</v>
      </c>
      <c r="CR3343" s="5" t="s">
        <v>261</v>
      </c>
      <c r="CS3343" s="5" t="s">
        <v>498</v>
      </c>
      <c r="CT3343" s="7">
        <f>1</f>
        <v>1</v>
      </c>
      <c r="CU3343" s="8">
        <f>1</f>
        <v>1</v>
      </c>
      <c r="CV3343" s="8">
        <f>0</f>
        <v>0</v>
      </c>
      <c r="CX3343" s="8">
        <f>1</f>
        <v>1</v>
      </c>
      <c r="CY3343" s="8">
        <f>1</f>
        <v>1</v>
      </c>
      <c r="CZ3343" s="8" t="s">
        <v>238</v>
      </c>
      <c r="DA3343" s="5" t="s">
        <v>238</v>
      </c>
      <c r="DB3343" s="5" t="s">
        <v>238</v>
      </c>
      <c r="DC3343" s="5" t="s">
        <v>238</v>
      </c>
      <c r="DD3343" s="5" t="s">
        <v>238</v>
      </c>
      <c r="DE3343" s="8">
        <f>0</f>
        <v>0</v>
      </c>
      <c r="DG3343" s="5" t="s">
        <v>238</v>
      </c>
      <c r="DH3343" s="5" t="s">
        <v>238</v>
      </c>
      <c r="DI3343" s="5" t="s">
        <v>238</v>
      </c>
      <c r="DJ3343" s="5" t="s">
        <v>238</v>
      </c>
      <c r="DK3343" s="5" t="s">
        <v>238</v>
      </c>
      <c r="DL3343" s="5" t="s">
        <v>238</v>
      </c>
      <c r="DM3343" s="8" t="s">
        <v>238</v>
      </c>
      <c r="DN3343" s="5" t="s">
        <v>238</v>
      </c>
      <c r="DO3343" s="5" t="s">
        <v>238</v>
      </c>
      <c r="DP3343" s="5" t="s">
        <v>490</v>
      </c>
      <c r="DQ3343" s="5" t="s">
        <v>490</v>
      </c>
      <c r="DR3343" s="5" t="s">
        <v>238</v>
      </c>
      <c r="DS3343" s="5" t="s">
        <v>238</v>
      </c>
      <c r="DT3343" s="5" t="s">
        <v>881</v>
      </c>
      <c r="DU3343" s="5" t="s">
        <v>1262</v>
      </c>
      <c r="DV3343" s="5" t="s">
        <v>238</v>
      </c>
      <c r="DW3343" s="5" t="s">
        <v>238</v>
      </c>
      <c r="DX3343" s="5" t="s">
        <v>238</v>
      </c>
      <c r="DY3343" s="5" t="s">
        <v>238</v>
      </c>
      <c r="DZ3343" s="5" t="s">
        <v>238</v>
      </c>
      <c r="EA3343" s="5" t="s">
        <v>238</v>
      </c>
      <c r="EB3343" s="5" t="s">
        <v>238</v>
      </c>
      <c r="EC3343" s="5" t="s">
        <v>238</v>
      </c>
      <c r="ED3343" s="5" t="s">
        <v>238</v>
      </c>
      <c r="EE3343" s="5" t="s">
        <v>238</v>
      </c>
      <c r="EF3343" s="5" t="s">
        <v>238</v>
      </c>
      <c r="EG3343" s="5" t="s">
        <v>238</v>
      </c>
      <c r="EH3343" s="5" t="s">
        <v>238</v>
      </c>
      <c r="EI3343" s="5" t="s">
        <v>238</v>
      </c>
      <c r="EJ3343" s="5" t="s">
        <v>238</v>
      </c>
      <c r="EK3343" s="5" t="s">
        <v>238</v>
      </c>
      <c r="EL3343" s="5" t="s">
        <v>238</v>
      </c>
      <c r="EM3343" s="5" t="s">
        <v>238</v>
      </c>
      <c r="EN3343" s="5" t="s">
        <v>238</v>
      </c>
      <c r="EO3343" s="5" t="s">
        <v>238</v>
      </c>
      <c r="EP3343" s="5" t="s">
        <v>238</v>
      </c>
      <c r="EQ3343" s="5" t="s">
        <v>238</v>
      </c>
      <c r="ER3343" s="5" t="s">
        <v>238</v>
      </c>
      <c r="ES3343" s="5" t="s">
        <v>238</v>
      </c>
      <c r="ET3343" s="5" t="s">
        <v>238</v>
      </c>
      <c r="EU3343" s="5" t="s">
        <v>238</v>
      </c>
      <c r="EV3343" s="5" t="s">
        <v>238</v>
      </c>
      <c r="EW3343" s="5" t="s">
        <v>238</v>
      </c>
      <c r="EX3343" s="5" t="s">
        <v>238</v>
      </c>
      <c r="EY3343" s="5" t="s">
        <v>238</v>
      </c>
      <c r="EZ3343" s="5" t="s">
        <v>238</v>
      </c>
      <c r="FA3343" s="5" t="s">
        <v>238</v>
      </c>
      <c r="FB3343" s="5" t="s">
        <v>238</v>
      </c>
      <c r="FC3343" s="5" t="s">
        <v>238</v>
      </c>
      <c r="FD3343" s="5" t="s">
        <v>238</v>
      </c>
      <c r="FE3343" s="5" t="s">
        <v>238</v>
      </c>
      <c r="FF3343" s="5" t="s">
        <v>238</v>
      </c>
      <c r="FG3343" s="5" t="s">
        <v>238</v>
      </c>
      <c r="FH3343" s="5" t="s">
        <v>238</v>
      </c>
      <c r="FI3343" s="5" t="s">
        <v>238</v>
      </c>
      <c r="FJ3343" s="5" t="s">
        <v>238</v>
      </c>
      <c r="FK3343" s="5" t="s">
        <v>238</v>
      </c>
      <c r="FL3343" s="5" t="s">
        <v>238</v>
      </c>
      <c r="FM3343" s="5" t="s">
        <v>238</v>
      </c>
      <c r="FN3343" s="5" t="s">
        <v>238</v>
      </c>
      <c r="FO3343" s="5" t="s">
        <v>238</v>
      </c>
      <c r="FP3343" s="5" t="s">
        <v>238</v>
      </c>
      <c r="FQ3343" s="5" t="s">
        <v>238</v>
      </c>
      <c r="FR3343" s="5" t="s">
        <v>238</v>
      </c>
      <c r="FS3343" s="5" t="s">
        <v>238</v>
      </c>
      <c r="FT3343" s="5" t="s">
        <v>238</v>
      </c>
      <c r="FU3343" s="5" t="s">
        <v>238</v>
      </c>
      <c r="FV3343" s="5" t="s">
        <v>238</v>
      </c>
      <c r="FW3343" s="5" t="s">
        <v>238</v>
      </c>
      <c r="FX3343" s="5" t="s">
        <v>238</v>
      </c>
      <c r="FY3343" s="5" t="s">
        <v>238</v>
      </c>
      <c r="FZ3343" s="5" t="s">
        <v>238</v>
      </c>
      <c r="GA3343" s="5" t="s">
        <v>238</v>
      </c>
      <c r="GB3343" s="5" t="s">
        <v>238</v>
      </c>
      <c r="GC3343" s="5" t="s">
        <v>238</v>
      </c>
      <c r="GD3343" s="5" t="s">
        <v>238</v>
      </c>
      <c r="GE3343" s="5" t="s">
        <v>238</v>
      </c>
      <c r="GF3343" s="5" t="s">
        <v>238</v>
      </c>
      <c r="GG3343" s="5" t="s">
        <v>238</v>
      </c>
      <c r="GH3343" s="5" t="s">
        <v>238</v>
      </c>
      <c r="GI3343" s="5" t="s">
        <v>238</v>
      </c>
      <c r="GJ3343" s="5" t="s">
        <v>238</v>
      </c>
      <c r="GK3343" s="5" t="s">
        <v>238</v>
      </c>
      <c r="GL3343" s="5" t="s">
        <v>238</v>
      </c>
      <c r="GM3343" s="5" t="s">
        <v>238</v>
      </c>
      <c r="GN3343" s="5" t="s">
        <v>238</v>
      </c>
      <c r="GO3343" s="5" t="s">
        <v>238</v>
      </c>
      <c r="GP3343" s="5" t="s">
        <v>238</v>
      </c>
      <c r="GQ3343" s="5" t="s">
        <v>238</v>
      </c>
      <c r="GR3343" s="5" t="s">
        <v>238</v>
      </c>
      <c r="GS3343" s="5" t="s">
        <v>238</v>
      </c>
      <c r="GT3343" s="5" t="s">
        <v>238</v>
      </c>
      <c r="GU3343" s="5" t="s">
        <v>238</v>
      </c>
      <c r="GV3343" s="5" t="s">
        <v>238</v>
      </c>
      <c r="GW3343" s="5" t="s">
        <v>238</v>
      </c>
      <c r="GX3343" s="5" t="s">
        <v>238</v>
      </c>
      <c r="GY3343" s="5" t="s">
        <v>238</v>
      </c>
      <c r="GZ3343" s="5" t="s">
        <v>238</v>
      </c>
      <c r="HA3343" s="5" t="s">
        <v>238</v>
      </c>
      <c r="HB3343" s="5" t="s">
        <v>238</v>
      </c>
      <c r="HC3343" s="5" t="s">
        <v>238</v>
      </c>
      <c r="HD3343" s="5" t="s">
        <v>238</v>
      </c>
      <c r="HE3343" s="5" t="s">
        <v>238</v>
      </c>
      <c r="HF3343" s="5" t="s">
        <v>238</v>
      </c>
      <c r="HG3343" s="5" t="s">
        <v>238</v>
      </c>
      <c r="HH3343" s="5" t="s">
        <v>238</v>
      </c>
      <c r="HI3343" s="5" t="s">
        <v>238</v>
      </c>
      <c r="HJ3343" s="5" t="s">
        <v>238</v>
      </c>
      <c r="HK3343" s="5" t="s">
        <v>238</v>
      </c>
      <c r="HL3343" s="5" t="s">
        <v>238</v>
      </c>
      <c r="HM3343" s="5" t="s">
        <v>264</v>
      </c>
      <c r="HN3343" s="5" t="s">
        <v>238</v>
      </c>
      <c r="HO3343" s="5" t="s">
        <v>238</v>
      </c>
      <c r="HP3343" s="5" t="s">
        <v>238</v>
      </c>
      <c r="HQ3343" s="5" t="s">
        <v>238</v>
      </c>
      <c r="HR3343" s="5" t="s">
        <v>238</v>
      </c>
      <c r="HS3343" s="5" t="s">
        <v>238</v>
      </c>
      <c r="HT3343" s="5" t="s">
        <v>238</v>
      </c>
      <c r="HU3343" s="5" t="s">
        <v>238</v>
      </c>
      <c r="HV3343" s="5" t="s">
        <v>238</v>
      </c>
      <c r="HW3343" s="5" t="s">
        <v>238</v>
      </c>
      <c r="HX3343" s="5" t="s">
        <v>238</v>
      </c>
      <c r="HY3343" s="5" t="s">
        <v>238</v>
      </c>
      <c r="HZ3343" s="5" t="s">
        <v>238</v>
      </c>
      <c r="IA3343" s="5" t="s">
        <v>238</v>
      </c>
      <c r="IB3343" s="5" t="s">
        <v>238</v>
      </c>
      <c r="IC3343" s="5" t="s">
        <v>238</v>
      </c>
      <c r="ID3343" s="5" t="s">
        <v>238</v>
      </c>
    </row>
    <row r="3344" spans="1:238" x14ac:dyDescent="0.4">
      <c r="A3344" s="5">
        <v>9062</v>
      </c>
      <c r="B3344" s="5">
        <v>1</v>
      </c>
      <c r="C3344" s="5">
        <v>1</v>
      </c>
      <c r="D3344" s="5" t="s">
        <v>484</v>
      </c>
      <c r="E3344" s="5" t="s">
        <v>878</v>
      </c>
      <c r="F3344" s="5" t="s">
        <v>248</v>
      </c>
      <c r="G3344" s="5" t="s">
        <v>5277</v>
      </c>
      <c r="H3344" s="6" t="s">
        <v>5278</v>
      </c>
      <c r="I3344" s="8">
        <f>1</f>
        <v>1</v>
      </c>
      <c r="J3344" s="5" t="s">
        <v>499</v>
      </c>
      <c r="K3344" s="8">
        <f>1</f>
        <v>1</v>
      </c>
      <c r="L3344" s="6" t="s">
        <v>242</v>
      </c>
      <c r="M3344" s="5" t="s">
        <v>267</v>
      </c>
      <c r="N3344" s="5" t="s">
        <v>482</v>
      </c>
      <c r="O3344" s="5" t="s">
        <v>238</v>
      </c>
      <c r="P3344" s="5" t="s">
        <v>238</v>
      </c>
      <c r="Q3344" s="5" t="s">
        <v>239</v>
      </c>
      <c r="R3344" s="5" t="s">
        <v>270</v>
      </c>
      <c r="S3344" s="5" t="s">
        <v>238</v>
      </c>
      <c r="T3344" s="5" t="s">
        <v>238</v>
      </c>
      <c r="U3344" s="5" t="s">
        <v>238</v>
      </c>
      <c r="V3344" s="5" t="s">
        <v>238</v>
      </c>
      <c r="W3344" s="6" t="s">
        <v>238</v>
      </c>
      <c r="X3344" s="6" t="s">
        <v>238</v>
      </c>
      <c r="Y3344" s="5" t="s">
        <v>238</v>
      </c>
      <c r="Z3344" s="6" t="s">
        <v>238</v>
      </c>
      <c r="AA3344" s="6" t="s">
        <v>243</v>
      </c>
      <c r="AB3344" s="5" t="s">
        <v>879</v>
      </c>
      <c r="AC3344" s="5" t="s">
        <v>244</v>
      </c>
      <c r="AD3344" s="5" t="s">
        <v>245</v>
      </c>
      <c r="AE3344" s="5" t="s">
        <v>238</v>
      </c>
      <c r="AF3344" s="5" t="s">
        <v>238</v>
      </c>
      <c r="AG3344" s="5" t="s">
        <v>238</v>
      </c>
      <c r="AH3344" s="5" t="s">
        <v>238</v>
      </c>
      <c r="AI3344" s="5" t="s">
        <v>238</v>
      </c>
      <c r="AJ3344" s="5" t="s">
        <v>238</v>
      </c>
      <c r="AK3344" s="5" t="s">
        <v>238</v>
      </c>
      <c r="AL3344" s="5" t="s">
        <v>238</v>
      </c>
      <c r="AM3344" s="6" t="s">
        <v>238</v>
      </c>
      <c r="AN3344" s="6" t="s">
        <v>238</v>
      </c>
      <c r="AO3344" s="6" t="s">
        <v>238</v>
      </c>
      <c r="AP3344" s="6" t="s">
        <v>238</v>
      </c>
      <c r="AQ3344" s="5" t="s">
        <v>238</v>
      </c>
      <c r="AR3344" s="5" t="s">
        <v>488</v>
      </c>
      <c r="AS3344" s="5" t="s">
        <v>488</v>
      </c>
      <c r="AT3344" s="5" t="s">
        <v>246</v>
      </c>
      <c r="AU3344" s="5" t="s">
        <v>489</v>
      </c>
      <c r="AV3344" s="5" t="s">
        <v>247</v>
      </c>
      <c r="AW3344" s="5" t="s">
        <v>238</v>
      </c>
      <c r="AX3344" s="5" t="s">
        <v>249</v>
      </c>
      <c r="AY3344" s="5" t="s">
        <v>490</v>
      </c>
      <c r="BA3344" s="5" t="s">
        <v>238</v>
      </c>
      <c r="BC3344" s="5" t="s">
        <v>491</v>
      </c>
      <c r="BD3344" s="6" t="s">
        <v>492</v>
      </c>
      <c r="BE3344" s="5" t="s">
        <v>493</v>
      </c>
      <c r="BF3344" s="5" t="s">
        <v>493</v>
      </c>
      <c r="BG3344" s="5" t="s">
        <v>238</v>
      </c>
      <c r="BH3344" s="8">
        <f>1</f>
        <v>1</v>
      </c>
      <c r="BI3344" s="8">
        <f>1</f>
        <v>1</v>
      </c>
      <c r="BJ3344" s="5" t="s">
        <v>253</v>
      </c>
      <c r="BK3344" s="5" t="s">
        <v>254</v>
      </c>
      <c r="BL3344" s="5" t="s">
        <v>238</v>
      </c>
      <c r="BM3344" s="5" t="s">
        <v>238</v>
      </c>
      <c r="BN3344" s="5" t="s">
        <v>238</v>
      </c>
      <c r="BO3344" s="5" t="s">
        <v>238</v>
      </c>
      <c r="BP3344" s="5" t="s">
        <v>238</v>
      </c>
      <c r="BQ3344" s="5" t="s">
        <v>238</v>
      </c>
      <c r="BR3344" s="5" t="s">
        <v>238</v>
      </c>
      <c r="BS3344" s="5" t="s">
        <v>238</v>
      </c>
      <c r="BT3344" s="6" t="s">
        <v>238</v>
      </c>
      <c r="BU3344" s="5" t="s">
        <v>238</v>
      </c>
      <c r="BV3344" s="5" t="s">
        <v>238</v>
      </c>
      <c r="BW3344" s="5" t="s">
        <v>238</v>
      </c>
      <c r="BX3344" s="5" t="s">
        <v>254</v>
      </c>
      <c r="BY3344" s="5" t="s">
        <v>238</v>
      </c>
      <c r="BZ3344" s="5" t="s">
        <v>238</v>
      </c>
      <c r="CA3344" s="5" t="s">
        <v>238</v>
      </c>
      <c r="CB3344" s="5" t="s">
        <v>238</v>
      </c>
      <c r="CC3344" s="5" t="s">
        <v>238</v>
      </c>
      <c r="CD3344" s="5" t="s">
        <v>273</v>
      </c>
      <c r="CE3344" s="5" t="s">
        <v>256</v>
      </c>
      <c r="CF3344" s="5" t="s">
        <v>238</v>
      </c>
      <c r="CH3344" s="5" t="s">
        <v>494</v>
      </c>
      <c r="CI3344" s="6" t="s">
        <v>257</v>
      </c>
      <c r="CJ3344" s="5" t="s">
        <v>495</v>
      </c>
      <c r="CK3344" s="5" t="s">
        <v>258</v>
      </c>
      <c r="CL3344" s="5" t="s">
        <v>496</v>
      </c>
      <c r="CM3344" s="5" t="s">
        <v>238</v>
      </c>
      <c r="CN3344" s="5">
        <v>0</v>
      </c>
      <c r="CO3344" s="5" t="s">
        <v>497</v>
      </c>
      <c r="CP3344" s="5" t="s">
        <v>260</v>
      </c>
      <c r="CQ3344" s="5" t="s">
        <v>260</v>
      </c>
      <c r="CR3344" s="5" t="s">
        <v>261</v>
      </c>
      <c r="CS3344" s="5" t="s">
        <v>498</v>
      </c>
      <c r="CT3344" s="7">
        <f>1</f>
        <v>1</v>
      </c>
      <c r="CU3344" s="8">
        <f>1</f>
        <v>1</v>
      </c>
      <c r="CV3344" s="8">
        <f>0</f>
        <v>0</v>
      </c>
      <c r="CX3344" s="8">
        <f>1</f>
        <v>1</v>
      </c>
      <c r="CY3344" s="8">
        <f>1</f>
        <v>1</v>
      </c>
      <c r="CZ3344" s="8" t="s">
        <v>238</v>
      </c>
      <c r="DA3344" s="5" t="s">
        <v>238</v>
      </c>
      <c r="DB3344" s="5" t="s">
        <v>238</v>
      </c>
      <c r="DC3344" s="5" t="s">
        <v>238</v>
      </c>
      <c r="DD3344" s="5" t="s">
        <v>238</v>
      </c>
      <c r="DE3344" s="8">
        <f>0</f>
        <v>0</v>
      </c>
      <c r="DG3344" s="5" t="s">
        <v>238</v>
      </c>
      <c r="DH3344" s="5" t="s">
        <v>238</v>
      </c>
      <c r="DI3344" s="5" t="s">
        <v>238</v>
      </c>
      <c r="DJ3344" s="5" t="s">
        <v>238</v>
      </c>
      <c r="DK3344" s="5" t="s">
        <v>238</v>
      </c>
      <c r="DL3344" s="5" t="s">
        <v>238</v>
      </c>
      <c r="DM3344" s="8" t="s">
        <v>238</v>
      </c>
      <c r="DN3344" s="5" t="s">
        <v>238</v>
      </c>
      <c r="DO3344" s="5" t="s">
        <v>238</v>
      </c>
      <c r="DP3344" s="5" t="s">
        <v>490</v>
      </c>
      <c r="DQ3344" s="5" t="s">
        <v>490</v>
      </c>
      <c r="DR3344" s="5" t="s">
        <v>238</v>
      </c>
      <c r="DS3344" s="5" t="s">
        <v>238</v>
      </c>
      <c r="DT3344" s="5" t="s">
        <v>881</v>
      </c>
      <c r="DU3344" s="5" t="s">
        <v>1346</v>
      </c>
      <c r="DV3344" s="5" t="s">
        <v>238</v>
      </c>
      <c r="DW3344" s="5" t="s">
        <v>238</v>
      </c>
      <c r="DX3344" s="5" t="s">
        <v>238</v>
      </c>
      <c r="DY3344" s="5" t="s">
        <v>238</v>
      </c>
      <c r="DZ3344" s="5" t="s">
        <v>238</v>
      </c>
      <c r="EA3344" s="5" t="s">
        <v>238</v>
      </c>
      <c r="EB3344" s="5" t="s">
        <v>238</v>
      </c>
      <c r="EC3344" s="5" t="s">
        <v>238</v>
      </c>
      <c r="ED3344" s="5" t="s">
        <v>238</v>
      </c>
      <c r="EE3344" s="5" t="s">
        <v>238</v>
      </c>
      <c r="EF3344" s="5" t="s">
        <v>238</v>
      </c>
      <c r="EG3344" s="5" t="s">
        <v>238</v>
      </c>
      <c r="EH3344" s="5" t="s">
        <v>238</v>
      </c>
      <c r="EI3344" s="5" t="s">
        <v>238</v>
      </c>
      <c r="EJ3344" s="5" t="s">
        <v>238</v>
      </c>
      <c r="EK3344" s="5" t="s">
        <v>238</v>
      </c>
      <c r="EL3344" s="5" t="s">
        <v>238</v>
      </c>
      <c r="EM3344" s="5" t="s">
        <v>238</v>
      </c>
      <c r="EN3344" s="5" t="s">
        <v>238</v>
      </c>
      <c r="EO3344" s="5" t="s">
        <v>238</v>
      </c>
      <c r="EP3344" s="5" t="s">
        <v>238</v>
      </c>
      <c r="EQ3344" s="5" t="s">
        <v>238</v>
      </c>
      <c r="ER3344" s="5" t="s">
        <v>238</v>
      </c>
      <c r="ES3344" s="5" t="s">
        <v>238</v>
      </c>
      <c r="ET3344" s="5" t="s">
        <v>238</v>
      </c>
      <c r="EU3344" s="5" t="s">
        <v>238</v>
      </c>
      <c r="EV3344" s="5" t="s">
        <v>238</v>
      </c>
      <c r="EW3344" s="5" t="s">
        <v>238</v>
      </c>
      <c r="EX3344" s="5" t="s">
        <v>238</v>
      </c>
      <c r="EY3344" s="5" t="s">
        <v>238</v>
      </c>
      <c r="EZ3344" s="5" t="s">
        <v>238</v>
      </c>
      <c r="FA3344" s="5" t="s">
        <v>238</v>
      </c>
      <c r="FB3344" s="5" t="s">
        <v>238</v>
      </c>
      <c r="FC3344" s="5" t="s">
        <v>238</v>
      </c>
      <c r="FD3344" s="5" t="s">
        <v>238</v>
      </c>
      <c r="FE3344" s="5" t="s">
        <v>238</v>
      </c>
      <c r="FF3344" s="5" t="s">
        <v>238</v>
      </c>
      <c r="FG3344" s="5" t="s">
        <v>238</v>
      </c>
      <c r="FH3344" s="5" t="s">
        <v>238</v>
      </c>
      <c r="FI3344" s="5" t="s">
        <v>238</v>
      </c>
      <c r="FJ3344" s="5" t="s">
        <v>238</v>
      </c>
      <c r="FK3344" s="5" t="s">
        <v>238</v>
      </c>
      <c r="FL3344" s="5" t="s">
        <v>238</v>
      </c>
      <c r="FM3344" s="5" t="s">
        <v>238</v>
      </c>
      <c r="FN3344" s="5" t="s">
        <v>238</v>
      </c>
      <c r="FO3344" s="5" t="s">
        <v>238</v>
      </c>
      <c r="FP3344" s="5" t="s">
        <v>238</v>
      </c>
      <c r="FQ3344" s="5" t="s">
        <v>238</v>
      </c>
      <c r="FR3344" s="5" t="s">
        <v>238</v>
      </c>
      <c r="FS3344" s="5" t="s">
        <v>238</v>
      </c>
      <c r="FT3344" s="5" t="s">
        <v>238</v>
      </c>
      <c r="FU3344" s="5" t="s">
        <v>238</v>
      </c>
      <c r="FV3344" s="5" t="s">
        <v>238</v>
      </c>
      <c r="FW3344" s="5" t="s">
        <v>238</v>
      </c>
      <c r="FX3344" s="5" t="s">
        <v>238</v>
      </c>
      <c r="FY3344" s="5" t="s">
        <v>238</v>
      </c>
      <c r="FZ3344" s="5" t="s">
        <v>238</v>
      </c>
      <c r="GA3344" s="5" t="s">
        <v>238</v>
      </c>
      <c r="GB3344" s="5" t="s">
        <v>238</v>
      </c>
      <c r="GC3344" s="5" t="s">
        <v>238</v>
      </c>
      <c r="GD3344" s="5" t="s">
        <v>238</v>
      </c>
      <c r="GE3344" s="5" t="s">
        <v>238</v>
      </c>
      <c r="GF3344" s="5" t="s">
        <v>238</v>
      </c>
      <c r="GG3344" s="5" t="s">
        <v>238</v>
      </c>
      <c r="GH3344" s="5" t="s">
        <v>238</v>
      </c>
      <c r="GI3344" s="5" t="s">
        <v>238</v>
      </c>
      <c r="GJ3344" s="5" t="s">
        <v>238</v>
      </c>
      <c r="GK3344" s="5" t="s">
        <v>238</v>
      </c>
      <c r="GL3344" s="5" t="s">
        <v>238</v>
      </c>
      <c r="GM3344" s="5" t="s">
        <v>238</v>
      </c>
      <c r="GN3344" s="5" t="s">
        <v>238</v>
      </c>
      <c r="GO3344" s="5" t="s">
        <v>238</v>
      </c>
      <c r="GP3344" s="5" t="s">
        <v>238</v>
      </c>
      <c r="GQ3344" s="5" t="s">
        <v>238</v>
      </c>
      <c r="GR3344" s="5" t="s">
        <v>238</v>
      </c>
      <c r="GS3344" s="5" t="s">
        <v>238</v>
      </c>
      <c r="GT3344" s="5" t="s">
        <v>238</v>
      </c>
      <c r="GU3344" s="5" t="s">
        <v>238</v>
      </c>
      <c r="GV3344" s="5" t="s">
        <v>238</v>
      </c>
      <c r="GW3344" s="5" t="s">
        <v>238</v>
      </c>
      <c r="GX3344" s="5" t="s">
        <v>238</v>
      </c>
      <c r="GY3344" s="5" t="s">
        <v>238</v>
      </c>
      <c r="GZ3344" s="5" t="s">
        <v>238</v>
      </c>
      <c r="HA3344" s="5" t="s">
        <v>238</v>
      </c>
      <c r="HB3344" s="5" t="s">
        <v>238</v>
      </c>
      <c r="HC3344" s="5" t="s">
        <v>238</v>
      </c>
      <c r="HD3344" s="5" t="s">
        <v>238</v>
      </c>
      <c r="HE3344" s="5" t="s">
        <v>238</v>
      </c>
      <c r="HF3344" s="5" t="s">
        <v>238</v>
      </c>
      <c r="HG3344" s="5" t="s">
        <v>238</v>
      </c>
      <c r="HH3344" s="5" t="s">
        <v>238</v>
      </c>
      <c r="HI3344" s="5" t="s">
        <v>238</v>
      </c>
      <c r="HJ3344" s="5" t="s">
        <v>238</v>
      </c>
      <c r="HK3344" s="5" t="s">
        <v>238</v>
      </c>
      <c r="HL3344" s="5" t="s">
        <v>238</v>
      </c>
      <c r="HM3344" s="5" t="s">
        <v>264</v>
      </c>
      <c r="HN3344" s="5" t="s">
        <v>238</v>
      </c>
      <c r="HO3344" s="5" t="s">
        <v>238</v>
      </c>
      <c r="HP3344" s="5" t="s">
        <v>238</v>
      </c>
      <c r="HQ3344" s="5" t="s">
        <v>238</v>
      </c>
      <c r="HR3344" s="5" t="s">
        <v>238</v>
      </c>
      <c r="HS3344" s="5" t="s">
        <v>238</v>
      </c>
      <c r="HT3344" s="5" t="s">
        <v>238</v>
      </c>
      <c r="HU3344" s="5" t="s">
        <v>238</v>
      </c>
      <c r="HV3344" s="5" t="s">
        <v>238</v>
      </c>
      <c r="HW3344" s="5" t="s">
        <v>238</v>
      </c>
      <c r="HX3344" s="5" t="s">
        <v>238</v>
      </c>
      <c r="HY3344" s="5" t="s">
        <v>238</v>
      </c>
      <c r="HZ3344" s="5" t="s">
        <v>238</v>
      </c>
      <c r="IA3344" s="5" t="s">
        <v>238</v>
      </c>
      <c r="IB3344" s="5" t="s">
        <v>238</v>
      </c>
      <c r="IC3344" s="5" t="s">
        <v>238</v>
      </c>
      <c r="ID3344" s="5" t="s">
        <v>238</v>
      </c>
    </row>
    <row r="3345" spans="1:238" x14ac:dyDescent="0.4">
      <c r="A3345" s="5">
        <v>9063</v>
      </c>
      <c r="B3345" s="5">
        <v>1</v>
      </c>
      <c r="C3345" s="5">
        <v>1</v>
      </c>
      <c r="D3345" s="5" t="s">
        <v>484</v>
      </c>
      <c r="E3345" s="5" t="s">
        <v>878</v>
      </c>
      <c r="F3345" s="5" t="s">
        <v>248</v>
      </c>
      <c r="G3345" s="5" t="s">
        <v>4432</v>
      </c>
      <c r="H3345" s="6" t="s">
        <v>4433</v>
      </c>
      <c r="I3345" s="8">
        <f>1</f>
        <v>1</v>
      </c>
      <c r="J3345" s="5" t="s">
        <v>499</v>
      </c>
      <c r="K3345" s="8">
        <f>1</f>
        <v>1</v>
      </c>
      <c r="L3345" s="6" t="s">
        <v>242</v>
      </c>
      <c r="M3345" s="5" t="s">
        <v>267</v>
      </c>
      <c r="N3345" s="5" t="s">
        <v>482</v>
      </c>
      <c r="O3345" s="5" t="s">
        <v>238</v>
      </c>
      <c r="P3345" s="5" t="s">
        <v>238</v>
      </c>
      <c r="Q3345" s="5" t="s">
        <v>239</v>
      </c>
      <c r="R3345" s="5" t="s">
        <v>270</v>
      </c>
      <c r="S3345" s="5" t="s">
        <v>238</v>
      </c>
      <c r="T3345" s="5" t="s">
        <v>238</v>
      </c>
      <c r="U3345" s="5" t="s">
        <v>238</v>
      </c>
      <c r="V3345" s="5" t="s">
        <v>238</v>
      </c>
      <c r="W3345" s="6" t="s">
        <v>238</v>
      </c>
      <c r="X3345" s="6" t="s">
        <v>238</v>
      </c>
      <c r="Y3345" s="5" t="s">
        <v>238</v>
      </c>
      <c r="Z3345" s="6" t="s">
        <v>238</v>
      </c>
      <c r="AA3345" s="6" t="s">
        <v>243</v>
      </c>
      <c r="AB3345" s="5" t="s">
        <v>879</v>
      </c>
      <c r="AC3345" s="5" t="s">
        <v>244</v>
      </c>
      <c r="AD3345" s="5" t="s">
        <v>245</v>
      </c>
      <c r="AE3345" s="5" t="s">
        <v>238</v>
      </c>
      <c r="AF3345" s="5" t="s">
        <v>238</v>
      </c>
      <c r="AG3345" s="5" t="s">
        <v>238</v>
      </c>
      <c r="AH3345" s="5" t="s">
        <v>238</v>
      </c>
      <c r="AI3345" s="5" t="s">
        <v>238</v>
      </c>
      <c r="AJ3345" s="5" t="s">
        <v>238</v>
      </c>
      <c r="AK3345" s="5" t="s">
        <v>238</v>
      </c>
      <c r="AL3345" s="5" t="s">
        <v>238</v>
      </c>
      <c r="AM3345" s="6" t="s">
        <v>238</v>
      </c>
      <c r="AN3345" s="6" t="s">
        <v>238</v>
      </c>
      <c r="AO3345" s="6" t="s">
        <v>238</v>
      </c>
      <c r="AP3345" s="6" t="s">
        <v>238</v>
      </c>
      <c r="AQ3345" s="5" t="s">
        <v>238</v>
      </c>
      <c r="AR3345" s="5" t="s">
        <v>488</v>
      </c>
      <c r="AS3345" s="5" t="s">
        <v>488</v>
      </c>
      <c r="AT3345" s="5" t="s">
        <v>246</v>
      </c>
      <c r="AU3345" s="5" t="s">
        <v>489</v>
      </c>
      <c r="AV3345" s="5" t="s">
        <v>247</v>
      </c>
      <c r="AW3345" s="5" t="s">
        <v>238</v>
      </c>
      <c r="AX3345" s="5" t="s">
        <v>249</v>
      </c>
      <c r="AY3345" s="5" t="s">
        <v>490</v>
      </c>
      <c r="BA3345" s="5" t="s">
        <v>238</v>
      </c>
      <c r="BC3345" s="5" t="s">
        <v>491</v>
      </c>
      <c r="BD3345" s="6" t="s">
        <v>492</v>
      </c>
      <c r="BE3345" s="5" t="s">
        <v>493</v>
      </c>
      <c r="BF3345" s="5" t="s">
        <v>493</v>
      </c>
      <c r="BG3345" s="5" t="s">
        <v>238</v>
      </c>
      <c r="BH3345" s="8">
        <f>1</f>
        <v>1</v>
      </c>
      <c r="BI3345" s="8">
        <f>1</f>
        <v>1</v>
      </c>
      <c r="BJ3345" s="5" t="s">
        <v>253</v>
      </c>
      <c r="BK3345" s="5" t="s">
        <v>254</v>
      </c>
      <c r="BL3345" s="5" t="s">
        <v>238</v>
      </c>
      <c r="BM3345" s="5" t="s">
        <v>238</v>
      </c>
      <c r="BN3345" s="5" t="s">
        <v>238</v>
      </c>
      <c r="BO3345" s="5" t="s">
        <v>238</v>
      </c>
      <c r="BP3345" s="5" t="s">
        <v>238</v>
      </c>
      <c r="BQ3345" s="5" t="s">
        <v>238</v>
      </c>
      <c r="BR3345" s="5" t="s">
        <v>238</v>
      </c>
      <c r="BS3345" s="5" t="s">
        <v>238</v>
      </c>
      <c r="BT3345" s="6" t="s">
        <v>238</v>
      </c>
      <c r="BU3345" s="5" t="s">
        <v>238</v>
      </c>
      <c r="BV3345" s="5" t="s">
        <v>238</v>
      </c>
      <c r="BW3345" s="5" t="s">
        <v>238</v>
      </c>
      <c r="BX3345" s="5" t="s">
        <v>254</v>
      </c>
      <c r="BY3345" s="5" t="s">
        <v>238</v>
      </c>
      <c r="BZ3345" s="5" t="s">
        <v>238</v>
      </c>
      <c r="CA3345" s="5" t="s">
        <v>238</v>
      </c>
      <c r="CB3345" s="5" t="s">
        <v>238</v>
      </c>
      <c r="CC3345" s="5" t="s">
        <v>238</v>
      </c>
      <c r="CD3345" s="5" t="s">
        <v>273</v>
      </c>
      <c r="CE3345" s="5" t="s">
        <v>256</v>
      </c>
      <c r="CF3345" s="5" t="s">
        <v>238</v>
      </c>
      <c r="CH3345" s="5" t="s">
        <v>494</v>
      </c>
      <c r="CI3345" s="6" t="s">
        <v>257</v>
      </c>
      <c r="CJ3345" s="5" t="s">
        <v>495</v>
      </c>
      <c r="CK3345" s="5" t="s">
        <v>258</v>
      </c>
      <c r="CL3345" s="5" t="s">
        <v>496</v>
      </c>
      <c r="CM3345" s="5" t="s">
        <v>238</v>
      </c>
      <c r="CN3345" s="5">
        <v>0</v>
      </c>
      <c r="CO3345" s="5" t="s">
        <v>497</v>
      </c>
      <c r="CP3345" s="5" t="s">
        <v>260</v>
      </c>
      <c r="CQ3345" s="5" t="s">
        <v>260</v>
      </c>
      <c r="CR3345" s="5" t="s">
        <v>261</v>
      </c>
      <c r="CS3345" s="5" t="s">
        <v>498</v>
      </c>
      <c r="CT3345" s="7">
        <f>1</f>
        <v>1</v>
      </c>
      <c r="CU3345" s="8">
        <f>1</f>
        <v>1</v>
      </c>
      <c r="CV3345" s="8">
        <f>0</f>
        <v>0</v>
      </c>
      <c r="CX3345" s="8">
        <f>1</f>
        <v>1</v>
      </c>
      <c r="CY3345" s="8">
        <f>1</f>
        <v>1</v>
      </c>
      <c r="CZ3345" s="8" t="s">
        <v>238</v>
      </c>
      <c r="DA3345" s="5" t="s">
        <v>238</v>
      </c>
      <c r="DB3345" s="5" t="s">
        <v>238</v>
      </c>
      <c r="DC3345" s="5" t="s">
        <v>238</v>
      </c>
      <c r="DD3345" s="5" t="s">
        <v>238</v>
      </c>
      <c r="DE3345" s="8">
        <f>0</f>
        <v>0</v>
      </c>
      <c r="DG3345" s="5" t="s">
        <v>238</v>
      </c>
      <c r="DH3345" s="5" t="s">
        <v>238</v>
      </c>
      <c r="DI3345" s="5" t="s">
        <v>238</v>
      </c>
      <c r="DJ3345" s="5" t="s">
        <v>238</v>
      </c>
      <c r="DK3345" s="5" t="s">
        <v>238</v>
      </c>
      <c r="DL3345" s="5" t="s">
        <v>238</v>
      </c>
      <c r="DM3345" s="8" t="s">
        <v>238</v>
      </c>
      <c r="DN3345" s="5" t="s">
        <v>238</v>
      </c>
      <c r="DO3345" s="5" t="s">
        <v>238</v>
      </c>
      <c r="DP3345" s="5" t="s">
        <v>490</v>
      </c>
      <c r="DQ3345" s="5" t="s">
        <v>490</v>
      </c>
      <c r="DR3345" s="5" t="s">
        <v>238</v>
      </c>
      <c r="DS3345" s="5" t="s">
        <v>238</v>
      </c>
      <c r="DT3345" s="5" t="s">
        <v>881</v>
      </c>
      <c r="DU3345" s="5" t="s">
        <v>536</v>
      </c>
      <c r="DV3345" s="5" t="s">
        <v>238</v>
      </c>
      <c r="DW3345" s="5" t="s">
        <v>238</v>
      </c>
      <c r="DX3345" s="5" t="s">
        <v>238</v>
      </c>
      <c r="DY3345" s="5" t="s">
        <v>238</v>
      </c>
      <c r="DZ3345" s="5" t="s">
        <v>238</v>
      </c>
      <c r="EA3345" s="5" t="s">
        <v>238</v>
      </c>
      <c r="EB3345" s="5" t="s">
        <v>238</v>
      </c>
      <c r="EC3345" s="5" t="s">
        <v>238</v>
      </c>
      <c r="ED3345" s="5" t="s">
        <v>238</v>
      </c>
      <c r="EE3345" s="5" t="s">
        <v>238</v>
      </c>
      <c r="EF3345" s="5" t="s">
        <v>238</v>
      </c>
      <c r="EG3345" s="5" t="s">
        <v>238</v>
      </c>
      <c r="EH3345" s="5" t="s">
        <v>238</v>
      </c>
      <c r="EI3345" s="5" t="s">
        <v>238</v>
      </c>
      <c r="EJ3345" s="5" t="s">
        <v>238</v>
      </c>
      <c r="EK3345" s="5" t="s">
        <v>238</v>
      </c>
      <c r="EL3345" s="5" t="s">
        <v>238</v>
      </c>
      <c r="EM3345" s="5" t="s">
        <v>238</v>
      </c>
      <c r="EN3345" s="5" t="s">
        <v>238</v>
      </c>
      <c r="EO3345" s="5" t="s">
        <v>238</v>
      </c>
      <c r="EP3345" s="5" t="s">
        <v>238</v>
      </c>
      <c r="EQ3345" s="5" t="s">
        <v>238</v>
      </c>
      <c r="ER3345" s="5" t="s">
        <v>238</v>
      </c>
      <c r="ES3345" s="5" t="s">
        <v>238</v>
      </c>
      <c r="ET3345" s="5" t="s">
        <v>238</v>
      </c>
      <c r="EU3345" s="5" t="s">
        <v>238</v>
      </c>
      <c r="EV3345" s="5" t="s">
        <v>238</v>
      </c>
      <c r="EW3345" s="5" t="s">
        <v>238</v>
      </c>
      <c r="EX3345" s="5" t="s">
        <v>238</v>
      </c>
      <c r="EY3345" s="5" t="s">
        <v>238</v>
      </c>
      <c r="EZ3345" s="5" t="s">
        <v>238</v>
      </c>
      <c r="FA3345" s="5" t="s">
        <v>238</v>
      </c>
      <c r="FB3345" s="5" t="s">
        <v>238</v>
      </c>
      <c r="FC3345" s="5" t="s">
        <v>238</v>
      </c>
      <c r="FD3345" s="5" t="s">
        <v>238</v>
      </c>
      <c r="FE3345" s="5" t="s">
        <v>238</v>
      </c>
      <c r="FF3345" s="5" t="s">
        <v>238</v>
      </c>
      <c r="FG3345" s="5" t="s">
        <v>238</v>
      </c>
      <c r="FH3345" s="5" t="s">
        <v>238</v>
      </c>
      <c r="FI3345" s="5" t="s">
        <v>238</v>
      </c>
      <c r="FJ3345" s="5" t="s">
        <v>238</v>
      </c>
      <c r="FK3345" s="5" t="s">
        <v>238</v>
      </c>
      <c r="FL3345" s="5" t="s">
        <v>238</v>
      </c>
      <c r="FM3345" s="5" t="s">
        <v>238</v>
      </c>
      <c r="FN3345" s="5" t="s">
        <v>238</v>
      </c>
      <c r="FO3345" s="5" t="s">
        <v>238</v>
      </c>
      <c r="FP3345" s="5" t="s">
        <v>238</v>
      </c>
      <c r="FQ3345" s="5" t="s">
        <v>238</v>
      </c>
      <c r="FR3345" s="5" t="s">
        <v>238</v>
      </c>
      <c r="FS3345" s="5" t="s">
        <v>238</v>
      </c>
      <c r="FT3345" s="5" t="s">
        <v>238</v>
      </c>
      <c r="FU3345" s="5" t="s">
        <v>238</v>
      </c>
      <c r="FV3345" s="5" t="s">
        <v>238</v>
      </c>
      <c r="FW3345" s="5" t="s">
        <v>238</v>
      </c>
      <c r="FX3345" s="5" t="s">
        <v>238</v>
      </c>
      <c r="FY3345" s="5" t="s">
        <v>238</v>
      </c>
      <c r="FZ3345" s="5" t="s">
        <v>238</v>
      </c>
      <c r="GA3345" s="5" t="s">
        <v>238</v>
      </c>
      <c r="GB3345" s="5" t="s">
        <v>238</v>
      </c>
      <c r="GC3345" s="5" t="s">
        <v>238</v>
      </c>
      <c r="GD3345" s="5" t="s">
        <v>238</v>
      </c>
      <c r="GE3345" s="5" t="s">
        <v>238</v>
      </c>
      <c r="GF3345" s="5" t="s">
        <v>238</v>
      </c>
      <c r="GG3345" s="5" t="s">
        <v>238</v>
      </c>
      <c r="GH3345" s="5" t="s">
        <v>238</v>
      </c>
      <c r="GI3345" s="5" t="s">
        <v>238</v>
      </c>
      <c r="GJ3345" s="5" t="s">
        <v>238</v>
      </c>
      <c r="GK3345" s="5" t="s">
        <v>238</v>
      </c>
      <c r="GL3345" s="5" t="s">
        <v>238</v>
      </c>
      <c r="GM3345" s="5" t="s">
        <v>238</v>
      </c>
      <c r="GN3345" s="5" t="s">
        <v>238</v>
      </c>
      <c r="GO3345" s="5" t="s">
        <v>238</v>
      </c>
      <c r="GP3345" s="5" t="s">
        <v>238</v>
      </c>
      <c r="GQ3345" s="5" t="s">
        <v>238</v>
      </c>
      <c r="GR3345" s="5" t="s">
        <v>238</v>
      </c>
      <c r="GS3345" s="5" t="s">
        <v>238</v>
      </c>
      <c r="GT3345" s="5" t="s">
        <v>238</v>
      </c>
      <c r="GU3345" s="5" t="s">
        <v>238</v>
      </c>
      <c r="GV3345" s="5" t="s">
        <v>238</v>
      </c>
      <c r="GW3345" s="5" t="s">
        <v>238</v>
      </c>
      <c r="GX3345" s="5" t="s">
        <v>238</v>
      </c>
      <c r="GY3345" s="5" t="s">
        <v>238</v>
      </c>
      <c r="GZ3345" s="5" t="s">
        <v>238</v>
      </c>
      <c r="HA3345" s="5" t="s">
        <v>238</v>
      </c>
      <c r="HB3345" s="5" t="s">
        <v>238</v>
      </c>
      <c r="HC3345" s="5" t="s">
        <v>238</v>
      </c>
      <c r="HD3345" s="5" t="s">
        <v>238</v>
      </c>
      <c r="HE3345" s="5" t="s">
        <v>238</v>
      </c>
      <c r="HF3345" s="5" t="s">
        <v>238</v>
      </c>
      <c r="HG3345" s="5" t="s">
        <v>238</v>
      </c>
      <c r="HH3345" s="5" t="s">
        <v>238</v>
      </c>
      <c r="HI3345" s="5" t="s">
        <v>238</v>
      </c>
      <c r="HJ3345" s="5" t="s">
        <v>238</v>
      </c>
      <c r="HK3345" s="5" t="s">
        <v>238</v>
      </c>
      <c r="HL3345" s="5" t="s">
        <v>238</v>
      </c>
      <c r="HM3345" s="5" t="s">
        <v>264</v>
      </c>
      <c r="HN3345" s="5" t="s">
        <v>238</v>
      </c>
      <c r="HO3345" s="5" t="s">
        <v>238</v>
      </c>
      <c r="HP3345" s="5" t="s">
        <v>238</v>
      </c>
      <c r="HQ3345" s="5" t="s">
        <v>238</v>
      </c>
      <c r="HR3345" s="5" t="s">
        <v>238</v>
      </c>
      <c r="HS3345" s="5" t="s">
        <v>238</v>
      </c>
      <c r="HT3345" s="5" t="s">
        <v>238</v>
      </c>
      <c r="HU3345" s="5" t="s">
        <v>238</v>
      </c>
      <c r="HV3345" s="5" t="s">
        <v>238</v>
      </c>
      <c r="HW3345" s="5" t="s">
        <v>238</v>
      </c>
      <c r="HX3345" s="5" t="s">
        <v>238</v>
      </c>
      <c r="HY3345" s="5" t="s">
        <v>238</v>
      </c>
      <c r="HZ3345" s="5" t="s">
        <v>238</v>
      </c>
      <c r="IA3345" s="5" t="s">
        <v>238</v>
      </c>
      <c r="IB3345" s="5" t="s">
        <v>238</v>
      </c>
      <c r="IC3345" s="5" t="s">
        <v>238</v>
      </c>
      <c r="ID3345" s="5" t="s">
        <v>238</v>
      </c>
    </row>
    <row r="3346" spans="1:238" x14ac:dyDescent="0.4">
      <c r="A3346" s="5">
        <v>9064</v>
      </c>
      <c r="B3346" s="5">
        <v>1</v>
      </c>
      <c r="C3346" s="5">
        <v>1</v>
      </c>
      <c r="D3346" s="5" t="s">
        <v>484</v>
      </c>
      <c r="E3346" s="5" t="s">
        <v>878</v>
      </c>
      <c r="F3346" s="5" t="s">
        <v>248</v>
      </c>
      <c r="G3346" s="5" t="s">
        <v>4924</v>
      </c>
      <c r="H3346" s="6" t="s">
        <v>4925</v>
      </c>
      <c r="I3346" s="8">
        <f>1</f>
        <v>1</v>
      </c>
      <c r="J3346" s="5" t="s">
        <v>499</v>
      </c>
      <c r="K3346" s="8">
        <f>1</f>
        <v>1</v>
      </c>
      <c r="L3346" s="6" t="s">
        <v>242</v>
      </c>
      <c r="M3346" s="5" t="s">
        <v>267</v>
      </c>
      <c r="N3346" s="5" t="s">
        <v>482</v>
      </c>
      <c r="O3346" s="5" t="s">
        <v>238</v>
      </c>
      <c r="P3346" s="5" t="s">
        <v>238</v>
      </c>
      <c r="Q3346" s="5" t="s">
        <v>239</v>
      </c>
      <c r="R3346" s="5" t="s">
        <v>270</v>
      </c>
      <c r="S3346" s="5" t="s">
        <v>238</v>
      </c>
      <c r="T3346" s="5" t="s">
        <v>238</v>
      </c>
      <c r="U3346" s="5" t="s">
        <v>238</v>
      </c>
      <c r="V3346" s="5" t="s">
        <v>238</v>
      </c>
      <c r="W3346" s="6" t="s">
        <v>238</v>
      </c>
      <c r="X3346" s="6" t="s">
        <v>238</v>
      </c>
      <c r="Y3346" s="5" t="s">
        <v>238</v>
      </c>
      <c r="Z3346" s="6" t="s">
        <v>238</v>
      </c>
      <c r="AA3346" s="6" t="s">
        <v>243</v>
      </c>
      <c r="AB3346" s="5" t="s">
        <v>879</v>
      </c>
      <c r="AC3346" s="5" t="s">
        <v>244</v>
      </c>
      <c r="AD3346" s="5" t="s">
        <v>245</v>
      </c>
      <c r="AE3346" s="5" t="s">
        <v>238</v>
      </c>
      <c r="AF3346" s="5" t="s">
        <v>238</v>
      </c>
      <c r="AG3346" s="5" t="s">
        <v>238</v>
      </c>
      <c r="AH3346" s="5" t="s">
        <v>238</v>
      </c>
      <c r="AI3346" s="5" t="s">
        <v>238</v>
      </c>
      <c r="AJ3346" s="5" t="s">
        <v>238</v>
      </c>
      <c r="AK3346" s="5" t="s">
        <v>238</v>
      </c>
      <c r="AL3346" s="5" t="s">
        <v>238</v>
      </c>
      <c r="AM3346" s="6" t="s">
        <v>238</v>
      </c>
      <c r="AN3346" s="6" t="s">
        <v>238</v>
      </c>
      <c r="AO3346" s="6" t="s">
        <v>238</v>
      </c>
      <c r="AP3346" s="6" t="s">
        <v>238</v>
      </c>
      <c r="AQ3346" s="5" t="s">
        <v>238</v>
      </c>
      <c r="AR3346" s="5" t="s">
        <v>488</v>
      </c>
      <c r="AS3346" s="5" t="s">
        <v>488</v>
      </c>
      <c r="AT3346" s="5" t="s">
        <v>246</v>
      </c>
      <c r="AU3346" s="5" t="s">
        <v>489</v>
      </c>
      <c r="AV3346" s="5" t="s">
        <v>247</v>
      </c>
      <c r="AW3346" s="5" t="s">
        <v>238</v>
      </c>
      <c r="AX3346" s="5" t="s">
        <v>249</v>
      </c>
      <c r="AY3346" s="5" t="s">
        <v>490</v>
      </c>
      <c r="BA3346" s="5" t="s">
        <v>238</v>
      </c>
      <c r="BC3346" s="5" t="s">
        <v>491</v>
      </c>
      <c r="BD3346" s="6" t="s">
        <v>492</v>
      </c>
      <c r="BE3346" s="5" t="s">
        <v>493</v>
      </c>
      <c r="BF3346" s="5" t="s">
        <v>493</v>
      </c>
      <c r="BG3346" s="5" t="s">
        <v>238</v>
      </c>
      <c r="BH3346" s="8">
        <f>1</f>
        <v>1</v>
      </c>
      <c r="BI3346" s="8">
        <f>1</f>
        <v>1</v>
      </c>
      <c r="BJ3346" s="5" t="s">
        <v>253</v>
      </c>
      <c r="BK3346" s="5" t="s">
        <v>254</v>
      </c>
      <c r="BL3346" s="5" t="s">
        <v>238</v>
      </c>
      <c r="BM3346" s="5" t="s">
        <v>238</v>
      </c>
      <c r="BN3346" s="5" t="s">
        <v>238</v>
      </c>
      <c r="BO3346" s="5" t="s">
        <v>238</v>
      </c>
      <c r="BP3346" s="5" t="s">
        <v>238</v>
      </c>
      <c r="BQ3346" s="5" t="s">
        <v>238</v>
      </c>
      <c r="BR3346" s="5" t="s">
        <v>238</v>
      </c>
      <c r="BS3346" s="5" t="s">
        <v>238</v>
      </c>
      <c r="BT3346" s="6" t="s">
        <v>238</v>
      </c>
      <c r="BU3346" s="5" t="s">
        <v>238</v>
      </c>
      <c r="BV3346" s="5" t="s">
        <v>238</v>
      </c>
      <c r="BW3346" s="5" t="s">
        <v>238</v>
      </c>
      <c r="BX3346" s="5" t="s">
        <v>254</v>
      </c>
      <c r="BY3346" s="5" t="s">
        <v>238</v>
      </c>
      <c r="BZ3346" s="5" t="s">
        <v>238</v>
      </c>
      <c r="CA3346" s="5" t="s">
        <v>238</v>
      </c>
      <c r="CB3346" s="5" t="s">
        <v>238</v>
      </c>
      <c r="CC3346" s="5" t="s">
        <v>238</v>
      </c>
      <c r="CD3346" s="5" t="s">
        <v>273</v>
      </c>
      <c r="CE3346" s="5" t="s">
        <v>256</v>
      </c>
      <c r="CF3346" s="5" t="s">
        <v>238</v>
      </c>
      <c r="CH3346" s="5" t="s">
        <v>494</v>
      </c>
      <c r="CI3346" s="6" t="s">
        <v>257</v>
      </c>
      <c r="CJ3346" s="5" t="s">
        <v>495</v>
      </c>
      <c r="CK3346" s="5" t="s">
        <v>258</v>
      </c>
      <c r="CL3346" s="5" t="s">
        <v>496</v>
      </c>
      <c r="CM3346" s="5" t="s">
        <v>238</v>
      </c>
      <c r="CN3346" s="5">
        <v>0</v>
      </c>
      <c r="CO3346" s="5" t="s">
        <v>497</v>
      </c>
      <c r="CP3346" s="5" t="s">
        <v>260</v>
      </c>
      <c r="CQ3346" s="5" t="s">
        <v>260</v>
      </c>
      <c r="CR3346" s="5" t="s">
        <v>261</v>
      </c>
      <c r="CS3346" s="5" t="s">
        <v>498</v>
      </c>
      <c r="CT3346" s="7">
        <f>1</f>
        <v>1</v>
      </c>
      <c r="CU3346" s="8">
        <f>1</f>
        <v>1</v>
      </c>
      <c r="CV3346" s="8">
        <f>0</f>
        <v>0</v>
      </c>
      <c r="CX3346" s="8">
        <f>1</f>
        <v>1</v>
      </c>
      <c r="CY3346" s="8">
        <f>1</f>
        <v>1</v>
      </c>
      <c r="CZ3346" s="8" t="s">
        <v>238</v>
      </c>
      <c r="DA3346" s="5" t="s">
        <v>238</v>
      </c>
      <c r="DB3346" s="5" t="s">
        <v>238</v>
      </c>
      <c r="DC3346" s="5" t="s">
        <v>238</v>
      </c>
      <c r="DD3346" s="5" t="s">
        <v>238</v>
      </c>
      <c r="DE3346" s="8">
        <f>0</f>
        <v>0</v>
      </c>
      <c r="DG3346" s="5" t="s">
        <v>238</v>
      </c>
      <c r="DH3346" s="5" t="s">
        <v>238</v>
      </c>
      <c r="DI3346" s="5" t="s">
        <v>238</v>
      </c>
      <c r="DJ3346" s="5" t="s">
        <v>238</v>
      </c>
      <c r="DK3346" s="5" t="s">
        <v>238</v>
      </c>
      <c r="DL3346" s="5" t="s">
        <v>238</v>
      </c>
      <c r="DM3346" s="8" t="s">
        <v>238</v>
      </c>
      <c r="DN3346" s="5" t="s">
        <v>238</v>
      </c>
      <c r="DO3346" s="5" t="s">
        <v>238</v>
      </c>
      <c r="DP3346" s="5" t="s">
        <v>490</v>
      </c>
      <c r="DQ3346" s="5" t="s">
        <v>490</v>
      </c>
      <c r="DR3346" s="5" t="s">
        <v>238</v>
      </c>
      <c r="DS3346" s="5" t="s">
        <v>238</v>
      </c>
      <c r="DT3346" s="5" t="s">
        <v>881</v>
      </c>
      <c r="DU3346" s="5" t="s">
        <v>1078</v>
      </c>
      <c r="DV3346" s="5" t="s">
        <v>238</v>
      </c>
      <c r="DW3346" s="5" t="s">
        <v>238</v>
      </c>
      <c r="DX3346" s="5" t="s">
        <v>238</v>
      </c>
      <c r="DY3346" s="5" t="s">
        <v>238</v>
      </c>
      <c r="DZ3346" s="5" t="s">
        <v>238</v>
      </c>
      <c r="EA3346" s="5" t="s">
        <v>238</v>
      </c>
      <c r="EB3346" s="5" t="s">
        <v>238</v>
      </c>
      <c r="EC3346" s="5" t="s">
        <v>238</v>
      </c>
      <c r="ED3346" s="5" t="s">
        <v>238</v>
      </c>
      <c r="EE3346" s="5" t="s">
        <v>238</v>
      </c>
      <c r="EF3346" s="5" t="s">
        <v>238</v>
      </c>
      <c r="EG3346" s="5" t="s">
        <v>238</v>
      </c>
      <c r="EH3346" s="5" t="s">
        <v>238</v>
      </c>
      <c r="EI3346" s="5" t="s">
        <v>238</v>
      </c>
      <c r="EJ3346" s="5" t="s">
        <v>238</v>
      </c>
      <c r="EK3346" s="5" t="s">
        <v>238</v>
      </c>
      <c r="EL3346" s="5" t="s">
        <v>238</v>
      </c>
      <c r="EM3346" s="5" t="s">
        <v>238</v>
      </c>
      <c r="EN3346" s="5" t="s">
        <v>238</v>
      </c>
      <c r="EO3346" s="5" t="s">
        <v>238</v>
      </c>
      <c r="EP3346" s="5" t="s">
        <v>238</v>
      </c>
      <c r="EQ3346" s="5" t="s">
        <v>238</v>
      </c>
      <c r="ER3346" s="5" t="s">
        <v>238</v>
      </c>
      <c r="ES3346" s="5" t="s">
        <v>238</v>
      </c>
      <c r="ET3346" s="5" t="s">
        <v>238</v>
      </c>
      <c r="EU3346" s="5" t="s">
        <v>238</v>
      </c>
      <c r="EV3346" s="5" t="s">
        <v>238</v>
      </c>
      <c r="EW3346" s="5" t="s">
        <v>238</v>
      </c>
      <c r="EX3346" s="5" t="s">
        <v>238</v>
      </c>
      <c r="EY3346" s="5" t="s">
        <v>238</v>
      </c>
      <c r="EZ3346" s="5" t="s">
        <v>238</v>
      </c>
      <c r="FA3346" s="5" t="s">
        <v>238</v>
      </c>
      <c r="FB3346" s="5" t="s">
        <v>238</v>
      </c>
      <c r="FC3346" s="5" t="s">
        <v>238</v>
      </c>
      <c r="FD3346" s="5" t="s">
        <v>238</v>
      </c>
      <c r="FE3346" s="5" t="s">
        <v>238</v>
      </c>
      <c r="FF3346" s="5" t="s">
        <v>238</v>
      </c>
      <c r="FG3346" s="5" t="s">
        <v>238</v>
      </c>
      <c r="FH3346" s="5" t="s">
        <v>238</v>
      </c>
      <c r="FI3346" s="5" t="s">
        <v>238</v>
      </c>
      <c r="FJ3346" s="5" t="s">
        <v>238</v>
      </c>
      <c r="FK3346" s="5" t="s">
        <v>238</v>
      </c>
      <c r="FL3346" s="5" t="s">
        <v>238</v>
      </c>
      <c r="FM3346" s="5" t="s">
        <v>238</v>
      </c>
      <c r="FN3346" s="5" t="s">
        <v>238</v>
      </c>
      <c r="FO3346" s="5" t="s">
        <v>238</v>
      </c>
      <c r="FP3346" s="5" t="s">
        <v>238</v>
      </c>
      <c r="FQ3346" s="5" t="s">
        <v>238</v>
      </c>
      <c r="FR3346" s="5" t="s">
        <v>238</v>
      </c>
      <c r="FS3346" s="5" t="s">
        <v>238</v>
      </c>
      <c r="FT3346" s="5" t="s">
        <v>238</v>
      </c>
      <c r="FU3346" s="5" t="s">
        <v>238</v>
      </c>
      <c r="FV3346" s="5" t="s">
        <v>238</v>
      </c>
      <c r="FW3346" s="5" t="s">
        <v>238</v>
      </c>
      <c r="FX3346" s="5" t="s">
        <v>238</v>
      </c>
      <c r="FY3346" s="5" t="s">
        <v>238</v>
      </c>
      <c r="FZ3346" s="5" t="s">
        <v>238</v>
      </c>
      <c r="GA3346" s="5" t="s">
        <v>238</v>
      </c>
      <c r="GB3346" s="5" t="s">
        <v>238</v>
      </c>
      <c r="GC3346" s="5" t="s">
        <v>238</v>
      </c>
      <c r="GD3346" s="5" t="s">
        <v>238</v>
      </c>
      <c r="GE3346" s="5" t="s">
        <v>238</v>
      </c>
      <c r="GF3346" s="5" t="s">
        <v>238</v>
      </c>
      <c r="GG3346" s="5" t="s">
        <v>238</v>
      </c>
      <c r="GH3346" s="5" t="s">
        <v>238</v>
      </c>
      <c r="GI3346" s="5" t="s">
        <v>238</v>
      </c>
      <c r="GJ3346" s="5" t="s">
        <v>238</v>
      </c>
      <c r="GK3346" s="5" t="s">
        <v>238</v>
      </c>
      <c r="GL3346" s="5" t="s">
        <v>238</v>
      </c>
      <c r="GM3346" s="5" t="s">
        <v>238</v>
      </c>
      <c r="GN3346" s="5" t="s">
        <v>238</v>
      </c>
      <c r="GO3346" s="5" t="s">
        <v>238</v>
      </c>
      <c r="GP3346" s="5" t="s">
        <v>238</v>
      </c>
      <c r="GQ3346" s="5" t="s">
        <v>238</v>
      </c>
      <c r="GR3346" s="5" t="s">
        <v>238</v>
      </c>
      <c r="GS3346" s="5" t="s">
        <v>238</v>
      </c>
      <c r="GT3346" s="5" t="s">
        <v>238</v>
      </c>
      <c r="GU3346" s="5" t="s">
        <v>238</v>
      </c>
      <c r="GV3346" s="5" t="s">
        <v>238</v>
      </c>
      <c r="GW3346" s="5" t="s">
        <v>238</v>
      </c>
      <c r="GX3346" s="5" t="s">
        <v>238</v>
      </c>
      <c r="GY3346" s="5" t="s">
        <v>238</v>
      </c>
      <c r="GZ3346" s="5" t="s">
        <v>238</v>
      </c>
      <c r="HA3346" s="5" t="s">
        <v>238</v>
      </c>
      <c r="HB3346" s="5" t="s">
        <v>238</v>
      </c>
      <c r="HC3346" s="5" t="s">
        <v>238</v>
      </c>
      <c r="HD3346" s="5" t="s">
        <v>238</v>
      </c>
      <c r="HE3346" s="5" t="s">
        <v>238</v>
      </c>
      <c r="HF3346" s="5" t="s">
        <v>238</v>
      </c>
      <c r="HG3346" s="5" t="s">
        <v>238</v>
      </c>
      <c r="HH3346" s="5" t="s">
        <v>238</v>
      </c>
      <c r="HI3346" s="5" t="s">
        <v>238</v>
      </c>
      <c r="HJ3346" s="5" t="s">
        <v>238</v>
      </c>
      <c r="HK3346" s="5" t="s">
        <v>238</v>
      </c>
      <c r="HL3346" s="5" t="s">
        <v>238</v>
      </c>
      <c r="HM3346" s="5" t="s">
        <v>264</v>
      </c>
      <c r="HN3346" s="5" t="s">
        <v>238</v>
      </c>
      <c r="HO3346" s="5" t="s">
        <v>238</v>
      </c>
      <c r="HP3346" s="5" t="s">
        <v>238</v>
      </c>
      <c r="HQ3346" s="5" t="s">
        <v>238</v>
      </c>
      <c r="HR3346" s="5" t="s">
        <v>238</v>
      </c>
      <c r="HS3346" s="5" t="s">
        <v>238</v>
      </c>
      <c r="HT3346" s="5" t="s">
        <v>238</v>
      </c>
      <c r="HU3346" s="5" t="s">
        <v>238</v>
      </c>
      <c r="HV3346" s="5" t="s">
        <v>238</v>
      </c>
      <c r="HW3346" s="5" t="s">
        <v>238</v>
      </c>
      <c r="HX3346" s="5" t="s">
        <v>238</v>
      </c>
      <c r="HY3346" s="5" t="s">
        <v>238</v>
      </c>
      <c r="HZ3346" s="5" t="s">
        <v>238</v>
      </c>
      <c r="IA3346" s="5" t="s">
        <v>238</v>
      </c>
      <c r="IB3346" s="5" t="s">
        <v>238</v>
      </c>
      <c r="IC3346" s="5" t="s">
        <v>238</v>
      </c>
      <c r="ID3346" s="5" t="s">
        <v>238</v>
      </c>
    </row>
    <row r="3347" spans="1:238" x14ac:dyDescent="0.4">
      <c r="A3347" s="5">
        <v>9065</v>
      </c>
      <c r="B3347" s="5">
        <v>1</v>
      </c>
      <c r="C3347" s="5">
        <v>1</v>
      </c>
      <c r="D3347" s="5" t="s">
        <v>484</v>
      </c>
      <c r="E3347" s="5" t="s">
        <v>878</v>
      </c>
      <c r="F3347" s="5" t="s">
        <v>248</v>
      </c>
      <c r="G3347" s="5" t="s">
        <v>4795</v>
      </c>
      <c r="H3347" s="6" t="s">
        <v>4796</v>
      </c>
      <c r="I3347" s="8">
        <f>1</f>
        <v>1</v>
      </c>
      <c r="J3347" s="5" t="s">
        <v>499</v>
      </c>
      <c r="K3347" s="8">
        <f>1</f>
        <v>1</v>
      </c>
      <c r="L3347" s="6" t="s">
        <v>242</v>
      </c>
      <c r="M3347" s="5" t="s">
        <v>267</v>
      </c>
      <c r="N3347" s="5" t="s">
        <v>482</v>
      </c>
      <c r="O3347" s="5" t="s">
        <v>238</v>
      </c>
      <c r="P3347" s="5" t="s">
        <v>238</v>
      </c>
      <c r="Q3347" s="5" t="s">
        <v>239</v>
      </c>
      <c r="R3347" s="5" t="s">
        <v>270</v>
      </c>
      <c r="S3347" s="5" t="s">
        <v>238</v>
      </c>
      <c r="T3347" s="5" t="s">
        <v>238</v>
      </c>
      <c r="U3347" s="5" t="s">
        <v>238</v>
      </c>
      <c r="V3347" s="5" t="s">
        <v>238</v>
      </c>
      <c r="W3347" s="6" t="s">
        <v>238</v>
      </c>
      <c r="X3347" s="6" t="s">
        <v>238</v>
      </c>
      <c r="Y3347" s="5" t="s">
        <v>238</v>
      </c>
      <c r="Z3347" s="6" t="s">
        <v>238</v>
      </c>
      <c r="AA3347" s="6" t="s">
        <v>243</v>
      </c>
      <c r="AB3347" s="5" t="s">
        <v>879</v>
      </c>
      <c r="AC3347" s="5" t="s">
        <v>244</v>
      </c>
      <c r="AD3347" s="5" t="s">
        <v>245</v>
      </c>
      <c r="AE3347" s="5" t="s">
        <v>238</v>
      </c>
      <c r="AF3347" s="5" t="s">
        <v>238</v>
      </c>
      <c r="AG3347" s="5" t="s">
        <v>238</v>
      </c>
      <c r="AH3347" s="5" t="s">
        <v>238</v>
      </c>
      <c r="AI3347" s="5" t="s">
        <v>238</v>
      </c>
      <c r="AJ3347" s="5" t="s">
        <v>238</v>
      </c>
      <c r="AK3347" s="5" t="s">
        <v>238</v>
      </c>
      <c r="AL3347" s="5" t="s">
        <v>238</v>
      </c>
      <c r="AM3347" s="6" t="s">
        <v>238</v>
      </c>
      <c r="AN3347" s="6" t="s">
        <v>238</v>
      </c>
      <c r="AO3347" s="6" t="s">
        <v>238</v>
      </c>
      <c r="AP3347" s="6" t="s">
        <v>238</v>
      </c>
      <c r="AQ3347" s="5" t="s">
        <v>238</v>
      </c>
      <c r="AR3347" s="5" t="s">
        <v>488</v>
      </c>
      <c r="AS3347" s="5" t="s">
        <v>488</v>
      </c>
      <c r="AT3347" s="5" t="s">
        <v>246</v>
      </c>
      <c r="AU3347" s="5" t="s">
        <v>489</v>
      </c>
      <c r="AV3347" s="5" t="s">
        <v>247</v>
      </c>
      <c r="AW3347" s="5" t="s">
        <v>238</v>
      </c>
      <c r="AX3347" s="5" t="s">
        <v>249</v>
      </c>
      <c r="AY3347" s="5" t="s">
        <v>490</v>
      </c>
      <c r="BA3347" s="5" t="s">
        <v>238</v>
      </c>
      <c r="BC3347" s="5" t="s">
        <v>491</v>
      </c>
      <c r="BD3347" s="6" t="s">
        <v>492</v>
      </c>
      <c r="BE3347" s="5" t="s">
        <v>493</v>
      </c>
      <c r="BF3347" s="5" t="s">
        <v>493</v>
      </c>
      <c r="BG3347" s="5" t="s">
        <v>238</v>
      </c>
      <c r="BH3347" s="8">
        <f>1</f>
        <v>1</v>
      </c>
      <c r="BI3347" s="8">
        <f>1</f>
        <v>1</v>
      </c>
      <c r="BJ3347" s="5" t="s">
        <v>253</v>
      </c>
      <c r="BK3347" s="5" t="s">
        <v>254</v>
      </c>
      <c r="BL3347" s="5" t="s">
        <v>238</v>
      </c>
      <c r="BM3347" s="5" t="s">
        <v>238</v>
      </c>
      <c r="BN3347" s="5" t="s">
        <v>238</v>
      </c>
      <c r="BO3347" s="5" t="s">
        <v>238</v>
      </c>
      <c r="BP3347" s="5" t="s">
        <v>238</v>
      </c>
      <c r="BQ3347" s="5" t="s">
        <v>238</v>
      </c>
      <c r="BR3347" s="5" t="s">
        <v>238</v>
      </c>
      <c r="BS3347" s="5" t="s">
        <v>238</v>
      </c>
      <c r="BT3347" s="6" t="s">
        <v>238</v>
      </c>
      <c r="BU3347" s="5" t="s">
        <v>238</v>
      </c>
      <c r="BV3347" s="5" t="s">
        <v>238</v>
      </c>
      <c r="BW3347" s="5" t="s">
        <v>238</v>
      </c>
      <c r="BX3347" s="5" t="s">
        <v>254</v>
      </c>
      <c r="BY3347" s="5" t="s">
        <v>238</v>
      </c>
      <c r="BZ3347" s="5" t="s">
        <v>238</v>
      </c>
      <c r="CA3347" s="5" t="s">
        <v>238</v>
      </c>
      <c r="CB3347" s="5" t="s">
        <v>238</v>
      </c>
      <c r="CC3347" s="5" t="s">
        <v>238</v>
      </c>
      <c r="CD3347" s="5" t="s">
        <v>273</v>
      </c>
      <c r="CE3347" s="5" t="s">
        <v>256</v>
      </c>
      <c r="CF3347" s="5" t="s">
        <v>238</v>
      </c>
      <c r="CH3347" s="5" t="s">
        <v>494</v>
      </c>
      <c r="CI3347" s="6" t="s">
        <v>257</v>
      </c>
      <c r="CJ3347" s="5" t="s">
        <v>495</v>
      </c>
      <c r="CK3347" s="5" t="s">
        <v>258</v>
      </c>
      <c r="CL3347" s="5" t="s">
        <v>496</v>
      </c>
      <c r="CM3347" s="5" t="s">
        <v>238</v>
      </c>
      <c r="CN3347" s="5">
        <v>0</v>
      </c>
      <c r="CO3347" s="5" t="s">
        <v>497</v>
      </c>
      <c r="CP3347" s="5" t="s">
        <v>260</v>
      </c>
      <c r="CQ3347" s="5" t="s">
        <v>260</v>
      </c>
      <c r="CR3347" s="5" t="s">
        <v>261</v>
      </c>
      <c r="CS3347" s="5" t="s">
        <v>498</v>
      </c>
      <c r="CT3347" s="7">
        <f>1</f>
        <v>1</v>
      </c>
      <c r="CU3347" s="8">
        <f>1</f>
        <v>1</v>
      </c>
      <c r="CV3347" s="8">
        <f>0</f>
        <v>0</v>
      </c>
      <c r="CX3347" s="8">
        <f>1</f>
        <v>1</v>
      </c>
      <c r="CY3347" s="8">
        <f>1</f>
        <v>1</v>
      </c>
      <c r="CZ3347" s="8" t="s">
        <v>238</v>
      </c>
      <c r="DA3347" s="5" t="s">
        <v>238</v>
      </c>
      <c r="DB3347" s="5" t="s">
        <v>238</v>
      </c>
      <c r="DC3347" s="5" t="s">
        <v>238</v>
      </c>
      <c r="DD3347" s="5" t="s">
        <v>238</v>
      </c>
      <c r="DE3347" s="8">
        <f>0</f>
        <v>0</v>
      </c>
      <c r="DG3347" s="5" t="s">
        <v>238</v>
      </c>
      <c r="DH3347" s="5" t="s">
        <v>238</v>
      </c>
      <c r="DI3347" s="5" t="s">
        <v>238</v>
      </c>
      <c r="DJ3347" s="5" t="s">
        <v>238</v>
      </c>
      <c r="DK3347" s="5" t="s">
        <v>238</v>
      </c>
      <c r="DL3347" s="5" t="s">
        <v>238</v>
      </c>
      <c r="DM3347" s="8" t="s">
        <v>238</v>
      </c>
      <c r="DN3347" s="5" t="s">
        <v>238</v>
      </c>
      <c r="DO3347" s="5" t="s">
        <v>238</v>
      </c>
      <c r="DP3347" s="5" t="s">
        <v>490</v>
      </c>
      <c r="DQ3347" s="5" t="s">
        <v>490</v>
      </c>
      <c r="DR3347" s="5" t="s">
        <v>238</v>
      </c>
      <c r="DS3347" s="5" t="s">
        <v>238</v>
      </c>
      <c r="DT3347" s="5" t="s">
        <v>881</v>
      </c>
      <c r="DU3347" s="5" t="s">
        <v>1245</v>
      </c>
      <c r="DV3347" s="5" t="s">
        <v>238</v>
      </c>
      <c r="DW3347" s="5" t="s">
        <v>238</v>
      </c>
      <c r="DX3347" s="5" t="s">
        <v>238</v>
      </c>
      <c r="DY3347" s="5" t="s">
        <v>238</v>
      </c>
      <c r="DZ3347" s="5" t="s">
        <v>238</v>
      </c>
      <c r="EA3347" s="5" t="s">
        <v>238</v>
      </c>
      <c r="EB3347" s="5" t="s">
        <v>238</v>
      </c>
      <c r="EC3347" s="5" t="s">
        <v>238</v>
      </c>
      <c r="ED3347" s="5" t="s">
        <v>238</v>
      </c>
      <c r="EE3347" s="5" t="s">
        <v>238</v>
      </c>
      <c r="EF3347" s="5" t="s">
        <v>238</v>
      </c>
      <c r="EG3347" s="5" t="s">
        <v>238</v>
      </c>
      <c r="EH3347" s="5" t="s">
        <v>238</v>
      </c>
      <c r="EI3347" s="5" t="s">
        <v>238</v>
      </c>
      <c r="EJ3347" s="5" t="s">
        <v>238</v>
      </c>
      <c r="EK3347" s="5" t="s">
        <v>238</v>
      </c>
      <c r="EL3347" s="5" t="s">
        <v>238</v>
      </c>
      <c r="EM3347" s="5" t="s">
        <v>238</v>
      </c>
      <c r="EN3347" s="5" t="s">
        <v>238</v>
      </c>
      <c r="EO3347" s="5" t="s">
        <v>238</v>
      </c>
      <c r="EP3347" s="5" t="s">
        <v>238</v>
      </c>
      <c r="EQ3347" s="5" t="s">
        <v>238</v>
      </c>
      <c r="ER3347" s="5" t="s">
        <v>238</v>
      </c>
      <c r="ES3347" s="5" t="s">
        <v>238</v>
      </c>
      <c r="ET3347" s="5" t="s">
        <v>238</v>
      </c>
      <c r="EU3347" s="5" t="s">
        <v>238</v>
      </c>
      <c r="EV3347" s="5" t="s">
        <v>238</v>
      </c>
      <c r="EW3347" s="5" t="s">
        <v>238</v>
      </c>
      <c r="EX3347" s="5" t="s">
        <v>238</v>
      </c>
      <c r="EY3347" s="5" t="s">
        <v>238</v>
      </c>
      <c r="EZ3347" s="5" t="s">
        <v>238</v>
      </c>
      <c r="FA3347" s="5" t="s">
        <v>238</v>
      </c>
      <c r="FB3347" s="5" t="s">
        <v>238</v>
      </c>
      <c r="FC3347" s="5" t="s">
        <v>238</v>
      </c>
      <c r="FD3347" s="5" t="s">
        <v>238</v>
      </c>
      <c r="FE3347" s="5" t="s">
        <v>238</v>
      </c>
      <c r="FF3347" s="5" t="s">
        <v>238</v>
      </c>
      <c r="FG3347" s="5" t="s">
        <v>238</v>
      </c>
      <c r="FH3347" s="5" t="s">
        <v>238</v>
      </c>
      <c r="FI3347" s="5" t="s">
        <v>238</v>
      </c>
      <c r="FJ3347" s="5" t="s">
        <v>238</v>
      </c>
      <c r="FK3347" s="5" t="s">
        <v>238</v>
      </c>
      <c r="FL3347" s="5" t="s">
        <v>238</v>
      </c>
      <c r="FM3347" s="5" t="s">
        <v>238</v>
      </c>
      <c r="FN3347" s="5" t="s">
        <v>238</v>
      </c>
      <c r="FO3347" s="5" t="s">
        <v>238</v>
      </c>
      <c r="FP3347" s="5" t="s">
        <v>238</v>
      </c>
      <c r="FQ3347" s="5" t="s">
        <v>238</v>
      </c>
      <c r="FR3347" s="5" t="s">
        <v>238</v>
      </c>
      <c r="FS3347" s="5" t="s">
        <v>238</v>
      </c>
      <c r="FT3347" s="5" t="s">
        <v>238</v>
      </c>
      <c r="FU3347" s="5" t="s">
        <v>238</v>
      </c>
      <c r="FV3347" s="5" t="s">
        <v>238</v>
      </c>
      <c r="FW3347" s="5" t="s">
        <v>238</v>
      </c>
      <c r="FX3347" s="5" t="s">
        <v>238</v>
      </c>
      <c r="FY3347" s="5" t="s">
        <v>238</v>
      </c>
      <c r="FZ3347" s="5" t="s">
        <v>238</v>
      </c>
      <c r="GA3347" s="5" t="s">
        <v>238</v>
      </c>
      <c r="GB3347" s="5" t="s">
        <v>238</v>
      </c>
      <c r="GC3347" s="5" t="s">
        <v>238</v>
      </c>
      <c r="GD3347" s="5" t="s">
        <v>238</v>
      </c>
      <c r="GE3347" s="5" t="s">
        <v>238</v>
      </c>
      <c r="GF3347" s="5" t="s">
        <v>238</v>
      </c>
      <c r="GG3347" s="5" t="s">
        <v>238</v>
      </c>
      <c r="GH3347" s="5" t="s">
        <v>238</v>
      </c>
      <c r="GI3347" s="5" t="s">
        <v>238</v>
      </c>
      <c r="GJ3347" s="5" t="s">
        <v>238</v>
      </c>
      <c r="GK3347" s="5" t="s">
        <v>238</v>
      </c>
      <c r="GL3347" s="5" t="s">
        <v>238</v>
      </c>
      <c r="GM3347" s="5" t="s">
        <v>238</v>
      </c>
      <c r="GN3347" s="5" t="s">
        <v>238</v>
      </c>
      <c r="GO3347" s="5" t="s">
        <v>238</v>
      </c>
      <c r="GP3347" s="5" t="s">
        <v>238</v>
      </c>
      <c r="GQ3347" s="5" t="s">
        <v>238</v>
      </c>
      <c r="GR3347" s="5" t="s">
        <v>238</v>
      </c>
      <c r="GS3347" s="5" t="s">
        <v>238</v>
      </c>
      <c r="GT3347" s="5" t="s">
        <v>238</v>
      </c>
      <c r="GU3347" s="5" t="s">
        <v>238</v>
      </c>
      <c r="GV3347" s="5" t="s">
        <v>238</v>
      </c>
      <c r="GW3347" s="5" t="s">
        <v>238</v>
      </c>
      <c r="GX3347" s="5" t="s">
        <v>238</v>
      </c>
      <c r="GY3347" s="5" t="s">
        <v>238</v>
      </c>
      <c r="GZ3347" s="5" t="s">
        <v>238</v>
      </c>
      <c r="HA3347" s="5" t="s">
        <v>238</v>
      </c>
      <c r="HB3347" s="5" t="s">
        <v>238</v>
      </c>
      <c r="HC3347" s="5" t="s">
        <v>238</v>
      </c>
      <c r="HD3347" s="5" t="s">
        <v>238</v>
      </c>
      <c r="HE3347" s="5" t="s">
        <v>238</v>
      </c>
      <c r="HF3347" s="5" t="s">
        <v>238</v>
      </c>
      <c r="HG3347" s="5" t="s">
        <v>238</v>
      </c>
      <c r="HH3347" s="5" t="s">
        <v>238</v>
      </c>
      <c r="HI3347" s="5" t="s">
        <v>238</v>
      </c>
      <c r="HJ3347" s="5" t="s">
        <v>238</v>
      </c>
      <c r="HK3347" s="5" t="s">
        <v>238</v>
      </c>
      <c r="HL3347" s="5" t="s">
        <v>238</v>
      </c>
      <c r="HM3347" s="5" t="s">
        <v>264</v>
      </c>
      <c r="HN3347" s="5" t="s">
        <v>238</v>
      </c>
      <c r="HO3347" s="5" t="s">
        <v>238</v>
      </c>
      <c r="HP3347" s="5" t="s">
        <v>238</v>
      </c>
      <c r="HQ3347" s="5" t="s">
        <v>238</v>
      </c>
      <c r="HR3347" s="5" t="s">
        <v>238</v>
      </c>
      <c r="HS3347" s="5" t="s">
        <v>238</v>
      </c>
      <c r="HT3347" s="5" t="s">
        <v>238</v>
      </c>
      <c r="HU3347" s="5" t="s">
        <v>238</v>
      </c>
      <c r="HV3347" s="5" t="s">
        <v>238</v>
      </c>
      <c r="HW3347" s="5" t="s">
        <v>238</v>
      </c>
      <c r="HX3347" s="5" t="s">
        <v>238</v>
      </c>
      <c r="HY3347" s="5" t="s">
        <v>238</v>
      </c>
      <c r="HZ3347" s="5" t="s">
        <v>238</v>
      </c>
      <c r="IA3347" s="5" t="s">
        <v>238</v>
      </c>
      <c r="IB3347" s="5" t="s">
        <v>238</v>
      </c>
      <c r="IC3347" s="5" t="s">
        <v>238</v>
      </c>
      <c r="ID3347" s="5" t="s">
        <v>238</v>
      </c>
    </row>
    <row r="3348" spans="1:238" x14ac:dyDescent="0.4">
      <c r="A3348" s="5">
        <v>9066</v>
      </c>
      <c r="B3348" s="5">
        <v>1</v>
      </c>
      <c r="C3348" s="5">
        <v>1</v>
      </c>
      <c r="D3348" s="5" t="s">
        <v>484</v>
      </c>
      <c r="E3348" s="5" t="s">
        <v>878</v>
      </c>
      <c r="F3348" s="5" t="s">
        <v>248</v>
      </c>
      <c r="G3348" s="5" t="s">
        <v>3904</v>
      </c>
      <c r="H3348" s="6" t="s">
        <v>3905</v>
      </c>
      <c r="I3348" s="8">
        <f>1</f>
        <v>1</v>
      </c>
      <c r="J3348" s="5" t="s">
        <v>499</v>
      </c>
      <c r="K3348" s="8">
        <f>1</f>
        <v>1</v>
      </c>
      <c r="L3348" s="6" t="s">
        <v>242</v>
      </c>
      <c r="M3348" s="5" t="s">
        <v>267</v>
      </c>
      <c r="N3348" s="5" t="s">
        <v>482</v>
      </c>
      <c r="O3348" s="5" t="s">
        <v>238</v>
      </c>
      <c r="P3348" s="5" t="s">
        <v>238</v>
      </c>
      <c r="Q3348" s="5" t="s">
        <v>239</v>
      </c>
      <c r="R3348" s="5" t="s">
        <v>270</v>
      </c>
      <c r="S3348" s="5" t="s">
        <v>238</v>
      </c>
      <c r="T3348" s="5" t="s">
        <v>238</v>
      </c>
      <c r="U3348" s="5" t="s">
        <v>238</v>
      </c>
      <c r="V3348" s="5" t="s">
        <v>238</v>
      </c>
      <c r="W3348" s="6" t="s">
        <v>238</v>
      </c>
      <c r="X3348" s="6" t="s">
        <v>238</v>
      </c>
      <c r="Y3348" s="5" t="s">
        <v>238</v>
      </c>
      <c r="Z3348" s="6" t="s">
        <v>238</v>
      </c>
      <c r="AA3348" s="6" t="s">
        <v>243</v>
      </c>
      <c r="AB3348" s="5" t="s">
        <v>879</v>
      </c>
      <c r="AC3348" s="5" t="s">
        <v>244</v>
      </c>
      <c r="AD3348" s="5" t="s">
        <v>245</v>
      </c>
      <c r="AE3348" s="5" t="s">
        <v>238</v>
      </c>
      <c r="AF3348" s="5" t="s">
        <v>238</v>
      </c>
      <c r="AG3348" s="5" t="s">
        <v>238</v>
      </c>
      <c r="AH3348" s="5" t="s">
        <v>238</v>
      </c>
      <c r="AI3348" s="5" t="s">
        <v>238</v>
      </c>
      <c r="AJ3348" s="5" t="s">
        <v>238</v>
      </c>
      <c r="AK3348" s="5" t="s">
        <v>238</v>
      </c>
      <c r="AL3348" s="5" t="s">
        <v>238</v>
      </c>
      <c r="AM3348" s="6" t="s">
        <v>238</v>
      </c>
      <c r="AN3348" s="6" t="s">
        <v>238</v>
      </c>
      <c r="AO3348" s="6" t="s">
        <v>238</v>
      </c>
      <c r="AP3348" s="6" t="s">
        <v>238</v>
      </c>
      <c r="AQ3348" s="5" t="s">
        <v>238</v>
      </c>
      <c r="AR3348" s="5" t="s">
        <v>488</v>
      </c>
      <c r="AS3348" s="5" t="s">
        <v>488</v>
      </c>
      <c r="AT3348" s="5" t="s">
        <v>246</v>
      </c>
      <c r="AU3348" s="5" t="s">
        <v>489</v>
      </c>
      <c r="AV3348" s="5" t="s">
        <v>247</v>
      </c>
      <c r="AW3348" s="5" t="s">
        <v>238</v>
      </c>
      <c r="AX3348" s="5" t="s">
        <v>249</v>
      </c>
      <c r="AY3348" s="5" t="s">
        <v>490</v>
      </c>
      <c r="BA3348" s="5" t="s">
        <v>238</v>
      </c>
      <c r="BC3348" s="5" t="s">
        <v>491</v>
      </c>
      <c r="BD3348" s="6" t="s">
        <v>492</v>
      </c>
      <c r="BE3348" s="5" t="s">
        <v>493</v>
      </c>
      <c r="BF3348" s="5" t="s">
        <v>493</v>
      </c>
      <c r="BG3348" s="5" t="s">
        <v>238</v>
      </c>
      <c r="BH3348" s="8">
        <f>1</f>
        <v>1</v>
      </c>
      <c r="BI3348" s="8">
        <f>1</f>
        <v>1</v>
      </c>
      <c r="BJ3348" s="5" t="s">
        <v>253</v>
      </c>
      <c r="BK3348" s="5" t="s">
        <v>254</v>
      </c>
      <c r="BL3348" s="5" t="s">
        <v>238</v>
      </c>
      <c r="BM3348" s="5" t="s">
        <v>238</v>
      </c>
      <c r="BN3348" s="5" t="s">
        <v>238</v>
      </c>
      <c r="BO3348" s="5" t="s">
        <v>238</v>
      </c>
      <c r="BP3348" s="5" t="s">
        <v>238</v>
      </c>
      <c r="BQ3348" s="5" t="s">
        <v>238</v>
      </c>
      <c r="BR3348" s="5" t="s">
        <v>238</v>
      </c>
      <c r="BS3348" s="5" t="s">
        <v>238</v>
      </c>
      <c r="BT3348" s="6" t="s">
        <v>238</v>
      </c>
      <c r="BU3348" s="5" t="s">
        <v>238</v>
      </c>
      <c r="BV3348" s="5" t="s">
        <v>238</v>
      </c>
      <c r="BW3348" s="5" t="s">
        <v>238</v>
      </c>
      <c r="BX3348" s="5" t="s">
        <v>254</v>
      </c>
      <c r="BY3348" s="5" t="s">
        <v>238</v>
      </c>
      <c r="BZ3348" s="5" t="s">
        <v>238</v>
      </c>
      <c r="CA3348" s="5" t="s">
        <v>238</v>
      </c>
      <c r="CB3348" s="5" t="s">
        <v>238</v>
      </c>
      <c r="CC3348" s="5" t="s">
        <v>238</v>
      </c>
      <c r="CD3348" s="5" t="s">
        <v>273</v>
      </c>
      <c r="CE3348" s="5" t="s">
        <v>256</v>
      </c>
      <c r="CF3348" s="5" t="s">
        <v>238</v>
      </c>
      <c r="CH3348" s="5" t="s">
        <v>494</v>
      </c>
      <c r="CI3348" s="6" t="s">
        <v>257</v>
      </c>
      <c r="CJ3348" s="5" t="s">
        <v>495</v>
      </c>
      <c r="CK3348" s="5" t="s">
        <v>258</v>
      </c>
      <c r="CL3348" s="5" t="s">
        <v>496</v>
      </c>
      <c r="CM3348" s="5" t="s">
        <v>238</v>
      </c>
      <c r="CN3348" s="5">
        <v>0</v>
      </c>
      <c r="CO3348" s="5" t="s">
        <v>497</v>
      </c>
      <c r="CP3348" s="5" t="s">
        <v>260</v>
      </c>
      <c r="CQ3348" s="5" t="s">
        <v>260</v>
      </c>
      <c r="CR3348" s="5" t="s">
        <v>261</v>
      </c>
      <c r="CS3348" s="5" t="s">
        <v>498</v>
      </c>
      <c r="CT3348" s="7">
        <f>1</f>
        <v>1</v>
      </c>
      <c r="CU3348" s="8">
        <f>1</f>
        <v>1</v>
      </c>
      <c r="CV3348" s="8">
        <f>0</f>
        <v>0</v>
      </c>
      <c r="CX3348" s="8">
        <f>1</f>
        <v>1</v>
      </c>
      <c r="CY3348" s="8">
        <f>1</f>
        <v>1</v>
      </c>
      <c r="CZ3348" s="8" t="s">
        <v>238</v>
      </c>
      <c r="DA3348" s="5" t="s">
        <v>238</v>
      </c>
      <c r="DB3348" s="5" t="s">
        <v>238</v>
      </c>
      <c r="DC3348" s="5" t="s">
        <v>238</v>
      </c>
      <c r="DD3348" s="5" t="s">
        <v>238</v>
      </c>
      <c r="DE3348" s="8">
        <f>0</f>
        <v>0</v>
      </c>
      <c r="DG3348" s="5" t="s">
        <v>238</v>
      </c>
      <c r="DH3348" s="5" t="s">
        <v>238</v>
      </c>
      <c r="DI3348" s="5" t="s">
        <v>238</v>
      </c>
      <c r="DJ3348" s="5" t="s">
        <v>238</v>
      </c>
      <c r="DK3348" s="5" t="s">
        <v>238</v>
      </c>
      <c r="DL3348" s="5" t="s">
        <v>238</v>
      </c>
      <c r="DM3348" s="8" t="s">
        <v>238</v>
      </c>
      <c r="DN3348" s="5" t="s">
        <v>238</v>
      </c>
      <c r="DO3348" s="5" t="s">
        <v>238</v>
      </c>
      <c r="DP3348" s="5" t="s">
        <v>490</v>
      </c>
      <c r="DQ3348" s="5" t="s">
        <v>490</v>
      </c>
      <c r="DR3348" s="5" t="s">
        <v>238</v>
      </c>
      <c r="DS3348" s="5" t="s">
        <v>238</v>
      </c>
      <c r="DT3348" s="5" t="s">
        <v>881</v>
      </c>
      <c r="DU3348" s="5" t="s">
        <v>1358</v>
      </c>
      <c r="DV3348" s="5" t="s">
        <v>238</v>
      </c>
      <c r="DW3348" s="5" t="s">
        <v>238</v>
      </c>
      <c r="DX3348" s="5" t="s">
        <v>238</v>
      </c>
      <c r="DY3348" s="5" t="s">
        <v>238</v>
      </c>
      <c r="DZ3348" s="5" t="s">
        <v>238</v>
      </c>
      <c r="EA3348" s="5" t="s">
        <v>238</v>
      </c>
      <c r="EB3348" s="5" t="s">
        <v>238</v>
      </c>
      <c r="EC3348" s="5" t="s">
        <v>238</v>
      </c>
      <c r="ED3348" s="5" t="s">
        <v>238</v>
      </c>
      <c r="EE3348" s="5" t="s">
        <v>238</v>
      </c>
      <c r="EF3348" s="5" t="s">
        <v>238</v>
      </c>
      <c r="EG3348" s="5" t="s">
        <v>238</v>
      </c>
      <c r="EH3348" s="5" t="s">
        <v>238</v>
      </c>
      <c r="EI3348" s="5" t="s">
        <v>238</v>
      </c>
      <c r="EJ3348" s="5" t="s">
        <v>238</v>
      </c>
      <c r="EK3348" s="5" t="s">
        <v>238</v>
      </c>
      <c r="EL3348" s="5" t="s">
        <v>238</v>
      </c>
      <c r="EM3348" s="5" t="s">
        <v>238</v>
      </c>
      <c r="EN3348" s="5" t="s">
        <v>238</v>
      </c>
      <c r="EO3348" s="5" t="s">
        <v>238</v>
      </c>
      <c r="EP3348" s="5" t="s">
        <v>238</v>
      </c>
      <c r="EQ3348" s="5" t="s">
        <v>238</v>
      </c>
      <c r="ER3348" s="5" t="s">
        <v>238</v>
      </c>
      <c r="ES3348" s="5" t="s">
        <v>238</v>
      </c>
      <c r="ET3348" s="5" t="s">
        <v>238</v>
      </c>
      <c r="EU3348" s="5" t="s">
        <v>238</v>
      </c>
      <c r="EV3348" s="5" t="s">
        <v>238</v>
      </c>
      <c r="EW3348" s="5" t="s">
        <v>238</v>
      </c>
      <c r="EX3348" s="5" t="s">
        <v>238</v>
      </c>
      <c r="EY3348" s="5" t="s">
        <v>238</v>
      </c>
      <c r="EZ3348" s="5" t="s">
        <v>238</v>
      </c>
      <c r="FA3348" s="5" t="s">
        <v>238</v>
      </c>
      <c r="FB3348" s="5" t="s">
        <v>238</v>
      </c>
      <c r="FC3348" s="5" t="s">
        <v>238</v>
      </c>
      <c r="FD3348" s="5" t="s">
        <v>238</v>
      </c>
      <c r="FE3348" s="5" t="s">
        <v>238</v>
      </c>
      <c r="FF3348" s="5" t="s">
        <v>238</v>
      </c>
      <c r="FG3348" s="5" t="s">
        <v>238</v>
      </c>
      <c r="FH3348" s="5" t="s">
        <v>238</v>
      </c>
      <c r="FI3348" s="5" t="s">
        <v>238</v>
      </c>
      <c r="FJ3348" s="5" t="s">
        <v>238</v>
      </c>
      <c r="FK3348" s="5" t="s">
        <v>238</v>
      </c>
      <c r="FL3348" s="5" t="s">
        <v>238</v>
      </c>
      <c r="FM3348" s="5" t="s">
        <v>238</v>
      </c>
      <c r="FN3348" s="5" t="s">
        <v>238</v>
      </c>
      <c r="FO3348" s="5" t="s">
        <v>238</v>
      </c>
      <c r="FP3348" s="5" t="s">
        <v>238</v>
      </c>
      <c r="FQ3348" s="5" t="s">
        <v>238</v>
      </c>
      <c r="FR3348" s="5" t="s">
        <v>238</v>
      </c>
      <c r="FS3348" s="5" t="s">
        <v>238</v>
      </c>
      <c r="FT3348" s="5" t="s">
        <v>238</v>
      </c>
      <c r="FU3348" s="5" t="s">
        <v>238</v>
      </c>
      <c r="FV3348" s="5" t="s">
        <v>238</v>
      </c>
      <c r="FW3348" s="5" t="s">
        <v>238</v>
      </c>
      <c r="FX3348" s="5" t="s">
        <v>238</v>
      </c>
      <c r="FY3348" s="5" t="s">
        <v>238</v>
      </c>
      <c r="FZ3348" s="5" t="s">
        <v>238</v>
      </c>
      <c r="GA3348" s="5" t="s">
        <v>238</v>
      </c>
      <c r="GB3348" s="5" t="s">
        <v>238</v>
      </c>
      <c r="GC3348" s="5" t="s">
        <v>238</v>
      </c>
      <c r="GD3348" s="5" t="s">
        <v>238</v>
      </c>
      <c r="GE3348" s="5" t="s">
        <v>238</v>
      </c>
      <c r="GF3348" s="5" t="s">
        <v>238</v>
      </c>
      <c r="GG3348" s="5" t="s">
        <v>238</v>
      </c>
      <c r="GH3348" s="5" t="s">
        <v>238</v>
      </c>
      <c r="GI3348" s="5" t="s">
        <v>238</v>
      </c>
      <c r="GJ3348" s="5" t="s">
        <v>238</v>
      </c>
      <c r="GK3348" s="5" t="s">
        <v>238</v>
      </c>
      <c r="GL3348" s="5" t="s">
        <v>238</v>
      </c>
      <c r="GM3348" s="5" t="s">
        <v>238</v>
      </c>
      <c r="GN3348" s="5" t="s">
        <v>238</v>
      </c>
      <c r="GO3348" s="5" t="s">
        <v>238</v>
      </c>
      <c r="GP3348" s="5" t="s">
        <v>238</v>
      </c>
      <c r="GQ3348" s="5" t="s">
        <v>238</v>
      </c>
      <c r="GR3348" s="5" t="s">
        <v>238</v>
      </c>
      <c r="GS3348" s="5" t="s">
        <v>238</v>
      </c>
      <c r="GT3348" s="5" t="s">
        <v>238</v>
      </c>
      <c r="GU3348" s="5" t="s">
        <v>238</v>
      </c>
      <c r="GV3348" s="5" t="s">
        <v>238</v>
      </c>
      <c r="GW3348" s="5" t="s">
        <v>238</v>
      </c>
      <c r="GX3348" s="5" t="s">
        <v>238</v>
      </c>
      <c r="GY3348" s="5" t="s">
        <v>238</v>
      </c>
      <c r="GZ3348" s="5" t="s">
        <v>238</v>
      </c>
      <c r="HA3348" s="5" t="s">
        <v>238</v>
      </c>
      <c r="HB3348" s="5" t="s">
        <v>238</v>
      </c>
      <c r="HC3348" s="5" t="s">
        <v>238</v>
      </c>
      <c r="HD3348" s="5" t="s">
        <v>238</v>
      </c>
      <c r="HE3348" s="5" t="s">
        <v>238</v>
      </c>
      <c r="HF3348" s="5" t="s">
        <v>238</v>
      </c>
      <c r="HG3348" s="5" t="s">
        <v>238</v>
      </c>
      <c r="HH3348" s="5" t="s">
        <v>238</v>
      </c>
      <c r="HI3348" s="5" t="s">
        <v>238</v>
      </c>
      <c r="HJ3348" s="5" t="s">
        <v>238</v>
      </c>
      <c r="HK3348" s="5" t="s">
        <v>238</v>
      </c>
      <c r="HL3348" s="5" t="s">
        <v>238</v>
      </c>
      <c r="HM3348" s="5" t="s">
        <v>264</v>
      </c>
      <c r="HN3348" s="5" t="s">
        <v>238</v>
      </c>
      <c r="HO3348" s="5" t="s">
        <v>238</v>
      </c>
      <c r="HP3348" s="5" t="s">
        <v>238</v>
      </c>
      <c r="HQ3348" s="5" t="s">
        <v>238</v>
      </c>
      <c r="HR3348" s="5" t="s">
        <v>238</v>
      </c>
      <c r="HS3348" s="5" t="s">
        <v>238</v>
      </c>
      <c r="HT3348" s="5" t="s">
        <v>238</v>
      </c>
      <c r="HU3348" s="5" t="s">
        <v>238</v>
      </c>
      <c r="HV3348" s="5" t="s">
        <v>238</v>
      </c>
      <c r="HW3348" s="5" t="s">
        <v>238</v>
      </c>
      <c r="HX3348" s="5" t="s">
        <v>238</v>
      </c>
      <c r="HY3348" s="5" t="s">
        <v>238</v>
      </c>
      <c r="HZ3348" s="5" t="s">
        <v>238</v>
      </c>
      <c r="IA3348" s="5" t="s">
        <v>238</v>
      </c>
      <c r="IB3348" s="5" t="s">
        <v>238</v>
      </c>
      <c r="IC3348" s="5" t="s">
        <v>238</v>
      </c>
      <c r="ID3348" s="5" t="s">
        <v>238</v>
      </c>
    </row>
    <row r="3349" spans="1:238" x14ac:dyDescent="0.4">
      <c r="A3349" s="5">
        <v>9067</v>
      </c>
      <c r="B3349" s="5">
        <v>1</v>
      </c>
      <c r="C3349" s="5">
        <v>1</v>
      </c>
      <c r="D3349" s="5" t="s">
        <v>484</v>
      </c>
      <c r="E3349" s="5" t="s">
        <v>878</v>
      </c>
      <c r="F3349" s="5" t="s">
        <v>248</v>
      </c>
      <c r="G3349" s="5" t="s">
        <v>4632</v>
      </c>
      <c r="H3349" s="6" t="s">
        <v>4633</v>
      </c>
      <c r="I3349" s="8">
        <f>1</f>
        <v>1</v>
      </c>
      <c r="J3349" s="5" t="s">
        <v>499</v>
      </c>
      <c r="K3349" s="8">
        <f>1</f>
        <v>1</v>
      </c>
      <c r="L3349" s="6" t="s">
        <v>242</v>
      </c>
      <c r="M3349" s="5" t="s">
        <v>267</v>
      </c>
      <c r="N3349" s="5" t="s">
        <v>482</v>
      </c>
      <c r="O3349" s="5" t="s">
        <v>238</v>
      </c>
      <c r="P3349" s="5" t="s">
        <v>238</v>
      </c>
      <c r="Q3349" s="5" t="s">
        <v>239</v>
      </c>
      <c r="R3349" s="5" t="s">
        <v>270</v>
      </c>
      <c r="S3349" s="5" t="s">
        <v>238</v>
      </c>
      <c r="T3349" s="5" t="s">
        <v>238</v>
      </c>
      <c r="U3349" s="5" t="s">
        <v>238</v>
      </c>
      <c r="V3349" s="5" t="s">
        <v>238</v>
      </c>
      <c r="W3349" s="6" t="s">
        <v>238</v>
      </c>
      <c r="X3349" s="6" t="s">
        <v>238</v>
      </c>
      <c r="Y3349" s="5" t="s">
        <v>238</v>
      </c>
      <c r="Z3349" s="6" t="s">
        <v>238</v>
      </c>
      <c r="AA3349" s="6" t="s">
        <v>243</v>
      </c>
      <c r="AB3349" s="5" t="s">
        <v>879</v>
      </c>
      <c r="AC3349" s="5" t="s">
        <v>244</v>
      </c>
      <c r="AD3349" s="5" t="s">
        <v>245</v>
      </c>
      <c r="AE3349" s="5" t="s">
        <v>238</v>
      </c>
      <c r="AF3349" s="5" t="s">
        <v>238</v>
      </c>
      <c r="AG3349" s="5" t="s">
        <v>238</v>
      </c>
      <c r="AH3349" s="5" t="s">
        <v>238</v>
      </c>
      <c r="AI3349" s="5" t="s">
        <v>238</v>
      </c>
      <c r="AJ3349" s="5" t="s">
        <v>238</v>
      </c>
      <c r="AK3349" s="5" t="s">
        <v>238</v>
      </c>
      <c r="AL3349" s="5" t="s">
        <v>238</v>
      </c>
      <c r="AM3349" s="6" t="s">
        <v>238</v>
      </c>
      <c r="AN3349" s="6" t="s">
        <v>238</v>
      </c>
      <c r="AO3349" s="6" t="s">
        <v>238</v>
      </c>
      <c r="AP3349" s="6" t="s">
        <v>238</v>
      </c>
      <c r="AQ3349" s="5" t="s">
        <v>238</v>
      </c>
      <c r="AR3349" s="5" t="s">
        <v>488</v>
      </c>
      <c r="AS3349" s="5" t="s">
        <v>488</v>
      </c>
      <c r="AT3349" s="5" t="s">
        <v>246</v>
      </c>
      <c r="AU3349" s="5" t="s">
        <v>489</v>
      </c>
      <c r="AV3349" s="5" t="s">
        <v>247</v>
      </c>
      <c r="AW3349" s="5" t="s">
        <v>238</v>
      </c>
      <c r="AX3349" s="5" t="s">
        <v>249</v>
      </c>
      <c r="AY3349" s="5" t="s">
        <v>490</v>
      </c>
      <c r="BA3349" s="5" t="s">
        <v>238</v>
      </c>
      <c r="BC3349" s="5" t="s">
        <v>491</v>
      </c>
      <c r="BD3349" s="6" t="s">
        <v>492</v>
      </c>
      <c r="BE3349" s="5" t="s">
        <v>493</v>
      </c>
      <c r="BF3349" s="5" t="s">
        <v>493</v>
      </c>
      <c r="BG3349" s="5" t="s">
        <v>238</v>
      </c>
      <c r="BH3349" s="8">
        <f>1</f>
        <v>1</v>
      </c>
      <c r="BI3349" s="8">
        <f>1</f>
        <v>1</v>
      </c>
      <c r="BJ3349" s="5" t="s">
        <v>253</v>
      </c>
      <c r="BK3349" s="5" t="s">
        <v>254</v>
      </c>
      <c r="BL3349" s="5" t="s">
        <v>238</v>
      </c>
      <c r="BM3349" s="5" t="s">
        <v>238</v>
      </c>
      <c r="BN3349" s="5" t="s">
        <v>238</v>
      </c>
      <c r="BO3349" s="5" t="s">
        <v>238</v>
      </c>
      <c r="BP3349" s="5" t="s">
        <v>238</v>
      </c>
      <c r="BQ3349" s="5" t="s">
        <v>238</v>
      </c>
      <c r="BR3349" s="5" t="s">
        <v>238</v>
      </c>
      <c r="BS3349" s="5" t="s">
        <v>238</v>
      </c>
      <c r="BT3349" s="6" t="s">
        <v>238</v>
      </c>
      <c r="BU3349" s="5" t="s">
        <v>238</v>
      </c>
      <c r="BV3349" s="5" t="s">
        <v>238</v>
      </c>
      <c r="BW3349" s="5" t="s">
        <v>238</v>
      </c>
      <c r="BX3349" s="5" t="s">
        <v>254</v>
      </c>
      <c r="BY3349" s="5" t="s">
        <v>238</v>
      </c>
      <c r="BZ3349" s="5" t="s">
        <v>238</v>
      </c>
      <c r="CA3349" s="5" t="s">
        <v>238</v>
      </c>
      <c r="CB3349" s="5" t="s">
        <v>238</v>
      </c>
      <c r="CC3349" s="5" t="s">
        <v>238</v>
      </c>
      <c r="CD3349" s="5" t="s">
        <v>273</v>
      </c>
      <c r="CE3349" s="5" t="s">
        <v>256</v>
      </c>
      <c r="CF3349" s="5" t="s">
        <v>238</v>
      </c>
      <c r="CH3349" s="5" t="s">
        <v>494</v>
      </c>
      <c r="CI3349" s="6" t="s">
        <v>257</v>
      </c>
      <c r="CJ3349" s="5" t="s">
        <v>495</v>
      </c>
      <c r="CK3349" s="5" t="s">
        <v>258</v>
      </c>
      <c r="CL3349" s="5" t="s">
        <v>496</v>
      </c>
      <c r="CM3349" s="5" t="s">
        <v>238</v>
      </c>
      <c r="CN3349" s="5">
        <v>0</v>
      </c>
      <c r="CO3349" s="5" t="s">
        <v>497</v>
      </c>
      <c r="CP3349" s="5" t="s">
        <v>260</v>
      </c>
      <c r="CQ3349" s="5" t="s">
        <v>260</v>
      </c>
      <c r="CR3349" s="5" t="s">
        <v>261</v>
      </c>
      <c r="CS3349" s="5" t="s">
        <v>498</v>
      </c>
      <c r="CT3349" s="7">
        <f>1</f>
        <v>1</v>
      </c>
      <c r="CU3349" s="8">
        <f>1</f>
        <v>1</v>
      </c>
      <c r="CV3349" s="8">
        <f>0</f>
        <v>0</v>
      </c>
      <c r="CX3349" s="8">
        <f>1</f>
        <v>1</v>
      </c>
      <c r="CY3349" s="8">
        <f>1</f>
        <v>1</v>
      </c>
      <c r="CZ3349" s="8" t="s">
        <v>238</v>
      </c>
      <c r="DA3349" s="5" t="s">
        <v>238</v>
      </c>
      <c r="DB3349" s="5" t="s">
        <v>238</v>
      </c>
      <c r="DC3349" s="5" t="s">
        <v>238</v>
      </c>
      <c r="DD3349" s="5" t="s">
        <v>238</v>
      </c>
      <c r="DE3349" s="8">
        <f>0</f>
        <v>0</v>
      </c>
      <c r="DG3349" s="5" t="s">
        <v>238</v>
      </c>
      <c r="DH3349" s="5" t="s">
        <v>238</v>
      </c>
      <c r="DI3349" s="5" t="s">
        <v>238</v>
      </c>
      <c r="DJ3349" s="5" t="s">
        <v>238</v>
      </c>
      <c r="DK3349" s="5" t="s">
        <v>238</v>
      </c>
      <c r="DL3349" s="5" t="s">
        <v>238</v>
      </c>
      <c r="DM3349" s="8" t="s">
        <v>238</v>
      </c>
      <c r="DN3349" s="5" t="s">
        <v>238</v>
      </c>
      <c r="DO3349" s="5" t="s">
        <v>238</v>
      </c>
      <c r="DP3349" s="5" t="s">
        <v>490</v>
      </c>
      <c r="DQ3349" s="5" t="s">
        <v>490</v>
      </c>
      <c r="DR3349" s="5" t="s">
        <v>238</v>
      </c>
      <c r="DS3349" s="5" t="s">
        <v>238</v>
      </c>
      <c r="DT3349" s="5" t="s">
        <v>881</v>
      </c>
      <c r="DU3349" s="5" t="s">
        <v>1156</v>
      </c>
      <c r="DV3349" s="5" t="s">
        <v>238</v>
      </c>
      <c r="DW3349" s="5" t="s">
        <v>238</v>
      </c>
      <c r="DX3349" s="5" t="s">
        <v>238</v>
      </c>
      <c r="DY3349" s="5" t="s">
        <v>238</v>
      </c>
      <c r="DZ3349" s="5" t="s">
        <v>238</v>
      </c>
      <c r="EA3349" s="5" t="s">
        <v>238</v>
      </c>
      <c r="EB3349" s="5" t="s">
        <v>238</v>
      </c>
      <c r="EC3349" s="5" t="s">
        <v>238</v>
      </c>
      <c r="ED3349" s="5" t="s">
        <v>238</v>
      </c>
      <c r="EE3349" s="5" t="s">
        <v>238</v>
      </c>
      <c r="EF3349" s="5" t="s">
        <v>238</v>
      </c>
      <c r="EG3349" s="5" t="s">
        <v>238</v>
      </c>
      <c r="EH3349" s="5" t="s">
        <v>238</v>
      </c>
      <c r="EI3349" s="5" t="s">
        <v>238</v>
      </c>
      <c r="EJ3349" s="5" t="s">
        <v>238</v>
      </c>
      <c r="EK3349" s="5" t="s">
        <v>238</v>
      </c>
      <c r="EL3349" s="5" t="s">
        <v>238</v>
      </c>
      <c r="EM3349" s="5" t="s">
        <v>238</v>
      </c>
      <c r="EN3349" s="5" t="s">
        <v>238</v>
      </c>
      <c r="EO3349" s="5" t="s">
        <v>238</v>
      </c>
      <c r="EP3349" s="5" t="s">
        <v>238</v>
      </c>
      <c r="EQ3349" s="5" t="s">
        <v>238</v>
      </c>
      <c r="ER3349" s="5" t="s">
        <v>238</v>
      </c>
      <c r="ES3349" s="5" t="s">
        <v>238</v>
      </c>
      <c r="ET3349" s="5" t="s">
        <v>238</v>
      </c>
      <c r="EU3349" s="5" t="s">
        <v>238</v>
      </c>
      <c r="EV3349" s="5" t="s">
        <v>238</v>
      </c>
      <c r="EW3349" s="5" t="s">
        <v>238</v>
      </c>
      <c r="EX3349" s="5" t="s">
        <v>238</v>
      </c>
      <c r="EY3349" s="5" t="s">
        <v>238</v>
      </c>
      <c r="EZ3349" s="5" t="s">
        <v>238</v>
      </c>
      <c r="FA3349" s="5" t="s">
        <v>238</v>
      </c>
      <c r="FB3349" s="5" t="s">
        <v>238</v>
      </c>
      <c r="FC3349" s="5" t="s">
        <v>238</v>
      </c>
      <c r="FD3349" s="5" t="s">
        <v>238</v>
      </c>
      <c r="FE3349" s="5" t="s">
        <v>238</v>
      </c>
      <c r="FF3349" s="5" t="s">
        <v>238</v>
      </c>
      <c r="FG3349" s="5" t="s">
        <v>238</v>
      </c>
      <c r="FH3349" s="5" t="s">
        <v>238</v>
      </c>
      <c r="FI3349" s="5" t="s">
        <v>238</v>
      </c>
      <c r="FJ3349" s="5" t="s">
        <v>238</v>
      </c>
      <c r="FK3349" s="5" t="s">
        <v>238</v>
      </c>
      <c r="FL3349" s="5" t="s">
        <v>238</v>
      </c>
      <c r="FM3349" s="5" t="s">
        <v>238</v>
      </c>
      <c r="FN3349" s="5" t="s">
        <v>238</v>
      </c>
      <c r="FO3349" s="5" t="s">
        <v>238</v>
      </c>
      <c r="FP3349" s="5" t="s">
        <v>238</v>
      </c>
      <c r="FQ3349" s="5" t="s">
        <v>238</v>
      </c>
      <c r="FR3349" s="5" t="s">
        <v>238</v>
      </c>
      <c r="FS3349" s="5" t="s">
        <v>238</v>
      </c>
      <c r="FT3349" s="5" t="s">
        <v>238</v>
      </c>
      <c r="FU3349" s="5" t="s">
        <v>238</v>
      </c>
      <c r="FV3349" s="5" t="s">
        <v>238</v>
      </c>
      <c r="FW3349" s="5" t="s">
        <v>238</v>
      </c>
      <c r="FX3349" s="5" t="s">
        <v>238</v>
      </c>
      <c r="FY3349" s="5" t="s">
        <v>238</v>
      </c>
      <c r="FZ3349" s="5" t="s">
        <v>238</v>
      </c>
      <c r="GA3349" s="5" t="s">
        <v>238</v>
      </c>
      <c r="GB3349" s="5" t="s">
        <v>238</v>
      </c>
      <c r="GC3349" s="5" t="s">
        <v>238</v>
      </c>
      <c r="GD3349" s="5" t="s">
        <v>238</v>
      </c>
      <c r="GE3349" s="5" t="s">
        <v>238</v>
      </c>
      <c r="GF3349" s="5" t="s">
        <v>238</v>
      </c>
      <c r="GG3349" s="5" t="s">
        <v>238</v>
      </c>
      <c r="GH3349" s="5" t="s">
        <v>238</v>
      </c>
      <c r="GI3349" s="5" t="s">
        <v>238</v>
      </c>
      <c r="GJ3349" s="5" t="s">
        <v>238</v>
      </c>
      <c r="GK3349" s="5" t="s">
        <v>238</v>
      </c>
      <c r="GL3349" s="5" t="s">
        <v>238</v>
      </c>
      <c r="GM3349" s="5" t="s">
        <v>238</v>
      </c>
      <c r="GN3349" s="5" t="s">
        <v>238</v>
      </c>
      <c r="GO3349" s="5" t="s">
        <v>238</v>
      </c>
      <c r="GP3349" s="5" t="s">
        <v>238</v>
      </c>
      <c r="GQ3349" s="5" t="s">
        <v>238</v>
      </c>
      <c r="GR3349" s="5" t="s">
        <v>238</v>
      </c>
      <c r="GS3349" s="5" t="s">
        <v>238</v>
      </c>
      <c r="GT3349" s="5" t="s">
        <v>238</v>
      </c>
      <c r="GU3349" s="5" t="s">
        <v>238</v>
      </c>
      <c r="GV3349" s="5" t="s">
        <v>238</v>
      </c>
      <c r="GW3349" s="5" t="s">
        <v>238</v>
      </c>
      <c r="GX3349" s="5" t="s">
        <v>238</v>
      </c>
      <c r="GY3349" s="5" t="s">
        <v>238</v>
      </c>
      <c r="GZ3349" s="5" t="s">
        <v>238</v>
      </c>
      <c r="HA3349" s="5" t="s">
        <v>238</v>
      </c>
      <c r="HB3349" s="5" t="s">
        <v>238</v>
      </c>
      <c r="HC3349" s="5" t="s">
        <v>238</v>
      </c>
      <c r="HD3349" s="5" t="s">
        <v>238</v>
      </c>
      <c r="HE3349" s="5" t="s">
        <v>238</v>
      </c>
      <c r="HF3349" s="5" t="s">
        <v>238</v>
      </c>
      <c r="HG3349" s="5" t="s">
        <v>238</v>
      </c>
      <c r="HH3349" s="5" t="s">
        <v>238</v>
      </c>
      <c r="HI3349" s="5" t="s">
        <v>238</v>
      </c>
      <c r="HJ3349" s="5" t="s">
        <v>238</v>
      </c>
      <c r="HK3349" s="5" t="s">
        <v>238</v>
      </c>
      <c r="HL3349" s="5" t="s">
        <v>238</v>
      </c>
      <c r="HM3349" s="5" t="s">
        <v>264</v>
      </c>
      <c r="HN3349" s="5" t="s">
        <v>238</v>
      </c>
      <c r="HO3349" s="5" t="s">
        <v>238</v>
      </c>
      <c r="HP3349" s="5" t="s">
        <v>238</v>
      </c>
      <c r="HQ3349" s="5" t="s">
        <v>238</v>
      </c>
      <c r="HR3349" s="5" t="s">
        <v>238</v>
      </c>
      <c r="HS3349" s="5" t="s">
        <v>238</v>
      </c>
      <c r="HT3349" s="5" t="s">
        <v>238</v>
      </c>
      <c r="HU3349" s="5" t="s">
        <v>238</v>
      </c>
      <c r="HV3349" s="5" t="s">
        <v>238</v>
      </c>
      <c r="HW3349" s="5" t="s">
        <v>238</v>
      </c>
      <c r="HX3349" s="5" t="s">
        <v>238</v>
      </c>
      <c r="HY3349" s="5" t="s">
        <v>238</v>
      </c>
      <c r="HZ3349" s="5" t="s">
        <v>238</v>
      </c>
      <c r="IA3349" s="5" t="s">
        <v>238</v>
      </c>
      <c r="IB3349" s="5" t="s">
        <v>238</v>
      </c>
      <c r="IC3349" s="5" t="s">
        <v>238</v>
      </c>
      <c r="ID3349" s="5" t="s">
        <v>238</v>
      </c>
    </row>
    <row r="3350" spans="1:238" x14ac:dyDescent="0.4">
      <c r="A3350" s="5">
        <v>9068</v>
      </c>
      <c r="B3350" s="5">
        <v>1</v>
      </c>
      <c r="C3350" s="5">
        <v>1</v>
      </c>
      <c r="D3350" s="5" t="s">
        <v>484</v>
      </c>
      <c r="E3350" s="5" t="s">
        <v>878</v>
      </c>
      <c r="F3350" s="5" t="s">
        <v>248</v>
      </c>
      <c r="G3350" s="5" t="s">
        <v>4688</v>
      </c>
      <c r="H3350" s="6" t="s">
        <v>4689</v>
      </c>
      <c r="I3350" s="8">
        <f>1</f>
        <v>1</v>
      </c>
      <c r="J3350" s="5" t="s">
        <v>499</v>
      </c>
      <c r="K3350" s="8">
        <f>1</f>
        <v>1</v>
      </c>
      <c r="L3350" s="6" t="s">
        <v>242</v>
      </c>
      <c r="M3350" s="5" t="s">
        <v>267</v>
      </c>
      <c r="N3350" s="5" t="s">
        <v>482</v>
      </c>
      <c r="O3350" s="5" t="s">
        <v>238</v>
      </c>
      <c r="P3350" s="5" t="s">
        <v>238</v>
      </c>
      <c r="Q3350" s="5" t="s">
        <v>239</v>
      </c>
      <c r="R3350" s="5" t="s">
        <v>270</v>
      </c>
      <c r="S3350" s="5" t="s">
        <v>238</v>
      </c>
      <c r="T3350" s="5" t="s">
        <v>238</v>
      </c>
      <c r="U3350" s="5" t="s">
        <v>238</v>
      </c>
      <c r="V3350" s="5" t="s">
        <v>238</v>
      </c>
      <c r="W3350" s="6" t="s">
        <v>238</v>
      </c>
      <c r="X3350" s="6" t="s">
        <v>238</v>
      </c>
      <c r="Y3350" s="5" t="s">
        <v>238</v>
      </c>
      <c r="Z3350" s="6" t="s">
        <v>238</v>
      </c>
      <c r="AA3350" s="6" t="s">
        <v>243</v>
      </c>
      <c r="AB3350" s="5" t="s">
        <v>879</v>
      </c>
      <c r="AC3350" s="5" t="s">
        <v>244</v>
      </c>
      <c r="AD3350" s="5" t="s">
        <v>245</v>
      </c>
      <c r="AE3350" s="5" t="s">
        <v>238</v>
      </c>
      <c r="AF3350" s="5" t="s">
        <v>238</v>
      </c>
      <c r="AG3350" s="5" t="s">
        <v>238</v>
      </c>
      <c r="AH3350" s="5" t="s">
        <v>238</v>
      </c>
      <c r="AI3350" s="5" t="s">
        <v>238</v>
      </c>
      <c r="AJ3350" s="5" t="s">
        <v>238</v>
      </c>
      <c r="AK3350" s="5" t="s">
        <v>238</v>
      </c>
      <c r="AL3350" s="5" t="s">
        <v>238</v>
      </c>
      <c r="AM3350" s="6" t="s">
        <v>238</v>
      </c>
      <c r="AN3350" s="6" t="s">
        <v>238</v>
      </c>
      <c r="AO3350" s="6" t="s">
        <v>238</v>
      </c>
      <c r="AP3350" s="6" t="s">
        <v>238</v>
      </c>
      <c r="AQ3350" s="5" t="s">
        <v>238</v>
      </c>
      <c r="AR3350" s="5" t="s">
        <v>488</v>
      </c>
      <c r="AS3350" s="5" t="s">
        <v>488</v>
      </c>
      <c r="AT3350" s="5" t="s">
        <v>246</v>
      </c>
      <c r="AU3350" s="5" t="s">
        <v>489</v>
      </c>
      <c r="AV3350" s="5" t="s">
        <v>247</v>
      </c>
      <c r="AW3350" s="5" t="s">
        <v>238</v>
      </c>
      <c r="AX3350" s="5" t="s">
        <v>249</v>
      </c>
      <c r="AY3350" s="5" t="s">
        <v>490</v>
      </c>
      <c r="BA3350" s="5" t="s">
        <v>238</v>
      </c>
      <c r="BC3350" s="5" t="s">
        <v>491</v>
      </c>
      <c r="BD3350" s="6" t="s">
        <v>492</v>
      </c>
      <c r="BE3350" s="5" t="s">
        <v>493</v>
      </c>
      <c r="BF3350" s="5" t="s">
        <v>493</v>
      </c>
      <c r="BG3350" s="5" t="s">
        <v>238</v>
      </c>
      <c r="BH3350" s="8">
        <f>1</f>
        <v>1</v>
      </c>
      <c r="BI3350" s="8">
        <f>1</f>
        <v>1</v>
      </c>
      <c r="BJ3350" s="5" t="s">
        <v>253</v>
      </c>
      <c r="BK3350" s="5" t="s">
        <v>254</v>
      </c>
      <c r="BL3350" s="5" t="s">
        <v>238</v>
      </c>
      <c r="BM3350" s="5" t="s">
        <v>238</v>
      </c>
      <c r="BN3350" s="5" t="s">
        <v>238</v>
      </c>
      <c r="BO3350" s="5" t="s">
        <v>238</v>
      </c>
      <c r="BP3350" s="5" t="s">
        <v>238</v>
      </c>
      <c r="BQ3350" s="5" t="s">
        <v>238</v>
      </c>
      <c r="BR3350" s="5" t="s">
        <v>238</v>
      </c>
      <c r="BS3350" s="5" t="s">
        <v>238</v>
      </c>
      <c r="BT3350" s="6" t="s">
        <v>238</v>
      </c>
      <c r="BU3350" s="5" t="s">
        <v>238</v>
      </c>
      <c r="BV3350" s="5" t="s">
        <v>238</v>
      </c>
      <c r="BW3350" s="5" t="s">
        <v>238</v>
      </c>
      <c r="BX3350" s="5" t="s">
        <v>254</v>
      </c>
      <c r="BY3350" s="5" t="s">
        <v>238</v>
      </c>
      <c r="BZ3350" s="5" t="s">
        <v>238</v>
      </c>
      <c r="CA3350" s="5" t="s">
        <v>238</v>
      </c>
      <c r="CB3350" s="5" t="s">
        <v>238</v>
      </c>
      <c r="CC3350" s="5" t="s">
        <v>238</v>
      </c>
      <c r="CD3350" s="5" t="s">
        <v>273</v>
      </c>
      <c r="CE3350" s="5" t="s">
        <v>256</v>
      </c>
      <c r="CF3350" s="5" t="s">
        <v>238</v>
      </c>
      <c r="CH3350" s="5" t="s">
        <v>494</v>
      </c>
      <c r="CI3350" s="6" t="s">
        <v>257</v>
      </c>
      <c r="CJ3350" s="5" t="s">
        <v>495</v>
      </c>
      <c r="CK3350" s="5" t="s">
        <v>258</v>
      </c>
      <c r="CL3350" s="5" t="s">
        <v>496</v>
      </c>
      <c r="CM3350" s="5" t="s">
        <v>238</v>
      </c>
      <c r="CN3350" s="5">
        <v>0</v>
      </c>
      <c r="CO3350" s="5" t="s">
        <v>497</v>
      </c>
      <c r="CP3350" s="5" t="s">
        <v>260</v>
      </c>
      <c r="CQ3350" s="5" t="s">
        <v>260</v>
      </c>
      <c r="CR3350" s="5" t="s">
        <v>261</v>
      </c>
      <c r="CS3350" s="5" t="s">
        <v>498</v>
      </c>
      <c r="CT3350" s="7">
        <f>1</f>
        <v>1</v>
      </c>
      <c r="CU3350" s="8">
        <f>1</f>
        <v>1</v>
      </c>
      <c r="CV3350" s="8">
        <f>0</f>
        <v>0</v>
      </c>
      <c r="CX3350" s="8">
        <f>1</f>
        <v>1</v>
      </c>
      <c r="CY3350" s="8">
        <f>1</f>
        <v>1</v>
      </c>
      <c r="CZ3350" s="8" t="s">
        <v>238</v>
      </c>
      <c r="DA3350" s="5" t="s">
        <v>238</v>
      </c>
      <c r="DB3350" s="5" t="s">
        <v>238</v>
      </c>
      <c r="DC3350" s="5" t="s">
        <v>238</v>
      </c>
      <c r="DD3350" s="5" t="s">
        <v>238</v>
      </c>
      <c r="DE3350" s="8">
        <f>0</f>
        <v>0</v>
      </c>
      <c r="DG3350" s="5" t="s">
        <v>238</v>
      </c>
      <c r="DH3350" s="5" t="s">
        <v>238</v>
      </c>
      <c r="DI3350" s="5" t="s">
        <v>238</v>
      </c>
      <c r="DJ3350" s="5" t="s">
        <v>238</v>
      </c>
      <c r="DK3350" s="5" t="s">
        <v>238</v>
      </c>
      <c r="DL3350" s="5" t="s">
        <v>238</v>
      </c>
      <c r="DM3350" s="8" t="s">
        <v>238</v>
      </c>
      <c r="DN3350" s="5" t="s">
        <v>238</v>
      </c>
      <c r="DO3350" s="5" t="s">
        <v>238</v>
      </c>
      <c r="DP3350" s="5" t="s">
        <v>490</v>
      </c>
      <c r="DQ3350" s="5" t="s">
        <v>490</v>
      </c>
      <c r="DR3350" s="5" t="s">
        <v>238</v>
      </c>
      <c r="DS3350" s="5" t="s">
        <v>238</v>
      </c>
      <c r="DT3350" s="5" t="s">
        <v>881</v>
      </c>
      <c r="DU3350" s="5" t="s">
        <v>1166</v>
      </c>
      <c r="DV3350" s="5" t="s">
        <v>238</v>
      </c>
      <c r="DW3350" s="5" t="s">
        <v>238</v>
      </c>
      <c r="DX3350" s="5" t="s">
        <v>238</v>
      </c>
      <c r="DY3350" s="5" t="s">
        <v>238</v>
      </c>
      <c r="DZ3350" s="5" t="s">
        <v>238</v>
      </c>
      <c r="EA3350" s="5" t="s">
        <v>238</v>
      </c>
      <c r="EB3350" s="5" t="s">
        <v>238</v>
      </c>
      <c r="EC3350" s="5" t="s">
        <v>238</v>
      </c>
      <c r="ED3350" s="5" t="s">
        <v>238</v>
      </c>
      <c r="EE3350" s="5" t="s">
        <v>238</v>
      </c>
      <c r="EF3350" s="5" t="s">
        <v>238</v>
      </c>
      <c r="EG3350" s="5" t="s">
        <v>238</v>
      </c>
      <c r="EH3350" s="5" t="s">
        <v>238</v>
      </c>
      <c r="EI3350" s="5" t="s">
        <v>238</v>
      </c>
      <c r="EJ3350" s="5" t="s">
        <v>238</v>
      </c>
      <c r="EK3350" s="5" t="s">
        <v>238</v>
      </c>
      <c r="EL3350" s="5" t="s">
        <v>238</v>
      </c>
      <c r="EM3350" s="5" t="s">
        <v>238</v>
      </c>
      <c r="EN3350" s="5" t="s">
        <v>238</v>
      </c>
      <c r="EO3350" s="5" t="s">
        <v>238</v>
      </c>
      <c r="EP3350" s="5" t="s">
        <v>238</v>
      </c>
      <c r="EQ3350" s="5" t="s">
        <v>238</v>
      </c>
      <c r="ER3350" s="5" t="s">
        <v>238</v>
      </c>
      <c r="ES3350" s="5" t="s">
        <v>238</v>
      </c>
      <c r="ET3350" s="5" t="s">
        <v>238</v>
      </c>
      <c r="EU3350" s="5" t="s">
        <v>238</v>
      </c>
      <c r="EV3350" s="5" t="s">
        <v>238</v>
      </c>
      <c r="EW3350" s="5" t="s">
        <v>238</v>
      </c>
      <c r="EX3350" s="5" t="s">
        <v>238</v>
      </c>
      <c r="EY3350" s="5" t="s">
        <v>238</v>
      </c>
      <c r="EZ3350" s="5" t="s">
        <v>238</v>
      </c>
      <c r="FA3350" s="5" t="s">
        <v>238</v>
      </c>
      <c r="FB3350" s="5" t="s">
        <v>238</v>
      </c>
      <c r="FC3350" s="5" t="s">
        <v>238</v>
      </c>
      <c r="FD3350" s="5" t="s">
        <v>238</v>
      </c>
      <c r="FE3350" s="5" t="s">
        <v>238</v>
      </c>
      <c r="FF3350" s="5" t="s">
        <v>238</v>
      </c>
      <c r="FG3350" s="5" t="s">
        <v>238</v>
      </c>
      <c r="FH3350" s="5" t="s">
        <v>238</v>
      </c>
      <c r="FI3350" s="5" t="s">
        <v>238</v>
      </c>
      <c r="FJ3350" s="5" t="s">
        <v>238</v>
      </c>
      <c r="FK3350" s="5" t="s">
        <v>238</v>
      </c>
      <c r="FL3350" s="5" t="s">
        <v>238</v>
      </c>
      <c r="FM3350" s="5" t="s">
        <v>238</v>
      </c>
      <c r="FN3350" s="5" t="s">
        <v>238</v>
      </c>
      <c r="FO3350" s="5" t="s">
        <v>238</v>
      </c>
      <c r="FP3350" s="5" t="s">
        <v>238</v>
      </c>
      <c r="FQ3350" s="5" t="s">
        <v>238</v>
      </c>
      <c r="FR3350" s="5" t="s">
        <v>238</v>
      </c>
      <c r="FS3350" s="5" t="s">
        <v>238</v>
      </c>
      <c r="FT3350" s="5" t="s">
        <v>238</v>
      </c>
      <c r="FU3350" s="5" t="s">
        <v>238</v>
      </c>
      <c r="FV3350" s="5" t="s">
        <v>238</v>
      </c>
      <c r="FW3350" s="5" t="s">
        <v>238</v>
      </c>
      <c r="FX3350" s="5" t="s">
        <v>238</v>
      </c>
      <c r="FY3350" s="5" t="s">
        <v>238</v>
      </c>
      <c r="FZ3350" s="5" t="s">
        <v>238</v>
      </c>
      <c r="GA3350" s="5" t="s">
        <v>238</v>
      </c>
      <c r="GB3350" s="5" t="s">
        <v>238</v>
      </c>
      <c r="GC3350" s="5" t="s">
        <v>238</v>
      </c>
      <c r="GD3350" s="5" t="s">
        <v>238</v>
      </c>
      <c r="GE3350" s="5" t="s">
        <v>238</v>
      </c>
      <c r="GF3350" s="5" t="s">
        <v>238</v>
      </c>
      <c r="GG3350" s="5" t="s">
        <v>238</v>
      </c>
      <c r="GH3350" s="5" t="s">
        <v>238</v>
      </c>
      <c r="GI3350" s="5" t="s">
        <v>238</v>
      </c>
      <c r="GJ3350" s="5" t="s">
        <v>238</v>
      </c>
      <c r="GK3350" s="5" t="s">
        <v>238</v>
      </c>
      <c r="GL3350" s="5" t="s">
        <v>238</v>
      </c>
      <c r="GM3350" s="5" t="s">
        <v>238</v>
      </c>
      <c r="GN3350" s="5" t="s">
        <v>238</v>
      </c>
      <c r="GO3350" s="5" t="s">
        <v>238</v>
      </c>
      <c r="GP3350" s="5" t="s">
        <v>238</v>
      </c>
      <c r="GQ3350" s="5" t="s">
        <v>238</v>
      </c>
      <c r="GR3350" s="5" t="s">
        <v>238</v>
      </c>
      <c r="GS3350" s="5" t="s">
        <v>238</v>
      </c>
      <c r="GT3350" s="5" t="s">
        <v>238</v>
      </c>
      <c r="GU3350" s="5" t="s">
        <v>238</v>
      </c>
      <c r="GV3350" s="5" t="s">
        <v>238</v>
      </c>
      <c r="GW3350" s="5" t="s">
        <v>238</v>
      </c>
      <c r="GX3350" s="5" t="s">
        <v>238</v>
      </c>
      <c r="GY3350" s="5" t="s">
        <v>238</v>
      </c>
      <c r="GZ3350" s="5" t="s">
        <v>238</v>
      </c>
      <c r="HA3350" s="5" t="s">
        <v>238</v>
      </c>
      <c r="HB3350" s="5" t="s">
        <v>238</v>
      </c>
      <c r="HC3350" s="5" t="s">
        <v>238</v>
      </c>
      <c r="HD3350" s="5" t="s">
        <v>238</v>
      </c>
      <c r="HE3350" s="5" t="s">
        <v>238</v>
      </c>
      <c r="HF3350" s="5" t="s">
        <v>238</v>
      </c>
      <c r="HG3350" s="5" t="s">
        <v>238</v>
      </c>
      <c r="HH3350" s="5" t="s">
        <v>238</v>
      </c>
      <c r="HI3350" s="5" t="s">
        <v>238</v>
      </c>
      <c r="HJ3350" s="5" t="s">
        <v>238</v>
      </c>
      <c r="HK3350" s="5" t="s">
        <v>238</v>
      </c>
      <c r="HL3350" s="5" t="s">
        <v>238</v>
      </c>
      <c r="HM3350" s="5" t="s">
        <v>264</v>
      </c>
      <c r="HN3350" s="5" t="s">
        <v>238</v>
      </c>
      <c r="HO3350" s="5" t="s">
        <v>238</v>
      </c>
      <c r="HP3350" s="5" t="s">
        <v>238</v>
      </c>
      <c r="HQ3350" s="5" t="s">
        <v>238</v>
      </c>
      <c r="HR3350" s="5" t="s">
        <v>238</v>
      </c>
      <c r="HS3350" s="5" t="s">
        <v>238</v>
      </c>
      <c r="HT3350" s="5" t="s">
        <v>238</v>
      </c>
      <c r="HU3350" s="5" t="s">
        <v>238</v>
      </c>
      <c r="HV3350" s="5" t="s">
        <v>238</v>
      </c>
      <c r="HW3350" s="5" t="s">
        <v>238</v>
      </c>
      <c r="HX3350" s="5" t="s">
        <v>238</v>
      </c>
      <c r="HY3350" s="5" t="s">
        <v>238</v>
      </c>
      <c r="HZ3350" s="5" t="s">
        <v>238</v>
      </c>
      <c r="IA3350" s="5" t="s">
        <v>238</v>
      </c>
      <c r="IB3350" s="5" t="s">
        <v>238</v>
      </c>
      <c r="IC3350" s="5" t="s">
        <v>238</v>
      </c>
      <c r="ID3350" s="5" t="s">
        <v>238</v>
      </c>
    </row>
    <row r="3351" spans="1:238" x14ac:dyDescent="0.4">
      <c r="A3351" s="5">
        <v>9069</v>
      </c>
      <c r="B3351" s="5">
        <v>1</v>
      </c>
      <c r="C3351" s="5">
        <v>1</v>
      </c>
      <c r="D3351" s="5" t="s">
        <v>484</v>
      </c>
      <c r="E3351" s="5" t="s">
        <v>878</v>
      </c>
      <c r="F3351" s="5" t="s">
        <v>248</v>
      </c>
      <c r="G3351" s="5" t="s">
        <v>6460</v>
      </c>
      <c r="H3351" s="6" t="s">
        <v>6461</v>
      </c>
      <c r="I3351" s="8">
        <f>1</f>
        <v>1</v>
      </c>
      <c r="J3351" s="5" t="s">
        <v>499</v>
      </c>
      <c r="K3351" s="8">
        <f>1</f>
        <v>1</v>
      </c>
      <c r="L3351" s="6" t="s">
        <v>242</v>
      </c>
      <c r="M3351" s="5" t="s">
        <v>267</v>
      </c>
      <c r="N3351" s="5" t="s">
        <v>482</v>
      </c>
      <c r="O3351" s="5" t="s">
        <v>238</v>
      </c>
      <c r="P3351" s="5" t="s">
        <v>238</v>
      </c>
      <c r="Q3351" s="5" t="s">
        <v>239</v>
      </c>
      <c r="R3351" s="5" t="s">
        <v>270</v>
      </c>
      <c r="S3351" s="5" t="s">
        <v>238</v>
      </c>
      <c r="T3351" s="5" t="s">
        <v>238</v>
      </c>
      <c r="U3351" s="5" t="s">
        <v>238</v>
      </c>
      <c r="V3351" s="5" t="s">
        <v>238</v>
      </c>
      <c r="W3351" s="6" t="s">
        <v>238</v>
      </c>
      <c r="X3351" s="6" t="s">
        <v>238</v>
      </c>
      <c r="Y3351" s="5" t="s">
        <v>238</v>
      </c>
      <c r="Z3351" s="6" t="s">
        <v>238</v>
      </c>
      <c r="AA3351" s="6" t="s">
        <v>243</v>
      </c>
      <c r="AB3351" s="5" t="s">
        <v>879</v>
      </c>
      <c r="AC3351" s="5" t="s">
        <v>244</v>
      </c>
      <c r="AD3351" s="5" t="s">
        <v>245</v>
      </c>
      <c r="AE3351" s="5" t="s">
        <v>238</v>
      </c>
      <c r="AF3351" s="5" t="s">
        <v>238</v>
      </c>
      <c r="AG3351" s="5" t="s">
        <v>238</v>
      </c>
      <c r="AH3351" s="5" t="s">
        <v>238</v>
      </c>
      <c r="AI3351" s="5" t="s">
        <v>238</v>
      </c>
      <c r="AJ3351" s="5" t="s">
        <v>238</v>
      </c>
      <c r="AK3351" s="5" t="s">
        <v>238</v>
      </c>
      <c r="AL3351" s="5" t="s">
        <v>238</v>
      </c>
      <c r="AM3351" s="6" t="s">
        <v>238</v>
      </c>
      <c r="AN3351" s="6" t="s">
        <v>238</v>
      </c>
      <c r="AO3351" s="6" t="s">
        <v>238</v>
      </c>
      <c r="AP3351" s="6" t="s">
        <v>238</v>
      </c>
      <c r="AQ3351" s="5" t="s">
        <v>238</v>
      </c>
      <c r="AR3351" s="5" t="s">
        <v>488</v>
      </c>
      <c r="AS3351" s="5" t="s">
        <v>488</v>
      </c>
      <c r="AT3351" s="5" t="s">
        <v>246</v>
      </c>
      <c r="AU3351" s="5" t="s">
        <v>489</v>
      </c>
      <c r="AV3351" s="5" t="s">
        <v>247</v>
      </c>
      <c r="AW3351" s="5" t="s">
        <v>238</v>
      </c>
      <c r="AX3351" s="5" t="s">
        <v>249</v>
      </c>
      <c r="AY3351" s="5" t="s">
        <v>490</v>
      </c>
      <c r="BA3351" s="5" t="s">
        <v>238</v>
      </c>
      <c r="BC3351" s="5" t="s">
        <v>491</v>
      </c>
      <c r="BD3351" s="6" t="s">
        <v>492</v>
      </c>
      <c r="BE3351" s="5" t="s">
        <v>493</v>
      </c>
      <c r="BF3351" s="5" t="s">
        <v>493</v>
      </c>
      <c r="BG3351" s="5" t="s">
        <v>238</v>
      </c>
      <c r="BH3351" s="8">
        <f>1</f>
        <v>1</v>
      </c>
      <c r="BI3351" s="8">
        <f>1</f>
        <v>1</v>
      </c>
      <c r="BJ3351" s="5" t="s">
        <v>253</v>
      </c>
      <c r="BK3351" s="5" t="s">
        <v>254</v>
      </c>
      <c r="BL3351" s="5" t="s">
        <v>238</v>
      </c>
      <c r="BM3351" s="5" t="s">
        <v>238</v>
      </c>
      <c r="BN3351" s="5" t="s">
        <v>238</v>
      </c>
      <c r="BO3351" s="5" t="s">
        <v>238</v>
      </c>
      <c r="BP3351" s="5" t="s">
        <v>238</v>
      </c>
      <c r="BQ3351" s="5" t="s">
        <v>238</v>
      </c>
      <c r="BR3351" s="5" t="s">
        <v>238</v>
      </c>
      <c r="BS3351" s="5" t="s">
        <v>238</v>
      </c>
      <c r="BT3351" s="6" t="s">
        <v>238</v>
      </c>
      <c r="BU3351" s="5" t="s">
        <v>238</v>
      </c>
      <c r="BV3351" s="5" t="s">
        <v>238</v>
      </c>
      <c r="BW3351" s="5" t="s">
        <v>238</v>
      </c>
      <c r="BX3351" s="5" t="s">
        <v>254</v>
      </c>
      <c r="BY3351" s="5" t="s">
        <v>238</v>
      </c>
      <c r="BZ3351" s="5" t="s">
        <v>238</v>
      </c>
      <c r="CA3351" s="5" t="s">
        <v>238</v>
      </c>
      <c r="CB3351" s="5" t="s">
        <v>238</v>
      </c>
      <c r="CC3351" s="5" t="s">
        <v>238</v>
      </c>
      <c r="CD3351" s="5" t="s">
        <v>273</v>
      </c>
      <c r="CE3351" s="5" t="s">
        <v>256</v>
      </c>
      <c r="CF3351" s="5" t="s">
        <v>238</v>
      </c>
      <c r="CH3351" s="5" t="s">
        <v>494</v>
      </c>
      <c r="CI3351" s="6" t="s">
        <v>257</v>
      </c>
      <c r="CJ3351" s="5" t="s">
        <v>495</v>
      </c>
      <c r="CK3351" s="5" t="s">
        <v>258</v>
      </c>
      <c r="CL3351" s="5" t="s">
        <v>496</v>
      </c>
      <c r="CM3351" s="5" t="s">
        <v>238</v>
      </c>
      <c r="CN3351" s="5">
        <v>0</v>
      </c>
      <c r="CO3351" s="5" t="s">
        <v>497</v>
      </c>
      <c r="CP3351" s="5" t="s">
        <v>260</v>
      </c>
      <c r="CQ3351" s="5" t="s">
        <v>260</v>
      </c>
      <c r="CR3351" s="5" t="s">
        <v>261</v>
      </c>
      <c r="CS3351" s="5" t="s">
        <v>498</v>
      </c>
      <c r="CT3351" s="7">
        <f>1</f>
        <v>1</v>
      </c>
      <c r="CU3351" s="8">
        <f>1</f>
        <v>1</v>
      </c>
      <c r="CV3351" s="8">
        <f>0</f>
        <v>0</v>
      </c>
      <c r="CX3351" s="8">
        <f>1</f>
        <v>1</v>
      </c>
      <c r="CY3351" s="8">
        <f>1</f>
        <v>1</v>
      </c>
      <c r="CZ3351" s="8" t="s">
        <v>238</v>
      </c>
      <c r="DA3351" s="5" t="s">
        <v>238</v>
      </c>
      <c r="DB3351" s="5" t="s">
        <v>238</v>
      </c>
      <c r="DC3351" s="5" t="s">
        <v>238</v>
      </c>
      <c r="DD3351" s="5" t="s">
        <v>238</v>
      </c>
      <c r="DE3351" s="8">
        <f>0</f>
        <v>0</v>
      </c>
      <c r="DG3351" s="5" t="s">
        <v>238</v>
      </c>
      <c r="DH3351" s="5" t="s">
        <v>238</v>
      </c>
      <c r="DI3351" s="5" t="s">
        <v>238</v>
      </c>
      <c r="DJ3351" s="5" t="s">
        <v>238</v>
      </c>
      <c r="DK3351" s="5" t="s">
        <v>238</v>
      </c>
      <c r="DL3351" s="5" t="s">
        <v>238</v>
      </c>
      <c r="DM3351" s="8" t="s">
        <v>238</v>
      </c>
      <c r="DN3351" s="5" t="s">
        <v>238</v>
      </c>
      <c r="DO3351" s="5" t="s">
        <v>238</v>
      </c>
      <c r="DP3351" s="5" t="s">
        <v>490</v>
      </c>
      <c r="DQ3351" s="5" t="s">
        <v>490</v>
      </c>
      <c r="DR3351" s="5" t="s">
        <v>238</v>
      </c>
      <c r="DS3351" s="5" t="s">
        <v>238</v>
      </c>
      <c r="DT3351" s="5" t="s">
        <v>881</v>
      </c>
      <c r="DU3351" s="5" t="s">
        <v>1135</v>
      </c>
      <c r="DV3351" s="5" t="s">
        <v>238</v>
      </c>
      <c r="DW3351" s="5" t="s">
        <v>238</v>
      </c>
      <c r="DX3351" s="5" t="s">
        <v>238</v>
      </c>
      <c r="DY3351" s="5" t="s">
        <v>238</v>
      </c>
      <c r="DZ3351" s="5" t="s">
        <v>238</v>
      </c>
      <c r="EA3351" s="5" t="s">
        <v>238</v>
      </c>
      <c r="EB3351" s="5" t="s">
        <v>238</v>
      </c>
      <c r="EC3351" s="5" t="s">
        <v>238</v>
      </c>
      <c r="ED3351" s="5" t="s">
        <v>238</v>
      </c>
      <c r="EE3351" s="5" t="s">
        <v>238</v>
      </c>
      <c r="EF3351" s="5" t="s">
        <v>238</v>
      </c>
      <c r="EG3351" s="5" t="s">
        <v>238</v>
      </c>
      <c r="EH3351" s="5" t="s">
        <v>238</v>
      </c>
      <c r="EI3351" s="5" t="s">
        <v>238</v>
      </c>
      <c r="EJ3351" s="5" t="s">
        <v>238</v>
      </c>
      <c r="EK3351" s="5" t="s">
        <v>238</v>
      </c>
      <c r="EL3351" s="5" t="s">
        <v>238</v>
      </c>
      <c r="EM3351" s="5" t="s">
        <v>238</v>
      </c>
      <c r="EN3351" s="5" t="s">
        <v>238</v>
      </c>
      <c r="EO3351" s="5" t="s">
        <v>238</v>
      </c>
      <c r="EP3351" s="5" t="s">
        <v>238</v>
      </c>
      <c r="EQ3351" s="5" t="s">
        <v>238</v>
      </c>
      <c r="ER3351" s="5" t="s">
        <v>238</v>
      </c>
      <c r="ES3351" s="5" t="s">
        <v>238</v>
      </c>
      <c r="ET3351" s="5" t="s">
        <v>238</v>
      </c>
      <c r="EU3351" s="5" t="s">
        <v>238</v>
      </c>
      <c r="EV3351" s="5" t="s">
        <v>238</v>
      </c>
      <c r="EW3351" s="5" t="s">
        <v>238</v>
      </c>
      <c r="EX3351" s="5" t="s">
        <v>238</v>
      </c>
      <c r="EY3351" s="5" t="s">
        <v>238</v>
      </c>
      <c r="EZ3351" s="5" t="s">
        <v>238</v>
      </c>
      <c r="FA3351" s="5" t="s">
        <v>238</v>
      </c>
      <c r="FB3351" s="5" t="s">
        <v>238</v>
      </c>
      <c r="FC3351" s="5" t="s">
        <v>238</v>
      </c>
      <c r="FD3351" s="5" t="s">
        <v>238</v>
      </c>
      <c r="FE3351" s="5" t="s">
        <v>238</v>
      </c>
      <c r="FF3351" s="5" t="s">
        <v>238</v>
      </c>
      <c r="FG3351" s="5" t="s">
        <v>238</v>
      </c>
      <c r="FH3351" s="5" t="s">
        <v>238</v>
      </c>
      <c r="FI3351" s="5" t="s">
        <v>238</v>
      </c>
      <c r="FJ3351" s="5" t="s">
        <v>238</v>
      </c>
      <c r="FK3351" s="5" t="s">
        <v>238</v>
      </c>
      <c r="FL3351" s="5" t="s">
        <v>238</v>
      </c>
      <c r="FM3351" s="5" t="s">
        <v>238</v>
      </c>
      <c r="FN3351" s="5" t="s">
        <v>238</v>
      </c>
      <c r="FO3351" s="5" t="s">
        <v>238</v>
      </c>
      <c r="FP3351" s="5" t="s">
        <v>238</v>
      </c>
      <c r="FQ3351" s="5" t="s">
        <v>238</v>
      </c>
      <c r="FR3351" s="5" t="s">
        <v>238</v>
      </c>
      <c r="FS3351" s="5" t="s">
        <v>238</v>
      </c>
      <c r="FT3351" s="5" t="s">
        <v>238</v>
      </c>
      <c r="FU3351" s="5" t="s">
        <v>238</v>
      </c>
      <c r="FV3351" s="5" t="s">
        <v>238</v>
      </c>
      <c r="FW3351" s="5" t="s">
        <v>238</v>
      </c>
      <c r="FX3351" s="5" t="s">
        <v>238</v>
      </c>
      <c r="FY3351" s="5" t="s">
        <v>238</v>
      </c>
      <c r="FZ3351" s="5" t="s">
        <v>238</v>
      </c>
      <c r="GA3351" s="5" t="s">
        <v>238</v>
      </c>
      <c r="GB3351" s="5" t="s">
        <v>238</v>
      </c>
      <c r="GC3351" s="5" t="s">
        <v>238</v>
      </c>
      <c r="GD3351" s="5" t="s">
        <v>238</v>
      </c>
      <c r="GE3351" s="5" t="s">
        <v>238</v>
      </c>
      <c r="GF3351" s="5" t="s">
        <v>238</v>
      </c>
      <c r="GG3351" s="5" t="s">
        <v>238</v>
      </c>
      <c r="GH3351" s="5" t="s">
        <v>238</v>
      </c>
      <c r="GI3351" s="5" t="s">
        <v>238</v>
      </c>
      <c r="GJ3351" s="5" t="s">
        <v>238</v>
      </c>
      <c r="GK3351" s="5" t="s">
        <v>238</v>
      </c>
      <c r="GL3351" s="5" t="s">
        <v>238</v>
      </c>
      <c r="GM3351" s="5" t="s">
        <v>238</v>
      </c>
      <c r="GN3351" s="5" t="s">
        <v>238</v>
      </c>
      <c r="GO3351" s="5" t="s">
        <v>238</v>
      </c>
      <c r="GP3351" s="5" t="s">
        <v>238</v>
      </c>
      <c r="GQ3351" s="5" t="s">
        <v>238</v>
      </c>
      <c r="GR3351" s="5" t="s">
        <v>238</v>
      </c>
      <c r="GS3351" s="5" t="s">
        <v>238</v>
      </c>
      <c r="GT3351" s="5" t="s">
        <v>238</v>
      </c>
      <c r="GU3351" s="5" t="s">
        <v>238</v>
      </c>
      <c r="GV3351" s="5" t="s">
        <v>238</v>
      </c>
      <c r="GW3351" s="5" t="s">
        <v>238</v>
      </c>
      <c r="GX3351" s="5" t="s">
        <v>238</v>
      </c>
      <c r="GY3351" s="5" t="s">
        <v>238</v>
      </c>
      <c r="GZ3351" s="5" t="s">
        <v>238</v>
      </c>
      <c r="HA3351" s="5" t="s">
        <v>238</v>
      </c>
      <c r="HB3351" s="5" t="s">
        <v>238</v>
      </c>
      <c r="HC3351" s="5" t="s">
        <v>238</v>
      </c>
      <c r="HD3351" s="5" t="s">
        <v>238</v>
      </c>
      <c r="HE3351" s="5" t="s">
        <v>238</v>
      </c>
      <c r="HF3351" s="5" t="s">
        <v>238</v>
      </c>
      <c r="HG3351" s="5" t="s">
        <v>238</v>
      </c>
      <c r="HH3351" s="5" t="s">
        <v>238</v>
      </c>
      <c r="HI3351" s="5" t="s">
        <v>238</v>
      </c>
      <c r="HJ3351" s="5" t="s">
        <v>238</v>
      </c>
      <c r="HK3351" s="5" t="s">
        <v>238</v>
      </c>
      <c r="HL3351" s="5" t="s">
        <v>238</v>
      </c>
      <c r="HM3351" s="5" t="s">
        <v>264</v>
      </c>
      <c r="HN3351" s="5" t="s">
        <v>238</v>
      </c>
      <c r="HO3351" s="5" t="s">
        <v>238</v>
      </c>
      <c r="HP3351" s="5" t="s">
        <v>238</v>
      </c>
      <c r="HQ3351" s="5" t="s">
        <v>238</v>
      </c>
      <c r="HR3351" s="5" t="s">
        <v>238</v>
      </c>
      <c r="HS3351" s="5" t="s">
        <v>238</v>
      </c>
      <c r="HT3351" s="5" t="s">
        <v>238</v>
      </c>
      <c r="HU3351" s="5" t="s">
        <v>238</v>
      </c>
      <c r="HV3351" s="5" t="s">
        <v>238</v>
      </c>
      <c r="HW3351" s="5" t="s">
        <v>238</v>
      </c>
      <c r="HX3351" s="5" t="s">
        <v>238</v>
      </c>
      <c r="HY3351" s="5" t="s">
        <v>238</v>
      </c>
      <c r="HZ3351" s="5" t="s">
        <v>238</v>
      </c>
      <c r="IA3351" s="5" t="s">
        <v>238</v>
      </c>
      <c r="IB3351" s="5" t="s">
        <v>238</v>
      </c>
      <c r="IC3351" s="5" t="s">
        <v>238</v>
      </c>
      <c r="ID3351" s="5" t="s">
        <v>238</v>
      </c>
    </row>
    <row r="3352" spans="1:238" x14ac:dyDescent="0.4">
      <c r="A3352" s="5">
        <v>9070</v>
      </c>
      <c r="B3352" s="5">
        <v>1</v>
      </c>
      <c r="C3352" s="5">
        <v>1</v>
      </c>
      <c r="D3352" s="5" t="s">
        <v>484</v>
      </c>
      <c r="E3352" s="5" t="s">
        <v>878</v>
      </c>
      <c r="F3352" s="5" t="s">
        <v>248</v>
      </c>
      <c r="G3352" s="5" t="s">
        <v>4821</v>
      </c>
      <c r="H3352" s="6" t="s">
        <v>4822</v>
      </c>
      <c r="I3352" s="8">
        <f>1</f>
        <v>1</v>
      </c>
      <c r="J3352" s="5" t="s">
        <v>499</v>
      </c>
      <c r="K3352" s="8">
        <f>1</f>
        <v>1</v>
      </c>
      <c r="L3352" s="6" t="s">
        <v>242</v>
      </c>
      <c r="M3352" s="5" t="s">
        <v>267</v>
      </c>
      <c r="N3352" s="5" t="s">
        <v>482</v>
      </c>
      <c r="O3352" s="5" t="s">
        <v>238</v>
      </c>
      <c r="P3352" s="5" t="s">
        <v>238</v>
      </c>
      <c r="Q3352" s="5" t="s">
        <v>239</v>
      </c>
      <c r="R3352" s="5" t="s">
        <v>270</v>
      </c>
      <c r="S3352" s="5" t="s">
        <v>238</v>
      </c>
      <c r="T3352" s="5" t="s">
        <v>238</v>
      </c>
      <c r="U3352" s="5" t="s">
        <v>238</v>
      </c>
      <c r="V3352" s="5" t="s">
        <v>238</v>
      </c>
      <c r="W3352" s="6" t="s">
        <v>238</v>
      </c>
      <c r="X3352" s="6" t="s">
        <v>238</v>
      </c>
      <c r="Y3352" s="5" t="s">
        <v>238</v>
      </c>
      <c r="Z3352" s="6" t="s">
        <v>238</v>
      </c>
      <c r="AA3352" s="6" t="s">
        <v>243</v>
      </c>
      <c r="AB3352" s="5" t="s">
        <v>879</v>
      </c>
      <c r="AC3352" s="5" t="s">
        <v>244</v>
      </c>
      <c r="AD3352" s="5" t="s">
        <v>245</v>
      </c>
      <c r="AE3352" s="5" t="s">
        <v>238</v>
      </c>
      <c r="AF3352" s="5" t="s">
        <v>238</v>
      </c>
      <c r="AG3352" s="5" t="s">
        <v>238</v>
      </c>
      <c r="AH3352" s="5" t="s">
        <v>238</v>
      </c>
      <c r="AI3352" s="5" t="s">
        <v>238</v>
      </c>
      <c r="AJ3352" s="5" t="s">
        <v>238</v>
      </c>
      <c r="AK3352" s="5" t="s">
        <v>238</v>
      </c>
      <c r="AL3352" s="5" t="s">
        <v>238</v>
      </c>
      <c r="AM3352" s="6" t="s">
        <v>238</v>
      </c>
      <c r="AN3352" s="6" t="s">
        <v>238</v>
      </c>
      <c r="AO3352" s="6" t="s">
        <v>238</v>
      </c>
      <c r="AP3352" s="6" t="s">
        <v>238</v>
      </c>
      <c r="AQ3352" s="5" t="s">
        <v>238</v>
      </c>
      <c r="AR3352" s="5" t="s">
        <v>488</v>
      </c>
      <c r="AS3352" s="5" t="s">
        <v>488</v>
      </c>
      <c r="AT3352" s="5" t="s">
        <v>246</v>
      </c>
      <c r="AU3352" s="5" t="s">
        <v>489</v>
      </c>
      <c r="AV3352" s="5" t="s">
        <v>247</v>
      </c>
      <c r="AW3352" s="5" t="s">
        <v>238</v>
      </c>
      <c r="AX3352" s="5" t="s">
        <v>249</v>
      </c>
      <c r="AY3352" s="5" t="s">
        <v>490</v>
      </c>
      <c r="BA3352" s="5" t="s">
        <v>238</v>
      </c>
      <c r="BC3352" s="5" t="s">
        <v>491</v>
      </c>
      <c r="BD3352" s="6" t="s">
        <v>492</v>
      </c>
      <c r="BE3352" s="5" t="s">
        <v>493</v>
      </c>
      <c r="BF3352" s="5" t="s">
        <v>493</v>
      </c>
      <c r="BG3352" s="5" t="s">
        <v>238</v>
      </c>
      <c r="BH3352" s="8">
        <f>1</f>
        <v>1</v>
      </c>
      <c r="BI3352" s="8">
        <f>1</f>
        <v>1</v>
      </c>
      <c r="BJ3352" s="5" t="s">
        <v>253</v>
      </c>
      <c r="BK3352" s="5" t="s">
        <v>254</v>
      </c>
      <c r="BL3352" s="5" t="s">
        <v>238</v>
      </c>
      <c r="BM3352" s="5" t="s">
        <v>238</v>
      </c>
      <c r="BN3352" s="5" t="s">
        <v>238</v>
      </c>
      <c r="BO3352" s="5" t="s">
        <v>238</v>
      </c>
      <c r="BP3352" s="5" t="s">
        <v>238</v>
      </c>
      <c r="BQ3352" s="5" t="s">
        <v>238</v>
      </c>
      <c r="BR3352" s="5" t="s">
        <v>238</v>
      </c>
      <c r="BS3352" s="5" t="s">
        <v>238</v>
      </c>
      <c r="BT3352" s="6" t="s">
        <v>238</v>
      </c>
      <c r="BU3352" s="5" t="s">
        <v>238</v>
      </c>
      <c r="BV3352" s="5" t="s">
        <v>238</v>
      </c>
      <c r="BW3352" s="5" t="s">
        <v>238</v>
      </c>
      <c r="BX3352" s="5" t="s">
        <v>254</v>
      </c>
      <c r="BY3352" s="5" t="s">
        <v>238</v>
      </c>
      <c r="BZ3352" s="5" t="s">
        <v>238</v>
      </c>
      <c r="CA3352" s="5" t="s">
        <v>238</v>
      </c>
      <c r="CB3352" s="5" t="s">
        <v>238</v>
      </c>
      <c r="CC3352" s="5" t="s">
        <v>238</v>
      </c>
      <c r="CD3352" s="5" t="s">
        <v>273</v>
      </c>
      <c r="CE3352" s="5" t="s">
        <v>256</v>
      </c>
      <c r="CF3352" s="5" t="s">
        <v>238</v>
      </c>
      <c r="CH3352" s="5" t="s">
        <v>494</v>
      </c>
      <c r="CI3352" s="6" t="s">
        <v>257</v>
      </c>
      <c r="CJ3352" s="5" t="s">
        <v>495</v>
      </c>
      <c r="CK3352" s="5" t="s">
        <v>258</v>
      </c>
      <c r="CL3352" s="5" t="s">
        <v>496</v>
      </c>
      <c r="CM3352" s="5" t="s">
        <v>238</v>
      </c>
      <c r="CN3352" s="5">
        <v>0</v>
      </c>
      <c r="CO3352" s="5" t="s">
        <v>497</v>
      </c>
      <c r="CP3352" s="5" t="s">
        <v>260</v>
      </c>
      <c r="CQ3352" s="5" t="s">
        <v>260</v>
      </c>
      <c r="CR3352" s="5" t="s">
        <v>261</v>
      </c>
      <c r="CS3352" s="5" t="s">
        <v>498</v>
      </c>
      <c r="CT3352" s="7">
        <f>1</f>
        <v>1</v>
      </c>
      <c r="CU3352" s="8">
        <f>1</f>
        <v>1</v>
      </c>
      <c r="CV3352" s="8">
        <f>0</f>
        <v>0</v>
      </c>
      <c r="CX3352" s="8">
        <f>1</f>
        <v>1</v>
      </c>
      <c r="CY3352" s="8">
        <f>1</f>
        <v>1</v>
      </c>
      <c r="CZ3352" s="8" t="s">
        <v>238</v>
      </c>
      <c r="DA3352" s="5" t="s">
        <v>238</v>
      </c>
      <c r="DB3352" s="5" t="s">
        <v>238</v>
      </c>
      <c r="DC3352" s="5" t="s">
        <v>238</v>
      </c>
      <c r="DD3352" s="5" t="s">
        <v>238</v>
      </c>
      <c r="DE3352" s="8">
        <f>0</f>
        <v>0</v>
      </c>
      <c r="DG3352" s="5" t="s">
        <v>238</v>
      </c>
      <c r="DH3352" s="5" t="s">
        <v>238</v>
      </c>
      <c r="DI3352" s="5" t="s">
        <v>238</v>
      </c>
      <c r="DJ3352" s="5" t="s">
        <v>238</v>
      </c>
      <c r="DK3352" s="5" t="s">
        <v>238</v>
      </c>
      <c r="DL3352" s="5" t="s">
        <v>238</v>
      </c>
      <c r="DM3352" s="8" t="s">
        <v>238</v>
      </c>
      <c r="DN3352" s="5" t="s">
        <v>238</v>
      </c>
      <c r="DO3352" s="5" t="s">
        <v>238</v>
      </c>
      <c r="DP3352" s="5" t="s">
        <v>490</v>
      </c>
      <c r="DQ3352" s="5" t="s">
        <v>490</v>
      </c>
      <c r="DR3352" s="5" t="s">
        <v>238</v>
      </c>
      <c r="DS3352" s="5" t="s">
        <v>238</v>
      </c>
      <c r="DT3352" s="5" t="s">
        <v>881</v>
      </c>
      <c r="DU3352" s="5" t="s">
        <v>1428</v>
      </c>
      <c r="DV3352" s="5" t="s">
        <v>238</v>
      </c>
      <c r="DW3352" s="5" t="s">
        <v>238</v>
      </c>
      <c r="DX3352" s="5" t="s">
        <v>238</v>
      </c>
      <c r="DY3352" s="5" t="s">
        <v>238</v>
      </c>
      <c r="DZ3352" s="5" t="s">
        <v>238</v>
      </c>
      <c r="EA3352" s="5" t="s">
        <v>238</v>
      </c>
      <c r="EB3352" s="5" t="s">
        <v>238</v>
      </c>
      <c r="EC3352" s="5" t="s">
        <v>238</v>
      </c>
      <c r="ED3352" s="5" t="s">
        <v>238</v>
      </c>
      <c r="EE3352" s="5" t="s">
        <v>238</v>
      </c>
      <c r="EF3352" s="5" t="s">
        <v>238</v>
      </c>
      <c r="EG3352" s="5" t="s">
        <v>238</v>
      </c>
      <c r="EH3352" s="5" t="s">
        <v>238</v>
      </c>
      <c r="EI3352" s="5" t="s">
        <v>238</v>
      </c>
      <c r="EJ3352" s="5" t="s">
        <v>238</v>
      </c>
      <c r="EK3352" s="5" t="s">
        <v>238</v>
      </c>
      <c r="EL3352" s="5" t="s">
        <v>238</v>
      </c>
      <c r="EM3352" s="5" t="s">
        <v>238</v>
      </c>
      <c r="EN3352" s="5" t="s">
        <v>238</v>
      </c>
      <c r="EO3352" s="5" t="s">
        <v>238</v>
      </c>
      <c r="EP3352" s="5" t="s">
        <v>238</v>
      </c>
      <c r="EQ3352" s="5" t="s">
        <v>238</v>
      </c>
      <c r="ER3352" s="5" t="s">
        <v>238</v>
      </c>
      <c r="ES3352" s="5" t="s">
        <v>238</v>
      </c>
      <c r="ET3352" s="5" t="s">
        <v>238</v>
      </c>
      <c r="EU3352" s="5" t="s">
        <v>238</v>
      </c>
      <c r="EV3352" s="5" t="s">
        <v>238</v>
      </c>
      <c r="EW3352" s="5" t="s">
        <v>238</v>
      </c>
      <c r="EX3352" s="5" t="s">
        <v>238</v>
      </c>
      <c r="EY3352" s="5" t="s">
        <v>238</v>
      </c>
      <c r="EZ3352" s="5" t="s">
        <v>238</v>
      </c>
      <c r="FA3352" s="5" t="s">
        <v>238</v>
      </c>
      <c r="FB3352" s="5" t="s">
        <v>238</v>
      </c>
      <c r="FC3352" s="5" t="s">
        <v>238</v>
      </c>
      <c r="FD3352" s="5" t="s">
        <v>238</v>
      </c>
      <c r="FE3352" s="5" t="s">
        <v>238</v>
      </c>
      <c r="FF3352" s="5" t="s">
        <v>238</v>
      </c>
      <c r="FG3352" s="5" t="s">
        <v>238</v>
      </c>
      <c r="FH3352" s="5" t="s">
        <v>238</v>
      </c>
      <c r="FI3352" s="5" t="s">
        <v>238</v>
      </c>
      <c r="FJ3352" s="5" t="s">
        <v>238</v>
      </c>
      <c r="FK3352" s="5" t="s">
        <v>238</v>
      </c>
      <c r="FL3352" s="5" t="s">
        <v>238</v>
      </c>
      <c r="FM3352" s="5" t="s">
        <v>238</v>
      </c>
      <c r="FN3352" s="5" t="s">
        <v>238</v>
      </c>
      <c r="FO3352" s="5" t="s">
        <v>238</v>
      </c>
      <c r="FP3352" s="5" t="s">
        <v>238</v>
      </c>
      <c r="FQ3352" s="5" t="s">
        <v>238</v>
      </c>
      <c r="FR3352" s="5" t="s">
        <v>238</v>
      </c>
      <c r="FS3352" s="5" t="s">
        <v>238</v>
      </c>
      <c r="FT3352" s="5" t="s">
        <v>238</v>
      </c>
      <c r="FU3352" s="5" t="s">
        <v>238</v>
      </c>
      <c r="FV3352" s="5" t="s">
        <v>238</v>
      </c>
      <c r="FW3352" s="5" t="s">
        <v>238</v>
      </c>
      <c r="FX3352" s="5" t="s">
        <v>238</v>
      </c>
      <c r="FY3352" s="5" t="s">
        <v>238</v>
      </c>
      <c r="FZ3352" s="5" t="s">
        <v>238</v>
      </c>
      <c r="GA3352" s="5" t="s">
        <v>238</v>
      </c>
      <c r="GB3352" s="5" t="s">
        <v>238</v>
      </c>
      <c r="GC3352" s="5" t="s">
        <v>238</v>
      </c>
      <c r="GD3352" s="5" t="s">
        <v>238</v>
      </c>
      <c r="GE3352" s="5" t="s">
        <v>238</v>
      </c>
      <c r="GF3352" s="5" t="s">
        <v>238</v>
      </c>
      <c r="GG3352" s="5" t="s">
        <v>238</v>
      </c>
      <c r="GH3352" s="5" t="s">
        <v>238</v>
      </c>
      <c r="GI3352" s="5" t="s">
        <v>238</v>
      </c>
      <c r="GJ3352" s="5" t="s">
        <v>238</v>
      </c>
      <c r="GK3352" s="5" t="s">
        <v>238</v>
      </c>
      <c r="GL3352" s="5" t="s">
        <v>238</v>
      </c>
      <c r="GM3352" s="5" t="s">
        <v>238</v>
      </c>
      <c r="GN3352" s="5" t="s">
        <v>238</v>
      </c>
      <c r="GO3352" s="5" t="s">
        <v>238</v>
      </c>
      <c r="GP3352" s="5" t="s">
        <v>238</v>
      </c>
      <c r="GQ3352" s="5" t="s">
        <v>238</v>
      </c>
      <c r="GR3352" s="5" t="s">
        <v>238</v>
      </c>
      <c r="GS3352" s="5" t="s">
        <v>238</v>
      </c>
      <c r="GT3352" s="5" t="s">
        <v>238</v>
      </c>
      <c r="GU3352" s="5" t="s">
        <v>238</v>
      </c>
      <c r="GV3352" s="5" t="s">
        <v>238</v>
      </c>
      <c r="GW3352" s="5" t="s">
        <v>238</v>
      </c>
      <c r="GX3352" s="5" t="s">
        <v>238</v>
      </c>
      <c r="GY3352" s="5" t="s">
        <v>238</v>
      </c>
      <c r="GZ3352" s="5" t="s">
        <v>238</v>
      </c>
      <c r="HA3352" s="5" t="s">
        <v>238</v>
      </c>
      <c r="HB3352" s="5" t="s">
        <v>238</v>
      </c>
      <c r="HC3352" s="5" t="s">
        <v>238</v>
      </c>
      <c r="HD3352" s="5" t="s">
        <v>238</v>
      </c>
      <c r="HE3352" s="5" t="s">
        <v>238</v>
      </c>
      <c r="HF3352" s="5" t="s">
        <v>238</v>
      </c>
      <c r="HG3352" s="5" t="s">
        <v>238</v>
      </c>
      <c r="HH3352" s="5" t="s">
        <v>238</v>
      </c>
      <c r="HI3352" s="5" t="s">
        <v>238</v>
      </c>
      <c r="HJ3352" s="5" t="s">
        <v>238</v>
      </c>
      <c r="HK3352" s="5" t="s">
        <v>238</v>
      </c>
      <c r="HL3352" s="5" t="s">
        <v>238</v>
      </c>
      <c r="HM3352" s="5" t="s">
        <v>264</v>
      </c>
      <c r="HN3352" s="5" t="s">
        <v>238</v>
      </c>
      <c r="HO3352" s="5" t="s">
        <v>238</v>
      </c>
      <c r="HP3352" s="5" t="s">
        <v>238</v>
      </c>
      <c r="HQ3352" s="5" t="s">
        <v>238</v>
      </c>
      <c r="HR3352" s="5" t="s">
        <v>238</v>
      </c>
      <c r="HS3352" s="5" t="s">
        <v>238</v>
      </c>
      <c r="HT3352" s="5" t="s">
        <v>238</v>
      </c>
      <c r="HU3352" s="5" t="s">
        <v>238</v>
      </c>
      <c r="HV3352" s="5" t="s">
        <v>238</v>
      </c>
      <c r="HW3352" s="5" t="s">
        <v>238</v>
      </c>
      <c r="HX3352" s="5" t="s">
        <v>238</v>
      </c>
      <c r="HY3352" s="5" t="s">
        <v>238</v>
      </c>
      <c r="HZ3352" s="5" t="s">
        <v>238</v>
      </c>
      <c r="IA3352" s="5" t="s">
        <v>238</v>
      </c>
      <c r="IB3352" s="5" t="s">
        <v>238</v>
      </c>
      <c r="IC3352" s="5" t="s">
        <v>238</v>
      </c>
      <c r="ID3352" s="5" t="s">
        <v>238</v>
      </c>
    </row>
    <row r="3353" spans="1:238" x14ac:dyDescent="0.4">
      <c r="A3353" s="5">
        <v>9071</v>
      </c>
      <c r="B3353" s="5">
        <v>1</v>
      </c>
      <c r="C3353" s="5">
        <v>1</v>
      </c>
      <c r="D3353" s="5" t="s">
        <v>484</v>
      </c>
      <c r="E3353" s="5" t="s">
        <v>878</v>
      </c>
      <c r="F3353" s="5" t="s">
        <v>248</v>
      </c>
      <c r="G3353" s="5" t="s">
        <v>4447</v>
      </c>
      <c r="H3353" s="6" t="s">
        <v>4448</v>
      </c>
      <c r="I3353" s="8">
        <f>1</f>
        <v>1</v>
      </c>
      <c r="J3353" s="5" t="s">
        <v>499</v>
      </c>
      <c r="K3353" s="8">
        <f>1</f>
        <v>1</v>
      </c>
      <c r="L3353" s="6" t="s">
        <v>242</v>
      </c>
      <c r="M3353" s="5" t="s">
        <v>267</v>
      </c>
      <c r="N3353" s="5" t="s">
        <v>482</v>
      </c>
      <c r="O3353" s="5" t="s">
        <v>238</v>
      </c>
      <c r="P3353" s="5" t="s">
        <v>238</v>
      </c>
      <c r="Q3353" s="5" t="s">
        <v>239</v>
      </c>
      <c r="R3353" s="5" t="s">
        <v>270</v>
      </c>
      <c r="S3353" s="5" t="s">
        <v>238</v>
      </c>
      <c r="T3353" s="5" t="s">
        <v>238</v>
      </c>
      <c r="U3353" s="5" t="s">
        <v>238</v>
      </c>
      <c r="V3353" s="5" t="s">
        <v>238</v>
      </c>
      <c r="W3353" s="6" t="s">
        <v>238</v>
      </c>
      <c r="X3353" s="6" t="s">
        <v>238</v>
      </c>
      <c r="Y3353" s="5" t="s">
        <v>238</v>
      </c>
      <c r="Z3353" s="6" t="s">
        <v>238</v>
      </c>
      <c r="AA3353" s="6" t="s">
        <v>243</v>
      </c>
      <c r="AB3353" s="5" t="s">
        <v>879</v>
      </c>
      <c r="AC3353" s="5" t="s">
        <v>244</v>
      </c>
      <c r="AD3353" s="5" t="s">
        <v>245</v>
      </c>
      <c r="AE3353" s="5" t="s">
        <v>238</v>
      </c>
      <c r="AF3353" s="5" t="s">
        <v>238</v>
      </c>
      <c r="AG3353" s="5" t="s">
        <v>238</v>
      </c>
      <c r="AH3353" s="5" t="s">
        <v>238</v>
      </c>
      <c r="AI3353" s="5" t="s">
        <v>238</v>
      </c>
      <c r="AJ3353" s="5" t="s">
        <v>238</v>
      </c>
      <c r="AK3353" s="5" t="s">
        <v>238</v>
      </c>
      <c r="AL3353" s="5" t="s">
        <v>238</v>
      </c>
      <c r="AM3353" s="6" t="s">
        <v>238</v>
      </c>
      <c r="AN3353" s="6" t="s">
        <v>238</v>
      </c>
      <c r="AO3353" s="6" t="s">
        <v>238</v>
      </c>
      <c r="AP3353" s="6" t="s">
        <v>238</v>
      </c>
      <c r="AQ3353" s="5" t="s">
        <v>238</v>
      </c>
      <c r="AR3353" s="5" t="s">
        <v>488</v>
      </c>
      <c r="AS3353" s="5" t="s">
        <v>488</v>
      </c>
      <c r="AT3353" s="5" t="s">
        <v>246</v>
      </c>
      <c r="AU3353" s="5" t="s">
        <v>489</v>
      </c>
      <c r="AV3353" s="5" t="s">
        <v>247</v>
      </c>
      <c r="AW3353" s="5" t="s">
        <v>238</v>
      </c>
      <c r="AX3353" s="5" t="s">
        <v>249</v>
      </c>
      <c r="AY3353" s="5" t="s">
        <v>490</v>
      </c>
      <c r="BA3353" s="5" t="s">
        <v>238</v>
      </c>
      <c r="BC3353" s="5" t="s">
        <v>491</v>
      </c>
      <c r="BD3353" s="6" t="s">
        <v>492</v>
      </c>
      <c r="BE3353" s="5" t="s">
        <v>493</v>
      </c>
      <c r="BF3353" s="5" t="s">
        <v>493</v>
      </c>
      <c r="BG3353" s="5" t="s">
        <v>238</v>
      </c>
      <c r="BH3353" s="8">
        <f>1</f>
        <v>1</v>
      </c>
      <c r="BI3353" s="8">
        <f>1</f>
        <v>1</v>
      </c>
      <c r="BJ3353" s="5" t="s">
        <v>253</v>
      </c>
      <c r="BK3353" s="5" t="s">
        <v>254</v>
      </c>
      <c r="BL3353" s="5" t="s">
        <v>238</v>
      </c>
      <c r="BM3353" s="5" t="s">
        <v>238</v>
      </c>
      <c r="BN3353" s="5" t="s">
        <v>238</v>
      </c>
      <c r="BO3353" s="5" t="s">
        <v>238</v>
      </c>
      <c r="BP3353" s="5" t="s">
        <v>238</v>
      </c>
      <c r="BQ3353" s="5" t="s">
        <v>238</v>
      </c>
      <c r="BR3353" s="5" t="s">
        <v>238</v>
      </c>
      <c r="BS3353" s="5" t="s">
        <v>238</v>
      </c>
      <c r="BT3353" s="6" t="s">
        <v>238</v>
      </c>
      <c r="BU3353" s="5" t="s">
        <v>238</v>
      </c>
      <c r="BV3353" s="5" t="s">
        <v>238</v>
      </c>
      <c r="BW3353" s="5" t="s">
        <v>238</v>
      </c>
      <c r="BX3353" s="5" t="s">
        <v>254</v>
      </c>
      <c r="BY3353" s="5" t="s">
        <v>238</v>
      </c>
      <c r="BZ3353" s="5" t="s">
        <v>238</v>
      </c>
      <c r="CA3353" s="5" t="s">
        <v>238</v>
      </c>
      <c r="CB3353" s="5" t="s">
        <v>238</v>
      </c>
      <c r="CC3353" s="5" t="s">
        <v>238</v>
      </c>
      <c r="CD3353" s="5" t="s">
        <v>273</v>
      </c>
      <c r="CE3353" s="5" t="s">
        <v>256</v>
      </c>
      <c r="CF3353" s="5" t="s">
        <v>238</v>
      </c>
      <c r="CH3353" s="5" t="s">
        <v>494</v>
      </c>
      <c r="CI3353" s="6" t="s">
        <v>257</v>
      </c>
      <c r="CJ3353" s="5" t="s">
        <v>495</v>
      </c>
      <c r="CK3353" s="5" t="s">
        <v>258</v>
      </c>
      <c r="CL3353" s="5" t="s">
        <v>496</v>
      </c>
      <c r="CM3353" s="5" t="s">
        <v>238</v>
      </c>
      <c r="CN3353" s="5">
        <v>0</v>
      </c>
      <c r="CO3353" s="5" t="s">
        <v>497</v>
      </c>
      <c r="CP3353" s="5" t="s">
        <v>260</v>
      </c>
      <c r="CQ3353" s="5" t="s">
        <v>260</v>
      </c>
      <c r="CR3353" s="5" t="s">
        <v>261</v>
      </c>
      <c r="CS3353" s="5" t="s">
        <v>498</v>
      </c>
      <c r="CT3353" s="7">
        <f>1</f>
        <v>1</v>
      </c>
      <c r="CU3353" s="8">
        <f>1</f>
        <v>1</v>
      </c>
      <c r="CV3353" s="8">
        <f>0</f>
        <v>0</v>
      </c>
      <c r="CX3353" s="8">
        <f>1</f>
        <v>1</v>
      </c>
      <c r="CY3353" s="8">
        <f>1</f>
        <v>1</v>
      </c>
      <c r="CZ3353" s="8" t="s">
        <v>238</v>
      </c>
      <c r="DA3353" s="5" t="s">
        <v>238</v>
      </c>
      <c r="DB3353" s="5" t="s">
        <v>238</v>
      </c>
      <c r="DC3353" s="5" t="s">
        <v>238</v>
      </c>
      <c r="DD3353" s="5" t="s">
        <v>238</v>
      </c>
      <c r="DE3353" s="8">
        <f>0</f>
        <v>0</v>
      </c>
      <c r="DG3353" s="5" t="s">
        <v>238</v>
      </c>
      <c r="DH3353" s="5" t="s">
        <v>238</v>
      </c>
      <c r="DI3353" s="5" t="s">
        <v>238</v>
      </c>
      <c r="DJ3353" s="5" t="s">
        <v>238</v>
      </c>
      <c r="DK3353" s="5" t="s">
        <v>238</v>
      </c>
      <c r="DL3353" s="5" t="s">
        <v>238</v>
      </c>
      <c r="DM3353" s="8" t="s">
        <v>238</v>
      </c>
      <c r="DN3353" s="5" t="s">
        <v>238</v>
      </c>
      <c r="DO3353" s="5" t="s">
        <v>238</v>
      </c>
      <c r="DP3353" s="5" t="s">
        <v>490</v>
      </c>
      <c r="DQ3353" s="5" t="s">
        <v>490</v>
      </c>
      <c r="DR3353" s="5" t="s">
        <v>238</v>
      </c>
      <c r="DS3353" s="5" t="s">
        <v>238</v>
      </c>
      <c r="DT3353" s="5" t="s">
        <v>881</v>
      </c>
      <c r="DU3353" s="5" t="s">
        <v>1094</v>
      </c>
      <c r="DV3353" s="5" t="s">
        <v>238</v>
      </c>
      <c r="DW3353" s="5" t="s">
        <v>238</v>
      </c>
      <c r="DX3353" s="5" t="s">
        <v>238</v>
      </c>
      <c r="DY3353" s="5" t="s">
        <v>238</v>
      </c>
      <c r="DZ3353" s="5" t="s">
        <v>238</v>
      </c>
      <c r="EA3353" s="5" t="s">
        <v>238</v>
      </c>
      <c r="EB3353" s="5" t="s">
        <v>238</v>
      </c>
      <c r="EC3353" s="5" t="s">
        <v>238</v>
      </c>
      <c r="ED3353" s="5" t="s">
        <v>238</v>
      </c>
      <c r="EE3353" s="5" t="s">
        <v>238</v>
      </c>
      <c r="EF3353" s="5" t="s">
        <v>238</v>
      </c>
      <c r="EG3353" s="5" t="s">
        <v>238</v>
      </c>
      <c r="EH3353" s="5" t="s">
        <v>238</v>
      </c>
      <c r="EI3353" s="5" t="s">
        <v>238</v>
      </c>
      <c r="EJ3353" s="5" t="s">
        <v>238</v>
      </c>
      <c r="EK3353" s="5" t="s">
        <v>238</v>
      </c>
      <c r="EL3353" s="5" t="s">
        <v>238</v>
      </c>
      <c r="EM3353" s="5" t="s">
        <v>238</v>
      </c>
      <c r="EN3353" s="5" t="s">
        <v>238</v>
      </c>
      <c r="EO3353" s="5" t="s">
        <v>238</v>
      </c>
      <c r="EP3353" s="5" t="s">
        <v>238</v>
      </c>
      <c r="EQ3353" s="5" t="s">
        <v>238</v>
      </c>
      <c r="ER3353" s="5" t="s">
        <v>238</v>
      </c>
      <c r="ES3353" s="5" t="s">
        <v>238</v>
      </c>
      <c r="ET3353" s="5" t="s">
        <v>238</v>
      </c>
      <c r="EU3353" s="5" t="s">
        <v>238</v>
      </c>
      <c r="EV3353" s="5" t="s">
        <v>238</v>
      </c>
      <c r="EW3353" s="5" t="s">
        <v>238</v>
      </c>
      <c r="EX3353" s="5" t="s">
        <v>238</v>
      </c>
      <c r="EY3353" s="5" t="s">
        <v>238</v>
      </c>
      <c r="EZ3353" s="5" t="s">
        <v>238</v>
      </c>
      <c r="FA3353" s="5" t="s">
        <v>238</v>
      </c>
      <c r="FB3353" s="5" t="s">
        <v>238</v>
      </c>
      <c r="FC3353" s="5" t="s">
        <v>238</v>
      </c>
      <c r="FD3353" s="5" t="s">
        <v>238</v>
      </c>
      <c r="FE3353" s="5" t="s">
        <v>238</v>
      </c>
      <c r="FF3353" s="5" t="s">
        <v>238</v>
      </c>
      <c r="FG3353" s="5" t="s">
        <v>238</v>
      </c>
      <c r="FH3353" s="5" t="s">
        <v>238</v>
      </c>
      <c r="FI3353" s="5" t="s">
        <v>238</v>
      </c>
      <c r="FJ3353" s="5" t="s">
        <v>238</v>
      </c>
      <c r="FK3353" s="5" t="s">
        <v>238</v>
      </c>
      <c r="FL3353" s="5" t="s">
        <v>238</v>
      </c>
      <c r="FM3353" s="5" t="s">
        <v>238</v>
      </c>
      <c r="FN3353" s="5" t="s">
        <v>238</v>
      </c>
      <c r="FO3353" s="5" t="s">
        <v>238</v>
      </c>
      <c r="FP3353" s="5" t="s">
        <v>238</v>
      </c>
      <c r="FQ3353" s="5" t="s">
        <v>238</v>
      </c>
      <c r="FR3353" s="5" t="s">
        <v>238</v>
      </c>
      <c r="FS3353" s="5" t="s">
        <v>238</v>
      </c>
      <c r="FT3353" s="5" t="s">
        <v>238</v>
      </c>
      <c r="FU3353" s="5" t="s">
        <v>238</v>
      </c>
      <c r="FV3353" s="5" t="s">
        <v>238</v>
      </c>
      <c r="FW3353" s="5" t="s">
        <v>238</v>
      </c>
      <c r="FX3353" s="5" t="s">
        <v>238</v>
      </c>
      <c r="FY3353" s="5" t="s">
        <v>238</v>
      </c>
      <c r="FZ3353" s="5" t="s">
        <v>238</v>
      </c>
      <c r="GA3353" s="5" t="s">
        <v>238</v>
      </c>
      <c r="GB3353" s="5" t="s">
        <v>238</v>
      </c>
      <c r="GC3353" s="5" t="s">
        <v>238</v>
      </c>
      <c r="GD3353" s="5" t="s">
        <v>238</v>
      </c>
      <c r="GE3353" s="5" t="s">
        <v>238</v>
      </c>
      <c r="GF3353" s="5" t="s">
        <v>238</v>
      </c>
      <c r="GG3353" s="5" t="s">
        <v>238</v>
      </c>
      <c r="GH3353" s="5" t="s">
        <v>238</v>
      </c>
      <c r="GI3353" s="5" t="s">
        <v>238</v>
      </c>
      <c r="GJ3353" s="5" t="s">
        <v>238</v>
      </c>
      <c r="GK3353" s="5" t="s">
        <v>238</v>
      </c>
      <c r="GL3353" s="5" t="s">
        <v>238</v>
      </c>
      <c r="GM3353" s="5" t="s">
        <v>238</v>
      </c>
      <c r="GN3353" s="5" t="s">
        <v>238</v>
      </c>
      <c r="GO3353" s="5" t="s">
        <v>238</v>
      </c>
      <c r="GP3353" s="5" t="s">
        <v>238</v>
      </c>
      <c r="GQ3353" s="5" t="s">
        <v>238</v>
      </c>
      <c r="GR3353" s="5" t="s">
        <v>238</v>
      </c>
      <c r="GS3353" s="5" t="s">
        <v>238</v>
      </c>
      <c r="GT3353" s="5" t="s">
        <v>238</v>
      </c>
      <c r="GU3353" s="5" t="s">
        <v>238</v>
      </c>
      <c r="GV3353" s="5" t="s">
        <v>238</v>
      </c>
      <c r="GW3353" s="5" t="s">
        <v>238</v>
      </c>
      <c r="GX3353" s="5" t="s">
        <v>238</v>
      </c>
      <c r="GY3353" s="5" t="s">
        <v>238</v>
      </c>
      <c r="GZ3353" s="5" t="s">
        <v>238</v>
      </c>
      <c r="HA3353" s="5" t="s">
        <v>238</v>
      </c>
      <c r="HB3353" s="5" t="s">
        <v>238</v>
      </c>
      <c r="HC3353" s="5" t="s">
        <v>238</v>
      </c>
      <c r="HD3353" s="5" t="s">
        <v>238</v>
      </c>
      <c r="HE3353" s="5" t="s">
        <v>238</v>
      </c>
      <c r="HF3353" s="5" t="s">
        <v>238</v>
      </c>
      <c r="HG3353" s="5" t="s">
        <v>238</v>
      </c>
      <c r="HH3353" s="5" t="s">
        <v>238</v>
      </c>
      <c r="HI3353" s="5" t="s">
        <v>238</v>
      </c>
      <c r="HJ3353" s="5" t="s">
        <v>238</v>
      </c>
      <c r="HK3353" s="5" t="s">
        <v>238</v>
      </c>
      <c r="HL3353" s="5" t="s">
        <v>238</v>
      </c>
      <c r="HM3353" s="5" t="s">
        <v>264</v>
      </c>
      <c r="HN3353" s="5" t="s">
        <v>238</v>
      </c>
      <c r="HO3353" s="5" t="s">
        <v>238</v>
      </c>
      <c r="HP3353" s="5" t="s">
        <v>238</v>
      </c>
      <c r="HQ3353" s="5" t="s">
        <v>238</v>
      </c>
      <c r="HR3353" s="5" t="s">
        <v>238</v>
      </c>
      <c r="HS3353" s="5" t="s">
        <v>238</v>
      </c>
      <c r="HT3353" s="5" t="s">
        <v>238</v>
      </c>
      <c r="HU3353" s="5" t="s">
        <v>238</v>
      </c>
      <c r="HV3353" s="5" t="s">
        <v>238</v>
      </c>
      <c r="HW3353" s="5" t="s">
        <v>238</v>
      </c>
      <c r="HX3353" s="5" t="s">
        <v>238</v>
      </c>
      <c r="HY3353" s="5" t="s">
        <v>238</v>
      </c>
      <c r="HZ3353" s="5" t="s">
        <v>238</v>
      </c>
      <c r="IA3353" s="5" t="s">
        <v>238</v>
      </c>
      <c r="IB3353" s="5" t="s">
        <v>238</v>
      </c>
      <c r="IC3353" s="5" t="s">
        <v>238</v>
      </c>
      <c r="ID3353" s="5" t="s">
        <v>238</v>
      </c>
    </row>
    <row r="3354" spans="1:238" x14ac:dyDescent="0.4">
      <c r="A3354" s="5">
        <v>9072</v>
      </c>
      <c r="B3354" s="5">
        <v>1</v>
      </c>
      <c r="C3354" s="5">
        <v>1</v>
      </c>
      <c r="D3354" s="5" t="s">
        <v>484</v>
      </c>
      <c r="E3354" s="5" t="s">
        <v>878</v>
      </c>
      <c r="F3354" s="5" t="s">
        <v>248</v>
      </c>
      <c r="G3354" s="5" t="s">
        <v>877</v>
      </c>
      <c r="H3354" s="6" t="s">
        <v>880</v>
      </c>
      <c r="I3354" s="8">
        <f>1</f>
        <v>1</v>
      </c>
      <c r="J3354" s="5" t="s">
        <v>499</v>
      </c>
      <c r="K3354" s="8">
        <f>1</f>
        <v>1</v>
      </c>
      <c r="L3354" s="6" t="s">
        <v>242</v>
      </c>
      <c r="M3354" s="5" t="s">
        <v>267</v>
      </c>
      <c r="N3354" s="5" t="s">
        <v>482</v>
      </c>
      <c r="O3354" s="5" t="s">
        <v>238</v>
      </c>
      <c r="P3354" s="5" t="s">
        <v>238</v>
      </c>
      <c r="Q3354" s="5" t="s">
        <v>239</v>
      </c>
      <c r="R3354" s="5" t="s">
        <v>270</v>
      </c>
      <c r="S3354" s="5" t="s">
        <v>238</v>
      </c>
      <c r="T3354" s="5" t="s">
        <v>238</v>
      </c>
      <c r="U3354" s="5" t="s">
        <v>238</v>
      </c>
      <c r="V3354" s="5" t="s">
        <v>238</v>
      </c>
      <c r="W3354" s="6" t="s">
        <v>238</v>
      </c>
      <c r="X3354" s="6" t="s">
        <v>238</v>
      </c>
      <c r="Y3354" s="5" t="s">
        <v>238</v>
      </c>
      <c r="Z3354" s="6" t="s">
        <v>238</v>
      </c>
      <c r="AA3354" s="6" t="s">
        <v>243</v>
      </c>
      <c r="AB3354" s="5" t="s">
        <v>879</v>
      </c>
      <c r="AC3354" s="5" t="s">
        <v>244</v>
      </c>
      <c r="AD3354" s="5" t="s">
        <v>245</v>
      </c>
      <c r="AE3354" s="5" t="s">
        <v>238</v>
      </c>
      <c r="AF3354" s="5" t="s">
        <v>238</v>
      </c>
      <c r="AG3354" s="5" t="s">
        <v>238</v>
      </c>
      <c r="AH3354" s="5" t="s">
        <v>238</v>
      </c>
      <c r="AI3354" s="5" t="s">
        <v>238</v>
      </c>
      <c r="AJ3354" s="5" t="s">
        <v>238</v>
      </c>
      <c r="AK3354" s="5" t="s">
        <v>238</v>
      </c>
      <c r="AL3354" s="5" t="s">
        <v>238</v>
      </c>
      <c r="AM3354" s="6" t="s">
        <v>238</v>
      </c>
      <c r="AN3354" s="6" t="s">
        <v>238</v>
      </c>
      <c r="AO3354" s="6" t="s">
        <v>238</v>
      </c>
      <c r="AP3354" s="6" t="s">
        <v>238</v>
      </c>
      <c r="AQ3354" s="5" t="s">
        <v>238</v>
      </c>
      <c r="AR3354" s="5" t="s">
        <v>488</v>
      </c>
      <c r="AS3354" s="5" t="s">
        <v>488</v>
      </c>
      <c r="AT3354" s="5" t="s">
        <v>246</v>
      </c>
      <c r="AU3354" s="5" t="s">
        <v>489</v>
      </c>
      <c r="AV3354" s="5" t="s">
        <v>247</v>
      </c>
      <c r="AW3354" s="5" t="s">
        <v>238</v>
      </c>
      <c r="AX3354" s="5" t="s">
        <v>249</v>
      </c>
      <c r="AY3354" s="5" t="s">
        <v>490</v>
      </c>
      <c r="BA3354" s="5" t="s">
        <v>238</v>
      </c>
      <c r="BC3354" s="5" t="s">
        <v>491</v>
      </c>
      <c r="BD3354" s="6" t="s">
        <v>492</v>
      </c>
      <c r="BE3354" s="5" t="s">
        <v>493</v>
      </c>
      <c r="BF3354" s="5" t="s">
        <v>493</v>
      </c>
      <c r="BG3354" s="5" t="s">
        <v>238</v>
      </c>
      <c r="BH3354" s="8">
        <f>1</f>
        <v>1</v>
      </c>
      <c r="BI3354" s="8">
        <f>1</f>
        <v>1</v>
      </c>
      <c r="BJ3354" s="5" t="s">
        <v>253</v>
      </c>
      <c r="BK3354" s="5" t="s">
        <v>254</v>
      </c>
      <c r="BL3354" s="5" t="s">
        <v>238</v>
      </c>
      <c r="BM3354" s="5" t="s">
        <v>238</v>
      </c>
      <c r="BN3354" s="5" t="s">
        <v>238</v>
      </c>
      <c r="BO3354" s="5" t="s">
        <v>238</v>
      </c>
      <c r="BP3354" s="5" t="s">
        <v>238</v>
      </c>
      <c r="BQ3354" s="5" t="s">
        <v>238</v>
      </c>
      <c r="BR3354" s="5" t="s">
        <v>238</v>
      </c>
      <c r="BS3354" s="5" t="s">
        <v>238</v>
      </c>
      <c r="BT3354" s="6" t="s">
        <v>238</v>
      </c>
      <c r="BU3354" s="5" t="s">
        <v>238</v>
      </c>
      <c r="BV3354" s="5" t="s">
        <v>238</v>
      </c>
      <c r="BW3354" s="5" t="s">
        <v>238</v>
      </c>
      <c r="BX3354" s="5" t="s">
        <v>254</v>
      </c>
      <c r="BY3354" s="5" t="s">
        <v>238</v>
      </c>
      <c r="BZ3354" s="5" t="s">
        <v>238</v>
      </c>
      <c r="CA3354" s="5" t="s">
        <v>238</v>
      </c>
      <c r="CB3354" s="5" t="s">
        <v>238</v>
      </c>
      <c r="CC3354" s="5" t="s">
        <v>238</v>
      </c>
      <c r="CD3354" s="5" t="s">
        <v>273</v>
      </c>
      <c r="CE3354" s="5" t="s">
        <v>256</v>
      </c>
      <c r="CF3354" s="5" t="s">
        <v>238</v>
      </c>
      <c r="CH3354" s="5" t="s">
        <v>494</v>
      </c>
      <c r="CI3354" s="6" t="s">
        <v>257</v>
      </c>
      <c r="CJ3354" s="5" t="s">
        <v>495</v>
      </c>
      <c r="CK3354" s="5" t="s">
        <v>258</v>
      </c>
      <c r="CL3354" s="5" t="s">
        <v>496</v>
      </c>
      <c r="CM3354" s="5" t="s">
        <v>238</v>
      </c>
      <c r="CN3354" s="5">
        <v>0</v>
      </c>
      <c r="CO3354" s="5" t="s">
        <v>497</v>
      </c>
      <c r="CP3354" s="5" t="s">
        <v>260</v>
      </c>
      <c r="CQ3354" s="5" t="s">
        <v>260</v>
      </c>
      <c r="CR3354" s="5" t="s">
        <v>261</v>
      </c>
      <c r="CS3354" s="5" t="s">
        <v>498</v>
      </c>
      <c r="CT3354" s="7">
        <f>1</f>
        <v>1</v>
      </c>
      <c r="CU3354" s="8">
        <f>1</f>
        <v>1</v>
      </c>
      <c r="CV3354" s="8">
        <f>0</f>
        <v>0</v>
      </c>
      <c r="CX3354" s="8">
        <f>1</f>
        <v>1</v>
      </c>
      <c r="CY3354" s="8">
        <f>1</f>
        <v>1</v>
      </c>
      <c r="CZ3354" s="8" t="s">
        <v>238</v>
      </c>
      <c r="DA3354" s="5" t="s">
        <v>238</v>
      </c>
      <c r="DB3354" s="5" t="s">
        <v>238</v>
      </c>
      <c r="DC3354" s="5" t="s">
        <v>238</v>
      </c>
      <c r="DD3354" s="5" t="s">
        <v>238</v>
      </c>
      <c r="DE3354" s="8">
        <f>0</f>
        <v>0</v>
      </c>
      <c r="DG3354" s="5" t="s">
        <v>238</v>
      </c>
      <c r="DH3354" s="5" t="s">
        <v>238</v>
      </c>
      <c r="DI3354" s="5" t="s">
        <v>238</v>
      </c>
      <c r="DJ3354" s="5" t="s">
        <v>238</v>
      </c>
      <c r="DK3354" s="5" t="s">
        <v>238</v>
      </c>
      <c r="DL3354" s="5" t="s">
        <v>238</v>
      </c>
      <c r="DM3354" s="8" t="s">
        <v>238</v>
      </c>
      <c r="DN3354" s="5" t="s">
        <v>238</v>
      </c>
      <c r="DO3354" s="5" t="s">
        <v>238</v>
      </c>
      <c r="DP3354" s="5" t="s">
        <v>490</v>
      </c>
      <c r="DQ3354" s="5" t="s">
        <v>490</v>
      </c>
      <c r="DR3354" s="5" t="s">
        <v>238</v>
      </c>
      <c r="DS3354" s="5" t="s">
        <v>238</v>
      </c>
      <c r="DT3354" s="5" t="s">
        <v>881</v>
      </c>
      <c r="DU3354" s="5" t="s">
        <v>882</v>
      </c>
      <c r="DV3354" s="5" t="s">
        <v>238</v>
      </c>
      <c r="DW3354" s="5" t="s">
        <v>238</v>
      </c>
      <c r="DX3354" s="5" t="s">
        <v>238</v>
      </c>
      <c r="DY3354" s="5" t="s">
        <v>238</v>
      </c>
      <c r="DZ3354" s="5" t="s">
        <v>238</v>
      </c>
      <c r="EA3354" s="5" t="s">
        <v>238</v>
      </c>
      <c r="EB3354" s="5" t="s">
        <v>238</v>
      </c>
      <c r="EC3354" s="5" t="s">
        <v>238</v>
      </c>
      <c r="ED3354" s="5" t="s">
        <v>238</v>
      </c>
      <c r="EE3354" s="5" t="s">
        <v>238</v>
      </c>
      <c r="EF3354" s="5" t="s">
        <v>238</v>
      </c>
      <c r="EG3354" s="5" t="s">
        <v>238</v>
      </c>
      <c r="EH3354" s="5" t="s">
        <v>238</v>
      </c>
      <c r="EI3354" s="5" t="s">
        <v>238</v>
      </c>
      <c r="EJ3354" s="5" t="s">
        <v>238</v>
      </c>
      <c r="EK3354" s="5" t="s">
        <v>238</v>
      </c>
      <c r="EL3354" s="5" t="s">
        <v>238</v>
      </c>
      <c r="EM3354" s="5" t="s">
        <v>238</v>
      </c>
      <c r="EN3354" s="5" t="s">
        <v>238</v>
      </c>
      <c r="EO3354" s="5" t="s">
        <v>238</v>
      </c>
      <c r="EP3354" s="5" t="s">
        <v>238</v>
      </c>
      <c r="EQ3354" s="5" t="s">
        <v>238</v>
      </c>
      <c r="ER3354" s="5" t="s">
        <v>238</v>
      </c>
      <c r="ES3354" s="5" t="s">
        <v>238</v>
      </c>
      <c r="ET3354" s="5" t="s">
        <v>238</v>
      </c>
      <c r="EU3354" s="5" t="s">
        <v>238</v>
      </c>
      <c r="EV3354" s="5" t="s">
        <v>238</v>
      </c>
      <c r="EW3354" s="5" t="s">
        <v>238</v>
      </c>
      <c r="EX3354" s="5" t="s">
        <v>238</v>
      </c>
      <c r="EY3354" s="5" t="s">
        <v>238</v>
      </c>
      <c r="EZ3354" s="5" t="s">
        <v>238</v>
      </c>
      <c r="FA3354" s="5" t="s">
        <v>238</v>
      </c>
      <c r="FB3354" s="5" t="s">
        <v>238</v>
      </c>
      <c r="FC3354" s="5" t="s">
        <v>238</v>
      </c>
      <c r="FD3354" s="5" t="s">
        <v>238</v>
      </c>
      <c r="FE3354" s="5" t="s">
        <v>238</v>
      </c>
      <c r="FF3354" s="5" t="s">
        <v>238</v>
      </c>
      <c r="FG3354" s="5" t="s">
        <v>238</v>
      </c>
      <c r="FH3354" s="5" t="s">
        <v>238</v>
      </c>
      <c r="FI3354" s="5" t="s">
        <v>238</v>
      </c>
      <c r="FJ3354" s="5" t="s">
        <v>238</v>
      </c>
      <c r="FK3354" s="5" t="s">
        <v>238</v>
      </c>
      <c r="FL3354" s="5" t="s">
        <v>238</v>
      </c>
      <c r="FM3354" s="5" t="s">
        <v>238</v>
      </c>
      <c r="FN3354" s="5" t="s">
        <v>238</v>
      </c>
      <c r="FO3354" s="5" t="s">
        <v>238</v>
      </c>
      <c r="FP3354" s="5" t="s">
        <v>238</v>
      </c>
      <c r="FQ3354" s="5" t="s">
        <v>238</v>
      </c>
      <c r="FR3354" s="5" t="s">
        <v>238</v>
      </c>
      <c r="FS3354" s="5" t="s">
        <v>238</v>
      </c>
      <c r="FT3354" s="5" t="s">
        <v>238</v>
      </c>
      <c r="FU3354" s="5" t="s">
        <v>238</v>
      </c>
      <c r="FV3354" s="5" t="s">
        <v>238</v>
      </c>
      <c r="FW3354" s="5" t="s">
        <v>238</v>
      </c>
      <c r="FX3354" s="5" t="s">
        <v>238</v>
      </c>
      <c r="FY3354" s="5" t="s">
        <v>238</v>
      </c>
      <c r="FZ3354" s="5" t="s">
        <v>238</v>
      </c>
      <c r="GA3354" s="5" t="s">
        <v>238</v>
      </c>
      <c r="GB3354" s="5" t="s">
        <v>238</v>
      </c>
      <c r="GC3354" s="5" t="s">
        <v>238</v>
      </c>
      <c r="GD3354" s="5" t="s">
        <v>238</v>
      </c>
      <c r="GE3354" s="5" t="s">
        <v>238</v>
      </c>
      <c r="GF3354" s="5" t="s">
        <v>238</v>
      </c>
      <c r="GG3354" s="5" t="s">
        <v>238</v>
      </c>
      <c r="GH3354" s="5" t="s">
        <v>238</v>
      </c>
      <c r="GI3354" s="5" t="s">
        <v>238</v>
      </c>
      <c r="GJ3354" s="5" t="s">
        <v>238</v>
      </c>
      <c r="GK3354" s="5" t="s">
        <v>238</v>
      </c>
      <c r="GL3354" s="5" t="s">
        <v>238</v>
      </c>
      <c r="GM3354" s="5" t="s">
        <v>238</v>
      </c>
      <c r="GN3354" s="5" t="s">
        <v>238</v>
      </c>
      <c r="GO3354" s="5" t="s">
        <v>238</v>
      </c>
      <c r="GP3354" s="5" t="s">
        <v>238</v>
      </c>
      <c r="GQ3354" s="5" t="s">
        <v>238</v>
      </c>
      <c r="GR3354" s="5" t="s">
        <v>238</v>
      </c>
      <c r="GS3354" s="5" t="s">
        <v>238</v>
      </c>
      <c r="GT3354" s="5" t="s">
        <v>238</v>
      </c>
      <c r="GU3354" s="5" t="s">
        <v>238</v>
      </c>
      <c r="GV3354" s="5" t="s">
        <v>238</v>
      </c>
      <c r="GW3354" s="5" t="s">
        <v>238</v>
      </c>
      <c r="GX3354" s="5" t="s">
        <v>238</v>
      </c>
      <c r="GY3354" s="5" t="s">
        <v>238</v>
      </c>
      <c r="GZ3354" s="5" t="s">
        <v>238</v>
      </c>
      <c r="HA3354" s="5" t="s">
        <v>238</v>
      </c>
      <c r="HB3354" s="5" t="s">
        <v>238</v>
      </c>
      <c r="HC3354" s="5" t="s">
        <v>238</v>
      </c>
      <c r="HD3354" s="5" t="s">
        <v>238</v>
      </c>
      <c r="HE3354" s="5" t="s">
        <v>238</v>
      </c>
      <c r="HF3354" s="5" t="s">
        <v>238</v>
      </c>
      <c r="HG3354" s="5" t="s">
        <v>238</v>
      </c>
      <c r="HH3354" s="5" t="s">
        <v>238</v>
      </c>
      <c r="HI3354" s="5" t="s">
        <v>238</v>
      </c>
      <c r="HJ3354" s="5" t="s">
        <v>238</v>
      </c>
      <c r="HK3354" s="5" t="s">
        <v>238</v>
      </c>
      <c r="HL3354" s="5" t="s">
        <v>238</v>
      </c>
      <c r="HM3354" s="5" t="s">
        <v>264</v>
      </c>
      <c r="HN3354" s="5" t="s">
        <v>238</v>
      </c>
      <c r="HO3354" s="5" t="s">
        <v>238</v>
      </c>
      <c r="HP3354" s="5" t="s">
        <v>238</v>
      </c>
      <c r="HQ3354" s="5" t="s">
        <v>238</v>
      </c>
      <c r="HR3354" s="5" t="s">
        <v>238</v>
      </c>
      <c r="HS3354" s="5" t="s">
        <v>238</v>
      </c>
      <c r="HT3354" s="5" t="s">
        <v>238</v>
      </c>
      <c r="HU3354" s="5" t="s">
        <v>238</v>
      </c>
      <c r="HV3354" s="5" t="s">
        <v>238</v>
      </c>
      <c r="HW3354" s="5" t="s">
        <v>238</v>
      </c>
      <c r="HX3354" s="5" t="s">
        <v>238</v>
      </c>
      <c r="HY3354" s="5" t="s">
        <v>238</v>
      </c>
      <c r="HZ3354" s="5" t="s">
        <v>238</v>
      </c>
      <c r="IA3354" s="5" t="s">
        <v>238</v>
      </c>
      <c r="IB3354" s="5" t="s">
        <v>238</v>
      </c>
      <c r="IC3354" s="5" t="s">
        <v>238</v>
      </c>
      <c r="ID3354" s="5" t="s">
        <v>238</v>
      </c>
    </row>
    <row r="3355" spans="1:238" x14ac:dyDescent="0.4">
      <c r="A3355" s="5">
        <v>9073</v>
      </c>
      <c r="B3355" s="5">
        <v>1</v>
      </c>
      <c r="C3355" s="5">
        <v>1</v>
      </c>
      <c r="D3355" s="5" t="s">
        <v>484</v>
      </c>
      <c r="E3355" s="5" t="s">
        <v>878</v>
      </c>
      <c r="F3355" s="5" t="s">
        <v>248</v>
      </c>
      <c r="G3355" s="5" t="s">
        <v>4698</v>
      </c>
      <c r="H3355" s="6" t="s">
        <v>4699</v>
      </c>
      <c r="I3355" s="8">
        <f>1</f>
        <v>1</v>
      </c>
      <c r="J3355" s="5" t="s">
        <v>499</v>
      </c>
      <c r="K3355" s="8">
        <f>1</f>
        <v>1</v>
      </c>
      <c r="L3355" s="6" t="s">
        <v>242</v>
      </c>
      <c r="M3355" s="5" t="s">
        <v>267</v>
      </c>
      <c r="N3355" s="5" t="s">
        <v>482</v>
      </c>
      <c r="O3355" s="5" t="s">
        <v>238</v>
      </c>
      <c r="P3355" s="5" t="s">
        <v>238</v>
      </c>
      <c r="Q3355" s="5" t="s">
        <v>239</v>
      </c>
      <c r="R3355" s="5" t="s">
        <v>270</v>
      </c>
      <c r="S3355" s="5" t="s">
        <v>238</v>
      </c>
      <c r="T3355" s="5" t="s">
        <v>238</v>
      </c>
      <c r="U3355" s="5" t="s">
        <v>238</v>
      </c>
      <c r="V3355" s="5" t="s">
        <v>238</v>
      </c>
      <c r="W3355" s="6" t="s">
        <v>238</v>
      </c>
      <c r="X3355" s="6" t="s">
        <v>238</v>
      </c>
      <c r="Y3355" s="5" t="s">
        <v>238</v>
      </c>
      <c r="Z3355" s="6" t="s">
        <v>238</v>
      </c>
      <c r="AA3355" s="6" t="s">
        <v>243</v>
      </c>
      <c r="AB3355" s="5" t="s">
        <v>879</v>
      </c>
      <c r="AC3355" s="5" t="s">
        <v>244</v>
      </c>
      <c r="AD3355" s="5" t="s">
        <v>245</v>
      </c>
      <c r="AE3355" s="5" t="s">
        <v>238</v>
      </c>
      <c r="AF3355" s="5" t="s">
        <v>238</v>
      </c>
      <c r="AG3355" s="5" t="s">
        <v>238</v>
      </c>
      <c r="AH3355" s="5" t="s">
        <v>238</v>
      </c>
      <c r="AI3355" s="5" t="s">
        <v>238</v>
      </c>
      <c r="AJ3355" s="5" t="s">
        <v>238</v>
      </c>
      <c r="AK3355" s="5" t="s">
        <v>238</v>
      </c>
      <c r="AL3355" s="5" t="s">
        <v>238</v>
      </c>
      <c r="AM3355" s="6" t="s">
        <v>238</v>
      </c>
      <c r="AN3355" s="6" t="s">
        <v>238</v>
      </c>
      <c r="AO3355" s="6" t="s">
        <v>238</v>
      </c>
      <c r="AP3355" s="6" t="s">
        <v>238</v>
      </c>
      <c r="AQ3355" s="5" t="s">
        <v>238</v>
      </c>
      <c r="AR3355" s="5" t="s">
        <v>488</v>
      </c>
      <c r="AS3355" s="5" t="s">
        <v>488</v>
      </c>
      <c r="AT3355" s="5" t="s">
        <v>246</v>
      </c>
      <c r="AU3355" s="5" t="s">
        <v>489</v>
      </c>
      <c r="AV3355" s="5" t="s">
        <v>247</v>
      </c>
      <c r="AW3355" s="5" t="s">
        <v>238</v>
      </c>
      <c r="AX3355" s="5" t="s">
        <v>249</v>
      </c>
      <c r="AY3355" s="5" t="s">
        <v>490</v>
      </c>
      <c r="BA3355" s="5" t="s">
        <v>238</v>
      </c>
      <c r="BC3355" s="5" t="s">
        <v>491</v>
      </c>
      <c r="BD3355" s="6" t="s">
        <v>492</v>
      </c>
      <c r="BE3355" s="5" t="s">
        <v>493</v>
      </c>
      <c r="BF3355" s="5" t="s">
        <v>493</v>
      </c>
      <c r="BG3355" s="5" t="s">
        <v>238</v>
      </c>
      <c r="BH3355" s="8">
        <f>1</f>
        <v>1</v>
      </c>
      <c r="BI3355" s="8">
        <f>1</f>
        <v>1</v>
      </c>
      <c r="BJ3355" s="5" t="s">
        <v>253</v>
      </c>
      <c r="BK3355" s="5" t="s">
        <v>254</v>
      </c>
      <c r="BL3355" s="5" t="s">
        <v>238</v>
      </c>
      <c r="BM3355" s="5" t="s">
        <v>238</v>
      </c>
      <c r="BN3355" s="5" t="s">
        <v>238</v>
      </c>
      <c r="BO3355" s="5" t="s">
        <v>238</v>
      </c>
      <c r="BP3355" s="5" t="s">
        <v>238</v>
      </c>
      <c r="BQ3355" s="5" t="s">
        <v>238</v>
      </c>
      <c r="BR3355" s="5" t="s">
        <v>238</v>
      </c>
      <c r="BS3355" s="5" t="s">
        <v>238</v>
      </c>
      <c r="BT3355" s="6" t="s">
        <v>238</v>
      </c>
      <c r="BU3355" s="5" t="s">
        <v>238</v>
      </c>
      <c r="BV3355" s="5" t="s">
        <v>238</v>
      </c>
      <c r="BW3355" s="5" t="s">
        <v>238</v>
      </c>
      <c r="BX3355" s="5" t="s">
        <v>254</v>
      </c>
      <c r="BY3355" s="5" t="s">
        <v>238</v>
      </c>
      <c r="BZ3355" s="5" t="s">
        <v>238</v>
      </c>
      <c r="CA3355" s="5" t="s">
        <v>238</v>
      </c>
      <c r="CB3355" s="5" t="s">
        <v>238</v>
      </c>
      <c r="CC3355" s="5" t="s">
        <v>238</v>
      </c>
      <c r="CD3355" s="5" t="s">
        <v>273</v>
      </c>
      <c r="CE3355" s="5" t="s">
        <v>256</v>
      </c>
      <c r="CF3355" s="5" t="s">
        <v>238</v>
      </c>
      <c r="CH3355" s="5" t="s">
        <v>494</v>
      </c>
      <c r="CI3355" s="6" t="s">
        <v>257</v>
      </c>
      <c r="CJ3355" s="5" t="s">
        <v>495</v>
      </c>
      <c r="CK3355" s="5" t="s">
        <v>258</v>
      </c>
      <c r="CL3355" s="5" t="s">
        <v>496</v>
      </c>
      <c r="CM3355" s="5" t="s">
        <v>238</v>
      </c>
      <c r="CN3355" s="5">
        <v>0</v>
      </c>
      <c r="CO3355" s="5" t="s">
        <v>497</v>
      </c>
      <c r="CP3355" s="5" t="s">
        <v>260</v>
      </c>
      <c r="CQ3355" s="5" t="s">
        <v>260</v>
      </c>
      <c r="CR3355" s="5" t="s">
        <v>261</v>
      </c>
      <c r="CS3355" s="5" t="s">
        <v>498</v>
      </c>
      <c r="CT3355" s="7">
        <f>1</f>
        <v>1</v>
      </c>
      <c r="CU3355" s="8">
        <f>1</f>
        <v>1</v>
      </c>
      <c r="CV3355" s="8">
        <f>0</f>
        <v>0</v>
      </c>
      <c r="CX3355" s="8">
        <f>1</f>
        <v>1</v>
      </c>
      <c r="CY3355" s="8">
        <f>1</f>
        <v>1</v>
      </c>
      <c r="CZ3355" s="8" t="s">
        <v>238</v>
      </c>
      <c r="DA3355" s="5" t="s">
        <v>238</v>
      </c>
      <c r="DB3355" s="5" t="s">
        <v>238</v>
      </c>
      <c r="DC3355" s="5" t="s">
        <v>238</v>
      </c>
      <c r="DD3355" s="5" t="s">
        <v>238</v>
      </c>
      <c r="DE3355" s="8">
        <f>0</f>
        <v>0</v>
      </c>
      <c r="DG3355" s="5" t="s">
        <v>238</v>
      </c>
      <c r="DH3355" s="5" t="s">
        <v>238</v>
      </c>
      <c r="DI3355" s="5" t="s">
        <v>238</v>
      </c>
      <c r="DJ3355" s="5" t="s">
        <v>238</v>
      </c>
      <c r="DK3355" s="5" t="s">
        <v>238</v>
      </c>
      <c r="DL3355" s="5" t="s">
        <v>238</v>
      </c>
      <c r="DM3355" s="8" t="s">
        <v>238</v>
      </c>
      <c r="DN3355" s="5" t="s">
        <v>238</v>
      </c>
      <c r="DO3355" s="5" t="s">
        <v>238</v>
      </c>
      <c r="DP3355" s="5" t="s">
        <v>490</v>
      </c>
      <c r="DQ3355" s="5" t="s">
        <v>490</v>
      </c>
      <c r="DR3355" s="5" t="s">
        <v>238</v>
      </c>
      <c r="DS3355" s="5" t="s">
        <v>238</v>
      </c>
      <c r="DT3355" s="5" t="s">
        <v>881</v>
      </c>
      <c r="DU3355" s="5" t="s">
        <v>1228</v>
      </c>
      <c r="DV3355" s="5" t="s">
        <v>238</v>
      </c>
      <c r="DW3355" s="5" t="s">
        <v>238</v>
      </c>
      <c r="DX3355" s="5" t="s">
        <v>238</v>
      </c>
      <c r="DY3355" s="5" t="s">
        <v>238</v>
      </c>
      <c r="DZ3355" s="5" t="s">
        <v>238</v>
      </c>
      <c r="EA3355" s="5" t="s">
        <v>238</v>
      </c>
      <c r="EB3355" s="5" t="s">
        <v>238</v>
      </c>
      <c r="EC3355" s="5" t="s">
        <v>238</v>
      </c>
      <c r="ED3355" s="5" t="s">
        <v>238</v>
      </c>
      <c r="EE3355" s="5" t="s">
        <v>238</v>
      </c>
      <c r="EF3355" s="5" t="s">
        <v>238</v>
      </c>
      <c r="EG3355" s="5" t="s">
        <v>238</v>
      </c>
      <c r="EH3355" s="5" t="s">
        <v>238</v>
      </c>
      <c r="EI3355" s="5" t="s">
        <v>238</v>
      </c>
      <c r="EJ3355" s="5" t="s">
        <v>238</v>
      </c>
      <c r="EK3355" s="5" t="s">
        <v>238</v>
      </c>
      <c r="EL3355" s="5" t="s">
        <v>238</v>
      </c>
      <c r="EM3355" s="5" t="s">
        <v>238</v>
      </c>
      <c r="EN3355" s="5" t="s">
        <v>238</v>
      </c>
      <c r="EO3355" s="5" t="s">
        <v>238</v>
      </c>
      <c r="EP3355" s="5" t="s">
        <v>238</v>
      </c>
      <c r="EQ3355" s="5" t="s">
        <v>238</v>
      </c>
      <c r="ER3355" s="5" t="s">
        <v>238</v>
      </c>
      <c r="ES3355" s="5" t="s">
        <v>238</v>
      </c>
      <c r="ET3355" s="5" t="s">
        <v>238</v>
      </c>
      <c r="EU3355" s="5" t="s">
        <v>238</v>
      </c>
      <c r="EV3355" s="5" t="s">
        <v>238</v>
      </c>
      <c r="EW3355" s="5" t="s">
        <v>238</v>
      </c>
      <c r="EX3355" s="5" t="s">
        <v>238</v>
      </c>
      <c r="EY3355" s="5" t="s">
        <v>238</v>
      </c>
      <c r="EZ3355" s="5" t="s">
        <v>238</v>
      </c>
      <c r="FA3355" s="5" t="s">
        <v>238</v>
      </c>
      <c r="FB3355" s="5" t="s">
        <v>238</v>
      </c>
      <c r="FC3355" s="5" t="s">
        <v>238</v>
      </c>
      <c r="FD3355" s="5" t="s">
        <v>238</v>
      </c>
      <c r="FE3355" s="5" t="s">
        <v>238</v>
      </c>
      <c r="FF3355" s="5" t="s">
        <v>238</v>
      </c>
      <c r="FG3355" s="5" t="s">
        <v>238</v>
      </c>
      <c r="FH3355" s="5" t="s">
        <v>238</v>
      </c>
      <c r="FI3355" s="5" t="s">
        <v>238</v>
      </c>
      <c r="FJ3355" s="5" t="s">
        <v>238</v>
      </c>
      <c r="FK3355" s="5" t="s">
        <v>238</v>
      </c>
      <c r="FL3355" s="5" t="s">
        <v>238</v>
      </c>
      <c r="FM3355" s="5" t="s">
        <v>238</v>
      </c>
      <c r="FN3355" s="5" t="s">
        <v>238</v>
      </c>
      <c r="FO3355" s="5" t="s">
        <v>238</v>
      </c>
      <c r="FP3355" s="5" t="s">
        <v>238</v>
      </c>
      <c r="FQ3355" s="5" t="s">
        <v>238</v>
      </c>
      <c r="FR3355" s="5" t="s">
        <v>238</v>
      </c>
      <c r="FS3355" s="5" t="s">
        <v>238</v>
      </c>
      <c r="FT3355" s="5" t="s">
        <v>238</v>
      </c>
      <c r="FU3355" s="5" t="s">
        <v>238</v>
      </c>
      <c r="FV3355" s="5" t="s">
        <v>238</v>
      </c>
      <c r="FW3355" s="5" t="s">
        <v>238</v>
      </c>
      <c r="FX3355" s="5" t="s">
        <v>238</v>
      </c>
      <c r="FY3355" s="5" t="s">
        <v>238</v>
      </c>
      <c r="FZ3355" s="5" t="s">
        <v>238</v>
      </c>
      <c r="GA3355" s="5" t="s">
        <v>238</v>
      </c>
      <c r="GB3355" s="5" t="s">
        <v>238</v>
      </c>
      <c r="GC3355" s="5" t="s">
        <v>238</v>
      </c>
      <c r="GD3355" s="5" t="s">
        <v>238</v>
      </c>
      <c r="GE3355" s="5" t="s">
        <v>238</v>
      </c>
      <c r="GF3355" s="5" t="s">
        <v>238</v>
      </c>
      <c r="GG3355" s="5" t="s">
        <v>238</v>
      </c>
      <c r="GH3355" s="5" t="s">
        <v>238</v>
      </c>
      <c r="GI3355" s="5" t="s">
        <v>238</v>
      </c>
      <c r="GJ3355" s="5" t="s">
        <v>238</v>
      </c>
      <c r="GK3355" s="5" t="s">
        <v>238</v>
      </c>
      <c r="GL3355" s="5" t="s">
        <v>238</v>
      </c>
      <c r="GM3355" s="5" t="s">
        <v>238</v>
      </c>
      <c r="GN3355" s="5" t="s">
        <v>238</v>
      </c>
      <c r="GO3355" s="5" t="s">
        <v>238</v>
      </c>
      <c r="GP3355" s="5" t="s">
        <v>238</v>
      </c>
      <c r="GQ3355" s="5" t="s">
        <v>238</v>
      </c>
      <c r="GR3355" s="5" t="s">
        <v>238</v>
      </c>
      <c r="GS3355" s="5" t="s">
        <v>238</v>
      </c>
      <c r="GT3355" s="5" t="s">
        <v>238</v>
      </c>
      <c r="GU3355" s="5" t="s">
        <v>238</v>
      </c>
      <c r="GV3355" s="5" t="s">
        <v>238</v>
      </c>
      <c r="GW3355" s="5" t="s">
        <v>238</v>
      </c>
      <c r="GX3355" s="5" t="s">
        <v>238</v>
      </c>
      <c r="GY3355" s="5" t="s">
        <v>238</v>
      </c>
      <c r="GZ3355" s="5" t="s">
        <v>238</v>
      </c>
      <c r="HA3355" s="5" t="s">
        <v>238</v>
      </c>
      <c r="HB3355" s="5" t="s">
        <v>238</v>
      </c>
      <c r="HC3355" s="5" t="s">
        <v>238</v>
      </c>
      <c r="HD3355" s="5" t="s">
        <v>238</v>
      </c>
      <c r="HE3355" s="5" t="s">
        <v>238</v>
      </c>
      <c r="HF3355" s="5" t="s">
        <v>238</v>
      </c>
      <c r="HG3355" s="5" t="s">
        <v>238</v>
      </c>
      <c r="HH3355" s="5" t="s">
        <v>238</v>
      </c>
      <c r="HI3355" s="5" t="s">
        <v>238</v>
      </c>
      <c r="HJ3355" s="5" t="s">
        <v>238</v>
      </c>
      <c r="HK3355" s="5" t="s">
        <v>238</v>
      </c>
      <c r="HL3355" s="5" t="s">
        <v>238</v>
      </c>
      <c r="HM3355" s="5" t="s">
        <v>264</v>
      </c>
      <c r="HN3355" s="5" t="s">
        <v>238</v>
      </c>
      <c r="HO3355" s="5" t="s">
        <v>238</v>
      </c>
      <c r="HP3355" s="5" t="s">
        <v>238</v>
      </c>
      <c r="HQ3355" s="5" t="s">
        <v>238</v>
      </c>
      <c r="HR3355" s="5" t="s">
        <v>238</v>
      </c>
      <c r="HS3355" s="5" t="s">
        <v>238</v>
      </c>
      <c r="HT3355" s="5" t="s">
        <v>238</v>
      </c>
      <c r="HU3355" s="5" t="s">
        <v>238</v>
      </c>
      <c r="HV3355" s="5" t="s">
        <v>238</v>
      </c>
      <c r="HW3355" s="5" t="s">
        <v>238</v>
      </c>
      <c r="HX3355" s="5" t="s">
        <v>238</v>
      </c>
      <c r="HY3355" s="5" t="s">
        <v>238</v>
      </c>
      <c r="HZ3355" s="5" t="s">
        <v>238</v>
      </c>
      <c r="IA3355" s="5" t="s">
        <v>238</v>
      </c>
      <c r="IB3355" s="5" t="s">
        <v>238</v>
      </c>
      <c r="IC3355" s="5" t="s">
        <v>238</v>
      </c>
      <c r="ID3355" s="5" t="s">
        <v>238</v>
      </c>
    </row>
    <row r="3356" spans="1:238" x14ac:dyDescent="0.4">
      <c r="A3356" s="5">
        <v>9074</v>
      </c>
      <c r="B3356" s="5">
        <v>1</v>
      </c>
      <c r="C3356" s="5">
        <v>1</v>
      </c>
      <c r="D3356" s="5" t="s">
        <v>484</v>
      </c>
      <c r="E3356" s="5" t="s">
        <v>878</v>
      </c>
      <c r="F3356" s="5" t="s">
        <v>248</v>
      </c>
      <c r="G3356" s="5" t="s">
        <v>4776</v>
      </c>
      <c r="H3356" s="6" t="s">
        <v>4777</v>
      </c>
      <c r="I3356" s="8">
        <f>1</f>
        <v>1</v>
      </c>
      <c r="J3356" s="5" t="s">
        <v>499</v>
      </c>
      <c r="K3356" s="8">
        <f>1</f>
        <v>1</v>
      </c>
      <c r="L3356" s="6" t="s">
        <v>242</v>
      </c>
      <c r="M3356" s="5" t="s">
        <v>267</v>
      </c>
      <c r="N3356" s="5" t="s">
        <v>482</v>
      </c>
      <c r="O3356" s="5" t="s">
        <v>238</v>
      </c>
      <c r="P3356" s="5" t="s">
        <v>238</v>
      </c>
      <c r="Q3356" s="5" t="s">
        <v>239</v>
      </c>
      <c r="R3356" s="5" t="s">
        <v>270</v>
      </c>
      <c r="S3356" s="5" t="s">
        <v>238</v>
      </c>
      <c r="T3356" s="5" t="s">
        <v>238</v>
      </c>
      <c r="U3356" s="5" t="s">
        <v>238</v>
      </c>
      <c r="V3356" s="5" t="s">
        <v>238</v>
      </c>
      <c r="W3356" s="6" t="s">
        <v>238</v>
      </c>
      <c r="X3356" s="6" t="s">
        <v>238</v>
      </c>
      <c r="Y3356" s="5" t="s">
        <v>238</v>
      </c>
      <c r="Z3356" s="6" t="s">
        <v>238</v>
      </c>
      <c r="AA3356" s="6" t="s">
        <v>243</v>
      </c>
      <c r="AB3356" s="5" t="s">
        <v>879</v>
      </c>
      <c r="AC3356" s="5" t="s">
        <v>244</v>
      </c>
      <c r="AD3356" s="5" t="s">
        <v>245</v>
      </c>
      <c r="AE3356" s="5" t="s">
        <v>238</v>
      </c>
      <c r="AF3356" s="5" t="s">
        <v>238</v>
      </c>
      <c r="AG3356" s="5" t="s">
        <v>238</v>
      </c>
      <c r="AH3356" s="5" t="s">
        <v>238</v>
      </c>
      <c r="AI3356" s="5" t="s">
        <v>238</v>
      </c>
      <c r="AJ3356" s="5" t="s">
        <v>238</v>
      </c>
      <c r="AK3356" s="5" t="s">
        <v>238</v>
      </c>
      <c r="AL3356" s="5" t="s">
        <v>238</v>
      </c>
      <c r="AM3356" s="6" t="s">
        <v>238</v>
      </c>
      <c r="AN3356" s="6" t="s">
        <v>238</v>
      </c>
      <c r="AO3356" s="6" t="s">
        <v>238</v>
      </c>
      <c r="AP3356" s="6" t="s">
        <v>238</v>
      </c>
      <c r="AQ3356" s="5" t="s">
        <v>238</v>
      </c>
      <c r="AR3356" s="5" t="s">
        <v>488</v>
      </c>
      <c r="AS3356" s="5" t="s">
        <v>488</v>
      </c>
      <c r="AT3356" s="5" t="s">
        <v>246</v>
      </c>
      <c r="AU3356" s="5" t="s">
        <v>489</v>
      </c>
      <c r="AV3356" s="5" t="s">
        <v>247</v>
      </c>
      <c r="AW3356" s="5" t="s">
        <v>238</v>
      </c>
      <c r="AX3356" s="5" t="s">
        <v>249</v>
      </c>
      <c r="AY3356" s="5" t="s">
        <v>490</v>
      </c>
      <c r="BA3356" s="5" t="s">
        <v>238</v>
      </c>
      <c r="BC3356" s="5" t="s">
        <v>491</v>
      </c>
      <c r="BD3356" s="6" t="s">
        <v>492</v>
      </c>
      <c r="BE3356" s="5" t="s">
        <v>493</v>
      </c>
      <c r="BF3356" s="5" t="s">
        <v>493</v>
      </c>
      <c r="BG3356" s="5" t="s">
        <v>238</v>
      </c>
      <c r="BH3356" s="8">
        <f>1</f>
        <v>1</v>
      </c>
      <c r="BI3356" s="8">
        <f>1</f>
        <v>1</v>
      </c>
      <c r="BJ3356" s="5" t="s">
        <v>253</v>
      </c>
      <c r="BK3356" s="5" t="s">
        <v>254</v>
      </c>
      <c r="BL3356" s="5" t="s">
        <v>238</v>
      </c>
      <c r="BM3356" s="5" t="s">
        <v>238</v>
      </c>
      <c r="BN3356" s="5" t="s">
        <v>238</v>
      </c>
      <c r="BO3356" s="5" t="s">
        <v>238</v>
      </c>
      <c r="BP3356" s="5" t="s">
        <v>238</v>
      </c>
      <c r="BQ3356" s="5" t="s">
        <v>238</v>
      </c>
      <c r="BR3356" s="5" t="s">
        <v>238</v>
      </c>
      <c r="BS3356" s="5" t="s">
        <v>238</v>
      </c>
      <c r="BT3356" s="6" t="s">
        <v>238</v>
      </c>
      <c r="BU3356" s="5" t="s">
        <v>238</v>
      </c>
      <c r="BV3356" s="5" t="s">
        <v>238</v>
      </c>
      <c r="BW3356" s="5" t="s">
        <v>238</v>
      </c>
      <c r="BX3356" s="5" t="s">
        <v>254</v>
      </c>
      <c r="BY3356" s="5" t="s">
        <v>238</v>
      </c>
      <c r="BZ3356" s="5" t="s">
        <v>238</v>
      </c>
      <c r="CA3356" s="5" t="s">
        <v>238</v>
      </c>
      <c r="CB3356" s="5" t="s">
        <v>238</v>
      </c>
      <c r="CC3356" s="5" t="s">
        <v>238</v>
      </c>
      <c r="CD3356" s="5" t="s">
        <v>273</v>
      </c>
      <c r="CE3356" s="5" t="s">
        <v>256</v>
      </c>
      <c r="CF3356" s="5" t="s">
        <v>238</v>
      </c>
      <c r="CH3356" s="5" t="s">
        <v>494</v>
      </c>
      <c r="CI3356" s="6" t="s">
        <v>257</v>
      </c>
      <c r="CJ3356" s="5" t="s">
        <v>495</v>
      </c>
      <c r="CK3356" s="5" t="s">
        <v>258</v>
      </c>
      <c r="CL3356" s="5" t="s">
        <v>496</v>
      </c>
      <c r="CM3356" s="5" t="s">
        <v>238</v>
      </c>
      <c r="CN3356" s="5">
        <v>0</v>
      </c>
      <c r="CO3356" s="5" t="s">
        <v>497</v>
      </c>
      <c r="CP3356" s="5" t="s">
        <v>260</v>
      </c>
      <c r="CQ3356" s="5" t="s">
        <v>260</v>
      </c>
      <c r="CR3356" s="5" t="s">
        <v>261</v>
      </c>
      <c r="CS3356" s="5" t="s">
        <v>498</v>
      </c>
      <c r="CT3356" s="7">
        <f>1</f>
        <v>1</v>
      </c>
      <c r="CU3356" s="8">
        <f>1</f>
        <v>1</v>
      </c>
      <c r="CV3356" s="8">
        <f>0</f>
        <v>0</v>
      </c>
      <c r="CX3356" s="8">
        <f>1</f>
        <v>1</v>
      </c>
      <c r="CY3356" s="8">
        <f>1</f>
        <v>1</v>
      </c>
      <c r="CZ3356" s="8" t="s">
        <v>238</v>
      </c>
      <c r="DA3356" s="5" t="s">
        <v>238</v>
      </c>
      <c r="DB3356" s="5" t="s">
        <v>238</v>
      </c>
      <c r="DC3356" s="5" t="s">
        <v>238</v>
      </c>
      <c r="DD3356" s="5" t="s">
        <v>238</v>
      </c>
      <c r="DE3356" s="8">
        <f>0</f>
        <v>0</v>
      </c>
      <c r="DG3356" s="5" t="s">
        <v>238</v>
      </c>
      <c r="DH3356" s="5" t="s">
        <v>238</v>
      </c>
      <c r="DI3356" s="5" t="s">
        <v>238</v>
      </c>
      <c r="DJ3356" s="5" t="s">
        <v>238</v>
      </c>
      <c r="DK3356" s="5" t="s">
        <v>238</v>
      </c>
      <c r="DL3356" s="5" t="s">
        <v>238</v>
      </c>
      <c r="DM3356" s="8" t="s">
        <v>238</v>
      </c>
      <c r="DN3356" s="5" t="s">
        <v>238</v>
      </c>
      <c r="DO3356" s="5" t="s">
        <v>238</v>
      </c>
      <c r="DP3356" s="5" t="s">
        <v>490</v>
      </c>
      <c r="DQ3356" s="5" t="s">
        <v>490</v>
      </c>
      <c r="DR3356" s="5" t="s">
        <v>238</v>
      </c>
      <c r="DS3356" s="5" t="s">
        <v>238</v>
      </c>
      <c r="DT3356" s="5" t="s">
        <v>881</v>
      </c>
      <c r="DU3356" s="5" t="s">
        <v>1307</v>
      </c>
      <c r="DV3356" s="5" t="s">
        <v>238</v>
      </c>
      <c r="DW3356" s="5" t="s">
        <v>238</v>
      </c>
      <c r="DX3356" s="5" t="s">
        <v>238</v>
      </c>
      <c r="DY3356" s="5" t="s">
        <v>238</v>
      </c>
      <c r="DZ3356" s="5" t="s">
        <v>238</v>
      </c>
      <c r="EA3356" s="5" t="s">
        <v>238</v>
      </c>
      <c r="EB3356" s="5" t="s">
        <v>238</v>
      </c>
      <c r="EC3356" s="5" t="s">
        <v>238</v>
      </c>
      <c r="ED3356" s="5" t="s">
        <v>238</v>
      </c>
      <c r="EE3356" s="5" t="s">
        <v>238</v>
      </c>
      <c r="EF3356" s="5" t="s">
        <v>238</v>
      </c>
      <c r="EG3356" s="5" t="s">
        <v>238</v>
      </c>
      <c r="EH3356" s="5" t="s">
        <v>238</v>
      </c>
      <c r="EI3356" s="5" t="s">
        <v>238</v>
      </c>
      <c r="EJ3356" s="5" t="s">
        <v>238</v>
      </c>
      <c r="EK3356" s="5" t="s">
        <v>238</v>
      </c>
      <c r="EL3356" s="5" t="s">
        <v>238</v>
      </c>
      <c r="EM3356" s="5" t="s">
        <v>238</v>
      </c>
      <c r="EN3356" s="5" t="s">
        <v>238</v>
      </c>
      <c r="EO3356" s="5" t="s">
        <v>238</v>
      </c>
      <c r="EP3356" s="5" t="s">
        <v>238</v>
      </c>
      <c r="EQ3356" s="5" t="s">
        <v>238</v>
      </c>
      <c r="ER3356" s="5" t="s">
        <v>238</v>
      </c>
      <c r="ES3356" s="5" t="s">
        <v>238</v>
      </c>
      <c r="ET3356" s="5" t="s">
        <v>238</v>
      </c>
      <c r="EU3356" s="5" t="s">
        <v>238</v>
      </c>
      <c r="EV3356" s="5" t="s">
        <v>238</v>
      </c>
      <c r="EW3356" s="5" t="s">
        <v>238</v>
      </c>
      <c r="EX3356" s="5" t="s">
        <v>238</v>
      </c>
      <c r="EY3356" s="5" t="s">
        <v>238</v>
      </c>
      <c r="EZ3356" s="5" t="s">
        <v>238</v>
      </c>
      <c r="FA3356" s="5" t="s">
        <v>238</v>
      </c>
      <c r="FB3356" s="5" t="s">
        <v>238</v>
      </c>
      <c r="FC3356" s="5" t="s">
        <v>238</v>
      </c>
      <c r="FD3356" s="5" t="s">
        <v>238</v>
      </c>
      <c r="FE3356" s="5" t="s">
        <v>238</v>
      </c>
      <c r="FF3356" s="5" t="s">
        <v>238</v>
      </c>
      <c r="FG3356" s="5" t="s">
        <v>238</v>
      </c>
      <c r="FH3356" s="5" t="s">
        <v>238</v>
      </c>
      <c r="FI3356" s="5" t="s">
        <v>238</v>
      </c>
      <c r="FJ3356" s="5" t="s">
        <v>238</v>
      </c>
      <c r="FK3356" s="5" t="s">
        <v>238</v>
      </c>
      <c r="FL3356" s="5" t="s">
        <v>238</v>
      </c>
      <c r="FM3356" s="5" t="s">
        <v>238</v>
      </c>
      <c r="FN3356" s="5" t="s">
        <v>238</v>
      </c>
      <c r="FO3356" s="5" t="s">
        <v>238</v>
      </c>
      <c r="FP3356" s="5" t="s">
        <v>238</v>
      </c>
      <c r="FQ3356" s="5" t="s">
        <v>238</v>
      </c>
      <c r="FR3356" s="5" t="s">
        <v>238</v>
      </c>
      <c r="FS3356" s="5" t="s">
        <v>238</v>
      </c>
      <c r="FT3356" s="5" t="s">
        <v>238</v>
      </c>
      <c r="FU3356" s="5" t="s">
        <v>238</v>
      </c>
      <c r="FV3356" s="5" t="s">
        <v>238</v>
      </c>
      <c r="FW3356" s="5" t="s">
        <v>238</v>
      </c>
      <c r="FX3356" s="5" t="s">
        <v>238</v>
      </c>
      <c r="FY3356" s="5" t="s">
        <v>238</v>
      </c>
      <c r="FZ3356" s="5" t="s">
        <v>238</v>
      </c>
      <c r="GA3356" s="5" t="s">
        <v>238</v>
      </c>
      <c r="GB3356" s="5" t="s">
        <v>238</v>
      </c>
      <c r="GC3356" s="5" t="s">
        <v>238</v>
      </c>
      <c r="GD3356" s="5" t="s">
        <v>238</v>
      </c>
      <c r="GE3356" s="5" t="s">
        <v>238</v>
      </c>
      <c r="GF3356" s="5" t="s">
        <v>238</v>
      </c>
      <c r="GG3356" s="5" t="s">
        <v>238</v>
      </c>
      <c r="GH3356" s="5" t="s">
        <v>238</v>
      </c>
      <c r="GI3356" s="5" t="s">
        <v>238</v>
      </c>
      <c r="GJ3356" s="5" t="s">
        <v>238</v>
      </c>
      <c r="GK3356" s="5" t="s">
        <v>238</v>
      </c>
      <c r="GL3356" s="5" t="s">
        <v>238</v>
      </c>
      <c r="GM3356" s="5" t="s">
        <v>238</v>
      </c>
      <c r="GN3356" s="5" t="s">
        <v>238</v>
      </c>
      <c r="GO3356" s="5" t="s">
        <v>238</v>
      </c>
      <c r="GP3356" s="5" t="s">
        <v>238</v>
      </c>
      <c r="GQ3356" s="5" t="s">
        <v>238</v>
      </c>
      <c r="GR3356" s="5" t="s">
        <v>238</v>
      </c>
      <c r="GS3356" s="5" t="s">
        <v>238</v>
      </c>
      <c r="GT3356" s="5" t="s">
        <v>238</v>
      </c>
      <c r="GU3356" s="5" t="s">
        <v>238</v>
      </c>
      <c r="GV3356" s="5" t="s">
        <v>238</v>
      </c>
      <c r="GW3356" s="5" t="s">
        <v>238</v>
      </c>
      <c r="GX3356" s="5" t="s">
        <v>238</v>
      </c>
      <c r="GY3356" s="5" t="s">
        <v>238</v>
      </c>
      <c r="GZ3356" s="5" t="s">
        <v>238</v>
      </c>
      <c r="HA3356" s="5" t="s">
        <v>238</v>
      </c>
      <c r="HB3356" s="5" t="s">
        <v>238</v>
      </c>
      <c r="HC3356" s="5" t="s">
        <v>238</v>
      </c>
      <c r="HD3356" s="5" t="s">
        <v>238</v>
      </c>
      <c r="HE3356" s="5" t="s">
        <v>238</v>
      </c>
      <c r="HF3356" s="5" t="s">
        <v>238</v>
      </c>
      <c r="HG3356" s="5" t="s">
        <v>238</v>
      </c>
      <c r="HH3356" s="5" t="s">
        <v>238</v>
      </c>
      <c r="HI3356" s="5" t="s">
        <v>238</v>
      </c>
      <c r="HJ3356" s="5" t="s">
        <v>238</v>
      </c>
      <c r="HK3356" s="5" t="s">
        <v>238</v>
      </c>
      <c r="HL3356" s="5" t="s">
        <v>238</v>
      </c>
      <c r="HM3356" s="5" t="s">
        <v>264</v>
      </c>
      <c r="HN3356" s="5" t="s">
        <v>238</v>
      </c>
      <c r="HO3356" s="5" t="s">
        <v>238</v>
      </c>
      <c r="HP3356" s="5" t="s">
        <v>238</v>
      </c>
      <c r="HQ3356" s="5" t="s">
        <v>238</v>
      </c>
      <c r="HR3356" s="5" t="s">
        <v>238</v>
      </c>
      <c r="HS3356" s="5" t="s">
        <v>238</v>
      </c>
      <c r="HT3356" s="5" t="s">
        <v>238</v>
      </c>
      <c r="HU3356" s="5" t="s">
        <v>238</v>
      </c>
      <c r="HV3356" s="5" t="s">
        <v>238</v>
      </c>
      <c r="HW3356" s="5" t="s">
        <v>238</v>
      </c>
      <c r="HX3356" s="5" t="s">
        <v>238</v>
      </c>
      <c r="HY3356" s="5" t="s">
        <v>238</v>
      </c>
      <c r="HZ3356" s="5" t="s">
        <v>238</v>
      </c>
      <c r="IA3356" s="5" t="s">
        <v>238</v>
      </c>
      <c r="IB3356" s="5" t="s">
        <v>238</v>
      </c>
      <c r="IC3356" s="5" t="s">
        <v>238</v>
      </c>
      <c r="ID3356" s="5" t="s">
        <v>238</v>
      </c>
    </row>
    <row r="3357" spans="1:238" x14ac:dyDescent="0.4">
      <c r="A3357" s="5">
        <v>9075</v>
      </c>
      <c r="B3357" s="5">
        <v>1</v>
      </c>
      <c r="C3357" s="5">
        <v>1</v>
      </c>
      <c r="D3357" s="5" t="s">
        <v>484</v>
      </c>
      <c r="E3357" s="5" t="s">
        <v>878</v>
      </c>
      <c r="F3357" s="5" t="s">
        <v>248</v>
      </c>
      <c r="G3357" s="5" t="s">
        <v>5394</v>
      </c>
      <c r="H3357" s="6" t="s">
        <v>5395</v>
      </c>
      <c r="I3357" s="8">
        <f>1</f>
        <v>1</v>
      </c>
      <c r="J3357" s="5" t="s">
        <v>499</v>
      </c>
      <c r="K3357" s="8">
        <f>1</f>
        <v>1</v>
      </c>
      <c r="L3357" s="6" t="s">
        <v>242</v>
      </c>
      <c r="M3357" s="5" t="s">
        <v>267</v>
      </c>
      <c r="N3357" s="5" t="s">
        <v>482</v>
      </c>
      <c r="O3357" s="5" t="s">
        <v>238</v>
      </c>
      <c r="P3357" s="5" t="s">
        <v>238</v>
      </c>
      <c r="Q3357" s="5" t="s">
        <v>239</v>
      </c>
      <c r="R3357" s="5" t="s">
        <v>270</v>
      </c>
      <c r="S3357" s="5" t="s">
        <v>238</v>
      </c>
      <c r="T3357" s="5" t="s">
        <v>238</v>
      </c>
      <c r="U3357" s="5" t="s">
        <v>238</v>
      </c>
      <c r="V3357" s="5" t="s">
        <v>238</v>
      </c>
      <c r="W3357" s="6" t="s">
        <v>238</v>
      </c>
      <c r="X3357" s="6" t="s">
        <v>238</v>
      </c>
      <c r="Y3357" s="5" t="s">
        <v>238</v>
      </c>
      <c r="Z3357" s="6" t="s">
        <v>238</v>
      </c>
      <c r="AA3357" s="6" t="s">
        <v>243</v>
      </c>
      <c r="AB3357" s="5" t="s">
        <v>879</v>
      </c>
      <c r="AC3357" s="5" t="s">
        <v>244</v>
      </c>
      <c r="AD3357" s="5" t="s">
        <v>245</v>
      </c>
      <c r="AE3357" s="5" t="s">
        <v>238</v>
      </c>
      <c r="AF3357" s="5" t="s">
        <v>238</v>
      </c>
      <c r="AG3357" s="5" t="s">
        <v>238</v>
      </c>
      <c r="AH3357" s="5" t="s">
        <v>238</v>
      </c>
      <c r="AI3357" s="5" t="s">
        <v>238</v>
      </c>
      <c r="AJ3357" s="5" t="s">
        <v>238</v>
      </c>
      <c r="AK3357" s="5" t="s">
        <v>238</v>
      </c>
      <c r="AL3357" s="5" t="s">
        <v>238</v>
      </c>
      <c r="AM3357" s="6" t="s">
        <v>238</v>
      </c>
      <c r="AN3357" s="6" t="s">
        <v>238</v>
      </c>
      <c r="AO3357" s="6" t="s">
        <v>238</v>
      </c>
      <c r="AP3357" s="6" t="s">
        <v>238</v>
      </c>
      <c r="AQ3357" s="5" t="s">
        <v>238</v>
      </c>
      <c r="AR3357" s="5" t="s">
        <v>488</v>
      </c>
      <c r="AS3357" s="5" t="s">
        <v>488</v>
      </c>
      <c r="AT3357" s="5" t="s">
        <v>246</v>
      </c>
      <c r="AU3357" s="5" t="s">
        <v>489</v>
      </c>
      <c r="AV3357" s="5" t="s">
        <v>247</v>
      </c>
      <c r="AW3357" s="5" t="s">
        <v>238</v>
      </c>
      <c r="AX3357" s="5" t="s">
        <v>249</v>
      </c>
      <c r="AY3357" s="5" t="s">
        <v>490</v>
      </c>
      <c r="BA3357" s="5" t="s">
        <v>238</v>
      </c>
      <c r="BC3357" s="5" t="s">
        <v>491</v>
      </c>
      <c r="BD3357" s="6" t="s">
        <v>492</v>
      </c>
      <c r="BE3357" s="5" t="s">
        <v>493</v>
      </c>
      <c r="BF3357" s="5" t="s">
        <v>493</v>
      </c>
      <c r="BG3357" s="5" t="s">
        <v>238</v>
      </c>
      <c r="BH3357" s="8">
        <f>1</f>
        <v>1</v>
      </c>
      <c r="BI3357" s="8">
        <f>1</f>
        <v>1</v>
      </c>
      <c r="BJ3357" s="5" t="s">
        <v>253</v>
      </c>
      <c r="BK3357" s="5" t="s">
        <v>254</v>
      </c>
      <c r="BL3357" s="5" t="s">
        <v>238</v>
      </c>
      <c r="BM3357" s="5" t="s">
        <v>238</v>
      </c>
      <c r="BN3357" s="5" t="s">
        <v>238</v>
      </c>
      <c r="BO3357" s="5" t="s">
        <v>238</v>
      </c>
      <c r="BP3357" s="5" t="s">
        <v>238</v>
      </c>
      <c r="BQ3357" s="5" t="s">
        <v>238</v>
      </c>
      <c r="BR3357" s="5" t="s">
        <v>238</v>
      </c>
      <c r="BS3357" s="5" t="s">
        <v>238</v>
      </c>
      <c r="BT3357" s="6" t="s">
        <v>238</v>
      </c>
      <c r="BU3357" s="5" t="s">
        <v>238</v>
      </c>
      <c r="BV3357" s="5" t="s">
        <v>238</v>
      </c>
      <c r="BW3357" s="5" t="s">
        <v>238</v>
      </c>
      <c r="BX3357" s="5" t="s">
        <v>254</v>
      </c>
      <c r="BY3357" s="5" t="s">
        <v>238</v>
      </c>
      <c r="BZ3357" s="5" t="s">
        <v>238</v>
      </c>
      <c r="CA3357" s="5" t="s">
        <v>238</v>
      </c>
      <c r="CB3357" s="5" t="s">
        <v>238</v>
      </c>
      <c r="CC3357" s="5" t="s">
        <v>238</v>
      </c>
      <c r="CD3357" s="5" t="s">
        <v>273</v>
      </c>
      <c r="CE3357" s="5" t="s">
        <v>256</v>
      </c>
      <c r="CF3357" s="5" t="s">
        <v>238</v>
      </c>
      <c r="CH3357" s="5" t="s">
        <v>494</v>
      </c>
      <c r="CI3357" s="6" t="s">
        <v>257</v>
      </c>
      <c r="CJ3357" s="5" t="s">
        <v>495</v>
      </c>
      <c r="CK3357" s="5" t="s">
        <v>258</v>
      </c>
      <c r="CL3357" s="5" t="s">
        <v>496</v>
      </c>
      <c r="CM3357" s="5" t="s">
        <v>238</v>
      </c>
      <c r="CN3357" s="5">
        <v>0</v>
      </c>
      <c r="CO3357" s="5" t="s">
        <v>497</v>
      </c>
      <c r="CP3357" s="5" t="s">
        <v>260</v>
      </c>
      <c r="CQ3357" s="5" t="s">
        <v>260</v>
      </c>
      <c r="CR3357" s="5" t="s">
        <v>261</v>
      </c>
      <c r="CS3357" s="5" t="s">
        <v>498</v>
      </c>
      <c r="CT3357" s="7">
        <f>1</f>
        <v>1</v>
      </c>
      <c r="CU3357" s="8">
        <f>1</f>
        <v>1</v>
      </c>
      <c r="CV3357" s="8">
        <f>0</f>
        <v>0</v>
      </c>
      <c r="CX3357" s="8">
        <f>1</f>
        <v>1</v>
      </c>
      <c r="CY3357" s="8">
        <f>1</f>
        <v>1</v>
      </c>
      <c r="CZ3357" s="8" t="s">
        <v>238</v>
      </c>
      <c r="DA3357" s="5" t="s">
        <v>238</v>
      </c>
      <c r="DB3357" s="5" t="s">
        <v>238</v>
      </c>
      <c r="DC3357" s="5" t="s">
        <v>238</v>
      </c>
      <c r="DD3357" s="5" t="s">
        <v>238</v>
      </c>
      <c r="DE3357" s="8">
        <f>0</f>
        <v>0</v>
      </c>
      <c r="DG3357" s="5" t="s">
        <v>238</v>
      </c>
      <c r="DH3357" s="5" t="s">
        <v>238</v>
      </c>
      <c r="DI3357" s="5" t="s">
        <v>238</v>
      </c>
      <c r="DJ3357" s="5" t="s">
        <v>238</v>
      </c>
      <c r="DK3357" s="5" t="s">
        <v>238</v>
      </c>
      <c r="DL3357" s="5" t="s">
        <v>238</v>
      </c>
      <c r="DM3357" s="8" t="s">
        <v>238</v>
      </c>
      <c r="DN3357" s="5" t="s">
        <v>238</v>
      </c>
      <c r="DO3357" s="5" t="s">
        <v>238</v>
      </c>
      <c r="DP3357" s="5" t="s">
        <v>490</v>
      </c>
      <c r="DQ3357" s="5" t="s">
        <v>490</v>
      </c>
      <c r="DR3357" s="5" t="s">
        <v>238</v>
      </c>
      <c r="DS3357" s="5" t="s">
        <v>238</v>
      </c>
      <c r="DT3357" s="5" t="s">
        <v>881</v>
      </c>
      <c r="DU3357" s="5" t="s">
        <v>1291</v>
      </c>
      <c r="DV3357" s="5" t="s">
        <v>238</v>
      </c>
      <c r="DW3357" s="5" t="s">
        <v>238</v>
      </c>
      <c r="DX3357" s="5" t="s">
        <v>238</v>
      </c>
      <c r="DY3357" s="5" t="s">
        <v>238</v>
      </c>
      <c r="DZ3357" s="5" t="s">
        <v>238</v>
      </c>
      <c r="EA3357" s="5" t="s">
        <v>238</v>
      </c>
      <c r="EB3357" s="5" t="s">
        <v>238</v>
      </c>
      <c r="EC3357" s="5" t="s">
        <v>238</v>
      </c>
      <c r="ED3357" s="5" t="s">
        <v>238</v>
      </c>
      <c r="EE3357" s="5" t="s">
        <v>238</v>
      </c>
      <c r="EF3357" s="5" t="s">
        <v>238</v>
      </c>
      <c r="EG3357" s="5" t="s">
        <v>238</v>
      </c>
      <c r="EH3357" s="5" t="s">
        <v>238</v>
      </c>
      <c r="EI3357" s="5" t="s">
        <v>238</v>
      </c>
      <c r="EJ3357" s="5" t="s">
        <v>238</v>
      </c>
      <c r="EK3357" s="5" t="s">
        <v>238</v>
      </c>
      <c r="EL3357" s="5" t="s">
        <v>238</v>
      </c>
      <c r="EM3357" s="5" t="s">
        <v>238</v>
      </c>
      <c r="EN3357" s="5" t="s">
        <v>238</v>
      </c>
      <c r="EO3357" s="5" t="s">
        <v>238</v>
      </c>
      <c r="EP3357" s="5" t="s">
        <v>238</v>
      </c>
      <c r="EQ3357" s="5" t="s">
        <v>238</v>
      </c>
      <c r="ER3357" s="5" t="s">
        <v>238</v>
      </c>
      <c r="ES3357" s="5" t="s">
        <v>238</v>
      </c>
      <c r="ET3357" s="5" t="s">
        <v>238</v>
      </c>
      <c r="EU3357" s="5" t="s">
        <v>238</v>
      </c>
      <c r="EV3357" s="5" t="s">
        <v>238</v>
      </c>
      <c r="EW3357" s="5" t="s">
        <v>238</v>
      </c>
      <c r="EX3357" s="5" t="s">
        <v>238</v>
      </c>
      <c r="EY3357" s="5" t="s">
        <v>238</v>
      </c>
      <c r="EZ3357" s="5" t="s">
        <v>238</v>
      </c>
      <c r="FA3357" s="5" t="s">
        <v>238</v>
      </c>
      <c r="FB3357" s="5" t="s">
        <v>238</v>
      </c>
      <c r="FC3357" s="5" t="s">
        <v>238</v>
      </c>
      <c r="FD3357" s="5" t="s">
        <v>238</v>
      </c>
      <c r="FE3357" s="5" t="s">
        <v>238</v>
      </c>
      <c r="FF3357" s="5" t="s">
        <v>238</v>
      </c>
      <c r="FG3357" s="5" t="s">
        <v>238</v>
      </c>
      <c r="FH3357" s="5" t="s">
        <v>238</v>
      </c>
      <c r="FI3357" s="5" t="s">
        <v>238</v>
      </c>
      <c r="FJ3357" s="5" t="s">
        <v>238</v>
      </c>
      <c r="FK3357" s="5" t="s">
        <v>238</v>
      </c>
      <c r="FL3357" s="5" t="s">
        <v>238</v>
      </c>
      <c r="FM3357" s="5" t="s">
        <v>238</v>
      </c>
      <c r="FN3357" s="5" t="s">
        <v>238</v>
      </c>
      <c r="FO3357" s="5" t="s">
        <v>238</v>
      </c>
      <c r="FP3357" s="5" t="s">
        <v>238</v>
      </c>
      <c r="FQ3357" s="5" t="s">
        <v>238</v>
      </c>
      <c r="FR3357" s="5" t="s">
        <v>238</v>
      </c>
      <c r="FS3357" s="5" t="s">
        <v>238</v>
      </c>
      <c r="FT3357" s="5" t="s">
        <v>238</v>
      </c>
      <c r="FU3357" s="5" t="s">
        <v>238</v>
      </c>
      <c r="FV3357" s="5" t="s">
        <v>238</v>
      </c>
      <c r="FW3357" s="5" t="s">
        <v>238</v>
      </c>
      <c r="FX3357" s="5" t="s">
        <v>238</v>
      </c>
      <c r="FY3357" s="5" t="s">
        <v>238</v>
      </c>
      <c r="FZ3357" s="5" t="s">
        <v>238</v>
      </c>
      <c r="GA3357" s="5" t="s">
        <v>238</v>
      </c>
      <c r="GB3357" s="5" t="s">
        <v>238</v>
      </c>
      <c r="GC3357" s="5" t="s">
        <v>238</v>
      </c>
      <c r="GD3357" s="5" t="s">
        <v>238</v>
      </c>
      <c r="GE3357" s="5" t="s">
        <v>238</v>
      </c>
      <c r="GF3357" s="5" t="s">
        <v>238</v>
      </c>
      <c r="GG3357" s="5" t="s">
        <v>238</v>
      </c>
      <c r="GH3357" s="5" t="s">
        <v>238</v>
      </c>
      <c r="GI3357" s="5" t="s">
        <v>238</v>
      </c>
      <c r="GJ3357" s="5" t="s">
        <v>238</v>
      </c>
      <c r="GK3357" s="5" t="s">
        <v>238</v>
      </c>
      <c r="GL3357" s="5" t="s">
        <v>238</v>
      </c>
      <c r="GM3357" s="5" t="s">
        <v>238</v>
      </c>
      <c r="GN3357" s="5" t="s">
        <v>238</v>
      </c>
      <c r="GO3357" s="5" t="s">
        <v>238</v>
      </c>
      <c r="GP3357" s="5" t="s">
        <v>238</v>
      </c>
      <c r="GQ3357" s="5" t="s">
        <v>238</v>
      </c>
      <c r="GR3357" s="5" t="s">
        <v>238</v>
      </c>
      <c r="GS3357" s="5" t="s">
        <v>238</v>
      </c>
      <c r="GT3357" s="5" t="s">
        <v>238</v>
      </c>
      <c r="GU3357" s="5" t="s">
        <v>238</v>
      </c>
      <c r="GV3357" s="5" t="s">
        <v>238</v>
      </c>
      <c r="GW3357" s="5" t="s">
        <v>238</v>
      </c>
      <c r="GX3357" s="5" t="s">
        <v>238</v>
      </c>
      <c r="GY3357" s="5" t="s">
        <v>238</v>
      </c>
      <c r="GZ3357" s="5" t="s">
        <v>238</v>
      </c>
      <c r="HA3357" s="5" t="s">
        <v>238</v>
      </c>
      <c r="HB3357" s="5" t="s">
        <v>238</v>
      </c>
      <c r="HC3357" s="5" t="s">
        <v>238</v>
      </c>
      <c r="HD3357" s="5" t="s">
        <v>238</v>
      </c>
      <c r="HE3357" s="5" t="s">
        <v>238</v>
      </c>
      <c r="HF3357" s="5" t="s">
        <v>238</v>
      </c>
      <c r="HG3357" s="5" t="s">
        <v>238</v>
      </c>
      <c r="HH3357" s="5" t="s">
        <v>238</v>
      </c>
      <c r="HI3357" s="5" t="s">
        <v>238</v>
      </c>
      <c r="HJ3357" s="5" t="s">
        <v>238</v>
      </c>
      <c r="HK3357" s="5" t="s">
        <v>238</v>
      </c>
      <c r="HL3357" s="5" t="s">
        <v>238</v>
      </c>
      <c r="HM3357" s="5" t="s">
        <v>264</v>
      </c>
      <c r="HN3357" s="5" t="s">
        <v>238</v>
      </c>
      <c r="HO3357" s="5" t="s">
        <v>238</v>
      </c>
      <c r="HP3357" s="5" t="s">
        <v>238</v>
      </c>
      <c r="HQ3357" s="5" t="s">
        <v>238</v>
      </c>
      <c r="HR3357" s="5" t="s">
        <v>238</v>
      </c>
      <c r="HS3357" s="5" t="s">
        <v>238</v>
      </c>
      <c r="HT3357" s="5" t="s">
        <v>238</v>
      </c>
      <c r="HU3357" s="5" t="s">
        <v>238</v>
      </c>
      <c r="HV3357" s="5" t="s">
        <v>238</v>
      </c>
      <c r="HW3357" s="5" t="s">
        <v>238</v>
      </c>
      <c r="HX3357" s="5" t="s">
        <v>238</v>
      </c>
      <c r="HY3357" s="5" t="s">
        <v>238</v>
      </c>
      <c r="HZ3357" s="5" t="s">
        <v>238</v>
      </c>
      <c r="IA3357" s="5" t="s">
        <v>238</v>
      </c>
      <c r="IB3357" s="5" t="s">
        <v>238</v>
      </c>
      <c r="IC3357" s="5" t="s">
        <v>238</v>
      </c>
      <c r="ID3357" s="5" t="s">
        <v>238</v>
      </c>
    </row>
    <row r="3358" spans="1:238" x14ac:dyDescent="0.4">
      <c r="A3358" s="5">
        <v>9076</v>
      </c>
      <c r="B3358" s="5">
        <v>1</v>
      </c>
      <c r="C3358" s="5">
        <v>1</v>
      </c>
      <c r="D3358" s="5" t="s">
        <v>484</v>
      </c>
      <c r="E3358" s="5" t="s">
        <v>878</v>
      </c>
      <c r="F3358" s="5" t="s">
        <v>248</v>
      </c>
      <c r="G3358" s="5" t="s">
        <v>4907</v>
      </c>
      <c r="H3358" s="6" t="s">
        <v>4908</v>
      </c>
      <c r="I3358" s="8">
        <f>1</f>
        <v>1</v>
      </c>
      <c r="J3358" s="5" t="s">
        <v>499</v>
      </c>
      <c r="K3358" s="8">
        <f>1</f>
        <v>1</v>
      </c>
      <c r="L3358" s="6" t="s">
        <v>242</v>
      </c>
      <c r="M3358" s="5" t="s">
        <v>267</v>
      </c>
      <c r="N3358" s="5" t="s">
        <v>482</v>
      </c>
      <c r="O3358" s="5" t="s">
        <v>238</v>
      </c>
      <c r="P3358" s="5" t="s">
        <v>238</v>
      </c>
      <c r="Q3358" s="5" t="s">
        <v>239</v>
      </c>
      <c r="R3358" s="5" t="s">
        <v>270</v>
      </c>
      <c r="S3358" s="5" t="s">
        <v>238</v>
      </c>
      <c r="T3358" s="5" t="s">
        <v>238</v>
      </c>
      <c r="U3358" s="5" t="s">
        <v>238</v>
      </c>
      <c r="V3358" s="5" t="s">
        <v>238</v>
      </c>
      <c r="W3358" s="6" t="s">
        <v>238</v>
      </c>
      <c r="X3358" s="6" t="s">
        <v>238</v>
      </c>
      <c r="Y3358" s="5" t="s">
        <v>238</v>
      </c>
      <c r="Z3358" s="6" t="s">
        <v>238</v>
      </c>
      <c r="AA3358" s="6" t="s">
        <v>243</v>
      </c>
      <c r="AB3358" s="5" t="s">
        <v>879</v>
      </c>
      <c r="AC3358" s="5" t="s">
        <v>244</v>
      </c>
      <c r="AD3358" s="5" t="s">
        <v>245</v>
      </c>
      <c r="AE3358" s="5" t="s">
        <v>238</v>
      </c>
      <c r="AF3358" s="5" t="s">
        <v>238</v>
      </c>
      <c r="AG3358" s="5" t="s">
        <v>238</v>
      </c>
      <c r="AH3358" s="5" t="s">
        <v>238</v>
      </c>
      <c r="AI3358" s="5" t="s">
        <v>238</v>
      </c>
      <c r="AJ3358" s="5" t="s">
        <v>238</v>
      </c>
      <c r="AK3358" s="5" t="s">
        <v>238</v>
      </c>
      <c r="AL3358" s="5" t="s">
        <v>238</v>
      </c>
      <c r="AM3358" s="6" t="s">
        <v>238</v>
      </c>
      <c r="AN3358" s="6" t="s">
        <v>238</v>
      </c>
      <c r="AO3358" s="6" t="s">
        <v>238</v>
      </c>
      <c r="AP3358" s="6" t="s">
        <v>238</v>
      </c>
      <c r="AQ3358" s="5" t="s">
        <v>238</v>
      </c>
      <c r="AR3358" s="5" t="s">
        <v>488</v>
      </c>
      <c r="AS3358" s="5" t="s">
        <v>488</v>
      </c>
      <c r="AT3358" s="5" t="s">
        <v>246</v>
      </c>
      <c r="AU3358" s="5" t="s">
        <v>489</v>
      </c>
      <c r="AV3358" s="5" t="s">
        <v>247</v>
      </c>
      <c r="AW3358" s="5" t="s">
        <v>238</v>
      </c>
      <c r="AX3358" s="5" t="s">
        <v>249</v>
      </c>
      <c r="AY3358" s="5" t="s">
        <v>490</v>
      </c>
      <c r="BA3358" s="5" t="s">
        <v>238</v>
      </c>
      <c r="BC3358" s="5" t="s">
        <v>491</v>
      </c>
      <c r="BD3358" s="6" t="s">
        <v>492</v>
      </c>
      <c r="BE3358" s="5" t="s">
        <v>493</v>
      </c>
      <c r="BF3358" s="5" t="s">
        <v>493</v>
      </c>
      <c r="BG3358" s="5" t="s">
        <v>238</v>
      </c>
      <c r="BH3358" s="8">
        <f>1</f>
        <v>1</v>
      </c>
      <c r="BI3358" s="8">
        <f>1</f>
        <v>1</v>
      </c>
      <c r="BJ3358" s="5" t="s">
        <v>253</v>
      </c>
      <c r="BK3358" s="5" t="s">
        <v>254</v>
      </c>
      <c r="BL3358" s="5" t="s">
        <v>238</v>
      </c>
      <c r="BM3358" s="5" t="s">
        <v>238</v>
      </c>
      <c r="BN3358" s="5" t="s">
        <v>238</v>
      </c>
      <c r="BO3358" s="5" t="s">
        <v>238</v>
      </c>
      <c r="BP3358" s="5" t="s">
        <v>238</v>
      </c>
      <c r="BQ3358" s="5" t="s">
        <v>238</v>
      </c>
      <c r="BR3358" s="5" t="s">
        <v>238</v>
      </c>
      <c r="BS3358" s="5" t="s">
        <v>238</v>
      </c>
      <c r="BT3358" s="6" t="s">
        <v>238</v>
      </c>
      <c r="BU3358" s="5" t="s">
        <v>238</v>
      </c>
      <c r="BV3358" s="5" t="s">
        <v>238</v>
      </c>
      <c r="BW3358" s="5" t="s">
        <v>238</v>
      </c>
      <c r="BX3358" s="5" t="s">
        <v>254</v>
      </c>
      <c r="BY3358" s="5" t="s">
        <v>238</v>
      </c>
      <c r="BZ3358" s="5" t="s">
        <v>238</v>
      </c>
      <c r="CA3358" s="5" t="s">
        <v>238</v>
      </c>
      <c r="CB3358" s="5" t="s">
        <v>238</v>
      </c>
      <c r="CC3358" s="5" t="s">
        <v>238</v>
      </c>
      <c r="CD3358" s="5" t="s">
        <v>273</v>
      </c>
      <c r="CE3358" s="5" t="s">
        <v>256</v>
      </c>
      <c r="CF3358" s="5" t="s">
        <v>238</v>
      </c>
      <c r="CH3358" s="5" t="s">
        <v>494</v>
      </c>
      <c r="CI3358" s="6" t="s">
        <v>257</v>
      </c>
      <c r="CJ3358" s="5" t="s">
        <v>495</v>
      </c>
      <c r="CK3358" s="5" t="s">
        <v>258</v>
      </c>
      <c r="CL3358" s="5" t="s">
        <v>496</v>
      </c>
      <c r="CM3358" s="5" t="s">
        <v>238</v>
      </c>
      <c r="CN3358" s="5">
        <v>0</v>
      </c>
      <c r="CO3358" s="5" t="s">
        <v>497</v>
      </c>
      <c r="CP3358" s="5" t="s">
        <v>260</v>
      </c>
      <c r="CQ3358" s="5" t="s">
        <v>260</v>
      </c>
      <c r="CR3358" s="5" t="s">
        <v>261</v>
      </c>
      <c r="CS3358" s="5" t="s">
        <v>498</v>
      </c>
      <c r="CT3358" s="7">
        <f>1</f>
        <v>1</v>
      </c>
      <c r="CU3358" s="8">
        <f>1</f>
        <v>1</v>
      </c>
      <c r="CV3358" s="8">
        <f>0</f>
        <v>0</v>
      </c>
      <c r="CX3358" s="8">
        <f>1</f>
        <v>1</v>
      </c>
      <c r="CY3358" s="8">
        <f>1</f>
        <v>1</v>
      </c>
      <c r="CZ3358" s="8" t="s">
        <v>238</v>
      </c>
      <c r="DA3358" s="5" t="s">
        <v>238</v>
      </c>
      <c r="DB3358" s="5" t="s">
        <v>238</v>
      </c>
      <c r="DC3358" s="5" t="s">
        <v>238</v>
      </c>
      <c r="DD3358" s="5" t="s">
        <v>238</v>
      </c>
      <c r="DE3358" s="8">
        <f>0</f>
        <v>0</v>
      </c>
      <c r="DG3358" s="5" t="s">
        <v>238</v>
      </c>
      <c r="DH3358" s="5" t="s">
        <v>238</v>
      </c>
      <c r="DI3358" s="5" t="s">
        <v>238</v>
      </c>
      <c r="DJ3358" s="5" t="s">
        <v>238</v>
      </c>
      <c r="DK3358" s="5" t="s">
        <v>238</v>
      </c>
      <c r="DL3358" s="5" t="s">
        <v>238</v>
      </c>
      <c r="DM3358" s="8" t="s">
        <v>238</v>
      </c>
      <c r="DN3358" s="5" t="s">
        <v>238</v>
      </c>
      <c r="DO3358" s="5" t="s">
        <v>238</v>
      </c>
      <c r="DP3358" s="5" t="s">
        <v>490</v>
      </c>
      <c r="DQ3358" s="5" t="s">
        <v>490</v>
      </c>
      <c r="DR3358" s="5" t="s">
        <v>238</v>
      </c>
      <c r="DS3358" s="5" t="s">
        <v>238</v>
      </c>
      <c r="DT3358" s="5" t="s">
        <v>881</v>
      </c>
      <c r="DU3358" s="5" t="s">
        <v>776</v>
      </c>
      <c r="DV3358" s="5" t="s">
        <v>238</v>
      </c>
      <c r="DW3358" s="5" t="s">
        <v>238</v>
      </c>
      <c r="DX3358" s="5" t="s">
        <v>238</v>
      </c>
      <c r="DY3358" s="5" t="s">
        <v>238</v>
      </c>
      <c r="DZ3358" s="5" t="s">
        <v>238</v>
      </c>
      <c r="EA3358" s="5" t="s">
        <v>238</v>
      </c>
      <c r="EB3358" s="5" t="s">
        <v>238</v>
      </c>
      <c r="EC3358" s="5" t="s">
        <v>238</v>
      </c>
      <c r="ED3358" s="5" t="s">
        <v>238</v>
      </c>
      <c r="EE3358" s="5" t="s">
        <v>238</v>
      </c>
      <c r="EF3358" s="5" t="s">
        <v>238</v>
      </c>
      <c r="EG3358" s="5" t="s">
        <v>238</v>
      </c>
      <c r="EH3358" s="5" t="s">
        <v>238</v>
      </c>
      <c r="EI3358" s="5" t="s">
        <v>238</v>
      </c>
      <c r="EJ3358" s="5" t="s">
        <v>238</v>
      </c>
      <c r="EK3358" s="5" t="s">
        <v>238</v>
      </c>
      <c r="EL3358" s="5" t="s">
        <v>238</v>
      </c>
      <c r="EM3358" s="5" t="s">
        <v>238</v>
      </c>
      <c r="EN3358" s="5" t="s">
        <v>238</v>
      </c>
      <c r="EO3358" s="5" t="s">
        <v>238</v>
      </c>
      <c r="EP3358" s="5" t="s">
        <v>238</v>
      </c>
      <c r="EQ3358" s="5" t="s">
        <v>238</v>
      </c>
      <c r="ER3358" s="5" t="s">
        <v>238</v>
      </c>
      <c r="ES3358" s="5" t="s">
        <v>238</v>
      </c>
      <c r="ET3358" s="5" t="s">
        <v>238</v>
      </c>
      <c r="EU3358" s="5" t="s">
        <v>238</v>
      </c>
      <c r="EV3358" s="5" t="s">
        <v>238</v>
      </c>
      <c r="EW3358" s="5" t="s">
        <v>238</v>
      </c>
      <c r="EX3358" s="5" t="s">
        <v>238</v>
      </c>
      <c r="EY3358" s="5" t="s">
        <v>238</v>
      </c>
      <c r="EZ3358" s="5" t="s">
        <v>238</v>
      </c>
      <c r="FA3358" s="5" t="s">
        <v>238</v>
      </c>
      <c r="FB3358" s="5" t="s">
        <v>238</v>
      </c>
      <c r="FC3358" s="5" t="s">
        <v>238</v>
      </c>
      <c r="FD3358" s="5" t="s">
        <v>238</v>
      </c>
      <c r="FE3358" s="5" t="s">
        <v>238</v>
      </c>
      <c r="FF3358" s="5" t="s">
        <v>238</v>
      </c>
      <c r="FG3358" s="5" t="s">
        <v>238</v>
      </c>
      <c r="FH3358" s="5" t="s">
        <v>238</v>
      </c>
      <c r="FI3358" s="5" t="s">
        <v>238</v>
      </c>
      <c r="FJ3358" s="5" t="s">
        <v>238</v>
      </c>
      <c r="FK3358" s="5" t="s">
        <v>238</v>
      </c>
      <c r="FL3358" s="5" t="s">
        <v>238</v>
      </c>
      <c r="FM3358" s="5" t="s">
        <v>238</v>
      </c>
      <c r="FN3358" s="5" t="s">
        <v>238</v>
      </c>
      <c r="FO3358" s="5" t="s">
        <v>238</v>
      </c>
      <c r="FP3358" s="5" t="s">
        <v>238</v>
      </c>
      <c r="FQ3358" s="5" t="s">
        <v>238</v>
      </c>
      <c r="FR3358" s="5" t="s">
        <v>238</v>
      </c>
      <c r="FS3358" s="5" t="s">
        <v>238</v>
      </c>
      <c r="FT3358" s="5" t="s">
        <v>238</v>
      </c>
      <c r="FU3358" s="5" t="s">
        <v>238</v>
      </c>
      <c r="FV3358" s="5" t="s">
        <v>238</v>
      </c>
      <c r="FW3358" s="5" t="s">
        <v>238</v>
      </c>
      <c r="FX3358" s="5" t="s">
        <v>238</v>
      </c>
      <c r="FY3358" s="5" t="s">
        <v>238</v>
      </c>
      <c r="FZ3358" s="5" t="s">
        <v>238</v>
      </c>
      <c r="GA3358" s="5" t="s">
        <v>238</v>
      </c>
      <c r="GB3358" s="5" t="s">
        <v>238</v>
      </c>
      <c r="GC3358" s="5" t="s">
        <v>238</v>
      </c>
      <c r="GD3358" s="5" t="s">
        <v>238</v>
      </c>
      <c r="GE3358" s="5" t="s">
        <v>238</v>
      </c>
      <c r="GF3358" s="5" t="s">
        <v>238</v>
      </c>
      <c r="GG3358" s="5" t="s">
        <v>238</v>
      </c>
      <c r="GH3358" s="5" t="s">
        <v>238</v>
      </c>
      <c r="GI3358" s="5" t="s">
        <v>238</v>
      </c>
      <c r="GJ3358" s="5" t="s">
        <v>238</v>
      </c>
      <c r="GK3358" s="5" t="s">
        <v>238</v>
      </c>
      <c r="GL3358" s="5" t="s">
        <v>238</v>
      </c>
      <c r="GM3358" s="5" t="s">
        <v>238</v>
      </c>
      <c r="GN3358" s="5" t="s">
        <v>238</v>
      </c>
      <c r="GO3358" s="5" t="s">
        <v>238</v>
      </c>
      <c r="GP3358" s="5" t="s">
        <v>238</v>
      </c>
      <c r="GQ3358" s="5" t="s">
        <v>238</v>
      </c>
      <c r="GR3358" s="5" t="s">
        <v>238</v>
      </c>
      <c r="GS3358" s="5" t="s">
        <v>238</v>
      </c>
      <c r="GT3358" s="5" t="s">
        <v>238</v>
      </c>
      <c r="GU3358" s="5" t="s">
        <v>238</v>
      </c>
      <c r="GV3358" s="5" t="s">
        <v>238</v>
      </c>
      <c r="GW3358" s="5" t="s">
        <v>238</v>
      </c>
      <c r="GX3358" s="5" t="s">
        <v>238</v>
      </c>
      <c r="GY3358" s="5" t="s">
        <v>238</v>
      </c>
      <c r="GZ3358" s="5" t="s">
        <v>238</v>
      </c>
      <c r="HA3358" s="5" t="s">
        <v>238</v>
      </c>
      <c r="HB3358" s="5" t="s">
        <v>238</v>
      </c>
      <c r="HC3358" s="5" t="s">
        <v>238</v>
      </c>
      <c r="HD3358" s="5" t="s">
        <v>238</v>
      </c>
      <c r="HE3358" s="5" t="s">
        <v>238</v>
      </c>
      <c r="HF3358" s="5" t="s">
        <v>238</v>
      </c>
      <c r="HG3358" s="5" t="s">
        <v>238</v>
      </c>
      <c r="HH3358" s="5" t="s">
        <v>238</v>
      </c>
      <c r="HI3358" s="5" t="s">
        <v>238</v>
      </c>
      <c r="HJ3358" s="5" t="s">
        <v>238</v>
      </c>
      <c r="HK3358" s="5" t="s">
        <v>238</v>
      </c>
      <c r="HL3358" s="5" t="s">
        <v>238</v>
      </c>
      <c r="HM3358" s="5" t="s">
        <v>264</v>
      </c>
      <c r="HN3358" s="5" t="s">
        <v>238</v>
      </c>
      <c r="HO3358" s="5" t="s">
        <v>238</v>
      </c>
      <c r="HP3358" s="5" t="s">
        <v>238</v>
      </c>
      <c r="HQ3358" s="5" t="s">
        <v>238</v>
      </c>
      <c r="HR3358" s="5" t="s">
        <v>238</v>
      </c>
      <c r="HS3358" s="5" t="s">
        <v>238</v>
      </c>
      <c r="HT3358" s="5" t="s">
        <v>238</v>
      </c>
      <c r="HU3358" s="5" t="s">
        <v>238</v>
      </c>
      <c r="HV3358" s="5" t="s">
        <v>238</v>
      </c>
      <c r="HW3358" s="5" t="s">
        <v>238</v>
      </c>
      <c r="HX3358" s="5" t="s">
        <v>238</v>
      </c>
      <c r="HY3358" s="5" t="s">
        <v>238</v>
      </c>
      <c r="HZ3358" s="5" t="s">
        <v>238</v>
      </c>
      <c r="IA3358" s="5" t="s">
        <v>238</v>
      </c>
      <c r="IB3358" s="5" t="s">
        <v>238</v>
      </c>
      <c r="IC3358" s="5" t="s">
        <v>238</v>
      </c>
      <c r="ID3358" s="5" t="s">
        <v>238</v>
      </c>
    </row>
    <row r="3359" spans="1:238" x14ac:dyDescent="0.4">
      <c r="A3359" s="5">
        <v>9077</v>
      </c>
      <c r="B3359" s="5">
        <v>1</v>
      </c>
      <c r="C3359" s="5">
        <v>1</v>
      </c>
      <c r="D3359" s="5" t="s">
        <v>484</v>
      </c>
      <c r="E3359" s="5" t="s">
        <v>878</v>
      </c>
      <c r="F3359" s="5" t="s">
        <v>248</v>
      </c>
      <c r="G3359" s="5" t="s">
        <v>3945</v>
      </c>
      <c r="H3359" s="6" t="s">
        <v>3946</v>
      </c>
      <c r="I3359" s="8">
        <f>1</f>
        <v>1</v>
      </c>
      <c r="J3359" s="5" t="s">
        <v>499</v>
      </c>
      <c r="K3359" s="8">
        <f>1</f>
        <v>1</v>
      </c>
      <c r="L3359" s="6" t="s">
        <v>242</v>
      </c>
      <c r="M3359" s="5" t="s">
        <v>267</v>
      </c>
      <c r="N3359" s="5" t="s">
        <v>482</v>
      </c>
      <c r="O3359" s="5" t="s">
        <v>238</v>
      </c>
      <c r="P3359" s="5" t="s">
        <v>238</v>
      </c>
      <c r="Q3359" s="5" t="s">
        <v>239</v>
      </c>
      <c r="R3359" s="5" t="s">
        <v>270</v>
      </c>
      <c r="S3359" s="5" t="s">
        <v>238</v>
      </c>
      <c r="T3359" s="5" t="s">
        <v>238</v>
      </c>
      <c r="U3359" s="5" t="s">
        <v>238</v>
      </c>
      <c r="V3359" s="5" t="s">
        <v>238</v>
      </c>
      <c r="W3359" s="6" t="s">
        <v>238</v>
      </c>
      <c r="X3359" s="6" t="s">
        <v>238</v>
      </c>
      <c r="Y3359" s="5" t="s">
        <v>238</v>
      </c>
      <c r="Z3359" s="6" t="s">
        <v>238</v>
      </c>
      <c r="AA3359" s="6" t="s">
        <v>243</v>
      </c>
      <c r="AB3359" s="5" t="s">
        <v>879</v>
      </c>
      <c r="AC3359" s="5" t="s">
        <v>244</v>
      </c>
      <c r="AD3359" s="5" t="s">
        <v>245</v>
      </c>
      <c r="AE3359" s="5" t="s">
        <v>238</v>
      </c>
      <c r="AF3359" s="5" t="s">
        <v>238</v>
      </c>
      <c r="AG3359" s="5" t="s">
        <v>238</v>
      </c>
      <c r="AH3359" s="5" t="s">
        <v>238</v>
      </c>
      <c r="AI3359" s="5" t="s">
        <v>238</v>
      </c>
      <c r="AJ3359" s="5" t="s">
        <v>238</v>
      </c>
      <c r="AK3359" s="5" t="s">
        <v>238</v>
      </c>
      <c r="AL3359" s="5" t="s">
        <v>238</v>
      </c>
      <c r="AM3359" s="6" t="s">
        <v>238</v>
      </c>
      <c r="AN3359" s="6" t="s">
        <v>238</v>
      </c>
      <c r="AO3359" s="6" t="s">
        <v>238</v>
      </c>
      <c r="AP3359" s="6" t="s">
        <v>238</v>
      </c>
      <c r="AQ3359" s="5" t="s">
        <v>238</v>
      </c>
      <c r="AR3359" s="5" t="s">
        <v>488</v>
      </c>
      <c r="AS3359" s="5" t="s">
        <v>488</v>
      </c>
      <c r="AT3359" s="5" t="s">
        <v>246</v>
      </c>
      <c r="AU3359" s="5" t="s">
        <v>489</v>
      </c>
      <c r="AV3359" s="5" t="s">
        <v>247</v>
      </c>
      <c r="AW3359" s="5" t="s">
        <v>238</v>
      </c>
      <c r="AX3359" s="5" t="s">
        <v>249</v>
      </c>
      <c r="AY3359" s="5" t="s">
        <v>490</v>
      </c>
      <c r="BA3359" s="5" t="s">
        <v>238</v>
      </c>
      <c r="BC3359" s="5" t="s">
        <v>491</v>
      </c>
      <c r="BD3359" s="6" t="s">
        <v>492</v>
      </c>
      <c r="BE3359" s="5" t="s">
        <v>493</v>
      </c>
      <c r="BF3359" s="5" t="s">
        <v>493</v>
      </c>
      <c r="BG3359" s="5" t="s">
        <v>238</v>
      </c>
      <c r="BH3359" s="8">
        <f>1</f>
        <v>1</v>
      </c>
      <c r="BI3359" s="8">
        <f>1</f>
        <v>1</v>
      </c>
      <c r="BJ3359" s="5" t="s">
        <v>253</v>
      </c>
      <c r="BK3359" s="5" t="s">
        <v>254</v>
      </c>
      <c r="BL3359" s="5" t="s">
        <v>238</v>
      </c>
      <c r="BM3359" s="5" t="s">
        <v>238</v>
      </c>
      <c r="BN3359" s="5" t="s">
        <v>238</v>
      </c>
      <c r="BO3359" s="5" t="s">
        <v>238</v>
      </c>
      <c r="BP3359" s="5" t="s">
        <v>238</v>
      </c>
      <c r="BQ3359" s="5" t="s">
        <v>238</v>
      </c>
      <c r="BR3359" s="5" t="s">
        <v>238</v>
      </c>
      <c r="BS3359" s="5" t="s">
        <v>238</v>
      </c>
      <c r="BT3359" s="6" t="s">
        <v>238</v>
      </c>
      <c r="BU3359" s="5" t="s">
        <v>238</v>
      </c>
      <c r="BV3359" s="5" t="s">
        <v>238</v>
      </c>
      <c r="BW3359" s="5" t="s">
        <v>238</v>
      </c>
      <c r="BX3359" s="5" t="s">
        <v>254</v>
      </c>
      <c r="BY3359" s="5" t="s">
        <v>238</v>
      </c>
      <c r="BZ3359" s="5" t="s">
        <v>238</v>
      </c>
      <c r="CA3359" s="5" t="s">
        <v>238</v>
      </c>
      <c r="CB3359" s="5" t="s">
        <v>238</v>
      </c>
      <c r="CC3359" s="5" t="s">
        <v>238</v>
      </c>
      <c r="CD3359" s="5" t="s">
        <v>273</v>
      </c>
      <c r="CE3359" s="5" t="s">
        <v>256</v>
      </c>
      <c r="CF3359" s="5" t="s">
        <v>238</v>
      </c>
      <c r="CH3359" s="5" t="s">
        <v>494</v>
      </c>
      <c r="CI3359" s="6" t="s">
        <v>257</v>
      </c>
      <c r="CJ3359" s="5" t="s">
        <v>495</v>
      </c>
      <c r="CK3359" s="5" t="s">
        <v>258</v>
      </c>
      <c r="CL3359" s="5" t="s">
        <v>496</v>
      </c>
      <c r="CM3359" s="5" t="s">
        <v>238</v>
      </c>
      <c r="CN3359" s="5">
        <v>0</v>
      </c>
      <c r="CO3359" s="5" t="s">
        <v>497</v>
      </c>
      <c r="CP3359" s="5" t="s">
        <v>260</v>
      </c>
      <c r="CQ3359" s="5" t="s">
        <v>260</v>
      </c>
      <c r="CR3359" s="5" t="s">
        <v>261</v>
      </c>
      <c r="CS3359" s="5" t="s">
        <v>498</v>
      </c>
      <c r="CT3359" s="7">
        <f>1</f>
        <v>1</v>
      </c>
      <c r="CU3359" s="8">
        <f>1</f>
        <v>1</v>
      </c>
      <c r="CV3359" s="8">
        <f>0</f>
        <v>0</v>
      </c>
      <c r="CX3359" s="8">
        <f>1</f>
        <v>1</v>
      </c>
      <c r="CY3359" s="8">
        <f>1</f>
        <v>1</v>
      </c>
      <c r="CZ3359" s="8" t="s">
        <v>238</v>
      </c>
      <c r="DA3359" s="5" t="s">
        <v>238</v>
      </c>
      <c r="DB3359" s="5" t="s">
        <v>238</v>
      </c>
      <c r="DC3359" s="5" t="s">
        <v>238</v>
      </c>
      <c r="DD3359" s="5" t="s">
        <v>238</v>
      </c>
      <c r="DE3359" s="8">
        <f>0</f>
        <v>0</v>
      </c>
      <c r="DG3359" s="5" t="s">
        <v>238</v>
      </c>
      <c r="DH3359" s="5" t="s">
        <v>238</v>
      </c>
      <c r="DI3359" s="5" t="s">
        <v>238</v>
      </c>
      <c r="DJ3359" s="5" t="s">
        <v>238</v>
      </c>
      <c r="DK3359" s="5" t="s">
        <v>238</v>
      </c>
      <c r="DL3359" s="5" t="s">
        <v>238</v>
      </c>
      <c r="DM3359" s="8" t="s">
        <v>238</v>
      </c>
      <c r="DN3359" s="5" t="s">
        <v>238</v>
      </c>
      <c r="DO3359" s="5" t="s">
        <v>238</v>
      </c>
      <c r="DP3359" s="5" t="s">
        <v>490</v>
      </c>
      <c r="DQ3359" s="5" t="s">
        <v>490</v>
      </c>
      <c r="DR3359" s="5" t="s">
        <v>238</v>
      </c>
      <c r="DS3359" s="5" t="s">
        <v>238</v>
      </c>
      <c r="DT3359" s="5" t="s">
        <v>881</v>
      </c>
      <c r="DU3359" s="5" t="s">
        <v>1211</v>
      </c>
      <c r="DV3359" s="5" t="s">
        <v>238</v>
      </c>
      <c r="DW3359" s="5" t="s">
        <v>238</v>
      </c>
      <c r="DX3359" s="5" t="s">
        <v>238</v>
      </c>
      <c r="DY3359" s="5" t="s">
        <v>238</v>
      </c>
      <c r="DZ3359" s="5" t="s">
        <v>238</v>
      </c>
      <c r="EA3359" s="5" t="s">
        <v>238</v>
      </c>
      <c r="EB3359" s="5" t="s">
        <v>238</v>
      </c>
      <c r="EC3359" s="5" t="s">
        <v>238</v>
      </c>
      <c r="ED3359" s="5" t="s">
        <v>238</v>
      </c>
      <c r="EE3359" s="5" t="s">
        <v>238</v>
      </c>
      <c r="EF3359" s="5" t="s">
        <v>238</v>
      </c>
      <c r="EG3359" s="5" t="s">
        <v>238</v>
      </c>
      <c r="EH3359" s="5" t="s">
        <v>238</v>
      </c>
      <c r="EI3359" s="5" t="s">
        <v>238</v>
      </c>
      <c r="EJ3359" s="5" t="s">
        <v>238</v>
      </c>
      <c r="EK3359" s="5" t="s">
        <v>238</v>
      </c>
      <c r="EL3359" s="5" t="s">
        <v>238</v>
      </c>
      <c r="EM3359" s="5" t="s">
        <v>238</v>
      </c>
      <c r="EN3359" s="5" t="s">
        <v>238</v>
      </c>
      <c r="EO3359" s="5" t="s">
        <v>238</v>
      </c>
      <c r="EP3359" s="5" t="s">
        <v>238</v>
      </c>
      <c r="EQ3359" s="5" t="s">
        <v>238</v>
      </c>
      <c r="ER3359" s="5" t="s">
        <v>238</v>
      </c>
      <c r="ES3359" s="5" t="s">
        <v>238</v>
      </c>
      <c r="ET3359" s="5" t="s">
        <v>238</v>
      </c>
      <c r="EU3359" s="5" t="s">
        <v>238</v>
      </c>
      <c r="EV3359" s="5" t="s">
        <v>238</v>
      </c>
      <c r="EW3359" s="5" t="s">
        <v>238</v>
      </c>
      <c r="EX3359" s="5" t="s">
        <v>238</v>
      </c>
      <c r="EY3359" s="5" t="s">
        <v>238</v>
      </c>
      <c r="EZ3359" s="5" t="s">
        <v>238</v>
      </c>
      <c r="FA3359" s="5" t="s">
        <v>238</v>
      </c>
      <c r="FB3359" s="5" t="s">
        <v>238</v>
      </c>
      <c r="FC3359" s="5" t="s">
        <v>238</v>
      </c>
      <c r="FD3359" s="5" t="s">
        <v>238</v>
      </c>
      <c r="FE3359" s="5" t="s">
        <v>238</v>
      </c>
      <c r="FF3359" s="5" t="s">
        <v>238</v>
      </c>
      <c r="FG3359" s="5" t="s">
        <v>238</v>
      </c>
      <c r="FH3359" s="5" t="s">
        <v>238</v>
      </c>
      <c r="FI3359" s="5" t="s">
        <v>238</v>
      </c>
      <c r="FJ3359" s="5" t="s">
        <v>238</v>
      </c>
      <c r="FK3359" s="5" t="s">
        <v>238</v>
      </c>
      <c r="FL3359" s="5" t="s">
        <v>238</v>
      </c>
      <c r="FM3359" s="5" t="s">
        <v>238</v>
      </c>
      <c r="FN3359" s="5" t="s">
        <v>238</v>
      </c>
      <c r="FO3359" s="5" t="s">
        <v>238</v>
      </c>
      <c r="FP3359" s="5" t="s">
        <v>238</v>
      </c>
      <c r="FQ3359" s="5" t="s">
        <v>238</v>
      </c>
      <c r="FR3359" s="5" t="s">
        <v>238</v>
      </c>
      <c r="FS3359" s="5" t="s">
        <v>238</v>
      </c>
      <c r="FT3359" s="5" t="s">
        <v>238</v>
      </c>
      <c r="FU3359" s="5" t="s">
        <v>238</v>
      </c>
      <c r="FV3359" s="5" t="s">
        <v>238</v>
      </c>
      <c r="FW3359" s="5" t="s">
        <v>238</v>
      </c>
      <c r="FX3359" s="5" t="s">
        <v>238</v>
      </c>
      <c r="FY3359" s="5" t="s">
        <v>238</v>
      </c>
      <c r="FZ3359" s="5" t="s">
        <v>238</v>
      </c>
      <c r="GA3359" s="5" t="s">
        <v>238</v>
      </c>
      <c r="GB3359" s="5" t="s">
        <v>238</v>
      </c>
      <c r="GC3359" s="5" t="s">
        <v>238</v>
      </c>
      <c r="GD3359" s="5" t="s">
        <v>238</v>
      </c>
      <c r="GE3359" s="5" t="s">
        <v>238</v>
      </c>
      <c r="GF3359" s="5" t="s">
        <v>238</v>
      </c>
      <c r="GG3359" s="5" t="s">
        <v>238</v>
      </c>
      <c r="GH3359" s="5" t="s">
        <v>238</v>
      </c>
      <c r="GI3359" s="5" t="s">
        <v>238</v>
      </c>
      <c r="GJ3359" s="5" t="s">
        <v>238</v>
      </c>
      <c r="GK3359" s="5" t="s">
        <v>238</v>
      </c>
      <c r="GL3359" s="5" t="s">
        <v>238</v>
      </c>
      <c r="GM3359" s="5" t="s">
        <v>238</v>
      </c>
      <c r="GN3359" s="5" t="s">
        <v>238</v>
      </c>
      <c r="GO3359" s="5" t="s">
        <v>238</v>
      </c>
      <c r="GP3359" s="5" t="s">
        <v>238</v>
      </c>
      <c r="GQ3359" s="5" t="s">
        <v>238</v>
      </c>
      <c r="GR3359" s="5" t="s">
        <v>238</v>
      </c>
      <c r="GS3359" s="5" t="s">
        <v>238</v>
      </c>
      <c r="GT3359" s="5" t="s">
        <v>238</v>
      </c>
      <c r="GU3359" s="5" t="s">
        <v>238</v>
      </c>
      <c r="GV3359" s="5" t="s">
        <v>238</v>
      </c>
      <c r="GW3359" s="5" t="s">
        <v>238</v>
      </c>
      <c r="GX3359" s="5" t="s">
        <v>238</v>
      </c>
      <c r="GY3359" s="5" t="s">
        <v>238</v>
      </c>
      <c r="GZ3359" s="5" t="s">
        <v>238</v>
      </c>
      <c r="HA3359" s="5" t="s">
        <v>238</v>
      </c>
      <c r="HB3359" s="5" t="s">
        <v>238</v>
      </c>
      <c r="HC3359" s="5" t="s">
        <v>238</v>
      </c>
      <c r="HD3359" s="5" t="s">
        <v>238</v>
      </c>
      <c r="HE3359" s="5" t="s">
        <v>238</v>
      </c>
      <c r="HF3359" s="5" t="s">
        <v>238</v>
      </c>
      <c r="HG3359" s="5" t="s">
        <v>238</v>
      </c>
      <c r="HH3359" s="5" t="s">
        <v>238</v>
      </c>
      <c r="HI3359" s="5" t="s">
        <v>238</v>
      </c>
      <c r="HJ3359" s="5" t="s">
        <v>238</v>
      </c>
      <c r="HK3359" s="5" t="s">
        <v>238</v>
      </c>
      <c r="HL3359" s="5" t="s">
        <v>238</v>
      </c>
      <c r="HM3359" s="5" t="s">
        <v>264</v>
      </c>
      <c r="HN3359" s="5" t="s">
        <v>238</v>
      </c>
      <c r="HO3359" s="5" t="s">
        <v>238</v>
      </c>
      <c r="HP3359" s="5" t="s">
        <v>238</v>
      </c>
      <c r="HQ3359" s="5" t="s">
        <v>238</v>
      </c>
      <c r="HR3359" s="5" t="s">
        <v>238</v>
      </c>
      <c r="HS3359" s="5" t="s">
        <v>238</v>
      </c>
      <c r="HT3359" s="5" t="s">
        <v>238</v>
      </c>
      <c r="HU3359" s="5" t="s">
        <v>238</v>
      </c>
      <c r="HV3359" s="5" t="s">
        <v>238</v>
      </c>
      <c r="HW3359" s="5" t="s">
        <v>238</v>
      </c>
      <c r="HX3359" s="5" t="s">
        <v>238</v>
      </c>
      <c r="HY3359" s="5" t="s">
        <v>238</v>
      </c>
      <c r="HZ3359" s="5" t="s">
        <v>238</v>
      </c>
      <c r="IA3359" s="5" t="s">
        <v>238</v>
      </c>
      <c r="IB3359" s="5" t="s">
        <v>238</v>
      </c>
      <c r="IC3359" s="5" t="s">
        <v>238</v>
      </c>
      <c r="ID3359" s="5" t="s">
        <v>238</v>
      </c>
    </row>
    <row r="3360" spans="1:238" x14ac:dyDescent="0.4">
      <c r="A3360" s="5">
        <v>9078</v>
      </c>
      <c r="B3360" s="5">
        <v>1</v>
      </c>
      <c r="C3360" s="5">
        <v>1</v>
      </c>
      <c r="D3360" s="5" t="s">
        <v>484</v>
      </c>
      <c r="E3360" s="5" t="s">
        <v>878</v>
      </c>
      <c r="F3360" s="5" t="s">
        <v>248</v>
      </c>
      <c r="G3360" s="5" t="s">
        <v>5441</v>
      </c>
      <c r="H3360" s="6" t="s">
        <v>5442</v>
      </c>
      <c r="I3360" s="8">
        <f>1</f>
        <v>1</v>
      </c>
      <c r="J3360" s="5" t="s">
        <v>499</v>
      </c>
      <c r="K3360" s="8">
        <f>1</f>
        <v>1</v>
      </c>
      <c r="L3360" s="6" t="s">
        <v>242</v>
      </c>
      <c r="M3360" s="5" t="s">
        <v>267</v>
      </c>
      <c r="N3360" s="5" t="s">
        <v>482</v>
      </c>
      <c r="O3360" s="5" t="s">
        <v>238</v>
      </c>
      <c r="P3360" s="5" t="s">
        <v>238</v>
      </c>
      <c r="Q3360" s="5" t="s">
        <v>239</v>
      </c>
      <c r="R3360" s="5" t="s">
        <v>270</v>
      </c>
      <c r="S3360" s="5" t="s">
        <v>238</v>
      </c>
      <c r="T3360" s="5" t="s">
        <v>238</v>
      </c>
      <c r="U3360" s="5" t="s">
        <v>238</v>
      </c>
      <c r="V3360" s="5" t="s">
        <v>238</v>
      </c>
      <c r="W3360" s="6" t="s">
        <v>238</v>
      </c>
      <c r="X3360" s="6" t="s">
        <v>238</v>
      </c>
      <c r="Y3360" s="5" t="s">
        <v>238</v>
      </c>
      <c r="Z3360" s="6" t="s">
        <v>238</v>
      </c>
      <c r="AA3360" s="6" t="s">
        <v>243</v>
      </c>
      <c r="AB3360" s="5" t="s">
        <v>879</v>
      </c>
      <c r="AC3360" s="5" t="s">
        <v>244</v>
      </c>
      <c r="AD3360" s="5" t="s">
        <v>245</v>
      </c>
      <c r="AE3360" s="5" t="s">
        <v>238</v>
      </c>
      <c r="AF3360" s="5" t="s">
        <v>238</v>
      </c>
      <c r="AG3360" s="5" t="s">
        <v>238</v>
      </c>
      <c r="AH3360" s="5" t="s">
        <v>238</v>
      </c>
      <c r="AI3360" s="5" t="s">
        <v>238</v>
      </c>
      <c r="AJ3360" s="5" t="s">
        <v>238</v>
      </c>
      <c r="AK3360" s="5" t="s">
        <v>238</v>
      </c>
      <c r="AL3360" s="5" t="s">
        <v>238</v>
      </c>
      <c r="AM3360" s="6" t="s">
        <v>238</v>
      </c>
      <c r="AN3360" s="6" t="s">
        <v>238</v>
      </c>
      <c r="AO3360" s="6" t="s">
        <v>238</v>
      </c>
      <c r="AP3360" s="6" t="s">
        <v>238</v>
      </c>
      <c r="AQ3360" s="5" t="s">
        <v>238</v>
      </c>
      <c r="AR3360" s="5" t="s">
        <v>488</v>
      </c>
      <c r="AS3360" s="5" t="s">
        <v>488</v>
      </c>
      <c r="AT3360" s="5" t="s">
        <v>246</v>
      </c>
      <c r="AU3360" s="5" t="s">
        <v>489</v>
      </c>
      <c r="AV3360" s="5" t="s">
        <v>247</v>
      </c>
      <c r="AW3360" s="5" t="s">
        <v>238</v>
      </c>
      <c r="AX3360" s="5" t="s">
        <v>249</v>
      </c>
      <c r="AY3360" s="5" t="s">
        <v>490</v>
      </c>
      <c r="BA3360" s="5" t="s">
        <v>238</v>
      </c>
      <c r="BC3360" s="5" t="s">
        <v>491</v>
      </c>
      <c r="BD3360" s="6" t="s">
        <v>492</v>
      </c>
      <c r="BE3360" s="5" t="s">
        <v>493</v>
      </c>
      <c r="BF3360" s="5" t="s">
        <v>493</v>
      </c>
      <c r="BG3360" s="5" t="s">
        <v>238</v>
      </c>
      <c r="BH3360" s="8">
        <f>1</f>
        <v>1</v>
      </c>
      <c r="BI3360" s="8">
        <f>1</f>
        <v>1</v>
      </c>
      <c r="BJ3360" s="5" t="s">
        <v>253</v>
      </c>
      <c r="BK3360" s="5" t="s">
        <v>254</v>
      </c>
      <c r="BL3360" s="5" t="s">
        <v>238</v>
      </c>
      <c r="BM3360" s="5" t="s">
        <v>238</v>
      </c>
      <c r="BN3360" s="5" t="s">
        <v>238</v>
      </c>
      <c r="BO3360" s="5" t="s">
        <v>238</v>
      </c>
      <c r="BP3360" s="5" t="s">
        <v>238</v>
      </c>
      <c r="BQ3360" s="5" t="s">
        <v>238</v>
      </c>
      <c r="BR3360" s="5" t="s">
        <v>238</v>
      </c>
      <c r="BS3360" s="5" t="s">
        <v>238</v>
      </c>
      <c r="BT3360" s="6" t="s">
        <v>238</v>
      </c>
      <c r="BU3360" s="5" t="s">
        <v>238</v>
      </c>
      <c r="BV3360" s="5" t="s">
        <v>238</v>
      </c>
      <c r="BW3360" s="5" t="s">
        <v>238</v>
      </c>
      <c r="BX3360" s="5" t="s">
        <v>254</v>
      </c>
      <c r="BY3360" s="5" t="s">
        <v>238</v>
      </c>
      <c r="BZ3360" s="5" t="s">
        <v>238</v>
      </c>
      <c r="CA3360" s="5" t="s">
        <v>238</v>
      </c>
      <c r="CB3360" s="5" t="s">
        <v>238</v>
      </c>
      <c r="CC3360" s="5" t="s">
        <v>238</v>
      </c>
      <c r="CD3360" s="5" t="s">
        <v>273</v>
      </c>
      <c r="CE3360" s="5" t="s">
        <v>256</v>
      </c>
      <c r="CF3360" s="5" t="s">
        <v>238</v>
      </c>
      <c r="CH3360" s="5" t="s">
        <v>494</v>
      </c>
      <c r="CI3360" s="6" t="s">
        <v>257</v>
      </c>
      <c r="CJ3360" s="5" t="s">
        <v>495</v>
      </c>
      <c r="CK3360" s="5" t="s">
        <v>258</v>
      </c>
      <c r="CL3360" s="5" t="s">
        <v>496</v>
      </c>
      <c r="CM3360" s="5" t="s">
        <v>238</v>
      </c>
      <c r="CN3360" s="5">
        <v>0</v>
      </c>
      <c r="CO3360" s="5" t="s">
        <v>497</v>
      </c>
      <c r="CP3360" s="5" t="s">
        <v>260</v>
      </c>
      <c r="CQ3360" s="5" t="s">
        <v>260</v>
      </c>
      <c r="CR3360" s="5" t="s">
        <v>261</v>
      </c>
      <c r="CS3360" s="5" t="s">
        <v>498</v>
      </c>
      <c r="CT3360" s="7">
        <f>1</f>
        <v>1</v>
      </c>
      <c r="CU3360" s="8">
        <f>1</f>
        <v>1</v>
      </c>
      <c r="CV3360" s="8">
        <f>0</f>
        <v>0</v>
      </c>
      <c r="CX3360" s="8">
        <f>1</f>
        <v>1</v>
      </c>
      <c r="CY3360" s="8">
        <f>1</f>
        <v>1</v>
      </c>
      <c r="CZ3360" s="8" t="s">
        <v>238</v>
      </c>
      <c r="DA3360" s="5" t="s">
        <v>238</v>
      </c>
      <c r="DB3360" s="5" t="s">
        <v>238</v>
      </c>
      <c r="DC3360" s="5" t="s">
        <v>238</v>
      </c>
      <c r="DD3360" s="5" t="s">
        <v>238</v>
      </c>
      <c r="DE3360" s="8">
        <f>0</f>
        <v>0</v>
      </c>
      <c r="DG3360" s="5" t="s">
        <v>238</v>
      </c>
      <c r="DH3360" s="5" t="s">
        <v>238</v>
      </c>
      <c r="DI3360" s="5" t="s">
        <v>238</v>
      </c>
      <c r="DJ3360" s="5" t="s">
        <v>238</v>
      </c>
      <c r="DK3360" s="5" t="s">
        <v>238</v>
      </c>
      <c r="DL3360" s="5" t="s">
        <v>238</v>
      </c>
      <c r="DM3360" s="8" t="s">
        <v>238</v>
      </c>
      <c r="DN3360" s="5" t="s">
        <v>238</v>
      </c>
      <c r="DO3360" s="5" t="s">
        <v>238</v>
      </c>
      <c r="DP3360" s="5" t="s">
        <v>490</v>
      </c>
      <c r="DQ3360" s="5" t="s">
        <v>490</v>
      </c>
      <c r="DR3360" s="5" t="s">
        <v>238</v>
      </c>
      <c r="DS3360" s="5" t="s">
        <v>238</v>
      </c>
      <c r="DT3360" s="5" t="s">
        <v>881</v>
      </c>
      <c r="DU3360" s="5" t="s">
        <v>1320</v>
      </c>
      <c r="DV3360" s="5" t="s">
        <v>238</v>
      </c>
      <c r="DW3360" s="5" t="s">
        <v>238</v>
      </c>
      <c r="DX3360" s="5" t="s">
        <v>238</v>
      </c>
      <c r="DY3360" s="5" t="s">
        <v>238</v>
      </c>
      <c r="DZ3360" s="5" t="s">
        <v>238</v>
      </c>
      <c r="EA3360" s="5" t="s">
        <v>238</v>
      </c>
      <c r="EB3360" s="5" t="s">
        <v>238</v>
      </c>
      <c r="EC3360" s="5" t="s">
        <v>238</v>
      </c>
      <c r="ED3360" s="5" t="s">
        <v>238</v>
      </c>
      <c r="EE3360" s="5" t="s">
        <v>238</v>
      </c>
      <c r="EF3360" s="5" t="s">
        <v>238</v>
      </c>
      <c r="EG3360" s="5" t="s">
        <v>238</v>
      </c>
      <c r="EH3360" s="5" t="s">
        <v>238</v>
      </c>
      <c r="EI3360" s="5" t="s">
        <v>238</v>
      </c>
      <c r="EJ3360" s="5" t="s">
        <v>238</v>
      </c>
      <c r="EK3360" s="5" t="s">
        <v>238</v>
      </c>
      <c r="EL3360" s="5" t="s">
        <v>238</v>
      </c>
      <c r="EM3360" s="5" t="s">
        <v>238</v>
      </c>
      <c r="EN3360" s="5" t="s">
        <v>238</v>
      </c>
      <c r="EO3360" s="5" t="s">
        <v>238</v>
      </c>
      <c r="EP3360" s="5" t="s">
        <v>238</v>
      </c>
      <c r="EQ3360" s="5" t="s">
        <v>238</v>
      </c>
      <c r="ER3360" s="5" t="s">
        <v>238</v>
      </c>
      <c r="ES3360" s="5" t="s">
        <v>238</v>
      </c>
      <c r="ET3360" s="5" t="s">
        <v>238</v>
      </c>
      <c r="EU3360" s="5" t="s">
        <v>238</v>
      </c>
      <c r="EV3360" s="5" t="s">
        <v>238</v>
      </c>
      <c r="EW3360" s="5" t="s">
        <v>238</v>
      </c>
      <c r="EX3360" s="5" t="s">
        <v>238</v>
      </c>
      <c r="EY3360" s="5" t="s">
        <v>238</v>
      </c>
      <c r="EZ3360" s="5" t="s">
        <v>238</v>
      </c>
      <c r="FA3360" s="5" t="s">
        <v>238</v>
      </c>
      <c r="FB3360" s="5" t="s">
        <v>238</v>
      </c>
      <c r="FC3360" s="5" t="s">
        <v>238</v>
      </c>
      <c r="FD3360" s="5" t="s">
        <v>238</v>
      </c>
      <c r="FE3360" s="5" t="s">
        <v>238</v>
      </c>
      <c r="FF3360" s="5" t="s">
        <v>238</v>
      </c>
      <c r="FG3360" s="5" t="s">
        <v>238</v>
      </c>
      <c r="FH3360" s="5" t="s">
        <v>238</v>
      </c>
      <c r="FI3360" s="5" t="s">
        <v>238</v>
      </c>
      <c r="FJ3360" s="5" t="s">
        <v>238</v>
      </c>
      <c r="FK3360" s="5" t="s">
        <v>238</v>
      </c>
      <c r="FL3360" s="5" t="s">
        <v>238</v>
      </c>
      <c r="FM3360" s="5" t="s">
        <v>238</v>
      </c>
      <c r="FN3360" s="5" t="s">
        <v>238</v>
      </c>
      <c r="FO3360" s="5" t="s">
        <v>238</v>
      </c>
      <c r="FP3360" s="5" t="s">
        <v>238</v>
      </c>
      <c r="FQ3360" s="5" t="s">
        <v>238</v>
      </c>
      <c r="FR3360" s="5" t="s">
        <v>238</v>
      </c>
      <c r="FS3360" s="5" t="s">
        <v>238</v>
      </c>
      <c r="FT3360" s="5" t="s">
        <v>238</v>
      </c>
      <c r="FU3360" s="5" t="s">
        <v>238</v>
      </c>
      <c r="FV3360" s="5" t="s">
        <v>238</v>
      </c>
      <c r="FW3360" s="5" t="s">
        <v>238</v>
      </c>
      <c r="FX3360" s="5" t="s">
        <v>238</v>
      </c>
      <c r="FY3360" s="5" t="s">
        <v>238</v>
      </c>
      <c r="FZ3360" s="5" t="s">
        <v>238</v>
      </c>
      <c r="GA3360" s="5" t="s">
        <v>238</v>
      </c>
      <c r="GB3360" s="5" t="s">
        <v>238</v>
      </c>
      <c r="GC3360" s="5" t="s">
        <v>238</v>
      </c>
      <c r="GD3360" s="5" t="s">
        <v>238</v>
      </c>
      <c r="GE3360" s="5" t="s">
        <v>238</v>
      </c>
      <c r="GF3360" s="5" t="s">
        <v>238</v>
      </c>
      <c r="GG3360" s="5" t="s">
        <v>238</v>
      </c>
      <c r="GH3360" s="5" t="s">
        <v>238</v>
      </c>
      <c r="GI3360" s="5" t="s">
        <v>238</v>
      </c>
      <c r="GJ3360" s="5" t="s">
        <v>238</v>
      </c>
      <c r="GK3360" s="5" t="s">
        <v>238</v>
      </c>
      <c r="GL3360" s="5" t="s">
        <v>238</v>
      </c>
      <c r="GM3360" s="5" t="s">
        <v>238</v>
      </c>
      <c r="GN3360" s="5" t="s">
        <v>238</v>
      </c>
      <c r="GO3360" s="5" t="s">
        <v>238</v>
      </c>
      <c r="GP3360" s="5" t="s">
        <v>238</v>
      </c>
      <c r="GQ3360" s="5" t="s">
        <v>238</v>
      </c>
      <c r="GR3360" s="5" t="s">
        <v>238</v>
      </c>
      <c r="GS3360" s="5" t="s">
        <v>238</v>
      </c>
      <c r="GT3360" s="5" t="s">
        <v>238</v>
      </c>
      <c r="GU3360" s="5" t="s">
        <v>238</v>
      </c>
      <c r="GV3360" s="5" t="s">
        <v>238</v>
      </c>
      <c r="GW3360" s="5" t="s">
        <v>238</v>
      </c>
      <c r="GX3360" s="5" t="s">
        <v>238</v>
      </c>
      <c r="GY3360" s="5" t="s">
        <v>238</v>
      </c>
      <c r="GZ3360" s="5" t="s">
        <v>238</v>
      </c>
      <c r="HA3360" s="5" t="s">
        <v>238</v>
      </c>
      <c r="HB3360" s="5" t="s">
        <v>238</v>
      </c>
      <c r="HC3360" s="5" t="s">
        <v>238</v>
      </c>
      <c r="HD3360" s="5" t="s">
        <v>238</v>
      </c>
      <c r="HE3360" s="5" t="s">
        <v>238</v>
      </c>
      <c r="HF3360" s="5" t="s">
        <v>238</v>
      </c>
      <c r="HG3360" s="5" t="s">
        <v>238</v>
      </c>
      <c r="HH3360" s="5" t="s">
        <v>238</v>
      </c>
      <c r="HI3360" s="5" t="s">
        <v>238</v>
      </c>
      <c r="HJ3360" s="5" t="s">
        <v>238</v>
      </c>
      <c r="HK3360" s="5" t="s">
        <v>238</v>
      </c>
      <c r="HL3360" s="5" t="s">
        <v>238</v>
      </c>
      <c r="HM3360" s="5" t="s">
        <v>264</v>
      </c>
      <c r="HN3360" s="5" t="s">
        <v>238</v>
      </c>
      <c r="HO3360" s="5" t="s">
        <v>238</v>
      </c>
      <c r="HP3360" s="5" t="s">
        <v>238</v>
      </c>
      <c r="HQ3360" s="5" t="s">
        <v>238</v>
      </c>
      <c r="HR3360" s="5" t="s">
        <v>238</v>
      </c>
      <c r="HS3360" s="5" t="s">
        <v>238</v>
      </c>
      <c r="HT3360" s="5" t="s">
        <v>238</v>
      </c>
      <c r="HU3360" s="5" t="s">
        <v>238</v>
      </c>
      <c r="HV3360" s="5" t="s">
        <v>238</v>
      </c>
      <c r="HW3360" s="5" t="s">
        <v>238</v>
      </c>
      <c r="HX3360" s="5" t="s">
        <v>238</v>
      </c>
      <c r="HY3360" s="5" t="s">
        <v>238</v>
      </c>
      <c r="HZ3360" s="5" t="s">
        <v>238</v>
      </c>
      <c r="IA3360" s="5" t="s">
        <v>238</v>
      </c>
      <c r="IB3360" s="5" t="s">
        <v>238</v>
      </c>
      <c r="IC3360" s="5" t="s">
        <v>238</v>
      </c>
      <c r="ID3360" s="5" t="s">
        <v>238</v>
      </c>
    </row>
    <row r="3361" spans="1:238" x14ac:dyDescent="0.4">
      <c r="A3361" s="5">
        <v>9079</v>
      </c>
      <c r="B3361" s="5">
        <v>1</v>
      </c>
      <c r="C3361" s="5">
        <v>1</v>
      </c>
      <c r="D3361" s="5" t="s">
        <v>484</v>
      </c>
      <c r="E3361" s="5" t="s">
        <v>878</v>
      </c>
      <c r="F3361" s="5" t="s">
        <v>248</v>
      </c>
      <c r="G3361" s="5" t="s">
        <v>3907</v>
      </c>
      <c r="H3361" s="6" t="s">
        <v>3908</v>
      </c>
      <c r="I3361" s="8">
        <f>1</f>
        <v>1</v>
      </c>
      <c r="J3361" s="5" t="s">
        <v>499</v>
      </c>
      <c r="K3361" s="8">
        <f>1</f>
        <v>1</v>
      </c>
      <c r="L3361" s="6" t="s">
        <v>242</v>
      </c>
      <c r="M3361" s="5" t="s">
        <v>267</v>
      </c>
      <c r="N3361" s="5" t="s">
        <v>482</v>
      </c>
      <c r="O3361" s="5" t="s">
        <v>238</v>
      </c>
      <c r="P3361" s="5" t="s">
        <v>238</v>
      </c>
      <c r="Q3361" s="5" t="s">
        <v>239</v>
      </c>
      <c r="R3361" s="5" t="s">
        <v>270</v>
      </c>
      <c r="S3361" s="5" t="s">
        <v>238</v>
      </c>
      <c r="T3361" s="5" t="s">
        <v>238</v>
      </c>
      <c r="U3361" s="5" t="s">
        <v>238</v>
      </c>
      <c r="V3361" s="5" t="s">
        <v>238</v>
      </c>
      <c r="W3361" s="6" t="s">
        <v>238</v>
      </c>
      <c r="X3361" s="6" t="s">
        <v>238</v>
      </c>
      <c r="Y3361" s="5" t="s">
        <v>238</v>
      </c>
      <c r="Z3361" s="6" t="s">
        <v>238</v>
      </c>
      <c r="AA3361" s="6" t="s">
        <v>243</v>
      </c>
      <c r="AB3361" s="5" t="s">
        <v>879</v>
      </c>
      <c r="AC3361" s="5" t="s">
        <v>244</v>
      </c>
      <c r="AD3361" s="5" t="s">
        <v>245</v>
      </c>
      <c r="AE3361" s="5" t="s">
        <v>238</v>
      </c>
      <c r="AF3361" s="5" t="s">
        <v>238</v>
      </c>
      <c r="AG3361" s="5" t="s">
        <v>238</v>
      </c>
      <c r="AH3361" s="5" t="s">
        <v>238</v>
      </c>
      <c r="AI3361" s="5" t="s">
        <v>238</v>
      </c>
      <c r="AJ3361" s="5" t="s">
        <v>238</v>
      </c>
      <c r="AK3361" s="5" t="s">
        <v>238</v>
      </c>
      <c r="AL3361" s="5" t="s">
        <v>238</v>
      </c>
      <c r="AM3361" s="6" t="s">
        <v>238</v>
      </c>
      <c r="AN3361" s="6" t="s">
        <v>238</v>
      </c>
      <c r="AO3361" s="6" t="s">
        <v>238</v>
      </c>
      <c r="AP3361" s="6" t="s">
        <v>238</v>
      </c>
      <c r="AQ3361" s="5" t="s">
        <v>238</v>
      </c>
      <c r="AR3361" s="5" t="s">
        <v>488</v>
      </c>
      <c r="AS3361" s="5" t="s">
        <v>488</v>
      </c>
      <c r="AT3361" s="5" t="s">
        <v>246</v>
      </c>
      <c r="AU3361" s="5" t="s">
        <v>489</v>
      </c>
      <c r="AV3361" s="5" t="s">
        <v>247</v>
      </c>
      <c r="AW3361" s="5" t="s">
        <v>238</v>
      </c>
      <c r="AX3361" s="5" t="s">
        <v>249</v>
      </c>
      <c r="AY3361" s="5" t="s">
        <v>490</v>
      </c>
      <c r="BA3361" s="5" t="s">
        <v>238</v>
      </c>
      <c r="BC3361" s="5" t="s">
        <v>491</v>
      </c>
      <c r="BD3361" s="6" t="s">
        <v>492</v>
      </c>
      <c r="BE3361" s="5" t="s">
        <v>493</v>
      </c>
      <c r="BF3361" s="5" t="s">
        <v>493</v>
      </c>
      <c r="BG3361" s="5" t="s">
        <v>238</v>
      </c>
      <c r="BH3361" s="8">
        <f>1</f>
        <v>1</v>
      </c>
      <c r="BI3361" s="8">
        <f>1</f>
        <v>1</v>
      </c>
      <c r="BJ3361" s="5" t="s">
        <v>253</v>
      </c>
      <c r="BK3361" s="5" t="s">
        <v>254</v>
      </c>
      <c r="BL3361" s="5" t="s">
        <v>238</v>
      </c>
      <c r="BM3361" s="5" t="s">
        <v>238</v>
      </c>
      <c r="BN3361" s="5" t="s">
        <v>238</v>
      </c>
      <c r="BO3361" s="5" t="s">
        <v>238</v>
      </c>
      <c r="BP3361" s="5" t="s">
        <v>238</v>
      </c>
      <c r="BQ3361" s="5" t="s">
        <v>238</v>
      </c>
      <c r="BR3361" s="5" t="s">
        <v>238</v>
      </c>
      <c r="BS3361" s="5" t="s">
        <v>238</v>
      </c>
      <c r="BT3361" s="6" t="s">
        <v>238</v>
      </c>
      <c r="BU3361" s="5" t="s">
        <v>238</v>
      </c>
      <c r="BV3361" s="5" t="s">
        <v>238</v>
      </c>
      <c r="BW3361" s="5" t="s">
        <v>238</v>
      </c>
      <c r="BX3361" s="5" t="s">
        <v>254</v>
      </c>
      <c r="BY3361" s="5" t="s">
        <v>238</v>
      </c>
      <c r="BZ3361" s="5" t="s">
        <v>238</v>
      </c>
      <c r="CA3361" s="5" t="s">
        <v>238</v>
      </c>
      <c r="CB3361" s="5" t="s">
        <v>238</v>
      </c>
      <c r="CC3361" s="5" t="s">
        <v>238</v>
      </c>
      <c r="CD3361" s="5" t="s">
        <v>273</v>
      </c>
      <c r="CE3361" s="5" t="s">
        <v>256</v>
      </c>
      <c r="CF3361" s="5" t="s">
        <v>238</v>
      </c>
      <c r="CH3361" s="5" t="s">
        <v>494</v>
      </c>
      <c r="CI3361" s="6" t="s">
        <v>257</v>
      </c>
      <c r="CJ3361" s="5" t="s">
        <v>495</v>
      </c>
      <c r="CK3361" s="5" t="s">
        <v>258</v>
      </c>
      <c r="CL3361" s="5" t="s">
        <v>496</v>
      </c>
      <c r="CM3361" s="5" t="s">
        <v>238</v>
      </c>
      <c r="CN3361" s="5">
        <v>0</v>
      </c>
      <c r="CO3361" s="5" t="s">
        <v>497</v>
      </c>
      <c r="CP3361" s="5" t="s">
        <v>260</v>
      </c>
      <c r="CQ3361" s="5" t="s">
        <v>260</v>
      </c>
      <c r="CR3361" s="5" t="s">
        <v>261</v>
      </c>
      <c r="CS3361" s="5" t="s">
        <v>498</v>
      </c>
      <c r="CT3361" s="7">
        <f>1</f>
        <v>1</v>
      </c>
      <c r="CU3361" s="8">
        <f>1</f>
        <v>1</v>
      </c>
      <c r="CV3361" s="8">
        <f>0</f>
        <v>0</v>
      </c>
      <c r="CX3361" s="8">
        <f>1</f>
        <v>1</v>
      </c>
      <c r="CY3361" s="8">
        <f>1</f>
        <v>1</v>
      </c>
      <c r="CZ3361" s="8" t="s">
        <v>238</v>
      </c>
      <c r="DA3361" s="5" t="s">
        <v>238</v>
      </c>
      <c r="DB3361" s="5" t="s">
        <v>238</v>
      </c>
      <c r="DC3361" s="5" t="s">
        <v>238</v>
      </c>
      <c r="DD3361" s="5" t="s">
        <v>238</v>
      </c>
      <c r="DE3361" s="8">
        <f>0</f>
        <v>0</v>
      </c>
      <c r="DG3361" s="5" t="s">
        <v>238</v>
      </c>
      <c r="DH3361" s="5" t="s">
        <v>238</v>
      </c>
      <c r="DI3361" s="5" t="s">
        <v>238</v>
      </c>
      <c r="DJ3361" s="5" t="s">
        <v>238</v>
      </c>
      <c r="DK3361" s="5" t="s">
        <v>238</v>
      </c>
      <c r="DL3361" s="5" t="s">
        <v>238</v>
      </c>
      <c r="DM3361" s="8" t="s">
        <v>238</v>
      </c>
      <c r="DN3361" s="5" t="s">
        <v>238</v>
      </c>
      <c r="DO3361" s="5" t="s">
        <v>238</v>
      </c>
      <c r="DP3361" s="5" t="s">
        <v>490</v>
      </c>
      <c r="DQ3361" s="5" t="s">
        <v>490</v>
      </c>
      <c r="DR3361" s="5" t="s">
        <v>238</v>
      </c>
      <c r="DS3361" s="5" t="s">
        <v>238</v>
      </c>
      <c r="DT3361" s="5" t="s">
        <v>881</v>
      </c>
      <c r="DU3361" s="5" t="s">
        <v>1126</v>
      </c>
      <c r="DV3361" s="5" t="s">
        <v>238</v>
      </c>
      <c r="DW3361" s="5" t="s">
        <v>238</v>
      </c>
      <c r="DX3361" s="5" t="s">
        <v>238</v>
      </c>
      <c r="DY3361" s="5" t="s">
        <v>238</v>
      </c>
      <c r="DZ3361" s="5" t="s">
        <v>238</v>
      </c>
      <c r="EA3361" s="5" t="s">
        <v>238</v>
      </c>
      <c r="EB3361" s="5" t="s">
        <v>238</v>
      </c>
      <c r="EC3361" s="5" t="s">
        <v>238</v>
      </c>
      <c r="ED3361" s="5" t="s">
        <v>238</v>
      </c>
      <c r="EE3361" s="5" t="s">
        <v>238</v>
      </c>
      <c r="EF3361" s="5" t="s">
        <v>238</v>
      </c>
      <c r="EG3361" s="5" t="s">
        <v>238</v>
      </c>
      <c r="EH3361" s="5" t="s">
        <v>238</v>
      </c>
      <c r="EI3361" s="5" t="s">
        <v>238</v>
      </c>
      <c r="EJ3361" s="5" t="s">
        <v>238</v>
      </c>
      <c r="EK3361" s="5" t="s">
        <v>238</v>
      </c>
      <c r="EL3361" s="5" t="s">
        <v>238</v>
      </c>
      <c r="EM3361" s="5" t="s">
        <v>238</v>
      </c>
      <c r="EN3361" s="5" t="s">
        <v>238</v>
      </c>
      <c r="EO3361" s="5" t="s">
        <v>238</v>
      </c>
      <c r="EP3361" s="5" t="s">
        <v>238</v>
      </c>
      <c r="EQ3361" s="5" t="s">
        <v>238</v>
      </c>
      <c r="ER3361" s="5" t="s">
        <v>238</v>
      </c>
      <c r="ES3361" s="5" t="s">
        <v>238</v>
      </c>
      <c r="ET3361" s="5" t="s">
        <v>238</v>
      </c>
      <c r="EU3361" s="5" t="s">
        <v>238</v>
      </c>
      <c r="EV3361" s="5" t="s">
        <v>238</v>
      </c>
      <c r="EW3361" s="5" t="s">
        <v>238</v>
      </c>
      <c r="EX3361" s="5" t="s">
        <v>238</v>
      </c>
      <c r="EY3361" s="5" t="s">
        <v>238</v>
      </c>
      <c r="EZ3361" s="5" t="s">
        <v>238</v>
      </c>
      <c r="FA3361" s="5" t="s">
        <v>238</v>
      </c>
      <c r="FB3361" s="5" t="s">
        <v>238</v>
      </c>
      <c r="FC3361" s="5" t="s">
        <v>238</v>
      </c>
      <c r="FD3361" s="5" t="s">
        <v>238</v>
      </c>
      <c r="FE3361" s="5" t="s">
        <v>238</v>
      </c>
      <c r="FF3361" s="5" t="s">
        <v>238</v>
      </c>
      <c r="FG3361" s="5" t="s">
        <v>238</v>
      </c>
      <c r="FH3361" s="5" t="s">
        <v>238</v>
      </c>
      <c r="FI3361" s="5" t="s">
        <v>238</v>
      </c>
      <c r="FJ3361" s="5" t="s">
        <v>238</v>
      </c>
      <c r="FK3361" s="5" t="s">
        <v>238</v>
      </c>
      <c r="FL3361" s="5" t="s">
        <v>238</v>
      </c>
      <c r="FM3361" s="5" t="s">
        <v>238</v>
      </c>
      <c r="FN3361" s="5" t="s">
        <v>238</v>
      </c>
      <c r="FO3361" s="5" t="s">
        <v>238</v>
      </c>
      <c r="FP3361" s="5" t="s">
        <v>238</v>
      </c>
      <c r="FQ3361" s="5" t="s">
        <v>238</v>
      </c>
      <c r="FR3361" s="5" t="s">
        <v>238</v>
      </c>
      <c r="FS3361" s="5" t="s">
        <v>238</v>
      </c>
      <c r="FT3361" s="5" t="s">
        <v>238</v>
      </c>
      <c r="FU3361" s="5" t="s">
        <v>238</v>
      </c>
      <c r="FV3361" s="5" t="s">
        <v>238</v>
      </c>
      <c r="FW3361" s="5" t="s">
        <v>238</v>
      </c>
      <c r="FX3361" s="5" t="s">
        <v>238</v>
      </c>
      <c r="FY3361" s="5" t="s">
        <v>238</v>
      </c>
      <c r="FZ3361" s="5" t="s">
        <v>238</v>
      </c>
      <c r="GA3361" s="5" t="s">
        <v>238</v>
      </c>
      <c r="GB3361" s="5" t="s">
        <v>238</v>
      </c>
      <c r="GC3361" s="5" t="s">
        <v>238</v>
      </c>
      <c r="GD3361" s="5" t="s">
        <v>238</v>
      </c>
      <c r="GE3361" s="5" t="s">
        <v>238</v>
      </c>
      <c r="GF3361" s="5" t="s">
        <v>238</v>
      </c>
      <c r="GG3361" s="5" t="s">
        <v>238</v>
      </c>
      <c r="GH3361" s="5" t="s">
        <v>238</v>
      </c>
      <c r="GI3361" s="5" t="s">
        <v>238</v>
      </c>
      <c r="GJ3361" s="5" t="s">
        <v>238</v>
      </c>
      <c r="GK3361" s="5" t="s">
        <v>238</v>
      </c>
      <c r="GL3361" s="5" t="s">
        <v>238</v>
      </c>
      <c r="GM3361" s="5" t="s">
        <v>238</v>
      </c>
      <c r="GN3361" s="5" t="s">
        <v>238</v>
      </c>
      <c r="GO3361" s="5" t="s">
        <v>238</v>
      </c>
      <c r="GP3361" s="5" t="s">
        <v>238</v>
      </c>
      <c r="GQ3361" s="5" t="s">
        <v>238</v>
      </c>
      <c r="GR3361" s="5" t="s">
        <v>238</v>
      </c>
      <c r="GS3361" s="5" t="s">
        <v>238</v>
      </c>
      <c r="GT3361" s="5" t="s">
        <v>238</v>
      </c>
      <c r="GU3361" s="5" t="s">
        <v>238</v>
      </c>
      <c r="GV3361" s="5" t="s">
        <v>238</v>
      </c>
      <c r="GW3361" s="5" t="s">
        <v>238</v>
      </c>
      <c r="GX3361" s="5" t="s">
        <v>238</v>
      </c>
      <c r="GY3361" s="5" t="s">
        <v>238</v>
      </c>
      <c r="GZ3361" s="5" t="s">
        <v>238</v>
      </c>
      <c r="HA3361" s="5" t="s">
        <v>238</v>
      </c>
      <c r="HB3361" s="5" t="s">
        <v>238</v>
      </c>
      <c r="HC3361" s="5" t="s">
        <v>238</v>
      </c>
      <c r="HD3361" s="5" t="s">
        <v>238</v>
      </c>
      <c r="HE3361" s="5" t="s">
        <v>238</v>
      </c>
      <c r="HF3361" s="5" t="s">
        <v>238</v>
      </c>
      <c r="HG3361" s="5" t="s">
        <v>238</v>
      </c>
      <c r="HH3361" s="5" t="s">
        <v>238</v>
      </c>
      <c r="HI3361" s="5" t="s">
        <v>238</v>
      </c>
      <c r="HJ3361" s="5" t="s">
        <v>238</v>
      </c>
      <c r="HK3361" s="5" t="s">
        <v>238</v>
      </c>
      <c r="HL3361" s="5" t="s">
        <v>238</v>
      </c>
      <c r="HM3361" s="5" t="s">
        <v>264</v>
      </c>
      <c r="HN3361" s="5" t="s">
        <v>238</v>
      </c>
      <c r="HO3361" s="5" t="s">
        <v>238</v>
      </c>
      <c r="HP3361" s="5" t="s">
        <v>238</v>
      </c>
      <c r="HQ3361" s="5" t="s">
        <v>238</v>
      </c>
      <c r="HR3361" s="5" t="s">
        <v>238</v>
      </c>
      <c r="HS3361" s="5" t="s">
        <v>238</v>
      </c>
      <c r="HT3361" s="5" t="s">
        <v>238</v>
      </c>
      <c r="HU3361" s="5" t="s">
        <v>238</v>
      </c>
      <c r="HV3361" s="5" t="s">
        <v>238</v>
      </c>
      <c r="HW3361" s="5" t="s">
        <v>238</v>
      </c>
      <c r="HX3361" s="5" t="s">
        <v>238</v>
      </c>
      <c r="HY3361" s="5" t="s">
        <v>238</v>
      </c>
      <c r="HZ3361" s="5" t="s">
        <v>238</v>
      </c>
      <c r="IA3361" s="5" t="s">
        <v>238</v>
      </c>
      <c r="IB3361" s="5" t="s">
        <v>238</v>
      </c>
      <c r="IC3361" s="5" t="s">
        <v>238</v>
      </c>
      <c r="ID3361" s="5" t="s">
        <v>238</v>
      </c>
    </row>
    <row r="3362" spans="1:238" x14ac:dyDescent="0.4">
      <c r="A3362" s="5">
        <v>9080</v>
      </c>
      <c r="B3362" s="5">
        <v>1</v>
      </c>
      <c r="C3362" s="5">
        <v>1</v>
      </c>
      <c r="D3362" s="5" t="s">
        <v>484</v>
      </c>
      <c r="E3362" s="5" t="s">
        <v>878</v>
      </c>
      <c r="F3362" s="5" t="s">
        <v>248</v>
      </c>
      <c r="G3362" s="5" t="s">
        <v>4748</v>
      </c>
      <c r="H3362" s="6" t="s">
        <v>4749</v>
      </c>
      <c r="I3362" s="8">
        <f>1</f>
        <v>1</v>
      </c>
      <c r="J3362" s="5" t="s">
        <v>499</v>
      </c>
      <c r="K3362" s="8">
        <f>1</f>
        <v>1</v>
      </c>
      <c r="L3362" s="6" t="s">
        <v>242</v>
      </c>
      <c r="M3362" s="5" t="s">
        <v>267</v>
      </c>
      <c r="N3362" s="5" t="s">
        <v>482</v>
      </c>
      <c r="O3362" s="5" t="s">
        <v>238</v>
      </c>
      <c r="P3362" s="5" t="s">
        <v>238</v>
      </c>
      <c r="Q3362" s="5" t="s">
        <v>239</v>
      </c>
      <c r="R3362" s="5" t="s">
        <v>270</v>
      </c>
      <c r="S3362" s="5" t="s">
        <v>238</v>
      </c>
      <c r="T3362" s="5" t="s">
        <v>238</v>
      </c>
      <c r="U3362" s="5" t="s">
        <v>238</v>
      </c>
      <c r="V3362" s="5" t="s">
        <v>238</v>
      </c>
      <c r="W3362" s="6" t="s">
        <v>238</v>
      </c>
      <c r="X3362" s="6" t="s">
        <v>238</v>
      </c>
      <c r="Y3362" s="5" t="s">
        <v>238</v>
      </c>
      <c r="Z3362" s="6" t="s">
        <v>238</v>
      </c>
      <c r="AA3362" s="6" t="s">
        <v>243</v>
      </c>
      <c r="AB3362" s="5" t="s">
        <v>879</v>
      </c>
      <c r="AC3362" s="5" t="s">
        <v>244</v>
      </c>
      <c r="AD3362" s="5" t="s">
        <v>245</v>
      </c>
      <c r="AE3362" s="5" t="s">
        <v>238</v>
      </c>
      <c r="AF3362" s="5" t="s">
        <v>238</v>
      </c>
      <c r="AG3362" s="5" t="s">
        <v>238</v>
      </c>
      <c r="AH3362" s="5" t="s">
        <v>238</v>
      </c>
      <c r="AI3362" s="5" t="s">
        <v>238</v>
      </c>
      <c r="AJ3362" s="5" t="s">
        <v>238</v>
      </c>
      <c r="AK3362" s="5" t="s">
        <v>238</v>
      </c>
      <c r="AL3362" s="5" t="s">
        <v>238</v>
      </c>
      <c r="AM3362" s="6" t="s">
        <v>238</v>
      </c>
      <c r="AN3362" s="6" t="s">
        <v>238</v>
      </c>
      <c r="AO3362" s="6" t="s">
        <v>238</v>
      </c>
      <c r="AP3362" s="6" t="s">
        <v>238</v>
      </c>
      <c r="AQ3362" s="5" t="s">
        <v>238</v>
      </c>
      <c r="AR3362" s="5" t="s">
        <v>488</v>
      </c>
      <c r="AS3362" s="5" t="s">
        <v>488</v>
      </c>
      <c r="AT3362" s="5" t="s">
        <v>246</v>
      </c>
      <c r="AU3362" s="5" t="s">
        <v>489</v>
      </c>
      <c r="AV3362" s="5" t="s">
        <v>247</v>
      </c>
      <c r="AW3362" s="5" t="s">
        <v>238</v>
      </c>
      <c r="AX3362" s="5" t="s">
        <v>249</v>
      </c>
      <c r="AY3362" s="5" t="s">
        <v>490</v>
      </c>
      <c r="BA3362" s="5" t="s">
        <v>238</v>
      </c>
      <c r="BC3362" s="5" t="s">
        <v>491</v>
      </c>
      <c r="BD3362" s="6" t="s">
        <v>492</v>
      </c>
      <c r="BE3362" s="5" t="s">
        <v>493</v>
      </c>
      <c r="BF3362" s="5" t="s">
        <v>493</v>
      </c>
      <c r="BG3362" s="5" t="s">
        <v>238</v>
      </c>
      <c r="BH3362" s="8">
        <f>1</f>
        <v>1</v>
      </c>
      <c r="BI3362" s="8">
        <f>1</f>
        <v>1</v>
      </c>
      <c r="BJ3362" s="5" t="s">
        <v>253</v>
      </c>
      <c r="BK3362" s="5" t="s">
        <v>254</v>
      </c>
      <c r="BL3362" s="5" t="s">
        <v>238</v>
      </c>
      <c r="BM3362" s="5" t="s">
        <v>238</v>
      </c>
      <c r="BN3362" s="5" t="s">
        <v>238</v>
      </c>
      <c r="BO3362" s="5" t="s">
        <v>238</v>
      </c>
      <c r="BP3362" s="5" t="s">
        <v>238</v>
      </c>
      <c r="BQ3362" s="5" t="s">
        <v>238</v>
      </c>
      <c r="BR3362" s="5" t="s">
        <v>238</v>
      </c>
      <c r="BS3362" s="5" t="s">
        <v>238</v>
      </c>
      <c r="BT3362" s="6" t="s">
        <v>238</v>
      </c>
      <c r="BU3362" s="5" t="s">
        <v>238</v>
      </c>
      <c r="BV3362" s="5" t="s">
        <v>238</v>
      </c>
      <c r="BW3362" s="5" t="s">
        <v>238</v>
      </c>
      <c r="BX3362" s="5" t="s">
        <v>254</v>
      </c>
      <c r="BY3362" s="5" t="s">
        <v>238</v>
      </c>
      <c r="BZ3362" s="5" t="s">
        <v>238</v>
      </c>
      <c r="CA3362" s="5" t="s">
        <v>238</v>
      </c>
      <c r="CB3362" s="5" t="s">
        <v>238</v>
      </c>
      <c r="CC3362" s="5" t="s">
        <v>238</v>
      </c>
      <c r="CD3362" s="5" t="s">
        <v>273</v>
      </c>
      <c r="CE3362" s="5" t="s">
        <v>256</v>
      </c>
      <c r="CF3362" s="5" t="s">
        <v>238</v>
      </c>
      <c r="CH3362" s="5" t="s">
        <v>494</v>
      </c>
      <c r="CI3362" s="6" t="s">
        <v>257</v>
      </c>
      <c r="CJ3362" s="5" t="s">
        <v>495</v>
      </c>
      <c r="CK3362" s="5" t="s">
        <v>258</v>
      </c>
      <c r="CL3362" s="5" t="s">
        <v>496</v>
      </c>
      <c r="CM3362" s="5" t="s">
        <v>238</v>
      </c>
      <c r="CN3362" s="5">
        <v>0</v>
      </c>
      <c r="CO3362" s="5" t="s">
        <v>497</v>
      </c>
      <c r="CP3362" s="5" t="s">
        <v>260</v>
      </c>
      <c r="CQ3362" s="5" t="s">
        <v>260</v>
      </c>
      <c r="CR3362" s="5" t="s">
        <v>261</v>
      </c>
      <c r="CS3362" s="5" t="s">
        <v>498</v>
      </c>
      <c r="CT3362" s="7">
        <f>1</f>
        <v>1</v>
      </c>
      <c r="CU3362" s="8">
        <f>1</f>
        <v>1</v>
      </c>
      <c r="CV3362" s="8">
        <f>0</f>
        <v>0</v>
      </c>
      <c r="CX3362" s="8">
        <f>1</f>
        <v>1</v>
      </c>
      <c r="CY3362" s="8">
        <f>1</f>
        <v>1</v>
      </c>
      <c r="CZ3362" s="8" t="s">
        <v>238</v>
      </c>
      <c r="DA3362" s="5" t="s">
        <v>238</v>
      </c>
      <c r="DB3362" s="5" t="s">
        <v>238</v>
      </c>
      <c r="DC3362" s="5" t="s">
        <v>238</v>
      </c>
      <c r="DD3362" s="5" t="s">
        <v>238</v>
      </c>
      <c r="DE3362" s="8">
        <f>0</f>
        <v>0</v>
      </c>
      <c r="DG3362" s="5" t="s">
        <v>238</v>
      </c>
      <c r="DH3362" s="5" t="s">
        <v>238</v>
      </c>
      <c r="DI3362" s="5" t="s">
        <v>238</v>
      </c>
      <c r="DJ3362" s="5" t="s">
        <v>238</v>
      </c>
      <c r="DK3362" s="5" t="s">
        <v>238</v>
      </c>
      <c r="DL3362" s="5" t="s">
        <v>238</v>
      </c>
      <c r="DM3362" s="8" t="s">
        <v>238</v>
      </c>
      <c r="DN3362" s="5" t="s">
        <v>238</v>
      </c>
      <c r="DO3362" s="5" t="s">
        <v>238</v>
      </c>
      <c r="DP3362" s="5" t="s">
        <v>490</v>
      </c>
      <c r="DQ3362" s="5" t="s">
        <v>490</v>
      </c>
      <c r="DR3362" s="5" t="s">
        <v>238</v>
      </c>
      <c r="DS3362" s="5" t="s">
        <v>238</v>
      </c>
      <c r="DT3362" s="5" t="s">
        <v>881</v>
      </c>
      <c r="DU3362" s="5" t="s">
        <v>1112</v>
      </c>
      <c r="DV3362" s="5" t="s">
        <v>238</v>
      </c>
      <c r="DW3362" s="5" t="s">
        <v>238</v>
      </c>
      <c r="DX3362" s="5" t="s">
        <v>238</v>
      </c>
      <c r="DY3362" s="5" t="s">
        <v>238</v>
      </c>
      <c r="DZ3362" s="5" t="s">
        <v>238</v>
      </c>
      <c r="EA3362" s="5" t="s">
        <v>238</v>
      </c>
      <c r="EB3362" s="5" t="s">
        <v>238</v>
      </c>
      <c r="EC3362" s="5" t="s">
        <v>238</v>
      </c>
      <c r="ED3362" s="5" t="s">
        <v>238</v>
      </c>
      <c r="EE3362" s="5" t="s">
        <v>238</v>
      </c>
      <c r="EF3362" s="5" t="s">
        <v>238</v>
      </c>
      <c r="EG3362" s="5" t="s">
        <v>238</v>
      </c>
      <c r="EH3362" s="5" t="s">
        <v>238</v>
      </c>
      <c r="EI3362" s="5" t="s">
        <v>238</v>
      </c>
      <c r="EJ3362" s="5" t="s">
        <v>238</v>
      </c>
      <c r="EK3362" s="5" t="s">
        <v>238</v>
      </c>
      <c r="EL3362" s="5" t="s">
        <v>238</v>
      </c>
      <c r="EM3362" s="5" t="s">
        <v>238</v>
      </c>
      <c r="EN3362" s="5" t="s">
        <v>238</v>
      </c>
      <c r="EO3362" s="5" t="s">
        <v>238</v>
      </c>
      <c r="EP3362" s="5" t="s">
        <v>238</v>
      </c>
      <c r="EQ3362" s="5" t="s">
        <v>238</v>
      </c>
      <c r="ER3362" s="5" t="s">
        <v>238</v>
      </c>
      <c r="ES3362" s="5" t="s">
        <v>238</v>
      </c>
      <c r="ET3362" s="5" t="s">
        <v>238</v>
      </c>
      <c r="EU3362" s="5" t="s">
        <v>238</v>
      </c>
      <c r="EV3362" s="5" t="s">
        <v>238</v>
      </c>
      <c r="EW3362" s="5" t="s">
        <v>238</v>
      </c>
      <c r="EX3362" s="5" t="s">
        <v>238</v>
      </c>
      <c r="EY3362" s="5" t="s">
        <v>238</v>
      </c>
      <c r="EZ3362" s="5" t="s">
        <v>238</v>
      </c>
      <c r="FA3362" s="5" t="s">
        <v>238</v>
      </c>
      <c r="FB3362" s="5" t="s">
        <v>238</v>
      </c>
      <c r="FC3362" s="5" t="s">
        <v>238</v>
      </c>
      <c r="FD3362" s="5" t="s">
        <v>238</v>
      </c>
      <c r="FE3362" s="5" t="s">
        <v>238</v>
      </c>
      <c r="FF3362" s="5" t="s">
        <v>238</v>
      </c>
      <c r="FG3362" s="5" t="s">
        <v>238</v>
      </c>
      <c r="FH3362" s="5" t="s">
        <v>238</v>
      </c>
      <c r="FI3362" s="5" t="s">
        <v>238</v>
      </c>
      <c r="FJ3362" s="5" t="s">
        <v>238</v>
      </c>
      <c r="FK3362" s="5" t="s">
        <v>238</v>
      </c>
      <c r="FL3362" s="5" t="s">
        <v>238</v>
      </c>
      <c r="FM3362" s="5" t="s">
        <v>238</v>
      </c>
      <c r="FN3362" s="5" t="s">
        <v>238</v>
      </c>
      <c r="FO3362" s="5" t="s">
        <v>238</v>
      </c>
      <c r="FP3362" s="5" t="s">
        <v>238</v>
      </c>
      <c r="FQ3362" s="5" t="s">
        <v>238</v>
      </c>
      <c r="FR3362" s="5" t="s">
        <v>238</v>
      </c>
      <c r="FS3362" s="5" t="s">
        <v>238</v>
      </c>
      <c r="FT3362" s="5" t="s">
        <v>238</v>
      </c>
      <c r="FU3362" s="5" t="s">
        <v>238</v>
      </c>
      <c r="FV3362" s="5" t="s">
        <v>238</v>
      </c>
      <c r="FW3362" s="5" t="s">
        <v>238</v>
      </c>
      <c r="FX3362" s="5" t="s">
        <v>238</v>
      </c>
      <c r="FY3362" s="5" t="s">
        <v>238</v>
      </c>
      <c r="FZ3362" s="5" t="s">
        <v>238</v>
      </c>
      <c r="GA3362" s="5" t="s">
        <v>238</v>
      </c>
      <c r="GB3362" s="5" t="s">
        <v>238</v>
      </c>
      <c r="GC3362" s="5" t="s">
        <v>238</v>
      </c>
      <c r="GD3362" s="5" t="s">
        <v>238</v>
      </c>
      <c r="GE3362" s="5" t="s">
        <v>238</v>
      </c>
      <c r="GF3362" s="5" t="s">
        <v>238</v>
      </c>
      <c r="GG3362" s="5" t="s">
        <v>238</v>
      </c>
      <c r="GH3362" s="5" t="s">
        <v>238</v>
      </c>
      <c r="GI3362" s="5" t="s">
        <v>238</v>
      </c>
      <c r="GJ3362" s="5" t="s">
        <v>238</v>
      </c>
      <c r="GK3362" s="5" t="s">
        <v>238</v>
      </c>
      <c r="GL3362" s="5" t="s">
        <v>238</v>
      </c>
      <c r="GM3362" s="5" t="s">
        <v>238</v>
      </c>
      <c r="GN3362" s="5" t="s">
        <v>238</v>
      </c>
      <c r="GO3362" s="5" t="s">
        <v>238</v>
      </c>
      <c r="GP3362" s="5" t="s">
        <v>238</v>
      </c>
      <c r="GQ3362" s="5" t="s">
        <v>238</v>
      </c>
      <c r="GR3362" s="5" t="s">
        <v>238</v>
      </c>
      <c r="GS3362" s="5" t="s">
        <v>238</v>
      </c>
      <c r="GT3362" s="5" t="s">
        <v>238</v>
      </c>
      <c r="GU3362" s="5" t="s">
        <v>238</v>
      </c>
      <c r="GV3362" s="5" t="s">
        <v>238</v>
      </c>
      <c r="GW3362" s="5" t="s">
        <v>238</v>
      </c>
      <c r="GX3362" s="5" t="s">
        <v>238</v>
      </c>
      <c r="GY3362" s="5" t="s">
        <v>238</v>
      </c>
      <c r="GZ3362" s="5" t="s">
        <v>238</v>
      </c>
      <c r="HA3362" s="5" t="s">
        <v>238</v>
      </c>
      <c r="HB3362" s="5" t="s">
        <v>238</v>
      </c>
      <c r="HC3362" s="5" t="s">
        <v>238</v>
      </c>
      <c r="HD3362" s="5" t="s">
        <v>238</v>
      </c>
      <c r="HE3362" s="5" t="s">
        <v>238</v>
      </c>
      <c r="HF3362" s="5" t="s">
        <v>238</v>
      </c>
      <c r="HG3362" s="5" t="s">
        <v>238</v>
      </c>
      <c r="HH3362" s="5" t="s">
        <v>238</v>
      </c>
      <c r="HI3362" s="5" t="s">
        <v>238</v>
      </c>
      <c r="HJ3362" s="5" t="s">
        <v>238</v>
      </c>
      <c r="HK3362" s="5" t="s">
        <v>238</v>
      </c>
      <c r="HL3362" s="5" t="s">
        <v>238</v>
      </c>
      <c r="HM3362" s="5" t="s">
        <v>264</v>
      </c>
      <c r="HN3362" s="5" t="s">
        <v>238</v>
      </c>
      <c r="HO3362" s="5" t="s">
        <v>238</v>
      </c>
      <c r="HP3362" s="5" t="s">
        <v>238</v>
      </c>
      <c r="HQ3362" s="5" t="s">
        <v>238</v>
      </c>
      <c r="HR3362" s="5" t="s">
        <v>238</v>
      </c>
      <c r="HS3362" s="5" t="s">
        <v>238</v>
      </c>
      <c r="HT3362" s="5" t="s">
        <v>238</v>
      </c>
      <c r="HU3362" s="5" t="s">
        <v>238</v>
      </c>
      <c r="HV3362" s="5" t="s">
        <v>238</v>
      </c>
      <c r="HW3362" s="5" t="s">
        <v>238</v>
      </c>
      <c r="HX3362" s="5" t="s">
        <v>238</v>
      </c>
      <c r="HY3362" s="5" t="s">
        <v>238</v>
      </c>
      <c r="HZ3362" s="5" t="s">
        <v>238</v>
      </c>
      <c r="IA3362" s="5" t="s">
        <v>238</v>
      </c>
      <c r="IB3362" s="5" t="s">
        <v>238</v>
      </c>
      <c r="IC3362" s="5" t="s">
        <v>238</v>
      </c>
      <c r="ID3362" s="5" t="s">
        <v>238</v>
      </c>
    </row>
    <row r="3363" spans="1:238" x14ac:dyDescent="0.4">
      <c r="A3363" s="5">
        <v>9081</v>
      </c>
      <c r="B3363" s="5">
        <v>1</v>
      </c>
      <c r="C3363" s="5">
        <v>1</v>
      </c>
      <c r="D3363" s="5" t="s">
        <v>484</v>
      </c>
      <c r="E3363" s="5" t="s">
        <v>878</v>
      </c>
      <c r="F3363" s="5" t="s">
        <v>248</v>
      </c>
      <c r="G3363" s="5" t="s">
        <v>4460</v>
      </c>
      <c r="H3363" s="6" t="s">
        <v>4461</v>
      </c>
      <c r="I3363" s="8">
        <f>1</f>
        <v>1</v>
      </c>
      <c r="J3363" s="5" t="s">
        <v>499</v>
      </c>
      <c r="K3363" s="8">
        <f>1</f>
        <v>1</v>
      </c>
      <c r="L3363" s="6" t="s">
        <v>242</v>
      </c>
      <c r="M3363" s="5" t="s">
        <v>267</v>
      </c>
      <c r="N3363" s="5" t="s">
        <v>482</v>
      </c>
      <c r="O3363" s="5" t="s">
        <v>238</v>
      </c>
      <c r="P3363" s="5" t="s">
        <v>238</v>
      </c>
      <c r="Q3363" s="5" t="s">
        <v>239</v>
      </c>
      <c r="R3363" s="5" t="s">
        <v>270</v>
      </c>
      <c r="S3363" s="5" t="s">
        <v>238</v>
      </c>
      <c r="T3363" s="5" t="s">
        <v>238</v>
      </c>
      <c r="U3363" s="5" t="s">
        <v>238</v>
      </c>
      <c r="V3363" s="5" t="s">
        <v>238</v>
      </c>
      <c r="W3363" s="6" t="s">
        <v>238</v>
      </c>
      <c r="X3363" s="6" t="s">
        <v>238</v>
      </c>
      <c r="Y3363" s="5" t="s">
        <v>238</v>
      </c>
      <c r="Z3363" s="6" t="s">
        <v>238</v>
      </c>
      <c r="AA3363" s="6" t="s">
        <v>243</v>
      </c>
      <c r="AB3363" s="5" t="s">
        <v>879</v>
      </c>
      <c r="AC3363" s="5" t="s">
        <v>244</v>
      </c>
      <c r="AD3363" s="5" t="s">
        <v>245</v>
      </c>
      <c r="AE3363" s="5" t="s">
        <v>238</v>
      </c>
      <c r="AF3363" s="5" t="s">
        <v>238</v>
      </c>
      <c r="AG3363" s="5" t="s">
        <v>238</v>
      </c>
      <c r="AH3363" s="5" t="s">
        <v>238</v>
      </c>
      <c r="AI3363" s="5" t="s">
        <v>238</v>
      </c>
      <c r="AJ3363" s="5" t="s">
        <v>238</v>
      </c>
      <c r="AK3363" s="5" t="s">
        <v>238</v>
      </c>
      <c r="AL3363" s="5" t="s">
        <v>238</v>
      </c>
      <c r="AM3363" s="6" t="s">
        <v>238</v>
      </c>
      <c r="AN3363" s="6" t="s">
        <v>238</v>
      </c>
      <c r="AO3363" s="6" t="s">
        <v>238</v>
      </c>
      <c r="AP3363" s="6" t="s">
        <v>238</v>
      </c>
      <c r="AQ3363" s="5" t="s">
        <v>238</v>
      </c>
      <c r="AR3363" s="5" t="s">
        <v>488</v>
      </c>
      <c r="AS3363" s="5" t="s">
        <v>488</v>
      </c>
      <c r="AT3363" s="5" t="s">
        <v>246</v>
      </c>
      <c r="AU3363" s="5" t="s">
        <v>489</v>
      </c>
      <c r="AV3363" s="5" t="s">
        <v>247</v>
      </c>
      <c r="AW3363" s="5" t="s">
        <v>238</v>
      </c>
      <c r="AX3363" s="5" t="s">
        <v>249</v>
      </c>
      <c r="AY3363" s="5" t="s">
        <v>490</v>
      </c>
      <c r="BA3363" s="5" t="s">
        <v>238</v>
      </c>
      <c r="BC3363" s="5" t="s">
        <v>491</v>
      </c>
      <c r="BD3363" s="6" t="s">
        <v>492</v>
      </c>
      <c r="BE3363" s="5" t="s">
        <v>493</v>
      </c>
      <c r="BF3363" s="5" t="s">
        <v>493</v>
      </c>
      <c r="BG3363" s="5" t="s">
        <v>238</v>
      </c>
      <c r="BH3363" s="8">
        <f>1</f>
        <v>1</v>
      </c>
      <c r="BI3363" s="8">
        <f>1</f>
        <v>1</v>
      </c>
      <c r="BJ3363" s="5" t="s">
        <v>253</v>
      </c>
      <c r="BK3363" s="5" t="s">
        <v>254</v>
      </c>
      <c r="BL3363" s="5" t="s">
        <v>238</v>
      </c>
      <c r="BM3363" s="5" t="s">
        <v>238</v>
      </c>
      <c r="BN3363" s="5" t="s">
        <v>238</v>
      </c>
      <c r="BO3363" s="5" t="s">
        <v>238</v>
      </c>
      <c r="BP3363" s="5" t="s">
        <v>238</v>
      </c>
      <c r="BQ3363" s="5" t="s">
        <v>238</v>
      </c>
      <c r="BR3363" s="5" t="s">
        <v>238</v>
      </c>
      <c r="BS3363" s="5" t="s">
        <v>238</v>
      </c>
      <c r="BT3363" s="6" t="s">
        <v>238</v>
      </c>
      <c r="BU3363" s="5" t="s">
        <v>238</v>
      </c>
      <c r="BV3363" s="5" t="s">
        <v>238</v>
      </c>
      <c r="BW3363" s="5" t="s">
        <v>238</v>
      </c>
      <c r="BX3363" s="5" t="s">
        <v>254</v>
      </c>
      <c r="BY3363" s="5" t="s">
        <v>238</v>
      </c>
      <c r="BZ3363" s="5" t="s">
        <v>238</v>
      </c>
      <c r="CA3363" s="5" t="s">
        <v>238</v>
      </c>
      <c r="CB3363" s="5" t="s">
        <v>238</v>
      </c>
      <c r="CC3363" s="5" t="s">
        <v>238</v>
      </c>
      <c r="CD3363" s="5" t="s">
        <v>273</v>
      </c>
      <c r="CE3363" s="5" t="s">
        <v>256</v>
      </c>
      <c r="CF3363" s="5" t="s">
        <v>238</v>
      </c>
      <c r="CH3363" s="5" t="s">
        <v>494</v>
      </c>
      <c r="CI3363" s="6" t="s">
        <v>257</v>
      </c>
      <c r="CJ3363" s="5" t="s">
        <v>495</v>
      </c>
      <c r="CK3363" s="5" t="s">
        <v>258</v>
      </c>
      <c r="CL3363" s="5" t="s">
        <v>496</v>
      </c>
      <c r="CM3363" s="5" t="s">
        <v>238</v>
      </c>
      <c r="CN3363" s="5">
        <v>0</v>
      </c>
      <c r="CO3363" s="5" t="s">
        <v>497</v>
      </c>
      <c r="CP3363" s="5" t="s">
        <v>260</v>
      </c>
      <c r="CQ3363" s="5" t="s">
        <v>260</v>
      </c>
      <c r="CR3363" s="5" t="s">
        <v>261</v>
      </c>
      <c r="CS3363" s="5" t="s">
        <v>498</v>
      </c>
      <c r="CT3363" s="7">
        <f>1</f>
        <v>1</v>
      </c>
      <c r="CU3363" s="8">
        <f>1</f>
        <v>1</v>
      </c>
      <c r="CV3363" s="8">
        <f>0</f>
        <v>0</v>
      </c>
      <c r="CX3363" s="8">
        <f>1</f>
        <v>1</v>
      </c>
      <c r="CY3363" s="8">
        <f>1</f>
        <v>1</v>
      </c>
      <c r="CZ3363" s="8" t="s">
        <v>238</v>
      </c>
      <c r="DA3363" s="5" t="s">
        <v>238</v>
      </c>
      <c r="DB3363" s="5" t="s">
        <v>238</v>
      </c>
      <c r="DC3363" s="5" t="s">
        <v>238</v>
      </c>
      <c r="DD3363" s="5" t="s">
        <v>238</v>
      </c>
      <c r="DE3363" s="8">
        <f>0</f>
        <v>0</v>
      </c>
      <c r="DG3363" s="5" t="s">
        <v>238</v>
      </c>
      <c r="DH3363" s="5" t="s">
        <v>238</v>
      </c>
      <c r="DI3363" s="5" t="s">
        <v>238</v>
      </c>
      <c r="DJ3363" s="5" t="s">
        <v>238</v>
      </c>
      <c r="DK3363" s="5" t="s">
        <v>238</v>
      </c>
      <c r="DL3363" s="5" t="s">
        <v>238</v>
      </c>
      <c r="DM3363" s="8" t="s">
        <v>238</v>
      </c>
      <c r="DN3363" s="5" t="s">
        <v>238</v>
      </c>
      <c r="DO3363" s="5" t="s">
        <v>238</v>
      </c>
      <c r="DP3363" s="5" t="s">
        <v>490</v>
      </c>
      <c r="DQ3363" s="5" t="s">
        <v>490</v>
      </c>
      <c r="DR3363" s="5" t="s">
        <v>238</v>
      </c>
      <c r="DS3363" s="5" t="s">
        <v>238</v>
      </c>
      <c r="DT3363" s="5" t="s">
        <v>881</v>
      </c>
      <c r="DU3363" s="5" t="s">
        <v>1082</v>
      </c>
      <c r="DV3363" s="5" t="s">
        <v>238</v>
      </c>
      <c r="DW3363" s="5" t="s">
        <v>238</v>
      </c>
      <c r="DX3363" s="5" t="s">
        <v>238</v>
      </c>
      <c r="DY3363" s="5" t="s">
        <v>238</v>
      </c>
      <c r="DZ3363" s="5" t="s">
        <v>238</v>
      </c>
      <c r="EA3363" s="5" t="s">
        <v>238</v>
      </c>
      <c r="EB3363" s="5" t="s">
        <v>238</v>
      </c>
      <c r="EC3363" s="5" t="s">
        <v>238</v>
      </c>
      <c r="ED3363" s="5" t="s">
        <v>238</v>
      </c>
      <c r="EE3363" s="5" t="s">
        <v>238</v>
      </c>
      <c r="EF3363" s="5" t="s">
        <v>238</v>
      </c>
      <c r="EG3363" s="5" t="s">
        <v>238</v>
      </c>
      <c r="EH3363" s="5" t="s">
        <v>238</v>
      </c>
      <c r="EI3363" s="5" t="s">
        <v>238</v>
      </c>
      <c r="EJ3363" s="5" t="s">
        <v>238</v>
      </c>
      <c r="EK3363" s="5" t="s">
        <v>238</v>
      </c>
      <c r="EL3363" s="5" t="s">
        <v>238</v>
      </c>
      <c r="EM3363" s="5" t="s">
        <v>238</v>
      </c>
      <c r="EN3363" s="5" t="s">
        <v>238</v>
      </c>
      <c r="EO3363" s="5" t="s">
        <v>238</v>
      </c>
      <c r="EP3363" s="5" t="s">
        <v>238</v>
      </c>
      <c r="EQ3363" s="5" t="s">
        <v>238</v>
      </c>
      <c r="ER3363" s="5" t="s">
        <v>238</v>
      </c>
      <c r="ES3363" s="5" t="s">
        <v>238</v>
      </c>
      <c r="ET3363" s="5" t="s">
        <v>238</v>
      </c>
      <c r="EU3363" s="5" t="s">
        <v>238</v>
      </c>
      <c r="EV3363" s="5" t="s">
        <v>238</v>
      </c>
      <c r="EW3363" s="5" t="s">
        <v>238</v>
      </c>
      <c r="EX3363" s="5" t="s">
        <v>238</v>
      </c>
      <c r="EY3363" s="5" t="s">
        <v>238</v>
      </c>
      <c r="EZ3363" s="5" t="s">
        <v>238</v>
      </c>
      <c r="FA3363" s="5" t="s">
        <v>238</v>
      </c>
      <c r="FB3363" s="5" t="s">
        <v>238</v>
      </c>
      <c r="FC3363" s="5" t="s">
        <v>238</v>
      </c>
      <c r="FD3363" s="5" t="s">
        <v>238</v>
      </c>
      <c r="FE3363" s="5" t="s">
        <v>238</v>
      </c>
      <c r="FF3363" s="5" t="s">
        <v>238</v>
      </c>
      <c r="FG3363" s="5" t="s">
        <v>238</v>
      </c>
      <c r="FH3363" s="5" t="s">
        <v>238</v>
      </c>
      <c r="FI3363" s="5" t="s">
        <v>238</v>
      </c>
      <c r="FJ3363" s="5" t="s">
        <v>238</v>
      </c>
      <c r="FK3363" s="5" t="s">
        <v>238</v>
      </c>
      <c r="FL3363" s="5" t="s">
        <v>238</v>
      </c>
      <c r="FM3363" s="5" t="s">
        <v>238</v>
      </c>
      <c r="FN3363" s="5" t="s">
        <v>238</v>
      </c>
      <c r="FO3363" s="5" t="s">
        <v>238</v>
      </c>
      <c r="FP3363" s="5" t="s">
        <v>238</v>
      </c>
      <c r="FQ3363" s="5" t="s">
        <v>238</v>
      </c>
      <c r="FR3363" s="5" t="s">
        <v>238</v>
      </c>
      <c r="FS3363" s="5" t="s">
        <v>238</v>
      </c>
      <c r="FT3363" s="5" t="s">
        <v>238</v>
      </c>
      <c r="FU3363" s="5" t="s">
        <v>238</v>
      </c>
      <c r="FV3363" s="5" t="s">
        <v>238</v>
      </c>
      <c r="FW3363" s="5" t="s">
        <v>238</v>
      </c>
      <c r="FX3363" s="5" t="s">
        <v>238</v>
      </c>
      <c r="FY3363" s="5" t="s">
        <v>238</v>
      </c>
      <c r="FZ3363" s="5" t="s">
        <v>238</v>
      </c>
      <c r="GA3363" s="5" t="s">
        <v>238</v>
      </c>
      <c r="GB3363" s="5" t="s">
        <v>238</v>
      </c>
      <c r="GC3363" s="5" t="s">
        <v>238</v>
      </c>
      <c r="GD3363" s="5" t="s">
        <v>238</v>
      </c>
      <c r="GE3363" s="5" t="s">
        <v>238</v>
      </c>
      <c r="GF3363" s="5" t="s">
        <v>238</v>
      </c>
      <c r="GG3363" s="5" t="s">
        <v>238</v>
      </c>
      <c r="GH3363" s="5" t="s">
        <v>238</v>
      </c>
      <c r="GI3363" s="5" t="s">
        <v>238</v>
      </c>
      <c r="GJ3363" s="5" t="s">
        <v>238</v>
      </c>
      <c r="GK3363" s="5" t="s">
        <v>238</v>
      </c>
      <c r="GL3363" s="5" t="s">
        <v>238</v>
      </c>
      <c r="GM3363" s="5" t="s">
        <v>238</v>
      </c>
      <c r="GN3363" s="5" t="s">
        <v>238</v>
      </c>
      <c r="GO3363" s="5" t="s">
        <v>238</v>
      </c>
      <c r="GP3363" s="5" t="s">
        <v>238</v>
      </c>
      <c r="GQ3363" s="5" t="s">
        <v>238</v>
      </c>
      <c r="GR3363" s="5" t="s">
        <v>238</v>
      </c>
      <c r="GS3363" s="5" t="s">
        <v>238</v>
      </c>
      <c r="GT3363" s="5" t="s">
        <v>238</v>
      </c>
      <c r="GU3363" s="5" t="s">
        <v>238</v>
      </c>
      <c r="GV3363" s="5" t="s">
        <v>238</v>
      </c>
      <c r="GW3363" s="5" t="s">
        <v>238</v>
      </c>
      <c r="GX3363" s="5" t="s">
        <v>238</v>
      </c>
      <c r="GY3363" s="5" t="s">
        <v>238</v>
      </c>
      <c r="GZ3363" s="5" t="s">
        <v>238</v>
      </c>
      <c r="HA3363" s="5" t="s">
        <v>238</v>
      </c>
      <c r="HB3363" s="5" t="s">
        <v>238</v>
      </c>
      <c r="HC3363" s="5" t="s">
        <v>238</v>
      </c>
      <c r="HD3363" s="5" t="s">
        <v>238</v>
      </c>
      <c r="HE3363" s="5" t="s">
        <v>238</v>
      </c>
      <c r="HF3363" s="5" t="s">
        <v>238</v>
      </c>
      <c r="HG3363" s="5" t="s">
        <v>238</v>
      </c>
      <c r="HH3363" s="5" t="s">
        <v>238</v>
      </c>
      <c r="HI3363" s="5" t="s">
        <v>238</v>
      </c>
      <c r="HJ3363" s="5" t="s">
        <v>238</v>
      </c>
      <c r="HK3363" s="5" t="s">
        <v>238</v>
      </c>
      <c r="HL3363" s="5" t="s">
        <v>238</v>
      </c>
      <c r="HM3363" s="5" t="s">
        <v>264</v>
      </c>
      <c r="HN3363" s="5" t="s">
        <v>238</v>
      </c>
      <c r="HO3363" s="5" t="s">
        <v>238</v>
      </c>
      <c r="HP3363" s="5" t="s">
        <v>238</v>
      </c>
      <c r="HQ3363" s="5" t="s">
        <v>238</v>
      </c>
      <c r="HR3363" s="5" t="s">
        <v>238</v>
      </c>
      <c r="HS3363" s="5" t="s">
        <v>238</v>
      </c>
      <c r="HT3363" s="5" t="s">
        <v>238</v>
      </c>
      <c r="HU3363" s="5" t="s">
        <v>238</v>
      </c>
      <c r="HV3363" s="5" t="s">
        <v>238</v>
      </c>
      <c r="HW3363" s="5" t="s">
        <v>238</v>
      </c>
      <c r="HX3363" s="5" t="s">
        <v>238</v>
      </c>
      <c r="HY3363" s="5" t="s">
        <v>238</v>
      </c>
      <c r="HZ3363" s="5" t="s">
        <v>238</v>
      </c>
      <c r="IA3363" s="5" t="s">
        <v>238</v>
      </c>
      <c r="IB3363" s="5" t="s">
        <v>238</v>
      </c>
      <c r="IC3363" s="5" t="s">
        <v>238</v>
      </c>
      <c r="ID3363" s="5" t="s">
        <v>238</v>
      </c>
    </row>
    <row r="3364" spans="1:238" x14ac:dyDescent="0.4">
      <c r="A3364" s="5">
        <v>9082</v>
      </c>
      <c r="B3364" s="5">
        <v>1</v>
      </c>
      <c r="C3364" s="5">
        <v>1</v>
      </c>
      <c r="D3364" s="5" t="s">
        <v>484</v>
      </c>
      <c r="E3364" s="5" t="s">
        <v>878</v>
      </c>
      <c r="F3364" s="5" t="s">
        <v>248</v>
      </c>
      <c r="G3364" s="5" t="s">
        <v>5413</v>
      </c>
      <c r="H3364" s="6" t="s">
        <v>5414</v>
      </c>
      <c r="I3364" s="8">
        <f>1</f>
        <v>1</v>
      </c>
      <c r="J3364" s="5" t="s">
        <v>499</v>
      </c>
      <c r="K3364" s="8">
        <f>1</f>
        <v>1</v>
      </c>
      <c r="L3364" s="6" t="s">
        <v>242</v>
      </c>
      <c r="M3364" s="5" t="s">
        <v>267</v>
      </c>
      <c r="N3364" s="5" t="s">
        <v>482</v>
      </c>
      <c r="O3364" s="5" t="s">
        <v>238</v>
      </c>
      <c r="P3364" s="5" t="s">
        <v>238</v>
      </c>
      <c r="Q3364" s="5" t="s">
        <v>239</v>
      </c>
      <c r="R3364" s="5" t="s">
        <v>270</v>
      </c>
      <c r="S3364" s="5" t="s">
        <v>238</v>
      </c>
      <c r="T3364" s="5" t="s">
        <v>238</v>
      </c>
      <c r="U3364" s="5" t="s">
        <v>238</v>
      </c>
      <c r="V3364" s="5" t="s">
        <v>238</v>
      </c>
      <c r="W3364" s="6" t="s">
        <v>238</v>
      </c>
      <c r="X3364" s="6" t="s">
        <v>238</v>
      </c>
      <c r="Y3364" s="5" t="s">
        <v>238</v>
      </c>
      <c r="Z3364" s="6" t="s">
        <v>238</v>
      </c>
      <c r="AA3364" s="6" t="s">
        <v>243</v>
      </c>
      <c r="AB3364" s="5" t="s">
        <v>879</v>
      </c>
      <c r="AC3364" s="5" t="s">
        <v>244</v>
      </c>
      <c r="AD3364" s="5" t="s">
        <v>245</v>
      </c>
      <c r="AE3364" s="5" t="s">
        <v>238</v>
      </c>
      <c r="AF3364" s="5" t="s">
        <v>238</v>
      </c>
      <c r="AG3364" s="5" t="s">
        <v>238</v>
      </c>
      <c r="AH3364" s="5" t="s">
        <v>238</v>
      </c>
      <c r="AI3364" s="5" t="s">
        <v>238</v>
      </c>
      <c r="AJ3364" s="5" t="s">
        <v>238</v>
      </c>
      <c r="AK3364" s="5" t="s">
        <v>238</v>
      </c>
      <c r="AL3364" s="5" t="s">
        <v>238</v>
      </c>
      <c r="AM3364" s="6" t="s">
        <v>238</v>
      </c>
      <c r="AN3364" s="6" t="s">
        <v>238</v>
      </c>
      <c r="AO3364" s="6" t="s">
        <v>238</v>
      </c>
      <c r="AP3364" s="6" t="s">
        <v>238</v>
      </c>
      <c r="AQ3364" s="5" t="s">
        <v>238</v>
      </c>
      <c r="AR3364" s="5" t="s">
        <v>488</v>
      </c>
      <c r="AS3364" s="5" t="s">
        <v>488</v>
      </c>
      <c r="AT3364" s="5" t="s">
        <v>246</v>
      </c>
      <c r="AU3364" s="5" t="s">
        <v>489</v>
      </c>
      <c r="AV3364" s="5" t="s">
        <v>247</v>
      </c>
      <c r="AW3364" s="5" t="s">
        <v>238</v>
      </c>
      <c r="AX3364" s="5" t="s">
        <v>249</v>
      </c>
      <c r="AY3364" s="5" t="s">
        <v>490</v>
      </c>
      <c r="BA3364" s="5" t="s">
        <v>238</v>
      </c>
      <c r="BC3364" s="5" t="s">
        <v>491</v>
      </c>
      <c r="BD3364" s="6" t="s">
        <v>492</v>
      </c>
      <c r="BE3364" s="5" t="s">
        <v>493</v>
      </c>
      <c r="BF3364" s="5" t="s">
        <v>493</v>
      </c>
      <c r="BG3364" s="5" t="s">
        <v>238</v>
      </c>
      <c r="BH3364" s="8">
        <f>1</f>
        <v>1</v>
      </c>
      <c r="BI3364" s="8">
        <f>1</f>
        <v>1</v>
      </c>
      <c r="BJ3364" s="5" t="s">
        <v>253</v>
      </c>
      <c r="BK3364" s="5" t="s">
        <v>254</v>
      </c>
      <c r="BL3364" s="5" t="s">
        <v>238</v>
      </c>
      <c r="BM3364" s="5" t="s">
        <v>238</v>
      </c>
      <c r="BN3364" s="5" t="s">
        <v>238</v>
      </c>
      <c r="BO3364" s="5" t="s">
        <v>238</v>
      </c>
      <c r="BP3364" s="5" t="s">
        <v>238</v>
      </c>
      <c r="BQ3364" s="5" t="s">
        <v>238</v>
      </c>
      <c r="BR3364" s="5" t="s">
        <v>238</v>
      </c>
      <c r="BS3364" s="5" t="s">
        <v>238</v>
      </c>
      <c r="BT3364" s="6" t="s">
        <v>238</v>
      </c>
      <c r="BU3364" s="5" t="s">
        <v>238</v>
      </c>
      <c r="BV3364" s="5" t="s">
        <v>238</v>
      </c>
      <c r="BW3364" s="5" t="s">
        <v>238</v>
      </c>
      <c r="BX3364" s="5" t="s">
        <v>254</v>
      </c>
      <c r="BY3364" s="5" t="s">
        <v>238</v>
      </c>
      <c r="BZ3364" s="5" t="s">
        <v>238</v>
      </c>
      <c r="CA3364" s="5" t="s">
        <v>238</v>
      </c>
      <c r="CB3364" s="5" t="s">
        <v>238</v>
      </c>
      <c r="CC3364" s="5" t="s">
        <v>238</v>
      </c>
      <c r="CD3364" s="5" t="s">
        <v>273</v>
      </c>
      <c r="CE3364" s="5" t="s">
        <v>256</v>
      </c>
      <c r="CF3364" s="5" t="s">
        <v>238</v>
      </c>
      <c r="CH3364" s="5" t="s">
        <v>494</v>
      </c>
      <c r="CI3364" s="6" t="s">
        <v>257</v>
      </c>
      <c r="CJ3364" s="5" t="s">
        <v>495</v>
      </c>
      <c r="CK3364" s="5" t="s">
        <v>258</v>
      </c>
      <c r="CL3364" s="5" t="s">
        <v>496</v>
      </c>
      <c r="CM3364" s="5" t="s">
        <v>238</v>
      </c>
      <c r="CN3364" s="5">
        <v>0</v>
      </c>
      <c r="CO3364" s="5" t="s">
        <v>497</v>
      </c>
      <c r="CP3364" s="5" t="s">
        <v>260</v>
      </c>
      <c r="CQ3364" s="5" t="s">
        <v>260</v>
      </c>
      <c r="CR3364" s="5" t="s">
        <v>261</v>
      </c>
      <c r="CS3364" s="5" t="s">
        <v>498</v>
      </c>
      <c r="CT3364" s="7">
        <f>1</f>
        <v>1</v>
      </c>
      <c r="CU3364" s="8">
        <f>1</f>
        <v>1</v>
      </c>
      <c r="CV3364" s="8">
        <f>0</f>
        <v>0</v>
      </c>
      <c r="CX3364" s="8">
        <f>1</f>
        <v>1</v>
      </c>
      <c r="CY3364" s="8">
        <f>1</f>
        <v>1</v>
      </c>
      <c r="CZ3364" s="8" t="s">
        <v>238</v>
      </c>
      <c r="DA3364" s="5" t="s">
        <v>238</v>
      </c>
      <c r="DB3364" s="5" t="s">
        <v>238</v>
      </c>
      <c r="DC3364" s="5" t="s">
        <v>238</v>
      </c>
      <c r="DD3364" s="5" t="s">
        <v>238</v>
      </c>
      <c r="DE3364" s="8">
        <f>0</f>
        <v>0</v>
      </c>
      <c r="DG3364" s="5" t="s">
        <v>238</v>
      </c>
      <c r="DH3364" s="5" t="s">
        <v>238</v>
      </c>
      <c r="DI3364" s="5" t="s">
        <v>238</v>
      </c>
      <c r="DJ3364" s="5" t="s">
        <v>238</v>
      </c>
      <c r="DK3364" s="5" t="s">
        <v>238</v>
      </c>
      <c r="DL3364" s="5" t="s">
        <v>238</v>
      </c>
      <c r="DM3364" s="8" t="s">
        <v>238</v>
      </c>
      <c r="DN3364" s="5" t="s">
        <v>238</v>
      </c>
      <c r="DO3364" s="5" t="s">
        <v>238</v>
      </c>
      <c r="DP3364" s="5" t="s">
        <v>490</v>
      </c>
      <c r="DQ3364" s="5" t="s">
        <v>490</v>
      </c>
      <c r="DR3364" s="5" t="s">
        <v>238</v>
      </c>
      <c r="DS3364" s="5" t="s">
        <v>238</v>
      </c>
      <c r="DT3364" s="5" t="s">
        <v>881</v>
      </c>
      <c r="DU3364" s="5" t="s">
        <v>1350</v>
      </c>
      <c r="DV3364" s="5" t="s">
        <v>238</v>
      </c>
      <c r="DW3364" s="5" t="s">
        <v>238</v>
      </c>
      <c r="DX3364" s="5" t="s">
        <v>238</v>
      </c>
      <c r="DY3364" s="5" t="s">
        <v>238</v>
      </c>
      <c r="DZ3364" s="5" t="s">
        <v>238</v>
      </c>
      <c r="EA3364" s="5" t="s">
        <v>238</v>
      </c>
      <c r="EB3364" s="5" t="s">
        <v>238</v>
      </c>
      <c r="EC3364" s="5" t="s">
        <v>238</v>
      </c>
      <c r="ED3364" s="5" t="s">
        <v>238</v>
      </c>
      <c r="EE3364" s="5" t="s">
        <v>238</v>
      </c>
      <c r="EF3364" s="5" t="s">
        <v>238</v>
      </c>
      <c r="EG3364" s="5" t="s">
        <v>238</v>
      </c>
      <c r="EH3364" s="5" t="s">
        <v>238</v>
      </c>
      <c r="EI3364" s="5" t="s">
        <v>238</v>
      </c>
      <c r="EJ3364" s="5" t="s">
        <v>238</v>
      </c>
      <c r="EK3364" s="5" t="s">
        <v>238</v>
      </c>
      <c r="EL3364" s="5" t="s">
        <v>238</v>
      </c>
      <c r="EM3364" s="5" t="s">
        <v>238</v>
      </c>
      <c r="EN3364" s="5" t="s">
        <v>238</v>
      </c>
      <c r="EO3364" s="5" t="s">
        <v>238</v>
      </c>
      <c r="EP3364" s="5" t="s">
        <v>238</v>
      </c>
      <c r="EQ3364" s="5" t="s">
        <v>238</v>
      </c>
      <c r="ER3364" s="5" t="s">
        <v>238</v>
      </c>
      <c r="ES3364" s="5" t="s">
        <v>238</v>
      </c>
      <c r="ET3364" s="5" t="s">
        <v>238</v>
      </c>
      <c r="EU3364" s="5" t="s">
        <v>238</v>
      </c>
      <c r="EV3364" s="5" t="s">
        <v>238</v>
      </c>
      <c r="EW3364" s="5" t="s">
        <v>238</v>
      </c>
      <c r="EX3364" s="5" t="s">
        <v>238</v>
      </c>
      <c r="EY3364" s="5" t="s">
        <v>238</v>
      </c>
      <c r="EZ3364" s="5" t="s">
        <v>238</v>
      </c>
      <c r="FA3364" s="5" t="s">
        <v>238</v>
      </c>
      <c r="FB3364" s="5" t="s">
        <v>238</v>
      </c>
      <c r="FC3364" s="5" t="s">
        <v>238</v>
      </c>
      <c r="FD3364" s="5" t="s">
        <v>238</v>
      </c>
      <c r="FE3364" s="5" t="s">
        <v>238</v>
      </c>
      <c r="FF3364" s="5" t="s">
        <v>238</v>
      </c>
      <c r="FG3364" s="5" t="s">
        <v>238</v>
      </c>
      <c r="FH3364" s="5" t="s">
        <v>238</v>
      </c>
      <c r="FI3364" s="5" t="s">
        <v>238</v>
      </c>
      <c r="FJ3364" s="5" t="s">
        <v>238</v>
      </c>
      <c r="FK3364" s="5" t="s">
        <v>238</v>
      </c>
      <c r="FL3364" s="5" t="s">
        <v>238</v>
      </c>
      <c r="FM3364" s="5" t="s">
        <v>238</v>
      </c>
      <c r="FN3364" s="5" t="s">
        <v>238</v>
      </c>
      <c r="FO3364" s="5" t="s">
        <v>238</v>
      </c>
      <c r="FP3364" s="5" t="s">
        <v>238</v>
      </c>
      <c r="FQ3364" s="5" t="s">
        <v>238</v>
      </c>
      <c r="FR3364" s="5" t="s">
        <v>238</v>
      </c>
      <c r="FS3364" s="5" t="s">
        <v>238</v>
      </c>
      <c r="FT3364" s="5" t="s">
        <v>238</v>
      </c>
      <c r="FU3364" s="5" t="s">
        <v>238</v>
      </c>
      <c r="FV3364" s="5" t="s">
        <v>238</v>
      </c>
      <c r="FW3364" s="5" t="s">
        <v>238</v>
      </c>
      <c r="FX3364" s="5" t="s">
        <v>238</v>
      </c>
      <c r="FY3364" s="5" t="s">
        <v>238</v>
      </c>
      <c r="FZ3364" s="5" t="s">
        <v>238</v>
      </c>
      <c r="GA3364" s="5" t="s">
        <v>238</v>
      </c>
      <c r="GB3364" s="5" t="s">
        <v>238</v>
      </c>
      <c r="GC3364" s="5" t="s">
        <v>238</v>
      </c>
      <c r="GD3364" s="5" t="s">
        <v>238</v>
      </c>
      <c r="GE3364" s="5" t="s">
        <v>238</v>
      </c>
      <c r="GF3364" s="5" t="s">
        <v>238</v>
      </c>
      <c r="GG3364" s="5" t="s">
        <v>238</v>
      </c>
      <c r="GH3364" s="5" t="s">
        <v>238</v>
      </c>
      <c r="GI3364" s="5" t="s">
        <v>238</v>
      </c>
      <c r="GJ3364" s="5" t="s">
        <v>238</v>
      </c>
      <c r="GK3364" s="5" t="s">
        <v>238</v>
      </c>
      <c r="GL3364" s="5" t="s">
        <v>238</v>
      </c>
      <c r="GM3364" s="5" t="s">
        <v>238</v>
      </c>
      <c r="GN3364" s="5" t="s">
        <v>238</v>
      </c>
      <c r="GO3364" s="5" t="s">
        <v>238</v>
      </c>
      <c r="GP3364" s="5" t="s">
        <v>238</v>
      </c>
      <c r="GQ3364" s="5" t="s">
        <v>238</v>
      </c>
      <c r="GR3364" s="5" t="s">
        <v>238</v>
      </c>
      <c r="GS3364" s="5" t="s">
        <v>238</v>
      </c>
      <c r="GT3364" s="5" t="s">
        <v>238</v>
      </c>
      <c r="GU3364" s="5" t="s">
        <v>238</v>
      </c>
      <c r="GV3364" s="5" t="s">
        <v>238</v>
      </c>
      <c r="GW3364" s="5" t="s">
        <v>238</v>
      </c>
      <c r="GX3364" s="5" t="s">
        <v>238</v>
      </c>
      <c r="GY3364" s="5" t="s">
        <v>238</v>
      </c>
      <c r="GZ3364" s="5" t="s">
        <v>238</v>
      </c>
      <c r="HA3364" s="5" t="s">
        <v>238</v>
      </c>
      <c r="HB3364" s="5" t="s">
        <v>238</v>
      </c>
      <c r="HC3364" s="5" t="s">
        <v>238</v>
      </c>
      <c r="HD3364" s="5" t="s">
        <v>238</v>
      </c>
      <c r="HE3364" s="5" t="s">
        <v>238</v>
      </c>
      <c r="HF3364" s="5" t="s">
        <v>238</v>
      </c>
      <c r="HG3364" s="5" t="s">
        <v>238</v>
      </c>
      <c r="HH3364" s="5" t="s">
        <v>238</v>
      </c>
      <c r="HI3364" s="5" t="s">
        <v>238</v>
      </c>
      <c r="HJ3364" s="5" t="s">
        <v>238</v>
      </c>
      <c r="HK3364" s="5" t="s">
        <v>238</v>
      </c>
      <c r="HL3364" s="5" t="s">
        <v>238</v>
      </c>
      <c r="HM3364" s="5" t="s">
        <v>264</v>
      </c>
      <c r="HN3364" s="5" t="s">
        <v>238</v>
      </c>
      <c r="HO3364" s="5" t="s">
        <v>238</v>
      </c>
      <c r="HP3364" s="5" t="s">
        <v>238</v>
      </c>
      <c r="HQ3364" s="5" t="s">
        <v>238</v>
      </c>
      <c r="HR3364" s="5" t="s">
        <v>238</v>
      </c>
      <c r="HS3364" s="5" t="s">
        <v>238</v>
      </c>
      <c r="HT3364" s="5" t="s">
        <v>238</v>
      </c>
      <c r="HU3364" s="5" t="s">
        <v>238</v>
      </c>
      <c r="HV3364" s="5" t="s">
        <v>238</v>
      </c>
      <c r="HW3364" s="5" t="s">
        <v>238</v>
      </c>
      <c r="HX3364" s="5" t="s">
        <v>238</v>
      </c>
      <c r="HY3364" s="5" t="s">
        <v>238</v>
      </c>
      <c r="HZ3364" s="5" t="s">
        <v>238</v>
      </c>
      <c r="IA3364" s="5" t="s">
        <v>238</v>
      </c>
      <c r="IB3364" s="5" t="s">
        <v>238</v>
      </c>
      <c r="IC3364" s="5" t="s">
        <v>238</v>
      </c>
      <c r="ID3364" s="5" t="s">
        <v>238</v>
      </c>
    </row>
    <row r="3365" spans="1:238" x14ac:dyDescent="0.4">
      <c r="A3365" s="5">
        <v>9083</v>
      </c>
      <c r="B3365" s="5">
        <v>1</v>
      </c>
      <c r="C3365" s="5">
        <v>1</v>
      </c>
      <c r="D3365" s="5" t="s">
        <v>484</v>
      </c>
      <c r="E3365" s="5" t="s">
        <v>485</v>
      </c>
      <c r="F3365" s="5" t="s">
        <v>248</v>
      </c>
      <c r="G3365" s="5" t="s">
        <v>4418</v>
      </c>
      <c r="H3365" s="6" t="s">
        <v>4419</v>
      </c>
      <c r="I3365" s="8">
        <f>1</f>
        <v>1</v>
      </c>
      <c r="J3365" s="5" t="s">
        <v>499</v>
      </c>
      <c r="K3365" s="8">
        <f>1</f>
        <v>1</v>
      </c>
      <c r="L3365" s="6" t="s">
        <v>242</v>
      </c>
      <c r="M3365" s="5" t="s">
        <v>267</v>
      </c>
      <c r="N3365" s="5" t="s">
        <v>482</v>
      </c>
      <c r="O3365" s="5" t="s">
        <v>238</v>
      </c>
      <c r="P3365" s="5" t="s">
        <v>238</v>
      </c>
      <c r="Q3365" s="5" t="s">
        <v>239</v>
      </c>
      <c r="R3365" s="5" t="s">
        <v>270</v>
      </c>
      <c r="S3365" s="5" t="s">
        <v>238</v>
      </c>
      <c r="T3365" s="5" t="s">
        <v>238</v>
      </c>
      <c r="U3365" s="5" t="s">
        <v>238</v>
      </c>
      <c r="V3365" s="5" t="s">
        <v>238</v>
      </c>
      <c r="W3365" s="6" t="s">
        <v>238</v>
      </c>
      <c r="X3365" s="6" t="s">
        <v>238</v>
      </c>
      <c r="Y3365" s="5" t="s">
        <v>238</v>
      </c>
      <c r="Z3365" s="6" t="s">
        <v>238</v>
      </c>
      <c r="AA3365" s="6" t="s">
        <v>243</v>
      </c>
      <c r="AB3365" s="5" t="s">
        <v>486</v>
      </c>
      <c r="AC3365" s="5" t="s">
        <v>244</v>
      </c>
      <c r="AD3365" s="5" t="s">
        <v>245</v>
      </c>
      <c r="AE3365" s="5" t="s">
        <v>238</v>
      </c>
      <c r="AF3365" s="5" t="s">
        <v>238</v>
      </c>
      <c r="AG3365" s="5" t="s">
        <v>238</v>
      </c>
      <c r="AH3365" s="5" t="s">
        <v>238</v>
      </c>
      <c r="AI3365" s="5" t="s">
        <v>238</v>
      </c>
      <c r="AJ3365" s="5" t="s">
        <v>238</v>
      </c>
      <c r="AK3365" s="5" t="s">
        <v>238</v>
      </c>
      <c r="AL3365" s="5" t="s">
        <v>238</v>
      </c>
      <c r="AM3365" s="6" t="s">
        <v>238</v>
      </c>
      <c r="AN3365" s="6" t="s">
        <v>238</v>
      </c>
      <c r="AO3365" s="6" t="s">
        <v>238</v>
      </c>
      <c r="AP3365" s="6" t="s">
        <v>238</v>
      </c>
      <c r="AQ3365" s="5" t="s">
        <v>238</v>
      </c>
      <c r="AR3365" s="5" t="s">
        <v>488</v>
      </c>
      <c r="AS3365" s="5" t="s">
        <v>488</v>
      </c>
      <c r="AT3365" s="5" t="s">
        <v>246</v>
      </c>
      <c r="AU3365" s="5" t="s">
        <v>489</v>
      </c>
      <c r="AV3365" s="5" t="s">
        <v>247</v>
      </c>
      <c r="AW3365" s="5" t="s">
        <v>238</v>
      </c>
      <c r="AX3365" s="5" t="s">
        <v>249</v>
      </c>
      <c r="AY3365" s="5" t="s">
        <v>490</v>
      </c>
      <c r="BA3365" s="5" t="s">
        <v>238</v>
      </c>
      <c r="BC3365" s="5" t="s">
        <v>491</v>
      </c>
      <c r="BD3365" s="6" t="s">
        <v>492</v>
      </c>
      <c r="BE3365" s="5" t="s">
        <v>493</v>
      </c>
      <c r="BF3365" s="5" t="s">
        <v>493</v>
      </c>
      <c r="BG3365" s="5" t="s">
        <v>238</v>
      </c>
      <c r="BH3365" s="8">
        <f>1</f>
        <v>1</v>
      </c>
      <c r="BI3365" s="8">
        <f>1</f>
        <v>1</v>
      </c>
      <c r="BJ3365" s="5" t="s">
        <v>253</v>
      </c>
      <c r="BK3365" s="5" t="s">
        <v>254</v>
      </c>
      <c r="BL3365" s="5" t="s">
        <v>238</v>
      </c>
      <c r="BM3365" s="5" t="s">
        <v>238</v>
      </c>
      <c r="BN3365" s="5" t="s">
        <v>238</v>
      </c>
      <c r="BO3365" s="5" t="s">
        <v>238</v>
      </c>
      <c r="BP3365" s="5" t="s">
        <v>238</v>
      </c>
      <c r="BQ3365" s="5" t="s">
        <v>238</v>
      </c>
      <c r="BR3365" s="5" t="s">
        <v>238</v>
      </c>
      <c r="BS3365" s="5" t="s">
        <v>238</v>
      </c>
      <c r="BT3365" s="6" t="s">
        <v>238</v>
      </c>
      <c r="BU3365" s="5" t="s">
        <v>238</v>
      </c>
      <c r="BV3365" s="5" t="s">
        <v>238</v>
      </c>
      <c r="BW3365" s="5" t="s">
        <v>238</v>
      </c>
      <c r="BX3365" s="5" t="s">
        <v>254</v>
      </c>
      <c r="BY3365" s="5" t="s">
        <v>238</v>
      </c>
      <c r="BZ3365" s="5" t="s">
        <v>238</v>
      </c>
      <c r="CA3365" s="5" t="s">
        <v>238</v>
      </c>
      <c r="CB3365" s="5" t="s">
        <v>238</v>
      </c>
      <c r="CC3365" s="5" t="s">
        <v>238</v>
      </c>
      <c r="CD3365" s="5" t="s">
        <v>273</v>
      </c>
      <c r="CE3365" s="5" t="s">
        <v>256</v>
      </c>
      <c r="CF3365" s="5" t="s">
        <v>238</v>
      </c>
      <c r="CH3365" s="5" t="s">
        <v>494</v>
      </c>
      <c r="CI3365" s="6" t="s">
        <v>257</v>
      </c>
      <c r="CJ3365" s="5" t="s">
        <v>495</v>
      </c>
      <c r="CK3365" s="5" t="s">
        <v>258</v>
      </c>
      <c r="CL3365" s="5" t="s">
        <v>496</v>
      </c>
      <c r="CM3365" s="5" t="s">
        <v>238</v>
      </c>
      <c r="CN3365" s="5">
        <v>0</v>
      </c>
      <c r="CO3365" s="5" t="s">
        <v>497</v>
      </c>
      <c r="CP3365" s="5" t="s">
        <v>260</v>
      </c>
      <c r="CQ3365" s="5" t="s">
        <v>260</v>
      </c>
      <c r="CR3365" s="5" t="s">
        <v>261</v>
      </c>
      <c r="CS3365" s="5" t="s">
        <v>498</v>
      </c>
      <c r="CT3365" s="7">
        <f>1</f>
        <v>1</v>
      </c>
      <c r="CU3365" s="8">
        <f>1</f>
        <v>1</v>
      </c>
      <c r="CV3365" s="8">
        <f>0</f>
        <v>0</v>
      </c>
      <c r="CX3365" s="8">
        <f>1</f>
        <v>1</v>
      </c>
      <c r="CY3365" s="8">
        <f>1</f>
        <v>1</v>
      </c>
      <c r="CZ3365" s="8" t="s">
        <v>238</v>
      </c>
      <c r="DA3365" s="5" t="s">
        <v>238</v>
      </c>
      <c r="DB3365" s="5" t="s">
        <v>238</v>
      </c>
      <c r="DC3365" s="5" t="s">
        <v>238</v>
      </c>
      <c r="DD3365" s="5" t="s">
        <v>238</v>
      </c>
      <c r="DE3365" s="8">
        <f>0</f>
        <v>0</v>
      </c>
      <c r="DG3365" s="5" t="s">
        <v>238</v>
      </c>
      <c r="DH3365" s="5" t="s">
        <v>238</v>
      </c>
      <c r="DI3365" s="5" t="s">
        <v>238</v>
      </c>
      <c r="DJ3365" s="5" t="s">
        <v>238</v>
      </c>
      <c r="DK3365" s="5" t="s">
        <v>238</v>
      </c>
      <c r="DL3365" s="5" t="s">
        <v>238</v>
      </c>
      <c r="DM3365" s="8" t="s">
        <v>238</v>
      </c>
      <c r="DN3365" s="5" t="s">
        <v>238</v>
      </c>
      <c r="DO3365" s="5" t="s">
        <v>238</v>
      </c>
      <c r="DP3365" s="5" t="s">
        <v>490</v>
      </c>
      <c r="DQ3365" s="5" t="s">
        <v>490</v>
      </c>
      <c r="DR3365" s="5" t="s">
        <v>238</v>
      </c>
      <c r="DS3365" s="5" t="s">
        <v>238</v>
      </c>
      <c r="DT3365" s="5" t="s">
        <v>500</v>
      </c>
      <c r="DU3365" s="5" t="s">
        <v>554</v>
      </c>
      <c r="DV3365" s="5" t="s">
        <v>238</v>
      </c>
      <c r="DW3365" s="5" t="s">
        <v>238</v>
      </c>
      <c r="DX3365" s="5" t="s">
        <v>238</v>
      </c>
      <c r="DY3365" s="5" t="s">
        <v>238</v>
      </c>
      <c r="DZ3365" s="5" t="s">
        <v>238</v>
      </c>
      <c r="EA3365" s="5" t="s">
        <v>238</v>
      </c>
      <c r="EB3365" s="5" t="s">
        <v>238</v>
      </c>
      <c r="EC3365" s="5" t="s">
        <v>238</v>
      </c>
      <c r="ED3365" s="5" t="s">
        <v>238</v>
      </c>
      <c r="EE3365" s="5" t="s">
        <v>238</v>
      </c>
      <c r="EF3365" s="5" t="s">
        <v>238</v>
      </c>
      <c r="EG3365" s="5" t="s">
        <v>238</v>
      </c>
      <c r="EH3365" s="5" t="s">
        <v>238</v>
      </c>
      <c r="EI3365" s="5" t="s">
        <v>238</v>
      </c>
      <c r="EJ3365" s="5" t="s">
        <v>238</v>
      </c>
      <c r="EK3365" s="5" t="s">
        <v>238</v>
      </c>
      <c r="EL3365" s="5" t="s">
        <v>238</v>
      </c>
      <c r="EM3365" s="5" t="s">
        <v>238</v>
      </c>
      <c r="EN3365" s="5" t="s">
        <v>238</v>
      </c>
      <c r="EO3365" s="5" t="s">
        <v>238</v>
      </c>
      <c r="EP3365" s="5" t="s">
        <v>238</v>
      </c>
      <c r="EQ3365" s="5" t="s">
        <v>238</v>
      </c>
      <c r="ER3365" s="5" t="s">
        <v>238</v>
      </c>
      <c r="ES3365" s="5" t="s">
        <v>238</v>
      </c>
      <c r="ET3365" s="5" t="s">
        <v>238</v>
      </c>
      <c r="EU3365" s="5" t="s">
        <v>238</v>
      </c>
      <c r="EV3365" s="5" t="s">
        <v>238</v>
      </c>
      <c r="EW3365" s="5" t="s">
        <v>238</v>
      </c>
      <c r="EX3365" s="5" t="s">
        <v>238</v>
      </c>
      <c r="EY3365" s="5" t="s">
        <v>238</v>
      </c>
      <c r="EZ3365" s="5" t="s">
        <v>238</v>
      </c>
      <c r="FA3365" s="5" t="s">
        <v>238</v>
      </c>
      <c r="FB3365" s="5" t="s">
        <v>238</v>
      </c>
      <c r="FC3365" s="5" t="s">
        <v>238</v>
      </c>
      <c r="FD3365" s="5" t="s">
        <v>238</v>
      </c>
      <c r="FE3365" s="5" t="s">
        <v>238</v>
      </c>
      <c r="FF3365" s="5" t="s">
        <v>238</v>
      </c>
      <c r="FG3365" s="5" t="s">
        <v>238</v>
      </c>
      <c r="FH3365" s="5" t="s">
        <v>238</v>
      </c>
      <c r="FI3365" s="5" t="s">
        <v>238</v>
      </c>
      <c r="FJ3365" s="5" t="s">
        <v>238</v>
      </c>
      <c r="FK3365" s="5" t="s">
        <v>238</v>
      </c>
      <c r="FL3365" s="5" t="s">
        <v>238</v>
      </c>
      <c r="FM3365" s="5" t="s">
        <v>238</v>
      </c>
      <c r="FN3365" s="5" t="s">
        <v>238</v>
      </c>
      <c r="FO3365" s="5" t="s">
        <v>238</v>
      </c>
      <c r="FP3365" s="5" t="s">
        <v>238</v>
      </c>
      <c r="FQ3365" s="5" t="s">
        <v>238</v>
      </c>
      <c r="FR3365" s="5" t="s">
        <v>238</v>
      </c>
      <c r="FS3365" s="5" t="s">
        <v>238</v>
      </c>
      <c r="FT3365" s="5" t="s">
        <v>238</v>
      </c>
      <c r="FU3365" s="5" t="s">
        <v>238</v>
      </c>
      <c r="FV3365" s="5" t="s">
        <v>238</v>
      </c>
      <c r="FW3365" s="5" t="s">
        <v>238</v>
      </c>
      <c r="FX3365" s="5" t="s">
        <v>238</v>
      </c>
      <c r="FY3365" s="5" t="s">
        <v>238</v>
      </c>
      <c r="FZ3365" s="5" t="s">
        <v>238</v>
      </c>
      <c r="GA3365" s="5" t="s">
        <v>238</v>
      </c>
      <c r="GB3365" s="5" t="s">
        <v>238</v>
      </c>
      <c r="GC3365" s="5" t="s">
        <v>238</v>
      </c>
      <c r="GD3365" s="5" t="s">
        <v>238</v>
      </c>
      <c r="GE3365" s="5" t="s">
        <v>238</v>
      </c>
      <c r="GF3365" s="5" t="s">
        <v>238</v>
      </c>
      <c r="GG3365" s="5" t="s">
        <v>238</v>
      </c>
      <c r="GH3365" s="5" t="s">
        <v>238</v>
      </c>
      <c r="GI3365" s="5" t="s">
        <v>238</v>
      </c>
      <c r="GJ3365" s="5" t="s">
        <v>238</v>
      </c>
      <c r="GK3365" s="5" t="s">
        <v>238</v>
      </c>
      <c r="GL3365" s="5" t="s">
        <v>238</v>
      </c>
      <c r="GM3365" s="5" t="s">
        <v>238</v>
      </c>
      <c r="GN3365" s="5" t="s">
        <v>238</v>
      </c>
      <c r="GO3365" s="5" t="s">
        <v>238</v>
      </c>
      <c r="GP3365" s="5" t="s">
        <v>238</v>
      </c>
      <c r="GQ3365" s="5" t="s">
        <v>238</v>
      </c>
      <c r="GR3365" s="5" t="s">
        <v>238</v>
      </c>
      <c r="GS3365" s="5" t="s">
        <v>238</v>
      </c>
      <c r="GT3365" s="5" t="s">
        <v>238</v>
      </c>
      <c r="GU3365" s="5" t="s">
        <v>238</v>
      </c>
      <c r="GV3365" s="5" t="s">
        <v>238</v>
      </c>
      <c r="GW3365" s="5" t="s">
        <v>238</v>
      </c>
      <c r="GX3365" s="5" t="s">
        <v>238</v>
      </c>
      <c r="GY3365" s="5" t="s">
        <v>238</v>
      </c>
      <c r="GZ3365" s="5" t="s">
        <v>238</v>
      </c>
      <c r="HA3365" s="5" t="s">
        <v>238</v>
      </c>
      <c r="HB3365" s="5" t="s">
        <v>238</v>
      </c>
      <c r="HC3365" s="5" t="s">
        <v>238</v>
      </c>
      <c r="HD3365" s="5" t="s">
        <v>238</v>
      </c>
      <c r="HE3365" s="5" t="s">
        <v>238</v>
      </c>
      <c r="HF3365" s="5" t="s">
        <v>238</v>
      </c>
      <c r="HG3365" s="5" t="s">
        <v>238</v>
      </c>
      <c r="HH3365" s="5" t="s">
        <v>238</v>
      </c>
      <c r="HI3365" s="5" t="s">
        <v>238</v>
      </c>
      <c r="HJ3365" s="5" t="s">
        <v>238</v>
      </c>
      <c r="HK3365" s="5" t="s">
        <v>238</v>
      </c>
      <c r="HL3365" s="5" t="s">
        <v>238</v>
      </c>
      <c r="HM3365" s="5" t="s">
        <v>264</v>
      </c>
      <c r="HN3365" s="5" t="s">
        <v>238</v>
      </c>
      <c r="HO3365" s="5" t="s">
        <v>238</v>
      </c>
      <c r="HP3365" s="5" t="s">
        <v>238</v>
      </c>
      <c r="HQ3365" s="5" t="s">
        <v>238</v>
      </c>
      <c r="HR3365" s="5" t="s">
        <v>238</v>
      </c>
      <c r="HS3365" s="5" t="s">
        <v>238</v>
      </c>
      <c r="HT3365" s="5" t="s">
        <v>238</v>
      </c>
      <c r="HU3365" s="5" t="s">
        <v>238</v>
      </c>
      <c r="HV3365" s="5" t="s">
        <v>238</v>
      </c>
      <c r="HW3365" s="5" t="s">
        <v>238</v>
      </c>
      <c r="HX3365" s="5" t="s">
        <v>238</v>
      </c>
      <c r="HY3365" s="5" t="s">
        <v>238</v>
      </c>
      <c r="HZ3365" s="5" t="s">
        <v>238</v>
      </c>
      <c r="IA3365" s="5" t="s">
        <v>238</v>
      </c>
      <c r="IB3365" s="5" t="s">
        <v>238</v>
      </c>
      <c r="IC3365" s="5" t="s">
        <v>238</v>
      </c>
      <c r="ID3365" s="5" t="s">
        <v>238</v>
      </c>
    </row>
    <row r="3366" spans="1:238" x14ac:dyDescent="0.4">
      <c r="A3366" s="5">
        <v>9084</v>
      </c>
      <c r="B3366" s="5">
        <v>1</v>
      </c>
      <c r="C3366" s="5">
        <v>1</v>
      </c>
      <c r="D3366" s="5" t="s">
        <v>484</v>
      </c>
      <c r="E3366" s="5" t="s">
        <v>485</v>
      </c>
      <c r="F3366" s="5" t="s">
        <v>248</v>
      </c>
      <c r="G3366" s="5" t="s">
        <v>4942</v>
      </c>
      <c r="H3366" s="6" t="s">
        <v>4944</v>
      </c>
      <c r="I3366" s="8">
        <f>1</f>
        <v>1</v>
      </c>
      <c r="J3366" s="5" t="s">
        <v>499</v>
      </c>
      <c r="K3366" s="8">
        <f>1</f>
        <v>1</v>
      </c>
      <c r="L3366" s="6" t="s">
        <v>242</v>
      </c>
      <c r="M3366" s="5" t="s">
        <v>267</v>
      </c>
      <c r="N3366" s="5" t="s">
        <v>482</v>
      </c>
      <c r="O3366" s="5" t="s">
        <v>238</v>
      </c>
      <c r="P3366" s="5" t="s">
        <v>238</v>
      </c>
      <c r="Q3366" s="5" t="s">
        <v>239</v>
      </c>
      <c r="R3366" s="5" t="s">
        <v>270</v>
      </c>
      <c r="S3366" s="5" t="s">
        <v>238</v>
      </c>
      <c r="T3366" s="5" t="s">
        <v>238</v>
      </c>
      <c r="U3366" s="5" t="s">
        <v>238</v>
      </c>
      <c r="V3366" s="5" t="s">
        <v>238</v>
      </c>
      <c r="W3366" s="6" t="s">
        <v>238</v>
      </c>
      <c r="X3366" s="6" t="s">
        <v>238</v>
      </c>
      <c r="Y3366" s="5" t="s">
        <v>238</v>
      </c>
      <c r="Z3366" s="6" t="s">
        <v>238</v>
      </c>
      <c r="AA3366" s="6" t="s">
        <v>243</v>
      </c>
      <c r="AB3366" s="5" t="s">
        <v>4943</v>
      </c>
      <c r="AC3366" s="5" t="s">
        <v>244</v>
      </c>
      <c r="AD3366" s="5" t="s">
        <v>245</v>
      </c>
      <c r="AE3366" s="5" t="s">
        <v>238</v>
      </c>
      <c r="AF3366" s="5" t="s">
        <v>238</v>
      </c>
      <c r="AG3366" s="5" t="s">
        <v>238</v>
      </c>
      <c r="AH3366" s="5" t="s">
        <v>238</v>
      </c>
      <c r="AI3366" s="5" t="s">
        <v>238</v>
      </c>
      <c r="AJ3366" s="5" t="s">
        <v>238</v>
      </c>
      <c r="AK3366" s="5" t="s">
        <v>238</v>
      </c>
      <c r="AL3366" s="5" t="s">
        <v>238</v>
      </c>
      <c r="AM3366" s="6" t="s">
        <v>238</v>
      </c>
      <c r="AN3366" s="6" t="s">
        <v>238</v>
      </c>
      <c r="AO3366" s="6" t="s">
        <v>238</v>
      </c>
      <c r="AP3366" s="6" t="s">
        <v>238</v>
      </c>
      <c r="AQ3366" s="5" t="s">
        <v>238</v>
      </c>
      <c r="AR3366" s="5" t="s">
        <v>488</v>
      </c>
      <c r="AS3366" s="5" t="s">
        <v>488</v>
      </c>
      <c r="AT3366" s="5" t="s">
        <v>246</v>
      </c>
      <c r="AU3366" s="5" t="s">
        <v>489</v>
      </c>
      <c r="AV3366" s="5" t="s">
        <v>247</v>
      </c>
      <c r="AW3366" s="5" t="s">
        <v>238</v>
      </c>
      <c r="AX3366" s="5" t="s">
        <v>249</v>
      </c>
      <c r="AY3366" s="5" t="s">
        <v>490</v>
      </c>
      <c r="BA3366" s="5" t="s">
        <v>238</v>
      </c>
      <c r="BC3366" s="5" t="s">
        <v>491</v>
      </c>
      <c r="BD3366" s="6" t="s">
        <v>492</v>
      </c>
      <c r="BE3366" s="5" t="s">
        <v>493</v>
      </c>
      <c r="BF3366" s="5" t="s">
        <v>493</v>
      </c>
      <c r="BG3366" s="5" t="s">
        <v>238</v>
      </c>
      <c r="BH3366" s="8">
        <f>1</f>
        <v>1</v>
      </c>
      <c r="BI3366" s="8">
        <f>1</f>
        <v>1</v>
      </c>
      <c r="BJ3366" s="5" t="s">
        <v>253</v>
      </c>
      <c r="BK3366" s="5" t="s">
        <v>254</v>
      </c>
      <c r="BL3366" s="5" t="s">
        <v>238</v>
      </c>
      <c r="BM3366" s="5" t="s">
        <v>238</v>
      </c>
      <c r="BN3366" s="5" t="s">
        <v>238</v>
      </c>
      <c r="BO3366" s="5" t="s">
        <v>238</v>
      </c>
      <c r="BP3366" s="5" t="s">
        <v>238</v>
      </c>
      <c r="BQ3366" s="5" t="s">
        <v>238</v>
      </c>
      <c r="BR3366" s="5" t="s">
        <v>238</v>
      </c>
      <c r="BS3366" s="5" t="s">
        <v>238</v>
      </c>
      <c r="BT3366" s="6" t="s">
        <v>238</v>
      </c>
      <c r="BU3366" s="5" t="s">
        <v>238</v>
      </c>
      <c r="BV3366" s="5" t="s">
        <v>238</v>
      </c>
      <c r="BW3366" s="5" t="s">
        <v>238</v>
      </c>
      <c r="BX3366" s="5" t="s">
        <v>254</v>
      </c>
      <c r="BY3366" s="5" t="s">
        <v>238</v>
      </c>
      <c r="BZ3366" s="5" t="s">
        <v>238</v>
      </c>
      <c r="CA3366" s="5" t="s">
        <v>238</v>
      </c>
      <c r="CB3366" s="5" t="s">
        <v>238</v>
      </c>
      <c r="CC3366" s="5" t="s">
        <v>238</v>
      </c>
      <c r="CD3366" s="5" t="s">
        <v>273</v>
      </c>
      <c r="CE3366" s="5" t="s">
        <v>256</v>
      </c>
      <c r="CF3366" s="5" t="s">
        <v>238</v>
      </c>
      <c r="CH3366" s="5" t="s">
        <v>494</v>
      </c>
      <c r="CI3366" s="6" t="s">
        <v>257</v>
      </c>
      <c r="CJ3366" s="5" t="s">
        <v>495</v>
      </c>
      <c r="CK3366" s="5" t="s">
        <v>258</v>
      </c>
      <c r="CL3366" s="5" t="s">
        <v>496</v>
      </c>
      <c r="CM3366" s="5" t="s">
        <v>238</v>
      </c>
      <c r="CN3366" s="5">
        <v>0</v>
      </c>
      <c r="CO3366" s="5" t="s">
        <v>497</v>
      </c>
      <c r="CP3366" s="5" t="s">
        <v>260</v>
      </c>
      <c r="CQ3366" s="5" t="s">
        <v>260</v>
      </c>
      <c r="CR3366" s="5" t="s">
        <v>261</v>
      </c>
      <c r="CS3366" s="5" t="s">
        <v>498</v>
      </c>
      <c r="CT3366" s="7">
        <f>1</f>
        <v>1</v>
      </c>
      <c r="CU3366" s="8">
        <f>1</f>
        <v>1</v>
      </c>
      <c r="CV3366" s="8">
        <f>0</f>
        <v>0</v>
      </c>
      <c r="CX3366" s="8">
        <f>1</f>
        <v>1</v>
      </c>
      <c r="CY3366" s="8">
        <f>1</f>
        <v>1</v>
      </c>
      <c r="CZ3366" s="8" t="s">
        <v>238</v>
      </c>
      <c r="DA3366" s="5" t="s">
        <v>238</v>
      </c>
      <c r="DB3366" s="5" t="s">
        <v>238</v>
      </c>
      <c r="DC3366" s="5" t="s">
        <v>238</v>
      </c>
      <c r="DD3366" s="5" t="s">
        <v>238</v>
      </c>
      <c r="DE3366" s="8">
        <f>0</f>
        <v>0</v>
      </c>
      <c r="DG3366" s="5" t="s">
        <v>238</v>
      </c>
      <c r="DH3366" s="5" t="s">
        <v>238</v>
      </c>
      <c r="DI3366" s="5" t="s">
        <v>238</v>
      </c>
      <c r="DJ3366" s="5" t="s">
        <v>238</v>
      </c>
      <c r="DK3366" s="5" t="s">
        <v>238</v>
      </c>
      <c r="DL3366" s="5" t="s">
        <v>238</v>
      </c>
      <c r="DM3366" s="8" t="s">
        <v>238</v>
      </c>
      <c r="DN3366" s="5" t="s">
        <v>238</v>
      </c>
      <c r="DO3366" s="5" t="s">
        <v>238</v>
      </c>
      <c r="DP3366" s="5" t="s">
        <v>490</v>
      </c>
      <c r="DQ3366" s="5" t="s">
        <v>490</v>
      </c>
      <c r="DR3366" s="5" t="s">
        <v>238</v>
      </c>
      <c r="DS3366" s="5" t="s">
        <v>238</v>
      </c>
      <c r="DT3366" s="5" t="s">
        <v>500</v>
      </c>
      <c r="DU3366" s="5" t="s">
        <v>1358</v>
      </c>
      <c r="DV3366" s="5" t="s">
        <v>238</v>
      </c>
      <c r="DW3366" s="5" t="s">
        <v>238</v>
      </c>
      <c r="DX3366" s="5" t="s">
        <v>238</v>
      </c>
      <c r="DY3366" s="5" t="s">
        <v>238</v>
      </c>
      <c r="DZ3366" s="5" t="s">
        <v>238</v>
      </c>
      <c r="EA3366" s="5" t="s">
        <v>238</v>
      </c>
      <c r="EB3366" s="5" t="s">
        <v>238</v>
      </c>
      <c r="EC3366" s="5" t="s">
        <v>238</v>
      </c>
      <c r="ED3366" s="5" t="s">
        <v>238</v>
      </c>
      <c r="EE3366" s="5" t="s">
        <v>238</v>
      </c>
      <c r="EF3366" s="5" t="s">
        <v>238</v>
      </c>
      <c r="EG3366" s="5" t="s">
        <v>238</v>
      </c>
      <c r="EH3366" s="5" t="s">
        <v>238</v>
      </c>
      <c r="EI3366" s="5" t="s">
        <v>238</v>
      </c>
      <c r="EJ3366" s="5" t="s">
        <v>238</v>
      </c>
      <c r="EK3366" s="5" t="s">
        <v>238</v>
      </c>
      <c r="EL3366" s="5" t="s">
        <v>238</v>
      </c>
      <c r="EM3366" s="5" t="s">
        <v>238</v>
      </c>
      <c r="EN3366" s="5" t="s">
        <v>238</v>
      </c>
      <c r="EO3366" s="5" t="s">
        <v>238</v>
      </c>
      <c r="EP3366" s="5" t="s">
        <v>238</v>
      </c>
      <c r="EQ3366" s="5" t="s">
        <v>238</v>
      </c>
      <c r="ER3366" s="5" t="s">
        <v>238</v>
      </c>
      <c r="ES3366" s="5" t="s">
        <v>238</v>
      </c>
      <c r="ET3366" s="5" t="s">
        <v>238</v>
      </c>
      <c r="EU3366" s="5" t="s">
        <v>238</v>
      </c>
      <c r="EV3366" s="5" t="s">
        <v>238</v>
      </c>
      <c r="EW3366" s="5" t="s">
        <v>238</v>
      </c>
      <c r="EX3366" s="5" t="s">
        <v>238</v>
      </c>
      <c r="EY3366" s="5" t="s">
        <v>238</v>
      </c>
      <c r="EZ3366" s="5" t="s">
        <v>238</v>
      </c>
      <c r="FA3366" s="5" t="s">
        <v>238</v>
      </c>
      <c r="FB3366" s="5" t="s">
        <v>238</v>
      </c>
      <c r="FC3366" s="5" t="s">
        <v>238</v>
      </c>
      <c r="FD3366" s="5" t="s">
        <v>238</v>
      </c>
      <c r="FE3366" s="5" t="s">
        <v>238</v>
      </c>
      <c r="FF3366" s="5" t="s">
        <v>238</v>
      </c>
      <c r="FG3366" s="5" t="s">
        <v>238</v>
      </c>
      <c r="FH3366" s="5" t="s">
        <v>238</v>
      </c>
      <c r="FI3366" s="5" t="s">
        <v>238</v>
      </c>
      <c r="FJ3366" s="5" t="s">
        <v>238</v>
      </c>
      <c r="FK3366" s="5" t="s">
        <v>238</v>
      </c>
      <c r="FL3366" s="5" t="s">
        <v>238</v>
      </c>
      <c r="FM3366" s="5" t="s">
        <v>238</v>
      </c>
      <c r="FN3366" s="5" t="s">
        <v>238</v>
      </c>
      <c r="FO3366" s="5" t="s">
        <v>238</v>
      </c>
      <c r="FP3366" s="5" t="s">
        <v>238</v>
      </c>
      <c r="FQ3366" s="5" t="s">
        <v>238</v>
      </c>
      <c r="FR3366" s="5" t="s">
        <v>238</v>
      </c>
      <c r="FS3366" s="5" t="s">
        <v>238</v>
      </c>
      <c r="FT3366" s="5" t="s">
        <v>238</v>
      </c>
      <c r="FU3366" s="5" t="s">
        <v>238</v>
      </c>
      <c r="FV3366" s="5" t="s">
        <v>238</v>
      </c>
      <c r="FW3366" s="5" t="s">
        <v>238</v>
      </c>
      <c r="FX3366" s="5" t="s">
        <v>238</v>
      </c>
      <c r="FY3366" s="5" t="s">
        <v>238</v>
      </c>
      <c r="FZ3366" s="5" t="s">
        <v>238</v>
      </c>
      <c r="GA3366" s="5" t="s">
        <v>238</v>
      </c>
      <c r="GB3366" s="5" t="s">
        <v>238</v>
      </c>
      <c r="GC3366" s="5" t="s">
        <v>238</v>
      </c>
      <c r="GD3366" s="5" t="s">
        <v>238</v>
      </c>
      <c r="GE3366" s="5" t="s">
        <v>238</v>
      </c>
      <c r="GF3366" s="5" t="s">
        <v>238</v>
      </c>
      <c r="GG3366" s="5" t="s">
        <v>238</v>
      </c>
      <c r="GH3366" s="5" t="s">
        <v>238</v>
      </c>
      <c r="GI3366" s="5" t="s">
        <v>238</v>
      </c>
      <c r="GJ3366" s="5" t="s">
        <v>238</v>
      </c>
      <c r="GK3366" s="5" t="s">
        <v>238</v>
      </c>
      <c r="GL3366" s="5" t="s">
        <v>238</v>
      </c>
      <c r="GM3366" s="5" t="s">
        <v>238</v>
      </c>
      <c r="GN3366" s="5" t="s">
        <v>238</v>
      </c>
      <c r="GO3366" s="5" t="s">
        <v>238</v>
      </c>
      <c r="GP3366" s="5" t="s">
        <v>238</v>
      </c>
      <c r="GQ3366" s="5" t="s">
        <v>238</v>
      </c>
      <c r="GR3366" s="5" t="s">
        <v>238</v>
      </c>
      <c r="GS3366" s="5" t="s">
        <v>238</v>
      </c>
      <c r="GT3366" s="5" t="s">
        <v>238</v>
      </c>
      <c r="GU3366" s="5" t="s">
        <v>238</v>
      </c>
      <c r="GV3366" s="5" t="s">
        <v>238</v>
      </c>
      <c r="GW3366" s="5" t="s">
        <v>238</v>
      </c>
      <c r="GX3366" s="5" t="s">
        <v>238</v>
      </c>
      <c r="GY3366" s="5" t="s">
        <v>238</v>
      </c>
      <c r="GZ3366" s="5" t="s">
        <v>238</v>
      </c>
      <c r="HA3366" s="5" t="s">
        <v>238</v>
      </c>
      <c r="HB3366" s="5" t="s">
        <v>238</v>
      </c>
      <c r="HC3366" s="5" t="s">
        <v>238</v>
      </c>
      <c r="HD3366" s="5" t="s">
        <v>238</v>
      </c>
      <c r="HE3366" s="5" t="s">
        <v>238</v>
      </c>
      <c r="HF3366" s="5" t="s">
        <v>238</v>
      </c>
      <c r="HG3366" s="5" t="s">
        <v>238</v>
      </c>
      <c r="HH3366" s="5" t="s">
        <v>238</v>
      </c>
      <c r="HI3366" s="5" t="s">
        <v>238</v>
      </c>
      <c r="HJ3366" s="5" t="s">
        <v>238</v>
      </c>
      <c r="HK3366" s="5" t="s">
        <v>238</v>
      </c>
      <c r="HL3366" s="5" t="s">
        <v>238</v>
      </c>
      <c r="HM3366" s="5" t="s">
        <v>264</v>
      </c>
      <c r="HN3366" s="5" t="s">
        <v>238</v>
      </c>
      <c r="HO3366" s="5" t="s">
        <v>238</v>
      </c>
      <c r="HP3366" s="5" t="s">
        <v>238</v>
      </c>
      <c r="HQ3366" s="5" t="s">
        <v>238</v>
      </c>
      <c r="HR3366" s="5" t="s">
        <v>238</v>
      </c>
      <c r="HS3366" s="5" t="s">
        <v>238</v>
      </c>
      <c r="HT3366" s="5" t="s">
        <v>238</v>
      </c>
      <c r="HU3366" s="5" t="s">
        <v>238</v>
      </c>
      <c r="HV3366" s="5" t="s">
        <v>238</v>
      </c>
      <c r="HW3366" s="5" t="s">
        <v>238</v>
      </c>
      <c r="HX3366" s="5" t="s">
        <v>238</v>
      </c>
      <c r="HY3366" s="5" t="s">
        <v>238</v>
      </c>
      <c r="HZ3366" s="5" t="s">
        <v>238</v>
      </c>
      <c r="IA3366" s="5" t="s">
        <v>238</v>
      </c>
      <c r="IB3366" s="5" t="s">
        <v>238</v>
      </c>
      <c r="IC3366" s="5" t="s">
        <v>238</v>
      </c>
      <c r="ID3366" s="5" t="s">
        <v>238</v>
      </c>
    </row>
    <row r="3367" spans="1:238" x14ac:dyDescent="0.4">
      <c r="A3367" s="5">
        <v>9085</v>
      </c>
      <c r="B3367" s="5">
        <v>1</v>
      </c>
      <c r="C3367" s="5">
        <v>1</v>
      </c>
      <c r="D3367" s="5" t="s">
        <v>484</v>
      </c>
      <c r="E3367" s="5" t="s">
        <v>485</v>
      </c>
      <c r="F3367" s="5" t="s">
        <v>248</v>
      </c>
      <c r="G3367" s="5" t="s">
        <v>4731</v>
      </c>
      <c r="H3367" s="6" t="s">
        <v>4732</v>
      </c>
      <c r="I3367" s="8">
        <f>1</f>
        <v>1</v>
      </c>
      <c r="J3367" s="5" t="s">
        <v>499</v>
      </c>
      <c r="K3367" s="8">
        <f>1</f>
        <v>1</v>
      </c>
      <c r="L3367" s="6" t="s">
        <v>242</v>
      </c>
      <c r="M3367" s="5" t="s">
        <v>267</v>
      </c>
      <c r="N3367" s="5" t="s">
        <v>482</v>
      </c>
      <c r="O3367" s="5" t="s">
        <v>238</v>
      </c>
      <c r="P3367" s="5" t="s">
        <v>238</v>
      </c>
      <c r="Q3367" s="5" t="s">
        <v>239</v>
      </c>
      <c r="R3367" s="5" t="s">
        <v>270</v>
      </c>
      <c r="S3367" s="5" t="s">
        <v>238</v>
      </c>
      <c r="T3367" s="5" t="s">
        <v>238</v>
      </c>
      <c r="U3367" s="5" t="s">
        <v>238</v>
      </c>
      <c r="V3367" s="5" t="s">
        <v>238</v>
      </c>
      <c r="W3367" s="6" t="s">
        <v>238</v>
      </c>
      <c r="X3367" s="6" t="s">
        <v>238</v>
      </c>
      <c r="Y3367" s="5" t="s">
        <v>238</v>
      </c>
      <c r="Z3367" s="6" t="s">
        <v>238</v>
      </c>
      <c r="AA3367" s="6" t="s">
        <v>243</v>
      </c>
      <c r="AB3367" s="5" t="s">
        <v>486</v>
      </c>
      <c r="AC3367" s="5" t="s">
        <v>244</v>
      </c>
      <c r="AD3367" s="5" t="s">
        <v>245</v>
      </c>
      <c r="AE3367" s="5" t="s">
        <v>238</v>
      </c>
      <c r="AF3367" s="5" t="s">
        <v>238</v>
      </c>
      <c r="AG3367" s="5" t="s">
        <v>238</v>
      </c>
      <c r="AH3367" s="5" t="s">
        <v>238</v>
      </c>
      <c r="AI3367" s="5" t="s">
        <v>238</v>
      </c>
      <c r="AJ3367" s="5" t="s">
        <v>238</v>
      </c>
      <c r="AK3367" s="5" t="s">
        <v>238</v>
      </c>
      <c r="AL3367" s="5" t="s">
        <v>238</v>
      </c>
      <c r="AM3367" s="6" t="s">
        <v>238</v>
      </c>
      <c r="AN3367" s="6" t="s">
        <v>238</v>
      </c>
      <c r="AO3367" s="6" t="s">
        <v>238</v>
      </c>
      <c r="AP3367" s="6" t="s">
        <v>238</v>
      </c>
      <c r="AQ3367" s="5" t="s">
        <v>238</v>
      </c>
      <c r="AR3367" s="5" t="s">
        <v>488</v>
      </c>
      <c r="AS3367" s="5" t="s">
        <v>488</v>
      </c>
      <c r="AT3367" s="5" t="s">
        <v>246</v>
      </c>
      <c r="AU3367" s="5" t="s">
        <v>489</v>
      </c>
      <c r="AV3367" s="5" t="s">
        <v>247</v>
      </c>
      <c r="AW3367" s="5" t="s">
        <v>238</v>
      </c>
      <c r="AX3367" s="5" t="s">
        <v>249</v>
      </c>
      <c r="AY3367" s="5" t="s">
        <v>490</v>
      </c>
      <c r="BA3367" s="5" t="s">
        <v>238</v>
      </c>
      <c r="BC3367" s="5" t="s">
        <v>491</v>
      </c>
      <c r="BD3367" s="6" t="s">
        <v>492</v>
      </c>
      <c r="BE3367" s="5" t="s">
        <v>493</v>
      </c>
      <c r="BF3367" s="5" t="s">
        <v>493</v>
      </c>
      <c r="BG3367" s="5" t="s">
        <v>238</v>
      </c>
      <c r="BH3367" s="8">
        <f>1</f>
        <v>1</v>
      </c>
      <c r="BI3367" s="8">
        <f>1</f>
        <v>1</v>
      </c>
      <c r="BJ3367" s="5" t="s">
        <v>253</v>
      </c>
      <c r="BK3367" s="5" t="s">
        <v>254</v>
      </c>
      <c r="BL3367" s="5" t="s">
        <v>238</v>
      </c>
      <c r="BM3367" s="5" t="s">
        <v>238</v>
      </c>
      <c r="BN3367" s="5" t="s">
        <v>238</v>
      </c>
      <c r="BO3367" s="5" t="s">
        <v>238</v>
      </c>
      <c r="BP3367" s="5" t="s">
        <v>238</v>
      </c>
      <c r="BQ3367" s="5" t="s">
        <v>238</v>
      </c>
      <c r="BR3367" s="5" t="s">
        <v>238</v>
      </c>
      <c r="BS3367" s="5" t="s">
        <v>238</v>
      </c>
      <c r="BT3367" s="6" t="s">
        <v>238</v>
      </c>
      <c r="BU3367" s="5" t="s">
        <v>238</v>
      </c>
      <c r="BV3367" s="5" t="s">
        <v>238</v>
      </c>
      <c r="BW3367" s="5" t="s">
        <v>238</v>
      </c>
      <c r="BX3367" s="5" t="s">
        <v>254</v>
      </c>
      <c r="BY3367" s="5" t="s">
        <v>238</v>
      </c>
      <c r="BZ3367" s="5" t="s">
        <v>238</v>
      </c>
      <c r="CA3367" s="5" t="s">
        <v>238</v>
      </c>
      <c r="CB3367" s="5" t="s">
        <v>238</v>
      </c>
      <c r="CC3367" s="5" t="s">
        <v>238</v>
      </c>
      <c r="CD3367" s="5" t="s">
        <v>273</v>
      </c>
      <c r="CE3367" s="5" t="s">
        <v>256</v>
      </c>
      <c r="CF3367" s="5" t="s">
        <v>238</v>
      </c>
      <c r="CH3367" s="5" t="s">
        <v>494</v>
      </c>
      <c r="CI3367" s="6" t="s">
        <v>257</v>
      </c>
      <c r="CJ3367" s="5" t="s">
        <v>495</v>
      </c>
      <c r="CK3367" s="5" t="s">
        <v>258</v>
      </c>
      <c r="CL3367" s="5" t="s">
        <v>496</v>
      </c>
      <c r="CM3367" s="5" t="s">
        <v>238</v>
      </c>
      <c r="CN3367" s="5">
        <v>0</v>
      </c>
      <c r="CO3367" s="5" t="s">
        <v>497</v>
      </c>
      <c r="CP3367" s="5" t="s">
        <v>260</v>
      </c>
      <c r="CQ3367" s="5" t="s">
        <v>260</v>
      </c>
      <c r="CR3367" s="5" t="s">
        <v>261</v>
      </c>
      <c r="CS3367" s="5" t="s">
        <v>498</v>
      </c>
      <c r="CT3367" s="7">
        <f>1</f>
        <v>1</v>
      </c>
      <c r="CU3367" s="8">
        <f>1</f>
        <v>1</v>
      </c>
      <c r="CV3367" s="8">
        <f>0</f>
        <v>0</v>
      </c>
      <c r="CX3367" s="8">
        <f>1</f>
        <v>1</v>
      </c>
      <c r="CY3367" s="8">
        <f>1</f>
        <v>1</v>
      </c>
      <c r="CZ3367" s="8" t="s">
        <v>238</v>
      </c>
      <c r="DA3367" s="5" t="s">
        <v>238</v>
      </c>
      <c r="DB3367" s="5" t="s">
        <v>238</v>
      </c>
      <c r="DC3367" s="5" t="s">
        <v>238</v>
      </c>
      <c r="DD3367" s="5" t="s">
        <v>238</v>
      </c>
      <c r="DE3367" s="8">
        <f>0</f>
        <v>0</v>
      </c>
      <c r="DG3367" s="5" t="s">
        <v>238</v>
      </c>
      <c r="DH3367" s="5" t="s">
        <v>238</v>
      </c>
      <c r="DI3367" s="5" t="s">
        <v>238</v>
      </c>
      <c r="DJ3367" s="5" t="s">
        <v>238</v>
      </c>
      <c r="DK3367" s="5" t="s">
        <v>238</v>
      </c>
      <c r="DL3367" s="5" t="s">
        <v>238</v>
      </c>
      <c r="DM3367" s="8" t="s">
        <v>238</v>
      </c>
      <c r="DN3367" s="5" t="s">
        <v>238</v>
      </c>
      <c r="DO3367" s="5" t="s">
        <v>238</v>
      </c>
      <c r="DP3367" s="5" t="s">
        <v>490</v>
      </c>
      <c r="DQ3367" s="5" t="s">
        <v>490</v>
      </c>
      <c r="DR3367" s="5" t="s">
        <v>238</v>
      </c>
      <c r="DS3367" s="5" t="s">
        <v>238</v>
      </c>
      <c r="DT3367" s="5" t="s">
        <v>500</v>
      </c>
      <c r="DU3367" s="5" t="s">
        <v>1064</v>
      </c>
      <c r="DV3367" s="5" t="s">
        <v>238</v>
      </c>
      <c r="DW3367" s="5" t="s">
        <v>238</v>
      </c>
      <c r="DX3367" s="5" t="s">
        <v>238</v>
      </c>
      <c r="DY3367" s="5" t="s">
        <v>238</v>
      </c>
      <c r="DZ3367" s="5" t="s">
        <v>238</v>
      </c>
      <c r="EA3367" s="5" t="s">
        <v>238</v>
      </c>
      <c r="EB3367" s="5" t="s">
        <v>238</v>
      </c>
      <c r="EC3367" s="5" t="s">
        <v>238</v>
      </c>
      <c r="ED3367" s="5" t="s">
        <v>238</v>
      </c>
      <c r="EE3367" s="5" t="s">
        <v>238</v>
      </c>
      <c r="EF3367" s="5" t="s">
        <v>238</v>
      </c>
      <c r="EG3367" s="5" t="s">
        <v>238</v>
      </c>
      <c r="EH3367" s="5" t="s">
        <v>238</v>
      </c>
      <c r="EI3367" s="5" t="s">
        <v>238</v>
      </c>
      <c r="EJ3367" s="5" t="s">
        <v>238</v>
      </c>
      <c r="EK3367" s="5" t="s">
        <v>238</v>
      </c>
      <c r="EL3367" s="5" t="s">
        <v>238</v>
      </c>
      <c r="EM3367" s="5" t="s">
        <v>238</v>
      </c>
      <c r="EN3367" s="5" t="s">
        <v>238</v>
      </c>
      <c r="EO3367" s="5" t="s">
        <v>238</v>
      </c>
      <c r="EP3367" s="5" t="s">
        <v>238</v>
      </c>
      <c r="EQ3367" s="5" t="s">
        <v>238</v>
      </c>
      <c r="ER3367" s="5" t="s">
        <v>238</v>
      </c>
      <c r="ES3367" s="5" t="s">
        <v>238</v>
      </c>
      <c r="ET3367" s="5" t="s">
        <v>238</v>
      </c>
      <c r="EU3367" s="5" t="s">
        <v>238</v>
      </c>
      <c r="EV3367" s="5" t="s">
        <v>238</v>
      </c>
      <c r="EW3367" s="5" t="s">
        <v>238</v>
      </c>
      <c r="EX3367" s="5" t="s">
        <v>238</v>
      </c>
      <c r="EY3367" s="5" t="s">
        <v>238</v>
      </c>
      <c r="EZ3367" s="5" t="s">
        <v>238</v>
      </c>
      <c r="FA3367" s="5" t="s">
        <v>238</v>
      </c>
      <c r="FB3367" s="5" t="s">
        <v>238</v>
      </c>
      <c r="FC3367" s="5" t="s">
        <v>238</v>
      </c>
      <c r="FD3367" s="5" t="s">
        <v>238</v>
      </c>
      <c r="FE3367" s="5" t="s">
        <v>238</v>
      </c>
      <c r="FF3367" s="5" t="s">
        <v>238</v>
      </c>
      <c r="FG3367" s="5" t="s">
        <v>238</v>
      </c>
      <c r="FH3367" s="5" t="s">
        <v>238</v>
      </c>
      <c r="FI3367" s="5" t="s">
        <v>238</v>
      </c>
      <c r="FJ3367" s="5" t="s">
        <v>238</v>
      </c>
      <c r="FK3367" s="5" t="s">
        <v>238</v>
      </c>
      <c r="FL3367" s="5" t="s">
        <v>238</v>
      </c>
      <c r="FM3367" s="5" t="s">
        <v>238</v>
      </c>
      <c r="FN3367" s="5" t="s">
        <v>238</v>
      </c>
      <c r="FO3367" s="5" t="s">
        <v>238</v>
      </c>
      <c r="FP3367" s="5" t="s">
        <v>238</v>
      </c>
      <c r="FQ3367" s="5" t="s">
        <v>238</v>
      </c>
      <c r="FR3367" s="5" t="s">
        <v>238</v>
      </c>
      <c r="FS3367" s="5" t="s">
        <v>238</v>
      </c>
      <c r="FT3367" s="5" t="s">
        <v>238</v>
      </c>
      <c r="FU3367" s="5" t="s">
        <v>238</v>
      </c>
      <c r="FV3367" s="5" t="s">
        <v>238</v>
      </c>
      <c r="FW3367" s="5" t="s">
        <v>238</v>
      </c>
      <c r="FX3367" s="5" t="s">
        <v>238</v>
      </c>
      <c r="FY3367" s="5" t="s">
        <v>238</v>
      </c>
      <c r="FZ3367" s="5" t="s">
        <v>238</v>
      </c>
      <c r="GA3367" s="5" t="s">
        <v>238</v>
      </c>
      <c r="GB3367" s="5" t="s">
        <v>238</v>
      </c>
      <c r="GC3367" s="5" t="s">
        <v>238</v>
      </c>
      <c r="GD3367" s="5" t="s">
        <v>238</v>
      </c>
      <c r="GE3367" s="5" t="s">
        <v>238</v>
      </c>
      <c r="GF3367" s="5" t="s">
        <v>238</v>
      </c>
      <c r="GG3367" s="5" t="s">
        <v>238</v>
      </c>
      <c r="GH3367" s="5" t="s">
        <v>238</v>
      </c>
      <c r="GI3367" s="5" t="s">
        <v>238</v>
      </c>
      <c r="GJ3367" s="5" t="s">
        <v>238</v>
      </c>
      <c r="GK3367" s="5" t="s">
        <v>238</v>
      </c>
      <c r="GL3367" s="5" t="s">
        <v>238</v>
      </c>
      <c r="GM3367" s="5" t="s">
        <v>238</v>
      </c>
      <c r="GN3367" s="5" t="s">
        <v>238</v>
      </c>
      <c r="GO3367" s="5" t="s">
        <v>238</v>
      </c>
      <c r="GP3367" s="5" t="s">
        <v>238</v>
      </c>
      <c r="GQ3367" s="5" t="s">
        <v>238</v>
      </c>
      <c r="GR3367" s="5" t="s">
        <v>238</v>
      </c>
      <c r="GS3367" s="5" t="s">
        <v>238</v>
      </c>
      <c r="GT3367" s="5" t="s">
        <v>238</v>
      </c>
      <c r="GU3367" s="5" t="s">
        <v>238</v>
      </c>
      <c r="GV3367" s="5" t="s">
        <v>238</v>
      </c>
      <c r="GW3367" s="5" t="s">
        <v>238</v>
      </c>
      <c r="GX3367" s="5" t="s">
        <v>238</v>
      </c>
      <c r="GY3367" s="5" t="s">
        <v>238</v>
      </c>
      <c r="GZ3367" s="5" t="s">
        <v>238</v>
      </c>
      <c r="HA3367" s="5" t="s">
        <v>238</v>
      </c>
      <c r="HB3367" s="5" t="s">
        <v>238</v>
      </c>
      <c r="HC3367" s="5" t="s">
        <v>238</v>
      </c>
      <c r="HD3367" s="5" t="s">
        <v>238</v>
      </c>
      <c r="HE3367" s="5" t="s">
        <v>238</v>
      </c>
      <c r="HF3367" s="5" t="s">
        <v>238</v>
      </c>
      <c r="HG3367" s="5" t="s">
        <v>238</v>
      </c>
      <c r="HH3367" s="5" t="s">
        <v>238</v>
      </c>
      <c r="HI3367" s="5" t="s">
        <v>238</v>
      </c>
      <c r="HJ3367" s="5" t="s">
        <v>238</v>
      </c>
      <c r="HK3367" s="5" t="s">
        <v>238</v>
      </c>
      <c r="HL3367" s="5" t="s">
        <v>238</v>
      </c>
      <c r="HM3367" s="5" t="s">
        <v>264</v>
      </c>
      <c r="HN3367" s="5" t="s">
        <v>238</v>
      </c>
      <c r="HO3367" s="5" t="s">
        <v>238</v>
      </c>
      <c r="HP3367" s="5" t="s">
        <v>238</v>
      </c>
      <c r="HQ3367" s="5" t="s">
        <v>238</v>
      </c>
      <c r="HR3367" s="5" t="s">
        <v>238</v>
      </c>
      <c r="HS3367" s="5" t="s">
        <v>238</v>
      </c>
      <c r="HT3367" s="5" t="s">
        <v>238</v>
      </c>
      <c r="HU3367" s="5" t="s">
        <v>238</v>
      </c>
      <c r="HV3367" s="5" t="s">
        <v>238</v>
      </c>
      <c r="HW3367" s="5" t="s">
        <v>238</v>
      </c>
      <c r="HX3367" s="5" t="s">
        <v>238</v>
      </c>
      <c r="HY3367" s="5" t="s">
        <v>238</v>
      </c>
      <c r="HZ3367" s="5" t="s">
        <v>238</v>
      </c>
      <c r="IA3367" s="5" t="s">
        <v>238</v>
      </c>
      <c r="IB3367" s="5" t="s">
        <v>238</v>
      </c>
      <c r="IC3367" s="5" t="s">
        <v>238</v>
      </c>
      <c r="ID3367" s="5" t="s">
        <v>238</v>
      </c>
    </row>
    <row r="3368" spans="1:238" x14ac:dyDescent="0.4">
      <c r="A3368" s="5">
        <v>9086</v>
      </c>
      <c r="B3368" s="5">
        <v>1</v>
      </c>
      <c r="C3368" s="5">
        <v>1</v>
      </c>
      <c r="D3368" s="5" t="s">
        <v>484</v>
      </c>
      <c r="E3368" s="5" t="s">
        <v>485</v>
      </c>
      <c r="F3368" s="5" t="s">
        <v>248</v>
      </c>
      <c r="G3368" s="5" t="s">
        <v>3917</v>
      </c>
      <c r="H3368" s="6" t="s">
        <v>3919</v>
      </c>
      <c r="I3368" s="8">
        <f>1</f>
        <v>1</v>
      </c>
      <c r="J3368" s="5" t="s">
        <v>499</v>
      </c>
      <c r="K3368" s="8">
        <f>1</f>
        <v>1</v>
      </c>
      <c r="L3368" s="6" t="s">
        <v>242</v>
      </c>
      <c r="M3368" s="5" t="s">
        <v>267</v>
      </c>
      <c r="N3368" s="5" t="s">
        <v>482</v>
      </c>
      <c r="O3368" s="5" t="s">
        <v>238</v>
      </c>
      <c r="P3368" s="5" t="s">
        <v>238</v>
      </c>
      <c r="Q3368" s="5" t="s">
        <v>239</v>
      </c>
      <c r="R3368" s="5" t="s">
        <v>270</v>
      </c>
      <c r="S3368" s="5" t="s">
        <v>238</v>
      </c>
      <c r="T3368" s="5" t="s">
        <v>238</v>
      </c>
      <c r="U3368" s="5" t="s">
        <v>238</v>
      </c>
      <c r="V3368" s="5" t="s">
        <v>238</v>
      </c>
      <c r="W3368" s="6" t="s">
        <v>238</v>
      </c>
      <c r="X3368" s="6" t="s">
        <v>238</v>
      </c>
      <c r="Y3368" s="5" t="s">
        <v>238</v>
      </c>
      <c r="Z3368" s="6" t="s">
        <v>238</v>
      </c>
      <c r="AA3368" s="6" t="s">
        <v>243</v>
      </c>
      <c r="AB3368" s="5" t="s">
        <v>3918</v>
      </c>
      <c r="AC3368" s="5" t="s">
        <v>244</v>
      </c>
      <c r="AD3368" s="5" t="s">
        <v>245</v>
      </c>
      <c r="AE3368" s="5" t="s">
        <v>238</v>
      </c>
      <c r="AF3368" s="5" t="s">
        <v>238</v>
      </c>
      <c r="AG3368" s="5" t="s">
        <v>238</v>
      </c>
      <c r="AH3368" s="5" t="s">
        <v>238</v>
      </c>
      <c r="AI3368" s="5" t="s">
        <v>238</v>
      </c>
      <c r="AJ3368" s="5" t="s">
        <v>238</v>
      </c>
      <c r="AK3368" s="5" t="s">
        <v>238</v>
      </c>
      <c r="AL3368" s="5" t="s">
        <v>238</v>
      </c>
      <c r="AM3368" s="6" t="s">
        <v>238</v>
      </c>
      <c r="AN3368" s="6" t="s">
        <v>238</v>
      </c>
      <c r="AO3368" s="6" t="s">
        <v>238</v>
      </c>
      <c r="AP3368" s="6" t="s">
        <v>238</v>
      </c>
      <c r="AQ3368" s="5" t="s">
        <v>238</v>
      </c>
      <c r="AR3368" s="5" t="s">
        <v>488</v>
      </c>
      <c r="AS3368" s="5" t="s">
        <v>488</v>
      </c>
      <c r="AT3368" s="5" t="s">
        <v>246</v>
      </c>
      <c r="AU3368" s="5" t="s">
        <v>489</v>
      </c>
      <c r="AV3368" s="5" t="s">
        <v>247</v>
      </c>
      <c r="AW3368" s="5" t="s">
        <v>238</v>
      </c>
      <c r="AX3368" s="5" t="s">
        <v>249</v>
      </c>
      <c r="AY3368" s="5" t="s">
        <v>490</v>
      </c>
      <c r="BA3368" s="5" t="s">
        <v>238</v>
      </c>
      <c r="BC3368" s="5" t="s">
        <v>491</v>
      </c>
      <c r="BD3368" s="6" t="s">
        <v>492</v>
      </c>
      <c r="BE3368" s="5" t="s">
        <v>493</v>
      </c>
      <c r="BF3368" s="5" t="s">
        <v>493</v>
      </c>
      <c r="BG3368" s="5" t="s">
        <v>238</v>
      </c>
      <c r="BH3368" s="8">
        <f>1</f>
        <v>1</v>
      </c>
      <c r="BI3368" s="8">
        <f>1</f>
        <v>1</v>
      </c>
      <c r="BJ3368" s="5" t="s">
        <v>253</v>
      </c>
      <c r="BK3368" s="5" t="s">
        <v>254</v>
      </c>
      <c r="BL3368" s="5" t="s">
        <v>238</v>
      </c>
      <c r="BM3368" s="5" t="s">
        <v>238</v>
      </c>
      <c r="BN3368" s="5" t="s">
        <v>238</v>
      </c>
      <c r="BO3368" s="5" t="s">
        <v>238</v>
      </c>
      <c r="BP3368" s="5" t="s">
        <v>238</v>
      </c>
      <c r="BQ3368" s="5" t="s">
        <v>238</v>
      </c>
      <c r="BR3368" s="5" t="s">
        <v>238</v>
      </c>
      <c r="BS3368" s="5" t="s">
        <v>238</v>
      </c>
      <c r="BT3368" s="6" t="s">
        <v>238</v>
      </c>
      <c r="BU3368" s="5" t="s">
        <v>238</v>
      </c>
      <c r="BV3368" s="5" t="s">
        <v>238</v>
      </c>
      <c r="BW3368" s="5" t="s">
        <v>238</v>
      </c>
      <c r="BX3368" s="5" t="s">
        <v>254</v>
      </c>
      <c r="BY3368" s="5" t="s">
        <v>238</v>
      </c>
      <c r="BZ3368" s="5" t="s">
        <v>238</v>
      </c>
      <c r="CA3368" s="5" t="s">
        <v>238</v>
      </c>
      <c r="CB3368" s="5" t="s">
        <v>238</v>
      </c>
      <c r="CC3368" s="5" t="s">
        <v>238</v>
      </c>
      <c r="CD3368" s="5" t="s">
        <v>273</v>
      </c>
      <c r="CE3368" s="5" t="s">
        <v>256</v>
      </c>
      <c r="CF3368" s="5" t="s">
        <v>238</v>
      </c>
      <c r="CH3368" s="5" t="s">
        <v>494</v>
      </c>
      <c r="CI3368" s="6" t="s">
        <v>257</v>
      </c>
      <c r="CJ3368" s="5" t="s">
        <v>495</v>
      </c>
      <c r="CK3368" s="5" t="s">
        <v>258</v>
      </c>
      <c r="CL3368" s="5" t="s">
        <v>496</v>
      </c>
      <c r="CM3368" s="5" t="s">
        <v>238</v>
      </c>
      <c r="CN3368" s="5">
        <v>0</v>
      </c>
      <c r="CO3368" s="5" t="s">
        <v>497</v>
      </c>
      <c r="CP3368" s="5" t="s">
        <v>260</v>
      </c>
      <c r="CQ3368" s="5" t="s">
        <v>260</v>
      </c>
      <c r="CR3368" s="5" t="s">
        <v>261</v>
      </c>
      <c r="CS3368" s="5" t="s">
        <v>498</v>
      </c>
      <c r="CT3368" s="7">
        <f>1</f>
        <v>1</v>
      </c>
      <c r="CU3368" s="8">
        <f>1</f>
        <v>1</v>
      </c>
      <c r="CV3368" s="8">
        <f>0</f>
        <v>0</v>
      </c>
      <c r="CX3368" s="8">
        <f>1</f>
        <v>1</v>
      </c>
      <c r="CY3368" s="8">
        <f>1</f>
        <v>1</v>
      </c>
      <c r="CZ3368" s="8" t="s">
        <v>238</v>
      </c>
      <c r="DA3368" s="5" t="s">
        <v>238</v>
      </c>
      <c r="DB3368" s="5" t="s">
        <v>238</v>
      </c>
      <c r="DC3368" s="5" t="s">
        <v>238</v>
      </c>
      <c r="DD3368" s="5" t="s">
        <v>238</v>
      </c>
      <c r="DE3368" s="8">
        <f>0</f>
        <v>0</v>
      </c>
      <c r="DG3368" s="5" t="s">
        <v>238</v>
      </c>
      <c r="DH3368" s="5" t="s">
        <v>238</v>
      </c>
      <c r="DI3368" s="5" t="s">
        <v>238</v>
      </c>
      <c r="DJ3368" s="5" t="s">
        <v>238</v>
      </c>
      <c r="DK3368" s="5" t="s">
        <v>238</v>
      </c>
      <c r="DL3368" s="5" t="s">
        <v>238</v>
      </c>
      <c r="DM3368" s="8" t="s">
        <v>238</v>
      </c>
      <c r="DN3368" s="5" t="s">
        <v>238</v>
      </c>
      <c r="DO3368" s="5" t="s">
        <v>238</v>
      </c>
      <c r="DP3368" s="5" t="s">
        <v>490</v>
      </c>
      <c r="DQ3368" s="5" t="s">
        <v>490</v>
      </c>
      <c r="DR3368" s="5" t="s">
        <v>238</v>
      </c>
      <c r="DS3368" s="5" t="s">
        <v>238</v>
      </c>
      <c r="DT3368" s="5" t="s">
        <v>500</v>
      </c>
      <c r="DU3368" s="5" t="s">
        <v>566</v>
      </c>
      <c r="DV3368" s="5" t="s">
        <v>238</v>
      </c>
      <c r="DW3368" s="5" t="s">
        <v>238</v>
      </c>
      <c r="DX3368" s="5" t="s">
        <v>238</v>
      </c>
      <c r="DY3368" s="5" t="s">
        <v>238</v>
      </c>
      <c r="DZ3368" s="5" t="s">
        <v>238</v>
      </c>
      <c r="EA3368" s="5" t="s">
        <v>238</v>
      </c>
      <c r="EB3368" s="5" t="s">
        <v>238</v>
      </c>
      <c r="EC3368" s="5" t="s">
        <v>238</v>
      </c>
      <c r="ED3368" s="5" t="s">
        <v>238</v>
      </c>
      <c r="EE3368" s="5" t="s">
        <v>238</v>
      </c>
      <c r="EF3368" s="5" t="s">
        <v>238</v>
      </c>
      <c r="EG3368" s="5" t="s">
        <v>238</v>
      </c>
      <c r="EH3368" s="5" t="s">
        <v>238</v>
      </c>
      <c r="EI3368" s="5" t="s">
        <v>238</v>
      </c>
      <c r="EJ3368" s="5" t="s">
        <v>238</v>
      </c>
      <c r="EK3368" s="5" t="s">
        <v>238</v>
      </c>
      <c r="EL3368" s="5" t="s">
        <v>238</v>
      </c>
      <c r="EM3368" s="5" t="s">
        <v>238</v>
      </c>
      <c r="EN3368" s="5" t="s">
        <v>238</v>
      </c>
      <c r="EO3368" s="5" t="s">
        <v>238</v>
      </c>
      <c r="EP3368" s="5" t="s">
        <v>238</v>
      </c>
      <c r="EQ3368" s="5" t="s">
        <v>238</v>
      </c>
      <c r="ER3368" s="5" t="s">
        <v>238</v>
      </c>
      <c r="ES3368" s="5" t="s">
        <v>238</v>
      </c>
      <c r="ET3368" s="5" t="s">
        <v>238</v>
      </c>
      <c r="EU3368" s="5" t="s">
        <v>238</v>
      </c>
      <c r="EV3368" s="5" t="s">
        <v>238</v>
      </c>
      <c r="EW3368" s="5" t="s">
        <v>238</v>
      </c>
      <c r="EX3368" s="5" t="s">
        <v>238</v>
      </c>
      <c r="EY3368" s="5" t="s">
        <v>238</v>
      </c>
      <c r="EZ3368" s="5" t="s">
        <v>238</v>
      </c>
      <c r="FA3368" s="5" t="s">
        <v>238</v>
      </c>
      <c r="FB3368" s="5" t="s">
        <v>238</v>
      </c>
      <c r="FC3368" s="5" t="s">
        <v>238</v>
      </c>
      <c r="FD3368" s="5" t="s">
        <v>238</v>
      </c>
      <c r="FE3368" s="5" t="s">
        <v>238</v>
      </c>
      <c r="FF3368" s="5" t="s">
        <v>238</v>
      </c>
      <c r="FG3368" s="5" t="s">
        <v>238</v>
      </c>
      <c r="FH3368" s="5" t="s">
        <v>238</v>
      </c>
      <c r="FI3368" s="5" t="s">
        <v>238</v>
      </c>
      <c r="FJ3368" s="5" t="s">
        <v>238</v>
      </c>
      <c r="FK3368" s="5" t="s">
        <v>238</v>
      </c>
      <c r="FL3368" s="5" t="s">
        <v>238</v>
      </c>
      <c r="FM3368" s="5" t="s">
        <v>238</v>
      </c>
      <c r="FN3368" s="5" t="s">
        <v>238</v>
      </c>
      <c r="FO3368" s="5" t="s">
        <v>238</v>
      </c>
      <c r="FP3368" s="5" t="s">
        <v>238</v>
      </c>
      <c r="FQ3368" s="5" t="s">
        <v>238</v>
      </c>
      <c r="FR3368" s="5" t="s">
        <v>238</v>
      </c>
      <c r="FS3368" s="5" t="s">
        <v>238</v>
      </c>
      <c r="FT3368" s="5" t="s">
        <v>238</v>
      </c>
      <c r="FU3368" s="5" t="s">
        <v>238</v>
      </c>
      <c r="FV3368" s="5" t="s">
        <v>238</v>
      </c>
      <c r="FW3368" s="5" t="s">
        <v>238</v>
      </c>
      <c r="FX3368" s="5" t="s">
        <v>238</v>
      </c>
      <c r="FY3368" s="5" t="s">
        <v>238</v>
      </c>
      <c r="FZ3368" s="5" t="s">
        <v>238</v>
      </c>
      <c r="GA3368" s="5" t="s">
        <v>238</v>
      </c>
      <c r="GB3368" s="5" t="s">
        <v>238</v>
      </c>
      <c r="GC3368" s="5" t="s">
        <v>238</v>
      </c>
      <c r="GD3368" s="5" t="s">
        <v>238</v>
      </c>
      <c r="GE3368" s="5" t="s">
        <v>238</v>
      </c>
      <c r="GF3368" s="5" t="s">
        <v>238</v>
      </c>
      <c r="GG3368" s="5" t="s">
        <v>238</v>
      </c>
      <c r="GH3368" s="5" t="s">
        <v>238</v>
      </c>
      <c r="GI3368" s="5" t="s">
        <v>238</v>
      </c>
      <c r="GJ3368" s="5" t="s">
        <v>238</v>
      </c>
      <c r="GK3368" s="5" t="s">
        <v>238</v>
      </c>
      <c r="GL3368" s="5" t="s">
        <v>238</v>
      </c>
      <c r="GM3368" s="5" t="s">
        <v>238</v>
      </c>
      <c r="GN3368" s="5" t="s">
        <v>238</v>
      </c>
      <c r="GO3368" s="5" t="s">
        <v>238</v>
      </c>
      <c r="GP3368" s="5" t="s">
        <v>238</v>
      </c>
      <c r="GQ3368" s="5" t="s">
        <v>238</v>
      </c>
      <c r="GR3368" s="5" t="s">
        <v>238</v>
      </c>
      <c r="GS3368" s="5" t="s">
        <v>238</v>
      </c>
      <c r="GT3368" s="5" t="s">
        <v>238</v>
      </c>
      <c r="GU3368" s="5" t="s">
        <v>238</v>
      </c>
      <c r="GV3368" s="5" t="s">
        <v>238</v>
      </c>
      <c r="GW3368" s="5" t="s">
        <v>238</v>
      </c>
      <c r="GX3368" s="5" t="s">
        <v>238</v>
      </c>
      <c r="GY3368" s="5" t="s">
        <v>238</v>
      </c>
      <c r="GZ3368" s="5" t="s">
        <v>238</v>
      </c>
      <c r="HA3368" s="5" t="s">
        <v>238</v>
      </c>
      <c r="HB3368" s="5" t="s">
        <v>238</v>
      </c>
      <c r="HC3368" s="5" t="s">
        <v>238</v>
      </c>
      <c r="HD3368" s="5" t="s">
        <v>238</v>
      </c>
      <c r="HE3368" s="5" t="s">
        <v>238</v>
      </c>
      <c r="HF3368" s="5" t="s">
        <v>238</v>
      </c>
      <c r="HG3368" s="5" t="s">
        <v>238</v>
      </c>
      <c r="HH3368" s="5" t="s">
        <v>238</v>
      </c>
      <c r="HI3368" s="5" t="s">
        <v>238</v>
      </c>
      <c r="HJ3368" s="5" t="s">
        <v>238</v>
      </c>
      <c r="HK3368" s="5" t="s">
        <v>238</v>
      </c>
      <c r="HL3368" s="5" t="s">
        <v>238</v>
      </c>
      <c r="HM3368" s="5" t="s">
        <v>264</v>
      </c>
      <c r="HN3368" s="5" t="s">
        <v>238</v>
      </c>
      <c r="HO3368" s="5" t="s">
        <v>238</v>
      </c>
      <c r="HP3368" s="5" t="s">
        <v>238</v>
      </c>
      <c r="HQ3368" s="5" t="s">
        <v>238</v>
      </c>
      <c r="HR3368" s="5" t="s">
        <v>238</v>
      </c>
      <c r="HS3368" s="5" t="s">
        <v>238</v>
      </c>
      <c r="HT3368" s="5" t="s">
        <v>238</v>
      </c>
      <c r="HU3368" s="5" t="s">
        <v>238</v>
      </c>
      <c r="HV3368" s="5" t="s">
        <v>238</v>
      </c>
      <c r="HW3368" s="5" t="s">
        <v>238</v>
      </c>
      <c r="HX3368" s="5" t="s">
        <v>238</v>
      </c>
      <c r="HY3368" s="5" t="s">
        <v>238</v>
      </c>
      <c r="HZ3368" s="5" t="s">
        <v>238</v>
      </c>
      <c r="IA3368" s="5" t="s">
        <v>238</v>
      </c>
      <c r="IB3368" s="5" t="s">
        <v>238</v>
      </c>
      <c r="IC3368" s="5" t="s">
        <v>238</v>
      </c>
      <c r="ID3368" s="5" t="s">
        <v>238</v>
      </c>
    </row>
    <row r="3369" spans="1:238" x14ac:dyDescent="0.4">
      <c r="A3369" s="5">
        <v>9087</v>
      </c>
      <c r="B3369" s="5">
        <v>1</v>
      </c>
      <c r="C3369" s="5">
        <v>1</v>
      </c>
      <c r="D3369" s="5" t="s">
        <v>484</v>
      </c>
      <c r="E3369" s="5" t="s">
        <v>485</v>
      </c>
      <c r="F3369" s="5" t="s">
        <v>248</v>
      </c>
      <c r="G3369" s="5" t="s">
        <v>4976</v>
      </c>
      <c r="H3369" s="6" t="s">
        <v>4978</v>
      </c>
      <c r="I3369" s="8">
        <f>1</f>
        <v>1</v>
      </c>
      <c r="J3369" s="5" t="s">
        <v>499</v>
      </c>
      <c r="K3369" s="8">
        <f>1</f>
        <v>1</v>
      </c>
      <c r="L3369" s="6" t="s">
        <v>242</v>
      </c>
      <c r="M3369" s="5" t="s">
        <v>267</v>
      </c>
      <c r="N3369" s="5" t="s">
        <v>482</v>
      </c>
      <c r="O3369" s="5" t="s">
        <v>238</v>
      </c>
      <c r="P3369" s="5" t="s">
        <v>238</v>
      </c>
      <c r="Q3369" s="5" t="s">
        <v>239</v>
      </c>
      <c r="R3369" s="5" t="s">
        <v>270</v>
      </c>
      <c r="S3369" s="5" t="s">
        <v>238</v>
      </c>
      <c r="T3369" s="5" t="s">
        <v>238</v>
      </c>
      <c r="U3369" s="5" t="s">
        <v>238</v>
      </c>
      <c r="V3369" s="5" t="s">
        <v>238</v>
      </c>
      <c r="W3369" s="6" t="s">
        <v>238</v>
      </c>
      <c r="X3369" s="6" t="s">
        <v>238</v>
      </c>
      <c r="Y3369" s="5" t="s">
        <v>238</v>
      </c>
      <c r="Z3369" s="6" t="s">
        <v>238</v>
      </c>
      <c r="AA3369" s="6" t="s">
        <v>243</v>
      </c>
      <c r="AB3369" s="5" t="s">
        <v>4977</v>
      </c>
      <c r="AC3369" s="5" t="s">
        <v>244</v>
      </c>
      <c r="AD3369" s="5" t="s">
        <v>245</v>
      </c>
      <c r="AE3369" s="5" t="s">
        <v>238</v>
      </c>
      <c r="AF3369" s="5" t="s">
        <v>238</v>
      </c>
      <c r="AG3369" s="5" t="s">
        <v>238</v>
      </c>
      <c r="AH3369" s="5" t="s">
        <v>238</v>
      </c>
      <c r="AI3369" s="5" t="s">
        <v>238</v>
      </c>
      <c r="AJ3369" s="5" t="s">
        <v>238</v>
      </c>
      <c r="AK3369" s="5" t="s">
        <v>238</v>
      </c>
      <c r="AL3369" s="5" t="s">
        <v>238</v>
      </c>
      <c r="AM3369" s="6" t="s">
        <v>238</v>
      </c>
      <c r="AN3369" s="6" t="s">
        <v>238</v>
      </c>
      <c r="AO3369" s="6" t="s">
        <v>238</v>
      </c>
      <c r="AP3369" s="6" t="s">
        <v>238</v>
      </c>
      <c r="AQ3369" s="5" t="s">
        <v>238</v>
      </c>
      <c r="AR3369" s="5" t="s">
        <v>488</v>
      </c>
      <c r="AS3369" s="5" t="s">
        <v>488</v>
      </c>
      <c r="AT3369" s="5" t="s">
        <v>246</v>
      </c>
      <c r="AU3369" s="5" t="s">
        <v>489</v>
      </c>
      <c r="AV3369" s="5" t="s">
        <v>247</v>
      </c>
      <c r="AW3369" s="5" t="s">
        <v>238</v>
      </c>
      <c r="AX3369" s="5" t="s">
        <v>249</v>
      </c>
      <c r="AY3369" s="5" t="s">
        <v>490</v>
      </c>
      <c r="BA3369" s="5" t="s">
        <v>238</v>
      </c>
      <c r="BC3369" s="5" t="s">
        <v>491</v>
      </c>
      <c r="BD3369" s="6" t="s">
        <v>492</v>
      </c>
      <c r="BE3369" s="5" t="s">
        <v>493</v>
      </c>
      <c r="BF3369" s="5" t="s">
        <v>493</v>
      </c>
      <c r="BG3369" s="5" t="s">
        <v>238</v>
      </c>
      <c r="BH3369" s="8">
        <f>1</f>
        <v>1</v>
      </c>
      <c r="BI3369" s="8">
        <f>1</f>
        <v>1</v>
      </c>
      <c r="BJ3369" s="5" t="s">
        <v>253</v>
      </c>
      <c r="BK3369" s="5" t="s">
        <v>254</v>
      </c>
      <c r="BL3369" s="5" t="s">
        <v>238</v>
      </c>
      <c r="BM3369" s="5" t="s">
        <v>238</v>
      </c>
      <c r="BN3369" s="5" t="s">
        <v>238</v>
      </c>
      <c r="BO3369" s="5" t="s">
        <v>238</v>
      </c>
      <c r="BP3369" s="5" t="s">
        <v>238</v>
      </c>
      <c r="BQ3369" s="5" t="s">
        <v>238</v>
      </c>
      <c r="BR3369" s="5" t="s">
        <v>238</v>
      </c>
      <c r="BS3369" s="5" t="s">
        <v>238</v>
      </c>
      <c r="BT3369" s="6" t="s">
        <v>238</v>
      </c>
      <c r="BU3369" s="5" t="s">
        <v>238</v>
      </c>
      <c r="BV3369" s="5" t="s">
        <v>238</v>
      </c>
      <c r="BW3369" s="5" t="s">
        <v>238</v>
      </c>
      <c r="BX3369" s="5" t="s">
        <v>254</v>
      </c>
      <c r="BY3369" s="5" t="s">
        <v>238</v>
      </c>
      <c r="BZ3369" s="5" t="s">
        <v>238</v>
      </c>
      <c r="CA3369" s="5" t="s">
        <v>238</v>
      </c>
      <c r="CB3369" s="5" t="s">
        <v>238</v>
      </c>
      <c r="CC3369" s="5" t="s">
        <v>238</v>
      </c>
      <c r="CD3369" s="5" t="s">
        <v>273</v>
      </c>
      <c r="CE3369" s="5" t="s">
        <v>256</v>
      </c>
      <c r="CF3369" s="5" t="s">
        <v>238</v>
      </c>
      <c r="CH3369" s="5" t="s">
        <v>494</v>
      </c>
      <c r="CI3369" s="6" t="s">
        <v>257</v>
      </c>
      <c r="CJ3369" s="5" t="s">
        <v>495</v>
      </c>
      <c r="CK3369" s="5" t="s">
        <v>258</v>
      </c>
      <c r="CL3369" s="5" t="s">
        <v>496</v>
      </c>
      <c r="CM3369" s="5" t="s">
        <v>238</v>
      </c>
      <c r="CN3369" s="5">
        <v>0</v>
      </c>
      <c r="CO3369" s="5" t="s">
        <v>497</v>
      </c>
      <c r="CP3369" s="5" t="s">
        <v>260</v>
      </c>
      <c r="CQ3369" s="5" t="s">
        <v>260</v>
      </c>
      <c r="CR3369" s="5" t="s">
        <v>261</v>
      </c>
      <c r="CS3369" s="5" t="s">
        <v>498</v>
      </c>
      <c r="CT3369" s="7">
        <f>1</f>
        <v>1</v>
      </c>
      <c r="CU3369" s="8">
        <f>1</f>
        <v>1</v>
      </c>
      <c r="CV3369" s="8">
        <f>0</f>
        <v>0</v>
      </c>
      <c r="CX3369" s="8">
        <f>1</f>
        <v>1</v>
      </c>
      <c r="CY3369" s="8">
        <f>1</f>
        <v>1</v>
      </c>
      <c r="CZ3369" s="8" t="s">
        <v>238</v>
      </c>
      <c r="DA3369" s="5" t="s">
        <v>238</v>
      </c>
      <c r="DB3369" s="5" t="s">
        <v>238</v>
      </c>
      <c r="DC3369" s="5" t="s">
        <v>238</v>
      </c>
      <c r="DD3369" s="5" t="s">
        <v>238</v>
      </c>
      <c r="DE3369" s="8">
        <f>0</f>
        <v>0</v>
      </c>
      <c r="DG3369" s="5" t="s">
        <v>238</v>
      </c>
      <c r="DH3369" s="5" t="s">
        <v>238</v>
      </c>
      <c r="DI3369" s="5" t="s">
        <v>238</v>
      </c>
      <c r="DJ3369" s="5" t="s">
        <v>238</v>
      </c>
      <c r="DK3369" s="5" t="s">
        <v>238</v>
      </c>
      <c r="DL3369" s="5" t="s">
        <v>238</v>
      </c>
      <c r="DM3369" s="8" t="s">
        <v>238</v>
      </c>
      <c r="DN3369" s="5" t="s">
        <v>238</v>
      </c>
      <c r="DO3369" s="5" t="s">
        <v>238</v>
      </c>
      <c r="DP3369" s="5" t="s">
        <v>490</v>
      </c>
      <c r="DQ3369" s="5" t="s">
        <v>490</v>
      </c>
      <c r="DR3369" s="5" t="s">
        <v>238</v>
      </c>
      <c r="DS3369" s="5" t="s">
        <v>238</v>
      </c>
      <c r="DT3369" s="5" t="s">
        <v>500</v>
      </c>
      <c r="DU3369" s="5" t="s">
        <v>576</v>
      </c>
      <c r="DV3369" s="5" t="s">
        <v>238</v>
      </c>
      <c r="DW3369" s="5" t="s">
        <v>238</v>
      </c>
      <c r="DX3369" s="5" t="s">
        <v>238</v>
      </c>
      <c r="DY3369" s="5" t="s">
        <v>238</v>
      </c>
      <c r="DZ3369" s="5" t="s">
        <v>238</v>
      </c>
      <c r="EA3369" s="5" t="s">
        <v>238</v>
      </c>
      <c r="EB3369" s="5" t="s">
        <v>238</v>
      </c>
      <c r="EC3369" s="5" t="s">
        <v>238</v>
      </c>
      <c r="ED3369" s="5" t="s">
        <v>238</v>
      </c>
      <c r="EE3369" s="5" t="s">
        <v>238</v>
      </c>
      <c r="EF3369" s="5" t="s">
        <v>238</v>
      </c>
      <c r="EG3369" s="5" t="s">
        <v>238</v>
      </c>
      <c r="EH3369" s="5" t="s">
        <v>238</v>
      </c>
      <c r="EI3369" s="5" t="s">
        <v>238</v>
      </c>
      <c r="EJ3369" s="5" t="s">
        <v>238</v>
      </c>
      <c r="EK3369" s="5" t="s">
        <v>238</v>
      </c>
      <c r="EL3369" s="5" t="s">
        <v>238</v>
      </c>
      <c r="EM3369" s="5" t="s">
        <v>238</v>
      </c>
      <c r="EN3369" s="5" t="s">
        <v>238</v>
      </c>
      <c r="EO3369" s="5" t="s">
        <v>238</v>
      </c>
      <c r="EP3369" s="5" t="s">
        <v>238</v>
      </c>
      <c r="EQ3369" s="5" t="s">
        <v>238</v>
      </c>
      <c r="ER3369" s="5" t="s">
        <v>238</v>
      </c>
      <c r="ES3369" s="5" t="s">
        <v>238</v>
      </c>
      <c r="ET3369" s="5" t="s">
        <v>238</v>
      </c>
      <c r="EU3369" s="5" t="s">
        <v>238</v>
      </c>
      <c r="EV3369" s="5" t="s">
        <v>238</v>
      </c>
      <c r="EW3369" s="5" t="s">
        <v>238</v>
      </c>
      <c r="EX3369" s="5" t="s">
        <v>238</v>
      </c>
      <c r="EY3369" s="5" t="s">
        <v>238</v>
      </c>
      <c r="EZ3369" s="5" t="s">
        <v>238</v>
      </c>
      <c r="FA3369" s="5" t="s">
        <v>238</v>
      </c>
      <c r="FB3369" s="5" t="s">
        <v>238</v>
      </c>
      <c r="FC3369" s="5" t="s">
        <v>238</v>
      </c>
      <c r="FD3369" s="5" t="s">
        <v>238</v>
      </c>
      <c r="FE3369" s="5" t="s">
        <v>238</v>
      </c>
      <c r="FF3369" s="5" t="s">
        <v>238</v>
      </c>
      <c r="FG3369" s="5" t="s">
        <v>238</v>
      </c>
      <c r="FH3369" s="5" t="s">
        <v>238</v>
      </c>
      <c r="FI3369" s="5" t="s">
        <v>238</v>
      </c>
      <c r="FJ3369" s="5" t="s">
        <v>238</v>
      </c>
      <c r="FK3369" s="5" t="s">
        <v>238</v>
      </c>
      <c r="FL3369" s="5" t="s">
        <v>238</v>
      </c>
      <c r="FM3369" s="5" t="s">
        <v>238</v>
      </c>
      <c r="FN3369" s="5" t="s">
        <v>238</v>
      </c>
      <c r="FO3369" s="5" t="s">
        <v>238</v>
      </c>
      <c r="FP3369" s="5" t="s">
        <v>238</v>
      </c>
      <c r="FQ3369" s="5" t="s">
        <v>238</v>
      </c>
      <c r="FR3369" s="5" t="s">
        <v>238</v>
      </c>
      <c r="FS3369" s="5" t="s">
        <v>238</v>
      </c>
      <c r="FT3369" s="5" t="s">
        <v>238</v>
      </c>
      <c r="FU3369" s="5" t="s">
        <v>238</v>
      </c>
      <c r="FV3369" s="5" t="s">
        <v>238</v>
      </c>
      <c r="FW3369" s="5" t="s">
        <v>238</v>
      </c>
      <c r="FX3369" s="5" t="s">
        <v>238</v>
      </c>
      <c r="FY3369" s="5" t="s">
        <v>238</v>
      </c>
      <c r="FZ3369" s="5" t="s">
        <v>238</v>
      </c>
      <c r="GA3369" s="5" t="s">
        <v>238</v>
      </c>
      <c r="GB3369" s="5" t="s">
        <v>238</v>
      </c>
      <c r="GC3369" s="5" t="s">
        <v>238</v>
      </c>
      <c r="GD3369" s="5" t="s">
        <v>238</v>
      </c>
      <c r="GE3369" s="5" t="s">
        <v>238</v>
      </c>
      <c r="GF3369" s="5" t="s">
        <v>238</v>
      </c>
      <c r="GG3369" s="5" t="s">
        <v>238</v>
      </c>
      <c r="GH3369" s="5" t="s">
        <v>238</v>
      </c>
      <c r="GI3369" s="5" t="s">
        <v>238</v>
      </c>
      <c r="GJ3369" s="5" t="s">
        <v>238</v>
      </c>
      <c r="GK3369" s="5" t="s">
        <v>238</v>
      </c>
      <c r="GL3369" s="5" t="s">
        <v>238</v>
      </c>
      <c r="GM3369" s="5" t="s">
        <v>238</v>
      </c>
      <c r="GN3369" s="5" t="s">
        <v>238</v>
      </c>
      <c r="GO3369" s="5" t="s">
        <v>238</v>
      </c>
      <c r="GP3369" s="5" t="s">
        <v>238</v>
      </c>
      <c r="GQ3369" s="5" t="s">
        <v>238</v>
      </c>
      <c r="GR3369" s="5" t="s">
        <v>238</v>
      </c>
      <c r="GS3369" s="5" t="s">
        <v>238</v>
      </c>
      <c r="GT3369" s="5" t="s">
        <v>238</v>
      </c>
      <c r="GU3369" s="5" t="s">
        <v>238</v>
      </c>
      <c r="GV3369" s="5" t="s">
        <v>238</v>
      </c>
      <c r="GW3369" s="5" t="s">
        <v>238</v>
      </c>
      <c r="GX3369" s="5" t="s">
        <v>238</v>
      </c>
      <c r="GY3369" s="5" t="s">
        <v>238</v>
      </c>
      <c r="GZ3369" s="5" t="s">
        <v>238</v>
      </c>
      <c r="HA3369" s="5" t="s">
        <v>238</v>
      </c>
      <c r="HB3369" s="5" t="s">
        <v>238</v>
      </c>
      <c r="HC3369" s="5" t="s">
        <v>238</v>
      </c>
      <c r="HD3369" s="5" t="s">
        <v>238</v>
      </c>
      <c r="HE3369" s="5" t="s">
        <v>238</v>
      </c>
      <c r="HF3369" s="5" t="s">
        <v>238</v>
      </c>
      <c r="HG3369" s="5" t="s">
        <v>238</v>
      </c>
      <c r="HH3369" s="5" t="s">
        <v>238</v>
      </c>
      <c r="HI3369" s="5" t="s">
        <v>238</v>
      </c>
      <c r="HJ3369" s="5" t="s">
        <v>238</v>
      </c>
      <c r="HK3369" s="5" t="s">
        <v>238</v>
      </c>
      <c r="HL3369" s="5" t="s">
        <v>238</v>
      </c>
      <c r="HM3369" s="5" t="s">
        <v>264</v>
      </c>
      <c r="HN3369" s="5" t="s">
        <v>238</v>
      </c>
      <c r="HO3369" s="5" t="s">
        <v>238</v>
      </c>
      <c r="HP3369" s="5" t="s">
        <v>238</v>
      </c>
      <c r="HQ3369" s="5" t="s">
        <v>238</v>
      </c>
      <c r="HR3369" s="5" t="s">
        <v>238</v>
      </c>
      <c r="HS3369" s="5" t="s">
        <v>238</v>
      </c>
      <c r="HT3369" s="5" t="s">
        <v>238</v>
      </c>
      <c r="HU3369" s="5" t="s">
        <v>238</v>
      </c>
      <c r="HV3369" s="5" t="s">
        <v>238</v>
      </c>
      <c r="HW3369" s="5" t="s">
        <v>238</v>
      </c>
      <c r="HX3369" s="5" t="s">
        <v>238</v>
      </c>
      <c r="HY3369" s="5" t="s">
        <v>238</v>
      </c>
      <c r="HZ3369" s="5" t="s">
        <v>238</v>
      </c>
      <c r="IA3369" s="5" t="s">
        <v>238</v>
      </c>
      <c r="IB3369" s="5" t="s">
        <v>238</v>
      </c>
      <c r="IC3369" s="5" t="s">
        <v>238</v>
      </c>
      <c r="ID3369" s="5" t="s">
        <v>238</v>
      </c>
    </row>
    <row r="3370" spans="1:238" x14ac:dyDescent="0.4">
      <c r="A3370" s="5">
        <v>9088</v>
      </c>
      <c r="B3370" s="5">
        <v>1</v>
      </c>
      <c r="C3370" s="5">
        <v>1</v>
      </c>
      <c r="D3370" s="5" t="s">
        <v>484</v>
      </c>
      <c r="E3370" s="5" t="s">
        <v>485</v>
      </c>
      <c r="F3370" s="5" t="s">
        <v>248</v>
      </c>
      <c r="G3370" s="5" t="s">
        <v>6431</v>
      </c>
      <c r="H3370" s="6" t="s">
        <v>6433</v>
      </c>
      <c r="I3370" s="8">
        <f>1</f>
        <v>1</v>
      </c>
      <c r="J3370" s="5" t="s">
        <v>499</v>
      </c>
      <c r="K3370" s="8">
        <f>1</f>
        <v>1</v>
      </c>
      <c r="L3370" s="6" t="s">
        <v>242</v>
      </c>
      <c r="M3370" s="5" t="s">
        <v>267</v>
      </c>
      <c r="N3370" s="5" t="s">
        <v>482</v>
      </c>
      <c r="O3370" s="5" t="s">
        <v>238</v>
      </c>
      <c r="P3370" s="5" t="s">
        <v>238</v>
      </c>
      <c r="Q3370" s="5" t="s">
        <v>239</v>
      </c>
      <c r="R3370" s="5" t="s">
        <v>270</v>
      </c>
      <c r="S3370" s="5" t="s">
        <v>238</v>
      </c>
      <c r="T3370" s="5" t="s">
        <v>238</v>
      </c>
      <c r="U3370" s="5" t="s">
        <v>238</v>
      </c>
      <c r="V3370" s="5" t="s">
        <v>238</v>
      </c>
      <c r="W3370" s="6" t="s">
        <v>238</v>
      </c>
      <c r="X3370" s="6" t="s">
        <v>238</v>
      </c>
      <c r="Y3370" s="5" t="s">
        <v>238</v>
      </c>
      <c r="Z3370" s="6" t="s">
        <v>238</v>
      </c>
      <c r="AA3370" s="6" t="s">
        <v>243</v>
      </c>
      <c r="AB3370" s="5" t="s">
        <v>6432</v>
      </c>
      <c r="AC3370" s="5" t="s">
        <v>244</v>
      </c>
      <c r="AD3370" s="5" t="s">
        <v>245</v>
      </c>
      <c r="AE3370" s="5" t="s">
        <v>238</v>
      </c>
      <c r="AF3370" s="5" t="s">
        <v>238</v>
      </c>
      <c r="AG3370" s="5" t="s">
        <v>238</v>
      </c>
      <c r="AH3370" s="5" t="s">
        <v>238</v>
      </c>
      <c r="AI3370" s="5" t="s">
        <v>238</v>
      </c>
      <c r="AJ3370" s="5" t="s">
        <v>238</v>
      </c>
      <c r="AK3370" s="5" t="s">
        <v>238</v>
      </c>
      <c r="AL3370" s="5" t="s">
        <v>238</v>
      </c>
      <c r="AM3370" s="6" t="s">
        <v>238</v>
      </c>
      <c r="AN3370" s="6" t="s">
        <v>238</v>
      </c>
      <c r="AO3370" s="6" t="s">
        <v>238</v>
      </c>
      <c r="AP3370" s="6" t="s">
        <v>238</v>
      </c>
      <c r="AQ3370" s="5" t="s">
        <v>238</v>
      </c>
      <c r="AR3370" s="5" t="s">
        <v>488</v>
      </c>
      <c r="AS3370" s="5" t="s">
        <v>488</v>
      </c>
      <c r="AT3370" s="5" t="s">
        <v>246</v>
      </c>
      <c r="AU3370" s="5" t="s">
        <v>489</v>
      </c>
      <c r="AV3370" s="5" t="s">
        <v>247</v>
      </c>
      <c r="AW3370" s="5" t="s">
        <v>238</v>
      </c>
      <c r="AX3370" s="5" t="s">
        <v>249</v>
      </c>
      <c r="AY3370" s="5" t="s">
        <v>490</v>
      </c>
      <c r="BA3370" s="5" t="s">
        <v>238</v>
      </c>
      <c r="BC3370" s="5" t="s">
        <v>491</v>
      </c>
      <c r="BD3370" s="6" t="s">
        <v>492</v>
      </c>
      <c r="BE3370" s="5" t="s">
        <v>493</v>
      </c>
      <c r="BF3370" s="5" t="s">
        <v>493</v>
      </c>
      <c r="BG3370" s="5" t="s">
        <v>238</v>
      </c>
      <c r="BH3370" s="8">
        <f>1</f>
        <v>1</v>
      </c>
      <c r="BI3370" s="8">
        <f>1</f>
        <v>1</v>
      </c>
      <c r="BJ3370" s="5" t="s">
        <v>253</v>
      </c>
      <c r="BK3370" s="5" t="s">
        <v>254</v>
      </c>
      <c r="BL3370" s="5" t="s">
        <v>238</v>
      </c>
      <c r="BM3370" s="5" t="s">
        <v>238</v>
      </c>
      <c r="BN3370" s="5" t="s">
        <v>238</v>
      </c>
      <c r="BO3370" s="5" t="s">
        <v>238</v>
      </c>
      <c r="BP3370" s="5" t="s">
        <v>238</v>
      </c>
      <c r="BQ3370" s="5" t="s">
        <v>238</v>
      </c>
      <c r="BR3370" s="5" t="s">
        <v>238</v>
      </c>
      <c r="BS3370" s="5" t="s">
        <v>238</v>
      </c>
      <c r="BT3370" s="6" t="s">
        <v>238</v>
      </c>
      <c r="BU3370" s="5" t="s">
        <v>238</v>
      </c>
      <c r="BV3370" s="5" t="s">
        <v>238</v>
      </c>
      <c r="BW3370" s="5" t="s">
        <v>238</v>
      </c>
      <c r="BX3370" s="5" t="s">
        <v>254</v>
      </c>
      <c r="BY3370" s="5" t="s">
        <v>238</v>
      </c>
      <c r="BZ3370" s="5" t="s">
        <v>238</v>
      </c>
      <c r="CA3370" s="5" t="s">
        <v>238</v>
      </c>
      <c r="CB3370" s="5" t="s">
        <v>238</v>
      </c>
      <c r="CC3370" s="5" t="s">
        <v>238</v>
      </c>
      <c r="CD3370" s="5" t="s">
        <v>273</v>
      </c>
      <c r="CE3370" s="5" t="s">
        <v>256</v>
      </c>
      <c r="CF3370" s="5" t="s">
        <v>238</v>
      </c>
      <c r="CH3370" s="5" t="s">
        <v>494</v>
      </c>
      <c r="CI3370" s="6" t="s">
        <v>257</v>
      </c>
      <c r="CJ3370" s="5" t="s">
        <v>495</v>
      </c>
      <c r="CK3370" s="5" t="s">
        <v>258</v>
      </c>
      <c r="CL3370" s="5" t="s">
        <v>496</v>
      </c>
      <c r="CM3370" s="5" t="s">
        <v>238</v>
      </c>
      <c r="CN3370" s="5">
        <v>0</v>
      </c>
      <c r="CO3370" s="5" t="s">
        <v>497</v>
      </c>
      <c r="CP3370" s="5" t="s">
        <v>260</v>
      </c>
      <c r="CQ3370" s="5" t="s">
        <v>260</v>
      </c>
      <c r="CR3370" s="5" t="s">
        <v>261</v>
      </c>
      <c r="CS3370" s="5" t="s">
        <v>498</v>
      </c>
      <c r="CT3370" s="7">
        <f>1</f>
        <v>1</v>
      </c>
      <c r="CU3370" s="8">
        <f>1</f>
        <v>1</v>
      </c>
      <c r="CV3370" s="8">
        <f>0</f>
        <v>0</v>
      </c>
      <c r="CX3370" s="8">
        <f>1</f>
        <v>1</v>
      </c>
      <c r="CY3370" s="8">
        <f>1</f>
        <v>1</v>
      </c>
      <c r="CZ3370" s="8" t="s">
        <v>238</v>
      </c>
      <c r="DA3370" s="5" t="s">
        <v>238</v>
      </c>
      <c r="DB3370" s="5" t="s">
        <v>238</v>
      </c>
      <c r="DC3370" s="5" t="s">
        <v>238</v>
      </c>
      <c r="DD3370" s="5" t="s">
        <v>238</v>
      </c>
      <c r="DE3370" s="8">
        <f>0</f>
        <v>0</v>
      </c>
      <c r="DG3370" s="5" t="s">
        <v>238</v>
      </c>
      <c r="DH3370" s="5" t="s">
        <v>238</v>
      </c>
      <c r="DI3370" s="5" t="s">
        <v>238</v>
      </c>
      <c r="DJ3370" s="5" t="s">
        <v>238</v>
      </c>
      <c r="DK3370" s="5" t="s">
        <v>238</v>
      </c>
      <c r="DL3370" s="5" t="s">
        <v>238</v>
      </c>
      <c r="DM3370" s="8" t="s">
        <v>238</v>
      </c>
      <c r="DN3370" s="5" t="s">
        <v>238</v>
      </c>
      <c r="DO3370" s="5" t="s">
        <v>238</v>
      </c>
      <c r="DP3370" s="5" t="s">
        <v>490</v>
      </c>
      <c r="DQ3370" s="5" t="s">
        <v>490</v>
      </c>
      <c r="DR3370" s="5" t="s">
        <v>238</v>
      </c>
      <c r="DS3370" s="5" t="s">
        <v>238</v>
      </c>
      <c r="DT3370" s="5" t="s">
        <v>500</v>
      </c>
      <c r="DU3370" s="5" t="s">
        <v>1135</v>
      </c>
      <c r="DV3370" s="5" t="s">
        <v>238</v>
      </c>
      <c r="DW3370" s="5" t="s">
        <v>238</v>
      </c>
      <c r="DX3370" s="5" t="s">
        <v>238</v>
      </c>
      <c r="DY3370" s="5" t="s">
        <v>238</v>
      </c>
      <c r="DZ3370" s="5" t="s">
        <v>238</v>
      </c>
      <c r="EA3370" s="5" t="s">
        <v>238</v>
      </c>
      <c r="EB3370" s="5" t="s">
        <v>238</v>
      </c>
      <c r="EC3370" s="5" t="s">
        <v>238</v>
      </c>
      <c r="ED3370" s="5" t="s">
        <v>238</v>
      </c>
      <c r="EE3370" s="5" t="s">
        <v>238</v>
      </c>
      <c r="EF3370" s="5" t="s">
        <v>238</v>
      </c>
      <c r="EG3370" s="5" t="s">
        <v>238</v>
      </c>
      <c r="EH3370" s="5" t="s">
        <v>238</v>
      </c>
      <c r="EI3370" s="5" t="s">
        <v>238</v>
      </c>
      <c r="EJ3370" s="5" t="s">
        <v>238</v>
      </c>
      <c r="EK3370" s="5" t="s">
        <v>238</v>
      </c>
      <c r="EL3370" s="5" t="s">
        <v>238</v>
      </c>
      <c r="EM3370" s="5" t="s">
        <v>238</v>
      </c>
      <c r="EN3370" s="5" t="s">
        <v>238</v>
      </c>
      <c r="EO3370" s="5" t="s">
        <v>238</v>
      </c>
      <c r="EP3370" s="5" t="s">
        <v>238</v>
      </c>
      <c r="EQ3370" s="5" t="s">
        <v>238</v>
      </c>
      <c r="ER3370" s="5" t="s">
        <v>238</v>
      </c>
      <c r="ES3370" s="5" t="s">
        <v>238</v>
      </c>
      <c r="ET3370" s="5" t="s">
        <v>238</v>
      </c>
      <c r="EU3370" s="5" t="s">
        <v>238</v>
      </c>
      <c r="EV3370" s="5" t="s">
        <v>238</v>
      </c>
      <c r="EW3370" s="5" t="s">
        <v>238</v>
      </c>
      <c r="EX3370" s="5" t="s">
        <v>238</v>
      </c>
      <c r="EY3370" s="5" t="s">
        <v>238</v>
      </c>
      <c r="EZ3370" s="5" t="s">
        <v>238</v>
      </c>
      <c r="FA3370" s="5" t="s">
        <v>238</v>
      </c>
      <c r="FB3370" s="5" t="s">
        <v>238</v>
      </c>
      <c r="FC3370" s="5" t="s">
        <v>238</v>
      </c>
      <c r="FD3370" s="5" t="s">
        <v>238</v>
      </c>
      <c r="FE3370" s="5" t="s">
        <v>238</v>
      </c>
      <c r="FF3370" s="5" t="s">
        <v>238</v>
      </c>
      <c r="FG3370" s="5" t="s">
        <v>238</v>
      </c>
      <c r="FH3370" s="5" t="s">
        <v>238</v>
      </c>
      <c r="FI3370" s="5" t="s">
        <v>238</v>
      </c>
      <c r="FJ3370" s="5" t="s">
        <v>238</v>
      </c>
      <c r="FK3370" s="5" t="s">
        <v>238</v>
      </c>
      <c r="FL3370" s="5" t="s">
        <v>238</v>
      </c>
      <c r="FM3370" s="5" t="s">
        <v>238</v>
      </c>
      <c r="FN3370" s="5" t="s">
        <v>238</v>
      </c>
      <c r="FO3370" s="5" t="s">
        <v>238</v>
      </c>
      <c r="FP3370" s="5" t="s">
        <v>238</v>
      </c>
      <c r="FQ3370" s="5" t="s">
        <v>238</v>
      </c>
      <c r="FR3370" s="5" t="s">
        <v>238</v>
      </c>
      <c r="FS3370" s="5" t="s">
        <v>238</v>
      </c>
      <c r="FT3370" s="5" t="s">
        <v>238</v>
      </c>
      <c r="FU3370" s="5" t="s">
        <v>238</v>
      </c>
      <c r="FV3370" s="5" t="s">
        <v>238</v>
      </c>
      <c r="FW3370" s="5" t="s">
        <v>238</v>
      </c>
      <c r="FX3370" s="5" t="s">
        <v>238</v>
      </c>
      <c r="FY3370" s="5" t="s">
        <v>238</v>
      </c>
      <c r="FZ3370" s="5" t="s">
        <v>238</v>
      </c>
      <c r="GA3370" s="5" t="s">
        <v>238</v>
      </c>
      <c r="GB3370" s="5" t="s">
        <v>238</v>
      </c>
      <c r="GC3370" s="5" t="s">
        <v>238</v>
      </c>
      <c r="GD3370" s="5" t="s">
        <v>238</v>
      </c>
      <c r="GE3370" s="5" t="s">
        <v>238</v>
      </c>
      <c r="GF3370" s="5" t="s">
        <v>238</v>
      </c>
      <c r="GG3370" s="5" t="s">
        <v>238</v>
      </c>
      <c r="GH3370" s="5" t="s">
        <v>238</v>
      </c>
      <c r="GI3370" s="5" t="s">
        <v>238</v>
      </c>
      <c r="GJ3370" s="5" t="s">
        <v>238</v>
      </c>
      <c r="GK3370" s="5" t="s">
        <v>238</v>
      </c>
      <c r="GL3370" s="5" t="s">
        <v>238</v>
      </c>
      <c r="GM3370" s="5" t="s">
        <v>238</v>
      </c>
      <c r="GN3370" s="5" t="s">
        <v>238</v>
      </c>
      <c r="GO3370" s="5" t="s">
        <v>238</v>
      </c>
      <c r="GP3370" s="5" t="s">
        <v>238</v>
      </c>
      <c r="GQ3370" s="5" t="s">
        <v>238</v>
      </c>
      <c r="GR3370" s="5" t="s">
        <v>238</v>
      </c>
      <c r="GS3370" s="5" t="s">
        <v>238</v>
      </c>
      <c r="GT3370" s="5" t="s">
        <v>238</v>
      </c>
      <c r="GU3370" s="5" t="s">
        <v>238</v>
      </c>
      <c r="GV3370" s="5" t="s">
        <v>238</v>
      </c>
      <c r="GW3370" s="5" t="s">
        <v>238</v>
      </c>
      <c r="GX3370" s="5" t="s">
        <v>238</v>
      </c>
      <c r="GY3370" s="5" t="s">
        <v>238</v>
      </c>
      <c r="GZ3370" s="5" t="s">
        <v>238</v>
      </c>
      <c r="HA3370" s="5" t="s">
        <v>238</v>
      </c>
      <c r="HB3370" s="5" t="s">
        <v>238</v>
      </c>
      <c r="HC3370" s="5" t="s">
        <v>238</v>
      </c>
      <c r="HD3370" s="5" t="s">
        <v>238</v>
      </c>
      <c r="HE3370" s="5" t="s">
        <v>238</v>
      </c>
      <c r="HF3370" s="5" t="s">
        <v>238</v>
      </c>
      <c r="HG3370" s="5" t="s">
        <v>238</v>
      </c>
      <c r="HH3370" s="5" t="s">
        <v>238</v>
      </c>
      <c r="HI3370" s="5" t="s">
        <v>238</v>
      </c>
      <c r="HJ3370" s="5" t="s">
        <v>238</v>
      </c>
      <c r="HK3370" s="5" t="s">
        <v>238</v>
      </c>
      <c r="HL3370" s="5" t="s">
        <v>238</v>
      </c>
      <c r="HM3370" s="5" t="s">
        <v>264</v>
      </c>
      <c r="HN3370" s="5" t="s">
        <v>238</v>
      </c>
      <c r="HO3370" s="5" t="s">
        <v>238</v>
      </c>
      <c r="HP3370" s="5" t="s">
        <v>238</v>
      </c>
      <c r="HQ3370" s="5" t="s">
        <v>238</v>
      </c>
      <c r="HR3370" s="5" t="s">
        <v>238</v>
      </c>
      <c r="HS3370" s="5" t="s">
        <v>238</v>
      </c>
      <c r="HT3370" s="5" t="s">
        <v>238</v>
      </c>
      <c r="HU3370" s="5" t="s">
        <v>238</v>
      </c>
      <c r="HV3370" s="5" t="s">
        <v>238</v>
      </c>
      <c r="HW3370" s="5" t="s">
        <v>238</v>
      </c>
      <c r="HX3370" s="5" t="s">
        <v>238</v>
      </c>
      <c r="HY3370" s="5" t="s">
        <v>238</v>
      </c>
      <c r="HZ3370" s="5" t="s">
        <v>238</v>
      </c>
      <c r="IA3370" s="5" t="s">
        <v>238</v>
      </c>
      <c r="IB3370" s="5" t="s">
        <v>238</v>
      </c>
      <c r="IC3370" s="5" t="s">
        <v>238</v>
      </c>
      <c r="ID3370" s="5" t="s">
        <v>238</v>
      </c>
    </row>
    <row r="3371" spans="1:238" x14ac:dyDescent="0.4">
      <c r="A3371" s="5">
        <v>9089</v>
      </c>
      <c r="B3371" s="5">
        <v>1</v>
      </c>
      <c r="C3371" s="5">
        <v>1</v>
      </c>
      <c r="D3371" s="5" t="s">
        <v>484</v>
      </c>
      <c r="E3371" s="5" t="s">
        <v>485</v>
      </c>
      <c r="F3371" s="5" t="s">
        <v>248</v>
      </c>
      <c r="G3371" s="5" t="s">
        <v>2247</v>
      </c>
      <c r="H3371" s="6" t="s">
        <v>2248</v>
      </c>
      <c r="I3371" s="8">
        <f>1</f>
        <v>1</v>
      </c>
      <c r="J3371" s="5" t="s">
        <v>499</v>
      </c>
      <c r="K3371" s="8">
        <f>1</f>
        <v>1</v>
      </c>
      <c r="L3371" s="6" t="s">
        <v>242</v>
      </c>
      <c r="M3371" s="5" t="s">
        <v>267</v>
      </c>
      <c r="N3371" s="5" t="s">
        <v>482</v>
      </c>
      <c r="O3371" s="5" t="s">
        <v>238</v>
      </c>
      <c r="P3371" s="5" t="s">
        <v>238</v>
      </c>
      <c r="Q3371" s="5" t="s">
        <v>239</v>
      </c>
      <c r="R3371" s="5" t="s">
        <v>270</v>
      </c>
      <c r="S3371" s="5" t="s">
        <v>238</v>
      </c>
      <c r="T3371" s="5" t="s">
        <v>238</v>
      </c>
      <c r="U3371" s="5" t="s">
        <v>238</v>
      </c>
      <c r="V3371" s="5" t="s">
        <v>238</v>
      </c>
      <c r="W3371" s="6" t="s">
        <v>238</v>
      </c>
      <c r="X3371" s="6" t="s">
        <v>238</v>
      </c>
      <c r="Y3371" s="5" t="s">
        <v>238</v>
      </c>
      <c r="Z3371" s="6" t="s">
        <v>238</v>
      </c>
      <c r="AA3371" s="6" t="s">
        <v>243</v>
      </c>
      <c r="AB3371" s="5" t="s">
        <v>486</v>
      </c>
      <c r="AC3371" s="5" t="s">
        <v>244</v>
      </c>
      <c r="AD3371" s="5" t="s">
        <v>245</v>
      </c>
      <c r="AE3371" s="5" t="s">
        <v>238</v>
      </c>
      <c r="AF3371" s="5" t="s">
        <v>238</v>
      </c>
      <c r="AG3371" s="5" t="s">
        <v>238</v>
      </c>
      <c r="AH3371" s="5" t="s">
        <v>238</v>
      </c>
      <c r="AI3371" s="5" t="s">
        <v>238</v>
      </c>
      <c r="AJ3371" s="5" t="s">
        <v>238</v>
      </c>
      <c r="AK3371" s="5" t="s">
        <v>238</v>
      </c>
      <c r="AL3371" s="5" t="s">
        <v>238</v>
      </c>
      <c r="AM3371" s="6" t="s">
        <v>238</v>
      </c>
      <c r="AN3371" s="6" t="s">
        <v>238</v>
      </c>
      <c r="AO3371" s="6" t="s">
        <v>238</v>
      </c>
      <c r="AP3371" s="6" t="s">
        <v>238</v>
      </c>
      <c r="AQ3371" s="5" t="s">
        <v>238</v>
      </c>
      <c r="AR3371" s="5" t="s">
        <v>488</v>
      </c>
      <c r="AS3371" s="5" t="s">
        <v>488</v>
      </c>
      <c r="AT3371" s="5" t="s">
        <v>246</v>
      </c>
      <c r="AU3371" s="5" t="s">
        <v>489</v>
      </c>
      <c r="AV3371" s="5" t="s">
        <v>247</v>
      </c>
      <c r="AW3371" s="5" t="s">
        <v>238</v>
      </c>
      <c r="AX3371" s="5" t="s">
        <v>249</v>
      </c>
      <c r="AY3371" s="5" t="s">
        <v>490</v>
      </c>
      <c r="BA3371" s="5" t="s">
        <v>238</v>
      </c>
      <c r="BC3371" s="5" t="s">
        <v>491</v>
      </c>
      <c r="BD3371" s="6" t="s">
        <v>492</v>
      </c>
      <c r="BE3371" s="5" t="s">
        <v>493</v>
      </c>
      <c r="BF3371" s="5" t="s">
        <v>493</v>
      </c>
      <c r="BG3371" s="5" t="s">
        <v>238</v>
      </c>
      <c r="BH3371" s="8">
        <f>1</f>
        <v>1</v>
      </c>
      <c r="BI3371" s="8">
        <f>1</f>
        <v>1</v>
      </c>
      <c r="BJ3371" s="5" t="s">
        <v>253</v>
      </c>
      <c r="BK3371" s="5" t="s">
        <v>254</v>
      </c>
      <c r="BL3371" s="5" t="s">
        <v>238</v>
      </c>
      <c r="BM3371" s="5" t="s">
        <v>238</v>
      </c>
      <c r="BN3371" s="5" t="s">
        <v>238</v>
      </c>
      <c r="BO3371" s="5" t="s">
        <v>238</v>
      </c>
      <c r="BP3371" s="5" t="s">
        <v>238</v>
      </c>
      <c r="BQ3371" s="5" t="s">
        <v>238</v>
      </c>
      <c r="BR3371" s="5" t="s">
        <v>238</v>
      </c>
      <c r="BS3371" s="5" t="s">
        <v>238</v>
      </c>
      <c r="BT3371" s="6" t="s">
        <v>238</v>
      </c>
      <c r="BU3371" s="5" t="s">
        <v>238</v>
      </c>
      <c r="BV3371" s="5" t="s">
        <v>238</v>
      </c>
      <c r="BW3371" s="5" t="s">
        <v>238</v>
      </c>
      <c r="BX3371" s="5" t="s">
        <v>254</v>
      </c>
      <c r="BY3371" s="5" t="s">
        <v>238</v>
      </c>
      <c r="BZ3371" s="5" t="s">
        <v>238</v>
      </c>
      <c r="CA3371" s="5" t="s">
        <v>238</v>
      </c>
      <c r="CB3371" s="5" t="s">
        <v>238</v>
      </c>
      <c r="CC3371" s="5" t="s">
        <v>238</v>
      </c>
      <c r="CD3371" s="5" t="s">
        <v>273</v>
      </c>
      <c r="CE3371" s="5" t="s">
        <v>256</v>
      </c>
      <c r="CF3371" s="5" t="s">
        <v>238</v>
      </c>
      <c r="CH3371" s="5" t="s">
        <v>494</v>
      </c>
      <c r="CI3371" s="6" t="s">
        <v>257</v>
      </c>
      <c r="CJ3371" s="5" t="s">
        <v>495</v>
      </c>
      <c r="CK3371" s="5" t="s">
        <v>258</v>
      </c>
      <c r="CL3371" s="5" t="s">
        <v>496</v>
      </c>
      <c r="CM3371" s="5" t="s">
        <v>238</v>
      </c>
      <c r="CN3371" s="5">
        <v>0</v>
      </c>
      <c r="CO3371" s="5" t="s">
        <v>497</v>
      </c>
      <c r="CP3371" s="5" t="s">
        <v>260</v>
      </c>
      <c r="CQ3371" s="5" t="s">
        <v>260</v>
      </c>
      <c r="CR3371" s="5" t="s">
        <v>261</v>
      </c>
      <c r="CS3371" s="5" t="s">
        <v>498</v>
      </c>
      <c r="CT3371" s="7">
        <f>1</f>
        <v>1</v>
      </c>
      <c r="CU3371" s="8">
        <f>1</f>
        <v>1</v>
      </c>
      <c r="CV3371" s="8">
        <f>0</f>
        <v>0</v>
      </c>
      <c r="CX3371" s="8">
        <f>1</f>
        <v>1</v>
      </c>
      <c r="CY3371" s="8">
        <f>1</f>
        <v>1</v>
      </c>
      <c r="CZ3371" s="8" t="s">
        <v>238</v>
      </c>
      <c r="DA3371" s="5" t="s">
        <v>238</v>
      </c>
      <c r="DB3371" s="5" t="s">
        <v>238</v>
      </c>
      <c r="DC3371" s="5" t="s">
        <v>238</v>
      </c>
      <c r="DD3371" s="5" t="s">
        <v>238</v>
      </c>
      <c r="DE3371" s="8">
        <f>0</f>
        <v>0</v>
      </c>
      <c r="DG3371" s="5" t="s">
        <v>238</v>
      </c>
      <c r="DH3371" s="5" t="s">
        <v>238</v>
      </c>
      <c r="DI3371" s="5" t="s">
        <v>238</v>
      </c>
      <c r="DJ3371" s="5" t="s">
        <v>238</v>
      </c>
      <c r="DK3371" s="5" t="s">
        <v>238</v>
      </c>
      <c r="DL3371" s="5" t="s">
        <v>238</v>
      </c>
      <c r="DM3371" s="8" t="s">
        <v>238</v>
      </c>
      <c r="DN3371" s="5" t="s">
        <v>238</v>
      </c>
      <c r="DO3371" s="5" t="s">
        <v>238</v>
      </c>
      <c r="DP3371" s="5" t="s">
        <v>490</v>
      </c>
      <c r="DQ3371" s="5" t="s">
        <v>490</v>
      </c>
      <c r="DR3371" s="5" t="s">
        <v>238</v>
      </c>
      <c r="DS3371" s="5" t="s">
        <v>238</v>
      </c>
      <c r="DT3371" s="5" t="s">
        <v>500</v>
      </c>
      <c r="DU3371" s="5" t="s">
        <v>590</v>
      </c>
      <c r="DV3371" s="5" t="s">
        <v>238</v>
      </c>
      <c r="DW3371" s="5" t="s">
        <v>238</v>
      </c>
      <c r="DX3371" s="5" t="s">
        <v>238</v>
      </c>
      <c r="DY3371" s="5" t="s">
        <v>238</v>
      </c>
      <c r="DZ3371" s="5" t="s">
        <v>238</v>
      </c>
      <c r="EA3371" s="5" t="s">
        <v>238</v>
      </c>
      <c r="EB3371" s="5" t="s">
        <v>238</v>
      </c>
      <c r="EC3371" s="5" t="s">
        <v>238</v>
      </c>
      <c r="ED3371" s="5" t="s">
        <v>238</v>
      </c>
      <c r="EE3371" s="5" t="s">
        <v>238</v>
      </c>
      <c r="EF3371" s="5" t="s">
        <v>238</v>
      </c>
      <c r="EG3371" s="5" t="s">
        <v>238</v>
      </c>
      <c r="EH3371" s="5" t="s">
        <v>238</v>
      </c>
      <c r="EI3371" s="5" t="s">
        <v>238</v>
      </c>
      <c r="EJ3371" s="5" t="s">
        <v>238</v>
      </c>
      <c r="EK3371" s="5" t="s">
        <v>238</v>
      </c>
      <c r="EL3371" s="5" t="s">
        <v>238</v>
      </c>
      <c r="EM3371" s="5" t="s">
        <v>238</v>
      </c>
      <c r="EN3371" s="5" t="s">
        <v>238</v>
      </c>
      <c r="EO3371" s="5" t="s">
        <v>238</v>
      </c>
      <c r="EP3371" s="5" t="s">
        <v>238</v>
      </c>
      <c r="EQ3371" s="5" t="s">
        <v>238</v>
      </c>
      <c r="ER3371" s="5" t="s">
        <v>238</v>
      </c>
      <c r="ES3371" s="5" t="s">
        <v>238</v>
      </c>
      <c r="ET3371" s="5" t="s">
        <v>238</v>
      </c>
      <c r="EU3371" s="5" t="s">
        <v>238</v>
      </c>
      <c r="EV3371" s="5" t="s">
        <v>238</v>
      </c>
      <c r="EW3371" s="5" t="s">
        <v>238</v>
      </c>
      <c r="EX3371" s="5" t="s">
        <v>238</v>
      </c>
      <c r="EY3371" s="5" t="s">
        <v>238</v>
      </c>
      <c r="EZ3371" s="5" t="s">
        <v>238</v>
      </c>
      <c r="FA3371" s="5" t="s">
        <v>238</v>
      </c>
      <c r="FB3371" s="5" t="s">
        <v>238</v>
      </c>
      <c r="FC3371" s="5" t="s">
        <v>238</v>
      </c>
      <c r="FD3371" s="5" t="s">
        <v>238</v>
      </c>
      <c r="FE3371" s="5" t="s">
        <v>238</v>
      </c>
      <c r="FF3371" s="5" t="s">
        <v>238</v>
      </c>
      <c r="FG3371" s="5" t="s">
        <v>238</v>
      </c>
      <c r="FH3371" s="5" t="s">
        <v>238</v>
      </c>
      <c r="FI3371" s="5" t="s">
        <v>238</v>
      </c>
      <c r="FJ3371" s="5" t="s">
        <v>238</v>
      </c>
      <c r="FK3371" s="5" t="s">
        <v>238</v>
      </c>
      <c r="FL3371" s="5" t="s">
        <v>238</v>
      </c>
      <c r="FM3371" s="5" t="s">
        <v>238</v>
      </c>
      <c r="FN3371" s="5" t="s">
        <v>238</v>
      </c>
      <c r="FO3371" s="5" t="s">
        <v>238</v>
      </c>
      <c r="FP3371" s="5" t="s">
        <v>238</v>
      </c>
      <c r="FQ3371" s="5" t="s">
        <v>238</v>
      </c>
      <c r="FR3371" s="5" t="s">
        <v>238</v>
      </c>
      <c r="FS3371" s="5" t="s">
        <v>238</v>
      </c>
      <c r="FT3371" s="5" t="s">
        <v>238</v>
      </c>
      <c r="FU3371" s="5" t="s">
        <v>238</v>
      </c>
      <c r="FV3371" s="5" t="s">
        <v>238</v>
      </c>
      <c r="FW3371" s="5" t="s">
        <v>238</v>
      </c>
      <c r="FX3371" s="5" t="s">
        <v>238</v>
      </c>
      <c r="FY3371" s="5" t="s">
        <v>238</v>
      </c>
      <c r="FZ3371" s="5" t="s">
        <v>238</v>
      </c>
      <c r="GA3371" s="5" t="s">
        <v>238</v>
      </c>
      <c r="GB3371" s="5" t="s">
        <v>238</v>
      </c>
      <c r="GC3371" s="5" t="s">
        <v>238</v>
      </c>
      <c r="GD3371" s="5" t="s">
        <v>238</v>
      </c>
      <c r="GE3371" s="5" t="s">
        <v>238</v>
      </c>
      <c r="GF3371" s="5" t="s">
        <v>238</v>
      </c>
      <c r="GG3371" s="5" t="s">
        <v>238</v>
      </c>
      <c r="GH3371" s="5" t="s">
        <v>238</v>
      </c>
      <c r="GI3371" s="5" t="s">
        <v>238</v>
      </c>
      <c r="GJ3371" s="5" t="s">
        <v>238</v>
      </c>
      <c r="GK3371" s="5" t="s">
        <v>238</v>
      </c>
      <c r="GL3371" s="5" t="s">
        <v>238</v>
      </c>
      <c r="GM3371" s="5" t="s">
        <v>238</v>
      </c>
      <c r="GN3371" s="5" t="s">
        <v>238</v>
      </c>
      <c r="GO3371" s="5" t="s">
        <v>238</v>
      </c>
      <c r="GP3371" s="5" t="s">
        <v>238</v>
      </c>
      <c r="GQ3371" s="5" t="s">
        <v>238</v>
      </c>
      <c r="GR3371" s="5" t="s">
        <v>238</v>
      </c>
      <c r="GS3371" s="5" t="s">
        <v>238</v>
      </c>
      <c r="GT3371" s="5" t="s">
        <v>238</v>
      </c>
      <c r="GU3371" s="5" t="s">
        <v>238</v>
      </c>
      <c r="GV3371" s="5" t="s">
        <v>238</v>
      </c>
      <c r="GW3371" s="5" t="s">
        <v>238</v>
      </c>
      <c r="GX3371" s="5" t="s">
        <v>238</v>
      </c>
      <c r="GY3371" s="5" t="s">
        <v>238</v>
      </c>
      <c r="GZ3371" s="5" t="s">
        <v>238</v>
      </c>
      <c r="HA3371" s="5" t="s">
        <v>238</v>
      </c>
      <c r="HB3371" s="5" t="s">
        <v>238</v>
      </c>
      <c r="HC3371" s="5" t="s">
        <v>238</v>
      </c>
      <c r="HD3371" s="5" t="s">
        <v>238</v>
      </c>
      <c r="HE3371" s="5" t="s">
        <v>238</v>
      </c>
      <c r="HF3371" s="5" t="s">
        <v>238</v>
      </c>
      <c r="HG3371" s="5" t="s">
        <v>238</v>
      </c>
      <c r="HH3371" s="5" t="s">
        <v>238</v>
      </c>
      <c r="HI3371" s="5" t="s">
        <v>238</v>
      </c>
      <c r="HJ3371" s="5" t="s">
        <v>238</v>
      </c>
      <c r="HK3371" s="5" t="s">
        <v>238</v>
      </c>
      <c r="HL3371" s="5" t="s">
        <v>238</v>
      </c>
      <c r="HM3371" s="5" t="s">
        <v>264</v>
      </c>
      <c r="HN3371" s="5" t="s">
        <v>238</v>
      </c>
      <c r="HO3371" s="5" t="s">
        <v>238</v>
      </c>
      <c r="HP3371" s="5" t="s">
        <v>238</v>
      </c>
      <c r="HQ3371" s="5" t="s">
        <v>238</v>
      </c>
      <c r="HR3371" s="5" t="s">
        <v>238</v>
      </c>
      <c r="HS3371" s="5" t="s">
        <v>238</v>
      </c>
      <c r="HT3371" s="5" t="s">
        <v>238</v>
      </c>
      <c r="HU3371" s="5" t="s">
        <v>238</v>
      </c>
      <c r="HV3371" s="5" t="s">
        <v>238</v>
      </c>
      <c r="HW3371" s="5" t="s">
        <v>238</v>
      </c>
      <c r="HX3371" s="5" t="s">
        <v>238</v>
      </c>
      <c r="HY3371" s="5" t="s">
        <v>238</v>
      </c>
      <c r="HZ3371" s="5" t="s">
        <v>238</v>
      </c>
      <c r="IA3371" s="5" t="s">
        <v>238</v>
      </c>
      <c r="IB3371" s="5" t="s">
        <v>238</v>
      </c>
      <c r="IC3371" s="5" t="s">
        <v>238</v>
      </c>
      <c r="ID3371" s="5" t="s">
        <v>238</v>
      </c>
    </row>
    <row r="3372" spans="1:238" x14ac:dyDescent="0.4">
      <c r="A3372" s="5">
        <v>9090</v>
      </c>
      <c r="B3372" s="5">
        <v>1</v>
      </c>
      <c r="C3372" s="5">
        <v>1</v>
      </c>
      <c r="D3372" s="5" t="s">
        <v>484</v>
      </c>
      <c r="E3372" s="5" t="s">
        <v>485</v>
      </c>
      <c r="F3372" s="5" t="s">
        <v>248</v>
      </c>
      <c r="G3372" s="5" t="s">
        <v>974</v>
      </c>
      <c r="H3372" s="6" t="s">
        <v>975</v>
      </c>
      <c r="I3372" s="8">
        <f>1</f>
        <v>1</v>
      </c>
      <c r="J3372" s="5" t="s">
        <v>499</v>
      </c>
      <c r="K3372" s="8">
        <f>1</f>
        <v>1</v>
      </c>
      <c r="L3372" s="6" t="s">
        <v>242</v>
      </c>
      <c r="M3372" s="5" t="s">
        <v>267</v>
      </c>
      <c r="N3372" s="5" t="s">
        <v>482</v>
      </c>
      <c r="O3372" s="5" t="s">
        <v>238</v>
      </c>
      <c r="P3372" s="5" t="s">
        <v>238</v>
      </c>
      <c r="Q3372" s="5" t="s">
        <v>239</v>
      </c>
      <c r="R3372" s="5" t="s">
        <v>270</v>
      </c>
      <c r="S3372" s="5" t="s">
        <v>238</v>
      </c>
      <c r="T3372" s="5" t="s">
        <v>238</v>
      </c>
      <c r="U3372" s="5" t="s">
        <v>238</v>
      </c>
      <c r="V3372" s="5" t="s">
        <v>238</v>
      </c>
      <c r="W3372" s="6" t="s">
        <v>238</v>
      </c>
      <c r="X3372" s="6" t="s">
        <v>238</v>
      </c>
      <c r="Y3372" s="5" t="s">
        <v>238</v>
      </c>
      <c r="Z3372" s="6" t="s">
        <v>238</v>
      </c>
      <c r="AA3372" s="6" t="s">
        <v>243</v>
      </c>
      <c r="AB3372" s="5" t="s">
        <v>486</v>
      </c>
      <c r="AC3372" s="5" t="s">
        <v>244</v>
      </c>
      <c r="AD3372" s="5" t="s">
        <v>245</v>
      </c>
      <c r="AE3372" s="5" t="s">
        <v>238</v>
      </c>
      <c r="AF3372" s="5" t="s">
        <v>238</v>
      </c>
      <c r="AG3372" s="5" t="s">
        <v>238</v>
      </c>
      <c r="AH3372" s="5" t="s">
        <v>238</v>
      </c>
      <c r="AI3372" s="5" t="s">
        <v>238</v>
      </c>
      <c r="AJ3372" s="5" t="s">
        <v>238</v>
      </c>
      <c r="AK3372" s="5" t="s">
        <v>238</v>
      </c>
      <c r="AL3372" s="5" t="s">
        <v>238</v>
      </c>
      <c r="AM3372" s="6" t="s">
        <v>238</v>
      </c>
      <c r="AN3372" s="6" t="s">
        <v>238</v>
      </c>
      <c r="AO3372" s="6" t="s">
        <v>238</v>
      </c>
      <c r="AP3372" s="6" t="s">
        <v>238</v>
      </c>
      <c r="AQ3372" s="5" t="s">
        <v>238</v>
      </c>
      <c r="AR3372" s="5" t="s">
        <v>488</v>
      </c>
      <c r="AS3372" s="5" t="s">
        <v>488</v>
      </c>
      <c r="AT3372" s="5" t="s">
        <v>246</v>
      </c>
      <c r="AU3372" s="5" t="s">
        <v>489</v>
      </c>
      <c r="AV3372" s="5" t="s">
        <v>247</v>
      </c>
      <c r="AW3372" s="5" t="s">
        <v>238</v>
      </c>
      <c r="AX3372" s="5" t="s">
        <v>249</v>
      </c>
      <c r="AY3372" s="5" t="s">
        <v>490</v>
      </c>
      <c r="BA3372" s="5" t="s">
        <v>238</v>
      </c>
      <c r="BC3372" s="5" t="s">
        <v>491</v>
      </c>
      <c r="BD3372" s="6" t="s">
        <v>492</v>
      </c>
      <c r="BE3372" s="5" t="s">
        <v>493</v>
      </c>
      <c r="BF3372" s="5" t="s">
        <v>493</v>
      </c>
      <c r="BG3372" s="5" t="s">
        <v>238</v>
      </c>
      <c r="BH3372" s="8">
        <f>1</f>
        <v>1</v>
      </c>
      <c r="BI3372" s="8">
        <f>1</f>
        <v>1</v>
      </c>
      <c r="BJ3372" s="5" t="s">
        <v>253</v>
      </c>
      <c r="BK3372" s="5" t="s">
        <v>254</v>
      </c>
      <c r="BL3372" s="5" t="s">
        <v>238</v>
      </c>
      <c r="BM3372" s="5" t="s">
        <v>238</v>
      </c>
      <c r="BN3372" s="5" t="s">
        <v>238</v>
      </c>
      <c r="BO3372" s="5" t="s">
        <v>238</v>
      </c>
      <c r="BP3372" s="5" t="s">
        <v>238</v>
      </c>
      <c r="BQ3372" s="5" t="s">
        <v>238</v>
      </c>
      <c r="BR3372" s="5" t="s">
        <v>238</v>
      </c>
      <c r="BS3372" s="5" t="s">
        <v>238</v>
      </c>
      <c r="BT3372" s="6" t="s">
        <v>238</v>
      </c>
      <c r="BU3372" s="5" t="s">
        <v>238</v>
      </c>
      <c r="BV3372" s="5" t="s">
        <v>238</v>
      </c>
      <c r="BW3372" s="5" t="s">
        <v>238</v>
      </c>
      <c r="BX3372" s="5" t="s">
        <v>254</v>
      </c>
      <c r="BY3372" s="5" t="s">
        <v>238</v>
      </c>
      <c r="BZ3372" s="5" t="s">
        <v>238</v>
      </c>
      <c r="CA3372" s="5" t="s">
        <v>238</v>
      </c>
      <c r="CB3372" s="5" t="s">
        <v>238</v>
      </c>
      <c r="CC3372" s="5" t="s">
        <v>238</v>
      </c>
      <c r="CD3372" s="5" t="s">
        <v>273</v>
      </c>
      <c r="CE3372" s="5" t="s">
        <v>256</v>
      </c>
      <c r="CF3372" s="5" t="s">
        <v>238</v>
      </c>
      <c r="CH3372" s="5" t="s">
        <v>494</v>
      </c>
      <c r="CI3372" s="6" t="s">
        <v>257</v>
      </c>
      <c r="CJ3372" s="5" t="s">
        <v>495</v>
      </c>
      <c r="CK3372" s="5" t="s">
        <v>258</v>
      </c>
      <c r="CL3372" s="5" t="s">
        <v>496</v>
      </c>
      <c r="CM3372" s="5" t="s">
        <v>238</v>
      </c>
      <c r="CN3372" s="5">
        <v>0</v>
      </c>
      <c r="CO3372" s="5" t="s">
        <v>497</v>
      </c>
      <c r="CP3372" s="5" t="s">
        <v>260</v>
      </c>
      <c r="CQ3372" s="5" t="s">
        <v>260</v>
      </c>
      <c r="CR3372" s="5" t="s">
        <v>261</v>
      </c>
      <c r="CS3372" s="5" t="s">
        <v>498</v>
      </c>
      <c r="CT3372" s="7">
        <f>1</f>
        <v>1</v>
      </c>
      <c r="CU3372" s="8">
        <f>1</f>
        <v>1</v>
      </c>
      <c r="CV3372" s="8">
        <f>0</f>
        <v>0</v>
      </c>
      <c r="CX3372" s="8">
        <f>1</f>
        <v>1</v>
      </c>
      <c r="CY3372" s="8">
        <f>1</f>
        <v>1</v>
      </c>
      <c r="CZ3372" s="8" t="s">
        <v>238</v>
      </c>
      <c r="DA3372" s="5" t="s">
        <v>238</v>
      </c>
      <c r="DB3372" s="5" t="s">
        <v>238</v>
      </c>
      <c r="DC3372" s="5" t="s">
        <v>238</v>
      </c>
      <c r="DD3372" s="5" t="s">
        <v>238</v>
      </c>
      <c r="DE3372" s="8">
        <f>0</f>
        <v>0</v>
      </c>
      <c r="DG3372" s="5" t="s">
        <v>238</v>
      </c>
      <c r="DH3372" s="5" t="s">
        <v>238</v>
      </c>
      <c r="DI3372" s="5" t="s">
        <v>238</v>
      </c>
      <c r="DJ3372" s="5" t="s">
        <v>238</v>
      </c>
      <c r="DK3372" s="5" t="s">
        <v>238</v>
      </c>
      <c r="DL3372" s="5" t="s">
        <v>238</v>
      </c>
      <c r="DM3372" s="8" t="s">
        <v>238</v>
      </c>
      <c r="DN3372" s="5" t="s">
        <v>238</v>
      </c>
      <c r="DO3372" s="5" t="s">
        <v>238</v>
      </c>
      <c r="DP3372" s="5" t="s">
        <v>490</v>
      </c>
      <c r="DQ3372" s="5" t="s">
        <v>490</v>
      </c>
      <c r="DR3372" s="5" t="s">
        <v>238</v>
      </c>
      <c r="DS3372" s="5" t="s">
        <v>238</v>
      </c>
      <c r="DT3372" s="5" t="s">
        <v>500</v>
      </c>
      <c r="DU3372" s="5" t="s">
        <v>976</v>
      </c>
      <c r="DV3372" s="5" t="s">
        <v>238</v>
      </c>
      <c r="DW3372" s="5" t="s">
        <v>238</v>
      </c>
      <c r="DX3372" s="5" t="s">
        <v>238</v>
      </c>
      <c r="DY3372" s="5" t="s">
        <v>238</v>
      </c>
      <c r="DZ3372" s="5" t="s">
        <v>238</v>
      </c>
      <c r="EA3372" s="5" t="s">
        <v>238</v>
      </c>
      <c r="EB3372" s="5" t="s">
        <v>238</v>
      </c>
      <c r="EC3372" s="5" t="s">
        <v>238</v>
      </c>
      <c r="ED3372" s="5" t="s">
        <v>238</v>
      </c>
      <c r="EE3372" s="5" t="s">
        <v>238</v>
      </c>
      <c r="EF3372" s="5" t="s">
        <v>238</v>
      </c>
      <c r="EG3372" s="5" t="s">
        <v>238</v>
      </c>
      <c r="EH3372" s="5" t="s">
        <v>238</v>
      </c>
      <c r="EI3372" s="5" t="s">
        <v>238</v>
      </c>
      <c r="EJ3372" s="5" t="s">
        <v>238</v>
      </c>
      <c r="EK3372" s="5" t="s">
        <v>238</v>
      </c>
      <c r="EL3372" s="5" t="s">
        <v>238</v>
      </c>
      <c r="EM3372" s="5" t="s">
        <v>238</v>
      </c>
      <c r="EN3372" s="5" t="s">
        <v>238</v>
      </c>
      <c r="EO3372" s="5" t="s">
        <v>238</v>
      </c>
      <c r="EP3372" s="5" t="s">
        <v>238</v>
      </c>
      <c r="EQ3372" s="5" t="s">
        <v>238</v>
      </c>
      <c r="ER3372" s="5" t="s">
        <v>238</v>
      </c>
      <c r="ES3372" s="5" t="s">
        <v>238</v>
      </c>
      <c r="ET3372" s="5" t="s">
        <v>238</v>
      </c>
      <c r="EU3372" s="5" t="s">
        <v>238</v>
      </c>
      <c r="EV3372" s="5" t="s">
        <v>238</v>
      </c>
      <c r="EW3372" s="5" t="s">
        <v>238</v>
      </c>
      <c r="EX3372" s="5" t="s">
        <v>238</v>
      </c>
      <c r="EY3372" s="5" t="s">
        <v>238</v>
      </c>
      <c r="EZ3372" s="5" t="s">
        <v>238</v>
      </c>
      <c r="FA3372" s="5" t="s">
        <v>238</v>
      </c>
      <c r="FB3372" s="5" t="s">
        <v>238</v>
      </c>
      <c r="FC3372" s="5" t="s">
        <v>238</v>
      </c>
      <c r="FD3372" s="5" t="s">
        <v>238</v>
      </c>
      <c r="FE3372" s="5" t="s">
        <v>238</v>
      </c>
      <c r="FF3372" s="5" t="s">
        <v>238</v>
      </c>
      <c r="FG3372" s="5" t="s">
        <v>238</v>
      </c>
      <c r="FH3372" s="5" t="s">
        <v>238</v>
      </c>
      <c r="FI3372" s="5" t="s">
        <v>238</v>
      </c>
      <c r="FJ3372" s="5" t="s">
        <v>238</v>
      </c>
      <c r="FK3372" s="5" t="s">
        <v>238</v>
      </c>
      <c r="FL3372" s="5" t="s">
        <v>238</v>
      </c>
      <c r="FM3372" s="5" t="s">
        <v>238</v>
      </c>
      <c r="FN3372" s="5" t="s">
        <v>238</v>
      </c>
      <c r="FO3372" s="5" t="s">
        <v>238</v>
      </c>
      <c r="FP3372" s="5" t="s">
        <v>238</v>
      </c>
      <c r="FQ3372" s="5" t="s">
        <v>238</v>
      </c>
      <c r="FR3372" s="5" t="s">
        <v>238</v>
      </c>
      <c r="FS3372" s="5" t="s">
        <v>238</v>
      </c>
      <c r="FT3372" s="5" t="s">
        <v>238</v>
      </c>
      <c r="FU3372" s="5" t="s">
        <v>238</v>
      </c>
      <c r="FV3372" s="5" t="s">
        <v>238</v>
      </c>
      <c r="FW3372" s="5" t="s">
        <v>238</v>
      </c>
      <c r="FX3372" s="5" t="s">
        <v>238</v>
      </c>
      <c r="FY3372" s="5" t="s">
        <v>238</v>
      </c>
      <c r="FZ3372" s="5" t="s">
        <v>238</v>
      </c>
      <c r="GA3372" s="5" t="s">
        <v>238</v>
      </c>
      <c r="GB3372" s="5" t="s">
        <v>238</v>
      </c>
      <c r="GC3372" s="5" t="s">
        <v>238</v>
      </c>
      <c r="GD3372" s="5" t="s">
        <v>238</v>
      </c>
      <c r="GE3372" s="5" t="s">
        <v>238</v>
      </c>
      <c r="GF3372" s="5" t="s">
        <v>238</v>
      </c>
      <c r="GG3372" s="5" t="s">
        <v>238</v>
      </c>
      <c r="GH3372" s="5" t="s">
        <v>238</v>
      </c>
      <c r="GI3372" s="5" t="s">
        <v>238</v>
      </c>
      <c r="GJ3372" s="5" t="s">
        <v>238</v>
      </c>
      <c r="GK3372" s="5" t="s">
        <v>238</v>
      </c>
      <c r="GL3372" s="5" t="s">
        <v>238</v>
      </c>
      <c r="GM3372" s="5" t="s">
        <v>238</v>
      </c>
      <c r="GN3372" s="5" t="s">
        <v>238</v>
      </c>
      <c r="GO3372" s="5" t="s">
        <v>238</v>
      </c>
      <c r="GP3372" s="5" t="s">
        <v>238</v>
      </c>
      <c r="GQ3372" s="5" t="s">
        <v>238</v>
      </c>
      <c r="GR3372" s="5" t="s">
        <v>238</v>
      </c>
      <c r="GS3372" s="5" t="s">
        <v>238</v>
      </c>
      <c r="GT3372" s="5" t="s">
        <v>238</v>
      </c>
      <c r="GU3372" s="5" t="s">
        <v>238</v>
      </c>
      <c r="GV3372" s="5" t="s">
        <v>238</v>
      </c>
      <c r="GW3372" s="5" t="s">
        <v>238</v>
      </c>
      <c r="GX3372" s="5" t="s">
        <v>238</v>
      </c>
      <c r="GY3372" s="5" t="s">
        <v>238</v>
      </c>
      <c r="GZ3372" s="5" t="s">
        <v>238</v>
      </c>
      <c r="HA3372" s="5" t="s">
        <v>238</v>
      </c>
      <c r="HB3372" s="5" t="s">
        <v>238</v>
      </c>
      <c r="HC3372" s="5" t="s">
        <v>238</v>
      </c>
      <c r="HD3372" s="5" t="s">
        <v>238</v>
      </c>
      <c r="HE3372" s="5" t="s">
        <v>238</v>
      </c>
      <c r="HF3372" s="5" t="s">
        <v>238</v>
      </c>
      <c r="HG3372" s="5" t="s">
        <v>238</v>
      </c>
      <c r="HH3372" s="5" t="s">
        <v>238</v>
      </c>
      <c r="HI3372" s="5" t="s">
        <v>238</v>
      </c>
      <c r="HJ3372" s="5" t="s">
        <v>238</v>
      </c>
      <c r="HK3372" s="5" t="s">
        <v>238</v>
      </c>
      <c r="HL3372" s="5" t="s">
        <v>238</v>
      </c>
      <c r="HM3372" s="5" t="s">
        <v>264</v>
      </c>
      <c r="HN3372" s="5" t="s">
        <v>238</v>
      </c>
      <c r="HO3372" s="5" t="s">
        <v>238</v>
      </c>
      <c r="HP3372" s="5" t="s">
        <v>238</v>
      </c>
      <c r="HQ3372" s="5" t="s">
        <v>238</v>
      </c>
      <c r="HR3372" s="5" t="s">
        <v>238</v>
      </c>
      <c r="HS3372" s="5" t="s">
        <v>238</v>
      </c>
      <c r="HT3372" s="5" t="s">
        <v>238</v>
      </c>
      <c r="HU3372" s="5" t="s">
        <v>238</v>
      </c>
      <c r="HV3372" s="5" t="s">
        <v>238</v>
      </c>
      <c r="HW3372" s="5" t="s">
        <v>238</v>
      </c>
      <c r="HX3372" s="5" t="s">
        <v>238</v>
      </c>
      <c r="HY3372" s="5" t="s">
        <v>238</v>
      </c>
      <c r="HZ3372" s="5" t="s">
        <v>238</v>
      </c>
      <c r="IA3372" s="5" t="s">
        <v>238</v>
      </c>
      <c r="IB3372" s="5" t="s">
        <v>238</v>
      </c>
      <c r="IC3372" s="5" t="s">
        <v>238</v>
      </c>
      <c r="ID3372" s="5" t="s">
        <v>238</v>
      </c>
    </row>
    <row r="3373" spans="1:238" x14ac:dyDescent="0.4">
      <c r="A3373" s="5">
        <v>9091</v>
      </c>
      <c r="B3373" s="5">
        <v>1</v>
      </c>
      <c r="C3373" s="5">
        <v>1</v>
      </c>
      <c r="D3373" s="5" t="s">
        <v>484</v>
      </c>
      <c r="E3373" s="5" t="s">
        <v>485</v>
      </c>
      <c r="F3373" s="5" t="s">
        <v>248</v>
      </c>
      <c r="G3373" s="5" t="s">
        <v>4542</v>
      </c>
      <c r="H3373" s="6" t="s">
        <v>4543</v>
      </c>
      <c r="I3373" s="8">
        <f>1</f>
        <v>1</v>
      </c>
      <c r="J3373" s="5" t="s">
        <v>499</v>
      </c>
      <c r="K3373" s="8">
        <f>1</f>
        <v>1</v>
      </c>
      <c r="L3373" s="6" t="s">
        <v>242</v>
      </c>
      <c r="M3373" s="5" t="s">
        <v>267</v>
      </c>
      <c r="N3373" s="5" t="s">
        <v>482</v>
      </c>
      <c r="O3373" s="5" t="s">
        <v>238</v>
      </c>
      <c r="P3373" s="5" t="s">
        <v>238</v>
      </c>
      <c r="Q3373" s="5" t="s">
        <v>239</v>
      </c>
      <c r="R3373" s="5" t="s">
        <v>270</v>
      </c>
      <c r="S3373" s="5" t="s">
        <v>238</v>
      </c>
      <c r="T3373" s="5" t="s">
        <v>238</v>
      </c>
      <c r="U3373" s="5" t="s">
        <v>238</v>
      </c>
      <c r="V3373" s="5" t="s">
        <v>238</v>
      </c>
      <c r="W3373" s="6" t="s">
        <v>238</v>
      </c>
      <c r="X3373" s="6" t="s">
        <v>238</v>
      </c>
      <c r="Y3373" s="5" t="s">
        <v>238</v>
      </c>
      <c r="Z3373" s="6" t="s">
        <v>238</v>
      </c>
      <c r="AA3373" s="6" t="s">
        <v>243</v>
      </c>
      <c r="AB3373" s="5" t="s">
        <v>486</v>
      </c>
      <c r="AC3373" s="5" t="s">
        <v>244</v>
      </c>
      <c r="AD3373" s="5" t="s">
        <v>245</v>
      </c>
      <c r="AE3373" s="5" t="s">
        <v>238</v>
      </c>
      <c r="AF3373" s="5" t="s">
        <v>238</v>
      </c>
      <c r="AG3373" s="5" t="s">
        <v>238</v>
      </c>
      <c r="AH3373" s="5" t="s">
        <v>238</v>
      </c>
      <c r="AI3373" s="5" t="s">
        <v>238</v>
      </c>
      <c r="AJ3373" s="5" t="s">
        <v>238</v>
      </c>
      <c r="AK3373" s="5" t="s">
        <v>238</v>
      </c>
      <c r="AL3373" s="5" t="s">
        <v>238</v>
      </c>
      <c r="AM3373" s="6" t="s">
        <v>238</v>
      </c>
      <c r="AN3373" s="6" t="s">
        <v>238</v>
      </c>
      <c r="AO3373" s="6" t="s">
        <v>238</v>
      </c>
      <c r="AP3373" s="6" t="s">
        <v>238</v>
      </c>
      <c r="AQ3373" s="5" t="s">
        <v>238</v>
      </c>
      <c r="AR3373" s="5" t="s">
        <v>488</v>
      </c>
      <c r="AS3373" s="5" t="s">
        <v>488</v>
      </c>
      <c r="AT3373" s="5" t="s">
        <v>246</v>
      </c>
      <c r="AU3373" s="5" t="s">
        <v>489</v>
      </c>
      <c r="AV3373" s="5" t="s">
        <v>247</v>
      </c>
      <c r="AW3373" s="5" t="s">
        <v>238</v>
      </c>
      <c r="AX3373" s="5" t="s">
        <v>249</v>
      </c>
      <c r="AY3373" s="5" t="s">
        <v>490</v>
      </c>
      <c r="BA3373" s="5" t="s">
        <v>238</v>
      </c>
      <c r="BC3373" s="5" t="s">
        <v>491</v>
      </c>
      <c r="BD3373" s="6" t="s">
        <v>492</v>
      </c>
      <c r="BE3373" s="5" t="s">
        <v>493</v>
      </c>
      <c r="BF3373" s="5" t="s">
        <v>493</v>
      </c>
      <c r="BG3373" s="5" t="s">
        <v>238</v>
      </c>
      <c r="BH3373" s="8">
        <f>1</f>
        <v>1</v>
      </c>
      <c r="BI3373" s="8">
        <f>1</f>
        <v>1</v>
      </c>
      <c r="BJ3373" s="5" t="s">
        <v>253</v>
      </c>
      <c r="BK3373" s="5" t="s">
        <v>254</v>
      </c>
      <c r="BL3373" s="5" t="s">
        <v>238</v>
      </c>
      <c r="BM3373" s="5" t="s">
        <v>238</v>
      </c>
      <c r="BN3373" s="5" t="s">
        <v>238</v>
      </c>
      <c r="BO3373" s="5" t="s">
        <v>238</v>
      </c>
      <c r="BP3373" s="5" t="s">
        <v>238</v>
      </c>
      <c r="BQ3373" s="5" t="s">
        <v>238</v>
      </c>
      <c r="BR3373" s="5" t="s">
        <v>238</v>
      </c>
      <c r="BS3373" s="5" t="s">
        <v>238</v>
      </c>
      <c r="BT3373" s="6" t="s">
        <v>238</v>
      </c>
      <c r="BU3373" s="5" t="s">
        <v>238</v>
      </c>
      <c r="BV3373" s="5" t="s">
        <v>238</v>
      </c>
      <c r="BW3373" s="5" t="s">
        <v>238</v>
      </c>
      <c r="BX3373" s="5" t="s">
        <v>254</v>
      </c>
      <c r="BY3373" s="5" t="s">
        <v>238</v>
      </c>
      <c r="BZ3373" s="5" t="s">
        <v>238</v>
      </c>
      <c r="CA3373" s="5" t="s">
        <v>238</v>
      </c>
      <c r="CB3373" s="5" t="s">
        <v>238</v>
      </c>
      <c r="CC3373" s="5" t="s">
        <v>238</v>
      </c>
      <c r="CD3373" s="5" t="s">
        <v>273</v>
      </c>
      <c r="CE3373" s="5" t="s">
        <v>256</v>
      </c>
      <c r="CF3373" s="5" t="s">
        <v>238</v>
      </c>
      <c r="CH3373" s="5" t="s">
        <v>494</v>
      </c>
      <c r="CI3373" s="6" t="s">
        <v>257</v>
      </c>
      <c r="CJ3373" s="5" t="s">
        <v>495</v>
      </c>
      <c r="CK3373" s="5" t="s">
        <v>258</v>
      </c>
      <c r="CL3373" s="5" t="s">
        <v>496</v>
      </c>
      <c r="CM3373" s="5" t="s">
        <v>238</v>
      </c>
      <c r="CN3373" s="5">
        <v>0</v>
      </c>
      <c r="CO3373" s="5" t="s">
        <v>497</v>
      </c>
      <c r="CP3373" s="5" t="s">
        <v>260</v>
      </c>
      <c r="CQ3373" s="5" t="s">
        <v>260</v>
      </c>
      <c r="CR3373" s="5" t="s">
        <v>261</v>
      </c>
      <c r="CS3373" s="5" t="s">
        <v>498</v>
      </c>
      <c r="CT3373" s="7">
        <f>1</f>
        <v>1</v>
      </c>
      <c r="CU3373" s="8">
        <f>1</f>
        <v>1</v>
      </c>
      <c r="CV3373" s="8">
        <f>0</f>
        <v>0</v>
      </c>
      <c r="CX3373" s="8">
        <f>1</f>
        <v>1</v>
      </c>
      <c r="CY3373" s="8">
        <f>1</f>
        <v>1</v>
      </c>
      <c r="CZ3373" s="8" t="s">
        <v>238</v>
      </c>
      <c r="DA3373" s="5" t="s">
        <v>238</v>
      </c>
      <c r="DB3373" s="5" t="s">
        <v>238</v>
      </c>
      <c r="DC3373" s="5" t="s">
        <v>238</v>
      </c>
      <c r="DD3373" s="5" t="s">
        <v>238</v>
      </c>
      <c r="DE3373" s="8">
        <f>0</f>
        <v>0</v>
      </c>
      <c r="DG3373" s="5" t="s">
        <v>238</v>
      </c>
      <c r="DH3373" s="5" t="s">
        <v>238</v>
      </c>
      <c r="DI3373" s="5" t="s">
        <v>238</v>
      </c>
      <c r="DJ3373" s="5" t="s">
        <v>238</v>
      </c>
      <c r="DK3373" s="5" t="s">
        <v>238</v>
      </c>
      <c r="DL3373" s="5" t="s">
        <v>238</v>
      </c>
      <c r="DM3373" s="8" t="s">
        <v>238</v>
      </c>
      <c r="DN3373" s="5" t="s">
        <v>238</v>
      </c>
      <c r="DO3373" s="5" t="s">
        <v>238</v>
      </c>
      <c r="DP3373" s="5" t="s">
        <v>490</v>
      </c>
      <c r="DQ3373" s="5" t="s">
        <v>490</v>
      </c>
      <c r="DR3373" s="5" t="s">
        <v>238</v>
      </c>
      <c r="DS3373" s="5" t="s">
        <v>238</v>
      </c>
      <c r="DT3373" s="5" t="s">
        <v>500</v>
      </c>
      <c r="DU3373" s="5" t="s">
        <v>606</v>
      </c>
      <c r="DV3373" s="5" t="s">
        <v>238</v>
      </c>
      <c r="DW3373" s="5" t="s">
        <v>238</v>
      </c>
      <c r="DX3373" s="5" t="s">
        <v>238</v>
      </c>
      <c r="DY3373" s="5" t="s">
        <v>238</v>
      </c>
      <c r="DZ3373" s="5" t="s">
        <v>238</v>
      </c>
      <c r="EA3373" s="5" t="s">
        <v>238</v>
      </c>
      <c r="EB3373" s="5" t="s">
        <v>238</v>
      </c>
      <c r="EC3373" s="5" t="s">
        <v>238</v>
      </c>
      <c r="ED3373" s="5" t="s">
        <v>238</v>
      </c>
      <c r="EE3373" s="5" t="s">
        <v>238</v>
      </c>
      <c r="EF3373" s="5" t="s">
        <v>238</v>
      </c>
      <c r="EG3373" s="5" t="s">
        <v>238</v>
      </c>
      <c r="EH3373" s="5" t="s">
        <v>238</v>
      </c>
      <c r="EI3373" s="5" t="s">
        <v>238</v>
      </c>
      <c r="EJ3373" s="5" t="s">
        <v>238</v>
      </c>
      <c r="EK3373" s="5" t="s">
        <v>238</v>
      </c>
      <c r="EL3373" s="5" t="s">
        <v>238</v>
      </c>
      <c r="EM3373" s="5" t="s">
        <v>238</v>
      </c>
      <c r="EN3373" s="5" t="s">
        <v>238</v>
      </c>
      <c r="EO3373" s="5" t="s">
        <v>238</v>
      </c>
      <c r="EP3373" s="5" t="s">
        <v>238</v>
      </c>
      <c r="EQ3373" s="5" t="s">
        <v>238</v>
      </c>
      <c r="ER3373" s="5" t="s">
        <v>238</v>
      </c>
      <c r="ES3373" s="5" t="s">
        <v>238</v>
      </c>
      <c r="ET3373" s="5" t="s">
        <v>238</v>
      </c>
      <c r="EU3373" s="5" t="s">
        <v>238</v>
      </c>
      <c r="EV3373" s="5" t="s">
        <v>238</v>
      </c>
      <c r="EW3373" s="5" t="s">
        <v>238</v>
      </c>
      <c r="EX3373" s="5" t="s">
        <v>238</v>
      </c>
      <c r="EY3373" s="5" t="s">
        <v>238</v>
      </c>
      <c r="EZ3373" s="5" t="s">
        <v>238</v>
      </c>
      <c r="FA3373" s="5" t="s">
        <v>238</v>
      </c>
      <c r="FB3373" s="5" t="s">
        <v>238</v>
      </c>
      <c r="FC3373" s="5" t="s">
        <v>238</v>
      </c>
      <c r="FD3373" s="5" t="s">
        <v>238</v>
      </c>
      <c r="FE3373" s="5" t="s">
        <v>238</v>
      </c>
      <c r="FF3373" s="5" t="s">
        <v>238</v>
      </c>
      <c r="FG3373" s="5" t="s">
        <v>238</v>
      </c>
      <c r="FH3373" s="5" t="s">
        <v>238</v>
      </c>
      <c r="FI3373" s="5" t="s">
        <v>238</v>
      </c>
      <c r="FJ3373" s="5" t="s">
        <v>238</v>
      </c>
      <c r="FK3373" s="5" t="s">
        <v>238</v>
      </c>
      <c r="FL3373" s="5" t="s">
        <v>238</v>
      </c>
      <c r="FM3373" s="5" t="s">
        <v>238</v>
      </c>
      <c r="FN3373" s="5" t="s">
        <v>238</v>
      </c>
      <c r="FO3373" s="5" t="s">
        <v>238</v>
      </c>
      <c r="FP3373" s="5" t="s">
        <v>238</v>
      </c>
      <c r="FQ3373" s="5" t="s">
        <v>238</v>
      </c>
      <c r="FR3373" s="5" t="s">
        <v>238</v>
      </c>
      <c r="FS3373" s="5" t="s">
        <v>238</v>
      </c>
      <c r="FT3373" s="5" t="s">
        <v>238</v>
      </c>
      <c r="FU3373" s="5" t="s">
        <v>238</v>
      </c>
      <c r="FV3373" s="5" t="s">
        <v>238</v>
      </c>
      <c r="FW3373" s="5" t="s">
        <v>238</v>
      </c>
      <c r="FX3373" s="5" t="s">
        <v>238</v>
      </c>
      <c r="FY3373" s="5" t="s">
        <v>238</v>
      </c>
      <c r="FZ3373" s="5" t="s">
        <v>238</v>
      </c>
      <c r="GA3373" s="5" t="s">
        <v>238</v>
      </c>
      <c r="GB3373" s="5" t="s">
        <v>238</v>
      </c>
      <c r="GC3373" s="5" t="s">
        <v>238</v>
      </c>
      <c r="GD3373" s="5" t="s">
        <v>238</v>
      </c>
      <c r="GE3373" s="5" t="s">
        <v>238</v>
      </c>
      <c r="GF3373" s="5" t="s">
        <v>238</v>
      </c>
      <c r="GG3373" s="5" t="s">
        <v>238</v>
      </c>
      <c r="GH3373" s="5" t="s">
        <v>238</v>
      </c>
      <c r="GI3373" s="5" t="s">
        <v>238</v>
      </c>
      <c r="GJ3373" s="5" t="s">
        <v>238</v>
      </c>
      <c r="GK3373" s="5" t="s">
        <v>238</v>
      </c>
      <c r="GL3373" s="5" t="s">
        <v>238</v>
      </c>
      <c r="GM3373" s="5" t="s">
        <v>238</v>
      </c>
      <c r="GN3373" s="5" t="s">
        <v>238</v>
      </c>
      <c r="GO3373" s="5" t="s">
        <v>238</v>
      </c>
      <c r="GP3373" s="5" t="s">
        <v>238</v>
      </c>
      <c r="GQ3373" s="5" t="s">
        <v>238</v>
      </c>
      <c r="GR3373" s="5" t="s">
        <v>238</v>
      </c>
      <c r="GS3373" s="5" t="s">
        <v>238</v>
      </c>
      <c r="GT3373" s="5" t="s">
        <v>238</v>
      </c>
      <c r="GU3373" s="5" t="s">
        <v>238</v>
      </c>
      <c r="GV3373" s="5" t="s">
        <v>238</v>
      </c>
      <c r="GW3373" s="5" t="s">
        <v>238</v>
      </c>
      <c r="GX3373" s="5" t="s">
        <v>238</v>
      </c>
      <c r="GY3373" s="5" t="s">
        <v>238</v>
      </c>
      <c r="GZ3373" s="5" t="s">
        <v>238</v>
      </c>
      <c r="HA3373" s="5" t="s">
        <v>238</v>
      </c>
      <c r="HB3373" s="5" t="s">
        <v>238</v>
      </c>
      <c r="HC3373" s="5" t="s">
        <v>238</v>
      </c>
      <c r="HD3373" s="5" t="s">
        <v>238</v>
      </c>
      <c r="HE3373" s="5" t="s">
        <v>238</v>
      </c>
      <c r="HF3373" s="5" t="s">
        <v>238</v>
      </c>
      <c r="HG3373" s="5" t="s">
        <v>238</v>
      </c>
      <c r="HH3373" s="5" t="s">
        <v>238</v>
      </c>
      <c r="HI3373" s="5" t="s">
        <v>238</v>
      </c>
      <c r="HJ3373" s="5" t="s">
        <v>238</v>
      </c>
      <c r="HK3373" s="5" t="s">
        <v>238</v>
      </c>
      <c r="HL3373" s="5" t="s">
        <v>238</v>
      </c>
      <c r="HM3373" s="5" t="s">
        <v>264</v>
      </c>
      <c r="HN3373" s="5" t="s">
        <v>238</v>
      </c>
      <c r="HO3373" s="5" t="s">
        <v>238</v>
      </c>
      <c r="HP3373" s="5" t="s">
        <v>238</v>
      </c>
      <c r="HQ3373" s="5" t="s">
        <v>238</v>
      </c>
      <c r="HR3373" s="5" t="s">
        <v>238</v>
      </c>
      <c r="HS3373" s="5" t="s">
        <v>238</v>
      </c>
      <c r="HT3373" s="5" t="s">
        <v>238</v>
      </c>
      <c r="HU3373" s="5" t="s">
        <v>238</v>
      </c>
      <c r="HV3373" s="5" t="s">
        <v>238</v>
      </c>
      <c r="HW3373" s="5" t="s">
        <v>238</v>
      </c>
      <c r="HX3373" s="5" t="s">
        <v>238</v>
      </c>
      <c r="HY3373" s="5" t="s">
        <v>238</v>
      </c>
      <c r="HZ3373" s="5" t="s">
        <v>238</v>
      </c>
      <c r="IA3373" s="5" t="s">
        <v>238</v>
      </c>
      <c r="IB3373" s="5" t="s">
        <v>238</v>
      </c>
      <c r="IC3373" s="5" t="s">
        <v>238</v>
      </c>
      <c r="ID3373" s="5" t="s">
        <v>238</v>
      </c>
    </row>
    <row r="3374" spans="1:238" x14ac:dyDescent="0.4">
      <c r="A3374" s="5">
        <v>9092</v>
      </c>
      <c r="B3374" s="5">
        <v>1</v>
      </c>
      <c r="C3374" s="5">
        <v>1</v>
      </c>
      <c r="D3374" s="5" t="s">
        <v>484</v>
      </c>
      <c r="E3374" s="5" t="s">
        <v>485</v>
      </c>
      <c r="F3374" s="5" t="s">
        <v>248</v>
      </c>
      <c r="G3374" s="5" t="s">
        <v>5553</v>
      </c>
      <c r="H3374" s="6" t="s">
        <v>5554</v>
      </c>
      <c r="I3374" s="8">
        <f>1</f>
        <v>1</v>
      </c>
      <c r="J3374" s="5" t="s">
        <v>499</v>
      </c>
      <c r="K3374" s="8">
        <f>1</f>
        <v>1</v>
      </c>
      <c r="L3374" s="6" t="s">
        <v>242</v>
      </c>
      <c r="M3374" s="5" t="s">
        <v>267</v>
      </c>
      <c r="N3374" s="5" t="s">
        <v>482</v>
      </c>
      <c r="O3374" s="5" t="s">
        <v>238</v>
      </c>
      <c r="P3374" s="5" t="s">
        <v>238</v>
      </c>
      <c r="Q3374" s="5" t="s">
        <v>239</v>
      </c>
      <c r="R3374" s="5" t="s">
        <v>270</v>
      </c>
      <c r="S3374" s="5" t="s">
        <v>238</v>
      </c>
      <c r="T3374" s="5" t="s">
        <v>238</v>
      </c>
      <c r="U3374" s="5" t="s">
        <v>238</v>
      </c>
      <c r="V3374" s="5" t="s">
        <v>238</v>
      </c>
      <c r="W3374" s="6" t="s">
        <v>238</v>
      </c>
      <c r="X3374" s="6" t="s">
        <v>238</v>
      </c>
      <c r="Y3374" s="5" t="s">
        <v>238</v>
      </c>
      <c r="Z3374" s="6" t="s">
        <v>238</v>
      </c>
      <c r="AA3374" s="6" t="s">
        <v>243</v>
      </c>
      <c r="AB3374" s="5" t="s">
        <v>486</v>
      </c>
      <c r="AC3374" s="5" t="s">
        <v>244</v>
      </c>
      <c r="AD3374" s="5" t="s">
        <v>245</v>
      </c>
      <c r="AE3374" s="5" t="s">
        <v>238</v>
      </c>
      <c r="AF3374" s="5" t="s">
        <v>238</v>
      </c>
      <c r="AG3374" s="5" t="s">
        <v>238</v>
      </c>
      <c r="AH3374" s="5" t="s">
        <v>238</v>
      </c>
      <c r="AI3374" s="5" t="s">
        <v>238</v>
      </c>
      <c r="AJ3374" s="5" t="s">
        <v>238</v>
      </c>
      <c r="AK3374" s="5" t="s">
        <v>238</v>
      </c>
      <c r="AL3374" s="5" t="s">
        <v>238</v>
      </c>
      <c r="AM3374" s="6" t="s">
        <v>238</v>
      </c>
      <c r="AN3374" s="6" t="s">
        <v>238</v>
      </c>
      <c r="AO3374" s="6" t="s">
        <v>238</v>
      </c>
      <c r="AP3374" s="6" t="s">
        <v>238</v>
      </c>
      <c r="AQ3374" s="5" t="s">
        <v>238</v>
      </c>
      <c r="AR3374" s="5" t="s">
        <v>488</v>
      </c>
      <c r="AS3374" s="5" t="s">
        <v>488</v>
      </c>
      <c r="AT3374" s="5" t="s">
        <v>246</v>
      </c>
      <c r="AU3374" s="5" t="s">
        <v>489</v>
      </c>
      <c r="AV3374" s="5" t="s">
        <v>247</v>
      </c>
      <c r="AW3374" s="5" t="s">
        <v>238</v>
      </c>
      <c r="AX3374" s="5" t="s">
        <v>249</v>
      </c>
      <c r="AY3374" s="5" t="s">
        <v>490</v>
      </c>
      <c r="BA3374" s="5" t="s">
        <v>238</v>
      </c>
      <c r="BC3374" s="5" t="s">
        <v>491</v>
      </c>
      <c r="BD3374" s="6" t="s">
        <v>492</v>
      </c>
      <c r="BE3374" s="5" t="s">
        <v>493</v>
      </c>
      <c r="BF3374" s="5" t="s">
        <v>493</v>
      </c>
      <c r="BG3374" s="5" t="s">
        <v>238</v>
      </c>
      <c r="BH3374" s="8">
        <f>1</f>
        <v>1</v>
      </c>
      <c r="BI3374" s="8">
        <f>1</f>
        <v>1</v>
      </c>
      <c r="BJ3374" s="5" t="s">
        <v>253</v>
      </c>
      <c r="BK3374" s="5" t="s">
        <v>254</v>
      </c>
      <c r="BL3374" s="5" t="s">
        <v>238</v>
      </c>
      <c r="BM3374" s="5" t="s">
        <v>238</v>
      </c>
      <c r="BN3374" s="5" t="s">
        <v>238</v>
      </c>
      <c r="BO3374" s="5" t="s">
        <v>238</v>
      </c>
      <c r="BP3374" s="5" t="s">
        <v>238</v>
      </c>
      <c r="BQ3374" s="5" t="s">
        <v>238</v>
      </c>
      <c r="BR3374" s="5" t="s">
        <v>238</v>
      </c>
      <c r="BS3374" s="5" t="s">
        <v>238</v>
      </c>
      <c r="BT3374" s="6" t="s">
        <v>238</v>
      </c>
      <c r="BU3374" s="5" t="s">
        <v>238</v>
      </c>
      <c r="BV3374" s="5" t="s">
        <v>238</v>
      </c>
      <c r="BW3374" s="5" t="s">
        <v>238</v>
      </c>
      <c r="BX3374" s="5" t="s">
        <v>254</v>
      </c>
      <c r="BY3374" s="5" t="s">
        <v>238</v>
      </c>
      <c r="BZ3374" s="5" t="s">
        <v>238</v>
      </c>
      <c r="CA3374" s="5" t="s">
        <v>238</v>
      </c>
      <c r="CB3374" s="5" t="s">
        <v>238</v>
      </c>
      <c r="CC3374" s="5" t="s">
        <v>238</v>
      </c>
      <c r="CD3374" s="5" t="s">
        <v>273</v>
      </c>
      <c r="CE3374" s="5" t="s">
        <v>256</v>
      </c>
      <c r="CF3374" s="5" t="s">
        <v>238</v>
      </c>
      <c r="CH3374" s="5" t="s">
        <v>494</v>
      </c>
      <c r="CI3374" s="6" t="s">
        <v>257</v>
      </c>
      <c r="CJ3374" s="5" t="s">
        <v>495</v>
      </c>
      <c r="CK3374" s="5" t="s">
        <v>258</v>
      </c>
      <c r="CL3374" s="5" t="s">
        <v>496</v>
      </c>
      <c r="CM3374" s="5" t="s">
        <v>238</v>
      </c>
      <c r="CN3374" s="5">
        <v>0</v>
      </c>
      <c r="CO3374" s="5" t="s">
        <v>497</v>
      </c>
      <c r="CP3374" s="5" t="s">
        <v>260</v>
      </c>
      <c r="CQ3374" s="5" t="s">
        <v>260</v>
      </c>
      <c r="CR3374" s="5" t="s">
        <v>261</v>
      </c>
      <c r="CS3374" s="5" t="s">
        <v>498</v>
      </c>
      <c r="CT3374" s="7">
        <f>1</f>
        <v>1</v>
      </c>
      <c r="CU3374" s="8">
        <f>1</f>
        <v>1</v>
      </c>
      <c r="CV3374" s="8">
        <f>0</f>
        <v>0</v>
      </c>
      <c r="CX3374" s="8">
        <f>1</f>
        <v>1</v>
      </c>
      <c r="CY3374" s="8">
        <f>1</f>
        <v>1</v>
      </c>
      <c r="CZ3374" s="8" t="s">
        <v>238</v>
      </c>
      <c r="DA3374" s="5" t="s">
        <v>238</v>
      </c>
      <c r="DB3374" s="5" t="s">
        <v>238</v>
      </c>
      <c r="DC3374" s="5" t="s">
        <v>238</v>
      </c>
      <c r="DD3374" s="5" t="s">
        <v>238</v>
      </c>
      <c r="DE3374" s="8">
        <f>0</f>
        <v>0</v>
      </c>
      <c r="DG3374" s="5" t="s">
        <v>238</v>
      </c>
      <c r="DH3374" s="5" t="s">
        <v>238</v>
      </c>
      <c r="DI3374" s="5" t="s">
        <v>238</v>
      </c>
      <c r="DJ3374" s="5" t="s">
        <v>238</v>
      </c>
      <c r="DK3374" s="5" t="s">
        <v>238</v>
      </c>
      <c r="DL3374" s="5" t="s">
        <v>238</v>
      </c>
      <c r="DM3374" s="8" t="s">
        <v>238</v>
      </c>
      <c r="DN3374" s="5" t="s">
        <v>238</v>
      </c>
      <c r="DO3374" s="5" t="s">
        <v>238</v>
      </c>
      <c r="DP3374" s="5" t="s">
        <v>490</v>
      </c>
      <c r="DQ3374" s="5" t="s">
        <v>490</v>
      </c>
      <c r="DR3374" s="5" t="s">
        <v>238</v>
      </c>
      <c r="DS3374" s="5" t="s">
        <v>238</v>
      </c>
      <c r="DT3374" s="5" t="s">
        <v>500</v>
      </c>
      <c r="DU3374" s="5" t="s">
        <v>766</v>
      </c>
      <c r="DV3374" s="5" t="s">
        <v>238</v>
      </c>
      <c r="DW3374" s="5" t="s">
        <v>238</v>
      </c>
      <c r="DX3374" s="5" t="s">
        <v>238</v>
      </c>
      <c r="DY3374" s="5" t="s">
        <v>238</v>
      </c>
      <c r="DZ3374" s="5" t="s">
        <v>238</v>
      </c>
      <c r="EA3374" s="5" t="s">
        <v>238</v>
      </c>
      <c r="EB3374" s="5" t="s">
        <v>238</v>
      </c>
      <c r="EC3374" s="5" t="s">
        <v>238</v>
      </c>
      <c r="ED3374" s="5" t="s">
        <v>238</v>
      </c>
      <c r="EE3374" s="5" t="s">
        <v>238</v>
      </c>
      <c r="EF3374" s="5" t="s">
        <v>238</v>
      </c>
      <c r="EG3374" s="5" t="s">
        <v>238</v>
      </c>
      <c r="EH3374" s="5" t="s">
        <v>238</v>
      </c>
      <c r="EI3374" s="5" t="s">
        <v>238</v>
      </c>
      <c r="EJ3374" s="5" t="s">
        <v>238</v>
      </c>
      <c r="EK3374" s="5" t="s">
        <v>238</v>
      </c>
      <c r="EL3374" s="5" t="s">
        <v>238</v>
      </c>
      <c r="EM3374" s="5" t="s">
        <v>238</v>
      </c>
      <c r="EN3374" s="5" t="s">
        <v>238</v>
      </c>
      <c r="EO3374" s="5" t="s">
        <v>238</v>
      </c>
      <c r="EP3374" s="5" t="s">
        <v>238</v>
      </c>
      <c r="EQ3374" s="5" t="s">
        <v>238</v>
      </c>
      <c r="ER3374" s="5" t="s">
        <v>238</v>
      </c>
      <c r="ES3374" s="5" t="s">
        <v>238</v>
      </c>
      <c r="ET3374" s="5" t="s">
        <v>238</v>
      </c>
      <c r="EU3374" s="5" t="s">
        <v>238</v>
      </c>
      <c r="EV3374" s="5" t="s">
        <v>238</v>
      </c>
      <c r="EW3374" s="5" t="s">
        <v>238</v>
      </c>
      <c r="EX3374" s="5" t="s">
        <v>238</v>
      </c>
      <c r="EY3374" s="5" t="s">
        <v>238</v>
      </c>
      <c r="EZ3374" s="5" t="s">
        <v>238</v>
      </c>
      <c r="FA3374" s="5" t="s">
        <v>238</v>
      </c>
      <c r="FB3374" s="5" t="s">
        <v>238</v>
      </c>
      <c r="FC3374" s="5" t="s">
        <v>238</v>
      </c>
      <c r="FD3374" s="5" t="s">
        <v>238</v>
      </c>
      <c r="FE3374" s="5" t="s">
        <v>238</v>
      </c>
      <c r="FF3374" s="5" t="s">
        <v>238</v>
      </c>
      <c r="FG3374" s="5" t="s">
        <v>238</v>
      </c>
      <c r="FH3374" s="5" t="s">
        <v>238</v>
      </c>
      <c r="FI3374" s="5" t="s">
        <v>238</v>
      </c>
      <c r="FJ3374" s="5" t="s">
        <v>238</v>
      </c>
      <c r="FK3374" s="5" t="s">
        <v>238</v>
      </c>
      <c r="FL3374" s="5" t="s">
        <v>238</v>
      </c>
      <c r="FM3374" s="5" t="s">
        <v>238</v>
      </c>
      <c r="FN3374" s="5" t="s">
        <v>238</v>
      </c>
      <c r="FO3374" s="5" t="s">
        <v>238</v>
      </c>
      <c r="FP3374" s="5" t="s">
        <v>238</v>
      </c>
      <c r="FQ3374" s="5" t="s">
        <v>238</v>
      </c>
      <c r="FR3374" s="5" t="s">
        <v>238</v>
      </c>
      <c r="FS3374" s="5" t="s">
        <v>238</v>
      </c>
      <c r="FT3374" s="5" t="s">
        <v>238</v>
      </c>
      <c r="FU3374" s="5" t="s">
        <v>238</v>
      </c>
      <c r="FV3374" s="5" t="s">
        <v>238</v>
      </c>
      <c r="FW3374" s="5" t="s">
        <v>238</v>
      </c>
      <c r="FX3374" s="5" t="s">
        <v>238</v>
      </c>
      <c r="FY3374" s="5" t="s">
        <v>238</v>
      </c>
      <c r="FZ3374" s="5" t="s">
        <v>238</v>
      </c>
      <c r="GA3374" s="5" t="s">
        <v>238</v>
      </c>
      <c r="GB3374" s="5" t="s">
        <v>238</v>
      </c>
      <c r="GC3374" s="5" t="s">
        <v>238</v>
      </c>
      <c r="GD3374" s="5" t="s">
        <v>238</v>
      </c>
      <c r="GE3374" s="5" t="s">
        <v>238</v>
      </c>
      <c r="GF3374" s="5" t="s">
        <v>238</v>
      </c>
      <c r="GG3374" s="5" t="s">
        <v>238</v>
      </c>
      <c r="GH3374" s="5" t="s">
        <v>238</v>
      </c>
      <c r="GI3374" s="5" t="s">
        <v>238</v>
      </c>
      <c r="GJ3374" s="5" t="s">
        <v>238</v>
      </c>
      <c r="GK3374" s="5" t="s">
        <v>238</v>
      </c>
      <c r="GL3374" s="5" t="s">
        <v>238</v>
      </c>
      <c r="GM3374" s="5" t="s">
        <v>238</v>
      </c>
      <c r="GN3374" s="5" t="s">
        <v>238</v>
      </c>
      <c r="GO3374" s="5" t="s">
        <v>238</v>
      </c>
      <c r="GP3374" s="5" t="s">
        <v>238</v>
      </c>
      <c r="GQ3374" s="5" t="s">
        <v>238</v>
      </c>
      <c r="GR3374" s="5" t="s">
        <v>238</v>
      </c>
      <c r="GS3374" s="5" t="s">
        <v>238</v>
      </c>
      <c r="GT3374" s="5" t="s">
        <v>238</v>
      </c>
      <c r="GU3374" s="5" t="s">
        <v>238</v>
      </c>
      <c r="GV3374" s="5" t="s">
        <v>238</v>
      </c>
      <c r="GW3374" s="5" t="s">
        <v>238</v>
      </c>
      <c r="GX3374" s="5" t="s">
        <v>238</v>
      </c>
      <c r="GY3374" s="5" t="s">
        <v>238</v>
      </c>
      <c r="GZ3374" s="5" t="s">
        <v>238</v>
      </c>
      <c r="HA3374" s="5" t="s">
        <v>238</v>
      </c>
      <c r="HB3374" s="5" t="s">
        <v>238</v>
      </c>
      <c r="HC3374" s="5" t="s">
        <v>238</v>
      </c>
      <c r="HD3374" s="5" t="s">
        <v>238</v>
      </c>
      <c r="HE3374" s="5" t="s">
        <v>238</v>
      </c>
      <c r="HF3374" s="5" t="s">
        <v>238</v>
      </c>
      <c r="HG3374" s="5" t="s">
        <v>238</v>
      </c>
      <c r="HH3374" s="5" t="s">
        <v>238</v>
      </c>
      <c r="HI3374" s="5" t="s">
        <v>238</v>
      </c>
      <c r="HJ3374" s="5" t="s">
        <v>238</v>
      </c>
      <c r="HK3374" s="5" t="s">
        <v>238</v>
      </c>
      <c r="HL3374" s="5" t="s">
        <v>238</v>
      </c>
      <c r="HM3374" s="5" t="s">
        <v>264</v>
      </c>
      <c r="HN3374" s="5" t="s">
        <v>238</v>
      </c>
      <c r="HO3374" s="5" t="s">
        <v>238</v>
      </c>
      <c r="HP3374" s="5" t="s">
        <v>238</v>
      </c>
      <c r="HQ3374" s="5" t="s">
        <v>238</v>
      </c>
      <c r="HR3374" s="5" t="s">
        <v>238</v>
      </c>
      <c r="HS3374" s="5" t="s">
        <v>238</v>
      </c>
      <c r="HT3374" s="5" t="s">
        <v>238</v>
      </c>
      <c r="HU3374" s="5" t="s">
        <v>238</v>
      </c>
      <c r="HV3374" s="5" t="s">
        <v>238</v>
      </c>
      <c r="HW3374" s="5" t="s">
        <v>238</v>
      </c>
      <c r="HX3374" s="5" t="s">
        <v>238</v>
      </c>
      <c r="HY3374" s="5" t="s">
        <v>238</v>
      </c>
      <c r="HZ3374" s="5" t="s">
        <v>238</v>
      </c>
      <c r="IA3374" s="5" t="s">
        <v>238</v>
      </c>
      <c r="IB3374" s="5" t="s">
        <v>238</v>
      </c>
      <c r="IC3374" s="5" t="s">
        <v>238</v>
      </c>
      <c r="ID3374" s="5" t="s">
        <v>238</v>
      </c>
    </row>
    <row r="3375" spans="1:238" x14ac:dyDescent="0.4">
      <c r="A3375" s="5">
        <v>9093</v>
      </c>
      <c r="B3375" s="5">
        <v>1</v>
      </c>
      <c r="C3375" s="5">
        <v>1</v>
      </c>
      <c r="D3375" s="5" t="s">
        <v>484</v>
      </c>
      <c r="E3375" s="5" t="s">
        <v>485</v>
      </c>
      <c r="F3375" s="5" t="s">
        <v>248</v>
      </c>
      <c r="G3375" s="5" t="s">
        <v>5085</v>
      </c>
      <c r="H3375" s="6" t="s">
        <v>5086</v>
      </c>
      <c r="I3375" s="8">
        <f>1</f>
        <v>1</v>
      </c>
      <c r="J3375" s="5" t="s">
        <v>499</v>
      </c>
      <c r="K3375" s="8">
        <f>1</f>
        <v>1</v>
      </c>
      <c r="L3375" s="6" t="s">
        <v>242</v>
      </c>
      <c r="M3375" s="5" t="s">
        <v>267</v>
      </c>
      <c r="N3375" s="5" t="s">
        <v>482</v>
      </c>
      <c r="O3375" s="5" t="s">
        <v>238</v>
      </c>
      <c r="P3375" s="5" t="s">
        <v>238</v>
      </c>
      <c r="Q3375" s="5" t="s">
        <v>239</v>
      </c>
      <c r="R3375" s="5" t="s">
        <v>270</v>
      </c>
      <c r="S3375" s="5" t="s">
        <v>238</v>
      </c>
      <c r="T3375" s="5" t="s">
        <v>238</v>
      </c>
      <c r="U3375" s="5" t="s">
        <v>238</v>
      </c>
      <c r="V3375" s="5" t="s">
        <v>238</v>
      </c>
      <c r="W3375" s="6" t="s">
        <v>238</v>
      </c>
      <c r="X3375" s="6" t="s">
        <v>238</v>
      </c>
      <c r="Y3375" s="5" t="s">
        <v>238</v>
      </c>
      <c r="Z3375" s="6" t="s">
        <v>238</v>
      </c>
      <c r="AA3375" s="6" t="s">
        <v>243</v>
      </c>
      <c r="AB3375" s="5" t="s">
        <v>486</v>
      </c>
      <c r="AC3375" s="5" t="s">
        <v>244</v>
      </c>
      <c r="AD3375" s="5" t="s">
        <v>245</v>
      </c>
      <c r="AE3375" s="5" t="s">
        <v>238</v>
      </c>
      <c r="AF3375" s="5" t="s">
        <v>238</v>
      </c>
      <c r="AG3375" s="5" t="s">
        <v>238</v>
      </c>
      <c r="AH3375" s="5" t="s">
        <v>238</v>
      </c>
      <c r="AI3375" s="5" t="s">
        <v>238</v>
      </c>
      <c r="AJ3375" s="5" t="s">
        <v>238</v>
      </c>
      <c r="AK3375" s="5" t="s">
        <v>238</v>
      </c>
      <c r="AL3375" s="5" t="s">
        <v>238</v>
      </c>
      <c r="AM3375" s="6" t="s">
        <v>238</v>
      </c>
      <c r="AN3375" s="6" t="s">
        <v>238</v>
      </c>
      <c r="AO3375" s="6" t="s">
        <v>238</v>
      </c>
      <c r="AP3375" s="6" t="s">
        <v>238</v>
      </c>
      <c r="AQ3375" s="5" t="s">
        <v>238</v>
      </c>
      <c r="AR3375" s="5" t="s">
        <v>488</v>
      </c>
      <c r="AS3375" s="5" t="s">
        <v>488</v>
      </c>
      <c r="AT3375" s="5" t="s">
        <v>246</v>
      </c>
      <c r="AU3375" s="5" t="s">
        <v>489</v>
      </c>
      <c r="AV3375" s="5" t="s">
        <v>247</v>
      </c>
      <c r="AW3375" s="5" t="s">
        <v>238</v>
      </c>
      <c r="AX3375" s="5" t="s">
        <v>249</v>
      </c>
      <c r="AY3375" s="5" t="s">
        <v>490</v>
      </c>
      <c r="BA3375" s="5" t="s">
        <v>238</v>
      </c>
      <c r="BC3375" s="5" t="s">
        <v>491</v>
      </c>
      <c r="BD3375" s="6" t="s">
        <v>492</v>
      </c>
      <c r="BE3375" s="5" t="s">
        <v>493</v>
      </c>
      <c r="BF3375" s="5" t="s">
        <v>493</v>
      </c>
      <c r="BG3375" s="5" t="s">
        <v>238</v>
      </c>
      <c r="BH3375" s="8">
        <f>1</f>
        <v>1</v>
      </c>
      <c r="BI3375" s="8">
        <f>1</f>
        <v>1</v>
      </c>
      <c r="BJ3375" s="5" t="s">
        <v>253</v>
      </c>
      <c r="BK3375" s="5" t="s">
        <v>254</v>
      </c>
      <c r="BL3375" s="5" t="s">
        <v>238</v>
      </c>
      <c r="BM3375" s="5" t="s">
        <v>238</v>
      </c>
      <c r="BN3375" s="5" t="s">
        <v>238</v>
      </c>
      <c r="BO3375" s="5" t="s">
        <v>238</v>
      </c>
      <c r="BP3375" s="5" t="s">
        <v>238</v>
      </c>
      <c r="BQ3375" s="5" t="s">
        <v>238</v>
      </c>
      <c r="BR3375" s="5" t="s">
        <v>238</v>
      </c>
      <c r="BS3375" s="5" t="s">
        <v>238</v>
      </c>
      <c r="BT3375" s="6" t="s">
        <v>238</v>
      </c>
      <c r="BU3375" s="5" t="s">
        <v>238</v>
      </c>
      <c r="BV3375" s="5" t="s">
        <v>238</v>
      </c>
      <c r="BW3375" s="5" t="s">
        <v>238</v>
      </c>
      <c r="BX3375" s="5" t="s">
        <v>254</v>
      </c>
      <c r="BY3375" s="5" t="s">
        <v>238</v>
      </c>
      <c r="BZ3375" s="5" t="s">
        <v>238</v>
      </c>
      <c r="CA3375" s="5" t="s">
        <v>238</v>
      </c>
      <c r="CB3375" s="5" t="s">
        <v>238</v>
      </c>
      <c r="CC3375" s="5" t="s">
        <v>238</v>
      </c>
      <c r="CD3375" s="5" t="s">
        <v>273</v>
      </c>
      <c r="CE3375" s="5" t="s">
        <v>256</v>
      </c>
      <c r="CF3375" s="5" t="s">
        <v>238</v>
      </c>
      <c r="CH3375" s="5" t="s">
        <v>494</v>
      </c>
      <c r="CI3375" s="6" t="s">
        <v>257</v>
      </c>
      <c r="CJ3375" s="5" t="s">
        <v>495</v>
      </c>
      <c r="CK3375" s="5" t="s">
        <v>258</v>
      </c>
      <c r="CL3375" s="5" t="s">
        <v>496</v>
      </c>
      <c r="CM3375" s="5" t="s">
        <v>238</v>
      </c>
      <c r="CN3375" s="5">
        <v>0</v>
      </c>
      <c r="CO3375" s="5" t="s">
        <v>497</v>
      </c>
      <c r="CP3375" s="5" t="s">
        <v>260</v>
      </c>
      <c r="CQ3375" s="5" t="s">
        <v>260</v>
      </c>
      <c r="CR3375" s="5" t="s">
        <v>261</v>
      </c>
      <c r="CS3375" s="5" t="s">
        <v>498</v>
      </c>
      <c r="CT3375" s="7">
        <f>1</f>
        <v>1</v>
      </c>
      <c r="CU3375" s="8">
        <f>1</f>
        <v>1</v>
      </c>
      <c r="CV3375" s="8">
        <f>0</f>
        <v>0</v>
      </c>
      <c r="CX3375" s="8">
        <f>1</f>
        <v>1</v>
      </c>
      <c r="CY3375" s="8">
        <f>1</f>
        <v>1</v>
      </c>
      <c r="CZ3375" s="8" t="s">
        <v>238</v>
      </c>
      <c r="DA3375" s="5" t="s">
        <v>238</v>
      </c>
      <c r="DB3375" s="5" t="s">
        <v>238</v>
      </c>
      <c r="DC3375" s="5" t="s">
        <v>238</v>
      </c>
      <c r="DD3375" s="5" t="s">
        <v>238</v>
      </c>
      <c r="DE3375" s="8">
        <f>0</f>
        <v>0</v>
      </c>
      <c r="DG3375" s="5" t="s">
        <v>238</v>
      </c>
      <c r="DH3375" s="5" t="s">
        <v>238</v>
      </c>
      <c r="DI3375" s="5" t="s">
        <v>238</v>
      </c>
      <c r="DJ3375" s="5" t="s">
        <v>238</v>
      </c>
      <c r="DK3375" s="5" t="s">
        <v>238</v>
      </c>
      <c r="DL3375" s="5" t="s">
        <v>238</v>
      </c>
      <c r="DM3375" s="8" t="s">
        <v>238</v>
      </c>
      <c r="DN3375" s="5" t="s">
        <v>238</v>
      </c>
      <c r="DO3375" s="5" t="s">
        <v>238</v>
      </c>
      <c r="DP3375" s="5" t="s">
        <v>490</v>
      </c>
      <c r="DQ3375" s="5" t="s">
        <v>490</v>
      </c>
      <c r="DR3375" s="5" t="s">
        <v>238</v>
      </c>
      <c r="DS3375" s="5" t="s">
        <v>238</v>
      </c>
      <c r="DT3375" s="5" t="s">
        <v>500</v>
      </c>
      <c r="DU3375" s="5" t="s">
        <v>712</v>
      </c>
      <c r="DV3375" s="5" t="s">
        <v>238</v>
      </c>
      <c r="DW3375" s="5" t="s">
        <v>238</v>
      </c>
      <c r="DX3375" s="5" t="s">
        <v>238</v>
      </c>
      <c r="DY3375" s="5" t="s">
        <v>238</v>
      </c>
      <c r="DZ3375" s="5" t="s">
        <v>238</v>
      </c>
      <c r="EA3375" s="5" t="s">
        <v>238</v>
      </c>
      <c r="EB3375" s="5" t="s">
        <v>238</v>
      </c>
      <c r="EC3375" s="5" t="s">
        <v>238</v>
      </c>
      <c r="ED3375" s="5" t="s">
        <v>238</v>
      </c>
      <c r="EE3375" s="5" t="s">
        <v>238</v>
      </c>
      <c r="EF3375" s="5" t="s">
        <v>238</v>
      </c>
      <c r="EG3375" s="5" t="s">
        <v>238</v>
      </c>
      <c r="EH3375" s="5" t="s">
        <v>238</v>
      </c>
      <c r="EI3375" s="5" t="s">
        <v>238</v>
      </c>
      <c r="EJ3375" s="5" t="s">
        <v>238</v>
      </c>
      <c r="EK3375" s="5" t="s">
        <v>238</v>
      </c>
      <c r="EL3375" s="5" t="s">
        <v>238</v>
      </c>
      <c r="EM3375" s="5" t="s">
        <v>238</v>
      </c>
      <c r="EN3375" s="5" t="s">
        <v>238</v>
      </c>
      <c r="EO3375" s="5" t="s">
        <v>238</v>
      </c>
      <c r="EP3375" s="5" t="s">
        <v>238</v>
      </c>
      <c r="EQ3375" s="5" t="s">
        <v>238</v>
      </c>
      <c r="ER3375" s="5" t="s">
        <v>238</v>
      </c>
      <c r="ES3375" s="5" t="s">
        <v>238</v>
      </c>
      <c r="ET3375" s="5" t="s">
        <v>238</v>
      </c>
      <c r="EU3375" s="5" t="s">
        <v>238</v>
      </c>
      <c r="EV3375" s="5" t="s">
        <v>238</v>
      </c>
      <c r="EW3375" s="5" t="s">
        <v>238</v>
      </c>
      <c r="EX3375" s="5" t="s">
        <v>238</v>
      </c>
      <c r="EY3375" s="5" t="s">
        <v>238</v>
      </c>
      <c r="EZ3375" s="5" t="s">
        <v>238</v>
      </c>
      <c r="FA3375" s="5" t="s">
        <v>238</v>
      </c>
      <c r="FB3375" s="5" t="s">
        <v>238</v>
      </c>
      <c r="FC3375" s="5" t="s">
        <v>238</v>
      </c>
      <c r="FD3375" s="5" t="s">
        <v>238</v>
      </c>
      <c r="FE3375" s="5" t="s">
        <v>238</v>
      </c>
      <c r="FF3375" s="5" t="s">
        <v>238</v>
      </c>
      <c r="FG3375" s="5" t="s">
        <v>238</v>
      </c>
      <c r="FH3375" s="5" t="s">
        <v>238</v>
      </c>
      <c r="FI3375" s="5" t="s">
        <v>238</v>
      </c>
      <c r="FJ3375" s="5" t="s">
        <v>238</v>
      </c>
      <c r="FK3375" s="5" t="s">
        <v>238</v>
      </c>
      <c r="FL3375" s="5" t="s">
        <v>238</v>
      </c>
      <c r="FM3375" s="5" t="s">
        <v>238</v>
      </c>
      <c r="FN3375" s="5" t="s">
        <v>238</v>
      </c>
      <c r="FO3375" s="5" t="s">
        <v>238</v>
      </c>
      <c r="FP3375" s="5" t="s">
        <v>238</v>
      </c>
      <c r="FQ3375" s="5" t="s">
        <v>238</v>
      </c>
      <c r="FR3375" s="5" t="s">
        <v>238</v>
      </c>
      <c r="FS3375" s="5" t="s">
        <v>238</v>
      </c>
      <c r="FT3375" s="5" t="s">
        <v>238</v>
      </c>
      <c r="FU3375" s="5" t="s">
        <v>238</v>
      </c>
      <c r="FV3375" s="5" t="s">
        <v>238</v>
      </c>
      <c r="FW3375" s="5" t="s">
        <v>238</v>
      </c>
      <c r="FX3375" s="5" t="s">
        <v>238</v>
      </c>
      <c r="FY3375" s="5" t="s">
        <v>238</v>
      </c>
      <c r="FZ3375" s="5" t="s">
        <v>238</v>
      </c>
      <c r="GA3375" s="5" t="s">
        <v>238</v>
      </c>
      <c r="GB3375" s="5" t="s">
        <v>238</v>
      </c>
      <c r="GC3375" s="5" t="s">
        <v>238</v>
      </c>
      <c r="GD3375" s="5" t="s">
        <v>238</v>
      </c>
      <c r="GE3375" s="5" t="s">
        <v>238</v>
      </c>
      <c r="GF3375" s="5" t="s">
        <v>238</v>
      </c>
      <c r="GG3375" s="5" t="s">
        <v>238</v>
      </c>
      <c r="GH3375" s="5" t="s">
        <v>238</v>
      </c>
      <c r="GI3375" s="5" t="s">
        <v>238</v>
      </c>
      <c r="GJ3375" s="5" t="s">
        <v>238</v>
      </c>
      <c r="GK3375" s="5" t="s">
        <v>238</v>
      </c>
      <c r="GL3375" s="5" t="s">
        <v>238</v>
      </c>
      <c r="GM3375" s="5" t="s">
        <v>238</v>
      </c>
      <c r="GN3375" s="5" t="s">
        <v>238</v>
      </c>
      <c r="GO3375" s="5" t="s">
        <v>238</v>
      </c>
      <c r="GP3375" s="5" t="s">
        <v>238</v>
      </c>
      <c r="GQ3375" s="5" t="s">
        <v>238</v>
      </c>
      <c r="GR3375" s="5" t="s">
        <v>238</v>
      </c>
      <c r="GS3375" s="5" t="s">
        <v>238</v>
      </c>
      <c r="GT3375" s="5" t="s">
        <v>238</v>
      </c>
      <c r="GU3375" s="5" t="s">
        <v>238</v>
      </c>
      <c r="GV3375" s="5" t="s">
        <v>238</v>
      </c>
      <c r="GW3375" s="5" t="s">
        <v>238</v>
      </c>
      <c r="GX3375" s="5" t="s">
        <v>238</v>
      </c>
      <c r="GY3375" s="5" t="s">
        <v>238</v>
      </c>
      <c r="GZ3375" s="5" t="s">
        <v>238</v>
      </c>
      <c r="HA3375" s="5" t="s">
        <v>238</v>
      </c>
      <c r="HB3375" s="5" t="s">
        <v>238</v>
      </c>
      <c r="HC3375" s="5" t="s">
        <v>238</v>
      </c>
      <c r="HD3375" s="5" t="s">
        <v>238</v>
      </c>
      <c r="HE3375" s="5" t="s">
        <v>238</v>
      </c>
      <c r="HF3375" s="5" t="s">
        <v>238</v>
      </c>
      <c r="HG3375" s="5" t="s">
        <v>238</v>
      </c>
      <c r="HH3375" s="5" t="s">
        <v>238</v>
      </c>
      <c r="HI3375" s="5" t="s">
        <v>238</v>
      </c>
      <c r="HJ3375" s="5" t="s">
        <v>238</v>
      </c>
      <c r="HK3375" s="5" t="s">
        <v>238</v>
      </c>
      <c r="HL3375" s="5" t="s">
        <v>238</v>
      </c>
      <c r="HM3375" s="5" t="s">
        <v>264</v>
      </c>
      <c r="HN3375" s="5" t="s">
        <v>238</v>
      </c>
      <c r="HO3375" s="5" t="s">
        <v>238</v>
      </c>
      <c r="HP3375" s="5" t="s">
        <v>238</v>
      </c>
      <c r="HQ3375" s="5" t="s">
        <v>238</v>
      </c>
      <c r="HR3375" s="5" t="s">
        <v>238</v>
      </c>
      <c r="HS3375" s="5" t="s">
        <v>238</v>
      </c>
      <c r="HT3375" s="5" t="s">
        <v>238</v>
      </c>
      <c r="HU3375" s="5" t="s">
        <v>238</v>
      </c>
      <c r="HV3375" s="5" t="s">
        <v>238</v>
      </c>
      <c r="HW3375" s="5" t="s">
        <v>238</v>
      </c>
      <c r="HX3375" s="5" t="s">
        <v>238</v>
      </c>
      <c r="HY3375" s="5" t="s">
        <v>238</v>
      </c>
      <c r="HZ3375" s="5" t="s">
        <v>238</v>
      </c>
      <c r="IA3375" s="5" t="s">
        <v>238</v>
      </c>
      <c r="IB3375" s="5" t="s">
        <v>238</v>
      </c>
      <c r="IC3375" s="5" t="s">
        <v>238</v>
      </c>
      <c r="ID3375" s="5" t="s">
        <v>238</v>
      </c>
    </row>
    <row r="3376" spans="1:238" x14ac:dyDescent="0.4">
      <c r="A3376" s="5">
        <v>9094</v>
      </c>
      <c r="B3376" s="5">
        <v>1</v>
      </c>
      <c r="C3376" s="5">
        <v>1</v>
      </c>
      <c r="D3376" s="5" t="s">
        <v>484</v>
      </c>
      <c r="E3376" s="5" t="s">
        <v>485</v>
      </c>
      <c r="F3376" s="5" t="s">
        <v>248</v>
      </c>
      <c r="G3376" s="5" t="s">
        <v>4874</v>
      </c>
      <c r="H3376" s="6" t="s">
        <v>4876</v>
      </c>
      <c r="I3376" s="8">
        <f>1</f>
        <v>1</v>
      </c>
      <c r="J3376" s="5" t="s">
        <v>499</v>
      </c>
      <c r="K3376" s="8">
        <f>1</f>
        <v>1</v>
      </c>
      <c r="L3376" s="6" t="s">
        <v>242</v>
      </c>
      <c r="M3376" s="5" t="s">
        <v>267</v>
      </c>
      <c r="N3376" s="5" t="s">
        <v>482</v>
      </c>
      <c r="O3376" s="5" t="s">
        <v>238</v>
      </c>
      <c r="P3376" s="5" t="s">
        <v>238</v>
      </c>
      <c r="Q3376" s="5" t="s">
        <v>239</v>
      </c>
      <c r="R3376" s="5" t="s">
        <v>270</v>
      </c>
      <c r="S3376" s="5" t="s">
        <v>238</v>
      </c>
      <c r="T3376" s="5" t="s">
        <v>238</v>
      </c>
      <c r="U3376" s="5" t="s">
        <v>238</v>
      </c>
      <c r="V3376" s="5" t="s">
        <v>238</v>
      </c>
      <c r="W3376" s="6" t="s">
        <v>238</v>
      </c>
      <c r="X3376" s="6" t="s">
        <v>238</v>
      </c>
      <c r="Y3376" s="5" t="s">
        <v>238</v>
      </c>
      <c r="Z3376" s="6" t="s">
        <v>238</v>
      </c>
      <c r="AA3376" s="6" t="s">
        <v>243</v>
      </c>
      <c r="AB3376" s="5" t="s">
        <v>4875</v>
      </c>
      <c r="AC3376" s="5" t="s">
        <v>244</v>
      </c>
      <c r="AD3376" s="5" t="s">
        <v>245</v>
      </c>
      <c r="AE3376" s="5" t="s">
        <v>238</v>
      </c>
      <c r="AF3376" s="5" t="s">
        <v>238</v>
      </c>
      <c r="AG3376" s="5" t="s">
        <v>238</v>
      </c>
      <c r="AH3376" s="5" t="s">
        <v>238</v>
      </c>
      <c r="AI3376" s="5" t="s">
        <v>238</v>
      </c>
      <c r="AJ3376" s="5" t="s">
        <v>238</v>
      </c>
      <c r="AK3376" s="5" t="s">
        <v>238</v>
      </c>
      <c r="AL3376" s="5" t="s">
        <v>238</v>
      </c>
      <c r="AM3376" s="6" t="s">
        <v>238</v>
      </c>
      <c r="AN3376" s="6" t="s">
        <v>238</v>
      </c>
      <c r="AO3376" s="6" t="s">
        <v>238</v>
      </c>
      <c r="AP3376" s="6" t="s">
        <v>238</v>
      </c>
      <c r="AQ3376" s="5" t="s">
        <v>238</v>
      </c>
      <c r="AR3376" s="5" t="s">
        <v>488</v>
      </c>
      <c r="AS3376" s="5" t="s">
        <v>488</v>
      </c>
      <c r="AT3376" s="5" t="s">
        <v>246</v>
      </c>
      <c r="AU3376" s="5" t="s">
        <v>489</v>
      </c>
      <c r="AV3376" s="5" t="s">
        <v>247</v>
      </c>
      <c r="AW3376" s="5" t="s">
        <v>238</v>
      </c>
      <c r="AX3376" s="5" t="s">
        <v>249</v>
      </c>
      <c r="AY3376" s="5" t="s">
        <v>490</v>
      </c>
      <c r="BA3376" s="5" t="s">
        <v>238</v>
      </c>
      <c r="BC3376" s="5" t="s">
        <v>491</v>
      </c>
      <c r="BD3376" s="6" t="s">
        <v>492</v>
      </c>
      <c r="BE3376" s="5" t="s">
        <v>493</v>
      </c>
      <c r="BF3376" s="5" t="s">
        <v>493</v>
      </c>
      <c r="BG3376" s="5" t="s">
        <v>238</v>
      </c>
      <c r="BH3376" s="8">
        <f>1</f>
        <v>1</v>
      </c>
      <c r="BI3376" s="8">
        <f>1</f>
        <v>1</v>
      </c>
      <c r="BJ3376" s="5" t="s">
        <v>253</v>
      </c>
      <c r="BK3376" s="5" t="s">
        <v>254</v>
      </c>
      <c r="BL3376" s="5" t="s">
        <v>238</v>
      </c>
      <c r="BM3376" s="5" t="s">
        <v>238</v>
      </c>
      <c r="BN3376" s="5" t="s">
        <v>238</v>
      </c>
      <c r="BO3376" s="5" t="s">
        <v>238</v>
      </c>
      <c r="BP3376" s="5" t="s">
        <v>238</v>
      </c>
      <c r="BQ3376" s="5" t="s">
        <v>238</v>
      </c>
      <c r="BR3376" s="5" t="s">
        <v>238</v>
      </c>
      <c r="BS3376" s="5" t="s">
        <v>238</v>
      </c>
      <c r="BT3376" s="6" t="s">
        <v>238</v>
      </c>
      <c r="BU3376" s="5" t="s">
        <v>238</v>
      </c>
      <c r="BV3376" s="5" t="s">
        <v>238</v>
      </c>
      <c r="BW3376" s="5" t="s">
        <v>238</v>
      </c>
      <c r="BX3376" s="5" t="s">
        <v>254</v>
      </c>
      <c r="BY3376" s="5" t="s">
        <v>238</v>
      </c>
      <c r="BZ3376" s="5" t="s">
        <v>238</v>
      </c>
      <c r="CA3376" s="5" t="s">
        <v>238</v>
      </c>
      <c r="CB3376" s="5" t="s">
        <v>238</v>
      </c>
      <c r="CC3376" s="5" t="s">
        <v>238</v>
      </c>
      <c r="CD3376" s="5" t="s">
        <v>273</v>
      </c>
      <c r="CE3376" s="5" t="s">
        <v>256</v>
      </c>
      <c r="CF3376" s="5" t="s">
        <v>238</v>
      </c>
      <c r="CH3376" s="5" t="s">
        <v>494</v>
      </c>
      <c r="CI3376" s="6" t="s">
        <v>257</v>
      </c>
      <c r="CJ3376" s="5" t="s">
        <v>495</v>
      </c>
      <c r="CK3376" s="5" t="s">
        <v>258</v>
      </c>
      <c r="CL3376" s="5" t="s">
        <v>496</v>
      </c>
      <c r="CM3376" s="5" t="s">
        <v>238</v>
      </c>
      <c r="CN3376" s="5">
        <v>0</v>
      </c>
      <c r="CO3376" s="5" t="s">
        <v>497</v>
      </c>
      <c r="CP3376" s="5" t="s">
        <v>260</v>
      </c>
      <c r="CQ3376" s="5" t="s">
        <v>260</v>
      </c>
      <c r="CR3376" s="5" t="s">
        <v>261</v>
      </c>
      <c r="CS3376" s="5" t="s">
        <v>498</v>
      </c>
      <c r="CT3376" s="7">
        <f>1</f>
        <v>1</v>
      </c>
      <c r="CU3376" s="8">
        <f>1</f>
        <v>1</v>
      </c>
      <c r="CV3376" s="8">
        <f>0</f>
        <v>0</v>
      </c>
      <c r="CX3376" s="8">
        <f>1</f>
        <v>1</v>
      </c>
      <c r="CY3376" s="8">
        <f>1</f>
        <v>1</v>
      </c>
      <c r="CZ3376" s="8" t="s">
        <v>238</v>
      </c>
      <c r="DA3376" s="5" t="s">
        <v>238</v>
      </c>
      <c r="DB3376" s="5" t="s">
        <v>238</v>
      </c>
      <c r="DC3376" s="5" t="s">
        <v>238</v>
      </c>
      <c r="DD3376" s="5" t="s">
        <v>238</v>
      </c>
      <c r="DE3376" s="8">
        <f>0</f>
        <v>0</v>
      </c>
      <c r="DG3376" s="5" t="s">
        <v>238</v>
      </c>
      <c r="DH3376" s="5" t="s">
        <v>238</v>
      </c>
      <c r="DI3376" s="5" t="s">
        <v>238</v>
      </c>
      <c r="DJ3376" s="5" t="s">
        <v>238</v>
      </c>
      <c r="DK3376" s="5" t="s">
        <v>238</v>
      </c>
      <c r="DL3376" s="5" t="s">
        <v>238</v>
      </c>
      <c r="DM3376" s="8" t="s">
        <v>238</v>
      </c>
      <c r="DN3376" s="5" t="s">
        <v>238</v>
      </c>
      <c r="DO3376" s="5" t="s">
        <v>238</v>
      </c>
      <c r="DP3376" s="5" t="s">
        <v>490</v>
      </c>
      <c r="DQ3376" s="5" t="s">
        <v>490</v>
      </c>
      <c r="DR3376" s="5" t="s">
        <v>238</v>
      </c>
      <c r="DS3376" s="5" t="s">
        <v>238</v>
      </c>
      <c r="DT3376" s="5" t="s">
        <v>500</v>
      </c>
      <c r="DU3376" s="5" t="s">
        <v>618</v>
      </c>
      <c r="DV3376" s="5" t="s">
        <v>238</v>
      </c>
      <c r="DW3376" s="5" t="s">
        <v>238</v>
      </c>
      <c r="DX3376" s="5" t="s">
        <v>238</v>
      </c>
      <c r="DY3376" s="5" t="s">
        <v>238</v>
      </c>
      <c r="DZ3376" s="5" t="s">
        <v>238</v>
      </c>
      <c r="EA3376" s="5" t="s">
        <v>238</v>
      </c>
      <c r="EB3376" s="5" t="s">
        <v>238</v>
      </c>
      <c r="EC3376" s="5" t="s">
        <v>238</v>
      </c>
      <c r="ED3376" s="5" t="s">
        <v>238</v>
      </c>
      <c r="EE3376" s="5" t="s">
        <v>238</v>
      </c>
      <c r="EF3376" s="5" t="s">
        <v>238</v>
      </c>
      <c r="EG3376" s="5" t="s">
        <v>238</v>
      </c>
      <c r="EH3376" s="5" t="s">
        <v>238</v>
      </c>
      <c r="EI3376" s="5" t="s">
        <v>238</v>
      </c>
      <c r="EJ3376" s="5" t="s">
        <v>238</v>
      </c>
      <c r="EK3376" s="5" t="s">
        <v>238</v>
      </c>
      <c r="EL3376" s="5" t="s">
        <v>238</v>
      </c>
      <c r="EM3376" s="5" t="s">
        <v>238</v>
      </c>
      <c r="EN3376" s="5" t="s">
        <v>238</v>
      </c>
      <c r="EO3376" s="5" t="s">
        <v>238</v>
      </c>
      <c r="EP3376" s="5" t="s">
        <v>238</v>
      </c>
      <c r="EQ3376" s="5" t="s">
        <v>238</v>
      </c>
      <c r="ER3376" s="5" t="s">
        <v>238</v>
      </c>
      <c r="ES3376" s="5" t="s">
        <v>238</v>
      </c>
      <c r="ET3376" s="5" t="s">
        <v>238</v>
      </c>
      <c r="EU3376" s="5" t="s">
        <v>238</v>
      </c>
      <c r="EV3376" s="5" t="s">
        <v>238</v>
      </c>
      <c r="EW3376" s="5" t="s">
        <v>238</v>
      </c>
      <c r="EX3376" s="5" t="s">
        <v>238</v>
      </c>
      <c r="EY3376" s="5" t="s">
        <v>238</v>
      </c>
      <c r="EZ3376" s="5" t="s">
        <v>238</v>
      </c>
      <c r="FA3376" s="5" t="s">
        <v>238</v>
      </c>
      <c r="FB3376" s="5" t="s">
        <v>238</v>
      </c>
      <c r="FC3376" s="5" t="s">
        <v>238</v>
      </c>
      <c r="FD3376" s="5" t="s">
        <v>238</v>
      </c>
      <c r="FE3376" s="5" t="s">
        <v>238</v>
      </c>
      <c r="FF3376" s="5" t="s">
        <v>238</v>
      </c>
      <c r="FG3376" s="5" t="s">
        <v>238</v>
      </c>
      <c r="FH3376" s="5" t="s">
        <v>238</v>
      </c>
      <c r="FI3376" s="5" t="s">
        <v>238</v>
      </c>
      <c r="FJ3376" s="5" t="s">
        <v>238</v>
      </c>
      <c r="FK3376" s="5" t="s">
        <v>238</v>
      </c>
      <c r="FL3376" s="5" t="s">
        <v>238</v>
      </c>
      <c r="FM3376" s="5" t="s">
        <v>238</v>
      </c>
      <c r="FN3376" s="5" t="s">
        <v>238</v>
      </c>
      <c r="FO3376" s="5" t="s">
        <v>238</v>
      </c>
      <c r="FP3376" s="5" t="s">
        <v>238</v>
      </c>
      <c r="FQ3376" s="5" t="s">
        <v>238</v>
      </c>
      <c r="FR3376" s="5" t="s">
        <v>238</v>
      </c>
      <c r="FS3376" s="5" t="s">
        <v>238</v>
      </c>
      <c r="FT3376" s="5" t="s">
        <v>238</v>
      </c>
      <c r="FU3376" s="5" t="s">
        <v>238</v>
      </c>
      <c r="FV3376" s="5" t="s">
        <v>238</v>
      </c>
      <c r="FW3376" s="5" t="s">
        <v>238</v>
      </c>
      <c r="FX3376" s="5" t="s">
        <v>238</v>
      </c>
      <c r="FY3376" s="5" t="s">
        <v>238</v>
      </c>
      <c r="FZ3376" s="5" t="s">
        <v>238</v>
      </c>
      <c r="GA3376" s="5" t="s">
        <v>238</v>
      </c>
      <c r="GB3376" s="5" t="s">
        <v>238</v>
      </c>
      <c r="GC3376" s="5" t="s">
        <v>238</v>
      </c>
      <c r="GD3376" s="5" t="s">
        <v>238</v>
      </c>
      <c r="GE3376" s="5" t="s">
        <v>238</v>
      </c>
      <c r="GF3376" s="5" t="s">
        <v>238</v>
      </c>
      <c r="GG3376" s="5" t="s">
        <v>238</v>
      </c>
      <c r="GH3376" s="5" t="s">
        <v>238</v>
      </c>
      <c r="GI3376" s="5" t="s">
        <v>238</v>
      </c>
      <c r="GJ3376" s="5" t="s">
        <v>238</v>
      </c>
      <c r="GK3376" s="5" t="s">
        <v>238</v>
      </c>
      <c r="GL3376" s="5" t="s">
        <v>238</v>
      </c>
      <c r="GM3376" s="5" t="s">
        <v>238</v>
      </c>
      <c r="GN3376" s="5" t="s">
        <v>238</v>
      </c>
      <c r="GO3376" s="5" t="s">
        <v>238</v>
      </c>
      <c r="GP3376" s="5" t="s">
        <v>238</v>
      </c>
      <c r="GQ3376" s="5" t="s">
        <v>238</v>
      </c>
      <c r="GR3376" s="5" t="s">
        <v>238</v>
      </c>
      <c r="GS3376" s="5" t="s">
        <v>238</v>
      </c>
      <c r="GT3376" s="5" t="s">
        <v>238</v>
      </c>
      <c r="GU3376" s="5" t="s">
        <v>238</v>
      </c>
      <c r="GV3376" s="5" t="s">
        <v>238</v>
      </c>
      <c r="GW3376" s="5" t="s">
        <v>238</v>
      </c>
      <c r="GX3376" s="5" t="s">
        <v>238</v>
      </c>
      <c r="GY3376" s="5" t="s">
        <v>238</v>
      </c>
      <c r="GZ3376" s="5" t="s">
        <v>238</v>
      </c>
      <c r="HA3376" s="5" t="s">
        <v>238</v>
      </c>
      <c r="HB3376" s="5" t="s">
        <v>238</v>
      </c>
      <c r="HC3376" s="5" t="s">
        <v>238</v>
      </c>
      <c r="HD3376" s="5" t="s">
        <v>238</v>
      </c>
      <c r="HE3376" s="5" t="s">
        <v>238</v>
      </c>
      <c r="HF3376" s="5" t="s">
        <v>238</v>
      </c>
      <c r="HG3376" s="5" t="s">
        <v>238</v>
      </c>
      <c r="HH3376" s="5" t="s">
        <v>238</v>
      </c>
      <c r="HI3376" s="5" t="s">
        <v>238</v>
      </c>
      <c r="HJ3376" s="5" t="s">
        <v>238</v>
      </c>
      <c r="HK3376" s="5" t="s">
        <v>238</v>
      </c>
      <c r="HL3376" s="5" t="s">
        <v>238</v>
      </c>
      <c r="HM3376" s="5" t="s">
        <v>264</v>
      </c>
      <c r="HN3376" s="5" t="s">
        <v>238</v>
      </c>
      <c r="HO3376" s="5" t="s">
        <v>238</v>
      </c>
      <c r="HP3376" s="5" t="s">
        <v>238</v>
      </c>
      <c r="HQ3376" s="5" t="s">
        <v>238</v>
      </c>
      <c r="HR3376" s="5" t="s">
        <v>238</v>
      </c>
      <c r="HS3376" s="5" t="s">
        <v>238</v>
      </c>
      <c r="HT3376" s="5" t="s">
        <v>238</v>
      </c>
      <c r="HU3376" s="5" t="s">
        <v>238</v>
      </c>
      <c r="HV3376" s="5" t="s">
        <v>238</v>
      </c>
      <c r="HW3376" s="5" t="s">
        <v>238</v>
      </c>
      <c r="HX3376" s="5" t="s">
        <v>238</v>
      </c>
      <c r="HY3376" s="5" t="s">
        <v>238</v>
      </c>
      <c r="HZ3376" s="5" t="s">
        <v>238</v>
      </c>
      <c r="IA3376" s="5" t="s">
        <v>238</v>
      </c>
      <c r="IB3376" s="5" t="s">
        <v>238</v>
      </c>
      <c r="IC3376" s="5" t="s">
        <v>238</v>
      </c>
      <c r="ID3376" s="5" t="s">
        <v>238</v>
      </c>
    </row>
    <row r="3377" spans="1:238" x14ac:dyDescent="0.4">
      <c r="A3377" s="5">
        <v>9095</v>
      </c>
      <c r="B3377" s="5">
        <v>1</v>
      </c>
      <c r="C3377" s="5">
        <v>1</v>
      </c>
      <c r="D3377" s="5" t="s">
        <v>484</v>
      </c>
      <c r="E3377" s="5" t="s">
        <v>485</v>
      </c>
      <c r="F3377" s="5" t="s">
        <v>248</v>
      </c>
      <c r="G3377" s="5" t="s">
        <v>5156</v>
      </c>
      <c r="H3377" s="6" t="s">
        <v>5157</v>
      </c>
      <c r="I3377" s="8">
        <f>1</f>
        <v>1</v>
      </c>
      <c r="J3377" s="5" t="s">
        <v>499</v>
      </c>
      <c r="K3377" s="8">
        <f>1</f>
        <v>1</v>
      </c>
      <c r="L3377" s="6" t="s">
        <v>242</v>
      </c>
      <c r="M3377" s="5" t="s">
        <v>267</v>
      </c>
      <c r="N3377" s="5" t="s">
        <v>482</v>
      </c>
      <c r="O3377" s="5" t="s">
        <v>238</v>
      </c>
      <c r="P3377" s="5" t="s">
        <v>238</v>
      </c>
      <c r="Q3377" s="5" t="s">
        <v>239</v>
      </c>
      <c r="R3377" s="5" t="s">
        <v>270</v>
      </c>
      <c r="S3377" s="5" t="s">
        <v>238</v>
      </c>
      <c r="T3377" s="5" t="s">
        <v>238</v>
      </c>
      <c r="U3377" s="5" t="s">
        <v>238</v>
      </c>
      <c r="V3377" s="5" t="s">
        <v>238</v>
      </c>
      <c r="W3377" s="6" t="s">
        <v>238</v>
      </c>
      <c r="X3377" s="6" t="s">
        <v>238</v>
      </c>
      <c r="Y3377" s="5" t="s">
        <v>238</v>
      </c>
      <c r="Z3377" s="6" t="s">
        <v>238</v>
      </c>
      <c r="AA3377" s="6" t="s">
        <v>243</v>
      </c>
      <c r="AB3377" s="5" t="s">
        <v>486</v>
      </c>
      <c r="AC3377" s="5" t="s">
        <v>244</v>
      </c>
      <c r="AD3377" s="5" t="s">
        <v>245</v>
      </c>
      <c r="AE3377" s="5" t="s">
        <v>238</v>
      </c>
      <c r="AF3377" s="5" t="s">
        <v>238</v>
      </c>
      <c r="AG3377" s="5" t="s">
        <v>238</v>
      </c>
      <c r="AH3377" s="5" t="s">
        <v>238</v>
      </c>
      <c r="AI3377" s="5" t="s">
        <v>238</v>
      </c>
      <c r="AJ3377" s="5" t="s">
        <v>238</v>
      </c>
      <c r="AK3377" s="5" t="s">
        <v>238</v>
      </c>
      <c r="AL3377" s="5" t="s">
        <v>238</v>
      </c>
      <c r="AM3377" s="6" t="s">
        <v>238</v>
      </c>
      <c r="AN3377" s="6" t="s">
        <v>238</v>
      </c>
      <c r="AO3377" s="6" t="s">
        <v>238</v>
      </c>
      <c r="AP3377" s="6" t="s">
        <v>238</v>
      </c>
      <c r="AQ3377" s="5" t="s">
        <v>238</v>
      </c>
      <c r="AR3377" s="5" t="s">
        <v>488</v>
      </c>
      <c r="AS3377" s="5" t="s">
        <v>488</v>
      </c>
      <c r="AT3377" s="5" t="s">
        <v>246</v>
      </c>
      <c r="AU3377" s="5" t="s">
        <v>489</v>
      </c>
      <c r="AV3377" s="5" t="s">
        <v>247</v>
      </c>
      <c r="AW3377" s="5" t="s">
        <v>238</v>
      </c>
      <c r="AX3377" s="5" t="s">
        <v>249</v>
      </c>
      <c r="AY3377" s="5" t="s">
        <v>490</v>
      </c>
      <c r="BA3377" s="5" t="s">
        <v>238</v>
      </c>
      <c r="BC3377" s="5" t="s">
        <v>491</v>
      </c>
      <c r="BD3377" s="6" t="s">
        <v>492</v>
      </c>
      <c r="BE3377" s="5" t="s">
        <v>493</v>
      </c>
      <c r="BF3377" s="5" t="s">
        <v>493</v>
      </c>
      <c r="BG3377" s="5" t="s">
        <v>238</v>
      </c>
      <c r="BH3377" s="8">
        <f>1</f>
        <v>1</v>
      </c>
      <c r="BI3377" s="8">
        <f>1</f>
        <v>1</v>
      </c>
      <c r="BJ3377" s="5" t="s">
        <v>253</v>
      </c>
      <c r="BK3377" s="5" t="s">
        <v>254</v>
      </c>
      <c r="BL3377" s="5" t="s">
        <v>238</v>
      </c>
      <c r="BM3377" s="5" t="s">
        <v>238</v>
      </c>
      <c r="BN3377" s="5" t="s">
        <v>238</v>
      </c>
      <c r="BO3377" s="5" t="s">
        <v>238</v>
      </c>
      <c r="BP3377" s="5" t="s">
        <v>238</v>
      </c>
      <c r="BQ3377" s="5" t="s">
        <v>238</v>
      </c>
      <c r="BR3377" s="5" t="s">
        <v>238</v>
      </c>
      <c r="BS3377" s="5" t="s">
        <v>238</v>
      </c>
      <c r="BT3377" s="6" t="s">
        <v>238</v>
      </c>
      <c r="BU3377" s="5" t="s">
        <v>238</v>
      </c>
      <c r="BV3377" s="5" t="s">
        <v>238</v>
      </c>
      <c r="BW3377" s="5" t="s">
        <v>238</v>
      </c>
      <c r="BX3377" s="5" t="s">
        <v>254</v>
      </c>
      <c r="BY3377" s="5" t="s">
        <v>238</v>
      </c>
      <c r="BZ3377" s="5" t="s">
        <v>238</v>
      </c>
      <c r="CA3377" s="5" t="s">
        <v>238</v>
      </c>
      <c r="CB3377" s="5" t="s">
        <v>238</v>
      </c>
      <c r="CC3377" s="5" t="s">
        <v>238</v>
      </c>
      <c r="CD3377" s="5" t="s">
        <v>273</v>
      </c>
      <c r="CE3377" s="5" t="s">
        <v>256</v>
      </c>
      <c r="CF3377" s="5" t="s">
        <v>238</v>
      </c>
      <c r="CH3377" s="5" t="s">
        <v>494</v>
      </c>
      <c r="CI3377" s="6" t="s">
        <v>257</v>
      </c>
      <c r="CJ3377" s="5" t="s">
        <v>495</v>
      </c>
      <c r="CK3377" s="5" t="s">
        <v>258</v>
      </c>
      <c r="CL3377" s="5" t="s">
        <v>496</v>
      </c>
      <c r="CM3377" s="5" t="s">
        <v>238</v>
      </c>
      <c r="CN3377" s="5">
        <v>0</v>
      </c>
      <c r="CO3377" s="5" t="s">
        <v>497</v>
      </c>
      <c r="CP3377" s="5" t="s">
        <v>260</v>
      </c>
      <c r="CQ3377" s="5" t="s">
        <v>260</v>
      </c>
      <c r="CR3377" s="5" t="s">
        <v>261</v>
      </c>
      <c r="CS3377" s="5" t="s">
        <v>498</v>
      </c>
      <c r="CT3377" s="7">
        <f>1</f>
        <v>1</v>
      </c>
      <c r="CU3377" s="8">
        <f>1</f>
        <v>1</v>
      </c>
      <c r="CV3377" s="8">
        <f>0</f>
        <v>0</v>
      </c>
      <c r="CX3377" s="8">
        <f>1</f>
        <v>1</v>
      </c>
      <c r="CY3377" s="8">
        <f>1</f>
        <v>1</v>
      </c>
      <c r="CZ3377" s="8" t="s">
        <v>238</v>
      </c>
      <c r="DA3377" s="5" t="s">
        <v>238</v>
      </c>
      <c r="DB3377" s="5" t="s">
        <v>238</v>
      </c>
      <c r="DC3377" s="5" t="s">
        <v>238</v>
      </c>
      <c r="DD3377" s="5" t="s">
        <v>238</v>
      </c>
      <c r="DE3377" s="8">
        <f>0</f>
        <v>0</v>
      </c>
      <c r="DG3377" s="5" t="s">
        <v>238</v>
      </c>
      <c r="DH3377" s="5" t="s">
        <v>238</v>
      </c>
      <c r="DI3377" s="5" t="s">
        <v>238</v>
      </c>
      <c r="DJ3377" s="5" t="s">
        <v>238</v>
      </c>
      <c r="DK3377" s="5" t="s">
        <v>238</v>
      </c>
      <c r="DL3377" s="5" t="s">
        <v>238</v>
      </c>
      <c r="DM3377" s="8" t="s">
        <v>238</v>
      </c>
      <c r="DN3377" s="5" t="s">
        <v>238</v>
      </c>
      <c r="DO3377" s="5" t="s">
        <v>238</v>
      </c>
      <c r="DP3377" s="5" t="s">
        <v>490</v>
      </c>
      <c r="DQ3377" s="5" t="s">
        <v>490</v>
      </c>
      <c r="DR3377" s="5" t="s">
        <v>238</v>
      </c>
      <c r="DS3377" s="5" t="s">
        <v>238</v>
      </c>
      <c r="DT3377" s="5" t="s">
        <v>500</v>
      </c>
      <c r="DU3377" s="5" t="s">
        <v>1122</v>
      </c>
      <c r="DV3377" s="5" t="s">
        <v>238</v>
      </c>
      <c r="DW3377" s="5" t="s">
        <v>238</v>
      </c>
      <c r="DX3377" s="5" t="s">
        <v>238</v>
      </c>
      <c r="DY3377" s="5" t="s">
        <v>238</v>
      </c>
      <c r="DZ3377" s="5" t="s">
        <v>238</v>
      </c>
      <c r="EA3377" s="5" t="s">
        <v>238</v>
      </c>
      <c r="EB3377" s="5" t="s">
        <v>238</v>
      </c>
      <c r="EC3377" s="5" t="s">
        <v>238</v>
      </c>
      <c r="ED3377" s="5" t="s">
        <v>238</v>
      </c>
      <c r="EE3377" s="5" t="s">
        <v>238</v>
      </c>
      <c r="EF3377" s="5" t="s">
        <v>238</v>
      </c>
      <c r="EG3377" s="5" t="s">
        <v>238</v>
      </c>
      <c r="EH3377" s="5" t="s">
        <v>238</v>
      </c>
      <c r="EI3377" s="5" t="s">
        <v>238</v>
      </c>
      <c r="EJ3377" s="5" t="s">
        <v>238</v>
      </c>
      <c r="EK3377" s="5" t="s">
        <v>238</v>
      </c>
      <c r="EL3377" s="5" t="s">
        <v>238</v>
      </c>
      <c r="EM3377" s="5" t="s">
        <v>238</v>
      </c>
      <c r="EN3377" s="5" t="s">
        <v>238</v>
      </c>
      <c r="EO3377" s="5" t="s">
        <v>238</v>
      </c>
      <c r="EP3377" s="5" t="s">
        <v>238</v>
      </c>
      <c r="EQ3377" s="5" t="s">
        <v>238</v>
      </c>
      <c r="ER3377" s="5" t="s">
        <v>238</v>
      </c>
      <c r="ES3377" s="5" t="s">
        <v>238</v>
      </c>
      <c r="ET3377" s="5" t="s">
        <v>238</v>
      </c>
      <c r="EU3377" s="5" t="s">
        <v>238</v>
      </c>
      <c r="EV3377" s="5" t="s">
        <v>238</v>
      </c>
      <c r="EW3377" s="5" t="s">
        <v>238</v>
      </c>
      <c r="EX3377" s="5" t="s">
        <v>238</v>
      </c>
      <c r="EY3377" s="5" t="s">
        <v>238</v>
      </c>
      <c r="EZ3377" s="5" t="s">
        <v>238</v>
      </c>
      <c r="FA3377" s="5" t="s">
        <v>238</v>
      </c>
      <c r="FB3377" s="5" t="s">
        <v>238</v>
      </c>
      <c r="FC3377" s="5" t="s">
        <v>238</v>
      </c>
      <c r="FD3377" s="5" t="s">
        <v>238</v>
      </c>
      <c r="FE3377" s="5" t="s">
        <v>238</v>
      </c>
      <c r="FF3377" s="5" t="s">
        <v>238</v>
      </c>
      <c r="FG3377" s="5" t="s">
        <v>238</v>
      </c>
      <c r="FH3377" s="5" t="s">
        <v>238</v>
      </c>
      <c r="FI3377" s="5" t="s">
        <v>238</v>
      </c>
      <c r="FJ3377" s="5" t="s">
        <v>238</v>
      </c>
      <c r="FK3377" s="5" t="s">
        <v>238</v>
      </c>
      <c r="FL3377" s="5" t="s">
        <v>238</v>
      </c>
      <c r="FM3377" s="5" t="s">
        <v>238</v>
      </c>
      <c r="FN3377" s="5" t="s">
        <v>238</v>
      </c>
      <c r="FO3377" s="5" t="s">
        <v>238</v>
      </c>
      <c r="FP3377" s="5" t="s">
        <v>238</v>
      </c>
      <c r="FQ3377" s="5" t="s">
        <v>238</v>
      </c>
      <c r="FR3377" s="5" t="s">
        <v>238</v>
      </c>
      <c r="FS3377" s="5" t="s">
        <v>238</v>
      </c>
      <c r="FT3377" s="5" t="s">
        <v>238</v>
      </c>
      <c r="FU3377" s="5" t="s">
        <v>238</v>
      </c>
      <c r="FV3377" s="5" t="s">
        <v>238</v>
      </c>
      <c r="FW3377" s="5" t="s">
        <v>238</v>
      </c>
      <c r="FX3377" s="5" t="s">
        <v>238</v>
      </c>
      <c r="FY3377" s="5" t="s">
        <v>238</v>
      </c>
      <c r="FZ3377" s="5" t="s">
        <v>238</v>
      </c>
      <c r="GA3377" s="5" t="s">
        <v>238</v>
      </c>
      <c r="GB3377" s="5" t="s">
        <v>238</v>
      </c>
      <c r="GC3377" s="5" t="s">
        <v>238</v>
      </c>
      <c r="GD3377" s="5" t="s">
        <v>238</v>
      </c>
      <c r="GE3377" s="5" t="s">
        <v>238</v>
      </c>
      <c r="GF3377" s="5" t="s">
        <v>238</v>
      </c>
      <c r="GG3377" s="5" t="s">
        <v>238</v>
      </c>
      <c r="GH3377" s="5" t="s">
        <v>238</v>
      </c>
      <c r="GI3377" s="5" t="s">
        <v>238</v>
      </c>
      <c r="GJ3377" s="5" t="s">
        <v>238</v>
      </c>
      <c r="GK3377" s="5" t="s">
        <v>238</v>
      </c>
      <c r="GL3377" s="5" t="s">
        <v>238</v>
      </c>
      <c r="GM3377" s="5" t="s">
        <v>238</v>
      </c>
      <c r="GN3377" s="5" t="s">
        <v>238</v>
      </c>
      <c r="GO3377" s="5" t="s">
        <v>238</v>
      </c>
      <c r="GP3377" s="5" t="s">
        <v>238</v>
      </c>
      <c r="GQ3377" s="5" t="s">
        <v>238</v>
      </c>
      <c r="GR3377" s="5" t="s">
        <v>238</v>
      </c>
      <c r="GS3377" s="5" t="s">
        <v>238</v>
      </c>
      <c r="GT3377" s="5" t="s">
        <v>238</v>
      </c>
      <c r="GU3377" s="5" t="s">
        <v>238</v>
      </c>
      <c r="GV3377" s="5" t="s">
        <v>238</v>
      </c>
      <c r="GW3377" s="5" t="s">
        <v>238</v>
      </c>
      <c r="GX3377" s="5" t="s">
        <v>238</v>
      </c>
      <c r="GY3377" s="5" t="s">
        <v>238</v>
      </c>
      <c r="GZ3377" s="5" t="s">
        <v>238</v>
      </c>
      <c r="HA3377" s="5" t="s">
        <v>238</v>
      </c>
      <c r="HB3377" s="5" t="s">
        <v>238</v>
      </c>
      <c r="HC3377" s="5" t="s">
        <v>238</v>
      </c>
      <c r="HD3377" s="5" t="s">
        <v>238</v>
      </c>
      <c r="HE3377" s="5" t="s">
        <v>238</v>
      </c>
      <c r="HF3377" s="5" t="s">
        <v>238</v>
      </c>
      <c r="HG3377" s="5" t="s">
        <v>238</v>
      </c>
      <c r="HH3377" s="5" t="s">
        <v>238</v>
      </c>
      <c r="HI3377" s="5" t="s">
        <v>238</v>
      </c>
      <c r="HJ3377" s="5" t="s">
        <v>238</v>
      </c>
      <c r="HK3377" s="5" t="s">
        <v>238</v>
      </c>
      <c r="HL3377" s="5" t="s">
        <v>238</v>
      </c>
      <c r="HM3377" s="5" t="s">
        <v>264</v>
      </c>
      <c r="HN3377" s="5" t="s">
        <v>238</v>
      </c>
      <c r="HO3377" s="5" t="s">
        <v>238</v>
      </c>
      <c r="HP3377" s="5" t="s">
        <v>238</v>
      </c>
      <c r="HQ3377" s="5" t="s">
        <v>238</v>
      </c>
      <c r="HR3377" s="5" t="s">
        <v>238</v>
      </c>
      <c r="HS3377" s="5" t="s">
        <v>238</v>
      </c>
      <c r="HT3377" s="5" t="s">
        <v>238</v>
      </c>
      <c r="HU3377" s="5" t="s">
        <v>238</v>
      </c>
      <c r="HV3377" s="5" t="s">
        <v>238</v>
      </c>
      <c r="HW3377" s="5" t="s">
        <v>238</v>
      </c>
      <c r="HX3377" s="5" t="s">
        <v>238</v>
      </c>
      <c r="HY3377" s="5" t="s">
        <v>238</v>
      </c>
      <c r="HZ3377" s="5" t="s">
        <v>238</v>
      </c>
      <c r="IA3377" s="5" t="s">
        <v>238</v>
      </c>
      <c r="IB3377" s="5" t="s">
        <v>238</v>
      </c>
      <c r="IC3377" s="5" t="s">
        <v>238</v>
      </c>
      <c r="ID3377" s="5" t="s">
        <v>238</v>
      </c>
    </row>
    <row r="3378" spans="1:238" x14ac:dyDescent="0.4">
      <c r="A3378" s="5">
        <v>9096</v>
      </c>
      <c r="B3378" s="5">
        <v>1</v>
      </c>
      <c r="C3378" s="5">
        <v>1</v>
      </c>
      <c r="D3378" s="5" t="s">
        <v>484</v>
      </c>
      <c r="E3378" s="5" t="s">
        <v>485</v>
      </c>
      <c r="F3378" s="5" t="s">
        <v>248</v>
      </c>
      <c r="G3378" s="5" t="s">
        <v>5746</v>
      </c>
      <c r="H3378" s="6" t="s">
        <v>5748</v>
      </c>
      <c r="I3378" s="8">
        <f>1</f>
        <v>1</v>
      </c>
      <c r="J3378" s="5" t="s">
        <v>499</v>
      </c>
      <c r="K3378" s="8">
        <f>1</f>
        <v>1</v>
      </c>
      <c r="L3378" s="6" t="s">
        <v>242</v>
      </c>
      <c r="M3378" s="5" t="s">
        <v>267</v>
      </c>
      <c r="N3378" s="5" t="s">
        <v>482</v>
      </c>
      <c r="O3378" s="5" t="s">
        <v>238</v>
      </c>
      <c r="P3378" s="5" t="s">
        <v>238</v>
      </c>
      <c r="Q3378" s="5" t="s">
        <v>239</v>
      </c>
      <c r="R3378" s="5" t="s">
        <v>270</v>
      </c>
      <c r="S3378" s="5" t="s">
        <v>238</v>
      </c>
      <c r="T3378" s="5" t="s">
        <v>238</v>
      </c>
      <c r="U3378" s="5" t="s">
        <v>238</v>
      </c>
      <c r="V3378" s="5" t="s">
        <v>238</v>
      </c>
      <c r="W3378" s="6" t="s">
        <v>238</v>
      </c>
      <c r="X3378" s="6" t="s">
        <v>238</v>
      </c>
      <c r="Y3378" s="5" t="s">
        <v>238</v>
      </c>
      <c r="Z3378" s="6" t="s">
        <v>238</v>
      </c>
      <c r="AA3378" s="6" t="s">
        <v>243</v>
      </c>
      <c r="AB3378" s="5" t="s">
        <v>5747</v>
      </c>
      <c r="AC3378" s="5" t="s">
        <v>244</v>
      </c>
      <c r="AD3378" s="5" t="s">
        <v>245</v>
      </c>
      <c r="AE3378" s="5" t="s">
        <v>238</v>
      </c>
      <c r="AF3378" s="5" t="s">
        <v>238</v>
      </c>
      <c r="AG3378" s="5" t="s">
        <v>238</v>
      </c>
      <c r="AH3378" s="5" t="s">
        <v>238</v>
      </c>
      <c r="AI3378" s="5" t="s">
        <v>238</v>
      </c>
      <c r="AJ3378" s="5" t="s">
        <v>238</v>
      </c>
      <c r="AK3378" s="5" t="s">
        <v>238</v>
      </c>
      <c r="AL3378" s="5" t="s">
        <v>238</v>
      </c>
      <c r="AM3378" s="6" t="s">
        <v>238</v>
      </c>
      <c r="AN3378" s="6" t="s">
        <v>238</v>
      </c>
      <c r="AO3378" s="6" t="s">
        <v>238</v>
      </c>
      <c r="AP3378" s="6" t="s">
        <v>238</v>
      </c>
      <c r="AQ3378" s="5" t="s">
        <v>238</v>
      </c>
      <c r="AR3378" s="5" t="s">
        <v>488</v>
      </c>
      <c r="AS3378" s="5" t="s">
        <v>488</v>
      </c>
      <c r="AT3378" s="5" t="s">
        <v>246</v>
      </c>
      <c r="AU3378" s="5" t="s">
        <v>489</v>
      </c>
      <c r="AV3378" s="5" t="s">
        <v>247</v>
      </c>
      <c r="AW3378" s="5" t="s">
        <v>238</v>
      </c>
      <c r="AX3378" s="5" t="s">
        <v>249</v>
      </c>
      <c r="AY3378" s="5" t="s">
        <v>490</v>
      </c>
      <c r="BA3378" s="5" t="s">
        <v>238</v>
      </c>
      <c r="BC3378" s="5" t="s">
        <v>491</v>
      </c>
      <c r="BD3378" s="6" t="s">
        <v>492</v>
      </c>
      <c r="BE3378" s="5" t="s">
        <v>493</v>
      </c>
      <c r="BF3378" s="5" t="s">
        <v>493</v>
      </c>
      <c r="BG3378" s="5" t="s">
        <v>238</v>
      </c>
      <c r="BH3378" s="8">
        <f>1</f>
        <v>1</v>
      </c>
      <c r="BI3378" s="8">
        <f>1</f>
        <v>1</v>
      </c>
      <c r="BJ3378" s="5" t="s">
        <v>253</v>
      </c>
      <c r="BK3378" s="5" t="s">
        <v>254</v>
      </c>
      <c r="BL3378" s="5" t="s">
        <v>238</v>
      </c>
      <c r="BM3378" s="5" t="s">
        <v>238</v>
      </c>
      <c r="BN3378" s="5" t="s">
        <v>238</v>
      </c>
      <c r="BO3378" s="5" t="s">
        <v>238</v>
      </c>
      <c r="BP3378" s="5" t="s">
        <v>238</v>
      </c>
      <c r="BQ3378" s="5" t="s">
        <v>238</v>
      </c>
      <c r="BR3378" s="5" t="s">
        <v>238</v>
      </c>
      <c r="BS3378" s="5" t="s">
        <v>238</v>
      </c>
      <c r="BT3378" s="6" t="s">
        <v>238</v>
      </c>
      <c r="BU3378" s="5" t="s">
        <v>238</v>
      </c>
      <c r="BV3378" s="5" t="s">
        <v>238</v>
      </c>
      <c r="BW3378" s="5" t="s">
        <v>238</v>
      </c>
      <c r="BX3378" s="5" t="s">
        <v>254</v>
      </c>
      <c r="BY3378" s="5" t="s">
        <v>238</v>
      </c>
      <c r="BZ3378" s="5" t="s">
        <v>238</v>
      </c>
      <c r="CA3378" s="5" t="s">
        <v>238</v>
      </c>
      <c r="CB3378" s="5" t="s">
        <v>238</v>
      </c>
      <c r="CC3378" s="5" t="s">
        <v>238</v>
      </c>
      <c r="CD3378" s="5" t="s">
        <v>273</v>
      </c>
      <c r="CE3378" s="5" t="s">
        <v>256</v>
      </c>
      <c r="CF3378" s="5" t="s">
        <v>238</v>
      </c>
      <c r="CH3378" s="5" t="s">
        <v>494</v>
      </c>
      <c r="CI3378" s="6" t="s">
        <v>257</v>
      </c>
      <c r="CJ3378" s="5" t="s">
        <v>495</v>
      </c>
      <c r="CK3378" s="5" t="s">
        <v>258</v>
      </c>
      <c r="CL3378" s="5" t="s">
        <v>496</v>
      </c>
      <c r="CM3378" s="5" t="s">
        <v>238</v>
      </c>
      <c r="CN3378" s="5">
        <v>0</v>
      </c>
      <c r="CO3378" s="5" t="s">
        <v>497</v>
      </c>
      <c r="CP3378" s="5" t="s">
        <v>260</v>
      </c>
      <c r="CQ3378" s="5" t="s">
        <v>260</v>
      </c>
      <c r="CR3378" s="5" t="s">
        <v>261</v>
      </c>
      <c r="CS3378" s="5" t="s">
        <v>498</v>
      </c>
      <c r="CT3378" s="7">
        <f>1</f>
        <v>1</v>
      </c>
      <c r="CU3378" s="8">
        <f>1</f>
        <v>1</v>
      </c>
      <c r="CV3378" s="8">
        <f>0</f>
        <v>0</v>
      </c>
      <c r="CX3378" s="8">
        <f>1</f>
        <v>1</v>
      </c>
      <c r="CY3378" s="8">
        <f>1</f>
        <v>1</v>
      </c>
      <c r="CZ3378" s="8" t="s">
        <v>238</v>
      </c>
      <c r="DA3378" s="5" t="s">
        <v>238</v>
      </c>
      <c r="DB3378" s="5" t="s">
        <v>238</v>
      </c>
      <c r="DC3378" s="5" t="s">
        <v>238</v>
      </c>
      <c r="DD3378" s="5" t="s">
        <v>238</v>
      </c>
      <c r="DE3378" s="8">
        <f>0</f>
        <v>0</v>
      </c>
      <c r="DG3378" s="5" t="s">
        <v>238</v>
      </c>
      <c r="DH3378" s="5" t="s">
        <v>238</v>
      </c>
      <c r="DI3378" s="5" t="s">
        <v>238</v>
      </c>
      <c r="DJ3378" s="5" t="s">
        <v>238</v>
      </c>
      <c r="DK3378" s="5" t="s">
        <v>238</v>
      </c>
      <c r="DL3378" s="5" t="s">
        <v>238</v>
      </c>
      <c r="DM3378" s="8" t="s">
        <v>238</v>
      </c>
      <c r="DN3378" s="5" t="s">
        <v>238</v>
      </c>
      <c r="DO3378" s="5" t="s">
        <v>238</v>
      </c>
      <c r="DP3378" s="5" t="s">
        <v>490</v>
      </c>
      <c r="DQ3378" s="5" t="s">
        <v>490</v>
      </c>
      <c r="DR3378" s="5" t="s">
        <v>238</v>
      </c>
      <c r="DS3378" s="5" t="s">
        <v>238</v>
      </c>
      <c r="DT3378" s="5" t="s">
        <v>500</v>
      </c>
      <c r="DU3378" s="5" t="s">
        <v>632</v>
      </c>
      <c r="DV3378" s="5" t="s">
        <v>238</v>
      </c>
      <c r="DW3378" s="5" t="s">
        <v>238</v>
      </c>
      <c r="DX3378" s="5" t="s">
        <v>238</v>
      </c>
      <c r="DY3378" s="5" t="s">
        <v>238</v>
      </c>
      <c r="DZ3378" s="5" t="s">
        <v>238</v>
      </c>
      <c r="EA3378" s="5" t="s">
        <v>238</v>
      </c>
      <c r="EB3378" s="5" t="s">
        <v>238</v>
      </c>
      <c r="EC3378" s="5" t="s">
        <v>238</v>
      </c>
      <c r="ED3378" s="5" t="s">
        <v>238</v>
      </c>
      <c r="EE3378" s="5" t="s">
        <v>238</v>
      </c>
      <c r="EF3378" s="5" t="s">
        <v>238</v>
      </c>
      <c r="EG3378" s="5" t="s">
        <v>238</v>
      </c>
      <c r="EH3378" s="5" t="s">
        <v>238</v>
      </c>
      <c r="EI3378" s="5" t="s">
        <v>238</v>
      </c>
      <c r="EJ3378" s="5" t="s">
        <v>238</v>
      </c>
      <c r="EK3378" s="5" t="s">
        <v>238</v>
      </c>
      <c r="EL3378" s="5" t="s">
        <v>238</v>
      </c>
      <c r="EM3378" s="5" t="s">
        <v>238</v>
      </c>
      <c r="EN3378" s="5" t="s">
        <v>238</v>
      </c>
      <c r="EO3378" s="5" t="s">
        <v>238</v>
      </c>
      <c r="EP3378" s="5" t="s">
        <v>238</v>
      </c>
      <c r="EQ3378" s="5" t="s">
        <v>238</v>
      </c>
      <c r="ER3378" s="5" t="s">
        <v>238</v>
      </c>
      <c r="ES3378" s="5" t="s">
        <v>238</v>
      </c>
      <c r="ET3378" s="5" t="s">
        <v>238</v>
      </c>
      <c r="EU3378" s="5" t="s">
        <v>238</v>
      </c>
      <c r="EV3378" s="5" t="s">
        <v>238</v>
      </c>
      <c r="EW3378" s="5" t="s">
        <v>238</v>
      </c>
      <c r="EX3378" s="5" t="s">
        <v>238</v>
      </c>
      <c r="EY3378" s="5" t="s">
        <v>238</v>
      </c>
      <c r="EZ3378" s="5" t="s">
        <v>238</v>
      </c>
      <c r="FA3378" s="5" t="s">
        <v>238</v>
      </c>
      <c r="FB3378" s="5" t="s">
        <v>238</v>
      </c>
      <c r="FC3378" s="5" t="s">
        <v>238</v>
      </c>
      <c r="FD3378" s="5" t="s">
        <v>238</v>
      </c>
      <c r="FE3378" s="5" t="s">
        <v>238</v>
      </c>
      <c r="FF3378" s="5" t="s">
        <v>238</v>
      </c>
      <c r="FG3378" s="5" t="s">
        <v>238</v>
      </c>
      <c r="FH3378" s="5" t="s">
        <v>238</v>
      </c>
      <c r="FI3378" s="5" t="s">
        <v>238</v>
      </c>
      <c r="FJ3378" s="5" t="s">
        <v>238</v>
      </c>
      <c r="FK3378" s="5" t="s">
        <v>238</v>
      </c>
      <c r="FL3378" s="5" t="s">
        <v>238</v>
      </c>
      <c r="FM3378" s="5" t="s">
        <v>238</v>
      </c>
      <c r="FN3378" s="5" t="s">
        <v>238</v>
      </c>
      <c r="FO3378" s="5" t="s">
        <v>238</v>
      </c>
      <c r="FP3378" s="5" t="s">
        <v>238</v>
      </c>
      <c r="FQ3378" s="5" t="s">
        <v>238</v>
      </c>
      <c r="FR3378" s="5" t="s">
        <v>238</v>
      </c>
      <c r="FS3378" s="5" t="s">
        <v>238</v>
      </c>
      <c r="FT3378" s="5" t="s">
        <v>238</v>
      </c>
      <c r="FU3378" s="5" t="s">
        <v>238</v>
      </c>
      <c r="FV3378" s="5" t="s">
        <v>238</v>
      </c>
      <c r="FW3378" s="5" t="s">
        <v>238</v>
      </c>
      <c r="FX3378" s="5" t="s">
        <v>238</v>
      </c>
      <c r="FY3378" s="5" t="s">
        <v>238</v>
      </c>
      <c r="FZ3378" s="5" t="s">
        <v>238</v>
      </c>
      <c r="GA3378" s="5" t="s">
        <v>238</v>
      </c>
      <c r="GB3378" s="5" t="s">
        <v>238</v>
      </c>
      <c r="GC3378" s="5" t="s">
        <v>238</v>
      </c>
      <c r="GD3378" s="5" t="s">
        <v>238</v>
      </c>
      <c r="GE3378" s="5" t="s">
        <v>238</v>
      </c>
      <c r="GF3378" s="5" t="s">
        <v>238</v>
      </c>
      <c r="GG3378" s="5" t="s">
        <v>238</v>
      </c>
      <c r="GH3378" s="5" t="s">
        <v>238</v>
      </c>
      <c r="GI3378" s="5" t="s">
        <v>238</v>
      </c>
      <c r="GJ3378" s="5" t="s">
        <v>238</v>
      </c>
      <c r="GK3378" s="5" t="s">
        <v>238</v>
      </c>
      <c r="GL3378" s="5" t="s">
        <v>238</v>
      </c>
      <c r="GM3378" s="5" t="s">
        <v>238</v>
      </c>
      <c r="GN3378" s="5" t="s">
        <v>238</v>
      </c>
      <c r="GO3378" s="5" t="s">
        <v>238</v>
      </c>
      <c r="GP3378" s="5" t="s">
        <v>238</v>
      </c>
      <c r="GQ3378" s="5" t="s">
        <v>238</v>
      </c>
      <c r="GR3378" s="5" t="s">
        <v>238</v>
      </c>
      <c r="GS3378" s="5" t="s">
        <v>238</v>
      </c>
      <c r="GT3378" s="5" t="s">
        <v>238</v>
      </c>
      <c r="GU3378" s="5" t="s">
        <v>238</v>
      </c>
      <c r="GV3378" s="5" t="s">
        <v>238</v>
      </c>
      <c r="GW3378" s="5" t="s">
        <v>238</v>
      </c>
      <c r="GX3378" s="5" t="s">
        <v>238</v>
      </c>
      <c r="GY3378" s="5" t="s">
        <v>238</v>
      </c>
      <c r="GZ3378" s="5" t="s">
        <v>238</v>
      </c>
      <c r="HA3378" s="5" t="s">
        <v>238</v>
      </c>
      <c r="HB3378" s="5" t="s">
        <v>238</v>
      </c>
      <c r="HC3378" s="5" t="s">
        <v>238</v>
      </c>
      <c r="HD3378" s="5" t="s">
        <v>238</v>
      </c>
      <c r="HE3378" s="5" t="s">
        <v>238</v>
      </c>
      <c r="HF3378" s="5" t="s">
        <v>238</v>
      </c>
      <c r="HG3378" s="5" t="s">
        <v>238</v>
      </c>
      <c r="HH3378" s="5" t="s">
        <v>238</v>
      </c>
      <c r="HI3378" s="5" t="s">
        <v>238</v>
      </c>
      <c r="HJ3378" s="5" t="s">
        <v>238</v>
      </c>
      <c r="HK3378" s="5" t="s">
        <v>238</v>
      </c>
      <c r="HL3378" s="5" t="s">
        <v>238</v>
      </c>
      <c r="HM3378" s="5" t="s">
        <v>264</v>
      </c>
      <c r="HN3378" s="5" t="s">
        <v>238</v>
      </c>
      <c r="HO3378" s="5" t="s">
        <v>238</v>
      </c>
      <c r="HP3378" s="5" t="s">
        <v>238</v>
      </c>
      <c r="HQ3378" s="5" t="s">
        <v>238</v>
      </c>
      <c r="HR3378" s="5" t="s">
        <v>238</v>
      </c>
      <c r="HS3378" s="5" t="s">
        <v>238</v>
      </c>
      <c r="HT3378" s="5" t="s">
        <v>238</v>
      </c>
      <c r="HU3378" s="5" t="s">
        <v>238</v>
      </c>
      <c r="HV3378" s="5" t="s">
        <v>238</v>
      </c>
      <c r="HW3378" s="5" t="s">
        <v>238</v>
      </c>
      <c r="HX3378" s="5" t="s">
        <v>238</v>
      </c>
      <c r="HY3378" s="5" t="s">
        <v>238</v>
      </c>
      <c r="HZ3378" s="5" t="s">
        <v>238</v>
      </c>
      <c r="IA3378" s="5" t="s">
        <v>238</v>
      </c>
      <c r="IB3378" s="5" t="s">
        <v>238</v>
      </c>
      <c r="IC3378" s="5" t="s">
        <v>238</v>
      </c>
      <c r="ID3378" s="5" t="s">
        <v>238</v>
      </c>
    </row>
    <row r="3379" spans="1:238" x14ac:dyDescent="0.4">
      <c r="A3379" s="5">
        <v>9097</v>
      </c>
      <c r="B3379" s="5">
        <v>1</v>
      </c>
      <c r="C3379" s="5">
        <v>1</v>
      </c>
      <c r="D3379" s="5" t="s">
        <v>484</v>
      </c>
      <c r="E3379" s="5" t="s">
        <v>485</v>
      </c>
      <c r="F3379" s="5" t="s">
        <v>248</v>
      </c>
      <c r="G3379" s="5" t="s">
        <v>5598</v>
      </c>
      <c r="H3379" s="6" t="s">
        <v>5598</v>
      </c>
      <c r="I3379" s="8">
        <f>1</f>
        <v>1</v>
      </c>
      <c r="J3379" s="5" t="s">
        <v>499</v>
      </c>
      <c r="K3379" s="8">
        <f>1</f>
        <v>1</v>
      </c>
      <c r="L3379" s="6" t="s">
        <v>242</v>
      </c>
      <c r="M3379" s="5" t="s">
        <v>267</v>
      </c>
      <c r="N3379" s="5" t="s">
        <v>482</v>
      </c>
      <c r="O3379" s="5" t="s">
        <v>238</v>
      </c>
      <c r="P3379" s="5" t="s">
        <v>238</v>
      </c>
      <c r="Q3379" s="5" t="s">
        <v>239</v>
      </c>
      <c r="R3379" s="5" t="s">
        <v>270</v>
      </c>
      <c r="S3379" s="5" t="s">
        <v>238</v>
      </c>
      <c r="T3379" s="5" t="s">
        <v>238</v>
      </c>
      <c r="U3379" s="5" t="s">
        <v>238</v>
      </c>
      <c r="V3379" s="5" t="s">
        <v>238</v>
      </c>
      <c r="W3379" s="6" t="s">
        <v>238</v>
      </c>
      <c r="X3379" s="6" t="s">
        <v>238</v>
      </c>
      <c r="Y3379" s="5" t="s">
        <v>238</v>
      </c>
      <c r="Z3379" s="6" t="s">
        <v>238</v>
      </c>
      <c r="AA3379" s="6" t="s">
        <v>243</v>
      </c>
      <c r="AB3379" s="5" t="s">
        <v>5599</v>
      </c>
      <c r="AC3379" s="5" t="s">
        <v>244</v>
      </c>
      <c r="AD3379" s="5" t="s">
        <v>245</v>
      </c>
      <c r="AE3379" s="5" t="s">
        <v>238</v>
      </c>
      <c r="AF3379" s="5" t="s">
        <v>238</v>
      </c>
      <c r="AG3379" s="5" t="s">
        <v>238</v>
      </c>
      <c r="AH3379" s="5" t="s">
        <v>238</v>
      </c>
      <c r="AI3379" s="5" t="s">
        <v>238</v>
      </c>
      <c r="AJ3379" s="5" t="s">
        <v>238</v>
      </c>
      <c r="AK3379" s="5" t="s">
        <v>238</v>
      </c>
      <c r="AL3379" s="5" t="s">
        <v>238</v>
      </c>
      <c r="AM3379" s="6" t="s">
        <v>238</v>
      </c>
      <c r="AN3379" s="6" t="s">
        <v>238</v>
      </c>
      <c r="AO3379" s="6" t="s">
        <v>238</v>
      </c>
      <c r="AP3379" s="6" t="s">
        <v>238</v>
      </c>
      <c r="AQ3379" s="5" t="s">
        <v>238</v>
      </c>
      <c r="AR3379" s="5" t="s">
        <v>488</v>
      </c>
      <c r="AS3379" s="5" t="s">
        <v>488</v>
      </c>
      <c r="AT3379" s="5" t="s">
        <v>246</v>
      </c>
      <c r="AU3379" s="5" t="s">
        <v>489</v>
      </c>
      <c r="AV3379" s="5" t="s">
        <v>247</v>
      </c>
      <c r="AW3379" s="5" t="s">
        <v>238</v>
      </c>
      <c r="AX3379" s="5" t="s">
        <v>249</v>
      </c>
      <c r="AY3379" s="5" t="s">
        <v>490</v>
      </c>
      <c r="BA3379" s="5" t="s">
        <v>238</v>
      </c>
      <c r="BC3379" s="5" t="s">
        <v>491</v>
      </c>
      <c r="BD3379" s="6" t="s">
        <v>492</v>
      </c>
      <c r="BE3379" s="5" t="s">
        <v>493</v>
      </c>
      <c r="BF3379" s="5" t="s">
        <v>493</v>
      </c>
      <c r="BG3379" s="5" t="s">
        <v>238</v>
      </c>
      <c r="BH3379" s="8">
        <f>1</f>
        <v>1</v>
      </c>
      <c r="BI3379" s="8">
        <f>1</f>
        <v>1</v>
      </c>
      <c r="BJ3379" s="5" t="s">
        <v>253</v>
      </c>
      <c r="BK3379" s="5" t="s">
        <v>254</v>
      </c>
      <c r="BL3379" s="5" t="s">
        <v>238</v>
      </c>
      <c r="BM3379" s="5" t="s">
        <v>238</v>
      </c>
      <c r="BN3379" s="5" t="s">
        <v>238</v>
      </c>
      <c r="BO3379" s="5" t="s">
        <v>238</v>
      </c>
      <c r="BP3379" s="5" t="s">
        <v>238</v>
      </c>
      <c r="BQ3379" s="5" t="s">
        <v>238</v>
      </c>
      <c r="BR3379" s="5" t="s">
        <v>238</v>
      </c>
      <c r="BS3379" s="5" t="s">
        <v>238</v>
      </c>
      <c r="BT3379" s="6" t="s">
        <v>238</v>
      </c>
      <c r="BU3379" s="5" t="s">
        <v>238</v>
      </c>
      <c r="BV3379" s="5" t="s">
        <v>238</v>
      </c>
      <c r="BW3379" s="5" t="s">
        <v>238</v>
      </c>
      <c r="BX3379" s="5" t="s">
        <v>254</v>
      </c>
      <c r="BY3379" s="5" t="s">
        <v>238</v>
      </c>
      <c r="BZ3379" s="5" t="s">
        <v>238</v>
      </c>
      <c r="CA3379" s="5" t="s">
        <v>238</v>
      </c>
      <c r="CB3379" s="5" t="s">
        <v>238</v>
      </c>
      <c r="CC3379" s="5" t="s">
        <v>238</v>
      </c>
      <c r="CD3379" s="5" t="s">
        <v>273</v>
      </c>
      <c r="CE3379" s="5" t="s">
        <v>256</v>
      </c>
      <c r="CF3379" s="5" t="s">
        <v>238</v>
      </c>
      <c r="CH3379" s="5" t="s">
        <v>494</v>
      </c>
      <c r="CI3379" s="6" t="s">
        <v>257</v>
      </c>
      <c r="CJ3379" s="5" t="s">
        <v>495</v>
      </c>
      <c r="CK3379" s="5" t="s">
        <v>258</v>
      </c>
      <c r="CL3379" s="5" t="s">
        <v>496</v>
      </c>
      <c r="CM3379" s="5" t="s">
        <v>238</v>
      </c>
      <c r="CN3379" s="5">
        <v>0</v>
      </c>
      <c r="CO3379" s="5" t="s">
        <v>497</v>
      </c>
      <c r="CP3379" s="5" t="s">
        <v>260</v>
      </c>
      <c r="CQ3379" s="5" t="s">
        <v>260</v>
      </c>
      <c r="CR3379" s="5" t="s">
        <v>261</v>
      </c>
      <c r="CS3379" s="5" t="s">
        <v>498</v>
      </c>
      <c r="CT3379" s="7">
        <f>1</f>
        <v>1</v>
      </c>
      <c r="CU3379" s="8">
        <f>1</f>
        <v>1</v>
      </c>
      <c r="CV3379" s="8">
        <f>0</f>
        <v>0</v>
      </c>
      <c r="CX3379" s="8">
        <f>1</f>
        <v>1</v>
      </c>
      <c r="CY3379" s="8">
        <f>1</f>
        <v>1</v>
      </c>
      <c r="CZ3379" s="8" t="s">
        <v>238</v>
      </c>
      <c r="DA3379" s="5" t="s">
        <v>238</v>
      </c>
      <c r="DB3379" s="5" t="s">
        <v>238</v>
      </c>
      <c r="DC3379" s="5" t="s">
        <v>238</v>
      </c>
      <c r="DD3379" s="5" t="s">
        <v>238</v>
      </c>
      <c r="DE3379" s="8">
        <f>0</f>
        <v>0</v>
      </c>
      <c r="DG3379" s="5" t="s">
        <v>238</v>
      </c>
      <c r="DH3379" s="5" t="s">
        <v>238</v>
      </c>
      <c r="DI3379" s="5" t="s">
        <v>238</v>
      </c>
      <c r="DJ3379" s="5" t="s">
        <v>238</v>
      </c>
      <c r="DK3379" s="5" t="s">
        <v>238</v>
      </c>
      <c r="DL3379" s="5" t="s">
        <v>238</v>
      </c>
      <c r="DM3379" s="8" t="s">
        <v>238</v>
      </c>
      <c r="DN3379" s="5" t="s">
        <v>238</v>
      </c>
      <c r="DO3379" s="5" t="s">
        <v>238</v>
      </c>
      <c r="DP3379" s="5" t="s">
        <v>490</v>
      </c>
      <c r="DQ3379" s="5" t="s">
        <v>490</v>
      </c>
      <c r="DR3379" s="5" t="s">
        <v>238</v>
      </c>
      <c r="DS3379" s="5" t="s">
        <v>238</v>
      </c>
      <c r="DT3379" s="5" t="s">
        <v>500</v>
      </c>
      <c r="DU3379" s="5" t="s">
        <v>3139</v>
      </c>
      <c r="DV3379" s="5" t="s">
        <v>238</v>
      </c>
      <c r="DW3379" s="5" t="s">
        <v>238</v>
      </c>
      <c r="DX3379" s="5" t="s">
        <v>238</v>
      </c>
      <c r="DY3379" s="5" t="s">
        <v>238</v>
      </c>
      <c r="DZ3379" s="5" t="s">
        <v>238</v>
      </c>
      <c r="EA3379" s="5" t="s">
        <v>238</v>
      </c>
      <c r="EB3379" s="5" t="s">
        <v>238</v>
      </c>
      <c r="EC3379" s="5" t="s">
        <v>238</v>
      </c>
      <c r="ED3379" s="5" t="s">
        <v>238</v>
      </c>
      <c r="EE3379" s="5" t="s">
        <v>238</v>
      </c>
      <c r="EF3379" s="5" t="s">
        <v>238</v>
      </c>
      <c r="EG3379" s="5" t="s">
        <v>238</v>
      </c>
      <c r="EH3379" s="5" t="s">
        <v>238</v>
      </c>
      <c r="EI3379" s="5" t="s">
        <v>238</v>
      </c>
      <c r="EJ3379" s="5" t="s">
        <v>238</v>
      </c>
      <c r="EK3379" s="5" t="s">
        <v>238</v>
      </c>
      <c r="EL3379" s="5" t="s">
        <v>238</v>
      </c>
      <c r="EM3379" s="5" t="s">
        <v>238</v>
      </c>
      <c r="EN3379" s="5" t="s">
        <v>238</v>
      </c>
      <c r="EO3379" s="5" t="s">
        <v>238</v>
      </c>
      <c r="EP3379" s="5" t="s">
        <v>238</v>
      </c>
      <c r="EQ3379" s="5" t="s">
        <v>238</v>
      </c>
      <c r="ER3379" s="5" t="s">
        <v>238</v>
      </c>
      <c r="ES3379" s="5" t="s">
        <v>238</v>
      </c>
      <c r="ET3379" s="5" t="s">
        <v>238</v>
      </c>
      <c r="EU3379" s="5" t="s">
        <v>238</v>
      </c>
      <c r="EV3379" s="5" t="s">
        <v>238</v>
      </c>
      <c r="EW3379" s="5" t="s">
        <v>238</v>
      </c>
      <c r="EX3379" s="5" t="s">
        <v>238</v>
      </c>
      <c r="EY3379" s="5" t="s">
        <v>238</v>
      </c>
      <c r="EZ3379" s="5" t="s">
        <v>238</v>
      </c>
      <c r="FA3379" s="5" t="s">
        <v>238</v>
      </c>
      <c r="FB3379" s="5" t="s">
        <v>238</v>
      </c>
      <c r="FC3379" s="5" t="s">
        <v>238</v>
      </c>
      <c r="FD3379" s="5" t="s">
        <v>238</v>
      </c>
      <c r="FE3379" s="5" t="s">
        <v>238</v>
      </c>
      <c r="FF3379" s="5" t="s">
        <v>238</v>
      </c>
      <c r="FG3379" s="5" t="s">
        <v>238</v>
      </c>
      <c r="FH3379" s="5" t="s">
        <v>238</v>
      </c>
      <c r="FI3379" s="5" t="s">
        <v>238</v>
      </c>
      <c r="FJ3379" s="5" t="s">
        <v>238</v>
      </c>
      <c r="FK3379" s="5" t="s">
        <v>238</v>
      </c>
      <c r="FL3379" s="5" t="s">
        <v>238</v>
      </c>
      <c r="FM3379" s="5" t="s">
        <v>238</v>
      </c>
      <c r="FN3379" s="5" t="s">
        <v>238</v>
      </c>
      <c r="FO3379" s="5" t="s">
        <v>238</v>
      </c>
      <c r="FP3379" s="5" t="s">
        <v>238</v>
      </c>
      <c r="FQ3379" s="5" t="s">
        <v>238</v>
      </c>
      <c r="FR3379" s="5" t="s">
        <v>238</v>
      </c>
      <c r="FS3379" s="5" t="s">
        <v>238</v>
      </c>
      <c r="FT3379" s="5" t="s">
        <v>238</v>
      </c>
      <c r="FU3379" s="5" t="s">
        <v>238</v>
      </c>
      <c r="FV3379" s="5" t="s">
        <v>238</v>
      </c>
      <c r="FW3379" s="5" t="s">
        <v>238</v>
      </c>
      <c r="FX3379" s="5" t="s">
        <v>238</v>
      </c>
      <c r="FY3379" s="5" t="s">
        <v>238</v>
      </c>
      <c r="FZ3379" s="5" t="s">
        <v>238</v>
      </c>
      <c r="GA3379" s="5" t="s">
        <v>238</v>
      </c>
      <c r="GB3379" s="5" t="s">
        <v>238</v>
      </c>
      <c r="GC3379" s="5" t="s">
        <v>238</v>
      </c>
      <c r="GD3379" s="5" t="s">
        <v>238</v>
      </c>
      <c r="GE3379" s="5" t="s">
        <v>238</v>
      </c>
      <c r="GF3379" s="5" t="s">
        <v>238</v>
      </c>
      <c r="GG3379" s="5" t="s">
        <v>238</v>
      </c>
      <c r="GH3379" s="5" t="s">
        <v>238</v>
      </c>
      <c r="GI3379" s="5" t="s">
        <v>238</v>
      </c>
      <c r="GJ3379" s="5" t="s">
        <v>238</v>
      </c>
      <c r="GK3379" s="5" t="s">
        <v>238</v>
      </c>
      <c r="GL3379" s="5" t="s">
        <v>238</v>
      </c>
      <c r="GM3379" s="5" t="s">
        <v>238</v>
      </c>
      <c r="GN3379" s="5" t="s">
        <v>238</v>
      </c>
      <c r="GO3379" s="5" t="s">
        <v>238</v>
      </c>
      <c r="GP3379" s="5" t="s">
        <v>238</v>
      </c>
      <c r="GQ3379" s="5" t="s">
        <v>238</v>
      </c>
      <c r="GR3379" s="5" t="s">
        <v>238</v>
      </c>
      <c r="GS3379" s="5" t="s">
        <v>238</v>
      </c>
      <c r="GT3379" s="5" t="s">
        <v>238</v>
      </c>
      <c r="GU3379" s="5" t="s">
        <v>238</v>
      </c>
      <c r="GV3379" s="5" t="s">
        <v>238</v>
      </c>
      <c r="GW3379" s="5" t="s">
        <v>238</v>
      </c>
      <c r="GX3379" s="5" t="s">
        <v>238</v>
      </c>
      <c r="GY3379" s="5" t="s">
        <v>238</v>
      </c>
      <c r="GZ3379" s="5" t="s">
        <v>238</v>
      </c>
      <c r="HA3379" s="5" t="s">
        <v>238</v>
      </c>
      <c r="HB3379" s="5" t="s">
        <v>238</v>
      </c>
      <c r="HC3379" s="5" t="s">
        <v>238</v>
      </c>
      <c r="HD3379" s="5" t="s">
        <v>238</v>
      </c>
      <c r="HE3379" s="5" t="s">
        <v>238</v>
      </c>
      <c r="HF3379" s="5" t="s">
        <v>238</v>
      </c>
      <c r="HG3379" s="5" t="s">
        <v>238</v>
      </c>
      <c r="HH3379" s="5" t="s">
        <v>238</v>
      </c>
      <c r="HI3379" s="5" t="s">
        <v>238</v>
      </c>
      <c r="HJ3379" s="5" t="s">
        <v>238</v>
      </c>
      <c r="HK3379" s="5" t="s">
        <v>238</v>
      </c>
      <c r="HL3379" s="5" t="s">
        <v>238</v>
      </c>
      <c r="HM3379" s="5" t="s">
        <v>264</v>
      </c>
      <c r="HN3379" s="5" t="s">
        <v>238</v>
      </c>
      <c r="HO3379" s="5" t="s">
        <v>238</v>
      </c>
      <c r="HP3379" s="5" t="s">
        <v>238</v>
      </c>
      <c r="HQ3379" s="5" t="s">
        <v>238</v>
      </c>
      <c r="HR3379" s="5" t="s">
        <v>238</v>
      </c>
      <c r="HS3379" s="5" t="s">
        <v>238</v>
      </c>
      <c r="HT3379" s="5" t="s">
        <v>238</v>
      </c>
      <c r="HU3379" s="5" t="s">
        <v>238</v>
      </c>
      <c r="HV3379" s="5" t="s">
        <v>238</v>
      </c>
      <c r="HW3379" s="5" t="s">
        <v>238</v>
      </c>
      <c r="HX3379" s="5" t="s">
        <v>238</v>
      </c>
      <c r="HY3379" s="5" t="s">
        <v>238</v>
      </c>
      <c r="HZ3379" s="5" t="s">
        <v>238</v>
      </c>
      <c r="IA3379" s="5" t="s">
        <v>238</v>
      </c>
      <c r="IB3379" s="5" t="s">
        <v>238</v>
      </c>
      <c r="IC3379" s="5" t="s">
        <v>238</v>
      </c>
      <c r="ID3379" s="5" t="s">
        <v>238</v>
      </c>
    </row>
    <row r="3380" spans="1:238" x14ac:dyDescent="0.4">
      <c r="A3380" s="5">
        <v>9098</v>
      </c>
      <c r="B3380" s="5">
        <v>1</v>
      </c>
      <c r="C3380" s="5">
        <v>1</v>
      </c>
      <c r="D3380" s="5" t="s">
        <v>484</v>
      </c>
      <c r="E3380" s="5" t="s">
        <v>485</v>
      </c>
      <c r="F3380" s="5" t="s">
        <v>248</v>
      </c>
      <c r="G3380" s="5" t="s">
        <v>5321</v>
      </c>
      <c r="H3380" s="6" t="s">
        <v>5322</v>
      </c>
      <c r="I3380" s="8">
        <f>1</f>
        <v>1</v>
      </c>
      <c r="J3380" s="5" t="s">
        <v>499</v>
      </c>
      <c r="K3380" s="8">
        <f>1</f>
        <v>1</v>
      </c>
      <c r="L3380" s="6" t="s">
        <v>242</v>
      </c>
      <c r="M3380" s="5" t="s">
        <v>267</v>
      </c>
      <c r="N3380" s="5" t="s">
        <v>482</v>
      </c>
      <c r="O3380" s="5" t="s">
        <v>238</v>
      </c>
      <c r="P3380" s="5" t="s">
        <v>238</v>
      </c>
      <c r="Q3380" s="5" t="s">
        <v>239</v>
      </c>
      <c r="R3380" s="5" t="s">
        <v>270</v>
      </c>
      <c r="S3380" s="5" t="s">
        <v>238</v>
      </c>
      <c r="T3380" s="5" t="s">
        <v>238</v>
      </c>
      <c r="U3380" s="5" t="s">
        <v>238</v>
      </c>
      <c r="V3380" s="5" t="s">
        <v>238</v>
      </c>
      <c r="W3380" s="6" t="s">
        <v>238</v>
      </c>
      <c r="X3380" s="6" t="s">
        <v>238</v>
      </c>
      <c r="Y3380" s="5" t="s">
        <v>238</v>
      </c>
      <c r="Z3380" s="6" t="s">
        <v>238</v>
      </c>
      <c r="AA3380" s="6" t="s">
        <v>243</v>
      </c>
      <c r="AB3380" s="5" t="s">
        <v>486</v>
      </c>
      <c r="AC3380" s="5" t="s">
        <v>244</v>
      </c>
      <c r="AD3380" s="5" t="s">
        <v>245</v>
      </c>
      <c r="AE3380" s="5" t="s">
        <v>238</v>
      </c>
      <c r="AF3380" s="5" t="s">
        <v>238</v>
      </c>
      <c r="AG3380" s="5" t="s">
        <v>238</v>
      </c>
      <c r="AH3380" s="5" t="s">
        <v>238</v>
      </c>
      <c r="AI3380" s="5" t="s">
        <v>238</v>
      </c>
      <c r="AJ3380" s="5" t="s">
        <v>238</v>
      </c>
      <c r="AK3380" s="5" t="s">
        <v>238</v>
      </c>
      <c r="AL3380" s="5" t="s">
        <v>238</v>
      </c>
      <c r="AM3380" s="6" t="s">
        <v>238</v>
      </c>
      <c r="AN3380" s="6" t="s">
        <v>238</v>
      </c>
      <c r="AO3380" s="6" t="s">
        <v>238</v>
      </c>
      <c r="AP3380" s="6" t="s">
        <v>238</v>
      </c>
      <c r="AQ3380" s="5" t="s">
        <v>238</v>
      </c>
      <c r="AR3380" s="5" t="s">
        <v>488</v>
      </c>
      <c r="AS3380" s="5" t="s">
        <v>488</v>
      </c>
      <c r="AT3380" s="5" t="s">
        <v>246</v>
      </c>
      <c r="AU3380" s="5" t="s">
        <v>489</v>
      </c>
      <c r="AV3380" s="5" t="s">
        <v>247</v>
      </c>
      <c r="AW3380" s="5" t="s">
        <v>238</v>
      </c>
      <c r="AX3380" s="5" t="s">
        <v>249</v>
      </c>
      <c r="AY3380" s="5" t="s">
        <v>490</v>
      </c>
      <c r="BA3380" s="5" t="s">
        <v>238</v>
      </c>
      <c r="BC3380" s="5" t="s">
        <v>491</v>
      </c>
      <c r="BD3380" s="6" t="s">
        <v>492</v>
      </c>
      <c r="BE3380" s="5" t="s">
        <v>493</v>
      </c>
      <c r="BF3380" s="5" t="s">
        <v>493</v>
      </c>
      <c r="BG3380" s="5" t="s">
        <v>238</v>
      </c>
      <c r="BH3380" s="8">
        <f>1</f>
        <v>1</v>
      </c>
      <c r="BI3380" s="8">
        <f>1</f>
        <v>1</v>
      </c>
      <c r="BJ3380" s="5" t="s">
        <v>253</v>
      </c>
      <c r="BK3380" s="5" t="s">
        <v>254</v>
      </c>
      <c r="BL3380" s="5" t="s">
        <v>238</v>
      </c>
      <c r="BM3380" s="5" t="s">
        <v>238</v>
      </c>
      <c r="BN3380" s="5" t="s">
        <v>238</v>
      </c>
      <c r="BO3380" s="5" t="s">
        <v>238</v>
      </c>
      <c r="BP3380" s="5" t="s">
        <v>238</v>
      </c>
      <c r="BQ3380" s="5" t="s">
        <v>238</v>
      </c>
      <c r="BR3380" s="5" t="s">
        <v>238</v>
      </c>
      <c r="BS3380" s="5" t="s">
        <v>238</v>
      </c>
      <c r="BT3380" s="6" t="s">
        <v>238</v>
      </c>
      <c r="BU3380" s="5" t="s">
        <v>238</v>
      </c>
      <c r="BV3380" s="5" t="s">
        <v>238</v>
      </c>
      <c r="BW3380" s="5" t="s">
        <v>238</v>
      </c>
      <c r="BX3380" s="5" t="s">
        <v>254</v>
      </c>
      <c r="BY3380" s="5" t="s">
        <v>238</v>
      </c>
      <c r="BZ3380" s="5" t="s">
        <v>238</v>
      </c>
      <c r="CA3380" s="5" t="s">
        <v>238</v>
      </c>
      <c r="CB3380" s="5" t="s">
        <v>238</v>
      </c>
      <c r="CC3380" s="5" t="s">
        <v>238</v>
      </c>
      <c r="CD3380" s="5" t="s">
        <v>273</v>
      </c>
      <c r="CE3380" s="5" t="s">
        <v>256</v>
      </c>
      <c r="CF3380" s="5" t="s">
        <v>238</v>
      </c>
      <c r="CH3380" s="5" t="s">
        <v>494</v>
      </c>
      <c r="CI3380" s="6" t="s">
        <v>257</v>
      </c>
      <c r="CJ3380" s="5" t="s">
        <v>495</v>
      </c>
      <c r="CK3380" s="5" t="s">
        <v>258</v>
      </c>
      <c r="CL3380" s="5" t="s">
        <v>496</v>
      </c>
      <c r="CM3380" s="5" t="s">
        <v>238</v>
      </c>
      <c r="CN3380" s="5">
        <v>0</v>
      </c>
      <c r="CO3380" s="5" t="s">
        <v>497</v>
      </c>
      <c r="CP3380" s="5" t="s">
        <v>260</v>
      </c>
      <c r="CQ3380" s="5" t="s">
        <v>260</v>
      </c>
      <c r="CR3380" s="5" t="s">
        <v>261</v>
      </c>
      <c r="CS3380" s="5" t="s">
        <v>498</v>
      </c>
      <c r="CT3380" s="7">
        <f>1</f>
        <v>1</v>
      </c>
      <c r="CU3380" s="8">
        <f>1</f>
        <v>1</v>
      </c>
      <c r="CV3380" s="8">
        <f>0</f>
        <v>0</v>
      </c>
      <c r="CX3380" s="8">
        <f>1</f>
        <v>1</v>
      </c>
      <c r="CY3380" s="8">
        <f>1</f>
        <v>1</v>
      </c>
      <c r="CZ3380" s="8" t="s">
        <v>238</v>
      </c>
      <c r="DA3380" s="5" t="s">
        <v>238</v>
      </c>
      <c r="DB3380" s="5" t="s">
        <v>238</v>
      </c>
      <c r="DC3380" s="5" t="s">
        <v>238</v>
      </c>
      <c r="DD3380" s="5" t="s">
        <v>238</v>
      </c>
      <c r="DE3380" s="8">
        <f>0</f>
        <v>0</v>
      </c>
      <c r="DG3380" s="5" t="s">
        <v>238</v>
      </c>
      <c r="DH3380" s="5" t="s">
        <v>238</v>
      </c>
      <c r="DI3380" s="5" t="s">
        <v>238</v>
      </c>
      <c r="DJ3380" s="5" t="s">
        <v>238</v>
      </c>
      <c r="DK3380" s="5" t="s">
        <v>238</v>
      </c>
      <c r="DL3380" s="5" t="s">
        <v>238</v>
      </c>
      <c r="DM3380" s="8" t="s">
        <v>238</v>
      </c>
      <c r="DN3380" s="5" t="s">
        <v>238</v>
      </c>
      <c r="DO3380" s="5" t="s">
        <v>238</v>
      </c>
      <c r="DP3380" s="5" t="s">
        <v>490</v>
      </c>
      <c r="DQ3380" s="5" t="s">
        <v>490</v>
      </c>
      <c r="DR3380" s="5" t="s">
        <v>238</v>
      </c>
      <c r="DS3380" s="5" t="s">
        <v>238</v>
      </c>
      <c r="DT3380" s="5" t="s">
        <v>500</v>
      </c>
      <c r="DU3380" s="5" t="s">
        <v>648</v>
      </c>
      <c r="DV3380" s="5" t="s">
        <v>238</v>
      </c>
      <c r="DW3380" s="5" t="s">
        <v>238</v>
      </c>
      <c r="DX3380" s="5" t="s">
        <v>238</v>
      </c>
      <c r="DY3380" s="5" t="s">
        <v>238</v>
      </c>
      <c r="DZ3380" s="5" t="s">
        <v>238</v>
      </c>
      <c r="EA3380" s="5" t="s">
        <v>238</v>
      </c>
      <c r="EB3380" s="5" t="s">
        <v>238</v>
      </c>
      <c r="EC3380" s="5" t="s">
        <v>238</v>
      </c>
      <c r="ED3380" s="5" t="s">
        <v>238</v>
      </c>
      <c r="EE3380" s="5" t="s">
        <v>238</v>
      </c>
      <c r="EF3380" s="5" t="s">
        <v>238</v>
      </c>
      <c r="EG3380" s="5" t="s">
        <v>238</v>
      </c>
      <c r="EH3380" s="5" t="s">
        <v>238</v>
      </c>
      <c r="EI3380" s="5" t="s">
        <v>238</v>
      </c>
      <c r="EJ3380" s="5" t="s">
        <v>238</v>
      </c>
      <c r="EK3380" s="5" t="s">
        <v>238</v>
      </c>
      <c r="EL3380" s="5" t="s">
        <v>238</v>
      </c>
      <c r="EM3380" s="5" t="s">
        <v>238</v>
      </c>
      <c r="EN3380" s="5" t="s">
        <v>238</v>
      </c>
      <c r="EO3380" s="5" t="s">
        <v>238</v>
      </c>
      <c r="EP3380" s="5" t="s">
        <v>238</v>
      </c>
      <c r="EQ3380" s="5" t="s">
        <v>238</v>
      </c>
      <c r="ER3380" s="5" t="s">
        <v>238</v>
      </c>
      <c r="ES3380" s="5" t="s">
        <v>238</v>
      </c>
      <c r="ET3380" s="5" t="s">
        <v>238</v>
      </c>
      <c r="EU3380" s="5" t="s">
        <v>238</v>
      </c>
      <c r="EV3380" s="5" t="s">
        <v>238</v>
      </c>
      <c r="EW3380" s="5" t="s">
        <v>238</v>
      </c>
      <c r="EX3380" s="5" t="s">
        <v>238</v>
      </c>
      <c r="EY3380" s="5" t="s">
        <v>238</v>
      </c>
      <c r="EZ3380" s="5" t="s">
        <v>238</v>
      </c>
      <c r="FA3380" s="5" t="s">
        <v>238</v>
      </c>
      <c r="FB3380" s="5" t="s">
        <v>238</v>
      </c>
      <c r="FC3380" s="5" t="s">
        <v>238</v>
      </c>
      <c r="FD3380" s="5" t="s">
        <v>238</v>
      </c>
      <c r="FE3380" s="5" t="s">
        <v>238</v>
      </c>
      <c r="FF3380" s="5" t="s">
        <v>238</v>
      </c>
      <c r="FG3380" s="5" t="s">
        <v>238</v>
      </c>
      <c r="FH3380" s="5" t="s">
        <v>238</v>
      </c>
      <c r="FI3380" s="5" t="s">
        <v>238</v>
      </c>
      <c r="FJ3380" s="5" t="s">
        <v>238</v>
      </c>
      <c r="FK3380" s="5" t="s">
        <v>238</v>
      </c>
      <c r="FL3380" s="5" t="s">
        <v>238</v>
      </c>
      <c r="FM3380" s="5" t="s">
        <v>238</v>
      </c>
      <c r="FN3380" s="5" t="s">
        <v>238</v>
      </c>
      <c r="FO3380" s="5" t="s">
        <v>238</v>
      </c>
      <c r="FP3380" s="5" t="s">
        <v>238</v>
      </c>
      <c r="FQ3380" s="5" t="s">
        <v>238</v>
      </c>
      <c r="FR3380" s="5" t="s">
        <v>238</v>
      </c>
      <c r="FS3380" s="5" t="s">
        <v>238</v>
      </c>
      <c r="FT3380" s="5" t="s">
        <v>238</v>
      </c>
      <c r="FU3380" s="5" t="s">
        <v>238</v>
      </c>
      <c r="FV3380" s="5" t="s">
        <v>238</v>
      </c>
      <c r="FW3380" s="5" t="s">
        <v>238</v>
      </c>
      <c r="FX3380" s="5" t="s">
        <v>238</v>
      </c>
      <c r="FY3380" s="5" t="s">
        <v>238</v>
      </c>
      <c r="FZ3380" s="5" t="s">
        <v>238</v>
      </c>
      <c r="GA3380" s="5" t="s">
        <v>238</v>
      </c>
      <c r="GB3380" s="5" t="s">
        <v>238</v>
      </c>
      <c r="GC3380" s="5" t="s">
        <v>238</v>
      </c>
      <c r="GD3380" s="5" t="s">
        <v>238</v>
      </c>
      <c r="GE3380" s="5" t="s">
        <v>238</v>
      </c>
      <c r="GF3380" s="5" t="s">
        <v>238</v>
      </c>
      <c r="GG3380" s="5" t="s">
        <v>238</v>
      </c>
      <c r="GH3380" s="5" t="s">
        <v>238</v>
      </c>
      <c r="GI3380" s="5" t="s">
        <v>238</v>
      </c>
      <c r="GJ3380" s="5" t="s">
        <v>238</v>
      </c>
      <c r="GK3380" s="5" t="s">
        <v>238</v>
      </c>
      <c r="GL3380" s="5" t="s">
        <v>238</v>
      </c>
      <c r="GM3380" s="5" t="s">
        <v>238</v>
      </c>
      <c r="GN3380" s="5" t="s">
        <v>238</v>
      </c>
      <c r="GO3380" s="5" t="s">
        <v>238</v>
      </c>
      <c r="GP3380" s="5" t="s">
        <v>238</v>
      </c>
      <c r="GQ3380" s="5" t="s">
        <v>238</v>
      </c>
      <c r="GR3380" s="5" t="s">
        <v>238</v>
      </c>
      <c r="GS3380" s="5" t="s">
        <v>238</v>
      </c>
      <c r="GT3380" s="5" t="s">
        <v>238</v>
      </c>
      <c r="GU3380" s="5" t="s">
        <v>238</v>
      </c>
      <c r="GV3380" s="5" t="s">
        <v>238</v>
      </c>
      <c r="GW3380" s="5" t="s">
        <v>238</v>
      </c>
      <c r="GX3380" s="5" t="s">
        <v>238</v>
      </c>
      <c r="GY3380" s="5" t="s">
        <v>238</v>
      </c>
      <c r="GZ3380" s="5" t="s">
        <v>238</v>
      </c>
      <c r="HA3380" s="5" t="s">
        <v>238</v>
      </c>
      <c r="HB3380" s="5" t="s">
        <v>238</v>
      </c>
      <c r="HC3380" s="5" t="s">
        <v>238</v>
      </c>
      <c r="HD3380" s="5" t="s">
        <v>238</v>
      </c>
      <c r="HE3380" s="5" t="s">
        <v>238</v>
      </c>
      <c r="HF3380" s="5" t="s">
        <v>238</v>
      </c>
      <c r="HG3380" s="5" t="s">
        <v>238</v>
      </c>
      <c r="HH3380" s="5" t="s">
        <v>238</v>
      </c>
      <c r="HI3380" s="5" t="s">
        <v>238</v>
      </c>
      <c r="HJ3380" s="5" t="s">
        <v>238</v>
      </c>
      <c r="HK3380" s="5" t="s">
        <v>238</v>
      </c>
      <c r="HL3380" s="5" t="s">
        <v>238</v>
      </c>
      <c r="HM3380" s="5" t="s">
        <v>264</v>
      </c>
      <c r="HN3380" s="5" t="s">
        <v>238</v>
      </c>
      <c r="HO3380" s="5" t="s">
        <v>238</v>
      </c>
      <c r="HP3380" s="5" t="s">
        <v>238</v>
      </c>
      <c r="HQ3380" s="5" t="s">
        <v>238</v>
      </c>
      <c r="HR3380" s="5" t="s">
        <v>238</v>
      </c>
      <c r="HS3380" s="5" t="s">
        <v>238</v>
      </c>
      <c r="HT3380" s="5" t="s">
        <v>238</v>
      </c>
      <c r="HU3380" s="5" t="s">
        <v>238</v>
      </c>
      <c r="HV3380" s="5" t="s">
        <v>238</v>
      </c>
      <c r="HW3380" s="5" t="s">
        <v>238</v>
      </c>
      <c r="HX3380" s="5" t="s">
        <v>238</v>
      </c>
      <c r="HY3380" s="5" t="s">
        <v>238</v>
      </c>
      <c r="HZ3380" s="5" t="s">
        <v>238</v>
      </c>
      <c r="IA3380" s="5" t="s">
        <v>238</v>
      </c>
      <c r="IB3380" s="5" t="s">
        <v>238</v>
      </c>
      <c r="IC3380" s="5" t="s">
        <v>238</v>
      </c>
      <c r="ID3380" s="5" t="s">
        <v>238</v>
      </c>
    </row>
    <row r="3381" spans="1:238" x14ac:dyDescent="0.4">
      <c r="A3381" s="5">
        <v>9099</v>
      </c>
      <c r="B3381" s="5">
        <v>1</v>
      </c>
      <c r="C3381" s="5">
        <v>1</v>
      </c>
      <c r="D3381" s="5" t="s">
        <v>484</v>
      </c>
      <c r="E3381" s="5" t="s">
        <v>485</v>
      </c>
      <c r="F3381" s="5" t="s">
        <v>248</v>
      </c>
      <c r="G3381" s="5" t="s">
        <v>4656</v>
      </c>
      <c r="H3381" s="6" t="s">
        <v>4657</v>
      </c>
      <c r="I3381" s="8">
        <f>1</f>
        <v>1</v>
      </c>
      <c r="J3381" s="5" t="s">
        <v>499</v>
      </c>
      <c r="K3381" s="8">
        <f>1</f>
        <v>1</v>
      </c>
      <c r="L3381" s="6" t="s">
        <v>242</v>
      </c>
      <c r="M3381" s="5" t="s">
        <v>267</v>
      </c>
      <c r="N3381" s="5" t="s">
        <v>482</v>
      </c>
      <c r="O3381" s="5" t="s">
        <v>238</v>
      </c>
      <c r="P3381" s="5" t="s">
        <v>238</v>
      </c>
      <c r="Q3381" s="5" t="s">
        <v>239</v>
      </c>
      <c r="R3381" s="5" t="s">
        <v>270</v>
      </c>
      <c r="S3381" s="5" t="s">
        <v>238</v>
      </c>
      <c r="T3381" s="5" t="s">
        <v>238</v>
      </c>
      <c r="U3381" s="5" t="s">
        <v>238</v>
      </c>
      <c r="V3381" s="5" t="s">
        <v>238</v>
      </c>
      <c r="W3381" s="6" t="s">
        <v>238</v>
      </c>
      <c r="X3381" s="6" t="s">
        <v>238</v>
      </c>
      <c r="Y3381" s="5" t="s">
        <v>238</v>
      </c>
      <c r="Z3381" s="6" t="s">
        <v>238</v>
      </c>
      <c r="AA3381" s="6" t="s">
        <v>243</v>
      </c>
      <c r="AB3381" s="5" t="s">
        <v>486</v>
      </c>
      <c r="AC3381" s="5" t="s">
        <v>244</v>
      </c>
      <c r="AD3381" s="5" t="s">
        <v>245</v>
      </c>
      <c r="AE3381" s="5" t="s">
        <v>238</v>
      </c>
      <c r="AF3381" s="5" t="s">
        <v>238</v>
      </c>
      <c r="AG3381" s="5" t="s">
        <v>238</v>
      </c>
      <c r="AH3381" s="5" t="s">
        <v>238</v>
      </c>
      <c r="AI3381" s="5" t="s">
        <v>238</v>
      </c>
      <c r="AJ3381" s="5" t="s">
        <v>238</v>
      </c>
      <c r="AK3381" s="5" t="s">
        <v>238</v>
      </c>
      <c r="AL3381" s="5" t="s">
        <v>238</v>
      </c>
      <c r="AM3381" s="6" t="s">
        <v>238</v>
      </c>
      <c r="AN3381" s="6" t="s">
        <v>238</v>
      </c>
      <c r="AO3381" s="6" t="s">
        <v>238</v>
      </c>
      <c r="AP3381" s="6" t="s">
        <v>238</v>
      </c>
      <c r="AQ3381" s="5" t="s">
        <v>238</v>
      </c>
      <c r="AR3381" s="5" t="s">
        <v>488</v>
      </c>
      <c r="AS3381" s="5" t="s">
        <v>488</v>
      </c>
      <c r="AT3381" s="5" t="s">
        <v>246</v>
      </c>
      <c r="AU3381" s="5" t="s">
        <v>489</v>
      </c>
      <c r="AV3381" s="5" t="s">
        <v>247</v>
      </c>
      <c r="AW3381" s="5" t="s">
        <v>238</v>
      </c>
      <c r="AX3381" s="5" t="s">
        <v>249</v>
      </c>
      <c r="AY3381" s="5" t="s">
        <v>490</v>
      </c>
      <c r="BA3381" s="5" t="s">
        <v>238</v>
      </c>
      <c r="BC3381" s="5" t="s">
        <v>491</v>
      </c>
      <c r="BD3381" s="6" t="s">
        <v>492</v>
      </c>
      <c r="BE3381" s="5" t="s">
        <v>493</v>
      </c>
      <c r="BF3381" s="5" t="s">
        <v>493</v>
      </c>
      <c r="BG3381" s="5" t="s">
        <v>238</v>
      </c>
      <c r="BH3381" s="8">
        <f>1</f>
        <v>1</v>
      </c>
      <c r="BI3381" s="8">
        <f>1</f>
        <v>1</v>
      </c>
      <c r="BJ3381" s="5" t="s">
        <v>253</v>
      </c>
      <c r="BK3381" s="5" t="s">
        <v>254</v>
      </c>
      <c r="BL3381" s="5" t="s">
        <v>238</v>
      </c>
      <c r="BM3381" s="5" t="s">
        <v>238</v>
      </c>
      <c r="BN3381" s="5" t="s">
        <v>238</v>
      </c>
      <c r="BO3381" s="5" t="s">
        <v>238</v>
      </c>
      <c r="BP3381" s="5" t="s">
        <v>238</v>
      </c>
      <c r="BQ3381" s="5" t="s">
        <v>238</v>
      </c>
      <c r="BR3381" s="5" t="s">
        <v>238</v>
      </c>
      <c r="BS3381" s="5" t="s">
        <v>238</v>
      </c>
      <c r="BT3381" s="6" t="s">
        <v>238</v>
      </c>
      <c r="BU3381" s="5" t="s">
        <v>238</v>
      </c>
      <c r="BV3381" s="5" t="s">
        <v>238</v>
      </c>
      <c r="BW3381" s="5" t="s">
        <v>238</v>
      </c>
      <c r="BX3381" s="5" t="s">
        <v>254</v>
      </c>
      <c r="BY3381" s="5" t="s">
        <v>238</v>
      </c>
      <c r="BZ3381" s="5" t="s">
        <v>238</v>
      </c>
      <c r="CA3381" s="5" t="s">
        <v>238</v>
      </c>
      <c r="CB3381" s="5" t="s">
        <v>238</v>
      </c>
      <c r="CC3381" s="5" t="s">
        <v>238</v>
      </c>
      <c r="CD3381" s="5" t="s">
        <v>273</v>
      </c>
      <c r="CE3381" s="5" t="s">
        <v>256</v>
      </c>
      <c r="CF3381" s="5" t="s">
        <v>238</v>
      </c>
      <c r="CH3381" s="5" t="s">
        <v>494</v>
      </c>
      <c r="CI3381" s="6" t="s">
        <v>257</v>
      </c>
      <c r="CJ3381" s="5" t="s">
        <v>495</v>
      </c>
      <c r="CK3381" s="5" t="s">
        <v>258</v>
      </c>
      <c r="CL3381" s="5" t="s">
        <v>496</v>
      </c>
      <c r="CM3381" s="5" t="s">
        <v>238</v>
      </c>
      <c r="CN3381" s="5">
        <v>0</v>
      </c>
      <c r="CO3381" s="5" t="s">
        <v>497</v>
      </c>
      <c r="CP3381" s="5" t="s">
        <v>260</v>
      </c>
      <c r="CQ3381" s="5" t="s">
        <v>260</v>
      </c>
      <c r="CR3381" s="5" t="s">
        <v>261</v>
      </c>
      <c r="CS3381" s="5" t="s">
        <v>498</v>
      </c>
      <c r="CT3381" s="7">
        <f>1</f>
        <v>1</v>
      </c>
      <c r="CU3381" s="8">
        <f>1</f>
        <v>1</v>
      </c>
      <c r="CV3381" s="8">
        <f>0</f>
        <v>0</v>
      </c>
      <c r="CX3381" s="8">
        <f>1</f>
        <v>1</v>
      </c>
      <c r="CY3381" s="8">
        <f>1</f>
        <v>1</v>
      </c>
      <c r="CZ3381" s="8" t="s">
        <v>238</v>
      </c>
      <c r="DA3381" s="5" t="s">
        <v>238</v>
      </c>
      <c r="DB3381" s="5" t="s">
        <v>238</v>
      </c>
      <c r="DC3381" s="5" t="s">
        <v>238</v>
      </c>
      <c r="DD3381" s="5" t="s">
        <v>238</v>
      </c>
      <c r="DE3381" s="8">
        <f>0</f>
        <v>0</v>
      </c>
      <c r="DG3381" s="5" t="s">
        <v>238</v>
      </c>
      <c r="DH3381" s="5" t="s">
        <v>238</v>
      </c>
      <c r="DI3381" s="5" t="s">
        <v>238</v>
      </c>
      <c r="DJ3381" s="5" t="s">
        <v>238</v>
      </c>
      <c r="DK3381" s="5" t="s">
        <v>238</v>
      </c>
      <c r="DL3381" s="5" t="s">
        <v>238</v>
      </c>
      <c r="DM3381" s="8" t="s">
        <v>238</v>
      </c>
      <c r="DN3381" s="5" t="s">
        <v>238</v>
      </c>
      <c r="DO3381" s="5" t="s">
        <v>238</v>
      </c>
      <c r="DP3381" s="5" t="s">
        <v>490</v>
      </c>
      <c r="DQ3381" s="5" t="s">
        <v>490</v>
      </c>
      <c r="DR3381" s="5" t="s">
        <v>238</v>
      </c>
      <c r="DS3381" s="5" t="s">
        <v>238</v>
      </c>
      <c r="DT3381" s="5" t="s">
        <v>500</v>
      </c>
      <c r="DU3381" s="5" t="s">
        <v>1342</v>
      </c>
      <c r="DV3381" s="5" t="s">
        <v>238</v>
      </c>
      <c r="DW3381" s="5" t="s">
        <v>238</v>
      </c>
      <c r="DX3381" s="5" t="s">
        <v>238</v>
      </c>
      <c r="DY3381" s="5" t="s">
        <v>238</v>
      </c>
      <c r="DZ3381" s="5" t="s">
        <v>238</v>
      </c>
      <c r="EA3381" s="5" t="s">
        <v>238</v>
      </c>
      <c r="EB3381" s="5" t="s">
        <v>238</v>
      </c>
      <c r="EC3381" s="5" t="s">
        <v>238</v>
      </c>
      <c r="ED3381" s="5" t="s">
        <v>238</v>
      </c>
      <c r="EE3381" s="5" t="s">
        <v>238</v>
      </c>
      <c r="EF3381" s="5" t="s">
        <v>238</v>
      </c>
      <c r="EG3381" s="5" t="s">
        <v>238</v>
      </c>
      <c r="EH3381" s="5" t="s">
        <v>238</v>
      </c>
      <c r="EI3381" s="5" t="s">
        <v>238</v>
      </c>
      <c r="EJ3381" s="5" t="s">
        <v>238</v>
      </c>
      <c r="EK3381" s="5" t="s">
        <v>238</v>
      </c>
      <c r="EL3381" s="5" t="s">
        <v>238</v>
      </c>
      <c r="EM3381" s="5" t="s">
        <v>238</v>
      </c>
      <c r="EN3381" s="5" t="s">
        <v>238</v>
      </c>
      <c r="EO3381" s="5" t="s">
        <v>238</v>
      </c>
      <c r="EP3381" s="5" t="s">
        <v>238</v>
      </c>
      <c r="EQ3381" s="5" t="s">
        <v>238</v>
      </c>
      <c r="ER3381" s="5" t="s">
        <v>238</v>
      </c>
      <c r="ES3381" s="5" t="s">
        <v>238</v>
      </c>
      <c r="ET3381" s="5" t="s">
        <v>238</v>
      </c>
      <c r="EU3381" s="5" t="s">
        <v>238</v>
      </c>
      <c r="EV3381" s="5" t="s">
        <v>238</v>
      </c>
      <c r="EW3381" s="5" t="s">
        <v>238</v>
      </c>
      <c r="EX3381" s="5" t="s">
        <v>238</v>
      </c>
      <c r="EY3381" s="5" t="s">
        <v>238</v>
      </c>
      <c r="EZ3381" s="5" t="s">
        <v>238</v>
      </c>
      <c r="FA3381" s="5" t="s">
        <v>238</v>
      </c>
      <c r="FB3381" s="5" t="s">
        <v>238</v>
      </c>
      <c r="FC3381" s="5" t="s">
        <v>238</v>
      </c>
      <c r="FD3381" s="5" t="s">
        <v>238</v>
      </c>
      <c r="FE3381" s="5" t="s">
        <v>238</v>
      </c>
      <c r="FF3381" s="5" t="s">
        <v>238</v>
      </c>
      <c r="FG3381" s="5" t="s">
        <v>238</v>
      </c>
      <c r="FH3381" s="5" t="s">
        <v>238</v>
      </c>
      <c r="FI3381" s="5" t="s">
        <v>238</v>
      </c>
      <c r="FJ3381" s="5" t="s">
        <v>238</v>
      </c>
      <c r="FK3381" s="5" t="s">
        <v>238</v>
      </c>
      <c r="FL3381" s="5" t="s">
        <v>238</v>
      </c>
      <c r="FM3381" s="5" t="s">
        <v>238</v>
      </c>
      <c r="FN3381" s="5" t="s">
        <v>238</v>
      </c>
      <c r="FO3381" s="5" t="s">
        <v>238</v>
      </c>
      <c r="FP3381" s="5" t="s">
        <v>238</v>
      </c>
      <c r="FQ3381" s="5" t="s">
        <v>238</v>
      </c>
      <c r="FR3381" s="5" t="s">
        <v>238</v>
      </c>
      <c r="FS3381" s="5" t="s">
        <v>238</v>
      </c>
      <c r="FT3381" s="5" t="s">
        <v>238</v>
      </c>
      <c r="FU3381" s="5" t="s">
        <v>238</v>
      </c>
      <c r="FV3381" s="5" t="s">
        <v>238</v>
      </c>
      <c r="FW3381" s="5" t="s">
        <v>238</v>
      </c>
      <c r="FX3381" s="5" t="s">
        <v>238</v>
      </c>
      <c r="FY3381" s="5" t="s">
        <v>238</v>
      </c>
      <c r="FZ3381" s="5" t="s">
        <v>238</v>
      </c>
      <c r="GA3381" s="5" t="s">
        <v>238</v>
      </c>
      <c r="GB3381" s="5" t="s">
        <v>238</v>
      </c>
      <c r="GC3381" s="5" t="s">
        <v>238</v>
      </c>
      <c r="GD3381" s="5" t="s">
        <v>238</v>
      </c>
      <c r="GE3381" s="5" t="s">
        <v>238</v>
      </c>
      <c r="GF3381" s="5" t="s">
        <v>238</v>
      </c>
      <c r="GG3381" s="5" t="s">
        <v>238</v>
      </c>
      <c r="GH3381" s="5" t="s">
        <v>238</v>
      </c>
      <c r="GI3381" s="5" t="s">
        <v>238</v>
      </c>
      <c r="GJ3381" s="5" t="s">
        <v>238</v>
      </c>
      <c r="GK3381" s="5" t="s">
        <v>238</v>
      </c>
      <c r="GL3381" s="5" t="s">
        <v>238</v>
      </c>
      <c r="GM3381" s="5" t="s">
        <v>238</v>
      </c>
      <c r="GN3381" s="5" t="s">
        <v>238</v>
      </c>
      <c r="GO3381" s="5" t="s">
        <v>238</v>
      </c>
      <c r="GP3381" s="5" t="s">
        <v>238</v>
      </c>
      <c r="GQ3381" s="5" t="s">
        <v>238</v>
      </c>
      <c r="GR3381" s="5" t="s">
        <v>238</v>
      </c>
      <c r="GS3381" s="5" t="s">
        <v>238</v>
      </c>
      <c r="GT3381" s="5" t="s">
        <v>238</v>
      </c>
      <c r="GU3381" s="5" t="s">
        <v>238</v>
      </c>
      <c r="GV3381" s="5" t="s">
        <v>238</v>
      </c>
      <c r="GW3381" s="5" t="s">
        <v>238</v>
      </c>
      <c r="GX3381" s="5" t="s">
        <v>238</v>
      </c>
      <c r="GY3381" s="5" t="s">
        <v>238</v>
      </c>
      <c r="GZ3381" s="5" t="s">
        <v>238</v>
      </c>
      <c r="HA3381" s="5" t="s">
        <v>238</v>
      </c>
      <c r="HB3381" s="5" t="s">
        <v>238</v>
      </c>
      <c r="HC3381" s="5" t="s">
        <v>238</v>
      </c>
      <c r="HD3381" s="5" t="s">
        <v>238</v>
      </c>
      <c r="HE3381" s="5" t="s">
        <v>238</v>
      </c>
      <c r="HF3381" s="5" t="s">
        <v>238</v>
      </c>
      <c r="HG3381" s="5" t="s">
        <v>238</v>
      </c>
      <c r="HH3381" s="5" t="s">
        <v>238</v>
      </c>
      <c r="HI3381" s="5" t="s">
        <v>238</v>
      </c>
      <c r="HJ3381" s="5" t="s">
        <v>238</v>
      </c>
      <c r="HK3381" s="5" t="s">
        <v>238</v>
      </c>
      <c r="HL3381" s="5" t="s">
        <v>238</v>
      </c>
      <c r="HM3381" s="5" t="s">
        <v>264</v>
      </c>
      <c r="HN3381" s="5" t="s">
        <v>238</v>
      </c>
      <c r="HO3381" s="5" t="s">
        <v>238</v>
      </c>
      <c r="HP3381" s="5" t="s">
        <v>238</v>
      </c>
      <c r="HQ3381" s="5" t="s">
        <v>238</v>
      </c>
      <c r="HR3381" s="5" t="s">
        <v>238</v>
      </c>
      <c r="HS3381" s="5" t="s">
        <v>238</v>
      </c>
      <c r="HT3381" s="5" t="s">
        <v>238</v>
      </c>
      <c r="HU3381" s="5" t="s">
        <v>238</v>
      </c>
      <c r="HV3381" s="5" t="s">
        <v>238</v>
      </c>
      <c r="HW3381" s="5" t="s">
        <v>238</v>
      </c>
      <c r="HX3381" s="5" t="s">
        <v>238</v>
      </c>
      <c r="HY3381" s="5" t="s">
        <v>238</v>
      </c>
      <c r="HZ3381" s="5" t="s">
        <v>238</v>
      </c>
      <c r="IA3381" s="5" t="s">
        <v>238</v>
      </c>
      <c r="IB3381" s="5" t="s">
        <v>238</v>
      </c>
      <c r="IC3381" s="5" t="s">
        <v>238</v>
      </c>
      <c r="ID3381" s="5" t="s">
        <v>238</v>
      </c>
    </row>
    <row r="3382" spans="1:238" x14ac:dyDescent="0.4">
      <c r="A3382" s="5">
        <v>9100</v>
      </c>
      <c r="B3382" s="5">
        <v>1</v>
      </c>
      <c r="C3382" s="5">
        <v>1</v>
      </c>
      <c r="D3382" s="5" t="s">
        <v>484</v>
      </c>
      <c r="E3382" s="5" t="s">
        <v>485</v>
      </c>
      <c r="F3382" s="5" t="s">
        <v>248</v>
      </c>
      <c r="G3382" s="5" t="s">
        <v>4935</v>
      </c>
      <c r="H3382" s="6" t="s">
        <v>4936</v>
      </c>
      <c r="I3382" s="8">
        <f>1</f>
        <v>1</v>
      </c>
      <c r="J3382" s="5" t="s">
        <v>499</v>
      </c>
      <c r="K3382" s="8">
        <f>1</f>
        <v>1</v>
      </c>
      <c r="L3382" s="6" t="s">
        <v>242</v>
      </c>
      <c r="M3382" s="5" t="s">
        <v>267</v>
      </c>
      <c r="N3382" s="5" t="s">
        <v>482</v>
      </c>
      <c r="O3382" s="5" t="s">
        <v>238</v>
      </c>
      <c r="P3382" s="5" t="s">
        <v>238</v>
      </c>
      <c r="Q3382" s="5" t="s">
        <v>239</v>
      </c>
      <c r="R3382" s="5" t="s">
        <v>270</v>
      </c>
      <c r="S3382" s="5" t="s">
        <v>238</v>
      </c>
      <c r="T3382" s="5" t="s">
        <v>238</v>
      </c>
      <c r="U3382" s="5" t="s">
        <v>238</v>
      </c>
      <c r="V3382" s="5" t="s">
        <v>238</v>
      </c>
      <c r="W3382" s="6" t="s">
        <v>238</v>
      </c>
      <c r="X3382" s="6" t="s">
        <v>238</v>
      </c>
      <c r="Y3382" s="5" t="s">
        <v>238</v>
      </c>
      <c r="Z3382" s="6" t="s">
        <v>238</v>
      </c>
      <c r="AA3382" s="6" t="s">
        <v>243</v>
      </c>
      <c r="AB3382" s="5" t="s">
        <v>486</v>
      </c>
      <c r="AC3382" s="5" t="s">
        <v>244</v>
      </c>
      <c r="AD3382" s="5" t="s">
        <v>245</v>
      </c>
      <c r="AE3382" s="5" t="s">
        <v>238</v>
      </c>
      <c r="AF3382" s="5" t="s">
        <v>238</v>
      </c>
      <c r="AG3382" s="5" t="s">
        <v>238</v>
      </c>
      <c r="AH3382" s="5" t="s">
        <v>238</v>
      </c>
      <c r="AI3382" s="5" t="s">
        <v>238</v>
      </c>
      <c r="AJ3382" s="5" t="s">
        <v>238</v>
      </c>
      <c r="AK3382" s="5" t="s">
        <v>238</v>
      </c>
      <c r="AL3382" s="5" t="s">
        <v>238</v>
      </c>
      <c r="AM3382" s="6" t="s">
        <v>238</v>
      </c>
      <c r="AN3382" s="6" t="s">
        <v>238</v>
      </c>
      <c r="AO3382" s="6" t="s">
        <v>238</v>
      </c>
      <c r="AP3382" s="6" t="s">
        <v>238</v>
      </c>
      <c r="AQ3382" s="5" t="s">
        <v>238</v>
      </c>
      <c r="AR3382" s="5" t="s">
        <v>488</v>
      </c>
      <c r="AS3382" s="5" t="s">
        <v>488</v>
      </c>
      <c r="AT3382" s="5" t="s">
        <v>246</v>
      </c>
      <c r="AU3382" s="5" t="s">
        <v>489</v>
      </c>
      <c r="AV3382" s="5" t="s">
        <v>247</v>
      </c>
      <c r="AW3382" s="5" t="s">
        <v>238</v>
      </c>
      <c r="AX3382" s="5" t="s">
        <v>249</v>
      </c>
      <c r="AY3382" s="5" t="s">
        <v>490</v>
      </c>
      <c r="BA3382" s="5" t="s">
        <v>238</v>
      </c>
      <c r="BC3382" s="5" t="s">
        <v>491</v>
      </c>
      <c r="BD3382" s="6" t="s">
        <v>492</v>
      </c>
      <c r="BE3382" s="5" t="s">
        <v>493</v>
      </c>
      <c r="BF3382" s="5" t="s">
        <v>493</v>
      </c>
      <c r="BG3382" s="5" t="s">
        <v>238</v>
      </c>
      <c r="BH3382" s="8">
        <f>1</f>
        <v>1</v>
      </c>
      <c r="BI3382" s="8">
        <f>1</f>
        <v>1</v>
      </c>
      <c r="BJ3382" s="5" t="s">
        <v>253</v>
      </c>
      <c r="BK3382" s="5" t="s">
        <v>254</v>
      </c>
      <c r="BL3382" s="5" t="s">
        <v>238</v>
      </c>
      <c r="BM3382" s="5" t="s">
        <v>238</v>
      </c>
      <c r="BN3382" s="5" t="s">
        <v>238</v>
      </c>
      <c r="BO3382" s="5" t="s">
        <v>238</v>
      </c>
      <c r="BP3382" s="5" t="s">
        <v>238</v>
      </c>
      <c r="BQ3382" s="5" t="s">
        <v>238</v>
      </c>
      <c r="BR3382" s="5" t="s">
        <v>238</v>
      </c>
      <c r="BS3382" s="5" t="s">
        <v>238</v>
      </c>
      <c r="BT3382" s="6" t="s">
        <v>238</v>
      </c>
      <c r="BU3382" s="5" t="s">
        <v>238</v>
      </c>
      <c r="BV3382" s="5" t="s">
        <v>238</v>
      </c>
      <c r="BW3382" s="5" t="s">
        <v>238</v>
      </c>
      <c r="BX3382" s="5" t="s">
        <v>254</v>
      </c>
      <c r="BY3382" s="5" t="s">
        <v>238</v>
      </c>
      <c r="BZ3382" s="5" t="s">
        <v>238</v>
      </c>
      <c r="CA3382" s="5" t="s">
        <v>238</v>
      </c>
      <c r="CB3382" s="5" t="s">
        <v>238</v>
      </c>
      <c r="CC3382" s="5" t="s">
        <v>238</v>
      </c>
      <c r="CD3382" s="5" t="s">
        <v>273</v>
      </c>
      <c r="CE3382" s="5" t="s">
        <v>256</v>
      </c>
      <c r="CF3382" s="5" t="s">
        <v>238</v>
      </c>
      <c r="CH3382" s="5" t="s">
        <v>494</v>
      </c>
      <c r="CI3382" s="6" t="s">
        <v>257</v>
      </c>
      <c r="CJ3382" s="5" t="s">
        <v>495</v>
      </c>
      <c r="CK3382" s="5" t="s">
        <v>258</v>
      </c>
      <c r="CL3382" s="5" t="s">
        <v>496</v>
      </c>
      <c r="CM3382" s="5" t="s">
        <v>238</v>
      </c>
      <c r="CN3382" s="5">
        <v>0</v>
      </c>
      <c r="CO3382" s="5" t="s">
        <v>497</v>
      </c>
      <c r="CP3382" s="5" t="s">
        <v>260</v>
      </c>
      <c r="CQ3382" s="5" t="s">
        <v>260</v>
      </c>
      <c r="CR3382" s="5" t="s">
        <v>261</v>
      </c>
      <c r="CS3382" s="5" t="s">
        <v>498</v>
      </c>
      <c r="CT3382" s="7">
        <f>1</f>
        <v>1</v>
      </c>
      <c r="CU3382" s="8">
        <f>1</f>
        <v>1</v>
      </c>
      <c r="CV3382" s="8">
        <f>0</f>
        <v>0</v>
      </c>
      <c r="CX3382" s="8">
        <f>1</f>
        <v>1</v>
      </c>
      <c r="CY3382" s="8">
        <f>1</f>
        <v>1</v>
      </c>
      <c r="CZ3382" s="8" t="s">
        <v>238</v>
      </c>
      <c r="DA3382" s="5" t="s">
        <v>238</v>
      </c>
      <c r="DB3382" s="5" t="s">
        <v>238</v>
      </c>
      <c r="DC3382" s="5" t="s">
        <v>238</v>
      </c>
      <c r="DD3382" s="5" t="s">
        <v>238</v>
      </c>
      <c r="DE3382" s="8">
        <f>0</f>
        <v>0</v>
      </c>
      <c r="DG3382" s="5" t="s">
        <v>238</v>
      </c>
      <c r="DH3382" s="5" t="s">
        <v>238</v>
      </c>
      <c r="DI3382" s="5" t="s">
        <v>238</v>
      </c>
      <c r="DJ3382" s="5" t="s">
        <v>238</v>
      </c>
      <c r="DK3382" s="5" t="s">
        <v>238</v>
      </c>
      <c r="DL3382" s="5" t="s">
        <v>238</v>
      </c>
      <c r="DM3382" s="8" t="s">
        <v>238</v>
      </c>
      <c r="DN3382" s="5" t="s">
        <v>238</v>
      </c>
      <c r="DO3382" s="5" t="s">
        <v>238</v>
      </c>
      <c r="DP3382" s="5" t="s">
        <v>490</v>
      </c>
      <c r="DQ3382" s="5" t="s">
        <v>490</v>
      </c>
      <c r="DR3382" s="5" t="s">
        <v>238</v>
      </c>
      <c r="DS3382" s="5" t="s">
        <v>238</v>
      </c>
      <c r="DT3382" s="5" t="s">
        <v>500</v>
      </c>
      <c r="DU3382" s="5" t="s">
        <v>1108</v>
      </c>
      <c r="DV3382" s="5" t="s">
        <v>238</v>
      </c>
      <c r="DW3382" s="5" t="s">
        <v>238</v>
      </c>
      <c r="DX3382" s="5" t="s">
        <v>238</v>
      </c>
      <c r="DY3382" s="5" t="s">
        <v>238</v>
      </c>
      <c r="DZ3382" s="5" t="s">
        <v>238</v>
      </c>
      <c r="EA3382" s="5" t="s">
        <v>238</v>
      </c>
      <c r="EB3382" s="5" t="s">
        <v>238</v>
      </c>
      <c r="EC3382" s="5" t="s">
        <v>238</v>
      </c>
      <c r="ED3382" s="5" t="s">
        <v>238</v>
      </c>
      <c r="EE3382" s="5" t="s">
        <v>238</v>
      </c>
      <c r="EF3382" s="5" t="s">
        <v>238</v>
      </c>
      <c r="EG3382" s="5" t="s">
        <v>238</v>
      </c>
      <c r="EH3382" s="5" t="s">
        <v>238</v>
      </c>
      <c r="EI3382" s="5" t="s">
        <v>238</v>
      </c>
      <c r="EJ3382" s="5" t="s">
        <v>238</v>
      </c>
      <c r="EK3382" s="5" t="s">
        <v>238</v>
      </c>
      <c r="EL3382" s="5" t="s">
        <v>238</v>
      </c>
      <c r="EM3382" s="5" t="s">
        <v>238</v>
      </c>
      <c r="EN3382" s="5" t="s">
        <v>238</v>
      </c>
      <c r="EO3382" s="5" t="s">
        <v>238</v>
      </c>
      <c r="EP3382" s="5" t="s">
        <v>238</v>
      </c>
      <c r="EQ3382" s="5" t="s">
        <v>238</v>
      </c>
      <c r="ER3382" s="5" t="s">
        <v>238</v>
      </c>
      <c r="ES3382" s="5" t="s">
        <v>238</v>
      </c>
      <c r="ET3382" s="5" t="s">
        <v>238</v>
      </c>
      <c r="EU3382" s="5" t="s">
        <v>238</v>
      </c>
      <c r="EV3382" s="5" t="s">
        <v>238</v>
      </c>
      <c r="EW3382" s="5" t="s">
        <v>238</v>
      </c>
      <c r="EX3382" s="5" t="s">
        <v>238</v>
      </c>
      <c r="EY3382" s="5" t="s">
        <v>238</v>
      </c>
      <c r="EZ3382" s="5" t="s">
        <v>238</v>
      </c>
      <c r="FA3382" s="5" t="s">
        <v>238</v>
      </c>
      <c r="FB3382" s="5" t="s">
        <v>238</v>
      </c>
      <c r="FC3382" s="5" t="s">
        <v>238</v>
      </c>
      <c r="FD3382" s="5" t="s">
        <v>238</v>
      </c>
      <c r="FE3382" s="5" t="s">
        <v>238</v>
      </c>
      <c r="FF3382" s="5" t="s">
        <v>238</v>
      </c>
      <c r="FG3382" s="5" t="s">
        <v>238</v>
      </c>
      <c r="FH3382" s="5" t="s">
        <v>238</v>
      </c>
      <c r="FI3382" s="5" t="s">
        <v>238</v>
      </c>
      <c r="FJ3382" s="5" t="s">
        <v>238</v>
      </c>
      <c r="FK3382" s="5" t="s">
        <v>238</v>
      </c>
      <c r="FL3382" s="5" t="s">
        <v>238</v>
      </c>
      <c r="FM3382" s="5" t="s">
        <v>238</v>
      </c>
      <c r="FN3382" s="5" t="s">
        <v>238</v>
      </c>
      <c r="FO3382" s="5" t="s">
        <v>238</v>
      </c>
      <c r="FP3382" s="5" t="s">
        <v>238</v>
      </c>
      <c r="FQ3382" s="5" t="s">
        <v>238</v>
      </c>
      <c r="FR3382" s="5" t="s">
        <v>238</v>
      </c>
      <c r="FS3382" s="5" t="s">
        <v>238</v>
      </c>
      <c r="FT3382" s="5" t="s">
        <v>238</v>
      </c>
      <c r="FU3382" s="5" t="s">
        <v>238</v>
      </c>
      <c r="FV3382" s="5" t="s">
        <v>238</v>
      </c>
      <c r="FW3382" s="5" t="s">
        <v>238</v>
      </c>
      <c r="FX3382" s="5" t="s">
        <v>238</v>
      </c>
      <c r="FY3382" s="5" t="s">
        <v>238</v>
      </c>
      <c r="FZ3382" s="5" t="s">
        <v>238</v>
      </c>
      <c r="GA3382" s="5" t="s">
        <v>238</v>
      </c>
      <c r="GB3382" s="5" t="s">
        <v>238</v>
      </c>
      <c r="GC3382" s="5" t="s">
        <v>238</v>
      </c>
      <c r="GD3382" s="5" t="s">
        <v>238</v>
      </c>
      <c r="GE3382" s="5" t="s">
        <v>238</v>
      </c>
      <c r="GF3382" s="5" t="s">
        <v>238</v>
      </c>
      <c r="GG3382" s="5" t="s">
        <v>238</v>
      </c>
      <c r="GH3382" s="5" t="s">
        <v>238</v>
      </c>
      <c r="GI3382" s="5" t="s">
        <v>238</v>
      </c>
      <c r="GJ3382" s="5" t="s">
        <v>238</v>
      </c>
      <c r="GK3382" s="5" t="s">
        <v>238</v>
      </c>
      <c r="GL3382" s="5" t="s">
        <v>238</v>
      </c>
      <c r="GM3382" s="5" t="s">
        <v>238</v>
      </c>
      <c r="GN3382" s="5" t="s">
        <v>238</v>
      </c>
      <c r="GO3382" s="5" t="s">
        <v>238</v>
      </c>
      <c r="GP3382" s="5" t="s">
        <v>238</v>
      </c>
      <c r="GQ3382" s="5" t="s">
        <v>238</v>
      </c>
      <c r="GR3382" s="5" t="s">
        <v>238</v>
      </c>
      <c r="GS3382" s="5" t="s">
        <v>238</v>
      </c>
      <c r="GT3382" s="5" t="s">
        <v>238</v>
      </c>
      <c r="GU3382" s="5" t="s">
        <v>238</v>
      </c>
      <c r="GV3382" s="5" t="s">
        <v>238</v>
      </c>
      <c r="GW3382" s="5" t="s">
        <v>238</v>
      </c>
      <c r="GX3382" s="5" t="s">
        <v>238</v>
      </c>
      <c r="GY3382" s="5" t="s">
        <v>238</v>
      </c>
      <c r="GZ3382" s="5" t="s">
        <v>238</v>
      </c>
      <c r="HA3382" s="5" t="s">
        <v>238</v>
      </c>
      <c r="HB3382" s="5" t="s">
        <v>238</v>
      </c>
      <c r="HC3382" s="5" t="s">
        <v>238</v>
      </c>
      <c r="HD3382" s="5" t="s">
        <v>238</v>
      </c>
      <c r="HE3382" s="5" t="s">
        <v>238</v>
      </c>
      <c r="HF3382" s="5" t="s">
        <v>238</v>
      </c>
      <c r="HG3382" s="5" t="s">
        <v>238</v>
      </c>
      <c r="HH3382" s="5" t="s">
        <v>238</v>
      </c>
      <c r="HI3382" s="5" t="s">
        <v>238</v>
      </c>
      <c r="HJ3382" s="5" t="s">
        <v>238</v>
      </c>
      <c r="HK3382" s="5" t="s">
        <v>238</v>
      </c>
      <c r="HL3382" s="5" t="s">
        <v>238</v>
      </c>
      <c r="HM3382" s="5" t="s">
        <v>264</v>
      </c>
      <c r="HN3382" s="5" t="s">
        <v>238</v>
      </c>
      <c r="HO3382" s="5" t="s">
        <v>238</v>
      </c>
      <c r="HP3382" s="5" t="s">
        <v>238</v>
      </c>
      <c r="HQ3382" s="5" t="s">
        <v>238</v>
      </c>
      <c r="HR3382" s="5" t="s">
        <v>238</v>
      </c>
      <c r="HS3382" s="5" t="s">
        <v>238</v>
      </c>
      <c r="HT3382" s="5" t="s">
        <v>238</v>
      </c>
      <c r="HU3382" s="5" t="s">
        <v>238</v>
      </c>
      <c r="HV3382" s="5" t="s">
        <v>238</v>
      </c>
      <c r="HW3382" s="5" t="s">
        <v>238</v>
      </c>
      <c r="HX3382" s="5" t="s">
        <v>238</v>
      </c>
      <c r="HY3382" s="5" t="s">
        <v>238</v>
      </c>
      <c r="HZ3382" s="5" t="s">
        <v>238</v>
      </c>
      <c r="IA3382" s="5" t="s">
        <v>238</v>
      </c>
      <c r="IB3382" s="5" t="s">
        <v>238</v>
      </c>
      <c r="IC3382" s="5" t="s">
        <v>238</v>
      </c>
      <c r="ID3382" s="5" t="s">
        <v>238</v>
      </c>
    </row>
    <row r="3383" spans="1:238" x14ac:dyDescent="0.4">
      <c r="A3383" s="5">
        <v>9101</v>
      </c>
      <c r="B3383" s="5">
        <v>1</v>
      </c>
      <c r="C3383" s="5">
        <v>1</v>
      </c>
      <c r="D3383" s="5" t="s">
        <v>484</v>
      </c>
      <c r="E3383" s="5" t="s">
        <v>485</v>
      </c>
      <c r="F3383" s="5" t="s">
        <v>248</v>
      </c>
      <c r="G3383" s="5" t="s">
        <v>4388</v>
      </c>
      <c r="H3383" s="6" t="s">
        <v>4390</v>
      </c>
      <c r="I3383" s="8">
        <f>1</f>
        <v>1</v>
      </c>
      <c r="J3383" s="5" t="s">
        <v>499</v>
      </c>
      <c r="K3383" s="8">
        <f>1</f>
        <v>1</v>
      </c>
      <c r="L3383" s="6" t="s">
        <v>242</v>
      </c>
      <c r="M3383" s="5" t="s">
        <v>267</v>
      </c>
      <c r="N3383" s="5" t="s">
        <v>482</v>
      </c>
      <c r="O3383" s="5" t="s">
        <v>238</v>
      </c>
      <c r="P3383" s="5" t="s">
        <v>238</v>
      </c>
      <c r="Q3383" s="5" t="s">
        <v>239</v>
      </c>
      <c r="R3383" s="5" t="s">
        <v>270</v>
      </c>
      <c r="S3383" s="5" t="s">
        <v>238</v>
      </c>
      <c r="T3383" s="5" t="s">
        <v>238</v>
      </c>
      <c r="U3383" s="5" t="s">
        <v>238</v>
      </c>
      <c r="V3383" s="5" t="s">
        <v>238</v>
      </c>
      <c r="W3383" s="6" t="s">
        <v>238</v>
      </c>
      <c r="X3383" s="6" t="s">
        <v>238</v>
      </c>
      <c r="Y3383" s="5" t="s">
        <v>238</v>
      </c>
      <c r="Z3383" s="6" t="s">
        <v>238</v>
      </c>
      <c r="AA3383" s="6" t="s">
        <v>243</v>
      </c>
      <c r="AB3383" s="5" t="s">
        <v>4389</v>
      </c>
      <c r="AC3383" s="5" t="s">
        <v>244</v>
      </c>
      <c r="AD3383" s="5" t="s">
        <v>245</v>
      </c>
      <c r="AE3383" s="5" t="s">
        <v>238</v>
      </c>
      <c r="AF3383" s="5" t="s">
        <v>238</v>
      </c>
      <c r="AG3383" s="5" t="s">
        <v>238</v>
      </c>
      <c r="AH3383" s="5" t="s">
        <v>238</v>
      </c>
      <c r="AI3383" s="5" t="s">
        <v>238</v>
      </c>
      <c r="AJ3383" s="5" t="s">
        <v>238</v>
      </c>
      <c r="AK3383" s="5" t="s">
        <v>238</v>
      </c>
      <c r="AL3383" s="5" t="s">
        <v>238</v>
      </c>
      <c r="AM3383" s="6" t="s">
        <v>238</v>
      </c>
      <c r="AN3383" s="6" t="s">
        <v>238</v>
      </c>
      <c r="AO3383" s="6" t="s">
        <v>238</v>
      </c>
      <c r="AP3383" s="6" t="s">
        <v>238</v>
      </c>
      <c r="AQ3383" s="5" t="s">
        <v>238</v>
      </c>
      <c r="AR3383" s="5" t="s">
        <v>488</v>
      </c>
      <c r="AS3383" s="5" t="s">
        <v>488</v>
      </c>
      <c r="AT3383" s="5" t="s">
        <v>246</v>
      </c>
      <c r="AU3383" s="5" t="s">
        <v>489</v>
      </c>
      <c r="AV3383" s="5" t="s">
        <v>247</v>
      </c>
      <c r="AW3383" s="5" t="s">
        <v>238</v>
      </c>
      <c r="AX3383" s="5" t="s">
        <v>249</v>
      </c>
      <c r="AY3383" s="5" t="s">
        <v>490</v>
      </c>
      <c r="BA3383" s="5" t="s">
        <v>238</v>
      </c>
      <c r="BC3383" s="5" t="s">
        <v>491</v>
      </c>
      <c r="BD3383" s="6" t="s">
        <v>492</v>
      </c>
      <c r="BE3383" s="5" t="s">
        <v>493</v>
      </c>
      <c r="BF3383" s="5" t="s">
        <v>493</v>
      </c>
      <c r="BG3383" s="5" t="s">
        <v>238</v>
      </c>
      <c r="BH3383" s="8">
        <f>1</f>
        <v>1</v>
      </c>
      <c r="BI3383" s="8">
        <f>1</f>
        <v>1</v>
      </c>
      <c r="BJ3383" s="5" t="s">
        <v>253</v>
      </c>
      <c r="BK3383" s="5" t="s">
        <v>254</v>
      </c>
      <c r="BL3383" s="5" t="s">
        <v>238</v>
      </c>
      <c r="BM3383" s="5" t="s">
        <v>238</v>
      </c>
      <c r="BN3383" s="5" t="s">
        <v>238</v>
      </c>
      <c r="BO3383" s="5" t="s">
        <v>238</v>
      </c>
      <c r="BP3383" s="5" t="s">
        <v>238</v>
      </c>
      <c r="BQ3383" s="5" t="s">
        <v>238</v>
      </c>
      <c r="BR3383" s="5" t="s">
        <v>238</v>
      </c>
      <c r="BS3383" s="5" t="s">
        <v>238</v>
      </c>
      <c r="BT3383" s="6" t="s">
        <v>238</v>
      </c>
      <c r="BU3383" s="5" t="s">
        <v>238</v>
      </c>
      <c r="BV3383" s="5" t="s">
        <v>238</v>
      </c>
      <c r="BW3383" s="5" t="s">
        <v>238</v>
      </c>
      <c r="BX3383" s="5" t="s">
        <v>254</v>
      </c>
      <c r="BY3383" s="5" t="s">
        <v>238</v>
      </c>
      <c r="BZ3383" s="5" t="s">
        <v>238</v>
      </c>
      <c r="CA3383" s="5" t="s">
        <v>238</v>
      </c>
      <c r="CB3383" s="5" t="s">
        <v>238</v>
      </c>
      <c r="CC3383" s="5" t="s">
        <v>238</v>
      </c>
      <c r="CD3383" s="5" t="s">
        <v>273</v>
      </c>
      <c r="CE3383" s="5" t="s">
        <v>256</v>
      </c>
      <c r="CF3383" s="5" t="s">
        <v>238</v>
      </c>
      <c r="CH3383" s="5" t="s">
        <v>494</v>
      </c>
      <c r="CI3383" s="6" t="s">
        <v>257</v>
      </c>
      <c r="CJ3383" s="5" t="s">
        <v>495</v>
      </c>
      <c r="CK3383" s="5" t="s">
        <v>258</v>
      </c>
      <c r="CL3383" s="5" t="s">
        <v>496</v>
      </c>
      <c r="CM3383" s="5" t="s">
        <v>238</v>
      </c>
      <c r="CN3383" s="5">
        <v>0</v>
      </c>
      <c r="CO3383" s="5" t="s">
        <v>497</v>
      </c>
      <c r="CP3383" s="5" t="s">
        <v>260</v>
      </c>
      <c r="CQ3383" s="5" t="s">
        <v>260</v>
      </c>
      <c r="CR3383" s="5" t="s">
        <v>261</v>
      </c>
      <c r="CS3383" s="5" t="s">
        <v>498</v>
      </c>
      <c r="CT3383" s="7">
        <f>1</f>
        <v>1</v>
      </c>
      <c r="CU3383" s="8">
        <f>1</f>
        <v>1</v>
      </c>
      <c r="CV3383" s="8">
        <f>0</f>
        <v>0</v>
      </c>
      <c r="CX3383" s="8">
        <f>1</f>
        <v>1</v>
      </c>
      <c r="CY3383" s="8">
        <f>1</f>
        <v>1</v>
      </c>
      <c r="CZ3383" s="8" t="s">
        <v>238</v>
      </c>
      <c r="DA3383" s="5" t="s">
        <v>238</v>
      </c>
      <c r="DB3383" s="5" t="s">
        <v>238</v>
      </c>
      <c r="DC3383" s="5" t="s">
        <v>238</v>
      </c>
      <c r="DD3383" s="5" t="s">
        <v>238</v>
      </c>
      <c r="DE3383" s="8">
        <f>0</f>
        <v>0</v>
      </c>
      <c r="DG3383" s="5" t="s">
        <v>238</v>
      </c>
      <c r="DH3383" s="5" t="s">
        <v>238</v>
      </c>
      <c r="DI3383" s="5" t="s">
        <v>238</v>
      </c>
      <c r="DJ3383" s="5" t="s">
        <v>238</v>
      </c>
      <c r="DK3383" s="5" t="s">
        <v>238</v>
      </c>
      <c r="DL3383" s="5" t="s">
        <v>238</v>
      </c>
      <c r="DM3383" s="8" t="s">
        <v>238</v>
      </c>
      <c r="DN3383" s="5" t="s">
        <v>238</v>
      </c>
      <c r="DO3383" s="5" t="s">
        <v>238</v>
      </c>
      <c r="DP3383" s="5" t="s">
        <v>490</v>
      </c>
      <c r="DQ3383" s="5" t="s">
        <v>490</v>
      </c>
      <c r="DR3383" s="5" t="s">
        <v>238</v>
      </c>
      <c r="DS3383" s="5" t="s">
        <v>238</v>
      </c>
      <c r="DT3383" s="5" t="s">
        <v>500</v>
      </c>
      <c r="DU3383" s="5" t="s">
        <v>660</v>
      </c>
      <c r="DV3383" s="5" t="s">
        <v>238</v>
      </c>
      <c r="DW3383" s="5" t="s">
        <v>238</v>
      </c>
      <c r="DX3383" s="5" t="s">
        <v>238</v>
      </c>
      <c r="DY3383" s="5" t="s">
        <v>238</v>
      </c>
      <c r="DZ3383" s="5" t="s">
        <v>238</v>
      </c>
      <c r="EA3383" s="5" t="s">
        <v>238</v>
      </c>
      <c r="EB3383" s="5" t="s">
        <v>238</v>
      </c>
      <c r="EC3383" s="5" t="s">
        <v>238</v>
      </c>
      <c r="ED3383" s="5" t="s">
        <v>238</v>
      </c>
      <c r="EE3383" s="5" t="s">
        <v>238</v>
      </c>
      <c r="EF3383" s="5" t="s">
        <v>238</v>
      </c>
      <c r="EG3383" s="5" t="s">
        <v>238</v>
      </c>
      <c r="EH3383" s="5" t="s">
        <v>238</v>
      </c>
      <c r="EI3383" s="5" t="s">
        <v>238</v>
      </c>
      <c r="EJ3383" s="5" t="s">
        <v>238</v>
      </c>
      <c r="EK3383" s="5" t="s">
        <v>238</v>
      </c>
      <c r="EL3383" s="5" t="s">
        <v>238</v>
      </c>
      <c r="EM3383" s="5" t="s">
        <v>238</v>
      </c>
      <c r="EN3383" s="5" t="s">
        <v>238</v>
      </c>
      <c r="EO3383" s="5" t="s">
        <v>238</v>
      </c>
      <c r="EP3383" s="5" t="s">
        <v>238</v>
      </c>
      <c r="EQ3383" s="5" t="s">
        <v>238</v>
      </c>
      <c r="ER3383" s="5" t="s">
        <v>238</v>
      </c>
      <c r="ES3383" s="5" t="s">
        <v>238</v>
      </c>
      <c r="ET3383" s="5" t="s">
        <v>238</v>
      </c>
      <c r="EU3383" s="5" t="s">
        <v>238</v>
      </c>
      <c r="EV3383" s="5" t="s">
        <v>238</v>
      </c>
      <c r="EW3383" s="5" t="s">
        <v>238</v>
      </c>
      <c r="EX3383" s="5" t="s">
        <v>238</v>
      </c>
      <c r="EY3383" s="5" t="s">
        <v>238</v>
      </c>
      <c r="EZ3383" s="5" t="s">
        <v>238</v>
      </c>
      <c r="FA3383" s="5" t="s">
        <v>238</v>
      </c>
      <c r="FB3383" s="5" t="s">
        <v>238</v>
      </c>
      <c r="FC3383" s="5" t="s">
        <v>238</v>
      </c>
      <c r="FD3383" s="5" t="s">
        <v>238</v>
      </c>
      <c r="FE3383" s="5" t="s">
        <v>238</v>
      </c>
      <c r="FF3383" s="5" t="s">
        <v>238</v>
      </c>
      <c r="FG3383" s="5" t="s">
        <v>238</v>
      </c>
      <c r="FH3383" s="5" t="s">
        <v>238</v>
      </c>
      <c r="FI3383" s="5" t="s">
        <v>238</v>
      </c>
      <c r="FJ3383" s="5" t="s">
        <v>238</v>
      </c>
      <c r="FK3383" s="5" t="s">
        <v>238</v>
      </c>
      <c r="FL3383" s="5" t="s">
        <v>238</v>
      </c>
      <c r="FM3383" s="5" t="s">
        <v>238</v>
      </c>
      <c r="FN3383" s="5" t="s">
        <v>238</v>
      </c>
      <c r="FO3383" s="5" t="s">
        <v>238</v>
      </c>
      <c r="FP3383" s="5" t="s">
        <v>238</v>
      </c>
      <c r="FQ3383" s="5" t="s">
        <v>238</v>
      </c>
      <c r="FR3383" s="5" t="s">
        <v>238</v>
      </c>
      <c r="FS3383" s="5" t="s">
        <v>238</v>
      </c>
      <c r="FT3383" s="5" t="s">
        <v>238</v>
      </c>
      <c r="FU3383" s="5" t="s">
        <v>238</v>
      </c>
      <c r="FV3383" s="5" t="s">
        <v>238</v>
      </c>
      <c r="FW3383" s="5" t="s">
        <v>238</v>
      </c>
      <c r="FX3383" s="5" t="s">
        <v>238</v>
      </c>
      <c r="FY3383" s="5" t="s">
        <v>238</v>
      </c>
      <c r="FZ3383" s="5" t="s">
        <v>238</v>
      </c>
      <c r="GA3383" s="5" t="s">
        <v>238</v>
      </c>
      <c r="GB3383" s="5" t="s">
        <v>238</v>
      </c>
      <c r="GC3383" s="5" t="s">
        <v>238</v>
      </c>
      <c r="GD3383" s="5" t="s">
        <v>238</v>
      </c>
      <c r="GE3383" s="5" t="s">
        <v>238</v>
      </c>
      <c r="GF3383" s="5" t="s">
        <v>238</v>
      </c>
      <c r="GG3383" s="5" t="s">
        <v>238</v>
      </c>
      <c r="GH3383" s="5" t="s">
        <v>238</v>
      </c>
      <c r="GI3383" s="5" t="s">
        <v>238</v>
      </c>
      <c r="GJ3383" s="5" t="s">
        <v>238</v>
      </c>
      <c r="GK3383" s="5" t="s">
        <v>238</v>
      </c>
      <c r="GL3383" s="5" t="s">
        <v>238</v>
      </c>
      <c r="GM3383" s="5" t="s">
        <v>238</v>
      </c>
      <c r="GN3383" s="5" t="s">
        <v>238</v>
      </c>
      <c r="GO3383" s="5" t="s">
        <v>238</v>
      </c>
      <c r="GP3383" s="5" t="s">
        <v>238</v>
      </c>
      <c r="GQ3383" s="5" t="s">
        <v>238</v>
      </c>
      <c r="GR3383" s="5" t="s">
        <v>238</v>
      </c>
      <c r="GS3383" s="5" t="s">
        <v>238</v>
      </c>
      <c r="GT3383" s="5" t="s">
        <v>238</v>
      </c>
      <c r="GU3383" s="5" t="s">
        <v>238</v>
      </c>
      <c r="GV3383" s="5" t="s">
        <v>238</v>
      </c>
      <c r="GW3383" s="5" t="s">
        <v>238</v>
      </c>
      <c r="GX3383" s="5" t="s">
        <v>238</v>
      </c>
      <c r="GY3383" s="5" t="s">
        <v>238</v>
      </c>
      <c r="GZ3383" s="5" t="s">
        <v>238</v>
      </c>
      <c r="HA3383" s="5" t="s">
        <v>238</v>
      </c>
      <c r="HB3383" s="5" t="s">
        <v>238</v>
      </c>
      <c r="HC3383" s="5" t="s">
        <v>238</v>
      </c>
      <c r="HD3383" s="5" t="s">
        <v>238</v>
      </c>
      <c r="HE3383" s="5" t="s">
        <v>238</v>
      </c>
      <c r="HF3383" s="5" t="s">
        <v>238</v>
      </c>
      <c r="HG3383" s="5" t="s">
        <v>238</v>
      </c>
      <c r="HH3383" s="5" t="s">
        <v>238</v>
      </c>
      <c r="HI3383" s="5" t="s">
        <v>238</v>
      </c>
      <c r="HJ3383" s="5" t="s">
        <v>238</v>
      </c>
      <c r="HK3383" s="5" t="s">
        <v>238</v>
      </c>
      <c r="HL3383" s="5" t="s">
        <v>238</v>
      </c>
      <c r="HM3383" s="5" t="s">
        <v>264</v>
      </c>
      <c r="HN3383" s="5" t="s">
        <v>238</v>
      </c>
      <c r="HO3383" s="5" t="s">
        <v>238</v>
      </c>
      <c r="HP3383" s="5" t="s">
        <v>238</v>
      </c>
      <c r="HQ3383" s="5" t="s">
        <v>238</v>
      </c>
      <c r="HR3383" s="5" t="s">
        <v>238</v>
      </c>
      <c r="HS3383" s="5" t="s">
        <v>238</v>
      </c>
      <c r="HT3383" s="5" t="s">
        <v>238</v>
      </c>
      <c r="HU3383" s="5" t="s">
        <v>238</v>
      </c>
      <c r="HV3383" s="5" t="s">
        <v>238</v>
      </c>
      <c r="HW3383" s="5" t="s">
        <v>238</v>
      </c>
      <c r="HX3383" s="5" t="s">
        <v>238</v>
      </c>
      <c r="HY3383" s="5" t="s">
        <v>238</v>
      </c>
      <c r="HZ3383" s="5" t="s">
        <v>238</v>
      </c>
      <c r="IA3383" s="5" t="s">
        <v>238</v>
      </c>
      <c r="IB3383" s="5" t="s">
        <v>238</v>
      </c>
      <c r="IC3383" s="5" t="s">
        <v>238</v>
      </c>
      <c r="ID3383" s="5" t="s">
        <v>238</v>
      </c>
    </row>
    <row r="3384" spans="1:238" x14ac:dyDescent="0.4">
      <c r="A3384" s="5">
        <v>9102</v>
      </c>
      <c r="B3384" s="5">
        <v>1</v>
      </c>
      <c r="C3384" s="5">
        <v>1</v>
      </c>
      <c r="D3384" s="5" t="s">
        <v>484</v>
      </c>
      <c r="E3384" s="5" t="s">
        <v>485</v>
      </c>
      <c r="F3384" s="5" t="s">
        <v>248</v>
      </c>
      <c r="G3384" s="5" t="s">
        <v>4988</v>
      </c>
      <c r="H3384" s="6" t="s">
        <v>4990</v>
      </c>
      <c r="I3384" s="8">
        <f>1</f>
        <v>1</v>
      </c>
      <c r="J3384" s="5" t="s">
        <v>499</v>
      </c>
      <c r="K3384" s="8">
        <f>1</f>
        <v>1</v>
      </c>
      <c r="L3384" s="6" t="s">
        <v>242</v>
      </c>
      <c r="M3384" s="5" t="s">
        <v>267</v>
      </c>
      <c r="N3384" s="5" t="s">
        <v>482</v>
      </c>
      <c r="O3384" s="5" t="s">
        <v>238</v>
      </c>
      <c r="P3384" s="5" t="s">
        <v>238</v>
      </c>
      <c r="Q3384" s="5" t="s">
        <v>239</v>
      </c>
      <c r="R3384" s="5" t="s">
        <v>270</v>
      </c>
      <c r="S3384" s="5" t="s">
        <v>238</v>
      </c>
      <c r="T3384" s="5" t="s">
        <v>238</v>
      </c>
      <c r="U3384" s="5" t="s">
        <v>238</v>
      </c>
      <c r="V3384" s="5" t="s">
        <v>238</v>
      </c>
      <c r="W3384" s="6" t="s">
        <v>238</v>
      </c>
      <c r="X3384" s="6" t="s">
        <v>238</v>
      </c>
      <c r="Y3384" s="5" t="s">
        <v>238</v>
      </c>
      <c r="Z3384" s="6" t="s">
        <v>238</v>
      </c>
      <c r="AA3384" s="6" t="s">
        <v>243</v>
      </c>
      <c r="AB3384" s="5" t="s">
        <v>4989</v>
      </c>
      <c r="AC3384" s="5" t="s">
        <v>244</v>
      </c>
      <c r="AD3384" s="5" t="s">
        <v>245</v>
      </c>
      <c r="AE3384" s="5" t="s">
        <v>238</v>
      </c>
      <c r="AF3384" s="5" t="s">
        <v>238</v>
      </c>
      <c r="AG3384" s="5" t="s">
        <v>238</v>
      </c>
      <c r="AH3384" s="5" t="s">
        <v>238</v>
      </c>
      <c r="AI3384" s="5" t="s">
        <v>238</v>
      </c>
      <c r="AJ3384" s="5" t="s">
        <v>238</v>
      </c>
      <c r="AK3384" s="5" t="s">
        <v>238</v>
      </c>
      <c r="AL3384" s="5" t="s">
        <v>238</v>
      </c>
      <c r="AM3384" s="6" t="s">
        <v>238</v>
      </c>
      <c r="AN3384" s="6" t="s">
        <v>238</v>
      </c>
      <c r="AO3384" s="6" t="s">
        <v>238</v>
      </c>
      <c r="AP3384" s="6" t="s">
        <v>238</v>
      </c>
      <c r="AQ3384" s="5" t="s">
        <v>238</v>
      </c>
      <c r="AR3384" s="5" t="s">
        <v>488</v>
      </c>
      <c r="AS3384" s="5" t="s">
        <v>488</v>
      </c>
      <c r="AT3384" s="5" t="s">
        <v>246</v>
      </c>
      <c r="AU3384" s="5" t="s">
        <v>489</v>
      </c>
      <c r="AV3384" s="5" t="s">
        <v>247</v>
      </c>
      <c r="AW3384" s="5" t="s">
        <v>238</v>
      </c>
      <c r="AX3384" s="5" t="s">
        <v>249</v>
      </c>
      <c r="AY3384" s="5" t="s">
        <v>490</v>
      </c>
      <c r="BA3384" s="5" t="s">
        <v>238</v>
      </c>
      <c r="BC3384" s="5" t="s">
        <v>491</v>
      </c>
      <c r="BD3384" s="6" t="s">
        <v>492</v>
      </c>
      <c r="BE3384" s="5" t="s">
        <v>493</v>
      </c>
      <c r="BF3384" s="5" t="s">
        <v>493</v>
      </c>
      <c r="BG3384" s="5" t="s">
        <v>238</v>
      </c>
      <c r="BH3384" s="8">
        <f>1</f>
        <v>1</v>
      </c>
      <c r="BI3384" s="8">
        <f>1</f>
        <v>1</v>
      </c>
      <c r="BJ3384" s="5" t="s">
        <v>253</v>
      </c>
      <c r="BK3384" s="5" t="s">
        <v>254</v>
      </c>
      <c r="BL3384" s="5" t="s">
        <v>238</v>
      </c>
      <c r="BM3384" s="5" t="s">
        <v>238</v>
      </c>
      <c r="BN3384" s="5" t="s">
        <v>238</v>
      </c>
      <c r="BO3384" s="5" t="s">
        <v>238</v>
      </c>
      <c r="BP3384" s="5" t="s">
        <v>238</v>
      </c>
      <c r="BQ3384" s="5" t="s">
        <v>238</v>
      </c>
      <c r="BR3384" s="5" t="s">
        <v>238</v>
      </c>
      <c r="BS3384" s="5" t="s">
        <v>238</v>
      </c>
      <c r="BT3384" s="6" t="s">
        <v>238</v>
      </c>
      <c r="BU3384" s="5" t="s">
        <v>238</v>
      </c>
      <c r="BV3384" s="5" t="s">
        <v>238</v>
      </c>
      <c r="BW3384" s="5" t="s">
        <v>238</v>
      </c>
      <c r="BX3384" s="5" t="s">
        <v>254</v>
      </c>
      <c r="BY3384" s="5" t="s">
        <v>238</v>
      </c>
      <c r="BZ3384" s="5" t="s">
        <v>238</v>
      </c>
      <c r="CA3384" s="5" t="s">
        <v>238</v>
      </c>
      <c r="CB3384" s="5" t="s">
        <v>238</v>
      </c>
      <c r="CC3384" s="5" t="s">
        <v>238</v>
      </c>
      <c r="CD3384" s="5" t="s">
        <v>273</v>
      </c>
      <c r="CE3384" s="5" t="s">
        <v>256</v>
      </c>
      <c r="CF3384" s="5" t="s">
        <v>238</v>
      </c>
      <c r="CH3384" s="5" t="s">
        <v>494</v>
      </c>
      <c r="CI3384" s="6" t="s">
        <v>257</v>
      </c>
      <c r="CJ3384" s="5" t="s">
        <v>495</v>
      </c>
      <c r="CK3384" s="5" t="s">
        <v>258</v>
      </c>
      <c r="CL3384" s="5" t="s">
        <v>496</v>
      </c>
      <c r="CM3384" s="5" t="s">
        <v>238</v>
      </c>
      <c r="CN3384" s="5">
        <v>0</v>
      </c>
      <c r="CO3384" s="5" t="s">
        <v>497</v>
      </c>
      <c r="CP3384" s="5" t="s">
        <v>260</v>
      </c>
      <c r="CQ3384" s="5" t="s">
        <v>260</v>
      </c>
      <c r="CR3384" s="5" t="s">
        <v>261</v>
      </c>
      <c r="CS3384" s="5" t="s">
        <v>498</v>
      </c>
      <c r="CT3384" s="7">
        <f>1</f>
        <v>1</v>
      </c>
      <c r="CU3384" s="8">
        <f>1</f>
        <v>1</v>
      </c>
      <c r="CV3384" s="8">
        <f>0</f>
        <v>0</v>
      </c>
      <c r="CX3384" s="8">
        <f>1</f>
        <v>1</v>
      </c>
      <c r="CY3384" s="8">
        <f>1</f>
        <v>1</v>
      </c>
      <c r="CZ3384" s="8" t="s">
        <v>238</v>
      </c>
      <c r="DA3384" s="5" t="s">
        <v>238</v>
      </c>
      <c r="DB3384" s="5" t="s">
        <v>238</v>
      </c>
      <c r="DC3384" s="5" t="s">
        <v>238</v>
      </c>
      <c r="DD3384" s="5" t="s">
        <v>238</v>
      </c>
      <c r="DE3384" s="8">
        <f>0</f>
        <v>0</v>
      </c>
      <c r="DG3384" s="5" t="s">
        <v>238</v>
      </c>
      <c r="DH3384" s="5" t="s">
        <v>238</v>
      </c>
      <c r="DI3384" s="5" t="s">
        <v>238</v>
      </c>
      <c r="DJ3384" s="5" t="s">
        <v>238</v>
      </c>
      <c r="DK3384" s="5" t="s">
        <v>238</v>
      </c>
      <c r="DL3384" s="5" t="s">
        <v>238</v>
      </c>
      <c r="DM3384" s="8" t="s">
        <v>238</v>
      </c>
      <c r="DN3384" s="5" t="s">
        <v>238</v>
      </c>
      <c r="DO3384" s="5" t="s">
        <v>238</v>
      </c>
      <c r="DP3384" s="5" t="s">
        <v>490</v>
      </c>
      <c r="DQ3384" s="5" t="s">
        <v>490</v>
      </c>
      <c r="DR3384" s="5" t="s">
        <v>238</v>
      </c>
      <c r="DS3384" s="5" t="s">
        <v>238</v>
      </c>
      <c r="DT3384" s="5" t="s">
        <v>500</v>
      </c>
      <c r="DU3384" s="5" t="s">
        <v>672</v>
      </c>
      <c r="DV3384" s="5" t="s">
        <v>238</v>
      </c>
      <c r="DW3384" s="5" t="s">
        <v>238</v>
      </c>
      <c r="DX3384" s="5" t="s">
        <v>238</v>
      </c>
      <c r="DY3384" s="5" t="s">
        <v>238</v>
      </c>
      <c r="DZ3384" s="5" t="s">
        <v>238</v>
      </c>
      <c r="EA3384" s="5" t="s">
        <v>238</v>
      </c>
      <c r="EB3384" s="5" t="s">
        <v>238</v>
      </c>
      <c r="EC3384" s="5" t="s">
        <v>238</v>
      </c>
      <c r="ED3384" s="5" t="s">
        <v>238</v>
      </c>
      <c r="EE3384" s="5" t="s">
        <v>238</v>
      </c>
      <c r="EF3384" s="5" t="s">
        <v>238</v>
      </c>
      <c r="EG3384" s="5" t="s">
        <v>238</v>
      </c>
      <c r="EH3384" s="5" t="s">
        <v>238</v>
      </c>
      <c r="EI3384" s="5" t="s">
        <v>238</v>
      </c>
      <c r="EJ3384" s="5" t="s">
        <v>238</v>
      </c>
      <c r="EK3384" s="5" t="s">
        <v>238</v>
      </c>
      <c r="EL3384" s="5" t="s">
        <v>238</v>
      </c>
      <c r="EM3384" s="5" t="s">
        <v>238</v>
      </c>
      <c r="EN3384" s="5" t="s">
        <v>238</v>
      </c>
      <c r="EO3384" s="5" t="s">
        <v>238</v>
      </c>
      <c r="EP3384" s="5" t="s">
        <v>238</v>
      </c>
      <c r="EQ3384" s="5" t="s">
        <v>238</v>
      </c>
      <c r="ER3384" s="5" t="s">
        <v>238</v>
      </c>
      <c r="ES3384" s="5" t="s">
        <v>238</v>
      </c>
      <c r="ET3384" s="5" t="s">
        <v>238</v>
      </c>
      <c r="EU3384" s="5" t="s">
        <v>238</v>
      </c>
      <c r="EV3384" s="5" t="s">
        <v>238</v>
      </c>
      <c r="EW3384" s="5" t="s">
        <v>238</v>
      </c>
      <c r="EX3384" s="5" t="s">
        <v>238</v>
      </c>
      <c r="EY3384" s="5" t="s">
        <v>238</v>
      </c>
      <c r="EZ3384" s="5" t="s">
        <v>238</v>
      </c>
      <c r="FA3384" s="5" t="s">
        <v>238</v>
      </c>
      <c r="FB3384" s="5" t="s">
        <v>238</v>
      </c>
      <c r="FC3384" s="5" t="s">
        <v>238</v>
      </c>
      <c r="FD3384" s="5" t="s">
        <v>238</v>
      </c>
      <c r="FE3384" s="5" t="s">
        <v>238</v>
      </c>
      <c r="FF3384" s="5" t="s">
        <v>238</v>
      </c>
      <c r="FG3384" s="5" t="s">
        <v>238</v>
      </c>
      <c r="FH3384" s="5" t="s">
        <v>238</v>
      </c>
      <c r="FI3384" s="5" t="s">
        <v>238</v>
      </c>
      <c r="FJ3384" s="5" t="s">
        <v>238</v>
      </c>
      <c r="FK3384" s="5" t="s">
        <v>238</v>
      </c>
      <c r="FL3384" s="5" t="s">
        <v>238</v>
      </c>
      <c r="FM3384" s="5" t="s">
        <v>238</v>
      </c>
      <c r="FN3384" s="5" t="s">
        <v>238</v>
      </c>
      <c r="FO3384" s="5" t="s">
        <v>238</v>
      </c>
      <c r="FP3384" s="5" t="s">
        <v>238</v>
      </c>
      <c r="FQ3384" s="5" t="s">
        <v>238</v>
      </c>
      <c r="FR3384" s="5" t="s">
        <v>238</v>
      </c>
      <c r="FS3384" s="5" t="s">
        <v>238</v>
      </c>
      <c r="FT3384" s="5" t="s">
        <v>238</v>
      </c>
      <c r="FU3384" s="5" t="s">
        <v>238</v>
      </c>
      <c r="FV3384" s="5" t="s">
        <v>238</v>
      </c>
      <c r="FW3384" s="5" t="s">
        <v>238</v>
      </c>
      <c r="FX3384" s="5" t="s">
        <v>238</v>
      </c>
      <c r="FY3384" s="5" t="s">
        <v>238</v>
      </c>
      <c r="FZ3384" s="5" t="s">
        <v>238</v>
      </c>
      <c r="GA3384" s="5" t="s">
        <v>238</v>
      </c>
      <c r="GB3384" s="5" t="s">
        <v>238</v>
      </c>
      <c r="GC3384" s="5" t="s">
        <v>238</v>
      </c>
      <c r="GD3384" s="5" t="s">
        <v>238</v>
      </c>
      <c r="GE3384" s="5" t="s">
        <v>238</v>
      </c>
      <c r="GF3384" s="5" t="s">
        <v>238</v>
      </c>
      <c r="GG3384" s="5" t="s">
        <v>238</v>
      </c>
      <c r="GH3384" s="5" t="s">
        <v>238</v>
      </c>
      <c r="GI3384" s="5" t="s">
        <v>238</v>
      </c>
      <c r="GJ3384" s="5" t="s">
        <v>238</v>
      </c>
      <c r="GK3384" s="5" t="s">
        <v>238</v>
      </c>
      <c r="GL3384" s="5" t="s">
        <v>238</v>
      </c>
      <c r="GM3384" s="5" t="s">
        <v>238</v>
      </c>
      <c r="GN3384" s="5" t="s">
        <v>238</v>
      </c>
      <c r="GO3384" s="5" t="s">
        <v>238</v>
      </c>
      <c r="GP3384" s="5" t="s">
        <v>238</v>
      </c>
      <c r="GQ3384" s="5" t="s">
        <v>238</v>
      </c>
      <c r="GR3384" s="5" t="s">
        <v>238</v>
      </c>
      <c r="GS3384" s="5" t="s">
        <v>238</v>
      </c>
      <c r="GT3384" s="5" t="s">
        <v>238</v>
      </c>
      <c r="GU3384" s="5" t="s">
        <v>238</v>
      </c>
      <c r="GV3384" s="5" t="s">
        <v>238</v>
      </c>
      <c r="GW3384" s="5" t="s">
        <v>238</v>
      </c>
      <c r="GX3384" s="5" t="s">
        <v>238</v>
      </c>
      <c r="GY3384" s="5" t="s">
        <v>238</v>
      </c>
      <c r="GZ3384" s="5" t="s">
        <v>238</v>
      </c>
      <c r="HA3384" s="5" t="s">
        <v>238</v>
      </c>
      <c r="HB3384" s="5" t="s">
        <v>238</v>
      </c>
      <c r="HC3384" s="5" t="s">
        <v>238</v>
      </c>
      <c r="HD3384" s="5" t="s">
        <v>238</v>
      </c>
      <c r="HE3384" s="5" t="s">
        <v>238</v>
      </c>
      <c r="HF3384" s="5" t="s">
        <v>238</v>
      </c>
      <c r="HG3384" s="5" t="s">
        <v>238</v>
      </c>
      <c r="HH3384" s="5" t="s">
        <v>238</v>
      </c>
      <c r="HI3384" s="5" t="s">
        <v>238</v>
      </c>
      <c r="HJ3384" s="5" t="s">
        <v>238</v>
      </c>
      <c r="HK3384" s="5" t="s">
        <v>238</v>
      </c>
      <c r="HL3384" s="5" t="s">
        <v>238</v>
      </c>
      <c r="HM3384" s="5" t="s">
        <v>264</v>
      </c>
      <c r="HN3384" s="5" t="s">
        <v>238</v>
      </c>
      <c r="HO3384" s="5" t="s">
        <v>238</v>
      </c>
      <c r="HP3384" s="5" t="s">
        <v>238</v>
      </c>
      <c r="HQ3384" s="5" t="s">
        <v>238</v>
      </c>
      <c r="HR3384" s="5" t="s">
        <v>238</v>
      </c>
      <c r="HS3384" s="5" t="s">
        <v>238</v>
      </c>
      <c r="HT3384" s="5" t="s">
        <v>238</v>
      </c>
      <c r="HU3384" s="5" t="s">
        <v>238</v>
      </c>
      <c r="HV3384" s="5" t="s">
        <v>238</v>
      </c>
      <c r="HW3384" s="5" t="s">
        <v>238</v>
      </c>
      <c r="HX3384" s="5" t="s">
        <v>238</v>
      </c>
      <c r="HY3384" s="5" t="s">
        <v>238</v>
      </c>
      <c r="HZ3384" s="5" t="s">
        <v>238</v>
      </c>
      <c r="IA3384" s="5" t="s">
        <v>238</v>
      </c>
      <c r="IB3384" s="5" t="s">
        <v>238</v>
      </c>
      <c r="IC3384" s="5" t="s">
        <v>238</v>
      </c>
      <c r="ID3384" s="5" t="s">
        <v>238</v>
      </c>
    </row>
    <row r="3385" spans="1:238" x14ac:dyDescent="0.4">
      <c r="A3385" s="5">
        <v>9103</v>
      </c>
      <c r="B3385" s="5">
        <v>1</v>
      </c>
      <c r="C3385" s="5">
        <v>1</v>
      </c>
      <c r="D3385" s="5" t="s">
        <v>484</v>
      </c>
      <c r="E3385" s="5" t="s">
        <v>485</v>
      </c>
      <c r="F3385" s="5" t="s">
        <v>248</v>
      </c>
      <c r="G3385" s="5" t="s">
        <v>4754</v>
      </c>
      <c r="H3385" s="6" t="s">
        <v>4756</v>
      </c>
      <c r="I3385" s="8">
        <f>1</f>
        <v>1</v>
      </c>
      <c r="J3385" s="5" t="s">
        <v>499</v>
      </c>
      <c r="K3385" s="8">
        <f>1</f>
        <v>1</v>
      </c>
      <c r="L3385" s="6" t="s">
        <v>242</v>
      </c>
      <c r="M3385" s="5" t="s">
        <v>267</v>
      </c>
      <c r="N3385" s="5" t="s">
        <v>482</v>
      </c>
      <c r="O3385" s="5" t="s">
        <v>238</v>
      </c>
      <c r="P3385" s="5" t="s">
        <v>238</v>
      </c>
      <c r="Q3385" s="5" t="s">
        <v>239</v>
      </c>
      <c r="R3385" s="5" t="s">
        <v>270</v>
      </c>
      <c r="S3385" s="5" t="s">
        <v>238</v>
      </c>
      <c r="T3385" s="5" t="s">
        <v>238</v>
      </c>
      <c r="U3385" s="5" t="s">
        <v>238</v>
      </c>
      <c r="V3385" s="5" t="s">
        <v>238</v>
      </c>
      <c r="W3385" s="6" t="s">
        <v>238</v>
      </c>
      <c r="X3385" s="6" t="s">
        <v>238</v>
      </c>
      <c r="Y3385" s="5" t="s">
        <v>238</v>
      </c>
      <c r="Z3385" s="6" t="s">
        <v>238</v>
      </c>
      <c r="AA3385" s="6" t="s">
        <v>243</v>
      </c>
      <c r="AB3385" s="5" t="s">
        <v>4755</v>
      </c>
      <c r="AC3385" s="5" t="s">
        <v>244</v>
      </c>
      <c r="AD3385" s="5" t="s">
        <v>245</v>
      </c>
      <c r="AE3385" s="5" t="s">
        <v>238</v>
      </c>
      <c r="AF3385" s="5" t="s">
        <v>238</v>
      </c>
      <c r="AG3385" s="5" t="s">
        <v>238</v>
      </c>
      <c r="AH3385" s="5" t="s">
        <v>238</v>
      </c>
      <c r="AI3385" s="5" t="s">
        <v>238</v>
      </c>
      <c r="AJ3385" s="5" t="s">
        <v>238</v>
      </c>
      <c r="AK3385" s="5" t="s">
        <v>238</v>
      </c>
      <c r="AL3385" s="5" t="s">
        <v>238</v>
      </c>
      <c r="AM3385" s="6" t="s">
        <v>238</v>
      </c>
      <c r="AN3385" s="6" t="s">
        <v>238</v>
      </c>
      <c r="AO3385" s="6" t="s">
        <v>238</v>
      </c>
      <c r="AP3385" s="6" t="s">
        <v>238</v>
      </c>
      <c r="AQ3385" s="5" t="s">
        <v>238</v>
      </c>
      <c r="AR3385" s="5" t="s">
        <v>488</v>
      </c>
      <c r="AS3385" s="5" t="s">
        <v>488</v>
      </c>
      <c r="AT3385" s="5" t="s">
        <v>246</v>
      </c>
      <c r="AU3385" s="5" t="s">
        <v>489</v>
      </c>
      <c r="AV3385" s="5" t="s">
        <v>247</v>
      </c>
      <c r="AW3385" s="5" t="s">
        <v>238</v>
      </c>
      <c r="AX3385" s="5" t="s">
        <v>249</v>
      </c>
      <c r="AY3385" s="5" t="s">
        <v>490</v>
      </c>
      <c r="BA3385" s="5" t="s">
        <v>238</v>
      </c>
      <c r="BC3385" s="5" t="s">
        <v>491</v>
      </c>
      <c r="BD3385" s="6" t="s">
        <v>492</v>
      </c>
      <c r="BE3385" s="5" t="s">
        <v>493</v>
      </c>
      <c r="BF3385" s="5" t="s">
        <v>493</v>
      </c>
      <c r="BG3385" s="5" t="s">
        <v>238</v>
      </c>
      <c r="BH3385" s="8">
        <f>1</f>
        <v>1</v>
      </c>
      <c r="BI3385" s="8">
        <f>1</f>
        <v>1</v>
      </c>
      <c r="BJ3385" s="5" t="s">
        <v>253</v>
      </c>
      <c r="BK3385" s="5" t="s">
        <v>254</v>
      </c>
      <c r="BL3385" s="5" t="s">
        <v>238</v>
      </c>
      <c r="BM3385" s="5" t="s">
        <v>238</v>
      </c>
      <c r="BN3385" s="5" t="s">
        <v>238</v>
      </c>
      <c r="BO3385" s="5" t="s">
        <v>238</v>
      </c>
      <c r="BP3385" s="5" t="s">
        <v>238</v>
      </c>
      <c r="BQ3385" s="5" t="s">
        <v>238</v>
      </c>
      <c r="BR3385" s="5" t="s">
        <v>238</v>
      </c>
      <c r="BS3385" s="5" t="s">
        <v>238</v>
      </c>
      <c r="BT3385" s="6" t="s">
        <v>238</v>
      </c>
      <c r="BU3385" s="5" t="s">
        <v>238</v>
      </c>
      <c r="BV3385" s="5" t="s">
        <v>238</v>
      </c>
      <c r="BW3385" s="5" t="s">
        <v>238</v>
      </c>
      <c r="BX3385" s="5" t="s">
        <v>254</v>
      </c>
      <c r="BY3385" s="5" t="s">
        <v>238</v>
      </c>
      <c r="BZ3385" s="5" t="s">
        <v>238</v>
      </c>
      <c r="CA3385" s="5" t="s">
        <v>238</v>
      </c>
      <c r="CB3385" s="5" t="s">
        <v>238</v>
      </c>
      <c r="CC3385" s="5" t="s">
        <v>238</v>
      </c>
      <c r="CD3385" s="5" t="s">
        <v>273</v>
      </c>
      <c r="CE3385" s="5" t="s">
        <v>256</v>
      </c>
      <c r="CF3385" s="5" t="s">
        <v>238</v>
      </c>
      <c r="CH3385" s="5" t="s">
        <v>494</v>
      </c>
      <c r="CI3385" s="6" t="s">
        <v>257</v>
      </c>
      <c r="CJ3385" s="5" t="s">
        <v>495</v>
      </c>
      <c r="CK3385" s="5" t="s">
        <v>258</v>
      </c>
      <c r="CL3385" s="5" t="s">
        <v>496</v>
      </c>
      <c r="CM3385" s="5" t="s">
        <v>238</v>
      </c>
      <c r="CN3385" s="5">
        <v>0</v>
      </c>
      <c r="CO3385" s="5" t="s">
        <v>497</v>
      </c>
      <c r="CP3385" s="5" t="s">
        <v>260</v>
      </c>
      <c r="CQ3385" s="5" t="s">
        <v>260</v>
      </c>
      <c r="CR3385" s="5" t="s">
        <v>261</v>
      </c>
      <c r="CS3385" s="5" t="s">
        <v>498</v>
      </c>
      <c r="CT3385" s="7">
        <f>1</f>
        <v>1</v>
      </c>
      <c r="CU3385" s="8">
        <f>1</f>
        <v>1</v>
      </c>
      <c r="CV3385" s="8">
        <f>0</f>
        <v>0</v>
      </c>
      <c r="CX3385" s="8">
        <f>1</f>
        <v>1</v>
      </c>
      <c r="CY3385" s="8">
        <f>1</f>
        <v>1</v>
      </c>
      <c r="CZ3385" s="8" t="s">
        <v>238</v>
      </c>
      <c r="DA3385" s="5" t="s">
        <v>238</v>
      </c>
      <c r="DB3385" s="5" t="s">
        <v>238</v>
      </c>
      <c r="DC3385" s="5" t="s">
        <v>238</v>
      </c>
      <c r="DD3385" s="5" t="s">
        <v>238</v>
      </c>
      <c r="DE3385" s="8">
        <f>0</f>
        <v>0</v>
      </c>
      <c r="DG3385" s="5" t="s">
        <v>238</v>
      </c>
      <c r="DH3385" s="5" t="s">
        <v>238</v>
      </c>
      <c r="DI3385" s="5" t="s">
        <v>238</v>
      </c>
      <c r="DJ3385" s="5" t="s">
        <v>238</v>
      </c>
      <c r="DK3385" s="5" t="s">
        <v>238</v>
      </c>
      <c r="DL3385" s="5" t="s">
        <v>238</v>
      </c>
      <c r="DM3385" s="8" t="s">
        <v>238</v>
      </c>
      <c r="DN3385" s="5" t="s">
        <v>238</v>
      </c>
      <c r="DO3385" s="5" t="s">
        <v>238</v>
      </c>
      <c r="DP3385" s="5" t="s">
        <v>490</v>
      </c>
      <c r="DQ3385" s="5" t="s">
        <v>490</v>
      </c>
      <c r="DR3385" s="5" t="s">
        <v>238</v>
      </c>
      <c r="DS3385" s="5" t="s">
        <v>238</v>
      </c>
      <c r="DT3385" s="5" t="s">
        <v>500</v>
      </c>
      <c r="DU3385" s="5" t="s">
        <v>685</v>
      </c>
      <c r="DV3385" s="5" t="s">
        <v>238</v>
      </c>
      <c r="DW3385" s="5" t="s">
        <v>238</v>
      </c>
      <c r="DX3385" s="5" t="s">
        <v>238</v>
      </c>
      <c r="DY3385" s="5" t="s">
        <v>238</v>
      </c>
      <c r="DZ3385" s="5" t="s">
        <v>238</v>
      </c>
      <c r="EA3385" s="5" t="s">
        <v>238</v>
      </c>
      <c r="EB3385" s="5" t="s">
        <v>238</v>
      </c>
      <c r="EC3385" s="5" t="s">
        <v>238</v>
      </c>
      <c r="ED3385" s="5" t="s">
        <v>238</v>
      </c>
      <c r="EE3385" s="5" t="s">
        <v>238</v>
      </c>
      <c r="EF3385" s="5" t="s">
        <v>238</v>
      </c>
      <c r="EG3385" s="5" t="s">
        <v>238</v>
      </c>
      <c r="EH3385" s="5" t="s">
        <v>238</v>
      </c>
      <c r="EI3385" s="5" t="s">
        <v>238</v>
      </c>
      <c r="EJ3385" s="5" t="s">
        <v>238</v>
      </c>
      <c r="EK3385" s="5" t="s">
        <v>238</v>
      </c>
      <c r="EL3385" s="5" t="s">
        <v>238</v>
      </c>
      <c r="EM3385" s="5" t="s">
        <v>238</v>
      </c>
      <c r="EN3385" s="5" t="s">
        <v>238</v>
      </c>
      <c r="EO3385" s="5" t="s">
        <v>238</v>
      </c>
      <c r="EP3385" s="5" t="s">
        <v>238</v>
      </c>
      <c r="EQ3385" s="5" t="s">
        <v>238</v>
      </c>
      <c r="ER3385" s="5" t="s">
        <v>238</v>
      </c>
      <c r="ES3385" s="5" t="s">
        <v>238</v>
      </c>
      <c r="ET3385" s="5" t="s">
        <v>238</v>
      </c>
      <c r="EU3385" s="5" t="s">
        <v>238</v>
      </c>
      <c r="EV3385" s="5" t="s">
        <v>238</v>
      </c>
      <c r="EW3385" s="5" t="s">
        <v>238</v>
      </c>
      <c r="EX3385" s="5" t="s">
        <v>238</v>
      </c>
      <c r="EY3385" s="5" t="s">
        <v>238</v>
      </c>
      <c r="EZ3385" s="5" t="s">
        <v>238</v>
      </c>
      <c r="FA3385" s="5" t="s">
        <v>238</v>
      </c>
      <c r="FB3385" s="5" t="s">
        <v>238</v>
      </c>
      <c r="FC3385" s="5" t="s">
        <v>238</v>
      </c>
      <c r="FD3385" s="5" t="s">
        <v>238</v>
      </c>
      <c r="FE3385" s="5" t="s">
        <v>238</v>
      </c>
      <c r="FF3385" s="5" t="s">
        <v>238</v>
      </c>
      <c r="FG3385" s="5" t="s">
        <v>238</v>
      </c>
      <c r="FH3385" s="5" t="s">
        <v>238</v>
      </c>
      <c r="FI3385" s="5" t="s">
        <v>238</v>
      </c>
      <c r="FJ3385" s="5" t="s">
        <v>238</v>
      </c>
      <c r="FK3385" s="5" t="s">
        <v>238</v>
      </c>
      <c r="FL3385" s="5" t="s">
        <v>238</v>
      </c>
      <c r="FM3385" s="5" t="s">
        <v>238</v>
      </c>
      <c r="FN3385" s="5" t="s">
        <v>238</v>
      </c>
      <c r="FO3385" s="5" t="s">
        <v>238</v>
      </c>
      <c r="FP3385" s="5" t="s">
        <v>238</v>
      </c>
      <c r="FQ3385" s="5" t="s">
        <v>238</v>
      </c>
      <c r="FR3385" s="5" t="s">
        <v>238</v>
      </c>
      <c r="FS3385" s="5" t="s">
        <v>238</v>
      </c>
      <c r="FT3385" s="5" t="s">
        <v>238</v>
      </c>
      <c r="FU3385" s="5" t="s">
        <v>238</v>
      </c>
      <c r="FV3385" s="5" t="s">
        <v>238</v>
      </c>
      <c r="FW3385" s="5" t="s">
        <v>238</v>
      </c>
      <c r="FX3385" s="5" t="s">
        <v>238</v>
      </c>
      <c r="FY3385" s="5" t="s">
        <v>238</v>
      </c>
      <c r="FZ3385" s="5" t="s">
        <v>238</v>
      </c>
      <c r="GA3385" s="5" t="s">
        <v>238</v>
      </c>
      <c r="GB3385" s="5" t="s">
        <v>238</v>
      </c>
      <c r="GC3385" s="5" t="s">
        <v>238</v>
      </c>
      <c r="GD3385" s="5" t="s">
        <v>238</v>
      </c>
      <c r="GE3385" s="5" t="s">
        <v>238</v>
      </c>
      <c r="GF3385" s="5" t="s">
        <v>238</v>
      </c>
      <c r="GG3385" s="5" t="s">
        <v>238</v>
      </c>
      <c r="GH3385" s="5" t="s">
        <v>238</v>
      </c>
      <c r="GI3385" s="5" t="s">
        <v>238</v>
      </c>
      <c r="GJ3385" s="5" t="s">
        <v>238</v>
      </c>
      <c r="GK3385" s="5" t="s">
        <v>238</v>
      </c>
      <c r="GL3385" s="5" t="s">
        <v>238</v>
      </c>
      <c r="GM3385" s="5" t="s">
        <v>238</v>
      </c>
      <c r="GN3385" s="5" t="s">
        <v>238</v>
      </c>
      <c r="GO3385" s="5" t="s">
        <v>238</v>
      </c>
      <c r="GP3385" s="5" t="s">
        <v>238</v>
      </c>
      <c r="GQ3385" s="5" t="s">
        <v>238</v>
      </c>
      <c r="GR3385" s="5" t="s">
        <v>238</v>
      </c>
      <c r="GS3385" s="5" t="s">
        <v>238</v>
      </c>
      <c r="GT3385" s="5" t="s">
        <v>238</v>
      </c>
      <c r="GU3385" s="5" t="s">
        <v>238</v>
      </c>
      <c r="GV3385" s="5" t="s">
        <v>238</v>
      </c>
      <c r="GW3385" s="5" t="s">
        <v>238</v>
      </c>
      <c r="GX3385" s="5" t="s">
        <v>238</v>
      </c>
      <c r="GY3385" s="5" t="s">
        <v>238</v>
      </c>
      <c r="GZ3385" s="5" t="s">
        <v>238</v>
      </c>
      <c r="HA3385" s="5" t="s">
        <v>238</v>
      </c>
      <c r="HB3385" s="5" t="s">
        <v>238</v>
      </c>
      <c r="HC3385" s="5" t="s">
        <v>238</v>
      </c>
      <c r="HD3385" s="5" t="s">
        <v>238</v>
      </c>
      <c r="HE3385" s="5" t="s">
        <v>238</v>
      </c>
      <c r="HF3385" s="5" t="s">
        <v>238</v>
      </c>
      <c r="HG3385" s="5" t="s">
        <v>238</v>
      </c>
      <c r="HH3385" s="5" t="s">
        <v>238</v>
      </c>
      <c r="HI3385" s="5" t="s">
        <v>238</v>
      </c>
      <c r="HJ3385" s="5" t="s">
        <v>238</v>
      </c>
      <c r="HK3385" s="5" t="s">
        <v>238</v>
      </c>
      <c r="HL3385" s="5" t="s">
        <v>238</v>
      </c>
      <c r="HM3385" s="5" t="s">
        <v>264</v>
      </c>
      <c r="HN3385" s="5" t="s">
        <v>238</v>
      </c>
      <c r="HO3385" s="5" t="s">
        <v>238</v>
      </c>
      <c r="HP3385" s="5" t="s">
        <v>238</v>
      </c>
      <c r="HQ3385" s="5" t="s">
        <v>238</v>
      </c>
      <c r="HR3385" s="5" t="s">
        <v>238</v>
      </c>
      <c r="HS3385" s="5" t="s">
        <v>238</v>
      </c>
      <c r="HT3385" s="5" t="s">
        <v>238</v>
      </c>
      <c r="HU3385" s="5" t="s">
        <v>238</v>
      </c>
      <c r="HV3385" s="5" t="s">
        <v>238</v>
      </c>
      <c r="HW3385" s="5" t="s">
        <v>238</v>
      </c>
      <c r="HX3385" s="5" t="s">
        <v>238</v>
      </c>
      <c r="HY3385" s="5" t="s">
        <v>238</v>
      </c>
      <c r="HZ3385" s="5" t="s">
        <v>238</v>
      </c>
      <c r="IA3385" s="5" t="s">
        <v>238</v>
      </c>
      <c r="IB3385" s="5" t="s">
        <v>238</v>
      </c>
      <c r="IC3385" s="5" t="s">
        <v>238</v>
      </c>
      <c r="ID3385" s="5" t="s">
        <v>238</v>
      </c>
    </row>
    <row r="3386" spans="1:238" x14ac:dyDescent="0.4">
      <c r="A3386" s="5">
        <v>9104</v>
      </c>
      <c r="B3386" s="5">
        <v>1</v>
      </c>
      <c r="C3386" s="5">
        <v>1</v>
      </c>
      <c r="D3386" s="5" t="s">
        <v>484</v>
      </c>
      <c r="E3386" s="5" t="s">
        <v>485</v>
      </c>
      <c r="F3386" s="5" t="s">
        <v>248</v>
      </c>
      <c r="G3386" s="5" t="s">
        <v>4437</v>
      </c>
      <c r="H3386" s="6" t="s">
        <v>4439</v>
      </c>
      <c r="I3386" s="8">
        <f>1</f>
        <v>1</v>
      </c>
      <c r="J3386" s="5" t="s">
        <v>499</v>
      </c>
      <c r="K3386" s="8">
        <f>1</f>
        <v>1</v>
      </c>
      <c r="L3386" s="6" t="s">
        <v>242</v>
      </c>
      <c r="M3386" s="5" t="s">
        <v>267</v>
      </c>
      <c r="N3386" s="5" t="s">
        <v>482</v>
      </c>
      <c r="O3386" s="5" t="s">
        <v>238</v>
      </c>
      <c r="P3386" s="5" t="s">
        <v>238</v>
      </c>
      <c r="Q3386" s="5" t="s">
        <v>239</v>
      </c>
      <c r="R3386" s="5" t="s">
        <v>270</v>
      </c>
      <c r="S3386" s="5" t="s">
        <v>238</v>
      </c>
      <c r="T3386" s="5" t="s">
        <v>238</v>
      </c>
      <c r="U3386" s="5" t="s">
        <v>238</v>
      </c>
      <c r="V3386" s="5" t="s">
        <v>238</v>
      </c>
      <c r="W3386" s="6" t="s">
        <v>238</v>
      </c>
      <c r="X3386" s="6" t="s">
        <v>238</v>
      </c>
      <c r="Y3386" s="5" t="s">
        <v>238</v>
      </c>
      <c r="Z3386" s="6" t="s">
        <v>238</v>
      </c>
      <c r="AA3386" s="6" t="s">
        <v>243</v>
      </c>
      <c r="AB3386" s="5" t="s">
        <v>4438</v>
      </c>
      <c r="AC3386" s="5" t="s">
        <v>244</v>
      </c>
      <c r="AD3386" s="5" t="s">
        <v>245</v>
      </c>
      <c r="AE3386" s="5" t="s">
        <v>238</v>
      </c>
      <c r="AF3386" s="5" t="s">
        <v>238</v>
      </c>
      <c r="AG3386" s="5" t="s">
        <v>238</v>
      </c>
      <c r="AH3386" s="5" t="s">
        <v>238</v>
      </c>
      <c r="AI3386" s="5" t="s">
        <v>238</v>
      </c>
      <c r="AJ3386" s="5" t="s">
        <v>238</v>
      </c>
      <c r="AK3386" s="5" t="s">
        <v>238</v>
      </c>
      <c r="AL3386" s="5" t="s">
        <v>238</v>
      </c>
      <c r="AM3386" s="6" t="s">
        <v>238</v>
      </c>
      <c r="AN3386" s="6" t="s">
        <v>238</v>
      </c>
      <c r="AO3386" s="6" t="s">
        <v>238</v>
      </c>
      <c r="AP3386" s="6" t="s">
        <v>238</v>
      </c>
      <c r="AQ3386" s="5" t="s">
        <v>238</v>
      </c>
      <c r="AR3386" s="5" t="s">
        <v>488</v>
      </c>
      <c r="AS3386" s="5" t="s">
        <v>488</v>
      </c>
      <c r="AT3386" s="5" t="s">
        <v>246</v>
      </c>
      <c r="AU3386" s="5" t="s">
        <v>489</v>
      </c>
      <c r="AV3386" s="5" t="s">
        <v>247</v>
      </c>
      <c r="AW3386" s="5" t="s">
        <v>238</v>
      </c>
      <c r="AX3386" s="5" t="s">
        <v>249</v>
      </c>
      <c r="AY3386" s="5" t="s">
        <v>490</v>
      </c>
      <c r="BA3386" s="5" t="s">
        <v>238</v>
      </c>
      <c r="BC3386" s="5" t="s">
        <v>491</v>
      </c>
      <c r="BD3386" s="6" t="s">
        <v>492</v>
      </c>
      <c r="BE3386" s="5" t="s">
        <v>493</v>
      </c>
      <c r="BF3386" s="5" t="s">
        <v>493</v>
      </c>
      <c r="BG3386" s="5" t="s">
        <v>238</v>
      </c>
      <c r="BH3386" s="8">
        <f>1</f>
        <v>1</v>
      </c>
      <c r="BI3386" s="8">
        <f>1</f>
        <v>1</v>
      </c>
      <c r="BJ3386" s="5" t="s">
        <v>253</v>
      </c>
      <c r="BK3386" s="5" t="s">
        <v>254</v>
      </c>
      <c r="BL3386" s="5" t="s">
        <v>238</v>
      </c>
      <c r="BM3386" s="5" t="s">
        <v>238</v>
      </c>
      <c r="BN3386" s="5" t="s">
        <v>238</v>
      </c>
      <c r="BO3386" s="5" t="s">
        <v>238</v>
      </c>
      <c r="BP3386" s="5" t="s">
        <v>238</v>
      </c>
      <c r="BQ3386" s="5" t="s">
        <v>238</v>
      </c>
      <c r="BR3386" s="5" t="s">
        <v>238</v>
      </c>
      <c r="BS3386" s="5" t="s">
        <v>238</v>
      </c>
      <c r="BT3386" s="6" t="s">
        <v>238</v>
      </c>
      <c r="BU3386" s="5" t="s">
        <v>238</v>
      </c>
      <c r="BV3386" s="5" t="s">
        <v>238</v>
      </c>
      <c r="BW3386" s="5" t="s">
        <v>238</v>
      </c>
      <c r="BX3386" s="5" t="s">
        <v>254</v>
      </c>
      <c r="BY3386" s="5" t="s">
        <v>238</v>
      </c>
      <c r="BZ3386" s="5" t="s">
        <v>238</v>
      </c>
      <c r="CA3386" s="5" t="s">
        <v>238</v>
      </c>
      <c r="CB3386" s="5" t="s">
        <v>238</v>
      </c>
      <c r="CC3386" s="5" t="s">
        <v>238</v>
      </c>
      <c r="CD3386" s="5" t="s">
        <v>273</v>
      </c>
      <c r="CE3386" s="5" t="s">
        <v>256</v>
      </c>
      <c r="CF3386" s="5" t="s">
        <v>238</v>
      </c>
      <c r="CH3386" s="5" t="s">
        <v>494</v>
      </c>
      <c r="CI3386" s="6" t="s">
        <v>257</v>
      </c>
      <c r="CJ3386" s="5" t="s">
        <v>495</v>
      </c>
      <c r="CK3386" s="5" t="s">
        <v>258</v>
      </c>
      <c r="CL3386" s="5" t="s">
        <v>496</v>
      </c>
      <c r="CM3386" s="5" t="s">
        <v>238</v>
      </c>
      <c r="CN3386" s="5">
        <v>0</v>
      </c>
      <c r="CO3386" s="5" t="s">
        <v>497</v>
      </c>
      <c r="CP3386" s="5" t="s">
        <v>260</v>
      </c>
      <c r="CQ3386" s="5" t="s">
        <v>260</v>
      </c>
      <c r="CR3386" s="5" t="s">
        <v>261</v>
      </c>
      <c r="CS3386" s="5" t="s">
        <v>498</v>
      </c>
      <c r="CT3386" s="7">
        <f>1</f>
        <v>1</v>
      </c>
      <c r="CU3386" s="8">
        <f>1</f>
        <v>1</v>
      </c>
      <c r="CV3386" s="8">
        <f>0</f>
        <v>0</v>
      </c>
      <c r="CX3386" s="8">
        <f>1</f>
        <v>1</v>
      </c>
      <c r="CY3386" s="8">
        <f>1</f>
        <v>1</v>
      </c>
      <c r="CZ3386" s="8" t="s">
        <v>238</v>
      </c>
      <c r="DA3386" s="5" t="s">
        <v>238</v>
      </c>
      <c r="DB3386" s="5" t="s">
        <v>238</v>
      </c>
      <c r="DC3386" s="5" t="s">
        <v>238</v>
      </c>
      <c r="DD3386" s="5" t="s">
        <v>238</v>
      </c>
      <c r="DE3386" s="8">
        <f>0</f>
        <v>0</v>
      </c>
      <c r="DG3386" s="5" t="s">
        <v>238</v>
      </c>
      <c r="DH3386" s="5" t="s">
        <v>238</v>
      </c>
      <c r="DI3386" s="5" t="s">
        <v>238</v>
      </c>
      <c r="DJ3386" s="5" t="s">
        <v>238</v>
      </c>
      <c r="DK3386" s="5" t="s">
        <v>238</v>
      </c>
      <c r="DL3386" s="5" t="s">
        <v>238</v>
      </c>
      <c r="DM3386" s="8" t="s">
        <v>238</v>
      </c>
      <c r="DN3386" s="5" t="s">
        <v>238</v>
      </c>
      <c r="DO3386" s="5" t="s">
        <v>238</v>
      </c>
      <c r="DP3386" s="5" t="s">
        <v>490</v>
      </c>
      <c r="DQ3386" s="5" t="s">
        <v>490</v>
      </c>
      <c r="DR3386" s="5" t="s">
        <v>238</v>
      </c>
      <c r="DS3386" s="5" t="s">
        <v>238</v>
      </c>
      <c r="DT3386" s="5" t="s">
        <v>500</v>
      </c>
      <c r="DU3386" s="5" t="s">
        <v>1094</v>
      </c>
      <c r="DV3386" s="5" t="s">
        <v>238</v>
      </c>
      <c r="DW3386" s="5" t="s">
        <v>238</v>
      </c>
      <c r="DX3386" s="5" t="s">
        <v>238</v>
      </c>
      <c r="DY3386" s="5" t="s">
        <v>238</v>
      </c>
      <c r="DZ3386" s="5" t="s">
        <v>238</v>
      </c>
      <c r="EA3386" s="5" t="s">
        <v>238</v>
      </c>
      <c r="EB3386" s="5" t="s">
        <v>238</v>
      </c>
      <c r="EC3386" s="5" t="s">
        <v>238</v>
      </c>
      <c r="ED3386" s="5" t="s">
        <v>238</v>
      </c>
      <c r="EE3386" s="5" t="s">
        <v>238</v>
      </c>
      <c r="EF3386" s="5" t="s">
        <v>238</v>
      </c>
      <c r="EG3386" s="5" t="s">
        <v>238</v>
      </c>
      <c r="EH3386" s="5" t="s">
        <v>238</v>
      </c>
      <c r="EI3386" s="5" t="s">
        <v>238</v>
      </c>
      <c r="EJ3386" s="5" t="s">
        <v>238</v>
      </c>
      <c r="EK3386" s="5" t="s">
        <v>238</v>
      </c>
      <c r="EL3386" s="5" t="s">
        <v>238</v>
      </c>
      <c r="EM3386" s="5" t="s">
        <v>238</v>
      </c>
      <c r="EN3386" s="5" t="s">
        <v>238</v>
      </c>
      <c r="EO3386" s="5" t="s">
        <v>238</v>
      </c>
      <c r="EP3386" s="5" t="s">
        <v>238</v>
      </c>
      <c r="EQ3386" s="5" t="s">
        <v>238</v>
      </c>
      <c r="ER3386" s="5" t="s">
        <v>238</v>
      </c>
      <c r="ES3386" s="5" t="s">
        <v>238</v>
      </c>
      <c r="ET3386" s="5" t="s">
        <v>238</v>
      </c>
      <c r="EU3386" s="5" t="s">
        <v>238</v>
      </c>
      <c r="EV3386" s="5" t="s">
        <v>238</v>
      </c>
      <c r="EW3386" s="5" t="s">
        <v>238</v>
      </c>
      <c r="EX3386" s="5" t="s">
        <v>238</v>
      </c>
      <c r="EY3386" s="5" t="s">
        <v>238</v>
      </c>
      <c r="EZ3386" s="5" t="s">
        <v>238</v>
      </c>
      <c r="FA3386" s="5" t="s">
        <v>238</v>
      </c>
      <c r="FB3386" s="5" t="s">
        <v>238</v>
      </c>
      <c r="FC3386" s="5" t="s">
        <v>238</v>
      </c>
      <c r="FD3386" s="5" t="s">
        <v>238</v>
      </c>
      <c r="FE3386" s="5" t="s">
        <v>238</v>
      </c>
      <c r="FF3386" s="5" t="s">
        <v>238</v>
      </c>
      <c r="FG3386" s="5" t="s">
        <v>238</v>
      </c>
      <c r="FH3386" s="5" t="s">
        <v>238</v>
      </c>
      <c r="FI3386" s="5" t="s">
        <v>238</v>
      </c>
      <c r="FJ3386" s="5" t="s">
        <v>238</v>
      </c>
      <c r="FK3386" s="5" t="s">
        <v>238</v>
      </c>
      <c r="FL3386" s="5" t="s">
        <v>238</v>
      </c>
      <c r="FM3386" s="5" t="s">
        <v>238</v>
      </c>
      <c r="FN3386" s="5" t="s">
        <v>238</v>
      </c>
      <c r="FO3386" s="5" t="s">
        <v>238</v>
      </c>
      <c r="FP3386" s="5" t="s">
        <v>238</v>
      </c>
      <c r="FQ3386" s="5" t="s">
        <v>238</v>
      </c>
      <c r="FR3386" s="5" t="s">
        <v>238</v>
      </c>
      <c r="FS3386" s="5" t="s">
        <v>238</v>
      </c>
      <c r="FT3386" s="5" t="s">
        <v>238</v>
      </c>
      <c r="FU3386" s="5" t="s">
        <v>238</v>
      </c>
      <c r="FV3386" s="5" t="s">
        <v>238</v>
      </c>
      <c r="FW3386" s="5" t="s">
        <v>238</v>
      </c>
      <c r="FX3386" s="5" t="s">
        <v>238</v>
      </c>
      <c r="FY3386" s="5" t="s">
        <v>238</v>
      </c>
      <c r="FZ3386" s="5" t="s">
        <v>238</v>
      </c>
      <c r="GA3386" s="5" t="s">
        <v>238</v>
      </c>
      <c r="GB3386" s="5" t="s">
        <v>238</v>
      </c>
      <c r="GC3386" s="5" t="s">
        <v>238</v>
      </c>
      <c r="GD3386" s="5" t="s">
        <v>238</v>
      </c>
      <c r="GE3386" s="5" t="s">
        <v>238</v>
      </c>
      <c r="GF3386" s="5" t="s">
        <v>238</v>
      </c>
      <c r="GG3386" s="5" t="s">
        <v>238</v>
      </c>
      <c r="GH3386" s="5" t="s">
        <v>238</v>
      </c>
      <c r="GI3386" s="5" t="s">
        <v>238</v>
      </c>
      <c r="GJ3386" s="5" t="s">
        <v>238</v>
      </c>
      <c r="GK3386" s="5" t="s">
        <v>238</v>
      </c>
      <c r="GL3386" s="5" t="s">
        <v>238</v>
      </c>
      <c r="GM3386" s="5" t="s">
        <v>238</v>
      </c>
      <c r="GN3386" s="5" t="s">
        <v>238</v>
      </c>
      <c r="GO3386" s="5" t="s">
        <v>238</v>
      </c>
      <c r="GP3386" s="5" t="s">
        <v>238</v>
      </c>
      <c r="GQ3386" s="5" t="s">
        <v>238</v>
      </c>
      <c r="GR3386" s="5" t="s">
        <v>238</v>
      </c>
      <c r="GS3386" s="5" t="s">
        <v>238</v>
      </c>
      <c r="GT3386" s="5" t="s">
        <v>238</v>
      </c>
      <c r="GU3386" s="5" t="s">
        <v>238</v>
      </c>
      <c r="GV3386" s="5" t="s">
        <v>238</v>
      </c>
      <c r="GW3386" s="5" t="s">
        <v>238</v>
      </c>
      <c r="GX3386" s="5" t="s">
        <v>238</v>
      </c>
      <c r="GY3386" s="5" t="s">
        <v>238</v>
      </c>
      <c r="GZ3386" s="5" t="s">
        <v>238</v>
      </c>
      <c r="HA3386" s="5" t="s">
        <v>238</v>
      </c>
      <c r="HB3386" s="5" t="s">
        <v>238</v>
      </c>
      <c r="HC3386" s="5" t="s">
        <v>238</v>
      </c>
      <c r="HD3386" s="5" t="s">
        <v>238</v>
      </c>
      <c r="HE3386" s="5" t="s">
        <v>238</v>
      </c>
      <c r="HF3386" s="5" t="s">
        <v>238</v>
      </c>
      <c r="HG3386" s="5" t="s">
        <v>238</v>
      </c>
      <c r="HH3386" s="5" t="s">
        <v>238</v>
      </c>
      <c r="HI3386" s="5" t="s">
        <v>238</v>
      </c>
      <c r="HJ3386" s="5" t="s">
        <v>238</v>
      </c>
      <c r="HK3386" s="5" t="s">
        <v>238</v>
      </c>
      <c r="HL3386" s="5" t="s">
        <v>238</v>
      </c>
      <c r="HM3386" s="5" t="s">
        <v>264</v>
      </c>
      <c r="HN3386" s="5" t="s">
        <v>238</v>
      </c>
      <c r="HO3386" s="5" t="s">
        <v>238</v>
      </c>
      <c r="HP3386" s="5" t="s">
        <v>238</v>
      </c>
      <c r="HQ3386" s="5" t="s">
        <v>238</v>
      </c>
      <c r="HR3386" s="5" t="s">
        <v>238</v>
      </c>
      <c r="HS3386" s="5" t="s">
        <v>238</v>
      </c>
      <c r="HT3386" s="5" t="s">
        <v>238</v>
      </c>
      <c r="HU3386" s="5" t="s">
        <v>238</v>
      </c>
      <c r="HV3386" s="5" t="s">
        <v>238</v>
      </c>
      <c r="HW3386" s="5" t="s">
        <v>238</v>
      </c>
      <c r="HX3386" s="5" t="s">
        <v>238</v>
      </c>
      <c r="HY3386" s="5" t="s">
        <v>238</v>
      </c>
      <c r="HZ3386" s="5" t="s">
        <v>238</v>
      </c>
      <c r="IA3386" s="5" t="s">
        <v>238</v>
      </c>
      <c r="IB3386" s="5" t="s">
        <v>238</v>
      </c>
      <c r="IC3386" s="5" t="s">
        <v>238</v>
      </c>
      <c r="ID3386" s="5" t="s">
        <v>238</v>
      </c>
    </row>
    <row r="3387" spans="1:238" x14ac:dyDescent="0.4">
      <c r="A3387" s="5">
        <v>9105</v>
      </c>
      <c r="B3387" s="5">
        <v>1</v>
      </c>
      <c r="C3387" s="5">
        <v>1</v>
      </c>
      <c r="D3387" s="5" t="s">
        <v>484</v>
      </c>
      <c r="E3387" s="5" t="s">
        <v>485</v>
      </c>
      <c r="F3387" s="5" t="s">
        <v>248</v>
      </c>
      <c r="G3387" s="5" t="s">
        <v>5356</v>
      </c>
      <c r="H3387" s="6" t="s">
        <v>5357</v>
      </c>
      <c r="I3387" s="8">
        <f>1</f>
        <v>1</v>
      </c>
      <c r="J3387" s="5" t="s">
        <v>499</v>
      </c>
      <c r="K3387" s="8">
        <f>1</f>
        <v>1</v>
      </c>
      <c r="L3387" s="6" t="s">
        <v>242</v>
      </c>
      <c r="M3387" s="5" t="s">
        <v>267</v>
      </c>
      <c r="N3387" s="5" t="s">
        <v>482</v>
      </c>
      <c r="O3387" s="5" t="s">
        <v>238</v>
      </c>
      <c r="P3387" s="5" t="s">
        <v>238</v>
      </c>
      <c r="Q3387" s="5" t="s">
        <v>239</v>
      </c>
      <c r="R3387" s="5" t="s">
        <v>270</v>
      </c>
      <c r="S3387" s="5" t="s">
        <v>238</v>
      </c>
      <c r="T3387" s="5" t="s">
        <v>238</v>
      </c>
      <c r="U3387" s="5" t="s">
        <v>238</v>
      </c>
      <c r="V3387" s="5" t="s">
        <v>238</v>
      </c>
      <c r="W3387" s="6" t="s">
        <v>238</v>
      </c>
      <c r="X3387" s="6" t="s">
        <v>238</v>
      </c>
      <c r="Y3387" s="5" t="s">
        <v>238</v>
      </c>
      <c r="Z3387" s="6" t="s">
        <v>238</v>
      </c>
      <c r="AA3387" s="6" t="s">
        <v>243</v>
      </c>
      <c r="AB3387" s="5" t="s">
        <v>486</v>
      </c>
      <c r="AC3387" s="5" t="s">
        <v>244</v>
      </c>
      <c r="AD3387" s="5" t="s">
        <v>245</v>
      </c>
      <c r="AE3387" s="5" t="s">
        <v>238</v>
      </c>
      <c r="AF3387" s="5" t="s">
        <v>238</v>
      </c>
      <c r="AG3387" s="5" t="s">
        <v>238</v>
      </c>
      <c r="AH3387" s="5" t="s">
        <v>238</v>
      </c>
      <c r="AI3387" s="5" t="s">
        <v>238</v>
      </c>
      <c r="AJ3387" s="5" t="s">
        <v>238</v>
      </c>
      <c r="AK3387" s="5" t="s">
        <v>238</v>
      </c>
      <c r="AL3387" s="5" t="s">
        <v>238</v>
      </c>
      <c r="AM3387" s="6" t="s">
        <v>238</v>
      </c>
      <c r="AN3387" s="6" t="s">
        <v>238</v>
      </c>
      <c r="AO3387" s="6" t="s">
        <v>238</v>
      </c>
      <c r="AP3387" s="6" t="s">
        <v>238</v>
      </c>
      <c r="AQ3387" s="5" t="s">
        <v>238</v>
      </c>
      <c r="AR3387" s="5" t="s">
        <v>488</v>
      </c>
      <c r="AS3387" s="5" t="s">
        <v>488</v>
      </c>
      <c r="AT3387" s="5" t="s">
        <v>246</v>
      </c>
      <c r="AU3387" s="5" t="s">
        <v>489</v>
      </c>
      <c r="AV3387" s="5" t="s">
        <v>247</v>
      </c>
      <c r="AW3387" s="5" t="s">
        <v>238</v>
      </c>
      <c r="AX3387" s="5" t="s">
        <v>249</v>
      </c>
      <c r="AY3387" s="5" t="s">
        <v>490</v>
      </c>
      <c r="BA3387" s="5" t="s">
        <v>238</v>
      </c>
      <c r="BC3387" s="5" t="s">
        <v>491</v>
      </c>
      <c r="BD3387" s="6" t="s">
        <v>492</v>
      </c>
      <c r="BE3387" s="5" t="s">
        <v>493</v>
      </c>
      <c r="BF3387" s="5" t="s">
        <v>493</v>
      </c>
      <c r="BG3387" s="5" t="s">
        <v>238</v>
      </c>
      <c r="BH3387" s="8">
        <f>1</f>
        <v>1</v>
      </c>
      <c r="BI3387" s="8">
        <f>1</f>
        <v>1</v>
      </c>
      <c r="BJ3387" s="5" t="s">
        <v>253</v>
      </c>
      <c r="BK3387" s="5" t="s">
        <v>254</v>
      </c>
      <c r="BL3387" s="5" t="s">
        <v>238</v>
      </c>
      <c r="BM3387" s="5" t="s">
        <v>238</v>
      </c>
      <c r="BN3387" s="5" t="s">
        <v>238</v>
      </c>
      <c r="BO3387" s="5" t="s">
        <v>238</v>
      </c>
      <c r="BP3387" s="5" t="s">
        <v>238</v>
      </c>
      <c r="BQ3387" s="5" t="s">
        <v>238</v>
      </c>
      <c r="BR3387" s="5" t="s">
        <v>238</v>
      </c>
      <c r="BS3387" s="5" t="s">
        <v>238</v>
      </c>
      <c r="BT3387" s="6" t="s">
        <v>238</v>
      </c>
      <c r="BU3387" s="5" t="s">
        <v>238</v>
      </c>
      <c r="BV3387" s="5" t="s">
        <v>238</v>
      </c>
      <c r="BW3387" s="5" t="s">
        <v>238</v>
      </c>
      <c r="BX3387" s="5" t="s">
        <v>254</v>
      </c>
      <c r="BY3387" s="5" t="s">
        <v>238</v>
      </c>
      <c r="BZ3387" s="5" t="s">
        <v>238</v>
      </c>
      <c r="CA3387" s="5" t="s">
        <v>238</v>
      </c>
      <c r="CB3387" s="5" t="s">
        <v>238</v>
      </c>
      <c r="CC3387" s="5" t="s">
        <v>238</v>
      </c>
      <c r="CD3387" s="5" t="s">
        <v>273</v>
      </c>
      <c r="CE3387" s="5" t="s">
        <v>256</v>
      </c>
      <c r="CF3387" s="5" t="s">
        <v>238</v>
      </c>
      <c r="CH3387" s="5" t="s">
        <v>494</v>
      </c>
      <c r="CI3387" s="6" t="s">
        <v>257</v>
      </c>
      <c r="CJ3387" s="5" t="s">
        <v>495</v>
      </c>
      <c r="CK3387" s="5" t="s">
        <v>258</v>
      </c>
      <c r="CL3387" s="5" t="s">
        <v>496</v>
      </c>
      <c r="CM3387" s="5" t="s">
        <v>238</v>
      </c>
      <c r="CN3387" s="5">
        <v>0</v>
      </c>
      <c r="CO3387" s="5" t="s">
        <v>497</v>
      </c>
      <c r="CP3387" s="5" t="s">
        <v>260</v>
      </c>
      <c r="CQ3387" s="5" t="s">
        <v>260</v>
      </c>
      <c r="CR3387" s="5" t="s">
        <v>261</v>
      </c>
      <c r="CS3387" s="5" t="s">
        <v>498</v>
      </c>
      <c r="CT3387" s="7">
        <f>1</f>
        <v>1</v>
      </c>
      <c r="CU3387" s="8">
        <f>1</f>
        <v>1</v>
      </c>
      <c r="CV3387" s="8">
        <f>0</f>
        <v>0</v>
      </c>
      <c r="CX3387" s="8">
        <f>1</f>
        <v>1</v>
      </c>
      <c r="CY3387" s="8">
        <f>1</f>
        <v>1</v>
      </c>
      <c r="CZ3387" s="8" t="s">
        <v>238</v>
      </c>
      <c r="DA3387" s="5" t="s">
        <v>238</v>
      </c>
      <c r="DB3387" s="5" t="s">
        <v>238</v>
      </c>
      <c r="DC3387" s="5" t="s">
        <v>238</v>
      </c>
      <c r="DD3387" s="5" t="s">
        <v>238</v>
      </c>
      <c r="DE3387" s="8">
        <f>0</f>
        <v>0</v>
      </c>
      <c r="DG3387" s="5" t="s">
        <v>238</v>
      </c>
      <c r="DH3387" s="5" t="s">
        <v>238</v>
      </c>
      <c r="DI3387" s="5" t="s">
        <v>238</v>
      </c>
      <c r="DJ3387" s="5" t="s">
        <v>238</v>
      </c>
      <c r="DK3387" s="5" t="s">
        <v>238</v>
      </c>
      <c r="DL3387" s="5" t="s">
        <v>238</v>
      </c>
      <c r="DM3387" s="8" t="s">
        <v>238</v>
      </c>
      <c r="DN3387" s="5" t="s">
        <v>238</v>
      </c>
      <c r="DO3387" s="5" t="s">
        <v>238</v>
      </c>
      <c r="DP3387" s="5" t="s">
        <v>490</v>
      </c>
      <c r="DQ3387" s="5" t="s">
        <v>490</v>
      </c>
      <c r="DR3387" s="5" t="s">
        <v>238</v>
      </c>
      <c r="DS3387" s="5" t="s">
        <v>238</v>
      </c>
      <c r="DT3387" s="5" t="s">
        <v>500</v>
      </c>
      <c r="DU3387" s="5" t="s">
        <v>700</v>
      </c>
      <c r="DV3387" s="5" t="s">
        <v>238</v>
      </c>
      <c r="DW3387" s="5" t="s">
        <v>238</v>
      </c>
      <c r="DX3387" s="5" t="s">
        <v>238</v>
      </c>
      <c r="DY3387" s="5" t="s">
        <v>238</v>
      </c>
      <c r="DZ3387" s="5" t="s">
        <v>238</v>
      </c>
      <c r="EA3387" s="5" t="s">
        <v>238</v>
      </c>
      <c r="EB3387" s="5" t="s">
        <v>238</v>
      </c>
      <c r="EC3387" s="5" t="s">
        <v>238</v>
      </c>
      <c r="ED3387" s="5" t="s">
        <v>238</v>
      </c>
      <c r="EE3387" s="5" t="s">
        <v>238</v>
      </c>
      <c r="EF3387" s="5" t="s">
        <v>238</v>
      </c>
      <c r="EG3387" s="5" t="s">
        <v>238</v>
      </c>
      <c r="EH3387" s="5" t="s">
        <v>238</v>
      </c>
      <c r="EI3387" s="5" t="s">
        <v>238</v>
      </c>
      <c r="EJ3387" s="5" t="s">
        <v>238</v>
      </c>
      <c r="EK3387" s="5" t="s">
        <v>238</v>
      </c>
      <c r="EL3387" s="5" t="s">
        <v>238</v>
      </c>
      <c r="EM3387" s="5" t="s">
        <v>238</v>
      </c>
      <c r="EN3387" s="5" t="s">
        <v>238</v>
      </c>
      <c r="EO3387" s="5" t="s">
        <v>238</v>
      </c>
      <c r="EP3387" s="5" t="s">
        <v>238</v>
      </c>
      <c r="EQ3387" s="5" t="s">
        <v>238</v>
      </c>
      <c r="ER3387" s="5" t="s">
        <v>238</v>
      </c>
      <c r="ES3387" s="5" t="s">
        <v>238</v>
      </c>
      <c r="ET3387" s="5" t="s">
        <v>238</v>
      </c>
      <c r="EU3387" s="5" t="s">
        <v>238</v>
      </c>
      <c r="EV3387" s="5" t="s">
        <v>238</v>
      </c>
      <c r="EW3387" s="5" t="s">
        <v>238</v>
      </c>
      <c r="EX3387" s="5" t="s">
        <v>238</v>
      </c>
      <c r="EY3387" s="5" t="s">
        <v>238</v>
      </c>
      <c r="EZ3387" s="5" t="s">
        <v>238</v>
      </c>
      <c r="FA3387" s="5" t="s">
        <v>238</v>
      </c>
      <c r="FB3387" s="5" t="s">
        <v>238</v>
      </c>
      <c r="FC3387" s="5" t="s">
        <v>238</v>
      </c>
      <c r="FD3387" s="5" t="s">
        <v>238</v>
      </c>
      <c r="FE3387" s="5" t="s">
        <v>238</v>
      </c>
      <c r="FF3387" s="5" t="s">
        <v>238</v>
      </c>
      <c r="FG3387" s="5" t="s">
        <v>238</v>
      </c>
      <c r="FH3387" s="5" t="s">
        <v>238</v>
      </c>
      <c r="FI3387" s="5" t="s">
        <v>238</v>
      </c>
      <c r="FJ3387" s="5" t="s">
        <v>238</v>
      </c>
      <c r="FK3387" s="5" t="s">
        <v>238</v>
      </c>
      <c r="FL3387" s="5" t="s">
        <v>238</v>
      </c>
      <c r="FM3387" s="5" t="s">
        <v>238</v>
      </c>
      <c r="FN3387" s="5" t="s">
        <v>238</v>
      </c>
      <c r="FO3387" s="5" t="s">
        <v>238</v>
      </c>
      <c r="FP3387" s="5" t="s">
        <v>238</v>
      </c>
      <c r="FQ3387" s="5" t="s">
        <v>238</v>
      </c>
      <c r="FR3387" s="5" t="s">
        <v>238</v>
      </c>
      <c r="FS3387" s="5" t="s">
        <v>238</v>
      </c>
      <c r="FT3387" s="5" t="s">
        <v>238</v>
      </c>
      <c r="FU3387" s="5" t="s">
        <v>238</v>
      </c>
      <c r="FV3387" s="5" t="s">
        <v>238</v>
      </c>
      <c r="FW3387" s="5" t="s">
        <v>238</v>
      </c>
      <c r="FX3387" s="5" t="s">
        <v>238</v>
      </c>
      <c r="FY3387" s="5" t="s">
        <v>238</v>
      </c>
      <c r="FZ3387" s="5" t="s">
        <v>238</v>
      </c>
      <c r="GA3387" s="5" t="s">
        <v>238</v>
      </c>
      <c r="GB3387" s="5" t="s">
        <v>238</v>
      </c>
      <c r="GC3387" s="5" t="s">
        <v>238</v>
      </c>
      <c r="GD3387" s="5" t="s">
        <v>238</v>
      </c>
      <c r="GE3387" s="5" t="s">
        <v>238</v>
      </c>
      <c r="GF3387" s="5" t="s">
        <v>238</v>
      </c>
      <c r="GG3387" s="5" t="s">
        <v>238</v>
      </c>
      <c r="GH3387" s="5" t="s">
        <v>238</v>
      </c>
      <c r="GI3387" s="5" t="s">
        <v>238</v>
      </c>
      <c r="GJ3387" s="5" t="s">
        <v>238</v>
      </c>
      <c r="GK3387" s="5" t="s">
        <v>238</v>
      </c>
      <c r="GL3387" s="5" t="s">
        <v>238</v>
      </c>
      <c r="GM3387" s="5" t="s">
        <v>238</v>
      </c>
      <c r="GN3387" s="5" t="s">
        <v>238</v>
      </c>
      <c r="GO3387" s="5" t="s">
        <v>238</v>
      </c>
      <c r="GP3387" s="5" t="s">
        <v>238</v>
      </c>
      <c r="GQ3387" s="5" t="s">
        <v>238</v>
      </c>
      <c r="GR3387" s="5" t="s">
        <v>238</v>
      </c>
      <c r="GS3387" s="5" t="s">
        <v>238</v>
      </c>
      <c r="GT3387" s="5" t="s">
        <v>238</v>
      </c>
      <c r="GU3387" s="5" t="s">
        <v>238</v>
      </c>
      <c r="GV3387" s="5" t="s">
        <v>238</v>
      </c>
      <c r="GW3387" s="5" t="s">
        <v>238</v>
      </c>
      <c r="GX3387" s="5" t="s">
        <v>238</v>
      </c>
      <c r="GY3387" s="5" t="s">
        <v>238</v>
      </c>
      <c r="GZ3387" s="5" t="s">
        <v>238</v>
      </c>
      <c r="HA3387" s="5" t="s">
        <v>238</v>
      </c>
      <c r="HB3387" s="5" t="s">
        <v>238</v>
      </c>
      <c r="HC3387" s="5" t="s">
        <v>238</v>
      </c>
      <c r="HD3387" s="5" t="s">
        <v>238</v>
      </c>
      <c r="HE3387" s="5" t="s">
        <v>238</v>
      </c>
      <c r="HF3387" s="5" t="s">
        <v>238</v>
      </c>
      <c r="HG3387" s="5" t="s">
        <v>238</v>
      </c>
      <c r="HH3387" s="5" t="s">
        <v>238</v>
      </c>
      <c r="HI3387" s="5" t="s">
        <v>238</v>
      </c>
      <c r="HJ3387" s="5" t="s">
        <v>238</v>
      </c>
      <c r="HK3387" s="5" t="s">
        <v>238</v>
      </c>
      <c r="HL3387" s="5" t="s">
        <v>238</v>
      </c>
      <c r="HM3387" s="5" t="s">
        <v>264</v>
      </c>
      <c r="HN3387" s="5" t="s">
        <v>238</v>
      </c>
      <c r="HO3387" s="5" t="s">
        <v>238</v>
      </c>
      <c r="HP3387" s="5" t="s">
        <v>238</v>
      </c>
      <c r="HQ3387" s="5" t="s">
        <v>238</v>
      </c>
      <c r="HR3387" s="5" t="s">
        <v>238</v>
      </c>
      <c r="HS3387" s="5" t="s">
        <v>238</v>
      </c>
      <c r="HT3387" s="5" t="s">
        <v>238</v>
      </c>
      <c r="HU3387" s="5" t="s">
        <v>238</v>
      </c>
      <c r="HV3387" s="5" t="s">
        <v>238</v>
      </c>
      <c r="HW3387" s="5" t="s">
        <v>238</v>
      </c>
      <c r="HX3387" s="5" t="s">
        <v>238</v>
      </c>
      <c r="HY3387" s="5" t="s">
        <v>238</v>
      </c>
      <c r="HZ3387" s="5" t="s">
        <v>238</v>
      </c>
      <c r="IA3387" s="5" t="s">
        <v>238</v>
      </c>
      <c r="IB3387" s="5" t="s">
        <v>238</v>
      </c>
      <c r="IC3387" s="5" t="s">
        <v>238</v>
      </c>
      <c r="ID3387" s="5" t="s">
        <v>238</v>
      </c>
    </row>
    <row r="3388" spans="1:238" x14ac:dyDescent="0.4">
      <c r="A3388" s="5">
        <v>9106</v>
      </c>
      <c r="B3388" s="5">
        <v>1</v>
      </c>
      <c r="C3388" s="5">
        <v>1</v>
      </c>
      <c r="D3388" s="5" t="s">
        <v>484</v>
      </c>
      <c r="E3388" s="5" t="s">
        <v>485</v>
      </c>
      <c r="F3388" s="5" t="s">
        <v>248</v>
      </c>
      <c r="G3388" s="5" t="s">
        <v>4947</v>
      </c>
      <c r="H3388" s="6" t="s">
        <v>4948</v>
      </c>
      <c r="I3388" s="8">
        <f>1</f>
        <v>1</v>
      </c>
      <c r="J3388" s="5" t="s">
        <v>499</v>
      </c>
      <c r="K3388" s="8">
        <f>1</f>
        <v>1</v>
      </c>
      <c r="L3388" s="6" t="s">
        <v>242</v>
      </c>
      <c r="M3388" s="5" t="s">
        <v>267</v>
      </c>
      <c r="N3388" s="5" t="s">
        <v>482</v>
      </c>
      <c r="O3388" s="5" t="s">
        <v>238</v>
      </c>
      <c r="P3388" s="5" t="s">
        <v>238</v>
      </c>
      <c r="Q3388" s="5" t="s">
        <v>239</v>
      </c>
      <c r="R3388" s="5" t="s">
        <v>270</v>
      </c>
      <c r="S3388" s="5" t="s">
        <v>238</v>
      </c>
      <c r="T3388" s="5" t="s">
        <v>238</v>
      </c>
      <c r="U3388" s="5" t="s">
        <v>238</v>
      </c>
      <c r="V3388" s="5" t="s">
        <v>238</v>
      </c>
      <c r="W3388" s="6" t="s">
        <v>238</v>
      </c>
      <c r="X3388" s="6" t="s">
        <v>238</v>
      </c>
      <c r="Y3388" s="5" t="s">
        <v>238</v>
      </c>
      <c r="Z3388" s="6" t="s">
        <v>238</v>
      </c>
      <c r="AA3388" s="6" t="s">
        <v>243</v>
      </c>
      <c r="AB3388" s="5" t="s">
        <v>486</v>
      </c>
      <c r="AC3388" s="5" t="s">
        <v>244</v>
      </c>
      <c r="AD3388" s="5" t="s">
        <v>245</v>
      </c>
      <c r="AE3388" s="5" t="s">
        <v>238</v>
      </c>
      <c r="AF3388" s="5" t="s">
        <v>238</v>
      </c>
      <c r="AG3388" s="5" t="s">
        <v>238</v>
      </c>
      <c r="AH3388" s="5" t="s">
        <v>238</v>
      </c>
      <c r="AI3388" s="5" t="s">
        <v>238</v>
      </c>
      <c r="AJ3388" s="5" t="s">
        <v>238</v>
      </c>
      <c r="AK3388" s="5" t="s">
        <v>238</v>
      </c>
      <c r="AL3388" s="5" t="s">
        <v>238</v>
      </c>
      <c r="AM3388" s="6" t="s">
        <v>238</v>
      </c>
      <c r="AN3388" s="6" t="s">
        <v>238</v>
      </c>
      <c r="AO3388" s="6" t="s">
        <v>238</v>
      </c>
      <c r="AP3388" s="6" t="s">
        <v>238</v>
      </c>
      <c r="AQ3388" s="5" t="s">
        <v>238</v>
      </c>
      <c r="AR3388" s="5" t="s">
        <v>488</v>
      </c>
      <c r="AS3388" s="5" t="s">
        <v>488</v>
      </c>
      <c r="AT3388" s="5" t="s">
        <v>246</v>
      </c>
      <c r="AU3388" s="5" t="s">
        <v>489</v>
      </c>
      <c r="AV3388" s="5" t="s">
        <v>247</v>
      </c>
      <c r="AW3388" s="5" t="s">
        <v>238</v>
      </c>
      <c r="AX3388" s="5" t="s">
        <v>249</v>
      </c>
      <c r="AY3388" s="5" t="s">
        <v>490</v>
      </c>
      <c r="BA3388" s="5" t="s">
        <v>238</v>
      </c>
      <c r="BC3388" s="5" t="s">
        <v>491</v>
      </c>
      <c r="BD3388" s="6" t="s">
        <v>492</v>
      </c>
      <c r="BE3388" s="5" t="s">
        <v>493</v>
      </c>
      <c r="BF3388" s="5" t="s">
        <v>493</v>
      </c>
      <c r="BG3388" s="5" t="s">
        <v>238</v>
      </c>
      <c r="BH3388" s="8">
        <f>1</f>
        <v>1</v>
      </c>
      <c r="BI3388" s="8">
        <f>1</f>
        <v>1</v>
      </c>
      <c r="BJ3388" s="5" t="s">
        <v>253</v>
      </c>
      <c r="BK3388" s="5" t="s">
        <v>254</v>
      </c>
      <c r="BL3388" s="5" t="s">
        <v>238</v>
      </c>
      <c r="BM3388" s="5" t="s">
        <v>238</v>
      </c>
      <c r="BN3388" s="5" t="s">
        <v>238</v>
      </c>
      <c r="BO3388" s="5" t="s">
        <v>238</v>
      </c>
      <c r="BP3388" s="5" t="s">
        <v>238</v>
      </c>
      <c r="BQ3388" s="5" t="s">
        <v>238</v>
      </c>
      <c r="BR3388" s="5" t="s">
        <v>238</v>
      </c>
      <c r="BS3388" s="5" t="s">
        <v>238</v>
      </c>
      <c r="BT3388" s="6" t="s">
        <v>238</v>
      </c>
      <c r="BU3388" s="5" t="s">
        <v>238</v>
      </c>
      <c r="BV3388" s="5" t="s">
        <v>238</v>
      </c>
      <c r="BW3388" s="5" t="s">
        <v>238</v>
      </c>
      <c r="BX3388" s="5" t="s">
        <v>254</v>
      </c>
      <c r="BY3388" s="5" t="s">
        <v>238</v>
      </c>
      <c r="BZ3388" s="5" t="s">
        <v>238</v>
      </c>
      <c r="CA3388" s="5" t="s">
        <v>238</v>
      </c>
      <c r="CB3388" s="5" t="s">
        <v>238</v>
      </c>
      <c r="CC3388" s="5" t="s">
        <v>238</v>
      </c>
      <c r="CD3388" s="5" t="s">
        <v>273</v>
      </c>
      <c r="CE3388" s="5" t="s">
        <v>256</v>
      </c>
      <c r="CF3388" s="5" t="s">
        <v>238</v>
      </c>
      <c r="CH3388" s="5" t="s">
        <v>494</v>
      </c>
      <c r="CI3388" s="6" t="s">
        <v>257</v>
      </c>
      <c r="CJ3388" s="5" t="s">
        <v>495</v>
      </c>
      <c r="CK3388" s="5" t="s">
        <v>258</v>
      </c>
      <c r="CL3388" s="5" t="s">
        <v>496</v>
      </c>
      <c r="CM3388" s="5" t="s">
        <v>238</v>
      </c>
      <c r="CN3388" s="5">
        <v>0</v>
      </c>
      <c r="CO3388" s="5" t="s">
        <v>497</v>
      </c>
      <c r="CP3388" s="5" t="s">
        <v>260</v>
      </c>
      <c r="CQ3388" s="5" t="s">
        <v>260</v>
      </c>
      <c r="CR3388" s="5" t="s">
        <v>261</v>
      </c>
      <c r="CS3388" s="5" t="s">
        <v>498</v>
      </c>
      <c r="CT3388" s="7">
        <f>1</f>
        <v>1</v>
      </c>
      <c r="CU3388" s="8">
        <f>1</f>
        <v>1</v>
      </c>
      <c r="CV3388" s="8">
        <f>0</f>
        <v>0</v>
      </c>
      <c r="CX3388" s="8">
        <f>1</f>
        <v>1</v>
      </c>
      <c r="CY3388" s="8">
        <f>1</f>
        <v>1</v>
      </c>
      <c r="CZ3388" s="8" t="s">
        <v>238</v>
      </c>
      <c r="DA3388" s="5" t="s">
        <v>238</v>
      </c>
      <c r="DB3388" s="5" t="s">
        <v>238</v>
      </c>
      <c r="DC3388" s="5" t="s">
        <v>238</v>
      </c>
      <c r="DD3388" s="5" t="s">
        <v>238</v>
      </c>
      <c r="DE3388" s="8">
        <f>0</f>
        <v>0</v>
      </c>
      <c r="DG3388" s="5" t="s">
        <v>238</v>
      </c>
      <c r="DH3388" s="5" t="s">
        <v>238</v>
      </c>
      <c r="DI3388" s="5" t="s">
        <v>238</v>
      </c>
      <c r="DJ3388" s="5" t="s">
        <v>238</v>
      </c>
      <c r="DK3388" s="5" t="s">
        <v>238</v>
      </c>
      <c r="DL3388" s="5" t="s">
        <v>238</v>
      </c>
      <c r="DM3388" s="8" t="s">
        <v>238</v>
      </c>
      <c r="DN3388" s="5" t="s">
        <v>238</v>
      </c>
      <c r="DO3388" s="5" t="s">
        <v>238</v>
      </c>
      <c r="DP3388" s="5" t="s">
        <v>490</v>
      </c>
      <c r="DQ3388" s="5" t="s">
        <v>490</v>
      </c>
      <c r="DR3388" s="5" t="s">
        <v>238</v>
      </c>
      <c r="DS3388" s="5" t="s">
        <v>238</v>
      </c>
      <c r="DT3388" s="5" t="s">
        <v>500</v>
      </c>
      <c r="DU3388" s="5" t="s">
        <v>376</v>
      </c>
      <c r="DV3388" s="5" t="s">
        <v>238</v>
      </c>
      <c r="DW3388" s="5" t="s">
        <v>238</v>
      </c>
      <c r="DX3388" s="5" t="s">
        <v>238</v>
      </c>
      <c r="DY3388" s="5" t="s">
        <v>238</v>
      </c>
      <c r="DZ3388" s="5" t="s">
        <v>238</v>
      </c>
      <c r="EA3388" s="5" t="s">
        <v>238</v>
      </c>
      <c r="EB3388" s="5" t="s">
        <v>238</v>
      </c>
      <c r="EC3388" s="5" t="s">
        <v>238</v>
      </c>
      <c r="ED3388" s="5" t="s">
        <v>238</v>
      </c>
      <c r="EE3388" s="5" t="s">
        <v>238</v>
      </c>
      <c r="EF3388" s="5" t="s">
        <v>238</v>
      </c>
      <c r="EG3388" s="5" t="s">
        <v>238</v>
      </c>
      <c r="EH3388" s="5" t="s">
        <v>238</v>
      </c>
      <c r="EI3388" s="5" t="s">
        <v>238</v>
      </c>
      <c r="EJ3388" s="5" t="s">
        <v>238</v>
      </c>
      <c r="EK3388" s="5" t="s">
        <v>238</v>
      </c>
      <c r="EL3388" s="5" t="s">
        <v>238</v>
      </c>
      <c r="EM3388" s="5" t="s">
        <v>238</v>
      </c>
      <c r="EN3388" s="5" t="s">
        <v>238</v>
      </c>
      <c r="EO3388" s="5" t="s">
        <v>238</v>
      </c>
      <c r="EP3388" s="5" t="s">
        <v>238</v>
      </c>
      <c r="EQ3388" s="5" t="s">
        <v>238</v>
      </c>
      <c r="ER3388" s="5" t="s">
        <v>238</v>
      </c>
      <c r="ES3388" s="5" t="s">
        <v>238</v>
      </c>
      <c r="ET3388" s="5" t="s">
        <v>238</v>
      </c>
      <c r="EU3388" s="5" t="s">
        <v>238</v>
      </c>
      <c r="EV3388" s="5" t="s">
        <v>238</v>
      </c>
      <c r="EW3388" s="5" t="s">
        <v>238</v>
      </c>
      <c r="EX3388" s="5" t="s">
        <v>238</v>
      </c>
      <c r="EY3388" s="5" t="s">
        <v>238</v>
      </c>
      <c r="EZ3388" s="5" t="s">
        <v>238</v>
      </c>
      <c r="FA3388" s="5" t="s">
        <v>238</v>
      </c>
      <c r="FB3388" s="5" t="s">
        <v>238</v>
      </c>
      <c r="FC3388" s="5" t="s">
        <v>238</v>
      </c>
      <c r="FD3388" s="5" t="s">
        <v>238</v>
      </c>
      <c r="FE3388" s="5" t="s">
        <v>238</v>
      </c>
      <c r="FF3388" s="5" t="s">
        <v>238</v>
      </c>
      <c r="FG3388" s="5" t="s">
        <v>238</v>
      </c>
      <c r="FH3388" s="5" t="s">
        <v>238</v>
      </c>
      <c r="FI3388" s="5" t="s">
        <v>238</v>
      </c>
      <c r="FJ3388" s="5" t="s">
        <v>238</v>
      </c>
      <c r="FK3388" s="5" t="s">
        <v>238</v>
      </c>
      <c r="FL3388" s="5" t="s">
        <v>238</v>
      </c>
      <c r="FM3388" s="5" t="s">
        <v>238</v>
      </c>
      <c r="FN3388" s="5" t="s">
        <v>238</v>
      </c>
      <c r="FO3388" s="5" t="s">
        <v>238</v>
      </c>
      <c r="FP3388" s="5" t="s">
        <v>238</v>
      </c>
      <c r="FQ3388" s="5" t="s">
        <v>238</v>
      </c>
      <c r="FR3388" s="5" t="s">
        <v>238</v>
      </c>
      <c r="FS3388" s="5" t="s">
        <v>238</v>
      </c>
      <c r="FT3388" s="5" t="s">
        <v>238</v>
      </c>
      <c r="FU3388" s="5" t="s">
        <v>238</v>
      </c>
      <c r="FV3388" s="5" t="s">
        <v>238</v>
      </c>
      <c r="FW3388" s="5" t="s">
        <v>238</v>
      </c>
      <c r="FX3388" s="5" t="s">
        <v>238</v>
      </c>
      <c r="FY3388" s="5" t="s">
        <v>238</v>
      </c>
      <c r="FZ3388" s="5" t="s">
        <v>238</v>
      </c>
      <c r="GA3388" s="5" t="s">
        <v>238</v>
      </c>
      <c r="GB3388" s="5" t="s">
        <v>238</v>
      </c>
      <c r="GC3388" s="5" t="s">
        <v>238</v>
      </c>
      <c r="GD3388" s="5" t="s">
        <v>238</v>
      </c>
      <c r="GE3388" s="5" t="s">
        <v>238</v>
      </c>
      <c r="GF3388" s="5" t="s">
        <v>238</v>
      </c>
      <c r="GG3388" s="5" t="s">
        <v>238</v>
      </c>
      <c r="GH3388" s="5" t="s">
        <v>238</v>
      </c>
      <c r="GI3388" s="5" t="s">
        <v>238</v>
      </c>
      <c r="GJ3388" s="5" t="s">
        <v>238</v>
      </c>
      <c r="GK3388" s="5" t="s">
        <v>238</v>
      </c>
      <c r="GL3388" s="5" t="s">
        <v>238</v>
      </c>
      <c r="GM3388" s="5" t="s">
        <v>238</v>
      </c>
      <c r="GN3388" s="5" t="s">
        <v>238</v>
      </c>
      <c r="GO3388" s="5" t="s">
        <v>238</v>
      </c>
      <c r="GP3388" s="5" t="s">
        <v>238</v>
      </c>
      <c r="GQ3388" s="5" t="s">
        <v>238</v>
      </c>
      <c r="GR3388" s="5" t="s">
        <v>238</v>
      </c>
      <c r="GS3388" s="5" t="s">
        <v>238</v>
      </c>
      <c r="GT3388" s="5" t="s">
        <v>238</v>
      </c>
      <c r="GU3388" s="5" t="s">
        <v>238</v>
      </c>
      <c r="GV3388" s="5" t="s">
        <v>238</v>
      </c>
      <c r="GW3388" s="5" t="s">
        <v>238</v>
      </c>
      <c r="GX3388" s="5" t="s">
        <v>238</v>
      </c>
      <c r="GY3388" s="5" t="s">
        <v>238</v>
      </c>
      <c r="GZ3388" s="5" t="s">
        <v>238</v>
      </c>
      <c r="HA3388" s="5" t="s">
        <v>238</v>
      </c>
      <c r="HB3388" s="5" t="s">
        <v>238</v>
      </c>
      <c r="HC3388" s="5" t="s">
        <v>238</v>
      </c>
      <c r="HD3388" s="5" t="s">
        <v>238</v>
      </c>
      <c r="HE3388" s="5" t="s">
        <v>238</v>
      </c>
      <c r="HF3388" s="5" t="s">
        <v>238</v>
      </c>
      <c r="HG3388" s="5" t="s">
        <v>238</v>
      </c>
      <c r="HH3388" s="5" t="s">
        <v>238</v>
      </c>
      <c r="HI3388" s="5" t="s">
        <v>238</v>
      </c>
      <c r="HJ3388" s="5" t="s">
        <v>238</v>
      </c>
      <c r="HK3388" s="5" t="s">
        <v>238</v>
      </c>
      <c r="HL3388" s="5" t="s">
        <v>238</v>
      </c>
      <c r="HM3388" s="5" t="s">
        <v>264</v>
      </c>
      <c r="HN3388" s="5" t="s">
        <v>238</v>
      </c>
      <c r="HO3388" s="5" t="s">
        <v>238</v>
      </c>
      <c r="HP3388" s="5" t="s">
        <v>238</v>
      </c>
      <c r="HQ3388" s="5" t="s">
        <v>238</v>
      </c>
      <c r="HR3388" s="5" t="s">
        <v>238</v>
      </c>
      <c r="HS3388" s="5" t="s">
        <v>238</v>
      </c>
      <c r="HT3388" s="5" t="s">
        <v>238</v>
      </c>
      <c r="HU3388" s="5" t="s">
        <v>238</v>
      </c>
      <c r="HV3388" s="5" t="s">
        <v>238</v>
      </c>
      <c r="HW3388" s="5" t="s">
        <v>238</v>
      </c>
      <c r="HX3388" s="5" t="s">
        <v>238</v>
      </c>
      <c r="HY3388" s="5" t="s">
        <v>238</v>
      </c>
      <c r="HZ3388" s="5" t="s">
        <v>238</v>
      </c>
      <c r="IA3388" s="5" t="s">
        <v>238</v>
      </c>
      <c r="IB3388" s="5" t="s">
        <v>238</v>
      </c>
      <c r="IC3388" s="5" t="s">
        <v>238</v>
      </c>
      <c r="ID3388" s="5" t="s">
        <v>238</v>
      </c>
    </row>
    <row r="3389" spans="1:238" x14ac:dyDescent="0.4">
      <c r="A3389" s="5">
        <v>9107</v>
      </c>
      <c r="B3389" s="5">
        <v>1</v>
      </c>
      <c r="C3389" s="5">
        <v>1</v>
      </c>
      <c r="D3389" s="5" t="s">
        <v>484</v>
      </c>
      <c r="E3389" s="5" t="s">
        <v>485</v>
      </c>
      <c r="F3389" s="5" t="s">
        <v>248</v>
      </c>
      <c r="G3389" s="5" t="s">
        <v>5761</v>
      </c>
      <c r="H3389" s="6" t="s">
        <v>5762</v>
      </c>
      <c r="I3389" s="8">
        <f>1</f>
        <v>1</v>
      </c>
      <c r="J3389" s="5" t="s">
        <v>499</v>
      </c>
      <c r="K3389" s="8">
        <f>1</f>
        <v>1</v>
      </c>
      <c r="L3389" s="6" t="s">
        <v>242</v>
      </c>
      <c r="M3389" s="5" t="s">
        <v>267</v>
      </c>
      <c r="N3389" s="5" t="s">
        <v>482</v>
      </c>
      <c r="O3389" s="5" t="s">
        <v>238</v>
      </c>
      <c r="P3389" s="5" t="s">
        <v>238</v>
      </c>
      <c r="Q3389" s="5" t="s">
        <v>239</v>
      </c>
      <c r="R3389" s="5" t="s">
        <v>270</v>
      </c>
      <c r="S3389" s="5" t="s">
        <v>238</v>
      </c>
      <c r="T3389" s="5" t="s">
        <v>238</v>
      </c>
      <c r="U3389" s="5" t="s">
        <v>238</v>
      </c>
      <c r="V3389" s="5" t="s">
        <v>238</v>
      </c>
      <c r="W3389" s="6" t="s">
        <v>238</v>
      </c>
      <c r="X3389" s="6" t="s">
        <v>238</v>
      </c>
      <c r="Y3389" s="5" t="s">
        <v>238</v>
      </c>
      <c r="Z3389" s="6" t="s">
        <v>238</v>
      </c>
      <c r="AA3389" s="6" t="s">
        <v>243</v>
      </c>
      <c r="AB3389" s="5" t="s">
        <v>486</v>
      </c>
      <c r="AC3389" s="5" t="s">
        <v>244</v>
      </c>
      <c r="AD3389" s="5" t="s">
        <v>245</v>
      </c>
      <c r="AE3389" s="5" t="s">
        <v>238</v>
      </c>
      <c r="AF3389" s="5" t="s">
        <v>238</v>
      </c>
      <c r="AG3389" s="5" t="s">
        <v>238</v>
      </c>
      <c r="AH3389" s="5" t="s">
        <v>238</v>
      </c>
      <c r="AI3389" s="5" t="s">
        <v>238</v>
      </c>
      <c r="AJ3389" s="5" t="s">
        <v>238</v>
      </c>
      <c r="AK3389" s="5" t="s">
        <v>238</v>
      </c>
      <c r="AL3389" s="5" t="s">
        <v>238</v>
      </c>
      <c r="AM3389" s="6" t="s">
        <v>238</v>
      </c>
      <c r="AN3389" s="6" t="s">
        <v>238</v>
      </c>
      <c r="AO3389" s="6" t="s">
        <v>238</v>
      </c>
      <c r="AP3389" s="6" t="s">
        <v>238</v>
      </c>
      <c r="AQ3389" s="5" t="s">
        <v>238</v>
      </c>
      <c r="AR3389" s="5" t="s">
        <v>488</v>
      </c>
      <c r="AS3389" s="5" t="s">
        <v>488</v>
      </c>
      <c r="AT3389" s="5" t="s">
        <v>246</v>
      </c>
      <c r="AU3389" s="5" t="s">
        <v>489</v>
      </c>
      <c r="AV3389" s="5" t="s">
        <v>247</v>
      </c>
      <c r="AW3389" s="5" t="s">
        <v>238</v>
      </c>
      <c r="AX3389" s="5" t="s">
        <v>249</v>
      </c>
      <c r="AY3389" s="5" t="s">
        <v>490</v>
      </c>
      <c r="BA3389" s="5" t="s">
        <v>238</v>
      </c>
      <c r="BC3389" s="5" t="s">
        <v>491</v>
      </c>
      <c r="BD3389" s="6" t="s">
        <v>492</v>
      </c>
      <c r="BE3389" s="5" t="s">
        <v>493</v>
      </c>
      <c r="BF3389" s="5" t="s">
        <v>493</v>
      </c>
      <c r="BG3389" s="5" t="s">
        <v>238</v>
      </c>
      <c r="BH3389" s="8">
        <f>1</f>
        <v>1</v>
      </c>
      <c r="BI3389" s="8">
        <f>1</f>
        <v>1</v>
      </c>
      <c r="BJ3389" s="5" t="s">
        <v>253</v>
      </c>
      <c r="BK3389" s="5" t="s">
        <v>254</v>
      </c>
      <c r="BL3389" s="5" t="s">
        <v>238</v>
      </c>
      <c r="BM3389" s="5" t="s">
        <v>238</v>
      </c>
      <c r="BN3389" s="5" t="s">
        <v>238</v>
      </c>
      <c r="BO3389" s="5" t="s">
        <v>238</v>
      </c>
      <c r="BP3389" s="5" t="s">
        <v>238</v>
      </c>
      <c r="BQ3389" s="5" t="s">
        <v>238</v>
      </c>
      <c r="BR3389" s="5" t="s">
        <v>238</v>
      </c>
      <c r="BS3389" s="5" t="s">
        <v>238</v>
      </c>
      <c r="BT3389" s="6" t="s">
        <v>238</v>
      </c>
      <c r="BU3389" s="5" t="s">
        <v>238</v>
      </c>
      <c r="BV3389" s="5" t="s">
        <v>238</v>
      </c>
      <c r="BW3389" s="5" t="s">
        <v>238</v>
      </c>
      <c r="BX3389" s="5" t="s">
        <v>254</v>
      </c>
      <c r="BY3389" s="5" t="s">
        <v>238</v>
      </c>
      <c r="BZ3389" s="5" t="s">
        <v>238</v>
      </c>
      <c r="CA3389" s="5" t="s">
        <v>238</v>
      </c>
      <c r="CB3389" s="5" t="s">
        <v>238</v>
      </c>
      <c r="CC3389" s="5" t="s">
        <v>238</v>
      </c>
      <c r="CD3389" s="5" t="s">
        <v>273</v>
      </c>
      <c r="CE3389" s="5" t="s">
        <v>256</v>
      </c>
      <c r="CF3389" s="5" t="s">
        <v>238</v>
      </c>
      <c r="CH3389" s="5" t="s">
        <v>494</v>
      </c>
      <c r="CI3389" s="6" t="s">
        <v>257</v>
      </c>
      <c r="CJ3389" s="5" t="s">
        <v>495</v>
      </c>
      <c r="CK3389" s="5" t="s">
        <v>258</v>
      </c>
      <c r="CL3389" s="5" t="s">
        <v>496</v>
      </c>
      <c r="CM3389" s="5" t="s">
        <v>238</v>
      </c>
      <c r="CN3389" s="5">
        <v>0</v>
      </c>
      <c r="CO3389" s="5" t="s">
        <v>497</v>
      </c>
      <c r="CP3389" s="5" t="s">
        <v>260</v>
      </c>
      <c r="CQ3389" s="5" t="s">
        <v>260</v>
      </c>
      <c r="CR3389" s="5" t="s">
        <v>261</v>
      </c>
      <c r="CS3389" s="5" t="s">
        <v>498</v>
      </c>
      <c r="CT3389" s="7">
        <f>1</f>
        <v>1</v>
      </c>
      <c r="CU3389" s="8">
        <f>1</f>
        <v>1</v>
      </c>
      <c r="CV3389" s="8">
        <f>0</f>
        <v>0</v>
      </c>
      <c r="CX3389" s="8">
        <f>1</f>
        <v>1</v>
      </c>
      <c r="CY3389" s="8">
        <f>1</f>
        <v>1</v>
      </c>
      <c r="CZ3389" s="8" t="s">
        <v>238</v>
      </c>
      <c r="DA3389" s="5" t="s">
        <v>238</v>
      </c>
      <c r="DB3389" s="5" t="s">
        <v>238</v>
      </c>
      <c r="DC3389" s="5" t="s">
        <v>238</v>
      </c>
      <c r="DD3389" s="5" t="s">
        <v>238</v>
      </c>
      <c r="DE3389" s="8">
        <f>0</f>
        <v>0</v>
      </c>
      <c r="DG3389" s="5" t="s">
        <v>238</v>
      </c>
      <c r="DH3389" s="5" t="s">
        <v>238</v>
      </c>
      <c r="DI3389" s="5" t="s">
        <v>238</v>
      </c>
      <c r="DJ3389" s="5" t="s">
        <v>238</v>
      </c>
      <c r="DK3389" s="5" t="s">
        <v>238</v>
      </c>
      <c r="DL3389" s="5" t="s">
        <v>238</v>
      </c>
      <c r="DM3389" s="8" t="s">
        <v>238</v>
      </c>
      <c r="DN3389" s="5" t="s">
        <v>238</v>
      </c>
      <c r="DO3389" s="5" t="s">
        <v>238</v>
      </c>
      <c r="DP3389" s="5" t="s">
        <v>490</v>
      </c>
      <c r="DQ3389" s="5" t="s">
        <v>490</v>
      </c>
      <c r="DR3389" s="5" t="s">
        <v>238</v>
      </c>
      <c r="DS3389" s="5" t="s">
        <v>238</v>
      </c>
      <c r="DT3389" s="5" t="s">
        <v>500</v>
      </c>
      <c r="DU3389" s="5" t="s">
        <v>3332</v>
      </c>
      <c r="DV3389" s="5" t="s">
        <v>238</v>
      </c>
      <c r="DW3389" s="5" t="s">
        <v>238</v>
      </c>
      <c r="DX3389" s="5" t="s">
        <v>238</v>
      </c>
      <c r="DY3389" s="5" t="s">
        <v>238</v>
      </c>
      <c r="DZ3389" s="5" t="s">
        <v>238</v>
      </c>
      <c r="EA3389" s="5" t="s">
        <v>238</v>
      </c>
      <c r="EB3389" s="5" t="s">
        <v>238</v>
      </c>
      <c r="EC3389" s="5" t="s">
        <v>238</v>
      </c>
      <c r="ED3389" s="5" t="s">
        <v>238</v>
      </c>
      <c r="EE3389" s="5" t="s">
        <v>238</v>
      </c>
      <c r="EF3389" s="5" t="s">
        <v>238</v>
      </c>
      <c r="EG3389" s="5" t="s">
        <v>238</v>
      </c>
      <c r="EH3389" s="5" t="s">
        <v>238</v>
      </c>
      <c r="EI3389" s="5" t="s">
        <v>238</v>
      </c>
      <c r="EJ3389" s="5" t="s">
        <v>238</v>
      </c>
      <c r="EK3389" s="5" t="s">
        <v>238</v>
      </c>
      <c r="EL3389" s="5" t="s">
        <v>238</v>
      </c>
      <c r="EM3389" s="5" t="s">
        <v>238</v>
      </c>
      <c r="EN3389" s="5" t="s">
        <v>238</v>
      </c>
      <c r="EO3389" s="5" t="s">
        <v>238</v>
      </c>
      <c r="EP3389" s="5" t="s">
        <v>238</v>
      </c>
      <c r="EQ3389" s="5" t="s">
        <v>238</v>
      </c>
      <c r="ER3389" s="5" t="s">
        <v>238</v>
      </c>
      <c r="ES3389" s="5" t="s">
        <v>238</v>
      </c>
      <c r="ET3389" s="5" t="s">
        <v>238</v>
      </c>
      <c r="EU3389" s="5" t="s">
        <v>238</v>
      </c>
      <c r="EV3389" s="5" t="s">
        <v>238</v>
      </c>
      <c r="EW3389" s="5" t="s">
        <v>238</v>
      </c>
      <c r="EX3389" s="5" t="s">
        <v>238</v>
      </c>
      <c r="EY3389" s="5" t="s">
        <v>238</v>
      </c>
      <c r="EZ3389" s="5" t="s">
        <v>238</v>
      </c>
      <c r="FA3389" s="5" t="s">
        <v>238</v>
      </c>
      <c r="FB3389" s="5" t="s">
        <v>238</v>
      </c>
      <c r="FC3389" s="5" t="s">
        <v>238</v>
      </c>
      <c r="FD3389" s="5" t="s">
        <v>238</v>
      </c>
      <c r="FE3389" s="5" t="s">
        <v>238</v>
      </c>
      <c r="FF3389" s="5" t="s">
        <v>238</v>
      </c>
      <c r="FG3389" s="5" t="s">
        <v>238</v>
      </c>
      <c r="FH3389" s="5" t="s">
        <v>238</v>
      </c>
      <c r="FI3389" s="5" t="s">
        <v>238</v>
      </c>
      <c r="FJ3389" s="5" t="s">
        <v>238</v>
      </c>
      <c r="FK3389" s="5" t="s">
        <v>238</v>
      </c>
      <c r="FL3389" s="5" t="s">
        <v>238</v>
      </c>
      <c r="FM3389" s="5" t="s">
        <v>238</v>
      </c>
      <c r="FN3389" s="5" t="s">
        <v>238</v>
      </c>
      <c r="FO3389" s="5" t="s">
        <v>238</v>
      </c>
      <c r="FP3389" s="5" t="s">
        <v>238</v>
      </c>
      <c r="FQ3389" s="5" t="s">
        <v>238</v>
      </c>
      <c r="FR3389" s="5" t="s">
        <v>238</v>
      </c>
      <c r="FS3389" s="5" t="s">
        <v>238</v>
      </c>
      <c r="FT3389" s="5" t="s">
        <v>238</v>
      </c>
      <c r="FU3389" s="5" t="s">
        <v>238</v>
      </c>
      <c r="FV3389" s="5" t="s">
        <v>238</v>
      </c>
      <c r="FW3389" s="5" t="s">
        <v>238</v>
      </c>
      <c r="FX3389" s="5" t="s">
        <v>238</v>
      </c>
      <c r="FY3389" s="5" t="s">
        <v>238</v>
      </c>
      <c r="FZ3389" s="5" t="s">
        <v>238</v>
      </c>
      <c r="GA3389" s="5" t="s">
        <v>238</v>
      </c>
      <c r="GB3389" s="5" t="s">
        <v>238</v>
      </c>
      <c r="GC3389" s="5" t="s">
        <v>238</v>
      </c>
      <c r="GD3389" s="5" t="s">
        <v>238</v>
      </c>
      <c r="GE3389" s="5" t="s">
        <v>238</v>
      </c>
      <c r="GF3389" s="5" t="s">
        <v>238</v>
      </c>
      <c r="GG3389" s="5" t="s">
        <v>238</v>
      </c>
      <c r="GH3389" s="5" t="s">
        <v>238</v>
      </c>
      <c r="GI3389" s="5" t="s">
        <v>238</v>
      </c>
      <c r="GJ3389" s="5" t="s">
        <v>238</v>
      </c>
      <c r="GK3389" s="5" t="s">
        <v>238</v>
      </c>
      <c r="GL3389" s="5" t="s">
        <v>238</v>
      </c>
      <c r="GM3389" s="5" t="s">
        <v>238</v>
      </c>
      <c r="GN3389" s="5" t="s">
        <v>238</v>
      </c>
      <c r="GO3389" s="5" t="s">
        <v>238</v>
      </c>
      <c r="GP3389" s="5" t="s">
        <v>238</v>
      </c>
      <c r="GQ3389" s="5" t="s">
        <v>238</v>
      </c>
      <c r="GR3389" s="5" t="s">
        <v>238</v>
      </c>
      <c r="GS3389" s="5" t="s">
        <v>238</v>
      </c>
      <c r="GT3389" s="5" t="s">
        <v>238</v>
      </c>
      <c r="GU3389" s="5" t="s">
        <v>238</v>
      </c>
      <c r="GV3389" s="5" t="s">
        <v>238</v>
      </c>
      <c r="GW3389" s="5" t="s">
        <v>238</v>
      </c>
      <c r="GX3389" s="5" t="s">
        <v>238</v>
      </c>
      <c r="GY3389" s="5" t="s">
        <v>238</v>
      </c>
      <c r="GZ3389" s="5" t="s">
        <v>238</v>
      </c>
      <c r="HA3389" s="5" t="s">
        <v>238</v>
      </c>
      <c r="HB3389" s="5" t="s">
        <v>238</v>
      </c>
      <c r="HC3389" s="5" t="s">
        <v>238</v>
      </c>
      <c r="HD3389" s="5" t="s">
        <v>238</v>
      </c>
      <c r="HE3389" s="5" t="s">
        <v>238</v>
      </c>
      <c r="HF3389" s="5" t="s">
        <v>238</v>
      </c>
      <c r="HG3389" s="5" t="s">
        <v>238</v>
      </c>
      <c r="HH3389" s="5" t="s">
        <v>238</v>
      </c>
      <c r="HI3389" s="5" t="s">
        <v>238</v>
      </c>
      <c r="HJ3389" s="5" t="s">
        <v>238</v>
      </c>
      <c r="HK3389" s="5" t="s">
        <v>238</v>
      </c>
      <c r="HL3389" s="5" t="s">
        <v>238</v>
      </c>
      <c r="HM3389" s="5" t="s">
        <v>264</v>
      </c>
      <c r="HN3389" s="5" t="s">
        <v>238</v>
      </c>
      <c r="HO3389" s="5" t="s">
        <v>238</v>
      </c>
      <c r="HP3389" s="5" t="s">
        <v>238</v>
      </c>
      <c r="HQ3389" s="5" t="s">
        <v>238</v>
      </c>
      <c r="HR3389" s="5" t="s">
        <v>238</v>
      </c>
      <c r="HS3389" s="5" t="s">
        <v>238</v>
      </c>
      <c r="HT3389" s="5" t="s">
        <v>238</v>
      </c>
      <c r="HU3389" s="5" t="s">
        <v>238</v>
      </c>
      <c r="HV3389" s="5" t="s">
        <v>238</v>
      </c>
      <c r="HW3389" s="5" t="s">
        <v>238</v>
      </c>
      <c r="HX3389" s="5" t="s">
        <v>238</v>
      </c>
      <c r="HY3389" s="5" t="s">
        <v>238</v>
      </c>
      <c r="HZ3389" s="5" t="s">
        <v>238</v>
      </c>
      <c r="IA3389" s="5" t="s">
        <v>238</v>
      </c>
      <c r="IB3389" s="5" t="s">
        <v>238</v>
      </c>
      <c r="IC3389" s="5" t="s">
        <v>238</v>
      </c>
      <c r="ID3389" s="5" t="s">
        <v>238</v>
      </c>
    </row>
    <row r="3390" spans="1:238" x14ac:dyDescent="0.4">
      <c r="A3390" s="5">
        <v>9108</v>
      </c>
      <c r="B3390" s="5">
        <v>1</v>
      </c>
      <c r="C3390" s="5">
        <v>1</v>
      </c>
      <c r="D3390" s="5" t="s">
        <v>484</v>
      </c>
      <c r="E3390" s="5" t="s">
        <v>485</v>
      </c>
      <c r="F3390" s="5" t="s">
        <v>248</v>
      </c>
      <c r="G3390" s="5" t="s">
        <v>5365</v>
      </c>
      <c r="H3390" s="6" t="s">
        <v>5366</v>
      </c>
      <c r="I3390" s="8">
        <f>1</f>
        <v>1</v>
      </c>
      <c r="J3390" s="5" t="s">
        <v>499</v>
      </c>
      <c r="K3390" s="8">
        <f>1</f>
        <v>1</v>
      </c>
      <c r="L3390" s="6" t="s">
        <v>242</v>
      </c>
      <c r="M3390" s="5" t="s">
        <v>267</v>
      </c>
      <c r="N3390" s="5" t="s">
        <v>482</v>
      </c>
      <c r="O3390" s="5" t="s">
        <v>238</v>
      </c>
      <c r="P3390" s="5" t="s">
        <v>238</v>
      </c>
      <c r="Q3390" s="5" t="s">
        <v>239</v>
      </c>
      <c r="R3390" s="5" t="s">
        <v>270</v>
      </c>
      <c r="S3390" s="5" t="s">
        <v>238</v>
      </c>
      <c r="T3390" s="5" t="s">
        <v>238</v>
      </c>
      <c r="U3390" s="5" t="s">
        <v>238</v>
      </c>
      <c r="V3390" s="5" t="s">
        <v>238</v>
      </c>
      <c r="W3390" s="6" t="s">
        <v>238</v>
      </c>
      <c r="X3390" s="6" t="s">
        <v>238</v>
      </c>
      <c r="Y3390" s="5" t="s">
        <v>238</v>
      </c>
      <c r="Z3390" s="6" t="s">
        <v>238</v>
      </c>
      <c r="AA3390" s="6" t="s">
        <v>243</v>
      </c>
      <c r="AB3390" s="5" t="s">
        <v>486</v>
      </c>
      <c r="AC3390" s="5" t="s">
        <v>244</v>
      </c>
      <c r="AD3390" s="5" t="s">
        <v>245</v>
      </c>
      <c r="AE3390" s="5" t="s">
        <v>238</v>
      </c>
      <c r="AF3390" s="5" t="s">
        <v>238</v>
      </c>
      <c r="AG3390" s="5" t="s">
        <v>238</v>
      </c>
      <c r="AH3390" s="5" t="s">
        <v>238</v>
      </c>
      <c r="AI3390" s="5" t="s">
        <v>238</v>
      </c>
      <c r="AJ3390" s="5" t="s">
        <v>238</v>
      </c>
      <c r="AK3390" s="5" t="s">
        <v>238</v>
      </c>
      <c r="AL3390" s="5" t="s">
        <v>238</v>
      </c>
      <c r="AM3390" s="6" t="s">
        <v>238</v>
      </c>
      <c r="AN3390" s="6" t="s">
        <v>238</v>
      </c>
      <c r="AO3390" s="6" t="s">
        <v>238</v>
      </c>
      <c r="AP3390" s="6" t="s">
        <v>238</v>
      </c>
      <c r="AQ3390" s="5" t="s">
        <v>238</v>
      </c>
      <c r="AR3390" s="5" t="s">
        <v>488</v>
      </c>
      <c r="AS3390" s="5" t="s">
        <v>488</v>
      </c>
      <c r="AT3390" s="5" t="s">
        <v>246</v>
      </c>
      <c r="AU3390" s="5" t="s">
        <v>489</v>
      </c>
      <c r="AV3390" s="5" t="s">
        <v>247</v>
      </c>
      <c r="AW3390" s="5" t="s">
        <v>238</v>
      </c>
      <c r="AX3390" s="5" t="s">
        <v>249</v>
      </c>
      <c r="AY3390" s="5" t="s">
        <v>490</v>
      </c>
      <c r="BA3390" s="5" t="s">
        <v>238</v>
      </c>
      <c r="BC3390" s="5" t="s">
        <v>491</v>
      </c>
      <c r="BD3390" s="6" t="s">
        <v>492</v>
      </c>
      <c r="BE3390" s="5" t="s">
        <v>493</v>
      </c>
      <c r="BF3390" s="5" t="s">
        <v>493</v>
      </c>
      <c r="BG3390" s="5" t="s">
        <v>238</v>
      </c>
      <c r="BH3390" s="8">
        <f>1</f>
        <v>1</v>
      </c>
      <c r="BI3390" s="8">
        <f>1</f>
        <v>1</v>
      </c>
      <c r="BJ3390" s="5" t="s">
        <v>253</v>
      </c>
      <c r="BK3390" s="5" t="s">
        <v>254</v>
      </c>
      <c r="BL3390" s="5" t="s">
        <v>238</v>
      </c>
      <c r="BM3390" s="5" t="s">
        <v>238</v>
      </c>
      <c r="BN3390" s="5" t="s">
        <v>238</v>
      </c>
      <c r="BO3390" s="5" t="s">
        <v>238</v>
      </c>
      <c r="BP3390" s="5" t="s">
        <v>238</v>
      </c>
      <c r="BQ3390" s="5" t="s">
        <v>238</v>
      </c>
      <c r="BR3390" s="5" t="s">
        <v>238</v>
      </c>
      <c r="BS3390" s="5" t="s">
        <v>238</v>
      </c>
      <c r="BT3390" s="6" t="s">
        <v>238</v>
      </c>
      <c r="BU3390" s="5" t="s">
        <v>238</v>
      </c>
      <c r="BV3390" s="5" t="s">
        <v>238</v>
      </c>
      <c r="BW3390" s="5" t="s">
        <v>238</v>
      </c>
      <c r="BX3390" s="5" t="s">
        <v>254</v>
      </c>
      <c r="BY3390" s="5" t="s">
        <v>238</v>
      </c>
      <c r="BZ3390" s="5" t="s">
        <v>238</v>
      </c>
      <c r="CA3390" s="5" t="s">
        <v>238</v>
      </c>
      <c r="CB3390" s="5" t="s">
        <v>238</v>
      </c>
      <c r="CC3390" s="5" t="s">
        <v>238</v>
      </c>
      <c r="CD3390" s="5" t="s">
        <v>273</v>
      </c>
      <c r="CE3390" s="5" t="s">
        <v>256</v>
      </c>
      <c r="CF3390" s="5" t="s">
        <v>238</v>
      </c>
      <c r="CH3390" s="5" t="s">
        <v>494</v>
      </c>
      <c r="CI3390" s="6" t="s">
        <v>257</v>
      </c>
      <c r="CJ3390" s="5" t="s">
        <v>495</v>
      </c>
      <c r="CK3390" s="5" t="s">
        <v>258</v>
      </c>
      <c r="CL3390" s="5" t="s">
        <v>496</v>
      </c>
      <c r="CM3390" s="5" t="s">
        <v>238</v>
      </c>
      <c r="CN3390" s="5">
        <v>0</v>
      </c>
      <c r="CO3390" s="5" t="s">
        <v>497</v>
      </c>
      <c r="CP3390" s="5" t="s">
        <v>260</v>
      </c>
      <c r="CQ3390" s="5" t="s">
        <v>260</v>
      </c>
      <c r="CR3390" s="5" t="s">
        <v>261</v>
      </c>
      <c r="CS3390" s="5" t="s">
        <v>498</v>
      </c>
      <c r="CT3390" s="7">
        <f>1</f>
        <v>1</v>
      </c>
      <c r="CU3390" s="8">
        <f>1</f>
        <v>1</v>
      </c>
      <c r="CV3390" s="8">
        <f>0</f>
        <v>0</v>
      </c>
      <c r="CX3390" s="8">
        <f>1</f>
        <v>1</v>
      </c>
      <c r="CY3390" s="8">
        <f>1</f>
        <v>1</v>
      </c>
      <c r="CZ3390" s="8" t="s">
        <v>238</v>
      </c>
      <c r="DA3390" s="5" t="s">
        <v>238</v>
      </c>
      <c r="DB3390" s="5" t="s">
        <v>238</v>
      </c>
      <c r="DC3390" s="5" t="s">
        <v>238</v>
      </c>
      <c r="DD3390" s="5" t="s">
        <v>238</v>
      </c>
      <c r="DE3390" s="8">
        <f>0</f>
        <v>0</v>
      </c>
      <c r="DG3390" s="5" t="s">
        <v>238</v>
      </c>
      <c r="DH3390" s="5" t="s">
        <v>238</v>
      </c>
      <c r="DI3390" s="5" t="s">
        <v>238</v>
      </c>
      <c r="DJ3390" s="5" t="s">
        <v>238</v>
      </c>
      <c r="DK3390" s="5" t="s">
        <v>238</v>
      </c>
      <c r="DL3390" s="5" t="s">
        <v>238</v>
      </c>
      <c r="DM3390" s="8" t="s">
        <v>238</v>
      </c>
      <c r="DN3390" s="5" t="s">
        <v>238</v>
      </c>
      <c r="DO3390" s="5" t="s">
        <v>238</v>
      </c>
      <c r="DP3390" s="5" t="s">
        <v>490</v>
      </c>
      <c r="DQ3390" s="5" t="s">
        <v>490</v>
      </c>
      <c r="DR3390" s="5" t="s">
        <v>238</v>
      </c>
      <c r="DS3390" s="5" t="s">
        <v>238</v>
      </c>
      <c r="DT3390" s="5" t="s">
        <v>500</v>
      </c>
      <c r="DU3390" s="5" t="s">
        <v>814</v>
      </c>
      <c r="DV3390" s="5" t="s">
        <v>238</v>
      </c>
      <c r="DW3390" s="5" t="s">
        <v>238</v>
      </c>
      <c r="DX3390" s="5" t="s">
        <v>238</v>
      </c>
      <c r="DY3390" s="5" t="s">
        <v>238</v>
      </c>
      <c r="DZ3390" s="5" t="s">
        <v>238</v>
      </c>
      <c r="EA3390" s="5" t="s">
        <v>238</v>
      </c>
      <c r="EB3390" s="5" t="s">
        <v>238</v>
      </c>
      <c r="EC3390" s="5" t="s">
        <v>238</v>
      </c>
      <c r="ED3390" s="5" t="s">
        <v>238</v>
      </c>
      <c r="EE3390" s="5" t="s">
        <v>238</v>
      </c>
      <c r="EF3390" s="5" t="s">
        <v>238</v>
      </c>
      <c r="EG3390" s="5" t="s">
        <v>238</v>
      </c>
      <c r="EH3390" s="5" t="s">
        <v>238</v>
      </c>
      <c r="EI3390" s="5" t="s">
        <v>238</v>
      </c>
      <c r="EJ3390" s="5" t="s">
        <v>238</v>
      </c>
      <c r="EK3390" s="5" t="s">
        <v>238</v>
      </c>
      <c r="EL3390" s="5" t="s">
        <v>238</v>
      </c>
      <c r="EM3390" s="5" t="s">
        <v>238</v>
      </c>
      <c r="EN3390" s="5" t="s">
        <v>238</v>
      </c>
      <c r="EO3390" s="5" t="s">
        <v>238</v>
      </c>
      <c r="EP3390" s="5" t="s">
        <v>238</v>
      </c>
      <c r="EQ3390" s="5" t="s">
        <v>238</v>
      </c>
      <c r="ER3390" s="5" t="s">
        <v>238</v>
      </c>
      <c r="ES3390" s="5" t="s">
        <v>238</v>
      </c>
      <c r="ET3390" s="5" t="s">
        <v>238</v>
      </c>
      <c r="EU3390" s="5" t="s">
        <v>238</v>
      </c>
      <c r="EV3390" s="5" t="s">
        <v>238</v>
      </c>
      <c r="EW3390" s="5" t="s">
        <v>238</v>
      </c>
      <c r="EX3390" s="5" t="s">
        <v>238</v>
      </c>
      <c r="EY3390" s="5" t="s">
        <v>238</v>
      </c>
      <c r="EZ3390" s="5" t="s">
        <v>238</v>
      </c>
      <c r="FA3390" s="5" t="s">
        <v>238</v>
      </c>
      <c r="FB3390" s="5" t="s">
        <v>238</v>
      </c>
      <c r="FC3390" s="5" t="s">
        <v>238</v>
      </c>
      <c r="FD3390" s="5" t="s">
        <v>238</v>
      </c>
      <c r="FE3390" s="5" t="s">
        <v>238</v>
      </c>
      <c r="FF3390" s="5" t="s">
        <v>238</v>
      </c>
      <c r="FG3390" s="5" t="s">
        <v>238</v>
      </c>
      <c r="FH3390" s="5" t="s">
        <v>238</v>
      </c>
      <c r="FI3390" s="5" t="s">
        <v>238</v>
      </c>
      <c r="FJ3390" s="5" t="s">
        <v>238</v>
      </c>
      <c r="FK3390" s="5" t="s">
        <v>238</v>
      </c>
      <c r="FL3390" s="5" t="s">
        <v>238</v>
      </c>
      <c r="FM3390" s="5" t="s">
        <v>238</v>
      </c>
      <c r="FN3390" s="5" t="s">
        <v>238</v>
      </c>
      <c r="FO3390" s="5" t="s">
        <v>238</v>
      </c>
      <c r="FP3390" s="5" t="s">
        <v>238</v>
      </c>
      <c r="FQ3390" s="5" t="s">
        <v>238</v>
      </c>
      <c r="FR3390" s="5" t="s">
        <v>238</v>
      </c>
      <c r="FS3390" s="5" t="s">
        <v>238</v>
      </c>
      <c r="FT3390" s="5" t="s">
        <v>238</v>
      </c>
      <c r="FU3390" s="5" t="s">
        <v>238</v>
      </c>
      <c r="FV3390" s="5" t="s">
        <v>238</v>
      </c>
      <c r="FW3390" s="5" t="s">
        <v>238</v>
      </c>
      <c r="FX3390" s="5" t="s">
        <v>238</v>
      </c>
      <c r="FY3390" s="5" t="s">
        <v>238</v>
      </c>
      <c r="FZ3390" s="5" t="s">
        <v>238</v>
      </c>
      <c r="GA3390" s="5" t="s">
        <v>238</v>
      </c>
      <c r="GB3390" s="5" t="s">
        <v>238</v>
      </c>
      <c r="GC3390" s="5" t="s">
        <v>238</v>
      </c>
      <c r="GD3390" s="5" t="s">
        <v>238</v>
      </c>
      <c r="GE3390" s="5" t="s">
        <v>238</v>
      </c>
      <c r="GF3390" s="5" t="s">
        <v>238</v>
      </c>
      <c r="GG3390" s="5" t="s">
        <v>238</v>
      </c>
      <c r="GH3390" s="5" t="s">
        <v>238</v>
      </c>
      <c r="GI3390" s="5" t="s">
        <v>238</v>
      </c>
      <c r="GJ3390" s="5" t="s">
        <v>238</v>
      </c>
      <c r="GK3390" s="5" t="s">
        <v>238</v>
      </c>
      <c r="GL3390" s="5" t="s">
        <v>238</v>
      </c>
      <c r="GM3390" s="5" t="s">
        <v>238</v>
      </c>
      <c r="GN3390" s="5" t="s">
        <v>238</v>
      </c>
      <c r="GO3390" s="5" t="s">
        <v>238</v>
      </c>
      <c r="GP3390" s="5" t="s">
        <v>238</v>
      </c>
      <c r="GQ3390" s="5" t="s">
        <v>238</v>
      </c>
      <c r="GR3390" s="5" t="s">
        <v>238</v>
      </c>
      <c r="GS3390" s="5" t="s">
        <v>238</v>
      </c>
      <c r="GT3390" s="5" t="s">
        <v>238</v>
      </c>
      <c r="GU3390" s="5" t="s">
        <v>238</v>
      </c>
      <c r="GV3390" s="5" t="s">
        <v>238</v>
      </c>
      <c r="GW3390" s="5" t="s">
        <v>238</v>
      </c>
      <c r="GX3390" s="5" t="s">
        <v>238</v>
      </c>
      <c r="GY3390" s="5" t="s">
        <v>238</v>
      </c>
      <c r="GZ3390" s="5" t="s">
        <v>238</v>
      </c>
      <c r="HA3390" s="5" t="s">
        <v>238</v>
      </c>
      <c r="HB3390" s="5" t="s">
        <v>238</v>
      </c>
      <c r="HC3390" s="5" t="s">
        <v>238</v>
      </c>
      <c r="HD3390" s="5" t="s">
        <v>238</v>
      </c>
      <c r="HE3390" s="5" t="s">
        <v>238</v>
      </c>
      <c r="HF3390" s="5" t="s">
        <v>238</v>
      </c>
      <c r="HG3390" s="5" t="s">
        <v>238</v>
      </c>
      <c r="HH3390" s="5" t="s">
        <v>238</v>
      </c>
      <c r="HI3390" s="5" t="s">
        <v>238</v>
      </c>
      <c r="HJ3390" s="5" t="s">
        <v>238</v>
      </c>
      <c r="HK3390" s="5" t="s">
        <v>238</v>
      </c>
      <c r="HL3390" s="5" t="s">
        <v>238</v>
      </c>
      <c r="HM3390" s="5" t="s">
        <v>264</v>
      </c>
      <c r="HN3390" s="5" t="s">
        <v>238</v>
      </c>
      <c r="HO3390" s="5" t="s">
        <v>238</v>
      </c>
      <c r="HP3390" s="5" t="s">
        <v>238</v>
      </c>
      <c r="HQ3390" s="5" t="s">
        <v>238</v>
      </c>
      <c r="HR3390" s="5" t="s">
        <v>238</v>
      </c>
      <c r="HS3390" s="5" t="s">
        <v>238</v>
      </c>
      <c r="HT3390" s="5" t="s">
        <v>238</v>
      </c>
      <c r="HU3390" s="5" t="s">
        <v>238</v>
      </c>
      <c r="HV3390" s="5" t="s">
        <v>238</v>
      </c>
      <c r="HW3390" s="5" t="s">
        <v>238</v>
      </c>
      <c r="HX3390" s="5" t="s">
        <v>238</v>
      </c>
      <c r="HY3390" s="5" t="s">
        <v>238</v>
      </c>
      <c r="HZ3390" s="5" t="s">
        <v>238</v>
      </c>
      <c r="IA3390" s="5" t="s">
        <v>238</v>
      </c>
      <c r="IB3390" s="5" t="s">
        <v>238</v>
      </c>
      <c r="IC3390" s="5" t="s">
        <v>238</v>
      </c>
      <c r="ID3390" s="5" t="s">
        <v>238</v>
      </c>
    </row>
    <row r="3391" spans="1:238" x14ac:dyDescent="0.4">
      <c r="A3391" s="5">
        <v>9109</v>
      </c>
      <c r="B3391" s="5">
        <v>1</v>
      </c>
      <c r="C3391" s="5">
        <v>1</v>
      </c>
      <c r="D3391" s="5" t="s">
        <v>484</v>
      </c>
      <c r="E3391" s="5" t="s">
        <v>485</v>
      </c>
      <c r="F3391" s="5" t="s">
        <v>248</v>
      </c>
      <c r="G3391" s="5" t="s">
        <v>4340</v>
      </c>
      <c r="H3391" s="6" t="s">
        <v>4341</v>
      </c>
      <c r="I3391" s="8">
        <f>1</f>
        <v>1</v>
      </c>
      <c r="J3391" s="5" t="s">
        <v>499</v>
      </c>
      <c r="K3391" s="8">
        <f>1</f>
        <v>1</v>
      </c>
      <c r="L3391" s="6" t="s">
        <v>242</v>
      </c>
      <c r="M3391" s="5" t="s">
        <v>267</v>
      </c>
      <c r="N3391" s="5" t="s">
        <v>482</v>
      </c>
      <c r="O3391" s="5" t="s">
        <v>238</v>
      </c>
      <c r="P3391" s="5" t="s">
        <v>238</v>
      </c>
      <c r="Q3391" s="5" t="s">
        <v>239</v>
      </c>
      <c r="R3391" s="5" t="s">
        <v>270</v>
      </c>
      <c r="S3391" s="5" t="s">
        <v>238</v>
      </c>
      <c r="T3391" s="5" t="s">
        <v>238</v>
      </c>
      <c r="U3391" s="5" t="s">
        <v>238</v>
      </c>
      <c r="V3391" s="5" t="s">
        <v>238</v>
      </c>
      <c r="W3391" s="6" t="s">
        <v>238</v>
      </c>
      <c r="X3391" s="6" t="s">
        <v>238</v>
      </c>
      <c r="Y3391" s="5" t="s">
        <v>238</v>
      </c>
      <c r="Z3391" s="6" t="s">
        <v>238</v>
      </c>
      <c r="AA3391" s="6" t="s">
        <v>243</v>
      </c>
      <c r="AB3391" s="5" t="s">
        <v>486</v>
      </c>
      <c r="AC3391" s="5" t="s">
        <v>244</v>
      </c>
      <c r="AD3391" s="5" t="s">
        <v>245</v>
      </c>
      <c r="AE3391" s="5" t="s">
        <v>238</v>
      </c>
      <c r="AF3391" s="5" t="s">
        <v>238</v>
      </c>
      <c r="AG3391" s="5" t="s">
        <v>238</v>
      </c>
      <c r="AH3391" s="5" t="s">
        <v>238</v>
      </c>
      <c r="AI3391" s="5" t="s">
        <v>238</v>
      </c>
      <c r="AJ3391" s="5" t="s">
        <v>238</v>
      </c>
      <c r="AK3391" s="5" t="s">
        <v>238</v>
      </c>
      <c r="AL3391" s="5" t="s">
        <v>238</v>
      </c>
      <c r="AM3391" s="6" t="s">
        <v>238</v>
      </c>
      <c r="AN3391" s="6" t="s">
        <v>238</v>
      </c>
      <c r="AO3391" s="6" t="s">
        <v>238</v>
      </c>
      <c r="AP3391" s="6" t="s">
        <v>238</v>
      </c>
      <c r="AQ3391" s="5" t="s">
        <v>238</v>
      </c>
      <c r="AR3391" s="5" t="s">
        <v>488</v>
      </c>
      <c r="AS3391" s="5" t="s">
        <v>488</v>
      </c>
      <c r="AT3391" s="5" t="s">
        <v>246</v>
      </c>
      <c r="AU3391" s="5" t="s">
        <v>489</v>
      </c>
      <c r="AV3391" s="5" t="s">
        <v>247</v>
      </c>
      <c r="AW3391" s="5" t="s">
        <v>238</v>
      </c>
      <c r="AX3391" s="5" t="s">
        <v>249</v>
      </c>
      <c r="AY3391" s="5" t="s">
        <v>490</v>
      </c>
      <c r="BA3391" s="5" t="s">
        <v>238</v>
      </c>
      <c r="BC3391" s="5" t="s">
        <v>491</v>
      </c>
      <c r="BD3391" s="6" t="s">
        <v>492</v>
      </c>
      <c r="BE3391" s="5" t="s">
        <v>493</v>
      </c>
      <c r="BF3391" s="5" t="s">
        <v>493</v>
      </c>
      <c r="BG3391" s="5" t="s">
        <v>238</v>
      </c>
      <c r="BH3391" s="8">
        <f>1</f>
        <v>1</v>
      </c>
      <c r="BI3391" s="8">
        <f>1</f>
        <v>1</v>
      </c>
      <c r="BJ3391" s="5" t="s">
        <v>253</v>
      </c>
      <c r="BK3391" s="5" t="s">
        <v>254</v>
      </c>
      <c r="BL3391" s="5" t="s">
        <v>238</v>
      </c>
      <c r="BM3391" s="5" t="s">
        <v>238</v>
      </c>
      <c r="BN3391" s="5" t="s">
        <v>238</v>
      </c>
      <c r="BO3391" s="5" t="s">
        <v>238</v>
      </c>
      <c r="BP3391" s="5" t="s">
        <v>238</v>
      </c>
      <c r="BQ3391" s="5" t="s">
        <v>238</v>
      </c>
      <c r="BR3391" s="5" t="s">
        <v>238</v>
      </c>
      <c r="BS3391" s="5" t="s">
        <v>238</v>
      </c>
      <c r="BT3391" s="6" t="s">
        <v>238</v>
      </c>
      <c r="BU3391" s="5" t="s">
        <v>238</v>
      </c>
      <c r="BV3391" s="5" t="s">
        <v>238</v>
      </c>
      <c r="BW3391" s="5" t="s">
        <v>238</v>
      </c>
      <c r="BX3391" s="5" t="s">
        <v>254</v>
      </c>
      <c r="BY3391" s="5" t="s">
        <v>238</v>
      </c>
      <c r="BZ3391" s="5" t="s">
        <v>238</v>
      </c>
      <c r="CA3391" s="5" t="s">
        <v>238</v>
      </c>
      <c r="CB3391" s="5" t="s">
        <v>238</v>
      </c>
      <c r="CC3391" s="5" t="s">
        <v>238</v>
      </c>
      <c r="CD3391" s="5" t="s">
        <v>273</v>
      </c>
      <c r="CE3391" s="5" t="s">
        <v>256</v>
      </c>
      <c r="CF3391" s="5" t="s">
        <v>238</v>
      </c>
      <c r="CH3391" s="5" t="s">
        <v>494</v>
      </c>
      <c r="CI3391" s="6" t="s">
        <v>257</v>
      </c>
      <c r="CJ3391" s="5" t="s">
        <v>495</v>
      </c>
      <c r="CK3391" s="5" t="s">
        <v>258</v>
      </c>
      <c r="CL3391" s="5" t="s">
        <v>496</v>
      </c>
      <c r="CM3391" s="5" t="s">
        <v>238</v>
      </c>
      <c r="CN3391" s="5">
        <v>0</v>
      </c>
      <c r="CO3391" s="5" t="s">
        <v>497</v>
      </c>
      <c r="CP3391" s="5" t="s">
        <v>260</v>
      </c>
      <c r="CQ3391" s="5" t="s">
        <v>260</v>
      </c>
      <c r="CR3391" s="5" t="s">
        <v>261</v>
      </c>
      <c r="CS3391" s="5" t="s">
        <v>498</v>
      </c>
      <c r="CT3391" s="7">
        <f>1</f>
        <v>1</v>
      </c>
      <c r="CU3391" s="8">
        <f>1</f>
        <v>1</v>
      </c>
      <c r="CV3391" s="8">
        <f>0</f>
        <v>0</v>
      </c>
      <c r="CX3391" s="8">
        <f>1</f>
        <v>1</v>
      </c>
      <c r="CY3391" s="8">
        <f>1</f>
        <v>1</v>
      </c>
      <c r="CZ3391" s="8" t="s">
        <v>238</v>
      </c>
      <c r="DA3391" s="5" t="s">
        <v>238</v>
      </c>
      <c r="DB3391" s="5" t="s">
        <v>238</v>
      </c>
      <c r="DC3391" s="5" t="s">
        <v>238</v>
      </c>
      <c r="DD3391" s="5" t="s">
        <v>238</v>
      </c>
      <c r="DE3391" s="8">
        <f>0</f>
        <v>0</v>
      </c>
      <c r="DG3391" s="5" t="s">
        <v>238</v>
      </c>
      <c r="DH3391" s="5" t="s">
        <v>238</v>
      </c>
      <c r="DI3391" s="5" t="s">
        <v>238</v>
      </c>
      <c r="DJ3391" s="5" t="s">
        <v>238</v>
      </c>
      <c r="DK3391" s="5" t="s">
        <v>238</v>
      </c>
      <c r="DL3391" s="5" t="s">
        <v>238</v>
      </c>
      <c r="DM3391" s="8" t="s">
        <v>238</v>
      </c>
      <c r="DN3391" s="5" t="s">
        <v>238</v>
      </c>
      <c r="DO3391" s="5" t="s">
        <v>238</v>
      </c>
      <c r="DP3391" s="5" t="s">
        <v>490</v>
      </c>
      <c r="DQ3391" s="5" t="s">
        <v>490</v>
      </c>
      <c r="DR3391" s="5" t="s">
        <v>238</v>
      </c>
      <c r="DS3391" s="5" t="s">
        <v>238</v>
      </c>
      <c r="DT3391" s="5" t="s">
        <v>500</v>
      </c>
      <c r="DU3391" s="5" t="s">
        <v>1192</v>
      </c>
      <c r="DV3391" s="5" t="s">
        <v>238</v>
      </c>
      <c r="DW3391" s="5" t="s">
        <v>238</v>
      </c>
      <c r="DX3391" s="5" t="s">
        <v>238</v>
      </c>
      <c r="DY3391" s="5" t="s">
        <v>238</v>
      </c>
      <c r="DZ3391" s="5" t="s">
        <v>238</v>
      </c>
      <c r="EA3391" s="5" t="s">
        <v>238</v>
      </c>
      <c r="EB3391" s="5" t="s">
        <v>238</v>
      </c>
      <c r="EC3391" s="5" t="s">
        <v>238</v>
      </c>
      <c r="ED3391" s="5" t="s">
        <v>238</v>
      </c>
      <c r="EE3391" s="5" t="s">
        <v>238</v>
      </c>
      <c r="EF3391" s="5" t="s">
        <v>238</v>
      </c>
      <c r="EG3391" s="5" t="s">
        <v>238</v>
      </c>
      <c r="EH3391" s="5" t="s">
        <v>238</v>
      </c>
      <c r="EI3391" s="5" t="s">
        <v>238</v>
      </c>
      <c r="EJ3391" s="5" t="s">
        <v>238</v>
      </c>
      <c r="EK3391" s="5" t="s">
        <v>238</v>
      </c>
      <c r="EL3391" s="5" t="s">
        <v>238</v>
      </c>
      <c r="EM3391" s="5" t="s">
        <v>238</v>
      </c>
      <c r="EN3391" s="5" t="s">
        <v>238</v>
      </c>
      <c r="EO3391" s="5" t="s">
        <v>238</v>
      </c>
      <c r="EP3391" s="5" t="s">
        <v>238</v>
      </c>
      <c r="EQ3391" s="5" t="s">
        <v>238</v>
      </c>
      <c r="ER3391" s="5" t="s">
        <v>238</v>
      </c>
      <c r="ES3391" s="5" t="s">
        <v>238</v>
      </c>
      <c r="ET3391" s="5" t="s">
        <v>238</v>
      </c>
      <c r="EU3391" s="5" t="s">
        <v>238</v>
      </c>
      <c r="EV3391" s="5" t="s">
        <v>238</v>
      </c>
      <c r="EW3391" s="5" t="s">
        <v>238</v>
      </c>
      <c r="EX3391" s="5" t="s">
        <v>238</v>
      </c>
      <c r="EY3391" s="5" t="s">
        <v>238</v>
      </c>
      <c r="EZ3391" s="5" t="s">
        <v>238</v>
      </c>
      <c r="FA3391" s="5" t="s">
        <v>238</v>
      </c>
      <c r="FB3391" s="5" t="s">
        <v>238</v>
      </c>
      <c r="FC3391" s="5" t="s">
        <v>238</v>
      </c>
      <c r="FD3391" s="5" t="s">
        <v>238</v>
      </c>
      <c r="FE3391" s="5" t="s">
        <v>238</v>
      </c>
      <c r="FF3391" s="5" t="s">
        <v>238</v>
      </c>
      <c r="FG3391" s="5" t="s">
        <v>238</v>
      </c>
      <c r="FH3391" s="5" t="s">
        <v>238</v>
      </c>
      <c r="FI3391" s="5" t="s">
        <v>238</v>
      </c>
      <c r="FJ3391" s="5" t="s">
        <v>238</v>
      </c>
      <c r="FK3391" s="5" t="s">
        <v>238</v>
      </c>
      <c r="FL3391" s="5" t="s">
        <v>238</v>
      </c>
      <c r="FM3391" s="5" t="s">
        <v>238</v>
      </c>
      <c r="FN3391" s="5" t="s">
        <v>238</v>
      </c>
      <c r="FO3391" s="5" t="s">
        <v>238</v>
      </c>
      <c r="FP3391" s="5" t="s">
        <v>238</v>
      </c>
      <c r="FQ3391" s="5" t="s">
        <v>238</v>
      </c>
      <c r="FR3391" s="5" t="s">
        <v>238</v>
      </c>
      <c r="FS3391" s="5" t="s">
        <v>238</v>
      </c>
      <c r="FT3391" s="5" t="s">
        <v>238</v>
      </c>
      <c r="FU3391" s="5" t="s">
        <v>238</v>
      </c>
      <c r="FV3391" s="5" t="s">
        <v>238</v>
      </c>
      <c r="FW3391" s="5" t="s">
        <v>238</v>
      </c>
      <c r="FX3391" s="5" t="s">
        <v>238</v>
      </c>
      <c r="FY3391" s="5" t="s">
        <v>238</v>
      </c>
      <c r="FZ3391" s="5" t="s">
        <v>238</v>
      </c>
      <c r="GA3391" s="5" t="s">
        <v>238</v>
      </c>
      <c r="GB3391" s="5" t="s">
        <v>238</v>
      </c>
      <c r="GC3391" s="5" t="s">
        <v>238</v>
      </c>
      <c r="GD3391" s="5" t="s">
        <v>238</v>
      </c>
      <c r="GE3391" s="5" t="s">
        <v>238</v>
      </c>
      <c r="GF3391" s="5" t="s">
        <v>238</v>
      </c>
      <c r="GG3391" s="5" t="s">
        <v>238</v>
      </c>
      <c r="GH3391" s="5" t="s">
        <v>238</v>
      </c>
      <c r="GI3391" s="5" t="s">
        <v>238</v>
      </c>
      <c r="GJ3391" s="5" t="s">
        <v>238</v>
      </c>
      <c r="GK3391" s="5" t="s">
        <v>238</v>
      </c>
      <c r="GL3391" s="5" t="s">
        <v>238</v>
      </c>
      <c r="GM3391" s="5" t="s">
        <v>238</v>
      </c>
      <c r="GN3391" s="5" t="s">
        <v>238</v>
      </c>
      <c r="GO3391" s="5" t="s">
        <v>238</v>
      </c>
      <c r="GP3391" s="5" t="s">
        <v>238</v>
      </c>
      <c r="GQ3391" s="5" t="s">
        <v>238</v>
      </c>
      <c r="GR3391" s="5" t="s">
        <v>238</v>
      </c>
      <c r="GS3391" s="5" t="s">
        <v>238</v>
      </c>
      <c r="GT3391" s="5" t="s">
        <v>238</v>
      </c>
      <c r="GU3391" s="5" t="s">
        <v>238</v>
      </c>
      <c r="GV3391" s="5" t="s">
        <v>238</v>
      </c>
      <c r="GW3391" s="5" t="s">
        <v>238</v>
      </c>
      <c r="GX3391" s="5" t="s">
        <v>238</v>
      </c>
      <c r="GY3391" s="5" t="s">
        <v>238</v>
      </c>
      <c r="GZ3391" s="5" t="s">
        <v>238</v>
      </c>
      <c r="HA3391" s="5" t="s">
        <v>238</v>
      </c>
      <c r="HB3391" s="5" t="s">
        <v>238</v>
      </c>
      <c r="HC3391" s="5" t="s">
        <v>238</v>
      </c>
      <c r="HD3391" s="5" t="s">
        <v>238</v>
      </c>
      <c r="HE3391" s="5" t="s">
        <v>238</v>
      </c>
      <c r="HF3391" s="5" t="s">
        <v>238</v>
      </c>
      <c r="HG3391" s="5" t="s">
        <v>238</v>
      </c>
      <c r="HH3391" s="5" t="s">
        <v>238</v>
      </c>
      <c r="HI3391" s="5" t="s">
        <v>238</v>
      </c>
      <c r="HJ3391" s="5" t="s">
        <v>238</v>
      </c>
      <c r="HK3391" s="5" t="s">
        <v>238</v>
      </c>
      <c r="HL3391" s="5" t="s">
        <v>238</v>
      </c>
      <c r="HM3391" s="5" t="s">
        <v>264</v>
      </c>
      <c r="HN3391" s="5" t="s">
        <v>238</v>
      </c>
      <c r="HO3391" s="5" t="s">
        <v>238</v>
      </c>
      <c r="HP3391" s="5" t="s">
        <v>238</v>
      </c>
      <c r="HQ3391" s="5" t="s">
        <v>238</v>
      </c>
      <c r="HR3391" s="5" t="s">
        <v>238</v>
      </c>
      <c r="HS3391" s="5" t="s">
        <v>238</v>
      </c>
      <c r="HT3391" s="5" t="s">
        <v>238</v>
      </c>
      <c r="HU3391" s="5" t="s">
        <v>238</v>
      </c>
      <c r="HV3391" s="5" t="s">
        <v>238</v>
      </c>
      <c r="HW3391" s="5" t="s">
        <v>238</v>
      </c>
      <c r="HX3391" s="5" t="s">
        <v>238</v>
      </c>
      <c r="HY3391" s="5" t="s">
        <v>238</v>
      </c>
      <c r="HZ3391" s="5" t="s">
        <v>238</v>
      </c>
      <c r="IA3391" s="5" t="s">
        <v>238</v>
      </c>
      <c r="IB3391" s="5" t="s">
        <v>238</v>
      </c>
      <c r="IC3391" s="5" t="s">
        <v>238</v>
      </c>
      <c r="ID3391" s="5" t="s">
        <v>238</v>
      </c>
    </row>
    <row r="3392" spans="1:238" x14ac:dyDescent="0.4">
      <c r="A3392" s="5">
        <v>9110</v>
      </c>
      <c r="B3392" s="5">
        <v>1</v>
      </c>
      <c r="C3392" s="5">
        <v>1</v>
      </c>
      <c r="D3392" s="5" t="s">
        <v>484</v>
      </c>
      <c r="E3392" s="5" t="s">
        <v>485</v>
      </c>
      <c r="F3392" s="5" t="s">
        <v>248</v>
      </c>
      <c r="G3392" s="5" t="s">
        <v>5028</v>
      </c>
      <c r="H3392" s="6" t="s">
        <v>5029</v>
      </c>
      <c r="I3392" s="8">
        <f>1</f>
        <v>1</v>
      </c>
      <c r="J3392" s="5" t="s">
        <v>499</v>
      </c>
      <c r="K3392" s="8">
        <f>1</f>
        <v>1</v>
      </c>
      <c r="L3392" s="6" t="s">
        <v>242</v>
      </c>
      <c r="M3392" s="5" t="s">
        <v>267</v>
      </c>
      <c r="N3392" s="5" t="s">
        <v>482</v>
      </c>
      <c r="O3392" s="5" t="s">
        <v>238</v>
      </c>
      <c r="P3392" s="5" t="s">
        <v>238</v>
      </c>
      <c r="Q3392" s="5" t="s">
        <v>239</v>
      </c>
      <c r="R3392" s="5" t="s">
        <v>270</v>
      </c>
      <c r="S3392" s="5" t="s">
        <v>238</v>
      </c>
      <c r="T3392" s="5" t="s">
        <v>238</v>
      </c>
      <c r="U3392" s="5" t="s">
        <v>238</v>
      </c>
      <c r="V3392" s="5" t="s">
        <v>238</v>
      </c>
      <c r="W3392" s="6" t="s">
        <v>238</v>
      </c>
      <c r="X3392" s="6" t="s">
        <v>238</v>
      </c>
      <c r="Y3392" s="5" t="s">
        <v>238</v>
      </c>
      <c r="Z3392" s="6" t="s">
        <v>238</v>
      </c>
      <c r="AA3392" s="6" t="s">
        <v>243</v>
      </c>
      <c r="AB3392" s="5" t="s">
        <v>486</v>
      </c>
      <c r="AC3392" s="5" t="s">
        <v>244</v>
      </c>
      <c r="AD3392" s="5" t="s">
        <v>245</v>
      </c>
      <c r="AE3392" s="5" t="s">
        <v>238</v>
      </c>
      <c r="AF3392" s="5" t="s">
        <v>238</v>
      </c>
      <c r="AG3392" s="5" t="s">
        <v>238</v>
      </c>
      <c r="AH3392" s="5" t="s">
        <v>238</v>
      </c>
      <c r="AI3392" s="5" t="s">
        <v>238</v>
      </c>
      <c r="AJ3392" s="5" t="s">
        <v>238</v>
      </c>
      <c r="AK3392" s="5" t="s">
        <v>238</v>
      </c>
      <c r="AL3392" s="5" t="s">
        <v>238</v>
      </c>
      <c r="AM3392" s="6" t="s">
        <v>238</v>
      </c>
      <c r="AN3392" s="6" t="s">
        <v>238</v>
      </c>
      <c r="AO3392" s="6" t="s">
        <v>238</v>
      </c>
      <c r="AP3392" s="6" t="s">
        <v>238</v>
      </c>
      <c r="AQ3392" s="5" t="s">
        <v>238</v>
      </c>
      <c r="AR3392" s="5" t="s">
        <v>488</v>
      </c>
      <c r="AS3392" s="5" t="s">
        <v>488</v>
      </c>
      <c r="AT3392" s="5" t="s">
        <v>246</v>
      </c>
      <c r="AU3392" s="5" t="s">
        <v>489</v>
      </c>
      <c r="AV3392" s="5" t="s">
        <v>247</v>
      </c>
      <c r="AW3392" s="5" t="s">
        <v>238</v>
      </c>
      <c r="AX3392" s="5" t="s">
        <v>249</v>
      </c>
      <c r="AY3392" s="5" t="s">
        <v>490</v>
      </c>
      <c r="BA3392" s="5" t="s">
        <v>238</v>
      </c>
      <c r="BC3392" s="5" t="s">
        <v>491</v>
      </c>
      <c r="BD3392" s="6" t="s">
        <v>492</v>
      </c>
      <c r="BE3392" s="5" t="s">
        <v>493</v>
      </c>
      <c r="BF3392" s="5" t="s">
        <v>493</v>
      </c>
      <c r="BG3392" s="5" t="s">
        <v>238</v>
      </c>
      <c r="BH3392" s="8">
        <f>1</f>
        <v>1</v>
      </c>
      <c r="BI3392" s="8">
        <f>1</f>
        <v>1</v>
      </c>
      <c r="BJ3392" s="5" t="s">
        <v>253</v>
      </c>
      <c r="BK3392" s="5" t="s">
        <v>254</v>
      </c>
      <c r="BL3392" s="5" t="s">
        <v>238</v>
      </c>
      <c r="BM3392" s="5" t="s">
        <v>238</v>
      </c>
      <c r="BN3392" s="5" t="s">
        <v>238</v>
      </c>
      <c r="BO3392" s="5" t="s">
        <v>238</v>
      </c>
      <c r="BP3392" s="5" t="s">
        <v>238</v>
      </c>
      <c r="BQ3392" s="5" t="s">
        <v>238</v>
      </c>
      <c r="BR3392" s="5" t="s">
        <v>238</v>
      </c>
      <c r="BS3392" s="5" t="s">
        <v>238</v>
      </c>
      <c r="BT3392" s="6" t="s">
        <v>238</v>
      </c>
      <c r="BU3392" s="5" t="s">
        <v>238</v>
      </c>
      <c r="BV3392" s="5" t="s">
        <v>238</v>
      </c>
      <c r="BW3392" s="5" t="s">
        <v>238</v>
      </c>
      <c r="BX3392" s="5" t="s">
        <v>254</v>
      </c>
      <c r="BY3392" s="5" t="s">
        <v>238</v>
      </c>
      <c r="BZ3392" s="5" t="s">
        <v>238</v>
      </c>
      <c r="CA3392" s="5" t="s">
        <v>238</v>
      </c>
      <c r="CB3392" s="5" t="s">
        <v>238</v>
      </c>
      <c r="CC3392" s="5" t="s">
        <v>238</v>
      </c>
      <c r="CD3392" s="5" t="s">
        <v>273</v>
      </c>
      <c r="CE3392" s="5" t="s">
        <v>256</v>
      </c>
      <c r="CF3392" s="5" t="s">
        <v>238</v>
      </c>
      <c r="CH3392" s="5" t="s">
        <v>494</v>
      </c>
      <c r="CI3392" s="6" t="s">
        <v>257</v>
      </c>
      <c r="CJ3392" s="5" t="s">
        <v>495</v>
      </c>
      <c r="CK3392" s="5" t="s">
        <v>258</v>
      </c>
      <c r="CL3392" s="5" t="s">
        <v>496</v>
      </c>
      <c r="CM3392" s="5" t="s">
        <v>238</v>
      </c>
      <c r="CN3392" s="5">
        <v>0</v>
      </c>
      <c r="CO3392" s="5" t="s">
        <v>497</v>
      </c>
      <c r="CP3392" s="5" t="s">
        <v>260</v>
      </c>
      <c r="CQ3392" s="5" t="s">
        <v>260</v>
      </c>
      <c r="CR3392" s="5" t="s">
        <v>261</v>
      </c>
      <c r="CS3392" s="5" t="s">
        <v>498</v>
      </c>
      <c r="CT3392" s="7">
        <f>1</f>
        <v>1</v>
      </c>
      <c r="CU3392" s="8">
        <f>1</f>
        <v>1</v>
      </c>
      <c r="CV3392" s="8">
        <f>0</f>
        <v>0</v>
      </c>
      <c r="CX3392" s="8">
        <f>1</f>
        <v>1</v>
      </c>
      <c r="CY3392" s="8">
        <f>1</f>
        <v>1</v>
      </c>
      <c r="CZ3392" s="8" t="s">
        <v>238</v>
      </c>
      <c r="DA3392" s="5" t="s">
        <v>238</v>
      </c>
      <c r="DB3392" s="5" t="s">
        <v>238</v>
      </c>
      <c r="DC3392" s="5" t="s">
        <v>238</v>
      </c>
      <c r="DD3392" s="5" t="s">
        <v>238</v>
      </c>
      <c r="DE3392" s="8">
        <f>0</f>
        <v>0</v>
      </c>
      <c r="DG3392" s="5" t="s">
        <v>238</v>
      </c>
      <c r="DH3392" s="5" t="s">
        <v>238</v>
      </c>
      <c r="DI3392" s="5" t="s">
        <v>238</v>
      </c>
      <c r="DJ3392" s="5" t="s">
        <v>238</v>
      </c>
      <c r="DK3392" s="5" t="s">
        <v>238</v>
      </c>
      <c r="DL3392" s="5" t="s">
        <v>238</v>
      </c>
      <c r="DM3392" s="8" t="s">
        <v>238</v>
      </c>
      <c r="DN3392" s="5" t="s">
        <v>238</v>
      </c>
      <c r="DO3392" s="5" t="s">
        <v>238</v>
      </c>
      <c r="DP3392" s="5" t="s">
        <v>490</v>
      </c>
      <c r="DQ3392" s="5" t="s">
        <v>490</v>
      </c>
      <c r="DR3392" s="5" t="s">
        <v>238</v>
      </c>
      <c r="DS3392" s="5" t="s">
        <v>238</v>
      </c>
      <c r="DT3392" s="5" t="s">
        <v>500</v>
      </c>
      <c r="DU3392" s="5" t="s">
        <v>402</v>
      </c>
      <c r="DV3392" s="5" t="s">
        <v>238</v>
      </c>
      <c r="DW3392" s="5" t="s">
        <v>238</v>
      </c>
      <c r="DX3392" s="5" t="s">
        <v>238</v>
      </c>
      <c r="DY3392" s="5" t="s">
        <v>238</v>
      </c>
      <c r="DZ3392" s="5" t="s">
        <v>238</v>
      </c>
      <c r="EA3392" s="5" t="s">
        <v>238</v>
      </c>
      <c r="EB3392" s="5" t="s">
        <v>238</v>
      </c>
      <c r="EC3392" s="5" t="s">
        <v>238</v>
      </c>
      <c r="ED3392" s="5" t="s">
        <v>238</v>
      </c>
      <c r="EE3392" s="5" t="s">
        <v>238</v>
      </c>
      <c r="EF3392" s="5" t="s">
        <v>238</v>
      </c>
      <c r="EG3392" s="5" t="s">
        <v>238</v>
      </c>
      <c r="EH3392" s="5" t="s">
        <v>238</v>
      </c>
      <c r="EI3392" s="5" t="s">
        <v>238</v>
      </c>
      <c r="EJ3392" s="5" t="s">
        <v>238</v>
      </c>
      <c r="EK3392" s="5" t="s">
        <v>238</v>
      </c>
      <c r="EL3392" s="5" t="s">
        <v>238</v>
      </c>
      <c r="EM3392" s="5" t="s">
        <v>238</v>
      </c>
      <c r="EN3392" s="5" t="s">
        <v>238</v>
      </c>
      <c r="EO3392" s="5" t="s">
        <v>238</v>
      </c>
      <c r="EP3392" s="5" t="s">
        <v>238</v>
      </c>
      <c r="EQ3392" s="5" t="s">
        <v>238</v>
      </c>
      <c r="ER3392" s="5" t="s">
        <v>238</v>
      </c>
      <c r="ES3392" s="5" t="s">
        <v>238</v>
      </c>
      <c r="ET3392" s="5" t="s">
        <v>238</v>
      </c>
      <c r="EU3392" s="5" t="s">
        <v>238</v>
      </c>
      <c r="EV3392" s="5" t="s">
        <v>238</v>
      </c>
      <c r="EW3392" s="5" t="s">
        <v>238</v>
      </c>
      <c r="EX3392" s="5" t="s">
        <v>238</v>
      </c>
      <c r="EY3392" s="5" t="s">
        <v>238</v>
      </c>
      <c r="EZ3392" s="5" t="s">
        <v>238</v>
      </c>
      <c r="FA3392" s="5" t="s">
        <v>238</v>
      </c>
      <c r="FB3392" s="5" t="s">
        <v>238</v>
      </c>
      <c r="FC3392" s="5" t="s">
        <v>238</v>
      </c>
      <c r="FD3392" s="5" t="s">
        <v>238</v>
      </c>
      <c r="FE3392" s="5" t="s">
        <v>238</v>
      </c>
      <c r="FF3392" s="5" t="s">
        <v>238</v>
      </c>
      <c r="FG3392" s="5" t="s">
        <v>238</v>
      </c>
      <c r="FH3392" s="5" t="s">
        <v>238</v>
      </c>
      <c r="FI3392" s="5" t="s">
        <v>238</v>
      </c>
      <c r="FJ3392" s="5" t="s">
        <v>238</v>
      </c>
      <c r="FK3392" s="5" t="s">
        <v>238</v>
      </c>
      <c r="FL3392" s="5" t="s">
        <v>238</v>
      </c>
      <c r="FM3392" s="5" t="s">
        <v>238</v>
      </c>
      <c r="FN3392" s="5" t="s">
        <v>238</v>
      </c>
      <c r="FO3392" s="5" t="s">
        <v>238</v>
      </c>
      <c r="FP3392" s="5" t="s">
        <v>238</v>
      </c>
      <c r="FQ3392" s="5" t="s">
        <v>238</v>
      </c>
      <c r="FR3392" s="5" t="s">
        <v>238</v>
      </c>
      <c r="FS3392" s="5" t="s">
        <v>238</v>
      </c>
      <c r="FT3392" s="5" t="s">
        <v>238</v>
      </c>
      <c r="FU3392" s="5" t="s">
        <v>238</v>
      </c>
      <c r="FV3392" s="5" t="s">
        <v>238</v>
      </c>
      <c r="FW3392" s="5" t="s">
        <v>238</v>
      </c>
      <c r="FX3392" s="5" t="s">
        <v>238</v>
      </c>
      <c r="FY3392" s="5" t="s">
        <v>238</v>
      </c>
      <c r="FZ3392" s="5" t="s">
        <v>238</v>
      </c>
      <c r="GA3392" s="5" t="s">
        <v>238</v>
      </c>
      <c r="GB3392" s="5" t="s">
        <v>238</v>
      </c>
      <c r="GC3392" s="5" t="s">
        <v>238</v>
      </c>
      <c r="GD3392" s="5" t="s">
        <v>238</v>
      </c>
      <c r="GE3392" s="5" t="s">
        <v>238</v>
      </c>
      <c r="GF3392" s="5" t="s">
        <v>238</v>
      </c>
      <c r="GG3392" s="5" t="s">
        <v>238</v>
      </c>
      <c r="GH3392" s="5" t="s">
        <v>238</v>
      </c>
      <c r="GI3392" s="5" t="s">
        <v>238</v>
      </c>
      <c r="GJ3392" s="5" t="s">
        <v>238</v>
      </c>
      <c r="GK3392" s="5" t="s">
        <v>238</v>
      </c>
      <c r="GL3392" s="5" t="s">
        <v>238</v>
      </c>
      <c r="GM3392" s="5" t="s">
        <v>238</v>
      </c>
      <c r="GN3392" s="5" t="s">
        <v>238</v>
      </c>
      <c r="GO3392" s="5" t="s">
        <v>238</v>
      </c>
      <c r="GP3392" s="5" t="s">
        <v>238</v>
      </c>
      <c r="GQ3392" s="5" t="s">
        <v>238</v>
      </c>
      <c r="GR3392" s="5" t="s">
        <v>238</v>
      </c>
      <c r="GS3392" s="5" t="s">
        <v>238</v>
      </c>
      <c r="GT3392" s="5" t="s">
        <v>238</v>
      </c>
      <c r="GU3392" s="5" t="s">
        <v>238</v>
      </c>
      <c r="GV3392" s="5" t="s">
        <v>238</v>
      </c>
      <c r="GW3392" s="5" t="s">
        <v>238</v>
      </c>
      <c r="GX3392" s="5" t="s">
        <v>238</v>
      </c>
      <c r="GY3392" s="5" t="s">
        <v>238</v>
      </c>
      <c r="GZ3392" s="5" t="s">
        <v>238</v>
      </c>
      <c r="HA3392" s="5" t="s">
        <v>238</v>
      </c>
      <c r="HB3392" s="5" t="s">
        <v>238</v>
      </c>
      <c r="HC3392" s="5" t="s">
        <v>238</v>
      </c>
      <c r="HD3392" s="5" t="s">
        <v>238</v>
      </c>
      <c r="HE3392" s="5" t="s">
        <v>238</v>
      </c>
      <c r="HF3392" s="5" t="s">
        <v>238</v>
      </c>
      <c r="HG3392" s="5" t="s">
        <v>238</v>
      </c>
      <c r="HH3392" s="5" t="s">
        <v>238</v>
      </c>
      <c r="HI3392" s="5" t="s">
        <v>238</v>
      </c>
      <c r="HJ3392" s="5" t="s">
        <v>238</v>
      </c>
      <c r="HK3392" s="5" t="s">
        <v>238</v>
      </c>
      <c r="HL3392" s="5" t="s">
        <v>238</v>
      </c>
      <c r="HM3392" s="5" t="s">
        <v>264</v>
      </c>
      <c r="HN3392" s="5" t="s">
        <v>238</v>
      </c>
      <c r="HO3392" s="5" t="s">
        <v>238</v>
      </c>
      <c r="HP3392" s="5" t="s">
        <v>238</v>
      </c>
      <c r="HQ3392" s="5" t="s">
        <v>238</v>
      </c>
      <c r="HR3392" s="5" t="s">
        <v>238</v>
      </c>
      <c r="HS3392" s="5" t="s">
        <v>238</v>
      </c>
      <c r="HT3392" s="5" t="s">
        <v>238</v>
      </c>
      <c r="HU3392" s="5" t="s">
        <v>238</v>
      </c>
      <c r="HV3392" s="5" t="s">
        <v>238</v>
      </c>
      <c r="HW3392" s="5" t="s">
        <v>238</v>
      </c>
      <c r="HX3392" s="5" t="s">
        <v>238</v>
      </c>
      <c r="HY3392" s="5" t="s">
        <v>238</v>
      </c>
      <c r="HZ3392" s="5" t="s">
        <v>238</v>
      </c>
      <c r="IA3392" s="5" t="s">
        <v>238</v>
      </c>
      <c r="IB3392" s="5" t="s">
        <v>238</v>
      </c>
      <c r="IC3392" s="5" t="s">
        <v>238</v>
      </c>
      <c r="ID3392" s="5" t="s">
        <v>238</v>
      </c>
    </row>
    <row r="3393" spans="1:238" x14ac:dyDescent="0.4">
      <c r="A3393" s="5">
        <v>9111</v>
      </c>
      <c r="B3393" s="5">
        <v>1</v>
      </c>
      <c r="C3393" s="5">
        <v>1</v>
      </c>
      <c r="D3393" s="5" t="s">
        <v>484</v>
      </c>
      <c r="E3393" s="5" t="s">
        <v>485</v>
      </c>
      <c r="F3393" s="5" t="s">
        <v>248</v>
      </c>
      <c r="G3393" s="5" t="s">
        <v>4712</v>
      </c>
      <c r="H3393" s="6" t="s">
        <v>4713</v>
      </c>
      <c r="I3393" s="8">
        <f>1</f>
        <v>1</v>
      </c>
      <c r="J3393" s="5" t="s">
        <v>499</v>
      </c>
      <c r="K3393" s="8">
        <f>1</f>
        <v>1</v>
      </c>
      <c r="L3393" s="6" t="s">
        <v>242</v>
      </c>
      <c r="M3393" s="5" t="s">
        <v>267</v>
      </c>
      <c r="N3393" s="5" t="s">
        <v>482</v>
      </c>
      <c r="O3393" s="5" t="s">
        <v>238</v>
      </c>
      <c r="P3393" s="5" t="s">
        <v>238</v>
      </c>
      <c r="Q3393" s="5" t="s">
        <v>239</v>
      </c>
      <c r="R3393" s="5" t="s">
        <v>270</v>
      </c>
      <c r="S3393" s="5" t="s">
        <v>238</v>
      </c>
      <c r="T3393" s="5" t="s">
        <v>238</v>
      </c>
      <c r="U3393" s="5" t="s">
        <v>238</v>
      </c>
      <c r="V3393" s="5" t="s">
        <v>238</v>
      </c>
      <c r="W3393" s="6" t="s">
        <v>238</v>
      </c>
      <c r="X3393" s="6" t="s">
        <v>238</v>
      </c>
      <c r="Y3393" s="5" t="s">
        <v>238</v>
      </c>
      <c r="Z3393" s="6" t="s">
        <v>238</v>
      </c>
      <c r="AA3393" s="6" t="s">
        <v>243</v>
      </c>
      <c r="AB3393" s="5" t="s">
        <v>486</v>
      </c>
      <c r="AC3393" s="5" t="s">
        <v>244</v>
      </c>
      <c r="AD3393" s="5" t="s">
        <v>245</v>
      </c>
      <c r="AE3393" s="5" t="s">
        <v>238</v>
      </c>
      <c r="AF3393" s="5" t="s">
        <v>238</v>
      </c>
      <c r="AG3393" s="5" t="s">
        <v>238</v>
      </c>
      <c r="AH3393" s="5" t="s">
        <v>238</v>
      </c>
      <c r="AI3393" s="5" t="s">
        <v>238</v>
      </c>
      <c r="AJ3393" s="5" t="s">
        <v>238</v>
      </c>
      <c r="AK3393" s="5" t="s">
        <v>238</v>
      </c>
      <c r="AL3393" s="5" t="s">
        <v>238</v>
      </c>
      <c r="AM3393" s="6" t="s">
        <v>238</v>
      </c>
      <c r="AN3393" s="6" t="s">
        <v>238</v>
      </c>
      <c r="AO3393" s="6" t="s">
        <v>238</v>
      </c>
      <c r="AP3393" s="6" t="s">
        <v>238</v>
      </c>
      <c r="AQ3393" s="5" t="s">
        <v>238</v>
      </c>
      <c r="AR3393" s="5" t="s">
        <v>488</v>
      </c>
      <c r="AS3393" s="5" t="s">
        <v>488</v>
      </c>
      <c r="AT3393" s="5" t="s">
        <v>246</v>
      </c>
      <c r="AU3393" s="5" t="s">
        <v>489</v>
      </c>
      <c r="AV3393" s="5" t="s">
        <v>247</v>
      </c>
      <c r="AW3393" s="5" t="s">
        <v>238</v>
      </c>
      <c r="AX3393" s="5" t="s">
        <v>249</v>
      </c>
      <c r="AY3393" s="5" t="s">
        <v>490</v>
      </c>
      <c r="BA3393" s="5" t="s">
        <v>238</v>
      </c>
      <c r="BC3393" s="5" t="s">
        <v>491</v>
      </c>
      <c r="BD3393" s="6" t="s">
        <v>492</v>
      </c>
      <c r="BE3393" s="5" t="s">
        <v>493</v>
      </c>
      <c r="BF3393" s="5" t="s">
        <v>493</v>
      </c>
      <c r="BG3393" s="5" t="s">
        <v>238</v>
      </c>
      <c r="BH3393" s="8">
        <f>1</f>
        <v>1</v>
      </c>
      <c r="BI3393" s="8">
        <f>1</f>
        <v>1</v>
      </c>
      <c r="BJ3393" s="5" t="s">
        <v>253</v>
      </c>
      <c r="BK3393" s="5" t="s">
        <v>254</v>
      </c>
      <c r="BL3393" s="5" t="s">
        <v>238</v>
      </c>
      <c r="BM3393" s="5" t="s">
        <v>238</v>
      </c>
      <c r="BN3393" s="5" t="s">
        <v>238</v>
      </c>
      <c r="BO3393" s="5" t="s">
        <v>238</v>
      </c>
      <c r="BP3393" s="5" t="s">
        <v>238</v>
      </c>
      <c r="BQ3393" s="5" t="s">
        <v>238</v>
      </c>
      <c r="BR3393" s="5" t="s">
        <v>238</v>
      </c>
      <c r="BS3393" s="5" t="s">
        <v>238</v>
      </c>
      <c r="BT3393" s="6" t="s">
        <v>238</v>
      </c>
      <c r="BU3393" s="5" t="s">
        <v>238</v>
      </c>
      <c r="BV3393" s="5" t="s">
        <v>238</v>
      </c>
      <c r="BW3393" s="5" t="s">
        <v>238</v>
      </c>
      <c r="BX3393" s="5" t="s">
        <v>254</v>
      </c>
      <c r="BY3393" s="5" t="s">
        <v>238</v>
      </c>
      <c r="BZ3393" s="5" t="s">
        <v>238</v>
      </c>
      <c r="CA3393" s="5" t="s">
        <v>238</v>
      </c>
      <c r="CB3393" s="5" t="s">
        <v>238</v>
      </c>
      <c r="CC3393" s="5" t="s">
        <v>238</v>
      </c>
      <c r="CD3393" s="5" t="s">
        <v>273</v>
      </c>
      <c r="CE3393" s="5" t="s">
        <v>256</v>
      </c>
      <c r="CF3393" s="5" t="s">
        <v>238</v>
      </c>
      <c r="CH3393" s="5" t="s">
        <v>494</v>
      </c>
      <c r="CI3393" s="6" t="s">
        <v>257</v>
      </c>
      <c r="CJ3393" s="5" t="s">
        <v>495</v>
      </c>
      <c r="CK3393" s="5" t="s">
        <v>258</v>
      </c>
      <c r="CL3393" s="5" t="s">
        <v>496</v>
      </c>
      <c r="CM3393" s="5" t="s">
        <v>238</v>
      </c>
      <c r="CN3393" s="5">
        <v>0</v>
      </c>
      <c r="CO3393" s="5" t="s">
        <v>497</v>
      </c>
      <c r="CP3393" s="5" t="s">
        <v>260</v>
      </c>
      <c r="CQ3393" s="5" t="s">
        <v>260</v>
      </c>
      <c r="CR3393" s="5" t="s">
        <v>261</v>
      </c>
      <c r="CS3393" s="5" t="s">
        <v>498</v>
      </c>
      <c r="CT3393" s="7">
        <f>1</f>
        <v>1</v>
      </c>
      <c r="CU3393" s="8">
        <f>1</f>
        <v>1</v>
      </c>
      <c r="CV3393" s="8">
        <f>0</f>
        <v>0</v>
      </c>
      <c r="CX3393" s="8">
        <f>1</f>
        <v>1</v>
      </c>
      <c r="CY3393" s="8">
        <f>1</f>
        <v>1</v>
      </c>
      <c r="CZ3393" s="8" t="s">
        <v>238</v>
      </c>
      <c r="DA3393" s="5" t="s">
        <v>238</v>
      </c>
      <c r="DB3393" s="5" t="s">
        <v>238</v>
      </c>
      <c r="DC3393" s="5" t="s">
        <v>238</v>
      </c>
      <c r="DD3393" s="5" t="s">
        <v>238</v>
      </c>
      <c r="DE3393" s="8">
        <f>0</f>
        <v>0</v>
      </c>
      <c r="DG3393" s="5" t="s">
        <v>238</v>
      </c>
      <c r="DH3393" s="5" t="s">
        <v>238</v>
      </c>
      <c r="DI3393" s="5" t="s">
        <v>238</v>
      </c>
      <c r="DJ3393" s="5" t="s">
        <v>238</v>
      </c>
      <c r="DK3393" s="5" t="s">
        <v>238</v>
      </c>
      <c r="DL3393" s="5" t="s">
        <v>238</v>
      </c>
      <c r="DM3393" s="8" t="s">
        <v>238</v>
      </c>
      <c r="DN3393" s="5" t="s">
        <v>238</v>
      </c>
      <c r="DO3393" s="5" t="s">
        <v>238</v>
      </c>
      <c r="DP3393" s="5" t="s">
        <v>490</v>
      </c>
      <c r="DQ3393" s="5" t="s">
        <v>490</v>
      </c>
      <c r="DR3393" s="5" t="s">
        <v>238</v>
      </c>
      <c r="DS3393" s="5" t="s">
        <v>238</v>
      </c>
      <c r="DT3393" s="5" t="s">
        <v>500</v>
      </c>
      <c r="DU3393" s="5" t="s">
        <v>414</v>
      </c>
      <c r="DV3393" s="5" t="s">
        <v>238</v>
      </c>
      <c r="DW3393" s="5" t="s">
        <v>238</v>
      </c>
      <c r="DX3393" s="5" t="s">
        <v>238</v>
      </c>
      <c r="DY3393" s="5" t="s">
        <v>238</v>
      </c>
      <c r="DZ3393" s="5" t="s">
        <v>238</v>
      </c>
      <c r="EA3393" s="5" t="s">
        <v>238</v>
      </c>
      <c r="EB3393" s="5" t="s">
        <v>238</v>
      </c>
      <c r="EC3393" s="5" t="s">
        <v>238</v>
      </c>
      <c r="ED3393" s="5" t="s">
        <v>238</v>
      </c>
      <c r="EE3393" s="5" t="s">
        <v>238</v>
      </c>
      <c r="EF3393" s="5" t="s">
        <v>238</v>
      </c>
      <c r="EG3393" s="5" t="s">
        <v>238</v>
      </c>
      <c r="EH3393" s="5" t="s">
        <v>238</v>
      </c>
      <c r="EI3393" s="5" t="s">
        <v>238</v>
      </c>
      <c r="EJ3393" s="5" t="s">
        <v>238</v>
      </c>
      <c r="EK3393" s="5" t="s">
        <v>238</v>
      </c>
      <c r="EL3393" s="5" t="s">
        <v>238</v>
      </c>
      <c r="EM3393" s="5" t="s">
        <v>238</v>
      </c>
      <c r="EN3393" s="5" t="s">
        <v>238</v>
      </c>
      <c r="EO3393" s="5" t="s">
        <v>238</v>
      </c>
      <c r="EP3393" s="5" t="s">
        <v>238</v>
      </c>
      <c r="EQ3393" s="5" t="s">
        <v>238</v>
      </c>
      <c r="ER3393" s="5" t="s">
        <v>238</v>
      </c>
      <c r="ES3393" s="5" t="s">
        <v>238</v>
      </c>
      <c r="ET3393" s="5" t="s">
        <v>238</v>
      </c>
      <c r="EU3393" s="5" t="s">
        <v>238</v>
      </c>
      <c r="EV3393" s="5" t="s">
        <v>238</v>
      </c>
      <c r="EW3393" s="5" t="s">
        <v>238</v>
      </c>
      <c r="EX3393" s="5" t="s">
        <v>238</v>
      </c>
      <c r="EY3393" s="5" t="s">
        <v>238</v>
      </c>
      <c r="EZ3393" s="5" t="s">
        <v>238</v>
      </c>
      <c r="FA3393" s="5" t="s">
        <v>238</v>
      </c>
      <c r="FB3393" s="5" t="s">
        <v>238</v>
      </c>
      <c r="FC3393" s="5" t="s">
        <v>238</v>
      </c>
      <c r="FD3393" s="5" t="s">
        <v>238</v>
      </c>
      <c r="FE3393" s="5" t="s">
        <v>238</v>
      </c>
      <c r="FF3393" s="5" t="s">
        <v>238</v>
      </c>
      <c r="FG3393" s="5" t="s">
        <v>238</v>
      </c>
      <c r="FH3393" s="5" t="s">
        <v>238</v>
      </c>
      <c r="FI3393" s="5" t="s">
        <v>238</v>
      </c>
      <c r="FJ3393" s="5" t="s">
        <v>238</v>
      </c>
      <c r="FK3393" s="5" t="s">
        <v>238</v>
      </c>
      <c r="FL3393" s="5" t="s">
        <v>238</v>
      </c>
      <c r="FM3393" s="5" t="s">
        <v>238</v>
      </c>
      <c r="FN3393" s="5" t="s">
        <v>238</v>
      </c>
      <c r="FO3393" s="5" t="s">
        <v>238</v>
      </c>
      <c r="FP3393" s="5" t="s">
        <v>238</v>
      </c>
      <c r="FQ3393" s="5" t="s">
        <v>238</v>
      </c>
      <c r="FR3393" s="5" t="s">
        <v>238</v>
      </c>
      <c r="FS3393" s="5" t="s">
        <v>238</v>
      </c>
      <c r="FT3393" s="5" t="s">
        <v>238</v>
      </c>
      <c r="FU3393" s="5" t="s">
        <v>238</v>
      </c>
      <c r="FV3393" s="5" t="s">
        <v>238</v>
      </c>
      <c r="FW3393" s="5" t="s">
        <v>238</v>
      </c>
      <c r="FX3393" s="5" t="s">
        <v>238</v>
      </c>
      <c r="FY3393" s="5" t="s">
        <v>238</v>
      </c>
      <c r="FZ3393" s="5" t="s">
        <v>238</v>
      </c>
      <c r="GA3393" s="5" t="s">
        <v>238</v>
      </c>
      <c r="GB3393" s="5" t="s">
        <v>238</v>
      </c>
      <c r="GC3393" s="5" t="s">
        <v>238</v>
      </c>
      <c r="GD3393" s="5" t="s">
        <v>238</v>
      </c>
      <c r="GE3393" s="5" t="s">
        <v>238</v>
      </c>
      <c r="GF3393" s="5" t="s">
        <v>238</v>
      </c>
      <c r="GG3393" s="5" t="s">
        <v>238</v>
      </c>
      <c r="GH3393" s="5" t="s">
        <v>238</v>
      </c>
      <c r="GI3393" s="5" t="s">
        <v>238</v>
      </c>
      <c r="GJ3393" s="5" t="s">
        <v>238</v>
      </c>
      <c r="GK3393" s="5" t="s">
        <v>238</v>
      </c>
      <c r="GL3393" s="5" t="s">
        <v>238</v>
      </c>
      <c r="GM3393" s="5" t="s">
        <v>238</v>
      </c>
      <c r="GN3393" s="5" t="s">
        <v>238</v>
      </c>
      <c r="GO3393" s="5" t="s">
        <v>238</v>
      </c>
      <c r="GP3393" s="5" t="s">
        <v>238</v>
      </c>
      <c r="GQ3393" s="5" t="s">
        <v>238</v>
      </c>
      <c r="GR3393" s="5" t="s">
        <v>238</v>
      </c>
      <c r="GS3393" s="5" t="s">
        <v>238</v>
      </c>
      <c r="GT3393" s="5" t="s">
        <v>238</v>
      </c>
      <c r="GU3393" s="5" t="s">
        <v>238</v>
      </c>
      <c r="GV3393" s="5" t="s">
        <v>238</v>
      </c>
      <c r="GW3393" s="5" t="s">
        <v>238</v>
      </c>
      <c r="GX3393" s="5" t="s">
        <v>238</v>
      </c>
      <c r="GY3393" s="5" t="s">
        <v>238</v>
      </c>
      <c r="GZ3393" s="5" t="s">
        <v>238</v>
      </c>
      <c r="HA3393" s="5" t="s">
        <v>238</v>
      </c>
      <c r="HB3393" s="5" t="s">
        <v>238</v>
      </c>
      <c r="HC3393" s="5" t="s">
        <v>238</v>
      </c>
      <c r="HD3393" s="5" t="s">
        <v>238</v>
      </c>
      <c r="HE3393" s="5" t="s">
        <v>238</v>
      </c>
      <c r="HF3393" s="5" t="s">
        <v>238</v>
      </c>
      <c r="HG3393" s="5" t="s">
        <v>238</v>
      </c>
      <c r="HH3393" s="5" t="s">
        <v>238</v>
      </c>
      <c r="HI3393" s="5" t="s">
        <v>238</v>
      </c>
      <c r="HJ3393" s="5" t="s">
        <v>238</v>
      </c>
      <c r="HK3393" s="5" t="s">
        <v>238</v>
      </c>
      <c r="HL3393" s="5" t="s">
        <v>238</v>
      </c>
      <c r="HM3393" s="5" t="s">
        <v>264</v>
      </c>
      <c r="HN3393" s="5" t="s">
        <v>238</v>
      </c>
      <c r="HO3393" s="5" t="s">
        <v>238</v>
      </c>
      <c r="HP3393" s="5" t="s">
        <v>238</v>
      </c>
      <c r="HQ3393" s="5" t="s">
        <v>238</v>
      </c>
      <c r="HR3393" s="5" t="s">
        <v>238</v>
      </c>
      <c r="HS3393" s="5" t="s">
        <v>238</v>
      </c>
      <c r="HT3393" s="5" t="s">
        <v>238</v>
      </c>
      <c r="HU3393" s="5" t="s">
        <v>238</v>
      </c>
      <c r="HV3393" s="5" t="s">
        <v>238</v>
      </c>
      <c r="HW3393" s="5" t="s">
        <v>238</v>
      </c>
      <c r="HX3393" s="5" t="s">
        <v>238</v>
      </c>
      <c r="HY3393" s="5" t="s">
        <v>238</v>
      </c>
      <c r="HZ3393" s="5" t="s">
        <v>238</v>
      </c>
      <c r="IA3393" s="5" t="s">
        <v>238</v>
      </c>
      <c r="IB3393" s="5" t="s">
        <v>238</v>
      </c>
      <c r="IC3393" s="5" t="s">
        <v>238</v>
      </c>
      <c r="ID3393" s="5" t="s">
        <v>238</v>
      </c>
    </row>
    <row r="3394" spans="1:238" x14ac:dyDescent="0.4">
      <c r="A3394" s="5">
        <v>9112</v>
      </c>
      <c r="B3394" s="5">
        <v>1</v>
      </c>
      <c r="C3394" s="5">
        <v>1</v>
      </c>
      <c r="D3394" s="5" t="s">
        <v>484</v>
      </c>
      <c r="E3394" s="5" t="s">
        <v>485</v>
      </c>
      <c r="F3394" s="5" t="s">
        <v>248</v>
      </c>
      <c r="G3394" s="5" t="s">
        <v>4760</v>
      </c>
      <c r="H3394" s="6" t="s">
        <v>4761</v>
      </c>
      <c r="I3394" s="8">
        <f>1</f>
        <v>1</v>
      </c>
      <c r="J3394" s="5" t="s">
        <v>499</v>
      </c>
      <c r="K3394" s="8">
        <f>1</f>
        <v>1</v>
      </c>
      <c r="L3394" s="6" t="s">
        <v>242</v>
      </c>
      <c r="M3394" s="5" t="s">
        <v>267</v>
      </c>
      <c r="N3394" s="5" t="s">
        <v>482</v>
      </c>
      <c r="O3394" s="5" t="s">
        <v>238</v>
      </c>
      <c r="P3394" s="5" t="s">
        <v>238</v>
      </c>
      <c r="Q3394" s="5" t="s">
        <v>239</v>
      </c>
      <c r="R3394" s="5" t="s">
        <v>270</v>
      </c>
      <c r="S3394" s="5" t="s">
        <v>238</v>
      </c>
      <c r="T3394" s="5" t="s">
        <v>238</v>
      </c>
      <c r="U3394" s="5" t="s">
        <v>238</v>
      </c>
      <c r="V3394" s="5" t="s">
        <v>238</v>
      </c>
      <c r="W3394" s="6" t="s">
        <v>238</v>
      </c>
      <c r="X3394" s="6" t="s">
        <v>238</v>
      </c>
      <c r="Y3394" s="5" t="s">
        <v>238</v>
      </c>
      <c r="Z3394" s="6" t="s">
        <v>238</v>
      </c>
      <c r="AA3394" s="6" t="s">
        <v>243</v>
      </c>
      <c r="AB3394" s="5" t="s">
        <v>486</v>
      </c>
      <c r="AC3394" s="5" t="s">
        <v>244</v>
      </c>
      <c r="AD3394" s="5" t="s">
        <v>245</v>
      </c>
      <c r="AE3394" s="5" t="s">
        <v>238</v>
      </c>
      <c r="AF3394" s="5" t="s">
        <v>238</v>
      </c>
      <c r="AG3394" s="5" t="s">
        <v>238</v>
      </c>
      <c r="AH3394" s="5" t="s">
        <v>238</v>
      </c>
      <c r="AI3394" s="5" t="s">
        <v>238</v>
      </c>
      <c r="AJ3394" s="5" t="s">
        <v>238</v>
      </c>
      <c r="AK3394" s="5" t="s">
        <v>238</v>
      </c>
      <c r="AL3394" s="5" t="s">
        <v>238</v>
      </c>
      <c r="AM3394" s="6" t="s">
        <v>238</v>
      </c>
      <c r="AN3394" s="6" t="s">
        <v>238</v>
      </c>
      <c r="AO3394" s="6" t="s">
        <v>238</v>
      </c>
      <c r="AP3394" s="6" t="s">
        <v>238</v>
      </c>
      <c r="AQ3394" s="5" t="s">
        <v>238</v>
      </c>
      <c r="AR3394" s="5" t="s">
        <v>488</v>
      </c>
      <c r="AS3394" s="5" t="s">
        <v>488</v>
      </c>
      <c r="AT3394" s="5" t="s">
        <v>246</v>
      </c>
      <c r="AU3394" s="5" t="s">
        <v>489</v>
      </c>
      <c r="AV3394" s="5" t="s">
        <v>247</v>
      </c>
      <c r="AW3394" s="5" t="s">
        <v>238</v>
      </c>
      <c r="AX3394" s="5" t="s">
        <v>249</v>
      </c>
      <c r="AY3394" s="5" t="s">
        <v>490</v>
      </c>
      <c r="BA3394" s="5" t="s">
        <v>238</v>
      </c>
      <c r="BC3394" s="5" t="s">
        <v>491</v>
      </c>
      <c r="BD3394" s="6" t="s">
        <v>492</v>
      </c>
      <c r="BE3394" s="5" t="s">
        <v>493</v>
      </c>
      <c r="BF3394" s="5" t="s">
        <v>493</v>
      </c>
      <c r="BG3394" s="5" t="s">
        <v>238</v>
      </c>
      <c r="BH3394" s="8">
        <f>1</f>
        <v>1</v>
      </c>
      <c r="BI3394" s="8">
        <f>1</f>
        <v>1</v>
      </c>
      <c r="BJ3394" s="5" t="s">
        <v>253</v>
      </c>
      <c r="BK3394" s="5" t="s">
        <v>254</v>
      </c>
      <c r="BL3394" s="5" t="s">
        <v>238</v>
      </c>
      <c r="BM3394" s="5" t="s">
        <v>238</v>
      </c>
      <c r="BN3394" s="5" t="s">
        <v>238</v>
      </c>
      <c r="BO3394" s="5" t="s">
        <v>238</v>
      </c>
      <c r="BP3394" s="5" t="s">
        <v>238</v>
      </c>
      <c r="BQ3394" s="5" t="s">
        <v>238</v>
      </c>
      <c r="BR3394" s="5" t="s">
        <v>238</v>
      </c>
      <c r="BS3394" s="5" t="s">
        <v>238</v>
      </c>
      <c r="BT3394" s="6" t="s">
        <v>238</v>
      </c>
      <c r="BU3394" s="5" t="s">
        <v>238</v>
      </c>
      <c r="BV3394" s="5" t="s">
        <v>238</v>
      </c>
      <c r="BW3394" s="5" t="s">
        <v>238</v>
      </c>
      <c r="BX3394" s="5" t="s">
        <v>254</v>
      </c>
      <c r="BY3394" s="5" t="s">
        <v>238</v>
      </c>
      <c r="BZ3394" s="5" t="s">
        <v>238</v>
      </c>
      <c r="CA3394" s="5" t="s">
        <v>238</v>
      </c>
      <c r="CB3394" s="5" t="s">
        <v>238</v>
      </c>
      <c r="CC3394" s="5" t="s">
        <v>238</v>
      </c>
      <c r="CD3394" s="5" t="s">
        <v>273</v>
      </c>
      <c r="CE3394" s="5" t="s">
        <v>256</v>
      </c>
      <c r="CF3394" s="5" t="s">
        <v>238</v>
      </c>
      <c r="CH3394" s="5" t="s">
        <v>494</v>
      </c>
      <c r="CI3394" s="6" t="s">
        <v>257</v>
      </c>
      <c r="CJ3394" s="5" t="s">
        <v>495</v>
      </c>
      <c r="CK3394" s="5" t="s">
        <v>258</v>
      </c>
      <c r="CL3394" s="5" t="s">
        <v>496</v>
      </c>
      <c r="CM3394" s="5" t="s">
        <v>238</v>
      </c>
      <c r="CN3394" s="5">
        <v>0</v>
      </c>
      <c r="CO3394" s="5" t="s">
        <v>497</v>
      </c>
      <c r="CP3394" s="5" t="s">
        <v>260</v>
      </c>
      <c r="CQ3394" s="5" t="s">
        <v>260</v>
      </c>
      <c r="CR3394" s="5" t="s">
        <v>261</v>
      </c>
      <c r="CS3394" s="5" t="s">
        <v>498</v>
      </c>
      <c r="CT3394" s="7">
        <f>1</f>
        <v>1</v>
      </c>
      <c r="CU3394" s="8">
        <f>1</f>
        <v>1</v>
      </c>
      <c r="CV3394" s="8">
        <f>0</f>
        <v>0</v>
      </c>
      <c r="CX3394" s="8">
        <f>1</f>
        <v>1</v>
      </c>
      <c r="CY3394" s="8">
        <f>1</f>
        <v>1</v>
      </c>
      <c r="CZ3394" s="8" t="s">
        <v>238</v>
      </c>
      <c r="DA3394" s="5" t="s">
        <v>238</v>
      </c>
      <c r="DB3394" s="5" t="s">
        <v>238</v>
      </c>
      <c r="DC3394" s="5" t="s">
        <v>238</v>
      </c>
      <c r="DD3394" s="5" t="s">
        <v>238</v>
      </c>
      <c r="DE3394" s="8">
        <f>0</f>
        <v>0</v>
      </c>
      <c r="DG3394" s="5" t="s">
        <v>238</v>
      </c>
      <c r="DH3394" s="5" t="s">
        <v>238</v>
      </c>
      <c r="DI3394" s="5" t="s">
        <v>238</v>
      </c>
      <c r="DJ3394" s="5" t="s">
        <v>238</v>
      </c>
      <c r="DK3394" s="5" t="s">
        <v>238</v>
      </c>
      <c r="DL3394" s="5" t="s">
        <v>238</v>
      </c>
      <c r="DM3394" s="8" t="s">
        <v>238</v>
      </c>
      <c r="DN3394" s="5" t="s">
        <v>238</v>
      </c>
      <c r="DO3394" s="5" t="s">
        <v>238</v>
      </c>
      <c r="DP3394" s="5" t="s">
        <v>490</v>
      </c>
      <c r="DQ3394" s="5" t="s">
        <v>490</v>
      </c>
      <c r="DR3394" s="5" t="s">
        <v>238</v>
      </c>
      <c r="DS3394" s="5" t="s">
        <v>238</v>
      </c>
      <c r="DT3394" s="5" t="s">
        <v>500</v>
      </c>
      <c r="DU3394" s="5" t="s">
        <v>1376</v>
      </c>
      <c r="DV3394" s="5" t="s">
        <v>238</v>
      </c>
      <c r="DW3394" s="5" t="s">
        <v>238</v>
      </c>
      <c r="DX3394" s="5" t="s">
        <v>238</v>
      </c>
      <c r="DY3394" s="5" t="s">
        <v>238</v>
      </c>
      <c r="DZ3394" s="5" t="s">
        <v>238</v>
      </c>
      <c r="EA3394" s="5" t="s">
        <v>238</v>
      </c>
      <c r="EB3394" s="5" t="s">
        <v>238</v>
      </c>
      <c r="EC3394" s="5" t="s">
        <v>238</v>
      </c>
      <c r="ED3394" s="5" t="s">
        <v>238</v>
      </c>
      <c r="EE3394" s="5" t="s">
        <v>238</v>
      </c>
      <c r="EF3394" s="5" t="s">
        <v>238</v>
      </c>
      <c r="EG3394" s="5" t="s">
        <v>238</v>
      </c>
      <c r="EH3394" s="5" t="s">
        <v>238</v>
      </c>
      <c r="EI3394" s="5" t="s">
        <v>238</v>
      </c>
      <c r="EJ3394" s="5" t="s">
        <v>238</v>
      </c>
      <c r="EK3394" s="5" t="s">
        <v>238</v>
      </c>
      <c r="EL3394" s="5" t="s">
        <v>238</v>
      </c>
      <c r="EM3394" s="5" t="s">
        <v>238</v>
      </c>
      <c r="EN3394" s="5" t="s">
        <v>238</v>
      </c>
      <c r="EO3394" s="5" t="s">
        <v>238</v>
      </c>
      <c r="EP3394" s="5" t="s">
        <v>238</v>
      </c>
      <c r="EQ3394" s="5" t="s">
        <v>238</v>
      </c>
      <c r="ER3394" s="5" t="s">
        <v>238</v>
      </c>
      <c r="ES3394" s="5" t="s">
        <v>238</v>
      </c>
      <c r="ET3394" s="5" t="s">
        <v>238</v>
      </c>
      <c r="EU3394" s="5" t="s">
        <v>238</v>
      </c>
      <c r="EV3394" s="5" t="s">
        <v>238</v>
      </c>
      <c r="EW3394" s="5" t="s">
        <v>238</v>
      </c>
      <c r="EX3394" s="5" t="s">
        <v>238</v>
      </c>
      <c r="EY3394" s="5" t="s">
        <v>238</v>
      </c>
      <c r="EZ3394" s="5" t="s">
        <v>238</v>
      </c>
      <c r="FA3394" s="5" t="s">
        <v>238</v>
      </c>
      <c r="FB3394" s="5" t="s">
        <v>238</v>
      </c>
      <c r="FC3394" s="5" t="s">
        <v>238</v>
      </c>
      <c r="FD3394" s="5" t="s">
        <v>238</v>
      </c>
      <c r="FE3394" s="5" t="s">
        <v>238</v>
      </c>
      <c r="FF3394" s="5" t="s">
        <v>238</v>
      </c>
      <c r="FG3394" s="5" t="s">
        <v>238</v>
      </c>
      <c r="FH3394" s="5" t="s">
        <v>238</v>
      </c>
      <c r="FI3394" s="5" t="s">
        <v>238</v>
      </c>
      <c r="FJ3394" s="5" t="s">
        <v>238</v>
      </c>
      <c r="FK3394" s="5" t="s">
        <v>238</v>
      </c>
      <c r="FL3394" s="5" t="s">
        <v>238</v>
      </c>
      <c r="FM3394" s="5" t="s">
        <v>238</v>
      </c>
      <c r="FN3394" s="5" t="s">
        <v>238</v>
      </c>
      <c r="FO3394" s="5" t="s">
        <v>238</v>
      </c>
      <c r="FP3394" s="5" t="s">
        <v>238</v>
      </c>
      <c r="FQ3394" s="5" t="s">
        <v>238</v>
      </c>
      <c r="FR3394" s="5" t="s">
        <v>238</v>
      </c>
      <c r="FS3394" s="5" t="s">
        <v>238</v>
      </c>
      <c r="FT3394" s="5" t="s">
        <v>238</v>
      </c>
      <c r="FU3394" s="5" t="s">
        <v>238</v>
      </c>
      <c r="FV3394" s="5" t="s">
        <v>238</v>
      </c>
      <c r="FW3394" s="5" t="s">
        <v>238</v>
      </c>
      <c r="FX3394" s="5" t="s">
        <v>238</v>
      </c>
      <c r="FY3394" s="5" t="s">
        <v>238</v>
      </c>
      <c r="FZ3394" s="5" t="s">
        <v>238</v>
      </c>
      <c r="GA3394" s="5" t="s">
        <v>238</v>
      </c>
      <c r="GB3394" s="5" t="s">
        <v>238</v>
      </c>
      <c r="GC3394" s="5" t="s">
        <v>238</v>
      </c>
      <c r="GD3394" s="5" t="s">
        <v>238</v>
      </c>
      <c r="GE3394" s="5" t="s">
        <v>238</v>
      </c>
      <c r="GF3394" s="5" t="s">
        <v>238</v>
      </c>
      <c r="GG3394" s="5" t="s">
        <v>238</v>
      </c>
      <c r="GH3394" s="5" t="s">
        <v>238</v>
      </c>
      <c r="GI3394" s="5" t="s">
        <v>238</v>
      </c>
      <c r="GJ3394" s="5" t="s">
        <v>238</v>
      </c>
      <c r="GK3394" s="5" t="s">
        <v>238</v>
      </c>
      <c r="GL3394" s="5" t="s">
        <v>238</v>
      </c>
      <c r="GM3394" s="5" t="s">
        <v>238</v>
      </c>
      <c r="GN3394" s="5" t="s">
        <v>238</v>
      </c>
      <c r="GO3394" s="5" t="s">
        <v>238</v>
      </c>
      <c r="GP3394" s="5" t="s">
        <v>238</v>
      </c>
      <c r="GQ3394" s="5" t="s">
        <v>238</v>
      </c>
      <c r="GR3394" s="5" t="s">
        <v>238</v>
      </c>
      <c r="GS3394" s="5" t="s">
        <v>238</v>
      </c>
      <c r="GT3394" s="5" t="s">
        <v>238</v>
      </c>
      <c r="GU3394" s="5" t="s">
        <v>238</v>
      </c>
      <c r="GV3394" s="5" t="s">
        <v>238</v>
      </c>
      <c r="GW3394" s="5" t="s">
        <v>238</v>
      </c>
      <c r="GX3394" s="5" t="s">
        <v>238</v>
      </c>
      <c r="GY3394" s="5" t="s">
        <v>238</v>
      </c>
      <c r="GZ3394" s="5" t="s">
        <v>238</v>
      </c>
      <c r="HA3394" s="5" t="s">
        <v>238</v>
      </c>
      <c r="HB3394" s="5" t="s">
        <v>238</v>
      </c>
      <c r="HC3394" s="5" t="s">
        <v>238</v>
      </c>
      <c r="HD3394" s="5" t="s">
        <v>238</v>
      </c>
      <c r="HE3394" s="5" t="s">
        <v>238</v>
      </c>
      <c r="HF3394" s="5" t="s">
        <v>238</v>
      </c>
      <c r="HG3394" s="5" t="s">
        <v>238</v>
      </c>
      <c r="HH3394" s="5" t="s">
        <v>238</v>
      </c>
      <c r="HI3394" s="5" t="s">
        <v>238</v>
      </c>
      <c r="HJ3394" s="5" t="s">
        <v>238</v>
      </c>
      <c r="HK3394" s="5" t="s">
        <v>238</v>
      </c>
      <c r="HL3394" s="5" t="s">
        <v>238</v>
      </c>
      <c r="HM3394" s="5" t="s">
        <v>264</v>
      </c>
      <c r="HN3394" s="5" t="s">
        <v>238</v>
      </c>
      <c r="HO3394" s="5" t="s">
        <v>238</v>
      </c>
      <c r="HP3394" s="5" t="s">
        <v>238</v>
      </c>
      <c r="HQ3394" s="5" t="s">
        <v>238</v>
      </c>
      <c r="HR3394" s="5" t="s">
        <v>238</v>
      </c>
      <c r="HS3394" s="5" t="s">
        <v>238</v>
      </c>
      <c r="HT3394" s="5" t="s">
        <v>238</v>
      </c>
      <c r="HU3394" s="5" t="s">
        <v>238</v>
      </c>
      <c r="HV3394" s="5" t="s">
        <v>238</v>
      </c>
      <c r="HW3394" s="5" t="s">
        <v>238</v>
      </c>
      <c r="HX3394" s="5" t="s">
        <v>238</v>
      </c>
      <c r="HY3394" s="5" t="s">
        <v>238</v>
      </c>
      <c r="HZ3394" s="5" t="s">
        <v>238</v>
      </c>
      <c r="IA3394" s="5" t="s">
        <v>238</v>
      </c>
      <c r="IB3394" s="5" t="s">
        <v>238</v>
      </c>
      <c r="IC3394" s="5" t="s">
        <v>238</v>
      </c>
      <c r="ID3394" s="5" t="s">
        <v>238</v>
      </c>
    </row>
    <row r="3395" spans="1:238" x14ac:dyDescent="0.4">
      <c r="A3395" s="5">
        <v>9113</v>
      </c>
      <c r="B3395" s="5">
        <v>1</v>
      </c>
      <c r="C3395" s="5">
        <v>1</v>
      </c>
      <c r="D3395" s="5" t="s">
        <v>484</v>
      </c>
      <c r="E3395" s="5" t="s">
        <v>485</v>
      </c>
      <c r="F3395" s="5" t="s">
        <v>248</v>
      </c>
      <c r="G3395" s="5" t="s">
        <v>6410</v>
      </c>
      <c r="H3395" s="6" t="s">
        <v>6412</v>
      </c>
      <c r="I3395" s="8">
        <f>1</f>
        <v>1</v>
      </c>
      <c r="J3395" s="5" t="s">
        <v>499</v>
      </c>
      <c r="K3395" s="8">
        <f>1</f>
        <v>1</v>
      </c>
      <c r="L3395" s="6" t="s">
        <v>242</v>
      </c>
      <c r="M3395" s="5" t="s">
        <v>267</v>
      </c>
      <c r="N3395" s="5" t="s">
        <v>482</v>
      </c>
      <c r="O3395" s="5" t="s">
        <v>238</v>
      </c>
      <c r="P3395" s="5" t="s">
        <v>238</v>
      </c>
      <c r="Q3395" s="5" t="s">
        <v>239</v>
      </c>
      <c r="R3395" s="5" t="s">
        <v>270</v>
      </c>
      <c r="S3395" s="5" t="s">
        <v>238</v>
      </c>
      <c r="T3395" s="5" t="s">
        <v>238</v>
      </c>
      <c r="U3395" s="5" t="s">
        <v>238</v>
      </c>
      <c r="V3395" s="5" t="s">
        <v>238</v>
      </c>
      <c r="W3395" s="6" t="s">
        <v>238</v>
      </c>
      <c r="X3395" s="6" t="s">
        <v>238</v>
      </c>
      <c r="Y3395" s="5" t="s">
        <v>238</v>
      </c>
      <c r="Z3395" s="6" t="s">
        <v>238</v>
      </c>
      <c r="AA3395" s="6" t="s">
        <v>243</v>
      </c>
      <c r="AB3395" s="5" t="s">
        <v>6411</v>
      </c>
      <c r="AC3395" s="5" t="s">
        <v>244</v>
      </c>
      <c r="AD3395" s="5" t="s">
        <v>245</v>
      </c>
      <c r="AE3395" s="5" t="s">
        <v>238</v>
      </c>
      <c r="AF3395" s="5" t="s">
        <v>238</v>
      </c>
      <c r="AG3395" s="5" t="s">
        <v>238</v>
      </c>
      <c r="AH3395" s="5" t="s">
        <v>238</v>
      </c>
      <c r="AI3395" s="5" t="s">
        <v>238</v>
      </c>
      <c r="AJ3395" s="5" t="s">
        <v>238</v>
      </c>
      <c r="AK3395" s="5" t="s">
        <v>238</v>
      </c>
      <c r="AL3395" s="5" t="s">
        <v>238</v>
      </c>
      <c r="AM3395" s="6" t="s">
        <v>238</v>
      </c>
      <c r="AN3395" s="6" t="s">
        <v>238</v>
      </c>
      <c r="AO3395" s="6" t="s">
        <v>238</v>
      </c>
      <c r="AP3395" s="6" t="s">
        <v>238</v>
      </c>
      <c r="AQ3395" s="5" t="s">
        <v>238</v>
      </c>
      <c r="AR3395" s="5" t="s">
        <v>488</v>
      </c>
      <c r="AS3395" s="5" t="s">
        <v>488</v>
      </c>
      <c r="AT3395" s="5" t="s">
        <v>246</v>
      </c>
      <c r="AU3395" s="5" t="s">
        <v>489</v>
      </c>
      <c r="AV3395" s="5" t="s">
        <v>247</v>
      </c>
      <c r="AW3395" s="5" t="s">
        <v>238</v>
      </c>
      <c r="AX3395" s="5" t="s">
        <v>249</v>
      </c>
      <c r="AY3395" s="5" t="s">
        <v>490</v>
      </c>
      <c r="BA3395" s="5" t="s">
        <v>238</v>
      </c>
      <c r="BC3395" s="5" t="s">
        <v>491</v>
      </c>
      <c r="BD3395" s="6" t="s">
        <v>492</v>
      </c>
      <c r="BE3395" s="5" t="s">
        <v>493</v>
      </c>
      <c r="BF3395" s="5" t="s">
        <v>493</v>
      </c>
      <c r="BG3395" s="5" t="s">
        <v>238</v>
      </c>
      <c r="BH3395" s="8">
        <f>1</f>
        <v>1</v>
      </c>
      <c r="BI3395" s="8">
        <f>1</f>
        <v>1</v>
      </c>
      <c r="BJ3395" s="5" t="s">
        <v>253</v>
      </c>
      <c r="BK3395" s="5" t="s">
        <v>254</v>
      </c>
      <c r="BL3395" s="5" t="s">
        <v>238</v>
      </c>
      <c r="BM3395" s="5" t="s">
        <v>238</v>
      </c>
      <c r="BN3395" s="5" t="s">
        <v>238</v>
      </c>
      <c r="BO3395" s="5" t="s">
        <v>238</v>
      </c>
      <c r="BP3395" s="5" t="s">
        <v>238</v>
      </c>
      <c r="BQ3395" s="5" t="s">
        <v>238</v>
      </c>
      <c r="BR3395" s="5" t="s">
        <v>238</v>
      </c>
      <c r="BS3395" s="5" t="s">
        <v>238</v>
      </c>
      <c r="BT3395" s="6" t="s">
        <v>238</v>
      </c>
      <c r="BU3395" s="5" t="s">
        <v>238</v>
      </c>
      <c r="BV3395" s="5" t="s">
        <v>238</v>
      </c>
      <c r="BW3395" s="5" t="s">
        <v>238</v>
      </c>
      <c r="BX3395" s="5" t="s">
        <v>254</v>
      </c>
      <c r="BY3395" s="5" t="s">
        <v>238</v>
      </c>
      <c r="BZ3395" s="5" t="s">
        <v>238</v>
      </c>
      <c r="CA3395" s="5" t="s">
        <v>238</v>
      </c>
      <c r="CB3395" s="5" t="s">
        <v>238</v>
      </c>
      <c r="CC3395" s="5" t="s">
        <v>238</v>
      </c>
      <c r="CD3395" s="5" t="s">
        <v>273</v>
      </c>
      <c r="CE3395" s="5" t="s">
        <v>256</v>
      </c>
      <c r="CF3395" s="5" t="s">
        <v>238</v>
      </c>
      <c r="CH3395" s="5" t="s">
        <v>494</v>
      </c>
      <c r="CI3395" s="6" t="s">
        <v>257</v>
      </c>
      <c r="CJ3395" s="5" t="s">
        <v>495</v>
      </c>
      <c r="CK3395" s="5" t="s">
        <v>258</v>
      </c>
      <c r="CL3395" s="5" t="s">
        <v>496</v>
      </c>
      <c r="CM3395" s="5" t="s">
        <v>238</v>
      </c>
      <c r="CN3395" s="5">
        <v>0</v>
      </c>
      <c r="CO3395" s="5" t="s">
        <v>497</v>
      </c>
      <c r="CP3395" s="5" t="s">
        <v>260</v>
      </c>
      <c r="CQ3395" s="5" t="s">
        <v>260</v>
      </c>
      <c r="CR3395" s="5" t="s">
        <v>261</v>
      </c>
      <c r="CS3395" s="5" t="s">
        <v>498</v>
      </c>
      <c r="CT3395" s="7">
        <f>1</f>
        <v>1</v>
      </c>
      <c r="CU3395" s="8">
        <f>1</f>
        <v>1</v>
      </c>
      <c r="CV3395" s="8">
        <f>0</f>
        <v>0</v>
      </c>
      <c r="CX3395" s="8">
        <f>1</f>
        <v>1</v>
      </c>
      <c r="CY3395" s="8">
        <f>1</f>
        <v>1</v>
      </c>
      <c r="CZ3395" s="8" t="s">
        <v>238</v>
      </c>
      <c r="DA3395" s="5" t="s">
        <v>238</v>
      </c>
      <c r="DB3395" s="5" t="s">
        <v>238</v>
      </c>
      <c r="DC3395" s="5" t="s">
        <v>238</v>
      </c>
      <c r="DD3395" s="5" t="s">
        <v>238</v>
      </c>
      <c r="DE3395" s="8">
        <f>0</f>
        <v>0</v>
      </c>
      <c r="DG3395" s="5" t="s">
        <v>238</v>
      </c>
      <c r="DH3395" s="5" t="s">
        <v>238</v>
      </c>
      <c r="DI3395" s="5" t="s">
        <v>238</v>
      </c>
      <c r="DJ3395" s="5" t="s">
        <v>238</v>
      </c>
      <c r="DK3395" s="5" t="s">
        <v>238</v>
      </c>
      <c r="DL3395" s="5" t="s">
        <v>238</v>
      </c>
      <c r="DM3395" s="8" t="s">
        <v>238</v>
      </c>
      <c r="DN3395" s="5" t="s">
        <v>238</v>
      </c>
      <c r="DO3395" s="5" t="s">
        <v>238</v>
      </c>
      <c r="DP3395" s="5" t="s">
        <v>490</v>
      </c>
      <c r="DQ3395" s="5" t="s">
        <v>490</v>
      </c>
      <c r="DR3395" s="5" t="s">
        <v>238</v>
      </c>
      <c r="DS3395" s="5" t="s">
        <v>238</v>
      </c>
      <c r="DT3395" s="5" t="s">
        <v>500</v>
      </c>
      <c r="DU3395" s="5" t="s">
        <v>426</v>
      </c>
      <c r="DV3395" s="5" t="s">
        <v>238</v>
      </c>
      <c r="DW3395" s="5" t="s">
        <v>238</v>
      </c>
      <c r="DX3395" s="5" t="s">
        <v>238</v>
      </c>
      <c r="DY3395" s="5" t="s">
        <v>238</v>
      </c>
      <c r="DZ3395" s="5" t="s">
        <v>238</v>
      </c>
      <c r="EA3395" s="5" t="s">
        <v>238</v>
      </c>
      <c r="EB3395" s="5" t="s">
        <v>238</v>
      </c>
      <c r="EC3395" s="5" t="s">
        <v>238</v>
      </c>
      <c r="ED3395" s="5" t="s">
        <v>238</v>
      </c>
      <c r="EE3395" s="5" t="s">
        <v>238</v>
      </c>
      <c r="EF3395" s="5" t="s">
        <v>238</v>
      </c>
      <c r="EG3395" s="5" t="s">
        <v>238</v>
      </c>
      <c r="EH3395" s="5" t="s">
        <v>238</v>
      </c>
      <c r="EI3395" s="5" t="s">
        <v>238</v>
      </c>
      <c r="EJ3395" s="5" t="s">
        <v>238</v>
      </c>
      <c r="EK3395" s="5" t="s">
        <v>238</v>
      </c>
      <c r="EL3395" s="5" t="s">
        <v>238</v>
      </c>
      <c r="EM3395" s="5" t="s">
        <v>238</v>
      </c>
      <c r="EN3395" s="5" t="s">
        <v>238</v>
      </c>
      <c r="EO3395" s="5" t="s">
        <v>238</v>
      </c>
      <c r="EP3395" s="5" t="s">
        <v>238</v>
      </c>
      <c r="EQ3395" s="5" t="s">
        <v>238</v>
      </c>
      <c r="ER3395" s="5" t="s">
        <v>238</v>
      </c>
      <c r="ES3395" s="5" t="s">
        <v>238</v>
      </c>
      <c r="ET3395" s="5" t="s">
        <v>238</v>
      </c>
      <c r="EU3395" s="5" t="s">
        <v>238</v>
      </c>
      <c r="EV3395" s="5" t="s">
        <v>238</v>
      </c>
      <c r="EW3395" s="5" t="s">
        <v>238</v>
      </c>
      <c r="EX3395" s="5" t="s">
        <v>238</v>
      </c>
      <c r="EY3395" s="5" t="s">
        <v>238</v>
      </c>
      <c r="EZ3395" s="5" t="s">
        <v>238</v>
      </c>
      <c r="FA3395" s="5" t="s">
        <v>238</v>
      </c>
      <c r="FB3395" s="5" t="s">
        <v>238</v>
      </c>
      <c r="FC3395" s="5" t="s">
        <v>238</v>
      </c>
      <c r="FD3395" s="5" t="s">
        <v>238</v>
      </c>
      <c r="FE3395" s="5" t="s">
        <v>238</v>
      </c>
      <c r="FF3395" s="5" t="s">
        <v>238</v>
      </c>
      <c r="FG3395" s="5" t="s">
        <v>238</v>
      </c>
      <c r="FH3395" s="5" t="s">
        <v>238</v>
      </c>
      <c r="FI3395" s="5" t="s">
        <v>238</v>
      </c>
      <c r="FJ3395" s="5" t="s">
        <v>238</v>
      </c>
      <c r="FK3395" s="5" t="s">
        <v>238</v>
      </c>
      <c r="FL3395" s="5" t="s">
        <v>238</v>
      </c>
      <c r="FM3395" s="5" t="s">
        <v>238</v>
      </c>
      <c r="FN3395" s="5" t="s">
        <v>238</v>
      </c>
      <c r="FO3395" s="5" t="s">
        <v>238</v>
      </c>
      <c r="FP3395" s="5" t="s">
        <v>238</v>
      </c>
      <c r="FQ3395" s="5" t="s">
        <v>238</v>
      </c>
      <c r="FR3395" s="5" t="s">
        <v>238</v>
      </c>
      <c r="FS3395" s="5" t="s">
        <v>238</v>
      </c>
      <c r="FT3395" s="5" t="s">
        <v>238</v>
      </c>
      <c r="FU3395" s="5" t="s">
        <v>238</v>
      </c>
      <c r="FV3395" s="5" t="s">
        <v>238</v>
      </c>
      <c r="FW3395" s="5" t="s">
        <v>238</v>
      </c>
      <c r="FX3395" s="5" t="s">
        <v>238</v>
      </c>
      <c r="FY3395" s="5" t="s">
        <v>238</v>
      </c>
      <c r="FZ3395" s="5" t="s">
        <v>238</v>
      </c>
      <c r="GA3395" s="5" t="s">
        <v>238</v>
      </c>
      <c r="GB3395" s="5" t="s">
        <v>238</v>
      </c>
      <c r="GC3395" s="5" t="s">
        <v>238</v>
      </c>
      <c r="GD3395" s="5" t="s">
        <v>238</v>
      </c>
      <c r="GE3395" s="5" t="s">
        <v>238</v>
      </c>
      <c r="GF3395" s="5" t="s">
        <v>238</v>
      </c>
      <c r="GG3395" s="5" t="s">
        <v>238</v>
      </c>
      <c r="GH3395" s="5" t="s">
        <v>238</v>
      </c>
      <c r="GI3395" s="5" t="s">
        <v>238</v>
      </c>
      <c r="GJ3395" s="5" t="s">
        <v>238</v>
      </c>
      <c r="GK3395" s="5" t="s">
        <v>238</v>
      </c>
      <c r="GL3395" s="5" t="s">
        <v>238</v>
      </c>
      <c r="GM3395" s="5" t="s">
        <v>238</v>
      </c>
      <c r="GN3395" s="5" t="s">
        <v>238</v>
      </c>
      <c r="GO3395" s="5" t="s">
        <v>238</v>
      </c>
      <c r="GP3395" s="5" t="s">
        <v>238</v>
      </c>
      <c r="GQ3395" s="5" t="s">
        <v>238</v>
      </c>
      <c r="GR3395" s="5" t="s">
        <v>238</v>
      </c>
      <c r="GS3395" s="5" t="s">
        <v>238</v>
      </c>
      <c r="GT3395" s="5" t="s">
        <v>238</v>
      </c>
      <c r="GU3395" s="5" t="s">
        <v>238</v>
      </c>
      <c r="GV3395" s="5" t="s">
        <v>238</v>
      </c>
      <c r="GW3395" s="5" t="s">
        <v>238</v>
      </c>
      <c r="GX3395" s="5" t="s">
        <v>238</v>
      </c>
      <c r="GY3395" s="5" t="s">
        <v>238</v>
      </c>
      <c r="GZ3395" s="5" t="s">
        <v>238</v>
      </c>
      <c r="HA3395" s="5" t="s">
        <v>238</v>
      </c>
      <c r="HB3395" s="5" t="s">
        <v>238</v>
      </c>
      <c r="HC3395" s="5" t="s">
        <v>238</v>
      </c>
      <c r="HD3395" s="5" t="s">
        <v>238</v>
      </c>
      <c r="HE3395" s="5" t="s">
        <v>238</v>
      </c>
      <c r="HF3395" s="5" t="s">
        <v>238</v>
      </c>
      <c r="HG3395" s="5" t="s">
        <v>238</v>
      </c>
      <c r="HH3395" s="5" t="s">
        <v>238</v>
      </c>
      <c r="HI3395" s="5" t="s">
        <v>238</v>
      </c>
      <c r="HJ3395" s="5" t="s">
        <v>238</v>
      </c>
      <c r="HK3395" s="5" t="s">
        <v>238</v>
      </c>
      <c r="HL3395" s="5" t="s">
        <v>238</v>
      </c>
      <c r="HM3395" s="5" t="s">
        <v>264</v>
      </c>
      <c r="HN3395" s="5" t="s">
        <v>238</v>
      </c>
      <c r="HO3395" s="5" t="s">
        <v>238</v>
      </c>
      <c r="HP3395" s="5" t="s">
        <v>238</v>
      </c>
      <c r="HQ3395" s="5" t="s">
        <v>238</v>
      </c>
      <c r="HR3395" s="5" t="s">
        <v>238</v>
      </c>
      <c r="HS3395" s="5" t="s">
        <v>238</v>
      </c>
      <c r="HT3395" s="5" t="s">
        <v>238</v>
      </c>
      <c r="HU3395" s="5" t="s">
        <v>238</v>
      </c>
      <c r="HV3395" s="5" t="s">
        <v>238</v>
      </c>
      <c r="HW3395" s="5" t="s">
        <v>238</v>
      </c>
      <c r="HX3395" s="5" t="s">
        <v>238</v>
      </c>
      <c r="HY3395" s="5" t="s">
        <v>238</v>
      </c>
      <c r="HZ3395" s="5" t="s">
        <v>238</v>
      </c>
      <c r="IA3395" s="5" t="s">
        <v>238</v>
      </c>
      <c r="IB3395" s="5" t="s">
        <v>238</v>
      </c>
      <c r="IC3395" s="5" t="s">
        <v>238</v>
      </c>
      <c r="ID3395" s="5" t="s">
        <v>238</v>
      </c>
    </row>
    <row r="3396" spans="1:238" x14ac:dyDescent="0.4">
      <c r="A3396" s="5">
        <v>9114</v>
      </c>
      <c r="B3396" s="5">
        <v>1</v>
      </c>
      <c r="C3396" s="5">
        <v>1</v>
      </c>
      <c r="D3396" s="5" t="s">
        <v>484</v>
      </c>
      <c r="E3396" s="5" t="s">
        <v>485</v>
      </c>
      <c r="F3396" s="5" t="s">
        <v>248</v>
      </c>
      <c r="G3396" s="5" t="s">
        <v>4515</v>
      </c>
      <c r="H3396" s="6" t="s">
        <v>4516</v>
      </c>
      <c r="I3396" s="8">
        <f>1</f>
        <v>1</v>
      </c>
      <c r="J3396" s="5" t="s">
        <v>499</v>
      </c>
      <c r="K3396" s="8">
        <f>1</f>
        <v>1</v>
      </c>
      <c r="L3396" s="6" t="s">
        <v>242</v>
      </c>
      <c r="M3396" s="5" t="s">
        <v>267</v>
      </c>
      <c r="N3396" s="5" t="s">
        <v>482</v>
      </c>
      <c r="O3396" s="5" t="s">
        <v>238</v>
      </c>
      <c r="P3396" s="5" t="s">
        <v>238</v>
      </c>
      <c r="Q3396" s="5" t="s">
        <v>239</v>
      </c>
      <c r="R3396" s="5" t="s">
        <v>270</v>
      </c>
      <c r="S3396" s="5" t="s">
        <v>238</v>
      </c>
      <c r="T3396" s="5" t="s">
        <v>238</v>
      </c>
      <c r="U3396" s="5" t="s">
        <v>238</v>
      </c>
      <c r="V3396" s="5" t="s">
        <v>238</v>
      </c>
      <c r="W3396" s="6" t="s">
        <v>238</v>
      </c>
      <c r="X3396" s="6" t="s">
        <v>238</v>
      </c>
      <c r="Y3396" s="5" t="s">
        <v>238</v>
      </c>
      <c r="Z3396" s="6" t="s">
        <v>238</v>
      </c>
      <c r="AA3396" s="6" t="s">
        <v>243</v>
      </c>
      <c r="AB3396" s="5" t="s">
        <v>486</v>
      </c>
      <c r="AC3396" s="5" t="s">
        <v>244</v>
      </c>
      <c r="AD3396" s="5" t="s">
        <v>245</v>
      </c>
      <c r="AE3396" s="5" t="s">
        <v>238</v>
      </c>
      <c r="AF3396" s="5" t="s">
        <v>238</v>
      </c>
      <c r="AG3396" s="5" t="s">
        <v>238</v>
      </c>
      <c r="AH3396" s="5" t="s">
        <v>238</v>
      </c>
      <c r="AI3396" s="5" t="s">
        <v>238</v>
      </c>
      <c r="AJ3396" s="5" t="s">
        <v>238</v>
      </c>
      <c r="AK3396" s="5" t="s">
        <v>238</v>
      </c>
      <c r="AL3396" s="5" t="s">
        <v>238</v>
      </c>
      <c r="AM3396" s="6" t="s">
        <v>238</v>
      </c>
      <c r="AN3396" s="6" t="s">
        <v>238</v>
      </c>
      <c r="AO3396" s="6" t="s">
        <v>238</v>
      </c>
      <c r="AP3396" s="6" t="s">
        <v>238</v>
      </c>
      <c r="AQ3396" s="5" t="s">
        <v>238</v>
      </c>
      <c r="AR3396" s="5" t="s">
        <v>488</v>
      </c>
      <c r="AS3396" s="5" t="s">
        <v>488</v>
      </c>
      <c r="AT3396" s="5" t="s">
        <v>246</v>
      </c>
      <c r="AU3396" s="5" t="s">
        <v>489</v>
      </c>
      <c r="AV3396" s="5" t="s">
        <v>247</v>
      </c>
      <c r="AW3396" s="5" t="s">
        <v>238</v>
      </c>
      <c r="AX3396" s="5" t="s">
        <v>249</v>
      </c>
      <c r="AY3396" s="5" t="s">
        <v>490</v>
      </c>
      <c r="BA3396" s="5" t="s">
        <v>238</v>
      </c>
      <c r="BC3396" s="5" t="s">
        <v>491</v>
      </c>
      <c r="BD3396" s="6" t="s">
        <v>492</v>
      </c>
      <c r="BE3396" s="5" t="s">
        <v>493</v>
      </c>
      <c r="BF3396" s="5" t="s">
        <v>493</v>
      </c>
      <c r="BG3396" s="5" t="s">
        <v>238</v>
      </c>
      <c r="BH3396" s="8">
        <f>1</f>
        <v>1</v>
      </c>
      <c r="BI3396" s="8">
        <f>1</f>
        <v>1</v>
      </c>
      <c r="BJ3396" s="5" t="s">
        <v>253</v>
      </c>
      <c r="BK3396" s="5" t="s">
        <v>254</v>
      </c>
      <c r="BL3396" s="5" t="s">
        <v>238</v>
      </c>
      <c r="BM3396" s="5" t="s">
        <v>238</v>
      </c>
      <c r="BN3396" s="5" t="s">
        <v>238</v>
      </c>
      <c r="BO3396" s="5" t="s">
        <v>238</v>
      </c>
      <c r="BP3396" s="5" t="s">
        <v>238</v>
      </c>
      <c r="BQ3396" s="5" t="s">
        <v>238</v>
      </c>
      <c r="BR3396" s="5" t="s">
        <v>238</v>
      </c>
      <c r="BS3396" s="5" t="s">
        <v>238</v>
      </c>
      <c r="BT3396" s="6" t="s">
        <v>238</v>
      </c>
      <c r="BU3396" s="5" t="s">
        <v>238</v>
      </c>
      <c r="BV3396" s="5" t="s">
        <v>238</v>
      </c>
      <c r="BW3396" s="5" t="s">
        <v>238</v>
      </c>
      <c r="BX3396" s="5" t="s">
        <v>254</v>
      </c>
      <c r="BY3396" s="5" t="s">
        <v>238</v>
      </c>
      <c r="BZ3396" s="5" t="s">
        <v>238</v>
      </c>
      <c r="CA3396" s="5" t="s">
        <v>238</v>
      </c>
      <c r="CB3396" s="5" t="s">
        <v>238</v>
      </c>
      <c r="CC3396" s="5" t="s">
        <v>238</v>
      </c>
      <c r="CD3396" s="5" t="s">
        <v>273</v>
      </c>
      <c r="CE3396" s="5" t="s">
        <v>256</v>
      </c>
      <c r="CF3396" s="5" t="s">
        <v>238</v>
      </c>
      <c r="CH3396" s="5" t="s">
        <v>494</v>
      </c>
      <c r="CI3396" s="6" t="s">
        <v>257</v>
      </c>
      <c r="CJ3396" s="5" t="s">
        <v>495</v>
      </c>
      <c r="CK3396" s="5" t="s">
        <v>258</v>
      </c>
      <c r="CL3396" s="5" t="s">
        <v>496</v>
      </c>
      <c r="CM3396" s="5" t="s">
        <v>238</v>
      </c>
      <c r="CN3396" s="5">
        <v>0</v>
      </c>
      <c r="CO3396" s="5" t="s">
        <v>497</v>
      </c>
      <c r="CP3396" s="5" t="s">
        <v>260</v>
      </c>
      <c r="CQ3396" s="5" t="s">
        <v>260</v>
      </c>
      <c r="CR3396" s="5" t="s">
        <v>261</v>
      </c>
      <c r="CS3396" s="5" t="s">
        <v>498</v>
      </c>
      <c r="CT3396" s="7">
        <f>1</f>
        <v>1</v>
      </c>
      <c r="CU3396" s="8">
        <f>1</f>
        <v>1</v>
      </c>
      <c r="CV3396" s="8">
        <f>0</f>
        <v>0</v>
      </c>
      <c r="CX3396" s="8">
        <f>1</f>
        <v>1</v>
      </c>
      <c r="CY3396" s="8">
        <f>1</f>
        <v>1</v>
      </c>
      <c r="CZ3396" s="8" t="s">
        <v>238</v>
      </c>
      <c r="DA3396" s="5" t="s">
        <v>238</v>
      </c>
      <c r="DB3396" s="5" t="s">
        <v>238</v>
      </c>
      <c r="DC3396" s="5" t="s">
        <v>238</v>
      </c>
      <c r="DD3396" s="5" t="s">
        <v>238</v>
      </c>
      <c r="DE3396" s="8">
        <f>0</f>
        <v>0</v>
      </c>
      <c r="DG3396" s="5" t="s">
        <v>238</v>
      </c>
      <c r="DH3396" s="5" t="s">
        <v>238</v>
      </c>
      <c r="DI3396" s="5" t="s">
        <v>238</v>
      </c>
      <c r="DJ3396" s="5" t="s">
        <v>238</v>
      </c>
      <c r="DK3396" s="5" t="s">
        <v>238</v>
      </c>
      <c r="DL3396" s="5" t="s">
        <v>238</v>
      </c>
      <c r="DM3396" s="8" t="s">
        <v>238</v>
      </c>
      <c r="DN3396" s="5" t="s">
        <v>238</v>
      </c>
      <c r="DO3396" s="5" t="s">
        <v>238</v>
      </c>
      <c r="DP3396" s="5" t="s">
        <v>490</v>
      </c>
      <c r="DQ3396" s="5" t="s">
        <v>490</v>
      </c>
      <c r="DR3396" s="5" t="s">
        <v>238</v>
      </c>
      <c r="DS3396" s="5" t="s">
        <v>238</v>
      </c>
      <c r="DT3396" s="5" t="s">
        <v>500</v>
      </c>
      <c r="DU3396" s="5" t="s">
        <v>803</v>
      </c>
      <c r="DV3396" s="5" t="s">
        <v>238</v>
      </c>
      <c r="DW3396" s="5" t="s">
        <v>238</v>
      </c>
      <c r="DX3396" s="5" t="s">
        <v>238</v>
      </c>
      <c r="DY3396" s="5" t="s">
        <v>238</v>
      </c>
      <c r="DZ3396" s="5" t="s">
        <v>238</v>
      </c>
      <c r="EA3396" s="5" t="s">
        <v>238</v>
      </c>
      <c r="EB3396" s="5" t="s">
        <v>238</v>
      </c>
      <c r="EC3396" s="5" t="s">
        <v>238</v>
      </c>
      <c r="ED3396" s="5" t="s">
        <v>238</v>
      </c>
      <c r="EE3396" s="5" t="s">
        <v>238</v>
      </c>
      <c r="EF3396" s="5" t="s">
        <v>238</v>
      </c>
      <c r="EG3396" s="5" t="s">
        <v>238</v>
      </c>
      <c r="EH3396" s="5" t="s">
        <v>238</v>
      </c>
      <c r="EI3396" s="5" t="s">
        <v>238</v>
      </c>
      <c r="EJ3396" s="5" t="s">
        <v>238</v>
      </c>
      <c r="EK3396" s="5" t="s">
        <v>238</v>
      </c>
      <c r="EL3396" s="5" t="s">
        <v>238</v>
      </c>
      <c r="EM3396" s="5" t="s">
        <v>238</v>
      </c>
      <c r="EN3396" s="5" t="s">
        <v>238</v>
      </c>
      <c r="EO3396" s="5" t="s">
        <v>238</v>
      </c>
      <c r="EP3396" s="5" t="s">
        <v>238</v>
      </c>
      <c r="EQ3396" s="5" t="s">
        <v>238</v>
      </c>
      <c r="ER3396" s="5" t="s">
        <v>238</v>
      </c>
      <c r="ES3396" s="5" t="s">
        <v>238</v>
      </c>
      <c r="ET3396" s="5" t="s">
        <v>238</v>
      </c>
      <c r="EU3396" s="5" t="s">
        <v>238</v>
      </c>
      <c r="EV3396" s="5" t="s">
        <v>238</v>
      </c>
      <c r="EW3396" s="5" t="s">
        <v>238</v>
      </c>
      <c r="EX3396" s="5" t="s">
        <v>238</v>
      </c>
      <c r="EY3396" s="5" t="s">
        <v>238</v>
      </c>
      <c r="EZ3396" s="5" t="s">
        <v>238</v>
      </c>
      <c r="FA3396" s="5" t="s">
        <v>238</v>
      </c>
      <c r="FB3396" s="5" t="s">
        <v>238</v>
      </c>
      <c r="FC3396" s="5" t="s">
        <v>238</v>
      </c>
      <c r="FD3396" s="5" t="s">
        <v>238</v>
      </c>
      <c r="FE3396" s="5" t="s">
        <v>238</v>
      </c>
      <c r="FF3396" s="5" t="s">
        <v>238</v>
      </c>
      <c r="FG3396" s="5" t="s">
        <v>238</v>
      </c>
      <c r="FH3396" s="5" t="s">
        <v>238</v>
      </c>
      <c r="FI3396" s="5" t="s">
        <v>238</v>
      </c>
      <c r="FJ3396" s="5" t="s">
        <v>238</v>
      </c>
      <c r="FK3396" s="5" t="s">
        <v>238</v>
      </c>
      <c r="FL3396" s="5" t="s">
        <v>238</v>
      </c>
      <c r="FM3396" s="5" t="s">
        <v>238</v>
      </c>
      <c r="FN3396" s="5" t="s">
        <v>238</v>
      </c>
      <c r="FO3396" s="5" t="s">
        <v>238</v>
      </c>
      <c r="FP3396" s="5" t="s">
        <v>238</v>
      </c>
      <c r="FQ3396" s="5" t="s">
        <v>238</v>
      </c>
      <c r="FR3396" s="5" t="s">
        <v>238</v>
      </c>
      <c r="FS3396" s="5" t="s">
        <v>238</v>
      </c>
      <c r="FT3396" s="5" t="s">
        <v>238</v>
      </c>
      <c r="FU3396" s="5" t="s">
        <v>238</v>
      </c>
      <c r="FV3396" s="5" t="s">
        <v>238</v>
      </c>
      <c r="FW3396" s="5" t="s">
        <v>238</v>
      </c>
      <c r="FX3396" s="5" t="s">
        <v>238</v>
      </c>
      <c r="FY3396" s="5" t="s">
        <v>238</v>
      </c>
      <c r="FZ3396" s="5" t="s">
        <v>238</v>
      </c>
      <c r="GA3396" s="5" t="s">
        <v>238</v>
      </c>
      <c r="GB3396" s="5" t="s">
        <v>238</v>
      </c>
      <c r="GC3396" s="5" t="s">
        <v>238</v>
      </c>
      <c r="GD3396" s="5" t="s">
        <v>238</v>
      </c>
      <c r="GE3396" s="5" t="s">
        <v>238</v>
      </c>
      <c r="GF3396" s="5" t="s">
        <v>238</v>
      </c>
      <c r="GG3396" s="5" t="s">
        <v>238</v>
      </c>
      <c r="GH3396" s="5" t="s">
        <v>238</v>
      </c>
      <c r="GI3396" s="5" t="s">
        <v>238</v>
      </c>
      <c r="GJ3396" s="5" t="s">
        <v>238</v>
      </c>
      <c r="GK3396" s="5" t="s">
        <v>238</v>
      </c>
      <c r="GL3396" s="5" t="s">
        <v>238</v>
      </c>
      <c r="GM3396" s="5" t="s">
        <v>238</v>
      </c>
      <c r="GN3396" s="5" t="s">
        <v>238</v>
      </c>
      <c r="GO3396" s="5" t="s">
        <v>238</v>
      </c>
      <c r="GP3396" s="5" t="s">
        <v>238</v>
      </c>
      <c r="GQ3396" s="5" t="s">
        <v>238</v>
      </c>
      <c r="GR3396" s="5" t="s">
        <v>238</v>
      </c>
      <c r="GS3396" s="5" t="s">
        <v>238</v>
      </c>
      <c r="GT3396" s="5" t="s">
        <v>238</v>
      </c>
      <c r="GU3396" s="5" t="s">
        <v>238</v>
      </c>
      <c r="GV3396" s="5" t="s">
        <v>238</v>
      </c>
      <c r="GW3396" s="5" t="s">
        <v>238</v>
      </c>
      <c r="GX3396" s="5" t="s">
        <v>238</v>
      </c>
      <c r="GY3396" s="5" t="s">
        <v>238</v>
      </c>
      <c r="GZ3396" s="5" t="s">
        <v>238</v>
      </c>
      <c r="HA3396" s="5" t="s">
        <v>238</v>
      </c>
      <c r="HB3396" s="5" t="s">
        <v>238</v>
      </c>
      <c r="HC3396" s="5" t="s">
        <v>238</v>
      </c>
      <c r="HD3396" s="5" t="s">
        <v>238</v>
      </c>
      <c r="HE3396" s="5" t="s">
        <v>238</v>
      </c>
      <c r="HF3396" s="5" t="s">
        <v>238</v>
      </c>
      <c r="HG3396" s="5" t="s">
        <v>238</v>
      </c>
      <c r="HH3396" s="5" t="s">
        <v>238</v>
      </c>
      <c r="HI3396" s="5" t="s">
        <v>238</v>
      </c>
      <c r="HJ3396" s="5" t="s">
        <v>238</v>
      </c>
      <c r="HK3396" s="5" t="s">
        <v>238</v>
      </c>
      <c r="HL3396" s="5" t="s">
        <v>238</v>
      </c>
      <c r="HM3396" s="5" t="s">
        <v>264</v>
      </c>
      <c r="HN3396" s="5" t="s">
        <v>238</v>
      </c>
      <c r="HO3396" s="5" t="s">
        <v>238</v>
      </c>
      <c r="HP3396" s="5" t="s">
        <v>238</v>
      </c>
      <c r="HQ3396" s="5" t="s">
        <v>238</v>
      </c>
      <c r="HR3396" s="5" t="s">
        <v>238</v>
      </c>
      <c r="HS3396" s="5" t="s">
        <v>238</v>
      </c>
      <c r="HT3396" s="5" t="s">
        <v>238</v>
      </c>
      <c r="HU3396" s="5" t="s">
        <v>238</v>
      </c>
      <c r="HV3396" s="5" t="s">
        <v>238</v>
      </c>
      <c r="HW3396" s="5" t="s">
        <v>238</v>
      </c>
      <c r="HX3396" s="5" t="s">
        <v>238</v>
      </c>
      <c r="HY3396" s="5" t="s">
        <v>238</v>
      </c>
      <c r="HZ3396" s="5" t="s">
        <v>238</v>
      </c>
      <c r="IA3396" s="5" t="s">
        <v>238</v>
      </c>
      <c r="IB3396" s="5" t="s">
        <v>238</v>
      </c>
      <c r="IC3396" s="5" t="s">
        <v>238</v>
      </c>
      <c r="ID3396" s="5" t="s">
        <v>238</v>
      </c>
    </row>
    <row r="3397" spans="1:238" x14ac:dyDescent="0.4">
      <c r="A3397" s="5">
        <v>9115</v>
      </c>
      <c r="B3397" s="5">
        <v>1</v>
      </c>
      <c r="C3397" s="5">
        <v>1</v>
      </c>
      <c r="D3397" s="5" t="s">
        <v>484</v>
      </c>
      <c r="E3397" s="5" t="s">
        <v>485</v>
      </c>
      <c r="F3397" s="5" t="s">
        <v>248</v>
      </c>
      <c r="G3397" s="5" t="s">
        <v>5332</v>
      </c>
      <c r="H3397" s="6" t="s">
        <v>5334</v>
      </c>
      <c r="I3397" s="8">
        <f>1</f>
        <v>1</v>
      </c>
      <c r="J3397" s="5" t="s">
        <v>499</v>
      </c>
      <c r="K3397" s="8">
        <f>1</f>
        <v>1</v>
      </c>
      <c r="L3397" s="6" t="s">
        <v>242</v>
      </c>
      <c r="M3397" s="5" t="s">
        <v>267</v>
      </c>
      <c r="N3397" s="5" t="s">
        <v>482</v>
      </c>
      <c r="O3397" s="5" t="s">
        <v>238</v>
      </c>
      <c r="P3397" s="5" t="s">
        <v>238</v>
      </c>
      <c r="Q3397" s="5" t="s">
        <v>239</v>
      </c>
      <c r="R3397" s="5" t="s">
        <v>270</v>
      </c>
      <c r="S3397" s="5" t="s">
        <v>238</v>
      </c>
      <c r="T3397" s="5" t="s">
        <v>238</v>
      </c>
      <c r="U3397" s="5" t="s">
        <v>238</v>
      </c>
      <c r="V3397" s="5" t="s">
        <v>238</v>
      </c>
      <c r="W3397" s="6" t="s">
        <v>238</v>
      </c>
      <c r="X3397" s="6" t="s">
        <v>238</v>
      </c>
      <c r="Y3397" s="5" t="s">
        <v>238</v>
      </c>
      <c r="Z3397" s="6" t="s">
        <v>238</v>
      </c>
      <c r="AA3397" s="6" t="s">
        <v>243</v>
      </c>
      <c r="AB3397" s="5" t="s">
        <v>5333</v>
      </c>
      <c r="AC3397" s="5" t="s">
        <v>244</v>
      </c>
      <c r="AD3397" s="5" t="s">
        <v>245</v>
      </c>
      <c r="AE3397" s="5" t="s">
        <v>238</v>
      </c>
      <c r="AF3397" s="5" t="s">
        <v>238</v>
      </c>
      <c r="AG3397" s="5" t="s">
        <v>238</v>
      </c>
      <c r="AH3397" s="5" t="s">
        <v>238</v>
      </c>
      <c r="AI3397" s="5" t="s">
        <v>238</v>
      </c>
      <c r="AJ3397" s="5" t="s">
        <v>238</v>
      </c>
      <c r="AK3397" s="5" t="s">
        <v>238</v>
      </c>
      <c r="AL3397" s="5" t="s">
        <v>238</v>
      </c>
      <c r="AM3397" s="6" t="s">
        <v>238</v>
      </c>
      <c r="AN3397" s="6" t="s">
        <v>238</v>
      </c>
      <c r="AO3397" s="6" t="s">
        <v>238</v>
      </c>
      <c r="AP3397" s="6" t="s">
        <v>238</v>
      </c>
      <c r="AQ3397" s="5" t="s">
        <v>238</v>
      </c>
      <c r="AR3397" s="5" t="s">
        <v>488</v>
      </c>
      <c r="AS3397" s="5" t="s">
        <v>488</v>
      </c>
      <c r="AT3397" s="5" t="s">
        <v>246</v>
      </c>
      <c r="AU3397" s="5" t="s">
        <v>489</v>
      </c>
      <c r="AV3397" s="5" t="s">
        <v>247</v>
      </c>
      <c r="AW3397" s="5" t="s">
        <v>238</v>
      </c>
      <c r="AX3397" s="5" t="s">
        <v>249</v>
      </c>
      <c r="AY3397" s="5" t="s">
        <v>490</v>
      </c>
      <c r="BA3397" s="5" t="s">
        <v>238</v>
      </c>
      <c r="BC3397" s="5" t="s">
        <v>491</v>
      </c>
      <c r="BD3397" s="6" t="s">
        <v>492</v>
      </c>
      <c r="BE3397" s="5" t="s">
        <v>493</v>
      </c>
      <c r="BF3397" s="5" t="s">
        <v>493</v>
      </c>
      <c r="BG3397" s="5" t="s">
        <v>238</v>
      </c>
      <c r="BH3397" s="8">
        <f>1</f>
        <v>1</v>
      </c>
      <c r="BI3397" s="8">
        <f>1</f>
        <v>1</v>
      </c>
      <c r="BJ3397" s="5" t="s">
        <v>253</v>
      </c>
      <c r="BK3397" s="5" t="s">
        <v>254</v>
      </c>
      <c r="BL3397" s="5" t="s">
        <v>238</v>
      </c>
      <c r="BM3397" s="5" t="s">
        <v>238</v>
      </c>
      <c r="BN3397" s="5" t="s">
        <v>238</v>
      </c>
      <c r="BO3397" s="5" t="s">
        <v>238</v>
      </c>
      <c r="BP3397" s="5" t="s">
        <v>238</v>
      </c>
      <c r="BQ3397" s="5" t="s">
        <v>238</v>
      </c>
      <c r="BR3397" s="5" t="s">
        <v>238</v>
      </c>
      <c r="BS3397" s="5" t="s">
        <v>238</v>
      </c>
      <c r="BT3397" s="6" t="s">
        <v>238</v>
      </c>
      <c r="BU3397" s="5" t="s">
        <v>238</v>
      </c>
      <c r="BV3397" s="5" t="s">
        <v>238</v>
      </c>
      <c r="BW3397" s="5" t="s">
        <v>238</v>
      </c>
      <c r="BX3397" s="5" t="s">
        <v>254</v>
      </c>
      <c r="BY3397" s="5" t="s">
        <v>238</v>
      </c>
      <c r="BZ3397" s="5" t="s">
        <v>238</v>
      </c>
      <c r="CA3397" s="5" t="s">
        <v>238</v>
      </c>
      <c r="CB3397" s="5" t="s">
        <v>238</v>
      </c>
      <c r="CC3397" s="5" t="s">
        <v>238</v>
      </c>
      <c r="CD3397" s="5" t="s">
        <v>273</v>
      </c>
      <c r="CE3397" s="5" t="s">
        <v>256</v>
      </c>
      <c r="CF3397" s="5" t="s">
        <v>238</v>
      </c>
      <c r="CH3397" s="5" t="s">
        <v>494</v>
      </c>
      <c r="CI3397" s="6" t="s">
        <v>257</v>
      </c>
      <c r="CJ3397" s="5" t="s">
        <v>495</v>
      </c>
      <c r="CK3397" s="5" t="s">
        <v>258</v>
      </c>
      <c r="CL3397" s="5" t="s">
        <v>496</v>
      </c>
      <c r="CM3397" s="5" t="s">
        <v>238</v>
      </c>
      <c r="CN3397" s="5">
        <v>0</v>
      </c>
      <c r="CO3397" s="5" t="s">
        <v>497</v>
      </c>
      <c r="CP3397" s="5" t="s">
        <v>260</v>
      </c>
      <c r="CQ3397" s="5" t="s">
        <v>260</v>
      </c>
      <c r="CR3397" s="5" t="s">
        <v>261</v>
      </c>
      <c r="CS3397" s="5" t="s">
        <v>498</v>
      </c>
      <c r="CT3397" s="7">
        <f>1</f>
        <v>1</v>
      </c>
      <c r="CU3397" s="8">
        <f>1</f>
        <v>1</v>
      </c>
      <c r="CV3397" s="8">
        <f>0</f>
        <v>0</v>
      </c>
      <c r="CX3397" s="8">
        <f>1</f>
        <v>1</v>
      </c>
      <c r="CY3397" s="8">
        <f>1</f>
        <v>1</v>
      </c>
      <c r="CZ3397" s="8" t="s">
        <v>238</v>
      </c>
      <c r="DA3397" s="5" t="s">
        <v>238</v>
      </c>
      <c r="DB3397" s="5" t="s">
        <v>238</v>
      </c>
      <c r="DC3397" s="5" t="s">
        <v>238</v>
      </c>
      <c r="DD3397" s="5" t="s">
        <v>238</v>
      </c>
      <c r="DE3397" s="8">
        <f>0</f>
        <v>0</v>
      </c>
      <c r="DG3397" s="5" t="s">
        <v>238</v>
      </c>
      <c r="DH3397" s="5" t="s">
        <v>238</v>
      </c>
      <c r="DI3397" s="5" t="s">
        <v>238</v>
      </c>
      <c r="DJ3397" s="5" t="s">
        <v>238</v>
      </c>
      <c r="DK3397" s="5" t="s">
        <v>238</v>
      </c>
      <c r="DL3397" s="5" t="s">
        <v>238</v>
      </c>
      <c r="DM3397" s="8" t="s">
        <v>238</v>
      </c>
      <c r="DN3397" s="5" t="s">
        <v>238</v>
      </c>
      <c r="DO3397" s="5" t="s">
        <v>238</v>
      </c>
      <c r="DP3397" s="5" t="s">
        <v>490</v>
      </c>
      <c r="DQ3397" s="5" t="s">
        <v>490</v>
      </c>
      <c r="DR3397" s="5" t="s">
        <v>238</v>
      </c>
      <c r="DS3397" s="5" t="s">
        <v>238</v>
      </c>
      <c r="DT3397" s="5" t="s">
        <v>500</v>
      </c>
      <c r="DU3397" s="5" t="s">
        <v>1178</v>
      </c>
      <c r="DV3397" s="5" t="s">
        <v>238</v>
      </c>
      <c r="DW3397" s="5" t="s">
        <v>238</v>
      </c>
      <c r="DX3397" s="5" t="s">
        <v>238</v>
      </c>
      <c r="DY3397" s="5" t="s">
        <v>238</v>
      </c>
      <c r="DZ3397" s="5" t="s">
        <v>238</v>
      </c>
      <c r="EA3397" s="5" t="s">
        <v>238</v>
      </c>
      <c r="EB3397" s="5" t="s">
        <v>238</v>
      </c>
      <c r="EC3397" s="5" t="s">
        <v>238</v>
      </c>
      <c r="ED3397" s="5" t="s">
        <v>238</v>
      </c>
      <c r="EE3397" s="5" t="s">
        <v>238</v>
      </c>
      <c r="EF3397" s="5" t="s">
        <v>238</v>
      </c>
      <c r="EG3397" s="5" t="s">
        <v>238</v>
      </c>
      <c r="EH3397" s="5" t="s">
        <v>238</v>
      </c>
      <c r="EI3397" s="5" t="s">
        <v>238</v>
      </c>
      <c r="EJ3397" s="5" t="s">
        <v>238</v>
      </c>
      <c r="EK3397" s="5" t="s">
        <v>238</v>
      </c>
      <c r="EL3397" s="5" t="s">
        <v>238</v>
      </c>
      <c r="EM3397" s="5" t="s">
        <v>238</v>
      </c>
      <c r="EN3397" s="5" t="s">
        <v>238</v>
      </c>
      <c r="EO3397" s="5" t="s">
        <v>238</v>
      </c>
      <c r="EP3397" s="5" t="s">
        <v>238</v>
      </c>
      <c r="EQ3397" s="5" t="s">
        <v>238</v>
      </c>
      <c r="ER3397" s="5" t="s">
        <v>238</v>
      </c>
      <c r="ES3397" s="5" t="s">
        <v>238</v>
      </c>
      <c r="ET3397" s="5" t="s">
        <v>238</v>
      </c>
      <c r="EU3397" s="5" t="s">
        <v>238</v>
      </c>
      <c r="EV3397" s="5" t="s">
        <v>238</v>
      </c>
      <c r="EW3397" s="5" t="s">
        <v>238</v>
      </c>
      <c r="EX3397" s="5" t="s">
        <v>238</v>
      </c>
      <c r="EY3397" s="5" t="s">
        <v>238</v>
      </c>
      <c r="EZ3397" s="5" t="s">
        <v>238</v>
      </c>
      <c r="FA3397" s="5" t="s">
        <v>238</v>
      </c>
      <c r="FB3397" s="5" t="s">
        <v>238</v>
      </c>
      <c r="FC3397" s="5" t="s">
        <v>238</v>
      </c>
      <c r="FD3397" s="5" t="s">
        <v>238</v>
      </c>
      <c r="FE3397" s="5" t="s">
        <v>238</v>
      </c>
      <c r="FF3397" s="5" t="s">
        <v>238</v>
      </c>
      <c r="FG3397" s="5" t="s">
        <v>238</v>
      </c>
      <c r="FH3397" s="5" t="s">
        <v>238</v>
      </c>
      <c r="FI3397" s="5" t="s">
        <v>238</v>
      </c>
      <c r="FJ3397" s="5" t="s">
        <v>238</v>
      </c>
      <c r="FK3397" s="5" t="s">
        <v>238</v>
      </c>
      <c r="FL3397" s="5" t="s">
        <v>238</v>
      </c>
      <c r="FM3397" s="5" t="s">
        <v>238</v>
      </c>
      <c r="FN3397" s="5" t="s">
        <v>238</v>
      </c>
      <c r="FO3397" s="5" t="s">
        <v>238</v>
      </c>
      <c r="FP3397" s="5" t="s">
        <v>238</v>
      </c>
      <c r="FQ3397" s="5" t="s">
        <v>238</v>
      </c>
      <c r="FR3397" s="5" t="s">
        <v>238</v>
      </c>
      <c r="FS3397" s="5" t="s">
        <v>238</v>
      </c>
      <c r="FT3397" s="5" t="s">
        <v>238</v>
      </c>
      <c r="FU3397" s="5" t="s">
        <v>238</v>
      </c>
      <c r="FV3397" s="5" t="s">
        <v>238</v>
      </c>
      <c r="FW3397" s="5" t="s">
        <v>238</v>
      </c>
      <c r="FX3397" s="5" t="s">
        <v>238</v>
      </c>
      <c r="FY3397" s="5" t="s">
        <v>238</v>
      </c>
      <c r="FZ3397" s="5" t="s">
        <v>238</v>
      </c>
      <c r="GA3397" s="5" t="s">
        <v>238</v>
      </c>
      <c r="GB3397" s="5" t="s">
        <v>238</v>
      </c>
      <c r="GC3397" s="5" t="s">
        <v>238</v>
      </c>
      <c r="GD3397" s="5" t="s">
        <v>238</v>
      </c>
      <c r="GE3397" s="5" t="s">
        <v>238</v>
      </c>
      <c r="GF3397" s="5" t="s">
        <v>238</v>
      </c>
      <c r="GG3397" s="5" t="s">
        <v>238</v>
      </c>
      <c r="GH3397" s="5" t="s">
        <v>238</v>
      </c>
      <c r="GI3397" s="5" t="s">
        <v>238</v>
      </c>
      <c r="GJ3397" s="5" t="s">
        <v>238</v>
      </c>
      <c r="GK3397" s="5" t="s">
        <v>238</v>
      </c>
      <c r="GL3397" s="5" t="s">
        <v>238</v>
      </c>
      <c r="GM3397" s="5" t="s">
        <v>238</v>
      </c>
      <c r="GN3397" s="5" t="s">
        <v>238</v>
      </c>
      <c r="GO3397" s="5" t="s">
        <v>238</v>
      </c>
      <c r="GP3397" s="5" t="s">
        <v>238</v>
      </c>
      <c r="GQ3397" s="5" t="s">
        <v>238</v>
      </c>
      <c r="GR3397" s="5" t="s">
        <v>238</v>
      </c>
      <c r="GS3397" s="5" t="s">
        <v>238</v>
      </c>
      <c r="GT3397" s="5" t="s">
        <v>238</v>
      </c>
      <c r="GU3397" s="5" t="s">
        <v>238</v>
      </c>
      <c r="GV3397" s="5" t="s">
        <v>238</v>
      </c>
      <c r="GW3397" s="5" t="s">
        <v>238</v>
      </c>
      <c r="GX3397" s="5" t="s">
        <v>238</v>
      </c>
      <c r="GY3397" s="5" t="s">
        <v>238</v>
      </c>
      <c r="GZ3397" s="5" t="s">
        <v>238</v>
      </c>
      <c r="HA3397" s="5" t="s">
        <v>238</v>
      </c>
      <c r="HB3397" s="5" t="s">
        <v>238</v>
      </c>
      <c r="HC3397" s="5" t="s">
        <v>238</v>
      </c>
      <c r="HD3397" s="5" t="s">
        <v>238</v>
      </c>
      <c r="HE3397" s="5" t="s">
        <v>238</v>
      </c>
      <c r="HF3397" s="5" t="s">
        <v>238</v>
      </c>
      <c r="HG3397" s="5" t="s">
        <v>238</v>
      </c>
      <c r="HH3397" s="5" t="s">
        <v>238</v>
      </c>
      <c r="HI3397" s="5" t="s">
        <v>238</v>
      </c>
      <c r="HJ3397" s="5" t="s">
        <v>238</v>
      </c>
      <c r="HK3397" s="5" t="s">
        <v>238</v>
      </c>
      <c r="HL3397" s="5" t="s">
        <v>238</v>
      </c>
      <c r="HM3397" s="5" t="s">
        <v>264</v>
      </c>
      <c r="HN3397" s="5" t="s">
        <v>238</v>
      </c>
      <c r="HO3397" s="5" t="s">
        <v>238</v>
      </c>
      <c r="HP3397" s="5" t="s">
        <v>238</v>
      </c>
      <c r="HQ3397" s="5" t="s">
        <v>238</v>
      </c>
      <c r="HR3397" s="5" t="s">
        <v>238</v>
      </c>
      <c r="HS3397" s="5" t="s">
        <v>238</v>
      </c>
      <c r="HT3397" s="5" t="s">
        <v>238</v>
      </c>
      <c r="HU3397" s="5" t="s">
        <v>238</v>
      </c>
      <c r="HV3397" s="5" t="s">
        <v>238</v>
      </c>
      <c r="HW3397" s="5" t="s">
        <v>238</v>
      </c>
      <c r="HX3397" s="5" t="s">
        <v>238</v>
      </c>
      <c r="HY3397" s="5" t="s">
        <v>238</v>
      </c>
      <c r="HZ3397" s="5" t="s">
        <v>238</v>
      </c>
      <c r="IA3397" s="5" t="s">
        <v>238</v>
      </c>
      <c r="IB3397" s="5" t="s">
        <v>238</v>
      </c>
      <c r="IC3397" s="5" t="s">
        <v>238</v>
      </c>
      <c r="ID3397" s="5" t="s">
        <v>238</v>
      </c>
    </row>
    <row r="3398" spans="1:238" x14ac:dyDescent="0.4">
      <c r="A3398" s="5">
        <v>9116</v>
      </c>
      <c r="B3398" s="5">
        <v>1</v>
      </c>
      <c r="C3398" s="5">
        <v>1</v>
      </c>
      <c r="D3398" s="5" t="s">
        <v>484</v>
      </c>
      <c r="E3398" s="5" t="s">
        <v>485</v>
      </c>
      <c r="F3398" s="5" t="s">
        <v>248</v>
      </c>
      <c r="G3398" s="5" t="s">
        <v>4737</v>
      </c>
      <c r="H3398" s="6" t="s">
        <v>4738</v>
      </c>
      <c r="I3398" s="8">
        <f>1</f>
        <v>1</v>
      </c>
      <c r="J3398" s="5" t="s">
        <v>499</v>
      </c>
      <c r="K3398" s="8">
        <f>1</f>
        <v>1</v>
      </c>
      <c r="L3398" s="6" t="s">
        <v>242</v>
      </c>
      <c r="M3398" s="5" t="s">
        <v>267</v>
      </c>
      <c r="N3398" s="5" t="s">
        <v>482</v>
      </c>
      <c r="O3398" s="5" t="s">
        <v>238</v>
      </c>
      <c r="P3398" s="5" t="s">
        <v>238</v>
      </c>
      <c r="Q3398" s="5" t="s">
        <v>239</v>
      </c>
      <c r="R3398" s="5" t="s">
        <v>270</v>
      </c>
      <c r="S3398" s="5" t="s">
        <v>238</v>
      </c>
      <c r="T3398" s="5" t="s">
        <v>238</v>
      </c>
      <c r="U3398" s="5" t="s">
        <v>238</v>
      </c>
      <c r="V3398" s="5" t="s">
        <v>238</v>
      </c>
      <c r="W3398" s="6" t="s">
        <v>238</v>
      </c>
      <c r="X3398" s="6" t="s">
        <v>238</v>
      </c>
      <c r="Y3398" s="5" t="s">
        <v>238</v>
      </c>
      <c r="Z3398" s="6" t="s">
        <v>238</v>
      </c>
      <c r="AA3398" s="6" t="s">
        <v>243</v>
      </c>
      <c r="AB3398" s="5" t="s">
        <v>486</v>
      </c>
      <c r="AC3398" s="5" t="s">
        <v>244</v>
      </c>
      <c r="AD3398" s="5" t="s">
        <v>245</v>
      </c>
      <c r="AE3398" s="5" t="s">
        <v>238</v>
      </c>
      <c r="AF3398" s="5" t="s">
        <v>238</v>
      </c>
      <c r="AG3398" s="5" t="s">
        <v>238</v>
      </c>
      <c r="AH3398" s="5" t="s">
        <v>238</v>
      </c>
      <c r="AI3398" s="5" t="s">
        <v>238</v>
      </c>
      <c r="AJ3398" s="5" t="s">
        <v>238</v>
      </c>
      <c r="AK3398" s="5" t="s">
        <v>238</v>
      </c>
      <c r="AL3398" s="5" t="s">
        <v>238</v>
      </c>
      <c r="AM3398" s="6" t="s">
        <v>238</v>
      </c>
      <c r="AN3398" s="6" t="s">
        <v>238</v>
      </c>
      <c r="AO3398" s="6" t="s">
        <v>238</v>
      </c>
      <c r="AP3398" s="6" t="s">
        <v>238</v>
      </c>
      <c r="AQ3398" s="5" t="s">
        <v>238</v>
      </c>
      <c r="AR3398" s="5" t="s">
        <v>488</v>
      </c>
      <c r="AS3398" s="5" t="s">
        <v>488</v>
      </c>
      <c r="AT3398" s="5" t="s">
        <v>246</v>
      </c>
      <c r="AU3398" s="5" t="s">
        <v>489</v>
      </c>
      <c r="AV3398" s="5" t="s">
        <v>247</v>
      </c>
      <c r="AW3398" s="5" t="s">
        <v>238</v>
      </c>
      <c r="AX3398" s="5" t="s">
        <v>249</v>
      </c>
      <c r="AY3398" s="5" t="s">
        <v>490</v>
      </c>
      <c r="BA3398" s="5" t="s">
        <v>238</v>
      </c>
      <c r="BC3398" s="5" t="s">
        <v>491</v>
      </c>
      <c r="BD3398" s="6" t="s">
        <v>492</v>
      </c>
      <c r="BE3398" s="5" t="s">
        <v>493</v>
      </c>
      <c r="BF3398" s="5" t="s">
        <v>493</v>
      </c>
      <c r="BG3398" s="5" t="s">
        <v>238</v>
      </c>
      <c r="BH3398" s="8">
        <f>1</f>
        <v>1</v>
      </c>
      <c r="BI3398" s="8">
        <f>1</f>
        <v>1</v>
      </c>
      <c r="BJ3398" s="5" t="s">
        <v>253</v>
      </c>
      <c r="BK3398" s="5" t="s">
        <v>254</v>
      </c>
      <c r="BL3398" s="5" t="s">
        <v>238</v>
      </c>
      <c r="BM3398" s="5" t="s">
        <v>238</v>
      </c>
      <c r="BN3398" s="5" t="s">
        <v>238</v>
      </c>
      <c r="BO3398" s="5" t="s">
        <v>238</v>
      </c>
      <c r="BP3398" s="5" t="s">
        <v>238</v>
      </c>
      <c r="BQ3398" s="5" t="s">
        <v>238</v>
      </c>
      <c r="BR3398" s="5" t="s">
        <v>238</v>
      </c>
      <c r="BS3398" s="5" t="s">
        <v>238</v>
      </c>
      <c r="BT3398" s="6" t="s">
        <v>238</v>
      </c>
      <c r="BU3398" s="5" t="s">
        <v>238</v>
      </c>
      <c r="BV3398" s="5" t="s">
        <v>238</v>
      </c>
      <c r="BW3398" s="5" t="s">
        <v>238</v>
      </c>
      <c r="BX3398" s="5" t="s">
        <v>254</v>
      </c>
      <c r="BY3398" s="5" t="s">
        <v>238</v>
      </c>
      <c r="BZ3398" s="5" t="s">
        <v>238</v>
      </c>
      <c r="CA3398" s="5" t="s">
        <v>238</v>
      </c>
      <c r="CB3398" s="5" t="s">
        <v>238</v>
      </c>
      <c r="CC3398" s="5" t="s">
        <v>238</v>
      </c>
      <c r="CD3398" s="5" t="s">
        <v>273</v>
      </c>
      <c r="CE3398" s="5" t="s">
        <v>256</v>
      </c>
      <c r="CF3398" s="5" t="s">
        <v>238</v>
      </c>
      <c r="CH3398" s="5" t="s">
        <v>494</v>
      </c>
      <c r="CI3398" s="6" t="s">
        <v>257</v>
      </c>
      <c r="CJ3398" s="5" t="s">
        <v>495</v>
      </c>
      <c r="CK3398" s="5" t="s">
        <v>258</v>
      </c>
      <c r="CL3398" s="5" t="s">
        <v>496</v>
      </c>
      <c r="CM3398" s="5" t="s">
        <v>238</v>
      </c>
      <c r="CN3398" s="5">
        <v>0</v>
      </c>
      <c r="CO3398" s="5" t="s">
        <v>497</v>
      </c>
      <c r="CP3398" s="5" t="s">
        <v>260</v>
      </c>
      <c r="CQ3398" s="5" t="s">
        <v>260</v>
      </c>
      <c r="CR3398" s="5" t="s">
        <v>261</v>
      </c>
      <c r="CS3398" s="5" t="s">
        <v>498</v>
      </c>
      <c r="CT3398" s="7">
        <f>1</f>
        <v>1</v>
      </c>
      <c r="CU3398" s="8">
        <f>1</f>
        <v>1</v>
      </c>
      <c r="CV3398" s="8">
        <f>0</f>
        <v>0</v>
      </c>
      <c r="CX3398" s="8">
        <f>1</f>
        <v>1</v>
      </c>
      <c r="CY3398" s="8">
        <f>1</f>
        <v>1</v>
      </c>
      <c r="CZ3398" s="8" t="s">
        <v>238</v>
      </c>
      <c r="DA3398" s="5" t="s">
        <v>238</v>
      </c>
      <c r="DB3398" s="5" t="s">
        <v>238</v>
      </c>
      <c r="DC3398" s="5" t="s">
        <v>238</v>
      </c>
      <c r="DD3398" s="5" t="s">
        <v>238</v>
      </c>
      <c r="DE3398" s="8">
        <f>0</f>
        <v>0</v>
      </c>
      <c r="DG3398" s="5" t="s">
        <v>238</v>
      </c>
      <c r="DH3398" s="5" t="s">
        <v>238</v>
      </c>
      <c r="DI3398" s="5" t="s">
        <v>238</v>
      </c>
      <c r="DJ3398" s="5" t="s">
        <v>238</v>
      </c>
      <c r="DK3398" s="5" t="s">
        <v>238</v>
      </c>
      <c r="DL3398" s="5" t="s">
        <v>238</v>
      </c>
      <c r="DM3398" s="8" t="s">
        <v>238</v>
      </c>
      <c r="DN3398" s="5" t="s">
        <v>238</v>
      </c>
      <c r="DO3398" s="5" t="s">
        <v>238</v>
      </c>
      <c r="DP3398" s="5" t="s">
        <v>490</v>
      </c>
      <c r="DQ3398" s="5" t="s">
        <v>490</v>
      </c>
      <c r="DR3398" s="5" t="s">
        <v>238</v>
      </c>
      <c r="DS3398" s="5" t="s">
        <v>238</v>
      </c>
      <c r="DT3398" s="5" t="s">
        <v>500</v>
      </c>
      <c r="DU3398" s="5" t="s">
        <v>3312</v>
      </c>
      <c r="DV3398" s="5" t="s">
        <v>238</v>
      </c>
      <c r="DW3398" s="5" t="s">
        <v>238</v>
      </c>
      <c r="DX3398" s="5" t="s">
        <v>238</v>
      </c>
      <c r="DY3398" s="5" t="s">
        <v>238</v>
      </c>
      <c r="DZ3398" s="5" t="s">
        <v>238</v>
      </c>
      <c r="EA3398" s="5" t="s">
        <v>238</v>
      </c>
      <c r="EB3398" s="5" t="s">
        <v>238</v>
      </c>
      <c r="EC3398" s="5" t="s">
        <v>238</v>
      </c>
      <c r="ED3398" s="5" t="s">
        <v>238</v>
      </c>
      <c r="EE3398" s="5" t="s">
        <v>238</v>
      </c>
      <c r="EF3398" s="5" t="s">
        <v>238</v>
      </c>
      <c r="EG3398" s="5" t="s">
        <v>238</v>
      </c>
      <c r="EH3398" s="5" t="s">
        <v>238</v>
      </c>
      <c r="EI3398" s="5" t="s">
        <v>238</v>
      </c>
      <c r="EJ3398" s="5" t="s">
        <v>238</v>
      </c>
      <c r="EK3398" s="5" t="s">
        <v>238</v>
      </c>
      <c r="EL3398" s="5" t="s">
        <v>238</v>
      </c>
      <c r="EM3398" s="5" t="s">
        <v>238</v>
      </c>
      <c r="EN3398" s="5" t="s">
        <v>238</v>
      </c>
      <c r="EO3398" s="5" t="s">
        <v>238</v>
      </c>
      <c r="EP3398" s="5" t="s">
        <v>238</v>
      </c>
      <c r="EQ3398" s="5" t="s">
        <v>238</v>
      </c>
      <c r="ER3398" s="5" t="s">
        <v>238</v>
      </c>
      <c r="ES3398" s="5" t="s">
        <v>238</v>
      </c>
      <c r="ET3398" s="5" t="s">
        <v>238</v>
      </c>
      <c r="EU3398" s="5" t="s">
        <v>238</v>
      </c>
      <c r="EV3398" s="5" t="s">
        <v>238</v>
      </c>
      <c r="EW3398" s="5" t="s">
        <v>238</v>
      </c>
      <c r="EX3398" s="5" t="s">
        <v>238</v>
      </c>
      <c r="EY3398" s="5" t="s">
        <v>238</v>
      </c>
      <c r="EZ3398" s="5" t="s">
        <v>238</v>
      </c>
      <c r="FA3398" s="5" t="s">
        <v>238</v>
      </c>
      <c r="FB3398" s="5" t="s">
        <v>238</v>
      </c>
      <c r="FC3398" s="5" t="s">
        <v>238</v>
      </c>
      <c r="FD3398" s="5" t="s">
        <v>238</v>
      </c>
      <c r="FE3398" s="5" t="s">
        <v>238</v>
      </c>
      <c r="FF3398" s="5" t="s">
        <v>238</v>
      </c>
      <c r="FG3398" s="5" t="s">
        <v>238</v>
      </c>
      <c r="FH3398" s="5" t="s">
        <v>238</v>
      </c>
      <c r="FI3398" s="5" t="s">
        <v>238</v>
      </c>
      <c r="FJ3398" s="5" t="s">
        <v>238</v>
      </c>
      <c r="FK3398" s="5" t="s">
        <v>238</v>
      </c>
      <c r="FL3398" s="5" t="s">
        <v>238</v>
      </c>
      <c r="FM3398" s="5" t="s">
        <v>238</v>
      </c>
      <c r="FN3398" s="5" t="s">
        <v>238</v>
      </c>
      <c r="FO3398" s="5" t="s">
        <v>238</v>
      </c>
      <c r="FP3398" s="5" t="s">
        <v>238</v>
      </c>
      <c r="FQ3398" s="5" t="s">
        <v>238</v>
      </c>
      <c r="FR3398" s="5" t="s">
        <v>238</v>
      </c>
      <c r="FS3398" s="5" t="s">
        <v>238</v>
      </c>
      <c r="FT3398" s="5" t="s">
        <v>238</v>
      </c>
      <c r="FU3398" s="5" t="s">
        <v>238</v>
      </c>
      <c r="FV3398" s="5" t="s">
        <v>238</v>
      </c>
      <c r="FW3398" s="5" t="s">
        <v>238</v>
      </c>
      <c r="FX3398" s="5" t="s">
        <v>238</v>
      </c>
      <c r="FY3398" s="5" t="s">
        <v>238</v>
      </c>
      <c r="FZ3398" s="5" t="s">
        <v>238</v>
      </c>
      <c r="GA3398" s="5" t="s">
        <v>238</v>
      </c>
      <c r="GB3398" s="5" t="s">
        <v>238</v>
      </c>
      <c r="GC3398" s="5" t="s">
        <v>238</v>
      </c>
      <c r="GD3398" s="5" t="s">
        <v>238</v>
      </c>
      <c r="GE3398" s="5" t="s">
        <v>238</v>
      </c>
      <c r="GF3398" s="5" t="s">
        <v>238</v>
      </c>
      <c r="GG3398" s="5" t="s">
        <v>238</v>
      </c>
      <c r="GH3398" s="5" t="s">
        <v>238</v>
      </c>
      <c r="GI3398" s="5" t="s">
        <v>238</v>
      </c>
      <c r="GJ3398" s="5" t="s">
        <v>238</v>
      </c>
      <c r="GK3398" s="5" t="s">
        <v>238</v>
      </c>
      <c r="GL3398" s="5" t="s">
        <v>238</v>
      </c>
      <c r="GM3398" s="5" t="s">
        <v>238</v>
      </c>
      <c r="GN3398" s="5" t="s">
        <v>238</v>
      </c>
      <c r="GO3398" s="5" t="s">
        <v>238</v>
      </c>
      <c r="GP3398" s="5" t="s">
        <v>238</v>
      </c>
      <c r="GQ3398" s="5" t="s">
        <v>238</v>
      </c>
      <c r="GR3398" s="5" t="s">
        <v>238</v>
      </c>
      <c r="GS3398" s="5" t="s">
        <v>238</v>
      </c>
      <c r="GT3398" s="5" t="s">
        <v>238</v>
      </c>
      <c r="GU3398" s="5" t="s">
        <v>238</v>
      </c>
      <c r="GV3398" s="5" t="s">
        <v>238</v>
      </c>
      <c r="GW3398" s="5" t="s">
        <v>238</v>
      </c>
      <c r="GX3398" s="5" t="s">
        <v>238</v>
      </c>
      <c r="GY3398" s="5" t="s">
        <v>238</v>
      </c>
      <c r="GZ3398" s="5" t="s">
        <v>238</v>
      </c>
      <c r="HA3398" s="5" t="s">
        <v>238</v>
      </c>
      <c r="HB3398" s="5" t="s">
        <v>238</v>
      </c>
      <c r="HC3398" s="5" t="s">
        <v>238</v>
      </c>
      <c r="HD3398" s="5" t="s">
        <v>238</v>
      </c>
      <c r="HE3398" s="5" t="s">
        <v>238</v>
      </c>
      <c r="HF3398" s="5" t="s">
        <v>238</v>
      </c>
      <c r="HG3398" s="5" t="s">
        <v>238</v>
      </c>
      <c r="HH3398" s="5" t="s">
        <v>238</v>
      </c>
      <c r="HI3398" s="5" t="s">
        <v>238</v>
      </c>
      <c r="HJ3398" s="5" t="s">
        <v>238</v>
      </c>
      <c r="HK3398" s="5" t="s">
        <v>238</v>
      </c>
      <c r="HL3398" s="5" t="s">
        <v>238</v>
      </c>
      <c r="HM3398" s="5" t="s">
        <v>264</v>
      </c>
      <c r="HN3398" s="5" t="s">
        <v>238</v>
      </c>
      <c r="HO3398" s="5" t="s">
        <v>238</v>
      </c>
      <c r="HP3398" s="5" t="s">
        <v>238</v>
      </c>
      <c r="HQ3398" s="5" t="s">
        <v>238</v>
      </c>
      <c r="HR3398" s="5" t="s">
        <v>238</v>
      </c>
      <c r="HS3398" s="5" t="s">
        <v>238</v>
      </c>
      <c r="HT3398" s="5" t="s">
        <v>238</v>
      </c>
      <c r="HU3398" s="5" t="s">
        <v>238</v>
      </c>
      <c r="HV3398" s="5" t="s">
        <v>238</v>
      </c>
      <c r="HW3398" s="5" t="s">
        <v>238</v>
      </c>
      <c r="HX3398" s="5" t="s">
        <v>238</v>
      </c>
      <c r="HY3398" s="5" t="s">
        <v>238</v>
      </c>
      <c r="HZ3398" s="5" t="s">
        <v>238</v>
      </c>
      <c r="IA3398" s="5" t="s">
        <v>238</v>
      </c>
      <c r="IB3398" s="5" t="s">
        <v>238</v>
      </c>
      <c r="IC3398" s="5" t="s">
        <v>238</v>
      </c>
      <c r="ID3398" s="5" t="s">
        <v>238</v>
      </c>
    </row>
    <row r="3399" spans="1:238" x14ac:dyDescent="0.4">
      <c r="A3399" s="5">
        <v>9117</v>
      </c>
      <c r="B3399" s="5">
        <v>1</v>
      </c>
      <c r="C3399" s="5">
        <v>1</v>
      </c>
      <c r="D3399" s="5" t="s">
        <v>484</v>
      </c>
      <c r="E3399" s="5" t="s">
        <v>485</v>
      </c>
      <c r="F3399" s="5" t="s">
        <v>248</v>
      </c>
      <c r="G3399" s="5" t="s">
        <v>4784</v>
      </c>
      <c r="H3399" s="6" t="s">
        <v>4785</v>
      </c>
      <c r="I3399" s="8">
        <f>1</f>
        <v>1</v>
      </c>
      <c r="J3399" s="5" t="s">
        <v>499</v>
      </c>
      <c r="K3399" s="8">
        <f>1</f>
        <v>1</v>
      </c>
      <c r="L3399" s="6" t="s">
        <v>242</v>
      </c>
      <c r="M3399" s="5" t="s">
        <v>267</v>
      </c>
      <c r="N3399" s="5" t="s">
        <v>482</v>
      </c>
      <c r="O3399" s="5" t="s">
        <v>238</v>
      </c>
      <c r="P3399" s="5" t="s">
        <v>238</v>
      </c>
      <c r="Q3399" s="5" t="s">
        <v>239</v>
      </c>
      <c r="R3399" s="5" t="s">
        <v>270</v>
      </c>
      <c r="S3399" s="5" t="s">
        <v>238</v>
      </c>
      <c r="T3399" s="5" t="s">
        <v>238</v>
      </c>
      <c r="U3399" s="5" t="s">
        <v>238</v>
      </c>
      <c r="V3399" s="5" t="s">
        <v>238</v>
      </c>
      <c r="W3399" s="6" t="s">
        <v>238</v>
      </c>
      <c r="X3399" s="6" t="s">
        <v>238</v>
      </c>
      <c r="Y3399" s="5" t="s">
        <v>238</v>
      </c>
      <c r="Z3399" s="6" t="s">
        <v>238</v>
      </c>
      <c r="AA3399" s="6" t="s">
        <v>243</v>
      </c>
      <c r="AB3399" s="5" t="s">
        <v>486</v>
      </c>
      <c r="AC3399" s="5" t="s">
        <v>244</v>
      </c>
      <c r="AD3399" s="5" t="s">
        <v>245</v>
      </c>
      <c r="AE3399" s="5" t="s">
        <v>238</v>
      </c>
      <c r="AF3399" s="5" t="s">
        <v>238</v>
      </c>
      <c r="AG3399" s="5" t="s">
        <v>238</v>
      </c>
      <c r="AH3399" s="5" t="s">
        <v>238</v>
      </c>
      <c r="AI3399" s="5" t="s">
        <v>238</v>
      </c>
      <c r="AJ3399" s="5" t="s">
        <v>238</v>
      </c>
      <c r="AK3399" s="5" t="s">
        <v>238</v>
      </c>
      <c r="AL3399" s="5" t="s">
        <v>238</v>
      </c>
      <c r="AM3399" s="6" t="s">
        <v>238</v>
      </c>
      <c r="AN3399" s="6" t="s">
        <v>238</v>
      </c>
      <c r="AO3399" s="6" t="s">
        <v>238</v>
      </c>
      <c r="AP3399" s="6" t="s">
        <v>238</v>
      </c>
      <c r="AQ3399" s="5" t="s">
        <v>238</v>
      </c>
      <c r="AR3399" s="5" t="s">
        <v>488</v>
      </c>
      <c r="AS3399" s="5" t="s">
        <v>488</v>
      </c>
      <c r="AT3399" s="5" t="s">
        <v>246</v>
      </c>
      <c r="AU3399" s="5" t="s">
        <v>489</v>
      </c>
      <c r="AV3399" s="5" t="s">
        <v>247</v>
      </c>
      <c r="AW3399" s="5" t="s">
        <v>238</v>
      </c>
      <c r="AX3399" s="5" t="s">
        <v>249</v>
      </c>
      <c r="AY3399" s="5" t="s">
        <v>490</v>
      </c>
      <c r="BA3399" s="5" t="s">
        <v>238</v>
      </c>
      <c r="BC3399" s="5" t="s">
        <v>491</v>
      </c>
      <c r="BD3399" s="6" t="s">
        <v>492</v>
      </c>
      <c r="BE3399" s="5" t="s">
        <v>493</v>
      </c>
      <c r="BF3399" s="5" t="s">
        <v>493</v>
      </c>
      <c r="BG3399" s="5" t="s">
        <v>238</v>
      </c>
      <c r="BH3399" s="8">
        <f>1</f>
        <v>1</v>
      </c>
      <c r="BI3399" s="8">
        <f>1</f>
        <v>1</v>
      </c>
      <c r="BJ3399" s="5" t="s">
        <v>253</v>
      </c>
      <c r="BK3399" s="5" t="s">
        <v>254</v>
      </c>
      <c r="BL3399" s="5" t="s">
        <v>238</v>
      </c>
      <c r="BM3399" s="5" t="s">
        <v>238</v>
      </c>
      <c r="BN3399" s="5" t="s">
        <v>238</v>
      </c>
      <c r="BO3399" s="5" t="s">
        <v>238</v>
      </c>
      <c r="BP3399" s="5" t="s">
        <v>238</v>
      </c>
      <c r="BQ3399" s="5" t="s">
        <v>238</v>
      </c>
      <c r="BR3399" s="5" t="s">
        <v>238</v>
      </c>
      <c r="BS3399" s="5" t="s">
        <v>238</v>
      </c>
      <c r="BT3399" s="6" t="s">
        <v>238</v>
      </c>
      <c r="BU3399" s="5" t="s">
        <v>238</v>
      </c>
      <c r="BV3399" s="5" t="s">
        <v>238</v>
      </c>
      <c r="BW3399" s="5" t="s">
        <v>238</v>
      </c>
      <c r="BX3399" s="5" t="s">
        <v>254</v>
      </c>
      <c r="BY3399" s="5" t="s">
        <v>238</v>
      </c>
      <c r="BZ3399" s="5" t="s">
        <v>238</v>
      </c>
      <c r="CA3399" s="5" t="s">
        <v>238</v>
      </c>
      <c r="CB3399" s="5" t="s">
        <v>238</v>
      </c>
      <c r="CC3399" s="5" t="s">
        <v>238</v>
      </c>
      <c r="CD3399" s="5" t="s">
        <v>273</v>
      </c>
      <c r="CE3399" s="5" t="s">
        <v>256</v>
      </c>
      <c r="CF3399" s="5" t="s">
        <v>238</v>
      </c>
      <c r="CH3399" s="5" t="s">
        <v>494</v>
      </c>
      <c r="CI3399" s="6" t="s">
        <v>257</v>
      </c>
      <c r="CJ3399" s="5" t="s">
        <v>495</v>
      </c>
      <c r="CK3399" s="5" t="s">
        <v>258</v>
      </c>
      <c r="CL3399" s="5" t="s">
        <v>496</v>
      </c>
      <c r="CM3399" s="5" t="s">
        <v>238</v>
      </c>
      <c r="CN3399" s="5">
        <v>0</v>
      </c>
      <c r="CO3399" s="5" t="s">
        <v>497</v>
      </c>
      <c r="CP3399" s="5" t="s">
        <v>260</v>
      </c>
      <c r="CQ3399" s="5" t="s">
        <v>260</v>
      </c>
      <c r="CR3399" s="5" t="s">
        <v>261</v>
      </c>
      <c r="CS3399" s="5" t="s">
        <v>498</v>
      </c>
      <c r="CT3399" s="7">
        <f>1</f>
        <v>1</v>
      </c>
      <c r="CU3399" s="8">
        <f>1</f>
        <v>1</v>
      </c>
      <c r="CV3399" s="8">
        <f>0</f>
        <v>0</v>
      </c>
      <c r="CX3399" s="8">
        <f>1</f>
        <v>1</v>
      </c>
      <c r="CY3399" s="8">
        <f>1</f>
        <v>1</v>
      </c>
      <c r="CZ3399" s="8" t="s">
        <v>238</v>
      </c>
      <c r="DA3399" s="5" t="s">
        <v>238</v>
      </c>
      <c r="DB3399" s="5" t="s">
        <v>238</v>
      </c>
      <c r="DC3399" s="5" t="s">
        <v>238</v>
      </c>
      <c r="DD3399" s="5" t="s">
        <v>238</v>
      </c>
      <c r="DE3399" s="8">
        <f>0</f>
        <v>0</v>
      </c>
      <c r="DG3399" s="5" t="s">
        <v>238</v>
      </c>
      <c r="DH3399" s="5" t="s">
        <v>238</v>
      </c>
      <c r="DI3399" s="5" t="s">
        <v>238</v>
      </c>
      <c r="DJ3399" s="5" t="s">
        <v>238</v>
      </c>
      <c r="DK3399" s="5" t="s">
        <v>238</v>
      </c>
      <c r="DL3399" s="5" t="s">
        <v>238</v>
      </c>
      <c r="DM3399" s="8" t="s">
        <v>238</v>
      </c>
      <c r="DN3399" s="5" t="s">
        <v>238</v>
      </c>
      <c r="DO3399" s="5" t="s">
        <v>238</v>
      </c>
      <c r="DP3399" s="5" t="s">
        <v>490</v>
      </c>
      <c r="DQ3399" s="5" t="s">
        <v>490</v>
      </c>
      <c r="DR3399" s="5" t="s">
        <v>238</v>
      </c>
      <c r="DS3399" s="5" t="s">
        <v>238</v>
      </c>
      <c r="DT3399" s="5" t="s">
        <v>500</v>
      </c>
      <c r="DU3399" s="5" t="s">
        <v>450</v>
      </c>
      <c r="DV3399" s="5" t="s">
        <v>238</v>
      </c>
      <c r="DW3399" s="5" t="s">
        <v>238</v>
      </c>
      <c r="DX3399" s="5" t="s">
        <v>238</v>
      </c>
      <c r="DY3399" s="5" t="s">
        <v>238</v>
      </c>
      <c r="DZ3399" s="5" t="s">
        <v>238</v>
      </c>
      <c r="EA3399" s="5" t="s">
        <v>238</v>
      </c>
      <c r="EB3399" s="5" t="s">
        <v>238</v>
      </c>
      <c r="EC3399" s="5" t="s">
        <v>238</v>
      </c>
      <c r="ED3399" s="5" t="s">
        <v>238</v>
      </c>
      <c r="EE3399" s="5" t="s">
        <v>238</v>
      </c>
      <c r="EF3399" s="5" t="s">
        <v>238</v>
      </c>
      <c r="EG3399" s="5" t="s">
        <v>238</v>
      </c>
      <c r="EH3399" s="5" t="s">
        <v>238</v>
      </c>
      <c r="EI3399" s="5" t="s">
        <v>238</v>
      </c>
      <c r="EJ3399" s="5" t="s">
        <v>238</v>
      </c>
      <c r="EK3399" s="5" t="s">
        <v>238</v>
      </c>
      <c r="EL3399" s="5" t="s">
        <v>238</v>
      </c>
      <c r="EM3399" s="5" t="s">
        <v>238</v>
      </c>
      <c r="EN3399" s="5" t="s">
        <v>238</v>
      </c>
      <c r="EO3399" s="5" t="s">
        <v>238</v>
      </c>
      <c r="EP3399" s="5" t="s">
        <v>238</v>
      </c>
      <c r="EQ3399" s="5" t="s">
        <v>238</v>
      </c>
      <c r="ER3399" s="5" t="s">
        <v>238</v>
      </c>
      <c r="ES3399" s="5" t="s">
        <v>238</v>
      </c>
      <c r="ET3399" s="5" t="s">
        <v>238</v>
      </c>
      <c r="EU3399" s="5" t="s">
        <v>238</v>
      </c>
      <c r="EV3399" s="5" t="s">
        <v>238</v>
      </c>
      <c r="EW3399" s="5" t="s">
        <v>238</v>
      </c>
      <c r="EX3399" s="5" t="s">
        <v>238</v>
      </c>
      <c r="EY3399" s="5" t="s">
        <v>238</v>
      </c>
      <c r="EZ3399" s="5" t="s">
        <v>238</v>
      </c>
      <c r="FA3399" s="5" t="s">
        <v>238</v>
      </c>
      <c r="FB3399" s="5" t="s">
        <v>238</v>
      </c>
      <c r="FC3399" s="5" t="s">
        <v>238</v>
      </c>
      <c r="FD3399" s="5" t="s">
        <v>238</v>
      </c>
      <c r="FE3399" s="5" t="s">
        <v>238</v>
      </c>
      <c r="FF3399" s="5" t="s">
        <v>238</v>
      </c>
      <c r="FG3399" s="5" t="s">
        <v>238</v>
      </c>
      <c r="FH3399" s="5" t="s">
        <v>238</v>
      </c>
      <c r="FI3399" s="5" t="s">
        <v>238</v>
      </c>
      <c r="FJ3399" s="5" t="s">
        <v>238</v>
      </c>
      <c r="FK3399" s="5" t="s">
        <v>238</v>
      </c>
      <c r="FL3399" s="5" t="s">
        <v>238</v>
      </c>
      <c r="FM3399" s="5" t="s">
        <v>238</v>
      </c>
      <c r="FN3399" s="5" t="s">
        <v>238</v>
      </c>
      <c r="FO3399" s="5" t="s">
        <v>238</v>
      </c>
      <c r="FP3399" s="5" t="s">
        <v>238</v>
      </c>
      <c r="FQ3399" s="5" t="s">
        <v>238</v>
      </c>
      <c r="FR3399" s="5" t="s">
        <v>238</v>
      </c>
      <c r="FS3399" s="5" t="s">
        <v>238</v>
      </c>
      <c r="FT3399" s="5" t="s">
        <v>238</v>
      </c>
      <c r="FU3399" s="5" t="s">
        <v>238</v>
      </c>
      <c r="FV3399" s="5" t="s">
        <v>238</v>
      </c>
      <c r="FW3399" s="5" t="s">
        <v>238</v>
      </c>
      <c r="FX3399" s="5" t="s">
        <v>238</v>
      </c>
      <c r="FY3399" s="5" t="s">
        <v>238</v>
      </c>
      <c r="FZ3399" s="5" t="s">
        <v>238</v>
      </c>
      <c r="GA3399" s="5" t="s">
        <v>238</v>
      </c>
      <c r="GB3399" s="5" t="s">
        <v>238</v>
      </c>
      <c r="GC3399" s="5" t="s">
        <v>238</v>
      </c>
      <c r="GD3399" s="5" t="s">
        <v>238</v>
      </c>
      <c r="GE3399" s="5" t="s">
        <v>238</v>
      </c>
      <c r="GF3399" s="5" t="s">
        <v>238</v>
      </c>
      <c r="GG3399" s="5" t="s">
        <v>238</v>
      </c>
      <c r="GH3399" s="5" t="s">
        <v>238</v>
      </c>
      <c r="GI3399" s="5" t="s">
        <v>238</v>
      </c>
      <c r="GJ3399" s="5" t="s">
        <v>238</v>
      </c>
      <c r="GK3399" s="5" t="s">
        <v>238</v>
      </c>
      <c r="GL3399" s="5" t="s">
        <v>238</v>
      </c>
      <c r="GM3399" s="5" t="s">
        <v>238</v>
      </c>
      <c r="GN3399" s="5" t="s">
        <v>238</v>
      </c>
      <c r="GO3399" s="5" t="s">
        <v>238</v>
      </c>
      <c r="GP3399" s="5" t="s">
        <v>238</v>
      </c>
      <c r="GQ3399" s="5" t="s">
        <v>238</v>
      </c>
      <c r="GR3399" s="5" t="s">
        <v>238</v>
      </c>
      <c r="GS3399" s="5" t="s">
        <v>238</v>
      </c>
      <c r="GT3399" s="5" t="s">
        <v>238</v>
      </c>
      <c r="GU3399" s="5" t="s">
        <v>238</v>
      </c>
      <c r="GV3399" s="5" t="s">
        <v>238</v>
      </c>
      <c r="GW3399" s="5" t="s">
        <v>238</v>
      </c>
      <c r="GX3399" s="5" t="s">
        <v>238</v>
      </c>
      <c r="GY3399" s="5" t="s">
        <v>238</v>
      </c>
      <c r="GZ3399" s="5" t="s">
        <v>238</v>
      </c>
      <c r="HA3399" s="5" t="s">
        <v>238</v>
      </c>
      <c r="HB3399" s="5" t="s">
        <v>238</v>
      </c>
      <c r="HC3399" s="5" t="s">
        <v>238</v>
      </c>
      <c r="HD3399" s="5" t="s">
        <v>238</v>
      </c>
      <c r="HE3399" s="5" t="s">
        <v>238</v>
      </c>
      <c r="HF3399" s="5" t="s">
        <v>238</v>
      </c>
      <c r="HG3399" s="5" t="s">
        <v>238</v>
      </c>
      <c r="HH3399" s="5" t="s">
        <v>238</v>
      </c>
      <c r="HI3399" s="5" t="s">
        <v>238</v>
      </c>
      <c r="HJ3399" s="5" t="s">
        <v>238</v>
      </c>
      <c r="HK3399" s="5" t="s">
        <v>238</v>
      </c>
      <c r="HL3399" s="5" t="s">
        <v>238</v>
      </c>
      <c r="HM3399" s="5" t="s">
        <v>264</v>
      </c>
      <c r="HN3399" s="5" t="s">
        <v>238</v>
      </c>
      <c r="HO3399" s="5" t="s">
        <v>238</v>
      </c>
      <c r="HP3399" s="5" t="s">
        <v>238</v>
      </c>
      <c r="HQ3399" s="5" t="s">
        <v>238</v>
      </c>
      <c r="HR3399" s="5" t="s">
        <v>238</v>
      </c>
      <c r="HS3399" s="5" t="s">
        <v>238</v>
      </c>
      <c r="HT3399" s="5" t="s">
        <v>238</v>
      </c>
      <c r="HU3399" s="5" t="s">
        <v>238</v>
      </c>
      <c r="HV3399" s="5" t="s">
        <v>238</v>
      </c>
      <c r="HW3399" s="5" t="s">
        <v>238</v>
      </c>
      <c r="HX3399" s="5" t="s">
        <v>238</v>
      </c>
      <c r="HY3399" s="5" t="s">
        <v>238</v>
      </c>
      <c r="HZ3399" s="5" t="s">
        <v>238</v>
      </c>
      <c r="IA3399" s="5" t="s">
        <v>238</v>
      </c>
      <c r="IB3399" s="5" t="s">
        <v>238</v>
      </c>
      <c r="IC3399" s="5" t="s">
        <v>238</v>
      </c>
      <c r="ID3399" s="5" t="s">
        <v>238</v>
      </c>
    </row>
    <row r="3400" spans="1:238" x14ac:dyDescent="0.4">
      <c r="A3400" s="5">
        <v>9118</v>
      </c>
      <c r="B3400" s="5">
        <v>1</v>
      </c>
      <c r="C3400" s="5">
        <v>1</v>
      </c>
      <c r="D3400" s="5" t="s">
        <v>484</v>
      </c>
      <c r="E3400" s="5" t="s">
        <v>485</v>
      </c>
      <c r="F3400" s="5" t="s">
        <v>248</v>
      </c>
      <c r="G3400" s="5" t="s">
        <v>5033</v>
      </c>
      <c r="H3400" s="6" t="s">
        <v>5033</v>
      </c>
      <c r="I3400" s="8">
        <f>1</f>
        <v>1</v>
      </c>
      <c r="J3400" s="5" t="s">
        <v>499</v>
      </c>
      <c r="K3400" s="8">
        <f>1</f>
        <v>1</v>
      </c>
      <c r="L3400" s="6" t="s">
        <v>242</v>
      </c>
      <c r="M3400" s="5" t="s">
        <v>267</v>
      </c>
      <c r="N3400" s="5" t="s">
        <v>482</v>
      </c>
      <c r="O3400" s="5" t="s">
        <v>238</v>
      </c>
      <c r="P3400" s="5" t="s">
        <v>238</v>
      </c>
      <c r="Q3400" s="5" t="s">
        <v>239</v>
      </c>
      <c r="R3400" s="5" t="s">
        <v>270</v>
      </c>
      <c r="S3400" s="5" t="s">
        <v>238</v>
      </c>
      <c r="T3400" s="5" t="s">
        <v>238</v>
      </c>
      <c r="U3400" s="5" t="s">
        <v>238</v>
      </c>
      <c r="V3400" s="5" t="s">
        <v>238</v>
      </c>
      <c r="W3400" s="6" t="s">
        <v>238</v>
      </c>
      <c r="X3400" s="6" t="s">
        <v>238</v>
      </c>
      <c r="Y3400" s="5" t="s">
        <v>238</v>
      </c>
      <c r="Z3400" s="6" t="s">
        <v>238</v>
      </c>
      <c r="AA3400" s="6" t="s">
        <v>243</v>
      </c>
      <c r="AB3400" s="5" t="s">
        <v>5034</v>
      </c>
      <c r="AC3400" s="5" t="s">
        <v>244</v>
      </c>
      <c r="AD3400" s="5" t="s">
        <v>245</v>
      </c>
      <c r="AE3400" s="5" t="s">
        <v>238</v>
      </c>
      <c r="AF3400" s="5" t="s">
        <v>238</v>
      </c>
      <c r="AG3400" s="5" t="s">
        <v>238</v>
      </c>
      <c r="AH3400" s="5" t="s">
        <v>238</v>
      </c>
      <c r="AI3400" s="5" t="s">
        <v>238</v>
      </c>
      <c r="AJ3400" s="5" t="s">
        <v>238</v>
      </c>
      <c r="AK3400" s="5" t="s">
        <v>238</v>
      </c>
      <c r="AL3400" s="5" t="s">
        <v>238</v>
      </c>
      <c r="AM3400" s="6" t="s">
        <v>238</v>
      </c>
      <c r="AN3400" s="6" t="s">
        <v>238</v>
      </c>
      <c r="AO3400" s="6" t="s">
        <v>238</v>
      </c>
      <c r="AP3400" s="6" t="s">
        <v>238</v>
      </c>
      <c r="AQ3400" s="5" t="s">
        <v>238</v>
      </c>
      <c r="AR3400" s="5" t="s">
        <v>488</v>
      </c>
      <c r="AS3400" s="5" t="s">
        <v>488</v>
      </c>
      <c r="AT3400" s="5" t="s">
        <v>246</v>
      </c>
      <c r="AU3400" s="5" t="s">
        <v>489</v>
      </c>
      <c r="AV3400" s="5" t="s">
        <v>247</v>
      </c>
      <c r="AW3400" s="5" t="s">
        <v>238</v>
      </c>
      <c r="AX3400" s="5" t="s">
        <v>249</v>
      </c>
      <c r="AY3400" s="5" t="s">
        <v>490</v>
      </c>
      <c r="BA3400" s="5" t="s">
        <v>238</v>
      </c>
      <c r="BC3400" s="5" t="s">
        <v>491</v>
      </c>
      <c r="BD3400" s="6" t="s">
        <v>492</v>
      </c>
      <c r="BE3400" s="5" t="s">
        <v>493</v>
      </c>
      <c r="BF3400" s="5" t="s">
        <v>493</v>
      </c>
      <c r="BG3400" s="5" t="s">
        <v>238</v>
      </c>
      <c r="BH3400" s="8">
        <f>1</f>
        <v>1</v>
      </c>
      <c r="BI3400" s="8">
        <f>1</f>
        <v>1</v>
      </c>
      <c r="BJ3400" s="5" t="s">
        <v>253</v>
      </c>
      <c r="BK3400" s="5" t="s">
        <v>254</v>
      </c>
      <c r="BL3400" s="5" t="s">
        <v>238</v>
      </c>
      <c r="BM3400" s="5" t="s">
        <v>238</v>
      </c>
      <c r="BN3400" s="5" t="s">
        <v>238</v>
      </c>
      <c r="BO3400" s="5" t="s">
        <v>238</v>
      </c>
      <c r="BP3400" s="5" t="s">
        <v>238</v>
      </c>
      <c r="BQ3400" s="5" t="s">
        <v>238</v>
      </c>
      <c r="BR3400" s="5" t="s">
        <v>238</v>
      </c>
      <c r="BS3400" s="5" t="s">
        <v>238</v>
      </c>
      <c r="BT3400" s="6" t="s">
        <v>238</v>
      </c>
      <c r="BU3400" s="5" t="s">
        <v>238</v>
      </c>
      <c r="BV3400" s="5" t="s">
        <v>238</v>
      </c>
      <c r="BW3400" s="5" t="s">
        <v>238</v>
      </c>
      <c r="BX3400" s="5" t="s">
        <v>254</v>
      </c>
      <c r="BY3400" s="5" t="s">
        <v>238</v>
      </c>
      <c r="BZ3400" s="5" t="s">
        <v>238</v>
      </c>
      <c r="CA3400" s="5" t="s">
        <v>238</v>
      </c>
      <c r="CB3400" s="5" t="s">
        <v>238</v>
      </c>
      <c r="CC3400" s="5" t="s">
        <v>238</v>
      </c>
      <c r="CD3400" s="5" t="s">
        <v>273</v>
      </c>
      <c r="CE3400" s="5" t="s">
        <v>256</v>
      </c>
      <c r="CF3400" s="5" t="s">
        <v>238</v>
      </c>
      <c r="CH3400" s="5" t="s">
        <v>494</v>
      </c>
      <c r="CI3400" s="6" t="s">
        <v>257</v>
      </c>
      <c r="CJ3400" s="5" t="s">
        <v>495</v>
      </c>
      <c r="CK3400" s="5" t="s">
        <v>258</v>
      </c>
      <c r="CL3400" s="5" t="s">
        <v>496</v>
      </c>
      <c r="CM3400" s="5" t="s">
        <v>238</v>
      </c>
      <c r="CN3400" s="5">
        <v>0</v>
      </c>
      <c r="CO3400" s="5" t="s">
        <v>497</v>
      </c>
      <c r="CP3400" s="5" t="s">
        <v>260</v>
      </c>
      <c r="CQ3400" s="5" t="s">
        <v>260</v>
      </c>
      <c r="CR3400" s="5" t="s">
        <v>261</v>
      </c>
      <c r="CS3400" s="5" t="s">
        <v>498</v>
      </c>
      <c r="CT3400" s="7">
        <f>1</f>
        <v>1</v>
      </c>
      <c r="CU3400" s="8">
        <f>1</f>
        <v>1</v>
      </c>
      <c r="CV3400" s="8">
        <f>0</f>
        <v>0</v>
      </c>
      <c r="CX3400" s="8">
        <f>1</f>
        <v>1</v>
      </c>
      <c r="CY3400" s="8">
        <f>1</f>
        <v>1</v>
      </c>
      <c r="CZ3400" s="8" t="s">
        <v>238</v>
      </c>
      <c r="DA3400" s="5" t="s">
        <v>238</v>
      </c>
      <c r="DB3400" s="5" t="s">
        <v>238</v>
      </c>
      <c r="DC3400" s="5" t="s">
        <v>238</v>
      </c>
      <c r="DD3400" s="5" t="s">
        <v>238</v>
      </c>
      <c r="DE3400" s="8">
        <f>0</f>
        <v>0</v>
      </c>
      <c r="DG3400" s="5" t="s">
        <v>238</v>
      </c>
      <c r="DH3400" s="5" t="s">
        <v>238</v>
      </c>
      <c r="DI3400" s="5" t="s">
        <v>238</v>
      </c>
      <c r="DJ3400" s="5" t="s">
        <v>238</v>
      </c>
      <c r="DK3400" s="5" t="s">
        <v>238</v>
      </c>
      <c r="DL3400" s="5" t="s">
        <v>238</v>
      </c>
      <c r="DM3400" s="8" t="s">
        <v>238</v>
      </c>
      <c r="DN3400" s="5" t="s">
        <v>238</v>
      </c>
      <c r="DO3400" s="5" t="s">
        <v>238</v>
      </c>
      <c r="DP3400" s="5" t="s">
        <v>490</v>
      </c>
      <c r="DQ3400" s="5" t="s">
        <v>490</v>
      </c>
      <c r="DR3400" s="5" t="s">
        <v>238</v>
      </c>
      <c r="DS3400" s="5" t="s">
        <v>238</v>
      </c>
      <c r="DT3400" s="5" t="s">
        <v>500</v>
      </c>
      <c r="DU3400" s="5" t="s">
        <v>938</v>
      </c>
      <c r="DV3400" s="5" t="s">
        <v>238</v>
      </c>
      <c r="DW3400" s="5" t="s">
        <v>238</v>
      </c>
      <c r="DX3400" s="5" t="s">
        <v>238</v>
      </c>
      <c r="DY3400" s="5" t="s">
        <v>238</v>
      </c>
      <c r="DZ3400" s="5" t="s">
        <v>238</v>
      </c>
      <c r="EA3400" s="5" t="s">
        <v>238</v>
      </c>
      <c r="EB3400" s="5" t="s">
        <v>238</v>
      </c>
      <c r="EC3400" s="5" t="s">
        <v>238</v>
      </c>
      <c r="ED3400" s="5" t="s">
        <v>238</v>
      </c>
      <c r="EE3400" s="5" t="s">
        <v>238</v>
      </c>
      <c r="EF3400" s="5" t="s">
        <v>238</v>
      </c>
      <c r="EG3400" s="5" t="s">
        <v>238</v>
      </c>
      <c r="EH3400" s="5" t="s">
        <v>238</v>
      </c>
      <c r="EI3400" s="5" t="s">
        <v>238</v>
      </c>
      <c r="EJ3400" s="5" t="s">
        <v>238</v>
      </c>
      <c r="EK3400" s="5" t="s">
        <v>238</v>
      </c>
      <c r="EL3400" s="5" t="s">
        <v>238</v>
      </c>
      <c r="EM3400" s="5" t="s">
        <v>238</v>
      </c>
      <c r="EN3400" s="5" t="s">
        <v>238</v>
      </c>
      <c r="EO3400" s="5" t="s">
        <v>238</v>
      </c>
      <c r="EP3400" s="5" t="s">
        <v>238</v>
      </c>
      <c r="EQ3400" s="5" t="s">
        <v>238</v>
      </c>
      <c r="ER3400" s="5" t="s">
        <v>238</v>
      </c>
      <c r="ES3400" s="5" t="s">
        <v>238</v>
      </c>
      <c r="ET3400" s="5" t="s">
        <v>238</v>
      </c>
      <c r="EU3400" s="5" t="s">
        <v>238</v>
      </c>
      <c r="EV3400" s="5" t="s">
        <v>238</v>
      </c>
      <c r="EW3400" s="5" t="s">
        <v>238</v>
      </c>
      <c r="EX3400" s="5" t="s">
        <v>238</v>
      </c>
      <c r="EY3400" s="5" t="s">
        <v>238</v>
      </c>
      <c r="EZ3400" s="5" t="s">
        <v>238</v>
      </c>
      <c r="FA3400" s="5" t="s">
        <v>238</v>
      </c>
      <c r="FB3400" s="5" t="s">
        <v>238</v>
      </c>
      <c r="FC3400" s="5" t="s">
        <v>238</v>
      </c>
      <c r="FD3400" s="5" t="s">
        <v>238</v>
      </c>
      <c r="FE3400" s="5" t="s">
        <v>238</v>
      </c>
      <c r="FF3400" s="5" t="s">
        <v>238</v>
      </c>
      <c r="FG3400" s="5" t="s">
        <v>238</v>
      </c>
      <c r="FH3400" s="5" t="s">
        <v>238</v>
      </c>
      <c r="FI3400" s="5" t="s">
        <v>238</v>
      </c>
      <c r="FJ3400" s="5" t="s">
        <v>238</v>
      </c>
      <c r="FK3400" s="5" t="s">
        <v>238</v>
      </c>
      <c r="FL3400" s="5" t="s">
        <v>238</v>
      </c>
      <c r="FM3400" s="5" t="s">
        <v>238</v>
      </c>
      <c r="FN3400" s="5" t="s">
        <v>238</v>
      </c>
      <c r="FO3400" s="5" t="s">
        <v>238</v>
      </c>
      <c r="FP3400" s="5" t="s">
        <v>238</v>
      </c>
      <c r="FQ3400" s="5" t="s">
        <v>238</v>
      </c>
      <c r="FR3400" s="5" t="s">
        <v>238</v>
      </c>
      <c r="FS3400" s="5" t="s">
        <v>238</v>
      </c>
      <c r="FT3400" s="5" t="s">
        <v>238</v>
      </c>
      <c r="FU3400" s="5" t="s">
        <v>238</v>
      </c>
      <c r="FV3400" s="5" t="s">
        <v>238</v>
      </c>
      <c r="FW3400" s="5" t="s">
        <v>238</v>
      </c>
      <c r="FX3400" s="5" t="s">
        <v>238</v>
      </c>
      <c r="FY3400" s="5" t="s">
        <v>238</v>
      </c>
      <c r="FZ3400" s="5" t="s">
        <v>238</v>
      </c>
      <c r="GA3400" s="5" t="s">
        <v>238</v>
      </c>
      <c r="GB3400" s="5" t="s">
        <v>238</v>
      </c>
      <c r="GC3400" s="5" t="s">
        <v>238</v>
      </c>
      <c r="GD3400" s="5" t="s">
        <v>238</v>
      </c>
      <c r="GE3400" s="5" t="s">
        <v>238</v>
      </c>
      <c r="GF3400" s="5" t="s">
        <v>238</v>
      </c>
      <c r="GG3400" s="5" t="s">
        <v>238</v>
      </c>
      <c r="GH3400" s="5" t="s">
        <v>238</v>
      </c>
      <c r="GI3400" s="5" t="s">
        <v>238</v>
      </c>
      <c r="GJ3400" s="5" t="s">
        <v>238</v>
      </c>
      <c r="GK3400" s="5" t="s">
        <v>238</v>
      </c>
      <c r="GL3400" s="5" t="s">
        <v>238</v>
      </c>
      <c r="GM3400" s="5" t="s">
        <v>238</v>
      </c>
      <c r="GN3400" s="5" t="s">
        <v>238</v>
      </c>
      <c r="GO3400" s="5" t="s">
        <v>238</v>
      </c>
      <c r="GP3400" s="5" t="s">
        <v>238</v>
      </c>
      <c r="GQ3400" s="5" t="s">
        <v>238</v>
      </c>
      <c r="GR3400" s="5" t="s">
        <v>238</v>
      </c>
      <c r="GS3400" s="5" t="s">
        <v>238</v>
      </c>
      <c r="GT3400" s="5" t="s">
        <v>238</v>
      </c>
      <c r="GU3400" s="5" t="s">
        <v>238</v>
      </c>
      <c r="GV3400" s="5" t="s">
        <v>238</v>
      </c>
      <c r="GW3400" s="5" t="s">
        <v>238</v>
      </c>
      <c r="GX3400" s="5" t="s">
        <v>238</v>
      </c>
      <c r="GY3400" s="5" t="s">
        <v>238</v>
      </c>
      <c r="GZ3400" s="5" t="s">
        <v>238</v>
      </c>
      <c r="HA3400" s="5" t="s">
        <v>238</v>
      </c>
      <c r="HB3400" s="5" t="s">
        <v>238</v>
      </c>
      <c r="HC3400" s="5" t="s">
        <v>238</v>
      </c>
      <c r="HD3400" s="5" t="s">
        <v>238</v>
      </c>
      <c r="HE3400" s="5" t="s">
        <v>238</v>
      </c>
      <c r="HF3400" s="5" t="s">
        <v>238</v>
      </c>
      <c r="HG3400" s="5" t="s">
        <v>238</v>
      </c>
      <c r="HH3400" s="5" t="s">
        <v>238</v>
      </c>
      <c r="HI3400" s="5" t="s">
        <v>238</v>
      </c>
      <c r="HJ3400" s="5" t="s">
        <v>238</v>
      </c>
      <c r="HK3400" s="5" t="s">
        <v>238</v>
      </c>
      <c r="HL3400" s="5" t="s">
        <v>238</v>
      </c>
      <c r="HM3400" s="5" t="s">
        <v>264</v>
      </c>
      <c r="HN3400" s="5" t="s">
        <v>238</v>
      </c>
      <c r="HO3400" s="5" t="s">
        <v>238</v>
      </c>
      <c r="HP3400" s="5" t="s">
        <v>238</v>
      </c>
      <c r="HQ3400" s="5" t="s">
        <v>238</v>
      </c>
      <c r="HR3400" s="5" t="s">
        <v>238</v>
      </c>
      <c r="HS3400" s="5" t="s">
        <v>238</v>
      </c>
      <c r="HT3400" s="5" t="s">
        <v>238</v>
      </c>
      <c r="HU3400" s="5" t="s">
        <v>238</v>
      </c>
      <c r="HV3400" s="5" t="s">
        <v>238</v>
      </c>
      <c r="HW3400" s="5" t="s">
        <v>238</v>
      </c>
      <c r="HX3400" s="5" t="s">
        <v>238</v>
      </c>
      <c r="HY3400" s="5" t="s">
        <v>238</v>
      </c>
      <c r="HZ3400" s="5" t="s">
        <v>238</v>
      </c>
      <c r="IA3400" s="5" t="s">
        <v>238</v>
      </c>
      <c r="IB3400" s="5" t="s">
        <v>238</v>
      </c>
      <c r="IC3400" s="5" t="s">
        <v>238</v>
      </c>
      <c r="ID3400" s="5" t="s">
        <v>238</v>
      </c>
    </row>
    <row r="3401" spans="1:238" x14ac:dyDescent="0.4">
      <c r="A3401" s="5">
        <v>9119</v>
      </c>
      <c r="B3401" s="5">
        <v>1</v>
      </c>
      <c r="C3401" s="5">
        <v>1</v>
      </c>
      <c r="D3401" s="5" t="s">
        <v>484</v>
      </c>
      <c r="E3401" s="5" t="s">
        <v>485</v>
      </c>
      <c r="F3401" s="5" t="s">
        <v>248</v>
      </c>
      <c r="G3401" s="5" t="s">
        <v>5473</v>
      </c>
      <c r="H3401" s="6" t="s">
        <v>5474</v>
      </c>
      <c r="I3401" s="8">
        <f>1</f>
        <v>1</v>
      </c>
      <c r="J3401" s="5" t="s">
        <v>499</v>
      </c>
      <c r="K3401" s="8">
        <f>1</f>
        <v>1</v>
      </c>
      <c r="L3401" s="6" t="s">
        <v>242</v>
      </c>
      <c r="M3401" s="5" t="s">
        <v>267</v>
      </c>
      <c r="N3401" s="5" t="s">
        <v>482</v>
      </c>
      <c r="O3401" s="5" t="s">
        <v>238</v>
      </c>
      <c r="P3401" s="5" t="s">
        <v>238</v>
      </c>
      <c r="Q3401" s="5" t="s">
        <v>239</v>
      </c>
      <c r="R3401" s="5" t="s">
        <v>270</v>
      </c>
      <c r="S3401" s="5" t="s">
        <v>238</v>
      </c>
      <c r="T3401" s="5" t="s">
        <v>238</v>
      </c>
      <c r="U3401" s="5" t="s">
        <v>238</v>
      </c>
      <c r="V3401" s="5" t="s">
        <v>238</v>
      </c>
      <c r="W3401" s="6" t="s">
        <v>238</v>
      </c>
      <c r="X3401" s="6" t="s">
        <v>238</v>
      </c>
      <c r="Y3401" s="5" t="s">
        <v>238</v>
      </c>
      <c r="Z3401" s="6" t="s">
        <v>238</v>
      </c>
      <c r="AA3401" s="6" t="s">
        <v>243</v>
      </c>
      <c r="AB3401" s="5" t="s">
        <v>486</v>
      </c>
      <c r="AC3401" s="5" t="s">
        <v>244</v>
      </c>
      <c r="AD3401" s="5" t="s">
        <v>245</v>
      </c>
      <c r="AE3401" s="5" t="s">
        <v>238</v>
      </c>
      <c r="AF3401" s="5" t="s">
        <v>238</v>
      </c>
      <c r="AG3401" s="5" t="s">
        <v>238</v>
      </c>
      <c r="AH3401" s="5" t="s">
        <v>238</v>
      </c>
      <c r="AI3401" s="5" t="s">
        <v>238</v>
      </c>
      <c r="AJ3401" s="5" t="s">
        <v>238</v>
      </c>
      <c r="AK3401" s="5" t="s">
        <v>238</v>
      </c>
      <c r="AL3401" s="5" t="s">
        <v>238</v>
      </c>
      <c r="AM3401" s="6" t="s">
        <v>238</v>
      </c>
      <c r="AN3401" s="6" t="s">
        <v>238</v>
      </c>
      <c r="AO3401" s="6" t="s">
        <v>238</v>
      </c>
      <c r="AP3401" s="6" t="s">
        <v>238</v>
      </c>
      <c r="AQ3401" s="5" t="s">
        <v>238</v>
      </c>
      <c r="AR3401" s="5" t="s">
        <v>488</v>
      </c>
      <c r="AS3401" s="5" t="s">
        <v>488</v>
      </c>
      <c r="AT3401" s="5" t="s">
        <v>246</v>
      </c>
      <c r="AU3401" s="5" t="s">
        <v>489</v>
      </c>
      <c r="AV3401" s="5" t="s">
        <v>247</v>
      </c>
      <c r="AW3401" s="5" t="s">
        <v>238</v>
      </c>
      <c r="AX3401" s="5" t="s">
        <v>249</v>
      </c>
      <c r="AY3401" s="5" t="s">
        <v>490</v>
      </c>
      <c r="BA3401" s="5" t="s">
        <v>238</v>
      </c>
      <c r="BC3401" s="5" t="s">
        <v>491</v>
      </c>
      <c r="BD3401" s="6" t="s">
        <v>492</v>
      </c>
      <c r="BE3401" s="5" t="s">
        <v>493</v>
      </c>
      <c r="BF3401" s="5" t="s">
        <v>493</v>
      </c>
      <c r="BG3401" s="5" t="s">
        <v>238</v>
      </c>
      <c r="BH3401" s="8">
        <f>1</f>
        <v>1</v>
      </c>
      <c r="BI3401" s="8">
        <f>1</f>
        <v>1</v>
      </c>
      <c r="BJ3401" s="5" t="s">
        <v>253</v>
      </c>
      <c r="BK3401" s="5" t="s">
        <v>254</v>
      </c>
      <c r="BL3401" s="5" t="s">
        <v>238</v>
      </c>
      <c r="BM3401" s="5" t="s">
        <v>238</v>
      </c>
      <c r="BN3401" s="5" t="s">
        <v>238</v>
      </c>
      <c r="BO3401" s="5" t="s">
        <v>238</v>
      </c>
      <c r="BP3401" s="5" t="s">
        <v>238</v>
      </c>
      <c r="BQ3401" s="5" t="s">
        <v>238</v>
      </c>
      <c r="BR3401" s="5" t="s">
        <v>238</v>
      </c>
      <c r="BS3401" s="5" t="s">
        <v>238</v>
      </c>
      <c r="BT3401" s="6" t="s">
        <v>238</v>
      </c>
      <c r="BU3401" s="5" t="s">
        <v>238</v>
      </c>
      <c r="BV3401" s="5" t="s">
        <v>238</v>
      </c>
      <c r="BW3401" s="5" t="s">
        <v>238</v>
      </c>
      <c r="BX3401" s="5" t="s">
        <v>254</v>
      </c>
      <c r="BY3401" s="5" t="s">
        <v>238</v>
      </c>
      <c r="BZ3401" s="5" t="s">
        <v>238</v>
      </c>
      <c r="CA3401" s="5" t="s">
        <v>238</v>
      </c>
      <c r="CB3401" s="5" t="s">
        <v>238</v>
      </c>
      <c r="CC3401" s="5" t="s">
        <v>238</v>
      </c>
      <c r="CD3401" s="5" t="s">
        <v>273</v>
      </c>
      <c r="CE3401" s="5" t="s">
        <v>256</v>
      </c>
      <c r="CF3401" s="5" t="s">
        <v>238</v>
      </c>
      <c r="CH3401" s="5" t="s">
        <v>494</v>
      </c>
      <c r="CI3401" s="6" t="s">
        <v>257</v>
      </c>
      <c r="CJ3401" s="5" t="s">
        <v>495</v>
      </c>
      <c r="CK3401" s="5" t="s">
        <v>258</v>
      </c>
      <c r="CL3401" s="5" t="s">
        <v>496</v>
      </c>
      <c r="CM3401" s="5" t="s">
        <v>238</v>
      </c>
      <c r="CN3401" s="5">
        <v>0</v>
      </c>
      <c r="CO3401" s="5" t="s">
        <v>497</v>
      </c>
      <c r="CP3401" s="5" t="s">
        <v>260</v>
      </c>
      <c r="CQ3401" s="5" t="s">
        <v>260</v>
      </c>
      <c r="CR3401" s="5" t="s">
        <v>261</v>
      </c>
      <c r="CS3401" s="5" t="s">
        <v>498</v>
      </c>
      <c r="CT3401" s="7">
        <f>1</f>
        <v>1</v>
      </c>
      <c r="CU3401" s="8">
        <f>1</f>
        <v>1</v>
      </c>
      <c r="CV3401" s="8">
        <f>0</f>
        <v>0</v>
      </c>
      <c r="CX3401" s="8">
        <f>1</f>
        <v>1</v>
      </c>
      <c r="CY3401" s="8">
        <f>1</f>
        <v>1</v>
      </c>
      <c r="CZ3401" s="8" t="s">
        <v>238</v>
      </c>
      <c r="DA3401" s="5" t="s">
        <v>238</v>
      </c>
      <c r="DB3401" s="5" t="s">
        <v>238</v>
      </c>
      <c r="DC3401" s="5" t="s">
        <v>238</v>
      </c>
      <c r="DD3401" s="5" t="s">
        <v>238</v>
      </c>
      <c r="DE3401" s="8">
        <f>0</f>
        <v>0</v>
      </c>
      <c r="DG3401" s="5" t="s">
        <v>238</v>
      </c>
      <c r="DH3401" s="5" t="s">
        <v>238</v>
      </c>
      <c r="DI3401" s="5" t="s">
        <v>238</v>
      </c>
      <c r="DJ3401" s="5" t="s">
        <v>238</v>
      </c>
      <c r="DK3401" s="5" t="s">
        <v>238</v>
      </c>
      <c r="DL3401" s="5" t="s">
        <v>238</v>
      </c>
      <c r="DM3401" s="8" t="s">
        <v>238</v>
      </c>
      <c r="DN3401" s="5" t="s">
        <v>238</v>
      </c>
      <c r="DO3401" s="5" t="s">
        <v>238</v>
      </c>
      <c r="DP3401" s="5" t="s">
        <v>490</v>
      </c>
      <c r="DQ3401" s="5" t="s">
        <v>490</v>
      </c>
      <c r="DR3401" s="5" t="s">
        <v>238</v>
      </c>
      <c r="DS3401" s="5" t="s">
        <v>238</v>
      </c>
      <c r="DT3401" s="5" t="s">
        <v>500</v>
      </c>
      <c r="DU3401" s="5" t="s">
        <v>460</v>
      </c>
      <c r="DV3401" s="5" t="s">
        <v>238</v>
      </c>
      <c r="DW3401" s="5" t="s">
        <v>238</v>
      </c>
      <c r="DX3401" s="5" t="s">
        <v>238</v>
      </c>
      <c r="DY3401" s="5" t="s">
        <v>238</v>
      </c>
      <c r="DZ3401" s="5" t="s">
        <v>238</v>
      </c>
      <c r="EA3401" s="5" t="s">
        <v>238</v>
      </c>
      <c r="EB3401" s="5" t="s">
        <v>238</v>
      </c>
      <c r="EC3401" s="5" t="s">
        <v>238</v>
      </c>
      <c r="ED3401" s="5" t="s">
        <v>238</v>
      </c>
      <c r="EE3401" s="5" t="s">
        <v>238</v>
      </c>
      <c r="EF3401" s="5" t="s">
        <v>238</v>
      </c>
      <c r="EG3401" s="5" t="s">
        <v>238</v>
      </c>
      <c r="EH3401" s="5" t="s">
        <v>238</v>
      </c>
      <c r="EI3401" s="5" t="s">
        <v>238</v>
      </c>
      <c r="EJ3401" s="5" t="s">
        <v>238</v>
      </c>
      <c r="EK3401" s="5" t="s">
        <v>238</v>
      </c>
      <c r="EL3401" s="5" t="s">
        <v>238</v>
      </c>
      <c r="EM3401" s="5" t="s">
        <v>238</v>
      </c>
      <c r="EN3401" s="5" t="s">
        <v>238</v>
      </c>
      <c r="EO3401" s="5" t="s">
        <v>238</v>
      </c>
      <c r="EP3401" s="5" t="s">
        <v>238</v>
      </c>
      <c r="EQ3401" s="5" t="s">
        <v>238</v>
      </c>
      <c r="ER3401" s="5" t="s">
        <v>238</v>
      </c>
      <c r="ES3401" s="5" t="s">
        <v>238</v>
      </c>
      <c r="ET3401" s="5" t="s">
        <v>238</v>
      </c>
      <c r="EU3401" s="5" t="s">
        <v>238</v>
      </c>
      <c r="EV3401" s="5" t="s">
        <v>238</v>
      </c>
      <c r="EW3401" s="5" t="s">
        <v>238</v>
      </c>
      <c r="EX3401" s="5" t="s">
        <v>238</v>
      </c>
      <c r="EY3401" s="5" t="s">
        <v>238</v>
      </c>
      <c r="EZ3401" s="5" t="s">
        <v>238</v>
      </c>
      <c r="FA3401" s="5" t="s">
        <v>238</v>
      </c>
      <c r="FB3401" s="5" t="s">
        <v>238</v>
      </c>
      <c r="FC3401" s="5" t="s">
        <v>238</v>
      </c>
      <c r="FD3401" s="5" t="s">
        <v>238</v>
      </c>
      <c r="FE3401" s="5" t="s">
        <v>238</v>
      </c>
      <c r="FF3401" s="5" t="s">
        <v>238</v>
      </c>
      <c r="FG3401" s="5" t="s">
        <v>238</v>
      </c>
      <c r="FH3401" s="5" t="s">
        <v>238</v>
      </c>
      <c r="FI3401" s="5" t="s">
        <v>238</v>
      </c>
      <c r="FJ3401" s="5" t="s">
        <v>238</v>
      </c>
      <c r="FK3401" s="5" t="s">
        <v>238</v>
      </c>
      <c r="FL3401" s="5" t="s">
        <v>238</v>
      </c>
      <c r="FM3401" s="5" t="s">
        <v>238</v>
      </c>
      <c r="FN3401" s="5" t="s">
        <v>238</v>
      </c>
      <c r="FO3401" s="5" t="s">
        <v>238</v>
      </c>
      <c r="FP3401" s="5" t="s">
        <v>238</v>
      </c>
      <c r="FQ3401" s="5" t="s">
        <v>238</v>
      </c>
      <c r="FR3401" s="5" t="s">
        <v>238</v>
      </c>
      <c r="FS3401" s="5" t="s">
        <v>238</v>
      </c>
      <c r="FT3401" s="5" t="s">
        <v>238</v>
      </c>
      <c r="FU3401" s="5" t="s">
        <v>238</v>
      </c>
      <c r="FV3401" s="5" t="s">
        <v>238</v>
      </c>
      <c r="FW3401" s="5" t="s">
        <v>238</v>
      </c>
      <c r="FX3401" s="5" t="s">
        <v>238</v>
      </c>
      <c r="FY3401" s="5" t="s">
        <v>238</v>
      </c>
      <c r="FZ3401" s="5" t="s">
        <v>238</v>
      </c>
      <c r="GA3401" s="5" t="s">
        <v>238</v>
      </c>
      <c r="GB3401" s="5" t="s">
        <v>238</v>
      </c>
      <c r="GC3401" s="5" t="s">
        <v>238</v>
      </c>
      <c r="GD3401" s="5" t="s">
        <v>238</v>
      </c>
      <c r="GE3401" s="5" t="s">
        <v>238</v>
      </c>
      <c r="GF3401" s="5" t="s">
        <v>238</v>
      </c>
      <c r="GG3401" s="5" t="s">
        <v>238</v>
      </c>
      <c r="GH3401" s="5" t="s">
        <v>238</v>
      </c>
      <c r="GI3401" s="5" t="s">
        <v>238</v>
      </c>
      <c r="GJ3401" s="5" t="s">
        <v>238</v>
      </c>
      <c r="GK3401" s="5" t="s">
        <v>238</v>
      </c>
      <c r="GL3401" s="5" t="s">
        <v>238</v>
      </c>
      <c r="GM3401" s="5" t="s">
        <v>238</v>
      </c>
      <c r="GN3401" s="5" t="s">
        <v>238</v>
      </c>
      <c r="GO3401" s="5" t="s">
        <v>238</v>
      </c>
      <c r="GP3401" s="5" t="s">
        <v>238</v>
      </c>
      <c r="GQ3401" s="5" t="s">
        <v>238</v>
      </c>
      <c r="GR3401" s="5" t="s">
        <v>238</v>
      </c>
      <c r="GS3401" s="5" t="s">
        <v>238</v>
      </c>
      <c r="GT3401" s="5" t="s">
        <v>238</v>
      </c>
      <c r="GU3401" s="5" t="s">
        <v>238</v>
      </c>
      <c r="GV3401" s="5" t="s">
        <v>238</v>
      </c>
      <c r="GW3401" s="5" t="s">
        <v>238</v>
      </c>
      <c r="GX3401" s="5" t="s">
        <v>238</v>
      </c>
      <c r="GY3401" s="5" t="s">
        <v>238</v>
      </c>
      <c r="GZ3401" s="5" t="s">
        <v>238</v>
      </c>
      <c r="HA3401" s="5" t="s">
        <v>238</v>
      </c>
      <c r="HB3401" s="5" t="s">
        <v>238</v>
      </c>
      <c r="HC3401" s="5" t="s">
        <v>238</v>
      </c>
      <c r="HD3401" s="5" t="s">
        <v>238</v>
      </c>
      <c r="HE3401" s="5" t="s">
        <v>238</v>
      </c>
      <c r="HF3401" s="5" t="s">
        <v>238</v>
      </c>
      <c r="HG3401" s="5" t="s">
        <v>238</v>
      </c>
      <c r="HH3401" s="5" t="s">
        <v>238</v>
      </c>
      <c r="HI3401" s="5" t="s">
        <v>238</v>
      </c>
      <c r="HJ3401" s="5" t="s">
        <v>238</v>
      </c>
      <c r="HK3401" s="5" t="s">
        <v>238</v>
      </c>
      <c r="HL3401" s="5" t="s">
        <v>238</v>
      </c>
      <c r="HM3401" s="5" t="s">
        <v>264</v>
      </c>
      <c r="HN3401" s="5" t="s">
        <v>238</v>
      </c>
      <c r="HO3401" s="5" t="s">
        <v>238</v>
      </c>
      <c r="HP3401" s="5" t="s">
        <v>238</v>
      </c>
      <c r="HQ3401" s="5" t="s">
        <v>238</v>
      </c>
      <c r="HR3401" s="5" t="s">
        <v>238</v>
      </c>
      <c r="HS3401" s="5" t="s">
        <v>238</v>
      </c>
      <c r="HT3401" s="5" t="s">
        <v>238</v>
      </c>
      <c r="HU3401" s="5" t="s">
        <v>238</v>
      </c>
      <c r="HV3401" s="5" t="s">
        <v>238</v>
      </c>
      <c r="HW3401" s="5" t="s">
        <v>238</v>
      </c>
      <c r="HX3401" s="5" t="s">
        <v>238</v>
      </c>
      <c r="HY3401" s="5" t="s">
        <v>238</v>
      </c>
      <c r="HZ3401" s="5" t="s">
        <v>238</v>
      </c>
      <c r="IA3401" s="5" t="s">
        <v>238</v>
      </c>
      <c r="IB3401" s="5" t="s">
        <v>238</v>
      </c>
      <c r="IC3401" s="5" t="s">
        <v>238</v>
      </c>
      <c r="ID3401" s="5" t="s">
        <v>238</v>
      </c>
    </row>
    <row r="3402" spans="1:238" x14ac:dyDescent="0.4">
      <c r="A3402" s="5">
        <v>9120</v>
      </c>
      <c r="B3402" s="5">
        <v>1</v>
      </c>
      <c r="C3402" s="5">
        <v>1</v>
      </c>
      <c r="D3402" s="5" t="s">
        <v>484</v>
      </c>
      <c r="E3402" s="5" t="s">
        <v>485</v>
      </c>
      <c r="F3402" s="5" t="s">
        <v>248</v>
      </c>
      <c r="G3402" s="5" t="s">
        <v>4917</v>
      </c>
      <c r="H3402" s="6" t="s">
        <v>4917</v>
      </c>
      <c r="I3402" s="8">
        <f>1</f>
        <v>1</v>
      </c>
      <c r="J3402" s="5" t="s">
        <v>499</v>
      </c>
      <c r="K3402" s="8">
        <f>1</f>
        <v>1</v>
      </c>
      <c r="L3402" s="6" t="s">
        <v>242</v>
      </c>
      <c r="M3402" s="5" t="s">
        <v>267</v>
      </c>
      <c r="N3402" s="5" t="s">
        <v>482</v>
      </c>
      <c r="O3402" s="5" t="s">
        <v>238</v>
      </c>
      <c r="P3402" s="5" t="s">
        <v>238</v>
      </c>
      <c r="Q3402" s="5" t="s">
        <v>239</v>
      </c>
      <c r="R3402" s="5" t="s">
        <v>270</v>
      </c>
      <c r="S3402" s="5" t="s">
        <v>238</v>
      </c>
      <c r="T3402" s="5" t="s">
        <v>238</v>
      </c>
      <c r="U3402" s="5" t="s">
        <v>238</v>
      </c>
      <c r="V3402" s="5" t="s">
        <v>238</v>
      </c>
      <c r="W3402" s="6" t="s">
        <v>238</v>
      </c>
      <c r="X3402" s="6" t="s">
        <v>238</v>
      </c>
      <c r="Y3402" s="5" t="s">
        <v>238</v>
      </c>
      <c r="Z3402" s="6" t="s">
        <v>238</v>
      </c>
      <c r="AA3402" s="6" t="s">
        <v>243</v>
      </c>
      <c r="AB3402" s="5" t="s">
        <v>4918</v>
      </c>
      <c r="AC3402" s="5" t="s">
        <v>244</v>
      </c>
      <c r="AD3402" s="5" t="s">
        <v>245</v>
      </c>
      <c r="AE3402" s="5" t="s">
        <v>238</v>
      </c>
      <c r="AF3402" s="5" t="s">
        <v>238</v>
      </c>
      <c r="AG3402" s="5" t="s">
        <v>238</v>
      </c>
      <c r="AH3402" s="5" t="s">
        <v>238</v>
      </c>
      <c r="AI3402" s="5" t="s">
        <v>238</v>
      </c>
      <c r="AJ3402" s="5" t="s">
        <v>238</v>
      </c>
      <c r="AK3402" s="5" t="s">
        <v>238</v>
      </c>
      <c r="AL3402" s="5" t="s">
        <v>238</v>
      </c>
      <c r="AM3402" s="6" t="s">
        <v>238</v>
      </c>
      <c r="AN3402" s="6" t="s">
        <v>238</v>
      </c>
      <c r="AO3402" s="6" t="s">
        <v>238</v>
      </c>
      <c r="AP3402" s="6" t="s">
        <v>238</v>
      </c>
      <c r="AQ3402" s="5" t="s">
        <v>238</v>
      </c>
      <c r="AR3402" s="5" t="s">
        <v>488</v>
      </c>
      <c r="AS3402" s="5" t="s">
        <v>488</v>
      </c>
      <c r="AT3402" s="5" t="s">
        <v>246</v>
      </c>
      <c r="AU3402" s="5" t="s">
        <v>489</v>
      </c>
      <c r="AV3402" s="5" t="s">
        <v>247</v>
      </c>
      <c r="AW3402" s="5" t="s">
        <v>238</v>
      </c>
      <c r="AX3402" s="5" t="s">
        <v>249</v>
      </c>
      <c r="AY3402" s="5" t="s">
        <v>490</v>
      </c>
      <c r="BA3402" s="5" t="s">
        <v>238</v>
      </c>
      <c r="BC3402" s="5" t="s">
        <v>491</v>
      </c>
      <c r="BD3402" s="6" t="s">
        <v>492</v>
      </c>
      <c r="BE3402" s="5" t="s">
        <v>493</v>
      </c>
      <c r="BF3402" s="5" t="s">
        <v>493</v>
      </c>
      <c r="BG3402" s="5" t="s">
        <v>238</v>
      </c>
      <c r="BH3402" s="8">
        <f>1</f>
        <v>1</v>
      </c>
      <c r="BI3402" s="8">
        <f>1</f>
        <v>1</v>
      </c>
      <c r="BJ3402" s="5" t="s">
        <v>253</v>
      </c>
      <c r="BK3402" s="5" t="s">
        <v>254</v>
      </c>
      <c r="BL3402" s="5" t="s">
        <v>238</v>
      </c>
      <c r="BM3402" s="5" t="s">
        <v>238</v>
      </c>
      <c r="BN3402" s="5" t="s">
        <v>238</v>
      </c>
      <c r="BO3402" s="5" t="s">
        <v>238</v>
      </c>
      <c r="BP3402" s="5" t="s">
        <v>238</v>
      </c>
      <c r="BQ3402" s="5" t="s">
        <v>238</v>
      </c>
      <c r="BR3402" s="5" t="s">
        <v>238</v>
      </c>
      <c r="BS3402" s="5" t="s">
        <v>238</v>
      </c>
      <c r="BT3402" s="6" t="s">
        <v>238</v>
      </c>
      <c r="BU3402" s="5" t="s">
        <v>238</v>
      </c>
      <c r="BV3402" s="5" t="s">
        <v>238</v>
      </c>
      <c r="BW3402" s="5" t="s">
        <v>238</v>
      </c>
      <c r="BX3402" s="5" t="s">
        <v>254</v>
      </c>
      <c r="BY3402" s="5" t="s">
        <v>238</v>
      </c>
      <c r="BZ3402" s="5" t="s">
        <v>238</v>
      </c>
      <c r="CA3402" s="5" t="s">
        <v>238</v>
      </c>
      <c r="CB3402" s="5" t="s">
        <v>238</v>
      </c>
      <c r="CC3402" s="5" t="s">
        <v>238</v>
      </c>
      <c r="CD3402" s="5" t="s">
        <v>273</v>
      </c>
      <c r="CE3402" s="5" t="s">
        <v>256</v>
      </c>
      <c r="CF3402" s="5" t="s">
        <v>238</v>
      </c>
      <c r="CH3402" s="5" t="s">
        <v>494</v>
      </c>
      <c r="CI3402" s="6" t="s">
        <v>257</v>
      </c>
      <c r="CJ3402" s="5" t="s">
        <v>495</v>
      </c>
      <c r="CK3402" s="5" t="s">
        <v>258</v>
      </c>
      <c r="CL3402" s="5" t="s">
        <v>496</v>
      </c>
      <c r="CM3402" s="5" t="s">
        <v>238</v>
      </c>
      <c r="CN3402" s="5">
        <v>0</v>
      </c>
      <c r="CO3402" s="5" t="s">
        <v>497</v>
      </c>
      <c r="CP3402" s="5" t="s">
        <v>260</v>
      </c>
      <c r="CQ3402" s="5" t="s">
        <v>260</v>
      </c>
      <c r="CR3402" s="5" t="s">
        <v>261</v>
      </c>
      <c r="CS3402" s="5" t="s">
        <v>498</v>
      </c>
      <c r="CT3402" s="7">
        <f>1</f>
        <v>1</v>
      </c>
      <c r="CU3402" s="8">
        <f>1</f>
        <v>1</v>
      </c>
      <c r="CV3402" s="8">
        <f>0</f>
        <v>0</v>
      </c>
      <c r="CX3402" s="8">
        <f>1</f>
        <v>1</v>
      </c>
      <c r="CY3402" s="8">
        <f>1</f>
        <v>1</v>
      </c>
      <c r="CZ3402" s="8" t="s">
        <v>238</v>
      </c>
      <c r="DA3402" s="5" t="s">
        <v>238</v>
      </c>
      <c r="DB3402" s="5" t="s">
        <v>238</v>
      </c>
      <c r="DC3402" s="5" t="s">
        <v>238</v>
      </c>
      <c r="DD3402" s="5" t="s">
        <v>238</v>
      </c>
      <c r="DE3402" s="8">
        <f>0</f>
        <v>0</v>
      </c>
      <c r="DG3402" s="5" t="s">
        <v>238</v>
      </c>
      <c r="DH3402" s="5" t="s">
        <v>238</v>
      </c>
      <c r="DI3402" s="5" t="s">
        <v>238</v>
      </c>
      <c r="DJ3402" s="5" t="s">
        <v>238</v>
      </c>
      <c r="DK3402" s="5" t="s">
        <v>238</v>
      </c>
      <c r="DL3402" s="5" t="s">
        <v>238</v>
      </c>
      <c r="DM3402" s="8" t="s">
        <v>238</v>
      </c>
      <c r="DN3402" s="5" t="s">
        <v>238</v>
      </c>
      <c r="DO3402" s="5" t="s">
        <v>238</v>
      </c>
      <c r="DP3402" s="5" t="s">
        <v>490</v>
      </c>
      <c r="DQ3402" s="5" t="s">
        <v>490</v>
      </c>
      <c r="DR3402" s="5" t="s">
        <v>238</v>
      </c>
      <c r="DS3402" s="5" t="s">
        <v>238</v>
      </c>
      <c r="DT3402" s="5" t="s">
        <v>500</v>
      </c>
      <c r="DU3402" s="5" t="s">
        <v>3105</v>
      </c>
      <c r="DV3402" s="5" t="s">
        <v>238</v>
      </c>
      <c r="DW3402" s="5" t="s">
        <v>238</v>
      </c>
      <c r="DX3402" s="5" t="s">
        <v>238</v>
      </c>
      <c r="DY3402" s="5" t="s">
        <v>238</v>
      </c>
      <c r="DZ3402" s="5" t="s">
        <v>238</v>
      </c>
      <c r="EA3402" s="5" t="s">
        <v>238</v>
      </c>
      <c r="EB3402" s="5" t="s">
        <v>238</v>
      </c>
      <c r="EC3402" s="5" t="s">
        <v>238</v>
      </c>
      <c r="ED3402" s="5" t="s">
        <v>238</v>
      </c>
      <c r="EE3402" s="5" t="s">
        <v>238</v>
      </c>
      <c r="EF3402" s="5" t="s">
        <v>238</v>
      </c>
      <c r="EG3402" s="5" t="s">
        <v>238</v>
      </c>
      <c r="EH3402" s="5" t="s">
        <v>238</v>
      </c>
      <c r="EI3402" s="5" t="s">
        <v>238</v>
      </c>
      <c r="EJ3402" s="5" t="s">
        <v>238</v>
      </c>
      <c r="EK3402" s="5" t="s">
        <v>238</v>
      </c>
      <c r="EL3402" s="5" t="s">
        <v>238</v>
      </c>
      <c r="EM3402" s="5" t="s">
        <v>238</v>
      </c>
      <c r="EN3402" s="5" t="s">
        <v>238</v>
      </c>
      <c r="EO3402" s="5" t="s">
        <v>238</v>
      </c>
      <c r="EP3402" s="5" t="s">
        <v>238</v>
      </c>
      <c r="EQ3402" s="5" t="s">
        <v>238</v>
      </c>
      <c r="ER3402" s="5" t="s">
        <v>238</v>
      </c>
      <c r="ES3402" s="5" t="s">
        <v>238</v>
      </c>
      <c r="ET3402" s="5" t="s">
        <v>238</v>
      </c>
      <c r="EU3402" s="5" t="s">
        <v>238</v>
      </c>
      <c r="EV3402" s="5" t="s">
        <v>238</v>
      </c>
      <c r="EW3402" s="5" t="s">
        <v>238</v>
      </c>
      <c r="EX3402" s="5" t="s">
        <v>238</v>
      </c>
      <c r="EY3402" s="5" t="s">
        <v>238</v>
      </c>
      <c r="EZ3402" s="5" t="s">
        <v>238</v>
      </c>
      <c r="FA3402" s="5" t="s">
        <v>238</v>
      </c>
      <c r="FB3402" s="5" t="s">
        <v>238</v>
      </c>
      <c r="FC3402" s="5" t="s">
        <v>238</v>
      </c>
      <c r="FD3402" s="5" t="s">
        <v>238</v>
      </c>
      <c r="FE3402" s="5" t="s">
        <v>238</v>
      </c>
      <c r="FF3402" s="5" t="s">
        <v>238</v>
      </c>
      <c r="FG3402" s="5" t="s">
        <v>238</v>
      </c>
      <c r="FH3402" s="5" t="s">
        <v>238</v>
      </c>
      <c r="FI3402" s="5" t="s">
        <v>238</v>
      </c>
      <c r="FJ3402" s="5" t="s">
        <v>238</v>
      </c>
      <c r="FK3402" s="5" t="s">
        <v>238</v>
      </c>
      <c r="FL3402" s="5" t="s">
        <v>238</v>
      </c>
      <c r="FM3402" s="5" t="s">
        <v>238</v>
      </c>
      <c r="FN3402" s="5" t="s">
        <v>238</v>
      </c>
      <c r="FO3402" s="5" t="s">
        <v>238</v>
      </c>
      <c r="FP3402" s="5" t="s">
        <v>238</v>
      </c>
      <c r="FQ3402" s="5" t="s">
        <v>238</v>
      </c>
      <c r="FR3402" s="5" t="s">
        <v>238</v>
      </c>
      <c r="FS3402" s="5" t="s">
        <v>238</v>
      </c>
      <c r="FT3402" s="5" t="s">
        <v>238</v>
      </c>
      <c r="FU3402" s="5" t="s">
        <v>238</v>
      </c>
      <c r="FV3402" s="5" t="s">
        <v>238</v>
      </c>
      <c r="FW3402" s="5" t="s">
        <v>238</v>
      </c>
      <c r="FX3402" s="5" t="s">
        <v>238</v>
      </c>
      <c r="FY3402" s="5" t="s">
        <v>238</v>
      </c>
      <c r="FZ3402" s="5" t="s">
        <v>238</v>
      </c>
      <c r="GA3402" s="5" t="s">
        <v>238</v>
      </c>
      <c r="GB3402" s="5" t="s">
        <v>238</v>
      </c>
      <c r="GC3402" s="5" t="s">
        <v>238</v>
      </c>
      <c r="GD3402" s="5" t="s">
        <v>238</v>
      </c>
      <c r="GE3402" s="5" t="s">
        <v>238</v>
      </c>
      <c r="GF3402" s="5" t="s">
        <v>238</v>
      </c>
      <c r="GG3402" s="5" t="s">
        <v>238</v>
      </c>
      <c r="GH3402" s="5" t="s">
        <v>238</v>
      </c>
      <c r="GI3402" s="5" t="s">
        <v>238</v>
      </c>
      <c r="GJ3402" s="5" t="s">
        <v>238</v>
      </c>
      <c r="GK3402" s="5" t="s">
        <v>238</v>
      </c>
      <c r="GL3402" s="5" t="s">
        <v>238</v>
      </c>
      <c r="GM3402" s="5" t="s">
        <v>238</v>
      </c>
      <c r="GN3402" s="5" t="s">
        <v>238</v>
      </c>
      <c r="GO3402" s="5" t="s">
        <v>238</v>
      </c>
      <c r="GP3402" s="5" t="s">
        <v>238</v>
      </c>
      <c r="GQ3402" s="5" t="s">
        <v>238</v>
      </c>
      <c r="GR3402" s="5" t="s">
        <v>238</v>
      </c>
      <c r="GS3402" s="5" t="s">
        <v>238</v>
      </c>
      <c r="GT3402" s="5" t="s">
        <v>238</v>
      </c>
      <c r="GU3402" s="5" t="s">
        <v>238</v>
      </c>
      <c r="GV3402" s="5" t="s">
        <v>238</v>
      </c>
      <c r="GW3402" s="5" t="s">
        <v>238</v>
      </c>
      <c r="GX3402" s="5" t="s">
        <v>238</v>
      </c>
      <c r="GY3402" s="5" t="s">
        <v>238</v>
      </c>
      <c r="GZ3402" s="5" t="s">
        <v>238</v>
      </c>
      <c r="HA3402" s="5" t="s">
        <v>238</v>
      </c>
      <c r="HB3402" s="5" t="s">
        <v>238</v>
      </c>
      <c r="HC3402" s="5" t="s">
        <v>238</v>
      </c>
      <c r="HD3402" s="5" t="s">
        <v>238</v>
      </c>
      <c r="HE3402" s="5" t="s">
        <v>238</v>
      </c>
      <c r="HF3402" s="5" t="s">
        <v>238</v>
      </c>
      <c r="HG3402" s="5" t="s">
        <v>238</v>
      </c>
      <c r="HH3402" s="5" t="s">
        <v>238</v>
      </c>
      <c r="HI3402" s="5" t="s">
        <v>238</v>
      </c>
      <c r="HJ3402" s="5" t="s">
        <v>238</v>
      </c>
      <c r="HK3402" s="5" t="s">
        <v>238</v>
      </c>
      <c r="HL3402" s="5" t="s">
        <v>238</v>
      </c>
      <c r="HM3402" s="5" t="s">
        <v>264</v>
      </c>
      <c r="HN3402" s="5" t="s">
        <v>238</v>
      </c>
      <c r="HO3402" s="5" t="s">
        <v>238</v>
      </c>
      <c r="HP3402" s="5" t="s">
        <v>238</v>
      </c>
      <c r="HQ3402" s="5" t="s">
        <v>238</v>
      </c>
      <c r="HR3402" s="5" t="s">
        <v>238</v>
      </c>
      <c r="HS3402" s="5" t="s">
        <v>238</v>
      </c>
      <c r="HT3402" s="5" t="s">
        <v>238</v>
      </c>
      <c r="HU3402" s="5" t="s">
        <v>238</v>
      </c>
      <c r="HV3402" s="5" t="s">
        <v>238</v>
      </c>
      <c r="HW3402" s="5" t="s">
        <v>238</v>
      </c>
      <c r="HX3402" s="5" t="s">
        <v>238</v>
      </c>
      <c r="HY3402" s="5" t="s">
        <v>238</v>
      </c>
      <c r="HZ3402" s="5" t="s">
        <v>238</v>
      </c>
      <c r="IA3402" s="5" t="s">
        <v>238</v>
      </c>
      <c r="IB3402" s="5" t="s">
        <v>238</v>
      </c>
      <c r="IC3402" s="5" t="s">
        <v>238</v>
      </c>
      <c r="ID3402" s="5" t="s">
        <v>238</v>
      </c>
    </row>
    <row r="3403" spans="1:238" x14ac:dyDescent="0.4">
      <c r="A3403" s="5">
        <v>9121</v>
      </c>
      <c r="B3403" s="5">
        <v>1</v>
      </c>
      <c r="C3403" s="5">
        <v>1</v>
      </c>
      <c r="D3403" s="5" t="s">
        <v>484</v>
      </c>
      <c r="E3403" s="5" t="s">
        <v>485</v>
      </c>
      <c r="F3403" s="5" t="s">
        <v>248</v>
      </c>
      <c r="G3403" s="5" t="s">
        <v>4839</v>
      </c>
      <c r="H3403" s="6" t="s">
        <v>4840</v>
      </c>
      <c r="I3403" s="8">
        <f>1</f>
        <v>1</v>
      </c>
      <c r="J3403" s="5" t="s">
        <v>499</v>
      </c>
      <c r="K3403" s="8">
        <f>1</f>
        <v>1</v>
      </c>
      <c r="L3403" s="6" t="s">
        <v>242</v>
      </c>
      <c r="M3403" s="5" t="s">
        <v>267</v>
      </c>
      <c r="N3403" s="5" t="s">
        <v>482</v>
      </c>
      <c r="O3403" s="5" t="s">
        <v>238</v>
      </c>
      <c r="P3403" s="5" t="s">
        <v>238</v>
      </c>
      <c r="Q3403" s="5" t="s">
        <v>239</v>
      </c>
      <c r="R3403" s="5" t="s">
        <v>270</v>
      </c>
      <c r="S3403" s="5" t="s">
        <v>238</v>
      </c>
      <c r="T3403" s="5" t="s">
        <v>238</v>
      </c>
      <c r="U3403" s="5" t="s">
        <v>238</v>
      </c>
      <c r="V3403" s="5" t="s">
        <v>238</v>
      </c>
      <c r="W3403" s="6" t="s">
        <v>238</v>
      </c>
      <c r="X3403" s="6" t="s">
        <v>238</v>
      </c>
      <c r="Y3403" s="5" t="s">
        <v>238</v>
      </c>
      <c r="Z3403" s="6" t="s">
        <v>238</v>
      </c>
      <c r="AA3403" s="6" t="s">
        <v>243</v>
      </c>
      <c r="AB3403" s="5" t="s">
        <v>486</v>
      </c>
      <c r="AC3403" s="5" t="s">
        <v>244</v>
      </c>
      <c r="AD3403" s="5" t="s">
        <v>245</v>
      </c>
      <c r="AE3403" s="5" t="s">
        <v>238</v>
      </c>
      <c r="AF3403" s="5" t="s">
        <v>238</v>
      </c>
      <c r="AG3403" s="5" t="s">
        <v>238</v>
      </c>
      <c r="AH3403" s="5" t="s">
        <v>238</v>
      </c>
      <c r="AI3403" s="5" t="s">
        <v>238</v>
      </c>
      <c r="AJ3403" s="5" t="s">
        <v>238</v>
      </c>
      <c r="AK3403" s="5" t="s">
        <v>238</v>
      </c>
      <c r="AL3403" s="5" t="s">
        <v>238</v>
      </c>
      <c r="AM3403" s="6" t="s">
        <v>238</v>
      </c>
      <c r="AN3403" s="6" t="s">
        <v>238</v>
      </c>
      <c r="AO3403" s="6" t="s">
        <v>238</v>
      </c>
      <c r="AP3403" s="6" t="s">
        <v>238</v>
      </c>
      <c r="AQ3403" s="5" t="s">
        <v>238</v>
      </c>
      <c r="AR3403" s="5" t="s">
        <v>488</v>
      </c>
      <c r="AS3403" s="5" t="s">
        <v>488</v>
      </c>
      <c r="AT3403" s="5" t="s">
        <v>246</v>
      </c>
      <c r="AU3403" s="5" t="s">
        <v>489</v>
      </c>
      <c r="AV3403" s="5" t="s">
        <v>247</v>
      </c>
      <c r="AW3403" s="5" t="s">
        <v>238</v>
      </c>
      <c r="AX3403" s="5" t="s">
        <v>249</v>
      </c>
      <c r="AY3403" s="5" t="s">
        <v>490</v>
      </c>
      <c r="BA3403" s="5" t="s">
        <v>238</v>
      </c>
      <c r="BC3403" s="5" t="s">
        <v>491</v>
      </c>
      <c r="BD3403" s="6" t="s">
        <v>492</v>
      </c>
      <c r="BE3403" s="5" t="s">
        <v>493</v>
      </c>
      <c r="BF3403" s="5" t="s">
        <v>493</v>
      </c>
      <c r="BG3403" s="5" t="s">
        <v>238</v>
      </c>
      <c r="BH3403" s="8">
        <f>1</f>
        <v>1</v>
      </c>
      <c r="BI3403" s="8">
        <f>1</f>
        <v>1</v>
      </c>
      <c r="BJ3403" s="5" t="s">
        <v>253</v>
      </c>
      <c r="BK3403" s="5" t="s">
        <v>254</v>
      </c>
      <c r="BL3403" s="5" t="s">
        <v>238</v>
      </c>
      <c r="BM3403" s="5" t="s">
        <v>238</v>
      </c>
      <c r="BN3403" s="5" t="s">
        <v>238</v>
      </c>
      <c r="BO3403" s="5" t="s">
        <v>238</v>
      </c>
      <c r="BP3403" s="5" t="s">
        <v>238</v>
      </c>
      <c r="BQ3403" s="5" t="s">
        <v>238</v>
      </c>
      <c r="BR3403" s="5" t="s">
        <v>238</v>
      </c>
      <c r="BS3403" s="5" t="s">
        <v>238</v>
      </c>
      <c r="BT3403" s="6" t="s">
        <v>238</v>
      </c>
      <c r="BU3403" s="5" t="s">
        <v>238</v>
      </c>
      <c r="BV3403" s="5" t="s">
        <v>238</v>
      </c>
      <c r="BW3403" s="5" t="s">
        <v>238</v>
      </c>
      <c r="BX3403" s="5" t="s">
        <v>254</v>
      </c>
      <c r="BY3403" s="5" t="s">
        <v>238</v>
      </c>
      <c r="BZ3403" s="5" t="s">
        <v>238</v>
      </c>
      <c r="CA3403" s="5" t="s">
        <v>238</v>
      </c>
      <c r="CB3403" s="5" t="s">
        <v>238</v>
      </c>
      <c r="CC3403" s="5" t="s">
        <v>238</v>
      </c>
      <c r="CD3403" s="5" t="s">
        <v>273</v>
      </c>
      <c r="CE3403" s="5" t="s">
        <v>256</v>
      </c>
      <c r="CF3403" s="5" t="s">
        <v>238</v>
      </c>
      <c r="CH3403" s="5" t="s">
        <v>494</v>
      </c>
      <c r="CI3403" s="6" t="s">
        <v>257</v>
      </c>
      <c r="CJ3403" s="5" t="s">
        <v>495</v>
      </c>
      <c r="CK3403" s="5" t="s">
        <v>258</v>
      </c>
      <c r="CL3403" s="5" t="s">
        <v>496</v>
      </c>
      <c r="CM3403" s="5" t="s">
        <v>238</v>
      </c>
      <c r="CN3403" s="5">
        <v>0</v>
      </c>
      <c r="CO3403" s="5" t="s">
        <v>497</v>
      </c>
      <c r="CP3403" s="5" t="s">
        <v>260</v>
      </c>
      <c r="CQ3403" s="5" t="s">
        <v>260</v>
      </c>
      <c r="CR3403" s="5" t="s">
        <v>261</v>
      </c>
      <c r="CS3403" s="5" t="s">
        <v>498</v>
      </c>
      <c r="CT3403" s="7">
        <f>1</f>
        <v>1</v>
      </c>
      <c r="CU3403" s="8">
        <f>1</f>
        <v>1</v>
      </c>
      <c r="CV3403" s="8">
        <f>0</f>
        <v>0</v>
      </c>
      <c r="CX3403" s="8">
        <f>1</f>
        <v>1</v>
      </c>
      <c r="CY3403" s="8">
        <f>1</f>
        <v>1</v>
      </c>
      <c r="CZ3403" s="8" t="s">
        <v>238</v>
      </c>
      <c r="DA3403" s="5" t="s">
        <v>238</v>
      </c>
      <c r="DB3403" s="5" t="s">
        <v>238</v>
      </c>
      <c r="DC3403" s="5" t="s">
        <v>238</v>
      </c>
      <c r="DD3403" s="5" t="s">
        <v>238</v>
      </c>
      <c r="DE3403" s="8">
        <f>0</f>
        <v>0</v>
      </c>
      <c r="DG3403" s="5" t="s">
        <v>238</v>
      </c>
      <c r="DH3403" s="5" t="s">
        <v>238</v>
      </c>
      <c r="DI3403" s="5" t="s">
        <v>238</v>
      </c>
      <c r="DJ3403" s="5" t="s">
        <v>238</v>
      </c>
      <c r="DK3403" s="5" t="s">
        <v>238</v>
      </c>
      <c r="DL3403" s="5" t="s">
        <v>238</v>
      </c>
      <c r="DM3403" s="8" t="s">
        <v>238</v>
      </c>
      <c r="DN3403" s="5" t="s">
        <v>238</v>
      </c>
      <c r="DO3403" s="5" t="s">
        <v>238</v>
      </c>
      <c r="DP3403" s="5" t="s">
        <v>490</v>
      </c>
      <c r="DQ3403" s="5" t="s">
        <v>490</v>
      </c>
      <c r="DR3403" s="5" t="s">
        <v>238</v>
      </c>
      <c r="DS3403" s="5" t="s">
        <v>238</v>
      </c>
      <c r="DT3403" s="5" t="s">
        <v>500</v>
      </c>
      <c r="DU3403" s="5" t="s">
        <v>1166</v>
      </c>
      <c r="DV3403" s="5" t="s">
        <v>238</v>
      </c>
      <c r="DW3403" s="5" t="s">
        <v>238</v>
      </c>
      <c r="DX3403" s="5" t="s">
        <v>238</v>
      </c>
      <c r="DY3403" s="5" t="s">
        <v>238</v>
      </c>
      <c r="DZ3403" s="5" t="s">
        <v>238</v>
      </c>
      <c r="EA3403" s="5" t="s">
        <v>238</v>
      </c>
      <c r="EB3403" s="5" t="s">
        <v>238</v>
      </c>
      <c r="EC3403" s="5" t="s">
        <v>238</v>
      </c>
      <c r="ED3403" s="5" t="s">
        <v>238</v>
      </c>
      <c r="EE3403" s="5" t="s">
        <v>238</v>
      </c>
      <c r="EF3403" s="5" t="s">
        <v>238</v>
      </c>
      <c r="EG3403" s="5" t="s">
        <v>238</v>
      </c>
      <c r="EH3403" s="5" t="s">
        <v>238</v>
      </c>
      <c r="EI3403" s="5" t="s">
        <v>238</v>
      </c>
      <c r="EJ3403" s="5" t="s">
        <v>238</v>
      </c>
      <c r="EK3403" s="5" t="s">
        <v>238</v>
      </c>
      <c r="EL3403" s="5" t="s">
        <v>238</v>
      </c>
      <c r="EM3403" s="5" t="s">
        <v>238</v>
      </c>
      <c r="EN3403" s="5" t="s">
        <v>238</v>
      </c>
      <c r="EO3403" s="5" t="s">
        <v>238</v>
      </c>
      <c r="EP3403" s="5" t="s">
        <v>238</v>
      </c>
      <c r="EQ3403" s="5" t="s">
        <v>238</v>
      </c>
      <c r="ER3403" s="5" t="s">
        <v>238</v>
      </c>
      <c r="ES3403" s="5" t="s">
        <v>238</v>
      </c>
      <c r="ET3403" s="5" t="s">
        <v>238</v>
      </c>
      <c r="EU3403" s="5" t="s">
        <v>238</v>
      </c>
      <c r="EV3403" s="5" t="s">
        <v>238</v>
      </c>
      <c r="EW3403" s="5" t="s">
        <v>238</v>
      </c>
      <c r="EX3403" s="5" t="s">
        <v>238</v>
      </c>
      <c r="EY3403" s="5" t="s">
        <v>238</v>
      </c>
      <c r="EZ3403" s="5" t="s">
        <v>238</v>
      </c>
      <c r="FA3403" s="5" t="s">
        <v>238</v>
      </c>
      <c r="FB3403" s="5" t="s">
        <v>238</v>
      </c>
      <c r="FC3403" s="5" t="s">
        <v>238</v>
      </c>
      <c r="FD3403" s="5" t="s">
        <v>238</v>
      </c>
      <c r="FE3403" s="5" t="s">
        <v>238</v>
      </c>
      <c r="FF3403" s="5" t="s">
        <v>238</v>
      </c>
      <c r="FG3403" s="5" t="s">
        <v>238</v>
      </c>
      <c r="FH3403" s="5" t="s">
        <v>238</v>
      </c>
      <c r="FI3403" s="5" t="s">
        <v>238</v>
      </c>
      <c r="FJ3403" s="5" t="s">
        <v>238</v>
      </c>
      <c r="FK3403" s="5" t="s">
        <v>238</v>
      </c>
      <c r="FL3403" s="5" t="s">
        <v>238</v>
      </c>
      <c r="FM3403" s="5" t="s">
        <v>238</v>
      </c>
      <c r="FN3403" s="5" t="s">
        <v>238</v>
      </c>
      <c r="FO3403" s="5" t="s">
        <v>238</v>
      </c>
      <c r="FP3403" s="5" t="s">
        <v>238</v>
      </c>
      <c r="FQ3403" s="5" t="s">
        <v>238</v>
      </c>
      <c r="FR3403" s="5" t="s">
        <v>238</v>
      </c>
      <c r="FS3403" s="5" t="s">
        <v>238</v>
      </c>
      <c r="FT3403" s="5" t="s">
        <v>238</v>
      </c>
      <c r="FU3403" s="5" t="s">
        <v>238</v>
      </c>
      <c r="FV3403" s="5" t="s">
        <v>238</v>
      </c>
      <c r="FW3403" s="5" t="s">
        <v>238</v>
      </c>
      <c r="FX3403" s="5" t="s">
        <v>238</v>
      </c>
      <c r="FY3403" s="5" t="s">
        <v>238</v>
      </c>
      <c r="FZ3403" s="5" t="s">
        <v>238</v>
      </c>
      <c r="GA3403" s="5" t="s">
        <v>238</v>
      </c>
      <c r="GB3403" s="5" t="s">
        <v>238</v>
      </c>
      <c r="GC3403" s="5" t="s">
        <v>238</v>
      </c>
      <c r="GD3403" s="5" t="s">
        <v>238</v>
      </c>
      <c r="GE3403" s="5" t="s">
        <v>238</v>
      </c>
      <c r="GF3403" s="5" t="s">
        <v>238</v>
      </c>
      <c r="GG3403" s="5" t="s">
        <v>238</v>
      </c>
      <c r="GH3403" s="5" t="s">
        <v>238</v>
      </c>
      <c r="GI3403" s="5" t="s">
        <v>238</v>
      </c>
      <c r="GJ3403" s="5" t="s">
        <v>238</v>
      </c>
      <c r="GK3403" s="5" t="s">
        <v>238</v>
      </c>
      <c r="GL3403" s="5" t="s">
        <v>238</v>
      </c>
      <c r="GM3403" s="5" t="s">
        <v>238</v>
      </c>
      <c r="GN3403" s="5" t="s">
        <v>238</v>
      </c>
      <c r="GO3403" s="5" t="s">
        <v>238</v>
      </c>
      <c r="GP3403" s="5" t="s">
        <v>238</v>
      </c>
      <c r="GQ3403" s="5" t="s">
        <v>238</v>
      </c>
      <c r="GR3403" s="5" t="s">
        <v>238</v>
      </c>
      <c r="GS3403" s="5" t="s">
        <v>238</v>
      </c>
      <c r="GT3403" s="5" t="s">
        <v>238</v>
      </c>
      <c r="GU3403" s="5" t="s">
        <v>238</v>
      </c>
      <c r="GV3403" s="5" t="s">
        <v>238</v>
      </c>
      <c r="GW3403" s="5" t="s">
        <v>238</v>
      </c>
      <c r="GX3403" s="5" t="s">
        <v>238</v>
      </c>
      <c r="GY3403" s="5" t="s">
        <v>238</v>
      </c>
      <c r="GZ3403" s="5" t="s">
        <v>238</v>
      </c>
      <c r="HA3403" s="5" t="s">
        <v>238</v>
      </c>
      <c r="HB3403" s="5" t="s">
        <v>238</v>
      </c>
      <c r="HC3403" s="5" t="s">
        <v>238</v>
      </c>
      <c r="HD3403" s="5" t="s">
        <v>238</v>
      </c>
      <c r="HE3403" s="5" t="s">
        <v>238</v>
      </c>
      <c r="HF3403" s="5" t="s">
        <v>238</v>
      </c>
      <c r="HG3403" s="5" t="s">
        <v>238</v>
      </c>
      <c r="HH3403" s="5" t="s">
        <v>238</v>
      </c>
      <c r="HI3403" s="5" t="s">
        <v>238</v>
      </c>
      <c r="HJ3403" s="5" t="s">
        <v>238</v>
      </c>
      <c r="HK3403" s="5" t="s">
        <v>238</v>
      </c>
      <c r="HL3403" s="5" t="s">
        <v>238</v>
      </c>
      <c r="HM3403" s="5" t="s">
        <v>264</v>
      </c>
      <c r="HN3403" s="5" t="s">
        <v>238</v>
      </c>
      <c r="HO3403" s="5" t="s">
        <v>238</v>
      </c>
      <c r="HP3403" s="5" t="s">
        <v>238</v>
      </c>
      <c r="HQ3403" s="5" t="s">
        <v>238</v>
      </c>
      <c r="HR3403" s="5" t="s">
        <v>238</v>
      </c>
      <c r="HS3403" s="5" t="s">
        <v>238</v>
      </c>
      <c r="HT3403" s="5" t="s">
        <v>238</v>
      </c>
      <c r="HU3403" s="5" t="s">
        <v>238</v>
      </c>
      <c r="HV3403" s="5" t="s">
        <v>238</v>
      </c>
      <c r="HW3403" s="5" t="s">
        <v>238</v>
      </c>
      <c r="HX3403" s="5" t="s">
        <v>238</v>
      </c>
      <c r="HY3403" s="5" t="s">
        <v>238</v>
      </c>
      <c r="HZ3403" s="5" t="s">
        <v>238</v>
      </c>
      <c r="IA3403" s="5" t="s">
        <v>238</v>
      </c>
      <c r="IB3403" s="5" t="s">
        <v>238</v>
      </c>
      <c r="IC3403" s="5" t="s">
        <v>238</v>
      </c>
      <c r="ID3403" s="5" t="s">
        <v>238</v>
      </c>
    </row>
    <row r="3404" spans="1:238" x14ac:dyDescent="0.4">
      <c r="A3404" s="5">
        <v>9122</v>
      </c>
      <c r="B3404" s="5">
        <v>1</v>
      </c>
      <c r="C3404" s="5">
        <v>1</v>
      </c>
      <c r="D3404" s="5" t="s">
        <v>484</v>
      </c>
      <c r="E3404" s="5" t="s">
        <v>485</v>
      </c>
      <c r="F3404" s="5" t="s">
        <v>248</v>
      </c>
      <c r="G3404" s="5" t="s">
        <v>4702</v>
      </c>
      <c r="H3404" s="6" t="s">
        <v>4703</v>
      </c>
      <c r="I3404" s="8">
        <f>1</f>
        <v>1</v>
      </c>
      <c r="J3404" s="5" t="s">
        <v>499</v>
      </c>
      <c r="K3404" s="8">
        <f>1</f>
        <v>1</v>
      </c>
      <c r="L3404" s="6" t="s">
        <v>242</v>
      </c>
      <c r="M3404" s="5" t="s">
        <v>267</v>
      </c>
      <c r="N3404" s="5" t="s">
        <v>482</v>
      </c>
      <c r="O3404" s="5" t="s">
        <v>238</v>
      </c>
      <c r="P3404" s="5" t="s">
        <v>238</v>
      </c>
      <c r="Q3404" s="5" t="s">
        <v>239</v>
      </c>
      <c r="R3404" s="5" t="s">
        <v>270</v>
      </c>
      <c r="S3404" s="5" t="s">
        <v>238</v>
      </c>
      <c r="T3404" s="5" t="s">
        <v>238</v>
      </c>
      <c r="U3404" s="5" t="s">
        <v>238</v>
      </c>
      <c r="V3404" s="5" t="s">
        <v>238</v>
      </c>
      <c r="W3404" s="6" t="s">
        <v>238</v>
      </c>
      <c r="X3404" s="6" t="s">
        <v>238</v>
      </c>
      <c r="Y3404" s="5" t="s">
        <v>238</v>
      </c>
      <c r="Z3404" s="6" t="s">
        <v>238</v>
      </c>
      <c r="AA3404" s="6" t="s">
        <v>243</v>
      </c>
      <c r="AB3404" s="5" t="s">
        <v>486</v>
      </c>
      <c r="AC3404" s="5" t="s">
        <v>244</v>
      </c>
      <c r="AD3404" s="5" t="s">
        <v>245</v>
      </c>
      <c r="AE3404" s="5" t="s">
        <v>238</v>
      </c>
      <c r="AF3404" s="5" t="s">
        <v>238</v>
      </c>
      <c r="AG3404" s="5" t="s">
        <v>238</v>
      </c>
      <c r="AH3404" s="5" t="s">
        <v>238</v>
      </c>
      <c r="AI3404" s="5" t="s">
        <v>238</v>
      </c>
      <c r="AJ3404" s="5" t="s">
        <v>238</v>
      </c>
      <c r="AK3404" s="5" t="s">
        <v>238</v>
      </c>
      <c r="AL3404" s="5" t="s">
        <v>238</v>
      </c>
      <c r="AM3404" s="6" t="s">
        <v>238</v>
      </c>
      <c r="AN3404" s="6" t="s">
        <v>238</v>
      </c>
      <c r="AO3404" s="6" t="s">
        <v>238</v>
      </c>
      <c r="AP3404" s="6" t="s">
        <v>238</v>
      </c>
      <c r="AQ3404" s="5" t="s">
        <v>238</v>
      </c>
      <c r="AR3404" s="5" t="s">
        <v>488</v>
      </c>
      <c r="AS3404" s="5" t="s">
        <v>488</v>
      </c>
      <c r="AT3404" s="5" t="s">
        <v>246</v>
      </c>
      <c r="AU3404" s="5" t="s">
        <v>489</v>
      </c>
      <c r="AV3404" s="5" t="s">
        <v>247</v>
      </c>
      <c r="AW3404" s="5" t="s">
        <v>238</v>
      </c>
      <c r="AX3404" s="5" t="s">
        <v>249</v>
      </c>
      <c r="AY3404" s="5" t="s">
        <v>490</v>
      </c>
      <c r="BA3404" s="5" t="s">
        <v>238</v>
      </c>
      <c r="BC3404" s="5" t="s">
        <v>491</v>
      </c>
      <c r="BD3404" s="6" t="s">
        <v>492</v>
      </c>
      <c r="BE3404" s="5" t="s">
        <v>493</v>
      </c>
      <c r="BF3404" s="5" t="s">
        <v>493</v>
      </c>
      <c r="BG3404" s="5" t="s">
        <v>238</v>
      </c>
      <c r="BH3404" s="8">
        <f>1</f>
        <v>1</v>
      </c>
      <c r="BI3404" s="8">
        <f>1</f>
        <v>1</v>
      </c>
      <c r="BJ3404" s="5" t="s">
        <v>253</v>
      </c>
      <c r="BK3404" s="5" t="s">
        <v>254</v>
      </c>
      <c r="BL3404" s="5" t="s">
        <v>238</v>
      </c>
      <c r="BM3404" s="5" t="s">
        <v>238</v>
      </c>
      <c r="BN3404" s="5" t="s">
        <v>238</v>
      </c>
      <c r="BO3404" s="5" t="s">
        <v>238</v>
      </c>
      <c r="BP3404" s="5" t="s">
        <v>238</v>
      </c>
      <c r="BQ3404" s="5" t="s">
        <v>238</v>
      </c>
      <c r="BR3404" s="5" t="s">
        <v>238</v>
      </c>
      <c r="BS3404" s="5" t="s">
        <v>238</v>
      </c>
      <c r="BT3404" s="6" t="s">
        <v>238</v>
      </c>
      <c r="BU3404" s="5" t="s">
        <v>238</v>
      </c>
      <c r="BV3404" s="5" t="s">
        <v>238</v>
      </c>
      <c r="BW3404" s="5" t="s">
        <v>238</v>
      </c>
      <c r="BX3404" s="5" t="s">
        <v>254</v>
      </c>
      <c r="BY3404" s="5" t="s">
        <v>238</v>
      </c>
      <c r="BZ3404" s="5" t="s">
        <v>238</v>
      </c>
      <c r="CA3404" s="5" t="s">
        <v>238</v>
      </c>
      <c r="CB3404" s="5" t="s">
        <v>238</v>
      </c>
      <c r="CC3404" s="5" t="s">
        <v>238</v>
      </c>
      <c r="CD3404" s="5" t="s">
        <v>273</v>
      </c>
      <c r="CE3404" s="5" t="s">
        <v>256</v>
      </c>
      <c r="CF3404" s="5" t="s">
        <v>238</v>
      </c>
      <c r="CH3404" s="5" t="s">
        <v>494</v>
      </c>
      <c r="CI3404" s="6" t="s">
        <v>257</v>
      </c>
      <c r="CJ3404" s="5" t="s">
        <v>495</v>
      </c>
      <c r="CK3404" s="5" t="s">
        <v>258</v>
      </c>
      <c r="CL3404" s="5" t="s">
        <v>496</v>
      </c>
      <c r="CM3404" s="5" t="s">
        <v>238</v>
      </c>
      <c r="CN3404" s="5">
        <v>0</v>
      </c>
      <c r="CO3404" s="5" t="s">
        <v>497</v>
      </c>
      <c r="CP3404" s="5" t="s">
        <v>260</v>
      </c>
      <c r="CQ3404" s="5" t="s">
        <v>260</v>
      </c>
      <c r="CR3404" s="5" t="s">
        <v>261</v>
      </c>
      <c r="CS3404" s="5" t="s">
        <v>498</v>
      </c>
      <c r="CT3404" s="7">
        <f>1</f>
        <v>1</v>
      </c>
      <c r="CU3404" s="8">
        <f>1</f>
        <v>1</v>
      </c>
      <c r="CV3404" s="8">
        <f>0</f>
        <v>0</v>
      </c>
      <c r="CX3404" s="8">
        <f>1</f>
        <v>1</v>
      </c>
      <c r="CY3404" s="8">
        <f>1</f>
        <v>1</v>
      </c>
      <c r="CZ3404" s="8" t="s">
        <v>238</v>
      </c>
      <c r="DA3404" s="5" t="s">
        <v>238</v>
      </c>
      <c r="DB3404" s="5" t="s">
        <v>238</v>
      </c>
      <c r="DC3404" s="5" t="s">
        <v>238</v>
      </c>
      <c r="DD3404" s="5" t="s">
        <v>238</v>
      </c>
      <c r="DE3404" s="8">
        <f>0</f>
        <v>0</v>
      </c>
      <c r="DG3404" s="5" t="s">
        <v>238</v>
      </c>
      <c r="DH3404" s="5" t="s">
        <v>238</v>
      </c>
      <c r="DI3404" s="5" t="s">
        <v>238</v>
      </c>
      <c r="DJ3404" s="5" t="s">
        <v>238</v>
      </c>
      <c r="DK3404" s="5" t="s">
        <v>238</v>
      </c>
      <c r="DL3404" s="5" t="s">
        <v>238</v>
      </c>
      <c r="DM3404" s="8" t="s">
        <v>238</v>
      </c>
      <c r="DN3404" s="5" t="s">
        <v>238</v>
      </c>
      <c r="DO3404" s="5" t="s">
        <v>238</v>
      </c>
      <c r="DP3404" s="5" t="s">
        <v>490</v>
      </c>
      <c r="DQ3404" s="5" t="s">
        <v>490</v>
      </c>
      <c r="DR3404" s="5" t="s">
        <v>238</v>
      </c>
      <c r="DS3404" s="5" t="s">
        <v>238</v>
      </c>
      <c r="DT3404" s="5" t="s">
        <v>500</v>
      </c>
      <c r="DU3404" s="5" t="s">
        <v>472</v>
      </c>
      <c r="DV3404" s="5" t="s">
        <v>238</v>
      </c>
      <c r="DW3404" s="5" t="s">
        <v>238</v>
      </c>
      <c r="DX3404" s="5" t="s">
        <v>238</v>
      </c>
      <c r="DY3404" s="5" t="s">
        <v>238</v>
      </c>
      <c r="DZ3404" s="5" t="s">
        <v>238</v>
      </c>
      <c r="EA3404" s="5" t="s">
        <v>238</v>
      </c>
      <c r="EB3404" s="5" t="s">
        <v>238</v>
      </c>
      <c r="EC3404" s="5" t="s">
        <v>238</v>
      </c>
      <c r="ED3404" s="5" t="s">
        <v>238</v>
      </c>
      <c r="EE3404" s="5" t="s">
        <v>238</v>
      </c>
      <c r="EF3404" s="5" t="s">
        <v>238</v>
      </c>
      <c r="EG3404" s="5" t="s">
        <v>238</v>
      </c>
      <c r="EH3404" s="5" t="s">
        <v>238</v>
      </c>
      <c r="EI3404" s="5" t="s">
        <v>238</v>
      </c>
      <c r="EJ3404" s="5" t="s">
        <v>238</v>
      </c>
      <c r="EK3404" s="5" t="s">
        <v>238</v>
      </c>
      <c r="EL3404" s="5" t="s">
        <v>238</v>
      </c>
      <c r="EM3404" s="5" t="s">
        <v>238</v>
      </c>
      <c r="EN3404" s="5" t="s">
        <v>238</v>
      </c>
      <c r="EO3404" s="5" t="s">
        <v>238</v>
      </c>
      <c r="EP3404" s="5" t="s">
        <v>238</v>
      </c>
      <c r="EQ3404" s="5" t="s">
        <v>238</v>
      </c>
      <c r="ER3404" s="5" t="s">
        <v>238</v>
      </c>
      <c r="ES3404" s="5" t="s">
        <v>238</v>
      </c>
      <c r="ET3404" s="5" t="s">
        <v>238</v>
      </c>
      <c r="EU3404" s="5" t="s">
        <v>238</v>
      </c>
      <c r="EV3404" s="5" t="s">
        <v>238</v>
      </c>
      <c r="EW3404" s="5" t="s">
        <v>238</v>
      </c>
      <c r="EX3404" s="5" t="s">
        <v>238</v>
      </c>
      <c r="EY3404" s="5" t="s">
        <v>238</v>
      </c>
      <c r="EZ3404" s="5" t="s">
        <v>238</v>
      </c>
      <c r="FA3404" s="5" t="s">
        <v>238</v>
      </c>
      <c r="FB3404" s="5" t="s">
        <v>238</v>
      </c>
      <c r="FC3404" s="5" t="s">
        <v>238</v>
      </c>
      <c r="FD3404" s="5" t="s">
        <v>238</v>
      </c>
      <c r="FE3404" s="5" t="s">
        <v>238</v>
      </c>
      <c r="FF3404" s="5" t="s">
        <v>238</v>
      </c>
      <c r="FG3404" s="5" t="s">
        <v>238</v>
      </c>
      <c r="FH3404" s="5" t="s">
        <v>238</v>
      </c>
      <c r="FI3404" s="5" t="s">
        <v>238</v>
      </c>
      <c r="FJ3404" s="5" t="s">
        <v>238</v>
      </c>
      <c r="FK3404" s="5" t="s">
        <v>238</v>
      </c>
      <c r="FL3404" s="5" t="s">
        <v>238</v>
      </c>
      <c r="FM3404" s="5" t="s">
        <v>238</v>
      </c>
      <c r="FN3404" s="5" t="s">
        <v>238</v>
      </c>
      <c r="FO3404" s="5" t="s">
        <v>238</v>
      </c>
      <c r="FP3404" s="5" t="s">
        <v>238</v>
      </c>
      <c r="FQ3404" s="5" t="s">
        <v>238</v>
      </c>
      <c r="FR3404" s="5" t="s">
        <v>238</v>
      </c>
      <c r="FS3404" s="5" t="s">
        <v>238</v>
      </c>
      <c r="FT3404" s="5" t="s">
        <v>238</v>
      </c>
      <c r="FU3404" s="5" t="s">
        <v>238</v>
      </c>
      <c r="FV3404" s="5" t="s">
        <v>238</v>
      </c>
      <c r="FW3404" s="5" t="s">
        <v>238</v>
      </c>
      <c r="FX3404" s="5" t="s">
        <v>238</v>
      </c>
      <c r="FY3404" s="5" t="s">
        <v>238</v>
      </c>
      <c r="FZ3404" s="5" t="s">
        <v>238</v>
      </c>
      <c r="GA3404" s="5" t="s">
        <v>238</v>
      </c>
      <c r="GB3404" s="5" t="s">
        <v>238</v>
      </c>
      <c r="GC3404" s="5" t="s">
        <v>238</v>
      </c>
      <c r="GD3404" s="5" t="s">
        <v>238</v>
      </c>
      <c r="GE3404" s="5" t="s">
        <v>238</v>
      </c>
      <c r="GF3404" s="5" t="s">
        <v>238</v>
      </c>
      <c r="GG3404" s="5" t="s">
        <v>238</v>
      </c>
      <c r="GH3404" s="5" t="s">
        <v>238</v>
      </c>
      <c r="GI3404" s="5" t="s">
        <v>238</v>
      </c>
      <c r="GJ3404" s="5" t="s">
        <v>238</v>
      </c>
      <c r="GK3404" s="5" t="s">
        <v>238</v>
      </c>
      <c r="GL3404" s="5" t="s">
        <v>238</v>
      </c>
      <c r="GM3404" s="5" t="s">
        <v>238</v>
      </c>
      <c r="GN3404" s="5" t="s">
        <v>238</v>
      </c>
      <c r="GO3404" s="5" t="s">
        <v>238</v>
      </c>
      <c r="GP3404" s="5" t="s">
        <v>238</v>
      </c>
      <c r="GQ3404" s="5" t="s">
        <v>238</v>
      </c>
      <c r="GR3404" s="5" t="s">
        <v>238</v>
      </c>
      <c r="GS3404" s="5" t="s">
        <v>238</v>
      </c>
      <c r="GT3404" s="5" t="s">
        <v>238</v>
      </c>
      <c r="GU3404" s="5" t="s">
        <v>238</v>
      </c>
      <c r="GV3404" s="5" t="s">
        <v>238</v>
      </c>
      <c r="GW3404" s="5" t="s">
        <v>238</v>
      </c>
      <c r="GX3404" s="5" t="s">
        <v>238</v>
      </c>
      <c r="GY3404" s="5" t="s">
        <v>238</v>
      </c>
      <c r="GZ3404" s="5" t="s">
        <v>238</v>
      </c>
      <c r="HA3404" s="5" t="s">
        <v>238</v>
      </c>
      <c r="HB3404" s="5" t="s">
        <v>238</v>
      </c>
      <c r="HC3404" s="5" t="s">
        <v>238</v>
      </c>
      <c r="HD3404" s="5" t="s">
        <v>238</v>
      </c>
      <c r="HE3404" s="5" t="s">
        <v>238</v>
      </c>
      <c r="HF3404" s="5" t="s">
        <v>238</v>
      </c>
      <c r="HG3404" s="5" t="s">
        <v>238</v>
      </c>
      <c r="HH3404" s="5" t="s">
        <v>238</v>
      </c>
      <c r="HI3404" s="5" t="s">
        <v>238</v>
      </c>
      <c r="HJ3404" s="5" t="s">
        <v>238</v>
      </c>
      <c r="HK3404" s="5" t="s">
        <v>238</v>
      </c>
      <c r="HL3404" s="5" t="s">
        <v>238</v>
      </c>
      <c r="HM3404" s="5" t="s">
        <v>264</v>
      </c>
      <c r="HN3404" s="5" t="s">
        <v>238</v>
      </c>
      <c r="HO3404" s="5" t="s">
        <v>238</v>
      </c>
      <c r="HP3404" s="5" t="s">
        <v>238</v>
      </c>
      <c r="HQ3404" s="5" t="s">
        <v>238</v>
      </c>
      <c r="HR3404" s="5" t="s">
        <v>238</v>
      </c>
      <c r="HS3404" s="5" t="s">
        <v>238</v>
      </c>
      <c r="HT3404" s="5" t="s">
        <v>238</v>
      </c>
      <c r="HU3404" s="5" t="s">
        <v>238</v>
      </c>
      <c r="HV3404" s="5" t="s">
        <v>238</v>
      </c>
      <c r="HW3404" s="5" t="s">
        <v>238</v>
      </c>
      <c r="HX3404" s="5" t="s">
        <v>238</v>
      </c>
      <c r="HY3404" s="5" t="s">
        <v>238</v>
      </c>
      <c r="HZ3404" s="5" t="s">
        <v>238</v>
      </c>
      <c r="IA3404" s="5" t="s">
        <v>238</v>
      </c>
      <c r="IB3404" s="5" t="s">
        <v>238</v>
      </c>
      <c r="IC3404" s="5" t="s">
        <v>238</v>
      </c>
      <c r="ID3404" s="5" t="s">
        <v>238</v>
      </c>
    </row>
    <row r="3405" spans="1:238" x14ac:dyDescent="0.4">
      <c r="A3405" s="5">
        <v>9123</v>
      </c>
      <c r="B3405" s="5">
        <v>1</v>
      </c>
      <c r="C3405" s="5">
        <v>1</v>
      </c>
      <c r="D3405" s="5" t="s">
        <v>484</v>
      </c>
      <c r="E3405" s="5" t="s">
        <v>485</v>
      </c>
      <c r="F3405" s="5" t="s">
        <v>248</v>
      </c>
      <c r="G3405" s="5" t="s">
        <v>4400</v>
      </c>
      <c r="H3405" s="6" t="s">
        <v>4401</v>
      </c>
      <c r="I3405" s="8">
        <f>1</f>
        <v>1</v>
      </c>
      <c r="J3405" s="5" t="s">
        <v>499</v>
      </c>
      <c r="K3405" s="8">
        <f>1</f>
        <v>1</v>
      </c>
      <c r="L3405" s="6" t="s">
        <v>242</v>
      </c>
      <c r="M3405" s="5" t="s">
        <v>267</v>
      </c>
      <c r="N3405" s="5" t="s">
        <v>482</v>
      </c>
      <c r="O3405" s="5" t="s">
        <v>238</v>
      </c>
      <c r="P3405" s="5" t="s">
        <v>238</v>
      </c>
      <c r="Q3405" s="5" t="s">
        <v>239</v>
      </c>
      <c r="R3405" s="5" t="s">
        <v>270</v>
      </c>
      <c r="S3405" s="5" t="s">
        <v>238</v>
      </c>
      <c r="T3405" s="5" t="s">
        <v>238</v>
      </c>
      <c r="U3405" s="5" t="s">
        <v>238</v>
      </c>
      <c r="V3405" s="5" t="s">
        <v>238</v>
      </c>
      <c r="W3405" s="6" t="s">
        <v>238</v>
      </c>
      <c r="X3405" s="6" t="s">
        <v>238</v>
      </c>
      <c r="Y3405" s="5" t="s">
        <v>238</v>
      </c>
      <c r="Z3405" s="6" t="s">
        <v>238</v>
      </c>
      <c r="AA3405" s="6" t="s">
        <v>243</v>
      </c>
      <c r="AB3405" s="5" t="s">
        <v>486</v>
      </c>
      <c r="AC3405" s="5" t="s">
        <v>244</v>
      </c>
      <c r="AD3405" s="5" t="s">
        <v>245</v>
      </c>
      <c r="AE3405" s="5" t="s">
        <v>238</v>
      </c>
      <c r="AF3405" s="5" t="s">
        <v>238</v>
      </c>
      <c r="AG3405" s="5" t="s">
        <v>238</v>
      </c>
      <c r="AH3405" s="5" t="s">
        <v>238</v>
      </c>
      <c r="AI3405" s="5" t="s">
        <v>238</v>
      </c>
      <c r="AJ3405" s="5" t="s">
        <v>238</v>
      </c>
      <c r="AK3405" s="5" t="s">
        <v>238</v>
      </c>
      <c r="AL3405" s="5" t="s">
        <v>238</v>
      </c>
      <c r="AM3405" s="6" t="s">
        <v>238</v>
      </c>
      <c r="AN3405" s="6" t="s">
        <v>238</v>
      </c>
      <c r="AO3405" s="6" t="s">
        <v>238</v>
      </c>
      <c r="AP3405" s="6" t="s">
        <v>238</v>
      </c>
      <c r="AQ3405" s="5" t="s">
        <v>238</v>
      </c>
      <c r="AR3405" s="5" t="s">
        <v>488</v>
      </c>
      <c r="AS3405" s="5" t="s">
        <v>488</v>
      </c>
      <c r="AT3405" s="5" t="s">
        <v>246</v>
      </c>
      <c r="AU3405" s="5" t="s">
        <v>489</v>
      </c>
      <c r="AV3405" s="5" t="s">
        <v>247</v>
      </c>
      <c r="AW3405" s="5" t="s">
        <v>238</v>
      </c>
      <c r="AX3405" s="5" t="s">
        <v>249</v>
      </c>
      <c r="AY3405" s="5" t="s">
        <v>490</v>
      </c>
      <c r="BA3405" s="5" t="s">
        <v>238</v>
      </c>
      <c r="BC3405" s="5" t="s">
        <v>491</v>
      </c>
      <c r="BD3405" s="6" t="s">
        <v>492</v>
      </c>
      <c r="BE3405" s="5" t="s">
        <v>493</v>
      </c>
      <c r="BF3405" s="5" t="s">
        <v>493</v>
      </c>
      <c r="BG3405" s="5" t="s">
        <v>238</v>
      </c>
      <c r="BH3405" s="8">
        <f>1</f>
        <v>1</v>
      </c>
      <c r="BI3405" s="8">
        <f>1</f>
        <v>1</v>
      </c>
      <c r="BJ3405" s="5" t="s">
        <v>253</v>
      </c>
      <c r="BK3405" s="5" t="s">
        <v>254</v>
      </c>
      <c r="BL3405" s="5" t="s">
        <v>238</v>
      </c>
      <c r="BM3405" s="5" t="s">
        <v>238</v>
      </c>
      <c r="BN3405" s="5" t="s">
        <v>238</v>
      </c>
      <c r="BO3405" s="5" t="s">
        <v>238</v>
      </c>
      <c r="BP3405" s="5" t="s">
        <v>238</v>
      </c>
      <c r="BQ3405" s="5" t="s">
        <v>238</v>
      </c>
      <c r="BR3405" s="5" t="s">
        <v>238</v>
      </c>
      <c r="BS3405" s="5" t="s">
        <v>238</v>
      </c>
      <c r="BT3405" s="6" t="s">
        <v>238</v>
      </c>
      <c r="BU3405" s="5" t="s">
        <v>238</v>
      </c>
      <c r="BV3405" s="5" t="s">
        <v>238</v>
      </c>
      <c r="BW3405" s="5" t="s">
        <v>238</v>
      </c>
      <c r="BX3405" s="5" t="s">
        <v>254</v>
      </c>
      <c r="BY3405" s="5" t="s">
        <v>238</v>
      </c>
      <c r="BZ3405" s="5" t="s">
        <v>238</v>
      </c>
      <c r="CA3405" s="5" t="s">
        <v>238</v>
      </c>
      <c r="CB3405" s="5" t="s">
        <v>238</v>
      </c>
      <c r="CC3405" s="5" t="s">
        <v>238</v>
      </c>
      <c r="CD3405" s="5" t="s">
        <v>273</v>
      </c>
      <c r="CE3405" s="5" t="s">
        <v>256</v>
      </c>
      <c r="CF3405" s="5" t="s">
        <v>238</v>
      </c>
      <c r="CH3405" s="5" t="s">
        <v>494</v>
      </c>
      <c r="CI3405" s="6" t="s">
        <v>257</v>
      </c>
      <c r="CJ3405" s="5" t="s">
        <v>495</v>
      </c>
      <c r="CK3405" s="5" t="s">
        <v>258</v>
      </c>
      <c r="CL3405" s="5" t="s">
        <v>496</v>
      </c>
      <c r="CM3405" s="5" t="s">
        <v>238</v>
      </c>
      <c r="CN3405" s="5">
        <v>0</v>
      </c>
      <c r="CO3405" s="5" t="s">
        <v>497</v>
      </c>
      <c r="CP3405" s="5" t="s">
        <v>260</v>
      </c>
      <c r="CQ3405" s="5" t="s">
        <v>260</v>
      </c>
      <c r="CR3405" s="5" t="s">
        <v>261</v>
      </c>
      <c r="CS3405" s="5" t="s">
        <v>498</v>
      </c>
      <c r="CT3405" s="7">
        <f>1</f>
        <v>1</v>
      </c>
      <c r="CU3405" s="8">
        <f>1</f>
        <v>1</v>
      </c>
      <c r="CV3405" s="8">
        <f>0</f>
        <v>0</v>
      </c>
      <c r="CX3405" s="8">
        <f>1</f>
        <v>1</v>
      </c>
      <c r="CY3405" s="8">
        <f>1</f>
        <v>1</v>
      </c>
      <c r="CZ3405" s="8" t="s">
        <v>238</v>
      </c>
      <c r="DA3405" s="5" t="s">
        <v>238</v>
      </c>
      <c r="DB3405" s="5" t="s">
        <v>238</v>
      </c>
      <c r="DC3405" s="5" t="s">
        <v>238</v>
      </c>
      <c r="DD3405" s="5" t="s">
        <v>238</v>
      </c>
      <c r="DE3405" s="8">
        <f>0</f>
        <v>0</v>
      </c>
      <c r="DG3405" s="5" t="s">
        <v>238</v>
      </c>
      <c r="DH3405" s="5" t="s">
        <v>238</v>
      </c>
      <c r="DI3405" s="5" t="s">
        <v>238</v>
      </c>
      <c r="DJ3405" s="5" t="s">
        <v>238</v>
      </c>
      <c r="DK3405" s="5" t="s">
        <v>238</v>
      </c>
      <c r="DL3405" s="5" t="s">
        <v>238</v>
      </c>
      <c r="DM3405" s="8" t="s">
        <v>238</v>
      </c>
      <c r="DN3405" s="5" t="s">
        <v>238</v>
      </c>
      <c r="DO3405" s="5" t="s">
        <v>238</v>
      </c>
      <c r="DP3405" s="5" t="s">
        <v>490</v>
      </c>
      <c r="DQ3405" s="5" t="s">
        <v>490</v>
      </c>
      <c r="DR3405" s="5" t="s">
        <v>238</v>
      </c>
      <c r="DS3405" s="5" t="s">
        <v>238</v>
      </c>
      <c r="DT3405" s="5" t="s">
        <v>500</v>
      </c>
      <c r="DU3405" s="5" t="s">
        <v>3291</v>
      </c>
      <c r="DV3405" s="5" t="s">
        <v>238</v>
      </c>
      <c r="DW3405" s="5" t="s">
        <v>238</v>
      </c>
      <c r="DX3405" s="5" t="s">
        <v>238</v>
      </c>
      <c r="DY3405" s="5" t="s">
        <v>238</v>
      </c>
      <c r="DZ3405" s="5" t="s">
        <v>238</v>
      </c>
      <c r="EA3405" s="5" t="s">
        <v>238</v>
      </c>
      <c r="EB3405" s="5" t="s">
        <v>238</v>
      </c>
      <c r="EC3405" s="5" t="s">
        <v>238</v>
      </c>
      <c r="ED3405" s="5" t="s">
        <v>238</v>
      </c>
      <c r="EE3405" s="5" t="s">
        <v>238</v>
      </c>
      <c r="EF3405" s="5" t="s">
        <v>238</v>
      </c>
      <c r="EG3405" s="5" t="s">
        <v>238</v>
      </c>
      <c r="EH3405" s="5" t="s">
        <v>238</v>
      </c>
      <c r="EI3405" s="5" t="s">
        <v>238</v>
      </c>
      <c r="EJ3405" s="5" t="s">
        <v>238</v>
      </c>
      <c r="EK3405" s="5" t="s">
        <v>238</v>
      </c>
      <c r="EL3405" s="5" t="s">
        <v>238</v>
      </c>
      <c r="EM3405" s="5" t="s">
        <v>238</v>
      </c>
      <c r="EN3405" s="5" t="s">
        <v>238</v>
      </c>
      <c r="EO3405" s="5" t="s">
        <v>238</v>
      </c>
      <c r="EP3405" s="5" t="s">
        <v>238</v>
      </c>
      <c r="EQ3405" s="5" t="s">
        <v>238</v>
      </c>
      <c r="ER3405" s="5" t="s">
        <v>238</v>
      </c>
      <c r="ES3405" s="5" t="s">
        <v>238</v>
      </c>
      <c r="ET3405" s="5" t="s">
        <v>238</v>
      </c>
      <c r="EU3405" s="5" t="s">
        <v>238</v>
      </c>
      <c r="EV3405" s="5" t="s">
        <v>238</v>
      </c>
      <c r="EW3405" s="5" t="s">
        <v>238</v>
      </c>
      <c r="EX3405" s="5" t="s">
        <v>238</v>
      </c>
      <c r="EY3405" s="5" t="s">
        <v>238</v>
      </c>
      <c r="EZ3405" s="5" t="s">
        <v>238</v>
      </c>
      <c r="FA3405" s="5" t="s">
        <v>238</v>
      </c>
      <c r="FB3405" s="5" t="s">
        <v>238</v>
      </c>
      <c r="FC3405" s="5" t="s">
        <v>238</v>
      </c>
      <c r="FD3405" s="5" t="s">
        <v>238</v>
      </c>
      <c r="FE3405" s="5" t="s">
        <v>238</v>
      </c>
      <c r="FF3405" s="5" t="s">
        <v>238</v>
      </c>
      <c r="FG3405" s="5" t="s">
        <v>238</v>
      </c>
      <c r="FH3405" s="5" t="s">
        <v>238</v>
      </c>
      <c r="FI3405" s="5" t="s">
        <v>238</v>
      </c>
      <c r="FJ3405" s="5" t="s">
        <v>238</v>
      </c>
      <c r="FK3405" s="5" t="s">
        <v>238</v>
      </c>
      <c r="FL3405" s="5" t="s">
        <v>238</v>
      </c>
      <c r="FM3405" s="5" t="s">
        <v>238</v>
      </c>
      <c r="FN3405" s="5" t="s">
        <v>238</v>
      </c>
      <c r="FO3405" s="5" t="s">
        <v>238</v>
      </c>
      <c r="FP3405" s="5" t="s">
        <v>238</v>
      </c>
      <c r="FQ3405" s="5" t="s">
        <v>238</v>
      </c>
      <c r="FR3405" s="5" t="s">
        <v>238</v>
      </c>
      <c r="FS3405" s="5" t="s">
        <v>238</v>
      </c>
      <c r="FT3405" s="5" t="s">
        <v>238</v>
      </c>
      <c r="FU3405" s="5" t="s">
        <v>238</v>
      </c>
      <c r="FV3405" s="5" t="s">
        <v>238</v>
      </c>
      <c r="FW3405" s="5" t="s">
        <v>238</v>
      </c>
      <c r="FX3405" s="5" t="s">
        <v>238</v>
      </c>
      <c r="FY3405" s="5" t="s">
        <v>238</v>
      </c>
      <c r="FZ3405" s="5" t="s">
        <v>238</v>
      </c>
      <c r="GA3405" s="5" t="s">
        <v>238</v>
      </c>
      <c r="GB3405" s="5" t="s">
        <v>238</v>
      </c>
      <c r="GC3405" s="5" t="s">
        <v>238</v>
      </c>
      <c r="GD3405" s="5" t="s">
        <v>238</v>
      </c>
      <c r="GE3405" s="5" t="s">
        <v>238</v>
      </c>
      <c r="GF3405" s="5" t="s">
        <v>238</v>
      </c>
      <c r="GG3405" s="5" t="s">
        <v>238</v>
      </c>
      <c r="GH3405" s="5" t="s">
        <v>238</v>
      </c>
      <c r="GI3405" s="5" t="s">
        <v>238</v>
      </c>
      <c r="GJ3405" s="5" t="s">
        <v>238</v>
      </c>
      <c r="GK3405" s="5" t="s">
        <v>238</v>
      </c>
      <c r="GL3405" s="5" t="s">
        <v>238</v>
      </c>
      <c r="GM3405" s="5" t="s">
        <v>238</v>
      </c>
      <c r="GN3405" s="5" t="s">
        <v>238</v>
      </c>
      <c r="GO3405" s="5" t="s">
        <v>238</v>
      </c>
      <c r="GP3405" s="5" t="s">
        <v>238</v>
      </c>
      <c r="GQ3405" s="5" t="s">
        <v>238</v>
      </c>
      <c r="GR3405" s="5" t="s">
        <v>238</v>
      </c>
      <c r="GS3405" s="5" t="s">
        <v>238</v>
      </c>
      <c r="GT3405" s="5" t="s">
        <v>238</v>
      </c>
      <c r="GU3405" s="5" t="s">
        <v>238</v>
      </c>
      <c r="GV3405" s="5" t="s">
        <v>238</v>
      </c>
      <c r="GW3405" s="5" t="s">
        <v>238</v>
      </c>
      <c r="GX3405" s="5" t="s">
        <v>238</v>
      </c>
      <c r="GY3405" s="5" t="s">
        <v>238</v>
      </c>
      <c r="GZ3405" s="5" t="s">
        <v>238</v>
      </c>
      <c r="HA3405" s="5" t="s">
        <v>238</v>
      </c>
      <c r="HB3405" s="5" t="s">
        <v>238</v>
      </c>
      <c r="HC3405" s="5" t="s">
        <v>238</v>
      </c>
      <c r="HD3405" s="5" t="s">
        <v>238</v>
      </c>
      <c r="HE3405" s="5" t="s">
        <v>238</v>
      </c>
      <c r="HF3405" s="5" t="s">
        <v>238</v>
      </c>
      <c r="HG3405" s="5" t="s">
        <v>238</v>
      </c>
      <c r="HH3405" s="5" t="s">
        <v>238</v>
      </c>
      <c r="HI3405" s="5" t="s">
        <v>238</v>
      </c>
      <c r="HJ3405" s="5" t="s">
        <v>238</v>
      </c>
      <c r="HK3405" s="5" t="s">
        <v>238</v>
      </c>
      <c r="HL3405" s="5" t="s">
        <v>238</v>
      </c>
      <c r="HM3405" s="5" t="s">
        <v>264</v>
      </c>
      <c r="HN3405" s="5" t="s">
        <v>238</v>
      </c>
      <c r="HO3405" s="5" t="s">
        <v>238</v>
      </c>
      <c r="HP3405" s="5" t="s">
        <v>238</v>
      </c>
      <c r="HQ3405" s="5" t="s">
        <v>238</v>
      </c>
      <c r="HR3405" s="5" t="s">
        <v>238</v>
      </c>
      <c r="HS3405" s="5" t="s">
        <v>238</v>
      </c>
      <c r="HT3405" s="5" t="s">
        <v>238</v>
      </c>
      <c r="HU3405" s="5" t="s">
        <v>238</v>
      </c>
      <c r="HV3405" s="5" t="s">
        <v>238</v>
      </c>
      <c r="HW3405" s="5" t="s">
        <v>238</v>
      </c>
      <c r="HX3405" s="5" t="s">
        <v>238</v>
      </c>
      <c r="HY3405" s="5" t="s">
        <v>238</v>
      </c>
      <c r="HZ3405" s="5" t="s">
        <v>238</v>
      </c>
      <c r="IA3405" s="5" t="s">
        <v>238</v>
      </c>
      <c r="IB3405" s="5" t="s">
        <v>238</v>
      </c>
      <c r="IC3405" s="5" t="s">
        <v>238</v>
      </c>
      <c r="ID3405" s="5" t="s">
        <v>238</v>
      </c>
    </row>
    <row r="3406" spans="1:238" x14ac:dyDescent="0.4">
      <c r="A3406" s="5">
        <v>9124</v>
      </c>
      <c r="B3406" s="5">
        <v>1</v>
      </c>
      <c r="C3406" s="5">
        <v>1</v>
      </c>
      <c r="D3406" s="5" t="s">
        <v>484</v>
      </c>
      <c r="E3406" s="5" t="s">
        <v>485</v>
      </c>
      <c r="F3406" s="5" t="s">
        <v>248</v>
      </c>
      <c r="G3406" s="5" t="s">
        <v>4803</v>
      </c>
      <c r="H3406" s="6" t="s">
        <v>4805</v>
      </c>
      <c r="I3406" s="8">
        <f>1</f>
        <v>1</v>
      </c>
      <c r="J3406" s="5" t="s">
        <v>499</v>
      </c>
      <c r="K3406" s="8">
        <f>1</f>
        <v>1</v>
      </c>
      <c r="L3406" s="6" t="s">
        <v>242</v>
      </c>
      <c r="M3406" s="5" t="s">
        <v>267</v>
      </c>
      <c r="N3406" s="5" t="s">
        <v>482</v>
      </c>
      <c r="O3406" s="5" t="s">
        <v>238</v>
      </c>
      <c r="P3406" s="5" t="s">
        <v>238</v>
      </c>
      <c r="Q3406" s="5" t="s">
        <v>239</v>
      </c>
      <c r="R3406" s="5" t="s">
        <v>270</v>
      </c>
      <c r="S3406" s="5" t="s">
        <v>238</v>
      </c>
      <c r="T3406" s="5" t="s">
        <v>238</v>
      </c>
      <c r="U3406" s="5" t="s">
        <v>238</v>
      </c>
      <c r="V3406" s="5" t="s">
        <v>238</v>
      </c>
      <c r="W3406" s="6" t="s">
        <v>238</v>
      </c>
      <c r="X3406" s="6" t="s">
        <v>238</v>
      </c>
      <c r="Y3406" s="5" t="s">
        <v>238</v>
      </c>
      <c r="Z3406" s="6" t="s">
        <v>238</v>
      </c>
      <c r="AA3406" s="6" t="s">
        <v>243</v>
      </c>
      <c r="AB3406" s="5" t="s">
        <v>4804</v>
      </c>
      <c r="AC3406" s="5" t="s">
        <v>244</v>
      </c>
      <c r="AD3406" s="5" t="s">
        <v>245</v>
      </c>
      <c r="AE3406" s="5" t="s">
        <v>238</v>
      </c>
      <c r="AF3406" s="5" t="s">
        <v>238</v>
      </c>
      <c r="AG3406" s="5" t="s">
        <v>238</v>
      </c>
      <c r="AH3406" s="5" t="s">
        <v>238</v>
      </c>
      <c r="AI3406" s="5" t="s">
        <v>238</v>
      </c>
      <c r="AJ3406" s="5" t="s">
        <v>238</v>
      </c>
      <c r="AK3406" s="5" t="s">
        <v>238</v>
      </c>
      <c r="AL3406" s="5" t="s">
        <v>238</v>
      </c>
      <c r="AM3406" s="6" t="s">
        <v>238</v>
      </c>
      <c r="AN3406" s="6" t="s">
        <v>238</v>
      </c>
      <c r="AO3406" s="6" t="s">
        <v>238</v>
      </c>
      <c r="AP3406" s="6" t="s">
        <v>238</v>
      </c>
      <c r="AQ3406" s="5" t="s">
        <v>238</v>
      </c>
      <c r="AR3406" s="5" t="s">
        <v>488</v>
      </c>
      <c r="AS3406" s="5" t="s">
        <v>488</v>
      </c>
      <c r="AT3406" s="5" t="s">
        <v>246</v>
      </c>
      <c r="AU3406" s="5" t="s">
        <v>489</v>
      </c>
      <c r="AV3406" s="5" t="s">
        <v>247</v>
      </c>
      <c r="AW3406" s="5" t="s">
        <v>238</v>
      </c>
      <c r="AX3406" s="5" t="s">
        <v>249</v>
      </c>
      <c r="AY3406" s="5" t="s">
        <v>490</v>
      </c>
      <c r="BA3406" s="5" t="s">
        <v>238</v>
      </c>
      <c r="BC3406" s="5" t="s">
        <v>491</v>
      </c>
      <c r="BD3406" s="6" t="s">
        <v>492</v>
      </c>
      <c r="BE3406" s="5" t="s">
        <v>493</v>
      </c>
      <c r="BF3406" s="5" t="s">
        <v>493</v>
      </c>
      <c r="BG3406" s="5" t="s">
        <v>238</v>
      </c>
      <c r="BH3406" s="8">
        <f>1</f>
        <v>1</v>
      </c>
      <c r="BI3406" s="8">
        <f>1</f>
        <v>1</v>
      </c>
      <c r="BJ3406" s="5" t="s">
        <v>253</v>
      </c>
      <c r="BK3406" s="5" t="s">
        <v>254</v>
      </c>
      <c r="BL3406" s="5" t="s">
        <v>238</v>
      </c>
      <c r="BM3406" s="5" t="s">
        <v>238</v>
      </c>
      <c r="BN3406" s="5" t="s">
        <v>238</v>
      </c>
      <c r="BO3406" s="5" t="s">
        <v>238</v>
      </c>
      <c r="BP3406" s="5" t="s">
        <v>238</v>
      </c>
      <c r="BQ3406" s="5" t="s">
        <v>238</v>
      </c>
      <c r="BR3406" s="5" t="s">
        <v>238</v>
      </c>
      <c r="BS3406" s="5" t="s">
        <v>238</v>
      </c>
      <c r="BT3406" s="6" t="s">
        <v>238</v>
      </c>
      <c r="BU3406" s="5" t="s">
        <v>238</v>
      </c>
      <c r="BV3406" s="5" t="s">
        <v>238</v>
      </c>
      <c r="BW3406" s="5" t="s">
        <v>238</v>
      </c>
      <c r="BX3406" s="5" t="s">
        <v>254</v>
      </c>
      <c r="BY3406" s="5" t="s">
        <v>238</v>
      </c>
      <c r="BZ3406" s="5" t="s">
        <v>238</v>
      </c>
      <c r="CA3406" s="5" t="s">
        <v>238</v>
      </c>
      <c r="CB3406" s="5" t="s">
        <v>238</v>
      </c>
      <c r="CC3406" s="5" t="s">
        <v>238</v>
      </c>
      <c r="CD3406" s="5" t="s">
        <v>273</v>
      </c>
      <c r="CE3406" s="5" t="s">
        <v>256</v>
      </c>
      <c r="CF3406" s="5" t="s">
        <v>238</v>
      </c>
      <c r="CH3406" s="5" t="s">
        <v>494</v>
      </c>
      <c r="CI3406" s="6" t="s">
        <v>257</v>
      </c>
      <c r="CJ3406" s="5" t="s">
        <v>495</v>
      </c>
      <c r="CK3406" s="5" t="s">
        <v>258</v>
      </c>
      <c r="CL3406" s="5" t="s">
        <v>496</v>
      </c>
      <c r="CM3406" s="5" t="s">
        <v>238</v>
      </c>
      <c r="CN3406" s="5">
        <v>0</v>
      </c>
      <c r="CO3406" s="5" t="s">
        <v>497</v>
      </c>
      <c r="CP3406" s="5" t="s">
        <v>260</v>
      </c>
      <c r="CQ3406" s="5" t="s">
        <v>260</v>
      </c>
      <c r="CR3406" s="5" t="s">
        <v>261</v>
      </c>
      <c r="CS3406" s="5" t="s">
        <v>498</v>
      </c>
      <c r="CT3406" s="7">
        <f>1</f>
        <v>1</v>
      </c>
      <c r="CU3406" s="8">
        <f>1</f>
        <v>1</v>
      </c>
      <c r="CV3406" s="8">
        <f>0</f>
        <v>0</v>
      </c>
      <c r="CX3406" s="8">
        <f>1</f>
        <v>1</v>
      </c>
      <c r="CY3406" s="8">
        <f>1</f>
        <v>1</v>
      </c>
      <c r="CZ3406" s="8" t="s">
        <v>238</v>
      </c>
      <c r="DA3406" s="5" t="s">
        <v>238</v>
      </c>
      <c r="DB3406" s="5" t="s">
        <v>238</v>
      </c>
      <c r="DC3406" s="5" t="s">
        <v>238</v>
      </c>
      <c r="DD3406" s="5" t="s">
        <v>238</v>
      </c>
      <c r="DE3406" s="8">
        <f>0</f>
        <v>0</v>
      </c>
      <c r="DG3406" s="5" t="s">
        <v>238</v>
      </c>
      <c r="DH3406" s="5" t="s">
        <v>238</v>
      </c>
      <c r="DI3406" s="5" t="s">
        <v>238</v>
      </c>
      <c r="DJ3406" s="5" t="s">
        <v>238</v>
      </c>
      <c r="DK3406" s="5" t="s">
        <v>238</v>
      </c>
      <c r="DL3406" s="5" t="s">
        <v>238</v>
      </c>
      <c r="DM3406" s="8" t="s">
        <v>238</v>
      </c>
      <c r="DN3406" s="5" t="s">
        <v>238</v>
      </c>
      <c r="DO3406" s="5" t="s">
        <v>238</v>
      </c>
      <c r="DP3406" s="5" t="s">
        <v>490</v>
      </c>
      <c r="DQ3406" s="5" t="s">
        <v>490</v>
      </c>
      <c r="DR3406" s="5" t="s">
        <v>238</v>
      </c>
      <c r="DS3406" s="5" t="s">
        <v>238</v>
      </c>
      <c r="DT3406" s="5" t="s">
        <v>500</v>
      </c>
      <c r="DU3406" s="5" t="s">
        <v>1049</v>
      </c>
      <c r="DV3406" s="5" t="s">
        <v>238</v>
      </c>
      <c r="DW3406" s="5" t="s">
        <v>238</v>
      </c>
      <c r="DX3406" s="5" t="s">
        <v>238</v>
      </c>
      <c r="DY3406" s="5" t="s">
        <v>238</v>
      </c>
      <c r="DZ3406" s="5" t="s">
        <v>238</v>
      </c>
      <c r="EA3406" s="5" t="s">
        <v>238</v>
      </c>
      <c r="EB3406" s="5" t="s">
        <v>238</v>
      </c>
      <c r="EC3406" s="5" t="s">
        <v>238</v>
      </c>
      <c r="ED3406" s="5" t="s">
        <v>238</v>
      </c>
      <c r="EE3406" s="5" t="s">
        <v>238</v>
      </c>
      <c r="EF3406" s="5" t="s">
        <v>238</v>
      </c>
      <c r="EG3406" s="5" t="s">
        <v>238</v>
      </c>
      <c r="EH3406" s="5" t="s">
        <v>238</v>
      </c>
      <c r="EI3406" s="5" t="s">
        <v>238</v>
      </c>
      <c r="EJ3406" s="5" t="s">
        <v>238</v>
      </c>
      <c r="EK3406" s="5" t="s">
        <v>238</v>
      </c>
      <c r="EL3406" s="5" t="s">
        <v>238</v>
      </c>
      <c r="EM3406" s="5" t="s">
        <v>238</v>
      </c>
      <c r="EN3406" s="5" t="s">
        <v>238</v>
      </c>
      <c r="EO3406" s="5" t="s">
        <v>238</v>
      </c>
      <c r="EP3406" s="5" t="s">
        <v>238</v>
      </c>
      <c r="EQ3406" s="5" t="s">
        <v>238</v>
      </c>
      <c r="ER3406" s="5" t="s">
        <v>238</v>
      </c>
      <c r="ES3406" s="5" t="s">
        <v>238</v>
      </c>
      <c r="ET3406" s="5" t="s">
        <v>238</v>
      </c>
      <c r="EU3406" s="5" t="s">
        <v>238</v>
      </c>
      <c r="EV3406" s="5" t="s">
        <v>238</v>
      </c>
      <c r="EW3406" s="5" t="s">
        <v>238</v>
      </c>
      <c r="EX3406" s="5" t="s">
        <v>238</v>
      </c>
      <c r="EY3406" s="5" t="s">
        <v>238</v>
      </c>
      <c r="EZ3406" s="5" t="s">
        <v>238</v>
      </c>
      <c r="FA3406" s="5" t="s">
        <v>238</v>
      </c>
      <c r="FB3406" s="5" t="s">
        <v>238</v>
      </c>
      <c r="FC3406" s="5" t="s">
        <v>238</v>
      </c>
      <c r="FD3406" s="5" t="s">
        <v>238</v>
      </c>
      <c r="FE3406" s="5" t="s">
        <v>238</v>
      </c>
      <c r="FF3406" s="5" t="s">
        <v>238</v>
      </c>
      <c r="FG3406" s="5" t="s">
        <v>238</v>
      </c>
      <c r="FH3406" s="5" t="s">
        <v>238</v>
      </c>
      <c r="FI3406" s="5" t="s">
        <v>238</v>
      </c>
      <c r="FJ3406" s="5" t="s">
        <v>238</v>
      </c>
      <c r="FK3406" s="5" t="s">
        <v>238</v>
      </c>
      <c r="FL3406" s="5" t="s">
        <v>238</v>
      </c>
      <c r="FM3406" s="5" t="s">
        <v>238</v>
      </c>
      <c r="FN3406" s="5" t="s">
        <v>238</v>
      </c>
      <c r="FO3406" s="5" t="s">
        <v>238</v>
      </c>
      <c r="FP3406" s="5" t="s">
        <v>238</v>
      </c>
      <c r="FQ3406" s="5" t="s">
        <v>238</v>
      </c>
      <c r="FR3406" s="5" t="s">
        <v>238</v>
      </c>
      <c r="FS3406" s="5" t="s">
        <v>238</v>
      </c>
      <c r="FT3406" s="5" t="s">
        <v>238</v>
      </c>
      <c r="FU3406" s="5" t="s">
        <v>238</v>
      </c>
      <c r="FV3406" s="5" t="s">
        <v>238</v>
      </c>
      <c r="FW3406" s="5" t="s">
        <v>238</v>
      </c>
      <c r="FX3406" s="5" t="s">
        <v>238</v>
      </c>
      <c r="FY3406" s="5" t="s">
        <v>238</v>
      </c>
      <c r="FZ3406" s="5" t="s">
        <v>238</v>
      </c>
      <c r="GA3406" s="5" t="s">
        <v>238</v>
      </c>
      <c r="GB3406" s="5" t="s">
        <v>238</v>
      </c>
      <c r="GC3406" s="5" t="s">
        <v>238</v>
      </c>
      <c r="GD3406" s="5" t="s">
        <v>238</v>
      </c>
      <c r="GE3406" s="5" t="s">
        <v>238</v>
      </c>
      <c r="GF3406" s="5" t="s">
        <v>238</v>
      </c>
      <c r="GG3406" s="5" t="s">
        <v>238</v>
      </c>
      <c r="GH3406" s="5" t="s">
        <v>238</v>
      </c>
      <c r="GI3406" s="5" t="s">
        <v>238</v>
      </c>
      <c r="GJ3406" s="5" t="s">
        <v>238</v>
      </c>
      <c r="GK3406" s="5" t="s">
        <v>238</v>
      </c>
      <c r="GL3406" s="5" t="s">
        <v>238</v>
      </c>
      <c r="GM3406" s="5" t="s">
        <v>238</v>
      </c>
      <c r="GN3406" s="5" t="s">
        <v>238</v>
      </c>
      <c r="GO3406" s="5" t="s">
        <v>238</v>
      </c>
      <c r="GP3406" s="5" t="s">
        <v>238</v>
      </c>
      <c r="GQ3406" s="5" t="s">
        <v>238</v>
      </c>
      <c r="GR3406" s="5" t="s">
        <v>238</v>
      </c>
      <c r="GS3406" s="5" t="s">
        <v>238</v>
      </c>
      <c r="GT3406" s="5" t="s">
        <v>238</v>
      </c>
      <c r="GU3406" s="5" t="s">
        <v>238</v>
      </c>
      <c r="GV3406" s="5" t="s">
        <v>238</v>
      </c>
      <c r="GW3406" s="5" t="s">
        <v>238</v>
      </c>
      <c r="GX3406" s="5" t="s">
        <v>238</v>
      </c>
      <c r="GY3406" s="5" t="s">
        <v>238</v>
      </c>
      <c r="GZ3406" s="5" t="s">
        <v>238</v>
      </c>
      <c r="HA3406" s="5" t="s">
        <v>238</v>
      </c>
      <c r="HB3406" s="5" t="s">
        <v>238</v>
      </c>
      <c r="HC3406" s="5" t="s">
        <v>238</v>
      </c>
      <c r="HD3406" s="5" t="s">
        <v>238</v>
      </c>
      <c r="HE3406" s="5" t="s">
        <v>238</v>
      </c>
      <c r="HF3406" s="5" t="s">
        <v>238</v>
      </c>
      <c r="HG3406" s="5" t="s">
        <v>238</v>
      </c>
      <c r="HH3406" s="5" t="s">
        <v>238</v>
      </c>
      <c r="HI3406" s="5" t="s">
        <v>238</v>
      </c>
      <c r="HJ3406" s="5" t="s">
        <v>238</v>
      </c>
      <c r="HK3406" s="5" t="s">
        <v>238</v>
      </c>
      <c r="HL3406" s="5" t="s">
        <v>238</v>
      </c>
      <c r="HM3406" s="5" t="s">
        <v>264</v>
      </c>
      <c r="HN3406" s="5" t="s">
        <v>238</v>
      </c>
      <c r="HO3406" s="5" t="s">
        <v>238</v>
      </c>
      <c r="HP3406" s="5" t="s">
        <v>238</v>
      </c>
      <c r="HQ3406" s="5" t="s">
        <v>238</v>
      </c>
      <c r="HR3406" s="5" t="s">
        <v>238</v>
      </c>
      <c r="HS3406" s="5" t="s">
        <v>238</v>
      </c>
      <c r="HT3406" s="5" t="s">
        <v>238</v>
      </c>
      <c r="HU3406" s="5" t="s">
        <v>238</v>
      </c>
      <c r="HV3406" s="5" t="s">
        <v>238</v>
      </c>
      <c r="HW3406" s="5" t="s">
        <v>238</v>
      </c>
      <c r="HX3406" s="5" t="s">
        <v>238</v>
      </c>
      <c r="HY3406" s="5" t="s">
        <v>238</v>
      </c>
      <c r="HZ3406" s="5" t="s">
        <v>238</v>
      </c>
      <c r="IA3406" s="5" t="s">
        <v>238</v>
      </c>
      <c r="IB3406" s="5" t="s">
        <v>238</v>
      </c>
      <c r="IC3406" s="5" t="s">
        <v>238</v>
      </c>
      <c r="ID3406" s="5" t="s">
        <v>238</v>
      </c>
    </row>
    <row r="3407" spans="1:238" x14ac:dyDescent="0.4">
      <c r="A3407" s="5">
        <v>9125</v>
      </c>
      <c r="B3407" s="5">
        <v>1</v>
      </c>
      <c r="C3407" s="5">
        <v>1</v>
      </c>
      <c r="D3407" s="5" t="s">
        <v>484</v>
      </c>
      <c r="E3407" s="5" t="s">
        <v>485</v>
      </c>
      <c r="F3407" s="5" t="s">
        <v>248</v>
      </c>
      <c r="G3407" s="5" t="s">
        <v>5246</v>
      </c>
      <c r="H3407" s="6" t="s">
        <v>5248</v>
      </c>
      <c r="I3407" s="8">
        <f>1</f>
        <v>1</v>
      </c>
      <c r="J3407" s="5" t="s">
        <v>499</v>
      </c>
      <c r="K3407" s="8">
        <f>1</f>
        <v>1</v>
      </c>
      <c r="L3407" s="6" t="s">
        <v>242</v>
      </c>
      <c r="M3407" s="5" t="s">
        <v>267</v>
      </c>
      <c r="N3407" s="5" t="s">
        <v>482</v>
      </c>
      <c r="O3407" s="5" t="s">
        <v>238</v>
      </c>
      <c r="P3407" s="5" t="s">
        <v>238</v>
      </c>
      <c r="Q3407" s="5" t="s">
        <v>239</v>
      </c>
      <c r="R3407" s="5" t="s">
        <v>270</v>
      </c>
      <c r="S3407" s="5" t="s">
        <v>238</v>
      </c>
      <c r="T3407" s="5" t="s">
        <v>238</v>
      </c>
      <c r="U3407" s="5" t="s">
        <v>238</v>
      </c>
      <c r="V3407" s="5" t="s">
        <v>238</v>
      </c>
      <c r="W3407" s="6" t="s">
        <v>238</v>
      </c>
      <c r="X3407" s="6" t="s">
        <v>238</v>
      </c>
      <c r="Y3407" s="5" t="s">
        <v>238</v>
      </c>
      <c r="Z3407" s="6" t="s">
        <v>238</v>
      </c>
      <c r="AA3407" s="6" t="s">
        <v>243</v>
      </c>
      <c r="AB3407" s="5" t="s">
        <v>5247</v>
      </c>
      <c r="AC3407" s="5" t="s">
        <v>244</v>
      </c>
      <c r="AD3407" s="5" t="s">
        <v>245</v>
      </c>
      <c r="AE3407" s="5" t="s">
        <v>238</v>
      </c>
      <c r="AF3407" s="5" t="s">
        <v>238</v>
      </c>
      <c r="AG3407" s="5" t="s">
        <v>238</v>
      </c>
      <c r="AH3407" s="5" t="s">
        <v>238</v>
      </c>
      <c r="AI3407" s="5" t="s">
        <v>238</v>
      </c>
      <c r="AJ3407" s="5" t="s">
        <v>238</v>
      </c>
      <c r="AK3407" s="5" t="s">
        <v>238</v>
      </c>
      <c r="AL3407" s="5" t="s">
        <v>238</v>
      </c>
      <c r="AM3407" s="6" t="s">
        <v>238</v>
      </c>
      <c r="AN3407" s="6" t="s">
        <v>238</v>
      </c>
      <c r="AO3407" s="6" t="s">
        <v>238</v>
      </c>
      <c r="AP3407" s="6" t="s">
        <v>238</v>
      </c>
      <c r="AQ3407" s="5" t="s">
        <v>238</v>
      </c>
      <c r="AR3407" s="5" t="s">
        <v>488</v>
      </c>
      <c r="AS3407" s="5" t="s">
        <v>488</v>
      </c>
      <c r="AT3407" s="5" t="s">
        <v>246</v>
      </c>
      <c r="AU3407" s="5" t="s">
        <v>489</v>
      </c>
      <c r="AV3407" s="5" t="s">
        <v>247</v>
      </c>
      <c r="AW3407" s="5" t="s">
        <v>238</v>
      </c>
      <c r="AX3407" s="5" t="s">
        <v>249</v>
      </c>
      <c r="AY3407" s="5" t="s">
        <v>490</v>
      </c>
      <c r="BA3407" s="5" t="s">
        <v>238</v>
      </c>
      <c r="BC3407" s="5" t="s">
        <v>491</v>
      </c>
      <c r="BD3407" s="6" t="s">
        <v>492</v>
      </c>
      <c r="BE3407" s="5" t="s">
        <v>493</v>
      </c>
      <c r="BF3407" s="5" t="s">
        <v>493</v>
      </c>
      <c r="BG3407" s="5" t="s">
        <v>238</v>
      </c>
      <c r="BH3407" s="8">
        <f>1</f>
        <v>1</v>
      </c>
      <c r="BI3407" s="8">
        <f>1</f>
        <v>1</v>
      </c>
      <c r="BJ3407" s="5" t="s">
        <v>253</v>
      </c>
      <c r="BK3407" s="5" t="s">
        <v>254</v>
      </c>
      <c r="BL3407" s="5" t="s">
        <v>238</v>
      </c>
      <c r="BM3407" s="5" t="s">
        <v>238</v>
      </c>
      <c r="BN3407" s="5" t="s">
        <v>238</v>
      </c>
      <c r="BO3407" s="5" t="s">
        <v>238</v>
      </c>
      <c r="BP3407" s="5" t="s">
        <v>238</v>
      </c>
      <c r="BQ3407" s="5" t="s">
        <v>238</v>
      </c>
      <c r="BR3407" s="5" t="s">
        <v>238</v>
      </c>
      <c r="BS3407" s="5" t="s">
        <v>238</v>
      </c>
      <c r="BT3407" s="6" t="s">
        <v>238</v>
      </c>
      <c r="BU3407" s="5" t="s">
        <v>238</v>
      </c>
      <c r="BV3407" s="5" t="s">
        <v>238</v>
      </c>
      <c r="BW3407" s="5" t="s">
        <v>238</v>
      </c>
      <c r="BX3407" s="5" t="s">
        <v>254</v>
      </c>
      <c r="BY3407" s="5" t="s">
        <v>238</v>
      </c>
      <c r="BZ3407" s="5" t="s">
        <v>238</v>
      </c>
      <c r="CA3407" s="5" t="s">
        <v>238</v>
      </c>
      <c r="CB3407" s="5" t="s">
        <v>238</v>
      </c>
      <c r="CC3407" s="5" t="s">
        <v>238</v>
      </c>
      <c r="CD3407" s="5" t="s">
        <v>273</v>
      </c>
      <c r="CE3407" s="5" t="s">
        <v>256</v>
      </c>
      <c r="CF3407" s="5" t="s">
        <v>238</v>
      </c>
      <c r="CH3407" s="5" t="s">
        <v>494</v>
      </c>
      <c r="CI3407" s="6" t="s">
        <v>257</v>
      </c>
      <c r="CJ3407" s="5" t="s">
        <v>495</v>
      </c>
      <c r="CK3407" s="5" t="s">
        <v>258</v>
      </c>
      <c r="CL3407" s="5" t="s">
        <v>496</v>
      </c>
      <c r="CM3407" s="5" t="s">
        <v>238</v>
      </c>
      <c r="CN3407" s="5">
        <v>0</v>
      </c>
      <c r="CO3407" s="5" t="s">
        <v>497</v>
      </c>
      <c r="CP3407" s="5" t="s">
        <v>260</v>
      </c>
      <c r="CQ3407" s="5" t="s">
        <v>260</v>
      </c>
      <c r="CR3407" s="5" t="s">
        <v>261</v>
      </c>
      <c r="CS3407" s="5" t="s">
        <v>498</v>
      </c>
      <c r="CT3407" s="7">
        <f>1</f>
        <v>1</v>
      </c>
      <c r="CU3407" s="8">
        <f>1</f>
        <v>1</v>
      </c>
      <c r="CV3407" s="8">
        <f>0</f>
        <v>0</v>
      </c>
      <c r="CX3407" s="8">
        <f>1</f>
        <v>1</v>
      </c>
      <c r="CY3407" s="8">
        <f>1</f>
        <v>1</v>
      </c>
      <c r="CZ3407" s="8" t="s">
        <v>238</v>
      </c>
      <c r="DA3407" s="5" t="s">
        <v>238</v>
      </c>
      <c r="DB3407" s="5" t="s">
        <v>238</v>
      </c>
      <c r="DC3407" s="5" t="s">
        <v>238</v>
      </c>
      <c r="DD3407" s="5" t="s">
        <v>238</v>
      </c>
      <c r="DE3407" s="8">
        <f>0</f>
        <v>0</v>
      </c>
      <c r="DG3407" s="5" t="s">
        <v>238</v>
      </c>
      <c r="DH3407" s="5" t="s">
        <v>238</v>
      </c>
      <c r="DI3407" s="5" t="s">
        <v>238</v>
      </c>
      <c r="DJ3407" s="5" t="s">
        <v>238</v>
      </c>
      <c r="DK3407" s="5" t="s">
        <v>238</v>
      </c>
      <c r="DL3407" s="5" t="s">
        <v>238</v>
      </c>
      <c r="DM3407" s="8" t="s">
        <v>238</v>
      </c>
      <c r="DN3407" s="5" t="s">
        <v>238</v>
      </c>
      <c r="DO3407" s="5" t="s">
        <v>238</v>
      </c>
      <c r="DP3407" s="5" t="s">
        <v>490</v>
      </c>
      <c r="DQ3407" s="5" t="s">
        <v>490</v>
      </c>
      <c r="DR3407" s="5" t="s">
        <v>238</v>
      </c>
      <c r="DS3407" s="5" t="s">
        <v>238</v>
      </c>
      <c r="DT3407" s="5" t="s">
        <v>500</v>
      </c>
      <c r="DU3407" s="5" t="s">
        <v>1156</v>
      </c>
      <c r="DV3407" s="5" t="s">
        <v>238</v>
      </c>
      <c r="DW3407" s="5" t="s">
        <v>238</v>
      </c>
      <c r="DX3407" s="5" t="s">
        <v>238</v>
      </c>
      <c r="DY3407" s="5" t="s">
        <v>238</v>
      </c>
      <c r="DZ3407" s="5" t="s">
        <v>238</v>
      </c>
      <c r="EA3407" s="5" t="s">
        <v>238</v>
      </c>
      <c r="EB3407" s="5" t="s">
        <v>238</v>
      </c>
      <c r="EC3407" s="5" t="s">
        <v>238</v>
      </c>
      <c r="ED3407" s="5" t="s">
        <v>238</v>
      </c>
      <c r="EE3407" s="5" t="s">
        <v>238</v>
      </c>
      <c r="EF3407" s="5" t="s">
        <v>238</v>
      </c>
      <c r="EG3407" s="5" t="s">
        <v>238</v>
      </c>
      <c r="EH3407" s="5" t="s">
        <v>238</v>
      </c>
      <c r="EI3407" s="5" t="s">
        <v>238</v>
      </c>
      <c r="EJ3407" s="5" t="s">
        <v>238</v>
      </c>
      <c r="EK3407" s="5" t="s">
        <v>238</v>
      </c>
      <c r="EL3407" s="5" t="s">
        <v>238</v>
      </c>
      <c r="EM3407" s="5" t="s">
        <v>238</v>
      </c>
      <c r="EN3407" s="5" t="s">
        <v>238</v>
      </c>
      <c r="EO3407" s="5" t="s">
        <v>238</v>
      </c>
      <c r="EP3407" s="5" t="s">
        <v>238</v>
      </c>
      <c r="EQ3407" s="5" t="s">
        <v>238</v>
      </c>
      <c r="ER3407" s="5" t="s">
        <v>238</v>
      </c>
      <c r="ES3407" s="5" t="s">
        <v>238</v>
      </c>
      <c r="ET3407" s="5" t="s">
        <v>238</v>
      </c>
      <c r="EU3407" s="5" t="s">
        <v>238</v>
      </c>
      <c r="EV3407" s="5" t="s">
        <v>238</v>
      </c>
      <c r="EW3407" s="5" t="s">
        <v>238</v>
      </c>
      <c r="EX3407" s="5" t="s">
        <v>238</v>
      </c>
      <c r="EY3407" s="5" t="s">
        <v>238</v>
      </c>
      <c r="EZ3407" s="5" t="s">
        <v>238</v>
      </c>
      <c r="FA3407" s="5" t="s">
        <v>238</v>
      </c>
      <c r="FB3407" s="5" t="s">
        <v>238</v>
      </c>
      <c r="FC3407" s="5" t="s">
        <v>238</v>
      </c>
      <c r="FD3407" s="5" t="s">
        <v>238</v>
      </c>
      <c r="FE3407" s="5" t="s">
        <v>238</v>
      </c>
      <c r="FF3407" s="5" t="s">
        <v>238</v>
      </c>
      <c r="FG3407" s="5" t="s">
        <v>238</v>
      </c>
      <c r="FH3407" s="5" t="s">
        <v>238</v>
      </c>
      <c r="FI3407" s="5" t="s">
        <v>238</v>
      </c>
      <c r="FJ3407" s="5" t="s">
        <v>238</v>
      </c>
      <c r="FK3407" s="5" t="s">
        <v>238</v>
      </c>
      <c r="FL3407" s="5" t="s">
        <v>238</v>
      </c>
      <c r="FM3407" s="5" t="s">
        <v>238</v>
      </c>
      <c r="FN3407" s="5" t="s">
        <v>238</v>
      </c>
      <c r="FO3407" s="5" t="s">
        <v>238</v>
      </c>
      <c r="FP3407" s="5" t="s">
        <v>238</v>
      </c>
      <c r="FQ3407" s="5" t="s">
        <v>238</v>
      </c>
      <c r="FR3407" s="5" t="s">
        <v>238</v>
      </c>
      <c r="FS3407" s="5" t="s">
        <v>238</v>
      </c>
      <c r="FT3407" s="5" t="s">
        <v>238</v>
      </c>
      <c r="FU3407" s="5" t="s">
        <v>238</v>
      </c>
      <c r="FV3407" s="5" t="s">
        <v>238</v>
      </c>
      <c r="FW3407" s="5" t="s">
        <v>238</v>
      </c>
      <c r="FX3407" s="5" t="s">
        <v>238</v>
      </c>
      <c r="FY3407" s="5" t="s">
        <v>238</v>
      </c>
      <c r="FZ3407" s="5" t="s">
        <v>238</v>
      </c>
      <c r="GA3407" s="5" t="s">
        <v>238</v>
      </c>
      <c r="GB3407" s="5" t="s">
        <v>238</v>
      </c>
      <c r="GC3407" s="5" t="s">
        <v>238</v>
      </c>
      <c r="GD3407" s="5" t="s">
        <v>238</v>
      </c>
      <c r="GE3407" s="5" t="s">
        <v>238</v>
      </c>
      <c r="GF3407" s="5" t="s">
        <v>238</v>
      </c>
      <c r="GG3407" s="5" t="s">
        <v>238</v>
      </c>
      <c r="GH3407" s="5" t="s">
        <v>238</v>
      </c>
      <c r="GI3407" s="5" t="s">
        <v>238</v>
      </c>
      <c r="GJ3407" s="5" t="s">
        <v>238</v>
      </c>
      <c r="GK3407" s="5" t="s">
        <v>238</v>
      </c>
      <c r="GL3407" s="5" t="s">
        <v>238</v>
      </c>
      <c r="GM3407" s="5" t="s">
        <v>238</v>
      </c>
      <c r="GN3407" s="5" t="s">
        <v>238</v>
      </c>
      <c r="GO3407" s="5" t="s">
        <v>238</v>
      </c>
      <c r="GP3407" s="5" t="s">
        <v>238</v>
      </c>
      <c r="GQ3407" s="5" t="s">
        <v>238</v>
      </c>
      <c r="GR3407" s="5" t="s">
        <v>238</v>
      </c>
      <c r="GS3407" s="5" t="s">
        <v>238</v>
      </c>
      <c r="GT3407" s="5" t="s">
        <v>238</v>
      </c>
      <c r="GU3407" s="5" t="s">
        <v>238</v>
      </c>
      <c r="GV3407" s="5" t="s">
        <v>238</v>
      </c>
      <c r="GW3407" s="5" t="s">
        <v>238</v>
      </c>
      <c r="GX3407" s="5" t="s">
        <v>238</v>
      </c>
      <c r="GY3407" s="5" t="s">
        <v>238</v>
      </c>
      <c r="GZ3407" s="5" t="s">
        <v>238</v>
      </c>
      <c r="HA3407" s="5" t="s">
        <v>238</v>
      </c>
      <c r="HB3407" s="5" t="s">
        <v>238</v>
      </c>
      <c r="HC3407" s="5" t="s">
        <v>238</v>
      </c>
      <c r="HD3407" s="5" t="s">
        <v>238</v>
      </c>
      <c r="HE3407" s="5" t="s">
        <v>238</v>
      </c>
      <c r="HF3407" s="5" t="s">
        <v>238</v>
      </c>
      <c r="HG3407" s="5" t="s">
        <v>238</v>
      </c>
      <c r="HH3407" s="5" t="s">
        <v>238</v>
      </c>
      <c r="HI3407" s="5" t="s">
        <v>238</v>
      </c>
      <c r="HJ3407" s="5" t="s">
        <v>238</v>
      </c>
      <c r="HK3407" s="5" t="s">
        <v>238</v>
      </c>
      <c r="HL3407" s="5" t="s">
        <v>238</v>
      </c>
      <c r="HM3407" s="5" t="s">
        <v>264</v>
      </c>
      <c r="HN3407" s="5" t="s">
        <v>238</v>
      </c>
      <c r="HO3407" s="5" t="s">
        <v>238</v>
      </c>
      <c r="HP3407" s="5" t="s">
        <v>238</v>
      </c>
      <c r="HQ3407" s="5" t="s">
        <v>238</v>
      </c>
      <c r="HR3407" s="5" t="s">
        <v>238</v>
      </c>
      <c r="HS3407" s="5" t="s">
        <v>238</v>
      </c>
      <c r="HT3407" s="5" t="s">
        <v>238</v>
      </c>
      <c r="HU3407" s="5" t="s">
        <v>238</v>
      </c>
      <c r="HV3407" s="5" t="s">
        <v>238</v>
      </c>
      <c r="HW3407" s="5" t="s">
        <v>238</v>
      </c>
      <c r="HX3407" s="5" t="s">
        <v>238</v>
      </c>
      <c r="HY3407" s="5" t="s">
        <v>238</v>
      </c>
      <c r="HZ3407" s="5" t="s">
        <v>238</v>
      </c>
      <c r="IA3407" s="5" t="s">
        <v>238</v>
      </c>
      <c r="IB3407" s="5" t="s">
        <v>238</v>
      </c>
      <c r="IC3407" s="5" t="s">
        <v>238</v>
      </c>
      <c r="ID3407" s="5" t="s">
        <v>238</v>
      </c>
    </row>
    <row r="3408" spans="1:238" x14ac:dyDescent="0.4">
      <c r="A3408" s="5">
        <v>9126</v>
      </c>
      <c r="B3408" s="5">
        <v>1</v>
      </c>
      <c r="C3408" s="5">
        <v>1</v>
      </c>
      <c r="D3408" s="5" t="s">
        <v>484</v>
      </c>
      <c r="E3408" s="5" t="s">
        <v>485</v>
      </c>
      <c r="F3408" s="5" t="s">
        <v>248</v>
      </c>
      <c r="G3408" s="5" t="s">
        <v>4725</v>
      </c>
      <c r="H3408" s="6" t="s">
        <v>4726</v>
      </c>
      <c r="I3408" s="8">
        <f>1</f>
        <v>1</v>
      </c>
      <c r="J3408" s="5" t="s">
        <v>499</v>
      </c>
      <c r="K3408" s="8">
        <f>1</f>
        <v>1</v>
      </c>
      <c r="L3408" s="6" t="s">
        <v>242</v>
      </c>
      <c r="M3408" s="5" t="s">
        <v>267</v>
      </c>
      <c r="N3408" s="5" t="s">
        <v>482</v>
      </c>
      <c r="O3408" s="5" t="s">
        <v>238</v>
      </c>
      <c r="P3408" s="5" t="s">
        <v>238</v>
      </c>
      <c r="Q3408" s="5" t="s">
        <v>239</v>
      </c>
      <c r="R3408" s="5" t="s">
        <v>270</v>
      </c>
      <c r="S3408" s="5" t="s">
        <v>238</v>
      </c>
      <c r="T3408" s="5" t="s">
        <v>238</v>
      </c>
      <c r="U3408" s="5" t="s">
        <v>238</v>
      </c>
      <c r="V3408" s="5" t="s">
        <v>238</v>
      </c>
      <c r="W3408" s="6" t="s">
        <v>238</v>
      </c>
      <c r="X3408" s="6" t="s">
        <v>238</v>
      </c>
      <c r="Y3408" s="5" t="s">
        <v>238</v>
      </c>
      <c r="Z3408" s="6" t="s">
        <v>238</v>
      </c>
      <c r="AA3408" s="6" t="s">
        <v>243</v>
      </c>
      <c r="AB3408" s="5" t="s">
        <v>486</v>
      </c>
      <c r="AC3408" s="5" t="s">
        <v>244</v>
      </c>
      <c r="AD3408" s="5" t="s">
        <v>245</v>
      </c>
      <c r="AE3408" s="5" t="s">
        <v>238</v>
      </c>
      <c r="AF3408" s="5" t="s">
        <v>238</v>
      </c>
      <c r="AG3408" s="5" t="s">
        <v>238</v>
      </c>
      <c r="AH3408" s="5" t="s">
        <v>238</v>
      </c>
      <c r="AI3408" s="5" t="s">
        <v>238</v>
      </c>
      <c r="AJ3408" s="5" t="s">
        <v>238</v>
      </c>
      <c r="AK3408" s="5" t="s">
        <v>238</v>
      </c>
      <c r="AL3408" s="5" t="s">
        <v>238</v>
      </c>
      <c r="AM3408" s="6" t="s">
        <v>238</v>
      </c>
      <c r="AN3408" s="6" t="s">
        <v>238</v>
      </c>
      <c r="AO3408" s="6" t="s">
        <v>238</v>
      </c>
      <c r="AP3408" s="6" t="s">
        <v>238</v>
      </c>
      <c r="AQ3408" s="5" t="s">
        <v>238</v>
      </c>
      <c r="AR3408" s="5" t="s">
        <v>488</v>
      </c>
      <c r="AS3408" s="5" t="s">
        <v>488</v>
      </c>
      <c r="AT3408" s="5" t="s">
        <v>246</v>
      </c>
      <c r="AU3408" s="5" t="s">
        <v>489</v>
      </c>
      <c r="AV3408" s="5" t="s">
        <v>247</v>
      </c>
      <c r="AW3408" s="5" t="s">
        <v>238</v>
      </c>
      <c r="AX3408" s="5" t="s">
        <v>249</v>
      </c>
      <c r="AY3408" s="5" t="s">
        <v>490</v>
      </c>
      <c r="BA3408" s="5" t="s">
        <v>238</v>
      </c>
      <c r="BC3408" s="5" t="s">
        <v>491</v>
      </c>
      <c r="BD3408" s="6" t="s">
        <v>492</v>
      </c>
      <c r="BE3408" s="5" t="s">
        <v>493</v>
      </c>
      <c r="BF3408" s="5" t="s">
        <v>493</v>
      </c>
      <c r="BG3408" s="5" t="s">
        <v>238</v>
      </c>
      <c r="BH3408" s="8">
        <f>1</f>
        <v>1</v>
      </c>
      <c r="BI3408" s="8">
        <f>1</f>
        <v>1</v>
      </c>
      <c r="BJ3408" s="5" t="s">
        <v>253</v>
      </c>
      <c r="BK3408" s="5" t="s">
        <v>254</v>
      </c>
      <c r="BL3408" s="5" t="s">
        <v>238</v>
      </c>
      <c r="BM3408" s="5" t="s">
        <v>238</v>
      </c>
      <c r="BN3408" s="5" t="s">
        <v>238</v>
      </c>
      <c r="BO3408" s="5" t="s">
        <v>238</v>
      </c>
      <c r="BP3408" s="5" t="s">
        <v>238</v>
      </c>
      <c r="BQ3408" s="5" t="s">
        <v>238</v>
      </c>
      <c r="BR3408" s="5" t="s">
        <v>238</v>
      </c>
      <c r="BS3408" s="5" t="s">
        <v>238</v>
      </c>
      <c r="BT3408" s="6" t="s">
        <v>238</v>
      </c>
      <c r="BU3408" s="5" t="s">
        <v>238</v>
      </c>
      <c r="BV3408" s="5" t="s">
        <v>238</v>
      </c>
      <c r="BW3408" s="5" t="s">
        <v>238</v>
      </c>
      <c r="BX3408" s="5" t="s">
        <v>254</v>
      </c>
      <c r="BY3408" s="5" t="s">
        <v>238</v>
      </c>
      <c r="BZ3408" s="5" t="s">
        <v>238</v>
      </c>
      <c r="CA3408" s="5" t="s">
        <v>238</v>
      </c>
      <c r="CB3408" s="5" t="s">
        <v>238</v>
      </c>
      <c r="CC3408" s="5" t="s">
        <v>238</v>
      </c>
      <c r="CD3408" s="5" t="s">
        <v>273</v>
      </c>
      <c r="CE3408" s="5" t="s">
        <v>256</v>
      </c>
      <c r="CF3408" s="5" t="s">
        <v>238</v>
      </c>
      <c r="CH3408" s="5" t="s">
        <v>494</v>
      </c>
      <c r="CI3408" s="6" t="s">
        <v>257</v>
      </c>
      <c r="CJ3408" s="5" t="s">
        <v>495</v>
      </c>
      <c r="CK3408" s="5" t="s">
        <v>258</v>
      </c>
      <c r="CL3408" s="5" t="s">
        <v>496</v>
      </c>
      <c r="CM3408" s="5" t="s">
        <v>238</v>
      </c>
      <c r="CN3408" s="5">
        <v>0</v>
      </c>
      <c r="CO3408" s="5" t="s">
        <v>497</v>
      </c>
      <c r="CP3408" s="5" t="s">
        <v>260</v>
      </c>
      <c r="CQ3408" s="5" t="s">
        <v>260</v>
      </c>
      <c r="CR3408" s="5" t="s">
        <v>261</v>
      </c>
      <c r="CS3408" s="5" t="s">
        <v>498</v>
      </c>
      <c r="CT3408" s="7">
        <f>1</f>
        <v>1</v>
      </c>
      <c r="CU3408" s="8">
        <f>1</f>
        <v>1</v>
      </c>
      <c r="CV3408" s="8">
        <f>0</f>
        <v>0</v>
      </c>
      <c r="CX3408" s="8">
        <f>1</f>
        <v>1</v>
      </c>
      <c r="CY3408" s="8">
        <f>1</f>
        <v>1</v>
      </c>
      <c r="CZ3408" s="8" t="s">
        <v>238</v>
      </c>
      <c r="DA3408" s="5" t="s">
        <v>238</v>
      </c>
      <c r="DB3408" s="5" t="s">
        <v>238</v>
      </c>
      <c r="DC3408" s="5" t="s">
        <v>238</v>
      </c>
      <c r="DD3408" s="5" t="s">
        <v>238</v>
      </c>
      <c r="DE3408" s="8">
        <f>0</f>
        <v>0</v>
      </c>
      <c r="DG3408" s="5" t="s">
        <v>238</v>
      </c>
      <c r="DH3408" s="5" t="s">
        <v>238</v>
      </c>
      <c r="DI3408" s="5" t="s">
        <v>238</v>
      </c>
      <c r="DJ3408" s="5" t="s">
        <v>238</v>
      </c>
      <c r="DK3408" s="5" t="s">
        <v>238</v>
      </c>
      <c r="DL3408" s="5" t="s">
        <v>238</v>
      </c>
      <c r="DM3408" s="8" t="s">
        <v>238</v>
      </c>
      <c r="DN3408" s="5" t="s">
        <v>238</v>
      </c>
      <c r="DO3408" s="5" t="s">
        <v>238</v>
      </c>
      <c r="DP3408" s="5" t="s">
        <v>490</v>
      </c>
      <c r="DQ3408" s="5" t="s">
        <v>490</v>
      </c>
      <c r="DR3408" s="5" t="s">
        <v>238</v>
      </c>
      <c r="DS3408" s="5" t="s">
        <v>238</v>
      </c>
      <c r="DT3408" s="5" t="s">
        <v>500</v>
      </c>
      <c r="DU3408" s="5" t="s">
        <v>512</v>
      </c>
      <c r="DV3408" s="5" t="s">
        <v>238</v>
      </c>
      <c r="DW3408" s="5" t="s">
        <v>238</v>
      </c>
      <c r="DX3408" s="5" t="s">
        <v>238</v>
      </c>
      <c r="DY3408" s="5" t="s">
        <v>238</v>
      </c>
      <c r="DZ3408" s="5" t="s">
        <v>238</v>
      </c>
      <c r="EA3408" s="5" t="s">
        <v>238</v>
      </c>
      <c r="EB3408" s="5" t="s">
        <v>238</v>
      </c>
      <c r="EC3408" s="5" t="s">
        <v>238</v>
      </c>
      <c r="ED3408" s="5" t="s">
        <v>238</v>
      </c>
      <c r="EE3408" s="5" t="s">
        <v>238</v>
      </c>
      <c r="EF3408" s="5" t="s">
        <v>238</v>
      </c>
      <c r="EG3408" s="5" t="s">
        <v>238</v>
      </c>
      <c r="EH3408" s="5" t="s">
        <v>238</v>
      </c>
      <c r="EI3408" s="5" t="s">
        <v>238</v>
      </c>
      <c r="EJ3408" s="5" t="s">
        <v>238</v>
      </c>
      <c r="EK3408" s="5" t="s">
        <v>238</v>
      </c>
      <c r="EL3408" s="5" t="s">
        <v>238</v>
      </c>
      <c r="EM3408" s="5" t="s">
        <v>238</v>
      </c>
      <c r="EN3408" s="5" t="s">
        <v>238</v>
      </c>
      <c r="EO3408" s="5" t="s">
        <v>238</v>
      </c>
      <c r="EP3408" s="5" t="s">
        <v>238</v>
      </c>
      <c r="EQ3408" s="5" t="s">
        <v>238</v>
      </c>
      <c r="ER3408" s="5" t="s">
        <v>238</v>
      </c>
      <c r="ES3408" s="5" t="s">
        <v>238</v>
      </c>
      <c r="ET3408" s="5" t="s">
        <v>238</v>
      </c>
      <c r="EU3408" s="5" t="s">
        <v>238</v>
      </c>
      <c r="EV3408" s="5" t="s">
        <v>238</v>
      </c>
      <c r="EW3408" s="5" t="s">
        <v>238</v>
      </c>
      <c r="EX3408" s="5" t="s">
        <v>238</v>
      </c>
      <c r="EY3408" s="5" t="s">
        <v>238</v>
      </c>
      <c r="EZ3408" s="5" t="s">
        <v>238</v>
      </c>
      <c r="FA3408" s="5" t="s">
        <v>238</v>
      </c>
      <c r="FB3408" s="5" t="s">
        <v>238</v>
      </c>
      <c r="FC3408" s="5" t="s">
        <v>238</v>
      </c>
      <c r="FD3408" s="5" t="s">
        <v>238</v>
      </c>
      <c r="FE3408" s="5" t="s">
        <v>238</v>
      </c>
      <c r="FF3408" s="5" t="s">
        <v>238</v>
      </c>
      <c r="FG3408" s="5" t="s">
        <v>238</v>
      </c>
      <c r="FH3408" s="5" t="s">
        <v>238</v>
      </c>
      <c r="FI3408" s="5" t="s">
        <v>238</v>
      </c>
      <c r="FJ3408" s="5" t="s">
        <v>238</v>
      </c>
      <c r="FK3408" s="5" t="s">
        <v>238</v>
      </c>
      <c r="FL3408" s="5" t="s">
        <v>238</v>
      </c>
      <c r="FM3408" s="5" t="s">
        <v>238</v>
      </c>
      <c r="FN3408" s="5" t="s">
        <v>238</v>
      </c>
      <c r="FO3408" s="5" t="s">
        <v>238</v>
      </c>
      <c r="FP3408" s="5" t="s">
        <v>238</v>
      </c>
      <c r="FQ3408" s="5" t="s">
        <v>238</v>
      </c>
      <c r="FR3408" s="5" t="s">
        <v>238</v>
      </c>
      <c r="FS3408" s="5" t="s">
        <v>238</v>
      </c>
      <c r="FT3408" s="5" t="s">
        <v>238</v>
      </c>
      <c r="FU3408" s="5" t="s">
        <v>238</v>
      </c>
      <c r="FV3408" s="5" t="s">
        <v>238</v>
      </c>
      <c r="FW3408" s="5" t="s">
        <v>238</v>
      </c>
      <c r="FX3408" s="5" t="s">
        <v>238</v>
      </c>
      <c r="FY3408" s="5" t="s">
        <v>238</v>
      </c>
      <c r="FZ3408" s="5" t="s">
        <v>238</v>
      </c>
      <c r="GA3408" s="5" t="s">
        <v>238</v>
      </c>
      <c r="GB3408" s="5" t="s">
        <v>238</v>
      </c>
      <c r="GC3408" s="5" t="s">
        <v>238</v>
      </c>
      <c r="GD3408" s="5" t="s">
        <v>238</v>
      </c>
      <c r="GE3408" s="5" t="s">
        <v>238</v>
      </c>
      <c r="GF3408" s="5" t="s">
        <v>238</v>
      </c>
      <c r="GG3408" s="5" t="s">
        <v>238</v>
      </c>
      <c r="GH3408" s="5" t="s">
        <v>238</v>
      </c>
      <c r="GI3408" s="5" t="s">
        <v>238</v>
      </c>
      <c r="GJ3408" s="5" t="s">
        <v>238</v>
      </c>
      <c r="GK3408" s="5" t="s">
        <v>238</v>
      </c>
      <c r="GL3408" s="5" t="s">
        <v>238</v>
      </c>
      <c r="GM3408" s="5" t="s">
        <v>238</v>
      </c>
      <c r="GN3408" s="5" t="s">
        <v>238</v>
      </c>
      <c r="GO3408" s="5" t="s">
        <v>238</v>
      </c>
      <c r="GP3408" s="5" t="s">
        <v>238</v>
      </c>
      <c r="GQ3408" s="5" t="s">
        <v>238</v>
      </c>
      <c r="GR3408" s="5" t="s">
        <v>238</v>
      </c>
      <c r="GS3408" s="5" t="s">
        <v>238</v>
      </c>
      <c r="GT3408" s="5" t="s">
        <v>238</v>
      </c>
      <c r="GU3408" s="5" t="s">
        <v>238</v>
      </c>
      <c r="GV3408" s="5" t="s">
        <v>238</v>
      </c>
      <c r="GW3408" s="5" t="s">
        <v>238</v>
      </c>
      <c r="GX3408" s="5" t="s">
        <v>238</v>
      </c>
      <c r="GY3408" s="5" t="s">
        <v>238</v>
      </c>
      <c r="GZ3408" s="5" t="s">
        <v>238</v>
      </c>
      <c r="HA3408" s="5" t="s">
        <v>238</v>
      </c>
      <c r="HB3408" s="5" t="s">
        <v>238</v>
      </c>
      <c r="HC3408" s="5" t="s">
        <v>238</v>
      </c>
      <c r="HD3408" s="5" t="s">
        <v>238</v>
      </c>
      <c r="HE3408" s="5" t="s">
        <v>238</v>
      </c>
      <c r="HF3408" s="5" t="s">
        <v>238</v>
      </c>
      <c r="HG3408" s="5" t="s">
        <v>238</v>
      </c>
      <c r="HH3408" s="5" t="s">
        <v>238</v>
      </c>
      <c r="HI3408" s="5" t="s">
        <v>238</v>
      </c>
      <c r="HJ3408" s="5" t="s">
        <v>238</v>
      </c>
      <c r="HK3408" s="5" t="s">
        <v>238</v>
      </c>
      <c r="HL3408" s="5" t="s">
        <v>238</v>
      </c>
      <c r="HM3408" s="5" t="s">
        <v>264</v>
      </c>
      <c r="HN3408" s="5" t="s">
        <v>238</v>
      </c>
      <c r="HO3408" s="5" t="s">
        <v>238</v>
      </c>
      <c r="HP3408" s="5" t="s">
        <v>238</v>
      </c>
      <c r="HQ3408" s="5" t="s">
        <v>238</v>
      </c>
      <c r="HR3408" s="5" t="s">
        <v>238</v>
      </c>
      <c r="HS3408" s="5" t="s">
        <v>238</v>
      </c>
      <c r="HT3408" s="5" t="s">
        <v>238</v>
      </c>
      <c r="HU3408" s="5" t="s">
        <v>238</v>
      </c>
      <c r="HV3408" s="5" t="s">
        <v>238</v>
      </c>
      <c r="HW3408" s="5" t="s">
        <v>238</v>
      </c>
      <c r="HX3408" s="5" t="s">
        <v>238</v>
      </c>
      <c r="HY3408" s="5" t="s">
        <v>238</v>
      </c>
      <c r="HZ3408" s="5" t="s">
        <v>238</v>
      </c>
      <c r="IA3408" s="5" t="s">
        <v>238</v>
      </c>
      <c r="IB3408" s="5" t="s">
        <v>238</v>
      </c>
      <c r="IC3408" s="5" t="s">
        <v>238</v>
      </c>
      <c r="ID3408" s="5" t="s">
        <v>238</v>
      </c>
    </row>
    <row r="3409" spans="1:238" x14ac:dyDescent="0.4">
      <c r="A3409" s="5">
        <v>9127</v>
      </c>
      <c r="B3409" s="5">
        <v>1</v>
      </c>
      <c r="C3409" s="5">
        <v>1</v>
      </c>
      <c r="D3409" s="5" t="s">
        <v>484</v>
      </c>
      <c r="E3409" s="5" t="s">
        <v>485</v>
      </c>
      <c r="F3409" s="5" t="s">
        <v>248</v>
      </c>
      <c r="G3409" s="5" t="s">
        <v>4619</v>
      </c>
      <c r="H3409" s="6" t="s">
        <v>4620</v>
      </c>
      <c r="I3409" s="8">
        <f>1</f>
        <v>1</v>
      </c>
      <c r="J3409" s="5" t="s">
        <v>499</v>
      </c>
      <c r="K3409" s="8">
        <f>1</f>
        <v>1</v>
      </c>
      <c r="L3409" s="6" t="s">
        <v>242</v>
      </c>
      <c r="M3409" s="5" t="s">
        <v>267</v>
      </c>
      <c r="N3409" s="5" t="s">
        <v>482</v>
      </c>
      <c r="O3409" s="5" t="s">
        <v>238</v>
      </c>
      <c r="P3409" s="5" t="s">
        <v>238</v>
      </c>
      <c r="Q3409" s="5" t="s">
        <v>239</v>
      </c>
      <c r="R3409" s="5" t="s">
        <v>270</v>
      </c>
      <c r="S3409" s="5" t="s">
        <v>238</v>
      </c>
      <c r="T3409" s="5" t="s">
        <v>238</v>
      </c>
      <c r="U3409" s="5" t="s">
        <v>238</v>
      </c>
      <c r="V3409" s="5" t="s">
        <v>238</v>
      </c>
      <c r="W3409" s="6" t="s">
        <v>238</v>
      </c>
      <c r="X3409" s="6" t="s">
        <v>238</v>
      </c>
      <c r="Y3409" s="5" t="s">
        <v>238</v>
      </c>
      <c r="Z3409" s="6" t="s">
        <v>238</v>
      </c>
      <c r="AA3409" s="6" t="s">
        <v>243</v>
      </c>
      <c r="AB3409" s="5" t="s">
        <v>486</v>
      </c>
      <c r="AC3409" s="5" t="s">
        <v>244</v>
      </c>
      <c r="AD3409" s="5" t="s">
        <v>245</v>
      </c>
      <c r="AE3409" s="5" t="s">
        <v>238</v>
      </c>
      <c r="AF3409" s="5" t="s">
        <v>238</v>
      </c>
      <c r="AG3409" s="5" t="s">
        <v>238</v>
      </c>
      <c r="AH3409" s="5" t="s">
        <v>238</v>
      </c>
      <c r="AI3409" s="5" t="s">
        <v>238</v>
      </c>
      <c r="AJ3409" s="5" t="s">
        <v>238</v>
      </c>
      <c r="AK3409" s="5" t="s">
        <v>238</v>
      </c>
      <c r="AL3409" s="5" t="s">
        <v>238</v>
      </c>
      <c r="AM3409" s="6" t="s">
        <v>238</v>
      </c>
      <c r="AN3409" s="6" t="s">
        <v>238</v>
      </c>
      <c r="AO3409" s="6" t="s">
        <v>238</v>
      </c>
      <c r="AP3409" s="6" t="s">
        <v>238</v>
      </c>
      <c r="AQ3409" s="5" t="s">
        <v>238</v>
      </c>
      <c r="AR3409" s="5" t="s">
        <v>488</v>
      </c>
      <c r="AS3409" s="5" t="s">
        <v>488</v>
      </c>
      <c r="AT3409" s="5" t="s">
        <v>246</v>
      </c>
      <c r="AU3409" s="5" t="s">
        <v>489</v>
      </c>
      <c r="AV3409" s="5" t="s">
        <v>247</v>
      </c>
      <c r="AW3409" s="5" t="s">
        <v>238</v>
      </c>
      <c r="AX3409" s="5" t="s">
        <v>249</v>
      </c>
      <c r="AY3409" s="5" t="s">
        <v>490</v>
      </c>
      <c r="BA3409" s="5" t="s">
        <v>238</v>
      </c>
      <c r="BC3409" s="5" t="s">
        <v>491</v>
      </c>
      <c r="BD3409" s="6" t="s">
        <v>492</v>
      </c>
      <c r="BE3409" s="5" t="s">
        <v>493</v>
      </c>
      <c r="BF3409" s="5" t="s">
        <v>493</v>
      </c>
      <c r="BG3409" s="5" t="s">
        <v>238</v>
      </c>
      <c r="BH3409" s="8">
        <f>1</f>
        <v>1</v>
      </c>
      <c r="BI3409" s="8">
        <f>1</f>
        <v>1</v>
      </c>
      <c r="BJ3409" s="5" t="s">
        <v>253</v>
      </c>
      <c r="BK3409" s="5" t="s">
        <v>254</v>
      </c>
      <c r="BL3409" s="5" t="s">
        <v>238</v>
      </c>
      <c r="BM3409" s="5" t="s">
        <v>238</v>
      </c>
      <c r="BN3409" s="5" t="s">
        <v>238</v>
      </c>
      <c r="BO3409" s="5" t="s">
        <v>238</v>
      </c>
      <c r="BP3409" s="5" t="s">
        <v>238</v>
      </c>
      <c r="BQ3409" s="5" t="s">
        <v>238</v>
      </c>
      <c r="BR3409" s="5" t="s">
        <v>238</v>
      </c>
      <c r="BS3409" s="5" t="s">
        <v>238</v>
      </c>
      <c r="BT3409" s="6" t="s">
        <v>238</v>
      </c>
      <c r="BU3409" s="5" t="s">
        <v>238</v>
      </c>
      <c r="BV3409" s="5" t="s">
        <v>238</v>
      </c>
      <c r="BW3409" s="5" t="s">
        <v>238</v>
      </c>
      <c r="BX3409" s="5" t="s">
        <v>254</v>
      </c>
      <c r="BY3409" s="5" t="s">
        <v>238</v>
      </c>
      <c r="BZ3409" s="5" t="s">
        <v>238</v>
      </c>
      <c r="CA3409" s="5" t="s">
        <v>238</v>
      </c>
      <c r="CB3409" s="5" t="s">
        <v>238</v>
      </c>
      <c r="CC3409" s="5" t="s">
        <v>238</v>
      </c>
      <c r="CD3409" s="5" t="s">
        <v>273</v>
      </c>
      <c r="CE3409" s="5" t="s">
        <v>256</v>
      </c>
      <c r="CF3409" s="5" t="s">
        <v>238</v>
      </c>
      <c r="CH3409" s="5" t="s">
        <v>494</v>
      </c>
      <c r="CI3409" s="6" t="s">
        <v>257</v>
      </c>
      <c r="CJ3409" s="5" t="s">
        <v>495</v>
      </c>
      <c r="CK3409" s="5" t="s">
        <v>258</v>
      </c>
      <c r="CL3409" s="5" t="s">
        <v>496</v>
      </c>
      <c r="CM3409" s="5" t="s">
        <v>238</v>
      </c>
      <c r="CN3409" s="5">
        <v>0</v>
      </c>
      <c r="CO3409" s="5" t="s">
        <v>497</v>
      </c>
      <c r="CP3409" s="5" t="s">
        <v>260</v>
      </c>
      <c r="CQ3409" s="5" t="s">
        <v>260</v>
      </c>
      <c r="CR3409" s="5" t="s">
        <v>261</v>
      </c>
      <c r="CS3409" s="5" t="s">
        <v>498</v>
      </c>
      <c r="CT3409" s="7">
        <f>1</f>
        <v>1</v>
      </c>
      <c r="CU3409" s="8">
        <f>1</f>
        <v>1</v>
      </c>
      <c r="CV3409" s="8">
        <f>0</f>
        <v>0</v>
      </c>
      <c r="CX3409" s="8">
        <f>1</f>
        <v>1</v>
      </c>
      <c r="CY3409" s="8">
        <f>1</f>
        <v>1</v>
      </c>
      <c r="CZ3409" s="8" t="s">
        <v>238</v>
      </c>
      <c r="DA3409" s="5" t="s">
        <v>238</v>
      </c>
      <c r="DB3409" s="5" t="s">
        <v>238</v>
      </c>
      <c r="DC3409" s="5" t="s">
        <v>238</v>
      </c>
      <c r="DD3409" s="5" t="s">
        <v>238</v>
      </c>
      <c r="DE3409" s="8">
        <f>0</f>
        <v>0</v>
      </c>
      <c r="DG3409" s="5" t="s">
        <v>238</v>
      </c>
      <c r="DH3409" s="5" t="s">
        <v>238</v>
      </c>
      <c r="DI3409" s="5" t="s">
        <v>238</v>
      </c>
      <c r="DJ3409" s="5" t="s">
        <v>238</v>
      </c>
      <c r="DK3409" s="5" t="s">
        <v>238</v>
      </c>
      <c r="DL3409" s="5" t="s">
        <v>238</v>
      </c>
      <c r="DM3409" s="8" t="s">
        <v>238</v>
      </c>
      <c r="DN3409" s="5" t="s">
        <v>238</v>
      </c>
      <c r="DO3409" s="5" t="s">
        <v>238</v>
      </c>
      <c r="DP3409" s="5" t="s">
        <v>490</v>
      </c>
      <c r="DQ3409" s="5" t="s">
        <v>490</v>
      </c>
      <c r="DR3409" s="5" t="s">
        <v>238</v>
      </c>
      <c r="DS3409" s="5" t="s">
        <v>238</v>
      </c>
      <c r="DT3409" s="5" t="s">
        <v>500</v>
      </c>
      <c r="DU3409" s="5" t="s">
        <v>790</v>
      </c>
      <c r="DV3409" s="5" t="s">
        <v>238</v>
      </c>
      <c r="DW3409" s="5" t="s">
        <v>238</v>
      </c>
      <c r="DX3409" s="5" t="s">
        <v>238</v>
      </c>
      <c r="DY3409" s="5" t="s">
        <v>238</v>
      </c>
      <c r="DZ3409" s="5" t="s">
        <v>238</v>
      </c>
      <c r="EA3409" s="5" t="s">
        <v>238</v>
      </c>
      <c r="EB3409" s="5" t="s">
        <v>238</v>
      </c>
      <c r="EC3409" s="5" t="s">
        <v>238</v>
      </c>
      <c r="ED3409" s="5" t="s">
        <v>238</v>
      </c>
      <c r="EE3409" s="5" t="s">
        <v>238</v>
      </c>
      <c r="EF3409" s="5" t="s">
        <v>238</v>
      </c>
      <c r="EG3409" s="5" t="s">
        <v>238</v>
      </c>
      <c r="EH3409" s="5" t="s">
        <v>238</v>
      </c>
      <c r="EI3409" s="5" t="s">
        <v>238</v>
      </c>
      <c r="EJ3409" s="5" t="s">
        <v>238</v>
      </c>
      <c r="EK3409" s="5" t="s">
        <v>238</v>
      </c>
      <c r="EL3409" s="5" t="s">
        <v>238</v>
      </c>
      <c r="EM3409" s="5" t="s">
        <v>238</v>
      </c>
      <c r="EN3409" s="5" t="s">
        <v>238</v>
      </c>
      <c r="EO3409" s="5" t="s">
        <v>238</v>
      </c>
      <c r="EP3409" s="5" t="s">
        <v>238</v>
      </c>
      <c r="EQ3409" s="5" t="s">
        <v>238</v>
      </c>
      <c r="ER3409" s="5" t="s">
        <v>238</v>
      </c>
      <c r="ES3409" s="5" t="s">
        <v>238</v>
      </c>
      <c r="ET3409" s="5" t="s">
        <v>238</v>
      </c>
      <c r="EU3409" s="5" t="s">
        <v>238</v>
      </c>
      <c r="EV3409" s="5" t="s">
        <v>238</v>
      </c>
      <c r="EW3409" s="5" t="s">
        <v>238</v>
      </c>
      <c r="EX3409" s="5" t="s">
        <v>238</v>
      </c>
      <c r="EY3409" s="5" t="s">
        <v>238</v>
      </c>
      <c r="EZ3409" s="5" t="s">
        <v>238</v>
      </c>
      <c r="FA3409" s="5" t="s">
        <v>238</v>
      </c>
      <c r="FB3409" s="5" t="s">
        <v>238</v>
      </c>
      <c r="FC3409" s="5" t="s">
        <v>238</v>
      </c>
      <c r="FD3409" s="5" t="s">
        <v>238</v>
      </c>
      <c r="FE3409" s="5" t="s">
        <v>238</v>
      </c>
      <c r="FF3409" s="5" t="s">
        <v>238</v>
      </c>
      <c r="FG3409" s="5" t="s">
        <v>238</v>
      </c>
      <c r="FH3409" s="5" t="s">
        <v>238</v>
      </c>
      <c r="FI3409" s="5" t="s">
        <v>238</v>
      </c>
      <c r="FJ3409" s="5" t="s">
        <v>238</v>
      </c>
      <c r="FK3409" s="5" t="s">
        <v>238</v>
      </c>
      <c r="FL3409" s="5" t="s">
        <v>238</v>
      </c>
      <c r="FM3409" s="5" t="s">
        <v>238</v>
      </c>
      <c r="FN3409" s="5" t="s">
        <v>238</v>
      </c>
      <c r="FO3409" s="5" t="s">
        <v>238</v>
      </c>
      <c r="FP3409" s="5" t="s">
        <v>238</v>
      </c>
      <c r="FQ3409" s="5" t="s">
        <v>238</v>
      </c>
      <c r="FR3409" s="5" t="s">
        <v>238</v>
      </c>
      <c r="FS3409" s="5" t="s">
        <v>238</v>
      </c>
      <c r="FT3409" s="5" t="s">
        <v>238</v>
      </c>
      <c r="FU3409" s="5" t="s">
        <v>238</v>
      </c>
      <c r="FV3409" s="5" t="s">
        <v>238</v>
      </c>
      <c r="FW3409" s="5" t="s">
        <v>238</v>
      </c>
      <c r="FX3409" s="5" t="s">
        <v>238</v>
      </c>
      <c r="FY3409" s="5" t="s">
        <v>238</v>
      </c>
      <c r="FZ3409" s="5" t="s">
        <v>238</v>
      </c>
      <c r="GA3409" s="5" t="s">
        <v>238</v>
      </c>
      <c r="GB3409" s="5" t="s">
        <v>238</v>
      </c>
      <c r="GC3409" s="5" t="s">
        <v>238</v>
      </c>
      <c r="GD3409" s="5" t="s">
        <v>238</v>
      </c>
      <c r="GE3409" s="5" t="s">
        <v>238</v>
      </c>
      <c r="GF3409" s="5" t="s">
        <v>238</v>
      </c>
      <c r="GG3409" s="5" t="s">
        <v>238</v>
      </c>
      <c r="GH3409" s="5" t="s">
        <v>238</v>
      </c>
      <c r="GI3409" s="5" t="s">
        <v>238</v>
      </c>
      <c r="GJ3409" s="5" t="s">
        <v>238</v>
      </c>
      <c r="GK3409" s="5" t="s">
        <v>238</v>
      </c>
      <c r="GL3409" s="5" t="s">
        <v>238</v>
      </c>
      <c r="GM3409" s="5" t="s">
        <v>238</v>
      </c>
      <c r="GN3409" s="5" t="s">
        <v>238</v>
      </c>
      <c r="GO3409" s="5" t="s">
        <v>238</v>
      </c>
      <c r="GP3409" s="5" t="s">
        <v>238</v>
      </c>
      <c r="GQ3409" s="5" t="s">
        <v>238</v>
      </c>
      <c r="GR3409" s="5" t="s">
        <v>238</v>
      </c>
      <c r="GS3409" s="5" t="s">
        <v>238</v>
      </c>
      <c r="GT3409" s="5" t="s">
        <v>238</v>
      </c>
      <c r="GU3409" s="5" t="s">
        <v>238</v>
      </c>
      <c r="GV3409" s="5" t="s">
        <v>238</v>
      </c>
      <c r="GW3409" s="5" t="s">
        <v>238</v>
      </c>
      <c r="GX3409" s="5" t="s">
        <v>238</v>
      </c>
      <c r="GY3409" s="5" t="s">
        <v>238</v>
      </c>
      <c r="GZ3409" s="5" t="s">
        <v>238</v>
      </c>
      <c r="HA3409" s="5" t="s">
        <v>238</v>
      </c>
      <c r="HB3409" s="5" t="s">
        <v>238</v>
      </c>
      <c r="HC3409" s="5" t="s">
        <v>238</v>
      </c>
      <c r="HD3409" s="5" t="s">
        <v>238</v>
      </c>
      <c r="HE3409" s="5" t="s">
        <v>238</v>
      </c>
      <c r="HF3409" s="5" t="s">
        <v>238</v>
      </c>
      <c r="HG3409" s="5" t="s">
        <v>238</v>
      </c>
      <c r="HH3409" s="5" t="s">
        <v>238</v>
      </c>
      <c r="HI3409" s="5" t="s">
        <v>238</v>
      </c>
      <c r="HJ3409" s="5" t="s">
        <v>238</v>
      </c>
      <c r="HK3409" s="5" t="s">
        <v>238</v>
      </c>
      <c r="HL3409" s="5" t="s">
        <v>238</v>
      </c>
      <c r="HM3409" s="5" t="s">
        <v>264</v>
      </c>
      <c r="HN3409" s="5" t="s">
        <v>238</v>
      </c>
      <c r="HO3409" s="5" t="s">
        <v>238</v>
      </c>
      <c r="HP3409" s="5" t="s">
        <v>238</v>
      </c>
      <c r="HQ3409" s="5" t="s">
        <v>238</v>
      </c>
      <c r="HR3409" s="5" t="s">
        <v>238</v>
      </c>
      <c r="HS3409" s="5" t="s">
        <v>238</v>
      </c>
      <c r="HT3409" s="5" t="s">
        <v>238</v>
      </c>
      <c r="HU3409" s="5" t="s">
        <v>238</v>
      </c>
      <c r="HV3409" s="5" t="s">
        <v>238</v>
      </c>
      <c r="HW3409" s="5" t="s">
        <v>238</v>
      </c>
      <c r="HX3409" s="5" t="s">
        <v>238</v>
      </c>
      <c r="HY3409" s="5" t="s">
        <v>238</v>
      </c>
      <c r="HZ3409" s="5" t="s">
        <v>238</v>
      </c>
      <c r="IA3409" s="5" t="s">
        <v>238</v>
      </c>
      <c r="IB3409" s="5" t="s">
        <v>238</v>
      </c>
      <c r="IC3409" s="5" t="s">
        <v>238</v>
      </c>
      <c r="ID3409" s="5" t="s">
        <v>238</v>
      </c>
    </row>
    <row r="3410" spans="1:238" x14ac:dyDescent="0.4">
      <c r="A3410" s="5">
        <v>9128</v>
      </c>
      <c r="B3410" s="5">
        <v>1</v>
      </c>
      <c r="C3410" s="5">
        <v>1</v>
      </c>
      <c r="D3410" s="5" t="s">
        <v>484</v>
      </c>
      <c r="E3410" s="5" t="s">
        <v>485</v>
      </c>
      <c r="F3410" s="5" t="s">
        <v>248</v>
      </c>
      <c r="G3410" s="5" t="s">
        <v>4885</v>
      </c>
      <c r="H3410" s="6" t="s">
        <v>4886</v>
      </c>
      <c r="I3410" s="8">
        <f>1</f>
        <v>1</v>
      </c>
      <c r="J3410" s="5" t="s">
        <v>499</v>
      </c>
      <c r="K3410" s="8">
        <f>1</f>
        <v>1</v>
      </c>
      <c r="L3410" s="6" t="s">
        <v>242</v>
      </c>
      <c r="M3410" s="5" t="s">
        <v>267</v>
      </c>
      <c r="N3410" s="5" t="s">
        <v>482</v>
      </c>
      <c r="O3410" s="5" t="s">
        <v>238</v>
      </c>
      <c r="P3410" s="5" t="s">
        <v>238</v>
      </c>
      <c r="Q3410" s="5" t="s">
        <v>239</v>
      </c>
      <c r="R3410" s="5" t="s">
        <v>270</v>
      </c>
      <c r="S3410" s="5" t="s">
        <v>238</v>
      </c>
      <c r="T3410" s="5" t="s">
        <v>238</v>
      </c>
      <c r="U3410" s="5" t="s">
        <v>238</v>
      </c>
      <c r="V3410" s="5" t="s">
        <v>238</v>
      </c>
      <c r="W3410" s="6" t="s">
        <v>238</v>
      </c>
      <c r="X3410" s="6" t="s">
        <v>238</v>
      </c>
      <c r="Y3410" s="5" t="s">
        <v>238</v>
      </c>
      <c r="Z3410" s="6" t="s">
        <v>238</v>
      </c>
      <c r="AA3410" s="6" t="s">
        <v>243</v>
      </c>
      <c r="AB3410" s="5" t="s">
        <v>486</v>
      </c>
      <c r="AC3410" s="5" t="s">
        <v>244</v>
      </c>
      <c r="AD3410" s="5" t="s">
        <v>245</v>
      </c>
      <c r="AE3410" s="5" t="s">
        <v>238</v>
      </c>
      <c r="AF3410" s="5" t="s">
        <v>238</v>
      </c>
      <c r="AG3410" s="5" t="s">
        <v>238</v>
      </c>
      <c r="AH3410" s="5" t="s">
        <v>238</v>
      </c>
      <c r="AI3410" s="5" t="s">
        <v>238</v>
      </c>
      <c r="AJ3410" s="5" t="s">
        <v>238</v>
      </c>
      <c r="AK3410" s="5" t="s">
        <v>238</v>
      </c>
      <c r="AL3410" s="5" t="s">
        <v>238</v>
      </c>
      <c r="AM3410" s="6" t="s">
        <v>238</v>
      </c>
      <c r="AN3410" s="6" t="s">
        <v>238</v>
      </c>
      <c r="AO3410" s="6" t="s">
        <v>238</v>
      </c>
      <c r="AP3410" s="6" t="s">
        <v>238</v>
      </c>
      <c r="AQ3410" s="5" t="s">
        <v>238</v>
      </c>
      <c r="AR3410" s="5" t="s">
        <v>488</v>
      </c>
      <c r="AS3410" s="5" t="s">
        <v>488</v>
      </c>
      <c r="AT3410" s="5" t="s">
        <v>246</v>
      </c>
      <c r="AU3410" s="5" t="s">
        <v>489</v>
      </c>
      <c r="AV3410" s="5" t="s">
        <v>247</v>
      </c>
      <c r="AW3410" s="5" t="s">
        <v>238</v>
      </c>
      <c r="AX3410" s="5" t="s">
        <v>249</v>
      </c>
      <c r="AY3410" s="5" t="s">
        <v>490</v>
      </c>
      <c r="BA3410" s="5" t="s">
        <v>238</v>
      </c>
      <c r="BC3410" s="5" t="s">
        <v>491</v>
      </c>
      <c r="BD3410" s="6" t="s">
        <v>492</v>
      </c>
      <c r="BE3410" s="5" t="s">
        <v>493</v>
      </c>
      <c r="BF3410" s="5" t="s">
        <v>493</v>
      </c>
      <c r="BG3410" s="5" t="s">
        <v>238</v>
      </c>
      <c r="BH3410" s="8">
        <f>1</f>
        <v>1</v>
      </c>
      <c r="BI3410" s="8">
        <f>1</f>
        <v>1</v>
      </c>
      <c r="BJ3410" s="5" t="s">
        <v>253</v>
      </c>
      <c r="BK3410" s="5" t="s">
        <v>254</v>
      </c>
      <c r="BL3410" s="5" t="s">
        <v>238</v>
      </c>
      <c r="BM3410" s="5" t="s">
        <v>238</v>
      </c>
      <c r="BN3410" s="5" t="s">
        <v>238</v>
      </c>
      <c r="BO3410" s="5" t="s">
        <v>238</v>
      </c>
      <c r="BP3410" s="5" t="s">
        <v>238</v>
      </c>
      <c r="BQ3410" s="5" t="s">
        <v>238</v>
      </c>
      <c r="BR3410" s="5" t="s">
        <v>238</v>
      </c>
      <c r="BS3410" s="5" t="s">
        <v>238</v>
      </c>
      <c r="BT3410" s="6" t="s">
        <v>238</v>
      </c>
      <c r="BU3410" s="5" t="s">
        <v>238</v>
      </c>
      <c r="BV3410" s="5" t="s">
        <v>238</v>
      </c>
      <c r="BW3410" s="5" t="s">
        <v>238</v>
      </c>
      <c r="BX3410" s="5" t="s">
        <v>254</v>
      </c>
      <c r="BY3410" s="5" t="s">
        <v>238</v>
      </c>
      <c r="BZ3410" s="5" t="s">
        <v>238</v>
      </c>
      <c r="CA3410" s="5" t="s">
        <v>238</v>
      </c>
      <c r="CB3410" s="5" t="s">
        <v>238</v>
      </c>
      <c r="CC3410" s="5" t="s">
        <v>238</v>
      </c>
      <c r="CD3410" s="5" t="s">
        <v>273</v>
      </c>
      <c r="CE3410" s="5" t="s">
        <v>256</v>
      </c>
      <c r="CF3410" s="5" t="s">
        <v>238</v>
      </c>
      <c r="CH3410" s="5" t="s">
        <v>494</v>
      </c>
      <c r="CI3410" s="6" t="s">
        <v>257</v>
      </c>
      <c r="CJ3410" s="5" t="s">
        <v>495</v>
      </c>
      <c r="CK3410" s="5" t="s">
        <v>258</v>
      </c>
      <c r="CL3410" s="5" t="s">
        <v>496</v>
      </c>
      <c r="CM3410" s="5" t="s">
        <v>238</v>
      </c>
      <c r="CN3410" s="5">
        <v>0</v>
      </c>
      <c r="CO3410" s="5" t="s">
        <v>497</v>
      </c>
      <c r="CP3410" s="5" t="s">
        <v>260</v>
      </c>
      <c r="CQ3410" s="5" t="s">
        <v>260</v>
      </c>
      <c r="CR3410" s="5" t="s">
        <v>261</v>
      </c>
      <c r="CS3410" s="5" t="s">
        <v>498</v>
      </c>
      <c r="CT3410" s="7">
        <f>1</f>
        <v>1</v>
      </c>
      <c r="CU3410" s="8">
        <f>1</f>
        <v>1</v>
      </c>
      <c r="CV3410" s="8">
        <f>0</f>
        <v>0</v>
      </c>
      <c r="CX3410" s="8">
        <f>1</f>
        <v>1</v>
      </c>
      <c r="CY3410" s="8">
        <f>1</f>
        <v>1</v>
      </c>
      <c r="CZ3410" s="8" t="s">
        <v>238</v>
      </c>
      <c r="DA3410" s="5" t="s">
        <v>238</v>
      </c>
      <c r="DB3410" s="5" t="s">
        <v>238</v>
      </c>
      <c r="DC3410" s="5" t="s">
        <v>238</v>
      </c>
      <c r="DD3410" s="5" t="s">
        <v>238</v>
      </c>
      <c r="DE3410" s="8">
        <f>0</f>
        <v>0</v>
      </c>
      <c r="DG3410" s="5" t="s">
        <v>238</v>
      </c>
      <c r="DH3410" s="5" t="s">
        <v>238</v>
      </c>
      <c r="DI3410" s="5" t="s">
        <v>238</v>
      </c>
      <c r="DJ3410" s="5" t="s">
        <v>238</v>
      </c>
      <c r="DK3410" s="5" t="s">
        <v>238</v>
      </c>
      <c r="DL3410" s="5" t="s">
        <v>238</v>
      </c>
      <c r="DM3410" s="8" t="s">
        <v>238</v>
      </c>
      <c r="DN3410" s="5" t="s">
        <v>238</v>
      </c>
      <c r="DO3410" s="5" t="s">
        <v>238</v>
      </c>
      <c r="DP3410" s="5" t="s">
        <v>490</v>
      </c>
      <c r="DQ3410" s="5" t="s">
        <v>490</v>
      </c>
      <c r="DR3410" s="5" t="s">
        <v>238</v>
      </c>
      <c r="DS3410" s="5" t="s">
        <v>238</v>
      </c>
      <c r="DT3410" s="5" t="s">
        <v>500</v>
      </c>
      <c r="DU3410" s="5" t="s">
        <v>1360</v>
      </c>
      <c r="DV3410" s="5" t="s">
        <v>238</v>
      </c>
      <c r="DW3410" s="5" t="s">
        <v>238</v>
      </c>
      <c r="DX3410" s="5" t="s">
        <v>238</v>
      </c>
      <c r="DY3410" s="5" t="s">
        <v>238</v>
      </c>
      <c r="DZ3410" s="5" t="s">
        <v>238</v>
      </c>
      <c r="EA3410" s="5" t="s">
        <v>238</v>
      </c>
      <c r="EB3410" s="5" t="s">
        <v>238</v>
      </c>
      <c r="EC3410" s="5" t="s">
        <v>238</v>
      </c>
      <c r="ED3410" s="5" t="s">
        <v>238</v>
      </c>
      <c r="EE3410" s="5" t="s">
        <v>238</v>
      </c>
      <c r="EF3410" s="5" t="s">
        <v>238</v>
      </c>
      <c r="EG3410" s="5" t="s">
        <v>238</v>
      </c>
      <c r="EH3410" s="5" t="s">
        <v>238</v>
      </c>
      <c r="EI3410" s="5" t="s">
        <v>238</v>
      </c>
      <c r="EJ3410" s="5" t="s">
        <v>238</v>
      </c>
      <c r="EK3410" s="5" t="s">
        <v>238</v>
      </c>
      <c r="EL3410" s="5" t="s">
        <v>238</v>
      </c>
      <c r="EM3410" s="5" t="s">
        <v>238</v>
      </c>
      <c r="EN3410" s="5" t="s">
        <v>238</v>
      </c>
      <c r="EO3410" s="5" t="s">
        <v>238</v>
      </c>
      <c r="EP3410" s="5" t="s">
        <v>238</v>
      </c>
      <c r="EQ3410" s="5" t="s">
        <v>238</v>
      </c>
      <c r="ER3410" s="5" t="s">
        <v>238</v>
      </c>
      <c r="ES3410" s="5" t="s">
        <v>238</v>
      </c>
      <c r="ET3410" s="5" t="s">
        <v>238</v>
      </c>
      <c r="EU3410" s="5" t="s">
        <v>238</v>
      </c>
      <c r="EV3410" s="5" t="s">
        <v>238</v>
      </c>
      <c r="EW3410" s="5" t="s">
        <v>238</v>
      </c>
      <c r="EX3410" s="5" t="s">
        <v>238</v>
      </c>
      <c r="EY3410" s="5" t="s">
        <v>238</v>
      </c>
      <c r="EZ3410" s="5" t="s">
        <v>238</v>
      </c>
      <c r="FA3410" s="5" t="s">
        <v>238</v>
      </c>
      <c r="FB3410" s="5" t="s">
        <v>238</v>
      </c>
      <c r="FC3410" s="5" t="s">
        <v>238</v>
      </c>
      <c r="FD3410" s="5" t="s">
        <v>238</v>
      </c>
      <c r="FE3410" s="5" t="s">
        <v>238</v>
      </c>
      <c r="FF3410" s="5" t="s">
        <v>238</v>
      </c>
      <c r="FG3410" s="5" t="s">
        <v>238</v>
      </c>
      <c r="FH3410" s="5" t="s">
        <v>238</v>
      </c>
      <c r="FI3410" s="5" t="s">
        <v>238</v>
      </c>
      <c r="FJ3410" s="5" t="s">
        <v>238</v>
      </c>
      <c r="FK3410" s="5" t="s">
        <v>238</v>
      </c>
      <c r="FL3410" s="5" t="s">
        <v>238</v>
      </c>
      <c r="FM3410" s="5" t="s">
        <v>238</v>
      </c>
      <c r="FN3410" s="5" t="s">
        <v>238</v>
      </c>
      <c r="FO3410" s="5" t="s">
        <v>238</v>
      </c>
      <c r="FP3410" s="5" t="s">
        <v>238</v>
      </c>
      <c r="FQ3410" s="5" t="s">
        <v>238</v>
      </c>
      <c r="FR3410" s="5" t="s">
        <v>238</v>
      </c>
      <c r="FS3410" s="5" t="s">
        <v>238</v>
      </c>
      <c r="FT3410" s="5" t="s">
        <v>238</v>
      </c>
      <c r="FU3410" s="5" t="s">
        <v>238</v>
      </c>
      <c r="FV3410" s="5" t="s">
        <v>238</v>
      </c>
      <c r="FW3410" s="5" t="s">
        <v>238</v>
      </c>
      <c r="FX3410" s="5" t="s">
        <v>238</v>
      </c>
      <c r="FY3410" s="5" t="s">
        <v>238</v>
      </c>
      <c r="FZ3410" s="5" t="s">
        <v>238</v>
      </c>
      <c r="GA3410" s="5" t="s">
        <v>238</v>
      </c>
      <c r="GB3410" s="5" t="s">
        <v>238</v>
      </c>
      <c r="GC3410" s="5" t="s">
        <v>238</v>
      </c>
      <c r="GD3410" s="5" t="s">
        <v>238</v>
      </c>
      <c r="GE3410" s="5" t="s">
        <v>238</v>
      </c>
      <c r="GF3410" s="5" t="s">
        <v>238</v>
      </c>
      <c r="GG3410" s="5" t="s">
        <v>238</v>
      </c>
      <c r="GH3410" s="5" t="s">
        <v>238</v>
      </c>
      <c r="GI3410" s="5" t="s">
        <v>238</v>
      </c>
      <c r="GJ3410" s="5" t="s">
        <v>238</v>
      </c>
      <c r="GK3410" s="5" t="s">
        <v>238</v>
      </c>
      <c r="GL3410" s="5" t="s">
        <v>238</v>
      </c>
      <c r="GM3410" s="5" t="s">
        <v>238</v>
      </c>
      <c r="GN3410" s="5" t="s">
        <v>238</v>
      </c>
      <c r="GO3410" s="5" t="s">
        <v>238</v>
      </c>
      <c r="GP3410" s="5" t="s">
        <v>238</v>
      </c>
      <c r="GQ3410" s="5" t="s">
        <v>238</v>
      </c>
      <c r="GR3410" s="5" t="s">
        <v>238</v>
      </c>
      <c r="GS3410" s="5" t="s">
        <v>238</v>
      </c>
      <c r="GT3410" s="5" t="s">
        <v>238</v>
      </c>
      <c r="GU3410" s="5" t="s">
        <v>238</v>
      </c>
      <c r="GV3410" s="5" t="s">
        <v>238</v>
      </c>
      <c r="GW3410" s="5" t="s">
        <v>238</v>
      </c>
      <c r="GX3410" s="5" t="s">
        <v>238</v>
      </c>
      <c r="GY3410" s="5" t="s">
        <v>238</v>
      </c>
      <c r="GZ3410" s="5" t="s">
        <v>238</v>
      </c>
      <c r="HA3410" s="5" t="s">
        <v>238</v>
      </c>
      <c r="HB3410" s="5" t="s">
        <v>238</v>
      </c>
      <c r="HC3410" s="5" t="s">
        <v>238</v>
      </c>
      <c r="HD3410" s="5" t="s">
        <v>238</v>
      </c>
      <c r="HE3410" s="5" t="s">
        <v>238</v>
      </c>
      <c r="HF3410" s="5" t="s">
        <v>238</v>
      </c>
      <c r="HG3410" s="5" t="s">
        <v>238</v>
      </c>
      <c r="HH3410" s="5" t="s">
        <v>238</v>
      </c>
      <c r="HI3410" s="5" t="s">
        <v>238</v>
      </c>
      <c r="HJ3410" s="5" t="s">
        <v>238</v>
      </c>
      <c r="HK3410" s="5" t="s">
        <v>238</v>
      </c>
      <c r="HL3410" s="5" t="s">
        <v>238</v>
      </c>
      <c r="HM3410" s="5" t="s">
        <v>264</v>
      </c>
      <c r="HN3410" s="5" t="s">
        <v>238</v>
      </c>
      <c r="HO3410" s="5" t="s">
        <v>238</v>
      </c>
      <c r="HP3410" s="5" t="s">
        <v>238</v>
      </c>
      <c r="HQ3410" s="5" t="s">
        <v>238</v>
      </c>
      <c r="HR3410" s="5" t="s">
        <v>238</v>
      </c>
      <c r="HS3410" s="5" t="s">
        <v>238</v>
      </c>
      <c r="HT3410" s="5" t="s">
        <v>238</v>
      </c>
      <c r="HU3410" s="5" t="s">
        <v>238</v>
      </c>
      <c r="HV3410" s="5" t="s">
        <v>238</v>
      </c>
      <c r="HW3410" s="5" t="s">
        <v>238</v>
      </c>
      <c r="HX3410" s="5" t="s">
        <v>238</v>
      </c>
      <c r="HY3410" s="5" t="s">
        <v>238</v>
      </c>
      <c r="HZ3410" s="5" t="s">
        <v>238</v>
      </c>
      <c r="IA3410" s="5" t="s">
        <v>238</v>
      </c>
      <c r="IB3410" s="5" t="s">
        <v>238</v>
      </c>
      <c r="IC3410" s="5" t="s">
        <v>238</v>
      </c>
      <c r="ID3410" s="5" t="s">
        <v>238</v>
      </c>
    </row>
    <row r="3411" spans="1:238" x14ac:dyDescent="0.4">
      <c r="A3411" s="5">
        <v>9129</v>
      </c>
      <c r="B3411" s="5">
        <v>1</v>
      </c>
      <c r="C3411" s="5">
        <v>1</v>
      </c>
      <c r="D3411" s="5" t="s">
        <v>484</v>
      </c>
      <c r="E3411" s="5" t="s">
        <v>485</v>
      </c>
      <c r="F3411" s="5" t="s">
        <v>248</v>
      </c>
      <c r="G3411" s="5" t="s">
        <v>5313</v>
      </c>
      <c r="H3411" s="6" t="s">
        <v>5314</v>
      </c>
      <c r="I3411" s="8">
        <f>1</f>
        <v>1</v>
      </c>
      <c r="J3411" s="5" t="s">
        <v>499</v>
      </c>
      <c r="K3411" s="8">
        <f>1</f>
        <v>1</v>
      </c>
      <c r="L3411" s="6" t="s">
        <v>242</v>
      </c>
      <c r="M3411" s="5" t="s">
        <v>267</v>
      </c>
      <c r="N3411" s="5" t="s">
        <v>482</v>
      </c>
      <c r="O3411" s="5" t="s">
        <v>238</v>
      </c>
      <c r="P3411" s="5" t="s">
        <v>238</v>
      </c>
      <c r="Q3411" s="5" t="s">
        <v>239</v>
      </c>
      <c r="R3411" s="5" t="s">
        <v>270</v>
      </c>
      <c r="S3411" s="5" t="s">
        <v>238</v>
      </c>
      <c r="T3411" s="5" t="s">
        <v>238</v>
      </c>
      <c r="U3411" s="5" t="s">
        <v>238</v>
      </c>
      <c r="V3411" s="5" t="s">
        <v>238</v>
      </c>
      <c r="W3411" s="6" t="s">
        <v>238</v>
      </c>
      <c r="X3411" s="6" t="s">
        <v>238</v>
      </c>
      <c r="Y3411" s="5" t="s">
        <v>238</v>
      </c>
      <c r="Z3411" s="6" t="s">
        <v>238</v>
      </c>
      <c r="AA3411" s="6" t="s">
        <v>243</v>
      </c>
      <c r="AB3411" s="5" t="s">
        <v>486</v>
      </c>
      <c r="AC3411" s="5" t="s">
        <v>244</v>
      </c>
      <c r="AD3411" s="5" t="s">
        <v>245</v>
      </c>
      <c r="AE3411" s="5" t="s">
        <v>238</v>
      </c>
      <c r="AF3411" s="5" t="s">
        <v>238</v>
      </c>
      <c r="AG3411" s="5" t="s">
        <v>238</v>
      </c>
      <c r="AH3411" s="5" t="s">
        <v>238</v>
      </c>
      <c r="AI3411" s="5" t="s">
        <v>238</v>
      </c>
      <c r="AJ3411" s="5" t="s">
        <v>238</v>
      </c>
      <c r="AK3411" s="5" t="s">
        <v>238</v>
      </c>
      <c r="AL3411" s="5" t="s">
        <v>238</v>
      </c>
      <c r="AM3411" s="6" t="s">
        <v>238</v>
      </c>
      <c r="AN3411" s="6" t="s">
        <v>238</v>
      </c>
      <c r="AO3411" s="6" t="s">
        <v>238</v>
      </c>
      <c r="AP3411" s="6" t="s">
        <v>238</v>
      </c>
      <c r="AQ3411" s="5" t="s">
        <v>238</v>
      </c>
      <c r="AR3411" s="5" t="s">
        <v>488</v>
      </c>
      <c r="AS3411" s="5" t="s">
        <v>488</v>
      </c>
      <c r="AT3411" s="5" t="s">
        <v>246</v>
      </c>
      <c r="AU3411" s="5" t="s">
        <v>489</v>
      </c>
      <c r="AV3411" s="5" t="s">
        <v>247</v>
      </c>
      <c r="AW3411" s="5" t="s">
        <v>238</v>
      </c>
      <c r="AX3411" s="5" t="s">
        <v>249</v>
      </c>
      <c r="AY3411" s="5" t="s">
        <v>490</v>
      </c>
      <c r="BA3411" s="5" t="s">
        <v>238</v>
      </c>
      <c r="BC3411" s="5" t="s">
        <v>491</v>
      </c>
      <c r="BD3411" s="6" t="s">
        <v>492</v>
      </c>
      <c r="BE3411" s="5" t="s">
        <v>493</v>
      </c>
      <c r="BF3411" s="5" t="s">
        <v>493</v>
      </c>
      <c r="BG3411" s="5" t="s">
        <v>238</v>
      </c>
      <c r="BH3411" s="8">
        <f>1</f>
        <v>1</v>
      </c>
      <c r="BI3411" s="8">
        <f>1</f>
        <v>1</v>
      </c>
      <c r="BJ3411" s="5" t="s">
        <v>253</v>
      </c>
      <c r="BK3411" s="5" t="s">
        <v>254</v>
      </c>
      <c r="BL3411" s="5" t="s">
        <v>238</v>
      </c>
      <c r="BM3411" s="5" t="s">
        <v>238</v>
      </c>
      <c r="BN3411" s="5" t="s">
        <v>238</v>
      </c>
      <c r="BO3411" s="5" t="s">
        <v>238</v>
      </c>
      <c r="BP3411" s="5" t="s">
        <v>238</v>
      </c>
      <c r="BQ3411" s="5" t="s">
        <v>238</v>
      </c>
      <c r="BR3411" s="5" t="s">
        <v>238</v>
      </c>
      <c r="BS3411" s="5" t="s">
        <v>238</v>
      </c>
      <c r="BT3411" s="6" t="s">
        <v>238</v>
      </c>
      <c r="BU3411" s="5" t="s">
        <v>238</v>
      </c>
      <c r="BV3411" s="5" t="s">
        <v>238</v>
      </c>
      <c r="BW3411" s="5" t="s">
        <v>238</v>
      </c>
      <c r="BX3411" s="5" t="s">
        <v>254</v>
      </c>
      <c r="BY3411" s="5" t="s">
        <v>238</v>
      </c>
      <c r="BZ3411" s="5" t="s">
        <v>238</v>
      </c>
      <c r="CA3411" s="5" t="s">
        <v>238</v>
      </c>
      <c r="CB3411" s="5" t="s">
        <v>238</v>
      </c>
      <c r="CC3411" s="5" t="s">
        <v>238</v>
      </c>
      <c r="CD3411" s="5" t="s">
        <v>273</v>
      </c>
      <c r="CE3411" s="5" t="s">
        <v>256</v>
      </c>
      <c r="CF3411" s="5" t="s">
        <v>238</v>
      </c>
      <c r="CH3411" s="5" t="s">
        <v>494</v>
      </c>
      <c r="CI3411" s="6" t="s">
        <v>257</v>
      </c>
      <c r="CJ3411" s="5" t="s">
        <v>495</v>
      </c>
      <c r="CK3411" s="5" t="s">
        <v>258</v>
      </c>
      <c r="CL3411" s="5" t="s">
        <v>496</v>
      </c>
      <c r="CM3411" s="5" t="s">
        <v>238</v>
      </c>
      <c r="CN3411" s="5">
        <v>0</v>
      </c>
      <c r="CO3411" s="5" t="s">
        <v>497</v>
      </c>
      <c r="CP3411" s="5" t="s">
        <v>260</v>
      </c>
      <c r="CQ3411" s="5" t="s">
        <v>260</v>
      </c>
      <c r="CR3411" s="5" t="s">
        <v>261</v>
      </c>
      <c r="CS3411" s="5" t="s">
        <v>498</v>
      </c>
      <c r="CT3411" s="7">
        <f>1</f>
        <v>1</v>
      </c>
      <c r="CU3411" s="8">
        <f>1</f>
        <v>1</v>
      </c>
      <c r="CV3411" s="8">
        <f>0</f>
        <v>0</v>
      </c>
      <c r="CX3411" s="8">
        <f>1</f>
        <v>1</v>
      </c>
      <c r="CY3411" s="8">
        <f>1</f>
        <v>1</v>
      </c>
      <c r="CZ3411" s="8" t="s">
        <v>238</v>
      </c>
      <c r="DA3411" s="5" t="s">
        <v>238</v>
      </c>
      <c r="DB3411" s="5" t="s">
        <v>238</v>
      </c>
      <c r="DC3411" s="5" t="s">
        <v>238</v>
      </c>
      <c r="DD3411" s="5" t="s">
        <v>238</v>
      </c>
      <c r="DE3411" s="8">
        <f>0</f>
        <v>0</v>
      </c>
      <c r="DG3411" s="5" t="s">
        <v>238</v>
      </c>
      <c r="DH3411" s="5" t="s">
        <v>238</v>
      </c>
      <c r="DI3411" s="5" t="s">
        <v>238</v>
      </c>
      <c r="DJ3411" s="5" t="s">
        <v>238</v>
      </c>
      <c r="DK3411" s="5" t="s">
        <v>238</v>
      </c>
      <c r="DL3411" s="5" t="s">
        <v>238</v>
      </c>
      <c r="DM3411" s="8" t="s">
        <v>238</v>
      </c>
      <c r="DN3411" s="5" t="s">
        <v>238</v>
      </c>
      <c r="DO3411" s="5" t="s">
        <v>238</v>
      </c>
      <c r="DP3411" s="5" t="s">
        <v>490</v>
      </c>
      <c r="DQ3411" s="5" t="s">
        <v>490</v>
      </c>
      <c r="DR3411" s="5" t="s">
        <v>238</v>
      </c>
      <c r="DS3411" s="5" t="s">
        <v>238</v>
      </c>
      <c r="DT3411" s="5" t="s">
        <v>500</v>
      </c>
      <c r="DU3411" s="5" t="s">
        <v>522</v>
      </c>
      <c r="DV3411" s="5" t="s">
        <v>238</v>
      </c>
      <c r="DW3411" s="5" t="s">
        <v>238</v>
      </c>
      <c r="DX3411" s="5" t="s">
        <v>238</v>
      </c>
      <c r="DY3411" s="5" t="s">
        <v>238</v>
      </c>
      <c r="DZ3411" s="5" t="s">
        <v>238</v>
      </c>
      <c r="EA3411" s="5" t="s">
        <v>238</v>
      </c>
      <c r="EB3411" s="5" t="s">
        <v>238</v>
      </c>
      <c r="EC3411" s="5" t="s">
        <v>238</v>
      </c>
      <c r="ED3411" s="5" t="s">
        <v>238</v>
      </c>
      <c r="EE3411" s="5" t="s">
        <v>238</v>
      </c>
      <c r="EF3411" s="5" t="s">
        <v>238</v>
      </c>
      <c r="EG3411" s="5" t="s">
        <v>238</v>
      </c>
      <c r="EH3411" s="5" t="s">
        <v>238</v>
      </c>
      <c r="EI3411" s="5" t="s">
        <v>238</v>
      </c>
      <c r="EJ3411" s="5" t="s">
        <v>238</v>
      </c>
      <c r="EK3411" s="5" t="s">
        <v>238</v>
      </c>
      <c r="EL3411" s="5" t="s">
        <v>238</v>
      </c>
      <c r="EM3411" s="5" t="s">
        <v>238</v>
      </c>
      <c r="EN3411" s="5" t="s">
        <v>238</v>
      </c>
      <c r="EO3411" s="5" t="s">
        <v>238</v>
      </c>
      <c r="EP3411" s="5" t="s">
        <v>238</v>
      </c>
      <c r="EQ3411" s="5" t="s">
        <v>238</v>
      </c>
      <c r="ER3411" s="5" t="s">
        <v>238</v>
      </c>
      <c r="ES3411" s="5" t="s">
        <v>238</v>
      </c>
      <c r="ET3411" s="5" t="s">
        <v>238</v>
      </c>
      <c r="EU3411" s="5" t="s">
        <v>238</v>
      </c>
      <c r="EV3411" s="5" t="s">
        <v>238</v>
      </c>
      <c r="EW3411" s="5" t="s">
        <v>238</v>
      </c>
      <c r="EX3411" s="5" t="s">
        <v>238</v>
      </c>
      <c r="EY3411" s="5" t="s">
        <v>238</v>
      </c>
      <c r="EZ3411" s="5" t="s">
        <v>238</v>
      </c>
      <c r="FA3411" s="5" t="s">
        <v>238</v>
      </c>
      <c r="FB3411" s="5" t="s">
        <v>238</v>
      </c>
      <c r="FC3411" s="5" t="s">
        <v>238</v>
      </c>
      <c r="FD3411" s="5" t="s">
        <v>238</v>
      </c>
      <c r="FE3411" s="5" t="s">
        <v>238</v>
      </c>
      <c r="FF3411" s="5" t="s">
        <v>238</v>
      </c>
      <c r="FG3411" s="5" t="s">
        <v>238</v>
      </c>
      <c r="FH3411" s="5" t="s">
        <v>238</v>
      </c>
      <c r="FI3411" s="5" t="s">
        <v>238</v>
      </c>
      <c r="FJ3411" s="5" t="s">
        <v>238</v>
      </c>
      <c r="FK3411" s="5" t="s">
        <v>238</v>
      </c>
      <c r="FL3411" s="5" t="s">
        <v>238</v>
      </c>
      <c r="FM3411" s="5" t="s">
        <v>238</v>
      </c>
      <c r="FN3411" s="5" t="s">
        <v>238</v>
      </c>
      <c r="FO3411" s="5" t="s">
        <v>238</v>
      </c>
      <c r="FP3411" s="5" t="s">
        <v>238</v>
      </c>
      <c r="FQ3411" s="5" t="s">
        <v>238</v>
      </c>
      <c r="FR3411" s="5" t="s">
        <v>238</v>
      </c>
      <c r="FS3411" s="5" t="s">
        <v>238</v>
      </c>
      <c r="FT3411" s="5" t="s">
        <v>238</v>
      </c>
      <c r="FU3411" s="5" t="s">
        <v>238</v>
      </c>
      <c r="FV3411" s="5" t="s">
        <v>238</v>
      </c>
      <c r="FW3411" s="5" t="s">
        <v>238</v>
      </c>
      <c r="FX3411" s="5" t="s">
        <v>238</v>
      </c>
      <c r="FY3411" s="5" t="s">
        <v>238</v>
      </c>
      <c r="FZ3411" s="5" t="s">
        <v>238</v>
      </c>
      <c r="GA3411" s="5" t="s">
        <v>238</v>
      </c>
      <c r="GB3411" s="5" t="s">
        <v>238</v>
      </c>
      <c r="GC3411" s="5" t="s">
        <v>238</v>
      </c>
      <c r="GD3411" s="5" t="s">
        <v>238</v>
      </c>
      <c r="GE3411" s="5" t="s">
        <v>238</v>
      </c>
      <c r="GF3411" s="5" t="s">
        <v>238</v>
      </c>
      <c r="GG3411" s="5" t="s">
        <v>238</v>
      </c>
      <c r="GH3411" s="5" t="s">
        <v>238</v>
      </c>
      <c r="GI3411" s="5" t="s">
        <v>238</v>
      </c>
      <c r="GJ3411" s="5" t="s">
        <v>238</v>
      </c>
      <c r="GK3411" s="5" t="s">
        <v>238</v>
      </c>
      <c r="GL3411" s="5" t="s">
        <v>238</v>
      </c>
      <c r="GM3411" s="5" t="s">
        <v>238</v>
      </c>
      <c r="GN3411" s="5" t="s">
        <v>238</v>
      </c>
      <c r="GO3411" s="5" t="s">
        <v>238</v>
      </c>
      <c r="GP3411" s="5" t="s">
        <v>238</v>
      </c>
      <c r="GQ3411" s="5" t="s">
        <v>238</v>
      </c>
      <c r="GR3411" s="5" t="s">
        <v>238</v>
      </c>
      <c r="GS3411" s="5" t="s">
        <v>238</v>
      </c>
      <c r="GT3411" s="5" t="s">
        <v>238</v>
      </c>
      <c r="GU3411" s="5" t="s">
        <v>238</v>
      </c>
      <c r="GV3411" s="5" t="s">
        <v>238</v>
      </c>
      <c r="GW3411" s="5" t="s">
        <v>238</v>
      </c>
      <c r="GX3411" s="5" t="s">
        <v>238</v>
      </c>
      <c r="GY3411" s="5" t="s">
        <v>238</v>
      </c>
      <c r="GZ3411" s="5" t="s">
        <v>238</v>
      </c>
      <c r="HA3411" s="5" t="s">
        <v>238</v>
      </c>
      <c r="HB3411" s="5" t="s">
        <v>238</v>
      </c>
      <c r="HC3411" s="5" t="s">
        <v>238</v>
      </c>
      <c r="HD3411" s="5" t="s">
        <v>238</v>
      </c>
      <c r="HE3411" s="5" t="s">
        <v>238</v>
      </c>
      <c r="HF3411" s="5" t="s">
        <v>238</v>
      </c>
      <c r="HG3411" s="5" t="s">
        <v>238</v>
      </c>
      <c r="HH3411" s="5" t="s">
        <v>238</v>
      </c>
      <c r="HI3411" s="5" t="s">
        <v>238</v>
      </c>
      <c r="HJ3411" s="5" t="s">
        <v>238</v>
      </c>
      <c r="HK3411" s="5" t="s">
        <v>238</v>
      </c>
      <c r="HL3411" s="5" t="s">
        <v>238</v>
      </c>
      <c r="HM3411" s="5" t="s">
        <v>264</v>
      </c>
      <c r="HN3411" s="5" t="s">
        <v>238</v>
      </c>
      <c r="HO3411" s="5" t="s">
        <v>238</v>
      </c>
      <c r="HP3411" s="5" t="s">
        <v>238</v>
      </c>
      <c r="HQ3411" s="5" t="s">
        <v>238</v>
      </c>
      <c r="HR3411" s="5" t="s">
        <v>238</v>
      </c>
      <c r="HS3411" s="5" t="s">
        <v>238</v>
      </c>
      <c r="HT3411" s="5" t="s">
        <v>238</v>
      </c>
      <c r="HU3411" s="5" t="s">
        <v>238</v>
      </c>
      <c r="HV3411" s="5" t="s">
        <v>238</v>
      </c>
      <c r="HW3411" s="5" t="s">
        <v>238</v>
      </c>
      <c r="HX3411" s="5" t="s">
        <v>238</v>
      </c>
      <c r="HY3411" s="5" t="s">
        <v>238</v>
      </c>
      <c r="HZ3411" s="5" t="s">
        <v>238</v>
      </c>
      <c r="IA3411" s="5" t="s">
        <v>238</v>
      </c>
      <c r="IB3411" s="5" t="s">
        <v>238</v>
      </c>
      <c r="IC3411" s="5" t="s">
        <v>238</v>
      </c>
      <c r="ID3411" s="5" t="s">
        <v>238</v>
      </c>
    </row>
    <row r="3412" spans="1:238" x14ac:dyDescent="0.4">
      <c r="A3412" s="5">
        <v>9130</v>
      </c>
      <c r="B3412" s="5">
        <v>1</v>
      </c>
      <c r="C3412" s="5">
        <v>1</v>
      </c>
      <c r="D3412" s="5" t="s">
        <v>484</v>
      </c>
      <c r="E3412" s="5" t="s">
        <v>485</v>
      </c>
      <c r="F3412" s="5" t="s">
        <v>248</v>
      </c>
      <c r="G3412" s="5" t="s">
        <v>5049</v>
      </c>
      <c r="H3412" s="6" t="s">
        <v>5050</v>
      </c>
      <c r="I3412" s="8">
        <f>1</f>
        <v>1</v>
      </c>
      <c r="J3412" s="5" t="s">
        <v>499</v>
      </c>
      <c r="K3412" s="8">
        <f>1</f>
        <v>1</v>
      </c>
      <c r="L3412" s="6" t="s">
        <v>242</v>
      </c>
      <c r="M3412" s="5" t="s">
        <v>267</v>
      </c>
      <c r="N3412" s="5" t="s">
        <v>482</v>
      </c>
      <c r="O3412" s="5" t="s">
        <v>238</v>
      </c>
      <c r="P3412" s="5" t="s">
        <v>238</v>
      </c>
      <c r="Q3412" s="5" t="s">
        <v>239</v>
      </c>
      <c r="R3412" s="5" t="s">
        <v>270</v>
      </c>
      <c r="S3412" s="5" t="s">
        <v>238</v>
      </c>
      <c r="T3412" s="5" t="s">
        <v>238</v>
      </c>
      <c r="U3412" s="5" t="s">
        <v>238</v>
      </c>
      <c r="V3412" s="5" t="s">
        <v>238</v>
      </c>
      <c r="W3412" s="6" t="s">
        <v>238</v>
      </c>
      <c r="X3412" s="6" t="s">
        <v>238</v>
      </c>
      <c r="Y3412" s="5" t="s">
        <v>238</v>
      </c>
      <c r="Z3412" s="6" t="s">
        <v>238</v>
      </c>
      <c r="AA3412" s="6" t="s">
        <v>243</v>
      </c>
      <c r="AB3412" s="5" t="s">
        <v>486</v>
      </c>
      <c r="AC3412" s="5" t="s">
        <v>244</v>
      </c>
      <c r="AD3412" s="5" t="s">
        <v>245</v>
      </c>
      <c r="AE3412" s="5" t="s">
        <v>238</v>
      </c>
      <c r="AF3412" s="5" t="s">
        <v>238</v>
      </c>
      <c r="AG3412" s="5" t="s">
        <v>238</v>
      </c>
      <c r="AH3412" s="5" t="s">
        <v>238</v>
      </c>
      <c r="AI3412" s="5" t="s">
        <v>238</v>
      </c>
      <c r="AJ3412" s="5" t="s">
        <v>238</v>
      </c>
      <c r="AK3412" s="5" t="s">
        <v>238</v>
      </c>
      <c r="AL3412" s="5" t="s">
        <v>238</v>
      </c>
      <c r="AM3412" s="6" t="s">
        <v>238</v>
      </c>
      <c r="AN3412" s="6" t="s">
        <v>238</v>
      </c>
      <c r="AO3412" s="6" t="s">
        <v>238</v>
      </c>
      <c r="AP3412" s="6" t="s">
        <v>238</v>
      </c>
      <c r="AQ3412" s="5" t="s">
        <v>238</v>
      </c>
      <c r="AR3412" s="5" t="s">
        <v>488</v>
      </c>
      <c r="AS3412" s="5" t="s">
        <v>488</v>
      </c>
      <c r="AT3412" s="5" t="s">
        <v>246</v>
      </c>
      <c r="AU3412" s="5" t="s">
        <v>489</v>
      </c>
      <c r="AV3412" s="5" t="s">
        <v>247</v>
      </c>
      <c r="AW3412" s="5" t="s">
        <v>238</v>
      </c>
      <c r="AX3412" s="5" t="s">
        <v>249</v>
      </c>
      <c r="AY3412" s="5" t="s">
        <v>490</v>
      </c>
      <c r="BA3412" s="5" t="s">
        <v>238</v>
      </c>
      <c r="BC3412" s="5" t="s">
        <v>491</v>
      </c>
      <c r="BD3412" s="6" t="s">
        <v>492</v>
      </c>
      <c r="BE3412" s="5" t="s">
        <v>493</v>
      </c>
      <c r="BF3412" s="5" t="s">
        <v>493</v>
      </c>
      <c r="BG3412" s="5" t="s">
        <v>238</v>
      </c>
      <c r="BH3412" s="8">
        <f>1</f>
        <v>1</v>
      </c>
      <c r="BI3412" s="8">
        <f>1</f>
        <v>1</v>
      </c>
      <c r="BJ3412" s="5" t="s">
        <v>253</v>
      </c>
      <c r="BK3412" s="5" t="s">
        <v>254</v>
      </c>
      <c r="BL3412" s="5" t="s">
        <v>238</v>
      </c>
      <c r="BM3412" s="5" t="s">
        <v>238</v>
      </c>
      <c r="BN3412" s="5" t="s">
        <v>238</v>
      </c>
      <c r="BO3412" s="5" t="s">
        <v>238</v>
      </c>
      <c r="BP3412" s="5" t="s">
        <v>238</v>
      </c>
      <c r="BQ3412" s="5" t="s">
        <v>238</v>
      </c>
      <c r="BR3412" s="5" t="s">
        <v>238</v>
      </c>
      <c r="BS3412" s="5" t="s">
        <v>238</v>
      </c>
      <c r="BT3412" s="6" t="s">
        <v>238</v>
      </c>
      <c r="BU3412" s="5" t="s">
        <v>238</v>
      </c>
      <c r="BV3412" s="5" t="s">
        <v>238</v>
      </c>
      <c r="BW3412" s="5" t="s">
        <v>238</v>
      </c>
      <c r="BX3412" s="5" t="s">
        <v>254</v>
      </c>
      <c r="BY3412" s="5" t="s">
        <v>238</v>
      </c>
      <c r="BZ3412" s="5" t="s">
        <v>238</v>
      </c>
      <c r="CA3412" s="5" t="s">
        <v>238</v>
      </c>
      <c r="CB3412" s="5" t="s">
        <v>238</v>
      </c>
      <c r="CC3412" s="5" t="s">
        <v>238</v>
      </c>
      <c r="CD3412" s="5" t="s">
        <v>273</v>
      </c>
      <c r="CE3412" s="5" t="s">
        <v>256</v>
      </c>
      <c r="CF3412" s="5" t="s">
        <v>238</v>
      </c>
      <c r="CH3412" s="5" t="s">
        <v>494</v>
      </c>
      <c r="CI3412" s="6" t="s">
        <v>257</v>
      </c>
      <c r="CJ3412" s="5" t="s">
        <v>495</v>
      </c>
      <c r="CK3412" s="5" t="s">
        <v>258</v>
      </c>
      <c r="CL3412" s="5" t="s">
        <v>496</v>
      </c>
      <c r="CM3412" s="5" t="s">
        <v>238</v>
      </c>
      <c r="CN3412" s="5">
        <v>0</v>
      </c>
      <c r="CO3412" s="5" t="s">
        <v>497</v>
      </c>
      <c r="CP3412" s="5" t="s">
        <v>260</v>
      </c>
      <c r="CQ3412" s="5" t="s">
        <v>260</v>
      </c>
      <c r="CR3412" s="5" t="s">
        <v>261</v>
      </c>
      <c r="CS3412" s="5" t="s">
        <v>498</v>
      </c>
      <c r="CT3412" s="7">
        <f>1</f>
        <v>1</v>
      </c>
      <c r="CU3412" s="8">
        <f>1</f>
        <v>1</v>
      </c>
      <c r="CV3412" s="8">
        <f>0</f>
        <v>0</v>
      </c>
      <c r="CX3412" s="8">
        <f>1</f>
        <v>1</v>
      </c>
      <c r="CY3412" s="8">
        <f>1</f>
        <v>1</v>
      </c>
      <c r="CZ3412" s="8" t="s">
        <v>238</v>
      </c>
      <c r="DA3412" s="5" t="s">
        <v>238</v>
      </c>
      <c r="DB3412" s="5" t="s">
        <v>238</v>
      </c>
      <c r="DC3412" s="5" t="s">
        <v>238</v>
      </c>
      <c r="DD3412" s="5" t="s">
        <v>238</v>
      </c>
      <c r="DE3412" s="8">
        <f>0</f>
        <v>0</v>
      </c>
      <c r="DG3412" s="5" t="s">
        <v>238</v>
      </c>
      <c r="DH3412" s="5" t="s">
        <v>238</v>
      </c>
      <c r="DI3412" s="5" t="s">
        <v>238</v>
      </c>
      <c r="DJ3412" s="5" t="s">
        <v>238</v>
      </c>
      <c r="DK3412" s="5" t="s">
        <v>238</v>
      </c>
      <c r="DL3412" s="5" t="s">
        <v>238</v>
      </c>
      <c r="DM3412" s="8" t="s">
        <v>238</v>
      </c>
      <c r="DN3412" s="5" t="s">
        <v>238</v>
      </c>
      <c r="DO3412" s="5" t="s">
        <v>238</v>
      </c>
      <c r="DP3412" s="5" t="s">
        <v>490</v>
      </c>
      <c r="DQ3412" s="5" t="s">
        <v>490</v>
      </c>
      <c r="DR3412" s="5" t="s">
        <v>238</v>
      </c>
      <c r="DS3412" s="5" t="s">
        <v>238</v>
      </c>
      <c r="DT3412" s="5" t="s">
        <v>500</v>
      </c>
      <c r="DU3412" s="5" t="s">
        <v>778</v>
      </c>
      <c r="DV3412" s="5" t="s">
        <v>238</v>
      </c>
      <c r="DW3412" s="5" t="s">
        <v>238</v>
      </c>
      <c r="DX3412" s="5" t="s">
        <v>238</v>
      </c>
      <c r="DY3412" s="5" t="s">
        <v>238</v>
      </c>
      <c r="DZ3412" s="5" t="s">
        <v>238</v>
      </c>
      <c r="EA3412" s="5" t="s">
        <v>238</v>
      </c>
      <c r="EB3412" s="5" t="s">
        <v>238</v>
      </c>
      <c r="EC3412" s="5" t="s">
        <v>238</v>
      </c>
      <c r="ED3412" s="5" t="s">
        <v>238</v>
      </c>
      <c r="EE3412" s="5" t="s">
        <v>238</v>
      </c>
      <c r="EF3412" s="5" t="s">
        <v>238</v>
      </c>
      <c r="EG3412" s="5" t="s">
        <v>238</v>
      </c>
      <c r="EH3412" s="5" t="s">
        <v>238</v>
      </c>
      <c r="EI3412" s="5" t="s">
        <v>238</v>
      </c>
      <c r="EJ3412" s="5" t="s">
        <v>238</v>
      </c>
      <c r="EK3412" s="5" t="s">
        <v>238</v>
      </c>
      <c r="EL3412" s="5" t="s">
        <v>238</v>
      </c>
      <c r="EM3412" s="5" t="s">
        <v>238</v>
      </c>
      <c r="EN3412" s="5" t="s">
        <v>238</v>
      </c>
      <c r="EO3412" s="5" t="s">
        <v>238</v>
      </c>
      <c r="EP3412" s="5" t="s">
        <v>238</v>
      </c>
      <c r="EQ3412" s="5" t="s">
        <v>238</v>
      </c>
      <c r="ER3412" s="5" t="s">
        <v>238</v>
      </c>
      <c r="ES3412" s="5" t="s">
        <v>238</v>
      </c>
      <c r="ET3412" s="5" t="s">
        <v>238</v>
      </c>
      <c r="EU3412" s="5" t="s">
        <v>238</v>
      </c>
      <c r="EV3412" s="5" t="s">
        <v>238</v>
      </c>
      <c r="EW3412" s="5" t="s">
        <v>238</v>
      </c>
      <c r="EX3412" s="5" t="s">
        <v>238</v>
      </c>
      <c r="EY3412" s="5" t="s">
        <v>238</v>
      </c>
      <c r="EZ3412" s="5" t="s">
        <v>238</v>
      </c>
      <c r="FA3412" s="5" t="s">
        <v>238</v>
      </c>
      <c r="FB3412" s="5" t="s">
        <v>238</v>
      </c>
      <c r="FC3412" s="5" t="s">
        <v>238</v>
      </c>
      <c r="FD3412" s="5" t="s">
        <v>238</v>
      </c>
      <c r="FE3412" s="5" t="s">
        <v>238</v>
      </c>
      <c r="FF3412" s="5" t="s">
        <v>238</v>
      </c>
      <c r="FG3412" s="5" t="s">
        <v>238</v>
      </c>
      <c r="FH3412" s="5" t="s">
        <v>238</v>
      </c>
      <c r="FI3412" s="5" t="s">
        <v>238</v>
      </c>
      <c r="FJ3412" s="5" t="s">
        <v>238</v>
      </c>
      <c r="FK3412" s="5" t="s">
        <v>238</v>
      </c>
      <c r="FL3412" s="5" t="s">
        <v>238</v>
      </c>
      <c r="FM3412" s="5" t="s">
        <v>238</v>
      </c>
      <c r="FN3412" s="5" t="s">
        <v>238</v>
      </c>
      <c r="FO3412" s="5" t="s">
        <v>238</v>
      </c>
      <c r="FP3412" s="5" t="s">
        <v>238</v>
      </c>
      <c r="FQ3412" s="5" t="s">
        <v>238</v>
      </c>
      <c r="FR3412" s="5" t="s">
        <v>238</v>
      </c>
      <c r="FS3412" s="5" t="s">
        <v>238</v>
      </c>
      <c r="FT3412" s="5" t="s">
        <v>238</v>
      </c>
      <c r="FU3412" s="5" t="s">
        <v>238</v>
      </c>
      <c r="FV3412" s="5" t="s">
        <v>238</v>
      </c>
      <c r="FW3412" s="5" t="s">
        <v>238</v>
      </c>
      <c r="FX3412" s="5" t="s">
        <v>238</v>
      </c>
      <c r="FY3412" s="5" t="s">
        <v>238</v>
      </c>
      <c r="FZ3412" s="5" t="s">
        <v>238</v>
      </c>
      <c r="GA3412" s="5" t="s">
        <v>238</v>
      </c>
      <c r="GB3412" s="5" t="s">
        <v>238</v>
      </c>
      <c r="GC3412" s="5" t="s">
        <v>238</v>
      </c>
      <c r="GD3412" s="5" t="s">
        <v>238</v>
      </c>
      <c r="GE3412" s="5" t="s">
        <v>238</v>
      </c>
      <c r="GF3412" s="5" t="s">
        <v>238</v>
      </c>
      <c r="GG3412" s="5" t="s">
        <v>238</v>
      </c>
      <c r="GH3412" s="5" t="s">
        <v>238</v>
      </c>
      <c r="GI3412" s="5" t="s">
        <v>238</v>
      </c>
      <c r="GJ3412" s="5" t="s">
        <v>238</v>
      </c>
      <c r="GK3412" s="5" t="s">
        <v>238</v>
      </c>
      <c r="GL3412" s="5" t="s">
        <v>238</v>
      </c>
      <c r="GM3412" s="5" t="s">
        <v>238</v>
      </c>
      <c r="GN3412" s="5" t="s">
        <v>238</v>
      </c>
      <c r="GO3412" s="5" t="s">
        <v>238</v>
      </c>
      <c r="GP3412" s="5" t="s">
        <v>238</v>
      </c>
      <c r="GQ3412" s="5" t="s">
        <v>238</v>
      </c>
      <c r="GR3412" s="5" t="s">
        <v>238</v>
      </c>
      <c r="GS3412" s="5" t="s">
        <v>238</v>
      </c>
      <c r="GT3412" s="5" t="s">
        <v>238</v>
      </c>
      <c r="GU3412" s="5" t="s">
        <v>238</v>
      </c>
      <c r="GV3412" s="5" t="s">
        <v>238</v>
      </c>
      <c r="GW3412" s="5" t="s">
        <v>238</v>
      </c>
      <c r="GX3412" s="5" t="s">
        <v>238</v>
      </c>
      <c r="GY3412" s="5" t="s">
        <v>238</v>
      </c>
      <c r="GZ3412" s="5" t="s">
        <v>238</v>
      </c>
      <c r="HA3412" s="5" t="s">
        <v>238</v>
      </c>
      <c r="HB3412" s="5" t="s">
        <v>238</v>
      </c>
      <c r="HC3412" s="5" t="s">
        <v>238</v>
      </c>
      <c r="HD3412" s="5" t="s">
        <v>238</v>
      </c>
      <c r="HE3412" s="5" t="s">
        <v>238</v>
      </c>
      <c r="HF3412" s="5" t="s">
        <v>238</v>
      </c>
      <c r="HG3412" s="5" t="s">
        <v>238</v>
      </c>
      <c r="HH3412" s="5" t="s">
        <v>238</v>
      </c>
      <c r="HI3412" s="5" t="s">
        <v>238</v>
      </c>
      <c r="HJ3412" s="5" t="s">
        <v>238</v>
      </c>
      <c r="HK3412" s="5" t="s">
        <v>238</v>
      </c>
      <c r="HL3412" s="5" t="s">
        <v>238</v>
      </c>
      <c r="HM3412" s="5" t="s">
        <v>264</v>
      </c>
      <c r="HN3412" s="5" t="s">
        <v>238</v>
      </c>
      <c r="HO3412" s="5" t="s">
        <v>238</v>
      </c>
      <c r="HP3412" s="5" t="s">
        <v>238</v>
      </c>
      <c r="HQ3412" s="5" t="s">
        <v>238</v>
      </c>
      <c r="HR3412" s="5" t="s">
        <v>238</v>
      </c>
      <c r="HS3412" s="5" t="s">
        <v>238</v>
      </c>
      <c r="HT3412" s="5" t="s">
        <v>238</v>
      </c>
      <c r="HU3412" s="5" t="s">
        <v>238</v>
      </c>
      <c r="HV3412" s="5" t="s">
        <v>238</v>
      </c>
      <c r="HW3412" s="5" t="s">
        <v>238</v>
      </c>
      <c r="HX3412" s="5" t="s">
        <v>238</v>
      </c>
      <c r="HY3412" s="5" t="s">
        <v>238</v>
      </c>
      <c r="HZ3412" s="5" t="s">
        <v>238</v>
      </c>
      <c r="IA3412" s="5" t="s">
        <v>238</v>
      </c>
      <c r="IB3412" s="5" t="s">
        <v>238</v>
      </c>
      <c r="IC3412" s="5" t="s">
        <v>238</v>
      </c>
      <c r="ID3412" s="5" t="s">
        <v>238</v>
      </c>
    </row>
    <row r="3413" spans="1:238" x14ac:dyDescent="0.4">
      <c r="A3413" s="5">
        <v>9131</v>
      </c>
      <c r="B3413" s="5">
        <v>1</v>
      </c>
      <c r="C3413" s="5">
        <v>1</v>
      </c>
      <c r="D3413" s="5" t="s">
        <v>484</v>
      </c>
      <c r="E3413" s="5" t="s">
        <v>485</v>
      </c>
      <c r="F3413" s="5" t="s">
        <v>248</v>
      </c>
      <c r="G3413" s="5" t="s">
        <v>4495</v>
      </c>
      <c r="H3413" s="6" t="s">
        <v>4497</v>
      </c>
      <c r="I3413" s="8">
        <f>1</f>
        <v>1</v>
      </c>
      <c r="J3413" s="5" t="s">
        <v>499</v>
      </c>
      <c r="K3413" s="8">
        <f>1</f>
        <v>1</v>
      </c>
      <c r="L3413" s="6" t="s">
        <v>242</v>
      </c>
      <c r="M3413" s="5" t="s">
        <v>267</v>
      </c>
      <c r="N3413" s="5" t="s">
        <v>482</v>
      </c>
      <c r="O3413" s="5" t="s">
        <v>238</v>
      </c>
      <c r="P3413" s="5" t="s">
        <v>238</v>
      </c>
      <c r="Q3413" s="5" t="s">
        <v>239</v>
      </c>
      <c r="R3413" s="5" t="s">
        <v>270</v>
      </c>
      <c r="S3413" s="5" t="s">
        <v>238</v>
      </c>
      <c r="T3413" s="5" t="s">
        <v>238</v>
      </c>
      <c r="U3413" s="5" t="s">
        <v>238</v>
      </c>
      <c r="V3413" s="5" t="s">
        <v>238</v>
      </c>
      <c r="W3413" s="6" t="s">
        <v>238</v>
      </c>
      <c r="X3413" s="6" t="s">
        <v>238</v>
      </c>
      <c r="Y3413" s="5" t="s">
        <v>238</v>
      </c>
      <c r="Z3413" s="6" t="s">
        <v>238</v>
      </c>
      <c r="AA3413" s="6" t="s">
        <v>243</v>
      </c>
      <c r="AB3413" s="5" t="s">
        <v>4496</v>
      </c>
      <c r="AC3413" s="5" t="s">
        <v>244</v>
      </c>
      <c r="AD3413" s="5" t="s">
        <v>245</v>
      </c>
      <c r="AE3413" s="5" t="s">
        <v>238</v>
      </c>
      <c r="AF3413" s="5" t="s">
        <v>238</v>
      </c>
      <c r="AG3413" s="5" t="s">
        <v>238</v>
      </c>
      <c r="AH3413" s="5" t="s">
        <v>238</v>
      </c>
      <c r="AI3413" s="5" t="s">
        <v>238</v>
      </c>
      <c r="AJ3413" s="5" t="s">
        <v>238</v>
      </c>
      <c r="AK3413" s="5" t="s">
        <v>238</v>
      </c>
      <c r="AL3413" s="5" t="s">
        <v>238</v>
      </c>
      <c r="AM3413" s="6" t="s">
        <v>238</v>
      </c>
      <c r="AN3413" s="6" t="s">
        <v>238</v>
      </c>
      <c r="AO3413" s="6" t="s">
        <v>238</v>
      </c>
      <c r="AP3413" s="6" t="s">
        <v>238</v>
      </c>
      <c r="AQ3413" s="5" t="s">
        <v>238</v>
      </c>
      <c r="AR3413" s="5" t="s">
        <v>488</v>
      </c>
      <c r="AS3413" s="5" t="s">
        <v>488</v>
      </c>
      <c r="AT3413" s="5" t="s">
        <v>246</v>
      </c>
      <c r="AU3413" s="5" t="s">
        <v>489</v>
      </c>
      <c r="AV3413" s="5" t="s">
        <v>247</v>
      </c>
      <c r="AW3413" s="5" t="s">
        <v>238</v>
      </c>
      <c r="AX3413" s="5" t="s">
        <v>249</v>
      </c>
      <c r="AY3413" s="5" t="s">
        <v>490</v>
      </c>
      <c r="BA3413" s="5" t="s">
        <v>238</v>
      </c>
      <c r="BC3413" s="5" t="s">
        <v>491</v>
      </c>
      <c r="BD3413" s="6" t="s">
        <v>492</v>
      </c>
      <c r="BE3413" s="5" t="s">
        <v>493</v>
      </c>
      <c r="BF3413" s="5" t="s">
        <v>493</v>
      </c>
      <c r="BG3413" s="5" t="s">
        <v>238</v>
      </c>
      <c r="BH3413" s="8">
        <f>1</f>
        <v>1</v>
      </c>
      <c r="BI3413" s="8">
        <f>1</f>
        <v>1</v>
      </c>
      <c r="BJ3413" s="5" t="s">
        <v>253</v>
      </c>
      <c r="BK3413" s="5" t="s">
        <v>254</v>
      </c>
      <c r="BL3413" s="5" t="s">
        <v>238</v>
      </c>
      <c r="BM3413" s="5" t="s">
        <v>238</v>
      </c>
      <c r="BN3413" s="5" t="s">
        <v>238</v>
      </c>
      <c r="BO3413" s="5" t="s">
        <v>238</v>
      </c>
      <c r="BP3413" s="5" t="s">
        <v>238</v>
      </c>
      <c r="BQ3413" s="5" t="s">
        <v>238</v>
      </c>
      <c r="BR3413" s="5" t="s">
        <v>238</v>
      </c>
      <c r="BS3413" s="5" t="s">
        <v>238</v>
      </c>
      <c r="BT3413" s="6" t="s">
        <v>238</v>
      </c>
      <c r="BU3413" s="5" t="s">
        <v>238</v>
      </c>
      <c r="BV3413" s="5" t="s">
        <v>238</v>
      </c>
      <c r="BW3413" s="5" t="s">
        <v>238</v>
      </c>
      <c r="BX3413" s="5" t="s">
        <v>254</v>
      </c>
      <c r="BY3413" s="5" t="s">
        <v>238</v>
      </c>
      <c r="BZ3413" s="5" t="s">
        <v>238</v>
      </c>
      <c r="CA3413" s="5" t="s">
        <v>238</v>
      </c>
      <c r="CB3413" s="5" t="s">
        <v>238</v>
      </c>
      <c r="CC3413" s="5" t="s">
        <v>238</v>
      </c>
      <c r="CD3413" s="5" t="s">
        <v>273</v>
      </c>
      <c r="CE3413" s="5" t="s">
        <v>256</v>
      </c>
      <c r="CF3413" s="5" t="s">
        <v>238</v>
      </c>
      <c r="CH3413" s="5" t="s">
        <v>494</v>
      </c>
      <c r="CI3413" s="6" t="s">
        <v>257</v>
      </c>
      <c r="CJ3413" s="5" t="s">
        <v>495</v>
      </c>
      <c r="CK3413" s="5" t="s">
        <v>258</v>
      </c>
      <c r="CL3413" s="5" t="s">
        <v>496</v>
      </c>
      <c r="CM3413" s="5" t="s">
        <v>238</v>
      </c>
      <c r="CN3413" s="5">
        <v>0</v>
      </c>
      <c r="CO3413" s="5" t="s">
        <v>497</v>
      </c>
      <c r="CP3413" s="5" t="s">
        <v>260</v>
      </c>
      <c r="CQ3413" s="5" t="s">
        <v>260</v>
      </c>
      <c r="CR3413" s="5" t="s">
        <v>261</v>
      </c>
      <c r="CS3413" s="5" t="s">
        <v>498</v>
      </c>
      <c r="CT3413" s="7">
        <f>1</f>
        <v>1</v>
      </c>
      <c r="CU3413" s="8">
        <f>1</f>
        <v>1</v>
      </c>
      <c r="CV3413" s="8">
        <f>0</f>
        <v>0</v>
      </c>
      <c r="CX3413" s="8">
        <f>1</f>
        <v>1</v>
      </c>
      <c r="CY3413" s="8">
        <f>1</f>
        <v>1</v>
      </c>
      <c r="CZ3413" s="8" t="s">
        <v>238</v>
      </c>
      <c r="DA3413" s="5" t="s">
        <v>238</v>
      </c>
      <c r="DB3413" s="5" t="s">
        <v>238</v>
      </c>
      <c r="DC3413" s="5" t="s">
        <v>238</v>
      </c>
      <c r="DD3413" s="5" t="s">
        <v>238</v>
      </c>
      <c r="DE3413" s="8">
        <f>0</f>
        <v>0</v>
      </c>
      <c r="DG3413" s="5" t="s">
        <v>238</v>
      </c>
      <c r="DH3413" s="5" t="s">
        <v>238</v>
      </c>
      <c r="DI3413" s="5" t="s">
        <v>238</v>
      </c>
      <c r="DJ3413" s="5" t="s">
        <v>238</v>
      </c>
      <c r="DK3413" s="5" t="s">
        <v>238</v>
      </c>
      <c r="DL3413" s="5" t="s">
        <v>238</v>
      </c>
      <c r="DM3413" s="8" t="s">
        <v>238</v>
      </c>
      <c r="DN3413" s="5" t="s">
        <v>238</v>
      </c>
      <c r="DO3413" s="5" t="s">
        <v>238</v>
      </c>
      <c r="DP3413" s="5" t="s">
        <v>490</v>
      </c>
      <c r="DQ3413" s="5" t="s">
        <v>490</v>
      </c>
      <c r="DR3413" s="5" t="s">
        <v>238</v>
      </c>
      <c r="DS3413" s="5" t="s">
        <v>238</v>
      </c>
      <c r="DT3413" s="5" t="s">
        <v>500</v>
      </c>
      <c r="DU3413" s="5" t="s">
        <v>538</v>
      </c>
      <c r="DV3413" s="5" t="s">
        <v>238</v>
      </c>
      <c r="DW3413" s="5" t="s">
        <v>238</v>
      </c>
      <c r="DX3413" s="5" t="s">
        <v>238</v>
      </c>
      <c r="DY3413" s="5" t="s">
        <v>238</v>
      </c>
      <c r="DZ3413" s="5" t="s">
        <v>238</v>
      </c>
      <c r="EA3413" s="5" t="s">
        <v>238</v>
      </c>
      <c r="EB3413" s="5" t="s">
        <v>238</v>
      </c>
      <c r="EC3413" s="5" t="s">
        <v>238</v>
      </c>
      <c r="ED3413" s="5" t="s">
        <v>238</v>
      </c>
      <c r="EE3413" s="5" t="s">
        <v>238</v>
      </c>
      <c r="EF3413" s="5" t="s">
        <v>238</v>
      </c>
      <c r="EG3413" s="5" t="s">
        <v>238</v>
      </c>
      <c r="EH3413" s="5" t="s">
        <v>238</v>
      </c>
      <c r="EI3413" s="5" t="s">
        <v>238</v>
      </c>
      <c r="EJ3413" s="5" t="s">
        <v>238</v>
      </c>
      <c r="EK3413" s="5" t="s">
        <v>238</v>
      </c>
      <c r="EL3413" s="5" t="s">
        <v>238</v>
      </c>
      <c r="EM3413" s="5" t="s">
        <v>238</v>
      </c>
      <c r="EN3413" s="5" t="s">
        <v>238</v>
      </c>
      <c r="EO3413" s="5" t="s">
        <v>238</v>
      </c>
      <c r="EP3413" s="5" t="s">
        <v>238</v>
      </c>
      <c r="EQ3413" s="5" t="s">
        <v>238</v>
      </c>
      <c r="ER3413" s="5" t="s">
        <v>238</v>
      </c>
      <c r="ES3413" s="5" t="s">
        <v>238</v>
      </c>
      <c r="ET3413" s="5" t="s">
        <v>238</v>
      </c>
      <c r="EU3413" s="5" t="s">
        <v>238</v>
      </c>
      <c r="EV3413" s="5" t="s">
        <v>238</v>
      </c>
      <c r="EW3413" s="5" t="s">
        <v>238</v>
      </c>
      <c r="EX3413" s="5" t="s">
        <v>238</v>
      </c>
      <c r="EY3413" s="5" t="s">
        <v>238</v>
      </c>
      <c r="EZ3413" s="5" t="s">
        <v>238</v>
      </c>
      <c r="FA3413" s="5" t="s">
        <v>238</v>
      </c>
      <c r="FB3413" s="5" t="s">
        <v>238</v>
      </c>
      <c r="FC3413" s="5" t="s">
        <v>238</v>
      </c>
      <c r="FD3413" s="5" t="s">
        <v>238</v>
      </c>
      <c r="FE3413" s="5" t="s">
        <v>238</v>
      </c>
      <c r="FF3413" s="5" t="s">
        <v>238</v>
      </c>
      <c r="FG3413" s="5" t="s">
        <v>238</v>
      </c>
      <c r="FH3413" s="5" t="s">
        <v>238</v>
      </c>
      <c r="FI3413" s="5" t="s">
        <v>238</v>
      </c>
      <c r="FJ3413" s="5" t="s">
        <v>238</v>
      </c>
      <c r="FK3413" s="5" t="s">
        <v>238</v>
      </c>
      <c r="FL3413" s="5" t="s">
        <v>238</v>
      </c>
      <c r="FM3413" s="5" t="s">
        <v>238</v>
      </c>
      <c r="FN3413" s="5" t="s">
        <v>238</v>
      </c>
      <c r="FO3413" s="5" t="s">
        <v>238</v>
      </c>
      <c r="FP3413" s="5" t="s">
        <v>238</v>
      </c>
      <c r="FQ3413" s="5" t="s">
        <v>238</v>
      </c>
      <c r="FR3413" s="5" t="s">
        <v>238</v>
      </c>
      <c r="FS3413" s="5" t="s">
        <v>238</v>
      </c>
      <c r="FT3413" s="5" t="s">
        <v>238</v>
      </c>
      <c r="FU3413" s="5" t="s">
        <v>238</v>
      </c>
      <c r="FV3413" s="5" t="s">
        <v>238</v>
      </c>
      <c r="FW3413" s="5" t="s">
        <v>238</v>
      </c>
      <c r="FX3413" s="5" t="s">
        <v>238</v>
      </c>
      <c r="FY3413" s="5" t="s">
        <v>238</v>
      </c>
      <c r="FZ3413" s="5" t="s">
        <v>238</v>
      </c>
      <c r="GA3413" s="5" t="s">
        <v>238</v>
      </c>
      <c r="GB3413" s="5" t="s">
        <v>238</v>
      </c>
      <c r="GC3413" s="5" t="s">
        <v>238</v>
      </c>
      <c r="GD3413" s="5" t="s">
        <v>238</v>
      </c>
      <c r="GE3413" s="5" t="s">
        <v>238</v>
      </c>
      <c r="GF3413" s="5" t="s">
        <v>238</v>
      </c>
      <c r="GG3413" s="5" t="s">
        <v>238</v>
      </c>
      <c r="GH3413" s="5" t="s">
        <v>238</v>
      </c>
      <c r="GI3413" s="5" t="s">
        <v>238</v>
      </c>
      <c r="GJ3413" s="5" t="s">
        <v>238</v>
      </c>
      <c r="GK3413" s="5" t="s">
        <v>238</v>
      </c>
      <c r="GL3413" s="5" t="s">
        <v>238</v>
      </c>
      <c r="GM3413" s="5" t="s">
        <v>238</v>
      </c>
      <c r="GN3413" s="5" t="s">
        <v>238</v>
      </c>
      <c r="GO3413" s="5" t="s">
        <v>238</v>
      </c>
      <c r="GP3413" s="5" t="s">
        <v>238</v>
      </c>
      <c r="GQ3413" s="5" t="s">
        <v>238</v>
      </c>
      <c r="GR3413" s="5" t="s">
        <v>238</v>
      </c>
      <c r="GS3413" s="5" t="s">
        <v>238</v>
      </c>
      <c r="GT3413" s="5" t="s">
        <v>238</v>
      </c>
      <c r="GU3413" s="5" t="s">
        <v>238</v>
      </c>
      <c r="GV3413" s="5" t="s">
        <v>238</v>
      </c>
      <c r="GW3413" s="5" t="s">
        <v>238</v>
      </c>
      <c r="GX3413" s="5" t="s">
        <v>238</v>
      </c>
      <c r="GY3413" s="5" t="s">
        <v>238</v>
      </c>
      <c r="GZ3413" s="5" t="s">
        <v>238</v>
      </c>
      <c r="HA3413" s="5" t="s">
        <v>238</v>
      </c>
      <c r="HB3413" s="5" t="s">
        <v>238</v>
      </c>
      <c r="HC3413" s="5" t="s">
        <v>238</v>
      </c>
      <c r="HD3413" s="5" t="s">
        <v>238</v>
      </c>
      <c r="HE3413" s="5" t="s">
        <v>238</v>
      </c>
      <c r="HF3413" s="5" t="s">
        <v>238</v>
      </c>
      <c r="HG3413" s="5" t="s">
        <v>238</v>
      </c>
      <c r="HH3413" s="5" t="s">
        <v>238</v>
      </c>
      <c r="HI3413" s="5" t="s">
        <v>238</v>
      </c>
      <c r="HJ3413" s="5" t="s">
        <v>238</v>
      </c>
      <c r="HK3413" s="5" t="s">
        <v>238</v>
      </c>
      <c r="HL3413" s="5" t="s">
        <v>238</v>
      </c>
      <c r="HM3413" s="5" t="s">
        <v>264</v>
      </c>
      <c r="HN3413" s="5" t="s">
        <v>238</v>
      </c>
      <c r="HO3413" s="5" t="s">
        <v>238</v>
      </c>
      <c r="HP3413" s="5" t="s">
        <v>238</v>
      </c>
      <c r="HQ3413" s="5" t="s">
        <v>238</v>
      </c>
      <c r="HR3413" s="5" t="s">
        <v>238</v>
      </c>
      <c r="HS3413" s="5" t="s">
        <v>238</v>
      </c>
      <c r="HT3413" s="5" t="s">
        <v>238</v>
      </c>
      <c r="HU3413" s="5" t="s">
        <v>238</v>
      </c>
      <c r="HV3413" s="5" t="s">
        <v>238</v>
      </c>
      <c r="HW3413" s="5" t="s">
        <v>238</v>
      </c>
      <c r="HX3413" s="5" t="s">
        <v>238</v>
      </c>
      <c r="HY3413" s="5" t="s">
        <v>238</v>
      </c>
      <c r="HZ3413" s="5" t="s">
        <v>238</v>
      </c>
      <c r="IA3413" s="5" t="s">
        <v>238</v>
      </c>
      <c r="IB3413" s="5" t="s">
        <v>238</v>
      </c>
      <c r="IC3413" s="5" t="s">
        <v>238</v>
      </c>
      <c r="ID3413" s="5" t="s">
        <v>238</v>
      </c>
    </row>
    <row r="3414" spans="1:238" x14ac:dyDescent="0.4">
      <c r="A3414" s="5">
        <v>9132</v>
      </c>
      <c r="B3414" s="5">
        <v>1</v>
      </c>
      <c r="C3414" s="5">
        <v>1</v>
      </c>
      <c r="D3414" s="5" t="s">
        <v>484</v>
      </c>
      <c r="E3414" s="5" t="s">
        <v>485</v>
      </c>
      <c r="F3414" s="5" t="s">
        <v>248</v>
      </c>
      <c r="G3414" s="5" t="s">
        <v>4474</v>
      </c>
      <c r="H3414" s="6" t="s">
        <v>4475</v>
      </c>
      <c r="I3414" s="8">
        <f>1</f>
        <v>1</v>
      </c>
      <c r="J3414" s="5" t="s">
        <v>499</v>
      </c>
      <c r="K3414" s="8">
        <f>1</f>
        <v>1</v>
      </c>
      <c r="L3414" s="6" t="s">
        <v>242</v>
      </c>
      <c r="M3414" s="5" t="s">
        <v>267</v>
      </c>
      <c r="N3414" s="5" t="s">
        <v>482</v>
      </c>
      <c r="O3414" s="5" t="s">
        <v>238</v>
      </c>
      <c r="P3414" s="5" t="s">
        <v>238</v>
      </c>
      <c r="Q3414" s="5" t="s">
        <v>239</v>
      </c>
      <c r="R3414" s="5" t="s">
        <v>270</v>
      </c>
      <c r="S3414" s="5" t="s">
        <v>238</v>
      </c>
      <c r="T3414" s="5" t="s">
        <v>238</v>
      </c>
      <c r="U3414" s="5" t="s">
        <v>238</v>
      </c>
      <c r="V3414" s="5" t="s">
        <v>238</v>
      </c>
      <c r="W3414" s="6" t="s">
        <v>238</v>
      </c>
      <c r="X3414" s="6" t="s">
        <v>238</v>
      </c>
      <c r="Y3414" s="5" t="s">
        <v>238</v>
      </c>
      <c r="Z3414" s="6" t="s">
        <v>238</v>
      </c>
      <c r="AA3414" s="6" t="s">
        <v>243</v>
      </c>
      <c r="AB3414" s="5" t="s">
        <v>486</v>
      </c>
      <c r="AC3414" s="5" t="s">
        <v>244</v>
      </c>
      <c r="AD3414" s="5" t="s">
        <v>245</v>
      </c>
      <c r="AE3414" s="5" t="s">
        <v>238</v>
      </c>
      <c r="AF3414" s="5" t="s">
        <v>238</v>
      </c>
      <c r="AG3414" s="5" t="s">
        <v>238</v>
      </c>
      <c r="AH3414" s="5" t="s">
        <v>238</v>
      </c>
      <c r="AI3414" s="5" t="s">
        <v>238</v>
      </c>
      <c r="AJ3414" s="5" t="s">
        <v>238</v>
      </c>
      <c r="AK3414" s="5" t="s">
        <v>238</v>
      </c>
      <c r="AL3414" s="5" t="s">
        <v>238</v>
      </c>
      <c r="AM3414" s="6" t="s">
        <v>238</v>
      </c>
      <c r="AN3414" s="6" t="s">
        <v>238</v>
      </c>
      <c r="AO3414" s="6" t="s">
        <v>238</v>
      </c>
      <c r="AP3414" s="6" t="s">
        <v>238</v>
      </c>
      <c r="AQ3414" s="5" t="s">
        <v>238</v>
      </c>
      <c r="AR3414" s="5" t="s">
        <v>488</v>
      </c>
      <c r="AS3414" s="5" t="s">
        <v>488</v>
      </c>
      <c r="AT3414" s="5" t="s">
        <v>246</v>
      </c>
      <c r="AU3414" s="5" t="s">
        <v>489</v>
      </c>
      <c r="AV3414" s="5" t="s">
        <v>247</v>
      </c>
      <c r="AW3414" s="5" t="s">
        <v>238</v>
      </c>
      <c r="AX3414" s="5" t="s">
        <v>249</v>
      </c>
      <c r="AY3414" s="5" t="s">
        <v>490</v>
      </c>
      <c r="BA3414" s="5" t="s">
        <v>238</v>
      </c>
      <c r="BC3414" s="5" t="s">
        <v>491</v>
      </c>
      <c r="BD3414" s="6" t="s">
        <v>492</v>
      </c>
      <c r="BE3414" s="5" t="s">
        <v>493</v>
      </c>
      <c r="BF3414" s="5" t="s">
        <v>493</v>
      </c>
      <c r="BG3414" s="5" t="s">
        <v>238</v>
      </c>
      <c r="BH3414" s="8">
        <f>1</f>
        <v>1</v>
      </c>
      <c r="BI3414" s="8">
        <f>1</f>
        <v>1</v>
      </c>
      <c r="BJ3414" s="5" t="s">
        <v>253</v>
      </c>
      <c r="BK3414" s="5" t="s">
        <v>254</v>
      </c>
      <c r="BL3414" s="5" t="s">
        <v>238</v>
      </c>
      <c r="BM3414" s="5" t="s">
        <v>238</v>
      </c>
      <c r="BN3414" s="5" t="s">
        <v>238</v>
      </c>
      <c r="BO3414" s="5" t="s">
        <v>238</v>
      </c>
      <c r="BP3414" s="5" t="s">
        <v>238</v>
      </c>
      <c r="BQ3414" s="5" t="s">
        <v>238</v>
      </c>
      <c r="BR3414" s="5" t="s">
        <v>238</v>
      </c>
      <c r="BS3414" s="5" t="s">
        <v>238</v>
      </c>
      <c r="BT3414" s="6" t="s">
        <v>238</v>
      </c>
      <c r="BU3414" s="5" t="s">
        <v>238</v>
      </c>
      <c r="BV3414" s="5" t="s">
        <v>238</v>
      </c>
      <c r="BW3414" s="5" t="s">
        <v>238</v>
      </c>
      <c r="BX3414" s="5" t="s">
        <v>254</v>
      </c>
      <c r="BY3414" s="5" t="s">
        <v>238</v>
      </c>
      <c r="BZ3414" s="5" t="s">
        <v>238</v>
      </c>
      <c r="CA3414" s="5" t="s">
        <v>238</v>
      </c>
      <c r="CB3414" s="5" t="s">
        <v>238</v>
      </c>
      <c r="CC3414" s="5" t="s">
        <v>238</v>
      </c>
      <c r="CD3414" s="5" t="s">
        <v>273</v>
      </c>
      <c r="CE3414" s="5" t="s">
        <v>256</v>
      </c>
      <c r="CF3414" s="5" t="s">
        <v>238</v>
      </c>
      <c r="CH3414" s="5" t="s">
        <v>494</v>
      </c>
      <c r="CI3414" s="6" t="s">
        <v>257</v>
      </c>
      <c r="CJ3414" s="5" t="s">
        <v>495</v>
      </c>
      <c r="CK3414" s="5" t="s">
        <v>258</v>
      </c>
      <c r="CL3414" s="5" t="s">
        <v>496</v>
      </c>
      <c r="CM3414" s="5" t="s">
        <v>238</v>
      </c>
      <c r="CN3414" s="5">
        <v>0</v>
      </c>
      <c r="CO3414" s="5" t="s">
        <v>497</v>
      </c>
      <c r="CP3414" s="5" t="s">
        <v>260</v>
      </c>
      <c r="CQ3414" s="5" t="s">
        <v>260</v>
      </c>
      <c r="CR3414" s="5" t="s">
        <v>261</v>
      </c>
      <c r="CS3414" s="5" t="s">
        <v>498</v>
      </c>
      <c r="CT3414" s="7">
        <f>1</f>
        <v>1</v>
      </c>
      <c r="CU3414" s="8">
        <f>1</f>
        <v>1</v>
      </c>
      <c r="CV3414" s="8">
        <f>0</f>
        <v>0</v>
      </c>
      <c r="CX3414" s="8">
        <f>1</f>
        <v>1</v>
      </c>
      <c r="CY3414" s="8">
        <f>1</f>
        <v>1</v>
      </c>
      <c r="CZ3414" s="8" t="s">
        <v>238</v>
      </c>
      <c r="DA3414" s="5" t="s">
        <v>238</v>
      </c>
      <c r="DB3414" s="5" t="s">
        <v>238</v>
      </c>
      <c r="DC3414" s="5" t="s">
        <v>238</v>
      </c>
      <c r="DD3414" s="5" t="s">
        <v>238</v>
      </c>
      <c r="DE3414" s="8">
        <f>0</f>
        <v>0</v>
      </c>
      <c r="DG3414" s="5" t="s">
        <v>238</v>
      </c>
      <c r="DH3414" s="5" t="s">
        <v>238</v>
      </c>
      <c r="DI3414" s="5" t="s">
        <v>238</v>
      </c>
      <c r="DJ3414" s="5" t="s">
        <v>238</v>
      </c>
      <c r="DK3414" s="5" t="s">
        <v>238</v>
      </c>
      <c r="DL3414" s="5" t="s">
        <v>238</v>
      </c>
      <c r="DM3414" s="8" t="s">
        <v>238</v>
      </c>
      <c r="DN3414" s="5" t="s">
        <v>238</v>
      </c>
      <c r="DO3414" s="5" t="s">
        <v>238</v>
      </c>
      <c r="DP3414" s="5" t="s">
        <v>490</v>
      </c>
      <c r="DQ3414" s="5" t="s">
        <v>490</v>
      </c>
      <c r="DR3414" s="5" t="s">
        <v>238</v>
      </c>
      <c r="DS3414" s="5" t="s">
        <v>238</v>
      </c>
      <c r="DT3414" s="5" t="s">
        <v>500</v>
      </c>
      <c r="DU3414" s="5" t="s">
        <v>1428</v>
      </c>
      <c r="DV3414" s="5" t="s">
        <v>238</v>
      </c>
      <c r="DW3414" s="5" t="s">
        <v>238</v>
      </c>
      <c r="DX3414" s="5" t="s">
        <v>238</v>
      </c>
      <c r="DY3414" s="5" t="s">
        <v>238</v>
      </c>
      <c r="DZ3414" s="5" t="s">
        <v>238</v>
      </c>
      <c r="EA3414" s="5" t="s">
        <v>238</v>
      </c>
      <c r="EB3414" s="5" t="s">
        <v>238</v>
      </c>
      <c r="EC3414" s="5" t="s">
        <v>238</v>
      </c>
      <c r="ED3414" s="5" t="s">
        <v>238</v>
      </c>
      <c r="EE3414" s="5" t="s">
        <v>238</v>
      </c>
      <c r="EF3414" s="5" t="s">
        <v>238</v>
      </c>
      <c r="EG3414" s="5" t="s">
        <v>238</v>
      </c>
      <c r="EH3414" s="5" t="s">
        <v>238</v>
      </c>
      <c r="EI3414" s="5" t="s">
        <v>238</v>
      </c>
      <c r="EJ3414" s="5" t="s">
        <v>238</v>
      </c>
      <c r="EK3414" s="5" t="s">
        <v>238</v>
      </c>
      <c r="EL3414" s="5" t="s">
        <v>238</v>
      </c>
      <c r="EM3414" s="5" t="s">
        <v>238</v>
      </c>
      <c r="EN3414" s="5" t="s">
        <v>238</v>
      </c>
      <c r="EO3414" s="5" t="s">
        <v>238</v>
      </c>
      <c r="EP3414" s="5" t="s">
        <v>238</v>
      </c>
      <c r="EQ3414" s="5" t="s">
        <v>238</v>
      </c>
      <c r="ER3414" s="5" t="s">
        <v>238</v>
      </c>
      <c r="ES3414" s="5" t="s">
        <v>238</v>
      </c>
      <c r="ET3414" s="5" t="s">
        <v>238</v>
      </c>
      <c r="EU3414" s="5" t="s">
        <v>238</v>
      </c>
      <c r="EV3414" s="5" t="s">
        <v>238</v>
      </c>
      <c r="EW3414" s="5" t="s">
        <v>238</v>
      </c>
      <c r="EX3414" s="5" t="s">
        <v>238</v>
      </c>
      <c r="EY3414" s="5" t="s">
        <v>238</v>
      </c>
      <c r="EZ3414" s="5" t="s">
        <v>238</v>
      </c>
      <c r="FA3414" s="5" t="s">
        <v>238</v>
      </c>
      <c r="FB3414" s="5" t="s">
        <v>238</v>
      </c>
      <c r="FC3414" s="5" t="s">
        <v>238</v>
      </c>
      <c r="FD3414" s="5" t="s">
        <v>238</v>
      </c>
      <c r="FE3414" s="5" t="s">
        <v>238</v>
      </c>
      <c r="FF3414" s="5" t="s">
        <v>238</v>
      </c>
      <c r="FG3414" s="5" t="s">
        <v>238</v>
      </c>
      <c r="FH3414" s="5" t="s">
        <v>238</v>
      </c>
      <c r="FI3414" s="5" t="s">
        <v>238</v>
      </c>
      <c r="FJ3414" s="5" t="s">
        <v>238</v>
      </c>
      <c r="FK3414" s="5" t="s">
        <v>238</v>
      </c>
      <c r="FL3414" s="5" t="s">
        <v>238</v>
      </c>
      <c r="FM3414" s="5" t="s">
        <v>238</v>
      </c>
      <c r="FN3414" s="5" t="s">
        <v>238</v>
      </c>
      <c r="FO3414" s="5" t="s">
        <v>238</v>
      </c>
      <c r="FP3414" s="5" t="s">
        <v>238</v>
      </c>
      <c r="FQ3414" s="5" t="s">
        <v>238</v>
      </c>
      <c r="FR3414" s="5" t="s">
        <v>238</v>
      </c>
      <c r="FS3414" s="5" t="s">
        <v>238</v>
      </c>
      <c r="FT3414" s="5" t="s">
        <v>238</v>
      </c>
      <c r="FU3414" s="5" t="s">
        <v>238</v>
      </c>
      <c r="FV3414" s="5" t="s">
        <v>238</v>
      </c>
      <c r="FW3414" s="5" t="s">
        <v>238</v>
      </c>
      <c r="FX3414" s="5" t="s">
        <v>238</v>
      </c>
      <c r="FY3414" s="5" t="s">
        <v>238</v>
      </c>
      <c r="FZ3414" s="5" t="s">
        <v>238</v>
      </c>
      <c r="GA3414" s="5" t="s">
        <v>238</v>
      </c>
      <c r="GB3414" s="5" t="s">
        <v>238</v>
      </c>
      <c r="GC3414" s="5" t="s">
        <v>238</v>
      </c>
      <c r="GD3414" s="5" t="s">
        <v>238</v>
      </c>
      <c r="GE3414" s="5" t="s">
        <v>238</v>
      </c>
      <c r="GF3414" s="5" t="s">
        <v>238</v>
      </c>
      <c r="GG3414" s="5" t="s">
        <v>238</v>
      </c>
      <c r="GH3414" s="5" t="s">
        <v>238</v>
      </c>
      <c r="GI3414" s="5" t="s">
        <v>238</v>
      </c>
      <c r="GJ3414" s="5" t="s">
        <v>238</v>
      </c>
      <c r="GK3414" s="5" t="s">
        <v>238</v>
      </c>
      <c r="GL3414" s="5" t="s">
        <v>238</v>
      </c>
      <c r="GM3414" s="5" t="s">
        <v>238</v>
      </c>
      <c r="GN3414" s="5" t="s">
        <v>238</v>
      </c>
      <c r="GO3414" s="5" t="s">
        <v>238</v>
      </c>
      <c r="GP3414" s="5" t="s">
        <v>238</v>
      </c>
      <c r="GQ3414" s="5" t="s">
        <v>238</v>
      </c>
      <c r="GR3414" s="5" t="s">
        <v>238</v>
      </c>
      <c r="GS3414" s="5" t="s">
        <v>238</v>
      </c>
      <c r="GT3414" s="5" t="s">
        <v>238</v>
      </c>
      <c r="GU3414" s="5" t="s">
        <v>238</v>
      </c>
      <c r="GV3414" s="5" t="s">
        <v>238</v>
      </c>
      <c r="GW3414" s="5" t="s">
        <v>238</v>
      </c>
      <c r="GX3414" s="5" t="s">
        <v>238</v>
      </c>
      <c r="GY3414" s="5" t="s">
        <v>238</v>
      </c>
      <c r="GZ3414" s="5" t="s">
        <v>238</v>
      </c>
      <c r="HA3414" s="5" t="s">
        <v>238</v>
      </c>
      <c r="HB3414" s="5" t="s">
        <v>238</v>
      </c>
      <c r="HC3414" s="5" t="s">
        <v>238</v>
      </c>
      <c r="HD3414" s="5" t="s">
        <v>238</v>
      </c>
      <c r="HE3414" s="5" t="s">
        <v>238</v>
      </c>
      <c r="HF3414" s="5" t="s">
        <v>238</v>
      </c>
      <c r="HG3414" s="5" t="s">
        <v>238</v>
      </c>
      <c r="HH3414" s="5" t="s">
        <v>238</v>
      </c>
      <c r="HI3414" s="5" t="s">
        <v>238</v>
      </c>
      <c r="HJ3414" s="5" t="s">
        <v>238</v>
      </c>
      <c r="HK3414" s="5" t="s">
        <v>238</v>
      </c>
      <c r="HL3414" s="5" t="s">
        <v>238</v>
      </c>
      <c r="HM3414" s="5" t="s">
        <v>264</v>
      </c>
      <c r="HN3414" s="5" t="s">
        <v>238</v>
      </c>
      <c r="HO3414" s="5" t="s">
        <v>238</v>
      </c>
      <c r="HP3414" s="5" t="s">
        <v>238</v>
      </c>
      <c r="HQ3414" s="5" t="s">
        <v>238</v>
      </c>
      <c r="HR3414" s="5" t="s">
        <v>238</v>
      </c>
      <c r="HS3414" s="5" t="s">
        <v>238</v>
      </c>
      <c r="HT3414" s="5" t="s">
        <v>238</v>
      </c>
      <c r="HU3414" s="5" t="s">
        <v>238</v>
      </c>
      <c r="HV3414" s="5" t="s">
        <v>238</v>
      </c>
      <c r="HW3414" s="5" t="s">
        <v>238</v>
      </c>
      <c r="HX3414" s="5" t="s">
        <v>238</v>
      </c>
      <c r="HY3414" s="5" t="s">
        <v>238</v>
      </c>
      <c r="HZ3414" s="5" t="s">
        <v>238</v>
      </c>
      <c r="IA3414" s="5" t="s">
        <v>238</v>
      </c>
      <c r="IB3414" s="5" t="s">
        <v>238</v>
      </c>
      <c r="IC3414" s="5" t="s">
        <v>238</v>
      </c>
      <c r="ID3414" s="5" t="s">
        <v>238</v>
      </c>
    </row>
    <row r="3415" spans="1:238" x14ac:dyDescent="0.4">
      <c r="A3415" s="5">
        <v>9133</v>
      </c>
      <c r="B3415" s="5">
        <v>1</v>
      </c>
      <c r="C3415" s="5">
        <v>1</v>
      </c>
      <c r="D3415" s="5" t="s">
        <v>484</v>
      </c>
      <c r="E3415" s="5" t="s">
        <v>485</v>
      </c>
      <c r="F3415" s="5" t="s">
        <v>248</v>
      </c>
      <c r="G3415" s="5" t="s">
        <v>5000</v>
      </c>
      <c r="H3415" s="6" t="s">
        <v>5001</v>
      </c>
      <c r="I3415" s="8">
        <f>1</f>
        <v>1</v>
      </c>
      <c r="J3415" s="5" t="s">
        <v>499</v>
      </c>
      <c r="K3415" s="8">
        <f>1</f>
        <v>1</v>
      </c>
      <c r="L3415" s="6" t="s">
        <v>242</v>
      </c>
      <c r="M3415" s="5" t="s">
        <v>267</v>
      </c>
      <c r="N3415" s="5" t="s">
        <v>482</v>
      </c>
      <c r="O3415" s="5" t="s">
        <v>238</v>
      </c>
      <c r="P3415" s="5" t="s">
        <v>238</v>
      </c>
      <c r="Q3415" s="5" t="s">
        <v>239</v>
      </c>
      <c r="R3415" s="5" t="s">
        <v>270</v>
      </c>
      <c r="S3415" s="5" t="s">
        <v>238</v>
      </c>
      <c r="T3415" s="5" t="s">
        <v>238</v>
      </c>
      <c r="U3415" s="5" t="s">
        <v>238</v>
      </c>
      <c r="V3415" s="5" t="s">
        <v>238</v>
      </c>
      <c r="W3415" s="6" t="s">
        <v>238</v>
      </c>
      <c r="X3415" s="6" t="s">
        <v>238</v>
      </c>
      <c r="Y3415" s="5" t="s">
        <v>238</v>
      </c>
      <c r="Z3415" s="6" t="s">
        <v>238</v>
      </c>
      <c r="AA3415" s="6" t="s">
        <v>243</v>
      </c>
      <c r="AB3415" s="5" t="s">
        <v>486</v>
      </c>
      <c r="AC3415" s="5" t="s">
        <v>244</v>
      </c>
      <c r="AD3415" s="5" t="s">
        <v>245</v>
      </c>
      <c r="AE3415" s="5" t="s">
        <v>238</v>
      </c>
      <c r="AF3415" s="5" t="s">
        <v>238</v>
      </c>
      <c r="AG3415" s="5" t="s">
        <v>238</v>
      </c>
      <c r="AH3415" s="5" t="s">
        <v>238</v>
      </c>
      <c r="AI3415" s="5" t="s">
        <v>238</v>
      </c>
      <c r="AJ3415" s="5" t="s">
        <v>238</v>
      </c>
      <c r="AK3415" s="5" t="s">
        <v>238</v>
      </c>
      <c r="AL3415" s="5" t="s">
        <v>238</v>
      </c>
      <c r="AM3415" s="6" t="s">
        <v>238</v>
      </c>
      <c r="AN3415" s="6" t="s">
        <v>238</v>
      </c>
      <c r="AO3415" s="6" t="s">
        <v>238</v>
      </c>
      <c r="AP3415" s="6" t="s">
        <v>238</v>
      </c>
      <c r="AQ3415" s="5" t="s">
        <v>238</v>
      </c>
      <c r="AR3415" s="5" t="s">
        <v>488</v>
      </c>
      <c r="AS3415" s="5" t="s">
        <v>488</v>
      </c>
      <c r="AT3415" s="5" t="s">
        <v>246</v>
      </c>
      <c r="AU3415" s="5" t="s">
        <v>489</v>
      </c>
      <c r="AV3415" s="5" t="s">
        <v>247</v>
      </c>
      <c r="AW3415" s="5" t="s">
        <v>238</v>
      </c>
      <c r="AX3415" s="5" t="s">
        <v>249</v>
      </c>
      <c r="AY3415" s="5" t="s">
        <v>490</v>
      </c>
      <c r="BA3415" s="5" t="s">
        <v>238</v>
      </c>
      <c r="BC3415" s="5" t="s">
        <v>491</v>
      </c>
      <c r="BD3415" s="6" t="s">
        <v>492</v>
      </c>
      <c r="BE3415" s="5" t="s">
        <v>493</v>
      </c>
      <c r="BF3415" s="5" t="s">
        <v>493</v>
      </c>
      <c r="BG3415" s="5" t="s">
        <v>238</v>
      </c>
      <c r="BH3415" s="8">
        <f>1</f>
        <v>1</v>
      </c>
      <c r="BI3415" s="8">
        <f>1</f>
        <v>1</v>
      </c>
      <c r="BJ3415" s="5" t="s">
        <v>253</v>
      </c>
      <c r="BK3415" s="5" t="s">
        <v>254</v>
      </c>
      <c r="BL3415" s="5" t="s">
        <v>238</v>
      </c>
      <c r="BM3415" s="5" t="s">
        <v>238</v>
      </c>
      <c r="BN3415" s="5" t="s">
        <v>238</v>
      </c>
      <c r="BO3415" s="5" t="s">
        <v>238</v>
      </c>
      <c r="BP3415" s="5" t="s">
        <v>238</v>
      </c>
      <c r="BQ3415" s="5" t="s">
        <v>238</v>
      </c>
      <c r="BR3415" s="5" t="s">
        <v>238</v>
      </c>
      <c r="BS3415" s="5" t="s">
        <v>238</v>
      </c>
      <c r="BT3415" s="6" t="s">
        <v>238</v>
      </c>
      <c r="BU3415" s="5" t="s">
        <v>238</v>
      </c>
      <c r="BV3415" s="5" t="s">
        <v>238</v>
      </c>
      <c r="BW3415" s="5" t="s">
        <v>238</v>
      </c>
      <c r="BX3415" s="5" t="s">
        <v>254</v>
      </c>
      <c r="BY3415" s="5" t="s">
        <v>238</v>
      </c>
      <c r="BZ3415" s="5" t="s">
        <v>238</v>
      </c>
      <c r="CA3415" s="5" t="s">
        <v>238</v>
      </c>
      <c r="CB3415" s="5" t="s">
        <v>238</v>
      </c>
      <c r="CC3415" s="5" t="s">
        <v>238</v>
      </c>
      <c r="CD3415" s="5" t="s">
        <v>273</v>
      </c>
      <c r="CE3415" s="5" t="s">
        <v>256</v>
      </c>
      <c r="CF3415" s="5" t="s">
        <v>238</v>
      </c>
      <c r="CH3415" s="5" t="s">
        <v>494</v>
      </c>
      <c r="CI3415" s="6" t="s">
        <v>257</v>
      </c>
      <c r="CJ3415" s="5" t="s">
        <v>495</v>
      </c>
      <c r="CK3415" s="5" t="s">
        <v>258</v>
      </c>
      <c r="CL3415" s="5" t="s">
        <v>496</v>
      </c>
      <c r="CM3415" s="5" t="s">
        <v>238</v>
      </c>
      <c r="CN3415" s="5">
        <v>0</v>
      </c>
      <c r="CO3415" s="5" t="s">
        <v>497</v>
      </c>
      <c r="CP3415" s="5" t="s">
        <v>260</v>
      </c>
      <c r="CQ3415" s="5" t="s">
        <v>260</v>
      </c>
      <c r="CR3415" s="5" t="s">
        <v>261</v>
      </c>
      <c r="CS3415" s="5" t="s">
        <v>498</v>
      </c>
      <c r="CT3415" s="7">
        <f>1</f>
        <v>1</v>
      </c>
      <c r="CU3415" s="8">
        <f>1</f>
        <v>1</v>
      </c>
      <c r="CV3415" s="8">
        <f>0</f>
        <v>0</v>
      </c>
      <c r="CX3415" s="8">
        <f>1</f>
        <v>1</v>
      </c>
      <c r="CY3415" s="8">
        <f>1</f>
        <v>1</v>
      </c>
      <c r="CZ3415" s="8" t="s">
        <v>238</v>
      </c>
      <c r="DA3415" s="5" t="s">
        <v>238</v>
      </c>
      <c r="DB3415" s="5" t="s">
        <v>238</v>
      </c>
      <c r="DC3415" s="5" t="s">
        <v>238</v>
      </c>
      <c r="DD3415" s="5" t="s">
        <v>238</v>
      </c>
      <c r="DE3415" s="8">
        <f>0</f>
        <v>0</v>
      </c>
      <c r="DG3415" s="5" t="s">
        <v>238</v>
      </c>
      <c r="DH3415" s="5" t="s">
        <v>238</v>
      </c>
      <c r="DI3415" s="5" t="s">
        <v>238</v>
      </c>
      <c r="DJ3415" s="5" t="s">
        <v>238</v>
      </c>
      <c r="DK3415" s="5" t="s">
        <v>238</v>
      </c>
      <c r="DL3415" s="5" t="s">
        <v>238</v>
      </c>
      <c r="DM3415" s="8" t="s">
        <v>238</v>
      </c>
      <c r="DN3415" s="5" t="s">
        <v>238</v>
      </c>
      <c r="DO3415" s="5" t="s">
        <v>238</v>
      </c>
      <c r="DP3415" s="5" t="s">
        <v>490</v>
      </c>
      <c r="DQ3415" s="5" t="s">
        <v>490</v>
      </c>
      <c r="DR3415" s="5" t="s">
        <v>238</v>
      </c>
      <c r="DS3415" s="5" t="s">
        <v>238</v>
      </c>
      <c r="DT3415" s="5" t="s">
        <v>500</v>
      </c>
      <c r="DU3415" s="5" t="s">
        <v>1000</v>
      </c>
      <c r="DV3415" s="5" t="s">
        <v>238</v>
      </c>
      <c r="DW3415" s="5" t="s">
        <v>238</v>
      </c>
      <c r="DX3415" s="5" t="s">
        <v>238</v>
      </c>
      <c r="DY3415" s="5" t="s">
        <v>238</v>
      </c>
      <c r="DZ3415" s="5" t="s">
        <v>238</v>
      </c>
      <c r="EA3415" s="5" t="s">
        <v>238</v>
      </c>
      <c r="EB3415" s="5" t="s">
        <v>238</v>
      </c>
      <c r="EC3415" s="5" t="s">
        <v>238</v>
      </c>
      <c r="ED3415" s="5" t="s">
        <v>238</v>
      </c>
      <c r="EE3415" s="5" t="s">
        <v>238</v>
      </c>
      <c r="EF3415" s="5" t="s">
        <v>238</v>
      </c>
      <c r="EG3415" s="5" t="s">
        <v>238</v>
      </c>
      <c r="EH3415" s="5" t="s">
        <v>238</v>
      </c>
      <c r="EI3415" s="5" t="s">
        <v>238</v>
      </c>
      <c r="EJ3415" s="5" t="s">
        <v>238</v>
      </c>
      <c r="EK3415" s="5" t="s">
        <v>238</v>
      </c>
      <c r="EL3415" s="5" t="s">
        <v>238</v>
      </c>
      <c r="EM3415" s="5" t="s">
        <v>238</v>
      </c>
      <c r="EN3415" s="5" t="s">
        <v>238</v>
      </c>
      <c r="EO3415" s="5" t="s">
        <v>238</v>
      </c>
      <c r="EP3415" s="5" t="s">
        <v>238</v>
      </c>
      <c r="EQ3415" s="5" t="s">
        <v>238</v>
      </c>
      <c r="ER3415" s="5" t="s">
        <v>238</v>
      </c>
      <c r="ES3415" s="5" t="s">
        <v>238</v>
      </c>
      <c r="ET3415" s="5" t="s">
        <v>238</v>
      </c>
      <c r="EU3415" s="5" t="s">
        <v>238</v>
      </c>
      <c r="EV3415" s="5" t="s">
        <v>238</v>
      </c>
      <c r="EW3415" s="5" t="s">
        <v>238</v>
      </c>
      <c r="EX3415" s="5" t="s">
        <v>238</v>
      </c>
      <c r="EY3415" s="5" t="s">
        <v>238</v>
      </c>
      <c r="EZ3415" s="5" t="s">
        <v>238</v>
      </c>
      <c r="FA3415" s="5" t="s">
        <v>238</v>
      </c>
      <c r="FB3415" s="5" t="s">
        <v>238</v>
      </c>
      <c r="FC3415" s="5" t="s">
        <v>238</v>
      </c>
      <c r="FD3415" s="5" t="s">
        <v>238</v>
      </c>
      <c r="FE3415" s="5" t="s">
        <v>238</v>
      </c>
      <c r="FF3415" s="5" t="s">
        <v>238</v>
      </c>
      <c r="FG3415" s="5" t="s">
        <v>238</v>
      </c>
      <c r="FH3415" s="5" t="s">
        <v>238</v>
      </c>
      <c r="FI3415" s="5" t="s">
        <v>238</v>
      </c>
      <c r="FJ3415" s="5" t="s">
        <v>238</v>
      </c>
      <c r="FK3415" s="5" t="s">
        <v>238</v>
      </c>
      <c r="FL3415" s="5" t="s">
        <v>238</v>
      </c>
      <c r="FM3415" s="5" t="s">
        <v>238</v>
      </c>
      <c r="FN3415" s="5" t="s">
        <v>238</v>
      </c>
      <c r="FO3415" s="5" t="s">
        <v>238</v>
      </c>
      <c r="FP3415" s="5" t="s">
        <v>238</v>
      </c>
      <c r="FQ3415" s="5" t="s">
        <v>238</v>
      </c>
      <c r="FR3415" s="5" t="s">
        <v>238</v>
      </c>
      <c r="FS3415" s="5" t="s">
        <v>238</v>
      </c>
      <c r="FT3415" s="5" t="s">
        <v>238</v>
      </c>
      <c r="FU3415" s="5" t="s">
        <v>238</v>
      </c>
      <c r="FV3415" s="5" t="s">
        <v>238</v>
      </c>
      <c r="FW3415" s="5" t="s">
        <v>238</v>
      </c>
      <c r="FX3415" s="5" t="s">
        <v>238</v>
      </c>
      <c r="FY3415" s="5" t="s">
        <v>238</v>
      </c>
      <c r="FZ3415" s="5" t="s">
        <v>238</v>
      </c>
      <c r="GA3415" s="5" t="s">
        <v>238</v>
      </c>
      <c r="GB3415" s="5" t="s">
        <v>238</v>
      </c>
      <c r="GC3415" s="5" t="s">
        <v>238</v>
      </c>
      <c r="GD3415" s="5" t="s">
        <v>238</v>
      </c>
      <c r="GE3415" s="5" t="s">
        <v>238</v>
      </c>
      <c r="GF3415" s="5" t="s">
        <v>238</v>
      </c>
      <c r="GG3415" s="5" t="s">
        <v>238</v>
      </c>
      <c r="GH3415" s="5" t="s">
        <v>238</v>
      </c>
      <c r="GI3415" s="5" t="s">
        <v>238</v>
      </c>
      <c r="GJ3415" s="5" t="s">
        <v>238</v>
      </c>
      <c r="GK3415" s="5" t="s">
        <v>238</v>
      </c>
      <c r="GL3415" s="5" t="s">
        <v>238</v>
      </c>
      <c r="GM3415" s="5" t="s">
        <v>238</v>
      </c>
      <c r="GN3415" s="5" t="s">
        <v>238</v>
      </c>
      <c r="GO3415" s="5" t="s">
        <v>238</v>
      </c>
      <c r="GP3415" s="5" t="s">
        <v>238</v>
      </c>
      <c r="GQ3415" s="5" t="s">
        <v>238</v>
      </c>
      <c r="GR3415" s="5" t="s">
        <v>238</v>
      </c>
      <c r="GS3415" s="5" t="s">
        <v>238</v>
      </c>
      <c r="GT3415" s="5" t="s">
        <v>238</v>
      </c>
      <c r="GU3415" s="5" t="s">
        <v>238</v>
      </c>
      <c r="GV3415" s="5" t="s">
        <v>238</v>
      </c>
      <c r="GW3415" s="5" t="s">
        <v>238</v>
      </c>
      <c r="GX3415" s="5" t="s">
        <v>238</v>
      </c>
      <c r="GY3415" s="5" t="s">
        <v>238</v>
      </c>
      <c r="GZ3415" s="5" t="s">
        <v>238</v>
      </c>
      <c r="HA3415" s="5" t="s">
        <v>238</v>
      </c>
      <c r="HB3415" s="5" t="s">
        <v>238</v>
      </c>
      <c r="HC3415" s="5" t="s">
        <v>238</v>
      </c>
      <c r="HD3415" s="5" t="s">
        <v>238</v>
      </c>
      <c r="HE3415" s="5" t="s">
        <v>238</v>
      </c>
      <c r="HF3415" s="5" t="s">
        <v>238</v>
      </c>
      <c r="HG3415" s="5" t="s">
        <v>238</v>
      </c>
      <c r="HH3415" s="5" t="s">
        <v>238</v>
      </c>
      <c r="HI3415" s="5" t="s">
        <v>238</v>
      </c>
      <c r="HJ3415" s="5" t="s">
        <v>238</v>
      </c>
      <c r="HK3415" s="5" t="s">
        <v>238</v>
      </c>
      <c r="HL3415" s="5" t="s">
        <v>238</v>
      </c>
      <c r="HM3415" s="5" t="s">
        <v>264</v>
      </c>
      <c r="HN3415" s="5" t="s">
        <v>238</v>
      </c>
      <c r="HO3415" s="5" t="s">
        <v>238</v>
      </c>
      <c r="HP3415" s="5" t="s">
        <v>238</v>
      </c>
      <c r="HQ3415" s="5" t="s">
        <v>238</v>
      </c>
      <c r="HR3415" s="5" t="s">
        <v>238</v>
      </c>
      <c r="HS3415" s="5" t="s">
        <v>238</v>
      </c>
      <c r="HT3415" s="5" t="s">
        <v>238</v>
      </c>
      <c r="HU3415" s="5" t="s">
        <v>238</v>
      </c>
      <c r="HV3415" s="5" t="s">
        <v>238</v>
      </c>
      <c r="HW3415" s="5" t="s">
        <v>238</v>
      </c>
      <c r="HX3415" s="5" t="s">
        <v>238</v>
      </c>
      <c r="HY3415" s="5" t="s">
        <v>238</v>
      </c>
      <c r="HZ3415" s="5" t="s">
        <v>238</v>
      </c>
      <c r="IA3415" s="5" t="s">
        <v>238</v>
      </c>
      <c r="IB3415" s="5" t="s">
        <v>238</v>
      </c>
      <c r="IC3415" s="5" t="s">
        <v>238</v>
      </c>
      <c r="ID3415" s="5" t="s">
        <v>238</v>
      </c>
    </row>
    <row r="3416" spans="1:238" x14ac:dyDescent="0.4">
      <c r="A3416" s="5">
        <v>9134</v>
      </c>
      <c r="B3416" s="5">
        <v>1</v>
      </c>
      <c r="C3416" s="5">
        <v>1</v>
      </c>
      <c r="D3416" s="5" t="s">
        <v>484</v>
      </c>
      <c r="E3416" s="5" t="s">
        <v>485</v>
      </c>
      <c r="F3416" s="5" t="s">
        <v>248</v>
      </c>
      <c r="G3416" s="5" t="s">
        <v>5526</v>
      </c>
      <c r="H3416" s="6" t="s">
        <v>5527</v>
      </c>
      <c r="I3416" s="8">
        <f>1</f>
        <v>1</v>
      </c>
      <c r="J3416" s="5" t="s">
        <v>499</v>
      </c>
      <c r="K3416" s="8">
        <f>1</f>
        <v>1</v>
      </c>
      <c r="L3416" s="6" t="s">
        <v>242</v>
      </c>
      <c r="M3416" s="5" t="s">
        <v>267</v>
      </c>
      <c r="N3416" s="5" t="s">
        <v>482</v>
      </c>
      <c r="O3416" s="5" t="s">
        <v>238</v>
      </c>
      <c r="P3416" s="5" t="s">
        <v>238</v>
      </c>
      <c r="Q3416" s="5" t="s">
        <v>239</v>
      </c>
      <c r="R3416" s="5" t="s">
        <v>270</v>
      </c>
      <c r="S3416" s="5" t="s">
        <v>238</v>
      </c>
      <c r="T3416" s="5" t="s">
        <v>238</v>
      </c>
      <c r="U3416" s="5" t="s">
        <v>238</v>
      </c>
      <c r="V3416" s="5" t="s">
        <v>238</v>
      </c>
      <c r="W3416" s="6" t="s">
        <v>238</v>
      </c>
      <c r="X3416" s="6" t="s">
        <v>238</v>
      </c>
      <c r="Y3416" s="5" t="s">
        <v>238</v>
      </c>
      <c r="Z3416" s="6" t="s">
        <v>238</v>
      </c>
      <c r="AA3416" s="6" t="s">
        <v>243</v>
      </c>
      <c r="AB3416" s="5" t="s">
        <v>486</v>
      </c>
      <c r="AC3416" s="5" t="s">
        <v>244</v>
      </c>
      <c r="AD3416" s="5" t="s">
        <v>245</v>
      </c>
      <c r="AE3416" s="5" t="s">
        <v>238</v>
      </c>
      <c r="AF3416" s="5" t="s">
        <v>238</v>
      </c>
      <c r="AG3416" s="5" t="s">
        <v>238</v>
      </c>
      <c r="AH3416" s="5" t="s">
        <v>238</v>
      </c>
      <c r="AI3416" s="5" t="s">
        <v>238</v>
      </c>
      <c r="AJ3416" s="5" t="s">
        <v>238</v>
      </c>
      <c r="AK3416" s="5" t="s">
        <v>238</v>
      </c>
      <c r="AL3416" s="5" t="s">
        <v>238</v>
      </c>
      <c r="AM3416" s="6" t="s">
        <v>238</v>
      </c>
      <c r="AN3416" s="6" t="s">
        <v>238</v>
      </c>
      <c r="AO3416" s="6" t="s">
        <v>238</v>
      </c>
      <c r="AP3416" s="6" t="s">
        <v>238</v>
      </c>
      <c r="AQ3416" s="5" t="s">
        <v>238</v>
      </c>
      <c r="AR3416" s="5" t="s">
        <v>488</v>
      </c>
      <c r="AS3416" s="5" t="s">
        <v>488</v>
      </c>
      <c r="AT3416" s="5" t="s">
        <v>246</v>
      </c>
      <c r="AU3416" s="5" t="s">
        <v>489</v>
      </c>
      <c r="AV3416" s="5" t="s">
        <v>247</v>
      </c>
      <c r="AW3416" s="5" t="s">
        <v>238</v>
      </c>
      <c r="AX3416" s="5" t="s">
        <v>249</v>
      </c>
      <c r="AY3416" s="5" t="s">
        <v>490</v>
      </c>
      <c r="BA3416" s="5" t="s">
        <v>238</v>
      </c>
      <c r="BC3416" s="5" t="s">
        <v>491</v>
      </c>
      <c r="BD3416" s="6" t="s">
        <v>492</v>
      </c>
      <c r="BE3416" s="5" t="s">
        <v>493</v>
      </c>
      <c r="BF3416" s="5" t="s">
        <v>493</v>
      </c>
      <c r="BG3416" s="5" t="s">
        <v>238</v>
      </c>
      <c r="BH3416" s="8">
        <f>1</f>
        <v>1</v>
      </c>
      <c r="BI3416" s="8">
        <f>1</f>
        <v>1</v>
      </c>
      <c r="BJ3416" s="5" t="s">
        <v>253</v>
      </c>
      <c r="BK3416" s="5" t="s">
        <v>254</v>
      </c>
      <c r="BL3416" s="5" t="s">
        <v>238</v>
      </c>
      <c r="BM3416" s="5" t="s">
        <v>238</v>
      </c>
      <c r="BN3416" s="5" t="s">
        <v>238</v>
      </c>
      <c r="BO3416" s="5" t="s">
        <v>238</v>
      </c>
      <c r="BP3416" s="5" t="s">
        <v>238</v>
      </c>
      <c r="BQ3416" s="5" t="s">
        <v>238</v>
      </c>
      <c r="BR3416" s="5" t="s">
        <v>238</v>
      </c>
      <c r="BS3416" s="5" t="s">
        <v>238</v>
      </c>
      <c r="BT3416" s="6" t="s">
        <v>238</v>
      </c>
      <c r="BU3416" s="5" t="s">
        <v>238</v>
      </c>
      <c r="BV3416" s="5" t="s">
        <v>238</v>
      </c>
      <c r="BW3416" s="5" t="s">
        <v>238</v>
      </c>
      <c r="BX3416" s="5" t="s">
        <v>254</v>
      </c>
      <c r="BY3416" s="5" t="s">
        <v>238</v>
      </c>
      <c r="BZ3416" s="5" t="s">
        <v>238</v>
      </c>
      <c r="CA3416" s="5" t="s">
        <v>238</v>
      </c>
      <c r="CB3416" s="5" t="s">
        <v>238</v>
      </c>
      <c r="CC3416" s="5" t="s">
        <v>238</v>
      </c>
      <c r="CD3416" s="5" t="s">
        <v>273</v>
      </c>
      <c r="CE3416" s="5" t="s">
        <v>256</v>
      </c>
      <c r="CF3416" s="5" t="s">
        <v>238</v>
      </c>
      <c r="CH3416" s="5" t="s">
        <v>494</v>
      </c>
      <c r="CI3416" s="6" t="s">
        <v>257</v>
      </c>
      <c r="CJ3416" s="5" t="s">
        <v>495</v>
      </c>
      <c r="CK3416" s="5" t="s">
        <v>258</v>
      </c>
      <c r="CL3416" s="5" t="s">
        <v>496</v>
      </c>
      <c r="CM3416" s="5" t="s">
        <v>238</v>
      </c>
      <c r="CN3416" s="5">
        <v>0</v>
      </c>
      <c r="CO3416" s="5" t="s">
        <v>497</v>
      </c>
      <c r="CP3416" s="5" t="s">
        <v>260</v>
      </c>
      <c r="CQ3416" s="5" t="s">
        <v>260</v>
      </c>
      <c r="CR3416" s="5" t="s">
        <v>261</v>
      </c>
      <c r="CS3416" s="5" t="s">
        <v>498</v>
      </c>
      <c r="CT3416" s="7">
        <f>1</f>
        <v>1</v>
      </c>
      <c r="CU3416" s="8">
        <f>1</f>
        <v>1</v>
      </c>
      <c r="CV3416" s="8">
        <f>0</f>
        <v>0</v>
      </c>
      <c r="CX3416" s="8">
        <f>1</f>
        <v>1</v>
      </c>
      <c r="CY3416" s="8">
        <f>1</f>
        <v>1</v>
      </c>
      <c r="CZ3416" s="8" t="s">
        <v>238</v>
      </c>
      <c r="DA3416" s="5" t="s">
        <v>238</v>
      </c>
      <c r="DB3416" s="5" t="s">
        <v>238</v>
      </c>
      <c r="DC3416" s="5" t="s">
        <v>238</v>
      </c>
      <c r="DD3416" s="5" t="s">
        <v>238</v>
      </c>
      <c r="DE3416" s="8">
        <f>0</f>
        <v>0</v>
      </c>
      <c r="DG3416" s="5" t="s">
        <v>238</v>
      </c>
      <c r="DH3416" s="5" t="s">
        <v>238</v>
      </c>
      <c r="DI3416" s="5" t="s">
        <v>238</v>
      </c>
      <c r="DJ3416" s="5" t="s">
        <v>238</v>
      </c>
      <c r="DK3416" s="5" t="s">
        <v>238</v>
      </c>
      <c r="DL3416" s="5" t="s">
        <v>238</v>
      </c>
      <c r="DM3416" s="8" t="s">
        <v>238</v>
      </c>
      <c r="DN3416" s="5" t="s">
        <v>238</v>
      </c>
      <c r="DO3416" s="5" t="s">
        <v>238</v>
      </c>
      <c r="DP3416" s="5" t="s">
        <v>490</v>
      </c>
      <c r="DQ3416" s="5" t="s">
        <v>490</v>
      </c>
      <c r="DR3416" s="5" t="s">
        <v>238</v>
      </c>
      <c r="DS3416" s="5" t="s">
        <v>238</v>
      </c>
      <c r="DT3416" s="5" t="s">
        <v>500</v>
      </c>
      <c r="DU3416" s="5" t="s">
        <v>1289</v>
      </c>
      <c r="DV3416" s="5" t="s">
        <v>238</v>
      </c>
      <c r="DW3416" s="5" t="s">
        <v>238</v>
      </c>
      <c r="DX3416" s="5" t="s">
        <v>238</v>
      </c>
      <c r="DY3416" s="5" t="s">
        <v>238</v>
      </c>
      <c r="DZ3416" s="5" t="s">
        <v>238</v>
      </c>
      <c r="EA3416" s="5" t="s">
        <v>238</v>
      </c>
      <c r="EB3416" s="5" t="s">
        <v>238</v>
      </c>
      <c r="EC3416" s="5" t="s">
        <v>238</v>
      </c>
      <c r="ED3416" s="5" t="s">
        <v>238</v>
      </c>
      <c r="EE3416" s="5" t="s">
        <v>238</v>
      </c>
      <c r="EF3416" s="5" t="s">
        <v>238</v>
      </c>
      <c r="EG3416" s="5" t="s">
        <v>238</v>
      </c>
      <c r="EH3416" s="5" t="s">
        <v>238</v>
      </c>
      <c r="EI3416" s="5" t="s">
        <v>238</v>
      </c>
      <c r="EJ3416" s="5" t="s">
        <v>238</v>
      </c>
      <c r="EK3416" s="5" t="s">
        <v>238</v>
      </c>
      <c r="EL3416" s="5" t="s">
        <v>238</v>
      </c>
      <c r="EM3416" s="5" t="s">
        <v>238</v>
      </c>
      <c r="EN3416" s="5" t="s">
        <v>238</v>
      </c>
      <c r="EO3416" s="5" t="s">
        <v>238</v>
      </c>
      <c r="EP3416" s="5" t="s">
        <v>238</v>
      </c>
      <c r="EQ3416" s="5" t="s">
        <v>238</v>
      </c>
      <c r="ER3416" s="5" t="s">
        <v>238</v>
      </c>
      <c r="ES3416" s="5" t="s">
        <v>238</v>
      </c>
      <c r="ET3416" s="5" t="s">
        <v>238</v>
      </c>
      <c r="EU3416" s="5" t="s">
        <v>238</v>
      </c>
      <c r="EV3416" s="5" t="s">
        <v>238</v>
      </c>
      <c r="EW3416" s="5" t="s">
        <v>238</v>
      </c>
      <c r="EX3416" s="5" t="s">
        <v>238</v>
      </c>
      <c r="EY3416" s="5" t="s">
        <v>238</v>
      </c>
      <c r="EZ3416" s="5" t="s">
        <v>238</v>
      </c>
      <c r="FA3416" s="5" t="s">
        <v>238</v>
      </c>
      <c r="FB3416" s="5" t="s">
        <v>238</v>
      </c>
      <c r="FC3416" s="5" t="s">
        <v>238</v>
      </c>
      <c r="FD3416" s="5" t="s">
        <v>238</v>
      </c>
      <c r="FE3416" s="5" t="s">
        <v>238</v>
      </c>
      <c r="FF3416" s="5" t="s">
        <v>238</v>
      </c>
      <c r="FG3416" s="5" t="s">
        <v>238</v>
      </c>
      <c r="FH3416" s="5" t="s">
        <v>238</v>
      </c>
      <c r="FI3416" s="5" t="s">
        <v>238</v>
      </c>
      <c r="FJ3416" s="5" t="s">
        <v>238</v>
      </c>
      <c r="FK3416" s="5" t="s">
        <v>238</v>
      </c>
      <c r="FL3416" s="5" t="s">
        <v>238</v>
      </c>
      <c r="FM3416" s="5" t="s">
        <v>238</v>
      </c>
      <c r="FN3416" s="5" t="s">
        <v>238</v>
      </c>
      <c r="FO3416" s="5" t="s">
        <v>238</v>
      </c>
      <c r="FP3416" s="5" t="s">
        <v>238</v>
      </c>
      <c r="FQ3416" s="5" t="s">
        <v>238</v>
      </c>
      <c r="FR3416" s="5" t="s">
        <v>238</v>
      </c>
      <c r="FS3416" s="5" t="s">
        <v>238</v>
      </c>
      <c r="FT3416" s="5" t="s">
        <v>238</v>
      </c>
      <c r="FU3416" s="5" t="s">
        <v>238</v>
      </c>
      <c r="FV3416" s="5" t="s">
        <v>238</v>
      </c>
      <c r="FW3416" s="5" t="s">
        <v>238</v>
      </c>
      <c r="FX3416" s="5" t="s">
        <v>238</v>
      </c>
      <c r="FY3416" s="5" t="s">
        <v>238</v>
      </c>
      <c r="FZ3416" s="5" t="s">
        <v>238</v>
      </c>
      <c r="GA3416" s="5" t="s">
        <v>238</v>
      </c>
      <c r="GB3416" s="5" t="s">
        <v>238</v>
      </c>
      <c r="GC3416" s="5" t="s">
        <v>238</v>
      </c>
      <c r="GD3416" s="5" t="s">
        <v>238</v>
      </c>
      <c r="GE3416" s="5" t="s">
        <v>238</v>
      </c>
      <c r="GF3416" s="5" t="s">
        <v>238</v>
      </c>
      <c r="GG3416" s="5" t="s">
        <v>238</v>
      </c>
      <c r="GH3416" s="5" t="s">
        <v>238</v>
      </c>
      <c r="GI3416" s="5" t="s">
        <v>238</v>
      </c>
      <c r="GJ3416" s="5" t="s">
        <v>238</v>
      </c>
      <c r="GK3416" s="5" t="s">
        <v>238</v>
      </c>
      <c r="GL3416" s="5" t="s">
        <v>238</v>
      </c>
      <c r="GM3416" s="5" t="s">
        <v>238</v>
      </c>
      <c r="GN3416" s="5" t="s">
        <v>238</v>
      </c>
      <c r="GO3416" s="5" t="s">
        <v>238</v>
      </c>
      <c r="GP3416" s="5" t="s">
        <v>238</v>
      </c>
      <c r="GQ3416" s="5" t="s">
        <v>238</v>
      </c>
      <c r="GR3416" s="5" t="s">
        <v>238</v>
      </c>
      <c r="GS3416" s="5" t="s">
        <v>238</v>
      </c>
      <c r="GT3416" s="5" t="s">
        <v>238</v>
      </c>
      <c r="GU3416" s="5" t="s">
        <v>238</v>
      </c>
      <c r="GV3416" s="5" t="s">
        <v>238</v>
      </c>
      <c r="GW3416" s="5" t="s">
        <v>238</v>
      </c>
      <c r="GX3416" s="5" t="s">
        <v>238</v>
      </c>
      <c r="GY3416" s="5" t="s">
        <v>238</v>
      </c>
      <c r="GZ3416" s="5" t="s">
        <v>238</v>
      </c>
      <c r="HA3416" s="5" t="s">
        <v>238</v>
      </c>
      <c r="HB3416" s="5" t="s">
        <v>238</v>
      </c>
      <c r="HC3416" s="5" t="s">
        <v>238</v>
      </c>
      <c r="HD3416" s="5" t="s">
        <v>238</v>
      </c>
      <c r="HE3416" s="5" t="s">
        <v>238</v>
      </c>
      <c r="HF3416" s="5" t="s">
        <v>238</v>
      </c>
      <c r="HG3416" s="5" t="s">
        <v>238</v>
      </c>
      <c r="HH3416" s="5" t="s">
        <v>238</v>
      </c>
      <c r="HI3416" s="5" t="s">
        <v>238</v>
      </c>
      <c r="HJ3416" s="5" t="s">
        <v>238</v>
      </c>
      <c r="HK3416" s="5" t="s">
        <v>238</v>
      </c>
      <c r="HL3416" s="5" t="s">
        <v>238</v>
      </c>
      <c r="HM3416" s="5" t="s">
        <v>264</v>
      </c>
      <c r="HN3416" s="5" t="s">
        <v>238</v>
      </c>
      <c r="HO3416" s="5" t="s">
        <v>238</v>
      </c>
      <c r="HP3416" s="5" t="s">
        <v>238</v>
      </c>
      <c r="HQ3416" s="5" t="s">
        <v>238</v>
      </c>
      <c r="HR3416" s="5" t="s">
        <v>238</v>
      </c>
      <c r="HS3416" s="5" t="s">
        <v>238</v>
      </c>
      <c r="HT3416" s="5" t="s">
        <v>238</v>
      </c>
      <c r="HU3416" s="5" t="s">
        <v>238</v>
      </c>
      <c r="HV3416" s="5" t="s">
        <v>238</v>
      </c>
      <c r="HW3416" s="5" t="s">
        <v>238</v>
      </c>
      <c r="HX3416" s="5" t="s">
        <v>238</v>
      </c>
      <c r="HY3416" s="5" t="s">
        <v>238</v>
      </c>
      <c r="HZ3416" s="5" t="s">
        <v>238</v>
      </c>
      <c r="IA3416" s="5" t="s">
        <v>238</v>
      </c>
      <c r="IB3416" s="5" t="s">
        <v>238</v>
      </c>
      <c r="IC3416" s="5" t="s">
        <v>238</v>
      </c>
      <c r="ID3416" s="5" t="s">
        <v>238</v>
      </c>
    </row>
    <row r="3417" spans="1:238" x14ac:dyDescent="0.4">
      <c r="A3417" s="5">
        <v>9135</v>
      </c>
      <c r="B3417" s="5">
        <v>1</v>
      </c>
      <c r="C3417" s="5">
        <v>1</v>
      </c>
      <c r="D3417" s="5" t="s">
        <v>484</v>
      </c>
      <c r="E3417" s="5" t="s">
        <v>485</v>
      </c>
      <c r="F3417" s="5" t="s">
        <v>248</v>
      </c>
      <c r="G3417" s="5" t="s">
        <v>4529</v>
      </c>
      <c r="H3417" s="6" t="s">
        <v>4531</v>
      </c>
      <c r="I3417" s="8">
        <f>1</f>
        <v>1</v>
      </c>
      <c r="J3417" s="5" t="s">
        <v>499</v>
      </c>
      <c r="K3417" s="8">
        <f>1</f>
        <v>1</v>
      </c>
      <c r="L3417" s="6" t="s">
        <v>242</v>
      </c>
      <c r="M3417" s="5" t="s">
        <v>267</v>
      </c>
      <c r="N3417" s="5" t="s">
        <v>482</v>
      </c>
      <c r="O3417" s="5" t="s">
        <v>238</v>
      </c>
      <c r="P3417" s="5" t="s">
        <v>238</v>
      </c>
      <c r="Q3417" s="5" t="s">
        <v>239</v>
      </c>
      <c r="R3417" s="5" t="s">
        <v>270</v>
      </c>
      <c r="S3417" s="5" t="s">
        <v>238</v>
      </c>
      <c r="T3417" s="5" t="s">
        <v>238</v>
      </c>
      <c r="U3417" s="5" t="s">
        <v>238</v>
      </c>
      <c r="V3417" s="5" t="s">
        <v>238</v>
      </c>
      <c r="W3417" s="6" t="s">
        <v>238</v>
      </c>
      <c r="X3417" s="6" t="s">
        <v>238</v>
      </c>
      <c r="Y3417" s="5" t="s">
        <v>238</v>
      </c>
      <c r="Z3417" s="6" t="s">
        <v>238</v>
      </c>
      <c r="AA3417" s="6" t="s">
        <v>243</v>
      </c>
      <c r="AB3417" s="5" t="s">
        <v>4530</v>
      </c>
      <c r="AC3417" s="5" t="s">
        <v>244</v>
      </c>
      <c r="AD3417" s="5" t="s">
        <v>245</v>
      </c>
      <c r="AE3417" s="5" t="s">
        <v>238</v>
      </c>
      <c r="AF3417" s="5" t="s">
        <v>238</v>
      </c>
      <c r="AG3417" s="5" t="s">
        <v>238</v>
      </c>
      <c r="AH3417" s="5" t="s">
        <v>238</v>
      </c>
      <c r="AI3417" s="5" t="s">
        <v>238</v>
      </c>
      <c r="AJ3417" s="5" t="s">
        <v>238</v>
      </c>
      <c r="AK3417" s="5" t="s">
        <v>238</v>
      </c>
      <c r="AL3417" s="5" t="s">
        <v>238</v>
      </c>
      <c r="AM3417" s="6" t="s">
        <v>238</v>
      </c>
      <c r="AN3417" s="6" t="s">
        <v>238</v>
      </c>
      <c r="AO3417" s="6" t="s">
        <v>238</v>
      </c>
      <c r="AP3417" s="6" t="s">
        <v>238</v>
      </c>
      <c r="AQ3417" s="5" t="s">
        <v>238</v>
      </c>
      <c r="AR3417" s="5" t="s">
        <v>488</v>
      </c>
      <c r="AS3417" s="5" t="s">
        <v>488</v>
      </c>
      <c r="AT3417" s="5" t="s">
        <v>246</v>
      </c>
      <c r="AU3417" s="5" t="s">
        <v>489</v>
      </c>
      <c r="AV3417" s="5" t="s">
        <v>247</v>
      </c>
      <c r="AW3417" s="5" t="s">
        <v>238</v>
      </c>
      <c r="AX3417" s="5" t="s">
        <v>249</v>
      </c>
      <c r="AY3417" s="5" t="s">
        <v>490</v>
      </c>
      <c r="BA3417" s="5" t="s">
        <v>238</v>
      </c>
      <c r="BC3417" s="5" t="s">
        <v>491</v>
      </c>
      <c r="BD3417" s="6" t="s">
        <v>492</v>
      </c>
      <c r="BE3417" s="5" t="s">
        <v>493</v>
      </c>
      <c r="BF3417" s="5" t="s">
        <v>493</v>
      </c>
      <c r="BG3417" s="5" t="s">
        <v>238</v>
      </c>
      <c r="BH3417" s="8">
        <f>1</f>
        <v>1</v>
      </c>
      <c r="BI3417" s="8">
        <f>1</f>
        <v>1</v>
      </c>
      <c r="BJ3417" s="5" t="s">
        <v>253</v>
      </c>
      <c r="BK3417" s="5" t="s">
        <v>254</v>
      </c>
      <c r="BL3417" s="5" t="s">
        <v>238</v>
      </c>
      <c r="BM3417" s="5" t="s">
        <v>238</v>
      </c>
      <c r="BN3417" s="5" t="s">
        <v>238</v>
      </c>
      <c r="BO3417" s="5" t="s">
        <v>238</v>
      </c>
      <c r="BP3417" s="5" t="s">
        <v>238</v>
      </c>
      <c r="BQ3417" s="5" t="s">
        <v>238</v>
      </c>
      <c r="BR3417" s="5" t="s">
        <v>238</v>
      </c>
      <c r="BS3417" s="5" t="s">
        <v>238</v>
      </c>
      <c r="BT3417" s="6" t="s">
        <v>238</v>
      </c>
      <c r="BU3417" s="5" t="s">
        <v>238</v>
      </c>
      <c r="BV3417" s="5" t="s">
        <v>238</v>
      </c>
      <c r="BW3417" s="5" t="s">
        <v>238</v>
      </c>
      <c r="BX3417" s="5" t="s">
        <v>254</v>
      </c>
      <c r="BY3417" s="5" t="s">
        <v>238</v>
      </c>
      <c r="BZ3417" s="5" t="s">
        <v>238</v>
      </c>
      <c r="CA3417" s="5" t="s">
        <v>238</v>
      </c>
      <c r="CB3417" s="5" t="s">
        <v>238</v>
      </c>
      <c r="CC3417" s="5" t="s">
        <v>238</v>
      </c>
      <c r="CD3417" s="5" t="s">
        <v>273</v>
      </c>
      <c r="CE3417" s="5" t="s">
        <v>256</v>
      </c>
      <c r="CF3417" s="5" t="s">
        <v>238</v>
      </c>
      <c r="CH3417" s="5" t="s">
        <v>494</v>
      </c>
      <c r="CI3417" s="6" t="s">
        <v>257</v>
      </c>
      <c r="CJ3417" s="5" t="s">
        <v>495</v>
      </c>
      <c r="CK3417" s="5" t="s">
        <v>258</v>
      </c>
      <c r="CL3417" s="5" t="s">
        <v>496</v>
      </c>
      <c r="CM3417" s="5" t="s">
        <v>238</v>
      </c>
      <c r="CN3417" s="5">
        <v>0</v>
      </c>
      <c r="CO3417" s="5" t="s">
        <v>497</v>
      </c>
      <c r="CP3417" s="5" t="s">
        <v>260</v>
      </c>
      <c r="CQ3417" s="5" t="s">
        <v>260</v>
      </c>
      <c r="CR3417" s="5" t="s">
        <v>261</v>
      </c>
      <c r="CS3417" s="5" t="s">
        <v>498</v>
      </c>
      <c r="CT3417" s="7">
        <f>1</f>
        <v>1</v>
      </c>
      <c r="CU3417" s="8">
        <f>1</f>
        <v>1</v>
      </c>
      <c r="CV3417" s="8">
        <f>0</f>
        <v>0</v>
      </c>
      <c r="CX3417" s="8">
        <f>1</f>
        <v>1</v>
      </c>
      <c r="CY3417" s="8">
        <f>1</f>
        <v>1</v>
      </c>
      <c r="CZ3417" s="8" t="s">
        <v>238</v>
      </c>
      <c r="DA3417" s="5" t="s">
        <v>238</v>
      </c>
      <c r="DB3417" s="5" t="s">
        <v>238</v>
      </c>
      <c r="DC3417" s="5" t="s">
        <v>238</v>
      </c>
      <c r="DD3417" s="5" t="s">
        <v>238</v>
      </c>
      <c r="DE3417" s="8">
        <f>0</f>
        <v>0</v>
      </c>
      <c r="DG3417" s="5" t="s">
        <v>238</v>
      </c>
      <c r="DH3417" s="5" t="s">
        <v>238</v>
      </c>
      <c r="DI3417" s="5" t="s">
        <v>238</v>
      </c>
      <c r="DJ3417" s="5" t="s">
        <v>238</v>
      </c>
      <c r="DK3417" s="5" t="s">
        <v>238</v>
      </c>
      <c r="DL3417" s="5" t="s">
        <v>238</v>
      </c>
      <c r="DM3417" s="8" t="s">
        <v>238</v>
      </c>
      <c r="DN3417" s="5" t="s">
        <v>238</v>
      </c>
      <c r="DO3417" s="5" t="s">
        <v>238</v>
      </c>
      <c r="DP3417" s="5" t="s">
        <v>490</v>
      </c>
      <c r="DQ3417" s="5" t="s">
        <v>490</v>
      </c>
      <c r="DR3417" s="5" t="s">
        <v>238</v>
      </c>
      <c r="DS3417" s="5" t="s">
        <v>238</v>
      </c>
      <c r="DT3417" s="5" t="s">
        <v>500</v>
      </c>
      <c r="DU3417" s="5" t="s">
        <v>278</v>
      </c>
      <c r="DV3417" s="5" t="s">
        <v>238</v>
      </c>
      <c r="DW3417" s="5" t="s">
        <v>238</v>
      </c>
      <c r="DX3417" s="5" t="s">
        <v>238</v>
      </c>
      <c r="DY3417" s="5" t="s">
        <v>238</v>
      </c>
      <c r="DZ3417" s="5" t="s">
        <v>238</v>
      </c>
      <c r="EA3417" s="5" t="s">
        <v>238</v>
      </c>
      <c r="EB3417" s="5" t="s">
        <v>238</v>
      </c>
      <c r="EC3417" s="5" t="s">
        <v>238</v>
      </c>
      <c r="ED3417" s="5" t="s">
        <v>238</v>
      </c>
      <c r="EE3417" s="5" t="s">
        <v>238</v>
      </c>
      <c r="EF3417" s="5" t="s">
        <v>238</v>
      </c>
      <c r="EG3417" s="5" t="s">
        <v>238</v>
      </c>
      <c r="EH3417" s="5" t="s">
        <v>238</v>
      </c>
      <c r="EI3417" s="5" t="s">
        <v>238</v>
      </c>
      <c r="EJ3417" s="5" t="s">
        <v>238</v>
      </c>
      <c r="EK3417" s="5" t="s">
        <v>238</v>
      </c>
      <c r="EL3417" s="5" t="s">
        <v>238</v>
      </c>
      <c r="EM3417" s="5" t="s">
        <v>238</v>
      </c>
      <c r="EN3417" s="5" t="s">
        <v>238</v>
      </c>
      <c r="EO3417" s="5" t="s">
        <v>238</v>
      </c>
      <c r="EP3417" s="5" t="s">
        <v>238</v>
      </c>
      <c r="EQ3417" s="5" t="s">
        <v>238</v>
      </c>
      <c r="ER3417" s="5" t="s">
        <v>238</v>
      </c>
      <c r="ES3417" s="5" t="s">
        <v>238</v>
      </c>
      <c r="ET3417" s="5" t="s">
        <v>238</v>
      </c>
      <c r="EU3417" s="5" t="s">
        <v>238</v>
      </c>
      <c r="EV3417" s="5" t="s">
        <v>238</v>
      </c>
      <c r="EW3417" s="5" t="s">
        <v>238</v>
      </c>
      <c r="EX3417" s="5" t="s">
        <v>238</v>
      </c>
      <c r="EY3417" s="5" t="s">
        <v>238</v>
      </c>
      <c r="EZ3417" s="5" t="s">
        <v>238</v>
      </c>
      <c r="FA3417" s="5" t="s">
        <v>238</v>
      </c>
      <c r="FB3417" s="5" t="s">
        <v>238</v>
      </c>
      <c r="FC3417" s="5" t="s">
        <v>238</v>
      </c>
      <c r="FD3417" s="5" t="s">
        <v>238</v>
      </c>
      <c r="FE3417" s="5" t="s">
        <v>238</v>
      </c>
      <c r="FF3417" s="5" t="s">
        <v>238</v>
      </c>
      <c r="FG3417" s="5" t="s">
        <v>238</v>
      </c>
      <c r="FH3417" s="5" t="s">
        <v>238</v>
      </c>
      <c r="FI3417" s="5" t="s">
        <v>238</v>
      </c>
      <c r="FJ3417" s="5" t="s">
        <v>238</v>
      </c>
      <c r="FK3417" s="5" t="s">
        <v>238</v>
      </c>
      <c r="FL3417" s="5" t="s">
        <v>238</v>
      </c>
      <c r="FM3417" s="5" t="s">
        <v>238</v>
      </c>
      <c r="FN3417" s="5" t="s">
        <v>238</v>
      </c>
      <c r="FO3417" s="5" t="s">
        <v>238</v>
      </c>
      <c r="FP3417" s="5" t="s">
        <v>238</v>
      </c>
      <c r="FQ3417" s="5" t="s">
        <v>238</v>
      </c>
      <c r="FR3417" s="5" t="s">
        <v>238</v>
      </c>
      <c r="FS3417" s="5" t="s">
        <v>238</v>
      </c>
      <c r="FT3417" s="5" t="s">
        <v>238</v>
      </c>
      <c r="FU3417" s="5" t="s">
        <v>238</v>
      </c>
      <c r="FV3417" s="5" t="s">
        <v>238</v>
      </c>
      <c r="FW3417" s="5" t="s">
        <v>238</v>
      </c>
      <c r="FX3417" s="5" t="s">
        <v>238</v>
      </c>
      <c r="FY3417" s="5" t="s">
        <v>238</v>
      </c>
      <c r="FZ3417" s="5" t="s">
        <v>238</v>
      </c>
      <c r="GA3417" s="5" t="s">
        <v>238</v>
      </c>
      <c r="GB3417" s="5" t="s">
        <v>238</v>
      </c>
      <c r="GC3417" s="5" t="s">
        <v>238</v>
      </c>
      <c r="GD3417" s="5" t="s">
        <v>238</v>
      </c>
      <c r="GE3417" s="5" t="s">
        <v>238</v>
      </c>
      <c r="GF3417" s="5" t="s">
        <v>238</v>
      </c>
      <c r="GG3417" s="5" t="s">
        <v>238</v>
      </c>
      <c r="GH3417" s="5" t="s">
        <v>238</v>
      </c>
      <c r="GI3417" s="5" t="s">
        <v>238</v>
      </c>
      <c r="GJ3417" s="5" t="s">
        <v>238</v>
      </c>
      <c r="GK3417" s="5" t="s">
        <v>238</v>
      </c>
      <c r="GL3417" s="5" t="s">
        <v>238</v>
      </c>
      <c r="GM3417" s="5" t="s">
        <v>238</v>
      </c>
      <c r="GN3417" s="5" t="s">
        <v>238</v>
      </c>
      <c r="GO3417" s="5" t="s">
        <v>238</v>
      </c>
      <c r="GP3417" s="5" t="s">
        <v>238</v>
      </c>
      <c r="GQ3417" s="5" t="s">
        <v>238</v>
      </c>
      <c r="GR3417" s="5" t="s">
        <v>238</v>
      </c>
      <c r="GS3417" s="5" t="s">
        <v>238</v>
      </c>
      <c r="GT3417" s="5" t="s">
        <v>238</v>
      </c>
      <c r="GU3417" s="5" t="s">
        <v>238</v>
      </c>
      <c r="GV3417" s="5" t="s">
        <v>238</v>
      </c>
      <c r="GW3417" s="5" t="s">
        <v>238</v>
      </c>
      <c r="GX3417" s="5" t="s">
        <v>238</v>
      </c>
      <c r="GY3417" s="5" t="s">
        <v>238</v>
      </c>
      <c r="GZ3417" s="5" t="s">
        <v>238</v>
      </c>
      <c r="HA3417" s="5" t="s">
        <v>238</v>
      </c>
      <c r="HB3417" s="5" t="s">
        <v>238</v>
      </c>
      <c r="HC3417" s="5" t="s">
        <v>238</v>
      </c>
      <c r="HD3417" s="5" t="s">
        <v>238</v>
      </c>
      <c r="HE3417" s="5" t="s">
        <v>238</v>
      </c>
      <c r="HF3417" s="5" t="s">
        <v>238</v>
      </c>
      <c r="HG3417" s="5" t="s">
        <v>238</v>
      </c>
      <c r="HH3417" s="5" t="s">
        <v>238</v>
      </c>
      <c r="HI3417" s="5" t="s">
        <v>238</v>
      </c>
      <c r="HJ3417" s="5" t="s">
        <v>238</v>
      </c>
      <c r="HK3417" s="5" t="s">
        <v>238</v>
      </c>
      <c r="HL3417" s="5" t="s">
        <v>238</v>
      </c>
      <c r="HM3417" s="5" t="s">
        <v>264</v>
      </c>
      <c r="HN3417" s="5" t="s">
        <v>238</v>
      </c>
      <c r="HO3417" s="5" t="s">
        <v>238</v>
      </c>
      <c r="HP3417" s="5" t="s">
        <v>238</v>
      </c>
      <c r="HQ3417" s="5" t="s">
        <v>238</v>
      </c>
      <c r="HR3417" s="5" t="s">
        <v>238</v>
      </c>
      <c r="HS3417" s="5" t="s">
        <v>238</v>
      </c>
      <c r="HT3417" s="5" t="s">
        <v>238</v>
      </c>
      <c r="HU3417" s="5" t="s">
        <v>238</v>
      </c>
      <c r="HV3417" s="5" t="s">
        <v>238</v>
      </c>
      <c r="HW3417" s="5" t="s">
        <v>238</v>
      </c>
      <c r="HX3417" s="5" t="s">
        <v>238</v>
      </c>
      <c r="HY3417" s="5" t="s">
        <v>238</v>
      </c>
      <c r="HZ3417" s="5" t="s">
        <v>238</v>
      </c>
      <c r="IA3417" s="5" t="s">
        <v>238</v>
      </c>
      <c r="IB3417" s="5" t="s">
        <v>238</v>
      </c>
      <c r="IC3417" s="5" t="s">
        <v>238</v>
      </c>
      <c r="ID3417" s="5" t="s">
        <v>238</v>
      </c>
    </row>
    <row r="3418" spans="1:238" x14ac:dyDescent="0.4">
      <c r="A3418" s="5">
        <v>9136</v>
      </c>
      <c r="B3418" s="5">
        <v>1</v>
      </c>
      <c r="C3418" s="5">
        <v>1</v>
      </c>
      <c r="D3418" s="5" t="s">
        <v>484</v>
      </c>
      <c r="E3418" s="5" t="s">
        <v>485</v>
      </c>
      <c r="F3418" s="5" t="s">
        <v>248</v>
      </c>
      <c r="G3418" s="5" t="s">
        <v>918</v>
      </c>
      <c r="H3418" s="6" t="s">
        <v>918</v>
      </c>
      <c r="I3418" s="8">
        <f>1</f>
        <v>1</v>
      </c>
      <c r="J3418" s="5" t="s">
        <v>499</v>
      </c>
      <c r="K3418" s="8">
        <f>1</f>
        <v>1</v>
      </c>
      <c r="L3418" s="6" t="s">
        <v>242</v>
      </c>
      <c r="M3418" s="5" t="s">
        <v>267</v>
      </c>
      <c r="N3418" s="5" t="s">
        <v>482</v>
      </c>
      <c r="O3418" s="5" t="s">
        <v>238</v>
      </c>
      <c r="P3418" s="5" t="s">
        <v>238</v>
      </c>
      <c r="Q3418" s="5" t="s">
        <v>239</v>
      </c>
      <c r="R3418" s="5" t="s">
        <v>270</v>
      </c>
      <c r="S3418" s="5" t="s">
        <v>238</v>
      </c>
      <c r="T3418" s="5" t="s">
        <v>238</v>
      </c>
      <c r="U3418" s="5" t="s">
        <v>238</v>
      </c>
      <c r="V3418" s="5" t="s">
        <v>238</v>
      </c>
      <c r="W3418" s="6" t="s">
        <v>238</v>
      </c>
      <c r="X3418" s="6" t="s">
        <v>238</v>
      </c>
      <c r="Y3418" s="5" t="s">
        <v>238</v>
      </c>
      <c r="Z3418" s="6" t="s">
        <v>238</v>
      </c>
      <c r="AA3418" s="6" t="s">
        <v>243</v>
      </c>
      <c r="AB3418" s="5" t="s">
        <v>919</v>
      </c>
      <c r="AC3418" s="5" t="s">
        <v>244</v>
      </c>
      <c r="AD3418" s="5" t="s">
        <v>245</v>
      </c>
      <c r="AE3418" s="5" t="s">
        <v>238</v>
      </c>
      <c r="AF3418" s="5" t="s">
        <v>238</v>
      </c>
      <c r="AG3418" s="5" t="s">
        <v>238</v>
      </c>
      <c r="AH3418" s="5" t="s">
        <v>238</v>
      </c>
      <c r="AI3418" s="5" t="s">
        <v>238</v>
      </c>
      <c r="AJ3418" s="5" t="s">
        <v>238</v>
      </c>
      <c r="AK3418" s="5" t="s">
        <v>238</v>
      </c>
      <c r="AL3418" s="5" t="s">
        <v>238</v>
      </c>
      <c r="AM3418" s="6" t="s">
        <v>238</v>
      </c>
      <c r="AN3418" s="6" t="s">
        <v>238</v>
      </c>
      <c r="AO3418" s="6" t="s">
        <v>238</v>
      </c>
      <c r="AP3418" s="6" t="s">
        <v>238</v>
      </c>
      <c r="AQ3418" s="5" t="s">
        <v>238</v>
      </c>
      <c r="AR3418" s="5" t="s">
        <v>488</v>
      </c>
      <c r="AS3418" s="5" t="s">
        <v>488</v>
      </c>
      <c r="AT3418" s="5" t="s">
        <v>246</v>
      </c>
      <c r="AU3418" s="5" t="s">
        <v>489</v>
      </c>
      <c r="AV3418" s="5" t="s">
        <v>247</v>
      </c>
      <c r="AW3418" s="5" t="s">
        <v>238</v>
      </c>
      <c r="AX3418" s="5" t="s">
        <v>249</v>
      </c>
      <c r="AY3418" s="5" t="s">
        <v>490</v>
      </c>
      <c r="BA3418" s="5" t="s">
        <v>238</v>
      </c>
      <c r="BC3418" s="5" t="s">
        <v>491</v>
      </c>
      <c r="BD3418" s="6" t="s">
        <v>492</v>
      </c>
      <c r="BE3418" s="5" t="s">
        <v>493</v>
      </c>
      <c r="BF3418" s="5" t="s">
        <v>493</v>
      </c>
      <c r="BG3418" s="5" t="s">
        <v>238</v>
      </c>
      <c r="BH3418" s="8">
        <f>1</f>
        <v>1</v>
      </c>
      <c r="BI3418" s="8">
        <f>1</f>
        <v>1</v>
      </c>
      <c r="BJ3418" s="5" t="s">
        <v>253</v>
      </c>
      <c r="BK3418" s="5" t="s">
        <v>254</v>
      </c>
      <c r="BL3418" s="5" t="s">
        <v>238</v>
      </c>
      <c r="BM3418" s="5" t="s">
        <v>238</v>
      </c>
      <c r="BN3418" s="5" t="s">
        <v>238</v>
      </c>
      <c r="BO3418" s="5" t="s">
        <v>238</v>
      </c>
      <c r="BP3418" s="5" t="s">
        <v>238</v>
      </c>
      <c r="BQ3418" s="5" t="s">
        <v>238</v>
      </c>
      <c r="BR3418" s="5" t="s">
        <v>238</v>
      </c>
      <c r="BS3418" s="5" t="s">
        <v>238</v>
      </c>
      <c r="BT3418" s="6" t="s">
        <v>238</v>
      </c>
      <c r="BU3418" s="5" t="s">
        <v>238</v>
      </c>
      <c r="BV3418" s="5" t="s">
        <v>238</v>
      </c>
      <c r="BW3418" s="5" t="s">
        <v>238</v>
      </c>
      <c r="BX3418" s="5" t="s">
        <v>254</v>
      </c>
      <c r="BY3418" s="5" t="s">
        <v>238</v>
      </c>
      <c r="BZ3418" s="5" t="s">
        <v>238</v>
      </c>
      <c r="CA3418" s="5" t="s">
        <v>238</v>
      </c>
      <c r="CB3418" s="5" t="s">
        <v>238</v>
      </c>
      <c r="CC3418" s="5" t="s">
        <v>238</v>
      </c>
      <c r="CD3418" s="5" t="s">
        <v>273</v>
      </c>
      <c r="CE3418" s="5" t="s">
        <v>256</v>
      </c>
      <c r="CF3418" s="5" t="s">
        <v>238</v>
      </c>
      <c r="CH3418" s="5" t="s">
        <v>494</v>
      </c>
      <c r="CI3418" s="6" t="s">
        <v>257</v>
      </c>
      <c r="CJ3418" s="5" t="s">
        <v>495</v>
      </c>
      <c r="CK3418" s="5" t="s">
        <v>258</v>
      </c>
      <c r="CL3418" s="5" t="s">
        <v>496</v>
      </c>
      <c r="CM3418" s="5" t="s">
        <v>238</v>
      </c>
      <c r="CN3418" s="5">
        <v>0</v>
      </c>
      <c r="CO3418" s="5" t="s">
        <v>497</v>
      </c>
      <c r="CP3418" s="5" t="s">
        <v>260</v>
      </c>
      <c r="CQ3418" s="5" t="s">
        <v>260</v>
      </c>
      <c r="CR3418" s="5" t="s">
        <v>261</v>
      </c>
      <c r="CS3418" s="5" t="s">
        <v>498</v>
      </c>
      <c r="CT3418" s="7">
        <f>1</f>
        <v>1</v>
      </c>
      <c r="CU3418" s="8">
        <f>1</f>
        <v>1</v>
      </c>
      <c r="CV3418" s="8">
        <f>0</f>
        <v>0</v>
      </c>
      <c r="CX3418" s="8">
        <f>1</f>
        <v>1</v>
      </c>
      <c r="CY3418" s="8">
        <f>1</f>
        <v>1</v>
      </c>
      <c r="CZ3418" s="8" t="s">
        <v>238</v>
      </c>
      <c r="DA3418" s="5" t="s">
        <v>238</v>
      </c>
      <c r="DB3418" s="5" t="s">
        <v>238</v>
      </c>
      <c r="DC3418" s="5" t="s">
        <v>238</v>
      </c>
      <c r="DD3418" s="5" t="s">
        <v>238</v>
      </c>
      <c r="DE3418" s="8">
        <f>0</f>
        <v>0</v>
      </c>
      <c r="DG3418" s="5" t="s">
        <v>238</v>
      </c>
      <c r="DH3418" s="5" t="s">
        <v>238</v>
      </c>
      <c r="DI3418" s="5" t="s">
        <v>238</v>
      </c>
      <c r="DJ3418" s="5" t="s">
        <v>238</v>
      </c>
      <c r="DK3418" s="5" t="s">
        <v>238</v>
      </c>
      <c r="DL3418" s="5" t="s">
        <v>238</v>
      </c>
      <c r="DM3418" s="8" t="s">
        <v>238</v>
      </c>
      <c r="DN3418" s="5" t="s">
        <v>238</v>
      </c>
      <c r="DO3418" s="5" t="s">
        <v>238</v>
      </c>
      <c r="DP3418" s="5" t="s">
        <v>490</v>
      </c>
      <c r="DQ3418" s="5" t="s">
        <v>490</v>
      </c>
      <c r="DR3418" s="5" t="s">
        <v>238</v>
      </c>
      <c r="DS3418" s="5" t="s">
        <v>238</v>
      </c>
      <c r="DT3418" s="5" t="s">
        <v>500</v>
      </c>
      <c r="DU3418" s="5" t="s">
        <v>920</v>
      </c>
      <c r="DV3418" s="5" t="s">
        <v>238</v>
      </c>
      <c r="DW3418" s="5" t="s">
        <v>238</v>
      </c>
      <c r="DX3418" s="5" t="s">
        <v>238</v>
      </c>
      <c r="DY3418" s="5" t="s">
        <v>238</v>
      </c>
      <c r="DZ3418" s="5" t="s">
        <v>238</v>
      </c>
      <c r="EA3418" s="5" t="s">
        <v>238</v>
      </c>
      <c r="EB3418" s="5" t="s">
        <v>238</v>
      </c>
      <c r="EC3418" s="5" t="s">
        <v>238</v>
      </c>
      <c r="ED3418" s="5" t="s">
        <v>238</v>
      </c>
      <c r="EE3418" s="5" t="s">
        <v>238</v>
      </c>
      <c r="EF3418" s="5" t="s">
        <v>238</v>
      </c>
      <c r="EG3418" s="5" t="s">
        <v>238</v>
      </c>
      <c r="EH3418" s="5" t="s">
        <v>238</v>
      </c>
      <c r="EI3418" s="5" t="s">
        <v>238</v>
      </c>
      <c r="EJ3418" s="5" t="s">
        <v>238</v>
      </c>
      <c r="EK3418" s="5" t="s">
        <v>238</v>
      </c>
      <c r="EL3418" s="5" t="s">
        <v>238</v>
      </c>
      <c r="EM3418" s="5" t="s">
        <v>238</v>
      </c>
      <c r="EN3418" s="5" t="s">
        <v>238</v>
      </c>
      <c r="EO3418" s="5" t="s">
        <v>238</v>
      </c>
      <c r="EP3418" s="5" t="s">
        <v>238</v>
      </c>
      <c r="EQ3418" s="5" t="s">
        <v>238</v>
      </c>
      <c r="ER3418" s="5" t="s">
        <v>238</v>
      </c>
      <c r="ES3418" s="5" t="s">
        <v>238</v>
      </c>
      <c r="ET3418" s="5" t="s">
        <v>238</v>
      </c>
      <c r="EU3418" s="5" t="s">
        <v>238</v>
      </c>
      <c r="EV3418" s="5" t="s">
        <v>238</v>
      </c>
      <c r="EW3418" s="5" t="s">
        <v>238</v>
      </c>
      <c r="EX3418" s="5" t="s">
        <v>238</v>
      </c>
      <c r="EY3418" s="5" t="s">
        <v>238</v>
      </c>
      <c r="EZ3418" s="5" t="s">
        <v>238</v>
      </c>
      <c r="FA3418" s="5" t="s">
        <v>238</v>
      </c>
      <c r="FB3418" s="5" t="s">
        <v>238</v>
      </c>
      <c r="FC3418" s="5" t="s">
        <v>238</v>
      </c>
      <c r="FD3418" s="5" t="s">
        <v>238</v>
      </c>
      <c r="FE3418" s="5" t="s">
        <v>238</v>
      </c>
      <c r="FF3418" s="5" t="s">
        <v>238</v>
      </c>
      <c r="FG3418" s="5" t="s">
        <v>238</v>
      </c>
      <c r="FH3418" s="5" t="s">
        <v>238</v>
      </c>
      <c r="FI3418" s="5" t="s">
        <v>238</v>
      </c>
      <c r="FJ3418" s="5" t="s">
        <v>238</v>
      </c>
      <c r="FK3418" s="5" t="s">
        <v>238</v>
      </c>
      <c r="FL3418" s="5" t="s">
        <v>238</v>
      </c>
      <c r="FM3418" s="5" t="s">
        <v>238</v>
      </c>
      <c r="FN3418" s="5" t="s">
        <v>238</v>
      </c>
      <c r="FO3418" s="5" t="s">
        <v>238</v>
      </c>
      <c r="FP3418" s="5" t="s">
        <v>238</v>
      </c>
      <c r="FQ3418" s="5" t="s">
        <v>238</v>
      </c>
      <c r="FR3418" s="5" t="s">
        <v>238</v>
      </c>
      <c r="FS3418" s="5" t="s">
        <v>238</v>
      </c>
      <c r="FT3418" s="5" t="s">
        <v>238</v>
      </c>
      <c r="FU3418" s="5" t="s">
        <v>238</v>
      </c>
      <c r="FV3418" s="5" t="s">
        <v>238</v>
      </c>
      <c r="FW3418" s="5" t="s">
        <v>238</v>
      </c>
      <c r="FX3418" s="5" t="s">
        <v>238</v>
      </c>
      <c r="FY3418" s="5" t="s">
        <v>238</v>
      </c>
      <c r="FZ3418" s="5" t="s">
        <v>238</v>
      </c>
      <c r="GA3418" s="5" t="s">
        <v>238</v>
      </c>
      <c r="GB3418" s="5" t="s">
        <v>238</v>
      </c>
      <c r="GC3418" s="5" t="s">
        <v>238</v>
      </c>
      <c r="GD3418" s="5" t="s">
        <v>238</v>
      </c>
      <c r="GE3418" s="5" t="s">
        <v>238</v>
      </c>
      <c r="GF3418" s="5" t="s">
        <v>238</v>
      </c>
      <c r="GG3418" s="5" t="s">
        <v>238</v>
      </c>
      <c r="GH3418" s="5" t="s">
        <v>238</v>
      </c>
      <c r="GI3418" s="5" t="s">
        <v>238</v>
      </c>
      <c r="GJ3418" s="5" t="s">
        <v>238</v>
      </c>
      <c r="GK3418" s="5" t="s">
        <v>238</v>
      </c>
      <c r="GL3418" s="5" t="s">
        <v>238</v>
      </c>
      <c r="GM3418" s="5" t="s">
        <v>238</v>
      </c>
      <c r="GN3418" s="5" t="s">
        <v>238</v>
      </c>
      <c r="GO3418" s="5" t="s">
        <v>238</v>
      </c>
      <c r="GP3418" s="5" t="s">
        <v>238</v>
      </c>
      <c r="GQ3418" s="5" t="s">
        <v>238</v>
      </c>
      <c r="GR3418" s="5" t="s">
        <v>238</v>
      </c>
      <c r="GS3418" s="5" t="s">
        <v>238</v>
      </c>
      <c r="GT3418" s="5" t="s">
        <v>238</v>
      </c>
      <c r="GU3418" s="5" t="s">
        <v>238</v>
      </c>
      <c r="GV3418" s="5" t="s">
        <v>238</v>
      </c>
      <c r="GW3418" s="5" t="s">
        <v>238</v>
      </c>
      <c r="GX3418" s="5" t="s">
        <v>238</v>
      </c>
      <c r="GY3418" s="5" t="s">
        <v>238</v>
      </c>
      <c r="GZ3418" s="5" t="s">
        <v>238</v>
      </c>
      <c r="HA3418" s="5" t="s">
        <v>238</v>
      </c>
      <c r="HB3418" s="5" t="s">
        <v>238</v>
      </c>
      <c r="HC3418" s="5" t="s">
        <v>238</v>
      </c>
      <c r="HD3418" s="5" t="s">
        <v>238</v>
      </c>
      <c r="HE3418" s="5" t="s">
        <v>238</v>
      </c>
      <c r="HF3418" s="5" t="s">
        <v>238</v>
      </c>
      <c r="HG3418" s="5" t="s">
        <v>238</v>
      </c>
      <c r="HH3418" s="5" t="s">
        <v>238</v>
      </c>
      <c r="HI3418" s="5" t="s">
        <v>238</v>
      </c>
      <c r="HJ3418" s="5" t="s">
        <v>238</v>
      </c>
      <c r="HK3418" s="5" t="s">
        <v>238</v>
      </c>
      <c r="HL3418" s="5" t="s">
        <v>238</v>
      </c>
      <c r="HM3418" s="5" t="s">
        <v>264</v>
      </c>
      <c r="HN3418" s="5" t="s">
        <v>238</v>
      </c>
      <c r="HO3418" s="5" t="s">
        <v>238</v>
      </c>
      <c r="HP3418" s="5" t="s">
        <v>238</v>
      </c>
      <c r="HQ3418" s="5" t="s">
        <v>238</v>
      </c>
      <c r="HR3418" s="5" t="s">
        <v>238</v>
      </c>
      <c r="HS3418" s="5" t="s">
        <v>238</v>
      </c>
      <c r="HT3418" s="5" t="s">
        <v>238</v>
      </c>
      <c r="HU3418" s="5" t="s">
        <v>238</v>
      </c>
      <c r="HV3418" s="5" t="s">
        <v>238</v>
      </c>
      <c r="HW3418" s="5" t="s">
        <v>238</v>
      </c>
      <c r="HX3418" s="5" t="s">
        <v>238</v>
      </c>
      <c r="HY3418" s="5" t="s">
        <v>238</v>
      </c>
      <c r="HZ3418" s="5" t="s">
        <v>238</v>
      </c>
      <c r="IA3418" s="5" t="s">
        <v>238</v>
      </c>
      <c r="IB3418" s="5" t="s">
        <v>238</v>
      </c>
      <c r="IC3418" s="5" t="s">
        <v>238</v>
      </c>
      <c r="ID3418" s="5" t="s">
        <v>238</v>
      </c>
    </row>
    <row r="3419" spans="1:238" x14ac:dyDescent="0.4">
      <c r="A3419" s="5">
        <v>9137</v>
      </c>
      <c r="B3419" s="5">
        <v>1</v>
      </c>
      <c r="C3419" s="5">
        <v>1</v>
      </c>
      <c r="D3419" s="5" t="s">
        <v>484</v>
      </c>
      <c r="E3419" s="5" t="s">
        <v>485</v>
      </c>
      <c r="F3419" s="5" t="s">
        <v>248</v>
      </c>
      <c r="G3419" s="5" t="s">
        <v>4858</v>
      </c>
      <c r="H3419" s="6" t="s">
        <v>4859</v>
      </c>
      <c r="I3419" s="8">
        <f>1</f>
        <v>1</v>
      </c>
      <c r="J3419" s="5" t="s">
        <v>499</v>
      </c>
      <c r="K3419" s="8">
        <f>1</f>
        <v>1</v>
      </c>
      <c r="L3419" s="6" t="s">
        <v>242</v>
      </c>
      <c r="M3419" s="5" t="s">
        <v>267</v>
      </c>
      <c r="N3419" s="5" t="s">
        <v>482</v>
      </c>
      <c r="O3419" s="5" t="s">
        <v>238</v>
      </c>
      <c r="P3419" s="5" t="s">
        <v>238</v>
      </c>
      <c r="Q3419" s="5" t="s">
        <v>239</v>
      </c>
      <c r="R3419" s="5" t="s">
        <v>270</v>
      </c>
      <c r="S3419" s="5" t="s">
        <v>238</v>
      </c>
      <c r="T3419" s="5" t="s">
        <v>238</v>
      </c>
      <c r="U3419" s="5" t="s">
        <v>238</v>
      </c>
      <c r="V3419" s="5" t="s">
        <v>238</v>
      </c>
      <c r="W3419" s="6" t="s">
        <v>238</v>
      </c>
      <c r="X3419" s="6" t="s">
        <v>238</v>
      </c>
      <c r="Y3419" s="5" t="s">
        <v>238</v>
      </c>
      <c r="Z3419" s="6" t="s">
        <v>238</v>
      </c>
      <c r="AA3419" s="6" t="s">
        <v>243</v>
      </c>
      <c r="AB3419" s="5" t="s">
        <v>486</v>
      </c>
      <c r="AC3419" s="5" t="s">
        <v>244</v>
      </c>
      <c r="AD3419" s="5" t="s">
        <v>245</v>
      </c>
      <c r="AE3419" s="5" t="s">
        <v>238</v>
      </c>
      <c r="AF3419" s="5" t="s">
        <v>238</v>
      </c>
      <c r="AG3419" s="5" t="s">
        <v>238</v>
      </c>
      <c r="AH3419" s="5" t="s">
        <v>238</v>
      </c>
      <c r="AI3419" s="5" t="s">
        <v>238</v>
      </c>
      <c r="AJ3419" s="5" t="s">
        <v>238</v>
      </c>
      <c r="AK3419" s="5" t="s">
        <v>238</v>
      </c>
      <c r="AL3419" s="5" t="s">
        <v>238</v>
      </c>
      <c r="AM3419" s="6" t="s">
        <v>238</v>
      </c>
      <c r="AN3419" s="6" t="s">
        <v>238</v>
      </c>
      <c r="AO3419" s="6" t="s">
        <v>238</v>
      </c>
      <c r="AP3419" s="6" t="s">
        <v>238</v>
      </c>
      <c r="AQ3419" s="5" t="s">
        <v>238</v>
      </c>
      <c r="AR3419" s="5" t="s">
        <v>488</v>
      </c>
      <c r="AS3419" s="5" t="s">
        <v>488</v>
      </c>
      <c r="AT3419" s="5" t="s">
        <v>246</v>
      </c>
      <c r="AU3419" s="5" t="s">
        <v>489</v>
      </c>
      <c r="AV3419" s="5" t="s">
        <v>247</v>
      </c>
      <c r="AW3419" s="5" t="s">
        <v>238</v>
      </c>
      <c r="AX3419" s="5" t="s">
        <v>249</v>
      </c>
      <c r="AY3419" s="5" t="s">
        <v>490</v>
      </c>
      <c r="BA3419" s="5" t="s">
        <v>238</v>
      </c>
      <c r="BC3419" s="5" t="s">
        <v>491</v>
      </c>
      <c r="BD3419" s="6" t="s">
        <v>492</v>
      </c>
      <c r="BE3419" s="5" t="s">
        <v>493</v>
      </c>
      <c r="BF3419" s="5" t="s">
        <v>493</v>
      </c>
      <c r="BG3419" s="5" t="s">
        <v>238</v>
      </c>
      <c r="BH3419" s="8">
        <f>1</f>
        <v>1</v>
      </c>
      <c r="BI3419" s="8">
        <f>1</f>
        <v>1</v>
      </c>
      <c r="BJ3419" s="5" t="s">
        <v>253</v>
      </c>
      <c r="BK3419" s="5" t="s">
        <v>254</v>
      </c>
      <c r="BL3419" s="5" t="s">
        <v>238</v>
      </c>
      <c r="BM3419" s="5" t="s">
        <v>238</v>
      </c>
      <c r="BN3419" s="5" t="s">
        <v>238</v>
      </c>
      <c r="BO3419" s="5" t="s">
        <v>238</v>
      </c>
      <c r="BP3419" s="5" t="s">
        <v>238</v>
      </c>
      <c r="BQ3419" s="5" t="s">
        <v>238</v>
      </c>
      <c r="BR3419" s="5" t="s">
        <v>238</v>
      </c>
      <c r="BS3419" s="5" t="s">
        <v>238</v>
      </c>
      <c r="BT3419" s="6" t="s">
        <v>238</v>
      </c>
      <c r="BU3419" s="5" t="s">
        <v>238</v>
      </c>
      <c r="BV3419" s="5" t="s">
        <v>238</v>
      </c>
      <c r="BW3419" s="5" t="s">
        <v>238</v>
      </c>
      <c r="BX3419" s="5" t="s">
        <v>254</v>
      </c>
      <c r="BY3419" s="5" t="s">
        <v>238</v>
      </c>
      <c r="BZ3419" s="5" t="s">
        <v>238</v>
      </c>
      <c r="CA3419" s="5" t="s">
        <v>238</v>
      </c>
      <c r="CB3419" s="5" t="s">
        <v>238</v>
      </c>
      <c r="CC3419" s="5" t="s">
        <v>238</v>
      </c>
      <c r="CD3419" s="5" t="s">
        <v>273</v>
      </c>
      <c r="CE3419" s="5" t="s">
        <v>256</v>
      </c>
      <c r="CF3419" s="5" t="s">
        <v>238</v>
      </c>
      <c r="CH3419" s="5" t="s">
        <v>494</v>
      </c>
      <c r="CI3419" s="6" t="s">
        <v>257</v>
      </c>
      <c r="CJ3419" s="5" t="s">
        <v>495</v>
      </c>
      <c r="CK3419" s="5" t="s">
        <v>258</v>
      </c>
      <c r="CL3419" s="5" t="s">
        <v>496</v>
      </c>
      <c r="CM3419" s="5" t="s">
        <v>238</v>
      </c>
      <c r="CN3419" s="5">
        <v>0</v>
      </c>
      <c r="CO3419" s="5" t="s">
        <v>497</v>
      </c>
      <c r="CP3419" s="5" t="s">
        <v>260</v>
      </c>
      <c r="CQ3419" s="5" t="s">
        <v>260</v>
      </c>
      <c r="CR3419" s="5" t="s">
        <v>261</v>
      </c>
      <c r="CS3419" s="5" t="s">
        <v>498</v>
      </c>
      <c r="CT3419" s="7">
        <f>1</f>
        <v>1</v>
      </c>
      <c r="CU3419" s="8">
        <f>1</f>
        <v>1</v>
      </c>
      <c r="CV3419" s="8">
        <f>0</f>
        <v>0</v>
      </c>
      <c r="CX3419" s="8">
        <f>1</f>
        <v>1</v>
      </c>
      <c r="CY3419" s="8">
        <f>1</f>
        <v>1</v>
      </c>
      <c r="CZ3419" s="8" t="s">
        <v>238</v>
      </c>
      <c r="DA3419" s="5" t="s">
        <v>238</v>
      </c>
      <c r="DB3419" s="5" t="s">
        <v>238</v>
      </c>
      <c r="DC3419" s="5" t="s">
        <v>238</v>
      </c>
      <c r="DD3419" s="5" t="s">
        <v>238</v>
      </c>
      <c r="DE3419" s="8">
        <f>0</f>
        <v>0</v>
      </c>
      <c r="DG3419" s="5" t="s">
        <v>238</v>
      </c>
      <c r="DH3419" s="5" t="s">
        <v>238</v>
      </c>
      <c r="DI3419" s="5" t="s">
        <v>238</v>
      </c>
      <c r="DJ3419" s="5" t="s">
        <v>238</v>
      </c>
      <c r="DK3419" s="5" t="s">
        <v>238</v>
      </c>
      <c r="DL3419" s="5" t="s">
        <v>238</v>
      </c>
      <c r="DM3419" s="8" t="s">
        <v>238</v>
      </c>
      <c r="DN3419" s="5" t="s">
        <v>238</v>
      </c>
      <c r="DO3419" s="5" t="s">
        <v>238</v>
      </c>
      <c r="DP3419" s="5" t="s">
        <v>490</v>
      </c>
      <c r="DQ3419" s="5" t="s">
        <v>490</v>
      </c>
      <c r="DR3419" s="5" t="s">
        <v>238</v>
      </c>
      <c r="DS3419" s="5" t="s">
        <v>238</v>
      </c>
      <c r="DT3419" s="5" t="s">
        <v>500</v>
      </c>
      <c r="DU3419" s="5" t="s">
        <v>900</v>
      </c>
      <c r="DV3419" s="5" t="s">
        <v>238</v>
      </c>
      <c r="DW3419" s="5" t="s">
        <v>238</v>
      </c>
      <c r="DX3419" s="5" t="s">
        <v>238</v>
      </c>
      <c r="DY3419" s="5" t="s">
        <v>238</v>
      </c>
      <c r="DZ3419" s="5" t="s">
        <v>238</v>
      </c>
      <c r="EA3419" s="5" t="s">
        <v>238</v>
      </c>
      <c r="EB3419" s="5" t="s">
        <v>238</v>
      </c>
      <c r="EC3419" s="5" t="s">
        <v>238</v>
      </c>
      <c r="ED3419" s="5" t="s">
        <v>238</v>
      </c>
      <c r="EE3419" s="5" t="s">
        <v>238</v>
      </c>
      <c r="EF3419" s="5" t="s">
        <v>238</v>
      </c>
      <c r="EG3419" s="5" t="s">
        <v>238</v>
      </c>
      <c r="EH3419" s="5" t="s">
        <v>238</v>
      </c>
      <c r="EI3419" s="5" t="s">
        <v>238</v>
      </c>
      <c r="EJ3419" s="5" t="s">
        <v>238</v>
      </c>
      <c r="EK3419" s="5" t="s">
        <v>238</v>
      </c>
      <c r="EL3419" s="5" t="s">
        <v>238</v>
      </c>
      <c r="EM3419" s="5" t="s">
        <v>238</v>
      </c>
      <c r="EN3419" s="5" t="s">
        <v>238</v>
      </c>
      <c r="EO3419" s="5" t="s">
        <v>238</v>
      </c>
      <c r="EP3419" s="5" t="s">
        <v>238</v>
      </c>
      <c r="EQ3419" s="5" t="s">
        <v>238</v>
      </c>
      <c r="ER3419" s="5" t="s">
        <v>238</v>
      </c>
      <c r="ES3419" s="5" t="s">
        <v>238</v>
      </c>
      <c r="ET3419" s="5" t="s">
        <v>238</v>
      </c>
      <c r="EU3419" s="5" t="s">
        <v>238</v>
      </c>
      <c r="EV3419" s="5" t="s">
        <v>238</v>
      </c>
      <c r="EW3419" s="5" t="s">
        <v>238</v>
      </c>
      <c r="EX3419" s="5" t="s">
        <v>238</v>
      </c>
      <c r="EY3419" s="5" t="s">
        <v>238</v>
      </c>
      <c r="EZ3419" s="5" t="s">
        <v>238</v>
      </c>
      <c r="FA3419" s="5" t="s">
        <v>238</v>
      </c>
      <c r="FB3419" s="5" t="s">
        <v>238</v>
      </c>
      <c r="FC3419" s="5" t="s">
        <v>238</v>
      </c>
      <c r="FD3419" s="5" t="s">
        <v>238</v>
      </c>
      <c r="FE3419" s="5" t="s">
        <v>238</v>
      </c>
      <c r="FF3419" s="5" t="s">
        <v>238</v>
      </c>
      <c r="FG3419" s="5" t="s">
        <v>238</v>
      </c>
      <c r="FH3419" s="5" t="s">
        <v>238</v>
      </c>
      <c r="FI3419" s="5" t="s">
        <v>238</v>
      </c>
      <c r="FJ3419" s="5" t="s">
        <v>238</v>
      </c>
      <c r="FK3419" s="5" t="s">
        <v>238</v>
      </c>
      <c r="FL3419" s="5" t="s">
        <v>238</v>
      </c>
      <c r="FM3419" s="5" t="s">
        <v>238</v>
      </c>
      <c r="FN3419" s="5" t="s">
        <v>238</v>
      </c>
      <c r="FO3419" s="5" t="s">
        <v>238</v>
      </c>
      <c r="FP3419" s="5" t="s">
        <v>238</v>
      </c>
      <c r="FQ3419" s="5" t="s">
        <v>238</v>
      </c>
      <c r="FR3419" s="5" t="s">
        <v>238</v>
      </c>
      <c r="FS3419" s="5" t="s">
        <v>238</v>
      </c>
      <c r="FT3419" s="5" t="s">
        <v>238</v>
      </c>
      <c r="FU3419" s="5" t="s">
        <v>238</v>
      </c>
      <c r="FV3419" s="5" t="s">
        <v>238</v>
      </c>
      <c r="FW3419" s="5" t="s">
        <v>238</v>
      </c>
      <c r="FX3419" s="5" t="s">
        <v>238</v>
      </c>
      <c r="FY3419" s="5" t="s">
        <v>238</v>
      </c>
      <c r="FZ3419" s="5" t="s">
        <v>238</v>
      </c>
      <c r="GA3419" s="5" t="s">
        <v>238</v>
      </c>
      <c r="GB3419" s="5" t="s">
        <v>238</v>
      </c>
      <c r="GC3419" s="5" t="s">
        <v>238</v>
      </c>
      <c r="GD3419" s="5" t="s">
        <v>238</v>
      </c>
      <c r="GE3419" s="5" t="s">
        <v>238</v>
      </c>
      <c r="GF3419" s="5" t="s">
        <v>238</v>
      </c>
      <c r="GG3419" s="5" t="s">
        <v>238</v>
      </c>
      <c r="GH3419" s="5" t="s">
        <v>238</v>
      </c>
      <c r="GI3419" s="5" t="s">
        <v>238</v>
      </c>
      <c r="GJ3419" s="5" t="s">
        <v>238</v>
      </c>
      <c r="GK3419" s="5" t="s">
        <v>238</v>
      </c>
      <c r="GL3419" s="5" t="s">
        <v>238</v>
      </c>
      <c r="GM3419" s="5" t="s">
        <v>238</v>
      </c>
      <c r="GN3419" s="5" t="s">
        <v>238</v>
      </c>
      <c r="GO3419" s="5" t="s">
        <v>238</v>
      </c>
      <c r="GP3419" s="5" t="s">
        <v>238</v>
      </c>
      <c r="GQ3419" s="5" t="s">
        <v>238</v>
      </c>
      <c r="GR3419" s="5" t="s">
        <v>238</v>
      </c>
      <c r="GS3419" s="5" t="s">
        <v>238</v>
      </c>
      <c r="GT3419" s="5" t="s">
        <v>238</v>
      </c>
      <c r="GU3419" s="5" t="s">
        <v>238</v>
      </c>
      <c r="GV3419" s="5" t="s">
        <v>238</v>
      </c>
      <c r="GW3419" s="5" t="s">
        <v>238</v>
      </c>
      <c r="GX3419" s="5" t="s">
        <v>238</v>
      </c>
      <c r="GY3419" s="5" t="s">
        <v>238</v>
      </c>
      <c r="GZ3419" s="5" t="s">
        <v>238</v>
      </c>
      <c r="HA3419" s="5" t="s">
        <v>238</v>
      </c>
      <c r="HB3419" s="5" t="s">
        <v>238</v>
      </c>
      <c r="HC3419" s="5" t="s">
        <v>238</v>
      </c>
      <c r="HD3419" s="5" t="s">
        <v>238</v>
      </c>
      <c r="HE3419" s="5" t="s">
        <v>238</v>
      </c>
      <c r="HF3419" s="5" t="s">
        <v>238</v>
      </c>
      <c r="HG3419" s="5" t="s">
        <v>238</v>
      </c>
      <c r="HH3419" s="5" t="s">
        <v>238</v>
      </c>
      <c r="HI3419" s="5" t="s">
        <v>238</v>
      </c>
      <c r="HJ3419" s="5" t="s">
        <v>238</v>
      </c>
      <c r="HK3419" s="5" t="s">
        <v>238</v>
      </c>
      <c r="HL3419" s="5" t="s">
        <v>238</v>
      </c>
      <c r="HM3419" s="5" t="s">
        <v>264</v>
      </c>
      <c r="HN3419" s="5" t="s">
        <v>238</v>
      </c>
      <c r="HO3419" s="5" t="s">
        <v>238</v>
      </c>
      <c r="HP3419" s="5" t="s">
        <v>238</v>
      </c>
      <c r="HQ3419" s="5" t="s">
        <v>238</v>
      </c>
      <c r="HR3419" s="5" t="s">
        <v>238</v>
      </c>
      <c r="HS3419" s="5" t="s">
        <v>238</v>
      </c>
      <c r="HT3419" s="5" t="s">
        <v>238</v>
      </c>
      <c r="HU3419" s="5" t="s">
        <v>238</v>
      </c>
      <c r="HV3419" s="5" t="s">
        <v>238</v>
      </c>
      <c r="HW3419" s="5" t="s">
        <v>238</v>
      </c>
      <c r="HX3419" s="5" t="s">
        <v>238</v>
      </c>
      <c r="HY3419" s="5" t="s">
        <v>238</v>
      </c>
      <c r="HZ3419" s="5" t="s">
        <v>238</v>
      </c>
      <c r="IA3419" s="5" t="s">
        <v>238</v>
      </c>
      <c r="IB3419" s="5" t="s">
        <v>238</v>
      </c>
      <c r="IC3419" s="5" t="s">
        <v>238</v>
      </c>
      <c r="ID3419" s="5" t="s">
        <v>238</v>
      </c>
    </row>
    <row r="3420" spans="1:238" x14ac:dyDescent="0.4">
      <c r="A3420" s="5">
        <v>9138</v>
      </c>
      <c r="B3420" s="5">
        <v>1</v>
      </c>
      <c r="C3420" s="5">
        <v>1</v>
      </c>
      <c r="D3420" s="5" t="s">
        <v>484</v>
      </c>
      <c r="E3420" s="5" t="s">
        <v>485</v>
      </c>
      <c r="F3420" s="5" t="s">
        <v>248</v>
      </c>
      <c r="G3420" s="5" t="s">
        <v>5710</v>
      </c>
      <c r="H3420" s="6" t="s">
        <v>5711</v>
      </c>
      <c r="I3420" s="8">
        <f>1</f>
        <v>1</v>
      </c>
      <c r="J3420" s="5" t="s">
        <v>499</v>
      </c>
      <c r="K3420" s="8">
        <f>1</f>
        <v>1</v>
      </c>
      <c r="L3420" s="6" t="s">
        <v>242</v>
      </c>
      <c r="M3420" s="5" t="s">
        <v>267</v>
      </c>
      <c r="N3420" s="5" t="s">
        <v>482</v>
      </c>
      <c r="O3420" s="5" t="s">
        <v>238</v>
      </c>
      <c r="P3420" s="5" t="s">
        <v>238</v>
      </c>
      <c r="Q3420" s="5" t="s">
        <v>239</v>
      </c>
      <c r="R3420" s="5" t="s">
        <v>270</v>
      </c>
      <c r="S3420" s="5" t="s">
        <v>238</v>
      </c>
      <c r="T3420" s="5" t="s">
        <v>238</v>
      </c>
      <c r="U3420" s="5" t="s">
        <v>238</v>
      </c>
      <c r="V3420" s="5" t="s">
        <v>238</v>
      </c>
      <c r="W3420" s="6" t="s">
        <v>238</v>
      </c>
      <c r="X3420" s="6" t="s">
        <v>238</v>
      </c>
      <c r="Y3420" s="5" t="s">
        <v>238</v>
      </c>
      <c r="Z3420" s="6" t="s">
        <v>238</v>
      </c>
      <c r="AA3420" s="6" t="s">
        <v>243</v>
      </c>
      <c r="AB3420" s="5" t="s">
        <v>486</v>
      </c>
      <c r="AC3420" s="5" t="s">
        <v>244</v>
      </c>
      <c r="AD3420" s="5" t="s">
        <v>245</v>
      </c>
      <c r="AE3420" s="5" t="s">
        <v>238</v>
      </c>
      <c r="AF3420" s="5" t="s">
        <v>238</v>
      </c>
      <c r="AG3420" s="5" t="s">
        <v>238</v>
      </c>
      <c r="AH3420" s="5" t="s">
        <v>238</v>
      </c>
      <c r="AI3420" s="5" t="s">
        <v>238</v>
      </c>
      <c r="AJ3420" s="5" t="s">
        <v>238</v>
      </c>
      <c r="AK3420" s="5" t="s">
        <v>238</v>
      </c>
      <c r="AL3420" s="5" t="s">
        <v>238</v>
      </c>
      <c r="AM3420" s="6" t="s">
        <v>238</v>
      </c>
      <c r="AN3420" s="6" t="s">
        <v>238</v>
      </c>
      <c r="AO3420" s="6" t="s">
        <v>238</v>
      </c>
      <c r="AP3420" s="6" t="s">
        <v>238</v>
      </c>
      <c r="AQ3420" s="5" t="s">
        <v>238</v>
      </c>
      <c r="AR3420" s="5" t="s">
        <v>488</v>
      </c>
      <c r="AS3420" s="5" t="s">
        <v>488</v>
      </c>
      <c r="AT3420" s="5" t="s">
        <v>246</v>
      </c>
      <c r="AU3420" s="5" t="s">
        <v>489</v>
      </c>
      <c r="AV3420" s="5" t="s">
        <v>247</v>
      </c>
      <c r="AW3420" s="5" t="s">
        <v>238</v>
      </c>
      <c r="AX3420" s="5" t="s">
        <v>249</v>
      </c>
      <c r="AY3420" s="5" t="s">
        <v>490</v>
      </c>
      <c r="BA3420" s="5" t="s">
        <v>238</v>
      </c>
      <c r="BC3420" s="5" t="s">
        <v>491</v>
      </c>
      <c r="BD3420" s="6" t="s">
        <v>492</v>
      </c>
      <c r="BE3420" s="5" t="s">
        <v>493</v>
      </c>
      <c r="BF3420" s="5" t="s">
        <v>493</v>
      </c>
      <c r="BG3420" s="5" t="s">
        <v>238</v>
      </c>
      <c r="BH3420" s="8">
        <f>1</f>
        <v>1</v>
      </c>
      <c r="BI3420" s="8">
        <f>1</f>
        <v>1</v>
      </c>
      <c r="BJ3420" s="5" t="s">
        <v>253</v>
      </c>
      <c r="BK3420" s="5" t="s">
        <v>254</v>
      </c>
      <c r="BL3420" s="5" t="s">
        <v>238</v>
      </c>
      <c r="BM3420" s="5" t="s">
        <v>238</v>
      </c>
      <c r="BN3420" s="5" t="s">
        <v>238</v>
      </c>
      <c r="BO3420" s="5" t="s">
        <v>238</v>
      </c>
      <c r="BP3420" s="5" t="s">
        <v>238</v>
      </c>
      <c r="BQ3420" s="5" t="s">
        <v>238</v>
      </c>
      <c r="BR3420" s="5" t="s">
        <v>238</v>
      </c>
      <c r="BS3420" s="5" t="s">
        <v>238</v>
      </c>
      <c r="BT3420" s="6" t="s">
        <v>238</v>
      </c>
      <c r="BU3420" s="5" t="s">
        <v>238</v>
      </c>
      <c r="BV3420" s="5" t="s">
        <v>238</v>
      </c>
      <c r="BW3420" s="5" t="s">
        <v>238</v>
      </c>
      <c r="BX3420" s="5" t="s">
        <v>254</v>
      </c>
      <c r="BY3420" s="5" t="s">
        <v>238</v>
      </c>
      <c r="BZ3420" s="5" t="s">
        <v>238</v>
      </c>
      <c r="CA3420" s="5" t="s">
        <v>238</v>
      </c>
      <c r="CB3420" s="5" t="s">
        <v>238</v>
      </c>
      <c r="CC3420" s="5" t="s">
        <v>238</v>
      </c>
      <c r="CD3420" s="5" t="s">
        <v>273</v>
      </c>
      <c r="CE3420" s="5" t="s">
        <v>256</v>
      </c>
      <c r="CF3420" s="5" t="s">
        <v>238</v>
      </c>
      <c r="CH3420" s="5" t="s">
        <v>494</v>
      </c>
      <c r="CI3420" s="6" t="s">
        <v>257</v>
      </c>
      <c r="CJ3420" s="5" t="s">
        <v>495</v>
      </c>
      <c r="CK3420" s="5" t="s">
        <v>258</v>
      </c>
      <c r="CL3420" s="5" t="s">
        <v>496</v>
      </c>
      <c r="CM3420" s="5" t="s">
        <v>238</v>
      </c>
      <c r="CN3420" s="5">
        <v>0</v>
      </c>
      <c r="CO3420" s="5" t="s">
        <v>497</v>
      </c>
      <c r="CP3420" s="5" t="s">
        <v>260</v>
      </c>
      <c r="CQ3420" s="5" t="s">
        <v>260</v>
      </c>
      <c r="CR3420" s="5" t="s">
        <v>261</v>
      </c>
      <c r="CS3420" s="5" t="s">
        <v>498</v>
      </c>
      <c r="CT3420" s="7">
        <f>1</f>
        <v>1</v>
      </c>
      <c r="CU3420" s="8">
        <f>1</f>
        <v>1</v>
      </c>
      <c r="CV3420" s="8">
        <f>0</f>
        <v>0</v>
      </c>
      <c r="CX3420" s="8">
        <f>1</f>
        <v>1</v>
      </c>
      <c r="CY3420" s="8">
        <f>1</f>
        <v>1</v>
      </c>
      <c r="CZ3420" s="8" t="s">
        <v>238</v>
      </c>
      <c r="DA3420" s="5" t="s">
        <v>238</v>
      </c>
      <c r="DB3420" s="5" t="s">
        <v>238</v>
      </c>
      <c r="DC3420" s="5" t="s">
        <v>238</v>
      </c>
      <c r="DD3420" s="5" t="s">
        <v>238</v>
      </c>
      <c r="DE3420" s="8">
        <f>0</f>
        <v>0</v>
      </c>
      <c r="DG3420" s="5" t="s">
        <v>238</v>
      </c>
      <c r="DH3420" s="5" t="s">
        <v>238</v>
      </c>
      <c r="DI3420" s="5" t="s">
        <v>238</v>
      </c>
      <c r="DJ3420" s="5" t="s">
        <v>238</v>
      </c>
      <c r="DK3420" s="5" t="s">
        <v>238</v>
      </c>
      <c r="DL3420" s="5" t="s">
        <v>238</v>
      </c>
      <c r="DM3420" s="8" t="s">
        <v>238</v>
      </c>
      <c r="DN3420" s="5" t="s">
        <v>238</v>
      </c>
      <c r="DO3420" s="5" t="s">
        <v>238</v>
      </c>
      <c r="DP3420" s="5" t="s">
        <v>490</v>
      </c>
      <c r="DQ3420" s="5" t="s">
        <v>490</v>
      </c>
      <c r="DR3420" s="5" t="s">
        <v>238</v>
      </c>
      <c r="DS3420" s="5" t="s">
        <v>238</v>
      </c>
      <c r="DT3420" s="5" t="s">
        <v>500</v>
      </c>
      <c r="DU3420" s="5" t="s">
        <v>292</v>
      </c>
      <c r="DV3420" s="5" t="s">
        <v>238</v>
      </c>
      <c r="DW3420" s="5" t="s">
        <v>238</v>
      </c>
      <c r="DX3420" s="5" t="s">
        <v>238</v>
      </c>
      <c r="DY3420" s="5" t="s">
        <v>238</v>
      </c>
      <c r="DZ3420" s="5" t="s">
        <v>238</v>
      </c>
      <c r="EA3420" s="5" t="s">
        <v>238</v>
      </c>
      <c r="EB3420" s="5" t="s">
        <v>238</v>
      </c>
      <c r="EC3420" s="5" t="s">
        <v>238</v>
      </c>
      <c r="ED3420" s="5" t="s">
        <v>238</v>
      </c>
      <c r="EE3420" s="5" t="s">
        <v>238</v>
      </c>
      <c r="EF3420" s="5" t="s">
        <v>238</v>
      </c>
      <c r="EG3420" s="5" t="s">
        <v>238</v>
      </c>
      <c r="EH3420" s="5" t="s">
        <v>238</v>
      </c>
      <c r="EI3420" s="5" t="s">
        <v>238</v>
      </c>
      <c r="EJ3420" s="5" t="s">
        <v>238</v>
      </c>
      <c r="EK3420" s="5" t="s">
        <v>238</v>
      </c>
      <c r="EL3420" s="5" t="s">
        <v>238</v>
      </c>
      <c r="EM3420" s="5" t="s">
        <v>238</v>
      </c>
      <c r="EN3420" s="5" t="s">
        <v>238</v>
      </c>
      <c r="EO3420" s="5" t="s">
        <v>238</v>
      </c>
      <c r="EP3420" s="5" t="s">
        <v>238</v>
      </c>
      <c r="EQ3420" s="5" t="s">
        <v>238</v>
      </c>
      <c r="ER3420" s="5" t="s">
        <v>238</v>
      </c>
      <c r="ES3420" s="5" t="s">
        <v>238</v>
      </c>
      <c r="ET3420" s="5" t="s">
        <v>238</v>
      </c>
      <c r="EU3420" s="5" t="s">
        <v>238</v>
      </c>
      <c r="EV3420" s="5" t="s">
        <v>238</v>
      </c>
      <c r="EW3420" s="5" t="s">
        <v>238</v>
      </c>
      <c r="EX3420" s="5" t="s">
        <v>238</v>
      </c>
      <c r="EY3420" s="5" t="s">
        <v>238</v>
      </c>
      <c r="EZ3420" s="5" t="s">
        <v>238</v>
      </c>
      <c r="FA3420" s="5" t="s">
        <v>238</v>
      </c>
      <c r="FB3420" s="5" t="s">
        <v>238</v>
      </c>
      <c r="FC3420" s="5" t="s">
        <v>238</v>
      </c>
      <c r="FD3420" s="5" t="s">
        <v>238</v>
      </c>
      <c r="FE3420" s="5" t="s">
        <v>238</v>
      </c>
      <c r="FF3420" s="5" t="s">
        <v>238</v>
      </c>
      <c r="FG3420" s="5" t="s">
        <v>238</v>
      </c>
      <c r="FH3420" s="5" t="s">
        <v>238</v>
      </c>
      <c r="FI3420" s="5" t="s">
        <v>238</v>
      </c>
      <c r="FJ3420" s="5" t="s">
        <v>238</v>
      </c>
      <c r="FK3420" s="5" t="s">
        <v>238</v>
      </c>
      <c r="FL3420" s="5" t="s">
        <v>238</v>
      </c>
      <c r="FM3420" s="5" t="s">
        <v>238</v>
      </c>
      <c r="FN3420" s="5" t="s">
        <v>238</v>
      </c>
      <c r="FO3420" s="5" t="s">
        <v>238</v>
      </c>
      <c r="FP3420" s="5" t="s">
        <v>238</v>
      </c>
      <c r="FQ3420" s="5" t="s">
        <v>238</v>
      </c>
      <c r="FR3420" s="5" t="s">
        <v>238</v>
      </c>
      <c r="FS3420" s="5" t="s">
        <v>238</v>
      </c>
      <c r="FT3420" s="5" t="s">
        <v>238</v>
      </c>
      <c r="FU3420" s="5" t="s">
        <v>238</v>
      </c>
      <c r="FV3420" s="5" t="s">
        <v>238</v>
      </c>
      <c r="FW3420" s="5" t="s">
        <v>238</v>
      </c>
      <c r="FX3420" s="5" t="s">
        <v>238</v>
      </c>
      <c r="FY3420" s="5" t="s">
        <v>238</v>
      </c>
      <c r="FZ3420" s="5" t="s">
        <v>238</v>
      </c>
      <c r="GA3420" s="5" t="s">
        <v>238</v>
      </c>
      <c r="GB3420" s="5" t="s">
        <v>238</v>
      </c>
      <c r="GC3420" s="5" t="s">
        <v>238</v>
      </c>
      <c r="GD3420" s="5" t="s">
        <v>238</v>
      </c>
      <c r="GE3420" s="5" t="s">
        <v>238</v>
      </c>
      <c r="GF3420" s="5" t="s">
        <v>238</v>
      </c>
      <c r="GG3420" s="5" t="s">
        <v>238</v>
      </c>
      <c r="GH3420" s="5" t="s">
        <v>238</v>
      </c>
      <c r="GI3420" s="5" t="s">
        <v>238</v>
      </c>
      <c r="GJ3420" s="5" t="s">
        <v>238</v>
      </c>
      <c r="GK3420" s="5" t="s">
        <v>238</v>
      </c>
      <c r="GL3420" s="5" t="s">
        <v>238</v>
      </c>
      <c r="GM3420" s="5" t="s">
        <v>238</v>
      </c>
      <c r="GN3420" s="5" t="s">
        <v>238</v>
      </c>
      <c r="GO3420" s="5" t="s">
        <v>238</v>
      </c>
      <c r="GP3420" s="5" t="s">
        <v>238</v>
      </c>
      <c r="GQ3420" s="5" t="s">
        <v>238</v>
      </c>
      <c r="GR3420" s="5" t="s">
        <v>238</v>
      </c>
      <c r="GS3420" s="5" t="s">
        <v>238</v>
      </c>
      <c r="GT3420" s="5" t="s">
        <v>238</v>
      </c>
      <c r="GU3420" s="5" t="s">
        <v>238</v>
      </c>
      <c r="GV3420" s="5" t="s">
        <v>238</v>
      </c>
      <c r="GW3420" s="5" t="s">
        <v>238</v>
      </c>
      <c r="GX3420" s="5" t="s">
        <v>238</v>
      </c>
      <c r="GY3420" s="5" t="s">
        <v>238</v>
      </c>
      <c r="GZ3420" s="5" t="s">
        <v>238</v>
      </c>
      <c r="HA3420" s="5" t="s">
        <v>238</v>
      </c>
      <c r="HB3420" s="5" t="s">
        <v>238</v>
      </c>
      <c r="HC3420" s="5" t="s">
        <v>238</v>
      </c>
      <c r="HD3420" s="5" t="s">
        <v>238</v>
      </c>
      <c r="HE3420" s="5" t="s">
        <v>238</v>
      </c>
      <c r="HF3420" s="5" t="s">
        <v>238</v>
      </c>
      <c r="HG3420" s="5" t="s">
        <v>238</v>
      </c>
      <c r="HH3420" s="5" t="s">
        <v>238</v>
      </c>
      <c r="HI3420" s="5" t="s">
        <v>238</v>
      </c>
      <c r="HJ3420" s="5" t="s">
        <v>238</v>
      </c>
      <c r="HK3420" s="5" t="s">
        <v>238</v>
      </c>
      <c r="HL3420" s="5" t="s">
        <v>238</v>
      </c>
      <c r="HM3420" s="5" t="s">
        <v>264</v>
      </c>
      <c r="HN3420" s="5" t="s">
        <v>238</v>
      </c>
      <c r="HO3420" s="5" t="s">
        <v>238</v>
      </c>
      <c r="HP3420" s="5" t="s">
        <v>238</v>
      </c>
      <c r="HQ3420" s="5" t="s">
        <v>238</v>
      </c>
      <c r="HR3420" s="5" t="s">
        <v>238</v>
      </c>
      <c r="HS3420" s="5" t="s">
        <v>238</v>
      </c>
      <c r="HT3420" s="5" t="s">
        <v>238</v>
      </c>
      <c r="HU3420" s="5" t="s">
        <v>238</v>
      </c>
      <c r="HV3420" s="5" t="s">
        <v>238</v>
      </c>
      <c r="HW3420" s="5" t="s">
        <v>238</v>
      </c>
      <c r="HX3420" s="5" t="s">
        <v>238</v>
      </c>
      <c r="HY3420" s="5" t="s">
        <v>238</v>
      </c>
      <c r="HZ3420" s="5" t="s">
        <v>238</v>
      </c>
      <c r="IA3420" s="5" t="s">
        <v>238</v>
      </c>
      <c r="IB3420" s="5" t="s">
        <v>238</v>
      </c>
      <c r="IC3420" s="5" t="s">
        <v>238</v>
      </c>
      <c r="ID3420" s="5" t="s">
        <v>238</v>
      </c>
    </row>
    <row r="3421" spans="1:238" x14ac:dyDescent="0.4">
      <c r="A3421" s="5">
        <v>9139</v>
      </c>
      <c r="B3421" s="5">
        <v>1</v>
      </c>
      <c r="C3421" s="5">
        <v>1</v>
      </c>
      <c r="D3421" s="5" t="s">
        <v>484</v>
      </c>
      <c r="E3421" s="5" t="s">
        <v>485</v>
      </c>
      <c r="F3421" s="5" t="s">
        <v>248</v>
      </c>
      <c r="G3421" s="5" t="s">
        <v>4937</v>
      </c>
      <c r="H3421" s="6" t="s">
        <v>4939</v>
      </c>
      <c r="I3421" s="8">
        <f>1</f>
        <v>1</v>
      </c>
      <c r="J3421" s="5" t="s">
        <v>499</v>
      </c>
      <c r="K3421" s="8">
        <f>1</f>
        <v>1</v>
      </c>
      <c r="L3421" s="6" t="s">
        <v>242</v>
      </c>
      <c r="M3421" s="5" t="s">
        <v>267</v>
      </c>
      <c r="N3421" s="5" t="s">
        <v>482</v>
      </c>
      <c r="O3421" s="5" t="s">
        <v>238</v>
      </c>
      <c r="P3421" s="5" t="s">
        <v>238</v>
      </c>
      <c r="Q3421" s="5" t="s">
        <v>239</v>
      </c>
      <c r="R3421" s="5" t="s">
        <v>270</v>
      </c>
      <c r="S3421" s="5" t="s">
        <v>238</v>
      </c>
      <c r="T3421" s="5" t="s">
        <v>238</v>
      </c>
      <c r="U3421" s="5" t="s">
        <v>238</v>
      </c>
      <c r="V3421" s="5" t="s">
        <v>238</v>
      </c>
      <c r="W3421" s="6" t="s">
        <v>238</v>
      </c>
      <c r="X3421" s="6" t="s">
        <v>238</v>
      </c>
      <c r="Y3421" s="5" t="s">
        <v>238</v>
      </c>
      <c r="Z3421" s="6" t="s">
        <v>238</v>
      </c>
      <c r="AA3421" s="6" t="s">
        <v>243</v>
      </c>
      <c r="AB3421" s="5" t="s">
        <v>4938</v>
      </c>
      <c r="AC3421" s="5" t="s">
        <v>244</v>
      </c>
      <c r="AD3421" s="5" t="s">
        <v>245</v>
      </c>
      <c r="AE3421" s="5" t="s">
        <v>238</v>
      </c>
      <c r="AF3421" s="5" t="s">
        <v>238</v>
      </c>
      <c r="AG3421" s="5" t="s">
        <v>238</v>
      </c>
      <c r="AH3421" s="5" t="s">
        <v>238</v>
      </c>
      <c r="AI3421" s="5" t="s">
        <v>238</v>
      </c>
      <c r="AJ3421" s="5" t="s">
        <v>238</v>
      </c>
      <c r="AK3421" s="5" t="s">
        <v>238</v>
      </c>
      <c r="AL3421" s="5" t="s">
        <v>238</v>
      </c>
      <c r="AM3421" s="6" t="s">
        <v>238</v>
      </c>
      <c r="AN3421" s="6" t="s">
        <v>238</v>
      </c>
      <c r="AO3421" s="6" t="s">
        <v>238</v>
      </c>
      <c r="AP3421" s="6" t="s">
        <v>238</v>
      </c>
      <c r="AQ3421" s="5" t="s">
        <v>238</v>
      </c>
      <c r="AR3421" s="5" t="s">
        <v>488</v>
      </c>
      <c r="AS3421" s="5" t="s">
        <v>488</v>
      </c>
      <c r="AT3421" s="5" t="s">
        <v>246</v>
      </c>
      <c r="AU3421" s="5" t="s">
        <v>489</v>
      </c>
      <c r="AV3421" s="5" t="s">
        <v>247</v>
      </c>
      <c r="AW3421" s="5" t="s">
        <v>238</v>
      </c>
      <c r="AX3421" s="5" t="s">
        <v>249</v>
      </c>
      <c r="AY3421" s="5" t="s">
        <v>490</v>
      </c>
      <c r="BA3421" s="5" t="s">
        <v>238</v>
      </c>
      <c r="BC3421" s="5" t="s">
        <v>491</v>
      </c>
      <c r="BD3421" s="6" t="s">
        <v>492</v>
      </c>
      <c r="BE3421" s="5" t="s">
        <v>493</v>
      </c>
      <c r="BF3421" s="5" t="s">
        <v>493</v>
      </c>
      <c r="BG3421" s="5" t="s">
        <v>238</v>
      </c>
      <c r="BH3421" s="8">
        <f>1</f>
        <v>1</v>
      </c>
      <c r="BI3421" s="8">
        <f>1</f>
        <v>1</v>
      </c>
      <c r="BJ3421" s="5" t="s">
        <v>253</v>
      </c>
      <c r="BK3421" s="5" t="s">
        <v>254</v>
      </c>
      <c r="BL3421" s="5" t="s">
        <v>238</v>
      </c>
      <c r="BM3421" s="5" t="s">
        <v>238</v>
      </c>
      <c r="BN3421" s="5" t="s">
        <v>238</v>
      </c>
      <c r="BO3421" s="5" t="s">
        <v>238</v>
      </c>
      <c r="BP3421" s="5" t="s">
        <v>238</v>
      </c>
      <c r="BQ3421" s="5" t="s">
        <v>238</v>
      </c>
      <c r="BR3421" s="5" t="s">
        <v>238</v>
      </c>
      <c r="BS3421" s="5" t="s">
        <v>238</v>
      </c>
      <c r="BT3421" s="6" t="s">
        <v>238</v>
      </c>
      <c r="BU3421" s="5" t="s">
        <v>238</v>
      </c>
      <c r="BV3421" s="5" t="s">
        <v>238</v>
      </c>
      <c r="BW3421" s="5" t="s">
        <v>238</v>
      </c>
      <c r="BX3421" s="5" t="s">
        <v>254</v>
      </c>
      <c r="BY3421" s="5" t="s">
        <v>238</v>
      </c>
      <c r="BZ3421" s="5" t="s">
        <v>238</v>
      </c>
      <c r="CA3421" s="5" t="s">
        <v>238</v>
      </c>
      <c r="CB3421" s="5" t="s">
        <v>238</v>
      </c>
      <c r="CC3421" s="5" t="s">
        <v>238</v>
      </c>
      <c r="CD3421" s="5" t="s">
        <v>273</v>
      </c>
      <c r="CE3421" s="5" t="s">
        <v>256</v>
      </c>
      <c r="CF3421" s="5" t="s">
        <v>238</v>
      </c>
      <c r="CH3421" s="5" t="s">
        <v>494</v>
      </c>
      <c r="CI3421" s="6" t="s">
        <v>257</v>
      </c>
      <c r="CJ3421" s="5" t="s">
        <v>495</v>
      </c>
      <c r="CK3421" s="5" t="s">
        <v>258</v>
      </c>
      <c r="CL3421" s="5" t="s">
        <v>496</v>
      </c>
      <c r="CM3421" s="5" t="s">
        <v>238</v>
      </c>
      <c r="CN3421" s="5">
        <v>0</v>
      </c>
      <c r="CO3421" s="5" t="s">
        <v>497</v>
      </c>
      <c r="CP3421" s="5" t="s">
        <v>260</v>
      </c>
      <c r="CQ3421" s="5" t="s">
        <v>260</v>
      </c>
      <c r="CR3421" s="5" t="s">
        <v>261</v>
      </c>
      <c r="CS3421" s="5" t="s">
        <v>498</v>
      </c>
      <c r="CT3421" s="7">
        <f>1</f>
        <v>1</v>
      </c>
      <c r="CU3421" s="8">
        <f>1</f>
        <v>1</v>
      </c>
      <c r="CV3421" s="8">
        <f>0</f>
        <v>0</v>
      </c>
      <c r="CX3421" s="8">
        <f>1</f>
        <v>1</v>
      </c>
      <c r="CY3421" s="8">
        <f>1</f>
        <v>1</v>
      </c>
      <c r="CZ3421" s="8" t="s">
        <v>238</v>
      </c>
      <c r="DA3421" s="5" t="s">
        <v>238</v>
      </c>
      <c r="DB3421" s="5" t="s">
        <v>238</v>
      </c>
      <c r="DC3421" s="5" t="s">
        <v>238</v>
      </c>
      <c r="DD3421" s="5" t="s">
        <v>238</v>
      </c>
      <c r="DE3421" s="8">
        <f>0</f>
        <v>0</v>
      </c>
      <c r="DG3421" s="5" t="s">
        <v>238</v>
      </c>
      <c r="DH3421" s="5" t="s">
        <v>238</v>
      </c>
      <c r="DI3421" s="5" t="s">
        <v>238</v>
      </c>
      <c r="DJ3421" s="5" t="s">
        <v>238</v>
      </c>
      <c r="DK3421" s="5" t="s">
        <v>238</v>
      </c>
      <c r="DL3421" s="5" t="s">
        <v>238</v>
      </c>
      <c r="DM3421" s="8" t="s">
        <v>238</v>
      </c>
      <c r="DN3421" s="5" t="s">
        <v>238</v>
      </c>
      <c r="DO3421" s="5" t="s">
        <v>238</v>
      </c>
      <c r="DP3421" s="5" t="s">
        <v>490</v>
      </c>
      <c r="DQ3421" s="5" t="s">
        <v>490</v>
      </c>
      <c r="DR3421" s="5" t="s">
        <v>238</v>
      </c>
      <c r="DS3421" s="5" t="s">
        <v>238</v>
      </c>
      <c r="DT3421" s="5" t="s">
        <v>500</v>
      </c>
      <c r="DU3421" s="5" t="s">
        <v>1274</v>
      </c>
      <c r="DV3421" s="5" t="s">
        <v>238</v>
      </c>
      <c r="DW3421" s="5" t="s">
        <v>238</v>
      </c>
      <c r="DX3421" s="5" t="s">
        <v>238</v>
      </c>
      <c r="DY3421" s="5" t="s">
        <v>238</v>
      </c>
      <c r="DZ3421" s="5" t="s">
        <v>238</v>
      </c>
      <c r="EA3421" s="5" t="s">
        <v>238</v>
      </c>
      <c r="EB3421" s="5" t="s">
        <v>238</v>
      </c>
      <c r="EC3421" s="5" t="s">
        <v>238</v>
      </c>
      <c r="ED3421" s="5" t="s">
        <v>238</v>
      </c>
      <c r="EE3421" s="5" t="s">
        <v>238</v>
      </c>
      <c r="EF3421" s="5" t="s">
        <v>238</v>
      </c>
      <c r="EG3421" s="5" t="s">
        <v>238</v>
      </c>
      <c r="EH3421" s="5" t="s">
        <v>238</v>
      </c>
      <c r="EI3421" s="5" t="s">
        <v>238</v>
      </c>
      <c r="EJ3421" s="5" t="s">
        <v>238</v>
      </c>
      <c r="EK3421" s="5" t="s">
        <v>238</v>
      </c>
      <c r="EL3421" s="5" t="s">
        <v>238</v>
      </c>
      <c r="EM3421" s="5" t="s">
        <v>238</v>
      </c>
      <c r="EN3421" s="5" t="s">
        <v>238</v>
      </c>
      <c r="EO3421" s="5" t="s">
        <v>238</v>
      </c>
      <c r="EP3421" s="5" t="s">
        <v>238</v>
      </c>
      <c r="EQ3421" s="5" t="s">
        <v>238</v>
      </c>
      <c r="ER3421" s="5" t="s">
        <v>238</v>
      </c>
      <c r="ES3421" s="5" t="s">
        <v>238</v>
      </c>
      <c r="ET3421" s="5" t="s">
        <v>238</v>
      </c>
      <c r="EU3421" s="5" t="s">
        <v>238</v>
      </c>
      <c r="EV3421" s="5" t="s">
        <v>238</v>
      </c>
      <c r="EW3421" s="5" t="s">
        <v>238</v>
      </c>
      <c r="EX3421" s="5" t="s">
        <v>238</v>
      </c>
      <c r="EY3421" s="5" t="s">
        <v>238</v>
      </c>
      <c r="EZ3421" s="5" t="s">
        <v>238</v>
      </c>
      <c r="FA3421" s="5" t="s">
        <v>238</v>
      </c>
      <c r="FB3421" s="5" t="s">
        <v>238</v>
      </c>
      <c r="FC3421" s="5" t="s">
        <v>238</v>
      </c>
      <c r="FD3421" s="5" t="s">
        <v>238</v>
      </c>
      <c r="FE3421" s="5" t="s">
        <v>238</v>
      </c>
      <c r="FF3421" s="5" t="s">
        <v>238</v>
      </c>
      <c r="FG3421" s="5" t="s">
        <v>238</v>
      </c>
      <c r="FH3421" s="5" t="s">
        <v>238</v>
      </c>
      <c r="FI3421" s="5" t="s">
        <v>238</v>
      </c>
      <c r="FJ3421" s="5" t="s">
        <v>238</v>
      </c>
      <c r="FK3421" s="5" t="s">
        <v>238</v>
      </c>
      <c r="FL3421" s="5" t="s">
        <v>238</v>
      </c>
      <c r="FM3421" s="5" t="s">
        <v>238</v>
      </c>
      <c r="FN3421" s="5" t="s">
        <v>238</v>
      </c>
      <c r="FO3421" s="5" t="s">
        <v>238</v>
      </c>
      <c r="FP3421" s="5" t="s">
        <v>238</v>
      </c>
      <c r="FQ3421" s="5" t="s">
        <v>238</v>
      </c>
      <c r="FR3421" s="5" t="s">
        <v>238</v>
      </c>
      <c r="FS3421" s="5" t="s">
        <v>238</v>
      </c>
      <c r="FT3421" s="5" t="s">
        <v>238</v>
      </c>
      <c r="FU3421" s="5" t="s">
        <v>238</v>
      </c>
      <c r="FV3421" s="5" t="s">
        <v>238</v>
      </c>
      <c r="FW3421" s="5" t="s">
        <v>238</v>
      </c>
      <c r="FX3421" s="5" t="s">
        <v>238</v>
      </c>
      <c r="FY3421" s="5" t="s">
        <v>238</v>
      </c>
      <c r="FZ3421" s="5" t="s">
        <v>238</v>
      </c>
      <c r="GA3421" s="5" t="s">
        <v>238</v>
      </c>
      <c r="GB3421" s="5" t="s">
        <v>238</v>
      </c>
      <c r="GC3421" s="5" t="s">
        <v>238</v>
      </c>
      <c r="GD3421" s="5" t="s">
        <v>238</v>
      </c>
      <c r="GE3421" s="5" t="s">
        <v>238</v>
      </c>
      <c r="GF3421" s="5" t="s">
        <v>238</v>
      </c>
      <c r="GG3421" s="5" t="s">
        <v>238</v>
      </c>
      <c r="GH3421" s="5" t="s">
        <v>238</v>
      </c>
      <c r="GI3421" s="5" t="s">
        <v>238</v>
      </c>
      <c r="GJ3421" s="5" t="s">
        <v>238</v>
      </c>
      <c r="GK3421" s="5" t="s">
        <v>238</v>
      </c>
      <c r="GL3421" s="5" t="s">
        <v>238</v>
      </c>
      <c r="GM3421" s="5" t="s">
        <v>238</v>
      </c>
      <c r="GN3421" s="5" t="s">
        <v>238</v>
      </c>
      <c r="GO3421" s="5" t="s">
        <v>238</v>
      </c>
      <c r="GP3421" s="5" t="s">
        <v>238</v>
      </c>
      <c r="GQ3421" s="5" t="s">
        <v>238</v>
      </c>
      <c r="GR3421" s="5" t="s">
        <v>238</v>
      </c>
      <c r="GS3421" s="5" t="s">
        <v>238</v>
      </c>
      <c r="GT3421" s="5" t="s">
        <v>238</v>
      </c>
      <c r="GU3421" s="5" t="s">
        <v>238</v>
      </c>
      <c r="GV3421" s="5" t="s">
        <v>238</v>
      </c>
      <c r="GW3421" s="5" t="s">
        <v>238</v>
      </c>
      <c r="GX3421" s="5" t="s">
        <v>238</v>
      </c>
      <c r="GY3421" s="5" t="s">
        <v>238</v>
      </c>
      <c r="GZ3421" s="5" t="s">
        <v>238</v>
      </c>
      <c r="HA3421" s="5" t="s">
        <v>238</v>
      </c>
      <c r="HB3421" s="5" t="s">
        <v>238</v>
      </c>
      <c r="HC3421" s="5" t="s">
        <v>238</v>
      </c>
      <c r="HD3421" s="5" t="s">
        <v>238</v>
      </c>
      <c r="HE3421" s="5" t="s">
        <v>238</v>
      </c>
      <c r="HF3421" s="5" t="s">
        <v>238</v>
      </c>
      <c r="HG3421" s="5" t="s">
        <v>238</v>
      </c>
      <c r="HH3421" s="5" t="s">
        <v>238</v>
      </c>
      <c r="HI3421" s="5" t="s">
        <v>238</v>
      </c>
      <c r="HJ3421" s="5" t="s">
        <v>238</v>
      </c>
      <c r="HK3421" s="5" t="s">
        <v>238</v>
      </c>
      <c r="HL3421" s="5" t="s">
        <v>238</v>
      </c>
      <c r="HM3421" s="5" t="s">
        <v>264</v>
      </c>
      <c r="HN3421" s="5" t="s">
        <v>238</v>
      </c>
      <c r="HO3421" s="5" t="s">
        <v>238</v>
      </c>
      <c r="HP3421" s="5" t="s">
        <v>238</v>
      </c>
      <c r="HQ3421" s="5" t="s">
        <v>238</v>
      </c>
      <c r="HR3421" s="5" t="s">
        <v>238</v>
      </c>
      <c r="HS3421" s="5" t="s">
        <v>238</v>
      </c>
      <c r="HT3421" s="5" t="s">
        <v>238</v>
      </c>
      <c r="HU3421" s="5" t="s">
        <v>238</v>
      </c>
      <c r="HV3421" s="5" t="s">
        <v>238</v>
      </c>
      <c r="HW3421" s="5" t="s">
        <v>238</v>
      </c>
      <c r="HX3421" s="5" t="s">
        <v>238</v>
      </c>
      <c r="HY3421" s="5" t="s">
        <v>238</v>
      </c>
      <c r="HZ3421" s="5" t="s">
        <v>238</v>
      </c>
      <c r="IA3421" s="5" t="s">
        <v>238</v>
      </c>
      <c r="IB3421" s="5" t="s">
        <v>238</v>
      </c>
      <c r="IC3421" s="5" t="s">
        <v>238</v>
      </c>
      <c r="ID3421" s="5" t="s">
        <v>238</v>
      </c>
    </row>
    <row r="3422" spans="1:238" x14ac:dyDescent="0.4">
      <c r="A3422" s="5">
        <v>9140</v>
      </c>
      <c r="B3422" s="5">
        <v>1</v>
      </c>
      <c r="C3422" s="5">
        <v>1</v>
      </c>
      <c r="D3422" s="5" t="s">
        <v>484</v>
      </c>
      <c r="E3422" s="5" t="s">
        <v>485</v>
      </c>
      <c r="F3422" s="5" t="s">
        <v>248</v>
      </c>
      <c r="G3422" s="5" t="s">
        <v>6367</v>
      </c>
      <c r="H3422" s="6" t="s">
        <v>6367</v>
      </c>
      <c r="I3422" s="8">
        <f>1</f>
        <v>1</v>
      </c>
      <c r="J3422" s="5" t="s">
        <v>499</v>
      </c>
      <c r="K3422" s="8">
        <f>1</f>
        <v>1</v>
      </c>
      <c r="L3422" s="6" t="s">
        <v>242</v>
      </c>
      <c r="M3422" s="5" t="s">
        <v>267</v>
      </c>
      <c r="N3422" s="5" t="s">
        <v>482</v>
      </c>
      <c r="O3422" s="5" t="s">
        <v>238</v>
      </c>
      <c r="P3422" s="5" t="s">
        <v>238</v>
      </c>
      <c r="Q3422" s="5" t="s">
        <v>239</v>
      </c>
      <c r="R3422" s="5" t="s">
        <v>270</v>
      </c>
      <c r="S3422" s="5" t="s">
        <v>238</v>
      </c>
      <c r="T3422" s="5" t="s">
        <v>238</v>
      </c>
      <c r="U3422" s="5" t="s">
        <v>238</v>
      </c>
      <c r="V3422" s="5" t="s">
        <v>238</v>
      </c>
      <c r="W3422" s="6" t="s">
        <v>238</v>
      </c>
      <c r="X3422" s="6" t="s">
        <v>238</v>
      </c>
      <c r="Y3422" s="5" t="s">
        <v>238</v>
      </c>
      <c r="Z3422" s="6" t="s">
        <v>238</v>
      </c>
      <c r="AA3422" s="6" t="s">
        <v>243</v>
      </c>
      <c r="AB3422" s="5" t="s">
        <v>4446</v>
      </c>
      <c r="AC3422" s="5" t="s">
        <v>244</v>
      </c>
      <c r="AD3422" s="5" t="s">
        <v>245</v>
      </c>
      <c r="AE3422" s="5" t="s">
        <v>238</v>
      </c>
      <c r="AF3422" s="5" t="s">
        <v>238</v>
      </c>
      <c r="AG3422" s="5" t="s">
        <v>238</v>
      </c>
      <c r="AH3422" s="5" t="s">
        <v>238</v>
      </c>
      <c r="AI3422" s="5" t="s">
        <v>238</v>
      </c>
      <c r="AJ3422" s="5" t="s">
        <v>238</v>
      </c>
      <c r="AK3422" s="5" t="s">
        <v>238</v>
      </c>
      <c r="AL3422" s="5" t="s">
        <v>238</v>
      </c>
      <c r="AM3422" s="6" t="s">
        <v>238</v>
      </c>
      <c r="AN3422" s="6" t="s">
        <v>238</v>
      </c>
      <c r="AO3422" s="6" t="s">
        <v>238</v>
      </c>
      <c r="AP3422" s="6" t="s">
        <v>238</v>
      </c>
      <c r="AQ3422" s="5" t="s">
        <v>238</v>
      </c>
      <c r="AR3422" s="5" t="s">
        <v>488</v>
      </c>
      <c r="AS3422" s="5" t="s">
        <v>488</v>
      </c>
      <c r="AT3422" s="5" t="s">
        <v>246</v>
      </c>
      <c r="AU3422" s="5" t="s">
        <v>489</v>
      </c>
      <c r="AV3422" s="5" t="s">
        <v>247</v>
      </c>
      <c r="AW3422" s="5" t="s">
        <v>238</v>
      </c>
      <c r="AX3422" s="5" t="s">
        <v>249</v>
      </c>
      <c r="AY3422" s="5" t="s">
        <v>490</v>
      </c>
      <c r="BA3422" s="5" t="s">
        <v>238</v>
      </c>
      <c r="BC3422" s="5" t="s">
        <v>491</v>
      </c>
      <c r="BD3422" s="6" t="s">
        <v>492</v>
      </c>
      <c r="BE3422" s="5" t="s">
        <v>493</v>
      </c>
      <c r="BF3422" s="5" t="s">
        <v>493</v>
      </c>
      <c r="BG3422" s="5" t="s">
        <v>238</v>
      </c>
      <c r="BH3422" s="8">
        <f>1</f>
        <v>1</v>
      </c>
      <c r="BI3422" s="8">
        <f>1</f>
        <v>1</v>
      </c>
      <c r="BJ3422" s="5" t="s">
        <v>253</v>
      </c>
      <c r="BK3422" s="5" t="s">
        <v>254</v>
      </c>
      <c r="BL3422" s="5" t="s">
        <v>238</v>
      </c>
      <c r="BM3422" s="5" t="s">
        <v>238</v>
      </c>
      <c r="BN3422" s="5" t="s">
        <v>238</v>
      </c>
      <c r="BO3422" s="5" t="s">
        <v>238</v>
      </c>
      <c r="BP3422" s="5" t="s">
        <v>238</v>
      </c>
      <c r="BQ3422" s="5" t="s">
        <v>238</v>
      </c>
      <c r="BR3422" s="5" t="s">
        <v>238</v>
      </c>
      <c r="BS3422" s="5" t="s">
        <v>238</v>
      </c>
      <c r="BT3422" s="6" t="s">
        <v>238</v>
      </c>
      <c r="BU3422" s="5" t="s">
        <v>238</v>
      </c>
      <c r="BV3422" s="5" t="s">
        <v>238</v>
      </c>
      <c r="BW3422" s="5" t="s">
        <v>238</v>
      </c>
      <c r="BX3422" s="5" t="s">
        <v>254</v>
      </c>
      <c r="BY3422" s="5" t="s">
        <v>238</v>
      </c>
      <c r="BZ3422" s="5" t="s">
        <v>238</v>
      </c>
      <c r="CA3422" s="5" t="s">
        <v>238</v>
      </c>
      <c r="CB3422" s="5" t="s">
        <v>238</v>
      </c>
      <c r="CC3422" s="5" t="s">
        <v>238</v>
      </c>
      <c r="CD3422" s="5" t="s">
        <v>273</v>
      </c>
      <c r="CE3422" s="5" t="s">
        <v>256</v>
      </c>
      <c r="CF3422" s="5" t="s">
        <v>238</v>
      </c>
      <c r="CH3422" s="5" t="s">
        <v>494</v>
      </c>
      <c r="CI3422" s="6" t="s">
        <v>257</v>
      </c>
      <c r="CJ3422" s="5" t="s">
        <v>495</v>
      </c>
      <c r="CK3422" s="5" t="s">
        <v>258</v>
      </c>
      <c r="CL3422" s="5" t="s">
        <v>496</v>
      </c>
      <c r="CM3422" s="5" t="s">
        <v>238</v>
      </c>
      <c r="CN3422" s="5">
        <v>0</v>
      </c>
      <c r="CO3422" s="5" t="s">
        <v>497</v>
      </c>
      <c r="CP3422" s="5" t="s">
        <v>260</v>
      </c>
      <c r="CQ3422" s="5" t="s">
        <v>260</v>
      </c>
      <c r="CR3422" s="5" t="s">
        <v>261</v>
      </c>
      <c r="CS3422" s="5" t="s">
        <v>498</v>
      </c>
      <c r="CT3422" s="7">
        <f>1</f>
        <v>1</v>
      </c>
      <c r="CU3422" s="8">
        <f>1</f>
        <v>1</v>
      </c>
      <c r="CV3422" s="8">
        <f>0</f>
        <v>0</v>
      </c>
      <c r="CX3422" s="8">
        <f>1</f>
        <v>1</v>
      </c>
      <c r="CY3422" s="8">
        <f>1</f>
        <v>1</v>
      </c>
      <c r="CZ3422" s="8" t="s">
        <v>238</v>
      </c>
      <c r="DA3422" s="5" t="s">
        <v>238</v>
      </c>
      <c r="DB3422" s="5" t="s">
        <v>238</v>
      </c>
      <c r="DC3422" s="5" t="s">
        <v>238</v>
      </c>
      <c r="DD3422" s="5" t="s">
        <v>238</v>
      </c>
      <c r="DE3422" s="8">
        <f>0</f>
        <v>0</v>
      </c>
      <c r="DG3422" s="5" t="s">
        <v>238</v>
      </c>
      <c r="DH3422" s="5" t="s">
        <v>238</v>
      </c>
      <c r="DI3422" s="5" t="s">
        <v>238</v>
      </c>
      <c r="DJ3422" s="5" t="s">
        <v>238</v>
      </c>
      <c r="DK3422" s="5" t="s">
        <v>238</v>
      </c>
      <c r="DL3422" s="5" t="s">
        <v>238</v>
      </c>
      <c r="DM3422" s="8" t="s">
        <v>238</v>
      </c>
      <c r="DN3422" s="5" t="s">
        <v>238</v>
      </c>
      <c r="DO3422" s="5" t="s">
        <v>238</v>
      </c>
      <c r="DP3422" s="5" t="s">
        <v>490</v>
      </c>
      <c r="DQ3422" s="5" t="s">
        <v>490</v>
      </c>
      <c r="DR3422" s="5" t="s">
        <v>238</v>
      </c>
      <c r="DS3422" s="5" t="s">
        <v>238</v>
      </c>
      <c r="DT3422" s="5" t="s">
        <v>500</v>
      </c>
      <c r="DU3422" s="5" t="s">
        <v>3121</v>
      </c>
      <c r="DV3422" s="5" t="s">
        <v>238</v>
      </c>
      <c r="DW3422" s="5" t="s">
        <v>238</v>
      </c>
      <c r="DX3422" s="5" t="s">
        <v>238</v>
      </c>
      <c r="DY3422" s="5" t="s">
        <v>238</v>
      </c>
      <c r="DZ3422" s="5" t="s">
        <v>238</v>
      </c>
      <c r="EA3422" s="5" t="s">
        <v>238</v>
      </c>
      <c r="EB3422" s="5" t="s">
        <v>238</v>
      </c>
      <c r="EC3422" s="5" t="s">
        <v>238</v>
      </c>
      <c r="ED3422" s="5" t="s">
        <v>238</v>
      </c>
      <c r="EE3422" s="5" t="s">
        <v>238</v>
      </c>
      <c r="EF3422" s="5" t="s">
        <v>238</v>
      </c>
      <c r="EG3422" s="5" t="s">
        <v>238</v>
      </c>
      <c r="EH3422" s="5" t="s">
        <v>238</v>
      </c>
      <c r="EI3422" s="5" t="s">
        <v>238</v>
      </c>
      <c r="EJ3422" s="5" t="s">
        <v>238</v>
      </c>
      <c r="EK3422" s="5" t="s">
        <v>238</v>
      </c>
      <c r="EL3422" s="5" t="s">
        <v>238</v>
      </c>
      <c r="EM3422" s="5" t="s">
        <v>238</v>
      </c>
      <c r="EN3422" s="5" t="s">
        <v>238</v>
      </c>
      <c r="EO3422" s="5" t="s">
        <v>238</v>
      </c>
      <c r="EP3422" s="5" t="s">
        <v>238</v>
      </c>
      <c r="EQ3422" s="5" t="s">
        <v>238</v>
      </c>
      <c r="ER3422" s="5" t="s">
        <v>238</v>
      </c>
      <c r="ES3422" s="5" t="s">
        <v>238</v>
      </c>
      <c r="ET3422" s="5" t="s">
        <v>238</v>
      </c>
      <c r="EU3422" s="5" t="s">
        <v>238</v>
      </c>
      <c r="EV3422" s="5" t="s">
        <v>238</v>
      </c>
      <c r="EW3422" s="5" t="s">
        <v>238</v>
      </c>
      <c r="EX3422" s="5" t="s">
        <v>238</v>
      </c>
      <c r="EY3422" s="5" t="s">
        <v>238</v>
      </c>
      <c r="EZ3422" s="5" t="s">
        <v>238</v>
      </c>
      <c r="FA3422" s="5" t="s">
        <v>238</v>
      </c>
      <c r="FB3422" s="5" t="s">
        <v>238</v>
      </c>
      <c r="FC3422" s="5" t="s">
        <v>238</v>
      </c>
      <c r="FD3422" s="5" t="s">
        <v>238</v>
      </c>
      <c r="FE3422" s="5" t="s">
        <v>238</v>
      </c>
      <c r="FF3422" s="5" t="s">
        <v>238</v>
      </c>
      <c r="FG3422" s="5" t="s">
        <v>238</v>
      </c>
      <c r="FH3422" s="5" t="s">
        <v>238</v>
      </c>
      <c r="FI3422" s="5" t="s">
        <v>238</v>
      </c>
      <c r="FJ3422" s="5" t="s">
        <v>238</v>
      </c>
      <c r="FK3422" s="5" t="s">
        <v>238</v>
      </c>
      <c r="FL3422" s="5" t="s">
        <v>238</v>
      </c>
      <c r="FM3422" s="5" t="s">
        <v>238</v>
      </c>
      <c r="FN3422" s="5" t="s">
        <v>238</v>
      </c>
      <c r="FO3422" s="5" t="s">
        <v>238</v>
      </c>
      <c r="FP3422" s="5" t="s">
        <v>238</v>
      </c>
      <c r="FQ3422" s="5" t="s">
        <v>238</v>
      </c>
      <c r="FR3422" s="5" t="s">
        <v>238</v>
      </c>
      <c r="FS3422" s="5" t="s">
        <v>238</v>
      </c>
      <c r="FT3422" s="5" t="s">
        <v>238</v>
      </c>
      <c r="FU3422" s="5" t="s">
        <v>238</v>
      </c>
      <c r="FV3422" s="5" t="s">
        <v>238</v>
      </c>
      <c r="FW3422" s="5" t="s">
        <v>238</v>
      </c>
      <c r="FX3422" s="5" t="s">
        <v>238</v>
      </c>
      <c r="FY3422" s="5" t="s">
        <v>238</v>
      </c>
      <c r="FZ3422" s="5" t="s">
        <v>238</v>
      </c>
      <c r="GA3422" s="5" t="s">
        <v>238</v>
      </c>
      <c r="GB3422" s="5" t="s">
        <v>238</v>
      </c>
      <c r="GC3422" s="5" t="s">
        <v>238</v>
      </c>
      <c r="GD3422" s="5" t="s">
        <v>238</v>
      </c>
      <c r="GE3422" s="5" t="s">
        <v>238</v>
      </c>
      <c r="GF3422" s="5" t="s">
        <v>238</v>
      </c>
      <c r="GG3422" s="5" t="s">
        <v>238</v>
      </c>
      <c r="GH3422" s="5" t="s">
        <v>238</v>
      </c>
      <c r="GI3422" s="5" t="s">
        <v>238</v>
      </c>
      <c r="GJ3422" s="5" t="s">
        <v>238</v>
      </c>
      <c r="GK3422" s="5" t="s">
        <v>238</v>
      </c>
      <c r="GL3422" s="5" t="s">
        <v>238</v>
      </c>
      <c r="GM3422" s="5" t="s">
        <v>238</v>
      </c>
      <c r="GN3422" s="5" t="s">
        <v>238</v>
      </c>
      <c r="GO3422" s="5" t="s">
        <v>238</v>
      </c>
      <c r="GP3422" s="5" t="s">
        <v>238</v>
      </c>
      <c r="GQ3422" s="5" t="s">
        <v>238</v>
      </c>
      <c r="GR3422" s="5" t="s">
        <v>238</v>
      </c>
      <c r="GS3422" s="5" t="s">
        <v>238</v>
      </c>
      <c r="GT3422" s="5" t="s">
        <v>238</v>
      </c>
      <c r="GU3422" s="5" t="s">
        <v>238</v>
      </c>
      <c r="GV3422" s="5" t="s">
        <v>238</v>
      </c>
      <c r="GW3422" s="5" t="s">
        <v>238</v>
      </c>
      <c r="GX3422" s="5" t="s">
        <v>238</v>
      </c>
      <c r="GY3422" s="5" t="s">
        <v>238</v>
      </c>
      <c r="GZ3422" s="5" t="s">
        <v>238</v>
      </c>
      <c r="HA3422" s="5" t="s">
        <v>238</v>
      </c>
      <c r="HB3422" s="5" t="s">
        <v>238</v>
      </c>
      <c r="HC3422" s="5" t="s">
        <v>238</v>
      </c>
      <c r="HD3422" s="5" t="s">
        <v>238</v>
      </c>
      <c r="HE3422" s="5" t="s">
        <v>238</v>
      </c>
      <c r="HF3422" s="5" t="s">
        <v>238</v>
      </c>
      <c r="HG3422" s="5" t="s">
        <v>238</v>
      </c>
      <c r="HH3422" s="5" t="s">
        <v>238</v>
      </c>
      <c r="HI3422" s="5" t="s">
        <v>238</v>
      </c>
      <c r="HJ3422" s="5" t="s">
        <v>238</v>
      </c>
      <c r="HK3422" s="5" t="s">
        <v>238</v>
      </c>
      <c r="HL3422" s="5" t="s">
        <v>238</v>
      </c>
      <c r="HM3422" s="5" t="s">
        <v>264</v>
      </c>
      <c r="HN3422" s="5" t="s">
        <v>238</v>
      </c>
      <c r="HO3422" s="5" t="s">
        <v>238</v>
      </c>
      <c r="HP3422" s="5" t="s">
        <v>238</v>
      </c>
      <c r="HQ3422" s="5" t="s">
        <v>238</v>
      </c>
      <c r="HR3422" s="5" t="s">
        <v>238</v>
      </c>
      <c r="HS3422" s="5" t="s">
        <v>238</v>
      </c>
      <c r="HT3422" s="5" t="s">
        <v>238</v>
      </c>
      <c r="HU3422" s="5" t="s">
        <v>238</v>
      </c>
      <c r="HV3422" s="5" t="s">
        <v>238</v>
      </c>
      <c r="HW3422" s="5" t="s">
        <v>238</v>
      </c>
      <c r="HX3422" s="5" t="s">
        <v>238</v>
      </c>
      <c r="HY3422" s="5" t="s">
        <v>238</v>
      </c>
      <c r="HZ3422" s="5" t="s">
        <v>238</v>
      </c>
      <c r="IA3422" s="5" t="s">
        <v>238</v>
      </c>
      <c r="IB3422" s="5" t="s">
        <v>238</v>
      </c>
      <c r="IC3422" s="5" t="s">
        <v>238</v>
      </c>
      <c r="ID3422" s="5" t="s">
        <v>238</v>
      </c>
    </row>
    <row r="3423" spans="1:238" x14ac:dyDescent="0.4">
      <c r="A3423" s="5">
        <v>9141</v>
      </c>
      <c r="B3423" s="5">
        <v>1</v>
      </c>
      <c r="C3423" s="5">
        <v>1</v>
      </c>
      <c r="D3423" s="5" t="s">
        <v>484</v>
      </c>
      <c r="E3423" s="5" t="s">
        <v>485</v>
      </c>
      <c r="F3423" s="5" t="s">
        <v>248</v>
      </c>
      <c r="G3423" s="5" t="s">
        <v>4370</v>
      </c>
      <c r="H3423" s="6" t="s">
        <v>4372</v>
      </c>
      <c r="I3423" s="8">
        <f>1</f>
        <v>1</v>
      </c>
      <c r="J3423" s="5" t="s">
        <v>499</v>
      </c>
      <c r="K3423" s="8">
        <f>1</f>
        <v>1</v>
      </c>
      <c r="L3423" s="6" t="s">
        <v>242</v>
      </c>
      <c r="M3423" s="5" t="s">
        <v>267</v>
      </c>
      <c r="N3423" s="5" t="s">
        <v>482</v>
      </c>
      <c r="O3423" s="5" t="s">
        <v>238</v>
      </c>
      <c r="P3423" s="5" t="s">
        <v>238</v>
      </c>
      <c r="Q3423" s="5" t="s">
        <v>239</v>
      </c>
      <c r="R3423" s="5" t="s">
        <v>270</v>
      </c>
      <c r="S3423" s="5" t="s">
        <v>238</v>
      </c>
      <c r="T3423" s="5" t="s">
        <v>238</v>
      </c>
      <c r="U3423" s="5" t="s">
        <v>238</v>
      </c>
      <c r="V3423" s="5" t="s">
        <v>238</v>
      </c>
      <c r="W3423" s="6" t="s">
        <v>238</v>
      </c>
      <c r="X3423" s="6" t="s">
        <v>238</v>
      </c>
      <c r="Y3423" s="5" t="s">
        <v>238</v>
      </c>
      <c r="Z3423" s="6" t="s">
        <v>238</v>
      </c>
      <c r="AA3423" s="6" t="s">
        <v>243</v>
      </c>
      <c r="AB3423" s="5" t="s">
        <v>4371</v>
      </c>
      <c r="AC3423" s="5" t="s">
        <v>244</v>
      </c>
      <c r="AD3423" s="5" t="s">
        <v>245</v>
      </c>
      <c r="AE3423" s="5" t="s">
        <v>238</v>
      </c>
      <c r="AF3423" s="5" t="s">
        <v>238</v>
      </c>
      <c r="AG3423" s="5" t="s">
        <v>238</v>
      </c>
      <c r="AH3423" s="5" t="s">
        <v>238</v>
      </c>
      <c r="AI3423" s="5" t="s">
        <v>238</v>
      </c>
      <c r="AJ3423" s="5" t="s">
        <v>238</v>
      </c>
      <c r="AK3423" s="5" t="s">
        <v>238</v>
      </c>
      <c r="AL3423" s="5" t="s">
        <v>238</v>
      </c>
      <c r="AM3423" s="6" t="s">
        <v>238</v>
      </c>
      <c r="AN3423" s="6" t="s">
        <v>238</v>
      </c>
      <c r="AO3423" s="6" t="s">
        <v>238</v>
      </c>
      <c r="AP3423" s="6" t="s">
        <v>238</v>
      </c>
      <c r="AQ3423" s="5" t="s">
        <v>238</v>
      </c>
      <c r="AR3423" s="5" t="s">
        <v>488</v>
      </c>
      <c r="AS3423" s="5" t="s">
        <v>488</v>
      </c>
      <c r="AT3423" s="5" t="s">
        <v>246</v>
      </c>
      <c r="AU3423" s="5" t="s">
        <v>489</v>
      </c>
      <c r="AV3423" s="5" t="s">
        <v>247</v>
      </c>
      <c r="AW3423" s="5" t="s">
        <v>238</v>
      </c>
      <c r="AX3423" s="5" t="s">
        <v>249</v>
      </c>
      <c r="AY3423" s="5" t="s">
        <v>490</v>
      </c>
      <c r="BA3423" s="5" t="s">
        <v>238</v>
      </c>
      <c r="BC3423" s="5" t="s">
        <v>491</v>
      </c>
      <c r="BD3423" s="6" t="s">
        <v>492</v>
      </c>
      <c r="BE3423" s="5" t="s">
        <v>493</v>
      </c>
      <c r="BF3423" s="5" t="s">
        <v>493</v>
      </c>
      <c r="BG3423" s="5" t="s">
        <v>238</v>
      </c>
      <c r="BH3423" s="8">
        <f>1</f>
        <v>1</v>
      </c>
      <c r="BI3423" s="8">
        <f>1</f>
        <v>1</v>
      </c>
      <c r="BJ3423" s="5" t="s">
        <v>253</v>
      </c>
      <c r="BK3423" s="5" t="s">
        <v>254</v>
      </c>
      <c r="BL3423" s="5" t="s">
        <v>238</v>
      </c>
      <c r="BM3423" s="5" t="s">
        <v>238</v>
      </c>
      <c r="BN3423" s="5" t="s">
        <v>238</v>
      </c>
      <c r="BO3423" s="5" t="s">
        <v>238</v>
      </c>
      <c r="BP3423" s="5" t="s">
        <v>238</v>
      </c>
      <c r="BQ3423" s="5" t="s">
        <v>238</v>
      </c>
      <c r="BR3423" s="5" t="s">
        <v>238</v>
      </c>
      <c r="BS3423" s="5" t="s">
        <v>238</v>
      </c>
      <c r="BT3423" s="6" t="s">
        <v>238</v>
      </c>
      <c r="BU3423" s="5" t="s">
        <v>238</v>
      </c>
      <c r="BV3423" s="5" t="s">
        <v>238</v>
      </c>
      <c r="BW3423" s="5" t="s">
        <v>238</v>
      </c>
      <c r="BX3423" s="5" t="s">
        <v>254</v>
      </c>
      <c r="BY3423" s="5" t="s">
        <v>238</v>
      </c>
      <c r="BZ3423" s="5" t="s">
        <v>238</v>
      </c>
      <c r="CA3423" s="5" t="s">
        <v>238</v>
      </c>
      <c r="CB3423" s="5" t="s">
        <v>238</v>
      </c>
      <c r="CC3423" s="5" t="s">
        <v>238</v>
      </c>
      <c r="CD3423" s="5" t="s">
        <v>273</v>
      </c>
      <c r="CE3423" s="5" t="s">
        <v>256</v>
      </c>
      <c r="CF3423" s="5" t="s">
        <v>238</v>
      </c>
      <c r="CH3423" s="5" t="s">
        <v>494</v>
      </c>
      <c r="CI3423" s="6" t="s">
        <v>257</v>
      </c>
      <c r="CJ3423" s="5" t="s">
        <v>495</v>
      </c>
      <c r="CK3423" s="5" t="s">
        <v>258</v>
      </c>
      <c r="CL3423" s="5" t="s">
        <v>496</v>
      </c>
      <c r="CM3423" s="5" t="s">
        <v>238</v>
      </c>
      <c r="CN3423" s="5">
        <v>0</v>
      </c>
      <c r="CO3423" s="5" t="s">
        <v>497</v>
      </c>
      <c r="CP3423" s="5" t="s">
        <v>260</v>
      </c>
      <c r="CQ3423" s="5" t="s">
        <v>260</v>
      </c>
      <c r="CR3423" s="5" t="s">
        <v>261</v>
      </c>
      <c r="CS3423" s="5" t="s">
        <v>498</v>
      </c>
      <c r="CT3423" s="7">
        <f>1</f>
        <v>1</v>
      </c>
      <c r="CU3423" s="8">
        <f>1</f>
        <v>1</v>
      </c>
      <c r="CV3423" s="8">
        <f>0</f>
        <v>0</v>
      </c>
      <c r="CX3423" s="8">
        <f>1</f>
        <v>1</v>
      </c>
      <c r="CY3423" s="8">
        <f>1</f>
        <v>1</v>
      </c>
      <c r="CZ3423" s="8" t="s">
        <v>238</v>
      </c>
      <c r="DA3423" s="5" t="s">
        <v>238</v>
      </c>
      <c r="DB3423" s="5" t="s">
        <v>238</v>
      </c>
      <c r="DC3423" s="5" t="s">
        <v>238</v>
      </c>
      <c r="DD3423" s="5" t="s">
        <v>238</v>
      </c>
      <c r="DE3423" s="8">
        <f>0</f>
        <v>0</v>
      </c>
      <c r="DG3423" s="5" t="s">
        <v>238</v>
      </c>
      <c r="DH3423" s="5" t="s">
        <v>238</v>
      </c>
      <c r="DI3423" s="5" t="s">
        <v>238</v>
      </c>
      <c r="DJ3423" s="5" t="s">
        <v>238</v>
      </c>
      <c r="DK3423" s="5" t="s">
        <v>238</v>
      </c>
      <c r="DL3423" s="5" t="s">
        <v>238</v>
      </c>
      <c r="DM3423" s="8" t="s">
        <v>238</v>
      </c>
      <c r="DN3423" s="5" t="s">
        <v>238</v>
      </c>
      <c r="DO3423" s="5" t="s">
        <v>238</v>
      </c>
      <c r="DP3423" s="5" t="s">
        <v>490</v>
      </c>
      <c r="DQ3423" s="5" t="s">
        <v>490</v>
      </c>
      <c r="DR3423" s="5" t="s">
        <v>238</v>
      </c>
      <c r="DS3423" s="5" t="s">
        <v>238</v>
      </c>
      <c r="DT3423" s="5" t="s">
        <v>500</v>
      </c>
      <c r="DU3423" s="5" t="s">
        <v>1258</v>
      </c>
      <c r="DV3423" s="5" t="s">
        <v>238</v>
      </c>
      <c r="DW3423" s="5" t="s">
        <v>238</v>
      </c>
      <c r="DX3423" s="5" t="s">
        <v>238</v>
      </c>
      <c r="DY3423" s="5" t="s">
        <v>238</v>
      </c>
      <c r="DZ3423" s="5" t="s">
        <v>238</v>
      </c>
      <c r="EA3423" s="5" t="s">
        <v>238</v>
      </c>
      <c r="EB3423" s="5" t="s">
        <v>238</v>
      </c>
      <c r="EC3423" s="5" t="s">
        <v>238</v>
      </c>
      <c r="ED3423" s="5" t="s">
        <v>238</v>
      </c>
      <c r="EE3423" s="5" t="s">
        <v>238</v>
      </c>
      <c r="EF3423" s="5" t="s">
        <v>238</v>
      </c>
      <c r="EG3423" s="5" t="s">
        <v>238</v>
      </c>
      <c r="EH3423" s="5" t="s">
        <v>238</v>
      </c>
      <c r="EI3423" s="5" t="s">
        <v>238</v>
      </c>
      <c r="EJ3423" s="5" t="s">
        <v>238</v>
      </c>
      <c r="EK3423" s="5" t="s">
        <v>238</v>
      </c>
      <c r="EL3423" s="5" t="s">
        <v>238</v>
      </c>
      <c r="EM3423" s="5" t="s">
        <v>238</v>
      </c>
      <c r="EN3423" s="5" t="s">
        <v>238</v>
      </c>
      <c r="EO3423" s="5" t="s">
        <v>238</v>
      </c>
      <c r="EP3423" s="5" t="s">
        <v>238</v>
      </c>
      <c r="EQ3423" s="5" t="s">
        <v>238</v>
      </c>
      <c r="ER3423" s="5" t="s">
        <v>238</v>
      </c>
      <c r="ES3423" s="5" t="s">
        <v>238</v>
      </c>
      <c r="ET3423" s="5" t="s">
        <v>238</v>
      </c>
      <c r="EU3423" s="5" t="s">
        <v>238</v>
      </c>
      <c r="EV3423" s="5" t="s">
        <v>238</v>
      </c>
      <c r="EW3423" s="5" t="s">
        <v>238</v>
      </c>
      <c r="EX3423" s="5" t="s">
        <v>238</v>
      </c>
      <c r="EY3423" s="5" t="s">
        <v>238</v>
      </c>
      <c r="EZ3423" s="5" t="s">
        <v>238</v>
      </c>
      <c r="FA3423" s="5" t="s">
        <v>238</v>
      </c>
      <c r="FB3423" s="5" t="s">
        <v>238</v>
      </c>
      <c r="FC3423" s="5" t="s">
        <v>238</v>
      </c>
      <c r="FD3423" s="5" t="s">
        <v>238</v>
      </c>
      <c r="FE3423" s="5" t="s">
        <v>238</v>
      </c>
      <c r="FF3423" s="5" t="s">
        <v>238</v>
      </c>
      <c r="FG3423" s="5" t="s">
        <v>238</v>
      </c>
      <c r="FH3423" s="5" t="s">
        <v>238</v>
      </c>
      <c r="FI3423" s="5" t="s">
        <v>238</v>
      </c>
      <c r="FJ3423" s="5" t="s">
        <v>238</v>
      </c>
      <c r="FK3423" s="5" t="s">
        <v>238</v>
      </c>
      <c r="FL3423" s="5" t="s">
        <v>238</v>
      </c>
      <c r="FM3423" s="5" t="s">
        <v>238</v>
      </c>
      <c r="FN3423" s="5" t="s">
        <v>238</v>
      </c>
      <c r="FO3423" s="5" t="s">
        <v>238</v>
      </c>
      <c r="FP3423" s="5" t="s">
        <v>238</v>
      </c>
      <c r="FQ3423" s="5" t="s">
        <v>238</v>
      </c>
      <c r="FR3423" s="5" t="s">
        <v>238</v>
      </c>
      <c r="FS3423" s="5" t="s">
        <v>238</v>
      </c>
      <c r="FT3423" s="5" t="s">
        <v>238</v>
      </c>
      <c r="FU3423" s="5" t="s">
        <v>238</v>
      </c>
      <c r="FV3423" s="5" t="s">
        <v>238</v>
      </c>
      <c r="FW3423" s="5" t="s">
        <v>238</v>
      </c>
      <c r="FX3423" s="5" t="s">
        <v>238</v>
      </c>
      <c r="FY3423" s="5" t="s">
        <v>238</v>
      </c>
      <c r="FZ3423" s="5" t="s">
        <v>238</v>
      </c>
      <c r="GA3423" s="5" t="s">
        <v>238</v>
      </c>
      <c r="GB3423" s="5" t="s">
        <v>238</v>
      </c>
      <c r="GC3423" s="5" t="s">
        <v>238</v>
      </c>
      <c r="GD3423" s="5" t="s">
        <v>238</v>
      </c>
      <c r="GE3423" s="5" t="s">
        <v>238</v>
      </c>
      <c r="GF3423" s="5" t="s">
        <v>238</v>
      </c>
      <c r="GG3423" s="5" t="s">
        <v>238</v>
      </c>
      <c r="GH3423" s="5" t="s">
        <v>238</v>
      </c>
      <c r="GI3423" s="5" t="s">
        <v>238</v>
      </c>
      <c r="GJ3423" s="5" t="s">
        <v>238</v>
      </c>
      <c r="GK3423" s="5" t="s">
        <v>238</v>
      </c>
      <c r="GL3423" s="5" t="s">
        <v>238</v>
      </c>
      <c r="GM3423" s="5" t="s">
        <v>238</v>
      </c>
      <c r="GN3423" s="5" t="s">
        <v>238</v>
      </c>
      <c r="GO3423" s="5" t="s">
        <v>238</v>
      </c>
      <c r="GP3423" s="5" t="s">
        <v>238</v>
      </c>
      <c r="GQ3423" s="5" t="s">
        <v>238</v>
      </c>
      <c r="GR3423" s="5" t="s">
        <v>238</v>
      </c>
      <c r="GS3423" s="5" t="s">
        <v>238</v>
      </c>
      <c r="GT3423" s="5" t="s">
        <v>238</v>
      </c>
      <c r="GU3423" s="5" t="s">
        <v>238</v>
      </c>
      <c r="GV3423" s="5" t="s">
        <v>238</v>
      </c>
      <c r="GW3423" s="5" t="s">
        <v>238</v>
      </c>
      <c r="GX3423" s="5" t="s">
        <v>238</v>
      </c>
      <c r="GY3423" s="5" t="s">
        <v>238</v>
      </c>
      <c r="GZ3423" s="5" t="s">
        <v>238</v>
      </c>
      <c r="HA3423" s="5" t="s">
        <v>238</v>
      </c>
      <c r="HB3423" s="5" t="s">
        <v>238</v>
      </c>
      <c r="HC3423" s="5" t="s">
        <v>238</v>
      </c>
      <c r="HD3423" s="5" t="s">
        <v>238</v>
      </c>
      <c r="HE3423" s="5" t="s">
        <v>238</v>
      </c>
      <c r="HF3423" s="5" t="s">
        <v>238</v>
      </c>
      <c r="HG3423" s="5" t="s">
        <v>238</v>
      </c>
      <c r="HH3423" s="5" t="s">
        <v>238</v>
      </c>
      <c r="HI3423" s="5" t="s">
        <v>238</v>
      </c>
      <c r="HJ3423" s="5" t="s">
        <v>238</v>
      </c>
      <c r="HK3423" s="5" t="s">
        <v>238</v>
      </c>
      <c r="HL3423" s="5" t="s">
        <v>238</v>
      </c>
      <c r="HM3423" s="5" t="s">
        <v>264</v>
      </c>
      <c r="HN3423" s="5" t="s">
        <v>238</v>
      </c>
      <c r="HO3423" s="5" t="s">
        <v>238</v>
      </c>
      <c r="HP3423" s="5" t="s">
        <v>238</v>
      </c>
      <c r="HQ3423" s="5" t="s">
        <v>238</v>
      </c>
      <c r="HR3423" s="5" t="s">
        <v>238</v>
      </c>
      <c r="HS3423" s="5" t="s">
        <v>238</v>
      </c>
      <c r="HT3423" s="5" t="s">
        <v>238</v>
      </c>
      <c r="HU3423" s="5" t="s">
        <v>238</v>
      </c>
      <c r="HV3423" s="5" t="s">
        <v>238</v>
      </c>
      <c r="HW3423" s="5" t="s">
        <v>238</v>
      </c>
      <c r="HX3423" s="5" t="s">
        <v>238</v>
      </c>
      <c r="HY3423" s="5" t="s">
        <v>238</v>
      </c>
      <c r="HZ3423" s="5" t="s">
        <v>238</v>
      </c>
      <c r="IA3423" s="5" t="s">
        <v>238</v>
      </c>
      <c r="IB3423" s="5" t="s">
        <v>238</v>
      </c>
      <c r="IC3423" s="5" t="s">
        <v>238</v>
      </c>
      <c r="ID3423" s="5" t="s">
        <v>238</v>
      </c>
    </row>
    <row r="3424" spans="1:238" x14ac:dyDescent="0.4">
      <c r="A3424" s="5">
        <v>9142</v>
      </c>
      <c r="B3424" s="5">
        <v>1</v>
      </c>
      <c r="C3424" s="5">
        <v>1</v>
      </c>
      <c r="D3424" s="5" t="s">
        <v>484</v>
      </c>
      <c r="E3424" s="5" t="s">
        <v>485</v>
      </c>
      <c r="F3424" s="5" t="s">
        <v>248</v>
      </c>
      <c r="G3424" s="5" t="s">
        <v>4470</v>
      </c>
      <c r="H3424" s="6" t="s">
        <v>4472</v>
      </c>
      <c r="I3424" s="8">
        <f>1</f>
        <v>1</v>
      </c>
      <c r="J3424" s="5" t="s">
        <v>499</v>
      </c>
      <c r="K3424" s="8">
        <f>1</f>
        <v>1</v>
      </c>
      <c r="L3424" s="6" t="s">
        <v>242</v>
      </c>
      <c r="M3424" s="5" t="s">
        <v>267</v>
      </c>
      <c r="N3424" s="5" t="s">
        <v>482</v>
      </c>
      <c r="O3424" s="5" t="s">
        <v>238</v>
      </c>
      <c r="P3424" s="5" t="s">
        <v>238</v>
      </c>
      <c r="Q3424" s="5" t="s">
        <v>239</v>
      </c>
      <c r="R3424" s="5" t="s">
        <v>270</v>
      </c>
      <c r="S3424" s="5" t="s">
        <v>238</v>
      </c>
      <c r="T3424" s="5" t="s">
        <v>238</v>
      </c>
      <c r="U3424" s="5" t="s">
        <v>238</v>
      </c>
      <c r="V3424" s="5" t="s">
        <v>238</v>
      </c>
      <c r="W3424" s="6" t="s">
        <v>238</v>
      </c>
      <c r="X3424" s="6" t="s">
        <v>238</v>
      </c>
      <c r="Y3424" s="5" t="s">
        <v>238</v>
      </c>
      <c r="Z3424" s="6" t="s">
        <v>238</v>
      </c>
      <c r="AA3424" s="6" t="s">
        <v>243</v>
      </c>
      <c r="AB3424" s="5" t="s">
        <v>4471</v>
      </c>
      <c r="AC3424" s="5" t="s">
        <v>244</v>
      </c>
      <c r="AD3424" s="5" t="s">
        <v>245</v>
      </c>
      <c r="AE3424" s="5" t="s">
        <v>238</v>
      </c>
      <c r="AF3424" s="5" t="s">
        <v>238</v>
      </c>
      <c r="AG3424" s="5" t="s">
        <v>238</v>
      </c>
      <c r="AH3424" s="5" t="s">
        <v>238</v>
      </c>
      <c r="AI3424" s="5" t="s">
        <v>238</v>
      </c>
      <c r="AJ3424" s="5" t="s">
        <v>238</v>
      </c>
      <c r="AK3424" s="5" t="s">
        <v>238</v>
      </c>
      <c r="AL3424" s="5" t="s">
        <v>238</v>
      </c>
      <c r="AM3424" s="6" t="s">
        <v>238</v>
      </c>
      <c r="AN3424" s="6" t="s">
        <v>238</v>
      </c>
      <c r="AO3424" s="6" t="s">
        <v>238</v>
      </c>
      <c r="AP3424" s="6" t="s">
        <v>238</v>
      </c>
      <c r="AQ3424" s="5" t="s">
        <v>238</v>
      </c>
      <c r="AR3424" s="5" t="s">
        <v>488</v>
      </c>
      <c r="AS3424" s="5" t="s">
        <v>488</v>
      </c>
      <c r="AT3424" s="5" t="s">
        <v>246</v>
      </c>
      <c r="AU3424" s="5" t="s">
        <v>489</v>
      </c>
      <c r="AV3424" s="5" t="s">
        <v>247</v>
      </c>
      <c r="AW3424" s="5" t="s">
        <v>238</v>
      </c>
      <c r="AX3424" s="5" t="s">
        <v>249</v>
      </c>
      <c r="AY3424" s="5" t="s">
        <v>490</v>
      </c>
      <c r="BA3424" s="5" t="s">
        <v>238</v>
      </c>
      <c r="BC3424" s="5" t="s">
        <v>491</v>
      </c>
      <c r="BD3424" s="6" t="s">
        <v>492</v>
      </c>
      <c r="BE3424" s="5" t="s">
        <v>493</v>
      </c>
      <c r="BF3424" s="5" t="s">
        <v>493</v>
      </c>
      <c r="BG3424" s="5" t="s">
        <v>238</v>
      </c>
      <c r="BH3424" s="8">
        <f>1</f>
        <v>1</v>
      </c>
      <c r="BI3424" s="8">
        <f>1</f>
        <v>1</v>
      </c>
      <c r="BJ3424" s="5" t="s">
        <v>253</v>
      </c>
      <c r="BK3424" s="5" t="s">
        <v>254</v>
      </c>
      <c r="BL3424" s="5" t="s">
        <v>238</v>
      </c>
      <c r="BM3424" s="5" t="s">
        <v>238</v>
      </c>
      <c r="BN3424" s="5" t="s">
        <v>238</v>
      </c>
      <c r="BO3424" s="5" t="s">
        <v>238</v>
      </c>
      <c r="BP3424" s="5" t="s">
        <v>238</v>
      </c>
      <c r="BQ3424" s="5" t="s">
        <v>238</v>
      </c>
      <c r="BR3424" s="5" t="s">
        <v>238</v>
      </c>
      <c r="BS3424" s="5" t="s">
        <v>238</v>
      </c>
      <c r="BT3424" s="6" t="s">
        <v>238</v>
      </c>
      <c r="BU3424" s="5" t="s">
        <v>238</v>
      </c>
      <c r="BV3424" s="5" t="s">
        <v>238</v>
      </c>
      <c r="BW3424" s="5" t="s">
        <v>238</v>
      </c>
      <c r="BX3424" s="5" t="s">
        <v>254</v>
      </c>
      <c r="BY3424" s="5" t="s">
        <v>238</v>
      </c>
      <c r="BZ3424" s="5" t="s">
        <v>238</v>
      </c>
      <c r="CA3424" s="5" t="s">
        <v>238</v>
      </c>
      <c r="CB3424" s="5" t="s">
        <v>238</v>
      </c>
      <c r="CC3424" s="5" t="s">
        <v>238</v>
      </c>
      <c r="CD3424" s="5" t="s">
        <v>273</v>
      </c>
      <c r="CE3424" s="5" t="s">
        <v>256</v>
      </c>
      <c r="CF3424" s="5" t="s">
        <v>238</v>
      </c>
      <c r="CH3424" s="5" t="s">
        <v>494</v>
      </c>
      <c r="CI3424" s="6" t="s">
        <v>257</v>
      </c>
      <c r="CJ3424" s="5" t="s">
        <v>495</v>
      </c>
      <c r="CK3424" s="5" t="s">
        <v>258</v>
      </c>
      <c r="CL3424" s="5" t="s">
        <v>496</v>
      </c>
      <c r="CM3424" s="5" t="s">
        <v>238</v>
      </c>
      <c r="CN3424" s="5">
        <v>0</v>
      </c>
      <c r="CO3424" s="5" t="s">
        <v>497</v>
      </c>
      <c r="CP3424" s="5" t="s">
        <v>260</v>
      </c>
      <c r="CQ3424" s="5" t="s">
        <v>260</v>
      </c>
      <c r="CR3424" s="5" t="s">
        <v>261</v>
      </c>
      <c r="CS3424" s="5" t="s">
        <v>498</v>
      </c>
      <c r="CT3424" s="7">
        <f>1</f>
        <v>1</v>
      </c>
      <c r="CU3424" s="8">
        <f>1</f>
        <v>1</v>
      </c>
      <c r="CV3424" s="8">
        <f>0</f>
        <v>0</v>
      </c>
      <c r="CX3424" s="8">
        <f>1</f>
        <v>1</v>
      </c>
      <c r="CY3424" s="8">
        <f>1</f>
        <v>1</v>
      </c>
      <c r="CZ3424" s="8" t="s">
        <v>238</v>
      </c>
      <c r="DA3424" s="5" t="s">
        <v>238</v>
      </c>
      <c r="DB3424" s="5" t="s">
        <v>238</v>
      </c>
      <c r="DC3424" s="5" t="s">
        <v>238</v>
      </c>
      <c r="DD3424" s="5" t="s">
        <v>238</v>
      </c>
      <c r="DE3424" s="8">
        <f>0</f>
        <v>0</v>
      </c>
      <c r="DG3424" s="5" t="s">
        <v>238</v>
      </c>
      <c r="DH3424" s="5" t="s">
        <v>238</v>
      </c>
      <c r="DI3424" s="5" t="s">
        <v>238</v>
      </c>
      <c r="DJ3424" s="5" t="s">
        <v>238</v>
      </c>
      <c r="DK3424" s="5" t="s">
        <v>238</v>
      </c>
      <c r="DL3424" s="5" t="s">
        <v>238</v>
      </c>
      <c r="DM3424" s="8" t="s">
        <v>238</v>
      </c>
      <c r="DN3424" s="5" t="s">
        <v>238</v>
      </c>
      <c r="DO3424" s="5" t="s">
        <v>238</v>
      </c>
      <c r="DP3424" s="5" t="s">
        <v>490</v>
      </c>
      <c r="DQ3424" s="5" t="s">
        <v>490</v>
      </c>
      <c r="DR3424" s="5" t="s">
        <v>238</v>
      </c>
      <c r="DS3424" s="5" t="s">
        <v>238</v>
      </c>
      <c r="DT3424" s="5" t="s">
        <v>500</v>
      </c>
      <c r="DU3424" s="5" t="s">
        <v>1241</v>
      </c>
      <c r="DV3424" s="5" t="s">
        <v>238</v>
      </c>
      <c r="DW3424" s="5" t="s">
        <v>238</v>
      </c>
      <c r="DX3424" s="5" t="s">
        <v>238</v>
      </c>
      <c r="DY3424" s="5" t="s">
        <v>238</v>
      </c>
      <c r="DZ3424" s="5" t="s">
        <v>238</v>
      </c>
      <c r="EA3424" s="5" t="s">
        <v>238</v>
      </c>
      <c r="EB3424" s="5" t="s">
        <v>238</v>
      </c>
      <c r="EC3424" s="5" t="s">
        <v>238</v>
      </c>
      <c r="ED3424" s="5" t="s">
        <v>238</v>
      </c>
      <c r="EE3424" s="5" t="s">
        <v>238</v>
      </c>
      <c r="EF3424" s="5" t="s">
        <v>238</v>
      </c>
      <c r="EG3424" s="5" t="s">
        <v>238</v>
      </c>
      <c r="EH3424" s="5" t="s">
        <v>238</v>
      </c>
      <c r="EI3424" s="5" t="s">
        <v>238</v>
      </c>
      <c r="EJ3424" s="5" t="s">
        <v>238</v>
      </c>
      <c r="EK3424" s="5" t="s">
        <v>238</v>
      </c>
      <c r="EL3424" s="5" t="s">
        <v>238</v>
      </c>
      <c r="EM3424" s="5" t="s">
        <v>238</v>
      </c>
      <c r="EN3424" s="5" t="s">
        <v>238</v>
      </c>
      <c r="EO3424" s="5" t="s">
        <v>238</v>
      </c>
      <c r="EP3424" s="5" t="s">
        <v>238</v>
      </c>
      <c r="EQ3424" s="5" t="s">
        <v>238</v>
      </c>
      <c r="ER3424" s="5" t="s">
        <v>238</v>
      </c>
      <c r="ES3424" s="5" t="s">
        <v>238</v>
      </c>
      <c r="ET3424" s="5" t="s">
        <v>238</v>
      </c>
      <c r="EU3424" s="5" t="s">
        <v>238</v>
      </c>
      <c r="EV3424" s="5" t="s">
        <v>238</v>
      </c>
      <c r="EW3424" s="5" t="s">
        <v>238</v>
      </c>
      <c r="EX3424" s="5" t="s">
        <v>238</v>
      </c>
      <c r="EY3424" s="5" t="s">
        <v>238</v>
      </c>
      <c r="EZ3424" s="5" t="s">
        <v>238</v>
      </c>
      <c r="FA3424" s="5" t="s">
        <v>238</v>
      </c>
      <c r="FB3424" s="5" t="s">
        <v>238</v>
      </c>
      <c r="FC3424" s="5" t="s">
        <v>238</v>
      </c>
      <c r="FD3424" s="5" t="s">
        <v>238</v>
      </c>
      <c r="FE3424" s="5" t="s">
        <v>238</v>
      </c>
      <c r="FF3424" s="5" t="s">
        <v>238</v>
      </c>
      <c r="FG3424" s="5" t="s">
        <v>238</v>
      </c>
      <c r="FH3424" s="5" t="s">
        <v>238</v>
      </c>
      <c r="FI3424" s="5" t="s">
        <v>238</v>
      </c>
      <c r="FJ3424" s="5" t="s">
        <v>238</v>
      </c>
      <c r="FK3424" s="5" t="s">
        <v>238</v>
      </c>
      <c r="FL3424" s="5" t="s">
        <v>238</v>
      </c>
      <c r="FM3424" s="5" t="s">
        <v>238</v>
      </c>
      <c r="FN3424" s="5" t="s">
        <v>238</v>
      </c>
      <c r="FO3424" s="5" t="s">
        <v>238</v>
      </c>
      <c r="FP3424" s="5" t="s">
        <v>238</v>
      </c>
      <c r="FQ3424" s="5" t="s">
        <v>238</v>
      </c>
      <c r="FR3424" s="5" t="s">
        <v>238</v>
      </c>
      <c r="FS3424" s="5" t="s">
        <v>238</v>
      </c>
      <c r="FT3424" s="5" t="s">
        <v>238</v>
      </c>
      <c r="FU3424" s="5" t="s">
        <v>238</v>
      </c>
      <c r="FV3424" s="5" t="s">
        <v>238</v>
      </c>
      <c r="FW3424" s="5" t="s">
        <v>238</v>
      </c>
      <c r="FX3424" s="5" t="s">
        <v>238</v>
      </c>
      <c r="FY3424" s="5" t="s">
        <v>238</v>
      </c>
      <c r="FZ3424" s="5" t="s">
        <v>238</v>
      </c>
      <c r="GA3424" s="5" t="s">
        <v>238</v>
      </c>
      <c r="GB3424" s="5" t="s">
        <v>238</v>
      </c>
      <c r="GC3424" s="5" t="s">
        <v>238</v>
      </c>
      <c r="GD3424" s="5" t="s">
        <v>238</v>
      </c>
      <c r="GE3424" s="5" t="s">
        <v>238</v>
      </c>
      <c r="GF3424" s="5" t="s">
        <v>238</v>
      </c>
      <c r="GG3424" s="5" t="s">
        <v>238</v>
      </c>
      <c r="GH3424" s="5" t="s">
        <v>238</v>
      </c>
      <c r="GI3424" s="5" t="s">
        <v>238</v>
      </c>
      <c r="GJ3424" s="5" t="s">
        <v>238</v>
      </c>
      <c r="GK3424" s="5" t="s">
        <v>238</v>
      </c>
      <c r="GL3424" s="5" t="s">
        <v>238</v>
      </c>
      <c r="GM3424" s="5" t="s">
        <v>238</v>
      </c>
      <c r="GN3424" s="5" t="s">
        <v>238</v>
      </c>
      <c r="GO3424" s="5" t="s">
        <v>238</v>
      </c>
      <c r="GP3424" s="5" t="s">
        <v>238</v>
      </c>
      <c r="GQ3424" s="5" t="s">
        <v>238</v>
      </c>
      <c r="GR3424" s="5" t="s">
        <v>238</v>
      </c>
      <c r="GS3424" s="5" t="s">
        <v>238</v>
      </c>
      <c r="GT3424" s="5" t="s">
        <v>238</v>
      </c>
      <c r="GU3424" s="5" t="s">
        <v>238</v>
      </c>
      <c r="GV3424" s="5" t="s">
        <v>238</v>
      </c>
      <c r="GW3424" s="5" t="s">
        <v>238</v>
      </c>
      <c r="GX3424" s="5" t="s">
        <v>238</v>
      </c>
      <c r="GY3424" s="5" t="s">
        <v>238</v>
      </c>
      <c r="GZ3424" s="5" t="s">
        <v>238</v>
      </c>
      <c r="HA3424" s="5" t="s">
        <v>238</v>
      </c>
      <c r="HB3424" s="5" t="s">
        <v>238</v>
      </c>
      <c r="HC3424" s="5" t="s">
        <v>238</v>
      </c>
      <c r="HD3424" s="5" t="s">
        <v>238</v>
      </c>
      <c r="HE3424" s="5" t="s">
        <v>238</v>
      </c>
      <c r="HF3424" s="5" t="s">
        <v>238</v>
      </c>
      <c r="HG3424" s="5" t="s">
        <v>238</v>
      </c>
      <c r="HH3424" s="5" t="s">
        <v>238</v>
      </c>
      <c r="HI3424" s="5" t="s">
        <v>238</v>
      </c>
      <c r="HJ3424" s="5" t="s">
        <v>238</v>
      </c>
      <c r="HK3424" s="5" t="s">
        <v>238</v>
      </c>
      <c r="HL3424" s="5" t="s">
        <v>238</v>
      </c>
      <c r="HM3424" s="5" t="s">
        <v>264</v>
      </c>
      <c r="HN3424" s="5" t="s">
        <v>238</v>
      </c>
      <c r="HO3424" s="5" t="s">
        <v>238</v>
      </c>
      <c r="HP3424" s="5" t="s">
        <v>238</v>
      </c>
      <c r="HQ3424" s="5" t="s">
        <v>238</v>
      </c>
      <c r="HR3424" s="5" t="s">
        <v>238</v>
      </c>
      <c r="HS3424" s="5" t="s">
        <v>238</v>
      </c>
      <c r="HT3424" s="5" t="s">
        <v>238</v>
      </c>
      <c r="HU3424" s="5" t="s">
        <v>238</v>
      </c>
      <c r="HV3424" s="5" t="s">
        <v>238</v>
      </c>
      <c r="HW3424" s="5" t="s">
        <v>238</v>
      </c>
      <c r="HX3424" s="5" t="s">
        <v>238</v>
      </c>
      <c r="HY3424" s="5" t="s">
        <v>238</v>
      </c>
      <c r="HZ3424" s="5" t="s">
        <v>238</v>
      </c>
      <c r="IA3424" s="5" t="s">
        <v>238</v>
      </c>
      <c r="IB3424" s="5" t="s">
        <v>238</v>
      </c>
      <c r="IC3424" s="5" t="s">
        <v>238</v>
      </c>
      <c r="ID3424" s="5" t="s">
        <v>238</v>
      </c>
    </row>
    <row r="3425" spans="1:238" x14ac:dyDescent="0.4">
      <c r="A3425" s="5">
        <v>9143</v>
      </c>
      <c r="B3425" s="5">
        <v>1</v>
      </c>
      <c r="C3425" s="5">
        <v>1</v>
      </c>
      <c r="D3425" s="5" t="s">
        <v>484</v>
      </c>
      <c r="E3425" s="5" t="s">
        <v>485</v>
      </c>
      <c r="F3425" s="5" t="s">
        <v>248</v>
      </c>
      <c r="G3425" s="5" t="s">
        <v>4767</v>
      </c>
      <c r="H3425" s="6" t="s">
        <v>4768</v>
      </c>
      <c r="I3425" s="8">
        <f>1</f>
        <v>1</v>
      </c>
      <c r="J3425" s="5" t="s">
        <v>499</v>
      </c>
      <c r="K3425" s="8">
        <f>1</f>
        <v>1</v>
      </c>
      <c r="L3425" s="6" t="s">
        <v>242</v>
      </c>
      <c r="M3425" s="5" t="s">
        <v>267</v>
      </c>
      <c r="N3425" s="5" t="s">
        <v>482</v>
      </c>
      <c r="O3425" s="5" t="s">
        <v>238</v>
      </c>
      <c r="P3425" s="5" t="s">
        <v>238</v>
      </c>
      <c r="Q3425" s="5" t="s">
        <v>239</v>
      </c>
      <c r="R3425" s="5" t="s">
        <v>270</v>
      </c>
      <c r="S3425" s="5" t="s">
        <v>238</v>
      </c>
      <c r="T3425" s="5" t="s">
        <v>238</v>
      </c>
      <c r="U3425" s="5" t="s">
        <v>238</v>
      </c>
      <c r="V3425" s="5" t="s">
        <v>238</v>
      </c>
      <c r="W3425" s="6" t="s">
        <v>238</v>
      </c>
      <c r="X3425" s="6" t="s">
        <v>238</v>
      </c>
      <c r="Y3425" s="5" t="s">
        <v>238</v>
      </c>
      <c r="Z3425" s="6" t="s">
        <v>238</v>
      </c>
      <c r="AA3425" s="6" t="s">
        <v>243</v>
      </c>
      <c r="AB3425" s="5" t="s">
        <v>486</v>
      </c>
      <c r="AC3425" s="5" t="s">
        <v>244</v>
      </c>
      <c r="AD3425" s="5" t="s">
        <v>245</v>
      </c>
      <c r="AE3425" s="5" t="s">
        <v>238</v>
      </c>
      <c r="AF3425" s="5" t="s">
        <v>238</v>
      </c>
      <c r="AG3425" s="5" t="s">
        <v>238</v>
      </c>
      <c r="AH3425" s="5" t="s">
        <v>238</v>
      </c>
      <c r="AI3425" s="5" t="s">
        <v>238</v>
      </c>
      <c r="AJ3425" s="5" t="s">
        <v>238</v>
      </c>
      <c r="AK3425" s="5" t="s">
        <v>238</v>
      </c>
      <c r="AL3425" s="5" t="s">
        <v>238</v>
      </c>
      <c r="AM3425" s="6" t="s">
        <v>238</v>
      </c>
      <c r="AN3425" s="6" t="s">
        <v>238</v>
      </c>
      <c r="AO3425" s="6" t="s">
        <v>238</v>
      </c>
      <c r="AP3425" s="6" t="s">
        <v>238</v>
      </c>
      <c r="AQ3425" s="5" t="s">
        <v>238</v>
      </c>
      <c r="AR3425" s="5" t="s">
        <v>488</v>
      </c>
      <c r="AS3425" s="5" t="s">
        <v>488</v>
      </c>
      <c r="AT3425" s="5" t="s">
        <v>246</v>
      </c>
      <c r="AU3425" s="5" t="s">
        <v>489</v>
      </c>
      <c r="AV3425" s="5" t="s">
        <v>247</v>
      </c>
      <c r="AW3425" s="5" t="s">
        <v>238</v>
      </c>
      <c r="AX3425" s="5" t="s">
        <v>249</v>
      </c>
      <c r="AY3425" s="5" t="s">
        <v>490</v>
      </c>
      <c r="BA3425" s="5" t="s">
        <v>238</v>
      </c>
      <c r="BC3425" s="5" t="s">
        <v>491</v>
      </c>
      <c r="BD3425" s="6" t="s">
        <v>492</v>
      </c>
      <c r="BE3425" s="5" t="s">
        <v>493</v>
      </c>
      <c r="BF3425" s="5" t="s">
        <v>493</v>
      </c>
      <c r="BG3425" s="5" t="s">
        <v>238</v>
      </c>
      <c r="BH3425" s="8">
        <f>1</f>
        <v>1</v>
      </c>
      <c r="BI3425" s="8">
        <f>1</f>
        <v>1</v>
      </c>
      <c r="BJ3425" s="5" t="s">
        <v>253</v>
      </c>
      <c r="BK3425" s="5" t="s">
        <v>254</v>
      </c>
      <c r="BL3425" s="5" t="s">
        <v>238</v>
      </c>
      <c r="BM3425" s="5" t="s">
        <v>238</v>
      </c>
      <c r="BN3425" s="5" t="s">
        <v>238</v>
      </c>
      <c r="BO3425" s="5" t="s">
        <v>238</v>
      </c>
      <c r="BP3425" s="5" t="s">
        <v>238</v>
      </c>
      <c r="BQ3425" s="5" t="s">
        <v>238</v>
      </c>
      <c r="BR3425" s="5" t="s">
        <v>238</v>
      </c>
      <c r="BS3425" s="5" t="s">
        <v>238</v>
      </c>
      <c r="BT3425" s="6" t="s">
        <v>238</v>
      </c>
      <c r="BU3425" s="5" t="s">
        <v>238</v>
      </c>
      <c r="BV3425" s="5" t="s">
        <v>238</v>
      </c>
      <c r="BW3425" s="5" t="s">
        <v>238</v>
      </c>
      <c r="BX3425" s="5" t="s">
        <v>254</v>
      </c>
      <c r="BY3425" s="5" t="s">
        <v>238</v>
      </c>
      <c r="BZ3425" s="5" t="s">
        <v>238</v>
      </c>
      <c r="CA3425" s="5" t="s">
        <v>238</v>
      </c>
      <c r="CB3425" s="5" t="s">
        <v>238</v>
      </c>
      <c r="CC3425" s="5" t="s">
        <v>238</v>
      </c>
      <c r="CD3425" s="5" t="s">
        <v>273</v>
      </c>
      <c r="CE3425" s="5" t="s">
        <v>256</v>
      </c>
      <c r="CF3425" s="5" t="s">
        <v>238</v>
      </c>
      <c r="CH3425" s="5" t="s">
        <v>494</v>
      </c>
      <c r="CI3425" s="6" t="s">
        <v>257</v>
      </c>
      <c r="CJ3425" s="5" t="s">
        <v>495</v>
      </c>
      <c r="CK3425" s="5" t="s">
        <v>258</v>
      </c>
      <c r="CL3425" s="5" t="s">
        <v>496</v>
      </c>
      <c r="CM3425" s="5" t="s">
        <v>238</v>
      </c>
      <c r="CN3425" s="5">
        <v>0</v>
      </c>
      <c r="CO3425" s="5" t="s">
        <v>497</v>
      </c>
      <c r="CP3425" s="5" t="s">
        <v>260</v>
      </c>
      <c r="CQ3425" s="5" t="s">
        <v>260</v>
      </c>
      <c r="CR3425" s="5" t="s">
        <v>261</v>
      </c>
      <c r="CS3425" s="5" t="s">
        <v>498</v>
      </c>
      <c r="CT3425" s="7">
        <f>1</f>
        <v>1</v>
      </c>
      <c r="CU3425" s="8">
        <f>1</f>
        <v>1</v>
      </c>
      <c r="CV3425" s="8">
        <f>0</f>
        <v>0</v>
      </c>
      <c r="CX3425" s="8">
        <f>1</f>
        <v>1</v>
      </c>
      <c r="CY3425" s="8">
        <f>1</f>
        <v>1</v>
      </c>
      <c r="CZ3425" s="8" t="s">
        <v>238</v>
      </c>
      <c r="DA3425" s="5" t="s">
        <v>238</v>
      </c>
      <c r="DB3425" s="5" t="s">
        <v>238</v>
      </c>
      <c r="DC3425" s="5" t="s">
        <v>238</v>
      </c>
      <c r="DD3425" s="5" t="s">
        <v>238</v>
      </c>
      <c r="DE3425" s="8">
        <f>0</f>
        <v>0</v>
      </c>
      <c r="DG3425" s="5" t="s">
        <v>238</v>
      </c>
      <c r="DH3425" s="5" t="s">
        <v>238</v>
      </c>
      <c r="DI3425" s="5" t="s">
        <v>238</v>
      </c>
      <c r="DJ3425" s="5" t="s">
        <v>238</v>
      </c>
      <c r="DK3425" s="5" t="s">
        <v>238</v>
      </c>
      <c r="DL3425" s="5" t="s">
        <v>238</v>
      </c>
      <c r="DM3425" s="8" t="s">
        <v>238</v>
      </c>
      <c r="DN3425" s="5" t="s">
        <v>238</v>
      </c>
      <c r="DO3425" s="5" t="s">
        <v>238</v>
      </c>
      <c r="DP3425" s="5" t="s">
        <v>490</v>
      </c>
      <c r="DQ3425" s="5" t="s">
        <v>490</v>
      </c>
      <c r="DR3425" s="5" t="s">
        <v>238</v>
      </c>
      <c r="DS3425" s="5" t="s">
        <v>238</v>
      </c>
      <c r="DT3425" s="5" t="s">
        <v>500</v>
      </c>
      <c r="DU3425" s="5" t="s">
        <v>884</v>
      </c>
      <c r="DV3425" s="5" t="s">
        <v>238</v>
      </c>
      <c r="DW3425" s="5" t="s">
        <v>238</v>
      </c>
      <c r="DX3425" s="5" t="s">
        <v>238</v>
      </c>
      <c r="DY3425" s="5" t="s">
        <v>238</v>
      </c>
      <c r="DZ3425" s="5" t="s">
        <v>238</v>
      </c>
      <c r="EA3425" s="5" t="s">
        <v>238</v>
      </c>
      <c r="EB3425" s="5" t="s">
        <v>238</v>
      </c>
      <c r="EC3425" s="5" t="s">
        <v>238</v>
      </c>
      <c r="ED3425" s="5" t="s">
        <v>238</v>
      </c>
      <c r="EE3425" s="5" t="s">
        <v>238</v>
      </c>
      <c r="EF3425" s="5" t="s">
        <v>238</v>
      </c>
      <c r="EG3425" s="5" t="s">
        <v>238</v>
      </c>
      <c r="EH3425" s="5" t="s">
        <v>238</v>
      </c>
      <c r="EI3425" s="5" t="s">
        <v>238</v>
      </c>
      <c r="EJ3425" s="5" t="s">
        <v>238</v>
      </c>
      <c r="EK3425" s="5" t="s">
        <v>238</v>
      </c>
      <c r="EL3425" s="5" t="s">
        <v>238</v>
      </c>
      <c r="EM3425" s="5" t="s">
        <v>238</v>
      </c>
      <c r="EN3425" s="5" t="s">
        <v>238</v>
      </c>
      <c r="EO3425" s="5" t="s">
        <v>238</v>
      </c>
      <c r="EP3425" s="5" t="s">
        <v>238</v>
      </c>
      <c r="EQ3425" s="5" t="s">
        <v>238</v>
      </c>
      <c r="ER3425" s="5" t="s">
        <v>238</v>
      </c>
      <c r="ES3425" s="5" t="s">
        <v>238</v>
      </c>
      <c r="ET3425" s="5" t="s">
        <v>238</v>
      </c>
      <c r="EU3425" s="5" t="s">
        <v>238</v>
      </c>
      <c r="EV3425" s="5" t="s">
        <v>238</v>
      </c>
      <c r="EW3425" s="5" t="s">
        <v>238</v>
      </c>
      <c r="EX3425" s="5" t="s">
        <v>238</v>
      </c>
      <c r="EY3425" s="5" t="s">
        <v>238</v>
      </c>
      <c r="EZ3425" s="5" t="s">
        <v>238</v>
      </c>
      <c r="FA3425" s="5" t="s">
        <v>238</v>
      </c>
      <c r="FB3425" s="5" t="s">
        <v>238</v>
      </c>
      <c r="FC3425" s="5" t="s">
        <v>238</v>
      </c>
      <c r="FD3425" s="5" t="s">
        <v>238</v>
      </c>
      <c r="FE3425" s="5" t="s">
        <v>238</v>
      </c>
      <c r="FF3425" s="5" t="s">
        <v>238</v>
      </c>
      <c r="FG3425" s="5" t="s">
        <v>238</v>
      </c>
      <c r="FH3425" s="5" t="s">
        <v>238</v>
      </c>
      <c r="FI3425" s="5" t="s">
        <v>238</v>
      </c>
      <c r="FJ3425" s="5" t="s">
        <v>238</v>
      </c>
      <c r="FK3425" s="5" t="s">
        <v>238</v>
      </c>
      <c r="FL3425" s="5" t="s">
        <v>238</v>
      </c>
      <c r="FM3425" s="5" t="s">
        <v>238</v>
      </c>
      <c r="FN3425" s="5" t="s">
        <v>238</v>
      </c>
      <c r="FO3425" s="5" t="s">
        <v>238</v>
      </c>
      <c r="FP3425" s="5" t="s">
        <v>238</v>
      </c>
      <c r="FQ3425" s="5" t="s">
        <v>238</v>
      </c>
      <c r="FR3425" s="5" t="s">
        <v>238</v>
      </c>
      <c r="FS3425" s="5" t="s">
        <v>238</v>
      </c>
      <c r="FT3425" s="5" t="s">
        <v>238</v>
      </c>
      <c r="FU3425" s="5" t="s">
        <v>238</v>
      </c>
      <c r="FV3425" s="5" t="s">
        <v>238</v>
      </c>
      <c r="FW3425" s="5" t="s">
        <v>238</v>
      </c>
      <c r="FX3425" s="5" t="s">
        <v>238</v>
      </c>
      <c r="FY3425" s="5" t="s">
        <v>238</v>
      </c>
      <c r="FZ3425" s="5" t="s">
        <v>238</v>
      </c>
      <c r="GA3425" s="5" t="s">
        <v>238</v>
      </c>
      <c r="GB3425" s="5" t="s">
        <v>238</v>
      </c>
      <c r="GC3425" s="5" t="s">
        <v>238</v>
      </c>
      <c r="GD3425" s="5" t="s">
        <v>238</v>
      </c>
      <c r="GE3425" s="5" t="s">
        <v>238</v>
      </c>
      <c r="GF3425" s="5" t="s">
        <v>238</v>
      </c>
      <c r="GG3425" s="5" t="s">
        <v>238</v>
      </c>
      <c r="GH3425" s="5" t="s">
        <v>238</v>
      </c>
      <c r="GI3425" s="5" t="s">
        <v>238</v>
      </c>
      <c r="GJ3425" s="5" t="s">
        <v>238</v>
      </c>
      <c r="GK3425" s="5" t="s">
        <v>238</v>
      </c>
      <c r="GL3425" s="5" t="s">
        <v>238</v>
      </c>
      <c r="GM3425" s="5" t="s">
        <v>238</v>
      </c>
      <c r="GN3425" s="5" t="s">
        <v>238</v>
      </c>
      <c r="GO3425" s="5" t="s">
        <v>238</v>
      </c>
      <c r="GP3425" s="5" t="s">
        <v>238</v>
      </c>
      <c r="GQ3425" s="5" t="s">
        <v>238</v>
      </c>
      <c r="GR3425" s="5" t="s">
        <v>238</v>
      </c>
      <c r="GS3425" s="5" t="s">
        <v>238</v>
      </c>
      <c r="GT3425" s="5" t="s">
        <v>238</v>
      </c>
      <c r="GU3425" s="5" t="s">
        <v>238</v>
      </c>
      <c r="GV3425" s="5" t="s">
        <v>238</v>
      </c>
      <c r="GW3425" s="5" t="s">
        <v>238</v>
      </c>
      <c r="GX3425" s="5" t="s">
        <v>238</v>
      </c>
      <c r="GY3425" s="5" t="s">
        <v>238</v>
      </c>
      <c r="GZ3425" s="5" t="s">
        <v>238</v>
      </c>
      <c r="HA3425" s="5" t="s">
        <v>238</v>
      </c>
      <c r="HB3425" s="5" t="s">
        <v>238</v>
      </c>
      <c r="HC3425" s="5" t="s">
        <v>238</v>
      </c>
      <c r="HD3425" s="5" t="s">
        <v>238</v>
      </c>
      <c r="HE3425" s="5" t="s">
        <v>238</v>
      </c>
      <c r="HF3425" s="5" t="s">
        <v>238</v>
      </c>
      <c r="HG3425" s="5" t="s">
        <v>238</v>
      </c>
      <c r="HH3425" s="5" t="s">
        <v>238</v>
      </c>
      <c r="HI3425" s="5" t="s">
        <v>238</v>
      </c>
      <c r="HJ3425" s="5" t="s">
        <v>238</v>
      </c>
      <c r="HK3425" s="5" t="s">
        <v>238</v>
      </c>
      <c r="HL3425" s="5" t="s">
        <v>238</v>
      </c>
      <c r="HM3425" s="5" t="s">
        <v>264</v>
      </c>
      <c r="HN3425" s="5" t="s">
        <v>238</v>
      </c>
      <c r="HO3425" s="5" t="s">
        <v>238</v>
      </c>
      <c r="HP3425" s="5" t="s">
        <v>238</v>
      </c>
      <c r="HQ3425" s="5" t="s">
        <v>238</v>
      </c>
      <c r="HR3425" s="5" t="s">
        <v>238</v>
      </c>
      <c r="HS3425" s="5" t="s">
        <v>238</v>
      </c>
      <c r="HT3425" s="5" t="s">
        <v>238</v>
      </c>
      <c r="HU3425" s="5" t="s">
        <v>238</v>
      </c>
      <c r="HV3425" s="5" t="s">
        <v>238</v>
      </c>
      <c r="HW3425" s="5" t="s">
        <v>238</v>
      </c>
      <c r="HX3425" s="5" t="s">
        <v>238</v>
      </c>
      <c r="HY3425" s="5" t="s">
        <v>238</v>
      </c>
      <c r="HZ3425" s="5" t="s">
        <v>238</v>
      </c>
      <c r="IA3425" s="5" t="s">
        <v>238</v>
      </c>
      <c r="IB3425" s="5" t="s">
        <v>238</v>
      </c>
      <c r="IC3425" s="5" t="s">
        <v>238</v>
      </c>
      <c r="ID3425" s="5" t="s">
        <v>238</v>
      </c>
    </row>
    <row r="3426" spans="1:238" x14ac:dyDescent="0.4">
      <c r="A3426" s="5">
        <v>9144</v>
      </c>
      <c r="B3426" s="5">
        <v>1</v>
      </c>
      <c r="C3426" s="5">
        <v>1</v>
      </c>
      <c r="D3426" s="5" t="s">
        <v>484</v>
      </c>
      <c r="E3426" s="5" t="s">
        <v>485</v>
      </c>
      <c r="F3426" s="5" t="s">
        <v>248</v>
      </c>
      <c r="G3426" s="5" t="s">
        <v>4022</v>
      </c>
      <c r="H3426" s="6" t="s">
        <v>4023</v>
      </c>
      <c r="I3426" s="8">
        <f>1</f>
        <v>1</v>
      </c>
      <c r="J3426" s="5" t="s">
        <v>499</v>
      </c>
      <c r="K3426" s="8">
        <f>1</f>
        <v>1</v>
      </c>
      <c r="L3426" s="6" t="s">
        <v>242</v>
      </c>
      <c r="M3426" s="5" t="s">
        <v>267</v>
      </c>
      <c r="N3426" s="5" t="s">
        <v>482</v>
      </c>
      <c r="O3426" s="5" t="s">
        <v>238</v>
      </c>
      <c r="P3426" s="5" t="s">
        <v>238</v>
      </c>
      <c r="Q3426" s="5" t="s">
        <v>239</v>
      </c>
      <c r="R3426" s="5" t="s">
        <v>270</v>
      </c>
      <c r="S3426" s="5" t="s">
        <v>238</v>
      </c>
      <c r="T3426" s="5" t="s">
        <v>238</v>
      </c>
      <c r="U3426" s="5" t="s">
        <v>238</v>
      </c>
      <c r="V3426" s="5" t="s">
        <v>238</v>
      </c>
      <c r="W3426" s="6" t="s">
        <v>238</v>
      </c>
      <c r="X3426" s="6" t="s">
        <v>238</v>
      </c>
      <c r="Y3426" s="5" t="s">
        <v>238</v>
      </c>
      <c r="Z3426" s="6" t="s">
        <v>238</v>
      </c>
      <c r="AA3426" s="6" t="s">
        <v>243</v>
      </c>
      <c r="AB3426" s="5" t="s">
        <v>486</v>
      </c>
      <c r="AC3426" s="5" t="s">
        <v>244</v>
      </c>
      <c r="AD3426" s="5" t="s">
        <v>245</v>
      </c>
      <c r="AE3426" s="5" t="s">
        <v>238</v>
      </c>
      <c r="AF3426" s="5" t="s">
        <v>238</v>
      </c>
      <c r="AG3426" s="5" t="s">
        <v>238</v>
      </c>
      <c r="AH3426" s="5" t="s">
        <v>238</v>
      </c>
      <c r="AI3426" s="5" t="s">
        <v>238</v>
      </c>
      <c r="AJ3426" s="5" t="s">
        <v>238</v>
      </c>
      <c r="AK3426" s="5" t="s">
        <v>238</v>
      </c>
      <c r="AL3426" s="5" t="s">
        <v>238</v>
      </c>
      <c r="AM3426" s="6" t="s">
        <v>238</v>
      </c>
      <c r="AN3426" s="6" t="s">
        <v>238</v>
      </c>
      <c r="AO3426" s="6" t="s">
        <v>238</v>
      </c>
      <c r="AP3426" s="6" t="s">
        <v>238</v>
      </c>
      <c r="AQ3426" s="5" t="s">
        <v>238</v>
      </c>
      <c r="AR3426" s="5" t="s">
        <v>488</v>
      </c>
      <c r="AS3426" s="5" t="s">
        <v>488</v>
      </c>
      <c r="AT3426" s="5" t="s">
        <v>246</v>
      </c>
      <c r="AU3426" s="5" t="s">
        <v>489</v>
      </c>
      <c r="AV3426" s="5" t="s">
        <v>247</v>
      </c>
      <c r="AW3426" s="5" t="s">
        <v>238</v>
      </c>
      <c r="AX3426" s="5" t="s">
        <v>249</v>
      </c>
      <c r="AY3426" s="5" t="s">
        <v>490</v>
      </c>
      <c r="BA3426" s="5" t="s">
        <v>238</v>
      </c>
      <c r="BC3426" s="5" t="s">
        <v>491</v>
      </c>
      <c r="BD3426" s="6" t="s">
        <v>492</v>
      </c>
      <c r="BE3426" s="5" t="s">
        <v>493</v>
      </c>
      <c r="BF3426" s="5" t="s">
        <v>493</v>
      </c>
      <c r="BG3426" s="5" t="s">
        <v>238</v>
      </c>
      <c r="BH3426" s="8">
        <f>1</f>
        <v>1</v>
      </c>
      <c r="BI3426" s="8">
        <f>1</f>
        <v>1</v>
      </c>
      <c r="BJ3426" s="5" t="s">
        <v>253</v>
      </c>
      <c r="BK3426" s="5" t="s">
        <v>254</v>
      </c>
      <c r="BL3426" s="5" t="s">
        <v>238</v>
      </c>
      <c r="BM3426" s="5" t="s">
        <v>238</v>
      </c>
      <c r="BN3426" s="5" t="s">
        <v>238</v>
      </c>
      <c r="BO3426" s="5" t="s">
        <v>238</v>
      </c>
      <c r="BP3426" s="5" t="s">
        <v>238</v>
      </c>
      <c r="BQ3426" s="5" t="s">
        <v>238</v>
      </c>
      <c r="BR3426" s="5" t="s">
        <v>238</v>
      </c>
      <c r="BS3426" s="5" t="s">
        <v>238</v>
      </c>
      <c r="BT3426" s="6" t="s">
        <v>238</v>
      </c>
      <c r="BU3426" s="5" t="s">
        <v>238</v>
      </c>
      <c r="BV3426" s="5" t="s">
        <v>238</v>
      </c>
      <c r="BW3426" s="5" t="s">
        <v>238</v>
      </c>
      <c r="BX3426" s="5" t="s">
        <v>254</v>
      </c>
      <c r="BY3426" s="5" t="s">
        <v>238</v>
      </c>
      <c r="BZ3426" s="5" t="s">
        <v>238</v>
      </c>
      <c r="CA3426" s="5" t="s">
        <v>238</v>
      </c>
      <c r="CB3426" s="5" t="s">
        <v>238</v>
      </c>
      <c r="CC3426" s="5" t="s">
        <v>238</v>
      </c>
      <c r="CD3426" s="5" t="s">
        <v>273</v>
      </c>
      <c r="CE3426" s="5" t="s">
        <v>256</v>
      </c>
      <c r="CF3426" s="5" t="s">
        <v>238</v>
      </c>
      <c r="CH3426" s="5" t="s">
        <v>494</v>
      </c>
      <c r="CI3426" s="6" t="s">
        <v>257</v>
      </c>
      <c r="CJ3426" s="5" t="s">
        <v>495</v>
      </c>
      <c r="CK3426" s="5" t="s">
        <v>258</v>
      </c>
      <c r="CL3426" s="5" t="s">
        <v>496</v>
      </c>
      <c r="CM3426" s="5" t="s">
        <v>238</v>
      </c>
      <c r="CN3426" s="5">
        <v>0</v>
      </c>
      <c r="CO3426" s="5" t="s">
        <v>497</v>
      </c>
      <c r="CP3426" s="5" t="s">
        <v>260</v>
      </c>
      <c r="CQ3426" s="5" t="s">
        <v>260</v>
      </c>
      <c r="CR3426" s="5" t="s">
        <v>261</v>
      </c>
      <c r="CS3426" s="5" t="s">
        <v>498</v>
      </c>
      <c r="CT3426" s="7">
        <f>1</f>
        <v>1</v>
      </c>
      <c r="CU3426" s="8">
        <f>1</f>
        <v>1</v>
      </c>
      <c r="CV3426" s="8">
        <f>0</f>
        <v>0</v>
      </c>
      <c r="CX3426" s="8">
        <f>1</f>
        <v>1</v>
      </c>
      <c r="CY3426" s="8">
        <f>1</f>
        <v>1</v>
      </c>
      <c r="CZ3426" s="8" t="s">
        <v>238</v>
      </c>
      <c r="DA3426" s="5" t="s">
        <v>238</v>
      </c>
      <c r="DB3426" s="5" t="s">
        <v>238</v>
      </c>
      <c r="DC3426" s="5" t="s">
        <v>238</v>
      </c>
      <c r="DD3426" s="5" t="s">
        <v>238</v>
      </c>
      <c r="DE3426" s="8">
        <f>0</f>
        <v>0</v>
      </c>
      <c r="DG3426" s="5" t="s">
        <v>238</v>
      </c>
      <c r="DH3426" s="5" t="s">
        <v>238</v>
      </c>
      <c r="DI3426" s="5" t="s">
        <v>238</v>
      </c>
      <c r="DJ3426" s="5" t="s">
        <v>238</v>
      </c>
      <c r="DK3426" s="5" t="s">
        <v>238</v>
      </c>
      <c r="DL3426" s="5" t="s">
        <v>238</v>
      </c>
      <c r="DM3426" s="8" t="s">
        <v>238</v>
      </c>
      <c r="DN3426" s="5" t="s">
        <v>238</v>
      </c>
      <c r="DO3426" s="5" t="s">
        <v>238</v>
      </c>
      <c r="DP3426" s="5" t="s">
        <v>490</v>
      </c>
      <c r="DQ3426" s="5" t="s">
        <v>490</v>
      </c>
      <c r="DR3426" s="5" t="s">
        <v>238</v>
      </c>
      <c r="DS3426" s="5" t="s">
        <v>238</v>
      </c>
      <c r="DT3426" s="5" t="s">
        <v>500</v>
      </c>
      <c r="DU3426" s="5" t="s">
        <v>308</v>
      </c>
      <c r="DV3426" s="5" t="s">
        <v>238</v>
      </c>
      <c r="DW3426" s="5" t="s">
        <v>238</v>
      </c>
      <c r="DX3426" s="5" t="s">
        <v>238</v>
      </c>
      <c r="DY3426" s="5" t="s">
        <v>238</v>
      </c>
      <c r="DZ3426" s="5" t="s">
        <v>238</v>
      </c>
      <c r="EA3426" s="5" t="s">
        <v>238</v>
      </c>
      <c r="EB3426" s="5" t="s">
        <v>238</v>
      </c>
      <c r="EC3426" s="5" t="s">
        <v>238</v>
      </c>
      <c r="ED3426" s="5" t="s">
        <v>238</v>
      </c>
      <c r="EE3426" s="5" t="s">
        <v>238</v>
      </c>
      <c r="EF3426" s="5" t="s">
        <v>238</v>
      </c>
      <c r="EG3426" s="5" t="s">
        <v>238</v>
      </c>
      <c r="EH3426" s="5" t="s">
        <v>238</v>
      </c>
      <c r="EI3426" s="5" t="s">
        <v>238</v>
      </c>
      <c r="EJ3426" s="5" t="s">
        <v>238</v>
      </c>
      <c r="EK3426" s="5" t="s">
        <v>238</v>
      </c>
      <c r="EL3426" s="5" t="s">
        <v>238</v>
      </c>
      <c r="EM3426" s="5" t="s">
        <v>238</v>
      </c>
      <c r="EN3426" s="5" t="s">
        <v>238</v>
      </c>
      <c r="EO3426" s="5" t="s">
        <v>238</v>
      </c>
      <c r="EP3426" s="5" t="s">
        <v>238</v>
      </c>
      <c r="EQ3426" s="5" t="s">
        <v>238</v>
      </c>
      <c r="ER3426" s="5" t="s">
        <v>238</v>
      </c>
      <c r="ES3426" s="5" t="s">
        <v>238</v>
      </c>
      <c r="ET3426" s="5" t="s">
        <v>238</v>
      </c>
      <c r="EU3426" s="5" t="s">
        <v>238</v>
      </c>
      <c r="EV3426" s="5" t="s">
        <v>238</v>
      </c>
      <c r="EW3426" s="5" t="s">
        <v>238</v>
      </c>
      <c r="EX3426" s="5" t="s">
        <v>238</v>
      </c>
      <c r="EY3426" s="5" t="s">
        <v>238</v>
      </c>
      <c r="EZ3426" s="5" t="s">
        <v>238</v>
      </c>
      <c r="FA3426" s="5" t="s">
        <v>238</v>
      </c>
      <c r="FB3426" s="5" t="s">
        <v>238</v>
      </c>
      <c r="FC3426" s="5" t="s">
        <v>238</v>
      </c>
      <c r="FD3426" s="5" t="s">
        <v>238</v>
      </c>
      <c r="FE3426" s="5" t="s">
        <v>238</v>
      </c>
      <c r="FF3426" s="5" t="s">
        <v>238</v>
      </c>
      <c r="FG3426" s="5" t="s">
        <v>238</v>
      </c>
      <c r="FH3426" s="5" t="s">
        <v>238</v>
      </c>
      <c r="FI3426" s="5" t="s">
        <v>238</v>
      </c>
      <c r="FJ3426" s="5" t="s">
        <v>238</v>
      </c>
      <c r="FK3426" s="5" t="s">
        <v>238</v>
      </c>
      <c r="FL3426" s="5" t="s">
        <v>238</v>
      </c>
      <c r="FM3426" s="5" t="s">
        <v>238</v>
      </c>
      <c r="FN3426" s="5" t="s">
        <v>238</v>
      </c>
      <c r="FO3426" s="5" t="s">
        <v>238</v>
      </c>
      <c r="FP3426" s="5" t="s">
        <v>238</v>
      </c>
      <c r="FQ3426" s="5" t="s">
        <v>238</v>
      </c>
      <c r="FR3426" s="5" t="s">
        <v>238</v>
      </c>
      <c r="FS3426" s="5" t="s">
        <v>238</v>
      </c>
      <c r="FT3426" s="5" t="s">
        <v>238</v>
      </c>
      <c r="FU3426" s="5" t="s">
        <v>238</v>
      </c>
      <c r="FV3426" s="5" t="s">
        <v>238</v>
      </c>
      <c r="FW3426" s="5" t="s">
        <v>238</v>
      </c>
      <c r="FX3426" s="5" t="s">
        <v>238</v>
      </c>
      <c r="FY3426" s="5" t="s">
        <v>238</v>
      </c>
      <c r="FZ3426" s="5" t="s">
        <v>238</v>
      </c>
      <c r="GA3426" s="5" t="s">
        <v>238</v>
      </c>
      <c r="GB3426" s="5" t="s">
        <v>238</v>
      </c>
      <c r="GC3426" s="5" t="s">
        <v>238</v>
      </c>
      <c r="GD3426" s="5" t="s">
        <v>238</v>
      </c>
      <c r="GE3426" s="5" t="s">
        <v>238</v>
      </c>
      <c r="GF3426" s="5" t="s">
        <v>238</v>
      </c>
      <c r="GG3426" s="5" t="s">
        <v>238</v>
      </c>
      <c r="GH3426" s="5" t="s">
        <v>238</v>
      </c>
      <c r="GI3426" s="5" t="s">
        <v>238</v>
      </c>
      <c r="GJ3426" s="5" t="s">
        <v>238</v>
      </c>
      <c r="GK3426" s="5" t="s">
        <v>238</v>
      </c>
      <c r="GL3426" s="5" t="s">
        <v>238</v>
      </c>
      <c r="GM3426" s="5" t="s">
        <v>238</v>
      </c>
      <c r="GN3426" s="5" t="s">
        <v>238</v>
      </c>
      <c r="GO3426" s="5" t="s">
        <v>238</v>
      </c>
      <c r="GP3426" s="5" t="s">
        <v>238</v>
      </c>
      <c r="GQ3426" s="5" t="s">
        <v>238</v>
      </c>
      <c r="GR3426" s="5" t="s">
        <v>238</v>
      </c>
      <c r="GS3426" s="5" t="s">
        <v>238</v>
      </c>
      <c r="GT3426" s="5" t="s">
        <v>238</v>
      </c>
      <c r="GU3426" s="5" t="s">
        <v>238</v>
      </c>
      <c r="GV3426" s="5" t="s">
        <v>238</v>
      </c>
      <c r="GW3426" s="5" t="s">
        <v>238</v>
      </c>
      <c r="GX3426" s="5" t="s">
        <v>238</v>
      </c>
      <c r="GY3426" s="5" t="s">
        <v>238</v>
      </c>
      <c r="GZ3426" s="5" t="s">
        <v>238</v>
      </c>
      <c r="HA3426" s="5" t="s">
        <v>238</v>
      </c>
      <c r="HB3426" s="5" t="s">
        <v>238</v>
      </c>
      <c r="HC3426" s="5" t="s">
        <v>238</v>
      </c>
      <c r="HD3426" s="5" t="s">
        <v>238</v>
      </c>
      <c r="HE3426" s="5" t="s">
        <v>238</v>
      </c>
      <c r="HF3426" s="5" t="s">
        <v>238</v>
      </c>
      <c r="HG3426" s="5" t="s">
        <v>238</v>
      </c>
      <c r="HH3426" s="5" t="s">
        <v>238</v>
      </c>
      <c r="HI3426" s="5" t="s">
        <v>238</v>
      </c>
      <c r="HJ3426" s="5" t="s">
        <v>238</v>
      </c>
      <c r="HK3426" s="5" t="s">
        <v>238</v>
      </c>
      <c r="HL3426" s="5" t="s">
        <v>238</v>
      </c>
      <c r="HM3426" s="5" t="s">
        <v>264</v>
      </c>
      <c r="HN3426" s="5" t="s">
        <v>238</v>
      </c>
      <c r="HO3426" s="5" t="s">
        <v>238</v>
      </c>
      <c r="HP3426" s="5" t="s">
        <v>238</v>
      </c>
      <c r="HQ3426" s="5" t="s">
        <v>238</v>
      </c>
      <c r="HR3426" s="5" t="s">
        <v>238</v>
      </c>
      <c r="HS3426" s="5" t="s">
        <v>238</v>
      </c>
      <c r="HT3426" s="5" t="s">
        <v>238</v>
      </c>
      <c r="HU3426" s="5" t="s">
        <v>238</v>
      </c>
      <c r="HV3426" s="5" t="s">
        <v>238</v>
      </c>
      <c r="HW3426" s="5" t="s">
        <v>238</v>
      </c>
      <c r="HX3426" s="5" t="s">
        <v>238</v>
      </c>
      <c r="HY3426" s="5" t="s">
        <v>238</v>
      </c>
      <c r="HZ3426" s="5" t="s">
        <v>238</v>
      </c>
      <c r="IA3426" s="5" t="s">
        <v>238</v>
      </c>
      <c r="IB3426" s="5" t="s">
        <v>238</v>
      </c>
      <c r="IC3426" s="5" t="s">
        <v>238</v>
      </c>
      <c r="ID3426" s="5" t="s">
        <v>238</v>
      </c>
    </row>
    <row r="3427" spans="1:238" x14ac:dyDescent="0.4">
      <c r="A3427" s="5">
        <v>9145</v>
      </c>
      <c r="B3427" s="5">
        <v>1</v>
      </c>
      <c r="C3427" s="5">
        <v>1</v>
      </c>
      <c r="D3427" s="5" t="s">
        <v>484</v>
      </c>
      <c r="E3427" s="5" t="s">
        <v>485</v>
      </c>
      <c r="F3427" s="5" t="s">
        <v>248</v>
      </c>
      <c r="G3427" s="5" t="s">
        <v>4652</v>
      </c>
      <c r="H3427" s="6" t="s">
        <v>4653</v>
      </c>
      <c r="I3427" s="8">
        <f>1</f>
        <v>1</v>
      </c>
      <c r="J3427" s="5" t="s">
        <v>499</v>
      </c>
      <c r="K3427" s="8">
        <f>1</f>
        <v>1</v>
      </c>
      <c r="L3427" s="6" t="s">
        <v>242</v>
      </c>
      <c r="M3427" s="5" t="s">
        <v>267</v>
      </c>
      <c r="N3427" s="5" t="s">
        <v>482</v>
      </c>
      <c r="O3427" s="5" t="s">
        <v>238</v>
      </c>
      <c r="P3427" s="5" t="s">
        <v>238</v>
      </c>
      <c r="Q3427" s="5" t="s">
        <v>239</v>
      </c>
      <c r="R3427" s="5" t="s">
        <v>270</v>
      </c>
      <c r="S3427" s="5" t="s">
        <v>238</v>
      </c>
      <c r="T3427" s="5" t="s">
        <v>238</v>
      </c>
      <c r="U3427" s="5" t="s">
        <v>238</v>
      </c>
      <c r="V3427" s="5" t="s">
        <v>238</v>
      </c>
      <c r="W3427" s="6" t="s">
        <v>238</v>
      </c>
      <c r="X3427" s="6" t="s">
        <v>238</v>
      </c>
      <c r="Y3427" s="5" t="s">
        <v>238</v>
      </c>
      <c r="Z3427" s="6" t="s">
        <v>238</v>
      </c>
      <c r="AA3427" s="6" t="s">
        <v>243</v>
      </c>
      <c r="AB3427" s="5" t="s">
        <v>486</v>
      </c>
      <c r="AC3427" s="5" t="s">
        <v>244</v>
      </c>
      <c r="AD3427" s="5" t="s">
        <v>245</v>
      </c>
      <c r="AE3427" s="5" t="s">
        <v>238</v>
      </c>
      <c r="AF3427" s="5" t="s">
        <v>238</v>
      </c>
      <c r="AG3427" s="5" t="s">
        <v>238</v>
      </c>
      <c r="AH3427" s="5" t="s">
        <v>238</v>
      </c>
      <c r="AI3427" s="5" t="s">
        <v>238</v>
      </c>
      <c r="AJ3427" s="5" t="s">
        <v>238</v>
      </c>
      <c r="AK3427" s="5" t="s">
        <v>238</v>
      </c>
      <c r="AL3427" s="5" t="s">
        <v>238</v>
      </c>
      <c r="AM3427" s="6" t="s">
        <v>238</v>
      </c>
      <c r="AN3427" s="6" t="s">
        <v>238</v>
      </c>
      <c r="AO3427" s="6" t="s">
        <v>238</v>
      </c>
      <c r="AP3427" s="6" t="s">
        <v>238</v>
      </c>
      <c r="AQ3427" s="5" t="s">
        <v>238</v>
      </c>
      <c r="AR3427" s="5" t="s">
        <v>488</v>
      </c>
      <c r="AS3427" s="5" t="s">
        <v>488</v>
      </c>
      <c r="AT3427" s="5" t="s">
        <v>246</v>
      </c>
      <c r="AU3427" s="5" t="s">
        <v>489</v>
      </c>
      <c r="AV3427" s="5" t="s">
        <v>247</v>
      </c>
      <c r="AW3427" s="5" t="s">
        <v>238</v>
      </c>
      <c r="AX3427" s="5" t="s">
        <v>249</v>
      </c>
      <c r="AY3427" s="5" t="s">
        <v>490</v>
      </c>
      <c r="BA3427" s="5" t="s">
        <v>238</v>
      </c>
      <c r="BC3427" s="5" t="s">
        <v>491</v>
      </c>
      <c r="BD3427" s="6" t="s">
        <v>492</v>
      </c>
      <c r="BE3427" s="5" t="s">
        <v>493</v>
      </c>
      <c r="BF3427" s="5" t="s">
        <v>493</v>
      </c>
      <c r="BG3427" s="5" t="s">
        <v>238</v>
      </c>
      <c r="BH3427" s="8">
        <f>1</f>
        <v>1</v>
      </c>
      <c r="BI3427" s="8">
        <f>1</f>
        <v>1</v>
      </c>
      <c r="BJ3427" s="5" t="s">
        <v>253</v>
      </c>
      <c r="BK3427" s="5" t="s">
        <v>254</v>
      </c>
      <c r="BL3427" s="5" t="s">
        <v>238</v>
      </c>
      <c r="BM3427" s="5" t="s">
        <v>238</v>
      </c>
      <c r="BN3427" s="5" t="s">
        <v>238</v>
      </c>
      <c r="BO3427" s="5" t="s">
        <v>238</v>
      </c>
      <c r="BP3427" s="5" t="s">
        <v>238</v>
      </c>
      <c r="BQ3427" s="5" t="s">
        <v>238</v>
      </c>
      <c r="BR3427" s="5" t="s">
        <v>238</v>
      </c>
      <c r="BS3427" s="5" t="s">
        <v>238</v>
      </c>
      <c r="BT3427" s="6" t="s">
        <v>238</v>
      </c>
      <c r="BU3427" s="5" t="s">
        <v>238</v>
      </c>
      <c r="BV3427" s="5" t="s">
        <v>238</v>
      </c>
      <c r="BW3427" s="5" t="s">
        <v>238</v>
      </c>
      <c r="BX3427" s="5" t="s">
        <v>254</v>
      </c>
      <c r="BY3427" s="5" t="s">
        <v>238</v>
      </c>
      <c r="BZ3427" s="5" t="s">
        <v>238</v>
      </c>
      <c r="CA3427" s="5" t="s">
        <v>238</v>
      </c>
      <c r="CB3427" s="5" t="s">
        <v>238</v>
      </c>
      <c r="CC3427" s="5" t="s">
        <v>238</v>
      </c>
      <c r="CD3427" s="5" t="s">
        <v>273</v>
      </c>
      <c r="CE3427" s="5" t="s">
        <v>256</v>
      </c>
      <c r="CF3427" s="5" t="s">
        <v>238</v>
      </c>
      <c r="CH3427" s="5" t="s">
        <v>494</v>
      </c>
      <c r="CI3427" s="6" t="s">
        <v>257</v>
      </c>
      <c r="CJ3427" s="5" t="s">
        <v>495</v>
      </c>
      <c r="CK3427" s="5" t="s">
        <v>258</v>
      </c>
      <c r="CL3427" s="5" t="s">
        <v>496</v>
      </c>
      <c r="CM3427" s="5" t="s">
        <v>238</v>
      </c>
      <c r="CN3427" s="5">
        <v>0</v>
      </c>
      <c r="CO3427" s="5" t="s">
        <v>497</v>
      </c>
      <c r="CP3427" s="5" t="s">
        <v>260</v>
      </c>
      <c r="CQ3427" s="5" t="s">
        <v>260</v>
      </c>
      <c r="CR3427" s="5" t="s">
        <v>261</v>
      </c>
      <c r="CS3427" s="5" t="s">
        <v>498</v>
      </c>
      <c r="CT3427" s="7">
        <f>1</f>
        <v>1</v>
      </c>
      <c r="CU3427" s="8">
        <f>1</f>
        <v>1</v>
      </c>
      <c r="CV3427" s="8">
        <f>0</f>
        <v>0</v>
      </c>
      <c r="CX3427" s="8">
        <f>1</f>
        <v>1</v>
      </c>
      <c r="CY3427" s="8">
        <f>1</f>
        <v>1</v>
      </c>
      <c r="CZ3427" s="8" t="s">
        <v>238</v>
      </c>
      <c r="DA3427" s="5" t="s">
        <v>238</v>
      </c>
      <c r="DB3427" s="5" t="s">
        <v>238</v>
      </c>
      <c r="DC3427" s="5" t="s">
        <v>238</v>
      </c>
      <c r="DD3427" s="5" t="s">
        <v>238</v>
      </c>
      <c r="DE3427" s="8">
        <f>0</f>
        <v>0</v>
      </c>
      <c r="DG3427" s="5" t="s">
        <v>238</v>
      </c>
      <c r="DH3427" s="5" t="s">
        <v>238</v>
      </c>
      <c r="DI3427" s="5" t="s">
        <v>238</v>
      </c>
      <c r="DJ3427" s="5" t="s">
        <v>238</v>
      </c>
      <c r="DK3427" s="5" t="s">
        <v>238</v>
      </c>
      <c r="DL3427" s="5" t="s">
        <v>238</v>
      </c>
      <c r="DM3427" s="8" t="s">
        <v>238</v>
      </c>
      <c r="DN3427" s="5" t="s">
        <v>238</v>
      </c>
      <c r="DO3427" s="5" t="s">
        <v>238</v>
      </c>
      <c r="DP3427" s="5" t="s">
        <v>490</v>
      </c>
      <c r="DQ3427" s="5" t="s">
        <v>490</v>
      </c>
      <c r="DR3427" s="5" t="s">
        <v>238</v>
      </c>
      <c r="DS3427" s="5" t="s">
        <v>238</v>
      </c>
      <c r="DT3427" s="5" t="s">
        <v>500</v>
      </c>
      <c r="DU3427" s="5" t="s">
        <v>831</v>
      </c>
      <c r="DV3427" s="5" t="s">
        <v>238</v>
      </c>
      <c r="DW3427" s="5" t="s">
        <v>238</v>
      </c>
      <c r="DX3427" s="5" t="s">
        <v>238</v>
      </c>
      <c r="DY3427" s="5" t="s">
        <v>238</v>
      </c>
      <c r="DZ3427" s="5" t="s">
        <v>238</v>
      </c>
      <c r="EA3427" s="5" t="s">
        <v>238</v>
      </c>
      <c r="EB3427" s="5" t="s">
        <v>238</v>
      </c>
      <c r="EC3427" s="5" t="s">
        <v>238</v>
      </c>
      <c r="ED3427" s="5" t="s">
        <v>238</v>
      </c>
      <c r="EE3427" s="5" t="s">
        <v>238</v>
      </c>
      <c r="EF3427" s="5" t="s">
        <v>238</v>
      </c>
      <c r="EG3427" s="5" t="s">
        <v>238</v>
      </c>
      <c r="EH3427" s="5" t="s">
        <v>238</v>
      </c>
      <c r="EI3427" s="5" t="s">
        <v>238</v>
      </c>
      <c r="EJ3427" s="5" t="s">
        <v>238</v>
      </c>
      <c r="EK3427" s="5" t="s">
        <v>238</v>
      </c>
      <c r="EL3427" s="5" t="s">
        <v>238</v>
      </c>
      <c r="EM3427" s="5" t="s">
        <v>238</v>
      </c>
      <c r="EN3427" s="5" t="s">
        <v>238</v>
      </c>
      <c r="EO3427" s="5" t="s">
        <v>238</v>
      </c>
      <c r="EP3427" s="5" t="s">
        <v>238</v>
      </c>
      <c r="EQ3427" s="5" t="s">
        <v>238</v>
      </c>
      <c r="ER3427" s="5" t="s">
        <v>238</v>
      </c>
      <c r="ES3427" s="5" t="s">
        <v>238</v>
      </c>
      <c r="ET3427" s="5" t="s">
        <v>238</v>
      </c>
      <c r="EU3427" s="5" t="s">
        <v>238</v>
      </c>
      <c r="EV3427" s="5" t="s">
        <v>238</v>
      </c>
      <c r="EW3427" s="5" t="s">
        <v>238</v>
      </c>
      <c r="EX3427" s="5" t="s">
        <v>238</v>
      </c>
      <c r="EY3427" s="5" t="s">
        <v>238</v>
      </c>
      <c r="EZ3427" s="5" t="s">
        <v>238</v>
      </c>
      <c r="FA3427" s="5" t="s">
        <v>238</v>
      </c>
      <c r="FB3427" s="5" t="s">
        <v>238</v>
      </c>
      <c r="FC3427" s="5" t="s">
        <v>238</v>
      </c>
      <c r="FD3427" s="5" t="s">
        <v>238</v>
      </c>
      <c r="FE3427" s="5" t="s">
        <v>238</v>
      </c>
      <c r="FF3427" s="5" t="s">
        <v>238</v>
      </c>
      <c r="FG3427" s="5" t="s">
        <v>238</v>
      </c>
      <c r="FH3427" s="5" t="s">
        <v>238</v>
      </c>
      <c r="FI3427" s="5" t="s">
        <v>238</v>
      </c>
      <c r="FJ3427" s="5" t="s">
        <v>238</v>
      </c>
      <c r="FK3427" s="5" t="s">
        <v>238</v>
      </c>
      <c r="FL3427" s="5" t="s">
        <v>238</v>
      </c>
      <c r="FM3427" s="5" t="s">
        <v>238</v>
      </c>
      <c r="FN3427" s="5" t="s">
        <v>238</v>
      </c>
      <c r="FO3427" s="5" t="s">
        <v>238</v>
      </c>
      <c r="FP3427" s="5" t="s">
        <v>238</v>
      </c>
      <c r="FQ3427" s="5" t="s">
        <v>238</v>
      </c>
      <c r="FR3427" s="5" t="s">
        <v>238</v>
      </c>
      <c r="FS3427" s="5" t="s">
        <v>238</v>
      </c>
      <c r="FT3427" s="5" t="s">
        <v>238</v>
      </c>
      <c r="FU3427" s="5" t="s">
        <v>238</v>
      </c>
      <c r="FV3427" s="5" t="s">
        <v>238</v>
      </c>
      <c r="FW3427" s="5" t="s">
        <v>238</v>
      </c>
      <c r="FX3427" s="5" t="s">
        <v>238</v>
      </c>
      <c r="FY3427" s="5" t="s">
        <v>238</v>
      </c>
      <c r="FZ3427" s="5" t="s">
        <v>238</v>
      </c>
      <c r="GA3427" s="5" t="s">
        <v>238</v>
      </c>
      <c r="GB3427" s="5" t="s">
        <v>238</v>
      </c>
      <c r="GC3427" s="5" t="s">
        <v>238</v>
      </c>
      <c r="GD3427" s="5" t="s">
        <v>238</v>
      </c>
      <c r="GE3427" s="5" t="s">
        <v>238</v>
      </c>
      <c r="GF3427" s="5" t="s">
        <v>238</v>
      </c>
      <c r="GG3427" s="5" t="s">
        <v>238</v>
      </c>
      <c r="GH3427" s="5" t="s">
        <v>238</v>
      </c>
      <c r="GI3427" s="5" t="s">
        <v>238</v>
      </c>
      <c r="GJ3427" s="5" t="s">
        <v>238</v>
      </c>
      <c r="GK3427" s="5" t="s">
        <v>238</v>
      </c>
      <c r="GL3427" s="5" t="s">
        <v>238</v>
      </c>
      <c r="GM3427" s="5" t="s">
        <v>238</v>
      </c>
      <c r="GN3427" s="5" t="s">
        <v>238</v>
      </c>
      <c r="GO3427" s="5" t="s">
        <v>238</v>
      </c>
      <c r="GP3427" s="5" t="s">
        <v>238</v>
      </c>
      <c r="GQ3427" s="5" t="s">
        <v>238</v>
      </c>
      <c r="GR3427" s="5" t="s">
        <v>238</v>
      </c>
      <c r="GS3427" s="5" t="s">
        <v>238</v>
      </c>
      <c r="GT3427" s="5" t="s">
        <v>238</v>
      </c>
      <c r="GU3427" s="5" t="s">
        <v>238</v>
      </c>
      <c r="GV3427" s="5" t="s">
        <v>238</v>
      </c>
      <c r="GW3427" s="5" t="s">
        <v>238</v>
      </c>
      <c r="GX3427" s="5" t="s">
        <v>238</v>
      </c>
      <c r="GY3427" s="5" t="s">
        <v>238</v>
      </c>
      <c r="GZ3427" s="5" t="s">
        <v>238</v>
      </c>
      <c r="HA3427" s="5" t="s">
        <v>238</v>
      </c>
      <c r="HB3427" s="5" t="s">
        <v>238</v>
      </c>
      <c r="HC3427" s="5" t="s">
        <v>238</v>
      </c>
      <c r="HD3427" s="5" t="s">
        <v>238</v>
      </c>
      <c r="HE3427" s="5" t="s">
        <v>238</v>
      </c>
      <c r="HF3427" s="5" t="s">
        <v>238</v>
      </c>
      <c r="HG3427" s="5" t="s">
        <v>238</v>
      </c>
      <c r="HH3427" s="5" t="s">
        <v>238</v>
      </c>
      <c r="HI3427" s="5" t="s">
        <v>238</v>
      </c>
      <c r="HJ3427" s="5" t="s">
        <v>238</v>
      </c>
      <c r="HK3427" s="5" t="s">
        <v>238</v>
      </c>
      <c r="HL3427" s="5" t="s">
        <v>238</v>
      </c>
      <c r="HM3427" s="5" t="s">
        <v>264</v>
      </c>
      <c r="HN3427" s="5" t="s">
        <v>238</v>
      </c>
      <c r="HO3427" s="5" t="s">
        <v>238</v>
      </c>
      <c r="HP3427" s="5" t="s">
        <v>238</v>
      </c>
      <c r="HQ3427" s="5" t="s">
        <v>238</v>
      </c>
      <c r="HR3427" s="5" t="s">
        <v>238</v>
      </c>
      <c r="HS3427" s="5" t="s">
        <v>238</v>
      </c>
      <c r="HT3427" s="5" t="s">
        <v>238</v>
      </c>
      <c r="HU3427" s="5" t="s">
        <v>238</v>
      </c>
      <c r="HV3427" s="5" t="s">
        <v>238</v>
      </c>
      <c r="HW3427" s="5" t="s">
        <v>238</v>
      </c>
      <c r="HX3427" s="5" t="s">
        <v>238</v>
      </c>
      <c r="HY3427" s="5" t="s">
        <v>238</v>
      </c>
      <c r="HZ3427" s="5" t="s">
        <v>238</v>
      </c>
      <c r="IA3427" s="5" t="s">
        <v>238</v>
      </c>
      <c r="IB3427" s="5" t="s">
        <v>238</v>
      </c>
      <c r="IC3427" s="5" t="s">
        <v>238</v>
      </c>
      <c r="ID3427" s="5" t="s">
        <v>238</v>
      </c>
    </row>
    <row r="3428" spans="1:238" x14ac:dyDescent="0.4">
      <c r="A3428" s="5">
        <v>9146</v>
      </c>
      <c r="B3428" s="5">
        <v>1</v>
      </c>
      <c r="C3428" s="5">
        <v>1</v>
      </c>
      <c r="D3428" s="5" t="s">
        <v>484</v>
      </c>
      <c r="E3428" s="5" t="s">
        <v>485</v>
      </c>
      <c r="F3428" s="5" t="s">
        <v>248</v>
      </c>
      <c r="G3428" s="5" t="s">
        <v>4883</v>
      </c>
      <c r="H3428" s="6" t="s">
        <v>4884</v>
      </c>
      <c r="I3428" s="8">
        <f>1</f>
        <v>1</v>
      </c>
      <c r="J3428" s="5" t="s">
        <v>499</v>
      </c>
      <c r="K3428" s="8">
        <f>1</f>
        <v>1</v>
      </c>
      <c r="L3428" s="6" t="s">
        <v>242</v>
      </c>
      <c r="M3428" s="5" t="s">
        <v>267</v>
      </c>
      <c r="N3428" s="5" t="s">
        <v>482</v>
      </c>
      <c r="O3428" s="5" t="s">
        <v>238</v>
      </c>
      <c r="P3428" s="5" t="s">
        <v>238</v>
      </c>
      <c r="Q3428" s="5" t="s">
        <v>239</v>
      </c>
      <c r="R3428" s="5" t="s">
        <v>270</v>
      </c>
      <c r="S3428" s="5" t="s">
        <v>238</v>
      </c>
      <c r="T3428" s="5" t="s">
        <v>238</v>
      </c>
      <c r="U3428" s="5" t="s">
        <v>238</v>
      </c>
      <c r="V3428" s="5" t="s">
        <v>238</v>
      </c>
      <c r="W3428" s="6" t="s">
        <v>238</v>
      </c>
      <c r="X3428" s="6" t="s">
        <v>238</v>
      </c>
      <c r="Y3428" s="5" t="s">
        <v>238</v>
      </c>
      <c r="Z3428" s="6" t="s">
        <v>238</v>
      </c>
      <c r="AA3428" s="6" t="s">
        <v>243</v>
      </c>
      <c r="AB3428" s="5" t="s">
        <v>486</v>
      </c>
      <c r="AC3428" s="5" t="s">
        <v>244</v>
      </c>
      <c r="AD3428" s="5" t="s">
        <v>245</v>
      </c>
      <c r="AE3428" s="5" t="s">
        <v>238</v>
      </c>
      <c r="AF3428" s="5" t="s">
        <v>238</v>
      </c>
      <c r="AG3428" s="5" t="s">
        <v>238</v>
      </c>
      <c r="AH3428" s="5" t="s">
        <v>238</v>
      </c>
      <c r="AI3428" s="5" t="s">
        <v>238</v>
      </c>
      <c r="AJ3428" s="5" t="s">
        <v>238</v>
      </c>
      <c r="AK3428" s="5" t="s">
        <v>238</v>
      </c>
      <c r="AL3428" s="5" t="s">
        <v>238</v>
      </c>
      <c r="AM3428" s="6" t="s">
        <v>238</v>
      </c>
      <c r="AN3428" s="6" t="s">
        <v>238</v>
      </c>
      <c r="AO3428" s="6" t="s">
        <v>238</v>
      </c>
      <c r="AP3428" s="6" t="s">
        <v>238</v>
      </c>
      <c r="AQ3428" s="5" t="s">
        <v>238</v>
      </c>
      <c r="AR3428" s="5" t="s">
        <v>488</v>
      </c>
      <c r="AS3428" s="5" t="s">
        <v>488</v>
      </c>
      <c r="AT3428" s="5" t="s">
        <v>246</v>
      </c>
      <c r="AU3428" s="5" t="s">
        <v>489</v>
      </c>
      <c r="AV3428" s="5" t="s">
        <v>247</v>
      </c>
      <c r="AW3428" s="5" t="s">
        <v>238</v>
      </c>
      <c r="AX3428" s="5" t="s">
        <v>249</v>
      </c>
      <c r="AY3428" s="5" t="s">
        <v>490</v>
      </c>
      <c r="BA3428" s="5" t="s">
        <v>238</v>
      </c>
      <c r="BC3428" s="5" t="s">
        <v>491</v>
      </c>
      <c r="BD3428" s="6" t="s">
        <v>492</v>
      </c>
      <c r="BE3428" s="5" t="s">
        <v>493</v>
      </c>
      <c r="BF3428" s="5" t="s">
        <v>493</v>
      </c>
      <c r="BG3428" s="5" t="s">
        <v>238</v>
      </c>
      <c r="BH3428" s="8">
        <f>1</f>
        <v>1</v>
      </c>
      <c r="BI3428" s="8">
        <f>1</f>
        <v>1</v>
      </c>
      <c r="BJ3428" s="5" t="s">
        <v>253</v>
      </c>
      <c r="BK3428" s="5" t="s">
        <v>254</v>
      </c>
      <c r="BL3428" s="5" t="s">
        <v>238</v>
      </c>
      <c r="BM3428" s="5" t="s">
        <v>238</v>
      </c>
      <c r="BN3428" s="5" t="s">
        <v>238</v>
      </c>
      <c r="BO3428" s="5" t="s">
        <v>238</v>
      </c>
      <c r="BP3428" s="5" t="s">
        <v>238</v>
      </c>
      <c r="BQ3428" s="5" t="s">
        <v>238</v>
      </c>
      <c r="BR3428" s="5" t="s">
        <v>238</v>
      </c>
      <c r="BS3428" s="5" t="s">
        <v>238</v>
      </c>
      <c r="BT3428" s="6" t="s">
        <v>238</v>
      </c>
      <c r="BU3428" s="5" t="s">
        <v>238</v>
      </c>
      <c r="BV3428" s="5" t="s">
        <v>238</v>
      </c>
      <c r="BW3428" s="5" t="s">
        <v>238</v>
      </c>
      <c r="BX3428" s="5" t="s">
        <v>254</v>
      </c>
      <c r="BY3428" s="5" t="s">
        <v>238</v>
      </c>
      <c r="BZ3428" s="5" t="s">
        <v>238</v>
      </c>
      <c r="CA3428" s="5" t="s">
        <v>238</v>
      </c>
      <c r="CB3428" s="5" t="s">
        <v>238</v>
      </c>
      <c r="CC3428" s="5" t="s">
        <v>238</v>
      </c>
      <c r="CD3428" s="5" t="s">
        <v>273</v>
      </c>
      <c r="CE3428" s="5" t="s">
        <v>256</v>
      </c>
      <c r="CF3428" s="5" t="s">
        <v>238</v>
      </c>
      <c r="CH3428" s="5" t="s">
        <v>494</v>
      </c>
      <c r="CI3428" s="6" t="s">
        <v>257</v>
      </c>
      <c r="CJ3428" s="5" t="s">
        <v>495</v>
      </c>
      <c r="CK3428" s="5" t="s">
        <v>258</v>
      </c>
      <c r="CL3428" s="5" t="s">
        <v>496</v>
      </c>
      <c r="CM3428" s="5" t="s">
        <v>238</v>
      </c>
      <c r="CN3428" s="5">
        <v>0</v>
      </c>
      <c r="CO3428" s="5" t="s">
        <v>497</v>
      </c>
      <c r="CP3428" s="5" t="s">
        <v>260</v>
      </c>
      <c r="CQ3428" s="5" t="s">
        <v>260</v>
      </c>
      <c r="CR3428" s="5" t="s">
        <v>261</v>
      </c>
      <c r="CS3428" s="5" t="s">
        <v>498</v>
      </c>
      <c r="CT3428" s="7">
        <f>1</f>
        <v>1</v>
      </c>
      <c r="CU3428" s="8">
        <f>1</f>
        <v>1</v>
      </c>
      <c r="CV3428" s="8">
        <f>0</f>
        <v>0</v>
      </c>
      <c r="CX3428" s="8">
        <f>1</f>
        <v>1</v>
      </c>
      <c r="CY3428" s="8">
        <f>1</f>
        <v>1</v>
      </c>
      <c r="CZ3428" s="8" t="s">
        <v>238</v>
      </c>
      <c r="DA3428" s="5" t="s">
        <v>238</v>
      </c>
      <c r="DB3428" s="5" t="s">
        <v>238</v>
      </c>
      <c r="DC3428" s="5" t="s">
        <v>238</v>
      </c>
      <c r="DD3428" s="5" t="s">
        <v>238</v>
      </c>
      <c r="DE3428" s="8">
        <f>0</f>
        <v>0</v>
      </c>
      <c r="DG3428" s="5" t="s">
        <v>238</v>
      </c>
      <c r="DH3428" s="5" t="s">
        <v>238</v>
      </c>
      <c r="DI3428" s="5" t="s">
        <v>238</v>
      </c>
      <c r="DJ3428" s="5" t="s">
        <v>238</v>
      </c>
      <c r="DK3428" s="5" t="s">
        <v>238</v>
      </c>
      <c r="DL3428" s="5" t="s">
        <v>238</v>
      </c>
      <c r="DM3428" s="8" t="s">
        <v>238</v>
      </c>
      <c r="DN3428" s="5" t="s">
        <v>238</v>
      </c>
      <c r="DO3428" s="5" t="s">
        <v>238</v>
      </c>
      <c r="DP3428" s="5" t="s">
        <v>490</v>
      </c>
      <c r="DQ3428" s="5" t="s">
        <v>490</v>
      </c>
      <c r="DR3428" s="5" t="s">
        <v>238</v>
      </c>
      <c r="DS3428" s="5" t="s">
        <v>238</v>
      </c>
      <c r="DT3428" s="5" t="s">
        <v>500</v>
      </c>
      <c r="DU3428" s="5" t="s">
        <v>320</v>
      </c>
      <c r="DV3428" s="5" t="s">
        <v>238</v>
      </c>
      <c r="DW3428" s="5" t="s">
        <v>238</v>
      </c>
      <c r="DX3428" s="5" t="s">
        <v>238</v>
      </c>
      <c r="DY3428" s="5" t="s">
        <v>238</v>
      </c>
      <c r="DZ3428" s="5" t="s">
        <v>238</v>
      </c>
      <c r="EA3428" s="5" t="s">
        <v>238</v>
      </c>
      <c r="EB3428" s="5" t="s">
        <v>238</v>
      </c>
      <c r="EC3428" s="5" t="s">
        <v>238</v>
      </c>
      <c r="ED3428" s="5" t="s">
        <v>238</v>
      </c>
      <c r="EE3428" s="5" t="s">
        <v>238</v>
      </c>
      <c r="EF3428" s="5" t="s">
        <v>238</v>
      </c>
      <c r="EG3428" s="5" t="s">
        <v>238</v>
      </c>
      <c r="EH3428" s="5" t="s">
        <v>238</v>
      </c>
      <c r="EI3428" s="5" t="s">
        <v>238</v>
      </c>
      <c r="EJ3428" s="5" t="s">
        <v>238</v>
      </c>
      <c r="EK3428" s="5" t="s">
        <v>238</v>
      </c>
      <c r="EL3428" s="5" t="s">
        <v>238</v>
      </c>
      <c r="EM3428" s="5" t="s">
        <v>238</v>
      </c>
      <c r="EN3428" s="5" t="s">
        <v>238</v>
      </c>
      <c r="EO3428" s="5" t="s">
        <v>238</v>
      </c>
      <c r="EP3428" s="5" t="s">
        <v>238</v>
      </c>
      <c r="EQ3428" s="5" t="s">
        <v>238</v>
      </c>
      <c r="ER3428" s="5" t="s">
        <v>238</v>
      </c>
      <c r="ES3428" s="5" t="s">
        <v>238</v>
      </c>
      <c r="ET3428" s="5" t="s">
        <v>238</v>
      </c>
      <c r="EU3428" s="5" t="s">
        <v>238</v>
      </c>
      <c r="EV3428" s="5" t="s">
        <v>238</v>
      </c>
      <c r="EW3428" s="5" t="s">
        <v>238</v>
      </c>
      <c r="EX3428" s="5" t="s">
        <v>238</v>
      </c>
      <c r="EY3428" s="5" t="s">
        <v>238</v>
      </c>
      <c r="EZ3428" s="5" t="s">
        <v>238</v>
      </c>
      <c r="FA3428" s="5" t="s">
        <v>238</v>
      </c>
      <c r="FB3428" s="5" t="s">
        <v>238</v>
      </c>
      <c r="FC3428" s="5" t="s">
        <v>238</v>
      </c>
      <c r="FD3428" s="5" t="s">
        <v>238</v>
      </c>
      <c r="FE3428" s="5" t="s">
        <v>238</v>
      </c>
      <c r="FF3428" s="5" t="s">
        <v>238</v>
      </c>
      <c r="FG3428" s="5" t="s">
        <v>238</v>
      </c>
      <c r="FH3428" s="5" t="s">
        <v>238</v>
      </c>
      <c r="FI3428" s="5" t="s">
        <v>238</v>
      </c>
      <c r="FJ3428" s="5" t="s">
        <v>238</v>
      </c>
      <c r="FK3428" s="5" t="s">
        <v>238</v>
      </c>
      <c r="FL3428" s="5" t="s">
        <v>238</v>
      </c>
      <c r="FM3428" s="5" t="s">
        <v>238</v>
      </c>
      <c r="FN3428" s="5" t="s">
        <v>238</v>
      </c>
      <c r="FO3428" s="5" t="s">
        <v>238</v>
      </c>
      <c r="FP3428" s="5" t="s">
        <v>238</v>
      </c>
      <c r="FQ3428" s="5" t="s">
        <v>238</v>
      </c>
      <c r="FR3428" s="5" t="s">
        <v>238</v>
      </c>
      <c r="FS3428" s="5" t="s">
        <v>238</v>
      </c>
      <c r="FT3428" s="5" t="s">
        <v>238</v>
      </c>
      <c r="FU3428" s="5" t="s">
        <v>238</v>
      </c>
      <c r="FV3428" s="5" t="s">
        <v>238</v>
      </c>
      <c r="FW3428" s="5" t="s">
        <v>238</v>
      </c>
      <c r="FX3428" s="5" t="s">
        <v>238</v>
      </c>
      <c r="FY3428" s="5" t="s">
        <v>238</v>
      </c>
      <c r="FZ3428" s="5" t="s">
        <v>238</v>
      </c>
      <c r="GA3428" s="5" t="s">
        <v>238</v>
      </c>
      <c r="GB3428" s="5" t="s">
        <v>238</v>
      </c>
      <c r="GC3428" s="5" t="s">
        <v>238</v>
      </c>
      <c r="GD3428" s="5" t="s">
        <v>238</v>
      </c>
      <c r="GE3428" s="5" t="s">
        <v>238</v>
      </c>
      <c r="GF3428" s="5" t="s">
        <v>238</v>
      </c>
      <c r="GG3428" s="5" t="s">
        <v>238</v>
      </c>
      <c r="GH3428" s="5" t="s">
        <v>238</v>
      </c>
      <c r="GI3428" s="5" t="s">
        <v>238</v>
      </c>
      <c r="GJ3428" s="5" t="s">
        <v>238</v>
      </c>
      <c r="GK3428" s="5" t="s">
        <v>238</v>
      </c>
      <c r="GL3428" s="5" t="s">
        <v>238</v>
      </c>
      <c r="GM3428" s="5" t="s">
        <v>238</v>
      </c>
      <c r="GN3428" s="5" t="s">
        <v>238</v>
      </c>
      <c r="GO3428" s="5" t="s">
        <v>238</v>
      </c>
      <c r="GP3428" s="5" t="s">
        <v>238</v>
      </c>
      <c r="GQ3428" s="5" t="s">
        <v>238</v>
      </c>
      <c r="GR3428" s="5" t="s">
        <v>238</v>
      </c>
      <c r="GS3428" s="5" t="s">
        <v>238</v>
      </c>
      <c r="GT3428" s="5" t="s">
        <v>238</v>
      </c>
      <c r="GU3428" s="5" t="s">
        <v>238</v>
      </c>
      <c r="GV3428" s="5" t="s">
        <v>238</v>
      </c>
      <c r="GW3428" s="5" t="s">
        <v>238</v>
      </c>
      <c r="GX3428" s="5" t="s">
        <v>238</v>
      </c>
      <c r="GY3428" s="5" t="s">
        <v>238</v>
      </c>
      <c r="GZ3428" s="5" t="s">
        <v>238</v>
      </c>
      <c r="HA3428" s="5" t="s">
        <v>238</v>
      </c>
      <c r="HB3428" s="5" t="s">
        <v>238</v>
      </c>
      <c r="HC3428" s="5" t="s">
        <v>238</v>
      </c>
      <c r="HD3428" s="5" t="s">
        <v>238</v>
      </c>
      <c r="HE3428" s="5" t="s">
        <v>238</v>
      </c>
      <c r="HF3428" s="5" t="s">
        <v>238</v>
      </c>
      <c r="HG3428" s="5" t="s">
        <v>238</v>
      </c>
      <c r="HH3428" s="5" t="s">
        <v>238</v>
      </c>
      <c r="HI3428" s="5" t="s">
        <v>238</v>
      </c>
      <c r="HJ3428" s="5" t="s">
        <v>238</v>
      </c>
      <c r="HK3428" s="5" t="s">
        <v>238</v>
      </c>
      <c r="HL3428" s="5" t="s">
        <v>238</v>
      </c>
      <c r="HM3428" s="5" t="s">
        <v>264</v>
      </c>
      <c r="HN3428" s="5" t="s">
        <v>238</v>
      </c>
      <c r="HO3428" s="5" t="s">
        <v>238</v>
      </c>
      <c r="HP3428" s="5" t="s">
        <v>238</v>
      </c>
      <c r="HQ3428" s="5" t="s">
        <v>238</v>
      </c>
      <c r="HR3428" s="5" t="s">
        <v>238</v>
      </c>
      <c r="HS3428" s="5" t="s">
        <v>238</v>
      </c>
      <c r="HT3428" s="5" t="s">
        <v>238</v>
      </c>
      <c r="HU3428" s="5" t="s">
        <v>238</v>
      </c>
      <c r="HV3428" s="5" t="s">
        <v>238</v>
      </c>
      <c r="HW3428" s="5" t="s">
        <v>238</v>
      </c>
      <c r="HX3428" s="5" t="s">
        <v>238</v>
      </c>
      <c r="HY3428" s="5" t="s">
        <v>238</v>
      </c>
      <c r="HZ3428" s="5" t="s">
        <v>238</v>
      </c>
      <c r="IA3428" s="5" t="s">
        <v>238</v>
      </c>
      <c r="IB3428" s="5" t="s">
        <v>238</v>
      </c>
      <c r="IC3428" s="5" t="s">
        <v>238</v>
      </c>
      <c r="ID3428" s="5" t="s">
        <v>238</v>
      </c>
    </row>
    <row r="3429" spans="1:238" x14ac:dyDescent="0.4">
      <c r="A3429" s="5">
        <v>9147</v>
      </c>
      <c r="B3429" s="5">
        <v>1</v>
      </c>
      <c r="C3429" s="5">
        <v>1</v>
      </c>
      <c r="D3429" s="5" t="s">
        <v>484</v>
      </c>
      <c r="E3429" s="5" t="s">
        <v>485</v>
      </c>
      <c r="F3429" s="5" t="s">
        <v>248</v>
      </c>
      <c r="G3429" s="5" t="s">
        <v>5490</v>
      </c>
      <c r="H3429" s="6" t="s">
        <v>5491</v>
      </c>
      <c r="I3429" s="8">
        <f>1</f>
        <v>1</v>
      </c>
      <c r="J3429" s="5" t="s">
        <v>499</v>
      </c>
      <c r="K3429" s="8">
        <f>1</f>
        <v>1</v>
      </c>
      <c r="L3429" s="6" t="s">
        <v>242</v>
      </c>
      <c r="M3429" s="5" t="s">
        <v>267</v>
      </c>
      <c r="N3429" s="5" t="s">
        <v>482</v>
      </c>
      <c r="O3429" s="5" t="s">
        <v>238</v>
      </c>
      <c r="P3429" s="5" t="s">
        <v>238</v>
      </c>
      <c r="Q3429" s="5" t="s">
        <v>239</v>
      </c>
      <c r="R3429" s="5" t="s">
        <v>270</v>
      </c>
      <c r="S3429" s="5" t="s">
        <v>238</v>
      </c>
      <c r="T3429" s="5" t="s">
        <v>238</v>
      </c>
      <c r="U3429" s="5" t="s">
        <v>238</v>
      </c>
      <c r="V3429" s="5" t="s">
        <v>238</v>
      </c>
      <c r="W3429" s="6" t="s">
        <v>238</v>
      </c>
      <c r="X3429" s="6" t="s">
        <v>238</v>
      </c>
      <c r="Y3429" s="5" t="s">
        <v>238</v>
      </c>
      <c r="Z3429" s="6" t="s">
        <v>238</v>
      </c>
      <c r="AA3429" s="6" t="s">
        <v>243</v>
      </c>
      <c r="AB3429" s="5" t="s">
        <v>486</v>
      </c>
      <c r="AC3429" s="5" t="s">
        <v>244</v>
      </c>
      <c r="AD3429" s="5" t="s">
        <v>245</v>
      </c>
      <c r="AE3429" s="5" t="s">
        <v>238</v>
      </c>
      <c r="AF3429" s="5" t="s">
        <v>238</v>
      </c>
      <c r="AG3429" s="5" t="s">
        <v>238</v>
      </c>
      <c r="AH3429" s="5" t="s">
        <v>238</v>
      </c>
      <c r="AI3429" s="5" t="s">
        <v>238</v>
      </c>
      <c r="AJ3429" s="5" t="s">
        <v>238</v>
      </c>
      <c r="AK3429" s="5" t="s">
        <v>238</v>
      </c>
      <c r="AL3429" s="5" t="s">
        <v>238</v>
      </c>
      <c r="AM3429" s="6" t="s">
        <v>238</v>
      </c>
      <c r="AN3429" s="6" t="s">
        <v>238</v>
      </c>
      <c r="AO3429" s="6" t="s">
        <v>238</v>
      </c>
      <c r="AP3429" s="6" t="s">
        <v>238</v>
      </c>
      <c r="AQ3429" s="5" t="s">
        <v>238</v>
      </c>
      <c r="AR3429" s="5" t="s">
        <v>488</v>
      </c>
      <c r="AS3429" s="5" t="s">
        <v>488</v>
      </c>
      <c r="AT3429" s="5" t="s">
        <v>246</v>
      </c>
      <c r="AU3429" s="5" t="s">
        <v>489</v>
      </c>
      <c r="AV3429" s="5" t="s">
        <v>247</v>
      </c>
      <c r="AW3429" s="5" t="s">
        <v>238</v>
      </c>
      <c r="AX3429" s="5" t="s">
        <v>249</v>
      </c>
      <c r="AY3429" s="5" t="s">
        <v>490</v>
      </c>
      <c r="BA3429" s="5" t="s">
        <v>238</v>
      </c>
      <c r="BC3429" s="5" t="s">
        <v>491</v>
      </c>
      <c r="BD3429" s="6" t="s">
        <v>492</v>
      </c>
      <c r="BE3429" s="5" t="s">
        <v>493</v>
      </c>
      <c r="BF3429" s="5" t="s">
        <v>493</v>
      </c>
      <c r="BG3429" s="5" t="s">
        <v>238</v>
      </c>
      <c r="BH3429" s="8">
        <f>1</f>
        <v>1</v>
      </c>
      <c r="BI3429" s="8">
        <f>1</f>
        <v>1</v>
      </c>
      <c r="BJ3429" s="5" t="s">
        <v>253</v>
      </c>
      <c r="BK3429" s="5" t="s">
        <v>254</v>
      </c>
      <c r="BL3429" s="5" t="s">
        <v>238</v>
      </c>
      <c r="BM3429" s="5" t="s">
        <v>238</v>
      </c>
      <c r="BN3429" s="5" t="s">
        <v>238</v>
      </c>
      <c r="BO3429" s="5" t="s">
        <v>238</v>
      </c>
      <c r="BP3429" s="5" t="s">
        <v>238</v>
      </c>
      <c r="BQ3429" s="5" t="s">
        <v>238</v>
      </c>
      <c r="BR3429" s="5" t="s">
        <v>238</v>
      </c>
      <c r="BS3429" s="5" t="s">
        <v>238</v>
      </c>
      <c r="BT3429" s="6" t="s">
        <v>238</v>
      </c>
      <c r="BU3429" s="5" t="s">
        <v>238</v>
      </c>
      <c r="BV3429" s="5" t="s">
        <v>238</v>
      </c>
      <c r="BW3429" s="5" t="s">
        <v>238</v>
      </c>
      <c r="BX3429" s="5" t="s">
        <v>254</v>
      </c>
      <c r="BY3429" s="5" t="s">
        <v>238</v>
      </c>
      <c r="BZ3429" s="5" t="s">
        <v>238</v>
      </c>
      <c r="CA3429" s="5" t="s">
        <v>238</v>
      </c>
      <c r="CB3429" s="5" t="s">
        <v>238</v>
      </c>
      <c r="CC3429" s="5" t="s">
        <v>238</v>
      </c>
      <c r="CD3429" s="5" t="s">
        <v>273</v>
      </c>
      <c r="CE3429" s="5" t="s">
        <v>256</v>
      </c>
      <c r="CF3429" s="5" t="s">
        <v>238</v>
      </c>
      <c r="CH3429" s="5" t="s">
        <v>494</v>
      </c>
      <c r="CI3429" s="6" t="s">
        <v>257</v>
      </c>
      <c r="CJ3429" s="5" t="s">
        <v>495</v>
      </c>
      <c r="CK3429" s="5" t="s">
        <v>258</v>
      </c>
      <c r="CL3429" s="5" t="s">
        <v>496</v>
      </c>
      <c r="CM3429" s="5" t="s">
        <v>238</v>
      </c>
      <c r="CN3429" s="5">
        <v>0</v>
      </c>
      <c r="CO3429" s="5" t="s">
        <v>497</v>
      </c>
      <c r="CP3429" s="5" t="s">
        <v>260</v>
      </c>
      <c r="CQ3429" s="5" t="s">
        <v>260</v>
      </c>
      <c r="CR3429" s="5" t="s">
        <v>261</v>
      </c>
      <c r="CS3429" s="5" t="s">
        <v>498</v>
      </c>
      <c r="CT3429" s="7">
        <f>1</f>
        <v>1</v>
      </c>
      <c r="CU3429" s="8">
        <f>1</f>
        <v>1</v>
      </c>
      <c r="CV3429" s="8">
        <f>0</f>
        <v>0</v>
      </c>
      <c r="CX3429" s="8">
        <f>1</f>
        <v>1</v>
      </c>
      <c r="CY3429" s="8">
        <f>1</f>
        <v>1</v>
      </c>
      <c r="CZ3429" s="8" t="s">
        <v>238</v>
      </c>
      <c r="DA3429" s="5" t="s">
        <v>238</v>
      </c>
      <c r="DB3429" s="5" t="s">
        <v>238</v>
      </c>
      <c r="DC3429" s="5" t="s">
        <v>238</v>
      </c>
      <c r="DD3429" s="5" t="s">
        <v>238</v>
      </c>
      <c r="DE3429" s="8">
        <f>0</f>
        <v>0</v>
      </c>
      <c r="DG3429" s="5" t="s">
        <v>238</v>
      </c>
      <c r="DH3429" s="5" t="s">
        <v>238</v>
      </c>
      <c r="DI3429" s="5" t="s">
        <v>238</v>
      </c>
      <c r="DJ3429" s="5" t="s">
        <v>238</v>
      </c>
      <c r="DK3429" s="5" t="s">
        <v>238</v>
      </c>
      <c r="DL3429" s="5" t="s">
        <v>238</v>
      </c>
      <c r="DM3429" s="8" t="s">
        <v>238</v>
      </c>
      <c r="DN3429" s="5" t="s">
        <v>238</v>
      </c>
      <c r="DO3429" s="5" t="s">
        <v>238</v>
      </c>
      <c r="DP3429" s="5" t="s">
        <v>490</v>
      </c>
      <c r="DQ3429" s="5" t="s">
        <v>490</v>
      </c>
      <c r="DR3429" s="5" t="s">
        <v>238</v>
      </c>
      <c r="DS3429" s="5" t="s">
        <v>238</v>
      </c>
      <c r="DT3429" s="5" t="s">
        <v>500</v>
      </c>
      <c r="DU3429" s="5" t="s">
        <v>806</v>
      </c>
      <c r="DV3429" s="5" t="s">
        <v>238</v>
      </c>
      <c r="DW3429" s="5" t="s">
        <v>238</v>
      </c>
      <c r="DX3429" s="5" t="s">
        <v>238</v>
      </c>
      <c r="DY3429" s="5" t="s">
        <v>238</v>
      </c>
      <c r="DZ3429" s="5" t="s">
        <v>238</v>
      </c>
      <c r="EA3429" s="5" t="s">
        <v>238</v>
      </c>
      <c r="EB3429" s="5" t="s">
        <v>238</v>
      </c>
      <c r="EC3429" s="5" t="s">
        <v>238</v>
      </c>
      <c r="ED3429" s="5" t="s">
        <v>238</v>
      </c>
      <c r="EE3429" s="5" t="s">
        <v>238</v>
      </c>
      <c r="EF3429" s="5" t="s">
        <v>238</v>
      </c>
      <c r="EG3429" s="5" t="s">
        <v>238</v>
      </c>
      <c r="EH3429" s="5" t="s">
        <v>238</v>
      </c>
      <c r="EI3429" s="5" t="s">
        <v>238</v>
      </c>
      <c r="EJ3429" s="5" t="s">
        <v>238</v>
      </c>
      <c r="EK3429" s="5" t="s">
        <v>238</v>
      </c>
      <c r="EL3429" s="5" t="s">
        <v>238</v>
      </c>
      <c r="EM3429" s="5" t="s">
        <v>238</v>
      </c>
      <c r="EN3429" s="5" t="s">
        <v>238</v>
      </c>
      <c r="EO3429" s="5" t="s">
        <v>238</v>
      </c>
      <c r="EP3429" s="5" t="s">
        <v>238</v>
      </c>
      <c r="EQ3429" s="5" t="s">
        <v>238</v>
      </c>
      <c r="ER3429" s="5" t="s">
        <v>238</v>
      </c>
      <c r="ES3429" s="5" t="s">
        <v>238</v>
      </c>
      <c r="ET3429" s="5" t="s">
        <v>238</v>
      </c>
      <c r="EU3429" s="5" t="s">
        <v>238</v>
      </c>
      <c r="EV3429" s="5" t="s">
        <v>238</v>
      </c>
      <c r="EW3429" s="5" t="s">
        <v>238</v>
      </c>
      <c r="EX3429" s="5" t="s">
        <v>238</v>
      </c>
      <c r="EY3429" s="5" t="s">
        <v>238</v>
      </c>
      <c r="EZ3429" s="5" t="s">
        <v>238</v>
      </c>
      <c r="FA3429" s="5" t="s">
        <v>238</v>
      </c>
      <c r="FB3429" s="5" t="s">
        <v>238</v>
      </c>
      <c r="FC3429" s="5" t="s">
        <v>238</v>
      </c>
      <c r="FD3429" s="5" t="s">
        <v>238</v>
      </c>
      <c r="FE3429" s="5" t="s">
        <v>238</v>
      </c>
      <c r="FF3429" s="5" t="s">
        <v>238</v>
      </c>
      <c r="FG3429" s="5" t="s">
        <v>238</v>
      </c>
      <c r="FH3429" s="5" t="s">
        <v>238</v>
      </c>
      <c r="FI3429" s="5" t="s">
        <v>238</v>
      </c>
      <c r="FJ3429" s="5" t="s">
        <v>238</v>
      </c>
      <c r="FK3429" s="5" t="s">
        <v>238</v>
      </c>
      <c r="FL3429" s="5" t="s">
        <v>238</v>
      </c>
      <c r="FM3429" s="5" t="s">
        <v>238</v>
      </c>
      <c r="FN3429" s="5" t="s">
        <v>238</v>
      </c>
      <c r="FO3429" s="5" t="s">
        <v>238</v>
      </c>
      <c r="FP3429" s="5" t="s">
        <v>238</v>
      </c>
      <c r="FQ3429" s="5" t="s">
        <v>238</v>
      </c>
      <c r="FR3429" s="5" t="s">
        <v>238</v>
      </c>
      <c r="FS3429" s="5" t="s">
        <v>238</v>
      </c>
      <c r="FT3429" s="5" t="s">
        <v>238</v>
      </c>
      <c r="FU3429" s="5" t="s">
        <v>238</v>
      </c>
      <c r="FV3429" s="5" t="s">
        <v>238</v>
      </c>
      <c r="FW3429" s="5" t="s">
        <v>238</v>
      </c>
      <c r="FX3429" s="5" t="s">
        <v>238</v>
      </c>
      <c r="FY3429" s="5" t="s">
        <v>238</v>
      </c>
      <c r="FZ3429" s="5" t="s">
        <v>238</v>
      </c>
      <c r="GA3429" s="5" t="s">
        <v>238</v>
      </c>
      <c r="GB3429" s="5" t="s">
        <v>238</v>
      </c>
      <c r="GC3429" s="5" t="s">
        <v>238</v>
      </c>
      <c r="GD3429" s="5" t="s">
        <v>238</v>
      </c>
      <c r="GE3429" s="5" t="s">
        <v>238</v>
      </c>
      <c r="GF3429" s="5" t="s">
        <v>238</v>
      </c>
      <c r="GG3429" s="5" t="s">
        <v>238</v>
      </c>
      <c r="GH3429" s="5" t="s">
        <v>238</v>
      </c>
      <c r="GI3429" s="5" t="s">
        <v>238</v>
      </c>
      <c r="GJ3429" s="5" t="s">
        <v>238</v>
      </c>
      <c r="GK3429" s="5" t="s">
        <v>238</v>
      </c>
      <c r="GL3429" s="5" t="s">
        <v>238</v>
      </c>
      <c r="GM3429" s="5" t="s">
        <v>238</v>
      </c>
      <c r="GN3429" s="5" t="s">
        <v>238</v>
      </c>
      <c r="GO3429" s="5" t="s">
        <v>238</v>
      </c>
      <c r="GP3429" s="5" t="s">
        <v>238</v>
      </c>
      <c r="GQ3429" s="5" t="s">
        <v>238</v>
      </c>
      <c r="GR3429" s="5" t="s">
        <v>238</v>
      </c>
      <c r="GS3429" s="5" t="s">
        <v>238</v>
      </c>
      <c r="GT3429" s="5" t="s">
        <v>238</v>
      </c>
      <c r="GU3429" s="5" t="s">
        <v>238</v>
      </c>
      <c r="GV3429" s="5" t="s">
        <v>238</v>
      </c>
      <c r="GW3429" s="5" t="s">
        <v>238</v>
      </c>
      <c r="GX3429" s="5" t="s">
        <v>238</v>
      </c>
      <c r="GY3429" s="5" t="s">
        <v>238</v>
      </c>
      <c r="GZ3429" s="5" t="s">
        <v>238</v>
      </c>
      <c r="HA3429" s="5" t="s">
        <v>238</v>
      </c>
      <c r="HB3429" s="5" t="s">
        <v>238</v>
      </c>
      <c r="HC3429" s="5" t="s">
        <v>238</v>
      </c>
      <c r="HD3429" s="5" t="s">
        <v>238</v>
      </c>
      <c r="HE3429" s="5" t="s">
        <v>238</v>
      </c>
      <c r="HF3429" s="5" t="s">
        <v>238</v>
      </c>
      <c r="HG3429" s="5" t="s">
        <v>238</v>
      </c>
      <c r="HH3429" s="5" t="s">
        <v>238</v>
      </c>
      <c r="HI3429" s="5" t="s">
        <v>238</v>
      </c>
      <c r="HJ3429" s="5" t="s">
        <v>238</v>
      </c>
      <c r="HK3429" s="5" t="s">
        <v>238</v>
      </c>
      <c r="HL3429" s="5" t="s">
        <v>238</v>
      </c>
      <c r="HM3429" s="5" t="s">
        <v>264</v>
      </c>
      <c r="HN3429" s="5" t="s">
        <v>238</v>
      </c>
      <c r="HO3429" s="5" t="s">
        <v>238</v>
      </c>
      <c r="HP3429" s="5" t="s">
        <v>238</v>
      </c>
      <c r="HQ3429" s="5" t="s">
        <v>238</v>
      </c>
      <c r="HR3429" s="5" t="s">
        <v>238</v>
      </c>
      <c r="HS3429" s="5" t="s">
        <v>238</v>
      </c>
      <c r="HT3429" s="5" t="s">
        <v>238</v>
      </c>
      <c r="HU3429" s="5" t="s">
        <v>238</v>
      </c>
      <c r="HV3429" s="5" t="s">
        <v>238</v>
      </c>
      <c r="HW3429" s="5" t="s">
        <v>238</v>
      </c>
      <c r="HX3429" s="5" t="s">
        <v>238</v>
      </c>
      <c r="HY3429" s="5" t="s">
        <v>238</v>
      </c>
      <c r="HZ3429" s="5" t="s">
        <v>238</v>
      </c>
      <c r="IA3429" s="5" t="s">
        <v>238</v>
      </c>
      <c r="IB3429" s="5" t="s">
        <v>238</v>
      </c>
      <c r="IC3429" s="5" t="s">
        <v>238</v>
      </c>
      <c r="ID3429" s="5" t="s">
        <v>238</v>
      </c>
    </row>
    <row r="3430" spans="1:238" x14ac:dyDescent="0.4">
      <c r="A3430" s="5">
        <v>9148</v>
      </c>
      <c r="B3430" s="5">
        <v>1</v>
      </c>
      <c r="C3430" s="5">
        <v>1</v>
      </c>
      <c r="D3430" s="5" t="s">
        <v>484</v>
      </c>
      <c r="E3430" s="5" t="s">
        <v>485</v>
      </c>
      <c r="F3430" s="5" t="s">
        <v>248</v>
      </c>
      <c r="G3430" s="5" t="s">
        <v>5301</v>
      </c>
      <c r="H3430" s="6" t="s">
        <v>5302</v>
      </c>
      <c r="I3430" s="8">
        <f>1</f>
        <v>1</v>
      </c>
      <c r="J3430" s="5" t="s">
        <v>499</v>
      </c>
      <c r="K3430" s="8">
        <f>1</f>
        <v>1</v>
      </c>
      <c r="L3430" s="6" t="s">
        <v>242</v>
      </c>
      <c r="M3430" s="5" t="s">
        <v>267</v>
      </c>
      <c r="N3430" s="5" t="s">
        <v>482</v>
      </c>
      <c r="O3430" s="5" t="s">
        <v>238</v>
      </c>
      <c r="P3430" s="5" t="s">
        <v>238</v>
      </c>
      <c r="Q3430" s="5" t="s">
        <v>239</v>
      </c>
      <c r="R3430" s="5" t="s">
        <v>270</v>
      </c>
      <c r="S3430" s="5" t="s">
        <v>238</v>
      </c>
      <c r="T3430" s="5" t="s">
        <v>238</v>
      </c>
      <c r="U3430" s="5" t="s">
        <v>238</v>
      </c>
      <c r="V3430" s="5" t="s">
        <v>238</v>
      </c>
      <c r="W3430" s="6" t="s">
        <v>238</v>
      </c>
      <c r="X3430" s="6" t="s">
        <v>238</v>
      </c>
      <c r="Y3430" s="5" t="s">
        <v>238</v>
      </c>
      <c r="Z3430" s="6" t="s">
        <v>238</v>
      </c>
      <c r="AA3430" s="6" t="s">
        <v>243</v>
      </c>
      <c r="AB3430" s="5" t="s">
        <v>486</v>
      </c>
      <c r="AC3430" s="5" t="s">
        <v>244</v>
      </c>
      <c r="AD3430" s="5" t="s">
        <v>245</v>
      </c>
      <c r="AE3430" s="5" t="s">
        <v>238</v>
      </c>
      <c r="AF3430" s="5" t="s">
        <v>238</v>
      </c>
      <c r="AG3430" s="5" t="s">
        <v>238</v>
      </c>
      <c r="AH3430" s="5" t="s">
        <v>238</v>
      </c>
      <c r="AI3430" s="5" t="s">
        <v>238</v>
      </c>
      <c r="AJ3430" s="5" t="s">
        <v>238</v>
      </c>
      <c r="AK3430" s="5" t="s">
        <v>238</v>
      </c>
      <c r="AL3430" s="5" t="s">
        <v>238</v>
      </c>
      <c r="AM3430" s="6" t="s">
        <v>238</v>
      </c>
      <c r="AN3430" s="6" t="s">
        <v>238</v>
      </c>
      <c r="AO3430" s="6" t="s">
        <v>238</v>
      </c>
      <c r="AP3430" s="6" t="s">
        <v>238</v>
      </c>
      <c r="AQ3430" s="5" t="s">
        <v>238</v>
      </c>
      <c r="AR3430" s="5" t="s">
        <v>488</v>
      </c>
      <c r="AS3430" s="5" t="s">
        <v>488</v>
      </c>
      <c r="AT3430" s="5" t="s">
        <v>246</v>
      </c>
      <c r="AU3430" s="5" t="s">
        <v>489</v>
      </c>
      <c r="AV3430" s="5" t="s">
        <v>247</v>
      </c>
      <c r="AW3430" s="5" t="s">
        <v>238</v>
      </c>
      <c r="AX3430" s="5" t="s">
        <v>249</v>
      </c>
      <c r="AY3430" s="5" t="s">
        <v>490</v>
      </c>
      <c r="BA3430" s="5" t="s">
        <v>238</v>
      </c>
      <c r="BC3430" s="5" t="s">
        <v>491</v>
      </c>
      <c r="BD3430" s="6" t="s">
        <v>492</v>
      </c>
      <c r="BE3430" s="5" t="s">
        <v>493</v>
      </c>
      <c r="BF3430" s="5" t="s">
        <v>493</v>
      </c>
      <c r="BG3430" s="5" t="s">
        <v>238</v>
      </c>
      <c r="BH3430" s="8">
        <f>1</f>
        <v>1</v>
      </c>
      <c r="BI3430" s="8">
        <f>1</f>
        <v>1</v>
      </c>
      <c r="BJ3430" s="5" t="s">
        <v>253</v>
      </c>
      <c r="BK3430" s="5" t="s">
        <v>254</v>
      </c>
      <c r="BL3430" s="5" t="s">
        <v>238</v>
      </c>
      <c r="BM3430" s="5" t="s">
        <v>238</v>
      </c>
      <c r="BN3430" s="5" t="s">
        <v>238</v>
      </c>
      <c r="BO3430" s="5" t="s">
        <v>238</v>
      </c>
      <c r="BP3430" s="5" t="s">
        <v>238</v>
      </c>
      <c r="BQ3430" s="5" t="s">
        <v>238</v>
      </c>
      <c r="BR3430" s="5" t="s">
        <v>238</v>
      </c>
      <c r="BS3430" s="5" t="s">
        <v>238</v>
      </c>
      <c r="BT3430" s="6" t="s">
        <v>238</v>
      </c>
      <c r="BU3430" s="5" t="s">
        <v>238</v>
      </c>
      <c r="BV3430" s="5" t="s">
        <v>238</v>
      </c>
      <c r="BW3430" s="5" t="s">
        <v>238</v>
      </c>
      <c r="BX3430" s="5" t="s">
        <v>254</v>
      </c>
      <c r="BY3430" s="5" t="s">
        <v>238</v>
      </c>
      <c r="BZ3430" s="5" t="s">
        <v>238</v>
      </c>
      <c r="CA3430" s="5" t="s">
        <v>238</v>
      </c>
      <c r="CB3430" s="5" t="s">
        <v>238</v>
      </c>
      <c r="CC3430" s="5" t="s">
        <v>238</v>
      </c>
      <c r="CD3430" s="5" t="s">
        <v>273</v>
      </c>
      <c r="CE3430" s="5" t="s">
        <v>256</v>
      </c>
      <c r="CF3430" s="5" t="s">
        <v>238</v>
      </c>
      <c r="CH3430" s="5" t="s">
        <v>494</v>
      </c>
      <c r="CI3430" s="6" t="s">
        <v>257</v>
      </c>
      <c r="CJ3430" s="5" t="s">
        <v>495</v>
      </c>
      <c r="CK3430" s="5" t="s">
        <v>258</v>
      </c>
      <c r="CL3430" s="5" t="s">
        <v>496</v>
      </c>
      <c r="CM3430" s="5" t="s">
        <v>238</v>
      </c>
      <c r="CN3430" s="5">
        <v>0</v>
      </c>
      <c r="CO3430" s="5" t="s">
        <v>497</v>
      </c>
      <c r="CP3430" s="5" t="s">
        <v>260</v>
      </c>
      <c r="CQ3430" s="5" t="s">
        <v>260</v>
      </c>
      <c r="CR3430" s="5" t="s">
        <v>261</v>
      </c>
      <c r="CS3430" s="5" t="s">
        <v>498</v>
      </c>
      <c r="CT3430" s="7">
        <f>1</f>
        <v>1</v>
      </c>
      <c r="CU3430" s="8">
        <f>1</f>
        <v>1</v>
      </c>
      <c r="CV3430" s="8">
        <f>0</f>
        <v>0</v>
      </c>
      <c r="CX3430" s="8">
        <f>1</f>
        <v>1</v>
      </c>
      <c r="CY3430" s="8">
        <f>1</f>
        <v>1</v>
      </c>
      <c r="CZ3430" s="8" t="s">
        <v>238</v>
      </c>
      <c r="DA3430" s="5" t="s">
        <v>238</v>
      </c>
      <c r="DB3430" s="5" t="s">
        <v>238</v>
      </c>
      <c r="DC3430" s="5" t="s">
        <v>238</v>
      </c>
      <c r="DD3430" s="5" t="s">
        <v>238</v>
      </c>
      <c r="DE3430" s="8">
        <f>0</f>
        <v>0</v>
      </c>
      <c r="DG3430" s="5" t="s">
        <v>238</v>
      </c>
      <c r="DH3430" s="5" t="s">
        <v>238</v>
      </c>
      <c r="DI3430" s="5" t="s">
        <v>238</v>
      </c>
      <c r="DJ3430" s="5" t="s">
        <v>238</v>
      </c>
      <c r="DK3430" s="5" t="s">
        <v>238</v>
      </c>
      <c r="DL3430" s="5" t="s">
        <v>238</v>
      </c>
      <c r="DM3430" s="8" t="s">
        <v>238</v>
      </c>
      <c r="DN3430" s="5" t="s">
        <v>238</v>
      </c>
      <c r="DO3430" s="5" t="s">
        <v>238</v>
      </c>
      <c r="DP3430" s="5" t="s">
        <v>490</v>
      </c>
      <c r="DQ3430" s="5" t="s">
        <v>490</v>
      </c>
      <c r="DR3430" s="5" t="s">
        <v>238</v>
      </c>
      <c r="DS3430" s="5" t="s">
        <v>238</v>
      </c>
      <c r="DT3430" s="5" t="s">
        <v>500</v>
      </c>
      <c r="DU3430" s="5" t="s">
        <v>1226</v>
      </c>
      <c r="DV3430" s="5" t="s">
        <v>238</v>
      </c>
      <c r="DW3430" s="5" t="s">
        <v>238</v>
      </c>
      <c r="DX3430" s="5" t="s">
        <v>238</v>
      </c>
      <c r="DY3430" s="5" t="s">
        <v>238</v>
      </c>
      <c r="DZ3430" s="5" t="s">
        <v>238</v>
      </c>
      <c r="EA3430" s="5" t="s">
        <v>238</v>
      </c>
      <c r="EB3430" s="5" t="s">
        <v>238</v>
      </c>
      <c r="EC3430" s="5" t="s">
        <v>238</v>
      </c>
      <c r="ED3430" s="5" t="s">
        <v>238</v>
      </c>
      <c r="EE3430" s="5" t="s">
        <v>238</v>
      </c>
      <c r="EF3430" s="5" t="s">
        <v>238</v>
      </c>
      <c r="EG3430" s="5" t="s">
        <v>238</v>
      </c>
      <c r="EH3430" s="5" t="s">
        <v>238</v>
      </c>
      <c r="EI3430" s="5" t="s">
        <v>238</v>
      </c>
      <c r="EJ3430" s="5" t="s">
        <v>238</v>
      </c>
      <c r="EK3430" s="5" t="s">
        <v>238</v>
      </c>
      <c r="EL3430" s="5" t="s">
        <v>238</v>
      </c>
      <c r="EM3430" s="5" t="s">
        <v>238</v>
      </c>
      <c r="EN3430" s="5" t="s">
        <v>238</v>
      </c>
      <c r="EO3430" s="5" t="s">
        <v>238</v>
      </c>
      <c r="EP3430" s="5" t="s">
        <v>238</v>
      </c>
      <c r="EQ3430" s="5" t="s">
        <v>238</v>
      </c>
      <c r="ER3430" s="5" t="s">
        <v>238</v>
      </c>
      <c r="ES3430" s="5" t="s">
        <v>238</v>
      </c>
      <c r="ET3430" s="5" t="s">
        <v>238</v>
      </c>
      <c r="EU3430" s="5" t="s">
        <v>238</v>
      </c>
      <c r="EV3430" s="5" t="s">
        <v>238</v>
      </c>
      <c r="EW3430" s="5" t="s">
        <v>238</v>
      </c>
      <c r="EX3430" s="5" t="s">
        <v>238</v>
      </c>
      <c r="EY3430" s="5" t="s">
        <v>238</v>
      </c>
      <c r="EZ3430" s="5" t="s">
        <v>238</v>
      </c>
      <c r="FA3430" s="5" t="s">
        <v>238</v>
      </c>
      <c r="FB3430" s="5" t="s">
        <v>238</v>
      </c>
      <c r="FC3430" s="5" t="s">
        <v>238</v>
      </c>
      <c r="FD3430" s="5" t="s">
        <v>238</v>
      </c>
      <c r="FE3430" s="5" t="s">
        <v>238</v>
      </c>
      <c r="FF3430" s="5" t="s">
        <v>238</v>
      </c>
      <c r="FG3430" s="5" t="s">
        <v>238</v>
      </c>
      <c r="FH3430" s="5" t="s">
        <v>238</v>
      </c>
      <c r="FI3430" s="5" t="s">
        <v>238</v>
      </c>
      <c r="FJ3430" s="5" t="s">
        <v>238</v>
      </c>
      <c r="FK3430" s="5" t="s">
        <v>238</v>
      </c>
      <c r="FL3430" s="5" t="s">
        <v>238</v>
      </c>
      <c r="FM3430" s="5" t="s">
        <v>238</v>
      </c>
      <c r="FN3430" s="5" t="s">
        <v>238</v>
      </c>
      <c r="FO3430" s="5" t="s">
        <v>238</v>
      </c>
      <c r="FP3430" s="5" t="s">
        <v>238</v>
      </c>
      <c r="FQ3430" s="5" t="s">
        <v>238</v>
      </c>
      <c r="FR3430" s="5" t="s">
        <v>238</v>
      </c>
      <c r="FS3430" s="5" t="s">
        <v>238</v>
      </c>
      <c r="FT3430" s="5" t="s">
        <v>238</v>
      </c>
      <c r="FU3430" s="5" t="s">
        <v>238</v>
      </c>
      <c r="FV3430" s="5" t="s">
        <v>238</v>
      </c>
      <c r="FW3430" s="5" t="s">
        <v>238</v>
      </c>
      <c r="FX3430" s="5" t="s">
        <v>238</v>
      </c>
      <c r="FY3430" s="5" t="s">
        <v>238</v>
      </c>
      <c r="FZ3430" s="5" t="s">
        <v>238</v>
      </c>
      <c r="GA3430" s="5" t="s">
        <v>238</v>
      </c>
      <c r="GB3430" s="5" t="s">
        <v>238</v>
      </c>
      <c r="GC3430" s="5" t="s">
        <v>238</v>
      </c>
      <c r="GD3430" s="5" t="s">
        <v>238</v>
      </c>
      <c r="GE3430" s="5" t="s">
        <v>238</v>
      </c>
      <c r="GF3430" s="5" t="s">
        <v>238</v>
      </c>
      <c r="GG3430" s="5" t="s">
        <v>238</v>
      </c>
      <c r="GH3430" s="5" t="s">
        <v>238</v>
      </c>
      <c r="GI3430" s="5" t="s">
        <v>238</v>
      </c>
      <c r="GJ3430" s="5" t="s">
        <v>238</v>
      </c>
      <c r="GK3430" s="5" t="s">
        <v>238</v>
      </c>
      <c r="GL3430" s="5" t="s">
        <v>238</v>
      </c>
      <c r="GM3430" s="5" t="s">
        <v>238</v>
      </c>
      <c r="GN3430" s="5" t="s">
        <v>238</v>
      </c>
      <c r="GO3430" s="5" t="s">
        <v>238</v>
      </c>
      <c r="GP3430" s="5" t="s">
        <v>238</v>
      </c>
      <c r="GQ3430" s="5" t="s">
        <v>238</v>
      </c>
      <c r="GR3430" s="5" t="s">
        <v>238</v>
      </c>
      <c r="GS3430" s="5" t="s">
        <v>238</v>
      </c>
      <c r="GT3430" s="5" t="s">
        <v>238</v>
      </c>
      <c r="GU3430" s="5" t="s">
        <v>238</v>
      </c>
      <c r="GV3430" s="5" t="s">
        <v>238</v>
      </c>
      <c r="GW3430" s="5" t="s">
        <v>238</v>
      </c>
      <c r="GX3430" s="5" t="s">
        <v>238</v>
      </c>
      <c r="GY3430" s="5" t="s">
        <v>238</v>
      </c>
      <c r="GZ3430" s="5" t="s">
        <v>238</v>
      </c>
      <c r="HA3430" s="5" t="s">
        <v>238</v>
      </c>
      <c r="HB3430" s="5" t="s">
        <v>238</v>
      </c>
      <c r="HC3430" s="5" t="s">
        <v>238</v>
      </c>
      <c r="HD3430" s="5" t="s">
        <v>238</v>
      </c>
      <c r="HE3430" s="5" t="s">
        <v>238</v>
      </c>
      <c r="HF3430" s="5" t="s">
        <v>238</v>
      </c>
      <c r="HG3430" s="5" t="s">
        <v>238</v>
      </c>
      <c r="HH3430" s="5" t="s">
        <v>238</v>
      </c>
      <c r="HI3430" s="5" t="s">
        <v>238</v>
      </c>
      <c r="HJ3430" s="5" t="s">
        <v>238</v>
      </c>
      <c r="HK3430" s="5" t="s">
        <v>238</v>
      </c>
      <c r="HL3430" s="5" t="s">
        <v>238</v>
      </c>
      <c r="HM3430" s="5" t="s">
        <v>264</v>
      </c>
      <c r="HN3430" s="5" t="s">
        <v>238</v>
      </c>
      <c r="HO3430" s="5" t="s">
        <v>238</v>
      </c>
      <c r="HP3430" s="5" t="s">
        <v>238</v>
      </c>
      <c r="HQ3430" s="5" t="s">
        <v>238</v>
      </c>
      <c r="HR3430" s="5" t="s">
        <v>238</v>
      </c>
      <c r="HS3430" s="5" t="s">
        <v>238</v>
      </c>
      <c r="HT3430" s="5" t="s">
        <v>238</v>
      </c>
      <c r="HU3430" s="5" t="s">
        <v>238</v>
      </c>
      <c r="HV3430" s="5" t="s">
        <v>238</v>
      </c>
      <c r="HW3430" s="5" t="s">
        <v>238</v>
      </c>
      <c r="HX3430" s="5" t="s">
        <v>238</v>
      </c>
      <c r="HY3430" s="5" t="s">
        <v>238</v>
      </c>
      <c r="HZ3430" s="5" t="s">
        <v>238</v>
      </c>
      <c r="IA3430" s="5" t="s">
        <v>238</v>
      </c>
      <c r="IB3430" s="5" t="s">
        <v>238</v>
      </c>
      <c r="IC3430" s="5" t="s">
        <v>238</v>
      </c>
      <c r="ID3430" s="5" t="s">
        <v>238</v>
      </c>
    </row>
    <row r="3431" spans="1:238" x14ac:dyDescent="0.4">
      <c r="A3431" s="5">
        <v>9149</v>
      </c>
      <c r="B3431" s="5">
        <v>1</v>
      </c>
      <c r="C3431" s="5">
        <v>1</v>
      </c>
      <c r="D3431" s="5" t="s">
        <v>484</v>
      </c>
      <c r="E3431" s="5" t="s">
        <v>485</v>
      </c>
      <c r="F3431" s="5" t="s">
        <v>248</v>
      </c>
      <c r="G3431" s="5" t="s">
        <v>4137</v>
      </c>
      <c r="H3431" s="6" t="s">
        <v>4138</v>
      </c>
      <c r="I3431" s="8">
        <f>1</f>
        <v>1</v>
      </c>
      <c r="J3431" s="5" t="s">
        <v>499</v>
      </c>
      <c r="K3431" s="8">
        <f>1</f>
        <v>1</v>
      </c>
      <c r="L3431" s="6" t="s">
        <v>242</v>
      </c>
      <c r="M3431" s="5" t="s">
        <v>267</v>
      </c>
      <c r="N3431" s="5" t="s">
        <v>482</v>
      </c>
      <c r="O3431" s="5" t="s">
        <v>238</v>
      </c>
      <c r="P3431" s="5" t="s">
        <v>238</v>
      </c>
      <c r="Q3431" s="5" t="s">
        <v>239</v>
      </c>
      <c r="R3431" s="5" t="s">
        <v>270</v>
      </c>
      <c r="S3431" s="5" t="s">
        <v>238</v>
      </c>
      <c r="T3431" s="5" t="s">
        <v>238</v>
      </c>
      <c r="U3431" s="5" t="s">
        <v>238</v>
      </c>
      <c r="V3431" s="5" t="s">
        <v>238</v>
      </c>
      <c r="W3431" s="6" t="s">
        <v>238</v>
      </c>
      <c r="X3431" s="6" t="s">
        <v>238</v>
      </c>
      <c r="Y3431" s="5" t="s">
        <v>238</v>
      </c>
      <c r="Z3431" s="6" t="s">
        <v>238</v>
      </c>
      <c r="AA3431" s="6" t="s">
        <v>243</v>
      </c>
      <c r="AB3431" s="5" t="s">
        <v>486</v>
      </c>
      <c r="AC3431" s="5" t="s">
        <v>244</v>
      </c>
      <c r="AD3431" s="5" t="s">
        <v>245</v>
      </c>
      <c r="AE3431" s="5" t="s">
        <v>238</v>
      </c>
      <c r="AF3431" s="5" t="s">
        <v>238</v>
      </c>
      <c r="AG3431" s="5" t="s">
        <v>238</v>
      </c>
      <c r="AH3431" s="5" t="s">
        <v>238</v>
      </c>
      <c r="AI3431" s="5" t="s">
        <v>238</v>
      </c>
      <c r="AJ3431" s="5" t="s">
        <v>238</v>
      </c>
      <c r="AK3431" s="5" t="s">
        <v>238</v>
      </c>
      <c r="AL3431" s="5" t="s">
        <v>238</v>
      </c>
      <c r="AM3431" s="6" t="s">
        <v>238</v>
      </c>
      <c r="AN3431" s="6" t="s">
        <v>238</v>
      </c>
      <c r="AO3431" s="6" t="s">
        <v>238</v>
      </c>
      <c r="AP3431" s="6" t="s">
        <v>238</v>
      </c>
      <c r="AQ3431" s="5" t="s">
        <v>238</v>
      </c>
      <c r="AR3431" s="5" t="s">
        <v>488</v>
      </c>
      <c r="AS3431" s="5" t="s">
        <v>488</v>
      </c>
      <c r="AT3431" s="5" t="s">
        <v>246</v>
      </c>
      <c r="AU3431" s="5" t="s">
        <v>489</v>
      </c>
      <c r="AV3431" s="5" t="s">
        <v>247</v>
      </c>
      <c r="AW3431" s="5" t="s">
        <v>238</v>
      </c>
      <c r="AX3431" s="5" t="s">
        <v>249</v>
      </c>
      <c r="AY3431" s="5" t="s">
        <v>490</v>
      </c>
      <c r="BA3431" s="5" t="s">
        <v>238</v>
      </c>
      <c r="BC3431" s="5" t="s">
        <v>491</v>
      </c>
      <c r="BD3431" s="6" t="s">
        <v>492</v>
      </c>
      <c r="BE3431" s="5" t="s">
        <v>493</v>
      </c>
      <c r="BF3431" s="5" t="s">
        <v>493</v>
      </c>
      <c r="BG3431" s="5" t="s">
        <v>238</v>
      </c>
      <c r="BH3431" s="8">
        <f>1</f>
        <v>1</v>
      </c>
      <c r="BI3431" s="8">
        <f>1</f>
        <v>1</v>
      </c>
      <c r="BJ3431" s="5" t="s">
        <v>253</v>
      </c>
      <c r="BK3431" s="5" t="s">
        <v>254</v>
      </c>
      <c r="BL3431" s="5" t="s">
        <v>238</v>
      </c>
      <c r="BM3431" s="5" t="s">
        <v>238</v>
      </c>
      <c r="BN3431" s="5" t="s">
        <v>238</v>
      </c>
      <c r="BO3431" s="5" t="s">
        <v>238</v>
      </c>
      <c r="BP3431" s="5" t="s">
        <v>238</v>
      </c>
      <c r="BQ3431" s="5" t="s">
        <v>238</v>
      </c>
      <c r="BR3431" s="5" t="s">
        <v>238</v>
      </c>
      <c r="BS3431" s="5" t="s">
        <v>238</v>
      </c>
      <c r="BT3431" s="6" t="s">
        <v>238</v>
      </c>
      <c r="BU3431" s="5" t="s">
        <v>238</v>
      </c>
      <c r="BV3431" s="5" t="s">
        <v>238</v>
      </c>
      <c r="BW3431" s="5" t="s">
        <v>238</v>
      </c>
      <c r="BX3431" s="5" t="s">
        <v>254</v>
      </c>
      <c r="BY3431" s="5" t="s">
        <v>238</v>
      </c>
      <c r="BZ3431" s="5" t="s">
        <v>238</v>
      </c>
      <c r="CA3431" s="5" t="s">
        <v>238</v>
      </c>
      <c r="CB3431" s="5" t="s">
        <v>238</v>
      </c>
      <c r="CC3431" s="5" t="s">
        <v>238</v>
      </c>
      <c r="CD3431" s="5" t="s">
        <v>273</v>
      </c>
      <c r="CE3431" s="5" t="s">
        <v>256</v>
      </c>
      <c r="CF3431" s="5" t="s">
        <v>238</v>
      </c>
      <c r="CH3431" s="5" t="s">
        <v>494</v>
      </c>
      <c r="CI3431" s="6" t="s">
        <v>257</v>
      </c>
      <c r="CJ3431" s="5" t="s">
        <v>495</v>
      </c>
      <c r="CK3431" s="5" t="s">
        <v>258</v>
      </c>
      <c r="CL3431" s="5" t="s">
        <v>496</v>
      </c>
      <c r="CM3431" s="5" t="s">
        <v>238</v>
      </c>
      <c r="CN3431" s="5">
        <v>0</v>
      </c>
      <c r="CO3431" s="5" t="s">
        <v>497</v>
      </c>
      <c r="CP3431" s="5" t="s">
        <v>260</v>
      </c>
      <c r="CQ3431" s="5" t="s">
        <v>260</v>
      </c>
      <c r="CR3431" s="5" t="s">
        <v>261</v>
      </c>
      <c r="CS3431" s="5" t="s">
        <v>498</v>
      </c>
      <c r="CT3431" s="7">
        <f>1</f>
        <v>1</v>
      </c>
      <c r="CU3431" s="8">
        <f>1</f>
        <v>1</v>
      </c>
      <c r="CV3431" s="8">
        <f>0</f>
        <v>0</v>
      </c>
      <c r="CX3431" s="8">
        <f>1</f>
        <v>1</v>
      </c>
      <c r="CY3431" s="8">
        <f>1</f>
        <v>1</v>
      </c>
      <c r="CZ3431" s="8" t="s">
        <v>238</v>
      </c>
      <c r="DA3431" s="5" t="s">
        <v>238</v>
      </c>
      <c r="DB3431" s="5" t="s">
        <v>238</v>
      </c>
      <c r="DC3431" s="5" t="s">
        <v>238</v>
      </c>
      <c r="DD3431" s="5" t="s">
        <v>238</v>
      </c>
      <c r="DE3431" s="8">
        <f>0</f>
        <v>0</v>
      </c>
      <c r="DG3431" s="5" t="s">
        <v>238</v>
      </c>
      <c r="DH3431" s="5" t="s">
        <v>238</v>
      </c>
      <c r="DI3431" s="5" t="s">
        <v>238</v>
      </c>
      <c r="DJ3431" s="5" t="s">
        <v>238</v>
      </c>
      <c r="DK3431" s="5" t="s">
        <v>238</v>
      </c>
      <c r="DL3431" s="5" t="s">
        <v>238</v>
      </c>
      <c r="DM3431" s="8" t="s">
        <v>238</v>
      </c>
      <c r="DN3431" s="5" t="s">
        <v>238</v>
      </c>
      <c r="DO3431" s="5" t="s">
        <v>238</v>
      </c>
      <c r="DP3431" s="5" t="s">
        <v>490</v>
      </c>
      <c r="DQ3431" s="5" t="s">
        <v>490</v>
      </c>
      <c r="DR3431" s="5" t="s">
        <v>238</v>
      </c>
      <c r="DS3431" s="5" t="s">
        <v>238</v>
      </c>
      <c r="DT3431" s="5" t="s">
        <v>500</v>
      </c>
      <c r="DU3431" s="5" t="s">
        <v>330</v>
      </c>
      <c r="DV3431" s="5" t="s">
        <v>238</v>
      </c>
      <c r="DW3431" s="5" t="s">
        <v>238</v>
      </c>
      <c r="DX3431" s="5" t="s">
        <v>238</v>
      </c>
      <c r="DY3431" s="5" t="s">
        <v>238</v>
      </c>
      <c r="DZ3431" s="5" t="s">
        <v>238</v>
      </c>
      <c r="EA3431" s="5" t="s">
        <v>238</v>
      </c>
      <c r="EB3431" s="5" t="s">
        <v>238</v>
      </c>
      <c r="EC3431" s="5" t="s">
        <v>238</v>
      </c>
      <c r="ED3431" s="5" t="s">
        <v>238</v>
      </c>
      <c r="EE3431" s="5" t="s">
        <v>238</v>
      </c>
      <c r="EF3431" s="5" t="s">
        <v>238</v>
      </c>
      <c r="EG3431" s="5" t="s">
        <v>238</v>
      </c>
      <c r="EH3431" s="5" t="s">
        <v>238</v>
      </c>
      <c r="EI3431" s="5" t="s">
        <v>238</v>
      </c>
      <c r="EJ3431" s="5" t="s">
        <v>238</v>
      </c>
      <c r="EK3431" s="5" t="s">
        <v>238</v>
      </c>
      <c r="EL3431" s="5" t="s">
        <v>238</v>
      </c>
      <c r="EM3431" s="5" t="s">
        <v>238</v>
      </c>
      <c r="EN3431" s="5" t="s">
        <v>238</v>
      </c>
      <c r="EO3431" s="5" t="s">
        <v>238</v>
      </c>
      <c r="EP3431" s="5" t="s">
        <v>238</v>
      </c>
      <c r="EQ3431" s="5" t="s">
        <v>238</v>
      </c>
      <c r="ER3431" s="5" t="s">
        <v>238</v>
      </c>
      <c r="ES3431" s="5" t="s">
        <v>238</v>
      </c>
      <c r="ET3431" s="5" t="s">
        <v>238</v>
      </c>
      <c r="EU3431" s="5" t="s">
        <v>238</v>
      </c>
      <c r="EV3431" s="5" t="s">
        <v>238</v>
      </c>
      <c r="EW3431" s="5" t="s">
        <v>238</v>
      </c>
      <c r="EX3431" s="5" t="s">
        <v>238</v>
      </c>
      <c r="EY3431" s="5" t="s">
        <v>238</v>
      </c>
      <c r="EZ3431" s="5" t="s">
        <v>238</v>
      </c>
      <c r="FA3431" s="5" t="s">
        <v>238</v>
      </c>
      <c r="FB3431" s="5" t="s">
        <v>238</v>
      </c>
      <c r="FC3431" s="5" t="s">
        <v>238</v>
      </c>
      <c r="FD3431" s="5" t="s">
        <v>238</v>
      </c>
      <c r="FE3431" s="5" t="s">
        <v>238</v>
      </c>
      <c r="FF3431" s="5" t="s">
        <v>238</v>
      </c>
      <c r="FG3431" s="5" t="s">
        <v>238</v>
      </c>
      <c r="FH3431" s="5" t="s">
        <v>238</v>
      </c>
      <c r="FI3431" s="5" t="s">
        <v>238</v>
      </c>
      <c r="FJ3431" s="5" t="s">
        <v>238</v>
      </c>
      <c r="FK3431" s="5" t="s">
        <v>238</v>
      </c>
      <c r="FL3431" s="5" t="s">
        <v>238</v>
      </c>
      <c r="FM3431" s="5" t="s">
        <v>238</v>
      </c>
      <c r="FN3431" s="5" t="s">
        <v>238</v>
      </c>
      <c r="FO3431" s="5" t="s">
        <v>238</v>
      </c>
      <c r="FP3431" s="5" t="s">
        <v>238</v>
      </c>
      <c r="FQ3431" s="5" t="s">
        <v>238</v>
      </c>
      <c r="FR3431" s="5" t="s">
        <v>238</v>
      </c>
      <c r="FS3431" s="5" t="s">
        <v>238</v>
      </c>
      <c r="FT3431" s="5" t="s">
        <v>238</v>
      </c>
      <c r="FU3431" s="5" t="s">
        <v>238</v>
      </c>
      <c r="FV3431" s="5" t="s">
        <v>238</v>
      </c>
      <c r="FW3431" s="5" t="s">
        <v>238</v>
      </c>
      <c r="FX3431" s="5" t="s">
        <v>238</v>
      </c>
      <c r="FY3431" s="5" t="s">
        <v>238</v>
      </c>
      <c r="FZ3431" s="5" t="s">
        <v>238</v>
      </c>
      <c r="GA3431" s="5" t="s">
        <v>238</v>
      </c>
      <c r="GB3431" s="5" t="s">
        <v>238</v>
      </c>
      <c r="GC3431" s="5" t="s">
        <v>238</v>
      </c>
      <c r="GD3431" s="5" t="s">
        <v>238</v>
      </c>
      <c r="GE3431" s="5" t="s">
        <v>238</v>
      </c>
      <c r="GF3431" s="5" t="s">
        <v>238</v>
      </c>
      <c r="GG3431" s="5" t="s">
        <v>238</v>
      </c>
      <c r="GH3431" s="5" t="s">
        <v>238</v>
      </c>
      <c r="GI3431" s="5" t="s">
        <v>238</v>
      </c>
      <c r="GJ3431" s="5" t="s">
        <v>238</v>
      </c>
      <c r="GK3431" s="5" t="s">
        <v>238</v>
      </c>
      <c r="GL3431" s="5" t="s">
        <v>238</v>
      </c>
      <c r="GM3431" s="5" t="s">
        <v>238</v>
      </c>
      <c r="GN3431" s="5" t="s">
        <v>238</v>
      </c>
      <c r="GO3431" s="5" t="s">
        <v>238</v>
      </c>
      <c r="GP3431" s="5" t="s">
        <v>238</v>
      </c>
      <c r="GQ3431" s="5" t="s">
        <v>238</v>
      </c>
      <c r="GR3431" s="5" t="s">
        <v>238</v>
      </c>
      <c r="GS3431" s="5" t="s">
        <v>238</v>
      </c>
      <c r="GT3431" s="5" t="s">
        <v>238</v>
      </c>
      <c r="GU3431" s="5" t="s">
        <v>238</v>
      </c>
      <c r="GV3431" s="5" t="s">
        <v>238</v>
      </c>
      <c r="GW3431" s="5" t="s">
        <v>238</v>
      </c>
      <c r="GX3431" s="5" t="s">
        <v>238</v>
      </c>
      <c r="GY3431" s="5" t="s">
        <v>238</v>
      </c>
      <c r="GZ3431" s="5" t="s">
        <v>238</v>
      </c>
      <c r="HA3431" s="5" t="s">
        <v>238</v>
      </c>
      <c r="HB3431" s="5" t="s">
        <v>238</v>
      </c>
      <c r="HC3431" s="5" t="s">
        <v>238</v>
      </c>
      <c r="HD3431" s="5" t="s">
        <v>238</v>
      </c>
      <c r="HE3431" s="5" t="s">
        <v>238</v>
      </c>
      <c r="HF3431" s="5" t="s">
        <v>238</v>
      </c>
      <c r="HG3431" s="5" t="s">
        <v>238</v>
      </c>
      <c r="HH3431" s="5" t="s">
        <v>238</v>
      </c>
      <c r="HI3431" s="5" t="s">
        <v>238</v>
      </c>
      <c r="HJ3431" s="5" t="s">
        <v>238</v>
      </c>
      <c r="HK3431" s="5" t="s">
        <v>238</v>
      </c>
      <c r="HL3431" s="5" t="s">
        <v>238</v>
      </c>
      <c r="HM3431" s="5" t="s">
        <v>264</v>
      </c>
      <c r="HN3431" s="5" t="s">
        <v>238</v>
      </c>
      <c r="HO3431" s="5" t="s">
        <v>238</v>
      </c>
      <c r="HP3431" s="5" t="s">
        <v>238</v>
      </c>
      <c r="HQ3431" s="5" t="s">
        <v>238</v>
      </c>
      <c r="HR3431" s="5" t="s">
        <v>238</v>
      </c>
      <c r="HS3431" s="5" t="s">
        <v>238</v>
      </c>
      <c r="HT3431" s="5" t="s">
        <v>238</v>
      </c>
      <c r="HU3431" s="5" t="s">
        <v>238</v>
      </c>
      <c r="HV3431" s="5" t="s">
        <v>238</v>
      </c>
      <c r="HW3431" s="5" t="s">
        <v>238</v>
      </c>
      <c r="HX3431" s="5" t="s">
        <v>238</v>
      </c>
      <c r="HY3431" s="5" t="s">
        <v>238</v>
      </c>
      <c r="HZ3431" s="5" t="s">
        <v>238</v>
      </c>
      <c r="IA3431" s="5" t="s">
        <v>238</v>
      </c>
      <c r="IB3431" s="5" t="s">
        <v>238</v>
      </c>
      <c r="IC3431" s="5" t="s">
        <v>238</v>
      </c>
      <c r="ID3431" s="5" t="s">
        <v>238</v>
      </c>
    </row>
    <row r="3432" spans="1:238" x14ac:dyDescent="0.4">
      <c r="A3432" s="5">
        <v>9150</v>
      </c>
      <c r="B3432" s="5">
        <v>1</v>
      </c>
      <c r="C3432" s="5">
        <v>1</v>
      </c>
      <c r="D3432" s="5" t="s">
        <v>484</v>
      </c>
      <c r="E3432" s="5" t="s">
        <v>485</v>
      </c>
      <c r="F3432" s="5" t="s">
        <v>248</v>
      </c>
      <c r="G3432" s="5" t="s">
        <v>4614</v>
      </c>
      <c r="H3432" s="6" t="s">
        <v>4615</v>
      </c>
      <c r="I3432" s="8">
        <f>1</f>
        <v>1</v>
      </c>
      <c r="J3432" s="5" t="s">
        <v>499</v>
      </c>
      <c r="K3432" s="8">
        <f>1</f>
        <v>1</v>
      </c>
      <c r="L3432" s="6" t="s">
        <v>242</v>
      </c>
      <c r="M3432" s="5" t="s">
        <v>267</v>
      </c>
      <c r="N3432" s="5" t="s">
        <v>482</v>
      </c>
      <c r="O3432" s="5" t="s">
        <v>238</v>
      </c>
      <c r="P3432" s="5" t="s">
        <v>238</v>
      </c>
      <c r="Q3432" s="5" t="s">
        <v>239</v>
      </c>
      <c r="R3432" s="5" t="s">
        <v>270</v>
      </c>
      <c r="S3432" s="5" t="s">
        <v>238</v>
      </c>
      <c r="T3432" s="5" t="s">
        <v>238</v>
      </c>
      <c r="U3432" s="5" t="s">
        <v>238</v>
      </c>
      <c r="V3432" s="5" t="s">
        <v>238</v>
      </c>
      <c r="W3432" s="6" t="s">
        <v>238</v>
      </c>
      <c r="X3432" s="6" t="s">
        <v>238</v>
      </c>
      <c r="Y3432" s="5" t="s">
        <v>238</v>
      </c>
      <c r="Z3432" s="6" t="s">
        <v>238</v>
      </c>
      <c r="AA3432" s="6" t="s">
        <v>243</v>
      </c>
      <c r="AB3432" s="5" t="s">
        <v>486</v>
      </c>
      <c r="AC3432" s="5" t="s">
        <v>244</v>
      </c>
      <c r="AD3432" s="5" t="s">
        <v>245</v>
      </c>
      <c r="AE3432" s="5" t="s">
        <v>238</v>
      </c>
      <c r="AF3432" s="5" t="s">
        <v>238</v>
      </c>
      <c r="AG3432" s="5" t="s">
        <v>238</v>
      </c>
      <c r="AH3432" s="5" t="s">
        <v>238</v>
      </c>
      <c r="AI3432" s="5" t="s">
        <v>238</v>
      </c>
      <c r="AJ3432" s="5" t="s">
        <v>238</v>
      </c>
      <c r="AK3432" s="5" t="s">
        <v>238</v>
      </c>
      <c r="AL3432" s="5" t="s">
        <v>238</v>
      </c>
      <c r="AM3432" s="6" t="s">
        <v>238</v>
      </c>
      <c r="AN3432" s="6" t="s">
        <v>238</v>
      </c>
      <c r="AO3432" s="6" t="s">
        <v>238</v>
      </c>
      <c r="AP3432" s="6" t="s">
        <v>238</v>
      </c>
      <c r="AQ3432" s="5" t="s">
        <v>238</v>
      </c>
      <c r="AR3432" s="5" t="s">
        <v>488</v>
      </c>
      <c r="AS3432" s="5" t="s">
        <v>488</v>
      </c>
      <c r="AT3432" s="5" t="s">
        <v>246</v>
      </c>
      <c r="AU3432" s="5" t="s">
        <v>489</v>
      </c>
      <c r="AV3432" s="5" t="s">
        <v>247</v>
      </c>
      <c r="AW3432" s="5" t="s">
        <v>238</v>
      </c>
      <c r="AX3432" s="5" t="s">
        <v>249</v>
      </c>
      <c r="AY3432" s="5" t="s">
        <v>490</v>
      </c>
      <c r="BA3432" s="5" t="s">
        <v>238</v>
      </c>
      <c r="BC3432" s="5" t="s">
        <v>491</v>
      </c>
      <c r="BD3432" s="6" t="s">
        <v>492</v>
      </c>
      <c r="BE3432" s="5" t="s">
        <v>493</v>
      </c>
      <c r="BF3432" s="5" t="s">
        <v>493</v>
      </c>
      <c r="BG3432" s="5" t="s">
        <v>238</v>
      </c>
      <c r="BH3432" s="8">
        <f>1</f>
        <v>1</v>
      </c>
      <c r="BI3432" s="8">
        <f>1</f>
        <v>1</v>
      </c>
      <c r="BJ3432" s="5" t="s">
        <v>253</v>
      </c>
      <c r="BK3432" s="5" t="s">
        <v>254</v>
      </c>
      <c r="BL3432" s="5" t="s">
        <v>238</v>
      </c>
      <c r="BM3432" s="5" t="s">
        <v>238</v>
      </c>
      <c r="BN3432" s="5" t="s">
        <v>238</v>
      </c>
      <c r="BO3432" s="5" t="s">
        <v>238</v>
      </c>
      <c r="BP3432" s="5" t="s">
        <v>238</v>
      </c>
      <c r="BQ3432" s="5" t="s">
        <v>238</v>
      </c>
      <c r="BR3432" s="5" t="s">
        <v>238</v>
      </c>
      <c r="BS3432" s="5" t="s">
        <v>238</v>
      </c>
      <c r="BT3432" s="6" t="s">
        <v>238</v>
      </c>
      <c r="BU3432" s="5" t="s">
        <v>238</v>
      </c>
      <c r="BV3432" s="5" t="s">
        <v>238</v>
      </c>
      <c r="BW3432" s="5" t="s">
        <v>238</v>
      </c>
      <c r="BX3432" s="5" t="s">
        <v>254</v>
      </c>
      <c r="BY3432" s="5" t="s">
        <v>238</v>
      </c>
      <c r="BZ3432" s="5" t="s">
        <v>238</v>
      </c>
      <c r="CA3432" s="5" t="s">
        <v>238</v>
      </c>
      <c r="CB3432" s="5" t="s">
        <v>238</v>
      </c>
      <c r="CC3432" s="5" t="s">
        <v>238</v>
      </c>
      <c r="CD3432" s="5" t="s">
        <v>273</v>
      </c>
      <c r="CE3432" s="5" t="s">
        <v>256</v>
      </c>
      <c r="CF3432" s="5" t="s">
        <v>238</v>
      </c>
      <c r="CH3432" s="5" t="s">
        <v>494</v>
      </c>
      <c r="CI3432" s="6" t="s">
        <v>257</v>
      </c>
      <c r="CJ3432" s="5" t="s">
        <v>495</v>
      </c>
      <c r="CK3432" s="5" t="s">
        <v>258</v>
      </c>
      <c r="CL3432" s="5" t="s">
        <v>496</v>
      </c>
      <c r="CM3432" s="5" t="s">
        <v>238</v>
      </c>
      <c r="CN3432" s="5">
        <v>0</v>
      </c>
      <c r="CO3432" s="5" t="s">
        <v>497</v>
      </c>
      <c r="CP3432" s="5" t="s">
        <v>260</v>
      </c>
      <c r="CQ3432" s="5" t="s">
        <v>260</v>
      </c>
      <c r="CR3432" s="5" t="s">
        <v>261</v>
      </c>
      <c r="CS3432" s="5" t="s">
        <v>498</v>
      </c>
      <c r="CT3432" s="7">
        <f>1</f>
        <v>1</v>
      </c>
      <c r="CU3432" s="8">
        <f>1</f>
        <v>1</v>
      </c>
      <c r="CV3432" s="8">
        <f>0</f>
        <v>0</v>
      </c>
      <c r="CX3432" s="8">
        <f>1</f>
        <v>1</v>
      </c>
      <c r="CY3432" s="8">
        <f>1</f>
        <v>1</v>
      </c>
      <c r="CZ3432" s="8" t="s">
        <v>238</v>
      </c>
      <c r="DA3432" s="5" t="s">
        <v>238</v>
      </c>
      <c r="DB3432" s="5" t="s">
        <v>238</v>
      </c>
      <c r="DC3432" s="5" t="s">
        <v>238</v>
      </c>
      <c r="DD3432" s="5" t="s">
        <v>238</v>
      </c>
      <c r="DE3432" s="8">
        <f>0</f>
        <v>0</v>
      </c>
      <c r="DG3432" s="5" t="s">
        <v>238</v>
      </c>
      <c r="DH3432" s="5" t="s">
        <v>238</v>
      </c>
      <c r="DI3432" s="5" t="s">
        <v>238</v>
      </c>
      <c r="DJ3432" s="5" t="s">
        <v>238</v>
      </c>
      <c r="DK3432" s="5" t="s">
        <v>238</v>
      </c>
      <c r="DL3432" s="5" t="s">
        <v>238</v>
      </c>
      <c r="DM3432" s="8" t="s">
        <v>238</v>
      </c>
      <c r="DN3432" s="5" t="s">
        <v>238</v>
      </c>
      <c r="DO3432" s="5" t="s">
        <v>238</v>
      </c>
      <c r="DP3432" s="5" t="s">
        <v>490</v>
      </c>
      <c r="DQ3432" s="5" t="s">
        <v>490</v>
      </c>
      <c r="DR3432" s="5" t="s">
        <v>238</v>
      </c>
      <c r="DS3432" s="5" t="s">
        <v>238</v>
      </c>
      <c r="DT3432" s="5" t="s">
        <v>500</v>
      </c>
      <c r="DU3432" s="5" t="s">
        <v>856</v>
      </c>
      <c r="DV3432" s="5" t="s">
        <v>238</v>
      </c>
      <c r="DW3432" s="5" t="s">
        <v>238</v>
      </c>
      <c r="DX3432" s="5" t="s">
        <v>238</v>
      </c>
      <c r="DY3432" s="5" t="s">
        <v>238</v>
      </c>
      <c r="DZ3432" s="5" t="s">
        <v>238</v>
      </c>
      <c r="EA3432" s="5" t="s">
        <v>238</v>
      </c>
      <c r="EB3432" s="5" t="s">
        <v>238</v>
      </c>
      <c r="EC3432" s="5" t="s">
        <v>238</v>
      </c>
      <c r="ED3432" s="5" t="s">
        <v>238</v>
      </c>
      <c r="EE3432" s="5" t="s">
        <v>238</v>
      </c>
      <c r="EF3432" s="5" t="s">
        <v>238</v>
      </c>
      <c r="EG3432" s="5" t="s">
        <v>238</v>
      </c>
      <c r="EH3432" s="5" t="s">
        <v>238</v>
      </c>
      <c r="EI3432" s="5" t="s">
        <v>238</v>
      </c>
      <c r="EJ3432" s="5" t="s">
        <v>238</v>
      </c>
      <c r="EK3432" s="5" t="s">
        <v>238</v>
      </c>
      <c r="EL3432" s="5" t="s">
        <v>238</v>
      </c>
      <c r="EM3432" s="5" t="s">
        <v>238</v>
      </c>
      <c r="EN3432" s="5" t="s">
        <v>238</v>
      </c>
      <c r="EO3432" s="5" t="s">
        <v>238</v>
      </c>
      <c r="EP3432" s="5" t="s">
        <v>238</v>
      </c>
      <c r="EQ3432" s="5" t="s">
        <v>238</v>
      </c>
      <c r="ER3432" s="5" t="s">
        <v>238</v>
      </c>
      <c r="ES3432" s="5" t="s">
        <v>238</v>
      </c>
      <c r="ET3432" s="5" t="s">
        <v>238</v>
      </c>
      <c r="EU3432" s="5" t="s">
        <v>238</v>
      </c>
      <c r="EV3432" s="5" t="s">
        <v>238</v>
      </c>
      <c r="EW3432" s="5" t="s">
        <v>238</v>
      </c>
      <c r="EX3432" s="5" t="s">
        <v>238</v>
      </c>
      <c r="EY3432" s="5" t="s">
        <v>238</v>
      </c>
      <c r="EZ3432" s="5" t="s">
        <v>238</v>
      </c>
      <c r="FA3432" s="5" t="s">
        <v>238</v>
      </c>
      <c r="FB3432" s="5" t="s">
        <v>238</v>
      </c>
      <c r="FC3432" s="5" t="s">
        <v>238</v>
      </c>
      <c r="FD3432" s="5" t="s">
        <v>238</v>
      </c>
      <c r="FE3432" s="5" t="s">
        <v>238</v>
      </c>
      <c r="FF3432" s="5" t="s">
        <v>238</v>
      </c>
      <c r="FG3432" s="5" t="s">
        <v>238</v>
      </c>
      <c r="FH3432" s="5" t="s">
        <v>238</v>
      </c>
      <c r="FI3432" s="5" t="s">
        <v>238</v>
      </c>
      <c r="FJ3432" s="5" t="s">
        <v>238</v>
      </c>
      <c r="FK3432" s="5" t="s">
        <v>238</v>
      </c>
      <c r="FL3432" s="5" t="s">
        <v>238</v>
      </c>
      <c r="FM3432" s="5" t="s">
        <v>238</v>
      </c>
      <c r="FN3432" s="5" t="s">
        <v>238</v>
      </c>
      <c r="FO3432" s="5" t="s">
        <v>238</v>
      </c>
      <c r="FP3432" s="5" t="s">
        <v>238</v>
      </c>
      <c r="FQ3432" s="5" t="s">
        <v>238</v>
      </c>
      <c r="FR3432" s="5" t="s">
        <v>238</v>
      </c>
      <c r="FS3432" s="5" t="s">
        <v>238</v>
      </c>
      <c r="FT3432" s="5" t="s">
        <v>238</v>
      </c>
      <c r="FU3432" s="5" t="s">
        <v>238</v>
      </c>
      <c r="FV3432" s="5" t="s">
        <v>238</v>
      </c>
      <c r="FW3432" s="5" t="s">
        <v>238</v>
      </c>
      <c r="FX3432" s="5" t="s">
        <v>238</v>
      </c>
      <c r="FY3432" s="5" t="s">
        <v>238</v>
      </c>
      <c r="FZ3432" s="5" t="s">
        <v>238</v>
      </c>
      <c r="GA3432" s="5" t="s">
        <v>238</v>
      </c>
      <c r="GB3432" s="5" t="s">
        <v>238</v>
      </c>
      <c r="GC3432" s="5" t="s">
        <v>238</v>
      </c>
      <c r="GD3432" s="5" t="s">
        <v>238</v>
      </c>
      <c r="GE3432" s="5" t="s">
        <v>238</v>
      </c>
      <c r="GF3432" s="5" t="s">
        <v>238</v>
      </c>
      <c r="GG3432" s="5" t="s">
        <v>238</v>
      </c>
      <c r="GH3432" s="5" t="s">
        <v>238</v>
      </c>
      <c r="GI3432" s="5" t="s">
        <v>238</v>
      </c>
      <c r="GJ3432" s="5" t="s">
        <v>238</v>
      </c>
      <c r="GK3432" s="5" t="s">
        <v>238</v>
      </c>
      <c r="GL3432" s="5" t="s">
        <v>238</v>
      </c>
      <c r="GM3432" s="5" t="s">
        <v>238</v>
      </c>
      <c r="GN3432" s="5" t="s">
        <v>238</v>
      </c>
      <c r="GO3432" s="5" t="s">
        <v>238</v>
      </c>
      <c r="GP3432" s="5" t="s">
        <v>238</v>
      </c>
      <c r="GQ3432" s="5" t="s">
        <v>238</v>
      </c>
      <c r="GR3432" s="5" t="s">
        <v>238</v>
      </c>
      <c r="GS3432" s="5" t="s">
        <v>238</v>
      </c>
      <c r="GT3432" s="5" t="s">
        <v>238</v>
      </c>
      <c r="GU3432" s="5" t="s">
        <v>238</v>
      </c>
      <c r="GV3432" s="5" t="s">
        <v>238</v>
      </c>
      <c r="GW3432" s="5" t="s">
        <v>238</v>
      </c>
      <c r="GX3432" s="5" t="s">
        <v>238</v>
      </c>
      <c r="GY3432" s="5" t="s">
        <v>238</v>
      </c>
      <c r="GZ3432" s="5" t="s">
        <v>238</v>
      </c>
      <c r="HA3432" s="5" t="s">
        <v>238</v>
      </c>
      <c r="HB3432" s="5" t="s">
        <v>238</v>
      </c>
      <c r="HC3432" s="5" t="s">
        <v>238</v>
      </c>
      <c r="HD3432" s="5" t="s">
        <v>238</v>
      </c>
      <c r="HE3432" s="5" t="s">
        <v>238</v>
      </c>
      <c r="HF3432" s="5" t="s">
        <v>238</v>
      </c>
      <c r="HG3432" s="5" t="s">
        <v>238</v>
      </c>
      <c r="HH3432" s="5" t="s">
        <v>238</v>
      </c>
      <c r="HI3432" s="5" t="s">
        <v>238</v>
      </c>
      <c r="HJ3432" s="5" t="s">
        <v>238</v>
      </c>
      <c r="HK3432" s="5" t="s">
        <v>238</v>
      </c>
      <c r="HL3432" s="5" t="s">
        <v>238</v>
      </c>
      <c r="HM3432" s="5" t="s">
        <v>264</v>
      </c>
      <c r="HN3432" s="5" t="s">
        <v>238</v>
      </c>
      <c r="HO3432" s="5" t="s">
        <v>238</v>
      </c>
      <c r="HP3432" s="5" t="s">
        <v>238</v>
      </c>
      <c r="HQ3432" s="5" t="s">
        <v>238</v>
      </c>
      <c r="HR3432" s="5" t="s">
        <v>238</v>
      </c>
      <c r="HS3432" s="5" t="s">
        <v>238</v>
      </c>
      <c r="HT3432" s="5" t="s">
        <v>238</v>
      </c>
      <c r="HU3432" s="5" t="s">
        <v>238</v>
      </c>
      <c r="HV3432" s="5" t="s">
        <v>238</v>
      </c>
      <c r="HW3432" s="5" t="s">
        <v>238</v>
      </c>
      <c r="HX3432" s="5" t="s">
        <v>238</v>
      </c>
      <c r="HY3432" s="5" t="s">
        <v>238</v>
      </c>
      <c r="HZ3432" s="5" t="s">
        <v>238</v>
      </c>
      <c r="IA3432" s="5" t="s">
        <v>238</v>
      </c>
      <c r="IB3432" s="5" t="s">
        <v>238</v>
      </c>
      <c r="IC3432" s="5" t="s">
        <v>238</v>
      </c>
      <c r="ID3432" s="5" t="s">
        <v>238</v>
      </c>
    </row>
    <row r="3433" spans="1:238" x14ac:dyDescent="0.4">
      <c r="A3433" s="5">
        <v>9151</v>
      </c>
      <c r="B3433" s="5">
        <v>1</v>
      </c>
      <c r="C3433" s="5">
        <v>1</v>
      </c>
      <c r="D3433" s="5" t="s">
        <v>484</v>
      </c>
      <c r="E3433" s="5" t="s">
        <v>485</v>
      </c>
      <c r="F3433" s="5" t="s">
        <v>248</v>
      </c>
      <c r="G3433" s="5" t="s">
        <v>4852</v>
      </c>
      <c r="H3433" s="6" t="s">
        <v>4853</v>
      </c>
      <c r="I3433" s="8">
        <f>1</f>
        <v>1</v>
      </c>
      <c r="J3433" s="5" t="s">
        <v>499</v>
      </c>
      <c r="K3433" s="8">
        <f>1</f>
        <v>1</v>
      </c>
      <c r="L3433" s="6" t="s">
        <v>242</v>
      </c>
      <c r="M3433" s="5" t="s">
        <v>267</v>
      </c>
      <c r="N3433" s="5" t="s">
        <v>482</v>
      </c>
      <c r="O3433" s="5" t="s">
        <v>238</v>
      </c>
      <c r="P3433" s="5" t="s">
        <v>238</v>
      </c>
      <c r="Q3433" s="5" t="s">
        <v>239</v>
      </c>
      <c r="R3433" s="5" t="s">
        <v>270</v>
      </c>
      <c r="S3433" s="5" t="s">
        <v>238</v>
      </c>
      <c r="T3433" s="5" t="s">
        <v>238</v>
      </c>
      <c r="U3433" s="5" t="s">
        <v>238</v>
      </c>
      <c r="V3433" s="5" t="s">
        <v>238</v>
      </c>
      <c r="W3433" s="6" t="s">
        <v>238</v>
      </c>
      <c r="X3433" s="6" t="s">
        <v>238</v>
      </c>
      <c r="Y3433" s="5" t="s">
        <v>238</v>
      </c>
      <c r="Z3433" s="6" t="s">
        <v>238</v>
      </c>
      <c r="AA3433" s="6" t="s">
        <v>243</v>
      </c>
      <c r="AB3433" s="5" t="s">
        <v>486</v>
      </c>
      <c r="AC3433" s="5" t="s">
        <v>244</v>
      </c>
      <c r="AD3433" s="5" t="s">
        <v>245</v>
      </c>
      <c r="AE3433" s="5" t="s">
        <v>238</v>
      </c>
      <c r="AF3433" s="5" t="s">
        <v>238</v>
      </c>
      <c r="AG3433" s="5" t="s">
        <v>238</v>
      </c>
      <c r="AH3433" s="5" t="s">
        <v>238</v>
      </c>
      <c r="AI3433" s="5" t="s">
        <v>238</v>
      </c>
      <c r="AJ3433" s="5" t="s">
        <v>238</v>
      </c>
      <c r="AK3433" s="5" t="s">
        <v>238</v>
      </c>
      <c r="AL3433" s="5" t="s">
        <v>238</v>
      </c>
      <c r="AM3433" s="6" t="s">
        <v>238</v>
      </c>
      <c r="AN3433" s="6" t="s">
        <v>238</v>
      </c>
      <c r="AO3433" s="6" t="s">
        <v>238</v>
      </c>
      <c r="AP3433" s="6" t="s">
        <v>238</v>
      </c>
      <c r="AQ3433" s="5" t="s">
        <v>238</v>
      </c>
      <c r="AR3433" s="5" t="s">
        <v>488</v>
      </c>
      <c r="AS3433" s="5" t="s">
        <v>488</v>
      </c>
      <c r="AT3433" s="5" t="s">
        <v>246</v>
      </c>
      <c r="AU3433" s="5" t="s">
        <v>489</v>
      </c>
      <c r="AV3433" s="5" t="s">
        <v>247</v>
      </c>
      <c r="AW3433" s="5" t="s">
        <v>238</v>
      </c>
      <c r="AX3433" s="5" t="s">
        <v>249</v>
      </c>
      <c r="AY3433" s="5" t="s">
        <v>490</v>
      </c>
      <c r="BA3433" s="5" t="s">
        <v>238</v>
      </c>
      <c r="BC3433" s="5" t="s">
        <v>491</v>
      </c>
      <c r="BD3433" s="6" t="s">
        <v>492</v>
      </c>
      <c r="BE3433" s="5" t="s">
        <v>493</v>
      </c>
      <c r="BF3433" s="5" t="s">
        <v>493</v>
      </c>
      <c r="BG3433" s="5" t="s">
        <v>238</v>
      </c>
      <c r="BH3433" s="8">
        <f>1</f>
        <v>1</v>
      </c>
      <c r="BI3433" s="8">
        <f>1</f>
        <v>1</v>
      </c>
      <c r="BJ3433" s="5" t="s">
        <v>253</v>
      </c>
      <c r="BK3433" s="5" t="s">
        <v>254</v>
      </c>
      <c r="BL3433" s="5" t="s">
        <v>238</v>
      </c>
      <c r="BM3433" s="5" t="s">
        <v>238</v>
      </c>
      <c r="BN3433" s="5" t="s">
        <v>238</v>
      </c>
      <c r="BO3433" s="5" t="s">
        <v>238</v>
      </c>
      <c r="BP3433" s="5" t="s">
        <v>238</v>
      </c>
      <c r="BQ3433" s="5" t="s">
        <v>238</v>
      </c>
      <c r="BR3433" s="5" t="s">
        <v>238</v>
      </c>
      <c r="BS3433" s="5" t="s">
        <v>238</v>
      </c>
      <c r="BT3433" s="6" t="s">
        <v>238</v>
      </c>
      <c r="BU3433" s="5" t="s">
        <v>238</v>
      </c>
      <c r="BV3433" s="5" t="s">
        <v>238</v>
      </c>
      <c r="BW3433" s="5" t="s">
        <v>238</v>
      </c>
      <c r="BX3433" s="5" t="s">
        <v>254</v>
      </c>
      <c r="BY3433" s="5" t="s">
        <v>238</v>
      </c>
      <c r="BZ3433" s="5" t="s">
        <v>238</v>
      </c>
      <c r="CA3433" s="5" t="s">
        <v>238</v>
      </c>
      <c r="CB3433" s="5" t="s">
        <v>238</v>
      </c>
      <c r="CC3433" s="5" t="s">
        <v>238</v>
      </c>
      <c r="CD3433" s="5" t="s">
        <v>273</v>
      </c>
      <c r="CE3433" s="5" t="s">
        <v>256</v>
      </c>
      <c r="CF3433" s="5" t="s">
        <v>238</v>
      </c>
      <c r="CH3433" s="5" t="s">
        <v>494</v>
      </c>
      <c r="CI3433" s="6" t="s">
        <v>257</v>
      </c>
      <c r="CJ3433" s="5" t="s">
        <v>495</v>
      </c>
      <c r="CK3433" s="5" t="s">
        <v>258</v>
      </c>
      <c r="CL3433" s="5" t="s">
        <v>496</v>
      </c>
      <c r="CM3433" s="5" t="s">
        <v>238</v>
      </c>
      <c r="CN3433" s="5">
        <v>0</v>
      </c>
      <c r="CO3433" s="5" t="s">
        <v>497</v>
      </c>
      <c r="CP3433" s="5" t="s">
        <v>260</v>
      </c>
      <c r="CQ3433" s="5" t="s">
        <v>260</v>
      </c>
      <c r="CR3433" s="5" t="s">
        <v>261</v>
      </c>
      <c r="CS3433" s="5" t="s">
        <v>498</v>
      </c>
      <c r="CT3433" s="7">
        <f>1</f>
        <v>1</v>
      </c>
      <c r="CU3433" s="8">
        <f>1</f>
        <v>1</v>
      </c>
      <c r="CV3433" s="8">
        <f>0</f>
        <v>0</v>
      </c>
      <c r="CX3433" s="8">
        <f>1</f>
        <v>1</v>
      </c>
      <c r="CY3433" s="8">
        <f>1</f>
        <v>1</v>
      </c>
      <c r="CZ3433" s="8" t="s">
        <v>238</v>
      </c>
      <c r="DA3433" s="5" t="s">
        <v>238</v>
      </c>
      <c r="DB3433" s="5" t="s">
        <v>238</v>
      </c>
      <c r="DC3433" s="5" t="s">
        <v>238</v>
      </c>
      <c r="DD3433" s="5" t="s">
        <v>238</v>
      </c>
      <c r="DE3433" s="8">
        <f>0</f>
        <v>0</v>
      </c>
      <c r="DG3433" s="5" t="s">
        <v>238</v>
      </c>
      <c r="DH3433" s="5" t="s">
        <v>238</v>
      </c>
      <c r="DI3433" s="5" t="s">
        <v>238</v>
      </c>
      <c r="DJ3433" s="5" t="s">
        <v>238</v>
      </c>
      <c r="DK3433" s="5" t="s">
        <v>238</v>
      </c>
      <c r="DL3433" s="5" t="s">
        <v>238</v>
      </c>
      <c r="DM3433" s="8" t="s">
        <v>238</v>
      </c>
      <c r="DN3433" s="5" t="s">
        <v>238</v>
      </c>
      <c r="DO3433" s="5" t="s">
        <v>238</v>
      </c>
      <c r="DP3433" s="5" t="s">
        <v>490</v>
      </c>
      <c r="DQ3433" s="5" t="s">
        <v>490</v>
      </c>
      <c r="DR3433" s="5" t="s">
        <v>238</v>
      </c>
      <c r="DS3433" s="5" t="s">
        <v>238</v>
      </c>
      <c r="DT3433" s="5" t="s">
        <v>500</v>
      </c>
      <c r="DU3433" s="5" t="s">
        <v>868</v>
      </c>
      <c r="DV3433" s="5" t="s">
        <v>238</v>
      </c>
      <c r="DW3433" s="5" t="s">
        <v>238</v>
      </c>
      <c r="DX3433" s="5" t="s">
        <v>238</v>
      </c>
      <c r="DY3433" s="5" t="s">
        <v>238</v>
      </c>
      <c r="DZ3433" s="5" t="s">
        <v>238</v>
      </c>
      <c r="EA3433" s="5" t="s">
        <v>238</v>
      </c>
      <c r="EB3433" s="5" t="s">
        <v>238</v>
      </c>
      <c r="EC3433" s="5" t="s">
        <v>238</v>
      </c>
      <c r="ED3433" s="5" t="s">
        <v>238</v>
      </c>
      <c r="EE3433" s="5" t="s">
        <v>238</v>
      </c>
      <c r="EF3433" s="5" t="s">
        <v>238</v>
      </c>
      <c r="EG3433" s="5" t="s">
        <v>238</v>
      </c>
      <c r="EH3433" s="5" t="s">
        <v>238</v>
      </c>
      <c r="EI3433" s="5" t="s">
        <v>238</v>
      </c>
      <c r="EJ3433" s="5" t="s">
        <v>238</v>
      </c>
      <c r="EK3433" s="5" t="s">
        <v>238</v>
      </c>
      <c r="EL3433" s="5" t="s">
        <v>238</v>
      </c>
      <c r="EM3433" s="5" t="s">
        <v>238</v>
      </c>
      <c r="EN3433" s="5" t="s">
        <v>238</v>
      </c>
      <c r="EO3433" s="5" t="s">
        <v>238</v>
      </c>
      <c r="EP3433" s="5" t="s">
        <v>238</v>
      </c>
      <c r="EQ3433" s="5" t="s">
        <v>238</v>
      </c>
      <c r="ER3433" s="5" t="s">
        <v>238</v>
      </c>
      <c r="ES3433" s="5" t="s">
        <v>238</v>
      </c>
      <c r="ET3433" s="5" t="s">
        <v>238</v>
      </c>
      <c r="EU3433" s="5" t="s">
        <v>238</v>
      </c>
      <c r="EV3433" s="5" t="s">
        <v>238</v>
      </c>
      <c r="EW3433" s="5" t="s">
        <v>238</v>
      </c>
      <c r="EX3433" s="5" t="s">
        <v>238</v>
      </c>
      <c r="EY3433" s="5" t="s">
        <v>238</v>
      </c>
      <c r="EZ3433" s="5" t="s">
        <v>238</v>
      </c>
      <c r="FA3433" s="5" t="s">
        <v>238</v>
      </c>
      <c r="FB3433" s="5" t="s">
        <v>238</v>
      </c>
      <c r="FC3433" s="5" t="s">
        <v>238</v>
      </c>
      <c r="FD3433" s="5" t="s">
        <v>238</v>
      </c>
      <c r="FE3433" s="5" t="s">
        <v>238</v>
      </c>
      <c r="FF3433" s="5" t="s">
        <v>238</v>
      </c>
      <c r="FG3433" s="5" t="s">
        <v>238</v>
      </c>
      <c r="FH3433" s="5" t="s">
        <v>238</v>
      </c>
      <c r="FI3433" s="5" t="s">
        <v>238</v>
      </c>
      <c r="FJ3433" s="5" t="s">
        <v>238</v>
      </c>
      <c r="FK3433" s="5" t="s">
        <v>238</v>
      </c>
      <c r="FL3433" s="5" t="s">
        <v>238</v>
      </c>
      <c r="FM3433" s="5" t="s">
        <v>238</v>
      </c>
      <c r="FN3433" s="5" t="s">
        <v>238</v>
      </c>
      <c r="FO3433" s="5" t="s">
        <v>238</v>
      </c>
      <c r="FP3433" s="5" t="s">
        <v>238</v>
      </c>
      <c r="FQ3433" s="5" t="s">
        <v>238</v>
      </c>
      <c r="FR3433" s="5" t="s">
        <v>238</v>
      </c>
      <c r="FS3433" s="5" t="s">
        <v>238</v>
      </c>
      <c r="FT3433" s="5" t="s">
        <v>238</v>
      </c>
      <c r="FU3433" s="5" t="s">
        <v>238</v>
      </c>
      <c r="FV3433" s="5" t="s">
        <v>238</v>
      </c>
      <c r="FW3433" s="5" t="s">
        <v>238</v>
      </c>
      <c r="FX3433" s="5" t="s">
        <v>238</v>
      </c>
      <c r="FY3433" s="5" t="s">
        <v>238</v>
      </c>
      <c r="FZ3433" s="5" t="s">
        <v>238</v>
      </c>
      <c r="GA3433" s="5" t="s">
        <v>238</v>
      </c>
      <c r="GB3433" s="5" t="s">
        <v>238</v>
      </c>
      <c r="GC3433" s="5" t="s">
        <v>238</v>
      </c>
      <c r="GD3433" s="5" t="s">
        <v>238</v>
      </c>
      <c r="GE3433" s="5" t="s">
        <v>238</v>
      </c>
      <c r="GF3433" s="5" t="s">
        <v>238</v>
      </c>
      <c r="GG3433" s="5" t="s">
        <v>238</v>
      </c>
      <c r="GH3433" s="5" t="s">
        <v>238</v>
      </c>
      <c r="GI3433" s="5" t="s">
        <v>238</v>
      </c>
      <c r="GJ3433" s="5" t="s">
        <v>238</v>
      </c>
      <c r="GK3433" s="5" t="s">
        <v>238</v>
      </c>
      <c r="GL3433" s="5" t="s">
        <v>238</v>
      </c>
      <c r="GM3433" s="5" t="s">
        <v>238</v>
      </c>
      <c r="GN3433" s="5" t="s">
        <v>238</v>
      </c>
      <c r="GO3433" s="5" t="s">
        <v>238</v>
      </c>
      <c r="GP3433" s="5" t="s">
        <v>238</v>
      </c>
      <c r="GQ3433" s="5" t="s">
        <v>238</v>
      </c>
      <c r="GR3433" s="5" t="s">
        <v>238</v>
      </c>
      <c r="GS3433" s="5" t="s">
        <v>238</v>
      </c>
      <c r="GT3433" s="5" t="s">
        <v>238</v>
      </c>
      <c r="GU3433" s="5" t="s">
        <v>238</v>
      </c>
      <c r="GV3433" s="5" t="s">
        <v>238</v>
      </c>
      <c r="GW3433" s="5" t="s">
        <v>238</v>
      </c>
      <c r="GX3433" s="5" t="s">
        <v>238</v>
      </c>
      <c r="GY3433" s="5" t="s">
        <v>238</v>
      </c>
      <c r="GZ3433" s="5" t="s">
        <v>238</v>
      </c>
      <c r="HA3433" s="5" t="s">
        <v>238</v>
      </c>
      <c r="HB3433" s="5" t="s">
        <v>238</v>
      </c>
      <c r="HC3433" s="5" t="s">
        <v>238</v>
      </c>
      <c r="HD3433" s="5" t="s">
        <v>238</v>
      </c>
      <c r="HE3433" s="5" t="s">
        <v>238</v>
      </c>
      <c r="HF3433" s="5" t="s">
        <v>238</v>
      </c>
      <c r="HG3433" s="5" t="s">
        <v>238</v>
      </c>
      <c r="HH3433" s="5" t="s">
        <v>238</v>
      </c>
      <c r="HI3433" s="5" t="s">
        <v>238</v>
      </c>
      <c r="HJ3433" s="5" t="s">
        <v>238</v>
      </c>
      <c r="HK3433" s="5" t="s">
        <v>238</v>
      </c>
      <c r="HL3433" s="5" t="s">
        <v>238</v>
      </c>
      <c r="HM3433" s="5" t="s">
        <v>264</v>
      </c>
      <c r="HN3433" s="5" t="s">
        <v>238</v>
      </c>
      <c r="HO3433" s="5" t="s">
        <v>238</v>
      </c>
      <c r="HP3433" s="5" t="s">
        <v>238</v>
      </c>
      <c r="HQ3433" s="5" t="s">
        <v>238</v>
      </c>
      <c r="HR3433" s="5" t="s">
        <v>238</v>
      </c>
      <c r="HS3433" s="5" t="s">
        <v>238</v>
      </c>
      <c r="HT3433" s="5" t="s">
        <v>238</v>
      </c>
      <c r="HU3433" s="5" t="s">
        <v>238</v>
      </c>
      <c r="HV3433" s="5" t="s">
        <v>238</v>
      </c>
      <c r="HW3433" s="5" t="s">
        <v>238</v>
      </c>
      <c r="HX3433" s="5" t="s">
        <v>238</v>
      </c>
      <c r="HY3433" s="5" t="s">
        <v>238</v>
      </c>
      <c r="HZ3433" s="5" t="s">
        <v>238</v>
      </c>
      <c r="IA3433" s="5" t="s">
        <v>238</v>
      </c>
      <c r="IB3433" s="5" t="s">
        <v>238</v>
      </c>
      <c r="IC3433" s="5" t="s">
        <v>238</v>
      </c>
      <c r="ID3433" s="5" t="s">
        <v>238</v>
      </c>
    </row>
    <row r="3434" spans="1:238" x14ac:dyDescent="0.4">
      <c r="A3434" s="5">
        <v>9152</v>
      </c>
      <c r="B3434" s="5">
        <v>1</v>
      </c>
      <c r="C3434" s="5">
        <v>1</v>
      </c>
      <c r="D3434" s="5" t="s">
        <v>484</v>
      </c>
      <c r="E3434" s="5" t="s">
        <v>485</v>
      </c>
      <c r="F3434" s="5" t="s">
        <v>248</v>
      </c>
      <c r="G3434" s="5" t="s">
        <v>5060</v>
      </c>
      <c r="H3434" s="6" t="s">
        <v>5061</v>
      </c>
      <c r="I3434" s="8">
        <f>1</f>
        <v>1</v>
      </c>
      <c r="J3434" s="5" t="s">
        <v>499</v>
      </c>
      <c r="K3434" s="8">
        <f>1</f>
        <v>1</v>
      </c>
      <c r="L3434" s="6" t="s">
        <v>242</v>
      </c>
      <c r="M3434" s="5" t="s">
        <v>267</v>
      </c>
      <c r="N3434" s="5" t="s">
        <v>482</v>
      </c>
      <c r="O3434" s="5" t="s">
        <v>238</v>
      </c>
      <c r="P3434" s="5" t="s">
        <v>238</v>
      </c>
      <c r="Q3434" s="5" t="s">
        <v>239</v>
      </c>
      <c r="R3434" s="5" t="s">
        <v>270</v>
      </c>
      <c r="S3434" s="5" t="s">
        <v>238</v>
      </c>
      <c r="T3434" s="5" t="s">
        <v>238</v>
      </c>
      <c r="U3434" s="5" t="s">
        <v>238</v>
      </c>
      <c r="V3434" s="5" t="s">
        <v>238</v>
      </c>
      <c r="W3434" s="6" t="s">
        <v>238</v>
      </c>
      <c r="X3434" s="6" t="s">
        <v>238</v>
      </c>
      <c r="Y3434" s="5" t="s">
        <v>238</v>
      </c>
      <c r="Z3434" s="6" t="s">
        <v>238</v>
      </c>
      <c r="AA3434" s="6" t="s">
        <v>243</v>
      </c>
      <c r="AB3434" s="5" t="s">
        <v>486</v>
      </c>
      <c r="AC3434" s="5" t="s">
        <v>244</v>
      </c>
      <c r="AD3434" s="5" t="s">
        <v>245</v>
      </c>
      <c r="AE3434" s="5" t="s">
        <v>238</v>
      </c>
      <c r="AF3434" s="5" t="s">
        <v>238</v>
      </c>
      <c r="AG3434" s="5" t="s">
        <v>238</v>
      </c>
      <c r="AH3434" s="5" t="s">
        <v>238</v>
      </c>
      <c r="AI3434" s="5" t="s">
        <v>238</v>
      </c>
      <c r="AJ3434" s="5" t="s">
        <v>238</v>
      </c>
      <c r="AK3434" s="5" t="s">
        <v>238</v>
      </c>
      <c r="AL3434" s="5" t="s">
        <v>238</v>
      </c>
      <c r="AM3434" s="6" t="s">
        <v>238</v>
      </c>
      <c r="AN3434" s="6" t="s">
        <v>238</v>
      </c>
      <c r="AO3434" s="6" t="s">
        <v>238</v>
      </c>
      <c r="AP3434" s="6" t="s">
        <v>238</v>
      </c>
      <c r="AQ3434" s="5" t="s">
        <v>238</v>
      </c>
      <c r="AR3434" s="5" t="s">
        <v>488</v>
      </c>
      <c r="AS3434" s="5" t="s">
        <v>488</v>
      </c>
      <c r="AT3434" s="5" t="s">
        <v>246</v>
      </c>
      <c r="AU3434" s="5" t="s">
        <v>489</v>
      </c>
      <c r="AV3434" s="5" t="s">
        <v>247</v>
      </c>
      <c r="AW3434" s="5" t="s">
        <v>238</v>
      </c>
      <c r="AX3434" s="5" t="s">
        <v>249</v>
      </c>
      <c r="AY3434" s="5" t="s">
        <v>490</v>
      </c>
      <c r="BA3434" s="5" t="s">
        <v>238</v>
      </c>
      <c r="BC3434" s="5" t="s">
        <v>491</v>
      </c>
      <c r="BD3434" s="6" t="s">
        <v>492</v>
      </c>
      <c r="BE3434" s="5" t="s">
        <v>493</v>
      </c>
      <c r="BF3434" s="5" t="s">
        <v>493</v>
      </c>
      <c r="BG3434" s="5" t="s">
        <v>238</v>
      </c>
      <c r="BH3434" s="8">
        <f>1</f>
        <v>1</v>
      </c>
      <c r="BI3434" s="8">
        <f>1</f>
        <v>1</v>
      </c>
      <c r="BJ3434" s="5" t="s">
        <v>253</v>
      </c>
      <c r="BK3434" s="5" t="s">
        <v>254</v>
      </c>
      <c r="BL3434" s="5" t="s">
        <v>238</v>
      </c>
      <c r="BM3434" s="5" t="s">
        <v>238</v>
      </c>
      <c r="BN3434" s="5" t="s">
        <v>238</v>
      </c>
      <c r="BO3434" s="5" t="s">
        <v>238</v>
      </c>
      <c r="BP3434" s="5" t="s">
        <v>238</v>
      </c>
      <c r="BQ3434" s="5" t="s">
        <v>238</v>
      </c>
      <c r="BR3434" s="5" t="s">
        <v>238</v>
      </c>
      <c r="BS3434" s="5" t="s">
        <v>238</v>
      </c>
      <c r="BT3434" s="6" t="s">
        <v>238</v>
      </c>
      <c r="BU3434" s="5" t="s">
        <v>238</v>
      </c>
      <c r="BV3434" s="5" t="s">
        <v>238</v>
      </c>
      <c r="BW3434" s="5" t="s">
        <v>238</v>
      </c>
      <c r="BX3434" s="5" t="s">
        <v>254</v>
      </c>
      <c r="BY3434" s="5" t="s">
        <v>238</v>
      </c>
      <c r="BZ3434" s="5" t="s">
        <v>238</v>
      </c>
      <c r="CA3434" s="5" t="s">
        <v>238</v>
      </c>
      <c r="CB3434" s="5" t="s">
        <v>238</v>
      </c>
      <c r="CC3434" s="5" t="s">
        <v>238</v>
      </c>
      <c r="CD3434" s="5" t="s">
        <v>273</v>
      </c>
      <c r="CE3434" s="5" t="s">
        <v>256</v>
      </c>
      <c r="CF3434" s="5" t="s">
        <v>238</v>
      </c>
      <c r="CH3434" s="5" t="s">
        <v>494</v>
      </c>
      <c r="CI3434" s="6" t="s">
        <v>257</v>
      </c>
      <c r="CJ3434" s="5" t="s">
        <v>495</v>
      </c>
      <c r="CK3434" s="5" t="s">
        <v>258</v>
      </c>
      <c r="CL3434" s="5" t="s">
        <v>496</v>
      </c>
      <c r="CM3434" s="5" t="s">
        <v>238</v>
      </c>
      <c r="CN3434" s="5">
        <v>0</v>
      </c>
      <c r="CO3434" s="5" t="s">
        <v>497</v>
      </c>
      <c r="CP3434" s="5" t="s">
        <v>260</v>
      </c>
      <c r="CQ3434" s="5" t="s">
        <v>260</v>
      </c>
      <c r="CR3434" s="5" t="s">
        <v>261</v>
      </c>
      <c r="CS3434" s="5" t="s">
        <v>498</v>
      </c>
      <c r="CT3434" s="7">
        <f>1</f>
        <v>1</v>
      </c>
      <c r="CU3434" s="8">
        <f>1</f>
        <v>1</v>
      </c>
      <c r="CV3434" s="8">
        <f>0</f>
        <v>0</v>
      </c>
      <c r="CX3434" s="8">
        <f>1</f>
        <v>1</v>
      </c>
      <c r="CY3434" s="8">
        <f>1</f>
        <v>1</v>
      </c>
      <c r="CZ3434" s="8" t="s">
        <v>238</v>
      </c>
      <c r="DA3434" s="5" t="s">
        <v>238</v>
      </c>
      <c r="DB3434" s="5" t="s">
        <v>238</v>
      </c>
      <c r="DC3434" s="5" t="s">
        <v>238</v>
      </c>
      <c r="DD3434" s="5" t="s">
        <v>238</v>
      </c>
      <c r="DE3434" s="8">
        <f>0</f>
        <v>0</v>
      </c>
      <c r="DG3434" s="5" t="s">
        <v>238</v>
      </c>
      <c r="DH3434" s="5" t="s">
        <v>238</v>
      </c>
      <c r="DI3434" s="5" t="s">
        <v>238</v>
      </c>
      <c r="DJ3434" s="5" t="s">
        <v>238</v>
      </c>
      <c r="DK3434" s="5" t="s">
        <v>238</v>
      </c>
      <c r="DL3434" s="5" t="s">
        <v>238</v>
      </c>
      <c r="DM3434" s="8" t="s">
        <v>238</v>
      </c>
      <c r="DN3434" s="5" t="s">
        <v>238</v>
      </c>
      <c r="DO3434" s="5" t="s">
        <v>238</v>
      </c>
      <c r="DP3434" s="5" t="s">
        <v>490</v>
      </c>
      <c r="DQ3434" s="5" t="s">
        <v>490</v>
      </c>
      <c r="DR3434" s="5" t="s">
        <v>238</v>
      </c>
      <c r="DS3434" s="5" t="s">
        <v>238</v>
      </c>
      <c r="DT3434" s="5" t="s">
        <v>500</v>
      </c>
      <c r="DU3434" s="5" t="s">
        <v>342</v>
      </c>
      <c r="DV3434" s="5" t="s">
        <v>238</v>
      </c>
      <c r="DW3434" s="5" t="s">
        <v>238</v>
      </c>
      <c r="DX3434" s="5" t="s">
        <v>238</v>
      </c>
      <c r="DY3434" s="5" t="s">
        <v>238</v>
      </c>
      <c r="DZ3434" s="5" t="s">
        <v>238</v>
      </c>
      <c r="EA3434" s="5" t="s">
        <v>238</v>
      </c>
      <c r="EB3434" s="5" t="s">
        <v>238</v>
      </c>
      <c r="EC3434" s="5" t="s">
        <v>238</v>
      </c>
      <c r="ED3434" s="5" t="s">
        <v>238</v>
      </c>
      <c r="EE3434" s="5" t="s">
        <v>238</v>
      </c>
      <c r="EF3434" s="5" t="s">
        <v>238</v>
      </c>
      <c r="EG3434" s="5" t="s">
        <v>238</v>
      </c>
      <c r="EH3434" s="5" t="s">
        <v>238</v>
      </c>
      <c r="EI3434" s="5" t="s">
        <v>238</v>
      </c>
      <c r="EJ3434" s="5" t="s">
        <v>238</v>
      </c>
      <c r="EK3434" s="5" t="s">
        <v>238</v>
      </c>
      <c r="EL3434" s="5" t="s">
        <v>238</v>
      </c>
      <c r="EM3434" s="5" t="s">
        <v>238</v>
      </c>
      <c r="EN3434" s="5" t="s">
        <v>238</v>
      </c>
      <c r="EO3434" s="5" t="s">
        <v>238</v>
      </c>
      <c r="EP3434" s="5" t="s">
        <v>238</v>
      </c>
      <c r="EQ3434" s="5" t="s">
        <v>238</v>
      </c>
      <c r="ER3434" s="5" t="s">
        <v>238</v>
      </c>
      <c r="ES3434" s="5" t="s">
        <v>238</v>
      </c>
      <c r="ET3434" s="5" t="s">
        <v>238</v>
      </c>
      <c r="EU3434" s="5" t="s">
        <v>238</v>
      </c>
      <c r="EV3434" s="5" t="s">
        <v>238</v>
      </c>
      <c r="EW3434" s="5" t="s">
        <v>238</v>
      </c>
      <c r="EX3434" s="5" t="s">
        <v>238</v>
      </c>
      <c r="EY3434" s="5" t="s">
        <v>238</v>
      </c>
      <c r="EZ3434" s="5" t="s">
        <v>238</v>
      </c>
      <c r="FA3434" s="5" t="s">
        <v>238</v>
      </c>
      <c r="FB3434" s="5" t="s">
        <v>238</v>
      </c>
      <c r="FC3434" s="5" t="s">
        <v>238</v>
      </c>
      <c r="FD3434" s="5" t="s">
        <v>238</v>
      </c>
      <c r="FE3434" s="5" t="s">
        <v>238</v>
      </c>
      <c r="FF3434" s="5" t="s">
        <v>238</v>
      </c>
      <c r="FG3434" s="5" t="s">
        <v>238</v>
      </c>
      <c r="FH3434" s="5" t="s">
        <v>238</v>
      </c>
      <c r="FI3434" s="5" t="s">
        <v>238</v>
      </c>
      <c r="FJ3434" s="5" t="s">
        <v>238</v>
      </c>
      <c r="FK3434" s="5" t="s">
        <v>238</v>
      </c>
      <c r="FL3434" s="5" t="s">
        <v>238</v>
      </c>
      <c r="FM3434" s="5" t="s">
        <v>238</v>
      </c>
      <c r="FN3434" s="5" t="s">
        <v>238</v>
      </c>
      <c r="FO3434" s="5" t="s">
        <v>238</v>
      </c>
      <c r="FP3434" s="5" t="s">
        <v>238</v>
      </c>
      <c r="FQ3434" s="5" t="s">
        <v>238</v>
      </c>
      <c r="FR3434" s="5" t="s">
        <v>238</v>
      </c>
      <c r="FS3434" s="5" t="s">
        <v>238</v>
      </c>
      <c r="FT3434" s="5" t="s">
        <v>238</v>
      </c>
      <c r="FU3434" s="5" t="s">
        <v>238</v>
      </c>
      <c r="FV3434" s="5" t="s">
        <v>238</v>
      </c>
      <c r="FW3434" s="5" t="s">
        <v>238</v>
      </c>
      <c r="FX3434" s="5" t="s">
        <v>238</v>
      </c>
      <c r="FY3434" s="5" t="s">
        <v>238</v>
      </c>
      <c r="FZ3434" s="5" t="s">
        <v>238</v>
      </c>
      <c r="GA3434" s="5" t="s">
        <v>238</v>
      </c>
      <c r="GB3434" s="5" t="s">
        <v>238</v>
      </c>
      <c r="GC3434" s="5" t="s">
        <v>238</v>
      </c>
      <c r="GD3434" s="5" t="s">
        <v>238</v>
      </c>
      <c r="GE3434" s="5" t="s">
        <v>238</v>
      </c>
      <c r="GF3434" s="5" t="s">
        <v>238</v>
      </c>
      <c r="GG3434" s="5" t="s">
        <v>238</v>
      </c>
      <c r="GH3434" s="5" t="s">
        <v>238</v>
      </c>
      <c r="GI3434" s="5" t="s">
        <v>238</v>
      </c>
      <c r="GJ3434" s="5" t="s">
        <v>238</v>
      </c>
      <c r="GK3434" s="5" t="s">
        <v>238</v>
      </c>
      <c r="GL3434" s="5" t="s">
        <v>238</v>
      </c>
      <c r="GM3434" s="5" t="s">
        <v>238</v>
      </c>
      <c r="GN3434" s="5" t="s">
        <v>238</v>
      </c>
      <c r="GO3434" s="5" t="s">
        <v>238</v>
      </c>
      <c r="GP3434" s="5" t="s">
        <v>238</v>
      </c>
      <c r="GQ3434" s="5" t="s">
        <v>238</v>
      </c>
      <c r="GR3434" s="5" t="s">
        <v>238</v>
      </c>
      <c r="GS3434" s="5" t="s">
        <v>238</v>
      </c>
      <c r="GT3434" s="5" t="s">
        <v>238</v>
      </c>
      <c r="GU3434" s="5" t="s">
        <v>238</v>
      </c>
      <c r="GV3434" s="5" t="s">
        <v>238</v>
      </c>
      <c r="GW3434" s="5" t="s">
        <v>238</v>
      </c>
      <c r="GX3434" s="5" t="s">
        <v>238</v>
      </c>
      <c r="GY3434" s="5" t="s">
        <v>238</v>
      </c>
      <c r="GZ3434" s="5" t="s">
        <v>238</v>
      </c>
      <c r="HA3434" s="5" t="s">
        <v>238</v>
      </c>
      <c r="HB3434" s="5" t="s">
        <v>238</v>
      </c>
      <c r="HC3434" s="5" t="s">
        <v>238</v>
      </c>
      <c r="HD3434" s="5" t="s">
        <v>238</v>
      </c>
      <c r="HE3434" s="5" t="s">
        <v>238</v>
      </c>
      <c r="HF3434" s="5" t="s">
        <v>238</v>
      </c>
      <c r="HG3434" s="5" t="s">
        <v>238</v>
      </c>
      <c r="HH3434" s="5" t="s">
        <v>238</v>
      </c>
      <c r="HI3434" s="5" t="s">
        <v>238</v>
      </c>
      <c r="HJ3434" s="5" t="s">
        <v>238</v>
      </c>
      <c r="HK3434" s="5" t="s">
        <v>238</v>
      </c>
      <c r="HL3434" s="5" t="s">
        <v>238</v>
      </c>
      <c r="HM3434" s="5" t="s">
        <v>264</v>
      </c>
      <c r="HN3434" s="5" t="s">
        <v>238</v>
      </c>
      <c r="HO3434" s="5" t="s">
        <v>238</v>
      </c>
      <c r="HP3434" s="5" t="s">
        <v>238</v>
      </c>
      <c r="HQ3434" s="5" t="s">
        <v>238</v>
      </c>
      <c r="HR3434" s="5" t="s">
        <v>238</v>
      </c>
      <c r="HS3434" s="5" t="s">
        <v>238</v>
      </c>
      <c r="HT3434" s="5" t="s">
        <v>238</v>
      </c>
      <c r="HU3434" s="5" t="s">
        <v>238</v>
      </c>
      <c r="HV3434" s="5" t="s">
        <v>238</v>
      </c>
      <c r="HW3434" s="5" t="s">
        <v>238</v>
      </c>
      <c r="HX3434" s="5" t="s">
        <v>238</v>
      </c>
      <c r="HY3434" s="5" t="s">
        <v>238</v>
      </c>
      <c r="HZ3434" s="5" t="s">
        <v>238</v>
      </c>
      <c r="IA3434" s="5" t="s">
        <v>238</v>
      </c>
      <c r="IB3434" s="5" t="s">
        <v>238</v>
      </c>
      <c r="IC3434" s="5" t="s">
        <v>238</v>
      </c>
      <c r="ID3434" s="5" t="s">
        <v>238</v>
      </c>
    </row>
    <row r="3435" spans="1:238" x14ac:dyDescent="0.4">
      <c r="A3435" s="5">
        <v>9153</v>
      </c>
      <c r="B3435" s="5">
        <v>1</v>
      </c>
      <c r="C3435" s="5">
        <v>1</v>
      </c>
      <c r="D3435" s="5" t="s">
        <v>484</v>
      </c>
      <c r="E3435" s="5" t="s">
        <v>485</v>
      </c>
      <c r="F3435" s="5" t="s">
        <v>248</v>
      </c>
      <c r="G3435" s="5" t="s">
        <v>4710</v>
      </c>
      <c r="H3435" s="6" t="s">
        <v>4711</v>
      </c>
      <c r="I3435" s="8">
        <f>1</f>
        <v>1</v>
      </c>
      <c r="J3435" s="5" t="s">
        <v>499</v>
      </c>
      <c r="K3435" s="8">
        <f>1</f>
        <v>1</v>
      </c>
      <c r="L3435" s="6" t="s">
        <v>242</v>
      </c>
      <c r="M3435" s="5" t="s">
        <v>267</v>
      </c>
      <c r="N3435" s="5" t="s">
        <v>482</v>
      </c>
      <c r="O3435" s="5" t="s">
        <v>238</v>
      </c>
      <c r="P3435" s="5" t="s">
        <v>238</v>
      </c>
      <c r="Q3435" s="5" t="s">
        <v>239</v>
      </c>
      <c r="R3435" s="5" t="s">
        <v>270</v>
      </c>
      <c r="S3435" s="5" t="s">
        <v>238</v>
      </c>
      <c r="T3435" s="5" t="s">
        <v>238</v>
      </c>
      <c r="U3435" s="5" t="s">
        <v>238</v>
      </c>
      <c r="V3435" s="5" t="s">
        <v>238</v>
      </c>
      <c r="W3435" s="6" t="s">
        <v>238</v>
      </c>
      <c r="X3435" s="6" t="s">
        <v>238</v>
      </c>
      <c r="Y3435" s="5" t="s">
        <v>238</v>
      </c>
      <c r="Z3435" s="6" t="s">
        <v>238</v>
      </c>
      <c r="AA3435" s="6" t="s">
        <v>243</v>
      </c>
      <c r="AB3435" s="5" t="s">
        <v>486</v>
      </c>
      <c r="AC3435" s="5" t="s">
        <v>244</v>
      </c>
      <c r="AD3435" s="5" t="s">
        <v>245</v>
      </c>
      <c r="AE3435" s="5" t="s">
        <v>238</v>
      </c>
      <c r="AF3435" s="5" t="s">
        <v>238</v>
      </c>
      <c r="AG3435" s="5" t="s">
        <v>238</v>
      </c>
      <c r="AH3435" s="5" t="s">
        <v>238</v>
      </c>
      <c r="AI3435" s="5" t="s">
        <v>238</v>
      </c>
      <c r="AJ3435" s="5" t="s">
        <v>238</v>
      </c>
      <c r="AK3435" s="5" t="s">
        <v>238</v>
      </c>
      <c r="AL3435" s="5" t="s">
        <v>238</v>
      </c>
      <c r="AM3435" s="6" t="s">
        <v>238</v>
      </c>
      <c r="AN3435" s="6" t="s">
        <v>238</v>
      </c>
      <c r="AO3435" s="6" t="s">
        <v>238</v>
      </c>
      <c r="AP3435" s="6" t="s">
        <v>238</v>
      </c>
      <c r="AQ3435" s="5" t="s">
        <v>238</v>
      </c>
      <c r="AR3435" s="5" t="s">
        <v>488</v>
      </c>
      <c r="AS3435" s="5" t="s">
        <v>488</v>
      </c>
      <c r="AT3435" s="5" t="s">
        <v>246</v>
      </c>
      <c r="AU3435" s="5" t="s">
        <v>489</v>
      </c>
      <c r="AV3435" s="5" t="s">
        <v>247</v>
      </c>
      <c r="AW3435" s="5" t="s">
        <v>238</v>
      </c>
      <c r="AX3435" s="5" t="s">
        <v>249</v>
      </c>
      <c r="AY3435" s="5" t="s">
        <v>490</v>
      </c>
      <c r="BA3435" s="5" t="s">
        <v>238</v>
      </c>
      <c r="BC3435" s="5" t="s">
        <v>491</v>
      </c>
      <c r="BD3435" s="6" t="s">
        <v>492</v>
      </c>
      <c r="BE3435" s="5" t="s">
        <v>493</v>
      </c>
      <c r="BF3435" s="5" t="s">
        <v>493</v>
      </c>
      <c r="BG3435" s="5" t="s">
        <v>238</v>
      </c>
      <c r="BH3435" s="8">
        <f>1</f>
        <v>1</v>
      </c>
      <c r="BI3435" s="8">
        <f>1</f>
        <v>1</v>
      </c>
      <c r="BJ3435" s="5" t="s">
        <v>253</v>
      </c>
      <c r="BK3435" s="5" t="s">
        <v>254</v>
      </c>
      <c r="BL3435" s="5" t="s">
        <v>238</v>
      </c>
      <c r="BM3435" s="5" t="s">
        <v>238</v>
      </c>
      <c r="BN3435" s="5" t="s">
        <v>238</v>
      </c>
      <c r="BO3435" s="5" t="s">
        <v>238</v>
      </c>
      <c r="BP3435" s="5" t="s">
        <v>238</v>
      </c>
      <c r="BQ3435" s="5" t="s">
        <v>238</v>
      </c>
      <c r="BR3435" s="5" t="s">
        <v>238</v>
      </c>
      <c r="BS3435" s="5" t="s">
        <v>238</v>
      </c>
      <c r="BT3435" s="6" t="s">
        <v>238</v>
      </c>
      <c r="BU3435" s="5" t="s">
        <v>238</v>
      </c>
      <c r="BV3435" s="5" t="s">
        <v>238</v>
      </c>
      <c r="BW3435" s="5" t="s">
        <v>238</v>
      </c>
      <c r="BX3435" s="5" t="s">
        <v>254</v>
      </c>
      <c r="BY3435" s="5" t="s">
        <v>238</v>
      </c>
      <c r="BZ3435" s="5" t="s">
        <v>238</v>
      </c>
      <c r="CA3435" s="5" t="s">
        <v>238</v>
      </c>
      <c r="CB3435" s="5" t="s">
        <v>238</v>
      </c>
      <c r="CC3435" s="5" t="s">
        <v>238</v>
      </c>
      <c r="CD3435" s="5" t="s">
        <v>273</v>
      </c>
      <c r="CE3435" s="5" t="s">
        <v>256</v>
      </c>
      <c r="CF3435" s="5" t="s">
        <v>238</v>
      </c>
      <c r="CH3435" s="5" t="s">
        <v>494</v>
      </c>
      <c r="CI3435" s="6" t="s">
        <v>257</v>
      </c>
      <c r="CJ3435" s="5" t="s">
        <v>495</v>
      </c>
      <c r="CK3435" s="5" t="s">
        <v>258</v>
      </c>
      <c r="CL3435" s="5" t="s">
        <v>496</v>
      </c>
      <c r="CM3435" s="5" t="s">
        <v>238</v>
      </c>
      <c r="CN3435" s="5">
        <v>0</v>
      </c>
      <c r="CO3435" s="5" t="s">
        <v>497</v>
      </c>
      <c r="CP3435" s="5" t="s">
        <v>260</v>
      </c>
      <c r="CQ3435" s="5" t="s">
        <v>260</v>
      </c>
      <c r="CR3435" s="5" t="s">
        <v>261</v>
      </c>
      <c r="CS3435" s="5" t="s">
        <v>498</v>
      </c>
      <c r="CT3435" s="7">
        <f>1</f>
        <v>1</v>
      </c>
      <c r="CU3435" s="8">
        <f>1</f>
        <v>1</v>
      </c>
      <c r="CV3435" s="8">
        <f>0</f>
        <v>0</v>
      </c>
      <c r="CX3435" s="8">
        <f>1</f>
        <v>1</v>
      </c>
      <c r="CY3435" s="8">
        <f>1</f>
        <v>1</v>
      </c>
      <c r="CZ3435" s="8" t="s">
        <v>238</v>
      </c>
      <c r="DA3435" s="5" t="s">
        <v>238</v>
      </c>
      <c r="DB3435" s="5" t="s">
        <v>238</v>
      </c>
      <c r="DC3435" s="5" t="s">
        <v>238</v>
      </c>
      <c r="DD3435" s="5" t="s">
        <v>238</v>
      </c>
      <c r="DE3435" s="8">
        <f>0</f>
        <v>0</v>
      </c>
      <c r="DG3435" s="5" t="s">
        <v>238</v>
      </c>
      <c r="DH3435" s="5" t="s">
        <v>238</v>
      </c>
      <c r="DI3435" s="5" t="s">
        <v>238</v>
      </c>
      <c r="DJ3435" s="5" t="s">
        <v>238</v>
      </c>
      <c r="DK3435" s="5" t="s">
        <v>238</v>
      </c>
      <c r="DL3435" s="5" t="s">
        <v>238</v>
      </c>
      <c r="DM3435" s="8" t="s">
        <v>238</v>
      </c>
      <c r="DN3435" s="5" t="s">
        <v>238</v>
      </c>
      <c r="DO3435" s="5" t="s">
        <v>238</v>
      </c>
      <c r="DP3435" s="5" t="s">
        <v>490</v>
      </c>
      <c r="DQ3435" s="5" t="s">
        <v>490</v>
      </c>
      <c r="DR3435" s="5" t="s">
        <v>238</v>
      </c>
      <c r="DS3435" s="5" t="s">
        <v>238</v>
      </c>
      <c r="DT3435" s="5" t="s">
        <v>500</v>
      </c>
      <c r="DU3435" s="5" t="s">
        <v>1037</v>
      </c>
      <c r="DV3435" s="5" t="s">
        <v>238</v>
      </c>
      <c r="DW3435" s="5" t="s">
        <v>238</v>
      </c>
      <c r="DX3435" s="5" t="s">
        <v>238</v>
      </c>
      <c r="DY3435" s="5" t="s">
        <v>238</v>
      </c>
      <c r="DZ3435" s="5" t="s">
        <v>238</v>
      </c>
      <c r="EA3435" s="5" t="s">
        <v>238</v>
      </c>
      <c r="EB3435" s="5" t="s">
        <v>238</v>
      </c>
      <c r="EC3435" s="5" t="s">
        <v>238</v>
      </c>
      <c r="ED3435" s="5" t="s">
        <v>238</v>
      </c>
      <c r="EE3435" s="5" t="s">
        <v>238</v>
      </c>
      <c r="EF3435" s="5" t="s">
        <v>238</v>
      </c>
      <c r="EG3435" s="5" t="s">
        <v>238</v>
      </c>
      <c r="EH3435" s="5" t="s">
        <v>238</v>
      </c>
      <c r="EI3435" s="5" t="s">
        <v>238</v>
      </c>
      <c r="EJ3435" s="5" t="s">
        <v>238</v>
      </c>
      <c r="EK3435" s="5" t="s">
        <v>238</v>
      </c>
      <c r="EL3435" s="5" t="s">
        <v>238</v>
      </c>
      <c r="EM3435" s="5" t="s">
        <v>238</v>
      </c>
      <c r="EN3435" s="5" t="s">
        <v>238</v>
      </c>
      <c r="EO3435" s="5" t="s">
        <v>238</v>
      </c>
      <c r="EP3435" s="5" t="s">
        <v>238</v>
      </c>
      <c r="EQ3435" s="5" t="s">
        <v>238</v>
      </c>
      <c r="ER3435" s="5" t="s">
        <v>238</v>
      </c>
      <c r="ES3435" s="5" t="s">
        <v>238</v>
      </c>
      <c r="ET3435" s="5" t="s">
        <v>238</v>
      </c>
      <c r="EU3435" s="5" t="s">
        <v>238</v>
      </c>
      <c r="EV3435" s="5" t="s">
        <v>238</v>
      </c>
      <c r="EW3435" s="5" t="s">
        <v>238</v>
      </c>
      <c r="EX3435" s="5" t="s">
        <v>238</v>
      </c>
      <c r="EY3435" s="5" t="s">
        <v>238</v>
      </c>
      <c r="EZ3435" s="5" t="s">
        <v>238</v>
      </c>
      <c r="FA3435" s="5" t="s">
        <v>238</v>
      </c>
      <c r="FB3435" s="5" t="s">
        <v>238</v>
      </c>
      <c r="FC3435" s="5" t="s">
        <v>238</v>
      </c>
      <c r="FD3435" s="5" t="s">
        <v>238</v>
      </c>
      <c r="FE3435" s="5" t="s">
        <v>238</v>
      </c>
      <c r="FF3435" s="5" t="s">
        <v>238</v>
      </c>
      <c r="FG3435" s="5" t="s">
        <v>238</v>
      </c>
      <c r="FH3435" s="5" t="s">
        <v>238</v>
      </c>
      <c r="FI3435" s="5" t="s">
        <v>238</v>
      </c>
      <c r="FJ3435" s="5" t="s">
        <v>238</v>
      </c>
      <c r="FK3435" s="5" t="s">
        <v>238</v>
      </c>
      <c r="FL3435" s="5" t="s">
        <v>238</v>
      </c>
      <c r="FM3435" s="5" t="s">
        <v>238</v>
      </c>
      <c r="FN3435" s="5" t="s">
        <v>238</v>
      </c>
      <c r="FO3435" s="5" t="s">
        <v>238</v>
      </c>
      <c r="FP3435" s="5" t="s">
        <v>238</v>
      </c>
      <c r="FQ3435" s="5" t="s">
        <v>238</v>
      </c>
      <c r="FR3435" s="5" t="s">
        <v>238</v>
      </c>
      <c r="FS3435" s="5" t="s">
        <v>238</v>
      </c>
      <c r="FT3435" s="5" t="s">
        <v>238</v>
      </c>
      <c r="FU3435" s="5" t="s">
        <v>238</v>
      </c>
      <c r="FV3435" s="5" t="s">
        <v>238</v>
      </c>
      <c r="FW3435" s="5" t="s">
        <v>238</v>
      </c>
      <c r="FX3435" s="5" t="s">
        <v>238</v>
      </c>
      <c r="FY3435" s="5" t="s">
        <v>238</v>
      </c>
      <c r="FZ3435" s="5" t="s">
        <v>238</v>
      </c>
      <c r="GA3435" s="5" t="s">
        <v>238</v>
      </c>
      <c r="GB3435" s="5" t="s">
        <v>238</v>
      </c>
      <c r="GC3435" s="5" t="s">
        <v>238</v>
      </c>
      <c r="GD3435" s="5" t="s">
        <v>238</v>
      </c>
      <c r="GE3435" s="5" t="s">
        <v>238</v>
      </c>
      <c r="GF3435" s="5" t="s">
        <v>238</v>
      </c>
      <c r="GG3435" s="5" t="s">
        <v>238</v>
      </c>
      <c r="GH3435" s="5" t="s">
        <v>238</v>
      </c>
      <c r="GI3435" s="5" t="s">
        <v>238</v>
      </c>
      <c r="GJ3435" s="5" t="s">
        <v>238</v>
      </c>
      <c r="GK3435" s="5" t="s">
        <v>238</v>
      </c>
      <c r="GL3435" s="5" t="s">
        <v>238</v>
      </c>
      <c r="GM3435" s="5" t="s">
        <v>238</v>
      </c>
      <c r="GN3435" s="5" t="s">
        <v>238</v>
      </c>
      <c r="GO3435" s="5" t="s">
        <v>238</v>
      </c>
      <c r="GP3435" s="5" t="s">
        <v>238</v>
      </c>
      <c r="GQ3435" s="5" t="s">
        <v>238</v>
      </c>
      <c r="GR3435" s="5" t="s">
        <v>238</v>
      </c>
      <c r="GS3435" s="5" t="s">
        <v>238</v>
      </c>
      <c r="GT3435" s="5" t="s">
        <v>238</v>
      </c>
      <c r="GU3435" s="5" t="s">
        <v>238</v>
      </c>
      <c r="GV3435" s="5" t="s">
        <v>238</v>
      </c>
      <c r="GW3435" s="5" t="s">
        <v>238</v>
      </c>
      <c r="GX3435" s="5" t="s">
        <v>238</v>
      </c>
      <c r="GY3435" s="5" t="s">
        <v>238</v>
      </c>
      <c r="GZ3435" s="5" t="s">
        <v>238</v>
      </c>
      <c r="HA3435" s="5" t="s">
        <v>238</v>
      </c>
      <c r="HB3435" s="5" t="s">
        <v>238</v>
      </c>
      <c r="HC3435" s="5" t="s">
        <v>238</v>
      </c>
      <c r="HD3435" s="5" t="s">
        <v>238</v>
      </c>
      <c r="HE3435" s="5" t="s">
        <v>238</v>
      </c>
      <c r="HF3435" s="5" t="s">
        <v>238</v>
      </c>
      <c r="HG3435" s="5" t="s">
        <v>238</v>
      </c>
      <c r="HH3435" s="5" t="s">
        <v>238</v>
      </c>
      <c r="HI3435" s="5" t="s">
        <v>238</v>
      </c>
      <c r="HJ3435" s="5" t="s">
        <v>238</v>
      </c>
      <c r="HK3435" s="5" t="s">
        <v>238</v>
      </c>
      <c r="HL3435" s="5" t="s">
        <v>238</v>
      </c>
      <c r="HM3435" s="5" t="s">
        <v>264</v>
      </c>
      <c r="HN3435" s="5" t="s">
        <v>238</v>
      </c>
      <c r="HO3435" s="5" t="s">
        <v>238</v>
      </c>
      <c r="HP3435" s="5" t="s">
        <v>238</v>
      </c>
      <c r="HQ3435" s="5" t="s">
        <v>238</v>
      </c>
      <c r="HR3435" s="5" t="s">
        <v>238</v>
      </c>
      <c r="HS3435" s="5" t="s">
        <v>238</v>
      </c>
      <c r="HT3435" s="5" t="s">
        <v>238</v>
      </c>
      <c r="HU3435" s="5" t="s">
        <v>238</v>
      </c>
      <c r="HV3435" s="5" t="s">
        <v>238</v>
      </c>
      <c r="HW3435" s="5" t="s">
        <v>238</v>
      </c>
      <c r="HX3435" s="5" t="s">
        <v>238</v>
      </c>
      <c r="HY3435" s="5" t="s">
        <v>238</v>
      </c>
      <c r="HZ3435" s="5" t="s">
        <v>238</v>
      </c>
      <c r="IA3435" s="5" t="s">
        <v>238</v>
      </c>
      <c r="IB3435" s="5" t="s">
        <v>238</v>
      </c>
      <c r="IC3435" s="5" t="s">
        <v>238</v>
      </c>
      <c r="ID3435" s="5" t="s">
        <v>238</v>
      </c>
    </row>
    <row r="3436" spans="1:238" x14ac:dyDescent="0.4">
      <c r="A3436" s="5">
        <v>9154</v>
      </c>
      <c r="B3436" s="5">
        <v>1</v>
      </c>
      <c r="C3436" s="5">
        <v>1</v>
      </c>
      <c r="D3436" s="5" t="s">
        <v>484</v>
      </c>
      <c r="E3436" s="5" t="s">
        <v>485</v>
      </c>
      <c r="F3436" s="5" t="s">
        <v>248</v>
      </c>
      <c r="G3436" s="5" t="s">
        <v>6403</v>
      </c>
      <c r="H3436" s="6" t="s">
        <v>6404</v>
      </c>
      <c r="I3436" s="8">
        <f>1</f>
        <v>1</v>
      </c>
      <c r="J3436" s="5" t="s">
        <v>499</v>
      </c>
      <c r="K3436" s="8">
        <f>1</f>
        <v>1</v>
      </c>
      <c r="L3436" s="6" t="s">
        <v>242</v>
      </c>
      <c r="M3436" s="5" t="s">
        <v>267</v>
      </c>
      <c r="N3436" s="5" t="s">
        <v>482</v>
      </c>
      <c r="O3436" s="5" t="s">
        <v>238</v>
      </c>
      <c r="P3436" s="5" t="s">
        <v>238</v>
      </c>
      <c r="Q3436" s="5" t="s">
        <v>239</v>
      </c>
      <c r="R3436" s="5" t="s">
        <v>270</v>
      </c>
      <c r="S3436" s="5" t="s">
        <v>238</v>
      </c>
      <c r="T3436" s="5" t="s">
        <v>238</v>
      </c>
      <c r="U3436" s="5" t="s">
        <v>238</v>
      </c>
      <c r="V3436" s="5" t="s">
        <v>238</v>
      </c>
      <c r="W3436" s="6" t="s">
        <v>238</v>
      </c>
      <c r="X3436" s="6" t="s">
        <v>238</v>
      </c>
      <c r="Y3436" s="5" t="s">
        <v>238</v>
      </c>
      <c r="Z3436" s="6" t="s">
        <v>238</v>
      </c>
      <c r="AA3436" s="6" t="s">
        <v>243</v>
      </c>
      <c r="AB3436" s="5" t="s">
        <v>486</v>
      </c>
      <c r="AC3436" s="5" t="s">
        <v>244</v>
      </c>
      <c r="AD3436" s="5" t="s">
        <v>245</v>
      </c>
      <c r="AE3436" s="5" t="s">
        <v>238</v>
      </c>
      <c r="AF3436" s="5" t="s">
        <v>238</v>
      </c>
      <c r="AG3436" s="5" t="s">
        <v>238</v>
      </c>
      <c r="AH3436" s="5" t="s">
        <v>238</v>
      </c>
      <c r="AI3436" s="5" t="s">
        <v>238</v>
      </c>
      <c r="AJ3436" s="5" t="s">
        <v>238</v>
      </c>
      <c r="AK3436" s="5" t="s">
        <v>238</v>
      </c>
      <c r="AL3436" s="5" t="s">
        <v>238</v>
      </c>
      <c r="AM3436" s="6" t="s">
        <v>238</v>
      </c>
      <c r="AN3436" s="6" t="s">
        <v>238</v>
      </c>
      <c r="AO3436" s="6" t="s">
        <v>238</v>
      </c>
      <c r="AP3436" s="6" t="s">
        <v>238</v>
      </c>
      <c r="AQ3436" s="5" t="s">
        <v>238</v>
      </c>
      <c r="AR3436" s="5" t="s">
        <v>488</v>
      </c>
      <c r="AS3436" s="5" t="s">
        <v>488</v>
      </c>
      <c r="AT3436" s="5" t="s">
        <v>246</v>
      </c>
      <c r="AU3436" s="5" t="s">
        <v>489</v>
      </c>
      <c r="AV3436" s="5" t="s">
        <v>247</v>
      </c>
      <c r="AW3436" s="5" t="s">
        <v>238</v>
      </c>
      <c r="AX3436" s="5" t="s">
        <v>249</v>
      </c>
      <c r="AY3436" s="5" t="s">
        <v>490</v>
      </c>
      <c r="BA3436" s="5" t="s">
        <v>238</v>
      </c>
      <c r="BC3436" s="5" t="s">
        <v>491</v>
      </c>
      <c r="BD3436" s="6" t="s">
        <v>492</v>
      </c>
      <c r="BE3436" s="5" t="s">
        <v>493</v>
      </c>
      <c r="BF3436" s="5" t="s">
        <v>493</v>
      </c>
      <c r="BG3436" s="5" t="s">
        <v>238</v>
      </c>
      <c r="BH3436" s="8">
        <f>1</f>
        <v>1</v>
      </c>
      <c r="BI3436" s="8">
        <f>1</f>
        <v>1</v>
      </c>
      <c r="BJ3436" s="5" t="s">
        <v>253</v>
      </c>
      <c r="BK3436" s="5" t="s">
        <v>254</v>
      </c>
      <c r="BL3436" s="5" t="s">
        <v>238</v>
      </c>
      <c r="BM3436" s="5" t="s">
        <v>238</v>
      </c>
      <c r="BN3436" s="5" t="s">
        <v>238</v>
      </c>
      <c r="BO3436" s="5" t="s">
        <v>238</v>
      </c>
      <c r="BP3436" s="5" t="s">
        <v>238</v>
      </c>
      <c r="BQ3436" s="5" t="s">
        <v>238</v>
      </c>
      <c r="BR3436" s="5" t="s">
        <v>238</v>
      </c>
      <c r="BS3436" s="5" t="s">
        <v>238</v>
      </c>
      <c r="BT3436" s="6" t="s">
        <v>238</v>
      </c>
      <c r="BU3436" s="5" t="s">
        <v>238</v>
      </c>
      <c r="BV3436" s="5" t="s">
        <v>238</v>
      </c>
      <c r="BW3436" s="5" t="s">
        <v>238</v>
      </c>
      <c r="BX3436" s="5" t="s">
        <v>254</v>
      </c>
      <c r="BY3436" s="5" t="s">
        <v>238</v>
      </c>
      <c r="BZ3436" s="5" t="s">
        <v>238</v>
      </c>
      <c r="CA3436" s="5" t="s">
        <v>238</v>
      </c>
      <c r="CB3436" s="5" t="s">
        <v>238</v>
      </c>
      <c r="CC3436" s="5" t="s">
        <v>238</v>
      </c>
      <c r="CD3436" s="5" t="s">
        <v>273</v>
      </c>
      <c r="CE3436" s="5" t="s">
        <v>256</v>
      </c>
      <c r="CF3436" s="5" t="s">
        <v>238</v>
      </c>
      <c r="CH3436" s="5" t="s">
        <v>494</v>
      </c>
      <c r="CI3436" s="6" t="s">
        <v>257</v>
      </c>
      <c r="CJ3436" s="5" t="s">
        <v>495</v>
      </c>
      <c r="CK3436" s="5" t="s">
        <v>258</v>
      </c>
      <c r="CL3436" s="5" t="s">
        <v>496</v>
      </c>
      <c r="CM3436" s="5" t="s">
        <v>238</v>
      </c>
      <c r="CN3436" s="5">
        <v>0</v>
      </c>
      <c r="CO3436" s="5" t="s">
        <v>497</v>
      </c>
      <c r="CP3436" s="5" t="s">
        <v>260</v>
      </c>
      <c r="CQ3436" s="5" t="s">
        <v>260</v>
      </c>
      <c r="CR3436" s="5" t="s">
        <v>261</v>
      </c>
      <c r="CS3436" s="5" t="s">
        <v>498</v>
      </c>
      <c r="CT3436" s="7">
        <f>1</f>
        <v>1</v>
      </c>
      <c r="CU3436" s="8">
        <f>1</f>
        <v>1</v>
      </c>
      <c r="CV3436" s="8">
        <f>0</f>
        <v>0</v>
      </c>
      <c r="CX3436" s="8">
        <f>1</f>
        <v>1</v>
      </c>
      <c r="CY3436" s="8">
        <f>1</f>
        <v>1</v>
      </c>
      <c r="CZ3436" s="8" t="s">
        <v>238</v>
      </c>
      <c r="DA3436" s="5" t="s">
        <v>238</v>
      </c>
      <c r="DB3436" s="5" t="s">
        <v>238</v>
      </c>
      <c r="DC3436" s="5" t="s">
        <v>238</v>
      </c>
      <c r="DD3436" s="5" t="s">
        <v>238</v>
      </c>
      <c r="DE3436" s="8">
        <f>0</f>
        <v>0</v>
      </c>
      <c r="DG3436" s="5" t="s">
        <v>238</v>
      </c>
      <c r="DH3436" s="5" t="s">
        <v>238</v>
      </c>
      <c r="DI3436" s="5" t="s">
        <v>238</v>
      </c>
      <c r="DJ3436" s="5" t="s">
        <v>238</v>
      </c>
      <c r="DK3436" s="5" t="s">
        <v>238</v>
      </c>
      <c r="DL3436" s="5" t="s">
        <v>238</v>
      </c>
      <c r="DM3436" s="8" t="s">
        <v>238</v>
      </c>
      <c r="DN3436" s="5" t="s">
        <v>238</v>
      </c>
      <c r="DO3436" s="5" t="s">
        <v>238</v>
      </c>
      <c r="DP3436" s="5" t="s">
        <v>490</v>
      </c>
      <c r="DQ3436" s="5" t="s">
        <v>490</v>
      </c>
      <c r="DR3436" s="5" t="s">
        <v>238</v>
      </c>
      <c r="DS3436" s="5" t="s">
        <v>238</v>
      </c>
      <c r="DT3436" s="5" t="s">
        <v>500</v>
      </c>
      <c r="DU3436" s="5" t="s">
        <v>362</v>
      </c>
      <c r="DV3436" s="5" t="s">
        <v>238</v>
      </c>
      <c r="DW3436" s="5" t="s">
        <v>238</v>
      </c>
      <c r="DX3436" s="5" t="s">
        <v>238</v>
      </c>
      <c r="DY3436" s="5" t="s">
        <v>238</v>
      </c>
      <c r="DZ3436" s="5" t="s">
        <v>238</v>
      </c>
      <c r="EA3436" s="5" t="s">
        <v>238</v>
      </c>
      <c r="EB3436" s="5" t="s">
        <v>238</v>
      </c>
      <c r="EC3436" s="5" t="s">
        <v>238</v>
      </c>
      <c r="ED3436" s="5" t="s">
        <v>238</v>
      </c>
      <c r="EE3436" s="5" t="s">
        <v>238</v>
      </c>
      <c r="EF3436" s="5" t="s">
        <v>238</v>
      </c>
      <c r="EG3436" s="5" t="s">
        <v>238</v>
      </c>
      <c r="EH3436" s="5" t="s">
        <v>238</v>
      </c>
      <c r="EI3436" s="5" t="s">
        <v>238</v>
      </c>
      <c r="EJ3436" s="5" t="s">
        <v>238</v>
      </c>
      <c r="EK3436" s="5" t="s">
        <v>238</v>
      </c>
      <c r="EL3436" s="5" t="s">
        <v>238</v>
      </c>
      <c r="EM3436" s="5" t="s">
        <v>238</v>
      </c>
      <c r="EN3436" s="5" t="s">
        <v>238</v>
      </c>
      <c r="EO3436" s="5" t="s">
        <v>238</v>
      </c>
      <c r="EP3436" s="5" t="s">
        <v>238</v>
      </c>
      <c r="EQ3436" s="5" t="s">
        <v>238</v>
      </c>
      <c r="ER3436" s="5" t="s">
        <v>238</v>
      </c>
      <c r="ES3436" s="5" t="s">
        <v>238</v>
      </c>
      <c r="ET3436" s="5" t="s">
        <v>238</v>
      </c>
      <c r="EU3436" s="5" t="s">
        <v>238</v>
      </c>
      <c r="EV3436" s="5" t="s">
        <v>238</v>
      </c>
      <c r="EW3436" s="5" t="s">
        <v>238</v>
      </c>
      <c r="EX3436" s="5" t="s">
        <v>238</v>
      </c>
      <c r="EY3436" s="5" t="s">
        <v>238</v>
      </c>
      <c r="EZ3436" s="5" t="s">
        <v>238</v>
      </c>
      <c r="FA3436" s="5" t="s">
        <v>238</v>
      </c>
      <c r="FB3436" s="5" t="s">
        <v>238</v>
      </c>
      <c r="FC3436" s="5" t="s">
        <v>238</v>
      </c>
      <c r="FD3436" s="5" t="s">
        <v>238</v>
      </c>
      <c r="FE3436" s="5" t="s">
        <v>238</v>
      </c>
      <c r="FF3436" s="5" t="s">
        <v>238</v>
      </c>
      <c r="FG3436" s="5" t="s">
        <v>238</v>
      </c>
      <c r="FH3436" s="5" t="s">
        <v>238</v>
      </c>
      <c r="FI3436" s="5" t="s">
        <v>238</v>
      </c>
      <c r="FJ3436" s="5" t="s">
        <v>238</v>
      </c>
      <c r="FK3436" s="5" t="s">
        <v>238</v>
      </c>
      <c r="FL3436" s="5" t="s">
        <v>238</v>
      </c>
      <c r="FM3436" s="5" t="s">
        <v>238</v>
      </c>
      <c r="FN3436" s="5" t="s">
        <v>238</v>
      </c>
      <c r="FO3436" s="5" t="s">
        <v>238</v>
      </c>
      <c r="FP3436" s="5" t="s">
        <v>238</v>
      </c>
      <c r="FQ3436" s="5" t="s">
        <v>238</v>
      </c>
      <c r="FR3436" s="5" t="s">
        <v>238</v>
      </c>
      <c r="FS3436" s="5" t="s">
        <v>238</v>
      </c>
      <c r="FT3436" s="5" t="s">
        <v>238</v>
      </c>
      <c r="FU3436" s="5" t="s">
        <v>238</v>
      </c>
      <c r="FV3436" s="5" t="s">
        <v>238</v>
      </c>
      <c r="FW3436" s="5" t="s">
        <v>238</v>
      </c>
      <c r="FX3436" s="5" t="s">
        <v>238</v>
      </c>
      <c r="FY3436" s="5" t="s">
        <v>238</v>
      </c>
      <c r="FZ3436" s="5" t="s">
        <v>238</v>
      </c>
      <c r="GA3436" s="5" t="s">
        <v>238</v>
      </c>
      <c r="GB3436" s="5" t="s">
        <v>238</v>
      </c>
      <c r="GC3436" s="5" t="s">
        <v>238</v>
      </c>
      <c r="GD3436" s="5" t="s">
        <v>238</v>
      </c>
      <c r="GE3436" s="5" t="s">
        <v>238</v>
      </c>
      <c r="GF3436" s="5" t="s">
        <v>238</v>
      </c>
      <c r="GG3436" s="5" t="s">
        <v>238</v>
      </c>
      <c r="GH3436" s="5" t="s">
        <v>238</v>
      </c>
      <c r="GI3436" s="5" t="s">
        <v>238</v>
      </c>
      <c r="GJ3436" s="5" t="s">
        <v>238</v>
      </c>
      <c r="GK3436" s="5" t="s">
        <v>238</v>
      </c>
      <c r="GL3436" s="5" t="s">
        <v>238</v>
      </c>
      <c r="GM3436" s="5" t="s">
        <v>238</v>
      </c>
      <c r="GN3436" s="5" t="s">
        <v>238</v>
      </c>
      <c r="GO3436" s="5" t="s">
        <v>238</v>
      </c>
      <c r="GP3436" s="5" t="s">
        <v>238</v>
      </c>
      <c r="GQ3436" s="5" t="s">
        <v>238</v>
      </c>
      <c r="GR3436" s="5" t="s">
        <v>238</v>
      </c>
      <c r="GS3436" s="5" t="s">
        <v>238</v>
      </c>
      <c r="GT3436" s="5" t="s">
        <v>238</v>
      </c>
      <c r="GU3436" s="5" t="s">
        <v>238</v>
      </c>
      <c r="GV3436" s="5" t="s">
        <v>238</v>
      </c>
      <c r="GW3436" s="5" t="s">
        <v>238</v>
      </c>
      <c r="GX3436" s="5" t="s">
        <v>238</v>
      </c>
      <c r="GY3436" s="5" t="s">
        <v>238</v>
      </c>
      <c r="GZ3436" s="5" t="s">
        <v>238</v>
      </c>
      <c r="HA3436" s="5" t="s">
        <v>238</v>
      </c>
      <c r="HB3436" s="5" t="s">
        <v>238</v>
      </c>
      <c r="HC3436" s="5" t="s">
        <v>238</v>
      </c>
      <c r="HD3436" s="5" t="s">
        <v>238</v>
      </c>
      <c r="HE3436" s="5" t="s">
        <v>238</v>
      </c>
      <c r="HF3436" s="5" t="s">
        <v>238</v>
      </c>
      <c r="HG3436" s="5" t="s">
        <v>238</v>
      </c>
      <c r="HH3436" s="5" t="s">
        <v>238</v>
      </c>
      <c r="HI3436" s="5" t="s">
        <v>238</v>
      </c>
      <c r="HJ3436" s="5" t="s">
        <v>238</v>
      </c>
      <c r="HK3436" s="5" t="s">
        <v>238</v>
      </c>
      <c r="HL3436" s="5" t="s">
        <v>238</v>
      </c>
      <c r="HM3436" s="5" t="s">
        <v>264</v>
      </c>
      <c r="HN3436" s="5" t="s">
        <v>238</v>
      </c>
      <c r="HO3436" s="5" t="s">
        <v>238</v>
      </c>
      <c r="HP3436" s="5" t="s">
        <v>238</v>
      </c>
      <c r="HQ3436" s="5" t="s">
        <v>238</v>
      </c>
      <c r="HR3436" s="5" t="s">
        <v>238</v>
      </c>
      <c r="HS3436" s="5" t="s">
        <v>238</v>
      </c>
      <c r="HT3436" s="5" t="s">
        <v>238</v>
      </c>
      <c r="HU3436" s="5" t="s">
        <v>238</v>
      </c>
      <c r="HV3436" s="5" t="s">
        <v>238</v>
      </c>
      <c r="HW3436" s="5" t="s">
        <v>238</v>
      </c>
      <c r="HX3436" s="5" t="s">
        <v>238</v>
      </c>
      <c r="HY3436" s="5" t="s">
        <v>238</v>
      </c>
      <c r="HZ3436" s="5" t="s">
        <v>238</v>
      </c>
      <c r="IA3436" s="5" t="s">
        <v>238</v>
      </c>
      <c r="IB3436" s="5" t="s">
        <v>238</v>
      </c>
      <c r="IC3436" s="5" t="s">
        <v>238</v>
      </c>
      <c r="ID3436" s="5" t="s">
        <v>238</v>
      </c>
    </row>
    <row r="3437" spans="1:238" x14ac:dyDescent="0.4">
      <c r="A3437" s="5">
        <v>9155</v>
      </c>
      <c r="B3437" s="5">
        <v>1</v>
      </c>
      <c r="C3437" s="5">
        <v>1</v>
      </c>
      <c r="D3437" s="5" t="s">
        <v>484</v>
      </c>
      <c r="E3437" s="5" t="s">
        <v>485</v>
      </c>
      <c r="F3437" s="5" t="s">
        <v>248</v>
      </c>
      <c r="G3437" s="5" t="s">
        <v>5779</v>
      </c>
      <c r="H3437" s="6" t="s">
        <v>5780</v>
      </c>
      <c r="I3437" s="8">
        <f>1</f>
        <v>1</v>
      </c>
      <c r="J3437" s="5" t="s">
        <v>499</v>
      </c>
      <c r="K3437" s="8">
        <f>1</f>
        <v>1</v>
      </c>
      <c r="L3437" s="6" t="s">
        <v>242</v>
      </c>
      <c r="M3437" s="5" t="s">
        <v>267</v>
      </c>
      <c r="N3437" s="5" t="s">
        <v>482</v>
      </c>
      <c r="O3437" s="5" t="s">
        <v>238</v>
      </c>
      <c r="P3437" s="5" t="s">
        <v>238</v>
      </c>
      <c r="Q3437" s="5" t="s">
        <v>239</v>
      </c>
      <c r="R3437" s="5" t="s">
        <v>270</v>
      </c>
      <c r="S3437" s="5" t="s">
        <v>238</v>
      </c>
      <c r="T3437" s="5" t="s">
        <v>238</v>
      </c>
      <c r="U3437" s="5" t="s">
        <v>238</v>
      </c>
      <c r="V3437" s="5" t="s">
        <v>238</v>
      </c>
      <c r="W3437" s="6" t="s">
        <v>238</v>
      </c>
      <c r="X3437" s="6" t="s">
        <v>238</v>
      </c>
      <c r="Y3437" s="5" t="s">
        <v>238</v>
      </c>
      <c r="Z3437" s="6" t="s">
        <v>238</v>
      </c>
      <c r="AA3437" s="6" t="s">
        <v>243</v>
      </c>
      <c r="AB3437" s="5" t="s">
        <v>486</v>
      </c>
      <c r="AC3437" s="5" t="s">
        <v>244</v>
      </c>
      <c r="AD3437" s="5" t="s">
        <v>245</v>
      </c>
      <c r="AE3437" s="5" t="s">
        <v>238</v>
      </c>
      <c r="AF3437" s="5" t="s">
        <v>238</v>
      </c>
      <c r="AG3437" s="5" t="s">
        <v>238</v>
      </c>
      <c r="AH3437" s="5" t="s">
        <v>238</v>
      </c>
      <c r="AI3437" s="5" t="s">
        <v>238</v>
      </c>
      <c r="AJ3437" s="5" t="s">
        <v>238</v>
      </c>
      <c r="AK3437" s="5" t="s">
        <v>238</v>
      </c>
      <c r="AL3437" s="5" t="s">
        <v>238</v>
      </c>
      <c r="AM3437" s="6" t="s">
        <v>238</v>
      </c>
      <c r="AN3437" s="6" t="s">
        <v>238</v>
      </c>
      <c r="AO3437" s="6" t="s">
        <v>238</v>
      </c>
      <c r="AP3437" s="6" t="s">
        <v>238</v>
      </c>
      <c r="AQ3437" s="5" t="s">
        <v>238</v>
      </c>
      <c r="AR3437" s="5" t="s">
        <v>488</v>
      </c>
      <c r="AS3437" s="5" t="s">
        <v>488</v>
      </c>
      <c r="AT3437" s="5" t="s">
        <v>246</v>
      </c>
      <c r="AU3437" s="5" t="s">
        <v>489</v>
      </c>
      <c r="AV3437" s="5" t="s">
        <v>247</v>
      </c>
      <c r="AW3437" s="5" t="s">
        <v>238</v>
      </c>
      <c r="AX3437" s="5" t="s">
        <v>249</v>
      </c>
      <c r="AY3437" s="5" t="s">
        <v>490</v>
      </c>
      <c r="BA3437" s="5" t="s">
        <v>238</v>
      </c>
      <c r="BC3437" s="5" t="s">
        <v>491</v>
      </c>
      <c r="BD3437" s="6" t="s">
        <v>492</v>
      </c>
      <c r="BE3437" s="5" t="s">
        <v>493</v>
      </c>
      <c r="BF3437" s="5" t="s">
        <v>493</v>
      </c>
      <c r="BG3437" s="5" t="s">
        <v>238</v>
      </c>
      <c r="BH3437" s="8">
        <f>1</f>
        <v>1</v>
      </c>
      <c r="BI3437" s="8">
        <f>1</f>
        <v>1</v>
      </c>
      <c r="BJ3437" s="5" t="s">
        <v>253</v>
      </c>
      <c r="BK3437" s="5" t="s">
        <v>254</v>
      </c>
      <c r="BL3437" s="5" t="s">
        <v>238</v>
      </c>
      <c r="BM3437" s="5" t="s">
        <v>238</v>
      </c>
      <c r="BN3437" s="5" t="s">
        <v>238</v>
      </c>
      <c r="BO3437" s="5" t="s">
        <v>238</v>
      </c>
      <c r="BP3437" s="5" t="s">
        <v>238</v>
      </c>
      <c r="BQ3437" s="5" t="s">
        <v>238</v>
      </c>
      <c r="BR3437" s="5" t="s">
        <v>238</v>
      </c>
      <c r="BS3437" s="5" t="s">
        <v>238</v>
      </c>
      <c r="BT3437" s="6" t="s">
        <v>238</v>
      </c>
      <c r="BU3437" s="5" t="s">
        <v>238</v>
      </c>
      <c r="BV3437" s="5" t="s">
        <v>238</v>
      </c>
      <c r="BW3437" s="5" t="s">
        <v>238</v>
      </c>
      <c r="BX3437" s="5" t="s">
        <v>254</v>
      </c>
      <c r="BY3437" s="5" t="s">
        <v>238</v>
      </c>
      <c r="BZ3437" s="5" t="s">
        <v>238</v>
      </c>
      <c r="CA3437" s="5" t="s">
        <v>238</v>
      </c>
      <c r="CB3437" s="5" t="s">
        <v>238</v>
      </c>
      <c r="CC3437" s="5" t="s">
        <v>238</v>
      </c>
      <c r="CD3437" s="5" t="s">
        <v>273</v>
      </c>
      <c r="CE3437" s="5" t="s">
        <v>256</v>
      </c>
      <c r="CF3437" s="5" t="s">
        <v>238</v>
      </c>
      <c r="CH3437" s="5" t="s">
        <v>494</v>
      </c>
      <c r="CI3437" s="6" t="s">
        <v>257</v>
      </c>
      <c r="CJ3437" s="5" t="s">
        <v>495</v>
      </c>
      <c r="CK3437" s="5" t="s">
        <v>258</v>
      </c>
      <c r="CL3437" s="5" t="s">
        <v>496</v>
      </c>
      <c r="CM3437" s="5" t="s">
        <v>238</v>
      </c>
      <c r="CN3437" s="5">
        <v>0</v>
      </c>
      <c r="CO3437" s="5" t="s">
        <v>497</v>
      </c>
      <c r="CP3437" s="5" t="s">
        <v>260</v>
      </c>
      <c r="CQ3437" s="5" t="s">
        <v>260</v>
      </c>
      <c r="CR3437" s="5" t="s">
        <v>261</v>
      </c>
      <c r="CS3437" s="5" t="s">
        <v>498</v>
      </c>
      <c r="CT3437" s="7">
        <f>1</f>
        <v>1</v>
      </c>
      <c r="CU3437" s="8">
        <f>1</f>
        <v>1</v>
      </c>
      <c r="CV3437" s="8">
        <f>0</f>
        <v>0</v>
      </c>
      <c r="CX3437" s="8">
        <f>1</f>
        <v>1</v>
      </c>
      <c r="CY3437" s="8">
        <f>1</f>
        <v>1</v>
      </c>
      <c r="CZ3437" s="8" t="s">
        <v>238</v>
      </c>
      <c r="DA3437" s="5" t="s">
        <v>238</v>
      </c>
      <c r="DB3437" s="5" t="s">
        <v>238</v>
      </c>
      <c r="DC3437" s="5" t="s">
        <v>238</v>
      </c>
      <c r="DD3437" s="5" t="s">
        <v>238</v>
      </c>
      <c r="DE3437" s="8">
        <f>0</f>
        <v>0</v>
      </c>
      <c r="DG3437" s="5" t="s">
        <v>238</v>
      </c>
      <c r="DH3437" s="5" t="s">
        <v>238</v>
      </c>
      <c r="DI3437" s="5" t="s">
        <v>238</v>
      </c>
      <c r="DJ3437" s="5" t="s">
        <v>238</v>
      </c>
      <c r="DK3437" s="5" t="s">
        <v>238</v>
      </c>
      <c r="DL3437" s="5" t="s">
        <v>238</v>
      </c>
      <c r="DM3437" s="8" t="s">
        <v>238</v>
      </c>
      <c r="DN3437" s="5" t="s">
        <v>238</v>
      </c>
      <c r="DO3437" s="5" t="s">
        <v>238</v>
      </c>
      <c r="DP3437" s="5" t="s">
        <v>490</v>
      </c>
      <c r="DQ3437" s="5" t="s">
        <v>490</v>
      </c>
      <c r="DR3437" s="5" t="s">
        <v>238</v>
      </c>
      <c r="DS3437" s="5" t="s">
        <v>238</v>
      </c>
      <c r="DT3437" s="5" t="s">
        <v>500</v>
      </c>
      <c r="DU3437" s="5" t="s">
        <v>1209</v>
      </c>
      <c r="DV3437" s="5" t="s">
        <v>238</v>
      </c>
      <c r="DW3437" s="5" t="s">
        <v>238</v>
      </c>
      <c r="DX3437" s="5" t="s">
        <v>238</v>
      </c>
      <c r="DY3437" s="5" t="s">
        <v>238</v>
      </c>
      <c r="DZ3437" s="5" t="s">
        <v>238</v>
      </c>
      <c r="EA3437" s="5" t="s">
        <v>238</v>
      </c>
      <c r="EB3437" s="5" t="s">
        <v>238</v>
      </c>
      <c r="EC3437" s="5" t="s">
        <v>238</v>
      </c>
      <c r="ED3437" s="5" t="s">
        <v>238</v>
      </c>
      <c r="EE3437" s="5" t="s">
        <v>238</v>
      </c>
      <c r="EF3437" s="5" t="s">
        <v>238</v>
      </c>
      <c r="EG3437" s="5" t="s">
        <v>238</v>
      </c>
      <c r="EH3437" s="5" t="s">
        <v>238</v>
      </c>
      <c r="EI3437" s="5" t="s">
        <v>238</v>
      </c>
      <c r="EJ3437" s="5" t="s">
        <v>238</v>
      </c>
      <c r="EK3437" s="5" t="s">
        <v>238</v>
      </c>
      <c r="EL3437" s="5" t="s">
        <v>238</v>
      </c>
      <c r="EM3437" s="5" t="s">
        <v>238</v>
      </c>
      <c r="EN3437" s="5" t="s">
        <v>238</v>
      </c>
      <c r="EO3437" s="5" t="s">
        <v>238</v>
      </c>
      <c r="EP3437" s="5" t="s">
        <v>238</v>
      </c>
      <c r="EQ3437" s="5" t="s">
        <v>238</v>
      </c>
      <c r="ER3437" s="5" t="s">
        <v>238</v>
      </c>
      <c r="ES3437" s="5" t="s">
        <v>238</v>
      </c>
      <c r="ET3437" s="5" t="s">
        <v>238</v>
      </c>
      <c r="EU3437" s="5" t="s">
        <v>238</v>
      </c>
      <c r="EV3437" s="5" t="s">
        <v>238</v>
      </c>
      <c r="EW3437" s="5" t="s">
        <v>238</v>
      </c>
      <c r="EX3437" s="5" t="s">
        <v>238</v>
      </c>
      <c r="EY3437" s="5" t="s">
        <v>238</v>
      </c>
      <c r="EZ3437" s="5" t="s">
        <v>238</v>
      </c>
      <c r="FA3437" s="5" t="s">
        <v>238</v>
      </c>
      <c r="FB3437" s="5" t="s">
        <v>238</v>
      </c>
      <c r="FC3437" s="5" t="s">
        <v>238</v>
      </c>
      <c r="FD3437" s="5" t="s">
        <v>238</v>
      </c>
      <c r="FE3437" s="5" t="s">
        <v>238</v>
      </c>
      <c r="FF3437" s="5" t="s">
        <v>238</v>
      </c>
      <c r="FG3437" s="5" t="s">
        <v>238</v>
      </c>
      <c r="FH3437" s="5" t="s">
        <v>238</v>
      </c>
      <c r="FI3437" s="5" t="s">
        <v>238</v>
      </c>
      <c r="FJ3437" s="5" t="s">
        <v>238</v>
      </c>
      <c r="FK3437" s="5" t="s">
        <v>238</v>
      </c>
      <c r="FL3437" s="5" t="s">
        <v>238</v>
      </c>
      <c r="FM3437" s="5" t="s">
        <v>238</v>
      </c>
      <c r="FN3437" s="5" t="s">
        <v>238</v>
      </c>
      <c r="FO3437" s="5" t="s">
        <v>238</v>
      </c>
      <c r="FP3437" s="5" t="s">
        <v>238</v>
      </c>
      <c r="FQ3437" s="5" t="s">
        <v>238</v>
      </c>
      <c r="FR3437" s="5" t="s">
        <v>238</v>
      </c>
      <c r="FS3437" s="5" t="s">
        <v>238</v>
      </c>
      <c r="FT3437" s="5" t="s">
        <v>238</v>
      </c>
      <c r="FU3437" s="5" t="s">
        <v>238</v>
      </c>
      <c r="FV3437" s="5" t="s">
        <v>238</v>
      </c>
      <c r="FW3437" s="5" t="s">
        <v>238</v>
      </c>
      <c r="FX3437" s="5" t="s">
        <v>238</v>
      </c>
      <c r="FY3437" s="5" t="s">
        <v>238</v>
      </c>
      <c r="FZ3437" s="5" t="s">
        <v>238</v>
      </c>
      <c r="GA3437" s="5" t="s">
        <v>238</v>
      </c>
      <c r="GB3437" s="5" t="s">
        <v>238</v>
      </c>
      <c r="GC3437" s="5" t="s">
        <v>238</v>
      </c>
      <c r="GD3437" s="5" t="s">
        <v>238</v>
      </c>
      <c r="GE3437" s="5" t="s">
        <v>238</v>
      </c>
      <c r="GF3437" s="5" t="s">
        <v>238</v>
      </c>
      <c r="GG3437" s="5" t="s">
        <v>238</v>
      </c>
      <c r="GH3437" s="5" t="s">
        <v>238</v>
      </c>
      <c r="GI3437" s="5" t="s">
        <v>238</v>
      </c>
      <c r="GJ3437" s="5" t="s">
        <v>238</v>
      </c>
      <c r="GK3437" s="5" t="s">
        <v>238</v>
      </c>
      <c r="GL3437" s="5" t="s">
        <v>238</v>
      </c>
      <c r="GM3437" s="5" t="s">
        <v>238</v>
      </c>
      <c r="GN3437" s="5" t="s">
        <v>238</v>
      </c>
      <c r="GO3437" s="5" t="s">
        <v>238</v>
      </c>
      <c r="GP3437" s="5" t="s">
        <v>238</v>
      </c>
      <c r="GQ3437" s="5" t="s">
        <v>238</v>
      </c>
      <c r="GR3437" s="5" t="s">
        <v>238</v>
      </c>
      <c r="GS3437" s="5" t="s">
        <v>238</v>
      </c>
      <c r="GT3437" s="5" t="s">
        <v>238</v>
      </c>
      <c r="GU3437" s="5" t="s">
        <v>238</v>
      </c>
      <c r="GV3437" s="5" t="s">
        <v>238</v>
      </c>
      <c r="GW3437" s="5" t="s">
        <v>238</v>
      </c>
      <c r="GX3437" s="5" t="s">
        <v>238</v>
      </c>
      <c r="GY3437" s="5" t="s">
        <v>238</v>
      </c>
      <c r="GZ3437" s="5" t="s">
        <v>238</v>
      </c>
      <c r="HA3437" s="5" t="s">
        <v>238</v>
      </c>
      <c r="HB3437" s="5" t="s">
        <v>238</v>
      </c>
      <c r="HC3437" s="5" t="s">
        <v>238</v>
      </c>
      <c r="HD3437" s="5" t="s">
        <v>238</v>
      </c>
      <c r="HE3437" s="5" t="s">
        <v>238</v>
      </c>
      <c r="HF3437" s="5" t="s">
        <v>238</v>
      </c>
      <c r="HG3437" s="5" t="s">
        <v>238</v>
      </c>
      <c r="HH3437" s="5" t="s">
        <v>238</v>
      </c>
      <c r="HI3437" s="5" t="s">
        <v>238</v>
      </c>
      <c r="HJ3437" s="5" t="s">
        <v>238</v>
      </c>
      <c r="HK3437" s="5" t="s">
        <v>238</v>
      </c>
      <c r="HL3437" s="5" t="s">
        <v>238</v>
      </c>
      <c r="HM3437" s="5" t="s">
        <v>264</v>
      </c>
      <c r="HN3437" s="5" t="s">
        <v>238</v>
      </c>
      <c r="HO3437" s="5" t="s">
        <v>238</v>
      </c>
      <c r="HP3437" s="5" t="s">
        <v>238</v>
      </c>
      <c r="HQ3437" s="5" t="s">
        <v>238</v>
      </c>
      <c r="HR3437" s="5" t="s">
        <v>238</v>
      </c>
      <c r="HS3437" s="5" t="s">
        <v>238</v>
      </c>
      <c r="HT3437" s="5" t="s">
        <v>238</v>
      </c>
      <c r="HU3437" s="5" t="s">
        <v>238</v>
      </c>
      <c r="HV3437" s="5" t="s">
        <v>238</v>
      </c>
      <c r="HW3437" s="5" t="s">
        <v>238</v>
      </c>
      <c r="HX3437" s="5" t="s">
        <v>238</v>
      </c>
      <c r="HY3437" s="5" t="s">
        <v>238</v>
      </c>
      <c r="HZ3437" s="5" t="s">
        <v>238</v>
      </c>
      <c r="IA3437" s="5" t="s">
        <v>238</v>
      </c>
      <c r="IB3437" s="5" t="s">
        <v>238</v>
      </c>
      <c r="IC3437" s="5" t="s">
        <v>238</v>
      </c>
      <c r="ID3437" s="5" t="s">
        <v>238</v>
      </c>
    </row>
    <row r="3438" spans="1:238" x14ac:dyDescent="0.4">
      <c r="A3438" s="5">
        <v>9156</v>
      </c>
      <c r="B3438" s="5">
        <v>1</v>
      </c>
      <c r="C3438" s="5">
        <v>1</v>
      </c>
      <c r="D3438" s="5" t="s">
        <v>484</v>
      </c>
      <c r="E3438" s="5" t="s">
        <v>485</v>
      </c>
      <c r="F3438" s="5" t="s">
        <v>248</v>
      </c>
      <c r="G3438" s="5" t="s">
        <v>4489</v>
      </c>
      <c r="H3438" s="6" t="s">
        <v>4491</v>
      </c>
      <c r="I3438" s="8">
        <f>1</f>
        <v>1</v>
      </c>
      <c r="J3438" s="5" t="s">
        <v>499</v>
      </c>
      <c r="K3438" s="8">
        <f>1</f>
        <v>1</v>
      </c>
      <c r="L3438" s="6" t="s">
        <v>242</v>
      </c>
      <c r="M3438" s="5" t="s">
        <v>267</v>
      </c>
      <c r="N3438" s="5" t="s">
        <v>482</v>
      </c>
      <c r="O3438" s="5" t="s">
        <v>238</v>
      </c>
      <c r="P3438" s="5" t="s">
        <v>238</v>
      </c>
      <c r="Q3438" s="5" t="s">
        <v>239</v>
      </c>
      <c r="R3438" s="5" t="s">
        <v>270</v>
      </c>
      <c r="S3438" s="5" t="s">
        <v>238</v>
      </c>
      <c r="T3438" s="5" t="s">
        <v>238</v>
      </c>
      <c r="U3438" s="5" t="s">
        <v>238</v>
      </c>
      <c r="V3438" s="5" t="s">
        <v>238</v>
      </c>
      <c r="W3438" s="6" t="s">
        <v>238</v>
      </c>
      <c r="X3438" s="6" t="s">
        <v>238</v>
      </c>
      <c r="Y3438" s="5" t="s">
        <v>238</v>
      </c>
      <c r="Z3438" s="6" t="s">
        <v>238</v>
      </c>
      <c r="AA3438" s="6" t="s">
        <v>243</v>
      </c>
      <c r="AB3438" s="5" t="s">
        <v>4490</v>
      </c>
      <c r="AC3438" s="5" t="s">
        <v>244</v>
      </c>
      <c r="AD3438" s="5" t="s">
        <v>245</v>
      </c>
      <c r="AE3438" s="5" t="s">
        <v>238</v>
      </c>
      <c r="AF3438" s="5" t="s">
        <v>238</v>
      </c>
      <c r="AG3438" s="5" t="s">
        <v>238</v>
      </c>
      <c r="AH3438" s="5" t="s">
        <v>238</v>
      </c>
      <c r="AI3438" s="5" t="s">
        <v>238</v>
      </c>
      <c r="AJ3438" s="5" t="s">
        <v>238</v>
      </c>
      <c r="AK3438" s="5" t="s">
        <v>238</v>
      </c>
      <c r="AL3438" s="5" t="s">
        <v>238</v>
      </c>
      <c r="AM3438" s="6" t="s">
        <v>238</v>
      </c>
      <c r="AN3438" s="6" t="s">
        <v>238</v>
      </c>
      <c r="AO3438" s="6" t="s">
        <v>238</v>
      </c>
      <c r="AP3438" s="6" t="s">
        <v>238</v>
      </c>
      <c r="AQ3438" s="5" t="s">
        <v>238</v>
      </c>
      <c r="AR3438" s="5" t="s">
        <v>488</v>
      </c>
      <c r="AS3438" s="5" t="s">
        <v>488</v>
      </c>
      <c r="AT3438" s="5" t="s">
        <v>246</v>
      </c>
      <c r="AU3438" s="5" t="s">
        <v>489</v>
      </c>
      <c r="AV3438" s="5" t="s">
        <v>247</v>
      </c>
      <c r="AW3438" s="5" t="s">
        <v>238</v>
      </c>
      <c r="AX3438" s="5" t="s">
        <v>249</v>
      </c>
      <c r="AY3438" s="5" t="s">
        <v>490</v>
      </c>
      <c r="BA3438" s="5" t="s">
        <v>238</v>
      </c>
      <c r="BC3438" s="5" t="s">
        <v>491</v>
      </c>
      <c r="BD3438" s="6" t="s">
        <v>492</v>
      </c>
      <c r="BE3438" s="5" t="s">
        <v>493</v>
      </c>
      <c r="BF3438" s="5" t="s">
        <v>493</v>
      </c>
      <c r="BG3438" s="5" t="s">
        <v>238</v>
      </c>
      <c r="BH3438" s="8">
        <f>1</f>
        <v>1</v>
      </c>
      <c r="BI3438" s="8">
        <f>1</f>
        <v>1</v>
      </c>
      <c r="BJ3438" s="5" t="s">
        <v>253</v>
      </c>
      <c r="BK3438" s="5" t="s">
        <v>254</v>
      </c>
      <c r="BL3438" s="5" t="s">
        <v>238</v>
      </c>
      <c r="BM3438" s="5" t="s">
        <v>238</v>
      </c>
      <c r="BN3438" s="5" t="s">
        <v>238</v>
      </c>
      <c r="BO3438" s="5" t="s">
        <v>238</v>
      </c>
      <c r="BP3438" s="5" t="s">
        <v>238</v>
      </c>
      <c r="BQ3438" s="5" t="s">
        <v>238</v>
      </c>
      <c r="BR3438" s="5" t="s">
        <v>238</v>
      </c>
      <c r="BS3438" s="5" t="s">
        <v>238</v>
      </c>
      <c r="BT3438" s="6" t="s">
        <v>238</v>
      </c>
      <c r="BU3438" s="5" t="s">
        <v>238</v>
      </c>
      <c r="BV3438" s="5" t="s">
        <v>238</v>
      </c>
      <c r="BW3438" s="5" t="s">
        <v>238</v>
      </c>
      <c r="BX3438" s="5" t="s">
        <v>254</v>
      </c>
      <c r="BY3438" s="5" t="s">
        <v>238</v>
      </c>
      <c r="BZ3438" s="5" t="s">
        <v>238</v>
      </c>
      <c r="CA3438" s="5" t="s">
        <v>238</v>
      </c>
      <c r="CB3438" s="5" t="s">
        <v>238</v>
      </c>
      <c r="CC3438" s="5" t="s">
        <v>238</v>
      </c>
      <c r="CD3438" s="5" t="s">
        <v>273</v>
      </c>
      <c r="CE3438" s="5" t="s">
        <v>256</v>
      </c>
      <c r="CF3438" s="5" t="s">
        <v>238</v>
      </c>
      <c r="CH3438" s="5" t="s">
        <v>494</v>
      </c>
      <c r="CI3438" s="6" t="s">
        <v>257</v>
      </c>
      <c r="CJ3438" s="5" t="s">
        <v>495</v>
      </c>
      <c r="CK3438" s="5" t="s">
        <v>258</v>
      </c>
      <c r="CL3438" s="5" t="s">
        <v>496</v>
      </c>
      <c r="CM3438" s="5" t="s">
        <v>238</v>
      </c>
      <c r="CN3438" s="5">
        <v>0</v>
      </c>
      <c r="CO3438" s="5" t="s">
        <v>497</v>
      </c>
      <c r="CP3438" s="5" t="s">
        <v>260</v>
      </c>
      <c r="CQ3438" s="5" t="s">
        <v>260</v>
      </c>
      <c r="CR3438" s="5" t="s">
        <v>261</v>
      </c>
      <c r="CS3438" s="5" t="s">
        <v>498</v>
      </c>
      <c r="CT3438" s="7">
        <f>1</f>
        <v>1</v>
      </c>
      <c r="CU3438" s="8">
        <f>1</f>
        <v>1</v>
      </c>
      <c r="CV3438" s="8">
        <f>0</f>
        <v>0</v>
      </c>
      <c r="CX3438" s="8">
        <f>1</f>
        <v>1</v>
      </c>
      <c r="CY3438" s="8">
        <f>1</f>
        <v>1</v>
      </c>
      <c r="CZ3438" s="8" t="s">
        <v>238</v>
      </c>
      <c r="DA3438" s="5" t="s">
        <v>238</v>
      </c>
      <c r="DB3438" s="5" t="s">
        <v>238</v>
      </c>
      <c r="DC3438" s="5" t="s">
        <v>238</v>
      </c>
      <c r="DD3438" s="5" t="s">
        <v>238</v>
      </c>
      <c r="DE3438" s="8">
        <f>0</f>
        <v>0</v>
      </c>
      <c r="DG3438" s="5" t="s">
        <v>238</v>
      </c>
      <c r="DH3438" s="5" t="s">
        <v>238</v>
      </c>
      <c r="DI3438" s="5" t="s">
        <v>238</v>
      </c>
      <c r="DJ3438" s="5" t="s">
        <v>238</v>
      </c>
      <c r="DK3438" s="5" t="s">
        <v>238</v>
      </c>
      <c r="DL3438" s="5" t="s">
        <v>238</v>
      </c>
      <c r="DM3438" s="8" t="s">
        <v>238</v>
      </c>
      <c r="DN3438" s="5" t="s">
        <v>238</v>
      </c>
      <c r="DO3438" s="5" t="s">
        <v>238</v>
      </c>
      <c r="DP3438" s="5" t="s">
        <v>490</v>
      </c>
      <c r="DQ3438" s="5" t="s">
        <v>490</v>
      </c>
      <c r="DR3438" s="5" t="s">
        <v>238</v>
      </c>
      <c r="DS3438" s="5" t="s">
        <v>238</v>
      </c>
      <c r="DT3438" s="5" t="s">
        <v>500</v>
      </c>
      <c r="DU3438" s="5" t="s">
        <v>1594</v>
      </c>
      <c r="DV3438" s="5" t="s">
        <v>238</v>
      </c>
      <c r="DW3438" s="5" t="s">
        <v>238</v>
      </c>
      <c r="DX3438" s="5" t="s">
        <v>238</v>
      </c>
      <c r="DY3438" s="5" t="s">
        <v>238</v>
      </c>
      <c r="DZ3438" s="5" t="s">
        <v>238</v>
      </c>
      <c r="EA3438" s="5" t="s">
        <v>238</v>
      </c>
      <c r="EB3438" s="5" t="s">
        <v>238</v>
      </c>
      <c r="EC3438" s="5" t="s">
        <v>238</v>
      </c>
      <c r="ED3438" s="5" t="s">
        <v>238</v>
      </c>
      <c r="EE3438" s="5" t="s">
        <v>238</v>
      </c>
      <c r="EF3438" s="5" t="s">
        <v>238</v>
      </c>
      <c r="EG3438" s="5" t="s">
        <v>238</v>
      </c>
      <c r="EH3438" s="5" t="s">
        <v>238</v>
      </c>
      <c r="EI3438" s="5" t="s">
        <v>238</v>
      </c>
      <c r="EJ3438" s="5" t="s">
        <v>238</v>
      </c>
      <c r="EK3438" s="5" t="s">
        <v>238</v>
      </c>
      <c r="EL3438" s="5" t="s">
        <v>238</v>
      </c>
      <c r="EM3438" s="5" t="s">
        <v>238</v>
      </c>
      <c r="EN3438" s="5" t="s">
        <v>238</v>
      </c>
      <c r="EO3438" s="5" t="s">
        <v>238</v>
      </c>
      <c r="EP3438" s="5" t="s">
        <v>238</v>
      </c>
      <c r="EQ3438" s="5" t="s">
        <v>238</v>
      </c>
      <c r="ER3438" s="5" t="s">
        <v>238</v>
      </c>
      <c r="ES3438" s="5" t="s">
        <v>238</v>
      </c>
      <c r="ET3438" s="5" t="s">
        <v>238</v>
      </c>
      <c r="EU3438" s="5" t="s">
        <v>238</v>
      </c>
      <c r="EV3438" s="5" t="s">
        <v>238</v>
      </c>
      <c r="EW3438" s="5" t="s">
        <v>238</v>
      </c>
      <c r="EX3438" s="5" t="s">
        <v>238</v>
      </c>
      <c r="EY3438" s="5" t="s">
        <v>238</v>
      </c>
      <c r="EZ3438" s="5" t="s">
        <v>238</v>
      </c>
      <c r="FA3438" s="5" t="s">
        <v>238</v>
      </c>
      <c r="FB3438" s="5" t="s">
        <v>238</v>
      </c>
      <c r="FC3438" s="5" t="s">
        <v>238</v>
      </c>
      <c r="FD3438" s="5" t="s">
        <v>238</v>
      </c>
      <c r="FE3438" s="5" t="s">
        <v>238</v>
      </c>
      <c r="FF3438" s="5" t="s">
        <v>238</v>
      </c>
      <c r="FG3438" s="5" t="s">
        <v>238</v>
      </c>
      <c r="FH3438" s="5" t="s">
        <v>238</v>
      </c>
      <c r="FI3438" s="5" t="s">
        <v>238</v>
      </c>
      <c r="FJ3438" s="5" t="s">
        <v>238</v>
      </c>
      <c r="FK3438" s="5" t="s">
        <v>238</v>
      </c>
      <c r="FL3438" s="5" t="s">
        <v>238</v>
      </c>
      <c r="FM3438" s="5" t="s">
        <v>238</v>
      </c>
      <c r="FN3438" s="5" t="s">
        <v>238</v>
      </c>
      <c r="FO3438" s="5" t="s">
        <v>238</v>
      </c>
      <c r="FP3438" s="5" t="s">
        <v>238</v>
      </c>
      <c r="FQ3438" s="5" t="s">
        <v>238</v>
      </c>
      <c r="FR3438" s="5" t="s">
        <v>238</v>
      </c>
      <c r="FS3438" s="5" t="s">
        <v>238</v>
      </c>
      <c r="FT3438" s="5" t="s">
        <v>238</v>
      </c>
      <c r="FU3438" s="5" t="s">
        <v>238</v>
      </c>
      <c r="FV3438" s="5" t="s">
        <v>238</v>
      </c>
      <c r="FW3438" s="5" t="s">
        <v>238</v>
      </c>
      <c r="FX3438" s="5" t="s">
        <v>238</v>
      </c>
      <c r="FY3438" s="5" t="s">
        <v>238</v>
      </c>
      <c r="FZ3438" s="5" t="s">
        <v>238</v>
      </c>
      <c r="GA3438" s="5" t="s">
        <v>238</v>
      </c>
      <c r="GB3438" s="5" t="s">
        <v>238</v>
      </c>
      <c r="GC3438" s="5" t="s">
        <v>238</v>
      </c>
      <c r="GD3438" s="5" t="s">
        <v>238</v>
      </c>
      <c r="GE3438" s="5" t="s">
        <v>238</v>
      </c>
      <c r="GF3438" s="5" t="s">
        <v>238</v>
      </c>
      <c r="GG3438" s="5" t="s">
        <v>238</v>
      </c>
      <c r="GH3438" s="5" t="s">
        <v>238</v>
      </c>
      <c r="GI3438" s="5" t="s">
        <v>238</v>
      </c>
      <c r="GJ3438" s="5" t="s">
        <v>238</v>
      </c>
      <c r="GK3438" s="5" t="s">
        <v>238</v>
      </c>
      <c r="GL3438" s="5" t="s">
        <v>238</v>
      </c>
      <c r="GM3438" s="5" t="s">
        <v>238</v>
      </c>
      <c r="GN3438" s="5" t="s">
        <v>238</v>
      </c>
      <c r="GO3438" s="5" t="s">
        <v>238</v>
      </c>
      <c r="GP3438" s="5" t="s">
        <v>238</v>
      </c>
      <c r="GQ3438" s="5" t="s">
        <v>238</v>
      </c>
      <c r="GR3438" s="5" t="s">
        <v>238</v>
      </c>
      <c r="GS3438" s="5" t="s">
        <v>238</v>
      </c>
      <c r="GT3438" s="5" t="s">
        <v>238</v>
      </c>
      <c r="GU3438" s="5" t="s">
        <v>238</v>
      </c>
      <c r="GV3438" s="5" t="s">
        <v>238</v>
      </c>
      <c r="GW3438" s="5" t="s">
        <v>238</v>
      </c>
      <c r="GX3438" s="5" t="s">
        <v>238</v>
      </c>
      <c r="GY3438" s="5" t="s">
        <v>238</v>
      </c>
      <c r="GZ3438" s="5" t="s">
        <v>238</v>
      </c>
      <c r="HA3438" s="5" t="s">
        <v>238</v>
      </c>
      <c r="HB3438" s="5" t="s">
        <v>238</v>
      </c>
      <c r="HC3438" s="5" t="s">
        <v>238</v>
      </c>
      <c r="HD3438" s="5" t="s">
        <v>238</v>
      </c>
      <c r="HE3438" s="5" t="s">
        <v>238</v>
      </c>
      <c r="HF3438" s="5" t="s">
        <v>238</v>
      </c>
      <c r="HG3438" s="5" t="s">
        <v>238</v>
      </c>
      <c r="HH3438" s="5" t="s">
        <v>238</v>
      </c>
      <c r="HI3438" s="5" t="s">
        <v>238</v>
      </c>
      <c r="HJ3438" s="5" t="s">
        <v>238</v>
      </c>
      <c r="HK3438" s="5" t="s">
        <v>238</v>
      </c>
      <c r="HL3438" s="5" t="s">
        <v>238</v>
      </c>
      <c r="HM3438" s="5" t="s">
        <v>264</v>
      </c>
      <c r="HN3438" s="5" t="s">
        <v>238</v>
      </c>
      <c r="HO3438" s="5" t="s">
        <v>238</v>
      </c>
      <c r="HP3438" s="5" t="s">
        <v>238</v>
      </c>
      <c r="HQ3438" s="5" t="s">
        <v>238</v>
      </c>
      <c r="HR3438" s="5" t="s">
        <v>238</v>
      </c>
      <c r="HS3438" s="5" t="s">
        <v>238</v>
      </c>
      <c r="HT3438" s="5" t="s">
        <v>238</v>
      </c>
      <c r="HU3438" s="5" t="s">
        <v>238</v>
      </c>
      <c r="HV3438" s="5" t="s">
        <v>238</v>
      </c>
      <c r="HW3438" s="5" t="s">
        <v>238</v>
      </c>
      <c r="HX3438" s="5" t="s">
        <v>238</v>
      </c>
      <c r="HY3438" s="5" t="s">
        <v>238</v>
      </c>
      <c r="HZ3438" s="5" t="s">
        <v>238</v>
      </c>
      <c r="IA3438" s="5" t="s">
        <v>238</v>
      </c>
      <c r="IB3438" s="5" t="s">
        <v>238</v>
      </c>
      <c r="IC3438" s="5" t="s">
        <v>238</v>
      </c>
      <c r="ID3438" s="5" t="s">
        <v>238</v>
      </c>
    </row>
    <row r="3439" spans="1:238" x14ac:dyDescent="0.4">
      <c r="A3439" s="5">
        <v>9157</v>
      </c>
      <c r="B3439" s="5">
        <v>1</v>
      </c>
      <c r="C3439" s="5">
        <v>1</v>
      </c>
      <c r="D3439" s="5" t="s">
        <v>484</v>
      </c>
      <c r="E3439" s="5" t="s">
        <v>485</v>
      </c>
      <c r="F3439" s="5" t="s">
        <v>248</v>
      </c>
      <c r="G3439" s="5" t="s">
        <v>5509</v>
      </c>
      <c r="H3439" s="6" t="s">
        <v>5511</v>
      </c>
      <c r="I3439" s="8">
        <f>1</f>
        <v>1</v>
      </c>
      <c r="J3439" s="5" t="s">
        <v>499</v>
      </c>
      <c r="K3439" s="8">
        <f>1</f>
        <v>1</v>
      </c>
      <c r="L3439" s="6" t="s">
        <v>242</v>
      </c>
      <c r="M3439" s="5" t="s">
        <v>267</v>
      </c>
      <c r="N3439" s="5" t="s">
        <v>482</v>
      </c>
      <c r="O3439" s="5" t="s">
        <v>238</v>
      </c>
      <c r="P3439" s="5" t="s">
        <v>238</v>
      </c>
      <c r="Q3439" s="5" t="s">
        <v>239</v>
      </c>
      <c r="R3439" s="5" t="s">
        <v>270</v>
      </c>
      <c r="S3439" s="5" t="s">
        <v>238</v>
      </c>
      <c r="T3439" s="5" t="s">
        <v>238</v>
      </c>
      <c r="U3439" s="5" t="s">
        <v>238</v>
      </c>
      <c r="V3439" s="5" t="s">
        <v>238</v>
      </c>
      <c r="W3439" s="6" t="s">
        <v>238</v>
      </c>
      <c r="X3439" s="6" t="s">
        <v>238</v>
      </c>
      <c r="Y3439" s="5" t="s">
        <v>238</v>
      </c>
      <c r="Z3439" s="6" t="s">
        <v>238</v>
      </c>
      <c r="AA3439" s="6" t="s">
        <v>243</v>
      </c>
      <c r="AB3439" s="5" t="s">
        <v>5510</v>
      </c>
      <c r="AC3439" s="5" t="s">
        <v>244</v>
      </c>
      <c r="AD3439" s="5" t="s">
        <v>245</v>
      </c>
      <c r="AE3439" s="5" t="s">
        <v>238</v>
      </c>
      <c r="AF3439" s="5" t="s">
        <v>238</v>
      </c>
      <c r="AG3439" s="5" t="s">
        <v>238</v>
      </c>
      <c r="AH3439" s="5" t="s">
        <v>238</v>
      </c>
      <c r="AI3439" s="5" t="s">
        <v>238</v>
      </c>
      <c r="AJ3439" s="5" t="s">
        <v>238</v>
      </c>
      <c r="AK3439" s="5" t="s">
        <v>238</v>
      </c>
      <c r="AL3439" s="5" t="s">
        <v>238</v>
      </c>
      <c r="AM3439" s="6" t="s">
        <v>238</v>
      </c>
      <c r="AN3439" s="6" t="s">
        <v>238</v>
      </c>
      <c r="AO3439" s="6" t="s">
        <v>238</v>
      </c>
      <c r="AP3439" s="6" t="s">
        <v>238</v>
      </c>
      <c r="AQ3439" s="5" t="s">
        <v>238</v>
      </c>
      <c r="AR3439" s="5" t="s">
        <v>488</v>
      </c>
      <c r="AS3439" s="5" t="s">
        <v>488</v>
      </c>
      <c r="AT3439" s="5" t="s">
        <v>246</v>
      </c>
      <c r="AU3439" s="5" t="s">
        <v>489</v>
      </c>
      <c r="AV3439" s="5" t="s">
        <v>247</v>
      </c>
      <c r="AW3439" s="5" t="s">
        <v>238</v>
      </c>
      <c r="AX3439" s="5" t="s">
        <v>249</v>
      </c>
      <c r="AY3439" s="5" t="s">
        <v>490</v>
      </c>
      <c r="BA3439" s="5" t="s">
        <v>238</v>
      </c>
      <c r="BC3439" s="5" t="s">
        <v>491</v>
      </c>
      <c r="BD3439" s="6" t="s">
        <v>492</v>
      </c>
      <c r="BE3439" s="5" t="s">
        <v>493</v>
      </c>
      <c r="BF3439" s="5" t="s">
        <v>493</v>
      </c>
      <c r="BG3439" s="5" t="s">
        <v>238</v>
      </c>
      <c r="BH3439" s="8">
        <f>1</f>
        <v>1</v>
      </c>
      <c r="BI3439" s="8">
        <f>1</f>
        <v>1</v>
      </c>
      <c r="BJ3439" s="5" t="s">
        <v>253</v>
      </c>
      <c r="BK3439" s="5" t="s">
        <v>254</v>
      </c>
      <c r="BL3439" s="5" t="s">
        <v>238</v>
      </c>
      <c r="BM3439" s="5" t="s">
        <v>238</v>
      </c>
      <c r="BN3439" s="5" t="s">
        <v>238</v>
      </c>
      <c r="BO3439" s="5" t="s">
        <v>238</v>
      </c>
      <c r="BP3439" s="5" t="s">
        <v>238</v>
      </c>
      <c r="BQ3439" s="5" t="s">
        <v>238</v>
      </c>
      <c r="BR3439" s="5" t="s">
        <v>238</v>
      </c>
      <c r="BS3439" s="5" t="s">
        <v>238</v>
      </c>
      <c r="BT3439" s="6" t="s">
        <v>238</v>
      </c>
      <c r="BU3439" s="5" t="s">
        <v>238</v>
      </c>
      <c r="BV3439" s="5" t="s">
        <v>238</v>
      </c>
      <c r="BW3439" s="5" t="s">
        <v>238</v>
      </c>
      <c r="BX3439" s="5" t="s">
        <v>254</v>
      </c>
      <c r="BY3439" s="5" t="s">
        <v>238</v>
      </c>
      <c r="BZ3439" s="5" t="s">
        <v>238</v>
      </c>
      <c r="CA3439" s="5" t="s">
        <v>238</v>
      </c>
      <c r="CB3439" s="5" t="s">
        <v>238</v>
      </c>
      <c r="CC3439" s="5" t="s">
        <v>238</v>
      </c>
      <c r="CD3439" s="5" t="s">
        <v>273</v>
      </c>
      <c r="CE3439" s="5" t="s">
        <v>256</v>
      </c>
      <c r="CF3439" s="5" t="s">
        <v>238</v>
      </c>
      <c r="CH3439" s="5" t="s">
        <v>494</v>
      </c>
      <c r="CI3439" s="6" t="s">
        <v>257</v>
      </c>
      <c r="CJ3439" s="5" t="s">
        <v>495</v>
      </c>
      <c r="CK3439" s="5" t="s">
        <v>258</v>
      </c>
      <c r="CL3439" s="5" t="s">
        <v>496</v>
      </c>
      <c r="CM3439" s="5" t="s">
        <v>238</v>
      </c>
      <c r="CN3439" s="5">
        <v>0</v>
      </c>
      <c r="CO3439" s="5" t="s">
        <v>497</v>
      </c>
      <c r="CP3439" s="5" t="s">
        <v>260</v>
      </c>
      <c r="CQ3439" s="5" t="s">
        <v>260</v>
      </c>
      <c r="CR3439" s="5" t="s">
        <v>261</v>
      </c>
      <c r="CS3439" s="5" t="s">
        <v>498</v>
      </c>
      <c r="CT3439" s="7">
        <f>1</f>
        <v>1</v>
      </c>
      <c r="CU3439" s="8">
        <f>1</f>
        <v>1</v>
      </c>
      <c r="CV3439" s="8">
        <f>0</f>
        <v>0</v>
      </c>
      <c r="CX3439" s="8">
        <f>1</f>
        <v>1</v>
      </c>
      <c r="CY3439" s="8">
        <f>1</f>
        <v>1</v>
      </c>
      <c r="CZ3439" s="8" t="s">
        <v>238</v>
      </c>
      <c r="DA3439" s="5" t="s">
        <v>238</v>
      </c>
      <c r="DB3439" s="5" t="s">
        <v>238</v>
      </c>
      <c r="DC3439" s="5" t="s">
        <v>238</v>
      </c>
      <c r="DD3439" s="5" t="s">
        <v>238</v>
      </c>
      <c r="DE3439" s="8">
        <f>0</f>
        <v>0</v>
      </c>
      <c r="DG3439" s="5" t="s">
        <v>238</v>
      </c>
      <c r="DH3439" s="5" t="s">
        <v>238</v>
      </c>
      <c r="DI3439" s="5" t="s">
        <v>238</v>
      </c>
      <c r="DJ3439" s="5" t="s">
        <v>238</v>
      </c>
      <c r="DK3439" s="5" t="s">
        <v>238</v>
      </c>
      <c r="DL3439" s="5" t="s">
        <v>238</v>
      </c>
      <c r="DM3439" s="8" t="s">
        <v>238</v>
      </c>
      <c r="DN3439" s="5" t="s">
        <v>238</v>
      </c>
      <c r="DO3439" s="5" t="s">
        <v>238</v>
      </c>
      <c r="DP3439" s="5" t="s">
        <v>490</v>
      </c>
      <c r="DQ3439" s="5" t="s">
        <v>490</v>
      </c>
      <c r="DR3439" s="5" t="s">
        <v>238</v>
      </c>
      <c r="DS3439" s="5" t="s">
        <v>238</v>
      </c>
      <c r="DT3439" s="5" t="s">
        <v>500</v>
      </c>
      <c r="DU3439" s="5" t="s">
        <v>752</v>
      </c>
      <c r="DV3439" s="5" t="s">
        <v>238</v>
      </c>
      <c r="DW3439" s="5" t="s">
        <v>238</v>
      </c>
      <c r="DX3439" s="5" t="s">
        <v>238</v>
      </c>
      <c r="DY3439" s="5" t="s">
        <v>238</v>
      </c>
      <c r="DZ3439" s="5" t="s">
        <v>238</v>
      </c>
      <c r="EA3439" s="5" t="s">
        <v>238</v>
      </c>
      <c r="EB3439" s="5" t="s">
        <v>238</v>
      </c>
      <c r="EC3439" s="5" t="s">
        <v>238</v>
      </c>
      <c r="ED3439" s="5" t="s">
        <v>238</v>
      </c>
      <c r="EE3439" s="5" t="s">
        <v>238</v>
      </c>
      <c r="EF3439" s="5" t="s">
        <v>238</v>
      </c>
      <c r="EG3439" s="5" t="s">
        <v>238</v>
      </c>
      <c r="EH3439" s="5" t="s">
        <v>238</v>
      </c>
      <c r="EI3439" s="5" t="s">
        <v>238</v>
      </c>
      <c r="EJ3439" s="5" t="s">
        <v>238</v>
      </c>
      <c r="EK3439" s="5" t="s">
        <v>238</v>
      </c>
      <c r="EL3439" s="5" t="s">
        <v>238</v>
      </c>
      <c r="EM3439" s="5" t="s">
        <v>238</v>
      </c>
      <c r="EN3439" s="5" t="s">
        <v>238</v>
      </c>
      <c r="EO3439" s="5" t="s">
        <v>238</v>
      </c>
      <c r="EP3439" s="5" t="s">
        <v>238</v>
      </c>
      <c r="EQ3439" s="5" t="s">
        <v>238</v>
      </c>
      <c r="ER3439" s="5" t="s">
        <v>238</v>
      </c>
      <c r="ES3439" s="5" t="s">
        <v>238</v>
      </c>
      <c r="ET3439" s="5" t="s">
        <v>238</v>
      </c>
      <c r="EU3439" s="5" t="s">
        <v>238</v>
      </c>
      <c r="EV3439" s="5" t="s">
        <v>238</v>
      </c>
      <c r="EW3439" s="5" t="s">
        <v>238</v>
      </c>
      <c r="EX3439" s="5" t="s">
        <v>238</v>
      </c>
      <c r="EY3439" s="5" t="s">
        <v>238</v>
      </c>
      <c r="EZ3439" s="5" t="s">
        <v>238</v>
      </c>
      <c r="FA3439" s="5" t="s">
        <v>238</v>
      </c>
      <c r="FB3439" s="5" t="s">
        <v>238</v>
      </c>
      <c r="FC3439" s="5" t="s">
        <v>238</v>
      </c>
      <c r="FD3439" s="5" t="s">
        <v>238</v>
      </c>
      <c r="FE3439" s="5" t="s">
        <v>238</v>
      </c>
      <c r="FF3439" s="5" t="s">
        <v>238</v>
      </c>
      <c r="FG3439" s="5" t="s">
        <v>238</v>
      </c>
      <c r="FH3439" s="5" t="s">
        <v>238</v>
      </c>
      <c r="FI3439" s="5" t="s">
        <v>238</v>
      </c>
      <c r="FJ3439" s="5" t="s">
        <v>238</v>
      </c>
      <c r="FK3439" s="5" t="s">
        <v>238</v>
      </c>
      <c r="FL3439" s="5" t="s">
        <v>238</v>
      </c>
      <c r="FM3439" s="5" t="s">
        <v>238</v>
      </c>
      <c r="FN3439" s="5" t="s">
        <v>238</v>
      </c>
      <c r="FO3439" s="5" t="s">
        <v>238</v>
      </c>
      <c r="FP3439" s="5" t="s">
        <v>238</v>
      </c>
      <c r="FQ3439" s="5" t="s">
        <v>238</v>
      </c>
      <c r="FR3439" s="5" t="s">
        <v>238</v>
      </c>
      <c r="FS3439" s="5" t="s">
        <v>238</v>
      </c>
      <c r="FT3439" s="5" t="s">
        <v>238</v>
      </c>
      <c r="FU3439" s="5" t="s">
        <v>238</v>
      </c>
      <c r="FV3439" s="5" t="s">
        <v>238</v>
      </c>
      <c r="FW3439" s="5" t="s">
        <v>238</v>
      </c>
      <c r="FX3439" s="5" t="s">
        <v>238</v>
      </c>
      <c r="FY3439" s="5" t="s">
        <v>238</v>
      </c>
      <c r="FZ3439" s="5" t="s">
        <v>238</v>
      </c>
      <c r="GA3439" s="5" t="s">
        <v>238</v>
      </c>
      <c r="GB3439" s="5" t="s">
        <v>238</v>
      </c>
      <c r="GC3439" s="5" t="s">
        <v>238</v>
      </c>
      <c r="GD3439" s="5" t="s">
        <v>238</v>
      </c>
      <c r="GE3439" s="5" t="s">
        <v>238</v>
      </c>
      <c r="GF3439" s="5" t="s">
        <v>238</v>
      </c>
      <c r="GG3439" s="5" t="s">
        <v>238</v>
      </c>
      <c r="GH3439" s="5" t="s">
        <v>238</v>
      </c>
      <c r="GI3439" s="5" t="s">
        <v>238</v>
      </c>
      <c r="GJ3439" s="5" t="s">
        <v>238</v>
      </c>
      <c r="GK3439" s="5" t="s">
        <v>238</v>
      </c>
      <c r="GL3439" s="5" t="s">
        <v>238</v>
      </c>
      <c r="GM3439" s="5" t="s">
        <v>238</v>
      </c>
      <c r="GN3439" s="5" t="s">
        <v>238</v>
      </c>
      <c r="GO3439" s="5" t="s">
        <v>238</v>
      </c>
      <c r="GP3439" s="5" t="s">
        <v>238</v>
      </c>
      <c r="GQ3439" s="5" t="s">
        <v>238</v>
      </c>
      <c r="GR3439" s="5" t="s">
        <v>238</v>
      </c>
      <c r="GS3439" s="5" t="s">
        <v>238</v>
      </c>
      <c r="GT3439" s="5" t="s">
        <v>238</v>
      </c>
      <c r="GU3439" s="5" t="s">
        <v>238</v>
      </c>
      <c r="GV3439" s="5" t="s">
        <v>238</v>
      </c>
      <c r="GW3439" s="5" t="s">
        <v>238</v>
      </c>
      <c r="GX3439" s="5" t="s">
        <v>238</v>
      </c>
      <c r="GY3439" s="5" t="s">
        <v>238</v>
      </c>
      <c r="GZ3439" s="5" t="s">
        <v>238</v>
      </c>
      <c r="HA3439" s="5" t="s">
        <v>238</v>
      </c>
      <c r="HB3439" s="5" t="s">
        <v>238</v>
      </c>
      <c r="HC3439" s="5" t="s">
        <v>238</v>
      </c>
      <c r="HD3439" s="5" t="s">
        <v>238</v>
      </c>
      <c r="HE3439" s="5" t="s">
        <v>238</v>
      </c>
      <c r="HF3439" s="5" t="s">
        <v>238</v>
      </c>
      <c r="HG3439" s="5" t="s">
        <v>238</v>
      </c>
      <c r="HH3439" s="5" t="s">
        <v>238</v>
      </c>
      <c r="HI3439" s="5" t="s">
        <v>238</v>
      </c>
      <c r="HJ3439" s="5" t="s">
        <v>238</v>
      </c>
      <c r="HK3439" s="5" t="s">
        <v>238</v>
      </c>
      <c r="HL3439" s="5" t="s">
        <v>238</v>
      </c>
      <c r="HM3439" s="5" t="s">
        <v>264</v>
      </c>
      <c r="HN3439" s="5" t="s">
        <v>238</v>
      </c>
      <c r="HO3439" s="5" t="s">
        <v>238</v>
      </c>
      <c r="HP3439" s="5" t="s">
        <v>238</v>
      </c>
      <c r="HQ3439" s="5" t="s">
        <v>238</v>
      </c>
      <c r="HR3439" s="5" t="s">
        <v>238</v>
      </c>
      <c r="HS3439" s="5" t="s">
        <v>238</v>
      </c>
      <c r="HT3439" s="5" t="s">
        <v>238</v>
      </c>
      <c r="HU3439" s="5" t="s">
        <v>238</v>
      </c>
      <c r="HV3439" s="5" t="s">
        <v>238</v>
      </c>
      <c r="HW3439" s="5" t="s">
        <v>238</v>
      </c>
      <c r="HX3439" s="5" t="s">
        <v>238</v>
      </c>
      <c r="HY3439" s="5" t="s">
        <v>238</v>
      </c>
      <c r="HZ3439" s="5" t="s">
        <v>238</v>
      </c>
      <c r="IA3439" s="5" t="s">
        <v>238</v>
      </c>
      <c r="IB3439" s="5" t="s">
        <v>238</v>
      </c>
      <c r="IC3439" s="5" t="s">
        <v>238</v>
      </c>
      <c r="ID3439" s="5" t="s">
        <v>238</v>
      </c>
    </row>
    <row r="3440" spans="1:238" x14ac:dyDescent="0.4">
      <c r="A3440" s="5">
        <v>9158</v>
      </c>
      <c r="B3440" s="5">
        <v>1</v>
      </c>
      <c r="C3440" s="5">
        <v>1</v>
      </c>
      <c r="D3440" s="5" t="s">
        <v>484</v>
      </c>
      <c r="E3440" s="5" t="s">
        <v>485</v>
      </c>
      <c r="F3440" s="5" t="s">
        <v>248</v>
      </c>
      <c r="G3440" s="5" t="s">
        <v>6375</v>
      </c>
      <c r="H3440" s="6" t="s">
        <v>6376</v>
      </c>
      <c r="I3440" s="8">
        <f>1</f>
        <v>1</v>
      </c>
      <c r="J3440" s="5" t="s">
        <v>499</v>
      </c>
      <c r="K3440" s="8">
        <f>1</f>
        <v>1</v>
      </c>
      <c r="L3440" s="6" t="s">
        <v>242</v>
      </c>
      <c r="M3440" s="5" t="s">
        <v>267</v>
      </c>
      <c r="N3440" s="5" t="s">
        <v>482</v>
      </c>
      <c r="O3440" s="5" t="s">
        <v>238</v>
      </c>
      <c r="P3440" s="5" t="s">
        <v>238</v>
      </c>
      <c r="Q3440" s="5" t="s">
        <v>239</v>
      </c>
      <c r="R3440" s="5" t="s">
        <v>270</v>
      </c>
      <c r="S3440" s="5" t="s">
        <v>238</v>
      </c>
      <c r="T3440" s="5" t="s">
        <v>238</v>
      </c>
      <c r="U3440" s="5" t="s">
        <v>238</v>
      </c>
      <c r="V3440" s="5" t="s">
        <v>238</v>
      </c>
      <c r="W3440" s="6" t="s">
        <v>238</v>
      </c>
      <c r="X3440" s="6" t="s">
        <v>238</v>
      </c>
      <c r="Y3440" s="5" t="s">
        <v>238</v>
      </c>
      <c r="Z3440" s="6" t="s">
        <v>238</v>
      </c>
      <c r="AA3440" s="6" t="s">
        <v>243</v>
      </c>
      <c r="AB3440" s="5" t="s">
        <v>486</v>
      </c>
      <c r="AC3440" s="5" t="s">
        <v>244</v>
      </c>
      <c r="AD3440" s="5" t="s">
        <v>245</v>
      </c>
      <c r="AE3440" s="5" t="s">
        <v>238</v>
      </c>
      <c r="AF3440" s="5" t="s">
        <v>238</v>
      </c>
      <c r="AG3440" s="5" t="s">
        <v>238</v>
      </c>
      <c r="AH3440" s="5" t="s">
        <v>238</v>
      </c>
      <c r="AI3440" s="5" t="s">
        <v>238</v>
      </c>
      <c r="AJ3440" s="5" t="s">
        <v>238</v>
      </c>
      <c r="AK3440" s="5" t="s">
        <v>238</v>
      </c>
      <c r="AL3440" s="5" t="s">
        <v>238</v>
      </c>
      <c r="AM3440" s="6" t="s">
        <v>238</v>
      </c>
      <c r="AN3440" s="6" t="s">
        <v>238</v>
      </c>
      <c r="AO3440" s="6" t="s">
        <v>238</v>
      </c>
      <c r="AP3440" s="6" t="s">
        <v>238</v>
      </c>
      <c r="AQ3440" s="5" t="s">
        <v>238</v>
      </c>
      <c r="AR3440" s="5" t="s">
        <v>488</v>
      </c>
      <c r="AS3440" s="5" t="s">
        <v>488</v>
      </c>
      <c r="AT3440" s="5" t="s">
        <v>246</v>
      </c>
      <c r="AU3440" s="5" t="s">
        <v>489</v>
      </c>
      <c r="AV3440" s="5" t="s">
        <v>247</v>
      </c>
      <c r="AW3440" s="5" t="s">
        <v>238</v>
      </c>
      <c r="AX3440" s="5" t="s">
        <v>249</v>
      </c>
      <c r="AY3440" s="5" t="s">
        <v>490</v>
      </c>
      <c r="BA3440" s="5" t="s">
        <v>238</v>
      </c>
      <c r="BC3440" s="5" t="s">
        <v>491</v>
      </c>
      <c r="BD3440" s="6" t="s">
        <v>492</v>
      </c>
      <c r="BE3440" s="5" t="s">
        <v>493</v>
      </c>
      <c r="BF3440" s="5" t="s">
        <v>493</v>
      </c>
      <c r="BG3440" s="5" t="s">
        <v>238</v>
      </c>
      <c r="BH3440" s="8">
        <f>1</f>
        <v>1</v>
      </c>
      <c r="BI3440" s="8">
        <f>1</f>
        <v>1</v>
      </c>
      <c r="BJ3440" s="5" t="s">
        <v>253</v>
      </c>
      <c r="BK3440" s="5" t="s">
        <v>254</v>
      </c>
      <c r="BL3440" s="5" t="s">
        <v>238</v>
      </c>
      <c r="BM3440" s="5" t="s">
        <v>238</v>
      </c>
      <c r="BN3440" s="5" t="s">
        <v>238</v>
      </c>
      <c r="BO3440" s="5" t="s">
        <v>238</v>
      </c>
      <c r="BP3440" s="5" t="s">
        <v>238</v>
      </c>
      <c r="BQ3440" s="5" t="s">
        <v>238</v>
      </c>
      <c r="BR3440" s="5" t="s">
        <v>238</v>
      </c>
      <c r="BS3440" s="5" t="s">
        <v>238</v>
      </c>
      <c r="BT3440" s="6" t="s">
        <v>238</v>
      </c>
      <c r="BU3440" s="5" t="s">
        <v>238</v>
      </c>
      <c r="BV3440" s="5" t="s">
        <v>238</v>
      </c>
      <c r="BW3440" s="5" t="s">
        <v>238</v>
      </c>
      <c r="BX3440" s="5" t="s">
        <v>254</v>
      </c>
      <c r="BY3440" s="5" t="s">
        <v>238</v>
      </c>
      <c r="BZ3440" s="5" t="s">
        <v>238</v>
      </c>
      <c r="CA3440" s="5" t="s">
        <v>238</v>
      </c>
      <c r="CB3440" s="5" t="s">
        <v>238</v>
      </c>
      <c r="CC3440" s="5" t="s">
        <v>238</v>
      </c>
      <c r="CD3440" s="5" t="s">
        <v>273</v>
      </c>
      <c r="CE3440" s="5" t="s">
        <v>256</v>
      </c>
      <c r="CF3440" s="5" t="s">
        <v>238</v>
      </c>
      <c r="CH3440" s="5" t="s">
        <v>494</v>
      </c>
      <c r="CI3440" s="6" t="s">
        <v>257</v>
      </c>
      <c r="CJ3440" s="5" t="s">
        <v>495</v>
      </c>
      <c r="CK3440" s="5" t="s">
        <v>258</v>
      </c>
      <c r="CL3440" s="5" t="s">
        <v>496</v>
      </c>
      <c r="CM3440" s="5" t="s">
        <v>238</v>
      </c>
      <c r="CN3440" s="5">
        <v>0</v>
      </c>
      <c r="CO3440" s="5" t="s">
        <v>497</v>
      </c>
      <c r="CP3440" s="5" t="s">
        <v>260</v>
      </c>
      <c r="CQ3440" s="5" t="s">
        <v>260</v>
      </c>
      <c r="CR3440" s="5" t="s">
        <v>261</v>
      </c>
      <c r="CS3440" s="5" t="s">
        <v>498</v>
      </c>
      <c r="CT3440" s="7">
        <f>1</f>
        <v>1</v>
      </c>
      <c r="CU3440" s="8">
        <f>1</f>
        <v>1</v>
      </c>
      <c r="CV3440" s="8">
        <f>0</f>
        <v>0</v>
      </c>
      <c r="CX3440" s="8">
        <f>1</f>
        <v>1</v>
      </c>
      <c r="CY3440" s="8">
        <f>1</f>
        <v>1</v>
      </c>
      <c r="CZ3440" s="8" t="s">
        <v>238</v>
      </c>
      <c r="DA3440" s="5" t="s">
        <v>238</v>
      </c>
      <c r="DB3440" s="5" t="s">
        <v>238</v>
      </c>
      <c r="DC3440" s="5" t="s">
        <v>238</v>
      </c>
      <c r="DD3440" s="5" t="s">
        <v>238</v>
      </c>
      <c r="DE3440" s="8">
        <f>0</f>
        <v>0</v>
      </c>
      <c r="DG3440" s="5" t="s">
        <v>238</v>
      </c>
      <c r="DH3440" s="5" t="s">
        <v>238</v>
      </c>
      <c r="DI3440" s="5" t="s">
        <v>238</v>
      </c>
      <c r="DJ3440" s="5" t="s">
        <v>238</v>
      </c>
      <c r="DK3440" s="5" t="s">
        <v>238</v>
      </c>
      <c r="DL3440" s="5" t="s">
        <v>238</v>
      </c>
      <c r="DM3440" s="8" t="s">
        <v>238</v>
      </c>
      <c r="DN3440" s="5" t="s">
        <v>238</v>
      </c>
      <c r="DO3440" s="5" t="s">
        <v>238</v>
      </c>
      <c r="DP3440" s="5" t="s">
        <v>490</v>
      </c>
      <c r="DQ3440" s="5" t="s">
        <v>490</v>
      </c>
      <c r="DR3440" s="5" t="s">
        <v>238</v>
      </c>
      <c r="DS3440" s="5" t="s">
        <v>238</v>
      </c>
      <c r="DT3440" s="5" t="s">
        <v>500</v>
      </c>
      <c r="DU3440" s="5" t="s">
        <v>924</v>
      </c>
      <c r="DV3440" s="5" t="s">
        <v>238</v>
      </c>
      <c r="DW3440" s="5" t="s">
        <v>238</v>
      </c>
      <c r="DX3440" s="5" t="s">
        <v>238</v>
      </c>
      <c r="DY3440" s="5" t="s">
        <v>238</v>
      </c>
      <c r="DZ3440" s="5" t="s">
        <v>238</v>
      </c>
      <c r="EA3440" s="5" t="s">
        <v>238</v>
      </c>
      <c r="EB3440" s="5" t="s">
        <v>238</v>
      </c>
      <c r="EC3440" s="5" t="s">
        <v>238</v>
      </c>
      <c r="ED3440" s="5" t="s">
        <v>238</v>
      </c>
      <c r="EE3440" s="5" t="s">
        <v>238</v>
      </c>
      <c r="EF3440" s="5" t="s">
        <v>238</v>
      </c>
      <c r="EG3440" s="5" t="s">
        <v>238</v>
      </c>
      <c r="EH3440" s="5" t="s">
        <v>238</v>
      </c>
      <c r="EI3440" s="5" t="s">
        <v>238</v>
      </c>
      <c r="EJ3440" s="5" t="s">
        <v>238</v>
      </c>
      <c r="EK3440" s="5" t="s">
        <v>238</v>
      </c>
      <c r="EL3440" s="5" t="s">
        <v>238</v>
      </c>
      <c r="EM3440" s="5" t="s">
        <v>238</v>
      </c>
      <c r="EN3440" s="5" t="s">
        <v>238</v>
      </c>
      <c r="EO3440" s="5" t="s">
        <v>238</v>
      </c>
      <c r="EP3440" s="5" t="s">
        <v>238</v>
      </c>
      <c r="EQ3440" s="5" t="s">
        <v>238</v>
      </c>
      <c r="ER3440" s="5" t="s">
        <v>238</v>
      </c>
      <c r="ES3440" s="5" t="s">
        <v>238</v>
      </c>
      <c r="ET3440" s="5" t="s">
        <v>238</v>
      </c>
      <c r="EU3440" s="5" t="s">
        <v>238</v>
      </c>
      <c r="EV3440" s="5" t="s">
        <v>238</v>
      </c>
      <c r="EW3440" s="5" t="s">
        <v>238</v>
      </c>
      <c r="EX3440" s="5" t="s">
        <v>238</v>
      </c>
      <c r="EY3440" s="5" t="s">
        <v>238</v>
      </c>
      <c r="EZ3440" s="5" t="s">
        <v>238</v>
      </c>
      <c r="FA3440" s="5" t="s">
        <v>238</v>
      </c>
      <c r="FB3440" s="5" t="s">
        <v>238</v>
      </c>
      <c r="FC3440" s="5" t="s">
        <v>238</v>
      </c>
      <c r="FD3440" s="5" t="s">
        <v>238</v>
      </c>
      <c r="FE3440" s="5" t="s">
        <v>238</v>
      </c>
      <c r="FF3440" s="5" t="s">
        <v>238</v>
      </c>
      <c r="FG3440" s="5" t="s">
        <v>238</v>
      </c>
      <c r="FH3440" s="5" t="s">
        <v>238</v>
      </c>
      <c r="FI3440" s="5" t="s">
        <v>238</v>
      </c>
      <c r="FJ3440" s="5" t="s">
        <v>238</v>
      </c>
      <c r="FK3440" s="5" t="s">
        <v>238</v>
      </c>
      <c r="FL3440" s="5" t="s">
        <v>238</v>
      </c>
      <c r="FM3440" s="5" t="s">
        <v>238</v>
      </c>
      <c r="FN3440" s="5" t="s">
        <v>238</v>
      </c>
      <c r="FO3440" s="5" t="s">
        <v>238</v>
      </c>
      <c r="FP3440" s="5" t="s">
        <v>238</v>
      </c>
      <c r="FQ3440" s="5" t="s">
        <v>238</v>
      </c>
      <c r="FR3440" s="5" t="s">
        <v>238</v>
      </c>
      <c r="FS3440" s="5" t="s">
        <v>238</v>
      </c>
      <c r="FT3440" s="5" t="s">
        <v>238</v>
      </c>
      <c r="FU3440" s="5" t="s">
        <v>238</v>
      </c>
      <c r="FV3440" s="5" t="s">
        <v>238</v>
      </c>
      <c r="FW3440" s="5" t="s">
        <v>238</v>
      </c>
      <c r="FX3440" s="5" t="s">
        <v>238</v>
      </c>
      <c r="FY3440" s="5" t="s">
        <v>238</v>
      </c>
      <c r="FZ3440" s="5" t="s">
        <v>238</v>
      </c>
      <c r="GA3440" s="5" t="s">
        <v>238</v>
      </c>
      <c r="GB3440" s="5" t="s">
        <v>238</v>
      </c>
      <c r="GC3440" s="5" t="s">
        <v>238</v>
      </c>
      <c r="GD3440" s="5" t="s">
        <v>238</v>
      </c>
      <c r="GE3440" s="5" t="s">
        <v>238</v>
      </c>
      <c r="GF3440" s="5" t="s">
        <v>238</v>
      </c>
      <c r="GG3440" s="5" t="s">
        <v>238</v>
      </c>
      <c r="GH3440" s="5" t="s">
        <v>238</v>
      </c>
      <c r="GI3440" s="5" t="s">
        <v>238</v>
      </c>
      <c r="GJ3440" s="5" t="s">
        <v>238</v>
      </c>
      <c r="GK3440" s="5" t="s">
        <v>238</v>
      </c>
      <c r="GL3440" s="5" t="s">
        <v>238</v>
      </c>
      <c r="GM3440" s="5" t="s">
        <v>238</v>
      </c>
      <c r="GN3440" s="5" t="s">
        <v>238</v>
      </c>
      <c r="GO3440" s="5" t="s">
        <v>238</v>
      </c>
      <c r="GP3440" s="5" t="s">
        <v>238</v>
      </c>
      <c r="GQ3440" s="5" t="s">
        <v>238</v>
      </c>
      <c r="GR3440" s="5" t="s">
        <v>238</v>
      </c>
      <c r="GS3440" s="5" t="s">
        <v>238</v>
      </c>
      <c r="GT3440" s="5" t="s">
        <v>238</v>
      </c>
      <c r="GU3440" s="5" t="s">
        <v>238</v>
      </c>
      <c r="GV3440" s="5" t="s">
        <v>238</v>
      </c>
      <c r="GW3440" s="5" t="s">
        <v>238</v>
      </c>
      <c r="GX3440" s="5" t="s">
        <v>238</v>
      </c>
      <c r="GY3440" s="5" t="s">
        <v>238</v>
      </c>
      <c r="GZ3440" s="5" t="s">
        <v>238</v>
      </c>
      <c r="HA3440" s="5" t="s">
        <v>238</v>
      </c>
      <c r="HB3440" s="5" t="s">
        <v>238</v>
      </c>
      <c r="HC3440" s="5" t="s">
        <v>238</v>
      </c>
      <c r="HD3440" s="5" t="s">
        <v>238</v>
      </c>
      <c r="HE3440" s="5" t="s">
        <v>238</v>
      </c>
      <c r="HF3440" s="5" t="s">
        <v>238</v>
      </c>
      <c r="HG3440" s="5" t="s">
        <v>238</v>
      </c>
      <c r="HH3440" s="5" t="s">
        <v>238</v>
      </c>
      <c r="HI3440" s="5" t="s">
        <v>238</v>
      </c>
      <c r="HJ3440" s="5" t="s">
        <v>238</v>
      </c>
      <c r="HK3440" s="5" t="s">
        <v>238</v>
      </c>
      <c r="HL3440" s="5" t="s">
        <v>238</v>
      </c>
      <c r="HM3440" s="5" t="s">
        <v>264</v>
      </c>
      <c r="HN3440" s="5" t="s">
        <v>238</v>
      </c>
      <c r="HO3440" s="5" t="s">
        <v>238</v>
      </c>
      <c r="HP3440" s="5" t="s">
        <v>238</v>
      </c>
      <c r="HQ3440" s="5" t="s">
        <v>238</v>
      </c>
      <c r="HR3440" s="5" t="s">
        <v>238</v>
      </c>
      <c r="HS3440" s="5" t="s">
        <v>238</v>
      </c>
      <c r="HT3440" s="5" t="s">
        <v>238</v>
      </c>
      <c r="HU3440" s="5" t="s">
        <v>238</v>
      </c>
      <c r="HV3440" s="5" t="s">
        <v>238</v>
      </c>
      <c r="HW3440" s="5" t="s">
        <v>238</v>
      </c>
      <c r="HX3440" s="5" t="s">
        <v>238</v>
      </c>
      <c r="HY3440" s="5" t="s">
        <v>238</v>
      </c>
      <c r="HZ3440" s="5" t="s">
        <v>238</v>
      </c>
      <c r="IA3440" s="5" t="s">
        <v>238</v>
      </c>
      <c r="IB3440" s="5" t="s">
        <v>238</v>
      </c>
      <c r="IC3440" s="5" t="s">
        <v>238</v>
      </c>
      <c r="ID3440" s="5" t="s">
        <v>238</v>
      </c>
    </row>
    <row r="3441" spans="1:238" x14ac:dyDescent="0.4">
      <c r="A3441" s="5">
        <v>9159</v>
      </c>
      <c r="B3441" s="5">
        <v>1</v>
      </c>
      <c r="C3441" s="5">
        <v>1</v>
      </c>
      <c r="D3441" s="5" t="s">
        <v>484</v>
      </c>
      <c r="E3441" s="5" t="s">
        <v>485</v>
      </c>
      <c r="F3441" s="5" t="s">
        <v>248</v>
      </c>
      <c r="G3441" s="5" t="s">
        <v>5453</v>
      </c>
      <c r="H3441" s="6" t="s">
        <v>5455</v>
      </c>
      <c r="I3441" s="8">
        <f>1</f>
        <v>1</v>
      </c>
      <c r="J3441" s="5" t="s">
        <v>499</v>
      </c>
      <c r="K3441" s="8">
        <f>1</f>
        <v>1</v>
      </c>
      <c r="L3441" s="6" t="s">
        <v>242</v>
      </c>
      <c r="M3441" s="5" t="s">
        <v>267</v>
      </c>
      <c r="N3441" s="5" t="s">
        <v>482</v>
      </c>
      <c r="O3441" s="5" t="s">
        <v>238</v>
      </c>
      <c r="P3441" s="5" t="s">
        <v>238</v>
      </c>
      <c r="Q3441" s="5" t="s">
        <v>239</v>
      </c>
      <c r="R3441" s="5" t="s">
        <v>270</v>
      </c>
      <c r="S3441" s="5" t="s">
        <v>238</v>
      </c>
      <c r="T3441" s="5" t="s">
        <v>238</v>
      </c>
      <c r="U3441" s="5" t="s">
        <v>238</v>
      </c>
      <c r="V3441" s="5" t="s">
        <v>238</v>
      </c>
      <c r="W3441" s="6" t="s">
        <v>238</v>
      </c>
      <c r="X3441" s="6" t="s">
        <v>238</v>
      </c>
      <c r="Y3441" s="5" t="s">
        <v>238</v>
      </c>
      <c r="Z3441" s="6" t="s">
        <v>238</v>
      </c>
      <c r="AA3441" s="6" t="s">
        <v>243</v>
      </c>
      <c r="AB3441" s="5" t="s">
        <v>5454</v>
      </c>
      <c r="AC3441" s="5" t="s">
        <v>244</v>
      </c>
      <c r="AD3441" s="5" t="s">
        <v>245</v>
      </c>
      <c r="AE3441" s="5" t="s">
        <v>238</v>
      </c>
      <c r="AF3441" s="5" t="s">
        <v>238</v>
      </c>
      <c r="AG3441" s="5" t="s">
        <v>238</v>
      </c>
      <c r="AH3441" s="5" t="s">
        <v>238</v>
      </c>
      <c r="AI3441" s="5" t="s">
        <v>238</v>
      </c>
      <c r="AJ3441" s="5" t="s">
        <v>238</v>
      </c>
      <c r="AK3441" s="5" t="s">
        <v>238</v>
      </c>
      <c r="AL3441" s="5" t="s">
        <v>238</v>
      </c>
      <c r="AM3441" s="6" t="s">
        <v>238</v>
      </c>
      <c r="AN3441" s="6" t="s">
        <v>238</v>
      </c>
      <c r="AO3441" s="6" t="s">
        <v>238</v>
      </c>
      <c r="AP3441" s="6" t="s">
        <v>238</v>
      </c>
      <c r="AQ3441" s="5" t="s">
        <v>238</v>
      </c>
      <c r="AR3441" s="5" t="s">
        <v>488</v>
      </c>
      <c r="AS3441" s="5" t="s">
        <v>488</v>
      </c>
      <c r="AT3441" s="5" t="s">
        <v>246</v>
      </c>
      <c r="AU3441" s="5" t="s">
        <v>489</v>
      </c>
      <c r="AV3441" s="5" t="s">
        <v>247</v>
      </c>
      <c r="AW3441" s="5" t="s">
        <v>238</v>
      </c>
      <c r="AX3441" s="5" t="s">
        <v>249</v>
      </c>
      <c r="AY3441" s="5" t="s">
        <v>490</v>
      </c>
      <c r="BA3441" s="5" t="s">
        <v>238</v>
      </c>
      <c r="BC3441" s="5" t="s">
        <v>491</v>
      </c>
      <c r="BD3441" s="6" t="s">
        <v>492</v>
      </c>
      <c r="BE3441" s="5" t="s">
        <v>493</v>
      </c>
      <c r="BF3441" s="5" t="s">
        <v>493</v>
      </c>
      <c r="BG3441" s="5" t="s">
        <v>238</v>
      </c>
      <c r="BH3441" s="8">
        <f>1</f>
        <v>1</v>
      </c>
      <c r="BI3441" s="8">
        <f>1</f>
        <v>1</v>
      </c>
      <c r="BJ3441" s="5" t="s">
        <v>253</v>
      </c>
      <c r="BK3441" s="5" t="s">
        <v>254</v>
      </c>
      <c r="BL3441" s="5" t="s">
        <v>238</v>
      </c>
      <c r="BM3441" s="5" t="s">
        <v>238</v>
      </c>
      <c r="BN3441" s="5" t="s">
        <v>238</v>
      </c>
      <c r="BO3441" s="5" t="s">
        <v>238</v>
      </c>
      <c r="BP3441" s="5" t="s">
        <v>238</v>
      </c>
      <c r="BQ3441" s="5" t="s">
        <v>238</v>
      </c>
      <c r="BR3441" s="5" t="s">
        <v>238</v>
      </c>
      <c r="BS3441" s="5" t="s">
        <v>238</v>
      </c>
      <c r="BT3441" s="6" t="s">
        <v>238</v>
      </c>
      <c r="BU3441" s="5" t="s">
        <v>238</v>
      </c>
      <c r="BV3441" s="5" t="s">
        <v>238</v>
      </c>
      <c r="BW3441" s="5" t="s">
        <v>238</v>
      </c>
      <c r="BX3441" s="5" t="s">
        <v>254</v>
      </c>
      <c r="BY3441" s="5" t="s">
        <v>238</v>
      </c>
      <c r="BZ3441" s="5" t="s">
        <v>238</v>
      </c>
      <c r="CA3441" s="5" t="s">
        <v>238</v>
      </c>
      <c r="CB3441" s="5" t="s">
        <v>238</v>
      </c>
      <c r="CC3441" s="5" t="s">
        <v>238</v>
      </c>
      <c r="CD3441" s="5" t="s">
        <v>273</v>
      </c>
      <c r="CE3441" s="5" t="s">
        <v>256</v>
      </c>
      <c r="CF3441" s="5" t="s">
        <v>238</v>
      </c>
      <c r="CH3441" s="5" t="s">
        <v>494</v>
      </c>
      <c r="CI3441" s="6" t="s">
        <v>257</v>
      </c>
      <c r="CJ3441" s="5" t="s">
        <v>495</v>
      </c>
      <c r="CK3441" s="5" t="s">
        <v>258</v>
      </c>
      <c r="CL3441" s="5" t="s">
        <v>496</v>
      </c>
      <c r="CM3441" s="5" t="s">
        <v>238</v>
      </c>
      <c r="CN3441" s="5">
        <v>0</v>
      </c>
      <c r="CO3441" s="5" t="s">
        <v>497</v>
      </c>
      <c r="CP3441" s="5" t="s">
        <v>260</v>
      </c>
      <c r="CQ3441" s="5" t="s">
        <v>260</v>
      </c>
      <c r="CR3441" s="5" t="s">
        <v>261</v>
      </c>
      <c r="CS3441" s="5" t="s">
        <v>498</v>
      </c>
      <c r="CT3441" s="7">
        <f>1</f>
        <v>1</v>
      </c>
      <c r="CU3441" s="8">
        <f>1</f>
        <v>1</v>
      </c>
      <c r="CV3441" s="8">
        <f>0</f>
        <v>0</v>
      </c>
      <c r="CX3441" s="8">
        <f>1</f>
        <v>1</v>
      </c>
      <c r="CY3441" s="8">
        <f>1</f>
        <v>1</v>
      </c>
      <c r="CZ3441" s="8" t="s">
        <v>238</v>
      </c>
      <c r="DA3441" s="5" t="s">
        <v>238</v>
      </c>
      <c r="DB3441" s="5" t="s">
        <v>238</v>
      </c>
      <c r="DC3441" s="5" t="s">
        <v>238</v>
      </c>
      <c r="DD3441" s="5" t="s">
        <v>238</v>
      </c>
      <c r="DE3441" s="8">
        <f>0</f>
        <v>0</v>
      </c>
      <c r="DG3441" s="5" t="s">
        <v>238</v>
      </c>
      <c r="DH3441" s="5" t="s">
        <v>238</v>
      </c>
      <c r="DI3441" s="5" t="s">
        <v>238</v>
      </c>
      <c r="DJ3441" s="5" t="s">
        <v>238</v>
      </c>
      <c r="DK3441" s="5" t="s">
        <v>238</v>
      </c>
      <c r="DL3441" s="5" t="s">
        <v>238</v>
      </c>
      <c r="DM3441" s="8" t="s">
        <v>238</v>
      </c>
      <c r="DN3441" s="5" t="s">
        <v>238</v>
      </c>
      <c r="DO3441" s="5" t="s">
        <v>238</v>
      </c>
      <c r="DP3441" s="5" t="s">
        <v>490</v>
      </c>
      <c r="DQ3441" s="5" t="s">
        <v>490</v>
      </c>
      <c r="DR3441" s="5" t="s">
        <v>238</v>
      </c>
      <c r="DS3441" s="5" t="s">
        <v>238</v>
      </c>
      <c r="DT3441" s="5" t="s">
        <v>500</v>
      </c>
      <c r="DU3441" s="5" t="s">
        <v>740</v>
      </c>
      <c r="DV3441" s="5" t="s">
        <v>238</v>
      </c>
      <c r="DW3441" s="5" t="s">
        <v>238</v>
      </c>
      <c r="DX3441" s="5" t="s">
        <v>238</v>
      </c>
      <c r="DY3441" s="5" t="s">
        <v>238</v>
      </c>
      <c r="DZ3441" s="5" t="s">
        <v>238</v>
      </c>
      <c r="EA3441" s="5" t="s">
        <v>238</v>
      </c>
      <c r="EB3441" s="5" t="s">
        <v>238</v>
      </c>
      <c r="EC3441" s="5" t="s">
        <v>238</v>
      </c>
      <c r="ED3441" s="5" t="s">
        <v>238</v>
      </c>
      <c r="EE3441" s="5" t="s">
        <v>238</v>
      </c>
      <c r="EF3441" s="5" t="s">
        <v>238</v>
      </c>
      <c r="EG3441" s="5" t="s">
        <v>238</v>
      </c>
      <c r="EH3441" s="5" t="s">
        <v>238</v>
      </c>
      <c r="EI3441" s="5" t="s">
        <v>238</v>
      </c>
      <c r="EJ3441" s="5" t="s">
        <v>238</v>
      </c>
      <c r="EK3441" s="5" t="s">
        <v>238</v>
      </c>
      <c r="EL3441" s="5" t="s">
        <v>238</v>
      </c>
      <c r="EM3441" s="5" t="s">
        <v>238</v>
      </c>
      <c r="EN3441" s="5" t="s">
        <v>238</v>
      </c>
      <c r="EO3441" s="5" t="s">
        <v>238</v>
      </c>
      <c r="EP3441" s="5" t="s">
        <v>238</v>
      </c>
      <c r="EQ3441" s="5" t="s">
        <v>238</v>
      </c>
      <c r="ER3441" s="5" t="s">
        <v>238</v>
      </c>
      <c r="ES3441" s="5" t="s">
        <v>238</v>
      </c>
      <c r="ET3441" s="5" t="s">
        <v>238</v>
      </c>
      <c r="EU3441" s="5" t="s">
        <v>238</v>
      </c>
      <c r="EV3441" s="5" t="s">
        <v>238</v>
      </c>
      <c r="EW3441" s="5" t="s">
        <v>238</v>
      </c>
      <c r="EX3441" s="5" t="s">
        <v>238</v>
      </c>
      <c r="EY3441" s="5" t="s">
        <v>238</v>
      </c>
      <c r="EZ3441" s="5" t="s">
        <v>238</v>
      </c>
      <c r="FA3441" s="5" t="s">
        <v>238</v>
      </c>
      <c r="FB3441" s="5" t="s">
        <v>238</v>
      </c>
      <c r="FC3441" s="5" t="s">
        <v>238</v>
      </c>
      <c r="FD3441" s="5" t="s">
        <v>238</v>
      </c>
      <c r="FE3441" s="5" t="s">
        <v>238</v>
      </c>
      <c r="FF3441" s="5" t="s">
        <v>238</v>
      </c>
      <c r="FG3441" s="5" t="s">
        <v>238</v>
      </c>
      <c r="FH3441" s="5" t="s">
        <v>238</v>
      </c>
      <c r="FI3441" s="5" t="s">
        <v>238</v>
      </c>
      <c r="FJ3441" s="5" t="s">
        <v>238</v>
      </c>
      <c r="FK3441" s="5" t="s">
        <v>238</v>
      </c>
      <c r="FL3441" s="5" t="s">
        <v>238</v>
      </c>
      <c r="FM3441" s="5" t="s">
        <v>238</v>
      </c>
      <c r="FN3441" s="5" t="s">
        <v>238</v>
      </c>
      <c r="FO3441" s="5" t="s">
        <v>238</v>
      </c>
      <c r="FP3441" s="5" t="s">
        <v>238</v>
      </c>
      <c r="FQ3441" s="5" t="s">
        <v>238</v>
      </c>
      <c r="FR3441" s="5" t="s">
        <v>238</v>
      </c>
      <c r="FS3441" s="5" t="s">
        <v>238</v>
      </c>
      <c r="FT3441" s="5" t="s">
        <v>238</v>
      </c>
      <c r="FU3441" s="5" t="s">
        <v>238</v>
      </c>
      <c r="FV3441" s="5" t="s">
        <v>238</v>
      </c>
      <c r="FW3441" s="5" t="s">
        <v>238</v>
      </c>
      <c r="FX3441" s="5" t="s">
        <v>238</v>
      </c>
      <c r="FY3441" s="5" t="s">
        <v>238</v>
      </c>
      <c r="FZ3441" s="5" t="s">
        <v>238</v>
      </c>
      <c r="GA3441" s="5" t="s">
        <v>238</v>
      </c>
      <c r="GB3441" s="5" t="s">
        <v>238</v>
      </c>
      <c r="GC3441" s="5" t="s">
        <v>238</v>
      </c>
      <c r="GD3441" s="5" t="s">
        <v>238</v>
      </c>
      <c r="GE3441" s="5" t="s">
        <v>238</v>
      </c>
      <c r="GF3441" s="5" t="s">
        <v>238</v>
      </c>
      <c r="GG3441" s="5" t="s">
        <v>238</v>
      </c>
      <c r="GH3441" s="5" t="s">
        <v>238</v>
      </c>
      <c r="GI3441" s="5" t="s">
        <v>238</v>
      </c>
      <c r="GJ3441" s="5" t="s">
        <v>238</v>
      </c>
      <c r="GK3441" s="5" t="s">
        <v>238</v>
      </c>
      <c r="GL3441" s="5" t="s">
        <v>238</v>
      </c>
      <c r="GM3441" s="5" t="s">
        <v>238</v>
      </c>
      <c r="GN3441" s="5" t="s">
        <v>238</v>
      </c>
      <c r="GO3441" s="5" t="s">
        <v>238</v>
      </c>
      <c r="GP3441" s="5" t="s">
        <v>238</v>
      </c>
      <c r="GQ3441" s="5" t="s">
        <v>238</v>
      </c>
      <c r="GR3441" s="5" t="s">
        <v>238</v>
      </c>
      <c r="GS3441" s="5" t="s">
        <v>238</v>
      </c>
      <c r="GT3441" s="5" t="s">
        <v>238</v>
      </c>
      <c r="GU3441" s="5" t="s">
        <v>238</v>
      </c>
      <c r="GV3441" s="5" t="s">
        <v>238</v>
      </c>
      <c r="GW3441" s="5" t="s">
        <v>238</v>
      </c>
      <c r="GX3441" s="5" t="s">
        <v>238</v>
      </c>
      <c r="GY3441" s="5" t="s">
        <v>238</v>
      </c>
      <c r="GZ3441" s="5" t="s">
        <v>238</v>
      </c>
      <c r="HA3441" s="5" t="s">
        <v>238</v>
      </c>
      <c r="HB3441" s="5" t="s">
        <v>238</v>
      </c>
      <c r="HC3441" s="5" t="s">
        <v>238</v>
      </c>
      <c r="HD3441" s="5" t="s">
        <v>238</v>
      </c>
      <c r="HE3441" s="5" t="s">
        <v>238</v>
      </c>
      <c r="HF3441" s="5" t="s">
        <v>238</v>
      </c>
      <c r="HG3441" s="5" t="s">
        <v>238</v>
      </c>
      <c r="HH3441" s="5" t="s">
        <v>238</v>
      </c>
      <c r="HI3441" s="5" t="s">
        <v>238</v>
      </c>
      <c r="HJ3441" s="5" t="s">
        <v>238</v>
      </c>
      <c r="HK3441" s="5" t="s">
        <v>238</v>
      </c>
      <c r="HL3441" s="5" t="s">
        <v>238</v>
      </c>
      <c r="HM3441" s="5" t="s">
        <v>264</v>
      </c>
      <c r="HN3441" s="5" t="s">
        <v>238</v>
      </c>
      <c r="HO3441" s="5" t="s">
        <v>238</v>
      </c>
      <c r="HP3441" s="5" t="s">
        <v>238</v>
      </c>
      <c r="HQ3441" s="5" t="s">
        <v>238</v>
      </c>
      <c r="HR3441" s="5" t="s">
        <v>238</v>
      </c>
      <c r="HS3441" s="5" t="s">
        <v>238</v>
      </c>
      <c r="HT3441" s="5" t="s">
        <v>238</v>
      </c>
      <c r="HU3441" s="5" t="s">
        <v>238</v>
      </c>
      <c r="HV3441" s="5" t="s">
        <v>238</v>
      </c>
      <c r="HW3441" s="5" t="s">
        <v>238</v>
      </c>
      <c r="HX3441" s="5" t="s">
        <v>238</v>
      </c>
      <c r="HY3441" s="5" t="s">
        <v>238</v>
      </c>
      <c r="HZ3441" s="5" t="s">
        <v>238</v>
      </c>
      <c r="IA3441" s="5" t="s">
        <v>238</v>
      </c>
      <c r="IB3441" s="5" t="s">
        <v>238</v>
      </c>
      <c r="IC3441" s="5" t="s">
        <v>238</v>
      </c>
      <c r="ID3441" s="5" t="s">
        <v>238</v>
      </c>
    </row>
    <row r="3442" spans="1:238" x14ac:dyDescent="0.4">
      <c r="A3442" s="5">
        <v>9160</v>
      </c>
      <c r="B3442" s="5">
        <v>1</v>
      </c>
      <c r="C3442" s="5">
        <v>1</v>
      </c>
      <c r="D3442" s="5" t="s">
        <v>484</v>
      </c>
      <c r="E3442" s="5" t="s">
        <v>485</v>
      </c>
      <c r="F3442" s="5" t="s">
        <v>248</v>
      </c>
      <c r="G3442" s="5" t="s">
        <v>4484</v>
      </c>
      <c r="H3442" s="6" t="s">
        <v>4486</v>
      </c>
      <c r="I3442" s="8">
        <f>1</f>
        <v>1</v>
      </c>
      <c r="J3442" s="5" t="s">
        <v>499</v>
      </c>
      <c r="K3442" s="8">
        <f>1</f>
        <v>1</v>
      </c>
      <c r="L3442" s="6" t="s">
        <v>242</v>
      </c>
      <c r="M3442" s="5" t="s">
        <v>267</v>
      </c>
      <c r="N3442" s="5" t="s">
        <v>482</v>
      </c>
      <c r="O3442" s="5" t="s">
        <v>238</v>
      </c>
      <c r="P3442" s="5" t="s">
        <v>238</v>
      </c>
      <c r="Q3442" s="5" t="s">
        <v>239</v>
      </c>
      <c r="R3442" s="5" t="s">
        <v>270</v>
      </c>
      <c r="S3442" s="5" t="s">
        <v>238</v>
      </c>
      <c r="T3442" s="5" t="s">
        <v>238</v>
      </c>
      <c r="U3442" s="5" t="s">
        <v>238</v>
      </c>
      <c r="V3442" s="5" t="s">
        <v>238</v>
      </c>
      <c r="W3442" s="6" t="s">
        <v>238</v>
      </c>
      <c r="X3442" s="6" t="s">
        <v>238</v>
      </c>
      <c r="Y3442" s="5" t="s">
        <v>238</v>
      </c>
      <c r="Z3442" s="6" t="s">
        <v>238</v>
      </c>
      <c r="AA3442" s="6" t="s">
        <v>243</v>
      </c>
      <c r="AB3442" s="5" t="s">
        <v>4485</v>
      </c>
      <c r="AC3442" s="5" t="s">
        <v>244</v>
      </c>
      <c r="AD3442" s="5" t="s">
        <v>245</v>
      </c>
      <c r="AE3442" s="5" t="s">
        <v>238</v>
      </c>
      <c r="AF3442" s="5" t="s">
        <v>238</v>
      </c>
      <c r="AG3442" s="5" t="s">
        <v>238</v>
      </c>
      <c r="AH3442" s="5" t="s">
        <v>238</v>
      </c>
      <c r="AI3442" s="5" t="s">
        <v>238</v>
      </c>
      <c r="AJ3442" s="5" t="s">
        <v>238</v>
      </c>
      <c r="AK3442" s="5" t="s">
        <v>238</v>
      </c>
      <c r="AL3442" s="5" t="s">
        <v>238</v>
      </c>
      <c r="AM3442" s="6" t="s">
        <v>238</v>
      </c>
      <c r="AN3442" s="6" t="s">
        <v>238</v>
      </c>
      <c r="AO3442" s="6" t="s">
        <v>238</v>
      </c>
      <c r="AP3442" s="6" t="s">
        <v>238</v>
      </c>
      <c r="AQ3442" s="5" t="s">
        <v>238</v>
      </c>
      <c r="AR3442" s="5" t="s">
        <v>488</v>
      </c>
      <c r="AS3442" s="5" t="s">
        <v>488</v>
      </c>
      <c r="AT3442" s="5" t="s">
        <v>246</v>
      </c>
      <c r="AU3442" s="5" t="s">
        <v>489</v>
      </c>
      <c r="AV3442" s="5" t="s">
        <v>247</v>
      </c>
      <c r="AW3442" s="5" t="s">
        <v>238</v>
      </c>
      <c r="AX3442" s="5" t="s">
        <v>249</v>
      </c>
      <c r="AY3442" s="5" t="s">
        <v>490</v>
      </c>
      <c r="BA3442" s="5" t="s">
        <v>238</v>
      </c>
      <c r="BC3442" s="5" t="s">
        <v>491</v>
      </c>
      <c r="BD3442" s="6" t="s">
        <v>492</v>
      </c>
      <c r="BE3442" s="5" t="s">
        <v>493</v>
      </c>
      <c r="BF3442" s="5" t="s">
        <v>493</v>
      </c>
      <c r="BG3442" s="5" t="s">
        <v>238</v>
      </c>
      <c r="BH3442" s="8">
        <f>1</f>
        <v>1</v>
      </c>
      <c r="BI3442" s="8">
        <f>1</f>
        <v>1</v>
      </c>
      <c r="BJ3442" s="5" t="s">
        <v>253</v>
      </c>
      <c r="BK3442" s="5" t="s">
        <v>254</v>
      </c>
      <c r="BL3442" s="5" t="s">
        <v>238</v>
      </c>
      <c r="BM3442" s="5" t="s">
        <v>238</v>
      </c>
      <c r="BN3442" s="5" t="s">
        <v>238</v>
      </c>
      <c r="BO3442" s="5" t="s">
        <v>238</v>
      </c>
      <c r="BP3442" s="5" t="s">
        <v>238</v>
      </c>
      <c r="BQ3442" s="5" t="s">
        <v>238</v>
      </c>
      <c r="BR3442" s="5" t="s">
        <v>238</v>
      </c>
      <c r="BS3442" s="5" t="s">
        <v>238</v>
      </c>
      <c r="BT3442" s="6" t="s">
        <v>238</v>
      </c>
      <c r="BU3442" s="5" t="s">
        <v>238</v>
      </c>
      <c r="BV3442" s="5" t="s">
        <v>238</v>
      </c>
      <c r="BW3442" s="5" t="s">
        <v>238</v>
      </c>
      <c r="BX3442" s="5" t="s">
        <v>254</v>
      </c>
      <c r="BY3442" s="5" t="s">
        <v>238</v>
      </c>
      <c r="BZ3442" s="5" t="s">
        <v>238</v>
      </c>
      <c r="CA3442" s="5" t="s">
        <v>238</v>
      </c>
      <c r="CB3442" s="5" t="s">
        <v>238</v>
      </c>
      <c r="CC3442" s="5" t="s">
        <v>238</v>
      </c>
      <c r="CD3442" s="5" t="s">
        <v>273</v>
      </c>
      <c r="CE3442" s="5" t="s">
        <v>256</v>
      </c>
      <c r="CF3442" s="5" t="s">
        <v>238</v>
      </c>
      <c r="CH3442" s="5" t="s">
        <v>494</v>
      </c>
      <c r="CI3442" s="6" t="s">
        <v>257</v>
      </c>
      <c r="CJ3442" s="5" t="s">
        <v>495</v>
      </c>
      <c r="CK3442" s="5" t="s">
        <v>258</v>
      </c>
      <c r="CL3442" s="5" t="s">
        <v>496</v>
      </c>
      <c r="CM3442" s="5" t="s">
        <v>238</v>
      </c>
      <c r="CN3442" s="5">
        <v>0</v>
      </c>
      <c r="CO3442" s="5" t="s">
        <v>497</v>
      </c>
      <c r="CP3442" s="5" t="s">
        <v>260</v>
      </c>
      <c r="CQ3442" s="5" t="s">
        <v>260</v>
      </c>
      <c r="CR3442" s="5" t="s">
        <v>261</v>
      </c>
      <c r="CS3442" s="5" t="s">
        <v>498</v>
      </c>
      <c r="CT3442" s="7">
        <f>1</f>
        <v>1</v>
      </c>
      <c r="CU3442" s="8">
        <f>1</f>
        <v>1</v>
      </c>
      <c r="CV3442" s="8">
        <f>0</f>
        <v>0</v>
      </c>
      <c r="CX3442" s="8">
        <f>1</f>
        <v>1</v>
      </c>
      <c r="CY3442" s="8">
        <f>1</f>
        <v>1</v>
      </c>
      <c r="CZ3442" s="8" t="s">
        <v>238</v>
      </c>
      <c r="DA3442" s="5" t="s">
        <v>238</v>
      </c>
      <c r="DB3442" s="5" t="s">
        <v>238</v>
      </c>
      <c r="DC3442" s="5" t="s">
        <v>238</v>
      </c>
      <c r="DD3442" s="5" t="s">
        <v>238</v>
      </c>
      <c r="DE3442" s="8">
        <f>0</f>
        <v>0</v>
      </c>
      <c r="DG3442" s="5" t="s">
        <v>238</v>
      </c>
      <c r="DH3442" s="5" t="s">
        <v>238</v>
      </c>
      <c r="DI3442" s="5" t="s">
        <v>238</v>
      </c>
      <c r="DJ3442" s="5" t="s">
        <v>238</v>
      </c>
      <c r="DK3442" s="5" t="s">
        <v>238</v>
      </c>
      <c r="DL3442" s="5" t="s">
        <v>238</v>
      </c>
      <c r="DM3442" s="8" t="s">
        <v>238</v>
      </c>
      <c r="DN3442" s="5" t="s">
        <v>238</v>
      </c>
      <c r="DO3442" s="5" t="s">
        <v>238</v>
      </c>
      <c r="DP3442" s="5" t="s">
        <v>490</v>
      </c>
      <c r="DQ3442" s="5" t="s">
        <v>490</v>
      </c>
      <c r="DR3442" s="5" t="s">
        <v>238</v>
      </c>
      <c r="DS3442" s="5" t="s">
        <v>238</v>
      </c>
      <c r="DT3442" s="5" t="s">
        <v>500</v>
      </c>
      <c r="DU3442" s="5" t="s">
        <v>1318</v>
      </c>
      <c r="DV3442" s="5" t="s">
        <v>238</v>
      </c>
      <c r="DW3442" s="5" t="s">
        <v>238</v>
      </c>
      <c r="DX3442" s="5" t="s">
        <v>238</v>
      </c>
      <c r="DY3442" s="5" t="s">
        <v>238</v>
      </c>
      <c r="DZ3442" s="5" t="s">
        <v>238</v>
      </c>
      <c r="EA3442" s="5" t="s">
        <v>238</v>
      </c>
      <c r="EB3442" s="5" t="s">
        <v>238</v>
      </c>
      <c r="EC3442" s="5" t="s">
        <v>238</v>
      </c>
      <c r="ED3442" s="5" t="s">
        <v>238</v>
      </c>
      <c r="EE3442" s="5" t="s">
        <v>238</v>
      </c>
      <c r="EF3442" s="5" t="s">
        <v>238</v>
      </c>
      <c r="EG3442" s="5" t="s">
        <v>238</v>
      </c>
      <c r="EH3442" s="5" t="s">
        <v>238</v>
      </c>
      <c r="EI3442" s="5" t="s">
        <v>238</v>
      </c>
      <c r="EJ3442" s="5" t="s">
        <v>238</v>
      </c>
      <c r="EK3442" s="5" t="s">
        <v>238</v>
      </c>
      <c r="EL3442" s="5" t="s">
        <v>238</v>
      </c>
      <c r="EM3442" s="5" t="s">
        <v>238</v>
      </c>
      <c r="EN3442" s="5" t="s">
        <v>238</v>
      </c>
      <c r="EO3442" s="5" t="s">
        <v>238</v>
      </c>
      <c r="EP3442" s="5" t="s">
        <v>238</v>
      </c>
      <c r="EQ3442" s="5" t="s">
        <v>238</v>
      </c>
      <c r="ER3442" s="5" t="s">
        <v>238</v>
      </c>
      <c r="ES3442" s="5" t="s">
        <v>238</v>
      </c>
      <c r="ET3442" s="5" t="s">
        <v>238</v>
      </c>
      <c r="EU3442" s="5" t="s">
        <v>238</v>
      </c>
      <c r="EV3442" s="5" t="s">
        <v>238</v>
      </c>
      <c r="EW3442" s="5" t="s">
        <v>238</v>
      </c>
      <c r="EX3442" s="5" t="s">
        <v>238</v>
      </c>
      <c r="EY3442" s="5" t="s">
        <v>238</v>
      </c>
      <c r="EZ3442" s="5" t="s">
        <v>238</v>
      </c>
      <c r="FA3442" s="5" t="s">
        <v>238</v>
      </c>
      <c r="FB3442" s="5" t="s">
        <v>238</v>
      </c>
      <c r="FC3442" s="5" t="s">
        <v>238</v>
      </c>
      <c r="FD3442" s="5" t="s">
        <v>238</v>
      </c>
      <c r="FE3442" s="5" t="s">
        <v>238</v>
      </c>
      <c r="FF3442" s="5" t="s">
        <v>238</v>
      </c>
      <c r="FG3442" s="5" t="s">
        <v>238</v>
      </c>
      <c r="FH3442" s="5" t="s">
        <v>238</v>
      </c>
      <c r="FI3442" s="5" t="s">
        <v>238</v>
      </c>
      <c r="FJ3442" s="5" t="s">
        <v>238</v>
      </c>
      <c r="FK3442" s="5" t="s">
        <v>238</v>
      </c>
      <c r="FL3442" s="5" t="s">
        <v>238</v>
      </c>
      <c r="FM3442" s="5" t="s">
        <v>238</v>
      </c>
      <c r="FN3442" s="5" t="s">
        <v>238</v>
      </c>
      <c r="FO3442" s="5" t="s">
        <v>238</v>
      </c>
      <c r="FP3442" s="5" t="s">
        <v>238</v>
      </c>
      <c r="FQ3442" s="5" t="s">
        <v>238</v>
      </c>
      <c r="FR3442" s="5" t="s">
        <v>238</v>
      </c>
      <c r="FS3442" s="5" t="s">
        <v>238</v>
      </c>
      <c r="FT3442" s="5" t="s">
        <v>238</v>
      </c>
      <c r="FU3442" s="5" t="s">
        <v>238</v>
      </c>
      <c r="FV3442" s="5" t="s">
        <v>238</v>
      </c>
      <c r="FW3442" s="5" t="s">
        <v>238</v>
      </c>
      <c r="FX3442" s="5" t="s">
        <v>238</v>
      </c>
      <c r="FY3442" s="5" t="s">
        <v>238</v>
      </c>
      <c r="FZ3442" s="5" t="s">
        <v>238</v>
      </c>
      <c r="GA3442" s="5" t="s">
        <v>238</v>
      </c>
      <c r="GB3442" s="5" t="s">
        <v>238</v>
      </c>
      <c r="GC3442" s="5" t="s">
        <v>238</v>
      </c>
      <c r="GD3442" s="5" t="s">
        <v>238</v>
      </c>
      <c r="GE3442" s="5" t="s">
        <v>238</v>
      </c>
      <c r="GF3442" s="5" t="s">
        <v>238</v>
      </c>
      <c r="GG3442" s="5" t="s">
        <v>238</v>
      </c>
      <c r="GH3442" s="5" t="s">
        <v>238</v>
      </c>
      <c r="GI3442" s="5" t="s">
        <v>238</v>
      </c>
      <c r="GJ3442" s="5" t="s">
        <v>238</v>
      </c>
      <c r="GK3442" s="5" t="s">
        <v>238</v>
      </c>
      <c r="GL3442" s="5" t="s">
        <v>238</v>
      </c>
      <c r="GM3442" s="5" t="s">
        <v>238</v>
      </c>
      <c r="GN3442" s="5" t="s">
        <v>238</v>
      </c>
      <c r="GO3442" s="5" t="s">
        <v>238</v>
      </c>
      <c r="GP3442" s="5" t="s">
        <v>238</v>
      </c>
      <c r="GQ3442" s="5" t="s">
        <v>238</v>
      </c>
      <c r="GR3442" s="5" t="s">
        <v>238</v>
      </c>
      <c r="GS3442" s="5" t="s">
        <v>238</v>
      </c>
      <c r="GT3442" s="5" t="s">
        <v>238</v>
      </c>
      <c r="GU3442" s="5" t="s">
        <v>238</v>
      </c>
      <c r="GV3442" s="5" t="s">
        <v>238</v>
      </c>
      <c r="GW3442" s="5" t="s">
        <v>238</v>
      </c>
      <c r="GX3442" s="5" t="s">
        <v>238</v>
      </c>
      <c r="GY3442" s="5" t="s">
        <v>238</v>
      </c>
      <c r="GZ3442" s="5" t="s">
        <v>238</v>
      </c>
      <c r="HA3442" s="5" t="s">
        <v>238</v>
      </c>
      <c r="HB3442" s="5" t="s">
        <v>238</v>
      </c>
      <c r="HC3442" s="5" t="s">
        <v>238</v>
      </c>
      <c r="HD3442" s="5" t="s">
        <v>238</v>
      </c>
      <c r="HE3442" s="5" t="s">
        <v>238</v>
      </c>
      <c r="HF3442" s="5" t="s">
        <v>238</v>
      </c>
      <c r="HG3442" s="5" t="s">
        <v>238</v>
      </c>
      <c r="HH3442" s="5" t="s">
        <v>238</v>
      </c>
      <c r="HI3442" s="5" t="s">
        <v>238</v>
      </c>
      <c r="HJ3442" s="5" t="s">
        <v>238</v>
      </c>
      <c r="HK3442" s="5" t="s">
        <v>238</v>
      </c>
      <c r="HL3442" s="5" t="s">
        <v>238</v>
      </c>
      <c r="HM3442" s="5" t="s">
        <v>264</v>
      </c>
      <c r="HN3442" s="5" t="s">
        <v>238</v>
      </c>
      <c r="HO3442" s="5" t="s">
        <v>238</v>
      </c>
      <c r="HP3442" s="5" t="s">
        <v>238</v>
      </c>
      <c r="HQ3442" s="5" t="s">
        <v>238</v>
      </c>
      <c r="HR3442" s="5" t="s">
        <v>238</v>
      </c>
      <c r="HS3442" s="5" t="s">
        <v>238</v>
      </c>
      <c r="HT3442" s="5" t="s">
        <v>238</v>
      </c>
      <c r="HU3442" s="5" t="s">
        <v>238</v>
      </c>
      <c r="HV3442" s="5" t="s">
        <v>238</v>
      </c>
      <c r="HW3442" s="5" t="s">
        <v>238</v>
      </c>
      <c r="HX3442" s="5" t="s">
        <v>238</v>
      </c>
      <c r="HY3442" s="5" t="s">
        <v>238</v>
      </c>
      <c r="HZ3442" s="5" t="s">
        <v>238</v>
      </c>
      <c r="IA3442" s="5" t="s">
        <v>238</v>
      </c>
      <c r="IB3442" s="5" t="s">
        <v>238</v>
      </c>
      <c r="IC3442" s="5" t="s">
        <v>238</v>
      </c>
      <c r="ID3442" s="5" t="s">
        <v>238</v>
      </c>
    </row>
    <row r="3443" spans="1:238" x14ac:dyDescent="0.4">
      <c r="A3443" s="5">
        <v>9161</v>
      </c>
      <c r="B3443" s="5">
        <v>1</v>
      </c>
      <c r="C3443" s="5">
        <v>1</v>
      </c>
      <c r="D3443" s="5" t="s">
        <v>484</v>
      </c>
      <c r="E3443" s="5" t="s">
        <v>485</v>
      </c>
      <c r="F3443" s="5" t="s">
        <v>248</v>
      </c>
      <c r="G3443" s="5" t="s">
        <v>4793</v>
      </c>
      <c r="H3443" s="6" t="s">
        <v>4794</v>
      </c>
      <c r="I3443" s="8">
        <f>1</f>
        <v>1</v>
      </c>
      <c r="J3443" s="5" t="s">
        <v>499</v>
      </c>
      <c r="K3443" s="8">
        <f>1</f>
        <v>1</v>
      </c>
      <c r="L3443" s="6" t="s">
        <v>242</v>
      </c>
      <c r="M3443" s="5" t="s">
        <v>267</v>
      </c>
      <c r="N3443" s="5" t="s">
        <v>482</v>
      </c>
      <c r="O3443" s="5" t="s">
        <v>238</v>
      </c>
      <c r="P3443" s="5" t="s">
        <v>238</v>
      </c>
      <c r="Q3443" s="5" t="s">
        <v>239</v>
      </c>
      <c r="R3443" s="5" t="s">
        <v>270</v>
      </c>
      <c r="S3443" s="5" t="s">
        <v>238</v>
      </c>
      <c r="T3443" s="5" t="s">
        <v>238</v>
      </c>
      <c r="U3443" s="5" t="s">
        <v>238</v>
      </c>
      <c r="V3443" s="5" t="s">
        <v>238</v>
      </c>
      <c r="W3443" s="6" t="s">
        <v>238</v>
      </c>
      <c r="X3443" s="6" t="s">
        <v>238</v>
      </c>
      <c r="Y3443" s="5" t="s">
        <v>238</v>
      </c>
      <c r="Z3443" s="6" t="s">
        <v>238</v>
      </c>
      <c r="AA3443" s="6" t="s">
        <v>243</v>
      </c>
      <c r="AB3443" s="5" t="s">
        <v>486</v>
      </c>
      <c r="AC3443" s="5" t="s">
        <v>244</v>
      </c>
      <c r="AD3443" s="5" t="s">
        <v>245</v>
      </c>
      <c r="AE3443" s="5" t="s">
        <v>238</v>
      </c>
      <c r="AF3443" s="5" t="s">
        <v>238</v>
      </c>
      <c r="AG3443" s="5" t="s">
        <v>238</v>
      </c>
      <c r="AH3443" s="5" t="s">
        <v>238</v>
      </c>
      <c r="AI3443" s="5" t="s">
        <v>238</v>
      </c>
      <c r="AJ3443" s="5" t="s">
        <v>238</v>
      </c>
      <c r="AK3443" s="5" t="s">
        <v>238</v>
      </c>
      <c r="AL3443" s="5" t="s">
        <v>238</v>
      </c>
      <c r="AM3443" s="6" t="s">
        <v>238</v>
      </c>
      <c r="AN3443" s="6" t="s">
        <v>238</v>
      </c>
      <c r="AO3443" s="6" t="s">
        <v>238</v>
      </c>
      <c r="AP3443" s="6" t="s">
        <v>238</v>
      </c>
      <c r="AQ3443" s="5" t="s">
        <v>238</v>
      </c>
      <c r="AR3443" s="5" t="s">
        <v>488</v>
      </c>
      <c r="AS3443" s="5" t="s">
        <v>488</v>
      </c>
      <c r="AT3443" s="5" t="s">
        <v>246</v>
      </c>
      <c r="AU3443" s="5" t="s">
        <v>489</v>
      </c>
      <c r="AV3443" s="5" t="s">
        <v>247</v>
      </c>
      <c r="AW3443" s="5" t="s">
        <v>238</v>
      </c>
      <c r="AX3443" s="5" t="s">
        <v>249</v>
      </c>
      <c r="AY3443" s="5" t="s">
        <v>490</v>
      </c>
      <c r="BA3443" s="5" t="s">
        <v>238</v>
      </c>
      <c r="BC3443" s="5" t="s">
        <v>491</v>
      </c>
      <c r="BD3443" s="6" t="s">
        <v>492</v>
      </c>
      <c r="BE3443" s="5" t="s">
        <v>493</v>
      </c>
      <c r="BF3443" s="5" t="s">
        <v>493</v>
      </c>
      <c r="BG3443" s="5" t="s">
        <v>238</v>
      </c>
      <c r="BH3443" s="8">
        <f>1</f>
        <v>1</v>
      </c>
      <c r="BI3443" s="8">
        <f>1</f>
        <v>1</v>
      </c>
      <c r="BJ3443" s="5" t="s">
        <v>253</v>
      </c>
      <c r="BK3443" s="5" t="s">
        <v>254</v>
      </c>
      <c r="BL3443" s="5" t="s">
        <v>238</v>
      </c>
      <c r="BM3443" s="5" t="s">
        <v>238</v>
      </c>
      <c r="BN3443" s="5" t="s">
        <v>238</v>
      </c>
      <c r="BO3443" s="5" t="s">
        <v>238</v>
      </c>
      <c r="BP3443" s="5" t="s">
        <v>238</v>
      </c>
      <c r="BQ3443" s="5" t="s">
        <v>238</v>
      </c>
      <c r="BR3443" s="5" t="s">
        <v>238</v>
      </c>
      <c r="BS3443" s="5" t="s">
        <v>238</v>
      </c>
      <c r="BT3443" s="6" t="s">
        <v>238</v>
      </c>
      <c r="BU3443" s="5" t="s">
        <v>238</v>
      </c>
      <c r="BV3443" s="5" t="s">
        <v>238</v>
      </c>
      <c r="BW3443" s="5" t="s">
        <v>238</v>
      </c>
      <c r="BX3443" s="5" t="s">
        <v>254</v>
      </c>
      <c r="BY3443" s="5" t="s">
        <v>238</v>
      </c>
      <c r="BZ3443" s="5" t="s">
        <v>238</v>
      </c>
      <c r="CA3443" s="5" t="s">
        <v>238</v>
      </c>
      <c r="CB3443" s="5" t="s">
        <v>238</v>
      </c>
      <c r="CC3443" s="5" t="s">
        <v>238</v>
      </c>
      <c r="CD3443" s="5" t="s">
        <v>273</v>
      </c>
      <c r="CE3443" s="5" t="s">
        <v>256</v>
      </c>
      <c r="CF3443" s="5" t="s">
        <v>238</v>
      </c>
      <c r="CH3443" s="5" t="s">
        <v>494</v>
      </c>
      <c r="CI3443" s="6" t="s">
        <v>257</v>
      </c>
      <c r="CJ3443" s="5" t="s">
        <v>495</v>
      </c>
      <c r="CK3443" s="5" t="s">
        <v>258</v>
      </c>
      <c r="CL3443" s="5" t="s">
        <v>496</v>
      </c>
      <c r="CM3443" s="5" t="s">
        <v>238</v>
      </c>
      <c r="CN3443" s="5">
        <v>0</v>
      </c>
      <c r="CO3443" s="5" t="s">
        <v>497</v>
      </c>
      <c r="CP3443" s="5" t="s">
        <v>260</v>
      </c>
      <c r="CQ3443" s="5" t="s">
        <v>260</v>
      </c>
      <c r="CR3443" s="5" t="s">
        <v>261</v>
      </c>
      <c r="CS3443" s="5" t="s">
        <v>498</v>
      </c>
      <c r="CT3443" s="7">
        <f>1</f>
        <v>1</v>
      </c>
      <c r="CU3443" s="8">
        <f>1</f>
        <v>1</v>
      </c>
      <c r="CV3443" s="8">
        <f>0</f>
        <v>0</v>
      </c>
      <c r="CX3443" s="8">
        <f>1</f>
        <v>1</v>
      </c>
      <c r="CY3443" s="8">
        <f>1</f>
        <v>1</v>
      </c>
      <c r="CZ3443" s="8" t="s">
        <v>238</v>
      </c>
      <c r="DA3443" s="5" t="s">
        <v>238</v>
      </c>
      <c r="DB3443" s="5" t="s">
        <v>238</v>
      </c>
      <c r="DC3443" s="5" t="s">
        <v>238</v>
      </c>
      <c r="DD3443" s="5" t="s">
        <v>238</v>
      </c>
      <c r="DE3443" s="8">
        <f>0</f>
        <v>0</v>
      </c>
      <c r="DG3443" s="5" t="s">
        <v>238</v>
      </c>
      <c r="DH3443" s="5" t="s">
        <v>238</v>
      </c>
      <c r="DI3443" s="5" t="s">
        <v>238</v>
      </c>
      <c r="DJ3443" s="5" t="s">
        <v>238</v>
      </c>
      <c r="DK3443" s="5" t="s">
        <v>238</v>
      </c>
      <c r="DL3443" s="5" t="s">
        <v>238</v>
      </c>
      <c r="DM3443" s="8" t="s">
        <v>238</v>
      </c>
      <c r="DN3443" s="5" t="s">
        <v>238</v>
      </c>
      <c r="DO3443" s="5" t="s">
        <v>238</v>
      </c>
      <c r="DP3443" s="5" t="s">
        <v>490</v>
      </c>
      <c r="DQ3443" s="5" t="s">
        <v>490</v>
      </c>
      <c r="DR3443" s="5" t="s">
        <v>238</v>
      </c>
      <c r="DS3443" s="5" t="s">
        <v>238</v>
      </c>
      <c r="DT3443" s="5" t="s">
        <v>500</v>
      </c>
      <c r="DU3443" s="5" t="s">
        <v>1078</v>
      </c>
      <c r="DV3443" s="5" t="s">
        <v>238</v>
      </c>
      <c r="DW3443" s="5" t="s">
        <v>238</v>
      </c>
      <c r="DX3443" s="5" t="s">
        <v>238</v>
      </c>
      <c r="DY3443" s="5" t="s">
        <v>238</v>
      </c>
      <c r="DZ3443" s="5" t="s">
        <v>238</v>
      </c>
      <c r="EA3443" s="5" t="s">
        <v>238</v>
      </c>
      <c r="EB3443" s="5" t="s">
        <v>238</v>
      </c>
      <c r="EC3443" s="5" t="s">
        <v>238</v>
      </c>
      <c r="ED3443" s="5" t="s">
        <v>238</v>
      </c>
      <c r="EE3443" s="5" t="s">
        <v>238</v>
      </c>
      <c r="EF3443" s="5" t="s">
        <v>238</v>
      </c>
      <c r="EG3443" s="5" t="s">
        <v>238</v>
      </c>
      <c r="EH3443" s="5" t="s">
        <v>238</v>
      </c>
      <c r="EI3443" s="5" t="s">
        <v>238</v>
      </c>
      <c r="EJ3443" s="5" t="s">
        <v>238</v>
      </c>
      <c r="EK3443" s="5" t="s">
        <v>238</v>
      </c>
      <c r="EL3443" s="5" t="s">
        <v>238</v>
      </c>
      <c r="EM3443" s="5" t="s">
        <v>238</v>
      </c>
      <c r="EN3443" s="5" t="s">
        <v>238</v>
      </c>
      <c r="EO3443" s="5" t="s">
        <v>238</v>
      </c>
      <c r="EP3443" s="5" t="s">
        <v>238</v>
      </c>
      <c r="EQ3443" s="5" t="s">
        <v>238</v>
      </c>
      <c r="ER3443" s="5" t="s">
        <v>238</v>
      </c>
      <c r="ES3443" s="5" t="s">
        <v>238</v>
      </c>
      <c r="ET3443" s="5" t="s">
        <v>238</v>
      </c>
      <c r="EU3443" s="5" t="s">
        <v>238</v>
      </c>
      <c r="EV3443" s="5" t="s">
        <v>238</v>
      </c>
      <c r="EW3443" s="5" t="s">
        <v>238</v>
      </c>
      <c r="EX3443" s="5" t="s">
        <v>238</v>
      </c>
      <c r="EY3443" s="5" t="s">
        <v>238</v>
      </c>
      <c r="EZ3443" s="5" t="s">
        <v>238</v>
      </c>
      <c r="FA3443" s="5" t="s">
        <v>238</v>
      </c>
      <c r="FB3443" s="5" t="s">
        <v>238</v>
      </c>
      <c r="FC3443" s="5" t="s">
        <v>238</v>
      </c>
      <c r="FD3443" s="5" t="s">
        <v>238</v>
      </c>
      <c r="FE3443" s="5" t="s">
        <v>238</v>
      </c>
      <c r="FF3443" s="5" t="s">
        <v>238</v>
      </c>
      <c r="FG3443" s="5" t="s">
        <v>238</v>
      </c>
      <c r="FH3443" s="5" t="s">
        <v>238</v>
      </c>
      <c r="FI3443" s="5" t="s">
        <v>238</v>
      </c>
      <c r="FJ3443" s="5" t="s">
        <v>238</v>
      </c>
      <c r="FK3443" s="5" t="s">
        <v>238</v>
      </c>
      <c r="FL3443" s="5" t="s">
        <v>238</v>
      </c>
      <c r="FM3443" s="5" t="s">
        <v>238</v>
      </c>
      <c r="FN3443" s="5" t="s">
        <v>238</v>
      </c>
      <c r="FO3443" s="5" t="s">
        <v>238</v>
      </c>
      <c r="FP3443" s="5" t="s">
        <v>238</v>
      </c>
      <c r="FQ3443" s="5" t="s">
        <v>238</v>
      </c>
      <c r="FR3443" s="5" t="s">
        <v>238</v>
      </c>
      <c r="FS3443" s="5" t="s">
        <v>238</v>
      </c>
      <c r="FT3443" s="5" t="s">
        <v>238</v>
      </c>
      <c r="FU3443" s="5" t="s">
        <v>238</v>
      </c>
      <c r="FV3443" s="5" t="s">
        <v>238</v>
      </c>
      <c r="FW3443" s="5" t="s">
        <v>238</v>
      </c>
      <c r="FX3443" s="5" t="s">
        <v>238</v>
      </c>
      <c r="FY3443" s="5" t="s">
        <v>238</v>
      </c>
      <c r="FZ3443" s="5" t="s">
        <v>238</v>
      </c>
      <c r="GA3443" s="5" t="s">
        <v>238</v>
      </c>
      <c r="GB3443" s="5" t="s">
        <v>238</v>
      </c>
      <c r="GC3443" s="5" t="s">
        <v>238</v>
      </c>
      <c r="GD3443" s="5" t="s">
        <v>238</v>
      </c>
      <c r="GE3443" s="5" t="s">
        <v>238</v>
      </c>
      <c r="GF3443" s="5" t="s">
        <v>238</v>
      </c>
      <c r="GG3443" s="5" t="s">
        <v>238</v>
      </c>
      <c r="GH3443" s="5" t="s">
        <v>238</v>
      </c>
      <c r="GI3443" s="5" t="s">
        <v>238</v>
      </c>
      <c r="GJ3443" s="5" t="s">
        <v>238</v>
      </c>
      <c r="GK3443" s="5" t="s">
        <v>238</v>
      </c>
      <c r="GL3443" s="5" t="s">
        <v>238</v>
      </c>
      <c r="GM3443" s="5" t="s">
        <v>238</v>
      </c>
      <c r="GN3443" s="5" t="s">
        <v>238</v>
      </c>
      <c r="GO3443" s="5" t="s">
        <v>238</v>
      </c>
      <c r="GP3443" s="5" t="s">
        <v>238</v>
      </c>
      <c r="GQ3443" s="5" t="s">
        <v>238</v>
      </c>
      <c r="GR3443" s="5" t="s">
        <v>238</v>
      </c>
      <c r="GS3443" s="5" t="s">
        <v>238</v>
      </c>
      <c r="GT3443" s="5" t="s">
        <v>238</v>
      </c>
      <c r="GU3443" s="5" t="s">
        <v>238</v>
      </c>
      <c r="GV3443" s="5" t="s">
        <v>238</v>
      </c>
      <c r="GW3443" s="5" t="s">
        <v>238</v>
      </c>
      <c r="GX3443" s="5" t="s">
        <v>238</v>
      </c>
      <c r="GY3443" s="5" t="s">
        <v>238</v>
      </c>
      <c r="GZ3443" s="5" t="s">
        <v>238</v>
      </c>
      <c r="HA3443" s="5" t="s">
        <v>238</v>
      </c>
      <c r="HB3443" s="5" t="s">
        <v>238</v>
      </c>
      <c r="HC3443" s="5" t="s">
        <v>238</v>
      </c>
      <c r="HD3443" s="5" t="s">
        <v>238</v>
      </c>
      <c r="HE3443" s="5" t="s">
        <v>238</v>
      </c>
      <c r="HF3443" s="5" t="s">
        <v>238</v>
      </c>
      <c r="HG3443" s="5" t="s">
        <v>238</v>
      </c>
      <c r="HH3443" s="5" t="s">
        <v>238</v>
      </c>
      <c r="HI3443" s="5" t="s">
        <v>238</v>
      </c>
      <c r="HJ3443" s="5" t="s">
        <v>238</v>
      </c>
      <c r="HK3443" s="5" t="s">
        <v>238</v>
      </c>
      <c r="HL3443" s="5" t="s">
        <v>238</v>
      </c>
      <c r="HM3443" s="5" t="s">
        <v>264</v>
      </c>
      <c r="HN3443" s="5" t="s">
        <v>238</v>
      </c>
      <c r="HO3443" s="5" t="s">
        <v>238</v>
      </c>
      <c r="HP3443" s="5" t="s">
        <v>238</v>
      </c>
      <c r="HQ3443" s="5" t="s">
        <v>238</v>
      </c>
      <c r="HR3443" s="5" t="s">
        <v>238</v>
      </c>
      <c r="HS3443" s="5" t="s">
        <v>238</v>
      </c>
      <c r="HT3443" s="5" t="s">
        <v>238</v>
      </c>
      <c r="HU3443" s="5" t="s">
        <v>238</v>
      </c>
      <c r="HV3443" s="5" t="s">
        <v>238</v>
      </c>
      <c r="HW3443" s="5" t="s">
        <v>238</v>
      </c>
      <c r="HX3443" s="5" t="s">
        <v>238</v>
      </c>
      <c r="HY3443" s="5" t="s">
        <v>238</v>
      </c>
      <c r="HZ3443" s="5" t="s">
        <v>238</v>
      </c>
      <c r="IA3443" s="5" t="s">
        <v>238</v>
      </c>
      <c r="IB3443" s="5" t="s">
        <v>238</v>
      </c>
      <c r="IC3443" s="5" t="s">
        <v>238</v>
      </c>
      <c r="ID3443" s="5" t="s">
        <v>238</v>
      </c>
    </row>
    <row r="3444" spans="1:238" x14ac:dyDescent="0.4">
      <c r="A3444" s="5">
        <v>9162</v>
      </c>
      <c r="B3444" s="5">
        <v>1</v>
      </c>
      <c r="C3444" s="5">
        <v>1</v>
      </c>
      <c r="D3444" s="5" t="s">
        <v>484</v>
      </c>
      <c r="E3444" s="5" t="s">
        <v>485</v>
      </c>
      <c r="F3444" s="5" t="s">
        <v>248</v>
      </c>
      <c r="G3444" s="5" t="s">
        <v>4693</v>
      </c>
      <c r="H3444" s="6" t="s">
        <v>4693</v>
      </c>
      <c r="I3444" s="8">
        <f>1</f>
        <v>1</v>
      </c>
      <c r="J3444" s="5" t="s">
        <v>499</v>
      </c>
      <c r="K3444" s="8">
        <f>1</f>
        <v>1</v>
      </c>
      <c r="L3444" s="6" t="s">
        <v>242</v>
      </c>
      <c r="M3444" s="5" t="s">
        <v>267</v>
      </c>
      <c r="N3444" s="5" t="s">
        <v>482</v>
      </c>
      <c r="O3444" s="5" t="s">
        <v>238</v>
      </c>
      <c r="P3444" s="5" t="s">
        <v>238</v>
      </c>
      <c r="Q3444" s="5" t="s">
        <v>239</v>
      </c>
      <c r="R3444" s="5" t="s">
        <v>270</v>
      </c>
      <c r="S3444" s="5" t="s">
        <v>238</v>
      </c>
      <c r="T3444" s="5" t="s">
        <v>238</v>
      </c>
      <c r="U3444" s="5" t="s">
        <v>238</v>
      </c>
      <c r="V3444" s="5" t="s">
        <v>238</v>
      </c>
      <c r="W3444" s="6" t="s">
        <v>238</v>
      </c>
      <c r="X3444" s="6" t="s">
        <v>238</v>
      </c>
      <c r="Y3444" s="5" t="s">
        <v>238</v>
      </c>
      <c r="Z3444" s="6" t="s">
        <v>238</v>
      </c>
      <c r="AA3444" s="6" t="s">
        <v>243</v>
      </c>
      <c r="AB3444" s="5" t="s">
        <v>4446</v>
      </c>
      <c r="AC3444" s="5" t="s">
        <v>244</v>
      </c>
      <c r="AD3444" s="5" t="s">
        <v>245</v>
      </c>
      <c r="AE3444" s="5" t="s">
        <v>238</v>
      </c>
      <c r="AF3444" s="5" t="s">
        <v>238</v>
      </c>
      <c r="AG3444" s="5" t="s">
        <v>238</v>
      </c>
      <c r="AH3444" s="5" t="s">
        <v>238</v>
      </c>
      <c r="AI3444" s="5" t="s">
        <v>238</v>
      </c>
      <c r="AJ3444" s="5" t="s">
        <v>238</v>
      </c>
      <c r="AK3444" s="5" t="s">
        <v>238</v>
      </c>
      <c r="AL3444" s="5" t="s">
        <v>238</v>
      </c>
      <c r="AM3444" s="6" t="s">
        <v>238</v>
      </c>
      <c r="AN3444" s="6" t="s">
        <v>238</v>
      </c>
      <c r="AO3444" s="6" t="s">
        <v>238</v>
      </c>
      <c r="AP3444" s="6" t="s">
        <v>238</v>
      </c>
      <c r="AQ3444" s="5" t="s">
        <v>238</v>
      </c>
      <c r="AR3444" s="5" t="s">
        <v>488</v>
      </c>
      <c r="AS3444" s="5" t="s">
        <v>488</v>
      </c>
      <c r="AT3444" s="5" t="s">
        <v>246</v>
      </c>
      <c r="AU3444" s="5" t="s">
        <v>489</v>
      </c>
      <c r="AV3444" s="5" t="s">
        <v>247</v>
      </c>
      <c r="AW3444" s="5" t="s">
        <v>238</v>
      </c>
      <c r="AX3444" s="5" t="s">
        <v>249</v>
      </c>
      <c r="AY3444" s="5" t="s">
        <v>490</v>
      </c>
      <c r="BA3444" s="5" t="s">
        <v>238</v>
      </c>
      <c r="BC3444" s="5" t="s">
        <v>491</v>
      </c>
      <c r="BD3444" s="6" t="s">
        <v>492</v>
      </c>
      <c r="BE3444" s="5" t="s">
        <v>493</v>
      </c>
      <c r="BF3444" s="5" t="s">
        <v>493</v>
      </c>
      <c r="BG3444" s="5" t="s">
        <v>238</v>
      </c>
      <c r="BH3444" s="8">
        <f>1</f>
        <v>1</v>
      </c>
      <c r="BI3444" s="8">
        <f>1</f>
        <v>1</v>
      </c>
      <c r="BJ3444" s="5" t="s">
        <v>253</v>
      </c>
      <c r="BK3444" s="5" t="s">
        <v>254</v>
      </c>
      <c r="BL3444" s="5" t="s">
        <v>238</v>
      </c>
      <c r="BM3444" s="5" t="s">
        <v>238</v>
      </c>
      <c r="BN3444" s="5" t="s">
        <v>238</v>
      </c>
      <c r="BO3444" s="5" t="s">
        <v>238</v>
      </c>
      <c r="BP3444" s="5" t="s">
        <v>238</v>
      </c>
      <c r="BQ3444" s="5" t="s">
        <v>238</v>
      </c>
      <c r="BR3444" s="5" t="s">
        <v>238</v>
      </c>
      <c r="BS3444" s="5" t="s">
        <v>238</v>
      </c>
      <c r="BT3444" s="6" t="s">
        <v>238</v>
      </c>
      <c r="BU3444" s="5" t="s">
        <v>238</v>
      </c>
      <c r="BV3444" s="5" t="s">
        <v>238</v>
      </c>
      <c r="BW3444" s="5" t="s">
        <v>238</v>
      </c>
      <c r="BX3444" s="5" t="s">
        <v>254</v>
      </c>
      <c r="BY3444" s="5" t="s">
        <v>238</v>
      </c>
      <c r="BZ3444" s="5" t="s">
        <v>238</v>
      </c>
      <c r="CA3444" s="5" t="s">
        <v>238</v>
      </c>
      <c r="CB3444" s="5" t="s">
        <v>238</v>
      </c>
      <c r="CC3444" s="5" t="s">
        <v>238</v>
      </c>
      <c r="CD3444" s="5" t="s">
        <v>273</v>
      </c>
      <c r="CE3444" s="5" t="s">
        <v>256</v>
      </c>
      <c r="CF3444" s="5" t="s">
        <v>238</v>
      </c>
      <c r="CH3444" s="5" t="s">
        <v>494</v>
      </c>
      <c r="CI3444" s="6" t="s">
        <v>257</v>
      </c>
      <c r="CJ3444" s="5" t="s">
        <v>495</v>
      </c>
      <c r="CK3444" s="5" t="s">
        <v>258</v>
      </c>
      <c r="CL3444" s="5" t="s">
        <v>496</v>
      </c>
      <c r="CM3444" s="5" t="s">
        <v>238</v>
      </c>
      <c r="CN3444" s="5">
        <v>0</v>
      </c>
      <c r="CO3444" s="5" t="s">
        <v>497</v>
      </c>
      <c r="CP3444" s="5" t="s">
        <v>260</v>
      </c>
      <c r="CQ3444" s="5" t="s">
        <v>260</v>
      </c>
      <c r="CR3444" s="5" t="s">
        <v>261</v>
      </c>
      <c r="CS3444" s="5" t="s">
        <v>498</v>
      </c>
      <c r="CT3444" s="7">
        <f>1</f>
        <v>1</v>
      </c>
      <c r="CU3444" s="8">
        <f>1</f>
        <v>1</v>
      </c>
      <c r="CV3444" s="8">
        <f>0</f>
        <v>0</v>
      </c>
      <c r="CX3444" s="8">
        <f>1</f>
        <v>1</v>
      </c>
      <c r="CY3444" s="8">
        <f>1</f>
        <v>1</v>
      </c>
      <c r="CZ3444" s="8" t="s">
        <v>238</v>
      </c>
      <c r="DA3444" s="5" t="s">
        <v>238</v>
      </c>
      <c r="DB3444" s="5" t="s">
        <v>238</v>
      </c>
      <c r="DC3444" s="5" t="s">
        <v>238</v>
      </c>
      <c r="DD3444" s="5" t="s">
        <v>238</v>
      </c>
      <c r="DE3444" s="8">
        <f>0</f>
        <v>0</v>
      </c>
      <c r="DG3444" s="5" t="s">
        <v>238</v>
      </c>
      <c r="DH3444" s="5" t="s">
        <v>238</v>
      </c>
      <c r="DI3444" s="5" t="s">
        <v>238</v>
      </c>
      <c r="DJ3444" s="5" t="s">
        <v>238</v>
      </c>
      <c r="DK3444" s="5" t="s">
        <v>238</v>
      </c>
      <c r="DL3444" s="5" t="s">
        <v>238</v>
      </c>
      <c r="DM3444" s="8" t="s">
        <v>238</v>
      </c>
      <c r="DN3444" s="5" t="s">
        <v>238</v>
      </c>
      <c r="DO3444" s="5" t="s">
        <v>238</v>
      </c>
      <c r="DP3444" s="5" t="s">
        <v>490</v>
      </c>
      <c r="DQ3444" s="5" t="s">
        <v>490</v>
      </c>
      <c r="DR3444" s="5" t="s">
        <v>238</v>
      </c>
      <c r="DS3444" s="5" t="s">
        <v>238</v>
      </c>
      <c r="DT3444" s="5" t="s">
        <v>500</v>
      </c>
      <c r="DU3444" s="5" t="s">
        <v>3129</v>
      </c>
      <c r="DV3444" s="5" t="s">
        <v>238</v>
      </c>
      <c r="DW3444" s="5" t="s">
        <v>238</v>
      </c>
      <c r="DX3444" s="5" t="s">
        <v>238</v>
      </c>
      <c r="DY3444" s="5" t="s">
        <v>238</v>
      </c>
      <c r="DZ3444" s="5" t="s">
        <v>238</v>
      </c>
      <c r="EA3444" s="5" t="s">
        <v>238</v>
      </c>
      <c r="EB3444" s="5" t="s">
        <v>238</v>
      </c>
      <c r="EC3444" s="5" t="s">
        <v>238</v>
      </c>
      <c r="ED3444" s="5" t="s">
        <v>238</v>
      </c>
      <c r="EE3444" s="5" t="s">
        <v>238</v>
      </c>
      <c r="EF3444" s="5" t="s">
        <v>238</v>
      </c>
      <c r="EG3444" s="5" t="s">
        <v>238</v>
      </c>
      <c r="EH3444" s="5" t="s">
        <v>238</v>
      </c>
      <c r="EI3444" s="5" t="s">
        <v>238</v>
      </c>
      <c r="EJ3444" s="5" t="s">
        <v>238</v>
      </c>
      <c r="EK3444" s="5" t="s">
        <v>238</v>
      </c>
      <c r="EL3444" s="5" t="s">
        <v>238</v>
      </c>
      <c r="EM3444" s="5" t="s">
        <v>238</v>
      </c>
      <c r="EN3444" s="5" t="s">
        <v>238</v>
      </c>
      <c r="EO3444" s="5" t="s">
        <v>238</v>
      </c>
      <c r="EP3444" s="5" t="s">
        <v>238</v>
      </c>
      <c r="EQ3444" s="5" t="s">
        <v>238</v>
      </c>
      <c r="ER3444" s="5" t="s">
        <v>238</v>
      </c>
      <c r="ES3444" s="5" t="s">
        <v>238</v>
      </c>
      <c r="ET3444" s="5" t="s">
        <v>238</v>
      </c>
      <c r="EU3444" s="5" t="s">
        <v>238</v>
      </c>
      <c r="EV3444" s="5" t="s">
        <v>238</v>
      </c>
      <c r="EW3444" s="5" t="s">
        <v>238</v>
      </c>
      <c r="EX3444" s="5" t="s">
        <v>238</v>
      </c>
      <c r="EY3444" s="5" t="s">
        <v>238</v>
      </c>
      <c r="EZ3444" s="5" t="s">
        <v>238</v>
      </c>
      <c r="FA3444" s="5" t="s">
        <v>238</v>
      </c>
      <c r="FB3444" s="5" t="s">
        <v>238</v>
      </c>
      <c r="FC3444" s="5" t="s">
        <v>238</v>
      </c>
      <c r="FD3444" s="5" t="s">
        <v>238</v>
      </c>
      <c r="FE3444" s="5" t="s">
        <v>238</v>
      </c>
      <c r="FF3444" s="5" t="s">
        <v>238</v>
      </c>
      <c r="FG3444" s="5" t="s">
        <v>238</v>
      </c>
      <c r="FH3444" s="5" t="s">
        <v>238</v>
      </c>
      <c r="FI3444" s="5" t="s">
        <v>238</v>
      </c>
      <c r="FJ3444" s="5" t="s">
        <v>238</v>
      </c>
      <c r="FK3444" s="5" t="s">
        <v>238</v>
      </c>
      <c r="FL3444" s="5" t="s">
        <v>238</v>
      </c>
      <c r="FM3444" s="5" t="s">
        <v>238</v>
      </c>
      <c r="FN3444" s="5" t="s">
        <v>238</v>
      </c>
      <c r="FO3444" s="5" t="s">
        <v>238</v>
      </c>
      <c r="FP3444" s="5" t="s">
        <v>238</v>
      </c>
      <c r="FQ3444" s="5" t="s">
        <v>238</v>
      </c>
      <c r="FR3444" s="5" t="s">
        <v>238</v>
      </c>
      <c r="FS3444" s="5" t="s">
        <v>238</v>
      </c>
      <c r="FT3444" s="5" t="s">
        <v>238</v>
      </c>
      <c r="FU3444" s="5" t="s">
        <v>238</v>
      </c>
      <c r="FV3444" s="5" t="s">
        <v>238</v>
      </c>
      <c r="FW3444" s="5" t="s">
        <v>238</v>
      </c>
      <c r="FX3444" s="5" t="s">
        <v>238</v>
      </c>
      <c r="FY3444" s="5" t="s">
        <v>238</v>
      </c>
      <c r="FZ3444" s="5" t="s">
        <v>238</v>
      </c>
      <c r="GA3444" s="5" t="s">
        <v>238</v>
      </c>
      <c r="GB3444" s="5" t="s">
        <v>238</v>
      </c>
      <c r="GC3444" s="5" t="s">
        <v>238</v>
      </c>
      <c r="GD3444" s="5" t="s">
        <v>238</v>
      </c>
      <c r="GE3444" s="5" t="s">
        <v>238</v>
      </c>
      <c r="GF3444" s="5" t="s">
        <v>238</v>
      </c>
      <c r="GG3444" s="5" t="s">
        <v>238</v>
      </c>
      <c r="GH3444" s="5" t="s">
        <v>238</v>
      </c>
      <c r="GI3444" s="5" t="s">
        <v>238</v>
      </c>
      <c r="GJ3444" s="5" t="s">
        <v>238</v>
      </c>
      <c r="GK3444" s="5" t="s">
        <v>238</v>
      </c>
      <c r="GL3444" s="5" t="s">
        <v>238</v>
      </c>
      <c r="GM3444" s="5" t="s">
        <v>238</v>
      </c>
      <c r="GN3444" s="5" t="s">
        <v>238</v>
      </c>
      <c r="GO3444" s="5" t="s">
        <v>238</v>
      </c>
      <c r="GP3444" s="5" t="s">
        <v>238</v>
      </c>
      <c r="GQ3444" s="5" t="s">
        <v>238</v>
      </c>
      <c r="GR3444" s="5" t="s">
        <v>238</v>
      </c>
      <c r="GS3444" s="5" t="s">
        <v>238</v>
      </c>
      <c r="GT3444" s="5" t="s">
        <v>238</v>
      </c>
      <c r="GU3444" s="5" t="s">
        <v>238</v>
      </c>
      <c r="GV3444" s="5" t="s">
        <v>238</v>
      </c>
      <c r="GW3444" s="5" t="s">
        <v>238</v>
      </c>
      <c r="GX3444" s="5" t="s">
        <v>238</v>
      </c>
      <c r="GY3444" s="5" t="s">
        <v>238</v>
      </c>
      <c r="GZ3444" s="5" t="s">
        <v>238</v>
      </c>
      <c r="HA3444" s="5" t="s">
        <v>238</v>
      </c>
      <c r="HB3444" s="5" t="s">
        <v>238</v>
      </c>
      <c r="HC3444" s="5" t="s">
        <v>238</v>
      </c>
      <c r="HD3444" s="5" t="s">
        <v>238</v>
      </c>
      <c r="HE3444" s="5" t="s">
        <v>238</v>
      </c>
      <c r="HF3444" s="5" t="s">
        <v>238</v>
      </c>
      <c r="HG3444" s="5" t="s">
        <v>238</v>
      </c>
      <c r="HH3444" s="5" t="s">
        <v>238</v>
      </c>
      <c r="HI3444" s="5" t="s">
        <v>238</v>
      </c>
      <c r="HJ3444" s="5" t="s">
        <v>238</v>
      </c>
      <c r="HK3444" s="5" t="s">
        <v>238</v>
      </c>
      <c r="HL3444" s="5" t="s">
        <v>238</v>
      </c>
      <c r="HM3444" s="5" t="s">
        <v>264</v>
      </c>
      <c r="HN3444" s="5" t="s">
        <v>238</v>
      </c>
      <c r="HO3444" s="5" t="s">
        <v>238</v>
      </c>
      <c r="HP3444" s="5" t="s">
        <v>238</v>
      </c>
      <c r="HQ3444" s="5" t="s">
        <v>238</v>
      </c>
      <c r="HR3444" s="5" t="s">
        <v>238</v>
      </c>
      <c r="HS3444" s="5" t="s">
        <v>238</v>
      </c>
      <c r="HT3444" s="5" t="s">
        <v>238</v>
      </c>
      <c r="HU3444" s="5" t="s">
        <v>238</v>
      </c>
      <c r="HV3444" s="5" t="s">
        <v>238</v>
      </c>
      <c r="HW3444" s="5" t="s">
        <v>238</v>
      </c>
      <c r="HX3444" s="5" t="s">
        <v>238</v>
      </c>
      <c r="HY3444" s="5" t="s">
        <v>238</v>
      </c>
      <c r="HZ3444" s="5" t="s">
        <v>238</v>
      </c>
      <c r="IA3444" s="5" t="s">
        <v>238</v>
      </c>
      <c r="IB3444" s="5" t="s">
        <v>238</v>
      </c>
      <c r="IC3444" s="5" t="s">
        <v>238</v>
      </c>
      <c r="ID3444" s="5" t="s">
        <v>238</v>
      </c>
    </row>
    <row r="3445" spans="1:238" x14ac:dyDescent="0.4">
      <c r="A3445" s="5">
        <v>9163</v>
      </c>
      <c r="B3445" s="5">
        <v>1</v>
      </c>
      <c r="C3445" s="5">
        <v>1</v>
      </c>
      <c r="D3445" s="5" t="s">
        <v>484</v>
      </c>
      <c r="E3445" s="5" t="s">
        <v>485</v>
      </c>
      <c r="F3445" s="5" t="s">
        <v>248</v>
      </c>
      <c r="G3445" s="5" t="s">
        <v>5360</v>
      </c>
      <c r="H3445" s="6" t="s">
        <v>5360</v>
      </c>
      <c r="I3445" s="8">
        <f>1</f>
        <v>1</v>
      </c>
      <c r="J3445" s="5" t="s">
        <v>499</v>
      </c>
      <c r="K3445" s="8">
        <f>1</f>
        <v>1</v>
      </c>
      <c r="L3445" s="6" t="s">
        <v>242</v>
      </c>
      <c r="M3445" s="5" t="s">
        <v>267</v>
      </c>
      <c r="N3445" s="5" t="s">
        <v>482</v>
      </c>
      <c r="O3445" s="5" t="s">
        <v>238</v>
      </c>
      <c r="P3445" s="5" t="s">
        <v>238</v>
      </c>
      <c r="Q3445" s="5" t="s">
        <v>239</v>
      </c>
      <c r="R3445" s="5" t="s">
        <v>270</v>
      </c>
      <c r="S3445" s="5" t="s">
        <v>238</v>
      </c>
      <c r="T3445" s="5" t="s">
        <v>238</v>
      </c>
      <c r="U3445" s="5" t="s">
        <v>238</v>
      </c>
      <c r="V3445" s="5" t="s">
        <v>238</v>
      </c>
      <c r="W3445" s="6" t="s">
        <v>238</v>
      </c>
      <c r="X3445" s="6" t="s">
        <v>238</v>
      </c>
      <c r="Y3445" s="5" t="s">
        <v>238</v>
      </c>
      <c r="Z3445" s="6" t="s">
        <v>238</v>
      </c>
      <c r="AA3445" s="6" t="s">
        <v>243</v>
      </c>
      <c r="AB3445" s="5" t="s">
        <v>4934</v>
      </c>
      <c r="AC3445" s="5" t="s">
        <v>244</v>
      </c>
      <c r="AD3445" s="5" t="s">
        <v>245</v>
      </c>
      <c r="AE3445" s="5" t="s">
        <v>238</v>
      </c>
      <c r="AF3445" s="5" t="s">
        <v>238</v>
      </c>
      <c r="AG3445" s="5" t="s">
        <v>238</v>
      </c>
      <c r="AH3445" s="5" t="s">
        <v>238</v>
      </c>
      <c r="AI3445" s="5" t="s">
        <v>238</v>
      </c>
      <c r="AJ3445" s="5" t="s">
        <v>238</v>
      </c>
      <c r="AK3445" s="5" t="s">
        <v>238</v>
      </c>
      <c r="AL3445" s="5" t="s">
        <v>238</v>
      </c>
      <c r="AM3445" s="6" t="s">
        <v>238</v>
      </c>
      <c r="AN3445" s="6" t="s">
        <v>238</v>
      </c>
      <c r="AO3445" s="6" t="s">
        <v>238</v>
      </c>
      <c r="AP3445" s="6" t="s">
        <v>238</v>
      </c>
      <c r="AQ3445" s="5" t="s">
        <v>238</v>
      </c>
      <c r="AR3445" s="5" t="s">
        <v>488</v>
      </c>
      <c r="AS3445" s="5" t="s">
        <v>488</v>
      </c>
      <c r="AT3445" s="5" t="s">
        <v>246</v>
      </c>
      <c r="AU3445" s="5" t="s">
        <v>489</v>
      </c>
      <c r="AV3445" s="5" t="s">
        <v>247</v>
      </c>
      <c r="AW3445" s="5" t="s">
        <v>238</v>
      </c>
      <c r="AX3445" s="5" t="s">
        <v>249</v>
      </c>
      <c r="AY3445" s="5" t="s">
        <v>490</v>
      </c>
      <c r="BA3445" s="5" t="s">
        <v>238</v>
      </c>
      <c r="BC3445" s="5" t="s">
        <v>491</v>
      </c>
      <c r="BD3445" s="6" t="s">
        <v>492</v>
      </c>
      <c r="BE3445" s="5" t="s">
        <v>493</v>
      </c>
      <c r="BF3445" s="5" t="s">
        <v>493</v>
      </c>
      <c r="BG3445" s="5" t="s">
        <v>238</v>
      </c>
      <c r="BH3445" s="8">
        <f>1</f>
        <v>1</v>
      </c>
      <c r="BI3445" s="8">
        <f>1</f>
        <v>1</v>
      </c>
      <c r="BJ3445" s="5" t="s">
        <v>253</v>
      </c>
      <c r="BK3445" s="5" t="s">
        <v>254</v>
      </c>
      <c r="BL3445" s="5" t="s">
        <v>238</v>
      </c>
      <c r="BM3445" s="5" t="s">
        <v>238</v>
      </c>
      <c r="BN3445" s="5" t="s">
        <v>238</v>
      </c>
      <c r="BO3445" s="5" t="s">
        <v>238</v>
      </c>
      <c r="BP3445" s="5" t="s">
        <v>238</v>
      </c>
      <c r="BQ3445" s="5" t="s">
        <v>238</v>
      </c>
      <c r="BR3445" s="5" t="s">
        <v>238</v>
      </c>
      <c r="BS3445" s="5" t="s">
        <v>238</v>
      </c>
      <c r="BT3445" s="6" t="s">
        <v>238</v>
      </c>
      <c r="BU3445" s="5" t="s">
        <v>238</v>
      </c>
      <c r="BV3445" s="5" t="s">
        <v>238</v>
      </c>
      <c r="BW3445" s="5" t="s">
        <v>238</v>
      </c>
      <c r="BX3445" s="5" t="s">
        <v>254</v>
      </c>
      <c r="BY3445" s="5" t="s">
        <v>238</v>
      </c>
      <c r="BZ3445" s="5" t="s">
        <v>238</v>
      </c>
      <c r="CA3445" s="5" t="s">
        <v>238</v>
      </c>
      <c r="CB3445" s="5" t="s">
        <v>238</v>
      </c>
      <c r="CC3445" s="5" t="s">
        <v>238</v>
      </c>
      <c r="CD3445" s="5" t="s">
        <v>273</v>
      </c>
      <c r="CE3445" s="5" t="s">
        <v>256</v>
      </c>
      <c r="CF3445" s="5" t="s">
        <v>238</v>
      </c>
      <c r="CH3445" s="5" t="s">
        <v>494</v>
      </c>
      <c r="CI3445" s="6" t="s">
        <v>257</v>
      </c>
      <c r="CJ3445" s="5" t="s">
        <v>495</v>
      </c>
      <c r="CK3445" s="5" t="s">
        <v>258</v>
      </c>
      <c r="CL3445" s="5" t="s">
        <v>496</v>
      </c>
      <c r="CM3445" s="5" t="s">
        <v>238</v>
      </c>
      <c r="CN3445" s="5">
        <v>0</v>
      </c>
      <c r="CO3445" s="5" t="s">
        <v>497</v>
      </c>
      <c r="CP3445" s="5" t="s">
        <v>260</v>
      </c>
      <c r="CQ3445" s="5" t="s">
        <v>260</v>
      </c>
      <c r="CR3445" s="5" t="s">
        <v>261</v>
      </c>
      <c r="CS3445" s="5" t="s">
        <v>498</v>
      </c>
      <c r="CT3445" s="7">
        <f>1</f>
        <v>1</v>
      </c>
      <c r="CU3445" s="8">
        <f>1</f>
        <v>1</v>
      </c>
      <c r="CV3445" s="8">
        <f>0</f>
        <v>0</v>
      </c>
      <c r="CX3445" s="8">
        <f>1</f>
        <v>1</v>
      </c>
      <c r="CY3445" s="8">
        <f>1</f>
        <v>1</v>
      </c>
      <c r="CZ3445" s="8" t="s">
        <v>238</v>
      </c>
      <c r="DA3445" s="5" t="s">
        <v>238</v>
      </c>
      <c r="DB3445" s="5" t="s">
        <v>238</v>
      </c>
      <c r="DC3445" s="5" t="s">
        <v>238</v>
      </c>
      <c r="DD3445" s="5" t="s">
        <v>238</v>
      </c>
      <c r="DE3445" s="8">
        <f>0</f>
        <v>0</v>
      </c>
      <c r="DG3445" s="5" t="s">
        <v>238</v>
      </c>
      <c r="DH3445" s="5" t="s">
        <v>238</v>
      </c>
      <c r="DI3445" s="5" t="s">
        <v>238</v>
      </c>
      <c r="DJ3445" s="5" t="s">
        <v>238</v>
      </c>
      <c r="DK3445" s="5" t="s">
        <v>238</v>
      </c>
      <c r="DL3445" s="5" t="s">
        <v>238</v>
      </c>
      <c r="DM3445" s="8" t="s">
        <v>238</v>
      </c>
      <c r="DN3445" s="5" t="s">
        <v>238</v>
      </c>
      <c r="DO3445" s="5" t="s">
        <v>238</v>
      </c>
      <c r="DP3445" s="5" t="s">
        <v>490</v>
      </c>
      <c r="DQ3445" s="5" t="s">
        <v>490</v>
      </c>
      <c r="DR3445" s="5" t="s">
        <v>238</v>
      </c>
      <c r="DS3445" s="5" t="s">
        <v>238</v>
      </c>
      <c r="DT3445" s="5" t="s">
        <v>500</v>
      </c>
      <c r="DU3445" s="5" t="s">
        <v>3097</v>
      </c>
      <c r="DV3445" s="5" t="s">
        <v>238</v>
      </c>
      <c r="DW3445" s="5" t="s">
        <v>238</v>
      </c>
      <c r="DX3445" s="5" t="s">
        <v>238</v>
      </c>
      <c r="DY3445" s="5" t="s">
        <v>238</v>
      </c>
      <c r="DZ3445" s="5" t="s">
        <v>238</v>
      </c>
      <c r="EA3445" s="5" t="s">
        <v>238</v>
      </c>
      <c r="EB3445" s="5" t="s">
        <v>238</v>
      </c>
      <c r="EC3445" s="5" t="s">
        <v>238</v>
      </c>
      <c r="ED3445" s="5" t="s">
        <v>238</v>
      </c>
      <c r="EE3445" s="5" t="s">
        <v>238</v>
      </c>
      <c r="EF3445" s="5" t="s">
        <v>238</v>
      </c>
      <c r="EG3445" s="5" t="s">
        <v>238</v>
      </c>
      <c r="EH3445" s="5" t="s">
        <v>238</v>
      </c>
      <c r="EI3445" s="5" t="s">
        <v>238</v>
      </c>
      <c r="EJ3445" s="5" t="s">
        <v>238</v>
      </c>
      <c r="EK3445" s="5" t="s">
        <v>238</v>
      </c>
      <c r="EL3445" s="5" t="s">
        <v>238</v>
      </c>
      <c r="EM3445" s="5" t="s">
        <v>238</v>
      </c>
      <c r="EN3445" s="5" t="s">
        <v>238</v>
      </c>
      <c r="EO3445" s="5" t="s">
        <v>238</v>
      </c>
      <c r="EP3445" s="5" t="s">
        <v>238</v>
      </c>
      <c r="EQ3445" s="5" t="s">
        <v>238</v>
      </c>
      <c r="ER3445" s="5" t="s">
        <v>238</v>
      </c>
      <c r="ES3445" s="5" t="s">
        <v>238</v>
      </c>
      <c r="ET3445" s="5" t="s">
        <v>238</v>
      </c>
      <c r="EU3445" s="5" t="s">
        <v>238</v>
      </c>
      <c r="EV3445" s="5" t="s">
        <v>238</v>
      </c>
      <c r="EW3445" s="5" t="s">
        <v>238</v>
      </c>
      <c r="EX3445" s="5" t="s">
        <v>238</v>
      </c>
      <c r="EY3445" s="5" t="s">
        <v>238</v>
      </c>
      <c r="EZ3445" s="5" t="s">
        <v>238</v>
      </c>
      <c r="FA3445" s="5" t="s">
        <v>238</v>
      </c>
      <c r="FB3445" s="5" t="s">
        <v>238</v>
      </c>
      <c r="FC3445" s="5" t="s">
        <v>238</v>
      </c>
      <c r="FD3445" s="5" t="s">
        <v>238</v>
      </c>
      <c r="FE3445" s="5" t="s">
        <v>238</v>
      </c>
      <c r="FF3445" s="5" t="s">
        <v>238</v>
      </c>
      <c r="FG3445" s="5" t="s">
        <v>238</v>
      </c>
      <c r="FH3445" s="5" t="s">
        <v>238</v>
      </c>
      <c r="FI3445" s="5" t="s">
        <v>238</v>
      </c>
      <c r="FJ3445" s="5" t="s">
        <v>238</v>
      </c>
      <c r="FK3445" s="5" t="s">
        <v>238</v>
      </c>
      <c r="FL3445" s="5" t="s">
        <v>238</v>
      </c>
      <c r="FM3445" s="5" t="s">
        <v>238</v>
      </c>
      <c r="FN3445" s="5" t="s">
        <v>238</v>
      </c>
      <c r="FO3445" s="5" t="s">
        <v>238</v>
      </c>
      <c r="FP3445" s="5" t="s">
        <v>238</v>
      </c>
      <c r="FQ3445" s="5" t="s">
        <v>238</v>
      </c>
      <c r="FR3445" s="5" t="s">
        <v>238</v>
      </c>
      <c r="FS3445" s="5" t="s">
        <v>238</v>
      </c>
      <c r="FT3445" s="5" t="s">
        <v>238</v>
      </c>
      <c r="FU3445" s="5" t="s">
        <v>238</v>
      </c>
      <c r="FV3445" s="5" t="s">
        <v>238</v>
      </c>
      <c r="FW3445" s="5" t="s">
        <v>238</v>
      </c>
      <c r="FX3445" s="5" t="s">
        <v>238</v>
      </c>
      <c r="FY3445" s="5" t="s">
        <v>238</v>
      </c>
      <c r="FZ3445" s="5" t="s">
        <v>238</v>
      </c>
      <c r="GA3445" s="5" t="s">
        <v>238</v>
      </c>
      <c r="GB3445" s="5" t="s">
        <v>238</v>
      </c>
      <c r="GC3445" s="5" t="s">
        <v>238</v>
      </c>
      <c r="GD3445" s="5" t="s">
        <v>238</v>
      </c>
      <c r="GE3445" s="5" t="s">
        <v>238</v>
      </c>
      <c r="GF3445" s="5" t="s">
        <v>238</v>
      </c>
      <c r="GG3445" s="5" t="s">
        <v>238</v>
      </c>
      <c r="GH3445" s="5" t="s">
        <v>238</v>
      </c>
      <c r="GI3445" s="5" t="s">
        <v>238</v>
      </c>
      <c r="GJ3445" s="5" t="s">
        <v>238</v>
      </c>
      <c r="GK3445" s="5" t="s">
        <v>238</v>
      </c>
      <c r="GL3445" s="5" t="s">
        <v>238</v>
      </c>
      <c r="GM3445" s="5" t="s">
        <v>238</v>
      </c>
      <c r="GN3445" s="5" t="s">
        <v>238</v>
      </c>
      <c r="GO3445" s="5" t="s">
        <v>238</v>
      </c>
      <c r="GP3445" s="5" t="s">
        <v>238</v>
      </c>
      <c r="GQ3445" s="5" t="s">
        <v>238</v>
      </c>
      <c r="GR3445" s="5" t="s">
        <v>238</v>
      </c>
      <c r="GS3445" s="5" t="s">
        <v>238</v>
      </c>
      <c r="GT3445" s="5" t="s">
        <v>238</v>
      </c>
      <c r="GU3445" s="5" t="s">
        <v>238</v>
      </c>
      <c r="GV3445" s="5" t="s">
        <v>238</v>
      </c>
      <c r="GW3445" s="5" t="s">
        <v>238</v>
      </c>
      <c r="GX3445" s="5" t="s">
        <v>238</v>
      </c>
      <c r="GY3445" s="5" t="s">
        <v>238</v>
      </c>
      <c r="GZ3445" s="5" t="s">
        <v>238</v>
      </c>
      <c r="HA3445" s="5" t="s">
        <v>238</v>
      </c>
      <c r="HB3445" s="5" t="s">
        <v>238</v>
      </c>
      <c r="HC3445" s="5" t="s">
        <v>238</v>
      </c>
      <c r="HD3445" s="5" t="s">
        <v>238</v>
      </c>
      <c r="HE3445" s="5" t="s">
        <v>238</v>
      </c>
      <c r="HF3445" s="5" t="s">
        <v>238</v>
      </c>
      <c r="HG3445" s="5" t="s">
        <v>238</v>
      </c>
      <c r="HH3445" s="5" t="s">
        <v>238</v>
      </c>
      <c r="HI3445" s="5" t="s">
        <v>238</v>
      </c>
      <c r="HJ3445" s="5" t="s">
        <v>238</v>
      </c>
      <c r="HK3445" s="5" t="s">
        <v>238</v>
      </c>
      <c r="HL3445" s="5" t="s">
        <v>238</v>
      </c>
      <c r="HM3445" s="5" t="s">
        <v>264</v>
      </c>
      <c r="HN3445" s="5" t="s">
        <v>238</v>
      </c>
      <c r="HO3445" s="5" t="s">
        <v>238</v>
      </c>
      <c r="HP3445" s="5" t="s">
        <v>238</v>
      </c>
      <c r="HQ3445" s="5" t="s">
        <v>238</v>
      </c>
      <c r="HR3445" s="5" t="s">
        <v>238</v>
      </c>
      <c r="HS3445" s="5" t="s">
        <v>238</v>
      </c>
      <c r="HT3445" s="5" t="s">
        <v>238</v>
      </c>
      <c r="HU3445" s="5" t="s">
        <v>238</v>
      </c>
      <c r="HV3445" s="5" t="s">
        <v>238</v>
      </c>
      <c r="HW3445" s="5" t="s">
        <v>238</v>
      </c>
      <c r="HX3445" s="5" t="s">
        <v>238</v>
      </c>
      <c r="HY3445" s="5" t="s">
        <v>238</v>
      </c>
      <c r="HZ3445" s="5" t="s">
        <v>238</v>
      </c>
      <c r="IA3445" s="5" t="s">
        <v>238</v>
      </c>
      <c r="IB3445" s="5" t="s">
        <v>238</v>
      </c>
      <c r="IC3445" s="5" t="s">
        <v>238</v>
      </c>
      <c r="ID3445" s="5" t="s">
        <v>238</v>
      </c>
    </row>
    <row r="3446" spans="1:238" x14ac:dyDescent="0.4">
      <c r="A3446" s="5">
        <v>9164</v>
      </c>
      <c r="B3446" s="5">
        <v>1</v>
      </c>
      <c r="C3446" s="5">
        <v>1</v>
      </c>
      <c r="D3446" s="5" t="s">
        <v>484</v>
      </c>
      <c r="E3446" s="5" t="s">
        <v>485</v>
      </c>
      <c r="F3446" s="5" t="s">
        <v>248</v>
      </c>
      <c r="G3446" s="5" t="s">
        <v>3897</v>
      </c>
      <c r="H3446" s="6" t="s">
        <v>3898</v>
      </c>
      <c r="I3446" s="8">
        <f>1</f>
        <v>1</v>
      </c>
      <c r="J3446" s="5" t="s">
        <v>499</v>
      </c>
      <c r="K3446" s="8">
        <f>1</f>
        <v>1</v>
      </c>
      <c r="L3446" s="6" t="s">
        <v>242</v>
      </c>
      <c r="M3446" s="5" t="s">
        <v>267</v>
      </c>
      <c r="N3446" s="5" t="s">
        <v>482</v>
      </c>
      <c r="O3446" s="5" t="s">
        <v>238</v>
      </c>
      <c r="P3446" s="5" t="s">
        <v>238</v>
      </c>
      <c r="Q3446" s="5" t="s">
        <v>239</v>
      </c>
      <c r="R3446" s="5" t="s">
        <v>270</v>
      </c>
      <c r="S3446" s="5" t="s">
        <v>238</v>
      </c>
      <c r="T3446" s="5" t="s">
        <v>238</v>
      </c>
      <c r="U3446" s="5" t="s">
        <v>238</v>
      </c>
      <c r="V3446" s="5" t="s">
        <v>238</v>
      </c>
      <c r="W3446" s="6" t="s">
        <v>238</v>
      </c>
      <c r="X3446" s="6" t="s">
        <v>238</v>
      </c>
      <c r="Y3446" s="5" t="s">
        <v>238</v>
      </c>
      <c r="Z3446" s="6" t="s">
        <v>238</v>
      </c>
      <c r="AA3446" s="6" t="s">
        <v>243</v>
      </c>
      <c r="AB3446" s="5" t="s">
        <v>486</v>
      </c>
      <c r="AC3446" s="5" t="s">
        <v>244</v>
      </c>
      <c r="AD3446" s="5" t="s">
        <v>245</v>
      </c>
      <c r="AE3446" s="5" t="s">
        <v>238</v>
      </c>
      <c r="AF3446" s="5" t="s">
        <v>238</v>
      </c>
      <c r="AG3446" s="5" t="s">
        <v>238</v>
      </c>
      <c r="AH3446" s="5" t="s">
        <v>238</v>
      </c>
      <c r="AI3446" s="5" t="s">
        <v>238</v>
      </c>
      <c r="AJ3446" s="5" t="s">
        <v>238</v>
      </c>
      <c r="AK3446" s="5" t="s">
        <v>238</v>
      </c>
      <c r="AL3446" s="5" t="s">
        <v>238</v>
      </c>
      <c r="AM3446" s="6" t="s">
        <v>238</v>
      </c>
      <c r="AN3446" s="6" t="s">
        <v>238</v>
      </c>
      <c r="AO3446" s="6" t="s">
        <v>238</v>
      </c>
      <c r="AP3446" s="6" t="s">
        <v>238</v>
      </c>
      <c r="AQ3446" s="5" t="s">
        <v>238</v>
      </c>
      <c r="AR3446" s="5" t="s">
        <v>488</v>
      </c>
      <c r="AS3446" s="5" t="s">
        <v>488</v>
      </c>
      <c r="AT3446" s="5" t="s">
        <v>246</v>
      </c>
      <c r="AU3446" s="5" t="s">
        <v>489</v>
      </c>
      <c r="AV3446" s="5" t="s">
        <v>247</v>
      </c>
      <c r="AW3446" s="5" t="s">
        <v>238</v>
      </c>
      <c r="AX3446" s="5" t="s">
        <v>249</v>
      </c>
      <c r="AY3446" s="5" t="s">
        <v>490</v>
      </c>
      <c r="BA3446" s="5" t="s">
        <v>238</v>
      </c>
      <c r="BC3446" s="5" t="s">
        <v>491</v>
      </c>
      <c r="BD3446" s="6" t="s">
        <v>492</v>
      </c>
      <c r="BE3446" s="5" t="s">
        <v>493</v>
      </c>
      <c r="BF3446" s="5" t="s">
        <v>493</v>
      </c>
      <c r="BG3446" s="5" t="s">
        <v>238</v>
      </c>
      <c r="BH3446" s="8">
        <f>1</f>
        <v>1</v>
      </c>
      <c r="BI3446" s="8">
        <f>1</f>
        <v>1</v>
      </c>
      <c r="BJ3446" s="5" t="s">
        <v>253</v>
      </c>
      <c r="BK3446" s="5" t="s">
        <v>254</v>
      </c>
      <c r="BL3446" s="5" t="s">
        <v>238</v>
      </c>
      <c r="BM3446" s="5" t="s">
        <v>238</v>
      </c>
      <c r="BN3446" s="5" t="s">
        <v>238</v>
      </c>
      <c r="BO3446" s="5" t="s">
        <v>238</v>
      </c>
      <c r="BP3446" s="5" t="s">
        <v>238</v>
      </c>
      <c r="BQ3446" s="5" t="s">
        <v>238</v>
      </c>
      <c r="BR3446" s="5" t="s">
        <v>238</v>
      </c>
      <c r="BS3446" s="5" t="s">
        <v>238</v>
      </c>
      <c r="BT3446" s="6" t="s">
        <v>238</v>
      </c>
      <c r="BU3446" s="5" t="s">
        <v>238</v>
      </c>
      <c r="BV3446" s="5" t="s">
        <v>238</v>
      </c>
      <c r="BW3446" s="5" t="s">
        <v>238</v>
      </c>
      <c r="BX3446" s="5" t="s">
        <v>254</v>
      </c>
      <c r="BY3446" s="5" t="s">
        <v>238</v>
      </c>
      <c r="BZ3446" s="5" t="s">
        <v>238</v>
      </c>
      <c r="CA3446" s="5" t="s">
        <v>238</v>
      </c>
      <c r="CB3446" s="5" t="s">
        <v>238</v>
      </c>
      <c r="CC3446" s="5" t="s">
        <v>238</v>
      </c>
      <c r="CD3446" s="5" t="s">
        <v>273</v>
      </c>
      <c r="CE3446" s="5" t="s">
        <v>256</v>
      </c>
      <c r="CF3446" s="5" t="s">
        <v>238</v>
      </c>
      <c r="CH3446" s="5" t="s">
        <v>494</v>
      </c>
      <c r="CI3446" s="6" t="s">
        <v>257</v>
      </c>
      <c r="CJ3446" s="5" t="s">
        <v>495</v>
      </c>
      <c r="CK3446" s="5" t="s">
        <v>258</v>
      </c>
      <c r="CL3446" s="5" t="s">
        <v>496</v>
      </c>
      <c r="CM3446" s="5" t="s">
        <v>238</v>
      </c>
      <c r="CN3446" s="5">
        <v>0</v>
      </c>
      <c r="CO3446" s="5" t="s">
        <v>497</v>
      </c>
      <c r="CP3446" s="5" t="s">
        <v>260</v>
      </c>
      <c r="CQ3446" s="5" t="s">
        <v>260</v>
      </c>
      <c r="CR3446" s="5" t="s">
        <v>261</v>
      </c>
      <c r="CS3446" s="5" t="s">
        <v>498</v>
      </c>
      <c r="CT3446" s="7">
        <f>1</f>
        <v>1</v>
      </c>
      <c r="CU3446" s="8">
        <f>1</f>
        <v>1</v>
      </c>
      <c r="CV3446" s="8">
        <f>0</f>
        <v>0</v>
      </c>
      <c r="CX3446" s="8">
        <f>1</f>
        <v>1</v>
      </c>
      <c r="CY3446" s="8">
        <f>1</f>
        <v>1</v>
      </c>
      <c r="CZ3446" s="8" t="s">
        <v>238</v>
      </c>
      <c r="DA3446" s="5" t="s">
        <v>238</v>
      </c>
      <c r="DB3446" s="5" t="s">
        <v>238</v>
      </c>
      <c r="DC3446" s="5" t="s">
        <v>238</v>
      </c>
      <c r="DD3446" s="5" t="s">
        <v>238</v>
      </c>
      <c r="DE3446" s="8">
        <f>0</f>
        <v>0</v>
      </c>
      <c r="DG3446" s="5" t="s">
        <v>238</v>
      </c>
      <c r="DH3446" s="5" t="s">
        <v>238</v>
      </c>
      <c r="DI3446" s="5" t="s">
        <v>238</v>
      </c>
      <c r="DJ3446" s="5" t="s">
        <v>238</v>
      </c>
      <c r="DK3446" s="5" t="s">
        <v>238</v>
      </c>
      <c r="DL3446" s="5" t="s">
        <v>238</v>
      </c>
      <c r="DM3446" s="8" t="s">
        <v>238</v>
      </c>
      <c r="DN3446" s="5" t="s">
        <v>238</v>
      </c>
      <c r="DO3446" s="5" t="s">
        <v>238</v>
      </c>
      <c r="DP3446" s="5" t="s">
        <v>490</v>
      </c>
      <c r="DQ3446" s="5" t="s">
        <v>490</v>
      </c>
      <c r="DR3446" s="5" t="s">
        <v>238</v>
      </c>
      <c r="DS3446" s="5" t="s">
        <v>238</v>
      </c>
      <c r="DT3446" s="5" t="s">
        <v>500</v>
      </c>
      <c r="DU3446" s="5" t="s">
        <v>1025</v>
      </c>
      <c r="DV3446" s="5" t="s">
        <v>238</v>
      </c>
      <c r="DW3446" s="5" t="s">
        <v>238</v>
      </c>
      <c r="DX3446" s="5" t="s">
        <v>238</v>
      </c>
      <c r="DY3446" s="5" t="s">
        <v>238</v>
      </c>
      <c r="DZ3446" s="5" t="s">
        <v>238</v>
      </c>
      <c r="EA3446" s="5" t="s">
        <v>238</v>
      </c>
      <c r="EB3446" s="5" t="s">
        <v>238</v>
      </c>
      <c r="EC3446" s="5" t="s">
        <v>238</v>
      </c>
      <c r="ED3446" s="5" t="s">
        <v>238</v>
      </c>
      <c r="EE3446" s="5" t="s">
        <v>238</v>
      </c>
      <c r="EF3446" s="5" t="s">
        <v>238</v>
      </c>
      <c r="EG3446" s="5" t="s">
        <v>238</v>
      </c>
      <c r="EH3446" s="5" t="s">
        <v>238</v>
      </c>
      <c r="EI3446" s="5" t="s">
        <v>238</v>
      </c>
      <c r="EJ3446" s="5" t="s">
        <v>238</v>
      </c>
      <c r="EK3446" s="5" t="s">
        <v>238</v>
      </c>
      <c r="EL3446" s="5" t="s">
        <v>238</v>
      </c>
      <c r="EM3446" s="5" t="s">
        <v>238</v>
      </c>
      <c r="EN3446" s="5" t="s">
        <v>238</v>
      </c>
      <c r="EO3446" s="5" t="s">
        <v>238</v>
      </c>
      <c r="EP3446" s="5" t="s">
        <v>238</v>
      </c>
      <c r="EQ3446" s="5" t="s">
        <v>238</v>
      </c>
      <c r="ER3446" s="5" t="s">
        <v>238</v>
      </c>
      <c r="ES3446" s="5" t="s">
        <v>238</v>
      </c>
      <c r="ET3446" s="5" t="s">
        <v>238</v>
      </c>
      <c r="EU3446" s="5" t="s">
        <v>238</v>
      </c>
      <c r="EV3446" s="5" t="s">
        <v>238</v>
      </c>
      <c r="EW3446" s="5" t="s">
        <v>238</v>
      </c>
      <c r="EX3446" s="5" t="s">
        <v>238</v>
      </c>
      <c r="EY3446" s="5" t="s">
        <v>238</v>
      </c>
      <c r="EZ3446" s="5" t="s">
        <v>238</v>
      </c>
      <c r="FA3446" s="5" t="s">
        <v>238</v>
      </c>
      <c r="FB3446" s="5" t="s">
        <v>238</v>
      </c>
      <c r="FC3446" s="5" t="s">
        <v>238</v>
      </c>
      <c r="FD3446" s="5" t="s">
        <v>238</v>
      </c>
      <c r="FE3446" s="5" t="s">
        <v>238</v>
      </c>
      <c r="FF3446" s="5" t="s">
        <v>238</v>
      </c>
      <c r="FG3446" s="5" t="s">
        <v>238</v>
      </c>
      <c r="FH3446" s="5" t="s">
        <v>238</v>
      </c>
      <c r="FI3446" s="5" t="s">
        <v>238</v>
      </c>
      <c r="FJ3446" s="5" t="s">
        <v>238</v>
      </c>
      <c r="FK3446" s="5" t="s">
        <v>238</v>
      </c>
      <c r="FL3446" s="5" t="s">
        <v>238</v>
      </c>
      <c r="FM3446" s="5" t="s">
        <v>238</v>
      </c>
      <c r="FN3446" s="5" t="s">
        <v>238</v>
      </c>
      <c r="FO3446" s="5" t="s">
        <v>238</v>
      </c>
      <c r="FP3446" s="5" t="s">
        <v>238</v>
      </c>
      <c r="FQ3446" s="5" t="s">
        <v>238</v>
      </c>
      <c r="FR3446" s="5" t="s">
        <v>238</v>
      </c>
      <c r="FS3446" s="5" t="s">
        <v>238</v>
      </c>
      <c r="FT3446" s="5" t="s">
        <v>238</v>
      </c>
      <c r="FU3446" s="5" t="s">
        <v>238</v>
      </c>
      <c r="FV3446" s="5" t="s">
        <v>238</v>
      </c>
      <c r="FW3446" s="5" t="s">
        <v>238</v>
      </c>
      <c r="FX3446" s="5" t="s">
        <v>238</v>
      </c>
      <c r="FY3446" s="5" t="s">
        <v>238</v>
      </c>
      <c r="FZ3446" s="5" t="s">
        <v>238</v>
      </c>
      <c r="GA3446" s="5" t="s">
        <v>238</v>
      </c>
      <c r="GB3446" s="5" t="s">
        <v>238</v>
      </c>
      <c r="GC3446" s="5" t="s">
        <v>238</v>
      </c>
      <c r="GD3446" s="5" t="s">
        <v>238</v>
      </c>
      <c r="GE3446" s="5" t="s">
        <v>238</v>
      </c>
      <c r="GF3446" s="5" t="s">
        <v>238</v>
      </c>
      <c r="GG3446" s="5" t="s">
        <v>238</v>
      </c>
      <c r="GH3446" s="5" t="s">
        <v>238</v>
      </c>
      <c r="GI3446" s="5" t="s">
        <v>238</v>
      </c>
      <c r="GJ3446" s="5" t="s">
        <v>238</v>
      </c>
      <c r="GK3446" s="5" t="s">
        <v>238</v>
      </c>
      <c r="GL3446" s="5" t="s">
        <v>238</v>
      </c>
      <c r="GM3446" s="5" t="s">
        <v>238</v>
      </c>
      <c r="GN3446" s="5" t="s">
        <v>238</v>
      </c>
      <c r="GO3446" s="5" t="s">
        <v>238</v>
      </c>
      <c r="GP3446" s="5" t="s">
        <v>238</v>
      </c>
      <c r="GQ3446" s="5" t="s">
        <v>238</v>
      </c>
      <c r="GR3446" s="5" t="s">
        <v>238</v>
      </c>
      <c r="GS3446" s="5" t="s">
        <v>238</v>
      </c>
      <c r="GT3446" s="5" t="s">
        <v>238</v>
      </c>
      <c r="GU3446" s="5" t="s">
        <v>238</v>
      </c>
      <c r="GV3446" s="5" t="s">
        <v>238</v>
      </c>
      <c r="GW3446" s="5" t="s">
        <v>238</v>
      </c>
      <c r="GX3446" s="5" t="s">
        <v>238</v>
      </c>
      <c r="GY3446" s="5" t="s">
        <v>238</v>
      </c>
      <c r="GZ3446" s="5" t="s">
        <v>238</v>
      </c>
      <c r="HA3446" s="5" t="s">
        <v>238</v>
      </c>
      <c r="HB3446" s="5" t="s">
        <v>238</v>
      </c>
      <c r="HC3446" s="5" t="s">
        <v>238</v>
      </c>
      <c r="HD3446" s="5" t="s">
        <v>238</v>
      </c>
      <c r="HE3446" s="5" t="s">
        <v>238</v>
      </c>
      <c r="HF3446" s="5" t="s">
        <v>238</v>
      </c>
      <c r="HG3446" s="5" t="s">
        <v>238</v>
      </c>
      <c r="HH3446" s="5" t="s">
        <v>238</v>
      </c>
      <c r="HI3446" s="5" t="s">
        <v>238</v>
      </c>
      <c r="HJ3446" s="5" t="s">
        <v>238</v>
      </c>
      <c r="HK3446" s="5" t="s">
        <v>238</v>
      </c>
      <c r="HL3446" s="5" t="s">
        <v>238</v>
      </c>
      <c r="HM3446" s="5" t="s">
        <v>264</v>
      </c>
      <c r="HN3446" s="5" t="s">
        <v>238</v>
      </c>
      <c r="HO3446" s="5" t="s">
        <v>238</v>
      </c>
      <c r="HP3446" s="5" t="s">
        <v>238</v>
      </c>
      <c r="HQ3446" s="5" t="s">
        <v>238</v>
      </c>
      <c r="HR3446" s="5" t="s">
        <v>238</v>
      </c>
      <c r="HS3446" s="5" t="s">
        <v>238</v>
      </c>
      <c r="HT3446" s="5" t="s">
        <v>238</v>
      </c>
      <c r="HU3446" s="5" t="s">
        <v>238</v>
      </c>
      <c r="HV3446" s="5" t="s">
        <v>238</v>
      </c>
      <c r="HW3446" s="5" t="s">
        <v>238</v>
      </c>
      <c r="HX3446" s="5" t="s">
        <v>238</v>
      </c>
      <c r="HY3446" s="5" t="s">
        <v>238</v>
      </c>
      <c r="HZ3446" s="5" t="s">
        <v>238</v>
      </c>
      <c r="IA3446" s="5" t="s">
        <v>238</v>
      </c>
      <c r="IB3446" s="5" t="s">
        <v>238</v>
      </c>
      <c r="IC3446" s="5" t="s">
        <v>238</v>
      </c>
      <c r="ID3446" s="5" t="s">
        <v>238</v>
      </c>
    </row>
    <row r="3447" spans="1:238" x14ac:dyDescent="0.4">
      <c r="A3447" s="5">
        <v>9165</v>
      </c>
      <c r="B3447" s="5">
        <v>1</v>
      </c>
      <c r="C3447" s="5">
        <v>1</v>
      </c>
      <c r="D3447" s="5" t="s">
        <v>484</v>
      </c>
      <c r="E3447" s="5" t="s">
        <v>485</v>
      </c>
      <c r="F3447" s="5" t="s">
        <v>248</v>
      </c>
      <c r="G3447" s="5" t="s">
        <v>5623</v>
      </c>
      <c r="H3447" s="6" t="s">
        <v>5624</v>
      </c>
      <c r="I3447" s="8">
        <f>1</f>
        <v>1</v>
      </c>
      <c r="J3447" s="5" t="s">
        <v>499</v>
      </c>
      <c r="K3447" s="8">
        <f>1</f>
        <v>1</v>
      </c>
      <c r="L3447" s="6" t="s">
        <v>242</v>
      </c>
      <c r="M3447" s="5" t="s">
        <v>267</v>
      </c>
      <c r="N3447" s="5" t="s">
        <v>482</v>
      </c>
      <c r="O3447" s="5" t="s">
        <v>238</v>
      </c>
      <c r="P3447" s="5" t="s">
        <v>238</v>
      </c>
      <c r="Q3447" s="5" t="s">
        <v>239</v>
      </c>
      <c r="R3447" s="5" t="s">
        <v>270</v>
      </c>
      <c r="S3447" s="5" t="s">
        <v>238</v>
      </c>
      <c r="T3447" s="5" t="s">
        <v>238</v>
      </c>
      <c r="U3447" s="5" t="s">
        <v>238</v>
      </c>
      <c r="V3447" s="5" t="s">
        <v>238</v>
      </c>
      <c r="W3447" s="6" t="s">
        <v>238</v>
      </c>
      <c r="X3447" s="6" t="s">
        <v>238</v>
      </c>
      <c r="Y3447" s="5" t="s">
        <v>238</v>
      </c>
      <c r="Z3447" s="6" t="s">
        <v>238</v>
      </c>
      <c r="AA3447" s="6" t="s">
        <v>243</v>
      </c>
      <c r="AB3447" s="5" t="s">
        <v>486</v>
      </c>
      <c r="AC3447" s="5" t="s">
        <v>244</v>
      </c>
      <c r="AD3447" s="5" t="s">
        <v>245</v>
      </c>
      <c r="AE3447" s="5" t="s">
        <v>238</v>
      </c>
      <c r="AF3447" s="5" t="s">
        <v>238</v>
      </c>
      <c r="AG3447" s="5" t="s">
        <v>238</v>
      </c>
      <c r="AH3447" s="5" t="s">
        <v>238</v>
      </c>
      <c r="AI3447" s="5" t="s">
        <v>238</v>
      </c>
      <c r="AJ3447" s="5" t="s">
        <v>238</v>
      </c>
      <c r="AK3447" s="5" t="s">
        <v>238</v>
      </c>
      <c r="AL3447" s="5" t="s">
        <v>238</v>
      </c>
      <c r="AM3447" s="6" t="s">
        <v>238</v>
      </c>
      <c r="AN3447" s="6" t="s">
        <v>238</v>
      </c>
      <c r="AO3447" s="6" t="s">
        <v>238</v>
      </c>
      <c r="AP3447" s="6" t="s">
        <v>238</v>
      </c>
      <c r="AQ3447" s="5" t="s">
        <v>238</v>
      </c>
      <c r="AR3447" s="5" t="s">
        <v>488</v>
      </c>
      <c r="AS3447" s="5" t="s">
        <v>488</v>
      </c>
      <c r="AT3447" s="5" t="s">
        <v>246</v>
      </c>
      <c r="AU3447" s="5" t="s">
        <v>489</v>
      </c>
      <c r="AV3447" s="5" t="s">
        <v>247</v>
      </c>
      <c r="AW3447" s="5" t="s">
        <v>238</v>
      </c>
      <c r="AX3447" s="5" t="s">
        <v>249</v>
      </c>
      <c r="AY3447" s="5" t="s">
        <v>490</v>
      </c>
      <c r="BA3447" s="5" t="s">
        <v>238</v>
      </c>
      <c r="BC3447" s="5" t="s">
        <v>491</v>
      </c>
      <c r="BD3447" s="6" t="s">
        <v>492</v>
      </c>
      <c r="BE3447" s="5" t="s">
        <v>493</v>
      </c>
      <c r="BF3447" s="5" t="s">
        <v>493</v>
      </c>
      <c r="BG3447" s="5" t="s">
        <v>238</v>
      </c>
      <c r="BH3447" s="8">
        <f>1</f>
        <v>1</v>
      </c>
      <c r="BI3447" s="8">
        <f>1</f>
        <v>1</v>
      </c>
      <c r="BJ3447" s="5" t="s">
        <v>253</v>
      </c>
      <c r="BK3447" s="5" t="s">
        <v>254</v>
      </c>
      <c r="BL3447" s="5" t="s">
        <v>238</v>
      </c>
      <c r="BM3447" s="5" t="s">
        <v>238</v>
      </c>
      <c r="BN3447" s="5" t="s">
        <v>238</v>
      </c>
      <c r="BO3447" s="5" t="s">
        <v>238</v>
      </c>
      <c r="BP3447" s="5" t="s">
        <v>238</v>
      </c>
      <c r="BQ3447" s="5" t="s">
        <v>238</v>
      </c>
      <c r="BR3447" s="5" t="s">
        <v>238</v>
      </c>
      <c r="BS3447" s="5" t="s">
        <v>238</v>
      </c>
      <c r="BT3447" s="6" t="s">
        <v>238</v>
      </c>
      <c r="BU3447" s="5" t="s">
        <v>238</v>
      </c>
      <c r="BV3447" s="5" t="s">
        <v>238</v>
      </c>
      <c r="BW3447" s="5" t="s">
        <v>238</v>
      </c>
      <c r="BX3447" s="5" t="s">
        <v>254</v>
      </c>
      <c r="BY3447" s="5" t="s">
        <v>238</v>
      </c>
      <c r="BZ3447" s="5" t="s">
        <v>238</v>
      </c>
      <c r="CA3447" s="5" t="s">
        <v>238</v>
      </c>
      <c r="CB3447" s="5" t="s">
        <v>238</v>
      </c>
      <c r="CC3447" s="5" t="s">
        <v>238</v>
      </c>
      <c r="CD3447" s="5" t="s">
        <v>273</v>
      </c>
      <c r="CE3447" s="5" t="s">
        <v>256</v>
      </c>
      <c r="CF3447" s="5" t="s">
        <v>238</v>
      </c>
      <c r="CH3447" s="5" t="s">
        <v>494</v>
      </c>
      <c r="CI3447" s="6" t="s">
        <v>257</v>
      </c>
      <c r="CJ3447" s="5" t="s">
        <v>495</v>
      </c>
      <c r="CK3447" s="5" t="s">
        <v>258</v>
      </c>
      <c r="CL3447" s="5" t="s">
        <v>496</v>
      </c>
      <c r="CM3447" s="5" t="s">
        <v>238</v>
      </c>
      <c r="CN3447" s="5">
        <v>0</v>
      </c>
      <c r="CO3447" s="5" t="s">
        <v>497</v>
      </c>
      <c r="CP3447" s="5" t="s">
        <v>260</v>
      </c>
      <c r="CQ3447" s="5" t="s">
        <v>260</v>
      </c>
      <c r="CR3447" s="5" t="s">
        <v>261</v>
      </c>
      <c r="CS3447" s="5" t="s">
        <v>498</v>
      </c>
      <c r="CT3447" s="7">
        <f>1</f>
        <v>1</v>
      </c>
      <c r="CU3447" s="8">
        <f>1</f>
        <v>1</v>
      </c>
      <c r="CV3447" s="8">
        <f>0</f>
        <v>0</v>
      </c>
      <c r="CX3447" s="8">
        <f>1</f>
        <v>1</v>
      </c>
      <c r="CY3447" s="8">
        <f>1</f>
        <v>1</v>
      </c>
      <c r="CZ3447" s="8" t="s">
        <v>238</v>
      </c>
      <c r="DA3447" s="5" t="s">
        <v>238</v>
      </c>
      <c r="DB3447" s="5" t="s">
        <v>238</v>
      </c>
      <c r="DC3447" s="5" t="s">
        <v>238</v>
      </c>
      <c r="DD3447" s="5" t="s">
        <v>238</v>
      </c>
      <c r="DE3447" s="8">
        <f>0</f>
        <v>0</v>
      </c>
      <c r="DG3447" s="5" t="s">
        <v>238</v>
      </c>
      <c r="DH3447" s="5" t="s">
        <v>238</v>
      </c>
      <c r="DI3447" s="5" t="s">
        <v>238</v>
      </c>
      <c r="DJ3447" s="5" t="s">
        <v>238</v>
      </c>
      <c r="DK3447" s="5" t="s">
        <v>238</v>
      </c>
      <c r="DL3447" s="5" t="s">
        <v>238</v>
      </c>
      <c r="DM3447" s="8" t="s">
        <v>238</v>
      </c>
      <c r="DN3447" s="5" t="s">
        <v>238</v>
      </c>
      <c r="DO3447" s="5" t="s">
        <v>238</v>
      </c>
      <c r="DP3447" s="5" t="s">
        <v>490</v>
      </c>
      <c r="DQ3447" s="5" t="s">
        <v>490</v>
      </c>
      <c r="DR3447" s="5" t="s">
        <v>238</v>
      </c>
      <c r="DS3447" s="5" t="s">
        <v>238</v>
      </c>
      <c r="DT3447" s="5" t="s">
        <v>500</v>
      </c>
      <c r="DU3447" s="5" t="s">
        <v>845</v>
      </c>
      <c r="DV3447" s="5" t="s">
        <v>238</v>
      </c>
      <c r="DW3447" s="5" t="s">
        <v>238</v>
      </c>
      <c r="DX3447" s="5" t="s">
        <v>238</v>
      </c>
      <c r="DY3447" s="5" t="s">
        <v>238</v>
      </c>
      <c r="DZ3447" s="5" t="s">
        <v>238</v>
      </c>
      <c r="EA3447" s="5" t="s">
        <v>238</v>
      </c>
      <c r="EB3447" s="5" t="s">
        <v>238</v>
      </c>
      <c r="EC3447" s="5" t="s">
        <v>238</v>
      </c>
      <c r="ED3447" s="5" t="s">
        <v>238</v>
      </c>
      <c r="EE3447" s="5" t="s">
        <v>238</v>
      </c>
      <c r="EF3447" s="5" t="s">
        <v>238</v>
      </c>
      <c r="EG3447" s="5" t="s">
        <v>238</v>
      </c>
      <c r="EH3447" s="5" t="s">
        <v>238</v>
      </c>
      <c r="EI3447" s="5" t="s">
        <v>238</v>
      </c>
      <c r="EJ3447" s="5" t="s">
        <v>238</v>
      </c>
      <c r="EK3447" s="5" t="s">
        <v>238</v>
      </c>
      <c r="EL3447" s="5" t="s">
        <v>238</v>
      </c>
      <c r="EM3447" s="5" t="s">
        <v>238</v>
      </c>
      <c r="EN3447" s="5" t="s">
        <v>238</v>
      </c>
      <c r="EO3447" s="5" t="s">
        <v>238</v>
      </c>
      <c r="EP3447" s="5" t="s">
        <v>238</v>
      </c>
      <c r="EQ3447" s="5" t="s">
        <v>238</v>
      </c>
      <c r="ER3447" s="5" t="s">
        <v>238</v>
      </c>
      <c r="ES3447" s="5" t="s">
        <v>238</v>
      </c>
      <c r="ET3447" s="5" t="s">
        <v>238</v>
      </c>
      <c r="EU3447" s="5" t="s">
        <v>238</v>
      </c>
      <c r="EV3447" s="5" t="s">
        <v>238</v>
      </c>
      <c r="EW3447" s="5" t="s">
        <v>238</v>
      </c>
      <c r="EX3447" s="5" t="s">
        <v>238</v>
      </c>
      <c r="EY3447" s="5" t="s">
        <v>238</v>
      </c>
      <c r="EZ3447" s="5" t="s">
        <v>238</v>
      </c>
      <c r="FA3447" s="5" t="s">
        <v>238</v>
      </c>
      <c r="FB3447" s="5" t="s">
        <v>238</v>
      </c>
      <c r="FC3447" s="5" t="s">
        <v>238</v>
      </c>
      <c r="FD3447" s="5" t="s">
        <v>238</v>
      </c>
      <c r="FE3447" s="5" t="s">
        <v>238</v>
      </c>
      <c r="FF3447" s="5" t="s">
        <v>238</v>
      </c>
      <c r="FG3447" s="5" t="s">
        <v>238</v>
      </c>
      <c r="FH3447" s="5" t="s">
        <v>238</v>
      </c>
      <c r="FI3447" s="5" t="s">
        <v>238</v>
      </c>
      <c r="FJ3447" s="5" t="s">
        <v>238</v>
      </c>
      <c r="FK3447" s="5" t="s">
        <v>238</v>
      </c>
      <c r="FL3447" s="5" t="s">
        <v>238</v>
      </c>
      <c r="FM3447" s="5" t="s">
        <v>238</v>
      </c>
      <c r="FN3447" s="5" t="s">
        <v>238</v>
      </c>
      <c r="FO3447" s="5" t="s">
        <v>238</v>
      </c>
      <c r="FP3447" s="5" t="s">
        <v>238</v>
      </c>
      <c r="FQ3447" s="5" t="s">
        <v>238</v>
      </c>
      <c r="FR3447" s="5" t="s">
        <v>238</v>
      </c>
      <c r="FS3447" s="5" t="s">
        <v>238</v>
      </c>
      <c r="FT3447" s="5" t="s">
        <v>238</v>
      </c>
      <c r="FU3447" s="5" t="s">
        <v>238</v>
      </c>
      <c r="FV3447" s="5" t="s">
        <v>238</v>
      </c>
      <c r="FW3447" s="5" t="s">
        <v>238</v>
      </c>
      <c r="FX3447" s="5" t="s">
        <v>238</v>
      </c>
      <c r="FY3447" s="5" t="s">
        <v>238</v>
      </c>
      <c r="FZ3447" s="5" t="s">
        <v>238</v>
      </c>
      <c r="GA3447" s="5" t="s">
        <v>238</v>
      </c>
      <c r="GB3447" s="5" t="s">
        <v>238</v>
      </c>
      <c r="GC3447" s="5" t="s">
        <v>238</v>
      </c>
      <c r="GD3447" s="5" t="s">
        <v>238</v>
      </c>
      <c r="GE3447" s="5" t="s">
        <v>238</v>
      </c>
      <c r="GF3447" s="5" t="s">
        <v>238</v>
      </c>
      <c r="GG3447" s="5" t="s">
        <v>238</v>
      </c>
      <c r="GH3447" s="5" t="s">
        <v>238</v>
      </c>
      <c r="GI3447" s="5" t="s">
        <v>238</v>
      </c>
      <c r="GJ3447" s="5" t="s">
        <v>238</v>
      </c>
      <c r="GK3447" s="5" t="s">
        <v>238</v>
      </c>
      <c r="GL3447" s="5" t="s">
        <v>238</v>
      </c>
      <c r="GM3447" s="5" t="s">
        <v>238</v>
      </c>
      <c r="GN3447" s="5" t="s">
        <v>238</v>
      </c>
      <c r="GO3447" s="5" t="s">
        <v>238</v>
      </c>
      <c r="GP3447" s="5" t="s">
        <v>238</v>
      </c>
      <c r="GQ3447" s="5" t="s">
        <v>238</v>
      </c>
      <c r="GR3447" s="5" t="s">
        <v>238</v>
      </c>
      <c r="GS3447" s="5" t="s">
        <v>238</v>
      </c>
      <c r="GT3447" s="5" t="s">
        <v>238</v>
      </c>
      <c r="GU3447" s="5" t="s">
        <v>238</v>
      </c>
      <c r="GV3447" s="5" t="s">
        <v>238</v>
      </c>
      <c r="GW3447" s="5" t="s">
        <v>238</v>
      </c>
      <c r="GX3447" s="5" t="s">
        <v>238</v>
      </c>
      <c r="GY3447" s="5" t="s">
        <v>238</v>
      </c>
      <c r="GZ3447" s="5" t="s">
        <v>238</v>
      </c>
      <c r="HA3447" s="5" t="s">
        <v>238</v>
      </c>
      <c r="HB3447" s="5" t="s">
        <v>238</v>
      </c>
      <c r="HC3447" s="5" t="s">
        <v>238</v>
      </c>
      <c r="HD3447" s="5" t="s">
        <v>238</v>
      </c>
      <c r="HE3447" s="5" t="s">
        <v>238</v>
      </c>
      <c r="HF3447" s="5" t="s">
        <v>238</v>
      </c>
      <c r="HG3447" s="5" t="s">
        <v>238</v>
      </c>
      <c r="HH3447" s="5" t="s">
        <v>238</v>
      </c>
      <c r="HI3447" s="5" t="s">
        <v>238</v>
      </c>
      <c r="HJ3447" s="5" t="s">
        <v>238</v>
      </c>
      <c r="HK3447" s="5" t="s">
        <v>238</v>
      </c>
      <c r="HL3447" s="5" t="s">
        <v>238</v>
      </c>
      <c r="HM3447" s="5" t="s">
        <v>264</v>
      </c>
      <c r="HN3447" s="5" t="s">
        <v>238</v>
      </c>
      <c r="HO3447" s="5" t="s">
        <v>238</v>
      </c>
      <c r="HP3447" s="5" t="s">
        <v>238</v>
      </c>
      <c r="HQ3447" s="5" t="s">
        <v>238</v>
      </c>
      <c r="HR3447" s="5" t="s">
        <v>238</v>
      </c>
      <c r="HS3447" s="5" t="s">
        <v>238</v>
      </c>
      <c r="HT3447" s="5" t="s">
        <v>238</v>
      </c>
      <c r="HU3447" s="5" t="s">
        <v>238</v>
      </c>
      <c r="HV3447" s="5" t="s">
        <v>238</v>
      </c>
      <c r="HW3447" s="5" t="s">
        <v>238</v>
      </c>
      <c r="HX3447" s="5" t="s">
        <v>238</v>
      </c>
      <c r="HY3447" s="5" t="s">
        <v>238</v>
      </c>
      <c r="HZ3447" s="5" t="s">
        <v>238</v>
      </c>
      <c r="IA3447" s="5" t="s">
        <v>238</v>
      </c>
      <c r="IB3447" s="5" t="s">
        <v>238</v>
      </c>
      <c r="IC3447" s="5" t="s">
        <v>238</v>
      </c>
      <c r="ID3447" s="5" t="s">
        <v>238</v>
      </c>
    </row>
    <row r="3448" spans="1:238" x14ac:dyDescent="0.4">
      <c r="A3448" s="5">
        <v>9166</v>
      </c>
      <c r="B3448" s="5">
        <v>1</v>
      </c>
      <c r="C3448" s="5">
        <v>1</v>
      </c>
      <c r="D3448" s="5" t="s">
        <v>484</v>
      </c>
      <c r="E3448" s="5" t="s">
        <v>485</v>
      </c>
      <c r="F3448" s="5" t="s">
        <v>248</v>
      </c>
      <c r="G3448" s="5" t="s">
        <v>5212</v>
      </c>
      <c r="H3448" s="6" t="s">
        <v>5213</v>
      </c>
      <c r="I3448" s="8">
        <f>1</f>
        <v>1</v>
      </c>
      <c r="J3448" s="5" t="s">
        <v>499</v>
      </c>
      <c r="K3448" s="8">
        <f>1</f>
        <v>1</v>
      </c>
      <c r="L3448" s="6" t="s">
        <v>242</v>
      </c>
      <c r="M3448" s="5" t="s">
        <v>267</v>
      </c>
      <c r="N3448" s="5" t="s">
        <v>482</v>
      </c>
      <c r="O3448" s="5" t="s">
        <v>238</v>
      </c>
      <c r="P3448" s="5" t="s">
        <v>238</v>
      </c>
      <c r="Q3448" s="5" t="s">
        <v>239</v>
      </c>
      <c r="R3448" s="5" t="s">
        <v>270</v>
      </c>
      <c r="S3448" s="5" t="s">
        <v>238</v>
      </c>
      <c r="T3448" s="5" t="s">
        <v>238</v>
      </c>
      <c r="U3448" s="5" t="s">
        <v>238</v>
      </c>
      <c r="V3448" s="5" t="s">
        <v>238</v>
      </c>
      <c r="W3448" s="6" t="s">
        <v>238</v>
      </c>
      <c r="X3448" s="6" t="s">
        <v>238</v>
      </c>
      <c r="Y3448" s="5" t="s">
        <v>238</v>
      </c>
      <c r="Z3448" s="6" t="s">
        <v>238</v>
      </c>
      <c r="AA3448" s="6" t="s">
        <v>243</v>
      </c>
      <c r="AB3448" s="5" t="s">
        <v>486</v>
      </c>
      <c r="AC3448" s="5" t="s">
        <v>244</v>
      </c>
      <c r="AD3448" s="5" t="s">
        <v>245</v>
      </c>
      <c r="AE3448" s="5" t="s">
        <v>238</v>
      </c>
      <c r="AF3448" s="5" t="s">
        <v>238</v>
      </c>
      <c r="AG3448" s="5" t="s">
        <v>238</v>
      </c>
      <c r="AH3448" s="5" t="s">
        <v>238</v>
      </c>
      <c r="AI3448" s="5" t="s">
        <v>238</v>
      </c>
      <c r="AJ3448" s="5" t="s">
        <v>238</v>
      </c>
      <c r="AK3448" s="5" t="s">
        <v>238</v>
      </c>
      <c r="AL3448" s="5" t="s">
        <v>238</v>
      </c>
      <c r="AM3448" s="6" t="s">
        <v>238</v>
      </c>
      <c r="AN3448" s="6" t="s">
        <v>238</v>
      </c>
      <c r="AO3448" s="6" t="s">
        <v>238</v>
      </c>
      <c r="AP3448" s="6" t="s">
        <v>238</v>
      </c>
      <c r="AQ3448" s="5" t="s">
        <v>238</v>
      </c>
      <c r="AR3448" s="5" t="s">
        <v>488</v>
      </c>
      <c r="AS3448" s="5" t="s">
        <v>488</v>
      </c>
      <c r="AT3448" s="5" t="s">
        <v>246</v>
      </c>
      <c r="AU3448" s="5" t="s">
        <v>489</v>
      </c>
      <c r="AV3448" s="5" t="s">
        <v>247</v>
      </c>
      <c r="AW3448" s="5" t="s">
        <v>238</v>
      </c>
      <c r="AX3448" s="5" t="s">
        <v>249</v>
      </c>
      <c r="AY3448" s="5" t="s">
        <v>490</v>
      </c>
      <c r="BA3448" s="5" t="s">
        <v>238</v>
      </c>
      <c r="BC3448" s="5" t="s">
        <v>491</v>
      </c>
      <c r="BD3448" s="6" t="s">
        <v>492</v>
      </c>
      <c r="BE3448" s="5" t="s">
        <v>493</v>
      </c>
      <c r="BF3448" s="5" t="s">
        <v>493</v>
      </c>
      <c r="BG3448" s="5" t="s">
        <v>238</v>
      </c>
      <c r="BH3448" s="8">
        <f>1</f>
        <v>1</v>
      </c>
      <c r="BI3448" s="8">
        <f>1</f>
        <v>1</v>
      </c>
      <c r="BJ3448" s="5" t="s">
        <v>253</v>
      </c>
      <c r="BK3448" s="5" t="s">
        <v>254</v>
      </c>
      <c r="BL3448" s="5" t="s">
        <v>238</v>
      </c>
      <c r="BM3448" s="5" t="s">
        <v>238</v>
      </c>
      <c r="BN3448" s="5" t="s">
        <v>238</v>
      </c>
      <c r="BO3448" s="5" t="s">
        <v>238</v>
      </c>
      <c r="BP3448" s="5" t="s">
        <v>238</v>
      </c>
      <c r="BQ3448" s="5" t="s">
        <v>238</v>
      </c>
      <c r="BR3448" s="5" t="s">
        <v>238</v>
      </c>
      <c r="BS3448" s="5" t="s">
        <v>238</v>
      </c>
      <c r="BT3448" s="6" t="s">
        <v>238</v>
      </c>
      <c r="BU3448" s="5" t="s">
        <v>238</v>
      </c>
      <c r="BV3448" s="5" t="s">
        <v>238</v>
      </c>
      <c r="BW3448" s="5" t="s">
        <v>238</v>
      </c>
      <c r="BX3448" s="5" t="s">
        <v>254</v>
      </c>
      <c r="BY3448" s="5" t="s">
        <v>238</v>
      </c>
      <c r="BZ3448" s="5" t="s">
        <v>238</v>
      </c>
      <c r="CA3448" s="5" t="s">
        <v>238</v>
      </c>
      <c r="CB3448" s="5" t="s">
        <v>238</v>
      </c>
      <c r="CC3448" s="5" t="s">
        <v>238</v>
      </c>
      <c r="CD3448" s="5" t="s">
        <v>273</v>
      </c>
      <c r="CE3448" s="5" t="s">
        <v>256</v>
      </c>
      <c r="CF3448" s="5" t="s">
        <v>238</v>
      </c>
      <c r="CH3448" s="5" t="s">
        <v>494</v>
      </c>
      <c r="CI3448" s="6" t="s">
        <v>257</v>
      </c>
      <c r="CJ3448" s="5" t="s">
        <v>495</v>
      </c>
      <c r="CK3448" s="5" t="s">
        <v>258</v>
      </c>
      <c r="CL3448" s="5" t="s">
        <v>496</v>
      </c>
      <c r="CM3448" s="5" t="s">
        <v>238</v>
      </c>
      <c r="CN3448" s="5">
        <v>0</v>
      </c>
      <c r="CO3448" s="5" t="s">
        <v>497</v>
      </c>
      <c r="CP3448" s="5" t="s">
        <v>260</v>
      </c>
      <c r="CQ3448" s="5" t="s">
        <v>260</v>
      </c>
      <c r="CR3448" s="5" t="s">
        <v>261</v>
      </c>
      <c r="CS3448" s="5" t="s">
        <v>498</v>
      </c>
      <c r="CT3448" s="7">
        <f>1</f>
        <v>1</v>
      </c>
      <c r="CU3448" s="8">
        <f>1</f>
        <v>1</v>
      </c>
      <c r="CV3448" s="8">
        <f>0</f>
        <v>0</v>
      </c>
      <c r="CX3448" s="8">
        <f>1</f>
        <v>1</v>
      </c>
      <c r="CY3448" s="8">
        <f>1</f>
        <v>1</v>
      </c>
      <c r="CZ3448" s="8" t="s">
        <v>238</v>
      </c>
      <c r="DA3448" s="5" t="s">
        <v>238</v>
      </c>
      <c r="DB3448" s="5" t="s">
        <v>238</v>
      </c>
      <c r="DC3448" s="5" t="s">
        <v>238</v>
      </c>
      <c r="DD3448" s="5" t="s">
        <v>238</v>
      </c>
      <c r="DE3448" s="8">
        <f>0</f>
        <v>0</v>
      </c>
      <c r="DG3448" s="5" t="s">
        <v>238</v>
      </c>
      <c r="DH3448" s="5" t="s">
        <v>238</v>
      </c>
      <c r="DI3448" s="5" t="s">
        <v>238</v>
      </c>
      <c r="DJ3448" s="5" t="s">
        <v>238</v>
      </c>
      <c r="DK3448" s="5" t="s">
        <v>238</v>
      </c>
      <c r="DL3448" s="5" t="s">
        <v>238</v>
      </c>
      <c r="DM3448" s="8" t="s">
        <v>238</v>
      </c>
      <c r="DN3448" s="5" t="s">
        <v>238</v>
      </c>
      <c r="DO3448" s="5" t="s">
        <v>238</v>
      </c>
      <c r="DP3448" s="5" t="s">
        <v>490</v>
      </c>
      <c r="DQ3448" s="5" t="s">
        <v>490</v>
      </c>
      <c r="DR3448" s="5" t="s">
        <v>238</v>
      </c>
      <c r="DS3448" s="5" t="s">
        <v>238</v>
      </c>
      <c r="DT3448" s="5" t="s">
        <v>500</v>
      </c>
      <c r="DU3448" s="5" t="s">
        <v>728</v>
      </c>
      <c r="DV3448" s="5" t="s">
        <v>238</v>
      </c>
      <c r="DW3448" s="5" t="s">
        <v>238</v>
      </c>
      <c r="DX3448" s="5" t="s">
        <v>238</v>
      </c>
      <c r="DY3448" s="5" t="s">
        <v>238</v>
      </c>
      <c r="DZ3448" s="5" t="s">
        <v>238</v>
      </c>
      <c r="EA3448" s="5" t="s">
        <v>238</v>
      </c>
      <c r="EB3448" s="5" t="s">
        <v>238</v>
      </c>
      <c r="EC3448" s="5" t="s">
        <v>238</v>
      </c>
      <c r="ED3448" s="5" t="s">
        <v>238</v>
      </c>
      <c r="EE3448" s="5" t="s">
        <v>238</v>
      </c>
      <c r="EF3448" s="5" t="s">
        <v>238</v>
      </c>
      <c r="EG3448" s="5" t="s">
        <v>238</v>
      </c>
      <c r="EH3448" s="5" t="s">
        <v>238</v>
      </c>
      <c r="EI3448" s="5" t="s">
        <v>238</v>
      </c>
      <c r="EJ3448" s="5" t="s">
        <v>238</v>
      </c>
      <c r="EK3448" s="5" t="s">
        <v>238</v>
      </c>
      <c r="EL3448" s="5" t="s">
        <v>238</v>
      </c>
      <c r="EM3448" s="5" t="s">
        <v>238</v>
      </c>
      <c r="EN3448" s="5" t="s">
        <v>238</v>
      </c>
      <c r="EO3448" s="5" t="s">
        <v>238</v>
      </c>
      <c r="EP3448" s="5" t="s">
        <v>238</v>
      </c>
      <c r="EQ3448" s="5" t="s">
        <v>238</v>
      </c>
      <c r="ER3448" s="5" t="s">
        <v>238</v>
      </c>
      <c r="ES3448" s="5" t="s">
        <v>238</v>
      </c>
      <c r="ET3448" s="5" t="s">
        <v>238</v>
      </c>
      <c r="EU3448" s="5" t="s">
        <v>238</v>
      </c>
      <c r="EV3448" s="5" t="s">
        <v>238</v>
      </c>
      <c r="EW3448" s="5" t="s">
        <v>238</v>
      </c>
      <c r="EX3448" s="5" t="s">
        <v>238</v>
      </c>
      <c r="EY3448" s="5" t="s">
        <v>238</v>
      </c>
      <c r="EZ3448" s="5" t="s">
        <v>238</v>
      </c>
      <c r="FA3448" s="5" t="s">
        <v>238</v>
      </c>
      <c r="FB3448" s="5" t="s">
        <v>238</v>
      </c>
      <c r="FC3448" s="5" t="s">
        <v>238</v>
      </c>
      <c r="FD3448" s="5" t="s">
        <v>238</v>
      </c>
      <c r="FE3448" s="5" t="s">
        <v>238</v>
      </c>
      <c r="FF3448" s="5" t="s">
        <v>238</v>
      </c>
      <c r="FG3448" s="5" t="s">
        <v>238</v>
      </c>
      <c r="FH3448" s="5" t="s">
        <v>238</v>
      </c>
      <c r="FI3448" s="5" t="s">
        <v>238</v>
      </c>
      <c r="FJ3448" s="5" t="s">
        <v>238</v>
      </c>
      <c r="FK3448" s="5" t="s">
        <v>238</v>
      </c>
      <c r="FL3448" s="5" t="s">
        <v>238</v>
      </c>
      <c r="FM3448" s="5" t="s">
        <v>238</v>
      </c>
      <c r="FN3448" s="5" t="s">
        <v>238</v>
      </c>
      <c r="FO3448" s="5" t="s">
        <v>238</v>
      </c>
      <c r="FP3448" s="5" t="s">
        <v>238</v>
      </c>
      <c r="FQ3448" s="5" t="s">
        <v>238</v>
      </c>
      <c r="FR3448" s="5" t="s">
        <v>238</v>
      </c>
      <c r="FS3448" s="5" t="s">
        <v>238</v>
      </c>
      <c r="FT3448" s="5" t="s">
        <v>238</v>
      </c>
      <c r="FU3448" s="5" t="s">
        <v>238</v>
      </c>
      <c r="FV3448" s="5" t="s">
        <v>238</v>
      </c>
      <c r="FW3448" s="5" t="s">
        <v>238</v>
      </c>
      <c r="FX3448" s="5" t="s">
        <v>238</v>
      </c>
      <c r="FY3448" s="5" t="s">
        <v>238</v>
      </c>
      <c r="FZ3448" s="5" t="s">
        <v>238</v>
      </c>
      <c r="GA3448" s="5" t="s">
        <v>238</v>
      </c>
      <c r="GB3448" s="5" t="s">
        <v>238</v>
      </c>
      <c r="GC3448" s="5" t="s">
        <v>238</v>
      </c>
      <c r="GD3448" s="5" t="s">
        <v>238</v>
      </c>
      <c r="GE3448" s="5" t="s">
        <v>238</v>
      </c>
      <c r="GF3448" s="5" t="s">
        <v>238</v>
      </c>
      <c r="GG3448" s="5" t="s">
        <v>238</v>
      </c>
      <c r="GH3448" s="5" t="s">
        <v>238</v>
      </c>
      <c r="GI3448" s="5" t="s">
        <v>238</v>
      </c>
      <c r="GJ3448" s="5" t="s">
        <v>238</v>
      </c>
      <c r="GK3448" s="5" t="s">
        <v>238</v>
      </c>
      <c r="GL3448" s="5" t="s">
        <v>238</v>
      </c>
      <c r="GM3448" s="5" t="s">
        <v>238</v>
      </c>
      <c r="GN3448" s="5" t="s">
        <v>238</v>
      </c>
      <c r="GO3448" s="5" t="s">
        <v>238</v>
      </c>
      <c r="GP3448" s="5" t="s">
        <v>238</v>
      </c>
      <c r="GQ3448" s="5" t="s">
        <v>238</v>
      </c>
      <c r="GR3448" s="5" t="s">
        <v>238</v>
      </c>
      <c r="GS3448" s="5" t="s">
        <v>238</v>
      </c>
      <c r="GT3448" s="5" t="s">
        <v>238</v>
      </c>
      <c r="GU3448" s="5" t="s">
        <v>238</v>
      </c>
      <c r="GV3448" s="5" t="s">
        <v>238</v>
      </c>
      <c r="GW3448" s="5" t="s">
        <v>238</v>
      </c>
      <c r="GX3448" s="5" t="s">
        <v>238</v>
      </c>
      <c r="GY3448" s="5" t="s">
        <v>238</v>
      </c>
      <c r="GZ3448" s="5" t="s">
        <v>238</v>
      </c>
      <c r="HA3448" s="5" t="s">
        <v>238</v>
      </c>
      <c r="HB3448" s="5" t="s">
        <v>238</v>
      </c>
      <c r="HC3448" s="5" t="s">
        <v>238</v>
      </c>
      <c r="HD3448" s="5" t="s">
        <v>238</v>
      </c>
      <c r="HE3448" s="5" t="s">
        <v>238</v>
      </c>
      <c r="HF3448" s="5" t="s">
        <v>238</v>
      </c>
      <c r="HG3448" s="5" t="s">
        <v>238</v>
      </c>
      <c r="HH3448" s="5" t="s">
        <v>238</v>
      </c>
      <c r="HI3448" s="5" t="s">
        <v>238</v>
      </c>
      <c r="HJ3448" s="5" t="s">
        <v>238</v>
      </c>
      <c r="HK3448" s="5" t="s">
        <v>238</v>
      </c>
      <c r="HL3448" s="5" t="s">
        <v>238</v>
      </c>
      <c r="HM3448" s="5" t="s">
        <v>264</v>
      </c>
      <c r="HN3448" s="5" t="s">
        <v>238</v>
      </c>
      <c r="HO3448" s="5" t="s">
        <v>238</v>
      </c>
      <c r="HP3448" s="5" t="s">
        <v>238</v>
      </c>
      <c r="HQ3448" s="5" t="s">
        <v>238</v>
      </c>
      <c r="HR3448" s="5" t="s">
        <v>238</v>
      </c>
      <c r="HS3448" s="5" t="s">
        <v>238</v>
      </c>
      <c r="HT3448" s="5" t="s">
        <v>238</v>
      </c>
      <c r="HU3448" s="5" t="s">
        <v>238</v>
      </c>
      <c r="HV3448" s="5" t="s">
        <v>238</v>
      </c>
      <c r="HW3448" s="5" t="s">
        <v>238</v>
      </c>
      <c r="HX3448" s="5" t="s">
        <v>238</v>
      </c>
      <c r="HY3448" s="5" t="s">
        <v>238</v>
      </c>
      <c r="HZ3448" s="5" t="s">
        <v>238</v>
      </c>
      <c r="IA3448" s="5" t="s">
        <v>238</v>
      </c>
      <c r="IB3448" s="5" t="s">
        <v>238</v>
      </c>
      <c r="IC3448" s="5" t="s">
        <v>238</v>
      </c>
      <c r="ID3448" s="5" t="s">
        <v>238</v>
      </c>
    </row>
    <row r="3449" spans="1:238" x14ac:dyDescent="0.4">
      <c r="A3449" s="5">
        <v>9167</v>
      </c>
      <c r="B3449" s="5">
        <v>1</v>
      </c>
      <c r="C3449" s="5">
        <v>1</v>
      </c>
      <c r="D3449" s="5" t="s">
        <v>484</v>
      </c>
      <c r="E3449" s="5" t="s">
        <v>485</v>
      </c>
      <c r="F3449" s="5" t="s">
        <v>248</v>
      </c>
      <c r="G3449" s="5" t="s">
        <v>5088</v>
      </c>
      <c r="H3449" s="6" t="s">
        <v>5089</v>
      </c>
      <c r="I3449" s="8">
        <f>1</f>
        <v>1</v>
      </c>
      <c r="J3449" s="5" t="s">
        <v>499</v>
      </c>
      <c r="K3449" s="8">
        <f>1</f>
        <v>1</v>
      </c>
      <c r="L3449" s="6" t="s">
        <v>242</v>
      </c>
      <c r="M3449" s="5" t="s">
        <v>267</v>
      </c>
      <c r="N3449" s="5" t="s">
        <v>482</v>
      </c>
      <c r="O3449" s="5" t="s">
        <v>238</v>
      </c>
      <c r="P3449" s="5" t="s">
        <v>238</v>
      </c>
      <c r="Q3449" s="5" t="s">
        <v>239</v>
      </c>
      <c r="R3449" s="5" t="s">
        <v>270</v>
      </c>
      <c r="S3449" s="5" t="s">
        <v>238</v>
      </c>
      <c r="T3449" s="5" t="s">
        <v>238</v>
      </c>
      <c r="U3449" s="5" t="s">
        <v>238</v>
      </c>
      <c r="V3449" s="5" t="s">
        <v>238</v>
      </c>
      <c r="W3449" s="6" t="s">
        <v>238</v>
      </c>
      <c r="X3449" s="6" t="s">
        <v>238</v>
      </c>
      <c r="Y3449" s="5" t="s">
        <v>238</v>
      </c>
      <c r="Z3449" s="6" t="s">
        <v>238</v>
      </c>
      <c r="AA3449" s="6" t="s">
        <v>243</v>
      </c>
      <c r="AB3449" s="5" t="s">
        <v>486</v>
      </c>
      <c r="AC3449" s="5" t="s">
        <v>244</v>
      </c>
      <c r="AD3449" s="5" t="s">
        <v>245</v>
      </c>
      <c r="AE3449" s="5" t="s">
        <v>238</v>
      </c>
      <c r="AF3449" s="5" t="s">
        <v>238</v>
      </c>
      <c r="AG3449" s="5" t="s">
        <v>238</v>
      </c>
      <c r="AH3449" s="5" t="s">
        <v>238</v>
      </c>
      <c r="AI3449" s="5" t="s">
        <v>238</v>
      </c>
      <c r="AJ3449" s="5" t="s">
        <v>238</v>
      </c>
      <c r="AK3449" s="5" t="s">
        <v>238</v>
      </c>
      <c r="AL3449" s="5" t="s">
        <v>238</v>
      </c>
      <c r="AM3449" s="6" t="s">
        <v>238</v>
      </c>
      <c r="AN3449" s="6" t="s">
        <v>238</v>
      </c>
      <c r="AO3449" s="6" t="s">
        <v>238</v>
      </c>
      <c r="AP3449" s="6" t="s">
        <v>238</v>
      </c>
      <c r="AQ3449" s="5" t="s">
        <v>238</v>
      </c>
      <c r="AR3449" s="5" t="s">
        <v>488</v>
      </c>
      <c r="AS3449" s="5" t="s">
        <v>488</v>
      </c>
      <c r="AT3449" s="5" t="s">
        <v>246</v>
      </c>
      <c r="AU3449" s="5" t="s">
        <v>489</v>
      </c>
      <c r="AV3449" s="5" t="s">
        <v>247</v>
      </c>
      <c r="AW3449" s="5" t="s">
        <v>238</v>
      </c>
      <c r="AX3449" s="5" t="s">
        <v>249</v>
      </c>
      <c r="AY3449" s="5" t="s">
        <v>490</v>
      </c>
      <c r="BA3449" s="5" t="s">
        <v>238</v>
      </c>
      <c r="BC3449" s="5" t="s">
        <v>491</v>
      </c>
      <c r="BD3449" s="6" t="s">
        <v>492</v>
      </c>
      <c r="BE3449" s="5" t="s">
        <v>493</v>
      </c>
      <c r="BF3449" s="5" t="s">
        <v>493</v>
      </c>
      <c r="BG3449" s="5" t="s">
        <v>238</v>
      </c>
      <c r="BH3449" s="8">
        <f>1</f>
        <v>1</v>
      </c>
      <c r="BI3449" s="8">
        <f>1</f>
        <v>1</v>
      </c>
      <c r="BJ3449" s="5" t="s">
        <v>253</v>
      </c>
      <c r="BK3449" s="5" t="s">
        <v>254</v>
      </c>
      <c r="BL3449" s="5" t="s">
        <v>238</v>
      </c>
      <c r="BM3449" s="5" t="s">
        <v>238</v>
      </c>
      <c r="BN3449" s="5" t="s">
        <v>238</v>
      </c>
      <c r="BO3449" s="5" t="s">
        <v>238</v>
      </c>
      <c r="BP3449" s="5" t="s">
        <v>238</v>
      </c>
      <c r="BQ3449" s="5" t="s">
        <v>238</v>
      </c>
      <c r="BR3449" s="5" t="s">
        <v>238</v>
      </c>
      <c r="BS3449" s="5" t="s">
        <v>238</v>
      </c>
      <c r="BT3449" s="6" t="s">
        <v>238</v>
      </c>
      <c r="BU3449" s="5" t="s">
        <v>238</v>
      </c>
      <c r="BV3449" s="5" t="s">
        <v>238</v>
      </c>
      <c r="BW3449" s="5" t="s">
        <v>238</v>
      </c>
      <c r="BX3449" s="5" t="s">
        <v>254</v>
      </c>
      <c r="BY3449" s="5" t="s">
        <v>238</v>
      </c>
      <c r="BZ3449" s="5" t="s">
        <v>238</v>
      </c>
      <c r="CA3449" s="5" t="s">
        <v>238</v>
      </c>
      <c r="CB3449" s="5" t="s">
        <v>238</v>
      </c>
      <c r="CC3449" s="5" t="s">
        <v>238</v>
      </c>
      <c r="CD3449" s="5" t="s">
        <v>273</v>
      </c>
      <c r="CE3449" s="5" t="s">
        <v>256</v>
      </c>
      <c r="CF3449" s="5" t="s">
        <v>238</v>
      </c>
      <c r="CH3449" s="5" t="s">
        <v>494</v>
      </c>
      <c r="CI3449" s="6" t="s">
        <v>257</v>
      </c>
      <c r="CJ3449" s="5" t="s">
        <v>495</v>
      </c>
      <c r="CK3449" s="5" t="s">
        <v>258</v>
      </c>
      <c r="CL3449" s="5" t="s">
        <v>496</v>
      </c>
      <c r="CM3449" s="5" t="s">
        <v>238</v>
      </c>
      <c r="CN3449" s="5">
        <v>0</v>
      </c>
      <c r="CO3449" s="5" t="s">
        <v>497</v>
      </c>
      <c r="CP3449" s="5" t="s">
        <v>260</v>
      </c>
      <c r="CQ3449" s="5" t="s">
        <v>260</v>
      </c>
      <c r="CR3449" s="5" t="s">
        <v>261</v>
      </c>
      <c r="CS3449" s="5" t="s">
        <v>498</v>
      </c>
      <c r="CT3449" s="7">
        <f>1</f>
        <v>1</v>
      </c>
      <c r="CU3449" s="8">
        <f>1</f>
        <v>1</v>
      </c>
      <c r="CV3449" s="8">
        <f>0</f>
        <v>0</v>
      </c>
      <c r="CX3449" s="8">
        <f>1</f>
        <v>1</v>
      </c>
      <c r="CY3449" s="8">
        <f>1</f>
        <v>1</v>
      </c>
      <c r="CZ3449" s="8" t="s">
        <v>238</v>
      </c>
      <c r="DA3449" s="5" t="s">
        <v>238</v>
      </c>
      <c r="DB3449" s="5" t="s">
        <v>238</v>
      </c>
      <c r="DC3449" s="5" t="s">
        <v>238</v>
      </c>
      <c r="DD3449" s="5" t="s">
        <v>238</v>
      </c>
      <c r="DE3449" s="8">
        <f>0</f>
        <v>0</v>
      </c>
      <c r="DG3449" s="5" t="s">
        <v>238</v>
      </c>
      <c r="DH3449" s="5" t="s">
        <v>238</v>
      </c>
      <c r="DI3449" s="5" t="s">
        <v>238</v>
      </c>
      <c r="DJ3449" s="5" t="s">
        <v>238</v>
      </c>
      <c r="DK3449" s="5" t="s">
        <v>238</v>
      </c>
      <c r="DL3449" s="5" t="s">
        <v>238</v>
      </c>
      <c r="DM3449" s="8" t="s">
        <v>238</v>
      </c>
      <c r="DN3449" s="5" t="s">
        <v>238</v>
      </c>
      <c r="DO3449" s="5" t="s">
        <v>238</v>
      </c>
      <c r="DP3449" s="5" t="s">
        <v>490</v>
      </c>
      <c r="DQ3449" s="5" t="s">
        <v>490</v>
      </c>
      <c r="DR3449" s="5" t="s">
        <v>238</v>
      </c>
      <c r="DS3449" s="5" t="s">
        <v>238</v>
      </c>
      <c r="DT3449" s="5" t="s">
        <v>500</v>
      </c>
      <c r="DU3449" s="5" t="s">
        <v>1013</v>
      </c>
      <c r="DV3449" s="5" t="s">
        <v>238</v>
      </c>
      <c r="DW3449" s="5" t="s">
        <v>238</v>
      </c>
      <c r="DX3449" s="5" t="s">
        <v>238</v>
      </c>
      <c r="DY3449" s="5" t="s">
        <v>238</v>
      </c>
      <c r="DZ3449" s="5" t="s">
        <v>238</v>
      </c>
      <c r="EA3449" s="5" t="s">
        <v>238</v>
      </c>
      <c r="EB3449" s="5" t="s">
        <v>238</v>
      </c>
      <c r="EC3449" s="5" t="s">
        <v>238</v>
      </c>
      <c r="ED3449" s="5" t="s">
        <v>238</v>
      </c>
      <c r="EE3449" s="5" t="s">
        <v>238</v>
      </c>
      <c r="EF3449" s="5" t="s">
        <v>238</v>
      </c>
      <c r="EG3449" s="5" t="s">
        <v>238</v>
      </c>
      <c r="EH3449" s="5" t="s">
        <v>238</v>
      </c>
      <c r="EI3449" s="5" t="s">
        <v>238</v>
      </c>
      <c r="EJ3449" s="5" t="s">
        <v>238</v>
      </c>
      <c r="EK3449" s="5" t="s">
        <v>238</v>
      </c>
      <c r="EL3449" s="5" t="s">
        <v>238</v>
      </c>
      <c r="EM3449" s="5" t="s">
        <v>238</v>
      </c>
      <c r="EN3449" s="5" t="s">
        <v>238</v>
      </c>
      <c r="EO3449" s="5" t="s">
        <v>238</v>
      </c>
      <c r="EP3449" s="5" t="s">
        <v>238</v>
      </c>
      <c r="EQ3449" s="5" t="s">
        <v>238</v>
      </c>
      <c r="ER3449" s="5" t="s">
        <v>238</v>
      </c>
      <c r="ES3449" s="5" t="s">
        <v>238</v>
      </c>
      <c r="ET3449" s="5" t="s">
        <v>238</v>
      </c>
      <c r="EU3449" s="5" t="s">
        <v>238</v>
      </c>
      <c r="EV3449" s="5" t="s">
        <v>238</v>
      </c>
      <c r="EW3449" s="5" t="s">
        <v>238</v>
      </c>
      <c r="EX3449" s="5" t="s">
        <v>238</v>
      </c>
      <c r="EY3449" s="5" t="s">
        <v>238</v>
      </c>
      <c r="EZ3449" s="5" t="s">
        <v>238</v>
      </c>
      <c r="FA3449" s="5" t="s">
        <v>238</v>
      </c>
      <c r="FB3449" s="5" t="s">
        <v>238</v>
      </c>
      <c r="FC3449" s="5" t="s">
        <v>238</v>
      </c>
      <c r="FD3449" s="5" t="s">
        <v>238</v>
      </c>
      <c r="FE3449" s="5" t="s">
        <v>238</v>
      </c>
      <c r="FF3449" s="5" t="s">
        <v>238</v>
      </c>
      <c r="FG3449" s="5" t="s">
        <v>238</v>
      </c>
      <c r="FH3449" s="5" t="s">
        <v>238</v>
      </c>
      <c r="FI3449" s="5" t="s">
        <v>238</v>
      </c>
      <c r="FJ3449" s="5" t="s">
        <v>238</v>
      </c>
      <c r="FK3449" s="5" t="s">
        <v>238</v>
      </c>
      <c r="FL3449" s="5" t="s">
        <v>238</v>
      </c>
      <c r="FM3449" s="5" t="s">
        <v>238</v>
      </c>
      <c r="FN3449" s="5" t="s">
        <v>238</v>
      </c>
      <c r="FO3449" s="5" t="s">
        <v>238</v>
      </c>
      <c r="FP3449" s="5" t="s">
        <v>238</v>
      </c>
      <c r="FQ3449" s="5" t="s">
        <v>238</v>
      </c>
      <c r="FR3449" s="5" t="s">
        <v>238</v>
      </c>
      <c r="FS3449" s="5" t="s">
        <v>238</v>
      </c>
      <c r="FT3449" s="5" t="s">
        <v>238</v>
      </c>
      <c r="FU3449" s="5" t="s">
        <v>238</v>
      </c>
      <c r="FV3449" s="5" t="s">
        <v>238</v>
      </c>
      <c r="FW3449" s="5" t="s">
        <v>238</v>
      </c>
      <c r="FX3449" s="5" t="s">
        <v>238</v>
      </c>
      <c r="FY3449" s="5" t="s">
        <v>238</v>
      </c>
      <c r="FZ3449" s="5" t="s">
        <v>238</v>
      </c>
      <c r="GA3449" s="5" t="s">
        <v>238</v>
      </c>
      <c r="GB3449" s="5" t="s">
        <v>238</v>
      </c>
      <c r="GC3449" s="5" t="s">
        <v>238</v>
      </c>
      <c r="GD3449" s="5" t="s">
        <v>238</v>
      </c>
      <c r="GE3449" s="5" t="s">
        <v>238</v>
      </c>
      <c r="GF3449" s="5" t="s">
        <v>238</v>
      </c>
      <c r="GG3449" s="5" t="s">
        <v>238</v>
      </c>
      <c r="GH3449" s="5" t="s">
        <v>238</v>
      </c>
      <c r="GI3449" s="5" t="s">
        <v>238</v>
      </c>
      <c r="GJ3449" s="5" t="s">
        <v>238</v>
      </c>
      <c r="GK3449" s="5" t="s">
        <v>238</v>
      </c>
      <c r="GL3449" s="5" t="s">
        <v>238</v>
      </c>
      <c r="GM3449" s="5" t="s">
        <v>238</v>
      </c>
      <c r="GN3449" s="5" t="s">
        <v>238</v>
      </c>
      <c r="GO3449" s="5" t="s">
        <v>238</v>
      </c>
      <c r="GP3449" s="5" t="s">
        <v>238</v>
      </c>
      <c r="GQ3449" s="5" t="s">
        <v>238</v>
      </c>
      <c r="GR3449" s="5" t="s">
        <v>238</v>
      </c>
      <c r="GS3449" s="5" t="s">
        <v>238</v>
      </c>
      <c r="GT3449" s="5" t="s">
        <v>238</v>
      </c>
      <c r="GU3449" s="5" t="s">
        <v>238</v>
      </c>
      <c r="GV3449" s="5" t="s">
        <v>238</v>
      </c>
      <c r="GW3449" s="5" t="s">
        <v>238</v>
      </c>
      <c r="GX3449" s="5" t="s">
        <v>238</v>
      </c>
      <c r="GY3449" s="5" t="s">
        <v>238</v>
      </c>
      <c r="GZ3449" s="5" t="s">
        <v>238</v>
      </c>
      <c r="HA3449" s="5" t="s">
        <v>238</v>
      </c>
      <c r="HB3449" s="5" t="s">
        <v>238</v>
      </c>
      <c r="HC3449" s="5" t="s">
        <v>238</v>
      </c>
      <c r="HD3449" s="5" t="s">
        <v>238</v>
      </c>
      <c r="HE3449" s="5" t="s">
        <v>238</v>
      </c>
      <c r="HF3449" s="5" t="s">
        <v>238</v>
      </c>
      <c r="HG3449" s="5" t="s">
        <v>238</v>
      </c>
      <c r="HH3449" s="5" t="s">
        <v>238</v>
      </c>
      <c r="HI3449" s="5" t="s">
        <v>238</v>
      </c>
      <c r="HJ3449" s="5" t="s">
        <v>238</v>
      </c>
      <c r="HK3449" s="5" t="s">
        <v>238</v>
      </c>
      <c r="HL3449" s="5" t="s">
        <v>238</v>
      </c>
      <c r="HM3449" s="5" t="s">
        <v>264</v>
      </c>
      <c r="HN3449" s="5" t="s">
        <v>238</v>
      </c>
      <c r="HO3449" s="5" t="s">
        <v>238</v>
      </c>
      <c r="HP3449" s="5" t="s">
        <v>238</v>
      </c>
      <c r="HQ3449" s="5" t="s">
        <v>238</v>
      </c>
      <c r="HR3449" s="5" t="s">
        <v>238</v>
      </c>
      <c r="HS3449" s="5" t="s">
        <v>238</v>
      </c>
      <c r="HT3449" s="5" t="s">
        <v>238</v>
      </c>
      <c r="HU3449" s="5" t="s">
        <v>238</v>
      </c>
      <c r="HV3449" s="5" t="s">
        <v>238</v>
      </c>
      <c r="HW3449" s="5" t="s">
        <v>238</v>
      </c>
      <c r="HX3449" s="5" t="s">
        <v>238</v>
      </c>
      <c r="HY3449" s="5" t="s">
        <v>238</v>
      </c>
      <c r="HZ3449" s="5" t="s">
        <v>238</v>
      </c>
      <c r="IA3449" s="5" t="s">
        <v>238</v>
      </c>
      <c r="IB3449" s="5" t="s">
        <v>238</v>
      </c>
      <c r="IC3449" s="5" t="s">
        <v>238</v>
      </c>
      <c r="ID3449" s="5" t="s">
        <v>238</v>
      </c>
    </row>
    <row r="3450" spans="1:238" x14ac:dyDescent="0.4">
      <c r="A3450" s="5">
        <v>9168</v>
      </c>
      <c r="B3450" s="5">
        <v>1</v>
      </c>
      <c r="C3450" s="5">
        <v>1</v>
      </c>
      <c r="D3450" s="5" t="s">
        <v>484</v>
      </c>
      <c r="E3450" s="5" t="s">
        <v>485</v>
      </c>
      <c r="F3450" s="5" t="s">
        <v>248</v>
      </c>
      <c r="G3450" s="5" t="s">
        <v>2129</v>
      </c>
      <c r="H3450" s="6" t="s">
        <v>2130</v>
      </c>
      <c r="I3450" s="8">
        <f>1</f>
        <v>1</v>
      </c>
      <c r="J3450" s="5" t="s">
        <v>499</v>
      </c>
      <c r="K3450" s="8">
        <f>1</f>
        <v>1</v>
      </c>
      <c r="L3450" s="6" t="s">
        <v>242</v>
      </c>
      <c r="M3450" s="5" t="s">
        <v>267</v>
      </c>
      <c r="N3450" s="5" t="s">
        <v>482</v>
      </c>
      <c r="O3450" s="5" t="s">
        <v>238</v>
      </c>
      <c r="P3450" s="5" t="s">
        <v>238</v>
      </c>
      <c r="Q3450" s="5" t="s">
        <v>239</v>
      </c>
      <c r="R3450" s="5" t="s">
        <v>270</v>
      </c>
      <c r="S3450" s="5" t="s">
        <v>238</v>
      </c>
      <c r="T3450" s="5" t="s">
        <v>238</v>
      </c>
      <c r="U3450" s="5" t="s">
        <v>238</v>
      </c>
      <c r="V3450" s="5" t="s">
        <v>238</v>
      </c>
      <c r="W3450" s="6" t="s">
        <v>238</v>
      </c>
      <c r="X3450" s="6" t="s">
        <v>238</v>
      </c>
      <c r="Y3450" s="5" t="s">
        <v>238</v>
      </c>
      <c r="Z3450" s="6" t="s">
        <v>238</v>
      </c>
      <c r="AA3450" s="6" t="s">
        <v>243</v>
      </c>
      <c r="AB3450" s="5" t="s">
        <v>486</v>
      </c>
      <c r="AC3450" s="5" t="s">
        <v>244</v>
      </c>
      <c r="AD3450" s="5" t="s">
        <v>245</v>
      </c>
      <c r="AE3450" s="5" t="s">
        <v>238</v>
      </c>
      <c r="AF3450" s="5" t="s">
        <v>238</v>
      </c>
      <c r="AG3450" s="5" t="s">
        <v>238</v>
      </c>
      <c r="AH3450" s="5" t="s">
        <v>238</v>
      </c>
      <c r="AI3450" s="5" t="s">
        <v>238</v>
      </c>
      <c r="AJ3450" s="5" t="s">
        <v>238</v>
      </c>
      <c r="AK3450" s="5" t="s">
        <v>238</v>
      </c>
      <c r="AL3450" s="5" t="s">
        <v>238</v>
      </c>
      <c r="AM3450" s="6" t="s">
        <v>238</v>
      </c>
      <c r="AN3450" s="6" t="s">
        <v>238</v>
      </c>
      <c r="AO3450" s="6" t="s">
        <v>238</v>
      </c>
      <c r="AP3450" s="6" t="s">
        <v>238</v>
      </c>
      <c r="AQ3450" s="5" t="s">
        <v>238</v>
      </c>
      <c r="AR3450" s="5" t="s">
        <v>488</v>
      </c>
      <c r="AS3450" s="5" t="s">
        <v>488</v>
      </c>
      <c r="AT3450" s="5" t="s">
        <v>246</v>
      </c>
      <c r="AU3450" s="5" t="s">
        <v>489</v>
      </c>
      <c r="AV3450" s="5" t="s">
        <v>247</v>
      </c>
      <c r="AW3450" s="5" t="s">
        <v>238</v>
      </c>
      <c r="AX3450" s="5" t="s">
        <v>249</v>
      </c>
      <c r="AY3450" s="5" t="s">
        <v>490</v>
      </c>
      <c r="BA3450" s="5" t="s">
        <v>238</v>
      </c>
      <c r="BC3450" s="5" t="s">
        <v>491</v>
      </c>
      <c r="BD3450" s="6" t="s">
        <v>492</v>
      </c>
      <c r="BE3450" s="5" t="s">
        <v>493</v>
      </c>
      <c r="BF3450" s="5" t="s">
        <v>493</v>
      </c>
      <c r="BG3450" s="5" t="s">
        <v>238</v>
      </c>
      <c r="BH3450" s="8">
        <f>1</f>
        <v>1</v>
      </c>
      <c r="BI3450" s="8">
        <f>1</f>
        <v>1</v>
      </c>
      <c r="BJ3450" s="5" t="s">
        <v>253</v>
      </c>
      <c r="BK3450" s="5" t="s">
        <v>254</v>
      </c>
      <c r="BL3450" s="5" t="s">
        <v>238</v>
      </c>
      <c r="BM3450" s="5" t="s">
        <v>238</v>
      </c>
      <c r="BN3450" s="5" t="s">
        <v>238</v>
      </c>
      <c r="BO3450" s="5" t="s">
        <v>238</v>
      </c>
      <c r="BP3450" s="5" t="s">
        <v>238</v>
      </c>
      <c r="BQ3450" s="5" t="s">
        <v>238</v>
      </c>
      <c r="BR3450" s="5" t="s">
        <v>238</v>
      </c>
      <c r="BS3450" s="5" t="s">
        <v>238</v>
      </c>
      <c r="BT3450" s="6" t="s">
        <v>238</v>
      </c>
      <c r="BU3450" s="5" t="s">
        <v>238</v>
      </c>
      <c r="BV3450" s="5" t="s">
        <v>238</v>
      </c>
      <c r="BW3450" s="5" t="s">
        <v>238</v>
      </c>
      <c r="BX3450" s="5" t="s">
        <v>254</v>
      </c>
      <c r="BY3450" s="5" t="s">
        <v>238</v>
      </c>
      <c r="BZ3450" s="5" t="s">
        <v>238</v>
      </c>
      <c r="CA3450" s="5" t="s">
        <v>238</v>
      </c>
      <c r="CB3450" s="5" t="s">
        <v>238</v>
      </c>
      <c r="CC3450" s="5" t="s">
        <v>238</v>
      </c>
      <c r="CD3450" s="5" t="s">
        <v>273</v>
      </c>
      <c r="CE3450" s="5" t="s">
        <v>256</v>
      </c>
      <c r="CF3450" s="5" t="s">
        <v>238</v>
      </c>
      <c r="CH3450" s="5" t="s">
        <v>494</v>
      </c>
      <c r="CI3450" s="6" t="s">
        <v>257</v>
      </c>
      <c r="CJ3450" s="5" t="s">
        <v>495</v>
      </c>
      <c r="CK3450" s="5" t="s">
        <v>258</v>
      </c>
      <c r="CL3450" s="5" t="s">
        <v>496</v>
      </c>
      <c r="CM3450" s="5" t="s">
        <v>238</v>
      </c>
      <c r="CN3450" s="5">
        <v>0</v>
      </c>
      <c r="CO3450" s="5" t="s">
        <v>497</v>
      </c>
      <c r="CP3450" s="5" t="s">
        <v>260</v>
      </c>
      <c r="CQ3450" s="5" t="s">
        <v>260</v>
      </c>
      <c r="CR3450" s="5" t="s">
        <v>261</v>
      </c>
      <c r="CS3450" s="5" t="s">
        <v>498</v>
      </c>
      <c r="CT3450" s="7">
        <f>1</f>
        <v>1</v>
      </c>
      <c r="CU3450" s="8">
        <f>1</f>
        <v>1</v>
      </c>
      <c r="CV3450" s="8">
        <f>0</f>
        <v>0</v>
      </c>
      <c r="CX3450" s="8">
        <f>1</f>
        <v>1</v>
      </c>
      <c r="CY3450" s="8">
        <f>1</f>
        <v>1</v>
      </c>
      <c r="CZ3450" s="8" t="s">
        <v>238</v>
      </c>
      <c r="DA3450" s="5" t="s">
        <v>238</v>
      </c>
      <c r="DB3450" s="5" t="s">
        <v>238</v>
      </c>
      <c r="DC3450" s="5" t="s">
        <v>238</v>
      </c>
      <c r="DD3450" s="5" t="s">
        <v>238</v>
      </c>
      <c r="DE3450" s="8">
        <f>0</f>
        <v>0</v>
      </c>
      <c r="DG3450" s="5" t="s">
        <v>238</v>
      </c>
      <c r="DH3450" s="5" t="s">
        <v>238</v>
      </c>
      <c r="DI3450" s="5" t="s">
        <v>238</v>
      </c>
      <c r="DJ3450" s="5" t="s">
        <v>238</v>
      </c>
      <c r="DK3450" s="5" t="s">
        <v>238</v>
      </c>
      <c r="DL3450" s="5" t="s">
        <v>238</v>
      </c>
      <c r="DM3450" s="8" t="s">
        <v>238</v>
      </c>
      <c r="DN3450" s="5" t="s">
        <v>238</v>
      </c>
      <c r="DO3450" s="5" t="s">
        <v>238</v>
      </c>
      <c r="DP3450" s="5" t="s">
        <v>490</v>
      </c>
      <c r="DQ3450" s="5" t="s">
        <v>490</v>
      </c>
      <c r="DR3450" s="5" t="s">
        <v>238</v>
      </c>
      <c r="DS3450" s="5" t="s">
        <v>238</v>
      </c>
      <c r="DT3450" s="5" t="s">
        <v>500</v>
      </c>
      <c r="DU3450" s="5" t="s">
        <v>2131</v>
      </c>
      <c r="DV3450" s="5" t="s">
        <v>238</v>
      </c>
      <c r="DW3450" s="5" t="s">
        <v>238</v>
      </c>
      <c r="DX3450" s="5" t="s">
        <v>238</v>
      </c>
      <c r="DY3450" s="5" t="s">
        <v>238</v>
      </c>
      <c r="DZ3450" s="5" t="s">
        <v>238</v>
      </c>
      <c r="EA3450" s="5" t="s">
        <v>238</v>
      </c>
      <c r="EB3450" s="5" t="s">
        <v>238</v>
      </c>
      <c r="EC3450" s="5" t="s">
        <v>238</v>
      </c>
      <c r="ED3450" s="5" t="s">
        <v>238</v>
      </c>
      <c r="EE3450" s="5" t="s">
        <v>238</v>
      </c>
      <c r="EF3450" s="5" t="s">
        <v>238</v>
      </c>
      <c r="EG3450" s="5" t="s">
        <v>238</v>
      </c>
      <c r="EH3450" s="5" t="s">
        <v>238</v>
      </c>
      <c r="EI3450" s="5" t="s">
        <v>238</v>
      </c>
      <c r="EJ3450" s="5" t="s">
        <v>238</v>
      </c>
      <c r="EK3450" s="5" t="s">
        <v>238</v>
      </c>
      <c r="EL3450" s="5" t="s">
        <v>238</v>
      </c>
      <c r="EM3450" s="5" t="s">
        <v>238</v>
      </c>
      <c r="EN3450" s="5" t="s">
        <v>238</v>
      </c>
      <c r="EO3450" s="5" t="s">
        <v>238</v>
      </c>
      <c r="EP3450" s="5" t="s">
        <v>238</v>
      </c>
      <c r="EQ3450" s="5" t="s">
        <v>238</v>
      </c>
      <c r="ER3450" s="5" t="s">
        <v>238</v>
      </c>
      <c r="ES3450" s="5" t="s">
        <v>238</v>
      </c>
      <c r="ET3450" s="5" t="s">
        <v>238</v>
      </c>
      <c r="EU3450" s="5" t="s">
        <v>238</v>
      </c>
      <c r="EV3450" s="5" t="s">
        <v>238</v>
      </c>
      <c r="EW3450" s="5" t="s">
        <v>238</v>
      </c>
      <c r="EX3450" s="5" t="s">
        <v>238</v>
      </c>
      <c r="EY3450" s="5" t="s">
        <v>238</v>
      </c>
      <c r="EZ3450" s="5" t="s">
        <v>238</v>
      </c>
      <c r="FA3450" s="5" t="s">
        <v>238</v>
      </c>
      <c r="FB3450" s="5" t="s">
        <v>238</v>
      </c>
      <c r="FC3450" s="5" t="s">
        <v>238</v>
      </c>
      <c r="FD3450" s="5" t="s">
        <v>238</v>
      </c>
      <c r="FE3450" s="5" t="s">
        <v>238</v>
      </c>
      <c r="FF3450" s="5" t="s">
        <v>238</v>
      </c>
      <c r="FG3450" s="5" t="s">
        <v>238</v>
      </c>
      <c r="FH3450" s="5" t="s">
        <v>238</v>
      </c>
      <c r="FI3450" s="5" t="s">
        <v>238</v>
      </c>
      <c r="FJ3450" s="5" t="s">
        <v>238</v>
      </c>
      <c r="FK3450" s="5" t="s">
        <v>238</v>
      </c>
      <c r="FL3450" s="5" t="s">
        <v>238</v>
      </c>
      <c r="FM3450" s="5" t="s">
        <v>238</v>
      </c>
      <c r="FN3450" s="5" t="s">
        <v>238</v>
      </c>
      <c r="FO3450" s="5" t="s">
        <v>238</v>
      </c>
      <c r="FP3450" s="5" t="s">
        <v>238</v>
      </c>
      <c r="FQ3450" s="5" t="s">
        <v>238</v>
      </c>
      <c r="FR3450" s="5" t="s">
        <v>238</v>
      </c>
      <c r="FS3450" s="5" t="s">
        <v>238</v>
      </c>
      <c r="FT3450" s="5" t="s">
        <v>238</v>
      </c>
      <c r="FU3450" s="5" t="s">
        <v>238</v>
      </c>
      <c r="FV3450" s="5" t="s">
        <v>238</v>
      </c>
      <c r="FW3450" s="5" t="s">
        <v>238</v>
      </c>
      <c r="FX3450" s="5" t="s">
        <v>238</v>
      </c>
      <c r="FY3450" s="5" t="s">
        <v>238</v>
      </c>
      <c r="FZ3450" s="5" t="s">
        <v>238</v>
      </c>
      <c r="GA3450" s="5" t="s">
        <v>238</v>
      </c>
      <c r="GB3450" s="5" t="s">
        <v>238</v>
      </c>
      <c r="GC3450" s="5" t="s">
        <v>238</v>
      </c>
      <c r="GD3450" s="5" t="s">
        <v>238</v>
      </c>
      <c r="GE3450" s="5" t="s">
        <v>238</v>
      </c>
      <c r="GF3450" s="5" t="s">
        <v>238</v>
      </c>
      <c r="GG3450" s="5" t="s">
        <v>238</v>
      </c>
      <c r="GH3450" s="5" t="s">
        <v>238</v>
      </c>
      <c r="GI3450" s="5" t="s">
        <v>238</v>
      </c>
      <c r="GJ3450" s="5" t="s">
        <v>238</v>
      </c>
      <c r="GK3450" s="5" t="s">
        <v>238</v>
      </c>
      <c r="GL3450" s="5" t="s">
        <v>238</v>
      </c>
      <c r="GM3450" s="5" t="s">
        <v>238</v>
      </c>
      <c r="GN3450" s="5" t="s">
        <v>238</v>
      </c>
      <c r="GO3450" s="5" t="s">
        <v>238</v>
      </c>
      <c r="GP3450" s="5" t="s">
        <v>238</v>
      </c>
      <c r="GQ3450" s="5" t="s">
        <v>238</v>
      </c>
      <c r="GR3450" s="5" t="s">
        <v>238</v>
      </c>
      <c r="GS3450" s="5" t="s">
        <v>238</v>
      </c>
      <c r="GT3450" s="5" t="s">
        <v>238</v>
      </c>
      <c r="GU3450" s="5" t="s">
        <v>238</v>
      </c>
      <c r="GV3450" s="5" t="s">
        <v>238</v>
      </c>
      <c r="GW3450" s="5" t="s">
        <v>238</v>
      </c>
      <c r="GX3450" s="5" t="s">
        <v>238</v>
      </c>
      <c r="GY3450" s="5" t="s">
        <v>238</v>
      </c>
      <c r="GZ3450" s="5" t="s">
        <v>238</v>
      </c>
      <c r="HA3450" s="5" t="s">
        <v>238</v>
      </c>
      <c r="HB3450" s="5" t="s">
        <v>238</v>
      </c>
      <c r="HC3450" s="5" t="s">
        <v>238</v>
      </c>
      <c r="HD3450" s="5" t="s">
        <v>238</v>
      </c>
      <c r="HE3450" s="5" t="s">
        <v>238</v>
      </c>
      <c r="HF3450" s="5" t="s">
        <v>238</v>
      </c>
      <c r="HG3450" s="5" t="s">
        <v>238</v>
      </c>
      <c r="HH3450" s="5" t="s">
        <v>238</v>
      </c>
      <c r="HI3450" s="5" t="s">
        <v>238</v>
      </c>
      <c r="HJ3450" s="5" t="s">
        <v>238</v>
      </c>
      <c r="HK3450" s="5" t="s">
        <v>238</v>
      </c>
      <c r="HL3450" s="5" t="s">
        <v>238</v>
      </c>
      <c r="HM3450" s="5" t="s">
        <v>264</v>
      </c>
      <c r="HN3450" s="5" t="s">
        <v>238</v>
      </c>
      <c r="HO3450" s="5" t="s">
        <v>238</v>
      </c>
      <c r="HP3450" s="5" t="s">
        <v>238</v>
      </c>
      <c r="HQ3450" s="5" t="s">
        <v>238</v>
      </c>
      <c r="HR3450" s="5" t="s">
        <v>238</v>
      </c>
      <c r="HS3450" s="5" t="s">
        <v>238</v>
      </c>
      <c r="HT3450" s="5" t="s">
        <v>238</v>
      </c>
      <c r="HU3450" s="5" t="s">
        <v>238</v>
      </c>
      <c r="HV3450" s="5" t="s">
        <v>238</v>
      </c>
      <c r="HW3450" s="5" t="s">
        <v>238</v>
      </c>
      <c r="HX3450" s="5" t="s">
        <v>238</v>
      </c>
      <c r="HY3450" s="5" t="s">
        <v>238</v>
      </c>
      <c r="HZ3450" s="5" t="s">
        <v>238</v>
      </c>
      <c r="IA3450" s="5" t="s">
        <v>238</v>
      </c>
      <c r="IB3450" s="5" t="s">
        <v>238</v>
      </c>
      <c r="IC3450" s="5" t="s">
        <v>238</v>
      </c>
      <c r="ID3450" s="5" t="s">
        <v>238</v>
      </c>
    </row>
    <row r="3451" spans="1:238" x14ac:dyDescent="0.4">
      <c r="A3451" s="5">
        <v>9169</v>
      </c>
      <c r="B3451" s="5">
        <v>1</v>
      </c>
      <c r="C3451" s="5">
        <v>1</v>
      </c>
      <c r="D3451" s="5" t="s">
        <v>484</v>
      </c>
      <c r="E3451" s="5" t="s">
        <v>485</v>
      </c>
      <c r="F3451" s="5" t="s">
        <v>248</v>
      </c>
      <c r="G3451" s="5" t="s">
        <v>5410</v>
      </c>
      <c r="H3451" s="6" t="s">
        <v>5411</v>
      </c>
      <c r="I3451" s="8">
        <f>1</f>
        <v>1</v>
      </c>
      <c r="J3451" s="5" t="s">
        <v>499</v>
      </c>
      <c r="K3451" s="8">
        <f>1</f>
        <v>1</v>
      </c>
      <c r="L3451" s="6" t="s">
        <v>242</v>
      </c>
      <c r="M3451" s="5" t="s">
        <v>267</v>
      </c>
      <c r="N3451" s="5" t="s">
        <v>482</v>
      </c>
      <c r="O3451" s="5" t="s">
        <v>238</v>
      </c>
      <c r="P3451" s="5" t="s">
        <v>238</v>
      </c>
      <c r="Q3451" s="5" t="s">
        <v>239</v>
      </c>
      <c r="R3451" s="5" t="s">
        <v>270</v>
      </c>
      <c r="S3451" s="5" t="s">
        <v>238</v>
      </c>
      <c r="T3451" s="5" t="s">
        <v>238</v>
      </c>
      <c r="U3451" s="5" t="s">
        <v>238</v>
      </c>
      <c r="V3451" s="5" t="s">
        <v>238</v>
      </c>
      <c r="W3451" s="6" t="s">
        <v>238</v>
      </c>
      <c r="X3451" s="6" t="s">
        <v>238</v>
      </c>
      <c r="Y3451" s="5" t="s">
        <v>238</v>
      </c>
      <c r="Z3451" s="6" t="s">
        <v>238</v>
      </c>
      <c r="AA3451" s="6" t="s">
        <v>243</v>
      </c>
      <c r="AB3451" s="5" t="s">
        <v>486</v>
      </c>
      <c r="AC3451" s="5" t="s">
        <v>244</v>
      </c>
      <c r="AD3451" s="5" t="s">
        <v>245</v>
      </c>
      <c r="AE3451" s="5" t="s">
        <v>238</v>
      </c>
      <c r="AF3451" s="5" t="s">
        <v>238</v>
      </c>
      <c r="AG3451" s="5" t="s">
        <v>238</v>
      </c>
      <c r="AH3451" s="5" t="s">
        <v>238</v>
      </c>
      <c r="AI3451" s="5" t="s">
        <v>238</v>
      </c>
      <c r="AJ3451" s="5" t="s">
        <v>238</v>
      </c>
      <c r="AK3451" s="5" t="s">
        <v>238</v>
      </c>
      <c r="AL3451" s="5" t="s">
        <v>238</v>
      </c>
      <c r="AM3451" s="6" t="s">
        <v>238</v>
      </c>
      <c r="AN3451" s="6" t="s">
        <v>238</v>
      </c>
      <c r="AO3451" s="6" t="s">
        <v>238</v>
      </c>
      <c r="AP3451" s="6" t="s">
        <v>238</v>
      </c>
      <c r="AQ3451" s="5" t="s">
        <v>238</v>
      </c>
      <c r="AR3451" s="5" t="s">
        <v>488</v>
      </c>
      <c r="AS3451" s="5" t="s">
        <v>488</v>
      </c>
      <c r="AT3451" s="5" t="s">
        <v>246</v>
      </c>
      <c r="AU3451" s="5" t="s">
        <v>489</v>
      </c>
      <c r="AV3451" s="5" t="s">
        <v>247</v>
      </c>
      <c r="AW3451" s="5" t="s">
        <v>238</v>
      </c>
      <c r="AX3451" s="5" t="s">
        <v>249</v>
      </c>
      <c r="AY3451" s="5" t="s">
        <v>490</v>
      </c>
      <c r="BA3451" s="5" t="s">
        <v>238</v>
      </c>
      <c r="BC3451" s="5" t="s">
        <v>491</v>
      </c>
      <c r="BD3451" s="6" t="s">
        <v>492</v>
      </c>
      <c r="BE3451" s="5" t="s">
        <v>493</v>
      </c>
      <c r="BF3451" s="5" t="s">
        <v>493</v>
      </c>
      <c r="BG3451" s="5" t="s">
        <v>238</v>
      </c>
      <c r="BH3451" s="8">
        <f>1</f>
        <v>1</v>
      </c>
      <c r="BI3451" s="8">
        <f>1</f>
        <v>1</v>
      </c>
      <c r="BJ3451" s="5" t="s">
        <v>253</v>
      </c>
      <c r="BK3451" s="5" t="s">
        <v>254</v>
      </c>
      <c r="BL3451" s="5" t="s">
        <v>238</v>
      </c>
      <c r="BM3451" s="5" t="s">
        <v>238</v>
      </c>
      <c r="BN3451" s="5" t="s">
        <v>238</v>
      </c>
      <c r="BO3451" s="5" t="s">
        <v>238</v>
      </c>
      <c r="BP3451" s="5" t="s">
        <v>238</v>
      </c>
      <c r="BQ3451" s="5" t="s">
        <v>238</v>
      </c>
      <c r="BR3451" s="5" t="s">
        <v>238</v>
      </c>
      <c r="BS3451" s="5" t="s">
        <v>238</v>
      </c>
      <c r="BT3451" s="6" t="s">
        <v>238</v>
      </c>
      <c r="BU3451" s="5" t="s">
        <v>238</v>
      </c>
      <c r="BV3451" s="5" t="s">
        <v>238</v>
      </c>
      <c r="BW3451" s="5" t="s">
        <v>238</v>
      </c>
      <c r="BX3451" s="5" t="s">
        <v>254</v>
      </c>
      <c r="BY3451" s="5" t="s">
        <v>238</v>
      </c>
      <c r="BZ3451" s="5" t="s">
        <v>238</v>
      </c>
      <c r="CA3451" s="5" t="s">
        <v>238</v>
      </c>
      <c r="CB3451" s="5" t="s">
        <v>238</v>
      </c>
      <c r="CC3451" s="5" t="s">
        <v>238</v>
      </c>
      <c r="CD3451" s="5" t="s">
        <v>273</v>
      </c>
      <c r="CE3451" s="5" t="s">
        <v>256</v>
      </c>
      <c r="CF3451" s="5" t="s">
        <v>238</v>
      </c>
      <c r="CH3451" s="5" t="s">
        <v>494</v>
      </c>
      <c r="CI3451" s="6" t="s">
        <v>257</v>
      </c>
      <c r="CJ3451" s="5" t="s">
        <v>495</v>
      </c>
      <c r="CK3451" s="5" t="s">
        <v>258</v>
      </c>
      <c r="CL3451" s="5" t="s">
        <v>496</v>
      </c>
      <c r="CM3451" s="5" t="s">
        <v>238</v>
      </c>
      <c r="CN3451" s="5">
        <v>0</v>
      </c>
      <c r="CO3451" s="5" t="s">
        <v>497</v>
      </c>
      <c r="CP3451" s="5" t="s">
        <v>260</v>
      </c>
      <c r="CQ3451" s="5" t="s">
        <v>260</v>
      </c>
      <c r="CR3451" s="5" t="s">
        <v>261</v>
      </c>
      <c r="CS3451" s="5" t="s">
        <v>498</v>
      </c>
      <c r="CT3451" s="7">
        <f>1</f>
        <v>1</v>
      </c>
      <c r="CU3451" s="8">
        <f>1</f>
        <v>1</v>
      </c>
      <c r="CV3451" s="8">
        <f>0</f>
        <v>0</v>
      </c>
      <c r="CX3451" s="8">
        <f>1</f>
        <v>1</v>
      </c>
      <c r="CY3451" s="8">
        <f>1</f>
        <v>1</v>
      </c>
      <c r="CZ3451" s="8" t="s">
        <v>238</v>
      </c>
      <c r="DA3451" s="5" t="s">
        <v>238</v>
      </c>
      <c r="DB3451" s="5" t="s">
        <v>238</v>
      </c>
      <c r="DC3451" s="5" t="s">
        <v>238</v>
      </c>
      <c r="DD3451" s="5" t="s">
        <v>238</v>
      </c>
      <c r="DE3451" s="8">
        <f>0</f>
        <v>0</v>
      </c>
      <c r="DG3451" s="5" t="s">
        <v>238</v>
      </c>
      <c r="DH3451" s="5" t="s">
        <v>238</v>
      </c>
      <c r="DI3451" s="5" t="s">
        <v>238</v>
      </c>
      <c r="DJ3451" s="5" t="s">
        <v>238</v>
      </c>
      <c r="DK3451" s="5" t="s">
        <v>238</v>
      </c>
      <c r="DL3451" s="5" t="s">
        <v>238</v>
      </c>
      <c r="DM3451" s="8" t="s">
        <v>238</v>
      </c>
      <c r="DN3451" s="5" t="s">
        <v>238</v>
      </c>
      <c r="DO3451" s="5" t="s">
        <v>238</v>
      </c>
      <c r="DP3451" s="5" t="s">
        <v>490</v>
      </c>
      <c r="DQ3451" s="5" t="s">
        <v>490</v>
      </c>
      <c r="DR3451" s="5" t="s">
        <v>238</v>
      </c>
      <c r="DS3451" s="5" t="s">
        <v>238</v>
      </c>
      <c r="DT3451" s="5" t="s">
        <v>500</v>
      </c>
      <c r="DU3451" s="5" t="s">
        <v>1305</v>
      </c>
      <c r="DV3451" s="5" t="s">
        <v>238</v>
      </c>
      <c r="DW3451" s="5" t="s">
        <v>238</v>
      </c>
      <c r="DX3451" s="5" t="s">
        <v>238</v>
      </c>
      <c r="DY3451" s="5" t="s">
        <v>238</v>
      </c>
      <c r="DZ3451" s="5" t="s">
        <v>238</v>
      </c>
      <c r="EA3451" s="5" t="s">
        <v>238</v>
      </c>
      <c r="EB3451" s="5" t="s">
        <v>238</v>
      </c>
      <c r="EC3451" s="5" t="s">
        <v>238</v>
      </c>
      <c r="ED3451" s="5" t="s">
        <v>238</v>
      </c>
      <c r="EE3451" s="5" t="s">
        <v>238</v>
      </c>
      <c r="EF3451" s="5" t="s">
        <v>238</v>
      </c>
      <c r="EG3451" s="5" t="s">
        <v>238</v>
      </c>
      <c r="EH3451" s="5" t="s">
        <v>238</v>
      </c>
      <c r="EI3451" s="5" t="s">
        <v>238</v>
      </c>
      <c r="EJ3451" s="5" t="s">
        <v>238</v>
      </c>
      <c r="EK3451" s="5" t="s">
        <v>238</v>
      </c>
      <c r="EL3451" s="5" t="s">
        <v>238</v>
      </c>
      <c r="EM3451" s="5" t="s">
        <v>238</v>
      </c>
      <c r="EN3451" s="5" t="s">
        <v>238</v>
      </c>
      <c r="EO3451" s="5" t="s">
        <v>238</v>
      </c>
      <c r="EP3451" s="5" t="s">
        <v>238</v>
      </c>
      <c r="EQ3451" s="5" t="s">
        <v>238</v>
      </c>
      <c r="ER3451" s="5" t="s">
        <v>238</v>
      </c>
      <c r="ES3451" s="5" t="s">
        <v>238</v>
      </c>
      <c r="ET3451" s="5" t="s">
        <v>238</v>
      </c>
      <c r="EU3451" s="5" t="s">
        <v>238</v>
      </c>
      <c r="EV3451" s="5" t="s">
        <v>238</v>
      </c>
      <c r="EW3451" s="5" t="s">
        <v>238</v>
      </c>
      <c r="EX3451" s="5" t="s">
        <v>238</v>
      </c>
      <c r="EY3451" s="5" t="s">
        <v>238</v>
      </c>
      <c r="EZ3451" s="5" t="s">
        <v>238</v>
      </c>
      <c r="FA3451" s="5" t="s">
        <v>238</v>
      </c>
      <c r="FB3451" s="5" t="s">
        <v>238</v>
      </c>
      <c r="FC3451" s="5" t="s">
        <v>238</v>
      </c>
      <c r="FD3451" s="5" t="s">
        <v>238</v>
      </c>
      <c r="FE3451" s="5" t="s">
        <v>238</v>
      </c>
      <c r="FF3451" s="5" t="s">
        <v>238</v>
      </c>
      <c r="FG3451" s="5" t="s">
        <v>238</v>
      </c>
      <c r="FH3451" s="5" t="s">
        <v>238</v>
      </c>
      <c r="FI3451" s="5" t="s">
        <v>238</v>
      </c>
      <c r="FJ3451" s="5" t="s">
        <v>238</v>
      </c>
      <c r="FK3451" s="5" t="s">
        <v>238</v>
      </c>
      <c r="FL3451" s="5" t="s">
        <v>238</v>
      </c>
      <c r="FM3451" s="5" t="s">
        <v>238</v>
      </c>
      <c r="FN3451" s="5" t="s">
        <v>238</v>
      </c>
      <c r="FO3451" s="5" t="s">
        <v>238</v>
      </c>
      <c r="FP3451" s="5" t="s">
        <v>238</v>
      </c>
      <c r="FQ3451" s="5" t="s">
        <v>238</v>
      </c>
      <c r="FR3451" s="5" t="s">
        <v>238</v>
      </c>
      <c r="FS3451" s="5" t="s">
        <v>238</v>
      </c>
      <c r="FT3451" s="5" t="s">
        <v>238</v>
      </c>
      <c r="FU3451" s="5" t="s">
        <v>238</v>
      </c>
      <c r="FV3451" s="5" t="s">
        <v>238</v>
      </c>
      <c r="FW3451" s="5" t="s">
        <v>238</v>
      </c>
      <c r="FX3451" s="5" t="s">
        <v>238</v>
      </c>
      <c r="FY3451" s="5" t="s">
        <v>238</v>
      </c>
      <c r="FZ3451" s="5" t="s">
        <v>238</v>
      </c>
      <c r="GA3451" s="5" t="s">
        <v>238</v>
      </c>
      <c r="GB3451" s="5" t="s">
        <v>238</v>
      </c>
      <c r="GC3451" s="5" t="s">
        <v>238</v>
      </c>
      <c r="GD3451" s="5" t="s">
        <v>238</v>
      </c>
      <c r="GE3451" s="5" t="s">
        <v>238</v>
      </c>
      <c r="GF3451" s="5" t="s">
        <v>238</v>
      </c>
      <c r="GG3451" s="5" t="s">
        <v>238</v>
      </c>
      <c r="GH3451" s="5" t="s">
        <v>238</v>
      </c>
      <c r="GI3451" s="5" t="s">
        <v>238</v>
      </c>
      <c r="GJ3451" s="5" t="s">
        <v>238</v>
      </c>
      <c r="GK3451" s="5" t="s">
        <v>238</v>
      </c>
      <c r="GL3451" s="5" t="s">
        <v>238</v>
      </c>
      <c r="GM3451" s="5" t="s">
        <v>238</v>
      </c>
      <c r="GN3451" s="5" t="s">
        <v>238</v>
      </c>
      <c r="GO3451" s="5" t="s">
        <v>238</v>
      </c>
      <c r="GP3451" s="5" t="s">
        <v>238</v>
      </c>
      <c r="GQ3451" s="5" t="s">
        <v>238</v>
      </c>
      <c r="GR3451" s="5" t="s">
        <v>238</v>
      </c>
      <c r="GS3451" s="5" t="s">
        <v>238</v>
      </c>
      <c r="GT3451" s="5" t="s">
        <v>238</v>
      </c>
      <c r="GU3451" s="5" t="s">
        <v>238</v>
      </c>
      <c r="GV3451" s="5" t="s">
        <v>238</v>
      </c>
      <c r="GW3451" s="5" t="s">
        <v>238</v>
      </c>
      <c r="GX3451" s="5" t="s">
        <v>238</v>
      </c>
      <c r="GY3451" s="5" t="s">
        <v>238</v>
      </c>
      <c r="GZ3451" s="5" t="s">
        <v>238</v>
      </c>
      <c r="HA3451" s="5" t="s">
        <v>238</v>
      </c>
      <c r="HB3451" s="5" t="s">
        <v>238</v>
      </c>
      <c r="HC3451" s="5" t="s">
        <v>238</v>
      </c>
      <c r="HD3451" s="5" t="s">
        <v>238</v>
      </c>
      <c r="HE3451" s="5" t="s">
        <v>238</v>
      </c>
      <c r="HF3451" s="5" t="s">
        <v>238</v>
      </c>
      <c r="HG3451" s="5" t="s">
        <v>238</v>
      </c>
      <c r="HH3451" s="5" t="s">
        <v>238</v>
      </c>
      <c r="HI3451" s="5" t="s">
        <v>238</v>
      </c>
      <c r="HJ3451" s="5" t="s">
        <v>238</v>
      </c>
      <c r="HK3451" s="5" t="s">
        <v>238</v>
      </c>
      <c r="HL3451" s="5" t="s">
        <v>238</v>
      </c>
      <c r="HM3451" s="5" t="s">
        <v>264</v>
      </c>
      <c r="HN3451" s="5" t="s">
        <v>238</v>
      </c>
      <c r="HO3451" s="5" t="s">
        <v>238</v>
      </c>
      <c r="HP3451" s="5" t="s">
        <v>238</v>
      </c>
      <c r="HQ3451" s="5" t="s">
        <v>238</v>
      </c>
      <c r="HR3451" s="5" t="s">
        <v>238</v>
      </c>
      <c r="HS3451" s="5" t="s">
        <v>238</v>
      </c>
      <c r="HT3451" s="5" t="s">
        <v>238</v>
      </c>
      <c r="HU3451" s="5" t="s">
        <v>238</v>
      </c>
      <c r="HV3451" s="5" t="s">
        <v>238</v>
      </c>
      <c r="HW3451" s="5" t="s">
        <v>238</v>
      </c>
      <c r="HX3451" s="5" t="s">
        <v>238</v>
      </c>
      <c r="HY3451" s="5" t="s">
        <v>238</v>
      </c>
      <c r="HZ3451" s="5" t="s">
        <v>238</v>
      </c>
      <c r="IA3451" s="5" t="s">
        <v>238</v>
      </c>
      <c r="IB3451" s="5" t="s">
        <v>238</v>
      </c>
      <c r="IC3451" s="5" t="s">
        <v>238</v>
      </c>
      <c r="ID3451" s="5" t="s">
        <v>238</v>
      </c>
    </row>
    <row r="3452" spans="1:238" x14ac:dyDescent="0.4">
      <c r="A3452" s="5">
        <v>9170</v>
      </c>
      <c r="B3452" s="5">
        <v>1</v>
      </c>
      <c r="C3452" s="5">
        <v>1</v>
      </c>
      <c r="D3452" s="5" t="s">
        <v>484</v>
      </c>
      <c r="E3452" s="5" t="s">
        <v>485</v>
      </c>
      <c r="F3452" s="5" t="s">
        <v>248</v>
      </c>
      <c r="G3452" s="5" t="s">
        <v>5593</v>
      </c>
      <c r="H3452" s="6" t="s">
        <v>5593</v>
      </c>
      <c r="I3452" s="8">
        <f>1</f>
        <v>1</v>
      </c>
      <c r="J3452" s="5" t="s">
        <v>499</v>
      </c>
      <c r="K3452" s="8">
        <f>1</f>
        <v>1</v>
      </c>
      <c r="L3452" s="6" t="s">
        <v>242</v>
      </c>
      <c r="M3452" s="5" t="s">
        <v>267</v>
      </c>
      <c r="N3452" s="5" t="s">
        <v>482</v>
      </c>
      <c r="O3452" s="5" t="s">
        <v>238</v>
      </c>
      <c r="P3452" s="5" t="s">
        <v>238</v>
      </c>
      <c r="Q3452" s="5" t="s">
        <v>239</v>
      </c>
      <c r="R3452" s="5" t="s">
        <v>270</v>
      </c>
      <c r="S3452" s="5" t="s">
        <v>238</v>
      </c>
      <c r="T3452" s="5" t="s">
        <v>238</v>
      </c>
      <c r="U3452" s="5" t="s">
        <v>238</v>
      </c>
      <c r="V3452" s="5" t="s">
        <v>238</v>
      </c>
      <c r="W3452" s="6" t="s">
        <v>238</v>
      </c>
      <c r="X3452" s="6" t="s">
        <v>238</v>
      </c>
      <c r="Y3452" s="5" t="s">
        <v>238</v>
      </c>
      <c r="Z3452" s="6" t="s">
        <v>238</v>
      </c>
      <c r="AA3452" s="6" t="s">
        <v>243</v>
      </c>
      <c r="AB3452" s="5" t="s">
        <v>5594</v>
      </c>
      <c r="AC3452" s="5" t="s">
        <v>244</v>
      </c>
      <c r="AD3452" s="5" t="s">
        <v>245</v>
      </c>
      <c r="AE3452" s="5" t="s">
        <v>238</v>
      </c>
      <c r="AF3452" s="5" t="s">
        <v>238</v>
      </c>
      <c r="AG3452" s="5" t="s">
        <v>238</v>
      </c>
      <c r="AH3452" s="5" t="s">
        <v>238</v>
      </c>
      <c r="AI3452" s="5" t="s">
        <v>238</v>
      </c>
      <c r="AJ3452" s="5" t="s">
        <v>238</v>
      </c>
      <c r="AK3452" s="5" t="s">
        <v>238</v>
      </c>
      <c r="AL3452" s="5" t="s">
        <v>238</v>
      </c>
      <c r="AM3452" s="6" t="s">
        <v>238</v>
      </c>
      <c r="AN3452" s="6" t="s">
        <v>238</v>
      </c>
      <c r="AO3452" s="6" t="s">
        <v>238</v>
      </c>
      <c r="AP3452" s="6" t="s">
        <v>238</v>
      </c>
      <c r="AQ3452" s="5" t="s">
        <v>238</v>
      </c>
      <c r="AR3452" s="5" t="s">
        <v>488</v>
      </c>
      <c r="AS3452" s="5" t="s">
        <v>488</v>
      </c>
      <c r="AT3452" s="5" t="s">
        <v>246</v>
      </c>
      <c r="AU3452" s="5" t="s">
        <v>489</v>
      </c>
      <c r="AV3452" s="5" t="s">
        <v>247</v>
      </c>
      <c r="AW3452" s="5" t="s">
        <v>238</v>
      </c>
      <c r="AX3452" s="5" t="s">
        <v>249</v>
      </c>
      <c r="AY3452" s="5" t="s">
        <v>490</v>
      </c>
      <c r="BA3452" s="5" t="s">
        <v>238</v>
      </c>
      <c r="BC3452" s="5" t="s">
        <v>491</v>
      </c>
      <c r="BD3452" s="6" t="s">
        <v>492</v>
      </c>
      <c r="BE3452" s="5" t="s">
        <v>493</v>
      </c>
      <c r="BF3452" s="5" t="s">
        <v>493</v>
      </c>
      <c r="BG3452" s="5" t="s">
        <v>238</v>
      </c>
      <c r="BH3452" s="8">
        <f>1</f>
        <v>1</v>
      </c>
      <c r="BI3452" s="8">
        <f>1</f>
        <v>1</v>
      </c>
      <c r="BJ3452" s="5" t="s">
        <v>253</v>
      </c>
      <c r="BK3452" s="5" t="s">
        <v>254</v>
      </c>
      <c r="BL3452" s="5" t="s">
        <v>238</v>
      </c>
      <c r="BM3452" s="5" t="s">
        <v>238</v>
      </c>
      <c r="BN3452" s="5" t="s">
        <v>238</v>
      </c>
      <c r="BO3452" s="5" t="s">
        <v>238</v>
      </c>
      <c r="BP3452" s="5" t="s">
        <v>238</v>
      </c>
      <c r="BQ3452" s="5" t="s">
        <v>238</v>
      </c>
      <c r="BR3452" s="5" t="s">
        <v>238</v>
      </c>
      <c r="BS3452" s="5" t="s">
        <v>238</v>
      </c>
      <c r="BT3452" s="6" t="s">
        <v>238</v>
      </c>
      <c r="BU3452" s="5" t="s">
        <v>238</v>
      </c>
      <c r="BV3452" s="5" t="s">
        <v>238</v>
      </c>
      <c r="BW3452" s="5" t="s">
        <v>238</v>
      </c>
      <c r="BX3452" s="5" t="s">
        <v>254</v>
      </c>
      <c r="BY3452" s="5" t="s">
        <v>238</v>
      </c>
      <c r="BZ3452" s="5" t="s">
        <v>238</v>
      </c>
      <c r="CA3452" s="5" t="s">
        <v>238</v>
      </c>
      <c r="CB3452" s="5" t="s">
        <v>238</v>
      </c>
      <c r="CC3452" s="5" t="s">
        <v>238</v>
      </c>
      <c r="CD3452" s="5" t="s">
        <v>273</v>
      </c>
      <c r="CE3452" s="5" t="s">
        <v>256</v>
      </c>
      <c r="CF3452" s="5" t="s">
        <v>238</v>
      </c>
      <c r="CH3452" s="5" t="s">
        <v>494</v>
      </c>
      <c r="CI3452" s="6" t="s">
        <v>257</v>
      </c>
      <c r="CJ3452" s="5" t="s">
        <v>495</v>
      </c>
      <c r="CK3452" s="5" t="s">
        <v>258</v>
      </c>
      <c r="CL3452" s="5" t="s">
        <v>496</v>
      </c>
      <c r="CM3452" s="5" t="s">
        <v>238</v>
      </c>
      <c r="CN3452" s="5">
        <v>0</v>
      </c>
      <c r="CO3452" s="5" t="s">
        <v>497</v>
      </c>
      <c r="CP3452" s="5" t="s">
        <v>260</v>
      </c>
      <c r="CQ3452" s="5" t="s">
        <v>260</v>
      </c>
      <c r="CR3452" s="5" t="s">
        <v>261</v>
      </c>
      <c r="CS3452" s="5" t="s">
        <v>498</v>
      </c>
      <c r="CT3452" s="7">
        <f>1</f>
        <v>1</v>
      </c>
      <c r="CU3452" s="8">
        <f>1</f>
        <v>1</v>
      </c>
      <c r="CV3452" s="8">
        <f>0</f>
        <v>0</v>
      </c>
      <c r="CX3452" s="8">
        <f>1</f>
        <v>1</v>
      </c>
      <c r="CY3452" s="8">
        <f>1</f>
        <v>1</v>
      </c>
      <c r="CZ3452" s="8" t="s">
        <v>238</v>
      </c>
      <c r="DA3452" s="5" t="s">
        <v>238</v>
      </c>
      <c r="DB3452" s="5" t="s">
        <v>238</v>
      </c>
      <c r="DC3452" s="5" t="s">
        <v>238</v>
      </c>
      <c r="DD3452" s="5" t="s">
        <v>238</v>
      </c>
      <c r="DE3452" s="8">
        <f>0</f>
        <v>0</v>
      </c>
      <c r="DG3452" s="5" t="s">
        <v>238</v>
      </c>
      <c r="DH3452" s="5" t="s">
        <v>238</v>
      </c>
      <c r="DI3452" s="5" t="s">
        <v>238</v>
      </c>
      <c r="DJ3452" s="5" t="s">
        <v>238</v>
      </c>
      <c r="DK3452" s="5" t="s">
        <v>238</v>
      </c>
      <c r="DL3452" s="5" t="s">
        <v>238</v>
      </c>
      <c r="DM3452" s="8" t="s">
        <v>238</v>
      </c>
      <c r="DN3452" s="5" t="s">
        <v>238</v>
      </c>
      <c r="DO3452" s="5" t="s">
        <v>238</v>
      </c>
      <c r="DP3452" s="5" t="s">
        <v>490</v>
      </c>
      <c r="DQ3452" s="5" t="s">
        <v>490</v>
      </c>
      <c r="DR3452" s="5" t="s">
        <v>238</v>
      </c>
      <c r="DS3452" s="5" t="s">
        <v>238</v>
      </c>
      <c r="DT3452" s="5" t="s">
        <v>500</v>
      </c>
      <c r="DU3452" s="5" t="s">
        <v>3113</v>
      </c>
      <c r="DV3452" s="5" t="s">
        <v>238</v>
      </c>
      <c r="DW3452" s="5" t="s">
        <v>238</v>
      </c>
      <c r="DX3452" s="5" t="s">
        <v>238</v>
      </c>
      <c r="DY3452" s="5" t="s">
        <v>238</v>
      </c>
      <c r="DZ3452" s="5" t="s">
        <v>238</v>
      </c>
      <c r="EA3452" s="5" t="s">
        <v>238</v>
      </c>
      <c r="EB3452" s="5" t="s">
        <v>238</v>
      </c>
      <c r="EC3452" s="5" t="s">
        <v>238</v>
      </c>
      <c r="ED3452" s="5" t="s">
        <v>238</v>
      </c>
      <c r="EE3452" s="5" t="s">
        <v>238</v>
      </c>
      <c r="EF3452" s="5" t="s">
        <v>238</v>
      </c>
      <c r="EG3452" s="5" t="s">
        <v>238</v>
      </c>
      <c r="EH3452" s="5" t="s">
        <v>238</v>
      </c>
      <c r="EI3452" s="5" t="s">
        <v>238</v>
      </c>
      <c r="EJ3452" s="5" t="s">
        <v>238</v>
      </c>
      <c r="EK3452" s="5" t="s">
        <v>238</v>
      </c>
      <c r="EL3452" s="5" t="s">
        <v>238</v>
      </c>
      <c r="EM3452" s="5" t="s">
        <v>238</v>
      </c>
      <c r="EN3452" s="5" t="s">
        <v>238</v>
      </c>
      <c r="EO3452" s="5" t="s">
        <v>238</v>
      </c>
      <c r="EP3452" s="5" t="s">
        <v>238</v>
      </c>
      <c r="EQ3452" s="5" t="s">
        <v>238</v>
      </c>
      <c r="ER3452" s="5" t="s">
        <v>238</v>
      </c>
      <c r="ES3452" s="5" t="s">
        <v>238</v>
      </c>
      <c r="ET3452" s="5" t="s">
        <v>238</v>
      </c>
      <c r="EU3452" s="5" t="s">
        <v>238</v>
      </c>
      <c r="EV3452" s="5" t="s">
        <v>238</v>
      </c>
      <c r="EW3452" s="5" t="s">
        <v>238</v>
      </c>
      <c r="EX3452" s="5" t="s">
        <v>238</v>
      </c>
      <c r="EY3452" s="5" t="s">
        <v>238</v>
      </c>
      <c r="EZ3452" s="5" t="s">
        <v>238</v>
      </c>
      <c r="FA3452" s="5" t="s">
        <v>238</v>
      </c>
      <c r="FB3452" s="5" t="s">
        <v>238</v>
      </c>
      <c r="FC3452" s="5" t="s">
        <v>238</v>
      </c>
      <c r="FD3452" s="5" t="s">
        <v>238</v>
      </c>
      <c r="FE3452" s="5" t="s">
        <v>238</v>
      </c>
      <c r="FF3452" s="5" t="s">
        <v>238</v>
      </c>
      <c r="FG3452" s="5" t="s">
        <v>238</v>
      </c>
      <c r="FH3452" s="5" t="s">
        <v>238</v>
      </c>
      <c r="FI3452" s="5" t="s">
        <v>238</v>
      </c>
      <c r="FJ3452" s="5" t="s">
        <v>238</v>
      </c>
      <c r="FK3452" s="5" t="s">
        <v>238</v>
      </c>
      <c r="FL3452" s="5" t="s">
        <v>238</v>
      </c>
      <c r="FM3452" s="5" t="s">
        <v>238</v>
      </c>
      <c r="FN3452" s="5" t="s">
        <v>238</v>
      </c>
      <c r="FO3452" s="5" t="s">
        <v>238</v>
      </c>
      <c r="FP3452" s="5" t="s">
        <v>238</v>
      </c>
      <c r="FQ3452" s="5" t="s">
        <v>238</v>
      </c>
      <c r="FR3452" s="5" t="s">
        <v>238</v>
      </c>
      <c r="FS3452" s="5" t="s">
        <v>238</v>
      </c>
      <c r="FT3452" s="5" t="s">
        <v>238</v>
      </c>
      <c r="FU3452" s="5" t="s">
        <v>238</v>
      </c>
      <c r="FV3452" s="5" t="s">
        <v>238</v>
      </c>
      <c r="FW3452" s="5" t="s">
        <v>238</v>
      </c>
      <c r="FX3452" s="5" t="s">
        <v>238</v>
      </c>
      <c r="FY3452" s="5" t="s">
        <v>238</v>
      </c>
      <c r="FZ3452" s="5" t="s">
        <v>238</v>
      </c>
      <c r="GA3452" s="5" t="s">
        <v>238</v>
      </c>
      <c r="GB3452" s="5" t="s">
        <v>238</v>
      </c>
      <c r="GC3452" s="5" t="s">
        <v>238</v>
      </c>
      <c r="GD3452" s="5" t="s">
        <v>238</v>
      </c>
      <c r="GE3452" s="5" t="s">
        <v>238</v>
      </c>
      <c r="GF3452" s="5" t="s">
        <v>238</v>
      </c>
      <c r="GG3452" s="5" t="s">
        <v>238</v>
      </c>
      <c r="GH3452" s="5" t="s">
        <v>238</v>
      </c>
      <c r="GI3452" s="5" t="s">
        <v>238</v>
      </c>
      <c r="GJ3452" s="5" t="s">
        <v>238</v>
      </c>
      <c r="GK3452" s="5" t="s">
        <v>238</v>
      </c>
      <c r="GL3452" s="5" t="s">
        <v>238</v>
      </c>
      <c r="GM3452" s="5" t="s">
        <v>238</v>
      </c>
      <c r="GN3452" s="5" t="s">
        <v>238</v>
      </c>
      <c r="GO3452" s="5" t="s">
        <v>238</v>
      </c>
      <c r="GP3452" s="5" t="s">
        <v>238</v>
      </c>
      <c r="GQ3452" s="5" t="s">
        <v>238</v>
      </c>
      <c r="GR3452" s="5" t="s">
        <v>238</v>
      </c>
      <c r="GS3452" s="5" t="s">
        <v>238</v>
      </c>
      <c r="GT3452" s="5" t="s">
        <v>238</v>
      </c>
      <c r="GU3452" s="5" t="s">
        <v>238</v>
      </c>
      <c r="GV3452" s="5" t="s">
        <v>238</v>
      </c>
      <c r="GW3452" s="5" t="s">
        <v>238</v>
      </c>
      <c r="GX3452" s="5" t="s">
        <v>238</v>
      </c>
      <c r="GY3452" s="5" t="s">
        <v>238</v>
      </c>
      <c r="GZ3452" s="5" t="s">
        <v>238</v>
      </c>
      <c r="HA3452" s="5" t="s">
        <v>238</v>
      </c>
      <c r="HB3452" s="5" t="s">
        <v>238</v>
      </c>
      <c r="HC3452" s="5" t="s">
        <v>238</v>
      </c>
      <c r="HD3452" s="5" t="s">
        <v>238</v>
      </c>
      <c r="HE3452" s="5" t="s">
        <v>238</v>
      </c>
      <c r="HF3452" s="5" t="s">
        <v>238</v>
      </c>
      <c r="HG3452" s="5" t="s">
        <v>238</v>
      </c>
      <c r="HH3452" s="5" t="s">
        <v>238</v>
      </c>
      <c r="HI3452" s="5" t="s">
        <v>238</v>
      </c>
      <c r="HJ3452" s="5" t="s">
        <v>238</v>
      </c>
      <c r="HK3452" s="5" t="s">
        <v>238</v>
      </c>
      <c r="HL3452" s="5" t="s">
        <v>238</v>
      </c>
      <c r="HM3452" s="5" t="s">
        <v>264</v>
      </c>
      <c r="HN3452" s="5" t="s">
        <v>238</v>
      </c>
      <c r="HO3452" s="5" t="s">
        <v>238</v>
      </c>
      <c r="HP3452" s="5" t="s">
        <v>238</v>
      </c>
      <c r="HQ3452" s="5" t="s">
        <v>238</v>
      </c>
      <c r="HR3452" s="5" t="s">
        <v>238</v>
      </c>
      <c r="HS3452" s="5" t="s">
        <v>238</v>
      </c>
      <c r="HT3452" s="5" t="s">
        <v>238</v>
      </c>
      <c r="HU3452" s="5" t="s">
        <v>238</v>
      </c>
      <c r="HV3452" s="5" t="s">
        <v>238</v>
      </c>
      <c r="HW3452" s="5" t="s">
        <v>238</v>
      </c>
      <c r="HX3452" s="5" t="s">
        <v>238</v>
      </c>
      <c r="HY3452" s="5" t="s">
        <v>238</v>
      </c>
      <c r="HZ3452" s="5" t="s">
        <v>238</v>
      </c>
      <c r="IA3452" s="5" t="s">
        <v>238</v>
      </c>
      <c r="IB3452" s="5" t="s">
        <v>238</v>
      </c>
      <c r="IC3452" s="5" t="s">
        <v>238</v>
      </c>
      <c r="ID3452" s="5" t="s">
        <v>238</v>
      </c>
    </row>
    <row r="3453" spans="1:238" x14ac:dyDescent="0.4">
      <c r="A3453" s="5">
        <v>9171</v>
      </c>
      <c r="B3453" s="5">
        <v>1</v>
      </c>
      <c r="C3453" s="5">
        <v>1</v>
      </c>
      <c r="D3453" s="5" t="s">
        <v>484</v>
      </c>
      <c r="E3453" s="5" t="s">
        <v>485</v>
      </c>
      <c r="F3453" s="5" t="s">
        <v>248</v>
      </c>
      <c r="G3453" s="5" t="s">
        <v>6370</v>
      </c>
      <c r="H3453" s="6" t="s">
        <v>6371</v>
      </c>
      <c r="I3453" s="8">
        <f>1</f>
        <v>1</v>
      </c>
      <c r="J3453" s="5" t="s">
        <v>499</v>
      </c>
      <c r="K3453" s="8">
        <f>1</f>
        <v>1</v>
      </c>
      <c r="L3453" s="6" t="s">
        <v>242</v>
      </c>
      <c r="M3453" s="5" t="s">
        <v>267</v>
      </c>
      <c r="N3453" s="5" t="s">
        <v>482</v>
      </c>
      <c r="O3453" s="5" t="s">
        <v>238</v>
      </c>
      <c r="P3453" s="5" t="s">
        <v>238</v>
      </c>
      <c r="Q3453" s="5" t="s">
        <v>239</v>
      </c>
      <c r="R3453" s="5" t="s">
        <v>270</v>
      </c>
      <c r="S3453" s="5" t="s">
        <v>238</v>
      </c>
      <c r="T3453" s="5" t="s">
        <v>238</v>
      </c>
      <c r="U3453" s="5" t="s">
        <v>238</v>
      </c>
      <c r="V3453" s="5" t="s">
        <v>238</v>
      </c>
      <c r="W3453" s="6" t="s">
        <v>238</v>
      </c>
      <c r="X3453" s="6" t="s">
        <v>238</v>
      </c>
      <c r="Y3453" s="5" t="s">
        <v>238</v>
      </c>
      <c r="Z3453" s="6" t="s">
        <v>238</v>
      </c>
      <c r="AA3453" s="6" t="s">
        <v>243</v>
      </c>
      <c r="AB3453" s="5" t="s">
        <v>486</v>
      </c>
      <c r="AC3453" s="5" t="s">
        <v>244</v>
      </c>
      <c r="AD3453" s="5" t="s">
        <v>245</v>
      </c>
      <c r="AE3453" s="5" t="s">
        <v>238</v>
      </c>
      <c r="AF3453" s="5" t="s">
        <v>238</v>
      </c>
      <c r="AG3453" s="5" t="s">
        <v>238</v>
      </c>
      <c r="AH3453" s="5" t="s">
        <v>238</v>
      </c>
      <c r="AI3453" s="5" t="s">
        <v>238</v>
      </c>
      <c r="AJ3453" s="5" t="s">
        <v>238</v>
      </c>
      <c r="AK3453" s="5" t="s">
        <v>238</v>
      </c>
      <c r="AL3453" s="5" t="s">
        <v>238</v>
      </c>
      <c r="AM3453" s="6" t="s">
        <v>238</v>
      </c>
      <c r="AN3453" s="6" t="s">
        <v>238</v>
      </c>
      <c r="AO3453" s="6" t="s">
        <v>238</v>
      </c>
      <c r="AP3453" s="6" t="s">
        <v>238</v>
      </c>
      <c r="AQ3453" s="5" t="s">
        <v>238</v>
      </c>
      <c r="AR3453" s="5" t="s">
        <v>488</v>
      </c>
      <c r="AS3453" s="5" t="s">
        <v>488</v>
      </c>
      <c r="AT3453" s="5" t="s">
        <v>246</v>
      </c>
      <c r="AU3453" s="5" t="s">
        <v>489</v>
      </c>
      <c r="AV3453" s="5" t="s">
        <v>247</v>
      </c>
      <c r="AW3453" s="5" t="s">
        <v>238</v>
      </c>
      <c r="AX3453" s="5" t="s">
        <v>249</v>
      </c>
      <c r="AY3453" s="5" t="s">
        <v>490</v>
      </c>
      <c r="BA3453" s="5" t="s">
        <v>238</v>
      </c>
      <c r="BC3453" s="5" t="s">
        <v>491</v>
      </c>
      <c r="BD3453" s="6" t="s">
        <v>492</v>
      </c>
      <c r="BE3453" s="5" t="s">
        <v>493</v>
      </c>
      <c r="BF3453" s="5" t="s">
        <v>493</v>
      </c>
      <c r="BG3453" s="5" t="s">
        <v>238</v>
      </c>
      <c r="BH3453" s="8">
        <f>1</f>
        <v>1</v>
      </c>
      <c r="BI3453" s="8">
        <f>1</f>
        <v>1</v>
      </c>
      <c r="BJ3453" s="5" t="s">
        <v>253</v>
      </c>
      <c r="BK3453" s="5" t="s">
        <v>254</v>
      </c>
      <c r="BL3453" s="5" t="s">
        <v>238</v>
      </c>
      <c r="BM3453" s="5" t="s">
        <v>238</v>
      </c>
      <c r="BN3453" s="5" t="s">
        <v>238</v>
      </c>
      <c r="BO3453" s="5" t="s">
        <v>238</v>
      </c>
      <c r="BP3453" s="5" t="s">
        <v>238</v>
      </c>
      <c r="BQ3453" s="5" t="s">
        <v>238</v>
      </c>
      <c r="BR3453" s="5" t="s">
        <v>238</v>
      </c>
      <c r="BS3453" s="5" t="s">
        <v>238</v>
      </c>
      <c r="BT3453" s="6" t="s">
        <v>238</v>
      </c>
      <c r="BU3453" s="5" t="s">
        <v>238</v>
      </c>
      <c r="BV3453" s="5" t="s">
        <v>238</v>
      </c>
      <c r="BW3453" s="5" t="s">
        <v>238</v>
      </c>
      <c r="BX3453" s="5" t="s">
        <v>254</v>
      </c>
      <c r="BY3453" s="5" t="s">
        <v>238</v>
      </c>
      <c r="BZ3453" s="5" t="s">
        <v>238</v>
      </c>
      <c r="CA3453" s="5" t="s">
        <v>238</v>
      </c>
      <c r="CB3453" s="5" t="s">
        <v>238</v>
      </c>
      <c r="CC3453" s="5" t="s">
        <v>238</v>
      </c>
      <c r="CD3453" s="5" t="s">
        <v>273</v>
      </c>
      <c r="CE3453" s="5" t="s">
        <v>256</v>
      </c>
      <c r="CF3453" s="5" t="s">
        <v>238</v>
      </c>
      <c r="CH3453" s="5" t="s">
        <v>494</v>
      </c>
      <c r="CI3453" s="6" t="s">
        <v>257</v>
      </c>
      <c r="CJ3453" s="5" t="s">
        <v>495</v>
      </c>
      <c r="CK3453" s="5" t="s">
        <v>258</v>
      </c>
      <c r="CL3453" s="5" t="s">
        <v>496</v>
      </c>
      <c r="CM3453" s="5" t="s">
        <v>238</v>
      </c>
      <c r="CN3453" s="5">
        <v>0</v>
      </c>
      <c r="CO3453" s="5" t="s">
        <v>497</v>
      </c>
      <c r="CP3453" s="5" t="s">
        <v>260</v>
      </c>
      <c r="CQ3453" s="5" t="s">
        <v>260</v>
      </c>
      <c r="CR3453" s="5" t="s">
        <v>261</v>
      </c>
      <c r="CS3453" s="5" t="s">
        <v>498</v>
      </c>
      <c r="CT3453" s="7">
        <f>1</f>
        <v>1</v>
      </c>
      <c r="CU3453" s="8">
        <f>1</f>
        <v>1</v>
      </c>
      <c r="CV3453" s="8">
        <f>0</f>
        <v>0</v>
      </c>
      <c r="CX3453" s="8">
        <f>1</f>
        <v>1</v>
      </c>
      <c r="CY3453" s="8">
        <f>1</f>
        <v>1</v>
      </c>
      <c r="CZ3453" s="8" t="s">
        <v>238</v>
      </c>
      <c r="DA3453" s="5" t="s">
        <v>238</v>
      </c>
      <c r="DB3453" s="5" t="s">
        <v>238</v>
      </c>
      <c r="DC3453" s="5" t="s">
        <v>238</v>
      </c>
      <c r="DD3453" s="5" t="s">
        <v>238</v>
      </c>
      <c r="DE3453" s="8">
        <f>0</f>
        <v>0</v>
      </c>
      <c r="DG3453" s="5" t="s">
        <v>238</v>
      </c>
      <c r="DH3453" s="5" t="s">
        <v>238</v>
      </c>
      <c r="DI3453" s="5" t="s">
        <v>238</v>
      </c>
      <c r="DJ3453" s="5" t="s">
        <v>238</v>
      </c>
      <c r="DK3453" s="5" t="s">
        <v>238</v>
      </c>
      <c r="DL3453" s="5" t="s">
        <v>238</v>
      </c>
      <c r="DM3453" s="8" t="s">
        <v>238</v>
      </c>
      <c r="DN3453" s="5" t="s">
        <v>238</v>
      </c>
      <c r="DO3453" s="5" t="s">
        <v>238</v>
      </c>
      <c r="DP3453" s="5" t="s">
        <v>490</v>
      </c>
      <c r="DQ3453" s="5" t="s">
        <v>490</v>
      </c>
      <c r="DR3453" s="5" t="s">
        <v>238</v>
      </c>
      <c r="DS3453" s="5" t="s">
        <v>238</v>
      </c>
      <c r="DT3453" s="5" t="s">
        <v>500</v>
      </c>
      <c r="DU3453" s="5" t="s">
        <v>704</v>
      </c>
      <c r="DV3453" s="5" t="s">
        <v>238</v>
      </c>
      <c r="DW3453" s="5" t="s">
        <v>238</v>
      </c>
      <c r="DX3453" s="5" t="s">
        <v>238</v>
      </c>
      <c r="DY3453" s="5" t="s">
        <v>238</v>
      </c>
      <c r="DZ3453" s="5" t="s">
        <v>238</v>
      </c>
      <c r="EA3453" s="5" t="s">
        <v>238</v>
      </c>
      <c r="EB3453" s="5" t="s">
        <v>238</v>
      </c>
      <c r="EC3453" s="5" t="s">
        <v>238</v>
      </c>
      <c r="ED3453" s="5" t="s">
        <v>238</v>
      </c>
      <c r="EE3453" s="5" t="s">
        <v>238</v>
      </c>
      <c r="EF3453" s="5" t="s">
        <v>238</v>
      </c>
      <c r="EG3453" s="5" t="s">
        <v>238</v>
      </c>
      <c r="EH3453" s="5" t="s">
        <v>238</v>
      </c>
      <c r="EI3453" s="5" t="s">
        <v>238</v>
      </c>
      <c r="EJ3453" s="5" t="s">
        <v>238</v>
      </c>
      <c r="EK3453" s="5" t="s">
        <v>238</v>
      </c>
      <c r="EL3453" s="5" t="s">
        <v>238</v>
      </c>
      <c r="EM3453" s="5" t="s">
        <v>238</v>
      </c>
      <c r="EN3453" s="5" t="s">
        <v>238</v>
      </c>
      <c r="EO3453" s="5" t="s">
        <v>238</v>
      </c>
      <c r="EP3453" s="5" t="s">
        <v>238</v>
      </c>
      <c r="EQ3453" s="5" t="s">
        <v>238</v>
      </c>
      <c r="ER3453" s="5" t="s">
        <v>238</v>
      </c>
      <c r="ES3453" s="5" t="s">
        <v>238</v>
      </c>
      <c r="ET3453" s="5" t="s">
        <v>238</v>
      </c>
      <c r="EU3453" s="5" t="s">
        <v>238</v>
      </c>
      <c r="EV3453" s="5" t="s">
        <v>238</v>
      </c>
      <c r="EW3453" s="5" t="s">
        <v>238</v>
      </c>
      <c r="EX3453" s="5" t="s">
        <v>238</v>
      </c>
      <c r="EY3453" s="5" t="s">
        <v>238</v>
      </c>
      <c r="EZ3453" s="5" t="s">
        <v>238</v>
      </c>
      <c r="FA3453" s="5" t="s">
        <v>238</v>
      </c>
      <c r="FB3453" s="5" t="s">
        <v>238</v>
      </c>
      <c r="FC3453" s="5" t="s">
        <v>238</v>
      </c>
      <c r="FD3453" s="5" t="s">
        <v>238</v>
      </c>
      <c r="FE3453" s="5" t="s">
        <v>238</v>
      </c>
      <c r="FF3453" s="5" t="s">
        <v>238</v>
      </c>
      <c r="FG3453" s="5" t="s">
        <v>238</v>
      </c>
      <c r="FH3453" s="5" t="s">
        <v>238</v>
      </c>
      <c r="FI3453" s="5" t="s">
        <v>238</v>
      </c>
      <c r="FJ3453" s="5" t="s">
        <v>238</v>
      </c>
      <c r="FK3453" s="5" t="s">
        <v>238</v>
      </c>
      <c r="FL3453" s="5" t="s">
        <v>238</v>
      </c>
      <c r="FM3453" s="5" t="s">
        <v>238</v>
      </c>
      <c r="FN3453" s="5" t="s">
        <v>238</v>
      </c>
      <c r="FO3453" s="5" t="s">
        <v>238</v>
      </c>
      <c r="FP3453" s="5" t="s">
        <v>238</v>
      </c>
      <c r="FQ3453" s="5" t="s">
        <v>238</v>
      </c>
      <c r="FR3453" s="5" t="s">
        <v>238</v>
      </c>
      <c r="FS3453" s="5" t="s">
        <v>238</v>
      </c>
      <c r="FT3453" s="5" t="s">
        <v>238</v>
      </c>
      <c r="FU3453" s="5" t="s">
        <v>238</v>
      </c>
      <c r="FV3453" s="5" t="s">
        <v>238</v>
      </c>
      <c r="FW3453" s="5" t="s">
        <v>238</v>
      </c>
      <c r="FX3453" s="5" t="s">
        <v>238</v>
      </c>
      <c r="FY3453" s="5" t="s">
        <v>238</v>
      </c>
      <c r="FZ3453" s="5" t="s">
        <v>238</v>
      </c>
      <c r="GA3453" s="5" t="s">
        <v>238</v>
      </c>
      <c r="GB3453" s="5" t="s">
        <v>238</v>
      </c>
      <c r="GC3453" s="5" t="s">
        <v>238</v>
      </c>
      <c r="GD3453" s="5" t="s">
        <v>238</v>
      </c>
      <c r="GE3453" s="5" t="s">
        <v>238</v>
      </c>
      <c r="GF3453" s="5" t="s">
        <v>238</v>
      </c>
      <c r="GG3453" s="5" t="s">
        <v>238</v>
      </c>
      <c r="GH3453" s="5" t="s">
        <v>238</v>
      </c>
      <c r="GI3453" s="5" t="s">
        <v>238</v>
      </c>
      <c r="GJ3453" s="5" t="s">
        <v>238</v>
      </c>
      <c r="GK3453" s="5" t="s">
        <v>238</v>
      </c>
      <c r="GL3453" s="5" t="s">
        <v>238</v>
      </c>
      <c r="GM3453" s="5" t="s">
        <v>238</v>
      </c>
      <c r="GN3453" s="5" t="s">
        <v>238</v>
      </c>
      <c r="GO3453" s="5" t="s">
        <v>238</v>
      </c>
      <c r="GP3453" s="5" t="s">
        <v>238</v>
      </c>
      <c r="GQ3453" s="5" t="s">
        <v>238</v>
      </c>
      <c r="GR3453" s="5" t="s">
        <v>238</v>
      </c>
      <c r="GS3453" s="5" t="s">
        <v>238</v>
      </c>
      <c r="GT3453" s="5" t="s">
        <v>238</v>
      </c>
      <c r="GU3453" s="5" t="s">
        <v>238</v>
      </c>
      <c r="GV3453" s="5" t="s">
        <v>238</v>
      </c>
      <c r="GW3453" s="5" t="s">
        <v>238</v>
      </c>
      <c r="GX3453" s="5" t="s">
        <v>238</v>
      </c>
      <c r="GY3453" s="5" t="s">
        <v>238</v>
      </c>
      <c r="GZ3453" s="5" t="s">
        <v>238</v>
      </c>
      <c r="HA3453" s="5" t="s">
        <v>238</v>
      </c>
      <c r="HB3453" s="5" t="s">
        <v>238</v>
      </c>
      <c r="HC3453" s="5" t="s">
        <v>238</v>
      </c>
      <c r="HD3453" s="5" t="s">
        <v>238</v>
      </c>
      <c r="HE3453" s="5" t="s">
        <v>238</v>
      </c>
      <c r="HF3453" s="5" t="s">
        <v>238</v>
      </c>
      <c r="HG3453" s="5" t="s">
        <v>238</v>
      </c>
      <c r="HH3453" s="5" t="s">
        <v>238</v>
      </c>
      <c r="HI3453" s="5" t="s">
        <v>238</v>
      </c>
      <c r="HJ3453" s="5" t="s">
        <v>238</v>
      </c>
      <c r="HK3453" s="5" t="s">
        <v>238</v>
      </c>
      <c r="HL3453" s="5" t="s">
        <v>238</v>
      </c>
      <c r="HM3453" s="5" t="s">
        <v>264</v>
      </c>
      <c r="HN3453" s="5" t="s">
        <v>238</v>
      </c>
      <c r="HO3453" s="5" t="s">
        <v>238</v>
      </c>
      <c r="HP3453" s="5" t="s">
        <v>238</v>
      </c>
      <c r="HQ3453" s="5" t="s">
        <v>238</v>
      </c>
      <c r="HR3453" s="5" t="s">
        <v>238</v>
      </c>
      <c r="HS3453" s="5" t="s">
        <v>238</v>
      </c>
      <c r="HT3453" s="5" t="s">
        <v>238</v>
      </c>
      <c r="HU3453" s="5" t="s">
        <v>238</v>
      </c>
      <c r="HV3453" s="5" t="s">
        <v>238</v>
      </c>
      <c r="HW3453" s="5" t="s">
        <v>238</v>
      </c>
      <c r="HX3453" s="5" t="s">
        <v>238</v>
      </c>
      <c r="HY3453" s="5" t="s">
        <v>238</v>
      </c>
      <c r="HZ3453" s="5" t="s">
        <v>238</v>
      </c>
      <c r="IA3453" s="5" t="s">
        <v>238</v>
      </c>
      <c r="IB3453" s="5" t="s">
        <v>238</v>
      </c>
      <c r="IC3453" s="5" t="s">
        <v>238</v>
      </c>
      <c r="ID3453" s="5" t="s">
        <v>238</v>
      </c>
    </row>
    <row r="3454" spans="1:238" x14ac:dyDescent="0.4">
      <c r="A3454" s="5">
        <v>9172</v>
      </c>
      <c r="B3454" s="5">
        <v>1</v>
      </c>
      <c r="C3454" s="5">
        <v>1</v>
      </c>
      <c r="D3454" s="5" t="s">
        <v>484</v>
      </c>
      <c r="E3454" s="5" t="s">
        <v>485</v>
      </c>
      <c r="F3454" s="5" t="s">
        <v>248</v>
      </c>
      <c r="G3454" s="5" t="s">
        <v>5304</v>
      </c>
      <c r="H3454" s="6" t="s">
        <v>5305</v>
      </c>
      <c r="I3454" s="8">
        <f>1</f>
        <v>1</v>
      </c>
      <c r="J3454" s="5" t="s">
        <v>499</v>
      </c>
      <c r="K3454" s="8">
        <f>1</f>
        <v>1</v>
      </c>
      <c r="L3454" s="6" t="s">
        <v>242</v>
      </c>
      <c r="M3454" s="5" t="s">
        <v>267</v>
      </c>
      <c r="N3454" s="5" t="s">
        <v>482</v>
      </c>
      <c r="O3454" s="5" t="s">
        <v>238</v>
      </c>
      <c r="P3454" s="5" t="s">
        <v>238</v>
      </c>
      <c r="Q3454" s="5" t="s">
        <v>239</v>
      </c>
      <c r="R3454" s="5" t="s">
        <v>270</v>
      </c>
      <c r="S3454" s="5" t="s">
        <v>238</v>
      </c>
      <c r="T3454" s="5" t="s">
        <v>238</v>
      </c>
      <c r="U3454" s="5" t="s">
        <v>238</v>
      </c>
      <c r="V3454" s="5" t="s">
        <v>238</v>
      </c>
      <c r="W3454" s="6" t="s">
        <v>238</v>
      </c>
      <c r="X3454" s="6" t="s">
        <v>238</v>
      </c>
      <c r="Y3454" s="5" t="s">
        <v>238</v>
      </c>
      <c r="Z3454" s="6" t="s">
        <v>238</v>
      </c>
      <c r="AA3454" s="6" t="s">
        <v>243</v>
      </c>
      <c r="AB3454" s="5" t="s">
        <v>486</v>
      </c>
      <c r="AC3454" s="5" t="s">
        <v>244</v>
      </c>
      <c r="AD3454" s="5" t="s">
        <v>245</v>
      </c>
      <c r="AE3454" s="5" t="s">
        <v>238</v>
      </c>
      <c r="AF3454" s="5" t="s">
        <v>238</v>
      </c>
      <c r="AG3454" s="5" t="s">
        <v>238</v>
      </c>
      <c r="AH3454" s="5" t="s">
        <v>238</v>
      </c>
      <c r="AI3454" s="5" t="s">
        <v>238</v>
      </c>
      <c r="AJ3454" s="5" t="s">
        <v>238</v>
      </c>
      <c r="AK3454" s="5" t="s">
        <v>238</v>
      </c>
      <c r="AL3454" s="5" t="s">
        <v>238</v>
      </c>
      <c r="AM3454" s="6" t="s">
        <v>238</v>
      </c>
      <c r="AN3454" s="6" t="s">
        <v>238</v>
      </c>
      <c r="AO3454" s="6" t="s">
        <v>238</v>
      </c>
      <c r="AP3454" s="6" t="s">
        <v>238</v>
      </c>
      <c r="AQ3454" s="5" t="s">
        <v>238</v>
      </c>
      <c r="AR3454" s="5" t="s">
        <v>488</v>
      </c>
      <c r="AS3454" s="5" t="s">
        <v>488</v>
      </c>
      <c r="AT3454" s="5" t="s">
        <v>246</v>
      </c>
      <c r="AU3454" s="5" t="s">
        <v>489</v>
      </c>
      <c r="AV3454" s="5" t="s">
        <v>247</v>
      </c>
      <c r="AW3454" s="5" t="s">
        <v>238</v>
      </c>
      <c r="AX3454" s="5" t="s">
        <v>249</v>
      </c>
      <c r="AY3454" s="5" t="s">
        <v>490</v>
      </c>
      <c r="BA3454" s="5" t="s">
        <v>238</v>
      </c>
      <c r="BC3454" s="5" t="s">
        <v>491</v>
      </c>
      <c r="BD3454" s="6" t="s">
        <v>492</v>
      </c>
      <c r="BE3454" s="5" t="s">
        <v>493</v>
      </c>
      <c r="BF3454" s="5" t="s">
        <v>493</v>
      </c>
      <c r="BG3454" s="5" t="s">
        <v>238</v>
      </c>
      <c r="BH3454" s="8">
        <f>1</f>
        <v>1</v>
      </c>
      <c r="BI3454" s="8">
        <f>1</f>
        <v>1</v>
      </c>
      <c r="BJ3454" s="5" t="s">
        <v>253</v>
      </c>
      <c r="BK3454" s="5" t="s">
        <v>254</v>
      </c>
      <c r="BL3454" s="5" t="s">
        <v>238</v>
      </c>
      <c r="BM3454" s="5" t="s">
        <v>238</v>
      </c>
      <c r="BN3454" s="5" t="s">
        <v>238</v>
      </c>
      <c r="BO3454" s="5" t="s">
        <v>238</v>
      </c>
      <c r="BP3454" s="5" t="s">
        <v>238</v>
      </c>
      <c r="BQ3454" s="5" t="s">
        <v>238</v>
      </c>
      <c r="BR3454" s="5" t="s">
        <v>238</v>
      </c>
      <c r="BS3454" s="5" t="s">
        <v>238</v>
      </c>
      <c r="BT3454" s="6" t="s">
        <v>238</v>
      </c>
      <c r="BU3454" s="5" t="s">
        <v>238</v>
      </c>
      <c r="BV3454" s="5" t="s">
        <v>238</v>
      </c>
      <c r="BW3454" s="5" t="s">
        <v>238</v>
      </c>
      <c r="BX3454" s="5" t="s">
        <v>254</v>
      </c>
      <c r="BY3454" s="5" t="s">
        <v>238</v>
      </c>
      <c r="BZ3454" s="5" t="s">
        <v>238</v>
      </c>
      <c r="CA3454" s="5" t="s">
        <v>238</v>
      </c>
      <c r="CB3454" s="5" t="s">
        <v>238</v>
      </c>
      <c r="CC3454" s="5" t="s">
        <v>238</v>
      </c>
      <c r="CD3454" s="5" t="s">
        <v>273</v>
      </c>
      <c r="CE3454" s="5" t="s">
        <v>256</v>
      </c>
      <c r="CF3454" s="5" t="s">
        <v>238</v>
      </c>
      <c r="CH3454" s="5" t="s">
        <v>494</v>
      </c>
      <c r="CI3454" s="6" t="s">
        <v>257</v>
      </c>
      <c r="CJ3454" s="5" t="s">
        <v>495</v>
      </c>
      <c r="CK3454" s="5" t="s">
        <v>258</v>
      </c>
      <c r="CL3454" s="5" t="s">
        <v>496</v>
      </c>
      <c r="CM3454" s="5" t="s">
        <v>238</v>
      </c>
      <c r="CN3454" s="5">
        <v>0</v>
      </c>
      <c r="CO3454" s="5" t="s">
        <v>497</v>
      </c>
      <c r="CP3454" s="5" t="s">
        <v>260</v>
      </c>
      <c r="CQ3454" s="5" t="s">
        <v>260</v>
      </c>
      <c r="CR3454" s="5" t="s">
        <v>261</v>
      </c>
      <c r="CS3454" s="5" t="s">
        <v>498</v>
      </c>
      <c r="CT3454" s="7">
        <f>1</f>
        <v>1</v>
      </c>
      <c r="CU3454" s="8">
        <f>1</f>
        <v>1</v>
      </c>
      <c r="CV3454" s="8">
        <f>0</f>
        <v>0</v>
      </c>
      <c r="CX3454" s="8">
        <f>1</f>
        <v>1</v>
      </c>
      <c r="CY3454" s="8">
        <f>1</f>
        <v>1</v>
      </c>
      <c r="CZ3454" s="8" t="s">
        <v>238</v>
      </c>
      <c r="DA3454" s="5" t="s">
        <v>238</v>
      </c>
      <c r="DB3454" s="5" t="s">
        <v>238</v>
      </c>
      <c r="DC3454" s="5" t="s">
        <v>238</v>
      </c>
      <c r="DD3454" s="5" t="s">
        <v>238</v>
      </c>
      <c r="DE3454" s="8">
        <f>0</f>
        <v>0</v>
      </c>
      <c r="DG3454" s="5" t="s">
        <v>238</v>
      </c>
      <c r="DH3454" s="5" t="s">
        <v>238</v>
      </c>
      <c r="DI3454" s="5" t="s">
        <v>238</v>
      </c>
      <c r="DJ3454" s="5" t="s">
        <v>238</v>
      </c>
      <c r="DK3454" s="5" t="s">
        <v>238</v>
      </c>
      <c r="DL3454" s="5" t="s">
        <v>238</v>
      </c>
      <c r="DM3454" s="8" t="s">
        <v>238</v>
      </c>
      <c r="DN3454" s="5" t="s">
        <v>238</v>
      </c>
      <c r="DO3454" s="5" t="s">
        <v>238</v>
      </c>
      <c r="DP3454" s="5" t="s">
        <v>490</v>
      </c>
      <c r="DQ3454" s="5" t="s">
        <v>490</v>
      </c>
      <c r="DR3454" s="5" t="s">
        <v>238</v>
      </c>
      <c r="DS3454" s="5" t="s">
        <v>238</v>
      </c>
      <c r="DT3454" s="5" t="s">
        <v>500</v>
      </c>
      <c r="DU3454" s="5" t="s">
        <v>847</v>
      </c>
      <c r="DV3454" s="5" t="s">
        <v>238</v>
      </c>
      <c r="DW3454" s="5" t="s">
        <v>238</v>
      </c>
      <c r="DX3454" s="5" t="s">
        <v>238</v>
      </c>
      <c r="DY3454" s="5" t="s">
        <v>238</v>
      </c>
      <c r="DZ3454" s="5" t="s">
        <v>238</v>
      </c>
      <c r="EA3454" s="5" t="s">
        <v>238</v>
      </c>
      <c r="EB3454" s="5" t="s">
        <v>238</v>
      </c>
      <c r="EC3454" s="5" t="s">
        <v>238</v>
      </c>
      <c r="ED3454" s="5" t="s">
        <v>238</v>
      </c>
      <c r="EE3454" s="5" t="s">
        <v>238</v>
      </c>
      <c r="EF3454" s="5" t="s">
        <v>238</v>
      </c>
      <c r="EG3454" s="5" t="s">
        <v>238</v>
      </c>
      <c r="EH3454" s="5" t="s">
        <v>238</v>
      </c>
      <c r="EI3454" s="5" t="s">
        <v>238</v>
      </c>
      <c r="EJ3454" s="5" t="s">
        <v>238</v>
      </c>
      <c r="EK3454" s="5" t="s">
        <v>238</v>
      </c>
      <c r="EL3454" s="5" t="s">
        <v>238</v>
      </c>
      <c r="EM3454" s="5" t="s">
        <v>238</v>
      </c>
      <c r="EN3454" s="5" t="s">
        <v>238</v>
      </c>
      <c r="EO3454" s="5" t="s">
        <v>238</v>
      </c>
      <c r="EP3454" s="5" t="s">
        <v>238</v>
      </c>
      <c r="EQ3454" s="5" t="s">
        <v>238</v>
      </c>
      <c r="ER3454" s="5" t="s">
        <v>238</v>
      </c>
      <c r="ES3454" s="5" t="s">
        <v>238</v>
      </c>
      <c r="ET3454" s="5" t="s">
        <v>238</v>
      </c>
      <c r="EU3454" s="5" t="s">
        <v>238</v>
      </c>
      <c r="EV3454" s="5" t="s">
        <v>238</v>
      </c>
      <c r="EW3454" s="5" t="s">
        <v>238</v>
      </c>
      <c r="EX3454" s="5" t="s">
        <v>238</v>
      </c>
      <c r="EY3454" s="5" t="s">
        <v>238</v>
      </c>
      <c r="EZ3454" s="5" t="s">
        <v>238</v>
      </c>
      <c r="FA3454" s="5" t="s">
        <v>238</v>
      </c>
      <c r="FB3454" s="5" t="s">
        <v>238</v>
      </c>
      <c r="FC3454" s="5" t="s">
        <v>238</v>
      </c>
      <c r="FD3454" s="5" t="s">
        <v>238</v>
      </c>
      <c r="FE3454" s="5" t="s">
        <v>238</v>
      </c>
      <c r="FF3454" s="5" t="s">
        <v>238</v>
      </c>
      <c r="FG3454" s="5" t="s">
        <v>238</v>
      </c>
      <c r="FH3454" s="5" t="s">
        <v>238</v>
      </c>
      <c r="FI3454" s="5" t="s">
        <v>238</v>
      </c>
      <c r="FJ3454" s="5" t="s">
        <v>238</v>
      </c>
      <c r="FK3454" s="5" t="s">
        <v>238</v>
      </c>
      <c r="FL3454" s="5" t="s">
        <v>238</v>
      </c>
      <c r="FM3454" s="5" t="s">
        <v>238</v>
      </c>
      <c r="FN3454" s="5" t="s">
        <v>238</v>
      </c>
      <c r="FO3454" s="5" t="s">
        <v>238</v>
      </c>
      <c r="FP3454" s="5" t="s">
        <v>238</v>
      </c>
      <c r="FQ3454" s="5" t="s">
        <v>238</v>
      </c>
      <c r="FR3454" s="5" t="s">
        <v>238</v>
      </c>
      <c r="FS3454" s="5" t="s">
        <v>238</v>
      </c>
      <c r="FT3454" s="5" t="s">
        <v>238</v>
      </c>
      <c r="FU3454" s="5" t="s">
        <v>238</v>
      </c>
      <c r="FV3454" s="5" t="s">
        <v>238</v>
      </c>
      <c r="FW3454" s="5" t="s">
        <v>238</v>
      </c>
      <c r="FX3454" s="5" t="s">
        <v>238</v>
      </c>
      <c r="FY3454" s="5" t="s">
        <v>238</v>
      </c>
      <c r="FZ3454" s="5" t="s">
        <v>238</v>
      </c>
      <c r="GA3454" s="5" t="s">
        <v>238</v>
      </c>
      <c r="GB3454" s="5" t="s">
        <v>238</v>
      </c>
      <c r="GC3454" s="5" t="s">
        <v>238</v>
      </c>
      <c r="GD3454" s="5" t="s">
        <v>238</v>
      </c>
      <c r="GE3454" s="5" t="s">
        <v>238</v>
      </c>
      <c r="GF3454" s="5" t="s">
        <v>238</v>
      </c>
      <c r="GG3454" s="5" t="s">
        <v>238</v>
      </c>
      <c r="GH3454" s="5" t="s">
        <v>238</v>
      </c>
      <c r="GI3454" s="5" t="s">
        <v>238</v>
      </c>
      <c r="GJ3454" s="5" t="s">
        <v>238</v>
      </c>
      <c r="GK3454" s="5" t="s">
        <v>238</v>
      </c>
      <c r="GL3454" s="5" t="s">
        <v>238</v>
      </c>
      <c r="GM3454" s="5" t="s">
        <v>238</v>
      </c>
      <c r="GN3454" s="5" t="s">
        <v>238</v>
      </c>
      <c r="GO3454" s="5" t="s">
        <v>238</v>
      </c>
      <c r="GP3454" s="5" t="s">
        <v>238</v>
      </c>
      <c r="GQ3454" s="5" t="s">
        <v>238</v>
      </c>
      <c r="GR3454" s="5" t="s">
        <v>238</v>
      </c>
      <c r="GS3454" s="5" t="s">
        <v>238</v>
      </c>
      <c r="GT3454" s="5" t="s">
        <v>238</v>
      </c>
      <c r="GU3454" s="5" t="s">
        <v>238</v>
      </c>
      <c r="GV3454" s="5" t="s">
        <v>238</v>
      </c>
      <c r="GW3454" s="5" t="s">
        <v>238</v>
      </c>
      <c r="GX3454" s="5" t="s">
        <v>238</v>
      </c>
      <c r="GY3454" s="5" t="s">
        <v>238</v>
      </c>
      <c r="GZ3454" s="5" t="s">
        <v>238</v>
      </c>
      <c r="HA3454" s="5" t="s">
        <v>238</v>
      </c>
      <c r="HB3454" s="5" t="s">
        <v>238</v>
      </c>
      <c r="HC3454" s="5" t="s">
        <v>238</v>
      </c>
      <c r="HD3454" s="5" t="s">
        <v>238</v>
      </c>
      <c r="HE3454" s="5" t="s">
        <v>238</v>
      </c>
      <c r="HF3454" s="5" t="s">
        <v>238</v>
      </c>
      <c r="HG3454" s="5" t="s">
        <v>238</v>
      </c>
      <c r="HH3454" s="5" t="s">
        <v>238</v>
      </c>
      <c r="HI3454" s="5" t="s">
        <v>238</v>
      </c>
      <c r="HJ3454" s="5" t="s">
        <v>238</v>
      </c>
      <c r="HK3454" s="5" t="s">
        <v>238</v>
      </c>
      <c r="HL3454" s="5" t="s">
        <v>238</v>
      </c>
      <c r="HM3454" s="5" t="s">
        <v>264</v>
      </c>
      <c r="HN3454" s="5" t="s">
        <v>238</v>
      </c>
      <c r="HO3454" s="5" t="s">
        <v>238</v>
      </c>
      <c r="HP3454" s="5" t="s">
        <v>238</v>
      </c>
      <c r="HQ3454" s="5" t="s">
        <v>238</v>
      </c>
      <c r="HR3454" s="5" t="s">
        <v>238</v>
      </c>
      <c r="HS3454" s="5" t="s">
        <v>238</v>
      </c>
      <c r="HT3454" s="5" t="s">
        <v>238</v>
      </c>
      <c r="HU3454" s="5" t="s">
        <v>238</v>
      </c>
      <c r="HV3454" s="5" t="s">
        <v>238</v>
      </c>
      <c r="HW3454" s="5" t="s">
        <v>238</v>
      </c>
      <c r="HX3454" s="5" t="s">
        <v>238</v>
      </c>
      <c r="HY3454" s="5" t="s">
        <v>238</v>
      </c>
      <c r="HZ3454" s="5" t="s">
        <v>238</v>
      </c>
      <c r="IA3454" s="5" t="s">
        <v>238</v>
      </c>
      <c r="IB3454" s="5" t="s">
        <v>238</v>
      </c>
      <c r="IC3454" s="5" t="s">
        <v>238</v>
      </c>
      <c r="ID3454" s="5" t="s">
        <v>238</v>
      </c>
    </row>
    <row r="3455" spans="1:238" x14ac:dyDescent="0.4">
      <c r="A3455" s="5">
        <v>9173</v>
      </c>
      <c r="B3455" s="5">
        <v>1</v>
      </c>
      <c r="C3455" s="5">
        <v>1</v>
      </c>
      <c r="D3455" s="5" t="s">
        <v>484</v>
      </c>
      <c r="E3455" s="5" t="s">
        <v>485</v>
      </c>
      <c r="F3455" s="5" t="s">
        <v>248</v>
      </c>
      <c r="G3455" s="5" t="s">
        <v>4700</v>
      </c>
      <c r="H3455" s="6" t="s">
        <v>4700</v>
      </c>
      <c r="I3455" s="8">
        <f>1</f>
        <v>1</v>
      </c>
      <c r="J3455" s="5" t="s">
        <v>499</v>
      </c>
      <c r="K3455" s="8">
        <f>1</f>
        <v>1</v>
      </c>
      <c r="L3455" s="6" t="s">
        <v>242</v>
      </c>
      <c r="M3455" s="5" t="s">
        <v>267</v>
      </c>
      <c r="N3455" s="5" t="s">
        <v>482</v>
      </c>
      <c r="O3455" s="5" t="s">
        <v>238</v>
      </c>
      <c r="P3455" s="5" t="s">
        <v>238</v>
      </c>
      <c r="Q3455" s="5" t="s">
        <v>239</v>
      </c>
      <c r="R3455" s="5" t="s">
        <v>270</v>
      </c>
      <c r="S3455" s="5" t="s">
        <v>238</v>
      </c>
      <c r="T3455" s="5" t="s">
        <v>238</v>
      </c>
      <c r="U3455" s="5" t="s">
        <v>238</v>
      </c>
      <c r="V3455" s="5" t="s">
        <v>238</v>
      </c>
      <c r="W3455" s="6" t="s">
        <v>238</v>
      </c>
      <c r="X3455" s="6" t="s">
        <v>238</v>
      </c>
      <c r="Y3455" s="5" t="s">
        <v>238</v>
      </c>
      <c r="Z3455" s="6" t="s">
        <v>238</v>
      </c>
      <c r="AA3455" s="6" t="s">
        <v>243</v>
      </c>
      <c r="AB3455" s="5" t="s">
        <v>4701</v>
      </c>
      <c r="AC3455" s="5" t="s">
        <v>244</v>
      </c>
      <c r="AD3455" s="5" t="s">
        <v>245</v>
      </c>
      <c r="AE3455" s="5" t="s">
        <v>238</v>
      </c>
      <c r="AF3455" s="5" t="s">
        <v>238</v>
      </c>
      <c r="AG3455" s="5" t="s">
        <v>238</v>
      </c>
      <c r="AH3455" s="5" t="s">
        <v>238</v>
      </c>
      <c r="AI3455" s="5" t="s">
        <v>238</v>
      </c>
      <c r="AJ3455" s="5" t="s">
        <v>238</v>
      </c>
      <c r="AK3455" s="5" t="s">
        <v>238</v>
      </c>
      <c r="AL3455" s="5" t="s">
        <v>238</v>
      </c>
      <c r="AM3455" s="6" t="s">
        <v>238</v>
      </c>
      <c r="AN3455" s="6" t="s">
        <v>238</v>
      </c>
      <c r="AO3455" s="6" t="s">
        <v>238</v>
      </c>
      <c r="AP3455" s="6" t="s">
        <v>238</v>
      </c>
      <c r="AQ3455" s="5" t="s">
        <v>238</v>
      </c>
      <c r="AR3455" s="5" t="s">
        <v>488</v>
      </c>
      <c r="AS3455" s="5" t="s">
        <v>488</v>
      </c>
      <c r="AT3455" s="5" t="s">
        <v>246</v>
      </c>
      <c r="AU3455" s="5" t="s">
        <v>489</v>
      </c>
      <c r="AV3455" s="5" t="s">
        <v>247</v>
      </c>
      <c r="AW3455" s="5" t="s">
        <v>238</v>
      </c>
      <c r="AX3455" s="5" t="s">
        <v>249</v>
      </c>
      <c r="AY3455" s="5" t="s">
        <v>490</v>
      </c>
      <c r="BA3455" s="5" t="s">
        <v>238</v>
      </c>
      <c r="BC3455" s="5" t="s">
        <v>491</v>
      </c>
      <c r="BD3455" s="6" t="s">
        <v>492</v>
      </c>
      <c r="BE3455" s="5" t="s">
        <v>493</v>
      </c>
      <c r="BF3455" s="5" t="s">
        <v>493</v>
      </c>
      <c r="BG3455" s="5" t="s">
        <v>238</v>
      </c>
      <c r="BH3455" s="8">
        <f>1</f>
        <v>1</v>
      </c>
      <c r="BI3455" s="8">
        <f>1</f>
        <v>1</v>
      </c>
      <c r="BJ3455" s="5" t="s">
        <v>253</v>
      </c>
      <c r="BK3455" s="5" t="s">
        <v>254</v>
      </c>
      <c r="BL3455" s="5" t="s">
        <v>238</v>
      </c>
      <c r="BM3455" s="5" t="s">
        <v>238</v>
      </c>
      <c r="BN3455" s="5" t="s">
        <v>238</v>
      </c>
      <c r="BO3455" s="5" t="s">
        <v>238</v>
      </c>
      <c r="BP3455" s="5" t="s">
        <v>238</v>
      </c>
      <c r="BQ3455" s="5" t="s">
        <v>238</v>
      </c>
      <c r="BR3455" s="5" t="s">
        <v>238</v>
      </c>
      <c r="BS3455" s="5" t="s">
        <v>238</v>
      </c>
      <c r="BT3455" s="6" t="s">
        <v>238</v>
      </c>
      <c r="BU3455" s="5" t="s">
        <v>238</v>
      </c>
      <c r="BV3455" s="5" t="s">
        <v>238</v>
      </c>
      <c r="BW3455" s="5" t="s">
        <v>238</v>
      </c>
      <c r="BX3455" s="5" t="s">
        <v>254</v>
      </c>
      <c r="BY3455" s="5" t="s">
        <v>238</v>
      </c>
      <c r="BZ3455" s="5" t="s">
        <v>238</v>
      </c>
      <c r="CA3455" s="5" t="s">
        <v>238</v>
      </c>
      <c r="CB3455" s="5" t="s">
        <v>238</v>
      </c>
      <c r="CC3455" s="5" t="s">
        <v>238</v>
      </c>
      <c r="CD3455" s="5" t="s">
        <v>273</v>
      </c>
      <c r="CE3455" s="5" t="s">
        <v>256</v>
      </c>
      <c r="CF3455" s="5" t="s">
        <v>238</v>
      </c>
      <c r="CH3455" s="5" t="s">
        <v>494</v>
      </c>
      <c r="CI3455" s="6" t="s">
        <v>257</v>
      </c>
      <c r="CJ3455" s="5" t="s">
        <v>495</v>
      </c>
      <c r="CK3455" s="5" t="s">
        <v>258</v>
      </c>
      <c r="CL3455" s="5" t="s">
        <v>496</v>
      </c>
      <c r="CM3455" s="5" t="s">
        <v>238</v>
      </c>
      <c r="CN3455" s="5">
        <v>0</v>
      </c>
      <c r="CO3455" s="5" t="s">
        <v>497</v>
      </c>
      <c r="CP3455" s="5" t="s">
        <v>260</v>
      </c>
      <c r="CQ3455" s="5" t="s">
        <v>260</v>
      </c>
      <c r="CR3455" s="5" t="s">
        <v>261</v>
      </c>
      <c r="CS3455" s="5" t="s">
        <v>498</v>
      </c>
      <c r="CT3455" s="7">
        <f>1</f>
        <v>1</v>
      </c>
      <c r="CU3455" s="8">
        <f>1</f>
        <v>1</v>
      </c>
      <c r="CV3455" s="8">
        <f>0</f>
        <v>0</v>
      </c>
      <c r="CX3455" s="8">
        <f>1</f>
        <v>1</v>
      </c>
      <c r="CY3455" s="8">
        <f>1</f>
        <v>1</v>
      </c>
      <c r="CZ3455" s="8" t="s">
        <v>238</v>
      </c>
      <c r="DA3455" s="5" t="s">
        <v>238</v>
      </c>
      <c r="DB3455" s="5" t="s">
        <v>238</v>
      </c>
      <c r="DC3455" s="5" t="s">
        <v>238</v>
      </c>
      <c r="DD3455" s="5" t="s">
        <v>238</v>
      </c>
      <c r="DE3455" s="8">
        <f>0</f>
        <v>0</v>
      </c>
      <c r="DG3455" s="5" t="s">
        <v>238</v>
      </c>
      <c r="DH3455" s="5" t="s">
        <v>238</v>
      </c>
      <c r="DI3455" s="5" t="s">
        <v>238</v>
      </c>
      <c r="DJ3455" s="5" t="s">
        <v>238</v>
      </c>
      <c r="DK3455" s="5" t="s">
        <v>238</v>
      </c>
      <c r="DL3455" s="5" t="s">
        <v>238</v>
      </c>
      <c r="DM3455" s="8" t="s">
        <v>238</v>
      </c>
      <c r="DN3455" s="5" t="s">
        <v>238</v>
      </c>
      <c r="DO3455" s="5" t="s">
        <v>238</v>
      </c>
      <c r="DP3455" s="5" t="s">
        <v>490</v>
      </c>
      <c r="DQ3455" s="5" t="s">
        <v>490</v>
      </c>
      <c r="DR3455" s="5" t="s">
        <v>238</v>
      </c>
      <c r="DS3455" s="5" t="s">
        <v>238</v>
      </c>
      <c r="DT3455" s="5" t="s">
        <v>500</v>
      </c>
      <c r="DU3455" s="5" t="s">
        <v>3103</v>
      </c>
      <c r="DV3455" s="5" t="s">
        <v>238</v>
      </c>
      <c r="DW3455" s="5" t="s">
        <v>238</v>
      </c>
      <c r="DX3455" s="5" t="s">
        <v>238</v>
      </c>
      <c r="DY3455" s="5" t="s">
        <v>238</v>
      </c>
      <c r="DZ3455" s="5" t="s">
        <v>238</v>
      </c>
      <c r="EA3455" s="5" t="s">
        <v>238</v>
      </c>
      <c r="EB3455" s="5" t="s">
        <v>238</v>
      </c>
      <c r="EC3455" s="5" t="s">
        <v>238</v>
      </c>
      <c r="ED3455" s="5" t="s">
        <v>238</v>
      </c>
      <c r="EE3455" s="5" t="s">
        <v>238</v>
      </c>
      <c r="EF3455" s="5" t="s">
        <v>238</v>
      </c>
      <c r="EG3455" s="5" t="s">
        <v>238</v>
      </c>
      <c r="EH3455" s="5" t="s">
        <v>238</v>
      </c>
      <c r="EI3455" s="5" t="s">
        <v>238</v>
      </c>
      <c r="EJ3455" s="5" t="s">
        <v>238</v>
      </c>
      <c r="EK3455" s="5" t="s">
        <v>238</v>
      </c>
      <c r="EL3455" s="5" t="s">
        <v>238</v>
      </c>
      <c r="EM3455" s="5" t="s">
        <v>238</v>
      </c>
      <c r="EN3455" s="5" t="s">
        <v>238</v>
      </c>
      <c r="EO3455" s="5" t="s">
        <v>238</v>
      </c>
      <c r="EP3455" s="5" t="s">
        <v>238</v>
      </c>
      <c r="EQ3455" s="5" t="s">
        <v>238</v>
      </c>
      <c r="ER3455" s="5" t="s">
        <v>238</v>
      </c>
      <c r="ES3455" s="5" t="s">
        <v>238</v>
      </c>
      <c r="ET3455" s="5" t="s">
        <v>238</v>
      </c>
      <c r="EU3455" s="5" t="s">
        <v>238</v>
      </c>
      <c r="EV3455" s="5" t="s">
        <v>238</v>
      </c>
      <c r="EW3455" s="5" t="s">
        <v>238</v>
      </c>
      <c r="EX3455" s="5" t="s">
        <v>238</v>
      </c>
      <c r="EY3455" s="5" t="s">
        <v>238</v>
      </c>
      <c r="EZ3455" s="5" t="s">
        <v>238</v>
      </c>
      <c r="FA3455" s="5" t="s">
        <v>238</v>
      </c>
      <c r="FB3455" s="5" t="s">
        <v>238</v>
      </c>
      <c r="FC3455" s="5" t="s">
        <v>238</v>
      </c>
      <c r="FD3455" s="5" t="s">
        <v>238</v>
      </c>
      <c r="FE3455" s="5" t="s">
        <v>238</v>
      </c>
      <c r="FF3455" s="5" t="s">
        <v>238</v>
      </c>
      <c r="FG3455" s="5" t="s">
        <v>238</v>
      </c>
      <c r="FH3455" s="5" t="s">
        <v>238</v>
      </c>
      <c r="FI3455" s="5" t="s">
        <v>238</v>
      </c>
      <c r="FJ3455" s="5" t="s">
        <v>238</v>
      </c>
      <c r="FK3455" s="5" t="s">
        <v>238</v>
      </c>
      <c r="FL3455" s="5" t="s">
        <v>238</v>
      </c>
      <c r="FM3455" s="5" t="s">
        <v>238</v>
      </c>
      <c r="FN3455" s="5" t="s">
        <v>238</v>
      </c>
      <c r="FO3455" s="5" t="s">
        <v>238</v>
      </c>
      <c r="FP3455" s="5" t="s">
        <v>238</v>
      </c>
      <c r="FQ3455" s="5" t="s">
        <v>238</v>
      </c>
      <c r="FR3455" s="5" t="s">
        <v>238</v>
      </c>
      <c r="FS3455" s="5" t="s">
        <v>238</v>
      </c>
      <c r="FT3455" s="5" t="s">
        <v>238</v>
      </c>
      <c r="FU3455" s="5" t="s">
        <v>238</v>
      </c>
      <c r="FV3455" s="5" t="s">
        <v>238</v>
      </c>
      <c r="FW3455" s="5" t="s">
        <v>238</v>
      </c>
      <c r="FX3455" s="5" t="s">
        <v>238</v>
      </c>
      <c r="FY3455" s="5" t="s">
        <v>238</v>
      </c>
      <c r="FZ3455" s="5" t="s">
        <v>238</v>
      </c>
      <c r="GA3455" s="5" t="s">
        <v>238</v>
      </c>
      <c r="GB3455" s="5" t="s">
        <v>238</v>
      </c>
      <c r="GC3455" s="5" t="s">
        <v>238</v>
      </c>
      <c r="GD3455" s="5" t="s">
        <v>238</v>
      </c>
      <c r="GE3455" s="5" t="s">
        <v>238</v>
      </c>
      <c r="GF3455" s="5" t="s">
        <v>238</v>
      </c>
      <c r="GG3455" s="5" t="s">
        <v>238</v>
      </c>
      <c r="GH3455" s="5" t="s">
        <v>238</v>
      </c>
      <c r="GI3455" s="5" t="s">
        <v>238</v>
      </c>
      <c r="GJ3455" s="5" t="s">
        <v>238</v>
      </c>
      <c r="GK3455" s="5" t="s">
        <v>238</v>
      </c>
      <c r="GL3455" s="5" t="s">
        <v>238</v>
      </c>
      <c r="GM3455" s="5" t="s">
        <v>238</v>
      </c>
      <c r="GN3455" s="5" t="s">
        <v>238</v>
      </c>
      <c r="GO3455" s="5" t="s">
        <v>238</v>
      </c>
      <c r="GP3455" s="5" t="s">
        <v>238</v>
      </c>
      <c r="GQ3455" s="5" t="s">
        <v>238</v>
      </c>
      <c r="GR3455" s="5" t="s">
        <v>238</v>
      </c>
      <c r="GS3455" s="5" t="s">
        <v>238</v>
      </c>
      <c r="GT3455" s="5" t="s">
        <v>238</v>
      </c>
      <c r="GU3455" s="5" t="s">
        <v>238</v>
      </c>
      <c r="GV3455" s="5" t="s">
        <v>238</v>
      </c>
      <c r="GW3455" s="5" t="s">
        <v>238</v>
      </c>
      <c r="GX3455" s="5" t="s">
        <v>238</v>
      </c>
      <c r="GY3455" s="5" t="s">
        <v>238</v>
      </c>
      <c r="GZ3455" s="5" t="s">
        <v>238</v>
      </c>
      <c r="HA3455" s="5" t="s">
        <v>238</v>
      </c>
      <c r="HB3455" s="5" t="s">
        <v>238</v>
      </c>
      <c r="HC3455" s="5" t="s">
        <v>238</v>
      </c>
      <c r="HD3455" s="5" t="s">
        <v>238</v>
      </c>
      <c r="HE3455" s="5" t="s">
        <v>238</v>
      </c>
      <c r="HF3455" s="5" t="s">
        <v>238</v>
      </c>
      <c r="HG3455" s="5" t="s">
        <v>238</v>
      </c>
      <c r="HH3455" s="5" t="s">
        <v>238</v>
      </c>
      <c r="HI3455" s="5" t="s">
        <v>238</v>
      </c>
      <c r="HJ3455" s="5" t="s">
        <v>238</v>
      </c>
      <c r="HK3455" s="5" t="s">
        <v>238</v>
      </c>
      <c r="HL3455" s="5" t="s">
        <v>238</v>
      </c>
      <c r="HM3455" s="5" t="s">
        <v>264</v>
      </c>
      <c r="HN3455" s="5" t="s">
        <v>238</v>
      </c>
      <c r="HO3455" s="5" t="s">
        <v>238</v>
      </c>
      <c r="HP3455" s="5" t="s">
        <v>238</v>
      </c>
      <c r="HQ3455" s="5" t="s">
        <v>238</v>
      </c>
      <c r="HR3455" s="5" t="s">
        <v>238</v>
      </c>
      <c r="HS3455" s="5" t="s">
        <v>238</v>
      </c>
      <c r="HT3455" s="5" t="s">
        <v>238</v>
      </c>
      <c r="HU3455" s="5" t="s">
        <v>238</v>
      </c>
      <c r="HV3455" s="5" t="s">
        <v>238</v>
      </c>
      <c r="HW3455" s="5" t="s">
        <v>238</v>
      </c>
      <c r="HX3455" s="5" t="s">
        <v>238</v>
      </c>
      <c r="HY3455" s="5" t="s">
        <v>238</v>
      </c>
      <c r="HZ3455" s="5" t="s">
        <v>238</v>
      </c>
      <c r="IA3455" s="5" t="s">
        <v>238</v>
      </c>
      <c r="IB3455" s="5" t="s">
        <v>238</v>
      </c>
      <c r="IC3455" s="5" t="s">
        <v>238</v>
      </c>
      <c r="ID3455" s="5" t="s">
        <v>238</v>
      </c>
    </row>
    <row r="3456" spans="1:238" x14ac:dyDescent="0.4">
      <c r="A3456" s="5">
        <v>9174</v>
      </c>
      <c r="B3456" s="5">
        <v>1</v>
      </c>
      <c r="C3456" s="5">
        <v>1</v>
      </c>
      <c r="D3456" s="5" t="s">
        <v>484</v>
      </c>
      <c r="E3456" s="5" t="s">
        <v>485</v>
      </c>
      <c r="F3456" s="5" t="s">
        <v>248</v>
      </c>
      <c r="G3456" s="5" t="s">
        <v>4528</v>
      </c>
      <c r="H3456" s="6" t="s">
        <v>4528</v>
      </c>
      <c r="I3456" s="8">
        <f>1</f>
        <v>1</v>
      </c>
      <c r="J3456" s="5" t="s">
        <v>499</v>
      </c>
      <c r="K3456" s="8">
        <f>1</f>
        <v>1</v>
      </c>
      <c r="L3456" s="6" t="s">
        <v>242</v>
      </c>
      <c r="M3456" s="5" t="s">
        <v>267</v>
      </c>
      <c r="N3456" s="5" t="s">
        <v>482</v>
      </c>
      <c r="O3456" s="5" t="s">
        <v>238</v>
      </c>
      <c r="P3456" s="5" t="s">
        <v>238</v>
      </c>
      <c r="Q3456" s="5" t="s">
        <v>239</v>
      </c>
      <c r="R3456" s="5" t="s">
        <v>270</v>
      </c>
      <c r="S3456" s="5" t="s">
        <v>238</v>
      </c>
      <c r="T3456" s="5" t="s">
        <v>238</v>
      </c>
      <c r="U3456" s="5" t="s">
        <v>238</v>
      </c>
      <c r="V3456" s="5" t="s">
        <v>238</v>
      </c>
      <c r="W3456" s="6" t="s">
        <v>238</v>
      </c>
      <c r="X3456" s="6" t="s">
        <v>238</v>
      </c>
      <c r="Y3456" s="5" t="s">
        <v>238</v>
      </c>
      <c r="Z3456" s="6" t="s">
        <v>238</v>
      </c>
      <c r="AA3456" s="6" t="s">
        <v>243</v>
      </c>
      <c r="AB3456" s="5" t="s">
        <v>4446</v>
      </c>
      <c r="AC3456" s="5" t="s">
        <v>244</v>
      </c>
      <c r="AD3456" s="5" t="s">
        <v>245</v>
      </c>
      <c r="AE3456" s="5" t="s">
        <v>238</v>
      </c>
      <c r="AF3456" s="5" t="s">
        <v>238</v>
      </c>
      <c r="AG3456" s="5" t="s">
        <v>238</v>
      </c>
      <c r="AH3456" s="5" t="s">
        <v>238</v>
      </c>
      <c r="AI3456" s="5" t="s">
        <v>238</v>
      </c>
      <c r="AJ3456" s="5" t="s">
        <v>238</v>
      </c>
      <c r="AK3456" s="5" t="s">
        <v>238</v>
      </c>
      <c r="AL3456" s="5" t="s">
        <v>238</v>
      </c>
      <c r="AM3456" s="6" t="s">
        <v>238</v>
      </c>
      <c r="AN3456" s="6" t="s">
        <v>238</v>
      </c>
      <c r="AO3456" s="6" t="s">
        <v>238</v>
      </c>
      <c r="AP3456" s="6" t="s">
        <v>238</v>
      </c>
      <c r="AQ3456" s="5" t="s">
        <v>238</v>
      </c>
      <c r="AR3456" s="5" t="s">
        <v>488</v>
      </c>
      <c r="AS3456" s="5" t="s">
        <v>488</v>
      </c>
      <c r="AT3456" s="5" t="s">
        <v>246</v>
      </c>
      <c r="AU3456" s="5" t="s">
        <v>489</v>
      </c>
      <c r="AV3456" s="5" t="s">
        <v>247</v>
      </c>
      <c r="AW3456" s="5" t="s">
        <v>238</v>
      </c>
      <c r="AX3456" s="5" t="s">
        <v>249</v>
      </c>
      <c r="AY3456" s="5" t="s">
        <v>490</v>
      </c>
      <c r="BA3456" s="5" t="s">
        <v>238</v>
      </c>
      <c r="BC3456" s="5" t="s">
        <v>491</v>
      </c>
      <c r="BD3456" s="6" t="s">
        <v>492</v>
      </c>
      <c r="BE3456" s="5" t="s">
        <v>493</v>
      </c>
      <c r="BF3456" s="5" t="s">
        <v>493</v>
      </c>
      <c r="BG3456" s="5" t="s">
        <v>238</v>
      </c>
      <c r="BH3456" s="8">
        <f>1</f>
        <v>1</v>
      </c>
      <c r="BI3456" s="8">
        <f>1</f>
        <v>1</v>
      </c>
      <c r="BJ3456" s="5" t="s">
        <v>253</v>
      </c>
      <c r="BK3456" s="5" t="s">
        <v>254</v>
      </c>
      <c r="BL3456" s="5" t="s">
        <v>238</v>
      </c>
      <c r="BM3456" s="5" t="s">
        <v>238</v>
      </c>
      <c r="BN3456" s="5" t="s">
        <v>238</v>
      </c>
      <c r="BO3456" s="5" t="s">
        <v>238</v>
      </c>
      <c r="BP3456" s="5" t="s">
        <v>238</v>
      </c>
      <c r="BQ3456" s="5" t="s">
        <v>238</v>
      </c>
      <c r="BR3456" s="5" t="s">
        <v>238</v>
      </c>
      <c r="BS3456" s="5" t="s">
        <v>238</v>
      </c>
      <c r="BT3456" s="6" t="s">
        <v>238</v>
      </c>
      <c r="BU3456" s="5" t="s">
        <v>238</v>
      </c>
      <c r="BV3456" s="5" t="s">
        <v>238</v>
      </c>
      <c r="BW3456" s="5" t="s">
        <v>238</v>
      </c>
      <c r="BX3456" s="5" t="s">
        <v>254</v>
      </c>
      <c r="BY3456" s="5" t="s">
        <v>238</v>
      </c>
      <c r="BZ3456" s="5" t="s">
        <v>238</v>
      </c>
      <c r="CA3456" s="5" t="s">
        <v>238</v>
      </c>
      <c r="CB3456" s="5" t="s">
        <v>238</v>
      </c>
      <c r="CC3456" s="5" t="s">
        <v>238</v>
      </c>
      <c r="CD3456" s="5" t="s">
        <v>273</v>
      </c>
      <c r="CE3456" s="5" t="s">
        <v>256</v>
      </c>
      <c r="CF3456" s="5" t="s">
        <v>238</v>
      </c>
      <c r="CH3456" s="5" t="s">
        <v>494</v>
      </c>
      <c r="CI3456" s="6" t="s">
        <v>257</v>
      </c>
      <c r="CJ3456" s="5" t="s">
        <v>495</v>
      </c>
      <c r="CK3456" s="5" t="s">
        <v>258</v>
      </c>
      <c r="CL3456" s="5" t="s">
        <v>496</v>
      </c>
      <c r="CM3456" s="5" t="s">
        <v>238</v>
      </c>
      <c r="CN3456" s="5">
        <v>0</v>
      </c>
      <c r="CO3456" s="5" t="s">
        <v>497</v>
      </c>
      <c r="CP3456" s="5" t="s">
        <v>260</v>
      </c>
      <c r="CQ3456" s="5" t="s">
        <v>260</v>
      </c>
      <c r="CR3456" s="5" t="s">
        <v>261</v>
      </c>
      <c r="CS3456" s="5" t="s">
        <v>498</v>
      </c>
      <c r="CT3456" s="7">
        <f>1</f>
        <v>1</v>
      </c>
      <c r="CU3456" s="8">
        <f>1</f>
        <v>1</v>
      </c>
      <c r="CV3456" s="8">
        <f>0</f>
        <v>0</v>
      </c>
      <c r="CX3456" s="8">
        <f>1</f>
        <v>1</v>
      </c>
      <c r="CY3456" s="8">
        <f>1</f>
        <v>1</v>
      </c>
      <c r="CZ3456" s="8" t="s">
        <v>238</v>
      </c>
      <c r="DA3456" s="5" t="s">
        <v>238</v>
      </c>
      <c r="DB3456" s="5" t="s">
        <v>238</v>
      </c>
      <c r="DC3456" s="5" t="s">
        <v>238</v>
      </c>
      <c r="DD3456" s="5" t="s">
        <v>238</v>
      </c>
      <c r="DE3456" s="8">
        <f>0</f>
        <v>0</v>
      </c>
      <c r="DG3456" s="5" t="s">
        <v>238</v>
      </c>
      <c r="DH3456" s="5" t="s">
        <v>238</v>
      </c>
      <c r="DI3456" s="5" t="s">
        <v>238</v>
      </c>
      <c r="DJ3456" s="5" t="s">
        <v>238</v>
      </c>
      <c r="DK3456" s="5" t="s">
        <v>238</v>
      </c>
      <c r="DL3456" s="5" t="s">
        <v>238</v>
      </c>
      <c r="DM3456" s="8" t="s">
        <v>238</v>
      </c>
      <c r="DN3456" s="5" t="s">
        <v>238</v>
      </c>
      <c r="DO3456" s="5" t="s">
        <v>238</v>
      </c>
      <c r="DP3456" s="5" t="s">
        <v>490</v>
      </c>
      <c r="DQ3456" s="5" t="s">
        <v>490</v>
      </c>
      <c r="DR3456" s="5" t="s">
        <v>238</v>
      </c>
      <c r="DS3456" s="5" t="s">
        <v>238</v>
      </c>
      <c r="DT3456" s="5" t="s">
        <v>500</v>
      </c>
      <c r="DU3456" s="5" t="s">
        <v>3119</v>
      </c>
      <c r="DV3456" s="5" t="s">
        <v>238</v>
      </c>
      <c r="DW3456" s="5" t="s">
        <v>238</v>
      </c>
      <c r="DX3456" s="5" t="s">
        <v>238</v>
      </c>
      <c r="DY3456" s="5" t="s">
        <v>238</v>
      </c>
      <c r="DZ3456" s="5" t="s">
        <v>238</v>
      </c>
      <c r="EA3456" s="5" t="s">
        <v>238</v>
      </c>
      <c r="EB3456" s="5" t="s">
        <v>238</v>
      </c>
      <c r="EC3456" s="5" t="s">
        <v>238</v>
      </c>
      <c r="ED3456" s="5" t="s">
        <v>238</v>
      </c>
      <c r="EE3456" s="5" t="s">
        <v>238</v>
      </c>
      <c r="EF3456" s="5" t="s">
        <v>238</v>
      </c>
      <c r="EG3456" s="5" t="s">
        <v>238</v>
      </c>
      <c r="EH3456" s="5" t="s">
        <v>238</v>
      </c>
      <c r="EI3456" s="5" t="s">
        <v>238</v>
      </c>
      <c r="EJ3456" s="5" t="s">
        <v>238</v>
      </c>
      <c r="EK3456" s="5" t="s">
        <v>238</v>
      </c>
      <c r="EL3456" s="5" t="s">
        <v>238</v>
      </c>
      <c r="EM3456" s="5" t="s">
        <v>238</v>
      </c>
      <c r="EN3456" s="5" t="s">
        <v>238</v>
      </c>
      <c r="EO3456" s="5" t="s">
        <v>238</v>
      </c>
      <c r="EP3456" s="5" t="s">
        <v>238</v>
      </c>
      <c r="EQ3456" s="5" t="s">
        <v>238</v>
      </c>
      <c r="ER3456" s="5" t="s">
        <v>238</v>
      </c>
      <c r="ES3456" s="5" t="s">
        <v>238</v>
      </c>
      <c r="ET3456" s="5" t="s">
        <v>238</v>
      </c>
      <c r="EU3456" s="5" t="s">
        <v>238</v>
      </c>
      <c r="EV3456" s="5" t="s">
        <v>238</v>
      </c>
      <c r="EW3456" s="5" t="s">
        <v>238</v>
      </c>
      <c r="EX3456" s="5" t="s">
        <v>238</v>
      </c>
      <c r="EY3456" s="5" t="s">
        <v>238</v>
      </c>
      <c r="EZ3456" s="5" t="s">
        <v>238</v>
      </c>
      <c r="FA3456" s="5" t="s">
        <v>238</v>
      </c>
      <c r="FB3456" s="5" t="s">
        <v>238</v>
      </c>
      <c r="FC3456" s="5" t="s">
        <v>238</v>
      </c>
      <c r="FD3456" s="5" t="s">
        <v>238</v>
      </c>
      <c r="FE3456" s="5" t="s">
        <v>238</v>
      </c>
      <c r="FF3456" s="5" t="s">
        <v>238</v>
      </c>
      <c r="FG3456" s="5" t="s">
        <v>238</v>
      </c>
      <c r="FH3456" s="5" t="s">
        <v>238</v>
      </c>
      <c r="FI3456" s="5" t="s">
        <v>238</v>
      </c>
      <c r="FJ3456" s="5" t="s">
        <v>238</v>
      </c>
      <c r="FK3456" s="5" t="s">
        <v>238</v>
      </c>
      <c r="FL3456" s="5" t="s">
        <v>238</v>
      </c>
      <c r="FM3456" s="5" t="s">
        <v>238</v>
      </c>
      <c r="FN3456" s="5" t="s">
        <v>238</v>
      </c>
      <c r="FO3456" s="5" t="s">
        <v>238</v>
      </c>
      <c r="FP3456" s="5" t="s">
        <v>238</v>
      </c>
      <c r="FQ3456" s="5" t="s">
        <v>238</v>
      </c>
      <c r="FR3456" s="5" t="s">
        <v>238</v>
      </c>
      <c r="FS3456" s="5" t="s">
        <v>238</v>
      </c>
      <c r="FT3456" s="5" t="s">
        <v>238</v>
      </c>
      <c r="FU3456" s="5" t="s">
        <v>238</v>
      </c>
      <c r="FV3456" s="5" t="s">
        <v>238</v>
      </c>
      <c r="FW3456" s="5" t="s">
        <v>238</v>
      </c>
      <c r="FX3456" s="5" t="s">
        <v>238</v>
      </c>
      <c r="FY3456" s="5" t="s">
        <v>238</v>
      </c>
      <c r="FZ3456" s="5" t="s">
        <v>238</v>
      </c>
      <c r="GA3456" s="5" t="s">
        <v>238</v>
      </c>
      <c r="GB3456" s="5" t="s">
        <v>238</v>
      </c>
      <c r="GC3456" s="5" t="s">
        <v>238</v>
      </c>
      <c r="GD3456" s="5" t="s">
        <v>238</v>
      </c>
      <c r="GE3456" s="5" t="s">
        <v>238</v>
      </c>
      <c r="GF3456" s="5" t="s">
        <v>238</v>
      </c>
      <c r="GG3456" s="5" t="s">
        <v>238</v>
      </c>
      <c r="GH3456" s="5" t="s">
        <v>238</v>
      </c>
      <c r="GI3456" s="5" t="s">
        <v>238</v>
      </c>
      <c r="GJ3456" s="5" t="s">
        <v>238</v>
      </c>
      <c r="GK3456" s="5" t="s">
        <v>238</v>
      </c>
      <c r="GL3456" s="5" t="s">
        <v>238</v>
      </c>
      <c r="GM3456" s="5" t="s">
        <v>238</v>
      </c>
      <c r="GN3456" s="5" t="s">
        <v>238</v>
      </c>
      <c r="GO3456" s="5" t="s">
        <v>238</v>
      </c>
      <c r="GP3456" s="5" t="s">
        <v>238</v>
      </c>
      <c r="GQ3456" s="5" t="s">
        <v>238</v>
      </c>
      <c r="GR3456" s="5" t="s">
        <v>238</v>
      </c>
      <c r="GS3456" s="5" t="s">
        <v>238</v>
      </c>
      <c r="GT3456" s="5" t="s">
        <v>238</v>
      </c>
      <c r="GU3456" s="5" t="s">
        <v>238</v>
      </c>
      <c r="GV3456" s="5" t="s">
        <v>238</v>
      </c>
      <c r="GW3456" s="5" t="s">
        <v>238</v>
      </c>
      <c r="GX3456" s="5" t="s">
        <v>238</v>
      </c>
      <c r="GY3456" s="5" t="s">
        <v>238</v>
      </c>
      <c r="GZ3456" s="5" t="s">
        <v>238</v>
      </c>
      <c r="HA3456" s="5" t="s">
        <v>238</v>
      </c>
      <c r="HB3456" s="5" t="s">
        <v>238</v>
      </c>
      <c r="HC3456" s="5" t="s">
        <v>238</v>
      </c>
      <c r="HD3456" s="5" t="s">
        <v>238</v>
      </c>
      <c r="HE3456" s="5" t="s">
        <v>238</v>
      </c>
      <c r="HF3456" s="5" t="s">
        <v>238</v>
      </c>
      <c r="HG3456" s="5" t="s">
        <v>238</v>
      </c>
      <c r="HH3456" s="5" t="s">
        <v>238</v>
      </c>
      <c r="HI3456" s="5" t="s">
        <v>238</v>
      </c>
      <c r="HJ3456" s="5" t="s">
        <v>238</v>
      </c>
      <c r="HK3456" s="5" t="s">
        <v>238</v>
      </c>
      <c r="HL3456" s="5" t="s">
        <v>238</v>
      </c>
      <c r="HM3456" s="5" t="s">
        <v>264</v>
      </c>
      <c r="HN3456" s="5" t="s">
        <v>238</v>
      </c>
      <c r="HO3456" s="5" t="s">
        <v>238</v>
      </c>
      <c r="HP3456" s="5" t="s">
        <v>238</v>
      </c>
      <c r="HQ3456" s="5" t="s">
        <v>238</v>
      </c>
      <c r="HR3456" s="5" t="s">
        <v>238</v>
      </c>
      <c r="HS3456" s="5" t="s">
        <v>238</v>
      </c>
      <c r="HT3456" s="5" t="s">
        <v>238</v>
      </c>
      <c r="HU3456" s="5" t="s">
        <v>238</v>
      </c>
      <c r="HV3456" s="5" t="s">
        <v>238</v>
      </c>
      <c r="HW3456" s="5" t="s">
        <v>238</v>
      </c>
      <c r="HX3456" s="5" t="s">
        <v>238</v>
      </c>
      <c r="HY3456" s="5" t="s">
        <v>238</v>
      </c>
      <c r="HZ3456" s="5" t="s">
        <v>238</v>
      </c>
      <c r="IA3456" s="5" t="s">
        <v>238</v>
      </c>
      <c r="IB3456" s="5" t="s">
        <v>238</v>
      </c>
      <c r="IC3456" s="5" t="s">
        <v>238</v>
      </c>
      <c r="ID3456" s="5" t="s">
        <v>238</v>
      </c>
    </row>
    <row r="3457" spans="1:238" x14ac:dyDescent="0.4">
      <c r="A3457" s="5">
        <v>9175</v>
      </c>
      <c r="B3457" s="5">
        <v>1</v>
      </c>
      <c r="C3457" s="5">
        <v>1</v>
      </c>
      <c r="D3457" s="5" t="s">
        <v>484</v>
      </c>
      <c r="E3457" s="5" t="s">
        <v>485</v>
      </c>
      <c r="F3457" s="5" t="s">
        <v>248</v>
      </c>
      <c r="G3457" s="5" t="s">
        <v>5083</v>
      </c>
      <c r="H3457" s="6" t="s">
        <v>5083</v>
      </c>
      <c r="I3457" s="8">
        <f>1</f>
        <v>1</v>
      </c>
      <c r="J3457" s="5" t="s">
        <v>499</v>
      </c>
      <c r="K3457" s="8">
        <f>1</f>
        <v>1</v>
      </c>
      <c r="L3457" s="6" t="s">
        <v>242</v>
      </c>
      <c r="M3457" s="5" t="s">
        <v>267</v>
      </c>
      <c r="N3457" s="5" t="s">
        <v>482</v>
      </c>
      <c r="O3457" s="5" t="s">
        <v>238</v>
      </c>
      <c r="P3457" s="5" t="s">
        <v>238</v>
      </c>
      <c r="Q3457" s="5" t="s">
        <v>239</v>
      </c>
      <c r="R3457" s="5" t="s">
        <v>270</v>
      </c>
      <c r="S3457" s="5" t="s">
        <v>238</v>
      </c>
      <c r="T3457" s="5" t="s">
        <v>238</v>
      </c>
      <c r="U3457" s="5" t="s">
        <v>238</v>
      </c>
      <c r="V3457" s="5" t="s">
        <v>238</v>
      </c>
      <c r="W3457" s="6" t="s">
        <v>238</v>
      </c>
      <c r="X3457" s="6" t="s">
        <v>238</v>
      </c>
      <c r="Y3457" s="5" t="s">
        <v>238</v>
      </c>
      <c r="Z3457" s="6" t="s">
        <v>238</v>
      </c>
      <c r="AA3457" s="6" t="s">
        <v>243</v>
      </c>
      <c r="AB3457" s="5" t="s">
        <v>5084</v>
      </c>
      <c r="AC3457" s="5" t="s">
        <v>244</v>
      </c>
      <c r="AD3457" s="5" t="s">
        <v>245</v>
      </c>
      <c r="AE3457" s="5" t="s">
        <v>238</v>
      </c>
      <c r="AF3457" s="5" t="s">
        <v>238</v>
      </c>
      <c r="AG3457" s="5" t="s">
        <v>238</v>
      </c>
      <c r="AH3457" s="5" t="s">
        <v>238</v>
      </c>
      <c r="AI3457" s="5" t="s">
        <v>238</v>
      </c>
      <c r="AJ3457" s="5" t="s">
        <v>238</v>
      </c>
      <c r="AK3457" s="5" t="s">
        <v>238</v>
      </c>
      <c r="AL3457" s="5" t="s">
        <v>238</v>
      </c>
      <c r="AM3457" s="6" t="s">
        <v>238</v>
      </c>
      <c r="AN3457" s="6" t="s">
        <v>238</v>
      </c>
      <c r="AO3457" s="6" t="s">
        <v>238</v>
      </c>
      <c r="AP3457" s="6" t="s">
        <v>238</v>
      </c>
      <c r="AQ3457" s="5" t="s">
        <v>238</v>
      </c>
      <c r="AR3457" s="5" t="s">
        <v>488</v>
      </c>
      <c r="AS3457" s="5" t="s">
        <v>488</v>
      </c>
      <c r="AT3457" s="5" t="s">
        <v>246</v>
      </c>
      <c r="AU3457" s="5" t="s">
        <v>489</v>
      </c>
      <c r="AV3457" s="5" t="s">
        <v>247</v>
      </c>
      <c r="AW3457" s="5" t="s">
        <v>238</v>
      </c>
      <c r="AX3457" s="5" t="s">
        <v>249</v>
      </c>
      <c r="AY3457" s="5" t="s">
        <v>490</v>
      </c>
      <c r="BA3457" s="5" t="s">
        <v>238</v>
      </c>
      <c r="BC3457" s="5" t="s">
        <v>491</v>
      </c>
      <c r="BD3457" s="6" t="s">
        <v>492</v>
      </c>
      <c r="BE3457" s="5" t="s">
        <v>493</v>
      </c>
      <c r="BF3457" s="5" t="s">
        <v>493</v>
      </c>
      <c r="BG3457" s="5" t="s">
        <v>238</v>
      </c>
      <c r="BH3457" s="8">
        <f>1</f>
        <v>1</v>
      </c>
      <c r="BI3457" s="8">
        <f>1</f>
        <v>1</v>
      </c>
      <c r="BJ3457" s="5" t="s">
        <v>253</v>
      </c>
      <c r="BK3457" s="5" t="s">
        <v>254</v>
      </c>
      <c r="BL3457" s="5" t="s">
        <v>238</v>
      </c>
      <c r="BM3457" s="5" t="s">
        <v>238</v>
      </c>
      <c r="BN3457" s="5" t="s">
        <v>238</v>
      </c>
      <c r="BO3457" s="5" t="s">
        <v>238</v>
      </c>
      <c r="BP3457" s="5" t="s">
        <v>238</v>
      </c>
      <c r="BQ3457" s="5" t="s">
        <v>238</v>
      </c>
      <c r="BR3457" s="5" t="s">
        <v>238</v>
      </c>
      <c r="BS3457" s="5" t="s">
        <v>238</v>
      </c>
      <c r="BT3457" s="6" t="s">
        <v>238</v>
      </c>
      <c r="BU3457" s="5" t="s">
        <v>238</v>
      </c>
      <c r="BV3457" s="5" t="s">
        <v>238</v>
      </c>
      <c r="BW3457" s="5" t="s">
        <v>238</v>
      </c>
      <c r="BX3457" s="5" t="s">
        <v>254</v>
      </c>
      <c r="BY3457" s="5" t="s">
        <v>238</v>
      </c>
      <c r="BZ3457" s="5" t="s">
        <v>238</v>
      </c>
      <c r="CA3457" s="5" t="s">
        <v>238</v>
      </c>
      <c r="CB3457" s="5" t="s">
        <v>238</v>
      </c>
      <c r="CC3457" s="5" t="s">
        <v>238</v>
      </c>
      <c r="CD3457" s="5" t="s">
        <v>273</v>
      </c>
      <c r="CE3457" s="5" t="s">
        <v>256</v>
      </c>
      <c r="CF3457" s="5" t="s">
        <v>238</v>
      </c>
      <c r="CH3457" s="5" t="s">
        <v>494</v>
      </c>
      <c r="CI3457" s="6" t="s">
        <v>257</v>
      </c>
      <c r="CJ3457" s="5" t="s">
        <v>495</v>
      </c>
      <c r="CK3457" s="5" t="s">
        <v>258</v>
      </c>
      <c r="CL3457" s="5" t="s">
        <v>496</v>
      </c>
      <c r="CM3457" s="5" t="s">
        <v>238</v>
      </c>
      <c r="CN3457" s="5">
        <v>0</v>
      </c>
      <c r="CO3457" s="5" t="s">
        <v>497</v>
      </c>
      <c r="CP3457" s="5" t="s">
        <v>260</v>
      </c>
      <c r="CQ3457" s="5" t="s">
        <v>260</v>
      </c>
      <c r="CR3457" s="5" t="s">
        <v>261</v>
      </c>
      <c r="CS3457" s="5" t="s">
        <v>498</v>
      </c>
      <c r="CT3457" s="7">
        <f>1</f>
        <v>1</v>
      </c>
      <c r="CU3457" s="8">
        <f>1</f>
        <v>1</v>
      </c>
      <c r="CV3457" s="8">
        <f>0</f>
        <v>0</v>
      </c>
      <c r="CX3457" s="8">
        <f>1</f>
        <v>1</v>
      </c>
      <c r="CY3457" s="8">
        <f>1</f>
        <v>1</v>
      </c>
      <c r="CZ3457" s="8" t="s">
        <v>238</v>
      </c>
      <c r="DA3457" s="5" t="s">
        <v>238</v>
      </c>
      <c r="DB3457" s="5" t="s">
        <v>238</v>
      </c>
      <c r="DC3457" s="5" t="s">
        <v>238</v>
      </c>
      <c r="DD3457" s="5" t="s">
        <v>238</v>
      </c>
      <c r="DE3457" s="8">
        <f>0</f>
        <v>0</v>
      </c>
      <c r="DG3457" s="5" t="s">
        <v>238</v>
      </c>
      <c r="DH3457" s="5" t="s">
        <v>238</v>
      </c>
      <c r="DI3457" s="5" t="s">
        <v>238</v>
      </c>
      <c r="DJ3457" s="5" t="s">
        <v>238</v>
      </c>
      <c r="DK3457" s="5" t="s">
        <v>238</v>
      </c>
      <c r="DL3457" s="5" t="s">
        <v>238</v>
      </c>
      <c r="DM3457" s="8" t="s">
        <v>238</v>
      </c>
      <c r="DN3457" s="5" t="s">
        <v>238</v>
      </c>
      <c r="DO3457" s="5" t="s">
        <v>238</v>
      </c>
      <c r="DP3457" s="5" t="s">
        <v>490</v>
      </c>
      <c r="DQ3457" s="5" t="s">
        <v>490</v>
      </c>
      <c r="DR3457" s="5" t="s">
        <v>238</v>
      </c>
      <c r="DS3457" s="5" t="s">
        <v>238</v>
      </c>
      <c r="DT3457" s="5" t="s">
        <v>500</v>
      </c>
      <c r="DU3457" s="5" t="s">
        <v>3137</v>
      </c>
      <c r="DV3457" s="5" t="s">
        <v>238</v>
      </c>
      <c r="DW3457" s="5" t="s">
        <v>238</v>
      </c>
      <c r="DX3457" s="5" t="s">
        <v>238</v>
      </c>
      <c r="DY3457" s="5" t="s">
        <v>238</v>
      </c>
      <c r="DZ3457" s="5" t="s">
        <v>238</v>
      </c>
      <c r="EA3457" s="5" t="s">
        <v>238</v>
      </c>
      <c r="EB3457" s="5" t="s">
        <v>238</v>
      </c>
      <c r="EC3457" s="5" t="s">
        <v>238</v>
      </c>
      <c r="ED3457" s="5" t="s">
        <v>238</v>
      </c>
      <c r="EE3457" s="5" t="s">
        <v>238</v>
      </c>
      <c r="EF3457" s="5" t="s">
        <v>238</v>
      </c>
      <c r="EG3457" s="5" t="s">
        <v>238</v>
      </c>
      <c r="EH3457" s="5" t="s">
        <v>238</v>
      </c>
      <c r="EI3457" s="5" t="s">
        <v>238</v>
      </c>
      <c r="EJ3457" s="5" t="s">
        <v>238</v>
      </c>
      <c r="EK3457" s="5" t="s">
        <v>238</v>
      </c>
      <c r="EL3457" s="5" t="s">
        <v>238</v>
      </c>
      <c r="EM3457" s="5" t="s">
        <v>238</v>
      </c>
      <c r="EN3457" s="5" t="s">
        <v>238</v>
      </c>
      <c r="EO3457" s="5" t="s">
        <v>238</v>
      </c>
      <c r="EP3457" s="5" t="s">
        <v>238</v>
      </c>
      <c r="EQ3457" s="5" t="s">
        <v>238</v>
      </c>
      <c r="ER3457" s="5" t="s">
        <v>238</v>
      </c>
      <c r="ES3457" s="5" t="s">
        <v>238</v>
      </c>
      <c r="ET3457" s="5" t="s">
        <v>238</v>
      </c>
      <c r="EU3457" s="5" t="s">
        <v>238</v>
      </c>
      <c r="EV3457" s="5" t="s">
        <v>238</v>
      </c>
      <c r="EW3457" s="5" t="s">
        <v>238</v>
      </c>
      <c r="EX3457" s="5" t="s">
        <v>238</v>
      </c>
      <c r="EY3457" s="5" t="s">
        <v>238</v>
      </c>
      <c r="EZ3457" s="5" t="s">
        <v>238</v>
      </c>
      <c r="FA3457" s="5" t="s">
        <v>238</v>
      </c>
      <c r="FB3457" s="5" t="s">
        <v>238</v>
      </c>
      <c r="FC3457" s="5" t="s">
        <v>238</v>
      </c>
      <c r="FD3457" s="5" t="s">
        <v>238</v>
      </c>
      <c r="FE3457" s="5" t="s">
        <v>238</v>
      </c>
      <c r="FF3457" s="5" t="s">
        <v>238</v>
      </c>
      <c r="FG3457" s="5" t="s">
        <v>238</v>
      </c>
      <c r="FH3457" s="5" t="s">
        <v>238</v>
      </c>
      <c r="FI3457" s="5" t="s">
        <v>238</v>
      </c>
      <c r="FJ3457" s="5" t="s">
        <v>238</v>
      </c>
      <c r="FK3457" s="5" t="s">
        <v>238</v>
      </c>
      <c r="FL3457" s="5" t="s">
        <v>238</v>
      </c>
      <c r="FM3457" s="5" t="s">
        <v>238</v>
      </c>
      <c r="FN3457" s="5" t="s">
        <v>238</v>
      </c>
      <c r="FO3457" s="5" t="s">
        <v>238</v>
      </c>
      <c r="FP3457" s="5" t="s">
        <v>238</v>
      </c>
      <c r="FQ3457" s="5" t="s">
        <v>238</v>
      </c>
      <c r="FR3457" s="5" t="s">
        <v>238</v>
      </c>
      <c r="FS3457" s="5" t="s">
        <v>238</v>
      </c>
      <c r="FT3457" s="5" t="s">
        <v>238</v>
      </c>
      <c r="FU3457" s="5" t="s">
        <v>238</v>
      </c>
      <c r="FV3457" s="5" t="s">
        <v>238</v>
      </c>
      <c r="FW3457" s="5" t="s">
        <v>238</v>
      </c>
      <c r="FX3457" s="5" t="s">
        <v>238</v>
      </c>
      <c r="FY3457" s="5" t="s">
        <v>238</v>
      </c>
      <c r="FZ3457" s="5" t="s">
        <v>238</v>
      </c>
      <c r="GA3457" s="5" t="s">
        <v>238</v>
      </c>
      <c r="GB3457" s="5" t="s">
        <v>238</v>
      </c>
      <c r="GC3457" s="5" t="s">
        <v>238</v>
      </c>
      <c r="GD3457" s="5" t="s">
        <v>238</v>
      </c>
      <c r="GE3457" s="5" t="s">
        <v>238</v>
      </c>
      <c r="GF3457" s="5" t="s">
        <v>238</v>
      </c>
      <c r="GG3457" s="5" t="s">
        <v>238</v>
      </c>
      <c r="GH3457" s="5" t="s">
        <v>238</v>
      </c>
      <c r="GI3457" s="5" t="s">
        <v>238</v>
      </c>
      <c r="GJ3457" s="5" t="s">
        <v>238</v>
      </c>
      <c r="GK3457" s="5" t="s">
        <v>238</v>
      </c>
      <c r="GL3457" s="5" t="s">
        <v>238</v>
      </c>
      <c r="GM3457" s="5" t="s">
        <v>238</v>
      </c>
      <c r="GN3457" s="5" t="s">
        <v>238</v>
      </c>
      <c r="GO3457" s="5" t="s">
        <v>238</v>
      </c>
      <c r="GP3457" s="5" t="s">
        <v>238</v>
      </c>
      <c r="GQ3457" s="5" t="s">
        <v>238</v>
      </c>
      <c r="GR3457" s="5" t="s">
        <v>238</v>
      </c>
      <c r="GS3457" s="5" t="s">
        <v>238</v>
      </c>
      <c r="GT3457" s="5" t="s">
        <v>238</v>
      </c>
      <c r="GU3457" s="5" t="s">
        <v>238</v>
      </c>
      <c r="GV3457" s="5" t="s">
        <v>238</v>
      </c>
      <c r="GW3457" s="5" t="s">
        <v>238</v>
      </c>
      <c r="GX3457" s="5" t="s">
        <v>238</v>
      </c>
      <c r="GY3457" s="5" t="s">
        <v>238</v>
      </c>
      <c r="GZ3457" s="5" t="s">
        <v>238</v>
      </c>
      <c r="HA3457" s="5" t="s">
        <v>238</v>
      </c>
      <c r="HB3457" s="5" t="s">
        <v>238</v>
      </c>
      <c r="HC3457" s="5" t="s">
        <v>238</v>
      </c>
      <c r="HD3457" s="5" t="s">
        <v>238</v>
      </c>
      <c r="HE3457" s="5" t="s">
        <v>238</v>
      </c>
      <c r="HF3457" s="5" t="s">
        <v>238</v>
      </c>
      <c r="HG3457" s="5" t="s">
        <v>238</v>
      </c>
      <c r="HH3457" s="5" t="s">
        <v>238</v>
      </c>
      <c r="HI3457" s="5" t="s">
        <v>238</v>
      </c>
      <c r="HJ3457" s="5" t="s">
        <v>238</v>
      </c>
      <c r="HK3457" s="5" t="s">
        <v>238</v>
      </c>
      <c r="HL3457" s="5" t="s">
        <v>238</v>
      </c>
      <c r="HM3457" s="5" t="s">
        <v>264</v>
      </c>
      <c r="HN3457" s="5" t="s">
        <v>238</v>
      </c>
      <c r="HO3457" s="5" t="s">
        <v>238</v>
      </c>
      <c r="HP3457" s="5" t="s">
        <v>238</v>
      </c>
      <c r="HQ3457" s="5" t="s">
        <v>238</v>
      </c>
      <c r="HR3457" s="5" t="s">
        <v>238</v>
      </c>
      <c r="HS3457" s="5" t="s">
        <v>238</v>
      </c>
      <c r="HT3457" s="5" t="s">
        <v>238</v>
      </c>
      <c r="HU3457" s="5" t="s">
        <v>238</v>
      </c>
      <c r="HV3457" s="5" t="s">
        <v>238</v>
      </c>
      <c r="HW3457" s="5" t="s">
        <v>238</v>
      </c>
      <c r="HX3457" s="5" t="s">
        <v>238</v>
      </c>
      <c r="HY3457" s="5" t="s">
        <v>238</v>
      </c>
      <c r="HZ3457" s="5" t="s">
        <v>238</v>
      </c>
      <c r="IA3457" s="5" t="s">
        <v>238</v>
      </c>
      <c r="IB3457" s="5" t="s">
        <v>238</v>
      </c>
      <c r="IC3457" s="5" t="s">
        <v>238</v>
      </c>
      <c r="ID3457" s="5" t="s">
        <v>238</v>
      </c>
    </row>
    <row r="3458" spans="1:238" x14ac:dyDescent="0.4">
      <c r="A3458" s="5">
        <v>9176</v>
      </c>
      <c r="B3458" s="5">
        <v>1</v>
      </c>
      <c r="C3458" s="5">
        <v>1</v>
      </c>
      <c r="D3458" s="5" t="s">
        <v>484</v>
      </c>
      <c r="E3458" s="5" t="s">
        <v>485</v>
      </c>
      <c r="F3458" s="5" t="s">
        <v>248</v>
      </c>
      <c r="G3458" s="5" t="s">
        <v>5274</v>
      </c>
      <c r="H3458" s="6" t="s">
        <v>5274</v>
      </c>
      <c r="I3458" s="8">
        <f>1</f>
        <v>1</v>
      </c>
      <c r="J3458" s="5" t="s">
        <v>499</v>
      </c>
      <c r="K3458" s="8">
        <f>1</f>
        <v>1</v>
      </c>
      <c r="L3458" s="6" t="s">
        <v>242</v>
      </c>
      <c r="M3458" s="5" t="s">
        <v>267</v>
      </c>
      <c r="N3458" s="5" t="s">
        <v>482</v>
      </c>
      <c r="O3458" s="5" t="s">
        <v>238</v>
      </c>
      <c r="P3458" s="5" t="s">
        <v>238</v>
      </c>
      <c r="Q3458" s="5" t="s">
        <v>239</v>
      </c>
      <c r="R3458" s="5" t="s">
        <v>270</v>
      </c>
      <c r="S3458" s="5" t="s">
        <v>238</v>
      </c>
      <c r="T3458" s="5" t="s">
        <v>238</v>
      </c>
      <c r="U3458" s="5" t="s">
        <v>238</v>
      </c>
      <c r="V3458" s="5" t="s">
        <v>238</v>
      </c>
      <c r="W3458" s="6" t="s">
        <v>238</v>
      </c>
      <c r="X3458" s="6" t="s">
        <v>238</v>
      </c>
      <c r="Y3458" s="5" t="s">
        <v>238</v>
      </c>
      <c r="Z3458" s="6" t="s">
        <v>238</v>
      </c>
      <c r="AA3458" s="6" t="s">
        <v>243</v>
      </c>
      <c r="AB3458" s="5" t="s">
        <v>5275</v>
      </c>
      <c r="AC3458" s="5" t="s">
        <v>244</v>
      </c>
      <c r="AD3458" s="5" t="s">
        <v>245</v>
      </c>
      <c r="AE3458" s="5" t="s">
        <v>238</v>
      </c>
      <c r="AF3458" s="5" t="s">
        <v>238</v>
      </c>
      <c r="AG3458" s="5" t="s">
        <v>238</v>
      </c>
      <c r="AH3458" s="5" t="s">
        <v>238</v>
      </c>
      <c r="AI3458" s="5" t="s">
        <v>238</v>
      </c>
      <c r="AJ3458" s="5" t="s">
        <v>238</v>
      </c>
      <c r="AK3458" s="5" t="s">
        <v>238</v>
      </c>
      <c r="AL3458" s="5" t="s">
        <v>238</v>
      </c>
      <c r="AM3458" s="6" t="s">
        <v>238</v>
      </c>
      <c r="AN3458" s="6" t="s">
        <v>238</v>
      </c>
      <c r="AO3458" s="6" t="s">
        <v>238</v>
      </c>
      <c r="AP3458" s="6" t="s">
        <v>238</v>
      </c>
      <c r="AQ3458" s="5" t="s">
        <v>238</v>
      </c>
      <c r="AR3458" s="5" t="s">
        <v>488</v>
      </c>
      <c r="AS3458" s="5" t="s">
        <v>488</v>
      </c>
      <c r="AT3458" s="5" t="s">
        <v>246</v>
      </c>
      <c r="AU3458" s="5" t="s">
        <v>489</v>
      </c>
      <c r="AV3458" s="5" t="s">
        <v>247</v>
      </c>
      <c r="AW3458" s="5" t="s">
        <v>238</v>
      </c>
      <c r="AX3458" s="5" t="s">
        <v>249</v>
      </c>
      <c r="AY3458" s="5" t="s">
        <v>490</v>
      </c>
      <c r="BA3458" s="5" t="s">
        <v>238</v>
      </c>
      <c r="BC3458" s="5" t="s">
        <v>491</v>
      </c>
      <c r="BD3458" s="6" t="s">
        <v>492</v>
      </c>
      <c r="BE3458" s="5" t="s">
        <v>493</v>
      </c>
      <c r="BF3458" s="5" t="s">
        <v>493</v>
      </c>
      <c r="BG3458" s="5" t="s">
        <v>238</v>
      </c>
      <c r="BH3458" s="8">
        <f>1</f>
        <v>1</v>
      </c>
      <c r="BI3458" s="8">
        <f>1</f>
        <v>1</v>
      </c>
      <c r="BJ3458" s="5" t="s">
        <v>253</v>
      </c>
      <c r="BK3458" s="5" t="s">
        <v>254</v>
      </c>
      <c r="BL3458" s="5" t="s">
        <v>238</v>
      </c>
      <c r="BM3458" s="5" t="s">
        <v>238</v>
      </c>
      <c r="BN3458" s="5" t="s">
        <v>238</v>
      </c>
      <c r="BO3458" s="5" t="s">
        <v>238</v>
      </c>
      <c r="BP3458" s="5" t="s">
        <v>238</v>
      </c>
      <c r="BQ3458" s="5" t="s">
        <v>238</v>
      </c>
      <c r="BR3458" s="5" t="s">
        <v>238</v>
      </c>
      <c r="BS3458" s="5" t="s">
        <v>238</v>
      </c>
      <c r="BT3458" s="6" t="s">
        <v>238</v>
      </c>
      <c r="BU3458" s="5" t="s">
        <v>238</v>
      </c>
      <c r="BV3458" s="5" t="s">
        <v>238</v>
      </c>
      <c r="BW3458" s="5" t="s">
        <v>238</v>
      </c>
      <c r="BX3458" s="5" t="s">
        <v>254</v>
      </c>
      <c r="BY3458" s="5" t="s">
        <v>238</v>
      </c>
      <c r="BZ3458" s="5" t="s">
        <v>238</v>
      </c>
      <c r="CA3458" s="5" t="s">
        <v>238</v>
      </c>
      <c r="CB3458" s="5" t="s">
        <v>238</v>
      </c>
      <c r="CC3458" s="5" t="s">
        <v>238</v>
      </c>
      <c r="CD3458" s="5" t="s">
        <v>273</v>
      </c>
      <c r="CE3458" s="5" t="s">
        <v>256</v>
      </c>
      <c r="CF3458" s="5" t="s">
        <v>238</v>
      </c>
      <c r="CH3458" s="5" t="s">
        <v>494</v>
      </c>
      <c r="CI3458" s="6" t="s">
        <v>257</v>
      </c>
      <c r="CJ3458" s="5" t="s">
        <v>495</v>
      </c>
      <c r="CK3458" s="5" t="s">
        <v>258</v>
      </c>
      <c r="CL3458" s="5" t="s">
        <v>496</v>
      </c>
      <c r="CM3458" s="5" t="s">
        <v>238</v>
      </c>
      <c r="CN3458" s="5">
        <v>0</v>
      </c>
      <c r="CO3458" s="5" t="s">
        <v>497</v>
      </c>
      <c r="CP3458" s="5" t="s">
        <v>260</v>
      </c>
      <c r="CQ3458" s="5" t="s">
        <v>260</v>
      </c>
      <c r="CR3458" s="5" t="s">
        <v>261</v>
      </c>
      <c r="CS3458" s="5" t="s">
        <v>498</v>
      </c>
      <c r="CT3458" s="7">
        <f>1</f>
        <v>1</v>
      </c>
      <c r="CU3458" s="8">
        <f>1</f>
        <v>1</v>
      </c>
      <c r="CV3458" s="8">
        <f>0</f>
        <v>0</v>
      </c>
      <c r="CX3458" s="8">
        <f>1</f>
        <v>1</v>
      </c>
      <c r="CY3458" s="8">
        <f>1</f>
        <v>1</v>
      </c>
      <c r="CZ3458" s="8" t="s">
        <v>238</v>
      </c>
      <c r="DA3458" s="5" t="s">
        <v>238</v>
      </c>
      <c r="DB3458" s="5" t="s">
        <v>238</v>
      </c>
      <c r="DC3458" s="5" t="s">
        <v>238</v>
      </c>
      <c r="DD3458" s="5" t="s">
        <v>238</v>
      </c>
      <c r="DE3458" s="8">
        <f>0</f>
        <v>0</v>
      </c>
      <c r="DG3458" s="5" t="s">
        <v>238</v>
      </c>
      <c r="DH3458" s="5" t="s">
        <v>238</v>
      </c>
      <c r="DI3458" s="5" t="s">
        <v>238</v>
      </c>
      <c r="DJ3458" s="5" t="s">
        <v>238</v>
      </c>
      <c r="DK3458" s="5" t="s">
        <v>238</v>
      </c>
      <c r="DL3458" s="5" t="s">
        <v>238</v>
      </c>
      <c r="DM3458" s="8" t="s">
        <v>238</v>
      </c>
      <c r="DN3458" s="5" t="s">
        <v>238</v>
      </c>
      <c r="DO3458" s="5" t="s">
        <v>238</v>
      </c>
      <c r="DP3458" s="5" t="s">
        <v>490</v>
      </c>
      <c r="DQ3458" s="5" t="s">
        <v>490</v>
      </c>
      <c r="DR3458" s="5" t="s">
        <v>238</v>
      </c>
      <c r="DS3458" s="5" t="s">
        <v>238</v>
      </c>
      <c r="DT3458" s="5" t="s">
        <v>500</v>
      </c>
      <c r="DU3458" s="5" t="s">
        <v>3144</v>
      </c>
      <c r="DV3458" s="5" t="s">
        <v>238</v>
      </c>
      <c r="DW3458" s="5" t="s">
        <v>238</v>
      </c>
      <c r="DX3458" s="5" t="s">
        <v>238</v>
      </c>
      <c r="DY3458" s="5" t="s">
        <v>238</v>
      </c>
      <c r="DZ3458" s="5" t="s">
        <v>238</v>
      </c>
      <c r="EA3458" s="5" t="s">
        <v>238</v>
      </c>
      <c r="EB3458" s="5" t="s">
        <v>238</v>
      </c>
      <c r="EC3458" s="5" t="s">
        <v>238</v>
      </c>
      <c r="ED3458" s="5" t="s">
        <v>238</v>
      </c>
      <c r="EE3458" s="5" t="s">
        <v>238</v>
      </c>
      <c r="EF3458" s="5" t="s">
        <v>238</v>
      </c>
      <c r="EG3458" s="5" t="s">
        <v>238</v>
      </c>
      <c r="EH3458" s="5" t="s">
        <v>238</v>
      </c>
      <c r="EI3458" s="5" t="s">
        <v>238</v>
      </c>
      <c r="EJ3458" s="5" t="s">
        <v>238</v>
      </c>
      <c r="EK3458" s="5" t="s">
        <v>238</v>
      </c>
      <c r="EL3458" s="5" t="s">
        <v>238</v>
      </c>
      <c r="EM3458" s="5" t="s">
        <v>238</v>
      </c>
      <c r="EN3458" s="5" t="s">
        <v>238</v>
      </c>
      <c r="EO3458" s="5" t="s">
        <v>238</v>
      </c>
      <c r="EP3458" s="5" t="s">
        <v>238</v>
      </c>
      <c r="EQ3458" s="5" t="s">
        <v>238</v>
      </c>
      <c r="ER3458" s="5" t="s">
        <v>238</v>
      </c>
      <c r="ES3458" s="5" t="s">
        <v>238</v>
      </c>
      <c r="ET3458" s="5" t="s">
        <v>238</v>
      </c>
      <c r="EU3458" s="5" t="s">
        <v>238</v>
      </c>
      <c r="EV3458" s="5" t="s">
        <v>238</v>
      </c>
      <c r="EW3458" s="5" t="s">
        <v>238</v>
      </c>
      <c r="EX3458" s="5" t="s">
        <v>238</v>
      </c>
      <c r="EY3458" s="5" t="s">
        <v>238</v>
      </c>
      <c r="EZ3458" s="5" t="s">
        <v>238</v>
      </c>
      <c r="FA3458" s="5" t="s">
        <v>238</v>
      </c>
      <c r="FB3458" s="5" t="s">
        <v>238</v>
      </c>
      <c r="FC3458" s="5" t="s">
        <v>238</v>
      </c>
      <c r="FD3458" s="5" t="s">
        <v>238</v>
      </c>
      <c r="FE3458" s="5" t="s">
        <v>238</v>
      </c>
      <c r="FF3458" s="5" t="s">
        <v>238</v>
      </c>
      <c r="FG3458" s="5" t="s">
        <v>238</v>
      </c>
      <c r="FH3458" s="5" t="s">
        <v>238</v>
      </c>
      <c r="FI3458" s="5" t="s">
        <v>238</v>
      </c>
      <c r="FJ3458" s="5" t="s">
        <v>238</v>
      </c>
      <c r="FK3458" s="5" t="s">
        <v>238</v>
      </c>
      <c r="FL3458" s="5" t="s">
        <v>238</v>
      </c>
      <c r="FM3458" s="5" t="s">
        <v>238</v>
      </c>
      <c r="FN3458" s="5" t="s">
        <v>238</v>
      </c>
      <c r="FO3458" s="5" t="s">
        <v>238</v>
      </c>
      <c r="FP3458" s="5" t="s">
        <v>238</v>
      </c>
      <c r="FQ3458" s="5" t="s">
        <v>238</v>
      </c>
      <c r="FR3458" s="5" t="s">
        <v>238</v>
      </c>
      <c r="FS3458" s="5" t="s">
        <v>238</v>
      </c>
      <c r="FT3458" s="5" t="s">
        <v>238</v>
      </c>
      <c r="FU3458" s="5" t="s">
        <v>238</v>
      </c>
      <c r="FV3458" s="5" t="s">
        <v>238</v>
      </c>
      <c r="FW3458" s="5" t="s">
        <v>238</v>
      </c>
      <c r="FX3458" s="5" t="s">
        <v>238</v>
      </c>
      <c r="FY3458" s="5" t="s">
        <v>238</v>
      </c>
      <c r="FZ3458" s="5" t="s">
        <v>238</v>
      </c>
      <c r="GA3458" s="5" t="s">
        <v>238</v>
      </c>
      <c r="GB3458" s="5" t="s">
        <v>238</v>
      </c>
      <c r="GC3458" s="5" t="s">
        <v>238</v>
      </c>
      <c r="GD3458" s="5" t="s">
        <v>238</v>
      </c>
      <c r="GE3458" s="5" t="s">
        <v>238</v>
      </c>
      <c r="GF3458" s="5" t="s">
        <v>238</v>
      </c>
      <c r="GG3458" s="5" t="s">
        <v>238</v>
      </c>
      <c r="GH3458" s="5" t="s">
        <v>238</v>
      </c>
      <c r="GI3458" s="5" t="s">
        <v>238</v>
      </c>
      <c r="GJ3458" s="5" t="s">
        <v>238</v>
      </c>
      <c r="GK3458" s="5" t="s">
        <v>238</v>
      </c>
      <c r="GL3458" s="5" t="s">
        <v>238</v>
      </c>
      <c r="GM3458" s="5" t="s">
        <v>238</v>
      </c>
      <c r="GN3458" s="5" t="s">
        <v>238</v>
      </c>
      <c r="GO3458" s="5" t="s">
        <v>238</v>
      </c>
      <c r="GP3458" s="5" t="s">
        <v>238</v>
      </c>
      <c r="GQ3458" s="5" t="s">
        <v>238</v>
      </c>
      <c r="GR3458" s="5" t="s">
        <v>238</v>
      </c>
      <c r="GS3458" s="5" t="s">
        <v>238</v>
      </c>
      <c r="GT3458" s="5" t="s">
        <v>238</v>
      </c>
      <c r="GU3458" s="5" t="s">
        <v>238</v>
      </c>
      <c r="GV3458" s="5" t="s">
        <v>238</v>
      </c>
      <c r="GW3458" s="5" t="s">
        <v>238</v>
      </c>
      <c r="GX3458" s="5" t="s">
        <v>238</v>
      </c>
      <c r="GY3458" s="5" t="s">
        <v>238</v>
      </c>
      <c r="GZ3458" s="5" t="s">
        <v>238</v>
      </c>
      <c r="HA3458" s="5" t="s">
        <v>238</v>
      </c>
      <c r="HB3458" s="5" t="s">
        <v>238</v>
      </c>
      <c r="HC3458" s="5" t="s">
        <v>238</v>
      </c>
      <c r="HD3458" s="5" t="s">
        <v>238</v>
      </c>
      <c r="HE3458" s="5" t="s">
        <v>238</v>
      </c>
      <c r="HF3458" s="5" t="s">
        <v>238</v>
      </c>
      <c r="HG3458" s="5" t="s">
        <v>238</v>
      </c>
      <c r="HH3458" s="5" t="s">
        <v>238</v>
      </c>
      <c r="HI3458" s="5" t="s">
        <v>238</v>
      </c>
      <c r="HJ3458" s="5" t="s">
        <v>238</v>
      </c>
      <c r="HK3458" s="5" t="s">
        <v>238</v>
      </c>
      <c r="HL3458" s="5" t="s">
        <v>238</v>
      </c>
      <c r="HM3458" s="5" t="s">
        <v>264</v>
      </c>
      <c r="HN3458" s="5" t="s">
        <v>238</v>
      </c>
      <c r="HO3458" s="5" t="s">
        <v>238</v>
      </c>
      <c r="HP3458" s="5" t="s">
        <v>238</v>
      </c>
      <c r="HQ3458" s="5" t="s">
        <v>238</v>
      </c>
      <c r="HR3458" s="5" t="s">
        <v>238</v>
      </c>
      <c r="HS3458" s="5" t="s">
        <v>238</v>
      </c>
      <c r="HT3458" s="5" t="s">
        <v>238</v>
      </c>
      <c r="HU3458" s="5" t="s">
        <v>238</v>
      </c>
      <c r="HV3458" s="5" t="s">
        <v>238</v>
      </c>
      <c r="HW3458" s="5" t="s">
        <v>238</v>
      </c>
      <c r="HX3458" s="5" t="s">
        <v>238</v>
      </c>
      <c r="HY3458" s="5" t="s">
        <v>238</v>
      </c>
      <c r="HZ3458" s="5" t="s">
        <v>238</v>
      </c>
      <c r="IA3458" s="5" t="s">
        <v>238</v>
      </c>
      <c r="IB3458" s="5" t="s">
        <v>238</v>
      </c>
      <c r="IC3458" s="5" t="s">
        <v>238</v>
      </c>
      <c r="ID3458" s="5" t="s">
        <v>238</v>
      </c>
    </row>
    <row r="3459" spans="1:238" x14ac:dyDescent="0.4">
      <c r="A3459" s="5">
        <v>9177</v>
      </c>
      <c r="B3459" s="5">
        <v>1</v>
      </c>
      <c r="C3459" s="5">
        <v>1</v>
      </c>
      <c r="D3459" s="5" t="s">
        <v>484</v>
      </c>
      <c r="E3459" s="5" t="s">
        <v>485</v>
      </c>
      <c r="F3459" s="5" t="s">
        <v>248</v>
      </c>
      <c r="G3459" s="5" t="s">
        <v>4535</v>
      </c>
      <c r="H3459" s="6" t="s">
        <v>4535</v>
      </c>
      <c r="I3459" s="8">
        <f>1</f>
        <v>1</v>
      </c>
      <c r="J3459" s="5" t="s">
        <v>499</v>
      </c>
      <c r="K3459" s="8">
        <f>1</f>
        <v>1</v>
      </c>
      <c r="L3459" s="6" t="s">
        <v>242</v>
      </c>
      <c r="M3459" s="5" t="s">
        <v>267</v>
      </c>
      <c r="N3459" s="5" t="s">
        <v>482</v>
      </c>
      <c r="O3459" s="5" t="s">
        <v>238</v>
      </c>
      <c r="P3459" s="5" t="s">
        <v>238</v>
      </c>
      <c r="Q3459" s="5" t="s">
        <v>239</v>
      </c>
      <c r="R3459" s="5" t="s">
        <v>270</v>
      </c>
      <c r="S3459" s="5" t="s">
        <v>238</v>
      </c>
      <c r="T3459" s="5" t="s">
        <v>238</v>
      </c>
      <c r="U3459" s="5" t="s">
        <v>238</v>
      </c>
      <c r="V3459" s="5" t="s">
        <v>238</v>
      </c>
      <c r="W3459" s="6" t="s">
        <v>238</v>
      </c>
      <c r="X3459" s="6" t="s">
        <v>238</v>
      </c>
      <c r="Y3459" s="5" t="s">
        <v>238</v>
      </c>
      <c r="Z3459" s="6" t="s">
        <v>238</v>
      </c>
      <c r="AA3459" s="6" t="s">
        <v>243</v>
      </c>
      <c r="AB3459" s="5" t="s">
        <v>4536</v>
      </c>
      <c r="AC3459" s="5" t="s">
        <v>244</v>
      </c>
      <c r="AD3459" s="5" t="s">
        <v>245</v>
      </c>
      <c r="AE3459" s="5" t="s">
        <v>238</v>
      </c>
      <c r="AF3459" s="5" t="s">
        <v>238</v>
      </c>
      <c r="AG3459" s="5" t="s">
        <v>238</v>
      </c>
      <c r="AH3459" s="5" t="s">
        <v>238</v>
      </c>
      <c r="AI3459" s="5" t="s">
        <v>238</v>
      </c>
      <c r="AJ3459" s="5" t="s">
        <v>238</v>
      </c>
      <c r="AK3459" s="5" t="s">
        <v>238</v>
      </c>
      <c r="AL3459" s="5" t="s">
        <v>238</v>
      </c>
      <c r="AM3459" s="6" t="s">
        <v>238</v>
      </c>
      <c r="AN3459" s="6" t="s">
        <v>238</v>
      </c>
      <c r="AO3459" s="6" t="s">
        <v>238</v>
      </c>
      <c r="AP3459" s="6" t="s">
        <v>238</v>
      </c>
      <c r="AQ3459" s="5" t="s">
        <v>238</v>
      </c>
      <c r="AR3459" s="5" t="s">
        <v>488</v>
      </c>
      <c r="AS3459" s="5" t="s">
        <v>488</v>
      </c>
      <c r="AT3459" s="5" t="s">
        <v>246</v>
      </c>
      <c r="AU3459" s="5" t="s">
        <v>489</v>
      </c>
      <c r="AV3459" s="5" t="s">
        <v>247</v>
      </c>
      <c r="AW3459" s="5" t="s">
        <v>238</v>
      </c>
      <c r="AX3459" s="5" t="s">
        <v>249</v>
      </c>
      <c r="AY3459" s="5" t="s">
        <v>490</v>
      </c>
      <c r="BA3459" s="5" t="s">
        <v>238</v>
      </c>
      <c r="BC3459" s="5" t="s">
        <v>491</v>
      </c>
      <c r="BD3459" s="6" t="s">
        <v>492</v>
      </c>
      <c r="BE3459" s="5" t="s">
        <v>493</v>
      </c>
      <c r="BF3459" s="5" t="s">
        <v>493</v>
      </c>
      <c r="BG3459" s="5" t="s">
        <v>238</v>
      </c>
      <c r="BH3459" s="8">
        <f>1</f>
        <v>1</v>
      </c>
      <c r="BI3459" s="8">
        <f>1</f>
        <v>1</v>
      </c>
      <c r="BJ3459" s="5" t="s">
        <v>253</v>
      </c>
      <c r="BK3459" s="5" t="s">
        <v>254</v>
      </c>
      <c r="BL3459" s="5" t="s">
        <v>238</v>
      </c>
      <c r="BM3459" s="5" t="s">
        <v>238</v>
      </c>
      <c r="BN3459" s="5" t="s">
        <v>238</v>
      </c>
      <c r="BO3459" s="5" t="s">
        <v>238</v>
      </c>
      <c r="BP3459" s="5" t="s">
        <v>238</v>
      </c>
      <c r="BQ3459" s="5" t="s">
        <v>238</v>
      </c>
      <c r="BR3459" s="5" t="s">
        <v>238</v>
      </c>
      <c r="BS3459" s="5" t="s">
        <v>238</v>
      </c>
      <c r="BT3459" s="6" t="s">
        <v>238</v>
      </c>
      <c r="BU3459" s="5" t="s">
        <v>238</v>
      </c>
      <c r="BV3459" s="5" t="s">
        <v>238</v>
      </c>
      <c r="BW3459" s="5" t="s">
        <v>238</v>
      </c>
      <c r="BX3459" s="5" t="s">
        <v>254</v>
      </c>
      <c r="BY3459" s="5" t="s">
        <v>238</v>
      </c>
      <c r="BZ3459" s="5" t="s">
        <v>238</v>
      </c>
      <c r="CA3459" s="5" t="s">
        <v>238</v>
      </c>
      <c r="CB3459" s="5" t="s">
        <v>238</v>
      </c>
      <c r="CC3459" s="5" t="s">
        <v>238</v>
      </c>
      <c r="CD3459" s="5" t="s">
        <v>273</v>
      </c>
      <c r="CE3459" s="5" t="s">
        <v>256</v>
      </c>
      <c r="CF3459" s="5" t="s">
        <v>238</v>
      </c>
      <c r="CH3459" s="5" t="s">
        <v>494</v>
      </c>
      <c r="CI3459" s="6" t="s">
        <v>257</v>
      </c>
      <c r="CJ3459" s="5" t="s">
        <v>495</v>
      </c>
      <c r="CK3459" s="5" t="s">
        <v>258</v>
      </c>
      <c r="CL3459" s="5" t="s">
        <v>496</v>
      </c>
      <c r="CM3459" s="5" t="s">
        <v>238</v>
      </c>
      <c r="CN3459" s="5">
        <v>0</v>
      </c>
      <c r="CO3459" s="5" t="s">
        <v>497</v>
      </c>
      <c r="CP3459" s="5" t="s">
        <v>260</v>
      </c>
      <c r="CQ3459" s="5" t="s">
        <v>260</v>
      </c>
      <c r="CR3459" s="5" t="s">
        <v>261</v>
      </c>
      <c r="CS3459" s="5" t="s">
        <v>498</v>
      </c>
      <c r="CT3459" s="7">
        <f>1</f>
        <v>1</v>
      </c>
      <c r="CU3459" s="8">
        <f>1</f>
        <v>1</v>
      </c>
      <c r="CV3459" s="8">
        <f>0</f>
        <v>0</v>
      </c>
      <c r="CX3459" s="8">
        <f>1</f>
        <v>1</v>
      </c>
      <c r="CY3459" s="8">
        <f>1</f>
        <v>1</v>
      </c>
      <c r="CZ3459" s="8" t="s">
        <v>238</v>
      </c>
      <c r="DA3459" s="5" t="s">
        <v>238</v>
      </c>
      <c r="DB3459" s="5" t="s">
        <v>238</v>
      </c>
      <c r="DC3459" s="5" t="s">
        <v>238</v>
      </c>
      <c r="DD3459" s="5" t="s">
        <v>238</v>
      </c>
      <c r="DE3459" s="8">
        <f>0</f>
        <v>0</v>
      </c>
      <c r="DG3459" s="5" t="s">
        <v>238</v>
      </c>
      <c r="DH3459" s="5" t="s">
        <v>238</v>
      </c>
      <c r="DI3459" s="5" t="s">
        <v>238</v>
      </c>
      <c r="DJ3459" s="5" t="s">
        <v>238</v>
      </c>
      <c r="DK3459" s="5" t="s">
        <v>238</v>
      </c>
      <c r="DL3459" s="5" t="s">
        <v>238</v>
      </c>
      <c r="DM3459" s="8" t="s">
        <v>238</v>
      </c>
      <c r="DN3459" s="5" t="s">
        <v>238</v>
      </c>
      <c r="DO3459" s="5" t="s">
        <v>238</v>
      </c>
      <c r="DP3459" s="5" t="s">
        <v>490</v>
      </c>
      <c r="DQ3459" s="5" t="s">
        <v>490</v>
      </c>
      <c r="DR3459" s="5" t="s">
        <v>238</v>
      </c>
      <c r="DS3459" s="5" t="s">
        <v>238</v>
      </c>
      <c r="DT3459" s="5" t="s">
        <v>500</v>
      </c>
      <c r="DU3459" s="5" t="s">
        <v>3095</v>
      </c>
      <c r="DV3459" s="5" t="s">
        <v>238</v>
      </c>
      <c r="DW3459" s="5" t="s">
        <v>238</v>
      </c>
      <c r="DX3459" s="5" t="s">
        <v>238</v>
      </c>
      <c r="DY3459" s="5" t="s">
        <v>238</v>
      </c>
      <c r="DZ3459" s="5" t="s">
        <v>238</v>
      </c>
      <c r="EA3459" s="5" t="s">
        <v>238</v>
      </c>
      <c r="EB3459" s="5" t="s">
        <v>238</v>
      </c>
      <c r="EC3459" s="5" t="s">
        <v>238</v>
      </c>
      <c r="ED3459" s="5" t="s">
        <v>238</v>
      </c>
      <c r="EE3459" s="5" t="s">
        <v>238</v>
      </c>
      <c r="EF3459" s="5" t="s">
        <v>238</v>
      </c>
      <c r="EG3459" s="5" t="s">
        <v>238</v>
      </c>
      <c r="EH3459" s="5" t="s">
        <v>238</v>
      </c>
      <c r="EI3459" s="5" t="s">
        <v>238</v>
      </c>
      <c r="EJ3459" s="5" t="s">
        <v>238</v>
      </c>
      <c r="EK3459" s="5" t="s">
        <v>238</v>
      </c>
      <c r="EL3459" s="5" t="s">
        <v>238</v>
      </c>
      <c r="EM3459" s="5" t="s">
        <v>238</v>
      </c>
      <c r="EN3459" s="5" t="s">
        <v>238</v>
      </c>
      <c r="EO3459" s="5" t="s">
        <v>238</v>
      </c>
      <c r="EP3459" s="5" t="s">
        <v>238</v>
      </c>
      <c r="EQ3459" s="5" t="s">
        <v>238</v>
      </c>
      <c r="ER3459" s="5" t="s">
        <v>238</v>
      </c>
      <c r="ES3459" s="5" t="s">
        <v>238</v>
      </c>
      <c r="ET3459" s="5" t="s">
        <v>238</v>
      </c>
      <c r="EU3459" s="5" t="s">
        <v>238</v>
      </c>
      <c r="EV3459" s="5" t="s">
        <v>238</v>
      </c>
      <c r="EW3459" s="5" t="s">
        <v>238</v>
      </c>
      <c r="EX3459" s="5" t="s">
        <v>238</v>
      </c>
      <c r="EY3459" s="5" t="s">
        <v>238</v>
      </c>
      <c r="EZ3459" s="5" t="s">
        <v>238</v>
      </c>
      <c r="FA3459" s="5" t="s">
        <v>238</v>
      </c>
      <c r="FB3459" s="5" t="s">
        <v>238</v>
      </c>
      <c r="FC3459" s="5" t="s">
        <v>238</v>
      </c>
      <c r="FD3459" s="5" t="s">
        <v>238</v>
      </c>
      <c r="FE3459" s="5" t="s">
        <v>238</v>
      </c>
      <c r="FF3459" s="5" t="s">
        <v>238</v>
      </c>
      <c r="FG3459" s="5" t="s">
        <v>238</v>
      </c>
      <c r="FH3459" s="5" t="s">
        <v>238</v>
      </c>
      <c r="FI3459" s="5" t="s">
        <v>238</v>
      </c>
      <c r="FJ3459" s="5" t="s">
        <v>238</v>
      </c>
      <c r="FK3459" s="5" t="s">
        <v>238</v>
      </c>
      <c r="FL3459" s="5" t="s">
        <v>238</v>
      </c>
      <c r="FM3459" s="5" t="s">
        <v>238</v>
      </c>
      <c r="FN3459" s="5" t="s">
        <v>238</v>
      </c>
      <c r="FO3459" s="5" t="s">
        <v>238</v>
      </c>
      <c r="FP3459" s="5" t="s">
        <v>238</v>
      </c>
      <c r="FQ3459" s="5" t="s">
        <v>238</v>
      </c>
      <c r="FR3459" s="5" t="s">
        <v>238</v>
      </c>
      <c r="FS3459" s="5" t="s">
        <v>238</v>
      </c>
      <c r="FT3459" s="5" t="s">
        <v>238</v>
      </c>
      <c r="FU3459" s="5" t="s">
        <v>238</v>
      </c>
      <c r="FV3459" s="5" t="s">
        <v>238</v>
      </c>
      <c r="FW3459" s="5" t="s">
        <v>238</v>
      </c>
      <c r="FX3459" s="5" t="s">
        <v>238</v>
      </c>
      <c r="FY3459" s="5" t="s">
        <v>238</v>
      </c>
      <c r="FZ3459" s="5" t="s">
        <v>238</v>
      </c>
      <c r="GA3459" s="5" t="s">
        <v>238</v>
      </c>
      <c r="GB3459" s="5" t="s">
        <v>238</v>
      </c>
      <c r="GC3459" s="5" t="s">
        <v>238</v>
      </c>
      <c r="GD3459" s="5" t="s">
        <v>238</v>
      </c>
      <c r="GE3459" s="5" t="s">
        <v>238</v>
      </c>
      <c r="GF3459" s="5" t="s">
        <v>238</v>
      </c>
      <c r="GG3459" s="5" t="s">
        <v>238</v>
      </c>
      <c r="GH3459" s="5" t="s">
        <v>238</v>
      </c>
      <c r="GI3459" s="5" t="s">
        <v>238</v>
      </c>
      <c r="GJ3459" s="5" t="s">
        <v>238</v>
      </c>
      <c r="GK3459" s="5" t="s">
        <v>238</v>
      </c>
      <c r="GL3459" s="5" t="s">
        <v>238</v>
      </c>
      <c r="GM3459" s="5" t="s">
        <v>238</v>
      </c>
      <c r="GN3459" s="5" t="s">
        <v>238</v>
      </c>
      <c r="GO3459" s="5" t="s">
        <v>238</v>
      </c>
      <c r="GP3459" s="5" t="s">
        <v>238</v>
      </c>
      <c r="GQ3459" s="5" t="s">
        <v>238</v>
      </c>
      <c r="GR3459" s="5" t="s">
        <v>238</v>
      </c>
      <c r="GS3459" s="5" t="s">
        <v>238</v>
      </c>
      <c r="GT3459" s="5" t="s">
        <v>238</v>
      </c>
      <c r="GU3459" s="5" t="s">
        <v>238</v>
      </c>
      <c r="GV3459" s="5" t="s">
        <v>238</v>
      </c>
      <c r="GW3459" s="5" t="s">
        <v>238</v>
      </c>
      <c r="GX3459" s="5" t="s">
        <v>238</v>
      </c>
      <c r="GY3459" s="5" t="s">
        <v>238</v>
      </c>
      <c r="GZ3459" s="5" t="s">
        <v>238</v>
      </c>
      <c r="HA3459" s="5" t="s">
        <v>238</v>
      </c>
      <c r="HB3459" s="5" t="s">
        <v>238</v>
      </c>
      <c r="HC3459" s="5" t="s">
        <v>238</v>
      </c>
      <c r="HD3459" s="5" t="s">
        <v>238</v>
      </c>
      <c r="HE3459" s="5" t="s">
        <v>238</v>
      </c>
      <c r="HF3459" s="5" t="s">
        <v>238</v>
      </c>
      <c r="HG3459" s="5" t="s">
        <v>238</v>
      </c>
      <c r="HH3459" s="5" t="s">
        <v>238</v>
      </c>
      <c r="HI3459" s="5" t="s">
        <v>238</v>
      </c>
      <c r="HJ3459" s="5" t="s">
        <v>238</v>
      </c>
      <c r="HK3459" s="5" t="s">
        <v>238</v>
      </c>
      <c r="HL3459" s="5" t="s">
        <v>238</v>
      </c>
      <c r="HM3459" s="5" t="s">
        <v>264</v>
      </c>
      <c r="HN3459" s="5" t="s">
        <v>238</v>
      </c>
      <c r="HO3459" s="5" t="s">
        <v>238</v>
      </c>
      <c r="HP3459" s="5" t="s">
        <v>238</v>
      </c>
      <c r="HQ3459" s="5" t="s">
        <v>238</v>
      </c>
      <c r="HR3459" s="5" t="s">
        <v>238</v>
      </c>
      <c r="HS3459" s="5" t="s">
        <v>238</v>
      </c>
      <c r="HT3459" s="5" t="s">
        <v>238</v>
      </c>
      <c r="HU3459" s="5" t="s">
        <v>238</v>
      </c>
      <c r="HV3459" s="5" t="s">
        <v>238</v>
      </c>
      <c r="HW3459" s="5" t="s">
        <v>238</v>
      </c>
      <c r="HX3459" s="5" t="s">
        <v>238</v>
      </c>
      <c r="HY3459" s="5" t="s">
        <v>238</v>
      </c>
      <c r="HZ3459" s="5" t="s">
        <v>238</v>
      </c>
      <c r="IA3459" s="5" t="s">
        <v>238</v>
      </c>
      <c r="IB3459" s="5" t="s">
        <v>238</v>
      </c>
      <c r="IC3459" s="5" t="s">
        <v>238</v>
      </c>
      <c r="ID3459" s="5" t="s">
        <v>238</v>
      </c>
    </row>
    <row r="3460" spans="1:238" x14ac:dyDescent="0.4">
      <c r="A3460" s="5">
        <v>9178</v>
      </c>
      <c r="B3460" s="5">
        <v>1</v>
      </c>
      <c r="C3460" s="5">
        <v>1</v>
      </c>
      <c r="D3460" s="5" t="s">
        <v>484</v>
      </c>
      <c r="E3460" s="5" t="s">
        <v>485</v>
      </c>
      <c r="F3460" s="5" t="s">
        <v>248</v>
      </c>
      <c r="G3460" s="5" t="s">
        <v>6479</v>
      </c>
      <c r="H3460" s="6" t="s">
        <v>6479</v>
      </c>
      <c r="I3460" s="8">
        <f>1</f>
        <v>1</v>
      </c>
      <c r="J3460" s="5" t="s">
        <v>499</v>
      </c>
      <c r="K3460" s="8">
        <f>1</f>
        <v>1</v>
      </c>
      <c r="L3460" s="6" t="s">
        <v>242</v>
      </c>
      <c r="M3460" s="5" t="s">
        <v>267</v>
      </c>
      <c r="N3460" s="5" t="s">
        <v>482</v>
      </c>
      <c r="O3460" s="5" t="s">
        <v>238</v>
      </c>
      <c r="P3460" s="5" t="s">
        <v>238</v>
      </c>
      <c r="Q3460" s="5" t="s">
        <v>239</v>
      </c>
      <c r="R3460" s="5" t="s">
        <v>270</v>
      </c>
      <c r="S3460" s="5" t="s">
        <v>238</v>
      </c>
      <c r="T3460" s="5" t="s">
        <v>238</v>
      </c>
      <c r="U3460" s="5" t="s">
        <v>238</v>
      </c>
      <c r="V3460" s="5" t="s">
        <v>238</v>
      </c>
      <c r="W3460" s="6" t="s">
        <v>238</v>
      </c>
      <c r="X3460" s="6" t="s">
        <v>238</v>
      </c>
      <c r="Y3460" s="5" t="s">
        <v>238</v>
      </c>
      <c r="Z3460" s="6" t="s">
        <v>238</v>
      </c>
      <c r="AA3460" s="6" t="s">
        <v>243</v>
      </c>
      <c r="AB3460" s="5" t="s">
        <v>5267</v>
      </c>
      <c r="AC3460" s="5" t="s">
        <v>244</v>
      </c>
      <c r="AD3460" s="5" t="s">
        <v>245</v>
      </c>
      <c r="AE3460" s="5" t="s">
        <v>238</v>
      </c>
      <c r="AF3460" s="5" t="s">
        <v>238</v>
      </c>
      <c r="AG3460" s="5" t="s">
        <v>238</v>
      </c>
      <c r="AH3460" s="5" t="s">
        <v>238</v>
      </c>
      <c r="AI3460" s="5" t="s">
        <v>238</v>
      </c>
      <c r="AJ3460" s="5" t="s">
        <v>238</v>
      </c>
      <c r="AK3460" s="5" t="s">
        <v>238</v>
      </c>
      <c r="AL3460" s="5" t="s">
        <v>238</v>
      </c>
      <c r="AM3460" s="6" t="s">
        <v>238</v>
      </c>
      <c r="AN3460" s="6" t="s">
        <v>238</v>
      </c>
      <c r="AO3460" s="6" t="s">
        <v>238</v>
      </c>
      <c r="AP3460" s="6" t="s">
        <v>238</v>
      </c>
      <c r="AQ3460" s="5" t="s">
        <v>238</v>
      </c>
      <c r="AR3460" s="5" t="s">
        <v>488</v>
      </c>
      <c r="AS3460" s="5" t="s">
        <v>488</v>
      </c>
      <c r="AT3460" s="5" t="s">
        <v>246</v>
      </c>
      <c r="AU3460" s="5" t="s">
        <v>489</v>
      </c>
      <c r="AV3460" s="5" t="s">
        <v>247</v>
      </c>
      <c r="AW3460" s="5" t="s">
        <v>238</v>
      </c>
      <c r="AX3460" s="5" t="s">
        <v>249</v>
      </c>
      <c r="AY3460" s="5" t="s">
        <v>490</v>
      </c>
      <c r="BA3460" s="5" t="s">
        <v>238</v>
      </c>
      <c r="BC3460" s="5" t="s">
        <v>491</v>
      </c>
      <c r="BD3460" s="6" t="s">
        <v>492</v>
      </c>
      <c r="BE3460" s="5" t="s">
        <v>493</v>
      </c>
      <c r="BF3460" s="5" t="s">
        <v>493</v>
      </c>
      <c r="BG3460" s="5" t="s">
        <v>238</v>
      </c>
      <c r="BH3460" s="8">
        <f>1</f>
        <v>1</v>
      </c>
      <c r="BI3460" s="8">
        <f>1</f>
        <v>1</v>
      </c>
      <c r="BJ3460" s="5" t="s">
        <v>253</v>
      </c>
      <c r="BK3460" s="5" t="s">
        <v>254</v>
      </c>
      <c r="BL3460" s="5" t="s">
        <v>238</v>
      </c>
      <c r="BM3460" s="5" t="s">
        <v>238</v>
      </c>
      <c r="BN3460" s="5" t="s">
        <v>238</v>
      </c>
      <c r="BO3460" s="5" t="s">
        <v>238</v>
      </c>
      <c r="BP3460" s="5" t="s">
        <v>238</v>
      </c>
      <c r="BQ3460" s="5" t="s">
        <v>238</v>
      </c>
      <c r="BR3460" s="5" t="s">
        <v>238</v>
      </c>
      <c r="BS3460" s="5" t="s">
        <v>238</v>
      </c>
      <c r="BT3460" s="6" t="s">
        <v>238</v>
      </c>
      <c r="BU3460" s="5" t="s">
        <v>238</v>
      </c>
      <c r="BV3460" s="5" t="s">
        <v>238</v>
      </c>
      <c r="BW3460" s="5" t="s">
        <v>238</v>
      </c>
      <c r="BX3460" s="5" t="s">
        <v>254</v>
      </c>
      <c r="BY3460" s="5" t="s">
        <v>238</v>
      </c>
      <c r="BZ3460" s="5" t="s">
        <v>238</v>
      </c>
      <c r="CA3460" s="5" t="s">
        <v>238</v>
      </c>
      <c r="CB3460" s="5" t="s">
        <v>238</v>
      </c>
      <c r="CC3460" s="5" t="s">
        <v>238</v>
      </c>
      <c r="CD3460" s="5" t="s">
        <v>273</v>
      </c>
      <c r="CE3460" s="5" t="s">
        <v>256</v>
      </c>
      <c r="CF3460" s="5" t="s">
        <v>238</v>
      </c>
      <c r="CH3460" s="5" t="s">
        <v>494</v>
      </c>
      <c r="CI3460" s="6" t="s">
        <v>257</v>
      </c>
      <c r="CJ3460" s="5" t="s">
        <v>495</v>
      </c>
      <c r="CK3460" s="5" t="s">
        <v>258</v>
      </c>
      <c r="CL3460" s="5" t="s">
        <v>496</v>
      </c>
      <c r="CM3460" s="5" t="s">
        <v>238</v>
      </c>
      <c r="CN3460" s="5">
        <v>0</v>
      </c>
      <c r="CO3460" s="5" t="s">
        <v>497</v>
      </c>
      <c r="CP3460" s="5" t="s">
        <v>260</v>
      </c>
      <c r="CQ3460" s="5" t="s">
        <v>260</v>
      </c>
      <c r="CR3460" s="5" t="s">
        <v>261</v>
      </c>
      <c r="CS3460" s="5" t="s">
        <v>498</v>
      </c>
      <c r="CT3460" s="7">
        <f>1</f>
        <v>1</v>
      </c>
      <c r="CU3460" s="8">
        <f>1</f>
        <v>1</v>
      </c>
      <c r="CV3460" s="8">
        <f>0</f>
        <v>0</v>
      </c>
      <c r="CX3460" s="8">
        <f>1</f>
        <v>1</v>
      </c>
      <c r="CY3460" s="8">
        <f>1</f>
        <v>1</v>
      </c>
      <c r="CZ3460" s="8" t="s">
        <v>238</v>
      </c>
      <c r="DA3460" s="5" t="s">
        <v>238</v>
      </c>
      <c r="DB3460" s="5" t="s">
        <v>238</v>
      </c>
      <c r="DC3460" s="5" t="s">
        <v>238</v>
      </c>
      <c r="DD3460" s="5" t="s">
        <v>238</v>
      </c>
      <c r="DE3460" s="8">
        <f>0</f>
        <v>0</v>
      </c>
      <c r="DG3460" s="5" t="s">
        <v>238</v>
      </c>
      <c r="DH3460" s="5" t="s">
        <v>238</v>
      </c>
      <c r="DI3460" s="5" t="s">
        <v>238</v>
      </c>
      <c r="DJ3460" s="5" t="s">
        <v>238</v>
      </c>
      <c r="DK3460" s="5" t="s">
        <v>238</v>
      </c>
      <c r="DL3460" s="5" t="s">
        <v>238</v>
      </c>
      <c r="DM3460" s="8" t="s">
        <v>238</v>
      </c>
      <c r="DN3460" s="5" t="s">
        <v>238</v>
      </c>
      <c r="DO3460" s="5" t="s">
        <v>238</v>
      </c>
      <c r="DP3460" s="5" t="s">
        <v>490</v>
      </c>
      <c r="DQ3460" s="5" t="s">
        <v>490</v>
      </c>
      <c r="DR3460" s="5" t="s">
        <v>238</v>
      </c>
      <c r="DS3460" s="5" t="s">
        <v>238</v>
      </c>
      <c r="DT3460" s="5" t="s">
        <v>500</v>
      </c>
      <c r="DU3460" s="5" t="s">
        <v>3157</v>
      </c>
      <c r="DV3460" s="5" t="s">
        <v>238</v>
      </c>
      <c r="DW3460" s="5" t="s">
        <v>238</v>
      </c>
      <c r="DX3460" s="5" t="s">
        <v>238</v>
      </c>
      <c r="DY3460" s="5" t="s">
        <v>238</v>
      </c>
      <c r="DZ3460" s="5" t="s">
        <v>238</v>
      </c>
      <c r="EA3460" s="5" t="s">
        <v>238</v>
      </c>
      <c r="EB3460" s="5" t="s">
        <v>238</v>
      </c>
      <c r="EC3460" s="5" t="s">
        <v>238</v>
      </c>
      <c r="ED3460" s="5" t="s">
        <v>238</v>
      </c>
      <c r="EE3460" s="5" t="s">
        <v>238</v>
      </c>
      <c r="EF3460" s="5" t="s">
        <v>238</v>
      </c>
      <c r="EG3460" s="5" t="s">
        <v>238</v>
      </c>
      <c r="EH3460" s="5" t="s">
        <v>238</v>
      </c>
      <c r="EI3460" s="5" t="s">
        <v>238</v>
      </c>
      <c r="EJ3460" s="5" t="s">
        <v>238</v>
      </c>
      <c r="EK3460" s="5" t="s">
        <v>238</v>
      </c>
      <c r="EL3460" s="5" t="s">
        <v>238</v>
      </c>
      <c r="EM3460" s="5" t="s">
        <v>238</v>
      </c>
      <c r="EN3460" s="5" t="s">
        <v>238</v>
      </c>
      <c r="EO3460" s="5" t="s">
        <v>238</v>
      </c>
      <c r="EP3460" s="5" t="s">
        <v>238</v>
      </c>
      <c r="EQ3460" s="5" t="s">
        <v>238</v>
      </c>
      <c r="ER3460" s="5" t="s">
        <v>238</v>
      </c>
      <c r="ES3460" s="5" t="s">
        <v>238</v>
      </c>
      <c r="ET3460" s="5" t="s">
        <v>238</v>
      </c>
      <c r="EU3460" s="5" t="s">
        <v>238</v>
      </c>
      <c r="EV3460" s="5" t="s">
        <v>238</v>
      </c>
      <c r="EW3460" s="5" t="s">
        <v>238</v>
      </c>
      <c r="EX3460" s="5" t="s">
        <v>238</v>
      </c>
      <c r="EY3460" s="5" t="s">
        <v>238</v>
      </c>
      <c r="EZ3460" s="5" t="s">
        <v>238</v>
      </c>
      <c r="FA3460" s="5" t="s">
        <v>238</v>
      </c>
      <c r="FB3460" s="5" t="s">
        <v>238</v>
      </c>
      <c r="FC3460" s="5" t="s">
        <v>238</v>
      </c>
      <c r="FD3460" s="5" t="s">
        <v>238</v>
      </c>
      <c r="FE3460" s="5" t="s">
        <v>238</v>
      </c>
      <c r="FF3460" s="5" t="s">
        <v>238</v>
      </c>
      <c r="FG3460" s="5" t="s">
        <v>238</v>
      </c>
      <c r="FH3460" s="5" t="s">
        <v>238</v>
      </c>
      <c r="FI3460" s="5" t="s">
        <v>238</v>
      </c>
      <c r="FJ3460" s="5" t="s">
        <v>238</v>
      </c>
      <c r="FK3460" s="5" t="s">
        <v>238</v>
      </c>
      <c r="FL3460" s="5" t="s">
        <v>238</v>
      </c>
      <c r="FM3460" s="5" t="s">
        <v>238</v>
      </c>
      <c r="FN3460" s="5" t="s">
        <v>238</v>
      </c>
      <c r="FO3460" s="5" t="s">
        <v>238</v>
      </c>
      <c r="FP3460" s="5" t="s">
        <v>238</v>
      </c>
      <c r="FQ3460" s="5" t="s">
        <v>238</v>
      </c>
      <c r="FR3460" s="5" t="s">
        <v>238</v>
      </c>
      <c r="FS3460" s="5" t="s">
        <v>238</v>
      </c>
      <c r="FT3460" s="5" t="s">
        <v>238</v>
      </c>
      <c r="FU3460" s="5" t="s">
        <v>238</v>
      </c>
      <c r="FV3460" s="5" t="s">
        <v>238</v>
      </c>
      <c r="FW3460" s="5" t="s">
        <v>238</v>
      </c>
      <c r="FX3460" s="5" t="s">
        <v>238</v>
      </c>
      <c r="FY3460" s="5" t="s">
        <v>238</v>
      </c>
      <c r="FZ3460" s="5" t="s">
        <v>238</v>
      </c>
      <c r="GA3460" s="5" t="s">
        <v>238</v>
      </c>
      <c r="GB3460" s="5" t="s">
        <v>238</v>
      </c>
      <c r="GC3460" s="5" t="s">
        <v>238</v>
      </c>
      <c r="GD3460" s="5" t="s">
        <v>238</v>
      </c>
      <c r="GE3460" s="5" t="s">
        <v>238</v>
      </c>
      <c r="GF3460" s="5" t="s">
        <v>238</v>
      </c>
      <c r="GG3460" s="5" t="s">
        <v>238</v>
      </c>
      <c r="GH3460" s="5" t="s">
        <v>238</v>
      </c>
      <c r="GI3460" s="5" t="s">
        <v>238</v>
      </c>
      <c r="GJ3460" s="5" t="s">
        <v>238</v>
      </c>
      <c r="GK3460" s="5" t="s">
        <v>238</v>
      </c>
      <c r="GL3460" s="5" t="s">
        <v>238</v>
      </c>
      <c r="GM3460" s="5" t="s">
        <v>238</v>
      </c>
      <c r="GN3460" s="5" t="s">
        <v>238</v>
      </c>
      <c r="GO3460" s="5" t="s">
        <v>238</v>
      </c>
      <c r="GP3460" s="5" t="s">
        <v>238</v>
      </c>
      <c r="GQ3460" s="5" t="s">
        <v>238</v>
      </c>
      <c r="GR3460" s="5" t="s">
        <v>238</v>
      </c>
      <c r="GS3460" s="5" t="s">
        <v>238</v>
      </c>
      <c r="GT3460" s="5" t="s">
        <v>238</v>
      </c>
      <c r="GU3460" s="5" t="s">
        <v>238</v>
      </c>
      <c r="GV3460" s="5" t="s">
        <v>238</v>
      </c>
      <c r="GW3460" s="5" t="s">
        <v>238</v>
      </c>
      <c r="GX3460" s="5" t="s">
        <v>238</v>
      </c>
      <c r="GY3460" s="5" t="s">
        <v>238</v>
      </c>
      <c r="GZ3460" s="5" t="s">
        <v>238</v>
      </c>
      <c r="HA3460" s="5" t="s">
        <v>238</v>
      </c>
      <c r="HB3460" s="5" t="s">
        <v>238</v>
      </c>
      <c r="HC3460" s="5" t="s">
        <v>238</v>
      </c>
      <c r="HD3460" s="5" t="s">
        <v>238</v>
      </c>
      <c r="HE3460" s="5" t="s">
        <v>238</v>
      </c>
      <c r="HF3460" s="5" t="s">
        <v>238</v>
      </c>
      <c r="HG3460" s="5" t="s">
        <v>238</v>
      </c>
      <c r="HH3460" s="5" t="s">
        <v>238</v>
      </c>
      <c r="HI3460" s="5" t="s">
        <v>238</v>
      </c>
      <c r="HJ3460" s="5" t="s">
        <v>238</v>
      </c>
      <c r="HK3460" s="5" t="s">
        <v>238</v>
      </c>
      <c r="HL3460" s="5" t="s">
        <v>238</v>
      </c>
      <c r="HM3460" s="5" t="s">
        <v>264</v>
      </c>
      <c r="HN3460" s="5" t="s">
        <v>238</v>
      </c>
      <c r="HO3460" s="5" t="s">
        <v>238</v>
      </c>
      <c r="HP3460" s="5" t="s">
        <v>238</v>
      </c>
      <c r="HQ3460" s="5" t="s">
        <v>238</v>
      </c>
      <c r="HR3460" s="5" t="s">
        <v>238</v>
      </c>
      <c r="HS3460" s="5" t="s">
        <v>238</v>
      </c>
      <c r="HT3460" s="5" t="s">
        <v>238</v>
      </c>
      <c r="HU3460" s="5" t="s">
        <v>238</v>
      </c>
      <c r="HV3460" s="5" t="s">
        <v>238</v>
      </c>
      <c r="HW3460" s="5" t="s">
        <v>238</v>
      </c>
      <c r="HX3460" s="5" t="s">
        <v>238</v>
      </c>
      <c r="HY3460" s="5" t="s">
        <v>238</v>
      </c>
      <c r="HZ3460" s="5" t="s">
        <v>238</v>
      </c>
      <c r="IA3460" s="5" t="s">
        <v>238</v>
      </c>
      <c r="IB3460" s="5" t="s">
        <v>238</v>
      </c>
      <c r="IC3460" s="5" t="s">
        <v>238</v>
      </c>
      <c r="ID3460" s="5" t="s">
        <v>238</v>
      </c>
    </row>
    <row r="3461" spans="1:238" x14ac:dyDescent="0.4">
      <c r="A3461" s="5">
        <v>9179</v>
      </c>
      <c r="B3461" s="5">
        <v>1</v>
      </c>
      <c r="C3461" s="5">
        <v>1</v>
      </c>
      <c r="D3461" s="5" t="s">
        <v>484</v>
      </c>
      <c r="E3461" s="5" t="s">
        <v>485</v>
      </c>
      <c r="F3461" s="5" t="s">
        <v>248</v>
      </c>
      <c r="G3461" s="5" t="s">
        <v>4616</v>
      </c>
      <c r="H3461" s="6" t="s">
        <v>4618</v>
      </c>
      <c r="I3461" s="8">
        <f>1</f>
        <v>1</v>
      </c>
      <c r="J3461" s="5" t="s">
        <v>499</v>
      </c>
      <c r="K3461" s="8">
        <f>1</f>
        <v>1</v>
      </c>
      <c r="L3461" s="6" t="s">
        <v>242</v>
      </c>
      <c r="M3461" s="5" t="s">
        <v>267</v>
      </c>
      <c r="N3461" s="5" t="s">
        <v>482</v>
      </c>
      <c r="O3461" s="5" t="s">
        <v>238</v>
      </c>
      <c r="P3461" s="5" t="s">
        <v>238</v>
      </c>
      <c r="Q3461" s="5" t="s">
        <v>239</v>
      </c>
      <c r="R3461" s="5" t="s">
        <v>270</v>
      </c>
      <c r="S3461" s="5" t="s">
        <v>238</v>
      </c>
      <c r="T3461" s="5" t="s">
        <v>238</v>
      </c>
      <c r="U3461" s="5" t="s">
        <v>238</v>
      </c>
      <c r="V3461" s="5" t="s">
        <v>238</v>
      </c>
      <c r="W3461" s="6" t="s">
        <v>238</v>
      </c>
      <c r="X3461" s="6" t="s">
        <v>238</v>
      </c>
      <c r="Y3461" s="5" t="s">
        <v>238</v>
      </c>
      <c r="Z3461" s="6" t="s">
        <v>238</v>
      </c>
      <c r="AA3461" s="6" t="s">
        <v>243</v>
      </c>
      <c r="AB3461" s="5" t="s">
        <v>4617</v>
      </c>
      <c r="AC3461" s="5" t="s">
        <v>244</v>
      </c>
      <c r="AD3461" s="5" t="s">
        <v>245</v>
      </c>
      <c r="AE3461" s="5" t="s">
        <v>238</v>
      </c>
      <c r="AF3461" s="5" t="s">
        <v>238</v>
      </c>
      <c r="AG3461" s="5" t="s">
        <v>238</v>
      </c>
      <c r="AH3461" s="5" t="s">
        <v>238</v>
      </c>
      <c r="AI3461" s="5" t="s">
        <v>238</v>
      </c>
      <c r="AJ3461" s="5" t="s">
        <v>238</v>
      </c>
      <c r="AK3461" s="5" t="s">
        <v>238</v>
      </c>
      <c r="AL3461" s="5" t="s">
        <v>238</v>
      </c>
      <c r="AM3461" s="6" t="s">
        <v>238</v>
      </c>
      <c r="AN3461" s="6" t="s">
        <v>238</v>
      </c>
      <c r="AO3461" s="6" t="s">
        <v>238</v>
      </c>
      <c r="AP3461" s="6" t="s">
        <v>238</v>
      </c>
      <c r="AQ3461" s="5" t="s">
        <v>238</v>
      </c>
      <c r="AR3461" s="5" t="s">
        <v>488</v>
      </c>
      <c r="AS3461" s="5" t="s">
        <v>488</v>
      </c>
      <c r="AT3461" s="5" t="s">
        <v>246</v>
      </c>
      <c r="AU3461" s="5" t="s">
        <v>489</v>
      </c>
      <c r="AV3461" s="5" t="s">
        <v>247</v>
      </c>
      <c r="AW3461" s="5" t="s">
        <v>238</v>
      </c>
      <c r="AX3461" s="5" t="s">
        <v>249</v>
      </c>
      <c r="AY3461" s="5" t="s">
        <v>490</v>
      </c>
      <c r="BA3461" s="5" t="s">
        <v>238</v>
      </c>
      <c r="BC3461" s="5" t="s">
        <v>491</v>
      </c>
      <c r="BD3461" s="6" t="s">
        <v>492</v>
      </c>
      <c r="BE3461" s="5" t="s">
        <v>493</v>
      </c>
      <c r="BF3461" s="5" t="s">
        <v>493</v>
      </c>
      <c r="BG3461" s="5" t="s">
        <v>238</v>
      </c>
      <c r="BH3461" s="8">
        <f>1</f>
        <v>1</v>
      </c>
      <c r="BI3461" s="8">
        <f>1</f>
        <v>1</v>
      </c>
      <c r="BJ3461" s="5" t="s">
        <v>253</v>
      </c>
      <c r="BK3461" s="5" t="s">
        <v>254</v>
      </c>
      <c r="BL3461" s="5" t="s">
        <v>238</v>
      </c>
      <c r="BM3461" s="5" t="s">
        <v>238</v>
      </c>
      <c r="BN3461" s="5" t="s">
        <v>238</v>
      </c>
      <c r="BO3461" s="5" t="s">
        <v>238</v>
      </c>
      <c r="BP3461" s="5" t="s">
        <v>238</v>
      </c>
      <c r="BQ3461" s="5" t="s">
        <v>238</v>
      </c>
      <c r="BR3461" s="5" t="s">
        <v>238</v>
      </c>
      <c r="BS3461" s="5" t="s">
        <v>238</v>
      </c>
      <c r="BT3461" s="6" t="s">
        <v>238</v>
      </c>
      <c r="BU3461" s="5" t="s">
        <v>238</v>
      </c>
      <c r="BV3461" s="5" t="s">
        <v>238</v>
      </c>
      <c r="BW3461" s="5" t="s">
        <v>238</v>
      </c>
      <c r="BX3461" s="5" t="s">
        <v>254</v>
      </c>
      <c r="BY3461" s="5" t="s">
        <v>238</v>
      </c>
      <c r="BZ3461" s="5" t="s">
        <v>238</v>
      </c>
      <c r="CA3461" s="5" t="s">
        <v>238</v>
      </c>
      <c r="CB3461" s="5" t="s">
        <v>238</v>
      </c>
      <c r="CC3461" s="5" t="s">
        <v>238</v>
      </c>
      <c r="CD3461" s="5" t="s">
        <v>273</v>
      </c>
      <c r="CE3461" s="5" t="s">
        <v>256</v>
      </c>
      <c r="CF3461" s="5" t="s">
        <v>238</v>
      </c>
      <c r="CH3461" s="5" t="s">
        <v>494</v>
      </c>
      <c r="CI3461" s="6" t="s">
        <v>257</v>
      </c>
      <c r="CJ3461" s="5" t="s">
        <v>495</v>
      </c>
      <c r="CK3461" s="5" t="s">
        <v>258</v>
      </c>
      <c r="CL3461" s="5" t="s">
        <v>496</v>
      </c>
      <c r="CM3461" s="5" t="s">
        <v>238</v>
      </c>
      <c r="CN3461" s="5">
        <v>0</v>
      </c>
      <c r="CO3461" s="5" t="s">
        <v>497</v>
      </c>
      <c r="CP3461" s="5" t="s">
        <v>260</v>
      </c>
      <c r="CQ3461" s="5" t="s">
        <v>260</v>
      </c>
      <c r="CR3461" s="5" t="s">
        <v>261</v>
      </c>
      <c r="CS3461" s="5" t="s">
        <v>498</v>
      </c>
      <c r="CT3461" s="7">
        <f>1</f>
        <v>1</v>
      </c>
      <c r="CU3461" s="8">
        <f>1</f>
        <v>1</v>
      </c>
      <c r="CV3461" s="8">
        <f>0</f>
        <v>0</v>
      </c>
      <c r="CX3461" s="8">
        <f>1</f>
        <v>1</v>
      </c>
      <c r="CY3461" s="8">
        <f>1</f>
        <v>1</v>
      </c>
      <c r="CZ3461" s="8" t="s">
        <v>238</v>
      </c>
      <c r="DA3461" s="5" t="s">
        <v>238</v>
      </c>
      <c r="DB3461" s="5" t="s">
        <v>238</v>
      </c>
      <c r="DC3461" s="5" t="s">
        <v>238</v>
      </c>
      <c r="DD3461" s="5" t="s">
        <v>238</v>
      </c>
      <c r="DE3461" s="8">
        <f>0</f>
        <v>0</v>
      </c>
      <c r="DG3461" s="5" t="s">
        <v>238</v>
      </c>
      <c r="DH3461" s="5" t="s">
        <v>238</v>
      </c>
      <c r="DI3461" s="5" t="s">
        <v>238</v>
      </c>
      <c r="DJ3461" s="5" t="s">
        <v>238</v>
      </c>
      <c r="DK3461" s="5" t="s">
        <v>238</v>
      </c>
      <c r="DL3461" s="5" t="s">
        <v>238</v>
      </c>
      <c r="DM3461" s="8" t="s">
        <v>238</v>
      </c>
      <c r="DN3461" s="5" t="s">
        <v>238</v>
      </c>
      <c r="DO3461" s="5" t="s">
        <v>238</v>
      </c>
      <c r="DP3461" s="5" t="s">
        <v>490</v>
      </c>
      <c r="DQ3461" s="5" t="s">
        <v>490</v>
      </c>
      <c r="DR3461" s="5" t="s">
        <v>238</v>
      </c>
      <c r="DS3461" s="5" t="s">
        <v>238</v>
      </c>
      <c r="DT3461" s="5" t="s">
        <v>500</v>
      </c>
      <c r="DU3461" s="5" t="s">
        <v>664</v>
      </c>
      <c r="DV3461" s="5" t="s">
        <v>238</v>
      </c>
      <c r="DW3461" s="5" t="s">
        <v>238</v>
      </c>
      <c r="DX3461" s="5" t="s">
        <v>238</v>
      </c>
      <c r="DY3461" s="5" t="s">
        <v>238</v>
      </c>
      <c r="DZ3461" s="5" t="s">
        <v>238</v>
      </c>
      <c r="EA3461" s="5" t="s">
        <v>238</v>
      </c>
      <c r="EB3461" s="5" t="s">
        <v>238</v>
      </c>
      <c r="EC3461" s="5" t="s">
        <v>238</v>
      </c>
      <c r="ED3461" s="5" t="s">
        <v>238</v>
      </c>
      <c r="EE3461" s="5" t="s">
        <v>238</v>
      </c>
      <c r="EF3461" s="5" t="s">
        <v>238</v>
      </c>
      <c r="EG3461" s="5" t="s">
        <v>238</v>
      </c>
      <c r="EH3461" s="5" t="s">
        <v>238</v>
      </c>
      <c r="EI3461" s="5" t="s">
        <v>238</v>
      </c>
      <c r="EJ3461" s="5" t="s">
        <v>238</v>
      </c>
      <c r="EK3461" s="5" t="s">
        <v>238</v>
      </c>
      <c r="EL3461" s="5" t="s">
        <v>238</v>
      </c>
      <c r="EM3461" s="5" t="s">
        <v>238</v>
      </c>
      <c r="EN3461" s="5" t="s">
        <v>238</v>
      </c>
      <c r="EO3461" s="5" t="s">
        <v>238</v>
      </c>
      <c r="EP3461" s="5" t="s">
        <v>238</v>
      </c>
      <c r="EQ3461" s="5" t="s">
        <v>238</v>
      </c>
      <c r="ER3461" s="5" t="s">
        <v>238</v>
      </c>
      <c r="ES3461" s="5" t="s">
        <v>238</v>
      </c>
      <c r="ET3461" s="5" t="s">
        <v>238</v>
      </c>
      <c r="EU3461" s="5" t="s">
        <v>238</v>
      </c>
      <c r="EV3461" s="5" t="s">
        <v>238</v>
      </c>
      <c r="EW3461" s="5" t="s">
        <v>238</v>
      </c>
      <c r="EX3461" s="5" t="s">
        <v>238</v>
      </c>
      <c r="EY3461" s="5" t="s">
        <v>238</v>
      </c>
      <c r="EZ3461" s="5" t="s">
        <v>238</v>
      </c>
      <c r="FA3461" s="5" t="s">
        <v>238</v>
      </c>
      <c r="FB3461" s="5" t="s">
        <v>238</v>
      </c>
      <c r="FC3461" s="5" t="s">
        <v>238</v>
      </c>
      <c r="FD3461" s="5" t="s">
        <v>238</v>
      </c>
      <c r="FE3461" s="5" t="s">
        <v>238</v>
      </c>
      <c r="FF3461" s="5" t="s">
        <v>238</v>
      </c>
      <c r="FG3461" s="5" t="s">
        <v>238</v>
      </c>
      <c r="FH3461" s="5" t="s">
        <v>238</v>
      </c>
      <c r="FI3461" s="5" t="s">
        <v>238</v>
      </c>
      <c r="FJ3461" s="5" t="s">
        <v>238</v>
      </c>
      <c r="FK3461" s="5" t="s">
        <v>238</v>
      </c>
      <c r="FL3461" s="5" t="s">
        <v>238</v>
      </c>
      <c r="FM3461" s="5" t="s">
        <v>238</v>
      </c>
      <c r="FN3461" s="5" t="s">
        <v>238</v>
      </c>
      <c r="FO3461" s="5" t="s">
        <v>238</v>
      </c>
      <c r="FP3461" s="5" t="s">
        <v>238</v>
      </c>
      <c r="FQ3461" s="5" t="s">
        <v>238</v>
      </c>
      <c r="FR3461" s="5" t="s">
        <v>238</v>
      </c>
      <c r="FS3461" s="5" t="s">
        <v>238</v>
      </c>
      <c r="FT3461" s="5" t="s">
        <v>238</v>
      </c>
      <c r="FU3461" s="5" t="s">
        <v>238</v>
      </c>
      <c r="FV3461" s="5" t="s">
        <v>238</v>
      </c>
      <c r="FW3461" s="5" t="s">
        <v>238</v>
      </c>
      <c r="FX3461" s="5" t="s">
        <v>238</v>
      </c>
      <c r="FY3461" s="5" t="s">
        <v>238</v>
      </c>
      <c r="FZ3461" s="5" t="s">
        <v>238</v>
      </c>
      <c r="GA3461" s="5" t="s">
        <v>238</v>
      </c>
      <c r="GB3461" s="5" t="s">
        <v>238</v>
      </c>
      <c r="GC3461" s="5" t="s">
        <v>238</v>
      </c>
      <c r="GD3461" s="5" t="s">
        <v>238</v>
      </c>
      <c r="GE3461" s="5" t="s">
        <v>238</v>
      </c>
      <c r="GF3461" s="5" t="s">
        <v>238</v>
      </c>
      <c r="GG3461" s="5" t="s">
        <v>238</v>
      </c>
      <c r="GH3461" s="5" t="s">
        <v>238</v>
      </c>
      <c r="GI3461" s="5" t="s">
        <v>238</v>
      </c>
      <c r="GJ3461" s="5" t="s">
        <v>238</v>
      </c>
      <c r="GK3461" s="5" t="s">
        <v>238</v>
      </c>
      <c r="GL3461" s="5" t="s">
        <v>238</v>
      </c>
      <c r="GM3461" s="5" t="s">
        <v>238</v>
      </c>
      <c r="GN3461" s="5" t="s">
        <v>238</v>
      </c>
      <c r="GO3461" s="5" t="s">
        <v>238</v>
      </c>
      <c r="GP3461" s="5" t="s">
        <v>238</v>
      </c>
      <c r="GQ3461" s="5" t="s">
        <v>238</v>
      </c>
      <c r="GR3461" s="5" t="s">
        <v>238</v>
      </c>
      <c r="GS3461" s="5" t="s">
        <v>238</v>
      </c>
      <c r="GT3461" s="5" t="s">
        <v>238</v>
      </c>
      <c r="GU3461" s="5" t="s">
        <v>238</v>
      </c>
      <c r="GV3461" s="5" t="s">
        <v>238</v>
      </c>
      <c r="GW3461" s="5" t="s">
        <v>238</v>
      </c>
      <c r="GX3461" s="5" t="s">
        <v>238</v>
      </c>
      <c r="GY3461" s="5" t="s">
        <v>238</v>
      </c>
      <c r="GZ3461" s="5" t="s">
        <v>238</v>
      </c>
      <c r="HA3461" s="5" t="s">
        <v>238</v>
      </c>
      <c r="HB3461" s="5" t="s">
        <v>238</v>
      </c>
      <c r="HC3461" s="5" t="s">
        <v>238</v>
      </c>
      <c r="HD3461" s="5" t="s">
        <v>238</v>
      </c>
      <c r="HE3461" s="5" t="s">
        <v>238</v>
      </c>
      <c r="HF3461" s="5" t="s">
        <v>238</v>
      </c>
      <c r="HG3461" s="5" t="s">
        <v>238</v>
      </c>
      <c r="HH3461" s="5" t="s">
        <v>238</v>
      </c>
      <c r="HI3461" s="5" t="s">
        <v>238</v>
      </c>
      <c r="HJ3461" s="5" t="s">
        <v>238</v>
      </c>
      <c r="HK3461" s="5" t="s">
        <v>238</v>
      </c>
      <c r="HL3461" s="5" t="s">
        <v>238</v>
      </c>
      <c r="HM3461" s="5" t="s">
        <v>264</v>
      </c>
      <c r="HN3461" s="5" t="s">
        <v>238</v>
      </c>
      <c r="HO3461" s="5" t="s">
        <v>238</v>
      </c>
      <c r="HP3461" s="5" t="s">
        <v>238</v>
      </c>
      <c r="HQ3461" s="5" t="s">
        <v>238</v>
      </c>
      <c r="HR3461" s="5" t="s">
        <v>238</v>
      </c>
      <c r="HS3461" s="5" t="s">
        <v>238</v>
      </c>
      <c r="HT3461" s="5" t="s">
        <v>238</v>
      </c>
      <c r="HU3461" s="5" t="s">
        <v>238</v>
      </c>
      <c r="HV3461" s="5" t="s">
        <v>238</v>
      </c>
      <c r="HW3461" s="5" t="s">
        <v>238</v>
      </c>
      <c r="HX3461" s="5" t="s">
        <v>238</v>
      </c>
      <c r="HY3461" s="5" t="s">
        <v>238</v>
      </c>
      <c r="HZ3461" s="5" t="s">
        <v>238</v>
      </c>
      <c r="IA3461" s="5" t="s">
        <v>238</v>
      </c>
      <c r="IB3461" s="5" t="s">
        <v>238</v>
      </c>
      <c r="IC3461" s="5" t="s">
        <v>238</v>
      </c>
      <c r="ID3461" s="5" t="s">
        <v>238</v>
      </c>
    </row>
    <row r="3462" spans="1:238" x14ac:dyDescent="0.4">
      <c r="A3462" s="5">
        <v>9180</v>
      </c>
      <c r="B3462" s="5">
        <v>1</v>
      </c>
      <c r="C3462" s="5">
        <v>1</v>
      </c>
      <c r="D3462" s="5" t="s">
        <v>484</v>
      </c>
      <c r="E3462" s="5" t="s">
        <v>485</v>
      </c>
      <c r="F3462" s="5" t="s">
        <v>248</v>
      </c>
      <c r="G3462" s="5" t="s">
        <v>6416</v>
      </c>
      <c r="H3462" s="6" t="s">
        <v>6417</v>
      </c>
      <c r="I3462" s="8">
        <f>1</f>
        <v>1</v>
      </c>
      <c r="J3462" s="5" t="s">
        <v>499</v>
      </c>
      <c r="K3462" s="8">
        <f>1</f>
        <v>1</v>
      </c>
      <c r="L3462" s="6" t="s">
        <v>242</v>
      </c>
      <c r="M3462" s="5" t="s">
        <v>267</v>
      </c>
      <c r="N3462" s="5" t="s">
        <v>482</v>
      </c>
      <c r="O3462" s="5" t="s">
        <v>238</v>
      </c>
      <c r="P3462" s="5" t="s">
        <v>238</v>
      </c>
      <c r="Q3462" s="5" t="s">
        <v>239</v>
      </c>
      <c r="R3462" s="5" t="s">
        <v>270</v>
      </c>
      <c r="S3462" s="5" t="s">
        <v>238</v>
      </c>
      <c r="T3462" s="5" t="s">
        <v>238</v>
      </c>
      <c r="U3462" s="5" t="s">
        <v>238</v>
      </c>
      <c r="V3462" s="5" t="s">
        <v>238</v>
      </c>
      <c r="W3462" s="6" t="s">
        <v>238</v>
      </c>
      <c r="X3462" s="6" t="s">
        <v>238</v>
      </c>
      <c r="Y3462" s="5" t="s">
        <v>238</v>
      </c>
      <c r="Z3462" s="6" t="s">
        <v>238</v>
      </c>
      <c r="AA3462" s="6" t="s">
        <v>243</v>
      </c>
      <c r="AB3462" s="5" t="s">
        <v>486</v>
      </c>
      <c r="AC3462" s="5" t="s">
        <v>244</v>
      </c>
      <c r="AD3462" s="5" t="s">
        <v>245</v>
      </c>
      <c r="AE3462" s="5" t="s">
        <v>238</v>
      </c>
      <c r="AF3462" s="5" t="s">
        <v>238</v>
      </c>
      <c r="AG3462" s="5" t="s">
        <v>238</v>
      </c>
      <c r="AH3462" s="5" t="s">
        <v>238</v>
      </c>
      <c r="AI3462" s="5" t="s">
        <v>238</v>
      </c>
      <c r="AJ3462" s="5" t="s">
        <v>238</v>
      </c>
      <c r="AK3462" s="5" t="s">
        <v>238</v>
      </c>
      <c r="AL3462" s="5" t="s">
        <v>238</v>
      </c>
      <c r="AM3462" s="6" t="s">
        <v>238</v>
      </c>
      <c r="AN3462" s="6" t="s">
        <v>238</v>
      </c>
      <c r="AO3462" s="6" t="s">
        <v>238</v>
      </c>
      <c r="AP3462" s="6" t="s">
        <v>238</v>
      </c>
      <c r="AQ3462" s="5" t="s">
        <v>238</v>
      </c>
      <c r="AR3462" s="5" t="s">
        <v>488</v>
      </c>
      <c r="AS3462" s="5" t="s">
        <v>488</v>
      </c>
      <c r="AT3462" s="5" t="s">
        <v>246</v>
      </c>
      <c r="AU3462" s="5" t="s">
        <v>489</v>
      </c>
      <c r="AV3462" s="5" t="s">
        <v>247</v>
      </c>
      <c r="AW3462" s="5" t="s">
        <v>238</v>
      </c>
      <c r="AX3462" s="5" t="s">
        <v>249</v>
      </c>
      <c r="AY3462" s="5" t="s">
        <v>490</v>
      </c>
      <c r="BA3462" s="5" t="s">
        <v>238</v>
      </c>
      <c r="BC3462" s="5" t="s">
        <v>491</v>
      </c>
      <c r="BD3462" s="6" t="s">
        <v>492</v>
      </c>
      <c r="BE3462" s="5" t="s">
        <v>493</v>
      </c>
      <c r="BF3462" s="5" t="s">
        <v>493</v>
      </c>
      <c r="BG3462" s="5" t="s">
        <v>238</v>
      </c>
      <c r="BH3462" s="8">
        <f>1</f>
        <v>1</v>
      </c>
      <c r="BI3462" s="8">
        <f>1</f>
        <v>1</v>
      </c>
      <c r="BJ3462" s="5" t="s">
        <v>253</v>
      </c>
      <c r="BK3462" s="5" t="s">
        <v>254</v>
      </c>
      <c r="BL3462" s="5" t="s">
        <v>238</v>
      </c>
      <c r="BM3462" s="5" t="s">
        <v>238</v>
      </c>
      <c r="BN3462" s="5" t="s">
        <v>238</v>
      </c>
      <c r="BO3462" s="5" t="s">
        <v>238</v>
      </c>
      <c r="BP3462" s="5" t="s">
        <v>238</v>
      </c>
      <c r="BQ3462" s="5" t="s">
        <v>238</v>
      </c>
      <c r="BR3462" s="5" t="s">
        <v>238</v>
      </c>
      <c r="BS3462" s="5" t="s">
        <v>238</v>
      </c>
      <c r="BT3462" s="6" t="s">
        <v>238</v>
      </c>
      <c r="BU3462" s="5" t="s">
        <v>238</v>
      </c>
      <c r="BV3462" s="5" t="s">
        <v>238</v>
      </c>
      <c r="BW3462" s="5" t="s">
        <v>238</v>
      </c>
      <c r="BX3462" s="5" t="s">
        <v>254</v>
      </c>
      <c r="BY3462" s="5" t="s">
        <v>238</v>
      </c>
      <c r="BZ3462" s="5" t="s">
        <v>238</v>
      </c>
      <c r="CA3462" s="5" t="s">
        <v>238</v>
      </c>
      <c r="CB3462" s="5" t="s">
        <v>238</v>
      </c>
      <c r="CC3462" s="5" t="s">
        <v>238</v>
      </c>
      <c r="CD3462" s="5" t="s">
        <v>273</v>
      </c>
      <c r="CE3462" s="5" t="s">
        <v>256</v>
      </c>
      <c r="CF3462" s="5" t="s">
        <v>238</v>
      </c>
      <c r="CH3462" s="5" t="s">
        <v>494</v>
      </c>
      <c r="CI3462" s="6" t="s">
        <v>257</v>
      </c>
      <c r="CJ3462" s="5" t="s">
        <v>495</v>
      </c>
      <c r="CK3462" s="5" t="s">
        <v>258</v>
      </c>
      <c r="CL3462" s="5" t="s">
        <v>496</v>
      </c>
      <c r="CM3462" s="5" t="s">
        <v>238</v>
      </c>
      <c r="CN3462" s="5">
        <v>0</v>
      </c>
      <c r="CO3462" s="5" t="s">
        <v>497</v>
      </c>
      <c r="CP3462" s="5" t="s">
        <v>260</v>
      </c>
      <c r="CQ3462" s="5" t="s">
        <v>260</v>
      </c>
      <c r="CR3462" s="5" t="s">
        <v>261</v>
      </c>
      <c r="CS3462" s="5" t="s">
        <v>498</v>
      </c>
      <c r="CT3462" s="7">
        <f>1</f>
        <v>1</v>
      </c>
      <c r="CU3462" s="8">
        <f>1</f>
        <v>1</v>
      </c>
      <c r="CV3462" s="8">
        <f>0</f>
        <v>0</v>
      </c>
      <c r="CX3462" s="8">
        <f>1</f>
        <v>1</v>
      </c>
      <c r="CY3462" s="8">
        <f>1</f>
        <v>1</v>
      </c>
      <c r="CZ3462" s="8" t="s">
        <v>238</v>
      </c>
      <c r="DA3462" s="5" t="s">
        <v>238</v>
      </c>
      <c r="DB3462" s="5" t="s">
        <v>238</v>
      </c>
      <c r="DC3462" s="5" t="s">
        <v>238</v>
      </c>
      <c r="DD3462" s="5" t="s">
        <v>238</v>
      </c>
      <c r="DE3462" s="8">
        <f>0</f>
        <v>0</v>
      </c>
      <c r="DG3462" s="5" t="s">
        <v>238</v>
      </c>
      <c r="DH3462" s="5" t="s">
        <v>238</v>
      </c>
      <c r="DI3462" s="5" t="s">
        <v>238</v>
      </c>
      <c r="DJ3462" s="5" t="s">
        <v>238</v>
      </c>
      <c r="DK3462" s="5" t="s">
        <v>238</v>
      </c>
      <c r="DL3462" s="5" t="s">
        <v>238</v>
      </c>
      <c r="DM3462" s="8" t="s">
        <v>238</v>
      </c>
      <c r="DN3462" s="5" t="s">
        <v>238</v>
      </c>
      <c r="DO3462" s="5" t="s">
        <v>238</v>
      </c>
      <c r="DP3462" s="5" t="s">
        <v>490</v>
      </c>
      <c r="DQ3462" s="5" t="s">
        <v>490</v>
      </c>
      <c r="DR3462" s="5" t="s">
        <v>238</v>
      </c>
      <c r="DS3462" s="5" t="s">
        <v>238</v>
      </c>
      <c r="DT3462" s="5" t="s">
        <v>500</v>
      </c>
      <c r="DU3462" s="5" t="s">
        <v>926</v>
      </c>
      <c r="DV3462" s="5" t="s">
        <v>238</v>
      </c>
      <c r="DW3462" s="5" t="s">
        <v>238</v>
      </c>
      <c r="DX3462" s="5" t="s">
        <v>238</v>
      </c>
      <c r="DY3462" s="5" t="s">
        <v>238</v>
      </c>
      <c r="DZ3462" s="5" t="s">
        <v>238</v>
      </c>
      <c r="EA3462" s="5" t="s">
        <v>238</v>
      </c>
      <c r="EB3462" s="5" t="s">
        <v>238</v>
      </c>
      <c r="EC3462" s="5" t="s">
        <v>238</v>
      </c>
      <c r="ED3462" s="5" t="s">
        <v>238</v>
      </c>
      <c r="EE3462" s="5" t="s">
        <v>238</v>
      </c>
      <c r="EF3462" s="5" t="s">
        <v>238</v>
      </c>
      <c r="EG3462" s="5" t="s">
        <v>238</v>
      </c>
      <c r="EH3462" s="5" t="s">
        <v>238</v>
      </c>
      <c r="EI3462" s="5" t="s">
        <v>238</v>
      </c>
      <c r="EJ3462" s="5" t="s">
        <v>238</v>
      </c>
      <c r="EK3462" s="5" t="s">
        <v>238</v>
      </c>
      <c r="EL3462" s="5" t="s">
        <v>238</v>
      </c>
      <c r="EM3462" s="5" t="s">
        <v>238</v>
      </c>
      <c r="EN3462" s="5" t="s">
        <v>238</v>
      </c>
      <c r="EO3462" s="5" t="s">
        <v>238</v>
      </c>
      <c r="EP3462" s="5" t="s">
        <v>238</v>
      </c>
      <c r="EQ3462" s="5" t="s">
        <v>238</v>
      </c>
      <c r="ER3462" s="5" t="s">
        <v>238</v>
      </c>
      <c r="ES3462" s="5" t="s">
        <v>238</v>
      </c>
      <c r="ET3462" s="5" t="s">
        <v>238</v>
      </c>
      <c r="EU3462" s="5" t="s">
        <v>238</v>
      </c>
      <c r="EV3462" s="5" t="s">
        <v>238</v>
      </c>
      <c r="EW3462" s="5" t="s">
        <v>238</v>
      </c>
      <c r="EX3462" s="5" t="s">
        <v>238</v>
      </c>
      <c r="EY3462" s="5" t="s">
        <v>238</v>
      </c>
      <c r="EZ3462" s="5" t="s">
        <v>238</v>
      </c>
      <c r="FA3462" s="5" t="s">
        <v>238</v>
      </c>
      <c r="FB3462" s="5" t="s">
        <v>238</v>
      </c>
      <c r="FC3462" s="5" t="s">
        <v>238</v>
      </c>
      <c r="FD3462" s="5" t="s">
        <v>238</v>
      </c>
      <c r="FE3462" s="5" t="s">
        <v>238</v>
      </c>
      <c r="FF3462" s="5" t="s">
        <v>238</v>
      </c>
      <c r="FG3462" s="5" t="s">
        <v>238</v>
      </c>
      <c r="FH3462" s="5" t="s">
        <v>238</v>
      </c>
      <c r="FI3462" s="5" t="s">
        <v>238</v>
      </c>
      <c r="FJ3462" s="5" t="s">
        <v>238</v>
      </c>
      <c r="FK3462" s="5" t="s">
        <v>238</v>
      </c>
      <c r="FL3462" s="5" t="s">
        <v>238</v>
      </c>
      <c r="FM3462" s="5" t="s">
        <v>238</v>
      </c>
      <c r="FN3462" s="5" t="s">
        <v>238</v>
      </c>
      <c r="FO3462" s="5" t="s">
        <v>238</v>
      </c>
      <c r="FP3462" s="5" t="s">
        <v>238</v>
      </c>
      <c r="FQ3462" s="5" t="s">
        <v>238</v>
      </c>
      <c r="FR3462" s="5" t="s">
        <v>238</v>
      </c>
      <c r="FS3462" s="5" t="s">
        <v>238</v>
      </c>
      <c r="FT3462" s="5" t="s">
        <v>238</v>
      </c>
      <c r="FU3462" s="5" t="s">
        <v>238</v>
      </c>
      <c r="FV3462" s="5" t="s">
        <v>238</v>
      </c>
      <c r="FW3462" s="5" t="s">
        <v>238</v>
      </c>
      <c r="FX3462" s="5" t="s">
        <v>238</v>
      </c>
      <c r="FY3462" s="5" t="s">
        <v>238</v>
      </c>
      <c r="FZ3462" s="5" t="s">
        <v>238</v>
      </c>
      <c r="GA3462" s="5" t="s">
        <v>238</v>
      </c>
      <c r="GB3462" s="5" t="s">
        <v>238</v>
      </c>
      <c r="GC3462" s="5" t="s">
        <v>238</v>
      </c>
      <c r="GD3462" s="5" t="s">
        <v>238</v>
      </c>
      <c r="GE3462" s="5" t="s">
        <v>238</v>
      </c>
      <c r="GF3462" s="5" t="s">
        <v>238</v>
      </c>
      <c r="GG3462" s="5" t="s">
        <v>238</v>
      </c>
      <c r="GH3462" s="5" t="s">
        <v>238</v>
      </c>
      <c r="GI3462" s="5" t="s">
        <v>238</v>
      </c>
      <c r="GJ3462" s="5" t="s">
        <v>238</v>
      </c>
      <c r="GK3462" s="5" t="s">
        <v>238</v>
      </c>
      <c r="GL3462" s="5" t="s">
        <v>238</v>
      </c>
      <c r="GM3462" s="5" t="s">
        <v>238</v>
      </c>
      <c r="GN3462" s="5" t="s">
        <v>238</v>
      </c>
      <c r="GO3462" s="5" t="s">
        <v>238</v>
      </c>
      <c r="GP3462" s="5" t="s">
        <v>238</v>
      </c>
      <c r="GQ3462" s="5" t="s">
        <v>238</v>
      </c>
      <c r="GR3462" s="5" t="s">
        <v>238</v>
      </c>
      <c r="GS3462" s="5" t="s">
        <v>238</v>
      </c>
      <c r="GT3462" s="5" t="s">
        <v>238</v>
      </c>
      <c r="GU3462" s="5" t="s">
        <v>238</v>
      </c>
      <c r="GV3462" s="5" t="s">
        <v>238</v>
      </c>
      <c r="GW3462" s="5" t="s">
        <v>238</v>
      </c>
      <c r="GX3462" s="5" t="s">
        <v>238</v>
      </c>
      <c r="GY3462" s="5" t="s">
        <v>238</v>
      </c>
      <c r="GZ3462" s="5" t="s">
        <v>238</v>
      </c>
      <c r="HA3462" s="5" t="s">
        <v>238</v>
      </c>
      <c r="HB3462" s="5" t="s">
        <v>238</v>
      </c>
      <c r="HC3462" s="5" t="s">
        <v>238</v>
      </c>
      <c r="HD3462" s="5" t="s">
        <v>238</v>
      </c>
      <c r="HE3462" s="5" t="s">
        <v>238</v>
      </c>
      <c r="HF3462" s="5" t="s">
        <v>238</v>
      </c>
      <c r="HG3462" s="5" t="s">
        <v>238</v>
      </c>
      <c r="HH3462" s="5" t="s">
        <v>238</v>
      </c>
      <c r="HI3462" s="5" t="s">
        <v>238</v>
      </c>
      <c r="HJ3462" s="5" t="s">
        <v>238</v>
      </c>
      <c r="HK3462" s="5" t="s">
        <v>238</v>
      </c>
      <c r="HL3462" s="5" t="s">
        <v>238</v>
      </c>
      <c r="HM3462" s="5" t="s">
        <v>264</v>
      </c>
      <c r="HN3462" s="5" t="s">
        <v>238</v>
      </c>
      <c r="HO3462" s="5" t="s">
        <v>238</v>
      </c>
      <c r="HP3462" s="5" t="s">
        <v>238</v>
      </c>
      <c r="HQ3462" s="5" t="s">
        <v>238</v>
      </c>
      <c r="HR3462" s="5" t="s">
        <v>238</v>
      </c>
      <c r="HS3462" s="5" t="s">
        <v>238</v>
      </c>
      <c r="HT3462" s="5" t="s">
        <v>238</v>
      </c>
      <c r="HU3462" s="5" t="s">
        <v>238</v>
      </c>
      <c r="HV3462" s="5" t="s">
        <v>238</v>
      </c>
      <c r="HW3462" s="5" t="s">
        <v>238</v>
      </c>
      <c r="HX3462" s="5" t="s">
        <v>238</v>
      </c>
      <c r="HY3462" s="5" t="s">
        <v>238</v>
      </c>
      <c r="HZ3462" s="5" t="s">
        <v>238</v>
      </c>
      <c r="IA3462" s="5" t="s">
        <v>238</v>
      </c>
      <c r="IB3462" s="5" t="s">
        <v>238</v>
      </c>
      <c r="IC3462" s="5" t="s">
        <v>238</v>
      </c>
      <c r="ID3462" s="5" t="s">
        <v>238</v>
      </c>
    </row>
    <row r="3463" spans="1:238" x14ac:dyDescent="0.4">
      <c r="A3463" s="5">
        <v>9181</v>
      </c>
      <c r="B3463" s="5">
        <v>1</v>
      </c>
      <c r="C3463" s="5">
        <v>1</v>
      </c>
      <c r="D3463" s="5" t="s">
        <v>484</v>
      </c>
      <c r="E3463" s="5" t="s">
        <v>485</v>
      </c>
      <c r="F3463" s="5" t="s">
        <v>248</v>
      </c>
      <c r="G3463" s="5" t="s">
        <v>5764</v>
      </c>
      <c r="H3463" s="6" t="s">
        <v>5764</v>
      </c>
      <c r="I3463" s="8">
        <f>1</f>
        <v>1</v>
      </c>
      <c r="J3463" s="5" t="s">
        <v>499</v>
      </c>
      <c r="K3463" s="8">
        <f>1</f>
        <v>1</v>
      </c>
      <c r="L3463" s="6" t="s">
        <v>242</v>
      </c>
      <c r="M3463" s="5" t="s">
        <v>267</v>
      </c>
      <c r="N3463" s="5" t="s">
        <v>482</v>
      </c>
      <c r="O3463" s="5" t="s">
        <v>238</v>
      </c>
      <c r="P3463" s="5" t="s">
        <v>238</v>
      </c>
      <c r="Q3463" s="5" t="s">
        <v>239</v>
      </c>
      <c r="R3463" s="5" t="s">
        <v>270</v>
      </c>
      <c r="S3463" s="5" t="s">
        <v>238</v>
      </c>
      <c r="T3463" s="5" t="s">
        <v>238</v>
      </c>
      <c r="U3463" s="5" t="s">
        <v>238</v>
      </c>
      <c r="V3463" s="5" t="s">
        <v>238</v>
      </c>
      <c r="W3463" s="6" t="s">
        <v>238</v>
      </c>
      <c r="X3463" s="6" t="s">
        <v>238</v>
      </c>
      <c r="Y3463" s="5" t="s">
        <v>238</v>
      </c>
      <c r="Z3463" s="6" t="s">
        <v>238</v>
      </c>
      <c r="AA3463" s="6" t="s">
        <v>243</v>
      </c>
      <c r="AB3463" s="5" t="s">
        <v>4446</v>
      </c>
      <c r="AC3463" s="5" t="s">
        <v>244</v>
      </c>
      <c r="AD3463" s="5" t="s">
        <v>245</v>
      </c>
      <c r="AE3463" s="5" t="s">
        <v>238</v>
      </c>
      <c r="AF3463" s="5" t="s">
        <v>238</v>
      </c>
      <c r="AG3463" s="5" t="s">
        <v>238</v>
      </c>
      <c r="AH3463" s="5" t="s">
        <v>238</v>
      </c>
      <c r="AI3463" s="5" t="s">
        <v>238</v>
      </c>
      <c r="AJ3463" s="5" t="s">
        <v>238</v>
      </c>
      <c r="AK3463" s="5" t="s">
        <v>238</v>
      </c>
      <c r="AL3463" s="5" t="s">
        <v>238</v>
      </c>
      <c r="AM3463" s="6" t="s">
        <v>238</v>
      </c>
      <c r="AN3463" s="6" t="s">
        <v>238</v>
      </c>
      <c r="AO3463" s="6" t="s">
        <v>238</v>
      </c>
      <c r="AP3463" s="6" t="s">
        <v>238</v>
      </c>
      <c r="AQ3463" s="5" t="s">
        <v>238</v>
      </c>
      <c r="AR3463" s="5" t="s">
        <v>488</v>
      </c>
      <c r="AS3463" s="5" t="s">
        <v>488</v>
      </c>
      <c r="AT3463" s="5" t="s">
        <v>246</v>
      </c>
      <c r="AU3463" s="5" t="s">
        <v>489</v>
      </c>
      <c r="AV3463" s="5" t="s">
        <v>247</v>
      </c>
      <c r="AW3463" s="5" t="s">
        <v>238</v>
      </c>
      <c r="AX3463" s="5" t="s">
        <v>249</v>
      </c>
      <c r="AY3463" s="5" t="s">
        <v>490</v>
      </c>
      <c r="BA3463" s="5" t="s">
        <v>238</v>
      </c>
      <c r="BC3463" s="5" t="s">
        <v>491</v>
      </c>
      <c r="BD3463" s="6" t="s">
        <v>492</v>
      </c>
      <c r="BE3463" s="5" t="s">
        <v>493</v>
      </c>
      <c r="BF3463" s="5" t="s">
        <v>493</v>
      </c>
      <c r="BG3463" s="5" t="s">
        <v>238</v>
      </c>
      <c r="BH3463" s="8">
        <f>1</f>
        <v>1</v>
      </c>
      <c r="BI3463" s="8">
        <f>1</f>
        <v>1</v>
      </c>
      <c r="BJ3463" s="5" t="s">
        <v>253</v>
      </c>
      <c r="BK3463" s="5" t="s">
        <v>254</v>
      </c>
      <c r="BL3463" s="5" t="s">
        <v>238</v>
      </c>
      <c r="BM3463" s="5" t="s">
        <v>238</v>
      </c>
      <c r="BN3463" s="5" t="s">
        <v>238</v>
      </c>
      <c r="BO3463" s="5" t="s">
        <v>238</v>
      </c>
      <c r="BP3463" s="5" t="s">
        <v>238</v>
      </c>
      <c r="BQ3463" s="5" t="s">
        <v>238</v>
      </c>
      <c r="BR3463" s="5" t="s">
        <v>238</v>
      </c>
      <c r="BS3463" s="5" t="s">
        <v>238</v>
      </c>
      <c r="BT3463" s="6" t="s">
        <v>238</v>
      </c>
      <c r="BU3463" s="5" t="s">
        <v>238</v>
      </c>
      <c r="BV3463" s="5" t="s">
        <v>238</v>
      </c>
      <c r="BW3463" s="5" t="s">
        <v>238</v>
      </c>
      <c r="BX3463" s="5" t="s">
        <v>254</v>
      </c>
      <c r="BY3463" s="5" t="s">
        <v>238</v>
      </c>
      <c r="BZ3463" s="5" t="s">
        <v>238</v>
      </c>
      <c r="CA3463" s="5" t="s">
        <v>238</v>
      </c>
      <c r="CB3463" s="5" t="s">
        <v>238</v>
      </c>
      <c r="CC3463" s="5" t="s">
        <v>238</v>
      </c>
      <c r="CD3463" s="5" t="s">
        <v>273</v>
      </c>
      <c r="CE3463" s="5" t="s">
        <v>256</v>
      </c>
      <c r="CF3463" s="5" t="s">
        <v>238</v>
      </c>
      <c r="CH3463" s="5" t="s">
        <v>494</v>
      </c>
      <c r="CI3463" s="6" t="s">
        <v>257</v>
      </c>
      <c r="CJ3463" s="5" t="s">
        <v>495</v>
      </c>
      <c r="CK3463" s="5" t="s">
        <v>258</v>
      </c>
      <c r="CL3463" s="5" t="s">
        <v>496</v>
      </c>
      <c r="CM3463" s="5" t="s">
        <v>238</v>
      </c>
      <c r="CN3463" s="5">
        <v>0</v>
      </c>
      <c r="CO3463" s="5" t="s">
        <v>497</v>
      </c>
      <c r="CP3463" s="5" t="s">
        <v>260</v>
      </c>
      <c r="CQ3463" s="5" t="s">
        <v>260</v>
      </c>
      <c r="CR3463" s="5" t="s">
        <v>261</v>
      </c>
      <c r="CS3463" s="5" t="s">
        <v>498</v>
      </c>
      <c r="CT3463" s="7">
        <f>1</f>
        <v>1</v>
      </c>
      <c r="CU3463" s="8">
        <f>1</f>
        <v>1</v>
      </c>
      <c r="CV3463" s="8">
        <f>0</f>
        <v>0</v>
      </c>
      <c r="CX3463" s="8">
        <f>1</f>
        <v>1</v>
      </c>
      <c r="CY3463" s="8">
        <f>1</f>
        <v>1</v>
      </c>
      <c r="CZ3463" s="8" t="s">
        <v>238</v>
      </c>
      <c r="DA3463" s="5" t="s">
        <v>238</v>
      </c>
      <c r="DB3463" s="5" t="s">
        <v>238</v>
      </c>
      <c r="DC3463" s="5" t="s">
        <v>238</v>
      </c>
      <c r="DD3463" s="5" t="s">
        <v>238</v>
      </c>
      <c r="DE3463" s="8">
        <f>0</f>
        <v>0</v>
      </c>
      <c r="DG3463" s="5" t="s">
        <v>238</v>
      </c>
      <c r="DH3463" s="5" t="s">
        <v>238</v>
      </c>
      <c r="DI3463" s="5" t="s">
        <v>238</v>
      </c>
      <c r="DJ3463" s="5" t="s">
        <v>238</v>
      </c>
      <c r="DK3463" s="5" t="s">
        <v>238</v>
      </c>
      <c r="DL3463" s="5" t="s">
        <v>238</v>
      </c>
      <c r="DM3463" s="8" t="s">
        <v>238</v>
      </c>
      <c r="DN3463" s="5" t="s">
        <v>238</v>
      </c>
      <c r="DO3463" s="5" t="s">
        <v>238</v>
      </c>
      <c r="DP3463" s="5" t="s">
        <v>490</v>
      </c>
      <c r="DQ3463" s="5" t="s">
        <v>490</v>
      </c>
      <c r="DR3463" s="5" t="s">
        <v>238</v>
      </c>
      <c r="DS3463" s="5" t="s">
        <v>238</v>
      </c>
      <c r="DT3463" s="5" t="s">
        <v>500</v>
      </c>
      <c r="DU3463" s="5" t="s">
        <v>3127</v>
      </c>
      <c r="DV3463" s="5" t="s">
        <v>238</v>
      </c>
      <c r="DW3463" s="5" t="s">
        <v>238</v>
      </c>
      <c r="DX3463" s="5" t="s">
        <v>238</v>
      </c>
      <c r="DY3463" s="5" t="s">
        <v>238</v>
      </c>
      <c r="DZ3463" s="5" t="s">
        <v>238</v>
      </c>
      <c r="EA3463" s="5" t="s">
        <v>238</v>
      </c>
      <c r="EB3463" s="5" t="s">
        <v>238</v>
      </c>
      <c r="EC3463" s="5" t="s">
        <v>238</v>
      </c>
      <c r="ED3463" s="5" t="s">
        <v>238</v>
      </c>
      <c r="EE3463" s="5" t="s">
        <v>238</v>
      </c>
      <c r="EF3463" s="5" t="s">
        <v>238</v>
      </c>
      <c r="EG3463" s="5" t="s">
        <v>238</v>
      </c>
      <c r="EH3463" s="5" t="s">
        <v>238</v>
      </c>
      <c r="EI3463" s="5" t="s">
        <v>238</v>
      </c>
      <c r="EJ3463" s="5" t="s">
        <v>238</v>
      </c>
      <c r="EK3463" s="5" t="s">
        <v>238</v>
      </c>
      <c r="EL3463" s="5" t="s">
        <v>238</v>
      </c>
      <c r="EM3463" s="5" t="s">
        <v>238</v>
      </c>
      <c r="EN3463" s="5" t="s">
        <v>238</v>
      </c>
      <c r="EO3463" s="5" t="s">
        <v>238</v>
      </c>
      <c r="EP3463" s="5" t="s">
        <v>238</v>
      </c>
      <c r="EQ3463" s="5" t="s">
        <v>238</v>
      </c>
      <c r="ER3463" s="5" t="s">
        <v>238</v>
      </c>
      <c r="ES3463" s="5" t="s">
        <v>238</v>
      </c>
      <c r="ET3463" s="5" t="s">
        <v>238</v>
      </c>
      <c r="EU3463" s="5" t="s">
        <v>238</v>
      </c>
      <c r="EV3463" s="5" t="s">
        <v>238</v>
      </c>
      <c r="EW3463" s="5" t="s">
        <v>238</v>
      </c>
      <c r="EX3463" s="5" t="s">
        <v>238</v>
      </c>
      <c r="EY3463" s="5" t="s">
        <v>238</v>
      </c>
      <c r="EZ3463" s="5" t="s">
        <v>238</v>
      </c>
      <c r="FA3463" s="5" t="s">
        <v>238</v>
      </c>
      <c r="FB3463" s="5" t="s">
        <v>238</v>
      </c>
      <c r="FC3463" s="5" t="s">
        <v>238</v>
      </c>
      <c r="FD3463" s="5" t="s">
        <v>238</v>
      </c>
      <c r="FE3463" s="5" t="s">
        <v>238</v>
      </c>
      <c r="FF3463" s="5" t="s">
        <v>238</v>
      </c>
      <c r="FG3463" s="5" t="s">
        <v>238</v>
      </c>
      <c r="FH3463" s="5" t="s">
        <v>238</v>
      </c>
      <c r="FI3463" s="5" t="s">
        <v>238</v>
      </c>
      <c r="FJ3463" s="5" t="s">
        <v>238</v>
      </c>
      <c r="FK3463" s="5" t="s">
        <v>238</v>
      </c>
      <c r="FL3463" s="5" t="s">
        <v>238</v>
      </c>
      <c r="FM3463" s="5" t="s">
        <v>238</v>
      </c>
      <c r="FN3463" s="5" t="s">
        <v>238</v>
      </c>
      <c r="FO3463" s="5" t="s">
        <v>238</v>
      </c>
      <c r="FP3463" s="5" t="s">
        <v>238</v>
      </c>
      <c r="FQ3463" s="5" t="s">
        <v>238</v>
      </c>
      <c r="FR3463" s="5" t="s">
        <v>238</v>
      </c>
      <c r="FS3463" s="5" t="s">
        <v>238</v>
      </c>
      <c r="FT3463" s="5" t="s">
        <v>238</v>
      </c>
      <c r="FU3463" s="5" t="s">
        <v>238</v>
      </c>
      <c r="FV3463" s="5" t="s">
        <v>238</v>
      </c>
      <c r="FW3463" s="5" t="s">
        <v>238</v>
      </c>
      <c r="FX3463" s="5" t="s">
        <v>238</v>
      </c>
      <c r="FY3463" s="5" t="s">
        <v>238</v>
      </c>
      <c r="FZ3463" s="5" t="s">
        <v>238</v>
      </c>
      <c r="GA3463" s="5" t="s">
        <v>238</v>
      </c>
      <c r="GB3463" s="5" t="s">
        <v>238</v>
      </c>
      <c r="GC3463" s="5" t="s">
        <v>238</v>
      </c>
      <c r="GD3463" s="5" t="s">
        <v>238</v>
      </c>
      <c r="GE3463" s="5" t="s">
        <v>238</v>
      </c>
      <c r="GF3463" s="5" t="s">
        <v>238</v>
      </c>
      <c r="GG3463" s="5" t="s">
        <v>238</v>
      </c>
      <c r="GH3463" s="5" t="s">
        <v>238</v>
      </c>
      <c r="GI3463" s="5" t="s">
        <v>238</v>
      </c>
      <c r="GJ3463" s="5" t="s">
        <v>238</v>
      </c>
      <c r="GK3463" s="5" t="s">
        <v>238</v>
      </c>
      <c r="GL3463" s="5" t="s">
        <v>238</v>
      </c>
      <c r="GM3463" s="5" t="s">
        <v>238</v>
      </c>
      <c r="GN3463" s="5" t="s">
        <v>238</v>
      </c>
      <c r="GO3463" s="5" t="s">
        <v>238</v>
      </c>
      <c r="GP3463" s="5" t="s">
        <v>238</v>
      </c>
      <c r="GQ3463" s="5" t="s">
        <v>238</v>
      </c>
      <c r="GR3463" s="5" t="s">
        <v>238</v>
      </c>
      <c r="GS3463" s="5" t="s">
        <v>238</v>
      </c>
      <c r="GT3463" s="5" t="s">
        <v>238</v>
      </c>
      <c r="GU3463" s="5" t="s">
        <v>238</v>
      </c>
      <c r="GV3463" s="5" t="s">
        <v>238</v>
      </c>
      <c r="GW3463" s="5" t="s">
        <v>238</v>
      </c>
      <c r="GX3463" s="5" t="s">
        <v>238</v>
      </c>
      <c r="GY3463" s="5" t="s">
        <v>238</v>
      </c>
      <c r="GZ3463" s="5" t="s">
        <v>238</v>
      </c>
      <c r="HA3463" s="5" t="s">
        <v>238</v>
      </c>
      <c r="HB3463" s="5" t="s">
        <v>238</v>
      </c>
      <c r="HC3463" s="5" t="s">
        <v>238</v>
      </c>
      <c r="HD3463" s="5" t="s">
        <v>238</v>
      </c>
      <c r="HE3463" s="5" t="s">
        <v>238</v>
      </c>
      <c r="HF3463" s="5" t="s">
        <v>238</v>
      </c>
      <c r="HG3463" s="5" t="s">
        <v>238</v>
      </c>
      <c r="HH3463" s="5" t="s">
        <v>238</v>
      </c>
      <c r="HI3463" s="5" t="s">
        <v>238</v>
      </c>
      <c r="HJ3463" s="5" t="s">
        <v>238</v>
      </c>
      <c r="HK3463" s="5" t="s">
        <v>238</v>
      </c>
      <c r="HL3463" s="5" t="s">
        <v>238</v>
      </c>
      <c r="HM3463" s="5" t="s">
        <v>264</v>
      </c>
      <c r="HN3463" s="5" t="s">
        <v>238</v>
      </c>
      <c r="HO3463" s="5" t="s">
        <v>238</v>
      </c>
      <c r="HP3463" s="5" t="s">
        <v>238</v>
      </c>
      <c r="HQ3463" s="5" t="s">
        <v>238</v>
      </c>
      <c r="HR3463" s="5" t="s">
        <v>238</v>
      </c>
      <c r="HS3463" s="5" t="s">
        <v>238</v>
      </c>
      <c r="HT3463" s="5" t="s">
        <v>238</v>
      </c>
      <c r="HU3463" s="5" t="s">
        <v>238</v>
      </c>
      <c r="HV3463" s="5" t="s">
        <v>238</v>
      </c>
      <c r="HW3463" s="5" t="s">
        <v>238</v>
      </c>
      <c r="HX3463" s="5" t="s">
        <v>238</v>
      </c>
      <c r="HY3463" s="5" t="s">
        <v>238</v>
      </c>
      <c r="HZ3463" s="5" t="s">
        <v>238</v>
      </c>
      <c r="IA3463" s="5" t="s">
        <v>238</v>
      </c>
      <c r="IB3463" s="5" t="s">
        <v>238</v>
      </c>
      <c r="IC3463" s="5" t="s">
        <v>238</v>
      </c>
      <c r="ID3463" s="5" t="s">
        <v>238</v>
      </c>
    </row>
    <row r="3464" spans="1:238" x14ac:dyDescent="0.4">
      <c r="A3464" s="5">
        <v>9182</v>
      </c>
      <c r="B3464" s="5">
        <v>1</v>
      </c>
      <c r="C3464" s="5">
        <v>1</v>
      </c>
      <c r="D3464" s="5" t="s">
        <v>484</v>
      </c>
      <c r="E3464" s="5" t="s">
        <v>485</v>
      </c>
      <c r="F3464" s="5" t="s">
        <v>248</v>
      </c>
      <c r="G3464" s="5" t="s">
        <v>4974</v>
      </c>
      <c r="H3464" s="6" t="s">
        <v>4975</v>
      </c>
      <c r="I3464" s="8">
        <f>1</f>
        <v>1</v>
      </c>
      <c r="J3464" s="5" t="s">
        <v>499</v>
      </c>
      <c r="K3464" s="8">
        <f>1</f>
        <v>1</v>
      </c>
      <c r="L3464" s="6" t="s">
        <v>242</v>
      </c>
      <c r="M3464" s="5" t="s">
        <v>267</v>
      </c>
      <c r="N3464" s="5" t="s">
        <v>482</v>
      </c>
      <c r="O3464" s="5" t="s">
        <v>238</v>
      </c>
      <c r="P3464" s="5" t="s">
        <v>238</v>
      </c>
      <c r="Q3464" s="5" t="s">
        <v>239</v>
      </c>
      <c r="R3464" s="5" t="s">
        <v>270</v>
      </c>
      <c r="S3464" s="5" t="s">
        <v>238</v>
      </c>
      <c r="T3464" s="5" t="s">
        <v>238</v>
      </c>
      <c r="U3464" s="5" t="s">
        <v>238</v>
      </c>
      <c r="V3464" s="5" t="s">
        <v>238</v>
      </c>
      <c r="W3464" s="6" t="s">
        <v>238</v>
      </c>
      <c r="X3464" s="6" t="s">
        <v>238</v>
      </c>
      <c r="Y3464" s="5" t="s">
        <v>238</v>
      </c>
      <c r="Z3464" s="6" t="s">
        <v>238</v>
      </c>
      <c r="AA3464" s="6" t="s">
        <v>243</v>
      </c>
      <c r="AB3464" s="5" t="s">
        <v>486</v>
      </c>
      <c r="AC3464" s="5" t="s">
        <v>244</v>
      </c>
      <c r="AD3464" s="5" t="s">
        <v>245</v>
      </c>
      <c r="AE3464" s="5" t="s">
        <v>238</v>
      </c>
      <c r="AF3464" s="5" t="s">
        <v>238</v>
      </c>
      <c r="AG3464" s="5" t="s">
        <v>238</v>
      </c>
      <c r="AH3464" s="5" t="s">
        <v>238</v>
      </c>
      <c r="AI3464" s="5" t="s">
        <v>238</v>
      </c>
      <c r="AJ3464" s="5" t="s">
        <v>238</v>
      </c>
      <c r="AK3464" s="5" t="s">
        <v>238</v>
      </c>
      <c r="AL3464" s="5" t="s">
        <v>238</v>
      </c>
      <c r="AM3464" s="6" t="s">
        <v>238</v>
      </c>
      <c r="AN3464" s="6" t="s">
        <v>238</v>
      </c>
      <c r="AO3464" s="6" t="s">
        <v>238</v>
      </c>
      <c r="AP3464" s="6" t="s">
        <v>238</v>
      </c>
      <c r="AQ3464" s="5" t="s">
        <v>238</v>
      </c>
      <c r="AR3464" s="5" t="s">
        <v>488</v>
      </c>
      <c r="AS3464" s="5" t="s">
        <v>488</v>
      </c>
      <c r="AT3464" s="5" t="s">
        <v>246</v>
      </c>
      <c r="AU3464" s="5" t="s">
        <v>489</v>
      </c>
      <c r="AV3464" s="5" t="s">
        <v>247</v>
      </c>
      <c r="AW3464" s="5" t="s">
        <v>238</v>
      </c>
      <c r="AX3464" s="5" t="s">
        <v>249</v>
      </c>
      <c r="AY3464" s="5" t="s">
        <v>490</v>
      </c>
      <c r="BA3464" s="5" t="s">
        <v>238</v>
      </c>
      <c r="BC3464" s="5" t="s">
        <v>491</v>
      </c>
      <c r="BD3464" s="6" t="s">
        <v>492</v>
      </c>
      <c r="BE3464" s="5" t="s">
        <v>493</v>
      </c>
      <c r="BF3464" s="5" t="s">
        <v>493</v>
      </c>
      <c r="BG3464" s="5" t="s">
        <v>238</v>
      </c>
      <c r="BH3464" s="8">
        <f>1</f>
        <v>1</v>
      </c>
      <c r="BI3464" s="8">
        <f>1</f>
        <v>1</v>
      </c>
      <c r="BJ3464" s="5" t="s">
        <v>253</v>
      </c>
      <c r="BK3464" s="5" t="s">
        <v>254</v>
      </c>
      <c r="BL3464" s="5" t="s">
        <v>238</v>
      </c>
      <c r="BM3464" s="5" t="s">
        <v>238</v>
      </c>
      <c r="BN3464" s="5" t="s">
        <v>238</v>
      </c>
      <c r="BO3464" s="5" t="s">
        <v>238</v>
      </c>
      <c r="BP3464" s="5" t="s">
        <v>238</v>
      </c>
      <c r="BQ3464" s="5" t="s">
        <v>238</v>
      </c>
      <c r="BR3464" s="5" t="s">
        <v>238</v>
      </c>
      <c r="BS3464" s="5" t="s">
        <v>238</v>
      </c>
      <c r="BT3464" s="6" t="s">
        <v>238</v>
      </c>
      <c r="BU3464" s="5" t="s">
        <v>238</v>
      </c>
      <c r="BV3464" s="5" t="s">
        <v>238</v>
      </c>
      <c r="BW3464" s="5" t="s">
        <v>238</v>
      </c>
      <c r="BX3464" s="5" t="s">
        <v>254</v>
      </c>
      <c r="BY3464" s="5" t="s">
        <v>238</v>
      </c>
      <c r="BZ3464" s="5" t="s">
        <v>238</v>
      </c>
      <c r="CA3464" s="5" t="s">
        <v>238</v>
      </c>
      <c r="CB3464" s="5" t="s">
        <v>238</v>
      </c>
      <c r="CC3464" s="5" t="s">
        <v>238</v>
      </c>
      <c r="CD3464" s="5" t="s">
        <v>273</v>
      </c>
      <c r="CE3464" s="5" t="s">
        <v>256</v>
      </c>
      <c r="CF3464" s="5" t="s">
        <v>238</v>
      </c>
      <c r="CH3464" s="5" t="s">
        <v>494</v>
      </c>
      <c r="CI3464" s="6" t="s">
        <v>257</v>
      </c>
      <c r="CJ3464" s="5" t="s">
        <v>495</v>
      </c>
      <c r="CK3464" s="5" t="s">
        <v>258</v>
      </c>
      <c r="CL3464" s="5" t="s">
        <v>496</v>
      </c>
      <c r="CM3464" s="5" t="s">
        <v>238</v>
      </c>
      <c r="CN3464" s="5">
        <v>0</v>
      </c>
      <c r="CO3464" s="5" t="s">
        <v>497</v>
      </c>
      <c r="CP3464" s="5" t="s">
        <v>260</v>
      </c>
      <c r="CQ3464" s="5" t="s">
        <v>260</v>
      </c>
      <c r="CR3464" s="5" t="s">
        <v>261</v>
      </c>
      <c r="CS3464" s="5" t="s">
        <v>498</v>
      </c>
      <c r="CT3464" s="7">
        <f>1</f>
        <v>1</v>
      </c>
      <c r="CU3464" s="8">
        <f>1</f>
        <v>1</v>
      </c>
      <c r="CV3464" s="8">
        <f>0</f>
        <v>0</v>
      </c>
      <c r="CX3464" s="8">
        <f>1</f>
        <v>1</v>
      </c>
      <c r="CY3464" s="8">
        <f>1</f>
        <v>1</v>
      </c>
      <c r="CZ3464" s="8" t="s">
        <v>238</v>
      </c>
      <c r="DA3464" s="5" t="s">
        <v>238</v>
      </c>
      <c r="DB3464" s="5" t="s">
        <v>238</v>
      </c>
      <c r="DC3464" s="5" t="s">
        <v>238</v>
      </c>
      <c r="DD3464" s="5" t="s">
        <v>238</v>
      </c>
      <c r="DE3464" s="8">
        <f>0</f>
        <v>0</v>
      </c>
      <c r="DG3464" s="5" t="s">
        <v>238</v>
      </c>
      <c r="DH3464" s="5" t="s">
        <v>238</v>
      </c>
      <c r="DI3464" s="5" t="s">
        <v>238</v>
      </c>
      <c r="DJ3464" s="5" t="s">
        <v>238</v>
      </c>
      <c r="DK3464" s="5" t="s">
        <v>238</v>
      </c>
      <c r="DL3464" s="5" t="s">
        <v>238</v>
      </c>
      <c r="DM3464" s="8" t="s">
        <v>238</v>
      </c>
      <c r="DN3464" s="5" t="s">
        <v>238</v>
      </c>
      <c r="DO3464" s="5" t="s">
        <v>238</v>
      </c>
      <c r="DP3464" s="5" t="s">
        <v>490</v>
      </c>
      <c r="DQ3464" s="5" t="s">
        <v>490</v>
      </c>
      <c r="DR3464" s="5" t="s">
        <v>238</v>
      </c>
      <c r="DS3464" s="5" t="s">
        <v>238</v>
      </c>
      <c r="DT3464" s="5" t="s">
        <v>500</v>
      </c>
      <c r="DU3464" s="5" t="s">
        <v>913</v>
      </c>
      <c r="DV3464" s="5" t="s">
        <v>238</v>
      </c>
      <c r="DW3464" s="5" t="s">
        <v>238</v>
      </c>
      <c r="DX3464" s="5" t="s">
        <v>238</v>
      </c>
      <c r="DY3464" s="5" t="s">
        <v>238</v>
      </c>
      <c r="DZ3464" s="5" t="s">
        <v>238</v>
      </c>
      <c r="EA3464" s="5" t="s">
        <v>238</v>
      </c>
      <c r="EB3464" s="5" t="s">
        <v>238</v>
      </c>
      <c r="EC3464" s="5" t="s">
        <v>238</v>
      </c>
      <c r="ED3464" s="5" t="s">
        <v>238</v>
      </c>
      <c r="EE3464" s="5" t="s">
        <v>238</v>
      </c>
      <c r="EF3464" s="5" t="s">
        <v>238</v>
      </c>
      <c r="EG3464" s="5" t="s">
        <v>238</v>
      </c>
      <c r="EH3464" s="5" t="s">
        <v>238</v>
      </c>
      <c r="EI3464" s="5" t="s">
        <v>238</v>
      </c>
      <c r="EJ3464" s="5" t="s">
        <v>238</v>
      </c>
      <c r="EK3464" s="5" t="s">
        <v>238</v>
      </c>
      <c r="EL3464" s="5" t="s">
        <v>238</v>
      </c>
      <c r="EM3464" s="5" t="s">
        <v>238</v>
      </c>
      <c r="EN3464" s="5" t="s">
        <v>238</v>
      </c>
      <c r="EO3464" s="5" t="s">
        <v>238</v>
      </c>
      <c r="EP3464" s="5" t="s">
        <v>238</v>
      </c>
      <c r="EQ3464" s="5" t="s">
        <v>238</v>
      </c>
      <c r="ER3464" s="5" t="s">
        <v>238</v>
      </c>
      <c r="ES3464" s="5" t="s">
        <v>238</v>
      </c>
      <c r="ET3464" s="5" t="s">
        <v>238</v>
      </c>
      <c r="EU3464" s="5" t="s">
        <v>238</v>
      </c>
      <c r="EV3464" s="5" t="s">
        <v>238</v>
      </c>
      <c r="EW3464" s="5" t="s">
        <v>238</v>
      </c>
      <c r="EX3464" s="5" t="s">
        <v>238</v>
      </c>
      <c r="EY3464" s="5" t="s">
        <v>238</v>
      </c>
      <c r="EZ3464" s="5" t="s">
        <v>238</v>
      </c>
      <c r="FA3464" s="5" t="s">
        <v>238</v>
      </c>
      <c r="FB3464" s="5" t="s">
        <v>238</v>
      </c>
      <c r="FC3464" s="5" t="s">
        <v>238</v>
      </c>
      <c r="FD3464" s="5" t="s">
        <v>238</v>
      </c>
      <c r="FE3464" s="5" t="s">
        <v>238</v>
      </c>
      <c r="FF3464" s="5" t="s">
        <v>238</v>
      </c>
      <c r="FG3464" s="5" t="s">
        <v>238</v>
      </c>
      <c r="FH3464" s="5" t="s">
        <v>238</v>
      </c>
      <c r="FI3464" s="5" t="s">
        <v>238</v>
      </c>
      <c r="FJ3464" s="5" t="s">
        <v>238</v>
      </c>
      <c r="FK3464" s="5" t="s">
        <v>238</v>
      </c>
      <c r="FL3464" s="5" t="s">
        <v>238</v>
      </c>
      <c r="FM3464" s="5" t="s">
        <v>238</v>
      </c>
      <c r="FN3464" s="5" t="s">
        <v>238</v>
      </c>
      <c r="FO3464" s="5" t="s">
        <v>238</v>
      </c>
      <c r="FP3464" s="5" t="s">
        <v>238</v>
      </c>
      <c r="FQ3464" s="5" t="s">
        <v>238</v>
      </c>
      <c r="FR3464" s="5" t="s">
        <v>238</v>
      </c>
      <c r="FS3464" s="5" t="s">
        <v>238</v>
      </c>
      <c r="FT3464" s="5" t="s">
        <v>238</v>
      </c>
      <c r="FU3464" s="5" t="s">
        <v>238</v>
      </c>
      <c r="FV3464" s="5" t="s">
        <v>238</v>
      </c>
      <c r="FW3464" s="5" t="s">
        <v>238</v>
      </c>
      <c r="FX3464" s="5" t="s">
        <v>238</v>
      </c>
      <c r="FY3464" s="5" t="s">
        <v>238</v>
      </c>
      <c r="FZ3464" s="5" t="s">
        <v>238</v>
      </c>
      <c r="GA3464" s="5" t="s">
        <v>238</v>
      </c>
      <c r="GB3464" s="5" t="s">
        <v>238</v>
      </c>
      <c r="GC3464" s="5" t="s">
        <v>238</v>
      </c>
      <c r="GD3464" s="5" t="s">
        <v>238</v>
      </c>
      <c r="GE3464" s="5" t="s">
        <v>238</v>
      </c>
      <c r="GF3464" s="5" t="s">
        <v>238</v>
      </c>
      <c r="GG3464" s="5" t="s">
        <v>238</v>
      </c>
      <c r="GH3464" s="5" t="s">
        <v>238</v>
      </c>
      <c r="GI3464" s="5" t="s">
        <v>238</v>
      </c>
      <c r="GJ3464" s="5" t="s">
        <v>238</v>
      </c>
      <c r="GK3464" s="5" t="s">
        <v>238</v>
      </c>
      <c r="GL3464" s="5" t="s">
        <v>238</v>
      </c>
      <c r="GM3464" s="5" t="s">
        <v>238</v>
      </c>
      <c r="GN3464" s="5" t="s">
        <v>238</v>
      </c>
      <c r="GO3464" s="5" t="s">
        <v>238</v>
      </c>
      <c r="GP3464" s="5" t="s">
        <v>238</v>
      </c>
      <c r="GQ3464" s="5" t="s">
        <v>238</v>
      </c>
      <c r="GR3464" s="5" t="s">
        <v>238</v>
      </c>
      <c r="GS3464" s="5" t="s">
        <v>238</v>
      </c>
      <c r="GT3464" s="5" t="s">
        <v>238</v>
      </c>
      <c r="GU3464" s="5" t="s">
        <v>238</v>
      </c>
      <c r="GV3464" s="5" t="s">
        <v>238</v>
      </c>
      <c r="GW3464" s="5" t="s">
        <v>238</v>
      </c>
      <c r="GX3464" s="5" t="s">
        <v>238</v>
      </c>
      <c r="GY3464" s="5" t="s">
        <v>238</v>
      </c>
      <c r="GZ3464" s="5" t="s">
        <v>238</v>
      </c>
      <c r="HA3464" s="5" t="s">
        <v>238</v>
      </c>
      <c r="HB3464" s="5" t="s">
        <v>238</v>
      </c>
      <c r="HC3464" s="5" t="s">
        <v>238</v>
      </c>
      <c r="HD3464" s="5" t="s">
        <v>238</v>
      </c>
      <c r="HE3464" s="5" t="s">
        <v>238</v>
      </c>
      <c r="HF3464" s="5" t="s">
        <v>238</v>
      </c>
      <c r="HG3464" s="5" t="s">
        <v>238</v>
      </c>
      <c r="HH3464" s="5" t="s">
        <v>238</v>
      </c>
      <c r="HI3464" s="5" t="s">
        <v>238</v>
      </c>
      <c r="HJ3464" s="5" t="s">
        <v>238</v>
      </c>
      <c r="HK3464" s="5" t="s">
        <v>238</v>
      </c>
      <c r="HL3464" s="5" t="s">
        <v>238</v>
      </c>
      <c r="HM3464" s="5" t="s">
        <v>264</v>
      </c>
      <c r="HN3464" s="5" t="s">
        <v>238</v>
      </c>
      <c r="HO3464" s="5" t="s">
        <v>238</v>
      </c>
      <c r="HP3464" s="5" t="s">
        <v>238</v>
      </c>
      <c r="HQ3464" s="5" t="s">
        <v>238</v>
      </c>
      <c r="HR3464" s="5" t="s">
        <v>238</v>
      </c>
      <c r="HS3464" s="5" t="s">
        <v>238</v>
      </c>
      <c r="HT3464" s="5" t="s">
        <v>238</v>
      </c>
      <c r="HU3464" s="5" t="s">
        <v>238</v>
      </c>
      <c r="HV3464" s="5" t="s">
        <v>238</v>
      </c>
      <c r="HW3464" s="5" t="s">
        <v>238</v>
      </c>
      <c r="HX3464" s="5" t="s">
        <v>238</v>
      </c>
      <c r="HY3464" s="5" t="s">
        <v>238</v>
      </c>
      <c r="HZ3464" s="5" t="s">
        <v>238</v>
      </c>
      <c r="IA3464" s="5" t="s">
        <v>238</v>
      </c>
      <c r="IB3464" s="5" t="s">
        <v>238</v>
      </c>
      <c r="IC3464" s="5" t="s">
        <v>238</v>
      </c>
      <c r="ID3464" s="5" t="s">
        <v>238</v>
      </c>
    </row>
    <row r="3465" spans="1:238" x14ac:dyDescent="0.4">
      <c r="A3465" s="5">
        <v>9183</v>
      </c>
      <c r="B3465" s="5">
        <v>1</v>
      </c>
      <c r="C3465" s="5">
        <v>1</v>
      </c>
      <c r="D3465" s="5" t="s">
        <v>484</v>
      </c>
      <c r="E3465" s="5" t="s">
        <v>485</v>
      </c>
      <c r="F3465" s="5" t="s">
        <v>248</v>
      </c>
      <c r="G3465" s="5" t="s">
        <v>4945</v>
      </c>
      <c r="H3465" s="6" t="s">
        <v>4946</v>
      </c>
      <c r="I3465" s="8">
        <f>1</f>
        <v>1</v>
      </c>
      <c r="J3465" s="5" t="s">
        <v>499</v>
      </c>
      <c r="K3465" s="8">
        <f>1</f>
        <v>1</v>
      </c>
      <c r="L3465" s="6" t="s">
        <v>242</v>
      </c>
      <c r="M3465" s="5" t="s">
        <v>267</v>
      </c>
      <c r="N3465" s="5" t="s">
        <v>482</v>
      </c>
      <c r="O3465" s="5" t="s">
        <v>238</v>
      </c>
      <c r="P3465" s="5" t="s">
        <v>238</v>
      </c>
      <c r="Q3465" s="5" t="s">
        <v>239</v>
      </c>
      <c r="R3465" s="5" t="s">
        <v>270</v>
      </c>
      <c r="S3465" s="5" t="s">
        <v>238</v>
      </c>
      <c r="T3465" s="5" t="s">
        <v>238</v>
      </c>
      <c r="U3465" s="5" t="s">
        <v>238</v>
      </c>
      <c r="V3465" s="5" t="s">
        <v>238</v>
      </c>
      <c r="W3465" s="6" t="s">
        <v>238</v>
      </c>
      <c r="X3465" s="6" t="s">
        <v>238</v>
      </c>
      <c r="Y3465" s="5" t="s">
        <v>238</v>
      </c>
      <c r="Z3465" s="6" t="s">
        <v>238</v>
      </c>
      <c r="AA3465" s="6" t="s">
        <v>243</v>
      </c>
      <c r="AB3465" s="5" t="s">
        <v>486</v>
      </c>
      <c r="AC3465" s="5" t="s">
        <v>244</v>
      </c>
      <c r="AD3465" s="5" t="s">
        <v>245</v>
      </c>
      <c r="AE3465" s="5" t="s">
        <v>238</v>
      </c>
      <c r="AF3465" s="5" t="s">
        <v>238</v>
      </c>
      <c r="AG3465" s="5" t="s">
        <v>238</v>
      </c>
      <c r="AH3465" s="5" t="s">
        <v>238</v>
      </c>
      <c r="AI3465" s="5" t="s">
        <v>238</v>
      </c>
      <c r="AJ3465" s="5" t="s">
        <v>238</v>
      </c>
      <c r="AK3465" s="5" t="s">
        <v>238</v>
      </c>
      <c r="AL3465" s="5" t="s">
        <v>238</v>
      </c>
      <c r="AM3465" s="6" t="s">
        <v>238</v>
      </c>
      <c r="AN3465" s="6" t="s">
        <v>238</v>
      </c>
      <c r="AO3465" s="6" t="s">
        <v>238</v>
      </c>
      <c r="AP3465" s="6" t="s">
        <v>238</v>
      </c>
      <c r="AQ3465" s="5" t="s">
        <v>238</v>
      </c>
      <c r="AR3465" s="5" t="s">
        <v>488</v>
      </c>
      <c r="AS3465" s="5" t="s">
        <v>488</v>
      </c>
      <c r="AT3465" s="5" t="s">
        <v>246</v>
      </c>
      <c r="AU3465" s="5" t="s">
        <v>489</v>
      </c>
      <c r="AV3465" s="5" t="s">
        <v>247</v>
      </c>
      <c r="AW3465" s="5" t="s">
        <v>238</v>
      </c>
      <c r="AX3465" s="5" t="s">
        <v>249</v>
      </c>
      <c r="AY3465" s="5" t="s">
        <v>490</v>
      </c>
      <c r="BA3465" s="5" t="s">
        <v>238</v>
      </c>
      <c r="BC3465" s="5" t="s">
        <v>491</v>
      </c>
      <c r="BD3465" s="6" t="s">
        <v>492</v>
      </c>
      <c r="BE3465" s="5" t="s">
        <v>493</v>
      </c>
      <c r="BF3465" s="5" t="s">
        <v>493</v>
      </c>
      <c r="BG3465" s="5" t="s">
        <v>238</v>
      </c>
      <c r="BH3465" s="8">
        <f>1</f>
        <v>1</v>
      </c>
      <c r="BI3465" s="8">
        <f>1</f>
        <v>1</v>
      </c>
      <c r="BJ3465" s="5" t="s">
        <v>253</v>
      </c>
      <c r="BK3465" s="5" t="s">
        <v>254</v>
      </c>
      <c r="BL3465" s="5" t="s">
        <v>238</v>
      </c>
      <c r="BM3465" s="5" t="s">
        <v>238</v>
      </c>
      <c r="BN3465" s="5" t="s">
        <v>238</v>
      </c>
      <c r="BO3465" s="5" t="s">
        <v>238</v>
      </c>
      <c r="BP3465" s="5" t="s">
        <v>238</v>
      </c>
      <c r="BQ3465" s="5" t="s">
        <v>238</v>
      </c>
      <c r="BR3465" s="5" t="s">
        <v>238</v>
      </c>
      <c r="BS3465" s="5" t="s">
        <v>238</v>
      </c>
      <c r="BT3465" s="6" t="s">
        <v>238</v>
      </c>
      <c r="BU3465" s="5" t="s">
        <v>238</v>
      </c>
      <c r="BV3465" s="5" t="s">
        <v>238</v>
      </c>
      <c r="BW3465" s="5" t="s">
        <v>238</v>
      </c>
      <c r="BX3465" s="5" t="s">
        <v>254</v>
      </c>
      <c r="BY3465" s="5" t="s">
        <v>238</v>
      </c>
      <c r="BZ3465" s="5" t="s">
        <v>238</v>
      </c>
      <c r="CA3465" s="5" t="s">
        <v>238</v>
      </c>
      <c r="CB3465" s="5" t="s">
        <v>238</v>
      </c>
      <c r="CC3465" s="5" t="s">
        <v>238</v>
      </c>
      <c r="CD3465" s="5" t="s">
        <v>273</v>
      </c>
      <c r="CE3465" s="5" t="s">
        <v>256</v>
      </c>
      <c r="CF3465" s="5" t="s">
        <v>238</v>
      </c>
      <c r="CH3465" s="5" t="s">
        <v>494</v>
      </c>
      <c r="CI3465" s="6" t="s">
        <v>257</v>
      </c>
      <c r="CJ3465" s="5" t="s">
        <v>495</v>
      </c>
      <c r="CK3465" s="5" t="s">
        <v>258</v>
      </c>
      <c r="CL3465" s="5" t="s">
        <v>496</v>
      </c>
      <c r="CM3465" s="5" t="s">
        <v>238</v>
      </c>
      <c r="CN3465" s="5">
        <v>0</v>
      </c>
      <c r="CO3465" s="5" t="s">
        <v>497</v>
      </c>
      <c r="CP3465" s="5" t="s">
        <v>260</v>
      </c>
      <c r="CQ3465" s="5" t="s">
        <v>260</v>
      </c>
      <c r="CR3465" s="5" t="s">
        <v>261</v>
      </c>
      <c r="CS3465" s="5" t="s">
        <v>498</v>
      </c>
      <c r="CT3465" s="7">
        <f>1</f>
        <v>1</v>
      </c>
      <c r="CU3465" s="8">
        <f>1</f>
        <v>1</v>
      </c>
      <c r="CV3465" s="8">
        <f>0</f>
        <v>0</v>
      </c>
      <c r="CX3465" s="8">
        <f>1</f>
        <v>1</v>
      </c>
      <c r="CY3465" s="8">
        <f>1</f>
        <v>1</v>
      </c>
      <c r="CZ3465" s="8" t="s">
        <v>238</v>
      </c>
      <c r="DA3465" s="5" t="s">
        <v>238</v>
      </c>
      <c r="DB3465" s="5" t="s">
        <v>238</v>
      </c>
      <c r="DC3465" s="5" t="s">
        <v>238</v>
      </c>
      <c r="DD3465" s="5" t="s">
        <v>238</v>
      </c>
      <c r="DE3465" s="8">
        <f>0</f>
        <v>0</v>
      </c>
      <c r="DG3465" s="5" t="s">
        <v>238</v>
      </c>
      <c r="DH3465" s="5" t="s">
        <v>238</v>
      </c>
      <c r="DI3465" s="5" t="s">
        <v>238</v>
      </c>
      <c r="DJ3465" s="5" t="s">
        <v>238</v>
      </c>
      <c r="DK3465" s="5" t="s">
        <v>238</v>
      </c>
      <c r="DL3465" s="5" t="s">
        <v>238</v>
      </c>
      <c r="DM3465" s="8" t="s">
        <v>238</v>
      </c>
      <c r="DN3465" s="5" t="s">
        <v>238</v>
      </c>
      <c r="DO3465" s="5" t="s">
        <v>238</v>
      </c>
      <c r="DP3465" s="5" t="s">
        <v>490</v>
      </c>
      <c r="DQ3465" s="5" t="s">
        <v>490</v>
      </c>
      <c r="DR3465" s="5" t="s">
        <v>238</v>
      </c>
      <c r="DS3465" s="5" t="s">
        <v>238</v>
      </c>
      <c r="DT3465" s="5" t="s">
        <v>500</v>
      </c>
      <c r="DU3465" s="5" t="s">
        <v>1487</v>
      </c>
      <c r="DV3465" s="5" t="s">
        <v>238</v>
      </c>
      <c r="DW3465" s="5" t="s">
        <v>238</v>
      </c>
      <c r="DX3465" s="5" t="s">
        <v>238</v>
      </c>
      <c r="DY3465" s="5" t="s">
        <v>238</v>
      </c>
      <c r="DZ3465" s="5" t="s">
        <v>238</v>
      </c>
      <c r="EA3465" s="5" t="s">
        <v>238</v>
      </c>
      <c r="EB3465" s="5" t="s">
        <v>238</v>
      </c>
      <c r="EC3465" s="5" t="s">
        <v>238</v>
      </c>
      <c r="ED3465" s="5" t="s">
        <v>238</v>
      </c>
      <c r="EE3465" s="5" t="s">
        <v>238</v>
      </c>
      <c r="EF3465" s="5" t="s">
        <v>238</v>
      </c>
      <c r="EG3465" s="5" t="s">
        <v>238</v>
      </c>
      <c r="EH3465" s="5" t="s">
        <v>238</v>
      </c>
      <c r="EI3465" s="5" t="s">
        <v>238</v>
      </c>
      <c r="EJ3465" s="5" t="s">
        <v>238</v>
      </c>
      <c r="EK3465" s="5" t="s">
        <v>238</v>
      </c>
      <c r="EL3465" s="5" t="s">
        <v>238</v>
      </c>
      <c r="EM3465" s="5" t="s">
        <v>238</v>
      </c>
      <c r="EN3465" s="5" t="s">
        <v>238</v>
      </c>
      <c r="EO3465" s="5" t="s">
        <v>238</v>
      </c>
      <c r="EP3465" s="5" t="s">
        <v>238</v>
      </c>
      <c r="EQ3465" s="5" t="s">
        <v>238</v>
      </c>
      <c r="ER3465" s="5" t="s">
        <v>238</v>
      </c>
      <c r="ES3465" s="5" t="s">
        <v>238</v>
      </c>
      <c r="ET3465" s="5" t="s">
        <v>238</v>
      </c>
      <c r="EU3465" s="5" t="s">
        <v>238</v>
      </c>
      <c r="EV3465" s="5" t="s">
        <v>238</v>
      </c>
      <c r="EW3465" s="5" t="s">
        <v>238</v>
      </c>
      <c r="EX3465" s="5" t="s">
        <v>238</v>
      </c>
      <c r="EY3465" s="5" t="s">
        <v>238</v>
      </c>
      <c r="EZ3465" s="5" t="s">
        <v>238</v>
      </c>
      <c r="FA3465" s="5" t="s">
        <v>238</v>
      </c>
      <c r="FB3465" s="5" t="s">
        <v>238</v>
      </c>
      <c r="FC3465" s="5" t="s">
        <v>238</v>
      </c>
      <c r="FD3465" s="5" t="s">
        <v>238</v>
      </c>
      <c r="FE3465" s="5" t="s">
        <v>238</v>
      </c>
      <c r="FF3465" s="5" t="s">
        <v>238</v>
      </c>
      <c r="FG3465" s="5" t="s">
        <v>238</v>
      </c>
      <c r="FH3465" s="5" t="s">
        <v>238</v>
      </c>
      <c r="FI3465" s="5" t="s">
        <v>238</v>
      </c>
      <c r="FJ3465" s="5" t="s">
        <v>238</v>
      </c>
      <c r="FK3465" s="5" t="s">
        <v>238</v>
      </c>
      <c r="FL3465" s="5" t="s">
        <v>238</v>
      </c>
      <c r="FM3465" s="5" t="s">
        <v>238</v>
      </c>
      <c r="FN3465" s="5" t="s">
        <v>238</v>
      </c>
      <c r="FO3465" s="5" t="s">
        <v>238</v>
      </c>
      <c r="FP3465" s="5" t="s">
        <v>238</v>
      </c>
      <c r="FQ3465" s="5" t="s">
        <v>238</v>
      </c>
      <c r="FR3465" s="5" t="s">
        <v>238</v>
      </c>
      <c r="FS3465" s="5" t="s">
        <v>238</v>
      </c>
      <c r="FT3465" s="5" t="s">
        <v>238</v>
      </c>
      <c r="FU3465" s="5" t="s">
        <v>238</v>
      </c>
      <c r="FV3465" s="5" t="s">
        <v>238</v>
      </c>
      <c r="FW3465" s="5" t="s">
        <v>238</v>
      </c>
      <c r="FX3465" s="5" t="s">
        <v>238</v>
      </c>
      <c r="FY3465" s="5" t="s">
        <v>238</v>
      </c>
      <c r="FZ3465" s="5" t="s">
        <v>238</v>
      </c>
      <c r="GA3465" s="5" t="s">
        <v>238</v>
      </c>
      <c r="GB3465" s="5" t="s">
        <v>238</v>
      </c>
      <c r="GC3465" s="5" t="s">
        <v>238</v>
      </c>
      <c r="GD3465" s="5" t="s">
        <v>238</v>
      </c>
      <c r="GE3465" s="5" t="s">
        <v>238</v>
      </c>
      <c r="GF3465" s="5" t="s">
        <v>238</v>
      </c>
      <c r="GG3465" s="5" t="s">
        <v>238</v>
      </c>
      <c r="GH3465" s="5" t="s">
        <v>238</v>
      </c>
      <c r="GI3465" s="5" t="s">
        <v>238</v>
      </c>
      <c r="GJ3465" s="5" t="s">
        <v>238</v>
      </c>
      <c r="GK3465" s="5" t="s">
        <v>238</v>
      </c>
      <c r="GL3465" s="5" t="s">
        <v>238</v>
      </c>
      <c r="GM3465" s="5" t="s">
        <v>238</v>
      </c>
      <c r="GN3465" s="5" t="s">
        <v>238</v>
      </c>
      <c r="GO3465" s="5" t="s">
        <v>238</v>
      </c>
      <c r="GP3465" s="5" t="s">
        <v>238</v>
      </c>
      <c r="GQ3465" s="5" t="s">
        <v>238</v>
      </c>
      <c r="GR3465" s="5" t="s">
        <v>238</v>
      </c>
      <c r="GS3465" s="5" t="s">
        <v>238</v>
      </c>
      <c r="GT3465" s="5" t="s">
        <v>238</v>
      </c>
      <c r="GU3465" s="5" t="s">
        <v>238</v>
      </c>
      <c r="GV3465" s="5" t="s">
        <v>238</v>
      </c>
      <c r="GW3465" s="5" t="s">
        <v>238</v>
      </c>
      <c r="GX3465" s="5" t="s">
        <v>238</v>
      </c>
      <c r="GY3465" s="5" t="s">
        <v>238</v>
      </c>
      <c r="GZ3465" s="5" t="s">
        <v>238</v>
      </c>
      <c r="HA3465" s="5" t="s">
        <v>238</v>
      </c>
      <c r="HB3465" s="5" t="s">
        <v>238</v>
      </c>
      <c r="HC3465" s="5" t="s">
        <v>238</v>
      </c>
      <c r="HD3465" s="5" t="s">
        <v>238</v>
      </c>
      <c r="HE3465" s="5" t="s">
        <v>238</v>
      </c>
      <c r="HF3465" s="5" t="s">
        <v>238</v>
      </c>
      <c r="HG3465" s="5" t="s">
        <v>238</v>
      </c>
      <c r="HH3465" s="5" t="s">
        <v>238</v>
      </c>
      <c r="HI3465" s="5" t="s">
        <v>238</v>
      </c>
      <c r="HJ3465" s="5" t="s">
        <v>238</v>
      </c>
      <c r="HK3465" s="5" t="s">
        <v>238</v>
      </c>
      <c r="HL3465" s="5" t="s">
        <v>238</v>
      </c>
      <c r="HM3465" s="5" t="s">
        <v>264</v>
      </c>
      <c r="HN3465" s="5" t="s">
        <v>238</v>
      </c>
      <c r="HO3465" s="5" t="s">
        <v>238</v>
      </c>
      <c r="HP3465" s="5" t="s">
        <v>238</v>
      </c>
      <c r="HQ3465" s="5" t="s">
        <v>238</v>
      </c>
      <c r="HR3465" s="5" t="s">
        <v>238</v>
      </c>
      <c r="HS3465" s="5" t="s">
        <v>238</v>
      </c>
      <c r="HT3465" s="5" t="s">
        <v>238</v>
      </c>
      <c r="HU3465" s="5" t="s">
        <v>238</v>
      </c>
      <c r="HV3465" s="5" t="s">
        <v>238</v>
      </c>
      <c r="HW3465" s="5" t="s">
        <v>238</v>
      </c>
      <c r="HX3465" s="5" t="s">
        <v>238</v>
      </c>
      <c r="HY3465" s="5" t="s">
        <v>238</v>
      </c>
      <c r="HZ3465" s="5" t="s">
        <v>238</v>
      </c>
      <c r="IA3465" s="5" t="s">
        <v>238</v>
      </c>
      <c r="IB3465" s="5" t="s">
        <v>238</v>
      </c>
      <c r="IC3465" s="5" t="s">
        <v>238</v>
      </c>
      <c r="ID3465" s="5" t="s">
        <v>238</v>
      </c>
    </row>
    <row r="3466" spans="1:238" x14ac:dyDescent="0.4">
      <c r="A3466" s="5">
        <v>9184</v>
      </c>
      <c r="B3466" s="5">
        <v>1</v>
      </c>
      <c r="C3466" s="5">
        <v>1</v>
      </c>
      <c r="D3466" s="5" t="s">
        <v>484</v>
      </c>
      <c r="E3466" s="5" t="s">
        <v>485</v>
      </c>
      <c r="F3466" s="5" t="s">
        <v>248</v>
      </c>
      <c r="G3466" s="5" t="s">
        <v>5531</v>
      </c>
      <c r="H3466" s="6" t="s">
        <v>5532</v>
      </c>
      <c r="I3466" s="8">
        <f>1</f>
        <v>1</v>
      </c>
      <c r="J3466" s="5" t="s">
        <v>499</v>
      </c>
      <c r="K3466" s="8">
        <f>1</f>
        <v>1</v>
      </c>
      <c r="L3466" s="6" t="s">
        <v>242</v>
      </c>
      <c r="M3466" s="5" t="s">
        <v>267</v>
      </c>
      <c r="N3466" s="5" t="s">
        <v>482</v>
      </c>
      <c r="O3466" s="5" t="s">
        <v>238</v>
      </c>
      <c r="P3466" s="5" t="s">
        <v>238</v>
      </c>
      <c r="Q3466" s="5" t="s">
        <v>239</v>
      </c>
      <c r="R3466" s="5" t="s">
        <v>270</v>
      </c>
      <c r="S3466" s="5" t="s">
        <v>238</v>
      </c>
      <c r="T3466" s="5" t="s">
        <v>238</v>
      </c>
      <c r="U3466" s="5" t="s">
        <v>238</v>
      </c>
      <c r="V3466" s="5" t="s">
        <v>238</v>
      </c>
      <c r="W3466" s="6" t="s">
        <v>238</v>
      </c>
      <c r="X3466" s="6" t="s">
        <v>238</v>
      </c>
      <c r="Y3466" s="5" t="s">
        <v>238</v>
      </c>
      <c r="Z3466" s="6" t="s">
        <v>238</v>
      </c>
      <c r="AA3466" s="6" t="s">
        <v>243</v>
      </c>
      <c r="AB3466" s="5" t="s">
        <v>486</v>
      </c>
      <c r="AC3466" s="5" t="s">
        <v>244</v>
      </c>
      <c r="AD3466" s="5" t="s">
        <v>245</v>
      </c>
      <c r="AE3466" s="5" t="s">
        <v>238</v>
      </c>
      <c r="AF3466" s="5" t="s">
        <v>238</v>
      </c>
      <c r="AG3466" s="5" t="s">
        <v>238</v>
      </c>
      <c r="AH3466" s="5" t="s">
        <v>238</v>
      </c>
      <c r="AI3466" s="5" t="s">
        <v>238</v>
      </c>
      <c r="AJ3466" s="5" t="s">
        <v>238</v>
      </c>
      <c r="AK3466" s="5" t="s">
        <v>238</v>
      </c>
      <c r="AL3466" s="5" t="s">
        <v>238</v>
      </c>
      <c r="AM3466" s="6" t="s">
        <v>238</v>
      </c>
      <c r="AN3466" s="6" t="s">
        <v>238</v>
      </c>
      <c r="AO3466" s="6" t="s">
        <v>238</v>
      </c>
      <c r="AP3466" s="6" t="s">
        <v>238</v>
      </c>
      <c r="AQ3466" s="5" t="s">
        <v>238</v>
      </c>
      <c r="AR3466" s="5" t="s">
        <v>488</v>
      </c>
      <c r="AS3466" s="5" t="s">
        <v>488</v>
      </c>
      <c r="AT3466" s="5" t="s">
        <v>246</v>
      </c>
      <c r="AU3466" s="5" t="s">
        <v>489</v>
      </c>
      <c r="AV3466" s="5" t="s">
        <v>247</v>
      </c>
      <c r="AW3466" s="5" t="s">
        <v>238</v>
      </c>
      <c r="AX3466" s="5" t="s">
        <v>249</v>
      </c>
      <c r="AY3466" s="5" t="s">
        <v>490</v>
      </c>
      <c r="BA3466" s="5" t="s">
        <v>238</v>
      </c>
      <c r="BC3466" s="5" t="s">
        <v>491</v>
      </c>
      <c r="BD3466" s="6" t="s">
        <v>492</v>
      </c>
      <c r="BE3466" s="5" t="s">
        <v>493</v>
      </c>
      <c r="BF3466" s="5" t="s">
        <v>493</v>
      </c>
      <c r="BG3466" s="5" t="s">
        <v>238</v>
      </c>
      <c r="BH3466" s="8">
        <f>1</f>
        <v>1</v>
      </c>
      <c r="BI3466" s="8">
        <f>1</f>
        <v>1</v>
      </c>
      <c r="BJ3466" s="5" t="s">
        <v>253</v>
      </c>
      <c r="BK3466" s="5" t="s">
        <v>254</v>
      </c>
      <c r="BL3466" s="5" t="s">
        <v>238</v>
      </c>
      <c r="BM3466" s="5" t="s">
        <v>238</v>
      </c>
      <c r="BN3466" s="5" t="s">
        <v>238</v>
      </c>
      <c r="BO3466" s="5" t="s">
        <v>238</v>
      </c>
      <c r="BP3466" s="5" t="s">
        <v>238</v>
      </c>
      <c r="BQ3466" s="5" t="s">
        <v>238</v>
      </c>
      <c r="BR3466" s="5" t="s">
        <v>238</v>
      </c>
      <c r="BS3466" s="5" t="s">
        <v>238</v>
      </c>
      <c r="BT3466" s="6" t="s">
        <v>238</v>
      </c>
      <c r="BU3466" s="5" t="s">
        <v>238</v>
      </c>
      <c r="BV3466" s="5" t="s">
        <v>238</v>
      </c>
      <c r="BW3466" s="5" t="s">
        <v>238</v>
      </c>
      <c r="BX3466" s="5" t="s">
        <v>254</v>
      </c>
      <c r="BY3466" s="5" t="s">
        <v>238</v>
      </c>
      <c r="BZ3466" s="5" t="s">
        <v>238</v>
      </c>
      <c r="CA3466" s="5" t="s">
        <v>238</v>
      </c>
      <c r="CB3466" s="5" t="s">
        <v>238</v>
      </c>
      <c r="CC3466" s="5" t="s">
        <v>238</v>
      </c>
      <c r="CD3466" s="5" t="s">
        <v>273</v>
      </c>
      <c r="CE3466" s="5" t="s">
        <v>256</v>
      </c>
      <c r="CF3466" s="5" t="s">
        <v>238</v>
      </c>
      <c r="CH3466" s="5" t="s">
        <v>494</v>
      </c>
      <c r="CI3466" s="6" t="s">
        <v>257</v>
      </c>
      <c r="CJ3466" s="5" t="s">
        <v>495</v>
      </c>
      <c r="CK3466" s="5" t="s">
        <v>258</v>
      </c>
      <c r="CL3466" s="5" t="s">
        <v>496</v>
      </c>
      <c r="CM3466" s="5" t="s">
        <v>238</v>
      </c>
      <c r="CN3466" s="5">
        <v>0</v>
      </c>
      <c r="CO3466" s="5" t="s">
        <v>497</v>
      </c>
      <c r="CP3466" s="5" t="s">
        <v>260</v>
      </c>
      <c r="CQ3466" s="5" t="s">
        <v>260</v>
      </c>
      <c r="CR3466" s="5" t="s">
        <v>261</v>
      </c>
      <c r="CS3466" s="5" t="s">
        <v>498</v>
      </c>
      <c r="CT3466" s="7">
        <f>1</f>
        <v>1</v>
      </c>
      <c r="CU3466" s="8">
        <f>1</f>
        <v>1</v>
      </c>
      <c r="CV3466" s="8">
        <f>0</f>
        <v>0</v>
      </c>
      <c r="CX3466" s="8">
        <f>1</f>
        <v>1</v>
      </c>
      <c r="CY3466" s="8">
        <f>1</f>
        <v>1</v>
      </c>
      <c r="CZ3466" s="8" t="s">
        <v>238</v>
      </c>
      <c r="DA3466" s="5" t="s">
        <v>238</v>
      </c>
      <c r="DB3466" s="5" t="s">
        <v>238</v>
      </c>
      <c r="DC3466" s="5" t="s">
        <v>238</v>
      </c>
      <c r="DD3466" s="5" t="s">
        <v>238</v>
      </c>
      <c r="DE3466" s="8">
        <f>0</f>
        <v>0</v>
      </c>
      <c r="DG3466" s="5" t="s">
        <v>238</v>
      </c>
      <c r="DH3466" s="5" t="s">
        <v>238</v>
      </c>
      <c r="DI3466" s="5" t="s">
        <v>238</v>
      </c>
      <c r="DJ3466" s="5" t="s">
        <v>238</v>
      </c>
      <c r="DK3466" s="5" t="s">
        <v>238</v>
      </c>
      <c r="DL3466" s="5" t="s">
        <v>238</v>
      </c>
      <c r="DM3466" s="8" t="s">
        <v>238</v>
      </c>
      <c r="DN3466" s="5" t="s">
        <v>238</v>
      </c>
      <c r="DO3466" s="5" t="s">
        <v>238</v>
      </c>
      <c r="DP3466" s="5" t="s">
        <v>490</v>
      </c>
      <c r="DQ3466" s="5" t="s">
        <v>490</v>
      </c>
      <c r="DR3466" s="5" t="s">
        <v>238</v>
      </c>
      <c r="DS3466" s="5" t="s">
        <v>238</v>
      </c>
      <c r="DT3466" s="5" t="s">
        <v>500</v>
      </c>
      <c r="DU3466" s="5" t="s">
        <v>886</v>
      </c>
      <c r="DV3466" s="5" t="s">
        <v>238</v>
      </c>
      <c r="DW3466" s="5" t="s">
        <v>238</v>
      </c>
      <c r="DX3466" s="5" t="s">
        <v>238</v>
      </c>
      <c r="DY3466" s="5" t="s">
        <v>238</v>
      </c>
      <c r="DZ3466" s="5" t="s">
        <v>238</v>
      </c>
      <c r="EA3466" s="5" t="s">
        <v>238</v>
      </c>
      <c r="EB3466" s="5" t="s">
        <v>238</v>
      </c>
      <c r="EC3466" s="5" t="s">
        <v>238</v>
      </c>
      <c r="ED3466" s="5" t="s">
        <v>238</v>
      </c>
      <c r="EE3466" s="5" t="s">
        <v>238</v>
      </c>
      <c r="EF3466" s="5" t="s">
        <v>238</v>
      </c>
      <c r="EG3466" s="5" t="s">
        <v>238</v>
      </c>
      <c r="EH3466" s="5" t="s">
        <v>238</v>
      </c>
      <c r="EI3466" s="5" t="s">
        <v>238</v>
      </c>
      <c r="EJ3466" s="5" t="s">
        <v>238</v>
      </c>
      <c r="EK3466" s="5" t="s">
        <v>238</v>
      </c>
      <c r="EL3466" s="5" t="s">
        <v>238</v>
      </c>
      <c r="EM3466" s="5" t="s">
        <v>238</v>
      </c>
      <c r="EN3466" s="5" t="s">
        <v>238</v>
      </c>
      <c r="EO3466" s="5" t="s">
        <v>238</v>
      </c>
      <c r="EP3466" s="5" t="s">
        <v>238</v>
      </c>
      <c r="EQ3466" s="5" t="s">
        <v>238</v>
      </c>
      <c r="ER3466" s="5" t="s">
        <v>238</v>
      </c>
      <c r="ES3466" s="5" t="s">
        <v>238</v>
      </c>
      <c r="ET3466" s="5" t="s">
        <v>238</v>
      </c>
      <c r="EU3466" s="5" t="s">
        <v>238</v>
      </c>
      <c r="EV3466" s="5" t="s">
        <v>238</v>
      </c>
      <c r="EW3466" s="5" t="s">
        <v>238</v>
      </c>
      <c r="EX3466" s="5" t="s">
        <v>238</v>
      </c>
      <c r="EY3466" s="5" t="s">
        <v>238</v>
      </c>
      <c r="EZ3466" s="5" t="s">
        <v>238</v>
      </c>
      <c r="FA3466" s="5" t="s">
        <v>238</v>
      </c>
      <c r="FB3466" s="5" t="s">
        <v>238</v>
      </c>
      <c r="FC3466" s="5" t="s">
        <v>238</v>
      </c>
      <c r="FD3466" s="5" t="s">
        <v>238</v>
      </c>
      <c r="FE3466" s="5" t="s">
        <v>238</v>
      </c>
      <c r="FF3466" s="5" t="s">
        <v>238</v>
      </c>
      <c r="FG3466" s="5" t="s">
        <v>238</v>
      </c>
      <c r="FH3466" s="5" t="s">
        <v>238</v>
      </c>
      <c r="FI3466" s="5" t="s">
        <v>238</v>
      </c>
      <c r="FJ3466" s="5" t="s">
        <v>238</v>
      </c>
      <c r="FK3466" s="5" t="s">
        <v>238</v>
      </c>
      <c r="FL3466" s="5" t="s">
        <v>238</v>
      </c>
      <c r="FM3466" s="5" t="s">
        <v>238</v>
      </c>
      <c r="FN3466" s="5" t="s">
        <v>238</v>
      </c>
      <c r="FO3466" s="5" t="s">
        <v>238</v>
      </c>
      <c r="FP3466" s="5" t="s">
        <v>238</v>
      </c>
      <c r="FQ3466" s="5" t="s">
        <v>238</v>
      </c>
      <c r="FR3466" s="5" t="s">
        <v>238</v>
      </c>
      <c r="FS3466" s="5" t="s">
        <v>238</v>
      </c>
      <c r="FT3466" s="5" t="s">
        <v>238</v>
      </c>
      <c r="FU3466" s="5" t="s">
        <v>238</v>
      </c>
      <c r="FV3466" s="5" t="s">
        <v>238</v>
      </c>
      <c r="FW3466" s="5" t="s">
        <v>238</v>
      </c>
      <c r="FX3466" s="5" t="s">
        <v>238</v>
      </c>
      <c r="FY3466" s="5" t="s">
        <v>238</v>
      </c>
      <c r="FZ3466" s="5" t="s">
        <v>238</v>
      </c>
      <c r="GA3466" s="5" t="s">
        <v>238</v>
      </c>
      <c r="GB3466" s="5" t="s">
        <v>238</v>
      </c>
      <c r="GC3466" s="5" t="s">
        <v>238</v>
      </c>
      <c r="GD3466" s="5" t="s">
        <v>238</v>
      </c>
      <c r="GE3466" s="5" t="s">
        <v>238</v>
      </c>
      <c r="GF3466" s="5" t="s">
        <v>238</v>
      </c>
      <c r="GG3466" s="5" t="s">
        <v>238</v>
      </c>
      <c r="GH3466" s="5" t="s">
        <v>238</v>
      </c>
      <c r="GI3466" s="5" t="s">
        <v>238</v>
      </c>
      <c r="GJ3466" s="5" t="s">
        <v>238</v>
      </c>
      <c r="GK3466" s="5" t="s">
        <v>238</v>
      </c>
      <c r="GL3466" s="5" t="s">
        <v>238</v>
      </c>
      <c r="GM3466" s="5" t="s">
        <v>238</v>
      </c>
      <c r="GN3466" s="5" t="s">
        <v>238</v>
      </c>
      <c r="GO3466" s="5" t="s">
        <v>238</v>
      </c>
      <c r="GP3466" s="5" t="s">
        <v>238</v>
      </c>
      <c r="GQ3466" s="5" t="s">
        <v>238</v>
      </c>
      <c r="GR3466" s="5" t="s">
        <v>238</v>
      </c>
      <c r="GS3466" s="5" t="s">
        <v>238</v>
      </c>
      <c r="GT3466" s="5" t="s">
        <v>238</v>
      </c>
      <c r="GU3466" s="5" t="s">
        <v>238</v>
      </c>
      <c r="GV3466" s="5" t="s">
        <v>238</v>
      </c>
      <c r="GW3466" s="5" t="s">
        <v>238</v>
      </c>
      <c r="GX3466" s="5" t="s">
        <v>238</v>
      </c>
      <c r="GY3466" s="5" t="s">
        <v>238</v>
      </c>
      <c r="GZ3466" s="5" t="s">
        <v>238</v>
      </c>
      <c r="HA3466" s="5" t="s">
        <v>238</v>
      </c>
      <c r="HB3466" s="5" t="s">
        <v>238</v>
      </c>
      <c r="HC3466" s="5" t="s">
        <v>238</v>
      </c>
      <c r="HD3466" s="5" t="s">
        <v>238</v>
      </c>
      <c r="HE3466" s="5" t="s">
        <v>238</v>
      </c>
      <c r="HF3466" s="5" t="s">
        <v>238</v>
      </c>
      <c r="HG3466" s="5" t="s">
        <v>238</v>
      </c>
      <c r="HH3466" s="5" t="s">
        <v>238</v>
      </c>
      <c r="HI3466" s="5" t="s">
        <v>238</v>
      </c>
      <c r="HJ3466" s="5" t="s">
        <v>238</v>
      </c>
      <c r="HK3466" s="5" t="s">
        <v>238</v>
      </c>
      <c r="HL3466" s="5" t="s">
        <v>238</v>
      </c>
      <c r="HM3466" s="5" t="s">
        <v>264</v>
      </c>
      <c r="HN3466" s="5" t="s">
        <v>238</v>
      </c>
      <c r="HO3466" s="5" t="s">
        <v>238</v>
      </c>
      <c r="HP3466" s="5" t="s">
        <v>238</v>
      </c>
      <c r="HQ3466" s="5" t="s">
        <v>238</v>
      </c>
      <c r="HR3466" s="5" t="s">
        <v>238</v>
      </c>
      <c r="HS3466" s="5" t="s">
        <v>238</v>
      </c>
      <c r="HT3466" s="5" t="s">
        <v>238</v>
      </c>
      <c r="HU3466" s="5" t="s">
        <v>238</v>
      </c>
      <c r="HV3466" s="5" t="s">
        <v>238</v>
      </c>
      <c r="HW3466" s="5" t="s">
        <v>238</v>
      </c>
      <c r="HX3466" s="5" t="s">
        <v>238</v>
      </c>
      <c r="HY3466" s="5" t="s">
        <v>238</v>
      </c>
      <c r="HZ3466" s="5" t="s">
        <v>238</v>
      </c>
      <c r="IA3466" s="5" t="s">
        <v>238</v>
      </c>
      <c r="IB3466" s="5" t="s">
        <v>238</v>
      </c>
      <c r="IC3466" s="5" t="s">
        <v>238</v>
      </c>
      <c r="ID3466" s="5" t="s">
        <v>238</v>
      </c>
    </row>
    <row r="3467" spans="1:238" x14ac:dyDescent="0.4">
      <c r="A3467" s="5">
        <v>9185</v>
      </c>
      <c r="B3467" s="5">
        <v>1</v>
      </c>
      <c r="C3467" s="5">
        <v>1</v>
      </c>
      <c r="D3467" s="5" t="s">
        <v>484</v>
      </c>
      <c r="E3467" s="5" t="s">
        <v>485</v>
      </c>
      <c r="F3467" s="5" t="s">
        <v>248</v>
      </c>
      <c r="G3467" s="5" t="s">
        <v>5671</v>
      </c>
      <c r="H3467" s="6" t="s">
        <v>5672</v>
      </c>
      <c r="I3467" s="8">
        <f>1</f>
        <v>1</v>
      </c>
      <c r="J3467" s="5" t="s">
        <v>499</v>
      </c>
      <c r="K3467" s="8">
        <f>1</f>
        <v>1</v>
      </c>
      <c r="L3467" s="6" t="s">
        <v>242</v>
      </c>
      <c r="M3467" s="5" t="s">
        <v>267</v>
      </c>
      <c r="N3467" s="5" t="s">
        <v>482</v>
      </c>
      <c r="O3467" s="5" t="s">
        <v>238</v>
      </c>
      <c r="P3467" s="5" t="s">
        <v>238</v>
      </c>
      <c r="Q3467" s="5" t="s">
        <v>239</v>
      </c>
      <c r="R3467" s="5" t="s">
        <v>270</v>
      </c>
      <c r="S3467" s="5" t="s">
        <v>238</v>
      </c>
      <c r="T3467" s="5" t="s">
        <v>238</v>
      </c>
      <c r="U3467" s="5" t="s">
        <v>238</v>
      </c>
      <c r="V3467" s="5" t="s">
        <v>238</v>
      </c>
      <c r="W3467" s="6" t="s">
        <v>238</v>
      </c>
      <c r="X3467" s="6" t="s">
        <v>238</v>
      </c>
      <c r="Y3467" s="5" t="s">
        <v>238</v>
      </c>
      <c r="Z3467" s="6" t="s">
        <v>238</v>
      </c>
      <c r="AA3467" s="6" t="s">
        <v>243</v>
      </c>
      <c r="AB3467" s="5" t="s">
        <v>486</v>
      </c>
      <c r="AC3467" s="5" t="s">
        <v>244</v>
      </c>
      <c r="AD3467" s="5" t="s">
        <v>245</v>
      </c>
      <c r="AE3467" s="5" t="s">
        <v>238</v>
      </c>
      <c r="AF3467" s="5" t="s">
        <v>238</v>
      </c>
      <c r="AG3467" s="5" t="s">
        <v>238</v>
      </c>
      <c r="AH3467" s="5" t="s">
        <v>238</v>
      </c>
      <c r="AI3467" s="5" t="s">
        <v>238</v>
      </c>
      <c r="AJ3467" s="5" t="s">
        <v>238</v>
      </c>
      <c r="AK3467" s="5" t="s">
        <v>238</v>
      </c>
      <c r="AL3467" s="5" t="s">
        <v>238</v>
      </c>
      <c r="AM3467" s="6" t="s">
        <v>238</v>
      </c>
      <c r="AN3467" s="6" t="s">
        <v>238</v>
      </c>
      <c r="AO3467" s="6" t="s">
        <v>238</v>
      </c>
      <c r="AP3467" s="6" t="s">
        <v>238</v>
      </c>
      <c r="AQ3467" s="5" t="s">
        <v>238</v>
      </c>
      <c r="AR3467" s="5" t="s">
        <v>488</v>
      </c>
      <c r="AS3467" s="5" t="s">
        <v>488</v>
      </c>
      <c r="AT3467" s="5" t="s">
        <v>246</v>
      </c>
      <c r="AU3467" s="5" t="s">
        <v>489</v>
      </c>
      <c r="AV3467" s="5" t="s">
        <v>247</v>
      </c>
      <c r="AW3467" s="5" t="s">
        <v>238</v>
      </c>
      <c r="AX3467" s="5" t="s">
        <v>249</v>
      </c>
      <c r="AY3467" s="5" t="s">
        <v>490</v>
      </c>
      <c r="BA3467" s="5" t="s">
        <v>238</v>
      </c>
      <c r="BC3467" s="5" t="s">
        <v>491</v>
      </c>
      <c r="BD3467" s="6" t="s">
        <v>492</v>
      </c>
      <c r="BE3467" s="5" t="s">
        <v>493</v>
      </c>
      <c r="BF3467" s="5" t="s">
        <v>493</v>
      </c>
      <c r="BG3467" s="5" t="s">
        <v>238</v>
      </c>
      <c r="BH3467" s="8">
        <f>1</f>
        <v>1</v>
      </c>
      <c r="BI3467" s="8">
        <f>1</f>
        <v>1</v>
      </c>
      <c r="BJ3467" s="5" t="s">
        <v>253</v>
      </c>
      <c r="BK3467" s="5" t="s">
        <v>254</v>
      </c>
      <c r="BL3467" s="5" t="s">
        <v>238</v>
      </c>
      <c r="BM3467" s="5" t="s">
        <v>238</v>
      </c>
      <c r="BN3467" s="5" t="s">
        <v>238</v>
      </c>
      <c r="BO3467" s="5" t="s">
        <v>238</v>
      </c>
      <c r="BP3467" s="5" t="s">
        <v>238</v>
      </c>
      <c r="BQ3467" s="5" t="s">
        <v>238</v>
      </c>
      <c r="BR3467" s="5" t="s">
        <v>238</v>
      </c>
      <c r="BS3467" s="5" t="s">
        <v>238</v>
      </c>
      <c r="BT3467" s="6" t="s">
        <v>238</v>
      </c>
      <c r="BU3467" s="5" t="s">
        <v>238</v>
      </c>
      <c r="BV3467" s="5" t="s">
        <v>238</v>
      </c>
      <c r="BW3467" s="5" t="s">
        <v>238</v>
      </c>
      <c r="BX3467" s="5" t="s">
        <v>254</v>
      </c>
      <c r="BY3467" s="5" t="s">
        <v>238</v>
      </c>
      <c r="BZ3467" s="5" t="s">
        <v>238</v>
      </c>
      <c r="CA3467" s="5" t="s">
        <v>238</v>
      </c>
      <c r="CB3467" s="5" t="s">
        <v>238</v>
      </c>
      <c r="CC3467" s="5" t="s">
        <v>238</v>
      </c>
      <c r="CD3467" s="5" t="s">
        <v>273</v>
      </c>
      <c r="CE3467" s="5" t="s">
        <v>256</v>
      </c>
      <c r="CF3467" s="5" t="s">
        <v>238</v>
      </c>
      <c r="CH3467" s="5" t="s">
        <v>494</v>
      </c>
      <c r="CI3467" s="6" t="s">
        <v>257</v>
      </c>
      <c r="CJ3467" s="5" t="s">
        <v>495</v>
      </c>
      <c r="CK3467" s="5" t="s">
        <v>258</v>
      </c>
      <c r="CL3467" s="5" t="s">
        <v>496</v>
      </c>
      <c r="CM3467" s="5" t="s">
        <v>238</v>
      </c>
      <c r="CN3467" s="5">
        <v>0</v>
      </c>
      <c r="CO3467" s="5" t="s">
        <v>497</v>
      </c>
      <c r="CP3467" s="5" t="s">
        <v>260</v>
      </c>
      <c r="CQ3467" s="5" t="s">
        <v>260</v>
      </c>
      <c r="CR3467" s="5" t="s">
        <v>261</v>
      </c>
      <c r="CS3467" s="5" t="s">
        <v>498</v>
      </c>
      <c r="CT3467" s="7">
        <f>1</f>
        <v>1</v>
      </c>
      <c r="CU3467" s="8">
        <f>1</f>
        <v>1</v>
      </c>
      <c r="CV3467" s="8">
        <f>0</f>
        <v>0</v>
      </c>
      <c r="CX3467" s="8">
        <f>1</f>
        <v>1</v>
      </c>
      <c r="CY3467" s="8">
        <f>1</f>
        <v>1</v>
      </c>
      <c r="CZ3467" s="8" t="s">
        <v>238</v>
      </c>
      <c r="DA3467" s="5" t="s">
        <v>238</v>
      </c>
      <c r="DB3467" s="5" t="s">
        <v>238</v>
      </c>
      <c r="DC3467" s="5" t="s">
        <v>238</v>
      </c>
      <c r="DD3467" s="5" t="s">
        <v>238</v>
      </c>
      <c r="DE3467" s="8">
        <f>0</f>
        <v>0</v>
      </c>
      <c r="DG3467" s="5" t="s">
        <v>238</v>
      </c>
      <c r="DH3467" s="5" t="s">
        <v>238</v>
      </c>
      <c r="DI3467" s="5" t="s">
        <v>238</v>
      </c>
      <c r="DJ3467" s="5" t="s">
        <v>238</v>
      </c>
      <c r="DK3467" s="5" t="s">
        <v>238</v>
      </c>
      <c r="DL3467" s="5" t="s">
        <v>238</v>
      </c>
      <c r="DM3467" s="8" t="s">
        <v>238</v>
      </c>
      <c r="DN3467" s="5" t="s">
        <v>238</v>
      </c>
      <c r="DO3467" s="5" t="s">
        <v>238</v>
      </c>
      <c r="DP3467" s="5" t="s">
        <v>490</v>
      </c>
      <c r="DQ3467" s="5" t="s">
        <v>490</v>
      </c>
      <c r="DR3467" s="5" t="s">
        <v>238</v>
      </c>
      <c r="DS3467" s="5" t="s">
        <v>238</v>
      </c>
      <c r="DT3467" s="5" t="s">
        <v>500</v>
      </c>
      <c r="DU3467" s="5" t="s">
        <v>872</v>
      </c>
      <c r="DV3467" s="5" t="s">
        <v>238</v>
      </c>
      <c r="DW3467" s="5" t="s">
        <v>238</v>
      </c>
      <c r="DX3467" s="5" t="s">
        <v>238</v>
      </c>
      <c r="DY3467" s="5" t="s">
        <v>238</v>
      </c>
      <c r="DZ3467" s="5" t="s">
        <v>238</v>
      </c>
      <c r="EA3467" s="5" t="s">
        <v>238</v>
      </c>
      <c r="EB3467" s="5" t="s">
        <v>238</v>
      </c>
      <c r="EC3467" s="5" t="s">
        <v>238</v>
      </c>
      <c r="ED3467" s="5" t="s">
        <v>238</v>
      </c>
      <c r="EE3467" s="5" t="s">
        <v>238</v>
      </c>
      <c r="EF3467" s="5" t="s">
        <v>238</v>
      </c>
      <c r="EG3467" s="5" t="s">
        <v>238</v>
      </c>
      <c r="EH3467" s="5" t="s">
        <v>238</v>
      </c>
      <c r="EI3467" s="5" t="s">
        <v>238</v>
      </c>
      <c r="EJ3467" s="5" t="s">
        <v>238</v>
      </c>
      <c r="EK3467" s="5" t="s">
        <v>238</v>
      </c>
      <c r="EL3467" s="5" t="s">
        <v>238</v>
      </c>
      <c r="EM3467" s="5" t="s">
        <v>238</v>
      </c>
      <c r="EN3467" s="5" t="s">
        <v>238</v>
      </c>
      <c r="EO3467" s="5" t="s">
        <v>238</v>
      </c>
      <c r="EP3467" s="5" t="s">
        <v>238</v>
      </c>
      <c r="EQ3467" s="5" t="s">
        <v>238</v>
      </c>
      <c r="ER3467" s="5" t="s">
        <v>238</v>
      </c>
      <c r="ES3467" s="5" t="s">
        <v>238</v>
      </c>
      <c r="ET3467" s="5" t="s">
        <v>238</v>
      </c>
      <c r="EU3467" s="5" t="s">
        <v>238</v>
      </c>
      <c r="EV3467" s="5" t="s">
        <v>238</v>
      </c>
      <c r="EW3467" s="5" t="s">
        <v>238</v>
      </c>
      <c r="EX3467" s="5" t="s">
        <v>238</v>
      </c>
      <c r="EY3467" s="5" t="s">
        <v>238</v>
      </c>
      <c r="EZ3467" s="5" t="s">
        <v>238</v>
      </c>
      <c r="FA3467" s="5" t="s">
        <v>238</v>
      </c>
      <c r="FB3467" s="5" t="s">
        <v>238</v>
      </c>
      <c r="FC3467" s="5" t="s">
        <v>238</v>
      </c>
      <c r="FD3467" s="5" t="s">
        <v>238</v>
      </c>
      <c r="FE3467" s="5" t="s">
        <v>238</v>
      </c>
      <c r="FF3467" s="5" t="s">
        <v>238</v>
      </c>
      <c r="FG3467" s="5" t="s">
        <v>238</v>
      </c>
      <c r="FH3467" s="5" t="s">
        <v>238</v>
      </c>
      <c r="FI3467" s="5" t="s">
        <v>238</v>
      </c>
      <c r="FJ3467" s="5" t="s">
        <v>238</v>
      </c>
      <c r="FK3467" s="5" t="s">
        <v>238</v>
      </c>
      <c r="FL3467" s="5" t="s">
        <v>238</v>
      </c>
      <c r="FM3467" s="5" t="s">
        <v>238</v>
      </c>
      <c r="FN3467" s="5" t="s">
        <v>238</v>
      </c>
      <c r="FO3467" s="5" t="s">
        <v>238</v>
      </c>
      <c r="FP3467" s="5" t="s">
        <v>238</v>
      </c>
      <c r="FQ3467" s="5" t="s">
        <v>238</v>
      </c>
      <c r="FR3467" s="5" t="s">
        <v>238</v>
      </c>
      <c r="FS3467" s="5" t="s">
        <v>238</v>
      </c>
      <c r="FT3467" s="5" t="s">
        <v>238</v>
      </c>
      <c r="FU3467" s="5" t="s">
        <v>238</v>
      </c>
      <c r="FV3467" s="5" t="s">
        <v>238</v>
      </c>
      <c r="FW3467" s="5" t="s">
        <v>238</v>
      </c>
      <c r="FX3467" s="5" t="s">
        <v>238</v>
      </c>
      <c r="FY3467" s="5" t="s">
        <v>238</v>
      </c>
      <c r="FZ3467" s="5" t="s">
        <v>238</v>
      </c>
      <c r="GA3467" s="5" t="s">
        <v>238</v>
      </c>
      <c r="GB3467" s="5" t="s">
        <v>238</v>
      </c>
      <c r="GC3467" s="5" t="s">
        <v>238</v>
      </c>
      <c r="GD3467" s="5" t="s">
        <v>238</v>
      </c>
      <c r="GE3467" s="5" t="s">
        <v>238</v>
      </c>
      <c r="GF3467" s="5" t="s">
        <v>238</v>
      </c>
      <c r="GG3467" s="5" t="s">
        <v>238</v>
      </c>
      <c r="GH3467" s="5" t="s">
        <v>238</v>
      </c>
      <c r="GI3467" s="5" t="s">
        <v>238</v>
      </c>
      <c r="GJ3467" s="5" t="s">
        <v>238</v>
      </c>
      <c r="GK3467" s="5" t="s">
        <v>238</v>
      </c>
      <c r="GL3467" s="5" t="s">
        <v>238</v>
      </c>
      <c r="GM3467" s="5" t="s">
        <v>238</v>
      </c>
      <c r="GN3467" s="5" t="s">
        <v>238</v>
      </c>
      <c r="GO3467" s="5" t="s">
        <v>238</v>
      </c>
      <c r="GP3467" s="5" t="s">
        <v>238</v>
      </c>
      <c r="GQ3467" s="5" t="s">
        <v>238</v>
      </c>
      <c r="GR3467" s="5" t="s">
        <v>238</v>
      </c>
      <c r="GS3467" s="5" t="s">
        <v>238</v>
      </c>
      <c r="GT3467" s="5" t="s">
        <v>238</v>
      </c>
      <c r="GU3467" s="5" t="s">
        <v>238</v>
      </c>
      <c r="GV3467" s="5" t="s">
        <v>238</v>
      </c>
      <c r="GW3467" s="5" t="s">
        <v>238</v>
      </c>
      <c r="GX3467" s="5" t="s">
        <v>238</v>
      </c>
      <c r="GY3467" s="5" t="s">
        <v>238</v>
      </c>
      <c r="GZ3467" s="5" t="s">
        <v>238</v>
      </c>
      <c r="HA3467" s="5" t="s">
        <v>238</v>
      </c>
      <c r="HB3467" s="5" t="s">
        <v>238</v>
      </c>
      <c r="HC3467" s="5" t="s">
        <v>238</v>
      </c>
      <c r="HD3467" s="5" t="s">
        <v>238</v>
      </c>
      <c r="HE3467" s="5" t="s">
        <v>238</v>
      </c>
      <c r="HF3467" s="5" t="s">
        <v>238</v>
      </c>
      <c r="HG3467" s="5" t="s">
        <v>238</v>
      </c>
      <c r="HH3467" s="5" t="s">
        <v>238</v>
      </c>
      <c r="HI3467" s="5" t="s">
        <v>238</v>
      </c>
      <c r="HJ3467" s="5" t="s">
        <v>238</v>
      </c>
      <c r="HK3467" s="5" t="s">
        <v>238</v>
      </c>
      <c r="HL3467" s="5" t="s">
        <v>238</v>
      </c>
      <c r="HM3467" s="5" t="s">
        <v>264</v>
      </c>
      <c r="HN3467" s="5" t="s">
        <v>238</v>
      </c>
      <c r="HO3467" s="5" t="s">
        <v>238</v>
      </c>
      <c r="HP3467" s="5" t="s">
        <v>238</v>
      </c>
      <c r="HQ3467" s="5" t="s">
        <v>238</v>
      </c>
      <c r="HR3467" s="5" t="s">
        <v>238</v>
      </c>
      <c r="HS3467" s="5" t="s">
        <v>238</v>
      </c>
      <c r="HT3467" s="5" t="s">
        <v>238</v>
      </c>
      <c r="HU3467" s="5" t="s">
        <v>238</v>
      </c>
      <c r="HV3467" s="5" t="s">
        <v>238</v>
      </c>
      <c r="HW3467" s="5" t="s">
        <v>238</v>
      </c>
      <c r="HX3467" s="5" t="s">
        <v>238</v>
      </c>
      <c r="HY3467" s="5" t="s">
        <v>238</v>
      </c>
      <c r="HZ3467" s="5" t="s">
        <v>238</v>
      </c>
      <c r="IA3467" s="5" t="s">
        <v>238</v>
      </c>
      <c r="IB3467" s="5" t="s">
        <v>238</v>
      </c>
      <c r="IC3467" s="5" t="s">
        <v>238</v>
      </c>
      <c r="ID3467" s="5" t="s">
        <v>238</v>
      </c>
    </row>
    <row r="3468" spans="1:238" x14ac:dyDescent="0.4">
      <c r="A3468" s="5">
        <v>9186</v>
      </c>
      <c r="B3468" s="5">
        <v>1</v>
      </c>
      <c r="C3468" s="5">
        <v>1</v>
      </c>
      <c r="D3468" s="5" t="s">
        <v>484</v>
      </c>
      <c r="E3468" s="5" t="s">
        <v>485</v>
      </c>
      <c r="F3468" s="5" t="s">
        <v>248</v>
      </c>
      <c r="G3468" s="5" t="s">
        <v>4599</v>
      </c>
      <c r="H3468" s="6" t="s">
        <v>4601</v>
      </c>
      <c r="I3468" s="8">
        <f>1</f>
        <v>1</v>
      </c>
      <c r="J3468" s="5" t="s">
        <v>499</v>
      </c>
      <c r="K3468" s="8">
        <f>1</f>
        <v>1</v>
      </c>
      <c r="L3468" s="6" t="s">
        <v>242</v>
      </c>
      <c r="M3468" s="5" t="s">
        <v>267</v>
      </c>
      <c r="N3468" s="5" t="s">
        <v>482</v>
      </c>
      <c r="O3468" s="5" t="s">
        <v>238</v>
      </c>
      <c r="P3468" s="5" t="s">
        <v>238</v>
      </c>
      <c r="Q3468" s="5" t="s">
        <v>239</v>
      </c>
      <c r="R3468" s="5" t="s">
        <v>270</v>
      </c>
      <c r="S3468" s="5" t="s">
        <v>238</v>
      </c>
      <c r="T3468" s="5" t="s">
        <v>238</v>
      </c>
      <c r="U3468" s="5" t="s">
        <v>238</v>
      </c>
      <c r="V3468" s="5" t="s">
        <v>238</v>
      </c>
      <c r="W3468" s="6" t="s">
        <v>238</v>
      </c>
      <c r="X3468" s="6" t="s">
        <v>238</v>
      </c>
      <c r="Y3468" s="5" t="s">
        <v>238</v>
      </c>
      <c r="Z3468" s="6" t="s">
        <v>238</v>
      </c>
      <c r="AA3468" s="6" t="s">
        <v>243</v>
      </c>
      <c r="AB3468" s="5" t="s">
        <v>4600</v>
      </c>
      <c r="AC3468" s="5" t="s">
        <v>244</v>
      </c>
      <c r="AD3468" s="5" t="s">
        <v>245</v>
      </c>
      <c r="AE3468" s="5" t="s">
        <v>238</v>
      </c>
      <c r="AF3468" s="5" t="s">
        <v>238</v>
      </c>
      <c r="AG3468" s="5" t="s">
        <v>238</v>
      </c>
      <c r="AH3468" s="5" t="s">
        <v>238</v>
      </c>
      <c r="AI3468" s="5" t="s">
        <v>238</v>
      </c>
      <c r="AJ3468" s="5" t="s">
        <v>238</v>
      </c>
      <c r="AK3468" s="5" t="s">
        <v>238</v>
      </c>
      <c r="AL3468" s="5" t="s">
        <v>238</v>
      </c>
      <c r="AM3468" s="6" t="s">
        <v>238</v>
      </c>
      <c r="AN3468" s="6" t="s">
        <v>238</v>
      </c>
      <c r="AO3468" s="6" t="s">
        <v>238</v>
      </c>
      <c r="AP3468" s="6" t="s">
        <v>238</v>
      </c>
      <c r="AQ3468" s="5" t="s">
        <v>238</v>
      </c>
      <c r="AR3468" s="5" t="s">
        <v>488</v>
      </c>
      <c r="AS3468" s="5" t="s">
        <v>488</v>
      </c>
      <c r="AT3468" s="5" t="s">
        <v>246</v>
      </c>
      <c r="AU3468" s="5" t="s">
        <v>489</v>
      </c>
      <c r="AV3468" s="5" t="s">
        <v>247</v>
      </c>
      <c r="AW3468" s="5" t="s">
        <v>238</v>
      </c>
      <c r="AX3468" s="5" t="s">
        <v>249</v>
      </c>
      <c r="AY3468" s="5" t="s">
        <v>490</v>
      </c>
      <c r="BA3468" s="5" t="s">
        <v>238</v>
      </c>
      <c r="BC3468" s="5" t="s">
        <v>491</v>
      </c>
      <c r="BD3468" s="6" t="s">
        <v>492</v>
      </c>
      <c r="BE3468" s="5" t="s">
        <v>493</v>
      </c>
      <c r="BF3468" s="5" t="s">
        <v>493</v>
      </c>
      <c r="BG3468" s="5" t="s">
        <v>238</v>
      </c>
      <c r="BH3468" s="8">
        <f>1</f>
        <v>1</v>
      </c>
      <c r="BI3468" s="8">
        <f>1</f>
        <v>1</v>
      </c>
      <c r="BJ3468" s="5" t="s">
        <v>253</v>
      </c>
      <c r="BK3468" s="5" t="s">
        <v>254</v>
      </c>
      <c r="BL3468" s="5" t="s">
        <v>238</v>
      </c>
      <c r="BM3468" s="5" t="s">
        <v>238</v>
      </c>
      <c r="BN3468" s="5" t="s">
        <v>238</v>
      </c>
      <c r="BO3468" s="5" t="s">
        <v>238</v>
      </c>
      <c r="BP3468" s="5" t="s">
        <v>238</v>
      </c>
      <c r="BQ3468" s="5" t="s">
        <v>238</v>
      </c>
      <c r="BR3468" s="5" t="s">
        <v>238</v>
      </c>
      <c r="BS3468" s="5" t="s">
        <v>238</v>
      </c>
      <c r="BT3468" s="6" t="s">
        <v>238</v>
      </c>
      <c r="BU3468" s="5" t="s">
        <v>238</v>
      </c>
      <c r="BV3468" s="5" t="s">
        <v>238</v>
      </c>
      <c r="BW3468" s="5" t="s">
        <v>238</v>
      </c>
      <c r="BX3468" s="5" t="s">
        <v>254</v>
      </c>
      <c r="BY3468" s="5" t="s">
        <v>238</v>
      </c>
      <c r="BZ3468" s="5" t="s">
        <v>238</v>
      </c>
      <c r="CA3468" s="5" t="s">
        <v>238</v>
      </c>
      <c r="CB3468" s="5" t="s">
        <v>238</v>
      </c>
      <c r="CC3468" s="5" t="s">
        <v>238</v>
      </c>
      <c r="CD3468" s="5" t="s">
        <v>273</v>
      </c>
      <c r="CE3468" s="5" t="s">
        <v>256</v>
      </c>
      <c r="CF3468" s="5" t="s">
        <v>238</v>
      </c>
      <c r="CH3468" s="5" t="s">
        <v>494</v>
      </c>
      <c r="CI3468" s="6" t="s">
        <v>257</v>
      </c>
      <c r="CJ3468" s="5" t="s">
        <v>495</v>
      </c>
      <c r="CK3468" s="5" t="s">
        <v>258</v>
      </c>
      <c r="CL3468" s="5" t="s">
        <v>496</v>
      </c>
      <c r="CM3468" s="5" t="s">
        <v>238</v>
      </c>
      <c r="CN3468" s="5">
        <v>0</v>
      </c>
      <c r="CO3468" s="5" t="s">
        <v>497</v>
      </c>
      <c r="CP3468" s="5" t="s">
        <v>260</v>
      </c>
      <c r="CQ3468" s="5" t="s">
        <v>260</v>
      </c>
      <c r="CR3468" s="5" t="s">
        <v>261</v>
      </c>
      <c r="CS3468" s="5" t="s">
        <v>498</v>
      </c>
      <c r="CT3468" s="7">
        <f>1</f>
        <v>1</v>
      </c>
      <c r="CU3468" s="8">
        <f>1</f>
        <v>1</v>
      </c>
      <c r="CV3468" s="8">
        <f>0</f>
        <v>0</v>
      </c>
      <c r="CX3468" s="8">
        <f>1</f>
        <v>1</v>
      </c>
      <c r="CY3468" s="8">
        <f>1</f>
        <v>1</v>
      </c>
      <c r="CZ3468" s="8" t="s">
        <v>238</v>
      </c>
      <c r="DA3468" s="5" t="s">
        <v>238</v>
      </c>
      <c r="DB3468" s="5" t="s">
        <v>238</v>
      </c>
      <c r="DC3468" s="5" t="s">
        <v>238</v>
      </c>
      <c r="DD3468" s="5" t="s">
        <v>238</v>
      </c>
      <c r="DE3468" s="8">
        <f>0</f>
        <v>0</v>
      </c>
      <c r="DG3468" s="5" t="s">
        <v>238</v>
      </c>
      <c r="DH3468" s="5" t="s">
        <v>238</v>
      </c>
      <c r="DI3468" s="5" t="s">
        <v>238</v>
      </c>
      <c r="DJ3468" s="5" t="s">
        <v>238</v>
      </c>
      <c r="DK3468" s="5" t="s">
        <v>238</v>
      </c>
      <c r="DL3468" s="5" t="s">
        <v>238</v>
      </c>
      <c r="DM3468" s="8" t="s">
        <v>238</v>
      </c>
      <c r="DN3468" s="5" t="s">
        <v>238</v>
      </c>
      <c r="DO3468" s="5" t="s">
        <v>238</v>
      </c>
      <c r="DP3468" s="5" t="s">
        <v>490</v>
      </c>
      <c r="DQ3468" s="5" t="s">
        <v>490</v>
      </c>
      <c r="DR3468" s="5" t="s">
        <v>238</v>
      </c>
      <c r="DS3468" s="5" t="s">
        <v>238</v>
      </c>
      <c r="DT3468" s="5" t="s">
        <v>500</v>
      </c>
      <c r="DU3468" s="5" t="s">
        <v>854</v>
      </c>
      <c r="DV3468" s="5" t="s">
        <v>238</v>
      </c>
      <c r="DW3468" s="5" t="s">
        <v>238</v>
      </c>
      <c r="DX3468" s="5" t="s">
        <v>238</v>
      </c>
      <c r="DY3468" s="5" t="s">
        <v>238</v>
      </c>
      <c r="DZ3468" s="5" t="s">
        <v>238</v>
      </c>
      <c r="EA3468" s="5" t="s">
        <v>238</v>
      </c>
      <c r="EB3468" s="5" t="s">
        <v>238</v>
      </c>
      <c r="EC3468" s="5" t="s">
        <v>238</v>
      </c>
      <c r="ED3468" s="5" t="s">
        <v>238</v>
      </c>
      <c r="EE3468" s="5" t="s">
        <v>238</v>
      </c>
      <c r="EF3468" s="5" t="s">
        <v>238</v>
      </c>
      <c r="EG3468" s="5" t="s">
        <v>238</v>
      </c>
      <c r="EH3468" s="5" t="s">
        <v>238</v>
      </c>
      <c r="EI3468" s="5" t="s">
        <v>238</v>
      </c>
      <c r="EJ3468" s="5" t="s">
        <v>238</v>
      </c>
      <c r="EK3468" s="5" t="s">
        <v>238</v>
      </c>
      <c r="EL3468" s="5" t="s">
        <v>238</v>
      </c>
      <c r="EM3468" s="5" t="s">
        <v>238</v>
      </c>
      <c r="EN3468" s="5" t="s">
        <v>238</v>
      </c>
      <c r="EO3468" s="5" t="s">
        <v>238</v>
      </c>
      <c r="EP3468" s="5" t="s">
        <v>238</v>
      </c>
      <c r="EQ3468" s="5" t="s">
        <v>238</v>
      </c>
      <c r="ER3468" s="5" t="s">
        <v>238</v>
      </c>
      <c r="ES3468" s="5" t="s">
        <v>238</v>
      </c>
      <c r="ET3468" s="5" t="s">
        <v>238</v>
      </c>
      <c r="EU3468" s="5" t="s">
        <v>238</v>
      </c>
      <c r="EV3468" s="5" t="s">
        <v>238</v>
      </c>
      <c r="EW3468" s="5" t="s">
        <v>238</v>
      </c>
      <c r="EX3468" s="5" t="s">
        <v>238</v>
      </c>
      <c r="EY3468" s="5" t="s">
        <v>238</v>
      </c>
      <c r="EZ3468" s="5" t="s">
        <v>238</v>
      </c>
      <c r="FA3468" s="5" t="s">
        <v>238</v>
      </c>
      <c r="FB3468" s="5" t="s">
        <v>238</v>
      </c>
      <c r="FC3468" s="5" t="s">
        <v>238</v>
      </c>
      <c r="FD3468" s="5" t="s">
        <v>238</v>
      </c>
      <c r="FE3468" s="5" t="s">
        <v>238</v>
      </c>
      <c r="FF3468" s="5" t="s">
        <v>238</v>
      </c>
      <c r="FG3468" s="5" t="s">
        <v>238</v>
      </c>
      <c r="FH3468" s="5" t="s">
        <v>238</v>
      </c>
      <c r="FI3468" s="5" t="s">
        <v>238</v>
      </c>
      <c r="FJ3468" s="5" t="s">
        <v>238</v>
      </c>
      <c r="FK3468" s="5" t="s">
        <v>238</v>
      </c>
      <c r="FL3468" s="5" t="s">
        <v>238</v>
      </c>
      <c r="FM3468" s="5" t="s">
        <v>238</v>
      </c>
      <c r="FN3468" s="5" t="s">
        <v>238</v>
      </c>
      <c r="FO3468" s="5" t="s">
        <v>238</v>
      </c>
      <c r="FP3468" s="5" t="s">
        <v>238</v>
      </c>
      <c r="FQ3468" s="5" t="s">
        <v>238</v>
      </c>
      <c r="FR3468" s="5" t="s">
        <v>238</v>
      </c>
      <c r="FS3468" s="5" t="s">
        <v>238</v>
      </c>
      <c r="FT3468" s="5" t="s">
        <v>238</v>
      </c>
      <c r="FU3468" s="5" t="s">
        <v>238</v>
      </c>
      <c r="FV3468" s="5" t="s">
        <v>238</v>
      </c>
      <c r="FW3468" s="5" t="s">
        <v>238</v>
      </c>
      <c r="FX3468" s="5" t="s">
        <v>238</v>
      </c>
      <c r="FY3468" s="5" t="s">
        <v>238</v>
      </c>
      <c r="FZ3468" s="5" t="s">
        <v>238</v>
      </c>
      <c r="GA3468" s="5" t="s">
        <v>238</v>
      </c>
      <c r="GB3468" s="5" t="s">
        <v>238</v>
      </c>
      <c r="GC3468" s="5" t="s">
        <v>238</v>
      </c>
      <c r="GD3468" s="5" t="s">
        <v>238</v>
      </c>
      <c r="GE3468" s="5" t="s">
        <v>238</v>
      </c>
      <c r="GF3468" s="5" t="s">
        <v>238</v>
      </c>
      <c r="GG3468" s="5" t="s">
        <v>238</v>
      </c>
      <c r="GH3468" s="5" t="s">
        <v>238</v>
      </c>
      <c r="GI3468" s="5" t="s">
        <v>238</v>
      </c>
      <c r="GJ3468" s="5" t="s">
        <v>238</v>
      </c>
      <c r="GK3468" s="5" t="s">
        <v>238</v>
      </c>
      <c r="GL3468" s="5" t="s">
        <v>238</v>
      </c>
      <c r="GM3468" s="5" t="s">
        <v>238</v>
      </c>
      <c r="GN3468" s="5" t="s">
        <v>238</v>
      </c>
      <c r="GO3468" s="5" t="s">
        <v>238</v>
      </c>
      <c r="GP3468" s="5" t="s">
        <v>238</v>
      </c>
      <c r="GQ3468" s="5" t="s">
        <v>238</v>
      </c>
      <c r="GR3468" s="5" t="s">
        <v>238</v>
      </c>
      <c r="GS3468" s="5" t="s">
        <v>238</v>
      </c>
      <c r="GT3468" s="5" t="s">
        <v>238</v>
      </c>
      <c r="GU3468" s="5" t="s">
        <v>238</v>
      </c>
      <c r="GV3468" s="5" t="s">
        <v>238</v>
      </c>
      <c r="GW3468" s="5" t="s">
        <v>238</v>
      </c>
      <c r="GX3468" s="5" t="s">
        <v>238</v>
      </c>
      <c r="GY3468" s="5" t="s">
        <v>238</v>
      </c>
      <c r="GZ3468" s="5" t="s">
        <v>238</v>
      </c>
      <c r="HA3468" s="5" t="s">
        <v>238</v>
      </c>
      <c r="HB3468" s="5" t="s">
        <v>238</v>
      </c>
      <c r="HC3468" s="5" t="s">
        <v>238</v>
      </c>
      <c r="HD3468" s="5" t="s">
        <v>238</v>
      </c>
      <c r="HE3468" s="5" t="s">
        <v>238</v>
      </c>
      <c r="HF3468" s="5" t="s">
        <v>238</v>
      </c>
      <c r="HG3468" s="5" t="s">
        <v>238</v>
      </c>
      <c r="HH3468" s="5" t="s">
        <v>238</v>
      </c>
      <c r="HI3468" s="5" t="s">
        <v>238</v>
      </c>
      <c r="HJ3468" s="5" t="s">
        <v>238</v>
      </c>
      <c r="HK3468" s="5" t="s">
        <v>238</v>
      </c>
      <c r="HL3468" s="5" t="s">
        <v>238</v>
      </c>
      <c r="HM3468" s="5" t="s">
        <v>264</v>
      </c>
      <c r="HN3468" s="5" t="s">
        <v>238</v>
      </c>
      <c r="HO3468" s="5" t="s">
        <v>238</v>
      </c>
      <c r="HP3468" s="5" t="s">
        <v>238</v>
      </c>
      <c r="HQ3468" s="5" t="s">
        <v>238</v>
      </c>
      <c r="HR3468" s="5" t="s">
        <v>238</v>
      </c>
      <c r="HS3468" s="5" t="s">
        <v>238</v>
      </c>
      <c r="HT3468" s="5" t="s">
        <v>238</v>
      </c>
      <c r="HU3468" s="5" t="s">
        <v>238</v>
      </c>
      <c r="HV3468" s="5" t="s">
        <v>238</v>
      </c>
      <c r="HW3468" s="5" t="s">
        <v>238</v>
      </c>
      <c r="HX3468" s="5" t="s">
        <v>238</v>
      </c>
      <c r="HY3468" s="5" t="s">
        <v>238</v>
      </c>
      <c r="HZ3468" s="5" t="s">
        <v>238</v>
      </c>
      <c r="IA3468" s="5" t="s">
        <v>238</v>
      </c>
      <c r="IB3468" s="5" t="s">
        <v>238</v>
      </c>
      <c r="IC3468" s="5" t="s">
        <v>238</v>
      </c>
      <c r="ID3468" s="5" t="s">
        <v>238</v>
      </c>
    </row>
    <row r="3469" spans="1:238" x14ac:dyDescent="0.4">
      <c r="A3469" s="5">
        <v>9187</v>
      </c>
      <c r="B3469" s="5">
        <v>1</v>
      </c>
      <c r="C3469" s="5">
        <v>1</v>
      </c>
      <c r="D3469" s="5" t="s">
        <v>484</v>
      </c>
      <c r="E3469" s="5" t="s">
        <v>485</v>
      </c>
      <c r="F3469" s="5" t="s">
        <v>248</v>
      </c>
      <c r="G3469" s="5" t="s">
        <v>6469</v>
      </c>
      <c r="H3469" s="6" t="s">
        <v>6471</v>
      </c>
      <c r="I3469" s="8">
        <f>1</f>
        <v>1</v>
      </c>
      <c r="J3469" s="5" t="s">
        <v>499</v>
      </c>
      <c r="K3469" s="8">
        <f>1</f>
        <v>1</v>
      </c>
      <c r="L3469" s="6" t="s">
        <v>242</v>
      </c>
      <c r="M3469" s="5" t="s">
        <v>267</v>
      </c>
      <c r="N3469" s="5" t="s">
        <v>482</v>
      </c>
      <c r="O3469" s="5" t="s">
        <v>238</v>
      </c>
      <c r="P3469" s="5" t="s">
        <v>238</v>
      </c>
      <c r="Q3469" s="5" t="s">
        <v>239</v>
      </c>
      <c r="R3469" s="5" t="s">
        <v>270</v>
      </c>
      <c r="S3469" s="5" t="s">
        <v>238</v>
      </c>
      <c r="T3469" s="5" t="s">
        <v>238</v>
      </c>
      <c r="U3469" s="5" t="s">
        <v>238</v>
      </c>
      <c r="V3469" s="5" t="s">
        <v>238</v>
      </c>
      <c r="W3469" s="6" t="s">
        <v>238</v>
      </c>
      <c r="X3469" s="6" t="s">
        <v>238</v>
      </c>
      <c r="Y3469" s="5" t="s">
        <v>238</v>
      </c>
      <c r="Z3469" s="6" t="s">
        <v>238</v>
      </c>
      <c r="AA3469" s="6" t="s">
        <v>243</v>
      </c>
      <c r="AB3469" s="5" t="s">
        <v>6470</v>
      </c>
      <c r="AC3469" s="5" t="s">
        <v>244</v>
      </c>
      <c r="AD3469" s="5" t="s">
        <v>245</v>
      </c>
      <c r="AE3469" s="5" t="s">
        <v>238</v>
      </c>
      <c r="AF3469" s="5" t="s">
        <v>238</v>
      </c>
      <c r="AG3469" s="5" t="s">
        <v>238</v>
      </c>
      <c r="AH3469" s="5" t="s">
        <v>238</v>
      </c>
      <c r="AI3469" s="5" t="s">
        <v>238</v>
      </c>
      <c r="AJ3469" s="5" t="s">
        <v>238</v>
      </c>
      <c r="AK3469" s="5" t="s">
        <v>238</v>
      </c>
      <c r="AL3469" s="5" t="s">
        <v>238</v>
      </c>
      <c r="AM3469" s="6" t="s">
        <v>238</v>
      </c>
      <c r="AN3469" s="6" t="s">
        <v>238</v>
      </c>
      <c r="AO3469" s="6" t="s">
        <v>238</v>
      </c>
      <c r="AP3469" s="6" t="s">
        <v>238</v>
      </c>
      <c r="AQ3469" s="5" t="s">
        <v>238</v>
      </c>
      <c r="AR3469" s="5" t="s">
        <v>488</v>
      </c>
      <c r="AS3469" s="5" t="s">
        <v>488</v>
      </c>
      <c r="AT3469" s="5" t="s">
        <v>246</v>
      </c>
      <c r="AU3469" s="5" t="s">
        <v>489</v>
      </c>
      <c r="AV3469" s="5" t="s">
        <v>247</v>
      </c>
      <c r="AW3469" s="5" t="s">
        <v>238</v>
      </c>
      <c r="AX3469" s="5" t="s">
        <v>249</v>
      </c>
      <c r="AY3469" s="5" t="s">
        <v>490</v>
      </c>
      <c r="BA3469" s="5" t="s">
        <v>238</v>
      </c>
      <c r="BC3469" s="5" t="s">
        <v>491</v>
      </c>
      <c r="BD3469" s="6" t="s">
        <v>492</v>
      </c>
      <c r="BE3469" s="5" t="s">
        <v>493</v>
      </c>
      <c r="BF3469" s="5" t="s">
        <v>493</v>
      </c>
      <c r="BG3469" s="5" t="s">
        <v>238</v>
      </c>
      <c r="BH3469" s="8">
        <f>1</f>
        <v>1</v>
      </c>
      <c r="BI3469" s="8">
        <f>1</f>
        <v>1</v>
      </c>
      <c r="BJ3469" s="5" t="s">
        <v>253</v>
      </c>
      <c r="BK3469" s="5" t="s">
        <v>254</v>
      </c>
      <c r="BL3469" s="5" t="s">
        <v>238</v>
      </c>
      <c r="BM3469" s="5" t="s">
        <v>238</v>
      </c>
      <c r="BN3469" s="5" t="s">
        <v>238</v>
      </c>
      <c r="BO3469" s="5" t="s">
        <v>238</v>
      </c>
      <c r="BP3469" s="5" t="s">
        <v>238</v>
      </c>
      <c r="BQ3469" s="5" t="s">
        <v>238</v>
      </c>
      <c r="BR3469" s="5" t="s">
        <v>238</v>
      </c>
      <c r="BS3469" s="5" t="s">
        <v>238</v>
      </c>
      <c r="BT3469" s="6" t="s">
        <v>238</v>
      </c>
      <c r="BU3469" s="5" t="s">
        <v>238</v>
      </c>
      <c r="BV3469" s="5" t="s">
        <v>238</v>
      </c>
      <c r="BW3469" s="5" t="s">
        <v>238</v>
      </c>
      <c r="BX3469" s="5" t="s">
        <v>254</v>
      </c>
      <c r="BY3469" s="5" t="s">
        <v>238</v>
      </c>
      <c r="BZ3469" s="5" t="s">
        <v>238</v>
      </c>
      <c r="CA3469" s="5" t="s">
        <v>238</v>
      </c>
      <c r="CB3469" s="5" t="s">
        <v>238</v>
      </c>
      <c r="CC3469" s="5" t="s">
        <v>238</v>
      </c>
      <c r="CD3469" s="5" t="s">
        <v>273</v>
      </c>
      <c r="CE3469" s="5" t="s">
        <v>256</v>
      </c>
      <c r="CF3469" s="5" t="s">
        <v>238</v>
      </c>
      <c r="CH3469" s="5" t="s">
        <v>494</v>
      </c>
      <c r="CI3469" s="6" t="s">
        <v>257</v>
      </c>
      <c r="CJ3469" s="5" t="s">
        <v>495</v>
      </c>
      <c r="CK3469" s="5" t="s">
        <v>258</v>
      </c>
      <c r="CL3469" s="5" t="s">
        <v>496</v>
      </c>
      <c r="CM3469" s="5" t="s">
        <v>238</v>
      </c>
      <c r="CN3469" s="5">
        <v>0</v>
      </c>
      <c r="CO3469" s="5" t="s">
        <v>497</v>
      </c>
      <c r="CP3469" s="5" t="s">
        <v>260</v>
      </c>
      <c r="CQ3469" s="5" t="s">
        <v>260</v>
      </c>
      <c r="CR3469" s="5" t="s">
        <v>261</v>
      </c>
      <c r="CS3469" s="5" t="s">
        <v>498</v>
      </c>
      <c r="CT3469" s="7">
        <f>1</f>
        <v>1</v>
      </c>
      <c r="CU3469" s="8">
        <f>1</f>
        <v>1</v>
      </c>
      <c r="CV3469" s="8">
        <f>0</f>
        <v>0</v>
      </c>
      <c r="CX3469" s="8">
        <f>1</f>
        <v>1</v>
      </c>
      <c r="CY3469" s="8">
        <f>1</f>
        <v>1</v>
      </c>
      <c r="CZ3469" s="8" t="s">
        <v>238</v>
      </c>
      <c r="DA3469" s="5" t="s">
        <v>238</v>
      </c>
      <c r="DB3469" s="5" t="s">
        <v>238</v>
      </c>
      <c r="DC3469" s="5" t="s">
        <v>238</v>
      </c>
      <c r="DD3469" s="5" t="s">
        <v>238</v>
      </c>
      <c r="DE3469" s="8">
        <f>0</f>
        <v>0</v>
      </c>
      <c r="DG3469" s="5" t="s">
        <v>238</v>
      </c>
      <c r="DH3469" s="5" t="s">
        <v>238</v>
      </c>
      <c r="DI3469" s="5" t="s">
        <v>238</v>
      </c>
      <c r="DJ3469" s="5" t="s">
        <v>238</v>
      </c>
      <c r="DK3469" s="5" t="s">
        <v>238</v>
      </c>
      <c r="DL3469" s="5" t="s">
        <v>238</v>
      </c>
      <c r="DM3469" s="8" t="s">
        <v>238</v>
      </c>
      <c r="DN3469" s="5" t="s">
        <v>238</v>
      </c>
      <c r="DO3469" s="5" t="s">
        <v>238</v>
      </c>
      <c r="DP3469" s="5" t="s">
        <v>490</v>
      </c>
      <c r="DQ3469" s="5" t="s">
        <v>490</v>
      </c>
      <c r="DR3469" s="5" t="s">
        <v>238</v>
      </c>
      <c r="DS3469" s="5" t="s">
        <v>238</v>
      </c>
      <c r="DT3469" s="5" t="s">
        <v>500</v>
      </c>
      <c r="DU3469" s="5" t="s">
        <v>1372</v>
      </c>
      <c r="DV3469" s="5" t="s">
        <v>238</v>
      </c>
      <c r="DW3469" s="5" t="s">
        <v>238</v>
      </c>
      <c r="DX3469" s="5" t="s">
        <v>238</v>
      </c>
      <c r="DY3469" s="5" t="s">
        <v>238</v>
      </c>
      <c r="DZ3469" s="5" t="s">
        <v>238</v>
      </c>
      <c r="EA3469" s="5" t="s">
        <v>238</v>
      </c>
      <c r="EB3469" s="5" t="s">
        <v>238</v>
      </c>
      <c r="EC3469" s="5" t="s">
        <v>238</v>
      </c>
      <c r="ED3469" s="5" t="s">
        <v>238</v>
      </c>
      <c r="EE3469" s="5" t="s">
        <v>238</v>
      </c>
      <c r="EF3469" s="5" t="s">
        <v>238</v>
      </c>
      <c r="EG3469" s="5" t="s">
        <v>238</v>
      </c>
      <c r="EH3469" s="5" t="s">
        <v>238</v>
      </c>
      <c r="EI3469" s="5" t="s">
        <v>238</v>
      </c>
      <c r="EJ3469" s="5" t="s">
        <v>238</v>
      </c>
      <c r="EK3469" s="5" t="s">
        <v>238</v>
      </c>
      <c r="EL3469" s="5" t="s">
        <v>238</v>
      </c>
      <c r="EM3469" s="5" t="s">
        <v>238</v>
      </c>
      <c r="EN3469" s="5" t="s">
        <v>238</v>
      </c>
      <c r="EO3469" s="5" t="s">
        <v>238</v>
      </c>
      <c r="EP3469" s="5" t="s">
        <v>238</v>
      </c>
      <c r="EQ3469" s="5" t="s">
        <v>238</v>
      </c>
      <c r="ER3469" s="5" t="s">
        <v>238</v>
      </c>
      <c r="ES3469" s="5" t="s">
        <v>238</v>
      </c>
      <c r="ET3469" s="5" t="s">
        <v>238</v>
      </c>
      <c r="EU3469" s="5" t="s">
        <v>238</v>
      </c>
      <c r="EV3469" s="5" t="s">
        <v>238</v>
      </c>
      <c r="EW3469" s="5" t="s">
        <v>238</v>
      </c>
      <c r="EX3469" s="5" t="s">
        <v>238</v>
      </c>
      <c r="EY3469" s="5" t="s">
        <v>238</v>
      </c>
      <c r="EZ3469" s="5" t="s">
        <v>238</v>
      </c>
      <c r="FA3469" s="5" t="s">
        <v>238</v>
      </c>
      <c r="FB3469" s="5" t="s">
        <v>238</v>
      </c>
      <c r="FC3469" s="5" t="s">
        <v>238</v>
      </c>
      <c r="FD3469" s="5" t="s">
        <v>238</v>
      </c>
      <c r="FE3469" s="5" t="s">
        <v>238</v>
      </c>
      <c r="FF3469" s="5" t="s">
        <v>238</v>
      </c>
      <c r="FG3469" s="5" t="s">
        <v>238</v>
      </c>
      <c r="FH3469" s="5" t="s">
        <v>238</v>
      </c>
      <c r="FI3469" s="5" t="s">
        <v>238</v>
      </c>
      <c r="FJ3469" s="5" t="s">
        <v>238</v>
      </c>
      <c r="FK3469" s="5" t="s">
        <v>238</v>
      </c>
      <c r="FL3469" s="5" t="s">
        <v>238</v>
      </c>
      <c r="FM3469" s="5" t="s">
        <v>238</v>
      </c>
      <c r="FN3469" s="5" t="s">
        <v>238</v>
      </c>
      <c r="FO3469" s="5" t="s">
        <v>238</v>
      </c>
      <c r="FP3469" s="5" t="s">
        <v>238</v>
      </c>
      <c r="FQ3469" s="5" t="s">
        <v>238</v>
      </c>
      <c r="FR3469" s="5" t="s">
        <v>238</v>
      </c>
      <c r="FS3469" s="5" t="s">
        <v>238</v>
      </c>
      <c r="FT3469" s="5" t="s">
        <v>238</v>
      </c>
      <c r="FU3469" s="5" t="s">
        <v>238</v>
      </c>
      <c r="FV3469" s="5" t="s">
        <v>238</v>
      </c>
      <c r="FW3469" s="5" t="s">
        <v>238</v>
      </c>
      <c r="FX3469" s="5" t="s">
        <v>238</v>
      </c>
      <c r="FY3469" s="5" t="s">
        <v>238</v>
      </c>
      <c r="FZ3469" s="5" t="s">
        <v>238</v>
      </c>
      <c r="GA3469" s="5" t="s">
        <v>238</v>
      </c>
      <c r="GB3469" s="5" t="s">
        <v>238</v>
      </c>
      <c r="GC3469" s="5" t="s">
        <v>238</v>
      </c>
      <c r="GD3469" s="5" t="s">
        <v>238</v>
      </c>
      <c r="GE3469" s="5" t="s">
        <v>238</v>
      </c>
      <c r="GF3469" s="5" t="s">
        <v>238</v>
      </c>
      <c r="GG3469" s="5" t="s">
        <v>238</v>
      </c>
      <c r="GH3469" s="5" t="s">
        <v>238</v>
      </c>
      <c r="GI3469" s="5" t="s">
        <v>238</v>
      </c>
      <c r="GJ3469" s="5" t="s">
        <v>238</v>
      </c>
      <c r="GK3469" s="5" t="s">
        <v>238</v>
      </c>
      <c r="GL3469" s="5" t="s">
        <v>238</v>
      </c>
      <c r="GM3469" s="5" t="s">
        <v>238</v>
      </c>
      <c r="GN3469" s="5" t="s">
        <v>238</v>
      </c>
      <c r="GO3469" s="5" t="s">
        <v>238</v>
      </c>
      <c r="GP3469" s="5" t="s">
        <v>238</v>
      </c>
      <c r="GQ3469" s="5" t="s">
        <v>238</v>
      </c>
      <c r="GR3469" s="5" t="s">
        <v>238</v>
      </c>
      <c r="GS3469" s="5" t="s">
        <v>238</v>
      </c>
      <c r="GT3469" s="5" t="s">
        <v>238</v>
      </c>
      <c r="GU3469" s="5" t="s">
        <v>238</v>
      </c>
      <c r="GV3469" s="5" t="s">
        <v>238</v>
      </c>
      <c r="GW3469" s="5" t="s">
        <v>238</v>
      </c>
      <c r="GX3469" s="5" t="s">
        <v>238</v>
      </c>
      <c r="GY3469" s="5" t="s">
        <v>238</v>
      </c>
      <c r="GZ3469" s="5" t="s">
        <v>238</v>
      </c>
      <c r="HA3469" s="5" t="s">
        <v>238</v>
      </c>
      <c r="HB3469" s="5" t="s">
        <v>238</v>
      </c>
      <c r="HC3469" s="5" t="s">
        <v>238</v>
      </c>
      <c r="HD3469" s="5" t="s">
        <v>238</v>
      </c>
      <c r="HE3469" s="5" t="s">
        <v>238</v>
      </c>
      <c r="HF3469" s="5" t="s">
        <v>238</v>
      </c>
      <c r="HG3469" s="5" t="s">
        <v>238</v>
      </c>
      <c r="HH3469" s="5" t="s">
        <v>238</v>
      </c>
      <c r="HI3469" s="5" t="s">
        <v>238</v>
      </c>
      <c r="HJ3469" s="5" t="s">
        <v>238</v>
      </c>
      <c r="HK3469" s="5" t="s">
        <v>238</v>
      </c>
      <c r="HL3469" s="5" t="s">
        <v>238</v>
      </c>
      <c r="HM3469" s="5" t="s">
        <v>264</v>
      </c>
      <c r="HN3469" s="5" t="s">
        <v>238</v>
      </c>
      <c r="HO3469" s="5" t="s">
        <v>238</v>
      </c>
      <c r="HP3469" s="5" t="s">
        <v>238</v>
      </c>
      <c r="HQ3469" s="5" t="s">
        <v>238</v>
      </c>
      <c r="HR3469" s="5" t="s">
        <v>238</v>
      </c>
      <c r="HS3469" s="5" t="s">
        <v>238</v>
      </c>
      <c r="HT3469" s="5" t="s">
        <v>238</v>
      </c>
      <c r="HU3469" s="5" t="s">
        <v>238</v>
      </c>
      <c r="HV3469" s="5" t="s">
        <v>238</v>
      </c>
      <c r="HW3469" s="5" t="s">
        <v>238</v>
      </c>
      <c r="HX3469" s="5" t="s">
        <v>238</v>
      </c>
      <c r="HY3469" s="5" t="s">
        <v>238</v>
      </c>
      <c r="HZ3469" s="5" t="s">
        <v>238</v>
      </c>
      <c r="IA3469" s="5" t="s">
        <v>238</v>
      </c>
      <c r="IB3469" s="5" t="s">
        <v>238</v>
      </c>
      <c r="IC3469" s="5" t="s">
        <v>238</v>
      </c>
      <c r="ID3469" s="5" t="s">
        <v>238</v>
      </c>
    </row>
    <row r="3470" spans="1:238" x14ac:dyDescent="0.4">
      <c r="A3470" s="5">
        <v>9188</v>
      </c>
      <c r="B3470" s="5">
        <v>1</v>
      </c>
      <c r="C3470" s="5">
        <v>1</v>
      </c>
      <c r="D3470" s="5" t="s">
        <v>484</v>
      </c>
      <c r="E3470" s="5" t="s">
        <v>485</v>
      </c>
      <c r="F3470" s="5" t="s">
        <v>248</v>
      </c>
      <c r="G3470" s="5" t="s">
        <v>4517</v>
      </c>
      <c r="H3470" s="6" t="s">
        <v>4518</v>
      </c>
      <c r="I3470" s="8">
        <f>1</f>
        <v>1</v>
      </c>
      <c r="J3470" s="5" t="s">
        <v>499</v>
      </c>
      <c r="K3470" s="8">
        <f>1</f>
        <v>1</v>
      </c>
      <c r="L3470" s="6" t="s">
        <v>242</v>
      </c>
      <c r="M3470" s="5" t="s">
        <v>267</v>
      </c>
      <c r="N3470" s="5" t="s">
        <v>482</v>
      </c>
      <c r="O3470" s="5" t="s">
        <v>238</v>
      </c>
      <c r="P3470" s="5" t="s">
        <v>238</v>
      </c>
      <c r="Q3470" s="5" t="s">
        <v>239</v>
      </c>
      <c r="R3470" s="5" t="s">
        <v>270</v>
      </c>
      <c r="S3470" s="5" t="s">
        <v>238</v>
      </c>
      <c r="T3470" s="5" t="s">
        <v>238</v>
      </c>
      <c r="U3470" s="5" t="s">
        <v>238</v>
      </c>
      <c r="V3470" s="5" t="s">
        <v>238</v>
      </c>
      <c r="W3470" s="6" t="s">
        <v>238</v>
      </c>
      <c r="X3470" s="6" t="s">
        <v>238</v>
      </c>
      <c r="Y3470" s="5" t="s">
        <v>238</v>
      </c>
      <c r="Z3470" s="6" t="s">
        <v>238</v>
      </c>
      <c r="AA3470" s="6" t="s">
        <v>243</v>
      </c>
      <c r="AB3470" s="5" t="s">
        <v>486</v>
      </c>
      <c r="AC3470" s="5" t="s">
        <v>244</v>
      </c>
      <c r="AD3470" s="5" t="s">
        <v>245</v>
      </c>
      <c r="AE3470" s="5" t="s">
        <v>238</v>
      </c>
      <c r="AF3470" s="5" t="s">
        <v>238</v>
      </c>
      <c r="AG3470" s="5" t="s">
        <v>238</v>
      </c>
      <c r="AH3470" s="5" t="s">
        <v>238</v>
      </c>
      <c r="AI3470" s="5" t="s">
        <v>238</v>
      </c>
      <c r="AJ3470" s="5" t="s">
        <v>238</v>
      </c>
      <c r="AK3470" s="5" t="s">
        <v>238</v>
      </c>
      <c r="AL3470" s="5" t="s">
        <v>238</v>
      </c>
      <c r="AM3470" s="6" t="s">
        <v>238</v>
      </c>
      <c r="AN3470" s="6" t="s">
        <v>238</v>
      </c>
      <c r="AO3470" s="6" t="s">
        <v>238</v>
      </c>
      <c r="AP3470" s="6" t="s">
        <v>238</v>
      </c>
      <c r="AQ3470" s="5" t="s">
        <v>238</v>
      </c>
      <c r="AR3470" s="5" t="s">
        <v>488</v>
      </c>
      <c r="AS3470" s="5" t="s">
        <v>488</v>
      </c>
      <c r="AT3470" s="5" t="s">
        <v>246</v>
      </c>
      <c r="AU3470" s="5" t="s">
        <v>489</v>
      </c>
      <c r="AV3470" s="5" t="s">
        <v>247</v>
      </c>
      <c r="AW3470" s="5" t="s">
        <v>238</v>
      </c>
      <c r="AX3470" s="5" t="s">
        <v>249</v>
      </c>
      <c r="AY3470" s="5" t="s">
        <v>490</v>
      </c>
      <c r="BA3470" s="5" t="s">
        <v>238</v>
      </c>
      <c r="BC3470" s="5" t="s">
        <v>491</v>
      </c>
      <c r="BD3470" s="6" t="s">
        <v>492</v>
      </c>
      <c r="BE3470" s="5" t="s">
        <v>493</v>
      </c>
      <c r="BF3470" s="5" t="s">
        <v>493</v>
      </c>
      <c r="BG3470" s="5" t="s">
        <v>238</v>
      </c>
      <c r="BH3470" s="8">
        <f>1</f>
        <v>1</v>
      </c>
      <c r="BI3470" s="8">
        <f>1</f>
        <v>1</v>
      </c>
      <c r="BJ3470" s="5" t="s">
        <v>253</v>
      </c>
      <c r="BK3470" s="5" t="s">
        <v>254</v>
      </c>
      <c r="BL3470" s="5" t="s">
        <v>238</v>
      </c>
      <c r="BM3470" s="5" t="s">
        <v>238</v>
      </c>
      <c r="BN3470" s="5" t="s">
        <v>238</v>
      </c>
      <c r="BO3470" s="5" t="s">
        <v>238</v>
      </c>
      <c r="BP3470" s="5" t="s">
        <v>238</v>
      </c>
      <c r="BQ3470" s="5" t="s">
        <v>238</v>
      </c>
      <c r="BR3470" s="5" t="s">
        <v>238</v>
      </c>
      <c r="BS3470" s="5" t="s">
        <v>238</v>
      </c>
      <c r="BT3470" s="6" t="s">
        <v>238</v>
      </c>
      <c r="BU3470" s="5" t="s">
        <v>238</v>
      </c>
      <c r="BV3470" s="5" t="s">
        <v>238</v>
      </c>
      <c r="BW3470" s="5" t="s">
        <v>238</v>
      </c>
      <c r="BX3470" s="5" t="s">
        <v>254</v>
      </c>
      <c r="BY3470" s="5" t="s">
        <v>238</v>
      </c>
      <c r="BZ3470" s="5" t="s">
        <v>238</v>
      </c>
      <c r="CA3470" s="5" t="s">
        <v>238</v>
      </c>
      <c r="CB3470" s="5" t="s">
        <v>238</v>
      </c>
      <c r="CC3470" s="5" t="s">
        <v>238</v>
      </c>
      <c r="CD3470" s="5" t="s">
        <v>273</v>
      </c>
      <c r="CE3470" s="5" t="s">
        <v>256</v>
      </c>
      <c r="CF3470" s="5" t="s">
        <v>238</v>
      </c>
      <c r="CH3470" s="5" t="s">
        <v>494</v>
      </c>
      <c r="CI3470" s="6" t="s">
        <v>257</v>
      </c>
      <c r="CJ3470" s="5" t="s">
        <v>495</v>
      </c>
      <c r="CK3470" s="5" t="s">
        <v>258</v>
      </c>
      <c r="CL3470" s="5" t="s">
        <v>496</v>
      </c>
      <c r="CM3470" s="5" t="s">
        <v>238</v>
      </c>
      <c r="CN3470" s="5">
        <v>0</v>
      </c>
      <c r="CO3470" s="5" t="s">
        <v>497</v>
      </c>
      <c r="CP3470" s="5" t="s">
        <v>260</v>
      </c>
      <c r="CQ3470" s="5" t="s">
        <v>260</v>
      </c>
      <c r="CR3470" s="5" t="s">
        <v>261</v>
      </c>
      <c r="CS3470" s="5" t="s">
        <v>498</v>
      </c>
      <c r="CT3470" s="7">
        <f>1</f>
        <v>1</v>
      </c>
      <c r="CU3470" s="8">
        <f>1</f>
        <v>1</v>
      </c>
      <c r="CV3470" s="8">
        <f>0</f>
        <v>0</v>
      </c>
      <c r="CX3470" s="8">
        <f>1</f>
        <v>1</v>
      </c>
      <c r="CY3470" s="8">
        <f>1</f>
        <v>1</v>
      </c>
      <c r="CZ3470" s="8" t="s">
        <v>238</v>
      </c>
      <c r="DA3470" s="5" t="s">
        <v>238</v>
      </c>
      <c r="DB3470" s="5" t="s">
        <v>238</v>
      </c>
      <c r="DC3470" s="5" t="s">
        <v>238</v>
      </c>
      <c r="DD3470" s="5" t="s">
        <v>238</v>
      </c>
      <c r="DE3470" s="8">
        <f>0</f>
        <v>0</v>
      </c>
      <c r="DG3470" s="5" t="s">
        <v>238</v>
      </c>
      <c r="DH3470" s="5" t="s">
        <v>238</v>
      </c>
      <c r="DI3470" s="5" t="s">
        <v>238</v>
      </c>
      <c r="DJ3470" s="5" t="s">
        <v>238</v>
      </c>
      <c r="DK3470" s="5" t="s">
        <v>238</v>
      </c>
      <c r="DL3470" s="5" t="s">
        <v>238</v>
      </c>
      <c r="DM3470" s="8" t="s">
        <v>238</v>
      </c>
      <c r="DN3470" s="5" t="s">
        <v>238</v>
      </c>
      <c r="DO3470" s="5" t="s">
        <v>238</v>
      </c>
      <c r="DP3470" s="5" t="s">
        <v>490</v>
      </c>
      <c r="DQ3470" s="5" t="s">
        <v>490</v>
      </c>
      <c r="DR3470" s="5" t="s">
        <v>238</v>
      </c>
      <c r="DS3470" s="5" t="s">
        <v>238</v>
      </c>
      <c r="DT3470" s="5" t="s">
        <v>500</v>
      </c>
      <c r="DU3470" s="5" t="s">
        <v>1354</v>
      </c>
      <c r="DV3470" s="5" t="s">
        <v>238</v>
      </c>
      <c r="DW3470" s="5" t="s">
        <v>238</v>
      </c>
      <c r="DX3470" s="5" t="s">
        <v>238</v>
      </c>
      <c r="DY3470" s="5" t="s">
        <v>238</v>
      </c>
      <c r="DZ3470" s="5" t="s">
        <v>238</v>
      </c>
      <c r="EA3470" s="5" t="s">
        <v>238</v>
      </c>
      <c r="EB3470" s="5" t="s">
        <v>238</v>
      </c>
      <c r="EC3470" s="5" t="s">
        <v>238</v>
      </c>
      <c r="ED3470" s="5" t="s">
        <v>238</v>
      </c>
      <c r="EE3470" s="5" t="s">
        <v>238</v>
      </c>
      <c r="EF3470" s="5" t="s">
        <v>238</v>
      </c>
      <c r="EG3470" s="5" t="s">
        <v>238</v>
      </c>
      <c r="EH3470" s="5" t="s">
        <v>238</v>
      </c>
      <c r="EI3470" s="5" t="s">
        <v>238</v>
      </c>
      <c r="EJ3470" s="5" t="s">
        <v>238</v>
      </c>
      <c r="EK3470" s="5" t="s">
        <v>238</v>
      </c>
      <c r="EL3470" s="5" t="s">
        <v>238</v>
      </c>
      <c r="EM3470" s="5" t="s">
        <v>238</v>
      </c>
      <c r="EN3470" s="5" t="s">
        <v>238</v>
      </c>
      <c r="EO3470" s="5" t="s">
        <v>238</v>
      </c>
      <c r="EP3470" s="5" t="s">
        <v>238</v>
      </c>
      <c r="EQ3470" s="5" t="s">
        <v>238</v>
      </c>
      <c r="ER3470" s="5" t="s">
        <v>238</v>
      </c>
      <c r="ES3470" s="5" t="s">
        <v>238</v>
      </c>
      <c r="ET3470" s="5" t="s">
        <v>238</v>
      </c>
      <c r="EU3470" s="5" t="s">
        <v>238</v>
      </c>
      <c r="EV3470" s="5" t="s">
        <v>238</v>
      </c>
      <c r="EW3470" s="5" t="s">
        <v>238</v>
      </c>
      <c r="EX3470" s="5" t="s">
        <v>238</v>
      </c>
      <c r="EY3470" s="5" t="s">
        <v>238</v>
      </c>
      <c r="EZ3470" s="5" t="s">
        <v>238</v>
      </c>
      <c r="FA3470" s="5" t="s">
        <v>238</v>
      </c>
      <c r="FB3470" s="5" t="s">
        <v>238</v>
      </c>
      <c r="FC3470" s="5" t="s">
        <v>238</v>
      </c>
      <c r="FD3470" s="5" t="s">
        <v>238</v>
      </c>
      <c r="FE3470" s="5" t="s">
        <v>238</v>
      </c>
      <c r="FF3470" s="5" t="s">
        <v>238</v>
      </c>
      <c r="FG3470" s="5" t="s">
        <v>238</v>
      </c>
      <c r="FH3470" s="5" t="s">
        <v>238</v>
      </c>
      <c r="FI3470" s="5" t="s">
        <v>238</v>
      </c>
      <c r="FJ3470" s="5" t="s">
        <v>238</v>
      </c>
      <c r="FK3470" s="5" t="s">
        <v>238</v>
      </c>
      <c r="FL3470" s="5" t="s">
        <v>238</v>
      </c>
      <c r="FM3470" s="5" t="s">
        <v>238</v>
      </c>
      <c r="FN3470" s="5" t="s">
        <v>238</v>
      </c>
      <c r="FO3470" s="5" t="s">
        <v>238</v>
      </c>
      <c r="FP3470" s="5" t="s">
        <v>238</v>
      </c>
      <c r="FQ3470" s="5" t="s">
        <v>238</v>
      </c>
      <c r="FR3470" s="5" t="s">
        <v>238</v>
      </c>
      <c r="FS3470" s="5" t="s">
        <v>238</v>
      </c>
      <c r="FT3470" s="5" t="s">
        <v>238</v>
      </c>
      <c r="FU3470" s="5" t="s">
        <v>238</v>
      </c>
      <c r="FV3470" s="5" t="s">
        <v>238</v>
      </c>
      <c r="FW3470" s="5" t="s">
        <v>238</v>
      </c>
      <c r="FX3470" s="5" t="s">
        <v>238</v>
      </c>
      <c r="FY3470" s="5" t="s">
        <v>238</v>
      </c>
      <c r="FZ3470" s="5" t="s">
        <v>238</v>
      </c>
      <c r="GA3470" s="5" t="s">
        <v>238</v>
      </c>
      <c r="GB3470" s="5" t="s">
        <v>238</v>
      </c>
      <c r="GC3470" s="5" t="s">
        <v>238</v>
      </c>
      <c r="GD3470" s="5" t="s">
        <v>238</v>
      </c>
      <c r="GE3470" s="5" t="s">
        <v>238</v>
      </c>
      <c r="GF3470" s="5" t="s">
        <v>238</v>
      </c>
      <c r="GG3470" s="5" t="s">
        <v>238</v>
      </c>
      <c r="GH3470" s="5" t="s">
        <v>238</v>
      </c>
      <c r="GI3470" s="5" t="s">
        <v>238</v>
      </c>
      <c r="GJ3470" s="5" t="s">
        <v>238</v>
      </c>
      <c r="GK3470" s="5" t="s">
        <v>238</v>
      </c>
      <c r="GL3470" s="5" t="s">
        <v>238</v>
      </c>
      <c r="GM3470" s="5" t="s">
        <v>238</v>
      </c>
      <c r="GN3470" s="5" t="s">
        <v>238</v>
      </c>
      <c r="GO3470" s="5" t="s">
        <v>238</v>
      </c>
      <c r="GP3470" s="5" t="s">
        <v>238</v>
      </c>
      <c r="GQ3470" s="5" t="s">
        <v>238</v>
      </c>
      <c r="GR3470" s="5" t="s">
        <v>238</v>
      </c>
      <c r="GS3470" s="5" t="s">
        <v>238</v>
      </c>
      <c r="GT3470" s="5" t="s">
        <v>238</v>
      </c>
      <c r="GU3470" s="5" t="s">
        <v>238</v>
      </c>
      <c r="GV3470" s="5" t="s">
        <v>238</v>
      </c>
      <c r="GW3470" s="5" t="s">
        <v>238</v>
      </c>
      <c r="GX3470" s="5" t="s">
        <v>238</v>
      </c>
      <c r="GY3470" s="5" t="s">
        <v>238</v>
      </c>
      <c r="GZ3470" s="5" t="s">
        <v>238</v>
      </c>
      <c r="HA3470" s="5" t="s">
        <v>238</v>
      </c>
      <c r="HB3470" s="5" t="s">
        <v>238</v>
      </c>
      <c r="HC3470" s="5" t="s">
        <v>238</v>
      </c>
      <c r="HD3470" s="5" t="s">
        <v>238</v>
      </c>
      <c r="HE3470" s="5" t="s">
        <v>238</v>
      </c>
      <c r="HF3470" s="5" t="s">
        <v>238</v>
      </c>
      <c r="HG3470" s="5" t="s">
        <v>238</v>
      </c>
      <c r="HH3470" s="5" t="s">
        <v>238</v>
      </c>
      <c r="HI3470" s="5" t="s">
        <v>238</v>
      </c>
      <c r="HJ3470" s="5" t="s">
        <v>238</v>
      </c>
      <c r="HK3470" s="5" t="s">
        <v>238</v>
      </c>
      <c r="HL3470" s="5" t="s">
        <v>238</v>
      </c>
      <c r="HM3470" s="5" t="s">
        <v>264</v>
      </c>
      <c r="HN3470" s="5" t="s">
        <v>238</v>
      </c>
      <c r="HO3470" s="5" t="s">
        <v>238</v>
      </c>
      <c r="HP3470" s="5" t="s">
        <v>238</v>
      </c>
      <c r="HQ3470" s="5" t="s">
        <v>238</v>
      </c>
      <c r="HR3470" s="5" t="s">
        <v>238</v>
      </c>
      <c r="HS3470" s="5" t="s">
        <v>238</v>
      </c>
      <c r="HT3470" s="5" t="s">
        <v>238</v>
      </c>
      <c r="HU3470" s="5" t="s">
        <v>238</v>
      </c>
      <c r="HV3470" s="5" t="s">
        <v>238</v>
      </c>
      <c r="HW3470" s="5" t="s">
        <v>238</v>
      </c>
      <c r="HX3470" s="5" t="s">
        <v>238</v>
      </c>
      <c r="HY3470" s="5" t="s">
        <v>238</v>
      </c>
      <c r="HZ3470" s="5" t="s">
        <v>238</v>
      </c>
      <c r="IA3470" s="5" t="s">
        <v>238</v>
      </c>
      <c r="IB3470" s="5" t="s">
        <v>238</v>
      </c>
      <c r="IC3470" s="5" t="s">
        <v>238</v>
      </c>
      <c r="ID3470" s="5" t="s">
        <v>238</v>
      </c>
    </row>
    <row r="3471" spans="1:238" x14ac:dyDescent="0.4">
      <c r="A3471" s="5">
        <v>9189</v>
      </c>
      <c r="B3471" s="5">
        <v>1</v>
      </c>
      <c r="C3471" s="5">
        <v>1</v>
      </c>
      <c r="D3471" s="5" t="s">
        <v>484</v>
      </c>
      <c r="E3471" s="5" t="s">
        <v>485</v>
      </c>
      <c r="F3471" s="5" t="s">
        <v>248</v>
      </c>
      <c r="G3471" s="5" t="s">
        <v>4798</v>
      </c>
      <c r="H3471" s="6" t="s">
        <v>4799</v>
      </c>
      <c r="I3471" s="8">
        <f>1</f>
        <v>1</v>
      </c>
      <c r="J3471" s="5" t="s">
        <v>499</v>
      </c>
      <c r="K3471" s="8">
        <f>1</f>
        <v>1</v>
      </c>
      <c r="L3471" s="6" t="s">
        <v>242</v>
      </c>
      <c r="M3471" s="5" t="s">
        <v>267</v>
      </c>
      <c r="N3471" s="5" t="s">
        <v>482</v>
      </c>
      <c r="O3471" s="5" t="s">
        <v>238</v>
      </c>
      <c r="P3471" s="5" t="s">
        <v>238</v>
      </c>
      <c r="Q3471" s="5" t="s">
        <v>239</v>
      </c>
      <c r="R3471" s="5" t="s">
        <v>270</v>
      </c>
      <c r="S3471" s="5" t="s">
        <v>238</v>
      </c>
      <c r="T3471" s="5" t="s">
        <v>238</v>
      </c>
      <c r="U3471" s="5" t="s">
        <v>238</v>
      </c>
      <c r="V3471" s="5" t="s">
        <v>238</v>
      </c>
      <c r="W3471" s="6" t="s">
        <v>238</v>
      </c>
      <c r="X3471" s="6" t="s">
        <v>238</v>
      </c>
      <c r="Y3471" s="5" t="s">
        <v>238</v>
      </c>
      <c r="Z3471" s="6" t="s">
        <v>238</v>
      </c>
      <c r="AA3471" s="6" t="s">
        <v>243</v>
      </c>
      <c r="AB3471" s="5" t="s">
        <v>486</v>
      </c>
      <c r="AC3471" s="5" t="s">
        <v>244</v>
      </c>
      <c r="AD3471" s="5" t="s">
        <v>245</v>
      </c>
      <c r="AE3471" s="5" t="s">
        <v>238</v>
      </c>
      <c r="AF3471" s="5" t="s">
        <v>238</v>
      </c>
      <c r="AG3471" s="5" t="s">
        <v>238</v>
      </c>
      <c r="AH3471" s="5" t="s">
        <v>238</v>
      </c>
      <c r="AI3471" s="5" t="s">
        <v>238</v>
      </c>
      <c r="AJ3471" s="5" t="s">
        <v>238</v>
      </c>
      <c r="AK3471" s="5" t="s">
        <v>238</v>
      </c>
      <c r="AL3471" s="5" t="s">
        <v>238</v>
      </c>
      <c r="AM3471" s="6" t="s">
        <v>238</v>
      </c>
      <c r="AN3471" s="6" t="s">
        <v>238</v>
      </c>
      <c r="AO3471" s="6" t="s">
        <v>238</v>
      </c>
      <c r="AP3471" s="6" t="s">
        <v>238</v>
      </c>
      <c r="AQ3471" s="5" t="s">
        <v>238</v>
      </c>
      <c r="AR3471" s="5" t="s">
        <v>488</v>
      </c>
      <c r="AS3471" s="5" t="s">
        <v>488</v>
      </c>
      <c r="AT3471" s="5" t="s">
        <v>246</v>
      </c>
      <c r="AU3471" s="5" t="s">
        <v>489</v>
      </c>
      <c r="AV3471" s="5" t="s">
        <v>247</v>
      </c>
      <c r="AW3471" s="5" t="s">
        <v>238</v>
      </c>
      <c r="AX3471" s="5" t="s">
        <v>249</v>
      </c>
      <c r="AY3471" s="5" t="s">
        <v>490</v>
      </c>
      <c r="BA3471" s="5" t="s">
        <v>238</v>
      </c>
      <c r="BC3471" s="5" t="s">
        <v>491</v>
      </c>
      <c r="BD3471" s="6" t="s">
        <v>492</v>
      </c>
      <c r="BE3471" s="5" t="s">
        <v>493</v>
      </c>
      <c r="BF3471" s="5" t="s">
        <v>493</v>
      </c>
      <c r="BG3471" s="5" t="s">
        <v>238</v>
      </c>
      <c r="BH3471" s="8">
        <f>1</f>
        <v>1</v>
      </c>
      <c r="BI3471" s="8">
        <f>1</f>
        <v>1</v>
      </c>
      <c r="BJ3471" s="5" t="s">
        <v>253</v>
      </c>
      <c r="BK3471" s="5" t="s">
        <v>254</v>
      </c>
      <c r="BL3471" s="5" t="s">
        <v>238</v>
      </c>
      <c r="BM3471" s="5" t="s">
        <v>238</v>
      </c>
      <c r="BN3471" s="5" t="s">
        <v>238</v>
      </c>
      <c r="BO3471" s="5" t="s">
        <v>238</v>
      </c>
      <c r="BP3471" s="5" t="s">
        <v>238</v>
      </c>
      <c r="BQ3471" s="5" t="s">
        <v>238</v>
      </c>
      <c r="BR3471" s="5" t="s">
        <v>238</v>
      </c>
      <c r="BS3471" s="5" t="s">
        <v>238</v>
      </c>
      <c r="BT3471" s="6" t="s">
        <v>238</v>
      </c>
      <c r="BU3471" s="5" t="s">
        <v>238</v>
      </c>
      <c r="BV3471" s="5" t="s">
        <v>238</v>
      </c>
      <c r="BW3471" s="5" t="s">
        <v>238</v>
      </c>
      <c r="BX3471" s="5" t="s">
        <v>254</v>
      </c>
      <c r="BY3471" s="5" t="s">
        <v>238</v>
      </c>
      <c r="BZ3471" s="5" t="s">
        <v>238</v>
      </c>
      <c r="CA3471" s="5" t="s">
        <v>238</v>
      </c>
      <c r="CB3471" s="5" t="s">
        <v>238</v>
      </c>
      <c r="CC3471" s="5" t="s">
        <v>238</v>
      </c>
      <c r="CD3471" s="5" t="s">
        <v>273</v>
      </c>
      <c r="CE3471" s="5" t="s">
        <v>256</v>
      </c>
      <c r="CF3471" s="5" t="s">
        <v>238</v>
      </c>
      <c r="CH3471" s="5" t="s">
        <v>494</v>
      </c>
      <c r="CI3471" s="6" t="s">
        <v>257</v>
      </c>
      <c r="CJ3471" s="5" t="s">
        <v>495</v>
      </c>
      <c r="CK3471" s="5" t="s">
        <v>258</v>
      </c>
      <c r="CL3471" s="5" t="s">
        <v>496</v>
      </c>
      <c r="CM3471" s="5" t="s">
        <v>238</v>
      </c>
      <c r="CN3471" s="5">
        <v>0</v>
      </c>
      <c r="CO3471" s="5" t="s">
        <v>497</v>
      </c>
      <c r="CP3471" s="5" t="s">
        <v>260</v>
      </c>
      <c r="CQ3471" s="5" t="s">
        <v>260</v>
      </c>
      <c r="CR3471" s="5" t="s">
        <v>261</v>
      </c>
      <c r="CS3471" s="5" t="s">
        <v>498</v>
      </c>
      <c r="CT3471" s="7">
        <f>1</f>
        <v>1</v>
      </c>
      <c r="CU3471" s="8">
        <f>1</f>
        <v>1</v>
      </c>
      <c r="CV3471" s="8">
        <f>0</f>
        <v>0</v>
      </c>
      <c r="CX3471" s="8">
        <f>1</f>
        <v>1</v>
      </c>
      <c r="CY3471" s="8">
        <f>1</f>
        <v>1</v>
      </c>
      <c r="CZ3471" s="8" t="s">
        <v>238</v>
      </c>
      <c r="DA3471" s="5" t="s">
        <v>238</v>
      </c>
      <c r="DB3471" s="5" t="s">
        <v>238</v>
      </c>
      <c r="DC3471" s="5" t="s">
        <v>238</v>
      </c>
      <c r="DD3471" s="5" t="s">
        <v>238</v>
      </c>
      <c r="DE3471" s="8">
        <f>0</f>
        <v>0</v>
      </c>
      <c r="DG3471" s="5" t="s">
        <v>238</v>
      </c>
      <c r="DH3471" s="5" t="s">
        <v>238</v>
      </c>
      <c r="DI3471" s="5" t="s">
        <v>238</v>
      </c>
      <c r="DJ3471" s="5" t="s">
        <v>238</v>
      </c>
      <c r="DK3471" s="5" t="s">
        <v>238</v>
      </c>
      <c r="DL3471" s="5" t="s">
        <v>238</v>
      </c>
      <c r="DM3471" s="8" t="s">
        <v>238</v>
      </c>
      <c r="DN3471" s="5" t="s">
        <v>238</v>
      </c>
      <c r="DO3471" s="5" t="s">
        <v>238</v>
      </c>
      <c r="DP3471" s="5" t="s">
        <v>490</v>
      </c>
      <c r="DQ3471" s="5" t="s">
        <v>490</v>
      </c>
      <c r="DR3471" s="5" t="s">
        <v>238</v>
      </c>
      <c r="DS3471" s="5" t="s">
        <v>238</v>
      </c>
      <c r="DT3471" s="5" t="s">
        <v>500</v>
      </c>
      <c r="DU3471" s="5" t="s">
        <v>1338</v>
      </c>
      <c r="DV3471" s="5" t="s">
        <v>238</v>
      </c>
      <c r="DW3471" s="5" t="s">
        <v>238</v>
      </c>
      <c r="DX3471" s="5" t="s">
        <v>238</v>
      </c>
      <c r="DY3471" s="5" t="s">
        <v>238</v>
      </c>
      <c r="DZ3471" s="5" t="s">
        <v>238</v>
      </c>
      <c r="EA3471" s="5" t="s">
        <v>238</v>
      </c>
      <c r="EB3471" s="5" t="s">
        <v>238</v>
      </c>
      <c r="EC3471" s="5" t="s">
        <v>238</v>
      </c>
      <c r="ED3471" s="5" t="s">
        <v>238</v>
      </c>
      <c r="EE3471" s="5" t="s">
        <v>238</v>
      </c>
      <c r="EF3471" s="5" t="s">
        <v>238</v>
      </c>
      <c r="EG3471" s="5" t="s">
        <v>238</v>
      </c>
      <c r="EH3471" s="5" t="s">
        <v>238</v>
      </c>
      <c r="EI3471" s="5" t="s">
        <v>238</v>
      </c>
      <c r="EJ3471" s="5" t="s">
        <v>238</v>
      </c>
      <c r="EK3471" s="5" t="s">
        <v>238</v>
      </c>
      <c r="EL3471" s="5" t="s">
        <v>238</v>
      </c>
      <c r="EM3471" s="5" t="s">
        <v>238</v>
      </c>
      <c r="EN3471" s="5" t="s">
        <v>238</v>
      </c>
      <c r="EO3471" s="5" t="s">
        <v>238</v>
      </c>
      <c r="EP3471" s="5" t="s">
        <v>238</v>
      </c>
      <c r="EQ3471" s="5" t="s">
        <v>238</v>
      </c>
      <c r="ER3471" s="5" t="s">
        <v>238</v>
      </c>
      <c r="ES3471" s="5" t="s">
        <v>238</v>
      </c>
      <c r="ET3471" s="5" t="s">
        <v>238</v>
      </c>
      <c r="EU3471" s="5" t="s">
        <v>238</v>
      </c>
      <c r="EV3471" s="5" t="s">
        <v>238</v>
      </c>
      <c r="EW3471" s="5" t="s">
        <v>238</v>
      </c>
      <c r="EX3471" s="5" t="s">
        <v>238</v>
      </c>
      <c r="EY3471" s="5" t="s">
        <v>238</v>
      </c>
      <c r="EZ3471" s="5" t="s">
        <v>238</v>
      </c>
      <c r="FA3471" s="5" t="s">
        <v>238</v>
      </c>
      <c r="FB3471" s="5" t="s">
        <v>238</v>
      </c>
      <c r="FC3471" s="5" t="s">
        <v>238</v>
      </c>
      <c r="FD3471" s="5" t="s">
        <v>238</v>
      </c>
      <c r="FE3471" s="5" t="s">
        <v>238</v>
      </c>
      <c r="FF3471" s="5" t="s">
        <v>238</v>
      </c>
      <c r="FG3471" s="5" t="s">
        <v>238</v>
      </c>
      <c r="FH3471" s="5" t="s">
        <v>238</v>
      </c>
      <c r="FI3471" s="5" t="s">
        <v>238</v>
      </c>
      <c r="FJ3471" s="5" t="s">
        <v>238</v>
      </c>
      <c r="FK3471" s="5" t="s">
        <v>238</v>
      </c>
      <c r="FL3471" s="5" t="s">
        <v>238</v>
      </c>
      <c r="FM3471" s="5" t="s">
        <v>238</v>
      </c>
      <c r="FN3471" s="5" t="s">
        <v>238</v>
      </c>
      <c r="FO3471" s="5" t="s">
        <v>238</v>
      </c>
      <c r="FP3471" s="5" t="s">
        <v>238</v>
      </c>
      <c r="FQ3471" s="5" t="s">
        <v>238</v>
      </c>
      <c r="FR3471" s="5" t="s">
        <v>238</v>
      </c>
      <c r="FS3471" s="5" t="s">
        <v>238</v>
      </c>
      <c r="FT3471" s="5" t="s">
        <v>238</v>
      </c>
      <c r="FU3471" s="5" t="s">
        <v>238</v>
      </c>
      <c r="FV3471" s="5" t="s">
        <v>238</v>
      </c>
      <c r="FW3471" s="5" t="s">
        <v>238</v>
      </c>
      <c r="FX3471" s="5" t="s">
        <v>238</v>
      </c>
      <c r="FY3471" s="5" t="s">
        <v>238</v>
      </c>
      <c r="FZ3471" s="5" t="s">
        <v>238</v>
      </c>
      <c r="GA3471" s="5" t="s">
        <v>238</v>
      </c>
      <c r="GB3471" s="5" t="s">
        <v>238</v>
      </c>
      <c r="GC3471" s="5" t="s">
        <v>238</v>
      </c>
      <c r="GD3471" s="5" t="s">
        <v>238</v>
      </c>
      <c r="GE3471" s="5" t="s">
        <v>238</v>
      </c>
      <c r="GF3471" s="5" t="s">
        <v>238</v>
      </c>
      <c r="GG3471" s="5" t="s">
        <v>238</v>
      </c>
      <c r="GH3471" s="5" t="s">
        <v>238</v>
      </c>
      <c r="GI3471" s="5" t="s">
        <v>238</v>
      </c>
      <c r="GJ3471" s="5" t="s">
        <v>238</v>
      </c>
      <c r="GK3471" s="5" t="s">
        <v>238</v>
      </c>
      <c r="GL3471" s="5" t="s">
        <v>238</v>
      </c>
      <c r="GM3471" s="5" t="s">
        <v>238</v>
      </c>
      <c r="GN3471" s="5" t="s">
        <v>238</v>
      </c>
      <c r="GO3471" s="5" t="s">
        <v>238</v>
      </c>
      <c r="GP3471" s="5" t="s">
        <v>238</v>
      </c>
      <c r="GQ3471" s="5" t="s">
        <v>238</v>
      </c>
      <c r="GR3471" s="5" t="s">
        <v>238</v>
      </c>
      <c r="GS3471" s="5" t="s">
        <v>238</v>
      </c>
      <c r="GT3471" s="5" t="s">
        <v>238</v>
      </c>
      <c r="GU3471" s="5" t="s">
        <v>238</v>
      </c>
      <c r="GV3471" s="5" t="s">
        <v>238</v>
      </c>
      <c r="GW3471" s="5" t="s">
        <v>238</v>
      </c>
      <c r="GX3471" s="5" t="s">
        <v>238</v>
      </c>
      <c r="GY3471" s="5" t="s">
        <v>238</v>
      </c>
      <c r="GZ3471" s="5" t="s">
        <v>238</v>
      </c>
      <c r="HA3471" s="5" t="s">
        <v>238</v>
      </c>
      <c r="HB3471" s="5" t="s">
        <v>238</v>
      </c>
      <c r="HC3471" s="5" t="s">
        <v>238</v>
      </c>
      <c r="HD3471" s="5" t="s">
        <v>238</v>
      </c>
      <c r="HE3471" s="5" t="s">
        <v>238</v>
      </c>
      <c r="HF3471" s="5" t="s">
        <v>238</v>
      </c>
      <c r="HG3471" s="5" t="s">
        <v>238</v>
      </c>
      <c r="HH3471" s="5" t="s">
        <v>238</v>
      </c>
      <c r="HI3471" s="5" t="s">
        <v>238</v>
      </c>
      <c r="HJ3471" s="5" t="s">
        <v>238</v>
      </c>
      <c r="HK3471" s="5" t="s">
        <v>238</v>
      </c>
      <c r="HL3471" s="5" t="s">
        <v>238</v>
      </c>
      <c r="HM3471" s="5" t="s">
        <v>264</v>
      </c>
      <c r="HN3471" s="5" t="s">
        <v>238</v>
      </c>
      <c r="HO3471" s="5" t="s">
        <v>238</v>
      </c>
      <c r="HP3471" s="5" t="s">
        <v>238</v>
      </c>
      <c r="HQ3471" s="5" t="s">
        <v>238</v>
      </c>
      <c r="HR3471" s="5" t="s">
        <v>238</v>
      </c>
      <c r="HS3471" s="5" t="s">
        <v>238</v>
      </c>
      <c r="HT3471" s="5" t="s">
        <v>238</v>
      </c>
      <c r="HU3471" s="5" t="s">
        <v>238</v>
      </c>
      <c r="HV3471" s="5" t="s">
        <v>238</v>
      </c>
      <c r="HW3471" s="5" t="s">
        <v>238</v>
      </c>
      <c r="HX3471" s="5" t="s">
        <v>238</v>
      </c>
      <c r="HY3471" s="5" t="s">
        <v>238</v>
      </c>
      <c r="HZ3471" s="5" t="s">
        <v>238</v>
      </c>
      <c r="IA3471" s="5" t="s">
        <v>238</v>
      </c>
      <c r="IB3471" s="5" t="s">
        <v>238</v>
      </c>
      <c r="IC3471" s="5" t="s">
        <v>238</v>
      </c>
      <c r="ID3471" s="5" t="s">
        <v>238</v>
      </c>
    </row>
    <row r="3472" spans="1:238" x14ac:dyDescent="0.4">
      <c r="A3472" s="5">
        <v>9190</v>
      </c>
      <c r="B3472" s="5">
        <v>1</v>
      </c>
      <c r="C3472" s="5">
        <v>1</v>
      </c>
      <c r="D3472" s="5" t="s">
        <v>484</v>
      </c>
      <c r="E3472" s="5" t="s">
        <v>485</v>
      </c>
      <c r="F3472" s="5" t="s">
        <v>248</v>
      </c>
      <c r="G3472" s="5" t="s">
        <v>4770</v>
      </c>
      <c r="H3472" s="6" t="s">
        <v>4770</v>
      </c>
      <c r="I3472" s="8">
        <f>1</f>
        <v>1</v>
      </c>
      <c r="J3472" s="5" t="s">
        <v>499</v>
      </c>
      <c r="K3472" s="8">
        <f>1</f>
        <v>1</v>
      </c>
      <c r="L3472" s="6" t="s">
        <v>242</v>
      </c>
      <c r="M3472" s="5" t="s">
        <v>267</v>
      </c>
      <c r="N3472" s="5" t="s">
        <v>482</v>
      </c>
      <c r="O3472" s="5" t="s">
        <v>238</v>
      </c>
      <c r="P3472" s="5" t="s">
        <v>238</v>
      </c>
      <c r="Q3472" s="5" t="s">
        <v>239</v>
      </c>
      <c r="R3472" s="5" t="s">
        <v>270</v>
      </c>
      <c r="S3472" s="5" t="s">
        <v>238</v>
      </c>
      <c r="T3472" s="5" t="s">
        <v>238</v>
      </c>
      <c r="U3472" s="5" t="s">
        <v>238</v>
      </c>
      <c r="V3472" s="5" t="s">
        <v>238</v>
      </c>
      <c r="W3472" s="6" t="s">
        <v>238</v>
      </c>
      <c r="X3472" s="6" t="s">
        <v>238</v>
      </c>
      <c r="Y3472" s="5" t="s">
        <v>238</v>
      </c>
      <c r="Z3472" s="6" t="s">
        <v>238</v>
      </c>
      <c r="AA3472" s="6" t="s">
        <v>243</v>
      </c>
      <c r="AB3472" s="5" t="s">
        <v>4771</v>
      </c>
      <c r="AC3472" s="5" t="s">
        <v>244</v>
      </c>
      <c r="AD3472" s="5" t="s">
        <v>245</v>
      </c>
      <c r="AE3472" s="5" t="s">
        <v>238</v>
      </c>
      <c r="AF3472" s="5" t="s">
        <v>238</v>
      </c>
      <c r="AG3472" s="5" t="s">
        <v>238</v>
      </c>
      <c r="AH3472" s="5" t="s">
        <v>238</v>
      </c>
      <c r="AI3472" s="5" t="s">
        <v>238</v>
      </c>
      <c r="AJ3472" s="5" t="s">
        <v>238</v>
      </c>
      <c r="AK3472" s="5" t="s">
        <v>238</v>
      </c>
      <c r="AL3472" s="5" t="s">
        <v>238</v>
      </c>
      <c r="AM3472" s="6" t="s">
        <v>238</v>
      </c>
      <c r="AN3472" s="6" t="s">
        <v>238</v>
      </c>
      <c r="AO3472" s="6" t="s">
        <v>238</v>
      </c>
      <c r="AP3472" s="6" t="s">
        <v>238</v>
      </c>
      <c r="AQ3472" s="5" t="s">
        <v>238</v>
      </c>
      <c r="AR3472" s="5" t="s">
        <v>488</v>
      </c>
      <c r="AS3472" s="5" t="s">
        <v>488</v>
      </c>
      <c r="AT3472" s="5" t="s">
        <v>246</v>
      </c>
      <c r="AU3472" s="5" t="s">
        <v>489</v>
      </c>
      <c r="AV3472" s="5" t="s">
        <v>247</v>
      </c>
      <c r="AW3472" s="5" t="s">
        <v>238</v>
      </c>
      <c r="AX3472" s="5" t="s">
        <v>249</v>
      </c>
      <c r="AY3472" s="5" t="s">
        <v>490</v>
      </c>
      <c r="BA3472" s="5" t="s">
        <v>238</v>
      </c>
      <c r="BC3472" s="5" t="s">
        <v>491</v>
      </c>
      <c r="BD3472" s="6" t="s">
        <v>492</v>
      </c>
      <c r="BE3472" s="5" t="s">
        <v>493</v>
      </c>
      <c r="BF3472" s="5" t="s">
        <v>493</v>
      </c>
      <c r="BG3472" s="5" t="s">
        <v>238</v>
      </c>
      <c r="BH3472" s="8">
        <f>1</f>
        <v>1</v>
      </c>
      <c r="BI3472" s="8">
        <f>1</f>
        <v>1</v>
      </c>
      <c r="BJ3472" s="5" t="s">
        <v>253</v>
      </c>
      <c r="BK3472" s="5" t="s">
        <v>254</v>
      </c>
      <c r="BL3472" s="5" t="s">
        <v>238</v>
      </c>
      <c r="BM3472" s="5" t="s">
        <v>238</v>
      </c>
      <c r="BN3472" s="5" t="s">
        <v>238</v>
      </c>
      <c r="BO3472" s="5" t="s">
        <v>238</v>
      </c>
      <c r="BP3472" s="5" t="s">
        <v>238</v>
      </c>
      <c r="BQ3472" s="5" t="s">
        <v>238</v>
      </c>
      <c r="BR3472" s="5" t="s">
        <v>238</v>
      </c>
      <c r="BS3472" s="5" t="s">
        <v>238</v>
      </c>
      <c r="BT3472" s="6" t="s">
        <v>238</v>
      </c>
      <c r="BU3472" s="5" t="s">
        <v>238</v>
      </c>
      <c r="BV3472" s="5" t="s">
        <v>238</v>
      </c>
      <c r="BW3472" s="5" t="s">
        <v>238</v>
      </c>
      <c r="BX3472" s="5" t="s">
        <v>254</v>
      </c>
      <c r="BY3472" s="5" t="s">
        <v>238</v>
      </c>
      <c r="BZ3472" s="5" t="s">
        <v>238</v>
      </c>
      <c r="CA3472" s="5" t="s">
        <v>238</v>
      </c>
      <c r="CB3472" s="5" t="s">
        <v>238</v>
      </c>
      <c r="CC3472" s="5" t="s">
        <v>238</v>
      </c>
      <c r="CD3472" s="5" t="s">
        <v>273</v>
      </c>
      <c r="CE3472" s="5" t="s">
        <v>256</v>
      </c>
      <c r="CF3472" s="5" t="s">
        <v>238</v>
      </c>
      <c r="CH3472" s="5" t="s">
        <v>494</v>
      </c>
      <c r="CI3472" s="6" t="s">
        <v>257</v>
      </c>
      <c r="CJ3472" s="5" t="s">
        <v>495</v>
      </c>
      <c r="CK3472" s="5" t="s">
        <v>258</v>
      </c>
      <c r="CL3472" s="5" t="s">
        <v>496</v>
      </c>
      <c r="CM3472" s="5" t="s">
        <v>238</v>
      </c>
      <c r="CN3472" s="5">
        <v>0</v>
      </c>
      <c r="CO3472" s="5" t="s">
        <v>497</v>
      </c>
      <c r="CP3472" s="5" t="s">
        <v>260</v>
      </c>
      <c r="CQ3472" s="5" t="s">
        <v>260</v>
      </c>
      <c r="CR3472" s="5" t="s">
        <v>261</v>
      </c>
      <c r="CS3472" s="5" t="s">
        <v>498</v>
      </c>
      <c r="CT3472" s="7">
        <f>1</f>
        <v>1</v>
      </c>
      <c r="CU3472" s="8">
        <f>1</f>
        <v>1</v>
      </c>
      <c r="CV3472" s="8">
        <f>0</f>
        <v>0</v>
      </c>
      <c r="CX3472" s="8">
        <f>1</f>
        <v>1</v>
      </c>
      <c r="CY3472" s="8">
        <f>1</f>
        <v>1</v>
      </c>
      <c r="CZ3472" s="8" t="s">
        <v>238</v>
      </c>
      <c r="DA3472" s="5" t="s">
        <v>238</v>
      </c>
      <c r="DB3472" s="5" t="s">
        <v>238</v>
      </c>
      <c r="DC3472" s="5" t="s">
        <v>238</v>
      </c>
      <c r="DD3472" s="5" t="s">
        <v>238</v>
      </c>
      <c r="DE3472" s="8">
        <f>0</f>
        <v>0</v>
      </c>
      <c r="DG3472" s="5" t="s">
        <v>238</v>
      </c>
      <c r="DH3472" s="5" t="s">
        <v>238</v>
      </c>
      <c r="DI3472" s="5" t="s">
        <v>238</v>
      </c>
      <c r="DJ3472" s="5" t="s">
        <v>238</v>
      </c>
      <c r="DK3472" s="5" t="s">
        <v>238</v>
      </c>
      <c r="DL3472" s="5" t="s">
        <v>238</v>
      </c>
      <c r="DM3472" s="8" t="s">
        <v>238</v>
      </c>
      <c r="DN3472" s="5" t="s">
        <v>238</v>
      </c>
      <c r="DO3472" s="5" t="s">
        <v>238</v>
      </c>
      <c r="DP3472" s="5" t="s">
        <v>490</v>
      </c>
      <c r="DQ3472" s="5" t="s">
        <v>490</v>
      </c>
      <c r="DR3472" s="5" t="s">
        <v>238</v>
      </c>
      <c r="DS3472" s="5" t="s">
        <v>238</v>
      </c>
      <c r="DT3472" s="5" t="s">
        <v>500</v>
      </c>
      <c r="DU3472" s="5" t="s">
        <v>3111</v>
      </c>
      <c r="DV3472" s="5" t="s">
        <v>238</v>
      </c>
      <c r="DW3472" s="5" t="s">
        <v>238</v>
      </c>
      <c r="DX3472" s="5" t="s">
        <v>238</v>
      </c>
      <c r="DY3472" s="5" t="s">
        <v>238</v>
      </c>
      <c r="DZ3472" s="5" t="s">
        <v>238</v>
      </c>
      <c r="EA3472" s="5" t="s">
        <v>238</v>
      </c>
      <c r="EB3472" s="5" t="s">
        <v>238</v>
      </c>
      <c r="EC3472" s="5" t="s">
        <v>238</v>
      </c>
      <c r="ED3472" s="5" t="s">
        <v>238</v>
      </c>
      <c r="EE3472" s="5" t="s">
        <v>238</v>
      </c>
      <c r="EF3472" s="5" t="s">
        <v>238</v>
      </c>
      <c r="EG3472" s="5" t="s">
        <v>238</v>
      </c>
      <c r="EH3472" s="5" t="s">
        <v>238</v>
      </c>
      <c r="EI3472" s="5" t="s">
        <v>238</v>
      </c>
      <c r="EJ3472" s="5" t="s">
        <v>238</v>
      </c>
      <c r="EK3472" s="5" t="s">
        <v>238</v>
      </c>
      <c r="EL3472" s="5" t="s">
        <v>238</v>
      </c>
      <c r="EM3472" s="5" t="s">
        <v>238</v>
      </c>
      <c r="EN3472" s="5" t="s">
        <v>238</v>
      </c>
      <c r="EO3472" s="5" t="s">
        <v>238</v>
      </c>
      <c r="EP3472" s="5" t="s">
        <v>238</v>
      </c>
      <c r="EQ3472" s="5" t="s">
        <v>238</v>
      </c>
      <c r="ER3472" s="5" t="s">
        <v>238</v>
      </c>
      <c r="ES3472" s="5" t="s">
        <v>238</v>
      </c>
      <c r="ET3472" s="5" t="s">
        <v>238</v>
      </c>
      <c r="EU3472" s="5" t="s">
        <v>238</v>
      </c>
      <c r="EV3472" s="5" t="s">
        <v>238</v>
      </c>
      <c r="EW3472" s="5" t="s">
        <v>238</v>
      </c>
      <c r="EX3472" s="5" t="s">
        <v>238</v>
      </c>
      <c r="EY3472" s="5" t="s">
        <v>238</v>
      </c>
      <c r="EZ3472" s="5" t="s">
        <v>238</v>
      </c>
      <c r="FA3472" s="5" t="s">
        <v>238</v>
      </c>
      <c r="FB3472" s="5" t="s">
        <v>238</v>
      </c>
      <c r="FC3472" s="5" t="s">
        <v>238</v>
      </c>
      <c r="FD3472" s="5" t="s">
        <v>238</v>
      </c>
      <c r="FE3472" s="5" t="s">
        <v>238</v>
      </c>
      <c r="FF3472" s="5" t="s">
        <v>238</v>
      </c>
      <c r="FG3472" s="5" t="s">
        <v>238</v>
      </c>
      <c r="FH3472" s="5" t="s">
        <v>238</v>
      </c>
      <c r="FI3472" s="5" t="s">
        <v>238</v>
      </c>
      <c r="FJ3472" s="5" t="s">
        <v>238</v>
      </c>
      <c r="FK3472" s="5" t="s">
        <v>238</v>
      </c>
      <c r="FL3472" s="5" t="s">
        <v>238</v>
      </c>
      <c r="FM3472" s="5" t="s">
        <v>238</v>
      </c>
      <c r="FN3472" s="5" t="s">
        <v>238</v>
      </c>
      <c r="FO3472" s="5" t="s">
        <v>238</v>
      </c>
      <c r="FP3472" s="5" t="s">
        <v>238</v>
      </c>
      <c r="FQ3472" s="5" t="s">
        <v>238</v>
      </c>
      <c r="FR3472" s="5" t="s">
        <v>238</v>
      </c>
      <c r="FS3472" s="5" t="s">
        <v>238</v>
      </c>
      <c r="FT3472" s="5" t="s">
        <v>238</v>
      </c>
      <c r="FU3472" s="5" t="s">
        <v>238</v>
      </c>
      <c r="FV3472" s="5" t="s">
        <v>238</v>
      </c>
      <c r="FW3472" s="5" t="s">
        <v>238</v>
      </c>
      <c r="FX3472" s="5" t="s">
        <v>238</v>
      </c>
      <c r="FY3472" s="5" t="s">
        <v>238</v>
      </c>
      <c r="FZ3472" s="5" t="s">
        <v>238</v>
      </c>
      <c r="GA3472" s="5" t="s">
        <v>238</v>
      </c>
      <c r="GB3472" s="5" t="s">
        <v>238</v>
      </c>
      <c r="GC3472" s="5" t="s">
        <v>238</v>
      </c>
      <c r="GD3472" s="5" t="s">
        <v>238</v>
      </c>
      <c r="GE3472" s="5" t="s">
        <v>238</v>
      </c>
      <c r="GF3472" s="5" t="s">
        <v>238</v>
      </c>
      <c r="GG3472" s="5" t="s">
        <v>238</v>
      </c>
      <c r="GH3472" s="5" t="s">
        <v>238</v>
      </c>
      <c r="GI3472" s="5" t="s">
        <v>238</v>
      </c>
      <c r="GJ3472" s="5" t="s">
        <v>238</v>
      </c>
      <c r="GK3472" s="5" t="s">
        <v>238</v>
      </c>
      <c r="GL3472" s="5" t="s">
        <v>238</v>
      </c>
      <c r="GM3472" s="5" t="s">
        <v>238</v>
      </c>
      <c r="GN3472" s="5" t="s">
        <v>238</v>
      </c>
      <c r="GO3472" s="5" t="s">
        <v>238</v>
      </c>
      <c r="GP3472" s="5" t="s">
        <v>238</v>
      </c>
      <c r="GQ3472" s="5" t="s">
        <v>238</v>
      </c>
      <c r="GR3472" s="5" t="s">
        <v>238</v>
      </c>
      <c r="GS3472" s="5" t="s">
        <v>238</v>
      </c>
      <c r="GT3472" s="5" t="s">
        <v>238</v>
      </c>
      <c r="GU3472" s="5" t="s">
        <v>238</v>
      </c>
      <c r="GV3472" s="5" t="s">
        <v>238</v>
      </c>
      <c r="GW3472" s="5" t="s">
        <v>238</v>
      </c>
      <c r="GX3472" s="5" t="s">
        <v>238</v>
      </c>
      <c r="GY3472" s="5" t="s">
        <v>238</v>
      </c>
      <c r="GZ3472" s="5" t="s">
        <v>238</v>
      </c>
      <c r="HA3472" s="5" t="s">
        <v>238</v>
      </c>
      <c r="HB3472" s="5" t="s">
        <v>238</v>
      </c>
      <c r="HC3472" s="5" t="s">
        <v>238</v>
      </c>
      <c r="HD3472" s="5" t="s">
        <v>238</v>
      </c>
      <c r="HE3472" s="5" t="s">
        <v>238</v>
      </c>
      <c r="HF3472" s="5" t="s">
        <v>238</v>
      </c>
      <c r="HG3472" s="5" t="s">
        <v>238</v>
      </c>
      <c r="HH3472" s="5" t="s">
        <v>238</v>
      </c>
      <c r="HI3472" s="5" t="s">
        <v>238</v>
      </c>
      <c r="HJ3472" s="5" t="s">
        <v>238</v>
      </c>
      <c r="HK3472" s="5" t="s">
        <v>238</v>
      </c>
      <c r="HL3472" s="5" t="s">
        <v>238</v>
      </c>
      <c r="HM3472" s="5" t="s">
        <v>264</v>
      </c>
      <c r="HN3472" s="5" t="s">
        <v>238</v>
      </c>
      <c r="HO3472" s="5" t="s">
        <v>238</v>
      </c>
      <c r="HP3472" s="5" t="s">
        <v>238</v>
      </c>
      <c r="HQ3472" s="5" t="s">
        <v>238</v>
      </c>
      <c r="HR3472" s="5" t="s">
        <v>238</v>
      </c>
      <c r="HS3472" s="5" t="s">
        <v>238</v>
      </c>
      <c r="HT3472" s="5" t="s">
        <v>238</v>
      </c>
      <c r="HU3472" s="5" t="s">
        <v>238</v>
      </c>
      <c r="HV3472" s="5" t="s">
        <v>238</v>
      </c>
      <c r="HW3472" s="5" t="s">
        <v>238</v>
      </c>
      <c r="HX3472" s="5" t="s">
        <v>238</v>
      </c>
      <c r="HY3472" s="5" t="s">
        <v>238</v>
      </c>
      <c r="HZ3472" s="5" t="s">
        <v>238</v>
      </c>
      <c r="IA3472" s="5" t="s">
        <v>238</v>
      </c>
      <c r="IB3472" s="5" t="s">
        <v>238</v>
      </c>
      <c r="IC3472" s="5" t="s">
        <v>238</v>
      </c>
      <c r="ID3472" s="5" t="s">
        <v>238</v>
      </c>
    </row>
    <row r="3473" spans="1:238" x14ac:dyDescent="0.4">
      <c r="A3473" s="5">
        <v>9191</v>
      </c>
      <c r="B3473" s="5">
        <v>1</v>
      </c>
      <c r="C3473" s="5">
        <v>1</v>
      </c>
      <c r="D3473" s="5" t="s">
        <v>484</v>
      </c>
      <c r="E3473" s="5" t="s">
        <v>485</v>
      </c>
      <c r="F3473" s="5" t="s">
        <v>248</v>
      </c>
      <c r="G3473" s="5" t="s">
        <v>5115</v>
      </c>
      <c r="H3473" s="6" t="s">
        <v>5116</v>
      </c>
      <c r="I3473" s="8">
        <f>1</f>
        <v>1</v>
      </c>
      <c r="J3473" s="5" t="s">
        <v>499</v>
      </c>
      <c r="K3473" s="8">
        <f>1</f>
        <v>1</v>
      </c>
      <c r="L3473" s="6" t="s">
        <v>242</v>
      </c>
      <c r="M3473" s="5" t="s">
        <v>267</v>
      </c>
      <c r="N3473" s="5" t="s">
        <v>482</v>
      </c>
      <c r="O3473" s="5" t="s">
        <v>238</v>
      </c>
      <c r="P3473" s="5" t="s">
        <v>238</v>
      </c>
      <c r="Q3473" s="5" t="s">
        <v>239</v>
      </c>
      <c r="R3473" s="5" t="s">
        <v>270</v>
      </c>
      <c r="S3473" s="5" t="s">
        <v>238</v>
      </c>
      <c r="T3473" s="5" t="s">
        <v>238</v>
      </c>
      <c r="U3473" s="5" t="s">
        <v>238</v>
      </c>
      <c r="V3473" s="5" t="s">
        <v>238</v>
      </c>
      <c r="W3473" s="6" t="s">
        <v>238</v>
      </c>
      <c r="X3473" s="6" t="s">
        <v>238</v>
      </c>
      <c r="Y3473" s="5" t="s">
        <v>238</v>
      </c>
      <c r="Z3473" s="6" t="s">
        <v>238</v>
      </c>
      <c r="AA3473" s="6" t="s">
        <v>243</v>
      </c>
      <c r="AB3473" s="5" t="s">
        <v>486</v>
      </c>
      <c r="AC3473" s="5" t="s">
        <v>244</v>
      </c>
      <c r="AD3473" s="5" t="s">
        <v>245</v>
      </c>
      <c r="AE3473" s="5" t="s">
        <v>238</v>
      </c>
      <c r="AF3473" s="5" t="s">
        <v>238</v>
      </c>
      <c r="AG3473" s="5" t="s">
        <v>238</v>
      </c>
      <c r="AH3473" s="5" t="s">
        <v>238</v>
      </c>
      <c r="AI3473" s="5" t="s">
        <v>238</v>
      </c>
      <c r="AJ3473" s="5" t="s">
        <v>238</v>
      </c>
      <c r="AK3473" s="5" t="s">
        <v>238</v>
      </c>
      <c r="AL3473" s="5" t="s">
        <v>238</v>
      </c>
      <c r="AM3473" s="6" t="s">
        <v>238</v>
      </c>
      <c r="AN3473" s="6" t="s">
        <v>238</v>
      </c>
      <c r="AO3473" s="6" t="s">
        <v>238</v>
      </c>
      <c r="AP3473" s="6" t="s">
        <v>238</v>
      </c>
      <c r="AQ3473" s="5" t="s">
        <v>238</v>
      </c>
      <c r="AR3473" s="5" t="s">
        <v>488</v>
      </c>
      <c r="AS3473" s="5" t="s">
        <v>488</v>
      </c>
      <c r="AT3473" s="5" t="s">
        <v>246</v>
      </c>
      <c r="AU3473" s="5" t="s">
        <v>489</v>
      </c>
      <c r="AV3473" s="5" t="s">
        <v>247</v>
      </c>
      <c r="AW3473" s="5" t="s">
        <v>238</v>
      </c>
      <c r="AX3473" s="5" t="s">
        <v>249</v>
      </c>
      <c r="AY3473" s="5" t="s">
        <v>490</v>
      </c>
      <c r="BA3473" s="5" t="s">
        <v>238</v>
      </c>
      <c r="BC3473" s="5" t="s">
        <v>491</v>
      </c>
      <c r="BD3473" s="6" t="s">
        <v>492</v>
      </c>
      <c r="BE3473" s="5" t="s">
        <v>493</v>
      </c>
      <c r="BF3473" s="5" t="s">
        <v>493</v>
      </c>
      <c r="BG3473" s="5" t="s">
        <v>238</v>
      </c>
      <c r="BH3473" s="8">
        <f>1</f>
        <v>1</v>
      </c>
      <c r="BI3473" s="8">
        <f>1</f>
        <v>1</v>
      </c>
      <c r="BJ3473" s="5" t="s">
        <v>253</v>
      </c>
      <c r="BK3473" s="5" t="s">
        <v>254</v>
      </c>
      <c r="BL3473" s="5" t="s">
        <v>238</v>
      </c>
      <c r="BM3473" s="5" t="s">
        <v>238</v>
      </c>
      <c r="BN3473" s="5" t="s">
        <v>238</v>
      </c>
      <c r="BO3473" s="5" t="s">
        <v>238</v>
      </c>
      <c r="BP3473" s="5" t="s">
        <v>238</v>
      </c>
      <c r="BQ3473" s="5" t="s">
        <v>238</v>
      </c>
      <c r="BR3473" s="5" t="s">
        <v>238</v>
      </c>
      <c r="BS3473" s="5" t="s">
        <v>238</v>
      </c>
      <c r="BT3473" s="6" t="s">
        <v>238</v>
      </c>
      <c r="BU3473" s="5" t="s">
        <v>238</v>
      </c>
      <c r="BV3473" s="5" t="s">
        <v>238</v>
      </c>
      <c r="BW3473" s="5" t="s">
        <v>238</v>
      </c>
      <c r="BX3473" s="5" t="s">
        <v>254</v>
      </c>
      <c r="BY3473" s="5" t="s">
        <v>238</v>
      </c>
      <c r="BZ3473" s="5" t="s">
        <v>238</v>
      </c>
      <c r="CA3473" s="5" t="s">
        <v>238</v>
      </c>
      <c r="CB3473" s="5" t="s">
        <v>238</v>
      </c>
      <c r="CC3473" s="5" t="s">
        <v>238</v>
      </c>
      <c r="CD3473" s="5" t="s">
        <v>273</v>
      </c>
      <c r="CE3473" s="5" t="s">
        <v>256</v>
      </c>
      <c r="CF3473" s="5" t="s">
        <v>238</v>
      </c>
      <c r="CH3473" s="5" t="s">
        <v>494</v>
      </c>
      <c r="CI3473" s="6" t="s">
        <v>257</v>
      </c>
      <c r="CJ3473" s="5" t="s">
        <v>495</v>
      </c>
      <c r="CK3473" s="5" t="s">
        <v>258</v>
      </c>
      <c r="CL3473" s="5" t="s">
        <v>496</v>
      </c>
      <c r="CM3473" s="5" t="s">
        <v>238</v>
      </c>
      <c r="CN3473" s="5">
        <v>0</v>
      </c>
      <c r="CO3473" s="5" t="s">
        <v>497</v>
      </c>
      <c r="CP3473" s="5" t="s">
        <v>260</v>
      </c>
      <c r="CQ3473" s="5" t="s">
        <v>260</v>
      </c>
      <c r="CR3473" s="5" t="s">
        <v>261</v>
      </c>
      <c r="CS3473" s="5" t="s">
        <v>498</v>
      </c>
      <c r="CT3473" s="7">
        <f>1</f>
        <v>1</v>
      </c>
      <c r="CU3473" s="8">
        <f>1</f>
        <v>1</v>
      </c>
      <c r="CV3473" s="8">
        <f>0</f>
        <v>0</v>
      </c>
      <c r="CX3473" s="8">
        <f>1</f>
        <v>1</v>
      </c>
      <c r="CY3473" s="8">
        <f>1</f>
        <v>1</v>
      </c>
      <c r="CZ3473" s="8" t="s">
        <v>238</v>
      </c>
      <c r="DA3473" s="5" t="s">
        <v>238</v>
      </c>
      <c r="DB3473" s="5" t="s">
        <v>238</v>
      </c>
      <c r="DC3473" s="5" t="s">
        <v>238</v>
      </c>
      <c r="DD3473" s="5" t="s">
        <v>238</v>
      </c>
      <c r="DE3473" s="8">
        <f>0</f>
        <v>0</v>
      </c>
      <c r="DG3473" s="5" t="s">
        <v>238</v>
      </c>
      <c r="DH3473" s="5" t="s">
        <v>238</v>
      </c>
      <c r="DI3473" s="5" t="s">
        <v>238</v>
      </c>
      <c r="DJ3473" s="5" t="s">
        <v>238</v>
      </c>
      <c r="DK3473" s="5" t="s">
        <v>238</v>
      </c>
      <c r="DL3473" s="5" t="s">
        <v>238</v>
      </c>
      <c r="DM3473" s="8" t="s">
        <v>238</v>
      </c>
      <c r="DN3473" s="5" t="s">
        <v>238</v>
      </c>
      <c r="DO3473" s="5" t="s">
        <v>238</v>
      </c>
      <c r="DP3473" s="5" t="s">
        <v>490</v>
      </c>
      <c r="DQ3473" s="5" t="s">
        <v>490</v>
      </c>
      <c r="DR3473" s="5" t="s">
        <v>238</v>
      </c>
      <c r="DS3473" s="5" t="s">
        <v>238</v>
      </c>
      <c r="DT3473" s="5" t="s">
        <v>500</v>
      </c>
      <c r="DU3473" s="5" t="s">
        <v>1329</v>
      </c>
      <c r="DV3473" s="5" t="s">
        <v>238</v>
      </c>
      <c r="DW3473" s="5" t="s">
        <v>238</v>
      </c>
      <c r="DX3473" s="5" t="s">
        <v>238</v>
      </c>
      <c r="DY3473" s="5" t="s">
        <v>238</v>
      </c>
      <c r="DZ3473" s="5" t="s">
        <v>238</v>
      </c>
      <c r="EA3473" s="5" t="s">
        <v>238</v>
      </c>
      <c r="EB3473" s="5" t="s">
        <v>238</v>
      </c>
      <c r="EC3473" s="5" t="s">
        <v>238</v>
      </c>
      <c r="ED3473" s="5" t="s">
        <v>238</v>
      </c>
      <c r="EE3473" s="5" t="s">
        <v>238</v>
      </c>
      <c r="EF3473" s="5" t="s">
        <v>238</v>
      </c>
      <c r="EG3473" s="5" t="s">
        <v>238</v>
      </c>
      <c r="EH3473" s="5" t="s">
        <v>238</v>
      </c>
      <c r="EI3473" s="5" t="s">
        <v>238</v>
      </c>
      <c r="EJ3473" s="5" t="s">
        <v>238</v>
      </c>
      <c r="EK3473" s="5" t="s">
        <v>238</v>
      </c>
      <c r="EL3473" s="5" t="s">
        <v>238</v>
      </c>
      <c r="EM3473" s="5" t="s">
        <v>238</v>
      </c>
      <c r="EN3473" s="5" t="s">
        <v>238</v>
      </c>
      <c r="EO3473" s="5" t="s">
        <v>238</v>
      </c>
      <c r="EP3473" s="5" t="s">
        <v>238</v>
      </c>
      <c r="EQ3473" s="5" t="s">
        <v>238</v>
      </c>
      <c r="ER3473" s="5" t="s">
        <v>238</v>
      </c>
      <c r="ES3473" s="5" t="s">
        <v>238</v>
      </c>
      <c r="ET3473" s="5" t="s">
        <v>238</v>
      </c>
      <c r="EU3473" s="5" t="s">
        <v>238</v>
      </c>
      <c r="EV3473" s="5" t="s">
        <v>238</v>
      </c>
      <c r="EW3473" s="5" t="s">
        <v>238</v>
      </c>
      <c r="EX3473" s="5" t="s">
        <v>238</v>
      </c>
      <c r="EY3473" s="5" t="s">
        <v>238</v>
      </c>
      <c r="EZ3473" s="5" t="s">
        <v>238</v>
      </c>
      <c r="FA3473" s="5" t="s">
        <v>238</v>
      </c>
      <c r="FB3473" s="5" t="s">
        <v>238</v>
      </c>
      <c r="FC3473" s="5" t="s">
        <v>238</v>
      </c>
      <c r="FD3473" s="5" t="s">
        <v>238</v>
      </c>
      <c r="FE3473" s="5" t="s">
        <v>238</v>
      </c>
      <c r="FF3473" s="5" t="s">
        <v>238</v>
      </c>
      <c r="FG3473" s="5" t="s">
        <v>238</v>
      </c>
      <c r="FH3473" s="5" t="s">
        <v>238</v>
      </c>
      <c r="FI3473" s="5" t="s">
        <v>238</v>
      </c>
      <c r="FJ3473" s="5" t="s">
        <v>238</v>
      </c>
      <c r="FK3473" s="5" t="s">
        <v>238</v>
      </c>
      <c r="FL3473" s="5" t="s">
        <v>238</v>
      </c>
      <c r="FM3473" s="5" t="s">
        <v>238</v>
      </c>
      <c r="FN3473" s="5" t="s">
        <v>238</v>
      </c>
      <c r="FO3473" s="5" t="s">
        <v>238</v>
      </c>
      <c r="FP3473" s="5" t="s">
        <v>238</v>
      </c>
      <c r="FQ3473" s="5" t="s">
        <v>238</v>
      </c>
      <c r="FR3473" s="5" t="s">
        <v>238</v>
      </c>
      <c r="FS3473" s="5" t="s">
        <v>238</v>
      </c>
      <c r="FT3473" s="5" t="s">
        <v>238</v>
      </c>
      <c r="FU3473" s="5" t="s">
        <v>238</v>
      </c>
      <c r="FV3473" s="5" t="s">
        <v>238</v>
      </c>
      <c r="FW3473" s="5" t="s">
        <v>238</v>
      </c>
      <c r="FX3473" s="5" t="s">
        <v>238</v>
      </c>
      <c r="FY3473" s="5" t="s">
        <v>238</v>
      </c>
      <c r="FZ3473" s="5" t="s">
        <v>238</v>
      </c>
      <c r="GA3473" s="5" t="s">
        <v>238</v>
      </c>
      <c r="GB3473" s="5" t="s">
        <v>238</v>
      </c>
      <c r="GC3473" s="5" t="s">
        <v>238</v>
      </c>
      <c r="GD3473" s="5" t="s">
        <v>238</v>
      </c>
      <c r="GE3473" s="5" t="s">
        <v>238</v>
      </c>
      <c r="GF3473" s="5" t="s">
        <v>238</v>
      </c>
      <c r="GG3473" s="5" t="s">
        <v>238</v>
      </c>
      <c r="GH3473" s="5" t="s">
        <v>238</v>
      </c>
      <c r="GI3473" s="5" t="s">
        <v>238</v>
      </c>
      <c r="GJ3473" s="5" t="s">
        <v>238</v>
      </c>
      <c r="GK3473" s="5" t="s">
        <v>238</v>
      </c>
      <c r="GL3473" s="5" t="s">
        <v>238</v>
      </c>
      <c r="GM3473" s="5" t="s">
        <v>238</v>
      </c>
      <c r="GN3473" s="5" t="s">
        <v>238</v>
      </c>
      <c r="GO3473" s="5" t="s">
        <v>238</v>
      </c>
      <c r="GP3473" s="5" t="s">
        <v>238</v>
      </c>
      <c r="GQ3473" s="5" t="s">
        <v>238</v>
      </c>
      <c r="GR3473" s="5" t="s">
        <v>238</v>
      </c>
      <c r="GS3473" s="5" t="s">
        <v>238</v>
      </c>
      <c r="GT3473" s="5" t="s">
        <v>238</v>
      </c>
      <c r="GU3473" s="5" t="s">
        <v>238</v>
      </c>
      <c r="GV3473" s="5" t="s">
        <v>238</v>
      </c>
      <c r="GW3473" s="5" t="s">
        <v>238</v>
      </c>
      <c r="GX3473" s="5" t="s">
        <v>238</v>
      </c>
      <c r="GY3473" s="5" t="s">
        <v>238</v>
      </c>
      <c r="GZ3473" s="5" t="s">
        <v>238</v>
      </c>
      <c r="HA3473" s="5" t="s">
        <v>238</v>
      </c>
      <c r="HB3473" s="5" t="s">
        <v>238</v>
      </c>
      <c r="HC3473" s="5" t="s">
        <v>238</v>
      </c>
      <c r="HD3473" s="5" t="s">
        <v>238</v>
      </c>
      <c r="HE3473" s="5" t="s">
        <v>238</v>
      </c>
      <c r="HF3473" s="5" t="s">
        <v>238</v>
      </c>
      <c r="HG3473" s="5" t="s">
        <v>238</v>
      </c>
      <c r="HH3473" s="5" t="s">
        <v>238</v>
      </c>
      <c r="HI3473" s="5" t="s">
        <v>238</v>
      </c>
      <c r="HJ3473" s="5" t="s">
        <v>238</v>
      </c>
      <c r="HK3473" s="5" t="s">
        <v>238</v>
      </c>
      <c r="HL3473" s="5" t="s">
        <v>238</v>
      </c>
      <c r="HM3473" s="5" t="s">
        <v>264</v>
      </c>
      <c r="HN3473" s="5" t="s">
        <v>238</v>
      </c>
      <c r="HO3473" s="5" t="s">
        <v>238</v>
      </c>
      <c r="HP3473" s="5" t="s">
        <v>238</v>
      </c>
      <c r="HQ3473" s="5" t="s">
        <v>238</v>
      </c>
      <c r="HR3473" s="5" t="s">
        <v>238</v>
      </c>
      <c r="HS3473" s="5" t="s">
        <v>238</v>
      </c>
      <c r="HT3473" s="5" t="s">
        <v>238</v>
      </c>
      <c r="HU3473" s="5" t="s">
        <v>238</v>
      </c>
      <c r="HV3473" s="5" t="s">
        <v>238</v>
      </c>
      <c r="HW3473" s="5" t="s">
        <v>238</v>
      </c>
      <c r="HX3473" s="5" t="s">
        <v>238</v>
      </c>
      <c r="HY3473" s="5" t="s">
        <v>238</v>
      </c>
      <c r="HZ3473" s="5" t="s">
        <v>238</v>
      </c>
      <c r="IA3473" s="5" t="s">
        <v>238</v>
      </c>
      <c r="IB3473" s="5" t="s">
        <v>238</v>
      </c>
      <c r="IC3473" s="5" t="s">
        <v>238</v>
      </c>
      <c r="ID3473" s="5" t="s">
        <v>238</v>
      </c>
    </row>
    <row r="3474" spans="1:238" x14ac:dyDescent="0.4">
      <c r="A3474" s="5">
        <v>9192</v>
      </c>
      <c r="B3474" s="5">
        <v>1</v>
      </c>
      <c r="C3474" s="5">
        <v>1</v>
      </c>
      <c r="D3474" s="5" t="s">
        <v>484</v>
      </c>
      <c r="E3474" s="5" t="s">
        <v>485</v>
      </c>
      <c r="F3474" s="5" t="s">
        <v>248</v>
      </c>
      <c r="G3474" s="5" t="s">
        <v>5324</v>
      </c>
      <c r="H3474" s="6" t="s">
        <v>5325</v>
      </c>
      <c r="I3474" s="8">
        <f>1</f>
        <v>1</v>
      </c>
      <c r="J3474" s="5" t="s">
        <v>499</v>
      </c>
      <c r="K3474" s="8">
        <f>1</f>
        <v>1</v>
      </c>
      <c r="L3474" s="6" t="s">
        <v>242</v>
      </c>
      <c r="M3474" s="5" t="s">
        <v>267</v>
      </c>
      <c r="N3474" s="5" t="s">
        <v>482</v>
      </c>
      <c r="O3474" s="5" t="s">
        <v>238</v>
      </c>
      <c r="P3474" s="5" t="s">
        <v>238</v>
      </c>
      <c r="Q3474" s="5" t="s">
        <v>239</v>
      </c>
      <c r="R3474" s="5" t="s">
        <v>270</v>
      </c>
      <c r="S3474" s="5" t="s">
        <v>238</v>
      </c>
      <c r="T3474" s="5" t="s">
        <v>238</v>
      </c>
      <c r="U3474" s="5" t="s">
        <v>238</v>
      </c>
      <c r="V3474" s="5" t="s">
        <v>238</v>
      </c>
      <c r="W3474" s="6" t="s">
        <v>238</v>
      </c>
      <c r="X3474" s="6" t="s">
        <v>238</v>
      </c>
      <c r="Y3474" s="5" t="s">
        <v>238</v>
      </c>
      <c r="Z3474" s="6" t="s">
        <v>238</v>
      </c>
      <c r="AA3474" s="6" t="s">
        <v>243</v>
      </c>
      <c r="AB3474" s="5" t="s">
        <v>486</v>
      </c>
      <c r="AC3474" s="5" t="s">
        <v>244</v>
      </c>
      <c r="AD3474" s="5" t="s">
        <v>245</v>
      </c>
      <c r="AE3474" s="5" t="s">
        <v>238</v>
      </c>
      <c r="AF3474" s="5" t="s">
        <v>238</v>
      </c>
      <c r="AG3474" s="5" t="s">
        <v>238</v>
      </c>
      <c r="AH3474" s="5" t="s">
        <v>238</v>
      </c>
      <c r="AI3474" s="5" t="s">
        <v>238</v>
      </c>
      <c r="AJ3474" s="5" t="s">
        <v>238</v>
      </c>
      <c r="AK3474" s="5" t="s">
        <v>238</v>
      </c>
      <c r="AL3474" s="5" t="s">
        <v>238</v>
      </c>
      <c r="AM3474" s="6" t="s">
        <v>238</v>
      </c>
      <c r="AN3474" s="6" t="s">
        <v>238</v>
      </c>
      <c r="AO3474" s="6" t="s">
        <v>238</v>
      </c>
      <c r="AP3474" s="6" t="s">
        <v>238</v>
      </c>
      <c r="AQ3474" s="5" t="s">
        <v>238</v>
      </c>
      <c r="AR3474" s="5" t="s">
        <v>488</v>
      </c>
      <c r="AS3474" s="5" t="s">
        <v>488</v>
      </c>
      <c r="AT3474" s="5" t="s">
        <v>246</v>
      </c>
      <c r="AU3474" s="5" t="s">
        <v>489</v>
      </c>
      <c r="AV3474" s="5" t="s">
        <v>247</v>
      </c>
      <c r="AW3474" s="5" t="s">
        <v>238</v>
      </c>
      <c r="AX3474" s="5" t="s">
        <v>249</v>
      </c>
      <c r="AY3474" s="5" t="s">
        <v>490</v>
      </c>
      <c r="BA3474" s="5" t="s">
        <v>238</v>
      </c>
      <c r="BC3474" s="5" t="s">
        <v>491</v>
      </c>
      <c r="BD3474" s="6" t="s">
        <v>492</v>
      </c>
      <c r="BE3474" s="5" t="s">
        <v>493</v>
      </c>
      <c r="BF3474" s="5" t="s">
        <v>493</v>
      </c>
      <c r="BG3474" s="5" t="s">
        <v>238</v>
      </c>
      <c r="BH3474" s="8">
        <f>1</f>
        <v>1</v>
      </c>
      <c r="BI3474" s="8">
        <f>1</f>
        <v>1</v>
      </c>
      <c r="BJ3474" s="5" t="s">
        <v>253</v>
      </c>
      <c r="BK3474" s="5" t="s">
        <v>254</v>
      </c>
      <c r="BL3474" s="5" t="s">
        <v>238</v>
      </c>
      <c r="BM3474" s="5" t="s">
        <v>238</v>
      </c>
      <c r="BN3474" s="5" t="s">
        <v>238</v>
      </c>
      <c r="BO3474" s="5" t="s">
        <v>238</v>
      </c>
      <c r="BP3474" s="5" t="s">
        <v>238</v>
      </c>
      <c r="BQ3474" s="5" t="s">
        <v>238</v>
      </c>
      <c r="BR3474" s="5" t="s">
        <v>238</v>
      </c>
      <c r="BS3474" s="5" t="s">
        <v>238</v>
      </c>
      <c r="BT3474" s="6" t="s">
        <v>238</v>
      </c>
      <c r="BU3474" s="5" t="s">
        <v>238</v>
      </c>
      <c r="BV3474" s="5" t="s">
        <v>238</v>
      </c>
      <c r="BW3474" s="5" t="s">
        <v>238</v>
      </c>
      <c r="BX3474" s="5" t="s">
        <v>254</v>
      </c>
      <c r="BY3474" s="5" t="s">
        <v>238</v>
      </c>
      <c r="BZ3474" s="5" t="s">
        <v>238</v>
      </c>
      <c r="CA3474" s="5" t="s">
        <v>238</v>
      </c>
      <c r="CB3474" s="5" t="s">
        <v>238</v>
      </c>
      <c r="CC3474" s="5" t="s">
        <v>238</v>
      </c>
      <c r="CD3474" s="5" t="s">
        <v>273</v>
      </c>
      <c r="CE3474" s="5" t="s">
        <v>256</v>
      </c>
      <c r="CF3474" s="5" t="s">
        <v>238</v>
      </c>
      <c r="CH3474" s="5" t="s">
        <v>494</v>
      </c>
      <c r="CI3474" s="6" t="s">
        <v>257</v>
      </c>
      <c r="CJ3474" s="5" t="s">
        <v>495</v>
      </c>
      <c r="CK3474" s="5" t="s">
        <v>258</v>
      </c>
      <c r="CL3474" s="5" t="s">
        <v>496</v>
      </c>
      <c r="CM3474" s="5" t="s">
        <v>238</v>
      </c>
      <c r="CN3474" s="5">
        <v>0</v>
      </c>
      <c r="CO3474" s="5" t="s">
        <v>497</v>
      </c>
      <c r="CP3474" s="5" t="s">
        <v>260</v>
      </c>
      <c r="CQ3474" s="5" t="s">
        <v>260</v>
      </c>
      <c r="CR3474" s="5" t="s">
        <v>261</v>
      </c>
      <c r="CS3474" s="5" t="s">
        <v>498</v>
      </c>
      <c r="CT3474" s="7">
        <f>1</f>
        <v>1</v>
      </c>
      <c r="CU3474" s="8">
        <f>1</f>
        <v>1</v>
      </c>
      <c r="CV3474" s="8">
        <f>0</f>
        <v>0</v>
      </c>
      <c r="CX3474" s="8">
        <f>1</f>
        <v>1</v>
      </c>
      <c r="CY3474" s="8">
        <f>1</f>
        <v>1</v>
      </c>
      <c r="CZ3474" s="8" t="s">
        <v>238</v>
      </c>
      <c r="DA3474" s="5" t="s">
        <v>238</v>
      </c>
      <c r="DB3474" s="5" t="s">
        <v>238</v>
      </c>
      <c r="DC3474" s="5" t="s">
        <v>238</v>
      </c>
      <c r="DD3474" s="5" t="s">
        <v>238</v>
      </c>
      <c r="DE3474" s="8">
        <f>0</f>
        <v>0</v>
      </c>
      <c r="DG3474" s="5" t="s">
        <v>238</v>
      </c>
      <c r="DH3474" s="5" t="s">
        <v>238</v>
      </c>
      <c r="DI3474" s="5" t="s">
        <v>238</v>
      </c>
      <c r="DJ3474" s="5" t="s">
        <v>238</v>
      </c>
      <c r="DK3474" s="5" t="s">
        <v>238</v>
      </c>
      <c r="DL3474" s="5" t="s">
        <v>238</v>
      </c>
      <c r="DM3474" s="8" t="s">
        <v>238</v>
      </c>
      <c r="DN3474" s="5" t="s">
        <v>238</v>
      </c>
      <c r="DO3474" s="5" t="s">
        <v>238</v>
      </c>
      <c r="DP3474" s="5" t="s">
        <v>490</v>
      </c>
      <c r="DQ3474" s="5" t="s">
        <v>490</v>
      </c>
      <c r="DR3474" s="5" t="s">
        <v>238</v>
      </c>
      <c r="DS3474" s="5" t="s">
        <v>238</v>
      </c>
      <c r="DT3474" s="5" t="s">
        <v>500</v>
      </c>
      <c r="DU3474" s="5" t="s">
        <v>1033</v>
      </c>
      <c r="DV3474" s="5" t="s">
        <v>238</v>
      </c>
      <c r="DW3474" s="5" t="s">
        <v>238</v>
      </c>
      <c r="DX3474" s="5" t="s">
        <v>238</v>
      </c>
      <c r="DY3474" s="5" t="s">
        <v>238</v>
      </c>
      <c r="DZ3474" s="5" t="s">
        <v>238</v>
      </c>
      <c r="EA3474" s="5" t="s">
        <v>238</v>
      </c>
      <c r="EB3474" s="5" t="s">
        <v>238</v>
      </c>
      <c r="EC3474" s="5" t="s">
        <v>238</v>
      </c>
      <c r="ED3474" s="5" t="s">
        <v>238</v>
      </c>
      <c r="EE3474" s="5" t="s">
        <v>238</v>
      </c>
      <c r="EF3474" s="5" t="s">
        <v>238</v>
      </c>
      <c r="EG3474" s="5" t="s">
        <v>238</v>
      </c>
      <c r="EH3474" s="5" t="s">
        <v>238</v>
      </c>
      <c r="EI3474" s="5" t="s">
        <v>238</v>
      </c>
      <c r="EJ3474" s="5" t="s">
        <v>238</v>
      </c>
      <c r="EK3474" s="5" t="s">
        <v>238</v>
      </c>
      <c r="EL3474" s="5" t="s">
        <v>238</v>
      </c>
      <c r="EM3474" s="5" t="s">
        <v>238</v>
      </c>
      <c r="EN3474" s="5" t="s">
        <v>238</v>
      </c>
      <c r="EO3474" s="5" t="s">
        <v>238</v>
      </c>
      <c r="EP3474" s="5" t="s">
        <v>238</v>
      </c>
      <c r="EQ3474" s="5" t="s">
        <v>238</v>
      </c>
      <c r="ER3474" s="5" t="s">
        <v>238</v>
      </c>
      <c r="ES3474" s="5" t="s">
        <v>238</v>
      </c>
      <c r="ET3474" s="5" t="s">
        <v>238</v>
      </c>
      <c r="EU3474" s="5" t="s">
        <v>238</v>
      </c>
      <c r="EV3474" s="5" t="s">
        <v>238</v>
      </c>
      <c r="EW3474" s="5" t="s">
        <v>238</v>
      </c>
      <c r="EX3474" s="5" t="s">
        <v>238</v>
      </c>
      <c r="EY3474" s="5" t="s">
        <v>238</v>
      </c>
      <c r="EZ3474" s="5" t="s">
        <v>238</v>
      </c>
      <c r="FA3474" s="5" t="s">
        <v>238</v>
      </c>
      <c r="FB3474" s="5" t="s">
        <v>238</v>
      </c>
      <c r="FC3474" s="5" t="s">
        <v>238</v>
      </c>
      <c r="FD3474" s="5" t="s">
        <v>238</v>
      </c>
      <c r="FE3474" s="5" t="s">
        <v>238</v>
      </c>
      <c r="FF3474" s="5" t="s">
        <v>238</v>
      </c>
      <c r="FG3474" s="5" t="s">
        <v>238</v>
      </c>
      <c r="FH3474" s="5" t="s">
        <v>238</v>
      </c>
      <c r="FI3474" s="5" t="s">
        <v>238</v>
      </c>
      <c r="FJ3474" s="5" t="s">
        <v>238</v>
      </c>
      <c r="FK3474" s="5" t="s">
        <v>238</v>
      </c>
      <c r="FL3474" s="5" t="s">
        <v>238</v>
      </c>
      <c r="FM3474" s="5" t="s">
        <v>238</v>
      </c>
      <c r="FN3474" s="5" t="s">
        <v>238</v>
      </c>
      <c r="FO3474" s="5" t="s">
        <v>238</v>
      </c>
      <c r="FP3474" s="5" t="s">
        <v>238</v>
      </c>
      <c r="FQ3474" s="5" t="s">
        <v>238</v>
      </c>
      <c r="FR3474" s="5" t="s">
        <v>238</v>
      </c>
      <c r="FS3474" s="5" t="s">
        <v>238</v>
      </c>
      <c r="FT3474" s="5" t="s">
        <v>238</v>
      </c>
      <c r="FU3474" s="5" t="s">
        <v>238</v>
      </c>
      <c r="FV3474" s="5" t="s">
        <v>238</v>
      </c>
      <c r="FW3474" s="5" t="s">
        <v>238</v>
      </c>
      <c r="FX3474" s="5" t="s">
        <v>238</v>
      </c>
      <c r="FY3474" s="5" t="s">
        <v>238</v>
      </c>
      <c r="FZ3474" s="5" t="s">
        <v>238</v>
      </c>
      <c r="GA3474" s="5" t="s">
        <v>238</v>
      </c>
      <c r="GB3474" s="5" t="s">
        <v>238</v>
      </c>
      <c r="GC3474" s="5" t="s">
        <v>238</v>
      </c>
      <c r="GD3474" s="5" t="s">
        <v>238</v>
      </c>
      <c r="GE3474" s="5" t="s">
        <v>238</v>
      </c>
      <c r="GF3474" s="5" t="s">
        <v>238</v>
      </c>
      <c r="GG3474" s="5" t="s">
        <v>238</v>
      </c>
      <c r="GH3474" s="5" t="s">
        <v>238</v>
      </c>
      <c r="GI3474" s="5" t="s">
        <v>238</v>
      </c>
      <c r="GJ3474" s="5" t="s">
        <v>238</v>
      </c>
      <c r="GK3474" s="5" t="s">
        <v>238</v>
      </c>
      <c r="GL3474" s="5" t="s">
        <v>238</v>
      </c>
      <c r="GM3474" s="5" t="s">
        <v>238</v>
      </c>
      <c r="GN3474" s="5" t="s">
        <v>238</v>
      </c>
      <c r="GO3474" s="5" t="s">
        <v>238</v>
      </c>
      <c r="GP3474" s="5" t="s">
        <v>238</v>
      </c>
      <c r="GQ3474" s="5" t="s">
        <v>238</v>
      </c>
      <c r="GR3474" s="5" t="s">
        <v>238</v>
      </c>
      <c r="GS3474" s="5" t="s">
        <v>238</v>
      </c>
      <c r="GT3474" s="5" t="s">
        <v>238</v>
      </c>
      <c r="GU3474" s="5" t="s">
        <v>238</v>
      </c>
      <c r="GV3474" s="5" t="s">
        <v>238</v>
      </c>
      <c r="GW3474" s="5" t="s">
        <v>238</v>
      </c>
      <c r="GX3474" s="5" t="s">
        <v>238</v>
      </c>
      <c r="GY3474" s="5" t="s">
        <v>238</v>
      </c>
      <c r="GZ3474" s="5" t="s">
        <v>238</v>
      </c>
      <c r="HA3474" s="5" t="s">
        <v>238</v>
      </c>
      <c r="HB3474" s="5" t="s">
        <v>238</v>
      </c>
      <c r="HC3474" s="5" t="s">
        <v>238</v>
      </c>
      <c r="HD3474" s="5" t="s">
        <v>238</v>
      </c>
      <c r="HE3474" s="5" t="s">
        <v>238</v>
      </c>
      <c r="HF3474" s="5" t="s">
        <v>238</v>
      </c>
      <c r="HG3474" s="5" t="s">
        <v>238</v>
      </c>
      <c r="HH3474" s="5" t="s">
        <v>238</v>
      </c>
      <c r="HI3474" s="5" t="s">
        <v>238</v>
      </c>
      <c r="HJ3474" s="5" t="s">
        <v>238</v>
      </c>
      <c r="HK3474" s="5" t="s">
        <v>238</v>
      </c>
      <c r="HL3474" s="5" t="s">
        <v>238</v>
      </c>
      <c r="HM3474" s="5" t="s">
        <v>264</v>
      </c>
      <c r="HN3474" s="5" t="s">
        <v>238</v>
      </c>
      <c r="HO3474" s="5" t="s">
        <v>238</v>
      </c>
      <c r="HP3474" s="5" t="s">
        <v>238</v>
      </c>
      <c r="HQ3474" s="5" t="s">
        <v>238</v>
      </c>
      <c r="HR3474" s="5" t="s">
        <v>238</v>
      </c>
      <c r="HS3474" s="5" t="s">
        <v>238</v>
      </c>
      <c r="HT3474" s="5" t="s">
        <v>238</v>
      </c>
      <c r="HU3474" s="5" t="s">
        <v>238</v>
      </c>
      <c r="HV3474" s="5" t="s">
        <v>238</v>
      </c>
      <c r="HW3474" s="5" t="s">
        <v>238</v>
      </c>
      <c r="HX3474" s="5" t="s">
        <v>238</v>
      </c>
      <c r="HY3474" s="5" t="s">
        <v>238</v>
      </c>
      <c r="HZ3474" s="5" t="s">
        <v>238</v>
      </c>
      <c r="IA3474" s="5" t="s">
        <v>238</v>
      </c>
      <c r="IB3474" s="5" t="s">
        <v>238</v>
      </c>
      <c r="IC3474" s="5" t="s">
        <v>238</v>
      </c>
      <c r="ID3474" s="5" t="s">
        <v>238</v>
      </c>
    </row>
    <row r="3475" spans="1:238" x14ac:dyDescent="0.4">
      <c r="A3475" s="5">
        <v>9193</v>
      </c>
      <c r="B3475" s="5">
        <v>1</v>
      </c>
      <c r="C3475" s="5">
        <v>1</v>
      </c>
      <c r="D3475" s="5" t="s">
        <v>484</v>
      </c>
      <c r="E3475" s="5" t="s">
        <v>485</v>
      </c>
      <c r="F3475" s="5" t="s">
        <v>248</v>
      </c>
      <c r="G3475" s="5" t="s">
        <v>4321</v>
      </c>
      <c r="H3475" s="6" t="s">
        <v>4322</v>
      </c>
      <c r="I3475" s="8">
        <f>1</f>
        <v>1</v>
      </c>
      <c r="J3475" s="5" t="s">
        <v>499</v>
      </c>
      <c r="K3475" s="8">
        <f>1</f>
        <v>1</v>
      </c>
      <c r="L3475" s="6" t="s">
        <v>242</v>
      </c>
      <c r="M3475" s="5" t="s">
        <v>267</v>
      </c>
      <c r="N3475" s="5" t="s">
        <v>482</v>
      </c>
      <c r="O3475" s="5" t="s">
        <v>238</v>
      </c>
      <c r="P3475" s="5" t="s">
        <v>238</v>
      </c>
      <c r="Q3475" s="5" t="s">
        <v>239</v>
      </c>
      <c r="R3475" s="5" t="s">
        <v>270</v>
      </c>
      <c r="S3475" s="5" t="s">
        <v>238</v>
      </c>
      <c r="T3475" s="5" t="s">
        <v>238</v>
      </c>
      <c r="U3475" s="5" t="s">
        <v>238</v>
      </c>
      <c r="V3475" s="5" t="s">
        <v>238</v>
      </c>
      <c r="W3475" s="6" t="s">
        <v>238</v>
      </c>
      <c r="X3475" s="6" t="s">
        <v>238</v>
      </c>
      <c r="Y3475" s="5" t="s">
        <v>238</v>
      </c>
      <c r="Z3475" s="6" t="s">
        <v>238</v>
      </c>
      <c r="AA3475" s="6" t="s">
        <v>243</v>
      </c>
      <c r="AB3475" s="5" t="s">
        <v>486</v>
      </c>
      <c r="AC3475" s="5" t="s">
        <v>244</v>
      </c>
      <c r="AD3475" s="5" t="s">
        <v>245</v>
      </c>
      <c r="AE3475" s="5" t="s">
        <v>238</v>
      </c>
      <c r="AF3475" s="5" t="s">
        <v>238</v>
      </c>
      <c r="AG3475" s="5" t="s">
        <v>238</v>
      </c>
      <c r="AH3475" s="5" t="s">
        <v>238</v>
      </c>
      <c r="AI3475" s="5" t="s">
        <v>238</v>
      </c>
      <c r="AJ3475" s="5" t="s">
        <v>238</v>
      </c>
      <c r="AK3475" s="5" t="s">
        <v>238</v>
      </c>
      <c r="AL3475" s="5" t="s">
        <v>238</v>
      </c>
      <c r="AM3475" s="6" t="s">
        <v>238</v>
      </c>
      <c r="AN3475" s="6" t="s">
        <v>238</v>
      </c>
      <c r="AO3475" s="6" t="s">
        <v>238</v>
      </c>
      <c r="AP3475" s="6" t="s">
        <v>238</v>
      </c>
      <c r="AQ3475" s="5" t="s">
        <v>238</v>
      </c>
      <c r="AR3475" s="5" t="s">
        <v>488</v>
      </c>
      <c r="AS3475" s="5" t="s">
        <v>488</v>
      </c>
      <c r="AT3475" s="5" t="s">
        <v>246</v>
      </c>
      <c r="AU3475" s="5" t="s">
        <v>489</v>
      </c>
      <c r="AV3475" s="5" t="s">
        <v>247</v>
      </c>
      <c r="AW3475" s="5" t="s">
        <v>238</v>
      </c>
      <c r="AX3475" s="5" t="s">
        <v>249</v>
      </c>
      <c r="AY3475" s="5" t="s">
        <v>490</v>
      </c>
      <c r="BA3475" s="5" t="s">
        <v>238</v>
      </c>
      <c r="BC3475" s="5" t="s">
        <v>491</v>
      </c>
      <c r="BD3475" s="6" t="s">
        <v>492</v>
      </c>
      <c r="BE3475" s="5" t="s">
        <v>493</v>
      </c>
      <c r="BF3475" s="5" t="s">
        <v>493</v>
      </c>
      <c r="BG3475" s="5" t="s">
        <v>238</v>
      </c>
      <c r="BH3475" s="8">
        <f>1</f>
        <v>1</v>
      </c>
      <c r="BI3475" s="8">
        <f>1</f>
        <v>1</v>
      </c>
      <c r="BJ3475" s="5" t="s">
        <v>253</v>
      </c>
      <c r="BK3475" s="5" t="s">
        <v>254</v>
      </c>
      <c r="BL3475" s="5" t="s">
        <v>238</v>
      </c>
      <c r="BM3475" s="5" t="s">
        <v>238</v>
      </c>
      <c r="BN3475" s="5" t="s">
        <v>238</v>
      </c>
      <c r="BO3475" s="5" t="s">
        <v>238</v>
      </c>
      <c r="BP3475" s="5" t="s">
        <v>238</v>
      </c>
      <c r="BQ3475" s="5" t="s">
        <v>238</v>
      </c>
      <c r="BR3475" s="5" t="s">
        <v>238</v>
      </c>
      <c r="BS3475" s="5" t="s">
        <v>238</v>
      </c>
      <c r="BT3475" s="6" t="s">
        <v>238</v>
      </c>
      <c r="BU3475" s="5" t="s">
        <v>238</v>
      </c>
      <c r="BV3475" s="5" t="s">
        <v>238</v>
      </c>
      <c r="BW3475" s="5" t="s">
        <v>238</v>
      </c>
      <c r="BX3475" s="5" t="s">
        <v>254</v>
      </c>
      <c r="BY3475" s="5" t="s">
        <v>238</v>
      </c>
      <c r="BZ3475" s="5" t="s">
        <v>238</v>
      </c>
      <c r="CA3475" s="5" t="s">
        <v>238</v>
      </c>
      <c r="CB3475" s="5" t="s">
        <v>238</v>
      </c>
      <c r="CC3475" s="5" t="s">
        <v>238</v>
      </c>
      <c r="CD3475" s="5" t="s">
        <v>273</v>
      </c>
      <c r="CE3475" s="5" t="s">
        <v>256</v>
      </c>
      <c r="CF3475" s="5" t="s">
        <v>238</v>
      </c>
      <c r="CH3475" s="5" t="s">
        <v>494</v>
      </c>
      <c r="CI3475" s="6" t="s">
        <v>257</v>
      </c>
      <c r="CJ3475" s="5" t="s">
        <v>495</v>
      </c>
      <c r="CK3475" s="5" t="s">
        <v>258</v>
      </c>
      <c r="CL3475" s="5" t="s">
        <v>496</v>
      </c>
      <c r="CM3475" s="5" t="s">
        <v>238</v>
      </c>
      <c r="CN3475" s="5">
        <v>0</v>
      </c>
      <c r="CO3475" s="5" t="s">
        <v>497</v>
      </c>
      <c r="CP3475" s="5" t="s">
        <v>260</v>
      </c>
      <c r="CQ3475" s="5" t="s">
        <v>260</v>
      </c>
      <c r="CR3475" s="5" t="s">
        <v>261</v>
      </c>
      <c r="CS3475" s="5" t="s">
        <v>498</v>
      </c>
      <c r="CT3475" s="7">
        <f>1</f>
        <v>1</v>
      </c>
      <c r="CU3475" s="8">
        <f>1</f>
        <v>1</v>
      </c>
      <c r="CV3475" s="8">
        <f>0</f>
        <v>0</v>
      </c>
      <c r="CX3475" s="8">
        <f>1</f>
        <v>1</v>
      </c>
      <c r="CY3475" s="8">
        <f>1</f>
        <v>1</v>
      </c>
      <c r="CZ3475" s="8" t="s">
        <v>238</v>
      </c>
      <c r="DA3475" s="5" t="s">
        <v>238</v>
      </c>
      <c r="DB3475" s="5" t="s">
        <v>238</v>
      </c>
      <c r="DC3475" s="5" t="s">
        <v>238</v>
      </c>
      <c r="DD3475" s="5" t="s">
        <v>238</v>
      </c>
      <c r="DE3475" s="8">
        <f>0</f>
        <v>0</v>
      </c>
      <c r="DG3475" s="5" t="s">
        <v>238</v>
      </c>
      <c r="DH3475" s="5" t="s">
        <v>238</v>
      </c>
      <c r="DI3475" s="5" t="s">
        <v>238</v>
      </c>
      <c r="DJ3475" s="5" t="s">
        <v>238</v>
      </c>
      <c r="DK3475" s="5" t="s">
        <v>238</v>
      </c>
      <c r="DL3475" s="5" t="s">
        <v>238</v>
      </c>
      <c r="DM3475" s="8" t="s">
        <v>238</v>
      </c>
      <c r="DN3475" s="5" t="s">
        <v>238</v>
      </c>
      <c r="DO3475" s="5" t="s">
        <v>238</v>
      </c>
      <c r="DP3475" s="5" t="s">
        <v>490</v>
      </c>
      <c r="DQ3475" s="5" t="s">
        <v>490</v>
      </c>
      <c r="DR3475" s="5" t="s">
        <v>238</v>
      </c>
      <c r="DS3475" s="5" t="s">
        <v>238</v>
      </c>
      <c r="DT3475" s="5" t="s">
        <v>500</v>
      </c>
      <c r="DU3475" s="5" t="s">
        <v>1314</v>
      </c>
      <c r="DV3475" s="5" t="s">
        <v>238</v>
      </c>
      <c r="DW3475" s="5" t="s">
        <v>238</v>
      </c>
      <c r="DX3475" s="5" t="s">
        <v>238</v>
      </c>
      <c r="DY3475" s="5" t="s">
        <v>238</v>
      </c>
      <c r="DZ3475" s="5" t="s">
        <v>238</v>
      </c>
      <c r="EA3475" s="5" t="s">
        <v>238</v>
      </c>
      <c r="EB3475" s="5" t="s">
        <v>238</v>
      </c>
      <c r="EC3475" s="5" t="s">
        <v>238</v>
      </c>
      <c r="ED3475" s="5" t="s">
        <v>238</v>
      </c>
      <c r="EE3475" s="5" t="s">
        <v>238</v>
      </c>
      <c r="EF3475" s="5" t="s">
        <v>238</v>
      </c>
      <c r="EG3475" s="5" t="s">
        <v>238</v>
      </c>
      <c r="EH3475" s="5" t="s">
        <v>238</v>
      </c>
      <c r="EI3475" s="5" t="s">
        <v>238</v>
      </c>
      <c r="EJ3475" s="5" t="s">
        <v>238</v>
      </c>
      <c r="EK3475" s="5" t="s">
        <v>238</v>
      </c>
      <c r="EL3475" s="5" t="s">
        <v>238</v>
      </c>
      <c r="EM3475" s="5" t="s">
        <v>238</v>
      </c>
      <c r="EN3475" s="5" t="s">
        <v>238</v>
      </c>
      <c r="EO3475" s="5" t="s">
        <v>238</v>
      </c>
      <c r="EP3475" s="5" t="s">
        <v>238</v>
      </c>
      <c r="EQ3475" s="5" t="s">
        <v>238</v>
      </c>
      <c r="ER3475" s="5" t="s">
        <v>238</v>
      </c>
      <c r="ES3475" s="5" t="s">
        <v>238</v>
      </c>
      <c r="ET3475" s="5" t="s">
        <v>238</v>
      </c>
      <c r="EU3475" s="5" t="s">
        <v>238</v>
      </c>
      <c r="EV3475" s="5" t="s">
        <v>238</v>
      </c>
      <c r="EW3475" s="5" t="s">
        <v>238</v>
      </c>
      <c r="EX3475" s="5" t="s">
        <v>238</v>
      </c>
      <c r="EY3475" s="5" t="s">
        <v>238</v>
      </c>
      <c r="EZ3475" s="5" t="s">
        <v>238</v>
      </c>
      <c r="FA3475" s="5" t="s">
        <v>238</v>
      </c>
      <c r="FB3475" s="5" t="s">
        <v>238</v>
      </c>
      <c r="FC3475" s="5" t="s">
        <v>238</v>
      </c>
      <c r="FD3475" s="5" t="s">
        <v>238</v>
      </c>
      <c r="FE3475" s="5" t="s">
        <v>238</v>
      </c>
      <c r="FF3475" s="5" t="s">
        <v>238</v>
      </c>
      <c r="FG3475" s="5" t="s">
        <v>238</v>
      </c>
      <c r="FH3475" s="5" t="s">
        <v>238</v>
      </c>
      <c r="FI3475" s="5" t="s">
        <v>238</v>
      </c>
      <c r="FJ3475" s="5" t="s">
        <v>238</v>
      </c>
      <c r="FK3475" s="5" t="s">
        <v>238</v>
      </c>
      <c r="FL3475" s="5" t="s">
        <v>238</v>
      </c>
      <c r="FM3475" s="5" t="s">
        <v>238</v>
      </c>
      <c r="FN3475" s="5" t="s">
        <v>238</v>
      </c>
      <c r="FO3475" s="5" t="s">
        <v>238</v>
      </c>
      <c r="FP3475" s="5" t="s">
        <v>238</v>
      </c>
      <c r="FQ3475" s="5" t="s">
        <v>238</v>
      </c>
      <c r="FR3475" s="5" t="s">
        <v>238</v>
      </c>
      <c r="FS3475" s="5" t="s">
        <v>238</v>
      </c>
      <c r="FT3475" s="5" t="s">
        <v>238</v>
      </c>
      <c r="FU3475" s="5" t="s">
        <v>238</v>
      </c>
      <c r="FV3475" s="5" t="s">
        <v>238</v>
      </c>
      <c r="FW3475" s="5" t="s">
        <v>238</v>
      </c>
      <c r="FX3475" s="5" t="s">
        <v>238</v>
      </c>
      <c r="FY3475" s="5" t="s">
        <v>238</v>
      </c>
      <c r="FZ3475" s="5" t="s">
        <v>238</v>
      </c>
      <c r="GA3475" s="5" t="s">
        <v>238</v>
      </c>
      <c r="GB3475" s="5" t="s">
        <v>238</v>
      </c>
      <c r="GC3475" s="5" t="s">
        <v>238</v>
      </c>
      <c r="GD3475" s="5" t="s">
        <v>238</v>
      </c>
      <c r="GE3475" s="5" t="s">
        <v>238</v>
      </c>
      <c r="GF3475" s="5" t="s">
        <v>238</v>
      </c>
      <c r="GG3475" s="5" t="s">
        <v>238</v>
      </c>
      <c r="GH3475" s="5" t="s">
        <v>238</v>
      </c>
      <c r="GI3475" s="5" t="s">
        <v>238</v>
      </c>
      <c r="GJ3475" s="5" t="s">
        <v>238</v>
      </c>
      <c r="GK3475" s="5" t="s">
        <v>238</v>
      </c>
      <c r="GL3475" s="5" t="s">
        <v>238</v>
      </c>
      <c r="GM3475" s="5" t="s">
        <v>238</v>
      </c>
      <c r="GN3475" s="5" t="s">
        <v>238</v>
      </c>
      <c r="GO3475" s="5" t="s">
        <v>238</v>
      </c>
      <c r="GP3475" s="5" t="s">
        <v>238</v>
      </c>
      <c r="GQ3475" s="5" t="s">
        <v>238</v>
      </c>
      <c r="GR3475" s="5" t="s">
        <v>238</v>
      </c>
      <c r="GS3475" s="5" t="s">
        <v>238</v>
      </c>
      <c r="GT3475" s="5" t="s">
        <v>238</v>
      </c>
      <c r="GU3475" s="5" t="s">
        <v>238</v>
      </c>
      <c r="GV3475" s="5" t="s">
        <v>238</v>
      </c>
      <c r="GW3475" s="5" t="s">
        <v>238</v>
      </c>
      <c r="GX3475" s="5" t="s">
        <v>238</v>
      </c>
      <c r="GY3475" s="5" t="s">
        <v>238</v>
      </c>
      <c r="GZ3475" s="5" t="s">
        <v>238</v>
      </c>
      <c r="HA3475" s="5" t="s">
        <v>238</v>
      </c>
      <c r="HB3475" s="5" t="s">
        <v>238</v>
      </c>
      <c r="HC3475" s="5" t="s">
        <v>238</v>
      </c>
      <c r="HD3475" s="5" t="s">
        <v>238</v>
      </c>
      <c r="HE3475" s="5" t="s">
        <v>238</v>
      </c>
      <c r="HF3475" s="5" t="s">
        <v>238</v>
      </c>
      <c r="HG3475" s="5" t="s">
        <v>238</v>
      </c>
      <c r="HH3475" s="5" t="s">
        <v>238</v>
      </c>
      <c r="HI3475" s="5" t="s">
        <v>238</v>
      </c>
      <c r="HJ3475" s="5" t="s">
        <v>238</v>
      </c>
      <c r="HK3475" s="5" t="s">
        <v>238</v>
      </c>
      <c r="HL3475" s="5" t="s">
        <v>238</v>
      </c>
      <c r="HM3475" s="5" t="s">
        <v>264</v>
      </c>
      <c r="HN3475" s="5" t="s">
        <v>238</v>
      </c>
      <c r="HO3475" s="5" t="s">
        <v>238</v>
      </c>
      <c r="HP3475" s="5" t="s">
        <v>238</v>
      </c>
      <c r="HQ3475" s="5" t="s">
        <v>238</v>
      </c>
      <c r="HR3475" s="5" t="s">
        <v>238</v>
      </c>
      <c r="HS3475" s="5" t="s">
        <v>238</v>
      </c>
      <c r="HT3475" s="5" t="s">
        <v>238</v>
      </c>
      <c r="HU3475" s="5" t="s">
        <v>238</v>
      </c>
      <c r="HV3475" s="5" t="s">
        <v>238</v>
      </c>
      <c r="HW3475" s="5" t="s">
        <v>238</v>
      </c>
      <c r="HX3475" s="5" t="s">
        <v>238</v>
      </c>
      <c r="HY3475" s="5" t="s">
        <v>238</v>
      </c>
      <c r="HZ3475" s="5" t="s">
        <v>238</v>
      </c>
      <c r="IA3475" s="5" t="s">
        <v>238</v>
      </c>
      <c r="IB3475" s="5" t="s">
        <v>238</v>
      </c>
      <c r="IC3475" s="5" t="s">
        <v>238</v>
      </c>
      <c r="ID3475" s="5" t="s">
        <v>238</v>
      </c>
    </row>
    <row r="3476" spans="1:238" x14ac:dyDescent="0.4">
      <c r="A3476" s="5">
        <v>9194</v>
      </c>
      <c r="B3476" s="5">
        <v>1</v>
      </c>
      <c r="C3476" s="5">
        <v>1</v>
      </c>
      <c r="D3476" s="5" t="s">
        <v>484</v>
      </c>
      <c r="E3476" s="5" t="s">
        <v>485</v>
      </c>
      <c r="F3476" s="5" t="s">
        <v>248</v>
      </c>
      <c r="G3476" s="5" t="s">
        <v>5202</v>
      </c>
      <c r="H3476" s="6" t="s">
        <v>5204</v>
      </c>
      <c r="I3476" s="8">
        <f>1</f>
        <v>1</v>
      </c>
      <c r="J3476" s="5" t="s">
        <v>499</v>
      </c>
      <c r="K3476" s="8">
        <f>1</f>
        <v>1</v>
      </c>
      <c r="L3476" s="6" t="s">
        <v>242</v>
      </c>
      <c r="M3476" s="5" t="s">
        <v>267</v>
      </c>
      <c r="N3476" s="5" t="s">
        <v>482</v>
      </c>
      <c r="O3476" s="5" t="s">
        <v>238</v>
      </c>
      <c r="P3476" s="5" t="s">
        <v>238</v>
      </c>
      <c r="Q3476" s="5" t="s">
        <v>239</v>
      </c>
      <c r="R3476" s="5" t="s">
        <v>270</v>
      </c>
      <c r="S3476" s="5" t="s">
        <v>238</v>
      </c>
      <c r="T3476" s="5" t="s">
        <v>238</v>
      </c>
      <c r="U3476" s="5" t="s">
        <v>238</v>
      </c>
      <c r="V3476" s="5" t="s">
        <v>238</v>
      </c>
      <c r="W3476" s="6" t="s">
        <v>238</v>
      </c>
      <c r="X3476" s="6" t="s">
        <v>238</v>
      </c>
      <c r="Y3476" s="5" t="s">
        <v>238</v>
      </c>
      <c r="Z3476" s="6" t="s">
        <v>238</v>
      </c>
      <c r="AA3476" s="6" t="s">
        <v>243</v>
      </c>
      <c r="AB3476" s="5" t="s">
        <v>5203</v>
      </c>
      <c r="AC3476" s="5" t="s">
        <v>244</v>
      </c>
      <c r="AD3476" s="5" t="s">
        <v>245</v>
      </c>
      <c r="AE3476" s="5" t="s">
        <v>238</v>
      </c>
      <c r="AF3476" s="5" t="s">
        <v>238</v>
      </c>
      <c r="AG3476" s="5" t="s">
        <v>238</v>
      </c>
      <c r="AH3476" s="5" t="s">
        <v>238</v>
      </c>
      <c r="AI3476" s="5" t="s">
        <v>238</v>
      </c>
      <c r="AJ3476" s="5" t="s">
        <v>238</v>
      </c>
      <c r="AK3476" s="5" t="s">
        <v>238</v>
      </c>
      <c r="AL3476" s="5" t="s">
        <v>238</v>
      </c>
      <c r="AM3476" s="6" t="s">
        <v>238</v>
      </c>
      <c r="AN3476" s="6" t="s">
        <v>238</v>
      </c>
      <c r="AO3476" s="6" t="s">
        <v>238</v>
      </c>
      <c r="AP3476" s="6" t="s">
        <v>238</v>
      </c>
      <c r="AQ3476" s="5" t="s">
        <v>238</v>
      </c>
      <c r="AR3476" s="5" t="s">
        <v>488</v>
      </c>
      <c r="AS3476" s="5" t="s">
        <v>488</v>
      </c>
      <c r="AT3476" s="5" t="s">
        <v>246</v>
      </c>
      <c r="AU3476" s="5" t="s">
        <v>489</v>
      </c>
      <c r="AV3476" s="5" t="s">
        <v>247</v>
      </c>
      <c r="AW3476" s="5" t="s">
        <v>238</v>
      </c>
      <c r="AX3476" s="5" t="s">
        <v>249</v>
      </c>
      <c r="AY3476" s="5" t="s">
        <v>490</v>
      </c>
      <c r="BA3476" s="5" t="s">
        <v>238</v>
      </c>
      <c r="BC3476" s="5" t="s">
        <v>491</v>
      </c>
      <c r="BD3476" s="6" t="s">
        <v>492</v>
      </c>
      <c r="BE3476" s="5" t="s">
        <v>493</v>
      </c>
      <c r="BF3476" s="5" t="s">
        <v>493</v>
      </c>
      <c r="BG3476" s="5" t="s">
        <v>238</v>
      </c>
      <c r="BH3476" s="8">
        <f>1</f>
        <v>1</v>
      </c>
      <c r="BI3476" s="8">
        <f>1</f>
        <v>1</v>
      </c>
      <c r="BJ3476" s="5" t="s">
        <v>253</v>
      </c>
      <c r="BK3476" s="5" t="s">
        <v>254</v>
      </c>
      <c r="BL3476" s="5" t="s">
        <v>238</v>
      </c>
      <c r="BM3476" s="5" t="s">
        <v>238</v>
      </c>
      <c r="BN3476" s="5" t="s">
        <v>238</v>
      </c>
      <c r="BO3476" s="5" t="s">
        <v>238</v>
      </c>
      <c r="BP3476" s="5" t="s">
        <v>238</v>
      </c>
      <c r="BQ3476" s="5" t="s">
        <v>238</v>
      </c>
      <c r="BR3476" s="5" t="s">
        <v>238</v>
      </c>
      <c r="BS3476" s="5" t="s">
        <v>238</v>
      </c>
      <c r="BT3476" s="6" t="s">
        <v>238</v>
      </c>
      <c r="BU3476" s="5" t="s">
        <v>238</v>
      </c>
      <c r="BV3476" s="5" t="s">
        <v>238</v>
      </c>
      <c r="BW3476" s="5" t="s">
        <v>238</v>
      </c>
      <c r="BX3476" s="5" t="s">
        <v>254</v>
      </c>
      <c r="BY3476" s="5" t="s">
        <v>238</v>
      </c>
      <c r="BZ3476" s="5" t="s">
        <v>238</v>
      </c>
      <c r="CA3476" s="5" t="s">
        <v>238</v>
      </c>
      <c r="CB3476" s="5" t="s">
        <v>238</v>
      </c>
      <c r="CC3476" s="5" t="s">
        <v>238</v>
      </c>
      <c r="CD3476" s="5" t="s">
        <v>273</v>
      </c>
      <c r="CE3476" s="5" t="s">
        <v>256</v>
      </c>
      <c r="CF3476" s="5" t="s">
        <v>238</v>
      </c>
      <c r="CH3476" s="5" t="s">
        <v>494</v>
      </c>
      <c r="CI3476" s="6" t="s">
        <v>257</v>
      </c>
      <c r="CJ3476" s="5" t="s">
        <v>495</v>
      </c>
      <c r="CK3476" s="5" t="s">
        <v>258</v>
      </c>
      <c r="CL3476" s="5" t="s">
        <v>496</v>
      </c>
      <c r="CM3476" s="5" t="s">
        <v>238</v>
      </c>
      <c r="CN3476" s="5">
        <v>0</v>
      </c>
      <c r="CO3476" s="5" t="s">
        <v>497</v>
      </c>
      <c r="CP3476" s="5" t="s">
        <v>260</v>
      </c>
      <c r="CQ3476" s="5" t="s">
        <v>260</v>
      </c>
      <c r="CR3476" s="5" t="s">
        <v>261</v>
      </c>
      <c r="CS3476" s="5" t="s">
        <v>498</v>
      </c>
      <c r="CT3476" s="7">
        <f>1</f>
        <v>1</v>
      </c>
      <c r="CU3476" s="8">
        <f>1</f>
        <v>1</v>
      </c>
      <c r="CV3476" s="8">
        <f>0</f>
        <v>0</v>
      </c>
      <c r="CX3476" s="8">
        <f>1</f>
        <v>1</v>
      </c>
      <c r="CY3476" s="8">
        <f>1</f>
        <v>1</v>
      </c>
      <c r="CZ3476" s="8" t="s">
        <v>238</v>
      </c>
      <c r="DA3476" s="5" t="s">
        <v>238</v>
      </c>
      <c r="DB3476" s="5" t="s">
        <v>238</v>
      </c>
      <c r="DC3476" s="5" t="s">
        <v>238</v>
      </c>
      <c r="DD3476" s="5" t="s">
        <v>238</v>
      </c>
      <c r="DE3476" s="8">
        <f>0</f>
        <v>0</v>
      </c>
      <c r="DG3476" s="5" t="s">
        <v>238</v>
      </c>
      <c r="DH3476" s="5" t="s">
        <v>238</v>
      </c>
      <c r="DI3476" s="5" t="s">
        <v>238</v>
      </c>
      <c r="DJ3476" s="5" t="s">
        <v>238</v>
      </c>
      <c r="DK3476" s="5" t="s">
        <v>238</v>
      </c>
      <c r="DL3476" s="5" t="s">
        <v>238</v>
      </c>
      <c r="DM3476" s="8" t="s">
        <v>238</v>
      </c>
      <c r="DN3476" s="5" t="s">
        <v>238</v>
      </c>
      <c r="DO3476" s="5" t="s">
        <v>238</v>
      </c>
      <c r="DP3476" s="5" t="s">
        <v>490</v>
      </c>
      <c r="DQ3476" s="5" t="s">
        <v>490</v>
      </c>
      <c r="DR3476" s="5" t="s">
        <v>238</v>
      </c>
      <c r="DS3476" s="5" t="s">
        <v>238</v>
      </c>
      <c r="DT3476" s="5" t="s">
        <v>500</v>
      </c>
      <c r="DU3476" s="5" t="s">
        <v>1021</v>
      </c>
      <c r="DV3476" s="5" t="s">
        <v>238</v>
      </c>
      <c r="DW3476" s="5" t="s">
        <v>238</v>
      </c>
      <c r="DX3476" s="5" t="s">
        <v>238</v>
      </c>
      <c r="DY3476" s="5" t="s">
        <v>238</v>
      </c>
      <c r="DZ3476" s="5" t="s">
        <v>238</v>
      </c>
      <c r="EA3476" s="5" t="s">
        <v>238</v>
      </c>
      <c r="EB3476" s="5" t="s">
        <v>238</v>
      </c>
      <c r="EC3476" s="5" t="s">
        <v>238</v>
      </c>
      <c r="ED3476" s="5" t="s">
        <v>238</v>
      </c>
      <c r="EE3476" s="5" t="s">
        <v>238</v>
      </c>
      <c r="EF3476" s="5" t="s">
        <v>238</v>
      </c>
      <c r="EG3476" s="5" t="s">
        <v>238</v>
      </c>
      <c r="EH3476" s="5" t="s">
        <v>238</v>
      </c>
      <c r="EI3476" s="5" t="s">
        <v>238</v>
      </c>
      <c r="EJ3476" s="5" t="s">
        <v>238</v>
      </c>
      <c r="EK3476" s="5" t="s">
        <v>238</v>
      </c>
      <c r="EL3476" s="5" t="s">
        <v>238</v>
      </c>
      <c r="EM3476" s="5" t="s">
        <v>238</v>
      </c>
      <c r="EN3476" s="5" t="s">
        <v>238</v>
      </c>
      <c r="EO3476" s="5" t="s">
        <v>238</v>
      </c>
      <c r="EP3476" s="5" t="s">
        <v>238</v>
      </c>
      <c r="EQ3476" s="5" t="s">
        <v>238</v>
      </c>
      <c r="ER3476" s="5" t="s">
        <v>238</v>
      </c>
      <c r="ES3476" s="5" t="s">
        <v>238</v>
      </c>
      <c r="ET3476" s="5" t="s">
        <v>238</v>
      </c>
      <c r="EU3476" s="5" t="s">
        <v>238</v>
      </c>
      <c r="EV3476" s="5" t="s">
        <v>238</v>
      </c>
      <c r="EW3476" s="5" t="s">
        <v>238</v>
      </c>
      <c r="EX3476" s="5" t="s">
        <v>238</v>
      </c>
      <c r="EY3476" s="5" t="s">
        <v>238</v>
      </c>
      <c r="EZ3476" s="5" t="s">
        <v>238</v>
      </c>
      <c r="FA3476" s="5" t="s">
        <v>238</v>
      </c>
      <c r="FB3476" s="5" t="s">
        <v>238</v>
      </c>
      <c r="FC3476" s="5" t="s">
        <v>238</v>
      </c>
      <c r="FD3476" s="5" t="s">
        <v>238</v>
      </c>
      <c r="FE3476" s="5" t="s">
        <v>238</v>
      </c>
      <c r="FF3476" s="5" t="s">
        <v>238</v>
      </c>
      <c r="FG3476" s="5" t="s">
        <v>238</v>
      </c>
      <c r="FH3476" s="5" t="s">
        <v>238</v>
      </c>
      <c r="FI3476" s="5" t="s">
        <v>238</v>
      </c>
      <c r="FJ3476" s="5" t="s">
        <v>238</v>
      </c>
      <c r="FK3476" s="5" t="s">
        <v>238</v>
      </c>
      <c r="FL3476" s="5" t="s">
        <v>238</v>
      </c>
      <c r="FM3476" s="5" t="s">
        <v>238</v>
      </c>
      <c r="FN3476" s="5" t="s">
        <v>238</v>
      </c>
      <c r="FO3476" s="5" t="s">
        <v>238</v>
      </c>
      <c r="FP3476" s="5" t="s">
        <v>238</v>
      </c>
      <c r="FQ3476" s="5" t="s">
        <v>238</v>
      </c>
      <c r="FR3476" s="5" t="s">
        <v>238</v>
      </c>
      <c r="FS3476" s="5" t="s">
        <v>238</v>
      </c>
      <c r="FT3476" s="5" t="s">
        <v>238</v>
      </c>
      <c r="FU3476" s="5" t="s">
        <v>238</v>
      </c>
      <c r="FV3476" s="5" t="s">
        <v>238</v>
      </c>
      <c r="FW3476" s="5" t="s">
        <v>238</v>
      </c>
      <c r="FX3476" s="5" t="s">
        <v>238</v>
      </c>
      <c r="FY3476" s="5" t="s">
        <v>238</v>
      </c>
      <c r="FZ3476" s="5" t="s">
        <v>238</v>
      </c>
      <c r="GA3476" s="5" t="s">
        <v>238</v>
      </c>
      <c r="GB3476" s="5" t="s">
        <v>238</v>
      </c>
      <c r="GC3476" s="5" t="s">
        <v>238</v>
      </c>
      <c r="GD3476" s="5" t="s">
        <v>238</v>
      </c>
      <c r="GE3476" s="5" t="s">
        <v>238</v>
      </c>
      <c r="GF3476" s="5" t="s">
        <v>238</v>
      </c>
      <c r="GG3476" s="5" t="s">
        <v>238</v>
      </c>
      <c r="GH3476" s="5" t="s">
        <v>238</v>
      </c>
      <c r="GI3476" s="5" t="s">
        <v>238</v>
      </c>
      <c r="GJ3476" s="5" t="s">
        <v>238</v>
      </c>
      <c r="GK3476" s="5" t="s">
        <v>238</v>
      </c>
      <c r="GL3476" s="5" t="s">
        <v>238</v>
      </c>
      <c r="GM3476" s="5" t="s">
        <v>238</v>
      </c>
      <c r="GN3476" s="5" t="s">
        <v>238</v>
      </c>
      <c r="GO3476" s="5" t="s">
        <v>238</v>
      </c>
      <c r="GP3476" s="5" t="s">
        <v>238</v>
      </c>
      <c r="GQ3476" s="5" t="s">
        <v>238</v>
      </c>
      <c r="GR3476" s="5" t="s">
        <v>238</v>
      </c>
      <c r="GS3476" s="5" t="s">
        <v>238</v>
      </c>
      <c r="GT3476" s="5" t="s">
        <v>238</v>
      </c>
      <c r="GU3476" s="5" t="s">
        <v>238</v>
      </c>
      <c r="GV3476" s="5" t="s">
        <v>238</v>
      </c>
      <c r="GW3476" s="5" t="s">
        <v>238</v>
      </c>
      <c r="GX3476" s="5" t="s">
        <v>238</v>
      </c>
      <c r="GY3476" s="5" t="s">
        <v>238</v>
      </c>
      <c r="GZ3476" s="5" t="s">
        <v>238</v>
      </c>
      <c r="HA3476" s="5" t="s">
        <v>238</v>
      </c>
      <c r="HB3476" s="5" t="s">
        <v>238</v>
      </c>
      <c r="HC3476" s="5" t="s">
        <v>238</v>
      </c>
      <c r="HD3476" s="5" t="s">
        <v>238</v>
      </c>
      <c r="HE3476" s="5" t="s">
        <v>238</v>
      </c>
      <c r="HF3476" s="5" t="s">
        <v>238</v>
      </c>
      <c r="HG3476" s="5" t="s">
        <v>238</v>
      </c>
      <c r="HH3476" s="5" t="s">
        <v>238</v>
      </c>
      <c r="HI3476" s="5" t="s">
        <v>238</v>
      </c>
      <c r="HJ3476" s="5" t="s">
        <v>238</v>
      </c>
      <c r="HK3476" s="5" t="s">
        <v>238</v>
      </c>
      <c r="HL3476" s="5" t="s">
        <v>238</v>
      </c>
      <c r="HM3476" s="5" t="s">
        <v>264</v>
      </c>
      <c r="HN3476" s="5" t="s">
        <v>238</v>
      </c>
      <c r="HO3476" s="5" t="s">
        <v>238</v>
      </c>
      <c r="HP3476" s="5" t="s">
        <v>238</v>
      </c>
      <c r="HQ3476" s="5" t="s">
        <v>238</v>
      </c>
      <c r="HR3476" s="5" t="s">
        <v>238</v>
      </c>
      <c r="HS3476" s="5" t="s">
        <v>238</v>
      </c>
      <c r="HT3476" s="5" t="s">
        <v>238</v>
      </c>
      <c r="HU3476" s="5" t="s">
        <v>238</v>
      </c>
      <c r="HV3476" s="5" t="s">
        <v>238</v>
      </c>
      <c r="HW3476" s="5" t="s">
        <v>238</v>
      </c>
      <c r="HX3476" s="5" t="s">
        <v>238</v>
      </c>
      <c r="HY3476" s="5" t="s">
        <v>238</v>
      </c>
      <c r="HZ3476" s="5" t="s">
        <v>238</v>
      </c>
      <c r="IA3476" s="5" t="s">
        <v>238</v>
      </c>
      <c r="IB3476" s="5" t="s">
        <v>238</v>
      </c>
      <c r="IC3476" s="5" t="s">
        <v>238</v>
      </c>
      <c r="ID3476" s="5" t="s">
        <v>238</v>
      </c>
    </row>
    <row r="3477" spans="1:238" x14ac:dyDescent="0.4">
      <c r="A3477" s="5">
        <v>9195</v>
      </c>
      <c r="B3477" s="5">
        <v>1</v>
      </c>
      <c r="C3477" s="5">
        <v>1</v>
      </c>
      <c r="D3477" s="5" t="s">
        <v>484</v>
      </c>
      <c r="E3477" s="5" t="s">
        <v>485</v>
      </c>
      <c r="F3477" s="5" t="s">
        <v>248</v>
      </c>
      <c r="G3477" s="5" t="s">
        <v>5428</v>
      </c>
      <c r="H3477" s="6" t="s">
        <v>5429</v>
      </c>
      <c r="I3477" s="8">
        <f>1</f>
        <v>1</v>
      </c>
      <c r="J3477" s="5" t="s">
        <v>499</v>
      </c>
      <c r="K3477" s="8">
        <f>1</f>
        <v>1</v>
      </c>
      <c r="L3477" s="6" t="s">
        <v>242</v>
      </c>
      <c r="M3477" s="5" t="s">
        <v>267</v>
      </c>
      <c r="N3477" s="5" t="s">
        <v>482</v>
      </c>
      <c r="O3477" s="5" t="s">
        <v>238</v>
      </c>
      <c r="P3477" s="5" t="s">
        <v>238</v>
      </c>
      <c r="Q3477" s="5" t="s">
        <v>239</v>
      </c>
      <c r="R3477" s="5" t="s">
        <v>270</v>
      </c>
      <c r="S3477" s="5" t="s">
        <v>238</v>
      </c>
      <c r="T3477" s="5" t="s">
        <v>238</v>
      </c>
      <c r="U3477" s="5" t="s">
        <v>238</v>
      </c>
      <c r="V3477" s="5" t="s">
        <v>238</v>
      </c>
      <c r="W3477" s="6" t="s">
        <v>238</v>
      </c>
      <c r="X3477" s="6" t="s">
        <v>238</v>
      </c>
      <c r="Y3477" s="5" t="s">
        <v>238</v>
      </c>
      <c r="Z3477" s="6" t="s">
        <v>238</v>
      </c>
      <c r="AA3477" s="6" t="s">
        <v>243</v>
      </c>
      <c r="AB3477" s="5" t="s">
        <v>486</v>
      </c>
      <c r="AC3477" s="5" t="s">
        <v>244</v>
      </c>
      <c r="AD3477" s="5" t="s">
        <v>245</v>
      </c>
      <c r="AE3477" s="5" t="s">
        <v>238</v>
      </c>
      <c r="AF3477" s="5" t="s">
        <v>238</v>
      </c>
      <c r="AG3477" s="5" t="s">
        <v>238</v>
      </c>
      <c r="AH3477" s="5" t="s">
        <v>238</v>
      </c>
      <c r="AI3477" s="5" t="s">
        <v>238</v>
      </c>
      <c r="AJ3477" s="5" t="s">
        <v>238</v>
      </c>
      <c r="AK3477" s="5" t="s">
        <v>238</v>
      </c>
      <c r="AL3477" s="5" t="s">
        <v>238</v>
      </c>
      <c r="AM3477" s="6" t="s">
        <v>238</v>
      </c>
      <c r="AN3477" s="6" t="s">
        <v>238</v>
      </c>
      <c r="AO3477" s="6" t="s">
        <v>238</v>
      </c>
      <c r="AP3477" s="6" t="s">
        <v>238</v>
      </c>
      <c r="AQ3477" s="5" t="s">
        <v>238</v>
      </c>
      <c r="AR3477" s="5" t="s">
        <v>488</v>
      </c>
      <c r="AS3477" s="5" t="s">
        <v>488</v>
      </c>
      <c r="AT3477" s="5" t="s">
        <v>246</v>
      </c>
      <c r="AU3477" s="5" t="s">
        <v>489</v>
      </c>
      <c r="AV3477" s="5" t="s">
        <v>247</v>
      </c>
      <c r="AW3477" s="5" t="s">
        <v>238</v>
      </c>
      <c r="AX3477" s="5" t="s">
        <v>249</v>
      </c>
      <c r="AY3477" s="5" t="s">
        <v>490</v>
      </c>
      <c r="BA3477" s="5" t="s">
        <v>238</v>
      </c>
      <c r="BC3477" s="5" t="s">
        <v>491</v>
      </c>
      <c r="BD3477" s="6" t="s">
        <v>492</v>
      </c>
      <c r="BE3477" s="5" t="s">
        <v>493</v>
      </c>
      <c r="BF3477" s="5" t="s">
        <v>493</v>
      </c>
      <c r="BG3477" s="5" t="s">
        <v>238</v>
      </c>
      <c r="BH3477" s="8">
        <f>1</f>
        <v>1</v>
      </c>
      <c r="BI3477" s="8">
        <f>1</f>
        <v>1</v>
      </c>
      <c r="BJ3477" s="5" t="s">
        <v>253</v>
      </c>
      <c r="BK3477" s="5" t="s">
        <v>254</v>
      </c>
      <c r="BL3477" s="5" t="s">
        <v>238</v>
      </c>
      <c r="BM3477" s="5" t="s">
        <v>238</v>
      </c>
      <c r="BN3477" s="5" t="s">
        <v>238</v>
      </c>
      <c r="BO3477" s="5" t="s">
        <v>238</v>
      </c>
      <c r="BP3477" s="5" t="s">
        <v>238</v>
      </c>
      <c r="BQ3477" s="5" t="s">
        <v>238</v>
      </c>
      <c r="BR3477" s="5" t="s">
        <v>238</v>
      </c>
      <c r="BS3477" s="5" t="s">
        <v>238</v>
      </c>
      <c r="BT3477" s="6" t="s">
        <v>238</v>
      </c>
      <c r="BU3477" s="5" t="s">
        <v>238</v>
      </c>
      <c r="BV3477" s="5" t="s">
        <v>238</v>
      </c>
      <c r="BW3477" s="5" t="s">
        <v>238</v>
      </c>
      <c r="BX3477" s="5" t="s">
        <v>254</v>
      </c>
      <c r="BY3477" s="5" t="s">
        <v>238</v>
      </c>
      <c r="BZ3477" s="5" t="s">
        <v>238</v>
      </c>
      <c r="CA3477" s="5" t="s">
        <v>238</v>
      </c>
      <c r="CB3477" s="5" t="s">
        <v>238</v>
      </c>
      <c r="CC3477" s="5" t="s">
        <v>238</v>
      </c>
      <c r="CD3477" s="5" t="s">
        <v>273</v>
      </c>
      <c r="CE3477" s="5" t="s">
        <v>256</v>
      </c>
      <c r="CF3477" s="5" t="s">
        <v>238</v>
      </c>
      <c r="CH3477" s="5" t="s">
        <v>494</v>
      </c>
      <c r="CI3477" s="6" t="s">
        <v>257</v>
      </c>
      <c r="CJ3477" s="5" t="s">
        <v>495</v>
      </c>
      <c r="CK3477" s="5" t="s">
        <v>258</v>
      </c>
      <c r="CL3477" s="5" t="s">
        <v>496</v>
      </c>
      <c r="CM3477" s="5" t="s">
        <v>238</v>
      </c>
      <c r="CN3477" s="5">
        <v>0</v>
      </c>
      <c r="CO3477" s="5" t="s">
        <v>497</v>
      </c>
      <c r="CP3477" s="5" t="s">
        <v>260</v>
      </c>
      <c r="CQ3477" s="5" t="s">
        <v>260</v>
      </c>
      <c r="CR3477" s="5" t="s">
        <v>261</v>
      </c>
      <c r="CS3477" s="5" t="s">
        <v>498</v>
      </c>
      <c r="CT3477" s="7">
        <f>1</f>
        <v>1</v>
      </c>
      <c r="CU3477" s="8">
        <f>1</f>
        <v>1</v>
      </c>
      <c r="CV3477" s="8">
        <f>0</f>
        <v>0</v>
      </c>
      <c r="CX3477" s="8">
        <f>1</f>
        <v>1</v>
      </c>
      <c r="CY3477" s="8">
        <f>1</f>
        <v>1</v>
      </c>
      <c r="CZ3477" s="8" t="s">
        <v>238</v>
      </c>
      <c r="DA3477" s="5" t="s">
        <v>238</v>
      </c>
      <c r="DB3477" s="5" t="s">
        <v>238</v>
      </c>
      <c r="DC3477" s="5" t="s">
        <v>238</v>
      </c>
      <c r="DD3477" s="5" t="s">
        <v>238</v>
      </c>
      <c r="DE3477" s="8">
        <f>0</f>
        <v>0</v>
      </c>
      <c r="DG3477" s="5" t="s">
        <v>238</v>
      </c>
      <c r="DH3477" s="5" t="s">
        <v>238</v>
      </c>
      <c r="DI3477" s="5" t="s">
        <v>238</v>
      </c>
      <c r="DJ3477" s="5" t="s">
        <v>238</v>
      </c>
      <c r="DK3477" s="5" t="s">
        <v>238</v>
      </c>
      <c r="DL3477" s="5" t="s">
        <v>238</v>
      </c>
      <c r="DM3477" s="8" t="s">
        <v>238</v>
      </c>
      <c r="DN3477" s="5" t="s">
        <v>238</v>
      </c>
      <c r="DO3477" s="5" t="s">
        <v>238</v>
      </c>
      <c r="DP3477" s="5" t="s">
        <v>490</v>
      </c>
      <c r="DQ3477" s="5" t="s">
        <v>490</v>
      </c>
      <c r="DR3477" s="5" t="s">
        <v>238</v>
      </c>
      <c r="DS3477" s="5" t="s">
        <v>238</v>
      </c>
      <c r="DT3477" s="5" t="s">
        <v>500</v>
      </c>
      <c r="DU3477" s="5" t="s">
        <v>1009</v>
      </c>
      <c r="DV3477" s="5" t="s">
        <v>238</v>
      </c>
      <c r="DW3477" s="5" t="s">
        <v>238</v>
      </c>
      <c r="DX3477" s="5" t="s">
        <v>238</v>
      </c>
      <c r="DY3477" s="5" t="s">
        <v>238</v>
      </c>
      <c r="DZ3477" s="5" t="s">
        <v>238</v>
      </c>
      <c r="EA3477" s="5" t="s">
        <v>238</v>
      </c>
      <c r="EB3477" s="5" t="s">
        <v>238</v>
      </c>
      <c r="EC3477" s="5" t="s">
        <v>238</v>
      </c>
      <c r="ED3477" s="5" t="s">
        <v>238</v>
      </c>
      <c r="EE3477" s="5" t="s">
        <v>238</v>
      </c>
      <c r="EF3477" s="5" t="s">
        <v>238</v>
      </c>
      <c r="EG3477" s="5" t="s">
        <v>238</v>
      </c>
      <c r="EH3477" s="5" t="s">
        <v>238</v>
      </c>
      <c r="EI3477" s="5" t="s">
        <v>238</v>
      </c>
      <c r="EJ3477" s="5" t="s">
        <v>238</v>
      </c>
      <c r="EK3477" s="5" t="s">
        <v>238</v>
      </c>
      <c r="EL3477" s="5" t="s">
        <v>238</v>
      </c>
      <c r="EM3477" s="5" t="s">
        <v>238</v>
      </c>
      <c r="EN3477" s="5" t="s">
        <v>238</v>
      </c>
      <c r="EO3477" s="5" t="s">
        <v>238</v>
      </c>
      <c r="EP3477" s="5" t="s">
        <v>238</v>
      </c>
      <c r="EQ3477" s="5" t="s">
        <v>238</v>
      </c>
      <c r="ER3477" s="5" t="s">
        <v>238</v>
      </c>
      <c r="ES3477" s="5" t="s">
        <v>238</v>
      </c>
      <c r="ET3477" s="5" t="s">
        <v>238</v>
      </c>
      <c r="EU3477" s="5" t="s">
        <v>238</v>
      </c>
      <c r="EV3477" s="5" t="s">
        <v>238</v>
      </c>
      <c r="EW3477" s="5" t="s">
        <v>238</v>
      </c>
      <c r="EX3477" s="5" t="s">
        <v>238</v>
      </c>
      <c r="EY3477" s="5" t="s">
        <v>238</v>
      </c>
      <c r="EZ3477" s="5" t="s">
        <v>238</v>
      </c>
      <c r="FA3477" s="5" t="s">
        <v>238</v>
      </c>
      <c r="FB3477" s="5" t="s">
        <v>238</v>
      </c>
      <c r="FC3477" s="5" t="s">
        <v>238</v>
      </c>
      <c r="FD3477" s="5" t="s">
        <v>238</v>
      </c>
      <c r="FE3477" s="5" t="s">
        <v>238</v>
      </c>
      <c r="FF3477" s="5" t="s">
        <v>238</v>
      </c>
      <c r="FG3477" s="5" t="s">
        <v>238</v>
      </c>
      <c r="FH3477" s="5" t="s">
        <v>238</v>
      </c>
      <c r="FI3477" s="5" t="s">
        <v>238</v>
      </c>
      <c r="FJ3477" s="5" t="s">
        <v>238</v>
      </c>
      <c r="FK3477" s="5" t="s">
        <v>238</v>
      </c>
      <c r="FL3477" s="5" t="s">
        <v>238</v>
      </c>
      <c r="FM3477" s="5" t="s">
        <v>238</v>
      </c>
      <c r="FN3477" s="5" t="s">
        <v>238</v>
      </c>
      <c r="FO3477" s="5" t="s">
        <v>238</v>
      </c>
      <c r="FP3477" s="5" t="s">
        <v>238</v>
      </c>
      <c r="FQ3477" s="5" t="s">
        <v>238</v>
      </c>
      <c r="FR3477" s="5" t="s">
        <v>238</v>
      </c>
      <c r="FS3477" s="5" t="s">
        <v>238</v>
      </c>
      <c r="FT3477" s="5" t="s">
        <v>238</v>
      </c>
      <c r="FU3477" s="5" t="s">
        <v>238</v>
      </c>
      <c r="FV3477" s="5" t="s">
        <v>238</v>
      </c>
      <c r="FW3477" s="5" t="s">
        <v>238</v>
      </c>
      <c r="FX3477" s="5" t="s">
        <v>238</v>
      </c>
      <c r="FY3477" s="5" t="s">
        <v>238</v>
      </c>
      <c r="FZ3477" s="5" t="s">
        <v>238</v>
      </c>
      <c r="GA3477" s="5" t="s">
        <v>238</v>
      </c>
      <c r="GB3477" s="5" t="s">
        <v>238</v>
      </c>
      <c r="GC3477" s="5" t="s">
        <v>238</v>
      </c>
      <c r="GD3477" s="5" t="s">
        <v>238</v>
      </c>
      <c r="GE3477" s="5" t="s">
        <v>238</v>
      </c>
      <c r="GF3477" s="5" t="s">
        <v>238</v>
      </c>
      <c r="GG3477" s="5" t="s">
        <v>238</v>
      </c>
      <c r="GH3477" s="5" t="s">
        <v>238</v>
      </c>
      <c r="GI3477" s="5" t="s">
        <v>238</v>
      </c>
      <c r="GJ3477" s="5" t="s">
        <v>238</v>
      </c>
      <c r="GK3477" s="5" t="s">
        <v>238</v>
      </c>
      <c r="GL3477" s="5" t="s">
        <v>238</v>
      </c>
      <c r="GM3477" s="5" t="s">
        <v>238</v>
      </c>
      <c r="GN3477" s="5" t="s">
        <v>238</v>
      </c>
      <c r="GO3477" s="5" t="s">
        <v>238</v>
      </c>
      <c r="GP3477" s="5" t="s">
        <v>238</v>
      </c>
      <c r="GQ3477" s="5" t="s">
        <v>238</v>
      </c>
      <c r="GR3477" s="5" t="s">
        <v>238</v>
      </c>
      <c r="GS3477" s="5" t="s">
        <v>238</v>
      </c>
      <c r="GT3477" s="5" t="s">
        <v>238</v>
      </c>
      <c r="GU3477" s="5" t="s">
        <v>238</v>
      </c>
      <c r="GV3477" s="5" t="s">
        <v>238</v>
      </c>
      <c r="GW3477" s="5" t="s">
        <v>238</v>
      </c>
      <c r="GX3477" s="5" t="s">
        <v>238</v>
      </c>
      <c r="GY3477" s="5" t="s">
        <v>238</v>
      </c>
      <c r="GZ3477" s="5" t="s">
        <v>238</v>
      </c>
      <c r="HA3477" s="5" t="s">
        <v>238</v>
      </c>
      <c r="HB3477" s="5" t="s">
        <v>238</v>
      </c>
      <c r="HC3477" s="5" t="s">
        <v>238</v>
      </c>
      <c r="HD3477" s="5" t="s">
        <v>238</v>
      </c>
      <c r="HE3477" s="5" t="s">
        <v>238</v>
      </c>
      <c r="HF3477" s="5" t="s">
        <v>238</v>
      </c>
      <c r="HG3477" s="5" t="s">
        <v>238</v>
      </c>
      <c r="HH3477" s="5" t="s">
        <v>238</v>
      </c>
      <c r="HI3477" s="5" t="s">
        <v>238</v>
      </c>
      <c r="HJ3477" s="5" t="s">
        <v>238</v>
      </c>
      <c r="HK3477" s="5" t="s">
        <v>238</v>
      </c>
      <c r="HL3477" s="5" t="s">
        <v>238</v>
      </c>
      <c r="HM3477" s="5" t="s">
        <v>264</v>
      </c>
      <c r="HN3477" s="5" t="s">
        <v>238</v>
      </c>
      <c r="HO3477" s="5" t="s">
        <v>238</v>
      </c>
      <c r="HP3477" s="5" t="s">
        <v>238</v>
      </c>
      <c r="HQ3477" s="5" t="s">
        <v>238</v>
      </c>
      <c r="HR3477" s="5" t="s">
        <v>238</v>
      </c>
      <c r="HS3477" s="5" t="s">
        <v>238</v>
      </c>
      <c r="HT3477" s="5" t="s">
        <v>238</v>
      </c>
      <c r="HU3477" s="5" t="s">
        <v>238</v>
      </c>
      <c r="HV3477" s="5" t="s">
        <v>238</v>
      </c>
      <c r="HW3477" s="5" t="s">
        <v>238</v>
      </c>
      <c r="HX3477" s="5" t="s">
        <v>238</v>
      </c>
      <c r="HY3477" s="5" t="s">
        <v>238</v>
      </c>
      <c r="HZ3477" s="5" t="s">
        <v>238</v>
      </c>
      <c r="IA3477" s="5" t="s">
        <v>238</v>
      </c>
      <c r="IB3477" s="5" t="s">
        <v>238</v>
      </c>
      <c r="IC3477" s="5" t="s">
        <v>238</v>
      </c>
      <c r="ID3477" s="5" t="s">
        <v>238</v>
      </c>
    </row>
    <row r="3478" spans="1:238" x14ac:dyDescent="0.4">
      <c r="A3478" s="5">
        <v>9196</v>
      </c>
      <c r="B3478" s="5">
        <v>1</v>
      </c>
      <c r="C3478" s="5">
        <v>1</v>
      </c>
      <c r="D3478" s="5" t="s">
        <v>484</v>
      </c>
      <c r="E3478" s="5" t="s">
        <v>485</v>
      </c>
      <c r="F3478" s="5" t="s">
        <v>248</v>
      </c>
      <c r="G3478" s="5" t="s">
        <v>4735</v>
      </c>
      <c r="H3478" s="6" t="s">
        <v>4736</v>
      </c>
      <c r="I3478" s="8">
        <f>1</f>
        <v>1</v>
      </c>
      <c r="J3478" s="5" t="s">
        <v>499</v>
      </c>
      <c r="K3478" s="8">
        <f>1</f>
        <v>1</v>
      </c>
      <c r="L3478" s="6" t="s">
        <v>242</v>
      </c>
      <c r="M3478" s="5" t="s">
        <v>267</v>
      </c>
      <c r="N3478" s="5" t="s">
        <v>482</v>
      </c>
      <c r="O3478" s="5" t="s">
        <v>238</v>
      </c>
      <c r="P3478" s="5" t="s">
        <v>238</v>
      </c>
      <c r="Q3478" s="5" t="s">
        <v>239</v>
      </c>
      <c r="R3478" s="5" t="s">
        <v>270</v>
      </c>
      <c r="S3478" s="5" t="s">
        <v>238</v>
      </c>
      <c r="T3478" s="5" t="s">
        <v>238</v>
      </c>
      <c r="U3478" s="5" t="s">
        <v>238</v>
      </c>
      <c r="V3478" s="5" t="s">
        <v>238</v>
      </c>
      <c r="W3478" s="6" t="s">
        <v>238</v>
      </c>
      <c r="X3478" s="6" t="s">
        <v>238</v>
      </c>
      <c r="Y3478" s="5" t="s">
        <v>238</v>
      </c>
      <c r="Z3478" s="6" t="s">
        <v>238</v>
      </c>
      <c r="AA3478" s="6" t="s">
        <v>243</v>
      </c>
      <c r="AB3478" s="5" t="s">
        <v>486</v>
      </c>
      <c r="AC3478" s="5" t="s">
        <v>244</v>
      </c>
      <c r="AD3478" s="5" t="s">
        <v>245</v>
      </c>
      <c r="AE3478" s="5" t="s">
        <v>238</v>
      </c>
      <c r="AF3478" s="5" t="s">
        <v>238</v>
      </c>
      <c r="AG3478" s="5" t="s">
        <v>238</v>
      </c>
      <c r="AH3478" s="5" t="s">
        <v>238</v>
      </c>
      <c r="AI3478" s="5" t="s">
        <v>238</v>
      </c>
      <c r="AJ3478" s="5" t="s">
        <v>238</v>
      </c>
      <c r="AK3478" s="5" t="s">
        <v>238</v>
      </c>
      <c r="AL3478" s="5" t="s">
        <v>238</v>
      </c>
      <c r="AM3478" s="6" t="s">
        <v>238</v>
      </c>
      <c r="AN3478" s="6" t="s">
        <v>238</v>
      </c>
      <c r="AO3478" s="6" t="s">
        <v>238</v>
      </c>
      <c r="AP3478" s="6" t="s">
        <v>238</v>
      </c>
      <c r="AQ3478" s="5" t="s">
        <v>238</v>
      </c>
      <c r="AR3478" s="5" t="s">
        <v>488</v>
      </c>
      <c r="AS3478" s="5" t="s">
        <v>488</v>
      </c>
      <c r="AT3478" s="5" t="s">
        <v>246</v>
      </c>
      <c r="AU3478" s="5" t="s">
        <v>489</v>
      </c>
      <c r="AV3478" s="5" t="s">
        <v>247</v>
      </c>
      <c r="AW3478" s="5" t="s">
        <v>238</v>
      </c>
      <c r="AX3478" s="5" t="s">
        <v>249</v>
      </c>
      <c r="AY3478" s="5" t="s">
        <v>490</v>
      </c>
      <c r="BA3478" s="5" t="s">
        <v>238</v>
      </c>
      <c r="BC3478" s="5" t="s">
        <v>491</v>
      </c>
      <c r="BD3478" s="6" t="s">
        <v>492</v>
      </c>
      <c r="BE3478" s="5" t="s">
        <v>493</v>
      </c>
      <c r="BF3478" s="5" t="s">
        <v>493</v>
      </c>
      <c r="BG3478" s="5" t="s">
        <v>238</v>
      </c>
      <c r="BH3478" s="8">
        <f>1</f>
        <v>1</v>
      </c>
      <c r="BI3478" s="8">
        <f>1</f>
        <v>1</v>
      </c>
      <c r="BJ3478" s="5" t="s">
        <v>253</v>
      </c>
      <c r="BK3478" s="5" t="s">
        <v>254</v>
      </c>
      <c r="BL3478" s="5" t="s">
        <v>238</v>
      </c>
      <c r="BM3478" s="5" t="s">
        <v>238</v>
      </c>
      <c r="BN3478" s="5" t="s">
        <v>238</v>
      </c>
      <c r="BO3478" s="5" t="s">
        <v>238</v>
      </c>
      <c r="BP3478" s="5" t="s">
        <v>238</v>
      </c>
      <c r="BQ3478" s="5" t="s">
        <v>238</v>
      </c>
      <c r="BR3478" s="5" t="s">
        <v>238</v>
      </c>
      <c r="BS3478" s="5" t="s">
        <v>238</v>
      </c>
      <c r="BT3478" s="6" t="s">
        <v>238</v>
      </c>
      <c r="BU3478" s="5" t="s">
        <v>238</v>
      </c>
      <c r="BV3478" s="5" t="s">
        <v>238</v>
      </c>
      <c r="BW3478" s="5" t="s">
        <v>238</v>
      </c>
      <c r="BX3478" s="5" t="s">
        <v>254</v>
      </c>
      <c r="BY3478" s="5" t="s">
        <v>238</v>
      </c>
      <c r="BZ3478" s="5" t="s">
        <v>238</v>
      </c>
      <c r="CA3478" s="5" t="s">
        <v>238</v>
      </c>
      <c r="CB3478" s="5" t="s">
        <v>238</v>
      </c>
      <c r="CC3478" s="5" t="s">
        <v>238</v>
      </c>
      <c r="CD3478" s="5" t="s">
        <v>273</v>
      </c>
      <c r="CE3478" s="5" t="s">
        <v>256</v>
      </c>
      <c r="CF3478" s="5" t="s">
        <v>238</v>
      </c>
      <c r="CH3478" s="5" t="s">
        <v>494</v>
      </c>
      <c r="CI3478" s="6" t="s">
        <v>257</v>
      </c>
      <c r="CJ3478" s="5" t="s">
        <v>495</v>
      </c>
      <c r="CK3478" s="5" t="s">
        <v>258</v>
      </c>
      <c r="CL3478" s="5" t="s">
        <v>496</v>
      </c>
      <c r="CM3478" s="5" t="s">
        <v>238</v>
      </c>
      <c r="CN3478" s="5">
        <v>0</v>
      </c>
      <c r="CO3478" s="5" t="s">
        <v>497</v>
      </c>
      <c r="CP3478" s="5" t="s">
        <v>260</v>
      </c>
      <c r="CQ3478" s="5" t="s">
        <v>260</v>
      </c>
      <c r="CR3478" s="5" t="s">
        <v>261</v>
      </c>
      <c r="CS3478" s="5" t="s">
        <v>498</v>
      </c>
      <c r="CT3478" s="7">
        <f>1</f>
        <v>1</v>
      </c>
      <c r="CU3478" s="8">
        <f>1</f>
        <v>1</v>
      </c>
      <c r="CV3478" s="8">
        <f>0</f>
        <v>0</v>
      </c>
      <c r="CX3478" s="8">
        <f>1</f>
        <v>1</v>
      </c>
      <c r="CY3478" s="8">
        <f>1</f>
        <v>1</v>
      </c>
      <c r="CZ3478" s="8" t="s">
        <v>238</v>
      </c>
      <c r="DA3478" s="5" t="s">
        <v>238</v>
      </c>
      <c r="DB3478" s="5" t="s">
        <v>238</v>
      </c>
      <c r="DC3478" s="5" t="s">
        <v>238</v>
      </c>
      <c r="DD3478" s="5" t="s">
        <v>238</v>
      </c>
      <c r="DE3478" s="8">
        <f>0</f>
        <v>0</v>
      </c>
      <c r="DG3478" s="5" t="s">
        <v>238</v>
      </c>
      <c r="DH3478" s="5" t="s">
        <v>238</v>
      </c>
      <c r="DI3478" s="5" t="s">
        <v>238</v>
      </c>
      <c r="DJ3478" s="5" t="s">
        <v>238</v>
      </c>
      <c r="DK3478" s="5" t="s">
        <v>238</v>
      </c>
      <c r="DL3478" s="5" t="s">
        <v>238</v>
      </c>
      <c r="DM3478" s="8" t="s">
        <v>238</v>
      </c>
      <c r="DN3478" s="5" t="s">
        <v>238</v>
      </c>
      <c r="DO3478" s="5" t="s">
        <v>238</v>
      </c>
      <c r="DP3478" s="5" t="s">
        <v>490</v>
      </c>
      <c r="DQ3478" s="5" t="s">
        <v>490</v>
      </c>
      <c r="DR3478" s="5" t="s">
        <v>238</v>
      </c>
      <c r="DS3478" s="5" t="s">
        <v>238</v>
      </c>
      <c r="DT3478" s="5" t="s">
        <v>500</v>
      </c>
      <c r="DU3478" s="5" t="s">
        <v>1301</v>
      </c>
      <c r="DV3478" s="5" t="s">
        <v>238</v>
      </c>
      <c r="DW3478" s="5" t="s">
        <v>238</v>
      </c>
      <c r="DX3478" s="5" t="s">
        <v>238</v>
      </c>
      <c r="DY3478" s="5" t="s">
        <v>238</v>
      </c>
      <c r="DZ3478" s="5" t="s">
        <v>238</v>
      </c>
      <c r="EA3478" s="5" t="s">
        <v>238</v>
      </c>
      <c r="EB3478" s="5" t="s">
        <v>238</v>
      </c>
      <c r="EC3478" s="5" t="s">
        <v>238</v>
      </c>
      <c r="ED3478" s="5" t="s">
        <v>238</v>
      </c>
      <c r="EE3478" s="5" t="s">
        <v>238</v>
      </c>
      <c r="EF3478" s="5" t="s">
        <v>238</v>
      </c>
      <c r="EG3478" s="5" t="s">
        <v>238</v>
      </c>
      <c r="EH3478" s="5" t="s">
        <v>238</v>
      </c>
      <c r="EI3478" s="5" t="s">
        <v>238</v>
      </c>
      <c r="EJ3478" s="5" t="s">
        <v>238</v>
      </c>
      <c r="EK3478" s="5" t="s">
        <v>238</v>
      </c>
      <c r="EL3478" s="5" t="s">
        <v>238</v>
      </c>
      <c r="EM3478" s="5" t="s">
        <v>238</v>
      </c>
      <c r="EN3478" s="5" t="s">
        <v>238</v>
      </c>
      <c r="EO3478" s="5" t="s">
        <v>238</v>
      </c>
      <c r="EP3478" s="5" t="s">
        <v>238</v>
      </c>
      <c r="EQ3478" s="5" t="s">
        <v>238</v>
      </c>
      <c r="ER3478" s="5" t="s">
        <v>238</v>
      </c>
      <c r="ES3478" s="5" t="s">
        <v>238</v>
      </c>
      <c r="ET3478" s="5" t="s">
        <v>238</v>
      </c>
      <c r="EU3478" s="5" t="s">
        <v>238</v>
      </c>
      <c r="EV3478" s="5" t="s">
        <v>238</v>
      </c>
      <c r="EW3478" s="5" t="s">
        <v>238</v>
      </c>
      <c r="EX3478" s="5" t="s">
        <v>238</v>
      </c>
      <c r="EY3478" s="5" t="s">
        <v>238</v>
      </c>
      <c r="EZ3478" s="5" t="s">
        <v>238</v>
      </c>
      <c r="FA3478" s="5" t="s">
        <v>238</v>
      </c>
      <c r="FB3478" s="5" t="s">
        <v>238</v>
      </c>
      <c r="FC3478" s="5" t="s">
        <v>238</v>
      </c>
      <c r="FD3478" s="5" t="s">
        <v>238</v>
      </c>
      <c r="FE3478" s="5" t="s">
        <v>238</v>
      </c>
      <c r="FF3478" s="5" t="s">
        <v>238</v>
      </c>
      <c r="FG3478" s="5" t="s">
        <v>238</v>
      </c>
      <c r="FH3478" s="5" t="s">
        <v>238</v>
      </c>
      <c r="FI3478" s="5" t="s">
        <v>238</v>
      </c>
      <c r="FJ3478" s="5" t="s">
        <v>238</v>
      </c>
      <c r="FK3478" s="5" t="s">
        <v>238</v>
      </c>
      <c r="FL3478" s="5" t="s">
        <v>238</v>
      </c>
      <c r="FM3478" s="5" t="s">
        <v>238</v>
      </c>
      <c r="FN3478" s="5" t="s">
        <v>238</v>
      </c>
      <c r="FO3478" s="5" t="s">
        <v>238</v>
      </c>
      <c r="FP3478" s="5" t="s">
        <v>238</v>
      </c>
      <c r="FQ3478" s="5" t="s">
        <v>238</v>
      </c>
      <c r="FR3478" s="5" t="s">
        <v>238</v>
      </c>
      <c r="FS3478" s="5" t="s">
        <v>238</v>
      </c>
      <c r="FT3478" s="5" t="s">
        <v>238</v>
      </c>
      <c r="FU3478" s="5" t="s">
        <v>238</v>
      </c>
      <c r="FV3478" s="5" t="s">
        <v>238</v>
      </c>
      <c r="FW3478" s="5" t="s">
        <v>238</v>
      </c>
      <c r="FX3478" s="5" t="s">
        <v>238</v>
      </c>
      <c r="FY3478" s="5" t="s">
        <v>238</v>
      </c>
      <c r="FZ3478" s="5" t="s">
        <v>238</v>
      </c>
      <c r="GA3478" s="5" t="s">
        <v>238</v>
      </c>
      <c r="GB3478" s="5" t="s">
        <v>238</v>
      </c>
      <c r="GC3478" s="5" t="s">
        <v>238</v>
      </c>
      <c r="GD3478" s="5" t="s">
        <v>238</v>
      </c>
      <c r="GE3478" s="5" t="s">
        <v>238</v>
      </c>
      <c r="GF3478" s="5" t="s">
        <v>238</v>
      </c>
      <c r="GG3478" s="5" t="s">
        <v>238</v>
      </c>
      <c r="GH3478" s="5" t="s">
        <v>238</v>
      </c>
      <c r="GI3478" s="5" t="s">
        <v>238</v>
      </c>
      <c r="GJ3478" s="5" t="s">
        <v>238</v>
      </c>
      <c r="GK3478" s="5" t="s">
        <v>238</v>
      </c>
      <c r="GL3478" s="5" t="s">
        <v>238</v>
      </c>
      <c r="GM3478" s="5" t="s">
        <v>238</v>
      </c>
      <c r="GN3478" s="5" t="s">
        <v>238</v>
      </c>
      <c r="GO3478" s="5" t="s">
        <v>238</v>
      </c>
      <c r="GP3478" s="5" t="s">
        <v>238</v>
      </c>
      <c r="GQ3478" s="5" t="s">
        <v>238</v>
      </c>
      <c r="GR3478" s="5" t="s">
        <v>238</v>
      </c>
      <c r="GS3478" s="5" t="s">
        <v>238</v>
      </c>
      <c r="GT3478" s="5" t="s">
        <v>238</v>
      </c>
      <c r="GU3478" s="5" t="s">
        <v>238</v>
      </c>
      <c r="GV3478" s="5" t="s">
        <v>238</v>
      </c>
      <c r="GW3478" s="5" t="s">
        <v>238</v>
      </c>
      <c r="GX3478" s="5" t="s">
        <v>238</v>
      </c>
      <c r="GY3478" s="5" t="s">
        <v>238</v>
      </c>
      <c r="GZ3478" s="5" t="s">
        <v>238</v>
      </c>
      <c r="HA3478" s="5" t="s">
        <v>238</v>
      </c>
      <c r="HB3478" s="5" t="s">
        <v>238</v>
      </c>
      <c r="HC3478" s="5" t="s">
        <v>238</v>
      </c>
      <c r="HD3478" s="5" t="s">
        <v>238</v>
      </c>
      <c r="HE3478" s="5" t="s">
        <v>238</v>
      </c>
      <c r="HF3478" s="5" t="s">
        <v>238</v>
      </c>
      <c r="HG3478" s="5" t="s">
        <v>238</v>
      </c>
      <c r="HH3478" s="5" t="s">
        <v>238</v>
      </c>
      <c r="HI3478" s="5" t="s">
        <v>238</v>
      </c>
      <c r="HJ3478" s="5" t="s">
        <v>238</v>
      </c>
      <c r="HK3478" s="5" t="s">
        <v>238</v>
      </c>
      <c r="HL3478" s="5" t="s">
        <v>238</v>
      </c>
      <c r="HM3478" s="5" t="s">
        <v>264</v>
      </c>
      <c r="HN3478" s="5" t="s">
        <v>238</v>
      </c>
      <c r="HO3478" s="5" t="s">
        <v>238</v>
      </c>
      <c r="HP3478" s="5" t="s">
        <v>238</v>
      </c>
      <c r="HQ3478" s="5" t="s">
        <v>238</v>
      </c>
      <c r="HR3478" s="5" t="s">
        <v>238</v>
      </c>
      <c r="HS3478" s="5" t="s">
        <v>238</v>
      </c>
      <c r="HT3478" s="5" t="s">
        <v>238</v>
      </c>
      <c r="HU3478" s="5" t="s">
        <v>238</v>
      </c>
      <c r="HV3478" s="5" t="s">
        <v>238</v>
      </c>
      <c r="HW3478" s="5" t="s">
        <v>238</v>
      </c>
      <c r="HX3478" s="5" t="s">
        <v>238</v>
      </c>
      <c r="HY3478" s="5" t="s">
        <v>238</v>
      </c>
      <c r="HZ3478" s="5" t="s">
        <v>238</v>
      </c>
      <c r="IA3478" s="5" t="s">
        <v>238</v>
      </c>
      <c r="IB3478" s="5" t="s">
        <v>238</v>
      </c>
      <c r="IC3478" s="5" t="s">
        <v>238</v>
      </c>
      <c r="ID3478" s="5" t="s">
        <v>238</v>
      </c>
    </row>
    <row r="3479" spans="1:238" x14ac:dyDescent="0.4">
      <c r="A3479" s="5">
        <v>9197</v>
      </c>
      <c r="B3479" s="5">
        <v>1</v>
      </c>
      <c r="C3479" s="5">
        <v>1</v>
      </c>
      <c r="D3479" s="5" t="s">
        <v>484</v>
      </c>
      <c r="E3479" s="5" t="s">
        <v>485</v>
      </c>
      <c r="F3479" s="5" t="s">
        <v>248</v>
      </c>
      <c r="G3479" s="5" t="s">
        <v>5795</v>
      </c>
      <c r="H3479" s="6" t="s">
        <v>5796</v>
      </c>
      <c r="I3479" s="8">
        <f>1</f>
        <v>1</v>
      </c>
      <c r="J3479" s="5" t="s">
        <v>499</v>
      </c>
      <c r="K3479" s="8">
        <f>1</f>
        <v>1</v>
      </c>
      <c r="L3479" s="6" t="s">
        <v>242</v>
      </c>
      <c r="M3479" s="5" t="s">
        <v>267</v>
      </c>
      <c r="N3479" s="5" t="s">
        <v>482</v>
      </c>
      <c r="O3479" s="5" t="s">
        <v>238</v>
      </c>
      <c r="P3479" s="5" t="s">
        <v>238</v>
      </c>
      <c r="Q3479" s="5" t="s">
        <v>239</v>
      </c>
      <c r="R3479" s="5" t="s">
        <v>270</v>
      </c>
      <c r="S3479" s="5" t="s">
        <v>238</v>
      </c>
      <c r="T3479" s="5" t="s">
        <v>238</v>
      </c>
      <c r="U3479" s="5" t="s">
        <v>238</v>
      </c>
      <c r="V3479" s="5" t="s">
        <v>238</v>
      </c>
      <c r="W3479" s="6" t="s">
        <v>238</v>
      </c>
      <c r="X3479" s="6" t="s">
        <v>238</v>
      </c>
      <c r="Y3479" s="5" t="s">
        <v>238</v>
      </c>
      <c r="Z3479" s="6" t="s">
        <v>238</v>
      </c>
      <c r="AA3479" s="6" t="s">
        <v>243</v>
      </c>
      <c r="AB3479" s="5" t="s">
        <v>486</v>
      </c>
      <c r="AC3479" s="5" t="s">
        <v>244</v>
      </c>
      <c r="AD3479" s="5" t="s">
        <v>245</v>
      </c>
      <c r="AE3479" s="5" t="s">
        <v>238</v>
      </c>
      <c r="AF3479" s="5" t="s">
        <v>238</v>
      </c>
      <c r="AG3479" s="5" t="s">
        <v>238</v>
      </c>
      <c r="AH3479" s="5" t="s">
        <v>238</v>
      </c>
      <c r="AI3479" s="5" t="s">
        <v>238</v>
      </c>
      <c r="AJ3479" s="5" t="s">
        <v>238</v>
      </c>
      <c r="AK3479" s="5" t="s">
        <v>238</v>
      </c>
      <c r="AL3479" s="5" t="s">
        <v>238</v>
      </c>
      <c r="AM3479" s="6" t="s">
        <v>238</v>
      </c>
      <c r="AN3479" s="6" t="s">
        <v>238</v>
      </c>
      <c r="AO3479" s="6" t="s">
        <v>238</v>
      </c>
      <c r="AP3479" s="6" t="s">
        <v>238</v>
      </c>
      <c r="AQ3479" s="5" t="s">
        <v>238</v>
      </c>
      <c r="AR3479" s="5" t="s">
        <v>488</v>
      </c>
      <c r="AS3479" s="5" t="s">
        <v>488</v>
      </c>
      <c r="AT3479" s="5" t="s">
        <v>246</v>
      </c>
      <c r="AU3479" s="5" t="s">
        <v>489</v>
      </c>
      <c r="AV3479" s="5" t="s">
        <v>247</v>
      </c>
      <c r="AW3479" s="5" t="s">
        <v>238</v>
      </c>
      <c r="AX3479" s="5" t="s">
        <v>249</v>
      </c>
      <c r="AY3479" s="5" t="s">
        <v>490</v>
      </c>
      <c r="BA3479" s="5" t="s">
        <v>238</v>
      </c>
      <c r="BC3479" s="5" t="s">
        <v>491</v>
      </c>
      <c r="BD3479" s="6" t="s">
        <v>492</v>
      </c>
      <c r="BE3479" s="5" t="s">
        <v>493</v>
      </c>
      <c r="BF3479" s="5" t="s">
        <v>493</v>
      </c>
      <c r="BG3479" s="5" t="s">
        <v>238</v>
      </c>
      <c r="BH3479" s="8">
        <f>1</f>
        <v>1</v>
      </c>
      <c r="BI3479" s="8">
        <f>1</f>
        <v>1</v>
      </c>
      <c r="BJ3479" s="5" t="s">
        <v>253</v>
      </c>
      <c r="BK3479" s="5" t="s">
        <v>254</v>
      </c>
      <c r="BL3479" s="5" t="s">
        <v>238</v>
      </c>
      <c r="BM3479" s="5" t="s">
        <v>238</v>
      </c>
      <c r="BN3479" s="5" t="s">
        <v>238</v>
      </c>
      <c r="BO3479" s="5" t="s">
        <v>238</v>
      </c>
      <c r="BP3479" s="5" t="s">
        <v>238</v>
      </c>
      <c r="BQ3479" s="5" t="s">
        <v>238</v>
      </c>
      <c r="BR3479" s="5" t="s">
        <v>238</v>
      </c>
      <c r="BS3479" s="5" t="s">
        <v>238</v>
      </c>
      <c r="BT3479" s="6" t="s">
        <v>238</v>
      </c>
      <c r="BU3479" s="5" t="s">
        <v>238</v>
      </c>
      <c r="BV3479" s="5" t="s">
        <v>238</v>
      </c>
      <c r="BW3479" s="5" t="s">
        <v>238</v>
      </c>
      <c r="BX3479" s="5" t="s">
        <v>254</v>
      </c>
      <c r="BY3479" s="5" t="s">
        <v>238</v>
      </c>
      <c r="BZ3479" s="5" t="s">
        <v>238</v>
      </c>
      <c r="CA3479" s="5" t="s">
        <v>238</v>
      </c>
      <c r="CB3479" s="5" t="s">
        <v>238</v>
      </c>
      <c r="CC3479" s="5" t="s">
        <v>238</v>
      </c>
      <c r="CD3479" s="5" t="s">
        <v>273</v>
      </c>
      <c r="CE3479" s="5" t="s">
        <v>256</v>
      </c>
      <c r="CF3479" s="5" t="s">
        <v>238</v>
      </c>
      <c r="CH3479" s="5" t="s">
        <v>494</v>
      </c>
      <c r="CI3479" s="6" t="s">
        <v>257</v>
      </c>
      <c r="CJ3479" s="5" t="s">
        <v>495</v>
      </c>
      <c r="CK3479" s="5" t="s">
        <v>258</v>
      </c>
      <c r="CL3479" s="5" t="s">
        <v>496</v>
      </c>
      <c r="CM3479" s="5" t="s">
        <v>238</v>
      </c>
      <c r="CN3479" s="5">
        <v>0</v>
      </c>
      <c r="CO3479" s="5" t="s">
        <v>497</v>
      </c>
      <c r="CP3479" s="5" t="s">
        <v>260</v>
      </c>
      <c r="CQ3479" s="5" t="s">
        <v>260</v>
      </c>
      <c r="CR3479" s="5" t="s">
        <v>261</v>
      </c>
      <c r="CS3479" s="5" t="s">
        <v>498</v>
      </c>
      <c r="CT3479" s="7">
        <f>1</f>
        <v>1</v>
      </c>
      <c r="CU3479" s="8">
        <f>1</f>
        <v>1</v>
      </c>
      <c r="CV3479" s="8">
        <f>0</f>
        <v>0</v>
      </c>
      <c r="CX3479" s="8">
        <f>1</f>
        <v>1</v>
      </c>
      <c r="CY3479" s="8">
        <f>1</f>
        <v>1</v>
      </c>
      <c r="CZ3479" s="8" t="s">
        <v>238</v>
      </c>
      <c r="DA3479" s="5" t="s">
        <v>238</v>
      </c>
      <c r="DB3479" s="5" t="s">
        <v>238</v>
      </c>
      <c r="DC3479" s="5" t="s">
        <v>238</v>
      </c>
      <c r="DD3479" s="5" t="s">
        <v>238</v>
      </c>
      <c r="DE3479" s="8">
        <f>0</f>
        <v>0</v>
      </c>
      <c r="DG3479" s="5" t="s">
        <v>238</v>
      </c>
      <c r="DH3479" s="5" t="s">
        <v>238</v>
      </c>
      <c r="DI3479" s="5" t="s">
        <v>238</v>
      </c>
      <c r="DJ3479" s="5" t="s">
        <v>238</v>
      </c>
      <c r="DK3479" s="5" t="s">
        <v>238</v>
      </c>
      <c r="DL3479" s="5" t="s">
        <v>238</v>
      </c>
      <c r="DM3479" s="8" t="s">
        <v>238</v>
      </c>
      <c r="DN3479" s="5" t="s">
        <v>238</v>
      </c>
      <c r="DO3479" s="5" t="s">
        <v>238</v>
      </c>
      <c r="DP3479" s="5" t="s">
        <v>490</v>
      </c>
      <c r="DQ3479" s="5" t="s">
        <v>490</v>
      </c>
      <c r="DR3479" s="5" t="s">
        <v>238</v>
      </c>
      <c r="DS3479" s="5" t="s">
        <v>238</v>
      </c>
      <c r="DT3479" s="5" t="s">
        <v>500</v>
      </c>
      <c r="DU3479" s="5" t="s">
        <v>996</v>
      </c>
      <c r="DV3479" s="5" t="s">
        <v>238</v>
      </c>
      <c r="DW3479" s="5" t="s">
        <v>238</v>
      </c>
      <c r="DX3479" s="5" t="s">
        <v>238</v>
      </c>
      <c r="DY3479" s="5" t="s">
        <v>238</v>
      </c>
      <c r="DZ3479" s="5" t="s">
        <v>238</v>
      </c>
      <c r="EA3479" s="5" t="s">
        <v>238</v>
      </c>
      <c r="EB3479" s="5" t="s">
        <v>238</v>
      </c>
      <c r="EC3479" s="5" t="s">
        <v>238</v>
      </c>
      <c r="ED3479" s="5" t="s">
        <v>238</v>
      </c>
      <c r="EE3479" s="5" t="s">
        <v>238</v>
      </c>
      <c r="EF3479" s="5" t="s">
        <v>238</v>
      </c>
      <c r="EG3479" s="5" t="s">
        <v>238</v>
      </c>
      <c r="EH3479" s="5" t="s">
        <v>238</v>
      </c>
      <c r="EI3479" s="5" t="s">
        <v>238</v>
      </c>
      <c r="EJ3479" s="5" t="s">
        <v>238</v>
      </c>
      <c r="EK3479" s="5" t="s">
        <v>238</v>
      </c>
      <c r="EL3479" s="5" t="s">
        <v>238</v>
      </c>
      <c r="EM3479" s="5" t="s">
        <v>238</v>
      </c>
      <c r="EN3479" s="5" t="s">
        <v>238</v>
      </c>
      <c r="EO3479" s="5" t="s">
        <v>238</v>
      </c>
      <c r="EP3479" s="5" t="s">
        <v>238</v>
      </c>
      <c r="EQ3479" s="5" t="s">
        <v>238</v>
      </c>
      <c r="ER3479" s="5" t="s">
        <v>238</v>
      </c>
      <c r="ES3479" s="5" t="s">
        <v>238</v>
      </c>
      <c r="ET3479" s="5" t="s">
        <v>238</v>
      </c>
      <c r="EU3479" s="5" t="s">
        <v>238</v>
      </c>
      <c r="EV3479" s="5" t="s">
        <v>238</v>
      </c>
      <c r="EW3479" s="5" t="s">
        <v>238</v>
      </c>
      <c r="EX3479" s="5" t="s">
        <v>238</v>
      </c>
      <c r="EY3479" s="5" t="s">
        <v>238</v>
      </c>
      <c r="EZ3479" s="5" t="s">
        <v>238</v>
      </c>
      <c r="FA3479" s="5" t="s">
        <v>238</v>
      </c>
      <c r="FB3479" s="5" t="s">
        <v>238</v>
      </c>
      <c r="FC3479" s="5" t="s">
        <v>238</v>
      </c>
      <c r="FD3479" s="5" t="s">
        <v>238</v>
      </c>
      <c r="FE3479" s="5" t="s">
        <v>238</v>
      </c>
      <c r="FF3479" s="5" t="s">
        <v>238</v>
      </c>
      <c r="FG3479" s="5" t="s">
        <v>238</v>
      </c>
      <c r="FH3479" s="5" t="s">
        <v>238</v>
      </c>
      <c r="FI3479" s="5" t="s">
        <v>238</v>
      </c>
      <c r="FJ3479" s="5" t="s">
        <v>238</v>
      </c>
      <c r="FK3479" s="5" t="s">
        <v>238</v>
      </c>
      <c r="FL3479" s="5" t="s">
        <v>238</v>
      </c>
      <c r="FM3479" s="5" t="s">
        <v>238</v>
      </c>
      <c r="FN3479" s="5" t="s">
        <v>238</v>
      </c>
      <c r="FO3479" s="5" t="s">
        <v>238</v>
      </c>
      <c r="FP3479" s="5" t="s">
        <v>238</v>
      </c>
      <c r="FQ3479" s="5" t="s">
        <v>238</v>
      </c>
      <c r="FR3479" s="5" t="s">
        <v>238</v>
      </c>
      <c r="FS3479" s="5" t="s">
        <v>238</v>
      </c>
      <c r="FT3479" s="5" t="s">
        <v>238</v>
      </c>
      <c r="FU3479" s="5" t="s">
        <v>238</v>
      </c>
      <c r="FV3479" s="5" t="s">
        <v>238</v>
      </c>
      <c r="FW3479" s="5" t="s">
        <v>238</v>
      </c>
      <c r="FX3479" s="5" t="s">
        <v>238</v>
      </c>
      <c r="FY3479" s="5" t="s">
        <v>238</v>
      </c>
      <c r="FZ3479" s="5" t="s">
        <v>238</v>
      </c>
      <c r="GA3479" s="5" t="s">
        <v>238</v>
      </c>
      <c r="GB3479" s="5" t="s">
        <v>238</v>
      </c>
      <c r="GC3479" s="5" t="s">
        <v>238</v>
      </c>
      <c r="GD3479" s="5" t="s">
        <v>238</v>
      </c>
      <c r="GE3479" s="5" t="s">
        <v>238</v>
      </c>
      <c r="GF3479" s="5" t="s">
        <v>238</v>
      </c>
      <c r="GG3479" s="5" t="s">
        <v>238</v>
      </c>
      <c r="GH3479" s="5" t="s">
        <v>238</v>
      </c>
      <c r="GI3479" s="5" t="s">
        <v>238</v>
      </c>
      <c r="GJ3479" s="5" t="s">
        <v>238</v>
      </c>
      <c r="GK3479" s="5" t="s">
        <v>238</v>
      </c>
      <c r="GL3479" s="5" t="s">
        <v>238</v>
      </c>
      <c r="GM3479" s="5" t="s">
        <v>238</v>
      </c>
      <c r="GN3479" s="5" t="s">
        <v>238</v>
      </c>
      <c r="GO3479" s="5" t="s">
        <v>238</v>
      </c>
      <c r="GP3479" s="5" t="s">
        <v>238</v>
      </c>
      <c r="GQ3479" s="5" t="s">
        <v>238</v>
      </c>
      <c r="GR3479" s="5" t="s">
        <v>238</v>
      </c>
      <c r="GS3479" s="5" t="s">
        <v>238</v>
      </c>
      <c r="GT3479" s="5" t="s">
        <v>238</v>
      </c>
      <c r="GU3479" s="5" t="s">
        <v>238</v>
      </c>
      <c r="GV3479" s="5" t="s">
        <v>238</v>
      </c>
      <c r="GW3479" s="5" t="s">
        <v>238</v>
      </c>
      <c r="GX3479" s="5" t="s">
        <v>238</v>
      </c>
      <c r="GY3479" s="5" t="s">
        <v>238</v>
      </c>
      <c r="GZ3479" s="5" t="s">
        <v>238</v>
      </c>
      <c r="HA3479" s="5" t="s">
        <v>238</v>
      </c>
      <c r="HB3479" s="5" t="s">
        <v>238</v>
      </c>
      <c r="HC3479" s="5" t="s">
        <v>238</v>
      </c>
      <c r="HD3479" s="5" t="s">
        <v>238</v>
      </c>
      <c r="HE3479" s="5" t="s">
        <v>238</v>
      </c>
      <c r="HF3479" s="5" t="s">
        <v>238</v>
      </c>
      <c r="HG3479" s="5" t="s">
        <v>238</v>
      </c>
      <c r="HH3479" s="5" t="s">
        <v>238</v>
      </c>
      <c r="HI3479" s="5" t="s">
        <v>238</v>
      </c>
      <c r="HJ3479" s="5" t="s">
        <v>238</v>
      </c>
      <c r="HK3479" s="5" t="s">
        <v>238</v>
      </c>
      <c r="HL3479" s="5" t="s">
        <v>238</v>
      </c>
      <c r="HM3479" s="5" t="s">
        <v>264</v>
      </c>
      <c r="HN3479" s="5" t="s">
        <v>238</v>
      </c>
      <c r="HO3479" s="5" t="s">
        <v>238</v>
      </c>
      <c r="HP3479" s="5" t="s">
        <v>238</v>
      </c>
      <c r="HQ3479" s="5" t="s">
        <v>238</v>
      </c>
      <c r="HR3479" s="5" t="s">
        <v>238</v>
      </c>
      <c r="HS3479" s="5" t="s">
        <v>238</v>
      </c>
      <c r="HT3479" s="5" t="s">
        <v>238</v>
      </c>
      <c r="HU3479" s="5" t="s">
        <v>238</v>
      </c>
      <c r="HV3479" s="5" t="s">
        <v>238</v>
      </c>
      <c r="HW3479" s="5" t="s">
        <v>238</v>
      </c>
      <c r="HX3479" s="5" t="s">
        <v>238</v>
      </c>
      <c r="HY3479" s="5" t="s">
        <v>238</v>
      </c>
      <c r="HZ3479" s="5" t="s">
        <v>238</v>
      </c>
      <c r="IA3479" s="5" t="s">
        <v>238</v>
      </c>
      <c r="IB3479" s="5" t="s">
        <v>238</v>
      </c>
      <c r="IC3479" s="5" t="s">
        <v>238</v>
      </c>
      <c r="ID3479" s="5" t="s">
        <v>238</v>
      </c>
    </row>
    <row r="3480" spans="1:238" x14ac:dyDescent="0.4">
      <c r="A3480" s="5">
        <v>9198</v>
      </c>
      <c r="B3480" s="5">
        <v>1</v>
      </c>
      <c r="C3480" s="5">
        <v>1</v>
      </c>
      <c r="D3480" s="5" t="s">
        <v>484</v>
      </c>
      <c r="E3480" s="5" t="s">
        <v>485</v>
      </c>
      <c r="F3480" s="5" t="s">
        <v>248</v>
      </c>
      <c r="G3480" s="5" t="s">
        <v>6408</v>
      </c>
      <c r="H3480" s="6" t="s">
        <v>6409</v>
      </c>
      <c r="I3480" s="8">
        <f>1</f>
        <v>1</v>
      </c>
      <c r="J3480" s="5" t="s">
        <v>499</v>
      </c>
      <c r="K3480" s="8">
        <f>1</f>
        <v>1</v>
      </c>
      <c r="L3480" s="6" t="s">
        <v>242</v>
      </c>
      <c r="M3480" s="5" t="s">
        <v>267</v>
      </c>
      <c r="N3480" s="5" t="s">
        <v>482</v>
      </c>
      <c r="O3480" s="5" t="s">
        <v>238</v>
      </c>
      <c r="P3480" s="5" t="s">
        <v>238</v>
      </c>
      <c r="Q3480" s="5" t="s">
        <v>239</v>
      </c>
      <c r="R3480" s="5" t="s">
        <v>270</v>
      </c>
      <c r="S3480" s="5" t="s">
        <v>238</v>
      </c>
      <c r="T3480" s="5" t="s">
        <v>238</v>
      </c>
      <c r="U3480" s="5" t="s">
        <v>238</v>
      </c>
      <c r="V3480" s="5" t="s">
        <v>238</v>
      </c>
      <c r="W3480" s="6" t="s">
        <v>238</v>
      </c>
      <c r="X3480" s="6" t="s">
        <v>238</v>
      </c>
      <c r="Y3480" s="5" t="s">
        <v>238</v>
      </c>
      <c r="Z3480" s="6" t="s">
        <v>238</v>
      </c>
      <c r="AA3480" s="6" t="s">
        <v>243</v>
      </c>
      <c r="AB3480" s="5" t="s">
        <v>486</v>
      </c>
      <c r="AC3480" s="5" t="s">
        <v>244</v>
      </c>
      <c r="AD3480" s="5" t="s">
        <v>245</v>
      </c>
      <c r="AE3480" s="5" t="s">
        <v>238</v>
      </c>
      <c r="AF3480" s="5" t="s">
        <v>238</v>
      </c>
      <c r="AG3480" s="5" t="s">
        <v>238</v>
      </c>
      <c r="AH3480" s="5" t="s">
        <v>238</v>
      </c>
      <c r="AI3480" s="5" t="s">
        <v>238</v>
      </c>
      <c r="AJ3480" s="5" t="s">
        <v>238</v>
      </c>
      <c r="AK3480" s="5" t="s">
        <v>238</v>
      </c>
      <c r="AL3480" s="5" t="s">
        <v>238</v>
      </c>
      <c r="AM3480" s="6" t="s">
        <v>238</v>
      </c>
      <c r="AN3480" s="6" t="s">
        <v>238</v>
      </c>
      <c r="AO3480" s="6" t="s">
        <v>238</v>
      </c>
      <c r="AP3480" s="6" t="s">
        <v>238</v>
      </c>
      <c r="AQ3480" s="5" t="s">
        <v>238</v>
      </c>
      <c r="AR3480" s="5" t="s">
        <v>488</v>
      </c>
      <c r="AS3480" s="5" t="s">
        <v>488</v>
      </c>
      <c r="AT3480" s="5" t="s">
        <v>246</v>
      </c>
      <c r="AU3480" s="5" t="s">
        <v>489</v>
      </c>
      <c r="AV3480" s="5" t="s">
        <v>247</v>
      </c>
      <c r="AW3480" s="5" t="s">
        <v>238</v>
      </c>
      <c r="AX3480" s="5" t="s">
        <v>249</v>
      </c>
      <c r="AY3480" s="5" t="s">
        <v>490</v>
      </c>
      <c r="BA3480" s="5" t="s">
        <v>238</v>
      </c>
      <c r="BC3480" s="5" t="s">
        <v>491</v>
      </c>
      <c r="BD3480" s="6" t="s">
        <v>492</v>
      </c>
      <c r="BE3480" s="5" t="s">
        <v>493</v>
      </c>
      <c r="BF3480" s="5" t="s">
        <v>493</v>
      </c>
      <c r="BG3480" s="5" t="s">
        <v>238</v>
      </c>
      <c r="BH3480" s="8">
        <f>1</f>
        <v>1</v>
      </c>
      <c r="BI3480" s="8">
        <f>1</f>
        <v>1</v>
      </c>
      <c r="BJ3480" s="5" t="s">
        <v>253</v>
      </c>
      <c r="BK3480" s="5" t="s">
        <v>254</v>
      </c>
      <c r="BL3480" s="5" t="s">
        <v>238</v>
      </c>
      <c r="BM3480" s="5" t="s">
        <v>238</v>
      </c>
      <c r="BN3480" s="5" t="s">
        <v>238</v>
      </c>
      <c r="BO3480" s="5" t="s">
        <v>238</v>
      </c>
      <c r="BP3480" s="5" t="s">
        <v>238</v>
      </c>
      <c r="BQ3480" s="5" t="s">
        <v>238</v>
      </c>
      <c r="BR3480" s="5" t="s">
        <v>238</v>
      </c>
      <c r="BS3480" s="5" t="s">
        <v>238</v>
      </c>
      <c r="BT3480" s="6" t="s">
        <v>238</v>
      </c>
      <c r="BU3480" s="5" t="s">
        <v>238</v>
      </c>
      <c r="BV3480" s="5" t="s">
        <v>238</v>
      </c>
      <c r="BW3480" s="5" t="s">
        <v>238</v>
      </c>
      <c r="BX3480" s="5" t="s">
        <v>254</v>
      </c>
      <c r="BY3480" s="5" t="s">
        <v>238</v>
      </c>
      <c r="BZ3480" s="5" t="s">
        <v>238</v>
      </c>
      <c r="CA3480" s="5" t="s">
        <v>238</v>
      </c>
      <c r="CB3480" s="5" t="s">
        <v>238</v>
      </c>
      <c r="CC3480" s="5" t="s">
        <v>238</v>
      </c>
      <c r="CD3480" s="5" t="s">
        <v>273</v>
      </c>
      <c r="CE3480" s="5" t="s">
        <v>256</v>
      </c>
      <c r="CF3480" s="5" t="s">
        <v>238</v>
      </c>
      <c r="CH3480" s="5" t="s">
        <v>494</v>
      </c>
      <c r="CI3480" s="6" t="s">
        <v>257</v>
      </c>
      <c r="CJ3480" s="5" t="s">
        <v>495</v>
      </c>
      <c r="CK3480" s="5" t="s">
        <v>258</v>
      </c>
      <c r="CL3480" s="5" t="s">
        <v>496</v>
      </c>
      <c r="CM3480" s="5" t="s">
        <v>238</v>
      </c>
      <c r="CN3480" s="5">
        <v>0</v>
      </c>
      <c r="CO3480" s="5" t="s">
        <v>497</v>
      </c>
      <c r="CP3480" s="5" t="s">
        <v>260</v>
      </c>
      <c r="CQ3480" s="5" t="s">
        <v>260</v>
      </c>
      <c r="CR3480" s="5" t="s">
        <v>261</v>
      </c>
      <c r="CS3480" s="5" t="s">
        <v>498</v>
      </c>
      <c r="CT3480" s="7">
        <f>1</f>
        <v>1</v>
      </c>
      <c r="CU3480" s="8">
        <f>1</f>
        <v>1</v>
      </c>
      <c r="CV3480" s="8">
        <f>0</f>
        <v>0</v>
      </c>
      <c r="CX3480" s="8">
        <f>1</f>
        <v>1</v>
      </c>
      <c r="CY3480" s="8">
        <f>1</f>
        <v>1</v>
      </c>
      <c r="CZ3480" s="8" t="s">
        <v>238</v>
      </c>
      <c r="DA3480" s="5" t="s">
        <v>238</v>
      </c>
      <c r="DB3480" s="5" t="s">
        <v>238</v>
      </c>
      <c r="DC3480" s="5" t="s">
        <v>238</v>
      </c>
      <c r="DD3480" s="5" t="s">
        <v>238</v>
      </c>
      <c r="DE3480" s="8">
        <f>0</f>
        <v>0</v>
      </c>
      <c r="DG3480" s="5" t="s">
        <v>238</v>
      </c>
      <c r="DH3480" s="5" t="s">
        <v>238</v>
      </c>
      <c r="DI3480" s="5" t="s">
        <v>238</v>
      </c>
      <c r="DJ3480" s="5" t="s">
        <v>238</v>
      </c>
      <c r="DK3480" s="5" t="s">
        <v>238</v>
      </c>
      <c r="DL3480" s="5" t="s">
        <v>238</v>
      </c>
      <c r="DM3480" s="8" t="s">
        <v>238</v>
      </c>
      <c r="DN3480" s="5" t="s">
        <v>238</v>
      </c>
      <c r="DO3480" s="5" t="s">
        <v>238</v>
      </c>
      <c r="DP3480" s="5" t="s">
        <v>490</v>
      </c>
      <c r="DQ3480" s="5" t="s">
        <v>490</v>
      </c>
      <c r="DR3480" s="5" t="s">
        <v>238</v>
      </c>
      <c r="DS3480" s="5" t="s">
        <v>238</v>
      </c>
      <c r="DT3480" s="5" t="s">
        <v>500</v>
      </c>
      <c r="DU3480" s="5" t="s">
        <v>282</v>
      </c>
      <c r="DV3480" s="5" t="s">
        <v>238</v>
      </c>
      <c r="DW3480" s="5" t="s">
        <v>238</v>
      </c>
      <c r="DX3480" s="5" t="s">
        <v>238</v>
      </c>
      <c r="DY3480" s="5" t="s">
        <v>238</v>
      </c>
      <c r="DZ3480" s="5" t="s">
        <v>238</v>
      </c>
      <c r="EA3480" s="5" t="s">
        <v>238</v>
      </c>
      <c r="EB3480" s="5" t="s">
        <v>238</v>
      </c>
      <c r="EC3480" s="5" t="s">
        <v>238</v>
      </c>
      <c r="ED3480" s="5" t="s">
        <v>238</v>
      </c>
      <c r="EE3480" s="5" t="s">
        <v>238</v>
      </c>
      <c r="EF3480" s="5" t="s">
        <v>238</v>
      </c>
      <c r="EG3480" s="5" t="s">
        <v>238</v>
      </c>
      <c r="EH3480" s="5" t="s">
        <v>238</v>
      </c>
      <c r="EI3480" s="5" t="s">
        <v>238</v>
      </c>
      <c r="EJ3480" s="5" t="s">
        <v>238</v>
      </c>
      <c r="EK3480" s="5" t="s">
        <v>238</v>
      </c>
      <c r="EL3480" s="5" t="s">
        <v>238</v>
      </c>
      <c r="EM3480" s="5" t="s">
        <v>238</v>
      </c>
      <c r="EN3480" s="5" t="s">
        <v>238</v>
      </c>
      <c r="EO3480" s="5" t="s">
        <v>238</v>
      </c>
      <c r="EP3480" s="5" t="s">
        <v>238</v>
      </c>
      <c r="EQ3480" s="5" t="s">
        <v>238</v>
      </c>
      <c r="ER3480" s="5" t="s">
        <v>238</v>
      </c>
      <c r="ES3480" s="5" t="s">
        <v>238</v>
      </c>
      <c r="ET3480" s="5" t="s">
        <v>238</v>
      </c>
      <c r="EU3480" s="5" t="s">
        <v>238</v>
      </c>
      <c r="EV3480" s="5" t="s">
        <v>238</v>
      </c>
      <c r="EW3480" s="5" t="s">
        <v>238</v>
      </c>
      <c r="EX3480" s="5" t="s">
        <v>238</v>
      </c>
      <c r="EY3480" s="5" t="s">
        <v>238</v>
      </c>
      <c r="EZ3480" s="5" t="s">
        <v>238</v>
      </c>
      <c r="FA3480" s="5" t="s">
        <v>238</v>
      </c>
      <c r="FB3480" s="5" t="s">
        <v>238</v>
      </c>
      <c r="FC3480" s="5" t="s">
        <v>238</v>
      </c>
      <c r="FD3480" s="5" t="s">
        <v>238</v>
      </c>
      <c r="FE3480" s="5" t="s">
        <v>238</v>
      </c>
      <c r="FF3480" s="5" t="s">
        <v>238</v>
      </c>
      <c r="FG3480" s="5" t="s">
        <v>238</v>
      </c>
      <c r="FH3480" s="5" t="s">
        <v>238</v>
      </c>
      <c r="FI3480" s="5" t="s">
        <v>238</v>
      </c>
      <c r="FJ3480" s="5" t="s">
        <v>238</v>
      </c>
      <c r="FK3480" s="5" t="s">
        <v>238</v>
      </c>
      <c r="FL3480" s="5" t="s">
        <v>238</v>
      </c>
      <c r="FM3480" s="5" t="s">
        <v>238</v>
      </c>
      <c r="FN3480" s="5" t="s">
        <v>238</v>
      </c>
      <c r="FO3480" s="5" t="s">
        <v>238</v>
      </c>
      <c r="FP3480" s="5" t="s">
        <v>238</v>
      </c>
      <c r="FQ3480" s="5" t="s">
        <v>238</v>
      </c>
      <c r="FR3480" s="5" t="s">
        <v>238</v>
      </c>
      <c r="FS3480" s="5" t="s">
        <v>238</v>
      </c>
      <c r="FT3480" s="5" t="s">
        <v>238</v>
      </c>
      <c r="FU3480" s="5" t="s">
        <v>238</v>
      </c>
      <c r="FV3480" s="5" t="s">
        <v>238</v>
      </c>
      <c r="FW3480" s="5" t="s">
        <v>238</v>
      </c>
      <c r="FX3480" s="5" t="s">
        <v>238</v>
      </c>
      <c r="FY3480" s="5" t="s">
        <v>238</v>
      </c>
      <c r="FZ3480" s="5" t="s">
        <v>238</v>
      </c>
      <c r="GA3480" s="5" t="s">
        <v>238</v>
      </c>
      <c r="GB3480" s="5" t="s">
        <v>238</v>
      </c>
      <c r="GC3480" s="5" t="s">
        <v>238</v>
      </c>
      <c r="GD3480" s="5" t="s">
        <v>238</v>
      </c>
      <c r="GE3480" s="5" t="s">
        <v>238</v>
      </c>
      <c r="GF3480" s="5" t="s">
        <v>238</v>
      </c>
      <c r="GG3480" s="5" t="s">
        <v>238</v>
      </c>
      <c r="GH3480" s="5" t="s">
        <v>238</v>
      </c>
      <c r="GI3480" s="5" t="s">
        <v>238</v>
      </c>
      <c r="GJ3480" s="5" t="s">
        <v>238</v>
      </c>
      <c r="GK3480" s="5" t="s">
        <v>238</v>
      </c>
      <c r="GL3480" s="5" t="s">
        <v>238</v>
      </c>
      <c r="GM3480" s="5" t="s">
        <v>238</v>
      </c>
      <c r="GN3480" s="5" t="s">
        <v>238</v>
      </c>
      <c r="GO3480" s="5" t="s">
        <v>238</v>
      </c>
      <c r="GP3480" s="5" t="s">
        <v>238</v>
      </c>
      <c r="GQ3480" s="5" t="s">
        <v>238</v>
      </c>
      <c r="GR3480" s="5" t="s">
        <v>238</v>
      </c>
      <c r="GS3480" s="5" t="s">
        <v>238</v>
      </c>
      <c r="GT3480" s="5" t="s">
        <v>238</v>
      </c>
      <c r="GU3480" s="5" t="s">
        <v>238</v>
      </c>
      <c r="GV3480" s="5" t="s">
        <v>238</v>
      </c>
      <c r="GW3480" s="5" t="s">
        <v>238</v>
      </c>
      <c r="GX3480" s="5" t="s">
        <v>238</v>
      </c>
      <c r="GY3480" s="5" t="s">
        <v>238</v>
      </c>
      <c r="GZ3480" s="5" t="s">
        <v>238</v>
      </c>
      <c r="HA3480" s="5" t="s">
        <v>238</v>
      </c>
      <c r="HB3480" s="5" t="s">
        <v>238</v>
      </c>
      <c r="HC3480" s="5" t="s">
        <v>238</v>
      </c>
      <c r="HD3480" s="5" t="s">
        <v>238</v>
      </c>
      <c r="HE3480" s="5" t="s">
        <v>238</v>
      </c>
      <c r="HF3480" s="5" t="s">
        <v>238</v>
      </c>
      <c r="HG3480" s="5" t="s">
        <v>238</v>
      </c>
      <c r="HH3480" s="5" t="s">
        <v>238</v>
      </c>
      <c r="HI3480" s="5" t="s">
        <v>238</v>
      </c>
      <c r="HJ3480" s="5" t="s">
        <v>238</v>
      </c>
      <c r="HK3480" s="5" t="s">
        <v>238</v>
      </c>
      <c r="HL3480" s="5" t="s">
        <v>238</v>
      </c>
      <c r="HM3480" s="5" t="s">
        <v>264</v>
      </c>
      <c r="HN3480" s="5" t="s">
        <v>238</v>
      </c>
      <c r="HO3480" s="5" t="s">
        <v>238</v>
      </c>
      <c r="HP3480" s="5" t="s">
        <v>238</v>
      </c>
      <c r="HQ3480" s="5" t="s">
        <v>238</v>
      </c>
      <c r="HR3480" s="5" t="s">
        <v>238</v>
      </c>
      <c r="HS3480" s="5" t="s">
        <v>238</v>
      </c>
      <c r="HT3480" s="5" t="s">
        <v>238</v>
      </c>
      <c r="HU3480" s="5" t="s">
        <v>238</v>
      </c>
      <c r="HV3480" s="5" t="s">
        <v>238</v>
      </c>
      <c r="HW3480" s="5" t="s">
        <v>238</v>
      </c>
      <c r="HX3480" s="5" t="s">
        <v>238</v>
      </c>
      <c r="HY3480" s="5" t="s">
        <v>238</v>
      </c>
      <c r="HZ3480" s="5" t="s">
        <v>238</v>
      </c>
      <c r="IA3480" s="5" t="s">
        <v>238</v>
      </c>
      <c r="IB3480" s="5" t="s">
        <v>238</v>
      </c>
      <c r="IC3480" s="5" t="s">
        <v>238</v>
      </c>
      <c r="ID3480" s="5" t="s">
        <v>238</v>
      </c>
    </row>
    <row r="3481" spans="1:238" x14ac:dyDescent="0.4">
      <c r="A3481" s="5">
        <v>9199</v>
      </c>
      <c r="B3481" s="5">
        <v>1</v>
      </c>
      <c r="C3481" s="5">
        <v>1</v>
      </c>
      <c r="D3481" s="5" t="s">
        <v>484</v>
      </c>
      <c r="E3481" s="5" t="s">
        <v>485</v>
      </c>
      <c r="F3481" s="5" t="s">
        <v>248</v>
      </c>
      <c r="G3481" s="5" t="s">
        <v>4889</v>
      </c>
      <c r="H3481" s="6" t="s">
        <v>4890</v>
      </c>
      <c r="I3481" s="8">
        <f>1</f>
        <v>1</v>
      </c>
      <c r="J3481" s="5" t="s">
        <v>499</v>
      </c>
      <c r="K3481" s="8">
        <f>1</f>
        <v>1</v>
      </c>
      <c r="L3481" s="6" t="s">
        <v>242</v>
      </c>
      <c r="M3481" s="5" t="s">
        <v>267</v>
      </c>
      <c r="N3481" s="5" t="s">
        <v>482</v>
      </c>
      <c r="O3481" s="5" t="s">
        <v>238</v>
      </c>
      <c r="P3481" s="5" t="s">
        <v>238</v>
      </c>
      <c r="Q3481" s="5" t="s">
        <v>239</v>
      </c>
      <c r="R3481" s="5" t="s">
        <v>270</v>
      </c>
      <c r="S3481" s="5" t="s">
        <v>238</v>
      </c>
      <c r="T3481" s="5" t="s">
        <v>238</v>
      </c>
      <c r="U3481" s="5" t="s">
        <v>238</v>
      </c>
      <c r="V3481" s="5" t="s">
        <v>238</v>
      </c>
      <c r="W3481" s="6" t="s">
        <v>238</v>
      </c>
      <c r="X3481" s="6" t="s">
        <v>238</v>
      </c>
      <c r="Y3481" s="5" t="s">
        <v>238</v>
      </c>
      <c r="Z3481" s="6" t="s">
        <v>238</v>
      </c>
      <c r="AA3481" s="6" t="s">
        <v>243</v>
      </c>
      <c r="AB3481" s="5" t="s">
        <v>486</v>
      </c>
      <c r="AC3481" s="5" t="s">
        <v>244</v>
      </c>
      <c r="AD3481" s="5" t="s">
        <v>245</v>
      </c>
      <c r="AE3481" s="5" t="s">
        <v>238</v>
      </c>
      <c r="AF3481" s="5" t="s">
        <v>238</v>
      </c>
      <c r="AG3481" s="5" t="s">
        <v>238</v>
      </c>
      <c r="AH3481" s="5" t="s">
        <v>238</v>
      </c>
      <c r="AI3481" s="5" t="s">
        <v>238</v>
      </c>
      <c r="AJ3481" s="5" t="s">
        <v>238</v>
      </c>
      <c r="AK3481" s="5" t="s">
        <v>238</v>
      </c>
      <c r="AL3481" s="5" t="s">
        <v>238</v>
      </c>
      <c r="AM3481" s="6" t="s">
        <v>238</v>
      </c>
      <c r="AN3481" s="6" t="s">
        <v>238</v>
      </c>
      <c r="AO3481" s="6" t="s">
        <v>238</v>
      </c>
      <c r="AP3481" s="6" t="s">
        <v>238</v>
      </c>
      <c r="AQ3481" s="5" t="s">
        <v>238</v>
      </c>
      <c r="AR3481" s="5" t="s">
        <v>488</v>
      </c>
      <c r="AS3481" s="5" t="s">
        <v>488</v>
      </c>
      <c r="AT3481" s="5" t="s">
        <v>246</v>
      </c>
      <c r="AU3481" s="5" t="s">
        <v>489</v>
      </c>
      <c r="AV3481" s="5" t="s">
        <v>247</v>
      </c>
      <c r="AW3481" s="5" t="s">
        <v>238</v>
      </c>
      <c r="AX3481" s="5" t="s">
        <v>249</v>
      </c>
      <c r="AY3481" s="5" t="s">
        <v>490</v>
      </c>
      <c r="BA3481" s="5" t="s">
        <v>238</v>
      </c>
      <c r="BC3481" s="5" t="s">
        <v>491</v>
      </c>
      <c r="BD3481" s="6" t="s">
        <v>492</v>
      </c>
      <c r="BE3481" s="5" t="s">
        <v>493</v>
      </c>
      <c r="BF3481" s="5" t="s">
        <v>493</v>
      </c>
      <c r="BG3481" s="5" t="s">
        <v>238</v>
      </c>
      <c r="BH3481" s="8">
        <f>1</f>
        <v>1</v>
      </c>
      <c r="BI3481" s="8">
        <f>1</f>
        <v>1</v>
      </c>
      <c r="BJ3481" s="5" t="s">
        <v>253</v>
      </c>
      <c r="BK3481" s="5" t="s">
        <v>254</v>
      </c>
      <c r="BL3481" s="5" t="s">
        <v>238</v>
      </c>
      <c r="BM3481" s="5" t="s">
        <v>238</v>
      </c>
      <c r="BN3481" s="5" t="s">
        <v>238</v>
      </c>
      <c r="BO3481" s="5" t="s">
        <v>238</v>
      </c>
      <c r="BP3481" s="5" t="s">
        <v>238</v>
      </c>
      <c r="BQ3481" s="5" t="s">
        <v>238</v>
      </c>
      <c r="BR3481" s="5" t="s">
        <v>238</v>
      </c>
      <c r="BS3481" s="5" t="s">
        <v>238</v>
      </c>
      <c r="BT3481" s="6" t="s">
        <v>238</v>
      </c>
      <c r="BU3481" s="5" t="s">
        <v>238</v>
      </c>
      <c r="BV3481" s="5" t="s">
        <v>238</v>
      </c>
      <c r="BW3481" s="5" t="s">
        <v>238</v>
      </c>
      <c r="BX3481" s="5" t="s">
        <v>254</v>
      </c>
      <c r="BY3481" s="5" t="s">
        <v>238</v>
      </c>
      <c r="BZ3481" s="5" t="s">
        <v>238</v>
      </c>
      <c r="CA3481" s="5" t="s">
        <v>238</v>
      </c>
      <c r="CB3481" s="5" t="s">
        <v>238</v>
      </c>
      <c r="CC3481" s="5" t="s">
        <v>238</v>
      </c>
      <c r="CD3481" s="5" t="s">
        <v>273</v>
      </c>
      <c r="CE3481" s="5" t="s">
        <v>256</v>
      </c>
      <c r="CF3481" s="5" t="s">
        <v>238</v>
      </c>
      <c r="CH3481" s="5" t="s">
        <v>494</v>
      </c>
      <c r="CI3481" s="6" t="s">
        <v>257</v>
      </c>
      <c r="CJ3481" s="5" t="s">
        <v>495</v>
      </c>
      <c r="CK3481" s="5" t="s">
        <v>258</v>
      </c>
      <c r="CL3481" s="5" t="s">
        <v>496</v>
      </c>
      <c r="CM3481" s="5" t="s">
        <v>238</v>
      </c>
      <c r="CN3481" s="5">
        <v>0</v>
      </c>
      <c r="CO3481" s="5" t="s">
        <v>497</v>
      </c>
      <c r="CP3481" s="5" t="s">
        <v>260</v>
      </c>
      <c r="CQ3481" s="5" t="s">
        <v>260</v>
      </c>
      <c r="CR3481" s="5" t="s">
        <v>261</v>
      </c>
      <c r="CS3481" s="5" t="s">
        <v>498</v>
      </c>
      <c r="CT3481" s="7">
        <f>1</f>
        <v>1</v>
      </c>
      <c r="CU3481" s="8">
        <f>1</f>
        <v>1</v>
      </c>
      <c r="CV3481" s="8">
        <f>0</f>
        <v>0</v>
      </c>
      <c r="CX3481" s="8">
        <f>1</f>
        <v>1</v>
      </c>
      <c r="CY3481" s="8">
        <f>1</f>
        <v>1</v>
      </c>
      <c r="CZ3481" s="8" t="s">
        <v>238</v>
      </c>
      <c r="DA3481" s="5" t="s">
        <v>238</v>
      </c>
      <c r="DB3481" s="5" t="s">
        <v>238</v>
      </c>
      <c r="DC3481" s="5" t="s">
        <v>238</v>
      </c>
      <c r="DD3481" s="5" t="s">
        <v>238</v>
      </c>
      <c r="DE3481" s="8">
        <f>0</f>
        <v>0</v>
      </c>
      <c r="DG3481" s="5" t="s">
        <v>238</v>
      </c>
      <c r="DH3481" s="5" t="s">
        <v>238</v>
      </c>
      <c r="DI3481" s="5" t="s">
        <v>238</v>
      </c>
      <c r="DJ3481" s="5" t="s">
        <v>238</v>
      </c>
      <c r="DK3481" s="5" t="s">
        <v>238</v>
      </c>
      <c r="DL3481" s="5" t="s">
        <v>238</v>
      </c>
      <c r="DM3481" s="8" t="s">
        <v>238</v>
      </c>
      <c r="DN3481" s="5" t="s">
        <v>238</v>
      </c>
      <c r="DO3481" s="5" t="s">
        <v>238</v>
      </c>
      <c r="DP3481" s="5" t="s">
        <v>490</v>
      </c>
      <c r="DQ3481" s="5" t="s">
        <v>490</v>
      </c>
      <c r="DR3481" s="5" t="s">
        <v>238</v>
      </c>
      <c r="DS3481" s="5" t="s">
        <v>238</v>
      </c>
      <c r="DT3481" s="5" t="s">
        <v>500</v>
      </c>
      <c r="DU3481" s="5" t="s">
        <v>358</v>
      </c>
      <c r="DV3481" s="5" t="s">
        <v>238</v>
      </c>
      <c r="DW3481" s="5" t="s">
        <v>238</v>
      </c>
      <c r="DX3481" s="5" t="s">
        <v>238</v>
      </c>
      <c r="DY3481" s="5" t="s">
        <v>238</v>
      </c>
      <c r="DZ3481" s="5" t="s">
        <v>238</v>
      </c>
      <c r="EA3481" s="5" t="s">
        <v>238</v>
      </c>
      <c r="EB3481" s="5" t="s">
        <v>238</v>
      </c>
      <c r="EC3481" s="5" t="s">
        <v>238</v>
      </c>
      <c r="ED3481" s="5" t="s">
        <v>238</v>
      </c>
      <c r="EE3481" s="5" t="s">
        <v>238</v>
      </c>
      <c r="EF3481" s="5" t="s">
        <v>238</v>
      </c>
      <c r="EG3481" s="5" t="s">
        <v>238</v>
      </c>
      <c r="EH3481" s="5" t="s">
        <v>238</v>
      </c>
      <c r="EI3481" s="5" t="s">
        <v>238</v>
      </c>
      <c r="EJ3481" s="5" t="s">
        <v>238</v>
      </c>
      <c r="EK3481" s="5" t="s">
        <v>238</v>
      </c>
      <c r="EL3481" s="5" t="s">
        <v>238</v>
      </c>
      <c r="EM3481" s="5" t="s">
        <v>238</v>
      </c>
      <c r="EN3481" s="5" t="s">
        <v>238</v>
      </c>
      <c r="EO3481" s="5" t="s">
        <v>238</v>
      </c>
      <c r="EP3481" s="5" t="s">
        <v>238</v>
      </c>
      <c r="EQ3481" s="5" t="s">
        <v>238</v>
      </c>
      <c r="ER3481" s="5" t="s">
        <v>238</v>
      </c>
      <c r="ES3481" s="5" t="s">
        <v>238</v>
      </c>
      <c r="ET3481" s="5" t="s">
        <v>238</v>
      </c>
      <c r="EU3481" s="5" t="s">
        <v>238</v>
      </c>
      <c r="EV3481" s="5" t="s">
        <v>238</v>
      </c>
      <c r="EW3481" s="5" t="s">
        <v>238</v>
      </c>
      <c r="EX3481" s="5" t="s">
        <v>238</v>
      </c>
      <c r="EY3481" s="5" t="s">
        <v>238</v>
      </c>
      <c r="EZ3481" s="5" t="s">
        <v>238</v>
      </c>
      <c r="FA3481" s="5" t="s">
        <v>238</v>
      </c>
      <c r="FB3481" s="5" t="s">
        <v>238</v>
      </c>
      <c r="FC3481" s="5" t="s">
        <v>238</v>
      </c>
      <c r="FD3481" s="5" t="s">
        <v>238</v>
      </c>
      <c r="FE3481" s="5" t="s">
        <v>238</v>
      </c>
      <c r="FF3481" s="5" t="s">
        <v>238</v>
      </c>
      <c r="FG3481" s="5" t="s">
        <v>238</v>
      </c>
      <c r="FH3481" s="5" t="s">
        <v>238</v>
      </c>
      <c r="FI3481" s="5" t="s">
        <v>238</v>
      </c>
      <c r="FJ3481" s="5" t="s">
        <v>238</v>
      </c>
      <c r="FK3481" s="5" t="s">
        <v>238</v>
      </c>
      <c r="FL3481" s="5" t="s">
        <v>238</v>
      </c>
      <c r="FM3481" s="5" t="s">
        <v>238</v>
      </c>
      <c r="FN3481" s="5" t="s">
        <v>238</v>
      </c>
      <c r="FO3481" s="5" t="s">
        <v>238</v>
      </c>
      <c r="FP3481" s="5" t="s">
        <v>238</v>
      </c>
      <c r="FQ3481" s="5" t="s">
        <v>238</v>
      </c>
      <c r="FR3481" s="5" t="s">
        <v>238</v>
      </c>
      <c r="FS3481" s="5" t="s">
        <v>238</v>
      </c>
      <c r="FT3481" s="5" t="s">
        <v>238</v>
      </c>
      <c r="FU3481" s="5" t="s">
        <v>238</v>
      </c>
      <c r="FV3481" s="5" t="s">
        <v>238</v>
      </c>
      <c r="FW3481" s="5" t="s">
        <v>238</v>
      </c>
      <c r="FX3481" s="5" t="s">
        <v>238</v>
      </c>
      <c r="FY3481" s="5" t="s">
        <v>238</v>
      </c>
      <c r="FZ3481" s="5" t="s">
        <v>238</v>
      </c>
      <c r="GA3481" s="5" t="s">
        <v>238</v>
      </c>
      <c r="GB3481" s="5" t="s">
        <v>238</v>
      </c>
      <c r="GC3481" s="5" t="s">
        <v>238</v>
      </c>
      <c r="GD3481" s="5" t="s">
        <v>238</v>
      </c>
      <c r="GE3481" s="5" t="s">
        <v>238</v>
      </c>
      <c r="GF3481" s="5" t="s">
        <v>238</v>
      </c>
      <c r="GG3481" s="5" t="s">
        <v>238</v>
      </c>
      <c r="GH3481" s="5" t="s">
        <v>238</v>
      </c>
      <c r="GI3481" s="5" t="s">
        <v>238</v>
      </c>
      <c r="GJ3481" s="5" t="s">
        <v>238</v>
      </c>
      <c r="GK3481" s="5" t="s">
        <v>238</v>
      </c>
      <c r="GL3481" s="5" t="s">
        <v>238</v>
      </c>
      <c r="GM3481" s="5" t="s">
        <v>238</v>
      </c>
      <c r="GN3481" s="5" t="s">
        <v>238</v>
      </c>
      <c r="GO3481" s="5" t="s">
        <v>238</v>
      </c>
      <c r="GP3481" s="5" t="s">
        <v>238</v>
      </c>
      <c r="GQ3481" s="5" t="s">
        <v>238</v>
      </c>
      <c r="GR3481" s="5" t="s">
        <v>238</v>
      </c>
      <c r="GS3481" s="5" t="s">
        <v>238</v>
      </c>
      <c r="GT3481" s="5" t="s">
        <v>238</v>
      </c>
      <c r="GU3481" s="5" t="s">
        <v>238</v>
      </c>
      <c r="GV3481" s="5" t="s">
        <v>238</v>
      </c>
      <c r="GW3481" s="5" t="s">
        <v>238</v>
      </c>
      <c r="GX3481" s="5" t="s">
        <v>238</v>
      </c>
      <c r="GY3481" s="5" t="s">
        <v>238</v>
      </c>
      <c r="GZ3481" s="5" t="s">
        <v>238</v>
      </c>
      <c r="HA3481" s="5" t="s">
        <v>238</v>
      </c>
      <c r="HB3481" s="5" t="s">
        <v>238</v>
      </c>
      <c r="HC3481" s="5" t="s">
        <v>238</v>
      </c>
      <c r="HD3481" s="5" t="s">
        <v>238</v>
      </c>
      <c r="HE3481" s="5" t="s">
        <v>238</v>
      </c>
      <c r="HF3481" s="5" t="s">
        <v>238</v>
      </c>
      <c r="HG3481" s="5" t="s">
        <v>238</v>
      </c>
      <c r="HH3481" s="5" t="s">
        <v>238</v>
      </c>
      <c r="HI3481" s="5" t="s">
        <v>238</v>
      </c>
      <c r="HJ3481" s="5" t="s">
        <v>238</v>
      </c>
      <c r="HK3481" s="5" t="s">
        <v>238</v>
      </c>
      <c r="HL3481" s="5" t="s">
        <v>238</v>
      </c>
      <c r="HM3481" s="5" t="s">
        <v>264</v>
      </c>
      <c r="HN3481" s="5" t="s">
        <v>238</v>
      </c>
      <c r="HO3481" s="5" t="s">
        <v>238</v>
      </c>
      <c r="HP3481" s="5" t="s">
        <v>238</v>
      </c>
      <c r="HQ3481" s="5" t="s">
        <v>238</v>
      </c>
      <c r="HR3481" s="5" t="s">
        <v>238</v>
      </c>
      <c r="HS3481" s="5" t="s">
        <v>238</v>
      </c>
      <c r="HT3481" s="5" t="s">
        <v>238</v>
      </c>
      <c r="HU3481" s="5" t="s">
        <v>238</v>
      </c>
      <c r="HV3481" s="5" t="s">
        <v>238</v>
      </c>
      <c r="HW3481" s="5" t="s">
        <v>238</v>
      </c>
      <c r="HX3481" s="5" t="s">
        <v>238</v>
      </c>
      <c r="HY3481" s="5" t="s">
        <v>238</v>
      </c>
      <c r="HZ3481" s="5" t="s">
        <v>238</v>
      </c>
      <c r="IA3481" s="5" t="s">
        <v>238</v>
      </c>
      <c r="IB3481" s="5" t="s">
        <v>238</v>
      </c>
      <c r="IC3481" s="5" t="s">
        <v>238</v>
      </c>
      <c r="ID3481" s="5" t="s">
        <v>238</v>
      </c>
    </row>
    <row r="3482" spans="1:238" x14ac:dyDescent="0.4">
      <c r="A3482" s="5">
        <v>9200</v>
      </c>
      <c r="B3482" s="5">
        <v>1</v>
      </c>
      <c r="C3482" s="5">
        <v>1</v>
      </c>
      <c r="D3482" s="5" t="s">
        <v>484</v>
      </c>
      <c r="E3482" s="5" t="s">
        <v>485</v>
      </c>
      <c r="F3482" s="5" t="s">
        <v>248</v>
      </c>
      <c r="G3482" s="5" t="s">
        <v>4660</v>
      </c>
      <c r="H3482" s="6" t="s">
        <v>4662</v>
      </c>
      <c r="I3482" s="8">
        <f>1</f>
        <v>1</v>
      </c>
      <c r="J3482" s="5" t="s">
        <v>499</v>
      </c>
      <c r="K3482" s="8">
        <f>1</f>
        <v>1</v>
      </c>
      <c r="L3482" s="6" t="s">
        <v>242</v>
      </c>
      <c r="M3482" s="5" t="s">
        <v>267</v>
      </c>
      <c r="N3482" s="5" t="s">
        <v>482</v>
      </c>
      <c r="O3482" s="5" t="s">
        <v>238</v>
      </c>
      <c r="P3482" s="5" t="s">
        <v>238</v>
      </c>
      <c r="Q3482" s="5" t="s">
        <v>239</v>
      </c>
      <c r="R3482" s="5" t="s">
        <v>270</v>
      </c>
      <c r="S3482" s="5" t="s">
        <v>238</v>
      </c>
      <c r="T3482" s="5" t="s">
        <v>238</v>
      </c>
      <c r="U3482" s="5" t="s">
        <v>238</v>
      </c>
      <c r="V3482" s="5" t="s">
        <v>238</v>
      </c>
      <c r="W3482" s="6" t="s">
        <v>238</v>
      </c>
      <c r="X3482" s="6" t="s">
        <v>238</v>
      </c>
      <c r="Y3482" s="5" t="s">
        <v>238</v>
      </c>
      <c r="Z3482" s="6" t="s">
        <v>238</v>
      </c>
      <c r="AA3482" s="6" t="s">
        <v>243</v>
      </c>
      <c r="AB3482" s="5" t="s">
        <v>4661</v>
      </c>
      <c r="AC3482" s="5" t="s">
        <v>244</v>
      </c>
      <c r="AD3482" s="5" t="s">
        <v>245</v>
      </c>
      <c r="AE3482" s="5" t="s">
        <v>238</v>
      </c>
      <c r="AF3482" s="5" t="s">
        <v>238</v>
      </c>
      <c r="AG3482" s="5" t="s">
        <v>238</v>
      </c>
      <c r="AH3482" s="5" t="s">
        <v>238</v>
      </c>
      <c r="AI3482" s="5" t="s">
        <v>238</v>
      </c>
      <c r="AJ3482" s="5" t="s">
        <v>238</v>
      </c>
      <c r="AK3482" s="5" t="s">
        <v>238</v>
      </c>
      <c r="AL3482" s="5" t="s">
        <v>238</v>
      </c>
      <c r="AM3482" s="6" t="s">
        <v>238</v>
      </c>
      <c r="AN3482" s="6" t="s">
        <v>238</v>
      </c>
      <c r="AO3482" s="6" t="s">
        <v>238</v>
      </c>
      <c r="AP3482" s="6" t="s">
        <v>238</v>
      </c>
      <c r="AQ3482" s="5" t="s">
        <v>238</v>
      </c>
      <c r="AR3482" s="5" t="s">
        <v>488</v>
      </c>
      <c r="AS3482" s="5" t="s">
        <v>488</v>
      </c>
      <c r="AT3482" s="5" t="s">
        <v>246</v>
      </c>
      <c r="AU3482" s="5" t="s">
        <v>489</v>
      </c>
      <c r="AV3482" s="5" t="s">
        <v>247</v>
      </c>
      <c r="AW3482" s="5" t="s">
        <v>238</v>
      </c>
      <c r="AX3482" s="5" t="s">
        <v>249</v>
      </c>
      <c r="AY3482" s="5" t="s">
        <v>490</v>
      </c>
      <c r="BA3482" s="5" t="s">
        <v>238</v>
      </c>
      <c r="BC3482" s="5" t="s">
        <v>491</v>
      </c>
      <c r="BD3482" s="6" t="s">
        <v>492</v>
      </c>
      <c r="BE3482" s="5" t="s">
        <v>493</v>
      </c>
      <c r="BF3482" s="5" t="s">
        <v>493</v>
      </c>
      <c r="BG3482" s="5" t="s">
        <v>238</v>
      </c>
      <c r="BH3482" s="8">
        <f>1</f>
        <v>1</v>
      </c>
      <c r="BI3482" s="8">
        <f>1</f>
        <v>1</v>
      </c>
      <c r="BJ3482" s="5" t="s">
        <v>253</v>
      </c>
      <c r="BK3482" s="5" t="s">
        <v>254</v>
      </c>
      <c r="BL3482" s="5" t="s">
        <v>238</v>
      </c>
      <c r="BM3482" s="5" t="s">
        <v>238</v>
      </c>
      <c r="BN3482" s="5" t="s">
        <v>238</v>
      </c>
      <c r="BO3482" s="5" t="s">
        <v>238</v>
      </c>
      <c r="BP3482" s="5" t="s">
        <v>238</v>
      </c>
      <c r="BQ3482" s="5" t="s">
        <v>238</v>
      </c>
      <c r="BR3482" s="5" t="s">
        <v>238</v>
      </c>
      <c r="BS3482" s="5" t="s">
        <v>238</v>
      </c>
      <c r="BT3482" s="6" t="s">
        <v>238</v>
      </c>
      <c r="BU3482" s="5" t="s">
        <v>238</v>
      </c>
      <c r="BV3482" s="5" t="s">
        <v>238</v>
      </c>
      <c r="BW3482" s="5" t="s">
        <v>238</v>
      </c>
      <c r="BX3482" s="5" t="s">
        <v>254</v>
      </c>
      <c r="BY3482" s="5" t="s">
        <v>238</v>
      </c>
      <c r="BZ3482" s="5" t="s">
        <v>238</v>
      </c>
      <c r="CA3482" s="5" t="s">
        <v>238</v>
      </c>
      <c r="CB3482" s="5" t="s">
        <v>238</v>
      </c>
      <c r="CC3482" s="5" t="s">
        <v>238</v>
      </c>
      <c r="CD3482" s="5" t="s">
        <v>273</v>
      </c>
      <c r="CE3482" s="5" t="s">
        <v>256</v>
      </c>
      <c r="CF3482" s="5" t="s">
        <v>238</v>
      </c>
      <c r="CH3482" s="5" t="s">
        <v>494</v>
      </c>
      <c r="CI3482" s="6" t="s">
        <v>257</v>
      </c>
      <c r="CJ3482" s="5" t="s">
        <v>495</v>
      </c>
      <c r="CK3482" s="5" t="s">
        <v>258</v>
      </c>
      <c r="CL3482" s="5" t="s">
        <v>496</v>
      </c>
      <c r="CM3482" s="5" t="s">
        <v>238</v>
      </c>
      <c r="CN3482" s="5">
        <v>0</v>
      </c>
      <c r="CO3482" s="5" t="s">
        <v>497</v>
      </c>
      <c r="CP3482" s="5" t="s">
        <v>260</v>
      </c>
      <c r="CQ3482" s="5" t="s">
        <v>260</v>
      </c>
      <c r="CR3482" s="5" t="s">
        <v>261</v>
      </c>
      <c r="CS3482" s="5" t="s">
        <v>498</v>
      </c>
      <c r="CT3482" s="7">
        <f>1</f>
        <v>1</v>
      </c>
      <c r="CU3482" s="8">
        <f>1</f>
        <v>1</v>
      </c>
      <c r="CV3482" s="8">
        <f>0</f>
        <v>0</v>
      </c>
      <c r="CX3482" s="8">
        <f>1</f>
        <v>1</v>
      </c>
      <c r="CY3482" s="8">
        <f>1</f>
        <v>1</v>
      </c>
      <c r="CZ3482" s="8" t="s">
        <v>238</v>
      </c>
      <c r="DA3482" s="5" t="s">
        <v>238</v>
      </c>
      <c r="DB3482" s="5" t="s">
        <v>238</v>
      </c>
      <c r="DC3482" s="5" t="s">
        <v>238</v>
      </c>
      <c r="DD3482" s="5" t="s">
        <v>238</v>
      </c>
      <c r="DE3482" s="8">
        <f>0</f>
        <v>0</v>
      </c>
      <c r="DG3482" s="5" t="s">
        <v>238</v>
      </c>
      <c r="DH3482" s="5" t="s">
        <v>238</v>
      </c>
      <c r="DI3482" s="5" t="s">
        <v>238</v>
      </c>
      <c r="DJ3482" s="5" t="s">
        <v>238</v>
      </c>
      <c r="DK3482" s="5" t="s">
        <v>238</v>
      </c>
      <c r="DL3482" s="5" t="s">
        <v>238</v>
      </c>
      <c r="DM3482" s="8" t="s">
        <v>238</v>
      </c>
      <c r="DN3482" s="5" t="s">
        <v>238</v>
      </c>
      <c r="DO3482" s="5" t="s">
        <v>238</v>
      </c>
      <c r="DP3482" s="5" t="s">
        <v>490</v>
      </c>
      <c r="DQ3482" s="5" t="s">
        <v>490</v>
      </c>
      <c r="DR3482" s="5" t="s">
        <v>238</v>
      </c>
      <c r="DS3482" s="5" t="s">
        <v>238</v>
      </c>
      <c r="DT3482" s="5" t="s">
        <v>500</v>
      </c>
      <c r="DU3482" s="5" t="s">
        <v>298</v>
      </c>
      <c r="DV3482" s="5" t="s">
        <v>238</v>
      </c>
      <c r="DW3482" s="5" t="s">
        <v>238</v>
      </c>
      <c r="DX3482" s="5" t="s">
        <v>238</v>
      </c>
      <c r="DY3482" s="5" t="s">
        <v>238</v>
      </c>
      <c r="DZ3482" s="5" t="s">
        <v>238</v>
      </c>
      <c r="EA3482" s="5" t="s">
        <v>238</v>
      </c>
      <c r="EB3482" s="5" t="s">
        <v>238</v>
      </c>
      <c r="EC3482" s="5" t="s">
        <v>238</v>
      </c>
      <c r="ED3482" s="5" t="s">
        <v>238</v>
      </c>
      <c r="EE3482" s="5" t="s">
        <v>238</v>
      </c>
      <c r="EF3482" s="5" t="s">
        <v>238</v>
      </c>
      <c r="EG3482" s="5" t="s">
        <v>238</v>
      </c>
      <c r="EH3482" s="5" t="s">
        <v>238</v>
      </c>
      <c r="EI3482" s="5" t="s">
        <v>238</v>
      </c>
      <c r="EJ3482" s="5" t="s">
        <v>238</v>
      </c>
      <c r="EK3482" s="5" t="s">
        <v>238</v>
      </c>
      <c r="EL3482" s="5" t="s">
        <v>238</v>
      </c>
      <c r="EM3482" s="5" t="s">
        <v>238</v>
      </c>
      <c r="EN3482" s="5" t="s">
        <v>238</v>
      </c>
      <c r="EO3482" s="5" t="s">
        <v>238</v>
      </c>
      <c r="EP3482" s="5" t="s">
        <v>238</v>
      </c>
      <c r="EQ3482" s="5" t="s">
        <v>238</v>
      </c>
      <c r="ER3482" s="5" t="s">
        <v>238</v>
      </c>
      <c r="ES3482" s="5" t="s">
        <v>238</v>
      </c>
      <c r="ET3482" s="5" t="s">
        <v>238</v>
      </c>
      <c r="EU3482" s="5" t="s">
        <v>238</v>
      </c>
      <c r="EV3482" s="5" t="s">
        <v>238</v>
      </c>
      <c r="EW3482" s="5" t="s">
        <v>238</v>
      </c>
      <c r="EX3482" s="5" t="s">
        <v>238</v>
      </c>
      <c r="EY3482" s="5" t="s">
        <v>238</v>
      </c>
      <c r="EZ3482" s="5" t="s">
        <v>238</v>
      </c>
      <c r="FA3482" s="5" t="s">
        <v>238</v>
      </c>
      <c r="FB3482" s="5" t="s">
        <v>238</v>
      </c>
      <c r="FC3482" s="5" t="s">
        <v>238</v>
      </c>
      <c r="FD3482" s="5" t="s">
        <v>238</v>
      </c>
      <c r="FE3482" s="5" t="s">
        <v>238</v>
      </c>
      <c r="FF3482" s="5" t="s">
        <v>238</v>
      </c>
      <c r="FG3482" s="5" t="s">
        <v>238</v>
      </c>
      <c r="FH3482" s="5" t="s">
        <v>238</v>
      </c>
      <c r="FI3482" s="5" t="s">
        <v>238</v>
      </c>
      <c r="FJ3482" s="5" t="s">
        <v>238</v>
      </c>
      <c r="FK3482" s="5" t="s">
        <v>238</v>
      </c>
      <c r="FL3482" s="5" t="s">
        <v>238</v>
      </c>
      <c r="FM3482" s="5" t="s">
        <v>238</v>
      </c>
      <c r="FN3482" s="5" t="s">
        <v>238</v>
      </c>
      <c r="FO3482" s="5" t="s">
        <v>238</v>
      </c>
      <c r="FP3482" s="5" t="s">
        <v>238</v>
      </c>
      <c r="FQ3482" s="5" t="s">
        <v>238</v>
      </c>
      <c r="FR3482" s="5" t="s">
        <v>238</v>
      </c>
      <c r="FS3482" s="5" t="s">
        <v>238</v>
      </c>
      <c r="FT3482" s="5" t="s">
        <v>238</v>
      </c>
      <c r="FU3482" s="5" t="s">
        <v>238</v>
      </c>
      <c r="FV3482" s="5" t="s">
        <v>238</v>
      </c>
      <c r="FW3482" s="5" t="s">
        <v>238</v>
      </c>
      <c r="FX3482" s="5" t="s">
        <v>238</v>
      </c>
      <c r="FY3482" s="5" t="s">
        <v>238</v>
      </c>
      <c r="FZ3482" s="5" t="s">
        <v>238</v>
      </c>
      <c r="GA3482" s="5" t="s">
        <v>238</v>
      </c>
      <c r="GB3482" s="5" t="s">
        <v>238</v>
      </c>
      <c r="GC3482" s="5" t="s">
        <v>238</v>
      </c>
      <c r="GD3482" s="5" t="s">
        <v>238</v>
      </c>
      <c r="GE3482" s="5" t="s">
        <v>238</v>
      </c>
      <c r="GF3482" s="5" t="s">
        <v>238</v>
      </c>
      <c r="GG3482" s="5" t="s">
        <v>238</v>
      </c>
      <c r="GH3482" s="5" t="s">
        <v>238</v>
      </c>
      <c r="GI3482" s="5" t="s">
        <v>238</v>
      </c>
      <c r="GJ3482" s="5" t="s">
        <v>238</v>
      </c>
      <c r="GK3482" s="5" t="s">
        <v>238</v>
      </c>
      <c r="GL3482" s="5" t="s">
        <v>238</v>
      </c>
      <c r="GM3482" s="5" t="s">
        <v>238</v>
      </c>
      <c r="GN3482" s="5" t="s">
        <v>238</v>
      </c>
      <c r="GO3482" s="5" t="s">
        <v>238</v>
      </c>
      <c r="GP3482" s="5" t="s">
        <v>238</v>
      </c>
      <c r="GQ3482" s="5" t="s">
        <v>238</v>
      </c>
      <c r="GR3482" s="5" t="s">
        <v>238</v>
      </c>
      <c r="GS3482" s="5" t="s">
        <v>238</v>
      </c>
      <c r="GT3482" s="5" t="s">
        <v>238</v>
      </c>
      <c r="GU3482" s="5" t="s">
        <v>238</v>
      </c>
      <c r="GV3482" s="5" t="s">
        <v>238</v>
      </c>
      <c r="GW3482" s="5" t="s">
        <v>238</v>
      </c>
      <c r="GX3482" s="5" t="s">
        <v>238</v>
      </c>
      <c r="GY3482" s="5" t="s">
        <v>238</v>
      </c>
      <c r="GZ3482" s="5" t="s">
        <v>238</v>
      </c>
      <c r="HA3482" s="5" t="s">
        <v>238</v>
      </c>
      <c r="HB3482" s="5" t="s">
        <v>238</v>
      </c>
      <c r="HC3482" s="5" t="s">
        <v>238</v>
      </c>
      <c r="HD3482" s="5" t="s">
        <v>238</v>
      </c>
      <c r="HE3482" s="5" t="s">
        <v>238</v>
      </c>
      <c r="HF3482" s="5" t="s">
        <v>238</v>
      </c>
      <c r="HG3482" s="5" t="s">
        <v>238</v>
      </c>
      <c r="HH3482" s="5" t="s">
        <v>238</v>
      </c>
      <c r="HI3482" s="5" t="s">
        <v>238</v>
      </c>
      <c r="HJ3482" s="5" t="s">
        <v>238</v>
      </c>
      <c r="HK3482" s="5" t="s">
        <v>238</v>
      </c>
      <c r="HL3482" s="5" t="s">
        <v>238</v>
      </c>
      <c r="HM3482" s="5" t="s">
        <v>264</v>
      </c>
      <c r="HN3482" s="5" t="s">
        <v>238</v>
      </c>
      <c r="HO3482" s="5" t="s">
        <v>238</v>
      </c>
      <c r="HP3482" s="5" t="s">
        <v>238</v>
      </c>
      <c r="HQ3482" s="5" t="s">
        <v>238</v>
      </c>
      <c r="HR3482" s="5" t="s">
        <v>238</v>
      </c>
      <c r="HS3482" s="5" t="s">
        <v>238</v>
      </c>
      <c r="HT3482" s="5" t="s">
        <v>238</v>
      </c>
      <c r="HU3482" s="5" t="s">
        <v>238</v>
      </c>
      <c r="HV3482" s="5" t="s">
        <v>238</v>
      </c>
      <c r="HW3482" s="5" t="s">
        <v>238</v>
      </c>
      <c r="HX3482" s="5" t="s">
        <v>238</v>
      </c>
      <c r="HY3482" s="5" t="s">
        <v>238</v>
      </c>
      <c r="HZ3482" s="5" t="s">
        <v>238</v>
      </c>
      <c r="IA3482" s="5" t="s">
        <v>238</v>
      </c>
      <c r="IB3482" s="5" t="s">
        <v>238</v>
      </c>
      <c r="IC3482" s="5" t="s">
        <v>238</v>
      </c>
      <c r="ID3482" s="5" t="s">
        <v>238</v>
      </c>
    </row>
    <row r="3483" spans="1:238" x14ac:dyDescent="0.4">
      <c r="A3483" s="5">
        <v>9201</v>
      </c>
      <c r="B3483" s="5">
        <v>1</v>
      </c>
      <c r="C3483" s="5">
        <v>1</v>
      </c>
      <c r="D3483" s="5" t="s">
        <v>484</v>
      </c>
      <c r="E3483" s="5" t="s">
        <v>485</v>
      </c>
      <c r="F3483" s="5" t="s">
        <v>248</v>
      </c>
      <c r="G3483" s="5" t="s">
        <v>4533</v>
      </c>
      <c r="H3483" s="6" t="s">
        <v>4534</v>
      </c>
      <c r="I3483" s="8">
        <f>1</f>
        <v>1</v>
      </c>
      <c r="J3483" s="5" t="s">
        <v>499</v>
      </c>
      <c r="K3483" s="8">
        <f>1</f>
        <v>1</v>
      </c>
      <c r="L3483" s="6" t="s">
        <v>242</v>
      </c>
      <c r="M3483" s="5" t="s">
        <v>267</v>
      </c>
      <c r="N3483" s="5" t="s">
        <v>482</v>
      </c>
      <c r="O3483" s="5" t="s">
        <v>238</v>
      </c>
      <c r="P3483" s="5" t="s">
        <v>238</v>
      </c>
      <c r="Q3483" s="5" t="s">
        <v>239</v>
      </c>
      <c r="R3483" s="5" t="s">
        <v>270</v>
      </c>
      <c r="S3483" s="5" t="s">
        <v>238</v>
      </c>
      <c r="T3483" s="5" t="s">
        <v>238</v>
      </c>
      <c r="U3483" s="5" t="s">
        <v>238</v>
      </c>
      <c r="V3483" s="5" t="s">
        <v>238</v>
      </c>
      <c r="W3483" s="6" t="s">
        <v>238</v>
      </c>
      <c r="X3483" s="6" t="s">
        <v>238</v>
      </c>
      <c r="Y3483" s="5" t="s">
        <v>238</v>
      </c>
      <c r="Z3483" s="6" t="s">
        <v>238</v>
      </c>
      <c r="AA3483" s="6" t="s">
        <v>243</v>
      </c>
      <c r="AB3483" s="5" t="s">
        <v>486</v>
      </c>
      <c r="AC3483" s="5" t="s">
        <v>244</v>
      </c>
      <c r="AD3483" s="5" t="s">
        <v>245</v>
      </c>
      <c r="AE3483" s="5" t="s">
        <v>238</v>
      </c>
      <c r="AF3483" s="5" t="s">
        <v>238</v>
      </c>
      <c r="AG3483" s="5" t="s">
        <v>238</v>
      </c>
      <c r="AH3483" s="5" t="s">
        <v>238</v>
      </c>
      <c r="AI3483" s="5" t="s">
        <v>238</v>
      </c>
      <c r="AJ3483" s="5" t="s">
        <v>238</v>
      </c>
      <c r="AK3483" s="5" t="s">
        <v>238</v>
      </c>
      <c r="AL3483" s="5" t="s">
        <v>238</v>
      </c>
      <c r="AM3483" s="6" t="s">
        <v>238</v>
      </c>
      <c r="AN3483" s="6" t="s">
        <v>238</v>
      </c>
      <c r="AO3483" s="6" t="s">
        <v>238</v>
      </c>
      <c r="AP3483" s="6" t="s">
        <v>238</v>
      </c>
      <c r="AQ3483" s="5" t="s">
        <v>238</v>
      </c>
      <c r="AR3483" s="5" t="s">
        <v>488</v>
      </c>
      <c r="AS3483" s="5" t="s">
        <v>488</v>
      </c>
      <c r="AT3483" s="5" t="s">
        <v>246</v>
      </c>
      <c r="AU3483" s="5" t="s">
        <v>489</v>
      </c>
      <c r="AV3483" s="5" t="s">
        <v>247</v>
      </c>
      <c r="AW3483" s="5" t="s">
        <v>238</v>
      </c>
      <c r="AX3483" s="5" t="s">
        <v>249</v>
      </c>
      <c r="AY3483" s="5" t="s">
        <v>490</v>
      </c>
      <c r="BA3483" s="5" t="s">
        <v>238</v>
      </c>
      <c r="BC3483" s="5" t="s">
        <v>491</v>
      </c>
      <c r="BD3483" s="6" t="s">
        <v>492</v>
      </c>
      <c r="BE3483" s="5" t="s">
        <v>493</v>
      </c>
      <c r="BF3483" s="5" t="s">
        <v>493</v>
      </c>
      <c r="BG3483" s="5" t="s">
        <v>238</v>
      </c>
      <c r="BH3483" s="8">
        <f>1</f>
        <v>1</v>
      </c>
      <c r="BI3483" s="8">
        <f>1</f>
        <v>1</v>
      </c>
      <c r="BJ3483" s="5" t="s">
        <v>253</v>
      </c>
      <c r="BK3483" s="5" t="s">
        <v>254</v>
      </c>
      <c r="BL3483" s="5" t="s">
        <v>238</v>
      </c>
      <c r="BM3483" s="5" t="s">
        <v>238</v>
      </c>
      <c r="BN3483" s="5" t="s">
        <v>238</v>
      </c>
      <c r="BO3483" s="5" t="s">
        <v>238</v>
      </c>
      <c r="BP3483" s="5" t="s">
        <v>238</v>
      </c>
      <c r="BQ3483" s="5" t="s">
        <v>238</v>
      </c>
      <c r="BR3483" s="5" t="s">
        <v>238</v>
      </c>
      <c r="BS3483" s="5" t="s">
        <v>238</v>
      </c>
      <c r="BT3483" s="6" t="s">
        <v>238</v>
      </c>
      <c r="BU3483" s="5" t="s">
        <v>238</v>
      </c>
      <c r="BV3483" s="5" t="s">
        <v>238</v>
      </c>
      <c r="BW3483" s="5" t="s">
        <v>238</v>
      </c>
      <c r="BX3483" s="5" t="s">
        <v>254</v>
      </c>
      <c r="BY3483" s="5" t="s">
        <v>238</v>
      </c>
      <c r="BZ3483" s="5" t="s">
        <v>238</v>
      </c>
      <c r="CA3483" s="5" t="s">
        <v>238</v>
      </c>
      <c r="CB3483" s="5" t="s">
        <v>238</v>
      </c>
      <c r="CC3483" s="5" t="s">
        <v>238</v>
      </c>
      <c r="CD3483" s="5" t="s">
        <v>273</v>
      </c>
      <c r="CE3483" s="5" t="s">
        <v>256</v>
      </c>
      <c r="CF3483" s="5" t="s">
        <v>238</v>
      </c>
      <c r="CH3483" s="5" t="s">
        <v>494</v>
      </c>
      <c r="CI3483" s="6" t="s">
        <v>257</v>
      </c>
      <c r="CJ3483" s="5" t="s">
        <v>495</v>
      </c>
      <c r="CK3483" s="5" t="s">
        <v>258</v>
      </c>
      <c r="CL3483" s="5" t="s">
        <v>496</v>
      </c>
      <c r="CM3483" s="5" t="s">
        <v>238</v>
      </c>
      <c r="CN3483" s="5">
        <v>0</v>
      </c>
      <c r="CO3483" s="5" t="s">
        <v>497</v>
      </c>
      <c r="CP3483" s="5" t="s">
        <v>260</v>
      </c>
      <c r="CQ3483" s="5" t="s">
        <v>260</v>
      </c>
      <c r="CR3483" s="5" t="s">
        <v>261</v>
      </c>
      <c r="CS3483" s="5" t="s">
        <v>498</v>
      </c>
      <c r="CT3483" s="7">
        <f>1</f>
        <v>1</v>
      </c>
      <c r="CU3483" s="8">
        <f>1</f>
        <v>1</v>
      </c>
      <c r="CV3483" s="8">
        <f>0</f>
        <v>0</v>
      </c>
      <c r="CX3483" s="8">
        <f>1</f>
        <v>1</v>
      </c>
      <c r="CY3483" s="8">
        <f>1</f>
        <v>1</v>
      </c>
      <c r="CZ3483" s="8" t="s">
        <v>238</v>
      </c>
      <c r="DA3483" s="5" t="s">
        <v>238</v>
      </c>
      <c r="DB3483" s="5" t="s">
        <v>238</v>
      </c>
      <c r="DC3483" s="5" t="s">
        <v>238</v>
      </c>
      <c r="DD3483" s="5" t="s">
        <v>238</v>
      </c>
      <c r="DE3483" s="8">
        <f>0</f>
        <v>0</v>
      </c>
      <c r="DG3483" s="5" t="s">
        <v>238</v>
      </c>
      <c r="DH3483" s="5" t="s">
        <v>238</v>
      </c>
      <c r="DI3483" s="5" t="s">
        <v>238</v>
      </c>
      <c r="DJ3483" s="5" t="s">
        <v>238</v>
      </c>
      <c r="DK3483" s="5" t="s">
        <v>238</v>
      </c>
      <c r="DL3483" s="5" t="s">
        <v>238</v>
      </c>
      <c r="DM3483" s="8" t="s">
        <v>238</v>
      </c>
      <c r="DN3483" s="5" t="s">
        <v>238</v>
      </c>
      <c r="DO3483" s="5" t="s">
        <v>238</v>
      </c>
      <c r="DP3483" s="5" t="s">
        <v>490</v>
      </c>
      <c r="DQ3483" s="5" t="s">
        <v>490</v>
      </c>
      <c r="DR3483" s="5" t="s">
        <v>238</v>
      </c>
      <c r="DS3483" s="5" t="s">
        <v>238</v>
      </c>
      <c r="DT3483" s="5" t="s">
        <v>500</v>
      </c>
      <c r="DU3483" s="5" t="s">
        <v>1270</v>
      </c>
      <c r="DV3483" s="5" t="s">
        <v>238</v>
      </c>
      <c r="DW3483" s="5" t="s">
        <v>238</v>
      </c>
      <c r="DX3483" s="5" t="s">
        <v>238</v>
      </c>
      <c r="DY3483" s="5" t="s">
        <v>238</v>
      </c>
      <c r="DZ3483" s="5" t="s">
        <v>238</v>
      </c>
      <c r="EA3483" s="5" t="s">
        <v>238</v>
      </c>
      <c r="EB3483" s="5" t="s">
        <v>238</v>
      </c>
      <c r="EC3483" s="5" t="s">
        <v>238</v>
      </c>
      <c r="ED3483" s="5" t="s">
        <v>238</v>
      </c>
      <c r="EE3483" s="5" t="s">
        <v>238</v>
      </c>
      <c r="EF3483" s="5" t="s">
        <v>238</v>
      </c>
      <c r="EG3483" s="5" t="s">
        <v>238</v>
      </c>
      <c r="EH3483" s="5" t="s">
        <v>238</v>
      </c>
      <c r="EI3483" s="5" t="s">
        <v>238</v>
      </c>
      <c r="EJ3483" s="5" t="s">
        <v>238</v>
      </c>
      <c r="EK3483" s="5" t="s">
        <v>238</v>
      </c>
      <c r="EL3483" s="5" t="s">
        <v>238</v>
      </c>
      <c r="EM3483" s="5" t="s">
        <v>238</v>
      </c>
      <c r="EN3483" s="5" t="s">
        <v>238</v>
      </c>
      <c r="EO3483" s="5" t="s">
        <v>238</v>
      </c>
      <c r="EP3483" s="5" t="s">
        <v>238</v>
      </c>
      <c r="EQ3483" s="5" t="s">
        <v>238</v>
      </c>
      <c r="ER3483" s="5" t="s">
        <v>238</v>
      </c>
      <c r="ES3483" s="5" t="s">
        <v>238</v>
      </c>
      <c r="ET3483" s="5" t="s">
        <v>238</v>
      </c>
      <c r="EU3483" s="5" t="s">
        <v>238</v>
      </c>
      <c r="EV3483" s="5" t="s">
        <v>238</v>
      </c>
      <c r="EW3483" s="5" t="s">
        <v>238</v>
      </c>
      <c r="EX3483" s="5" t="s">
        <v>238</v>
      </c>
      <c r="EY3483" s="5" t="s">
        <v>238</v>
      </c>
      <c r="EZ3483" s="5" t="s">
        <v>238</v>
      </c>
      <c r="FA3483" s="5" t="s">
        <v>238</v>
      </c>
      <c r="FB3483" s="5" t="s">
        <v>238</v>
      </c>
      <c r="FC3483" s="5" t="s">
        <v>238</v>
      </c>
      <c r="FD3483" s="5" t="s">
        <v>238</v>
      </c>
      <c r="FE3483" s="5" t="s">
        <v>238</v>
      </c>
      <c r="FF3483" s="5" t="s">
        <v>238</v>
      </c>
      <c r="FG3483" s="5" t="s">
        <v>238</v>
      </c>
      <c r="FH3483" s="5" t="s">
        <v>238</v>
      </c>
      <c r="FI3483" s="5" t="s">
        <v>238</v>
      </c>
      <c r="FJ3483" s="5" t="s">
        <v>238</v>
      </c>
      <c r="FK3483" s="5" t="s">
        <v>238</v>
      </c>
      <c r="FL3483" s="5" t="s">
        <v>238</v>
      </c>
      <c r="FM3483" s="5" t="s">
        <v>238</v>
      </c>
      <c r="FN3483" s="5" t="s">
        <v>238</v>
      </c>
      <c r="FO3483" s="5" t="s">
        <v>238</v>
      </c>
      <c r="FP3483" s="5" t="s">
        <v>238</v>
      </c>
      <c r="FQ3483" s="5" t="s">
        <v>238</v>
      </c>
      <c r="FR3483" s="5" t="s">
        <v>238</v>
      </c>
      <c r="FS3483" s="5" t="s">
        <v>238</v>
      </c>
      <c r="FT3483" s="5" t="s">
        <v>238</v>
      </c>
      <c r="FU3483" s="5" t="s">
        <v>238</v>
      </c>
      <c r="FV3483" s="5" t="s">
        <v>238</v>
      </c>
      <c r="FW3483" s="5" t="s">
        <v>238</v>
      </c>
      <c r="FX3483" s="5" t="s">
        <v>238</v>
      </c>
      <c r="FY3483" s="5" t="s">
        <v>238</v>
      </c>
      <c r="FZ3483" s="5" t="s">
        <v>238</v>
      </c>
      <c r="GA3483" s="5" t="s">
        <v>238</v>
      </c>
      <c r="GB3483" s="5" t="s">
        <v>238</v>
      </c>
      <c r="GC3483" s="5" t="s">
        <v>238</v>
      </c>
      <c r="GD3483" s="5" t="s">
        <v>238</v>
      </c>
      <c r="GE3483" s="5" t="s">
        <v>238</v>
      </c>
      <c r="GF3483" s="5" t="s">
        <v>238</v>
      </c>
      <c r="GG3483" s="5" t="s">
        <v>238</v>
      </c>
      <c r="GH3483" s="5" t="s">
        <v>238</v>
      </c>
      <c r="GI3483" s="5" t="s">
        <v>238</v>
      </c>
      <c r="GJ3483" s="5" t="s">
        <v>238</v>
      </c>
      <c r="GK3483" s="5" t="s">
        <v>238</v>
      </c>
      <c r="GL3483" s="5" t="s">
        <v>238</v>
      </c>
      <c r="GM3483" s="5" t="s">
        <v>238</v>
      </c>
      <c r="GN3483" s="5" t="s">
        <v>238</v>
      </c>
      <c r="GO3483" s="5" t="s">
        <v>238</v>
      </c>
      <c r="GP3483" s="5" t="s">
        <v>238</v>
      </c>
      <c r="GQ3483" s="5" t="s">
        <v>238</v>
      </c>
      <c r="GR3483" s="5" t="s">
        <v>238</v>
      </c>
      <c r="GS3483" s="5" t="s">
        <v>238</v>
      </c>
      <c r="GT3483" s="5" t="s">
        <v>238</v>
      </c>
      <c r="GU3483" s="5" t="s">
        <v>238</v>
      </c>
      <c r="GV3483" s="5" t="s">
        <v>238</v>
      </c>
      <c r="GW3483" s="5" t="s">
        <v>238</v>
      </c>
      <c r="GX3483" s="5" t="s">
        <v>238</v>
      </c>
      <c r="GY3483" s="5" t="s">
        <v>238</v>
      </c>
      <c r="GZ3483" s="5" t="s">
        <v>238</v>
      </c>
      <c r="HA3483" s="5" t="s">
        <v>238</v>
      </c>
      <c r="HB3483" s="5" t="s">
        <v>238</v>
      </c>
      <c r="HC3483" s="5" t="s">
        <v>238</v>
      </c>
      <c r="HD3483" s="5" t="s">
        <v>238</v>
      </c>
      <c r="HE3483" s="5" t="s">
        <v>238</v>
      </c>
      <c r="HF3483" s="5" t="s">
        <v>238</v>
      </c>
      <c r="HG3483" s="5" t="s">
        <v>238</v>
      </c>
      <c r="HH3483" s="5" t="s">
        <v>238</v>
      </c>
      <c r="HI3483" s="5" t="s">
        <v>238</v>
      </c>
      <c r="HJ3483" s="5" t="s">
        <v>238</v>
      </c>
      <c r="HK3483" s="5" t="s">
        <v>238</v>
      </c>
      <c r="HL3483" s="5" t="s">
        <v>238</v>
      </c>
      <c r="HM3483" s="5" t="s">
        <v>264</v>
      </c>
      <c r="HN3483" s="5" t="s">
        <v>238</v>
      </c>
      <c r="HO3483" s="5" t="s">
        <v>238</v>
      </c>
      <c r="HP3483" s="5" t="s">
        <v>238</v>
      </c>
      <c r="HQ3483" s="5" t="s">
        <v>238</v>
      </c>
      <c r="HR3483" s="5" t="s">
        <v>238</v>
      </c>
      <c r="HS3483" s="5" t="s">
        <v>238</v>
      </c>
      <c r="HT3483" s="5" t="s">
        <v>238</v>
      </c>
      <c r="HU3483" s="5" t="s">
        <v>238</v>
      </c>
      <c r="HV3483" s="5" t="s">
        <v>238</v>
      </c>
      <c r="HW3483" s="5" t="s">
        <v>238</v>
      </c>
      <c r="HX3483" s="5" t="s">
        <v>238</v>
      </c>
      <c r="HY3483" s="5" t="s">
        <v>238</v>
      </c>
      <c r="HZ3483" s="5" t="s">
        <v>238</v>
      </c>
      <c r="IA3483" s="5" t="s">
        <v>238</v>
      </c>
      <c r="IB3483" s="5" t="s">
        <v>238</v>
      </c>
      <c r="IC3483" s="5" t="s">
        <v>238</v>
      </c>
      <c r="ID3483" s="5" t="s">
        <v>238</v>
      </c>
    </row>
    <row r="3484" spans="1:238" x14ac:dyDescent="0.4">
      <c r="A3484" s="5">
        <v>9202</v>
      </c>
      <c r="B3484" s="5">
        <v>1</v>
      </c>
      <c r="C3484" s="5">
        <v>1</v>
      </c>
      <c r="D3484" s="5" t="s">
        <v>484</v>
      </c>
      <c r="E3484" s="5" t="s">
        <v>485</v>
      </c>
      <c r="F3484" s="5" t="s">
        <v>248</v>
      </c>
      <c r="G3484" s="5" t="s">
        <v>4719</v>
      </c>
      <c r="H3484" s="6" t="s">
        <v>4720</v>
      </c>
      <c r="I3484" s="8">
        <f>1</f>
        <v>1</v>
      </c>
      <c r="J3484" s="5" t="s">
        <v>499</v>
      </c>
      <c r="K3484" s="8">
        <f>1</f>
        <v>1</v>
      </c>
      <c r="L3484" s="6" t="s">
        <v>242</v>
      </c>
      <c r="M3484" s="5" t="s">
        <v>267</v>
      </c>
      <c r="N3484" s="5" t="s">
        <v>482</v>
      </c>
      <c r="O3484" s="5" t="s">
        <v>238</v>
      </c>
      <c r="P3484" s="5" t="s">
        <v>238</v>
      </c>
      <c r="Q3484" s="5" t="s">
        <v>239</v>
      </c>
      <c r="R3484" s="5" t="s">
        <v>270</v>
      </c>
      <c r="S3484" s="5" t="s">
        <v>238</v>
      </c>
      <c r="T3484" s="5" t="s">
        <v>238</v>
      </c>
      <c r="U3484" s="5" t="s">
        <v>238</v>
      </c>
      <c r="V3484" s="5" t="s">
        <v>238</v>
      </c>
      <c r="W3484" s="6" t="s">
        <v>238</v>
      </c>
      <c r="X3484" s="6" t="s">
        <v>238</v>
      </c>
      <c r="Y3484" s="5" t="s">
        <v>238</v>
      </c>
      <c r="Z3484" s="6" t="s">
        <v>238</v>
      </c>
      <c r="AA3484" s="6" t="s">
        <v>243</v>
      </c>
      <c r="AB3484" s="5" t="s">
        <v>486</v>
      </c>
      <c r="AC3484" s="5" t="s">
        <v>244</v>
      </c>
      <c r="AD3484" s="5" t="s">
        <v>245</v>
      </c>
      <c r="AE3484" s="5" t="s">
        <v>238</v>
      </c>
      <c r="AF3484" s="5" t="s">
        <v>238</v>
      </c>
      <c r="AG3484" s="5" t="s">
        <v>238</v>
      </c>
      <c r="AH3484" s="5" t="s">
        <v>238</v>
      </c>
      <c r="AI3484" s="5" t="s">
        <v>238</v>
      </c>
      <c r="AJ3484" s="5" t="s">
        <v>238</v>
      </c>
      <c r="AK3484" s="5" t="s">
        <v>238</v>
      </c>
      <c r="AL3484" s="5" t="s">
        <v>238</v>
      </c>
      <c r="AM3484" s="6" t="s">
        <v>238</v>
      </c>
      <c r="AN3484" s="6" t="s">
        <v>238</v>
      </c>
      <c r="AO3484" s="6" t="s">
        <v>238</v>
      </c>
      <c r="AP3484" s="6" t="s">
        <v>238</v>
      </c>
      <c r="AQ3484" s="5" t="s">
        <v>238</v>
      </c>
      <c r="AR3484" s="5" t="s">
        <v>488</v>
      </c>
      <c r="AS3484" s="5" t="s">
        <v>488</v>
      </c>
      <c r="AT3484" s="5" t="s">
        <v>246</v>
      </c>
      <c r="AU3484" s="5" t="s">
        <v>489</v>
      </c>
      <c r="AV3484" s="5" t="s">
        <v>247</v>
      </c>
      <c r="AW3484" s="5" t="s">
        <v>238</v>
      </c>
      <c r="AX3484" s="5" t="s">
        <v>249</v>
      </c>
      <c r="AY3484" s="5" t="s">
        <v>490</v>
      </c>
      <c r="BA3484" s="5" t="s">
        <v>238</v>
      </c>
      <c r="BC3484" s="5" t="s">
        <v>491</v>
      </c>
      <c r="BD3484" s="6" t="s">
        <v>492</v>
      </c>
      <c r="BE3484" s="5" t="s">
        <v>493</v>
      </c>
      <c r="BF3484" s="5" t="s">
        <v>493</v>
      </c>
      <c r="BG3484" s="5" t="s">
        <v>238</v>
      </c>
      <c r="BH3484" s="8">
        <f>1</f>
        <v>1</v>
      </c>
      <c r="BI3484" s="8">
        <f>1</f>
        <v>1</v>
      </c>
      <c r="BJ3484" s="5" t="s">
        <v>253</v>
      </c>
      <c r="BK3484" s="5" t="s">
        <v>254</v>
      </c>
      <c r="BL3484" s="5" t="s">
        <v>238</v>
      </c>
      <c r="BM3484" s="5" t="s">
        <v>238</v>
      </c>
      <c r="BN3484" s="5" t="s">
        <v>238</v>
      </c>
      <c r="BO3484" s="5" t="s">
        <v>238</v>
      </c>
      <c r="BP3484" s="5" t="s">
        <v>238</v>
      </c>
      <c r="BQ3484" s="5" t="s">
        <v>238</v>
      </c>
      <c r="BR3484" s="5" t="s">
        <v>238</v>
      </c>
      <c r="BS3484" s="5" t="s">
        <v>238</v>
      </c>
      <c r="BT3484" s="6" t="s">
        <v>238</v>
      </c>
      <c r="BU3484" s="5" t="s">
        <v>238</v>
      </c>
      <c r="BV3484" s="5" t="s">
        <v>238</v>
      </c>
      <c r="BW3484" s="5" t="s">
        <v>238</v>
      </c>
      <c r="BX3484" s="5" t="s">
        <v>254</v>
      </c>
      <c r="BY3484" s="5" t="s">
        <v>238</v>
      </c>
      <c r="BZ3484" s="5" t="s">
        <v>238</v>
      </c>
      <c r="CA3484" s="5" t="s">
        <v>238</v>
      </c>
      <c r="CB3484" s="5" t="s">
        <v>238</v>
      </c>
      <c r="CC3484" s="5" t="s">
        <v>238</v>
      </c>
      <c r="CD3484" s="5" t="s">
        <v>273</v>
      </c>
      <c r="CE3484" s="5" t="s">
        <v>256</v>
      </c>
      <c r="CF3484" s="5" t="s">
        <v>238</v>
      </c>
      <c r="CH3484" s="5" t="s">
        <v>494</v>
      </c>
      <c r="CI3484" s="6" t="s">
        <v>257</v>
      </c>
      <c r="CJ3484" s="5" t="s">
        <v>495</v>
      </c>
      <c r="CK3484" s="5" t="s">
        <v>258</v>
      </c>
      <c r="CL3484" s="5" t="s">
        <v>496</v>
      </c>
      <c r="CM3484" s="5" t="s">
        <v>238</v>
      </c>
      <c r="CN3484" s="5">
        <v>0</v>
      </c>
      <c r="CO3484" s="5" t="s">
        <v>497</v>
      </c>
      <c r="CP3484" s="5" t="s">
        <v>260</v>
      </c>
      <c r="CQ3484" s="5" t="s">
        <v>260</v>
      </c>
      <c r="CR3484" s="5" t="s">
        <v>261</v>
      </c>
      <c r="CS3484" s="5" t="s">
        <v>498</v>
      </c>
      <c r="CT3484" s="7">
        <f>1</f>
        <v>1</v>
      </c>
      <c r="CU3484" s="8">
        <f>1</f>
        <v>1</v>
      </c>
      <c r="CV3484" s="8">
        <f>0</f>
        <v>0</v>
      </c>
      <c r="CX3484" s="8">
        <f>1</f>
        <v>1</v>
      </c>
      <c r="CY3484" s="8">
        <f>1</f>
        <v>1</v>
      </c>
      <c r="CZ3484" s="8" t="s">
        <v>238</v>
      </c>
      <c r="DA3484" s="5" t="s">
        <v>238</v>
      </c>
      <c r="DB3484" s="5" t="s">
        <v>238</v>
      </c>
      <c r="DC3484" s="5" t="s">
        <v>238</v>
      </c>
      <c r="DD3484" s="5" t="s">
        <v>238</v>
      </c>
      <c r="DE3484" s="8">
        <f>0</f>
        <v>0</v>
      </c>
      <c r="DG3484" s="5" t="s">
        <v>238</v>
      </c>
      <c r="DH3484" s="5" t="s">
        <v>238</v>
      </c>
      <c r="DI3484" s="5" t="s">
        <v>238</v>
      </c>
      <c r="DJ3484" s="5" t="s">
        <v>238</v>
      </c>
      <c r="DK3484" s="5" t="s">
        <v>238</v>
      </c>
      <c r="DL3484" s="5" t="s">
        <v>238</v>
      </c>
      <c r="DM3484" s="8" t="s">
        <v>238</v>
      </c>
      <c r="DN3484" s="5" t="s">
        <v>238</v>
      </c>
      <c r="DO3484" s="5" t="s">
        <v>238</v>
      </c>
      <c r="DP3484" s="5" t="s">
        <v>490</v>
      </c>
      <c r="DQ3484" s="5" t="s">
        <v>490</v>
      </c>
      <c r="DR3484" s="5" t="s">
        <v>238</v>
      </c>
      <c r="DS3484" s="5" t="s">
        <v>238</v>
      </c>
      <c r="DT3484" s="5" t="s">
        <v>500</v>
      </c>
      <c r="DU3484" s="5" t="s">
        <v>1256</v>
      </c>
      <c r="DV3484" s="5" t="s">
        <v>238</v>
      </c>
      <c r="DW3484" s="5" t="s">
        <v>238</v>
      </c>
      <c r="DX3484" s="5" t="s">
        <v>238</v>
      </c>
      <c r="DY3484" s="5" t="s">
        <v>238</v>
      </c>
      <c r="DZ3484" s="5" t="s">
        <v>238</v>
      </c>
      <c r="EA3484" s="5" t="s">
        <v>238</v>
      </c>
      <c r="EB3484" s="5" t="s">
        <v>238</v>
      </c>
      <c r="EC3484" s="5" t="s">
        <v>238</v>
      </c>
      <c r="ED3484" s="5" t="s">
        <v>238</v>
      </c>
      <c r="EE3484" s="5" t="s">
        <v>238</v>
      </c>
      <c r="EF3484" s="5" t="s">
        <v>238</v>
      </c>
      <c r="EG3484" s="5" t="s">
        <v>238</v>
      </c>
      <c r="EH3484" s="5" t="s">
        <v>238</v>
      </c>
      <c r="EI3484" s="5" t="s">
        <v>238</v>
      </c>
      <c r="EJ3484" s="5" t="s">
        <v>238</v>
      </c>
      <c r="EK3484" s="5" t="s">
        <v>238</v>
      </c>
      <c r="EL3484" s="5" t="s">
        <v>238</v>
      </c>
      <c r="EM3484" s="5" t="s">
        <v>238</v>
      </c>
      <c r="EN3484" s="5" t="s">
        <v>238</v>
      </c>
      <c r="EO3484" s="5" t="s">
        <v>238</v>
      </c>
      <c r="EP3484" s="5" t="s">
        <v>238</v>
      </c>
      <c r="EQ3484" s="5" t="s">
        <v>238</v>
      </c>
      <c r="ER3484" s="5" t="s">
        <v>238</v>
      </c>
      <c r="ES3484" s="5" t="s">
        <v>238</v>
      </c>
      <c r="ET3484" s="5" t="s">
        <v>238</v>
      </c>
      <c r="EU3484" s="5" t="s">
        <v>238</v>
      </c>
      <c r="EV3484" s="5" t="s">
        <v>238</v>
      </c>
      <c r="EW3484" s="5" t="s">
        <v>238</v>
      </c>
      <c r="EX3484" s="5" t="s">
        <v>238</v>
      </c>
      <c r="EY3484" s="5" t="s">
        <v>238</v>
      </c>
      <c r="EZ3484" s="5" t="s">
        <v>238</v>
      </c>
      <c r="FA3484" s="5" t="s">
        <v>238</v>
      </c>
      <c r="FB3484" s="5" t="s">
        <v>238</v>
      </c>
      <c r="FC3484" s="5" t="s">
        <v>238</v>
      </c>
      <c r="FD3484" s="5" t="s">
        <v>238</v>
      </c>
      <c r="FE3484" s="5" t="s">
        <v>238</v>
      </c>
      <c r="FF3484" s="5" t="s">
        <v>238</v>
      </c>
      <c r="FG3484" s="5" t="s">
        <v>238</v>
      </c>
      <c r="FH3484" s="5" t="s">
        <v>238</v>
      </c>
      <c r="FI3484" s="5" t="s">
        <v>238</v>
      </c>
      <c r="FJ3484" s="5" t="s">
        <v>238</v>
      </c>
      <c r="FK3484" s="5" t="s">
        <v>238</v>
      </c>
      <c r="FL3484" s="5" t="s">
        <v>238</v>
      </c>
      <c r="FM3484" s="5" t="s">
        <v>238</v>
      </c>
      <c r="FN3484" s="5" t="s">
        <v>238</v>
      </c>
      <c r="FO3484" s="5" t="s">
        <v>238</v>
      </c>
      <c r="FP3484" s="5" t="s">
        <v>238</v>
      </c>
      <c r="FQ3484" s="5" t="s">
        <v>238</v>
      </c>
      <c r="FR3484" s="5" t="s">
        <v>238</v>
      </c>
      <c r="FS3484" s="5" t="s">
        <v>238</v>
      </c>
      <c r="FT3484" s="5" t="s">
        <v>238</v>
      </c>
      <c r="FU3484" s="5" t="s">
        <v>238</v>
      </c>
      <c r="FV3484" s="5" t="s">
        <v>238</v>
      </c>
      <c r="FW3484" s="5" t="s">
        <v>238</v>
      </c>
      <c r="FX3484" s="5" t="s">
        <v>238</v>
      </c>
      <c r="FY3484" s="5" t="s">
        <v>238</v>
      </c>
      <c r="FZ3484" s="5" t="s">
        <v>238</v>
      </c>
      <c r="GA3484" s="5" t="s">
        <v>238</v>
      </c>
      <c r="GB3484" s="5" t="s">
        <v>238</v>
      </c>
      <c r="GC3484" s="5" t="s">
        <v>238</v>
      </c>
      <c r="GD3484" s="5" t="s">
        <v>238</v>
      </c>
      <c r="GE3484" s="5" t="s">
        <v>238</v>
      </c>
      <c r="GF3484" s="5" t="s">
        <v>238</v>
      </c>
      <c r="GG3484" s="5" t="s">
        <v>238</v>
      </c>
      <c r="GH3484" s="5" t="s">
        <v>238</v>
      </c>
      <c r="GI3484" s="5" t="s">
        <v>238</v>
      </c>
      <c r="GJ3484" s="5" t="s">
        <v>238</v>
      </c>
      <c r="GK3484" s="5" t="s">
        <v>238</v>
      </c>
      <c r="GL3484" s="5" t="s">
        <v>238</v>
      </c>
      <c r="GM3484" s="5" t="s">
        <v>238</v>
      </c>
      <c r="GN3484" s="5" t="s">
        <v>238</v>
      </c>
      <c r="GO3484" s="5" t="s">
        <v>238</v>
      </c>
      <c r="GP3484" s="5" t="s">
        <v>238</v>
      </c>
      <c r="GQ3484" s="5" t="s">
        <v>238</v>
      </c>
      <c r="GR3484" s="5" t="s">
        <v>238</v>
      </c>
      <c r="GS3484" s="5" t="s">
        <v>238</v>
      </c>
      <c r="GT3484" s="5" t="s">
        <v>238</v>
      </c>
      <c r="GU3484" s="5" t="s">
        <v>238</v>
      </c>
      <c r="GV3484" s="5" t="s">
        <v>238</v>
      </c>
      <c r="GW3484" s="5" t="s">
        <v>238</v>
      </c>
      <c r="GX3484" s="5" t="s">
        <v>238</v>
      </c>
      <c r="GY3484" s="5" t="s">
        <v>238</v>
      </c>
      <c r="GZ3484" s="5" t="s">
        <v>238</v>
      </c>
      <c r="HA3484" s="5" t="s">
        <v>238</v>
      </c>
      <c r="HB3484" s="5" t="s">
        <v>238</v>
      </c>
      <c r="HC3484" s="5" t="s">
        <v>238</v>
      </c>
      <c r="HD3484" s="5" t="s">
        <v>238</v>
      </c>
      <c r="HE3484" s="5" t="s">
        <v>238</v>
      </c>
      <c r="HF3484" s="5" t="s">
        <v>238</v>
      </c>
      <c r="HG3484" s="5" t="s">
        <v>238</v>
      </c>
      <c r="HH3484" s="5" t="s">
        <v>238</v>
      </c>
      <c r="HI3484" s="5" t="s">
        <v>238</v>
      </c>
      <c r="HJ3484" s="5" t="s">
        <v>238</v>
      </c>
      <c r="HK3484" s="5" t="s">
        <v>238</v>
      </c>
      <c r="HL3484" s="5" t="s">
        <v>238</v>
      </c>
      <c r="HM3484" s="5" t="s">
        <v>264</v>
      </c>
      <c r="HN3484" s="5" t="s">
        <v>238</v>
      </c>
      <c r="HO3484" s="5" t="s">
        <v>238</v>
      </c>
      <c r="HP3484" s="5" t="s">
        <v>238</v>
      </c>
      <c r="HQ3484" s="5" t="s">
        <v>238</v>
      </c>
      <c r="HR3484" s="5" t="s">
        <v>238</v>
      </c>
      <c r="HS3484" s="5" t="s">
        <v>238</v>
      </c>
      <c r="HT3484" s="5" t="s">
        <v>238</v>
      </c>
      <c r="HU3484" s="5" t="s">
        <v>238</v>
      </c>
      <c r="HV3484" s="5" t="s">
        <v>238</v>
      </c>
      <c r="HW3484" s="5" t="s">
        <v>238</v>
      </c>
      <c r="HX3484" s="5" t="s">
        <v>238</v>
      </c>
      <c r="HY3484" s="5" t="s">
        <v>238</v>
      </c>
      <c r="HZ3484" s="5" t="s">
        <v>238</v>
      </c>
      <c r="IA3484" s="5" t="s">
        <v>238</v>
      </c>
      <c r="IB3484" s="5" t="s">
        <v>238</v>
      </c>
      <c r="IC3484" s="5" t="s">
        <v>238</v>
      </c>
      <c r="ID3484" s="5" t="s">
        <v>238</v>
      </c>
    </row>
    <row r="3485" spans="1:238" x14ac:dyDescent="0.4">
      <c r="A3485" s="5">
        <v>9203</v>
      </c>
      <c r="B3485" s="5">
        <v>1</v>
      </c>
      <c r="C3485" s="5">
        <v>1</v>
      </c>
      <c r="D3485" s="5" t="s">
        <v>484</v>
      </c>
      <c r="E3485" s="5" t="s">
        <v>485</v>
      </c>
      <c r="F3485" s="5" t="s">
        <v>248</v>
      </c>
      <c r="G3485" s="5" t="s">
        <v>5352</v>
      </c>
      <c r="H3485" s="6" t="s">
        <v>5354</v>
      </c>
      <c r="I3485" s="8">
        <f>1</f>
        <v>1</v>
      </c>
      <c r="J3485" s="5" t="s">
        <v>499</v>
      </c>
      <c r="K3485" s="8">
        <f>1</f>
        <v>1</v>
      </c>
      <c r="L3485" s="6" t="s">
        <v>242</v>
      </c>
      <c r="M3485" s="5" t="s">
        <v>267</v>
      </c>
      <c r="N3485" s="5" t="s">
        <v>482</v>
      </c>
      <c r="O3485" s="5" t="s">
        <v>238</v>
      </c>
      <c r="P3485" s="5" t="s">
        <v>238</v>
      </c>
      <c r="Q3485" s="5" t="s">
        <v>239</v>
      </c>
      <c r="R3485" s="5" t="s">
        <v>270</v>
      </c>
      <c r="S3485" s="5" t="s">
        <v>238</v>
      </c>
      <c r="T3485" s="5" t="s">
        <v>238</v>
      </c>
      <c r="U3485" s="5" t="s">
        <v>238</v>
      </c>
      <c r="V3485" s="5" t="s">
        <v>238</v>
      </c>
      <c r="W3485" s="6" t="s">
        <v>238</v>
      </c>
      <c r="X3485" s="6" t="s">
        <v>238</v>
      </c>
      <c r="Y3485" s="5" t="s">
        <v>238</v>
      </c>
      <c r="Z3485" s="6" t="s">
        <v>238</v>
      </c>
      <c r="AA3485" s="6" t="s">
        <v>243</v>
      </c>
      <c r="AB3485" s="5" t="s">
        <v>5353</v>
      </c>
      <c r="AC3485" s="5" t="s">
        <v>244</v>
      </c>
      <c r="AD3485" s="5" t="s">
        <v>245</v>
      </c>
      <c r="AE3485" s="5" t="s">
        <v>238</v>
      </c>
      <c r="AF3485" s="5" t="s">
        <v>238</v>
      </c>
      <c r="AG3485" s="5" t="s">
        <v>238</v>
      </c>
      <c r="AH3485" s="5" t="s">
        <v>238</v>
      </c>
      <c r="AI3485" s="5" t="s">
        <v>238</v>
      </c>
      <c r="AJ3485" s="5" t="s">
        <v>238</v>
      </c>
      <c r="AK3485" s="5" t="s">
        <v>238</v>
      </c>
      <c r="AL3485" s="5" t="s">
        <v>238</v>
      </c>
      <c r="AM3485" s="6" t="s">
        <v>238</v>
      </c>
      <c r="AN3485" s="6" t="s">
        <v>238</v>
      </c>
      <c r="AO3485" s="6" t="s">
        <v>238</v>
      </c>
      <c r="AP3485" s="6" t="s">
        <v>238</v>
      </c>
      <c r="AQ3485" s="5" t="s">
        <v>238</v>
      </c>
      <c r="AR3485" s="5" t="s">
        <v>488</v>
      </c>
      <c r="AS3485" s="5" t="s">
        <v>488</v>
      </c>
      <c r="AT3485" s="5" t="s">
        <v>246</v>
      </c>
      <c r="AU3485" s="5" t="s">
        <v>489</v>
      </c>
      <c r="AV3485" s="5" t="s">
        <v>247</v>
      </c>
      <c r="AW3485" s="5" t="s">
        <v>238</v>
      </c>
      <c r="AX3485" s="5" t="s">
        <v>249</v>
      </c>
      <c r="AY3485" s="5" t="s">
        <v>490</v>
      </c>
      <c r="BA3485" s="5" t="s">
        <v>238</v>
      </c>
      <c r="BC3485" s="5" t="s">
        <v>491</v>
      </c>
      <c r="BD3485" s="6" t="s">
        <v>492</v>
      </c>
      <c r="BE3485" s="5" t="s">
        <v>493</v>
      </c>
      <c r="BF3485" s="5" t="s">
        <v>493</v>
      </c>
      <c r="BG3485" s="5" t="s">
        <v>238</v>
      </c>
      <c r="BH3485" s="8">
        <f>1</f>
        <v>1</v>
      </c>
      <c r="BI3485" s="8">
        <f>1</f>
        <v>1</v>
      </c>
      <c r="BJ3485" s="5" t="s">
        <v>253</v>
      </c>
      <c r="BK3485" s="5" t="s">
        <v>254</v>
      </c>
      <c r="BL3485" s="5" t="s">
        <v>238</v>
      </c>
      <c r="BM3485" s="5" t="s">
        <v>238</v>
      </c>
      <c r="BN3485" s="5" t="s">
        <v>238</v>
      </c>
      <c r="BO3485" s="5" t="s">
        <v>238</v>
      </c>
      <c r="BP3485" s="5" t="s">
        <v>238</v>
      </c>
      <c r="BQ3485" s="5" t="s">
        <v>238</v>
      </c>
      <c r="BR3485" s="5" t="s">
        <v>238</v>
      </c>
      <c r="BS3485" s="5" t="s">
        <v>238</v>
      </c>
      <c r="BT3485" s="6" t="s">
        <v>238</v>
      </c>
      <c r="BU3485" s="5" t="s">
        <v>238</v>
      </c>
      <c r="BV3485" s="5" t="s">
        <v>238</v>
      </c>
      <c r="BW3485" s="5" t="s">
        <v>238</v>
      </c>
      <c r="BX3485" s="5" t="s">
        <v>254</v>
      </c>
      <c r="BY3485" s="5" t="s">
        <v>238</v>
      </c>
      <c r="BZ3485" s="5" t="s">
        <v>238</v>
      </c>
      <c r="CA3485" s="5" t="s">
        <v>238</v>
      </c>
      <c r="CB3485" s="5" t="s">
        <v>238</v>
      </c>
      <c r="CC3485" s="5" t="s">
        <v>238</v>
      </c>
      <c r="CD3485" s="5" t="s">
        <v>273</v>
      </c>
      <c r="CE3485" s="5" t="s">
        <v>256</v>
      </c>
      <c r="CF3485" s="5" t="s">
        <v>238</v>
      </c>
      <c r="CH3485" s="5" t="s">
        <v>494</v>
      </c>
      <c r="CI3485" s="6" t="s">
        <v>257</v>
      </c>
      <c r="CJ3485" s="5" t="s">
        <v>495</v>
      </c>
      <c r="CK3485" s="5" t="s">
        <v>258</v>
      </c>
      <c r="CL3485" s="5" t="s">
        <v>496</v>
      </c>
      <c r="CM3485" s="5" t="s">
        <v>238</v>
      </c>
      <c r="CN3485" s="5">
        <v>0</v>
      </c>
      <c r="CO3485" s="5" t="s">
        <v>497</v>
      </c>
      <c r="CP3485" s="5" t="s">
        <v>260</v>
      </c>
      <c r="CQ3485" s="5" t="s">
        <v>260</v>
      </c>
      <c r="CR3485" s="5" t="s">
        <v>261</v>
      </c>
      <c r="CS3485" s="5" t="s">
        <v>498</v>
      </c>
      <c r="CT3485" s="7">
        <f>1</f>
        <v>1</v>
      </c>
      <c r="CU3485" s="8">
        <f>1</f>
        <v>1</v>
      </c>
      <c r="CV3485" s="8">
        <f>0</f>
        <v>0</v>
      </c>
      <c r="CX3485" s="8">
        <f>1</f>
        <v>1</v>
      </c>
      <c r="CY3485" s="8">
        <f>1</f>
        <v>1</v>
      </c>
      <c r="CZ3485" s="8" t="s">
        <v>238</v>
      </c>
      <c r="DA3485" s="5" t="s">
        <v>238</v>
      </c>
      <c r="DB3485" s="5" t="s">
        <v>238</v>
      </c>
      <c r="DC3485" s="5" t="s">
        <v>238</v>
      </c>
      <c r="DD3485" s="5" t="s">
        <v>238</v>
      </c>
      <c r="DE3485" s="8">
        <f>0</f>
        <v>0</v>
      </c>
      <c r="DG3485" s="5" t="s">
        <v>238</v>
      </c>
      <c r="DH3485" s="5" t="s">
        <v>238</v>
      </c>
      <c r="DI3485" s="5" t="s">
        <v>238</v>
      </c>
      <c r="DJ3485" s="5" t="s">
        <v>238</v>
      </c>
      <c r="DK3485" s="5" t="s">
        <v>238</v>
      </c>
      <c r="DL3485" s="5" t="s">
        <v>238</v>
      </c>
      <c r="DM3485" s="8" t="s">
        <v>238</v>
      </c>
      <c r="DN3485" s="5" t="s">
        <v>238</v>
      </c>
      <c r="DO3485" s="5" t="s">
        <v>238</v>
      </c>
      <c r="DP3485" s="5" t="s">
        <v>490</v>
      </c>
      <c r="DQ3485" s="5" t="s">
        <v>490</v>
      </c>
      <c r="DR3485" s="5" t="s">
        <v>238</v>
      </c>
      <c r="DS3485" s="5" t="s">
        <v>238</v>
      </c>
      <c r="DT3485" s="5" t="s">
        <v>500</v>
      </c>
      <c r="DU3485" s="5" t="s">
        <v>1239</v>
      </c>
      <c r="DV3485" s="5" t="s">
        <v>238</v>
      </c>
      <c r="DW3485" s="5" t="s">
        <v>238</v>
      </c>
      <c r="DX3485" s="5" t="s">
        <v>238</v>
      </c>
      <c r="DY3485" s="5" t="s">
        <v>238</v>
      </c>
      <c r="DZ3485" s="5" t="s">
        <v>238</v>
      </c>
      <c r="EA3485" s="5" t="s">
        <v>238</v>
      </c>
      <c r="EB3485" s="5" t="s">
        <v>238</v>
      </c>
      <c r="EC3485" s="5" t="s">
        <v>238</v>
      </c>
      <c r="ED3485" s="5" t="s">
        <v>238</v>
      </c>
      <c r="EE3485" s="5" t="s">
        <v>238</v>
      </c>
      <c r="EF3485" s="5" t="s">
        <v>238</v>
      </c>
      <c r="EG3485" s="5" t="s">
        <v>238</v>
      </c>
      <c r="EH3485" s="5" t="s">
        <v>238</v>
      </c>
      <c r="EI3485" s="5" t="s">
        <v>238</v>
      </c>
      <c r="EJ3485" s="5" t="s">
        <v>238</v>
      </c>
      <c r="EK3485" s="5" t="s">
        <v>238</v>
      </c>
      <c r="EL3485" s="5" t="s">
        <v>238</v>
      </c>
      <c r="EM3485" s="5" t="s">
        <v>238</v>
      </c>
      <c r="EN3485" s="5" t="s">
        <v>238</v>
      </c>
      <c r="EO3485" s="5" t="s">
        <v>238</v>
      </c>
      <c r="EP3485" s="5" t="s">
        <v>238</v>
      </c>
      <c r="EQ3485" s="5" t="s">
        <v>238</v>
      </c>
      <c r="ER3485" s="5" t="s">
        <v>238</v>
      </c>
      <c r="ES3485" s="5" t="s">
        <v>238</v>
      </c>
      <c r="ET3485" s="5" t="s">
        <v>238</v>
      </c>
      <c r="EU3485" s="5" t="s">
        <v>238</v>
      </c>
      <c r="EV3485" s="5" t="s">
        <v>238</v>
      </c>
      <c r="EW3485" s="5" t="s">
        <v>238</v>
      </c>
      <c r="EX3485" s="5" t="s">
        <v>238</v>
      </c>
      <c r="EY3485" s="5" t="s">
        <v>238</v>
      </c>
      <c r="EZ3485" s="5" t="s">
        <v>238</v>
      </c>
      <c r="FA3485" s="5" t="s">
        <v>238</v>
      </c>
      <c r="FB3485" s="5" t="s">
        <v>238</v>
      </c>
      <c r="FC3485" s="5" t="s">
        <v>238</v>
      </c>
      <c r="FD3485" s="5" t="s">
        <v>238</v>
      </c>
      <c r="FE3485" s="5" t="s">
        <v>238</v>
      </c>
      <c r="FF3485" s="5" t="s">
        <v>238</v>
      </c>
      <c r="FG3485" s="5" t="s">
        <v>238</v>
      </c>
      <c r="FH3485" s="5" t="s">
        <v>238</v>
      </c>
      <c r="FI3485" s="5" t="s">
        <v>238</v>
      </c>
      <c r="FJ3485" s="5" t="s">
        <v>238</v>
      </c>
      <c r="FK3485" s="5" t="s">
        <v>238</v>
      </c>
      <c r="FL3485" s="5" t="s">
        <v>238</v>
      </c>
      <c r="FM3485" s="5" t="s">
        <v>238</v>
      </c>
      <c r="FN3485" s="5" t="s">
        <v>238</v>
      </c>
      <c r="FO3485" s="5" t="s">
        <v>238</v>
      </c>
      <c r="FP3485" s="5" t="s">
        <v>238</v>
      </c>
      <c r="FQ3485" s="5" t="s">
        <v>238</v>
      </c>
      <c r="FR3485" s="5" t="s">
        <v>238</v>
      </c>
      <c r="FS3485" s="5" t="s">
        <v>238</v>
      </c>
      <c r="FT3485" s="5" t="s">
        <v>238</v>
      </c>
      <c r="FU3485" s="5" t="s">
        <v>238</v>
      </c>
      <c r="FV3485" s="5" t="s">
        <v>238</v>
      </c>
      <c r="FW3485" s="5" t="s">
        <v>238</v>
      </c>
      <c r="FX3485" s="5" t="s">
        <v>238</v>
      </c>
      <c r="FY3485" s="5" t="s">
        <v>238</v>
      </c>
      <c r="FZ3485" s="5" t="s">
        <v>238</v>
      </c>
      <c r="GA3485" s="5" t="s">
        <v>238</v>
      </c>
      <c r="GB3485" s="5" t="s">
        <v>238</v>
      </c>
      <c r="GC3485" s="5" t="s">
        <v>238</v>
      </c>
      <c r="GD3485" s="5" t="s">
        <v>238</v>
      </c>
      <c r="GE3485" s="5" t="s">
        <v>238</v>
      </c>
      <c r="GF3485" s="5" t="s">
        <v>238</v>
      </c>
      <c r="GG3485" s="5" t="s">
        <v>238</v>
      </c>
      <c r="GH3485" s="5" t="s">
        <v>238</v>
      </c>
      <c r="GI3485" s="5" t="s">
        <v>238</v>
      </c>
      <c r="GJ3485" s="5" t="s">
        <v>238</v>
      </c>
      <c r="GK3485" s="5" t="s">
        <v>238</v>
      </c>
      <c r="GL3485" s="5" t="s">
        <v>238</v>
      </c>
      <c r="GM3485" s="5" t="s">
        <v>238</v>
      </c>
      <c r="GN3485" s="5" t="s">
        <v>238</v>
      </c>
      <c r="GO3485" s="5" t="s">
        <v>238</v>
      </c>
      <c r="GP3485" s="5" t="s">
        <v>238</v>
      </c>
      <c r="GQ3485" s="5" t="s">
        <v>238</v>
      </c>
      <c r="GR3485" s="5" t="s">
        <v>238</v>
      </c>
      <c r="GS3485" s="5" t="s">
        <v>238</v>
      </c>
      <c r="GT3485" s="5" t="s">
        <v>238</v>
      </c>
      <c r="GU3485" s="5" t="s">
        <v>238</v>
      </c>
      <c r="GV3485" s="5" t="s">
        <v>238</v>
      </c>
      <c r="GW3485" s="5" t="s">
        <v>238</v>
      </c>
      <c r="GX3485" s="5" t="s">
        <v>238</v>
      </c>
      <c r="GY3485" s="5" t="s">
        <v>238</v>
      </c>
      <c r="GZ3485" s="5" t="s">
        <v>238</v>
      </c>
      <c r="HA3485" s="5" t="s">
        <v>238</v>
      </c>
      <c r="HB3485" s="5" t="s">
        <v>238</v>
      </c>
      <c r="HC3485" s="5" t="s">
        <v>238</v>
      </c>
      <c r="HD3485" s="5" t="s">
        <v>238</v>
      </c>
      <c r="HE3485" s="5" t="s">
        <v>238</v>
      </c>
      <c r="HF3485" s="5" t="s">
        <v>238</v>
      </c>
      <c r="HG3485" s="5" t="s">
        <v>238</v>
      </c>
      <c r="HH3485" s="5" t="s">
        <v>238</v>
      </c>
      <c r="HI3485" s="5" t="s">
        <v>238</v>
      </c>
      <c r="HJ3485" s="5" t="s">
        <v>238</v>
      </c>
      <c r="HK3485" s="5" t="s">
        <v>238</v>
      </c>
      <c r="HL3485" s="5" t="s">
        <v>238</v>
      </c>
      <c r="HM3485" s="5" t="s">
        <v>264</v>
      </c>
      <c r="HN3485" s="5" t="s">
        <v>238</v>
      </c>
      <c r="HO3485" s="5" t="s">
        <v>238</v>
      </c>
      <c r="HP3485" s="5" t="s">
        <v>238</v>
      </c>
      <c r="HQ3485" s="5" t="s">
        <v>238</v>
      </c>
      <c r="HR3485" s="5" t="s">
        <v>238</v>
      </c>
      <c r="HS3485" s="5" t="s">
        <v>238</v>
      </c>
      <c r="HT3485" s="5" t="s">
        <v>238</v>
      </c>
      <c r="HU3485" s="5" t="s">
        <v>238</v>
      </c>
      <c r="HV3485" s="5" t="s">
        <v>238</v>
      </c>
      <c r="HW3485" s="5" t="s">
        <v>238</v>
      </c>
      <c r="HX3485" s="5" t="s">
        <v>238</v>
      </c>
      <c r="HY3485" s="5" t="s">
        <v>238</v>
      </c>
      <c r="HZ3485" s="5" t="s">
        <v>238</v>
      </c>
      <c r="IA3485" s="5" t="s">
        <v>238</v>
      </c>
      <c r="IB3485" s="5" t="s">
        <v>238</v>
      </c>
      <c r="IC3485" s="5" t="s">
        <v>238</v>
      </c>
      <c r="ID3485" s="5" t="s">
        <v>238</v>
      </c>
    </row>
    <row r="3486" spans="1:238" x14ac:dyDescent="0.4">
      <c r="A3486" s="5">
        <v>9204</v>
      </c>
      <c r="B3486" s="5">
        <v>1</v>
      </c>
      <c r="C3486" s="5">
        <v>1</v>
      </c>
      <c r="D3486" s="5" t="s">
        <v>484</v>
      </c>
      <c r="E3486" s="5" t="s">
        <v>485</v>
      </c>
      <c r="F3486" s="5" t="s">
        <v>248</v>
      </c>
      <c r="G3486" s="5" t="s">
        <v>4830</v>
      </c>
      <c r="H3486" s="6" t="s">
        <v>4832</v>
      </c>
      <c r="I3486" s="8">
        <f>1</f>
        <v>1</v>
      </c>
      <c r="J3486" s="5" t="s">
        <v>499</v>
      </c>
      <c r="K3486" s="8">
        <f>1</f>
        <v>1</v>
      </c>
      <c r="L3486" s="6" t="s">
        <v>242</v>
      </c>
      <c r="M3486" s="5" t="s">
        <v>267</v>
      </c>
      <c r="N3486" s="5" t="s">
        <v>482</v>
      </c>
      <c r="O3486" s="5" t="s">
        <v>238</v>
      </c>
      <c r="P3486" s="5" t="s">
        <v>238</v>
      </c>
      <c r="Q3486" s="5" t="s">
        <v>239</v>
      </c>
      <c r="R3486" s="5" t="s">
        <v>270</v>
      </c>
      <c r="S3486" s="5" t="s">
        <v>238</v>
      </c>
      <c r="T3486" s="5" t="s">
        <v>238</v>
      </c>
      <c r="U3486" s="5" t="s">
        <v>238</v>
      </c>
      <c r="V3486" s="5" t="s">
        <v>238</v>
      </c>
      <c r="W3486" s="6" t="s">
        <v>238</v>
      </c>
      <c r="X3486" s="6" t="s">
        <v>238</v>
      </c>
      <c r="Y3486" s="5" t="s">
        <v>238</v>
      </c>
      <c r="Z3486" s="6" t="s">
        <v>238</v>
      </c>
      <c r="AA3486" s="6" t="s">
        <v>243</v>
      </c>
      <c r="AB3486" s="5" t="s">
        <v>4831</v>
      </c>
      <c r="AC3486" s="5" t="s">
        <v>244</v>
      </c>
      <c r="AD3486" s="5" t="s">
        <v>245</v>
      </c>
      <c r="AE3486" s="5" t="s">
        <v>238</v>
      </c>
      <c r="AF3486" s="5" t="s">
        <v>238</v>
      </c>
      <c r="AG3486" s="5" t="s">
        <v>238</v>
      </c>
      <c r="AH3486" s="5" t="s">
        <v>238</v>
      </c>
      <c r="AI3486" s="5" t="s">
        <v>238</v>
      </c>
      <c r="AJ3486" s="5" t="s">
        <v>238</v>
      </c>
      <c r="AK3486" s="5" t="s">
        <v>238</v>
      </c>
      <c r="AL3486" s="5" t="s">
        <v>238</v>
      </c>
      <c r="AM3486" s="6" t="s">
        <v>238</v>
      </c>
      <c r="AN3486" s="6" t="s">
        <v>238</v>
      </c>
      <c r="AO3486" s="6" t="s">
        <v>238</v>
      </c>
      <c r="AP3486" s="6" t="s">
        <v>238</v>
      </c>
      <c r="AQ3486" s="5" t="s">
        <v>238</v>
      </c>
      <c r="AR3486" s="5" t="s">
        <v>488</v>
      </c>
      <c r="AS3486" s="5" t="s">
        <v>488</v>
      </c>
      <c r="AT3486" s="5" t="s">
        <v>246</v>
      </c>
      <c r="AU3486" s="5" t="s">
        <v>489</v>
      </c>
      <c r="AV3486" s="5" t="s">
        <v>247</v>
      </c>
      <c r="AW3486" s="5" t="s">
        <v>238</v>
      </c>
      <c r="AX3486" s="5" t="s">
        <v>249</v>
      </c>
      <c r="AY3486" s="5" t="s">
        <v>490</v>
      </c>
      <c r="BA3486" s="5" t="s">
        <v>238</v>
      </c>
      <c r="BC3486" s="5" t="s">
        <v>491</v>
      </c>
      <c r="BD3486" s="6" t="s">
        <v>492</v>
      </c>
      <c r="BE3486" s="5" t="s">
        <v>493</v>
      </c>
      <c r="BF3486" s="5" t="s">
        <v>493</v>
      </c>
      <c r="BG3486" s="5" t="s">
        <v>238</v>
      </c>
      <c r="BH3486" s="8">
        <f>1</f>
        <v>1</v>
      </c>
      <c r="BI3486" s="8">
        <f>1</f>
        <v>1</v>
      </c>
      <c r="BJ3486" s="5" t="s">
        <v>253</v>
      </c>
      <c r="BK3486" s="5" t="s">
        <v>254</v>
      </c>
      <c r="BL3486" s="5" t="s">
        <v>238</v>
      </c>
      <c r="BM3486" s="5" t="s">
        <v>238</v>
      </c>
      <c r="BN3486" s="5" t="s">
        <v>238</v>
      </c>
      <c r="BO3486" s="5" t="s">
        <v>238</v>
      </c>
      <c r="BP3486" s="5" t="s">
        <v>238</v>
      </c>
      <c r="BQ3486" s="5" t="s">
        <v>238</v>
      </c>
      <c r="BR3486" s="5" t="s">
        <v>238</v>
      </c>
      <c r="BS3486" s="5" t="s">
        <v>238</v>
      </c>
      <c r="BT3486" s="6" t="s">
        <v>238</v>
      </c>
      <c r="BU3486" s="5" t="s">
        <v>238</v>
      </c>
      <c r="BV3486" s="5" t="s">
        <v>238</v>
      </c>
      <c r="BW3486" s="5" t="s">
        <v>238</v>
      </c>
      <c r="BX3486" s="5" t="s">
        <v>254</v>
      </c>
      <c r="BY3486" s="5" t="s">
        <v>238</v>
      </c>
      <c r="BZ3486" s="5" t="s">
        <v>238</v>
      </c>
      <c r="CA3486" s="5" t="s">
        <v>238</v>
      </c>
      <c r="CB3486" s="5" t="s">
        <v>238</v>
      </c>
      <c r="CC3486" s="5" t="s">
        <v>238</v>
      </c>
      <c r="CD3486" s="5" t="s">
        <v>273</v>
      </c>
      <c r="CE3486" s="5" t="s">
        <v>256</v>
      </c>
      <c r="CF3486" s="5" t="s">
        <v>238</v>
      </c>
      <c r="CH3486" s="5" t="s">
        <v>494</v>
      </c>
      <c r="CI3486" s="6" t="s">
        <v>257</v>
      </c>
      <c r="CJ3486" s="5" t="s">
        <v>495</v>
      </c>
      <c r="CK3486" s="5" t="s">
        <v>258</v>
      </c>
      <c r="CL3486" s="5" t="s">
        <v>496</v>
      </c>
      <c r="CM3486" s="5" t="s">
        <v>238</v>
      </c>
      <c r="CN3486" s="5">
        <v>0</v>
      </c>
      <c r="CO3486" s="5" t="s">
        <v>497</v>
      </c>
      <c r="CP3486" s="5" t="s">
        <v>260</v>
      </c>
      <c r="CQ3486" s="5" t="s">
        <v>260</v>
      </c>
      <c r="CR3486" s="5" t="s">
        <v>261</v>
      </c>
      <c r="CS3486" s="5" t="s">
        <v>498</v>
      </c>
      <c r="CT3486" s="7">
        <f>1</f>
        <v>1</v>
      </c>
      <c r="CU3486" s="8">
        <f>1</f>
        <v>1</v>
      </c>
      <c r="CV3486" s="8">
        <f>0</f>
        <v>0</v>
      </c>
      <c r="CX3486" s="8">
        <f>1</f>
        <v>1</v>
      </c>
      <c r="CY3486" s="8">
        <f>1</f>
        <v>1</v>
      </c>
      <c r="CZ3486" s="8" t="s">
        <v>238</v>
      </c>
      <c r="DA3486" s="5" t="s">
        <v>238</v>
      </c>
      <c r="DB3486" s="5" t="s">
        <v>238</v>
      </c>
      <c r="DC3486" s="5" t="s">
        <v>238</v>
      </c>
      <c r="DD3486" s="5" t="s">
        <v>238</v>
      </c>
      <c r="DE3486" s="8">
        <f>0</f>
        <v>0</v>
      </c>
      <c r="DG3486" s="5" t="s">
        <v>238</v>
      </c>
      <c r="DH3486" s="5" t="s">
        <v>238</v>
      </c>
      <c r="DI3486" s="5" t="s">
        <v>238</v>
      </c>
      <c r="DJ3486" s="5" t="s">
        <v>238</v>
      </c>
      <c r="DK3486" s="5" t="s">
        <v>238</v>
      </c>
      <c r="DL3486" s="5" t="s">
        <v>238</v>
      </c>
      <c r="DM3486" s="8" t="s">
        <v>238</v>
      </c>
      <c r="DN3486" s="5" t="s">
        <v>238</v>
      </c>
      <c r="DO3486" s="5" t="s">
        <v>238</v>
      </c>
      <c r="DP3486" s="5" t="s">
        <v>490</v>
      </c>
      <c r="DQ3486" s="5" t="s">
        <v>490</v>
      </c>
      <c r="DR3486" s="5" t="s">
        <v>238</v>
      </c>
      <c r="DS3486" s="5" t="s">
        <v>238</v>
      </c>
      <c r="DT3486" s="5" t="s">
        <v>500</v>
      </c>
      <c r="DU3486" s="5" t="s">
        <v>312</v>
      </c>
      <c r="DV3486" s="5" t="s">
        <v>238</v>
      </c>
      <c r="DW3486" s="5" t="s">
        <v>238</v>
      </c>
      <c r="DX3486" s="5" t="s">
        <v>238</v>
      </c>
      <c r="DY3486" s="5" t="s">
        <v>238</v>
      </c>
      <c r="DZ3486" s="5" t="s">
        <v>238</v>
      </c>
      <c r="EA3486" s="5" t="s">
        <v>238</v>
      </c>
      <c r="EB3486" s="5" t="s">
        <v>238</v>
      </c>
      <c r="EC3486" s="5" t="s">
        <v>238</v>
      </c>
      <c r="ED3486" s="5" t="s">
        <v>238</v>
      </c>
      <c r="EE3486" s="5" t="s">
        <v>238</v>
      </c>
      <c r="EF3486" s="5" t="s">
        <v>238</v>
      </c>
      <c r="EG3486" s="5" t="s">
        <v>238</v>
      </c>
      <c r="EH3486" s="5" t="s">
        <v>238</v>
      </c>
      <c r="EI3486" s="5" t="s">
        <v>238</v>
      </c>
      <c r="EJ3486" s="5" t="s">
        <v>238</v>
      </c>
      <c r="EK3486" s="5" t="s">
        <v>238</v>
      </c>
      <c r="EL3486" s="5" t="s">
        <v>238</v>
      </c>
      <c r="EM3486" s="5" t="s">
        <v>238</v>
      </c>
      <c r="EN3486" s="5" t="s">
        <v>238</v>
      </c>
      <c r="EO3486" s="5" t="s">
        <v>238</v>
      </c>
      <c r="EP3486" s="5" t="s">
        <v>238</v>
      </c>
      <c r="EQ3486" s="5" t="s">
        <v>238</v>
      </c>
      <c r="ER3486" s="5" t="s">
        <v>238</v>
      </c>
      <c r="ES3486" s="5" t="s">
        <v>238</v>
      </c>
      <c r="ET3486" s="5" t="s">
        <v>238</v>
      </c>
      <c r="EU3486" s="5" t="s">
        <v>238</v>
      </c>
      <c r="EV3486" s="5" t="s">
        <v>238</v>
      </c>
      <c r="EW3486" s="5" t="s">
        <v>238</v>
      </c>
      <c r="EX3486" s="5" t="s">
        <v>238</v>
      </c>
      <c r="EY3486" s="5" t="s">
        <v>238</v>
      </c>
      <c r="EZ3486" s="5" t="s">
        <v>238</v>
      </c>
      <c r="FA3486" s="5" t="s">
        <v>238</v>
      </c>
      <c r="FB3486" s="5" t="s">
        <v>238</v>
      </c>
      <c r="FC3486" s="5" t="s">
        <v>238</v>
      </c>
      <c r="FD3486" s="5" t="s">
        <v>238</v>
      </c>
      <c r="FE3486" s="5" t="s">
        <v>238</v>
      </c>
      <c r="FF3486" s="5" t="s">
        <v>238</v>
      </c>
      <c r="FG3486" s="5" t="s">
        <v>238</v>
      </c>
      <c r="FH3486" s="5" t="s">
        <v>238</v>
      </c>
      <c r="FI3486" s="5" t="s">
        <v>238</v>
      </c>
      <c r="FJ3486" s="5" t="s">
        <v>238</v>
      </c>
      <c r="FK3486" s="5" t="s">
        <v>238</v>
      </c>
      <c r="FL3486" s="5" t="s">
        <v>238</v>
      </c>
      <c r="FM3486" s="5" t="s">
        <v>238</v>
      </c>
      <c r="FN3486" s="5" t="s">
        <v>238</v>
      </c>
      <c r="FO3486" s="5" t="s">
        <v>238</v>
      </c>
      <c r="FP3486" s="5" t="s">
        <v>238</v>
      </c>
      <c r="FQ3486" s="5" t="s">
        <v>238</v>
      </c>
      <c r="FR3486" s="5" t="s">
        <v>238</v>
      </c>
      <c r="FS3486" s="5" t="s">
        <v>238</v>
      </c>
      <c r="FT3486" s="5" t="s">
        <v>238</v>
      </c>
      <c r="FU3486" s="5" t="s">
        <v>238</v>
      </c>
      <c r="FV3486" s="5" t="s">
        <v>238</v>
      </c>
      <c r="FW3486" s="5" t="s">
        <v>238</v>
      </c>
      <c r="FX3486" s="5" t="s">
        <v>238</v>
      </c>
      <c r="FY3486" s="5" t="s">
        <v>238</v>
      </c>
      <c r="FZ3486" s="5" t="s">
        <v>238</v>
      </c>
      <c r="GA3486" s="5" t="s">
        <v>238</v>
      </c>
      <c r="GB3486" s="5" t="s">
        <v>238</v>
      </c>
      <c r="GC3486" s="5" t="s">
        <v>238</v>
      </c>
      <c r="GD3486" s="5" t="s">
        <v>238</v>
      </c>
      <c r="GE3486" s="5" t="s">
        <v>238</v>
      </c>
      <c r="GF3486" s="5" t="s">
        <v>238</v>
      </c>
      <c r="GG3486" s="5" t="s">
        <v>238</v>
      </c>
      <c r="GH3486" s="5" t="s">
        <v>238</v>
      </c>
      <c r="GI3486" s="5" t="s">
        <v>238</v>
      </c>
      <c r="GJ3486" s="5" t="s">
        <v>238</v>
      </c>
      <c r="GK3486" s="5" t="s">
        <v>238</v>
      </c>
      <c r="GL3486" s="5" t="s">
        <v>238</v>
      </c>
      <c r="GM3486" s="5" t="s">
        <v>238</v>
      </c>
      <c r="GN3486" s="5" t="s">
        <v>238</v>
      </c>
      <c r="GO3486" s="5" t="s">
        <v>238</v>
      </c>
      <c r="GP3486" s="5" t="s">
        <v>238</v>
      </c>
      <c r="GQ3486" s="5" t="s">
        <v>238</v>
      </c>
      <c r="GR3486" s="5" t="s">
        <v>238</v>
      </c>
      <c r="GS3486" s="5" t="s">
        <v>238</v>
      </c>
      <c r="GT3486" s="5" t="s">
        <v>238</v>
      </c>
      <c r="GU3486" s="5" t="s">
        <v>238</v>
      </c>
      <c r="GV3486" s="5" t="s">
        <v>238</v>
      </c>
      <c r="GW3486" s="5" t="s">
        <v>238</v>
      </c>
      <c r="GX3486" s="5" t="s">
        <v>238</v>
      </c>
      <c r="GY3486" s="5" t="s">
        <v>238</v>
      </c>
      <c r="GZ3486" s="5" t="s">
        <v>238</v>
      </c>
      <c r="HA3486" s="5" t="s">
        <v>238</v>
      </c>
      <c r="HB3486" s="5" t="s">
        <v>238</v>
      </c>
      <c r="HC3486" s="5" t="s">
        <v>238</v>
      </c>
      <c r="HD3486" s="5" t="s">
        <v>238</v>
      </c>
      <c r="HE3486" s="5" t="s">
        <v>238</v>
      </c>
      <c r="HF3486" s="5" t="s">
        <v>238</v>
      </c>
      <c r="HG3486" s="5" t="s">
        <v>238</v>
      </c>
      <c r="HH3486" s="5" t="s">
        <v>238</v>
      </c>
      <c r="HI3486" s="5" t="s">
        <v>238</v>
      </c>
      <c r="HJ3486" s="5" t="s">
        <v>238</v>
      </c>
      <c r="HK3486" s="5" t="s">
        <v>238</v>
      </c>
      <c r="HL3486" s="5" t="s">
        <v>238</v>
      </c>
      <c r="HM3486" s="5" t="s">
        <v>264</v>
      </c>
      <c r="HN3486" s="5" t="s">
        <v>238</v>
      </c>
      <c r="HO3486" s="5" t="s">
        <v>238</v>
      </c>
      <c r="HP3486" s="5" t="s">
        <v>238</v>
      </c>
      <c r="HQ3486" s="5" t="s">
        <v>238</v>
      </c>
      <c r="HR3486" s="5" t="s">
        <v>238</v>
      </c>
      <c r="HS3486" s="5" t="s">
        <v>238</v>
      </c>
      <c r="HT3486" s="5" t="s">
        <v>238</v>
      </c>
      <c r="HU3486" s="5" t="s">
        <v>238</v>
      </c>
      <c r="HV3486" s="5" t="s">
        <v>238</v>
      </c>
      <c r="HW3486" s="5" t="s">
        <v>238</v>
      </c>
      <c r="HX3486" s="5" t="s">
        <v>238</v>
      </c>
      <c r="HY3486" s="5" t="s">
        <v>238</v>
      </c>
      <c r="HZ3486" s="5" t="s">
        <v>238</v>
      </c>
      <c r="IA3486" s="5" t="s">
        <v>238</v>
      </c>
      <c r="IB3486" s="5" t="s">
        <v>238</v>
      </c>
      <c r="IC3486" s="5" t="s">
        <v>238</v>
      </c>
      <c r="ID3486" s="5" t="s">
        <v>238</v>
      </c>
    </row>
    <row r="3487" spans="1:238" x14ac:dyDescent="0.4">
      <c r="A3487" s="5">
        <v>9205</v>
      </c>
      <c r="B3487" s="5">
        <v>1</v>
      </c>
      <c r="C3487" s="5">
        <v>1</v>
      </c>
      <c r="D3487" s="5" t="s">
        <v>484</v>
      </c>
      <c r="E3487" s="5" t="s">
        <v>485</v>
      </c>
      <c r="F3487" s="5" t="s">
        <v>248</v>
      </c>
      <c r="G3487" s="5" t="s">
        <v>4642</v>
      </c>
      <c r="H3487" s="6" t="s">
        <v>4643</v>
      </c>
      <c r="I3487" s="8">
        <f>1</f>
        <v>1</v>
      </c>
      <c r="J3487" s="5" t="s">
        <v>499</v>
      </c>
      <c r="K3487" s="8">
        <f>1</f>
        <v>1</v>
      </c>
      <c r="L3487" s="6" t="s">
        <v>242</v>
      </c>
      <c r="M3487" s="5" t="s">
        <v>267</v>
      </c>
      <c r="N3487" s="5" t="s">
        <v>482</v>
      </c>
      <c r="O3487" s="5" t="s">
        <v>238</v>
      </c>
      <c r="P3487" s="5" t="s">
        <v>238</v>
      </c>
      <c r="Q3487" s="5" t="s">
        <v>239</v>
      </c>
      <c r="R3487" s="5" t="s">
        <v>270</v>
      </c>
      <c r="S3487" s="5" t="s">
        <v>238</v>
      </c>
      <c r="T3487" s="5" t="s">
        <v>238</v>
      </c>
      <c r="U3487" s="5" t="s">
        <v>238</v>
      </c>
      <c r="V3487" s="5" t="s">
        <v>238</v>
      </c>
      <c r="W3487" s="6" t="s">
        <v>238</v>
      </c>
      <c r="X3487" s="6" t="s">
        <v>238</v>
      </c>
      <c r="Y3487" s="5" t="s">
        <v>238</v>
      </c>
      <c r="Z3487" s="6" t="s">
        <v>238</v>
      </c>
      <c r="AA3487" s="6" t="s">
        <v>243</v>
      </c>
      <c r="AB3487" s="5" t="s">
        <v>486</v>
      </c>
      <c r="AC3487" s="5" t="s">
        <v>244</v>
      </c>
      <c r="AD3487" s="5" t="s">
        <v>245</v>
      </c>
      <c r="AE3487" s="5" t="s">
        <v>238</v>
      </c>
      <c r="AF3487" s="5" t="s">
        <v>238</v>
      </c>
      <c r="AG3487" s="5" t="s">
        <v>238</v>
      </c>
      <c r="AH3487" s="5" t="s">
        <v>238</v>
      </c>
      <c r="AI3487" s="5" t="s">
        <v>238</v>
      </c>
      <c r="AJ3487" s="5" t="s">
        <v>238</v>
      </c>
      <c r="AK3487" s="5" t="s">
        <v>238</v>
      </c>
      <c r="AL3487" s="5" t="s">
        <v>238</v>
      </c>
      <c r="AM3487" s="6" t="s">
        <v>238</v>
      </c>
      <c r="AN3487" s="6" t="s">
        <v>238</v>
      </c>
      <c r="AO3487" s="6" t="s">
        <v>238</v>
      </c>
      <c r="AP3487" s="6" t="s">
        <v>238</v>
      </c>
      <c r="AQ3487" s="5" t="s">
        <v>238</v>
      </c>
      <c r="AR3487" s="5" t="s">
        <v>488</v>
      </c>
      <c r="AS3487" s="5" t="s">
        <v>488</v>
      </c>
      <c r="AT3487" s="5" t="s">
        <v>246</v>
      </c>
      <c r="AU3487" s="5" t="s">
        <v>489</v>
      </c>
      <c r="AV3487" s="5" t="s">
        <v>247</v>
      </c>
      <c r="AW3487" s="5" t="s">
        <v>238</v>
      </c>
      <c r="AX3487" s="5" t="s">
        <v>249</v>
      </c>
      <c r="AY3487" s="5" t="s">
        <v>490</v>
      </c>
      <c r="BA3487" s="5" t="s">
        <v>238</v>
      </c>
      <c r="BC3487" s="5" t="s">
        <v>491</v>
      </c>
      <c r="BD3487" s="6" t="s">
        <v>492</v>
      </c>
      <c r="BE3487" s="5" t="s">
        <v>493</v>
      </c>
      <c r="BF3487" s="5" t="s">
        <v>493</v>
      </c>
      <c r="BG3487" s="5" t="s">
        <v>238</v>
      </c>
      <c r="BH3487" s="8">
        <f>1</f>
        <v>1</v>
      </c>
      <c r="BI3487" s="8">
        <f>1</f>
        <v>1</v>
      </c>
      <c r="BJ3487" s="5" t="s">
        <v>253</v>
      </c>
      <c r="BK3487" s="5" t="s">
        <v>254</v>
      </c>
      <c r="BL3487" s="5" t="s">
        <v>238</v>
      </c>
      <c r="BM3487" s="5" t="s">
        <v>238</v>
      </c>
      <c r="BN3487" s="5" t="s">
        <v>238</v>
      </c>
      <c r="BO3487" s="5" t="s">
        <v>238</v>
      </c>
      <c r="BP3487" s="5" t="s">
        <v>238</v>
      </c>
      <c r="BQ3487" s="5" t="s">
        <v>238</v>
      </c>
      <c r="BR3487" s="5" t="s">
        <v>238</v>
      </c>
      <c r="BS3487" s="5" t="s">
        <v>238</v>
      </c>
      <c r="BT3487" s="6" t="s">
        <v>238</v>
      </c>
      <c r="BU3487" s="5" t="s">
        <v>238</v>
      </c>
      <c r="BV3487" s="5" t="s">
        <v>238</v>
      </c>
      <c r="BW3487" s="5" t="s">
        <v>238</v>
      </c>
      <c r="BX3487" s="5" t="s">
        <v>254</v>
      </c>
      <c r="BY3487" s="5" t="s">
        <v>238</v>
      </c>
      <c r="BZ3487" s="5" t="s">
        <v>238</v>
      </c>
      <c r="CA3487" s="5" t="s">
        <v>238</v>
      </c>
      <c r="CB3487" s="5" t="s">
        <v>238</v>
      </c>
      <c r="CC3487" s="5" t="s">
        <v>238</v>
      </c>
      <c r="CD3487" s="5" t="s">
        <v>273</v>
      </c>
      <c r="CE3487" s="5" t="s">
        <v>256</v>
      </c>
      <c r="CF3487" s="5" t="s">
        <v>238</v>
      </c>
      <c r="CH3487" s="5" t="s">
        <v>494</v>
      </c>
      <c r="CI3487" s="6" t="s">
        <v>257</v>
      </c>
      <c r="CJ3487" s="5" t="s">
        <v>495</v>
      </c>
      <c r="CK3487" s="5" t="s">
        <v>258</v>
      </c>
      <c r="CL3487" s="5" t="s">
        <v>496</v>
      </c>
      <c r="CM3487" s="5" t="s">
        <v>238</v>
      </c>
      <c r="CN3487" s="5">
        <v>0</v>
      </c>
      <c r="CO3487" s="5" t="s">
        <v>497</v>
      </c>
      <c r="CP3487" s="5" t="s">
        <v>260</v>
      </c>
      <c r="CQ3487" s="5" t="s">
        <v>260</v>
      </c>
      <c r="CR3487" s="5" t="s">
        <v>261</v>
      </c>
      <c r="CS3487" s="5" t="s">
        <v>498</v>
      </c>
      <c r="CT3487" s="7">
        <f>1</f>
        <v>1</v>
      </c>
      <c r="CU3487" s="8">
        <f>1</f>
        <v>1</v>
      </c>
      <c r="CV3487" s="8">
        <f>0</f>
        <v>0</v>
      </c>
      <c r="CX3487" s="8">
        <f>1</f>
        <v>1</v>
      </c>
      <c r="CY3487" s="8">
        <f>1</f>
        <v>1</v>
      </c>
      <c r="CZ3487" s="8" t="s">
        <v>238</v>
      </c>
      <c r="DA3487" s="5" t="s">
        <v>238</v>
      </c>
      <c r="DB3487" s="5" t="s">
        <v>238</v>
      </c>
      <c r="DC3487" s="5" t="s">
        <v>238</v>
      </c>
      <c r="DD3487" s="5" t="s">
        <v>238</v>
      </c>
      <c r="DE3487" s="8">
        <f>0</f>
        <v>0</v>
      </c>
      <c r="DG3487" s="5" t="s">
        <v>238</v>
      </c>
      <c r="DH3487" s="5" t="s">
        <v>238</v>
      </c>
      <c r="DI3487" s="5" t="s">
        <v>238</v>
      </c>
      <c r="DJ3487" s="5" t="s">
        <v>238</v>
      </c>
      <c r="DK3487" s="5" t="s">
        <v>238</v>
      </c>
      <c r="DL3487" s="5" t="s">
        <v>238</v>
      </c>
      <c r="DM3487" s="8" t="s">
        <v>238</v>
      </c>
      <c r="DN3487" s="5" t="s">
        <v>238</v>
      </c>
      <c r="DO3487" s="5" t="s">
        <v>238</v>
      </c>
      <c r="DP3487" s="5" t="s">
        <v>490</v>
      </c>
      <c r="DQ3487" s="5" t="s">
        <v>490</v>
      </c>
      <c r="DR3487" s="5" t="s">
        <v>238</v>
      </c>
      <c r="DS3487" s="5" t="s">
        <v>238</v>
      </c>
      <c r="DT3487" s="5" t="s">
        <v>500</v>
      </c>
      <c r="DU3487" s="5" t="s">
        <v>324</v>
      </c>
      <c r="DV3487" s="5" t="s">
        <v>238</v>
      </c>
      <c r="DW3487" s="5" t="s">
        <v>238</v>
      </c>
      <c r="DX3487" s="5" t="s">
        <v>238</v>
      </c>
      <c r="DY3487" s="5" t="s">
        <v>238</v>
      </c>
      <c r="DZ3487" s="5" t="s">
        <v>238</v>
      </c>
      <c r="EA3487" s="5" t="s">
        <v>238</v>
      </c>
      <c r="EB3487" s="5" t="s">
        <v>238</v>
      </c>
      <c r="EC3487" s="5" t="s">
        <v>238</v>
      </c>
      <c r="ED3487" s="5" t="s">
        <v>238</v>
      </c>
      <c r="EE3487" s="5" t="s">
        <v>238</v>
      </c>
      <c r="EF3487" s="5" t="s">
        <v>238</v>
      </c>
      <c r="EG3487" s="5" t="s">
        <v>238</v>
      </c>
      <c r="EH3487" s="5" t="s">
        <v>238</v>
      </c>
      <c r="EI3487" s="5" t="s">
        <v>238</v>
      </c>
      <c r="EJ3487" s="5" t="s">
        <v>238</v>
      </c>
      <c r="EK3487" s="5" t="s">
        <v>238</v>
      </c>
      <c r="EL3487" s="5" t="s">
        <v>238</v>
      </c>
      <c r="EM3487" s="5" t="s">
        <v>238</v>
      </c>
      <c r="EN3487" s="5" t="s">
        <v>238</v>
      </c>
      <c r="EO3487" s="5" t="s">
        <v>238</v>
      </c>
      <c r="EP3487" s="5" t="s">
        <v>238</v>
      </c>
      <c r="EQ3487" s="5" t="s">
        <v>238</v>
      </c>
      <c r="ER3487" s="5" t="s">
        <v>238</v>
      </c>
      <c r="ES3487" s="5" t="s">
        <v>238</v>
      </c>
      <c r="ET3487" s="5" t="s">
        <v>238</v>
      </c>
      <c r="EU3487" s="5" t="s">
        <v>238</v>
      </c>
      <c r="EV3487" s="5" t="s">
        <v>238</v>
      </c>
      <c r="EW3487" s="5" t="s">
        <v>238</v>
      </c>
      <c r="EX3487" s="5" t="s">
        <v>238</v>
      </c>
      <c r="EY3487" s="5" t="s">
        <v>238</v>
      </c>
      <c r="EZ3487" s="5" t="s">
        <v>238</v>
      </c>
      <c r="FA3487" s="5" t="s">
        <v>238</v>
      </c>
      <c r="FB3487" s="5" t="s">
        <v>238</v>
      </c>
      <c r="FC3487" s="5" t="s">
        <v>238</v>
      </c>
      <c r="FD3487" s="5" t="s">
        <v>238</v>
      </c>
      <c r="FE3487" s="5" t="s">
        <v>238</v>
      </c>
      <c r="FF3487" s="5" t="s">
        <v>238</v>
      </c>
      <c r="FG3487" s="5" t="s">
        <v>238</v>
      </c>
      <c r="FH3487" s="5" t="s">
        <v>238</v>
      </c>
      <c r="FI3487" s="5" t="s">
        <v>238</v>
      </c>
      <c r="FJ3487" s="5" t="s">
        <v>238</v>
      </c>
      <c r="FK3487" s="5" t="s">
        <v>238</v>
      </c>
      <c r="FL3487" s="5" t="s">
        <v>238</v>
      </c>
      <c r="FM3487" s="5" t="s">
        <v>238</v>
      </c>
      <c r="FN3487" s="5" t="s">
        <v>238</v>
      </c>
      <c r="FO3487" s="5" t="s">
        <v>238</v>
      </c>
      <c r="FP3487" s="5" t="s">
        <v>238</v>
      </c>
      <c r="FQ3487" s="5" t="s">
        <v>238</v>
      </c>
      <c r="FR3487" s="5" t="s">
        <v>238</v>
      </c>
      <c r="FS3487" s="5" t="s">
        <v>238</v>
      </c>
      <c r="FT3487" s="5" t="s">
        <v>238</v>
      </c>
      <c r="FU3487" s="5" t="s">
        <v>238</v>
      </c>
      <c r="FV3487" s="5" t="s">
        <v>238</v>
      </c>
      <c r="FW3487" s="5" t="s">
        <v>238</v>
      </c>
      <c r="FX3487" s="5" t="s">
        <v>238</v>
      </c>
      <c r="FY3487" s="5" t="s">
        <v>238</v>
      </c>
      <c r="FZ3487" s="5" t="s">
        <v>238</v>
      </c>
      <c r="GA3487" s="5" t="s">
        <v>238</v>
      </c>
      <c r="GB3487" s="5" t="s">
        <v>238</v>
      </c>
      <c r="GC3487" s="5" t="s">
        <v>238</v>
      </c>
      <c r="GD3487" s="5" t="s">
        <v>238</v>
      </c>
      <c r="GE3487" s="5" t="s">
        <v>238</v>
      </c>
      <c r="GF3487" s="5" t="s">
        <v>238</v>
      </c>
      <c r="GG3487" s="5" t="s">
        <v>238</v>
      </c>
      <c r="GH3487" s="5" t="s">
        <v>238</v>
      </c>
      <c r="GI3487" s="5" t="s">
        <v>238</v>
      </c>
      <c r="GJ3487" s="5" t="s">
        <v>238</v>
      </c>
      <c r="GK3487" s="5" t="s">
        <v>238</v>
      </c>
      <c r="GL3487" s="5" t="s">
        <v>238</v>
      </c>
      <c r="GM3487" s="5" t="s">
        <v>238</v>
      </c>
      <c r="GN3487" s="5" t="s">
        <v>238</v>
      </c>
      <c r="GO3487" s="5" t="s">
        <v>238</v>
      </c>
      <c r="GP3487" s="5" t="s">
        <v>238</v>
      </c>
      <c r="GQ3487" s="5" t="s">
        <v>238</v>
      </c>
      <c r="GR3487" s="5" t="s">
        <v>238</v>
      </c>
      <c r="GS3487" s="5" t="s">
        <v>238</v>
      </c>
      <c r="GT3487" s="5" t="s">
        <v>238</v>
      </c>
      <c r="GU3487" s="5" t="s">
        <v>238</v>
      </c>
      <c r="GV3487" s="5" t="s">
        <v>238</v>
      </c>
      <c r="GW3487" s="5" t="s">
        <v>238</v>
      </c>
      <c r="GX3487" s="5" t="s">
        <v>238</v>
      </c>
      <c r="GY3487" s="5" t="s">
        <v>238</v>
      </c>
      <c r="GZ3487" s="5" t="s">
        <v>238</v>
      </c>
      <c r="HA3487" s="5" t="s">
        <v>238</v>
      </c>
      <c r="HB3487" s="5" t="s">
        <v>238</v>
      </c>
      <c r="HC3487" s="5" t="s">
        <v>238</v>
      </c>
      <c r="HD3487" s="5" t="s">
        <v>238</v>
      </c>
      <c r="HE3487" s="5" t="s">
        <v>238</v>
      </c>
      <c r="HF3487" s="5" t="s">
        <v>238</v>
      </c>
      <c r="HG3487" s="5" t="s">
        <v>238</v>
      </c>
      <c r="HH3487" s="5" t="s">
        <v>238</v>
      </c>
      <c r="HI3487" s="5" t="s">
        <v>238</v>
      </c>
      <c r="HJ3487" s="5" t="s">
        <v>238</v>
      </c>
      <c r="HK3487" s="5" t="s">
        <v>238</v>
      </c>
      <c r="HL3487" s="5" t="s">
        <v>238</v>
      </c>
      <c r="HM3487" s="5" t="s">
        <v>264</v>
      </c>
      <c r="HN3487" s="5" t="s">
        <v>238</v>
      </c>
      <c r="HO3487" s="5" t="s">
        <v>238</v>
      </c>
      <c r="HP3487" s="5" t="s">
        <v>238</v>
      </c>
      <c r="HQ3487" s="5" t="s">
        <v>238</v>
      </c>
      <c r="HR3487" s="5" t="s">
        <v>238</v>
      </c>
      <c r="HS3487" s="5" t="s">
        <v>238</v>
      </c>
      <c r="HT3487" s="5" t="s">
        <v>238</v>
      </c>
      <c r="HU3487" s="5" t="s">
        <v>238</v>
      </c>
      <c r="HV3487" s="5" t="s">
        <v>238</v>
      </c>
      <c r="HW3487" s="5" t="s">
        <v>238</v>
      </c>
      <c r="HX3487" s="5" t="s">
        <v>238</v>
      </c>
      <c r="HY3487" s="5" t="s">
        <v>238</v>
      </c>
      <c r="HZ3487" s="5" t="s">
        <v>238</v>
      </c>
      <c r="IA3487" s="5" t="s">
        <v>238</v>
      </c>
      <c r="IB3487" s="5" t="s">
        <v>238</v>
      </c>
      <c r="IC3487" s="5" t="s">
        <v>238</v>
      </c>
      <c r="ID3487" s="5" t="s">
        <v>238</v>
      </c>
    </row>
    <row r="3488" spans="1:238" x14ac:dyDescent="0.4">
      <c r="A3488" s="5">
        <v>9206</v>
      </c>
      <c r="B3488" s="5">
        <v>1</v>
      </c>
      <c r="C3488" s="5">
        <v>1</v>
      </c>
      <c r="D3488" s="5" t="s">
        <v>484</v>
      </c>
      <c r="E3488" s="5" t="s">
        <v>485</v>
      </c>
      <c r="F3488" s="5" t="s">
        <v>248</v>
      </c>
      <c r="G3488" s="5" t="s">
        <v>4457</v>
      </c>
      <c r="H3488" s="6" t="s">
        <v>4458</v>
      </c>
      <c r="I3488" s="8">
        <f>1</f>
        <v>1</v>
      </c>
      <c r="J3488" s="5" t="s">
        <v>499</v>
      </c>
      <c r="K3488" s="8">
        <f>1</f>
        <v>1</v>
      </c>
      <c r="L3488" s="6" t="s">
        <v>242</v>
      </c>
      <c r="M3488" s="5" t="s">
        <v>267</v>
      </c>
      <c r="N3488" s="5" t="s">
        <v>482</v>
      </c>
      <c r="O3488" s="5" t="s">
        <v>238</v>
      </c>
      <c r="P3488" s="5" t="s">
        <v>238</v>
      </c>
      <c r="Q3488" s="5" t="s">
        <v>239</v>
      </c>
      <c r="R3488" s="5" t="s">
        <v>270</v>
      </c>
      <c r="S3488" s="5" t="s">
        <v>238</v>
      </c>
      <c r="T3488" s="5" t="s">
        <v>238</v>
      </c>
      <c r="U3488" s="5" t="s">
        <v>238</v>
      </c>
      <c r="V3488" s="5" t="s">
        <v>238</v>
      </c>
      <c r="W3488" s="6" t="s">
        <v>238</v>
      </c>
      <c r="X3488" s="6" t="s">
        <v>238</v>
      </c>
      <c r="Y3488" s="5" t="s">
        <v>238</v>
      </c>
      <c r="Z3488" s="6" t="s">
        <v>238</v>
      </c>
      <c r="AA3488" s="6" t="s">
        <v>243</v>
      </c>
      <c r="AB3488" s="5" t="s">
        <v>486</v>
      </c>
      <c r="AC3488" s="5" t="s">
        <v>244</v>
      </c>
      <c r="AD3488" s="5" t="s">
        <v>245</v>
      </c>
      <c r="AE3488" s="5" t="s">
        <v>238</v>
      </c>
      <c r="AF3488" s="5" t="s">
        <v>238</v>
      </c>
      <c r="AG3488" s="5" t="s">
        <v>238</v>
      </c>
      <c r="AH3488" s="5" t="s">
        <v>238</v>
      </c>
      <c r="AI3488" s="5" t="s">
        <v>238</v>
      </c>
      <c r="AJ3488" s="5" t="s">
        <v>238</v>
      </c>
      <c r="AK3488" s="5" t="s">
        <v>238</v>
      </c>
      <c r="AL3488" s="5" t="s">
        <v>238</v>
      </c>
      <c r="AM3488" s="6" t="s">
        <v>238</v>
      </c>
      <c r="AN3488" s="6" t="s">
        <v>238</v>
      </c>
      <c r="AO3488" s="6" t="s">
        <v>238</v>
      </c>
      <c r="AP3488" s="6" t="s">
        <v>238</v>
      </c>
      <c r="AQ3488" s="5" t="s">
        <v>238</v>
      </c>
      <c r="AR3488" s="5" t="s">
        <v>488</v>
      </c>
      <c r="AS3488" s="5" t="s">
        <v>488</v>
      </c>
      <c r="AT3488" s="5" t="s">
        <v>246</v>
      </c>
      <c r="AU3488" s="5" t="s">
        <v>489</v>
      </c>
      <c r="AV3488" s="5" t="s">
        <v>247</v>
      </c>
      <c r="AW3488" s="5" t="s">
        <v>238</v>
      </c>
      <c r="AX3488" s="5" t="s">
        <v>249</v>
      </c>
      <c r="AY3488" s="5" t="s">
        <v>490</v>
      </c>
      <c r="BA3488" s="5" t="s">
        <v>238</v>
      </c>
      <c r="BC3488" s="5" t="s">
        <v>491</v>
      </c>
      <c r="BD3488" s="6" t="s">
        <v>492</v>
      </c>
      <c r="BE3488" s="5" t="s">
        <v>493</v>
      </c>
      <c r="BF3488" s="5" t="s">
        <v>493</v>
      </c>
      <c r="BG3488" s="5" t="s">
        <v>238</v>
      </c>
      <c r="BH3488" s="8">
        <f>1</f>
        <v>1</v>
      </c>
      <c r="BI3488" s="8">
        <f>1</f>
        <v>1</v>
      </c>
      <c r="BJ3488" s="5" t="s">
        <v>253</v>
      </c>
      <c r="BK3488" s="5" t="s">
        <v>254</v>
      </c>
      <c r="BL3488" s="5" t="s">
        <v>238</v>
      </c>
      <c r="BM3488" s="5" t="s">
        <v>238</v>
      </c>
      <c r="BN3488" s="5" t="s">
        <v>238</v>
      </c>
      <c r="BO3488" s="5" t="s">
        <v>238</v>
      </c>
      <c r="BP3488" s="5" t="s">
        <v>238</v>
      </c>
      <c r="BQ3488" s="5" t="s">
        <v>238</v>
      </c>
      <c r="BR3488" s="5" t="s">
        <v>238</v>
      </c>
      <c r="BS3488" s="5" t="s">
        <v>238</v>
      </c>
      <c r="BT3488" s="6" t="s">
        <v>238</v>
      </c>
      <c r="BU3488" s="5" t="s">
        <v>238</v>
      </c>
      <c r="BV3488" s="5" t="s">
        <v>238</v>
      </c>
      <c r="BW3488" s="5" t="s">
        <v>238</v>
      </c>
      <c r="BX3488" s="5" t="s">
        <v>254</v>
      </c>
      <c r="BY3488" s="5" t="s">
        <v>238</v>
      </c>
      <c r="BZ3488" s="5" t="s">
        <v>238</v>
      </c>
      <c r="CA3488" s="5" t="s">
        <v>238</v>
      </c>
      <c r="CB3488" s="5" t="s">
        <v>238</v>
      </c>
      <c r="CC3488" s="5" t="s">
        <v>238</v>
      </c>
      <c r="CD3488" s="5" t="s">
        <v>273</v>
      </c>
      <c r="CE3488" s="5" t="s">
        <v>256</v>
      </c>
      <c r="CF3488" s="5" t="s">
        <v>238</v>
      </c>
      <c r="CH3488" s="5" t="s">
        <v>494</v>
      </c>
      <c r="CI3488" s="6" t="s">
        <v>257</v>
      </c>
      <c r="CJ3488" s="5" t="s">
        <v>495</v>
      </c>
      <c r="CK3488" s="5" t="s">
        <v>258</v>
      </c>
      <c r="CL3488" s="5" t="s">
        <v>496</v>
      </c>
      <c r="CM3488" s="5" t="s">
        <v>238</v>
      </c>
      <c r="CN3488" s="5">
        <v>0</v>
      </c>
      <c r="CO3488" s="5" t="s">
        <v>497</v>
      </c>
      <c r="CP3488" s="5" t="s">
        <v>260</v>
      </c>
      <c r="CQ3488" s="5" t="s">
        <v>260</v>
      </c>
      <c r="CR3488" s="5" t="s">
        <v>261</v>
      </c>
      <c r="CS3488" s="5" t="s">
        <v>498</v>
      </c>
      <c r="CT3488" s="7">
        <f>1</f>
        <v>1</v>
      </c>
      <c r="CU3488" s="8">
        <f>1</f>
        <v>1</v>
      </c>
      <c r="CV3488" s="8">
        <f>0</f>
        <v>0</v>
      </c>
      <c r="CX3488" s="8">
        <f>1</f>
        <v>1</v>
      </c>
      <c r="CY3488" s="8">
        <f>1</f>
        <v>1</v>
      </c>
      <c r="CZ3488" s="8" t="s">
        <v>238</v>
      </c>
      <c r="DA3488" s="5" t="s">
        <v>238</v>
      </c>
      <c r="DB3488" s="5" t="s">
        <v>238</v>
      </c>
      <c r="DC3488" s="5" t="s">
        <v>238</v>
      </c>
      <c r="DD3488" s="5" t="s">
        <v>238</v>
      </c>
      <c r="DE3488" s="8">
        <f>0</f>
        <v>0</v>
      </c>
      <c r="DG3488" s="5" t="s">
        <v>238</v>
      </c>
      <c r="DH3488" s="5" t="s">
        <v>238</v>
      </c>
      <c r="DI3488" s="5" t="s">
        <v>238</v>
      </c>
      <c r="DJ3488" s="5" t="s">
        <v>238</v>
      </c>
      <c r="DK3488" s="5" t="s">
        <v>238</v>
      </c>
      <c r="DL3488" s="5" t="s">
        <v>238</v>
      </c>
      <c r="DM3488" s="8" t="s">
        <v>238</v>
      </c>
      <c r="DN3488" s="5" t="s">
        <v>238</v>
      </c>
      <c r="DO3488" s="5" t="s">
        <v>238</v>
      </c>
      <c r="DP3488" s="5" t="s">
        <v>490</v>
      </c>
      <c r="DQ3488" s="5" t="s">
        <v>490</v>
      </c>
      <c r="DR3488" s="5" t="s">
        <v>238</v>
      </c>
      <c r="DS3488" s="5" t="s">
        <v>238</v>
      </c>
      <c r="DT3488" s="5" t="s">
        <v>500</v>
      </c>
      <c r="DU3488" s="5" t="s">
        <v>332</v>
      </c>
      <c r="DV3488" s="5" t="s">
        <v>238</v>
      </c>
      <c r="DW3488" s="5" t="s">
        <v>238</v>
      </c>
      <c r="DX3488" s="5" t="s">
        <v>238</v>
      </c>
      <c r="DY3488" s="5" t="s">
        <v>238</v>
      </c>
      <c r="DZ3488" s="5" t="s">
        <v>238</v>
      </c>
      <c r="EA3488" s="5" t="s">
        <v>238</v>
      </c>
      <c r="EB3488" s="5" t="s">
        <v>238</v>
      </c>
      <c r="EC3488" s="5" t="s">
        <v>238</v>
      </c>
      <c r="ED3488" s="5" t="s">
        <v>238</v>
      </c>
      <c r="EE3488" s="5" t="s">
        <v>238</v>
      </c>
      <c r="EF3488" s="5" t="s">
        <v>238</v>
      </c>
      <c r="EG3488" s="5" t="s">
        <v>238</v>
      </c>
      <c r="EH3488" s="5" t="s">
        <v>238</v>
      </c>
      <c r="EI3488" s="5" t="s">
        <v>238</v>
      </c>
      <c r="EJ3488" s="5" t="s">
        <v>238</v>
      </c>
      <c r="EK3488" s="5" t="s">
        <v>238</v>
      </c>
      <c r="EL3488" s="5" t="s">
        <v>238</v>
      </c>
      <c r="EM3488" s="5" t="s">
        <v>238</v>
      </c>
      <c r="EN3488" s="5" t="s">
        <v>238</v>
      </c>
      <c r="EO3488" s="5" t="s">
        <v>238</v>
      </c>
      <c r="EP3488" s="5" t="s">
        <v>238</v>
      </c>
      <c r="EQ3488" s="5" t="s">
        <v>238</v>
      </c>
      <c r="ER3488" s="5" t="s">
        <v>238</v>
      </c>
      <c r="ES3488" s="5" t="s">
        <v>238</v>
      </c>
      <c r="ET3488" s="5" t="s">
        <v>238</v>
      </c>
      <c r="EU3488" s="5" t="s">
        <v>238</v>
      </c>
      <c r="EV3488" s="5" t="s">
        <v>238</v>
      </c>
      <c r="EW3488" s="5" t="s">
        <v>238</v>
      </c>
      <c r="EX3488" s="5" t="s">
        <v>238</v>
      </c>
      <c r="EY3488" s="5" t="s">
        <v>238</v>
      </c>
      <c r="EZ3488" s="5" t="s">
        <v>238</v>
      </c>
      <c r="FA3488" s="5" t="s">
        <v>238</v>
      </c>
      <c r="FB3488" s="5" t="s">
        <v>238</v>
      </c>
      <c r="FC3488" s="5" t="s">
        <v>238</v>
      </c>
      <c r="FD3488" s="5" t="s">
        <v>238</v>
      </c>
      <c r="FE3488" s="5" t="s">
        <v>238</v>
      </c>
      <c r="FF3488" s="5" t="s">
        <v>238</v>
      </c>
      <c r="FG3488" s="5" t="s">
        <v>238</v>
      </c>
      <c r="FH3488" s="5" t="s">
        <v>238</v>
      </c>
      <c r="FI3488" s="5" t="s">
        <v>238</v>
      </c>
      <c r="FJ3488" s="5" t="s">
        <v>238</v>
      </c>
      <c r="FK3488" s="5" t="s">
        <v>238</v>
      </c>
      <c r="FL3488" s="5" t="s">
        <v>238</v>
      </c>
      <c r="FM3488" s="5" t="s">
        <v>238</v>
      </c>
      <c r="FN3488" s="5" t="s">
        <v>238</v>
      </c>
      <c r="FO3488" s="5" t="s">
        <v>238</v>
      </c>
      <c r="FP3488" s="5" t="s">
        <v>238</v>
      </c>
      <c r="FQ3488" s="5" t="s">
        <v>238</v>
      </c>
      <c r="FR3488" s="5" t="s">
        <v>238</v>
      </c>
      <c r="FS3488" s="5" t="s">
        <v>238</v>
      </c>
      <c r="FT3488" s="5" t="s">
        <v>238</v>
      </c>
      <c r="FU3488" s="5" t="s">
        <v>238</v>
      </c>
      <c r="FV3488" s="5" t="s">
        <v>238</v>
      </c>
      <c r="FW3488" s="5" t="s">
        <v>238</v>
      </c>
      <c r="FX3488" s="5" t="s">
        <v>238</v>
      </c>
      <c r="FY3488" s="5" t="s">
        <v>238</v>
      </c>
      <c r="FZ3488" s="5" t="s">
        <v>238</v>
      </c>
      <c r="GA3488" s="5" t="s">
        <v>238</v>
      </c>
      <c r="GB3488" s="5" t="s">
        <v>238</v>
      </c>
      <c r="GC3488" s="5" t="s">
        <v>238</v>
      </c>
      <c r="GD3488" s="5" t="s">
        <v>238</v>
      </c>
      <c r="GE3488" s="5" t="s">
        <v>238</v>
      </c>
      <c r="GF3488" s="5" t="s">
        <v>238</v>
      </c>
      <c r="GG3488" s="5" t="s">
        <v>238</v>
      </c>
      <c r="GH3488" s="5" t="s">
        <v>238</v>
      </c>
      <c r="GI3488" s="5" t="s">
        <v>238</v>
      </c>
      <c r="GJ3488" s="5" t="s">
        <v>238</v>
      </c>
      <c r="GK3488" s="5" t="s">
        <v>238</v>
      </c>
      <c r="GL3488" s="5" t="s">
        <v>238</v>
      </c>
      <c r="GM3488" s="5" t="s">
        <v>238</v>
      </c>
      <c r="GN3488" s="5" t="s">
        <v>238</v>
      </c>
      <c r="GO3488" s="5" t="s">
        <v>238</v>
      </c>
      <c r="GP3488" s="5" t="s">
        <v>238</v>
      </c>
      <c r="GQ3488" s="5" t="s">
        <v>238</v>
      </c>
      <c r="GR3488" s="5" t="s">
        <v>238</v>
      </c>
      <c r="GS3488" s="5" t="s">
        <v>238</v>
      </c>
      <c r="GT3488" s="5" t="s">
        <v>238</v>
      </c>
      <c r="GU3488" s="5" t="s">
        <v>238</v>
      </c>
      <c r="GV3488" s="5" t="s">
        <v>238</v>
      </c>
      <c r="GW3488" s="5" t="s">
        <v>238</v>
      </c>
      <c r="GX3488" s="5" t="s">
        <v>238</v>
      </c>
      <c r="GY3488" s="5" t="s">
        <v>238</v>
      </c>
      <c r="GZ3488" s="5" t="s">
        <v>238</v>
      </c>
      <c r="HA3488" s="5" t="s">
        <v>238</v>
      </c>
      <c r="HB3488" s="5" t="s">
        <v>238</v>
      </c>
      <c r="HC3488" s="5" t="s">
        <v>238</v>
      </c>
      <c r="HD3488" s="5" t="s">
        <v>238</v>
      </c>
      <c r="HE3488" s="5" t="s">
        <v>238</v>
      </c>
      <c r="HF3488" s="5" t="s">
        <v>238</v>
      </c>
      <c r="HG3488" s="5" t="s">
        <v>238</v>
      </c>
      <c r="HH3488" s="5" t="s">
        <v>238</v>
      </c>
      <c r="HI3488" s="5" t="s">
        <v>238</v>
      </c>
      <c r="HJ3488" s="5" t="s">
        <v>238</v>
      </c>
      <c r="HK3488" s="5" t="s">
        <v>238</v>
      </c>
      <c r="HL3488" s="5" t="s">
        <v>238</v>
      </c>
      <c r="HM3488" s="5" t="s">
        <v>264</v>
      </c>
      <c r="HN3488" s="5" t="s">
        <v>238</v>
      </c>
      <c r="HO3488" s="5" t="s">
        <v>238</v>
      </c>
      <c r="HP3488" s="5" t="s">
        <v>238</v>
      </c>
      <c r="HQ3488" s="5" t="s">
        <v>238</v>
      </c>
      <c r="HR3488" s="5" t="s">
        <v>238</v>
      </c>
      <c r="HS3488" s="5" t="s">
        <v>238</v>
      </c>
      <c r="HT3488" s="5" t="s">
        <v>238</v>
      </c>
      <c r="HU3488" s="5" t="s">
        <v>238</v>
      </c>
      <c r="HV3488" s="5" t="s">
        <v>238</v>
      </c>
      <c r="HW3488" s="5" t="s">
        <v>238</v>
      </c>
      <c r="HX3488" s="5" t="s">
        <v>238</v>
      </c>
      <c r="HY3488" s="5" t="s">
        <v>238</v>
      </c>
      <c r="HZ3488" s="5" t="s">
        <v>238</v>
      </c>
      <c r="IA3488" s="5" t="s">
        <v>238</v>
      </c>
      <c r="IB3488" s="5" t="s">
        <v>238</v>
      </c>
      <c r="IC3488" s="5" t="s">
        <v>238</v>
      </c>
      <c r="ID3488" s="5" t="s">
        <v>238</v>
      </c>
    </row>
    <row r="3489" spans="1:238" x14ac:dyDescent="0.4">
      <c r="A3489" s="5">
        <v>9207</v>
      </c>
      <c r="B3489" s="5">
        <v>1</v>
      </c>
      <c r="C3489" s="5">
        <v>1</v>
      </c>
      <c r="D3489" s="5" t="s">
        <v>484</v>
      </c>
      <c r="E3489" s="5" t="s">
        <v>485</v>
      </c>
      <c r="F3489" s="5" t="s">
        <v>248</v>
      </c>
      <c r="G3489" s="5" t="s">
        <v>4968</v>
      </c>
      <c r="H3489" s="6" t="s">
        <v>4969</v>
      </c>
      <c r="I3489" s="8">
        <f>1</f>
        <v>1</v>
      </c>
      <c r="J3489" s="5" t="s">
        <v>499</v>
      </c>
      <c r="K3489" s="8">
        <f>1</f>
        <v>1</v>
      </c>
      <c r="L3489" s="6" t="s">
        <v>242</v>
      </c>
      <c r="M3489" s="5" t="s">
        <v>267</v>
      </c>
      <c r="N3489" s="5" t="s">
        <v>482</v>
      </c>
      <c r="O3489" s="5" t="s">
        <v>238</v>
      </c>
      <c r="P3489" s="5" t="s">
        <v>238</v>
      </c>
      <c r="Q3489" s="5" t="s">
        <v>239</v>
      </c>
      <c r="R3489" s="5" t="s">
        <v>270</v>
      </c>
      <c r="S3489" s="5" t="s">
        <v>238</v>
      </c>
      <c r="T3489" s="5" t="s">
        <v>238</v>
      </c>
      <c r="U3489" s="5" t="s">
        <v>238</v>
      </c>
      <c r="V3489" s="5" t="s">
        <v>238</v>
      </c>
      <c r="W3489" s="6" t="s">
        <v>238</v>
      </c>
      <c r="X3489" s="6" t="s">
        <v>238</v>
      </c>
      <c r="Y3489" s="5" t="s">
        <v>238</v>
      </c>
      <c r="Z3489" s="6" t="s">
        <v>238</v>
      </c>
      <c r="AA3489" s="6" t="s">
        <v>243</v>
      </c>
      <c r="AB3489" s="5" t="s">
        <v>486</v>
      </c>
      <c r="AC3489" s="5" t="s">
        <v>244</v>
      </c>
      <c r="AD3489" s="5" t="s">
        <v>245</v>
      </c>
      <c r="AE3489" s="5" t="s">
        <v>238</v>
      </c>
      <c r="AF3489" s="5" t="s">
        <v>238</v>
      </c>
      <c r="AG3489" s="5" t="s">
        <v>238</v>
      </c>
      <c r="AH3489" s="5" t="s">
        <v>238</v>
      </c>
      <c r="AI3489" s="5" t="s">
        <v>238</v>
      </c>
      <c r="AJ3489" s="5" t="s">
        <v>238</v>
      </c>
      <c r="AK3489" s="5" t="s">
        <v>238</v>
      </c>
      <c r="AL3489" s="5" t="s">
        <v>238</v>
      </c>
      <c r="AM3489" s="6" t="s">
        <v>238</v>
      </c>
      <c r="AN3489" s="6" t="s">
        <v>238</v>
      </c>
      <c r="AO3489" s="6" t="s">
        <v>238</v>
      </c>
      <c r="AP3489" s="6" t="s">
        <v>238</v>
      </c>
      <c r="AQ3489" s="5" t="s">
        <v>238</v>
      </c>
      <c r="AR3489" s="5" t="s">
        <v>488</v>
      </c>
      <c r="AS3489" s="5" t="s">
        <v>488</v>
      </c>
      <c r="AT3489" s="5" t="s">
        <v>246</v>
      </c>
      <c r="AU3489" s="5" t="s">
        <v>489</v>
      </c>
      <c r="AV3489" s="5" t="s">
        <v>247</v>
      </c>
      <c r="AW3489" s="5" t="s">
        <v>238</v>
      </c>
      <c r="AX3489" s="5" t="s">
        <v>249</v>
      </c>
      <c r="AY3489" s="5" t="s">
        <v>490</v>
      </c>
      <c r="BA3489" s="5" t="s">
        <v>238</v>
      </c>
      <c r="BC3489" s="5" t="s">
        <v>491</v>
      </c>
      <c r="BD3489" s="6" t="s">
        <v>492</v>
      </c>
      <c r="BE3489" s="5" t="s">
        <v>493</v>
      </c>
      <c r="BF3489" s="5" t="s">
        <v>493</v>
      </c>
      <c r="BG3489" s="5" t="s">
        <v>238</v>
      </c>
      <c r="BH3489" s="8">
        <f>1</f>
        <v>1</v>
      </c>
      <c r="BI3489" s="8">
        <f>1</f>
        <v>1</v>
      </c>
      <c r="BJ3489" s="5" t="s">
        <v>253</v>
      </c>
      <c r="BK3489" s="5" t="s">
        <v>254</v>
      </c>
      <c r="BL3489" s="5" t="s">
        <v>238</v>
      </c>
      <c r="BM3489" s="5" t="s">
        <v>238</v>
      </c>
      <c r="BN3489" s="5" t="s">
        <v>238</v>
      </c>
      <c r="BO3489" s="5" t="s">
        <v>238</v>
      </c>
      <c r="BP3489" s="5" t="s">
        <v>238</v>
      </c>
      <c r="BQ3489" s="5" t="s">
        <v>238</v>
      </c>
      <c r="BR3489" s="5" t="s">
        <v>238</v>
      </c>
      <c r="BS3489" s="5" t="s">
        <v>238</v>
      </c>
      <c r="BT3489" s="6" t="s">
        <v>238</v>
      </c>
      <c r="BU3489" s="5" t="s">
        <v>238</v>
      </c>
      <c r="BV3489" s="5" t="s">
        <v>238</v>
      </c>
      <c r="BW3489" s="5" t="s">
        <v>238</v>
      </c>
      <c r="BX3489" s="5" t="s">
        <v>254</v>
      </c>
      <c r="BY3489" s="5" t="s">
        <v>238</v>
      </c>
      <c r="BZ3489" s="5" t="s">
        <v>238</v>
      </c>
      <c r="CA3489" s="5" t="s">
        <v>238</v>
      </c>
      <c r="CB3489" s="5" t="s">
        <v>238</v>
      </c>
      <c r="CC3489" s="5" t="s">
        <v>238</v>
      </c>
      <c r="CD3489" s="5" t="s">
        <v>273</v>
      </c>
      <c r="CE3489" s="5" t="s">
        <v>256</v>
      </c>
      <c r="CF3489" s="5" t="s">
        <v>238</v>
      </c>
      <c r="CH3489" s="5" t="s">
        <v>494</v>
      </c>
      <c r="CI3489" s="6" t="s">
        <v>257</v>
      </c>
      <c r="CJ3489" s="5" t="s">
        <v>495</v>
      </c>
      <c r="CK3489" s="5" t="s">
        <v>258</v>
      </c>
      <c r="CL3489" s="5" t="s">
        <v>496</v>
      </c>
      <c r="CM3489" s="5" t="s">
        <v>238</v>
      </c>
      <c r="CN3489" s="5">
        <v>0</v>
      </c>
      <c r="CO3489" s="5" t="s">
        <v>497</v>
      </c>
      <c r="CP3489" s="5" t="s">
        <v>260</v>
      </c>
      <c r="CQ3489" s="5" t="s">
        <v>260</v>
      </c>
      <c r="CR3489" s="5" t="s">
        <v>261</v>
      </c>
      <c r="CS3489" s="5" t="s">
        <v>498</v>
      </c>
      <c r="CT3489" s="7">
        <f>1</f>
        <v>1</v>
      </c>
      <c r="CU3489" s="8">
        <f>1</f>
        <v>1</v>
      </c>
      <c r="CV3489" s="8">
        <f>0</f>
        <v>0</v>
      </c>
      <c r="CX3489" s="8">
        <f>1</f>
        <v>1</v>
      </c>
      <c r="CY3489" s="8">
        <f>1</f>
        <v>1</v>
      </c>
      <c r="CZ3489" s="8" t="s">
        <v>238</v>
      </c>
      <c r="DA3489" s="5" t="s">
        <v>238</v>
      </c>
      <c r="DB3489" s="5" t="s">
        <v>238</v>
      </c>
      <c r="DC3489" s="5" t="s">
        <v>238</v>
      </c>
      <c r="DD3489" s="5" t="s">
        <v>238</v>
      </c>
      <c r="DE3489" s="8">
        <f>0</f>
        <v>0</v>
      </c>
      <c r="DG3489" s="5" t="s">
        <v>238</v>
      </c>
      <c r="DH3489" s="5" t="s">
        <v>238</v>
      </c>
      <c r="DI3489" s="5" t="s">
        <v>238</v>
      </c>
      <c r="DJ3489" s="5" t="s">
        <v>238</v>
      </c>
      <c r="DK3489" s="5" t="s">
        <v>238</v>
      </c>
      <c r="DL3489" s="5" t="s">
        <v>238</v>
      </c>
      <c r="DM3489" s="8" t="s">
        <v>238</v>
      </c>
      <c r="DN3489" s="5" t="s">
        <v>238</v>
      </c>
      <c r="DO3489" s="5" t="s">
        <v>238</v>
      </c>
      <c r="DP3489" s="5" t="s">
        <v>490</v>
      </c>
      <c r="DQ3489" s="5" t="s">
        <v>490</v>
      </c>
      <c r="DR3489" s="5" t="s">
        <v>238</v>
      </c>
      <c r="DS3489" s="5" t="s">
        <v>238</v>
      </c>
      <c r="DT3489" s="5" t="s">
        <v>500</v>
      </c>
      <c r="DU3489" s="5" t="s">
        <v>1222</v>
      </c>
      <c r="DV3489" s="5" t="s">
        <v>238</v>
      </c>
      <c r="DW3489" s="5" t="s">
        <v>238</v>
      </c>
      <c r="DX3489" s="5" t="s">
        <v>238</v>
      </c>
      <c r="DY3489" s="5" t="s">
        <v>238</v>
      </c>
      <c r="DZ3489" s="5" t="s">
        <v>238</v>
      </c>
      <c r="EA3489" s="5" t="s">
        <v>238</v>
      </c>
      <c r="EB3489" s="5" t="s">
        <v>238</v>
      </c>
      <c r="EC3489" s="5" t="s">
        <v>238</v>
      </c>
      <c r="ED3489" s="5" t="s">
        <v>238</v>
      </c>
      <c r="EE3489" s="5" t="s">
        <v>238</v>
      </c>
      <c r="EF3489" s="5" t="s">
        <v>238</v>
      </c>
      <c r="EG3489" s="5" t="s">
        <v>238</v>
      </c>
      <c r="EH3489" s="5" t="s">
        <v>238</v>
      </c>
      <c r="EI3489" s="5" t="s">
        <v>238</v>
      </c>
      <c r="EJ3489" s="5" t="s">
        <v>238</v>
      </c>
      <c r="EK3489" s="5" t="s">
        <v>238</v>
      </c>
      <c r="EL3489" s="5" t="s">
        <v>238</v>
      </c>
      <c r="EM3489" s="5" t="s">
        <v>238</v>
      </c>
      <c r="EN3489" s="5" t="s">
        <v>238</v>
      </c>
      <c r="EO3489" s="5" t="s">
        <v>238</v>
      </c>
      <c r="EP3489" s="5" t="s">
        <v>238</v>
      </c>
      <c r="EQ3489" s="5" t="s">
        <v>238</v>
      </c>
      <c r="ER3489" s="5" t="s">
        <v>238</v>
      </c>
      <c r="ES3489" s="5" t="s">
        <v>238</v>
      </c>
      <c r="ET3489" s="5" t="s">
        <v>238</v>
      </c>
      <c r="EU3489" s="5" t="s">
        <v>238</v>
      </c>
      <c r="EV3489" s="5" t="s">
        <v>238</v>
      </c>
      <c r="EW3489" s="5" t="s">
        <v>238</v>
      </c>
      <c r="EX3489" s="5" t="s">
        <v>238</v>
      </c>
      <c r="EY3489" s="5" t="s">
        <v>238</v>
      </c>
      <c r="EZ3489" s="5" t="s">
        <v>238</v>
      </c>
      <c r="FA3489" s="5" t="s">
        <v>238</v>
      </c>
      <c r="FB3489" s="5" t="s">
        <v>238</v>
      </c>
      <c r="FC3489" s="5" t="s">
        <v>238</v>
      </c>
      <c r="FD3489" s="5" t="s">
        <v>238</v>
      </c>
      <c r="FE3489" s="5" t="s">
        <v>238</v>
      </c>
      <c r="FF3489" s="5" t="s">
        <v>238</v>
      </c>
      <c r="FG3489" s="5" t="s">
        <v>238</v>
      </c>
      <c r="FH3489" s="5" t="s">
        <v>238</v>
      </c>
      <c r="FI3489" s="5" t="s">
        <v>238</v>
      </c>
      <c r="FJ3489" s="5" t="s">
        <v>238</v>
      </c>
      <c r="FK3489" s="5" t="s">
        <v>238</v>
      </c>
      <c r="FL3489" s="5" t="s">
        <v>238</v>
      </c>
      <c r="FM3489" s="5" t="s">
        <v>238</v>
      </c>
      <c r="FN3489" s="5" t="s">
        <v>238</v>
      </c>
      <c r="FO3489" s="5" t="s">
        <v>238</v>
      </c>
      <c r="FP3489" s="5" t="s">
        <v>238</v>
      </c>
      <c r="FQ3489" s="5" t="s">
        <v>238</v>
      </c>
      <c r="FR3489" s="5" t="s">
        <v>238</v>
      </c>
      <c r="FS3489" s="5" t="s">
        <v>238</v>
      </c>
      <c r="FT3489" s="5" t="s">
        <v>238</v>
      </c>
      <c r="FU3489" s="5" t="s">
        <v>238</v>
      </c>
      <c r="FV3489" s="5" t="s">
        <v>238</v>
      </c>
      <c r="FW3489" s="5" t="s">
        <v>238</v>
      </c>
      <c r="FX3489" s="5" t="s">
        <v>238</v>
      </c>
      <c r="FY3489" s="5" t="s">
        <v>238</v>
      </c>
      <c r="FZ3489" s="5" t="s">
        <v>238</v>
      </c>
      <c r="GA3489" s="5" t="s">
        <v>238</v>
      </c>
      <c r="GB3489" s="5" t="s">
        <v>238</v>
      </c>
      <c r="GC3489" s="5" t="s">
        <v>238</v>
      </c>
      <c r="GD3489" s="5" t="s">
        <v>238</v>
      </c>
      <c r="GE3489" s="5" t="s">
        <v>238</v>
      </c>
      <c r="GF3489" s="5" t="s">
        <v>238</v>
      </c>
      <c r="GG3489" s="5" t="s">
        <v>238</v>
      </c>
      <c r="GH3489" s="5" t="s">
        <v>238</v>
      </c>
      <c r="GI3489" s="5" t="s">
        <v>238</v>
      </c>
      <c r="GJ3489" s="5" t="s">
        <v>238</v>
      </c>
      <c r="GK3489" s="5" t="s">
        <v>238</v>
      </c>
      <c r="GL3489" s="5" t="s">
        <v>238</v>
      </c>
      <c r="GM3489" s="5" t="s">
        <v>238</v>
      </c>
      <c r="GN3489" s="5" t="s">
        <v>238</v>
      </c>
      <c r="GO3489" s="5" t="s">
        <v>238</v>
      </c>
      <c r="GP3489" s="5" t="s">
        <v>238</v>
      </c>
      <c r="GQ3489" s="5" t="s">
        <v>238</v>
      </c>
      <c r="GR3489" s="5" t="s">
        <v>238</v>
      </c>
      <c r="GS3489" s="5" t="s">
        <v>238</v>
      </c>
      <c r="GT3489" s="5" t="s">
        <v>238</v>
      </c>
      <c r="GU3489" s="5" t="s">
        <v>238</v>
      </c>
      <c r="GV3489" s="5" t="s">
        <v>238</v>
      </c>
      <c r="GW3489" s="5" t="s">
        <v>238</v>
      </c>
      <c r="GX3489" s="5" t="s">
        <v>238</v>
      </c>
      <c r="GY3489" s="5" t="s">
        <v>238</v>
      </c>
      <c r="GZ3489" s="5" t="s">
        <v>238</v>
      </c>
      <c r="HA3489" s="5" t="s">
        <v>238</v>
      </c>
      <c r="HB3489" s="5" t="s">
        <v>238</v>
      </c>
      <c r="HC3489" s="5" t="s">
        <v>238</v>
      </c>
      <c r="HD3489" s="5" t="s">
        <v>238</v>
      </c>
      <c r="HE3489" s="5" t="s">
        <v>238</v>
      </c>
      <c r="HF3489" s="5" t="s">
        <v>238</v>
      </c>
      <c r="HG3489" s="5" t="s">
        <v>238</v>
      </c>
      <c r="HH3489" s="5" t="s">
        <v>238</v>
      </c>
      <c r="HI3489" s="5" t="s">
        <v>238</v>
      </c>
      <c r="HJ3489" s="5" t="s">
        <v>238</v>
      </c>
      <c r="HK3489" s="5" t="s">
        <v>238</v>
      </c>
      <c r="HL3489" s="5" t="s">
        <v>238</v>
      </c>
      <c r="HM3489" s="5" t="s">
        <v>264</v>
      </c>
      <c r="HN3489" s="5" t="s">
        <v>238</v>
      </c>
      <c r="HO3489" s="5" t="s">
        <v>238</v>
      </c>
      <c r="HP3489" s="5" t="s">
        <v>238</v>
      </c>
      <c r="HQ3489" s="5" t="s">
        <v>238</v>
      </c>
      <c r="HR3489" s="5" t="s">
        <v>238</v>
      </c>
      <c r="HS3489" s="5" t="s">
        <v>238</v>
      </c>
      <c r="HT3489" s="5" t="s">
        <v>238</v>
      </c>
      <c r="HU3489" s="5" t="s">
        <v>238</v>
      </c>
      <c r="HV3489" s="5" t="s">
        <v>238</v>
      </c>
      <c r="HW3489" s="5" t="s">
        <v>238</v>
      </c>
      <c r="HX3489" s="5" t="s">
        <v>238</v>
      </c>
      <c r="HY3489" s="5" t="s">
        <v>238</v>
      </c>
      <c r="HZ3489" s="5" t="s">
        <v>238</v>
      </c>
      <c r="IA3489" s="5" t="s">
        <v>238</v>
      </c>
      <c r="IB3489" s="5" t="s">
        <v>238</v>
      </c>
      <c r="IC3489" s="5" t="s">
        <v>238</v>
      </c>
      <c r="ID3489" s="5" t="s">
        <v>238</v>
      </c>
    </row>
    <row r="3490" spans="1:238" x14ac:dyDescent="0.4">
      <c r="A3490" s="5">
        <v>9208</v>
      </c>
      <c r="B3490" s="5">
        <v>1</v>
      </c>
      <c r="C3490" s="5">
        <v>1</v>
      </c>
      <c r="D3490" s="5" t="s">
        <v>484</v>
      </c>
      <c r="E3490" s="5" t="s">
        <v>485</v>
      </c>
      <c r="F3490" s="5" t="s">
        <v>248</v>
      </c>
      <c r="G3490" s="5" t="s">
        <v>4991</v>
      </c>
      <c r="H3490" s="6" t="s">
        <v>4992</v>
      </c>
      <c r="I3490" s="8">
        <f>1</f>
        <v>1</v>
      </c>
      <c r="J3490" s="5" t="s">
        <v>499</v>
      </c>
      <c r="K3490" s="8">
        <f>1</f>
        <v>1</v>
      </c>
      <c r="L3490" s="6" t="s">
        <v>242</v>
      </c>
      <c r="M3490" s="5" t="s">
        <v>267</v>
      </c>
      <c r="N3490" s="5" t="s">
        <v>482</v>
      </c>
      <c r="O3490" s="5" t="s">
        <v>238</v>
      </c>
      <c r="P3490" s="5" t="s">
        <v>238</v>
      </c>
      <c r="Q3490" s="5" t="s">
        <v>239</v>
      </c>
      <c r="R3490" s="5" t="s">
        <v>270</v>
      </c>
      <c r="S3490" s="5" t="s">
        <v>238</v>
      </c>
      <c r="T3490" s="5" t="s">
        <v>238</v>
      </c>
      <c r="U3490" s="5" t="s">
        <v>238</v>
      </c>
      <c r="V3490" s="5" t="s">
        <v>238</v>
      </c>
      <c r="W3490" s="6" t="s">
        <v>238</v>
      </c>
      <c r="X3490" s="6" t="s">
        <v>238</v>
      </c>
      <c r="Y3490" s="5" t="s">
        <v>238</v>
      </c>
      <c r="Z3490" s="6" t="s">
        <v>238</v>
      </c>
      <c r="AA3490" s="6" t="s">
        <v>243</v>
      </c>
      <c r="AB3490" s="5" t="s">
        <v>486</v>
      </c>
      <c r="AC3490" s="5" t="s">
        <v>244</v>
      </c>
      <c r="AD3490" s="5" t="s">
        <v>245</v>
      </c>
      <c r="AE3490" s="5" t="s">
        <v>238</v>
      </c>
      <c r="AF3490" s="5" t="s">
        <v>238</v>
      </c>
      <c r="AG3490" s="5" t="s">
        <v>238</v>
      </c>
      <c r="AH3490" s="5" t="s">
        <v>238</v>
      </c>
      <c r="AI3490" s="5" t="s">
        <v>238</v>
      </c>
      <c r="AJ3490" s="5" t="s">
        <v>238</v>
      </c>
      <c r="AK3490" s="5" t="s">
        <v>238</v>
      </c>
      <c r="AL3490" s="5" t="s">
        <v>238</v>
      </c>
      <c r="AM3490" s="6" t="s">
        <v>238</v>
      </c>
      <c r="AN3490" s="6" t="s">
        <v>238</v>
      </c>
      <c r="AO3490" s="6" t="s">
        <v>238</v>
      </c>
      <c r="AP3490" s="6" t="s">
        <v>238</v>
      </c>
      <c r="AQ3490" s="5" t="s">
        <v>238</v>
      </c>
      <c r="AR3490" s="5" t="s">
        <v>488</v>
      </c>
      <c r="AS3490" s="5" t="s">
        <v>488</v>
      </c>
      <c r="AT3490" s="5" t="s">
        <v>246</v>
      </c>
      <c r="AU3490" s="5" t="s">
        <v>489</v>
      </c>
      <c r="AV3490" s="5" t="s">
        <v>247</v>
      </c>
      <c r="AW3490" s="5" t="s">
        <v>238</v>
      </c>
      <c r="AX3490" s="5" t="s">
        <v>249</v>
      </c>
      <c r="AY3490" s="5" t="s">
        <v>490</v>
      </c>
      <c r="BA3490" s="5" t="s">
        <v>238</v>
      </c>
      <c r="BC3490" s="5" t="s">
        <v>491</v>
      </c>
      <c r="BD3490" s="6" t="s">
        <v>492</v>
      </c>
      <c r="BE3490" s="5" t="s">
        <v>493</v>
      </c>
      <c r="BF3490" s="5" t="s">
        <v>493</v>
      </c>
      <c r="BG3490" s="5" t="s">
        <v>238</v>
      </c>
      <c r="BH3490" s="8">
        <f>1</f>
        <v>1</v>
      </c>
      <c r="BI3490" s="8">
        <f>1</f>
        <v>1</v>
      </c>
      <c r="BJ3490" s="5" t="s">
        <v>253</v>
      </c>
      <c r="BK3490" s="5" t="s">
        <v>254</v>
      </c>
      <c r="BL3490" s="5" t="s">
        <v>238</v>
      </c>
      <c r="BM3490" s="5" t="s">
        <v>238</v>
      </c>
      <c r="BN3490" s="5" t="s">
        <v>238</v>
      </c>
      <c r="BO3490" s="5" t="s">
        <v>238</v>
      </c>
      <c r="BP3490" s="5" t="s">
        <v>238</v>
      </c>
      <c r="BQ3490" s="5" t="s">
        <v>238</v>
      </c>
      <c r="BR3490" s="5" t="s">
        <v>238</v>
      </c>
      <c r="BS3490" s="5" t="s">
        <v>238</v>
      </c>
      <c r="BT3490" s="6" t="s">
        <v>238</v>
      </c>
      <c r="BU3490" s="5" t="s">
        <v>238</v>
      </c>
      <c r="BV3490" s="5" t="s">
        <v>238</v>
      </c>
      <c r="BW3490" s="5" t="s">
        <v>238</v>
      </c>
      <c r="BX3490" s="5" t="s">
        <v>254</v>
      </c>
      <c r="BY3490" s="5" t="s">
        <v>238</v>
      </c>
      <c r="BZ3490" s="5" t="s">
        <v>238</v>
      </c>
      <c r="CA3490" s="5" t="s">
        <v>238</v>
      </c>
      <c r="CB3490" s="5" t="s">
        <v>238</v>
      </c>
      <c r="CC3490" s="5" t="s">
        <v>238</v>
      </c>
      <c r="CD3490" s="5" t="s">
        <v>273</v>
      </c>
      <c r="CE3490" s="5" t="s">
        <v>256</v>
      </c>
      <c r="CF3490" s="5" t="s">
        <v>238</v>
      </c>
      <c r="CH3490" s="5" t="s">
        <v>494</v>
      </c>
      <c r="CI3490" s="6" t="s">
        <v>257</v>
      </c>
      <c r="CJ3490" s="5" t="s">
        <v>495</v>
      </c>
      <c r="CK3490" s="5" t="s">
        <v>258</v>
      </c>
      <c r="CL3490" s="5" t="s">
        <v>496</v>
      </c>
      <c r="CM3490" s="5" t="s">
        <v>238</v>
      </c>
      <c r="CN3490" s="5">
        <v>0</v>
      </c>
      <c r="CO3490" s="5" t="s">
        <v>497</v>
      </c>
      <c r="CP3490" s="5" t="s">
        <v>260</v>
      </c>
      <c r="CQ3490" s="5" t="s">
        <v>260</v>
      </c>
      <c r="CR3490" s="5" t="s">
        <v>261</v>
      </c>
      <c r="CS3490" s="5" t="s">
        <v>498</v>
      </c>
      <c r="CT3490" s="7">
        <f>1</f>
        <v>1</v>
      </c>
      <c r="CU3490" s="8">
        <f>1</f>
        <v>1</v>
      </c>
      <c r="CV3490" s="8">
        <f>0</f>
        <v>0</v>
      </c>
      <c r="CX3490" s="8">
        <f>1</f>
        <v>1</v>
      </c>
      <c r="CY3490" s="8">
        <f>1</f>
        <v>1</v>
      </c>
      <c r="CZ3490" s="8" t="s">
        <v>238</v>
      </c>
      <c r="DA3490" s="5" t="s">
        <v>238</v>
      </c>
      <c r="DB3490" s="5" t="s">
        <v>238</v>
      </c>
      <c r="DC3490" s="5" t="s">
        <v>238</v>
      </c>
      <c r="DD3490" s="5" t="s">
        <v>238</v>
      </c>
      <c r="DE3490" s="8">
        <f>0</f>
        <v>0</v>
      </c>
      <c r="DG3490" s="5" t="s">
        <v>238</v>
      </c>
      <c r="DH3490" s="5" t="s">
        <v>238</v>
      </c>
      <c r="DI3490" s="5" t="s">
        <v>238</v>
      </c>
      <c r="DJ3490" s="5" t="s">
        <v>238</v>
      </c>
      <c r="DK3490" s="5" t="s">
        <v>238</v>
      </c>
      <c r="DL3490" s="5" t="s">
        <v>238</v>
      </c>
      <c r="DM3490" s="8" t="s">
        <v>238</v>
      </c>
      <c r="DN3490" s="5" t="s">
        <v>238</v>
      </c>
      <c r="DO3490" s="5" t="s">
        <v>238</v>
      </c>
      <c r="DP3490" s="5" t="s">
        <v>490</v>
      </c>
      <c r="DQ3490" s="5" t="s">
        <v>490</v>
      </c>
      <c r="DR3490" s="5" t="s">
        <v>238</v>
      </c>
      <c r="DS3490" s="5" t="s">
        <v>238</v>
      </c>
      <c r="DT3490" s="5" t="s">
        <v>500</v>
      </c>
      <c r="DU3490" s="5" t="s">
        <v>346</v>
      </c>
      <c r="DV3490" s="5" t="s">
        <v>238</v>
      </c>
      <c r="DW3490" s="5" t="s">
        <v>238</v>
      </c>
      <c r="DX3490" s="5" t="s">
        <v>238</v>
      </c>
      <c r="DY3490" s="5" t="s">
        <v>238</v>
      </c>
      <c r="DZ3490" s="5" t="s">
        <v>238</v>
      </c>
      <c r="EA3490" s="5" t="s">
        <v>238</v>
      </c>
      <c r="EB3490" s="5" t="s">
        <v>238</v>
      </c>
      <c r="EC3490" s="5" t="s">
        <v>238</v>
      </c>
      <c r="ED3490" s="5" t="s">
        <v>238</v>
      </c>
      <c r="EE3490" s="5" t="s">
        <v>238</v>
      </c>
      <c r="EF3490" s="5" t="s">
        <v>238</v>
      </c>
      <c r="EG3490" s="5" t="s">
        <v>238</v>
      </c>
      <c r="EH3490" s="5" t="s">
        <v>238</v>
      </c>
      <c r="EI3490" s="5" t="s">
        <v>238</v>
      </c>
      <c r="EJ3490" s="5" t="s">
        <v>238</v>
      </c>
      <c r="EK3490" s="5" t="s">
        <v>238</v>
      </c>
      <c r="EL3490" s="5" t="s">
        <v>238</v>
      </c>
      <c r="EM3490" s="5" t="s">
        <v>238</v>
      </c>
      <c r="EN3490" s="5" t="s">
        <v>238</v>
      </c>
      <c r="EO3490" s="5" t="s">
        <v>238</v>
      </c>
      <c r="EP3490" s="5" t="s">
        <v>238</v>
      </c>
      <c r="EQ3490" s="5" t="s">
        <v>238</v>
      </c>
      <c r="ER3490" s="5" t="s">
        <v>238</v>
      </c>
      <c r="ES3490" s="5" t="s">
        <v>238</v>
      </c>
      <c r="ET3490" s="5" t="s">
        <v>238</v>
      </c>
      <c r="EU3490" s="5" t="s">
        <v>238</v>
      </c>
      <c r="EV3490" s="5" t="s">
        <v>238</v>
      </c>
      <c r="EW3490" s="5" t="s">
        <v>238</v>
      </c>
      <c r="EX3490" s="5" t="s">
        <v>238</v>
      </c>
      <c r="EY3490" s="5" t="s">
        <v>238</v>
      </c>
      <c r="EZ3490" s="5" t="s">
        <v>238</v>
      </c>
      <c r="FA3490" s="5" t="s">
        <v>238</v>
      </c>
      <c r="FB3490" s="5" t="s">
        <v>238</v>
      </c>
      <c r="FC3490" s="5" t="s">
        <v>238</v>
      </c>
      <c r="FD3490" s="5" t="s">
        <v>238</v>
      </c>
      <c r="FE3490" s="5" t="s">
        <v>238</v>
      </c>
      <c r="FF3490" s="5" t="s">
        <v>238</v>
      </c>
      <c r="FG3490" s="5" t="s">
        <v>238</v>
      </c>
      <c r="FH3490" s="5" t="s">
        <v>238</v>
      </c>
      <c r="FI3490" s="5" t="s">
        <v>238</v>
      </c>
      <c r="FJ3490" s="5" t="s">
        <v>238</v>
      </c>
      <c r="FK3490" s="5" t="s">
        <v>238</v>
      </c>
      <c r="FL3490" s="5" t="s">
        <v>238</v>
      </c>
      <c r="FM3490" s="5" t="s">
        <v>238</v>
      </c>
      <c r="FN3490" s="5" t="s">
        <v>238</v>
      </c>
      <c r="FO3490" s="5" t="s">
        <v>238</v>
      </c>
      <c r="FP3490" s="5" t="s">
        <v>238</v>
      </c>
      <c r="FQ3490" s="5" t="s">
        <v>238</v>
      </c>
      <c r="FR3490" s="5" t="s">
        <v>238</v>
      </c>
      <c r="FS3490" s="5" t="s">
        <v>238</v>
      </c>
      <c r="FT3490" s="5" t="s">
        <v>238</v>
      </c>
      <c r="FU3490" s="5" t="s">
        <v>238</v>
      </c>
      <c r="FV3490" s="5" t="s">
        <v>238</v>
      </c>
      <c r="FW3490" s="5" t="s">
        <v>238</v>
      </c>
      <c r="FX3490" s="5" t="s">
        <v>238</v>
      </c>
      <c r="FY3490" s="5" t="s">
        <v>238</v>
      </c>
      <c r="FZ3490" s="5" t="s">
        <v>238</v>
      </c>
      <c r="GA3490" s="5" t="s">
        <v>238</v>
      </c>
      <c r="GB3490" s="5" t="s">
        <v>238</v>
      </c>
      <c r="GC3490" s="5" t="s">
        <v>238</v>
      </c>
      <c r="GD3490" s="5" t="s">
        <v>238</v>
      </c>
      <c r="GE3490" s="5" t="s">
        <v>238</v>
      </c>
      <c r="GF3490" s="5" t="s">
        <v>238</v>
      </c>
      <c r="GG3490" s="5" t="s">
        <v>238</v>
      </c>
      <c r="GH3490" s="5" t="s">
        <v>238</v>
      </c>
      <c r="GI3490" s="5" t="s">
        <v>238</v>
      </c>
      <c r="GJ3490" s="5" t="s">
        <v>238</v>
      </c>
      <c r="GK3490" s="5" t="s">
        <v>238</v>
      </c>
      <c r="GL3490" s="5" t="s">
        <v>238</v>
      </c>
      <c r="GM3490" s="5" t="s">
        <v>238</v>
      </c>
      <c r="GN3490" s="5" t="s">
        <v>238</v>
      </c>
      <c r="GO3490" s="5" t="s">
        <v>238</v>
      </c>
      <c r="GP3490" s="5" t="s">
        <v>238</v>
      </c>
      <c r="GQ3490" s="5" t="s">
        <v>238</v>
      </c>
      <c r="GR3490" s="5" t="s">
        <v>238</v>
      </c>
      <c r="GS3490" s="5" t="s">
        <v>238</v>
      </c>
      <c r="GT3490" s="5" t="s">
        <v>238</v>
      </c>
      <c r="GU3490" s="5" t="s">
        <v>238</v>
      </c>
      <c r="GV3490" s="5" t="s">
        <v>238</v>
      </c>
      <c r="GW3490" s="5" t="s">
        <v>238</v>
      </c>
      <c r="GX3490" s="5" t="s">
        <v>238</v>
      </c>
      <c r="GY3490" s="5" t="s">
        <v>238</v>
      </c>
      <c r="GZ3490" s="5" t="s">
        <v>238</v>
      </c>
      <c r="HA3490" s="5" t="s">
        <v>238</v>
      </c>
      <c r="HB3490" s="5" t="s">
        <v>238</v>
      </c>
      <c r="HC3490" s="5" t="s">
        <v>238</v>
      </c>
      <c r="HD3490" s="5" t="s">
        <v>238</v>
      </c>
      <c r="HE3490" s="5" t="s">
        <v>238</v>
      </c>
      <c r="HF3490" s="5" t="s">
        <v>238</v>
      </c>
      <c r="HG3490" s="5" t="s">
        <v>238</v>
      </c>
      <c r="HH3490" s="5" t="s">
        <v>238</v>
      </c>
      <c r="HI3490" s="5" t="s">
        <v>238</v>
      </c>
      <c r="HJ3490" s="5" t="s">
        <v>238</v>
      </c>
      <c r="HK3490" s="5" t="s">
        <v>238</v>
      </c>
      <c r="HL3490" s="5" t="s">
        <v>238</v>
      </c>
      <c r="HM3490" s="5" t="s">
        <v>264</v>
      </c>
      <c r="HN3490" s="5" t="s">
        <v>238</v>
      </c>
      <c r="HO3490" s="5" t="s">
        <v>238</v>
      </c>
      <c r="HP3490" s="5" t="s">
        <v>238</v>
      </c>
      <c r="HQ3490" s="5" t="s">
        <v>238</v>
      </c>
      <c r="HR3490" s="5" t="s">
        <v>238</v>
      </c>
      <c r="HS3490" s="5" t="s">
        <v>238</v>
      </c>
      <c r="HT3490" s="5" t="s">
        <v>238</v>
      </c>
      <c r="HU3490" s="5" t="s">
        <v>238</v>
      </c>
      <c r="HV3490" s="5" t="s">
        <v>238</v>
      </c>
      <c r="HW3490" s="5" t="s">
        <v>238</v>
      </c>
      <c r="HX3490" s="5" t="s">
        <v>238</v>
      </c>
      <c r="HY3490" s="5" t="s">
        <v>238</v>
      </c>
      <c r="HZ3490" s="5" t="s">
        <v>238</v>
      </c>
      <c r="IA3490" s="5" t="s">
        <v>238</v>
      </c>
      <c r="IB3490" s="5" t="s">
        <v>238</v>
      </c>
      <c r="IC3490" s="5" t="s">
        <v>238</v>
      </c>
      <c r="ID3490" s="5" t="s">
        <v>238</v>
      </c>
    </row>
    <row r="3491" spans="1:238" x14ac:dyDescent="0.4">
      <c r="A3491" s="5">
        <v>9209</v>
      </c>
      <c r="B3491" s="5">
        <v>1</v>
      </c>
      <c r="C3491" s="5">
        <v>1</v>
      </c>
      <c r="D3491" s="5" t="s">
        <v>484</v>
      </c>
      <c r="E3491" s="5" t="s">
        <v>485</v>
      </c>
      <c r="F3491" s="5" t="s">
        <v>248</v>
      </c>
      <c r="G3491" s="5" t="s">
        <v>4482</v>
      </c>
      <c r="H3491" s="6" t="s">
        <v>4483</v>
      </c>
      <c r="I3491" s="8">
        <f>1</f>
        <v>1</v>
      </c>
      <c r="J3491" s="5" t="s">
        <v>499</v>
      </c>
      <c r="K3491" s="8">
        <f>1</f>
        <v>1</v>
      </c>
      <c r="L3491" s="6" t="s">
        <v>242</v>
      </c>
      <c r="M3491" s="5" t="s">
        <v>267</v>
      </c>
      <c r="N3491" s="5" t="s">
        <v>482</v>
      </c>
      <c r="O3491" s="5" t="s">
        <v>238</v>
      </c>
      <c r="P3491" s="5" t="s">
        <v>238</v>
      </c>
      <c r="Q3491" s="5" t="s">
        <v>239</v>
      </c>
      <c r="R3491" s="5" t="s">
        <v>270</v>
      </c>
      <c r="S3491" s="5" t="s">
        <v>238</v>
      </c>
      <c r="T3491" s="5" t="s">
        <v>238</v>
      </c>
      <c r="U3491" s="5" t="s">
        <v>238</v>
      </c>
      <c r="V3491" s="5" t="s">
        <v>238</v>
      </c>
      <c r="W3491" s="6" t="s">
        <v>238</v>
      </c>
      <c r="X3491" s="6" t="s">
        <v>238</v>
      </c>
      <c r="Y3491" s="5" t="s">
        <v>238</v>
      </c>
      <c r="Z3491" s="6" t="s">
        <v>238</v>
      </c>
      <c r="AA3491" s="6" t="s">
        <v>243</v>
      </c>
      <c r="AB3491" s="5" t="s">
        <v>486</v>
      </c>
      <c r="AC3491" s="5" t="s">
        <v>244</v>
      </c>
      <c r="AD3491" s="5" t="s">
        <v>245</v>
      </c>
      <c r="AE3491" s="5" t="s">
        <v>238</v>
      </c>
      <c r="AF3491" s="5" t="s">
        <v>238</v>
      </c>
      <c r="AG3491" s="5" t="s">
        <v>238</v>
      </c>
      <c r="AH3491" s="5" t="s">
        <v>238</v>
      </c>
      <c r="AI3491" s="5" t="s">
        <v>238</v>
      </c>
      <c r="AJ3491" s="5" t="s">
        <v>238</v>
      </c>
      <c r="AK3491" s="5" t="s">
        <v>238</v>
      </c>
      <c r="AL3491" s="5" t="s">
        <v>238</v>
      </c>
      <c r="AM3491" s="6" t="s">
        <v>238</v>
      </c>
      <c r="AN3491" s="6" t="s">
        <v>238</v>
      </c>
      <c r="AO3491" s="6" t="s">
        <v>238</v>
      </c>
      <c r="AP3491" s="6" t="s">
        <v>238</v>
      </c>
      <c r="AQ3491" s="5" t="s">
        <v>238</v>
      </c>
      <c r="AR3491" s="5" t="s">
        <v>488</v>
      </c>
      <c r="AS3491" s="5" t="s">
        <v>488</v>
      </c>
      <c r="AT3491" s="5" t="s">
        <v>246</v>
      </c>
      <c r="AU3491" s="5" t="s">
        <v>489</v>
      </c>
      <c r="AV3491" s="5" t="s">
        <v>247</v>
      </c>
      <c r="AW3491" s="5" t="s">
        <v>238</v>
      </c>
      <c r="AX3491" s="5" t="s">
        <v>249</v>
      </c>
      <c r="AY3491" s="5" t="s">
        <v>490</v>
      </c>
      <c r="BA3491" s="5" t="s">
        <v>238</v>
      </c>
      <c r="BC3491" s="5" t="s">
        <v>491</v>
      </c>
      <c r="BD3491" s="6" t="s">
        <v>492</v>
      </c>
      <c r="BE3491" s="5" t="s">
        <v>493</v>
      </c>
      <c r="BF3491" s="5" t="s">
        <v>493</v>
      </c>
      <c r="BG3491" s="5" t="s">
        <v>238</v>
      </c>
      <c r="BH3491" s="8">
        <f>1</f>
        <v>1</v>
      </c>
      <c r="BI3491" s="8">
        <f>1</f>
        <v>1</v>
      </c>
      <c r="BJ3491" s="5" t="s">
        <v>253</v>
      </c>
      <c r="BK3491" s="5" t="s">
        <v>254</v>
      </c>
      <c r="BL3491" s="5" t="s">
        <v>238</v>
      </c>
      <c r="BM3491" s="5" t="s">
        <v>238</v>
      </c>
      <c r="BN3491" s="5" t="s">
        <v>238</v>
      </c>
      <c r="BO3491" s="5" t="s">
        <v>238</v>
      </c>
      <c r="BP3491" s="5" t="s">
        <v>238</v>
      </c>
      <c r="BQ3491" s="5" t="s">
        <v>238</v>
      </c>
      <c r="BR3491" s="5" t="s">
        <v>238</v>
      </c>
      <c r="BS3491" s="5" t="s">
        <v>238</v>
      </c>
      <c r="BT3491" s="6" t="s">
        <v>238</v>
      </c>
      <c r="BU3491" s="5" t="s">
        <v>238</v>
      </c>
      <c r="BV3491" s="5" t="s">
        <v>238</v>
      </c>
      <c r="BW3491" s="5" t="s">
        <v>238</v>
      </c>
      <c r="BX3491" s="5" t="s">
        <v>254</v>
      </c>
      <c r="BY3491" s="5" t="s">
        <v>238</v>
      </c>
      <c r="BZ3491" s="5" t="s">
        <v>238</v>
      </c>
      <c r="CA3491" s="5" t="s">
        <v>238</v>
      </c>
      <c r="CB3491" s="5" t="s">
        <v>238</v>
      </c>
      <c r="CC3491" s="5" t="s">
        <v>238</v>
      </c>
      <c r="CD3491" s="5" t="s">
        <v>273</v>
      </c>
      <c r="CE3491" s="5" t="s">
        <v>256</v>
      </c>
      <c r="CF3491" s="5" t="s">
        <v>238</v>
      </c>
      <c r="CH3491" s="5" t="s">
        <v>494</v>
      </c>
      <c r="CI3491" s="6" t="s">
        <v>257</v>
      </c>
      <c r="CJ3491" s="5" t="s">
        <v>495</v>
      </c>
      <c r="CK3491" s="5" t="s">
        <v>258</v>
      </c>
      <c r="CL3491" s="5" t="s">
        <v>496</v>
      </c>
      <c r="CM3491" s="5" t="s">
        <v>238</v>
      </c>
      <c r="CN3491" s="5">
        <v>0</v>
      </c>
      <c r="CO3491" s="5" t="s">
        <v>497</v>
      </c>
      <c r="CP3491" s="5" t="s">
        <v>260</v>
      </c>
      <c r="CQ3491" s="5" t="s">
        <v>260</v>
      </c>
      <c r="CR3491" s="5" t="s">
        <v>261</v>
      </c>
      <c r="CS3491" s="5" t="s">
        <v>498</v>
      </c>
      <c r="CT3491" s="7">
        <f>1</f>
        <v>1</v>
      </c>
      <c r="CU3491" s="8">
        <f>1</f>
        <v>1</v>
      </c>
      <c r="CV3491" s="8">
        <f>0</f>
        <v>0</v>
      </c>
      <c r="CX3491" s="8">
        <f>1</f>
        <v>1</v>
      </c>
      <c r="CY3491" s="8">
        <f>1</f>
        <v>1</v>
      </c>
      <c r="CZ3491" s="8" t="s">
        <v>238</v>
      </c>
      <c r="DA3491" s="5" t="s">
        <v>238</v>
      </c>
      <c r="DB3491" s="5" t="s">
        <v>238</v>
      </c>
      <c r="DC3491" s="5" t="s">
        <v>238</v>
      </c>
      <c r="DD3491" s="5" t="s">
        <v>238</v>
      </c>
      <c r="DE3491" s="8">
        <f>0</f>
        <v>0</v>
      </c>
      <c r="DG3491" s="5" t="s">
        <v>238</v>
      </c>
      <c r="DH3491" s="5" t="s">
        <v>238</v>
      </c>
      <c r="DI3491" s="5" t="s">
        <v>238</v>
      </c>
      <c r="DJ3491" s="5" t="s">
        <v>238</v>
      </c>
      <c r="DK3491" s="5" t="s">
        <v>238</v>
      </c>
      <c r="DL3491" s="5" t="s">
        <v>238</v>
      </c>
      <c r="DM3491" s="8" t="s">
        <v>238</v>
      </c>
      <c r="DN3491" s="5" t="s">
        <v>238</v>
      </c>
      <c r="DO3491" s="5" t="s">
        <v>238</v>
      </c>
      <c r="DP3491" s="5" t="s">
        <v>490</v>
      </c>
      <c r="DQ3491" s="5" t="s">
        <v>490</v>
      </c>
      <c r="DR3491" s="5" t="s">
        <v>238</v>
      </c>
      <c r="DS3491" s="5" t="s">
        <v>238</v>
      </c>
      <c r="DT3491" s="5" t="s">
        <v>500</v>
      </c>
      <c r="DU3491" s="5" t="s">
        <v>366</v>
      </c>
      <c r="DV3491" s="5" t="s">
        <v>238</v>
      </c>
      <c r="DW3491" s="5" t="s">
        <v>238</v>
      </c>
      <c r="DX3491" s="5" t="s">
        <v>238</v>
      </c>
      <c r="DY3491" s="5" t="s">
        <v>238</v>
      </c>
      <c r="DZ3491" s="5" t="s">
        <v>238</v>
      </c>
      <c r="EA3491" s="5" t="s">
        <v>238</v>
      </c>
      <c r="EB3491" s="5" t="s">
        <v>238</v>
      </c>
      <c r="EC3491" s="5" t="s">
        <v>238</v>
      </c>
      <c r="ED3491" s="5" t="s">
        <v>238</v>
      </c>
      <c r="EE3491" s="5" t="s">
        <v>238</v>
      </c>
      <c r="EF3491" s="5" t="s">
        <v>238</v>
      </c>
      <c r="EG3491" s="5" t="s">
        <v>238</v>
      </c>
      <c r="EH3491" s="5" t="s">
        <v>238</v>
      </c>
      <c r="EI3491" s="5" t="s">
        <v>238</v>
      </c>
      <c r="EJ3491" s="5" t="s">
        <v>238</v>
      </c>
      <c r="EK3491" s="5" t="s">
        <v>238</v>
      </c>
      <c r="EL3491" s="5" t="s">
        <v>238</v>
      </c>
      <c r="EM3491" s="5" t="s">
        <v>238</v>
      </c>
      <c r="EN3491" s="5" t="s">
        <v>238</v>
      </c>
      <c r="EO3491" s="5" t="s">
        <v>238</v>
      </c>
      <c r="EP3491" s="5" t="s">
        <v>238</v>
      </c>
      <c r="EQ3491" s="5" t="s">
        <v>238</v>
      </c>
      <c r="ER3491" s="5" t="s">
        <v>238</v>
      </c>
      <c r="ES3491" s="5" t="s">
        <v>238</v>
      </c>
      <c r="ET3491" s="5" t="s">
        <v>238</v>
      </c>
      <c r="EU3491" s="5" t="s">
        <v>238</v>
      </c>
      <c r="EV3491" s="5" t="s">
        <v>238</v>
      </c>
      <c r="EW3491" s="5" t="s">
        <v>238</v>
      </c>
      <c r="EX3491" s="5" t="s">
        <v>238</v>
      </c>
      <c r="EY3491" s="5" t="s">
        <v>238</v>
      </c>
      <c r="EZ3491" s="5" t="s">
        <v>238</v>
      </c>
      <c r="FA3491" s="5" t="s">
        <v>238</v>
      </c>
      <c r="FB3491" s="5" t="s">
        <v>238</v>
      </c>
      <c r="FC3491" s="5" t="s">
        <v>238</v>
      </c>
      <c r="FD3491" s="5" t="s">
        <v>238</v>
      </c>
      <c r="FE3491" s="5" t="s">
        <v>238</v>
      </c>
      <c r="FF3491" s="5" t="s">
        <v>238</v>
      </c>
      <c r="FG3491" s="5" t="s">
        <v>238</v>
      </c>
      <c r="FH3491" s="5" t="s">
        <v>238</v>
      </c>
      <c r="FI3491" s="5" t="s">
        <v>238</v>
      </c>
      <c r="FJ3491" s="5" t="s">
        <v>238</v>
      </c>
      <c r="FK3491" s="5" t="s">
        <v>238</v>
      </c>
      <c r="FL3491" s="5" t="s">
        <v>238</v>
      </c>
      <c r="FM3491" s="5" t="s">
        <v>238</v>
      </c>
      <c r="FN3491" s="5" t="s">
        <v>238</v>
      </c>
      <c r="FO3491" s="5" t="s">
        <v>238</v>
      </c>
      <c r="FP3491" s="5" t="s">
        <v>238</v>
      </c>
      <c r="FQ3491" s="5" t="s">
        <v>238</v>
      </c>
      <c r="FR3491" s="5" t="s">
        <v>238</v>
      </c>
      <c r="FS3491" s="5" t="s">
        <v>238</v>
      </c>
      <c r="FT3491" s="5" t="s">
        <v>238</v>
      </c>
      <c r="FU3491" s="5" t="s">
        <v>238</v>
      </c>
      <c r="FV3491" s="5" t="s">
        <v>238</v>
      </c>
      <c r="FW3491" s="5" t="s">
        <v>238</v>
      </c>
      <c r="FX3491" s="5" t="s">
        <v>238</v>
      </c>
      <c r="FY3491" s="5" t="s">
        <v>238</v>
      </c>
      <c r="FZ3491" s="5" t="s">
        <v>238</v>
      </c>
      <c r="GA3491" s="5" t="s">
        <v>238</v>
      </c>
      <c r="GB3491" s="5" t="s">
        <v>238</v>
      </c>
      <c r="GC3491" s="5" t="s">
        <v>238</v>
      </c>
      <c r="GD3491" s="5" t="s">
        <v>238</v>
      </c>
      <c r="GE3491" s="5" t="s">
        <v>238</v>
      </c>
      <c r="GF3491" s="5" t="s">
        <v>238</v>
      </c>
      <c r="GG3491" s="5" t="s">
        <v>238</v>
      </c>
      <c r="GH3491" s="5" t="s">
        <v>238</v>
      </c>
      <c r="GI3491" s="5" t="s">
        <v>238</v>
      </c>
      <c r="GJ3491" s="5" t="s">
        <v>238</v>
      </c>
      <c r="GK3491" s="5" t="s">
        <v>238</v>
      </c>
      <c r="GL3491" s="5" t="s">
        <v>238</v>
      </c>
      <c r="GM3491" s="5" t="s">
        <v>238</v>
      </c>
      <c r="GN3491" s="5" t="s">
        <v>238</v>
      </c>
      <c r="GO3491" s="5" t="s">
        <v>238</v>
      </c>
      <c r="GP3491" s="5" t="s">
        <v>238</v>
      </c>
      <c r="GQ3491" s="5" t="s">
        <v>238</v>
      </c>
      <c r="GR3491" s="5" t="s">
        <v>238</v>
      </c>
      <c r="GS3491" s="5" t="s">
        <v>238</v>
      </c>
      <c r="GT3491" s="5" t="s">
        <v>238</v>
      </c>
      <c r="GU3491" s="5" t="s">
        <v>238</v>
      </c>
      <c r="GV3491" s="5" t="s">
        <v>238</v>
      </c>
      <c r="GW3491" s="5" t="s">
        <v>238</v>
      </c>
      <c r="GX3491" s="5" t="s">
        <v>238</v>
      </c>
      <c r="GY3491" s="5" t="s">
        <v>238</v>
      </c>
      <c r="GZ3491" s="5" t="s">
        <v>238</v>
      </c>
      <c r="HA3491" s="5" t="s">
        <v>238</v>
      </c>
      <c r="HB3491" s="5" t="s">
        <v>238</v>
      </c>
      <c r="HC3491" s="5" t="s">
        <v>238</v>
      </c>
      <c r="HD3491" s="5" t="s">
        <v>238</v>
      </c>
      <c r="HE3491" s="5" t="s">
        <v>238</v>
      </c>
      <c r="HF3491" s="5" t="s">
        <v>238</v>
      </c>
      <c r="HG3491" s="5" t="s">
        <v>238</v>
      </c>
      <c r="HH3491" s="5" t="s">
        <v>238</v>
      </c>
      <c r="HI3491" s="5" t="s">
        <v>238</v>
      </c>
      <c r="HJ3491" s="5" t="s">
        <v>238</v>
      </c>
      <c r="HK3491" s="5" t="s">
        <v>238</v>
      </c>
      <c r="HL3491" s="5" t="s">
        <v>238</v>
      </c>
      <c r="HM3491" s="5" t="s">
        <v>264</v>
      </c>
      <c r="HN3491" s="5" t="s">
        <v>238</v>
      </c>
      <c r="HO3491" s="5" t="s">
        <v>238</v>
      </c>
      <c r="HP3491" s="5" t="s">
        <v>238</v>
      </c>
      <c r="HQ3491" s="5" t="s">
        <v>238</v>
      </c>
      <c r="HR3491" s="5" t="s">
        <v>238</v>
      </c>
      <c r="HS3491" s="5" t="s">
        <v>238</v>
      </c>
      <c r="HT3491" s="5" t="s">
        <v>238</v>
      </c>
      <c r="HU3491" s="5" t="s">
        <v>238</v>
      </c>
      <c r="HV3491" s="5" t="s">
        <v>238</v>
      </c>
      <c r="HW3491" s="5" t="s">
        <v>238</v>
      </c>
      <c r="HX3491" s="5" t="s">
        <v>238</v>
      </c>
      <c r="HY3491" s="5" t="s">
        <v>238</v>
      </c>
      <c r="HZ3491" s="5" t="s">
        <v>238</v>
      </c>
      <c r="IA3491" s="5" t="s">
        <v>238</v>
      </c>
      <c r="IB3491" s="5" t="s">
        <v>238</v>
      </c>
      <c r="IC3491" s="5" t="s">
        <v>238</v>
      </c>
      <c r="ID3491" s="5" t="s">
        <v>238</v>
      </c>
    </row>
    <row r="3492" spans="1:238" x14ac:dyDescent="0.4">
      <c r="A3492" s="5">
        <v>9210</v>
      </c>
      <c r="B3492" s="5">
        <v>1</v>
      </c>
      <c r="C3492" s="5">
        <v>1</v>
      </c>
      <c r="D3492" s="5" t="s">
        <v>484</v>
      </c>
      <c r="E3492" s="5" t="s">
        <v>485</v>
      </c>
      <c r="F3492" s="5" t="s">
        <v>248</v>
      </c>
      <c r="G3492" s="5" t="s">
        <v>6444</v>
      </c>
      <c r="H3492" s="6" t="s">
        <v>6446</v>
      </c>
      <c r="I3492" s="8">
        <f>1</f>
        <v>1</v>
      </c>
      <c r="J3492" s="5" t="s">
        <v>499</v>
      </c>
      <c r="K3492" s="8">
        <f>1</f>
        <v>1</v>
      </c>
      <c r="L3492" s="6" t="s">
        <v>242</v>
      </c>
      <c r="M3492" s="5" t="s">
        <v>267</v>
      </c>
      <c r="N3492" s="5" t="s">
        <v>482</v>
      </c>
      <c r="O3492" s="5" t="s">
        <v>238</v>
      </c>
      <c r="P3492" s="5" t="s">
        <v>238</v>
      </c>
      <c r="Q3492" s="5" t="s">
        <v>239</v>
      </c>
      <c r="R3492" s="5" t="s">
        <v>270</v>
      </c>
      <c r="S3492" s="5" t="s">
        <v>238</v>
      </c>
      <c r="T3492" s="5" t="s">
        <v>238</v>
      </c>
      <c r="U3492" s="5" t="s">
        <v>238</v>
      </c>
      <c r="V3492" s="5" t="s">
        <v>238</v>
      </c>
      <c r="W3492" s="6" t="s">
        <v>238</v>
      </c>
      <c r="X3492" s="6" t="s">
        <v>238</v>
      </c>
      <c r="Y3492" s="5" t="s">
        <v>238</v>
      </c>
      <c r="Z3492" s="6" t="s">
        <v>238</v>
      </c>
      <c r="AA3492" s="6" t="s">
        <v>243</v>
      </c>
      <c r="AB3492" s="5" t="s">
        <v>6445</v>
      </c>
      <c r="AC3492" s="5" t="s">
        <v>244</v>
      </c>
      <c r="AD3492" s="5" t="s">
        <v>245</v>
      </c>
      <c r="AE3492" s="5" t="s">
        <v>238</v>
      </c>
      <c r="AF3492" s="5" t="s">
        <v>238</v>
      </c>
      <c r="AG3492" s="5" t="s">
        <v>238</v>
      </c>
      <c r="AH3492" s="5" t="s">
        <v>238</v>
      </c>
      <c r="AI3492" s="5" t="s">
        <v>238</v>
      </c>
      <c r="AJ3492" s="5" t="s">
        <v>238</v>
      </c>
      <c r="AK3492" s="5" t="s">
        <v>238</v>
      </c>
      <c r="AL3492" s="5" t="s">
        <v>238</v>
      </c>
      <c r="AM3492" s="6" t="s">
        <v>238</v>
      </c>
      <c r="AN3492" s="6" t="s">
        <v>238</v>
      </c>
      <c r="AO3492" s="6" t="s">
        <v>238</v>
      </c>
      <c r="AP3492" s="6" t="s">
        <v>238</v>
      </c>
      <c r="AQ3492" s="5" t="s">
        <v>238</v>
      </c>
      <c r="AR3492" s="5" t="s">
        <v>488</v>
      </c>
      <c r="AS3492" s="5" t="s">
        <v>488</v>
      </c>
      <c r="AT3492" s="5" t="s">
        <v>246</v>
      </c>
      <c r="AU3492" s="5" t="s">
        <v>489</v>
      </c>
      <c r="AV3492" s="5" t="s">
        <v>247</v>
      </c>
      <c r="AW3492" s="5" t="s">
        <v>238</v>
      </c>
      <c r="AX3492" s="5" t="s">
        <v>249</v>
      </c>
      <c r="AY3492" s="5" t="s">
        <v>490</v>
      </c>
      <c r="BA3492" s="5" t="s">
        <v>238</v>
      </c>
      <c r="BC3492" s="5" t="s">
        <v>491</v>
      </c>
      <c r="BD3492" s="6" t="s">
        <v>492</v>
      </c>
      <c r="BE3492" s="5" t="s">
        <v>493</v>
      </c>
      <c r="BF3492" s="5" t="s">
        <v>493</v>
      </c>
      <c r="BG3492" s="5" t="s">
        <v>238</v>
      </c>
      <c r="BH3492" s="8">
        <f>1</f>
        <v>1</v>
      </c>
      <c r="BI3492" s="8">
        <f>1</f>
        <v>1</v>
      </c>
      <c r="BJ3492" s="5" t="s">
        <v>253</v>
      </c>
      <c r="BK3492" s="5" t="s">
        <v>254</v>
      </c>
      <c r="BL3492" s="5" t="s">
        <v>238</v>
      </c>
      <c r="BM3492" s="5" t="s">
        <v>238</v>
      </c>
      <c r="BN3492" s="5" t="s">
        <v>238</v>
      </c>
      <c r="BO3492" s="5" t="s">
        <v>238</v>
      </c>
      <c r="BP3492" s="5" t="s">
        <v>238</v>
      </c>
      <c r="BQ3492" s="5" t="s">
        <v>238</v>
      </c>
      <c r="BR3492" s="5" t="s">
        <v>238</v>
      </c>
      <c r="BS3492" s="5" t="s">
        <v>238</v>
      </c>
      <c r="BT3492" s="6" t="s">
        <v>238</v>
      </c>
      <c r="BU3492" s="5" t="s">
        <v>238</v>
      </c>
      <c r="BV3492" s="5" t="s">
        <v>238</v>
      </c>
      <c r="BW3492" s="5" t="s">
        <v>238</v>
      </c>
      <c r="BX3492" s="5" t="s">
        <v>254</v>
      </c>
      <c r="BY3492" s="5" t="s">
        <v>238</v>
      </c>
      <c r="BZ3492" s="5" t="s">
        <v>238</v>
      </c>
      <c r="CA3492" s="5" t="s">
        <v>238</v>
      </c>
      <c r="CB3492" s="5" t="s">
        <v>238</v>
      </c>
      <c r="CC3492" s="5" t="s">
        <v>238</v>
      </c>
      <c r="CD3492" s="5" t="s">
        <v>273</v>
      </c>
      <c r="CE3492" s="5" t="s">
        <v>256</v>
      </c>
      <c r="CF3492" s="5" t="s">
        <v>238</v>
      </c>
      <c r="CH3492" s="5" t="s">
        <v>494</v>
      </c>
      <c r="CI3492" s="6" t="s">
        <v>257</v>
      </c>
      <c r="CJ3492" s="5" t="s">
        <v>495</v>
      </c>
      <c r="CK3492" s="5" t="s">
        <v>258</v>
      </c>
      <c r="CL3492" s="5" t="s">
        <v>496</v>
      </c>
      <c r="CM3492" s="5" t="s">
        <v>238</v>
      </c>
      <c r="CN3492" s="5">
        <v>0</v>
      </c>
      <c r="CO3492" s="5" t="s">
        <v>497</v>
      </c>
      <c r="CP3492" s="5" t="s">
        <v>260</v>
      </c>
      <c r="CQ3492" s="5" t="s">
        <v>260</v>
      </c>
      <c r="CR3492" s="5" t="s">
        <v>261</v>
      </c>
      <c r="CS3492" s="5" t="s">
        <v>498</v>
      </c>
      <c r="CT3492" s="7">
        <f>1</f>
        <v>1</v>
      </c>
      <c r="CU3492" s="8">
        <f>1</f>
        <v>1</v>
      </c>
      <c r="CV3492" s="8">
        <f>0</f>
        <v>0</v>
      </c>
      <c r="CX3492" s="8">
        <f>1</f>
        <v>1</v>
      </c>
      <c r="CY3492" s="8">
        <f>1</f>
        <v>1</v>
      </c>
      <c r="CZ3492" s="8" t="s">
        <v>238</v>
      </c>
      <c r="DA3492" s="5" t="s">
        <v>238</v>
      </c>
      <c r="DB3492" s="5" t="s">
        <v>238</v>
      </c>
      <c r="DC3492" s="5" t="s">
        <v>238</v>
      </c>
      <c r="DD3492" s="5" t="s">
        <v>238</v>
      </c>
      <c r="DE3492" s="8">
        <f>0</f>
        <v>0</v>
      </c>
      <c r="DG3492" s="5" t="s">
        <v>238</v>
      </c>
      <c r="DH3492" s="5" t="s">
        <v>238</v>
      </c>
      <c r="DI3492" s="5" t="s">
        <v>238</v>
      </c>
      <c r="DJ3492" s="5" t="s">
        <v>238</v>
      </c>
      <c r="DK3492" s="5" t="s">
        <v>238</v>
      </c>
      <c r="DL3492" s="5" t="s">
        <v>238</v>
      </c>
      <c r="DM3492" s="8" t="s">
        <v>238</v>
      </c>
      <c r="DN3492" s="5" t="s">
        <v>238</v>
      </c>
      <c r="DO3492" s="5" t="s">
        <v>238</v>
      </c>
      <c r="DP3492" s="5" t="s">
        <v>490</v>
      </c>
      <c r="DQ3492" s="5" t="s">
        <v>490</v>
      </c>
      <c r="DR3492" s="5" t="s">
        <v>238</v>
      </c>
      <c r="DS3492" s="5" t="s">
        <v>238</v>
      </c>
      <c r="DT3492" s="5" t="s">
        <v>500</v>
      </c>
      <c r="DU3492" s="5" t="s">
        <v>380</v>
      </c>
      <c r="DV3492" s="5" t="s">
        <v>238</v>
      </c>
      <c r="DW3492" s="5" t="s">
        <v>238</v>
      </c>
      <c r="DX3492" s="5" t="s">
        <v>238</v>
      </c>
      <c r="DY3492" s="5" t="s">
        <v>238</v>
      </c>
      <c r="DZ3492" s="5" t="s">
        <v>238</v>
      </c>
      <c r="EA3492" s="5" t="s">
        <v>238</v>
      </c>
      <c r="EB3492" s="5" t="s">
        <v>238</v>
      </c>
      <c r="EC3492" s="5" t="s">
        <v>238</v>
      </c>
      <c r="ED3492" s="5" t="s">
        <v>238</v>
      </c>
      <c r="EE3492" s="5" t="s">
        <v>238</v>
      </c>
      <c r="EF3492" s="5" t="s">
        <v>238</v>
      </c>
      <c r="EG3492" s="5" t="s">
        <v>238</v>
      </c>
      <c r="EH3492" s="5" t="s">
        <v>238</v>
      </c>
      <c r="EI3492" s="5" t="s">
        <v>238</v>
      </c>
      <c r="EJ3492" s="5" t="s">
        <v>238</v>
      </c>
      <c r="EK3492" s="5" t="s">
        <v>238</v>
      </c>
      <c r="EL3492" s="5" t="s">
        <v>238</v>
      </c>
      <c r="EM3492" s="5" t="s">
        <v>238</v>
      </c>
      <c r="EN3492" s="5" t="s">
        <v>238</v>
      </c>
      <c r="EO3492" s="5" t="s">
        <v>238</v>
      </c>
      <c r="EP3492" s="5" t="s">
        <v>238</v>
      </c>
      <c r="EQ3492" s="5" t="s">
        <v>238</v>
      </c>
      <c r="ER3492" s="5" t="s">
        <v>238</v>
      </c>
      <c r="ES3492" s="5" t="s">
        <v>238</v>
      </c>
      <c r="ET3492" s="5" t="s">
        <v>238</v>
      </c>
      <c r="EU3492" s="5" t="s">
        <v>238</v>
      </c>
      <c r="EV3492" s="5" t="s">
        <v>238</v>
      </c>
      <c r="EW3492" s="5" t="s">
        <v>238</v>
      </c>
      <c r="EX3492" s="5" t="s">
        <v>238</v>
      </c>
      <c r="EY3492" s="5" t="s">
        <v>238</v>
      </c>
      <c r="EZ3492" s="5" t="s">
        <v>238</v>
      </c>
      <c r="FA3492" s="5" t="s">
        <v>238</v>
      </c>
      <c r="FB3492" s="5" t="s">
        <v>238</v>
      </c>
      <c r="FC3492" s="5" t="s">
        <v>238</v>
      </c>
      <c r="FD3492" s="5" t="s">
        <v>238</v>
      </c>
      <c r="FE3492" s="5" t="s">
        <v>238</v>
      </c>
      <c r="FF3492" s="5" t="s">
        <v>238</v>
      </c>
      <c r="FG3492" s="5" t="s">
        <v>238</v>
      </c>
      <c r="FH3492" s="5" t="s">
        <v>238</v>
      </c>
      <c r="FI3492" s="5" t="s">
        <v>238</v>
      </c>
      <c r="FJ3492" s="5" t="s">
        <v>238</v>
      </c>
      <c r="FK3492" s="5" t="s">
        <v>238</v>
      </c>
      <c r="FL3492" s="5" t="s">
        <v>238</v>
      </c>
      <c r="FM3492" s="5" t="s">
        <v>238</v>
      </c>
      <c r="FN3492" s="5" t="s">
        <v>238</v>
      </c>
      <c r="FO3492" s="5" t="s">
        <v>238</v>
      </c>
      <c r="FP3492" s="5" t="s">
        <v>238</v>
      </c>
      <c r="FQ3492" s="5" t="s">
        <v>238</v>
      </c>
      <c r="FR3492" s="5" t="s">
        <v>238</v>
      </c>
      <c r="FS3492" s="5" t="s">
        <v>238</v>
      </c>
      <c r="FT3492" s="5" t="s">
        <v>238</v>
      </c>
      <c r="FU3492" s="5" t="s">
        <v>238</v>
      </c>
      <c r="FV3492" s="5" t="s">
        <v>238</v>
      </c>
      <c r="FW3492" s="5" t="s">
        <v>238</v>
      </c>
      <c r="FX3492" s="5" t="s">
        <v>238</v>
      </c>
      <c r="FY3492" s="5" t="s">
        <v>238</v>
      </c>
      <c r="FZ3492" s="5" t="s">
        <v>238</v>
      </c>
      <c r="GA3492" s="5" t="s">
        <v>238</v>
      </c>
      <c r="GB3492" s="5" t="s">
        <v>238</v>
      </c>
      <c r="GC3492" s="5" t="s">
        <v>238</v>
      </c>
      <c r="GD3492" s="5" t="s">
        <v>238</v>
      </c>
      <c r="GE3492" s="5" t="s">
        <v>238</v>
      </c>
      <c r="GF3492" s="5" t="s">
        <v>238</v>
      </c>
      <c r="GG3492" s="5" t="s">
        <v>238</v>
      </c>
      <c r="GH3492" s="5" t="s">
        <v>238</v>
      </c>
      <c r="GI3492" s="5" t="s">
        <v>238</v>
      </c>
      <c r="GJ3492" s="5" t="s">
        <v>238</v>
      </c>
      <c r="GK3492" s="5" t="s">
        <v>238</v>
      </c>
      <c r="GL3492" s="5" t="s">
        <v>238</v>
      </c>
      <c r="GM3492" s="5" t="s">
        <v>238</v>
      </c>
      <c r="GN3492" s="5" t="s">
        <v>238</v>
      </c>
      <c r="GO3492" s="5" t="s">
        <v>238</v>
      </c>
      <c r="GP3492" s="5" t="s">
        <v>238</v>
      </c>
      <c r="GQ3492" s="5" t="s">
        <v>238</v>
      </c>
      <c r="GR3492" s="5" t="s">
        <v>238</v>
      </c>
      <c r="GS3492" s="5" t="s">
        <v>238</v>
      </c>
      <c r="GT3492" s="5" t="s">
        <v>238</v>
      </c>
      <c r="GU3492" s="5" t="s">
        <v>238</v>
      </c>
      <c r="GV3492" s="5" t="s">
        <v>238</v>
      </c>
      <c r="GW3492" s="5" t="s">
        <v>238</v>
      </c>
      <c r="GX3492" s="5" t="s">
        <v>238</v>
      </c>
      <c r="GY3492" s="5" t="s">
        <v>238</v>
      </c>
      <c r="GZ3492" s="5" t="s">
        <v>238</v>
      </c>
      <c r="HA3492" s="5" t="s">
        <v>238</v>
      </c>
      <c r="HB3492" s="5" t="s">
        <v>238</v>
      </c>
      <c r="HC3492" s="5" t="s">
        <v>238</v>
      </c>
      <c r="HD3492" s="5" t="s">
        <v>238</v>
      </c>
      <c r="HE3492" s="5" t="s">
        <v>238</v>
      </c>
      <c r="HF3492" s="5" t="s">
        <v>238</v>
      </c>
      <c r="HG3492" s="5" t="s">
        <v>238</v>
      </c>
      <c r="HH3492" s="5" t="s">
        <v>238</v>
      </c>
      <c r="HI3492" s="5" t="s">
        <v>238</v>
      </c>
      <c r="HJ3492" s="5" t="s">
        <v>238</v>
      </c>
      <c r="HK3492" s="5" t="s">
        <v>238</v>
      </c>
      <c r="HL3492" s="5" t="s">
        <v>238</v>
      </c>
      <c r="HM3492" s="5" t="s">
        <v>264</v>
      </c>
      <c r="HN3492" s="5" t="s">
        <v>238</v>
      </c>
      <c r="HO3492" s="5" t="s">
        <v>238</v>
      </c>
      <c r="HP3492" s="5" t="s">
        <v>238</v>
      </c>
      <c r="HQ3492" s="5" t="s">
        <v>238</v>
      </c>
      <c r="HR3492" s="5" t="s">
        <v>238</v>
      </c>
      <c r="HS3492" s="5" t="s">
        <v>238</v>
      </c>
      <c r="HT3492" s="5" t="s">
        <v>238</v>
      </c>
      <c r="HU3492" s="5" t="s">
        <v>238</v>
      </c>
      <c r="HV3492" s="5" t="s">
        <v>238</v>
      </c>
      <c r="HW3492" s="5" t="s">
        <v>238</v>
      </c>
      <c r="HX3492" s="5" t="s">
        <v>238</v>
      </c>
      <c r="HY3492" s="5" t="s">
        <v>238</v>
      </c>
      <c r="HZ3492" s="5" t="s">
        <v>238</v>
      </c>
      <c r="IA3492" s="5" t="s">
        <v>238</v>
      </c>
      <c r="IB3492" s="5" t="s">
        <v>238</v>
      </c>
      <c r="IC3492" s="5" t="s">
        <v>238</v>
      </c>
      <c r="ID3492" s="5" t="s">
        <v>238</v>
      </c>
    </row>
    <row r="3493" spans="1:238" x14ac:dyDescent="0.4">
      <c r="A3493" s="5">
        <v>9211</v>
      </c>
      <c r="B3493" s="5">
        <v>1</v>
      </c>
      <c r="C3493" s="5">
        <v>1</v>
      </c>
      <c r="D3493" s="5" t="s">
        <v>484</v>
      </c>
      <c r="E3493" s="5" t="s">
        <v>485</v>
      </c>
      <c r="F3493" s="5" t="s">
        <v>248</v>
      </c>
      <c r="G3493" s="5" t="s">
        <v>4502</v>
      </c>
      <c r="H3493" s="6" t="s">
        <v>4503</v>
      </c>
      <c r="I3493" s="8">
        <f>1</f>
        <v>1</v>
      </c>
      <c r="J3493" s="5" t="s">
        <v>499</v>
      </c>
      <c r="K3493" s="8">
        <f>1</f>
        <v>1</v>
      </c>
      <c r="L3493" s="6" t="s">
        <v>242</v>
      </c>
      <c r="M3493" s="5" t="s">
        <v>267</v>
      </c>
      <c r="N3493" s="5" t="s">
        <v>482</v>
      </c>
      <c r="O3493" s="5" t="s">
        <v>238</v>
      </c>
      <c r="P3493" s="5" t="s">
        <v>238</v>
      </c>
      <c r="Q3493" s="5" t="s">
        <v>239</v>
      </c>
      <c r="R3493" s="5" t="s">
        <v>270</v>
      </c>
      <c r="S3493" s="5" t="s">
        <v>238</v>
      </c>
      <c r="T3493" s="5" t="s">
        <v>238</v>
      </c>
      <c r="U3493" s="5" t="s">
        <v>238</v>
      </c>
      <c r="V3493" s="5" t="s">
        <v>238</v>
      </c>
      <c r="W3493" s="6" t="s">
        <v>238</v>
      </c>
      <c r="X3493" s="6" t="s">
        <v>238</v>
      </c>
      <c r="Y3493" s="5" t="s">
        <v>238</v>
      </c>
      <c r="Z3493" s="6" t="s">
        <v>238</v>
      </c>
      <c r="AA3493" s="6" t="s">
        <v>243</v>
      </c>
      <c r="AB3493" s="5" t="s">
        <v>486</v>
      </c>
      <c r="AC3493" s="5" t="s">
        <v>244</v>
      </c>
      <c r="AD3493" s="5" t="s">
        <v>245</v>
      </c>
      <c r="AE3493" s="5" t="s">
        <v>238</v>
      </c>
      <c r="AF3493" s="5" t="s">
        <v>238</v>
      </c>
      <c r="AG3493" s="5" t="s">
        <v>238</v>
      </c>
      <c r="AH3493" s="5" t="s">
        <v>238</v>
      </c>
      <c r="AI3493" s="5" t="s">
        <v>238</v>
      </c>
      <c r="AJ3493" s="5" t="s">
        <v>238</v>
      </c>
      <c r="AK3493" s="5" t="s">
        <v>238</v>
      </c>
      <c r="AL3493" s="5" t="s">
        <v>238</v>
      </c>
      <c r="AM3493" s="6" t="s">
        <v>238</v>
      </c>
      <c r="AN3493" s="6" t="s">
        <v>238</v>
      </c>
      <c r="AO3493" s="6" t="s">
        <v>238</v>
      </c>
      <c r="AP3493" s="6" t="s">
        <v>238</v>
      </c>
      <c r="AQ3493" s="5" t="s">
        <v>238</v>
      </c>
      <c r="AR3493" s="5" t="s">
        <v>488</v>
      </c>
      <c r="AS3493" s="5" t="s">
        <v>488</v>
      </c>
      <c r="AT3493" s="5" t="s">
        <v>246</v>
      </c>
      <c r="AU3493" s="5" t="s">
        <v>489</v>
      </c>
      <c r="AV3493" s="5" t="s">
        <v>247</v>
      </c>
      <c r="AW3493" s="5" t="s">
        <v>238</v>
      </c>
      <c r="AX3493" s="5" t="s">
        <v>249</v>
      </c>
      <c r="AY3493" s="5" t="s">
        <v>490</v>
      </c>
      <c r="BA3493" s="5" t="s">
        <v>238</v>
      </c>
      <c r="BC3493" s="5" t="s">
        <v>491</v>
      </c>
      <c r="BD3493" s="6" t="s">
        <v>492</v>
      </c>
      <c r="BE3493" s="5" t="s">
        <v>493</v>
      </c>
      <c r="BF3493" s="5" t="s">
        <v>493</v>
      </c>
      <c r="BG3493" s="5" t="s">
        <v>238</v>
      </c>
      <c r="BH3493" s="8">
        <f>1</f>
        <v>1</v>
      </c>
      <c r="BI3493" s="8">
        <f>1</f>
        <v>1</v>
      </c>
      <c r="BJ3493" s="5" t="s">
        <v>253</v>
      </c>
      <c r="BK3493" s="5" t="s">
        <v>254</v>
      </c>
      <c r="BL3493" s="5" t="s">
        <v>238</v>
      </c>
      <c r="BM3493" s="5" t="s">
        <v>238</v>
      </c>
      <c r="BN3493" s="5" t="s">
        <v>238</v>
      </c>
      <c r="BO3493" s="5" t="s">
        <v>238</v>
      </c>
      <c r="BP3493" s="5" t="s">
        <v>238</v>
      </c>
      <c r="BQ3493" s="5" t="s">
        <v>238</v>
      </c>
      <c r="BR3493" s="5" t="s">
        <v>238</v>
      </c>
      <c r="BS3493" s="5" t="s">
        <v>238</v>
      </c>
      <c r="BT3493" s="6" t="s">
        <v>238</v>
      </c>
      <c r="BU3493" s="5" t="s">
        <v>238</v>
      </c>
      <c r="BV3493" s="5" t="s">
        <v>238</v>
      </c>
      <c r="BW3493" s="5" t="s">
        <v>238</v>
      </c>
      <c r="BX3493" s="5" t="s">
        <v>254</v>
      </c>
      <c r="BY3493" s="5" t="s">
        <v>238</v>
      </c>
      <c r="BZ3493" s="5" t="s">
        <v>238</v>
      </c>
      <c r="CA3493" s="5" t="s">
        <v>238</v>
      </c>
      <c r="CB3493" s="5" t="s">
        <v>238</v>
      </c>
      <c r="CC3493" s="5" t="s">
        <v>238</v>
      </c>
      <c r="CD3493" s="5" t="s">
        <v>273</v>
      </c>
      <c r="CE3493" s="5" t="s">
        <v>256</v>
      </c>
      <c r="CF3493" s="5" t="s">
        <v>238</v>
      </c>
      <c r="CH3493" s="5" t="s">
        <v>494</v>
      </c>
      <c r="CI3493" s="6" t="s">
        <v>257</v>
      </c>
      <c r="CJ3493" s="5" t="s">
        <v>495</v>
      </c>
      <c r="CK3493" s="5" t="s">
        <v>258</v>
      </c>
      <c r="CL3493" s="5" t="s">
        <v>496</v>
      </c>
      <c r="CM3493" s="5" t="s">
        <v>238</v>
      </c>
      <c r="CN3493" s="5">
        <v>0</v>
      </c>
      <c r="CO3493" s="5" t="s">
        <v>497</v>
      </c>
      <c r="CP3493" s="5" t="s">
        <v>260</v>
      </c>
      <c r="CQ3493" s="5" t="s">
        <v>260</v>
      </c>
      <c r="CR3493" s="5" t="s">
        <v>261</v>
      </c>
      <c r="CS3493" s="5" t="s">
        <v>498</v>
      </c>
      <c r="CT3493" s="7">
        <f>1</f>
        <v>1</v>
      </c>
      <c r="CU3493" s="8">
        <f>1</f>
        <v>1</v>
      </c>
      <c r="CV3493" s="8">
        <f>0</f>
        <v>0</v>
      </c>
      <c r="CX3493" s="8">
        <f>1</f>
        <v>1</v>
      </c>
      <c r="CY3493" s="8">
        <f>1</f>
        <v>1</v>
      </c>
      <c r="CZ3493" s="8" t="s">
        <v>238</v>
      </c>
      <c r="DA3493" s="5" t="s">
        <v>238</v>
      </c>
      <c r="DB3493" s="5" t="s">
        <v>238</v>
      </c>
      <c r="DC3493" s="5" t="s">
        <v>238</v>
      </c>
      <c r="DD3493" s="5" t="s">
        <v>238</v>
      </c>
      <c r="DE3493" s="8">
        <f>0</f>
        <v>0</v>
      </c>
      <c r="DG3493" s="5" t="s">
        <v>238</v>
      </c>
      <c r="DH3493" s="5" t="s">
        <v>238</v>
      </c>
      <c r="DI3493" s="5" t="s">
        <v>238</v>
      </c>
      <c r="DJ3493" s="5" t="s">
        <v>238</v>
      </c>
      <c r="DK3493" s="5" t="s">
        <v>238</v>
      </c>
      <c r="DL3493" s="5" t="s">
        <v>238</v>
      </c>
      <c r="DM3493" s="8" t="s">
        <v>238</v>
      </c>
      <c r="DN3493" s="5" t="s">
        <v>238</v>
      </c>
      <c r="DO3493" s="5" t="s">
        <v>238</v>
      </c>
      <c r="DP3493" s="5" t="s">
        <v>490</v>
      </c>
      <c r="DQ3493" s="5" t="s">
        <v>490</v>
      </c>
      <c r="DR3493" s="5" t="s">
        <v>238</v>
      </c>
      <c r="DS3493" s="5" t="s">
        <v>238</v>
      </c>
      <c r="DT3493" s="5" t="s">
        <v>500</v>
      </c>
      <c r="DU3493" s="5" t="s">
        <v>1202</v>
      </c>
      <c r="DV3493" s="5" t="s">
        <v>238</v>
      </c>
      <c r="DW3493" s="5" t="s">
        <v>238</v>
      </c>
      <c r="DX3493" s="5" t="s">
        <v>238</v>
      </c>
      <c r="DY3493" s="5" t="s">
        <v>238</v>
      </c>
      <c r="DZ3493" s="5" t="s">
        <v>238</v>
      </c>
      <c r="EA3493" s="5" t="s">
        <v>238</v>
      </c>
      <c r="EB3493" s="5" t="s">
        <v>238</v>
      </c>
      <c r="EC3493" s="5" t="s">
        <v>238</v>
      </c>
      <c r="ED3493" s="5" t="s">
        <v>238</v>
      </c>
      <c r="EE3493" s="5" t="s">
        <v>238</v>
      </c>
      <c r="EF3493" s="5" t="s">
        <v>238</v>
      </c>
      <c r="EG3493" s="5" t="s">
        <v>238</v>
      </c>
      <c r="EH3493" s="5" t="s">
        <v>238</v>
      </c>
      <c r="EI3493" s="5" t="s">
        <v>238</v>
      </c>
      <c r="EJ3493" s="5" t="s">
        <v>238</v>
      </c>
      <c r="EK3493" s="5" t="s">
        <v>238</v>
      </c>
      <c r="EL3493" s="5" t="s">
        <v>238</v>
      </c>
      <c r="EM3493" s="5" t="s">
        <v>238</v>
      </c>
      <c r="EN3493" s="5" t="s">
        <v>238</v>
      </c>
      <c r="EO3493" s="5" t="s">
        <v>238</v>
      </c>
      <c r="EP3493" s="5" t="s">
        <v>238</v>
      </c>
      <c r="EQ3493" s="5" t="s">
        <v>238</v>
      </c>
      <c r="ER3493" s="5" t="s">
        <v>238</v>
      </c>
      <c r="ES3493" s="5" t="s">
        <v>238</v>
      </c>
      <c r="ET3493" s="5" t="s">
        <v>238</v>
      </c>
      <c r="EU3493" s="5" t="s">
        <v>238</v>
      </c>
      <c r="EV3493" s="5" t="s">
        <v>238</v>
      </c>
      <c r="EW3493" s="5" t="s">
        <v>238</v>
      </c>
      <c r="EX3493" s="5" t="s">
        <v>238</v>
      </c>
      <c r="EY3493" s="5" t="s">
        <v>238</v>
      </c>
      <c r="EZ3493" s="5" t="s">
        <v>238</v>
      </c>
      <c r="FA3493" s="5" t="s">
        <v>238</v>
      </c>
      <c r="FB3493" s="5" t="s">
        <v>238</v>
      </c>
      <c r="FC3493" s="5" t="s">
        <v>238</v>
      </c>
      <c r="FD3493" s="5" t="s">
        <v>238</v>
      </c>
      <c r="FE3493" s="5" t="s">
        <v>238</v>
      </c>
      <c r="FF3493" s="5" t="s">
        <v>238</v>
      </c>
      <c r="FG3493" s="5" t="s">
        <v>238</v>
      </c>
      <c r="FH3493" s="5" t="s">
        <v>238</v>
      </c>
      <c r="FI3493" s="5" t="s">
        <v>238</v>
      </c>
      <c r="FJ3493" s="5" t="s">
        <v>238</v>
      </c>
      <c r="FK3493" s="5" t="s">
        <v>238</v>
      </c>
      <c r="FL3493" s="5" t="s">
        <v>238</v>
      </c>
      <c r="FM3493" s="5" t="s">
        <v>238</v>
      </c>
      <c r="FN3493" s="5" t="s">
        <v>238</v>
      </c>
      <c r="FO3493" s="5" t="s">
        <v>238</v>
      </c>
      <c r="FP3493" s="5" t="s">
        <v>238</v>
      </c>
      <c r="FQ3493" s="5" t="s">
        <v>238</v>
      </c>
      <c r="FR3493" s="5" t="s">
        <v>238</v>
      </c>
      <c r="FS3493" s="5" t="s">
        <v>238</v>
      </c>
      <c r="FT3493" s="5" t="s">
        <v>238</v>
      </c>
      <c r="FU3493" s="5" t="s">
        <v>238</v>
      </c>
      <c r="FV3493" s="5" t="s">
        <v>238</v>
      </c>
      <c r="FW3493" s="5" t="s">
        <v>238</v>
      </c>
      <c r="FX3493" s="5" t="s">
        <v>238</v>
      </c>
      <c r="FY3493" s="5" t="s">
        <v>238</v>
      </c>
      <c r="FZ3493" s="5" t="s">
        <v>238</v>
      </c>
      <c r="GA3493" s="5" t="s">
        <v>238</v>
      </c>
      <c r="GB3493" s="5" t="s">
        <v>238</v>
      </c>
      <c r="GC3493" s="5" t="s">
        <v>238</v>
      </c>
      <c r="GD3493" s="5" t="s">
        <v>238</v>
      </c>
      <c r="GE3493" s="5" t="s">
        <v>238</v>
      </c>
      <c r="GF3493" s="5" t="s">
        <v>238</v>
      </c>
      <c r="GG3493" s="5" t="s">
        <v>238</v>
      </c>
      <c r="GH3493" s="5" t="s">
        <v>238</v>
      </c>
      <c r="GI3493" s="5" t="s">
        <v>238</v>
      </c>
      <c r="GJ3493" s="5" t="s">
        <v>238</v>
      </c>
      <c r="GK3493" s="5" t="s">
        <v>238</v>
      </c>
      <c r="GL3493" s="5" t="s">
        <v>238</v>
      </c>
      <c r="GM3493" s="5" t="s">
        <v>238</v>
      </c>
      <c r="GN3493" s="5" t="s">
        <v>238</v>
      </c>
      <c r="GO3493" s="5" t="s">
        <v>238</v>
      </c>
      <c r="GP3493" s="5" t="s">
        <v>238</v>
      </c>
      <c r="GQ3493" s="5" t="s">
        <v>238</v>
      </c>
      <c r="GR3493" s="5" t="s">
        <v>238</v>
      </c>
      <c r="GS3493" s="5" t="s">
        <v>238</v>
      </c>
      <c r="GT3493" s="5" t="s">
        <v>238</v>
      </c>
      <c r="GU3493" s="5" t="s">
        <v>238</v>
      </c>
      <c r="GV3493" s="5" t="s">
        <v>238</v>
      </c>
      <c r="GW3493" s="5" t="s">
        <v>238</v>
      </c>
      <c r="GX3493" s="5" t="s">
        <v>238</v>
      </c>
      <c r="GY3493" s="5" t="s">
        <v>238</v>
      </c>
      <c r="GZ3493" s="5" t="s">
        <v>238</v>
      </c>
      <c r="HA3493" s="5" t="s">
        <v>238</v>
      </c>
      <c r="HB3493" s="5" t="s">
        <v>238</v>
      </c>
      <c r="HC3493" s="5" t="s">
        <v>238</v>
      </c>
      <c r="HD3493" s="5" t="s">
        <v>238</v>
      </c>
      <c r="HE3493" s="5" t="s">
        <v>238</v>
      </c>
      <c r="HF3493" s="5" t="s">
        <v>238</v>
      </c>
      <c r="HG3493" s="5" t="s">
        <v>238</v>
      </c>
      <c r="HH3493" s="5" t="s">
        <v>238</v>
      </c>
      <c r="HI3493" s="5" t="s">
        <v>238</v>
      </c>
      <c r="HJ3493" s="5" t="s">
        <v>238</v>
      </c>
      <c r="HK3493" s="5" t="s">
        <v>238</v>
      </c>
      <c r="HL3493" s="5" t="s">
        <v>238</v>
      </c>
      <c r="HM3493" s="5" t="s">
        <v>264</v>
      </c>
      <c r="HN3493" s="5" t="s">
        <v>238</v>
      </c>
      <c r="HO3493" s="5" t="s">
        <v>238</v>
      </c>
      <c r="HP3493" s="5" t="s">
        <v>238</v>
      </c>
      <c r="HQ3493" s="5" t="s">
        <v>238</v>
      </c>
      <c r="HR3493" s="5" t="s">
        <v>238</v>
      </c>
      <c r="HS3493" s="5" t="s">
        <v>238</v>
      </c>
      <c r="HT3493" s="5" t="s">
        <v>238</v>
      </c>
      <c r="HU3493" s="5" t="s">
        <v>238</v>
      </c>
      <c r="HV3493" s="5" t="s">
        <v>238</v>
      </c>
      <c r="HW3493" s="5" t="s">
        <v>238</v>
      </c>
      <c r="HX3493" s="5" t="s">
        <v>238</v>
      </c>
      <c r="HY3493" s="5" t="s">
        <v>238</v>
      </c>
      <c r="HZ3493" s="5" t="s">
        <v>238</v>
      </c>
      <c r="IA3493" s="5" t="s">
        <v>238</v>
      </c>
      <c r="IB3493" s="5" t="s">
        <v>238</v>
      </c>
      <c r="IC3493" s="5" t="s">
        <v>238</v>
      </c>
      <c r="ID3493" s="5" t="s">
        <v>238</v>
      </c>
    </row>
    <row r="3494" spans="1:238" x14ac:dyDescent="0.4">
      <c r="A3494" s="5">
        <v>9212</v>
      </c>
      <c r="B3494" s="5">
        <v>1</v>
      </c>
      <c r="C3494" s="5">
        <v>1</v>
      </c>
      <c r="D3494" s="5" t="s">
        <v>484</v>
      </c>
      <c r="E3494" s="5" t="s">
        <v>485</v>
      </c>
      <c r="F3494" s="5" t="s">
        <v>248</v>
      </c>
      <c r="G3494" s="5" t="s">
        <v>4521</v>
      </c>
      <c r="H3494" s="6" t="s">
        <v>4523</v>
      </c>
      <c r="I3494" s="8">
        <f>1</f>
        <v>1</v>
      </c>
      <c r="J3494" s="5" t="s">
        <v>499</v>
      </c>
      <c r="K3494" s="8">
        <f>1</f>
        <v>1</v>
      </c>
      <c r="L3494" s="6" t="s">
        <v>242</v>
      </c>
      <c r="M3494" s="5" t="s">
        <v>267</v>
      </c>
      <c r="N3494" s="5" t="s">
        <v>482</v>
      </c>
      <c r="O3494" s="5" t="s">
        <v>238</v>
      </c>
      <c r="P3494" s="5" t="s">
        <v>238</v>
      </c>
      <c r="Q3494" s="5" t="s">
        <v>239</v>
      </c>
      <c r="R3494" s="5" t="s">
        <v>270</v>
      </c>
      <c r="S3494" s="5" t="s">
        <v>238</v>
      </c>
      <c r="T3494" s="5" t="s">
        <v>238</v>
      </c>
      <c r="U3494" s="5" t="s">
        <v>238</v>
      </c>
      <c r="V3494" s="5" t="s">
        <v>238</v>
      </c>
      <c r="W3494" s="6" t="s">
        <v>238</v>
      </c>
      <c r="X3494" s="6" t="s">
        <v>238</v>
      </c>
      <c r="Y3494" s="5" t="s">
        <v>238</v>
      </c>
      <c r="Z3494" s="6" t="s">
        <v>238</v>
      </c>
      <c r="AA3494" s="6" t="s">
        <v>243</v>
      </c>
      <c r="AB3494" s="5" t="s">
        <v>4522</v>
      </c>
      <c r="AC3494" s="5" t="s">
        <v>244</v>
      </c>
      <c r="AD3494" s="5" t="s">
        <v>245</v>
      </c>
      <c r="AE3494" s="5" t="s">
        <v>238</v>
      </c>
      <c r="AF3494" s="5" t="s">
        <v>238</v>
      </c>
      <c r="AG3494" s="5" t="s">
        <v>238</v>
      </c>
      <c r="AH3494" s="5" t="s">
        <v>238</v>
      </c>
      <c r="AI3494" s="5" t="s">
        <v>238</v>
      </c>
      <c r="AJ3494" s="5" t="s">
        <v>238</v>
      </c>
      <c r="AK3494" s="5" t="s">
        <v>238</v>
      </c>
      <c r="AL3494" s="5" t="s">
        <v>238</v>
      </c>
      <c r="AM3494" s="6" t="s">
        <v>238</v>
      </c>
      <c r="AN3494" s="6" t="s">
        <v>238</v>
      </c>
      <c r="AO3494" s="6" t="s">
        <v>238</v>
      </c>
      <c r="AP3494" s="6" t="s">
        <v>238</v>
      </c>
      <c r="AQ3494" s="5" t="s">
        <v>238</v>
      </c>
      <c r="AR3494" s="5" t="s">
        <v>488</v>
      </c>
      <c r="AS3494" s="5" t="s">
        <v>488</v>
      </c>
      <c r="AT3494" s="5" t="s">
        <v>246</v>
      </c>
      <c r="AU3494" s="5" t="s">
        <v>489</v>
      </c>
      <c r="AV3494" s="5" t="s">
        <v>247</v>
      </c>
      <c r="AW3494" s="5" t="s">
        <v>238</v>
      </c>
      <c r="AX3494" s="5" t="s">
        <v>249</v>
      </c>
      <c r="AY3494" s="5" t="s">
        <v>490</v>
      </c>
      <c r="BA3494" s="5" t="s">
        <v>238</v>
      </c>
      <c r="BC3494" s="5" t="s">
        <v>491</v>
      </c>
      <c r="BD3494" s="6" t="s">
        <v>492</v>
      </c>
      <c r="BE3494" s="5" t="s">
        <v>493</v>
      </c>
      <c r="BF3494" s="5" t="s">
        <v>493</v>
      </c>
      <c r="BG3494" s="5" t="s">
        <v>238</v>
      </c>
      <c r="BH3494" s="8">
        <f>1</f>
        <v>1</v>
      </c>
      <c r="BI3494" s="8">
        <f>1</f>
        <v>1</v>
      </c>
      <c r="BJ3494" s="5" t="s">
        <v>253</v>
      </c>
      <c r="BK3494" s="5" t="s">
        <v>254</v>
      </c>
      <c r="BL3494" s="5" t="s">
        <v>238</v>
      </c>
      <c r="BM3494" s="5" t="s">
        <v>238</v>
      </c>
      <c r="BN3494" s="5" t="s">
        <v>238</v>
      </c>
      <c r="BO3494" s="5" t="s">
        <v>238</v>
      </c>
      <c r="BP3494" s="5" t="s">
        <v>238</v>
      </c>
      <c r="BQ3494" s="5" t="s">
        <v>238</v>
      </c>
      <c r="BR3494" s="5" t="s">
        <v>238</v>
      </c>
      <c r="BS3494" s="5" t="s">
        <v>238</v>
      </c>
      <c r="BT3494" s="6" t="s">
        <v>238</v>
      </c>
      <c r="BU3494" s="5" t="s">
        <v>238</v>
      </c>
      <c r="BV3494" s="5" t="s">
        <v>238</v>
      </c>
      <c r="BW3494" s="5" t="s">
        <v>238</v>
      </c>
      <c r="BX3494" s="5" t="s">
        <v>254</v>
      </c>
      <c r="BY3494" s="5" t="s">
        <v>238</v>
      </c>
      <c r="BZ3494" s="5" t="s">
        <v>238</v>
      </c>
      <c r="CA3494" s="5" t="s">
        <v>238</v>
      </c>
      <c r="CB3494" s="5" t="s">
        <v>238</v>
      </c>
      <c r="CC3494" s="5" t="s">
        <v>238</v>
      </c>
      <c r="CD3494" s="5" t="s">
        <v>273</v>
      </c>
      <c r="CE3494" s="5" t="s">
        <v>256</v>
      </c>
      <c r="CF3494" s="5" t="s">
        <v>238</v>
      </c>
      <c r="CH3494" s="5" t="s">
        <v>494</v>
      </c>
      <c r="CI3494" s="6" t="s">
        <v>257</v>
      </c>
      <c r="CJ3494" s="5" t="s">
        <v>495</v>
      </c>
      <c r="CK3494" s="5" t="s">
        <v>258</v>
      </c>
      <c r="CL3494" s="5" t="s">
        <v>496</v>
      </c>
      <c r="CM3494" s="5" t="s">
        <v>238</v>
      </c>
      <c r="CN3494" s="5">
        <v>0</v>
      </c>
      <c r="CO3494" s="5" t="s">
        <v>497</v>
      </c>
      <c r="CP3494" s="5" t="s">
        <v>260</v>
      </c>
      <c r="CQ3494" s="5" t="s">
        <v>260</v>
      </c>
      <c r="CR3494" s="5" t="s">
        <v>261</v>
      </c>
      <c r="CS3494" s="5" t="s">
        <v>498</v>
      </c>
      <c r="CT3494" s="7">
        <f>1</f>
        <v>1</v>
      </c>
      <c r="CU3494" s="8">
        <f>1</f>
        <v>1</v>
      </c>
      <c r="CV3494" s="8">
        <f>0</f>
        <v>0</v>
      </c>
      <c r="CX3494" s="8">
        <f>1</f>
        <v>1</v>
      </c>
      <c r="CY3494" s="8">
        <f>1</f>
        <v>1</v>
      </c>
      <c r="CZ3494" s="8" t="s">
        <v>238</v>
      </c>
      <c r="DA3494" s="5" t="s">
        <v>238</v>
      </c>
      <c r="DB3494" s="5" t="s">
        <v>238</v>
      </c>
      <c r="DC3494" s="5" t="s">
        <v>238</v>
      </c>
      <c r="DD3494" s="5" t="s">
        <v>238</v>
      </c>
      <c r="DE3494" s="8">
        <f>0</f>
        <v>0</v>
      </c>
      <c r="DG3494" s="5" t="s">
        <v>238</v>
      </c>
      <c r="DH3494" s="5" t="s">
        <v>238</v>
      </c>
      <c r="DI3494" s="5" t="s">
        <v>238</v>
      </c>
      <c r="DJ3494" s="5" t="s">
        <v>238</v>
      </c>
      <c r="DK3494" s="5" t="s">
        <v>238</v>
      </c>
      <c r="DL3494" s="5" t="s">
        <v>238</v>
      </c>
      <c r="DM3494" s="8" t="s">
        <v>238</v>
      </c>
      <c r="DN3494" s="5" t="s">
        <v>238</v>
      </c>
      <c r="DO3494" s="5" t="s">
        <v>238</v>
      </c>
      <c r="DP3494" s="5" t="s">
        <v>490</v>
      </c>
      <c r="DQ3494" s="5" t="s">
        <v>490</v>
      </c>
      <c r="DR3494" s="5" t="s">
        <v>238</v>
      </c>
      <c r="DS3494" s="5" t="s">
        <v>238</v>
      </c>
      <c r="DT3494" s="5" t="s">
        <v>500</v>
      </c>
      <c r="DU3494" s="5" t="s">
        <v>392</v>
      </c>
      <c r="DV3494" s="5" t="s">
        <v>238</v>
      </c>
      <c r="DW3494" s="5" t="s">
        <v>238</v>
      </c>
      <c r="DX3494" s="5" t="s">
        <v>238</v>
      </c>
      <c r="DY3494" s="5" t="s">
        <v>238</v>
      </c>
      <c r="DZ3494" s="5" t="s">
        <v>238</v>
      </c>
      <c r="EA3494" s="5" t="s">
        <v>238</v>
      </c>
      <c r="EB3494" s="5" t="s">
        <v>238</v>
      </c>
      <c r="EC3494" s="5" t="s">
        <v>238</v>
      </c>
      <c r="ED3494" s="5" t="s">
        <v>238</v>
      </c>
      <c r="EE3494" s="5" t="s">
        <v>238</v>
      </c>
      <c r="EF3494" s="5" t="s">
        <v>238</v>
      </c>
      <c r="EG3494" s="5" t="s">
        <v>238</v>
      </c>
      <c r="EH3494" s="5" t="s">
        <v>238</v>
      </c>
      <c r="EI3494" s="5" t="s">
        <v>238</v>
      </c>
      <c r="EJ3494" s="5" t="s">
        <v>238</v>
      </c>
      <c r="EK3494" s="5" t="s">
        <v>238</v>
      </c>
      <c r="EL3494" s="5" t="s">
        <v>238</v>
      </c>
      <c r="EM3494" s="5" t="s">
        <v>238</v>
      </c>
      <c r="EN3494" s="5" t="s">
        <v>238</v>
      </c>
      <c r="EO3494" s="5" t="s">
        <v>238</v>
      </c>
      <c r="EP3494" s="5" t="s">
        <v>238</v>
      </c>
      <c r="EQ3494" s="5" t="s">
        <v>238</v>
      </c>
      <c r="ER3494" s="5" t="s">
        <v>238</v>
      </c>
      <c r="ES3494" s="5" t="s">
        <v>238</v>
      </c>
      <c r="ET3494" s="5" t="s">
        <v>238</v>
      </c>
      <c r="EU3494" s="5" t="s">
        <v>238</v>
      </c>
      <c r="EV3494" s="5" t="s">
        <v>238</v>
      </c>
      <c r="EW3494" s="5" t="s">
        <v>238</v>
      </c>
      <c r="EX3494" s="5" t="s">
        <v>238</v>
      </c>
      <c r="EY3494" s="5" t="s">
        <v>238</v>
      </c>
      <c r="EZ3494" s="5" t="s">
        <v>238</v>
      </c>
      <c r="FA3494" s="5" t="s">
        <v>238</v>
      </c>
      <c r="FB3494" s="5" t="s">
        <v>238</v>
      </c>
      <c r="FC3494" s="5" t="s">
        <v>238</v>
      </c>
      <c r="FD3494" s="5" t="s">
        <v>238</v>
      </c>
      <c r="FE3494" s="5" t="s">
        <v>238</v>
      </c>
      <c r="FF3494" s="5" t="s">
        <v>238</v>
      </c>
      <c r="FG3494" s="5" t="s">
        <v>238</v>
      </c>
      <c r="FH3494" s="5" t="s">
        <v>238</v>
      </c>
      <c r="FI3494" s="5" t="s">
        <v>238</v>
      </c>
      <c r="FJ3494" s="5" t="s">
        <v>238</v>
      </c>
      <c r="FK3494" s="5" t="s">
        <v>238</v>
      </c>
      <c r="FL3494" s="5" t="s">
        <v>238</v>
      </c>
      <c r="FM3494" s="5" t="s">
        <v>238</v>
      </c>
      <c r="FN3494" s="5" t="s">
        <v>238</v>
      </c>
      <c r="FO3494" s="5" t="s">
        <v>238</v>
      </c>
      <c r="FP3494" s="5" t="s">
        <v>238</v>
      </c>
      <c r="FQ3494" s="5" t="s">
        <v>238</v>
      </c>
      <c r="FR3494" s="5" t="s">
        <v>238</v>
      </c>
      <c r="FS3494" s="5" t="s">
        <v>238</v>
      </c>
      <c r="FT3494" s="5" t="s">
        <v>238</v>
      </c>
      <c r="FU3494" s="5" t="s">
        <v>238</v>
      </c>
      <c r="FV3494" s="5" t="s">
        <v>238</v>
      </c>
      <c r="FW3494" s="5" t="s">
        <v>238</v>
      </c>
      <c r="FX3494" s="5" t="s">
        <v>238</v>
      </c>
      <c r="FY3494" s="5" t="s">
        <v>238</v>
      </c>
      <c r="FZ3494" s="5" t="s">
        <v>238</v>
      </c>
      <c r="GA3494" s="5" t="s">
        <v>238</v>
      </c>
      <c r="GB3494" s="5" t="s">
        <v>238</v>
      </c>
      <c r="GC3494" s="5" t="s">
        <v>238</v>
      </c>
      <c r="GD3494" s="5" t="s">
        <v>238</v>
      </c>
      <c r="GE3494" s="5" t="s">
        <v>238</v>
      </c>
      <c r="GF3494" s="5" t="s">
        <v>238</v>
      </c>
      <c r="GG3494" s="5" t="s">
        <v>238</v>
      </c>
      <c r="GH3494" s="5" t="s">
        <v>238</v>
      </c>
      <c r="GI3494" s="5" t="s">
        <v>238</v>
      </c>
      <c r="GJ3494" s="5" t="s">
        <v>238</v>
      </c>
      <c r="GK3494" s="5" t="s">
        <v>238</v>
      </c>
      <c r="GL3494" s="5" t="s">
        <v>238</v>
      </c>
      <c r="GM3494" s="5" t="s">
        <v>238</v>
      </c>
      <c r="GN3494" s="5" t="s">
        <v>238</v>
      </c>
      <c r="GO3494" s="5" t="s">
        <v>238</v>
      </c>
      <c r="GP3494" s="5" t="s">
        <v>238</v>
      </c>
      <c r="GQ3494" s="5" t="s">
        <v>238</v>
      </c>
      <c r="GR3494" s="5" t="s">
        <v>238</v>
      </c>
      <c r="GS3494" s="5" t="s">
        <v>238</v>
      </c>
      <c r="GT3494" s="5" t="s">
        <v>238</v>
      </c>
      <c r="GU3494" s="5" t="s">
        <v>238</v>
      </c>
      <c r="GV3494" s="5" t="s">
        <v>238</v>
      </c>
      <c r="GW3494" s="5" t="s">
        <v>238</v>
      </c>
      <c r="GX3494" s="5" t="s">
        <v>238</v>
      </c>
      <c r="GY3494" s="5" t="s">
        <v>238</v>
      </c>
      <c r="GZ3494" s="5" t="s">
        <v>238</v>
      </c>
      <c r="HA3494" s="5" t="s">
        <v>238</v>
      </c>
      <c r="HB3494" s="5" t="s">
        <v>238</v>
      </c>
      <c r="HC3494" s="5" t="s">
        <v>238</v>
      </c>
      <c r="HD3494" s="5" t="s">
        <v>238</v>
      </c>
      <c r="HE3494" s="5" t="s">
        <v>238</v>
      </c>
      <c r="HF3494" s="5" t="s">
        <v>238</v>
      </c>
      <c r="HG3494" s="5" t="s">
        <v>238</v>
      </c>
      <c r="HH3494" s="5" t="s">
        <v>238</v>
      </c>
      <c r="HI3494" s="5" t="s">
        <v>238</v>
      </c>
      <c r="HJ3494" s="5" t="s">
        <v>238</v>
      </c>
      <c r="HK3494" s="5" t="s">
        <v>238</v>
      </c>
      <c r="HL3494" s="5" t="s">
        <v>238</v>
      </c>
      <c r="HM3494" s="5" t="s">
        <v>264</v>
      </c>
      <c r="HN3494" s="5" t="s">
        <v>238</v>
      </c>
      <c r="HO3494" s="5" t="s">
        <v>238</v>
      </c>
      <c r="HP3494" s="5" t="s">
        <v>238</v>
      </c>
      <c r="HQ3494" s="5" t="s">
        <v>238</v>
      </c>
      <c r="HR3494" s="5" t="s">
        <v>238</v>
      </c>
      <c r="HS3494" s="5" t="s">
        <v>238</v>
      </c>
      <c r="HT3494" s="5" t="s">
        <v>238</v>
      </c>
      <c r="HU3494" s="5" t="s">
        <v>238</v>
      </c>
      <c r="HV3494" s="5" t="s">
        <v>238</v>
      </c>
      <c r="HW3494" s="5" t="s">
        <v>238</v>
      </c>
      <c r="HX3494" s="5" t="s">
        <v>238</v>
      </c>
      <c r="HY3494" s="5" t="s">
        <v>238</v>
      </c>
      <c r="HZ3494" s="5" t="s">
        <v>238</v>
      </c>
      <c r="IA3494" s="5" t="s">
        <v>238</v>
      </c>
      <c r="IB3494" s="5" t="s">
        <v>238</v>
      </c>
      <c r="IC3494" s="5" t="s">
        <v>238</v>
      </c>
      <c r="ID3494" s="5" t="s">
        <v>238</v>
      </c>
    </row>
    <row r="3495" spans="1:238" x14ac:dyDescent="0.4">
      <c r="A3495" s="5">
        <v>9213</v>
      </c>
      <c r="B3495" s="5">
        <v>1</v>
      </c>
      <c r="C3495" s="5">
        <v>1</v>
      </c>
      <c r="D3495" s="5" t="s">
        <v>484</v>
      </c>
      <c r="E3495" s="5" t="s">
        <v>485</v>
      </c>
      <c r="F3495" s="5" t="s">
        <v>248</v>
      </c>
      <c r="G3495" s="5" t="s">
        <v>4648</v>
      </c>
      <c r="H3495" s="6" t="s">
        <v>4649</v>
      </c>
      <c r="I3495" s="8">
        <f>1</f>
        <v>1</v>
      </c>
      <c r="J3495" s="5" t="s">
        <v>499</v>
      </c>
      <c r="K3495" s="8">
        <f>1</f>
        <v>1</v>
      </c>
      <c r="L3495" s="6" t="s">
        <v>242</v>
      </c>
      <c r="M3495" s="5" t="s">
        <v>267</v>
      </c>
      <c r="N3495" s="5" t="s">
        <v>482</v>
      </c>
      <c r="O3495" s="5" t="s">
        <v>238</v>
      </c>
      <c r="P3495" s="5" t="s">
        <v>238</v>
      </c>
      <c r="Q3495" s="5" t="s">
        <v>239</v>
      </c>
      <c r="R3495" s="5" t="s">
        <v>270</v>
      </c>
      <c r="S3495" s="5" t="s">
        <v>238</v>
      </c>
      <c r="T3495" s="5" t="s">
        <v>238</v>
      </c>
      <c r="U3495" s="5" t="s">
        <v>238</v>
      </c>
      <c r="V3495" s="5" t="s">
        <v>238</v>
      </c>
      <c r="W3495" s="6" t="s">
        <v>238</v>
      </c>
      <c r="X3495" s="6" t="s">
        <v>238</v>
      </c>
      <c r="Y3495" s="5" t="s">
        <v>238</v>
      </c>
      <c r="Z3495" s="6" t="s">
        <v>238</v>
      </c>
      <c r="AA3495" s="6" t="s">
        <v>243</v>
      </c>
      <c r="AB3495" s="5" t="s">
        <v>486</v>
      </c>
      <c r="AC3495" s="5" t="s">
        <v>244</v>
      </c>
      <c r="AD3495" s="5" t="s">
        <v>245</v>
      </c>
      <c r="AE3495" s="5" t="s">
        <v>238</v>
      </c>
      <c r="AF3495" s="5" t="s">
        <v>238</v>
      </c>
      <c r="AG3495" s="5" t="s">
        <v>238</v>
      </c>
      <c r="AH3495" s="5" t="s">
        <v>238</v>
      </c>
      <c r="AI3495" s="5" t="s">
        <v>238</v>
      </c>
      <c r="AJ3495" s="5" t="s">
        <v>238</v>
      </c>
      <c r="AK3495" s="5" t="s">
        <v>238</v>
      </c>
      <c r="AL3495" s="5" t="s">
        <v>238</v>
      </c>
      <c r="AM3495" s="6" t="s">
        <v>238</v>
      </c>
      <c r="AN3495" s="6" t="s">
        <v>238</v>
      </c>
      <c r="AO3495" s="6" t="s">
        <v>238</v>
      </c>
      <c r="AP3495" s="6" t="s">
        <v>238</v>
      </c>
      <c r="AQ3495" s="5" t="s">
        <v>238</v>
      </c>
      <c r="AR3495" s="5" t="s">
        <v>488</v>
      </c>
      <c r="AS3495" s="5" t="s">
        <v>488</v>
      </c>
      <c r="AT3495" s="5" t="s">
        <v>246</v>
      </c>
      <c r="AU3495" s="5" t="s">
        <v>489</v>
      </c>
      <c r="AV3495" s="5" t="s">
        <v>247</v>
      </c>
      <c r="AW3495" s="5" t="s">
        <v>238</v>
      </c>
      <c r="AX3495" s="5" t="s">
        <v>249</v>
      </c>
      <c r="AY3495" s="5" t="s">
        <v>490</v>
      </c>
      <c r="BA3495" s="5" t="s">
        <v>238</v>
      </c>
      <c r="BC3495" s="5" t="s">
        <v>491</v>
      </c>
      <c r="BD3495" s="6" t="s">
        <v>492</v>
      </c>
      <c r="BE3495" s="5" t="s">
        <v>493</v>
      </c>
      <c r="BF3495" s="5" t="s">
        <v>493</v>
      </c>
      <c r="BG3495" s="5" t="s">
        <v>238</v>
      </c>
      <c r="BH3495" s="8">
        <f>1</f>
        <v>1</v>
      </c>
      <c r="BI3495" s="8">
        <f>1</f>
        <v>1</v>
      </c>
      <c r="BJ3495" s="5" t="s">
        <v>253</v>
      </c>
      <c r="BK3495" s="5" t="s">
        <v>254</v>
      </c>
      <c r="BL3495" s="5" t="s">
        <v>238</v>
      </c>
      <c r="BM3495" s="5" t="s">
        <v>238</v>
      </c>
      <c r="BN3495" s="5" t="s">
        <v>238</v>
      </c>
      <c r="BO3495" s="5" t="s">
        <v>238</v>
      </c>
      <c r="BP3495" s="5" t="s">
        <v>238</v>
      </c>
      <c r="BQ3495" s="5" t="s">
        <v>238</v>
      </c>
      <c r="BR3495" s="5" t="s">
        <v>238</v>
      </c>
      <c r="BS3495" s="5" t="s">
        <v>238</v>
      </c>
      <c r="BT3495" s="6" t="s">
        <v>238</v>
      </c>
      <c r="BU3495" s="5" t="s">
        <v>238</v>
      </c>
      <c r="BV3495" s="5" t="s">
        <v>238</v>
      </c>
      <c r="BW3495" s="5" t="s">
        <v>238</v>
      </c>
      <c r="BX3495" s="5" t="s">
        <v>254</v>
      </c>
      <c r="BY3495" s="5" t="s">
        <v>238</v>
      </c>
      <c r="BZ3495" s="5" t="s">
        <v>238</v>
      </c>
      <c r="CA3495" s="5" t="s">
        <v>238</v>
      </c>
      <c r="CB3495" s="5" t="s">
        <v>238</v>
      </c>
      <c r="CC3495" s="5" t="s">
        <v>238</v>
      </c>
      <c r="CD3495" s="5" t="s">
        <v>273</v>
      </c>
      <c r="CE3495" s="5" t="s">
        <v>256</v>
      </c>
      <c r="CF3495" s="5" t="s">
        <v>238</v>
      </c>
      <c r="CH3495" s="5" t="s">
        <v>494</v>
      </c>
      <c r="CI3495" s="6" t="s">
        <v>257</v>
      </c>
      <c r="CJ3495" s="5" t="s">
        <v>495</v>
      </c>
      <c r="CK3495" s="5" t="s">
        <v>258</v>
      </c>
      <c r="CL3495" s="5" t="s">
        <v>496</v>
      </c>
      <c r="CM3495" s="5" t="s">
        <v>238</v>
      </c>
      <c r="CN3495" s="5">
        <v>0</v>
      </c>
      <c r="CO3495" s="5" t="s">
        <v>497</v>
      </c>
      <c r="CP3495" s="5" t="s">
        <v>260</v>
      </c>
      <c r="CQ3495" s="5" t="s">
        <v>260</v>
      </c>
      <c r="CR3495" s="5" t="s">
        <v>261</v>
      </c>
      <c r="CS3495" s="5" t="s">
        <v>498</v>
      </c>
      <c r="CT3495" s="7">
        <f>1</f>
        <v>1</v>
      </c>
      <c r="CU3495" s="8">
        <f>1</f>
        <v>1</v>
      </c>
      <c r="CV3495" s="8">
        <f>0</f>
        <v>0</v>
      </c>
      <c r="CX3495" s="8">
        <f>1</f>
        <v>1</v>
      </c>
      <c r="CY3495" s="8">
        <f>1</f>
        <v>1</v>
      </c>
      <c r="CZ3495" s="8" t="s">
        <v>238</v>
      </c>
      <c r="DA3495" s="5" t="s">
        <v>238</v>
      </c>
      <c r="DB3495" s="5" t="s">
        <v>238</v>
      </c>
      <c r="DC3495" s="5" t="s">
        <v>238</v>
      </c>
      <c r="DD3495" s="5" t="s">
        <v>238</v>
      </c>
      <c r="DE3495" s="8">
        <f>0</f>
        <v>0</v>
      </c>
      <c r="DG3495" s="5" t="s">
        <v>238</v>
      </c>
      <c r="DH3495" s="5" t="s">
        <v>238</v>
      </c>
      <c r="DI3495" s="5" t="s">
        <v>238</v>
      </c>
      <c r="DJ3495" s="5" t="s">
        <v>238</v>
      </c>
      <c r="DK3495" s="5" t="s">
        <v>238</v>
      </c>
      <c r="DL3495" s="5" t="s">
        <v>238</v>
      </c>
      <c r="DM3495" s="8" t="s">
        <v>238</v>
      </c>
      <c r="DN3495" s="5" t="s">
        <v>238</v>
      </c>
      <c r="DO3495" s="5" t="s">
        <v>238</v>
      </c>
      <c r="DP3495" s="5" t="s">
        <v>490</v>
      </c>
      <c r="DQ3495" s="5" t="s">
        <v>490</v>
      </c>
      <c r="DR3495" s="5" t="s">
        <v>238</v>
      </c>
      <c r="DS3495" s="5" t="s">
        <v>238</v>
      </c>
      <c r="DT3495" s="5" t="s">
        <v>500</v>
      </c>
      <c r="DU3495" s="5" t="s">
        <v>406</v>
      </c>
      <c r="DV3495" s="5" t="s">
        <v>238</v>
      </c>
      <c r="DW3495" s="5" t="s">
        <v>238</v>
      </c>
      <c r="DX3495" s="5" t="s">
        <v>238</v>
      </c>
      <c r="DY3495" s="5" t="s">
        <v>238</v>
      </c>
      <c r="DZ3495" s="5" t="s">
        <v>238</v>
      </c>
      <c r="EA3495" s="5" t="s">
        <v>238</v>
      </c>
      <c r="EB3495" s="5" t="s">
        <v>238</v>
      </c>
      <c r="EC3495" s="5" t="s">
        <v>238</v>
      </c>
      <c r="ED3495" s="5" t="s">
        <v>238</v>
      </c>
      <c r="EE3495" s="5" t="s">
        <v>238</v>
      </c>
      <c r="EF3495" s="5" t="s">
        <v>238</v>
      </c>
      <c r="EG3495" s="5" t="s">
        <v>238</v>
      </c>
      <c r="EH3495" s="5" t="s">
        <v>238</v>
      </c>
      <c r="EI3495" s="5" t="s">
        <v>238</v>
      </c>
      <c r="EJ3495" s="5" t="s">
        <v>238</v>
      </c>
      <c r="EK3495" s="5" t="s">
        <v>238</v>
      </c>
      <c r="EL3495" s="5" t="s">
        <v>238</v>
      </c>
      <c r="EM3495" s="5" t="s">
        <v>238</v>
      </c>
      <c r="EN3495" s="5" t="s">
        <v>238</v>
      </c>
      <c r="EO3495" s="5" t="s">
        <v>238</v>
      </c>
      <c r="EP3495" s="5" t="s">
        <v>238</v>
      </c>
      <c r="EQ3495" s="5" t="s">
        <v>238</v>
      </c>
      <c r="ER3495" s="5" t="s">
        <v>238</v>
      </c>
      <c r="ES3495" s="5" t="s">
        <v>238</v>
      </c>
      <c r="ET3495" s="5" t="s">
        <v>238</v>
      </c>
      <c r="EU3495" s="5" t="s">
        <v>238</v>
      </c>
      <c r="EV3495" s="5" t="s">
        <v>238</v>
      </c>
      <c r="EW3495" s="5" t="s">
        <v>238</v>
      </c>
      <c r="EX3495" s="5" t="s">
        <v>238</v>
      </c>
      <c r="EY3495" s="5" t="s">
        <v>238</v>
      </c>
      <c r="EZ3495" s="5" t="s">
        <v>238</v>
      </c>
      <c r="FA3495" s="5" t="s">
        <v>238</v>
      </c>
      <c r="FB3495" s="5" t="s">
        <v>238</v>
      </c>
      <c r="FC3495" s="5" t="s">
        <v>238</v>
      </c>
      <c r="FD3495" s="5" t="s">
        <v>238</v>
      </c>
      <c r="FE3495" s="5" t="s">
        <v>238</v>
      </c>
      <c r="FF3495" s="5" t="s">
        <v>238</v>
      </c>
      <c r="FG3495" s="5" t="s">
        <v>238</v>
      </c>
      <c r="FH3495" s="5" t="s">
        <v>238</v>
      </c>
      <c r="FI3495" s="5" t="s">
        <v>238</v>
      </c>
      <c r="FJ3495" s="5" t="s">
        <v>238</v>
      </c>
      <c r="FK3495" s="5" t="s">
        <v>238</v>
      </c>
      <c r="FL3495" s="5" t="s">
        <v>238</v>
      </c>
      <c r="FM3495" s="5" t="s">
        <v>238</v>
      </c>
      <c r="FN3495" s="5" t="s">
        <v>238</v>
      </c>
      <c r="FO3495" s="5" t="s">
        <v>238</v>
      </c>
      <c r="FP3495" s="5" t="s">
        <v>238</v>
      </c>
      <c r="FQ3495" s="5" t="s">
        <v>238</v>
      </c>
      <c r="FR3495" s="5" t="s">
        <v>238</v>
      </c>
      <c r="FS3495" s="5" t="s">
        <v>238</v>
      </c>
      <c r="FT3495" s="5" t="s">
        <v>238</v>
      </c>
      <c r="FU3495" s="5" t="s">
        <v>238</v>
      </c>
      <c r="FV3495" s="5" t="s">
        <v>238</v>
      </c>
      <c r="FW3495" s="5" t="s">
        <v>238</v>
      </c>
      <c r="FX3495" s="5" t="s">
        <v>238</v>
      </c>
      <c r="FY3495" s="5" t="s">
        <v>238</v>
      </c>
      <c r="FZ3495" s="5" t="s">
        <v>238</v>
      </c>
      <c r="GA3495" s="5" t="s">
        <v>238</v>
      </c>
      <c r="GB3495" s="5" t="s">
        <v>238</v>
      </c>
      <c r="GC3495" s="5" t="s">
        <v>238</v>
      </c>
      <c r="GD3495" s="5" t="s">
        <v>238</v>
      </c>
      <c r="GE3495" s="5" t="s">
        <v>238</v>
      </c>
      <c r="GF3495" s="5" t="s">
        <v>238</v>
      </c>
      <c r="GG3495" s="5" t="s">
        <v>238</v>
      </c>
      <c r="GH3495" s="5" t="s">
        <v>238</v>
      </c>
      <c r="GI3495" s="5" t="s">
        <v>238</v>
      </c>
      <c r="GJ3495" s="5" t="s">
        <v>238</v>
      </c>
      <c r="GK3495" s="5" t="s">
        <v>238</v>
      </c>
      <c r="GL3495" s="5" t="s">
        <v>238</v>
      </c>
      <c r="GM3495" s="5" t="s">
        <v>238</v>
      </c>
      <c r="GN3495" s="5" t="s">
        <v>238</v>
      </c>
      <c r="GO3495" s="5" t="s">
        <v>238</v>
      </c>
      <c r="GP3495" s="5" t="s">
        <v>238</v>
      </c>
      <c r="GQ3495" s="5" t="s">
        <v>238</v>
      </c>
      <c r="GR3495" s="5" t="s">
        <v>238</v>
      </c>
      <c r="GS3495" s="5" t="s">
        <v>238</v>
      </c>
      <c r="GT3495" s="5" t="s">
        <v>238</v>
      </c>
      <c r="GU3495" s="5" t="s">
        <v>238</v>
      </c>
      <c r="GV3495" s="5" t="s">
        <v>238</v>
      </c>
      <c r="GW3495" s="5" t="s">
        <v>238</v>
      </c>
      <c r="GX3495" s="5" t="s">
        <v>238</v>
      </c>
      <c r="GY3495" s="5" t="s">
        <v>238</v>
      </c>
      <c r="GZ3495" s="5" t="s">
        <v>238</v>
      </c>
      <c r="HA3495" s="5" t="s">
        <v>238</v>
      </c>
      <c r="HB3495" s="5" t="s">
        <v>238</v>
      </c>
      <c r="HC3495" s="5" t="s">
        <v>238</v>
      </c>
      <c r="HD3495" s="5" t="s">
        <v>238</v>
      </c>
      <c r="HE3495" s="5" t="s">
        <v>238</v>
      </c>
      <c r="HF3495" s="5" t="s">
        <v>238</v>
      </c>
      <c r="HG3495" s="5" t="s">
        <v>238</v>
      </c>
      <c r="HH3495" s="5" t="s">
        <v>238</v>
      </c>
      <c r="HI3495" s="5" t="s">
        <v>238</v>
      </c>
      <c r="HJ3495" s="5" t="s">
        <v>238</v>
      </c>
      <c r="HK3495" s="5" t="s">
        <v>238</v>
      </c>
      <c r="HL3495" s="5" t="s">
        <v>238</v>
      </c>
      <c r="HM3495" s="5" t="s">
        <v>264</v>
      </c>
      <c r="HN3495" s="5" t="s">
        <v>238</v>
      </c>
      <c r="HO3495" s="5" t="s">
        <v>238</v>
      </c>
      <c r="HP3495" s="5" t="s">
        <v>238</v>
      </c>
      <c r="HQ3495" s="5" t="s">
        <v>238</v>
      </c>
      <c r="HR3495" s="5" t="s">
        <v>238</v>
      </c>
      <c r="HS3495" s="5" t="s">
        <v>238</v>
      </c>
      <c r="HT3495" s="5" t="s">
        <v>238</v>
      </c>
      <c r="HU3495" s="5" t="s">
        <v>238</v>
      </c>
      <c r="HV3495" s="5" t="s">
        <v>238</v>
      </c>
      <c r="HW3495" s="5" t="s">
        <v>238</v>
      </c>
      <c r="HX3495" s="5" t="s">
        <v>238</v>
      </c>
      <c r="HY3495" s="5" t="s">
        <v>238</v>
      </c>
      <c r="HZ3495" s="5" t="s">
        <v>238</v>
      </c>
      <c r="IA3495" s="5" t="s">
        <v>238</v>
      </c>
      <c r="IB3495" s="5" t="s">
        <v>238</v>
      </c>
      <c r="IC3495" s="5" t="s">
        <v>238</v>
      </c>
      <c r="ID3495" s="5" t="s">
        <v>238</v>
      </c>
    </row>
    <row r="3496" spans="1:238" x14ac:dyDescent="0.4">
      <c r="A3496" s="5">
        <v>9214</v>
      </c>
      <c r="B3496" s="5">
        <v>1</v>
      </c>
      <c r="C3496" s="5">
        <v>1</v>
      </c>
      <c r="D3496" s="5" t="s">
        <v>484</v>
      </c>
      <c r="E3496" s="5" t="s">
        <v>485</v>
      </c>
      <c r="F3496" s="5" t="s">
        <v>248</v>
      </c>
      <c r="G3496" s="5" t="s">
        <v>6472</v>
      </c>
      <c r="H3496" s="6" t="s">
        <v>6473</v>
      </c>
      <c r="I3496" s="8">
        <f>1</f>
        <v>1</v>
      </c>
      <c r="J3496" s="5" t="s">
        <v>499</v>
      </c>
      <c r="K3496" s="8">
        <f>1</f>
        <v>1</v>
      </c>
      <c r="L3496" s="6" t="s">
        <v>242</v>
      </c>
      <c r="M3496" s="5" t="s">
        <v>267</v>
      </c>
      <c r="N3496" s="5" t="s">
        <v>482</v>
      </c>
      <c r="O3496" s="5" t="s">
        <v>238</v>
      </c>
      <c r="P3496" s="5" t="s">
        <v>238</v>
      </c>
      <c r="Q3496" s="5" t="s">
        <v>239</v>
      </c>
      <c r="R3496" s="5" t="s">
        <v>270</v>
      </c>
      <c r="S3496" s="5" t="s">
        <v>238</v>
      </c>
      <c r="T3496" s="5" t="s">
        <v>238</v>
      </c>
      <c r="U3496" s="5" t="s">
        <v>238</v>
      </c>
      <c r="V3496" s="5" t="s">
        <v>238</v>
      </c>
      <c r="W3496" s="6" t="s">
        <v>238</v>
      </c>
      <c r="X3496" s="6" t="s">
        <v>238</v>
      </c>
      <c r="Y3496" s="5" t="s">
        <v>238</v>
      </c>
      <c r="Z3496" s="6" t="s">
        <v>238</v>
      </c>
      <c r="AA3496" s="6" t="s">
        <v>243</v>
      </c>
      <c r="AB3496" s="5" t="s">
        <v>486</v>
      </c>
      <c r="AC3496" s="5" t="s">
        <v>244</v>
      </c>
      <c r="AD3496" s="5" t="s">
        <v>245</v>
      </c>
      <c r="AE3496" s="5" t="s">
        <v>238</v>
      </c>
      <c r="AF3496" s="5" t="s">
        <v>238</v>
      </c>
      <c r="AG3496" s="5" t="s">
        <v>238</v>
      </c>
      <c r="AH3496" s="5" t="s">
        <v>238</v>
      </c>
      <c r="AI3496" s="5" t="s">
        <v>238</v>
      </c>
      <c r="AJ3496" s="5" t="s">
        <v>238</v>
      </c>
      <c r="AK3496" s="5" t="s">
        <v>238</v>
      </c>
      <c r="AL3496" s="5" t="s">
        <v>238</v>
      </c>
      <c r="AM3496" s="6" t="s">
        <v>238</v>
      </c>
      <c r="AN3496" s="6" t="s">
        <v>238</v>
      </c>
      <c r="AO3496" s="6" t="s">
        <v>238</v>
      </c>
      <c r="AP3496" s="6" t="s">
        <v>238</v>
      </c>
      <c r="AQ3496" s="5" t="s">
        <v>238</v>
      </c>
      <c r="AR3496" s="5" t="s">
        <v>488</v>
      </c>
      <c r="AS3496" s="5" t="s">
        <v>488</v>
      </c>
      <c r="AT3496" s="5" t="s">
        <v>246</v>
      </c>
      <c r="AU3496" s="5" t="s">
        <v>489</v>
      </c>
      <c r="AV3496" s="5" t="s">
        <v>247</v>
      </c>
      <c r="AW3496" s="5" t="s">
        <v>238</v>
      </c>
      <c r="AX3496" s="5" t="s">
        <v>249</v>
      </c>
      <c r="AY3496" s="5" t="s">
        <v>490</v>
      </c>
      <c r="BA3496" s="5" t="s">
        <v>238</v>
      </c>
      <c r="BC3496" s="5" t="s">
        <v>491</v>
      </c>
      <c r="BD3496" s="6" t="s">
        <v>492</v>
      </c>
      <c r="BE3496" s="5" t="s">
        <v>493</v>
      </c>
      <c r="BF3496" s="5" t="s">
        <v>493</v>
      </c>
      <c r="BG3496" s="5" t="s">
        <v>238</v>
      </c>
      <c r="BH3496" s="8">
        <f>1</f>
        <v>1</v>
      </c>
      <c r="BI3496" s="8">
        <f>1</f>
        <v>1</v>
      </c>
      <c r="BJ3496" s="5" t="s">
        <v>253</v>
      </c>
      <c r="BK3496" s="5" t="s">
        <v>254</v>
      </c>
      <c r="BL3496" s="5" t="s">
        <v>238</v>
      </c>
      <c r="BM3496" s="5" t="s">
        <v>238</v>
      </c>
      <c r="BN3496" s="5" t="s">
        <v>238</v>
      </c>
      <c r="BO3496" s="5" t="s">
        <v>238</v>
      </c>
      <c r="BP3496" s="5" t="s">
        <v>238</v>
      </c>
      <c r="BQ3496" s="5" t="s">
        <v>238</v>
      </c>
      <c r="BR3496" s="5" t="s">
        <v>238</v>
      </c>
      <c r="BS3496" s="5" t="s">
        <v>238</v>
      </c>
      <c r="BT3496" s="6" t="s">
        <v>238</v>
      </c>
      <c r="BU3496" s="5" t="s">
        <v>238</v>
      </c>
      <c r="BV3496" s="5" t="s">
        <v>238</v>
      </c>
      <c r="BW3496" s="5" t="s">
        <v>238</v>
      </c>
      <c r="BX3496" s="5" t="s">
        <v>254</v>
      </c>
      <c r="BY3496" s="5" t="s">
        <v>238</v>
      </c>
      <c r="BZ3496" s="5" t="s">
        <v>238</v>
      </c>
      <c r="CA3496" s="5" t="s">
        <v>238</v>
      </c>
      <c r="CB3496" s="5" t="s">
        <v>238</v>
      </c>
      <c r="CC3496" s="5" t="s">
        <v>238</v>
      </c>
      <c r="CD3496" s="5" t="s">
        <v>273</v>
      </c>
      <c r="CE3496" s="5" t="s">
        <v>256</v>
      </c>
      <c r="CF3496" s="5" t="s">
        <v>238</v>
      </c>
      <c r="CH3496" s="5" t="s">
        <v>494</v>
      </c>
      <c r="CI3496" s="6" t="s">
        <v>257</v>
      </c>
      <c r="CJ3496" s="5" t="s">
        <v>495</v>
      </c>
      <c r="CK3496" s="5" t="s">
        <v>258</v>
      </c>
      <c r="CL3496" s="5" t="s">
        <v>496</v>
      </c>
      <c r="CM3496" s="5" t="s">
        <v>238</v>
      </c>
      <c r="CN3496" s="5">
        <v>0</v>
      </c>
      <c r="CO3496" s="5" t="s">
        <v>497</v>
      </c>
      <c r="CP3496" s="5" t="s">
        <v>260</v>
      </c>
      <c r="CQ3496" s="5" t="s">
        <v>260</v>
      </c>
      <c r="CR3496" s="5" t="s">
        <v>261</v>
      </c>
      <c r="CS3496" s="5" t="s">
        <v>498</v>
      </c>
      <c r="CT3496" s="7">
        <f>1</f>
        <v>1</v>
      </c>
      <c r="CU3496" s="8">
        <f>1</f>
        <v>1</v>
      </c>
      <c r="CV3496" s="8">
        <f>0</f>
        <v>0</v>
      </c>
      <c r="CX3496" s="8">
        <f>1</f>
        <v>1</v>
      </c>
      <c r="CY3496" s="8">
        <f>1</f>
        <v>1</v>
      </c>
      <c r="CZ3496" s="8" t="s">
        <v>238</v>
      </c>
      <c r="DA3496" s="5" t="s">
        <v>238</v>
      </c>
      <c r="DB3496" s="5" t="s">
        <v>238</v>
      </c>
      <c r="DC3496" s="5" t="s">
        <v>238</v>
      </c>
      <c r="DD3496" s="5" t="s">
        <v>238</v>
      </c>
      <c r="DE3496" s="8">
        <f>0</f>
        <v>0</v>
      </c>
      <c r="DG3496" s="5" t="s">
        <v>238</v>
      </c>
      <c r="DH3496" s="5" t="s">
        <v>238</v>
      </c>
      <c r="DI3496" s="5" t="s">
        <v>238</v>
      </c>
      <c r="DJ3496" s="5" t="s">
        <v>238</v>
      </c>
      <c r="DK3496" s="5" t="s">
        <v>238</v>
      </c>
      <c r="DL3496" s="5" t="s">
        <v>238</v>
      </c>
      <c r="DM3496" s="8" t="s">
        <v>238</v>
      </c>
      <c r="DN3496" s="5" t="s">
        <v>238</v>
      </c>
      <c r="DO3496" s="5" t="s">
        <v>238</v>
      </c>
      <c r="DP3496" s="5" t="s">
        <v>490</v>
      </c>
      <c r="DQ3496" s="5" t="s">
        <v>490</v>
      </c>
      <c r="DR3496" s="5" t="s">
        <v>238</v>
      </c>
      <c r="DS3496" s="5" t="s">
        <v>238</v>
      </c>
      <c r="DT3496" s="5" t="s">
        <v>500</v>
      </c>
      <c r="DU3496" s="5" t="s">
        <v>890</v>
      </c>
      <c r="DV3496" s="5" t="s">
        <v>238</v>
      </c>
      <c r="DW3496" s="5" t="s">
        <v>238</v>
      </c>
      <c r="DX3496" s="5" t="s">
        <v>238</v>
      </c>
      <c r="DY3496" s="5" t="s">
        <v>238</v>
      </c>
      <c r="DZ3496" s="5" t="s">
        <v>238</v>
      </c>
      <c r="EA3496" s="5" t="s">
        <v>238</v>
      </c>
      <c r="EB3496" s="5" t="s">
        <v>238</v>
      </c>
      <c r="EC3496" s="5" t="s">
        <v>238</v>
      </c>
      <c r="ED3496" s="5" t="s">
        <v>238</v>
      </c>
      <c r="EE3496" s="5" t="s">
        <v>238</v>
      </c>
      <c r="EF3496" s="5" t="s">
        <v>238</v>
      </c>
      <c r="EG3496" s="5" t="s">
        <v>238</v>
      </c>
      <c r="EH3496" s="5" t="s">
        <v>238</v>
      </c>
      <c r="EI3496" s="5" t="s">
        <v>238</v>
      </c>
      <c r="EJ3496" s="5" t="s">
        <v>238</v>
      </c>
      <c r="EK3496" s="5" t="s">
        <v>238</v>
      </c>
      <c r="EL3496" s="5" t="s">
        <v>238</v>
      </c>
      <c r="EM3496" s="5" t="s">
        <v>238</v>
      </c>
      <c r="EN3496" s="5" t="s">
        <v>238</v>
      </c>
      <c r="EO3496" s="5" t="s">
        <v>238</v>
      </c>
      <c r="EP3496" s="5" t="s">
        <v>238</v>
      </c>
      <c r="EQ3496" s="5" t="s">
        <v>238</v>
      </c>
      <c r="ER3496" s="5" t="s">
        <v>238</v>
      </c>
      <c r="ES3496" s="5" t="s">
        <v>238</v>
      </c>
      <c r="ET3496" s="5" t="s">
        <v>238</v>
      </c>
      <c r="EU3496" s="5" t="s">
        <v>238</v>
      </c>
      <c r="EV3496" s="5" t="s">
        <v>238</v>
      </c>
      <c r="EW3496" s="5" t="s">
        <v>238</v>
      </c>
      <c r="EX3496" s="5" t="s">
        <v>238</v>
      </c>
      <c r="EY3496" s="5" t="s">
        <v>238</v>
      </c>
      <c r="EZ3496" s="5" t="s">
        <v>238</v>
      </c>
      <c r="FA3496" s="5" t="s">
        <v>238</v>
      </c>
      <c r="FB3496" s="5" t="s">
        <v>238</v>
      </c>
      <c r="FC3496" s="5" t="s">
        <v>238</v>
      </c>
      <c r="FD3496" s="5" t="s">
        <v>238</v>
      </c>
      <c r="FE3496" s="5" t="s">
        <v>238</v>
      </c>
      <c r="FF3496" s="5" t="s">
        <v>238</v>
      </c>
      <c r="FG3496" s="5" t="s">
        <v>238</v>
      </c>
      <c r="FH3496" s="5" t="s">
        <v>238</v>
      </c>
      <c r="FI3496" s="5" t="s">
        <v>238</v>
      </c>
      <c r="FJ3496" s="5" t="s">
        <v>238</v>
      </c>
      <c r="FK3496" s="5" t="s">
        <v>238</v>
      </c>
      <c r="FL3496" s="5" t="s">
        <v>238</v>
      </c>
      <c r="FM3496" s="5" t="s">
        <v>238</v>
      </c>
      <c r="FN3496" s="5" t="s">
        <v>238</v>
      </c>
      <c r="FO3496" s="5" t="s">
        <v>238</v>
      </c>
      <c r="FP3496" s="5" t="s">
        <v>238</v>
      </c>
      <c r="FQ3496" s="5" t="s">
        <v>238</v>
      </c>
      <c r="FR3496" s="5" t="s">
        <v>238</v>
      </c>
      <c r="FS3496" s="5" t="s">
        <v>238</v>
      </c>
      <c r="FT3496" s="5" t="s">
        <v>238</v>
      </c>
      <c r="FU3496" s="5" t="s">
        <v>238</v>
      </c>
      <c r="FV3496" s="5" t="s">
        <v>238</v>
      </c>
      <c r="FW3496" s="5" t="s">
        <v>238</v>
      </c>
      <c r="FX3496" s="5" t="s">
        <v>238</v>
      </c>
      <c r="FY3496" s="5" t="s">
        <v>238</v>
      </c>
      <c r="FZ3496" s="5" t="s">
        <v>238</v>
      </c>
      <c r="GA3496" s="5" t="s">
        <v>238</v>
      </c>
      <c r="GB3496" s="5" t="s">
        <v>238</v>
      </c>
      <c r="GC3496" s="5" t="s">
        <v>238</v>
      </c>
      <c r="GD3496" s="5" t="s">
        <v>238</v>
      </c>
      <c r="GE3496" s="5" t="s">
        <v>238</v>
      </c>
      <c r="GF3496" s="5" t="s">
        <v>238</v>
      </c>
      <c r="GG3496" s="5" t="s">
        <v>238</v>
      </c>
      <c r="GH3496" s="5" t="s">
        <v>238</v>
      </c>
      <c r="GI3496" s="5" t="s">
        <v>238</v>
      </c>
      <c r="GJ3496" s="5" t="s">
        <v>238</v>
      </c>
      <c r="GK3496" s="5" t="s">
        <v>238</v>
      </c>
      <c r="GL3496" s="5" t="s">
        <v>238</v>
      </c>
      <c r="GM3496" s="5" t="s">
        <v>238</v>
      </c>
      <c r="GN3496" s="5" t="s">
        <v>238</v>
      </c>
      <c r="GO3496" s="5" t="s">
        <v>238</v>
      </c>
      <c r="GP3496" s="5" t="s">
        <v>238</v>
      </c>
      <c r="GQ3496" s="5" t="s">
        <v>238</v>
      </c>
      <c r="GR3496" s="5" t="s">
        <v>238</v>
      </c>
      <c r="GS3496" s="5" t="s">
        <v>238</v>
      </c>
      <c r="GT3496" s="5" t="s">
        <v>238</v>
      </c>
      <c r="GU3496" s="5" t="s">
        <v>238</v>
      </c>
      <c r="GV3496" s="5" t="s">
        <v>238</v>
      </c>
      <c r="GW3496" s="5" t="s">
        <v>238</v>
      </c>
      <c r="GX3496" s="5" t="s">
        <v>238</v>
      </c>
      <c r="GY3496" s="5" t="s">
        <v>238</v>
      </c>
      <c r="GZ3496" s="5" t="s">
        <v>238</v>
      </c>
      <c r="HA3496" s="5" t="s">
        <v>238</v>
      </c>
      <c r="HB3496" s="5" t="s">
        <v>238</v>
      </c>
      <c r="HC3496" s="5" t="s">
        <v>238</v>
      </c>
      <c r="HD3496" s="5" t="s">
        <v>238</v>
      </c>
      <c r="HE3496" s="5" t="s">
        <v>238</v>
      </c>
      <c r="HF3496" s="5" t="s">
        <v>238</v>
      </c>
      <c r="HG3496" s="5" t="s">
        <v>238</v>
      </c>
      <c r="HH3496" s="5" t="s">
        <v>238</v>
      </c>
      <c r="HI3496" s="5" t="s">
        <v>238</v>
      </c>
      <c r="HJ3496" s="5" t="s">
        <v>238</v>
      </c>
      <c r="HK3496" s="5" t="s">
        <v>238</v>
      </c>
      <c r="HL3496" s="5" t="s">
        <v>238</v>
      </c>
      <c r="HM3496" s="5" t="s">
        <v>264</v>
      </c>
      <c r="HN3496" s="5" t="s">
        <v>238</v>
      </c>
      <c r="HO3496" s="5" t="s">
        <v>238</v>
      </c>
      <c r="HP3496" s="5" t="s">
        <v>238</v>
      </c>
      <c r="HQ3496" s="5" t="s">
        <v>238</v>
      </c>
      <c r="HR3496" s="5" t="s">
        <v>238</v>
      </c>
      <c r="HS3496" s="5" t="s">
        <v>238</v>
      </c>
      <c r="HT3496" s="5" t="s">
        <v>238</v>
      </c>
      <c r="HU3496" s="5" t="s">
        <v>238</v>
      </c>
      <c r="HV3496" s="5" t="s">
        <v>238</v>
      </c>
      <c r="HW3496" s="5" t="s">
        <v>238</v>
      </c>
      <c r="HX3496" s="5" t="s">
        <v>238</v>
      </c>
      <c r="HY3496" s="5" t="s">
        <v>238</v>
      </c>
      <c r="HZ3496" s="5" t="s">
        <v>238</v>
      </c>
      <c r="IA3496" s="5" t="s">
        <v>238</v>
      </c>
      <c r="IB3496" s="5" t="s">
        <v>238</v>
      </c>
      <c r="IC3496" s="5" t="s">
        <v>238</v>
      </c>
      <c r="ID3496" s="5" t="s">
        <v>238</v>
      </c>
    </row>
    <row r="3497" spans="1:238" x14ac:dyDescent="0.4">
      <c r="A3497" s="5">
        <v>9215</v>
      </c>
      <c r="B3497" s="5">
        <v>1</v>
      </c>
      <c r="C3497" s="5">
        <v>1</v>
      </c>
      <c r="D3497" s="5" t="s">
        <v>484</v>
      </c>
      <c r="E3497" s="5" t="s">
        <v>485</v>
      </c>
      <c r="F3497" s="5" t="s">
        <v>248</v>
      </c>
      <c r="G3497" s="5" t="s">
        <v>6465</v>
      </c>
      <c r="H3497" s="6" t="s">
        <v>6466</v>
      </c>
      <c r="I3497" s="8">
        <f>1</f>
        <v>1</v>
      </c>
      <c r="J3497" s="5" t="s">
        <v>499</v>
      </c>
      <c r="K3497" s="8">
        <f>1</f>
        <v>1</v>
      </c>
      <c r="L3497" s="6" t="s">
        <v>242</v>
      </c>
      <c r="M3497" s="5" t="s">
        <v>267</v>
      </c>
      <c r="N3497" s="5" t="s">
        <v>482</v>
      </c>
      <c r="O3497" s="5" t="s">
        <v>238</v>
      </c>
      <c r="P3497" s="5" t="s">
        <v>238</v>
      </c>
      <c r="Q3497" s="5" t="s">
        <v>239</v>
      </c>
      <c r="R3497" s="5" t="s">
        <v>270</v>
      </c>
      <c r="S3497" s="5" t="s">
        <v>238</v>
      </c>
      <c r="T3497" s="5" t="s">
        <v>238</v>
      </c>
      <c r="U3497" s="5" t="s">
        <v>238</v>
      </c>
      <c r="V3497" s="5" t="s">
        <v>238</v>
      </c>
      <c r="W3497" s="6" t="s">
        <v>238</v>
      </c>
      <c r="X3497" s="6" t="s">
        <v>238</v>
      </c>
      <c r="Y3497" s="5" t="s">
        <v>238</v>
      </c>
      <c r="Z3497" s="6" t="s">
        <v>238</v>
      </c>
      <c r="AA3497" s="6" t="s">
        <v>243</v>
      </c>
      <c r="AB3497" s="5" t="s">
        <v>486</v>
      </c>
      <c r="AC3497" s="5" t="s">
        <v>244</v>
      </c>
      <c r="AD3497" s="5" t="s">
        <v>245</v>
      </c>
      <c r="AE3497" s="5" t="s">
        <v>238</v>
      </c>
      <c r="AF3497" s="5" t="s">
        <v>238</v>
      </c>
      <c r="AG3497" s="5" t="s">
        <v>238</v>
      </c>
      <c r="AH3497" s="5" t="s">
        <v>238</v>
      </c>
      <c r="AI3497" s="5" t="s">
        <v>238</v>
      </c>
      <c r="AJ3497" s="5" t="s">
        <v>238</v>
      </c>
      <c r="AK3497" s="5" t="s">
        <v>238</v>
      </c>
      <c r="AL3497" s="5" t="s">
        <v>238</v>
      </c>
      <c r="AM3497" s="6" t="s">
        <v>238</v>
      </c>
      <c r="AN3497" s="6" t="s">
        <v>238</v>
      </c>
      <c r="AO3497" s="6" t="s">
        <v>238</v>
      </c>
      <c r="AP3497" s="6" t="s">
        <v>238</v>
      </c>
      <c r="AQ3497" s="5" t="s">
        <v>238</v>
      </c>
      <c r="AR3497" s="5" t="s">
        <v>488</v>
      </c>
      <c r="AS3497" s="5" t="s">
        <v>488</v>
      </c>
      <c r="AT3497" s="5" t="s">
        <v>246</v>
      </c>
      <c r="AU3497" s="5" t="s">
        <v>489</v>
      </c>
      <c r="AV3497" s="5" t="s">
        <v>247</v>
      </c>
      <c r="AW3497" s="5" t="s">
        <v>238</v>
      </c>
      <c r="AX3497" s="5" t="s">
        <v>249</v>
      </c>
      <c r="AY3497" s="5" t="s">
        <v>490</v>
      </c>
      <c r="BA3497" s="5" t="s">
        <v>238</v>
      </c>
      <c r="BC3497" s="5" t="s">
        <v>491</v>
      </c>
      <c r="BD3497" s="6" t="s">
        <v>492</v>
      </c>
      <c r="BE3497" s="5" t="s">
        <v>493</v>
      </c>
      <c r="BF3497" s="5" t="s">
        <v>493</v>
      </c>
      <c r="BG3497" s="5" t="s">
        <v>238</v>
      </c>
      <c r="BH3497" s="8">
        <f>1</f>
        <v>1</v>
      </c>
      <c r="BI3497" s="8">
        <f>1</f>
        <v>1</v>
      </c>
      <c r="BJ3497" s="5" t="s">
        <v>253</v>
      </c>
      <c r="BK3497" s="5" t="s">
        <v>254</v>
      </c>
      <c r="BL3497" s="5" t="s">
        <v>238</v>
      </c>
      <c r="BM3497" s="5" t="s">
        <v>238</v>
      </c>
      <c r="BN3497" s="5" t="s">
        <v>238</v>
      </c>
      <c r="BO3497" s="5" t="s">
        <v>238</v>
      </c>
      <c r="BP3497" s="5" t="s">
        <v>238</v>
      </c>
      <c r="BQ3497" s="5" t="s">
        <v>238</v>
      </c>
      <c r="BR3497" s="5" t="s">
        <v>238</v>
      </c>
      <c r="BS3497" s="5" t="s">
        <v>238</v>
      </c>
      <c r="BT3497" s="6" t="s">
        <v>238</v>
      </c>
      <c r="BU3497" s="5" t="s">
        <v>238</v>
      </c>
      <c r="BV3497" s="5" t="s">
        <v>238</v>
      </c>
      <c r="BW3497" s="5" t="s">
        <v>238</v>
      </c>
      <c r="BX3497" s="5" t="s">
        <v>254</v>
      </c>
      <c r="BY3497" s="5" t="s">
        <v>238</v>
      </c>
      <c r="BZ3497" s="5" t="s">
        <v>238</v>
      </c>
      <c r="CA3497" s="5" t="s">
        <v>238</v>
      </c>
      <c r="CB3497" s="5" t="s">
        <v>238</v>
      </c>
      <c r="CC3497" s="5" t="s">
        <v>238</v>
      </c>
      <c r="CD3497" s="5" t="s">
        <v>273</v>
      </c>
      <c r="CE3497" s="5" t="s">
        <v>256</v>
      </c>
      <c r="CF3497" s="5" t="s">
        <v>238</v>
      </c>
      <c r="CH3497" s="5" t="s">
        <v>494</v>
      </c>
      <c r="CI3497" s="6" t="s">
        <v>257</v>
      </c>
      <c r="CJ3497" s="5" t="s">
        <v>495</v>
      </c>
      <c r="CK3497" s="5" t="s">
        <v>258</v>
      </c>
      <c r="CL3497" s="5" t="s">
        <v>496</v>
      </c>
      <c r="CM3497" s="5" t="s">
        <v>238</v>
      </c>
      <c r="CN3497" s="5">
        <v>0</v>
      </c>
      <c r="CO3497" s="5" t="s">
        <v>497</v>
      </c>
      <c r="CP3497" s="5" t="s">
        <v>260</v>
      </c>
      <c r="CQ3497" s="5" t="s">
        <v>260</v>
      </c>
      <c r="CR3497" s="5" t="s">
        <v>261</v>
      </c>
      <c r="CS3497" s="5" t="s">
        <v>498</v>
      </c>
      <c r="CT3497" s="7">
        <f>1</f>
        <v>1</v>
      </c>
      <c r="CU3497" s="8">
        <f>1</f>
        <v>1</v>
      </c>
      <c r="CV3497" s="8">
        <f>0</f>
        <v>0</v>
      </c>
      <c r="CX3497" s="8">
        <f>1</f>
        <v>1</v>
      </c>
      <c r="CY3497" s="8">
        <f>1</f>
        <v>1</v>
      </c>
      <c r="CZ3497" s="8" t="s">
        <v>238</v>
      </c>
      <c r="DA3497" s="5" t="s">
        <v>238</v>
      </c>
      <c r="DB3497" s="5" t="s">
        <v>238</v>
      </c>
      <c r="DC3497" s="5" t="s">
        <v>238</v>
      </c>
      <c r="DD3497" s="5" t="s">
        <v>238</v>
      </c>
      <c r="DE3497" s="8">
        <f>0</f>
        <v>0</v>
      </c>
      <c r="DG3497" s="5" t="s">
        <v>238</v>
      </c>
      <c r="DH3497" s="5" t="s">
        <v>238</v>
      </c>
      <c r="DI3497" s="5" t="s">
        <v>238</v>
      </c>
      <c r="DJ3497" s="5" t="s">
        <v>238</v>
      </c>
      <c r="DK3497" s="5" t="s">
        <v>238</v>
      </c>
      <c r="DL3497" s="5" t="s">
        <v>238</v>
      </c>
      <c r="DM3497" s="8" t="s">
        <v>238</v>
      </c>
      <c r="DN3497" s="5" t="s">
        <v>238</v>
      </c>
      <c r="DO3497" s="5" t="s">
        <v>238</v>
      </c>
      <c r="DP3497" s="5" t="s">
        <v>490</v>
      </c>
      <c r="DQ3497" s="5" t="s">
        <v>490</v>
      </c>
      <c r="DR3497" s="5" t="s">
        <v>238</v>
      </c>
      <c r="DS3497" s="5" t="s">
        <v>238</v>
      </c>
      <c r="DT3497" s="5" t="s">
        <v>500</v>
      </c>
      <c r="DU3497" s="5" t="s">
        <v>418</v>
      </c>
      <c r="DV3497" s="5" t="s">
        <v>238</v>
      </c>
      <c r="DW3497" s="5" t="s">
        <v>238</v>
      </c>
      <c r="DX3497" s="5" t="s">
        <v>238</v>
      </c>
      <c r="DY3497" s="5" t="s">
        <v>238</v>
      </c>
      <c r="DZ3497" s="5" t="s">
        <v>238</v>
      </c>
      <c r="EA3497" s="5" t="s">
        <v>238</v>
      </c>
      <c r="EB3497" s="5" t="s">
        <v>238</v>
      </c>
      <c r="EC3497" s="5" t="s">
        <v>238</v>
      </c>
      <c r="ED3497" s="5" t="s">
        <v>238</v>
      </c>
      <c r="EE3497" s="5" t="s">
        <v>238</v>
      </c>
      <c r="EF3497" s="5" t="s">
        <v>238</v>
      </c>
      <c r="EG3497" s="5" t="s">
        <v>238</v>
      </c>
      <c r="EH3497" s="5" t="s">
        <v>238</v>
      </c>
      <c r="EI3497" s="5" t="s">
        <v>238</v>
      </c>
      <c r="EJ3497" s="5" t="s">
        <v>238</v>
      </c>
      <c r="EK3497" s="5" t="s">
        <v>238</v>
      </c>
      <c r="EL3497" s="5" t="s">
        <v>238</v>
      </c>
      <c r="EM3497" s="5" t="s">
        <v>238</v>
      </c>
      <c r="EN3497" s="5" t="s">
        <v>238</v>
      </c>
      <c r="EO3497" s="5" t="s">
        <v>238</v>
      </c>
      <c r="EP3497" s="5" t="s">
        <v>238</v>
      </c>
      <c r="EQ3497" s="5" t="s">
        <v>238</v>
      </c>
      <c r="ER3497" s="5" t="s">
        <v>238</v>
      </c>
      <c r="ES3497" s="5" t="s">
        <v>238</v>
      </c>
      <c r="ET3497" s="5" t="s">
        <v>238</v>
      </c>
      <c r="EU3497" s="5" t="s">
        <v>238</v>
      </c>
      <c r="EV3497" s="5" t="s">
        <v>238</v>
      </c>
      <c r="EW3497" s="5" t="s">
        <v>238</v>
      </c>
      <c r="EX3497" s="5" t="s">
        <v>238</v>
      </c>
      <c r="EY3497" s="5" t="s">
        <v>238</v>
      </c>
      <c r="EZ3497" s="5" t="s">
        <v>238</v>
      </c>
      <c r="FA3497" s="5" t="s">
        <v>238</v>
      </c>
      <c r="FB3497" s="5" t="s">
        <v>238</v>
      </c>
      <c r="FC3497" s="5" t="s">
        <v>238</v>
      </c>
      <c r="FD3497" s="5" t="s">
        <v>238</v>
      </c>
      <c r="FE3497" s="5" t="s">
        <v>238</v>
      </c>
      <c r="FF3497" s="5" t="s">
        <v>238</v>
      </c>
      <c r="FG3497" s="5" t="s">
        <v>238</v>
      </c>
      <c r="FH3497" s="5" t="s">
        <v>238</v>
      </c>
      <c r="FI3497" s="5" t="s">
        <v>238</v>
      </c>
      <c r="FJ3497" s="5" t="s">
        <v>238</v>
      </c>
      <c r="FK3497" s="5" t="s">
        <v>238</v>
      </c>
      <c r="FL3497" s="5" t="s">
        <v>238</v>
      </c>
      <c r="FM3497" s="5" t="s">
        <v>238</v>
      </c>
      <c r="FN3497" s="5" t="s">
        <v>238</v>
      </c>
      <c r="FO3497" s="5" t="s">
        <v>238</v>
      </c>
      <c r="FP3497" s="5" t="s">
        <v>238</v>
      </c>
      <c r="FQ3497" s="5" t="s">
        <v>238</v>
      </c>
      <c r="FR3497" s="5" t="s">
        <v>238</v>
      </c>
      <c r="FS3497" s="5" t="s">
        <v>238</v>
      </c>
      <c r="FT3497" s="5" t="s">
        <v>238</v>
      </c>
      <c r="FU3497" s="5" t="s">
        <v>238</v>
      </c>
      <c r="FV3497" s="5" t="s">
        <v>238</v>
      </c>
      <c r="FW3497" s="5" t="s">
        <v>238</v>
      </c>
      <c r="FX3497" s="5" t="s">
        <v>238</v>
      </c>
      <c r="FY3497" s="5" t="s">
        <v>238</v>
      </c>
      <c r="FZ3497" s="5" t="s">
        <v>238</v>
      </c>
      <c r="GA3497" s="5" t="s">
        <v>238</v>
      </c>
      <c r="GB3497" s="5" t="s">
        <v>238</v>
      </c>
      <c r="GC3497" s="5" t="s">
        <v>238</v>
      </c>
      <c r="GD3497" s="5" t="s">
        <v>238</v>
      </c>
      <c r="GE3497" s="5" t="s">
        <v>238</v>
      </c>
      <c r="GF3497" s="5" t="s">
        <v>238</v>
      </c>
      <c r="GG3497" s="5" t="s">
        <v>238</v>
      </c>
      <c r="GH3497" s="5" t="s">
        <v>238</v>
      </c>
      <c r="GI3497" s="5" t="s">
        <v>238</v>
      </c>
      <c r="GJ3497" s="5" t="s">
        <v>238</v>
      </c>
      <c r="GK3497" s="5" t="s">
        <v>238</v>
      </c>
      <c r="GL3497" s="5" t="s">
        <v>238</v>
      </c>
      <c r="GM3497" s="5" t="s">
        <v>238</v>
      </c>
      <c r="GN3497" s="5" t="s">
        <v>238</v>
      </c>
      <c r="GO3497" s="5" t="s">
        <v>238</v>
      </c>
      <c r="GP3497" s="5" t="s">
        <v>238</v>
      </c>
      <c r="GQ3497" s="5" t="s">
        <v>238</v>
      </c>
      <c r="GR3497" s="5" t="s">
        <v>238</v>
      </c>
      <c r="GS3497" s="5" t="s">
        <v>238</v>
      </c>
      <c r="GT3497" s="5" t="s">
        <v>238</v>
      </c>
      <c r="GU3497" s="5" t="s">
        <v>238</v>
      </c>
      <c r="GV3497" s="5" t="s">
        <v>238</v>
      </c>
      <c r="GW3497" s="5" t="s">
        <v>238</v>
      </c>
      <c r="GX3497" s="5" t="s">
        <v>238</v>
      </c>
      <c r="GY3497" s="5" t="s">
        <v>238</v>
      </c>
      <c r="GZ3497" s="5" t="s">
        <v>238</v>
      </c>
      <c r="HA3497" s="5" t="s">
        <v>238</v>
      </c>
      <c r="HB3497" s="5" t="s">
        <v>238</v>
      </c>
      <c r="HC3497" s="5" t="s">
        <v>238</v>
      </c>
      <c r="HD3497" s="5" t="s">
        <v>238</v>
      </c>
      <c r="HE3497" s="5" t="s">
        <v>238</v>
      </c>
      <c r="HF3497" s="5" t="s">
        <v>238</v>
      </c>
      <c r="HG3497" s="5" t="s">
        <v>238</v>
      </c>
      <c r="HH3497" s="5" t="s">
        <v>238</v>
      </c>
      <c r="HI3497" s="5" t="s">
        <v>238</v>
      </c>
      <c r="HJ3497" s="5" t="s">
        <v>238</v>
      </c>
      <c r="HK3497" s="5" t="s">
        <v>238</v>
      </c>
      <c r="HL3497" s="5" t="s">
        <v>238</v>
      </c>
      <c r="HM3497" s="5" t="s">
        <v>264</v>
      </c>
      <c r="HN3497" s="5" t="s">
        <v>238</v>
      </c>
      <c r="HO3497" s="5" t="s">
        <v>238</v>
      </c>
      <c r="HP3497" s="5" t="s">
        <v>238</v>
      </c>
      <c r="HQ3497" s="5" t="s">
        <v>238</v>
      </c>
      <c r="HR3497" s="5" t="s">
        <v>238</v>
      </c>
      <c r="HS3497" s="5" t="s">
        <v>238</v>
      </c>
      <c r="HT3497" s="5" t="s">
        <v>238</v>
      </c>
      <c r="HU3497" s="5" t="s">
        <v>238</v>
      </c>
      <c r="HV3497" s="5" t="s">
        <v>238</v>
      </c>
      <c r="HW3497" s="5" t="s">
        <v>238</v>
      </c>
      <c r="HX3497" s="5" t="s">
        <v>238</v>
      </c>
      <c r="HY3497" s="5" t="s">
        <v>238</v>
      </c>
      <c r="HZ3497" s="5" t="s">
        <v>238</v>
      </c>
      <c r="IA3497" s="5" t="s">
        <v>238</v>
      </c>
      <c r="IB3497" s="5" t="s">
        <v>238</v>
      </c>
      <c r="IC3497" s="5" t="s">
        <v>238</v>
      </c>
      <c r="ID3497" s="5" t="s">
        <v>238</v>
      </c>
    </row>
    <row r="3498" spans="1:238" x14ac:dyDescent="0.4">
      <c r="A3498" s="5">
        <v>9216</v>
      </c>
      <c r="B3498" s="5">
        <v>1</v>
      </c>
      <c r="C3498" s="5">
        <v>1</v>
      </c>
      <c r="D3498" s="5" t="s">
        <v>484</v>
      </c>
      <c r="E3498" s="5" t="s">
        <v>485</v>
      </c>
      <c r="F3498" s="5" t="s">
        <v>248</v>
      </c>
      <c r="G3498" s="5" t="s">
        <v>4658</v>
      </c>
      <c r="H3498" s="6" t="s">
        <v>4659</v>
      </c>
      <c r="I3498" s="8">
        <f>1</f>
        <v>1</v>
      </c>
      <c r="J3498" s="5" t="s">
        <v>499</v>
      </c>
      <c r="K3498" s="8">
        <f>1</f>
        <v>1</v>
      </c>
      <c r="L3498" s="6" t="s">
        <v>242</v>
      </c>
      <c r="M3498" s="5" t="s">
        <v>267</v>
      </c>
      <c r="N3498" s="5" t="s">
        <v>482</v>
      </c>
      <c r="O3498" s="5" t="s">
        <v>238</v>
      </c>
      <c r="P3498" s="5" t="s">
        <v>238</v>
      </c>
      <c r="Q3498" s="5" t="s">
        <v>239</v>
      </c>
      <c r="R3498" s="5" t="s">
        <v>270</v>
      </c>
      <c r="S3498" s="5" t="s">
        <v>238</v>
      </c>
      <c r="T3498" s="5" t="s">
        <v>238</v>
      </c>
      <c r="U3498" s="5" t="s">
        <v>238</v>
      </c>
      <c r="V3498" s="5" t="s">
        <v>238</v>
      </c>
      <c r="W3498" s="6" t="s">
        <v>238</v>
      </c>
      <c r="X3498" s="6" t="s">
        <v>238</v>
      </c>
      <c r="Y3498" s="5" t="s">
        <v>238</v>
      </c>
      <c r="Z3498" s="6" t="s">
        <v>238</v>
      </c>
      <c r="AA3498" s="6" t="s">
        <v>243</v>
      </c>
      <c r="AB3498" s="5" t="s">
        <v>486</v>
      </c>
      <c r="AC3498" s="5" t="s">
        <v>244</v>
      </c>
      <c r="AD3498" s="5" t="s">
        <v>245</v>
      </c>
      <c r="AE3498" s="5" t="s">
        <v>238</v>
      </c>
      <c r="AF3498" s="5" t="s">
        <v>238</v>
      </c>
      <c r="AG3498" s="5" t="s">
        <v>238</v>
      </c>
      <c r="AH3498" s="5" t="s">
        <v>238</v>
      </c>
      <c r="AI3498" s="5" t="s">
        <v>238</v>
      </c>
      <c r="AJ3498" s="5" t="s">
        <v>238</v>
      </c>
      <c r="AK3498" s="5" t="s">
        <v>238</v>
      </c>
      <c r="AL3498" s="5" t="s">
        <v>238</v>
      </c>
      <c r="AM3498" s="6" t="s">
        <v>238</v>
      </c>
      <c r="AN3498" s="6" t="s">
        <v>238</v>
      </c>
      <c r="AO3498" s="6" t="s">
        <v>238</v>
      </c>
      <c r="AP3498" s="6" t="s">
        <v>238</v>
      </c>
      <c r="AQ3498" s="5" t="s">
        <v>238</v>
      </c>
      <c r="AR3498" s="5" t="s">
        <v>488</v>
      </c>
      <c r="AS3498" s="5" t="s">
        <v>488</v>
      </c>
      <c r="AT3498" s="5" t="s">
        <v>246</v>
      </c>
      <c r="AU3498" s="5" t="s">
        <v>489</v>
      </c>
      <c r="AV3498" s="5" t="s">
        <v>247</v>
      </c>
      <c r="AW3498" s="5" t="s">
        <v>238</v>
      </c>
      <c r="AX3498" s="5" t="s">
        <v>249</v>
      </c>
      <c r="AY3498" s="5" t="s">
        <v>490</v>
      </c>
      <c r="BA3498" s="5" t="s">
        <v>238</v>
      </c>
      <c r="BC3498" s="5" t="s">
        <v>491</v>
      </c>
      <c r="BD3498" s="6" t="s">
        <v>492</v>
      </c>
      <c r="BE3498" s="5" t="s">
        <v>493</v>
      </c>
      <c r="BF3498" s="5" t="s">
        <v>493</v>
      </c>
      <c r="BG3498" s="5" t="s">
        <v>238</v>
      </c>
      <c r="BH3498" s="8">
        <f>1</f>
        <v>1</v>
      </c>
      <c r="BI3498" s="8">
        <f>1</f>
        <v>1</v>
      </c>
      <c r="BJ3498" s="5" t="s">
        <v>253</v>
      </c>
      <c r="BK3498" s="5" t="s">
        <v>254</v>
      </c>
      <c r="BL3498" s="5" t="s">
        <v>238</v>
      </c>
      <c r="BM3498" s="5" t="s">
        <v>238</v>
      </c>
      <c r="BN3498" s="5" t="s">
        <v>238</v>
      </c>
      <c r="BO3498" s="5" t="s">
        <v>238</v>
      </c>
      <c r="BP3498" s="5" t="s">
        <v>238</v>
      </c>
      <c r="BQ3498" s="5" t="s">
        <v>238</v>
      </c>
      <c r="BR3498" s="5" t="s">
        <v>238</v>
      </c>
      <c r="BS3498" s="5" t="s">
        <v>238</v>
      </c>
      <c r="BT3498" s="6" t="s">
        <v>238</v>
      </c>
      <c r="BU3498" s="5" t="s">
        <v>238</v>
      </c>
      <c r="BV3498" s="5" t="s">
        <v>238</v>
      </c>
      <c r="BW3498" s="5" t="s">
        <v>238</v>
      </c>
      <c r="BX3498" s="5" t="s">
        <v>254</v>
      </c>
      <c r="BY3498" s="5" t="s">
        <v>238</v>
      </c>
      <c r="BZ3498" s="5" t="s">
        <v>238</v>
      </c>
      <c r="CA3498" s="5" t="s">
        <v>238</v>
      </c>
      <c r="CB3498" s="5" t="s">
        <v>238</v>
      </c>
      <c r="CC3498" s="5" t="s">
        <v>238</v>
      </c>
      <c r="CD3498" s="5" t="s">
        <v>273</v>
      </c>
      <c r="CE3498" s="5" t="s">
        <v>256</v>
      </c>
      <c r="CF3498" s="5" t="s">
        <v>238</v>
      </c>
      <c r="CH3498" s="5" t="s">
        <v>494</v>
      </c>
      <c r="CI3498" s="6" t="s">
        <v>257</v>
      </c>
      <c r="CJ3498" s="5" t="s">
        <v>495</v>
      </c>
      <c r="CK3498" s="5" t="s">
        <v>258</v>
      </c>
      <c r="CL3498" s="5" t="s">
        <v>496</v>
      </c>
      <c r="CM3498" s="5" t="s">
        <v>238</v>
      </c>
      <c r="CN3498" s="5">
        <v>0</v>
      </c>
      <c r="CO3498" s="5" t="s">
        <v>497</v>
      </c>
      <c r="CP3498" s="5" t="s">
        <v>260</v>
      </c>
      <c r="CQ3498" s="5" t="s">
        <v>260</v>
      </c>
      <c r="CR3498" s="5" t="s">
        <v>261</v>
      </c>
      <c r="CS3498" s="5" t="s">
        <v>498</v>
      </c>
      <c r="CT3498" s="7">
        <f>1</f>
        <v>1</v>
      </c>
      <c r="CU3498" s="8">
        <f>1</f>
        <v>1</v>
      </c>
      <c r="CV3498" s="8">
        <f>0</f>
        <v>0</v>
      </c>
      <c r="CX3498" s="8">
        <f>1</f>
        <v>1</v>
      </c>
      <c r="CY3498" s="8">
        <f>1</f>
        <v>1</v>
      </c>
      <c r="CZ3498" s="8" t="s">
        <v>238</v>
      </c>
      <c r="DA3498" s="5" t="s">
        <v>238</v>
      </c>
      <c r="DB3498" s="5" t="s">
        <v>238</v>
      </c>
      <c r="DC3498" s="5" t="s">
        <v>238</v>
      </c>
      <c r="DD3498" s="5" t="s">
        <v>238</v>
      </c>
      <c r="DE3498" s="8">
        <f>0</f>
        <v>0</v>
      </c>
      <c r="DG3498" s="5" t="s">
        <v>238</v>
      </c>
      <c r="DH3498" s="5" t="s">
        <v>238</v>
      </c>
      <c r="DI3498" s="5" t="s">
        <v>238</v>
      </c>
      <c r="DJ3498" s="5" t="s">
        <v>238</v>
      </c>
      <c r="DK3498" s="5" t="s">
        <v>238</v>
      </c>
      <c r="DL3498" s="5" t="s">
        <v>238</v>
      </c>
      <c r="DM3498" s="8" t="s">
        <v>238</v>
      </c>
      <c r="DN3498" s="5" t="s">
        <v>238</v>
      </c>
      <c r="DO3498" s="5" t="s">
        <v>238</v>
      </c>
      <c r="DP3498" s="5" t="s">
        <v>490</v>
      </c>
      <c r="DQ3498" s="5" t="s">
        <v>490</v>
      </c>
      <c r="DR3498" s="5" t="s">
        <v>238</v>
      </c>
      <c r="DS3498" s="5" t="s">
        <v>238</v>
      </c>
      <c r="DT3498" s="5" t="s">
        <v>500</v>
      </c>
      <c r="DU3498" s="5" t="s">
        <v>430</v>
      </c>
      <c r="DV3498" s="5" t="s">
        <v>238</v>
      </c>
      <c r="DW3498" s="5" t="s">
        <v>238</v>
      </c>
      <c r="DX3498" s="5" t="s">
        <v>238</v>
      </c>
      <c r="DY3498" s="5" t="s">
        <v>238</v>
      </c>
      <c r="DZ3498" s="5" t="s">
        <v>238</v>
      </c>
      <c r="EA3498" s="5" t="s">
        <v>238</v>
      </c>
      <c r="EB3498" s="5" t="s">
        <v>238</v>
      </c>
      <c r="EC3498" s="5" t="s">
        <v>238</v>
      </c>
      <c r="ED3498" s="5" t="s">
        <v>238</v>
      </c>
      <c r="EE3498" s="5" t="s">
        <v>238</v>
      </c>
      <c r="EF3498" s="5" t="s">
        <v>238</v>
      </c>
      <c r="EG3498" s="5" t="s">
        <v>238</v>
      </c>
      <c r="EH3498" s="5" t="s">
        <v>238</v>
      </c>
      <c r="EI3498" s="5" t="s">
        <v>238</v>
      </c>
      <c r="EJ3498" s="5" t="s">
        <v>238</v>
      </c>
      <c r="EK3498" s="5" t="s">
        <v>238</v>
      </c>
      <c r="EL3498" s="5" t="s">
        <v>238</v>
      </c>
      <c r="EM3498" s="5" t="s">
        <v>238</v>
      </c>
      <c r="EN3498" s="5" t="s">
        <v>238</v>
      </c>
      <c r="EO3498" s="5" t="s">
        <v>238</v>
      </c>
      <c r="EP3498" s="5" t="s">
        <v>238</v>
      </c>
      <c r="EQ3498" s="5" t="s">
        <v>238</v>
      </c>
      <c r="ER3498" s="5" t="s">
        <v>238</v>
      </c>
      <c r="ES3498" s="5" t="s">
        <v>238</v>
      </c>
      <c r="ET3498" s="5" t="s">
        <v>238</v>
      </c>
      <c r="EU3498" s="5" t="s">
        <v>238</v>
      </c>
      <c r="EV3498" s="5" t="s">
        <v>238</v>
      </c>
      <c r="EW3498" s="5" t="s">
        <v>238</v>
      </c>
      <c r="EX3498" s="5" t="s">
        <v>238</v>
      </c>
      <c r="EY3498" s="5" t="s">
        <v>238</v>
      </c>
      <c r="EZ3498" s="5" t="s">
        <v>238</v>
      </c>
      <c r="FA3498" s="5" t="s">
        <v>238</v>
      </c>
      <c r="FB3498" s="5" t="s">
        <v>238</v>
      </c>
      <c r="FC3498" s="5" t="s">
        <v>238</v>
      </c>
      <c r="FD3498" s="5" t="s">
        <v>238</v>
      </c>
      <c r="FE3498" s="5" t="s">
        <v>238</v>
      </c>
      <c r="FF3498" s="5" t="s">
        <v>238</v>
      </c>
      <c r="FG3498" s="5" t="s">
        <v>238</v>
      </c>
      <c r="FH3498" s="5" t="s">
        <v>238</v>
      </c>
      <c r="FI3498" s="5" t="s">
        <v>238</v>
      </c>
      <c r="FJ3498" s="5" t="s">
        <v>238</v>
      </c>
      <c r="FK3498" s="5" t="s">
        <v>238</v>
      </c>
      <c r="FL3498" s="5" t="s">
        <v>238</v>
      </c>
      <c r="FM3498" s="5" t="s">
        <v>238</v>
      </c>
      <c r="FN3498" s="5" t="s">
        <v>238</v>
      </c>
      <c r="FO3498" s="5" t="s">
        <v>238</v>
      </c>
      <c r="FP3498" s="5" t="s">
        <v>238</v>
      </c>
      <c r="FQ3498" s="5" t="s">
        <v>238</v>
      </c>
      <c r="FR3498" s="5" t="s">
        <v>238</v>
      </c>
      <c r="FS3498" s="5" t="s">
        <v>238</v>
      </c>
      <c r="FT3498" s="5" t="s">
        <v>238</v>
      </c>
      <c r="FU3498" s="5" t="s">
        <v>238</v>
      </c>
      <c r="FV3498" s="5" t="s">
        <v>238</v>
      </c>
      <c r="FW3498" s="5" t="s">
        <v>238</v>
      </c>
      <c r="FX3498" s="5" t="s">
        <v>238</v>
      </c>
      <c r="FY3498" s="5" t="s">
        <v>238</v>
      </c>
      <c r="FZ3498" s="5" t="s">
        <v>238</v>
      </c>
      <c r="GA3498" s="5" t="s">
        <v>238</v>
      </c>
      <c r="GB3498" s="5" t="s">
        <v>238</v>
      </c>
      <c r="GC3498" s="5" t="s">
        <v>238</v>
      </c>
      <c r="GD3498" s="5" t="s">
        <v>238</v>
      </c>
      <c r="GE3498" s="5" t="s">
        <v>238</v>
      </c>
      <c r="GF3498" s="5" t="s">
        <v>238</v>
      </c>
      <c r="GG3498" s="5" t="s">
        <v>238</v>
      </c>
      <c r="GH3498" s="5" t="s">
        <v>238</v>
      </c>
      <c r="GI3498" s="5" t="s">
        <v>238</v>
      </c>
      <c r="GJ3498" s="5" t="s">
        <v>238</v>
      </c>
      <c r="GK3498" s="5" t="s">
        <v>238</v>
      </c>
      <c r="GL3498" s="5" t="s">
        <v>238</v>
      </c>
      <c r="GM3498" s="5" t="s">
        <v>238</v>
      </c>
      <c r="GN3498" s="5" t="s">
        <v>238</v>
      </c>
      <c r="GO3498" s="5" t="s">
        <v>238</v>
      </c>
      <c r="GP3498" s="5" t="s">
        <v>238</v>
      </c>
      <c r="GQ3498" s="5" t="s">
        <v>238</v>
      </c>
      <c r="GR3498" s="5" t="s">
        <v>238</v>
      </c>
      <c r="GS3498" s="5" t="s">
        <v>238</v>
      </c>
      <c r="GT3498" s="5" t="s">
        <v>238</v>
      </c>
      <c r="GU3498" s="5" t="s">
        <v>238</v>
      </c>
      <c r="GV3498" s="5" t="s">
        <v>238</v>
      </c>
      <c r="GW3498" s="5" t="s">
        <v>238</v>
      </c>
      <c r="GX3498" s="5" t="s">
        <v>238</v>
      </c>
      <c r="GY3498" s="5" t="s">
        <v>238</v>
      </c>
      <c r="GZ3498" s="5" t="s">
        <v>238</v>
      </c>
      <c r="HA3498" s="5" t="s">
        <v>238</v>
      </c>
      <c r="HB3498" s="5" t="s">
        <v>238</v>
      </c>
      <c r="HC3498" s="5" t="s">
        <v>238</v>
      </c>
      <c r="HD3498" s="5" t="s">
        <v>238</v>
      </c>
      <c r="HE3498" s="5" t="s">
        <v>238</v>
      </c>
      <c r="HF3498" s="5" t="s">
        <v>238</v>
      </c>
      <c r="HG3498" s="5" t="s">
        <v>238</v>
      </c>
      <c r="HH3498" s="5" t="s">
        <v>238</v>
      </c>
      <c r="HI3498" s="5" t="s">
        <v>238</v>
      </c>
      <c r="HJ3498" s="5" t="s">
        <v>238</v>
      </c>
      <c r="HK3498" s="5" t="s">
        <v>238</v>
      </c>
      <c r="HL3498" s="5" t="s">
        <v>238</v>
      </c>
      <c r="HM3498" s="5" t="s">
        <v>264</v>
      </c>
      <c r="HN3498" s="5" t="s">
        <v>238</v>
      </c>
      <c r="HO3498" s="5" t="s">
        <v>238</v>
      </c>
      <c r="HP3498" s="5" t="s">
        <v>238</v>
      </c>
      <c r="HQ3498" s="5" t="s">
        <v>238</v>
      </c>
      <c r="HR3498" s="5" t="s">
        <v>238</v>
      </c>
      <c r="HS3498" s="5" t="s">
        <v>238</v>
      </c>
      <c r="HT3498" s="5" t="s">
        <v>238</v>
      </c>
      <c r="HU3498" s="5" t="s">
        <v>238</v>
      </c>
      <c r="HV3498" s="5" t="s">
        <v>238</v>
      </c>
      <c r="HW3498" s="5" t="s">
        <v>238</v>
      </c>
      <c r="HX3498" s="5" t="s">
        <v>238</v>
      </c>
      <c r="HY3498" s="5" t="s">
        <v>238</v>
      </c>
      <c r="HZ3498" s="5" t="s">
        <v>238</v>
      </c>
      <c r="IA3498" s="5" t="s">
        <v>238</v>
      </c>
      <c r="IB3498" s="5" t="s">
        <v>238</v>
      </c>
      <c r="IC3498" s="5" t="s">
        <v>238</v>
      </c>
      <c r="ID3498" s="5" t="s">
        <v>238</v>
      </c>
    </row>
    <row r="3499" spans="1:238" x14ac:dyDescent="0.4">
      <c r="A3499" s="5">
        <v>9217</v>
      </c>
      <c r="B3499" s="5">
        <v>1</v>
      </c>
      <c r="C3499" s="5">
        <v>1</v>
      </c>
      <c r="D3499" s="5" t="s">
        <v>484</v>
      </c>
      <c r="E3499" s="5" t="s">
        <v>485</v>
      </c>
      <c r="F3499" s="5" t="s">
        <v>248</v>
      </c>
      <c r="G3499" s="5" t="s">
        <v>2231</v>
      </c>
      <c r="H3499" s="6" t="s">
        <v>2233</v>
      </c>
      <c r="I3499" s="8">
        <f>1</f>
        <v>1</v>
      </c>
      <c r="J3499" s="5" t="s">
        <v>499</v>
      </c>
      <c r="K3499" s="8">
        <f>1</f>
        <v>1</v>
      </c>
      <c r="L3499" s="6" t="s">
        <v>242</v>
      </c>
      <c r="M3499" s="5" t="s">
        <v>267</v>
      </c>
      <c r="N3499" s="5" t="s">
        <v>482</v>
      </c>
      <c r="O3499" s="5" t="s">
        <v>238</v>
      </c>
      <c r="P3499" s="5" t="s">
        <v>238</v>
      </c>
      <c r="Q3499" s="5" t="s">
        <v>239</v>
      </c>
      <c r="R3499" s="5" t="s">
        <v>270</v>
      </c>
      <c r="S3499" s="5" t="s">
        <v>238</v>
      </c>
      <c r="T3499" s="5" t="s">
        <v>238</v>
      </c>
      <c r="U3499" s="5" t="s">
        <v>238</v>
      </c>
      <c r="V3499" s="5" t="s">
        <v>238</v>
      </c>
      <c r="W3499" s="6" t="s">
        <v>238</v>
      </c>
      <c r="X3499" s="6" t="s">
        <v>238</v>
      </c>
      <c r="Y3499" s="5" t="s">
        <v>238</v>
      </c>
      <c r="Z3499" s="6" t="s">
        <v>238</v>
      </c>
      <c r="AA3499" s="6" t="s">
        <v>243</v>
      </c>
      <c r="AB3499" s="5" t="s">
        <v>2232</v>
      </c>
      <c r="AC3499" s="5" t="s">
        <v>244</v>
      </c>
      <c r="AD3499" s="5" t="s">
        <v>245</v>
      </c>
      <c r="AE3499" s="5" t="s">
        <v>238</v>
      </c>
      <c r="AF3499" s="5" t="s">
        <v>238</v>
      </c>
      <c r="AG3499" s="5" t="s">
        <v>238</v>
      </c>
      <c r="AH3499" s="5" t="s">
        <v>238</v>
      </c>
      <c r="AI3499" s="5" t="s">
        <v>238</v>
      </c>
      <c r="AJ3499" s="5" t="s">
        <v>238</v>
      </c>
      <c r="AK3499" s="5" t="s">
        <v>238</v>
      </c>
      <c r="AL3499" s="5" t="s">
        <v>238</v>
      </c>
      <c r="AM3499" s="6" t="s">
        <v>238</v>
      </c>
      <c r="AN3499" s="6" t="s">
        <v>238</v>
      </c>
      <c r="AO3499" s="6" t="s">
        <v>238</v>
      </c>
      <c r="AP3499" s="6" t="s">
        <v>238</v>
      </c>
      <c r="AQ3499" s="5" t="s">
        <v>238</v>
      </c>
      <c r="AR3499" s="5" t="s">
        <v>488</v>
      </c>
      <c r="AS3499" s="5" t="s">
        <v>488</v>
      </c>
      <c r="AT3499" s="5" t="s">
        <v>246</v>
      </c>
      <c r="AU3499" s="5" t="s">
        <v>489</v>
      </c>
      <c r="AV3499" s="5" t="s">
        <v>247</v>
      </c>
      <c r="AW3499" s="5" t="s">
        <v>238</v>
      </c>
      <c r="AX3499" s="5" t="s">
        <v>249</v>
      </c>
      <c r="AY3499" s="5" t="s">
        <v>490</v>
      </c>
      <c r="BA3499" s="5" t="s">
        <v>238</v>
      </c>
      <c r="BC3499" s="5" t="s">
        <v>491</v>
      </c>
      <c r="BD3499" s="6" t="s">
        <v>492</v>
      </c>
      <c r="BE3499" s="5" t="s">
        <v>493</v>
      </c>
      <c r="BF3499" s="5" t="s">
        <v>493</v>
      </c>
      <c r="BG3499" s="5" t="s">
        <v>238</v>
      </c>
      <c r="BH3499" s="8">
        <f>1</f>
        <v>1</v>
      </c>
      <c r="BI3499" s="8">
        <f>1</f>
        <v>1</v>
      </c>
      <c r="BJ3499" s="5" t="s">
        <v>253</v>
      </c>
      <c r="BK3499" s="5" t="s">
        <v>254</v>
      </c>
      <c r="BL3499" s="5" t="s">
        <v>238</v>
      </c>
      <c r="BM3499" s="5" t="s">
        <v>238</v>
      </c>
      <c r="BN3499" s="5" t="s">
        <v>238</v>
      </c>
      <c r="BO3499" s="5" t="s">
        <v>238</v>
      </c>
      <c r="BP3499" s="5" t="s">
        <v>238</v>
      </c>
      <c r="BQ3499" s="5" t="s">
        <v>238</v>
      </c>
      <c r="BR3499" s="5" t="s">
        <v>238</v>
      </c>
      <c r="BS3499" s="5" t="s">
        <v>238</v>
      </c>
      <c r="BT3499" s="6" t="s">
        <v>238</v>
      </c>
      <c r="BU3499" s="5" t="s">
        <v>238</v>
      </c>
      <c r="BV3499" s="5" t="s">
        <v>238</v>
      </c>
      <c r="BW3499" s="5" t="s">
        <v>238</v>
      </c>
      <c r="BX3499" s="5" t="s">
        <v>254</v>
      </c>
      <c r="BY3499" s="5" t="s">
        <v>238</v>
      </c>
      <c r="BZ3499" s="5" t="s">
        <v>238</v>
      </c>
      <c r="CA3499" s="5" t="s">
        <v>238</v>
      </c>
      <c r="CB3499" s="5" t="s">
        <v>238</v>
      </c>
      <c r="CC3499" s="5" t="s">
        <v>238</v>
      </c>
      <c r="CD3499" s="5" t="s">
        <v>273</v>
      </c>
      <c r="CE3499" s="5" t="s">
        <v>256</v>
      </c>
      <c r="CF3499" s="5" t="s">
        <v>238</v>
      </c>
      <c r="CH3499" s="5" t="s">
        <v>494</v>
      </c>
      <c r="CI3499" s="6" t="s">
        <v>257</v>
      </c>
      <c r="CJ3499" s="5" t="s">
        <v>495</v>
      </c>
      <c r="CK3499" s="5" t="s">
        <v>258</v>
      </c>
      <c r="CL3499" s="5" t="s">
        <v>496</v>
      </c>
      <c r="CM3499" s="5" t="s">
        <v>238</v>
      </c>
      <c r="CN3499" s="5">
        <v>0</v>
      </c>
      <c r="CO3499" s="5" t="s">
        <v>497</v>
      </c>
      <c r="CP3499" s="5" t="s">
        <v>260</v>
      </c>
      <c r="CQ3499" s="5" t="s">
        <v>260</v>
      </c>
      <c r="CR3499" s="5" t="s">
        <v>261</v>
      </c>
      <c r="CS3499" s="5" t="s">
        <v>498</v>
      </c>
      <c r="CT3499" s="7">
        <f>1</f>
        <v>1</v>
      </c>
      <c r="CU3499" s="8">
        <f>1</f>
        <v>1</v>
      </c>
      <c r="CV3499" s="8">
        <f>0</f>
        <v>0</v>
      </c>
      <c r="CX3499" s="8">
        <f>1</f>
        <v>1</v>
      </c>
      <c r="CY3499" s="8">
        <f>1</f>
        <v>1</v>
      </c>
      <c r="CZ3499" s="8" t="s">
        <v>238</v>
      </c>
      <c r="DA3499" s="5" t="s">
        <v>238</v>
      </c>
      <c r="DB3499" s="5" t="s">
        <v>238</v>
      </c>
      <c r="DC3499" s="5" t="s">
        <v>238</v>
      </c>
      <c r="DD3499" s="5" t="s">
        <v>238</v>
      </c>
      <c r="DE3499" s="8">
        <f>0</f>
        <v>0</v>
      </c>
      <c r="DG3499" s="5" t="s">
        <v>238</v>
      </c>
      <c r="DH3499" s="5" t="s">
        <v>238</v>
      </c>
      <c r="DI3499" s="5" t="s">
        <v>238</v>
      </c>
      <c r="DJ3499" s="5" t="s">
        <v>238</v>
      </c>
      <c r="DK3499" s="5" t="s">
        <v>238</v>
      </c>
      <c r="DL3499" s="5" t="s">
        <v>238</v>
      </c>
      <c r="DM3499" s="8" t="s">
        <v>238</v>
      </c>
      <c r="DN3499" s="5" t="s">
        <v>238</v>
      </c>
      <c r="DO3499" s="5" t="s">
        <v>238</v>
      </c>
      <c r="DP3499" s="5" t="s">
        <v>490</v>
      </c>
      <c r="DQ3499" s="5" t="s">
        <v>490</v>
      </c>
      <c r="DR3499" s="5" t="s">
        <v>238</v>
      </c>
      <c r="DS3499" s="5" t="s">
        <v>238</v>
      </c>
      <c r="DT3499" s="5" t="s">
        <v>500</v>
      </c>
      <c r="DU3499" s="5" t="s">
        <v>440</v>
      </c>
      <c r="DV3499" s="5" t="s">
        <v>238</v>
      </c>
      <c r="DW3499" s="5" t="s">
        <v>238</v>
      </c>
      <c r="DX3499" s="5" t="s">
        <v>238</v>
      </c>
      <c r="DY3499" s="5" t="s">
        <v>238</v>
      </c>
      <c r="DZ3499" s="5" t="s">
        <v>238</v>
      </c>
      <c r="EA3499" s="5" t="s">
        <v>238</v>
      </c>
      <c r="EB3499" s="5" t="s">
        <v>238</v>
      </c>
      <c r="EC3499" s="5" t="s">
        <v>238</v>
      </c>
      <c r="ED3499" s="5" t="s">
        <v>238</v>
      </c>
      <c r="EE3499" s="5" t="s">
        <v>238</v>
      </c>
      <c r="EF3499" s="5" t="s">
        <v>238</v>
      </c>
      <c r="EG3499" s="5" t="s">
        <v>238</v>
      </c>
      <c r="EH3499" s="5" t="s">
        <v>238</v>
      </c>
      <c r="EI3499" s="5" t="s">
        <v>238</v>
      </c>
      <c r="EJ3499" s="5" t="s">
        <v>238</v>
      </c>
      <c r="EK3499" s="5" t="s">
        <v>238</v>
      </c>
      <c r="EL3499" s="5" t="s">
        <v>238</v>
      </c>
      <c r="EM3499" s="5" t="s">
        <v>238</v>
      </c>
      <c r="EN3499" s="5" t="s">
        <v>238</v>
      </c>
      <c r="EO3499" s="5" t="s">
        <v>238</v>
      </c>
      <c r="EP3499" s="5" t="s">
        <v>238</v>
      </c>
      <c r="EQ3499" s="5" t="s">
        <v>238</v>
      </c>
      <c r="ER3499" s="5" t="s">
        <v>238</v>
      </c>
      <c r="ES3499" s="5" t="s">
        <v>238</v>
      </c>
      <c r="ET3499" s="5" t="s">
        <v>238</v>
      </c>
      <c r="EU3499" s="5" t="s">
        <v>238</v>
      </c>
      <c r="EV3499" s="5" t="s">
        <v>238</v>
      </c>
      <c r="EW3499" s="5" t="s">
        <v>238</v>
      </c>
      <c r="EX3499" s="5" t="s">
        <v>238</v>
      </c>
      <c r="EY3499" s="5" t="s">
        <v>238</v>
      </c>
      <c r="EZ3499" s="5" t="s">
        <v>238</v>
      </c>
      <c r="FA3499" s="5" t="s">
        <v>238</v>
      </c>
      <c r="FB3499" s="5" t="s">
        <v>238</v>
      </c>
      <c r="FC3499" s="5" t="s">
        <v>238</v>
      </c>
      <c r="FD3499" s="5" t="s">
        <v>238</v>
      </c>
      <c r="FE3499" s="5" t="s">
        <v>238</v>
      </c>
      <c r="FF3499" s="5" t="s">
        <v>238</v>
      </c>
      <c r="FG3499" s="5" t="s">
        <v>238</v>
      </c>
      <c r="FH3499" s="5" t="s">
        <v>238</v>
      </c>
      <c r="FI3499" s="5" t="s">
        <v>238</v>
      </c>
      <c r="FJ3499" s="5" t="s">
        <v>238</v>
      </c>
      <c r="FK3499" s="5" t="s">
        <v>238</v>
      </c>
      <c r="FL3499" s="5" t="s">
        <v>238</v>
      </c>
      <c r="FM3499" s="5" t="s">
        <v>238</v>
      </c>
      <c r="FN3499" s="5" t="s">
        <v>238</v>
      </c>
      <c r="FO3499" s="5" t="s">
        <v>238</v>
      </c>
      <c r="FP3499" s="5" t="s">
        <v>238</v>
      </c>
      <c r="FQ3499" s="5" t="s">
        <v>238</v>
      </c>
      <c r="FR3499" s="5" t="s">
        <v>238</v>
      </c>
      <c r="FS3499" s="5" t="s">
        <v>238</v>
      </c>
      <c r="FT3499" s="5" t="s">
        <v>238</v>
      </c>
      <c r="FU3499" s="5" t="s">
        <v>238</v>
      </c>
      <c r="FV3499" s="5" t="s">
        <v>238</v>
      </c>
      <c r="FW3499" s="5" t="s">
        <v>238</v>
      </c>
      <c r="FX3499" s="5" t="s">
        <v>238</v>
      </c>
      <c r="FY3499" s="5" t="s">
        <v>238</v>
      </c>
      <c r="FZ3499" s="5" t="s">
        <v>238</v>
      </c>
      <c r="GA3499" s="5" t="s">
        <v>238</v>
      </c>
      <c r="GB3499" s="5" t="s">
        <v>238</v>
      </c>
      <c r="GC3499" s="5" t="s">
        <v>238</v>
      </c>
      <c r="GD3499" s="5" t="s">
        <v>238</v>
      </c>
      <c r="GE3499" s="5" t="s">
        <v>238</v>
      </c>
      <c r="GF3499" s="5" t="s">
        <v>238</v>
      </c>
      <c r="GG3499" s="5" t="s">
        <v>238</v>
      </c>
      <c r="GH3499" s="5" t="s">
        <v>238</v>
      </c>
      <c r="GI3499" s="5" t="s">
        <v>238</v>
      </c>
      <c r="GJ3499" s="5" t="s">
        <v>238</v>
      </c>
      <c r="GK3499" s="5" t="s">
        <v>238</v>
      </c>
      <c r="GL3499" s="5" t="s">
        <v>238</v>
      </c>
      <c r="GM3499" s="5" t="s">
        <v>238</v>
      </c>
      <c r="GN3499" s="5" t="s">
        <v>238</v>
      </c>
      <c r="GO3499" s="5" t="s">
        <v>238</v>
      </c>
      <c r="GP3499" s="5" t="s">
        <v>238</v>
      </c>
      <c r="GQ3499" s="5" t="s">
        <v>238</v>
      </c>
      <c r="GR3499" s="5" t="s">
        <v>238</v>
      </c>
      <c r="GS3499" s="5" t="s">
        <v>238</v>
      </c>
      <c r="GT3499" s="5" t="s">
        <v>238</v>
      </c>
      <c r="GU3499" s="5" t="s">
        <v>238</v>
      </c>
      <c r="GV3499" s="5" t="s">
        <v>238</v>
      </c>
      <c r="GW3499" s="5" t="s">
        <v>238</v>
      </c>
      <c r="GX3499" s="5" t="s">
        <v>238</v>
      </c>
      <c r="GY3499" s="5" t="s">
        <v>238</v>
      </c>
      <c r="GZ3499" s="5" t="s">
        <v>238</v>
      </c>
      <c r="HA3499" s="5" t="s">
        <v>238</v>
      </c>
      <c r="HB3499" s="5" t="s">
        <v>238</v>
      </c>
      <c r="HC3499" s="5" t="s">
        <v>238</v>
      </c>
      <c r="HD3499" s="5" t="s">
        <v>238</v>
      </c>
      <c r="HE3499" s="5" t="s">
        <v>238</v>
      </c>
      <c r="HF3499" s="5" t="s">
        <v>238</v>
      </c>
      <c r="HG3499" s="5" t="s">
        <v>238</v>
      </c>
      <c r="HH3499" s="5" t="s">
        <v>238</v>
      </c>
      <c r="HI3499" s="5" t="s">
        <v>238</v>
      </c>
      <c r="HJ3499" s="5" t="s">
        <v>238</v>
      </c>
      <c r="HK3499" s="5" t="s">
        <v>238</v>
      </c>
      <c r="HL3499" s="5" t="s">
        <v>238</v>
      </c>
      <c r="HM3499" s="5" t="s">
        <v>264</v>
      </c>
      <c r="HN3499" s="5" t="s">
        <v>238</v>
      </c>
      <c r="HO3499" s="5" t="s">
        <v>238</v>
      </c>
      <c r="HP3499" s="5" t="s">
        <v>238</v>
      </c>
      <c r="HQ3499" s="5" t="s">
        <v>238</v>
      </c>
      <c r="HR3499" s="5" t="s">
        <v>238</v>
      </c>
      <c r="HS3499" s="5" t="s">
        <v>238</v>
      </c>
      <c r="HT3499" s="5" t="s">
        <v>238</v>
      </c>
      <c r="HU3499" s="5" t="s">
        <v>238</v>
      </c>
      <c r="HV3499" s="5" t="s">
        <v>238</v>
      </c>
      <c r="HW3499" s="5" t="s">
        <v>238</v>
      </c>
      <c r="HX3499" s="5" t="s">
        <v>238</v>
      </c>
      <c r="HY3499" s="5" t="s">
        <v>238</v>
      </c>
      <c r="HZ3499" s="5" t="s">
        <v>238</v>
      </c>
      <c r="IA3499" s="5" t="s">
        <v>238</v>
      </c>
      <c r="IB3499" s="5" t="s">
        <v>238</v>
      </c>
      <c r="IC3499" s="5" t="s">
        <v>238</v>
      </c>
      <c r="ID3499" s="5" t="s">
        <v>238</v>
      </c>
    </row>
    <row r="3500" spans="1:238" x14ac:dyDescent="0.4">
      <c r="A3500" s="5">
        <v>9218</v>
      </c>
      <c r="B3500" s="5">
        <v>1</v>
      </c>
      <c r="C3500" s="5">
        <v>1</v>
      </c>
      <c r="D3500" s="5" t="s">
        <v>484</v>
      </c>
      <c r="E3500" s="5" t="s">
        <v>485</v>
      </c>
      <c r="F3500" s="5" t="s">
        <v>248</v>
      </c>
      <c r="G3500" s="5" t="s">
        <v>5626</v>
      </c>
      <c r="H3500" s="6" t="s">
        <v>5627</v>
      </c>
      <c r="I3500" s="8">
        <f>1</f>
        <v>1</v>
      </c>
      <c r="J3500" s="5" t="s">
        <v>499</v>
      </c>
      <c r="K3500" s="8">
        <f>1</f>
        <v>1</v>
      </c>
      <c r="L3500" s="6" t="s">
        <v>242</v>
      </c>
      <c r="M3500" s="5" t="s">
        <v>267</v>
      </c>
      <c r="N3500" s="5" t="s">
        <v>482</v>
      </c>
      <c r="O3500" s="5" t="s">
        <v>238</v>
      </c>
      <c r="P3500" s="5" t="s">
        <v>238</v>
      </c>
      <c r="Q3500" s="5" t="s">
        <v>239</v>
      </c>
      <c r="R3500" s="5" t="s">
        <v>270</v>
      </c>
      <c r="S3500" s="5" t="s">
        <v>238</v>
      </c>
      <c r="T3500" s="5" t="s">
        <v>238</v>
      </c>
      <c r="U3500" s="5" t="s">
        <v>238</v>
      </c>
      <c r="V3500" s="5" t="s">
        <v>238</v>
      </c>
      <c r="W3500" s="6" t="s">
        <v>238</v>
      </c>
      <c r="X3500" s="6" t="s">
        <v>238</v>
      </c>
      <c r="Y3500" s="5" t="s">
        <v>238</v>
      </c>
      <c r="Z3500" s="6" t="s">
        <v>238</v>
      </c>
      <c r="AA3500" s="6" t="s">
        <v>243</v>
      </c>
      <c r="AB3500" s="5" t="s">
        <v>486</v>
      </c>
      <c r="AC3500" s="5" t="s">
        <v>244</v>
      </c>
      <c r="AD3500" s="5" t="s">
        <v>245</v>
      </c>
      <c r="AE3500" s="5" t="s">
        <v>238</v>
      </c>
      <c r="AF3500" s="5" t="s">
        <v>238</v>
      </c>
      <c r="AG3500" s="5" t="s">
        <v>238</v>
      </c>
      <c r="AH3500" s="5" t="s">
        <v>238</v>
      </c>
      <c r="AI3500" s="5" t="s">
        <v>238</v>
      </c>
      <c r="AJ3500" s="5" t="s">
        <v>238</v>
      </c>
      <c r="AK3500" s="5" t="s">
        <v>238</v>
      </c>
      <c r="AL3500" s="5" t="s">
        <v>238</v>
      </c>
      <c r="AM3500" s="6" t="s">
        <v>238</v>
      </c>
      <c r="AN3500" s="6" t="s">
        <v>238</v>
      </c>
      <c r="AO3500" s="6" t="s">
        <v>238</v>
      </c>
      <c r="AP3500" s="6" t="s">
        <v>238</v>
      </c>
      <c r="AQ3500" s="5" t="s">
        <v>238</v>
      </c>
      <c r="AR3500" s="5" t="s">
        <v>488</v>
      </c>
      <c r="AS3500" s="5" t="s">
        <v>488</v>
      </c>
      <c r="AT3500" s="5" t="s">
        <v>246</v>
      </c>
      <c r="AU3500" s="5" t="s">
        <v>489</v>
      </c>
      <c r="AV3500" s="5" t="s">
        <v>247</v>
      </c>
      <c r="AW3500" s="5" t="s">
        <v>238</v>
      </c>
      <c r="AX3500" s="5" t="s">
        <v>249</v>
      </c>
      <c r="AY3500" s="5" t="s">
        <v>490</v>
      </c>
      <c r="BA3500" s="5" t="s">
        <v>238</v>
      </c>
      <c r="BC3500" s="5" t="s">
        <v>491</v>
      </c>
      <c r="BD3500" s="6" t="s">
        <v>492</v>
      </c>
      <c r="BE3500" s="5" t="s">
        <v>493</v>
      </c>
      <c r="BF3500" s="5" t="s">
        <v>493</v>
      </c>
      <c r="BG3500" s="5" t="s">
        <v>238</v>
      </c>
      <c r="BH3500" s="8">
        <f>1</f>
        <v>1</v>
      </c>
      <c r="BI3500" s="8">
        <f>1</f>
        <v>1</v>
      </c>
      <c r="BJ3500" s="5" t="s">
        <v>253</v>
      </c>
      <c r="BK3500" s="5" t="s">
        <v>254</v>
      </c>
      <c r="BL3500" s="5" t="s">
        <v>238</v>
      </c>
      <c r="BM3500" s="5" t="s">
        <v>238</v>
      </c>
      <c r="BN3500" s="5" t="s">
        <v>238</v>
      </c>
      <c r="BO3500" s="5" t="s">
        <v>238</v>
      </c>
      <c r="BP3500" s="5" t="s">
        <v>238</v>
      </c>
      <c r="BQ3500" s="5" t="s">
        <v>238</v>
      </c>
      <c r="BR3500" s="5" t="s">
        <v>238</v>
      </c>
      <c r="BS3500" s="5" t="s">
        <v>238</v>
      </c>
      <c r="BT3500" s="6" t="s">
        <v>238</v>
      </c>
      <c r="BU3500" s="5" t="s">
        <v>238</v>
      </c>
      <c r="BV3500" s="5" t="s">
        <v>238</v>
      </c>
      <c r="BW3500" s="5" t="s">
        <v>238</v>
      </c>
      <c r="BX3500" s="5" t="s">
        <v>254</v>
      </c>
      <c r="BY3500" s="5" t="s">
        <v>238</v>
      </c>
      <c r="BZ3500" s="5" t="s">
        <v>238</v>
      </c>
      <c r="CA3500" s="5" t="s">
        <v>238</v>
      </c>
      <c r="CB3500" s="5" t="s">
        <v>238</v>
      </c>
      <c r="CC3500" s="5" t="s">
        <v>238</v>
      </c>
      <c r="CD3500" s="5" t="s">
        <v>273</v>
      </c>
      <c r="CE3500" s="5" t="s">
        <v>256</v>
      </c>
      <c r="CF3500" s="5" t="s">
        <v>238</v>
      </c>
      <c r="CH3500" s="5" t="s">
        <v>494</v>
      </c>
      <c r="CI3500" s="6" t="s">
        <v>257</v>
      </c>
      <c r="CJ3500" s="5" t="s">
        <v>495</v>
      </c>
      <c r="CK3500" s="5" t="s">
        <v>258</v>
      </c>
      <c r="CL3500" s="5" t="s">
        <v>496</v>
      </c>
      <c r="CM3500" s="5" t="s">
        <v>238</v>
      </c>
      <c r="CN3500" s="5">
        <v>0</v>
      </c>
      <c r="CO3500" s="5" t="s">
        <v>497</v>
      </c>
      <c r="CP3500" s="5" t="s">
        <v>260</v>
      </c>
      <c r="CQ3500" s="5" t="s">
        <v>260</v>
      </c>
      <c r="CR3500" s="5" t="s">
        <v>261</v>
      </c>
      <c r="CS3500" s="5" t="s">
        <v>498</v>
      </c>
      <c r="CT3500" s="7">
        <f>1</f>
        <v>1</v>
      </c>
      <c r="CU3500" s="8">
        <f>1</f>
        <v>1</v>
      </c>
      <c r="CV3500" s="8">
        <f>0</f>
        <v>0</v>
      </c>
      <c r="CX3500" s="8">
        <f>1</f>
        <v>1</v>
      </c>
      <c r="CY3500" s="8">
        <f>1</f>
        <v>1</v>
      </c>
      <c r="CZ3500" s="8" t="s">
        <v>238</v>
      </c>
      <c r="DA3500" s="5" t="s">
        <v>238</v>
      </c>
      <c r="DB3500" s="5" t="s">
        <v>238</v>
      </c>
      <c r="DC3500" s="5" t="s">
        <v>238</v>
      </c>
      <c r="DD3500" s="5" t="s">
        <v>238</v>
      </c>
      <c r="DE3500" s="8">
        <f>0</f>
        <v>0</v>
      </c>
      <c r="DG3500" s="5" t="s">
        <v>238</v>
      </c>
      <c r="DH3500" s="5" t="s">
        <v>238</v>
      </c>
      <c r="DI3500" s="5" t="s">
        <v>238</v>
      </c>
      <c r="DJ3500" s="5" t="s">
        <v>238</v>
      </c>
      <c r="DK3500" s="5" t="s">
        <v>238</v>
      </c>
      <c r="DL3500" s="5" t="s">
        <v>238</v>
      </c>
      <c r="DM3500" s="8" t="s">
        <v>238</v>
      </c>
      <c r="DN3500" s="5" t="s">
        <v>238</v>
      </c>
      <c r="DO3500" s="5" t="s">
        <v>238</v>
      </c>
      <c r="DP3500" s="5" t="s">
        <v>490</v>
      </c>
      <c r="DQ3500" s="5" t="s">
        <v>490</v>
      </c>
      <c r="DR3500" s="5" t="s">
        <v>238</v>
      </c>
      <c r="DS3500" s="5" t="s">
        <v>238</v>
      </c>
      <c r="DT3500" s="5" t="s">
        <v>500</v>
      </c>
      <c r="DU3500" s="5" t="s">
        <v>714</v>
      </c>
      <c r="DV3500" s="5" t="s">
        <v>238</v>
      </c>
      <c r="DW3500" s="5" t="s">
        <v>238</v>
      </c>
      <c r="DX3500" s="5" t="s">
        <v>238</v>
      </c>
      <c r="DY3500" s="5" t="s">
        <v>238</v>
      </c>
      <c r="DZ3500" s="5" t="s">
        <v>238</v>
      </c>
      <c r="EA3500" s="5" t="s">
        <v>238</v>
      </c>
      <c r="EB3500" s="5" t="s">
        <v>238</v>
      </c>
      <c r="EC3500" s="5" t="s">
        <v>238</v>
      </c>
      <c r="ED3500" s="5" t="s">
        <v>238</v>
      </c>
      <c r="EE3500" s="5" t="s">
        <v>238</v>
      </c>
      <c r="EF3500" s="5" t="s">
        <v>238</v>
      </c>
      <c r="EG3500" s="5" t="s">
        <v>238</v>
      </c>
      <c r="EH3500" s="5" t="s">
        <v>238</v>
      </c>
      <c r="EI3500" s="5" t="s">
        <v>238</v>
      </c>
      <c r="EJ3500" s="5" t="s">
        <v>238</v>
      </c>
      <c r="EK3500" s="5" t="s">
        <v>238</v>
      </c>
      <c r="EL3500" s="5" t="s">
        <v>238</v>
      </c>
      <c r="EM3500" s="5" t="s">
        <v>238</v>
      </c>
      <c r="EN3500" s="5" t="s">
        <v>238</v>
      </c>
      <c r="EO3500" s="5" t="s">
        <v>238</v>
      </c>
      <c r="EP3500" s="5" t="s">
        <v>238</v>
      </c>
      <c r="EQ3500" s="5" t="s">
        <v>238</v>
      </c>
      <c r="ER3500" s="5" t="s">
        <v>238</v>
      </c>
      <c r="ES3500" s="5" t="s">
        <v>238</v>
      </c>
      <c r="ET3500" s="5" t="s">
        <v>238</v>
      </c>
      <c r="EU3500" s="5" t="s">
        <v>238</v>
      </c>
      <c r="EV3500" s="5" t="s">
        <v>238</v>
      </c>
      <c r="EW3500" s="5" t="s">
        <v>238</v>
      </c>
      <c r="EX3500" s="5" t="s">
        <v>238</v>
      </c>
      <c r="EY3500" s="5" t="s">
        <v>238</v>
      </c>
      <c r="EZ3500" s="5" t="s">
        <v>238</v>
      </c>
      <c r="FA3500" s="5" t="s">
        <v>238</v>
      </c>
      <c r="FB3500" s="5" t="s">
        <v>238</v>
      </c>
      <c r="FC3500" s="5" t="s">
        <v>238</v>
      </c>
      <c r="FD3500" s="5" t="s">
        <v>238</v>
      </c>
      <c r="FE3500" s="5" t="s">
        <v>238</v>
      </c>
      <c r="FF3500" s="5" t="s">
        <v>238</v>
      </c>
      <c r="FG3500" s="5" t="s">
        <v>238</v>
      </c>
      <c r="FH3500" s="5" t="s">
        <v>238</v>
      </c>
      <c r="FI3500" s="5" t="s">
        <v>238</v>
      </c>
      <c r="FJ3500" s="5" t="s">
        <v>238</v>
      </c>
      <c r="FK3500" s="5" t="s">
        <v>238</v>
      </c>
      <c r="FL3500" s="5" t="s">
        <v>238</v>
      </c>
      <c r="FM3500" s="5" t="s">
        <v>238</v>
      </c>
      <c r="FN3500" s="5" t="s">
        <v>238</v>
      </c>
      <c r="FO3500" s="5" t="s">
        <v>238</v>
      </c>
      <c r="FP3500" s="5" t="s">
        <v>238</v>
      </c>
      <c r="FQ3500" s="5" t="s">
        <v>238</v>
      </c>
      <c r="FR3500" s="5" t="s">
        <v>238</v>
      </c>
      <c r="FS3500" s="5" t="s">
        <v>238</v>
      </c>
      <c r="FT3500" s="5" t="s">
        <v>238</v>
      </c>
      <c r="FU3500" s="5" t="s">
        <v>238</v>
      </c>
      <c r="FV3500" s="5" t="s">
        <v>238</v>
      </c>
      <c r="FW3500" s="5" t="s">
        <v>238</v>
      </c>
      <c r="FX3500" s="5" t="s">
        <v>238</v>
      </c>
      <c r="FY3500" s="5" t="s">
        <v>238</v>
      </c>
      <c r="FZ3500" s="5" t="s">
        <v>238</v>
      </c>
      <c r="GA3500" s="5" t="s">
        <v>238</v>
      </c>
      <c r="GB3500" s="5" t="s">
        <v>238</v>
      </c>
      <c r="GC3500" s="5" t="s">
        <v>238</v>
      </c>
      <c r="GD3500" s="5" t="s">
        <v>238</v>
      </c>
      <c r="GE3500" s="5" t="s">
        <v>238</v>
      </c>
      <c r="GF3500" s="5" t="s">
        <v>238</v>
      </c>
      <c r="GG3500" s="5" t="s">
        <v>238</v>
      </c>
      <c r="GH3500" s="5" t="s">
        <v>238</v>
      </c>
      <c r="GI3500" s="5" t="s">
        <v>238</v>
      </c>
      <c r="GJ3500" s="5" t="s">
        <v>238</v>
      </c>
      <c r="GK3500" s="5" t="s">
        <v>238</v>
      </c>
      <c r="GL3500" s="5" t="s">
        <v>238</v>
      </c>
      <c r="GM3500" s="5" t="s">
        <v>238</v>
      </c>
      <c r="GN3500" s="5" t="s">
        <v>238</v>
      </c>
      <c r="GO3500" s="5" t="s">
        <v>238</v>
      </c>
      <c r="GP3500" s="5" t="s">
        <v>238</v>
      </c>
      <c r="GQ3500" s="5" t="s">
        <v>238</v>
      </c>
      <c r="GR3500" s="5" t="s">
        <v>238</v>
      </c>
      <c r="GS3500" s="5" t="s">
        <v>238</v>
      </c>
      <c r="GT3500" s="5" t="s">
        <v>238</v>
      </c>
      <c r="GU3500" s="5" t="s">
        <v>238</v>
      </c>
      <c r="GV3500" s="5" t="s">
        <v>238</v>
      </c>
      <c r="GW3500" s="5" t="s">
        <v>238</v>
      </c>
      <c r="GX3500" s="5" t="s">
        <v>238</v>
      </c>
      <c r="GY3500" s="5" t="s">
        <v>238</v>
      </c>
      <c r="GZ3500" s="5" t="s">
        <v>238</v>
      </c>
      <c r="HA3500" s="5" t="s">
        <v>238</v>
      </c>
      <c r="HB3500" s="5" t="s">
        <v>238</v>
      </c>
      <c r="HC3500" s="5" t="s">
        <v>238</v>
      </c>
      <c r="HD3500" s="5" t="s">
        <v>238</v>
      </c>
      <c r="HE3500" s="5" t="s">
        <v>238</v>
      </c>
      <c r="HF3500" s="5" t="s">
        <v>238</v>
      </c>
      <c r="HG3500" s="5" t="s">
        <v>238</v>
      </c>
      <c r="HH3500" s="5" t="s">
        <v>238</v>
      </c>
      <c r="HI3500" s="5" t="s">
        <v>238</v>
      </c>
      <c r="HJ3500" s="5" t="s">
        <v>238</v>
      </c>
      <c r="HK3500" s="5" t="s">
        <v>238</v>
      </c>
      <c r="HL3500" s="5" t="s">
        <v>238</v>
      </c>
      <c r="HM3500" s="5" t="s">
        <v>264</v>
      </c>
      <c r="HN3500" s="5" t="s">
        <v>238</v>
      </c>
      <c r="HO3500" s="5" t="s">
        <v>238</v>
      </c>
      <c r="HP3500" s="5" t="s">
        <v>238</v>
      </c>
      <c r="HQ3500" s="5" t="s">
        <v>238</v>
      </c>
      <c r="HR3500" s="5" t="s">
        <v>238</v>
      </c>
      <c r="HS3500" s="5" t="s">
        <v>238</v>
      </c>
      <c r="HT3500" s="5" t="s">
        <v>238</v>
      </c>
      <c r="HU3500" s="5" t="s">
        <v>238</v>
      </c>
      <c r="HV3500" s="5" t="s">
        <v>238</v>
      </c>
      <c r="HW3500" s="5" t="s">
        <v>238</v>
      </c>
      <c r="HX3500" s="5" t="s">
        <v>238</v>
      </c>
      <c r="HY3500" s="5" t="s">
        <v>238</v>
      </c>
      <c r="HZ3500" s="5" t="s">
        <v>238</v>
      </c>
      <c r="IA3500" s="5" t="s">
        <v>238</v>
      </c>
      <c r="IB3500" s="5" t="s">
        <v>238</v>
      </c>
      <c r="IC3500" s="5" t="s">
        <v>238</v>
      </c>
      <c r="ID3500" s="5" t="s">
        <v>238</v>
      </c>
    </row>
    <row r="3501" spans="1:238" x14ac:dyDescent="0.4">
      <c r="A3501" s="5">
        <v>9219</v>
      </c>
      <c r="B3501" s="5">
        <v>1</v>
      </c>
      <c r="C3501" s="5">
        <v>1</v>
      </c>
      <c r="D3501" s="5" t="s">
        <v>484</v>
      </c>
      <c r="E3501" s="5" t="s">
        <v>485</v>
      </c>
      <c r="F3501" s="5" t="s">
        <v>248</v>
      </c>
      <c r="G3501" s="5" t="s">
        <v>4929</v>
      </c>
      <c r="H3501" s="6" t="s">
        <v>4930</v>
      </c>
      <c r="I3501" s="8">
        <f>1</f>
        <v>1</v>
      </c>
      <c r="J3501" s="5" t="s">
        <v>499</v>
      </c>
      <c r="K3501" s="8">
        <f>1</f>
        <v>1</v>
      </c>
      <c r="L3501" s="6" t="s">
        <v>242</v>
      </c>
      <c r="M3501" s="5" t="s">
        <v>267</v>
      </c>
      <c r="N3501" s="5" t="s">
        <v>482</v>
      </c>
      <c r="O3501" s="5" t="s">
        <v>238</v>
      </c>
      <c r="P3501" s="5" t="s">
        <v>238</v>
      </c>
      <c r="Q3501" s="5" t="s">
        <v>239</v>
      </c>
      <c r="R3501" s="5" t="s">
        <v>270</v>
      </c>
      <c r="S3501" s="5" t="s">
        <v>238</v>
      </c>
      <c r="T3501" s="5" t="s">
        <v>238</v>
      </c>
      <c r="U3501" s="5" t="s">
        <v>238</v>
      </c>
      <c r="V3501" s="5" t="s">
        <v>238</v>
      </c>
      <c r="W3501" s="6" t="s">
        <v>238</v>
      </c>
      <c r="X3501" s="6" t="s">
        <v>238</v>
      </c>
      <c r="Y3501" s="5" t="s">
        <v>238</v>
      </c>
      <c r="Z3501" s="6" t="s">
        <v>238</v>
      </c>
      <c r="AA3501" s="6" t="s">
        <v>243</v>
      </c>
      <c r="AB3501" s="5" t="s">
        <v>486</v>
      </c>
      <c r="AC3501" s="5" t="s">
        <v>244</v>
      </c>
      <c r="AD3501" s="5" t="s">
        <v>245</v>
      </c>
      <c r="AE3501" s="5" t="s">
        <v>238</v>
      </c>
      <c r="AF3501" s="5" t="s">
        <v>238</v>
      </c>
      <c r="AG3501" s="5" t="s">
        <v>238</v>
      </c>
      <c r="AH3501" s="5" t="s">
        <v>238</v>
      </c>
      <c r="AI3501" s="5" t="s">
        <v>238</v>
      </c>
      <c r="AJ3501" s="5" t="s">
        <v>238</v>
      </c>
      <c r="AK3501" s="5" t="s">
        <v>238</v>
      </c>
      <c r="AL3501" s="5" t="s">
        <v>238</v>
      </c>
      <c r="AM3501" s="6" t="s">
        <v>238</v>
      </c>
      <c r="AN3501" s="6" t="s">
        <v>238</v>
      </c>
      <c r="AO3501" s="6" t="s">
        <v>238</v>
      </c>
      <c r="AP3501" s="6" t="s">
        <v>238</v>
      </c>
      <c r="AQ3501" s="5" t="s">
        <v>238</v>
      </c>
      <c r="AR3501" s="5" t="s">
        <v>488</v>
      </c>
      <c r="AS3501" s="5" t="s">
        <v>488</v>
      </c>
      <c r="AT3501" s="5" t="s">
        <v>246</v>
      </c>
      <c r="AU3501" s="5" t="s">
        <v>489</v>
      </c>
      <c r="AV3501" s="5" t="s">
        <v>247</v>
      </c>
      <c r="AW3501" s="5" t="s">
        <v>238</v>
      </c>
      <c r="AX3501" s="5" t="s">
        <v>249</v>
      </c>
      <c r="AY3501" s="5" t="s">
        <v>490</v>
      </c>
      <c r="BA3501" s="5" t="s">
        <v>238</v>
      </c>
      <c r="BC3501" s="5" t="s">
        <v>491</v>
      </c>
      <c r="BD3501" s="6" t="s">
        <v>492</v>
      </c>
      <c r="BE3501" s="5" t="s">
        <v>493</v>
      </c>
      <c r="BF3501" s="5" t="s">
        <v>493</v>
      </c>
      <c r="BG3501" s="5" t="s">
        <v>238</v>
      </c>
      <c r="BH3501" s="8">
        <f>1</f>
        <v>1</v>
      </c>
      <c r="BI3501" s="8">
        <f>1</f>
        <v>1</v>
      </c>
      <c r="BJ3501" s="5" t="s">
        <v>253</v>
      </c>
      <c r="BK3501" s="5" t="s">
        <v>254</v>
      </c>
      <c r="BL3501" s="5" t="s">
        <v>238</v>
      </c>
      <c r="BM3501" s="5" t="s">
        <v>238</v>
      </c>
      <c r="BN3501" s="5" t="s">
        <v>238</v>
      </c>
      <c r="BO3501" s="5" t="s">
        <v>238</v>
      </c>
      <c r="BP3501" s="5" t="s">
        <v>238</v>
      </c>
      <c r="BQ3501" s="5" t="s">
        <v>238</v>
      </c>
      <c r="BR3501" s="5" t="s">
        <v>238</v>
      </c>
      <c r="BS3501" s="5" t="s">
        <v>238</v>
      </c>
      <c r="BT3501" s="6" t="s">
        <v>238</v>
      </c>
      <c r="BU3501" s="5" t="s">
        <v>238</v>
      </c>
      <c r="BV3501" s="5" t="s">
        <v>238</v>
      </c>
      <c r="BW3501" s="5" t="s">
        <v>238</v>
      </c>
      <c r="BX3501" s="5" t="s">
        <v>254</v>
      </c>
      <c r="BY3501" s="5" t="s">
        <v>238</v>
      </c>
      <c r="BZ3501" s="5" t="s">
        <v>238</v>
      </c>
      <c r="CA3501" s="5" t="s">
        <v>238</v>
      </c>
      <c r="CB3501" s="5" t="s">
        <v>238</v>
      </c>
      <c r="CC3501" s="5" t="s">
        <v>238</v>
      </c>
      <c r="CD3501" s="5" t="s">
        <v>273</v>
      </c>
      <c r="CE3501" s="5" t="s">
        <v>256</v>
      </c>
      <c r="CF3501" s="5" t="s">
        <v>238</v>
      </c>
      <c r="CH3501" s="5" t="s">
        <v>494</v>
      </c>
      <c r="CI3501" s="6" t="s">
        <v>257</v>
      </c>
      <c r="CJ3501" s="5" t="s">
        <v>495</v>
      </c>
      <c r="CK3501" s="5" t="s">
        <v>258</v>
      </c>
      <c r="CL3501" s="5" t="s">
        <v>496</v>
      </c>
      <c r="CM3501" s="5" t="s">
        <v>238</v>
      </c>
      <c r="CN3501" s="5">
        <v>0</v>
      </c>
      <c r="CO3501" s="5" t="s">
        <v>497</v>
      </c>
      <c r="CP3501" s="5" t="s">
        <v>260</v>
      </c>
      <c r="CQ3501" s="5" t="s">
        <v>260</v>
      </c>
      <c r="CR3501" s="5" t="s">
        <v>261</v>
      </c>
      <c r="CS3501" s="5" t="s">
        <v>498</v>
      </c>
      <c r="CT3501" s="7">
        <f>1</f>
        <v>1</v>
      </c>
      <c r="CU3501" s="8">
        <f>1</f>
        <v>1</v>
      </c>
      <c r="CV3501" s="8">
        <f>0</f>
        <v>0</v>
      </c>
      <c r="CX3501" s="8">
        <f>1</f>
        <v>1</v>
      </c>
      <c r="CY3501" s="8">
        <f>1</f>
        <v>1</v>
      </c>
      <c r="CZ3501" s="8" t="s">
        <v>238</v>
      </c>
      <c r="DA3501" s="5" t="s">
        <v>238</v>
      </c>
      <c r="DB3501" s="5" t="s">
        <v>238</v>
      </c>
      <c r="DC3501" s="5" t="s">
        <v>238</v>
      </c>
      <c r="DD3501" s="5" t="s">
        <v>238</v>
      </c>
      <c r="DE3501" s="8">
        <f>0</f>
        <v>0</v>
      </c>
      <c r="DG3501" s="5" t="s">
        <v>238</v>
      </c>
      <c r="DH3501" s="5" t="s">
        <v>238</v>
      </c>
      <c r="DI3501" s="5" t="s">
        <v>238</v>
      </c>
      <c r="DJ3501" s="5" t="s">
        <v>238</v>
      </c>
      <c r="DK3501" s="5" t="s">
        <v>238</v>
      </c>
      <c r="DL3501" s="5" t="s">
        <v>238</v>
      </c>
      <c r="DM3501" s="8" t="s">
        <v>238</v>
      </c>
      <c r="DN3501" s="5" t="s">
        <v>238</v>
      </c>
      <c r="DO3501" s="5" t="s">
        <v>238</v>
      </c>
      <c r="DP3501" s="5" t="s">
        <v>490</v>
      </c>
      <c r="DQ3501" s="5" t="s">
        <v>490</v>
      </c>
      <c r="DR3501" s="5" t="s">
        <v>238</v>
      </c>
      <c r="DS3501" s="5" t="s">
        <v>238</v>
      </c>
      <c r="DT3501" s="5" t="s">
        <v>500</v>
      </c>
      <c r="DU3501" s="5" t="s">
        <v>3306</v>
      </c>
      <c r="DV3501" s="5" t="s">
        <v>238</v>
      </c>
      <c r="DW3501" s="5" t="s">
        <v>238</v>
      </c>
      <c r="DX3501" s="5" t="s">
        <v>238</v>
      </c>
      <c r="DY3501" s="5" t="s">
        <v>238</v>
      </c>
      <c r="DZ3501" s="5" t="s">
        <v>238</v>
      </c>
      <c r="EA3501" s="5" t="s">
        <v>238</v>
      </c>
      <c r="EB3501" s="5" t="s">
        <v>238</v>
      </c>
      <c r="EC3501" s="5" t="s">
        <v>238</v>
      </c>
      <c r="ED3501" s="5" t="s">
        <v>238</v>
      </c>
      <c r="EE3501" s="5" t="s">
        <v>238</v>
      </c>
      <c r="EF3501" s="5" t="s">
        <v>238</v>
      </c>
      <c r="EG3501" s="5" t="s">
        <v>238</v>
      </c>
      <c r="EH3501" s="5" t="s">
        <v>238</v>
      </c>
      <c r="EI3501" s="5" t="s">
        <v>238</v>
      </c>
      <c r="EJ3501" s="5" t="s">
        <v>238</v>
      </c>
      <c r="EK3501" s="5" t="s">
        <v>238</v>
      </c>
      <c r="EL3501" s="5" t="s">
        <v>238</v>
      </c>
      <c r="EM3501" s="5" t="s">
        <v>238</v>
      </c>
      <c r="EN3501" s="5" t="s">
        <v>238</v>
      </c>
      <c r="EO3501" s="5" t="s">
        <v>238</v>
      </c>
      <c r="EP3501" s="5" t="s">
        <v>238</v>
      </c>
      <c r="EQ3501" s="5" t="s">
        <v>238</v>
      </c>
      <c r="ER3501" s="5" t="s">
        <v>238</v>
      </c>
      <c r="ES3501" s="5" t="s">
        <v>238</v>
      </c>
      <c r="ET3501" s="5" t="s">
        <v>238</v>
      </c>
      <c r="EU3501" s="5" t="s">
        <v>238</v>
      </c>
      <c r="EV3501" s="5" t="s">
        <v>238</v>
      </c>
      <c r="EW3501" s="5" t="s">
        <v>238</v>
      </c>
      <c r="EX3501" s="5" t="s">
        <v>238</v>
      </c>
      <c r="EY3501" s="5" t="s">
        <v>238</v>
      </c>
      <c r="EZ3501" s="5" t="s">
        <v>238</v>
      </c>
      <c r="FA3501" s="5" t="s">
        <v>238</v>
      </c>
      <c r="FB3501" s="5" t="s">
        <v>238</v>
      </c>
      <c r="FC3501" s="5" t="s">
        <v>238</v>
      </c>
      <c r="FD3501" s="5" t="s">
        <v>238</v>
      </c>
      <c r="FE3501" s="5" t="s">
        <v>238</v>
      </c>
      <c r="FF3501" s="5" t="s">
        <v>238</v>
      </c>
      <c r="FG3501" s="5" t="s">
        <v>238</v>
      </c>
      <c r="FH3501" s="5" t="s">
        <v>238</v>
      </c>
      <c r="FI3501" s="5" t="s">
        <v>238</v>
      </c>
      <c r="FJ3501" s="5" t="s">
        <v>238</v>
      </c>
      <c r="FK3501" s="5" t="s">
        <v>238</v>
      </c>
      <c r="FL3501" s="5" t="s">
        <v>238</v>
      </c>
      <c r="FM3501" s="5" t="s">
        <v>238</v>
      </c>
      <c r="FN3501" s="5" t="s">
        <v>238</v>
      </c>
      <c r="FO3501" s="5" t="s">
        <v>238</v>
      </c>
      <c r="FP3501" s="5" t="s">
        <v>238</v>
      </c>
      <c r="FQ3501" s="5" t="s">
        <v>238</v>
      </c>
      <c r="FR3501" s="5" t="s">
        <v>238</v>
      </c>
      <c r="FS3501" s="5" t="s">
        <v>238</v>
      </c>
      <c r="FT3501" s="5" t="s">
        <v>238</v>
      </c>
      <c r="FU3501" s="5" t="s">
        <v>238</v>
      </c>
      <c r="FV3501" s="5" t="s">
        <v>238</v>
      </c>
      <c r="FW3501" s="5" t="s">
        <v>238</v>
      </c>
      <c r="FX3501" s="5" t="s">
        <v>238</v>
      </c>
      <c r="FY3501" s="5" t="s">
        <v>238</v>
      </c>
      <c r="FZ3501" s="5" t="s">
        <v>238</v>
      </c>
      <c r="GA3501" s="5" t="s">
        <v>238</v>
      </c>
      <c r="GB3501" s="5" t="s">
        <v>238</v>
      </c>
      <c r="GC3501" s="5" t="s">
        <v>238</v>
      </c>
      <c r="GD3501" s="5" t="s">
        <v>238</v>
      </c>
      <c r="GE3501" s="5" t="s">
        <v>238</v>
      </c>
      <c r="GF3501" s="5" t="s">
        <v>238</v>
      </c>
      <c r="GG3501" s="5" t="s">
        <v>238</v>
      </c>
      <c r="GH3501" s="5" t="s">
        <v>238</v>
      </c>
      <c r="GI3501" s="5" t="s">
        <v>238</v>
      </c>
      <c r="GJ3501" s="5" t="s">
        <v>238</v>
      </c>
      <c r="GK3501" s="5" t="s">
        <v>238</v>
      </c>
      <c r="GL3501" s="5" t="s">
        <v>238</v>
      </c>
      <c r="GM3501" s="5" t="s">
        <v>238</v>
      </c>
      <c r="GN3501" s="5" t="s">
        <v>238</v>
      </c>
      <c r="GO3501" s="5" t="s">
        <v>238</v>
      </c>
      <c r="GP3501" s="5" t="s">
        <v>238</v>
      </c>
      <c r="GQ3501" s="5" t="s">
        <v>238</v>
      </c>
      <c r="GR3501" s="5" t="s">
        <v>238</v>
      </c>
      <c r="GS3501" s="5" t="s">
        <v>238</v>
      </c>
      <c r="GT3501" s="5" t="s">
        <v>238</v>
      </c>
      <c r="GU3501" s="5" t="s">
        <v>238</v>
      </c>
      <c r="GV3501" s="5" t="s">
        <v>238</v>
      </c>
      <c r="GW3501" s="5" t="s">
        <v>238</v>
      </c>
      <c r="GX3501" s="5" t="s">
        <v>238</v>
      </c>
      <c r="GY3501" s="5" t="s">
        <v>238</v>
      </c>
      <c r="GZ3501" s="5" t="s">
        <v>238</v>
      </c>
      <c r="HA3501" s="5" t="s">
        <v>238</v>
      </c>
      <c r="HB3501" s="5" t="s">
        <v>238</v>
      </c>
      <c r="HC3501" s="5" t="s">
        <v>238</v>
      </c>
      <c r="HD3501" s="5" t="s">
        <v>238</v>
      </c>
      <c r="HE3501" s="5" t="s">
        <v>238</v>
      </c>
      <c r="HF3501" s="5" t="s">
        <v>238</v>
      </c>
      <c r="HG3501" s="5" t="s">
        <v>238</v>
      </c>
      <c r="HH3501" s="5" t="s">
        <v>238</v>
      </c>
      <c r="HI3501" s="5" t="s">
        <v>238</v>
      </c>
      <c r="HJ3501" s="5" t="s">
        <v>238</v>
      </c>
      <c r="HK3501" s="5" t="s">
        <v>238</v>
      </c>
      <c r="HL3501" s="5" t="s">
        <v>238</v>
      </c>
      <c r="HM3501" s="5" t="s">
        <v>264</v>
      </c>
      <c r="HN3501" s="5" t="s">
        <v>238</v>
      </c>
      <c r="HO3501" s="5" t="s">
        <v>238</v>
      </c>
      <c r="HP3501" s="5" t="s">
        <v>238</v>
      </c>
      <c r="HQ3501" s="5" t="s">
        <v>238</v>
      </c>
      <c r="HR3501" s="5" t="s">
        <v>238</v>
      </c>
      <c r="HS3501" s="5" t="s">
        <v>238</v>
      </c>
      <c r="HT3501" s="5" t="s">
        <v>238</v>
      </c>
      <c r="HU3501" s="5" t="s">
        <v>238</v>
      </c>
      <c r="HV3501" s="5" t="s">
        <v>238</v>
      </c>
      <c r="HW3501" s="5" t="s">
        <v>238</v>
      </c>
      <c r="HX3501" s="5" t="s">
        <v>238</v>
      </c>
      <c r="HY3501" s="5" t="s">
        <v>238</v>
      </c>
      <c r="HZ3501" s="5" t="s">
        <v>238</v>
      </c>
      <c r="IA3501" s="5" t="s">
        <v>238</v>
      </c>
      <c r="IB3501" s="5" t="s">
        <v>238</v>
      </c>
      <c r="IC3501" s="5" t="s">
        <v>238</v>
      </c>
      <c r="ID3501" s="5" t="s">
        <v>238</v>
      </c>
    </row>
    <row r="3502" spans="1:238" x14ac:dyDescent="0.4">
      <c r="A3502" s="5">
        <v>9220</v>
      </c>
      <c r="B3502" s="5">
        <v>1</v>
      </c>
      <c r="C3502" s="5">
        <v>1</v>
      </c>
      <c r="D3502" s="5" t="s">
        <v>484</v>
      </c>
      <c r="E3502" s="5" t="s">
        <v>485</v>
      </c>
      <c r="F3502" s="5" t="s">
        <v>248</v>
      </c>
      <c r="G3502" s="5" t="s">
        <v>5752</v>
      </c>
      <c r="H3502" s="6" t="s">
        <v>5753</v>
      </c>
      <c r="I3502" s="8">
        <f>1</f>
        <v>1</v>
      </c>
      <c r="J3502" s="5" t="s">
        <v>499</v>
      </c>
      <c r="K3502" s="8">
        <f>1</f>
        <v>1</v>
      </c>
      <c r="L3502" s="6" t="s">
        <v>242</v>
      </c>
      <c r="M3502" s="5" t="s">
        <v>267</v>
      </c>
      <c r="N3502" s="5" t="s">
        <v>482</v>
      </c>
      <c r="O3502" s="5" t="s">
        <v>238</v>
      </c>
      <c r="P3502" s="5" t="s">
        <v>238</v>
      </c>
      <c r="Q3502" s="5" t="s">
        <v>239</v>
      </c>
      <c r="R3502" s="5" t="s">
        <v>270</v>
      </c>
      <c r="S3502" s="5" t="s">
        <v>238</v>
      </c>
      <c r="T3502" s="5" t="s">
        <v>238</v>
      </c>
      <c r="U3502" s="5" t="s">
        <v>238</v>
      </c>
      <c r="V3502" s="5" t="s">
        <v>238</v>
      </c>
      <c r="W3502" s="6" t="s">
        <v>238</v>
      </c>
      <c r="X3502" s="6" t="s">
        <v>238</v>
      </c>
      <c r="Y3502" s="5" t="s">
        <v>238</v>
      </c>
      <c r="Z3502" s="6" t="s">
        <v>238</v>
      </c>
      <c r="AA3502" s="6" t="s">
        <v>243</v>
      </c>
      <c r="AB3502" s="5" t="s">
        <v>486</v>
      </c>
      <c r="AC3502" s="5" t="s">
        <v>244</v>
      </c>
      <c r="AD3502" s="5" t="s">
        <v>245</v>
      </c>
      <c r="AE3502" s="5" t="s">
        <v>238</v>
      </c>
      <c r="AF3502" s="5" t="s">
        <v>238</v>
      </c>
      <c r="AG3502" s="5" t="s">
        <v>238</v>
      </c>
      <c r="AH3502" s="5" t="s">
        <v>238</v>
      </c>
      <c r="AI3502" s="5" t="s">
        <v>238</v>
      </c>
      <c r="AJ3502" s="5" t="s">
        <v>238</v>
      </c>
      <c r="AK3502" s="5" t="s">
        <v>238</v>
      </c>
      <c r="AL3502" s="5" t="s">
        <v>238</v>
      </c>
      <c r="AM3502" s="6" t="s">
        <v>238</v>
      </c>
      <c r="AN3502" s="6" t="s">
        <v>238</v>
      </c>
      <c r="AO3502" s="6" t="s">
        <v>238</v>
      </c>
      <c r="AP3502" s="6" t="s">
        <v>238</v>
      </c>
      <c r="AQ3502" s="5" t="s">
        <v>238</v>
      </c>
      <c r="AR3502" s="5" t="s">
        <v>488</v>
      </c>
      <c r="AS3502" s="5" t="s">
        <v>488</v>
      </c>
      <c r="AT3502" s="5" t="s">
        <v>246</v>
      </c>
      <c r="AU3502" s="5" t="s">
        <v>489</v>
      </c>
      <c r="AV3502" s="5" t="s">
        <v>247</v>
      </c>
      <c r="AW3502" s="5" t="s">
        <v>238</v>
      </c>
      <c r="AX3502" s="5" t="s">
        <v>249</v>
      </c>
      <c r="AY3502" s="5" t="s">
        <v>490</v>
      </c>
      <c r="BA3502" s="5" t="s">
        <v>238</v>
      </c>
      <c r="BC3502" s="5" t="s">
        <v>491</v>
      </c>
      <c r="BD3502" s="6" t="s">
        <v>492</v>
      </c>
      <c r="BE3502" s="5" t="s">
        <v>493</v>
      </c>
      <c r="BF3502" s="5" t="s">
        <v>493</v>
      </c>
      <c r="BG3502" s="5" t="s">
        <v>238</v>
      </c>
      <c r="BH3502" s="8">
        <f>1</f>
        <v>1</v>
      </c>
      <c r="BI3502" s="8">
        <f>1</f>
        <v>1</v>
      </c>
      <c r="BJ3502" s="5" t="s">
        <v>253</v>
      </c>
      <c r="BK3502" s="5" t="s">
        <v>254</v>
      </c>
      <c r="BL3502" s="5" t="s">
        <v>238</v>
      </c>
      <c r="BM3502" s="5" t="s">
        <v>238</v>
      </c>
      <c r="BN3502" s="5" t="s">
        <v>238</v>
      </c>
      <c r="BO3502" s="5" t="s">
        <v>238</v>
      </c>
      <c r="BP3502" s="5" t="s">
        <v>238</v>
      </c>
      <c r="BQ3502" s="5" t="s">
        <v>238</v>
      </c>
      <c r="BR3502" s="5" t="s">
        <v>238</v>
      </c>
      <c r="BS3502" s="5" t="s">
        <v>238</v>
      </c>
      <c r="BT3502" s="6" t="s">
        <v>238</v>
      </c>
      <c r="BU3502" s="5" t="s">
        <v>238</v>
      </c>
      <c r="BV3502" s="5" t="s">
        <v>238</v>
      </c>
      <c r="BW3502" s="5" t="s">
        <v>238</v>
      </c>
      <c r="BX3502" s="5" t="s">
        <v>254</v>
      </c>
      <c r="BY3502" s="5" t="s">
        <v>238</v>
      </c>
      <c r="BZ3502" s="5" t="s">
        <v>238</v>
      </c>
      <c r="CA3502" s="5" t="s">
        <v>238</v>
      </c>
      <c r="CB3502" s="5" t="s">
        <v>238</v>
      </c>
      <c r="CC3502" s="5" t="s">
        <v>238</v>
      </c>
      <c r="CD3502" s="5" t="s">
        <v>273</v>
      </c>
      <c r="CE3502" s="5" t="s">
        <v>256</v>
      </c>
      <c r="CF3502" s="5" t="s">
        <v>238</v>
      </c>
      <c r="CH3502" s="5" t="s">
        <v>494</v>
      </c>
      <c r="CI3502" s="6" t="s">
        <v>257</v>
      </c>
      <c r="CJ3502" s="5" t="s">
        <v>495</v>
      </c>
      <c r="CK3502" s="5" t="s">
        <v>258</v>
      </c>
      <c r="CL3502" s="5" t="s">
        <v>496</v>
      </c>
      <c r="CM3502" s="5" t="s">
        <v>238</v>
      </c>
      <c r="CN3502" s="5">
        <v>0</v>
      </c>
      <c r="CO3502" s="5" t="s">
        <v>497</v>
      </c>
      <c r="CP3502" s="5" t="s">
        <v>260</v>
      </c>
      <c r="CQ3502" s="5" t="s">
        <v>260</v>
      </c>
      <c r="CR3502" s="5" t="s">
        <v>261</v>
      </c>
      <c r="CS3502" s="5" t="s">
        <v>498</v>
      </c>
      <c r="CT3502" s="7">
        <f>1</f>
        <v>1</v>
      </c>
      <c r="CU3502" s="8">
        <f>1</f>
        <v>1</v>
      </c>
      <c r="CV3502" s="8">
        <f>0</f>
        <v>0</v>
      </c>
      <c r="CX3502" s="8">
        <f>1</f>
        <v>1</v>
      </c>
      <c r="CY3502" s="8">
        <f>1</f>
        <v>1</v>
      </c>
      <c r="CZ3502" s="8" t="s">
        <v>238</v>
      </c>
      <c r="DA3502" s="5" t="s">
        <v>238</v>
      </c>
      <c r="DB3502" s="5" t="s">
        <v>238</v>
      </c>
      <c r="DC3502" s="5" t="s">
        <v>238</v>
      </c>
      <c r="DD3502" s="5" t="s">
        <v>238</v>
      </c>
      <c r="DE3502" s="8">
        <f>0</f>
        <v>0</v>
      </c>
      <c r="DG3502" s="5" t="s">
        <v>238</v>
      </c>
      <c r="DH3502" s="5" t="s">
        <v>238</v>
      </c>
      <c r="DI3502" s="5" t="s">
        <v>238</v>
      </c>
      <c r="DJ3502" s="5" t="s">
        <v>238</v>
      </c>
      <c r="DK3502" s="5" t="s">
        <v>238</v>
      </c>
      <c r="DL3502" s="5" t="s">
        <v>238</v>
      </c>
      <c r="DM3502" s="8" t="s">
        <v>238</v>
      </c>
      <c r="DN3502" s="5" t="s">
        <v>238</v>
      </c>
      <c r="DO3502" s="5" t="s">
        <v>238</v>
      </c>
      <c r="DP3502" s="5" t="s">
        <v>490</v>
      </c>
      <c r="DQ3502" s="5" t="s">
        <v>490</v>
      </c>
      <c r="DR3502" s="5" t="s">
        <v>238</v>
      </c>
      <c r="DS3502" s="5" t="s">
        <v>238</v>
      </c>
      <c r="DT3502" s="5" t="s">
        <v>500</v>
      </c>
      <c r="DU3502" s="5" t="s">
        <v>462</v>
      </c>
      <c r="DV3502" s="5" t="s">
        <v>238</v>
      </c>
      <c r="DW3502" s="5" t="s">
        <v>238</v>
      </c>
      <c r="DX3502" s="5" t="s">
        <v>238</v>
      </c>
      <c r="DY3502" s="5" t="s">
        <v>238</v>
      </c>
      <c r="DZ3502" s="5" t="s">
        <v>238</v>
      </c>
      <c r="EA3502" s="5" t="s">
        <v>238</v>
      </c>
      <c r="EB3502" s="5" t="s">
        <v>238</v>
      </c>
      <c r="EC3502" s="5" t="s">
        <v>238</v>
      </c>
      <c r="ED3502" s="5" t="s">
        <v>238</v>
      </c>
      <c r="EE3502" s="5" t="s">
        <v>238</v>
      </c>
      <c r="EF3502" s="5" t="s">
        <v>238</v>
      </c>
      <c r="EG3502" s="5" t="s">
        <v>238</v>
      </c>
      <c r="EH3502" s="5" t="s">
        <v>238</v>
      </c>
      <c r="EI3502" s="5" t="s">
        <v>238</v>
      </c>
      <c r="EJ3502" s="5" t="s">
        <v>238</v>
      </c>
      <c r="EK3502" s="5" t="s">
        <v>238</v>
      </c>
      <c r="EL3502" s="5" t="s">
        <v>238</v>
      </c>
      <c r="EM3502" s="5" t="s">
        <v>238</v>
      </c>
      <c r="EN3502" s="5" t="s">
        <v>238</v>
      </c>
      <c r="EO3502" s="5" t="s">
        <v>238</v>
      </c>
      <c r="EP3502" s="5" t="s">
        <v>238</v>
      </c>
      <c r="EQ3502" s="5" t="s">
        <v>238</v>
      </c>
      <c r="ER3502" s="5" t="s">
        <v>238</v>
      </c>
      <c r="ES3502" s="5" t="s">
        <v>238</v>
      </c>
      <c r="ET3502" s="5" t="s">
        <v>238</v>
      </c>
      <c r="EU3502" s="5" t="s">
        <v>238</v>
      </c>
      <c r="EV3502" s="5" t="s">
        <v>238</v>
      </c>
      <c r="EW3502" s="5" t="s">
        <v>238</v>
      </c>
      <c r="EX3502" s="5" t="s">
        <v>238</v>
      </c>
      <c r="EY3502" s="5" t="s">
        <v>238</v>
      </c>
      <c r="EZ3502" s="5" t="s">
        <v>238</v>
      </c>
      <c r="FA3502" s="5" t="s">
        <v>238</v>
      </c>
      <c r="FB3502" s="5" t="s">
        <v>238</v>
      </c>
      <c r="FC3502" s="5" t="s">
        <v>238</v>
      </c>
      <c r="FD3502" s="5" t="s">
        <v>238</v>
      </c>
      <c r="FE3502" s="5" t="s">
        <v>238</v>
      </c>
      <c r="FF3502" s="5" t="s">
        <v>238</v>
      </c>
      <c r="FG3502" s="5" t="s">
        <v>238</v>
      </c>
      <c r="FH3502" s="5" t="s">
        <v>238</v>
      </c>
      <c r="FI3502" s="5" t="s">
        <v>238</v>
      </c>
      <c r="FJ3502" s="5" t="s">
        <v>238</v>
      </c>
      <c r="FK3502" s="5" t="s">
        <v>238</v>
      </c>
      <c r="FL3502" s="5" t="s">
        <v>238</v>
      </c>
      <c r="FM3502" s="5" t="s">
        <v>238</v>
      </c>
      <c r="FN3502" s="5" t="s">
        <v>238</v>
      </c>
      <c r="FO3502" s="5" t="s">
        <v>238</v>
      </c>
      <c r="FP3502" s="5" t="s">
        <v>238</v>
      </c>
      <c r="FQ3502" s="5" t="s">
        <v>238</v>
      </c>
      <c r="FR3502" s="5" t="s">
        <v>238</v>
      </c>
      <c r="FS3502" s="5" t="s">
        <v>238</v>
      </c>
      <c r="FT3502" s="5" t="s">
        <v>238</v>
      </c>
      <c r="FU3502" s="5" t="s">
        <v>238</v>
      </c>
      <c r="FV3502" s="5" t="s">
        <v>238</v>
      </c>
      <c r="FW3502" s="5" t="s">
        <v>238</v>
      </c>
      <c r="FX3502" s="5" t="s">
        <v>238</v>
      </c>
      <c r="FY3502" s="5" t="s">
        <v>238</v>
      </c>
      <c r="FZ3502" s="5" t="s">
        <v>238</v>
      </c>
      <c r="GA3502" s="5" t="s">
        <v>238</v>
      </c>
      <c r="GB3502" s="5" t="s">
        <v>238</v>
      </c>
      <c r="GC3502" s="5" t="s">
        <v>238</v>
      </c>
      <c r="GD3502" s="5" t="s">
        <v>238</v>
      </c>
      <c r="GE3502" s="5" t="s">
        <v>238</v>
      </c>
      <c r="GF3502" s="5" t="s">
        <v>238</v>
      </c>
      <c r="GG3502" s="5" t="s">
        <v>238</v>
      </c>
      <c r="GH3502" s="5" t="s">
        <v>238</v>
      </c>
      <c r="GI3502" s="5" t="s">
        <v>238</v>
      </c>
      <c r="GJ3502" s="5" t="s">
        <v>238</v>
      </c>
      <c r="GK3502" s="5" t="s">
        <v>238</v>
      </c>
      <c r="GL3502" s="5" t="s">
        <v>238</v>
      </c>
      <c r="GM3502" s="5" t="s">
        <v>238</v>
      </c>
      <c r="GN3502" s="5" t="s">
        <v>238</v>
      </c>
      <c r="GO3502" s="5" t="s">
        <v>238</v>
      </c>
      <c r="GP3502" s="5" t="s">
        <v>238</v>
      </c>
      <c r="GQ3502" s="5" t="s">
        <v>238</v>
      </c>
      <c r="GR3502" s="5" t="s">
        <v>238</v>
      </c>
      <c r="GS3502" s="5" t="s">
        <v>238</v>
      </c>
      <c r="GT3502" s="5" t="s">
        <v>238</v>
      </c>
      <c r="GU3502" s="5" t="s">
        <v>238</v>
      </c>
      <c r="GV3502" s="5" t="s">
        <v>238</v>
      </c>
      <c r="GW3502" s="5" t="s">
        <v>238</v>
      </c>
      <c r="GX3502" s="5" t="s">
        <v>238</v>
      </c>
      <c r="GY3502" s="5" t="s">
        <v>238</v>
      </c>
      <c r="GZ3502" s="5" t="s">
        <v>238</v>
      </c>
      <c r="HA3502" s="5" t="s">
        <v>238</v>
      </c>
      <c r="HB3502" s="5" t="s">
        <v>238</v>
      </c>
      <c r="HC3502" s="5" t="s">
        <v>238</v>
      </c>
      <c r="HD3502" s="5" t="s">
        <v>238</v>
      </c>
      <c r="HE3502" s="5" t="s">
        <v>238</v>
      </c>
      <c r="HF3502" s="5" t="s">
        <v>238</v>
      </c>
      <c r="HG3502" s="5" t="s">
        <v>238</v>
      </c>
      <c r="HH3502" s="5" t="s">
        <v>238</v>
      </c>
      <c r="HI3502" s="5" t="s">
        <v>238</v>
      </c>
      <c r="HJ3502" s="5" t="s">
        <v>238</v>
      </c>
      <c r="HK3502" s="5" t="s">
        <v>238</v>
      </c>
      <c r="HL3502" s="5" t="s">
        <v>238</v>
      </c>
      <c r="HM3502" s="5" t="s">
        <v>264</v>
      </c>
      <c r="HN3502" s="5" t="s">
        <v>238</v>
      </c>
      <c r="HO3502" s="5" t="s">
        <v>238</v>
      </c>
      <c r="HP3502" s="5" t="s">
        <v>238</v>
      </c>
      <c r="HQ3502" s="5" t="s">
        <v>238</v>
      </c>
      <c r="HR3502" s="5" t="s">
        <v>238</v>
      </c>
      <c r="HS3502" s="5" t="s">
        <v>238</v>
      </c>
      <c r="HT3502" s="5" t="s">
        <v>238</v>
      </c>
      <c r="HU3502" s="5" t="s">
        <v>238</v>
      </c>
      <c r="HV3502" s="5" t="s">
        <v>238</v>
      </c>
      <c r="HW3502" s="5" t="s">
        <v>238</v>
      </c>
      <c r="HX3502" s="5" t="s">
        <v>238</v>
      </c>
      <c r="HY3502" s="5" t="s">
        <v>238</v>
      </c>
      <c r="HZ3502" s="5" t="s">
        <v>238</v>
      </c>
      <c r="IA3502" s="5" t="s">
        <v>238</v>
      </c>
      <c r="IB3502" s="5" t="s">
        <v>238</v>
      </c>
      <c r="IC3502" s="5" t="s">
        <v>238</v>
      </c>
      <c r="ID3502" s="5" t="s">
        <v>238</v>
      </c>
    </row>
    <row r="3503" spans="1:238" x14ac:dyDescent="0.4">
      <c r="A3503" s="5">
        <v>9221</v>
      </c>
      <c r="B3503" s="5">
        <v>1</v>
      </c>
      <c r="C3503" s="5">
        <v>1</v>
      </c>
      <c r="D3503" s="5" t="s">
        <v>484</v>
      </c>
      <c r="E3503" s="5" t="s">
        <v>485</v>
      </c>
      <c r="F3503" s="5" t="s">
        <v>248</v>
      </c>
      <c r="G3503" s="5" t="s">
        <v>4394</v>
      </c>
      <c r="H3503" s="6" t="s">
        <v>4395</v>
      </c>
      <c r="I3503" s="8">
        <f>1</f>
        <v>1</v>
      </c>
      <c r="J3503" s="5" t="s">
        <v>499</v>
      </c>
      <c r="K3503" s="8">
        <f>1</f>
        <v>1</v>
      </c>
      <c r="L3503" s="6" t="s">
        <v>242</v>
      </c>
      <c r="M3503" s="5" t="s">
        <v>267</v>
      </c>
      <c r="N3503" s="5" t="s">
        <v>482</v>
      </c>
      <c r="O3503" s="5" t="s">
        <v>238</v>
      </c>
      <c r="P3503" s="5" t="s">
        <v>238</v>
      </c>
      <c r="Q3503" s="5" t="s">
        <v>239</v>
      </c>
      <c r="R3503" s="5" t="s">
        <v>270</v>
      </c>
      <c r="S3503" s="5" t="s">
        <v>238</v>
      </c>
      <c r="T3503" s="5" t="s">
        <v>238</v>
      </c>
      <c r="U3503" s="5" t="s">
        <v>238</v>
      </c>
      <c r="V3503" s="5" t="s">
        <v>238</v>
      </c>
      <c r="W3503" s="6" t="s">
        <v>238</v>
      </c>
      <c r="X3503" s="6" t="s">
        <v>238</v>
      </c>
      <c r="Y3503" s="5" t="s">
        <v>238</v>
      </c>
      <c r="Z3503" s="6" t="s">
        <v>238</v>
      </c>
      <c r="AA3503" s="6" t="s">
        <v>243</v>
      </c>
      <c r="AB3503" s="5" t="s">
        <v>486</v>
      </c>
      <c r="AC3503" s="5" t="s">
        <v>244</v>
      </c>
      <c r="AD3503" s="5" t="s">
        <v>245</v>
      </c>
      <c r="AE3503" s="5" t="s">
        <v>238</v>
      </c>
      <c r="AF3503" s="5" t="s">
        <v>238</v>
      </c>
      <c r="AG3503" s="5" t="s">
        <v>238</v>
      </c>
      <c r="AH3503" s="5" t="s">
        <v>238</v>
      </c>
      <c r="AI3503" s="5" t="s">
        <v>238</v>
      </c>
      <c r="AJ3503" s="5" t="s">
        <v>238</v>
      </c>
      <c r="AK3503" s="5" t="s">
        <v>238</v>
      </c>
      <c r="AL3503" s="5" t="s">
        <v>238</v>
      </c>
      <c r="AM3503" s="6" t="s">
        <v>238</v>
      </c>
      <c r="AN3503" s="6" t="s">
        <v>238</v>
      </c>
      <c r="AO3503" s="6" t="s">
        <v>238</v>
      </c>
      <c r="AP3503" s="6" t="s">
        <v>238</v>
      </c>
      <c r="AQ3503" s="5" t="s">
        <v>238</v>
      </c>
      <c r="AR3503" s="5" t="s">
        <v>488</v>
      </c>
      <c r="AS3503" s="5" t="s">
        <v>488</v>
      </c>
      <c r="AT3503" s="5" t="s">
        <v>246</v>
      </c>
      <c r="AU3503" s="5" t="s">
        <v>489</v>
      </c>
      <c r="AV3503" s="5" t="s">
        <v>247</v>
      </c>
      <c r="AW3503" s="5" t="s">
        <v>238</v>
      </c>
      <c r="AX3503" s="5" t="s">
        <v>249</v>
      </c>
      <c r="AY3503" s="5" t="s">
        <v>490</v>
      </c>
      <c r="BA3503" s="5" t="s">
        <v>238</v>
      </c>
      <c r="BC3503" s="5" t="s">
        <v>491</v>
      </c>
      <c r="BD3503" s="6" t="s">
        <v>492</v>
      </c>
      <c r="BE3503" s="5" t="s">
        <v>493</v>
      </c>
      <c r="BF3503" s="5" t="s">
        <v>493</v>
      </c>
      <c r="BG3503" s="5" t="s">
        <v>238</v>
      </c>
      <c r="BH3503" s="8">
        <f>1</f>
        <v>1</v>
      </c>
      <c r="BI3503" s="8">
        <f>1</f>
        <v>1</v>
      </c>
      <c r="BJ3503" s="5" t="s">
        <v>253</v>
      </c>
      <c r="BK3503" s="5" t="s">
        <v>254</v>
      </c>
      <c r="BL3503" s="5" t="s">
        <v>238</v>
      </c>
      <c r="BM3503" s="5" t="s">
        <v>238</v>
      </c>
      <c r="BN3503" s="5" t="s">
        <v>238</v>
      </c>
      <c r="BO3503" s="5" t="s">
        <v>238</v>
      </c>
      <c r="BP3503" s="5" t="s">
        <v>238</v>
      </c>
      <c r="BQ3503" s="5" t="s">
        <v>238</v>
      </c>
      <c r="BR3503" s="5" t="s">
        <v>238</v>
      </c>
      <c r="BS3503" s="5" t="s">
        <v>238</v>
      </c>
      <c r="BT3503" s="6" t="s">
        <v>238</v>
      </c>
      <c r="BU3503" s="5" t="s">
        <v>238</v>
      </c>
      <c r="BV3503" s="5" t="s">
        <v>238</v>
      </c>
      <c r="BW3503" s="5" t="s">
        <v>238</v>
      </c>
      <c r="BX3503" s="5" t="s">
        <v>254</v>
      </c>
      <c r="BY3503" s="5" t="s">
        <v>238</v>
      </c>
      <c r="BZ3503" s="5" t="s">
        <v>238</v>
      </c>
      <c r="CA3503" s="5" t="s">
        <v>238</v>
      </c>
      <c r="CB3503" s="5" t="s">
        <v>238</v>
      </c>
      <c r="CC3503" s="5" t="s">
        <v>238</v>
      </c>
      <c r="CD3503" s="5" t="s">
        <v>273</v>
      </c>
      <c r="CE3503" s="5" t="s">
        <v>256</v>
      </c>
      <c r="CF3503" s="5" t="s">
        <v>238</v>
      </c>
      <c r="CH3503" s="5" t="s">
        <v>494</v>
      </c>
      <c r="CI3503" s="6" t="s">
        <v>257</v>
      </c>
      <c r="CJ3503" s="5" t="s">
        <v>495</v>
      </c>
      <c r="CK3503" s="5" t="s">
        <v>258</v>
      </c>
      <c r="CL3503" s="5" t="s">
        <v>496</v>
      </c>
      <c r="CM3503" s="5" t="s">
        <v>238</v>
      </c>
      <c r="CN3503" s="5">
        <v>0</v>
      </c>
      <c r="CO3503" s="5" t="s">
        <v>497</v>
      </c>
      <c r="CP3503" s="5" t="s">
        <v>260</v>
      </c>
      <c r="CQ3503" s="5" t="s">
        <v>260</v>
      </c>
      <c r="CR3503" s="5" t="s">
        <v>261</v>
      </c>
      <c r="CS3503" s="5" t="s">
        <v>498</v>
      </c>
      <c r="CT3503" s="7">
        <f>1</f>
        <v>1</v>
      </c>
      <c r="CU3503" s="8">
        <f>1</f>
        <v>1</v>
      </c>
      <c r="CV3503" s="8">
        <f>0</f>
        <v>0</v>
      </c>
      <c r="CX3503" s="8">
        <f>1</f>
        <v>1</v>
      </c>
      <c r="CY3503" s="8">
        <f>1</f>
        <v>1</v>
      </c>
      <c r="CZ3503" s="8" t="s">
        <v>238</v>
      </c>
      <c r="DA3503" s="5" t="s">
        <v>238</v>
      </c>
      <c r="DB3503" s="5" t="s">
        <v>238</v>
      </c>
      <c r="DC3503" s="5" t="s">
        <v>238</v>
      </c>
      <c r="DD3503" s="5" t="s">
        <v>238</v>
      </c>
      <c r="DE3503" s="8">
        <f>0</f>
        <v>0</v>
      </c>
      <c r="DG3503" s="5" t="s">
        <v>238</v>
      </c>
      <c r="DH3503" s="5" t="s">
        <v>238</v>
      </c>
      <c r="DI3503" s="5" t="s">
        <v>238</v>
      </c>
      <c r="DJ3503" s="5" t="s">
        <v>238</v>
      </c>
      <c r="DK3503" s="5" t="s">
        <v>238</v>
      </c>
      <c r="DL3503" s="5" t="s">
        <v>238</v>
      </c>
      <c r="DM3503" s="8" t="s">
        <v>238</v>
      </c>
      <c r="DN3503" s="5" t="s">
        <v>238</v>
      </c>
      <c r="DO3503" s="5" t="s">
        <v>238</v>
      </c>
      <c r="DP3503" s="5" t="s">
        <v>490</v>
      </c>
      <c r="DQ3503" s="5" t="s">
        <v>490</v>
      </c>
      <c r="DR3503" s="5" t="s">
        <v>238</v>
      </c>
      <c r="DS3503" s="5" t="s">
        <v>238</v>
      </c>
      <c r="DT3503" s="5" t="s">
        <v>500</v>
      </c>
      <c r="DU3503" s="5" t="s">
        <v>3296</v>
      </c>
      <c r="DV3503" s="5" t="s">
        <v>238</v>
      </c>
      <c r="DW3503" s="5" t="s">
        <v>238</v>
      </c>
      <c r="DX3503" s="5" t="s">
        <v>238</v>
      </c>
      <c r="DY3503" s="5" t="s">
        <v>238</v>
      </c>
      <c r="DZ3503" s="5" t="s">
        <v>238</v>
      </c>
      <c r="EA3503" s="5" t="s">
        <v>238</v>
      </c>
      <c r="EB3503" s="5" t="s">
        <v>238</v>
      </c>
      <c r="EC3503" s="5" t="s">
        <v>238</v>
      </c>
      <c r="ED3503" s="5" t="s">
        <v>238</v>
      </c>
      <c r="EE3503" s="5" t="s">
        <v>238</v>
      </c>
      <c r="EF3503" s="5" t="s">
        <v>238</v>
      </c>
      <c r="EG3503" s="5" t="s">
        <v>238</v>
      </c>
      <c r="EH3503" s="5" t="s">
        <v>238</v>
      </c>
      <c r="EI3503" s="5" t="s">
        <v>238</v>
      </c>
      <c r="EJ3503" s="5" t="s">
        <v>238</v>
      </c>
      <c r="EK3503" s="5" t="s">
        <v>238</v>
      </c>
      <c r="EL3503" s="5" t="s">
        <v>238</v>
      </c>
      <c r="EM3503" s="5" t="s">
        <v>238</v>
      </c>
      <c r="EN3503" s="5" t="s">
        <v>238</v>
      </c>
      <c r="EO3503" s="5" t="s">
        <v>238</v>
      </c>
      <c r="EP3503" s="5" t="s">
        <v>238</v>
      </c>
      <c r="EQ3503" s="5" t="s">
        <v>238</v>
      </c>
      <c r="ER3503" s="5" t="s">
        <v>238</v>
      </c>
      <c r="ES3503" s="5" t="s">
        <v>238</v>
      </c>
      <c r="ET3503" s="5" t="s">
        <v>238</v>
      </c>
      <c r="EU3503" s="5" t="s">
        <v>238</v>
      </c>
      <c r="EV3503" s="5" t="s">
        <v>238</v>
      </c>
      <c r="EW3503" s="5" t="s">
        <v>238</v>
      </c>
      <c r="EX3503" s="5" t="s">
        <v>238</v>
      </c>
      <c r="EY3503" s="5" t="s">
        <v>238</v>
      </c>
      <c r="EZ3503" s="5" t="s">
        <v>238</v>
      </c>
      <c r="FA3503" s="5" t="s">
        <v>238</v>
      </c>
      <c r="FB3503" s="5" t="s">
        <v>238</v>
      </c>
      <c r="FC3503" s="5" t="s">
        <v>238</v>
      </c>
      <c r="FD3503" s="5" t="s">
        <v>238</v>
      </c>
      <c r="FE3503" s="5" t="s">
        <v>238</v>
      </c>
      <c r="FF3503" s="5" t="s">
        <v>238</v>
      </c>
      <c r="FG3503" s="5" t="s">
        <v>238</v>
      </c>
      <c r="FH3503" s="5" t="s">
        <v>238</v>
      </c>
      <c r="FI3503" s="5" t="s">
        <v>238</v>
      </c>
      <c r="FJ3503" s="5" t="s">
        <v>238</v>
      </c>
      <c r="FK3503" s="5" t="s">
        <v>238</v>
      </c>
      <c r="FL3503" s="5" t="s">
        <v>238</v>
      </c>
      <c r="FM3503" s="5" t="s">
        <v>238</v>
      </c>
      <c r="FN3503" s="5" t="s">
        <v>238</v>
      </c>
      <c r="FO3503" s="5" t="s">
        <v>238</v>
      </c>
      <c r="FP3503" s="5" t="s">
        <v>238</v>
      </c>
      <c r="FQ3503" s="5" t="s">
        <v>238</v>
      </c>
      <c r="FR3503" s="5" t="s">
        <v>238</v>
      </c>
      <c r="FS3503" s="5" t="s">
        <v>238</v>
      </c>
      <c r="FT3503" s="5" t="s">
        <v>238</v>
      </c>
      <c r="FU3503" s="5" t="s">
        <v>238</v>
      </c>
      <c r="FV3503" s="5" t="s">
        <v>238</v>
      </c>
      <c r="FW3503" s="5" t="s">
        <v>238</v>
      </c>
      <c r="FX3503" s="5" t="s">
        <v>238</v>
      </c>
      <c r="FY3503" s="5" t="s">
        <v>238</v>
      </c>
      <c r="FZ3503" s="5" t="s">
        <v>238</v>
      </c>
      <c r="GA3503" s="5" t="s">
        <v>238</v>
      </c>
      <c r="GB3503" s="5" t="s">
        <v>238</v>
      </c>
      <c r="GC3503" s="5" t="s">
        <v>238</v>
      </c>
      <c r="GD3503" s="5" t="s">
        <v>238</v>
      </c>
      <c r="GE3503" s="5" t="s">
        <v>238</v>
      </c>
      <c r="GF3503" s="5" t="s">
        <v>238</v>
      </c>
      <c r="GG3503" s="5" t="s">
        <v>238</v>
      </c>
      <c r="GH3503" s="5" t="s">
        <v>238</v>
      </c>
      <c r="GI3503" s="5" t="s">
        <v>238</v>
      </c>
      <c r="GJ3503" s="5" t="s">
        <v>238</v>
      </c>
      <c r="GK3503" s="5" t="s">
        <v>238</v>
      </c>
      <c r="GL3503" s="5" t="s">
        <v>238</v>
      </c>
      <c r="GM3503" s="5" t="s">
        <v>238</v>
      </c>
      <c r="GN3503" s="5" t="s">
        <v>238</v>
      </c>
      <c r="GO3503" s="5" t="s">
        <v>238</v>
      </c>
      <c r="GP3503" s="5" t="s">
        <v>238</v>
      </c>
      <c r="GQ3503" s="5" t="s">
        <v>238</v>
      </c>
      <c r="GR3503" s="5" t="s">
        <v>238</v>
      </c>
      <c r="GS3503" s="5" t="s">
        <v>238</v>
      </c>
      <c r="GT3503" s="5" t="s">
        <v>238</v>
      </c>
      <c r="GU3503" s="5" t="s">
        <v>238</v>
      </c>
      <c r="GV3503" s="5" t="s">
        <v>238</v>
      </c>
      <c r="GW3503" s="5" t="s">
        <v>238</v>
      </c>
      <c r="GX3503" s="5" t="s">
        <v>238</v>
      </c>
      <c r="GY3503" s="5" t="s">
        <v>238</v>
      </c>
      <c r="GZ3503" s="5" t="s">
        <v>238</v>
      </c>
      <c r="HA3503" s="5" t="s">
        <v>238</v>
      </c>
      <c r="HB3503" s="5" t="s">
        <v>238</v>
      </c>
      <c r="HC3503" s="5" t="s">
        <v>238</v>
      </c>
      <c r="HD3503" s="5" t="s">
        <v>238</v>
      </c>
      <c r="HE3503" s="5" t="s">
        <v>238</v>
      </c>
      <c r="HF3503" s="5" t="s">
        <v>238</v>
      </c>
      <c r="HG3503" s="5" t="s">
        <v>238</v>
      </c>
      <c r="HH3503" s="5" t="s">
        <v>238</v>
      </c>
      <c r="HI3503" s="5" t="s">
        <v>238</v>
      </c>
      <c r="HJ3503" s="5" t="s">
        <v>238</v>
      </c>
      <c r="HK3503" s="5" t="s">
        <v>238</v>
      </c>
      <c r="HL3503" s="5" t="s">
        <v>238</v>
      </c>
      <c r="HM3503" s="5" t="s">
        <v>264</v>
      </c>
      <c r="HN3503" s="5" t="s">
        <v>238</v>
      </c>
      <c r="HO3503" s="5" t="s">
        <v>238</v>
      </c>
      <c r="HP3503" s="5" t="s">
        <v>238</v>
      </c>
      <c r="HQ3503" s="5" t="s">
        <v>238</v>
      </c>
      <c r="HR3503" s="5" t="s">
        <v>238</v>
      </c>
      <c r="HS3503" s="5" t="s">
        <v>238</v>
      </c>
      <c r="HT3503" s="5" t="s">
        <v>238</v>
      </c>
      <c r="HU3503" s="5" t="s">
        <v>238</v>
      </c>
      <c r="HV3503" s="5" t="s">
        <v>238</v>
      </c>
      <c r="HW3503" s="5" t="s">
        <v>238</v>
      </c>
      <c r="HX3503" s="5" t="s">
        <v>238</v>
      </c>
      <c r="HY3503" s="5" t="s">
        <v>238</v>
      </c>
      <c r="HZ3503" s="5" t="s">
        <v>238</v>
      </c>
      <c r="IA3503" s="5" t="s">
        <v>238</v>
      </c>
      <c r="IB3503" s="5" t="s">
        <v>238</v>
      </c>
      <c r="IC3503" s="5" t="s">
        <v>238</v>
      </c>
      <c r="ID3503" s="5" t="s">
        <v>238</v>
      </c>
    </row>
    <row r="3504" spans="1:238" x14ac:dyDescent="0.4">
      <c r="A3504" s="5">
        <v>9222</v>
      </c>
      <c r="B3504" s="5">
        <v>1</v>
      </c>
      <c r="C3504" s="5">
        <v>1</v>
      </c>
      <c r="D3504" s="5" t="s">
        <v>484</v>
      </c>
      <c r="E3504" s="5" t="s">
        <v>485</v>
      </c>
      <c r="F3504" s="5" t="s">
        <v>248</v>
      </c>
      <c r="G3504" s="5" t="s">
        <v>3891</v>
      </c>
      <c r="H3504" s="6" t="s">
        <v>3892</v>
      </c>
      <c r="I3504" s="8">
        <f>1</f>
        <v>1</v>
      </c>
      <c r="J3504" s="5" t="s">
        <v>499</v>
      </c>
      <c r="K3504" s="8">
        <f>1</f>
        <v>1</v>
      </c>
      <c r="L3504" s="6" t="s">
        <v>242</v>
      </c>
      <c r="M3504" s="5" t="s">
        <v>267</v>
      </c>
      <c r="N3504" s="5" t="s">
        <v>482</v>
      </c>
      <c r="O3504" s="5" t="s">
        <v>238</v>
      </c>
      <c r="P3504" s="5" t="s">
        <v>238</v>
      </c>
      <c r="Q3504" s="5" t="s">
        <v>239</v>
      </c>
      <c r="R3504" s="5" t="s">
        <v>270</v>
      </c>
      <c r="S3504" s="5" t="s">
        <v>238</v>
      </c>
      <c r="T3504" s="5" t="s">
        <v>238</v>
      </c>
      <c r="U3504" s="5" t="s">
        <v>238</v>
      </c>
      <c r="V3504" s="5" t="s">
        <v>238</v>
      </c>
      <c r="W3504" s="6" t="s">
        <v>238</v>
      </c>
      <c r="X3504" s="6" t="s">
        <v>238</v>
      </c>
      <c r="Y3504" s="5" t="s">
        <v>238</v>
      </c>
      <c r="Z3504" s="6" t="s">
        <v>238</v>
      </c>
      <c r="AA3504" s="6" t="s">
        <v>243</v>
      </c>
      <c r="AB3504" s="5" t="s">
        <v>486</v>
      </c>
      <c r="AC3504" s="5" t="s">
        <v>244</v>
      </c>
      <c r="AD3504" s="5" t="s">
        <v>245</v>
      </c>
      <c r="AE3504" s="5" t="s">
        <v>238</v>
      </c>
      <c r="AF3504" s="5" t="s">
        <v>238</v>
      </c>
      <c r="AG3504" s="5" t="s">
        <v>238</v>
      </c>
      <c r="AH3504" s="5" t="s">
        <v>238</v>
      </c>
      <c r="AI3504" s="5" t="s">
        <v>238</v>
      </c>
      <c r="AJ3504" s="5" t="s">
        <v>238</v>
      </c>
      <c r="AK3504" s="5" t="s">
        <v>238</v>
      </c>
      <c r="AL3504" s="5" t="s">
        <v>238</v>
      </c>
      <c r="AM3504" s="6" t="s">
        <v>238</v>
      </c>
      <c r="AN3504" s="6" t="s">
        <v>238</v>
      </c>
      <c r="AO3504" s="6" t="s">
        <v>238</v>
      </c>
      <c r="AP3504" s="6" t="s">
        <v>238</v>
      </c>
      <c r="AQ3504" s="5" t="s">
        <v>238</v>
      </c>
      <c r="AR3504" s="5" t="s">
        <v>488</v>
      </c>
      <c r="AS3504" s="5" t="s">
        <v>488</v>
      </c>
      <c r="AT3504" s="5" t="s">
        <v>246</v>
      </c>
      <c r="AU3504" s="5" t="s">
        <v>489</v>
      </c>
      <c r="AV3504" s="5" t="s">
        <v>247</v>
      </c>
      <c r="AW3504" s="5" t="s">
        <v>238</v>
      </c>
      <c r="AX3504" s="5" t="s">
        <v>249</v>
      </c>
      <c r="AY3504" s="5" t="s">
        <v>490</v>
      </c>
      <c r="BA3504" s="5" t="s">
        <v>238</v>
      </c>
      <c r="BC3504" s="5" t="s">
        <v>491</v>
      </c>
      <c r="BD3504" s="6" t="s">
        <v>492</v>
      </c>
      <c r="BE3504" s="5" t="s">
        <v>493</v>
      </c>
      <c r="BF3504" s="5" t="s">
        <v>493</v>
      </c>
      <c r="BG3504" s="5" t="s">
        <v>238</v>
      </c>
      <c r="BH3504" s="8">
        <f>1</f>
        <v>1</v>
      </c>
      <c r="BI3504" s="8">
        <f>1</f>
        <v>1</v>
      </c>
      <c r="BJ3504" s="5" t="s">
        <v>253</v>
      </c>
      <c r="BK3504" s="5" t="s">
        <v>254</v>
      </c>
      <c r="BL3504" s="5" t="s">
        <v>238</v>
      </c>
      <c r="BM3504" s="5" t="s">
        <v>238</v>
      </c>
      <c r="BN3504" s="5" t="s">
        <v>238</v>
      </c>
      <c r="BO3504" s="5" t="s">
        <v>238</v>
      </c>
      <c r="BP3504" s="5" t="s">
        <v>238</v>
      </c>
      <c r="BQ3504" s="5" t="s">
        <v>238</v>
      </c>
      <c r="BR3504" s="5" t="s">
        <v>238</v>
      </c>
      <c r="BS3504" s="5" t="s">
        <v>238</v>
      </c>
      <c r="BT3504" s="6" t="s">
        <v>238</v>
      </c>
      <c r="BU3504" s="5" t="s">
        <v>238</v>
      </c>
      <c r="BV3504" s="5" t="s">
        <v>238</v>
      </c>
      <c r="BW3504" s="5" t="s">
        <v>238</v>
      </c>
      <c r="BX3504" s="5" t="s">
        <v>254</v>
      </c>
      <c r="BY3504" s="5" t="s">
        <v>238</v>
      </c>
      <c r="BZ3504" s="5" t="s">
        <v>238</v>
      </c>
      <c r="CA3504" s="5" t="s">
        <v>238</v>
      </c>
      <c r="CB3504" s="5" t="s">
        <v>238</v>
      </c>
      <c r="CC3504" s="5" t="s">
        <v>238</v>
      </c>
      <c r="CD3504" s="5" t="s">
        <v>273</v>
      </c>
      <c r="CE3504" s="5" t="s">
        <v>256</v>
      </c>
      <c r="CF3504" s="5" t="s">
        <v>238</v>
      </c>
      <c r="CH3504" s="5" t="s">
        <v>494</v>
      </c>
      <c r="CI3504" s="6" t="s">
        <v>257</v>
      </c>
      <c r="CJ3504" s="5" t="s">
        <v>495</v>
      </c>
      <c r="CK3504" s="5" t="s">
        <v>258</v>
      </c>
      <c r="CL3504" s="5" t="s">
        <v>496</v>
      </c>
      <c r="CM3504" s="5" t="s">
        <v>238</v>
      </c>
      <c r="CN3504" s="5">
        <v>0</v>
      </c>
      <c r="CO3504" s="5" t="s">
        <v>497</v>
      </c>
      <c r="CP3504" s="5" t="s">
        <v>260</v>
      </c>
      <c r="CQ3504" s="5" t="s">
        <v>260</v>
      </c>
      <c r="CR3504" s="5" t="s">
        <v>261</v>
      </c>
      <c r="CS3504" s="5" t="s">
        <v>498</v>
      </c>
      <c r="CT3504" s="7">
        <f>1</f>
        <v>1</v>
      </c>
      <c r="CU3504" s="8">
        <f>1</f>
        <v>1</v>
      </c>
      <c r="CV3504" s="8">
        <f>0</f>
        <v>0</v>
      </c>
      <c r="CX3504" s="8">
        <f>1</f>
        <v>1</v>
      </c>
      <c r="CY3504" s="8">
        <f>1</f>
        <v>1</v>
      </c>
      <c r="CZ3504" s="8" t="s">
        <v>238</v>
      </c>
      <c r="DA3504" s="5" t="s">
        <v>238</v>
      </c>
      <c r="DB3504" s="5" t="s">
        <v>238</v>
      </c>
      <c r="DC3504" s="5" t="s">
        <v>238</v>
      </c>
      <c r="DD3504" s="5" t="s">
        <v>238</v>
      </c>
      <c r="DE3504" s="8">
        <f>0</f>
        <v>0</v>
      </c>
      <c r="DG3504" s="5" t="s">
        <v>238</v>
      </c>
      <c r="DH3504" s="5" t="s">
        <v>238</v>
      </c>
      <c r="DI3504" s="5" t="s">
        <v>238</v>
      </c>
      <c r="DJ3504" s="5" t="s">
        <v>238</v>
      </c>
      <c r="DK3504" s="5" t="s">
        <v>238</v>
      </c>
      <c r="DL3504" s="5" t="s">
        <v>238</v>
      </c>
      <c r="DM3504" s="8" t="s">
        <v>238</v>
      </c>
      <c r="DN3504" s="5" t="s">
        <v>238</v>
      </c>
      <c r="DO3504" s="5" t="s">
        <v>238</v>
      </c>
      <c r="DP3504" s="5" t="s">
        <v>490</v>
      </c>
      <c r="DQ3504" s="5" t="s">
        <v>490</v>
      </c>
      <c r="DR3504" s="5" t="s">
        <v>238</v>
      </c>
      <c r="DS3504" s="5" t="s">
        <v>238</v>
      </c>
      <c r="DT3504" s="5" t="s">
        <v>500</v>
      </c>
      <c r="DU3504" s="5" t="s">
        <v>1164</v>
      </c>
      <c r="DV3504" s="5" t="s">
        <v>238</v>
      </c>
      <c r="DW3504" s="5" t="s">
        <v>238</v>
      </c>
      <c r="DX3504" s="5" t="s">
        <v>238</v>
      </c>
      <c r="DY3504" s="5" t="s">
        <v>238</v>
      </c>
      <c r="DZ3504" s="5" t="s">
        <v>238</v>
      </c>
      <c r="EA3504" s="5" t="s">
        <v>238</v>
      </c>
      <c r="EB3504" s="5" t="s">
        <v>238</v>
      </c>
      <c r="EC3504" s="5" t="s">
        <v>238</v>
      </c>
      <c r="ED3504" s="5" t="s">
        <v>238</v>
      </c>
      <c r="EE3504" s="5" t="s">
        <v>238</v>
      </c>
      <c r="EF3504" s="5" t="s">
        <v>238</v>
      </c>
      <c r="EG3504" s="5" t="s">
        <v>238</v>
      </c>
      <c r="EH3504" s="5" t="s">
        <v>238</v>
      </c>
      <c r="EI3504" s="5" t="s">
        <v>238</v>
      </c>
      <c r="EJ3504" s="5" t="s">
        <v>238</v>
      </c>
      <c r="EK3504" s="5" t="s">
        <v>238</v>
      </c>
      <c r="EL3504" s="5" t="s">
        <v>238</v>
      </c>
      <c r="EM3504" s="5" t="s">
        <v>238</v>
      </c>
      <c r="EN3504" s="5" t="s">
        <v>238</v>
      </c>
      <c r="EO3504" s="5" t="s">
        <v>238</v>
      </c>
      <c r="EP3504" s="5" t="s">
        <v>238</v>
      </c>
      <c r="EQ3504" s="5" t="s">
        <v>238</v>
      </c>
      <c r="ER3504" s="5" t="s">
        <v>238</v>
      </c>
      <c r="ES3504" s="5" t="s">
        <v>238</v>
      </c>
      <c r="ET3504" s="5" t="s">
        <v>238</v>
      </c>
      <c r="EU3504" s="5" t="s">
        <v>238</v>
      </c>
      <c r="EV3504" s="5" t="s">
        <v>238</v>
      </c>
      <c r="EW3504" s="5" t="s">
        <v>238</v>
      </c>
      <c r="EX3504" s="5" t="s">
        <v>238</v>
      </c>
      <c r="EY3504" s="5" t="s">
        <v>238</v>
      </c>
      <c r="EZ3504" s="5" t="s">
        <v>238</v>
      </c>
      <c r="FA3504" s="5" t="s">
        <v>238</v>
      </c>
      <c r="FB3504" s="5" t="s">
        <v>238</v>
      </c>
      <c r="FC3504" s="5" t="s">
        <v>238</v>
      </c>
      <c r="FD3504" s="5" t="s">
        <v>238</v>
      </c>
      <c r="FE3504" s="5" t="s">
        <v>238</v>
      </c>
      <c r="FF3504" s="5" t="s">
        <v>238</v>
      </c>
      <c r="FG3504" s="5" t="s">
        <v>238</v>
      </c>
      <c r="FH3504" s="5" t="s">
        <v>238</v>
      </c>
      <c r="FI3504" s="5" t="s">
        <v>238</v>
      </c>
      <c r="FJ3504" s="5" t="s">
        <v>238</v>
      </c>
      <c r="FK3504" s="5" t="s">
        <v>238</v>
      </c>
      <c r="FL3504" s="5" t="s">
        <v>238</v>
      </c>
      <c r="FM3504" s="5" t="s">
        <v>238</v>
      </c>
      <c r="FN3504" s="5" t="s">
        <v>238</v>
      </c>
      <c r="FO3504" s="5" t="s">
        <v>238</v>
      </c>
      <c r="FP3504" s="5" t="s">
        <v>238</v>
      </c>
      <c r="FQ3504" s="5" t="s">
        <v>238</v>
      </c>
      <c r="FR3504" s="5" t="s">
        <v>238</v>
      </c>
      <c r="FS3504" s="5" t="s">
        <v>238</v>
      </c>
      <c r="FT3504" s="5" t="s">
        <v>238</v>
      </c>
      <c r="FU3504" s="5" t="s">
        <v>238</v>
      </c>
      <c r="FV3504" s="5" t="s">
        <v>238</v>
      </c>
      <c r="FW3504" s="5" t="s">
        <v>238</v>
      </c>
      <c r="FX3504" s="5" t="s">
        <v>238</v>
      </c>
      <c r="FY3504" s="5" t="s">
        <v>238</v>
      </c>
      <c r="FZ3504" s="5" t="s">
        <v>238</v>
      </c>
      <c r="GA3504" s="5" t="s">
        <v>238</v>
      </c>
      <c r="GB3504" s="5" t="s">
        <v>238</v>
      </c>
      <c r="GC3504" s="5" t="s">
        <v>238</v>
      </c>
      <c r="GD3504" s="5" t="s">
        <v>238</v>
      </c>
      <c r="GE3504" s="5" t="s">
        <v>238</v>
      </c>
      <c r="GF3504" s="5" t="s">
        <v>238</v>
      </c>
      <c r="GG3504" s="5" t="s">
        <v>238</v>
      </c>
      <c r="GH3504" s="5" t="s">
        <v>238</v>
      </c>
      <c r="GI3504" s="5" t="s">
        <v>238</v>
      </c>
      <c r="GJ3504" s="5" t="s">
        <v>238</v>
      </c>
      <c r="GK3504" s="5" t="s">
        <v>238</v>
      </c>
      <c r="GL3504" s="5" t="s">
        <v>238</v>
      </c>
      <c r="GM3504" s="5" t="s">
        <v>238</v>
      </c>
      <c r="GN3504" s="5" t="s">
        <v>238</v>
      </c>
      <c r="GO3504" s="5" t="s">
        <v>238</v>
      </c>
      <c r="GP3504" s="5" t="s">
        <v>238</v>
      </c>
      <c r="GQ3504" s="5" t="s">
        <v>238</v>
      </c>
      <c r="GR3504" s="5" t="s">
        <v>238</v>
      </c>
      <c r="GS3504" s="5" t="s">
        <v>238</v>
      </c>
      <c r="GT3504" s="5" t="s">
        <v>238</v>
      </c>
      <c r="GU3504" s="5" t="s">
        <v>238</v>
      </c>
      <c r="GV3504" s="5" t="s">
        <v>238</v>
      </c>
      <c r="GW3504" s="5" t="s">
        <v>238</v>
      </c>
      <c r="GX3504" s="5" t="s">
        <v>238</v>
      </c>
      <c r="GY3504" s="5" t="s">
        <v>238</v>
      </c>
      <c r="GZ3504" s="5" t="s">
        <v>238</v>
      </c>
      <c r="HA3504" s="5" t="s">
        <v>238</v>
      </c>
      <c r="HB3504" s="5" t="s">
        <v>238</v>
      </c>
      <c r="HC3504" s="5" t="s">
        <v>238</v>
      </c>
      <c r="HD3504" s="5" t="s">
        <v>238</v>
      </c>
      <c r="HE3504" s="5" t="s">
        <v>238</v>
      </c>
      <c r="HF3504" s="5" t="s">
        <v>238</v>
      </c>
      <c r="HG3504" s="5" t="s">
        <v>238</v>
      </c>
      <c r="HH3504" s="5" t="s">
        <v>238</v>
      </c>
      <c r="HI3504" s="5" t="s">
        <v>238</v>
      </c>
      <c r="HJ3504" s="5" t="s">
        <v>238</v>
      </c>
      <c r="HK3504" s="5" t="s">
        <v>238</v>
      </c>
      <c r="HL3504" s="5" t="s">
        <v>238</v>
      </c>
      <c r="HM3504" s="5" t="s">
        <v>264</v>
      </c>
      <c r="HN3504" s="5" t="s">
        <v>238</v>
      </c>
      <c r="HO3504" s="5" t="s">
        <v>238</v>
      </c>
      <c r="HP3504" s="5" t="s">
        <v>238</v>
      </c>
      <c r="HQ3504" s="5" t="s">
        <v>238</v>
      </c>
      <c r="HR3504" s="5" t="s">
        <v>238</v>
      </c>
      <c r="HS3504" s="5" t="s">
        <v>238</v>
      </c>
      <c r="HT3504" s="5" t="s">
        <v>238</v>
      </c>
      <c r="HU3504" s="5" t="s">
        <v>238</v>
      </c>
      <c r="HV3504" s="5" t="s">
        <v>238</v>
      </c>
      <c r="HW3504" s="5" t="s">
        <v>238</v>
      </c>
      <c r="HX3504" s="5" t="s">
        <v>238</v>
      </c>
      <c r="HY3504" s="5" t="s">
        <v>238</v>
      </c>
      <c r="HZ3504" s="5" t="s">
        <v>238</v>
      </c>
      <c r="IA3504" s="5" t="s">
        <v>238</v>
      </c>
      <c r="IB3504" s="5" t="s">
        <v>238</v>
      </c>
      <c r="IC3504" s="5" t="s">
        <v>238</v>
      </c>
      <c r="ID3504" s="5" t="s">
        <v>238</v>
      </c>
    </row>
    <row r="3505" spans="1:238" x14ac:dyDescent="0.4">
      <c r="A3505" s="5">
        <v>9223</v>
      </c>
      <c r="B3505" s="5">
        <v>1</v>
      </c>
      <c r="C3505" s="5">
        <v>1</v>
      </c>
      <c r="D3505" s="5" t="s">
        <v>484</v>
      </c>
      <c r="E3505" s="5" t="s">
        <v>485</v>
      </c>
      <c r="F3505" s="5" t="s">
        <v>248</v>
      </c>
      <c r="G3505" s="5" t="s">
        <v>4716</v>
      </c>
      <c r="H3505" s="6" t="s">
        <v>4718</v>
      </c>
      <c r="I3505" s="8">
        <f>1</f>
        <v>1</v>
      </c>
      <c r="J3505" s="5" t="s">
        <v>499</v>
      </c>
      <c r="K3505" s="8">
        <f>1</f>
        <v>1</v>
      </c>
      <c r="L3505" s="6" t="s">
        <v>242</v>
      </c>
      <c r="M3505" s="5" t="s">
        <v>267</v>
      </c>
      <c r="N3505" s="5" t="s">
        <v>482</v>
      </c>
      <c r="O3505" s="5" t="s">
        <v>238</v>
      </c>
      <c r="P3505" s="5" t="s">
        <v>238</v>
      </c>
      <c r="Q3505" s="5" t="s">
        <v>239</v>
      </c>
      <c r="R3505" s="5" t="s">
        <v>270</v>
      </c>
      <c r="S3505" s="5" t="s">
        <v>238</v>
      </c>
      <c r="T3505" s="5" t="s">
        <v>238</v>
      </c>
      <c r="U3505" s="5" t="s">
        <v>238</v>
      </c>
      <c r="V3505" s="5" t="s">
        <v>238</v>
      </c>
      <c r="W3505" s="6" t="s">
        <v>238</v>
      </c>
      <c r="X3505" s="6" t="s">
        <v>238</v>
      </c>
      <c r="Y3505" s="5" t="s">
        <v>238</v>
      </c>
      <c r="Z3505" s="6" t="s">
        <v>238</v>
      </c>
      <c r="AA3505" s="6" t="s">
        <v>243</v>
      </c>
      <c r="AB3505" s="5" t="s">
        <v>4717</v>
      </c>
      <c r="AC3505" s="5" t="s">
        <v>244</v>
      </c>
      <c r="AD3505" s="5" t="s">
        <v>245</v>
      </c>
      <c r="AE3505" s="5" t="s">
        <v>238</v>
      </c>
      <c r="AF3505" s="5" t="s">
        <v>238</v>
      </c>
      <c r="AG3505" s="5" t="s">
        <v>238</v>
      </c>
      <c r="AH3505" s="5" t="s">
        <v>238</v>
      </c>
      <c r="AI3505" s="5" t="s">
        <v>238</v>
      </c>
      <c r="AJ3505" s="5" t="s">
        <v>238</v>
      </c>
      <c r="AK3505" s="5" t="s">
        <v>238</v>
      </c>
      <c r="AL3505" s="5" t="s">
        <v>238</v>
      </c>
      <c r="AM3505" s="6" t="s">
        <v>238</v>
      </c>
      <c r="AN3505" s="6" t="s">
        <v>238</v>
      </c>
      <c r="AO3505" s="6" t="s">
        <v>238</v>
      </c>
      <c r="AP3505" s="6" t="s">
        <v>238</v>
      </c>
      <c r="AQ3505" s="5" t="s">
        <v>238</v>
      </c>
      <c r="AR3505" s="5" t="s">
        <v>488</v>
      </c>
      <c r="AS3505" s="5" t="s">
        <v>488</v>
      </c>
      <c r="AT3505" s="5" t="s">
        <v>246</v>
      </c>
      <c r="AU3505" s="5" t="s">
        <v>489</v>
      </c>
      <c r="AV3505" s="5" t="s">
        <v>247</v>
      </c>
      <c r="AW3505" s="5" t="s">
        <v>238</v>
      </c>
      <c r="AX3505" s="5" t="s">
        <v>249</v>
      </c>
      <c r="AY3505" s="5" t="s">
        <v>490</v>
      </c>
      <c r="BA3505" s="5" t="s">
        <v>238</v>
      </c>
      <c r="BC3505" s="5" t="s">
        <v>491</v>
      </c>
      <c r="BD3505" s="6" t="s">
        <v>492</v>
      </c>
      <c r="BE3505" s="5" t="s">
        <v>493</v>
      </c>
      <c r="BF3505" s="5" t="s">
        <v>493</v>
      </c>
      <c r="BG3505" s="5" t="s">
        <v>238</v>
      </c>
      <c r="BH3505" s="8">
        <f>1</f>
        <v>1</v>
      </c>
      <c r="BI3505" s="8">
        <f>1</f>
        <v>1</v>
      </c>
      <c r="BJ3505" s="5" t="s">
        <v>253</v>
      </c>
      <c r="BK3505" s="5" t="s">
        <v>254</v>
      </c>
      <c r="BL3505" s="5" t="s">
        <v>238</v>
      </c>
      <c r="BM3505" s="5" t="s">
        <v>238</v>
      </c>
      <c r="BN3505" s="5" t="s">
        <v>238</v>
      </c>
      <c r="BO3505" s="5" t="s">
        <v>238</v>
      </c>
      <c r="BP3505" s="5" t="s">
        <v>238</v>
      </c>
      <c r="BQ3505" s="5" t="s">
        <v>238</v>
      </c>
      <c r="BR3505" s="5" t="s">
        <v>238</v>
      </c>
      <c r="BS3505" s="5" t="s">
        <v>238</v>
      </c>
      <c r="BT3505" s="6" t="s">
        <v>238</v>
      </c>
      <c r="BU3505" s="5" t="s">
        <v>238</v>
      </c>
      <c r="BV3505" s="5" t="s">
        <v>238</v>
      </c>
      <c r="BW3505" s="5" t="s">
        <v>238</v>
      </c>
      <c r="BX3505" s="5" t="s">
        <v>254</v>
      </c>
      <c r="BY3505" s="5" t="s">
        <v>238</v>
      </c>
      <c r="BZ3505" s="5" t="s">
        <v>238</v>
      </c>
      <c r="CA3505" s="5" t="s">
        <v>238</v>
      </c>
      <c r="CB3505" s="5" t="s">
        <v>238</v>
      </c>
      <c r="CC3505" s="5" t="s">
        <v>238</v>
      </c>
      <c r="CD3505" s="5" t="s">
        <v>273</v>
      </c>
      <c r="CE3505" s="5" t="s">
        <v>256</v>
      </c>
      <c r="CF3505" s="5" t="s">
        <v>238</v>
      </c>
      <c r="CH3505" s="5" t="s">
        <v>494</v>
      </c>
      <c r="CI3505" s="6" t="s">
        <v>257</v>
      </c>
      <c r="CJ3505" s="5" t="s">
        <v>495</v>
      </c>
      <c r="CK3505" s="5" t="s">
        <v>258</v>
      </c>
      <c r="CL3505" s="5" t="s">
        <v>496</v>
      </c>
      <c r="CM3505" s="5" t="s">
        <v>238</v>
      </c>
      <c r="CN3505" s="5">
        <v>0</v>
      </c>
      <c r="CO3505" s="5" t="s">
        <v>497</v>
      </c>
      <c r="CP3505" s="5" t="s">
        <v>260</v>
      </c>
      <c r="CQ3505" s="5" t="s">
        <v>260</v>
      </c>
      <c r="CR3505" s="5" t="s">
        <v>261</v>
      </c>
      <c r="CS3505" s="5" t="s">
        <v>498</v>
      </c>
      <c r="CT3505" s="7">
        <f>1</f>
        <v>1</v>
      </c>
      <c r="CU3505" s="8">
        <f>1</f>
        <v>1</v>
      </c>
      <c r="CV3505" s="8">
        <f>0</f>
        <v>0</v>
      </c>
      <c r="CX3505" s="8">
        <f>1</f>
        <v>1</v>
      </c>
      <c r="CY3505" s="8">
        <f>1</f>
        <v>1</v>
      </c>
      <c r="CZ3505" s="8" t="s">
        <v>238</v>
      </c>
      <c r="DA3505" s="5" t="s">
        <v>238</v>
      </c>
      <c r="DB3505" s="5" t="s">
        <v>238</v>
      </c>
      <c r="DC3505" s="5" t="s">
        <v>238</v>
      </c>
      <c r="DD3505" s="5" t="s">
        <v>238</v>
      </c>
      <c r="DE3505" s="8">
        <f>0</f>
        <v>0</v>
      </c>
      <c r="DG3505" s="5" t="s">
        <v>238</v>
      </c>
      <c r="DH3505" s="5" t="s">
        <v>238</v>
      </c>
      <c r="DI3505" s="5" t="s">
        <v>238</v>
      </c>
      <c r="DJ3505" s="5" t="s">
        <v>238</v>
      </c>
      <c r="DK3505" s="5" t="s">
        <v>238</v>
      </c>
      <c r="DL3505" s="5" t="s">
        <v>238</v>
      </c>
      <c r="DM3505" s="8" t="s">
        <v>238</v>
      </c>
      <c r="DN3505" s="5" t="s">
        <v>238</v>
      </c>
      <c r="DO3505" s="5" t="s">
        <v>238</v>
      </c>
      <c r="DP3505" s="5" t="s">
        <v>490</v>
      </c>
      <c r="DQ3505" s="5" t="s">
        <v>490</v>
      </c>
      <c r="DR3505" s="5" t="s">
        <v>238</v>
      </c>
      <c r="DS3505" s="5" t="s">
        <v>238</v>
      </c>
      <c r="DT3505" s="5" t="s">
        <v>500</v>
      </c>
      <c r="DU3505" s="5" t="s">
        <v>502</v>
      </c>
      <c r="DV3505" s="5" t="s">
        <v>238</v>
      </c>
      <c r="DW3505" s="5" t="s">
        <v>238</v>
      </c>
      <c r="DX3505" s="5" t="s">
        <v>238</v>
      </c>
      <c r="DY3505" s="5" t="s">
        <v>238</v>
      </c>
      <c r="DZ3505" s="5" t="s">
        <v>238</v>
      </c>
      <c r="EA3505" s="5" t="s">
        <v>238</v>
      </c>
      <c r="EB3505" s="5" t="s">
        <v>238</v>
      </c>
      <c r="EC3505" s="5" t="s">
        <v>238</v>
      </c>
      <c r="ED3505" s="5" t="s">
        <v>238</v>
      </c>
      <c r="EE3505" s="5" t="s">
        <v>238</v>
      </c>
      <c r="EF3505" s="5" t="s">
        <v>238</v>
      </c>
      <c r="EG3505" s="5" t="s">
        <v>238</v>
      </c>
      <c r="EH3505" s="5" t="s">
        <v>238</v>
      </c>
      <c r="EI3505" s="5" t="s">
        <v>238</v>
      </c>
      <c r="EJ3505" s="5" t="s">
        <v>238</v>
      </c>
      <c r="EK3505" s="5" t="s">
        <v>238</v>
      </c>
      <c r="EL3505" s="5" t="s">
        <v>238</v>
      </c>
      <c r="EM3505" s="5" t="s">
        <v>238</v>
      </c>
      <c r="EN3505" s="5" t="s">
        <v>238</v>
      </c>
      <c r="EO3505" s="5" t="s">
        <v>238</v>
      </c>
      <c r="EP3505" s="5" t="s">
        <v>238</v>
      </c>
      <c r="EQ3505" s="5" t="s">
        <v>238</v>
      </c>
      <c r="ER3505" s="5" t="s">
        <v>238</v>
      </c>
      <c r="ES3505" s="5" t="s">
        <v>238</v>
      </c>
      <c r="ET3505" s="5" t="s">
        <v>238</v>
      </c>
      <c r="EU3505" s="5" t="s">
        <v>238</v>
      </c>
      <c r="EV3505" s="5" t="s">
        <v>238</v>
      </c>
      <c r="EW3505" s="5" t="s">
        <v>238</v>
      </c>
      <c r="EX3505" s="5" t="s">
        <v>238</v>
      </c>
      <c r="EY3505" s="5" t="s">
        <v>238</v>
      </c>
      <c r="EZ3505" s="5" t="s">
        <v>238</v>
      </c>
      <c r="FA3505" s="5" t="s">
        <v>238</v>
      </c>
      <c r="FB3505" s="5" t="s">
        <v>238</v>
      </c>
      <c r="FC3505" s="5" t="s">
        <v>238</v>
      </c>
      <c r="FD3505" s="5" t="s">
        <v>238</v>
      </c>
      <c r="FE3505" s="5" t="s">
        <v>238</v>
      </c>
      <c r="FF3505" s="5" t="s">
        <v>238</v>
      </c>
      <c r="FG3505" s="5" t="s">
        <v>238</v>
      </c>
      <c r="FH3505" s="5" t="s">
        <v>238</v>
      </c>
      <c r="FI3505" s="5" t="s">
        <v>238</v>
      </c>
      <c r="FJ3505" s="5" t="s">
        <v>238</v>
      </c>
      <c r="FK3505" s="5" t="s">
        <v>238</v>
      </c>
      <c r="FL3505" s="5" t="s">
        <v>238</v>
      </c>
      <c r="FM3505" s="5" t="s">
        <v>238</v>
      </c>
      <c r="FN3505" s="5" t="s">
        <v>238</v>
      </c>
      <c r="FO3505" s="5" t="s">
        <v>238</v>
      </c>
      <c r="FP3505" s="5" t="s">
        <v>238</v>
      </c>
      <c r="FQ3505" s="5" t="s">
        <v>238</v>
      </c>
      <c r="FR3505" s="5" t="s">
        <v>238</v>
      </c>
      <c r="FS3505" s="5" t="s">
        <v>238</v>
      </c>
      <c r="FT3505" s="5" t="s">
        <v>238</v>
      </c>
      <c r="FU3505" s="5" t="s">
        <v>238</v>
      </c>
      <c r="FV3505" s="5" t="s">
        <v>238</v>
      </c>
      <c r="FW3505" s="5" t="s">
        <v>238</v>
      </c>
      <c r="FX3505" s="5" t="s">
        <v>238</v>
      </c>
      <c r="FY3505" s="5" t="s">
        <v>238</v>
      </c>
      <c r="FZ3505" s="5" t="s">
        <v>238</v>
      </c>
      <c r="GA3505" s="5" t="s">
        <v>238</v>
      </c>
      <c r="GB3505" s="5" t="s">
        <v>238</v>
      </c>
      <c r="GC3505" s="5" t="s">
        <v>238</v>
      </c>
      <c r="GD3505" s="5" t="s">
        <v>238</v>
      </c>
      <c r="GE3505" s="5" t="s">
        <v>238</v>
      </c>
      <c r="GF3505" s="5" t="s">
        <v>238</v>
      </c>
      <c r="GG3505" s="5" t="s">
        <v>238</v>
      </c>
      <c r="GH3505" s="5" t="s">
        <v>238</v>
      </c>
      <c r="GI3505" s="5" t="s">
        <v>238</v>
      </c>
      <c r="GJ3505" s="5" t="s">
        <v>238</v>
      </c>
      <c r="GK3505" s="5" t="s">
        <v>238</v>
      </c>
      <c r="GL3505" s="5" t="s">
        <v>238</v>
      </c>
      <c r="GM3505" s="5" t="s">
        <v>238</v>
      </c>
      <c r="GN3505" s="5" t="s">
        <v>238</v>
      </c>
      <c r="GO3505" s="5" t="s">
        <v>238</v>
      </c>
      <c r="GP3505" s="5" t="s">
        <v>238</v>
      </c>
      <c r="GQ3505" s="5" t="s">
        <v>238</v>
      </c>
      <c r="GR3505" s="5" t="s">
        <v>238</v>
      </c>
      <c r="GS3505" s="5" t="s">
        <v>238</v>
      </c>
      <c r="GT3505" s="5" t="s">
        <v>238</v>
      </c>
      <c r="GU3505" s="5" t="s">
        <v>238</v>
      </c>
      <c r="GV3505" s="5" t="s">
        <v>238</v>
      </c>
      <c r="GW3505" s="5" t="s">
        <v>238</v>
      </c>
      <c r="GX3505" s="5" t="s">
        <v>238</v>
      </c>
      <c r="GY3505" s="5" t="s">
        <v>238</v>
      </c>
      <c r="GZ3505" s="5" t="s">
        <v>238</v>
      </c>
      <c r="HA3505" s="5" t="s">
        <v>238</v>
      </c>
      <c r="HB3505" s="5" t="s">
        <v>238</v>
      </c>
      <c r="HC3505" s="5" t="s">
        <v>238</v>
      </c>
      <c r="HD3505" s="5" t="s">
        <v>238</v>
      </c>
      <c r="HE3505" s="5" t="s">
        <v>238</v>
      </c>
      <c r="HF3505" s="5" t="s">
        <v>238</v>
      </c>
      <c r="HG3505" s="5" t="s">
        <v>238</v>
      </c>
      <c r="HH3505" s="5" t="s">
        <v>238</v>
      </c>
      <c r="HI3505" s="5" t="s">
        <v>238</v>
      </c>
      <c r="HJ3505" s="5" t="s">
        <v>238</v>
      </c>
      <c r="HK3505" s="5" t="s">
        <v>238</v>
      </c>
      <c r="HL3505" s="5" t="s">
        <v>238</v>
      </c>
      <c r="HM3505" s="5" t="s">
        <v>264</v>
      </c>
      <c r="HN3505" s="5" t="s">
        <v>238</v>
      </c>
      <c r="HO3505" s="5" t="s">
        <v>238</v>
      </c>
      <c r="HP3505" s="5" t="s">
        <v>238</v>
      </c>
      <c r="HQ3505" s="5" t="s">
        <v>238</v>
      </c>
      <c r="HR3505" s="5" t="s">
        <v>238</v>
      </c>
      <c r="HS3505" s="5" t="s">
        <v>238</v>
      </c>
      <c r="HT3505" s="5" t="s">
        <v>238</v>
      </c>
      <c r="HU3505" s="5" t="s">
        <v>238</v>
      </c>
      <c r="HV3505" s="5" t="s">
        <v>238</v>
      </c>
      <c r="HW3505" s="5" t="s">
        <v>238</v>
      </c>
      <c r="HX3505" s="5" t="s">
        <v>238</v>
      </c>
      <c r="HY3505" s="5" t="s">
        <v>238</v>
      </c>
      <c r="HZ3505" s="5" t="s">
        <v>238</v>
      </c>
      <c r="IA3505" s="5" t="s">
        <v>238</v>
      </c>
      <c r="IB3505" s="5" t="s">
        <v>238</v>
      </c>
      <c r="IC3505" s="5" t="s">
        <v>238</v>
      </c>
      <c r="ID3505" s="5" t="s">
        <v>238</v>
      </c>
    </row>
    <row r="3506" spans="1:238" x14ac:dyDescent="0.4">
      <c r="A3506" s="5">
        <v>9224</v>
      </c>
      <c r="B3506" s="5">
        <v>1</v>
      </c>
      <c r="C3506" s="5">
        <v>1</v>
      </c>
      <c r="D3506" s="5" t="s">
        <v>484</v>
      </c>
      <c r="E3506" s="5" t="s">
        <v>485</v>
      </c>
      <c r="F3506" s="5" t="s">
        <v>248</v>
      </c>
      <c r="G3506" s="5" t="s">
        <v>5816</v>
      </c>
      <c r="H3506" s="6" t="s">
        <v>5817</v>
      </c>
      <c r="I3506" s="8">
        <f>1</f>
        <v>1</v>
      </c>
      <c r="J3506" s="5" t="s">
        <v>499</v>
      </c>
      <c r="K3506" s="8">
        <f>1</f>
        <v>1</v>
      </c>
      <c r="L3506" s="6" t="s">
        <v>242</v>
      </c>
      <c r="M3506" s="5" t="s">
        <v>267</v>
      </c>
      <c r="N3506" s="5" t="s">
        <v>482</v>
      </c>
      <c r="O3506" s="5" t="s">
        <v>238</v>
      </c>
      <c r="P3506" s="5" t="s">
        <v>238</v>
      </c>
      <c r="Q3506" s="5" t="s">
        <v>239</v>
      </c>
      <c r="R3506" s="5" t="s">
        <v>270</v>
      </c>
      <c r="S3506" s="5" t="s">
        <v>238</v>
      </c>
      <c r="T3506" s="5" t="s">
        <v>238</v>
      </c>
      <c r="U3506" s="5" t="s">
        <v>238</v>
      </c>
      <c r="V3506" s="5" t="s">
        <v>238</v>
      </c>
      <c r="W3506" s="6" t="s">
        <v>238</v>
      </c>
      <c r="X3506" s="6" t="s">
        <v>238</v>
      </c>
      <c r="Y3506" s="5" t="s">
        <v>238</v>
      </c>
      <c r="Z3506" s="6" t="s">
        <v>238</v>
      </c>
      <c r="AA3506" s="6" t="s">
        <v>243</v>
      </c>
      <c r="AB3506" s="5" t="s">
        <v>486</v>
      </c>
      <c r="AC3506" s="5" t="s">
        <v>244</v>
      </c>
      <c r="AD3506" s="5" t="s">
        <v>245</v>
      </c>
      <c r="AE3506" s="5" t="s">
        <v>238</v>
      </c>
      <c r="AF3506" s="5" t="s">
        <v>238</v>
      </c>
      <c r="AG3506" s="5" t="s">
        <v>238</v>
      </c>
      <c r="AH3506" s="5" t="s">
        <v>238</v>
      </c>
      <c r="AI3506" s="5" t="s">
        <v>238</v>
      </c>
      <c r="AJ3506" s="5" t="s">
        <v>238</v>
      </c>
      <c r="AK3506" s="5" t="s">
        <v>238</v>
      </c>
      <c r="AL3506" s="5" t="s">
        <v>238</v>
      </c>
      <c r="AM3506" s="6" t="s">
        <v>238</v>
      </c>
      <c r="AN3506" s="6" t="s">
        <v>238</v>
      </c>
      <c r="AO3506" s="6" t="s">
        <v>238</v>
      </c>
      <c r="AP3506" s="6" t="s">
        <v>238</v>
      </c>
      <c r="AQ3506" s="5" t="s">
        <v>238</v>
      </c>
      <c r="AR3506" s="5" t="s">
        <v>488</v>
      </c>
      <c r="AS3506" s="5" t="s">
        <v>488</v>
      </c>
      <c r="AT3506" s="5" t="s">
        <v>246</v>
      </c>
      <c r="AU3506" s="5" t="s">
        <v>489</v>
      </c>
      <c r="AV3506" s="5" t="s">
        <v>247</v>
      </c>
      <c r="AW3506" s="5" t="s">
        <v>238</v>
      </c>
      <c r="AX3506" s="5" t="s">
        <v>249</v>
      </c>
      <c r="AY3506" s="5" t="s">
        <v>490</v>
      </c>
      <c r="BA3506" s="5" t="s">
        <v>238</v>
      </c>
      <c r="BC3506" s="5" t="s">
        <v>491</v>
      </c>
      <c r="BD3506" s="6" t="s">
        <v>492</v>
      </c>
      <c r="BE3506" s="5" t="s">
        <v>493</v>
      </c>
      <c r="BF3506" s="5" t="s">
        <v>493</v>
      </c>
      <c r="BG3506" s="5" t="s">
        <v>238</v>
      </c>
      <c r="BH3506" s="8">
        <f>1</f>
        <v>1</v>
      </c>
      <c r="BI3506" s="8">
        <f>1</f>
        <v>1</v>
      </c>
      <c r="BJ3506" s="5" t="s">
        <v>253</v>
      </c>
      <c r="BK3506" s="5" t="s">
        <v>254</v>
      </c>
      <c r="BL3506" s="5" t="s">
        <v>238</v>
      </c>
      <c r="BM3506" s="5" t="s">
        <v>238</v>
      </c>
      <c r="BN3506" s="5" t="s">
        <v>238</v>
      </c>
      <c r="BO3506" s="5" t="s">
        <v>238</v>
      </c>
      <c r="BP3506" s="5" t="s">
        <v>238</v>
      </c>
      <c r="BQ3506" s="5" t="s">
        <v>238</v>
      </c>
      <c r="BR3506" s="5" t="s">
        <v>238</v>
      </c>
      <c r="BS3506" s="5" t="s">
        <v>238</v>
      </c>
      <c r="BT3506" s="6" t="s">
        <v>238</v>
      </c>
      <c r="BU3506" s="5" t="s">
        <v>238</v>
      </c>
      <c r="BV3506" s="5" t="s">
        <v>238</v>
      </c>
      <c r="BW3506" s="5" t="s">
        <v>238</v>
      </c>
      <c r="BX3506" s="5" t="s">
        <v>254</v>
      </c>
      <c r="BY3506" s="5" t="s">
        <v>238</v>
      </c>
      <c r="BZ3506" s="5" t="s">
        <v>238</v>
      </c>
      <c r="CA3506" s="5" t="s">
        <v>238</v>
      </c>
      <c r="CB3506" s="5" t="s">
        <v>238</v>
      </c>
      <c r="CC3506" s="5" t="s">
        <v>238</v>
      </c>
      <c r="CD3506" s="5" t="s">
        <v>273</v>
      </c>
      <c r="CE3506" s="5" t="s">
        <v>256</v>
      </c>
      <c r="CF3506" s="5" t="s">
        <v>238</v>
      </c>
      <c r="CH3506" s="5" t="s">
        <v>494</v>
      </c>
      <c r="CI3506" s="6" t="s">
        <v>257</v>
      </c>
      <c r="CJ3506" s="5" t="s">
        <v>495</v>
      </c>
      <c r="CK3506" s="5" t="s">
        <v>258</v>
      </c>
      <c r="CL3506" s="5" t="s">
        <v>496</v>
      </c>
      <c r="CM3506" s="5" t="s">
        <v>238</v>
      </c>
      <c r="CN3506" s="5">
        <v>0</v>
      </c>
      <c r="CO3506" s="5" t="s">
        <v>497</v>
      </c>
      <c r="CP3506" s="5" t="s">
        <v>260</v>
      </c>
      <c r="CQ3506" s="5" t="s">
        <v>260</v>
      </c>
      <c r="CR3506" s="5" t="s">
        <v>261</v>
      </c>
      <c r="CS3506" s="5" t="s">
        <v>498</v>
      </c>
      <c r="CT3506" s="7">
        <f>1</f>
        <v>1</v>
      </c>
      <c r="CU3506" s="8">
        <f>1</f>
        <v>1</v>
      </c>
      <c r="CV3506" s="8">
        <f>0</f>
        <v>0</v>
      </c>
      <c r="CX3506" s="8">
        <f>1</f>
        <v>1</v>
      </c>
      <c r="CY3506" s="8">
        <f>1</f>
        <v>1</v>
      </c>
      <c r="CZ3506" s="8" t="s">
        <v>238</v>
      </c>
      <c r="DA3506" s="5" t="s">
        <v>238</v>
      </c>
      <c r="DB3506" s="5" t="s">
        <v>238</v>
      </c>
      <c r="DC3506" s="5" t="s">
        <v>238</v>
      </c>
      <c r="DD3506" s="5" t="s">
        <v>238</v>
      </c>
      <c r="DE3506" s="8">
        <f>0</f>
        <v>0</v>
      </c>
      <c r="DG3506" s="5" t="s">
        <v>238</v>
      </c>
      <c r="DH3506" s="5" t="s">
        <v>238</v>
      </c>
      <c r="DI3506" s="5" t="s">
        <v>238</v>
      </c>
      <c r="DJ3506" s="5" t="s">
        <v>238</v>
      </c>
      <c r="DK3506" s="5" t="s">
        <v>238</v>
      </c>
      <c r="DL3506" s="5" t="s">
        <v>238</v>
      </c>
      <c r="DM3506" s="8" t="s">
        <v>238</v>
      </c>
      <c r="DN3506" s="5" t="s">
        <v>238</v>
      </c>
      <c r="DO3506" s="5" t="s">
        <v>238</v>
      </c>
      <c r="DP3506" s="5" t="s">
        <v>490</v>
      </c>
      <c r="DQ3506" s="5" t="s">
        <v>490</v>
      </c>
      <c r="DR3506" s="5" t="s">
        <v>238</v>
      </c>
      <c r="DS3506" s="5" t="s">
        <v>238</v>
      </c>
      <c r="DT3506" s="5" t="s">
        <v>500</v>
      </c>
      <c r="DU3506" s="5" t="s">
        <v>516</v>
      </c>
      <c r="DV3506" s="5" t="s">
        <v>238</v>
      </c>
      <c r="DW3506" s="5" t="s">
        <v>238</v>
      </c>
      <c r="DX3506" s="5" t="s">
        <v>238</v>
      </c>
      <c r="DY3506" s="5" t="s">
        <v>238</v>
      </c>
      <c r="DZ3506" s="5" t="s">
        <v>238</v>
      </c>
      <c r="EA3506" s="5" t="s">
        <v>238</v>
      </c>
      <c r="EB3506" s="5" t="s">
        <v>238</v>
      </c>
      <c r="EC3506" s="5" t="s">
        <v>238</v>
      </c>
      <c r="ED3506" s="5" t="s">
        <v>238</v>
      </c>
      <c r="EE3506" s="5" t="s">
        <v>238</v>
      </c>
      <c r="EF3506" s="5" t="s">
        <v>238</v>
      </c>
      <c r="EG3506" s="5" t="s">
        <v>238</v>
      </c>
      <c r="EH3506" s="5" t="s">
        <v>238</v>
      </c>
      <c r="EI3506" s="5" t="s">
        <v>238</v>
      </c>
      <c r="EJ3506" s="5" t="s">
        <v>238</v>
      </c>
      <c r="EK3506" s="5" t="s">
        <v>238</v>
      </c>
      <c r="EL3506" s="5" t="s">
        <v>238</v>
      </c>
      <c r="EM3506" s="5" t="s">
        <v>238</v>
      </c>
      <c r="EN3506" s="5" t="s">
        <v>238</v>
      </c>
      <c r="EO3506" s="5" t="s">
        <v>238</v>
      </c>
      <c r="EP3506" s="5" t="s">
        <v>238</v>
      </c>
      <c r="EQ3506" s="5" t="s">
        <v>238</v>
      </c>
      <c r="ER3506" s="5" t="s">
        <v>238</v>
      </c>
      <c r="ES3506" s="5" t="s">
        <v>238</v>
      </c>
      <c r="ET3506" s="5" t="s">
        <v>238</v>
      </c>
      <c r="EU3506" s="5" t="s">
        <v>238</v>
      </c>
      <c r="EV3506" s="5" t="s">
        <v>238</v>
      </c>
      <c r="EW3506" s="5" t="s">
        <v>238</v>
      </c>
      <c r="EX3506" s="5" t="s">
        <v>238</v>
      </c>
      <c r="EY3506" s="5" t="s">
        <v>238</v>
      </c>
      <c r="EZ3506" s="5" t="s">
        <v>238</v>
      </c>
      <c r="FA3506" s="5" t="s">
        <v>238</v>
      </c>
      <c r="FB3506" s="5" t="s">
        <v>238</v>
      </c>
      <c r="FC3506" s="5" t="s">
        <v>238</v>
      </c>
      <c r="FD3506" s="5" t="s">
        <v>238</v>
      </c>
      <c r="FE3506" s="5" t="s">
        <v>238</v>
      </c>
      <c r="FF3506" s="5" t="s">
        <v>238</v>
      </c>
      <c r="FG3506" s="5" t="s">
        <v>238</v>
      </c>
      <c r="FH3506" s="5" t="s">
        <v>238</v>
      </c>
      <c r="FI3506" s="5" t="s">
        <v>238</v>
      </c>
      <c r="FJ3506" s="5" t="s">
        <v>238</v>
      </c>
      <c r="FK3506" s="5" t="s">
        <v>238</v>
      </c>
      <c r="FL3506" s="5" t="s">
        <v>238</v>
      </c>
      <c r="FM3506" s="5" t="s">
        <v>238</v>
      </c>
      <c r="FN3506" s="5" t="s">
        <v>238</v>
      </c>
      <c r="FO3506" s="5" t="s">
        <v>238</v>
      </c>
      <c r="FP3506" s="5" t="s">
        <v>238</v>
      </c>
      <c r="FQ3506" s="5" t="s">
        <v>238</v>
      </c>
      <c r="FR3506" s="5" t="s">
        <v>238</v>
      </c>
      <c r="FS3506" s="5" t="s">
        <v>238</v>
      </c>
      <c r="FT3506" s="5" t="s">
        <v>238</v>
      </c>
      <c r="FU3506" s="5" t="s">
        <v>238</v>
      </c>
      <c r="FV3506" s="5" t="s">
        <v>238</v>
      </c>
      <c r="FW3506" s="5" t="s">
        <v>238</v>
      </c>
      <c r="FX3506" s="5" t="s">
        <v>238</v>
      </c>
      <c r="FY3506" s="5" t="s">
        <v>238</v>
      </c>
      <c r="FZ3506" s="5" t="s">
        <v>238</v>
      </c>
      <c r="GA3506" s="5" t="s">
        <v>238</v>
      </c>
      <c r="GB3506" s="5" t="s">
        <v>238</v>
      </c>
      <c r="GC3506" s="5" t="s">
        <v>238</v>
      </c>
      <c r="GD3506" s="5" t="s">
        <v>238</v>
      </c>
      <c r="GE3506" s="5" t="s">
        <v>238</v>
      </c>
      <c r="GF3506" s="5" t="s">
        <v>238</v>
      </c>
      <c r="GG3506" s="5" t="s">
        <v>238</v>
      </c>
      <c r="GH3506" s="5" t="s">
        <v>238</v>
      </c>
      <c r="GI3506" s="5" t="s">
        <v>238</v>
      </c>
      <c r="GJ3506" s="5" t="s">
        <v>238</v>
      </c>
      <c r="GK3506" s="5" t="s">
        <v>238</v>
      </c>
      <c r="GL3506" s="5" t="s">
        <v>238</v>
      </c>
      <c r="GM3506" s="5" t="s">
        <v>238</v>
      </c>
      <c r="GN3506" s="5" t="s">
        <v>238</v>
      </c>
      <c r="GO3506" s="5" t="s">
        <v>238</v>
      </c>
      <c r="GP3506" s="5" t="s">
        <v>238</v>
      </c>
      <c r="GQ3506" s="5" t="s">
        <v>238</v>
      </c>
      <c r="GR3506" s="5" t="s">
        <v>238</v>
      </c>
      <c r="GS3506" s="5" t="s">
        <v>238</v>
      </c>
      <c r="GT3506" s="5" t="s">
        <v>238</v>
      </c>
      <c r="GU3506" s="5" t="s">
        <v>238</v>
      </c>
      <c r="GV3506" s="5" t="s">
        <v>238</v>
      </c>
      <c r="GW3506" s="5" t="s">
        <v>238</v>
      </c>
      <c r="GX3506" s="5" t="s">
        <v>238</v>
      </c>
      <c r="GY3506" s="5" t="s">
        <v>238</v>
      </c>
      <c r="GZ3506" s="5" t="s">
        <v>238</v>
      </c>
      <c r="HA3506" s="5" t="s">
        <v>238</v>
      </c>
      <c r="HB3506" s="5" t="s">
        <v>238</v>
      </c>
      <c r="HC3506" s="5" t="s">
        <v>238</v>
      </c>
      <c r="HD3506" s="5" t="s">
        <v>238</v>
      </c>
      <c r="HE3506" s="5" t="s">
        <v>238</v>
      </c>
      <c r="HF3506" s="5" t="s">
        <v>238</v>
      </c>
      <c r="HG3506" s="5" t="s">
        <v>238</v>
      </c>
      <c r="HH3506" s="5" t="s">
        <v>238</v>
      </c>
      <c r="HI3506" s="5" t="s">
        <v>238</v>
      </c>
      <c r="HJ3506" s="5" t="s">
        <v>238</v>
      </c>
      <c r="HK3506" s="5" t="s">
        <v>238</v>
      </c>
      <c r="HL3506" s="5" t="s">
        <v>238</v>
      </c>
      <c r="HM3506" s="5" t="s">
        <v>264</v>
      </c>
      <c r="HN3506" s="5" t="s">
        <v>238</v>
      </c>
      <c r="HO3506" s="5" t="s">
        <v>238</v>
      </c>
      <c r="HP3506" s="5" t="s">
        <v>238</v>
      </c>
      <c r="HQ3506" s="5" t="s">
        <v>238</v>
      </c>
      <c r="HR3506" s="5" t="s">
        <v>238</v>
      </c>
      <c r="HS3506" s="5" t="s">
        <v>238</v>
      </c>
      <c r="HT3506" s="5" t="s">
        <v>238</v>
      </c>
      <c r="HU3506" s="5" t="s">
        <v>238</v>
      </c>
      <c r="HV3506" s="5" t="s">
        <v>238</v>
      </c>
      <c r="HW3506" s="5" t="s">
        <v>238</v>
      </c>
      <c r="HX3506" s="5" t="s">
        <v>238</v>
      </c>
      <c r="HY3506" s="5" t="s">
        <v>238</v>
      </c>
      <c r="HZ3506" s="5" t="s">
        <v>238</v>
      </c>
      <c r="IA3506" s="5" t="s">
        <v>238</v>
      </c>
      <c r="IB3506" s="5" t="s">
        <v>238</v>
      </c>
      <c r="IC3506" s="5" t="s">
        <v>238</v>
      </c>
      <c r="ID3506" s="5" t="s">
        <v>238</v>
      </c>
    </row>
    <row r="3507" spans="1:238" x14ac:dyDescent="0.4">
      <c r="A3507" s="5">
        <v>9225</v>
      </c>
      <c r="B3507" s="5">
        <v>1</v>
      </c>
      <c r="C3507" s="5">
        <v>1</v>
      </c>
      <c r="D3507" s="5" t="s">
        <v>484</v>
      </c>
      <c r="E3507" s="5" t="s">
        <v>485</v>
      </c>
      <c r="F3507" s="5" t="s">
        <v>248</v>
      </c>
      <c r="G3507" s="5" t="s">
        <v>5827</v>
      </c>
      <c r="H3507" s="6" t="s">
        <v>5828</v>
      </c>
      <c r="I3507" s="8">
        <f>1</f>
        <v>1</v>
      </c>
      <c r="J3507" s="5" t="s">
        <v>499</v>
      </c>
      <c r="K3507" s="8">
        <f>1</f>
        <v>1</v>
      </c>
      <c r="L3507" s="6" t="s">
        <v>242</v>
      </c>
      <c r="M3507" s="5" t="s">
        <v>267</v>
      </c>
      <c r="N3507" s="5" t="s">
        <v>482</v>
      </c>
      <c r="O3507" s="5" t="s">
        <v>238</v>
      </c>
      <c r="P3507" s="5" t="s">
        <v>238</v>
      </c>
      <c r="Q3507" s="5" t="s">
        <v>239</v>
      </c>
      <c r="R3507" s="5" t="s">
        <v>270</v>
      </c>
      <c r="S3507" s="5" t="s">
        <v>238</v>
      </c>
      <c r="T3507" s="5" t="s">
        <v>238</v>
      </c>
      <c r="U3507" s="5" t="s">
        <v>238</v>
      </c>
      <c r="V3507" s="5" t="s">
        <v>238</v>
      </c>
      <c r="W3507" s="6" t="s">
        <v>238</v>
      </c>
      <c r="X3507" s="6" t="s">
        <v>238</v>
      </c>
      <c r="Y3507" s="5" t="s">
        <v>238</v>
      </c>
      <c r="Z3507" s="6" t="s">
        <v>238</v>
      </c>
      <c r="AA3507" s="6" t="s">
        <v>243</v>
      </c>
      <c r="AB3507" s="5" t="s">
        <v>486</v>
      </c>
      <c r="AC3507" s="5" t="s">
        <v>244</v>
      </c>
      <c r="AD3507" s="5" t="s">
        <v>245</v>
      </c>
      <c r="AE3507" s="5" t="s">
        <v>238</v>
      </c>
      <c r="AF3507" s="5" t="s">
        <v>238</v>
      </c>
      <c r="AG3507" s="5" t="s">
        <v>238</v>
      </c>
      <c r="AH3507" s="5" t="s">
        <v>238</v>
      </c>
      <c r="AI3507" s="5" t="s">
        <v>238</v>
      </c>
      <c r="AJ3507" s="5" t="s">
        <v>238</v>
      </c>
      <c r="AK3507" s="5" t="s">
        <v>238</v>
      </c>
      <c r="AL3507" s="5" t="s">
        <v>238</v>
      </c>
      <c r="AM3507" s="6" t="s">
        <v>238</v>
      </c>
      <c r="AN3507" s="6" t="s">
        <v>238</v>
      </c>
      <c r="AO3507" s="6" t="s">
        <v>238</v>
      </c>
      <c r="AP3507" s="6" t="s">
        <v>238</v>
      </c>
      <c r="AQ3507" s="5" t="s">
        <v>238</v>
      </c>
      <c r="AR3507" s="5" t="s">
        <v>488</v>
      </c>
      <c r="AS3507" s="5" t="s">
        <v>488</v>
      </c>
      <c r="AT3507" s="5" t="s">
        <v>246</v>
      </c>
      <c r="AU3507" s="5" t="s">
        <v>489</v>
      </c>
      <c r="AV3507" s="5" t="s">
        <v>247</v>
      </c>
      <c r="AW3507" s="5" t="s">
        <v>238</v>
      </c>
      <c r="AX3507" s="5" t="s">
        <v>249</v>
      </c>
      <c r="AY3507" s="5" t="s">
        <v>490</v>
      </c>
      <c r="BA3507" s="5" t="s">
        <v>238</v>
      </c>
      <c r="BC3507" s="5" t="s">
        <v>491</v>
      </c>
      <c r="BD3507" s="6" t="s">
        <v>492</v>
      </c>
      <c r="BE3507" s="5" t="s">
        <v>493</v>
      </c>
      <c r="BF3507" s="5" t="s">
        <v>493</v>
      </c>
      <c r="BG3507" s="5" t="s">
        <v>238</v>
      </c>
      <c r="BH3507" s="8">
        <f>1</f>
        <v>1</v>
      </c>
      <c r="BI3507" s="8">
        <f>1</f>
        <v>1</v>
      </c>
      <c r="BJ3507" s="5" t="s">
        <v>253</v>
      </c>
      <c r="BK3507" s="5" t="s">
        <v>254</v>
      </c>
      <c r="BL3507" s="5" t="s">
        <v>238</v>
      </c>
      <c r="BM3507" s="5" t="s">
        <v>238</v>
      </c>
      <c r="BN3507" s="5" t="s">
        <v>238</v>
      </c>
      <c r="BO3507" s="5" t="s">
        <v>238</v>
      </c>
      <c r="BP3507" s="5" t="s">
        <v>238</v>
      </c>
      <c r="BQ3507" s="5" t="s">
        <v>238</v>
      </c>
      <c r="BR3507" s="5" t="s">
        <v>238</v>
      </c>
      <c r="BS3507" s="5" t="s">
        <v>238</v>
      </c>
      <c r="BT3507" s="6" t="s">
        <v>238</v>
      </c>
      <c r="BU3507" s="5" t="s">
        <v>238</v>
      </c>
      <c r="BV3507" s="5" t="s">
        <v>238</v>
      </c>
      <c r="BW3507" s="5" t="s">
        <v>238</v>
      </c>
      <c r="BX3507" s="5" t="s">
        <v>254</v>
      </c>
      <c r="BY3507" s="5" t="s">
        <v>238</v>
      </c>
      <c r="BZ3507" s="5" t="s">
        <v>238</v>
      </c>
      <c r="CA3507" s="5" t="s">
        <v>238</v>
      </c>
      <c r="CB3507" s="5" t="s">
        <v>238</v>
      </c>
      <c r="CC3507" s="5" t="s">
        <v>238</v>
      </c>
      <c r="CD3507" s="5" t="s">
        <v>273</v>
      </c>
      <c r="CE3507" s="5" t="s">
        <v>256</v>
      </c>
      <c r="CF3507" s="5" t="s">
        <v>238</v>
      </c>
      <c r="CH3507" s="5" t="s">
        <v>494</v>
      </c>
      <c r="CI3507" s="6" t="s">
        <v>257</v>
      </c>
      <c r="CJ3507" s="5" t="s">
        <v>495</v>
      </c>
      <c r="CK3507" s="5" t="s">
        <v>258</v>
      </c>
      <c r="CL3507" s="5" t="s">
        <v>496</v>
      </c>
      <c r="CM3507" s="5" t="s">
        <v>238</v>
      </c>
      <c r="CN3507" s="5">
        <v>0</v>
      </c>
      <c r="CO3507" s="5" t="s">
        <v>497</v>
      </c>
      <c r="CP3507" s="5" t="s">
        <v>260</v>
      </c>
      <c r="CQ3507" s="5" t="s">
        <v>260</v>
      </c>
      <c r="CR3507" s="5" t="s">
        <v>261</v>
      </c>
      <c r="CS3507" s="5" t="s">
        <v>498</v>
      </c>
      <c r="CT3507" s="7">
        <f>1</f>
        <v>1</v>
      </c>
      <c r="CU3507" s="8">
        <f>1</f>
        <v>1</v>
      </c>
      <c r="CV3507" s="8">
        <f>0</f>
        <v>0</v>
      </c>
      <c r="CX3507" s="8">
        <f>1</f>
        <v>1</v>
      </c>
      <c r="CY3507" s="8">
        <f>1</f>
        <v>1</v>
      </c>
      <c r="CZ3507" s="8" t="s">
        <v>238</v>
      </c>
      <c r="DA3507" s="5" t="s">
        <v>238</v>
      </c>
      <c r="DB3507" s="5" t="s">
        <v>238</v>
      </c>
      <c r="DC3507" s="5" t="s">
        <v>238</v>
      </c>
      <c r="DD3507" s="5" t="s">
        <v>238</v>
      </c>
      <c r="DE3507" s="8">
        <f>0</f>
        <v>0</v>
      </c>
      <c r="DG3507" s="5" t="s">
        <v>238</v>
      </c>
      <c r="DH3507" s="5" t="s">
        <v>238</v>
      </c>
      <c r="DI3507" s="5" t="s">
        <v>238</v>
      </c>
      <c r="DJ3507" s="5" t="s">
        <v>238</v>
      </c>
      <c r="DK3507" s="5" t="s">
        <v>238</v>
      </c>
      <c r="DL3507" s="5" t="s">
        <v>238</v>
      </c>
      <c r="DM3507" s="8" t="s">
        <v>238</v>
      </c>
      <c r="DN3507" s="5" t="s">
        <v>238</v>
      </c>
      <c r="DO3507" s="5" t="s">
        <v>238</v>
      </c>
      <c r="DP3507" s="5" t="s">
        <v>490</v>
      </c>
      <c r="DQ3507" s="5" t="s">
        <v>490</v>
      </c>
      <c r="DR3507" s="5" t="s">
        <v>238</v>
      </c>
      <c r="DS3507" s="5" t="s">
        <v>238</v>
      </c>
      <c r="DT3507" s="5" t="s">
        <v>500</v>
      </c>
      <c r="DU3507" s="5" t="s">
        <v>1152</v>
      </c>
      <c r="DV3507" s="5" t="s">
        <v>238</v>
      </c>
      <c r="DW3507" s="5" t="s">
        <v>238</v>
      </c>
      <c r="DX3507" s="5" t="s">
        <v>238</v>
      </c>
      <c r="DY3507" s="5" t="s">
        <v>238</v>
      </c>
      <c r="DZ3507" s="5" t="s">
        <v>238</v>
      </c>
      <c r="EA3507" s="5" t="s">
        <v>238</v>
      </c>
      <c r="EB3507" s="5" t="s">
        <v>238</v>
      </c>
      <c r="EC3507" s="5" t="s">
        <v>238</v>
      </c>
      <c r="ED3507" s="5" t="s">
        <v>238</v>
      </c>
      <c r="EE3507" s="5" t="s">
        <v>238</v>
      </c>
      <c r="EF3507" s="5" t="s">
        <v>238</v>
      </c>
      <c r="EG3507" s="5" t="s">
        <v>238</v>
      </c>
      <c r="EH3507" s="5" t="s">
        <v>238</v>
      </c>
      <c r="EI3507" s="5" t="s">
        <v>238</v>
      </c>
      <c r="EJ3507" s="5" t="s">
        <v>238</v>
      </c>
      <c r="EK3507" s="5" t="s">
        <v>238</v>
      </c>
      <c r="EL3507" s="5" t="s">
        <v>238</v>
      </c>
      <c r="EM3507" s="5" t="s">
        <v>238</v>
      </c>
      <c r="EN3507" s="5" t="s">
        <v>238</v>
      </c>
      <c r="EO3507" s="5" t="s">
        <v>238</v>
      </c>
      <c r="EP3507" s="5" t="s">
        <v>238</v>
      </c>
      <c r="EQ3507" s="5" t="s">
        <v>238</v>
      </c>
      <c r="ER3507" s="5" t="s">
        <v>238</v>
      </c>
      <c r="ES3507" s="5" t="s">
        <v>238</v>
      </c>
      <c r="ET3507" s="5" t="s">
        <v>238</v>
      </c>
      <c r="EU3507" s="5" t="s">
        <v>238</v>
      </c>
      <c r="EV3507" s="5" t="s">
        <v>238</v>
      </c>
      <c r="EW3507" s="5" t="s">
        <v>238</v>
      </c>
      <c r="EX3507" s="5" t="s">
        <v>238</v>
      </c>
      <c r="EY3507" s="5" t="s">
        <v>238</v>
      </c>
      <c r="EZ3507" s="5" t="s">
        <v>238</v>
      </c>
      <c r="FA3507" s="5" t="s">
        <v>238</v>
      </c>
      <c r="FB3507" s="5" t="s">
        <v>238</v>
      </c>
      <c r="FC3507" s="5" t="s">
        <v>238</v>
      </c>
      <c r="FD3507" s="5" t="s">
        <v>238</v>
      </c>
      <c r="FE3507" s="5" t="s">
        <v>238</v>
      </c>
      <c r="FF3507" s="5" t="s">
        <v>238</v>
      </c>
      <c r="FG3507" s="5" t="s">
        <v>238</v>
      </c>
      <c r="FH3507" s="5" t="s">
        <v>238</v>
      </c>
      <c r="FI3507" s="5" t="s">
        <v>238</v>
      </c>
      <c r="FJ3507" s="5" t="s">
        <v>238</v>
      </c>
      <c r="FK3507" s="5" t="s">
        <v>238</v>
      </c>
      <c r="FL3507" s="5" t="s">
        <v>238</v>
      </c>
      <c r="FM3507" s="5" t="s">
        <v>238</v>
      </c>
      <c r="FN3507" s="5" t="s">
        <v>238</v>
      </c>
      <c r="FO3507" s="5" t="s">
        <v>238</v>
      </c>
      <c r="FP3507" s="5" t="s">
        <v>238</v>
      </c>
      <c r="FQ3507" s="5" t="s">
        <v>238</v>
      </c>
      <c r="FR3507" s="5" t="s">
        <v>238</v>
      </c>
      <c r="FS3507" s="5" t="s">
        <v>238</v>
      </c>
      <c r="FT3507" s="5" t="s">
        <v>238</v>
      </c>
      <c r="FU3507" s="5" t="s">
        <v>238</v>
      </c>
      <c r="FV3507" s="5" t="s">
        <v>238</v>
      </c>
      <c r="FW3507" s="5" t="s">
        <v>238</v>
      </c>
      <c r="FX3507" s="5" t="s">
        <v>238</v>
      </c>
      <c r="FY3507" s="5" t="s">
        <v>238</v>
      </c>
      <c r="FZ3507" s="5" t="s">
        <v>238</v>
      </c>
      <c r="GA3507" s="5" t="s">
        <v>238</v>
      </c>
      <c r="GB3507" s="5" t="s">
        <v>238</v>
      </c>
      <c r="GC3507" s="5" t="s">
        <v>238</v>
      </c>
      <c r="GD3507" s="5" t="s">
        <v>238</v>
      </c>
      <c r="GE3507" s="5" t="s">
        <v>238</v>
      </c>
      <c r="GF3507" s="5" t="s">
        <v>238</v>
      </c>
      <c r="GG3507" s="5" t="s">
        <v>238</v>
      </c>
      <c r="GH3507" s="5" t="s">
        <v>238</v>
      </c>
      <c r="GI3507" s="5" t="s">
        <v>238</v>
      </c>
      <c r="GJ3507" s="5" t="s">
        <v>238</v>
      </c>
      <c r="GK3507" s="5" t="s">
        <v>238</v>
      </c>
      <c r="GL3507" s="5" t="s">
        <v>238</v>
      </c>
      <c r="GM3507" s="5" t="s">
        <v>238</v>
      </c>
      <c r="GN3507" s="5" t="s">
        <v>238</v>
      </c>
      <c r="GO3507" s="5" t="s">
        <v>238</v>
      </c>
      <c r="GP3507" s="5" t="s">
        <v>238</v>
      </c>
      <c r="GQ3507" s="5" t="s">
        <v>238</v>
      </c>
      <c r="GR3507" s="5" t="s">
        <v>238</v>
      </c>
      <c r="GS3507" s="5" t="s">
        <v>238</v>
      </c>
      <c r="GT3507" s="5" t="s">
        <v>238</v>
      </c>
      <c r="GU3507" s="5" t="s">
        <v>238</v>
      </c>
      <c r="GV3507" s="5" t="s">
        <v>238</v>
      </c>
      <c r="GW3507" s="5" t="s">
        <v>238</v>
      </c>
      <c r="GX3507" s="5" t="s">
        <v>238</v>
      </c>
      <c r="GY3507" s="5" t="s">
        <v>238</v>
      </c>
      <c r="GZ3507" s="5" t="s">
        <v>238</v>
      </c>
      <c r="HA3507" s="5" t="s">
        <v>238</v>
      </c>
      <c r="HB3507" s="5" t="s">
        <v>238</v>
      </c>
      <c r="HC3507" s="5" t="s">
        <v>238</v>
      </c>
      <c r="HD3507" s="5" t="s">
        <v>238</v>
      </c>
      <c r="HE3507" s="5" t="s">
        <v>238</v>
      </c>
      <c r="HF3507" s="5" t="s">
        <v>238</v>
      </c>
      <c r="HG3507" s="5" t="s">
        <v>238</v>
      </c>
      <c r="HH3507" s="5" t="s">
        <v>238</v>
      </c>
      <c r="HI3507" s="5" t="s">
        <v>238</v>
      </c>
      <c r="HJ3507" s="5" t="s">
        <v>238</v>
      </c>
      <c r="HK3507" s="5" t="s">
        <v>238</v>
      </c>
      <c r="HL3507" s="5" t="s">
        <v>238</v>
      </c>
      <c r="HM3507" s="5" t="s">
        <v>264</v>
      </c>
      <c r="HN3507" s="5" t="s">
        <v>238</v>
      </c>
      <c r="HO3507" s="5" t="s">
        <v>238</v>
      </c>
      <c r="HP3507" s="5" t="s">
        <v>238</v>
      </c>
      <c r="HQ3507" s="5" t="s">
        <v>238</v>
      </c>
      <c r="HR3507" s="5" t="s">
        <v>238</v>
      </c>
      <c r="HS3507" s="5" t="s">
        <v>238</v>
      </c>
      <c r="HT3507" s="5" t="s">
        <v>238</v>
      </c>
      <c r="HU3507" s="5" t="s">
        <v>238</v>
      </c>
      <c r="HV3507" s="5" t="s">
        <v>238</v>
      </c>
      <c r="HW3507" s="5" t="s">
        <v>238</v>
      </c>
      <c r="HX3507" s="5" t="s">
        <v>238</v>
      </c>
      <c r="HY3507" s="5" t="s">
        <v>238</v>
      </c>
      <c r="HZ3507" s="5" t="s">
        <v>238</v>
      </c>
      <c r="IA3507" s="5" t="s">
        <v>238</v>
      </c>
      <c r="IB3507" s="5" t="s">
        <v>238</v>
      </c>
      <c r="IC3507" s="5" t="s">
        <v>238</v>
      </c>
      <c r="ID3507" s="5" t="s">
        <v>238</v>
      </c>
    </row>
    <row r="3508" spans="1:238" x14ac:dyDescent="0.4">
      <c r="A3508" s="5">
        <v>9226</v>
      </c>
      <c r="B3508" s="5">
        <v>1</v>
      </c>
      <c r="C3508" s="5">
        <v>1</v>
      </c>
      <c r="D3508" s="5" t="s">
        <v>484</v>
      </c>
      <c r="E3508" s="5" t="s">
        <v>485</v>
      </c>
      <c r="F3508" s="5" t="s">
        <v>248</v>
      </c>
      <c r="G3508" s="5" t="s">
        <v>4596</v>
      </c>
      <c r="H3508" s="6" t="s">
        <v>4598</v>
      </c>
      <c r="I3508" s="8">
        <f>1</f>
        <v>1</v>
      </c>
      <c r="J3508" s="5" t="s">
        <v>499</v>
      </c>
      <c r="K3508" s="8">
        <f>1</f>
        <v>1</v>
      </c>
      <c r="L3508" s="6" t="s">
        <v>242</v>
      </c>
      <c r="M3508" s="5" t="s">
        <v>267</v>
      </c>
      <c r="N3508" s="5" t="s">
        <v>482</v>
      </c>
      <c r="O3508" s="5" t="s">
        <v>238</v>
      </c>
      <c r="P3508" s="5" t="s">
        <v>238</v>
      </c>
      <c r="Q3508" s="5" t="s">
        <v>239</v>
      </c>
      <c r="R3508" s="5" t="s">
        <v>270</v>
      </c>
      <c r="S3508" s="5" t="s">
        <v>238</v>
      </c>
      <c r="T3508" s="5" t="s">
        <v>238</v>
      </c>
      <c r="U3508" s="5" t="s">
        <v>238</v>
      </c>
      <c r="V3508" s="5" t="s">
        <v>238</v>
      </c>
      <c r="W3508" s="6" t="s">
        <v>238</v>
      </c>
      <c r="X3508" s="6" t="s">
        <v>238</v>
      </c>
      <c r="Y3508" s="5" t="s">
        <v>238</v>
      </c>
      <c r="Z3508" s="6" t="s">
        <v>238</v>
      </c>
      <c r="AA3508" s="6" t="s">
        <v>243</v>
      </c>
      <c r="AB3508" s="5" t="s">
        <v>4597</v>
      </c>
      <c r="AC3508" s="5" t="s">
        <v>244</v>
      </c>
      <c r="AD3508" s="5" t="s">
        <v>245</v>
      </c>
      <c r="AE3508" s="5" t="s">
        <v>238</v>
      </c>
      <c r="AF3508" s="5" t="s">
        <v>238</v>
      </c>
      <c r="AG3508" s="5" t="s">
        <v>238</v>
      </c>
      <c r="AH3508" s="5" t="s">
        <v>238</v>
      </c>
      <c r="AI3508" s="5" t="s">
        <v>238</v>
      </c>
      <c r="AJ3508" s="5" t="s">
        <v>238</v>
      </c>
      <c r="AK3508" s="5" t="s">
        <v>238</v>
      </c>
      <c r="AL3508" s="5" t="s">
        <v>238</v>
      </c>
      <c r="AM3508" s="6" t="s">
        <v>238</v>
      </c>
      <c r="AN3508" s="6" t="s">
        <v>238</v>
      </c>
      <c r="AO3508" s="6" t="s">
        <v>238</v>
      </c>
      <c r="AP3508" s="6" t="s">
        <v>238</v>
      </c>
      <c r="AQ3508" s="5" t="s">
        <v>238</v>
      </c>
      <c r="AR3508" s="5" t="s">
        <v>488</v>
      </c>
      <c r="AS3508" s="5" t="s">
        <v>488</v>
      </c>
      <c r="AT3508" s="5" t="s">
        <v>246</v>
      </c>
      <c r="AU3508" s="5" t="s">
        <v>489</v>
      </c>
      <c r="AV3508" s="5" t="s">
        <v>247</v>
      </c>
      <c r="AW3508" s="5" t="s">
        <v>238</v>
      </c>
      <c r="AX3508" s="5" t="s">
        <v>249</v>
      </c>
      <c r="AY3508" s="5" t="s">
        <v>490</v>
      </c>
      <c r="BA3508" s="5" t="s">
        <v>238</v>
      </c>
      <c r="BC3508" s="5" t="s">
        <v>491</v>
      </c>
      <c r="BD3508" s="6" t="s">
        <v>492</v>
      </c>
      <c r="BE3508" s="5" t="s">
        <v>493</v>
      </c>
      <c r="BF3508" s="5" t="s">
        <v>493</v>
      </c>
      <c r="BG3508" s="5" t="s">
        <v>238</v>
      </c>
      <c r="BH3508" s="8">
        <f>1</f>
        <v>1</v>
      </c>
      <c r="BI3508" s="8">
        <f>1</f>
        <v>1</v>
      </c>
      <c r="BJ3508" s="5" t="s">
        <v>253</v>
      </c>
      <c r="BK3508" s="5" t="s">
        <v>254</v>
      </c>
      <c r="BL3508" s="5" t="s">
        <v>238</v>
      </c>
      <c r="BM3508" s="5" t="s">
        <v>238</v>
      </c>
      <c r="BN3508" s="5" t="s">
        <v>238</v>
      </c>
      <c r="BO3508" s="5" t="s">
        <v>238</v>
      </c>
      <c r="BP3508" s="5" t="s">
        <v>238</v>
      </c>
      <c r="BQ3508" s="5" t="s">
        <v>238</v>
      </c>
      <c r="BR3508" s="5" t="s">
        <v>238</v>
      </c>
      <c r="BS3508" s="5" t="s">
        <v>238</v>
      </c>
      <c r="BT3508" s="6" t="s">
        <v>238</v>
      </c>
      <c r="BU3508" s="5" t="s">
        <v>238</v>
      </c>
      <c r="BV3508" s="5" t="s">
        <v>238</v>
      </c>
      <c r="BW3508" s="5" t="s">
        <v>238</v>
      </c>
      <c r="BX3508" s="5" t="s">
        <v>254</v>
      </c>
      <c r="BY3508" s="5" t="s">
        <v>238</v>
      </c>
      <c r="BZ3508" s="5" t="s">
        <v>238</v>
      </c>
      <c r="CA3508" s="5" t="s">
        <v>238</v>
      </c>
      <c r="CB3508" s="5" t="s">
        <v>238</v>
      </c>
      <c r="CC3508" s="5" t="s">
        <v>238</v>
      </c>
      <c r="CD3508" s="5" t="s">
        <v>273</v>
      </c>
      <c r="CE3508" s="5" t="s">
        <v>256</v>
      </c>
      <c r="CF3508" s="5" t="s">
        <v>238</v>
      </c>
      <c r="CH3508" s="5" t="s">
        <v>494</v>
      </c>
      <c r="CI3508" s="6" t="s">
        <v>257</v>
      </c>
      <c r="CJ3508" s="5" t="s">
        <v>495</v>
      </c>
      <c r="CK3508" s="5" t="s">
        <v>258</v>
      </c>
      <c r="CL3508" s="5" t="s">
        <v>496</v>
      </c>
      <c r="CM3508" s="5" t="s">
        <v>238</v>
      </c>
      <c r="CN3508" s="5">
        <v>0</v>
      </c>
      <c r="CO3508" s="5" t="s">
        <v>497</v>
      </c>
      <c r="CP3508" s="5" t="s">
        <v>260</v>
      </c>
      <c r="CQ3508" s="5" t="s">
        <v>260</v>
      </c>
      <c r="CR3508" s="5" t="s">
        <v>261</v>
      </c>
      <c r="CS3508" s="5" t="s">
        <v>498</v>
      </c>
      <c r="CT3508" s="7">
        <f>1</f>
        <v>1</v>
      </c>
      <c r="CU3508" s="8">
        <f>1</f>
        <v>1</v>
      </c>
      <c r="CV3508" s="8">
        <f>0</f>
        <v>0</v>
      </c>
      <c r="CX3508" s="8">
        <f>1</f>
        <v>1</v>
      </c>
      <c r="CY3508" s="8">
        <f>1</f>
        <v>1</v>
      </c>
      <c r="CZ3508" s="8" t="s">
        <v>238</v>
      </c>
      <c r="DA3508" s="5" t="s">
        <v>238</v>
      </c>
      <c r="DB3508" s="5" t="s">
        <v>238</v>
      </c>
      <c r="DC3508" s="5" t="s">
        <v>238</v>
      </c>
      <c r="DD3508" s="5" t="s">
        <v>238</v>
      </c>
      <c r="DE3508" s="8">
        <f>0</f>
        <v>0</v>
      </c>
      <c r="DG3508" s="5" t="s">
        <v>238</v>
      </c>
      <c r="DH3508" s="5" t="s">
        <v>238</v>
      </c>
      <c r="DI3508" s="5" t="s">
        <v>238</v>
      </c>
      <c r="DJ3508" s="5" t="s">
        <v>238</v>
      </c>
      <c r="DK3508" s="5" t="s">
        <v>238</v>
      </c>
      <c r="DL3508" s="5" t="s">
        <v>238</v>
      </c>
      <c r="DM3508" s="8" t="s">
        <v>238</v>
      </c>
      <c r="DN3508" s="5" t="s">
        <v>238</v>
      </c>
      <c r="DO3508" s="5" t="s">
        <v>238</v>
      </c>
      <c r="DP3508" s="5" t="s">
        <v>490</v>
      </c>
      <c r="DQ3508" s="5" t="s">
        <v>490</v>
      </c>
      <c r="DR3508" s="5" t="s">
        <v>238</v>
      </c>
      <c r="DS3508" s="5" t="s">
        <v>238</v>
      </c>
      <c r="DT3508" s="5" t="s">
        <v>500</v>
      </c>
      <c r="DU3508" s="5" t="s">
        <v>526</v>
      </c>
      <c r="DV3508" s="5" t="s">
        <v>238</v>
      </c>
      <c r="DW3508" s="5" t="s">
        <v>238</v>
      </c>
      <c r="DX3508" s="5" t="s">
        <v>238</v>
      </c>
      <c r="DY3508" s="5" t="s">
        <v>238</v>
      </c>
      <c r="DZ3508" s="5" t="s">
        <v>238</v>
      </c>
      <c r="EA3508" s="5" t="s">
        <v>238</v>
      </c>
      <c r="EB3508" s="5" t="s">
        <v>238</v>
      </c>
      <c r="EC3508" s="5" t="s">
        <v>238</v>
      </c>
      <c r="ED3508" s="5" t="s">
        <v>238</v>
      </c>
      <c r="EE3508" s="5" t="s">
        <v>238</v>
      </c>
      <c r="EF3508" s="5" t="s">
        <v>238</v>
      </c>
      <c r="EG3508" s="5" t="s">
        <v>238</v>
      </c>
      <c r="EH3508" s="5" t="s">
        <v>238</v>
      </c>
      <c r="EI3508" s="5" t="s">
        <v>238</v>
      </c>
      <c r="EJ3508" s="5" t="s">
        <v>238</v>
      </c>
      <c r="EK3508" s="5" t="s">
        <v>238</v>
      </c>
      <c r="EL3508" s="5" t="s">
        <v>238</v>
      </c>
      <c r="EM3508" s="5" t="s">
        <v>238</v>
      </c>
      <c r="EN3508" s="5" t="s">
        <v>238</v>
      </c>
      <c r="EO3508" s="5" t="s">
        <v>238</v>
      </c>
      <c r="EP3508" s="5" t="s">
        <v>238</v>
      </c>
      <c r="EQ3508" s="5" t="s">
        <v>238</v>
      </c>
      <c r="ER3508" s="5" t="s">
        <v>238</v>
      </c>
      <c r="ES3508" s="5" t="s">
        <v>238</v>
      </c>
      <c r="ET3508" s="5" t="s">
        <v>238</v>
      </c>
      <c r="EU3508" s="5" t="s">
        <v>238</v>
      </c>
      <c r="EV3508" s="5" t="s">
        <v>238</v>
      </c>
      <c r="EW3508" s="5" t="s">
        <v>238</v>
      </c>
      <c r="EX3508" s="5" t="s">
        <v>238</v>
      </c>
      <c r="EY3508" s="5" t="s">
        <v>238</v>
      </c>
      <c r="EZ3508" s="5" t="s">
        <v>238</v>
      </c>
      <c r="FA3508" s="5" t="s">
        <v>238</v>
      </c>
      <c r="FB3508" s="5" t="s">
        <v>238</v>
      </c>
      <c r="FC3508" s="5" t="s">
        <v>238</v>
      </c>
      <c r="FD3508" s="5" t="s">
        <v>238</v>
      </c>
      <c r="FE3508" s="5" t="s">
        <v>238</v>
      </c>
      <c r="FF3508" s="5" t="s">
        <v>238</v>
      </c>
      <c r="FG3508" s="5" t="s">
        <v>238</v>
      </c>
      <c r="FH3508" s="5" t="s">
        <v>238</v>
      </c>
      <c r="FI3508" s="5" t="s">
        <v>238</v>
      </c>
      <c r="FJ3508" s="5" t="s">
        <v>238</v>
      </c>
      <c r="FK3508" s="5" t="s">
        <v>238</v>
      </c>
      <c r="FL3508" s="5" t="s">
        <v>238</v>
      </c>
      <c r="FM3508" s="5" t="s">
        <v>238</v>
      </c>
      <c r="FN3508" s="5" t="s">
        <v>238</v>
      </c>
      <c r="FO3508" s="5" t="s">
        <v>238</v>
      </c>
      <c r="FP3508" s="5" t="s">
        <v>238</v>
      </c>
      <c r="FQ3508" s="5" t="s">
        <v>238</v>
      </c>
      <c r="FR3508" s="5" t="s">
        <v>238</v>
      </c>
      <c r="FS3508" s="5" t="s">
        <v>238</v>
      </c>
      <c r="FT3508" s="5" t="s">
        <v>238</v>
      </c>
      <c r="FU3508" s="5" t="s">
        <v>238</v>
      </c>
      <c r="FV3508" s="5" t="s">
        <v>238</v>
      </c>
      <c r="FW3508" s="5" t="s">
        <v>238</v>
      </c>
      <c r="FX3508" s="5" t="s">
        <v>238</v>
      </c>
      <c r="FY3508" s="5" t="s">
        <v>238</v>
      </c>
      <c r="FZ3508" s="5" t="s">
        <v>238</v>
      </c>
      <c r="GA3508" s="5" t="s">
        <v>238</v>
      </c>
      <c r="GB3508" s="5" t="s">
        <v>238</v>
      </c>
      <c r="GC3508" s="5" t="s">
        <v>238</v>
      </c>
      <c r="GD3508" s="5" t="s">
        <v>238</v>
      </c>
      <c r="GE3508" s="5" t="s">
        <v>238</v>
      </c>
      <c r="GF3508" s="5" t="s">
        <v>238</v>
      </c>
      <c r="GG3508" s="5" t="s">
        <v>238</v>
      </c>
      <c r="GH3508" s="5" t="s">
        <v>238</v>
      </c>
      <c r="GI3508" s="5" t="s">
        <v>238</v>
      </c>
      <c r="GJ3508" s="5" t="s">
        <v>238</v>
      </c>
      <c r="GK3508" s="5" t="s">
        <v>238</v>
      </c>
      <c r="GL3508" s="5" t="s">
        <v>238</v>
      </c>
      <c r="GM3508" s="5" t="s">
        <v>238</v>
      </c>
      <c r="GN3508" s="5" t="s">
        <v>238</v>
      </c>
      <c r="GO3508" s="5" t="s">
        <v>238</v>
      </c>
      <c r="GP3508" s="5" t="s">
        <v>238</v>
      </c>
      <c r="GQ3508" s="5" t="s">
        <v>238</v>
      </c>
      <c r="GR3508" s="5" t="s">
        <v>238</v>
      </c>
      <c r="GS3508" s="5" t="s">
        <v>238</v>
      </c>
      <c r="GT3508" s="5" t="s">
        <v>238</v>
      </c>
      <c r="GU3508" s="5" t="s">
        <v>238</v>
      </c>
      <c r="GV3508" s="5" t="s">
        <v>238</v>
      </c>
      <c r="GW3508" s="5" t="s">
        <v>238</v>
      </c>
      <c r="GX3508" s="5" t="s">
        <v>238</v>
      </c>
      <c r="GY3508" s="5" t="s">
        <v>238</v>
      </c>
      <c r="GZ3508" s="5" t="s">
        <v>238</v>
      </c>
      <c r="HA3508" s="5" t="s">
        <v>238</v>
      </c>
      <c r="HB3508" s="5" t="s">
        <v>238</v>
      </c>
      <c r="HC3508" s="5" t="s">
        <v>238</v>
      </c>
      <c r="HD3508" s="5" t="s">
        <v>238</v>
      </c>
      <c r="HE3508" s="5" t="s">
        <v>238</v>
      </c>
      <c r="HF3508" s="5" t="s">
        <v>238</v>
      </c>
      <c r="HG3508" s="5" t="s">
        <v>238</v>
      </c>
      <c r="HH3508" s="5" t="s">
        <v>238</v>
      </c>
      <c r="HI3508" s="5" t="s">
        <v>238</v>
      </c>
      <c r="HJ3508" s="5" t="s">
        <v>238</v>
      </c>
      <c r="HK3508" s="5" t="s">
        <v>238</v>
      </c>
      <c r="HL3508" s="5" t="s">
        <v>238</v>
      </c>
      <c r="HM3508" s="5" t="s">
        <v>264</v>
      </c>
      <c r="HN3508" s="5" t="s">
        <v>238</v>
      </c>
      <c r="HO3508" s="5" t="s">
        <v>238</v>
      </c>
      <c r="HP3508" s="5" t="s">
        <v>238</v>
      </c>
      <c r="HQ3508" s="5" t="s">
        <v>238</v>
      </c>
      <c r="HR3508" s="5" t="s">
        <v>238</v>
      </c>
      <c r="HS3508" s="5" t="s">
        <v>238</v>
      </c>
      <c r="HT3508" s="5" t="s">
        <v>238</v>
      </c>
      <c r="HU3508" s="5" t="s">
        <v>238</v>
      </c>
      <c r="HV3508" s="5" t="s">
        <v>238</v>
      </c>
      <c r="HW3508" s="5" t="s">
        <v>238</v>
      </c>
      <c r="HX3508" s="5" t="s">
        <v>238</v>
      </c>
      <c r="HY3508" s="5" t="s">
        <v>238</v>
      </c>
      <c r="HZ3508" s="5" t="s">
        <v>238</v>
      </c>
      <c r="IA3508" s="5" t="s">
        <v>238</v>
      </c>
      <c r="IB3508" s="5" t="s">
        <v>238</v>
      </c>
      <c r="IC3508" s="5" t="s">
        <v>238</v>
      </c>
      <c r="ID3508" s="5" t="s">
        <v>238</v>
      </c>
    </row>
    <row r="3509" spans="1:238" x14ac:dyDescent="0.4">
      <c r="A3509" s="5">
        <v>9227</v>
      </c>
      <c r="B3509" s="5">
        <v>1</v>
      </c>
      <c r="C3509" s="5">
        <v>1</v>
      </c>
      <c r="D3509" s="5" t="s">
        <v>484</v>
      </c>
      <c r="E3509" s="5" t="s">
        <v>485</v>
      </c>
      <c r="F3509" s="5" t="s">
        <v>248</v>
      </c>
      <c r="G3509" s="5" t="s">
        <v>5401</v>
      </c>
      <c r="H3509" s="6" t="s">
        <v>5403</v>
      </c>
      <c r="I3509" s="8">
        <f>1</f>
        <v>1</v>
      </c>
      <c r="J3509" s="5" t="s">
        <v>499</v>
      </c>
      <c r="K3509" s="8">
        <f>1</f>
        <v>1</v>
      </c>
      <c r="L3509" s="6" t="s">
        <v>242</v>
      </c>
      <c r="M3509" s="5" t="s">
        <v>267</v>
      </c>
      <c r="N3509" s="5" t="s">
        <v>482</v>
      </c>
      <c r="O3509" s="5" t="s">
        <v>238</v>
      </c>
      <c r="P3509" s="5" t="s">
        <v>238</v>
      </c>
      <c r="Q3509" s="5" t="s">
        <v>239</v>
      </c>
      <c r="R3509" s="5" t="s">
        <v>270</v>
      </c>
      <c r="S3509" s="5" t="s">
        <v>238</v>
      </c>
      <c r="T3509" s="5" t="s">
        <v>238</v>
      </c>
      <c r="U3509" s="5" t="s">
        <v>238</v>
      </c>
      <c r="V3509" s="5" t="s">
        <v>238</v>
      </c>
      <c r="W3509" s="6" t="s">
        <v>238</v>
      </c>
      <c r="X3509" s="6" t="s">
        <v>238</v>
      </c>
      <c r="Y3509" s="5" t="s">
        <v>238</v>
      </c>
      <c r="Z3509" s="6" t="s">
        <v>238</v>
      </c>
      <c r="AA3509" s="6" t="s">
        <v>243</v>
      </c>
      <c r="AB3509" s="5" t="s">
        <v>5402</v>
      </c>
      <c r="AC3509" s="5" t="s">
        <v>244</v>
      </c>
      <c r="AD3509" s="5" t="s">
        <v>245</v>
      </c>
      <c r="AE3509" s="5" t="s">
        <v>238</v>
      </c>
      <c r="AF3509" s="5" t="s">
        <v>238</v>
      </c>
      <c r="AG3509" s="5" t="s">
        <v>238</v>
      </c>
      <c r="AH3509" s="5" t="s">
        <v>238</v>
      </c>
      <c r="AI3509" s="5" t="s">
        <v>238</v>
      </c>
      <c r="AJ3509" s="5" t="s">
        <v>238</v>
      </c>
      <c r="AK3509" s="5" t="s">
        <v>238</v>
      </c>
      <c r="AL3509" s="5" t="s">
        <v>238</v>
      </c>
      <c r="AM3509" s="6" t="s">
        <v>238</v>
      </c>
      <c r="AN3509" s="6" t="s">
        <v>238</v>
      </c>
      <c r="AO3509" s="6" t="s">
        <v>238</v>
      </c>
      <c r="AP3509" s="6" t="s">
        <v>238</v>
      </c>
      <c r="AQ3509" s="5" t="s">
        <v>238</v>
      </c>
      <c r="AR3509" s="5" t="s">
        <v>488</v>
      </c>
      <c r="AS3509" s="5" t="s">
        <v>488</v>
      </c>
      <c r="AT3509" s="5" t="s">
        <v>246</v>
      </c>
      <c r="AU3509" s="5" t="s">
        <v>489</v>
      </c>
      <c r="AV3509" s="5" t="s">
        <v>247</v>
      </c>
      <c r="AW3509" s="5" t="s">
        <v>238</v>
      </c>
      <c r="AX3509" s="5" t="s">
        <v>249</v>
      </c>
      <c r="AY3509" s="5" t="s">
        <v>490</v>
      </c>
      <c r="BA3509" s="5" t="s">
        <v>238</v>
      </c>
      <c r="BC3509" s="5" t="s">
        <v>491</v>
      </c>
      <c r="BD3509" s="6" t="s">
        <v>492</v>
      </c>
      <c r="BE3509" s="5" t="s">
        <v>493</v>
      </c>
      <c r="BF3509" s="5" t="s">
        <v>493</v>
      </c>
      <c r="BG3509" s="5" t="s">
        <v>238</v>
      </c>
      <c r="BH3509" s="8">
        <f>1</f>
        <v>1</v>
      </c>
      <c r="BI3509" s="8">
        <f>1</f>
        <v>1</v>
      </c>
      <c r="BJ3509" s="5" t="s">
        <v>253</v>
      </c>
      <c r="BK3509" s="5" t="s">
        <v>254</v>
      </c>
      <c r="BL3509" s="5" t="s">
        <v>238</v>
      </c>
      <c r="BM3509" s="5" t="s">
        <v>238</v>
      </c>
      <c r="BN3509" s="5" t="s">
        <v>238</v>
      </c>
      <c r="BO3509" s="5" t="s">
        <v>238</v>
      </c>
      <c r="BP3509" s="5" t="s">
        <v>238</v>
      </c>
      <c r="BQ3509" s="5" t="s">
        <v>238</v>
      </c>
      <c r="BR3509" s="5" t="s">
        <v>238</v>
      </c>
      <c r="BS3509" s="5" t="s">
        <v>238</v>
      </c>
      <c r="BT3509" s="6" t="s">
        <v>238</v>
      </c>
      <c r="BU3509" s="5" t="s">
        <v>238</v>
      </c>
      <c r="BV3509" s="5" t="s">
        <v>238</v>
      </c>
      <c r="BW3509" s="5" t="s">
        <v>238</v>
      </c>
      <c r="BX3509" s="5" t="s">
        <v>254</v>
      </c>
      <c r="BY3509" s="5" t="s">
        <v>238</v>
      </c>
      <c r="BZ3509" s="5" t="s">
        <v>238</v>
      </c>
      <c r="CA3509" s="5" t="s">
        <v>238</v>
      </c>
      <c r="CB3509" s="5" t="s">
        <v>238</v>
      </c>
      <c r="CC3509" s="5" t="s">
        <v>238</v>
      </c>
      <c r="CD3509" s="5" t="s">
        <v>273</v>
      </c>
      <c r="CE3509" s="5" t="s">
        <v>256</v>
      </c>
      <c r="CF3509" s="5" t="s">
        <v>238</v>
      </c>
      <c r="CH3509" s="5" t="s">
        <v>494</v>
      </c>
      <c r="CI3509" s="6" t="s">
        <v>257</v>
      </c>
      <c r="CJ3509" s="5" t="s">
        <v>495</v>
      </c>
      <c r="CK3509" s="5" t="s">
        <v>258</v>
      </c>
      <c r="CL3509" s="5" t="s">
        <v>496</v>
      </c>
      <c r="CM3509" s="5" t="s">
        <v>238</v>
      </c>
      <c r="CN3509" s="5">
        <v>0</v>
      </c>
      <c r="CO3509" s="5" t="s">
        <v>497</v>
      </c>
      <c r="CP3509" s="5" t="s">
        <v>260</v>
      </c>
      <c r="CQ3509" s="5" t="s">
        <v>260</v>
      </c>
      <c r="CR3509" s="5" t="s">
        <v>261</v>
      </c>
      <c r="CS3509" s="5" t="s">
        <v>498</v>
      </c>
      <c r="CT3509" s="7">
        <f>1</f>
        <v>1</v>
      </c>
      <c r="CU3509" s="8">
        <f>1</f>
        <v>1</v>
      </c>
      <c r="CV3509" s="8">
        <f>0</f>
        <v>0</v>
      </c>
      <c r="CX3509" s="8">
        <f>1</f>
        <v>1</v>
      </c>
      <c r="CY3509" s="8">
        <f>1</f>
        <v>1</v>
      </c>
      <c r="CZ3509" s="8" t="s">
        <v>238</v>
      </c>
      <c r="DA3509" s="5" t="s">
        <v>238</v>
      </c>
      <c r="DB3509" s="5" t="s">
        <v>238</v>
      </c>
      <c r="DC3509" s="5" t="s">
        <v>238</v>
      </c>
      <c r="DD3509" s="5" t="s">
        <v>238</v>
      </c>
      <c r="DE3509" s="8">
        <f>0</f>
        <v>0</v>
      </c>
      <c r="DG3509" s="5" t="s">
        <v>238</v>
      </c>
      <c r="DH3509" s="5" t="s">
        <v>238</v>
      </c>
      <c r="DI3509" s="5" t="s">
        <v>238</v>
      </c>
      <c r="DJ3509" s="5" t="s">
        <v>238</v>
      </c>
      <c r="DK3509" s="5" t="s">
        <v>238</v>
      </c>
      <c r="DL3509" s="5" t="s">
        <v>238</v>
      </c>
      <c r="DM3509" s="8" t="s">
        <v>238</v>
      </c>
      <c r="DN3509" s="5" t="s">
        <v>238</v>
      </c>
      <c r="DO3509" s="5" t="s">
        <v>238</v>
      </c>
      <c r="DP3509" s="5" t="s">
        <v>490</v>
      </c>
      <c r="DQ3509" s="5" t="s">
        <v>490</v>
      </c>
      <c r="DR3509" s="5" t="s">
        <v>238</v>
      </c>
      <c r="DS3509" s="5" t="s">
        <v>238</v>
      </c>
      <c r="DT3509" s="5" t="s">
        <v>500</v>
      </c>
      <c r="DU3509" s="5" t="s">
        <v>542</v>
      </c>
      <c r="DV3509" s="5" t="s">
        <v>238</v>
      </c>
      <c r="DW3509" s="5" t="s">
        <v>238</v>
      </c>
      <c r="DX3509" s="5" t="s">
        <v>238</v>
      </c>
      <c r="DY3509" s="5" t="s">
        <v>238</v>
      </c>
      <c r="DZ3509" s="5" t="s">
        <v>238</v>
      </c>
      <c r="EA3509" s="5" t="s">
        <v>238</v>
      </c>
      <c r="EB3509" s="5" t="s">
        <v>238</v>
      </c>
      <c r="EC3509" s="5" t="s">
        <v>238</v>
      </c>
      <c r="ED3509" s="5" t="s">
        <v>238</v>
      </c>
      <c r="EE3509" s="5" t="s">
        <v>238</v>
      </c>
      <c r="EF3509" s="5" t="s">
        <v>238</v>
      </c>
      <c r="EG3509" s="5" t="s">
        <v>238</v>
      </c>
      <c r="EH3509" s="5" t="s">
        <v>238</v>
      </c>
      <c r="EI3509" s="5" t="s">
        <v>238</v>
      </c>
      <c r="EJ3509" s="5" t="s">
        <v>238</v>
      </c>
      <c r="EK3509" s="5" t="s">
        <v>238</v>
      </c>
      <c r="EL3509" s="5" t="s">
        <v>238</v>
      </c>
      <c r="EM3509" s="5" t="s">
        <v>238</v>
      </c>
      <c r="EN3509" s="5" t="s">
        <v>238</v>
      </c>
      <c r="EO3509" s="5" t="s">
        <v>238</v>
      </c>
      <c r="EP3509" s="5" t="s">
        <v>238</v>
      </c>
      <c r="EQ3509" s="5" t="s">
        <v>238</v>
      </c>
      <c r="ER3509" s="5" t="s">
        <v>238</v>
      </c>
      <c r="ES3509" s="5" t="s">
        <v>238</v>
      </c>
      <c r="ET3509" s="5" t="s">
        <v>238</v>
      </c>
      <c r="EU3509" s="5" t="s">
        <v>238</v>
      </c>
      <c r="EV3509" s="5" t="s">
        <v>238</v>
      </c>
      <c r="EW3509" s="5" t="s">
        <v>238</v>
      </c>
      <c r="EX3509" s="5" t="s">
        <v>238</v>
      </c>
      <c r="EY3509" s="5" t="s">
        <v>238</v>
      </c>
      <c r="EZ3509" s="5" t="s">
        <v>238</v>
      </c>
      <c r="FA3509" s="5" t="s">
        <v>238</v>
      </c>
      <c r="FB3509" s="5" t="s">
        <v>238</v>
      </c>
      <c r="FC3509" s="5" t="s">
        <v>238</v>
      </c>
      <c r="FD3509" s="5" t="s">
        <v>238</v>
      </c>
      <c r="FE3509" s="5" t="s">
        <v>238</v>
      </c>
      <c r="FF3509" s="5" t="s">
        <v>238</v>
      </c>
      <c r="FG3509" s="5" t="s">
        <v>238</v>
      </c>
      <c r="FH3509" s="5" t="s">
        <v>238</v>
      </c>
      <c r="FI3509" s="5" t="s">
        <v>238</v>
      </c>
      <c r="FJ3509" s="5" t="s">
        <v>238</v>
      </c>
      <c r="FK3509" s="5" t="s">
        <v>238</v>
      </c>
      <c r="FL3509" s="5" t="s">
        <v>238</v>
      </c>
      <c r="FM3509" s="5" t="s">
        <v>238</v>
      </c>
      <c r="FN3509" s="5" t="s">
        <v>238</v>
      </c>
      <c r="FO3509" s="5" t="s">
        <v>238</v>
      </c>
      <c r="FP3509" s="5" t="s">
        <v>238</v>
      </c>
      <c r="FQ3509" s="5" t="s">
        <v>238</v>
      </c>
      <c r="FR3509" s="5" t="s">
        <v>238</v>
      </c>
      <c r="FS3509" s="5" t="s">
        <v>238</v>
      </c>
      <c r="FT3509" s="5" t="s">
        <v>238</v>
      </c>
      <c r="FU3509" s="5" t="s">
        <v>238</v>
      </c>
      <c r="FV3509" s="5" t="s">
        <v>238</v>
      </c>
      <c r="FW3509" s="5" t="s">
        <v>238</v>
      </c>
      <c r="FX3509" s="5" t="s">
        <v>238</v>
      </c>
      <c r="FY3509" s="5" t="s">
        <v>238</v>
      </c>
      <c r="FZ3509" s="5" t="s">
        <v>238</v>
      </c>
      <c r="GA3509" s="5" t="s">
        <v>238</v>
      </c>
      <c r="GB3509" s="5" t="s">
        <v>238</v>
      </c>
      <c r="GC3509" s="5" t="s">
        <v>238</v>
      </c>
      <c r="GD3509" s="5" t="s">
        <v>238</v>
      </c>
      <c r="GE3509" s="5" t="s">
        <v>238</v>
      </c>
      <c r="GF3509" s="5" t="s">
        <v>238</v>
      </c>
      <c r="GG3509" s="5" t="s">
        <v>238</v>
      </c>
      <c r="GH3509" s="5" t="s">
        <v>238</v>
      </c>
      <c r="GI3509" s="5" t="s">
        <v>238</v>
      </c>
      <c r="GJ3509" s="5" t="s">
        <v>238</v>
      </c>
      <c r="GK3509" s="5" t="s">
        <v>238</v>
      </c>
      <c r="GL3509" s="5" t="s">
        <v>238</v>
      </c>
      <c r="GM3509" s="5" t="s">
        <v>238</v>
      </c>
      <c r="GN3509" s="5" t="s">
        <v>238</v>
      </c>
      <c r="GO3509" s="5" t="s">
        <v>238</v>
      </c>
      <c r="GP3509" s="5" t="s">
        <v>238</v>
      </c>
      <c r="GQ3509" s="5" t="s">
        <v>238</v>
      </c>
      <c r="GR3509" s="5" t="s">
        <v>238</v>
      </c>
      <c r="GS3509" s="5" t="s">
        <v>238</v>
      </c>
      <c r="GT3509" s="5" t="s">
        <v>238</v>
      </c>
      <c r="GU3509" s="5" t="s">
        <v>238</v>
      </c>
      <c r="GV3509" s="5" t="s">
        <v>238</v>
      </c>
      <c r="GW3509" s="5" t="s">
        <v>238</v>
      </c>
      <c r="GX3509" s="5" t="s">
        <v>238</v>
      </c>
      <c r="GY3509" s="5" t="s">
        <v>238</v>
      </c>
      <c r="GZ3509" s="5" t="s">
        <v>238</v>
      </c>
      <c r="HA3509" s="5" t="s">
        <v>238</v>
      </c>
      <c r="HB3509" s="5" t="s">
        <v>238</v>
      </c>
      <c r="HC3509" s="5" t="s">
        <v>238</v>
      </c>
      <c r="HD3509" s="5" t="s">
        <v>238</v>
      </c>
      <c r="HE3509" s="5" t="s">
        <v>238</v>
      </c>
      <c r="HF3509" s="5" t="s">
        <v>238</v>
      </c>
      <c r="HG3509" s="5" t="s">
        <v>238</v>
      </c>
      <c r="HH3509" s="5" t="s">
        <v>238</v>
      </c>
      <c r="HI3509" s="5" t="s">
        <v>238</v>
      </c>
      <c r="HJ3509" s="5" t="s">
        <v>238</v>
      </c>
      <c r="HK3509" s="5" t="s">
        <v>238</v>
      </c>
      <c r="HL3509" s="5" t="s">
        <v>238</v>
      </c>
      <c r="HM3509" s="5" t="s">
        <v>264</v>
      </c>
      <c r="HN3509" s="5" t="s">
        <v>238</v>
      </c>
      <c r="HO3509" s="5" t="s">
        <v>238</v>
      </c>
      <c r="HP3509" s="5" t="s">
        <v>238</v>
      </c>
      <c r="HQ3509" s="5" t="s">
        <v>238</v>
      </c>
      <c r="HR3509" s="5" t="s">
        <v>238</v>
      </c>
      <c r="HS3509" s="5" t="s">
        <v>238</v>
      </c>
      <c r="HT3509" s="5" t="s">
        <v>238</v>
      </c>
      <c r="HU3509" s="5" t="s">
        <v>238</v>
      </c>
      <c r="HV3509" s="5" t="s">
        <v>238</v>
      </c>
      <c r="HW3509" s="5" t="s">
        <v>238</v>
      </c>
      <c r="HX3509" s="5" t="s">
        <v>238</v>
      </c>
      <c r="HY3509" s="5" t="s">
        <v>238</v>
      </c>
      <c r="HZ3509" s="5" t="s">
        <v>238</v>
      </c>
      <c r="IA3509" s="5" t="s">
        <v>238</v>
      </c>
      <c r="IB3509" s="5" t="s">
        <v>238</v>
      </c>
      <c r="IC3509" s="5" t="s">
        <v>238</v>
      </c>
      <c r="ID3509" s="5" t="s">
        <v>238</v>
      </c>
    </row>
    <row r="3510" spans="1:238" x14ac:dyDescent="0.4">
      <c r="A3510" s="5">
        <v>9228</v>
      </c>
      <c r="B3510" s="5">
        <v>1</v>
      </c>
      <c r="C3510" s="5">
        <v>1</v>
      </c>
      <c r="D3510" s="5" t="s">
        <v>484</v>
      </c>
      <c r="E3510" s="5" t="s">
        <v>485</v>
      </c>
      <c r="F3510" s="5" t="s">
        <v>248</v>
      </c>
      <c r="G3510" s="5" t="s">
        <v>4806</v>
      </c>
      <c r="H3510" s="6" t="s">
        <v>4808</v>
      </c>
      <c r="I3510" s="8">
        <f>1</f>
        <v>1</v>
      </c>
      <c r="J3510" s="5" t="s">
        <v>499</v>
      </c>
      <c r="K3510" s="8">
        <f>1</f>
        <v>1</v>
      </c>
      <c r="L3510" s="6" t="s">
        <v>242</v>
      </c>
      <c r="M3510" s="5" t="s">
        <v>267</v>
      </c>
      <c r="N3510" s="5" t="s">
        <v>482</v>
      </c>
      <c r="O3510" s="5" t="s">
        <v>238</v>
      </c>
      <c r="P3510" s="5" t="s">
        <v>238</v>
      </c>
      <c r="Q3510" s="5" t="s">
        <v>239</v>
      </c>
      <c r="R3510" s="5" t="s">
        <v>270</v>
      </c>
      <c r="S3510" s="5" t="s">
        <v>238</v>
      </c>
      <c r="T3510" s="5" t="s">
        <v>238</v>
      </c>
      <c r="U3510" s="5" t="s">
        <v>238</v>
      </c>
      <c r="V3510" s="5" t="s">
        <v>238</v>
      </c>
      <c r="W3510" s="6" t="s">
        <v>238</v>
      </c>
      <c r="X3510" s="6" t="s">
        <v>238</v>
      </c>
      <c r="Y3510" s="5" t="s">
        <v>238</v>
      </c>
      <c r="Z3510" s="6" t="s">
        <v>238</v>
      </c>
      <c r="AA3510" s="6" t="s">
        <v>243</v>
      </c>
      <c r="AB3510" s="5" t="s">
        <v>4807</v>
      </c>
      <c r="AC3510" s="5" t="s">
        <v>244</v>
      </c>
      <c r="AD3510" s="5" t="s">
        <v>245</v>
      </c>
      <c r="AE3510" s="5" t="s">
        <v>238</v>
      </c>
      <c r="AF3510" s="5" t="s">
        <v>238</v>
      </c>
      <c r="AG3510" s="5" t="s">
        <v>238</v>
      </c>
      <c r="AH3510" s="5" t="s">
        <v>238</v>
      </c>
      <c r="AI3510" s="5" t="s">
        <v>238</v>
      </c>
      <c r="AJ3510" s="5" t="s">
        <v>238</v>
      </c>
      <c r="AK3510" s="5" t="s">
        <v>238</v>
      </c>
      <c r="AL3510" s="5" t="s">
        <v>238</v>
      </c>
      <c r="AM3510" s="6" t="s">
        <v>238</v>
      </c>
      <c r="AN3510" s="6" t="s">
        <v>238</v>
      </c>
      <c r="AO3510" s="6" t="s">
        <v>238</v>
      </c>
      <c r="AP3510" s="6" t="s">
        <v>238</v>
      </c>
      <c r="AQ3510" s="5" t="s">
        <v>238</v>
      </c>
      <c r="AR3510" s="5" t="s">
        <v>488</v>
      </c>
      <c r="AS3510" s="5" t="s">
        <v>488</v>
      </c>
      <c r="AT3510" s="5" t="s">
        <v>246</v>
      </c>
      <c r="AU3510" s="5" t="s">
        <v>489</v>
      </c>
      <c r="AV3510" s="5" t="s">
        <v>247</v>
      </c>
      <c r="AW3510" s="5" t="s">
        <v>238</v>
      </c>
      <c r="AX3510" s="5" t="s">
        <v>249</v>
      </c>
      <c r="AY3510" s="5" t="s">
        <v>490</v>
      </c>
      <c r="BA3510" s="5" t="s">
        <v>238</v>
      </c>
      <c r="BC3510" s="5" t="s">
        <v>491</v>
      </c>
      <c r="BD3510" s="6" t="s">
        <v>492</v>
      </c>
      <c r="BE3510" s="5" t="s">
        <v>493</v>
      </c>
      <c r="BF3510" s="5" t="s">
        <v>493</v>
      </c>
      <c r="BG3510" s="5" t="s">
        <v>238</v>
      </c>
      <c r="BH3510" s="8">
        <f>1</f>
        <v>1</v>
      </c>
      <c r="BI3510" s="8">
        <f>1</f>
        <v>1</v>
      </c>
      <c r="BJ3510" s="5" t="s">
        <v>253</v>
      </c>
      <c r="BK3510" s="5" t="s">
        <v>254</v>
      </c>
      <c r="BL3510" s="5" t="s">
        <v>238</v>
      </c>
      <c r="BM3510" s="5" t="s">
        <v>238</v>
      </c>
      <c r="BN3510" s="5" t="s">
        <v>238</v>
      </c>
      <c r="BO3510" s="5" t="s">
        <v>238</v>
      </c>
      <c r="BP3510" s="5" t="s">
        <v>238</v>
      </c>
      <c r="BQ3510" s="5" t="s">
        <v>238</v>
      </c>
      <c r="BR3510" s="5" t="s">
        <v>238</v>
      </c>
      <c r="BS3510" s="5" t="s">
        <v>238</v>
      </c>
      <c r="BT3510" s="6" t="s">
        <v>238</v>
      </c>
      <c r="BU3510" s="5" t="s">
        <v>238</v>
      </c>
      <c r="BV3510" s="5" t="s">
        <v>238</v>
      </c>
      <c r="BW3510" s="5" t="s">
        <v>238</v>
      </c>
      <c r="BX3510" s="5" t="s">
        <v>254</v>
      </c>
      <c r="BY3510" s="5" t="s">
        <v>238</v>
      </c>
      <c r="BZ3510" s="5" t="s">
        <v>238</v>
      </c>
      <c r="CA3510" s="5" t="s">
        <v>238</v>
      </c>
      <c r="CB3510" s="5" t="s">
        <v>238</v>
      </c>
      <c r="CC3510" s="5" t="s">
        <v>238</v>
      </c>
      <c r="CD3510" s="5" t="s">
        <v>273</v>
      </c>
      <c r="CE3510" s="5" t="s">
        <v>256</v>
      </c>
      <c r="CF3510" s="5" t="s">
        <v>238</v>
      </c>
      <c r="CH3510" s="5" t="s">
        <v>494</v>
      </c>
      <c r="CI3510" s="6" t="s">
        <v>257</v>
      </c>
      <c r="CJ3510" s="5" t="s">
        <v>495</v>
      </c>
      <c r="CK3510" s="5" t="s">
        <v>258</v>
      </c>
      <c r="CL3510" s="5" t="s">
        <v>496</v>
      </c>
      <c r="CM3510" s="5" t="s">
        <v>238</v>
      </c>
      <c r="CN3510" s="5">
        <v>0</v>
      </c>
      <c r="CO3510" s="5" t="s">
        <v>497</v>
      </c>
      <c r="CP3510" s="5" t="s">
        <v>260</v>
      </c>
      <c r="CQ3510" s="5" t="s">
        <v>260</v>
      </c>
      <c r="CR3510" s="5" t="s">
        <v>261</v>
      </c>
      <c r="CS3510" s="5" t="s">
        <v>498</v>
      </c>
      <c r="CT3510" s="7">
        <f>1</f>
        <v>1</v>
      </c>
      <c r="CU3510" s="8">
        <f>1</f>
        <v>1</v>
      </c>
      <c r="CV3510" s="8">
        <f>0</f>
        <v>0</v>
      </c>
      <c r="CX3510" s="8">
        <f>1</f>
        <v>1</v>
      </c>
      <c r="CY3510" s="8">
        <f>1</f>
        <v>1</v>
      </c>
      <c r="CZ3510" s="8" t="s">
        <v>238</v>
      </c>
      <c r="DA3510" s="5" t="s">
        <v>238</v>
      </c>
      <c r="DB3510" s="5" t="s">
        <v>238</v>
      </c>
      <c r="DC3510" s="5" t="s">
        <v>238</v>
      </c>
      <c r="DD3510" s="5" t="s">
        <v>238</v>
      </c>
      <c r="DE3510" s="8">
        <f>0</f>
        <v>0</v>
      </c>
      <c r="DG3510" s="5" t="s">
        <v>238</v>
      </c>
      <c r="DH3510" s="5" t="s">
        <v>238</v>
      </c>
      <c r="DI3510" s="5" t="s">
        <v>238</v>
      </c>
      <c r="DJ3510" s="5" t="s">
        <v>238</v>
      </c>
      <c r="DK3510" s="5" t="s">
        <v>238</v>
      </c>
      <c r="DL3510" s="5" t="s">
        <v>238</v>
      </c>
      <c r="DM3510" s="8" t="s">
        <v>238</v>
      </c>
      <c r="DN3510" s="5" t="s">
        <v>238</v>
      </c>
      <c r="DO3510" s="5" t="s">
        <v>238</v>
      </c>
      <c r="DP3510" s="5" t="s">
        <v>490</v>
      </c>
      <c r="DQ3510" s="5" t="s">
        <v>490</v>
      </c>
      <c r="DR3510" s="5" t="s">
        <v>238</v>
      </c>
      <c r="DS3510" s="5" t="s">
        <v>238</v>
      </c>
      <c r="DT3510" s="5" t="s">
        <v>500</v>
      </c>
      <c r="DU3510" s="5" t="s">
        <v>558</v>
      </c>
      <c r="DV3510" s="5" t="s">
        <v>238</v>
      </c>
      <c r="DW3510" s="5" t="s">
        <v>238</v>
      </c>
      <c r="DX3510" s="5" t="s">
        <v>238</v>
      </c>
      <c r="DY3510" s="5" t="s">
        <v>238</v>
      </c>
      <c r="DZ3510" s="5" t="s">
        <v>238</v>
      </c>
      <c r="EA3510" s="5" t="s">
        <v>238</v>
      </c>
      <c r="EB3510" s="5" t="s">
        <v>238</v>
      </c>
      <c r="EC3510" s="5" t="s">
        <v>238</v>
      </c>
      <c r="ED3510" s="5" t="s">
        <v>238</v>
      </c>
      <c r="EE3510" s="5" t="s">
        <v>238</v>
      </c>
      <c r="EF3510" s="5" t="s">
        <v>238</v>
      </c>
      <c r="EG3510" s="5" t="s">
        <v>238</v>
      </c>
      <c r="EH3510" s="5" t="s">
        <v>238</v>
      </c>
      <c r="EI3510" s="5" t="s">
        <v>238</v>
      </c>
      <c r="EJ3510" s="5" t="s">
        <v>238</v>
      </c>
      <c r="EK3510" s="5" t="s">
        <v>238</v>
      </c>
      <c r="EL3510" s="5" t="s">
        <v>238</v>
      </c>
      <c r="EM3510" s="5" t="s">
        <v>238</v>
      </c>
      <c r="EN3510" s="5" t="s">
        <v>238</v>
      </c>
      <c r="EO3510" s="5" t="s">
        <v>238</v>
      </c>
      <c r="EP3510" s="5" t="s">
        <v>238</v>
      </c>
      <c r="EQ3510" s="5" t="s">
        <v>238</v>
      </c>
      <c r="ER3510" s="5" t="s">
        <v>238</v>
      </c>
      <c r="ES3510" s="5" t="s">
        <v>238</v>
      </c>
      <c r="ET3510" s="5" t="s">
        <v>238</v>
      </c>
      <c r="EU3510" s="5" t="s">
        <v>238</v>
      </c>
      <c r="EV3510" s="5" t="s">
        <v>238</v>
      </c>
      <c r="EW3510" s="5" t="s">
        <v>238</v>
      </c>
      <c r="EX3510" s="5" t="s">
        <v>238</v>
      </c>
      <c r="EY3510" s="5" t="s">
        <v>238</v>
      </c>
      <c r="EZ3510" s="5" t="s">
        <v>238</v>
      </c>
      <c r="FA3510" s="5" t="s">
        <v>238</v>
      </c>
      <c r="FB3510" s="5" t="s">
        <v>238</v>
      </c>
      <c r="FC3510" s="5" t="s">
        <v>238</v>
      </c>
      <c r="FD3510" s="5" t="s">
        <v>238</v>
      </c>
      <c r="FE3510" s="5" t="s">
        <v>238</v>
      </c>
      <c r="FF3510" s="5" t="s">
        <v>238</v>
      </c>
      <c r="FG3510" s="5" t="s">
        <v>238</v>
      </c>
      <c r="FH3510" s="5" t="s">
        <v>238</v>
      </c>
      <c r="FI3510" s="5" t="s">
        <v>238</v>
      </c>
      <c r="FJ3510" s="5" t="s">
        <v>238</v>
      </c>
      <c r="FK3510" s="5" t="s">
        <v>238</v>
      </c>
      <c r="FL3510" s="5" t="s">
        <v>238</v>
      </c>
      <c r="FM3510" s="5" t="s">
        <v>238</v>
      </c>
      <c r="FN3510" s="5" t="s">
        <v>238</v>
      </c>
      <c r="FO3510" s="5" t="s">
        <v>238</v>
      </c>
      <c r="FP3510" s="5" t="s">
        <v>238</v>
      </c>
      <c r="FQ3510" s="5" t="s">
        <v>238</v>
      </c>
      <c r="FR3510" s="5" t="s">
        <v>238</v>
      </c>
      <c r="FS3510" s="5" t="s">
        <v>238</v>
      </c>
      <c r="FT3510" s="5" t="s">
        <v>238</v>
      </c>
      <c r="FU3510" s="5" t="s">
        <v>238</v>
      </c>
      <c r="FV3510" s="5" t="s">
        <v>238</v>
      </c>
      <c r="FW3510" s="5" t="s">
        <v>238</v>
      </c>
      <c r="FX3510" s="5" t="s">
        <v>238</v>
      </c>
      <c r="FY3510" s="5" t="s">
        <v>238</v>
      </c>
      <c r="FZ3510" s="5" t="s">
        <v>238</v>
      </c>
      <c r="GA3510" s="5" t="s">
        <v>238</v>
      </c>
      <c r="GB3510" s="5" t="s">
        <v>238</v>
      </c>
      <c r="GC3510" s="5" t="s">
        <v>238</v>
      </c>
      <c r="GD3510" s="5" t="s">
        <v>238</v>
      </c>
      <c r="GE3510" s="5" t="s">
        <v>238</v>
      </c>
      <c r="GF3510" s="5" t="s">
        <v>238</v>
      </c>
      <c r="GG3510" s="5" t="s">
        <v>238</v>
      </c>
      <c r="GH3510" s="5" t="s">
        <v>238</v>
      </c>
      <c r="GI3510" s="5" t="s">
        <v>238</v>
      </c>
      <c r="GJ3510" s="5" t="s">
        <v>238</v>
      </c>
      <c r="GK3510" s="5" t="s">
        <v>238</v>
      </c>
      <c r="GL3510" s="5" t="s">
        <v>238</v>
      </c>
      <c r="GM3510" s="5" t="s">
        <v>238</v>
      </c>
      <c r="GN3510" s="5" t="s">
        <v>238</v>
      </c>
      <c r="GO3510" s="5" t="s">
        <v>238</v>
      </c>
      <c r="GP3510" s="5" t="s">
        <v>238</v>
      </c>
      <c r="GQ3510" s="5" t="s">
        <v>238</v>
      </c>
      <c r="GR3510" s="5" t="s">
        <v>238</v>
      </c>
      <c r="GS3510" s="5" t="s">
        <v>238</v>
      </c>
      <c r="GT3510" s="5" t="s">
        <v>238</v>
      </c>
      <c r="GU3510" s="5" t="s">
        <v>238</v>
      </c>
      <c r="GV3510" s="5" t="s">
        <v>238</v>
      </c>
      <c r="GW3510" s="5" t="s">
        <v>238</v>
      </c>
      <c r="GX3510" s="5" t="s">
        <v>238</v>
      </c>
      <c r="GY3510" s="5" t="s">
        <v>238</v>
      </c>
      <c r="GZ3510" s="5" t="s">
        <v>238</v>
      </c>
      <c r="HA3510" s="5" t="s">
        <v>238</v>
      </c>
      <c r="HB3510" s="5" t="s">
        <v>238</v>
      </c>
      <c r="HC3510" s="5" t="s">
        <v>238</v>
      </c>
      <c r="HD3510" s="5" t="s">
        <v>238</v>
      </c>
      <c r="HE3510" s="5" t="s">
        <v>238</v>
      </c>
      <c r="HF3510" s="5" t="s">
        <v>238</v>
      </c>
      <c r="HG3510" s="5" t="s">
        <v>238</v>
      </c>
      <c r="HH3510" s="5" t="s">
        <v>238</v>
      </c>
      <c r="HI3510" s="5" t="s">
        <v>238</v>
      </c>
      <c r="HJ3510" s="5" t="s">
        <v>238</v>
      </c>
      <c r="HK3510" s="5" t="s">
        <v>238</v>
      </c>
      <c r="HL3510" s="5" t="s">
        <v>238</v>
      </c>
      <c r="HM3510" s="5" t="s">
        <v>264</v>
      </c>
      <c r="HN3510" s="5" t="s">
        <v>238</v>
      </c>
      <c r="HO3510" s="5" t="s">
        <v>238</v>
      </c>
      <c r="HP3510" s="5" t="s">
        <v>238</v>
      </c>
      <c r="HQ3510" s="5" t="s">
        <v>238</v>
      </c>
      <c r="HR3510" s="5" t="s">
        <v>238</v>
      </c>
      <c r="HS3510" s="5" t="s">
        <v>238</v>
      </c>
      <c r="HT3510" s="5" t="s">
        <v>238</v>
      </c>
      <c r="HU3510" s="5" t="s">
        <v>238</v>
      </c>
      <c r="HV3510" s="5" t="s">
        <v>238</v>
      </c>
      <c r="HW3510" s="5" t="s">
        <v>238</v>
      </c>
      <c r="HX3510" s="5" t="s">
        <v>238</v>
      </c>
      <c r="HY3510" s="5" t="s">
        <v>238</v>
      </c>
      <c r="HZ3510" s="5" t="s">
        <v>238</v>
      </c>
      <c r="IA3510" s="5" t="s">
        <v>238</v>
      </c>
      <c r="IB3510" s="5" t="s">
        <v>238</v>
      </c>
      <c r="IC3510" s="5" t="s">
        <v>238</v>
      </c>
      <c r="ID3510" s="5" t="s">
        <v>238</v>
      </c>
    </row>
    <row r="3511" spans="1:238" x14ac:dyDescent="0.4">
      <c r="A3511" s="5">
        <v>9229</v>
      </c>
      <c r="B3511" s="5">
        <v>1</v>
      </c>
      <c r="C3511" s="5">
        <v>1</v>
      </c>
      <c r="D3511" s="5" t="s">
        <v>484</v>
      </c>
      <c r="E3511" s="5" t="s">
        <v>485</v>
      </c>
      <c r="F3511" s="5" t="s">
        <v>248</v>
      </c>
      <c r="G3511" s="5" t="s">
        <v>4960</v>
      </c>
      <c r="H3511" s="6" t="s">
        <v>4962</v>
      </c>
      <c r="I3511" s="8">
        <f>1</f>
        <v>1</v>
      </c>
      <c r="J3511" s="5" t="s">
        <v>499</v>
      </c>
      <c r="K3511" s="8">
        <f>1</f>
        <v>1</v>
      </c>
      <c r="L3511" s="6" t="s">
        <v>242</v>
      </c>
      <c r="M3511" s="5" t="s">
        <v>267</v>
      </c>
      <c r="N3511" s="5" t="s">
        <v>482</v>
      </c>
      <c r="O3511" s="5" t="s">
        <v>238</v>
      </c>
      <c r="P3511" s="5" t="s">
        <v>238</v>
      </c>
      <c r="Q3511" s="5" t="s">
        <v>239</v>
      </c>
      <c r="R3511" s="5" t="s">
        <v>270</v>
      </c>
      <c r="S3511" s="5" t="s">
        <v>238</v>
      </c>
      <c r="T3511" s="5" t="s">
        <v>238</v>
      </c>
      <c r="U3511" s="5" t="s">
        <v>238</v>
      </c>
      <c r="V3511" s="5" t="s">
        <v>238</v>
      </c>
      <c r="W3511" s="6" t="s">
        <v>238</v>
      </c>
      <c r="X3511" s="6" t="s">
        <v>238</v>
      </c>
      <c r="Y3511" s="5" t="s">
        <v>238</v>
      </c>
      <c r="Z3511" s="6" t="s">
        <v>238</v>
      </c>
      <c r="AA3511" s="6" t="s">
        <v>243</v>
      </c>
      <c r="AB3511" s="5" t="s">
        <v>4961</v>
      </c>
      <c r="AC3511" s="5" t="s">
        <v>244</v>
      </c>
      <c r="AD3511" s="5" t="s">
        <v>245</v>
      </c>
      <c r="AE3511" s="5" t="s">
        <v>238</v>
      </c>
      <c r="AF3511" s="5" t="s">
        <v>238</v>
      </c>
      <c r="AG3511" s="5" t="s">
        <v>238</v>
      </c>
      <c r="AH3511" s="5" t="s">
        <v>238</v>
      </c>
      <c r="AI3511" s="5" t="s">
        <v>238</v>
      </c>
      <c r="AJ3511" s="5" t="s">
        <v>238</v>
      </c>
      <c r="AK3511" s="5" t="s">
        <v>238</v>
      </c>
      <c r="AL3511" s="5" t="s">
        <v>238</v>
      </c>
      <c r="AM3511" s="6" t="s">
        <v>238</v>
      </c>
      <c r="AN3511" s="6" t="s">
        <v>238</v>
      </c>
      <c r="AO3511" s="6" t="s">
        <v>238</v>
      </c>
      <c r="AP3511" s="6" t="s">
        <v>238</v>
      </c>
      <c r="AQ3511" s="5" t="s">
        <v>238</v>
      </c>
      <c r="AR3511" s="5" t="s">
        <v>488</v>
      </c>
      <c r="AS3511" s="5" t="s">
        <v>488</v>
      </c>
      <c r="AT3511" s="5" t="s">
        <v>246</v>
      </c>
      <c r="AU3511" s="5" t="s">
        <v>489</v>
      </c>
      <c r="AV3511" s="5" t="s">
        <v>247</v>
      </c>
      <c r="AW3511" s="5" t="s">
        <v>238</v>
      </c>
      <c r="AX3511" s="5" t="s">
        <v>249</v>
      </c>
      <c r="AY3511" s="5" t="s">
        <v>490</v>
      </c>
      <c r="BA3511" s="5" t="s">
        <v>238</v>
      </c>
      <c r="BC3511" s="5" t="s">
        <v>491</v>
      </c>
      <c r="BD3511" s="6" t="s">
        <v>492</v>
      </c>
      <c r="BE3511" s="5" t="s">
        <v>493</v>
      </c>
      <c r="BF3511" s="5" t="s">
        <v>493</v>
      </c>
      <c r="BG3511" s="5" t="s">
        <v>238</v>
      </c>
      <c r="BH3511" s="8">
        <f>1</f>
        <v>1</v>
      </c>
      <c r="BI3511" s="8">
        <f>1</f>
        <v>1</v>
      </c>
      <c r="BJ3511" s="5" t="s">
        <v>253</v>
      </c>
      <c r="BK3511" s="5" t="s">
        <v>254</v>
      </c>
      <c r="BL3511" s="5" t="s">
        <v>238</v>
      </c>
      <c r="BM3511" s="5" t="s">
        <v>238</v>
      </c>
      <c r="BN3511" s="5" t="s">
        <v>238</v>
      </c>
      <c r="BO3511" s="5" t="s">
        <v>238</v>
      </c>
      <c r="BP3511" s="5" t="s">
        <v>238</v>
      </c>
      <c r="BQ3511" s="5" t="s">
        <v>238</v>
      </c>
      <c r="BR3511" s="5" t="s">
        <v>238</v>
      </c>
      <c r="BS3511" s="5" t="s">
        <v>238</v>
      </c>
      <c r="BT3511" s="6" t="s">
        <v>238</v>
      </c>
      <c r="BU3511" s="5" t="s">
        <v>238</v>
      </c>
      <c r="BV3511" s="5" t="s">
        <v>238</v>
      </c>
      <c r="BW3511" s="5" t="s">
        <v>238</v>
      </c>
      <c r="BX3511" s="5" t="s">
        <v>254</v>
      </c>
      <c r="BY3511" s="5" t="s">
        <v>238</v>
      </c>
      <c r="BZ3511" s="5" t="s">
        <v>238</v>
      </c>
      <c r="CA3511" s="5" t="s">
        <v>238</v>
      </c>
      <c r="CB3511" s="5" t="s">
        <v>238</v>
      </c>
      <c r="CC3511" s="5" t="s">
        <v>238</v>
      </c>
      <c r="CD3511" s="5" t="s">
        <v>273</v>
      </c>
      <c r="CE3511" s="5" t="s">
        <v>256</v>
      </c>
      <c r="CF3511" s="5" t="s">
        <v>238</v>
      </c>
      <c r="CH3511" s="5" t="s">
        <v>494</v>
      </c>
      <c r="CI3511" s="6" t="s">
        <v>257</v>
      </c>
      <c r="CJ3511" s="5" t="s">
        <v>495</v>
      </c>
      <c r="CK3511" s="5" t="s">
        <v>258</v>
      </c>
      <c r="CL3511" s="5" t="s">
        <v>496</v>
      </c>
      <c r="CM3511" s="5" t="s">
        <v>238</v>
      </c>
      <c r="CN3511" s="5">
        <v>0</v>
      </c>
      <c r="CO3511" s="5" t="s">
        <v>497</v>
      </c>
      <c r="CP3511" s="5" t="s">
        <v>260</v>
      </c>
      <c r="CQ3511" s="5" t="s">
        <v>260</v>
      </c>
      <c r="CR3511" s="5" t="s">
        <v>261</v>
      </c>
      <c r="CS3511" s="5" t="s">
        <v>498</v>
      </c>
      <c r="CT3511" s="7">
        <f>1</f>
        <v>1</v>
      </c>
      <c r="CU3511" s="8">
        <f>1</f>
        <v>1</v>
      </c>
      <c r="CV3511" s="8">
        <f>0</f>
        <v>0</v>
      </c>
      <c r="CX3511" s="8">
        <f>1</f>
        <v>1</v>
      </c>
      <c r="CY3511" s="8">
        <f>1</f>
        <v>1</v>
      </c>
      <c r="CZ3511" s="8" t="s">
        <v>238</v>
      </c>
      <c r="DA3511" s="5" t="s">
        <v>238</v>
      </c>
      <c r="DB3511" s="5" t="s">
        <v>238</v>
      </c>
      <c r="DC3511" s="5" t="s">
        <v>238</v>
      </c>
      <c r="DD3511" s="5" t="s">
        <v>238</v>
      </c>
      <c r="DE3511" s="8">
        <f>0</f>
        <v>0</v>
      </c>
      <c r="DG3511" s="5" t="s">
        <v>238</v>
      </c>
      <c r="DH3511" s="5" t="s">
        <v>238</v>
      </c>
      <c r="DI3511" s="5" t="s">
        <v>238</v>
      </c>
      <c r="DJ3511" s="5" t="s">
        <v>238</v>
      </c>
      <c r="DK3511" s="5" t="s">
        <v>238</v>
      </c>
      <c r="DL3511" s="5" t="s">
        <v>238</v>
      </c>
      <c r="DM3511" s="8" t="s">
        <v>238</v>
      </c>
      <c r="DN3511" s="5" t="s">
        <v>238</v>
      </c>
      <c r="DO3511" s="5" t="s">
        <v>238</v>
      </c>
      <c r="DP3511" s="5" t="s">
        <v>490</v>
      </c>
      <c r="DQ3511" s="5" t="s">
        <v>490</v>
      </c>
      <c r="DR3511" s="5" t="s">
        <v>238</v>
      </c>
      <c r="DS3511" s="5" t="s">
        <v>238</v>
      </c>
      <c r="DT3511" s="5" t="s">
        <v>500</v>
      </c>
      <c r="DU3511" s="5" t="s">
        <v>1142</v>
      </c>
      <c r="DV3511" s="5" t="s">
        <v>238</v>
      </c>
      <c r="DW3511" s="5" t="s">
        <v>238</v>
      </c>
      <c r="DX3511" s="5" t="s">
        <v>238</v>
      </c>
      <c r="DY3511" s="5" t="s">
        <v>238</v>
      </c>
      <c r="DZ3511" s="5" t="s">
        <v>238</v>
      </c>
      <c r="EA3511" s="5" t="s">
        <v>238</v>
      </c>
      <c r="EB3511" s="5" t="s">
        <v>238</v>
      </c>
      <c r="EC3511" s="5" t="s">
        <v>238</v>
      </c>
      <c r="ED3511" s="5" t="s">
        <v>238</v>
      </c>
      <c r="EE3511" s="5" t="s">
        <v>238</v>
      </c>
      <c r="EF3511" s="5" t="s">
        <v>238</v>
      </c>
      <c r="EG3511" s="5" t="s">
        <v>238</v>
      </c>
      <c r="EH3511" s="5" t="s">
        <v>238</v>
      </c>
      <c r="EI3511" s="5" t="s">
        <v>238</v>
      </c>
      <c r="EJ3511" s="5" t="s">
        <v>238</v>
      </c>
      <c r="EK3511" s="5" t="s">
        <v>238</v>
      </c>
      <c r="EL3511" s="5" t="s">
        <v>238</v>
      </c>
      <c r="EM3511" s="5" t="s">
        <v>238</v>
      </c>
      <c r="EN3511" s="5" t="s">
        <v>238</v>
      </c>
      <c r="EO3511" s="5" t="s">
        <v>238</v>
      </c>
      <c r="EP3511" s="5" t="s">
        <v>238</v>
      </c>
      <c r="EQ3511" s="5" t="s">
        <v>238</v>
      </c>
      <c r="ER3511" s="5" t="s">
        <v>238</v>
      </c>
      <c r="ES3511" s="5" t="s">
        <v>238</v>
      </c>
      <c r="ET3511" s="5" t="s">
        <v>238</v>
      </c>
      <c r="EU3511" s="5" t="s">
        <v>238</v>
      </c>
      <c r="EV3511" s="5" t="s">
        <v>238</v>
      </c>
      <c r="EW3511" s="5" t="s">
        <v>238</v>
      </c>
      <c r="EX3511" s="5" t="s">
        <v>238</v>
      </c>
      <c r="EY3511" s="5" t="s">
        <v>238</v>
      </c>
      <c r="EZ3511" s="5" t="s">
        <v>238</v>
      </c>
      <c r="FA3511" s="5" t="s">
        <v>238</v>
      </c>
      <c r="FB3511" s="5" t="s">
        <v>238</v>
      </c>
      <c r="FC3511" s="5" t="s">
        <v>238</v>
      </c>
      <c r="FD3511" s="5" t="s">
        <v>238</v>
      </c>
      <c r="FE3511" s="5" t="s">
        <v>238</v>
      </c>
      <c r="FF3511" s="5" t="s">
        <v>238</v>
      </c>
      <c r="FG3511" s="5" t="s">
        <v>238</v>
      </c>
      <c r="FH3511" s="5" t="s">
        <v>238</v>
      </c>
      <c r="FI3511" s="5" t="s">
        <v>238</v>
      </c>
      <c r="FJ3511" s="5" t="s">
        <v>238</v>
      </c>
      <c r="FK3511" s="5" t="s">
        <v>238</v>
      </c>
      <c r="FL3511" s="5" t="s">
        <v>238</v>
      </c>
      <c r="FM3511" s="5" t="s">
        <v>238</v>
      </c>
      <c r="FN3511" s="5" t="s">
        <v>238</v>
      </c>
      <c r="FO3511" s="5" t="s">
        <v>238</v>
      </c>
      <c r="FP3511" s="5" t="s">
        <v>238</v>
      </c>
      <c r="FQ3511" s="5" t="s">
        <v>238</v>
      </c>
      <c r="FR3511" s="5" t="s">
        <v>238</v>
      </c>
      <c r="FS3511" s="5" t="s">
        <v>238</v>
      </c>
      <c r="FT3511" s="5" t="s">
        <v>238</v>
      </c>
      <c r="FU3511" s="5" t="s">
        <v>238</v>
      </c>
      <c r="FV3511" s="5" t="s">
        <v>238</v>
      </c>
      <c r="FW3511" s="5" t="s">
        <v>238</v>
      </c>
      <c r="FX3511" s="5" t="s">
        <v>238</v>
      </c>
      <c r="FY3511" s="5" t="s">
        <v>238</v>
      </c>
      <c r="FZ3511" s="5" t="s">
        <v>238</v>
      </c>
      <c r="GA3511" s="5" t="s">
        <v>238</v>
      </c>
      <c r="GB3511" s="5" t="s">
        <v>238</v>
      </c>
      <c r="GC3511" s="5" t="s">
        <v>238</v>
      </c>
      <c r="GD3511" s="5" t="s">
        <v>238</v>
      </c>
      <c r="GE3511" s="5" t="s">
        <v>238</v>
      </c>
      <c r="GF3511" s="5" t="s">
        <v>238</v>
      </c>
      <c r="GG3511" s="5" t="s">
        <v>238</v>
      </c>
      <c r="GH3511" s="5" t="s">
        <v>238</v>
      </c>
      <c r="GI3511" s="5" t="s">
        <v>238</v>
      </c>
      <c r="GJ3511" s="5" t="s">
        <v>238</v>
      </c>
      <c r="GK3511" s="5" t="s">
        <v>238</v>
      </c>
      <c r="GL3511" s="5" t="s">
        <v>238</v>
      </c>
      <c r="GM3511" s="5" t="s">
        <v>238</v>
      </c>
      <c r="GN3511" s="5" t="s">
        <v>238</v>
      </c>
      <c r="GO3511" s="5" t="s">
        <v>238</v>
      </c>
      <c r="GP3511" s="5" t="s">
        <v>238</v>
      </c>
      <c r="GQ3511" s="5" t="s">
        <v>238</v>
      </c>
      <c r="GR3511" s="5" t="s">
        <v>238</v>
      </c>
      <c r="GS3511" s="5" t="s">
        <v>238</v>
      </c>
      <c r="GT3511" s="5" t="s">
        <v>238</v>
      </c>
      <c r="GU3511" s="5" t="s">
        <v>238</v>
      </c>
      <c r="GV3511" s="5" t="s">
        <v>238</v>
      </c>
      <c r="GW3511" s="5" t="s">
        <v>238</v>
      </c>
      <c r="GX3511" s="5" t="s">
        <v>238</v>
      </c>
      <c r="GY3511" s="5" t="s">
        <v>238</v>
      </c>
      <c r="GZ3511" s="5" t="s">
        <v>238</v>
      </c>
      <c r="HA3511" s="5" t="s">
        <v>238</v>
      </c>
      <c r="HB3511" s="5" t="s">
        <v>238</v>
      </c>
      <c r="HC3511" s="5" t="s">
        <v>238</v>
      </c>
      <c r="HD3511" s="5" t="s">
        <v>238</v>
      </c>
      <c r="HE3511" s="5" t="s">
        <v>238</v>
      </c>
      <c r="HF3511" s="5" t="s">
        <v>238</v>
      </c>
      <c r="HG3511" s="5" t="s">
        <v>238</v>
      </c>
      <c r="HH3511" s="5" t="s">
        <v>238</v>
      </c>
      <c r="HI3511" s="5" t="s">
        <v>238</v>
      </c>
      <c r="HJ3511" s="5" t="s">
        <v>238</v>
      </c>
      <c r="HK3511" s="5" t="s">
        <v>238</v>
      </c>
      <c r="HL3511" s="5" t="s">
        <v>238</v>
      </c>
      <c r="HM3511" s="5" t="s">
        <v>264</v>
      </c>
      <c r="HN3511" s="5" t="s">
        <v>238</v>
      </c>
      <c r="HO3511" s="5" t="s">
        <v>238</v>
      </c>
      <c r="HP3511" s="5" t="s">
        <v>238</v>
      </c>
      <c r="HQ3511" s="5" t="s">
        <v>238</v>
      </c>
      <c r="HR3511" s="5" t="s">
        <v>238</v>
      </c>
      <c r="HS3511" s="5" t="s">
        <v>238</v>
      </c>
      <c r="HT3511" s="5" t="s">
        <v>238</v>
      </c>
      <c r="HU3511" s="5" t="s">
        <v>238</v>
      </c>
      <c r="HV3511" s="5" t="s">
        <v>238</v>
      </c>
      <c r="HW3511" s="5" t="s">
        <v>238</v>
      </c>
      <c r="HX3511" s="5" t="s">
        <v>238</v>
      </c>
      <c r="HY3511" s="5" t="s">
        <v>238</v>
      </c>
      <c r="HZ3511" s="5" t="s">
        <v>238</v>
      </c>
      <c r="IA3511" s="5" t="s">
        <v>238</v>
      </c>
      <c r="IB3511" s="5" t="s">
        <v>238</v>
      </c>
      <c r="IC3511" s="5" t="s">
        <v>238</v>
      </c>
      <c r="ID3511" s="5" t="s">
        <v>238</v>
      </c>
    </row>
    <row r="3512" spans="1:238" x14ac:dyDescent="0.4">
      <c r="A3512" s="5">
        <v>9230</v>
      </c>
      <c r="B3512" s="5">
        <v>1</v>
      </c>
      <c r="C3512" s="5">
        <v>1</v>
      </c>
      <c r="D3512" s="5" t="s">
        <v>484</v>
      </c>
      <c r="E3512" s="5" t="s">
        <v>485</v>
      </c>
      <c r="F3512" s="5" t="s">
        <v>248</v>
      </c>
      <c r="G3512" s="5" t="s">
        <v>4774</v>
      </c>
      <c r="H3512" s="6" t="s">
        <v>4775</v>
      </c>
      <c r="I3512" s="8">
        <f>1</f>
        <v>1</v>
      </c>
      <c r="J3512" s="5" t="s">
        <v>499</v>
      </c>
      <c r="K3512" s="8">
        <f>1</f>
        <v>1</v>
      </c>
      <c r="L3512" s="6" t="s">
        <v>242</v>
      </c>
      <c r="M3512" s="5" t="s">
        <v>267</v>
      </c>
      <c r="N3512" s="5" t="s">
        <v>482</v>
      </c>
      <c r="O3512" s="5" t="s">
        <v>238</v>
      </c>
      <c r="P3512" s="5" t="s">
        <v>238</v>
      </c>
      <c r="Q3512" s="5" t="s">
        <v>239</v>
      </c>
      <c r="R3512" s="5" t="s">
        <v>270</v>
      </c>
      <c r="S3512" s="5" t="s">
        <v>238</v>
      </c>
      <c r="T3512" s="5" t="s">
        <v>238</v>
      </c>
      <c r="U3512" s="5" t="s">
        <v>238</v>
      </c>
      <c r="V3512" s="5" t="s">
        <v>238</v>
      </c>
      <c r="W3512" s="6" t="s">
        <v>238</v>
      </c>
      <c r="X3512" s="6" t="s">
        <v>238</v>
      </c>
      <c r="Y3512" s="5" t="s">
        <v>238</v>
      </c>
      <c r="Z3512" s="6" t="s">
        <v>238</v>
      </c>
      <c r="AA3512" s="6" t="s">
        <v>243</v>
      </c>
      <c r="AB3512" s="5" t="s">
        <v>486</v>
      </c>
      <c r="AC3512" s="5" t="s">
        <v>244</v>
      </c>
      <c r="AD3512" s="5" t="s">
        <v>245</v>
      </c>
      <c r="AE3512" s="5" t="s">
        <v>238</v>
      </c>
      <c r="AF3512" s="5" t="s">
        <v>238</v>
      </c>
      <c r="AG3512" s="5" t="s">
        <v>238</v>
      </c>
      <c r="AH3512" s="5" t="s">
        <v>238</v>
      </c>
      <c r="AI3512" s="5" t="s">
        <v>238</v>
      </c>
      <c r="AJ3512" s="5" t="s">
        <v>238</v>
      </c>
      <c r="AK3512" s="5" t="s">
        <v>238</v>
      </c>
      <c r="AL3512" s="5" t="s">
        <v>238</v>
      </c>
      <c r="AM3512" s="6" t="s">
        <v>238</v>
      </c>
      <c r="AN3512" s="6" t="s">
        <v>238</v>
      </c>
      <c r="AO3512" s="6" t="s">
        <v>238</v>
      </c>
      <c r="AP3512" s="6" t="s">
        <v>238</v>
      </c>
      <c r="AQ3512" s="5" t="s">
        <v>238</v>
      </c>
      <c r="AR3512" s="5" t="s">
        <v>488</v>
      </c>
      <c r="AS3512" s="5" t="s">
        <v>488</v>
      </c>
      <c r="AT3512" s="5" t="s">
        <v>246</v>
      </c>
      <c r="AU3512" s="5" t="s">
        <v>489</v>
      </c>
      <c r="AV3512" s="5" t="s">
        <v>247</v>
      </c>
      <c r="AW3512" s="5" t="s">
        <v>238</v>
      </c>
      <c r="AX3512" s="5" t="s">
        <v>249</v>
      </c>
      <c r="AY3512" s="5" t="s">
        <v>490</v>
      </c>
      <c r="BA3512" s="5" t="s">
        <v>238</v>
      </c>
      <c r="BC3512" s="5" t="s">
        <v>491</v>
      </c>
      <c r="BD3512" s="6" t="s">
        <v>492</v>
      </c>
      <c r="BE3512" s="5" t="s">
        <v>493</v>
      </c>
      <c r="BF3512" s="5" t="s">
        <v>493</v>
      </c>
      <c r="BG3512" s="5" t="s">
        <v>238</v>
      </c>
      <c r="BH3512" s="8">
        <f>1</f>
        <v>1</v>
      </c>
      <c r="BI3512" s="8">
        <f>1</f>
        <v>1</v>
      </c>
      <c r="BJ3512" s="5" t="s">
        <v>253</v>
      </c>
      <c r="BK3512" s="5" t="s">
        <v>254</v>
      </c>
      <c r="BL3512" s="5" t="s">
        <v>238</v>
      </c>
      <c r="BM3512" s="5" t="s">
        <v>238</v>
      </c>
      <c r="BN3512" s="5" t="s">
        <v>238</v>
      </c>
      <c r="BO3512" s="5" t="s">
        <v>238</v>
      </c>
      <c r="BP3512" s="5" t="s">
        <v>238</v>
      </c>
      <c r="BQ3512" s="5" t="s">
        <v>238</v>
      </c>
      <c r="BR3512" s="5" t="s">
        <v>238</v>
      </c>
      <c r="BS3512" s="5" t="s">
        <v>238</v>
      </c>
      <c r="BT3512" s="6" t="s">
        <v>238</v>
      </c>
      <c r="BU3512" s="5" t="s">
        <v>238</v>
      </c>
      <c r="BV3512" s="5" t="s">
        <v>238</v>
      </c>
      <c r="BW3512" s="5" t="s">
        <v>238</v>
      </c>
      <c r="BX3512" s="5" t="s">
        <v>254</v>
      </c>
      <c r="BY3512" s="5" t="s">
        <v>238</v>
      </c>
      <c r="BZ3512" s="5" t="s">
        <v>238</v>
      </c>
      <c r="CA3512" s="5" t="s">
        <v>238</v>
      </c>
      <c r="CB3512" s="5" t="s">
        <v>238</v>
      </c>
      <c r="CC3512" s="5" t="s">
        <v>238</v>
      </c>
      <c r="CD3512" s="5" t="s">
        <v>273</v>
      </c>
      <c r="CE3512" s="5" t="s">
        <v>256</v>
      </c>
      <c r="CF3512" s="5" t="s">
        <v>238</v>
      </c>
      <c r="CH3512" s="5" t="s">
        <v>494</v>
      </c>
      <c r="CI3512" s="6" t="s">
        <v>257</v>
      </c>
      <c r="CJ3512" s="5" t="s">
        <v>495</v>
      </c>
      <c r="CK3512" s="5" t="s">
        <v>258</v>
      </c>
      <c r="CL3512" s="5" t="s">
        <v>496</v>
      </c>
      <c r="CM3512" s="5" t="s">
        <v>238</v>
      </c>
      <c r="CN3512" s="5">
        <v>0</v>
      </c>
      <c r="CO3512" s="5" t="s">
        <v>497</v>
      </c>
      <c r="CP3512" s="5" t="s">
        <v>260</v>
      </c>
      <c r="CQ3512" s="5" t="s">
        <v>260</v>
      </c>
      <c r="CR3512" s="5" t="s">
        <v>261</v>
      </c>
      <c r="CS3512" s="5" t="s">
        <v>498</v>
      </c>
      <c r="CT3512" s="7">
        <f>1</f>
        <v>1</v>
      </c>
      <c r="CU3512" s="8">
        <f>1</f>
        <v>1</v>
      </c>
      <c r="CV3512" s="8">
        <f>0</f>
        <v>0</v>
      </c>
      <c r="CX3512" s="8">
        <f>1</f>
        <v>1</v>
      </c>
      <c r="CY3512" s="8">
        <f>1</f>
        <v>1</v>
      </c>
      <c r="CZ3512" s="8" t="s">
        <v>238</v>
      </c>
      <c r="DA3512" s="5" t="s">
        <v>238</v>
      </c>
      <c r="DB3512" s="5" t="s">
        <v>238</v>
      </c>
      <c r="DC3512" s="5" t="s">
        <v>238</v>
      </c>
      <c r="DD3512" s="5" t="s">
        <v>238</v>
      </c>
      <c r="DE3512" s="8">
        <f>0</f>
        <v>0</v>
      </c>
      <c r="DG3512" s="5" t="s">
        <v>238</v>
      </c>
      <c r="DH3512" s="5" t="s">
        <v>238</v>
      </c>
      <c r="DI3512" s="5" t="s">
        <v>238</v>
      </c>
      <c r="DJ3512" s="5" t="s">
        <v>238</v>
      </c>
      <c r="DK3512" s="5" t="s">
        <v>238</v>
      </c>
      <c r="DL3512" s="5" t="s">
        <v>238</v>
      </c>
      <c r="DM3512" s="8" t="s">
        <v>238</v>
      </c>
      <c r="DN3512" s="5" t="s">
        <v>238</v>
      </c>
      <c r="DO3512" s="5" t="s">
        <v>238</v>
      </c>
      <c r="DP3512" s="5" t="s">
        <v>490</v>
      </c>
      <c r="DQ3512" s="5" t="s">
        <v>490</v>
      </c>
      <c r="DR3512" s="5" t="s">
        <v>238</v>
      </c>
      <c r="DS3512" s="5" t="s">
        <v>238</v>
      </c>
      <c r="DT3512" s="5" t="s">
        <v>500</v>
      </c>
      <c r="DU3512" s="5" t="s">
        <v>568</v>
      </c>
      <c r="DV3512" s="5" t="s">
        <v>238</v>
      </c>
      <c r="DW3512" s="5" t="s">
        <v>238</v>
      </c>
      <c r="DX3512" s="5" t="s">
        <v>238</v>
      </c>
      <c r="DY3512" s="5" t="s">
        <v>238</v>
      </c>
      <c r="DZ3512" s="5" t="s">
        <v>238</v>
      </c>
      <c r="EA3512" s="5" t="s">
        <v>238</v>
      </c>
      <c r="EB3512" s="5" t="s">
        <v>238</v>
      </c>
      <c r="EC3512" s="5" t="s">
        <v>238</v>
      </c>
      <c r="ED3512" s="5" t="s">
        <v>238</v>
      </c>
      <c r="EE3512" s="5" t="s">
        <v>238</v>
      </c>
      <c r="EF3512" s="5" t="s">
        <v>238</v>
      </c>
      <c r="EG3512" s="5" t="s">
        <v>238</v>
      </c>
      <c r="EH3512" s="5" t="s">
        <v>238</v>
      </c>
      <c r="EI3512" s="5" t="s">
        <v>238</v>
      </c>
      <c r="EJ3512" s="5" t="s">
        <v>238</v>
      </c>
      <c r="EK3512" s="5" t="s">
        <v>238</v>
      </c>
      <c r="EL3512" s="5" t="s">
        <v>238</v>
      </c>
      <c r="EM3512" s="5" t="s">
        <v>238</v>
      </c>
      <c r="EN3512" s="5" t="s">
        <v>238</v>
      </c>
      <c r="EO3512" s="5" t="s">
        <v>238</v>
      </c>
      <c r="EP3512" s="5" t="s">
        <v>238</v>
      </c>
      <c r="EQ3512" s="5" t="s">
        <v>238</v>
      </c>
      <c r="ER3512" s="5" t="s">
        <v>238</v>
      </c>
      <c r="ES3512" s="5" t="s">
        <v>238</v>
      </c>
      <c r="ET3512" s="5" t="s">
        <v>238</v>
      </c>
      <c r="EU3512" s="5" t="s">
        <v>238</v>
      </c>
      <c r="EV3512" s="5" t="s">
        <v>238</v>
      </c>
      <c r="EW3512" s="5" t="s">
        <v>238</v>
      </c>
      <c r="EX3512" s="5" t="s">
        <v>238</v>
      </c>
      <c r="EY3512" s="5" t="s">
        <v>238</v>
      </c>
      <c r="EZ3512" s="5" t="s">
        <v>238</v>
      </c>
      <c r="FA3512" s="5" t="s">
        <v>238</v>
      </c>
      <c r="FB3512" s="5" t="s">
        <v>238</v>
      </c>
      <c r="FC3512" s="5" t="s">
        <v>238</v>
      </c>
      <c r="FD3512" s="5" t="s">
        <v>238</v>
      </c>
      <c r="FE3512" s="5" t="s">
        <v>238</v>
      </c>
      <c r="FF3512" s="5" t="s">
        <v>238</v>
      </c>
      <c r="FG3512" s="5" t="s">
        <v>238</v>
      </c>
      <c r="FH3512" s="5" t="s">
        <v>238</v>
      </c>
      <c r="FI3512" s="5" t="s">
        <v>238</v>
      </c>
      <c r="FJ3512" s="5" t="s">
        <v>238</v>
      </c>
      <c r="FK3512" s="5" t="s">
        <v>238</v>
      </c>
      <c r="FL3512" s="5" t="s">
        <v>238</v>
      </c>
      <c r="FM3512" s="5" t="s">
        <v>238</v>
      </c>
      <c r="FN3512" s="5" t="s">
        <v>238</v>
      </c>
      <c r="FO3512" s="5" t="s">
        <v>238</v>
      </c>
      <c r="FP3512" s="5" t="s">
        <v>238</v>
      </c>
      <c r="FQ3512" s="5" t="s">
        <v>238</v>
      </c>
      <c r="FR3512" s="5" t="s">
        <v>238</v>
      </c>
      <c r="FS3512" s="5" t="s">
        <v>238</v>
      </c>
      <c r="FT3512" s="5" t="s">
        <v>238</v>
      </c>
      <c r="FU3512" s="5" t="s">
        <v>238</v>
      </c>
      <c r="FV3512" s="5" t="s">
        <v>238</v>
      </c>
      <c r="FW3512" s="5" t="s">
        <v>238</v>
      </c>
      <c r="FX3512" s="5" t="s">
        <v>238</v>
      </c>
      <c r="FY3512" s="5" t="s">
        <v>238</v>
      </c>
      <c r="FZ3512" s="5" t="s">
        <v>238</v>
      </c>
      <c r="GA3512" s="5" t="s">
        <v>238</v>
      </c>
      <c r="GB3512" s="5" t="s">
        <v>238</v>
      </c>
      <c r="GC3512" s="5" t="s">
        <v>238</v>
      </c>
      <c r="GD3512" s="5" t="s">
        <v>238</v>
      </c>
      <c r="GE3512" s="5" t="s">
        <v>238</v>
      </c>
      <c r="GF3512" s="5" t="s">
        <v>238</v>
      </c>
      <c r="GG3512" s="5" t="s">
        <v>238</v>
      </c>
      <c r="GH3512" s="5" t="s">
        <v>238</v>
      </c>
      <c r="GI3512" s="5" t="s">
        <v>238</v>
      </c>
      <c r="GJ3512" s="5" t="s">
        <v>238</v>
      </c>
      <c r="GK3512" s="5" t="s">
        <v>238</v>
      </c>
      <c r="GL3512" s="5" t="s">
        <v>238</v>
      </c>
      <c r="GM3512" s="5" t="s">
        <v>238</v>
      </c>
      <c r="GN3512" s="5" t="s">
        <v>238</v>
      </c>
      <c r="GO3512" s="5" t="s">
        <v>238</v>
      </c>
      <c r="GP3512" s="5" t="s">
        <v>238</v>
      </c>
      <c r="GQ3512" s="5" t="s">
        <v>238</v>
      </c>
      <c r="GR3512" s="5" t="s">
        <v>238</v>
      </c>
      <c r="GS3512" s="5" t="s">
        <v>238</v>
      </c>
      <c r="GT3512" s="5" t="s">
        <v>238</v>
      </c>
      <c r="GU3512" s="5" t="s">
        <v>238</v>
      </c>
      <c r="GV3512" s="5" t="s">
        <v>238</v>
      </c>
      <c r="GW3512" s="5" t="s">
        <v>238</v>
      </c>
      <c r="GX3512" s="5" t="s">
        <v>238</v>
      </c>
      <c r="GY3512" s="5" t="s">
        <v>238</v>
      </c>
      <c r="GZ3512" s="5" t="s">
        <v>238</v>
      </c>
      <c r="HA3512" s="5" t="s">
        <v>238</v>
      </c>
      <c r="HB3512" s="5" t="s">
        <v>238</v>
      </c>
      <c r="HC3512" s="5" t="s">
        <v>238</v>
      </c>
      <c r="HD3512" s="5" t="s">
        <v>238</v>
      </c>
      <c r="HE3512" s="5" t="s">
        <v>238</v>
      </c>
      <c r="HF3512" s="5" t="s">
        <v>238</v>
      </c>
      <c r="HG3512" s="5" t="s">
        <v>238</v>
      </c>
      <c r="HH3512" s="5" t="s">
        <v>238</v>
      </c>
      <c r="HI3512" s="5" t="s">
        <v>238</v>
      </c>
      <c r="HJ3512" s="5" t="s">
        <v>238</v>
      </c>
      <c r="HK3512" s="5" t="s">
        <v>238</v>
      </c>
      <c r="HL3512" s="5" t="s">
        <v>238</v>
      </c>
      <c r="HM3512" s="5" t="s">
        <v>264</v>
      </c>
      <c r="HN3512" s="5" t="s">
        <v>238</v>
      </c>
      <c r="HO3512" s="5" t="s">
        <v>238</v>
      </c>
      <c r="HP3512" s="5" t="s">
        <v>238</v>
      </c>
      <c r="HQ3512" s="5" t="s">
        <v>238</v>
      </c>
      <c r="HR3512" s="5" t="s">
        <v>238</v>
      </c>
      <c r="HS3512" s="5" t="s">
        <v>238</v>
      </c>
      <c r="HT3512" s="5" t="s">
        <v>238</v>
      </c>
      <c r="HU3512" s="5" t="s">
        <v>238</v>
      </c>
      <c r="HV3512" s="5" t="s">
        <v>238</v>
      </c>
      <c r="HW3512" s="5" t="s">
        <v>238</v>
      </c>
      <c r="HX3512" s="5" t="s">
        <v>238</v>
      </c>
      <c r="HY3512" s="5" t="s">
        <v>238</v>
      </c>
      <c r="HZ3512" s="5" t="s">
        <v>238</v>
      </c>
      <c r="IA3512" s="5" t="s">
        <v>238</v>
      </c>
      <c r="IB3512" s="5" t="s">
        <v>238</v>
      </c>
      <c r="IC3512" s="5" t="s">
        <v>238</v>
      </c>
      <c r="ID3512" s="5" t="s">
        <v>238</v>
      </c>
    </row>
    <row r="3513" spans="1:238" x14ac:dyDescent="0.4">
      <c r="A3513" s="5">
        <v>9231</v>
      </c>
      <c r="B3513" s="5">
        <v>1</v>
      </c>
      <c r="C3513" s="5">
        <v>1</v>
      </c>
      <c r="D3513" s="5" t="s">
        <v>484</v>
      </c>
      <c r="E3513" s="5" t="s">
        <v>485</v>
      </c>
      <c r="F3513" s="5" t="s">
        <v>248</v>
      </c>
      <c r="G3513" s="5" t="s">
        <v>4877</v>
      </c>
      <c r="H3513" s="6" t="s">
        <v>4878</v>
      </c>
      <c r="I3513" s="8">
        <f>1</f>
        <v>1</v>
      </c>
      <c r="J3513" s="5" t="s">
        <v>499</v>
      </c>
      <c r="K3513" s="8">
        <f>1</f>
        <v>1</v>
      </c>
      <c r="L3513" s="6" t="s">
        <v>242</v>
      </c>
      <c r="M3513" s="5" t="s">
        <v>267</v>
      </c>
      <c r="N3513" s="5" t="s">
        <v>482</v>
      </c>
      <c r="O3513" s="5" t="s">
        <v>238</v>
      </c>
      <c r="P3513" s="5" t="s">
        <v>238</v>
      </c>
      <c r="Q3513" s="5" t="s">
        <v>239</v>
      </c>
      <c r="R3513" s="5" t="s">
        <v>270</v>
      </c>
      <c r="S3513" s="5" t="s">
        <v>238</v>
      </c>
      <c r="T3513" s="5" t="s">
        <v>238</v>
      </c>
      <c r="U3513" s="5" t="s">
        <v>238</v>
      </c>
      <c r="V3513" s="5" t="s">
        <v>238</v>
      </c>
      <c r="W3513" s="6" t="s">
        <v>238</v>
      </c>
      <c r="X3513" s="6" t="s">
        <v>238</v>
      </c>
      <c r="Y3513" s="5" t="s">
        <v>238</v>
      </c>
      <c r="Z3513" s="6" t="s">
        <v>238</v>
      </c>
      <c r="AA3513" s="6" t="s">
        <v>243</v>
      </c>
      <c r="AB3513" s="5" t="s">
        <v>486</v>
      </c>
      <c r="AC3513" s="5" t="s">
        <v>244</v>
      </c>
      <c r="AD3513" s="5" t="s">
        <v>245</v>
      </c>
      <c r="AE3513" s="5" t="s">
        <v>238</v>
      </c>
      <c r="AF3513" s="5" t="s">
        <v>238</v>
      </c>
      <c r="AG3513" s="5" t="s">
        <v>238</v>
      </c>
      <c r="AH3513" s="5" t="s">
        <v>238</v>
      </c>
      <c r="AI3513" s="5" t="s">
        <v>238</v>
      </c>
      <c r="AJ3513" s="5" t="s">
        <v>238</v>
      </c>
      <c r="AK3513" s="5" t="s">
        <v>238</v>
      </c>
      <c r="AL3513" s="5" t="s">
        <v>238</v>
      </c>
      <c r="AM3513" s="6" t="s">
        <v>238</v>
      </c>
      <c r="AN3513" s="6" t="s">
        <v>238</v>
      </c>
      <c r="AO3513" s="6" t="s">
        <v>238</v>
      </c>
      <c r="AP3513" s="6" t="s">
        <v>238</v>
      </c>
      <c r="AQ3513" s="5" t="s">
        <v>238</v>
      </c>
      <c r="AR3513" s="5" t="s">
        <v>488</v>
      </c>
      <c r="AS3513" s="5" t="s">
        <v>488</v>
      </c>
      <c r="AT3513" s="5" t="s">
        <v>246</v>
      </c>
      <c r="AU3513" s="5" t="s">
        <v>489</v>
      </c>
      <c r="AV3513" s="5" t="s">
        <v>247</v>
      </c>
      <c r="AW3513" s="5" t="s">
        <v>238</v>
      </c>
      <c r="AX3513" s="5" t="s">
        <v>249</v>
      </c>
      <c r="AY3513" s="5" t="s">
        <v>490</v>
      </c>
      <c r="BA3513" s="5" t="s">
        <v>238</v>
      </c>
      <c r="BC3513" s="5" t="s">
        <v>491</v>
      </c>
      <c r="BD3513" s="6" t="s">
        <v>492</v>
      </c>
      <c r="BE3513" s="5" t="s">
        <v>493</v>
      </c>
      <c r="BF3513" s="5" t="s">
        <v>493</v>
      </c>
      <c r="BG3513" s="5" t="s">
        <v>238</v>
      </c>
      <c r="BH3513" s="8">
        <f>1</f>
        <v>1</v>
      </c>
      <c r="BI3513" s="8">
        <f>1</f>
        <v>1</v>
      </c>
      <c r="BJ3513" s="5" t="s">
        <v>253</v>
      </c>
      <c r="BK3513" s="5" t="s">
        <v>254</v>
      </c>
      <c r="BL3513" s="5" t="s">
        <v>238</v>
      </c>
      <c r="BM3513" s="5" t="s">
        <v>238</v>
      </c>
      <c r="BN3513" s="5" t="s">
        <v>238</v>
      </c>
      <c r="BO3513" s="5" t="s">
        <v>238</v>
      </c>
      <c r="BP3513" s="5" t="s">
        <v>238</v>
      </c>
      <c r="BQ3513" s="5" t="s">
        <v>238</v>
      </c>
      <c r="BR3513" s="5" t="s">
        <v>238</v>
      </c>
      <c r="BS3513" s="5" t="s">
        <v>238</v>
      </c>
      <c r="BT3513" s="6" t="s">
        <v>238</v>
      </c>
      <c r="BU3513" s="5" t="s">
        <v>238</v>
      </c>
      <c r="BV3513" s="5" t="s">
        <v>238</v>
      </c>
      <c r="BW3513" s="5" t="s">
        <v>238</v>
      </c>
      <c r="BX3513" s="5" t="s">
        <v>254</v>
      </c>
      <c r="BY3513" s="5" t="s">
        <v>238</v>
      </c>
      <c r="BZ3513" s="5" t="s">
        <v>238</v>
      </c>
      <c r="CA3513" s="5" t="s">
        <v>238</v>
      </c>
      <c r="CB3513" s="5" t="s">
        <v>238</v>
      </c>
      <c r="CC3513" s="5" t="s">
        <v>238</v>
      </c>
      <c r="CD3513" s="5" t="s">
        <v>273</v>
      </c>
      <c r="CE3513" s="5" t="s">
        <v>256</v>
      </c>
      <c r="CF3513" s="5" t="s">
        <v>238</v>
      </c>
      <c r="CH3513" s="5" t="s">
        <v>494</v>
      </c>
      <c r="CI3513" s="6" t="s">
        <v>257</v>
      </c>
      <c r="CJ3513" s="5" t="s">
        <v>495</v>
      </c>
      <c r="CK3513" s="5" t="s">
        <v>258</v>
      </c>
      <c r="CL3513" s="5" t="s">
        <v>496</v>
      </c>
      <c r="CM3513" s="5" t="s">
        <v>238</v>
      </c>
      <c r="CN3513" s="5">
        <v>0</v>
      </c>
      <c r="CO3513" s="5" t="s">
        <v>497</v>
      </c>
      <c r="CP3513" s="5" t="s">
        <v>260</v>
      </c>
      <c r="CQ3513" s="5" t="s">
        <v>260</v>
      </c>
      <c r="CR3513" s="5" t="s">
        <v>261</v>
      </c>
      <c r="CS3513" s="5" t="s">
        <v>498</v>
      </c>
      <c r="CT3513" s="7">
        <f>1</f>
        <v>1</v>
      </c>
      <c r="CU3513" s="8">
        <f>1</f>
        <v>1</v>
      </c>
      <c r="CV3513" s="8">
        <f>0</f>
        <v>0</v>
      </c>
      <c r="CX3513" s="8">
        <f>1</f>
        <v>1</v>
      </c>
      <c r="CY3513" s="8">
        <f>1</f>
        <v>1</v>
      </c>
      <c r="CZ3513" s="8" t="s">
        <v>238</v>
      </c>
      <c r="DA3513" s="5" t="s">
        <v>238</v>
      </c>
      <c r="DB3513" s="5" t="s">
        <v>238</v>
      </c>
      <c r="DC3513" s="5" t="s">
        <v>238</v>
      </c>
      <c r="DD3513" s="5" t="s">
        <v>238</v>
      </c>
      <c r="DE3513" s="8">
        <f>0</f>
        <v>0</v>
      </c>
      <c r="DG3513" s="5" t="s">
        <v>238</v>
      </c>
      <c r="DH3513" s="5" t="s">
        <v>238</v>
      </c>
      <c r="DI3513" s="5" t="s">
        <v>238</v>
      </c>
      <c r="DJ3513" s="5" t="s">
        <v>238</v>
      </c>
      <c r="DK3513" s="5" t="s">
        <v>238</v>
      </c>
      <c r="DL3513" s="5" t="s">
        <v>238</v>
      </c>
      <c r="DM3513" s="8" t="s">
        <v>238</v>
      </c>
      <c r="DN3513" s="5" t="s">
        <v>238</v>
      </c>
      <c r="DO3513" s="5" t="s">
        <v>238</v>
      </c>
      <c r="DP3513" s="5" t="s">
        <v>490</v>
      </c>
      <c r="DQ3513" s="5" t="s">
        <v>490</v>
      </c>
      <c r="DR3513" s="5" t="s">
        <v>238</v>
      </c>
      <c r="DS3513" s="5" t="s">
        <v>238</v>
      </c>
      <c r="DT3513" s="5" t="s">
        <v>500</v>
      </c>
      <c r="DU3513" s="5" t="s">
        <v>580</v>
      </c>
      <c r="DV3513" s="5" t="s">
        <v>238</v>
      </c>
      <c r="DW3513" s="5" t="s">
        <v>238</v>
      </c>
      <c r="DX3513" s="5" t="s">
        <v>238</v>
      </c>
      <c r="DY3513" s="5" t="s">
        <v>238</v>
      </c>
      <c r="DZ3513" s="5" t="s">
        <v>238</v>
      </c>
      <c r="EA3513" s="5" t="s">
        <v>238</v>
      </c>
      <c r="EB3513" s="5" t="s">
        <v>238</v>
      </c>
      <c r="EC3513" s="5" t="s">
        <v>238</v>
      </c>
      <c r="ED3513" s="5" t="s">
        <v>238</v>
      </c>
      <c r="EE3513" s="5" t="s">
        <v>238</v>
      </c>
      <c r="EF3513" s="5" t="s">
        <v>238</v>
      </c>
      <c r="EG3513" s="5" t="s">
        <v>238</v>
      </c>
      <c r="EH3513" s="5" t="s">
        <v>238</v>
      </c>
      <c r="EI3513" s="5" t="s">
        <v>238</v>
      </c>
      <c r="EJ3513" s="5" t="s">
        <v>238</v>
      </c>
      <c r="EK3513" s="5" t="s">
        <v>238</v>
      </c>
      <c r="EL3513" s="5" t="s">
        <v>238</v>
      </c>
      <c r="EM3513" s="5" t="s">
        <v>238</v>
      </c>
      <c r="EN3513" s="5" t="s">
        <v>238</v>
      </c>
      <c r="EO3513" s="5" t="s">
        <v>238</v>
      </c>
      <c r="EP3513" s="5" t="s">
        <v>238</v>
      </c>
      <c r="EQ3513" s="5" t="s">
        <v>238</v>
      </c>
      <c r="ER3513" s="5" t="s">
        <v>238</v>
      </c>
      <c r="ES3513" s="5" t="s">
        <v>238</v>
      </c>
      <c r="ET3513" s="5" t="s">
        <v>238</v>
      </c>
      <c r="EU3513" s="5" t="s">
        <v>238</v>
      </c>
      <c r="EV3513" s="5" t="s">
        <v>238</v>
      </c>
      <c r="EW3513" s="5" t="s">
        <v>238</v>
      </c>
      <c r="EX3513" s="5" t="s">
        <v>238</v>
      </c>
      <c r="EY3513" s="5" t="s">
        <v>238</v>
      </c>
      <c r="EZ3513" s="5" t="s">
        <v>238</v>
      </c>
      <c r="FA3513" s="5" t="s">
        <v>238</v>
      </c>
      <c r="FB3513" s="5" t="s">
        <v>238</v>
      </c>
      <c r="FC3513" s="5" t="s">
        <v>238</v>
      </c>
      <c r="FD3513" s="5" t="s">
        <v>238</v>
      </c>
      <c r="FE3513" s="5" t="s">
        <v>238</v>
      </c>
      <c r="FF3513" s="5" t="s">
        <v>238</v>
      </c>
      <c r="FG3513" s="5" t="s">
        <v>238</v>
      </c>
      <c r="FH3513" s="5" t="s">
        <v>238</v>
      </c>
      <c r="FI3513" s="5" t="s">
        <v>238</v>
      </c>
      <c r="FJ3513" s="5" t="s">
        <v>238</v>
      </c>
      <c r="FK3513" s="5" t="s">
        <v>238</v>
      </c>
      <c r="FL3513" s="5" t="s">
        <v>238</v>
      </c>
      <c r="FM3513" s="5" t="s">
        <v>238</v>
      </c>
      <c r="FN3513" s="5" t="s">
        <v>238</v>
      </c>
      <c r="FO3513" s="5" t="s">
        <v>238</v>
      </c>
      <c r="FP3513" s="5" t="s">
        <v>238</v>
      </c>
      <c r="FQ3513" s="5" t="s">
        <v>238</v>
      </c>
      <c r="FR3513" s="5" t="s">
        <v>238</v>
      </c>
      <c r="FS3513" s="5" t="s">
        <v>238</v>
      </c>
      <c r="FT3513" s="5" t="s">
        <v>238</v>
      </c>
      <c r="FU3513" s="5" t="s">
        <v>238</v>
      </c>
      <c r="FV3513" s="5" t="s">
        <v>238</v>
      </c>
      <c r="FW3513" s="5" t="s">
        <v>238</v>
      </c>
      <c r="FX3513" s="5" t="s">
        <v>238</v>
      </c>
      <c r="FY3513" s="5" t="s">
        <v>238</v>
      </c>
      <c r="FZ3513" s="5" t="s">
        <v>238</v>
      </c>
      <c r="GA3513" s="5" t="s">
        <v>238</v>
      </c>
      <c r="GB3513" s="5" t="s">
        <v>238</v>
      </c>
      <c r="GC3513" s="5" t="s">
        <v>238</v>
      </c>
      <c r="GD3513" s="5" t="s">
        <v>238</v>
      </c>
      <c r="GE3513" s="5" t="s">
        <v>238</v>
      </c>
      <c r="GF3513" s="5" t="s">
        <v>238</v>
      </c>
      <c r="GG3513" s="5" t="s">
        <v>238</v>
      </c>
      <c r="GH3513" s="5" t="s">
        <v>238</v>
      </c>
      <c r="GI3513" s="5" t="s">
        <v>238</v>
      </c>
      <c r="GJ3513" s="5" t="s">
        <v>238</v>
      </c>
      <c r="GK3513" s="5" t="s">
        <v>238</v>
      </c>
      <c r="GL3513" s="5" t="s">
        <v>238</v>
      </c>
      <c r="GM3513" s="5" t="s">
        <v>238</v>
      </c>
      <c r="GN3513" s="5" t="s">
        <v>238</v>
      </c>
      <c r="GO3513" s="5" t="s">
        <v>238</v>
      </c>
      <c r="GP3513" s="5" t="s">
        <v>238</v>
      </c>
      <c r="GQ3513" s="5" t="s">
        <v>238</v>
      </c>
      <c r="GR3513" s="5" t="s">
        <v>238</v>
      </c>
      <c r="GS3513" s="5" t="s">
        <v>238</v>
      </c>
      <c r="GT3513" s="5" t="s">
        <v>238</v>
      </c>
      <c r="GU3513" s="5" t="s">
        <v>238</v>
      </c>
      <c r="GV3513" s="5" t="s">
        <v>238</v>
      </c>
      <c r="GW3513" s="5" t="s">
        <v>238</v>
      </c>
      <c r="GX3513" s="5" t="s">
        <v>238</v>
      </c>
      <c r="GY3513" s="5" t="s">
        <v>238</v>
      </c>
      <c r="GZ3513" s="5" t="s">
        <v>238</v>
      </c>
      <c r="HA3513" s="5" t="s">
        <v>238</v>
      </c>
      <c r="HB3513" s="5" t="s">
        <v>238</v>
      </c>
      <c r="HC3513" s="5" t="s">
        <v>238</v>
      </c>
      <c r="HD3513" s="5" t="s">
        <v>238</v>
      </c>
      <c r="HE3513" s="5" t="s">
        <v>238</v>
      </c>
      <c r="HF3513" s="5" t="s">
        <v>238</v>
      </c>
      <c r="HG3513" s="5" t="s">
        <v>238</v>
      </c>
      <c r="HH3513" s="5" t="s">
        <v>238</v>
      </c>
      <c r="HI3513" s="5" t="s">
        <v>238</v>
      </c>
      <c r="HJ3513" s="5" t="s">
        <v>238</v>
      </c>
      <c r="HK3513" s="5" t="s">
        <v>238</v>
      </c>
      <c r="HL3513" s="5" t="s">
        <v>238</v>
      </c>
      <c r="HM3513" s="5" t="s">
        <v>264</v>
      </c>
      <c r="HN3513" s="5" t="s">
        <v>238</v>
      </c>
      <c r="HO3513" s="5" t="s">
        <v>238</v>
      </c>
      <c r="HP3513" s="5" t="s">
        <v>238</v>
      </c>
      <c r="HQ3513" s="5" t="s">
        <v>238</v>
      </c>
      <c r="HR3513" s="5" t="s">
        <v>238</v>
      </c>
      <c r="HS3513" s="5" t="s">
        <v>238</v>
      </c>
      <c r="HT3513" s="5" t="s">
        <v>238</v>
      </c>
      <c r="HU3513" s="5" t="s">
        <v>238</v>
      </c>
      <c r="HV3513" s="5" t="s">
        <v>238</v>
      </c>
      <c r="HW3513" s="5" t="s">
        <v>238</v>
      </c>
      <c r="HX3513" s="5" t="s">
        <v>238</v>
      </c>
      <c r="HY3513" s="5" t="s">
        <v>238</v>
      </c>
      <c r="HZ3513" s="5" t="s">
        <v>238</v>
      </c>
      <c r="IA3513" s="5" t="s">
        <v>238</v>
      </c>
      <c r="IB3513" s="5" t="s">
        <v>238</v>
      </c>
      <c r="IC3513" s="5" t="s">
        <v>238</v>
      </c>
      <c r="ID3513" s="5" t="s">
        <v>238</v>
      </c>
    </row>
    <row r="3514" spans="1:238" x14ac:dyDescent="0.4">
      <c r="A3514" s="5">
        <v>9232</v>
      </c>
      <c r="B3514" s="5">
        <v>1</v>
      </c>
      <c r="C3514" s="5">
        <v>1</v>
      </c>
      <c r="D3514" s="5" t="s">
        <v>484</v>
      </c>
      <c r="E3514" s="5" t="s">
        <v>485</v>
      </c>
      <c r="F3514" s="5" t="s">
        <v>248</v>
      </c>
      <c r="G3514" s="5" t="s">
        <v>5053</v>
      </c>
      <c r="H3514" s="6" t="s">
        <v>5054</v>
      </c>
      <c r="I3514" s="8">
        <f>1</f>
        <v>1</v>
      </c>
      <c r="J3514" s="5" t="s">
        <v>499</v>
      </c>
      <c r="K3514" s="8">
        <f>1</f>
        <v>1</v>
      </c>
      <c r="L3514" s="6" t="s">
        <v>242</v>
      </c>
      <c r="M3514" s="5" t="s">
        <v>267</v>
      </c>
      <c r="N3514" s="5" t="s">
        <v>482</v>
      </c>
      <c r="O3514" s="5" t="s">
        <v>238</v>
      </c>
      <c r="P3514" s="5" t="s">
        <v>238</v>
      </c>
      <c r="Q3514" s="5" t="s">
        <v>239</v>
      </c>
      <c r="R3514" s="5" t="s">
        <v>270</v>
      </c>
      <c r="S3514" s="5" t="s">
        <v>238</v>
      </c>
      <c r="T3514" s="5" t="s">
        <v>238</v>
      </c>
      <c r="U3514" s="5" t="s">
        <v>238</v>
      </c>
      <c r="V3514" s="5" t="s">
        <v>238</v>
      </c>
      <c r="W3514" s="6" t="s">
        <v>238</v>
      </c>
      <c r="X3514" s="6" t="s">
        <v>238</v>
      </c>
      <c r="Y3514" s="5" t="s">
        <v>238</v>
      </c>
      <c r="Z3514" s="6" t="s">
        <v>238</v>
      </c>
      <c r="AA3514" s="6" t="s">
        <v>243</v>
      </c>
      <c r="AB3514" s="5" t="s">
        <v>486</v>
      </c>
      <c r="AC3514" s="5" t="s">
        <v>244</v>
      </c>
      <c r="AD3514" s="5" t="s">
        <v>245</v>
      </c>
      <c r="AE3514" s="5" t="s">
        <v>238</v>
      </c>
      <c r="AF3514" s="5" t="s">
        <v>238</v>
      </c>
      <c r="AG3514" s="5" t="s">
        <v>238</v>
      </c>
      <c r="AH3514" s="5" t="s">
        <v>238</v>
      </c>
      <c r="AI3514" s="5" t="s">
        <v>238</v>
      </c>
      <c r="AJ3514" s="5" t="s">
        <v>238</v>
      </c>
      <c r="AK3514" s="5" t="s">
        <v>238</v>
      </c>
      <c r="AL3514" s="5" t="s">
        <v>238</v>
      </c>
      <c r="AM3514" s="6" t="s">
        <v>238</v>
      </c>
      <c r="AN3514" s="6" t="s">
        <v>238</v>
      </c>
      <c r="AO3514" s="6" t="s">
        <v>238</v>
      </c>
      <c r="AP3514" s="6" t="s">
        <v>238</v>
      </c>
      <c r="AQ3514" s="5" t="s">
        <v>238</v>
      </c>
      <c r="AR3514" s="5" t="s">
        <v>488</v>
      </c>
      <c r="AS3514" s="5" t="s">
        <v>488</v>
      </c>
      <c r="AT3514" s="5" t="s">
        <v>246</v>
      </c>
      <c r="AU3514" s="5" t="s">
        <v>489</v>
      </c>
      <c r="AV3514" s="5" t="s">
        <v>247</v>
      </c>
      <c r="AW3514" s="5" t="s">
        <v>238</v>
      </c>
      <c r="AX3514" s="5" t="s">
        <v>249</v>
      </c>
      <c r="AY3514" s="5" t="s">
        <v>490</v>
      </c>
      <c r="BA3514" s="5" t="s">
        <v>238</v>
      </c>
      <c r="BC3514" s="5" t="s">
        <v>491</v>
      </c>
      <c r="BD3514" s="6" t="s">
        <v>492</v>
      </c>
      <c r="BE3514" s="5" t="s">
        <v>493</v>
      </c>
      <c r="BF3514" s="5" t="s">
        <v>493</v>
      </c>
      <c r="BG3514" s="5" t="s">
        <v>238</v>
      </c>
      <c r="BH3514" s="8">
        <f>1</f>
        <v>1</v>
      </c>
      <c r="BI3514" s="8">
        <f>1</f>
        <v>1</v>
      </c>
      <c r="BJ3514" s="5" t="s">
        <v>253</v>
      </c>
      <c r="BK3514" s="5" t="s">
        <v>254</v>
      </c>
      <c r="BL3514" s="5" t="s">
        <v>238</v>
      </c>
      <c r="BM3514" s="5" t="s">
        <v>238</v>
      </c>
      <c r="BN3514" s="5" t="s">
        <v>238</v>
      </c>
      <c r="BO3514" s="5" t="s">
        <v>238</v>
      </c>
      <c r="BP3514" s="5" t="s">
        <v>238</v>
      </c>
      <c r="BQ3514" s="5" t="s">
        <v>238</v>
      </c>
      <c r="BR3514" s="5" t="s">
        <v>238</v>
      </c>
      <c r="BS3514" s="5" t="s">
        <v>238</v>
      </c>
      <c r="BT3514" s="6" t="s">
        <v>238</v>
      </c>
      <c r="BU3514" s="5" t="s">
        <v>238</v>
      </c>
      <c r="BV3514" s="5" t="s">
        <v>238</v>
      </c>
      <c r="BW3514" s="5" t="s">
        <v>238</v>
      </c>
      <c r="BX3514" s="5" t="s">
        <v>254</v>
      </c>
      <c r="BY3514" s="5" t="s">
        <v>238</v>
      </c>
      <c r="BZ3514" s="5" t="s">
        <v>238</v>
      </c>
      <c r="CA3514" s="5" t="s">
        <v>238</v>
      </c>
      <c r="CB3514" s="5" t="s">
        <v>238</v>
      </c>
      <c r="CC3514" s="5" t="s">
        <v>238</v>
      </c>
      <c r="CD3514" s="5" t="s">
        <v>273</v>
      </c>
      <c r="CE3514" s="5" t="s">
        <v>256</v>
      </c>
      <c r="CF3514" s="5" t="s">
        <v>238</v>
      </c>
      <c r="CH3514" s="5" t="s">
        <v>494</v>
      </c>
      <c r="CI3514" s="6" t="s">
        <v>257</v>
      </c>
      <c r="CJ3514" s="5" t="s">
        <v>495</v>
      </c>
      <c r="CK3514" s="5" t="s">
        <v>258</v>
      </c>
      <c r="CL3514" s="5" t="s">
        <v>496</v>
      </c>
      <c r="CM3514" s="5" t="s">
        <v>238</v>
      </c>
      <c r="CN3514" s="5">
        <v>0</v>
      </c>
      <c r="CO3514" s="5" t="s">
        <v>497</v>
      </c>
      <c r="CP3514" s="5" t="s">
        <v>260</v>
      </c>
      <c r="CQ3514" s="5" t="s">
        <v>260</v>
      </c>
      <c r="CR3514" s="5" t="s">
        <v>261</v>
      </c>
      <c r="CS3514" s="5" t="s">
        <v>498</v>
      </c>
      <c r="CT3514" s="7">
        <f>1</f>
        <v>1</v>
      </c>
      <c r="CU3514" s="8">
        <f>1</f>
        <v>1</v>
      </c>
      <c r="CV3514" s="8">
        <f>0</f>
        <v>0</v>
      </c>
      <c r="CX3514" s="8">
        <f>1</f>
        <v>1</v>
      </c>
      <c r="CY3514" s="8">
        <f>1</f>
        <v>1</v>
      </c>
      <c r="CZ3514" s="8" t="s">
        <v>238</v>
      </c>
      <c r="DA3514" s="5" t="s">
        <v>238</v>
      </c>
      <c r="DB3514" s="5" t="s">
        <v>238</v>
      </c>
      <c r="DC3514" s="5" t="s">
        <v>238</v>
      </c>
      <c r="DD3514" s="5" t="s">
        <v>238</v>
      </c>
      <c r="DE3514" s="8">
        <f>0</f>
        <v>0</v>
      </c>
      <c r="DG3514" s="5" t="s">
        <v>238</v>
      </c>
      <c r="DH3514" s="5" t="s">
        <v>238</v>
      </c>
      <c r="DI3514" s="5" t="s">
        <v>238</v>
      </c>
      <c r="DJ3514" s="5" t="s">
        <v>238</v>
      </c>
      <c r="DK3514" s="5" t="s">
        <v>238</v>
      </c>
      <c r="DL3514" s="5" t="s">
        <v>238</v>
      </c>
      <c r="DM3514" s="8" t="s">
        <v>238</v>
      </c>
      <c r="DN3514" s="5" t="s">
        <v>238</v>
      </c>
      <c r="DO3514" s="5" t="s">
        <v>238</v>
      </c>
      <c r="DP3514" s="5" t="s">
        <v>490</v>
      </c>
      <c r="DQ3514" s="5" t="s">
        <v>490</v>
      </c>
      <c r="DR3514" s="5" t="s">
        <v>238</v>
      </c>
      <c r="DS3514" s="5" t="s">
        <v>238</v>
      </c>
      <c r="DT3514" s="5" t="s">
        <v>500</v>
      </c>
      <c r="DU3514" s="5" t="s">
        <v>592</v>
      </c>
      <c r="DV3514" s="5" t="s">
        <v>238</v>
      </c>
      <c r="DW3514" s="5" t="s">
        <v>238</v>
      </c>
      <c r="DX3514" s="5" t="s">
        <v>238</v>
      </c>
      <c r="DY3514" s="5" t="s">
        <v>238</v>
      </c>
      <c r="DZ3514" s="5" t="s">
        <v>238</v>
      </c>
      <c r="EA3514" s="5" t="s">
        <v>238</v>
      </c>
      <c r="EB3514" s="5" t="s">
        <v>238</v>
      </c>
      <c r="EC3514" s="5" t="s">
        <v>238</v>
      </c>
      <c r="ED3514" s="5" t="s">
        <v>238</v>
      </c>
      <c r="EE3514" s="5" t="s">
        <v>238</v>
      </c>
      <c r="EF3514" s="5" t="s">
        <v>238</v>
      </c>
      <c r="EG3514" s="5" t="s">
        <v>238</v>
      </c>
      <c r="EH3514" s="5" t="s">
        <v>238</v>
      </c>
      <c r="EI3514" s="5" t="s">
        <v>238</v>
      </c>
      <c r="EJ3514" s="5" t="s">
        <v>238</v>
      </c>
      <c r="EK3514" s="5" t="s">
        <v>238</v>
      </c>
      <c r="EL3514" s="5" t="s">
        <v>238</v>
      </c>
      <c r="EM3514" s="5" t="s">
        <v>238</v>
      </c>
      <c r="EN3514" s="5" t="s">
        <v>238</v>
      </c>
      <c r="EO3514" s="5" t="s">
        <v>238</v>
      </c>
      <c r="EP3514" s="5" t="s">
        <v>238</v>
      </c>
      <c r="EQ3514" s="5" t="s">
        <v>238</v>
      </c>
      <c r="ER3514" s="5" t="s">
        <v>238</v>
      </c>
      <c r="ES3514" s="5" t="s">
        <v>238</v>
      </c>
      <c r="ET3514" s="5" t="s">
        <v>238</v>
      </c>
      <c r="EU3514" s="5" t="s">
        <v>238</v>
      </c>
      <c r="EV3514" s="5" t="s">
        <v>238</v>
      </c>
      <c r="EW3514" s="5" t="s">
        <v>238</v>
      </c>
      <c r="EX3514" s="5" t="s">
        <v>238</v>
      </c>
      <c r="EY3514" s="5" t="s">
        <v>238</v>
      </c>
      <c r="EZ3514" s="5" t="s">
        <v>238</v>
      </c>
      <c r="FA3514" s="5" t="s">
        <v>238</v>
      </c>
      <c r="FB3514" s="5" t="s">
        <v>238</v>
      </c>
      <c r="FC3514" s="5" t="s">
        <v>238</v>
      </c>
      <c r="FD3514" s="5" t="s">
        <v>238</v>
      </c>
      <c r="FE3514" s="5" t="s">
        <v>238</v>
      </c>
      <c r="FF3514" s="5" t="s">
        <v>238</v>
      </c>
      <c r="FG3514" s="5" t="s">
        <v>238</v>
      </c>
      <c r="FH3514" s="5" t="s">
        <v>238</v>
      </c>
      <c r="FI3514" s="5" t="s">
        <v>238</v>
      </c>
      <c r="FJ3514" s="5" t="s">
        <v>238</v>
      </c>
      <c r="FK3514" s="5" t="s">
        <v>238</v>
      </c>
      <c r="FL3514" s="5" t="s">
        <v>238</v>
      </c>
      <c r="FM3514" s="5" t="s">
        <v>238</v>
      </c>
      <c r="FN3514" s="5" t="s">
        <v>238</v>
      </c>
      <c r="FO3514" s="5" t="s">
        <v>238</v>
      </c>
      <c r="FP3514" s="5" t="s">
        <v>238</v>
      </c>
      <c r="FQ3514" s="5" t="s">
        <v>238</v>
      </c>
      <c r="FR3514" s="5" t="s">
        <v>238</v>
      </c>
      <c r="FS3514" s="5" t="s">
        <v>238</v>
      </c>
      <c r="FT3514" s="5" t="s">
        <v>238</v>
      </c>
      <c r="FU3514" s="5" t="s">
        <v>238</v>
      </c>
      <c r="FV3514" s="5" t="s">
        <v>238</v>
      </c>
      <c r="FW3514" s="5" t="s">
        <v>238</v>
      </c>
      <c r="FX3514" s="5" t="s">
        <v>238</v>
      </c>
      <c r="FY3514" s="5" t="s">
        <v>238</v>
      </c>
      <c r="FZ3514" s="5" t="s">
        <v>238</v>
      </c>
      <c r="GA3514" s="5" t="s">
        <v>238</v>
      </c>
      <c r="GB3514" s="5" t="s">
        <v>238</v>
      </c>
      <c r="GC3514" s="5" t="s">
        <v>238</v>
      </c>
      <c r="GD3514" s="5" t="s">
        <v>238</v>
      </c>
      <c r="GE3514" s="5" t="s">
        <v>238</v>
      </c>
      <c r="GF3514" s="5" t="s">
        <v>238</v>
      </c>
      <c r="GG3514" s="5" t="s">
        <v>238</v>
      </c>
      <c r="GH3514" s="5" t="s">
        <v>238</v>
      </c>
      <c r="GI3514" s="5" t="s">
        <v>238</v>
      </c>
      <c r="GJ3514" s="5" t="s">
        <v>238</v>
      </c>
      <c r="GK3514" s="5" t="s">
        <v>238</v>
      </c>
      <c r="GL3514" s="5" t="s">
        <v>238</v>
      </c>
      <c r="GM3514" s="5" t="s">
        <v>238</v>
      </c>
      <c r="GN3514" s="5" t="s">
        <v>238</v>
      </c>
      <c r="GO3514" s="5" t="s">
        <v>238</v>
      </c>
      <c r="GP3514" s="5" t="s">
        <v>238</v>
      </c>
      <c r="GQ3514" s="5" t="s">
        <v>238</v>
      </c>
      <c r="GR3514" s="5" t="s">
        <v>238</v>
      </c>
      <c r="GS3514" s="5" t="s">
        <v>238</v>
      </c>
      <c r="GT3514" s="5" t="s">
        <v>238</v>
      </c>
      <c r="GU3514" s="5" t="s">
        <v>238</v>
      </c>
      <c r="GV3514" s="5" t="s">
        <v>238</v>
      </c>
      <c r="GW3514" s="5" t="s">
        <v>238</v>
      </c>
      <c r="GX3514" s="5" t="s">
        <v>238</v>
      </c>
      <c r="GY3514" s="5" t="s">
        <v>238</v>
      </c>
      <c r="GZ3514" s="5" t="s">
        <v>238</v>
      </c>
      <c r="HA3514" s="5" t="s">
        <v>238</v>
      </c>
      <c r="HB3514" s="5" t="s">
        <v>238</v>
      </c>
      <c r="HC3514" s="5" t="s">
        <v>238</v>
      </c>
      <c r="HD3514" s="5" t="s">
        <v>238</v>
      </c>
      <c r="HE3514" s="5" t="s">
        <v>238</v>
      </c>
      <c r="HF3514" s="5" t="s">
        <v>238</v>
      </c>
      <c r="HG3514" s="5" t="s">
        <v>238</v>
      </c>
      <c r="HH3514" s="5" t="s">
        <v>238</v>
      </c>
      <c r="HI3514" s="5" t="s">
        <v>238</v>
      </c>
      <c r="HJ3514" s="5" t="s">
        <v>238</v>
      </c>
      <c r="HK3514" s="5" t="s">
        <v>238</v>
      </c>
      <c r="HL3514" s="5" t="s">
        <v>238</v>
      </c>
      <c r="HM3514" s="5" t="s">
        <v>264</v>
      </c>
      <c r="HN3514" s="5" t="s">
        <v>238</v>
      </c>
      <c r="HO3514" s="5" t="s">
        <v>238</v>
      </c>
      <c r="HP3514" s="5" t="s">
        <v>238</v>
      </c>
      <c r="HQ3514" s="5" t="s">
        <v>238</v>
      </c>
      <c r="HR3514" s="5" t="s">
        <v>238</v>
      </c>
      <c r="HS3514" s="5" t="s">
        <v>238</v>
      </c>
      <c r="HT3514" s="5" t="s">
        <v>238</v>
      </c>
      <c r="HU3514" s="5" t="s">
        <v>238</v>
      </c>
      <c r="HV3514" s="5" t="s">
        <v>238</v>
      </c>
      <c r="HW3514" s="5" t="s">
        <v>238</v>
      </c>
      <c r="HX3514" s="5" t="s">
        <v>238</v>
      </c>
      <c r="HY3514" s="5" t="s">
        <v>238</v>
      </c>
      <c r="HZ3514" s="5" t="s">
        <v>238</v>
      </c>
      <c r="IA3514" s="5" t="s">
        <v>238</v>
      </c>
      <c r="IB3514" s="5" t="s">
        <v>238</v>
      </c>
      <c r="IC3514" s="5" t="s">
        <v>238</v>
      </c>
      <c r="ID3514" s="5" t="s">
        <v>238</v>
      </c>
    </row>
    <row r="3515" spans="1:238" x14ac:dyDescent="0.4">
      <c r="A3515" s="5">
        <v>9233</v>
      </c>
      <c r="B3515" s="5">
        <v>1</v>
      </c>
      <c r="C3515" s="5">
        <v>1</v>
      </c>
      <c r="D3515" s="5" t="s">
        <v>484</v>
      </c>
      <c r="E3515" s="5" t="s">
        <v>485</v>
      </c>
      <c r="F3515" s="5" t="s">
        <v>248</v>
      </c>
      <c r="G3515" s="5" t="s">
        <v>4654</v>
      </c>
      <c r="H3515" s="6" t="s">
        <v>4655</v>
      </c>
      <c r="I3515" s="8">
        <f>1</f>
        <v>1</v>
      </c>
      <c r="J3515" s="5" t="s">
        <v>499</v>
      </c>
      <c r="K3515" s="8">
        <f>1</f>
        <v>1</v>
      </c>
      <c r="L3515" s="6" t="s">
        <v>242</v>
      </c>
      <c r="M3515" s="5" t="s">
        <v>267</v>
      </c>
      <c r="N3515" s="5" t="s">
        <v>482</v>
      </c>
      <c r="O3515" s="5" t="s">
        <v>238</v>
      </c>
      <c r="P3515" s="5" t="s">
        <v>238</v>
      </c>
      <c r="Q3515" s="5" t="s">
        <v>239</v>
      </c>
      <c r="R3515" s="5" t="s">
        <v>270</v>
      </c>
      <c r="S3515" s="5" t="s">
        <v>238</v>
      </c>
      <c r="T3515" s="5" t="s">
        <v>238</v>
      </c>
      <c r="U3515" s="5" t="s">
        <v>238</v>
      </c>
      <c r="V3515" s="5" t="s">
        <v>238</v>
      </c>
      <c r="W3515" s="6" t="s">
        <v>238</v>
      </c>
      <c r="X3515" s="6" t="s">
        <v>238</v>
      </c>
      <c r="Y3515" s="5" t="s">
        <v>238</v>
      </c>
      <c r="Z3515" s="6" t="s">
        <v>238</v>
      </c>
      <c r="AA3515" s="6" t="s">
        <v>243</v>
      </c>
      <c r="AB3515" s="5" t="s">
        <v>486</v>
      </c>
      <c r="AC3515" s="5" t="s">
        <v>244</v>
      </c>
      <c r="AD3515" s="5" t="s">
        <v>245</v>
      </c>
      <c r="AE3515" s="5" t="s">
        <v>238</v>
      </c>
      <c r="AF3515" s="5" t="s">
        <v>238</v>
      </c>
      <c r="AG3515" s="5" t="s">
        <v>238</v>
      </c>
      <c r="AH3515" s="5" t="s">
        <v>238</v>
      </c>
      <c r="AI3515" s="5" t="s">
        <v>238</v>
      </c>
      <c r="AJ3515" s="5" t="s">
        <v>238</v>
      </c>
      <c r="AK3515" s="5" t="s">
        <v>238</v>
      </c>
      <c r="AL3515" s="5" t="s">
        <v>238</v>
      </c>
      <c r="AM3515" s="6" t="s">
        <v>238</v>
      </c>
      <c r="AN3515" s="6" t="s">
        <v>238</v>
      </c>
      <c r="AO3515" s="6" t="s">
        <v>238</v>
      </c>
      <c r="AP3515" s="6" t="s">
        <v>238</v>
      </c>
      <c r="AQ3515" s="5" t="s">
        <v>238</v>
      </c>
      <c r="AR3515" s="5" t="s">
        <v>488</v>
      </c>
      <c r="AS3515" s="5" t="s">
        <v>488</v>
      </c>
      <c r="AT3515" s="5" t="s">
        <v>246</v>
      </c>
      <c r="AU3515" s="5" t="s">
        <v>489</v>
      </c>
      <c r="AV3515" s="5" t="s">
        <v>247</v>
      </c>
      <c r="AW3515" s="5" t="s">
        <v>238</v>
      </c>
      <c r="AX3515" s="5" t="s">
        <v>249</v>
      </c>
      <c r="AY3515" s="5" t="s">
        <v>490</v>
      </c>
      <c r="BA3515" s="5" t="s">
        <v>238</v>
      </c>
      <c r="BC3515" s="5" t="s">
        <v>491</v>
      </c>
      <c r="BD3515" s="6" t="s">
        <v>492</v>
      </c>
      <c r="BE3515" s="5" t="s">
        <v>493</v>
      </c>
      <c r="BF3515" s="5" t="s">
        <v>493</v>
      </c>
      <c r="BG3515" s="5" t="s">
        <v>238</v>
      </c>
      <c r="BH3515" s="8">
        <f>1</f>
        <v>1</v>
      </c>
      <c r="BI3515" s="8">
        <f>1</f>
        <v>1</v>
      </c>
      <c r="BJ3515" s="5" t="s">
        <v>253</v>
      </c>
      <c r="BK3515" s="5" t="s">
        <v>254</v>
      </c>
      <c r="BL3515" s="5" t="s">
        <v>238</v>
      </c>
      <c r="BM3515" s="5" t="s">
        <v>238</v>
      </c>
      <c r="BN3515" s="5" t="s">
        <v>238</v>
      </c>
      <c r="BO3515" s="5" t="s">
        <v>238</v>
      </c>
      <c r="BP3515" s="5" t="s">
        <v>238</v>
      </c>
      <c r="BQ3515" s="5" t="s">
        <v>238</v>
      </c>
      <c r="BR3515" s="5" t="s">
        <v>238</v>
      </c>
      <c r="BS3515" s="5" t="s">
        <v>238</v>
      </c>
      <c r="BT3515" s="6" t="s">
        <v>238</v>
      </c>
      <c r="BU3515" s="5" t="s">
        <v>238</v>
      </c>
      <c r="BV3515" s="5" t="s">
        <v>238</v>
      </c>
      <c r="BW3515" s="5" t="s">
        <v>238</v>
      </c>
      <c r="BX3515" s="5" t="s">
        <v>254</v>
      </c>
      <c r="BY3515" s="5" t="s">
        <v>238</v>
      </c>
      <c r="BZ3515" s="5" t="s">
        <v>238</v>
      </c>
      <c r="CA3515" s="5" t="s">
        <v>238</v>
      </c>
      <c r="CB3515" s="5" t="s">
        <v>238</v>
      </c>
      <c r="CC3515" s="5" t="s">
        <v>238</v>
      </c>
      <c r="CD3515" s="5" t="s">
        <v>273</v>
      </c>
      <c r="CE3515" s="5" t="s">
        <v>256</v>
      </c>
      <c r="CF3515" s="5" t="s">
        <v>238</v>
      </c>
      <c r="CH3515" s="5" t="s">
        <v>494</v>
      </c>
      <c r="CI3515" s="6" t="s">
        <v>257</v>
      </c>
      <c r="CJ3515" s="5" t="s">
        <v>495</v>
      </c>
      <c r="CK3515" s="5" t="s">
        <v>258</v>
      </c>
      <c r="CL3515" s="5" t="s">
        <v>496</v>
      </c>
      <c r="CM3515" s="5" t="s">
        <v>238</v>
      </c>
      <c r="CN3515" s="5">
        <v>0</v>
      </c>
      <c r="CO3515" s="5" t="s">
        <v>497</v>
      </c>
      <c r="CP3515" s="5" t="s">
        <v>260</v>
      </c>
      <c r="CQ3515" s="5" t="s">
        <v>260</v>
      </c>
      <c r="CR3515" s="5" t="s">
        <v>261</v>
      </c>
      <c r="CS3515" s="5" t="s">
        <v>498</v>
      </c>
      <c r="CT3515" s="7">
        <f>1</f>
        <v>1</v>
      </c>
      <c r="CU3515" s="8">
        <f>1</f>
        <v>1</v>
      </c>
      <c r="CV3515" s="8">
        <f>0</f>
        <v>0</v>
      </c>
      <c r="CX3515" s="8">
        <f>1</f>
        <v>1</v>
      </c>
      <c r="CY3515" s="8">
        <f>1</f>
        <v>1</v>
      </c>
      <c r="CZ3515" s="8" t="s">
        <v>238</v>
      </c>
      <c r="DA3515" s="5" t="s">
        <v>238</v>
      </c>
      <c r="DB3515" s="5" t="s">
        <v>238</v>
      </c>
      <c r="DC3515" s="5" t="s">
        <v>238</v>
      </c>
      <c r="DD3515" s="5" t="s">
        <v>238</v>
      </c>
      <c r="DE3515" s="8">
        <f>0</f>
        <v>0</v>
      </c>
      <c r="DG3515" s="5" t="s">
        <v>238</v>
      </c>
      <c r="DH3515" s="5" t="s">
        <v>238</v>
      </c>
      <c r="DI3515" s="5" t="s">
        <v>238</v>
      </c>
      <c r="DJ3515" s="5" t="s">
        <v>238</v>
      </c>
      <c r="DK3515" s="5" t="s">
        <v>238</v>
      </c>
      <c r="DL3515" s="5" t="s">
        <v>238</v>
      </c>
      <c r="DM3515" s="8" t="s">
        <v>238</v>
      </c>
      <c r="DN3515" s="5" t="s">
        <v>238</v>
      </c>
      <c r="DO3515" s="5" t="s">
        <v>238</v>
      </c>
      <c r="DP3515" s="5" t="s">
        <v>490</v>
      </c>
      <c r="DQ3515" s="5" t="s">
        <v>490</v>
      </c>
      <c r="DR3515" s="5" t="s">
        <v>238</v>
      </c>
      <c r="DS3515" s="5" t="s">
        <v>238</v>
      </c>
      <c r="DT3515" s="5" t="s">
        <v>500</v>
      </c>
      <c r="DU3515" s="5" t="s">
        <v>422</v>
      </c>
      <c r="DV3515" s="5" t="s">
        <v>238</v>
      </c>
      <c r="DW3515" s="5" t="s">
        <v>238</v>
      </c>
      <c r="DX3515" s="5" t="s">
        <v>238</v>
      </c>
      <c r="DY3515" s="5" t="s">
        <v>238</v>
      </c>
      <c r="DZ3515" s="5" t="s">
        <v>238</v>
      </c>
      <c r="EA3515" s="5" t="s">
        <v>238</v>
      </c>
      <c r="EB3515" s="5" t="s">
        <v>238</v>
      </c>
      <c r="EC3515" s="5" t="s">
        <v>238</v>
      </c>
      <c r="ED3515" s="5" t="s">
        <v>238</v>
      </c>
      <c r="EE3515" s="5" t="s">
        <v>238</v>
      </c>
      <c r="EF3515" s="5" t="s">
        <v>238</v>
      </c>
      <c r="EG3515" s="5" t="s">
        <v>238</v>
      </c>
      <c r="EH3515" s="5" t="s">
        <v>238</v>
      </c>
      <c r="EI3515" s="5" t="s">
        <v>238</v>
      </c>
      <c r="EJ3515" s="5" t="s">
        <v>238</v>
      </c>
      <c r="EK3515" s="5" t="s">
        <v>238</v>
      </c>
      <c r="EL3515" s="5" t="s">
        <v>238</v>
      </c>
      <c r="EM3515" s="5" t="s">
        <v>238</v>
      </c>
      <c r="EN3515" s="5" t="s">
        <v>238</v>
      </c>
      <c r="EO3515" s="5" t="s">
        <v>238</v>
      </c>
      <c r="EP3515" s="5" t="s">
        <v>238</v>
      </c>
      <c r="EQ3515" s="5" t="s">
        <v>238</v>
      </c>
      <c r="ER3515" s="5" t="s">
        <v>238</v>
      </c>
      <c r="ES3515" s="5" t="s">
        <v>238</v>
      </c>
      <c r="ET3515" s="5" t="s">
        <v>238</v>
      </c>
      <c r="EU3515" s="5" t="s">
        <v>238</v>
      </c>
      <c r="EV3515" s="5" t="s">
        <v>238</v>
      </c>
      <c r="EW3515" s="5" t="s">
        <v>238</v>
      </c>
      <c r="EX3515" s="5" t="s">
        <v>238</v>
      </c>
      <c r="EY3515" s="5" t="s">
        <v>238</v>
      </c>
      <c r="EZ3515" s="5" t="s">
        <v>238</v>
      </c>
      <c r="FA3515" s="5" t="s">
        <v>238</v>
      </c>
      <c r="FB3515" s="5" t="s">
        <v>238</v>
      </c>
      <c r="FC3515" s="5" t="s">
        <v>238</v>
      </c>
      <c r="FD3515" s="5" t="s">
        <v>238</v>
      </c>
      <c r="FE3515" s="5" t="s">
        <v>238</v>
      </c>
      <c r="FF3515" s="5" t="s">
        <v>238</v>
      </c>
      <c r="FG3515" s="5" t="s">
        <v>238</v>
      </c>
      <c r="FH3515" s="5" t="s">
        <v>238</v>
      </c>
      <c r="FI3515" s="5" t="s">
        <v>238</v>
      </c>
      <c r="FJ3515" s="5" t="s">
        <v>238</v>
      </c>
      <c r="FK3515" s="5" t="s">
        <v>238</v>
      </c>
      <c r="FL3515" s="5" t="s">
        <v>238</v>
      </c>
      <c r="FM3515" s="5" t="s">
        <v>238</v>
      </c>
      <c r="FN3515" s="5" t="s">
        <v>238</v>
      </c>
      <c r="FO3515" s="5" t="s">
        <v>238</v>
      </c>
      <c r="FP3515" s="5" t="s">
        <v>238</v>
      </c>
      <c r="FQ3515" s="5" t="s">
        <v>238</v>
      </c>
      <c r="FR3515" s="5" t="s">
        <v>238</v>
      </c>
      <c r="FS3515" s="5" t="s">
        <v>238</v>
      </c>
      <c r="FT3515" s="5" t="s">
        <v>238</v>
      </c>
      <c r="FU3515" s="5" t="s">
        <v>238</v>
      </c>
      <c r="FV3515" s="5" t="s">
        <v>238</v>
      </c>
      <c r="FW3515" s="5" t="s">
        <v>238</v>
      </c>
      <c r="FX3515" s="5" t="s">
        <v>238</v>
      </c>
      <c r="FY3515" s="5" t="s">
        <v>238</v>
      </c>
      <c r="FZ3515" s="5" t="s">
        <v>238</v>
      </c>
      <c r="GA3515" s="5" t="s">
        <v>238</v>
      </c>
      <c r="GB3515" s="5" t="s">
        <v>238</v>
      </c>
      <c r="GC3515" s="5" t="s">
        <v>238</v>
      </c>
      <c r="GD3515" s="5" t="s">
        <v>238</v>
      </c>
      <c r="GE3515" s="5" t="s">
        <v>238</v>
      </c>
      <c r="GF3515" s="5" t="s">
        <v>238</v>
      </c>
      <c r="GG3515" s="5" t="s">
        <v>238</v>
      </c>
      <c r="GH3515" s="5" t="s">
        <v>238</v>
      </c>
      <c r="GI3515" s="5" t="s">
        <v>238</v>
      </c>
      <c r="GJ3515" s="5" t="s">
        <v>238</v>
      </c>
      <c r="GK3515" s="5" t="s">
        <v>238</v>
      </c>
      <c r="GL3515" s="5" t="s">
        <v>238</v>
      </c>
      <c r="GM3515" s="5" t="s">
        <v>238</v>
      </c>
      <c r="GN3515" s="5" t="s">
        <v>238</v>
      </c>
      <c r="GO3515" s="5" t="s">
        <v>238</v>
      </c>
      <c r="GP3515" s="5" t="s">
        <v>238</v>
      </c>
      <c r="GQ3515" s="5" t="s">
        <v>238</v>
      </c>
      <c r="GR3515" s="5" t="s">
        <v>238</v>
      </c>
      <c r="GS3515" s="5" t="s">
        <v>238</v>
      </c>
      <c r="GT3515" s="5" t="s">
        <v>238</v>
      </c>
      <c r="GU3515" s="5" t="s">
        <v>238</v>
      </c>
      <c r="GV3515" s="5" t="s">
        <v>238</v>
      </c>
      <c r="GW3515" s="5" t="s">
        <v>238</v>
      </c>
      <c r="GX3515" s="5" t="s">
        <v>238</v>
      </c>
      <c r="GY3515" s="5" t="s">
        <v>238</v>
      </c>
      <c r="GZ3515" s="5" t="s">
        <v>238</v>
      </c>
      <c r="HA3515" s="5" t="s">
        <v>238</v>
      </c>
      <c r="HB3515" s="5" t="s">
        <v>238</v>
      </c>
      <c r="HC3515" s="5" t="s">
        <v>238</v>
      </c>
      <c r="HD3515" s="5" t="s">
        <v>238</v>
      </c>
      <c r="HE3515" s="5" t="s">
        <v>238</v>
      </c>
      <c r="HF3515" s="5" t="s">
        <v>238</v>
      </c>
      <c r="HG3515" s="5" t="s">
        <v>238</v>
      </c>
      <c r="HH3515" s="5" t="s">
        <v>238</v>
      </c>
      <c r="HI3515" s="5" t="s">
        <v>238</v>
      </c>
      <c r="HJ3515" s="5" t="s">
        <v>238</v>
      </c>
      <c r="HK3515" s="5" t="s">
        <v>238</v>
      </c>
      <c r="HL3515" s="5" t="s">
        <v>238</v>
      </c>
      <c r="HM3515" s="5" t="s">
        <v>264</v>
      </c>
      <c r="HN3515" s="5" t="s">
        <v>238</v>
      </c>
      <c r="HO3515" s="5" t="s">
        <v>238</v>
      </c>
      <c r="HP3515" s="5" t="s">
        <v>238</v>
      </c>
      <c r="HQ3515" s="5" t="s">
        <v>238</v>
      </c>
      <c r="HR3515" s="5" t="s">
        <v>238</v>
      </c>
      <c r="HS3515" s="5" t="s">
        <v>238</v>
      </c>
      <c r="HT3515" s="5" t="s">
        <v>238</v>
      </c>
      <c r="HU3515" s="5" t="s">
        <v>238</v>
      </c>
      <c r="HV3515" s="5" t="s">
        <v>238</v>
      </c>
      <c r="HW3515" s="5" t="s">
        <v>238</v>
      </c>
      <c r="HX3515" s="5" t="s">
        <v>238</v>
      </c>
      <c r="HY3515" s="5" t="s">
        <v>238</v>
      </c>
      <c r="HZ3515" s="5" t="s">
        <v>238</v>
      </c>
      <c r="IA3515" s="5" t="s">
        <v>238</v>
      </c>
      <c r="IB3515" s="5" t="s">
        <v>238</v>
      </c>
      <c r="IC3515" s="5" t="s">
        <v>238</v>
      </c>
      <c r="ID3515" s="5" t="s">
        <v>238</v>
      </c>
    </row>
    <row r="3516" spans="1:238" x14ac:dyDescent="0.4">
      <c r="A3516" s="5">
        <v>9234</v>
      </c>
      <c r="B3516" s="5">
        <v>1</v>
      </c>
      <c r="C3516" s="5">
        <v>1</v>
      </c>
      <c r="D3516" s="5" t="s">
        <v>484</v>
      </c>
      <c r="E3516" s="5" t="s">
        <v>485</v>
      </c>
      <c r="F3516" s="5" t="s">
        <v>248</v>
      </c>
      <c r="G3516" s="5" t="s">
        <v>5766</v>
      </c>
      <c r="H3516" s="6" t="s">
        <v>5768</v>
      </c>
      <c r="I3516" s="8">
        <f>1</f>
        <v>1</v>
      </c>
      <c r="J3516" s="5" t="s">
        <v>499</v>
      </c>
      <c r="K3516" s="8">
        <f>1</f>
        <v>1</v>
      </c>
      <c r="L3516" s="6" t="s">
        <v>242</v>
      </c>
      <c r="M3516" s="5" t="s">
        <v>267</v>
      </c>
      <c r="N3516" s="5" t="s">
        <v>482</v>
      </c>
      <c r="O3516" s="5" t="s">
        <v>238</v>
      </c>
      <c r="P3516" s="5" t="s">
        <v>238</v>
      </c>
      <c r="Q3516" s="5" t="s">
        <v>239</v>
      </c>
      <c r="R3516" s="5" t="s">
        <v>270</v>
      </c>
      <c r="S3516" s="5" t="s">
        <v>238</v>
      </c>
      <c r="T3516" s="5" t="s">
        <v>238</v>
      </c>
      <c r="U3516" s="5" t="s">
        <v>238</v>
      </c>
      <c r="V3516" s="5" t="s">
        <v>238</v>
      </c>
      <c r="W3516" s="6" t="s">
        <v>238</v>
      </c>
      <c r="X3516" s="6" t="s">
        <v>238</v>
      </c>
      <c r="Y3516" s="5" t="s">
        <v>238</v>
      </c>
      <c r="Z3516" s="6" t="s">
        <v>238</v>
      </c>
      <c r="AA3516" s="6" t="s">
        <v>243</v>
      </c>
      <c r="AB3516" s="5" t="s">
        <v>5767</v>
      </c>
      <c r="AC3516" s="5" t="s">
        <v>244</v>
      </c>
      <c r="AD3516" s="5" t="s">
        <v>245</v>
      </c>
      <c r="AE3516" s="5" t="s">
        <v>238</v>
      </c>
      <c r="AF3516" s="5" t="s">
        <v>238</v>
      </c>
      <c r="AG3516" s="5" t="s">
        <v>238</v>
      </c>
      <c r="AH3516" s="5" t="s">
        <v>238</v>
      </c>
      <c r="AI3516" s="5" t="s">
        <v>238</v>
      </c>
      <c r="AJ3516" s="5" t="s">
        <v>238</v>
      </c>
      <c r="AK3516" s="5" t="s">
        <v>238</v>
      </c>
      <c r="AL3516" s="5" t="s">
        <v>238</v>
      </c>
      <c r="AM3516" s="6" t="s">
        <v>238</v>
      </c>
      <c r="AN3516" s="6" t="s">
        <v>238</v>
      </c>
      <c r="AO3516" s="6" t="s">
        <v>238</v>
      </c>
      <c r="AP3516" s="6" t="s">
        <v>238</v>
      </c>
      <c r="AQ3516" s="5" t="s">
        <v>238</v>
      </c>
      <c r="AR3516" s="5" t="s">
        <v>488</v>
      </c>
      <c r="AS3516" s="5" t="s">
        <v>488</v>
      </c>
      <c r="AT3516" s="5" t="s">
        <v>246</v>
      </c>
      <c r="AU3516" s="5" t="s">
        <v>489</v>
      </c>
      <c r="AV3516" s="5" t="s">
        <v>247</v>
      </c>
      <c r="AW3516" s="5" t="s">
        <v>238</v>
      </c>
      <c r="AX3516" s="5" t="s">
        <v>249</v>
      </c>
      <c r="AY3516" s="5" t="s">
        <v>490</v>
      </c>
      <c r="BA3516" s="5" t="s">
        <v>238</v>
      </c>
      <c r="BC3516" s="5" t="s">
        <v>491</v>
      </c>
      <c r="BD3516" s="6" t="s">
        <v>492</v>
      </c>
      <c r="BE3516" s="5" t="s">
        <v>493</v>
      </c>
      <c r="BF3516" s="5" t="s">
        <v>493</v>
      </c>
      <c r="BG3516" s="5" t="s">
        <v>238</v>
      </c>
      <c r="BH3516" s="8">
        <f>1</f>
        <v>1</v>
      </c>
      <c r="BI3516" s="8">
        <f>1</f>
        <v>1</v>
      </c>
      <c r="BJ3516" s="5" t="s">
        <v>253</v>
      </c>
      <c r="BK3516" s="5" t="s">
        <v>254</v>
      </c>
      <c r="BL3516" s="5" t="s">
        <v>238</v>
      </c>
      <c r="BM3516" s="5" t="s">
        <v>238</v>
      </c>
      <c r="BN3516" s="5" t="s">
        <v>238</v>
      </c>
      <c r="BO3516" s="5" t="s">
        <v>238</v>
      </c>
      <c r="BP3516" s="5" t="s">
        <v>238</v>
      </c>
      <c r="BQ3516" s="5" t="s">
        <v>238</v>
      </c>
      <c r="BR3516" s="5" t="s">
        <v>238</v>
      </c>
      <c r="BS3516" s="5" t="s">
        <v>238</v>
      </c>
      <c r="BT3516" s="6" t="s">
        <v>238</v>
      </c>
      <c r="BU3516" s="5" t="s">
        <v>238</v>
      </c>
      <c r="BV3516" s="5" t="s">
        <v>238</v>
      </c>
      <c r="BW3516" s="5" t="s">
        <v>238</v>
      </c>
      <c r="BX3516" s="5" t="s">
        <v>254</v>
      </c>
      <c r="BY3516" s="5" t="s">
        <v>238</v>
      </c>
      <c r="BZ3516" s="5" t="s">
        <v>238</v>
      </c>
      <c r="CA3516" s="5" t="s">
        <v>238</v>
      </c>
      <c r="CB3516" s="5" t="s">
        <v>238</v>
      </c>
      <c r="CC3516" s="5" t="s">
        <v>238</v>
      </c>
      <c r="CD3516" s="5" t="s">
        <v>273</v>
      </c>
      <c r="CE3516" s="5" t="s">
        <v>256</v>
      </c>
      <c r="CF3516" s="5" t="s">
        <v>238</v>
      </c>
      <c r="CH3516" s="5" t="s">
        <v>494</v>
      </c>
      <c r="CI3516" s="6" t="s">
        <v>257</v>
      </c>
      <c r="CJ3516" s="5" t="s">
        <v>495</v>
      </c>
      <c r="CK3516" s="5" t="s">
        <v>258</v>
      </c>
      <c r="CL3516" s="5" t="s">
        <v>496</v>
      </c>
      <c r="CM3516" s="5" t="s">
        <v>238</v>
      </c>
      <c r="CN3516" s="5">
        <v>0</v>
      </c>
      <c r="CO3516" s="5" t="s">
        <v>497</v>
      </c>
      <c r="CP3516" s="5" t="s">
        <v>260</v>
      </c>
      <c r="CQ3516" s="5" t="s">
        <v>260</v>
      </c>
      <c r="CR3516" s="5" t="s">
        <v>261</v>
      </c>
      <c r="CS3516" s="5" t="s">
        <v>498</v>
      </c>
      <c r="CT3516" s="7">
        <f>1</f>
        <v>1</v>
      </c>
      <c r="CU3516" s="8">
        <f>1</f>
        <v>1</v>
      </c>
      <c r="CV3516" s="8">
        <f>0</f>
        <v>0</v>
      </c>
      <c r="CX3516" s="8">
        <f>1</f>
        <v>1</v>
      </c>
      <c r="CY3516" s="8">
        <f>1</f>
        <v>1</v>
      </c>
      <c r="CZ3516" s="8" t="s">
        <v>238</v>
      </c>
      <c r="DA3516" s="5" t="s">
        <v>238</v>
      </c>
      <c r="DB3516" s="5" t="s">
        <v>238</v>
      </c>
      <c r="DC3516" s="5" t="s">
        <v>238</v>
      </c>
      <c r="DD3516" s="5" t="s">
        <v>238</v>
      </c>
      <c r="DE3516" s="8">
        <f>0</f>
        <v>0</v>
      </c>
      <c r="DG3516" s="5" t="s">
        <v>238</v>
      </c>
      <c r="DH3516" s="5" t="s">
        <v>238</v>
      </c>
      <c r="DI3516" s="5" t="s">
        <v>238</v>
      </c>
      <c r="DJ3516" s="5" t="s">
        <v>238</v>
      </c>
      <c r="DK3516" s="5" t="s">
        <v>238</v>
      </c>
      <c r="DL3516" s="5" t="s">
        <v>238</v>
      </c>
      <c r="DM3516" s="8" t="s">
        <v>238</v>
      </c>
      <c r="DN3516" s="5" t="s">
        <v>238</v>
      </c>
      <c r="DO3516" s="5" t="s">
        <v>238</v>
      </c>
      <c r="DP3516" s="5" t="s">
        <v>490</v>
      </c>
      <c r="DQ3516" s="5" t="s">
        <v>490</v>
      </c>
      <c r="DR3516" s="5" t="s">
        <v>238</v>
      </c>
      <c r="DS3516" s="5" t="s">
        <v>238</v>
      </c>
      <c r="DT3516" s="5" t="s">
        <v>500</v>
      </c>
      <c r="DU3516" s="5" t="s">
        <v>610</v>
      </c>
      <c r="DV3516" s="5" t="s">
        <v>238</v>
      </c>
      <c r="DW3516" s="5" t="s">
        <v>238</v>
      </c>
      <c r="DX3516" s="5" t="s">
        <v>238</v>
      </c>
      <c r="DY3516" s="5" t="s">
        <v>238</v>
      </c>
      <c r="DZ3516" s="5" t="s">
        <v>238</v>
      </c>
      <c r="EA3516" s="5" t="s">
        <v>238</v>
      </c>
      <c r="EB3516" s="5" t="s">
        <v>238</v>
      </c>
      <c r="EC3516" s="5" t="s">
        <v>238</v>
      </c>
      <c r="ED3516" s="5" t="s">
        <v>238</v>
      </c>
      <c r="EE3516" s="5" t="s">
        <v>238</v>
      </c>
      <c r="EF3516" s="5" t="s">
        <v>238</v>
      </c>
      <c r="EG3516" s="5" t="s">
        <v>238</v>
      </c>
      <c r="EH3516" s="5" t="s">
        <v>238</v>
      </c>
      <c r="EI3516" s="5" t="s">
        <v>238</v>
      </c>
      <c r="EJ3516" s="5" t="s">
        <v>238</v>
      </c>
      <c r="EK3516" s="5" t="s">
        <v>238</v>
      </c>
      <c r="EL3516" s="5" t="s">
        <v>238</v>
      </c>
      <c r="EM3516" s="5" t="s">
        <v>238</v>
      </c>
      <c r="EN3516" s="5" t="s">
        <v>238</v>
      </c>
      <c r="EO3516" s="5" t="s">
        <v>238</v>
      </c>
      <c r="EP3516" s="5" t="s">
        <v>238</v>
      </c>
      <c r="EQ3516" s="5" t="s">
        <v>238</v>
      </c>
      <c r="ER3516" s="5" t="s">
        <v>238</v>
      </c>
      <c r="ES3516" s="5" t="s">
        <v>238</v>
      </c>
      <c r="ET3516" s="5" t="s">
        <v>238</v>
      </c>
      <c r="EU3516" s="5" t="s">
        <v>238</v>
      </c>
      <c r="EV3516" s="5" t="s">
        <v>238</v>
      </c>
      <c r="EW3516" s="5" t="s">
        <v>238</v>
      </c>
      <c r="EX3516" s="5" t="s">
        <v>238</v>
      </c>
      <c r="EY3516" s="5" t="s">
        <v>238</v>
      </c>
      <c r="EZ3516" s="5" t="s">
        <v>238</v>
      </c>
      <c r="FA3516" s="5" t="s">
        <v>238</v>
      </c>
      <c r="FB3516" s="5" t="s">
        <v>238</v>
      </c>
      <c r="FC3516" s="5" t="s">
        <v>238</v>
      </c>
      <c r="FD3516" s="5" t="s">
        <v>238</v>
      </c>
      <c r="FE3516" s="5" t="s">
        <v>238</v>
      </c>
      <c r="FF3516" s="5" t="s">
        <v>238</v>
      </c>
      <c r="FG3516" s="5" t="s">
        <v>238</v>
      </c>
      <c r="FH3516" s="5" t="s">
        <v>238</v>
      </c>
      <c r="FI3516" s="5" t="s">
        <v>238</v>
      </c>
      <c r="FJ3516" s="5" t="s">
        <v>238</v>
      </c>
      <c r="FK3516" s="5" t="s">
        <v>238</v>
      </c>
      <c r="FL3516" s="5" t="s">
        <v>238</v>
      </c>
      <c r="FM3516" s="5" t="s">
        <v>238</v>
      </c>
      <c r="FN3516" s="5" t="s">
        <v>238</v>
      </c>
      <c r="FO3516" s="5" t="s">
        <v>238</v>
      </c>
      <c r="FP3516" s="5" t="s">
        <v>238</v>
      </c>
      <c r="FQ3516" s="5" t="s">
        <v>238</v>
      </c>
      <c r="FR3516" s="5" t="s">
        <v>238</v>
      </c>
      <c r="FS3516" s="5" t="s">
        <v>238</v>
      </c>
      <c r="FT3516" s="5" t="s">
        <v>238</v>
      </c>
      <c r="FU3516" s="5" t="s">
        <v>238</v>
      </c>
      <c r="FV3516" s="5" t="s">
        <v>238</v>
      </c>
      <c r="FW3516" s="5" t="s">
        <v>238</v>
      </c>
      <c r="FX3516" s="5" t="s">
        <v>238</v>
      </c>
      <c r="FY3516" s="5" t="s">
        <v>238</v>
      </c>
      <c r="FZ3516" s="5" t="s">
        <v>238</v>
      </c>
      <c r="GA3516" s="5" t="s">
        <v>238</v>
      </c>
      <c r="GB3516" s="5" t="s">
        <v>238</v>
      </c>
      <c r="GC3516" s="5" t="s">
        <v>238</v>
      </c>
      <c r="GD3516" s="5" t="s">
        <v>238</v>
      </c>
      <c r="GE3516" s="5" t="s">
        <v>238</v>
      </c>
      <c r="GF3516" s="5" t="s">
        <v>238</v>
      </c>
      <c r="GG3516" s="5" t="s">
        <v>238</v>
      </c>
      <c r="GH3516" s="5" t="s">
        <v>238</v>
      </c>
      <c r="GI3516" s="5" t="s">
        <v>238</v>
      </c>
      <c r="GJ3516" s="5" t="s">
        <v>238</v>
      </c>
      <c r="GK3516" s="5" t="s">
        <v>238</v>
      </c>
      <c r="GL3516" s="5" t="s">
        <v>238</v>
      </c>
      <c r="GM3516" s="5" t="s">
        <v>238</v>
      </c>
      <c r="GN3516" s="5" t="s">
        <v>238</v>
      </c>
      <c r="GO3516" s="5" t="s">
        <v>238</v>
      </c>
      <c r="GP3516" s="5" t="s">
        <v>238</v>
      </c>
      <c r="GQ3516" s="5" t="s">
        <v>238</v>
      </c>
      <c r="GR3516" s="5" t="s">
        <v>238</v>
      </c>
      <c r="GS3516" s="5" t="s">
        <v>238</v>
      </c>
      <c r="GT3516" s="5" t="s">
        <v>238</v>
      </c>
      <c r="GU3516" s="5" t="s">
        <v>238</v>
      </c>
      <c r="GV3516" s="5" t="s">
        <v>238</v>
      </c>
      <c r="GW3516" s="5" t="s">
        <v>238</v>
      </c>
      <c r="GX3516" s="5" t="s">
        <v>238</v>
      </c>
      <c r="GY3516" s="5" t="s">
        <v>238</v>
      </c>
      <c r="GZ3516" s="5" t="s">
        <v>238</v>
      </c>
      <c r="HA3516" s="5" t="s">
        <v>238</v>
      </c>
      <c r="HB3516" s="5" t="s">
        <v>238</v>
      </c>
      <c r="HC3516" s="5" t="s">
        <v>238</v>
      </c>
      <c r="HD3516" s="5" t="s">
        <v>238</v>
      </c>
      <c r="HE3516" s="5" t="s">
        <v>238</v>
      </c>
      <c r="HF3516" s="5" t="s">
        <v>238</v>
      </c>
      <c r="HG3516" s="5" t="s">
        <v>238</v>
      </c>
      <c r="HH3516" s="5" t="s">
        <v>238</v>
      </c>
      <c r="HI3516" s="5" t="s">
        <v>238</v>
      </c>
      <c r="HJ3516" s="5" t="s">
        <v>238</v>
      </c>
      <c r="HK3516" s="5" t="s">
        <v>238</v>
      </c>
      <c r="HL3516" s="5" t="s">
        <v>238</v>
      </c>
      <c r="HM3516" s="5" t="s">
        <v>264</v>
      </c>
      <c r="HN3516" s="5" t="s">
        <v>238</v>
      </c>
      <c r="HO3516" s="5" t="s">
        <v>238</v>
      </c>
      <c r="HP3516" s="5" t="s">
        <v>238</v>
      </c>
      <c r="HQ3516" s="5" t="s">
        <v>238</v>
      </c>
      <c r="HR3516" s="5" t="s">
        <v>238</v>
      </c>
      <c r="HS3516" s="5" t="s">
        <v>238</v>
      </c>
      <c r="HT3516" s="5" t="s">
        <v>238</v>
      </c>
      <c r="HU3516" s="5" t="s">
        <v>238</v>
      </c>
      <c r="HV3516" s="5" t="s">
        <v>238</v>
      </c>
      <c r="HW3516" s="5" t="s">
        <v>238</v>
      </c>
      <c r="HX3516" s="5" t="s">
        <v>238</v>
      </c>
      <c r="HY3516" s="5" t="s">
        <v>238</v>
      </c>
      <c r="HZ3516" s="5" t="s">
        <v>238</v>
      </c>
      <c r="IA3516" s="5" t="s">
        <v>238</v>
      </c>
      <c r="IB3516" s="5" t="s">
        <v>238</v>
      </c>
      <c r="IC3516" s="5" t="s">
        <v>238</v>
      </c>
      <c r="ID3516" s="5" t="s">
        <v>238</v>
      </c>
    </row>
    <row r="3517" spans="1:238" x14ac:dyDescent="0.4">
      <c r="A3517" s="5">
        <v>9235</v>
      </c>
      <c r="B3517" s="5">
        <v>1</v>
      </c>
      <c r="C3517" s="5">
        <v>1</v>
      </c>
      <c r="D3517" s="5" t="s">
        <v>484</v>
      </c>
      <c r="E3517" s="5" t="s">
        <v>485</v>
      </c>
      <c r="F3517" s="5" t="s">
        <v>248</v>
      </c>
      <c r="G3517" s="5" t="s">
        <v>6393</v>
      </c>
      <c r="H3517" s="6" t="s">
        <v>6395</v>
      </c>
      <c r="I3517" s="8">
        <f>1</f>
        <v>1</v>
      </c>
      <c r="J3517" s="5" t="s">
        <v>499</v>
      </c>
      <c r="K3517" s="8">
        <f>1</f>
        <v>1</v>
      </c>
      <c r="L3517" s="6" t="s">
        <v>242</v>
      </c>
      <c r="M3517" s="5" t="s">
        <v>267</v>
      </c>
      <c r="N3517" s="5" t="s">
        <v>482</v>
      </c>
      <c r="O3517" s="5" t="s">
        <v>238</v>
      </c>
      <c r="P3517" s="5" t="s">
        <v>238</v>
      </c>
      <c r="Q3517" s="5" t="s">
        <v>239</v>
      </c>
      <c r="R3517" s="5" t="s">
        <v>270</v>
      </c>
      <c r="S3517" s="5" t="s">
        <v>238</v>
      </c>
      <c r="T3517" s="5" t="s">
        <v>238</v>
      </c>
      <c r="U3517" s="5" t="s">
        <v>238</v>
      </c>
      <c r="V3517" s="5" t="s">
        <v>238</v>
      </c>
      <c r="W3517" s="6" t="s">
        <v>238</v>
      </c>
      <c r="X3517" s="6" t="s">
        <v>238</v>
      </c>
      <c r="Y3517" s="5" t="s">
        <v>238</v>
      </c>
      <c r="Z3517" s="6" t="s">
        <v>238</v>
      </c>
      <c r="AA3517" s="6" t="s">
        <v>243</v>
      </c>
      <c r="AB3517" s="5" t="s">
        <v>6394</v>
      </c>
      <c r="AC3517" s="5" t="s">
        <v>244</v>
      </c>
      <c r="AD3517" s="5" t="s">
        <v>245</v>
      </c>
      <c r="AE3517" s="5" t="s">
        <v>238</v>
      </c>
      <c r="AF3517" s="5" t="s">
        <v>238</v>
      </c>
      <c r="AG3517" s="5" t="s">
        <v>238</v>
      </c>
      <c r="AH3517" s="5" t="s">
        <v>238</v>
      </c>
      <c r="AI3517" s="5" t="s">
        <v>238</v>
      </c>
      <c r="AJ3517" s="5" t="s">
        <v>238</v>
      </c>
      <c r="AK3517" s="5" t="s">
        <v>238</v>
      </c>
      <c r="AL3517" s="5" t="s">
        <v>238</v>
      </c>
      <c r="AM3517" s="6" t="s">
        <v>238</v>
      </c>
      <c r="AN3517" s="6" t="s">
        <v>238</v>
      </c>
      <c r="AO3517" s="6" t="s">
        <v>238</v>
      </c>
      <c r="AP3517" s="6" t="s">
        <v>238</v>
      </c>
      <c r="AQ3517" s="5" t="s">
        <v>238</v>
      </c>
      <c r="AR3517" s="5" t="s">
        <v>488</v>
      </c>
      <c r="AS3517" s="5" t="s">
        <v>488</v>
      </c>
      <c r="AT3517" s="5" t="s">
        <v>246</v>
      </c>
      <c r="AU3517" s="5" t="s">
        <v>489</v>
      </c>
      <c r="AV3517" s="5" t="s">
        <v>247</v>
      </c>
      <c r="AW3517" s="5" t="s">
        <v>238</v>
      </c>
      <c r="AX3517" s="5" t="s">
        <v>249</v>
      </c>
      <c r="AY3517" s="5" t="s">
        <v>490</v>
      </c>
      <c r="BA3517" s="5" t="s">
        <v>238</v>
      </c>
      <c r="BC3517" s="5" t="s">
        <v>491</v>
      </c>
      <c r="BD3517" s="6" t="s">
        <v>492</v>
      </c>
      <c r="BE3517" s="5" t="s">
        <v>493</v>
      </c>
      <c r="BF3517" s="5" t="s">
        <v>493</v>
      </c>
      <c r="BG3517" s="5" t="s">
        <v>238</v>
      </c>
      <c r="BH3517" s="8">
        <f>1</f>
        <v>1</v>
      </c>
      <c r="BI3517" s="8">
        <f>1</f>
        <v>1</v>
      </c>
      <c r="BJ3517" s="5" t="s">
        <v>253</v>
      </c>
      <c r="BK3517" s="5" t="s">
        <v>254</v>
      </c>
      <c r="BL3517" s="5" t="s">
        <v>238</v>
      </c>
      <c r="BM3517" s="5" t="s">
        <v>238</v>
      </c>
      <c r="BN3517" s="5" t="s">
        <v>238</v>
      </c>
      <c r="BO3517" s="5" t="s">
        <v>238</v>
      </c>
      <c r="BP3517" s="5" t="s">
        <v>238</v>
      </c>
      <c r="BQ3517" s="5" t="s">
        <v>238</v>
      </c>
      <c r="BR3517" s="5" t="s">
        <v>238</v>
      </c>
      <c r="BS3517" s="5" t="s">
        <v>238</v>
      </c>
      <c r="BT3517" s="6" t="s">
        <v>238</v>
      </c>
      <c r="BU3517" s="5" t="s">
        <v>238</v>
      </c>
      <c r="BV3517" s="5" t="s">
        <v>238</v>
      </c>
      <c r="BW3517" s="5" t="s">
        <v>238</v>
      </c>
      <c r="BX3517" s="5" t="s">
        <v>254</v>
      </c>
      <c r="BY3517" s="5" t="s">
        <v>238</v>
      </c>
      <c r="BZ3517" s="5" t="s">
        <v>238</v>
      </c>
      <c r="CA3517" s="5" t="s">
        <v>238</v>
      </c>
      <c r="CB3517" s="5" t="s">
        <v>238</v>
      </c>
      <c r="CC3517" s="5" t="s">
        <v>238</v>
      </c>
      <c r="CD3517" s="5" t="s">
        <v>273</v>
      </c>
      <c r="CE3517" s="5" t="s">
        <v>256</v>
      </c>
      <c r="CF3517" s="5" t="s">
        <v>238</v>
      </c>
      <c r="CH3517" s="5" t="s">
        <v>494</v>
      </c>
      <c r="CI3517" s="6" t="s">
        <v>257</v>
      </c>
      <c r="CJ3517" s="5" t="s">
        <v>495</v>
      </c>
      <c r="CK3517" s="5" t="s">
        <v>258</v>
      </c>
      <c r="CL3517" s="5" t="s">
        <v>496</v>
      </c>
      <c r="CM3517" s="5" t="s">
        <v>238</v>
      </c>
      <c r="CN3517" s="5">
        <v>0</v>
      </c>
      <c r="CO3517" s="5" t="s">
        <v>497</v>
      </c>
      <c r="CP3517" s="5" t="s">
        <v>260</v>
      </c>
      <c r="CQ3517" s="5" t="s">
        <v>260</v>
      </c>
      <c r="CR3517" s="5" t="s">
        <v>261</v>
      </c>
      <c r="CS3517" s="5" t="s">
        <v>498</v>
      </c>
      <c r="CT3517" s="7">
        <f>1</f>
        <v>1</v>
      </c>
      <c r="CU3517" s="8">
        <f>1</f>
        <v>1</v>
      </c>
      <c r="CV3517" s="8">
        <f>0</f>
        <v>0</v>
      </c>
      <c r="CX3517" s="8">
        <f>1</f>
        <v>1</v>
      </c>
      <c r="CY3517" s="8">
        <f>1</f>
        <v>1</v>
      </c>
      <c r="CZ3517" s="8" t="s">
        <v>238</v>
      </c>
      <c r="DA3517" s="5" t="s">
        <v>238</v>
      </c>
      <c r="DB3517" s="5" t="s">
        <v>238</v>
      </c>
      <c r="DC3517" s="5" t="s">
        <v>238</v>
      </c>
      <c r="DD3517" s="5" t="s">
        <v>238</v>
      </c>
      <c r="DE3517" s="8">
        <f>0</f>
        <v>0</v>
      </c>
      <c r="DG3517" s="5" t="s">
        <v>238</v>
      </c>
      <c r="DH3517" s="5" t="s">
        <v>238</v>
      </c>
      <c r="DI3517" s="5" t="s">
        <v>238</v>
      </c>
      <c r="DJ3517" s="5" t="s">
        <v>238</v>
      </c>
      <c r="DK3517" s="5" t="s">
        <v>238</v>
      </c>
      <c r="DL3517" s="5" t="s">
        <v>238</v>
      </c>
      <c r="DM3517" s="8" t="s">
        <v>238</v>
      </c>
      <c r="DN3517" s="5" t="s">
        <v>238</v>
      </c>
      <c r="DO3517" s="5" t="s">
        <v>238</v>
      </c>
      <c r="DP3517" s="5" t="s">
        <v>490</v>
      </c>
      <c r="DQ3517" s="5" t="s">
        <v>490</v>
      </c>
      <c r="DR3517" s="5" t="s">
        <v>238</v>
      </c>
      <c r="DS3517" s="5" t="s">
        <v>238</v>
      </c>
      <c r="DT3517" s="5" t="s">
        <v>500</v>
      </c>
      <c r="DU3517" s="5" t="s">
        <v>622</v>
      </c>
      <c r="DV3517" s="5" t="s">
        <v>238</v>
      </c>
      <c r="DW3517" s="5" t="s">
        <v>238</v>
      </c>
      <c r="DX3517" s="5" t="s">
        <v>238</v>
      </c>
      <c r="DY3517" s="5" t="s">
        <v>238</v>
      </c>
      <c r="DZ3517" s="5" t="s">
        <v>238</v>
      </c>
      <c r="EA3517" s="5" t="s">
        <v>238</v>
      </c>
      <c r="EB3517" s="5" t="s">
        <v>238</v>
      </c>
      <c r="EC3517" s="5" t="s">
        <v>238</v>
      </c>
      <c r="ED3517" s="5" t="s">
        <v>238</v>
      </c>
      <c r="EE3517" s="5" t="s">
        <v>238</v>
      </c>
      <c r="EF3517" s="5" t="s">
        <v>238</v>
      </c>
      <c r="EG3517" s="5" t="s">
        <v>238</v>
      </c>
      <c r="EH3517" s="5" t="s">
        <v>238</v>
      </c>
      <c r="EI3517" s="5" t="s">
        <v>238</v>
      </c>
      <c r="EJ3517" s="5" t="s">
        <v>238</v>
      </c>
      <c r="EK3517" s="5" t="s">
        <v>238</v>
      </c>
      <c r="EL3517" s="5" t="s">
        <v>238</v>
      </c>
      <c r="EM3517" s="5" t="s">
        <v>238</v>
      </c>
      <c r="EN3517" s="5" t="s">
        <v>238</v>
      </c>
      <c r="EO3517" s="5" t="s">
        <v>238</v>
      </c>
      <c r="EP3517" s="5" t="s">
        <v>238</v>
      </c>
      <c r="EQ3517" s="5" t="s">
        <v>238</v>
      </c>
      <c r="ER3517" s="5" t="s">
        <v>238</v>
      </c>
      <c r="ES3517" s="5" t="s">
        <v>238</v>
      </c>
      <c r="ET3517" s="5" t="s">
        <v>238</v>
      </c>
      <c r="EU3517" s="5" t="s">
        <v>238</v>
      </c>
      <c r="EV3517" s="5" t="s">
        <v>238</v>
      </c>
      <c r="EW3517" s="5" t="s">
        <v>238</v>
      </c>
      <c r="EX3517" s="5" t="s">
        <v>238</v>
      </c>
      <c r="EY3517" s="5" t="s">
        <v>238</v>
      </c>
      <c r="EZ3517" s="5" t="s">
        <v>238</v>
      </c>
      <c r="FA3517" s="5" t="s">
        <v>238</v>
      </c>
      <c r="FB3517" s="5" t="s">
        <v>238</v>
      </c>
      <c r="FC3517" s="5" t="s">
        <v>238</v>
      </c>
      <c r="FD3517" s="5" t="s">
        <v>238</v>
      </c>
      <c r="FE3517" s="5" t="s">
        <v>238</v>
      </c>
      <c r="FF3517" s="5" t="s">
        <v>238</v>
      </c>
      <c r="FG3517" s="5" t="s">
        <v>238</v>
      </c>
      <c r="FH3517" s="5" t="s">
        <v>238</v>
      </c>
      <c r="FI3517" s="5" t="s">
        <v>238</v>
      </c>
      <c r="FJ3517" s="5" t="s">
        <v>238</v>
      </c>
      <c r="FK3517" s="5" t="s">
        <v>238</v>
      </c>
      <c r="FL3517" s="5" t="s">
        <v>238</v>
      </c>
      <c r="FM3517" s="5" t="s">
        <v>238</v>
      </c>
      <c r="FN3517" s="5" t="s">
        <v>238</v>
      </c>
      <c r="FO3517" s="5" t="s">
        <v>238</v>
      </c>
      <c r="FP3517" s="5" t="s">
        <v>238</v>
      </c>
      <c r="FQ3517" s="5" t="s">
        <v>238</v>
      </c>
      <c r="FR3517" s="5" t="s">
        <v>238</v>
      </c>
      <c r="FS3517" s="5" t="s">
        <v>238</v>
      </c>
      <c r="FT3517" s="5" t="s">
        <v>238</v>
      </c>
      <c r="FU3517" s="5" t="s">
        <v>238</v>
      </c>
      <c r="FV3517" s="5" t="s">
        <v>238</v>
      </c>
      <c r="FW3517" s="5" t="s">
        <v>238</v>
      </c>
      <c r="FX3517" s="5" t="s">
        <v>238</v>
      </c>
      <c r="FY3517" s="5" t="s">
        <v>238</v>
      </c>
      <c r="FZ3517" s="5" t="s">
        <v>238</v>
      </c>
      <c r="GA3517" s="5" t="s">
        <v>238</v>
      </c>
      <c r="GB3517" s="5" t="s">
        <v>238</v>
      </c>
      <c r="GC3517" s="5" t="s">
        <v>238</v>
      </c>
      <c r="GD3517" s="5" t="s">
        <v>238</v>
      </c>
      <c r="GE3517" s="5" t="s">
        <v>238</v>
      </c>
      <c r="GF3517" s="5" t="s">
        <v>238</v>
      </c>
      <c r="GG3517" s="5" t="s">
        <v>238</v>
      </c>
      <c r="GH3517" s="5" t="s">
        <v>238</v>
      </c>
      <c r="GI3517" s="5" t="s">
        <v>238</v>
      </c>
      <c r="GJ3517" s="5" t="s">
        <v>238</v>
      </c>
      <c r="GK3517" s="5" t="s">
        <v>238</v>
      </c>
      <c r="GL3517" s="5" t="s">
        <v>238</v>
      </c>
      <c r="GM3517" s="5" t="s">
        <v>238</v>
      </c>
      <c r="GN3517" s="5" t="s">
        <v>238</v>
      </c>
      <c r="GO3517" s="5" t="s">
        <v>238</v>
      </c>
      <c r="GP3517" s="5" t="s">
        <v>238</v>
      </c>
      <c r="GQ3517" s="5" t="s">
        <v>238</v>
      </c>
      <c r="GR3517" s="5" t="s">
        <v>238</v>
      </c>
      <c r="GS3517" s="5" t="s">
        <v>238</v>
      </c>
      <c r="GT3517" s="5" t="s">
        <v>238</v>
      </c>
      <c r="GU3517" s="5" t="s">
        <v>238</v>
      </c>
      <c r="GV3517" s="5" t="s">
        <v>238</v>
      </c>
      <c r="GW3517" s="5" t="s">
        <v>238</v>
      </c>
      <c r="GX3517" s="5" t="s">
        <v>238</v>
      </c>
      <c r="GY3517" s="5" t="s">
        <v>238</v>
      </c>
      <c r="GZ3517" s="5" t="s">
        <v>238</v>
      </c>
      <c r="HA3517" s="5" t="s">
        <v>238</v>
      </c>
      <c r="HB3517" s="5" t="s">
        <v>238</v>
      </c>
      <c r="HC3517" s="5" t="s">
        <v>238</v>
      </c>
      <c r="HD3517" s="5" t="s">
        <v>238</v>
      </c>
      <c r="HE3517" s="5" t="s">
        <v>238</v>
      </c>
      <c r="HF3517" s="5" t="s">
        <v>238</v>
      </c>
      <c r="HG3517" s="5" t="s">
        <v>238</v>
      </c>
      <c r="HH3517" s="5" t="s">
        <v>238</v>
      </c>
      <c r="HI3517" s="5" t="s">
        <v>238</v>
      </c>
      <c r="HJ3517" s="5" t="s">
        <v>238</v>
      </c>
      <c r="HK3517" s="5" t="s">
        <v>238</v>
      </c>
      <c r="HL3517" s="5" t="s">
        <v>238</v>
      </c>
      <c r="HM3517" s="5" t="s">
        <v>264</v>
      </c>
      <c r="HN3517" s="5" t="s">
        <v>238</v>
      </c>
      <c r="HO3517" s="5" t="s">
        <v>238</v>
      </c>
      <c r="HP3517" s="5" t="s">
        <v>238</v>
      </c>
      <c r="HQ3517" s="5" t="s">
        <v>238</v>
      </c>
      <c r="HR3517" s="5" t="s">
        <v>238</v>
      </c>
      <c r="HS3517" s="5" t="s">
        <v>238</v>
      </c>
      <c r="HT3517" s="5" t="s">
        <v>238</v>
      </c>
      <c r="HU3517" s="5" t="s">
        <v>238</v>
      </c>
      <c r="HV3517" s="5" t="s">
        <v>238</v>
      </c>
      <c r="HW3517" s="5" t="s">
        <v>238</v>
      </c>
      <c r="HX3517" s="5" t="s">
        <v>238</v>
      </c>
      <c r="HY3517" s="5" t="s">
        <v>238</v>
      </c>
      <c r="HZ3517" s="5" t="s">
        <v>238</v>
      </c>
      <c r="IA3517" s="5" t="s">
        <v>238</v>
      </c>
      <c r="IB3517" s="5" t="s">
        <v>238</v>
      </c>
      <c r="IC3517" s="5" t="s">
        <v>238</v>
      </c>
      <c r="ID3517" s="5" t="s">
        <v>238</v>
      </c>
    </row>
    <row r="3518" spans="1:238" x14ac:dyDescent="0.4">
      <c r="A3518" s="5">
        <v>9236</v>
      </c>
      <c r="B3518" s="5">
        <v>1</v>
      </c>
      <c r="C3518" s="5">
        <v>1</v>
      </c>
      <c r="D3518" s="5" t="s">
        <v>484</v>
      </c>
      <c r="E3518" s="5" t="s">
        <v>485</v>
      </c>
      <c r="F3518" s="5" t="s">
        <v>248</v>
      </c>
      <c r="G3518" s="5" t="s">
        <v>2157</v>
      </c>
      <c r="H3518" s="6" t="s">
        <v>2159</v>
      </c>
      <c r="I3518" s="8">
        <f>1</f>
        <v>1</v>
      </c>
      <c r="J3518" s="5" t="s">
        <v>499</v>
      </c>
      <c r="K3518" s="8">
        <f>1</f>
        <v>1</v>
      </c>
      <c r="L3518" s="6" t="s">
        <v>242</v>
      </c>
      <c r="M3518" s="5" t="s">
        <v>267</v>
      </c>
      <c r="N3518" s="5" t="s">
        <v>482</v>
      </c>
      <c r="O3518" s="5" t="s">
        <v>238</v>
      </c>
      <c r="P3518" s="5" t="s">
        <v>238</v>
      </c>
      <c r="Q3518" s="5" t="s">
        <v>239</v>
      </c>
      <c r="R3518" s="5" t="s">
        <v>270</v>
      </c>
      <c r="S3518" s="5" t="s">
        <v>238</v>
      </c>
      <c r="T3518" s="5" t="s">
        <v>238</v>
      </c>
      <c r="U3518" s="5" t="s">
        <v>238</v>
      </c>
      <c r="V3518" s="5" t="s">
        <v>238</v>
      </c>
      <c r="W3518" s="6" t="s">
        <v>238</v>
      </c>
      <c r="X3518" s="6" t="s">
        <v>238</v>
      </c>
      <c r="Y3518" s="5" t="s">
        <v>238</v>
      </c>
      <c r="Z3518" s="6" t="s">
        <v>238</v>
      </c>
      <c r="AA3518" s="6" t="s">
        <v>243</v>
      </c>
      <c r="AB3518" s="5" t="s">
        <v>2158</v>
      </c>
      <c r="AC3518" s="5" t="s">
        <v>244</v>
      </c>
      <c r="AD3518" s="5" t="s">
        <v>245</v>
      </c>
      <c r="AE3518" s="5" t="s">
        <v>238</v>
      </c>
      <c r="AF3518" s="5" t="s">
        <v>238</v>
      </c>
      <c r="AG3518" s="5" t="s">
        <v>238</v>
      </c>
      <c r="AH3518" s="5" t="s">
        <v>238</v>
      </c>
      <c r="AI3518" s="5" t="s">
        <v>238</v>
      </c>
      <c r="AJ3518" s="5" t="s">
        <v>238</v>
      </c>
      <c r="AK3518" s="5" t="s">
        <v>238</v>
      </c>
      <c r="AL3518" s="5" t="s">
        <v>238</v>
      </c>
      <c r="AM3518" s="6" t="s">
        <v>238</v>
      </c>
      <c r="AN3518" s="6" t="s">
        <v>238</v>
      </c>
      <c r="AO3518" s="6" t="s">
        <v>238</v>
      </c>
      <c r="AP3518" s="6" t="s">
        <v>238</v>
      </c>
      <c r="AQ3518" s="5" t="s">
        <v>238</v>
      </c>
      <c r="AR3518" s="5" t="s">
        <v>488</v>
      </c>
      <c r="AS3518" s="5" t="s">
        <v>488</v>
      </c>
      <c r="AT3518" s="5" t="s">
        <v>246</v>
      </c>
      <c r="AU3518" s="5" t="s">
        <v>489</v>
      </c>
      <c r="AV3518" s="5" t="s">
        <v>247</v>
      </c>
      <c r="AW3518" s="5" t="s">
        <v>238</v>
      </c>
      <c r="AX3518" s="5" t="s">
        <v>249</v>
      </c>
      <c r="AY3518" s="5" t="s">
        <v>490</v>
      </c>
      <c r="BA3518" s="5" t="s">
        <v>238</v>
      </c>
      <c r="BC3518" s="5" t="s">
        <v>491</v>
      </c>
      <c r="BD3518" s="6" t="s">
        <v>492</v>
      </c>
      <c r="BE3518" s="5" t="s">
        <v>493</v>
      </c>
      <c r="BF3518" s="5" t="s">
        <v>493</v>
      </c>
      <c r="BG3518" s="5" t="s">
        <v>238</v>
      </c>
      <c r="BH3518" s="8">
        <f>1</f>
        <v>1</v>
      </c>
      <c r="BI3518" s="8">
        <f>1</f>
        <v>1</v>
      </c>
      <c r="BJ3518" s="5" t="s">
        <v>253</v>
      </c>
      <c r="BK3518" s="5" t="s">
        <v>254</v>
      </c>
      <c r="BL3518" s="5" t="s">
        <v>238</v>
      </c>
      <c r="BM3518" s="5" t="s">
        <v>238</v>
      </c>
      <c r="BN3518" s="5" t="s">
        <v>238</v>
      </c>
      <c r="BO3518" s="5" t="s">
        <v>238</v>
      </c>
      <c r="BP3518" s="5" t="s">
        <v>238</v>
      </c>
      <c r="BQ3518" s="5" t="s">
        <v>238</v>
      </c>
      <c r="BR3518" s="5" t="s">
        <v>238</v>
      </c>
      <c r="BS3518" s="5" t="s">
        <v>238</v>
      </c>
      <c r="BT3518" s="6" t="s">
        <v>238</v>
      </c>
      <c r="BU3518" s="5" t="s">
        <v>238</v>
      </c>
      <c r="BV3518" s="5" t="s">
        <v>238</v>
      </c>
      <c r="BW3518" s="5" t="s">
        <v>238</v>
      </c>
      <c r="BX3518" s="5" t="s">
        <v>254</v>
      </c>
      <c r="BY3518" s="5" t="s">
        <v>238</v>
      </c>
      <c r="BZ3518" s="5" t="s">
        <v>238</v>
      </c>
      <c r="CA3518" s="5" t="s">
        <v>238</v>
      </c>
      <c r="CB3518" s="5" t="s">
        <v>238</v>
      </c>
      <c r="CC3518" s="5" t="s">
        <v>238</v>
      </c>
      <c r="CD3518" s="5" t="s">
        <v>273</v>
      </c>
      <c r="CE3518" s="5" t="s">
        <v>256</v>
      </c>
      <c r="CF3518" s="5" t="s">
        <v>238</v>
      </c>
      <c r="CH3518" s="5" t="s">
        <v>494</v>
      </c>
      <c r="CI3518" s="6" t="s">
        <v>257</v>
      </c>
      <c r="CJ3518" s="5" t="s">
        <v>495</v>
      </c>
      <c r="CK3518" s="5" t="s">
        <v>258</v>
      </c>
      <c r="CL3518" s="5" t="s">
        <v>496</v>
      </c>
      <c r="CM3518" s="5" t="s">
        <v>238</v>
      </c>
      <c r="CN3518" s="5">
        <v>0</v>
      </c>
      <c r="CO3518" s="5" t="s">
        <v>497</v>
      </c>
      <c r="CP3518" s="5" t="s">
        <v>260</v>
      </c>
      <c r="CQ3518" s="5" t="s">
        <v>260</v>
      </c>
      <c r="CR3518" s="5" t="s">
        <v>261</v>
      </c>
      <c r="CS3518" s="5" t="s">
        <v>498</v>
      </c>
      <c r="CT3518" s="7">
        <f>1</f>
        <v>1</v>
      </c>
      <c r="CU3518" s="8">
        <f>1</f>
        <v>1</v>
      </c>
      <c r="CV3518" s="8">
        <f>0</f>
        <v>0</v>
      </c>
      <c r="CX3518" s="8">
        <f>1</f>
        <v>1</v>
      </c>
      <c r="CY3518" s="8">
        <f>1</f>
        <v>1</v>
      </c>
      <c r="CZ3518" s="8" t="s">
        <v>238</v>
      </c>
      <c r="DA3518" s="5" t="s">
        <v>238</v>
      </c>
      <c r="DB3518" s="5" t="s">
        <v>238</v>
      </c>
      <c r="DC3518" s="5" t="s">
        <v>238</v>
      </c>
      <c r="DD3518" s="5" t="s">
        <v>238</v>
      </c>
      <c r="DE3518" s="8">
        <f>0</f>
        <v>0</v>
      </c>
      <c r="DG3518" s="5" t="s">
        <v>238</v>
      </c>
      <c r="DH3518" s="5" t="s">
        <v>238</v>
      </c>
      <c r="DI3518" s="5" t="s">
        <v>238</v>
      </c>
      <c r="DJ3518" s="5" t="s">
        <v>238</v>
      </c>
      <c r="DK3518" s="5" t="s">
        <v>238</v>
      </c>
      <c r="DL3518" s="5" t="s">
        <v>238</v>
      </c>
      <c r="DM3518" s="8" t="s">
        <v>238</v>
      </c>
      <c r="DN3518" s="5" t="s">
        <v>238</v>
      </c>
      <c r="DO3518" s="5" t="s">
        <v>238</v>
      </c>
      <c r="DP3518" s="5" t="s">
        <v>490</v>
      </c>
      <c r="DQ3518" s="5" t="s">
        <v>490</v>
      </c>
      <c r="DR3518" s="5" t="s">
        <v>238</v>
      </c>
      <c r="DS3518" s="5" t="s">
        <v>238</v>
      </c>
      <c r="DT3518" s="5" t="s">
        <v>500</v>
      </c>
      <c r="DU3518" s="5" t="s">
        <v>636</v>
      </c>
      <c r="DV3518" s="5" t="s">
        <v>238</v>
      </c>
      <c r="DW3518" s="5" t="s">
        <v>238</v>
      </c>
      <c r="DX3518" s="5" t="s">
        <v>238</v>
      </c>
      <c r="DY3518" s="5" t="s">
        <v>238</v>
      </c>
      <c r="DZ3518" s="5" t="s">
        <v>238</v>
      </c>
      <c r="EA3518" s="5" t="s">
        <v>238</v>
      </c>
      <c r="EB3518" s="5" t="s">
        <v>238</v>
      </c>
      <c r="EC3518" s="5" t="s">
        <v>238</v>
      </c>
      <c r="ED3518" s="5" t="s">
        <v>238</v>
      </c>
      <c r="EE3518" s="5" t="s">
        <v>238</v>
      </c>
      <c r="EF3518" s="5" t="s">
        <v>238</v>
      </c>
      <c r="EG3518" s="5" t="s">
        <v>238</v>
      </c>
      <c r="EH3518" s="5" t="s">
        <v>238</v>
      </c>
      <c r="EI3518" s="5" t="s">
        <v>238</v>
      </c>
      <c r="EJ3518" s="5" t="s">
        <v>238</v>
      </c>
      <c r="EK3518" s="5" t="s">
        <v>238</v>
      </c>
      <c r="EL3518" s="5" t="s">
        <v>238</v>
      </c>
      <c r="EM3518" s="5" t="s">
        <v>238</v>
      </c>
      <c r="EN3518" s="5" t="s">
        <v>238</v>
      </c>
      <c r="EO3518" s="5" t="s">
        <v>238</v>
      </c>
      <c r="EP3518" s="5" t="s">
        <v>238</v>
      </c>
      <c r="EQ3518" s="5" t="s">
        <v>238</v>
      </c>
      <c r="ER3518" s="5" t="s">
        <v>238</v>
      </c>
      <c r="ES3518" s="5" t="s">
        <v>238</v>
      </c>
      <c r="ET3518" s="5" t="s">
        <v>238</v>
      </c>
      <c r="EU3518" s="5" t="s">
        <v>238</v>
      </c>
      <c r="EV3518" s="5" t="s">
        <v>238</v>
      </c>
      <c r="EW3518" s="5" t="s">
        <v>238</v>
      </c>
      <c r="EX3518" s="5" t="s">
        <v>238</v>
      </c>
      <c r="EY3518" s="5" t="s">
        <v>238</v>
      </c>
      <c r="EZ3518" s="5" t="s">
        <v>238</v>
      </c>
      <c r="FA3518" s="5" t="s">
        <v>238</v>
      </c>
      <c r="FB3518" s="5" t="s">
        <v>238</v>
      </c>
      <c r="FC3518" s="5" t="s">
        <v>238</v>
      </c>
      <c r="FD3518" s="5" t="s">
        <v>238</v>
      </c>
      <c r="FE3518" s="5" t="s">
        <v>238</v>
      </c>
      <c r="FF3518" s="5" t="s">
        <v>238</v>
      </c>
      <c r="FG3518" s="5" t="s">
        <v>238</v>
      </c>
      <c r="FH3518" s="5" t="s">
        <v>238</v>
      </c>
      <c r="FI3518" s="5" t="s">
        <v>238</v>
      </c>
      <c r="FJ3518" s="5" t="s">
        <v>238</v>
      </c>
      <c r="FK3518" s="5" t="s">
        <v>238</v>
      </c>
      <c r="FL3518" s="5" t="s">
        <v>238</v>
      </c>
      <c r="FM3518" s="5" t="s">
        <v>238</v>
      </c>
      <c r="FN3518" s="5" t="s">
        <v>238</v>
      </c>
      <c r="FO3518" s="5" t="s">
        <v>238</v>
      </c>
      <c r="FP3518" s="5" t="s">
        <v>238</v>
      </c>
      <c r="FQ3518" s="5" t="s">
        <v>238</v>
      </c>
      <c r="FR3518" s="5" t="s">
        <v>238</v>
      </c>
      <c r="FS3518" s="5" t="s">
        <v>238</v>
      </c>
      <c r="FT3518" s="5" t="s">
        <v>238</v>
      </c>
      <c r="FU3518" s="5" t="s">
        <v>238</v>
      </c>
      <c r="FV3518" s="5" t="s">
        <v>238</v>
      </c>
      <c r="FW3518" s="5" t="s">
        <v>238</v>
      </c>
      <c r="FX3518" s="5" t="s">
        <v>238</v>
      </c>
      <c r="FY3518" s="5" t="s">
        <v>238</v>
      </c>
      <c r="FZ3518" s="5" t="s">
        <v>238</v>
      </c>
      <c r="GA3518" s="5" t="s">
        <v>238</v>
      </c>
      <c r="GB3518" s="5" t="s">
        <v>238</v>
      </c>
      <c r="GC3518" s="5" t="s">
        <v>238</v>
      </c>
      <c r="GD3518" s="5" t="s">
        <v>238</v>
      </c>
      <c r="GE3518" s="5" t="s">
        <v>238</v>
      </c>
      <c r="GF3518" s="5" t="s">
        <v>238</v>
      </c>
      <c r="GG3518" s="5" t="s">
        <v>238</v>
      </c>
      <c r="GH3518" s="5" t="s">
        <v>238</v>
      </c>
      <c r="GI3518" s="5" t="s">
        <v>238</v>
      </c>
      <c r="GJ3518" s="5" t="s">
        <v>238</v>
      </c>
      <c r="GK3518" s="5" t="s">
        <v>238</v>
      </c>
      <c r="GL3518" s="5" t="s">
        <v>238</v>
      </c>
      <c r="GM3518" s="5" t="s">
        <v>238</v>
      </c>
      <c r="GN3518" s="5" t="s">
        <v>238</v>
      </c>
      <c r="GO3518" s="5" t="s">
        <v>238</v>
      </c>
      <c r="GP3518" s="5" t="s">
        <v>238</v>
      </c>
      <c r="GQ3518" s="5" t="s">
        <v>238</v>
      </c>
      <c r="GR3518" s="5" t="s">
        <v>238</v>
      </c>
      <c r="GS3518" s="5" t="s">
        <v>238</v>
      </c>
      <c r="GT3518" s="5" t="s">
        <v>238</v>
      </c>
      <c r="GU3518" s="5" t="s">
        <v>238</v>
      </c>
      <c r="GV3518" s="5" t="s">
        <v>238</v>
      </c>
      <c r="GW3518" s="5" t="s">
        <v>238</v>
      </c>
      <c r="GX3518" s="5" t="s">
        <v>238</v>
      </c>
      <c r="GY3518" s="5" t="s">
        <v>238</v>
      </c>
      <c r="GZ3518" s="5" t="s">
        <v>238</v>
      </c>
      <c r="HA3518" s="5" t="s">
        <v>238</v>
      </c>
      <c r="HB3518" s="5" t="s">
        <v>238</v>
      </c>
      <c r="HC3518" s="5" t="s">
        <v>238</v>
      </c>
      <c r="HD3518" s="5" t="s">
        <v>238</v>
      </c>
      <c r="HE3518" s="5" t="s">
        <v>238</v>
      </c>
      <c r="HF3518" s="5" t="s">
        <v>238</v>
      </c>
      <c r="HG3518" s="5" t="s">
        <v>238</v>
      </c>
      <c r="HH3518" s="5" t="s">
        <v>238</v>
      </c>
      <c r="HI3518" s="5" t="s">
        <v>238</v>
      </c>
      <c r="HJ3518" s="5" t="s">
        <v>238</v>
      </c>
      <c r="HK3518" s="5" t="s">
        <v>238</v>
      </c>
      <c r="HL3518" s="5" t="s">
        <v>238</v>
      </c>
      <c r="HM3518" s="5" t="s">
        <v>264</v>
      </c>
      <c r="HN3518" s="5" t="s">
        <v>238</v>
      </c>
      <c r="HO3518" s="5" t="s">
        <v>238</v>
      </c>
      <c r="HP3518" s="5" t="s">
        <v>238</v>
      </c>
      <c r="HQ3518" s="5" t="s">
        <v>238</v>
      </c>
      <c r="HR3518" s="5" t="s">
        <v>238</v>
      </c>
      <c r="HS3518" s="5" t="s">
        <v>238</v>
      </c>
      <c r="HT3518" s="5" t="s">
        <v>238</v>
      </c>
      <c r="HU3518" s="5" t="s">
        <v>238</v>
      </c>
      <c r="HV3518" s="5" t="s">
        <v>238</v>
      </c>
      <c r="HW3518" s="5" t="s">
        <v>238</v>
      </c>
      <c r="HX3518" s="5" t="s">
        <v>238</v>
      </c>
      <c r="HY3518" s="5" t="s">
        <v>238</v>
      </c>
      <c r="HZ3518" s="5" t="s">
        <v>238</v>
      </c>
      <c r="IA3518" s="5" t="s">
        <v>238</v>
      </c>
      <c r="IB3518" s="5" t="s">
        <v>238</v>
      </c>
      <c r="IC3518" s="5" t="s">
        <v>238</v>
      </c>
      <c r="ID3518" s="5" t="s">
        <v>238</v>
      </c>
    </row>
    <row r="3519" spans="1:238" x14ac:dyDescent="0.4">
      <c r="A3519" s="5">
        <v>9237</v>
      </c>
      <c r="B3519" s="5">
        <v>1</v>
      </c>
      <c r="C3519" s="5">
        <v>1</v>
      </c>
      <c r="D3519" s="5" t="s">
        <v>484</v>
      </c>
      <c r="E3519" s="5" t="s">
        <v>485</v>
      </c>
      <c r="F3519" s="5" t="s">
        <v>248</v>
      </c>
      <c r="G3519" s="5" t="s">
        <v>6413</v>
      </c>
      <c r="H3519" s="6" t="s">
        <v>6415</v>
      </c>
      <c r="I3519" s="8">
        <f>1</f>
        <v>1</v>
      </c>
      <c r="J3519" s="5" t="s">
        <v>499</v>
      </c>
      <c r="K3519" s="8">
        <f>1</f>
        <v>1</v>
      </c>
      <c r="L3519" s="6" t="s">
        <v>242</v>
      </c>
      <c r="M3519" s="5" t="s">
        <v>267</v>
      </c>
      <c r="N3519" s="5" t="s">
        <v>482</v>
      </c>
      <c r="O3519" s="5" t="s">
        <v>238</v>
      </c>
      <c r="P3519" s="5" t="s">
        <v>238</v>
      </c>
      <c r="Q3519" s="5" t="s">
        <v>239</v>
      </c>
      <c r="R3519" s="5" t="s">
        <v>270</v>
      </c>
      <c r="S3519" s="5" t="s">
        <v>238</v>
      </c>
      <c r="T3519" s="5" t="s">
        <v>238</v>
      </c>
      <c r="U3519" s="5" t="s">
        <v>238</v>
      </c>
      <c r="V3519" s="5" t="s">
        <v>238</v>
      </c>
      <c r="W3519" s="6" t="s">
        <v>238</v>
      </c>
      <c r="X3519" s="6" t="s">
        <v>238</v>
      </c>
      <c r="Y3519" s="5" t="s">
        <v>238</v>
      </c>
      <c r="Z3519" s="6" t="s">
        <v>238</v>
      </c>
      <c r="AA3519" s="6" t="s">
        <v>243</v>
      </c>
      <c r="AB3519" s="5" t="s">
        <v>6414</v>
      </c>
      <c r="AC3519" s="5" t="s">
        <v>244</v>
      </c>
      <c r="AD3519" s="5" t="s">
        <v>245</v>
      </c>
      <c r="AE3519" s="5" t="s">
        <v>238</v>
      </c>
      <c r="AF3519" s="5" t="s">
        <v>238</v>
      </c>
      <c r="AG3519" s="5" t="s">
        <v>238</v>
      </c>
      <c r="AH3519" s="5" t="s">
        <v>238</v>
      </c>
      <c r="AI3519" s="5" t="s">
        <v>238</v>
      </c>
      <c r="AJ3519" s="5" t="s">
        <v>238</v>
      </c>
      <c r="AK3519" s="5" t="s">
        <v>238</v>
      </c>
      <c r="AL3519" s="5" t="s">
        <v>238</v>
      </c>
      <c r="AM3519" s="6" t="s">
        <v>238</v>
      </c>
      <c r="AN3519" s="6" t="s">
        <v>238</v>
      </c>
      <c r="AO3519" s="6" t="s">
        <v>238</v>
      </c>
      <c r="AP3519" s="6" t="s">
        <v>238</v>
      </c>
      <c r="AQ3519" s="5" t="s">
        <v>238</v>
      </c>
      <c r="AR3519" s="5" t="s">
        <v>488</v>
      </c>
      <c r="AS3519" s="5" t="s">
        <v>488</v>
      </c>
      <c r="AT3519" s="5" t="s">
        <v>246</v>
      </c>
      <c r="AU3519" s="5" t="s">
        <v>489</v>
      </c>
      <c r="AV3519" s="5" t="s">
        <v>247</v>
      </c>
      <c r="AW3519" s="5" t="s">
        <v>238</v>
      </c>
      <c r="AX3519" s="5" t="s">
        <v>249</v>
      </c>
      <c r="AY3519" s="5" t="s">
        <v>490</v>
      </c>
      <c r="BA3519" s="5" t="s">
        <v>238</v>
      </c>
      <c r="BC3519" s="5" t="s">
        <v>491</v>
      </c>
      <c r="BD3519" s="6" t="s">
        <v>492</v>
      </c>
      <c r="BE3519" s="5" t="s">
        <v>493</v>
      </c>
      <c r="BF3519" s="5" t="s">
        <v>493</v>
      </c>
      <c r="BG3519" s="5" t="s">
        <v>238</v>
      </c>
      <c r="BH3519" s="8">
        <f>1</f>
        <v>1</v>
      </c>
      <c r="BI3519" s="8">
        <f>1</f>
        <v>1</v>
      </c>
      <c r="BJ3519" s="5" t="s">
        <v>253</v>
      </c>
      <c r="BK3519" s="5" t="s">
        <v>254</v>
      </c>
      <c r="BL3519" s="5" t="s">
        <v>238</v>
      </c>
      <c r="BM3519" s="5" t="s">
        <v>238</v>
      </c>
      <c r="BN3519" s="5" t="s">
        <v>238</v>
      </c>
      <c r="BO3519" s="5" t="s">
        <v>238</v>
      </c>
      <c r="BP3519" s="5" t="s">
        <v>238</v>
      </c>
      <c r="BQ3519" s="5" t="s">
        <v>238</v>
      </c>
      <c r="BR3519" s="5" t="s">
        <v>238</v>
      </c>
      <c r="BS3519" s="5" t="s">
        <v>238</v>
      </c>
      <c r="BT3519" s="6" t="s">
        <v>238</v>
      </c>
      <c r="BU3519" s="5" t="s">
        <v>238</v>
      </c>
      <c r="BV3519" s="5" t="s">
        <v>238</v>
      </c>
      <c r="BW3519" s="5" t="s">
        <v>238</v>
      </c>
      <c r="BX3519" s="5" t="s">
        <v>254</v>
      </c>
      <c r="BY3519" s="5" t="s">
        <v>238</v>
      </c>
      <c r="BZ3519" s="5" t="s">
        <v>238</v>
      </c>
      <c r="CA3519" s="5" t="s">
        <v>238</v>
      </c>
      <c r="CB3519" s="5" t="s">
        <v>238</v>
      </c>
      <c r="CC3519" s="5" t="s">
        <v>238</v>
      </c>
      <c r="CD3519" s="5" t="s">
        <v>273</v>
      </c>
      <c r="CE3519" s="5" t="s">
        <v>256</v>
      </c>
      <c r="CF3519" s="5" t="s">
        <v>238</v>
      </c>
      <c r="CH3519" s="5" t="s">
        <v>494</v>
      </c>
      <c r="CI3519" s="6" t="s">
        <v>257</v>
      </c>
      <c r="CJ3519" s="5" t="s">
        <v>495</v>
      </c>
      <c r="CK3519" s="5" t="s">
        <v>258</v>
      </c>
      <c r="CL3519" s="5" t="s">
        <v>496</v>
      </c>
      <c r="CM3519" s="5" t="s">
        <v>238</v>
      </c>
      <c r="CN3519" s="5">
        <v>0</v>
      </c>
      <c r="CO3519" s="5" t="s">
        <v>497</v>
      </c>
      <c r="CP3519" s="5" t="s">
        <v>260</v>
      </c>
      <c r="CQ3519" s="5" t="s">
        <v>260</v>
      </c>
      <c r="CR3519" s="5" t="s">
        <v>261</v>
      </c>
      <c r="CS3519" s="5" t="s">
        <v>498</v>
      </c>
      <c r="CT3519" s="7">
        <f>1</f>
        <v>1</v>
      </c>
      <c r="CU3519" s="8">
        <f>1</f>
        <v>1</v>
      </c>
      <c r="CV3519" s="8">
        <f>0</f>
        <v>0</v>
      </c>
      <c r="CX3519" s="8">
        <f>1</f>
        <v>1</v>
      </c>
      <c r="CY3519" s="8">
        <f>1</f>
        <v>1</v>
      </c>
      <c r="CZ3519" s="8" t="s">
        <v>238</v>
      </c>
      <c r="DA3519" s="5" t="s">
        <v>238</v>
      </c>
      <c r="DB3519" s="5" t="s">
        <v>238</v>
      </c>
      <c r="DC3519" s="5" t="s">
        <v>238</v>
      </c>
      <c r="DD3519" s="5" t="s">
        <v>238</v>
      </c>
      <c r="DE3519" s="8">
        <f>0</f>
        <v>0</v>
      </c>
      <c r="DG3519" s="5" t="s">
        <v>238</v>
      </c>
      <c r="DH3519" s="5" t="s">
        <v>238</v>
      </c>
      <c r="DI3519" s="5" t="s">
        <v>238</v>
      </c>
      <c r="DJ3519" s="5" t="s">
        <v>238</v>
      </c>
      <c r="DK3519" s="5" t="s">
        <v>238</v>
      </c>
      <c r="DL3519" s="5" t="s">
        <v>238</v>
      </c>
      <c r="DM3519" s="8" t="s">
        <v>238</v>
      </c>
      <c r="DN3519" s="5" t="s">
        <v>238</v>
      </c>
      <c r="DO3519" s="5" t="s">
        <v>238</v>
      </c>
      <c r="DP3519" s="5" t="s">
        <v>490</v>
      </c>
      <c r="DQ3519" s="5" t="s">
        <v>490</v>
      </c>
      <c r="DR3519" s="5" t="s">
        <v>238</v>
      </c>
      <c r="DS3519" s="5" t="s">
        <v>238</v>
      </c>
      <c r="DT3519" s="5" t="s">
        <v>500</v>
      </c>
      <c r="DU3519" s="5" t="s">
        <v>1120</v>
      </c>
      <c r="DV3519" s="5" t="s">
        <v>238</v>
      </c>
      <c r="DW3519" s="5" t="s">
        <v>238</v>
      </c>
      <c r="DX3519" s="5" t="s">
        <v>238</v>
      </c>
      <c r="DY3519" s="5" t="s">
        <v>238</v>
      </c>
      <c r="DZ3519" s="5" t="s">
        <v>238</v>
      </c>
      <c r="EA3519" s="5" t="s">
        <v>238</v>
      </c>
      <c r="EB3519" s="5" t="s">
        <v>238</v>
      </c>
      <c r="EC3519" s="5" t="s">
        <v>238</v>
      </c>
      <c r="ED3519" s="5" t="s">
        <v>238</v>
      </c>
      <c r="EE3519" s="5" t="s">
        <v>238</v>
      </c>
      <c r="EF3519" s="5" t="s">
        <v>238</v>
      </c>
      <c r="EG3519" s="5" t="s">
        <v>238</v>
      </c>
      <c r="EH3519" s="5" t="s">
        <v>238</v>
      </c>
      <c r="EI3519" s="5" t="s">
        <v>238</v>
      </c>
      <c r="EJ3519" s="5" t="s">
        <v>238</v>
      </c>
      <c r="EK3519" s="5" t="s">
        <v>238</v>
      </c>
      <c r="EL3519" s="5" t="s">
        <v>238</v>
      </c>
      <c r="EM3519" s="5" t="s">
        <v>238</v>
      </c>
      <c r="EN3519" s="5" t="s">
        <v>238</v>
      </c>
      <c r="EO3519" s="5" t="s">
        <v>238</v>
      </c>
      <c r="EP3519" s="5" t="s">
        <v>238</v>
      </c>
      <c r="EQ3519" s="5" t="s">
        <v>238</v>
      </c>
      <c r="ER3519" s="5" t="s">
        <v>238</v>
      </c>
      <c r="ES3519" s="5" t="s">
        <v>238</v>
      </c>
      <c r="ET3519" s="5" t="s">
        <v>238</v>
      </c>
      <c r="EU3519" s="5" t="s">
        <v>238</v>
      </c>
      <c r="EV3519" s="5" t="s">
        <v>238</v>
      </c>
      <c r="EW3519" s="5" t="s">
        <v>238</v>
      </c>
      <c r="EX3519" s="5" t="s">
        <v>238</v>
      </c>
      <c r="EY3519" s="5" t="s">
        <v>238</v>
      </c>
      <c r="EZ3519" s="5" t="s">
        <v>238</v>
      </c>
      <c r="FA3519" s="5" t="s">
        <v>238</v>
      </c>
      <c r="FB3519" s="5" t="s">
        <v>238</v>
      </c>
      <c r="FC3519" s="5" t="s">
        <v>238</v>
      </c>
      <c r="FD3519" s="5" t="s">
        <v>238</v>
      </c>
      <c r="FE3519" s="5" t="s">
        <v>238</v>
      </c>
      <c r="FF3519" s="5" t="s">
        <v>238</v>
      </c>
      <c r="FG3519" s="5" t="s">
        <v>238</v>
      </c>
      <c r="FH3519" s="5" t="s">
        <v>238</v>
      </c>
      <c r="FI3519" s="5" t="s">
        <v>238</v>
      </c>
      <c r="FJ3519" s="5" t="s">
        <v>238</v>
      </c>
      <c r="FK3519" s="5" t="s">
        <v>238</v>
      </c>
      <c r="FL3519" s="5" t="s">
        <v>238</v>
      </c>
      <c r="FM3519" s="5" t="s">
        <v>238</v>
      </c>
      <c r="FN3519" s="5" t="s">
        <v>238</v>
      </c>
      <c r="FO3519" s="5" t="s">
        <v>238</v>
      </c>
      <c r="FP3519" s="5" t="s">
        <v>238</v>
      </c>
      <c r="FQ3519" s="5" t="s">
        <v>238</v>
      </c>
      <c r="FR3519" s="5" t="s">
        <v>238</v>
      </c>
      <c r="FS3519" s="5" t="s">
        <v>238</v>
      </c>
      <c r="FT3519" s="5" t="s">
        <v>238</v>
      </c>
      <c r="FU3519" s="5" t="s">
        <v>238</v>
      </c>
      <c r="FV3519" s="5" t="s">
        <v>238</v>
      </c>
      <c r="FW3519" s="5" t="s">
        <v>238</v>
      </c>
      <c r="FX3519" s="5" t="s">
        <v>238</v>
      </c>
      <c r="FY3519" s="5" t="s">
        <v>238</v>
      </c>
      <c r="FZ3519" s="5" t="s">
        <v>238</v>
      </c>
      <c r="GA3519" s="5" t="s">
        <v>238</v>
      </c>
      <c r="GB3519" s="5" t="s">
        <v>238</v>
      </c>
      <c r="GC3519" s="5" t="s">
        <v>238</v>
      </c>
      <c r="GD3519" s="5" t="s">
        <v>238</v>
      </c>
      <c r="GE3519" s="5" t="s">
        <v>238</v>
      </c>
      <c r="GF3519" s="5" t="s">
        <v>238</v>
      </c>
      <c r="GG3519" s="5" t="s">
        <v>238</v>
      </c>
      <c r="GH3519" s="5" t="s">
        <v>238</v>
      </c>
      <c r="GI3519" s="5" t="s">
        <v>238</v>
      </c>
      <c r="GJ3519" s="5" t="s">
        <v>238</v>
      </c>
      <c r="GK3519" s="5" t="s">
        <v>238</v>
      </c>
      <c r="GL3519" s="5" t="s">
        <v>238</v>
      </c>
      <c r="GM3519" s="5" t="s">
        <v>238</v>
      </c>
      <c r="GN3519" s="5" t="s">
        <v>238</v>
      </c>
      <c r="GO3519" s="5" t="s">
        <v>238</v>
      </c>
      <c r="GP3519" s="5" t="s">
        <v>238</v>
      </c>
      <c r="GQ3519" s="5" t="s">
        <v>238</v>
      </c>
      <c r="GR3519" s="5" t="s">
        <v>238</v>
      </c>
      <c r="GS3519" s="5" t="s">
        <v>238</v>
      </c>
      <c r="GT3519" s="5" t="s">
        <v>238</v>
      </c>
      <c r="GU3519" s="5" t="s">
        <v>238</v>
      </c>
      <c r="GV3519" s="5" t="s">
        <v>238</v>
      </c>
      <c r="GW3519" s="5" t="s">
        <v>238</v>
      </c>
      <c r="GX3519" s="5" t="s">
        <v>238</v>
      </c>
      <c r="GY3519" s="5" t="s">
        <v>238</v>
      </c>
      <c r="GZ3519" s="5" t="s">
        <v>238</v>
      </c>
      <c r="HA3519" s="5" t="s">
        <v>238</v>
      </c>
      <c r="HB3519" s="5" t="s">
        <v>238</v>
      </c>
      <c r="HC3519" s="5" t="s">
        <v>238</v>
      </c>
      <c r="HD3519" s="5" t="s">
        <v>238</v>
      </c>
      <c r="HE3519" s="5" t="s">
        <v>238</v>
      </c>
      <c r="HF3519" s="5" t="s">
        <v>238</v>
      </c>
      <c r="HG3519" s="5" t="s">
        <v>238</v>
      </c>
      <c r="HH3519" s="5" t="s">
        <v>238</v>
      </c>
      <c r="HI3519" s="5" t="s">
        <v>238</v>
      </c>
      <c r="HJ3519" s="5" t="s">
        <v>238</v>
      </c>
      <c r="HK3519" s="5" t="s">
        <v>238</v>
      </c>
      <c r="HL3519" s="5" t="s">
        <v>238</v>
      </c>
      <c r="HM3519" s="5" t="s">
        <v>264</v>
      </c>
      <c r="HN3519" s="5" t="s">
        <v>238</v>
      </c>
      <c r="HO3519" s="5" t="s">
        <v>238</v>
      </c>
      <c r="HP3519" s="5" t="s">
        <v>238</v>
      </c>
      <c r="HQ3519" s="5" t="s">
        <v>238</v>
      </c>
      <c r="HR3519" s="5" t="s">
        <v>238</v>
      </c>
      <c r="HS3519" s="5" t="s">
        <v>238</v>
      </c>
      <c r="HT3519" s="5" t="s">
        <v>238</v>
      </c>
      <c r="HU3519" s="5" t="s">
        <v>238</v>
      </c>
      <c r="HV3519" s="5" t="s">
        <v>238</v>
      </c>
      <c r="HW3519" s="5" t="s">
        <v>238</v>
      </c>
      <c r="HX3519" s="5" t="s">
        <v>238</v>
      </c>
      <c r="HY3519" s="5" t="s">
        <v>238</v>
      </c>
      <c r="HZ3519" s="5" t="s">
        <v>238</v>
      </c>
      <c r="IA3519" s="5" t="s">
        <v>238</v>
      </c>
      <c r="IB3519" s="5" t="s">
        <v>238</v>
      </c>
      <c r="IC3519" s="5" t="s">
        <v>238</v>
      </c>
      <c r="ID3519" s="5" t="s">
        <v>238</v>
      </c>
    </row>
    <row r="3520" spans="1:238" x14ac:dyDescent="0.4">
      <c r="A3520" s="5">
        <v>9238</v>
      </c>
      <c r="B3520" s="5">
        <v>1</v>
      </c>
      <c r="C3520" s="5">
        <v>1</v>
      </c>
      <c r="D3520" s="5" t="s">
        <v>484</v>
      </c>
      <c r="E3520" s="5" t="s">
        <v>485</v>
      </c>
      <c r="F3520" s="5" t="s">
        <v>248</v>
      </c>
      <c r="G3520" s="5" t="s">
        <v>4626</v>
      </c>
      <c r="H3520" s="6" t="s">
        <v>4627</v>
      </c>
      <c r="I3520" s="8">
        <f>1</f>
        <v>1</v>
      </c>
      <c r="J3520" s="5" t="s">
        <v>499</v>
      </c>
      <c r="K3520" s="8">
        <f>1</f>
        <v>1</v>
      </c>
      <c r="L3520" s="6" t="s">
        <v>242</v>
      </c>
      <c r="M3520" s="5" t="s">
        <v>267</v>
      </c>
      <c r="N3520" s="5" t="s">
        <v>482</v>
      </c>
      <c r="O3520" s="5" t="s">
        <v>238</v>
      </c>
      <c r="P3520" s="5" t="s">
        <v>238</v>
      </c>
      <c r="Q3520" s="5" t="s">
        <v>239</v>
      </c>
      <c r="R3520" s="5" t="s">
        <v>270</v>
      </c>
      <c r="S3520" s="5" t="s">
        <v>238</v>
      </c>
      <c r="T3520" s="5" t="s">
        <v>238</v>
      </c>
      <c r="U3520" s="5" t="s">
        <v>238</v>
      </c>
      <c r="V3520" s="5" t="s">
        <v>238</v>
      </c>
      <c r="W3520" s="6" t="s">
        <v>238</v>
      </c>
      <c r="X3520" s="6" t="s">
        <v>238</v>
      </c>
      <c r="Y3520" s="5" t="s">
        <v>238</v>
      </c>
      <c r="Z3520" s="6" t="s">
        <v>238</v>
      </c>
      <c r="AA3520" s="6" t="s">
        <v>243</v>
      </c>
      <c r="AB3520" s="5" t="s">
        <v>486</v>
      </c>
      <c r="AC3520" s="5" t="s">
        <v>244</v>
      </c>
      <c r="AD3520" s="5" t="s">
        <v>245</v>
      </c>
      <c r="AE3520" s="5" t="s">
        <v>238</v>
      </c>
      <c r="AF3520" s="5" t="s">
        <v>238</v>
      </c>
      <c r="AG3520" s="5" t="s">
        <v>238</v>
      </c>
      <c r="AH3520" s="5" t="s">
        <v>238</v>
      </c>
      <c r="AI3520" s="5" t="s">
        <v>238</v>
      </c>
      <c r="AJ3520" s="5" t="s">
        <v>238</v>
      </c>
      <c r="AK3520" s="5" t="s">
        <v>238</v>
      </c>
      <c r="AL3520" s="5" t="s">
        <v>238</v>
      </c>
      <c r="AM3520" s="6" t="s">
        <v>238</v>
      </c>
      <c r="AN3520" s="6" t="s">
        <v>238</v>
      </c>
      <c r="AO3520" s="6" t="s">
        <v>238</v>
      </c>
      <c r="AP3520" s="6" t="s">
        <v>238</v>
      </c>
      <c r="AQ3520" s="5" t="s">
        <v>238</v>
      </c>
      <c r="AR3520" s="5" t="s">
        <v>488</v>
      </c>
      <c r="AS3520" s="5" t="s">
        <v>488</v>
      </c>
      <c r="AT3520" s="5" t="s">
        <v>246</v>
      </c>
      <c r="AU3520" s="5" t="s">
        <v>489</v>
      </c>
      <c r="AV3520" s="5" t="s">
        <v>247</v>
      </c>
      <c r="AW3520" s="5" t="s">
        <v>238</v>
      </c>
      <c r="AX3520" s="5" t="s">
        <v>249</v>
      </c>
      <c r="AY3520" s="5" t="s">
        <v>490</v>
      </c>
      <c r="BA3520" s="5" t="s">
        <v>238</v>
      </c>
      <c r="BC3520" s="5" t="s">
        <v>491</v>
      </c>
      <c r="BD3520" s="6" t="s">
        <v>492</v>
      </c>
      <c r="BE3520" s="5" t="s">
        <v>493</v>
      </c>
      <c r="BF3520" s="5" t="s">
        <v>493</v>
      </c>
      <c r="BG3520" s="5" t="s">
        <v>238</v>
      </c>
      <c r="BH3520" s="8">
        <f>1</f>
        <v>1</v>
      </c>
      <c r="BI3520" s="8">
        <f>1</f>
        <v>1</v>
      </c>
      <c r="BJ3520" s="5" t="s">
        <v>253</v>
      </c>
      <c r="BK3520" s="5" t="s">
        <v>254</v>
      </c>
      <c r="BL3520" s="5" t="s">
        <v>238</v>
      </c>
      <c r="BM3520" s="5" t="s">
        <v>238</v>
      </c>
      <c r="BN3520" s="5" t="s">
        <v>238</v>
      </c>
      <c r="BO3520" s="5" t="s">
        <v>238</v>
      </c>
      <c r="BP3520" s="5" t="s">
        <v>238</v>
      </c>
      <c r="BQ3520" s="5" t="s">
        <v>238</v>
      </c>
      <c r="BR3520" s="5" t="s">
        <v>238</v>
      </c>
      <c r="BS3520" s="5" t="s">
        <v>238</v>
      </c>
      <c r="BT3520" s="6" t="s">
        <v>238</v>
      </c>
      <c r="BU3520" s="5" t="s">
        <v>238</v>
      </c>
      <c r="BV3520" s="5" t="s">
        <v>238</v>
      </c>
      <c r="BW3520" s="5" t="s">
        <v>238</v>
      </c>
      <c r="BX3520" s="5" t="s">
        <v>254</v>
      </c>
      <c r="BY3520" s="5" t="s">
        <v>238</v>
      </c>
      <c r="BZ3520" s="5" t="s">
        <v>238</v>
      </c>
      <c r="CA3520" s="5" t="s">
        <v>238</v>
      </c>
      <c r="CB3520" s="5" t="s">
        <v>238</v>
      </c>
      <c r="CC3520" s="5" t="s">
        <v>238</v>
      </c>
      <c r="CD3520" s="5" t="s">
        <v>273</v>
      </c>
      <c r="CE3520" s="5" t="s">
        <v>256</v>
      </c>
      <c r="CF3520" s="5" t="s">
        <v>238</v>
      </c>
      <c r="CH3520" s="5" t="s">
        <v>494</v>
      </c>
      <c r="CI3520" s="6" t="s">
        <v>257</v>
      </c>
      <c r="CJ3520" s="5" t="s">
        <v>495</v>
      </c>
      <c r="CK3520" s="5" t="s">
        <v>258</v>
      </c>
      <c r="CL3520" s="5" t="s">
        <v>496</v>
      </c>
      <c r="CM3520" s="5" t="s">
        <v>238</v>
      </c>
      <c r="CN3520" s="5">
        <v>0</v>
      </c>
      <c r="CO3520" s="5" t="s">
        <v>497</v>
      </c>
      <c r="CP3520" s="5" t="s">
        <v>260</v>
      </c>
      <c r="CQ3520" s="5" t="s">
        <v>260</v>
      </c>
      <c r="CR3520" s="5" t="s">
        <v>261</v>
      </c>
      <c r="CS3520" s="5" t="s">
        <v>498</v>
      </c>
      <c r="CT3520" s="7">
        <f>1</f>
        <v>1</v>
      </c>
      <c r="CU3520" s="8">
        <f>1</f>
        <v>1</v>
      </c>
      <c r="CV3520" s="8">
        <f>0</f>
        <v>0</v>
      </c>
      <c r="CX3520" s="8">
        <f>1</f>
        <v>1</v>
      </c>
      <c r="CY3520" s="8">
        <f>1</f>
        <v>1</v>
      </c>
      <c r="CZ3520" s="8" t="s">
        <v>238</v>
      </c>
      <c r="DA3520" s="5" t="s">
        <v>238</v>
      </c>
      <c r="DB3520" s="5" t="s">
        <v>238</v>
      </c>
      <c r="DC3520" s="5" t="s">
        <v>238</v>
      </c>
      <c r="DD3520" s="5" t="s">
        <v>238</v>
      </c>
      <c r="DE3520" s="8">
        <f>0</f>
        <v>0</v>
      </c>
      <c r="DG3520" s="5" t="s">
        <v>238</v>
      </c>
      <c r="DH3520" s="5" t="s">
        <v>238</v>
      </c>
      <c r="DI3520" s="5" t="s">
        <v>238</v>
      </c>
      <c r="DJ3520" s="5" t="s">
        <v>238</v>
      </c>
      <c r="DK3520" s="5" t="s">
        <v>238</v>
      </c>
      <c r="DL3520" s="5" t="s">
        <v>238</v>
      </c>
      <c r="DM3520" s="8" t="s">
        <v>238</v>
      </c>
      <c r="DN3520" s="5" t="s">
        <v>238</v>
      </c>
      <c r="DO3520" s="5" t="s">
        <v>238</v>
      </c>
      <c r="DP3520" s="5" t="s">
        <v>490</v>
      </c>
      <c r="DQ3520" s="5" t="s">
        <v>490</v>
      </c>
      <c r="DR3520" s="5" t="s">
        <v>238</v>
      </c>
      <c r="DS3520" s="5" t="s">
        <v>238</v>
      </c>
      <c r="DT3520" s="5" t="s">
        <v>500</v>
      </c>
      <c r="DU3520" s="5" t="s">
        <v>652</v>
      </c>
      <c r="DV3520" s="5" t="s">
        <v>238</v>
      </c>
      <c r="DW3520" s="5" t="s">
        <v>238</v>
      </c>
      <c r="DX3520" s="5" t="s">
        <v>238</v>
      </c>
      <c r="DY3520" s="5" t="s">
        <v>238</v>
      </c>
      <c r="DZ3520" s="5" t="s">
        <v>238</v>
      </c>
      <c r="EA3520" s="5" t="s">
        <v>238</v>
      </c>
      <c r="EB3520" s="5" t="s">
        <v>238</v>
      </c>
      <c r="EC3520" s="5" t="s">
        <v>238</v>
      </c>
      <c r="ED3520" s="5" t="s">
        <v>238</v>
      </c>
      <c r="EE3520" s="5" t="s">
        <v>238</v>
      </c>
      <c r="EF3520" s="5" t="s">
        <v>238</v>
      </c>
      <c r="EG3520" s="5" t="s">
        <v>238</v>
      </c>
      <c r="EH3520" s="5" t="s">
        <v>238</v>
      </c>
      <c r="EI3520" s="5" t="s">
        <v>238</v>
      </c>
      <c r="EJ3520" s="5" t="s">
        <v>238</v>
      </c>
      <c r="EK3520" s="5" t="s">
        <v>238</v>
      </c>
      <c r="EL3520" s="5" t="s">
        <v>238</v>
      </c>
      <c r="EM3520" s="5" t="s">
        <v>238</v>
      </c>
      <c r="EN3520" s="5" t="s">
        <v>238</v>
      </c>
      <c r="EO3520" s="5" t="s">
        <v>238</v>
      </c>
      <c r="EP3520" s="5" t="s">
        <v>238</v>
      </c>
      <c r="EQ3520" s="5" t="s">
        <v>238</v>
      </c>
      <c r="ER3520" s="5" t="s">
        <v>238</v>
      </c>
      <c r="ES3520" s="5" t="s">
        <v>238</v>
      </c>
      <c r="ET3520" s="5" t="s">
        <v>238</v>
      </c>
      <c r="EU3520" s="5" t="s">
        <v>238</v>
      </c>
      <c r="EV3520" s="5" t="s">
        <v>238</v>
      </c>
      <c r="EW3520" s="5" t="s">
        <v>238</v>
      </c>
      <c r="EX3520" s="5" t="s">
        <v>238</v>
      </c>
      <c r="EY3520" s="5" t="s">
        <v>238</v>
      </c>
      <c r="EZ3520" s="5" t="s">
        <v>238</v>
      </c>
      <c r="FA3520" s="5" t="s">
        <v>238</v>
      </c>
      <c r="FB3520" s="5" t="s">
        <v>238</v>
      </c>
      <c r="FC3520" s="5" t="s">
        <v>238</v>
      </c>
      <c r="FD3520" s="5" t="s">
        <v>238</v>
      </c>
      <c r="FE3520" s="5" t="s">
        <v>238</v>
      </c>
      <c r="FF3520" s="5" t="s">
        <v>238</v>
      </c>
      <c r="FG3520" s="5" t="s">
        <v>238</v>
      </c>
      <c r="FH3520" s="5" t="s">
        <v>238</v>
      </c>
      <c r="FI3520" s="5" t="s">
        <v>238</v>
      </c>
      <c r="FJ3520" s="5" t="s">
        <v>238</v>
      </c>
      <c r="FK3520" s="5" t="s">
        <v>238</v>
      </c>
      <c r="FL3520" s="5" t="s">
        <v>238</v>
      </c>
      <c r="FM3520" s="5" t="s">
        <v>238</v>
      </c>
      <c r="FN3520" s="5" t="s">
        <v>238</v>
      </c>
      <c r="FO3520" s="5" t="s">
        <v>238</v>
      </c>
      <c r="FP3520" s="5" t="s">
        <v>238</v>
      </c>
      <c r="FQ3520" s="5" t="s">
        <v>238</v>
      </c>
      <c r="FR3520" s="5" t="s">
        <v>238</v>
      </c>
      <c r="FS3520" s="5" t="s">
        <v>238</v>
      </c>
      <c r="FT3520" s="5" t="s">
        <v>238</v>
      </c>
      <c r="FU3520" s="5" t="s">
        <v>238</v>
      </c>
      <c r="FV3520" s="5" t="s">
        <v>238</v>
      </c>
      <c r="FW3520" s="5" t="s">
        <v>238</v>
      </c>
      <c r="FX3520" s="5" t="s">
        <v>238</v>
      </c>
      <c r="FY3520" s="5" t="s">
        <v>238</v>
      </c>
      <c r="FZ3520" s="5" t="s">
        <v>238</v>
      </c>
      <c r="GA3520" s="5" t="s">
        <v>238</v>
      </c>
      <c r="GB3520" s="5" t="s">
        <v>238</v>
      </c>
      <c r="GC3520" s="5" t="s">
        <v>238</v>
      </c>
      <c r="GD3520" s="5" t="s">
        <v>238</v>
      </c>
      <c r="GE3520" s="5" t="s">
        <v>238</v>
      </c>
      <c r="GF3520" s="5" t="s">
        <v>238</v>
      </c>
      <c r="GG3520" s="5" t="s">
        <v>238</v>
      </c>
      <c r="GH3520" s="5" t="s">
        <v>238</v>
      </c>
      <c r="GI3520" s="5" t="s">
        <v>238</v>
      </c>
      <c r="GJ3520" s="5" t="s">
        <v>238</v>
      </c>
      <c r="GK3520" s="5" t="s">
        <v>238</v>
      </c>
      <c r="GL3520" s="5" t="s">
        <v>238</v>
      </c>
      <c r="GM3520" s="5" t="s">
        <v>238</v>
      </c>
      <c r="GN3520" s="5" t="s">
        <v>238</v>
      </c>
      <c r="GO3520" s="5" t="s">
        <v>238</v>
      </c>
      <c r="GP3520" s="5" t="s">
        <v>238</v>
      </c>
      <c r="GQ3520" s="5" t="s">
        <v>238</v>
      </c>
      <c r="GR3520" s="5" t="s">
        <v>238</v>
      </c>
      <c r="GS3520" s="5" t="s">
        <v>238</v>
      </c>
      <c r="GT3520" s="5" t="s">
        <v>238</v>
      </c>
      <c r="GU3520" s="5" t="s">
        <v>238</v>
      </c>
      <c r="GV3520" s="5" t="s">
        <v>238</v>
      </c>
      <c r="GW3520" s="5" t="s">
        <v>238</v>
      </c>
      <c r="GX3520" s="5" t="s">
        <v>238</v>
      </c>
      <c r="GY3520" s="5" t="s">
        <v>238</v>
      </c>
      <c r="GZ3520" s="5" t="s">
        <v>238</v>
      </c>
      <c r="HA3520" s="5" t="s">
        <v>238</v>
      </c>
      <c r="HB3520" s="5" t="s">
        <v>238</v>
      </c>
      <c r="HC3520" s="5" t="s">
        <v>238</v>
      </c>
      <c r="HD3520" s="5" t="s">
        <v>238</v>
      </c>
      <c r="HE3520" s="5" t="s">
        <v>238</v>
      </c>
      <c r="HF3520" s="5" t="s">
        <v>238</v>
      </c>
      <c r="HG3520" s="5" t="s">
        <v>238</v>
      </c>
      <c r="HH3520" s="5" t="s">
        <v>238</v>
      </c>
      <c r="HI3520" s="5" t="s">
        <v>238</v>
      </c>
      <c r="HJ3520" s="5" t="s">
        <v>238</v>
      </c>
      <c r="HK3520" s="5" t="s">
        <v>238</v>
      </c>
      <c r="HL3520" s="5" t="s">
        <v>238</v>
      </c>
      <c r="HM3520" s="5" t="s">
        <v>264</v>
      </c>
      <c r="HN3520" s="5" t="s">
        <v>238</v>
      </c>
      <c r="HO3520" s="5" t="s">
        <v>238</v>
      </c>
      <c r="HP3520" s="5" t="s">
        <v>238</v>
      </c>
      <c r="HQ3520" s="5" t="s">
        <v>238</v>
      </c>
      <c r="HR3520" s="5" t="s">
        <v>238</v>
      </c>
      <c r="HS3520" s="5" t="s">
        <v>238</v>
      </c>
      <c r="HT3520" s="5" t="s">
        <v>238</v>
      </c>
      <c r="HU3520" s="5" t="s">
        <v>238</v>
      </c>
      <c r="HV3520" s="5" t="s">
        <v>238</v>
      </c>
      <c r="HW3520" s="5" t="s">
        <v>238</v>
      </c>
      <c r="HX3520" s="5" t="s">
        <v>238</v>
      </c>
      <c r="HY3520" s="5" t="s">
        <v>238</v>
      </c>
      <c r="HZ3520" s="5" t="s">
        <v>238</v>
      </c>
      <c r="IA3520" s="5" t="s">
        <v>238</v>
      </c>
      <c r="IB3520" s="5" t="s">
        <v>238</v>
      </c>
      <c r="IC3520" s="5" t="s">
        <v>238</v>
      </c>
      <c r="ID3520" s="5" t="s">
        <v>238</v>
      </c>
    </row>
    <row r="3521" spans="1:238" x14ac:dyDescent="0.4">
      <c r="A3521" s="5">
        <v>9239</v>
      </c>
      <c r="B3521" s="5">
        <v>1</v>
      </c>
      <c r="C3521" s="5">
        <v>1</v>
      </c>
      <c r="D3521" s="5" t="s">
        <v>484</v>
      </c>
      <c r="E3521" s="5" t="s">
        <v>485</v>
      </c>
      <c r="F3521" s="5" t="s">
        <v>248</v>
      </c>
      <c r="G3521" s="5" t="s">
        <v>4538</v>
      </c>
      <c r="H3521" s="6" t="s">
        <v>4539</v>
      </c>
      <c r="I3521" s="8">
        <f>1</f>
        <v>1</v>
      </c>
      <c r="J3521" s="5" t="s">
        <v>499</v>
      </c>
      <c r="K3521" s="8">
        <f>1</f>
        <v>1</v>
      </c>
      <c r="L3521" s="6" t="s">
        <v>242</v>
      </c>
      <c r="M3521" s="5" t="s">
        <v>267</v>
      </c>
      <c r="N3521" s="5" t="s">
        <v>482</v>
      </c>
      <c r="O3521" s="5" t="s">
        <v>238</v>
      </c>
      <c r="P3521" s="5" t="s">
        <v>238</v>
      </c>
      <c r="Q3521" s="5" t="s">
        <v>239</v>
      </c>
      <c r="R3521" s="5" t="s">
        <v>270</v>
      </c>
      <c r="S3521" s="5" t="s">
        <v>238</v>
      </c>
      <c r="T3521" s="5" t="s">
        <v>238</v>
      </c>
      <c r="U3521" s="5" t="s">
        <v>238</v>
      </c>
      <c r="V3521" s="5" t="s">
        <v>238</v>
      </c>
      <c r="W3521" s="6" t="s">
        <v>238</v>
      </c>
      <c r="X3521" s="6" t="s">
        <v>238</v>
      </c>
      <c r="Y3521" s="5" t="s">
        <v>238</v>
      </c>
      <c r="Z3521" s="6" t="s">
        <v>238</v>
      </c>
      <c r="AA3521" s="6" t="s">
        <v>243</v>
      </c>
      <c r="AB3521" s="5" t="s">
        <v>486</v>
      </c>
      <c r="AC3521" s="5" t="s">
        <v>244</v>
      </c>
      <c r="AD3521" s="5" t="s">
        <v>245</v>
      </c>
      <c r="AE3521" s="5" t="s">
        <v>238</v>
      </c>
      <c r="AF3521" s="5" t="s">
        <v>238</v>
      </c>
      <c r="AG3521" s="5" t="s">
        <v>238</v>
      </c>
      <c r="AH3521" s="5" t="s">
        <v>238</v>
      </c>
      <c r="AI3521" s="5" t="s">
        <v>238</v>
      </c>
      <c r="AJ3521" s="5" t="s">
        <v>238</v>
      </c>
      <c r="AK3521" s="5" t="s">
        <v>238</v>
      </c>
      <c r="AL3521" s="5" t="s">
        <v>238</v>
      </c>
      <c r="AM3521" s="6" t="s">
        <v>238</v>
      </c>
      <c r="AN3521" s="6" t="s">
        <v>238</v>
      </c>
      <c r="AO3521" s="6" t="s">
        <v>238</v>
      </c>
      <c r="AP3521" s="6" t="s">
        <v>238</v>
      </c>
      <c r="AQ3521" s="5" t="s">
        <v>238</v>
      </c>
      <c r="AR3521" s="5" t="s">
        <v>488</v>
      </c>
      <c r="AS3521" s="5" t="s">
        <v>488</v>
      </c>
      <c r="AT3521" s="5" t="s">
        <v>246</v>
      </c>
      <c r="AU3521" s="5" t="s">
        <v>489</v>
      </c>
      <c r="AV3521" s="5" t="s">
        <v>247</v>
      </c>
      <c r="AW3521" s="5" t="s">
        <v>238</v>
      </c>
      <c r="AX3521" s="5" t="s">
        <v>249</v>
      </c>
      <c r="AY3521" s="5" t="s">
        <v>490</v>
      </c>
      <c r="BA3521" s="5" t="s">
        <v>238</v>
      </c>
      <c r="BC3521" s="5" t="s">
        <v>491</v>
      </c>
      <c r="BD3521" s="6" t="s">
        <v>492</v>
      </c>
      <c r="BE3521" s="5" t="s">
        <v>493</v>
      </c>
      <c r="BF3521" s="5" t="s">
        <v>493</v>
      </c>
      <c r="BG3521" s="5" t="s">
        <v>238</v>
      </c>
      <c r="BH3521" s="8">
        <f>1</f>
        <v>1</v>
      </c>
      <c r="BI3521" s="8">
        <f>1</f>
        <v>1</v>
      </c>
      <c r="BJ3521" s="5" t="s">
        <v>253</v>
      </c>
      <c r="BK3521" s="5" t="s">
        <v>254</v>
      </c>
      <c r="BL3521" s="5" t="s">
        <v>238</v>
      </c>
      <c r="BM3521" s="5" t="s">
        <v>238</v>
      </c>
      <c r="BN3521" s="5" t="s">
        <v>238</v>
      </c>
      <c r="BO3521" s="5" t="s">
        <v>238</v>
      </c>
      <c r="BP3521" s="5" t="s">
        <v>238</v>
      </c>
      <c r="BQ3521" s="5" t="s">
        <v>238</v>
      </c>
      <c r="BR3521" s="5" t="s">
        <v>238</v>
      </c>
      <c r="BS3521" s="5" t="s">
        <v>238</v>
      </c>
      <c r="BT3521" s="6" t="s">
        <v>238</v>
      </c>
      <c r="BU3521" s="5" t="s">
        <v>238</v>
      </c>
      <c r="BV3521" s="5" t="s">
        <v>238</v>
      </c>
      <c r="BW3521" s="5" t="s">
        <v>238</v>
      </c>
      <c r="BX3521" s="5" t="s">
        <v>254</v>
      </c>
      <c r="BY3521" s="5" t="s">
        <v>238</v>
      </c>
      <c r="BZ3521" s="5" t="s">
        <v>238</v>
      </c>
      <c r="CA3521" s="5" t="s">
        <v>238</v>
      </c>
      <c r="CB3521" s="5" t="s">
        <v>238</v>
      </c>
      <c r="CC3521" s="5" t="s">
        <v>238</v>
      </c>
      <c r="CD3521" s="5" t="s">
        <v>273</v>
      </c>
      <c r="CE3521" s="5" t="s">
        <v>256</v>
      </c>
      <c r="CF3521" s="5" t="s">
        <v>238</v>
      </c>
      <c r="CH3521" s="5" t="s">
        <v>494</v>
      </c>
      <c r="CI3521" s="6" t="s">
        <v>257</v>
      </c>
      <c r="CJ3521" s="5" t="s">
        <v>495</v>
      </c>
      <c r="CK3521" s="5" t="s">
        <v>258</v>
      </c>
      <c r="CL3521" s="5" t="s">
        <v>496</v>
      </c>
      <c r="CM3521" s="5" t="s">
        <v>238</v>
      </c>
      <c r="CN3521" s="5">
        <v>0</v>
      </c>
      <c r="CO3521" s="5" t="s">
        <v>497</v>
      </c>
      <c r="CP3521" s="5" t="s">
        <v>260</v>
      </c>
      <c r="CQ3521" s="5" t="s">
        <v>260</v>
      </c>
      <c r="CR3521" s="5" t="s">
        <v>261</v>
      </c>
      <c r="CS3521" s="5" t="s">
        <v>498</v>
      </c>
      <c r="CT3521" s="7">
        <f>1</f>
        <v>1</v>
      </c>
      <c r="CU3521" s="8">
        <f>1</f>
        <v>1</v>
      </c>
      <c r="CV3521" s="8">
        <f>0</f>
        <v>0</v>
      </c>
      <c r="CX3521" s="8">
        <f>1</f>
        <v>1</v>
      </c>
      <c r="CY3521" s="8">
        <f>1</f>
        <v>1</v>
      </c>
      <c r="CZ3521" s="8" t="s">
        <v>238</v>
      </c>
      <c r="DA3521" s="5" t="s">
        <v>238</v>
      </c>
      <c r="DB3521" s="5" t="s">
        <v>238</v>
      </c>
      <c r="DC3521" s="5" t="s">
        <v>238</v>
      </c>
      <c r="DD3521" s="5" t="s">
        <v>238</v>
      </c>
      <c r="DE3521" s="8">
        <f>0</f>
        <v>0</v>
      </c>
      <c r="DG3521" s="5" t="s">
        <v>238</v>
      </c>
      <c r="DH3521" s="5" t="s">
        <v>238</v>
      </c>
      <c r="DI3521" s="5" t="s">
        <v>238</v>
      </c>
      <c r="DJ3521" s="5" t="s">
        <v>238</v>
      </c>
      <c r="DK3521" s="5" t="s">
        <v>238</v>
      </c>
      <c r="DL3521" s="5" t="s">
        <v>238</v>
      </c>
      <c r="DM3521" s="8" t="s">
        <v>238</v>
      </c>
      <c r="DN3521" s="5" t="s">
        <v>238</v>
      </c>
      <c r="DO3521" s="5" t="s">
        <v>238</v>
      </c>
      <c r="DP3521" s="5" t="s">
        <v>490</v>
      </c>
      <c r="DQ3521" s="5" t="s">
        <v>490</v>
      </c>
      <c r="DR3521" s="5" t="s">
        <v>238</v>
      </c>
      <c r="DS3521" s="5" t="s">
        <v>238</v>
      </c>
      <c r="DT3521" s="5" t="s">
        <v>500</v>
      </c>
      <c r="DU3521" s="5" t="s">
        <v>1104</v>
      </c>
      <c r="DV3521" s="5" t="s">
        <v>238</v>
      </c>
      <c r="DW3521" s="5" t="s">
        <v>238</v>
      </c>
      <c r="DX3521" s="5" t="s">
        <v>238</v>
      </c>
      <c r="DY3521" s="5" t="s">
        <v>238</v>
      </c>
      <c r="DZ3521" s="5" t="s">
        <v>238</v>
      </c>
      <c r="EA3521" s="5" t="s">
        <v>238</v>
      </c>
      <c r="EB3521" s="5" t="s">
        <v>238</v>
      </c>
      <c r="EC3521" s="5" t="s">
        <v>238</v>
      </c>
      <c r="ED3521" s="5" t="s">
        <v>238</v>
      </c>
      <c r="EE3521" s="5" t="s">
        <v>238</v>
      </c>
      <c r="EF3521" s="5" t="s">
        <v>238</v>
      </c>
      <c r="EG3521" s="5" t="s">
        <v>238</v>
      </c>
      <c r="EH3521" s="5" t="s">
        <v>238</v>
      </c>
      <c r="EI3521" s="5" t="s">
        <v>238</v>
      </c>
      <c r="EJ3521" s="5" t="s">
        <v>238</v>
      </c>
      <c r="EK3521" s="5" t="s">
        <v>238</v>
      </c>
      <c r="EL3521" s="5" t="s">
        <v>238</v>
      </c>
      <c r="EM3521" s="5" t="s">
        <v>238</v>
      </c>
      <c r="EN3521" s="5" t="s">
        <v>238</v>
      </c>
      <c r="EO3521" s="5" t="s">
        <v>238</v>
      </c>
      <c r="EP3521" s="5" t="s">
        <v>238</v>
      </c>
      <c r="EQ3521" s="5" t="s">
        <v>238</v>
      </c>
      <c r="ER3521" s="5" t="s">
        <v>238</v>
      </c>
      <c r="ES3521" s="5" t="s">
        <v>238</v>
      </c>
      <c r="ET3521" s="5" t="s">
        <v>238</v>
      </c>
      <c r="EU3521" s="5" t="s">
        <v>238</v>
      </c>
      <c r="EV3521" s="5" t="s">
        <v>238</v>
      </c>
      <c r="EW3521" s="5" t="s">
        <v>238</v>
      </c>
      <c r="EX3521" s="5" t="s">
        <v>238</v>
      </c>
      <c r="EY3521" s="5" t="s">
        <v>238</v>
      </c>
      <c r="EZ3521" s="5" t="s">
        <v>238</v>
      </c>
      <c r="FA3521" s="5" t="s">
        <v>238</v>
      </c>
      <c r="FB3521" s="5" t="s">
        <v>238</v>
      </c>
      <c r="FC3521" s="5" t="s">
        <v>238</v>
      </c>
      <c r="FD3521" s="5" t="s">
        <v>238</v>
      </c>
      <c r="FE3521" s="5" t="s">
        <v>238</v>
      </c>
      <c r="FF3521" s="5" t="s">
        <v>238</v>
      </c>
      <c r="FG3521" s="5" t="s">
        <v>238</v>
      </c>
      <c r="FH3521" s="5" t="s">
        <v>238</v>
      </c>
      <c r="FI3521" s="5" t="s">
        <v>238</v>
      </c>
      <c r="FJ3521" s="5" t="s">
        <v>238</v>
      </c>
      <c r="FK3521" s="5" t="s">
        <v>238</v>
      </c>
      <c r="FL3521" s="5" t="s">
        <v>238</v>
      </c>
      <c r="FM3521" s="5" t="s">
        <v>238</v>
      </c>
      <c r="FN3521" s="5" t="s">
        <v>238</v>
      </c>
      <c r="FO3521" s="5" t="s">
        <v>238</v>
      </c>
      <c r="FP3521" s="5" t="s">
        <v>238</v>
      </c>
      <c r="FQ3521" s="5" t="s">
        <v>238</v>
      </c>
      <c r="FR3521" s="5" t="s">
        <v>238</v>
      </c>
      <c r="FS3521" s="5" t="s">
        <v>238</v>
      </c>
      <c r="FT3521" s="5" t="s">
        <v>238</v>
      </c>
      <c r="FU3521" s="5" t="s">
        <v>238</v>
      </c>
      <c r="FV3521" s="5" t="s">
        <v>238</v>
      </c>
      <c r="FW3521" s="5" t="s">
        <v>238</v>
      </c>
      <c r="FX3521" s="5" t="s">
        <v>238</v>
      </c>
      <c r="FY3521" s="5" t="s">
        <v>238</v>
      </c>
      <c r="FZ3521" s="5" t="s">
        <v>238</v>
      </c>
      <c r="GA3521" s="5" t="s">
        <v>238</v>
      </c>
      <c r="GB3521" s="5" t="s">
        <v>238</v>
      </c>
      <c r="GC3521" s="5" t="s">
        <v>238</v>
      </c>
      <c r="GD3521" s="5" t="s">
        <v>238</v>
      </c>
      <c r="GE3521" s="5" t="s">
        <v>238</v>
      </c>
      <c r="GF3521" s="5" t="s">
        <v>238</v>
      </c>
      <c r="GG3521" s="5" t="s">
        <v>238</v>
      </c>
      <c r="GH3521" s="5" t="s">
        <v>238</v>
      </c>
      <c r="GI3521" s="5" t="s">
        <v>238</v>
      </c>
      <c r="GJ3521" s="5" t="s">
        <v>238</v>
      </c>
      <c r="GK3521" s="5" t="s">
        <v>238</v>
      </c>
      <c r="GL3521" s="5" t="s">
        <v>238</v>
      </c>
      <c r="GM3521" s="5" t="s">
        <v>238</v>
      </c>
      <c r="GN3521" s="5" t="s">
        <v>238</v>
      </c>
      <c r="GO3521" s="5" t="s">
        <v>238</v>
      </c>
      <c r="GP3521" s="5" t="s">
        <v>238</v>
      </c>
      <c r="GQ3521" s="5" t="s">
        <v>238</v>
      </c>
      <c r="GR3521" s="5" t="s">
        <v>238</v>
      </c>
      <c r="GS3521" s="5" t="s">
        <v>238</v>
      </c>
      <c r="GT3521" s="5" t="s">
        <v>238</v>
      </c>
      <c r="GU3521" s="5" t="s">
        <v>238</v>
      </c>
      <c r="GV3521" s="5" t="s">
        <v>238</v>
      </c>
      <c r="GW3521" s="5" t="s">
        <v>238</v>
      </c>
      <c r="GX3521" s="5" t="s">
        <v>238</v>
      </c>
      <c r="GY3521" s="5" t="s">
        <v>238</v>
      </c>
      <c r="GZ3521" s="5" t="s">
        <v>238</v>
      </c>
      <c r="HA3521" s="5" t="s">
        <v>238</v>
      </c>
      <c r="HB3521" s="5" t="s">
        <v>238</v>
      </c>
      <c r="HC3521" s="5" t="s">
        <v>238</v>
      </c>
      <c r="HD3521" s="5" t="s">
        <v>238</v>
      </c>
      <c r="HE3521" s="5" t="s">
        <v>238</v>
      </c>
      <c r="HF3521" s="5" t="s">
        <v>238</v>
      </c>
      <c r="HG3521" s="5" t="s">
        <v>238</v>
      </c>
      <c r="HH3521" s="5" t="s">
        <v>238</v>
      </c>
      <c r="HI3521" s="5" t="s">
        <v>238</v>
      </c>
      <c r="HJ3521" s="5" t="s">
        <v>238</v>
      </c>
      <c r="HK3521" s="5" t="s">
        <v>238</v>
      </c>
      <c r="HL3521" s="5" t="s">
        <v>238</v>
      </c>
      <c r="HM3521" s="5" t="s">
        <v>264</v>
      </c>
      <c r="HN3521" s="5" t="s">
        <v>238</v>
      </c>
      <c r="HO3521" s="5" t="s">
        <v>238</v>
      </c>
      <c r="HP3521" s="5" t="s">
        <v>238</v>
      </c>
      <c r="HQ3521" s="5" t="s">
        <v>238</v>
      </c>
      <c r="HR3521" s="5" t="s">
        <v>238</v>
      </c>
      <c r="HS3521" s="5" t="s">
        <v>238</v>
      </c>
      <c r="HT3521" s="5" t="s">
        <v>238</v>
      </c>
      <c r="HU3521" s="5" t="s">
        <v>238</v>
      </c>
      <c r="HV3521" s="5" t="s">
        <v>238</v>
      </c>
      <c r="HW3521" s="5" t="s">
        <v>238</v>
      </c>
      <c r="HX3521" s="5" t="s">
        <v>238</v>
      </c>
      <c r="HY3521" s="5" t="s">
        <v>238</v>
      </c>
      <c r="HZ3521" s="5" t="s">
        <v>238</v>
      </c>
      <c r="IA3521" s="5" t="s">
        <v>238</v>
      </c>
      <c r="IB3521" s="5" t="s">
        <v>238</v>
      </c>
      <c r="IC3521" s="5" t="s">
        <v>238</v>
      </c>
      <c r="ID3521" s="5" t="s">
        <v>238</v>
      </c>
    </row>
    <row r="3522" spans="1:238" x14ac:dyDescent="0.4">
      <c r="A3522" s="5">
        <v>9240</v>
      </c>
      <c r="B3522" s="5">
        <v>1</v>
      </c>
      <c r="C3522" s="5">
        <v>1</v>
      </c>
      <c r="D3522" s="5" t="s">
        <v>484</v>
      </c>
      <c r="E3522" s="5" t="s">
        <v>485</v>
      </c>
      <c r="F3522" s="5" t="s">
        <v>248</v>
      </c>
      <c r="G3522" s="5" t="s">
        <v>4408</v>
      </c>
      <c r="H3522" s="6" t="s">
        <v>4409</v>
      </c>
      <c r="I3522" s="8">
        <f>1</f>
        <v>1</v>
      </c>
      <c r="J3522" s="5" t="s">
        <v>499</v>
      </c>
      <c r="K3522" s="8">
        <f>1</f>
        <v>1</v>
      </c>
      <c r="L3522" s="6" t="s">
        <v>242</v>
      </c>
      <c r="M3522" s="5" t="s">
        <v>267</v>
      </c>
      <c r="N3522" s="5" t="s">
        <v>482</v>
      </c>
      <c r="O3522" s="5" t="s">
        <v>238</v>
      </c>
      <c r="P3522" s="5" t="s">
        <v>238</v>
      </c>
      <c r="Q3522" s="5" t="s">
        <v>239</v>
      </c>
      <c r="R3522" s="5" t="s">
        <v>270</v>
      </c>
      <c r="S3522" s="5" t="s">
        <v>238</v>
      </c>
      <c r="T3522" s="5" t="s">
        <v>238</v>
      </c>
      <c r="U3522" s="5" t="s">
        <v>238</v>
      </c>
      <c r="V3522" s="5" t="s">
        <v>238</v>
      </c>
      <c r="W3522" s="6" t="s">
        <v>238</v>
      </c>
      <c r="X3522" s="6" t="s">
        <v>238</v>
      </c>
      <c r="Y3522" s="5" t="s">
        <v>238</v>
      </c>
      <c r="Z3522" s="6" t="s">
        <v>238</v>
      </c>
      <c r="AA3522" s="6" t="s">
        <v>243</v>
      </c>
      <c r="AB3522" s="5" t="s">
        <v>486</v>
      </c>
      <c r="AC3522" s="5" t="s">
        <v>244</v>
      </c>
      <c r="AD3522" s="5" t="s">
        <v>245</v>
      </c>
      <c r="AE3522" s="5" t="s">
        <v>238</v>
      </c>
      <c r="AF3522" s="5" t="s">
        <v>238</v>
      </c>
      <c r="AG3522" s="5" t="s">
        <v>238</v>
      </c>
      <c r="AH3522" s="5" t="s">
        <v>238</v>
      </c>
      <c r="AI3522" s="5" t="s">
        <v>238</v>
      </c>
      <c r="AJ3522" s="5" t="s">
        <v>238</v>
      </c>
      <c r="AK3522" s="5" t="s">
        <v>238</v>
      </c>
      <c r="AL3522" s="5" t="s">
        <v>238</v>
      </c>
      <c r="AM3522" s="6" t="s">
        <v>238</v>
      </c>
      <c r="AN3522" s="6" t="s">
        <v>238</v>
      </c>
      <c r="AO3522" s="6" t="s">
        <v>238</v>
      </c>
      <c r="AP3522" s="6" t="s">
        <v>238</v>
      </c>
      <c r="AQ3522" s="5" t="s">
        <v>238</v>
      </c>
      <c r="AR3522" s="5" t="s">
        <v>488</v>
      </c>
      <c r="AS3522" s="5" t="s">
        <v>488</v>
      </c>
      <c r="AT3522" s="5" t="s">
        <v>246</v>
      </c>
      <c r="AU3522" s="5" t="s">
        <v>489</v>
      </c>
      <c r="AV3522" s="5" t="s">
        <v>247</v>
      </c>
      <c r="AW3522" s="5" t="s">
        <v>238</v>
      </c>
      <c r="AX3522" s="5" t="s">
        <v>249</v>
      </c>
      <c r="AY3522" s="5" t="s">
        <v>490</v>
      </c>
      <c r="BA3522" s="5" t="s">
        <v>238</v>
      </c>
      <c r="BC3522" s="5" t="s">
        <v>491</v>
      </c>
      <c r="BD3522" s="6" t="s">
        <v>492</v>
      </c>
      <c r="BE3522" s="5" t="s">
        <v>493</v>
      </c>
      <c r="BF3522" s="5" t="s">
        <v>493</v>
      </c>
      <c r="BG3522" s="5" t="s">
        <v>238</v>
      </c>
      <c r="BH3522" s="8">
        <f>1</f>
        <v>1</v>
      </c>
      <c r="BI3522" s="8">
        <f>1</f>
        <v>1</v>
      </c>
      <c r="BJ3522" s="5" t="s">
        <v>253</v>
      </c>
      <c r="BK3522" s="5" t="s">
        <v>254</v>
      </c>
      <c r="BL3522" s="5" t="s">
        <v>238</v>
      </c>
      <c r="BM3522" s="5" t="s">
        <v>238</v>
      </c>
      <c r="BN3522" s="5" t="s">
        <v>238</v>
      </c>
      <c r="BO3522" s="5" t="s">
        <v>238</v>
      </c>
      <c r="BP3522" s="5" t="s">
        <v>238</v>
      </c>
      <c r="BQ3522" s="5" t="s">
        <v>238</v>
      </c>
      <c r="BR3522" s="5" t="s">
        <v>238</v>
      </c>
      <c r="BS3522" s="5" t="s">
        <v>238</v>
      </c>
      <c r="BT3522" s="6" t="s">
        <v>238</v>
      </c>
      <c r="BU3522" s="5" t="s">
        <v>238</v>
      </c>
      <c r="BV3522" s="5" t="s">
        <v>238</v>
      </c>
      <c r="BW3522" s="5" t="s">
        <v>238</v>
      </c>
      <c r="BX3522" s="5" t="s">
        <v>254</v>
      </c>
      <c r="BY3522" s="5" t="s">
        <v>238</v>
      </c>
      <c r="BZ3522" s="5" t="s">
        <v>238</v>
      </c>
      <c r="CA3522" s="5" t="s">
        <v>238</v>
      </c>
      <c r="CB3522" s="5" t="s">
        <v>238</v>
      </c>
      <c r="CC3522" s="5" t="s">
        <v>238</v>
      </c>
      <c r="CD3522" s="5" t="s">
        <v>273</v>
      </c>
      <c r="CE3522" s="5" t="s">
        <v>256</v>
      </c>
      <c r="CF3522" s="5" t="s">
        <v>238</v>
      </c>
      <c r="CH3522" s="5" t="s">
        <v>494</v>
      </c>
      <c r="CI3522" s="6" t="s">
        <v>257</v>
      </c>
      <c r="CJ3522" s="5" t="s">
        <v>495</v>
      </c>
      <c r="CK3522" s="5" t="s">
        <v>258</v>
      </c>
      <c r="CL3522" s="5" t="s">
        <v>496</v>
      </c>
      <c r="CM3522" s="5" t="s">
        <v>238</v>
      </c>
      <c r="CN3522" s="5">
        <v>0</v>
      </c>
      <c r="CO3522" s="5" t="s">
        <v>497</v>
      </c>
      <c r="CP3522" s="5" t="s">
        <v>260</v>
      </c>
      <c r="CQ3522" s="5" t="s">
        <v>260</v>
      </c>
      <c r="CR3522" s="5" t="s">
        <v>261</v>
      </c>
      <c r="CS3522" s="5" t="s">
        <v>498</v>
      </c>
      <c r="CT3522" s="7">
        <f>1</f>
        <v>1</v>
      </c>
      <c r="CU3522" s="8">
        <f>1</f>
        <v>1</v>
      </c>
      <c r="CV3522" s="8">
        <f>0</f>
        <v>0</v>
      </c>
      <c r="CX3522" s="8">
        <f>1</f>
        <v>1</v>
      </c>
      <c r="CY3522" s="8">
        <f>1</f>
        <v>1</v>
      </c>
      <c r="CZ3522" s="8" t="s">
        <v>238</v>
      </c>
      <c r="DA3522" s="5" t="s">
        <v>238</v>
      </c>
      <c r="DB3522" s="5" t="s">
        <v>238</v>
      </c>
      <c r="DC3522" s="5" t="s">
        <v>238</v>
      </c>
      <c r="DD3522" s="5" t="s">
        <v>238</v>
      </c>
      <c r="DE3522" s="8">
        <f>0</f>
        <v>0</v>
      </c>
      <c r="DG3522" s="5" t="s">
        <v>238</v>
      </c>
      <c r="DH3522" s="5" t="s">
        <v>238</v>
      </c>
      <c r="DI3522" s="5" t="s">
        <v>238</v>
      </c>
      <c r="DJ3522" s="5" t="s">
        <v>238</v>
      </c>
      <c r="DK3522" s="5" t="s">
        <v>238</v>
      </c>
      <c r="DL3522" s="5" t="s">
        <v>238</v>
      </c>
      <c r="DM3522" s="8" t="s">
        <v>238</v>
      </c>
      <c r="DN3522" s="5" t="s">
        <v>238</v>
      </c>
      <c r="DO3522" s="5" t="s">
        <v>238</v>
      </c>
      <c r="DP3522" s="5" t="s">
        <v>490</v>
      </c>
      <c r="DQ3522" s="5" t="s">
        <v>490</v>
      </c>
      <c r="DR3522" s="5" t="s">
        <v>238</v>
      </c>
      <c r="DS3522" s="5" t="s">
        <v>238</v>
      </c>
      <c r="DT3522" s="5" t="s">
        <v>500</v>
      </c>
      <c r="DU3522" s="5" t="s">
        <v>675</v>
      </c>
      <c r="DV3522" s="5" t="s">
        <v>238</v>
      </c>
      <c r="DW3522" s="5" t="s">
        <v>238</v>
      </c>
      <c r="DX3522" s="5" t="s">
        <v>238</v>
      </c>
      <c r="DY3522" s="5" t="s">
        <v>238</v>
      </c>
      <c r="DZ3522" s="5" t="s">
        <v>238</v>
      </c>
      <c r="EA3522" s="5" t="s">
        <v>238</v>
      </c>
      <c r="EB3522" s="5" t="s">
        <v>238</v>
      </c>
      <c r="EC3522" s="5" t="s">
        <v>238</v>
      </c>
      <c r="ED3522" s="5" t="s">
        <v>238</v>
      </c>
      <c r="EE3522" s="5" t="s">
        <v>238</v>
      </c>
      <c r="EF3522" s="5" t="s">
        <v>238</v>
      </c>
      <c r="EG3522" s="5" t="s">
        <v>238</v>
      </c>
      <c r="EH3522" s="5" t="s">
        <v>238</v>
      </c>
      <c r="EI3522" s="5" t="s">
        <v>238</v>
      </c>
      <c r="EJ3522" s="5" t="s">
        <v>238</v>
      </c>
      <c r="EK3522" s="5" t="s">
        <v>238</v>
      </c>
      <c r="EL3522" s="5" t="s">
        <v>238</v>
      </c>
      <c r="EM3522" s="5" t="s">
        <v>238</v>
      </c>
      <c r="EN3522" s="5" t="s">
        <v>238</v>
      </c>
      <c r="EO3522" s="5" t="s">
        <v>238</v>
      </c>
      <c r="EP3522" s="5" t="s">
        <v>238</v>
      </c>
      <c r="EQ3522" s="5" t="s">
        <v>238</v>
      </c>
      <c r="ER3522" s="5" t="s">
        <v>238</v>
      </c>
      <c r="ES3522" s="5" t="s">
        <v>238</v>
      </c>
      <c r="ET3522" s="5" t="s">
        <v>238</v>
      </c>
      <c r="EU3522" s="5" t="s">
        <v>238</v>
      </c>
      <c r="EV3522" s="5" t="s">
        <v>238</v>
      </c>
      <c r="EW3522" s="5" t="s">
        <v>238</v>
      </c>
      <c r="EX3522" s="5" t="s">
        <v>238</v>
      </c>
      <c r="EY3522" s="5" t="s">
        <v>238</v>
      </c>
      <c r="EZ3522" s="5" t="s">
        <v>238</v>
      </c>
      <c r="FA3522" s="5" t="s">
        <v>238</v>
      </c>
      <c r="FB3522" s="5" t="s">
        <v>238</v>
      </c>
      <c r="FC3522" s="5" t="s">
        <v>238</v>
      </c>
      <c r="FD3522" s="5" t="s">
        <v>238</v>
      </c>
      <c r="FE3522" s="5" t="s">
        <v>238</v>
      </c>
      <c r="FF3522" s="5" t="s">
        <v>238</v>
      </c>
      <c r="FG3522" s="5" t="s">
        <v>238</v>
      </c>
      <c r="FH3522" s="5" t="s">
        <v>238</v>
      </c>
      <c r="FI3522" s="5" t="s">
        <v>238</v>
      </c>
      <c r="FJ3522" s="5" t="s">
        <v>238</v>
      </c>
      <c r="FK3522" s="5" t="s">
        <v>238</v>
      </c>
      <c r="FL3522" s="5" t="s">
        <v>238</v>
      </c>
      <c r="FM3522" s="5" t="s">
        <v>238</v>
      </c>
      <c r="FN3522" s="5" t="s">
        <v>238</v>
      </c>
      <c r="FO3522" s="5" t="s">
        <v>238</v>
      </c>
      <c r="FP3522" s="5" t="s">
        <v>238</v>
      </c>
      <c r="FQ3522" s="5" t="s">
        <v>238</v>
      </c>
      <c r="FR3522" s="5" t="s">
        <v>238</v>
      </c>
      <c r="FS3522" s="5" t="s">
        <v>238</v>
      </c>
      <c r="FT3522" s="5" t="s">
        <v>238</v>
      </c>
      <c r="FU3522" s="5" t="s">
        <v>238</v>
      </c>
      <c r="FV3522" s="5" t="s">
        <v>238</v>
      </c>
      <c r="FW3522" s="5" t="s">
        <v>238</v>
      </c>
      <c r="FX3522" s="5" t="s">
        <v>238</v>
      </c>
      <c r="FY3522" s="5" t="s">
        <v>238</v>
      </c>
      <c r="FZ3522" s="5" t="s">
        <v>238</v>
      </c>
      <c r="GA3522" s="5" t="s">
        <v>238</v>
      </c>
      <c r="GB3522" s="5" t="s">
        <v>238</v>
      </c>
      <c r="GC3522" s="5" t="s">
        <v>238</v>
      </c>
      <c r="GD3522" s="5" t="s">
        <v>238</v>
      </c>
      <c r="GE3522" s="5" t="s">
        <v>238</v>
      </c>
      <c r="GF3522" s="5" t="s">
        <v>238</v>
      </c>
      <c r="GG3522" s="5" t="s">
        <v>238</v>
      </c>
      <c r="GH3522" s="5" t="s">
        <v>238</v>
      </c>
      <c r="GI3522" s="5" t="s">
        <v>238</v>
      </c>
      <c r="GJ3522" s="5" t="s">
        <v>238</v>
      </c>
      <c r="GK3522" s="5" t="s">
        <v>238</v>
      </c>
      <c r="GL3522" s="5" t="s">
        <v>238</v>
      </c>
      <c r="GM3522" s="5" t="s">
        <v>238</v>
      </c>
      <c r="GN3522" s="5" t="s">
        <v>238</v>
      </c>
      <c r="GO3522" s="5" t="s">
        <v>238</v>
      </c>
      <c r="GP3522" s="5" t="s">
        <v>238</v>
      </c>
      <c r="GQ3522" s="5" t="s">
        <v>238</v>
      </c>
      <c r="GR3522" s="5" t="s">
        <v>238</v>
      </c>
      <c r="GS3522" s="5" t="s">
        <v>238</v>
      </c>
      <c r="GT3522" s="5" t="s">
        <v>238</v>
      </c>
      <c r="GU3522" s="5" t="s">
        <v>238</v>
      </c>
      <c r="GV3522" s="5" t="s">
        <v>238</v>
      </c>
      <c r="GW3522" s="5" t="s">
        <v>238</v>
      </c>
      <c r="GX3522" s="5" t="s">
        <v>238</v>
      </c>
      <c r="GY3522" s="5" t="s">
        <v>238</v>
      </c>
      <c r="GZ3522" s="5" t="s">
        <v>238</v>
      </c>
      <c r="HA3522" s="5" t="s">
        <v>238</v>
      </c>
      <c r="HB3522" s="5" t="s">
        <v>238</v>
      </c>
      <c r="HC3522" s="5" t="s">
        <v>238</v>
      </c>
      <c r="HD3522" s="5" t="s">
        <v>238</v>
      </c>
      <c r="HE3522" s="5" t="s">
        <v>238</v>
      </c>
      <c r="HF3522" s="5" t="s">
        <v>238</v>
      </c>
      <c r="HG3522" s="5" t="s">
        <v>238</v>
      </c>
      <c r="HH3522" s="5" t="s">
        <v>238</v>
      </c>
      <c r="HI3522" s="5" t="s">
        <v>238</v>
      </c>
      <c r="HJ3522" s="5" t="s">
        <v>238</v>
      </c>
      <c r="HK3522" s="5" t="s">
        <v>238</v>
      </c>
      <c r="HL3522" s="5" t="s">
        <v>238</v>
      </c>
      <c r="HM3522" s="5" t="s">
        <v>264</v>
      </c>
      <c r="HN3522" s="5" t="s">
        <v>238</v>
      </c>
      <c r="HO3522" s="5" t="s">
        <v>238</v>
      </c>
      <c r="HP3522" s="5" t="s">
        <v>238</v>
      </c>
      <c r="HQ3522" s="5" t="s">
        <v>238</v>
      </c>
      <c r="HR3522" s="5" t="s">
        <v>238</v>
      </c>
      <c r="HS3522" s="5" t="s">
        <v>238</v>
      </c>
      <c r="HT3522" s="5" t="s">
        <v>238</v>
      </c>
      <c r="HU3522" s="5" t="s">
        <v>238</v>
      </c>
      <c r="HV3522" s="5" t="s">
        <v>238</v>
      </c>
      <c r="HW3522" s="5" t="s">
        <v>238</v>
      </c>
      <c r="HX3522" s="5" t="s">
        <v>238</v>
      </c>
      <c r="HY3522" s="5" t="s">
        <v>238</v>
      </c>
      <c r="HZ3522" s="5" t="s">
        <v>238</v>
      </c>
      <c r="IA3522" s="5" t="s">
        <v>238</v>
      </c>
      <c r="IB3522" s="5" t="s">
        <v>238</v>
      </c>
      <c r="IC3522" s="5" t="s">
        <v>238</v>
      </c>
      <c r="ID3522" s="5" t="s">
        <v>238</v>
      </c>
    </row>
    <row r="3523" spans="1:238" x14ac:dyDescent="0.4">
      <c r="A3523" s="5">
        <v>9241</v>
      </c>
      <c r="B3523" s="5">
        <v>1</v>
      </c>
      <c r="C3523" s="5">
        <v>1</v>
      </c>
      <c r="D3523" s="5" t="s">
        <v>484</v>
      </c>
      <c r="E3523" s="5" t="s">
        <v>485</v>
      </c>
      <c r="F3523" s="5" t="s">
        <v>248</v>
      </c>
      <c r="G3523" s="5" t="s">
        <v>4607</v>
      </c>
      <c r="H3523" s="6" t="s">
        <v>4609</v>
      </c>
      <c r="I3523" s="8">
        <f>1</f>
        <v>1</v>
      </c>
      <c r="J3523" s="5" t="s">
        <v>499</v>
      </c>
      <c r="K3523" s="8">
        <f>1</f>
        <v>1</v>
      </c>
      <c r="L3523" s="6" t="s">
        <v>242</v>
      </c>
      <c r="M3523" s="5" t="s">
        <v>267</v>
      </c>
      <c r="N3523" s="5" t="s">
        <v>482</v>
      </c>
      <c r="O3523" s="5" t="s">
        <v>238</v>
      </c>
      <c r="P3523" s="5" t="s">
        <v>238</v>
      </c>
      <c r="Q3523" s="5" t="s">
        <v>239</v>
      </c>
      <c r="R3523" s="5" t="s">
        <v>270</v>
      </c>
      <c r="S3523" s="5" t="s">
        <v>238</v>
      </c>
      <c r="T3523" s="5" t="s">
        <v>238</v>
      </c>
      <c r="U3523" s="5" t="s">
        <v>238</v>
      </c>
      <c r="V3523" s="5" t="s">
        <v>238</v>
      </c>
      <c r="W3523" s="6" t="s">
        <v>238</v>
      </c>
      <c r="X3523" s="6" t="s">
        <v>238</v>
      </c>
      <c r="Y3523" s="5" t="s">
        <v>238</v>
      </c>
      <c r="Z3523" s="6" t="s">
        <v>238</v>
      </c>
      <c r="AA3523" s="6" t="s">
        <v>243</v>
      </c>
      <c r="AB3523" s="5" t="s">
        <v>4608</v>
      </c>
      <c r="AC3523" s="5" t="s">
        <v>244</v>
      </c>
      <c r="AD3523" s="5" t="s">
        <v>245</v>
      </c>
      <c r="AE3523" s="5" t="s">
        <v>238</v>
      </c>
      <c r="AF3523" s="5" t="s">
        <v>238</v>
      </c>
      <c r="AG3523" s="5" t="s">
        <v>238</v>
      </c>
      <c r="AH3523" s="5" t="s">
        <v>238</v>
      </c>
      <c r="AI3523" s="5" t="s">
        <v>238</v>
      </c>
      <c r="AJ3523" s="5" t="s">
        <v>238</v>
      </c>
      <c r="AK3523" s="5" t="s">
        <v>238</v>
      </c>
      <c r="AL3523" s="5" t="s">
        <v>238</v>
      </c>
      <c r="AM3523" s="6" t="s">
        <v>238</v>
      </c>
      <c r="AN3523" s="6" t="s">
        <v>238</v>
      </c>
      <c r="AO3523" s="6" t="s">
        <v>238</v>
      </c>
      <c r="AP3523" s="6" t="s">
        <v>238</v>
      </c>
      <c r="AQ3523" s="5" t="s">
        <v>238</v>
      </c>
      <c r="AR3523" s="5" t="s">
        <v>488</v>
      </c>
      <c r="AS3523" s="5" t="s">
        <v>488</v>
      </c>
      <c r="AT3523" s="5" t="s">
        <v>246</v>
      </c>
      <c r="AU3523" s="5" t="s">
        <v>489</v>
      </c>
      <c r="AV3523" s="5" t="s">
        <v>247</v>
      </c>
      <c r="AW3523" s="5" t="s">
        <v>238</v>
      </c>
      <c r="AX3523" s="5" t="s">
        <v>249</v>
      </c>
      <c r="AY3523" s="5" t="s">
        <v>490</v>
      </c>
      <c r="BA3523" s="5" t="s">
        <v>238</v>
      </c>
      <c r="BC3523" s="5" t="s">
        <v>491</v>
      </c>
      <c r="BD3523" s="6" t="s">
        <v>492</v>
      </c>
      <c r="BE3523" s="5" t="s">
        <v>493</v>
      </c>
      <c r="BF3523" s="5" t="s">
        <v>493</v>
      </c>
      <c r="BG3523" s="5" t="s">
        <v>238</v>
      </c>
      <c r="BH3523" s="8">
        <f>1</f>
        <v>1</v>
      </c>
      <c r="BI3523" s="8">
        <f>1</f>
        <v>1</v>
      </c>
      <c r="BJ3523" s="5" t="s">
        <v>253</v>
      </c>
      <c r="BK3523" s="5" t="s">
        <v>254</v>
      </c>
      <c r="BL3523" s="5" t="s">
        <v>238</v>
      </c>
      <c r="BM3523" s="5" t="s">
        <v>238</v>
      </c>
      <c r="BN3523" s="5" t="s">
        <v>238</v>
      </c>
      <c r="BO3523" s="5" t="s">
        <v>238</v>
      </c>
      <c r="BP3523" s="5" t="s">
        <v>238</v>
      </c>
      <c r="BQ3523" s="5" t="s">
        <v>238</v>
      </c>
      <c r="BR3523" s="5" t="s">
        <v>238</v>
      </c>
      <c r="BS3523" s="5" t="s">
        <v>238</v>
      </c>
      <c r="BT3523" s="6" t="s">
        <v>238</v>
      </c>
      <c r="BU3523" s="5" t="s">
        <v>238</v>
      </c>
      <c r="BV3523" s="5" t="s">
        <v>238</v>
      </c>
      <c r="BW3523" s="5" t="s">
        <v>238</v>
      </c>
      <c r="BX3523" s="5" t="s">
        <v>254</v>
      </c>
      <c r="BY3523" s="5" t="s">
        <v>238</v>
      </c>
      <c r="BZ3523" s="5" t="s">
        <v>238</v>
      </c>
      <c r="CA3523" s="5" t="s">
        <v>238</v>
      </c>
      <c r="CB3523" s="5" t="s">
        <v>238</v>
      </c>
      <c r="CC3523" s="5" t="s">
        <v>238</v>
      </c>
      <c r="CD3523" s="5" t="s">
        <v>273</v>
      </c>
      <c r="CE3523" s="5" t="s">
        <v>256</v>
      </c>
      <c r="CF3523" s="5" t="s">
        <v>238</v>
      </c>
      <c r="CH3523" s="5" t="s">
        <v>494</v>
      </c>
      <c r="CI3523" s="6" t="s">
        <v>257</v>
      </c>
      <c r="CJ3523" s="5" t="s">
        <v>495</v>
      </c>
      <c r="CK3523" s="5" t="s">
        <v>258</v>
      </c>
      <c r="CL3523" s="5" t="s">
        <v>496</v>
      </c>
      <c r="CM3523" s="5" t="s">
        <v>238</v>
      </c>
      <c r="CN3523" s="5">
        <v>0</v>
      </c>
      <c r="CO3523" s="5" t="s">
        <v>497</v>
      </c>
      <c r="CP3523" s="5" t="s">
        <v>260</v>
      </c>
      <c r="CQ3523" s="5" t="s">
        <v>260</v>
      </c>
      <c r="CR3523" s="5" t="s">
        <v>261</v>
      </c>
      <c r="CS3523" s="5" t="s">
        <v>498</v>
      </c>
      <c r="CT3523" s="7">
        <f>1</f>
        <v>1</v>
      </c>
      <c r="CU3523" s="8">
        <f>1</f>
        <v>1</v>
      </c>
      <c r="CV3523" s="8">
        <f>0</f>
        <v>0</v>
      </c>
      <c r="CX3523" s="8">
        <f>1</f>
        <v>1</v>
      </c>
      <c r="CY3523" s="8">
        <f>1</f>
        <v>1</v>
      </c>
      <c r="CZ3523" s="8" t="s">
        <v>238</v>
      </c>
      <c r="DA3523" s="5" t="s">
        <v>238</v>
      </c>
      <c r="DB3523" s="5" t="s">
        <v>238</v>
      </c>
      <c r="DC3523" s="5" t="s">
        <v>238</v>
      </c>
      <c r="DD3523" s="5" t="s">
        <v>238</v>
      </c>
      <c r="DE3523" s="8">
        <f>0</f>
        <v>0</v>
      </c>
      <c r="DG3523" s="5" t="s">
        <v>238</v>
      </c>
      <c r="DH3523" s="5" t="s">
        <v>238</v>
      </c>
      <c r="DI3523" s="5" t="s">
        <v>238</v>
      </c>
      <c r="DJ3523" s="5" t="s">
        <v>238</v>
      </c>
      <c r="DK3523" s="5" t="s">
        <v>238</v>
      </c>
      <c r="DL3523" s="5" t="s">
        <v>238</v>
      </c>
      <c r="DM3523" s="8" t="s">
        <v>238</v>
      </c>
      <c r="DN3523" s="5" t="s">
        <v>238</v>
      </c>
      <c r="DO3523" s="5" t="s">
        <v>238</v>
      </c>
      <c r="DP3523" s="5" t="s">
        <v>490</v>
      </c>
      <c r="DQ3523" s="5" t="s">
        <v>490</v>
      </c>
      <c r="DR3523" s="5" t="s">
        <v>238</v>
      </c>
      <c r="DS3523" s="5" t="s">
        <v>238</v>
      </c>
      <c r="DT3523" s="5" t="s">
        <v>500</v>
      </c>
      <c r="DU3523" s="5" t="s">
        <v>689</v>
      </c>
      <c r="DV3523" s="5" t="s">
        <v>238</v>
      </c>
      <c r="DW3523" s="5" t="s">
        <v>238</v>
      </c>
      <c r="DX3523" s="5" t="s">
        <v>238</v>
      </c>
      <c r="DY3523" s="5" t="s">
        <v>238</v>
      </c>
      <c r="DZ3523" s="5" t="s">
        <v>238</v>
      </c>
      <c r="EA3523" s="5" t="s">
        <v>238</v>
      </c>
      <c r="EB3523" s="5" t="s">
        <v>238</v>
      </c>
      <c r="EC3523" s="5" t="s">
        <v>238</v>
      </c>
      <c r="ED3523" s="5" t="s">
        <v>238</v>
      </c>
      <c r="EE3523" s="5" t="s">
        <v>238</v>
      </c>
      <c r="EF3523" s="5" t="s">
        <v>238</v>
      </c>
      <c r="EG3523" s="5" t="s">
        <v>238</v>
      </c>
      <c r="EH3523" s="5" t="s">
        <v>238</v>
      </c>
      <c r="EI3523" s="5" t="s">
        <v>238</v>
      </c>
      <c r="EJ3523" s="5" t="s">
        <v>238</v>
      </c>
      <c r="EK3523" s="5" t="s">
        <v>238</v>
      </c>
      <c r="EL3523" s="5" t="s">
        <v>238</v>
      </c>
      <c r="EM3523" s="5" t="s">
        <v>238</v>
      </c>
      <c r="EN3523" s="5" t="s">
        <v>238</v>
      </c>
      <c r="EO3523" s="5" t="s">
        <v>238</v>
      </c>
      <c r="EP3523" s="5" t="s">
        <v>238</v>
      </c>
      <c r="EQ3523" s="5" t="s">
        <v>238</v>
      </c>
      <c r="ER3523" s="5" t="s">
        <v>238</v>
      </c>
      <c r="ES3523" s="5" t="s">
        <v>238</v>
      </c>
      <c r="ET3523" s="5" t="s">
        <v>238</v>
      </c>
      <c r="EU3523" s="5" t="s">
        <v>238</v>
      </c>
      <c r="EV3523" s="5" t="s">
        <v>238</v>
      </c>
      <c r="EW3523" s="5" t="s">
        <v>238</v>
      </c>
      <c r="EX3523" s="5" t="s">
        <v>238</v>
      </c>
      <c r="EY3523" s="5" t="s">
        <v>238</v>
      </c>
      <c r="EZ3523" s="5" t="s">
        <v>238</v>
      </c>
      <c r="FA3523" s="5" t="s">
        <v>238</v>
      </c>
      <c r="FB3523" s="5" t="s">
        <v>238</v>
      </c>
      <c r="FC3523" s="5" t="s">
        <v>238</v>
      </c>
      <c r="FD3523" s="5" t="s">
        <v>238</v>
      </c>
      <c r="FE3523" s="5" t="s">
        <v>238</v>
      </c>
      <c r="FF3523" s="5" t="s">
        <v>238</v>
      </c>
      <c r="FG3523" s="5" t="s">
        <v>238</v>
      </c>
      <c r="FH3523" s="5" t="s">
        <v>238</v>
      </c>
      <c r="FI3523" s="5" t="s">
        <v>238</v>
      </c>
      <c r="FJ3523" s="5" t="s">
        <v>238</v>
      </c>
      <c r="FK3523" s="5" t="s">
        <v>238</v>
      </c>
      <c r="FL3523" s="5" t="s">
        <v>238</v>
      </c>
      <c r="FM3523" s="5" t="s">
        <v>238</v>
      </c>
      <c r="FN3523" s="5" t="s">
        <v>238</v>
      </c>
      <c r="FO3523" s="5" t="s">
        <v>238</v>
      </c>
      <c r="FP3523" s="5" t="s">
        <v>238</v>
      </c>
      <c r="FQ3523" s="5" t="s">
        <v>238</v>
      </c>
      <c r="FR3523" s="5" t="s">
        <v>238</v>
      </c>
      <c r="FS3523" s="5" t="s">
        <v>238</v>
      </c>
      <c r="FT3523" s="5" t="s">
        <v>238</v>
      </c>
      <c r="FU3523" s="5" t="s">
        <v>238</v>
      </c>
      <c r="FV3523" s="5" t="s">
        <v>238</v>
      </c>
      <c r="FW3523" s="5" t="s">
        <v>238</v>
      </c>
      <c r="FX3523" s="5" t="s">
        <v>238</v>
      </c>
      <c r="FY3523" s="5" t="s">
        <v>238</v>
      </c>
      <c r="FZ3523" s="5" t="s">
        <v>238</v>
      </c>
      <c r="GA3523" s="5" t="s">
        <v>238</v>
      </c>
      <c r="GB3523" s="5" t="s">
        <v>238</v>
      </c>
      <c r="GC3523" s="5" t="s">
        <v>238</v>
      </c>
      <c r="GD3523" s="5" t="s">
        <v>238</v>
      </c>
      <c r="GE3523" s="5" t="s">
        <v>238</v>
      </c>
      <c r="GF3523" s="5" t="s">
        <v>238</v>
      </c>
      <c r="GG3523" s="5" t="s">
        <v>238</v>
      </c>
      <c r="GH3523" s="5" t="s">
        <v>238</v>
      </c>
      <c r="GI3523" s="5" t="s">
        <v>238</v>
      </c>
      <c r="GJ3523" s="5" t="s">
        <v>238</v>
      </c>
      <c r="GK3523" s="5" t="s">
        <v>238</v>
      </c>
      <c r="GL3523" s="5" t="s">
        <v>238</v>
      </c>
      <c r="GM3523" s="5" t="s">
        <v>238</v>
      </c>
      <c r="GN3523" s="5" t="s">
        <v>238</v>
      </c>
      <c r="GO3523" s="5" t="s">
        <v>238</v>
      </c>
      <c r="GP3523" s="5" t="s">
        <v>238</v>
      </c>
      <c r="GQ3523" s="5" t="s">
        <v>238</v>
      </c>
      <c r="GR3523" s="5" t="s">
        <v>238</v>
      </c>
      <c r="GS3523" s="5" t="s">
        <v>238</v>
      </c>
      <c r="GT3523" s="5" t="s">
        <v>238</v>
      </c>
      <c r="GU3523" s="5" t="s">
        <v>238</v>
      </c>
      <c r="GV3523" s="5" t="s">
        <v>238</v>
      </c>
      <c r="GW3523" s="5" t="s">
        <v>238</v>
      </c>
      <c r="GX3523" s="5" t="s">
        <v>238</v>
      </c>
      <c r="GY3523" s="5" t="s">
        <v>238</v>
      </c>
      <c r="GZ3523" s="5" t="s">
        <v>238</v>
      </c>
      <c r="HA3523" s="5" t="s">
        <v>238</v>
      </c>
      <c r="HB3523" s="5" t="s">
        <v>238</v>
      </c>
      <c r="HC3523" s="5" t="s">
        <v>238</v>
      </c>
      <c r="HD3523" s="5" t="s">
        <v>238</v>
      </c>
      <c r="HE3523" s="5" t="s">
        <v>238</v>
      </c>
      <c r="HF3523" s="5" t="s">
        <v>238</v>
      </c>
      <c r="HG3523" s="5" t="s">
        <v>238</v>
      </c>
      <c r="HH3523" s="5" t="s">
        <v>238</v>
      </c>
      <c r="HI3523" s="5" t="s">
        <v>238</v>
      </c>
      <c r="HJ3523" s="5" t="s">
        <v>238</v>
      </c>
      <c r="HK3523" s="5" t="s">
        <v>238</v>
      </c>
      <c r="HL3523" s="5" t="s">
        <v>238</v>
      </c>
      <c r="HM3523" s="5" t="s">
        <v>264</v>
      </c>
      <c r="HN3523" s="5" t="s">
        <v>238</v>
      </c>
      <c r="HO3523" s="5" t="s">
        <v>238</v>
      </c>
      <c r="HP3523" s="5" t="s">
        <v>238</v>
      </c>
      <c r="HQ3523" s="5" t="s">
        <v>238</v>
      </c>
      <c r="HR3523" s="5" t="s">
        <v>238</v>
      </c>
      <c r="HS3523" s="5" t="s">
        <v>238</v>
      </c>
      <c r="HT3523" s="5" t="s">
        <v>238</v>
      </c>
      <c r="HU3523" s="5" t="s">
        <v>238</v>
      </c>
      <c r="HV3523" s="5" t="s">
        <v>238</v>
      </c>
      <c r="HW3523" s="5" t="s">
        <v>238</v>
      </c>
      <c r="HX3523" s="5" t="s">
        <v>238</v>
      </c>
      <c r="HY3523" s="5" t="s">
        <v>238</v>
      </c>
      <c r="HZ3523" s="5" t="s">
        <v>238</v>
      </c>
      <c r="IA3523" s="5" t="s">
        <v>238</v>
      </c>
      <c r="IB3523" s="5" t="s">
        <v>238</v>
      </c>
      <c r="IC3523" s="5" t="s">
        <v>238</v>
      </c>
      <c r="ID3523" s="5" t="s">
        <v>238</v>
      </c>
    </row>
    <row r="3524" spans="1:238" x14ac:dyDescent="0.4">
      <c r="A3524" s="5">
        <v>9242</v>
      </c>
      <c r="B3524" s="5">
        <v>1</v>
      </c>
      <c r="C3524" s="5">
        <v>1</v>
      </c>
      <c r="D3524" s="5" t="s">
        <v>484</v>
      </c>
      <c r="E3524" s="5" t="s">
        <v>485</v>
      </c>
      <c r="F3524" s="5" t="s">
        <v>248</v>
      </c>
      <c r="G3524" s="5" t="s">
        <v>5307</v>
      </c>
      <c r="H3524" s="6" t="s">
        <v>5308</v>
      </c>
      <c r="I3524" s="8">
        <f>1</f>
        <v>1</v>
      </c>
      <c r="J3524" s="5" t="s">
        <v>499</v>
      </c>
      <c r="K3524" s="8">
        <f>1</f>
        <v>1</v>
      </c>
      <c r="L3524" s="6" t="s">
        <v>242</v>
      </c>
      <c r="M3524" s="5" t="s">
        <v>267</v>
      </c>
      <c r="N3524" s="5" t="s">
        <v>482</v>
      </c>
      <c r="O3524" s="5" t="s">
        <v>238</v>
      </c>
      <c r="P3524" s="5" t="s">
        <v>238</v>
      </c>
      <c r="Q3524" s="5" t="s">
        <v>239</v>
      </c>
      <c r="R3524" s="5" t="s">
        <v>270</v>
      </c>
      <c r="S3524" s="5" t="s">
        <v>238</v>
      </c>
      <c r="T3524" s="5" t="s">
        <v>238</v>
      </c>
      <c r="U3524" s="5" t="s">
        <v>238</v>
      </c>
      <c r="V3524" s="5" t="s">
        <v>238</v>
      </c>
      <c r="W3524" s="6" t="s">
        <v>238</v>
      </c>
      <c r="X3524" s="6" t="s">
        <v>238</v>
      </c>
      <c r="Y3524" s="5" t="s">
        <v>238</v>
      </c>
      <c r="Z3524" s="6" t="s">
        <v>238</v>
      </c>
      <c r="AA3524" s="6" t="s">
        <v>243</v>
      </c>
      <c r="AB3524" s="5" t="s">
        <v>486</v>
      </c>
      <c r="AC3524" s="5" t="s">
        <v>244</v>
      </c>
      <c r="AD3524" s="5" t="s">
        <v>245</v>
      </c>
      <c r="AE3524" s="5" t="s">
        <v>238</v>
      </c>
      <c r="AF3524" s="5" t="s">
        <v>238</v>
      </c>
      <c r="AG3524" s="5" t="s">
        <v>238</v>
      </c>
      <c r="AH3524" s="5" t="s">
        <v>238</v>
      </c>
      <c r="AI3524" s="5" t="s">
        <v>238</v>
      </c>
      <c r="AJ3524" s="5" t="s">
        <v>238</v>
      </c>
      <c r="AK3524" s="5" t="s">
        <v>238</v>
      </c>
      <c r="AL3524" s="5" t="s">
        <v>238</v>
      </c>
      <c r="AM3524" s="6" t="s">
        <v>238</v>
      </c>
      <c r="AN3524" s="6" t="s">
        <v>238</v>
      </c>
      <c r="AO3524" s="6" t="s">
        <v>238</v>
      </c>
      <c r="AP3524" s="6" t="s">
        <v>238</v>
      </c>
      <c r="AQ3524" s="5" t="s">
        <v>238</v>
      </c>
      <c r="AR3524" s="5" t="s">
        <v>488</v>
      </c>
      <c r="AS3524" s="5" t="s">
        <v>488</v>
      </c>
      <c r="AT3524" s="5" t="s">
        <v>246</v>
      </c>
      <c r="AU3524" s="5" t="s">
        <v>489</v>
      </c>
      <c r="AV3524" s="5" t="s">
        <v>247</v>
      </c>
      <c r="AW3524" s="5" t="s">
        <v>238</v>
      </c>
      <c r="AX3524" s="5" t="s">
        <v>249</v>
      </c>
      <c r="AY3524" s="5" t="s">
        <v>490</v>
      </c>
      <c r="BA3524" s="5" t="s">
        <v>238</v>
      </c>
      <c r="BC3524" s="5" t="s">
        <v>491</v>
      </c>
      <c r="BD3524" s="6" t="s">
        <v>492</v>
      </c>
      <c r="BE3524" s="5" t="s">
        <v>493</v>
      </c>
      <c r="BF3524" s="5" t="s">
        <v>493</v>
      </c>
      <c r="BG3524" s="5" t="s">
        <v>238</v>
      </c>
      <c r="BH3524" s="8">
        <f>1</f>
        <v>1</v>
      </c>
      <c r="BI3524" s="8">
        <f>1</f>
        <v>1</v>
      </c>
      <c r="BJ3524" s="5" t="s">
        <v>253</v>
      </c>
      <c r="BK3524" s="5" t="s">
        <v>254</v>
      </c>
      <c r="BL3524" s="5" t="s">
        <v>238</v>
      </c>
      <c r="BM3524" s="5" t="s">
        <v>238</v>
      </c>
      <c r="BN3524" s="5" t="s">
        <v>238</v>
      </c>
      <c r="BO3524" s="5" t="s">
        <v>238</v>
      </c>
      <c r="BP3524" s="5" t="s">
        <v>238</v>
      </c>
      <c r="BQ3524" s="5" t="s">
        <v>238</v>
      </c>
      <c r="BR3524" s="5" t="s">
        <v>238</v>
      </c>
      <c r="BS3524" s="5" t="s">
        <v>238</v>
      </c>
      <c r="BT3524" s="6" t="s">
        <v>238</v>
      </c>
      <c r="BU3524" s="5" t="s">
        <v>238</v>
      </c>
      <c r="BV3524" s="5" t="s">
        <v>238</v>
      </c>
      <c r="BW3524" s="5" t="s">
        <v>238</v>
      </c>
      <c r="BX3524" s="5" t="s">
        <v>254</v>
      </c>
      <c r="BY3524" s="5" t="s">
        <v>238</v>
      </c>
      <c r="BZ3524" s="5" t="s">
        <v>238</v>
      </c>
      <c r="CA3524" s="5" t="s">
        <v>238</v>
      </c>
      <c r="CB3524" s="5" t="s">
        <v>238</v>
      </c>
      <c r="CC3524" s="5" t="s">
        <v>238</v>
      </c>
      <c r="CD3524" s="5" t="s">
        <v>273</v>
      </c>
      <c r="CE3524" s="5" t="s">
        <v>256</v>
      </c>
      <c r="CF3524" s="5" t="s">
        <v>238</v>
      </c>
      <c r="CH3524" s="5" t="s">
        <v>494</v>
      </c>
      <c r="CI3524" s="6" t="s">
        <v>257</v>
      </c>
      <c r="CJ3524" s="5" t="s">
        <v>495</v>
      </c>
      <c r="CK3524" s="5" t="s">
        <v>258</v>
      </c>
      <c r="CL3524" s="5" t="s">
        <v>496</v>
      </c>
      <c r="CM3524" s="5" t="s">
        <v>238</v>
      </c>
      <c r="CN3524" s="5">
        <v>0</v>
      </c>
      <c r="CO3524" s="5" t="s">
        <v>497</v>
      </c>
      <c r="CP3524" s="5" t="s">
        <v>260</v>
      </c>
      <c r="CQ3524" s="5" t="s">
        <v>260</v>
      </c>
      <c r="CR3524" s="5" t="s">
        <v>261</v>
      </c>
      <c r="CS3524" s="5" t="s">
        <v>498</v>
      </c>
      <c r="CT3524" s="7">
        <f>1</f>
        <v>1</v>
      </c>
      <c r="CU3524" s="8">
        <f>1</f>
        <v>1</v>
      </c>
      <c r="CV3524" s="8">
        <f>0</f>
        <v>0</v>
      </c>
      <c r="CX3524" s="8">
        <f>1</f>
        <v>1</v>
      </c>
      <c r="CY3524" s="8">
        <f>1</f>
        <v>1</v>
      </c>
      <c r="CZ3524" s="8" t="s">
        <v>238</v>
      </c>
      <c r="DA3524" s="5" t="s">
        <v>238</v>
      </c>
      <c r="DB3524" s="5" t="s">
        <v>238</v>
      </c>
      <c r="DC3524" s="5" t="s">
        <v>238</v>
      </c>
      <c r="DD3524" s="5" t="s">
        <v>238</v>
      </c>
      <c r="DE3524" s="8">
        <f>0</f>
        <v>0</v>
      </c>
      <c r="DG3524" s="5" t="s">
        <v>238</v>
      </c>
      <c r="DH3524" s="5" t="s">
        <v>238</v>
      </c>
      <c r="DI3524" s="5" t="s">
        <v>238</v>
      </c>
      <c r="DJ3524" s="5" t="s">
        <v>238</v>
      </c>
      <c r="DK3524" s="5" t="s">
        <v>238</v>
      </c>
      <c r="DL3524" s="5" t="s">
        <v>238</v>
      </c>
      <c r="DM3524" s="8" t="s">
        <v>238</v>
      </c>
      <c r="DN3524" s="5" t="s">
        <v>238</v>
      </c>
      <c r="DO3524" s="5" t="s">
        <v>238</v>
      </c>
      <c r="DP3524" s="5" t="s">
        <v>490</v>
      </c>
      <c r="DQ3524" s="5" t="s">
        <v>490</v>
      </c>
      <c r="DR3524" s="5" t="s">
        <v>238</v>
      </c>
      <c r="DS3524" s="5" t="s">
        <v>238</v>
      </c>
      <c r="DT3524" s="5" t="s">
        <v>500</v>
      </c>
      <c r="DU3524" s="5" t="s">
        <v>833</v>
      </c>
      <c r="DV3524" s="5" t="s">
        <v>238</v>
      </c>
      <c r="DW3524" s="5" t="s">
        <v>238</v>
      </c>
      <c r="DX3524" s="5" t="s">
        <v>238</v>
      </c>
      <c r="DY3524" s="5" t="s">
        <v>238</v>
      </c>
      <c r="DZ3524" s="5" t="s">
        <v>238</v>
      </c>
      <c r="EA3524" s="5" t="s">
        <v>238</v>
      </c>
      <c r="EB3524" s="5" t="s">
        <v>238</v>
      </c>
      <c r="EC3524" s="5" t="s">
        <v>238</v>
      </c>
      <c r="ED3524" s="5" t="s">
        <v>238</v>
      </c>
      <c r="EE3524" s="5" t="s">
        <v>238</v>
      </c>
      <c r="EF3524" s="5" t="s">
        <v>238</v>
      </c>
      <c r="EG3524" s="5" t="s">
        <v>238</v>
      </c>
      <c r="EH3524" s="5" t="s">
        <v>238</v>
      </c>
      <c r="EI3524" s="5" t="s">
        <v>238</v>
      </c>
      <c r="EJ3524" s="5" t="s">
        <v>238</v>
      </c>
      <c r="EK3524" s="5" t="s">
        <v>238</v>
      </c>
      <c r="EL3524" s="5" t="s">
        <v>238</v>
      </c>
      <c r="EM3524" s="5" t="s">
        <v>238</v>
      </c>
      <c r="EN3524" s="5" t="s">
        <v>238</v>
      </c>
      <c r="EO3524" s="5" t="s">
        <v>238</v>
      </c>
      <c r="EP3524" s="5" t="s">
        <v>238</v>
      </c>
      <c r="EQ3524" s="5" t="s">
        <v>238</v>
      </c>
      <c r="ER3524" s="5" t="s">
        <v>238</v>
      </c>
      <c r="ES3524" s="5" t="s">
        <v>238</v>
      </c>
      <c r="ET3524" s="5" t="s">
        <v>238</v>
      </c>
      <c r="EU3524" s="5" t="s">
        <v>238</v>
      </c>
      <c r="EV3524" s="5" t="s">
        <v>238</v>
      </c>
      <c r="EW3524" s="5" t="s">
        <v>238</v>
      </c>
      <c r="EX3524" s="5" t="s">
        <v>238</v>
      </c>
      <c r="EY3524" s="5" t="s">
        <v>238</v>
      </c>
      <c r="EZ3524" s="5" t="s">
        <v>238</v>
      </c>
      <c r="FA3524" s="5" t="s">
        <v>238</v>
      </c>
      <c r="FB3524" s="5" t="s">
        <v>238</v>
      </c>
      <c r="FC3524" s="5" t="s">
        <v>238</v>
      </c>
      <c r="FD3524" s="5" t="s">
        <v>238</v>
      </c>
      <c r="FE3524" s="5" t="s">
        <v>238</v>
      </c>
      <c r="FF3524" s="5" t="s">
        <v>238</v>
      </c>
      <c r="FG3524" s="5" t="s">
        <v>238</v>
      </c>
      <c r="FH3524" s="5" t="s">
        <v>238</v>
      </c>
      <c r="FI3524" s="5" t="s">
        <v>238</v>
      </c>
      <c r="FJ3524" s="5" t="s">
        <v>238</v>
      </c>
      <c r="FK3524" s="5" t="s">
        <v>238</v>
      </c>
      <c r="FL3524" s="5" t="s">
        <v>238</v>
      </c>
      <c r="FM3524" s="5" t="s">
        <v>238</v>
      </c>
      <c r="FN3524" s="5" t="s">
        <v>238</v>
      </c>
      <c r="FO3524" s="5" t="s">
        <v>238</v>
      </c>
      <c r="FP3524" s="5" t="s">
        <v>238</v>
      </c>
      <c r="FQ3524" s="5" t="s">
        <v>238</v>
      </c>
      <c r="FR3524" s="5" t="s">
        <v>238</v>
      </c>
      <c r="FS3524" s="5" t="s">
        <v>238</v>
      </c>
      <c r="FT3524" s="5" t="s">
        <v>238</v>
      </c>
      <c r="FU3524" s="5" t="s">
        <v>238</v>
      </c>
      <c r="FV3524" s="5" t="s">
        <v>238</v>
      </c>
      <c r="FW3524" s="5" t="s">
        <v>238</v>
      </c>
      <c r="FX3524" s="5" t="s">
        <v>238</v>
      </c>
      <c r="FY3524" s="5" t="s">
        <v>238</v>
      </c>
      <c r="FZ3524" s="5" t="s">
        <v>238</v>
      </c>
      <c r="GA3524" s="5" t="s">
        <v>238</v>
      </c>
      <c r="GB3524" s="5" t="s">
        <v>238</v>
      </c>
      <c r="GC3524" s="5" t="s">
        <v>238</v>
      </c>
      <c r="GD3524" s="5" t="s">
        <v>238</v>
      </c>
      <c r="GE3524" s="5" t="s">
        <v>238</v>
      </c>
      <c r="GF3524" s="5" t="s">
        <v>238</v>
      </c>
      <c r="GG3524" s="5" t="s">
        <v>238</v>
      </c>
      <c r="GH3524" s="5" t="s">
        <v>238</v>
      </c>
      <c r="GI3524" s="5" t="s">
        <v>238</v>
      </c>
      <c r="GJ3524" s="5" t="s">
        <v>238</v>
      </c>
      <c r="GK3524" s="5" t="s">
        <v>238</v>
      </c>
      <c r="GL3524" s="5" t="s">
        <v>238</v>
      </c>
      <c r="GM3524" s="5" t="s">
        <v>238</v>
      </c>
      <c r="GN3524" s="5" t="s">
        <v>238</v>
      </c>
      <c r="GO3524" s="5" t="s">
        <v>238</v>
      </c>
      <c r="GP3524" s="5" t="s">
        <v>238</v>
      </c>
      <c r="GQ3524" s="5" t="s">
        <v>238</v>
      </c>
      <c r="GR3524" s="5" t="s">
        <v>238</v>
      </c>
      <c r="GS3524" s="5" t="s">
        <v>238</v>
      </c>
      <c r="GT3524" s="5" t="s">
        <v>238</v>
      </c>
      <c r="GU3524" s="5" t="s">
        <v>238</v>
      </c>
      <c r="GV3524" s="5" t="s">
        <v>238</v>
      </c>
      <c r="GW3524" s="5" t="s">
        <v>238</v>
      </c>
      <c r="GX3524" s="5" t="s">
        <v>238</v>
      </c>
      <c r="GY3524" s="5" t="s">
        <v>238</v>
      </c>
      <c r="GZ3524" s="5" t="s">
        <v>238</v>
      </c>
      <c r="HA3524" s="5" t="s">
        <v>238</v>
      </c>
      <c r="HB3524" s="5" t="s">
        <v>238</v>
      </c>
      <c r="HC3524" s="5" t="s">
        <v>238</v>
      </c>
      <c r="HD3524" s="5" t="s">
        <v>238</v>
      </c>
      <c r="HE3524" s="5" t="s">
        <v>238</v>
      </c>
      <c r="HF3524" s="5" t="s">
        <v>238</v>
      </c>
      <c r="HG3524" s="5" t="s">
        <v>238</v>
      </c>
      <c r="HH3524" s="5" t="s">
        <v>238</v>
      </c>
      <c r="HI3524" s="5" t="s">
        <v>238</v>
      </c>
      <c r="HJ3524" s="5" t="s">
        <v>238</v>
      </c>
      <c r="HK3524" s="5" t="s">
        <v>238</v>
      </c>
      <c r="HL3524" s="5" t="s">
        <v>238</v>
      </c>
      <c r="HM3524" s="5" t="s">
        <v>264</v>
      </c>
      <c r="HN3524" s="5" t="s">
        <v>238</v>
      </c>
      <c r="HO3524" s="5" t="s">
        <v>238</v>
      </c>
      <c r="HP3524" s="5" t="s">
        <v>238</v>
      </c>
      <c r="HQ3524" s="5" t="s">
        <v>238</v>
      </c>
      <c r="HR3524" s="5" t="s">
        <v>238</v>
      </c>
      <c r="HS3524" s="5" t="s">
        <v>238</v>
      </c>
      <c r="HT3524" s="5" t="s">
        <v>238</v>
      </c>
      <c r="HU3524" s="5" t="s">
        <v>238</v>
      </c>
      <c r="HV3524" s="5" t="s">
        <v>238</v>
      </c>
      <c r="HW3524" s="5" t="s">
        <v>238</v>
      </c>
      <c r="HX3524" s="5" t="s">
        <v>238</v>
      </c>
      <c r="HY3524" s="5" t="s">
        <v>238</v>
      </c>
      <c r="HZ3524" s="5" t="s">
        <v>238</v>
      </c>
      <c r="IA3524" s="5" t="s">
        <v>238</v>
      </c>
      <c r="IB3524" s="5" t="s">
        <v>238</v>
      </c>
      <c r="IC3524" s="5" t="s">
        <v>238</v>
      </c>
      <c r="ID3524" s="5" t="s">
        <v>238</v>
      </c>
    </row>
    <row r="3525" spans="1:238" x14ac:dyDescent="0.4">
      <c r="A3525" s="5">
        <v>9243</v>
      </c>
      <c r="B3525" s="5">
        <v>1</v>
      </c>
      <c r="C3525" s="5">
        <v>1</v>
      </c>
      <c r="D3525" s="5" t="s">
        <v>484</v>
      </c>
      <c r="E3525" s="5" t="s">
        <v>485</v>
      </c>
      <c r="F3525" s="5" t="s">
        <v>248</v>
      </c>
      <c r="G3525" s="5" t="s">
        <v>4590</v>
      </c>
      <c r="H3525" s="6" t="s">
        <v>4592</v>
      </c>
      <c r="I3525" s="8">
        <f>1</f>
        <v>1</v>
      </c>
      <c r="J3525" s="5" t="s">
        <v>499</v>
      </c>
      <c r="K3525" s="8">
        <f>1</f>
        <v>1</v>
      </c>
      <c r="L3525" s="6" t="s">
        <v>242</v>
      </c>
      <c r="M3525" s="5" t="s">
        <v>267</v>
      </c>
      <c r="N3525" s="5" t="s">
        <v>482</v>
      </c>
      <c r="O3525" s="5" t="s">
        <v>238</v>
      </c>
      <c r="P3525" s="5" t="s">
        <v>238</v>
      </c>
      <c r="Q3525" s="5" t="s">
        <v>239</v>
      </c>
      <c r="R3525" s="5" t="s">
        <v>270</v>
      </c>
      <c r="S3525" s="5" t="s">
        <v>238</v>
      </c>
      <c r="T3525" s="5" t="s">
        <v>238</v>
      </c>
      <c r="U3525" s="5" t="s">
        <v>238</v>
      </c>
      <c r="V3525" s="5" t="s">
        <v>238</v>
      </c>
      <c r="W3525" s="6" t="s">
        <v>238</v>
      </c>
      <c r="X3525" s="6" t="s">
        <v>238</v>
      </c>
      <c r="Y3525" s="5" t="s">
        <v>238</v>
      </c>
      <c r="Z3525" s="6" t="s">
        <v>238</v>
      </c>
      <c r="AA3525" s="6" t="s">
        <v>243</v>
      </c>
      <c r="AB3525" s="5" t="s">
        <v>4591</v>
      </c>
      <c r="AC3525" s="5" t="s">
        <v>244</v>
      </c>
      <c r="AD3525" s="5" t="s">
        <v>245</v>
      </c>
      <c r="AE3525" s="5" t="s">
        <v>238</v>
      </c>
      <c r="AF3525" s="5" t="s">
        <v>238</v>
      </c>
      <c r="AG3525" s="5" t="s">
        <v>238</v>
      </c>
      <c r="AH3525" s="5" t="s">
        <v>238</v>
      </c>
      <c r="AI3525" s="5" t="s">
        <v>238</v>
      </c>
      <c r="AJ3525" s="5" t="s">
        <v>238</v>
      </c>
      <c r="AK3525" s="5" t="s">
        <v>238</v>
      </c>
      <c r="AL3525" s="5" t="s">
        <v>238</v>
      </c>
      <c r="AM3525" s="6" t="s">
        <v>238</v>
      </c>
      <c r="AN3525" s="6" t="s">
        <v>238</v>
      </c>
      <c r="AO3525" s="6" t="s">
        <v>238</v>
      </c>
      <c r="AP3525" s="6" t="s">
        <v>238</v>
      </c>
      <c r="AQ3525" s="5" t="s">
        <v>238</v>
      </c>
      <c r="AR3525" s="5" t="s">
        <v>488</v>
      </c>
      <c r="AS3525" s="5" t="s">
        <v>488</v>
      </c>
      <c r="AT3525" s="5" t="s">
        <v>246</v>
      </c>
      <c r="AU3525" s="5" t="s">
        <v>489</v>
      </c>
      <c r="AV3525" s="5" t="s">
        <v>247</v>
      </c>
      <c r="AW3525" s="5" t="s">
        <v>238</v>
      </c>
      <c r="AX3525" s="5" t="s">
        <v>249</v>
      </c>
      <c r="AY3525" s="5" t="s">
        <v>490</v>
      </c>
      <c r="BA3525" s="5" t="s">
        <v>238</v>
      </c>
      <c r="BC3525" s="5" t="s">
        <v>491</v>
      </c>
      <c r="BD3525" s="6" t="s">
        <v>492</v>
      </c>
      <c r="BE3525" s="5" t="s">
        <v>493</v>
      </c>
      <c r="BF3525" s="5" t="s">
        <v>493</v>
      </c>
      <c r="BG3525" s="5" t="s">
        <v>238</v>
      </c>
      <c r="BH3525" s="8">
        <f>1</f>
        <v>1</v>
      </c>
      <c r="BI3525" s="8">
        <f>1</f>
        <v>1</v>
      </c>
      <c r="BJ3525" s="5" t="s">
        <v>253</v>
      </c>
      <c r="BK3525" s="5" t="s">
        <v>254</v>
      </c>
      <c r="BL3525" s="5" t="s">
        <v>238</v>
      </c>
      <c r="BM3525" s="5" t="s">
        <v>238</v>
      </c>
      <c r="BN3525" s="5" t="s">
        <v>238</v>
      </c>
      <c r="BO3525" s="5" t="s">
        <v>238</v>
      </c>
      <c r="BP3525" s="5" t="s">
        <v>238</v>
      </c>
      <c r="BQ3525" s="5" t="s">
        <v>238</v>
      </c>
      <c r="BR3525" s="5" t="s">
        <v>238</v>
      </c>
      <c r="BS3525" s="5" t="s">
        <v>238</v>
      </c>
      <c r="BT3525" s="6" t="s">
        <v>238</v>
      </c>
      <c r="BU3525" s="5" t="s">
        <v>238</v>
      </c>
      <c r="BV3525" s="5" t="s">
        <v>238</v>
      </c>
      <c r="BW3525" s="5" t="s">
        <v>238</v>
      </c>
      <c r="BX3525" s="5" t="s">
        <v>254</v>
      </c>
      <c r="BY3525" s="5" t="s">
        <v>238</v>
      </c>
      <c r="BZ3525" s="5" t="s">
        <v>238</v>
      </c>
      <c r="CA3525" s="5" t="s">
        <v>238</v>
      </c>
      <c r="CB3525" s="5" t="s">
        <v>238</v>
      </c>
      <c r="CC3525" s="5" t="s">
        <v>238</v>
      </c>
      <c r="CD3525" s="5" t="s">
        <v>273</v>
      </c>
      <c r="CE3525" s="5" t="s">
        <v>256</v>
      </c>
      <c r="CF3525" s="5" t="s">
        <v>238</v>
      </c>
      <c r="CH3525" s="5" t="s">
        <v>494</v>
      </c>
      <c r="CI3525" s="6" t="s">
        <v>257</v>
      </c>
      <c r="CJ3525" s="5" t="s">
        <v>495</v>
      </c>
      <c r="CK3525" s="5" t="s">
        <v>258</v>
      </c>
      <c r="CL3525" s="5" t="s">
        <v>496</v>
      </c>
      <c r="CM3525" s="5" t="s">
        <v>238</v>
      </c>
      <c r="CN3525" s="5">
        <v>0</v>
      </c>
      <c r="CO3525" s="5" t="s">
        <v>497</v>
      </c>
      <c r="CP3525" s="5" t="s">
        <v>260</v>
      </c>
      <c r="CQ3525" s="5" t="s">
        <v>260</v>
      </c>
      <c r="CR3525" s="5" t="s">
        <v>261</v>
      </c>
      <c r="CS3525" s="5" t="s">
        <v>498</v>
      </c>
      <c r="CT3525" s="7">
        <f>1</f>
        <v>1</v>
      </c>
      <c r="CU3525" s="8">
        <f>1</f>
        <v>1</v>
      </c>
      <c r="CV3525" s="8">
        <f>0</f>
        <v>0</v>
      </c>
      <c r="CX3525" s="8">
        <f>1</f>
        <v>1</v>
      </c>
      <c r="CY3525" s="8">
        <f>1</f>
        <v>1</v>
      </c>
      <c r="CZ3525" s="8" t="s">
        <v>238</v>
      </c>
      <c r="DA3525" s="5" t="s">
        <v>238</v>
      </c>
      <c r="DB3525" s="5" t="s">
        <v>238</v>
      </c>
      <c r="DC3525" s="5" t="s">
        <v>238</v>
      </c>
      <c r="DD3525" s="5" t="s">
        <v>238</v>
      </c>
      <c r="DE3525" s="8">
        <f>0</f>
        <v>0</v>
      </c>
      <c r="DG3525" s="5" t="s">
        <v>238</v>
      </c>
      <c r="DH3525" s="5" t="s">
        <v>238</v>
      </c>
      <c r="DI3525" s="5" t="s">
        <v>238</v>
      </c>
      <c r="DJ3525" s="5" t="s">
        <v>238</v>
      </c>
      <c r="DK3525" s="5" t="s">
        <v>238</v>
      </c>
      <c r="DL3525" s="5" t="s">
        <v>238</v>
      </c>
      <c r="DM3525" s="8" t="s">
        <v>238</v>
      </c>
      <c r="DN3525" s="5" t="s">
        <v>238</v>
      </c>
      <c r="DO3525" s="5" t="s">
        <v>238</v>
      </c>
      <c r="DP3525" s="5" t="s">
        <v>490</v>
      </c>
      <c r="DQ3525" s="5" t="s">
        <v>490</v>
      </c>
      <c r="DR3525" s="5" t="s">
        <v>238</v>
      </c>
      <c r="DS3525" s="5" t="s">
        <v>238</v>
      </c>
      <c r="DT3525" s="5" t="s">
        <v>500</v>
      </c>
      <c r="DU3525" s="5" t="s">
        <v>1090</v>
      </c>
      <c r="DV3525" s="5" t="s">
        <v>238</v>
      </c>
      <c r="DW3525" s="5" t="s">
        <v>238</v>
      </c>
      <c r="DX3525" s="5" t="s">
        <v>238</v>
      </c>
      <c r="DY3525" s="5" t="s">
        <v>238</v>
      </c>
      <c r="DZ3525" s="5" t="s">
        <v>238</v>
      </c>
      <c r="EA3525" s="5" t="s">
        <v>238</v>
      </c>
      <c r="EB3525" s="5" t="s">
        <v>238</v>
      </c>
      <c r="EC3525" s="5" t="s">
        <v>238</v>
      </c>
      <c r="ED3525" s="5" t="s">
        <v>238</v>
      </c>
      <c r="EE3525" s="5" t="s">
        <v>238</v>
      </c>
      <c r="EF3525" s="5" t="s">
        <v>238</v>
      </c>
      <c r="EG3525" s="5" t="s">
        <v>238</v>
      </c>
      <c r="EH3525" s="5" t="s">
        <v>238</v>
      </c>
      <c r="EI3525" s="5" t="s">
        <v>238</v>
      </c>
      <c r="EJ3525" s="5" t="s">
        <v>238</v>
      </c>
      <c r="EK3525" s="5" t="s">
        <v>238</v>
      </c>
      <c r="EL3525" s="5" t="s">
        <v>238</v>
      </c>
      <c r="EM3525" s="5" t="s">
        <v>238</v>
      </c>
      <c r="EN3525" s="5" t="s">
        <v>238</v>
      </c>
      <c r="EO3525" s="5" t="s">
        <v>238</v>
      </c>
      <c r="EP3525" s="5" t="s">
        <v>238</v>
      </c>
      <c r="EQ3525" s="5" t="s">
        <v>238</v>
      </c>
      <c r="ER3525" s="5" t="s">
        <v>238</v>
      </c>
      <c r="ES3525" s="5" t="s">
        <v>238</v>
      </c>
      <c r="ET3525" s="5" t="s">
        <v>238</v>
      </c>
      <c r="EU3525" s="5" t="s">
        <v>238</v>
      </c>
      <c r="EV3525" s="5" t="s">
        <v>238</v>
      </c>
      <c r="EW3525" s="5" t="s">
        <v>238</v>
      </c>
      <c r="EX3525" s="5" t="s">
        <v>238</v>
      </c>
      <c r="EY3525" s="5" t="s">
        <v>238</v>
      </c>
      <c r="EZ3525" s="5" t="s">
        <v>238</v>
      </c>
      <c r="FA3525" s="5" t="s">
        <v>238</v>
      </c>
      <c r="FB3525" s="5" t="s">
        <v>238</v>
      </c>
      <c r="FC3525" s="5" t="s">
        <v>238</v>
      </c>
      <c r="FD3525" s="5" t="s">
        <v>238</v>
      </c>
      <c r="FE3525" s="5" t="s">
        <v>238</v>
      </c>
      <c r="FF3525" s="5" t="s">
        <v>238</v>
      </c>
      <c r="FG3525" s="5" t="s">
        <v>238</v>
      </c>
      <c r="FH3525" s="5" t="s">
        <v>238</v>
      </c>
      <c r="FI3525" s="5" t="s">
        <v>238</v>
      </c>
      <c r="FJ3525" s="5" t="s">
        <v>238</v>
      </c>
      <c r="FK3525" s="5" t="s">
        <v>238</v>
      </c>
      <c r="FL3525" s="5" t="s">
        <v>238</v>
      </c>
      <c r="FM3525" s="5" t="s">
        <v>238</v>
      </c>
      <c r="FN3525" s="5" t="s">
        <v>238</v>
      </c>
      <c r="FO3525" s="5" t="s">
        <v>238</v>
      </c>
      <c r="FP3525" s="5" t="s">
        <v>238</v>
      </c>
      <c r="FQ3525" s="5" t="s">
        <v>238</v>
      </c>
      <c r="FR3525" s="5" t="s">
        <v>238</v>
      </c>
      <c r="FS3525" s="5" t="s">
        <v>238</v>
      </c>
      <c r="FT3525" s="5" t="s">
        <v>238</v>
      </c>
      <c r="FU3525" s="5" t="s">
        <v>238</v>
      </c>
      <c r="FV3525" s="5" t="s">
        <v>238</v>
      </c>
      <c r="FW3525" s="5" t="s">
        <v>238</v>
      </c>
      <c r="FX3525" s="5" t="s">
        <v>238</v>
      </c>
      <c r="FY3525" s="5" t="s">
        <v>238</v>
      </c>
      <c r="FZ3525" s="5" t="s">
        <v>238</v>
      </c>
      <c r="GA3525" s="5" t="s">
        <v>238</v>
      </c>
      <c r="GB3525" s="5" t="s">
        <v>238</v>
      </c>
      <c r="GC3525" s="5" t="s">
        <v>238</v>
      </c>
      <c r="GD3525" s="5" t="s">
        <v>238</v>
      </c>
      <c r="GE3525" s="5" t="s">
        <v>238</v>
      </c>
      <c r="GF3525" s="5" t="s">
        <v>238</v>
      </c>
      <c r="GG3525" s="5" t="s">
        <v>238</v>
      </c>
      <c r="GH3525" s="5" t="s">
        <v>238</v>
      </c>
      <c r="GI3525" s="5" t="s">
        <v>238</v>
      </c>
      <c r="GJ3525" s="5" t="s">
        <v>238</v>
      </c>
      <c r="GK3525" s="5" t="s">
        <v>238</v>
      </c>
      <c r="GL3525" s="5" t="s">
        <v>238</v>
      </c>
      <c r="GM3525" s="5" t="s">
        <v>238</v>
      </c>
      <c r="GN3525" s="5" t="s">
        <v>238</v>
      </c>
      <c r="GO3525" s="5" t="s">
        <v>238</v>
      </c>
      <c r="GP3525" s="5" t="s">
        <v>238</v>
      </c>
      <c r="GQ3525" s="5" t="s">
        <v>238</v>
      </c>
      <c r="GR3525" s="5" t="s">
        <v>238</v>
      </c>
      <c r="GS3525" s="5" t="s">
        <v>238</v>
      </c>
      <c r="GT3525" s="5" t="s">
        <v>238</v>
      </c>
      <c r="GU3525" s="5" t="s">
        <v>238</v>
      </c>
      <c r="GV3525" s="5" t="s">
        <v>238</v>
      </c>
      <c r="GW3525" s="5" t="s">
        <v>238</v>
      </c>
      <c r="GX3525" s="5" t="s">
        <v>238</v>
      </c>
      <c r="GY3525" s="5" t="s">
        <v>238</v>
      </c>
      <c r="GZ3525" s="5" t="s">
        <v>238</v>
      </c>
      <c r="HA3525" s="5" t="s">
        <v>238</v>
      </c>
      <c r="HB3525" s="5" t="s">
        <v>238</v>
      </c>
      <c r="HC3525" s="5" t="s">
        <v>238</v>
      </c>
      <c r="HD3525" s="5" t="s">
        <v>238</v>
      </c>
      <c r="HE3525" s="5" t="s">
        <v>238</v>
      </c>
      <c r="HF3525" s="5" t="s">
        <v>238</v>
      </c>
      <c r="HG3525" s="5" t="s">
        <v>238</v>
      </c>
      <c r="HH3525" s="5" t="s">
        <v>238</v>
      </c>
      <c r="HI3525" s="5" t="s">
        <v>238</v>
      </c>
      <c r="HJ3525" s="5" t="s">
        <v>238</v>
      </c>
      <c r="HK3525" s="5" t="s">
        <v>238</v>
      </c>
      <c r="HL3525" s="5" t="s">
        <v>238</v>
      </c>
      <c r="HM3525" s="5" t="s">
        <v>264</v>
      </c>
      <c r="HN3525" s="5" t="s">
        <v>238</v>
      </c>
      <c r="HO3525" s="5" t="s">
        <v>238</v>
      </c>
      <c r="HP3525" s="5" t="s">
        <v>238</v>
      </c>
      <c r="HQ3525" s="5" t="s">
        <v>238</v>
      </c>
      <c r="HR3525" s="5" t="s">
        <v>238</v>
      </c>
      <c r="HS3525" s="5" t="s">
        <v>238</v>
      </c>
      <c r="HT3525" s="5" t="s">
        <v>238</v>
      </c>
      <c r="HU3525" s="5" t="s">
        <v>238</v>
      </c>
      <c r="HV3525" s="5" t="s">
        <v>238</v>
      </c>
      <c r="HW3525" s="5" t="s">
        <v>238</v>
      </c>
      <c r="HX3525" s="5" t="s">
        <v>238</v>
      </c>
      <c r="HY3525" s="5" t="s">
        <v>238</v>
      </c>
      <c r="HZ3525" s="5" t="s">
        <v>238</v>
      </c>
      <c r="IA3525" s="5" t="s">
        <v>238</v>
      </c>
      <c r="IB3525" s="5" t="s">
        <v>238</v>
      </c>
      <c r="IC3525" s="5" t="s">
        <v>238</v>
      </c>
      <c r="ID3525" s="5" t="s">
        <v>238</v>
      </c>
    </row>
    <row r="3526" spans="1:238" x14ac:dyDescent="0.4">
      <c r="A3526" s="5">
        <v>9244</v>
      </c>
      <c r="B3526" s="5">
        <v>1</v>
      </c>
      <c r="C3526" s="5">
        <v>1</v>
      </c>
      <c r="D3526" s="5" t="s">
        <v>484</v>
      </c>
      <c r="E3526" s="5" t="s">
        <v>485</v>
      </c>
      <c r="F3526" s="5" t="s">
        <v>248</v>
      </c>
      <c r="G3526" s="5" t="s">
        <v>4430</v>
      </c>
      <c r="H3526" s="6" t="s">
        <v>4431</v>
      </c>
      <c r="I3526" s="8">
        <f>1</f>
        <v>1</v>
      </c>
      <c r="J3526" s="5" t="s">
        <v>499</v>
      </c>
      <c r="K3526" s="8">
        <f>1</f>
        <v>1</v>
      </c>
      <c r="L3526" s="6" t="s">
        <v>242</v>
      </c>
      <c r="M3526" s="5" t="s">
        <v>267</v>
      </c>
      <c r="N3526" s="5" t="s">
        <v>482</v>
      </c>
      <c r="O3526" s="5" t="s">
        <v>238</v>
      </c>
      <c r="P3526" s="5" t="s">
        <v>238</v>
      </c>
      <c r="Q3526" s="5" t="s">
        <v>239</v>
      </c>
      <c r="R3526" s="5" t="s">
        <v>270</v>
      </c>
      <c r="S3526" s="5" t="s">
        <v>238</v>
      </c>
      <c r="T3526" s="5" t="s">
        <v>238</v>
      </c>
      <c r="U3526" s="5" t="s">
        <v>238</v>
      </c>
      <c r="V3526" s="5" t="s">
        <v>238</v>
      </c>
      <c r="W3526" s="6" t="s">
        <v>238</v>
      </c>
      <c r="X3526" s="6" t="s">
        <v>238</v>
      </c>
      <c r="Y3526" s="5" t="s">
        <v>238</v>
      </c>
      <c r="Z3526" s="6" t="s">
        <v>238</v>
      </c>
      <c r="AA3526" s="6" t="s">
        <v>243</v>
      </c>
      <c r="AB3526" s="5" t="s">
        <v>486</v>
      </c>
      <c r="AC3526" s="5" t="s">
        <v>244</v>
      </c>
      <c r="AD3526" s="5" t="s">
        <v>245</v>
      </c>
      <c r="AE3526" s="5" t="s">
        <v>238</v>
      </c>
      <c r="AF3526" s="5" t="s">
        <v>238</v>
      </c>
      <c r="AG3526" s="5" t="s">
        <v>238</v>
      </c>
      <c r="AH3526" s="5" t="s">
        <v>238</v>
      </c>
      <c r="AI3526" s="5" t="s">
        <v>238</v>
      </c>
      <c r="AJ3526" s="5" t="s">
        <v>238</v>
      </c>
      <c r="AK3526" s="5" t="s">
        <v>238</v>
      </c>
      <c r="AL3526" s="5" t="s">
        <v>238</v>
      </c>
      <c r="AM3526" s="6" t="s">
        <v>238</v>
      </c>
      <c r="AN3526" s="6" t="s">
        <v>238</v>
      </c>
      <c r="AO3526" s="6" t="s">
        <v>238</v>
      </c>
      <c r="AP3526" s="6" t="s">
        <v>238</v>
      </c>
      <c r="AQ3526" s="5" t="s">
        <v>238</v>
      </c>
      <c r="AR3526" s="5" t="s">
        <v>488</v>
      </c>
      <c r="AS3526" s="5" t="s">
        <v>488</v>
      </c>
      <c r="AT3526" s="5" t="s">
        <v>246</v>
      </c>
      <c r="AU3526" s="5" t="s">
        <v>489</v>
      </c>
      <c r="AV3526" s="5" t="s">
        <v>247</v>
      </c>
      <c r="AW3526" s="5" t="s">
        <v>238</v>
      </c>
      <c r="AX3526" s="5" t="s">
        <v>249</v>
      </c>
      <c r="AY3526" s="5" t="s">
        <v>490</v>
      </c>
      <c r="BA3526" s="5" t="s">
        <v>238</v>
      </c>
      <c r="BC3526" s="5" t="s">
        <v>491</v>
      </c>
      <c r="BD3526" s="6" t="s">
        <v>492</v>
      </c>
      <c r="BE3526" s="5" t="s">
        <v>493</v>
      </c>
      <c r="BF3526" s="5" t="s">
        <v>493</v>
      </c>
      <c r="BG3526" s="5" t="s">
        <v>238</v>
      </c>
      <c r="BH3526" s="8">
        <f>1</f>
        <v>1</v>
      </c>
      <c r="BI3526" s="8">
        <f>1</f>
        <v>1</v>
      </c>
      <c r="BJ3526" s="5" t="s">
        <v>253</v>
      </c>
      <c r="BK3526" s="5" t="s">
        <v>254</v>
      </c>
      <c r="BL3526" s="5" t="s">
        <v>238</v>
      </c>
      <c r="BM3526" s="5" t="s">
        <v>238</v>
      </c>
      <c r="BN3526" s="5" t="s">
        <v>238</v>
      </c>
      <c r="BO3526" s="5" t="s">
        <v>238</v>
      </c>
      <c r="BP3526" s="5" t="s">
        <v>238</v>
      </c>
      <c r="BQ3526" s="5" t="s">
        <v>238</v>
      </c>
      <c r="BR3526" s="5" t="s">
        <v>238</v>
      </c>
      <c r="BS3526" s="5" t="s">
        <v>238</v>
      </c>
      <c r="BT3526" s="6" t="s">
        <v>238</v>
      </c>
      <c r="BU3526" s="5" t="s">
        <v>238</v>
      </c>
      <c r="BV3526" s="5" t="s">
        <v>238</v>
      </c>
      <c r="BW3526" s="5" t="s">
        <v>238</v>
      </c>
      <c r="BX3526" s="5" t="s">
        <v>254</v>
      </c>
      <c r="BY3526" s="5" t="s">
        <v>238</v>
      </c>
      <c r="BZ3526" s="5" t="s">
        <v>238</v>
      </c>
      <c r="CA3526" s="5" t="s">
        <v>238</v>
      </c>
      <c r="CB3526" s="5" t="s">
        <v>238</v>
      </c>
      <c r="CC3526" s="5" t="s">
        <v>238</v>
      </c>
      <c r="CD3526" s="5" t="s">
        <v>273</v>
      </c>
      <c r="CE3526" s="5" t="s">
        <v>256</v>
      </c>
      <c r="CF3526" s="5" t="s">
        <v>238</v>
      </c>
      <c r="CH3526" s="5" t="s">
        <v>494</v>
      </c>
      <c r="CI3526" s="6" t="s">
        <v>257</v>
      </c>
      <c r="CJ3526" s="5" t="s">
        <v>495</v>
      </c>
      <c r="CK3526" s="5" t="s">
        <v>258</v>
      </c>
      <c r="CL3526" s="5" t="s">
        <v>496</v>
      </c>
      <c r="CM3526" s="5" t="s">
        <v>238</v>
      </c>
      <c r="CN3526" s="5">
        <v>0</v>
      </c>
      <c r="CO3526" s="5" t="s">
        <v>497</v>
      </c>
      <c r="CP3526" s="5" t="s">
        <v>260</v>
      </c>
      <c r="CQ3526" s="5" t="s">
        <v>260</v>
      </c>
      <c r="CR3526" s="5" t="s">
        <v>261</v>
      </c>
      <c r="CS3526" s="5" t="s">
        <v>498</v>
      </c>
      <c r="CT3526" s="7">
        <f>1</f>
        <v>1</v>
      </c>
      <c r="CU3526" s="8">
        <f>1</f>
        <v>1</v>
      </c>
      <c r="CV3526" s="8">
        <f>0</f>
        <v>0</v>
      </c>
      <c r="CX3526" s="8">
        <f>1</f>
        <v>1</v>
      </c>
      <c r="CY3526" s="8">
        <f>1</f>
        <v>1</v>
      </c>
      <c r="CZ3526" s="8" t="s">
        <v>238</v>
      </c>
      <c r="DA3526" s="5" t="s">
        <v>238</v>
      </c>
      <c r="DB3526" s="5" t="s">
        <v>238</v>
      </c>
      <c r="DC3526" s="5" t="s">
        <v>238</v>
      </c>
      <c r="DD3526" s="5" t="s">
        <v>238</v>
      </c>
      <c r="DE3526" s="8">
        <f>0</f>
        <v>0</v>
      </c>
      <c r="DG3526" s="5" t="s">
        <v>238</v>
      </c>
      <c r="DH3526" s="5" t="s">
        <v>238</v>
      </c>
      <c r="DI3526" s="5" t="s">
        <v>238</v>
      </c>
      <c r="DJ3526" s="5" t="s">
        <v>238</v>
      </c>
      <c r="DK3526" s="5" t="s">
        <v>238</v>
      </c>
      <c r="DL3526" s="5" t="s">
        <v>238</v>
      </c>
      <c r="DM3526" s="8" t="s">
        <v>238</v>
      </c>
      <c r="DN3526" s="5" t="s">
        <v>238</v>
      </c>
      <c r="DO3526" s="5" t="s">
        <v>238</v>
      </c>
      <c r="DP3526" s="5" t="s">
        <v>490</v>
      </c>
      <c r="DQ3526" s="5" t="s">
        <v>490</v>
      </c>
      <c r="DR3526" s="5" t="s">
        <v>238</v>
      </c>
      <c r="DS3526" s="5" t="s">
        <v>238</v>
      </c>
      <c r="DT3526" s="5" t="s">
        <v>500</v>
      </c>
      <c r="DU3526" s="5" t="s">
        <v>716</v>
      </c>
      <c r="DV3526" s="5" t="s">
        <v>238</v>
      </c>
      <c r="DW3526" s="5" t="s">
        <v>238</v>
      </c>
      <c r="DX3526" s="5" t="s">
        <v>238</v>
      </c>
      <c r="DY3526" s="5" t="s">
        <v>238</v>
      </c>
      <c r="DZ3526" s="5" t="s">
        <v>238</v>
      </c>
      <c r="EA3526" s="5" t="s">
        <v>238</v>
      </c>
      <c r="EB3526" s="5" t="s">
        <v>238</v>
      </c>
      <c r="EC3526" s="5" t="s">
        <v>238</v>
      </c>
      <c r="ED3526" s="5" t="s">
        <v>238</v>
      </c>
      <c r="EE3526" s="5" t="s">
        <v>238</v>
      </c>
      <c r="EF3526" s="5" t="s">
        <v>238</v>
      </c>
      <c r="EG3526" s="5" t="s">
        <v>238</v>
      </c>
      <c r="EH3526" s="5" t="s">
        <v>238</v>
      </c>
      <c r="EI3526" s="5" t="s">
        <v>238</v>
      </c>
      <c r="EJ3526" s="5" t="s">
        <v>238</v>
      </c>
      <c r="EK3526" s="5" t="s">
        <v>238</v>
      </c>
      <c r="EL3526" s="5" t="s">
        <v>238</v>
      </c>
      <c r="EM3526" s="5" t="s">
        <v>238</v>
      </c>
      <c r="EN3526" s="5" t="s">
        <v>238</v>
      </c>
      <c r="EO3526" s="5" t="s">
        <v>238</v>
      </c>
      <c r="EP3526" s="5" t="s">
        <v>238</v>
      </c>
      <c r="EQ3526" s="5" t="s">
        <v>238</v>
      </c>
      <c r="ER3526" s="5" t="s">
        <v>238</v>
      </c>
      <c r="ES3526" s="5" t="s">
        <v>238</v>
      </c>
      <c r="ET3526" s="5" t="s">
        <v>238</v>
      </c>
      <c r="EU3526" s="5" t="s">
        <v>238</v>
      </c>
      <c r="EV3526" s="5" t="s">
        <v>238</v>
      </c>
      <c r="EW3526" s="5" t="s">
        <v>238</v>
      </c>
      <c r="EX3526" s="5" t="s">
        <v>238</v>
      </c>
      <c r="EY3526" s="5" t="s">
        <v>238</v>
      </c>
      <c r="EZ3526" s="5" t="s">
        <v>238</v>
      </c>
      <c r="FA3526" s="5" t="s">
        <v>238</v>
      </c>
      <c r="FB3526" s="5" t="s">
        <v>238</v>
      </c>
      <c r="FC3526" s="5" t="s">
        <v>238</v>
      </c>
      <c r="FD3526" s="5" t="s">
        <v>238</v>
      </c>
      <c r="FE3526" s="5" t="s">
        <v>238</v>
      </c>
      <c r="FF3526" s="5" t="s">
        <v>238</v>
      </c>
      <c r="FG3526" s="5" t="s">
        <v>238</v>
      </c>
      <c r="FH3526" s="5" t="s">
        <v>238</v>
      </c>
      <c r="FI3526" s="5" t="s">
        <v>238</v>
      </c>
      <c r="FJ3526" s="5" t="s">
        <v>238</v>
      </c>
      <c r="FK3526" s="5" t="s">
        <v>238</v>
      </c>
      <c r="FL3526" s="5" t="s">
        <v>238</v>
      </c>
      <c r="FM3526" s="5" t="s">
        <v>238</v>
      </c>
      <c r="FN3526" s="5" t="s">
        <v>238</v>
      </c>
      <c r="FO3526" s="5" t="s">
        <v>238</v>
      </c>
      <c r="FP3526" s="5" t="s">
        <v>238</v>
      </c>
      <c r="FQ3526" s="5" t="s">
        <v>238</v>
      </c>
      <c r="FR3526" s="5" t="s">
        <v>238</v>
      </c>
      <c r="FS3526" s="5" t="s">
        <v>238</v>
      </c>
      <c r="FT3526" s="5" t="s">
        <v>238</v>
      </c>
      <c r="FU3526" s="5" t="s">
        <v>238</v>
      </c>
      <c r="FV3526" s="5" t="s">
        <v>238</v>
      </c>
      <c r="FW3526" s="5" t="s">
        <v>238</v>
      </c>
      <c r="FX3526" s="5" t="s">
        <v>238</v>
      </c>
      <c r="FY3526" s="5" t="s">
        <v>238</v>
      </c>
      <c r="FZ3526" s="5" t="s">
        <v>238</v>
      </c>
      <c r="GA3526" s="5" t="s">
        <v>238</v>
      </c>
      <c r="GB3526" s="5" t="s">
        <v>238</v>
      </c>
      <c r="GC3526" s="5" t="s">
        <v>238</v>
      </c>
      <c r="GD3526" s="5" t="s">
        <v>238</v>
      </c>
      <c r="GE3526" s="5" t="s">
        <v>238</v>
      </c>
      <c r="GF3526" s="5" t="s">
        <v>238</v>
      </c>
      <c r="GG3526" s="5" t="s">
        <v>238</v>
      </c>
      <c r="GH3526" s="5" t="s">
        <v>238</v>
      </c>
      <c r="GI3526" s="5" t="s">
        <v>238</v>
      </c>
      <c r="GJ3526" s="5" t="s">
        <v>238</v>
      </c>
      <c r="GK3526" s="5" t="s">
        <v>238</v>
      </c>
      <c r="GL3526" s="5" t="s">
        <v>238</v>
      </c>
      <c r="GM3526" s="5" t="s">
        <v>238</v>
      </c>
      <c r="GN3526" s="5" t="s">
        <v>238</v>
      </c>
      <c r="GO3526" s="5" t="s">
        <v>238</v>
      </c>
      <c r="GP3526" s="5" t="s">
        <v>238</v>
      </c>
      <c r="GQ3526" s="5" t="s">
        <v>238</v>
      </c>
      <c r="GR3526" s="5" t="s">
        <v>238</v>
      </c>
      <c r="GS3526" s="5" t="s">
        <v>238</v>
      </c>
      <c r="GT3526" s="5" t="s">
        <v>238</v>
      </c>
      <c r="GU3526" s="5" t="s">
        <v>238</v>
      </c>
      <c r="GV3526" s="5" t="s">
        <v>238</v>
      </c>
      <c r="GW3526" s="5" t="s">
        <v>238</v>
      </c>
      <c r="GX3526" s="5" t="s">
        <v>238</v>
      </c>
      <c r="GY3526" s="5" t="s">
        <v>238</v>
      </c>
      <c r="GZ3526" s="5" t="s">
        <v>238</v>
      </c>
      <c r="HA3526" s="5" t="s">
        <v>238</v>
      </c>
      <c r="HB3526" s="5" t="s">
        <v>238</v>
      </c>
      <c r="HC3526" s="5" t="s">
        <v>238</v>
      </c>
      <c r="HD3526" s="5" t="s">
        <v>238</v>
      </c>
      <c r="HE3526" s="5" t="s">
        <v>238</v>
      </c>
      <c r="HF3526" s="5" t="s">
        <v>238</v>
      </c>
      <c r="HG3526" s="5" t="s">
        <v>238</v>
      </c>
      <c r="HH3526" s="5" t="s">
        <v>238</v>
      </c>
      <c r="HI3526" s="5" t="s">
        <v>238</v>
      </c>
      <c r="HJ3526" s="5" t="s">
        <v>238</v>
      </c>
      <c r="HK3526" s="5" t="s">
        <v>238</v>
      </c>
      <c r="HL3526" s="5" t="s">
        <v>238</v>
      </c>
      <c r="HM3526" s="5" t="s">
        <v>264</v>
      </c>
      <c r="HN3526" s="5" t="s">
        <v>238</v>
      </c>
      <c r="HO3526" s="5" t="s">
        <v>238</v>
      </c>
      <c r="HP3526" s="5" t="s">
        <v>238</v>
      </c>
      <c r="HQ3526" s="5" t="s">
        <v>238</v>
      </c>
      <c r="HR3526" s="5" t="s">
        <v>238</v>
      </c>
      <c r="HS3526" s="5" t="s">
        <v>238</v>
      </c>
      <c r="HT3526" s="5" t="s">
        <v>238</v>
      </c>
      <c r="HU3526" s="5" t="s">
        <v>238</v>
      </c>
      <c r="HV3526" s="5" t="s">
        <v>238</v>
      </c>
      <c r="HW3526" s="5" t="s">
        <v>238</v>
      </c>
      <c r="HX3526" s="5" t="s">
        <v>238</v>
      </c>
      <c r="HY3526" s="5" t="s">
        <v>238</v>
      </c>
      <c r="HZ3526" s="5" t="s">
        <v>238</v>
      </c>
      <c r="IA3526" s="5" t="s">
        <v>238</v>
      </c>
      <c r="IB3526" s="5" t="s">
        <v>238</v>
      </c>
      <c r="IC3526" s="5" t="s">
        <v>238</v>
      </c>
      <c r="ID3526" s="5" t="s">
        <v>238</v>
      </c>
    </row>
    <row r="3527" spans="1:238" x14ac:dyDescent="0.4">
      <c r="A3527" s="5">
        <v>9245</v>
      </c>
      <c r="B3527" s="5">
        <v>1</v>
      </c>
      <c r="C3527" s="5">
        <v>1</v>
      </c>
      <c r="D3527" s="5" t="s">
        <v>484</v>
      </c>
      <c r="E3527" s="5" t="s">
        <v>485</v>
      </c>
      <c r="F3527" s="5" t="s">
        <v>248</v>
      </c>
      <c r="G3527" s="5" t="s">
        <v>4998</v>
      </c>
      <c r="H3527" s="6" t="s">
        <v>4999</v>
      </c>
      <c r="I3527" s="8">
        <f>1</f>
        <v>1</v>
      </c>
      <c r="J3527" s="5" t="s">
        <v>499</v>
      </c>
      <c r="K3527" s="8">
        <f>1</f>
        <v>1</v>
      </c>
      <c r="L3527" s="6" t="s">
        <v>242</v>
      </c>
      <c r="M3527" s="5" t="s">
        <v>267</v>
      </c>
      <c r="N3527" s="5" t="s">
        <v>482</v>
      </c>
      <c r="O3527" s="5" t="s">
        <v>238</v>
      </c>
      <c r="P3527" s="5" t="s">
        <v>238</v>
      </c>
      <c r="Q3527" s="5" t="s">
        <v>239</v>
      </c>
      <c r="R3527" s="5" t="s">
        <v>270</v>
      </c>
      <c r="S3527" s="5" t="s">
        <v>238</v>
      </c>
      <c r="T3527" s="5" t="s">
        <v>238</v>
      </c>
      <c r="U3527" s="5" t="s">
        <v>238</v>
      </c>
      <c r="V3527" s="5" t="s">
        <v>238</v>
      </c>
      <c r="W3527" s="6" t="s">
        <v>238</v>
      </c>
      <c r="X3527" s="6" t="s">
        <v>238</v>
      </c>
      <c r="Y3527" s="5" t="s">
        <v>238</v>
      </c>
      <c r="Z3527" s="6" t="s">
        <v>238</v>
      </c>
      <c r="AA3527" s="6" t="s">
        <v>243</v>
      </c>
      <c r="AB3527" s="5" t="s">
        <v>486</v>
      </c>
      <c r="AC3527" s="5" t="s">
        <v>244</v>
      </c>
      <c r="AD3527" s="5" t="s">
        <v>245</v>
      </c>
      <c r="AE3527" s="5" t="s">
        <v>238</v>
      </c>
      <c r="AF3527" s="5" t="s">
        <v>238</v>
      </c>
      <c r="AG3527" s="5" t="s">
        <v>238</v>
      </c>
      <c r="AH3527" s="5" t="s">
        <v>238</v>
      </c>
      <c r="AI3527" s="5" t="s">
        <v>238</v>
      </c>
      <c r="AJ3527" s="5" t="s">
        <v>238</v>
      </c>
      <c r="AK3527" s="5" t="s">
        <v>238</v>
      </c>
      <c r="AL3527" s="5" t="s">
        <v>238</v>
      </c>
      <c r="AM3527" s="6" t="s">
        <v>238</v>
      </c>
      <c r="AN3527" s="6" t="s">
        <v>238</v>
      </c>
      <c r="AO3527" s="6" t="s">
        <v>238</v>
      </c>
      <c r="AP3527" s="6" t="s">
        <v>238</v>
      </c>
      <c r="AQ3527" s="5" t="s">
        <v>238</v>
      </c>
      <c r="AR3527" s="5" t="s">
        <v>488</v>
      </c>
      <c r="AS3527" s="5" t="s">
        <v>488</v>
      </c>
      <c r="AT3527" s="5" t="s">
        <v>246</v>
      </c>
      <c r="AU3527" s="5" t="s">
        <v>489</v>
      </c>
      <c r="AV3527" s="5" t="s">
        <v>247</v>
      </c>
      <c r="AW3527" s="5" t="s">
        <v>238</v>
      </c>
      <c r="AX3527" s="5" t="s">
        <v>249</v>
      </c>
      <c r="AY3527" s="5" t="s">
        <v>490</v>
      </c>
      <c r="BA3527" s="5" t="s">
        <v>238</v>
      </c>
      <c r="BC3527" s="5" t="s">
        <v>491</v>
      </c>
      <c r="BD3527" s="6" t="s">
        <v>492</v>
      </c>
      <c r="BE3527" s="5" t="s">
        <v>493</v>
      </c>
      <c r="BF3527" s="5" t="s">
        <v>493</v>
      </c>
      <c r="BG3527" s="5" t="s">
        <v>238</v>
      </c>
      <c r="BH3527" s="8">
        <f>1</f>
        <v>1</v>
      </c>
      <c r="BI3527" s="8">
        <f>1</f>
        <v>1</v>
      </c>
      <c r="BJ3527" s="5" t="s">
        <v>253</v>
      </c>
      <c r="BK3527" s="5" t="s">
        <v>254</v>
      </c>
      <c r="BL3527" s="5" t="s">
        <v>238</v>
      </c>
      <c r="BM3527" s="5" t="s">
        <v>238</v>
      </c>
      <c r="BN3527" s="5" t="s">
        <v>238</v>
      </c>
      <c r="BO3527" s="5" t="s">
        <v>238</v>
      </c>
      <c r="BP3527" s="5" t="s">
        <v>238</v>
      </c>
      <c r="BQ3527" s="5" t="s">
        <v>238</v>
      </c>
      <c r="BR3527" s="5" t="s">
        <v>238</v>
      </c>
      <c r="BS3527" s="5" t="s">
        <v>238</v>
      </c>
      <c r="BT3527" s="6" t="s">
        <v>238</v>
      </c>
      <c r="BU3527" s="5" t="s">
        <v>238</v>
      </c>
      <c r="BV3527" s="5" t="s">
        <v>238</v>
      </c>
      <c r="BW3527" s="5" t="s">
        <v>238</v>
      </c>
      <c r="BX3527" s="5" t="s">
        <v>254</v>
      </c>
      <c r="BY3527" s="5" t="s">
        <v>238</v>
      </c>
      <c r="BZ3527" s="5" t="s">
        <v>238</v>
      </c>
      <c r="CA3527" s="5" t="s">
        <v>238</v>
      </c>
      <c r="CB3527" s="5" t="s">
        <v>238</v>
      </c>
      <c r="CC3527" s="5" t="s">
        <v>238</v>
      </c>
      <c r="CD3527" s="5" t="s">
        <v>273</v>
      </c>
      <c r="CE3527" s="5" t="s">
        <v>256</v>
      </c>
      <c r="CF3527" s="5" t="s">
        <v>238</v>
      </c>
      <c r="CH3527" s="5" t="s">
        <v>494</v>
      </c>
      <c r="CI3527" s="6" t="s">
        <v>257</v>
      </c>
      <c r="CJ3527" s="5" t="s">
        <v>495</v>
      </c>
      <c r="CK3527" s="5" t="s">
        <v>258</v>
      </c>
      <c r="CL3527" s="5" t="s">
        <v>496</v>
      </c>
      <c r="CM3527" s="5" t="s">
        <v>238</v>
      </c>
      <c r="CN3527" s="5">
        <v>0</v>
      </c>
      <c r="CO3527" s="5" t="s">
        <v>497</v>
      </c>
      <c r="CP3527" s="5" t="s">
        <v>260</v>
      </c>
      <c r="CQ3527" s="5" t="s">
        <v>260</v>
      </c>
      <c r="CR3527" s="5" t="s">
        <v>261</v>
      </c>
      <c r="CS3527" s="5" t="s">
        <v>498</v>
      </c>
      <c r="CT3527" s="7">
        <f>1</f>
        <v>1</v>
      </c>
      <c r="CU3527" s="8">
        <f>1</f>
        <v>1</v>
      </c>
      <c r="CV3527" s="8">
        <f>0</f>
        <v>0</v>
      </c>
      <c r="CX3527" s="8">
        <f>1</f>
        <v>1</v>
      </c>
      <c r="CY3527" s="8">
        <f>1</f>
        <v>1</v>
      </c>
      <c r="CZ3527" s="8" t="s">
        <v>238</v>
      </c>
      <c r="DA3527" s="5" t="s">
        <v>238</v>
      </c>
      <c r="DB3527" s="5" t="s">
        <v>238</v>
      </c>
      <c r="DC3527" s="5" t="s">
        <v>238</v>
      </c>
      <c r="DD3527" s="5" t="s">
        <v>238</v>
      </c>
      <c r="DE3527" s="8">
        <f>0</f>
        <v>0</v>
      </c>
      <c r="DG3527" s="5" t="s">
        <v>238</v>
      </c>
      <c r="DH3527" s="5" t="s">
        <v>238</v>
      </c>
      <c r="DI3527" s="5" t="s">
        <v>238</v>
      </c>
      <c r="DJ3527" s="5" t="s">
        <v>238</v>
      </c>
      <c r="DK3527" s="5" t="s">
        <v>238</v>
      </c>
      <c r="DL3527" s="5" t="s">
        <v>238</v>
      </c>
      <c r="DM3527" s="8" t="s">
        <v>238</v>
      </c>
      <c r="DN3527" s="5" t="s">
        <v>238</v>
      </c>
      <c r="DO3527" s="5" t="s">
        <v>238</v>
      </c>
      <c r="DP3527" s="5" t="s">
        <v>490</v>
      </c>
      <c r="DQ3527" s="5" t="s">
        <v>490</v>
      </c>
      <c r="DR3527" s="5" t="s">
        <v>238</v>
      </c>
      <c r="DS3527" s="5" t="s">
        <v>238</v>
      </c>
      <c r="DT3527" s="5" t="s">
        <v>500</v>
      </c>
      <c r="DU3527" s="5" t="s">
        <v>732</v>
      </c>
      <c r="DV3527" s="5" t="s">
        <v>238</v>
      </c>
      <c r="DW3527" s="5" t="s">
        <v>238</v>
      </c>
      <c r="DX3527" s="5" t="s">
        <v>238</v>
      </c>
      <c r="DY3527" s="5" t="s">
        <v>238</v>
      </c>
      <c r="DZ3527" s="5" t="s">
        <v>238</v>
      </c>
      <c r="EA3527" s="5" t="s">
        <v>238</v>
      </c>
      <c r="EB3527" s="5" t="s">
        <v>238</v>
      </c>
      <c r="EC3527" s="5" t="s">
        <v>238</v>
      </c>
      <c r="ED3527" s="5" t="s">
        <v>238</v>
      </c>
      <c r="EE3527" s="5" t="s">
        <v>238</v>
      </c>
      <c r="EF3527" s="5" t="s">
        <v>238</v>
      </c>
      <c r="EG3527" s="5" t="s">
        <v>238</v>
      </c>
      <c r="EH3527" s="5" t="s">
        <v>238</v>
      </c>
      <c r="EI3527" s="5" t="s">
        <v>238</v>
      </c>
      <c r="EJ3527" s="5" t="s">
        <v>238</v>
      </c>
      <c r="EK3527" s="5" t="s">
        <v>238</v>
      </c>
      <c r="EL3527" s="5" t="s">
        <v>238</v>
      </c>
      <c r="EM3527" s="5" t="s">
        <v>238</v>
      </c>
      <c r="EN3527" s="5" t="s">
        <v>238</v>
      </c>
      <c r="EO3527" s="5" t="s">
        <v>238</v>
      </c>
      <c r="EP3527" s="5" t="s">
        <v>238</v>
      </c>
      <c r="EQ3527" s="5" t="s">
        <v>238</v>
      </c>
      <c r="ER3527" s="5" t="s">
        <v>238</v>
      </c>
      <c r="ES3527" s="5" t="s">
        <v>238</v>
      </c>
      <c r="ET3527" s="5" t="s">
        <v>238</v>
      </c>
      <c r="EU3527" s="5" t="s">
        <v>238</v>
      </c>
      <c r="EV3527" s="5" t="s">
        <v>238</v>
      </c>
      <c r="EW3527" s="5" t="s">
        <v>238</v>
      </c>
      <c r="EX3527" s="5" t="s">
        <v>238</v>
      </c>
      <c r="EY3527" s="5" t="s">
        <v>238</v>
      </c>
      <c r="EZ3527" s="5" t="s">
        <v>238</v>
      </c>
      <c r="FA3527" s="5" t="s">
        <v>238</v>
      </c>
      <c r="FB3527" s="5" t="s">
        <v>238</v>
      </c>
      <c r="FC3527" s="5" t="s">
        <v>238</v>
      </c>
      <c r="FD3527" s="5" t="s">
        <v>238</v>
      </c>
      <c r="FE3527" s="5" t="s">
        <v>238</v>
      </c>
      <c r="FF3527" s="5" t="s">
        <v>238</v>
      </c>
      <c r="FG3527" s="5" t="s">
        <v>238</v>
      </c>
      <c r="FH3527" s="5" t="s">
        <v>238</v>
      </c>
      <c r="FI3527" s="5" t="s">
        <v>238</v>
      </c>
      <c r="FJ3527" s="5" t="s">
        <v>238</v>
      </c>
      <c r="FK3527" s="5" t="s">
        <v>238</v>
      </c>
      <c r="FL3527" s="5" t="s">
        <v>238</v>
      </c>
      <c r="FM3527" s="5" t="s">
        <v>238</v>
      </c>
      <c r="FN3527" s="5" t="s">
        <v>238</v>
      </c>
      <c r="FO3527" s="5" t="s">
        <v>238</v>
      </c>
      <c r="FP3527" s="5" t="s">
        <v>238</v>
      </c>
      <c r="FQ3527" s="5" t="s">
        <v>238</v>
      </c>
      <c r="FR3527" s="5" t="s">
        <v>238</v>
      </c>
      <c r="FS3527" s="5" t="s">
        <v>238</v>
      </c>
      <c r="FT3527" s="5" t="s">
        <v>238</v>
      </c>
      <c r="FU3527" s="5" t="s">
        <v>238</v>
      </c>
      <c r="FV3527" s="5" t="s">
        <v>238</v>
      </c>
      <c r="FW3527" s="5" t="s">
        <v>238</v>
      </c>
      <c r="FX3527" s="5" t="s">
        <v>238</v>
      </c>
      <c r="FY3527" s="5" t="s">
        <v>238</v>
      </c>
      <c r="FZ3527" s="5" t="s">
        <v>238</v>
      </c>
      <c r="GA3527" s="5" t="s">
        <v>238</v>
      </c>
      <c r="GB3527" s="5" t="s">
        <v>238</v>
      </c>
      <c r="GC3527" s="5" t="s">
        <v>238</v>
      </c>
      <c r="GD3527" s="5" t="s">
        <v>238</v>
      </c>
      <c r="GE3527" s="5" t="s">
        <v>238</v>
      </c>
      <c r="GF3527" s="5" t="s">
        <v>238</v>
      </c>
      <c r="GG3527" s="5" t="s">
        <v>238</v>
      </c>
      <c r="GH3527" s="5" t="s">
        <v>238</v>
      </c>
      <c r="GI3527" s="5" t="s">
        <v>238</v>
      </c>
      <c r="GJ3527" s="5" t="s">
        <v>238</v>
      </c>
      <c r="GK3527" s="5" t="s">
        <v>238</v>
      </c>
      <c r="GL3527" s="5" t="s">
        <v>238</v>
      </c>
      <c r="GM3527" s="5" t="s">
        <v>238</v>
      </c>
      <c r="GN3527" s="5" t="s">
        <v>238</v>
      </c>
      <c r="GO3527" s="5" t="s">
        <v>238</v>
      </c>
      <c r="GP3527" s="5" t="s">
        <v>238</v>
      </c>
      <c r="GQ3527" s="5" t="s">
        <v>238</v>
      </c>
      <c r="GR3527" s="5" t="s">
        <v>238</v>
      </c>
      <c r="GS3527" s="5" t="s">
        <v>238</v>
      </c>
      <c r="GT3527" s="5" t="s">
        <v>238</v>
      </c>
      <c r="GU3527" s="5" t="s">
        <v>238</v>
      </c>
      <c r="GV3527" s="5" t="s">
        <v>238</v>
      </c>
      <c r="GW3527" s="5" t="s">
        <v>238</v>
      </c>
      <c r="GX3527" s="5" t="s">
        <v>238</v>
      </c>
      <c r="GY3527" s="5" t="s">
        <v>238</v>
      </c>
      <c r="GZ3527" s="5" t="s">
        <v>238</v>
      </c>
      <c r="HA3527" s="5" t="s">
        <v>238</v>
      </c>
      <c r="HB3527" s="5" t="s">
        <v>238</v>
      </c>
      <c r="HC3527" s="5" t="s">
        <v>238</v>
      </c>
      <c r="HD3527" s="5" t="s">
        <v>238</v>
      </c>
      <c r="HE3527" s="5" t="s">
        <v>238</v>
      </c>
      <c r="HF3527" s="5" t="s">
        <v>238</v>
      </c>
      <c r="HG3527" s="5" t="s">
        <v>238</v>
      </c>
      <c r="HH3527" s="5" t="s">
        <v>238</v>
      </c>
      <c r="HI3527" s="5" t="s">
        <v>238</v>
      </c>
      <c r="HJ3527" s="5" t="s">
        <v>238</v>
      </c>
      <c r="HK3527" s="5" t="s">
        <v>238</v>
      </c>
      <c r="HL3527" s="5" t="s">
        <v>238</v>
      </c>
      <c r="HM3527" s="5" t="s">
        <v>264</v>
      </c>
      <c r="HN3527" s="5" t="s">
        <v>238</v>
      </c>
      <c r="HO3527" s="5" t="s">
        <v>238</v>
      </c>
      <c r="HP3527" s="5" t="s">
        <v>238</v>
      </c>
      <c r="HQ3527" s="5" t="s">
        <v>238</v>
      </c>
      <c r="HR3527" s="5" t="s">
        <v>238</v>
      </c>
      <c r="HS3527" s="5" t="s">
        <v>238</v>
      </c>
      <c r="HT3527" s="5" t="s">
        <v>238</v>
      </c>
      <c r="HU3527" s="5" t="s">
        <v>238</v>
      </c>
      <c r="HV3527" s="5" t="s">
        <v>238</v>
      </c>
      <c r="HW3527" s="5" t="s">
        <v>238</v>
      </c>
      <c r="HX3527" s="5" t="s">
        <v>238</v>
      </c>
      <c r="HY3527" s="5" t="s">
        <v>238</v>
      </c>
      <c r="HZ3527" s="5" t="s">
        <v>238</v>
      </c>
      <c r="IA3527" s="5" t="s">
        <v>238</v>
      </c>
      <c r="IB3527" s="5" t="s">
        <v>238</v>
      </c>
      <c r="IC3527" s="5" t="s">
        <v>238</v>
      </c>
      <c r="ID3527" s="5" t="s">
        <v>238</v>
      </c>
    </row>
    <row r="3528" spans="1:238" x14ac:dyDescent="0.4">
      <c r="A3528" s="5">
        <v>9246</v>
      </c>
      <c r="B3528" s="5">
        <v>1</v>
      </c>
      <c r="C3528" s="5">
        <v>1</v>
      </c>
      <c r="D3528" s="5" t="s">
        <v>484</v>
      </c>
      <c r="E3528" s="5" t="s">
        <v>485</v>
      </c>
      <c r="F3528" s="5" t="s">
        <v>248</v>
      </c>
      <c r="G3528" s="5" t="s">
        <v>5344</v>
      </c>
      <c r="H3528" s="6" t="s">
        <v>5346</v>
      </c>
      <c r="I3528" s="8">
        <f>1</f>
        <v>1</v>
      </c>
      <c r="J3528" s="5" t="s">
        <v>499</v>
      </c>
      <c r="K3528" s="8">
        <f>1</f>
        <v>1</v>
      </c>
      <c r="L3528" s="6" t="s">
        <v>242</v>
      </c>
      <c r="M3528" s="5" t="s">
        <v>267</v>
      </c>
      <c r="N3528" s="5" t="s">
        <v>482</v>
      </c>
      <c r="O3528" s="5" t="s">
        <v>238</v>
      </c>
      <c r="P3528" s="5" t="s">
        <v>238</v>
      </c>
      <c r="Q3528" s="5" t="s">
        <v>239</v>
      </c>
      <c r="R3528" s="5" t="s">
        <v>270</v>
      </c>
      <c r="S3528" s="5" t="s">
        <v>238</v>
      </c>
      <c r="T3528" s="5" t="s">
        <v>238</v>
      </c>
      <c r="U3528" s="5" t="s">
        <v>238</v>
      </c>
      <c r="V3528" s="5" t="s">
        <v>238</v>
      </c>
      <c r="W3528" s="6" t="s">
        <v>238</v>
      </c>
      <c r="X3528" s="6" t="s">
        <v>238</v>
      </c>
      <c r="Y3528" s="5" t="s">
        <v>238</v>
      </c>
      <c r="Z3528" s="6" t="s">
        <v>238</v>
      </c>
      <c r="AA3528" s="6" t="s">
        <v>243</v>
      </c>
      <c r="AB3528" s="5" t="s">
        <v>5345</v>
      </c>
      <c r="AC3528" s="5" t="s">
        <v>244</v>
      </c>
      <c r="AD3528" s="5" t="s">
        <v>245</v>
      </c>
      <c r="AE3528" s="5" t="s">
        <v>238</v>
      </c>
      <c r="AF3528" s="5" t="s">
        <v>238</v>
      </c>
      <c r="AG3528" s="5" t="s">
        <v>238</v>
      </c>
      <c r="AH3528" s="5" t="s">
        <v>238</v>
      </c>
      <c r="AI3528" s="5" t="s">
        <v>238</v>
      </c>
      <c r="AJ3528" s="5" t="s">
        <v>238</v>
      </c>
      <c r="AK3528" s="5" t="s">
        <v>238</v>
      </c>
      <c r="AL3528" s="5" t="s">
        <v>238</v>
      </c>
      <c r="AM3528" s="6" t="s">
        <v>238</v>
      </c>
      <c r="AN3528" s="6" t="s">
        <v>238</v>
      </c>
      <c r="AO3528" s="6" t="s">
        <v>238</v>
      </c>
      <c r="AP3528" s="6" t="s">
        <v>238</v>
      </c>
      <c r="AQ3528" s="5" t="s">
        <v>238</v>
      </c>
      <c r="AR3528" s="5" t="s">
        <v>488</v>
      </c>
      <c r="AS3528" s="5" t="s">
        <v>488</v>
      </c>
      <c r="AT3528" s="5" t="s">
        <v>246</v>
      </c>
      <c r="AU3528" s="5" t="s">
        <v>489</v>
      </c>
      <c r="AV3528" s="5" t="s">
        <v>247</v>
      </c>
      <c r="AW3528" s="5" t="s">
        <v>238</v>
      </c>
      <c r="AX3528" s="5" t="s">
        <v>249</v>
      </c>
      <c r="AY3528" s="5" t="s">
        <v>490</v>
      </c>
      <c r="BA3528" s="5" t="s">
        <v>238</v>
      </c>
      <c r="BC3528" s="5" t="s">
        <v>491</v>
      </c>
      <c r="BD3528" s="6" t="s">
        <v>492</v>
      </c>
      <c r="BE3528" s="5" t="s">
        <v>493</v>
      </c>
      <c r="BF3528" s="5" t="s">
        <v>493</v>
      </c>
      <c r="BG3528" s="5" t="s">
        <v>238</v>
      </c>
      <c r="BH3528" s="8">
        <f>1</f>
        <v>1</v>
      </c>
      <c r="BI3528" s="8">
        <f>1</f>
        <v>1</v>
      </c>
      <c r="BJ3528" s="5" t="s">
        <v>253</v>
      </c>
      <c r="BK3528" s="5" t="s">
        <v>254</v>
      </c>
      <c r="BL3528" s="5" t="s">
        <v>238</v>
      </c>
      <c r="BM3528" s="5" t="s">
        <v>238</v>
      </c>
      <c r="BN3528" s="5" t="s">
        <v>238</v>
      </c>
      <c r="BO3528" s="5" t="s">
        <v>238</v>
      </c>
      <c r="BP3528" s="5" t="s">
        <v>238</v>
      </c>
      <c r="BQ3528" s="5" t="s">
        <v>238</v>
      </c>
      <c r="BR3528" s="5" t="s">
        <v>238</v>
      </c>
      <c r="BS3528" s="5" t="s">
        <v>238</v>
      </c>
      <c r="BT3528" s="6" t="s">
        <v>238</v>
      </c>
      <c r="BU3528" s="5" t="s">
        <v>238</v>
      </c>
      <c r="BV3528" s="5" t="s">
        <v>238</v>
      </c>
      <c r="BW3528" s="5" t="s">
        <v>238</v>
      </c>
      <c r="BX3528" s="5" t="s">
        <v>254</v>
      </c>
      <c r="BY3528" s="5" t="s">
        <v>238</v>
      </c>
      <c r="BZ3528" s="5" t="s">
        <v>238</v>
      </c>
      <c r="CA3528" s="5" t="s">
        <v>238</v>
      </c>
      <c r="CB3528" s="5" t="s">
        <v>238</v>
      </c>
      <c r="CC3528" s="5" t="s">
        <v>238</v>
      </c>
      <c r="CD3528" s="5" t="s">
        <v>273</v>
      </c>
      <c r="CE3528" s="5" t="s">
        <v>256</v>
      </c>
      <c r="CF3528" s="5" t="s">
        <v>238</v>
      </c>
      <c r="CH3528" s="5" t="s">
        <v>494</v>
      </c>
      <c r="CI3528" s="6" t="s">
        <v>257</v>
      </c>
      <c r="CJ3528" s="5" t="s">
        <v>495</v>
      </c>
      <c r="CK3528" s="5" t="s">
        <v>258</v>
      </c>
      <c r="CL3528" s="5" t="s">
        <v>496</v>
      </c>
      <c r="CM3528" s="5" t="s">
        <v>238</v>
      </c>
      <c r="CN3528" s="5">
        <v>0</v>
      </c>
      <c r="CO3528" s="5" t="s">
        <v>497</v>
      </c>
      <c r="CP3528" s="5" t="s">
        <v>260</v>
      </c>
      <c r="CQ3528" s="5" t="s">
        <v>260</v>
      </c>
      <c r="CR3528" s="5" t="s">
        <v>261</v>
      </c>
      <c r="CS3528" s="5" t="s">
        <v>498</v>
      </c>
      <c r="CT3528" s="7">
        <f>1</f>
        <v>1</v>
      </c>
      <c r="CU3528" s="8">
        <f>1</f>
        <v>1</v>
      </c>
      <c r="CV3528" s="8">
        <f>0</f>
        <v>0</v>
      </c>
      <c r="CX3528" s="8">
        <f>1</f>
        <v>1</v>
      </c>
      <c r="CY3528" s="8">
        <f>1</f>
        <v>1</v>
      </c>
      <c r="CZ3528" s="8" t="s">
        <v>238</v>
      </c>
      <c r="DA3528" s="5" t="s">
        <v>238</v>
      </c>
      <c r="DB3528" s="5" t="s">
        <v>238</v>
      </c>
      <c r="DC3528" s="5" t="s">
        <v>238</v>
      </c>
      <c r="DD3528" s="5" t="s">
        <v>238</v>
      </c>
      <c r="DE3528" s="8">
        <f>0</f>
        <v>0</v>
      </c>
      <c r="DG3528" s="5" t="s">
        <v>238</v>
      </c>
      <c r="DH3528" s="5" t="s">
        <v>238</v>
      </c>
      <c r="DI3528" s="5" t="s">
        <v>238</v>
      </c>
      <c r="DJ3528" s="5" t="s">
        <v>238</v>
      </c>
      <c r="DK3528" s="5" t="s">
        <v>238</v>
      </c>
      <c r="DL3528" s="5" t="s">
        <v>238</v>
      </c>
      <c r="DM3528" s="8" t="s">
        <v>238</v>
      </c>
      <c r="DN3528" s="5" t="s">
        <v>238</v>
      </c>
      <c r="DO3528" s="5" t="s">
        <v>238</v>
      </c>
      <c r="DP3528" s="5" t="s">
        <v>490</v>
      </c>
      <c r="DQ3528" s="5" t="s">
        <v>490</v>
      </c>
      <c r="DR3528" s="5" t="s">
        <v>238</v>
      </c>
      <c r="DS3528" s="5" t="s">
        <v>238</v>
      </c>
      <c r="DT3528" s="5" t="s">
        <v>500</v>
      </c>
      <c r="DU3528" s="5" t="s">
        <v>742</v>
      </c>
      <c r="DV3528" s="5" t="s">
        <v>238</v>
      </c>
      <c r="DW3528" s="5" t="s">
        <v>238</v>
      </c>
      <c r="DX3528" s="5" t="s">
        <v>238</v>
      </c>
      <c r="DY3528" s="5" t="s">
        <v>238</v>
      </c>
      <c r="DZ3528" s="5" t="s">
        <v>238</v>
      </c>
      <c r="EA3528" s="5" t="s">
        <v>238</v>
      </c>
      <c r="EB3528" s="5" t="s">
        <v>238</v>
      </c>
      <c r="EC3528" s="5" t="s">
        <v>238</v>
      </c>
      <c r="ED3528" s="5" t="s">
        <v>238</v>
      </c>
      <c r="EE3528" s="5" t="s">
        <v>238</v>
      </c>
      <c r="EF3528" s="5" t="s">
        <v>238</v>
      </c>
      <c r="EG3528" s="5" t="s">
        <v>238</v>
      </c>
      <c r="EH3528" s="5" t="s">
        <v>238</v>
      </c>
      <c r="EI3528" s="5" t="s">
        <v>238</v>
      </c>
      <c r="EJ3528" s="5" t="s">
        <v>238</v>
      </c>
      <c r="EK3528" s="5" t="s">
        <v>238</v>
      </c>
      <c r="EL3528" s="5" t="s">
        <v>238</v>
      </c>
      <c r="EM3528" s="5" t="s">
        <v>238</v>
      </c>
      <c r="EN3528" s="5" t="s">
        <v>238</v>
      </c>
      <c r="EO3528" s="5" t="s">
        <v>238</v>
      </c>
      <c r="EP3528" s="5" t="s">
        <v>238</v>
      </c>
      <c r="EQ3528" s="5" t="s">
        <v>238</v>
      </c>
      <c r="ER3528" s="5" t="s">
        <v>238</v>
      </c>
      <c r="ES3528" s="5" t="s">
        <v>238</v>
      </c>
      <c r="ET3528" s="5" t="s">
        <v>238</v>
      </c>
      <c r="EU3528" s="5" t="s">
        <v>238</v>
      </c>
      <c r="EV3528" s="5" t="s">
        <v>238</v>
      </c>
      <c r="EW3528" s="5" t="s">
        <v>238</v>
      </c>
      <c r="EX3528" s="5" t="s">
        <v>238</v>
      </c>
      <c r="EY3528" s="5" t="s">
        <v>238</v>
      </c>
      <c r="EZ3528" s="5" t="s">
        <v>238</v>
      </c>
      <c r="FA3528" s="5" t="s">
        <v>238</v>
      </c>
      <c r="FB3528" s="5" t="s">
        <v>238</v>
      </c>
      <c r="FC3528" s="5" t="s">
        <v>238</v>
      </c>
      <c r="FD3528" s="5" t="s">
        <v>238</v>
      </c>
      <c r="FE3528" s="5" t="s">
        <v>238</v>
      </c>
      <c r="FF3528" s="5" t="s">
        <v>238</v>
      </c>
      <c r="FG3528" s="5" t="s">
        <v>238</v>
      </c>
      <c r="FH3528" s="5" t="s">
        <v>238</v>
      </c>
      <c r="FI3528" s="5" t="s">
        <v>238</v>
      </c>
      <c r="FJ3528" s="5" t="s">
        <v>238</v>
      </c>
      <c r="FK3528" s="5" t="s">
        <v>238</v>
      </c>
      <c r="FL3528" s="5" t="s">
        <v>238</v>
      </c>
      <c r="FM3528" s="5" t="s">
        <v>238</v>
      </c>
      <c r="FN3528" s="5" t="s">
        <v>238</v>
      </c>
      <c r="FO3528" s="5" t="s">
        <v>238</v>
      </c>
      <c r="FP3528" s="5" t="s">
        <v>238</v>
      </c>
      <c r="FQ3528" s="5" t="s">
        <v>238</v>
      </c>
      <c r="FR3528" s="5" t="s">
        <v>238</v>
      </c>
      <c r="FS3528" s="5" t="s">
        <v>238</v>
      </c>
      <c r="FT3528" s="5" t="s">
        <v>238</v>
      </c>
      <c r="FU3528" s="5" t="s">
        <v>238</v>
      </c>
      <c r="FV3528" s="5" t="s">
        <v>238</v>
      </c>
      <c r="FW3528" s="5" t="s">
        <v>238</v>
      </c>
      <c r="FX3528" s="5" t="s">
        <v>238</v>
      </c>
      <c r="FY3528" s="5" t="s">
        <v>238</v>
      </c>
      <c r="FZ3528" s="5" t="s">
        <v>238</v>
      </c>
      <c r="GA3528" s="5" t="s">
        <v>238</v>
      </c>
      <c r="GB3528" s="5" t="s">
        <v>238</v>
      </c>
      <c r="GC3528" s="5" t="s">
        <v>238</v>
      </c>
      <c r="GD3528" s="5" t="s">
        <v>238</v>
      </c>
      <c r="GE3528" s="5" t="s">
        <v>238</v>
      </c>
      <c r="GF3528" s="5" t="s">
        <v>238</v>
      </c>
      <c r="GG3528" s="5" t="s">
        <v>238</v>
      </c>
      <c r="GH3528" s="5" t="s">
        <v>238</v>
      </c>
      <c r="GI3528" s="5" t="s">
        <v>238</v>
      </c>
      <c r="GJ3528" s="5" t="s">
        <v>238</v>
      </c>
      <c r="GK3528" s="5" t="s">
        <v>238</v>
      </c>
      <c r="GL3528" s="5" t="s">
        <v>238</v>
      </c>
      <c r="GM3528" s="5" t="s">
        <v>238</v>
      </c>
      <c r="GN3528" s="5" t="s">
        <v>238</v>
      </c>
      <c r="GO3528" s="5" t="s">
        <v>238</v>
      </c>
      <c r="GP3528" s="5" t="s">
        <v>238</v>
      </c>
      <c r="GQ3528" s="5" t="s">
        <v>238</v>
      </c>
      <c r="GR3528" s="5" t="s">
        <v>238</v>
      </c>
      <c r="GS3528" s="5" t="s">
        <v>238</v>
      </c>
      <c r="GT3528" s="5" t="s">
        <v>238</v>
      </c>
      <c r="GU3528" s="5" t="s">
        <v>238</v>
      </c>
      <c r="GV3528" s="5" t="s">
        <v>238</v>
      </c>
      <c r="GW3528" s="5" t="s">
        <v>238</v>
      </c>
      <c r="GX3528" s="5" t="s">
        <v>238</v>
      </c>
      <c r="GY3528" s="5" t="s">
        <v>238</v>
      </c>
      <c r="GZ3528" s="5" t="s">
        <v>238</v>
      </c>
      <c r="HA3528" s="5" t="s">
        <v>238</v>
      </c>
      <c r="HB3528" s="5" t="s">
        <v>238</v>
      </c>
      <c r="HC3528" s="5" t="s">
        <v>238</v>
      </c>
      <c r="HD3528" s="5" t="s">
        <v>238</v>
      </c>
      <c r="HE3528" s="5" t="s">
        <v>238</v>
      </c>
      <c r="HF3528" s="5" t="s">
        <v>238</v>
      </c>
      <c r="HG3528" s="5" t="s">
        <v>238</v>
      </c>
      <c r="HH3528" s="5" t="s">
        <v>238</v>
      </c>
      <c r="HI3528" s="5" t="s">
        <v>238</v>
      </c>
      <c r="HJ3528" s="5" t="s">
        <v>238</v>
      </c>
      <c r="HK3528" s="5" t="s">
        <v>238</v>
      </c>
      <c r="HL3528" s="5" t="s">
        <v>238</v>
      </c>
      <c r="HM3528" s="5" t="s">
        <v>264</v>
      </c>
      <c r="HN3528" s="5" t="s">
        <v>238</v>
      </c>
      <c r="HO3528" s="5" t="s">
        <v>238</v>
      </c>
      <c r="HP3528" s="5" t="s">
        <v>238</v>
      </c>
      <c r="HQ3528" s="5" t="s">
        <v>238</v>
      </c>
      <c r="HR3528" s="5" t="s">
        <v>238</v>
      </c>
      <c r="HS3528" s="5" t="s">
        <v>238</v>
      </c>
      <c r="HT3528" s="5" t="s">
        <v>238</v>
      </c>
      <c r="HU3528" s="5" t="s">
        <v>238</v>
      </c>
      <c r="HV3528" s="5" t="s">
        <v>238</v>
      </c>
      <c r="HW3528" s="5" t="s">
        <v>238</v>
      </c>
      <c r="HX3528" s="5" t="s">
        <v>238</v>
      </c>
      <c r="HY3528" s="5" t="s">
        <v>238</v>
      </c>
      <c r="HZ3528" s="5" t="s">
        <v>238</v>
      </c>
      <c r="IA3528" s="5" t="s">
        <v>238</v>
      </c>
      <c r="IB3528" s="5" t="s">
        <v>238</v>
      </c>
      <c r="IC3528" s="5" t="s">
        <v>238</v>
      </c>
      <c r="ID3528" s="5" t="s">
        <v>238</v>
      </c>
    </row>
    <row r="3529" spans="1:238" x14ac:dyDescent="0.4">
      <c r="A3529" s="5">
        <v>9247</v>
      </c>
      <c r="B3529" s="5">
        <v>1</v>
      </c>
      <c r="C3529" s="5">
        <v>1</v>
      </c>
      <c r="D3529" s="5" t="s">
        <v>484</v>
      </c>
      <c r="E3529" s="5" t="s">
        <v>485</v>
      </c>
      <c r="F3529" s="5" t="s">
        <v>248</v>
      </c>
      <c r="G3529" s="5" t="s">
        <v>3875</v>
      </c>
      <c r="H3529" s="6" t="s">
        <v>3876</v>
      </c>
      <c r="I3529" s="8">
        <f>1</f>
        <v>1</v>
      </c>
      <c r="J3529" s="5" t="s">
        <v>499</v>
      </c>
      <c r="K3529" s="8">
        <f>1</f>
        <v>1</v>
      </c>
      <c r="L3529" s="6" t="s">
        <v>242</v>
      </c>
      <c r="M3529" s="5" t="s">
        <v>267</v>
      </c>
      <c r="N3529" s="5" t="s">
        <v>482</v>
      </c>
      <c r="O3529" s="5" t="s">
        <v>238</v>
      </c>
      <c r="P3529" s="5" t="s">
        <v>238</v>
      </c>
      <c r="Q3529" s="5" t="s">
        <v>239</v>
      </c>
      <c r="R3529" s="5" t="s">
        <v>270</v>
      </c>
      <c r="S3529" s="5" t="s">
        <v>238</v>
      </c>
      <c r="T3529" s="5" t="s">
        <v>238</v>
      </c>
      <c r="U3529" s="5" t="s">
        <v>238</v>
      </c>
      <c r="V3529" s="5" t="s">
        <v>238</v>
      </c>
      <c r="W3529" s="6" t="s">
        <v>238</v>
      </c>
      <c r="X3529" s="6" t="s">
        <v>238</v>
      </c>
      <c r="Y3529" s="5" t="s">
        <v>238</v>
      </c>
      <c r="Z3529" s="6" t="s">
        <v>238</v>
      </c>
      <c r="AA3529" s="6" t="s">
        <v>243</v>
      </c>
      <c r="AB3529" s="5" t="s">
        <v>486</v>
      </c>
      <c r="AC3529" s="5" t="s">
        <v>244</v>
      </c>
      <c r="AD3529" s="5" t="s">
        <v>245</v>
      </c>
      <c r="AE3529" s="5" t="s">
        <v>238</v>
      </c>
      <c r="AF3529" s="5" t="s">
        <v>238</v>
      </c>
      <c r="AG3529" s="5" t="s">
        <v>238</v>
      </c>
      <c r="AH3529" s="5" t="s">
        <v>238</v>
      </c>
      <c r="AI3529" s="5" t="s">
        <v>238</v>
      </c>
      <c r="AJ3529" s="5" t="s">
        <v>238</v>
      </c>
      <c r="AK3529" s="5" t="s">
        <v>238</v>
      </c>
      <c r="AL3529" s="5" t="s">
        <v>238</v>
      </c>
      <c r="AM3529" s="6" t="s">
        <v>238</v>
      </c>
      <c r="AN3529" s="6" t="s">
        <v>238</v>
      </c>
      <c r="AO3529" s="6" t="s">
        <v>238</v>
      </c>
      <c r="AP3529" s="6" t="s">
        <v>238</v>
      </c>
      <c r="AQ3529" s="5" t="s">
        <v>238</v>
      </c>
      <c r="AR3529" s="5" t="s">
        <v>488</v>
      </c>
      <c r="AS3529" s="5" t="s">
        <v>488</v>
      </c>
      <c r="AT3529" s="5" t="s">
        <v>246</v>
      </c>
      <c r="AU3529" s="5" t="s">
        <v>489</v>
      </c>
      <c r="AV3529" s="5" t="s">
        <v>247</v>
      </c>
      <c r="AW3529" s="5" t="s">
        <v>238</v>
      </c>
      <c r="AX3529" s="5" t="s">
        <v>249</v>
      </c>
      <c r="AY3529" s="5" t="s">
        <v>490</v>
      </c>
      <c r="BA3529" s="5" t="s">
        <v>238</v>
      </c>
      <c r="BC3529" s="5" t="s">
        <v>491</v>
      </c>
      <c r="BD3529" s="6" t="s">
        <v>492</v>
      </c>
      <c r="BE3529" s="5" t="s">
        <v>493</v>
      </c>
      <c r="BF3529" s="5" t="s">
        <v>493</v>
      </c>
      <c r="BG3529" s="5" t="s">
        <v>238</v>
      </c>
      <c r="BH3529" s="8">
        <f>1</f>
        <v>1</v>
      </c>
      <c r="BI3529" s="8">
        <f>1</f>
        <v>1</v>
      </c>
      <c r="BJ3529" s="5" t="s">
        <v>253</v>
      </c>
      <c r="BK3529" s="5" t="s">
        <v>254</v>
      </c>
      <c r="BL3529" s="5" t="s">
        <v>238</v>
      </c>
      <c r="BM3529" s="5" t="s">
        <v>238</v>
      </c>
      <c r="BN3529" s="5" t="s">
        <v>238</v>
      </c>
      <c r="BO3529" s="5" t="s">
        <v>238</v>
      </c>
      <c r="BP3529" s="5" t="s">
        <v>238</v>
      </c>
      <c r="BQ3529" s="5" t="s">
        <v>238</v>
      </c>
      <c r="BR3529" s="5" t="s">
        <v>238</v>
      </c>
      <c r="BS3529" s="5" t="s">
        <v>238</v>
      </c>
      <c r="BT3529" s="6" t="s">
        <v>238</v>
      </c>
      <c r="BU3529" s="5" t="s">
        <v>238</v>
      </c>
      <c r="BV3529" s="5" t="s">
        <v>238</v>
      </c>
      <c r="BW3529" s="5" t="s">
        <v>238</v>
      </c>
      <c r="BX3529" s="5" t="s">
        <v>254</v>
      </c>
      <c r="BY3529" s="5" t="s">
        <v>238</v>
      </c>
      <c r="BZ3529" s="5" t="s">
        <v>238</v>
      </c>
      <c r="CA3529" s="5" t="s">
        <v>238</v>
      </c>
      <c r="CB3529" s="5" t="s">
        <v>238</v>
      </c>
      <c r="CC3529" s="5" t="s">
        <v>238</v>
      </c>
      <c r="CD3529" s="5" t="s">
        <v>273</v>
      </c>
      <c r="CE3529" s="5" t="s">
        <v>256</v>
      </c>
      <c r="CF3529" s="5" t="s">
        <v>238</v>
      </c>
      <c r="CH3529" s="5" t="s">
        <v>494</v>
      </c>
      <c r="CI3529" s="6" t="s">
        <v>257</v>
      </c>
      <c r="CJ3529" s="5" t="s">
        <v>495</v>
      </c>
      <c r="CK3529" s="5" t="s">
        <v>258</v>
      </c>
      <c r="CL3529" s="5" t="s">
        <v>496</v>
      </c>
      <c r="CM3529" s="5" t="s">
        <v>238</v>
      </c>
      <c r="CN3529" s="5">
        <v>0</v>
      </c>
      <c r="CO3529" s="5" t="s">
        <v>497</v>
      </c>
      <c r="CP3529" s="5" t="s">
        <v>260</v>
      </c>
      <c r="CQ3529" s="5" t="s">
        <v>260</v>
      </c>
      <c r="CR3529" s="5" t="s">
        <v>261</v>
      </c>
      <c r="CS3529" s="5" t="s">
        <v>498</v>
      </c>
      <c r="CT3529" s="7">
        <f>1</f>
        <v>1</v>
      </c>
      <c r="CU3529" s="8">
        <f>1</f>
        <v>1</v>
      </c>
      <c r="CV3529" s="8">
        <f>0</f>
        <v>0</v>
      </c>
      <c r="CX3529" s="8">
        <f>1</f>
        <v>1</v>
      </c>
      <c r="CY3529" s="8">
        <f>1</f>
        <v>1</v>
      </c>
      <c r="CZ3529" s="8" t="s">
        <v>238</v>
      </c>
      <c r="DA3529" s="5" t="s">
        <v>238</v>
      </c>
      <c r="DB3529" s="5" t="s">
        <v>238</v>
      </c>
      <c r="DC3529" s="5" t="s">
        <v>238</v>
      </c>
      <c r="DD3529" s="5" t="s">
        <v>238</v>
      </c>
      <c r="DE3529" s="8">
        <f>0</f>
        <v>0</v>
      </c>
      <c r="DG3529" s="5" t="s">
        <v>238</v>
      </c>
      <c r="DH3529" s="5" t="s">
        <v>238</v>
      </c>
      <c r="DI3529" s="5" t="s">
        <v>238</v>
      </c>
      <c r="DJ3529" s="5" t="s">
        <v>238</v>
      </c>
      <c r="DK3529" s="5" t="s">
        <v>238</v>
      </c>
      <c r="DL3529" s="5" t="s">
        <v>238</v>
      </c>
      <c r="DM3529" s="8" t="s">
        <v>238</v>
      </c>
      <c r="DN3529" s="5" t="s">
        <v>238</v>
      </c>
      <c r="DO3529" s="5" t="s">
        <v>238</v>
      </c>
      <c r="DP3529" s="5" t="s">
        <v>490</v>
      </c>
      <c r="DQ3529" s="5" t="s">
        <v>490</v>
      </c>
      <c r="DR3529" s="5" t="s">
        <v>238</v>
      </c>
      <c r="DS3529" s="5" t="s">
        <v>238</v>
      </c>
      <c r="DT3529" s="5" t="s">
        <v>500</v>
      </c>
      <c r="DU3529" s="5" t="s">
        <v>1076</v>
      </c>
      <c r="DV3529" s="5" t="s">
        <v>238</v>
      </c>
      <c r="DW3529" s="5" t="s">
        <v>238</v>
      </c>
      <c r="DX3529" s="5" t="s">
        <v>238</v>
      </c>
      <c r="DY3529" s="5" t="s">
        <v>238</v>
      </c>
      <c r="DZ3529" s="5" t="s">
        <v>238</v>
      </c>
      <c r="EA3529" s="5" t="s">
        <v>238</v>
      </c>
      <c r="EB3529" s="5" t="s">
        <v>238</v>
      </c>
      <c r="EC3529" s="5" t="s">
        <v>238</v>
      </c>
      <c r="ED3529" s="5" t="s">
        <v>238</v>
      </c>
      <c r="EE3529" s="5" t="s">
        <v>238</v>
      </c>
      <c r="EF3529" s="5" t="s">
        <v>238</v>
      </c>
      <c r="EG3529" s="5" t="s">
        <v>238</v>
      </c>
      <c r="EH3529" s="5" t="s">
        <v>238</v>
      </c>
      <c r="EI3529" s="5" t="s">
        <v>238</v>
      </c>
      <c r="EJ3529" s="5" t="s">
        <v>238</v>
      </c>
      <c r="EK3529" s="5" t="s">
        <v>238</v>
      </c>
      <c r="EL3529" s="5" t="s">
        <v>238</v>
      </c>
      <c r="EM3529" s="5" t="s">
        <v>238</v>
      </c>
      <c r="EN3529" s="5" t="s">
        <v>238</v>
      </c>
      <c r="EO3529" s="5" t="s">
        <v>238</v>
      </c>
      <c r="EP3529" s="5" t="s">
        <v>238</v>
      </c>
      <c r="EQ3529" s="5" t="s">
        <v>238</v>
      </c>
      <c r="ER3529" s="5" t="s">
        <v>238</v>
      </c>
      <c r="ES3529" s="5" t="s">
        <v>238</v>
      </c>
      <c r="ET3529" s="5" t="s">
        <v>238</v>
      </c>
      <c r="EU3529" s="5" t="s">
        <v>238</v>
      </c>
      <c r="EV3529" s="5" t="s">
        <v>238</v>
      </c>
      <c r="EW3529" s="5" t="s">
        <v>238</v>
      </c>
      <c r="EX3529" s="5" t="s">
        <v>238</v>
      </c>
      <c r="EY3529" s="5" t="s">
        <v>238</v>
      </c>
      <c r="EZ3529" s="5" t="s">
        <v>238</v>
      </c>
      <c r="FA3529" s="5" t="s">
        <v>238</v>
      </c>
      <c r="FB3529" s="5" t="s">
        <v>238</v>
      </c>
      <c r="FC3529" s="5" t="s">
        <v>238</v>
      </c>
      <c r="FD3529" s="5" t="s">
        <v>238</v>
      </c>
      <c r="FE3529" s="5" t="s">
        <v>238</v>
      </c>
      <c r="FF3529" s="5" t="s">
        <v>238</v>
      </c>
      <c r="FG3529" s="5" t="s">
        <v>238</v>
      </c>
      <c r="FH3529" s="5" t="s">
        <v>238</v>
      </c>
      <c r="FI3529" s="5" t="s">
        <v>238</v>
      </c>
      <c r="FJ3529" s="5" t="s">
        <v>238</v>
      </c>
      <c r="FK3529" s="5" t="s">
        <v>238</v>
      </c>
      <c r="FL3529" s="5" t="s">
        <v>238</v>
      </c>
      <c r="FM3529" s="5" t="s">
        <v>238</v>
      </c>
      <c r="FN3529" s="5" t="s">
        <v>238</v>
      </c>
      <c r="FO3529" s="5" t="s">
        <v>238</v>
      </c>
      <c r="FP3529" s="5" t="s">
        <v>238</v>
      </c>
      <c r="FQ3529" s="5" t="s">
        <v>238</v>
      </c>
      <c r="FR3529" s="5" t="s">
        <v>238</v>
      </c>
      <c r="FS3529" s="5" t="s">
        <v>238</v>
      </c>
      <c r="FT3529" s="5" t="s">
        <v>238</v>
      </c>
      <c r="FU3529" s="5" t="s">
        <v>238</v>
      </c>
      <c r="FV3529" s="5" t="s">
        <v>238</v>
      </c>
      <c r="FW3529" s="5" t="s">
        <v>238</v>
      </c>
      <c r="FX3529" s="5" t="s">
        <v>238</v>
      </c>
      <c r="FY3529" s="5" t="s">
        <v>238</v>
      </c>
      <c r="FZ3529" s="5" t="s">
        <v>238</v>
      </c>
      <c r="GA3529" s="5" t="s">
        <v>238</v>
      </c>
      <c r="GB3529" s="5" t="s">
        <v>238</v>
      </c>
      <c r="GC3529" s="5" t="s">
        <v>238</v>
      </c>
      <c r="GD3529" s="5" t="s">
        <v>238</v>
      </c>
      <c r="GE3529" s="5" t="s">
        <v>238</v>
      </c>
      <c r="GF3529" s="5" t="s">
        <v>238</v>
      </c>
      <c r="GG3529" s="5" t="s">
        <v>238</v>
      </c>
      <c r="GH3529" s="5" t="s">
        <v>238</v>
      </c>
      <c r="GI3529" s="5" t="s">
        <v>238</v>
      </c>
      <c r="GJ3529" s="5" t="s">
        <v>238</v>
      </c>
      <c r="GK3529" s="5" t="s">
        <v>238</v>
      </c>
      <c r="GL3529" s="5" t="s">
        <v>238</v>
      </c>
      <c r="GM3529" s="5" t="s">
        <v>238</v>
      </c>
      <c r="GN3529" s="5" t="s">
        <v>238</v>
      </c>
      <c r="GO3529" s="5" t="s">
        <v>238</v>
      </c>
      <c r="GP3529" s="5" t="s">
        <v>238</v>
      </c>
      <c r="GQ3529" s="5" t="s">
        <v>238</v>
      </c>
      <c r="GR3529" s="5" t="s">
        <v>238</v>
      </c>
      <c r="GS3529" s="5" t="s">
        <v>238</v>
      </c>
      <c r="GT3529" s="5" t="s">
        <v>238</v>
      </c>
      <c r="GU3529" s="5" t="s">
        <v>238</v>
      </c>
      <c r="GV3529" s="5" t="s">
        <v>238</v>
      </c>
      <c r="GW3529" s="5" t="s">
        <v>238</v>
      </c>
      <c r="GX3529" s="5" t="s">
        <v>238</v>
      </c>
      <c r="GY3529" s="5" t="s">
        <v>238</v>
      </c>
      <c r="GZ3529" s="5" t="s">
        <v>238</v>
      </c>
      <c r="HA3529" s="5" t="s">
        <v>238</v>
      </c>
      <c r="HB3529" s="5" t="s">
        <v>238</v>
      </c>
      <c r="HC3529" s="5" t="s">
        <v>238</v>
      </c>
      <c r="HD3529" s="5" t="s">
        <v>238</v>
      </c>
      <c r="HE3529" s="5" t="s">
        <v>238</v>
      </c>
      <c r="HF3529" s="5" t="s">
        <v>238</v>
      </c>
      <c r="HG3529" s="5" t="s">
        <v>238</v>
      </c>
      <c r="HH3529" s="5" t="s">
        <v>238</v>
      </c>
      <c r="HI3529" s="5" t="s">
        <v>238</v>
      </c>
      <c r="HJ3529" s="5" t="s">
        <v>238</v>
      </c>
      <c r="HK3529" s="5" t="s">
        <v>238</v>
      </c>
      <c r="HL3529" s="5" t="s">
        <v>238</v>
      </c>
      <c r="HM3529" s="5" t="s">
        <v>264</v>
      </c>
      <c r="HN3529" s="5" t="s">
        <v>238</v>
      </c>
      <c r="HO3529" s="5" t="s">
        <v>238</v>
      </c>
      <c r="HP3529" s="5" t="s">
        <v>238</v>
      </c>
      <c r="HQ3529" s="5" t="s">
        <v>238</v>
      </c>
      <c r="HR3529" s="5" t="s">
        <v>238</v>
      </c>
      <c r="HS3529" s="5" t="s">
        <v>238</v>
      </c>
      <c r="HT3529" s="5" t="s">
        <v>238</v>
      </c>
      <c r="HU3529" s="5" t="s">
        <v>238</v>
      </c>
      <c r="HV3529" s="5" t="s">
        <v>238</v>
      </c>
      <c r="HW3529" s="5" t="s">
        <v>238</v>
      </c>
      <c r="HX3529" s="5" t="s">
        <v>238</v>
      </c>
      <c r="HY3529" s="5" t="s">
        <v>238</v>
      </c>
      <c r="HZ3529" s="5" t="s">
        <v>238</v>
      </c>
      <c r="IA3529" s="5" t="s">
        <v>238</v>
      </c>
      <c r="IB3529" s="5" t="s">
        <v>238</v>
      </c>
      <c r="IC3529" s="5" t="s">
        <v>238</v>
      </c>
      <c r="ID3529" s="5" t="s">
        <v>238</v>
      </c>
    </row>
    <row r="3530" spans="1:238" x14ac:dyDescent="0.4">
      <c r="A3530" s="5">
        <v>9248</v>
      </c>
      <c r="B3530" s="5">
        <v>1</v>
      </c>
      <c r="C3530" s="5">
        <v>1</v>
      </c>
      <c r="D3530" s="5" t="s">
        <v>484</v>
      </c>
      <c r="E3530" s="5" t="s">
        <v>485</v>
      </c>
      <c r="F3530" s="5" t="s">
        <v>248</v>
      </c>
      <c r="G3530" s="5" t="s">
        <v>5468</v>
      </c>
      <c r="H3530" s="6" t="s">
        <v>5469</v>
      </c>
      <c r="I3530" s="8">
        <f>1</f>
        <v>1</v>
      </c>
      <c r="J3530" s="5" t="s">
        <v>499</v>
      </c>
      <c r="K3530" s="8">
        <f>1</f>
        <v>1</v>
      </c>
      <c r="L3530" s="6" t="s">
        <v>242</v>
      </c>
      <c r="M3530" s="5" t="s">
        <v>267</v>
      </c>
      <c r="N3530" s="5" t="s">
        <v>482</v>
      </c>
      <c r="O3530" s="5" t="s">
        <v>238</v>
      </c>
      <c r="P3530" s="5" t="s">
        <v>238</v>
      </c>
      <c r="Q3530" s="5" t="s">
        <v>239</v>
      </c>
      <c r="R3530" s="5" t="s">
        <v>270</v>
      </c>
      <c r="S3530" s="5" t="s">
        <v>238</v>
      </c>
      <c r="T3530" s="5" t="s">
        <v>238</v>
      </c>
      <c r="U3530" s="5" t="s">
        <v>238</v>
      </c>
      <c r="V3530" s="5" t="s">
        <v>238</v>
      </c>
      <c r="W3530" s="6" t="s">
        <v>238</v>
      </c>
      <c r="X3530" s="6" t="s">
        <v>238</v>
      </c>
      <c r="Y3530" s="5" t="s">
        <v>238</v>
      </c>
      <c r="Z3530" s="6" t="s">
        <v>238</v>
      </c>
      <c r="AA3530" s="6" t="s">
        <v>243</v>
      </c>
      <c r="AB3530" s="5" t="s">
        <v>486</v>
      </c>
      <c r="AC3530" s="5" t="s">
        <v>244</v>
      </c>
      <c r="AD3530" s="5" t="s">
        <v>245</v>
      </c>
      <c r="AE3530" s="5" t="s">
        <v>238</v>
      </c>
      <c r="AF3530" s="5" t="s">
        <v>238</v>
      </c>
      <c r="AG3530" s="5" t="s">
        <v>238</v>
      </c>
      <c r="AH3530" s="5" t="s">
        <v>238</v>
      </c>
      <c r="AI3530" s="5" t="s">
        <v>238</v>
      </c>
      <c r="AJ3530" s="5" t="s">
        <v>238</v>
      </c>
      <c r="AK3530" s="5" t="s">
        <v>238</v>
      </c>
      <c r="AL3530" s="5" t="s">
        <v>238</v>
      </c>
      <c r="AM3530" s="6" t="s">
        <v>238</v>
      </c>
      <c r="AN3530" s="6" t="s">
        <v>238</v>
      </c>
      <c r="AO3530" s="6" t="s">
        <v>238</v>
      </c>
      <c r="AP3530" s="6" t="s">
        <v>238</v>
      </c>
      <c r="AQ3530" s="5" t="s">
        <v>238</v>
      </c>
      <c r="AR3530" s="5" t="s">
        <v>488</v>
      </c>
      <c r="AS3530" s="5" t="s">
        <v>488</v>
      </c>
      <c r="AT3530" s="5" t="s">
        <v>246</v>
      </c>
      <c r="AU3530" s="5" t="s">
        <v>489</v>
      </c>
      <c r="AV3530" s="5" t="s">
        <v>247</v>
      </c>
      <c r="AW3530" s="5" t="s">
        <v>238</v>
      </c>
      <c r="AX3530" s="5" t="s">
        <v>249</v>
      </c>
      <c r="AY3530" s="5" t="s">
        <v>490</v>
      </c>
      <c r="BA3530" s="5" t="s">
        <v>238</v>
      </c>
      <c r="BC3530" s="5" t="s">
        <v>491</v>
      </c>
      <c r="BD3530" s="6" t="s">
        <v>492</v>
      </c>
      <c r="BE3530" s="5" t="s">
        <v>493</v>
      </c>
      <c r="BF3530" s="5" t="s">
        <v>493</v>
      </c>
      <c r="BG3530" s="5" t="s">
        <v>238</v>
      </c>
      <c r="BH3530" s="8">
        <f>1</f>
        <v>1</v>
      </c>
      <c r="BI3530" s="8">
        <f>1</f>
        <v>1</v>
      </c>
      <c r="BJ3530" s="5" t="s">
        <v>253</v>
      </c>
      <c r="BK3530" s="5" t="s">
        <v>254</v>
      </c>
      <c r="BL3530" s="5" t="s">
        <v>238</v>
      </c>
      <c r="BM3530" s="5" t="s">
        <v>238</v>
      </c>
      <c r="BN3530" s="5" t="s">
        <v>238</v>
      </c>
      <c r="BO3530" s="5" t="s">
        <v>238</v>
      </c>
      <c r="BP3530" s="5" t="s">
        <v>238</v>
      </c>
      <c r="BQ3530" s="5" t="s">
        <v>238</v>
      </c>
      <c r="BR3530" s="5" t="s">
        <v>238</v>
      </c>
      <c r="BS3530" s="5" t="s">
        <v>238</v>
      </c>
      <c r="BT3530" s="6" t="s">
        <v>238</v>
      </c>
      <c r="BU3530" s="5" t="s">
        <v>238</v>
      </c>
      <c r="BV3530" s="5" t="s">
        <v>238</v>
      </c>
      <c r="BW3530" s="5" t="s">
        <v>238</v>
      </c>
      <c r="BX3530" s="5" t="s">
        <v>254</v>
      </c>
      <c r="BY3530" s="5" t="s">
        <v>238</v>
      </c>
      <c r="BZ3530" s="5" t="s">
        <v>238</v>
      </c>
      <c r="CA3530" s="5" t="s">
        <v>238</v>
      </c>
      <c r="CB3530" s="5" t="s">
        <v>238</v>
      </c>
      <c r="CC3530" s="5" t="s">
        <v>238</v>
      </c>
      <c r="CD3530" s="5" t="s">
        <v>273</v>
      </c>
      <c r="CE3530" s="5" t="s">
        <v>256</v>
      </c>
      <c r="CF3530" s="5" t="s">
        <v>238</v>
      </c>
      <c r="CH3530" s="5" t="s">
        <v>494</v>
      </c>
      <c r="CI3530" s="6" t="s">
        <v>257</v>
      </c>
      <c r="CJ3530" s="5" t="s">
        <v>495</v>
      </c>
      <c r="CK3530" s="5" t="s">
        <v>258</v>
      </c>
      <c r="CL3530" s="5" t="s">
        <v>496</v>
      </c>
      <c r="CM3530" s="5" t="s">
        <v>238</v>
      </c>
      <c r="CN3530" s="5">
        <v>0</v>
      </c>
      <c r="CO3530" s="5" t="s">
        <v>497</v>
      </c>
      <c r="CP3530" s="5" t="s">
        <v>260</v>
      </c>
      <c r="CQ3530" s="5" t="s">
        <v>260</v>
      </c>
      <c r="CR3530" s="5" t="s">
        <v>261</v>
      </c>
      <c r="CS3530" s="5" t="s">
        <v>498</v>
      </c>
      <c r="CT3530" s="7">
        <f>1</f>
        <v>1</v>
      </c>
      <c r="CU3530" s="8">
        <f>1</f>
        <v>1</v>
      </c>
      <c r="CV3530" s="8">
        <f>0</f>
        <v>0</v>
      </c>
      <c r="CX3530" s="8">
        <f>1</f>
        <v>1</v>
      </c>
      <c r="CY3530" s="8">
        <f>1</f>
        <v>1</v>
      </c>
      <c r="CZ3530" s="8" t="s">
        <v>238</v>
      </c>
      <c r="DA3530" s="5" t="s">
        <v>238</v>
      </c>
      <c r="DB3530" s="5" t="s">
        <v>238</v>
      </c>
      <c r="DC3530" s="5" t="s">
        <v>238</v>
      </c>
      <c r="DD3530" s="5" t="s">
        <v>238</v>
      </c>
      <c r="DE3530" s="8">
        <f>0</f>
        <v>0</v>
      </c>
      <c r="DG3530" s="5" t="s">
        <v>238</v>
      </c>
      <c r="DH3530" s="5" t="s">
        <v>238</v>
      </c>
      <c r="DI3530" s="5" t="s">
        <v>238</v>
      </c>
      <c r="DJ3530" s="5" t="s">
        <v>238</v>
      </c>
      <c r="DK3530" s="5" t="s">
        <v>238</v>
      </c>
      <c r="DL3530" s="5" t="s">
        <v>238</v>
      </c>
      <c r="DM3530" s="8" t="s">
        <v>238</v>
      </c>
      <c r="DN3530" s="5" t="s">
        <v>238</v>
      </c>
      <c r="DO3530" s="5" t="s">
        <v>238</v>
      </c>
      <c r="DP3530" s="5" t="s">
        <v>490</v>
      </c>
      <c r="DQ3530" s="5" t="s">
        <v>490</v>
      </c>
      <c r="DR3530" s="5" t="s">
        <v>238</v>
      </c>
      <c r="DS3530" s="5" t="s">
        <v>238</v>
      </c>
      <c r="DT3530" s="5" t="s">
        <v>500</v>
      </c>
      <c r="DU3530" s="5" t="s">
        <v>754</v>
      </c>
      <c r="DV3530" s="5" t="s">
        <v>238</v>
      </c>
      <c r="DW3530" s="5" t="s">
        <v>238</v>
      </c>
      <c r="DX3530" s="5" t="s">
        <v>238</v>
      </c>
      <c r="DY3530" s="5" t="s">
        <v>238</v>
      </c>
      <c r="DZ3530" s="5" t="s">
        <v>238</v>
      </c>
      <c r="EA3530" s="5" t="s">
        <v>238</v>
      </c>
      <c r="EB3530" s="5" t="s">
        <v>238</v>
      </c>
      <c r="EC3530" s="5" t="s">
        <v>238</v>
      </c>
      <c r="ED3530" s="5" t="s">
        <v>238</v>
      </c>
      <c r="EE3530" s="5" t="s">
        <v>238</v>
      </c>
      <c r="EF3530" s="5" t="s">
        <v>238</v>
      </c>
      <c r="EG3530" s="5" t="s">
        <v>238</v>
      </c>
      <c r="EH3530" s="5" t="s">
        <v>238</v>
      </c>
      <c r="EI3530" s="5" t="s">
        <v>238</v>
      </c>
      <c r="EJ3530" s="5" t="s">
        <v>238</v>
      </c>
      <c r="EK3530" s="5" t="s">
        <v>238</v>
      </c>
      <c r="EL3530" s="5" t="s">
        <v>238</v>
      </c>
      <c r="EM3530" s="5" t="s">
        <v>238</v>
      </c>
      <c r="EN3530" s="5" t="s">
        <v>238</v>
      </c>
      <c r="EO3530" s="5" t="s">
        <v>238</v>
      </c>
      <c r="EP3530" s="5" t="s">
        <v>238</v>
      </c>
      <c r="EQ3530" s="5" t="s">
        <v>238</v>
      </c>
      <c r="ER3530" s="5" t="s">
        <v>238</v>
      </c>
      <c r="ES3530" s="5" t="s">
        <v>238</v>
      </c>
      <c r="ET3530" s="5" t="s">
        <v>238</v>
      </c>
      <c r="EU3530" s="5" t="s">
        <v>238</v>
      </c>
      <c r="EV3530" s="5" t="s">
        <v>238</v>
      </c>
      <c r="EW3530" s="5" t="s">
        <v>238</v>
      </c>
      <c r="EX3530" s="5" t="s">
        <v>238</v>
      </c>
      <c r="EY3530" s="5" t="s">
        <v>238</v>
      </c>
      <c r="EZ3530" s="5" t="s">
        <v>238</v>
      </c>
      <c r="FA3530" s="5" t="s">
        <v>238</v>
      </c>
      <c r="FB3530" s="5" t="s">
        <v>238</v>
      </c>
      <c r="FC3530" s="5" t="s">
        <v>238</v>
      </c>
      <c r="FD3530" s="5" t="s">
        <v>238</v>
      </c>
      <c r="FE3530" s="5" t="s">
        <v>238</v>
      </c>
      <c r="FF3530" s="5" t="s">
        <v>238</v>
      </c>
      <c r="FG3530" s="5" t="s">
        <v>238</v>
      </c>
      <c r="FH3530" s="5" t="s">
        <v>238</v>
      </c>
      <c r="FI3530" s="5" t="s">
        <v>238</v>
      </c>
      <c r="FJ3530" s="5" t="s">
        <v>238</v>
      </c>
      <c r="FK3530" s="5" t="s">
        <v>238</v>
      </c>
      <c r="FL3530" s="5" t="s">
        <v>238</v>
      </c>
      <c r="FM3530" s="5" t="s">
        <v>238</v>
      </c>
      <c r="FN3530" s="5" t="s">
        <v>238</v>
      </c>
      <c r="FO3530" s="5" t="s">
        <v>238</v>
      </c>
      <c r="FP3530" s="5" t="s">
        <v>238</v>
      </c>
      <c r="FQ3530" s="5" t="s">
        <v>238</v>
      </c>
      <c r="FR3530" s="5" t="s">
        <v>238</v>
      </c>
      <c r="FS3530" s="5" t="s">
        <v>238</v>
      </c>
      <c r="FT3530" s="5" t="s">
        <v>238</v>
      </c>
      <c r="FU3530" s="5" t="s">
        <v>238</v>
      </c>
      <c r="FV3530" s="5" t="s">
        <v>238</v>
      </c>
      <c r="FW3530" s="5" t="s">
        <v>238</v>
      </c>
      <c r="FX3530" s="5" t="s">
        <v>238</v>
      </c>
      <c r="FY3530" s="5" t="s">
        <v>238</v>
      </c>
      <c r="FZ3530" s="5" t="s">
        <v>238</v>
      </c>
      <c r="GA3530" s="5" t="s">
        <v>238</v>
      </c>
      <c r="GB3530" s="5" t="s">
        <v>238</v>
      </c>
      <c r="GC3530" s="5" t="s">
        <v>238</v>
      </c>
      <c r="GD3530" s="5" t="s">
        <v>238</v>
      </c>
      <c r="GE3530" s="5" t="s">
        <v>238</v>
      </c>
      <c r="GF3530" s="5" t="s">
        <v>238</v>
      </c>
      <c r="GG3530" s="5" t="s">
        <v>238</v>
      </c>
      <c r="GH3530" s="5" t="s">
        <v>238</v>
      </c>
      <c r="GI3530" s="5" t="s">
        <v>238</v>
      </c>
      <c r="GJ3530" s="5" t="s">
        <v>238</v>
      </c>
      <c r="GK3530" s="5" t="s">
        <v>238</v>
      </c>
      <c r="GL3530" s="5" t="s">
        <v>238</v>
      </c>
      <c r="GM3530" s="5" t="s">
        <v>238</v>
      </c>
      <c r="GN3530" s="5" t="s">
        <v>238</v>
      </c>
      <c r="GO3530" s="5" t="s">
        <v>238</v>
      </c>
      <c r="GP3530" s="5" t="s">
        <v>238</v>
      </c>
      <c r="GQ3530" s="5" t="s">
        <v>238</v>
      </c>
      <c r="GR3530" s="5" t="s">
        <v>238</v>
      </c>
      <c r="GS3530" s="5" t="s">
        <v>238</v>
      </c>
      <c r="GT3530" s="5" t="s">
        <v>238</v>
      </c>
      <c r="GU3530" s="5" t="s">
        <v>238</v>
      </c>
      <c r="GV3530" s="5" t="s">
        <v>238</v>
      </c>
      <c r="GW3530" s="5" t="s">
        <v>238</v>
      </c>
      <c r="GX3530" s="5" t="s">
        <v>238</v>
      </c>
      <c r="GY3530" s="5" t="s">
        <v>238</v>
      </c>
      <c r="GZ3530" s="5" t="s">
        <v>238</v>
      </c>
      <c r="HA3530" s="5" t="s">
        <v>238</v>
      </c>
      <c r="HB3530" s="5" t="s">
        <v>238</v>
      </c>
      <c r="HC3530" s="5" t="s">
        <v>238</v>
      </c>
      <c r="HD3530" s="5" t="s">
        <v>238</v>
      </c>
      <c r="HE3530" s="5" t="s">
        <v>238</v>
      </c>
      <c r="HF3530" s="5" t="s">
        <v>238</v>
      </c>
      <c r="HG3530" s="5" t="s">
        <v>238</v>
      </c>
      <c r="HH3530" s="5" t="s">
        <v>238</v>
      </c>
      <c r="HI3530" s="5" t="s">
        <v>238</v>
      </c>
      <c r="HJ3530" s="5" t="s">
        <v>238</v>
      </c>
      <c r="HK3530" s="5" t="s">
        <v>238</v>
      </c>
      <c r="HL3530" s="5" t="s">
        <v>238</v>
      </c>
      <c r="HM3530" s="5" t="s">
        <v>264</v>
      </c>
      <c r="HN3530" s="5" t="s">
        <v>238</v>
      </c>
      <c r="HO3530" s="5" t="s">
        <v>238</v>
      </c>
      <c r="HP3530" s="5" t="s">
        <v>238</v>
      </c>
      <c r="HQ3530" s="5" t="s">
        <v>238</v>
      </c>
      <c r="HR3530" s="5" t="s">
        <v>238</v>
      </c>
      <c r="HS3530" s="5" t="s">
        <v>238</v>
      </c>
      <c r="HT3530" s="5" t="s">
        <v>238</v>
      </c>
      <c r="HU3530" s="5" t="s">
        <v>238</v>
      </c>
      <c r="HV3530" s="5" t="s">
        <v>238</v>
      </c>
      <c r="HW3530" s="5" t="s">
        <v>238</v>
      </c>
      <c r="HX3530" s="5" t="s">
        <v>238</v>
      </c>
      <c r="HY3530" s="5" t="s">
        <v>238</v>
      </c>
      <c r="HZ3530" s="5" t="s">
        <v>238</v>
      </c>
      <c r="IA3530" s="5" t="s">
        <v>238</v>
      </c>
      <c r="IB3530" s="5" t="s">
        <v>238</v>
      </c>
      <c r="IC3530" s="5" t="s">
        <v>238</v>
      </c>
      <c r="ID3530" s="5" t="s">
        <v>238</v>
      </c>
    </row>
    <row r="3531" spans="1:238" x14ac:dyDescent="0.4">
      <c r="A3531" s="5">
        <v>9249</v>
      </c>
      <c r="B3531" s="5">
        <v>1</v>
      </c>
      <c r="C3531" s="5">
        <v>1</v>
      </c>
      <c r="D3531" s="5" t="s">
        <v>484</v>
      </c>
      <c r="E3531" s="5" t="s">
        <v>485</v>
      </c>
      <c r="F3531" s="5" t="s">
        <v>248</v>
      </c>
      <c r="G3531" s="5" t="s">
        <v>4966</v>
      </c>
      <c r="H3531" s="6" t="s">
        <v>4967</v>
      </c>
      <c r="I3531" s="8">
        <f>1</f>
        <v>1</v>
      </c>
      <c r="J3531" s="5" t="s">
        <v>499</v>
      </c>
      <c r="K3531" s="8">
        <f>1</f>
        <v>1</v>
      </c>
      <c r="L3531" s="6" t="s">
        <v>242</v>
      </c>
      <c r="M3531" s="5" t="s">
        <v>267</v>
      </c>
      <c r="N3531" s="5" t="s">
        <v>482</v>
      </c>
      <c r="O3531" s="5" t="s">
        <v>238</v>
      </c>
      <c r="P3531" s="5" t="s">
        <v>238</v>
      </c>
      <c r="Q3531" s="5" t="s">
        <v>239</v>
      </c>
      <c r="R3531" s="5" t="s">
        <v>270</v>
      </c>
      <c r="S3531" s="5" t="s">
        <v>238</v>
      </c>
      <c r="T3531" s="5" t="s">
        <v>238</v>
      </c>
      <c r="U3531" s="5" t="s">
        <v>238</v>
      </c>
      <c r="V3531" s="5" t="s">
        <v>238</v>
      </c>
      <c r="W3531" s="6" t="s">
        <v>238</v>
      </c>
      <c r="X3531" s="6" t="s">
        <v>238</v>
      </c>
      <c r="Y3531" s="5" t="s">
        <v>238</v>
      </c>
      <c r="Z3531" s="6" t="s">
        <v>238</v>
      </c>
      <c r="AA3531" s="6" t="s">
        <v>243</v>
      </c>
      <c r="AB3531" s="5" t="s">
        <v>486</v>
      </c>
      <c r="AC3531" s="5" t="s">
        <v>244</v>
      </c>
      <c r="AD3531" s="5" t="s">
        <v>245</v>
      </c>
      <c r="AE3531" s="5" t="s">
        <v>238</v>
      </c>
      <c r="AF3531" s="5" t="s">
        <v>238</v>
      </c>
      <c r="AG3531" s="5" t="s">
        <v>238</v>
      </c>
      <c r="AH3531" s="5" t="s">
        <v>238</v>
      </c>
      <c r="AI3531" s="5" t="s">
        <v>238</v>
      </c>
      <c r="AJ3531" s="5" t="s">
        <v>238</v>
      </c>
      <c r="AK3531" s="5" t="s">
        <v>238</v>
      </c>
      <c r="AL3531" s="5" t="s">
        <v>238</v>
      </c>
      <c r="AM3531" s="6" t="s">
        <v>238</v>
      </c>
      <c r="AN3531" s="6" t="s">
        <v>238</v>
      </c>
      <c r="AO3531" s="6" t="s">
        <v>238</v>
      </c>
      <c r="AP3531" s="6" t="s">
        <v>238</v>
      </c>
      <c r="AQ3531" s="5" t="s">
        <v>238</v>
      </c>
      <c r="AR3531" s="5" t="s">
        <v>488</v>
      </c>
      <c r="AS3531" s="5" t="s">
        <v>488</v>
      </c>
      <c r="AT3531" s="5" t="s">
        <v>246</v>
      </c>
      <c r="AU3531" s="5" t="s">
        <v>489</v>
      </c>
      <c r="AV3531" s="5" t="s">
        <v>247</v>
      </c>
      <c r="AW3531" s="5" t="s">
        <v>238</v>
      </c>
      <c r="AX3531" s="5" t="s">
        <v>249</v>
      </c>
      <c r="AY3531" s="5" t="s">
        <v>490</v>
      </c>
      <c r="BA3531" s="5" t="s">
        <v>238</v>
      </c>
      <c r="BC3531" s="5" t="s">
        <v>491</v>
      </c>
      <c r="BD3531" s="6" t="s">
        <v>492</v>
      </c>
      <c r="BE3531" s="5" t="s">
        <v>493</v>
      </c>
      <c r="BF3531" s="5" t="s">
        <v>493</v>
      </c>
      <c r="BG3531" s="5" t="s">
        <v>238</v>
      </c>
      <c r="BH3531" s="8">
        <f>1</f>
        <v>1</v>
      </c>
      <c r="BI3531" s="8">
        <f>1</f>
        <v>1</v>
      </c>
      <c r="BJ3531" s="5" t="s">
        <v>253</v>
      </c>
      <c r="BK3531" s="5" t="s">
        <v>254</v>
      </c>
      <c r="BL3531" s="5" t="s">
        <v>238</v>
      </c>
      <c r="BM3531" s="5" t="s">
        <v>238</v>
      </c>
      <c r="BN3531" s="5" t="s">
        <v>238</v>
      </c>
      <c r="BO3531" s="5" t="s">
        <v>238</v>
      </c>
      <c r="BP3531" s="5" t="s">
        <v>238</v>
      </c>
      <c r="BQ3531" s="5" t="s">
        <v>238</v>
      </c>
      <c r="BR3531" s="5" t="s">
        <v>238</v>
      </c>
      <c r="BS3531" s="5" t="s">
        <v>238</v>
      </c>
      <c r="BT3531" s="6" t="s">
        <v>238</v>
      </c>
      <c r="BU3531" s="5" t="s">
        <v>238</v>
      </c>
      <c r="BV3531" s="5" t="s">
        <v>238</v>
      </c>
      <c r="BW3531" s="5" t="s">
        <v>238</v>
      </c>
      <c r="BX3531" s="5" t="s">
        <v>254</v>
      </c>
      <c r="BY3531" s="5" t="s">
        <v>238</v>
      </c>
      <c r="BZ3531" s="5" t="s">
        <v>238</v>
      </c>
      <c r="CA3531" s="5" t="s">
        <v>238</v>
      </c>
      <c r="CB3531" s="5" t="s">
        <v>238</v>
      </c>
      <c r="CC3531" s="5" t="s">
        <v>238</v>
      </c>
      <c r="CD3531" s="5" t="s">
        <v>273</v>
      </c>
      <c r="CE3531" s="5" t="s">
        <v>256</v>
      </c>
      <c r="CF3531" s="5" t="s">
        <v>238</v>
      </c>
      <c r="CH3531" s="5" t="s">
        <v>494</v>
      </c>
      <c r="CI3531" s="6" t="s">
        <v>257</v>
      </c>
      <c r="CJ3531" s="5" t="s">
        <v>495</v>
      </c>
      <c r="CK3531" s="5" t="s">
        <v>258</v>
      </c>
      <c r="CL3531" s="5" t="s">
        <v>496</v>
      </c>
      <c r="CM3531" s="5" t="s">
        <v>238</v>
      </c>
      <c r="CN3531" s="5">
        <v>0</v>
      </c>
      <c r="CO3531" s="5" t="s">
        <v>497</v>
      </c>
      <c r="CP3531" s="5" t="s">
        <v>260</v>
      </c>
      <c r="CQ3531" s="5" t="s">
        <v>260</v>
      </c>
      <c r="CR3531" s="5" t="s">
        <v>261</v>
      </c>
      <c r="CS3531" s="5" t="s">
        <v>498</v>
      </c>
      <c r="CT3531" s="7">
        <f>1</f>
        <v>1</v>
      </c>
      <c r="CU3531" s="8">
        <f>1</f>
        <v>1</v>
      </c>
      <c r="CV3531" s="8">
        <f>0</f>
        <v>0</v>
      </c>
      <c r="CX3531" s="8">
        <f>1</f>
        <v>1</v>
      </c>
      <c r="CY3531" s="8">
        <f>1</f>
        <v>1</v>
      </c>
      <c r="CZ3531" s="8" t="s">
        <v>238</v>
      </c>
      <c r="DA3531" s="5" t="s">
        <v>238</v>
      </c>
      <c r="DB3531" s="5" t="s">
        <v>238</v>
      </c>
      <c r="DC3531" s="5" t="s">
        <v>238</v>
      </c>
      <c r="DD3531" s="5" t="s">
        <v>238</v>
      </c>
      <c r="DE3531" s="8">
        <f>0</f>
        <v>0</v>
      </c>
      <c r="DG3531" s="5" t="s">
        <v>238</v>
      </c>
      <c r="DH3531" s="5" t="s">
        <v>238</v>
      </c>
      <c r="DI3531" s="5" t="s">
        <v>238</v>
      </c>
      <c r="DJ3531" s="5" t="s">
        <v>238</v>
      </c>
      <c r="DK3531" s="5" t="s">
        <v>238</v>
      </c>
      <c r="DL3531" s="5" t="s">
        <v>238</v>
      </c>
      <c r="DM3531" s="8" t="s">
        <v>238</v>
      </c>
      <c r="DN3531" s="5" t="s">
        <v>238</v>
      </c>
      <c r="DO3531" s="5" t="s">
        <v>238</v>
      </c>
      <c r="DP3531" s="5" t="s">
        <v>490</v>
      </c>
      <c r="DQ3531" s="5" t="s">
        <v>490</v>
      </c>
      <c r="DR3531" s="5" t="s">
        <v>238</v>
      </c>
      <c r="DS3531" s="5" t="s">
        <v>238</v>
      </c>
      <c r="DT3531" s="5" t="s">
        <v>500</v>
      </c>
      <c r="DU3531" s="5" t="s">
        <v>772</v>
      </c>
      <c r="DV3531" s="5" t="s">
        <v>238</v>
      </c>
      <c r="DW3531" s="5" t="s">
        <v>238</v>
      </c>
      <c r="DX3531" s="5" t="s">
        <v>238</v>
      </c>
      <c r="DY3531" s="5" t="s">
        <v>238</v>
      </c>
      <c r="DZ3531" s="5" t="s">
        <v>238</v>
      </c>
      <c r="EA3531" s="5" t="s">
        <v>238</v>
      </c>
      <c r="EB3531" s="5" t="s">
        <v>238</v>
      </c>
      <c r="EC3531" s="5" t="s">
        <v>238</v>
      </c>
      <c r="ED3531" s="5" t="s">
        <v>238</v>
      </c>
      <c r="EE3531" s="5" t="s">
        <v>238</v>
      </c>
      <c r="EF3531" s="5" t="s">
        <v>238</v>
      </c>
      <c r="EG3531" s="5" t="s">
        <v>238</v>
      </c>
      <c r="EH3531" s="5" t="s">
        <v>238</v>
      </c>
      <c r="EI3531" s="5" t="s">
        <v>238</v>
      </c>
      <c r="EJ3531" s="5" t="s">
        <v>238</v>
      </c>
      <c r="EK3531" s="5" t="s">
        <v>238</v>
      </c>
      <c r="EL3531" s="5" t="s">
        <v>238</v>
      </c>
      <c r="EM3531" s="5" t="s">
        <v>238</v>
      </c>
      <c r="EN3531" s="5" t="s">
        <v>238</v>
      </c>
      <c r="EO3531" s="5" t="s">
        <v>238</v>
      </c>
      <c r="EP3531" s="5" t="s">
        <v>238</v>
      </c>
      <c r="EQ3531" s="5" t="s">
        <v>238</v>
      </c>
      <c r="ER3531" s="5" t="s">
        <v>238</v>
      </c>
      <c r="ES3531" s="5" t="s">
        <v>238</v>
      </c>
      <c r="ET3531" s="5" t="s">
        <v>238</v>
      </c>
      <c r="EU3531" s="5" t="s">
        <v>238</v>
      </c>
      <c r="EV3531" s="5" t="s">
        <v>238</v>
      </c>
      <c r="EW3531" s="5" t="s">
        <v>238</v>
      </c>
      <c r="EX3531" s="5" t="s">
        <v>238</v>
      </c>
      <c r="EY3531" s="5" t="s">
        <v>238</v>
      </c>
      <c r="EZ3531" s="5" t="s">
        <v>238</v>
      </c>
      <c r="FA3531" s="5" t="s">
        <v>238</v>
      </c>
      <c r="FB3531" s="5" t="s">
        <v>238</v>
      </c>
      <c r="FC3531" s="5" t="s">
        <v>238</v>
      </c>
      <c r="FD3531" s="5" t="s">
        <v>238</v>
      </c>
      <c r="FE3531" s="5" t="s">
        <v>238</v>
      </c>
      <c r="FF3531" s="5" t="s">
        <v>238</v>
      </c>
      <c r="FG3531" s="5" t="s">
        <v>238</v>
      </c>
      <c r="FH3531" s="5" t="s">
        <v>238</v>
      </c>
      <c r="FI3531" s="5" t="s">
        <v>238</v>
      </c>
      <c r="FJ3531" s="5" t="s">
        <v>238</v>
      </c>
      <c r="FK3531" s="5" t="s">
        <v>238</v>
      </c>
      <c r="FL3531" s="5" t="s">
        <v>238</v>
      </c>
      <c r="FM3531" s="5" t="s">
        <v>238</v>
      </c>
      <c r="FN3531" s="5" t="s">
        <v>238</v>
      </c>
      <c r="FO3531" s="5" t="s">
        <v>238</v>
      </c>
      <c r="FP3531" s="5" t="s">
        <v>238</v>
      </c>
      <c r="FQ3531" s="5" t="s">
        <v>238</v>
      </c>
      <c r="FR3531" s="5" t="s">
        <v>238</v>
      </c>
      <c r="FS3531" s="5" t="s">
        <v>238</v>
      </c>
      <c r="FT3531" s="5" t="s">
        <v>238</v>
      </c>
      <c r="FU3531" s="5" t="s">
        <v>238</v>
      </c>
      <c r="FV3531" s="5" t="s">
        <v>238</v>
      </c>
      <c r="FW3531" s="5" t="s">
        <v>238</v>
      </c>
      <c r="FX3531" s="5" t="s">
        <v>238</v>
      </c>
      <c r="FY3531" s="5" t="s">
        <v>238</v>
      </c>
      <c r="FZ3531" s="5" t="s">
        <v>238</v>
      </c>
      <c r="GA3531" s="5" t="s">
        <v>238</v>
      </c>
      <c r="GB3531" s="5" t="s">
        <v>238</v>
      </c>
      <c r="GC3531" s="5" t="s">
        <v>238</v>
      </c>
      <c r="GD3531" s="5" t="s">
        <v>238</v>
      </c>
      <c r="GE3531" s="5" t="s">
        <v>238</v>
      </c>
      <c r="GF3531" s="5" t="s">
        <v>238</v>
      </c>
      <c r="GG3531" s="5" t="s">
        <v>238</v>
      </c>
      <c r="GH3531" s="5" t="s">
        <v>238</v>
      </c>
      <c r="GI3531" s="5" t="s">
        <v>238</v>
      </c>
      <c r="GJ3531" s="5" t="s">
        <v>238</v>
      </c>
      <c r="GK3531" s="5" t="s">
        <v>238</v>
      </c>
      <c r="GL3531" s="5" t="s">
        <v>238</v>
      </c>
      <c r="GM3531" s="5" t="s">
        <v>238</v>
      </c>
      <c r="GN3531" s="5" t="s">
        <v>238</v>
      </c>
      <c r="GO3531" s="5" t="s">
        <v>238</v>
      </c>
      <c r="GP3531" s="5" t="s">
        <v>238</v>
      </c>
      <c r="GQ3531" s="5" t="s">
        <v>238</v>
      </c>
      <c r="GR3531" s="5" t="s">
        <v>238</v>
      </c>
      <c r="GS3531" s="5" t="s">
        <v>238</v>
      </c>
      <c r="GT3531" s="5" t="s">
        <v>238</v>
      </c>
      <c r="GU3531" s="5" t="s">
        <v>238</v>
      </c>
      <c r="GV3531" s="5" t="s">
        <v>238</v>
      </c>
      <c r="GW3531" s="5" t="s">
        <v>238</v>
      </c>
      <c r="GX3531" s="5" t="s">
        <v>238</v>
      </c>
      <c r="GY3531" s="5" t="s">
        <v>238</v>
      </c>
      <c r="GZ3531" s="5" t="s">
        <v>238</v>
      </c>
      <c r="HA3531" s="5" t="s">
        <v>238</v>
      </c>
      <c r="HB3531" s="5" t="s">
        <v>238</v>
      </c>
      <c r="HC3531" s="5" t="s">
        <v>238</v>
      </c>
      <c r="HD3531" s="5" t="s">
        <v>238</v>
      </c>
      <c r="HE3531" s="5" t="s">
        <v>238</v>
      </c>
      <c r="HF3531" s="5" t="s">
        <v>238</v>
      </c>
      <c r="HG3531" s="5" t="s">
        <v>238</v>
      </c>
      <c r="HH3531" s="5" t="s">
        <v>238</v>
      </c>
      <c r="HI3531" s="5" t="s">
        <v>238</v>
      </c>
      <c r="HJ3531" s="5" t="s">
        <v>238</v>
      </c>
      <c r="HK3531" s="5" t="s">
        <v>238</v>
      </c>
      <c r="HL3531" s="5" t="s">
        <v>238</v>
      </c>
      <c r="HM3531" s="5" t="s">
        <v>264</v>
      </c>
      <c r="HN3531" s="5" t="s">
        <v>238</v>
      </c>
      <c r="HO3531" s="5" t="s">
        <v>238</v>
      </c>
      <c r="HP3531" s="5" t="s">
        <v>238</v>
      </c>
      <c r="HQ3531" s="5" t="s">
        <v>238</v>
      </c>
      <c r="HR3531" s="5" t="s">
        <v>238</v>
      </c>
      <c r="HS3531" s="5" t="s">
        <v>238</v>
      </c>
      <c r="HT3531" s="5" t="s">
        <v>238</v>
      </c>
      <c r="HU3531" s="5" t="s">
        <v>238</v>
      </c>
      <c r="HV3531" s="5" t="s">
        <v>238</v>
      </c>
      <c r="HW3531" s="5" t="s">
        <v>238</v>
      </c>
      <c r="HX3531" s="5" t="s">
        <v>238</v>
      </c>
      <c r="HY3531" s="5" t="s">
        <v>238</v>
      </c>
      <c r="HZ3531" s="5" t="s">
        <v>238</v>
      </c>
      <c r="IA3531" s="5" t="s">
        <v>238</v>
      </c>
      <c r="IB3531" s="5" t="s">
        <v>238</v>
      </c>
      <c r="IC3531" s="5" t="s">
        <v>238</v>
      </c>
      <c r="ID3531" s="5" t="s">
        <v>238</v>
      </c>
    </row>
    <row r="3532" spans="1:238" x14ac:dyDescent="0.4">
      <c r="A3532" s="5">
        <v>9250</v>
      </c>
      <c r="B3532" s="5">
        <v>1</v>
      </c>
      <c r="C3532" s="5">
        <v>1</v>
      </c>
      <c r="D3532" s="5" t="s">
        <v>484</v>
      </c>
      <c r="E3532" s="5" t="s">
        <v>485</v>
      </c>
      <c r="F3532" s="5" t="s">
        <v>248</v>
      </c>
      <c r="G3532" s="5" t="s">
        <v>4540</v>
      </c>
      <c r="H3532" s="6" t="s">
        <v>4541</v>
      </c>
      <c r="I3532" s="8">
        <f>1</f>
        <v>1</v>
      </c>
      <c r="J3532" s="5" t="s">
        <v>499</v>
      </c>
      <c r="K3532" s="8">
        <f>1</f>
        <v>1</v>
      </c>
      <c r="L3532" s="6" t="s">
        <v>242</v>
      </c>
      <c r="M3532" s="5" t="s">
        <v>267</v>
      </c>
      <c r="N3532" s="5" t="s">
        <v>482</v>
      </c>
      <c r="O3532" s="5" t="s">
        <v>238</v>
      </c>
      <c r="P3532" s="5" t="s">
        <v>238</v>
      </c>
      <c r="Q3532" s="5" t="s">
        <v>239</v>
      </c>
      <c r="R3532" s="5" t="s">
        <v>270</v>
      </c>
      <c r="S3532" s="5" t="s">
        <v>238</v>
      </c>
      <c r="T3532" s="5" t="s">
        <v>238</v>
      </c>
      <c r="U3532" s="5" t="s">
        <v>238</v>
      </c>
      <c r="V3532" s="5" t="s">
        <v>238</v>
      </c>
      <c r="W3532" s="6" t="s">
        <v>238</v>
      </c>
      <c r="X3532" s="6" t="s">
        <v>238</v>
      </c>
      <c r="Y3532" s="5" t="s">
        <v>238</v>
      </c>
      <c r="Z3532" s="6" t="s">
        <v>238</v>
      </c>
      <c r="AA3532" s="6" t="s">
        <v>243</v>
      </c>
      <c r="AB3532" s="5" t="s">
        <v>486</v>
      </c>
      <c r="AC3532" s="5" t="s">
        <v>244</v>
      </c>
      <c r="AD3532" s="5" t="s">
        <v>245</v>
      </c>
      <c r="AE3532" s="5" t="s">
        <v>238</v>
      </c>
      <c r="AF3532" s="5" t="s">
        <v>238</v>
      </c>
      <c r="AG3532" s="5" t="s">
        <v>238</v>
      </c>
      <c r="AH3532" s="5" t="s">
        <v>238</v>
      </c>
      <c r="AI3532" s="5" t="s">
        <v>238</v>
      </c>
      <c r="AJ3532" s="5" t="s">
        <v>238</v>
      </c>
      <c r="AK3532" s="5" t="s">
        <v>238</v>
      </c>
      <c r="AL3532" s="5" t="s">
        <v>238</v>
      </c>
      <c r="AM3532" s="6" t="s">
        <v>238</v>
      </c>
      <c r="AN3532" s="6" t="s">
        <v>238</v>
      </c>
      <c r="AO3532" s="6" t="s">
        <v>238</v>
      </c>
      <c r="AP3532" s="6" t="s">
        <v>238</v>
      </c>
      <c r="AQ3532" s="5" t="s">
        <v>238</v>
      </c>
      <c r="AR3532" s="5" t="s">
        <v>488</v>
      </c>
      <c r="AS3532" s="5" t="s">
        <v>488</v>
      </c>
      <c r="AT3532" s="5" t="s">
        <v>246</v>
      </c>
      <c r="AU3532" s="5" t="s">
        <v>489</v>
      </c>
      <c r="AV3532" s="5" t="s">
        <v>247</v>
      </c>
      <c r="AW3532" s="5" t="s">
        <v>238</v>
      </c>
      <c r="AX3532" s="5" t="s">
        <v>249</v>
      </c>
      <c r="AY3532" s="5" t="s">
        <v>490</v>
      </c>
      <c r="BA3532" s="5" t="s">
        <v>238</v>
      </c>
      <c r="BC3532" s="5" t="s">
        <v>491</v>
      </c>
      <c r="BD3532" s="6" t="s">
        <v>492</v>
      </c>
      <c r="BE3532" s="5" t="s">
        <v>493</v>
      </c>
      <c r="BF3532" s="5" t="s">
        <v>493</v>
      </c>
      <c r="BG3532" s="5" t="s">
        <v>238</v>
      </c>
      <c r="BH3532" s="8">
        <f>1</f>
        <v>1</v>
      </c>
      <c r="BI3532" s="8">
        <f>1</f>
        <v>1</v>
      </c>
      <c r="BJ3532" s="5" t="s">
        <v>253</v>
      </c>
      <c r="BK3532" s="5" t="s">
        <v>254</v>
      </c>
      <c r="BL3532" s="5" t="s">
        <v>238</v>
      </c>
      <c r="BM3532" s="5" t="s">
        <v>238</v>
      </c>
      <c r="BN3532" s="5" t="s">
        <v>238</v>
      </c>
      <c r="BO3532" s="5" t="s">
        <v>238</v>
      </c>
      <c r="BP3532" s="5" t="s">
        <v>238</v>
      </c>
      <c r="BQ3532" s="5" t="s">
        <v>238</v>
      </c>
      <c r="BR3532" s="5" t="s">
        <v>238</v>
      </c>
      <c r="BS3532" s="5" t="s">
        <v>238</v>
      </c>
      <c r="BT3532" s="6" t="s">
        <v>238</v>
      </c>
      <c r="BU3532" s="5" t="s">
        <v>238</v>
      </c>
      <c r="BV3532" s="5" t="s">
        <v>238</v>
      </c>
      <c r="BW3532" s="5" t="s">
        <v>238</v>
      </c>
      <c r="BX3532" s="5" t="s">
        <v>254</v>
      </c>
      <c r="BY3532" s="5" t="s">
        <v>238</v>
      </c>
      <c r="BZ3532" s="5" t="s">
        <v>238</v>
      </c>
      <c r="CA3532" s="5" t="s">
        <v>238</v>
      </c>
      <c r="CB3532" s="5" t="s">
        <v>238</v>
      </c>
      <c r="CC3532" s="5" t="s">
        <v>238</v>
      </c>
      <c r="CD3532" s="5" t="s">
        <v>273</v>
      </c>
      <c r="CE3532" s="5" t="s">
        <v>256</v>
      </c>
      <c r="CF3532" s="5" t="s">
        <v>238</v>
      </c>
      <c r="CH3532" s="5" t="s">
        <v>494</v>
      </c>
      <c r="CI3532" s="6" t="s">
        <v>257</v>
      </c>
      <c r="CJ3532" s="5" t="s">
        <v>495</v>
      </c>
      <c r="CK3532" s="5" t="s">
        <v>258</v>
      </c>
      <c r="CL3532" s="5" t="s">
        <v>496</v>
      </c>
      <c r="CM3532" s="5" t="s">
        <v>238</v>
      </c>
      <c r="CN3532" s="5">
        <v>0</v>
      </c>
      <c r="CO3532" s="5" t="s">
        <v>497</v>
      </c>
      <c r="CP3532" s="5" t="s">
        <v>260</v>
      </c>
      <c r="CQ3532" s="5" t="s">
        <v>260</v>
      </c>
      <c r="CR3532" s="5" t="s">
        <v>261</v>
      </c>
      <c r="CS3532" s="5" t="s">
        <v>498</v>
      </c>
      <c r="CT3532" s="7">
        <f>1</f>
        <v>1</v>
      </c>
      <c r="CU3532" s="8">
        <f>1</f>
        <v>1</v>
      </c>
      <c r="CV3532" s="8">
        <f>0</f>
        <v>0</v>
      </c>
      <c r="CX3532" s="8">
        <f>1</f>
        <v>1</v>
      </c>
      <c r="CY3532" s="8">
        <f>1</f>
        <v>1</v>
      </c>
      <c r="CZ3532" s="8" t="s">
        <v>238</v>
      </c>
      <c r="DA3532" s="5" t="s">
        <v>238</v>
      </c>
      <c r="DB3532" s="5" t="s">
        <v>238</v>
      </c>
      <c r="DC3532" s="5" t="s">
        <v>238</v>
      </c>
      <c r="DD3532" s="5" t="s">
        <v>238</v>
      </c>
      <c r="DE3532" s="8">
        <f>0</f>
        <v>0</v>
      </c>
      <c r="DG3532" s="5" t="s">
        <v>238</v>
      </c>
      <c r="DH3532" s="5" t="s">
        <v>238</v>
      </c>
      <c r="DI3532" s="5" t="s">
        <v>238</v>
      </c>
      <c r="DJ3532" s="5" t="s">
        <v>238</v>
      </c>
      <c r="DK3532" s="5" t="s">
        <v>238</v>
      </c>
      <c r="DL3532" s="5" t="s">
        <v>238</v>
      </c>
      <c r="DM3532" s="8" t="s">
        <v>238</v>
      </c>
      <c r="DN3532" s="5" t="s">
        <v>238</v>
      </c>
      <c r="DO3532" s="5" t="s">
        <v>238</v>
      </c>
      <c r="DP3532" s="5" t="s">
        <v>490</v>
      </c>
      <c r="DQ3532" s="5" t="s">
        <v>490</v>
      </c>
      <c r="DR3532" s="5" t="s">
        <v>238</v>
      </c>
      <c r="DS3532" s="5" t="s">
        <v>238</v>
      </c>
      <c r="DT3532" s="5" t="s">
        <v>500</v>
      </c>
      <c r="DU3532" s="5" t="s">
        <v>780</v>
      </c>
      <c r="DV3532" s="5" t="s">
        <v>238</v>
      </c>
      <c r="DW3532" s="5" t="s">
        <v>238</v>
      </c>
      <c r="DX3532" s="5" t="s">
        <v>238</v>
      </c>
      <c r="DY3532" s="5" t="s">
        <v>238</v>
      </c>
      <c r="DZ3532" s="5" t="s">
        <v>238</v>
      </c>
      <c r="EA3532" s="5" t="s">
        <v>238</v>
      </c>
      <c r="EB3532" s="5" t="s">
        <v>238</v>
      </c>
      <c r="EC3532" s="5" t="s">
        <v>238</v>
      </c>
      <c r="ED3532" s="5" t="s">
        <v>238</v>
      </c>
      <c r="EE3532" s="5" t="s">
        <v>238</v>
      </c>
      <c r="EF3532" s="5" t="s">
        <v>238</v>
      </c>
      <c r="EG3532" s="5" t="s">
        <v>238</v>
      </c>
      <c r="EH3532" s="5" t="s">
        <v>238</v>
      </c>
      <c r="EI3532" s="5" t="s">
        <v>238</v>
      </c>
      <c r="EJ3532" s="5" t="s">
        <v>238</v>
      </c>
      <c r="EK3532" s="5" t="s">
        <v>238</v>
      </c>
      <c r="EL3532" s="5" t="s">
        <v>238</v>
      </c>
      <c r="EM3532" s="5" t="s">
        <v>238</v>
      </c>
      <c r="EN3532" s="5" t="s">
        <v>238</v>
      </c>
      <c r="EO3532" s="5" t="s">
        <v>238</v>
      </c>
      <c r="EP3532" s="5" t="s">
        <v>238</v>
      </c>
      <c r="EQ3532" s="5" t="s">
        <v>238</v>
      </c>
      <c r="ER3532" s="5" t="s">
        <v>238</v>
      </c>
      <c r="ES3532" s="5" t="s">
        <v>238</v>
      </c>
      <c r="ET3532" s="5" t="s">
        <v>238</v>
      </c>
      <c r="EU3532" s="5" t="s">
        <v>238</v>
      </c>
      <c r="EV3532" s="5" t="s">
        <v>238</v>
      </c>
      <c r="EW3532" s="5" t="s">
        <v>238</v>
      </c>
      <c r="EX3532" s="5" t="s">
        <v>238</v>
      </c>
      <c r="EY3532" s="5" t="s">
        <v>238</v>
      </c>
      <c r="EZ3532" s="5" t="s">
        <v>238</v>
      </c>
      <c r="FA3532" s="5" t="s">
        <v>238</v>
      </c>
      <c r="FB3532" s="5" t="s">
        <v>238</v>
      </c>
      <c r="FC3532" s="5" t="s">
        <v>238</v>
      </c>
      <c r="FD3532" s="5" t="s">
        <v>238</v>
      </c>
      <c r="FE3532" s="5" t="s">
        <v>238</v>
      </c>
      <c r="FF3532" s="5" t="s">
        <v>238</v>
      </c>
      <c r="FG3532" s="5" t="s">
        <v>238</v>
      </c>
      <c r="FH3532" s="5" t="s">
        <v>238</v>
      </c>
      <c r="FI3532" s="5" t="s">
        <v>238</v>
      </c>
      <c r="FJ3532" s="5" t="s">
        <v>238</v>
      </c>
      <c r="FK3532" s="5" t="s">
        <v>238</v>
      </c>
      <c r="FL3532" s="5" t="s">
        <v>238</v>
      </c>
      <c r="FM3532" s="5" t="s">
        <v>238</v>
      </c>
      <c r="FN3532" s="5" t="s">
        <v>238</v>
      </c>
      <c r="FO3532" s="5" t="s">
        <v>238</v>
      </c>
      <c r="FP3532" s="5" t="s">
        <v>238</v>
      </c>
      <c r="FQ3532" s="5" t="s">
        <v>238</v>
      </c>
      <c r="FR3532" s="5" t="s">
        <v>238</v>
      </c>
      <c r="FS3532" s="5" t="s">
        <v>238</v>
      </c>
      <c r="FT3532" s="5" t="s">
        <v>238</v>
      </c>
      <c r="FU3532" s="5" t="s">
        <v>238</v>
      </c>
      <c r="FV3532" s="5" t="s">
        <v>238</v>
      </c>
      <c r="FW3532" s="5" t="s">
        <v>238</v>
      </c>
      <c r="FX3532" s="5" t="s">
        <v>238</v>
      </c>
      <c r="FY3532" s="5" t="s">
        <v>238</v>
      </c>
      <c r="FZ3532" s="5" t="s">
        <v>238</v>
      </c>
      <c r="GA3532" s="5" t="s">
        <v>238</v>
      </c>
      <c r="GB3532" s="5" t="s">
        <v>238</v>
      </c>
      <c r="GC3532" s="5" t="s">
        <v>238</v>
      </c>
      <c r="GD3532" s="5" t="s">
        <v>238</v>
      </c>
      <c r="GE3532" s="5" t="s">
        <v>238</v>
      </c>
      <c r="GF3532" s="5" t="s">
        <v>238</v>
      </c>
      <c r="GG3532" s="5" t="s">
        <v>238</v>
      </c>
      <c r="GH3532" s="5" t="s">
        <v>238</v>
      </c>
      <c r="GI3532" s="5" t="s">
        <v>238</v>
      </c>
      <c r="GJ3532" s="5" t="s">
        <v>238</v>
      </c>
      <c r="GK3532" s="5" t="s">
        <v>238</v>
      </c>
      <c r="GL3532" s="5" t="s">
        <v>238</v>
      </c>
      <c r="GM3532" s="5" t="s">
        <v>238</v>
      </c>
      <c r="GN3532" s="5" t="s">
        <v>238</v>
      </c>
      <c r="GO3532" s="5" t="s">
        <v>238</v>
      </c>
      <c r="GP3532" s="5" t="s">
        <v>238</v>
      </c>
      <c r="GQ3532" s="5" t="s">
        <v>238</v>
      </c>
      <c r="GR3532" s="5" t="s">
        <v>238</v>
      </c>
      <c r="GS3532" s="5" t="s">
        <v>238</v>
      </c>
      <c r="GT3532" s="5" t="s">
        <v>238</v>
      </c>
      <c r="GU3532" s="5" t="s">
        <v>238</v>
      </c>
      <c r="GV3532" s="5" t="s">
        <v>238</v>
      </c>
      <c r="GW3532" s="5" t="s">
        <v>238</v>
      </c>
      <c r="GX3532" s="5" t="s">
        <v>238</v>
      </c>
      <c r="GY3532" s="5" t="s">
        <v>238</v>
      </c>
      <c r="GZ3532" s="5" t="s">
        <v>238</v>
      </c>
      <c r="HA3532" s="5" t="s">
        <v>238</v>
      </c>
      <c r="HB3532" s="5" t="s">
        <v>238</v>
      </c>
      <c r="HC3532" s="5" t="s">
        <v>238</v>
      </c>
      <c r="HD3532" s="5" t="s">
        <v>238</v>
      </c>
      <c r="HE3532" s="5" t="s">
        <v>238</v>
      </c>
      <c r="HF3532" s="5" t="s">
        <v>238</v>
      </c>
      <c r="HG3532" s="5" t="s">
        <v>238</v>
      </c>
      <c r="HH3532" s="5" t="s">
        <v>238</v>
      </c>
      <c r="HI3532" s="5" t="s">
        <v>238</v>
      </c>
      <c r="HJ3532" s="5" t="s">
        <v>238</v>
      </c>
      <c r="HK3532" s="5" t="s">
        <v>238</v>
      </c>
      <c r="HL3532" s="5" t="s">
        <v>238</v>
      </c>
      <c r="HM3532" s="5" t="s">
        <v>264</v>
      </c>
      <c r="HN3532" s="5" t="s">
        <v>238</v>
      </c>
      <c r="HO3532" s="5" t="s">
        <v>238</v>
      </c>
      <c r="HP3532" s="5" t="s">
        <v>238</v>
      </c>
      <c r="HQ3532" s="5" t="s">
        <v>238</v>
      </c>
      <c r="HR3532" s="5" t="s">
        <v>238</v>
      </c>
      <c r="HS3532" s="5" t="s">
        <v>238</v>
      </c>
      <c r="HT3532" s="5" t="s">
        <v>238</v>
      </c>
      <c r="HU3532" s="5" t="s">
        <v>238</v>
      </c>
      <c r="HV3532" s="5" t="s">
        <v>238</v>
      </c>
      <c r="HW3532" s="5" t="s">
        <v>238</v>
      </c>
      <c r="HX3532" s="5" t="s">
        <v>238</v>
      </c>
      <c r="HY3532" s="5" t="s">
        <v>238</v>
      </c>
      <c r="HZ3532" s="5" t="s">
        <v>238</v>
      </c>
      <c r="IA3532" s="5" t="s">
        <v>238</v>
      </c>
      <c r="IB3532" s="5" t="s">
        <v>238</v>
      </c>
      <c r="IC3532" s="5" t="s">
        <v>238</v>
      </c>
      <c r="ID3532" s="5" t="s">
        <v>238</v>
      </c>
    </row>
    <row r="3533" spans="1:238" x14ac:dyDescent="0.4">
      <c r="A3533" s="5">
        <v>9251</v>
      </c>
      <c r="B3533" s="5">
        <v>1</v>
      </c>
      <c r="C3533" s="5">
        <v>1</v>
      </c>
      <c r="D3533" s="5" t="s">
        <v>484</v>
      </c>
      <c r="E3533" s="5" t="s">
        <v>485</v>
      </c>
      <c r="F3533" s="5" t="s">
        <v>248</v>
      </c>
      <c r="G3533" s="5" t="s">
        <v>5705</v>
      </c>
      <c r="H3533" s="6" t="s">
        <v>5706</v>
      </c>
      <c r="I3533" s="8">
        <f>1</f>
        <v>1</v>
      </c>
      <c r="J3533" s="5" t="s">
        <v>499</v>
      </c>
      <c r="K3533" s="8">
        <f>1</f>
        <v>1</v>
      </c>
      <c r="L3533" s="6" t="s">
        <v>242</v>
      </c>
      <c r="M3533" s="5" t="s">
        <v>267</v>
      </c>
      <c r="N3533" s="5" t="s">
        <v>482</v>
      </c>
      <c r="O3533" s="5" t="s">
        <v>238</v>
      </c>
      <c r="P3533" s="5" t="s">
        <v>238</v>
      </c>
      <c r="Q3533" s="5" t="s">
        <v>239</v>
      </c>
      <c r="R3533" s="5" t="s">
        <v>270</v>
      </c>
      <c r="S3533" s="5" t="s">
        <v>238</v>
      </c>
      <c r="T3533" s="5" t="s">
        <v>238</v>
      </c>
      <c r="U3533" s="5" t="s">
        <v>238</v>
      </c>
      <c r="V3533" s="5" t="s">
        <v>238</v>
      </c>
      <c r="W3533" s="6" t="s">
        <v>238</v>
      </c>
      <c r="X3533" s="6" t="s">
        <v>238</v>
      </c>
      <c r="Y3533" s="5" t="s">
        <v>238</v>
      </c>
      <c r="Z3533" s="6" t="s">
        <v>238</v>
      </c>
      <c r="AA3533" s="6" t="s">
        <v>243</v>
      </c>
      <c r="AB3533" s="5" t="s">
        <v>486</v>
      </c>
      <c r="AC3533" s="5" t="s">
        <v>244</v>
      </c>
      <c r="AD3533" s="5" t="s">
        <v>245</v>
      </c>
      <c r="AE3533" s="5" t="s">
        <v>238</v>
      </c>
      <c r="AF3533" s="5" t="s">
        <v>238</v>
      </c>
      <c r="AG3533" s="5" t="s">
        <v>238</v>
      </c>
      <c r="AH3533" s="5" t="s">
        <v>238</v>
      </c>
      <c r="AI3533" s="5" t="s">
        <v>238</v>
      </c>
      <c r="AJ3533" s="5" t="s">
        <v>238</v>
      </c>
      <c r="AK3533" s="5" t="s">
        <v>238</v>
      </c>
      <c r="AL3533" s="5" t="s">
        <v>238</v>
      </c>
      <c r="AM3533" s="6" t="s">
        <v>238</v>
      </c>
      <c r="AN3533" s="6" t="s">
        <v>238</v>
      </c>
      <c r="AO3533" s="6" t="s">
        <v>238</v>
      </c>
      <c r="AP3533" s="6" t="s">
        <v>238</v>
      </c>
      <c r="AQ3533" s="5" t="s">
        <v>238</v>
      </c>
      <c r="AR3533" s="5" t="s">
        <v>488</v>
      </c>
      <c r="AS3533" s="5" t="s">
        <v>488</v>
      </c>
      <c r="AT3533" s="5" t="s">
        <v>246</v>
      </c>
      <c r="AU3533" s="5" t="s">
        <v>489</v>
      </c>
      <c r="AV3533" s="5" t="s">
        <v>247</v>
      </c>
      <c r="AW3533" s="5" t="s">
        <v>238</v>
      </c>
      <c r="AX3533" s="5" t="s">
        <v>249</v>
      </c>
      <c r="AY3533" s="5" t="s">
        <v>490</v>
      </c>
      <c r="BA3533" s="5" t="s">
        <v>238</v>
      </c>
      <c r="BC3533" s="5" t="s">
        <v>491</v>
      </c>
      <c r="BD3533" s="6" t="s">
        <v>492</v>
      </c>
      <c r="BE3533" s="5" t="s">
        <v>493</v>
      </c>
      <c r="BF3533" s="5" t="s">
        <v>493</v>
      </c>
      <c r="BG3533" s="5" t="s">
        <v>238</v>
      </c>
      <c r="BH3533" s="8">
        <f>1</f>
        <v>1</v>
      </c>
      <c r="BI3533" s="8">
        <f>1</f>
        <v>1</v>
      </c>
      <c r="BJ3533" s="5" t="s">
        <v>253</v>
      </c>
      <c r="BK3533" s="5" t="s">
        <v>254</v>
      </c>
      <c r="BL3533" s="5" t="s">
        <v>238</v>
      </c>
      <c r="BM3533" s="5" t="s">
        <v>238</v>
      </c>
      <c r="BN3533" s="5" t="s">
        <v>238</v>
      </c>
      <c r="BO3533" s="5" t="s">
        <v>238</v>
      </c>
      <c r="BP3533" s="5" t="s">
        <v>238</v>
      </c>
      <c r="BQ3533" s="5" t="s">
        <v>238</v>
      </c>
      <c r="BR3533" s="5" t="s">
        <v>238</v>
      </c>
      <c r="BS3533" s="5" t="s">
        <v>238</v>
      </c>
      <c r="BT3533" s="6" t="s">
        <v>238</v>
      </c>
      <c r="BU3533" s="5" t="s">
        <v>238</v>
      </c>
      <c r="BV3533" s="5" t="s">
        <v>238</v>
      </c>
      <c r="BW3533" s="5" t="s">
        <v>238</v>
      </c>
      <c r="BX3533" s="5" t="s">
        <v>254</v>
      </c>
      <c r="BY3533" s="5" t="s">
        <v>238</v>
      </c>
      <c r="BZ3533" s="5" t="s">
        <v>238</v>
      </c>
      <c r="CA3533" s="5" t="s">
        <v>238</v>
      </c>
      <c r="CB3533" s="5" t="s">
        <v>238</v>
      </c>
      <c r="CC3533" s="5" t="s">
        <v>238</v>
      </c>
      <c r="CD3533" s="5" t="s">
        <v>273</v>
      </c>
      <c r="CE3533" s="5" t="s">
        <v>256</v>
      </c>
      <c r="CF3533" s="5" t="s">
        <v>238</v>
      </c>
      <c r="CH3533" s="5" t="s">
        <v>494</v>
      </c>
      <c r="CI3533" s="6" t="s">
        <v>257</v>
      </c>
      <c r="CJ3533" s="5" t="s">
        <v>495</v>
      </c>
      <c r="CK3533" s="5" t="s">
        <v>258</v>
      </c>
      <c r="CL3533" s="5" t="s">
        <v>496</v>
      </c>
      <c r="CM3533" s="5" t="s">
        <v>238</v>
      </c>
      <c r="CN3533" s="5">
        <v>0</v>
      </c>
      <c r="CO3533" s="5" t="s">
        <v>497</v>
      </c>
      <c r="CP3533" s="5" t="s">
        <v>260</v>
      </c>
      <c r="CQ3533" s="5" t="s">
        <v>260</v>
      </c>
      <c r="CR3533" s="5" t="s">
        <v>261</v>
      </c>
      <c r="CS3533" s="5" t="s">
        <v>498</v>
      </c>
      <c r="CT3533" s="7">
        <f>1</f>
        <v>1</v>
      </c>
      <c r="CU3533" s="8">
        <f>1</f>
        <v>1</v>
      </c>
      <c r="CV3533" s="8">
        <f>0</f>
        <v>0</v>
      </c>
      <c r="CX3533" s="8">
        <f>1</f>
        <v>1</v>
      </c>
      <c r="CY3533" s="8">
        <f>1</f>
        <v>1</v>
      </c>
      <c r="CZ3533" s="8" t="s">
        <v>238</v>
      </c>
      <c r="DA3533" s="5" t="s">
        <v>238</v>
      </c>
      <c r="DB3533" s="5" t="s">
        <v>238</v>
      </c>
      <c r="DC3533" s="5" t="s">
        <v>238</v>
      </c>
      <c r="DD3533" s="5" t="s">
        <v>238</v>
      </c>
      <c r="DE3533" s="8">
        <f>0</f>
        <v>0</v>
      </c>
      <c r="DG3533" s="5" t="s">
        <v>238</v>
      </c>
      <c r="DH3533" s="5" t="s">
        <v>238</v>
      </c>
      <c r="DI3533" s="5" t="s">
        <v>238</v>
      </c>
      <c r="DJ3533" s="5" t="s">
        <v>238</v>
      </c>
      <c r="DK3533" s="5" t="s">
        <v>238</v>
      </c>
      <c r="DL3533" s="5" t="s">
        <v>238</v>
      </c>
      <c r="DM3533" s="8" t="s">
        <v>238</v>
      </c>
      <c r="DN3533" s="5" t="s">
        <v>238</v>
      </c>
      <c r="DO3533" s="5" t="s">
        <v>238</v>
      </c>
      <c r="DP3533" s="5" t="s">
        <v>490</v>
      </c>
      <c r="DQ3533" s="5" t="s">
        <v>490</v>
      </c>
      <c r="DR3533" s="5" t="s">
        <v>238</v>
      </c>
      <c r="DS3533" s="5" t="s">
        <v>238</v>
      </c>
      <c r="DT3533" s="5" t="s">
        <v>500</v>
      </c>
      <c r="DU3533" s="5" t="s">
        <v>1060</v>
      </c>
      <c r="DV3533" s="5" t="s">
        <v>238</v>
      </c>
      <c r="DW3533" s="5" t="s">
        <v>238</v>
      </c>
      <c r="DX3533" s="5" t="s">
        <v>238</v>
      </c>
      <c r="DY3533" s="5" t="s">
        <v>238</v>
      </c>
      <c r="DZ3533" s="5" t="s">
        <v>238</v>
      </c>
      <c r="EA3533" s="5" t="s">
        <v>238</v>
      </c>
      <c r="EB3533" s="5" t="s">
        <v>238</v>
      </c>
      <c r="EC3533" s="5" t="s">
        <v>238</v>
      </c>
      <c r="ED3533" s="5" t="s">
        <v>238</v>
      </c>
      <c r="EE3533" s="5" t="s">
        <v>238</v>
      </c>
      <c r="EF3533" s="5" t="s">
        <v>238</v>
      </c>
      <c r="EG3533" s="5" t="s">
        <v>238</v>
      </c>
      <c r="EH3533" s="5" t="s">
        <v>238</v>
      </c>
      <c r="EI3533" s="5" t="s">
        <v>238</v>
      </c>
      <c r="EJ3533" s="5" t="s">
        <v>238</v>
      </c>
      <c r="EK3533" s="5" t="s">
        <v>238</v>
      </c>
      <c r="EL3533" s="5" t="s">
        <v>238</v>
      </c>
      <c r="EM3533" s="5" t="s">
        <v>238</v>
      </c>
      <c r="EN3533" s="5" t="s">
        <v>238</v>
      </c>
      <c r="EO3533" s="5" t="s">
        <v>238</v>
      </c>
      <c r="EP3533" s="5" t="s">
        <v>238</v>
      </c>
      <c r="EQ3533" s="5" t="s">
        <v>238</v>
      </c>
      <c r="ER3533" s="5" t="s">
        <v>238</v>
      </c>
      <c r="ES3533" s="5" t="s">
        <v>238</v>
      </c>
      <c r="ET3533" s="5" t="s">
        <v>238</v>
      </c>
      <c r="EU3533" s="5" t="s">
        <v>238</v>
      </c>
      <c r="EV3533" s="5" t="s">
        <v>238</v>
      </c>
      <c r="EW3533" s="5" t="s">
        <v>238</v>
      </c>
      <c r="EX3533" s="5" t="s">
        <v>238</v>
      </c>
      <c r="EY3533" s="5" t="s">
        <v>238</v>
      </c>
      <c r="EZ3533" s="5" t="s">
        <v>238</v>
      </c>
      <c r="FA3533" s="5" t="s">
        <v>238</v>
      </c>
      <c r="FB3533" s="5" t="s">
        <v>238</v>
      </c>
      <c r="FC3533" s="5" t="s">
        <v>238</v>
      </c>
      <c r="FD3533" s="5" t="s">
        <v>238</v>
      </c>
      <c r="FE3533" s="5" t="s">
        <v>238</v>
      </c>
      <c r="FF3533" s="5" t="s">
        <v>238</v>
      </c>
      <c r="FG3533" s="5" t="s">
        <v>238</v>
      </c>
      <c r="FH3533" s="5" t="s">
        <v>238</v>
      </c>
      <c r="FI3533" s="5" t="s">
        <v>238</v>
      </c>
      <c r="FJ3533" s="5" t="s">
        <v>238</v>
      </c>
      <c r="FK3533" s="5" t="s">
        <v>238</v>
      </c>
      <c r="FL3533" s="5" t="s">
        <v>238</v>
      </c>
      <c r="FM3533" s="5" t="s">
        <v>238</v>
      </c>
      <c r="FN3533" s="5" t="s">
        <v>238</v>
      </c>
      <c r="FO3533" s="5" t="s">
        <v>238</v>
      </c>
      <c r="FP3533" s="5" t="s">
        <v>238</v>
      </c>
      <c r="FQ3533" s="5" t="s">
        <v>238</v>
      </c>
      <c r="FR3533" s="5" t="s">
        <v>238</v>
      </c>
      <c r="FS3533" s="5" t="s">
        <v>238</v>
      </c>
      <c r="FT3533" s="5" t="s">
        <v>238</v>
      </c>
      <c r="FU3533" s="5" t="s">
        <v>238</v>
      </c>
      <c r="FV3533" s="5" t="s">
        <v>238</v>
      </c>
      <c r="FW3533" s="5" t="s">
        <v>238</v>
      </c>
      <c r="FX3533" s="5" t="s">
        <v>238</v>
      </c>
      <c r="FY3533" s="5" t="s">
        <v>238</v>
      </c>
      <c r="FZ3533" s="5" t="s">
        <v>238</v>
      </c>
      <c r="GA3533" s="5" t="s">
        <v>238</v>
      </c>
      <c r="GB3533" s="5" t="s">
        <v>238</v>
      </c>
      <c r="GC3533" s="5" t="s">
        <v>238</v>
      </c>
      <c r="GD3533" s="5" t="s">
        <v>238</v>
      </c>
      <c r="GE3533" s="5" t="s">
        <v>238</v>
      </c>
      <c r="GF3533" s="5" t="s">
        <v>238</v>
      </c>
      <c r="GG3533" s="5" t="s">
        <v>238</v>
      </c>
      <c r="GH3533" s="5" t="s">
        <v>238</v>
      </c>
      <c r="GI3533" s="5" t="s">
        <v>238</v>
      </c>
      <c r="GJ3533" s="5" t="s">
        <v>238</v>
      </c>
      <c r="GK3533" s="5" t="s">
        <v>238</v>
      </c>
      <c r="GL3533" s="5" t="s">
        <v>238</v>
      </c>
      <c r="GM3533" s="5" t="s">
        <v>238</v>
      </c>
      <c r="GN3533" s="5" t="s">
        <v>238</v>
      </c>
      <c r="GO3533" s="5" t="s">
        <v>238</v>
      </c>
      <c r="GP3533" s="5" t="s">
        <v>238</v>
      </c>
      <c r="GQ3533" s="5" t="s">
        <v>238</v>
      </c>
      <c r="GR3533" s="5" t="s">
        <v>238</v>
      </c>
      <c r="GS3533" s="5" t="s">
        <v>238</v>
      </c>
      <c r="GT3533" s="5" t="s">
        <v>238</v>
      </c>
      <c r="GU3533" s="5" t="s">
        <v>238</v>
      </c>
      <c r="GV3533" s="5" t="s">
        <v>238</v>
      </c>
      <c r="GW3533" s="5" t="s">
        <v>238</v>
      </c>
      <c r="GX3533" s="5" t="s">
        <v>238</v>
      </c>
      <c r="GY3533" s="5" t="s">
        <v>238</v>
      </c>
      <c r="GZ3533" s="5" t="s">
        <v>238</v>
      </c>
      <c r="HA3533" s="5" t="s">
        <v>238</v>
      </c>
      <c r="HB3533" s="5" t="s">
        <v>238</v>
      </c>
      <c r="HC3533" s="5" t="s">
        <v>238</v>
      </c>
      <c r="HD3533" s="5" t="s">
        <v>238</v>
      </c>
      <c r="HE3533" s="5" t="s">
        <v>238</v>
      </c>
      <c r="HF3533" s="5" t="s">
        <v>238</v>
      </c>
      <c r="HG3533" s="5" t="s">
        <v>238</v>
      </c>
      <c r="HH3533" s="5" t="s">
        <v>238</v>
      </c>
      <c r="HI3533" s="5" t="s">
        <v>238</v>
      </c>
      <c r="HJ3533" s="5" t="s">
        <v>238</v>
      </c>
      <c r="HK3533" s="5" t="s">
        <v>238</v>
      </c>
      <c r="HL3533" s="5" t="s">
        <v>238</v>
      </c>
      <c r="HM3533" s="5" t="s">
        <v>264</v>
      </c>
      <c r="HN3533" s="5" t="s">
        <v>238</v>
      </c>
      <c r="HO3533" s="5" t="s">
        <v>238</v>
      </c>
      <c r="HP3533" s="5" t="s">
        <v>238</v>
      </c>
      <c r="HQ3533" s="5" t="s">
        <v>238</v>
      </c>
      <c r="HR3533" s="5" t="s">
        <v>238</v>
      </c>
      <c r="HS3533" s="5" t="s">
        <v>238</v>
      </c>
      <c r="HT3533" s="5" t="s">
        <v>238</v>
      </c>
      <c r="HU3533" s="5" t="s">
        <v>238</v>
      </c>
      <c r="HV3533" s="5" t="s">
        <v>238</v>
      </c>
      <c r="HW3533" s="5" t="s">
        <v>238</v>
      </c>
      <c r="HX3533" s="5" t="s">
        <v>238</v>
      </c>
      <c r="HY3533" s="5" t="s">
        <v>238</v>
      </c>
      <c r="HZ3533" s="5" t="s">
        <v>238</v>
      </c>
      <c r="IA3533" s="5" t="s">
        <v>238</v>
      </c>
      <c r="IB3533" s="5" t="s">
        <v>238</v>
      </c>
      <c r="IC3533" s="5" t="s">
        <v>238</v>
      </c>
      <c r="ID3533" s="5" t="s">
        <v>238</v>
      </c>
    </row>
    <row r="3534" spans="1:238" x14ac:dyDescent="0.4">
      <c r="A3534" s="5">
        <v>9252</v>
      </c>
      <c r="B3534" s="5">
        <v>1</v>
      </c>
      <c r="C3534" s="5">
        <v>1</v>
      </c>
      <c r="D3534" s="5" t="s">
        <v>484</v>
      </c>
      <c r="E3534" s="5" t="s">
        <v>485</v>
      </c>
      <c r="F3534" s="5" t="s">
        <v>248</v>
      </c>
      <c r="G3534" s="5" t="s">
        <v>4402</v>
      </c>
      <c r="H3534" s="6" t="s">
        <v>4403</v>
      </c>
      <c r="I3534" s="8">
        <f>1</f>
        <v>1</v>
      </c>
      <c r="J3534" s="5" t="s">
        <v>499</v>
      </c>
      <c r="K3534" s="8">
        <f>1</f>
        <v>1</v>
      </c>
      <c r="L3534" s="6" t="s">
        <v>242</v>
      </c>
      <c r="M3534" s="5" t="s">
        <v>267</v>
      </c>
      <c r="N3534" s="5" t="s">
        <v>482</v>
      </c>
      <c r="O3534" s="5" t="s">
        <v>238</v>
      </c>
      <c r="P3534" s="5" t="s">
        <v>238</v>
      </c>
      <c r="Q3534" s="5" t="s">
        <v>239</v>
      </c>
      <c r="R3534" s="5" t="s">
        <v>270</v>
      </c>
      <c r="S3534" s="5" t="s">
        <v>238</v>
      </c>
      <c r="T3534" s="5" t="s">
        <v>238</v>
      </c>
      <c r="U3534" s="5" t="s">
        <v>238</v>
      </c>
      <c r="V3534" s="5" t="s">
        <v>238</v>
      </c>
      <c r="W3534" s="6" t="s">
        <v>238</v>
      </c>
      <c r="X3534" s="6" t="s">
        <v>238</v>
      </c>
      <c r="Y3534" s="5" t="s">
        <v>238</v>
      </c>
      <c r="Z3534" s="6" t="s">
        <v>238</v>
      </c>
      <c r="AA3534" s="6" t="s">
        <v>243</v>
      </c>
      <c r="AB3534" s="5" t="s">
        <v>486</v>
      </c>
      <c r="AC3534" s="5" t="s">
        <v>244</v>
      </c>
      <c r="AD3534" s="5" t="s">
        <v>245</v>
      </c>
      <c r="AE3534" s="5" t="s">
        <v>238</v>
      </c>
      <c r="AF3534" s="5" t="s">
        <v>238</v>
      </c>
      <c r="AG3534" s="5" t="s">
        <v>238</v>
      </c>
      <c r="AH3534" s="5" t="s">
        <v>238</v>
      </c>
      <c r="AI3534" s="5" t="s">
        <v>238</v>
      </c>
      <c r="AJ3534" s="5" t="s">
        <v>238</v>
      </c>
      <c r="AK3534" s="5" t="s">
        <v>238</v>
      </c>
      <c r="AL3534" s="5" t="s">
        <v>238</v>
      </c>
      <c r="AM3534" s="6" t="s">
        <v>238</v>
      </c>
      <c r="AN3534" s="6" t="s">
        <v>238</v>
      </c>
      <c r="AO3534" s="6" t="s">
        <v>238</v>
      </c>
      <c r="AP3534" s="6" t="s">
        <v>238</v>
      </c>
      <c r="AQ3534" s="5" t="s">
        <v>238</v>
      </c>
      <c r="AR3534" s="5" t="s">
        <v>488</v>
      </c>
      <c r="AS3534" s="5" t="s">
        <v>488</v>
      </c>
      <c r="AT3534" s="5" t="s">
        <v>246</v>
      </c>
      <c r="AU3534" s="5" t="s">
        <v>489</v>
      </c>
      <c r="AV3534" s="5" t="s">
        <v>247</v>
      </c>
      <c r="AW3534" s="5" t="s">
        <v>238</v>
      </c>
      <c r="AX3534" s="5" t="s">
        <v>249</v>
      </c>
      <c r="AY3534" s="5" t="s">
        <v>490</v>
      </c>
      <c r="BA3534" s="5" t="s">
        <v>238</v>
      </c>
      <c r="BC3534" s="5" t="s">
        <v>491</v>
      </c>
      <c r="BD3534" s="6" t="s">
        <v>492</v>
      </c>
      <c r="BE3534" s="5" t="s">
        <v>493</v>
      </c>
      <c r="BF3534" s="5" t="s">
        <v>493</v>
      </c>
      <c r="BG3534" s="5" t="s">
        <v>238</v>
      </c>
      <c r="BH3534" s="8">
        <f>1</f>
        <v>1</v>
      </c>
      <c r="BI3534" s="8">
        <f>1</f>
        <v>1</v>
      </c>
      <c r="BJ3534" s="5" t="s">
        <v>253</v>
      </c>
      <c r="BK3534" s="5" t="s">
        <v>254</v>
      </c>
      <c r="BL3534" s="5" t="s">
        <v>238</v>
      </c>
      <c r="BM3534" s="5" t="s">
        <v>238</v>
      </c>
      <c r="BN3534" s="5" t="s">
        <v>238</v>
      </c>
      <c r="BO3534" s="5" t="s">
        <v>238</v>
      </c>
      <c r="BP3534" s="5" t="s">
        <v>238</v>
      </c>
      <c r="BQ3534" s="5" t="s">
        <v>238</v>
      </c>
      <c r="BR3534" s="5" t="s">
        <v>238</v>
      </c>
      <c r="BS3534" s="5" t="s">
        <v>238</v>
      </c>
      <c r="BT3534" s="6" t="s">
        <v>238</v>
      </c>
      <c r="BU3534" s="5" t="s">
        <v>238</v>
      </c>
      <c r="BV3534" s="5" t="s">
        <v>238</v>
      </c>
      <c r="BW3534" s="5" t="s">
        <v>238</v>
      </c>
      <c r="BX3534" s="5" t="s">
        <v>254</v>
      </c>
      <c r="BY3534" s="5" t="s">
        <v>238</v>
      </c>
      <c r="BZ3534" s="5" t="s">
        <v>238</v>
      </c>
      <c r="CA3534" s="5" t="s">
        <v>238</v>
      </c>
      <c r="CB3534" s="5" t="s">
        <v>238</v>
      </c>
      <c r="CC3534" s="5" t="s">
        <v>238</v>
      </c>
      <c r="CD3534" s="5" t="s">
        <v>273</v>
      </c>
      <c r="CE3534" s="5" t="s">
        <v>256</v>
      </c>
      <c r="CF3534" s="5" t="s">
        <v>238</v>
      </c>
      <c r="CH3534" s="5" t="s">
        <v>494</v>
      </c>
      <c r="CI3534" s="6" t="s">
        <v>257</v>
      </c>
      <c r="CJ3534" s="5" t="s">
        <v>495</v>
      </c>
      <c r="CK3534" s="5" t="s">
        <v>258</v>
      </c>
      <c r="CL3534" s="5" t="s">
        <v>496</v>
      </c>
      <c r="CM3534" s="5" t="s">
        <v>238</v>
      </c>
      <c r="CN3534" s="5">
        <v>0</v>
      </c>
      <c r="CO3534" s="5" t="s">
        <v>497</v>
      </c>
      <c r="CP3534" s="5" t="s">
        <v>260</v>
      </c>
      <c r="CQ3534" s="5" t="s">
        <v>260</v>
      </c>
      <c r="CR3534" s="5" t="s">
        <v>261</v>
      </c>
      <c r="CS3534" s="5" t="s">
        <v>498</v>
      </c>
      <c r="CT3534" s="7">
        <f>1</f>
        <v>1</v>
      </c>
      <c r="CU3534" s="8">
        <f>1</f>
        <v>1</v>
      </c>
      <c r="CV3534" s="8">
        <f>0</f>
        <v>0</v>
      </c>
      <c r="CX3534" s="8">
        <f>1</f>
        <v>1</v>
      </c>
      <c r="CY3534" s="8">
        <f>1</f>
        <v>1</v>
      </c>
      <c r="CZ3534" s="8" t="s">
        <v>238</v>
      </c>
      <c r="DA3534" s="5" t="s">
        <v>238</v>
      </c>
      <c r="DB3534" s="5" t="s">
        <v>238</v>
      </c>
      <c r="DC3534" s="5" t="s">
        <v>238</v>
      </c>
      <c r="DD3534" s="5" t="s">
        <v>238</v>
      </c>
      <c r="DE3534" s="8">
        <f>0</f>
        <v>0</v>
      </c>
      <c r="DG3534" s="5" t="s">
        <v>238</v>
      </c>
      <c r="DH3534" s="5" t="s">
        <v>238</v>
      </c>
      <c r="DI3534" s="5" t="s">
        <v>238</v>
      </c>
      <c r="DJ3534" s="5" t="s">
        <v>238</v>
      </c>
      <c r="DK3534" s="5" t="s">
        <v>238</v>
      </c>
      <c r="DL3534" s="5" t="s">
        <v>238</v>
      </c>
      <c r="DM3534" s="8" t="s">
        <v>238</v>
      </c>
      <c r="DN3534" s="5" t="s">
        <v>238</v>
      </c>
      <c r="DO3534" s="5" t="s">
        <v>238</v>
      </c>
      <c r="DP3534" s="5" t="s">
        <v>490</v>
      </c>
      <c r="DQ3534" s="5" t="s">
        <v>490</v>
      </c>
      <c r="DR3534" s="5" t="s">
        <v>238</v>
      </c>
      <c r="DS3534" s="5" t="s">
        <v>238</v>
      </c>
      <c r="DT3534" s="5" t="s">
        <v>500</v>
      </c>
      <c r="DU3534" s="5" t="s">
        <v>793</v>
      </c>
      <c r="DV3534" s="5" t="s">
        <v>238</v>
      </c>
      <c r="DW3534" s="5" t="s">
        <v>238</v>
      </c>
      <c r="DX3534" s="5" t="s">
        <v>238</v>
      </c>
      <c r="DY3534" s="5" t="s">
        <v>238</v>
      </c>
      <c r="DZ3534" s="5" t="s">
        <v>238</v>
      </c>
      <c r="EA3534" s="5" t="s">
        <v>238</v>
      </c>
      <c r="EB3534" s="5" t="s">
        <v>238</v>
      </c>
      <c r="EC3534" s="5" t="s">
        <v>238</v>
      </c>
      <c r="ED3534" s="5" t="s">
        <v>238</v>
      </c>
      <c r="EE3534" s="5" t="s">
        <v>238</v>
      </c>
      <c r="EF3534" s="5" t="s">
        <v>238</v>
      </c>
      <c r="EG3534" s="5" t="s">
        <v>238</v>
      </c>
      <c r="EH3534" s="5" t="s">
        <v>238</v>
      </c>
      <c r="EI3534" s="5" t="s">
        <v>238</v>
      </c>
      <c r="EJ3534" s="5" t="s">
        <v>238</v>
      </c>
      <c r="EK3534" s="5" t="s">
        <v>238</v>
      </c>
      <c r="EL3534" s="5" t="s">
        <v>238</v>
      </c>
      <c r="EM3534" s="5" t="s">
        <v>238</v>
      </c>
      <c r="EN3534" s="5" t="s">
        <v>238</v>
      </c>
      <c r="EO3534" s="5" t="s">
        <v>238</v>
      </c>
      <c r="EP3534" s="5" t="s">
        <v>238</v>
      </c>
      <c r="EQ3534" s="5" t="s">
        <v>238</v>
      </c>
      <c r="ER3534" s="5" t="s">
        <v>238</v>
      </c>
      <c r="ES3534" s="5" t="s">
        <v>238</v>
      </c>
      <c r="ET3534" s="5" t="s">
        <v>238</v>
      </c>
      <c r="EU3534" s="5" t="s">
        <v>238</v>
      </c>
      <c r="EV3534" s="5" t="s">
        <v>238</v>
      </c>
      <c r="EW3534" s="5" t="s">
        <v>238</v>
      </c>
      <c r="EX3534" s="5" t="s">
        <v>238</v>
      </c>
      <c r="EY3534" s="5" t="s">
        <v>238</v>
      </c>
      <c r="EZ3534" s="5" t="s">
        <v>238</v>
      </c>
      <c r="FA3534" s="5" t="s">
        <v>238</v>
      </c>
      <c r="FB3534" s="5" t="s">
        <v>238</v>
      </c>
      <c r="FC3534" s="5" t="s">
        <v>238</v>
      </c>
      <c r="FD3534" s="5" t="s">
        <v>238</v>
      </c>
      <c r="FE3534" s="5" t="s">
        <v>238</v>
      </c>
      <c r="FF3534" s="5" t="s">
        <v>238</v>
      </c>
      <c r="FG3534" s="5" t="s">
        <v>238</v>
      </c>
      <c r="FH3534" s="5" t="s">
        <v>238</v>
      </c>
      <c r="FI3534" s="5" t="s">
        <v>238</v>
      </c>
      <c r="FJ3534" s="5" t="s">
        <v>238</v>
      </c>
      <c r="FK3534" s="5" t="s">
        <v>238</v>
      </c>
      <c r="FL3534" s="5" t="s">
        <v>238</v>
      </c>
      <c r="FM3534" s="5" t="s">
        <v>238</v>
      </c>
      <c r="FN3534" s="5" t="s">
        <v>238</v>
      </c>
      <c r="FO3534" s="5" t="s">
        <v>238</v>
      </c>
      <c r="FP3534" s="5" t="s">
        <v>238</v>
      </c>
      <c r="FQ3534" s="5" t="s">
        <v>238</v>
      </c>
      <c r="FR3534" s="5" t="s">
        <v>238</v>
      </c>
      <c r="FS3534" s="5" t="s">
        <v>238</v>
      </c>
      <c r="FT3534" s="5" t="s">
        <v>238</v>
      </c>
      <c r="FU3534" s="5" t="s">
        <v>238</v>
      </c>
      <c r="FV3534" s="5" t="s">
        <v>238</v>
      </c>
      <c r="FW3534" s="5" t="s">
        <v>238</v>
      </c>
      <c r="FX3534" s="5" t="s">
        <v>238</v>
      </c>
      <c r="FY3534" s="5" t="s">
        <v>238</v>
      </c>
      <c r="FZ3534" s="5" t="s">
        <v>238</v>
      </c>
      <c r="GA3534" s="5" t="s">
        <v>238</v>
      </c>
      <c r="GB3534" s="5" t="s">
        <v>238</v>
      </c>
      <c r="GC3534" s="5" t="s">
        <v>238</v>
      </c>
      <c r="GD3534" s="5" t="s">
        <v>238</v>
      </c>
      <c r="GE3534" s="5" t="s">
        <v>238</v>
      </c>
      <c r="GF3534" s="5" t="s">
        <v>238</v>
      </c>
      <c r="GG3534" s="5" t="s">
        <v>238</v>
      </c>
      <c r="GH3534" s="5" t="s">
        <v>238</v>
      </c>
      <c r="GI3534" s="5" t="s">
        <v>238</v>
      </c>
      <c r="GJ3534" s="5" t="s">
        <v>238</v>
      </c>
      <c r="GK3534" s="5" t="s">
        <v>238</v>
      </c>
      <c r="GL3534" s="5" t="s">
        <v>238</v>
      </c>
      <c r="GM3534" s="5" t="s">
        <v>238</v>
      </c>
      <c r="GN3534" s="5" t="s">
        <v>238</v>
      </c>
      <c r="GO3534" s="5" t="s">
        <v>238</v>
      </c>
      <c r="GP3534" s="5" t="s">
        <v>238</v>
      </c>
      <c r="GQ3534" s="5" t="s">
        <v>238</v>
      </c>
      <c r="GR3534" s="5" t="s">
        <v>238</v>
      </c>
      <c r="GS3534" s="5" t="s">
        <v>238</v>
      </c>
      <c r="GT3534" s="5" t="s">
        <v>238</v>
      </c>
      <c r="GU3534" s="5" t="s">
        <v>238</v>
      </c>
      <c r="GV3534" s="5" t="s">
        <v>238</v>
      </c>
      <c r="GW3534" s="5" t="s">
        <v>238</v>
      </c>
      <c r="GX3534" s="5" t="s">
        <v>238</v>
      </c>
      <c r="GY3534" s="5" t="s">
        <v>238</v>
      </c>
      <c r="GZ3534" s="5" t="s">
        <v>238</v>
      </c>
      <c r="HA3534" s="5" t="s">
        <v>238</v>
      </c>
      <c r="HB3534" s="5" t="s">
        <v>238</v>
      </c>
      <c r="HC3534" s="5" t="s">
        <v>238</v>
      </c>
      <c r="HD3534" s="5" t="s">
        <v>238</v>
      </c>
      <c r="HE3534" s="5" t="s">
        <v>238</v>
      </c>
      <c r="HF3534" s="5" t="s">
        <v>238</v>
      </c>
      <c r="HG3534" s="5" t="s">
        <v>238</v>
      </c>
      <c r="HH3534" s="5" t="s">
        <v>238</v>
      </c>
      <c r="HI3534" s="5" t="s">
        <v>238</v>
      </c>
      <c r="HJ3534" s="5" t="s">
        <v>238</v>
      </c>
      <c r="HK3534" s="5" t="s">
        <v>238</v>
      </c>
      <c r="HL3534" s="5" t="s">
        <v>238</v>
      </c>
      <c r="HM3534" s="5" t="s">
        <v>264</v>
      </c>
      <c r="HN3534" s="5" t="s">
        <v>238</v>
      </c>
      <c r="HO3534" s="5" t="s">
        <v>238</v>
      </c>
      <c r="HP3534" s="5" t="s">
        <v>238</v>
      </c>
      <c r="HQ3534" s="5" t="s">
        <v>238</v>
      </c>
      <c r="HR3534" s="5" t="s">
        <v>238</v>
      </c>
      <c r="HS3534" s="5" t="s">
        <v>238</v>
      </c>
      <c r="HT3534" s="5" t="s">
        <v>238</v>
      </c>
      <c r="HU3534" s="5" t="s">
        <v>238</v>
      </c>
      <c r="HV3534" s="5" t="s">
        <v>238</v>
      </c>
      <c r="HW3534" s="5" t="s">
        <v>238</v>
      </c>
      <c r="HX3534" s="5" t="s">
        <v>238</v>
      </c>
      <c r="HY3534" s="5" t="s">
        <v>238</v>
      </c>
      <c r="HZ3534" s="5" t="s">
        <v>238</v>
      </c>
      <c r="IA3534" s="5" t="s">
        <v>238</v>
      </c>
      <c r="IB3534" s="5" t="s">
        <v>238</v>
      </c>
      <c r="IC3534" s="5" t="s">
        <v>238</v>
      </c>
      <c r="ID3534" s="5" t="s">
        <v>238</v>
      </c>
    </row>
    <row r="3535" spans="1:238" x14ac:dyDescent="0.4">
      <c r="A3535" s="5">
        <v>9253</v>
      </c>
      <c r="B3535" s="5">
        <v>1</v>
      </c>
      <c r="C3535" s="5">
        <v>1</v>
      </c>
      <c r="D3535" s="5" t="s">
        <v>484</v>
      </c>
      <c r="E3535" s="5" t="s">
        <v>485</v>
      </c>
      <c r="F3535" s="5" t="s">
        <v>248</v>
      </c>
      <c r="G3535" s="5" t="s">
        <v>3914</v>
      </c>
      <c r="H3535" s="6" t="s">
        <v>3915</v>
      </c>
      <c r="I3535" s="8">
        <f>1</f>
        <v>1</v>
      </c>
      <c r="J3535" s="5" t="s">
        <v>499</v>
      </c>
      <c r="K3535" s="8">
        <f>1</f>
        <v>1</v>
      </c>
      <c r="L3535" s="6" t="s">
        <v>242</v>
      </c>
      <c r="M3535" s="5" t="s">
        <v>267</v>
      </c>
      <c r="N3535" s="5" t="s">
        <v>482</v>
      </c>
      <c r="O3535" s="5" t="s">
        <v>238</v>
      </c>
      <c r="P3535" s="5" t="s">
        <v>238</v>
      </c>
      <c r="Q3535" s="5" t="s">
        <v>239</v>
      </c>
      <c r="R3535" s="5" t="s">
        <v>270</v>
      </c>
      <c r="S3535" s="5" t="s">
        <v>238</v>
      </c>
      <c r="T3535" s="5" t="s">
        <v>238</v>
      </c>
      <c r="U3535" s="5" t="s">
        <v>238</v>
      </c>
      <c r="V3535" s="5" t="s">
        <v>238</v>
      </c>
      <c r="W3535" s="6" t="s">
        <v>238</v>
      </c>
      <c r="X3535" s="6" t="s">
        <v>238</v>
      </c>
      <c r="Y3535" s="5" t="s">
        <v>238</v>
      </c>
      <c r="Z3535" s="6" t="s">
        <v>238</v>
      </c>
      <c r="AA3535" s="6" t="s">
        <v>243</v>
      </c>
      <c r="AB3535" s="5" t="s">
        <v>486</v>
      </c>
      <c r="AC3535" s="5" t="s">
        <v>244</v>
      </c>
      <c r="AD3535" s="5" t="s">
        <v>245</v>
      </c>
      <c r="AE3535" s="5" t="s">
        <v>238</v>
      </c>
      <c r="AF3535" s="5" t="s">
        <v>238</v>
      </c>
      <c r="AG3535" s="5" t="s">
        <v>238</v>
      </c>
      <c r="AH3535" s="5" t="s">
        <v>238</v>
      </c>
      <c r="AI3535" s="5" t="s">
        <v>238</v>
      </c>
      <c r="AJ3535" s="5" t="s">
        <v>238</v>
      </c>
      <c r="AK3535" s="5" t="s">
        <v>238</v>
      </c>
      <c r="AL3535" s="5" t="s">
        <v>238</v>
      </c>
      <c r="AM3535" s="6" t="s">
        <v>238</v>
      </c>
      <c r="AN3535" s="6" t="s">
        <v>238</v>
      </c>
      <c r="AO3535" s="6" t="s">
        <v>238</v>
      </c>
      <c r="AP3535" s="6" t="s">
        <v>238</v>
      </c>
      <c r="AQ3535" s="5" t="s">
        <v>238</v>
      </c>
      <c r="AR3535" s="5" t="s">
        <v>488</v>
      </c>
      <c r="AS3535" s="5" t="s">
        <v>488</v>
      </c>
      <c r="AT3535" s="5" t="s">
        <v>246</v>
      </c>
      <c r="AU3535" s="5" t="s">
        <v>489</v>
      </c>
      <c r="AV3535" s="5" t="s">
        <v>247</v>
      </c>
      <c r="AW3535" s="5" t="s">
        <v>238</v>
      </c>
      <c r="AX3535" s="5" t="s">
        <v>249</v>
      </c>
      <c r="AY3535" s="5" t="s">
        <v>490</v>
      </c>
      <c r="BA3535" s="5" t="s">
        <v>238</v>
      </c>
      <c r="BC3535" s="5" t="s">
        <v>491</v>
      </c>
      <c r="BD3535" s="6" t="s">
        <v>492</v>
      </c>
      <c r="BE3535" s="5" t="s">
        <v>493</v>
      </c>
      <c r="BF3535" s="5" t="s">
        <v>493</v>
      </c>
      <c r="BG3535" s="5" t="s">
        <v>238</v>
      </c>
      <c r="BH3535" s="8">
        <f>1</f>
        <v>1</v>
      </c>
      <c r="BI3535" s="8">
        <f>1</f>
        <v>1</v>
      </c>
      <c r="BJ3535" s="5" t="s">
        <v>253</v>
      </c>
      <c r="BK3535" s="5" t="s">
        <v>254</v>
      </c>
      <c r="BL3535" s="5" t="s">
        <v>238</v>
      </c>
      <c r="BM3535" s="5" t="s">
        <v>238</v>
      </c>
      <c r="BN3535" s="5" t="s">
        <v>238</v>
      </c>
      <c r="BO3535" s="5" t="s">
        <v>238</v>
      </c>
      <c r="BP3535" s="5" t="s">
        <v>238</v>
      </c>
      <c r="BQ3535" s="5" t="s">
        <v>238</v>
      </c>
      <c r="BR3535" s="5" t="s">
        <v>238</v>
      </c>
      <c r="BS3535" s="5" t="s">
        <v>238</v>
      </c>
      <c r="BT3535" s="6" t="s">
        <v>238</v>
      </c>
      <c r="BU3535" s="5" t="s">
        <v>238</v>
      </c>
      <c r="BV3535" s="5" t="s">
        <v>238</v>
      </c>
      <c r="BW3535" s="5" t="s">
        <v>238</v>
      </c>
      <c r="BX3535" s="5" t="s">
        <v>254</v>
      </c>
      <c r="BY3535" s="5" t="s">
        <v>238</v>
      </c>
      <c r="BZ3535" s="5" t="s">
        <v>238</v>
      </c>
      <c r="CA3535" s="5" t="s">
        <v>238</v>
      </c>
      <c r="CB3535" s="5" t="s">
        <v>238</v>
      </c>
      <c r="CC3535" s="5" t="s">
        <v>238</v>
      </c>
      <c r="CD3535" s="5" t="s">
        <v>273</v>
      </c>
      <c r="CE3535" s="5" t="s">
        <v>256</v>
      </c>
      <c r="CF3535" s="5" t="s">
        <v>238</v>
      </c>
      <c r="CH3535" s="5" t="s">
        <v>494</v>
      </c>
      <c r="CI3535" s="6" t="s">
        <v>257</v>
      </c>
      <c r="CJ3535" s="5" t="s">
        <v>495</v>
      </c>
      <c r="CK3535" s="5" t="s">
        <v>258</v>
      </c>
      <c r="CL3535" s="5" t="s">
        <v>496</v>
      </c>
      <c r="CM3535" s="5" t="s">
        <v>238</v>
      </c>
      <c r="CN3535" s="5">
        <v>0</v>
      </c>
      <c r="CO3535" s="5" t="s">
        <v>497</v>
      </c>
      <c r="CP3535" s="5" t="s">
        <v>260</v>
      </c>
      <c r="CQ3535" s="5" t="s">
        <v>260</v>
      </c>
      <c r="CR3535" s="5" t="s">
        <v>261</v>
      </c>
      <c r="CS3535" s="5" t="s">
        <v>498</v>
      </c>
      <c r="CT3535" s="7">
        <f>1</f>
        <v>1</v>
      </c>
      <c r="CU3535" s="8">
        <f>1</f>
        <v>1</v>
      </c>
      <c r="CV3535" s="8">
        <f>0</f>
        <v>0</v>
      </c>
      <c r="CX3535" s="8">
        <f>1</f>
        <v>1</v>
      </c>
      <c r="CY3535" s="8">
        <f>1</f>
        <v>1</v>
      </c>
      <c r="CZ3535" s="8" t="s">
        <v>238</v>
      </c>
      <c r="DA3535" s="5" t="s">
        <v>238</v>
      </c>
      <c r="DB3535" s="5" t="s">
        <v>238</v>
      </c>
      <c r="DC3535" s="5" t="s">
        <v>238</v>
      </c>
      <c r="DD3535" s="5" t="s">
        <v>238</v>
      </c>
      <c r="DE3535" s="8">
        <f>0</f>
        <v>0</v>
      </c>
      <c r="DG3535" s="5" t="s">
        <v>238</v>
      </c>
      <c r="DH3535" s="5" t="s">
        <v>238</v>
      </c>
      <c r="DI3535" s="5" t="s">
        <v>238</v>
      </c>
      <c r="DJ3535" s="5" t="s">
        <v>238</v>
      </c>
      <c r="DK3535" s="5" t="s">
        <v>238</v>
      </c>
      <c r="DL3535" s="5" t="s">
        <v>238</v>
      </c>
      <c r="DM3535" s="8" t="s">
        <v>238</v>
      </c>
      <c r="DN3535" s="5" t="s">
        <v>238</v>
      </c>
      <c r="DO3535" s="5" t="s">
        <v>238</v>
      </c>
      <c r="DP3535" s="5" t="s">
        <v>490</v>
      </c>
      <c r="DQ3535" s="5" t="s">
        <v>490</v>
      </c>
      <c r="DR3535" s="5" t="s">
        <v>238</v>
      </c>
      <c r="DS3535" s="5" t="s">
        <v>238</v>
      </c>
      <c r="DT3535" s="5" t="s">
        <v>500</v>
      </c>
      <c r="DU3535" s="5" t="s">
        <v>805</v>
      </c>
      <c r="DV3535" s="5" t="s">
        <v>238</v>
      </c>
      <c r="DW3535" s="5" t="s">
        <v>238</v>
      </c>
      <c r="DX3535" s="5" t="s">
        <v>238</v>
      </c>
      <c r="DY3535" s="5" t="s">
        <v>238</v>
      </c>
      <c r="DZ3535" s="5" t="s">
        <v>238</v>
      </c>
      <c r="EA3535" s="5" t="s">
        <v>238</v>
      </c>
      <c r="EB3535" s="5" t="s">
        <v>238</v>
      </c>
      <c r="EC3535" s="5" t="s">
        <v>238</v>
      </c>
      <c r="ED3535" s="5" t="s">
        <v>238</v>
      </c>
      <c r="EE3535" s="5" t="s">
        <v>238</v>
      </c>
      <c r="EF3535" s="5" t="s">
        <v>238</v>
      </c>
      <c r="EG3535" s="5" t="s">
        <v>238</v>
      </c>
      <c r="EH3535" s="5" t="s">
        <v>238</v>
      </c>
      <c r="EI3535" s="5" t="s">
        <v>238</v>
      </c>
      <c r="EJ3535" s="5" t="s">
        <v>238</v>
      </c>
      <c r="EK3535" s="5" t="s">
        <v>238</v>
      </c>
      <c r="EL3535" s="5" t="s">
        <v>238</v>
      </c>
      <c r="EM3535" s="5" t="s">
        <v>238</v>
      </c>
      <c r="EN3535" s="5" t="s">
        <v>238</v>
      </c>
      <c r="EO3535" s="5" t="s">
        <v>238</v>
      </c>
      <c r="EP3535" s="5" t="s">
        <v>238</v>
      </c>
      <c r="EQ3535" s="5" t="s">
        <v>238</v>
      </c>
      <c r="ER3535" s="5" t="s">
        <v>238</v>
      </c>
      <c r="ES3535" s="5" t="s">
        <v>238</v>
      </c>
      <c r="ET3535" s="5" t="s">
        <v>238</v>
      </c>
      <c r="EU3535" s="5" t="s">
        <v>238</v>
      </c>
      <c r="EV3535" s="5" t="s">
        <v>238</v>
      </c>
      <c r="EW3535" s="5" t="s">
        <v>238</v>
      </c>
      <c r="EX3535" s="5" t="s">
        <v>238</v>
      </c>
      <c r="EY3535" s="5" t="s">
        <v>238</v>
      </c>
      <c r="EZ3535" s="5" t="s">
        <v>238</v>
      </c>
      <c r="FA3535" s="5" t="s">
        <v>238</v>
      </c>
      <c r="FB3535" s="5" t="s">
        <v>238</v>
      </c>
      <c r="FC3535" s="5" t="s">
        <v>238</v>
      </c>
      <c r="FD3535" s="5" t="s">
        <v>238</v>
      </c>
      <c r="FE3535" s="5" t="s">
        <v>238</v>
      </c>
      <c r="FF3535" s="5" t="s">
        <v>238</v>
      </c>
      <c r="FG3535" s="5" t="s">
        <v>238</v>
      </c>
      <c r="FH3535" s="5" t="s">
        <v>238</v>
      </c>
      <c r="FI3535" s="5" t="s">
        <v>238</v>
      </c>
      <c r="FJ3535" s="5" t="s">
        <v>238</v>
      </c>
      <c r="FK3535" s="5" t="s">
        <v>238</v>
      </c>
      <c r="FL3535" s="5" t="s">
        <v>238</v>
      </c>
      <c r="FM3535" s="5" t="s">
        <v>238</v>
      </c>
      <c r="FN3535" s="5" t="s">
        <v>238</v>
      </c>
      <c r="FO3535" s="5" t="s">
        <v>238</v>
      </c>
      <c r="FP3535" s="5" t="s">
        <v>238</v>
      </c>
      <c r="FQ3535" s="5" t="s">
        <v>238</v>
      </c>
      <c r="FR3535" s="5" t="s">
        <v>238</v>
      </c>
      <c r="FS3535" s="5" t="s">
        <v>238</v>
      </c>
      <c r="FT3535" s="5" t="s">
        <v>238</v>
      </c>
      <c r="FU3535" s="5" t="s">
        <v>238</v>
      </c>
      <c r="FV3535" s="5" t="s">
        <v>238</v>
      </c>
      <c r="FW3535" s="5" t="s">
        <v>238</v>
      </c>
      <c r="FX3535" s="5" t="s">
        <v>238</v>
      </c>
      <c r="FY3535" s="5" t="s">
        <v>238</v>
      </c>
      <c r="FZ3535" s="5" t="s">
        <v>238</v>
      </c>
      <c r="GA3535" s="5" t="s">
        <v>238</v>
      </c>
      <c r="GB3535" s="5" t="s">
        <v>238</v>
      </c>
      <c r="GC3535" s="5" t="s">
        <v>238</v>
      </c>
      <c r="GD3535" s="5" t="s">
        <v>238</v>
      </c>
      <c r="GE3535" s="5" t="s">
        <v>238</v>
      </c>
      <c r="GF3535" s="5" t="s">
        <v>238</v>
      </c>
      <c r="GG3535" s="5" t="s">
        <v>238</v>
      </c>
      <c r="GH3535" s="5" t="s">
        <v>238</v>
      </c>
      <c r="GI3535" s="5" t="s">
        <v>238</v>
      </c>
      <c r="GJ3535" s="5" t="s">
        <v>238</v>
      </c>
      <c r="GK3535" s="5" t="s">
        <v>238</v>
      </c>
      <c r="GL3535" s="5" t="s">
        <v>238</v>
      </c>
      <c r="GM3535" s="5" t="s">
        <v>238</v>
      </c>
      <c r="GN3535" s="5" t="s">
        <v>238</v>
      </c>
      <c r="GO3535" s="5" t="s">
        <v>238</v>
      </c>
      <c r="GP3535" s="5" t="s">
        <v>238</v>
      </c>
      <c r="GQ3535" s="5" t="s">
        <v>238</v>
      </c>
      <c r="GR3535" s="5" t="s">
        <v>238</v>
      </c>
      <c r="GS3535" s="5" t="s">
        <v>238</v>
      </c>
      <c r="GT3535" s="5" t="s">
        <v>238</v>
      </c>
      <c r="GU3535" s="5" t="s">
        <v>238</v>
      </c>
      <c r="GV3535" s="5" t="s">
        <v>238</v>
      </c>
      <c r="GW3535" s="5" t="s">
        <v>238</v>
      </c>
      <c r="GX3535" s="5" t="s">
        <v>238</v>
      </c>
      <c r="GY3535" s="5" t="s">
        <v>238</v>
      </c>
      <c r="GZ3535" s="5" t="s">
        <v>238</v>
      </c>
      <c r="HA3535" s="5" t="s">
        <v>238</v>
      </c>
      <c r="HB3535" s="5" t="s">
        <v>238</v>
      </c>
      <c r="HC3535" s="5" t="s">
        <v>238</v>
      </c>
      <c r="HD3535" s="5" t="s">
        <v>238</v>
      </c>
      <c r="HE3535" s="5" t="s">
        <v>238</v>
      </c>
      <c r="HF3535" s="5" t="s">
        <v>238</v>
      </c>
      <c r="HG3535" s="5" t="s">
        <v>238</v>
      </c>
      <c r="HH3535" s="5" t="s">
        <v>238</v>
      </c>
      <c r="HI3535" s="5" t="s">
        <v>238</v>
      </c>
      <c r="HJ3535" s="5" t="s">
        <v>238</v>
      </c>
      <c r="HK3535" s="5" t="s">
        <v>238</v>
      </c>
      <c r="HL3535" s="5" t="s">
        <v>238</v>
      </c>
      <c r="HM3535" s="5" t="s">
        <v>264</v>
      </c>
      <c r="HN3535" s="5" t="s">
        <v>238</v>
      </c>
      <c r="HO3535" s="5" t="s">
        <v>238</v>
      </c>
      <c r="HP3535" s="5" t="s">
        <v>238</v>
      </c>
      <c r="HQ3535" s="5" t="s">
        <v>238</v>
      </c>
      <c r="HR3535" s="5" t="s">
        <v>238</v>
      </c>
      <c r="HS3535" s="5" t="s">
        <v>238</v>
      </c>
      <c r="HT3535" s="5" t="s">
        <v>238</v>
      </c>
      <c r="HU3535" s="5" t="s">
        <v>238</v>
      </c>
      <c r="HV3535" s="5" t="s">
        <v>238</v>
      </c>
      <c r="HW3535" s="5" t="s">
        <v>238</v>
      </c>
      <c r="HX3535" s="5" t="s">
        <v>238</v>
      </c>
      <c r="HY3535" s="5" t="s">
        <v>238</v>
      </c>
      <c r="HZ3535" s="5" t="s">
        <v>238</v>
      </c>
      <c r="IA3535" s="5" t="s">
        <v>238</v>
      </c>
      <c r="IB3535" s="5" t="s">
        <v>238</v>
      </c>
      <c r="IC3535" s="5" t="s">
        <v>238</v>
      </c>
      <c r="ID3535" s="5" t="s">
        <v>238</v>
      </c>
    </row>
    <row r="3536" spans="1:238" x14ac:dyDescent="0.4">
      <c r="A3536" s="5">
        <v>9254</v>
      </c>
      <c r="B3536" s="5">
        <v>1</v>
      </c>
      <c r="C3536" s="5">
        <v>1</v>
      </c>
      <c r="D3536" s="5" t="s">
        <v>484</v>
      </c>
      <c r="E3536" s="5" t="s">
        <v>485</v>
      </c>
      <c r="F3536" s="5" t="s">
        <v>248</v>
      </c>
      <c r="G3536" s="5" t="s">
        <v>5122</v>
      </c>
      <c r="H3536" s="6" t="s">
        <v>5123</v>
      </c>
      <c r="I3536" s="8">
        <f>1</f>
        <v>1</v>
      </c>
      <c r="J3536" s="5" t="s">
        <v>499</v>
      </c>
      <c r="K3536" s="8">
        <f>1</f>
        <v>1</v>
      </c>
      <c r="L3536" s="6" t="s">
        <v>242</v>
      </c>
      <c r="M3536" s="5" t="s">
        <v>267</v>
      </c>
      <c r="N3536" s="5" t="s">
        <v>482</v>
      </c>
      <c r="O3536" s="5" t="s">
        <v>238</v>
      </c>
      <c r="P3536" s="5" t="s">
        <v>238</v>
      </c>
      <c r="Q3536" s="5" t="s">
        <v>239</v>
      </c>
      <c r="R3536" s="5" t="s">
        <v>270</v>
      </c>
      <c r="S3536" s="5" t="s">
        <v>238</v>
      </c>
      <c r="T3536" s="5" t="s">
        <v>238</v>
      </c>
      <c r="U3536" s="5" t="s">
        <v>238</v>
      </c>
      <c r="V3536" s="5" t="s">
        <v>238</v>
      </c>
      <c r="W3536" s="6" t="s">
        <v>238</v>
      </c>
      <c r="X3536" s="6" t="s">
        <v>238</v>
      </c>
      <c r="Y3536" s="5" t="s">
        <v>238</v>
      </c>
      <c r="Z3536" s="6" t="s">
        <v>238</v>
      </c>
      <c r="AA3536" s="6" t="s">
        <v>243</v>
      </c>
      <c r="AB3536" s="5" t="s">
        <v>486</v>
      </c>
      <c r="AC3536" s="5" t="s">
        <v>244</v>
      </c>
      <c r="AD3536" s="5" t="s">
        <v>245</v>
      </c>
      <c r="AE3536" s="5" t="s">
        <v>238</v>
      </c>
      <c r="AF3536" s="5" t="s">
        <v>238</v>
      </c>
      <c r="AG3536" s="5" t="s">
        <v>238</v>
      </c>
      <c r="AH3536" s="5" t="s">
        <v>238</v>
      </c>
      <c r="AI3536" s="5" t="s">
        <v>238</v>
      </c>
      <c r="AJ3536" s="5" t="s">
        <v>238</v>
      </c>
      <c r="AK3536" s="5" t="s">
        <v>238</v>
      </c>
      <c r="AL3536" s="5" t="s">
        <v>238</v>
      </c>
      <c r="AM3536" s="6" t="s">
        <v>238</v>
      </c>
      <c r="AN3536" s="6" t="s">
        <v>238</v>
      </c>
      <c r="AO3536" s="6" t="s">
        <v>238</v>
      </c>
      <c r="AP3536" s="6" t="s">
        <v>238</v>
      </c>
      <c r="AQ3536" s="5" t="s">
        <v>238</v>
      </c>
      <c r="AR3536" s="5" t="s">
        <v>488</v>
      </c>
      <c r="AS3536" s="5" t="s">
        <v>488</v>
      </c>
      <c r="AT3536" s="5" t="s">
        <v>246</v>
      </c>
      <c r="AU3536" s="5" t="s">
        <v>489</v>
      </c>
      <c r="AV3536" s="5" t="s">
        <v>247</v>
      </c>
      <c r="AW3536" s="5" t="s">
        <v>238</v>
      </c>
      <c r="AX3536" s="5" t="s">
        <v>249</v>
      </c>
      <c r="AY3536" s="5" t="s">
        <v>490</v>
      </c>
      <c r="BA3536" s="5" t="s">
        <v>238</v>
      </c>
      <c r="BC3536" s="5" t="s">
        <v>491</v>
      </c>
      <c r="BD3536" s="6" t="s">
        <v>492</v>
      </c>
      <c r="BE3536" s="5" t="s">
        <v>493</v>
      </c>
      <c r="BF3536" s="5" t="s">
        <v>493</v>
      </c>
      <c r="BG3536" s="5" t="s">
        <v>238</v>
      </c>
      <c r="BH3536" s="8">
        <f>1</f>
        <v>1</v>
      </c>
      <c r="BI3536" s="8">
        <f>1</f>
        <v>1</v>
      </c>
      <c r="BJ3536" s="5" t="s">
        <v>253</v>
      </c>
      <c r="BK3536" s="5" t="s">
        <v>254</v>
      </c>
      <c r="BL3536" s="5" t="s">
        <v>238</v>
      </c>
      <c r="BM3536" s="5" t="s">
        <v>238</v>
      </c>
      <c r="BN3536" s="5" t="s">
        <v>238</v>
      </c>
      <c r="BO3536" s="5" t="s">
        <v>238</v>
      </c>
      <c r="BP3536" s="5" t="s">
        <v>238</v>
      </c>
      <c r="BQ3536" s="5" t="s">
        <v>238</v>
      </c>
      <c r="BR3536" s="5" t="s">
        <v>238</v>
      </c>
      <c r="BS3536" s="5" t="s">
        <v>238</v>
      </c>
      <c r="BT3536" s="6" t="s">
        <v>238</v>
      </c>
      <c r="BU3536" s="5" t="s">
        <v>238</v>
      </c>
      <c r="BV3536" s="5" t="s">
        <v>238</v>
      </c>
      <c r="BW3536" s="5" t="s">
        <v>238</v>
      </c>
      <c r="BX3536" s="5" t="s">
        <v>254</v>
      </c>
      <c r="BY3536" s="5" t="s">
        <v>238</v>
      </c>
      <c r="BZ3536" s="5" t="s">
        <v>238</v>
      </c>
      <c r="CA3536" s="5" t="s">
        <v>238</v>
      </c>
      <c r="CB3536" s="5" t="s">
        <v>238</v>
      </c>
      <c r="CC3536" s="5" t="s">
        <v>238</v>
      </c>
      <c r="CD3536" s="5" t="s">
        <v>273</v>
      </c>
      <c r="CE3536" s="5" t="s">
        <v>256</v>
      </c>
      <c r="CF3536" s="5" t="s">
        <v>238</v>
      </c>
      <c r="CH3536" s="5" t="s">
        <v>494</v>
      </c>
      <c r="CI3536" s="6" t="s">
        <v>257</v>
      </c>
      <c r="CJ3536" s="5" t="s">
        <v>495</v>
      </c>
      <c r="CK3536" s="5" t="s">
        <v>258</v>
      </c>
      <c r="CL3536" s="5" t="s">
        <v>496</v>
      </c>
      <c r="CM3536" s="5" t="s">
        <v>238</v>
      </c>
      <c r="CN3536" s="5">
        <v>0</v>
      </c>
      <c r="CO3536" s="5" t="s">
        <v>497</v>
      </c>
      <c r="CP3536" s="5" t="s">
        <v>260</v>
      </c>
      <c r="CQ3536" s="5" t="s">
        <v>260</v>
      </c>
      <c r="CR3536" s="5" t="s">
        <v>261</v>
      </c>
      <c r="CS3536" s="5" t="s">
        <v>498</v>
      </c>
      <c r="CT3536" s="7">
        <f>1</f>
        <v>1</v>
      </c>
      <c r="CU3536" s="8">
        <f>1</f>
        <v>1</v>
      </c>
      <c r="CV3536" s="8">
        <f>0</f>
        <v>0</v>
      </c>
      <c r="CX3536" s="8">
        <f>1</f>
        <v>1</v>
      </c>
      <c r="CY3536" s="8">
        <f>1</f>
        <v>1</v>
      </c>
      <c r="CZ3536" s="8" t="s">
        <v>238</v>
      </c>
      <c r="DA3536" s="5" t="s">
        <v>238</v>
      </c>
      <c r="DB3536" s="5" t="s">
        <v>238</v>
      </c>
      <c r="DC3536" s="5" t="s">
        <v>238</v>
      </c>
      <c r="DD3536" s="5" t="s">
        <v>238</v>
      </c>
      <c r="DE3536" s="8">
        <f>0</f>
        <v>0</v>
      </c>
      <c r="DG3536" s="5" t="s">
        <v>238</v>
      </c>
      <c r="DH3536" s="5" t="s">
        <v>238</v>
      </c>
      <c r="DI3536" s="5" t="s">
        <v>238</v>
      </c>
      <c r="DJ3536" s="5" t="s">
        <v>238</v>
      </c>
      <c r="DK3536" s="5" t="s">
        <v>238</v>
      </c>
      <c r="DL3536" s="5" t="s">
        <v>238</v>
      </c>
      <c r="DM3536" s="8" t="s">
        <v>238</v>
      </c>
      <c r="DN3536" s="5" t="s">
        <v>238</v>
      </c>
      <c r="DO3536" s="5" t="s">
        <v>238</v>
      </c>
      <c r="DP3536" s="5" t="s">
        <v>490</v>
      </c>
      <c r="DQ3536" s="5" t="s">
        <v>490</v>
      </c>
      <c r="DR3536" s="5" t="s">
        <v>238</v>
      </c>
      <c r="DS3536" s="5" t="s">
        <v>238</v>
      </c>
      <c r="DT3536" s="5" t="s">
        <v>500</v>
      </c>
      <c r="DU3536" s="5" t="s">
        <v>1045</v>
      </c>
      <c r="DV3536" s="5" t="s">
        <v>238</v>
      </c>
      <c r="DW3536" s="5" t="s">
        <v>238</v>
      </c>
      <c r="DX3536" s="5" t="s">
        <v>238</v>
      </c>
      <c r="DY3536" s="5" t="s">
        <v>238</v>
      </c>
      <c r="DZ3536" s="5" t="s">
        <v>238</v>
      </c>
      <c r="EA3536" s="5" t="s">
        <v>238</v>
      </c>
      <c r="EB3536" s="5" t="s">
        <v>238</v>
      </c>
      <c r="EC3536" s="5" t="s">
        <v>238</v>
      </c>
      <c r="ED3536" s="5" t="s">
        <v>238</v>
      </c>
      <c r="EE3536" s="5" t="s">
        <v>238</v>
      </c>
      <c r="EF3536" s="5" t="s">
        <v>238</v>
      </c>
      <c r="EG3536" s="5" t="s">
        <v>238</v>
      </c>
      <c r="EH3536" s="5" t="s">
        <v>238</v>
      </c>
      <c r="EI3536" s="5" t="s">
        <v>238</v>
      </c>
      <c r="EJ3536" s="5" t="s">
        <v>238</v>
      </c>
      <c r="EK3536" s="5" t="s">
        <v>238</v>
      </c>
      <c r="EL3536" s="5" t="s">
        <v>238</v>
      </c>
      <c r="EM3536" s="5" t="s">
        <v>238</v>
      </c>
      <c r="EN3536" s="5" t="s">
        <v>238</v>
      </c>
      <c r="EO3536" s="5" t="s">
        <v>238</v>
      </c>
      <c r="EP3536" s="5" t="s">
        <v>238</v>
      </c>
      <c r="EQ3536" s="5" t="s">
        <v>238</v>
      </c>
      <c r="ER3536" s="5" t="s">
        <v>238</v>
      </c>
      <c r="ES3536" s="5" t="s">
        <v>238</v>
      </c>
      <c r="ET3536" s="5" t="s">
        <v>238</v>
      </c>
      <c r="EU3536" s="5" t="s">
        <v>238</v>
      </c>
      <c r="EV3536" s="5" t="s">
        <v>238</v>
      </c>
      <c r="EW3536" s="5" t="s">
        <v>238</v>
      </c>
      <c r="EX3536" s="5" t="s">
        <v>238</v>
      </c>
      <c r="EY3536" s="5" t="s">
        <v>238</v>
      </c>
      <c r="EZ3536" s="5" t="s">
        <v>238</v>
      </c>
      <c r="FA3536" s="5" t="s">
        <v>238</v>
      </c>
      <c r="FB3536" s="5" t="s">
        <v>238</v>
      </c>
      <c r="FC3536" s="5" t="s">
        <v>238</v>
      </c>
      <c r="FD3536" s="5" t="s">
        <v>238</v>
      </c>
      <c r="FE3536" s="5" t="s">
        <v>238</v>
      </c>
      <c r="FF3536" s="5" t="s">
        <v>238</v>
      </c>
      <c r="FG3536" s="5" t="s">
        <v>238</v>
      </c>
      <c r="FH3536" s="5" t="s">
        <v>238</v>
      </c>
      <c r="FI3536" s="5" t="s">
        <v>238</v>
      </c>
      <c r="FJ3536" s="5" t="s">
        <v>238</v>
      </c>
      <c r="FK3536" s="5" t="s">
        <v>238</v>
      </c>
      <c r="FL3536" s="5" t="s">
        <v>238</v>
      </c>
      <c r="FM3536" s="5" t="s">
        <v>238</v>
      </c>
      <c r="FN3536" s="5" t="s">
        <v>238</v>
      </c>
      <c r="FO3536" s="5" t="s">
        <v>238</v>
      </c>
      <c r="FP3536" s="5" t="s">
        <v>238</v>
      </c>
      <c r="FQ3536" s="5" t="s">
        <v>238</v>
      </c>
      <c r="FR3536" s="5" t="s">
        <v>238</v>
      </c>
      <c r="FS3536" s="5" t="s">
        <v>238</v>
      </c>
      <c r="FT3536" s="5" t="s">
        <v>238</v>
      </c>
      <c r="FU3536" s="5" t="s">
        <v>238</v>
      </c>
      <c r="FV3536" s="5" t="s">
        <v>238</v>
      </c>
      <c r="FW3536" s="5" t="s">
        <v>238</v>
      </c>
      <c r="FX3536" s="5" t="s">
        <v>238</v>
      </c>
      <c r="FY3536" s="5" t="s">
        <v>238</v>
      </c>
      <c r="FZ3536" s="5" t="s">
        <v>238</v>
      </c>
      <c r="GA3536" s="5" t="s">
        <v>238</v>
      </c>
      <c r="GB3536" s="5" t="s">
        <v>238</v>
      </c>
      <c r="GC3536" s="5" t="s">
        <v>238</v>
      </c>
      <c r="GD3536" s="5" t="s">
        <v>238</v>
      </c>
      <c r="GE3536" s="5" t="s">
        <v>238</v>
      </c>
      <c r="GF3536" s="5" t="s">
        <v>238</v>
      </c>
      <c r="GG3536" s="5" t="s">
        <v>238</v>
      </c>
      <c r="GH3536" s="5" t="s">
        <v>238</v>
      </c>
      <c r="GI3536" s="5" t="s">
        <v>238</v>
      </c>
      <c r="GJ3536" s="5" t="s">
        <v>238</v>
      </c>
      <c r="GK3536" s="5" t="s">
        <v>238</v>
      </c>
      <c r="GL3536" s="5" t="s">
        <v>238</v>
      </c>
      <c r="GM3536" s="5" t="s">
        <v>238</v>
      </c>
      <c r="GN3536" s="5" t="s">
        <v>238</v>
      </c>
      <c r="GO3536" s="5" t="s">
        <v>238</v>
      </c>
      <c r="GP3536" s="5" t="s">
        <v>238</v>
      </c>
      <c r="GQ3536" s="5" t="s">
        <v>238</v>
      </c>
      <c r="GR3536" s="5" t="s">
        <v>238</v>
      </c>
      <c r="GS3536" s="5" t="s">
        <v>238</v>
      </c>
      <c r="GT3536" s="5" t="s">
        <v>238</v>
      </c>
      <c r="GU3536" s="5" t="s">
        <v>238</v>
      </c>
      <c r="GV3536" s="5" t="s">
        <v>238</v>
      </c>
      <c r="GW3536" s="5" t="s">
        <v>238</v>
      </c>
      <c r="GX3536" s="5" t="s">
        <v>238</v>
      </c>
      <c r="GY3536" s="5" t="s">
        <v>238</v>
      </c>
      <c r="GZ3536" s="5" t="s">
        <v>238</v>
      </c>
      <c r="HA3536" s="5" t="s">
        <v>238</v>
      </c>
      <c r="HB3536" s="5" t="s">
        <v>238</v>
      </c>
      <c r="HC3536" s="5" t="s">
        <v>238</v>
      </c>
      <c r="HD3536" s="5" t="s">
        <v>238</v>
      </c>
      <c r="HE3536" s="5" t="s">
        <v>238</v>
      </c>
      <c r="HF3536" s="5" t="s">
        <v>238</v>
      </c>
      <c r="HG3536" s="5" t="s">
        <v>238</v>
      </c>
      <c r="HH3536" s="5" t="s">
        <v>238</v>
      </c>
      <c r="HI3536" s="5" t="s">
        <v>238</v>
      </c>
      <c r="HJ3536" s="5" t="s">
        <v>238</v>
      </c>
      <c r="HK3536" s="5" t="s">
        <v>238</v>
      </c>
      <c r="HL3536" s="5" t="s">
        <v>238</v>
      </c>
      <c r="HM3536" s="5" t="s">
        <v>264</v>
      </c>
      <c r="HN3536" s="5" t="s">
        <v>238</v>
      </c>
      <c r="HO3536" s="5" t="s">
        <v>238</v>
      </c>
      <c r="HP3536" s="5" t="s">
        <v>238</v>
      </c>
      <c r="HQ3536" s="5" t="s">
        <v>238</v>
      </c>
      <c r="HR3536" s="5" t="s">
        <v>238</v>
      </c>
      <c r="HS3536" s="5" t="s">
        <v>238</v>
      </c>
      <c r="HT3536" s="5" t="s">
        <v>238</v>
      </c>
      <c r="HU3536" s="5" t="s">
        <v>238</v>
      </c>
      <c r="HV3536" s="5" t="s">
        <v>238</v>
      </c>
      <c r="HW3536" s="5" t="s">
        <v>238</v>
      </c>
      <c r="HX3536" s="5" t="s">
        <v>238</v>
      </c>
      <c r="HY3536" s="5" t="s">
        <v>238</v>
      </c>
      <c r="HZ3536" s="5" t="s">
        <v>238</v>
      </c>
      <c r="IA3536" s="5" t="s">
        <v>238</v>
      </c>
      <c r="IB3536" s="5" t="s">
        <v>238</v>
      </c>
      <c r="IC3536" s="5" t="s">
        <v>238</v>
      </c>
      <c r="ID3536" s="5" t="s">
        <v>238</v>
      </c>
    </row>
    <row r="3537" spans="1:238" x14ac:dyDescent="0.4">
      <c r="A3537" s="5">
        <v>9255</v>
      </c>
      <c r="B3537" s="5">
        <v>1</v>
      </c>
      <c r="C3537" s="5">
        <v>1</v>
      </c>
      <c r="D3537" s="5" t="s">
        <v>484</v>
      </c>
      <c r="E3537" s="5" t="s">
        <v>485</v>
      </c>
      <c r="F3537" s="5" t="s">
        <v>248</v>
      </c>
      <c r="G3537" s="5" t="s">
        <v>4727</v>
      </c>
      <c r="H3537" s="6" t="s">
        <v>4728</v>
      </c>
      <c r="I3537" s="8">
        <f>1</f>
        <v>1</v>
      </c>
      <c r="J3537" s="5" t="s">
        <v>499</v>
      </c>
      <c r="K3537" s="8">
        <f>1</f>
        <v>1</v>
      </c>
      <c r="L3537" s="6" t="s">
        <v>242</v>
      </c>
      <c r="M3537" s="5" t="s">
        <v>267</v>
      </c>
      <c r="N3537" s="5" t="s">
        <v>482</v>
      </c>
      <c r="O3537" s="5" t="s">
        <v>238</v>
      </c>
      <c r="P3537" s="5" t="s">
        <v>238</v>
      </c>
      <c r="Q3537" s="5" t="s">
        <v>239</v>
      </c>
      <c r="R3537" s="5" t="s">
        <v>270</v>
      </c>
      <c r="S3537" s="5" t="s">
        <v>238</v>
      </c>
      <c r="T3537" s="5" t="s">
        <v>238</v>
      </c>
      <c r="U3537" s="5" t="s">
        <v>238</v>
      </c>
      <c r="V3537" s="5" t="s">
        <v>238</v>
      </c>
      <c r="W3537" s="6" t="s">
        <v>238</v>
      </c>
      <c r="X3537" s="6" t="s">
        <v>238</v>
      </c>
      <c r="Y3537" s="5" t="s">
        <v>238</v>
      </c>
      <c r="Z3537" s="6" t="s">
        <v>238</v>
      </c>
      <c r="AA3537" s="6" t="s">
        <v>243</v>
      </c>
      <c r="AB3537" s="5" t="s">
        <v>486</v>
      </c>
      <c r="AC3537" s="5" t="s">
        <v>244</v>
      </c>
      <c r="AD3537" s="5" t="s">
        <v>245</v>
      </c>
      <c r="AE3537" s="5" t="s">
        <v>238</v>
      </c>
      <c r="AF3537" s="5" t="s">
        <v>238</v>
      </c>
      <c r="AG3537" s="5" t="s">
        <v>238</v>
      </c>
      <c r="AH3537" s="5" t="s">
        <v>238</v>
      </c>
      <c r="AI3537" s="5" t="s">
        <v>238</v>
      </c>
      <c r="AJ3537" s="5" t="s">
        <v>238</v>
      </c>
      <c r="AK3537" s="5" t="s">
        <v>238</v>
      </c>
      <c r="AL3537" s="5" t="s">
        <v>238</v>
      </c>
      <c r="AM3537" s="6" t="s">
        <v>238</v>
      </c>
      <c r="AN3537" s="6" t="s">
        <v>238</v>
      </c>
      <c r="AO3537" s="6" t="s">
        <v>238</v>
      </c>
      <c r="AP3537" s="6" t="s">
        <v>238</v>
      </c>
      <c r="AQ3537" s="5" t="s">
        <v>238</v>
      </c>
      <c r="AR3537" s="5" t="s">
        <v>488</v>
      </c>
      <c r="AS3537" s="5" t="s">
        <v>488</v>
      </c>
      <c r="AT3537" s="5" t="s">
        <v>246</v>
      </c>
      <c r="AU3537" s="5" t="s">
        <v>489</v>
      </c>
      <c r="AV3537" s="5" t="s">
        <v>247</v>
      </c>
      <c r="AW3537" s="5" t="s">
        <v>238</v>
      </c>
      <c r="AX3537" s="5" t="s">
        <v>249</v>
      </c>
      <c r="AY3537" s="5" t="s">
        <v>490</v>
      </c>
      <c r="BA3537" s="5" t="s">
        <v>238</v>
      </c>
      <c r="BC3537" s="5" t="s">
        <v>491</v>
      </c>
      <c r="BD3537" s="6" t="s">
        <v>492</v>
      </c>
      <c r="BE3537" s="5" t="s">
        <v>493</v>
      </c>
      <c r="BF3537" s="5" t="s">
        <v>493</v>
      </c>
      <c r="BG3537" s="5" t="s">
        <v>238</v>
      </c>
      <c r="BH3537" s="8">
        <f>1</f>
        <v>1</v>
      </c>
      <c r="BI3537" s="8">
        <f>1</f>
        <v>1</v>
      </c>
      <c r="BJ3537" s="5" t="s">
        <v>253</v>
      </c>
      <c r="BK3537" s="5" t="s">
        <v>254</v>
      </c>
      <c r="BL3537" s="5" t="s">
        <v>238</v>
      </c>
      <c r="BM3537" s="5" t="s">
        <v>238</v>
      </c>
      <c r="BN3537" s="5" t="s">
        <v>238</v>
      </c>
      <c r="BO3537" s="5" t="s">
        <v>238</v>
      </c>
      <c r="BP3537" s="5" t="s">
        <v>238</v>
      </c>
      <c r="BQ3537" s="5" t="s">
        <v>238</v>
      </c>
      <c r="BR3537" s="5" t="s">
        <v>238</v>
      </c>
      <c r="BS3537" s="5" t="s">
        <v>238</v>
      </c>
      <c r="BT3537" s="6" t="s">
        <v>238</v>
      </c>
      <c r="BU3537" s="5" t="s">
        <v>238</v>
      </c>
      <c r="BV3537" s="5" t="s">
        <v>238</v>
      </c>
      <c r="BW3537" s="5" t="s">
        <v>238</v>
      </c>
      <c r="BX3537" s="5" t="s">
        <v>254</v>
      </c>
      <c r="BY3537" s="5" t="s">
        <v>238</v>
      </c>
      <c r="BZ3537" s="5" t="s">
        <v>238</v>
      </c>
      <c r="CA3537" s="5" t="s">
        <v>238</v>
      </c>
      <c r="CB3537" s="5" t="s">
        <v>238</v>
      </c>
      <c r="CC3537" s="5" t="s">
        <v>238</v>
      </c>
      <c r="CD3537" s="5" t="s">
        <v>273</v>
      </c>
      <c r="CE3537" s="5" t="s">
        <v>256</v>
      </c>
      <c r="CF3537" s="5" t="s">
        <v>238</v>
      </c>
      <c r="CH3537" s="5" t="s">
        <v>494</v>
      </c>
      <c r="CI3537" s="6" t="s">
        <v>257</v>
      </c>
      <c r="CJ3537" s="5" t="s">
        <v>495</v>
      </c>
      <c r="CK3537" s="5" t="s">
        <v>258</v>
      </c>
      <c r="CL3537" s="5" t="s">
        <v>496</v>
      </c>
      <c r="CM3537" s="5" t="s">
        <v>238</v>
      </c>
      <c r="CN3537" s="5">
        <v>0</v>
      </c>
      <c r="CO3537" s="5" t="s">
        <v>497</v>
      </c>
      <c r="CP3537" s="5" t="s">
        <v>260</v>
      </c>
      <c r="CQ3537" s="5" t="s">
        <v>260</v>
      </c>
      <c r="CR3537" s="5" t="s">
        <v>261</v>
      </c>
      <c r="CS3537" s="5" t="s">
        <v>498</v>
      </c>
      <c r="CT3537" s="7">
        <f>1</f>
        <v>1</v>
      </c>
      <c r="CU3537" s="8">
        <f>1</f>
        <v>1</v>
      </c>
      <c r="CV3537" s="8">
        <f>0</f>
        <v>0</v>
      </c>
      <c r="CX3537" s="8">
        <f>1</f>
        <v>1</v>
      </c>
      <c r="CY3537" s="8">
        <f>1</f>
        <v>1</v>
      </c>
      <c r="CZ3537" s="8" t="s">
        <v>238</v>
      </c>
      <c r="DA3537" s="5" t="s">
        <v>238</v>
      </c>
      <c r="DB3537" s="5" t="s">
        <v>238</v>
      </c>
      <c r="DC3537" s="5" t="s">
        <v>238</v>
      </c>
      <c r="DD3537" s="5" t="s">
        <v>238</v>
      </c>
      <c r="DE3537" s="8">
        <f>0</f>
        <v>0</v>
      </c>
      <c r="DG3537" s="5" t="s">
        <v>238</v>
      </c>
      <c r="DH3537" s="5" t="s">
        <v>238</v>
      </c>
      <c r="DI3537" s="5" t="s">
        <v>238</v>
      </c>
      <c r="DJ3537" s="5" t="s">
        <v>238</v>
      </c>
      <c r="DK3537" s="5" t="s">
        <v>238</v>
      </c>
      <c r="DL3537" s="5" t="s">
        <v>238</v>
      </c>
      <c r="DM3537" s="8" t="s">
        <v>238</v>
      </c>
      <c r="DN3537" s="5" t="s">
        <v>238</v>
      </c>
      <c r="DO3537" s="5" t="s">
        <v>238</v>
      </c>
      <c r="DP3537" s="5" t="s">
        <v>490</v>
      </c>
      <c r="DQ3537" s="5" t="s">
        <v>490</v>
      </c>
      <c r="DR3537" s="5" t="s">
        <v>238</v>
      </c>
      <c r="DS3537" s="5" t="s">
        <v>238</v>
      </c>
      <c r="DT3537" s="5" t="s">
        <v>500</v>
      </c>
      <c r="DU3537" s="5" t="s">
        <v>816</v>
      </c>
      <c r="DV3537" s="5" t="s">
        <v>238</v>
      </c>
      <c r="DW3537" s="5" t="s">
        <v>238</v>
      </c>
      <c r="DX3537" s="5" t="s">
        <v>238</v>
      </c>
      <c r="DY3537" s="5" t="s">
        <v>238</v>
      </c>
      <c r="DZ3537" s="5" t="s">
        <v>238</v>
      </c>
      <c r="EA3537" s="5" t="s">
        <v>238</v>
      </c>
      <c r="EB3537" s="5" t="s">
        <v>238</v>
      </c>
      <c r="EC3537" s="5" t="s">
        <v>238</v>
      </c>
      <c r="ED3537" s="5" t="s">
        <v>238</v>
      </c>
      <c r="EE3537" s="5" t="s">
        <v>238</v>
      </c>
      <c r="EF3537" s="5" t="s">
        <v>238</v>
      </c>
      <c r="EG3537" s="5" t="s">
        <v>238</v>
      </c>
      <c r="EH3537" s="5" t="s">
        <v>238</v>
      </c>
      <c r="EI3537" s="5" t="s">
        <v>238</v>
      </c>
      <c r="EJ3537" s="5" t="s">
        <v>238</v>
      </c>
      <c r="EK3537" s="5" t="s">
        <v>238</v>
      </c>
      <c r="EL3537" s="5" t="s">
        <v>238</v>
      </c>
      <c r="EM3537" s="5" t="s">
        <v>238</v>
      </c>
      <c r="EN3537" s="5" t="s">
        <v>238</v>
      </c>
      <c r="EO3537" s="5" t="s">
        <v>238</v>
      </c>
      <c r="EP3537" s="5" t="s">
        <v>238</v>
      </c>
      <c r="EQ3537" s="5" t="s">
        <v>238</v>
      </c>
      <c r="ER3537" s="5" t="s">
        <v>238</v>
      </c>
      <c r="ES3537" s="5" t="s">
        <v>238</v>
      </c>
      <c r="ET3537" s="5" t="s">
        <v>238</v>
      </c>
      <c r="EU3537" s="5" t="s">
        <v>238</v>
      </c>
      <c r="EV3537" s="5" t="s">
        <v>238</v>
      </c>
      <c r="EW3537" s="5" t="s">
        <v>238</v>
      </c>
      <c r="EX3537" s="5" t="s">
        <v>238</v>
      </c>
      <c r="EY3537" s="5" t="s">
        <v>238</v>
      </c>
      <c r="EZ3537" s="5" t="s">
        <v>238</v>
      </c>
      <c r="FA3537" s="5" t="s">
        <v>238</v>
      </c>
      <c r="FB3537" s="5" t="s">
        <v>238</v>
      </c>
      <c r="FC3537" s="5" t="s">
        <v>238</v>
      </c>
      <c r="FD3537" s="5" t="s">
        <v>238</v>
      </c>
      <c r="FE3537" s="5" t="s">
        <v>238</v>
      </c>
      <c r="FF3537" s="5" t="s">
        <v>238</v>
      </c>
      <c r="FG3537" s="5" t="s">
        <v>238</v>
      </c>
      <c r="FH3537" s="5" t="s">
        <v>238</v>
      </c>
      <c r="FI3537" s="5" t="s">
        <v>238</v>
      </c>
      <c r="FJ3537" s="5" t="s">
        <v>238</v>
      </c>
      <c r="FK3537" s="5" t="s">
        <v>238</v>
      </c>
      <c r="FL3537" s="5" t="s">
        <v>238</v>
      </c>
      <c r="FM3537" s="5" t="s">
        <v>238</v>
      </c>
      <c r="FN3537" s="5" t="s">
        <v>238</v>
      </c>
      <c r="FO3537" s="5" t="s">
        <v>238</v>
      </c>
      <c r="FP3537" s="5" t="s">
        <v>238</v>
      </c>
      <c r="FQ3537" s="5" t="s">
        <v>238</v>
      </c>
      <c r="FR3537" s="5" t="s">
        <v>238</v>
      </c>
      <c r="FS3537" s="5" t="s">
        <v>238</v>
      </c>
      <c r="FT3537" s="5" t="s">
        <v>238</v>
      </c>
      <c r="FU3537" s="5" t="s">
        <v>238</v>
      </c>
      <c r="FV3537" s="5" t="s">
        <v>238</v>
      </c>
      <c r="FW3537" s="5" t="s">
        <v>238</v>
      </c>
      <c r="FX3537" s="5" t="s">
        <v>238</v>
      </c>
      <c r="FY3537" s="5" t="s">
        <v>238</v>
      </c>
      <c r="FZ3537" s="5" t="s">
        <v>238</v>
      </c>
      <c r="GA3537" s="5" t="s">
        <v>238</v>
      </c>
      <c r="GB3537" s="5" t="s">
        <v>238</v>
      </c>
      <c r="GC3537" s="5" t="s">
        <v>238</v>
      </c>
      <c r="GD3537" s="5" t="s">
        <v>238</v>
      </c>
      <c r="GE3537" s="5" t="s">
        <v>238</v>
      </c>
      <c r="GF3537" s="5" t="s">
        <v>238</v>
      </c>
      <c r="GG3537" s="5" t="s">
        <v>238</v>
      </c>
      <c r="GH3537" s="5" t="s">
        <v>238</v>
      </c>
      <c r="GI3537" s="5" t="s">
        <v>238</v>
      </c>
      <c r="GJ3537" s="5" t="s">
        <v>238</v>
      </c>
      <c r="GK3537" s="5" t="s">
        <v>238</v>
      </c>
      <c r="GL3537" s="5" t="s">
        <v>238</v>
      </c>
      <c r="GM3537" s="5" t="s">
        <v>238</v>
      </c>
      <c r="GN3537" s="5" t="s">
        <v>238</v>
      </c>
      <c r="GO3537" s="5" t="s">
        <v>238</v>
      </c>
      <c r="GP3537" s="5" t="s">
        <v>238</v>
      </c>
      <c r="GQ3537" s="5" t="s">
        <v>238</v>
      </c>
      <c r="GR3537" s="5" t="s">
        <v>238</v>
      </c>
      <c r="GS3537" s="5" t="s">
        <v>238</v>
      </c>
      <c r="GT3537" s="5" t="s">
        <v>238</v>
      </c>
      <c r="GU3537" s="5" t="s">
        <v>238</v>
      </c>
      <c r="GV3537" s="5" t="s">
        <v>238</v>
      </c>
      <c r="GW3537" s="5" t="s">
        <v>238</v>
      </c>
      <c r="GX3537" s="5" t="s">
        <v>238</v>
      </c>
      <c r="GY3537" s="5" t="s">
        <v>238</v>
      </c>
      <c r="GZ3537" s="5" t="s">
        <v>238</v>
      </c>
      <c r="HA3537" s="5" t="s">
        <v>238</v>
      </c>
      <c r="HB3537" s="5" t="s">
        <v>238</v>
      </c>
      <c r="HC3537" s="5" t="s">
        <v>238</v>
      </c>
      <c r="HD3537" s="5" t="s">
        <v>238</v>
      </c>
      <c r="HE3537" s="5" t="s">
        <v>238</v>
      </c>
      <c r="HF3537" s="5" t="s">
        <v>238</v>
      </c>
      <c r="HG3537" s="5" t="s">
        <v>238</v>
      </c>
      <c r="HH3537" s="5" t="s">
        <v>238</v>
      </c>
      <c r="HI3537" s="5" t="s">
        <v>238</v>
      </c>
      <c r="HJ3537" s="5" t="s">
        <v>238</v>
      </c>
      <c r="HK3537" s="5" t="s">
        <v>238</v>
      </c>
      <c r="HL3537" s="5" t="s">
        <v>238</v>
      </c>
      <c r="HM3537" s="5" t="s">
        <v>264</v>
      </c>
      <c r="HN3537" s="5" t="s">
        <v>238</v>
      </c>
      <c r="HO3537" s="5" t="s">
        <v>238</v>
      </c>
      <c r="HP3537" s="5" t="s">
        <v>238</v>
      </c>
      <c r="HQ3537" s="5" t="s">
        <v>238</v>
      </c>
      <c r="HR3537" s="5" t="s">
        <v>238</v>
      </c>
      <c r="HS3537" s="5" t="s">
        <v>238</v>
      </c>
      <c r="HT3537" s="5" t="s">
        <v>238</v>
      </c>
      <c r="HU3537" s="5" t="s">
        <v>238</v>
      </c>
      <c r="HV3537" s="5" t="s">
        <v>238</v>
      </c>
      <c r="HW3537" s="5" t="s">
        <v>238</v>
      </c>
      <c r="HX3537" s="5" t="s">
        <v>238</v>
      </c>
      <c r="HY3537" s="5" t="s">
        <v>238</v>
      </c>
      <c r="HZ3537" s="5" t="s">
        <v>238</v>
      </c>
      <c r="IA3537" s="5" t="s">
        <v>238</v>
      </c>
      <c r="IB3537" s="5" t="s">
        <v>238</v>
      </c>
      <c r="IC3537" s="5" t="s">
        <v>238</v>
      </c>
      <c r="ID3537" s="5" t="s">
        <v>238</v>
      </c>
    </row>
    <row r="3538" spans="1:238" x14ac:dyDescent="0.4">
      <c r="A3538" s="5">
        <v>9256</v>
      </c>
      <c r="B3538" s="5">
        <v>1</v>
      </c>
      <c r="C3538" s="5">
        <v>1</v>
      </c>
      <c r="D3538" s="5" t="s">
        <v>484</v>
      </c>
      <c r="E3538" s="5" t="s">
        <v>485</v>
      </c>
      <c r="F3538" s="5" t="s">
        <v>248</v>
      </c>
      <c r="G3538" s="5" t="s">
        <v>4983</v>
      </c>
      <c r="H3538" s="6" t="s">
        <v>4984</v>
      </c>
      <c r="I3538" s="8">
        <f>1</f>
        <v>1</v>
      </c>
      <c r="J3538" s="5" t="s">
        <v>499</v>
      </c>
      <c r="K3538" s="8">
        <f>1</f>
        <v>1</v>
      </c>
      <c r="L3538" s="6" t="s">
        <v>242</v>
      </c>
      <c r="M3538" s="5" t="s">
        <v>267</v>
      </c>
      <c r="N3538" s="5" t="s">
        <v>482</v>
      </c>
      <c r="O3538" s="5" t="s">
        <v>238</v>
      </c>
      <c r="P3538" s="5" t="s">
        <v>238</v>
      </c>
      <c r="Q3538" s="5" t="s">
        <v>239</v>
      </c>
      <c r="R3538" s="5" t="s">
        <v>270</v>
      </c>
      <c r="S3538" s="5" t="s">
        <v>238</v>
      </c>
      <c r="T3538" s="5" t="s">
        <v>238</v>
      </c>
      <c r="U3538" s="5" t="s">
        <v>238</v>
      </c>
      <c r="V3538" s="5" t="s">
        <v>238</v>
      </c>
      <c r="W3538" s="6" t="s">
        <v>238</v>
      </c>
      <c r="X3538" s="6" t="s">
        <v>238</v>
      </c>
      <c r="Y3538" s="5" t="s">
        <v>238</v>
      </c>
      <c r="Z3538" s="6" t="s">
        <v>238</v>
      </c>
      <c r="AA3538" s="6" t="s">
        <v>243</v>
      </c>
      <c r="AB3538" s="5" t="s">
        <v>486</v>
      </c>
      <c r="AC3538" s="5" t="s">
        <v>244</v>
      </c>
      <c r="AD3538" s="5" t="s">
        <v>245</v>
      </c>
      <c r="AE3538" s="5" t="s">
        <v>238</v>
      </c>
      <c r="AF3538" s="5" t="s">
        <v>238</v>
      </c>
      <c r="AG3538" s="5" t="s">
        <v>238</v>
      </c>
      <c r="AH3538" s="5" t="s">
        <v>238</v>
      </c>
      <c r="AI3538" s="5" t="s">
        <v>238</v>
      </c>
      <c r="AJ3538" s="5" t="s">
        <v>238</v>
      </c>
      <c r="AK3538" s="5" t="s">
        <v>238</v>
      </c>
      <c r="AL3538" s="5" t="s">
        <v>238</v>
      </c>
      <c r="AM3538" s="6" t="s">
        <v>238</v>
      </c>
      <c r="AN3538" s="6" t="s">
        <v>238</v>
      </c>
      <c r="AO3538" s="6" t="s">
        <v>238</v>
      </c>
      <c r="AP3538" s="6" t="s">
        <v>238</v>
      </c>
      <c r="AQ3538" s="5" t="s">
        <v>238</v>
      </c>
      <c r="AR3538" s="5" t="s">
        <v>488</v>
      </c>
      <c r="AS3538" s="5" t="s">
        <v>488</v>
      </c>
      <c r="AT3538" s="5" t="s">
        <v>246</v>
      </c>
      <c r="AU3538" s="5" t="s">
        <v>489</v>
      </c>
      <c r="AV3538" s="5" t="s">
        <v>247</v>
      </c>
      <c r="AW3538" s="5" t="s">
        <v>238</v>
      </c>
      <c r="AX3538" s="5" t="s">
        <v>249</v>
      </c>
      <c r="AY3538" s="5" t="s">
        <v>490</v>
      </c>
      <c r="BA3538" s="5" t="s">
        <v>238</v>
      </c>
      <c r="BC3538" s="5" t="s">
        <v>491</v>
      </c>
      <c r="BD3538" s="6" t="s">
        <v>492</v>
      </c>
      <c r="BE3538" s="5" t="s">
        <v>493</v>
      </c>
      <c r="BF3538" s="5" t="s">
        <v>493</v>
      </c>
      <c r="BG3538" s="5" t="s">
        <v>238</v>
      </c>
      <c r="BH3538" s="8">
        <f>1</f>
        <v>1</v>
      </c>
      <c r="BI3538" s="8">
        <f>1</f>
        <v>1</v>
      </c>
      <c r="BJ3538" s="5" t="s">
        <v>253</v>
      </c>
      <c r="BK3538" s="5" t="s">
        <v>254</v>
      </c>
      <c r="BL3538" s="5" t="s">
        <v>238</v>
      </c>
      <c r="BM3538" s="5" t="s">
        <v>238</v>
      </c>
      <c r="BN3538" s="5" t="s">
        <v>238</v>
      </c>
      <c r="BO3538" s="5" t="s">
        <v>238</v>
      </c>
      <c r="BP3538" s="5" t="s">
        <v>238</v>
      </c>
      <c r="BQ3538" s="5" t="s">
        <v>238</v>
      </c>
      <c r="BR3538" s="5" t="s">
        <v>238</v>
      </c>
      <c r="BS3538" s="5" t="s">
        <v>238</v>
      </c>
      <c r="BT3538" s="6" t="s">
        <v>238</v>
      </c>
      <c r="BU3538" s="5" t="s">
        <v>238</v>
      </c>
      <c r="BV3538" s="5" t="s">
        <v>238</v>
      </c>
      <c r="BW3538" s="5" t="s">
        <v>238</v>
      </c>
      <c r="BX3538" s="5" t="s">
        <v>254</v>
      </c>
      <c r="BY3538" s="5" t="s">
        <v>238</v>
      </c>
      <c r="BZ3538" s="5" t="s">
        <v>238</v>
      </c>
      <c r="CA3538" s="5" t="s">
        <v>238</v>
      </c>
      <c r="CB3538" s="5" t="s">
        <v>238</v>
      </c>
      <c r="CC3538" s="5" t="s">
        <v>238</v>
      </c>
      <c r="CD3538" s="5" t="s">
        <v>273</v>
      </c>
      <c r="CE3538" s="5" t="s">
        <v>256</v>
      </c>
      <c r="CF3538" s="5" t="s">
        <v>238</v>
      </c>
      <c r="CH3538" s="5" t="s">
        <v>494</v>
      </c>
      <c r="CI3538" s="6" t="s">
        <v>257</v>
      </c>
      <c r="CJ3538" s="5" t="s">
        <v>495</v>
      </c>
      <c r="CK3538" s="5" t="s">
        <v>258</v>
      </c>
      <c r="CL3538" s="5" t="s">
        <v>496</v>
      </c>
      <c r="CM3538" s="5" t="s">
        <v>238</v>
      </c>
      <c r="CN3538" s="5">
        <v>0</v>
      </c>
      <c r="CO3538" s="5" t="s">
        <v>497</v>
      </c>
      <c r="CP3538" s="5" t="s">
        <v>260</v>
      </c>
      <c r="CQ3538" s="5" t="s">
        <v>260</v>
      </c>
      <c r="CR3538" s="5" t="s">
        <v>261</v>
      </c>
      <c r="CS3538" s="5" t="s">
        <v>498</v>
      </c>
      <c r="CT3538" s="7">
        <f>1</f>
        <v>1</v>
      </c>
      <c r="CU3538" s="8">
        <f>1</f>
        <v>1</v>
      </c>
      <c r="CV3538" s="8">
        <f>0</f>
        <v>0</v>
      </c>
      <c r="CX3538" s="8">
        <f>1</f>
        <v>1</v>
      </c>
      <c r="CY3538" s="8">
        <f>1</f>
        <v>1</v>
      </c>
      <c r="CZ3538" s="8" t="s">
        <v>238</v>
      </c>
      <c r="DA3538" s="5" t="s">
        <v>238</v>
      </c>
      <c r="DB3538" s="5" t="s">
        <v>238</v>
      </c>
      <c r="DC3538" s="5" t="s">
        <v>238</v>
      </c>
      <c r="DD3538" s="5" t="s">
        <v>238</v>
      </c>
      <c r="DE3538" s="8">
        <f>0</f>
        <v>0</v>
      </c>
      <c r="DG3538" s="5" t="s">
        <v>238</v>
      </c>
      <c r="DH3538" s="5" t="s">
        <v>238</v>
      </c>
      <c r="DI3538" s="5" t="s">
        <v>238</v>
      </c>
      <c r="DJ3538" s="5" t="s">
        <v>238</v>
      </c>
      <c r="DK3538" s="5" t="s">
        <v>238</v>
      </c>
      <c r="DL3538" s="5" t="s">
        <v>238</v>
      </c>
      <c r="DM3538" s="8" t="s">
        <v>238</v>
      </c>
      <c r="DN3538" s="5" t="s">
        <v>238</v>
      </c>
      <c r="DO3538" s="5" t="s">
        <v>238</v>
      </c>
      <c r="DP3538" s="5" t="s">
        <v>490</v>
      </c>
      <c r="DQ3538" s="5" t="s">
        <v>490</v>
      </c>
      <c r="DR3538" s="5" t="s">
        <v>238</v>
      </c>
      <c r="DS3538" s="5" t="s">
        <v>238</v>
      </c>
      <c r="DT3538" s="5" t="s">
        <v>500</v>
      </c>
      <c r="DU3538" s="5" t="s">
        <v>858</v>
      </c>
      <c r="DV3538" s="5" t="s">
        <v>238</v>
      </c>
      <c r="DW3538" s="5" t="s">
        <v>238</v>
      </c>
      <c r="DX3538" s="5" t="s">
        <v>238</v>
      </c>
      <c r="DY3538" s="5" t="s">
        <v>238</v>
      </c>
      <c r="DZ3538" s="5" t="s">
        <v>238</v>
      </c>
      <c r="EA3538" s="5" t="s">
        <v>238</v>
      </c>
      <c r="EB3538" s="5" t="s">
        <v>238</v>
      </c>
      <c r="EC3538" s="5" t="s">
        <v>238</v>
      </c>
      <c r="ED3538" s="5" t="s">
        <v>238</v>
      </c>
      <c r="EE3538" s="5" t="s">
        <v>238</v>
      </c>
      <c r="EF3538" s="5" t="s">
        <v>238</v>
      </c>
      <c r="EG3538" s="5" t="s">
        <v>238</v>
      </c>
      <c r="EH3538" s="5" t="s">
        <v>238</v>
      </c>
      <c r="EI3538" s="5" t="s">
        <v>238</v>
      </c>
      <c r="EJ3538" s="5" t="s">
        <v>238</v>
      </c>
      <c r="EK3538" s="5" t="s">
        <v>238</v>
      </c>
      <c r="EL3538" s="5" t="s">
        <v>238</v>
      </c>
      <c r="EM3538" s="5" t="s">
        <v>238</v>
      </c>
      <c r="EN3538" s="5" t="s">
        <v>238</v>
      </c>
      <c r="EO3538" s="5" t="s">
        <v>238</v>
      </c>
      <c r="EP3538" s="5" t="s">
        <v>238</v>
      </c>
      <c r="EQ3538" s="5" t="s">
        <v>238</v>
      </c>
      <c r="ER3538" s="5" t="s">
        <v>238</v>
      </c>
      <c r="ES3538" s="5" t="s">
        <v>238</v>
      </c>
      <c r="ET3538" s="5" t="s">
        <v>238</v>
      </c>
      <c r="EU3538" s="5" t="s">
        <v>238</v>
      </c>
      <c r="EV3538" s="5" t="s">
        <v>238</v>
      </c>
      <c r="EW3538" s="5" t="s">
        <v>238</v>
      </c>
      <c r="EX3538" s="5" t="s">
        <v>238</v>
      </c>
      <c r="EY3538" s="5" t="s">
        <v>238</v>
      </c>
      <c r="EZ3538" s="5" t="s">
        <v>238</v>
      </c>
      <c r="FA3538" s="5" t="s">
        <v>238</v>
      </c>
      <c r="FB3538" s="5" t="s">
        <v>238</v>
      </c>
      <c r="FC3538" s="5" t="s">
        <v>238</v>
      </c>
      <c r="FD3538" s="5" t="s">
        <v>238</v>
      </c>
      <c r="FE3538" s="5" t="s">
        <v>238</v>
      </c>
      <c r="FF3538" s="5" t="s">
        <v>238</v>
      </c>
      <c r="FG3538" s="5" t="s">
        <v>238</v>
      </c>
      <c r="FH3538" s="5" t="s">
        <v>238</v>
      </c>
      <c r="FI3538" s="5" t="s">
        <v>238</v>
      </c>
      <c r="FJ3538" s="5" t="s">
        <v>238</v>
      </c>
      <c r="FK3538" s="5" t="s">
        <v>238</v>
      </c>
      <c r="FL3538" s="5" t="s">
        <v>238</v>
      </c>
      <c r="FM3538" s="5" t="s">
        <v>238</v>
      </c>
      <c r="FN3538" s="5" t="s">
        <v>238</v>
      </c>
      <c r="FO3538" s="5" t="s">
        <v>238</v>
      </c>
      <c r="FP3538" s="5" t="s">
        <v>238</v>
      </c>
      <c r="FQ3538" s="5" t="s">
        <v>238</v>
      </c>
      <c r="FR3538" s="5" t="s">
        <v>238</v>
      </c>
      <c r="FS3538" s="5" t="s">
        <v>238</v>
      </c>
      <c r="FT3538" s="5" t="s">
        <v>238</v>
      </c>
      <c r="FU3538" s="5" t="s">
        <v>238</v>
      </c>
      <c r="FV3538" s="5" t="s">
        <v>238</v>
      </c>
      <c r="FW3538" s="5" t="s">
        <v>238</v>
      </c>
      <c r="FX3538" s="5" t="s">
        <v>238</v>
      </c>
      <c r="FY3538" s="5" t="s">
        <v>238</v>
      </c>
      <c r="FZ3538" s="5" t="s">
        <v>238</v>
      </c>
      <c r="GA3538" s="5" t="s">
        <v>238</v>
      </c>
      <c r="GB3538" s="5" t="s">
        <v>238</v>
      </c>
      <c r="GC3538" s="5" t="s">
        <v>238</v>
      </c>
      <c r="GD3538" s="5" t="s">
        <v>238</v>
      </c>
      <c r="GE3538" s="5" t="s">
        <v>238</v>
      </c>
      <c r="GF3538" s="5" t="s">
        <v>238</v>
      </c>
      <c r="GG3538" s="5" t="s">
        <v>238</v>
      </c>
      <c r="GH3538" s="5" t="s">
        <v>238</v>
      </c>
      <c r="GI3538" s="5" t="s">
        <v>238</v>
      </c>
      <c r="GJ3538" s="5" t="s">
        <v>238</v>
      </c>
      <c r="GK3538" s="5" t="s">
        <v>238</v>
      </c>
      <c r="GL3538" s="5" t="s">
        <v>238</v>
      </c>
      <c r="GM3538" s="5" t="s">
        <v>238</v>
      </c>
      <c r="GN3538" s="5" t="s">
        <v>238</v>
      </c>
      <c r="GO3538" s="5" t="s">
        <v>238</v>
      </c>
      <c r="GP3538" s="5" t="s">
        <v>238</v>
      </c>
      <c r="GQ3538" s="5" t="s">
        <v>238</v>
      </c>
      <c r="GR3538" s="5" t="s">
        <v>238</v>
      </c>
      <c r="GS3538" s="5" t="s">
        <v>238</v>
      </c>
      <c r="GT3538" s="5" t="s">
        <v>238</v>
      </c>
      <c r="GU3538" s="5" t="s">
        <v>238</v>
      </c>
      <c r="GV3538" s="5" t="s">
        <v>238</v>
      </c>
      <c r="GW3538" s="5" t="s">
        <v>238</v>
      </c>
      <c r="GX3538" s="5" t="s">
        <v>238</v>
      </c>
      <c r="GY3538" s="5" t="s">
        <v>238</v>
      </c>
      <c r="GZ3538" s="5" t="s">
        <v>238</v>
      </c>
      <c r="HA3538" s="5" t="s">
        <v>238</v>
      </c>
      <c r="HB3538" s="5" t="s">
        <v>238</v>
      </c>
      <c r="HC3538" s="5" t="s">
        <v>238</v>
      </c>
      <c r="HD3538" s="5" t="s">
        <v>238</v>
      </c>
      <c r="HE3538" s="5" t="s">
        <v>238</v>
      </c>
      <c r="HF3538" s="5" t="s">
        <v>238</v>
      </c>
      <c r="HG3538" s="5" t="s">
        <v>238</v>
      </c>
      <c r="HH3538" s="5" t="s">
        <v>238</v>
      </c>
      <c r="HI3538" s="5" t="s">
        <v>238</v>
      </c>
      <c r="HJ3538" s="5" t="s">
        <v>238</v>
      </c>
      <c r="HK3538" s="5" t="s">
        <v>238</v>
      </c>
      <c r="HL3538" s="5" t="s">
        <v>238</v>
      </c>
      <c r="HM3538" s="5" t="s">
        <v>264</v>
      </c>
      <c r="HN3538" s="5" t="s">
        <v>238</v>
      </c>
      <c r="HO3538" s="5" t="s">
        <v>238</v>
      </c>
      <c r="HP3538" s="5" t="s">
        <v>238</v>
      </c>
      <c r="HQ3538" s="5" t="s">
        <v>238</v>
      </c>
      <c r="HR3538" s="5" t="s">
        <v>238</v>
      </c>
      <c r="HS3538" s="5" t="s">
        <v>238</v>
      </c>
      <c r="HT3538" s="5" t="s">
        <v>238</v>
      </c>
      <c r="HU3538" s="5" t="s">
        <v>238</v>
      </c>
      <c r="HV3538" s="5" t="s">
        <v>238</v>
      </c>
      <c r="HW3538" s="5" t="s">
        <v>238</v>
      </c>
      <c r="HX3538" s="5" t="s">
        <v>238</v>
      </c>
      <c r="HY3538" s="5" t="s">
        <v>238</v>
      </c>
      <c r="HZ3538" s="5" t="s">
        <v>238</v>
      </c>
      <c r="IA3538" s="5" t="s">
        <v>238</v>
      </c>
      <c r="IB3538" s="5" t="s">
        <v>238</v>
      </c>
      <c r="IC3538" s="5" t="s">
        <v>238</v>
      </c>
      <c r="ID3538" s="5" t="s">
        <v>238</v>
      </c>
    </row>
    <row r="3539" spans="1:238" x14ac:dyDescent="0.4">
      <c r="A3539" s="5">
        <v>9257</v>
      </c>
      <c r="B3539" s="5">
        <v>1</v>
      </c>
      <c r="C3539" s="5">
        <v>1</v>
      </c>
      <c r="D3539" s="5" t="s">
        <v>484</v>
      </c>
      <c r="E3539" s="5" t="s">
        <v>485</v>
      </c>
      <c r="F3539" s="5" t="s">
        <v>248</v>
      </c>
      <c r="G3539" s="5" t="s">
        <v>5613</v>
      </c>
      <c r="H3539" s="6" t="s">
        <v>5615</v>
      </c>
      <c r="I3539" s="8">
        <f>1</f>
        <v>1</v>
      </c>
      <c r="J3539" s="5" t="s">
        <v>499</v>
      </c>
      <c r="K3539" s="8">
        <f>1</f>
        <v>1</v>
      </c>
      <c r="L3539" s="6" t="s">
        <v>242</v>
      </c>
      <c r="M3539" s="5" t="s">
        <v>267</v>
      </c>
      <c r="N3539" s="5" t="s">
        <v>482</v>
      </c>
      <c r="O3539" s="5" t="s">
        <v>238</v>
      </c>
      <c r="P3539" s="5" t="s">
        <v>238</v>
      </c>
      <c r="Q3539" s="5" t="s">
        <v>239</v>
      </c>
      <c r="R3539" s="5" t="s">
        <v>270</v>
      </c>
      <c r="S3539" s="5" t="s">
        <v>238</v>
      </c>
      <c r="T3539" s="5" t="s">
        <v>238</v>
      </c>
      <c r="U3539" s="5" t="s">
        <v>238</v>
      </c>
      <c r="V3539" s="5" t="s">
        <v>238</v>
      </c>
      <c r="W3539" s="6" t="s">
        <v>238</v>
      </c>
      <c r="X3539" s="6" t="s">
        <v>238</v>
      </c>
      <c r="Y3539" s="5" t="s">
        <v>238</v>
      </c>
      <c r="Z3539" s="6" t="s">
        <v>238</v>
      </c>
      <c r="AA3539" s="6" t="s">
        <v>243</v>
      </c>
      <c r="AB3539" s="5" t="s">
        <v>5614</v>
      </c>
      <c r="AC3539" s="5" t="s">
        <v>244</v>
      </c>
      <c r="AD3539" s="5" t="s">
        <v>245</v>
      </c>
      <c r="AE3539" s="5" t="s">
        <v>238</v>
      </c>
      <c r="AF3539" s="5" t="s">
        <v>238</v>
      </c>
      <c r="AG3539" s="5" t="s">
        <v>238</v>
      </c>
      <c r="AH3539" s="5" t="s">
        <v>238</v>
      </c>
      <c r="AI3539" s="5" t="s">
        <v>238</v>
      </c>
      <c r="AJ3539" s="5" t="s">
        <v>238</v>
      </c>
      <c r="AK3539" s="5" t="s">
        <v>238</v>
      </c>
      <c r="AL3539" s="5" t="s">
        <v>238</v>
      </c>
      <c r="AM3539" s="6" t="s">
        <v>238</v>
      </c>
      <c r="AN3539" s="6" t="s">
        <v>238</v>
      </c>
      <c r="AO3539" s="6" t="s">
        <v>238</v>
      </c>
      <c r="AP3539" s="6" t="s">
        <v>238</v>
      </c>
      <c r="AQ3539" s="5" t="s">
        <v>238</v>
      </c>
      <c r="AR3539" s="5" t="s">
        <v>488</v>
      </c>
      <c r="AS3539" s="5" t="s">
        <v>488</v>
      </c>
      <c r="AT3539" s="5" t="s">
        <v>246</v>
      </c>
      <c r="AU3539" s="5" t="s">
        <v>489</v>
      </c>
      <c r="AV3539" s="5" t="s">
        <v>247</v>
      </c>
      <c r="AW3539" s="5" t="s">
        <v>238</v>
      </c>
      <c r="AX3539" s="5" t="s">
        <v>249</v>
      </c>
      <c r="AY3539" s="5" t="s">
        <v>490</v>
      </c>
      <c r="BA3539" s="5" t="s">
        <v>238</v>
      </c>
      <c r="BC3539" s="5" t="s">
        <v>491</v>
      </c>
      <c r="BD3539" s="6" t="s">
        <v>492</v>
      </c>
      <c r="BE3539" s="5" t="s">
        <v>493</v>
      </c>
      <c r="BF3539" s="5" t="s">
        <v>493</v>
      </c>
      <c r="BG3539" s="5" t="s">
        <v>238</v>
      </c>
      <c r="BH3539" s="8">
        <f>1</f>
        <v>1</v>
      </c>
      <c r="BI3539" s="8">
        <f>1</f>
        <v>1</v>
      </c>
      <c r="BJ3539" s="5" t="s">
        <v>253</v>
      </c>
      <c r="BK3539" s="5" t="s">
        <v>254</v>
      </c>
      <c r="BL3539" s="5" t="s">
        <v>238</v>
      </c>
      <c r="BM3539" s="5" t="s">
        <v>238</v>
      </c>
      <c r="BN3539" s="5" t="s">
        <v>238</v>
      </c>
      <c r="BO3539" s="5" t="s">
        <v>238</v>
      </c>
      <c r="BP3539" s="5" t="s">
        <v>238</v>
      </c>
      <c r="BQ3539" s="5" t="s">
        <v>238</v>
      </c>
      <c r="BR3539" s="5" t="s">
        <v>238</v>
      </c>
      <c r="BS3539" s="5" t="s">
        <v>238</v>
      </c>
      <c r="BT3539" s="6" t="s">
        <v>238</v>
      </c>
      <c r="BU3539" s="5" t="s">
        <v>238</v>
      </c>
      <c r="BV3539" s="5" t="s">
        <v>238</v>
      </c>
      <c r="BW3539" s="5" t="s">
        <v>238</v>
      </c>
      <c r="BX3539" s="5" t="s">
        <v>254</v>
      </c>
      <c r="BY3539" s="5" t="s">
        <v>238</v>
      </c>
      <c r="BZ3539" s="5" t="s">
        <v>238</v>
      </c>
      <c r="CA3539" s="5" t="s">
        <v>238</v>
      </c>
      <c r="CB3539" s="5" t="s">
        <v>238</v>
      </c>
      <c r="CC3539" s="5" t="s">
        <v>238</v>
      </c>
      <c r="CD3539" s="5" t="s">
        <v>273</v>
      </c>
      <c r="CE3539" s="5" t="s">
        <v>256</v>
      </c>
      <c r="CF3539" s="5" t="s">
        <v>238</v>
      </c>
      <c r="CH3539" s="5" t="s">
        <v>494</v>
      </c>
      <c r="CI3539" s="6" t="s">
        <v>257</v>
      </c>
      <c r="CJ3539" s="5" t="s">
        <v>495</v>
      </c>
      <c r="CK3539" s="5" t="s">
        <v>258</v>
      </c>
      <c r="CL3539" s="5" t="s">
        <v>496</v>
      </c>
      <c r="CM3539" s="5" t="s">
        <v>238</v>
      </c>
      <c r="CN3539" s="5">
        <v>0</v>
      </c>
      <c r="CO3539" s="5" t="s">
        <v>497</v>
      </c>
      <c r="CP3539" s="5" t="s">
        <v>260</v>
      </c>
      <c r="CQ3539" s="5" t="s">
        <v>260</v>
      </c>
      <c r="CR3539" s="5" t="s">
        <v>261</v>
      </c>
      <c r="CS3539" s="5" t="s">
        <v>498</v>
      </c>
      <c r="CT3539" s="7">
        <f>1</f>
        <v>1</v>
      </c>
      <c r="CU3539" s="8">
        <f>1</f>
        <v>1</v>
      </c>
      <c r="CV3539" s="8">
        <f>0</f>
        <v>0</v>
      </c>
      <c r="CX3539" s="8">
        <f>1</f>
        <v>1</v>
      </c>
      <c r="CY3539" s="8">
        <f>1</f>
        <v>1</v>
      </c>
      <c r="CZ3539" s="8" t="s">
        <v>238</v>
      </c>
      <c r="DA3539" s="5" t="s">
        <v>238</v>
      </c>
      <c r="DB3539" s="5" t="s">
        <v>238</v>
      </c>
      <c r="DC3539" s="5" t="s">
        <v>238</v>
      </c>
      <c r="DD3539" s="5" t="s">
        <v>238</v>
      </c>
      <c r="DE3539" s="8">
        <f>0</f>
        <v>0</v>
      </c>
      <c r="DG3539" s="5" t="s">
        <v>238</v>
      </c>
      <c r="DH3539" s="5" t="s">
        <v>238</v>
      </c>
      <c r="DI3539" s="5" t="s">
        <v>238</v>
      </c>
      <c r="DJ3539" s="5" t="s">
        <v>238</v>
      </c>
      <c r="DK3539" s="5" t="s">
        <v>238</v>
      </c>
      <c r="DL3539" s="5" t="s">
        <v>238</v>
      </c>
      <c r="DM3539" s="8" t="s">
        <v>238</v>
      </c>
      <c r="DN3539" s="5" t="s">
        <v>238</v>
      </c>
      <c r="DO3539" s="5" t="s">
        <v>238</v>
      </c>
      <c r="DP3539" s="5" t="s">
        <v>490</v>
      </c>
      <c r="DQ3539" s="5" t="s">
        <v>490</v>
      </c>
      <c r="DR3539" s="5" t="s">
        <v>238</v>
      </c>
      <c r="DS3539" s="5" t="s">
        <v>238</v>
      </c>
      <c r="DT3539" s="5" t="s">
        <v>500</v>
      </c>
      <c r="DU3539" s="5" t="s">
        <v>1056</v>
      </c>
      <c r="DV3539" s="5" t="s">
        <v>238</v>
      </c>
      <c r="DW3539" s="5" t="s">
        <v>238</v>
      </c>
      <c r="DX3539" s="5" t="s">
        <v>238</v>
      </c>
      <c r="DY3539" s="5" t="s">
        <v>238</v>
      </c>
      <c r="DZ3539" s="5" t="s">
        <v>238</v>
      </c>
      <c r="EA3539" s="5" t="s">
        <v>238</v>
      </c>
      <c r="EB3539" s="5" t="s">
        <v>238</v>
      </c>
      <c r="EC3539" s="5" t="s">
        <v>238</v>
      </c>
      <c r="ED3539" s="5" t="s">
        <v>238</v>
      </c>
      <c r="EE3539" s="5" t="s">
        <v>238</v>
      </c>
      <c r="EF3539" s="5" t="s">
        <v>238</v>
      </c>
      <c r="EG3539" s="5" t="s">
        <v>238</v>
      </c>
      <c r="EH3539" s="5" t="s">
        <v>238</v>
      </c>
      <c r="EI3539" s="5" t="s">
        <v>238</v>
      </c>
      <c r="EJ3539" s="5" t="s">
        <v>238</v>
      </c>
      <c r="EK3539" s="5" t="s">
        <v>238</v>
      </c>
      <c r="EL3539" s="5" t="s">
        <v>238</v>
      </c>
      <c r="EM3539" s="5" t="s">
        <v>238</v>
      </c>
      <c r="EN3539" s="5" t="s">
        <v>238</v>
      </c>
      <c r="EO3539" s="5" t="s">
        <v>238</v>
      </c>
      <c r="EP3539" s="5" t="s">
        <v>238</v>
      </c>
      <c r="EQ3539" s="5" t="s">
        <v>238</v>
      </c>
      <c r="ER3539" s="5" t="s">
        <v>238</v>
      </c>
      <c r="ES3539" s="5" t="s">
        <v>238</v>
      </c>
      <c r="ET3539" s="5" t="s">
        <v>238</v>
      </c>
      <c r="EU3539" s="5" t="s">
        <v>238</v>
      </c>
      <c r="EV3539" s="5" t="s">
        <v>238</v>
      </c>
      <c r="EW3539" s="5" t="s">
        <v>238</v>
      </c>
      <c r="EX3539" s="5" t="s">
        <v>238</v>
      </c>
      <c r="EY3539" s="5" t="s">
        <v>238</v>
      </c>
      <c r="EZ3539" s="5" t="s">
        <v>238</v>
      </c>
      <c r="FA3539" s="5" t="s">
        <v>238</v>
      </c>
      <c r="FB3539" s="5" t="s">
        <v>238</v>
      </c>
      <c r="FC3539" s="5" t="s">
        <v>238</v>
      </c>
      <c r="FD3539" s="5" t="s">
        <v>238</v>
      </c>
      <c r="FE3539" s="5" t="s">
        <v>238</v>
      </c>
      <c r="FF3539" s="5" t="s">
        <v>238</v>
      </c>
      <c r="FG3539" s="5" t="s">
        <v>238</v>
      </c>
      <c r="FH3539" s="5" t="s">
        <v>238</v>
      </c>
      <c r="FI3539" s="5" t="s">
        <v>238</v>
      </c>
      <c r="FJ3539" s="5" t="s">
        <v>238</v>
      </c>
      <c r="FK3539" s="5" t="s">
        <v>238</v>
      </c>
      <c r="FL3539" s="5" t="s">
        <v>238</v>
      </c>
      <c r="FM3539" s="5" t="s">
        <v>238</v>
      </c>
      <c r="FN3539" s="5" t="s">
        <v>238</v>
      </c>
      <c r="FO3539" s="5" t="s">
        <v>238</v>
      </c>
      <c r="FP3539" s="5" t="s">
        <v>238</v>
      </c>
      <c r="FQ3539" s="5" t="s">
        <v>238</v>
      </c>
      <c r="FR3539" s="5" t="s">
        <v>238</v>
      </c>
      <c r="FS3539" s="5" t="s">
        <v>238</v>
      </c>
      <c r="FT3539" s="5" t="s">
        <v>238</v>
      </c>
      <c r="FU3539" s="5" t="s">
        <v>238</v>
      </c>
      <c r="FV3539" s="5" t="s">
        <v>238</v>
      </c>
      <c r="FW3539" s="5" t="s">
        <v>238</v>
      </c>
      <c r="FX3539" s="5" t="s">
        <v>238</v>
      </c>
      <c r="FY3539" s="5" t="s">
        <v>238</v>
      </c>
      <c r="FZ3539" s="5" t="s">
        <v>238</v>
      </c>
      <c r="GA3539" s="5" t="s">
        <v>238</v>
      </c>
      <c r="GB3539" s="5" t="s">
        <v>238</v>
      </c>
      <c r="GC3539" s="5" t="s">
        <v>238</v>
      </c>
      <c r="GD3539" s="5" t="s">
        <v>238</v>
      </c>
      <c r="GE3539" s="5" t="s">
        <v>238</v>
      </c>
      <c r="GF3539" s="5" t="s">
        <v>238</v>
      </c>
      <c r="GG3539" s="5" t="s">
        <v>238</v>
      </c>
      <c r="GH3539" s="5" t="s">
        <v>238</v>
      </c>
      <c r="GI3539" s="5" t="s">
        <v>238</v>
      </c>
      <c r="GJ3539" s="5" t="s">
        <v>238</v>
      </c>
      <c r="GK3539" s="5" t="s">
        <v>238</v>
      </c>
      <c r="GL3539" s="5" t="s">
        <v>238</v>
      </c>
      <c r="GM3539" s="5" t="s">
        <v>238</v>
      </c>
      <c r="GN3539" s="5" t="s">
        <v>238</v>
      </c>
      <c r="GO3539" s="5" t="s">
        <v>238</v>
      </c>
      <c r="GP3539" s="5" t="s">
        <v>238</v>
      </c>
      <c r="GQ3539" s="5" t="s">
        <v>238</v>
      </c>
      <c r="GR3539" s="5" t="s">
        <v>238</v>
      </c>
      <c r="GS3539" s="5" t="s">
        <v>238</v>
      </c>
      <c r="GT3539" s="5" t="s">
        <v>238</v>
      </c>
      <c r="GU3539" s="5" t="s">
        <v>238</v>
      </c>
      <c r="GV3539" s="5" t="s">
        <v>238</v>
      </c>
      <c r="GW3539" s="5" t="s">
        <v>238</v>
      </c>
      <c r="GX3539" s="5" t="s">
        <v>238</v>
      </c>
      <c r="GY3539" s="5" t="s">
        <v>238</v>
      </c>
      <c r="GZ3539" s="5" t="s">
        <v>238</v>
      </c>
      <c r="HA3539" s="5" t="s">
        <v>238</v>
      </c>
      <c r="HB3539" s="5" t="s">
        <v>238</v>
      </c>
      <c r="HC3539" s="5" t="s">
        <v>238</v>
      </c>
      <c r="HD3539" s="5" t="s">
        <v>238</v>
      </c>
      <c r="HE3539" s="5" t="s">
        <v>238</v>
      </c>
      <c r="HF3539" s="5" t="s">
        <v>238</v>
      </c>
      <c r="HG3539" s="5" t="s">
        <v>238</v>
      </c>
      <c r="HH3539" s="5" t="s">
        <v>238</v>
      </c>
      <c r="HI3539" s="5" t="s">
        <v>238</v>
      </c>
      <c r="HJ3539" s="5" t="s">
        <v>238</v>
      </c>
      <c r="HK3539" s="5" t="s">
        <v>238</v>
      </c>
      <c r="HL3539" s="5" t="s">
        <v>238</v>
      </c>
      <c r="HM3539" s="5" t="s">
        <v>264</v>
      </c>
      <c r="HN3539" s="5" t="s">
        <v>238</v>
      </c>
      <c r="HO3539" s="5" t="s">
        <v>238</v>
      </c>
      <c r="HP3539" s="5" t="s">
        <v>238</v>
      </c>
      <c r="HQ3539" s="5" t="s">
        <v>238</v>
      </c>
      <c r="HR3539" s="5" t="s">
        <v>238</v>
      </c>
      <c r="HS3539" s="5" t="s">
        <v>238</v>
      </c>
      <c r="HT3539" s="5" t="s">
        <v>238</v>
      </c>
      <c r="HU3539" s="5" t="s">
        <v>238</v>
      </c>
      <c r="HV3539" s="5" t="s">
        <v>238</v>
      </c>
      <c r="HW3539" s="5" t="s">
        <v>238</v>
      </c>
      <c r="HX3539" s="5" t="s">
        <v>238</v>
      </c>
      <c r="HY3539" s="5" t="s">
        <v>238</v>
      </c>
      <c r="HZ3539" s="5" t="s">
        <v>238</v>
      </c>
      <c r="IA3539" s="5" t="s">
        <v>238</v>
      </c>
      <c r="IB3539" s="5" t="s">
        <v>238</v>
      </c>
      <c r="IC3539" s="5" t="s">
        <v>238</v>
      </c>
      <c r="ID3539" s="5" t="s">
        <v>238</v>
      </c>
    </row>
    <row r="3540" spans="1:238" x14ac:dyDescent="0.4">
      <c r="A3540" s="5">
        <v>9258</v>
      </c>
      <c r="B3540" s="5">
        <v>1</v>
      </c>
      <c r="C3540" s="5">
        <v>1</v>
      </c>
      <c r="D3540" s="5" t="s">
        <v>484</v>
      </c>
      <c r="E3540" s="5" t="s">
        <v>485</v>
      </c>
      <c r="F3540" s="5" t="s">
        <v>248</v>
      </c>
      <c r="G3540" s="5" t="s">
        <v>4826</v>
      </c>
      <c r="H3540" s="6" t="s">
        <v>4827</v>
      </c>
      <c r="I3540" s="8">
        <f>1</f>
        <v>1</v>
      </c>
      <c r="J3540" s="5" t="s">
        <v>499</v>
      </c>
      <c r="K3540" s="8">
        <f>1</f>
        <v>1</v>
      </c>
      <c r="L3540" s="6" t="s">
        <v>242</v>
      </c>
      <c r="M3540" s="5" t="s">
        <v>267</v>
      </c>
      <c r="N3540" s="5" t="s">
        <v>482</v>
      </c>
      <c r="O3540" s="5" t="s">
        <v>238</v>
      </c>
      <c r="P3540" s="5" t="s">
        <v>238</v>
      </c>
      <c r="Q3540" s="5" t="s">
        <v>239</v>
      </c>
      <c r="R3540" s="5" t="s">
        <v>270</v>
      </c>
      <c r="S3540" s="5" t="s">
        <v>238</v>
      </c>
      <c r="T3540" s="5" t="s">
        <v>238</v>
      </c>
      <c r="U3540" s="5" t="s">
        <v>238</v>
      </c>
      <c r="V3540" s="5" t="s">
        <v>238</v>
      </c>
      <c r="W3540" s="6" t="s">
        <v>238</v>
      </c>
      <c r="X3540" s="6" t="s">
        <v>238</v>
      </c>
      <c r="Y3540" s="5" t="s">
        <v>238</v>
      </c>
      <c r="Z3540" s="6" t="s">
        <v>238</v>
      </c>
      <c r="AA3540" s="6" t="s">
        <v>243</v>
      </c>
      <c r="AB3540" s="5" t="s">
        <v>486</v>
      </c>
      <c r="AC3540" s="5" t="s">
        <v>244</v>
      </c>
      <c r="AD3540" s="5" t="s">
        <v>245</v>
      </c>
      <c r="AE3540" s="5" t="s">
        <v>238</v>
      </c>
      <c r="AF3540" s="5" t="s">
        <v>238</v>
      </c>
      <c r="AG3540" s="5" t="s">
        <v>238</v>
      </c>
      <c r="AH3540" s="5" t="s">
        <v>238</v>
      </c>
      <c r="AI3540" s="5" t="s">
        <v>238</v>
      </c>
      <c r="AJ3540" s="5" t="s">
        <v>238</v>
      </c>
      <c r="AK3540" s="5" t="s">
        <v>238</v>
      </c>
      <c r="AL3540" s="5" t="s">
        <v>238</v>
      </c>
      <c r="AM3540" s="6" t="s">
        <v>238</v>
      </c>
      <c r="AN3540" s="6" t="s">
        <v>238</v>
      </c>
      <c r="AO3540" s="6" t="s">
        <v>238</v>
      </c>
      <c r="AP3540" s="6" t="s">
        <v>238</v>
      </c>
      <c r="AQ3540" s="5" t="s">
        <v>238</v>
      </c>
      <c r="AR3540" s="5" t="s">
        <v>488</v>
      </c>
      <c r="AS3540" s="5" t="s">
        <v>488</v>
      </c>
      <c r="AT3540" s="5" t="s">
        <v>246</v>
      </c>
      <c r="AU3540" s="5" t="s">
        <v>489</v>
      </c>
      <c r="AV3540" s="5" t="s">
        <v>247</v>
      </c>
      <c r="AW3540" s="5" t="s">
        <v>238</v>
      </c>
      <c r="AX3540" s="5" t="s">
        <v>249</v>
      </c>
      <c r="AY3540" s="5" t="s">
        <v>490</v>
      </c>
      <c r="BA3540" s="5" t="s">
        <v>238</v>
      </c>
      <c r="BC3540" s="5" t="s">
        <v>491</v>
      </c>
      <c r="BD3540" s="6" t="s">
        <v>492</v>
      </c>
      <c r="BE3540" s="5" t="s">
        <v>493</v>
      </c>
      <c r="BF3540" s="5" t="s">
        <v>493</v>
      </c>
      <c r="BG3540" s="5" t="s">
        <v>238</v>
      </c>
      <c r="BH3540" s="8">
        <f>1</f>
        <v>1</v>
      </c>
      <c r="BI3540" s="8">
        <f>1</f>
        <v>1</v>
      </c>
      <c r="BJ3540" s="5" t="s">
        <v>253</v>
      </c>
      <c r="BK3540" s="5" t="s">
        <v>254</v>
      </c>
      <c r="BL3540" s="5" t="s">
        <v>238</v>
      </c>
      <c r="BM3540" s="5" t="s">
        <v>238</v>
      </c>
      <c r="BN3540" s="5" t="s">
        <v>238</v>
      </c>
      <c r="BO3540" s="5" t="s">
        <v>238</v>
      </c>
      <c r="BP3540" s="5" t="s">
        <v>238</v>
      </c>
      <c r="BQ3540" s="5" t="s">
        <v>238</v>
      </c>
      <c r="BR3540" s="5" t="s">
        <v>238</v>
      </c>
      <c r="BS3540" s="5" t="s">
        <v>238</v>
      </c>
      <c r="BT3540" s="6" t="s">
        <v>238</v>
      </c>
      <c r="BU3540" s="5" t="s">
        <v>238</v>
      </c>
      <c r="BV3540" s="5" t="s">
        <v>238</v>
      </c>
      <c r="BW3540" s="5" t="s">
        <v>238</v>
      </c>
      <c r="BX3540" s="5" t="s">
        <v>254</v>
      </c>
      <c r="BY3540" s="5" t="s">
        <v>238</v>
      </c>
      <c r="BZ3540" s="5" t="s">
        <v>238</v>
      </c>
      <c r="CA3540" s="5" t="s">
        <v>238</v>
      </c>
      <c r="CB3540" s="5" t="s">
        <v>238</v>
      </c>
      <c r="CC3540" s="5" t="s">
        <v>238</v>
      </c>
      <c r="CD3540" s="5" t="s">
        <v>273</v>
      </c>
      <c r="CE3540" s="5" t="s">
        <v>256</v>
      </c>
      <c r="CF3540" s="5" t="s">
        <v>238</v>
      </c>
      <c r="CH3540" s="5" t="s">
        <v>494</v>
      </c>
      <c r="CI3540" s="6" t="s">
        <v>257</v>
      </c>
      <c r="CJ3540" s="5" t="s">
        <v>495</v>
      </c>
      <c r="CK3540" s="5" t="s">
        <v>258</v>
      </c>
      <c r="CL3540" s="5" t="s">
        <v>496</v>
      </c>
      <c r="CM3540" s="5" t="s">
        <v>238</v>
      </c>
      <c r="CN3540" s="5">
        <v>0</v>
      </c>
      <c r="CO3540" s="5" t="s">
        <v>497</v>
      </c>
      <c r="CP3540" s="5" t="s">
        <v>260</v>
      </c>
      <c r="CQ3540" s="5" t="s">
        <v>260</v>
      </c>
      <c r="CR3540" s="5" t="s">
        <v>261</v>
      </c>
      <c r="CS3540" s="5" t="s">
        <v>498</v>
      </c>
      <c r="CT3540" s="7">
        <f>1</f>
        <v>1</v>
      </c>
      <c r="CU3540" s="8">
        <f>1</f>
        <v>1</v>
      </c>
      <c r="CV3540" s="8">
        <f>0</f>
        <v>0</v>
      </c>
      <c r="CX3540" s="8">
        <f>1</f>
        <v>1</v>
      </c>
      <c r="CY3540" s="8">
        <f>1</f>
        <v>1</v>
      </c>
      <c r="CZ3540" s="8" t="s">
        <v>238</v>
      </c>
      <c r="DA3540" s="5" t="s">
        <v>238</v>
      </c>
      <c r="DB3540" s="5" t="s">
        <v>238</v>
      </c>
      <c r="DC3540" s="5" t="s">
        <v>238</v>
      </c>
      <c r="DD3540" s="5" t="s">
        <v>238</v>
      </c>
      <c r="DE3540" s="8">
        <f>0</f>
        <v>0</v>
      </c>
      <c r="DG3540" s="5" t="s">
        <v>238</v>
      </c>
      <c r="DH3540" s="5" t="s">
        <v>238</v>
      </c>
      <c r="DI3540" s="5" t="s">
        <v>238</v>
      </c>
      <c r="DJ3540" s="5" t="s">
        <v>238</v>
      </c>
      <c r="DK3540" s="5" t="s">
        <v>238</v>
      </c>
      <c r="DL3540" s="5" t="s">
        <v>238</v>
      </c>
      <c r="DM3540" s="8" t="s">
        <v>238</v>
      </c>
      <c r="DN3540" s="5" t="s">
        <v>238</v>
      </c>
      <c r="DO3540" s="5" t="s">
        <v>238</v>
      </c>
      <c r="DP3540" s="5" t="s">
        <v>490</v>
      </c>
      <c r="DQ3540" s="5" t="s">
        <v>490</v>
      </c>
      <c r="DR3540" s="5" t="s">
        <v>238</v>
      </c>
      <c r="DS3540" s="5" t="s">
        <v>238</v>
      </c>
      <c r="DT3540" s="5" t="s">
        <v>500</v>
      </c>
      <c r="DU3540" s="5" t="s">
        <v>784</v>
      </c>
      <c r="DV3540" s="5" t="s">
        <v>238</v>
      </c>
      <c r="DW3540" s="5" t="s">
        <v>238</v>
      </c>
      <c r="DX3540" s="5" t="s">
        <v>238</v>
      </c>
      <c r="DY3540" s="5" t="s">
        <v>238</v>
      </c>
      <c r="DZ3540" s="5" t="s">
        <v>238</v>
      </c>
      <c r="EA3540" s="5" t="s">
        <v>238</v>
      </c>
      <c r="EB3540" s="5" t="s">
        <v>238</v>
      </c>
      <c r="EC3540" s="5" t="s">
        <v>238</v>
      </c>
      <c r="ED3540" s="5" t="s">
        <v>238</v>
      </c>
      <c r="EE3540" s="5" t="s">
        <v>238</v>
      </c>
      <c r="EF3540" s="5" t="s">
        <v>238</v>
      </c>
      <c r="EG3540" s="5" t="s">
        <v>238</v>
      </c>
      <c r="EH3540" s="5" t="s">
        <v>238</v>
      </c>
      <c r="EI3540" s="5" t="s">
        <v>238</v>
      </c>
      <c r="EJ3540" s="5" t="s">
        <v>238</v>
      </c>
      <c r="EK3540" s="5" t="s">
        <v>238</v>
      </c>
      <c r="EL3540" s="5" t="s">
        <v>238</v>
      </c>
      <c r="EM3540" s="5" t="s">
        <v>238</v>
      </c>
      <c r="EN3540" s="5" t="s">
        <v>238</v>
      </c>
      <c r="EO3540" s="5" t="s">
        <v>238</v>
      </c>
      <c r="EP3540" s="5" t="s">
        <v>238</v>
      </c>
      <c r="EQ3540" s="5" t="s">
        <v>238</v>
      </c>
      <c r="ER3540" s="5" t="s">
        <v>238</v>
      </c>
      <c r="ES3540" s="5" t="s">
        <v>238</v>
      </c>
      <c r="ET3540" s="5" t="s">
        <v>238</v>
      </c>
      <c r="EU3540" s="5" t="s">
        <v>238</v>
      </c>
      <c r="EV3540" s="5" t="s">
        <v>238</v>
      </c>
      <c r="EW3540" s="5" t="s">
        <v>238</v>
      </c>
      <c r="EX3540" s="5" t="s">
        <v>238</v>
      </c>
      <c r="EY3540" s="5" t="s">
        <v>238</v>
      </c>
      <c r="EZ3540" s="5" t="s">
        <v>238</v>
      </c>
      <c r="FA3540" s="5" t="s">
        <v>238</v>
      </c>
      <c r="FB3540" s="5" t="s">
        <v>238</v>
      </c>
      <c r="FC3540" s="5" t="s">
        <v>238</v>
      </c>
      <c r="FD3540" s="5" t="s">
        <v>238</v>
      </c>
      <c r="FE3540" s="5" t="s">
        <v>238</v>
      </c>
      <c r="FF3540" s="5" t="s">
        <v>238</v>
      </c>
      <c r="FG3540" s="5" t="s">
        <v>238</v>
      </c>
      <c r="FH3540" s="5" t="s">
        <v>238</v>
      </c>
      <c r="FI3540" s="5" t="s">
        <v>238</v>
      </c>
      <c r="FJ3540" s="5" t="s">
        <v>238</v>
      </c>
      <c r="FK3540" s="5" t="s">
        <v>238</v>
      </c>
      <c r="FL3540" s="5" t="s">
        <v>238</v>
      </c>
      <c r="FM3540" s="5" t="s">
        <v>238</v>
      </c>
      <c r="FN3540" s="5" t="s">
        <v>238</v>
      </c>
      <c r="FO3540" s="5" t="s">
        <v>238</v>
      </c>
      <c r="FP3540" s="5" t="s">
        <v>238</v>
      </c>
      <c r="FQ3540" s="5" t="s">
        <v>238</v>
      </c>
      <c r="FR3540" s="5" t="s">
        <v>238</v>
      </c>
      <c r="FS3540" s="5" t="s">
        <v>238</v>
      </c>
      <c r="FT3540" s="5" t="s">
        <v>238</v>
      </c>
      <c r="FU3540" s="5" t="s">
        <v>238</v>
      </c>
      <c r="FV3540" s="5" t="s">
        <v>238</v>
      </c>
      <c r="FW3540" s="5" t="s">
        <v>238</v>
      </c>
      <c r="FX3540" s="5" t="s">
        <v>238</v>
      </c>
      <c r="FY3540" s="5" t="s">
        <v>238</v>
      </c>
      <c r="FZ3540" s="5" t="s">
        <v>238</v>
      </c>
      <c r="GA3540" s="5" t="s">
        <v>238</v>
      </c>
      <c r="GB3540" s="5" t="s">
        <v>238</v>
      </c>
      <c r="GC3540" s="5" t="s">
        <v>238</v>
      </c>
      <c r="GD3540" s="5" t="s">
        <v>238</v>
      </c>
      <c r="GE3540" s="5" t="s">
        <v>238</v>
      </c>
      <c r="GF3540" s="5" t="s">
        <v>238</v>
      </c>
      <c r="GG3540" s="5" t="s">
        <v>238</v>
      </c>
      <c r="GH3540" s="5" t="s">
        <v>238</v>
      </c>
      <c r="GI3540" s="5" t="s">
        <v>238</v>
      </c>
      <c r="GJ3540" s="5" t="s">
        <v>238</v>
      </c>
      <c r="GK3540" s="5" t="s">
        <v>238</v>
      </c>
      <c r="GL3540" s="5" t="s">
        <v>238</v>
      </c>
      <c r="GM3540" s="5" t="s">
        <v>238</v>
      </c>
      <c r="GN3540" s="5" t="s">
        <v>238</v>
      </c>
      <c r="GO3540" s="5" t="s">
        <v>238</v>
      </c>
      <c r="GP3540" s="5" t="s">
        <v>238</v>
      </c>
      <c r="GQ3540" s="5" t="s">
        <v>238</v>
      </c>
      <c r="GR3540" s="5" t="s">
        <v>238</v>
      </c>
      <c r="GS3540" s="5" t="s">
        <v>238</v>
      </c>
      <c r="GT3540" s="5" t="s">
        <v>238</v>
      </c>
      <c r="GU3540" s="5" t="s">
        <v>238</v>
      </c>
      <c r="GV3540" s="5" t="s">
        <v>238</v>
      </c>
      <c r="GW3540" s="5" t="s">
        <v>238</v>
      </c>
      <c r="GX3540" s="5" t="s">
        <v>238</v>
      </c>
      <c r="GY3540" s="5" t="s">
        <v>238</v>
      </c>
      <c r="GZ3540" s="5" t="s">
        <v>238</v>
      </c>
      <c r="HA3540" s="5" t="s">
        <v>238</v>
      </c>
      <c r="HB3540" s="5" t="s">
        <v>238</v>
      </c>
      <c r="HC3540" s="5" t="s">
        <v>238</v>
      </c>
      <c r="HD3540" s="5" t="s">
        <v>238</v>
      </c>
      <c r="HE3540" s="5" t="s">
        <v>238</v>
      </c>
      <c r="HF3540" s="5" t="s">
        <v>238</v>
      </c>
      <c r="HG3540" s="5" t="s">
        <v>238</v>
      </c>
      <c r="HH3540" s="5" t="s">
        <v>238</v>
      </c>
      <c r="HI3540" s="5" t="s">
        <v>238</v>
      </c>
      <c r="HJ3540" s="5" t="s">
        <v>238</v>
      </c>
      <c r="HK3540" s="5" t="s">
        <v>238</v>
      </c>
      <c r="HL3540" s="5" t="s">
        <v>238</v>
      </c>
      <c r="HM3540" s="5" t="s">
        <v>264</v>
      </c>
      <c r="HN3540" s="5" t="s">
        <v>238</v>
      </c>
      <c r="HO3540" s="5" t="s">
        <v>238</v>
      </c>
      <c r="HP3540" s="5" t="s">
        <v>238</v>
      </c>
      <c r="HQ3540" s="5" t="s">
        <v>238</v>
      </c>
      <c r="HR3540" s="5" t="s">
        <v>238</v>
      </c>
      <c r="HS3540" s="5" t="s">
        <v>238</v>
      </c>
      <c r="HT3540" s="5" t="s">
        <v>238</v>
      </c>
      <c r="HU3540" s="5" t="s">
        <v>238</v>
      </c>
      <c r="HV3540" s="5" t="s">
        <v>238</v>
      </c>
      <c r="HW3540" s="5" t="s">
        <v>238</v>
      </c>
      <c r="HX3540" s="5" t="s">
        <v>238</v>
      </c>
      <c r="HY3540" s="5" t="s">
        <v>238</v>
      </c>
      <c r="HZ3540" s="5" t="s">
        <v>238</v>
      </c>
      <c r="IA3540" s="5" t="s">
        <v>238</v>
      </c>
      <c r="IB3540" s="5" t="s">
        <v>238</v>
      </c>
      <c r="IC3540" s="5" t="s">
        <v>238</v>
      </c>
      <c r="ID3540" s="5" t="s">
        <v>238</v>
      </c>
    </row>
    <row r="3541" spans="1:238" x14ac:dyDescent="0.4">
      <c r="A3541" s="5">
        <v>9259</v>
      </c>
      <c r="B3541" s="5">
        <v>1</v>
      </c>
      <c r="C3541" s="5">
        <v>1</v>
      </c>
      <c r="D3541" s="5" t="s">
        <v>484</v>
      </c>
      <c r="E3541" s="5" t="s">
        <v>485</v>
      </c>
      <c r="F3541" s="5" t="s">
        <v>248</v>
      </c>
      <c r="G3541" s="5" t="s">
        <v>6388</v>
      </c>
      <c r="H3541" s="6" t="s">
        <v>6390</v>
      </c>
      <c r="I3541" s="8">
        <f>1</f>
        <v>1</v>
      </c>
      <c r="J3541" s="5" t="s">
        <v>499</v>
      </c>
      <c r="K3541" s="8">
        <f>1</f>
        <v>1</v>
      </c>
      <c r="L3541" s="6" t="s">
        <v>242</v>
      </c>
      <c r="M3541" s="5" t="s">
        <v>267</v>
      </c>
      <c r="N3541" s="5" t="s">
        <v>482</v>
      </c>
      <c r="O3541" s="5" t="s">
        <v>238</v>
      </c>
      <c r="P3541" s="5" t="s">
        <v>238</v>
      </c>
      <c r="Q3541" s="5" t="s">
        <v>239</v>
      </c>
      <c r="R3541" s="5" t="s">
        <v>270</v>
      </c>
      <c r="S3541" s="5" t="s">
        <v>238</v>
      </c>
      <c r="T3541" s="5" t="s">
        <v>238</v>
      </c>
      <c r="U3541" s="5" t="s">
        <v>238</v>
      </c>
      <c r="V3541" s="5" t="s">
        <v>238</v>
      </c>
      <c r="W3541" s="6" t="s">
        <v>238</v>
      </c>
      <c r="X3541" s="6" t="s">
        <v>238</v>
      </c>
      <c r="Y3541" s="5" t="s">
        <v>238</v>
      </c>
      <c r="Z3541" s="6" t="s">
        <v>238</v>
      </c>
      <c r="AA3541" s="6" t="s">
        <v>243</v>
      </c>
      <c r="AB3541" s="5" t="s">
        <v>6389</v>
      </c>
      <c r="AC3541" s="5" t="s">
        <v>244</v>
      </c>
      <c r="AD3541" s="5" t="s">
        <v>245</v>
      </c>
      <c r="AE3541" s="5" t="s">
        <v>238</v>
      </c>
      <c r="AF3541" s="5" t="s">
        <v>238</v>
      </c>
      <c r="AG3541" s="5" t="s">
        <v>238</v>
      </c>
      <c r="AH3541" s="5" t="s">
        <v>238</v>
      </c>
      <c r="AI3541" s="5" t="s">
        <v>238</v>
      </c>
      <c r="AJ3541" s="5" t="s">
        <v>238</v>
      </c>
      <c r="AK3541" s="5" t="s">
        <v>238</v>
      </c>
      <c r="AL3541" s="5" t="s">
        <v>238</v>
      </c>
      <c r="AM3541" s="6" t="s">
        <v>238</v>
      </c>
      <c r="AN3541" s="6" t="s">
        <v>238</v>
      </c>
      <c r="AO3541" s="6" t="s">
        <v>238</v>
      </c>
      <c r="AP3541" s="6" t="s">
        <v>238</v>
      </c>
      <c r="AQ3541" s="5" t="s">
        <v>238</v>
      </c>
      <c r="AR3541" s="5" t="s">
        <v>488</v>
      </c>
      <c r="AS3541" s="5" t="s">
        <v>488</v>
      </c>
      <c r="AT3541" s="5" t="s">
        <v>246</v>
      </c>
      <c r="AU3541" s="5" t="s">
        <v>489</v>
      </c>
      <c r="AV3541" s="5" t="s">
        <v>247</v>
      </c>
      <c r="AW3541" s="5" t="s">
        <v>238</v>
      </c>
      <c r="AX3541" s="5" t="s">
        <v>249</v>
      </c>
      <c r="AY3541" s="5" t="s">
        <v>490</v>
      </c>
      <c r="BA3541" s="5" t="s">
        <v>238</v>
      </c>
      <c r="BC3541" s="5" t="s">
        <v>491</v>
      </c>
      <c r="BD3541" s="6" t="s">
        <v>492</v>
      </c>
      <c r="BE3541" s="5" t="s">
        <v>493</v>
      </c>
      <c r="BF3541" s="5" t="s">
        <v>493</v>
      </c>
      <c r="BG3541" s="5" t="s">
        <v>238</v>
      </c>
      <c r="BH3541" s="8">
        <f>1</f>
        <v>1</v>
      </c>
      <c r="BI3541" s="8">
        <f>1</f>
        <v>1</v>
      </c>
      <c r="BJ3541" s="5" t="s">
        <v>253</v>
      </c>
      <c r="BK3541" s="5" t="s">
        <v>254</v>
      </c>
      <c r="BL3541" s="5" t="s">
        <v>238</v>
      </c>
      <c r="BM3541" s="5" t="s">
        <v>238</v>
      </c>
      <c r="BN3541" s="5" t="s">
        <v>238</v>
      </c>
      <c r="BO3541" s="5" t="s">
        <v>238</v>
      </c>
      <c r="BP3541" s="5" t="s">
        <v>238</v>
      </c>
      <c r="BQ3541" s="5" t="s">
        <v>238</v>
      </c>
      <c r="BR3541" s="5" t="s">
        <v>238</v>
      </c>
      <c r="BS3541" s="5" t="s">
        <v>238</v>
      </c>
      <c r="BT3541" s="6" t="s">
        <v>238</v>
      </c>
      <c r="BU3541" s="5" t="s">
        <v>238</v>
      </c>
      <c r="BV3541" s="5" t="s">
        <v>238</v>
      </c>
      <c r="BW3541" s="5" t="s">
        <v>238</v>
      </c>
      <c r="BX3541" s="5" t="s">
        <v>254</v>
      </c>
      <c r="BY3541" s="5" t="s">
        <v>238</v>
      </c>
      <c r="BZ3541" s="5" t="s">
        <v>238</v>
      </c>
      <c r="CA3541" s="5" t="s">
        <v>238</v>
      </c>
      <c r="CB3541" s="5" t="s">
        <v>238</v>
      </c>
      <c r="CC3541" s="5" t="s">
        <v>238</v>
      </c>
      <c r="CD3541" s="5" t="s">
        <v>273</v>
      </c>
      <c r="CE3541" s="5" t="s">
        <v>256</v>
      </c>
      <c r="CF3541" s="5" t="s">
        <v>238</v>
      </c>
      <c r="CH3541" s="5" t="s">
        <v>494</v>
      </c>
      <c r="CI3541" s="6" t="s">
        <v>257</v>
      </c>
      <c r="CJ3541" s="5" t="s">
        <v>495</v>
      </c>
      <c r="CK3541" s="5" t="s">
        <v>258</v>
      </c>
      <c r="CL3541" s="5" t="s">
        <v>496</v>
      </c>
      <c r="CM3541" s="5" t="s">
        <v>238</v>
      </c>
      <c r="CN3541" s="5">
        <v>0</v>
      </c>
      <c r="CO3541" s="5" t="s">
        <v>497</v>
      </c>
      <c r="CP3541" s="5" t="s">
        <v>260</v>
      </c>
      <c r="CQ3541" s="5" t="s">
        <v>260</v>
      </c>
      <c r="CR3541" s="5" t="s">
        <v>261</v>
      </c>
      <c r="CS3541" s="5" t="s">
        <v>498</v>
      </c>
      <c r="CT3541" s="7">
        <f>1</f>
        <v>1</v>
      </c>
      <c r="CU3541" s="8">
        <f>1</f>
        <v>1</v>
      </c>
      <c r="CV3541" s="8">
        <f>0</f>
        <v>0</v>
      </c>
      <c r="CX3541" s="8">
        <f>1</f>
        <v>1</v>
      </c>
      <c r="CY3541" s="8">
        <f>1</f>
        <v>1</v>
      </c>
      <c r="CZ3541" s="8" t="s">
        <v>238</v>
      </c>
      <c r="DA3541" s="5" t="s">
        <v>238</v>
      </c>
      <c r="DB3541" s="5" t="s">
        <v>238</v>
      </c>
      <c r="DC3541" s="5" t="s">
        <v>238</v>
      </c>
      <c r="DD3541" s="5" t="s">
        <v>238</v>
      </c>
      <c r="DE3541" s="8">
        <f>0</f>
        <v>0</v>
      </c>
      <c r="DG3541" s="5" t="s">
        <v>238</v>
      </c>
      <c r="DH3541" s="5" t="s">
        <v>238</v>
      </c>
      <c r="DI3541" s="5" t="s">
        <v>238</v>
      </c>
      <c r="DJ3541" s="5" t="s">
        <v>238</v>
      </c>
      <c r="DK3541" s="5" t="s">
        <v>238</v>
      </c>
      <c r="DL3541" s="5" t="s">
        <v>238</v>
      </c>
      <c r="DM3541" s="8" t="s">
        <v>238</v>
      </c>
      <c r="DN3541" s="5" t="s">
        <v>238</v>
      </c>
      <c r="DO3541" s="5" t="s">
        <v>238</v>
      </c>
      <c r="DP3541" s="5" t="s">
        <v>490</v>
      </c>
      <c r="DQ3541" s="5" t="s">
        <v>490</v>
      </c>
      <c r="DR3541" s="5" t="s">
        <v>238</v>
      </c>
      <c r="DS3541" s="5" t="s">
        <v>238</v>
      </c>
      <c r="DT3541" s="5" t="s">
        <v>500</v>
      </c>
      <c r="DU3541" s="5" t="s">
        <v>774</v>
      </c>
      <c r="DV3541" s="5" t="s">
        <v>238</v>
      </c>
      <c r="DW3541" s="5" t="s">
        <v>238</v>
      </c>
      <c r="DX3541" s="5" t="s">
        <v>238</v>
      </c>
      <c r="DY3541" s="5" t="s">
        <v>238</v>
      </c>
      <c r="DZ3541" s="5" t="s">
        <v>238</v>
      </c>
      <c r="EA3541" s="5" t="s">
        <v>238</v>
      </c>
      <c r="EB3541" s="5" t="s">
        <v>238</v>
      </c>
      <c r="EC3541" s="5" t="s">
        <v>238</v>
      </c>
      <c r="ED3541" s="5" t="s">
        <v>238</v>
      </c>
      <c r="EE3541" s="5" t="s">
        <v>238</v>
      </c>
      <c r="EF3541" s="5" t="s">
        <v>238</v>
      </c>
      <c r="EG3541" s="5" t="s">
        <v>238</v>
      </c>
      <c r="EH3541" s="5" t="s">
        <v>238</v>
      </c>
      <c r="EI3541" s="5" t="s">
        <v>238</v>
      </c>
      <c r="EJ3541" s="5" t="s">
        <v>238</v>
      </c>
      <c r="EK3541" s="5" t="s">
        <v>238</v>
      </c>
      <c r="EL3541" s="5" t="s">
        <v>238</v>
      </c>
      <c r="EM3541" s="5" t="s">
        <v>238</v>
      </c>
      <c r="EN3541" s="5" t="s">
        <v>238</v>
      </c>
      <c r="EO3541" s="5" t="s">
        <v>238</v>
      </c>
      <c r="EP3541" s="5" t="s">
        <v>238</v>
      </c>
      <c r="EQ3541" s="5" t="s">
        <v>238</v>
      </c>
      <c r="ER3541" s="5" t="s">
        <v>238</v>
      </c>
      <c r="ES3541" s="5" t="s">
        <v>238</v>
      </c>
      <c r="ET3541" s="5" t="s">
        <v>238</v>
      </c>
      <c r="EU3541" s="5" t="s">
        <v>238</v>
      </c>
      <c r="EV3541" s="5" t="s">
        <v>238</v>
      </c>
      <c r="EW3541" s="5" t="s">
        <v>238</v>
      </c>
      <c r="EX3541" s="5" t="s">
        <v>238</v>
      </c>
      <c r="EY3541" s="5" t="s">
        <v>238</v>
      </c>
      <c r="EZ3541" s="5" t="s">
        <v>238</v>
      </c>
      <c r="FA3541" s="5" t="s">
        <v>238</v>
      </c>
      <c r="FB3541" s="5" t="s">
        <v>238</v>
      </c>
      <c r="FC3541" s="5" t="s">
        <v>238</v>
      </c>
      <c r="FD3541" s="5" t="s">
        <v>238</v>
      </c>
      <c r="FE3541" s="5" t="s">
        <v>238</v>
      </c>
      <c r="FF3541" s="5" t="s">
        <v>238</v>
      </c>
      <c r="FG3541" s="5" t="s">
        <v>238</v>
      </c>
      <c r="FH3541" s="5" t="s">
        <v>238</v>
      </c>
      <c r="FI3541" s="5" t="s">
        <v>238</v>
      </c>
      <c r="FJ3541" s="5" t="s">
        <v>238</v>
      </c>
      <c r="FK3541" s="5" t="s">
        <v>238</v>
      </c>
      <c r="FL3541" s="5" t="s">
        <v>238</v>
      </c>
      <c r="FM3541" s="5" t="s">
        <v>238</v>
      </c>
      <c r="FN3541" s="5" t="s">
        <v>238</v>
      </c>
      <c r="FO3541" s="5" t="s">
        <v>238</v>
      </c>
      <c r="FP3541" s="5" t="s">
        <v>238</v>
      </c>
      <c r="FQ3541" s="5" t="s">
        <v>238</v>
      </c>
      <c r="FR3541" s="5" t="s">
        <v>238</v>
      </c>
      <c r="FS3541" s="5" t="s">
        <v>238</v>
      </c>
      <c r="FT3541" s="5" t="s">
        <v>238</v>
      </c>
      <c r="FU3541" s="5" t="s">
        <v>238</v>
      </c>
      <c r="FV3541" s="5" t="s">
        <v>238</v>
      </c>
      <c r="FW3541" s="5" t="s">
        <v>238</v>
      </c>
      <c r="FX3541" s="5" t="s">
        <v>238</v>
      </c>
      <c r="FY3541" s="5" t="s">
        <v>238</v>
      </c>
      <c r="FZ3541" s="5" t="s">
        <v>238</v>
      </c>
      <c r="GA3541" s="5" t="s">
        <v>238</v>
      </c>
      <c r="GB3541" s="5" t="s">
        <v>238</v>
      </c>
      <c r="GC3541" s="5" t="s">
        <v>238</v>
      </c>
      <c r="GD3541" s="5" t="s">
        <v>238</v>
      </c>
      <c r="GE3541" s="5" t="s">
        <v>238</v>
      </c>
      <c r="GF3541" s="5" t="s">
        <v>238</v>
      </c>
      <c r="GG3541" s="5" t="s">
        <v>238</v>
      </c>
      <c r="GH3541" s="5" t="s">
        <v>238</v>
      </c>
      <c r="GI3541" s="5" t="s">
        <v>238</v>
      </c>
      <c r="GJ3541" s="5" t="s">
        <v>238</v>
      </c>
      <c r="GK3541" s="5" t="s">
        <v>238</v>
      </c>
      <c r="GL3541" s="5" t="s">
        <v>238</v>
      </c>
      <c r="GM3541" s="5" t="s">
        <v>238</v>
      </c>
      <c r="GN3541" s="5" t="s">
        <v>238</v>
      </c>
      <c r="GO3541" s="5" t="s">
        <v>238</v>
      </c>
      <c r="GP3541" s="5" t="s">
        <v>238</v>
      </c>
      <c r="GQ3541" s="5" t="s">
        <v>238</v>
      </c>
      <c r="GR3541" s="5" t="s">
        <v>238</v>
      </c>
      <c r="GS3541" s="5" t="s">
        <v>238</v>
      </c>
      <c r="GT3541" s="5" t="s">
        <v>238</v>
      </c>
      <c r="GU3541" s="5" t="s">
        <v>238</v>
      </c>
      <c r="GV3541" s="5" t="s">
        <v>238</v>
      </c>
      <c r="GW3541" s="5" t="s">
        <v>238</v>
      </c>
      <c r="GX3541" s="5" t="s">
        <v>238</v>
      </c>
      <c r="GY3541" s="5" t="s">
        <v>238</v>
      </c>
      <c r="GZ3541" s="5" t="s">
        <v>238</v>
      </c>
      <c r="HA3541" s="5" t="s">
        <v>238</v>
      </c>
      <c r="HB3541" s="5" t="s">
        <v>238</v>
      </c>
      <c r="HC3541" s="5" t="s">
        <v>238</v>
      </c>
      <c r="HD3541" s="5" t="s">
        <v>238</v>
      </c>
      <c r="HE3541" s="5" t="s">
        <v>238</v>
      </c>
      <c r="HF3541" s="5" t="s">
        <v>238</v>
      </c>
      <c r="HG3541" s="5" t="s">
        <v>238</v>
      </c>
      <c r="HH3541" s="5" t="s">
        <v>238</v>
      </c>
      <c r="HI3541" s="5" t="s">
        <v>238</v>
      </c>
      <c r="HJ3541" s="5" t="s">
        <v>238</v>
      </c>
      <c r="HK3541" s="5" t="s">
        <v>238</v>
      </c>
      <c r="HL3541" s="5" t="s">
        <v>238</v>
      </c>
      <c r="HM3541" s="5" t="s">
        <v>264</v>
      </c>
      <c r="HN3541" s="5" t="s">
        <v>238</v>
      </c>
      <c r="HO3541" s="5" t="s">
        <v>238</v>
      </c>
      <c r="HP3541" s="5" t="s">
        <v>238</v>
      </c>
      <c r="HQ3541" s="5" t="s">
        <v>238</v>
      </c>
      <c r="HR3541" s="5" t="s">
        <v>238</v>
      </c>
      <c r="HS3541" s="5" t="s">
        <v>238</v>
      </c>
      <c r="HT3541" s="5" t="s">
        <v>238</v>
      </c>
      <c r="HU3541" s="5" t="s">
        <v>238</v>
      </c>
      <c r="HV3541" s="5" t="s">
        <v>238</v>
      </c>
      <c r="HW3541" s="5" t="s">
        <v>238</v>
      </c>
      <c r="HX3541" s="5" t="s">
        <v>238</v>
      </c>
      <c r="HY3541" s="5" t="s">
        <v>238</v>
      </c>
      <c r="HZ3541" s="5" t="s">
        <v>238</v>
      </c>
      <c r="IA3541" s="5" t="s">
        <v>238</v>
      </c>
      <c r="IB3541" s="5" t="s">
        <v>238</v>
      </c>
      <c r="IC3541" s="5" t="s">
        <v>238</v>
      </c>
      <c r="ID3541" s="5" t="s">
        <v>238</v>
      </c>
    </row>
    <row r="3542" spans="1:238" x14ac:dyDescent="0.4">
      <c r="A3542" s="5">
        <v>9260</v>
      </c>
      <c r="B3542" s="5">
        <v>1</v>
      </c>
      <c r="C3542" s="5">
        <v>1</v>
      </c>
      <c r="D3542" s="5" t="s">
        <v>484</v>
      </c>
      <c r="E3542" s="5" t="s">
        <v>485</v>
      </c>
      <c r="F3542" s="5" t="s">
        <v>248</v>
      </c>
      <c r="G3542" s="5" t="s">
        <v>4800</v>
      </c>
      <c r="H3542" s="6" t="s">
        <v>4802</v>
      </c>
      <c r="I3542" s="8">
        <f>1</f>
        <v>1</v>
      </c>
      <c r="J3542" s="5" t="s">
        <v>499</v>
      </c>
      <c r="K3542" s="8">
        <f>1</f>
        <v>1</v>
      </c>
      <c r="L3542" s="6" t="s">
        <v>242</v>
      </c>
      <c r="M3542" s="5" t="s">
        <v>267</v>
      </c>
      <c r="N3542" s="5" t="s">
        <v>482</v>
      </c>
      <c r="O3542" s="5" t="s">
        <v>238</v>
      </c>
      <c r="P3542" s="5" t="s">
        <v>238</v>
      </c>
      <c r="Q3542" s="5" t="s">
        <v>239</v>
      </c>
      <c r="R3542" s="5" t="s">
        <v>270</v>
      </c>
      <c r="S3542" s="5" t="s">
        <v>238</v>
      </c>
      <c r="T3542" s="5" t="s">
        <v>238</v>
      </c>
      <c r="U3542" s="5" t="s">
        <v>238</v>
      </c>
      <c r="V3542" s="5" t="s">
        <v>238</v>
      </c>
      <c r="W3542" s="6" t="s">
        <v>238</v>
      </c>
      <c r="X3542" s="6" t="s">
        <v>238</v>
      </c>
      <c r="Y3542" s="5" t="s">
        <v>238</v>
      </c>
      <c r="Z3542" s="6" t="s">
        <v>238</v>
      </c>
      <c r="AA3542" s="6" t="s">
        <v>243</v>
      </c>
      <c r="AB3542" s="5" t="s">
        <v>4801</v>
      </c>
      <c r="AC3542" s="5" t="s">
        <v>244</v>
      </c>
      <c r="AD3542" s="5" t="s">
        <v>245</v>
      </c>
      <c r="AE3542" s="5" t="s">
        <v>238</v>
      </c>
      <c r="AF3542" s="5" t="s">
        <v>238</v>
      </c>
      <c r="AG3542" s="5" t="s">
        <v>238</v>
      </c>
      <c r="AH3542" s="5" t="s">
        <v>238</v>
      </c>
      <c r="AI3542" s="5" t="s">
        <v>238</v>
      </c>
      <c r="AJ3542" s="5" t="s">
        <v>238</v>
      </c>
      <c r="AK3542" s="5" t="s">
        <v>238</v>
      </c>
      <c r="AL3542" s="5" t="s">
        <v>238</v>
      </c>
      <c r="AM3542" s="6" t="s">
        <v>238</v>
      </c>
      <c r="AN3542" s="6" t="s">
        <v>238</v>
      </c>
      <c r="AO3542" s="6" t="s">
        <v>238</v>
      </c>
      <c r="AP3542" s="6" t="s">
        <v>238</v>
      </c>
      <c r="AQ3542" s="5" t="s">
        <v>238</v>
      </c>
      <c r="AR3542" s="5" t="s">
        <v>488</v>
      </c>
      <c r="AS3542" s="5" t="s">
        <v>488</v>
      </c>
      <c r="AT3542" s="5" t="s">
        <v>246</v>
      </c>
      <c r="AU3542" s="5" t="s">
        <v>489</v>
      </c>
      <c r="AV3542" s="5" t="s">
        <v>247</v>
      </c>
      <c r="AW3542" s="5" t="s">
        <v>238</v>
      </c>
      <c r="AX3542" s="5" t="s">
        <v>249</v>
      </c>
      <c r="AY3542" s="5" t="s">
        <v>490</v>
      </c>
      <c r="BA3542" s="5" t="s">
        <v>238</v>
      </c>
      <c r="BC3542" s="5" t="s">
        <v>491</v>
      </c>
      <c r="BD3542" s="6" t="s">
        <v>492</v>
      </c>
      <c r="BE3542" s="5" t="s">
        <v>493</v>
      </c>
      <c r="BF3542" s="5" t="s">
        <v>493</v>
      </c>
      <c r="BG3542" s="5" t="s">
        <v>238</v>
      </c>
      <c r="BH3542" s="8">
        <f>1</f>
        <v>1</v>
      </c>
      <c r="BI3542" s="8">
        <f>1</f>
        <v>1</v>
      </c>
      <c r="BJ3542" s="5" t="s">
        <v>253</v>
      </c>
      <c r="BK3542" s="5" t="s">
        <v>254</v>
      </c>
      <c r="BL3542" s="5" t="s">
        <v>238</v>
      </c>
      <c r="BM3542" s="5" t="s">
        <v>238</v>
      </c>
      <c r="BN3542" s="5" t="s">
        <v>238</v>
      </c>
      <c r="BO3542" s="5" t="s">
        <v>238</v>
      </c>
      <c r="BP3542" s="5" t="s">
        <v>238</v>
      </c>
      <c r="BQ3542" s="5" t="s">
        <v>238</v>
      </c>
      <c r="BR3542" s="5" t="s">
        <v>238</v>
      </c>
      <c r="BS3542" s="5" t="s">
        <v>238</v>
      </c>
      <c r="BT3542" s="6" t="s">
        <v>238</v>
      </c>
      <c r="BU3542" s="5" t="s">
        <v>238</v>
      </c>
      <c r="BV3542" s="5" t="s">
        <v>238</v>
      </c>
      <c r="BW3542" s="5" t="s">
        <v>238</v>
      </c>
      <c r="BX3542" s="5" t="s">
        <v>254</v>
      </c>
      <c r="BY3542" s="5" t="s">
        <v>238</v>
      </c>
      <c r="BZ3542" s="5" t="s">
        <v>238</v>
      </c>
      <c r="CA3542" s="5" t="s">
        <v>238</v>
      </c>
      <c r="CB3542" s="5" t="s">
        <v>238</v>
      </c>
      <c r="CC3542" s="5" t="s">
        <v>238</v>
      </c>
      <c r="CD3542" s="5" t="s">
        <v>273</v>
      </c>
      <c r="CE3542" s="5" t="s">
        <v>256</v>
      </c>
      <c r="CF3542" s="5" t="s">
        <v>238</v>
      </c>
      <c r="CH3542" s="5" t="s">
        <v>494</v>
      </c>
      <c r="CI3542" s="6" t="s">
        <v>257</v>
      </c>
      <c r="CJ3542" s="5" t="s">
        <v>495</v>
      </c>
      <c r="CK3542" s="5" t="s">
        <v>258</v>
      </c>
      <c r="CL3542" s="5" t="s">
        <v>496</v>
      </c>
      <c r="CM3542" s="5" t="s">
        <v>238</v>
      </c>
      <c r="CN3542" s="5">
        <v>0</v>
      </c>
      <c r="CO3542" s="5" t="s">
        <v>497</v>
      </c>
      <c r="CP3542" s="5" t="s">
        <v>260</v>
      </c>
      <c r="CQ3542" s="5" t="s">
        <v>260</v>
      </c>
      <c r="CR3542" s="5" t="s">
        <v>261</v>
      </c>
      <c r="CS3542" s="5" t="s">
        <v>498</v>
      </c>
      <c r="CT3542" s="7">
        <f>1</f>
        <v>1</v>
      </c>
      <c r="CU3542" s="8">
        <f>1</f>
        <v>1</v>
      </c>
      <c r="CV3542" s="8">
        <f>0</f>
        <v>0</v>
      </c>
      <c r="CX3542" s="8">
        <f>1</f>
        <v>1</v>
      </c>
      <c r="CY3542" s="8">
        <f>1</f>
        <v>1</v>
      </c>
      <c r="CZ3542" s="8" t="s">
        <v>238</v>
      </c>
      <c r="DA3542" s="5" t="s">
        <v>238</v>
      </c>
      <c r="DB3542" s="5" t="s">
        <v>238</v>
      </c>
      <c r="DC3542" s="5" t="s">
        <v>238</v>
      </c>
      <c r="DD3542" s="5" t="s">
        <v>238</v>
      </c>
      <c r="DE3542" s="8">
        <f>0</f>
        <v>0</v>
      </c>
      <c r="DG3542" s="5" t="s">
        <v>238</v>
      </c>
      <c r="DH3542" s="5" t="s">
        <v>238</v>
      </c>
      <c r="DI3542" s="5" t="s">
        <v>238</v>
      </c>
      <c r="DJ3542" s="5" t="s">
        <v>238</v>
      </c>
      <c r="DK3542" s="5" t="s">
        <v>238</v>
      </c>
      <c r="DL3542" s="5" t="s">
        <v>238</v>
      </c>
      <c r="DM3542" s="8" t="s">
        <v>238</v>
      </c>
      <c r="DN3542" s="5" t="s">
        <v>238</v>
      </c>
      <c r="DO3542" s="5" t="s">
        <v>238</v>
      </c>
      <c r="DP3542" s="5" t="s">
        <v>490</v>
      </c>
      <c r="DQ3542" s="5" t="s">
        <v>490</v>
      </c>
      <c r="DR3542" s="5" t="s">
        <v>238</v>
      </c>
      <c r="DS3542" s="5" t="s">
        <v>238</v>
      </c>
      <c r="DT3542" s="5" t="s">
        <v>500</v>
      </c>
      <c r="DU3542" s="5" t="s">
        <v>758</v>
      </c>
      <c r="DV3542" s="5" t="s">
        <v>238</v>
      </c>
      <c r="DW3542" s="5" t="s">
        <v>238</v>
      </c>
      <c r="DX3542" s="5" t="s">
        <v>238</v>
      </c>
      <c r="DY3542" s="5" t="s">
        <v>238</v>
      </c>
      <c r="DZ3542" s="5" t="s">
        <v>238</v>
      </c>
      <c r="EA3542" s="5" t="s">
        <v>238</v>
      </c>
      <c r="EB3542" s="5" t="s">
        <v>238</v>
      </c>
      <c r="EC3542" s="5" t="s">
        <v>238</v>
      </c>
      <c r="ED3542" s="5" t="s">
        <v>238</v>
      </c>
      <c r="EE3542" s="5" t="s">
        <v>238</v>
      </c>
      <c r="EF3542" s="5" t="s">
        <v>238</v>
      </c>
      <c r="EG3542" s="5" t="s">
        <v>238</v>
      </c>
      <c r="EH3542" s="5" t="s">
        <v>238</v>
      </c>
      <c r="EI3542" s="5" t="s">
        <v>238</v>
      </c>
      <c r="EJ3542" s="5" t="s">
        <v>238</v>
      </c>
      <c r="EK3542" s="5" t="s">
        <v>238</v>
      </c>
      <c r="EL3542" s="5" t="s">
        <v>238</v>
      </c>
      <c r="EM3542" s="5" t="s">
        <v>238</v>
      </c>
      <c r="EN3542" s="5" t="s">
        <v>238</v>
      </c>
      <c r="EO3542" s="5" t="s">
        <v>238</v>
      </c>
      <c r="EP3542" s="5" t="s">
        <v>238</v>
      </c>
      <c r="EQ3542" s="5" t="s">
        <v>238</v>
      </c>
      <c r="ER3542" s="5" t="s">
        <v>238</v>
      </c>
      <c r="ES3542" s="5" t="s">
        <v>238</v>
      </c>
      <c r="ET3542" s="5" t="s">
        <v>238</v>
      </c>
      <c r="EU3542" s="5" t="s">
        <v>238</v>
      </c>
      <c r="EV3542" s="5" t="s">
        <v>238</v>
      </c>
      <c r="EW3542" s="5" t="s">
        <v>238</v>
      </c>
      <c r="EX3542" s="5" t="s">
        <v>238</v>
      </c>
      <c r="EY3542" s="5" t="s">
        <v>238</v>
      </c>
      <c r="EZ3542" s="5" t="s">
        <v>238</v>
      </c>
      <c r="FA3542" s="5" t="s">
        <v>238</v>
      </c>
      <c r="FB3542" s="5" t="s">
        <v>238</v>
      </c>
      <c r="FC3542" s="5" t="s">
        <v>238</v>
      </c>
      <c r="FD3542" s="5" t="s">
        <v>238</v>
      </c>
      <c r="FE3542" s="5" t="s">
        <v>238</v>
      </c>
      <c r="FF3542" s="5" t="s">
        <v>238</v>
      </c>
      <c r="FG3542" s="5" t="s">
        <v>238</v>
      </c>
      <c r="FH3542" s="5" t="s">
        <v>238</v>
      </c>
      <c r="FI3542" s="5" t="s">
        <v>238</v>
      </c>
      <c r="FJ3542" s="5" t="s">
        <v>238</v>
      </c>
      <c r="FK3542" s="5" t="s">
        <v>238</v>
      </c>
      <c r="FL3542" s="5" t="s">
        <v>238</v>
      </c>
      <c r="FM3542" s="5" t="s">
        <v>238</v>
      </c>
      <c r="FN3542" s="5" t="s">
        <v>238</v>
      </c>
      <c r="FO3542" s="5" t="s">
        <v>238</v>
      </c>
      <c r="FP3542" s="5" t="s">
        <v>238</v>
      </c>
      <c r="FQ3542" s="5" t="s">
        <v>238</v>
      </c>
      <c r="FR3542" s="5" t="s">
        <v>238</v>
      </c>
      <c r="FS3542" s="5" t="s">
        <v>238</v>
      </c>
      <c r="FT3542" s="5" t="s">
        <v>238</v>
      </c>
      <c r="FU3542" s="5" t="s">
        <v>238</v>
      </c>
      <c r="FV3542" s="5" t="s">
        <v>238</v>
      </c>
      <c r="FW3542" s="5" t="s">
        <v>238</v>
      </c>
      <c r="FX3542" s="5" t="s">
        <v>238</v>
      </c>
      <c r="FY3542" s="5" t="s">
        <v>238</v>
      </c>
      <c r="FZ3542" s="5" t="s">
        <v>238</v>
      </c>
      <c r="GA3542" s="5" t="s">
        <v>238</v>
      </c>
      <c r="GB3542" s="5" t="s">
        <v>238</v>
      </c>
      <c r="GC3542" s="5" t="s">
        <v>238</v>
      </c>
      <c r="GD3542" s="5" t="s">
        <v>238</v>
      </c>
      <c r="GE3542" s="5" t="s">
        <v>238</v>
      </c>
      <c r="GF3542" s="5" t="s">
        <v>238</v>
      </c>
      <c r="GG3542" s="5" t="s">
        <v>238</v>
      </c>
      <c r="GH3542" s="5" t="s">
        <v>238</v>
      </c>
      <c r="GI3542" s="5" t="s">
        <v>238</v>
      </c>
      <c r="GJ3542" s="5" t="s">
        <v>238</v>
      </c>
      <c r="GK3542" s="5" t="s">
        <v>238</v>
      </c>
      <c r="GL3542" s="5" t="s">
        <v>238</v>
      </c>
      <c r="GM3542" s="5" t="s">
        <v>238</v>
      </c>
      <c r="GN3542" s="5" t="s">
        <v>238</v>
      </c>
      <c r="GO3542" s="5" t="s">
        <v>238</v>
      </c>
      <c r="GP3542" s="5" t="s">
        <v>238</v>
      </c>
      <c r="GQ3542" s="5" t="s">
        <v>238</v>
      </c>
      <c r="GR3542" s="5" t="s">
        <v>238</v>
      </c>
      <c r="GS3542" s="5" t="s">
        <v>238</v>
      </c>
      <c r="GT3542" s="5" t="s">
        <v>238</v>
      </c>
      <c r="GU3542" s="5" t="s">
        <v>238</v>
      </c>
      <c r="GV3542" s="5" t="s">
        <v>238</v>
      </c>
      <c r="GW3542" s="5" t="s">
        <v>238</v>
      </c>
      <c r="GX3542" s="5" t="s">
        <v>238</v>
      </c>
      <c r="GY3542" s="5" t="s">
        <v>238</v>
      </c>
      <c r="GZ3542" s="5" t="s">
        <v>238</v>
      </c>
      <c r="HA3542" s="5" t="s">
        <v>238</v>
      </c>
      <c r="HB3542" s="5" t="s">
        <v>238</v>
      </c>
      <c r="HC3542" s="5" t="s">
        <v>238</v>
      </c>
      <c r="HD3542" s="5" t="s">
        <v>238</v>
      </c>
      <c r="HE3542" s="5" t="s">
        <v>238</v>
      </c>
      <c r="HF3542" s="5" t="s">
        <v>238</v>
      </c>
      <c r="HG3542" s="5" t="s">
        <v>238</v>
      </c>
      <c r="HH3542" s="5" t="s">
        <v>238</v>
      </c>
      <c r="HI3542" s="5" t="s">
        <v>238</v>
      </c>
      <c r="HJ3542" s="5" t="s">
        <v>238</v>
      </c>
      <c r="HK3542" s="5" t="s">
        <v>238</v>
      </c>
      <c r="HL3542" s="5" t="s">
        <v>238</v>
      </c>
      <c r="HM3542" s="5" t="s">
        <v>264</v>
      </c>
      <c r="HN3542" s="5" t="s">
        <v>238</v>
      </c>
      <c r="HO3542" s="5" t="s">
        <v>238</v>
      </c>
      <c r="HP3542" s="5" t="s">
        <v>238</v>
      </c>
      <c r="HQ3542" s="5" t="s">
        <v>238</v>
      </c>
      <c r="HR3542" s="5" t="s">
        <v>238</v>
      </c>
      <c r="HS3542" s="5" t="s">
        <v>238</v>
      </c>
      <c r="HT3542" s="5" t="s">
        <v>238</v>
      </c>
      <c r="HU3542" s="5" t="s">
        <v>238</v>
      </c>
      <c r="HV3542" s="5" t="s">
        <v>238</v>
      </c>
      <c r="HW3542" s="5" t="s">
        <v>238</v>
      </c>
      <c r="HX3542" s="5" t="s">
        <v>238</v>
      </c>
      <c r="HY3542" s="5" t="s">
        <v>238</v>
      </c>
      <c r="HZ3542" s="5" t="s">
        <v>238</v>
      </c>
      <c r="IA3542" s="5" t="s">
        <v>238</v>
      </c>
      <c r="IB3542" s="5" t="s">
        <v>238</v>
      </c>
      <c r="IC3542" s="5" t="s">
        <v>238</v>
      </c>
      <c r="ID3542" s="5" t="s">
        <v>238</v>
      </c>
    </row>
    <row r="3543" spans="1:238" x14ac:dyDescent="0.4">
      <c r="A3543" s="5">
        <v>9261</v>
      </c>
      <c r="B3543" s="5">
        <v>1</v>
      </c>
      <c r="C3543" s="5">
        <v>1</v>
      </c>
      <c r="D3543" s="5" t="s">
        <v>484</v>
      </c>
      <c r="E3543" s="5" t="s">
        <v>485</v>
      </c>
      <c r="F3543" s="5" t="s">
        <v>248</v>
      </c>
      <c r="G3543" s="5" t="s">
        <v>4065</v>
      </c>
      <c r="H3543" s="6" t="s">
        <v>4066</v>
      </c>
      <c r="I3543" s="8">
        <f>1</f>
        <v>1</v>
      </c>
      <c r="J3543" s="5" t="s">
        <v>499</v>
      </c>
      <c r="K3543" s="8">
        <f>1</f>
        <v>1</v>
      </c>
      <c r="L3543" s="6" t="s">
        <v>242</v>
      </c>
      <c r="M3543" s="5" t="s">
        <v>267</v>
      </c>
      <c r="N3543" s="5" t="s">
        <v>482</v>
      </c>
      <c r="O3543" s="5" t="s">
        <v>238</v>
      </c>
      <c r="P3543" s="5" t="s">
        <v>238</v>
      </c>
      <c r="Q3543" s="5" t="s">
        <v>239</v>
      </c>
      <c r="R3543" s="5" t="s">
        <v>270</v>
      </c>
      <c r="S3543" s="5" t="s">
        <v>238</v>
      </c>
      <c r="T3543" s="5" t="s">
        <v>238</v>
      </c>
      <c r="U3543" s="5" t="s">
        <v>238</v>
      </c>
      <c r="V3543" s="5" t="s">
        <v>238</v>
      </c>
      <c r="W3543" s="6" t="s">
        <v>238</v>
      </c>
      <c r="X3543" s="6" t="s">
        <v>238</v>
      </c>
      <c r="Y3543" s="5" t="s">
        <v>238</v>
      </c>
      <c r="Z3543" s="6" t="s">
        <v>238</v>
      </c>
      <c r="AA3543" s="6" t="s">
        <v>243</v>
      </c>
      <c r="AB3543" s="5" t="s">
        <v>486</v>
      </c>
      <c r="AC3543" s="5" t="s">
        <v>244</v>
      </c>
      <c r="AD3543" s="5" t="s">
        <v>245</v>
      </c>
      <c r="AE3543" s="5" t="s">
        <v>238</v>
      </c>
      <c r="AF3543" s="5" t="s">
        <v>238</v>
      </c>
      <c r="AG3543" s="5" t="s">
        <v>238</v>
      </c>
      <c r="AH3543" s="5" t="s">
        <v>238</v>
      </c>
      <c r="AI3543" s="5" t="s">
        <v>238</v>
      </c>
      <c r="AJ3543" s="5" t="s">
        <v>238</v>
      </c>
      <c r="AK3543" s="5" t="s">
        <v>238</v>
      </c>
      <c r="AL3543" s="5" t="s">
        <v>238</v>
      </c>
      <c r="AM3543" s="6" t="s">
        <v>238</v>
      </c>
      <c r="AN3543" s="6" t="s">
        <v>238</v>
      </c>
      <c r="AO3543" s="6" t="s">
        <v>238</v>
      </c>
      <c r="AP3543" s="6" t="s">
        <v>238</v>
      </c>
      <c r="AQ3543" s="5" t="s">
        <v>238</v>
      </c>
      <c r="AR3543" s="5" t="s">
        <v>488</v>
      </c>
      <c r="AS3543" s="5" t="s">
        <v>488</v>
      </c>
      <c r="AT3543" s="5" t="s">
        <v>246</v>
      </c>
      <c r="AU3543" s="5" t="s">
        <v>489</v>
      </c>
      <c r="AV3543" s="5" t="s">
        <v>247</v>
      </c>
      <c r="AW3543" s="5" t="s">
        <v>238</v>
      </c>
      <c r="AX3543" s="5" t="s">
        <v>249</v>
      </c>
      <c r="AY3543" s="5" t="s">
        <v>490</v>
      </c>
      <c r="BA3543" s="5" t="s">
        <v>238</v>
      </c>
      <c r="BC3543" s="5" t="s">
        <v>491</v>
      </c>
      <c r="BD3543" s="6" t="s">
        <v>492</v>
      </c>
      <c r="BE3543" s="5" t="s">
        <v>493</v>
      </c>
      <c r="BF3543" s="5" t="s">
        <v>493</v>
      </c>
      <c r="BG3543" s="5" t="s">
        <v>238</v>
      </c>
      <c r="BH3543" s="8">
        <f>1</f>
        <v>1</v>
      </c>
      <c r="BI3543" s="8">
        <f>1</f>
        <v>1</v>
      </c>
      <c r="BJ3543" s="5" t="s">
        <v>253</v>
      </c>
      <c r="BK3543" s="5" t="s">
        <v>254</v>
      </c>
      <c r="BL3543" s="5" t="s">
        <v>238</v>
      </c>
      <c r="BM3543" s="5" t="s">
        <v>238</v>
      </c>
      <c r="BN3543" s="5" t="s">
        <v>238</v>
      </c>
      <c r="BO3543" s="5" t="s">
        <v>238</v>
      </c>
      <c r="BP3543" s="5" t="s">
        <v>238</v>
      </c>
      <c r="BQ3543" s="5" t="s">
        <v>238</v>
      </c>
      <c r="BR3543" s="5" t="s">
        <v>238</v>
      </c>
      <c r="BS3543" s="5" t="s">
        <v>238</v>
      </c>
      <c r="BT3543" s="6" t="s">
        <v>238</v>
      </c>
      <c r="BU3543" s="5" t="s">
        <v>238</v>
      </c>
      <c r="BV3543" s="5" t="s">
        <v>238</v>
      </c>
      <c r="BW3543" s="5" t="s">
        <v>238</v>
      </c>
      <c r="BX3543" s="5" t="s">
        <v>254</v>
      </c>
      <c r="BY3543" s="5" t="s">
        <v>238</v>
      </c>
      <c r="BZ3543" s="5" t="s">
        <v>238</v>
      </c>
      <c r="CA3543" s="5" t="s">
        <v>238</v>
      </c>
      <c r="CB3543" s="5" t="s">
        <v>238</v>
      </c>
      <c r="CC3543" s="5" t="s">
        <v>238</v>
      </c>
      <c r="CD3543" s="5" t="s">
        <v>273</v>
      </c>
      <c r="CE3543" s="5" t="s">
        <v>256</v>
      </c>
      <c r="CF3543" s="5" t="s">
        <v>238</v>
      </c>
      <c r="CH3543" s="5" t="s">
        <v>494</v>
      </c>
      <c r="CI3543" s="6" t="s">
        <v>257</v>
      </c>
      <c r="CJ3543" s="5" t="s">
        <v>495</v>
      </c>
      <c r="CK3543" s="5" t="s">
        <v>258</v>
      </c>
      <c r="CL3543" s="5" t="s">
        <v>496</v>
      </c>
      <c r="CM3543" s="5" t="s">
        <v>238</v>
      </c>
      <c r="CN3543" s="5">
        <v>0</v>
      </c>
      <c r="CO3543" s="5" t="s">
        <v>497</v>
      </c>
      <c r="CP3543" s="5" t="s">
        <v>260</v>
      </c>
      <c r="CQ3543" s="5" t="s">
        <v>260</v>
      </c>
      <c r="CR3543" s="5" t="s">
        <v>261</v>
      </c>
      <c r="CS3543" s="5" t="s">
        <v>498</v>
      </c>
      <c r="CT3543" s="7">
        <f>1</f>
        <v>1</v>
      </c>
      <c r="CU3543" s="8">
        <f>1</f>
        <v>1</v>
      </c>
      <c r="CV3543" s="8">
        <f>0</f>
        <v>0</v>
      </c>
      <c r="CX3543" s="8">
        <f>1</f>
        <v>1</v>
      </c>
      <c r="CY3543" s="8">
        <f>1</f>
        <v>1</v>
      </c>
      <c r="CZ3543" s="8" t="s">
        <v>238</v>
      </c>
      <c r="DA3543" s="5" t="s">
        <v>238</v>
      </c>
      <c r="DB3543" s="5" t="s">
        <v>238</v>
      </c>
      <c r="DC3543" s="5" t="s">
        <v>238</v>
      </c>
      <c r="DD3543" s="5" t="s">
        <v>238</v>
      </c>
      <c r="DE3543" s="8">
        <f>0</f>
        <v>0</v>
      </c>
      <c r="DG3543" s="5" t="s">
        <v>238</v>
      </c>
      <c r="DH3543" s="5" t="s">
        <v>238</v>
      </c>
      <c r="DI3543" s="5" t="s">
        <v>238</v>
      </c>
      <c r="DJ3543" s="5" t="s">
        <v>238</v>
      </c>
      <c r="DK3543" s="5" t="s">
        <v>238</v>
      </c>
      <c r="DL3543" s="5" t="s">
        <v>238</v>
      </c>
      <c r="DM3543" s="8" t="s">
        <v>238</v>
      </c>
      <c r="DN3543" s="5" t="s">
        <v>238</v>
      </c>
      <c r="DO3543" s="5" t="s">
        <v>238</v>
      </c>
      <c r="DP3543" s="5" t="s">
        <v>490</v>
      </c>
      <c r="DQ3543" s="5" t="s">
        <v>490</v>
      </c>
      <c r="DR3543" s="5" t="s">
        <v>238</v>
      </c>
      <c r="DS3543" s="5" t="s">
        <v>238</v>
      </c>
      <c r="DT3543" s="5" t="s">
        <v>500</v>
      </c>
      <c r="DU3543" s="5" t="s">
        <v>1070</v>
      </c>
      <c r="DV3543" s="5" t="s">
        <v>238</v>
      </c>
      <c r="DW3543" s="5" t="s">
        <v>238</v>
      </c>
      <c r="DX3543" s="5" t="s">
        <v>238</v>
      </c>
      <c r="DY3543" s="5" t="s">
        <v>238</v>
      </c>
      <c r="DZ3543" s="5" t="s">
        <v>238</v>
      </c>
      <c r="EA3543" s="5" t="s">
        <v>238</v>
      </c>
      <c r="EB3543" s="5" t="s">
        <v>238</v>
      </c>
      <c r="EC3543" s="5" t="s">
        <v>238</v>
      </c>
      <c r="ED3543" s="5" t="s">
        <v>238</v>
      </c>
      <c r="EE3543" s="5" t="s">
        <v>238</v>
      </c>
      <c r="EF3543" s="5" t="s">
        <v>238</v>
      </c>
      <c r="EG3543" s="5" t="s">
        <v>238</v>
      </c>
      <c r="EH3543" s="5" t="s">
        <v>238</v>
      </c>
      <c r="EI3543" s="5" t="s">
        <v>238</v>
      </c>
      <c r="EJ3543" s="5" t="s">
        <v>238</v>
      </c>
      <c r="EK3543" s="5" t="s">
        <v>238</v>
      </c>
      <c r="EL3543" s="5" t="s">
        <v>238</v>
      </c>
      <c r="EM3543" s="5" t="s">
        <v>238</v>
      </c>
      <c r="EN3543" s="5" t="s">
        <v>238</v>
      </c>
      <c r="EO3543" s="5" t="s">
        <v>238</v>
      </c>
      <c r="EP3543" s="5" t="s">
        <v>238</v>
      </c>
      <c r="EQ3543" s="5" t="s">
        <v>238</v>
      </c>
      <c r="ER3543" s="5" t="s">
        <v>238</v>
      </c>
      <c r="ES3543" s="5" t="s">
        <v>238</v>
      </c>
      <c r="ET3543" s="5" t="s">
        <v>238</v>
      </c>
      <c r="EU3543" s="5" t="s">
        <v>238</v>
      </c>
      <c r="EV3543" s="5" t="s">
        <v>238</v>
      </c>
      <c r="EW3543" s="5" t="s">
        <v>238</v>
      </c>
      <c r="EX3543" s="5" t="s">
        <v>238</v>
      </c>
      <c r="EY3543" s="5" t="s">
        <v>238</v>
      </c>
      <c r="EZ3543" s="5" t="s">
        <v>238</v>
      </c>
      <c r="FA3543" s="5" t="s">
        <v>238</v>
      </c>
      <c r="FB3543" s="5" t="s">
        <v>238</v>
      </c>
      <c r="FC3543" s="5" t="s">
        <v>238</v>
      </c>
      <c r="FD3543" s="5" t="s">
        <v>238</v>
      </c>
      <c r="FE3543" s="5" t="s">
        <v>238</v>
      </c>
      <c r="FF3543" s="5" t="s">
        <v>238</v>
      </c>
      <c r="FG3543" s="5" t="s">
        <v>238</v>
      </c>
      <c r="FH3543" s="5" t="s">
        <v>238</v>
      </c>
      <c r="FI3543" s="5" t="s">
        <v>238</v>
      </c>
      <c r="FJ3543" s="5" t="s">
        <v>238</v>
      </c>
      <c r="FK3543" s="5" t="s">
        <v>238</v>
      </c>
      <c r="FL3543" s="5" t="s">
        <v>238</v>
      </c>
      <c r="FM3543" s="5" t="s">
        <v>238</v>
      </c>
      <c r="FN3543" s="5" t="s">
        <v>238</v>
      </c>
      <c r="FO3543" s="5" t="s">
        <v>238</v>
      </c>
      <c r="FP3543" s="5" t="s">
        <v>238</v>
      </c>
      <c r="FQ3543" s="5" t="s">
        <v>238</v>
      </c>
      <c r="FR3543" s="5" t="s">
        <v>238</v>
      </c>
      <c r="FS3543" s="5" t="s">
        <v>238</v>
      </c>
      <c r="FT3543" s="5" t="s">
        <v>238</v>
      </c>
      <c r="FU3543" s="5" t="s">
        <v>238</v>
      </c>
      <c r="FV3543" s="5" t="s">
        <v>238</v>
      </c>
      <c r="FW3543" s="5" t="s">
        <v>238</v>
      </c>
      <c r="FX3543" s="5" t="s">
        <v>238</v>
      </c>
      <c r="FY3543" s="5" t="s">
        <v>238</v>
      </c>
      <c r="FZ3543" s="5" t="s">
        <v>238</v>
      </c>
      <c r="GA3543" s="5" t="s">
        <v>238</v>
      </c>
      <c r="GB3543" s="5" t="s">
        <v>238</v>
      </c>
      <c r="GC3543" s="5" t="s">
        <v>238</v>
      </c>
      <c r="GD3543" s="5" t="s">
        <v>238</v>
      </c>
      <c r="GE3543" s="5" t="s">
        <v>238</v>
      </c>
      <c r="GF3543" s="5" t="s">
        <v>238</v>
      </c>
      <c r="GG3543" s="5" t="s">
        <v>238</v>
      </c>
      <c r="GH3543" s="5" t="s">
        <v>238</v>
      </c>
      <c r="GI3543" s="5" t="s">
        <v>238</v>
      </c>
      <c r="GJ3543" s="5" t="s">
        <v>238</v>
      </c>
      <c r="GK3543" s="5" t="s">
        <v>238</v>
      </c>
      <c r="GL3543" s="5" t="s">
        <v>238</v>
      </c>
      <c r="GM3543" s="5" t="s">
        <v>238</v>
      </c>
      <c r="GN3543" s="5" t="s">
        <v>238</v>
      </c>
      <c r="GO3543" s="5" t="s">
        <v>238</v>
      </c>
      <c r="GP3543" s="5" t="s">
        <v>238</v>
      </c>
      <c r="GQ3543" s="5" t="s">
        <v>238</v>
      </c>
      <c r="GR3543" s="5" t="s">
        <v>238</v>
      </c>
      <c r="GS3543" s="5" t="s">
        <v>238</v>
      </c>
      <c r="GT3543" s="5" t="s">
        <v>238</v>
      </c>
      <c r="GU3543" s="5" t="s">
        <v>238</v>
      </c>
      <c r="GV3543" s="5" t="s">
        <v>238</v>
      </c>
      <c r="GW3543" s="5" t="s">
        <v>238</v>
      </c>
      <c r="GX3543" s="5" t="s">
        <v>238</v>
      </c>
      <c r="GY3543" s="5" t="s">
        <v>238</v>
      </c>
      <c r="GZ3543" s="5" t="s">
        <v>238</v>
      </c>
      <c r="HA3543" s="5" t="s">
        <v>238</v>
      </c>
      <c r="HB3543" s="5" t="s">
        <v>238</v>
      </c>
      <c r="HC3543" s="5" t="s">
        <v>238</v>
      </c>
      <c r="HD3543" s="5" t="s">
        <v>238</v>
      </c>
      <c r="HE3543" s="5" t="s">
        <v>238</v>
      </c>
      <c r="HF3543" s="5" t="s">
        <v>238</v>
      </c>
      <c r="HG3543" s="5" t="s">
        <v>238</v>
      </c>
      <c r="HH3543" s="5" t="s">
        <v>238</v>
      </c>
      <c r="HI3543" s="5" t="s">
        <v>238</v>
      </c>
      <c r="HJ3543" s="5" t="s">
        <v>238</v>
      </c>
      <c r="HK3543" s="5" t="s">
        <v>238</v>
      </c>
      <c r="HL3543" s="5" t="s">
        <v>238</v>
      </c>
      <c r="HM3543" s="5" t="s">
        <v>264</v>
      </c>
      <c r="HN3543" s="5" t="s">
        <v>238</v>
      </c>
      <c r="HO3543" s="5" t="s">
        <v>238</v>
      </c>
      <c r="HP3543" s="5" t="s">
        <v>238</v>
      </c>
      <c r="HQ3543" s="5" t="s">
        <v>238</v>
      </c>
      <c r="HR3543" s="5" t="s">
        <v>238</v>
      </c>
      <c r="HS3543" s="5" t="s">
        <v>238</v>
      </c>
      <c r="HT3543" s="5" t="s">
        <v>238</v>
      </c>
      <c r="HU3543" s="5" t="s">
        <v>238</v>
      </c>
      <c r="HV3543" s="5" t="s">
        <v>238</v>
      </c>
      <c r="HW3543" s="5" t="s">
        <v>238</v>
      </c>
      <c r="HX3543" s="5" t="s">
        <v>238</v>
      </c>
      <c r="HY3543" s="5" t="s">
        <v>238</v>
      </c>
      <c r="HZ3543" s="5" t="s">
        <v>238</v>
      </c>
      <c r="IA3543" s="5" t="s">
        <v>238</v>
      </c>
      <c r="IB3543" s="5" t="s">
        <v>238</v>
      </c>
      <c r="IC3543" s="5" t="s">
        <v>238</v>
      </c>
      <c r="ID3543" s="5" t="s">
        <v>238</v>
      </c>
    </row>
    <row r="3544" spans="1:238" x14ac:dyDescent="0.4">
      <c r="A3544" s="5">
        <v>9262</v>
      </c>
      <c r="B3544" s="5">
        <v>1</v>
      </c>
      <c r="C3544" s="5">
        <v>1</v>
      </c>
      <c r="D3544" s="5" t="s">
        <v>484</v>
      </c>
      <c r="E3544" s="5" t="s">
        <v>485</v>
      </c>
      <c r="F3544" s="5" t="s">
        <v>248</v>
      </c>
      <c r="G3544" s="5" t="s">
        <v>4953</v>
      </c>
      <c r="H3544" s="6" t="s">
        <v>4955</v>
      </c>
      <c r="I3544" s="8">
        <f>1</f>
        <v>1</v>
      </c>
      <c r="J3544" s="5" t="s">
        <v>499</v>
      </c>
      <c r="K3544" s="8">
        <f>1</f>
        <v>1</v>
      </c>
      <c r="L3544" s="6" t="s">
        <v>242</v>
      </c>
      <c r="M3544" s="5" t="s">
        <v>267</v>
      </c>
      <c r="N3544" s="5" t="s">
        <v>482</v>
      </c>
      <c r="O3544" s="5" t="s">
        <v>238</v>
      </c>
      <c r="P3544" s="5" t="s">
        <v>238</v>
      </c>
      <c r="Q3544" s="5" t="s">
        <v>239</v>
      </c>
      <c r="R3544" s="5" t="s">
        <v>270</v>
      </c>
      <c r="S3544" s="5" t="s">
        <v>238</v>
      </c>
      <c r="T3544" s="5" t="s">
        <v>238</v>
      </c>
      <c r="U3544" s="5" t="s">
        <v>238</v>
      </c>
      <c r="V3544" s="5" t="s">
        <v>238</v>
      </c>
      <c r="W3544" s="6" t="s">
        <v>238</v>
      </c>
      <c r="X3544" s="6" t="s">
        <v>238</v>
      </c>
      <c r="Y3544" s="5" t="s">
        <v>238</v>
      </c>
      <c r="Z3544" s="6" t="s">
        <v>238</v>
      </c>
      <c r="AA3544" s="6" t="s">
        <v>243</v>
      </c>
      <c r="AB3544" s="5" t="s">
        <v>4954</v>
      </c>
      <c r="AC3544" s="5" t="s">
        <v>244</v>
      </c>
      <c r="AD3544" s="5" t="s">
        <v>245</v>
      </c>
      <c r="AE3544" s="5" t="s">
        <v>238</v>
      </c>
      <c r="AF3544" s="5" t="s">
        <v>238</v>
      </c>
      <c r="AG3544" s="5" t="s">
        <v>238</v>
      </c>
      <c r="AH3544" s="5" t="s">
        <v>238</v>
      </c>
      <c r="AI3544" s="5" t="s">
        <v>238</v>
      </c>
      <c r="AJ3544" s="5" t="s">
        <v>238</v>
      </c>
      <c r="AK3544" s="5" t="s">
        <v>238</v>
      </c>
      <c r="AL3544" s="5" t="s">
        <v>238</v>
      </c>
      <c r="AM3544" s="6" t="s">
        <v>238</v>
      </c>
      <c r="AN3544" s="6" t="s">
        <v>238</v>
      </c>
      <c r="AO3544" s="6" t="s">
        <v>238</v>
      </c>
      <c r="AP3544" s="6" t="s">
        <v>238</v>
      </c>
      <c r="AQ3544" s="5" t="s">
        <v>238</v>
      </c>
      <c r="AR3544" s="5" t="s">
        <v>488</v>
      </c>
      <c r="AS3544" s="5" t="s">
        <v>488</v>
      </c>
      <c r="AT3544" s="5" t="s">
        <v>246</v>
      </c>
      <c r="AU3544" s="5" t="s">
        <v>489</v>
      </c>
      <c r="AV3544" s="5" t="s">
        <v>247</v>
      </c>
      <c r="AW3544" s="5" t="s">
        <v>238</v>
      </c>
      <c r="AX3544" s="5" t="s">
        <v>249</v>
      </c>
      <c r="AY3544" s="5" t="s">
        <v>490</v>
      </c>
      <c r="BA3544" s="5" t="s">
        <v>238</v>
      </c>
      <c r="BC3544" s="5" t="s">
        <v>491</v>
      </c>
      <c r="BD3544" s="6" t="s">
        <v>492</v>
      </c>
      <c r="BE3544" s="5" t="s">
        <v>493</v>
      </c>
      <c r="BF3544" s="5" t="s">
        <v>493</v>
      </c>
      <c r="BG3544" s="5" t="s">
        <v>238</v>
      </c>
      <c r="BH3544" s="8">
        <f>1</f>
        <v>1</v>
      </c>
      <c r="BI3544" s="8">
        <f>1</f>
        <v>1</v>
      </c>
      <c r="BJ3544" s="5" t="s">
        <v>253</v>
      </c>
      <c r="BK3544" s="5" t="s">
        <v>254</v>
      </c>
      <c r="BL3544" s="5" t="s">
        <v>238</v>
      </c>
      <c r="BM3544" s="5" t="s">
        <v>238</v>
      </c>
      <c r="BN3544" s="5" t="s">
        <v>238</v>
      </c>
      <c r="BO3544" s="5" t="s">
        <v>238</v>
      </c>
      <c r="BP3544" s="5" t="s">
        <v>238</v>
      </c>
      <c r="BQ3544" s="5" t="s">
        <v>238</v>
      </c>
      <c r="BR3544" s="5" t="s">
        <v>238</v>
      </c>
      <c r="BS3544" s="5" t="s">
        <v>238</v>
      </c>
      <c r="BT3544" s="6" t="s">
        <v>238</v>
      </c>
      <c r="BU3544" s="5" t="s">
        <v>238</v>
      </c>
      <c r="BV3544" s="5" t="s">
        <v>238</v>
      </c>
      <c r="BW3544" s="5" t="s">
        <v>238</v>
      </c>
      <c r="BX3544" s="5" t="s">
        <v>254</v>
      </c>
      <c r="BY3544" s="5" t="s">
        <v>238</v>
      </c>
      <c r="BZ3544" s="5" t="s">
        <v>238</v>
      </c>
      <c r="CA3544" s="5" t="s">
        <v>238</v>
      </c>
      <c r="CB3544" s="5" t="s">
        <v>238</v>
      </c>
      <c r="CC3544" s="5" t="s">
        <v>238</v>
      </c>
      <c r="CD3544" s="5" t="s">
        <v>273</v>
      </c>
      <c r="CE3544" s="5" t="s">
        <v>256</v>
      </c>
      <c r="CF3544" s="5" t="s">
        <v>238</v>
      </c>
      <c r="CH3544" s="5" t="s">
        <v>494</v>
      </c>
      <c r="CI3544" s="6" t="s">
        <v>257</v>
      </c>
      <c r="CJ3544" s="5" t="s">
        <v>495</v>
      </c>
      <c r="CK3544" s="5" t="s">
        <v>258</v>
      </c>
      <c r="CL3544" s="5" t="s">
        <v>496</v>
      </c>
      <c r="CM3544" s="5" t="s">
        <v>238</v>
      </c>
      <c r="CN3544" s="5">
        <v>0</v>
      </c>
      <c r="CO3544" s="5" t="s">
        <v>497</v>
      </c>
      <c r="CP3544" s="5" t="s">
        <v>260</v>
      </c>
      <c r="CQ3544" s="5" t="s">
        <v>260</v>
      </c>
      <c r="CR3544" s="5" t="s">
        <v>261</v>
      </c>
      <c r="CS3544" s="5" t="s">
        <v>498</v>
      </c>
      <c r="CT3544" s="7">
        <f>1</f>
        <v>1</v>
      </c>
      <c r="CU3544" s="8">
        <f>1</f>
        <v>1</v>
      </c>
      <c r="CV3544" s="8">
        <f>0</f>
        <v>0</v>
      </c>
      <c r="CX3544" s="8">
        <f>1</f>
        <v>1</v>
      </c>
      <c r="CY3544" s="8">
        <f>1</f>
        <v>1</v>
      </c>
      <c r="CZ3544" s="8" t="s">
        <v>238</v>
      </c>
      <c r="DA3544" s="5" t="s">
        <v>238</v>
      </c>
      <c r="DB3544" s="5" t="s">
        <v>238</v>
      </c>
      <c r="DC3544" s="5" t="s">
        <v>238</v>
      </c>
      <c r="DD3544" s="5" t="s">
        <v>238</v>
      </c>
      <c r="DE3544" s="8">
        <f>0</f>
        <v>0</v>
      </c>
      <c r="DG3544" s="5" t="s">
        <v>238</v>
      </c>
      <c r="DH3544" s="5" t="s">
        <v>238</v>
      </c>
      <c r="DI3544" s="5" t="s">
        <v>238</v>
      </c>
      <c r="DJ3544" s="5" t="s">
        <v>238</v>
      </c>
      <c r="DK3544" s="5" t="s">
        <v>238</v>
      </c>
      <c r="DL3544" s="5" t="s">
        <v>238</v>
      </c>
      <c r="DM3544" s="8" t="s">
        <v>238</v>
      </c>
      <c r="DN3544" s="5" t="s">
        <v>238</v>
      </c>
      <c r="DO3544" s="5" t="s">
        <v>238</v>
      </c>
      <c r="DP3544" s="5" t="s">
        <v>490</v>
      </c>
      <c r="DQ3544" s="5" t="s">
        <v>490</v>
      </c>
      <c r="DR3544" s="5" t="s">
        <v>238</v>
      </c>
      <c r="DS3544" s="5" t="s">
        <v>238</v>
      </c>
      <c r="DT3544" s="5" t="s">
        <v>500</v>
      </c>
      <c r="DU3544" s="5" t="s">
        <v>746</v>
      </c>
      <c r="DV3544" s="5" t="s">
        <v>238</v>
      </c>
      <c r="DW3544" s="5" t="s">
        <v>238</v>
      </c>
      <c r="DX3544" s="5" t="s">
        <v>238</v>
      </c>
      <c r="DY3544" s="5" t="s">
        <v>238</v>
      </c>
      <c r="DZ3544" s="5" t="s">
        <v>238</v>
      </c>
      <c r="EA3544" s="5" t="s">
        <v>238</v>
      </c>
      <c r="EB3544" s="5" t="s">
        <v>238</v>
      </c>
      <c r="EC3544" s="5" t="s">
        <v>238</v>
      </c>
      <c r="ED3544" s="5" t="s">
        <v>238</v>
      </c>
      <c r="EE3544" s="5" t="s">
        <v>238</v>
      </c>
      <c r="EF3544" s="5" t="s">
        <v>238</v>
      </c>
      <c r="EG3544" s="5" t="s">
        <v>238</v>
      </c>
      <c r="EH3544" s="5" t="s">
        <v>238</v>
      </c>
      <c r="EI3544" s="5" t="s">
        <v>238</v>
      </c>
      <c r="EJ3544" s="5" t="s">
        <v>238</v>
      </c>
      <c r="EK3544" s="5" t="s">
        <v>238</v>
      </c>
      <c r="EL3544" s="5" t="s">
        <v>238</v>
      </c>
      <c r="EM3544" s="5" t="s">
        <v>238</v>
      </c>
      <c r="EN3544" s="5" t="s">
        <v>238</v>
      </c>
      <c r="EO3544" s="5" t="s">
        <v>238</v>
      </c>
      <c r="EP3544" s="5" t="s">
        <v>238</v>
      </c>
      <c r="EQ3544" s="5" t="s">
        <v>238</v>
      </c>
      <c r="ER3544" s="5" t="s">
        <v>238</v>
      </c>
      <c r="ES3544" s="5" t="s">
        <v>238</v>
      </c>
      <c r="ET3544" s="5" t="s">
        <v>238</v>
      </c>
      <c r="EU3544" s="5" t="s">
        <v>238</v>
      </c>
      <c r="EV3544" s="5" t="s">
        <v>238</v>
      </c>
      <c r="EW3544" s="5" t="s">
        <v>238</v>
      </c>
      <c r="EX3544" s="5" t="s">
        <v>238</v>
      </c>
      <c r="EY3544" s="5" t="s">
        <v>238</v>
      </c>
      <c r="EZ3544" s="5" t="s">
        <v>238</v>
      </c>
      <c r="FA3544" s="5" t="s">
        <v>238</v>
      </c>
      <c r="FB3544" s="5" t="s">
        <v>238</v>
      </c>
      <c r="FC3544" s="5" t="s">
        <v>238</v>
      </c>
      <c r="FD3544" s="5" t="s">
        <v>238</v>
      </c>
      <c r="FE3544" s="5" t="s">
        <v>238</v>
      </c>
      <c r="FF3544" s="5" t="s">
        <v>238</v>
      </c>
      <c r="FG3544" s="5" t="s">
        <v>238</v>
      </c>
      <c r="FH3544" s="5" t="s">
        <v>238</v>
      </c>
      <c r="FI3544" s="5" t="s">
        <v>238</v>
      </c>
      <c r="FJ3544" s="5" t="s">
        <v>238</v>
      </c>
      <c r="FK3544" s="5" t="s">
        <v>238</v>
      </c>
      <c r="FL3544" s="5" t="s">
        <v>238</v>
      </c>
      <c r="FM3544" s="5" t="s">
        <v>238</v>
      </c>
      <c r="FN3544" s="5" t="s">
        <v>238</v>
      </c>
      <c r="FO3544" s="5" t="s">
        <v>238</v>
      </c>
      <c r="FP3544" s="5" t="s">
        <v>238</v>
      </c>
      <c r="FQ3544" s="5" t="s">
        <v>238</v>
      </c>
      <c r="FR3544" s="5" t="s">
        <v>238</v>
      </c>
      <c r="FS3544" s="5" t="s">
        <v>238</v>
      </c>
      <c r="FT3544" s="5" t="s">
        <v>238</v>
      </c>
      <c r="FU3544" s="5" t="s">
        <v>238</v>
      </c>
      <c r="FV3544" s="5" t="s">
        <v>238</v>
      </c>
      <c r="FW3544" s="5" t="s">
        <v>238</v>
      </c>
      <c r="FX3544" s="5" t="s">
        <v>238</v>
      </c>
      <c r="FY3544" s="5" t="s">
        <v>238</v>
      </c>
      <c r="FZ3544" s="5" t="s">
        <v>238</v>
      </c>
      <c r="GA3544" s="5" t="s">
        <v>238</v>
      </c>
      <c r="GB3544" s="5" t="s">
        <v>238</v>
      </c>
      <c r="GC3544" s="5" t="s">
        <v>238</v>
      </c>
      <c r="GD3544" s="5" t="s">
        <v>238</v>
      </c>
      <c r="GE3544" s="5" t="s">
        <v>238</v>
      </c>
      <c r="GF3544" s="5" t="s">
        <v>238</v>
      </c>
      <c r="GG3544" s="5" t="s">
        <v>238</v>
      </c>
      <c r="GH3544" s="5" t="s">
        <v>238</v>
      </c>
      <c r="GI3544" s="5" t="s">
        <v>238</v>
      </c>
      <c r="GJ3544" s="5" t="s">
        <v>238</v>
      </c>
      <c r="GK3544" s="5" t="s">
        <v>238</v>
      </c>
      <c r="GL3544" s="5" t="s">
        <v>238</v>
      </c>
      <c r="GM3544" s="5" t="s">
        <v>238</v>
      </c>
      <c r="GN3544" s="5" t="s">
        <v>238</v>
      </c>
      <c r="GO3544" s="5" t="s">
        <v>238</v>
      </c>
      <c r="GP3544" s="5" t="s">
        <v>238</v>
      </c>
      <c r="GQ3544" s="5" t="s">
        <v>238</v>
      </c>
      <c r="GR3544" s="5" t="s">
        <v>238</v>
      </c>
      <c r="GS3544" s="5" t="s">
        <v>238</v>
      </c>
      <c r="GT3544" s="5" t="s">
        <v>238</v>
      </c>
      <c r="GU3544" s="5" t="s">
        <v>238</v>
      </c>
      <c r="GV3544" s="5" t="s">
        <v>238</v>
      </c>
      <c r="GW3544" s="5" t="s">
        <v>238</v>
      </c>
      <c r="GX3544" s="5" t="s">
        <v>238</v>
      </c>
      <c r="GY3544" s="5" t="s">
        <v>238</v>
      </c>
      <c r="GZ3544" s="5" t="s">
        <v>238</v>
      </c>
      <c r="HA3544" s="5" t="s">
        <v>238</v>
      </c>
      <c r="HB3544" s="5" t="s">
        <v>238</v>
      </c>
      <c r="HC3544" s="5" t="s">
        <v>238</v>
      </c>
      <c r="HD3544" s="5" t="s">
        <v>238</v>
      </c>
      <c r="HE3544" s="5" t="s">
        <v>238</v>
      </c>
      <c r="HF3544" s="5" t="s">
        <v>238</v>
      </c>
      <c r="HG3544" s="5" t="s">
        <v>238</v>
      </c>
      <c r="HH3544" s="5" t="s">
        <v>238</v>
      </c>
      <c r="HI3544" s="5" t="s">
        <v>238</v>
      </c>
      <c r="HJ3544" s="5" t="s">
        <v>238</v>
      </c>
      <c r="HK3544" s="5" t="s">
        <v>238</v>
      </c>
      <c r="HL3544" s="5" t="s">
        <v>238</v>
      </c>
      <c r="HM3544" s="5" t="s">
        <v>264</v>
      </c>
      <c r="HN3544" s="5" t="s">
        <v>238</v>
      </c>
      <c r="HO3544" s="5" t="s">
        <v>238</v>
      </c>
      <c r="HP3544" s="5" t="s">
        <v>238</v>
      </c>
      <c r="HQ3544" s="5" t="s">
        <v>238</v>
      </c>
      <c r="HR3544" s="5" t="s">
        <v>238</v>
      </c>
      <c r="HS3544" s="5" t="s">
        <v>238</v>
      </c>
      <c r="HT3544" s="5" t="s">
        <v>238</v>
      </c>
      <c r="HU3544" s="5" t="s">
        <v>238</v>
      </c>
      <c r="HV3544" s="5" t="s">
        <v>238</v>
      </c>
      <c r="HW3544" s="5" t="s">
        <v>238</v>
      </c>
      <c r="HX3544" s="5" t="s">
        <v>238</v>
      </c>
      <c r="HY3544" s="5" t="s">
        <v>238</v>
      </c>
      <c r="HZ3544" s="5" t="s">
        <v>238</v>
      </c>
      <c r="IA3544" s="5" t="s">
        <v>238</v>
      </c>
      <c r="IB3544" s="5" t="s">
        <v>238</v>
      </c>
      <c r="IC3544" s="5" t="s">
        <v>238</v>
      </c>
      <c r="ID3544" s="5" t="s">
        <v>238</v>
      </c>
    </row>
    <row r="3545" spans="1:238" x14ac:dyDescent="0.4">
      <c r="A3545" s="5">
        <v>9263</v>
      </c>
      <c r="B3545" s="5">
        <v>1</v>
      </c>
      <c r="C3545" s="5">
        <v>1</v>
      </c>
      <c r="D3545" s="5" t="s">
        <v>484</v>
      </c>
      <c r="E3545" s="5" t="s">
        <v>485</v>
      </c>
      <c r="F3545" s="5" t="s">
        <v>248</v>
      </c>
      <c r="G3545" s="5" t="s">
        <v>5407</v>
      </c>
      <c r="H3545" s="6" t="s">
        <v>5408</v>
      </c>
      <c r="I3545" s="8">
        <f>1</f>
        <v>1</v>
      </c>
      <c r="J3545" s="5" t="s">
        <v>499</v>
      </c>
      <c r="K3545" s="8">
        <f>1</f>
        <v>1</v>
      </c>
      <c r="L3545" s="6" t="s">
        <v>242</v>
      </c>
      <c r="M3545" s="5" t="s">
        <v>267</v>
      </c>
      <c r="N3545" s="5" t="s">
        <v>482</v>
      </c>
      <c r="O3545" s="5" t="s">
        <v>238</v>
      </c>
      <c r="P3545" s="5" t="s">
        <v>238</v>
      </c>
      <c r="Q3545" s="5" t="s">
        <v>239</v>
      </c>
      <c r="R3545" s="5" t="s">
        <v>270</v>
      </c>
      <c r="S3545" s="5" t="s">
        <v>238</v>
      </c>
      <c r="T3545" s="5" t="s">
        <v>238</v>
      </c>
      <c r="U3545" s="5" t="s">
        <v>238</v>
      </c>
      <c r="V3545" s="5" t="s">
        <v>238</v>
      </c>
      <c r="W3545" s="6" t="s">
        <v>238</v>
      </c>
      <c r="X3545" s="6" t="s">
        <v>238</v>
      </c>
      <c r="Y3545" s="5" t="s">
        <v>238</v>
      </c>
      <c r="Z3545" s="6" t="s">
        <v>238</v>
      </c>
      <c r="AA3545" s="6" t="s">
        <v>243</v>
      </c>
      <c r="AB3545" s="5" t="s">
        <v>486</v>
      </c>
      <c r="AC3545" s="5" t="s">
        <v>244</v>
      </c>
      <c r="AD3545" s="5" t="s">
        <v>245</v>
      </c>
      <c r="AE3545" s="5" t="s">
        <v>238</v>
      </c>
      <c r="AF3545" s="5" t="s">
        <v>238</v>
      </c>
      <c r="AG3545" s="5" t="s">
        <v>238</v>
      </c>
      <c r="AH3545" s="5" t="s">
        <v>238</v>
      </c>
      <c r="AI3545" s="5" t="s">
        <v>238</v>
      </c>
      <c r="AJ3545" s="5" t="s">
        <v>238</v>
      </c>
      <c r="AK3545" s="5" t="s">
        <v>238</v>
      </c>
      <c r="AL3545" s="5" t="s">
        <v>238</v>
      </c>
      <c r="AM3545" s="6" t="s">
        <v>238</v>
      </c>
      <c r="AN3545" s="6" t="s">
        <v>238</v>
      </c>
      <c r="AO3545" s="6" t="s">
        <v>238</v>
      </c>
      <c r="AP3545" s="6" t="s">
        <v>238</v>
      </c>
      <c r="AQ3545" s="5" t="s">
        <v>238</v>
      </c>
      <c r="AR3545" s="5" t="s">
        <v>488</v>
      </c>
      <c r="AS3545" s="5" t="s">
        <v>488</v>
      </c>
      <c r="AT3545" s="5" t="s">
        <v>246</v>
      </c>
      <c r="AU3545" s="5" t="s">
        <v>489</v>
      </c>
      <c r="AV3545" s="5" t="s">
        <v>247</v>
      </c>
      <c r="AW3545" s="5" t="s">
        <v>238</v>
      </c>
      <c r="AX3545" s="5" t="s">
        <v>249</v>
      </c>
      <c r="AY3545" s="5" t="s">
        <v>490</v>
      </c>
      <c r="BA3545" s="5" t="s">
        <v>238</v>
      </c>
      <c r="BC3545" s="5" t="s">
        <v>491</v>
      </c>
      <c r="BD3545" s="6" t="s">
        <v>492</v>
      </c>
      <c r="BE3545" s="5" t="s">
        <v>493</v>
      </c>
      <c r="BF3545" s="5" t="s">
        <v>493</v>
      </c>
      <c r="BG3545" s="5" t="s">
        <v>238</v>
      </c>
      <c r="BH3545" s="8">
        <f>1</f>
        <v>1</v>
      </c>
      <c r="BI3545" s="8">
        <f>1</f>
        <v>1</v>
      </c>
      <c r="BJ3545" s="5" t="s">
        <v>253</v>
      </c>
      <c r="BK3545" s="5" t="s">
        <v>254</v>
      </c>
      <c r="BL3545" s="5" t="s">
        <v>238</v>
      </c>
      <c r="BM3545" s="5" t="s">
        <v>238</v>
      </c>
      <c r="BN3545" s="5" t="s">
        <v>238</v>
      </c>
      <c r="BO3545" s="5" t="s">
        <v>238</v>
      </c>
      <c r="BP3545" s="5" t="s">
        <v>238</v>
      </c>
      <c r="BQ3545" s="5" t="s">
        <v>238</v>
      </c>
      <c r="BR3545" s="5" t="s">
        <v>238</v>
      </c>
      <c r="BS3545" s="5" t="s">
        <v>238</v>
      </c>
      <c r="BT3545" s="6" t="s">
        <v>238</v>
      </c>
      <c r="BU3545" s="5" t="s">
        <v>238</v>
      </c>
      <c r="BV3545" s="5" t="s">
        <v>238</v>
      </c>
      <c r="BW3545" s="5" t="s">
        <v>238</v>
      </c>
      <c r="BX3545" s="5" t="s">
        <v>254</v>
      </c>
      <c r="BY3545" s="5" t="s">
        <v>238</v>
      </c>
      <c r="BZ3545" s="5" t="s">
        <v>238</v>
      </c>
      <c r="CA3545" s="5" t="s">
        <v>238</v>
      </c>
      <c r="CB3545" s="5" t="s">
        <v>238</v>
      </c>
      <c r="CC3545" s="5" t="s">
        <v>238</v>
      </c>
      <c r="CD3545" s="5" t="s">
        <v>273</v>
      </c>
      <c r="CE3545" s="5" t="s">
        <v>256</v>
      </c>
      <c r="CF3545" s="5" t="s">
        <v>238</v>
      </c>
      <c r="CH3545" s="5" t="s">
        <v>494</v>
      </c>
      <c r="CI3545" s="6" t="s">
        <v>257</v>
      </c>
      <c r="CJ3545" s="5" t="s">
        <v>495</v>
      </c>
      <c r="CK3545" s="5" t="s">
        <v>258</v>
      </c>
      <c r="CL3545" s="5" t="s">
        <v>496</v>
      </c>
      <c r="CM3545" s="5" t="s">
        <v>238</v>
      </c>
      <c r="CN3545" s="5">
        <v>0</v>
      </c>
      <c r="CO3545" s="5" t="s">
        <v>497</v>
      </c>
      <c r="CP3545" s="5" t="s">
        <v>260</v>
      </c>
      <c r="CQ3545" s="5" t="s">
        <v>260</v>
      </c>
      <c r="CR3545" s="5" t="s">
        <v>261</v>
      </c>
      <c r="CS3545" s="5" t="s">
        <v>498</v>
      </c>
      <c r="CT3545" s="7">
        <f>1</f>
        <v>1</v>
      </c>
      <c r="CU3545" s="8">
        <f>1</f>
        <v>1</v>
      </c>
      <c r="CV3545" s="8">
        <f>0</f>
        <v>0</v>
      </c>
      <c r="CX3545" s="8">
        <f>1</f>
        <v>1</v>
      </c>
      <c r="CY3545" s="8">
        <f>1</f>
        <v>1</v>
      </c>
      <c r="CZ3545" s="8" t="s">
        <v>238</v>
      </c>
      <c r="DA3545" s="5" t="s">
        <v>238</v>
      </c>
      <c r="DB3545" s="5" t="s">
        <v>238</v>
      </c>
      <c r="DC3545" s="5" t="s">
        <v>238</v>
      </c>
      <c r="DD3545" s="5" t="s">
        <v>238</v>
      </c>
      <c r="DE3545" s="8">
        <f>0</f>
        <v>0</v>
      </c>
      <c r="DG3545" s="5" t="s">
        <v>238</v>
      </c>
      <c r="DH3545" s="5" t="s">
        <v>238</v>
      </c>
      <c r="DI3545" s="5" t="s">
        <v>238</v>
      </c>
      <c r="DJ3545" s="5" t="s">
        <v>238</v>
      </c>
      <c r="DK3545" s="5" t="s">
        <v>238</v>
      </c>
      <c r="DL3545" s="5" t="s">
        <v>238</v>
      </c>
      <c r="DM3545" s="8" t="s">
        <v>238</v>
      </c>
      <c r="DN3545" s="5" t="s">
        <v>238</v>
      </c>
      <c r="DO3545" s="5" t="s">
        <v>238</v>
      </c>
      <c r="DP3545" s="5" t="s">
        <v>490</v>
      </c>
      <c r="DQ3545" s="5" t="s">
        <v>490</v>
      </c>
      <c r="DR3545" s="5" t="s">
        <v>238</v>
      </c>
      <c r="DS3545" s="5" t="s">
        <v>238</v>
      </c>
      <c r="DT3545" s="5" t="s">
        <v>500</v>
      </c>
      <c r="DU3545" s="5" t="s">
        <v>734</v>
      </c>
      <c r="DV3545" s="5" t="s">
        <v>238</v>
      </c>
      <c r="DW3545" s="5" t="s">
        <v>238</v>
      </c>
      <c r="DX3545" s="5" t="s">
        <v>238</v>
      </c>
      <c r="DY3545" s="5" t="s">
        <v>238</v>
      </c>
      <c r="DZ3545" s="5" t="s">
        <v>238</v>
      </c>
      <c r="EA3545" s="5" t="s">
        <v>238</v>
      </c>
      <c r="EB3545" s="5" t="s">
        <v>238</v>
      </c>
      <c r="EC3545" s="5" t="s">
        <v>238</v>
      </c>
      <c r="ED3545" s="5" t="s">
        <v>238</v>
      </c>
      <c r="EE3545" s="5" t="s">
        <v>238</v>
      </c>
      <c r="EF3545" s="5" t="s">
        <v>238</v>
      </c>
      <c r="EG3545" s="5" t="s">
        <v>238</v>
      </c>
      <c r="EH3545" s="5" t="s">
        <v>238</v>
      </c>
      <c r="EI3545" s="5" t="s">
        <v>238</v>
      </c>
      <c r="EJ3545" s="5" t="s">
        <v>238</v>
      </c>
      <c r="EK3545" s="5" t="s">
        <v>238</v>
      </c>
      <c r="EL3545" s="5" t="s">
        <v>238</v>
      </c>
      <c r="EM3545" s="5" t="s">
        <v>238</v>
      </c>
      <c r="EN3545" s="5" t="s">
        <v>238</v>
      </c>
      <c r="EO3545" s="5" t="s">
        <v>238</v>
      </c>
      <c r="EP3545" s="5" t="s">
        <v>238</v>
      </c>
      <c r="EQ3545" s="5" t="s">
        <v>238</v>
      </c>
      <c r="ER3545" s="5" t="s">
        <v>238</v>
      </c>
      <c r="ES3545" s="5" t="s">
        <v>238</v>
      </c>
      <c r="ET3545" s="5" t="s">
        <v>238</v>
      </c>
      <c r="EU3545" s="5" t="s">
        <v>238</v>
      </c>
      <c r="EV3545" s="5" t="s">
        <v>238</v>
      </c>
      <c r="EW3545" s="5" t="s">
        <v>238</v>
      </c>
      <c r="EX3545" s="5" t="s">
        <v>238</v>
      </c>
      <c r="EY3545" s="5" t="s">
        <v>238</v>
      </c>
      <c r="EZ3545" s="5" t="s">
        <v>238</v>
      </c>
      <c r="FA3545" s="5" t="s">
        <v>238</v>
      </c>
      <c r="FB3545" s="5" t="s">
        <v>238</v>
      </c>
      <c r="FC3545" s="5" t="s">
        <v>238</v>
      </c>
      <c r="FD3545" s="5" t="s">
        <v>238</v>
      </c>
      <c r="FE3545" s="5" t="s">
        <v>238</v>
      </c>
      <c r="FF3545" s="5" t="s">
        <v>238</v>
      </c>
      <c r="FG3545" s="5" t="s">
        <v>238</v>
      </c>
      <c r="FH3545" s="5" t="s">
        <v>238</v>
      </c>
      <c r="FI3545" s="5" t="s">
        <v>238</v>
      </c>
      <c r="FJ3545" s="5" t="s">
        <v>238</v>
      </c>
      <c r="FK3545" s="5" t="s">
        <v>238</v>
      </c>
      <c r="FL3545" s="5" t="s">
        <v>238</v>
      </c>
      <c r="FM3545" s="5" t="s">
        <v>238</v>
      </c>
      <c r="FN3545" s="5" t="s">
        <v>238</v>
      </c>
      <c r="FO3545" s="5" t="s">
        <v>238</v>
      </c>
      <c r="FP3545" s="5" t="s">
        <v>238</v>
      </c>
      <c r="FQ3545" s="5" t="s">
        <v>238</v>
      </c>
      <c r="FR3545" s="5" t="s">
        <v>238</v>
      </c>
      <c r="FS3545" s="5" t="s">
        <v>238</v>
      </c>
      <c r="FT3545" s="5" t="s">
        <v>238</v>
      </c>
      <c r="FU3545" s="5" t="s">
        <v>238</v>
      </c>
      <c r="FV3545" s="5" t="s">
        <v>238</v>
      </c>
      <c r="FW3545" s="5" t="s">
        <v>238</v>
      </c>
      <c r="FX3545" s="5" t="s">
        <v>238</v>
      </c>
      <c r="FY3545" s="5" t="s">
        <v>238</v>
      </c>
      <c r="FZ3545" s="5" t="s">
        <v>238</v>
      </c>
      <c r="GA3545" s="5" t="s">
        <v>238</v>
      </c>
      <c r="GB3545" s="5" t="s">
        <v>238</v>
      </c>
      <c r="GC3545" s="5" t="s">
        <v>238</v>
      </c>
      <c r="GD3545" s="5" t="s">
        <v>238</v>
      </c>
      <c r="GE3545" s="5" t="s">
        <v>238</v>
      </c>
      <c r="GF3545" s="5" t="s">
        <v>238</v>
      </c>
      <c r="GG3545" s="5" t="s">
        <v>238</v>
      </c>
      <c r="GH3545" s="5" t="s">
        <v>238</v>
      </c>
      <c r="GI3545" s="5" t="s">
        <v>238</v>
      </c>
      <c r="GJ3545" s="5" t="s">
        <v>238</v>
      </c>
      <c r="GK3545" s="5" t="s">
        <v>238</v>
      </c>
      <c r="GL3545" s="5" t="s">
        <v>238</v>
      </c>
      <c r="GM3545" s="5" t="s">
        <v>238</v>
      </c>
      <c r="GN3545" s="5" t="s">
        <v>238</v>
      </c>
      <c r="GO3545" s="5" t="s">
        <v>238</v>
      </c>
      <c r="GP3545" s="5" t="s">
        <v>238</v>
      </c>
      <c r="GQ3545" s="5" t="s">
        <v>238</v>
      </c>
      <c r="GR3545" s="5" t="s">
        <v>238</v>
      </c>
      <c r="GS3545" s="5" t="s">
        <v>238</v>
      </c>
      <c r="GT3545" s="5" t="s">
        <v>238</v>
      </c>
      <c r="GU3545" s="5" t="s">
        <v>238</v>
      </c>
      <c r="GV3545" s="5" t="s">
        <v>238</v>
      </c>
      <c r="GW3545" s="5" t="s">
        <v>238</v>
      </c>
      <c r="GX3545" s="5" t="s">
        <v>238</v>
      </c>
      <c r="GY3545" s="5" t="s">
        <v>238</v>
      </c>
      <c r="GZ3545" s="5" t="s">
        <v>238</v>
      </c>
      <c r="HA3545" s="5" t="s">
        <v>238</v>
      </c>
      <c r="HB3545" s="5" t="s">
        <v>238</v>
      </c>
      <c r="HC3545" s="5" t="s">
        <v>238</v>
      </c>
      <c r="HD3545" s="5" t="s">
        <v>238</v>
      </c>
      <c r="HE3545" s="5" t="s">
        <v>238</v>
      </c>
      <c r="HF3545" s="5" t="s">
        <v>238</v>
      </c>
      <c r="HG3545" s="5" t="s">
        <v>238</v>
      </c>
      <c r="HH3545" s="5" t="s">
        <v>238</v>
      </c>
      <c r="HI3545" s="5" t="s">
        <v>238</v>
      </c>
      <c r="HJ3545" s="5" t="s">
        <v>238</v>
      </c>
      <c r="HK3545" s="5" t="s">
        <v>238</v>
      </c>
      <c r="HL3545" s="5" t="s">
        <v>238</v>
      </c>
      <c r="HM3545" s="5" t="s">
        <v>264</v>
      </c>
      <c r="HN3545" s="5" t="s">
        <v>238</v>
      </c>
      <c r="HO3545" s="5" t="s">
        <v>238</v>
      </c>
      <c r="HP3545" s="5" t="s">
        <v>238</v>
      </c>
      <c r="HQ3545" s="5" t="s">
        <v>238</v>
      </c>
      <c r="HR3545" s="5" t="s">
        <v>238</v>
      </c>
      <c r="HS3545" s="5" t="s">
        <v>238</v>
      </c>
      <c r="HT3545" s="5" t="s">
        <v>238</v>
      </c>
      <c r="HU3545" s="5" t="s">
        <v>238</v>
      </c>
      <c r="HV3545" s="5" t="s">
        <v>238</v>
      </c>
      <c r="HW3545" s="5" t="s">
        <v>238</v>
      </c>
      <c r="HX3545" s="5" t="s">
        <v>238</v>
      </c>
      <c r="HY3545" s="5" t="s">
        <v>238</v>
      </c>
      <c r="HZ3545" s="5" t="s">
        <v>238</v>
      </c>
      <c r="IA3545" s="5" t="s">
        <v>238</v>
      </c>
      <c r="IB3545" s="5" t="s">
        <v>238</v>
      </c>
      <c r="IC3545" s="5" t="s">
        <v>238</v>
      </c>
      <c r="ID3545" s="5" t="s">
        <v>238</v>
      </c>
    </row>
    <row r="3546" spans="1:238" x14ac:dyDescent="0.4">
      <c r="A3546" s="5">
        <v>9264</v>
      </c>
      <c r="B3546" s="5">
        <v>1</v>
      </c>
      <c r="C3546" s="5">
        <v>1</v>
      </c>
      <c r="D3546" s="5" t="s">
        <v>484</v>
      </c>
      <c r="E3546" s="5" t="s">
        <v>485</v>
      </c>
      <c r="F3546" s="5" t="s">
        <v>248</v>
      </c>
      <c r="G3546" s="5" t="s">
        <v>5250</v>
      </c>
      <c r="H3546" s="6" t="s">
        <v>5252</v>
      </c>
      <c r="I3546" s="8">
        <f>1</f>
        <v>1</v>
      </c>
      <c r="J3546" s="5" t="s">
        <v>499</v>
      </c>
      <c r="K3546" s="8">
        <f>1</f>
        <v>1</v>
      </c>
      <c r="L3546" s="6" t="s">
        <v>242</v>
      </c>
      <c r="M3546" s="5" t="s">
        <v>267</v>
      </c>
      <c r="N3546" s="5" t="s">
        <v>482</v>
      </c>
      <c r="O3546" s="5" t="s">
        <v>238</v>
      </c>
      <c r="P3546" s="5" t="s">
        <v>238</v>
      </c>
      <c r="Q3546" s="5" t="s">
        <v>239</v>
      </c>
      <c r="R3546" s="5" t="s">
        <v>270</v>
      </c>
      <c r="S3546" s="5" t="s">
        <v>238</v>
      </c>
      <c r="T3546" s="5" t="s">
        <v>238</v>
      </c>
      <c r="U3546" s="5" t="s">
        <v>238</v>
      </c>
      <c r="V3546" s="5" t="s">
        <v>238</v>
      </c>
      <c r="W3546" s="6" t="s">
        <v>238</v>
      </c>
      <c r="X3546" s="6" t="s">
        <v>238</v>
      </c>
      <c r="Y3546" s="5" t="s">
        <v>238</v>
      </c>
      <c r="Z3546" s="6" t="s">
        <v>238</v>
      </c>
      <c r="AA3546" s="6" t="s">
        <v>243</v>
      </c>
      <c r="AB3546" s="5" t="s">
        <v>5251</v>
      </c>
      <c r="AC3546" s="5" t="s">
        <v>244</v>
      </c>
      <c r="AD3546" s="5" t="s">
        <v>245</v>
      </c>
      <c r="AE3546" s="5" t="s">
        <v>238</v>
      </c>
      <c r="AF3546" s="5" t="s">
        <v>238</v>
      </c>
      <c r="AG3546" s="5" t="s">
        <v>238</v>
      </c>
      <c r="AH3546" s="5" t="s">
        <v>238</v>
      </c>
      <c r="AI3546" s="5" t="s">
        <v>238</v>
      </c>
      <c r="AJ3546" s="5" t="s">
        <v>238</v>
      </c>
      <c r="AK3546" s="5" t="s">
        <v>238</v>
      </c>
      <c r="AL3546" s="5" t="s">
        <v>238</v>
      </c>
      <c r="AM3546" s="6" t="s">
        <v>238</v>
      </c>
      <c r="AN3546" s="6" t="s">
        <v>238</v>
      </c>
      <c r="AO3546" s="6" t="s">
        <v>238</v>
      </c>
      <c r="AP3546" s="6" t="s">
        <v>238</v>
      </c>
      <c r="AQ3546" s="5" t="s">
        <v>238</v>
      </c>
      <c r="AR3546" s="5" t="s">
        <v>488</v>
      </c>
      <c r="AS3546" s="5" t="s">
        <v>488</v>
      </c>
      <c r="AT3546" s="5" t="s">
        <v>246</v>
      </c>
      <c r="AU3546" s="5" t="s">
        <v>489</v>
      </c>
      <c r="AV3546" s="5" t="s">
        <v>247</v>
      </c>
      <c r="AW3546" s="5" t="s">
        <v>238</v>
      </c>
      <c r="AX3546" s="5" t="s">
        <v>249</v>
      </c>
      <c r="AY3546" s="5" t="s">
        <v>490</v>
      </c>
      <c r="BA3546" s="5" t="s">
        <v>238</v>
      </c>
      <c r="BC3546" s="5" t="s">
        <v>491</v>
      </c>
      <c r="BD3546" s="6" t="s">
        <v>492</v>
      </c>
      <c r="BE3546" s="5" t="s">
        <v>493</v>
      </c>
      <c r="BF3546" s="5" t="s">
        <v>493</v>
      </c>
      <c r="BG3546" s="5" t="s">
        <v>238</v>
      </c>
      <c r="BH3546" s="8">
        <f>1</f>
        <v>1</v>
      </c>
      <c r="BI3546" s="8">
        <f>1</f>
        <v>1</v>
      </c>
      <c r="BJ3546" s="5" t="s">
        <v>253</v>
      </c>
      <c r="BK3546" s="5" t="s">
        <v>254</v>
      </c>
      <c r="BL3546" s="5" t="s">
        <v>238</v>
      </c>
      <c r="BM3546" s="5" t="s">
        <v>238</v>
      </c>
      <c r="BN3546" s="5" t="s">
        <v>238</v>
      </c>
      <c r="BO3546" s="5" t="s">
        <v>238</v>
      </c>
      <c r="BP3546" s="5" t="s">
        <v>238</v>
      </c>
      <c r="BQ3546" s="5" t="s">
        <v>238</v>
      </c>
      <c r="BR3546" s="5" t="s">
        <v>238</v>
      </c>
      <c r="BS3546" s="5" t="s">
        <v>238</v>
      </c>
      <c r="BT3546" s="6" t="s">
        <v>238</v>
      </c>
      <c r="BU3546" s="5" t="s">
        <v>238</v>
      </c>
      <c r="BV3546" s="5" t="s">
        <v>238</v>
      </c>
      <c r="BW3546" s="5" t="s">
        <v>238</v>
      </c>
      <c r="BX3546" s="5" t="s">
        <v>254</v>
      </c>
      <c r="BY3546" s="5" t="s">
        <v>238</v>
      </c>
      <c r="BZ3546" s="5" t="s">
        <v>238</v>
      </c>
      <c r="CA3546" s="5" t="s">
        <v>238</v>
      </c>
      <c r="CB3546" s="5" t="s">
        <v>238</v>
      </c>
      <c r="CC3546" s="5" t="s">
        <v>238</v>
      </c>
      <c r="CD3546" s="5" t="s">
        <v>273</v>
      </c>
      <c r="CE3546" s="5" t="s">
        <v>256</v>
      </c>
      <c r="CF3546" s="5" t="s">
        <v>238</v>
      </c>
      <c r="CH3546" s="5" t="s">
        <v>494</v>
      </c>
      <c r="CI3546" s="6" t="s">
        <v>257</v>
      </c>
      <c r="CJ3546" s="5" t="s">
        <v>495</v>
      </c>
      <c r="CK3546" s="5" t="s">
        <v>258</v>
      </c>
      <c r="CL3546" s="5" t="s">
        <v>496</v>
      </c>
      <c r="CM3546" s="5" t="s">
        <v>238</v>
      </c>
      <c r="CN3546" s="5">
        <v>0</v>
      </c>
      <c r="CO3546" s="5" t="s">
        <v>497</v>
      </c>
      <c r="CP3546" s="5" t="s">
        <v>260</v>
      </c>
      <c r="CQ3546" s="5" t="s">
        <v>260</v>
      </c>
      <c r="CR3546" s="5" t="s">
        <v>261</v>
      </c>
      <c r="CS3546" s="5" t="s">
        <v>498</v>
      </c>
      <c r="CT3546" s="7">
        <f>1</f>
        <v>1</v>
      </c>
      <c r="CU3546" s="8">
        <f>1</f>
        <v>1</v>
      </c>
      <c r="CV3546" s="8">
        <f>0</f>
        <v>0</v>
      </c>
      <c r="CX3546" s="8">
        <f>1</f>
        <v>1</v>
      </c>
      <c r="CY3546" s="8">
        <f>1</f>
        <v>1</v>
      </c>
      <c r="CZ3546" s="8" t="s">
        <v>238</v>
      </c>
      <c r="DA3546" s="5" t="s">
        <v>238</v>
      </c>
      <c r="DB3546" s="5" t="s">
        <v>238</v>
      </c>
      <c r="DC3546" s="5" t="s">
        <v>238</v>
      </c>
      <c r="DD3546" s="5" t="s">
        <v>238</v>
      </c>
      <c r="DE3546" s="8">
        <f>0</f>
        <v>0</v>
      </c>
      <c r="DG3546" s="5" t="s">
        <v>238</v>
      </c>
      <c r="DH3546" s="5" t="s">
        <v>238</v>
      </c>
      <c r="DI3546" s="5" t="s">
        <v>238</v>
      </c>
      <c r="DJ3546" s="5" t="s">
        <v>238</v>
      </c>
      <c r="DK3546" s="5" t="s">
        <v>238</v>
      </c>
      <c r="DL3546" s="5" t="s">
        <v>238</v>
      </c>
      <c r="DM3546" s="8" t="s">
        <v>238</v>
      </c>
      <c r="DN3546" s="5" t="s">
        <v>238</v>
      </c>
      <c r="DO3546" s="5" t="s">
        <v>238</v>
      </c>
      <c r="DP3546" s="5" t="s">
        <v>490</v>
      </c>
      <c r="DQ3546" s="5" t="s">
        <v>490</v>
      </c>
      <c r="DR3546" s="5" t="s">
        <v>238</v>
      </c>
      <c r="DS3546" s="5" t="s">
        <v>238</v>
      </c>
      <c r="DT3546" s="5" t="s">
        <v>500</v>
      </c>
      <c r="DU3546" s="5" t="s">
        <v>720</v>
      </c>
      <c r="DV3546" s="5" t="s">
        <v>238</v>
      </c>
      <c r="DW3546" s="5" t="s">
        <v>238</v>
      </c>
      <c r="DX3546" s="5" t="s">
        <v>238</v>
      </c>
      <c r="DY3546" s="5" t="s">
        <v>238</v>
      </c>
      <c r="DZ3546" s="5" t="s">
        <v>238</v>
      </c>
      <c r="EA3546" s="5" t="s">
        <v>238</v>
      </c>
      <c r="EB3546" s="5" t="s">
        <v>238</v>
      </c>
      <c r="EC3546" s="5" t="s">
        <v>238</v>
      </c>
      <c r="ED3546" s="5" t="s">
        <v>238</v>
      </c>
      <c r="EE3546" s="5" t="s">
        <v>238</v>
      </c>
      <c r="EF3546" s="5" t="s">
        <v>238</v>
      </c>
      <c r="EG3546" s="5" t="s">
        <v>238</v>
      </c>
      <c r="EH3546" s="5" t="s">
        <v>238</v>
      </c>
      <c r="EI3546" s="5" t="s">
        <v>238</v>
      </c>
      <c r="EJ3546" s="5" t="s">
        <v>238</v>
      </c>
      <c r="EK3546" s="5" t="s">
        <v>238</v>
      </c>
      <c r="EL3546" s="5" t="s">
        <v>238</v>
      </c>
      <c r="EM3546" s="5" t="s">
        <v>238</v>
      </c>
      <c r="EN3546" s="5" t="s">
        <v>238</v>
      </c>
      <c r="EO3546" s="5" t="s">
        <v>238</v>
      </c>
      <c r="EP3546" s="5" t="s">
        <v>238</v>
      </c>
      <c r="EQ3546" s="5" t="s">
        <v>238</v>
      </c>
      <c r="ER3546" s="5" t="s">
        <v>238</v>
      </c>
      <c r="ES3546" s="5" t="s">
        <v>238</v>
      </c>
      <c r="ET3546" s="5" t="s">
        <v>238</v>
      </c>
      <c r="EU3546" s="5" t="s">
        <v>238</v>
      </c>
      <c r="EV3546" s="5" t="s">
        <v>238</v>
      </c>
      <c r="EW3546" s="5" t="s">
        <v>238</v>
      </c>
      <c r="EX3546" s="5" t="s">
        <v>238</v>
      </c>
      <c r="EY3546" s="5" t="s">
        <v>238</v>
      </c>
      <c r="EZ3546" s="5" t="s">
        <v>238</v>
      </c>
      <c r="FA3546" s="5" t="s">
        <v>238</v>
      </c>
      <c r="FB3546" s="5" t="s">
        <v>238</v>
      </c>
      <c r="FC3546" s="5" t="s">
        <v>238</v>
      </c>
      <c r="FD3546" s="5" t="s">
        <v>238</v>
      </c>
      <c r="FE3546" s="5" t="s">
        <v>238</v>
      </c>
      <c r="FF3546" s="5" t="s">
        <v>238</v>
      </c>
      <c r="FG3546" s="5" t="s">
        <v>238</v>
      </c>
      <c r="FH3546" s="5" t="s">
        <v>238</v>
      </c>
      <c r="FI3546" s="5" t="s">
        <v>238</v>
      </c>
      <c r="FJ3546" s="5" t="s">
        <v>238</v>
      </c>
      <c r="FK3546" s="5" t="s">
        <v>238</v>
      </c>
      <c r="FL3546" s="5" t="s">
        <v>238</v>
      </c>
      <c r="FM3546" s="5" t="s">
        <v>238</v>
      </c>
      <c r="FN3546" s="5" t="s">
        <v>238</v>
      </c>
      <c r="FO3546" s="5" t="s">
        <v>238</v>
      </c>
      <c r="FP3546" s="5" t="s">
        <v>238</v>
      </c>
      <c r="FQ3546" s="5" t="s">
        <v>238</v>
      </c>
      <c r="FR3546" s="5" t="s">
        <v>238</v>
      </c>
      <c r="FS3546" s="5" t="s">
        <v>238</v>
      </c>
      <c r="FT3546" s="5" t="s">
        <v>238</v>
      </c>
      <c r="FU3546" s="5" t="s">
        <v>238</v>
      </c>
      <c r="FV3546" s="5" t="s">
        <v>238</v>
      </c>
      <c r="FW3546" s="5" t="s">
        <v>238</v>
      </c>
      <c r="FX3546" s="5" t="s">
        <v>238</v>
      </c>
      <c r="FY3546" s="5" t="s">
        <v>238</v>
      </c>
      <c r="FZ3546" s="5" t="s">
        <v>238</v>
      </c>
      <c r="GA3546" s="5" t="s">
        <v>238</v>
      </c>
      <c r="GB3546" s="5" t="s">
        <v>238</v>
      </c>
      <c r="GC3546" s="5" t="s">
        <v>238</v>
      </c>
      <c r="GD3546" s="5" t="s">
        <v>238</v>
      </c>
      <c r="GE3546" s="5" t="s">
        <v>238</v>
      </c>
      <c r="GF3546" s="5" t="s">
        <v>238</v>
      </c>
      <c r="GG3546" s="5" t="s">
        <v>238</v>
      </c>
      <c r="GH3546" s="5" t="s">
        <v>238</v>
      </c>
      <c r="GI3546" s="5" t="s">
        <v>238</v>
      </c>
      <c r="GJ3546" s="5" t="s">
        <v>238</v>
      </c>
      <c r="GK3546" s="5" t="s">
        <v>238</v>
      </c>
      <c r="GL3546" s="5" t="s">
        <v>238</v>
      </c>
      <c r="GM3546" s="5" t="s">
        <v>238</v>
      </c>
      <c r="GN3546" s="5" t="s">
        <v>238</v>
      </c>
      <c r="GO3546" s="5" t="s">
        <v>238</v>
      </c>
      <c r="GP3546" s="5" t="s">
        <v>238</v>
      </c>
      <c r="GQ3546" s="5" t="s">
        <v>238</v>
      </c>
      <c r="GR3546" s="5" t="s">
        <v>238</v>
      </c>
      <c r="GS3546" s="5" t="s">
        <v>238</v>
      </c>
      <c r="GT3546" s="5" t="s">
        <v>238</v>
      </c>
      <c r="GU3546" s="5" t="s">
        <v>238</v>
      </c>
      <c r="GV3546" s="5" t="s">
        <v>238</v>
      </c>
      <c r="GW3546" s="5" t="s">
        <v>238</v>
      </c>
      <c r="GX3546" s="5" t="s">
        <v>238</v>
      </c>
      <c r="GY3546" s="5" t="s">
        <v>238</v>
      </c>
      <c r="GZ3546" s="5" t="s">
        <v>238</v>
      </c>
      <c r="HA3546" s="5" t="s">
        <v>238</v>
      </c>
      <c r="HB3546" s="5" t="s">
        <v>238</v>
      </c>
      <c r="HC3546" s="5" t="s">
        <v>238</v>
      </c>
      <c r="HD3546" s="5" t="s">
        <v>238</v>
      </c>
      <c r="HE3546" s="5" t="s">
        <v>238</v>
      </c>
      <c r="HF3546" s="5" t="s">
        <v>238</v>
      </c>
      <c r="HG3546" s="5" t="s">
        <v>238</v>
      </c>
      <c r="HH3546" s="5" t="s">
        <v>238</v>
      </c>
      <c r="HI3546" s="5" t="s">
        <v>238</v>
      </c>
      <c r="HJ3546" s="5" t="s">
        <v>238</v>
      </c>
      <c r="HK3546" s="5" t="s">
        <v>238</v>
      </c>
      <c r="HL3546" s="5" t="s">
        <v>238</v>
      </c>
      <c r="HM3546" s="5" t="s">
        <v>264</v>
      </c>
      <c r="HN3546" s="5" t="s">
        <v>238</v>
      </c>
      <c r="HO3546" s="5" t="s">
        <v>238</v>
      </c>
      <c r="HP3546" s="5" t="s">
        <v>238</v>
      </c>
      <c r="HQ3546" s="5" t="s">
        <v>238</v>
      </c>
      <c r="HR3546" s="5" t="s">
        <v>238</v>
      </c>
      <c r="HS3546" s="5" t="s">
        <v>238</v>
      </c>
      <c r="HT3546" s="5" t="s">
        <v>238</v>
      </c>
      <c r="HU3546" s="5" t="s">
        <v>238</v>
      </c>
      <c r="HV3546" s="5" t="s">
        <v>238</v>
      </c>
      <c r="HW3546" s="5" t="s">
        <v>238</v>
      </c>
      <c r="HX3546" s="5" t="s">
        <v>238</v>
      </c>
      <c r="HY3546" s="5" t="s">
        <v>238</v>
      </c>
      <c r="HZ3546" s="5" t="s">
        <v>238</v>
      </c>
      <c r="IA3546" s="5" t="s">
        <v>238</v>
      </c>
      <c r="IB3546" s="5" t="s">
        <v>238</v>
      </c>
      <c r="IC3546" s="5" t="s">
        <v>238</v>
      </c>
      <c r="ID3546" s="5" t="s">
        <v>238</v>
      </c>
    </row>
    <row r="3547" spans="1:238" x14ac:dyDescent="0.4">
      <c r="A3547" s="5">
        <v>9265</v>
      </c>
      <c r="B3547" s="5">
        <v>1</v>
      </c>
      <c r="C3547" s="5">
        <v>1</v>
      </c>
      <c r="D3547" s="5" t="s">
        <v>484</v>
      </c>
      <c r="E3547" s="5" t="s">
        <v>485</v>
      </c>
      <c r="F3547" s="5" t="s">
        <v>248</v>
      </c>
      <c r="G3547" s="5" t="s">
        <v>6398</v>
      </c>
      <c r="H3547" s="6" t="s">
        <v>6399</v>
      </c>
      <c r="I3547" s="8">
        <f>1</f>
        <v>1</v>
      </c>
      <c r="J3547" s="5" t="s">
        <v>499</v>
      </c>
      <c r="K3547" s="8">
        <f>1</f>
        <v>1</v>
      </c>
      <c r="L3547" s="6" t="s">
        <v>242</v>
      </c>
      <c r="M3547" s="5" t="s">
        <v>267</v>
      </c>
      <c r="N3547" s="5" t="s">
        <v>482</v>
      </c>
      <c r="O3547" s="5" t="s">
        <v>238</v>
      </c>
      <c r="P3547" s="5" t="s">
        <v>238</v>
      </c>
      <c r="Q3547" s="5" t="s">
        <v>239</v>
      </c>
      <c r="R3547" s="5" t="s">
        <v>270</v>
      </c>
      <c r="S3547" s="5" t="s">
        <v>238</v>
      </c>
      <c r="T3547" s="5" t="s">
        <v>238</v>
      </c>
      <c r="U3547" s="5" t="s">
        <v>238</v>
      </c>
      <c r="V3547" s="5" t="s">
        <v>238</v>
      </c>
      <c r="W3547" s="6" t="s">
        <v>238</v>
      </c>
      <c r="X3547" s="6" t="s">
        <v>238</v>
      </c>
      <c r="Y3547" s="5" t="s">
        <v>238</v>
      </c>
      <c r="Z3547" s="6" t="s">
        <v>238</v>
      </c>
      <c r="AA3547" s="6" t="s">
        <v>243</v>
      </c>
      <c r="AB3547" s="5" t="s">
        <v>486</v>
      </c>
      <c r="AC3547" s="5" t="s">
        <v>244</v>
      </c>
      <c r="AD3547" s="5" t="s">
        <v>245</v>
      </c>
      <c r="AE3547" s="5" t="s">
        <v>238</v>
      </c>
      <c r="AF3547" s="5" t="s">
        <v>238</v>
      </c>
      <c r="AG3547" s="5" t="s">
        <v>238</v>
      </c>
      <c r="AH3547" s="5" t="s">
        <v>238</v>
      </c>
      <c r="AI3547" s="5" t="s">
        <v>238</v>
      </c>
      <c r="AJ3547" s="5" t="s">
        <v>238</v>
      </c>
      <c r="AK3547" s="5" t="s">
        <v>238</v>
      </c>
      <c r="AL3547" s="5" t="s">
        <v>238</v>
      </c>
      <c r="AM3547" s="6" t="s">
        <v>238</v>
      </c>
      <c r="AN3547" s="6" t="s">
        <v>238</v>
      </c>
      <c r="AO3547" s="6" t="s">
        <v>238</v>
      </c>
      <c r="AP3547" s="6" t="s">
        <v>238</v>
      </c>
      <c r="AQ3547" s="5" t="s">
        <v>238</v>
      </c>
      <c r="AR3547" s="5" t="s">
        <v>488</v>
      </c>
      <c r="AS3547" s="5" t="s">
        <v>488</v>
      </c>
      <c r="AT3547" s="5" t="s">
        <v>246</v>
      </c>
      <c r="AU3547" s="5" t="s">
        <v>489</v>
      </c>
      <c r="AV3547" s="5" t="s">
        <v>247</v>
      </c>
      <c r="AW3547" s="5" t="s">
        <v>238</v>
      </c>
      <c r="AX3547" s="5" t="s">
        <v>249</v>
      </c>
      <c r="AY3547" s="5" t="s">
        <v>490</v>
      </c>
      <c r="BA3547" s="5" t="s">
        <v>238</v>
      </c>
      <c r="BC3547" s="5" t="s">
        <v>491</v>
      </c>
      <c r="BD3547" s="6" t="s">
        <v>492</v>
      </c>
      <c r="BE3547" s="5" t="s">
        <v>493</v>
      </c>
      <c r="BF3547" s="5" t="s">
        <v>493</v>
      </c>
      <c r="BG3547" s="5" t="s">
        <v>238</v>
      </c>
      <c r="BH3547" s="8">
        <f>1</f>
        <v>1</v>
      </c>
      <c r="BI3547" s="8">
        <f>1</f>
        <v>1</v>
      </c>
      <c r="BJ3547" s="5" t="s">
        <v>253</v>
      </c>
      <c r="BK3547" s="5" t="s">
        <v>254</v>
      </c>
      <c r="BL3547" s="5" t="s">
        <v>238</v>
      </c>
      <c r="BM3547" s="5" t="s">
        <v>238</v>
      </c>
      <c r="BN3547" s="5" t="s">
        <v>238</v>
      </c>
      <c r="BO3547" s="5" t="s">
        <v>238</v>
      </c>
      <c r="BP3547" s="5" t="s">
        <v>238</v>
      </c>
      <c r="BQ3547" s="5" t="s">
        <v>238</v>
      </c>
      <c r="BR3547" s="5" t="s">
        <v>238</v>
      </c>
      <c r="BS3547" s="5" t="s">
        <v>238</v>
      </c>
      <c r="BT3547" s="6" t="s">
        <v>238</v>
      </c>
      <c r="BU3547" s="5" t="s">
        <v>238</v>
      </c>
      <c r="BV3547" s="5" t="s">
        <v>238</v>
      </c>
      <c r="BW3547" s="5" t="s">
        <v>238</v>
      </c>
      <c r="BX3547" s="5" t="s">
        <v>254</v>
      </c>
      <c r="BY3547" s="5" t="s">
        <v>238</v>
      </c>
      <c r="BZ3547" s="5" t="s">
        <v>238</v>
      </c>
      <c r="CA3547" s="5" t="s">
        <v>238</v>
      </c>
      <c r="CB3547" s="5" t="s">
        <v>238</v>
      </c>
      <c r="CC3547" s="5" t="s">
        <v>238</v>
      </c>
      <c r="CD3547" s="5" t="s">
        <v>273</v>
      </c>
      <c r="CE3547" s="5" t="s">
        <v>256</v>
      </c>
      <c r="CF3547" s="5" t="s">
        <v>238</v>
      </c>
      <c r="CH3547" s="5" t="s">
        <v>494</v>
      </c>
      <c r="CI3547" s="6" t="s">
        <v>257</v>
      </c>
      <c r="CJ3547" s="5" t="s">
        <v>495</v>
      </c>
      <c r="CK3547" s="5" t="s">
        <v>258</v>
      </c>
      <c r="CL3547" s="5" t="s">
        <v>496</v>
      </c>
      <c r="CM3547" s="5" t="s">
        <v>238</v>
      </c>
      <c r="CN3547" s="5">
        <v>0</v>
      </c>
      <c r="CO3547" s="5" t="s">
        <v>497</v>
      </c>
      <c r="CP3547" s="5" t="s">
        <v>260</v>
      </c>
      <c r="CQ3547" s="5" t="s">
        <v>260</v>
      </c>
      <c r="CR3547" s="5" t="s">
        <v>261</v>
      </c>
      <c r="CS3547" s="5" t="s">
        <v>498</v>
      </c>
      <c r="CT3547" s="7">
        <f>1</f>
        <v>1</v>
      </c>
      <c r="CU3547" s="8">
        <f>1</f>
        <v>1</v>
      </c>
      <c r="CV3547" s="8">
        <f>0</f>
        <v>0</v>
      </c>
      <c r="CX3547" s="8">
        <f>1</f>
        <v>1</v>
      </c>
      <c r="CY3547" s="8">
        <f>1</f>
        <v>1</v>
      </c>
      <c r="CZ3547" s="8" t="s">
        <v>238</v>
      </c>
      <c r="DA3547" s="5" t="s">
        <v>238</v>
      </c>
      <c r="DB3547" s="5" t="s">
        <v>238</v>
      </c>
      <c r="DC3547" s="5" t="s">
        <v>238</v>
      </c>
      <c r="DD3547" s="5" t="s">
        <v>238</v>
      </c>
      <c r="DE3547" s="8">
        <f>0</f>
        <v>0</v>
      </c>
      <c r="DG3547" s="5" t="s">
        <v>238</v>
      </c>
      <c r="DH3547" s="5" t="s">
        <v>238</v>
      </c>
      <c r="DI3547" s="5" t="s">
        <v>238</v>
      </c>
      <c r="DJ3547" s="5" t="s">
        <v>238</v>
      </c>
      <c r="DK3547" s="5" t="s">
        <v>238</v>
      </c>
      <c r="DL3547" s="5" t="s">
        <v>238</v>
      </c>
      <c r="DM3547" s="8" t="s">
        <v>238</v>
      </c>
      <c r="DN3547" s="5" t="s">
        <v>238</v>
      </c>
      <c r="DO3547" s="5" t="s">
        <v>238</v>
      </c>
      <c r="DP3547" s="5" t="s">
        <v>490</v>
      </c>
      <c r="DQ3547" s="5" t="s">
        <v>490</v>
      </c>
      <c r="DR3547" s="5" t="s">
        <v>238</v>
      </c>
      <c r="DS3547" s="5" t="s">
        <v>238</v>
      </c>
      <c r="DT3547" s="5" t="s">
        <v>500</v>
      </c>
      <c r="DU3547" s="5" t="s">
        <v>1084</v>
      </c>
      <c r="DV3547" s="5" t="s">
        <v>238</v>
      </c>
      <c r="DW3547" s="5" t="s">
        <v>238</v>
      </c>
      <c r="DX3547" s="5" t="s">
        <v>238</v>
      </c>
      <c r="DY3547" s="5" t="s">
        <v>238</v>
      </c>
      <c r="DZ3547" s="5" t="s">
        <v>238</v>
      </c>
      <c r="EA3547" s="5" t="s">
        <v>238</v>
      </c>
      <c r="EB3547" s="5" t="s">
        <v>238</v>
      </c>
      <c r="EC3547" s="5" t="s">
        <v>238</v>
      </c>
      <c r="ED3547" s="5" t="s">
        <v>238</v>
      </c>
      <c r="EE3547" s="5" t="s">
        <v>238</v>
      </c>
      <c r="EF3547" s="5" t="s">
        <v>238</v>
      </c>
      <c r="EG3547" s="5" t="s">
        <v>238</v>
      </c>
      <c r="EH3547" s="5" t="s">
        <v>238</v>
      </c>
      <c r="EI3547" s="5" t="s">
        <v>238</v>
      </c>
      <c r="EJ3547" s="5" t="s">
        <v>238</v>
      </c>
      <c r="EK3547" s="5" t="s">
        <v>238</v>
      </c>
      <c r="EL3547" s="5" t="s">
        <v>238</v>
      </c>
      <c r="EM3547" s="5" t="s">
        <v>238</v>
      </c>
      <c r="EN3547" s="5" t="s">
        <v>238</v>
      </c>
      <c r="EO3547" s="5" t="s">
        <v>238</v>
      </c>
      <c r="EP3547" s="5" t="s">
        <v>238</v>
      </c>
      <c r="EQ3547" s="5" t="s">
        <v>238</v>
      </c>
      <c r="ER3547" s="5" t="s">
        <v>238</v>
      </c>
      <c r="ES3547" s="5" t="s">
        <v>238</v>
      </c>
      <c r="ET3547" s="5" t="s">
        <v>238</v>
      </c>
      <c r="EU3547" s="5" t="s">
        <v>238</v>
      </c>
      <c r="EV3547" s="5" t="s">
        <v>238</v>
      </c>
      <c r="EW3547" s="5" t="s">
        <v>238</v>
      </c>
      <c r="EX3547" s="5" t="s">
        <v>238</v>
      </c>
      <c r="EY3547" s="5" t="s">
        <v>238</v>
      </c>
      <c r="EZ3547" s="5" t="s">
        <v>238</v>
      </c>
      <c r="FA3547" s="5" t="s">
        <v>238</v>
      </c>
      <c r="FB3547" s="5" t="s">
        <v>238</v>
      </c>
      <c r="FC3547" s="5" t="s">
        <v>238</v>
      </c>
      <c r="FD3547" s="5" t="s">
        <v>238</v>
      </c>
      <c r="FE3547" s="5" t="s">
        <v>238</v>
      </c>
      <c r="FF3547" s="5" t="s">
        <v>238</v>
      </c>
      <c r="FG3547" s="5" t="s">
        <v>238</v>
      </c>
      <c r="FH3547" s="5" t="s">
        <v>238</v>
      </c>
      <c r="FI3547" s="5" t="s">
        <v>238</v>
      </c>
      <c r="FJ3547" s="5" t="s">
        <v>238</v>
      </c>
      <c r="FK3547" s="5" t="s">
        <v>238</v>
      </c>
      <c r="FL3547" s="5" t="s">
        <v>238</v>
      </c>
      <c r="FM3547" s="5" t="s">
        <v>238</v>
      </c>
      <c r="FN3547" s="5" t="s">
        <v>238</v>
      </c>
      <c r="FO3547" s="5" t="s">
        <v>238</v>
      </c>
      <c r="FP3547" s="5" t="s">
        <v>238</v>
      </c>
      <c r="FQ3547" s="5" t="s">
        <v>238</v>
      </c>
      <c r="FR3547" s="5" t="s">
        <v>238</v>
      </c>
      <c r="FS3547" s="5" t="s">
        <v>238</v>
      </c>
      <c r="FT3547" s="5" t="s">
        <v>238</v>
      </c>
      <c r="FU3547" s="5" t="s">
        <v>238</v>
      </c>
      <c r="FV3547" s="5" t="s">
        <v>238</v>
      </c>
      <c r="FW3547" s="5" t="s">
        <v>238</v>
      </c>
      <c r="FX3547" s="5" t="s">
        <v>238</v>
      </c>
      <c r="FY3547" s="5" t="s">
        <v>238</v>
      </c>
      <c r="FZ3547" s="5" t="s">
        <v>238</v>
      </c>
      <c r="GA3547" s="5" t="s">
        <v>238</v>
      </c>
      <c r="GB3547" s="5" t="s">
        <v>238</v>
      </c>
      <c r="GC3547" s="5" t="s">
        <v>238</v>
      </c>
      <c r="GD3547" s="5" t="s">
        <v>238</v>
      </c>
      <c r="GE3547" s="5" t="s">
        <v>238</v>
      </c>
      <c r="GF3547" s="5" t="s">
        <v>238</v>
      </c>
      <c r="GG3547" s="5" t="s">
        <v>238</v>
      </c>
      <c r="GH3547" s="5" t="s">
        <v>238</v>
      </c>
      <c r="GI3547" s="5" t="s">
        <v>238</v>
      </c>
      <c r="GJ3547" s="5" t="s">
        <v>238</v>
      </c>
      <c r="GK3547" s="5" t="s">
        <v>238</v>
      </c>
      <c r="GL3547" s="5" t="s">
        <v>238</v>
      </c>
      <c r="GM3547" s="5" t="s">
        <v>238</v>
      </c>
      <c r="GN3547" s="5" t="s">
        <v>238</v>
      </c>
      <c r="GO3547" s="5" t="s">
        <v>238</v>
      </c>
      <c r="GP3547" s="5" t="s">
        <v>238</v>
      </c>
      <c r="GQ3547" s="5" t="s">
        <v>238</v>
      </c>
      <c r="GR3547" s="5" t="s">
        <v>238</v>
      </c>
      <c r="GS3547" s="5" t="s">
        <v>238</v>
      </c>
      <c r="GT3547" s="5" t="s">
        <v>238</v>
      </c>
      <c r="GU3547" s="5" t="s">
        <v>238</v>
      </c>
      <c r="GV3547" s="5" t="s">
        <v>238</v>
      </c>
      <c r="GW3547" s="5" t="s">
        <v>238</v>
      </c>
      <c r="GX3547" s="5" t="s">
        <v>238</v>
      </c>
      <c r="GY3547" s="5" t="s">
        <v>238</v>
      </c>
      <c r="GZ3547" s="5" t="s">
        <v>238</v>
      </c>
      <c r="HA3547" s="5" t="s">
        <v>238</v>
      </c>
      <c r="HB3547" s="5" t="s">
        <v>238</v>
      </c>
      <c r="HC3547" s="5" t="s">
        <v>238</v>
      </c>
      <c r="HD3547" s="5" t="s">
        <v>238</v>
      </c>
      <c r="HE3547" s="5" t="s">
        <v>238</v>
      </c>
      <c r="HF3547" s="5" t="s">
        <v>238</v>
      </c>
      <c r="HG3547" s="5" t="s">
        <v>238</v>
      </c>
      <c r="HH3547" s="5" t="s">
        <v>238</v>
      </c>
      <c r="HI3547" s="5" t="s">
        <v>238</v>
      </c>
      <c r="HJ3547" s="5" t="s">
        <v>238</v>
      </c>
      <c r="HK3547" s="5" t="s">
        <v>238</v>
      </c>
      <c r="HL3547" s="5" t="s">
        <v>238</v>
      </c>
      <c r="HM3547" s="5" t="s">
        <v>264</v>
      </c>
      <c r="HN3547" s="5" t="s">
        <v>238</v>
      </c>
      <c r="HO3547" s="5" t="s">
        <v>238</v>
      </c>
      <c r="HP3547" s="5" t="s">
        <v>238</v>
      </c>
      <c r="HQ3547" s="5" t="s">
        <v>238</v>
      </c>
      <c r="HR3547" s="5" t="s">
        <v>238</v>
      </c>
      <c r="HS3547" s="5" t="s">
        <v>238</v>
      </c>
      <c r="HT3547" s="5" t="s">
        <v>238</v>
      </c>
      <c r="HU3547" s="5" t="s">
        <v>238</v>
      </c>
      <c r="HV3547" s="5" t="s">
        <v>238</v>
      </c>
      <c r="HW3547" s="5" t="s">
        <v>238</v>
      </c>
      <c r="HX3547" s="5" t="s">
        <v>238</v>
      </c>
      <c r="HY3547" s="5" t="s">
        <v>238</v>
      </c>
      <c r="HZ3547" s="5" t="s">
        <v>238</v>
      </c>
      <c r="IA3547" s="5" t="s">
        <v>238</v>
      </c>
      <c r="IB3547" s="5" t="s">
        <v>238</v>
      </c>
      <c r="IC3547" s="5" t="s">
        <v>238</v>
      </c>
      <c r="ID3547" s="5" t="s">
        <v>238</v>
      </c>
    </row>
    <row r="3548" spans="1:238" x14ac:dyDescent="0.4">
      <c r="A3548" s="5">
        <v>9266</v>
      </c>
      <c r="B3548" s="5">
        <v>1</v>
      </c>
      <c r="C3548" s="5">
        <v>1</v>
      </c>
      <c r="D3548" s="5" t="s">
        <v>484</v>
      </c>
      <c r="E3548" s="5" t="s">
        <v>485</v>
      </c>
      <c r="F3548" s="5" t="s">
        <v>248</v>
      </c>
      <c r="G3548" s="5" t="s">
        <v>3894</v>
      </c>
      <c r="H3548" s="6" t="s">
        <v>3895</v>
      </c>
      <c r="I3548" s="8">
        <f>1</f>
        <v>1</v>
      </c>
      <c r="J3548" s="5" t="s">
        <v>499</v>
      </c>
      <c r="K3548" s="8">
        <f>1</f>
        <v>1</v>
      </c>
      <c r="L3548" s="6" t="s">
        <v>242</v>
      </c>
      <c r="M3548" s="5" t="s">
        <v>267</v>
      </c>
      <c r="N3548" s="5" t="s">
        <v>482</v>
      </c>
      <c r="O3548" s="5" t="s">
        <v>238</v>
      </c>
      <c r="P3548" s="5" t="s">
        <v>238</v>
      </c>
      <c r="Q3548" s="5" t="s">
        <v>239</v>
      </c>
      <c r="R3548" s="5" t="s">
        <v>270</v>
      </c>
      <c r="S3548" s="5" t="s">
        <v>238</v>
      </c>
      <c r="T3548" s="5" t="s">
        <v>238</v>
      </c>
      <c r="U3548" s="5" t="s">
        <v>238</v>
      </c>
      <c r="V3548" s="5" t="s">
        <v>238</v>
      </c>
      <c r="W3548" s="6" t="s">
        <v>238</v>
      </c>
      <c r="X3548" s="6" t="s">
        <v>238</v>
      </c>
      <c r="Y3548" s="5" t="s">
        <v>238</v>
      </c>
      <c r="Z3548" s="6" t="s">
        <v>238</v>
      </c>
      <c r="AA3548" s="6" t="s">
        <v>243</v>
      </c>
      <c r="AB3548" s="5" t="s">
        <v>486</v>
      </c>
      <c r="AC3548" s="5" t="s">
        <v>244</v>
      </c>
      <c r="AD3548" s="5" t="s">
        <v>245</v>
      </c>
      <c r="AE3548" s="5" t="s">
        <v>238</v>
      </c>
      <c r="AF3548" s="5" t="s">
        <v>238</v>
      </c>
      <c r="AG3548" s="5" t="s">
        <v>238</v>
      </c>
      <c r="AH3548" s="5" t="s">
        <v>238</v>
      </c>
      <c r="AI3548" s="5" t="s">
        <v>238</v>
      </c>
      <c r="AJ3548" s="5" t="s">
        <v>238</v>
      </c>
      <c r="AK3548" s="5" t="s">
        <v>238</v>
      </c>
      <c r="AL3548" s="5" t="s">
        <v>238</v>
      </c>
      <c r="AM3548" s="6" t="s">
        <v>238</v>
      </c>
      <c r="AN3548" s="6" t="s">
        <v>238</v>
      </c>
      <c r="AO3548" s="6" t="s">
        <v>238</v>
      </c>
      <c r="AP3548" s="6" t="s">
        <v>238</v>
      </c>
      <c r="AQ3548" s="5" t="s">
        <v>238</v>
      </c>
      <c r="AR3548" s="5" t="s">
        <v>488</v>
      </c>
      <c r="AS3548" s="5" t="s">
        <v>488</v>
      </c>
      <c r="AT3548" s="5" t="s">
        <v>246</v>
      </c>
      <c r="AU3548" s="5" t="s">
        <v>489</v>
      </c>
      <c r="AV3548" s="5" t="s">
        <v>247</v>
      </c>
      <c r="AW3548" s="5" t="s">
        <v>238</v>
      </c>
      <c r="AX3548" s="5" t="s">
        <v>249</v>
      </c>
      <c r="AY3548" s="5" t="s">
        <v>490</v>
      </c>
      <c r="BA3548" s="5" t="s">
        <v>238</v>
      </c>
      <c r="BC3548" s="5" t="s">
        <v>491</v>
      </c>
      <c r="BD3548" s="6" t="s">
        <v>492</v>
      </c>
      <c r="BE3548" s="5" t="s">
        <v>493</v>
      </c>
      <c r="BF3548" s="5" t="s">
        <v>493</v>
      </c>
      <c r="BG3548" s="5" t="s">
        <v>238</v>
      </c>
      <c r="BH3548" s="8">
        <f>1</f>
        <v>1</v>
      </c>
      <c r="BI3548" s="8">
        <f>1</f>
        <v>1</v>
      </c>
      <c r="BJ3548" s="5" t="s">
        <v>253</v>
      </c>
      <c r="BK3548" s="5" t="s">
        <v>254</v>
      </c>
      <c r="BL3548" s="5" t="s">
        <v>238</v>
      </c>
      <c r="BM3548" s="5" t="s">
        <v>238</v>
      </c>
      <c r="BN3548" s="5" t="s">
        <v>238</v>
      </c>
      <c r="BO3548" s="5" t="s">
        <v>238</v>
      </c>
      <c r="BP3548" s="5" t="s">
        <v>238</v>
      </c>
      <c r="BQ3548" s="5" t="s">
        <v>238</v>
      </c>
      <c r="BR3548" s="5" t="s">
        <v>238</v>
      </c>
      <c r="BS3548" s="5" t="s">
        <v>238</v>
      </c>
      <c r="BT3548" s="6" t="s">
        <v>238</v>
      </c>
      <c r="BU3548" s="5" t="s">
        <v>238</v>
      </c>
      <c r="BV3548" s="5" t="s">
        <v>238</v>
      </c>
      <c r="BW3548" s="5" t="s">
        <v>238</v>
      </c>
      <c r="BX3548" s="5" t="s">
        <v>254</v>
      </c>
      <c r="BY3548" s="5" t="s">
        <v>238</v>
      </c>
      <c r="BZ3548" s="5" t="s">
        <v>238</v>
      </c>
      <c r="CA3548" s="5" t="s">
        <v>238</v>
      </c>
      <c r="CB3548" s="5" t="s">
        <v>238</v>
      </c>
      <c r="CC3548" s="5" t="s">
        <v>238</v>
      </c>
      <c r="CD3548" s="5" t="s">
        <v>273</v>
      </c>
      <c r="CE3548" s="5" t="s">
        <v>256</v>
      </c>
      <c r="CF3548" s="5" t="s">
        <v>238</v>
      </c>
      <c r="CH3548" s="5" t="s">
        <v>494</v>
      </c>
      <c r="CI3548" s="6" t="s">
        <v>257</v>
      </c>
      <c r="CJ3548" s="5" t="s">
        <v>495</v>
      </c>
      <c r="CK3548" s="5" t="s">
        <v>258</v>
      </c>
      <c r="CL3548" s="5" t="s">
        <v>496</v>
      </c>
      <c r="CM3548" s="5" t="s">
        <v>238</v>
      </c>
      <c r="CN3548" s="5">
        <v>0</v>
      </c>
      <c r="CO3548" s="5" t="s">
        <v>497</v>
      </c>
      <c r="CP3548" s="5" t="s">
        <v>260</v>
      </c>
      <c r="CQ3548" s="5" t="s">
        <v>260</v>
      </c>
      <c r="CR3548" s="5" t="s">
        <v>261</v>
      </c>
      <c r="CS3548" s="5" t="s">
        <v>498</v>
      </c>
      <c r="CT3548" s="7">
        <f>1</f>
        <v>1</v>
      </c>
      <c r="CU3548" s="8">
        <f>1</f>
        <v>1</v>
      </c>
      <c r="CV3548" s="8">
        <f>0</f>
        <v>0</v>
      </c>
      <c r="CX3548" s="8">
        <f>1</f>
        <v>1</v>
      </c>
      <c r="CY3548" s="8">
        <f>1</f>
        <v>1</v>
      </c>
      <c r="CZ3548" s="8" t="s">
        <v>238</v>
      </c>
      <c r="DA3548" s="5" t="s">
        <v>238</v>
      </c>
      <c r="DB3548" s="5" t="s">
        <v>238</v>
      </c>
      <c r="DC3548" s="5" t="s">
        <v>238</v>
      </c>
      <c r="DD3548" s="5" t="s">
        <v>238</v>
      </c>
      <c r="DE3548" s="8">
        <f>0</f>
        <v>0</v>
      </c>
      <c r="DG3548" s="5" t="s">
        <v>238</v>
      </c>
      <c r="DH3548" s="5" t="s">
        <v>238</v>
      </c>
      <c r="DI3548" s="5" t="s">
        <v>238</v>
      </c>
      <c r="DJ3548" s="5" t="s">
        <v>238</v>
      </c>
      <c r="DK3548" s="5" t="s">
        <v>238</v>
      </c>
      <c r="DL3548" s="5" t="s">
        <v>238</v>
      </c>
      <c r="DM3548" s="8" t="s">
        <v>238</v>
      </c>
      <c r="DN3548" s="5" t="s">
        <v>238</v>
      </c>
      <c r="DO3548" s="5" t="s">
        <v>238</v>
      </c>
      <c r="DP3548" s="5" t="s">
        <v>490</v>
      </c>
      <c r="DQ3548" s="5" t="s">
        <v>490</v>
      </c>
      <c r="DR3548" s="5" t="s">
        <v>238</v>
      </c>
      <c r="DS3548" s="5" t="s">
        <v>238</v>
      </c>
      <c r="DT3548" s="5" t="s">
        <v>500</v>
      </c>
      <c r="DU3548" s="5" t="s">
        <v>708</v>
      </c>
      <c r="DV3548" s="5" t="s">
        <v>238</v>
      </c>
      <c r="DW3548" s="5" t="s">
        <v>238</v>
      </c>
      <c r="DX3548" s="5" t="s">
        <v>238</v>
      </c>
      <c r="DY3548" s="5" t="s">
        <v>238</v>
      </c>
      <c r="DZ3548" s="5" t="s">
        <v>238</v>
      </c>
      <c r="EA3548" s="5" t="s">
        <v>238</v>
      </c>
      <c r="EB3548" s="5" t="s">
        <v>238</v>
      </c>
      <c r="EC3548" s="5" t="s">
        <v>238</v>
      </c>
      <c r="ED3548" s="5" t="s">
        <v>238</v>
      </c>
      <c r="EE3548" s="5" t="s">
        <v>238</v>
      </c>
      <c r="EF3548" s="5" t="s">
        <v>238</v>
      </c>
      <c r="EG3548" s="5" t="s">
        <v>238</v>
      </c>
      <c r="EH3548" s="5" t="s">
        <v>238</v>
      </c>
      <c r="EI3548" s="5" t="s">
        <v>238</v>
      </c>
      <c r="EJ3548" s="5" t="s">
        <v>238</v>
      </c>
      <c r="EK3548" s="5" t="s">
        <v>238</v>
      </c>
      <c r="EL3548" s="5" t="s">
        <v>238</v>
      </c>
      <c r="EM3548" s="5" t="s">
        <v>238</v>
      </c>
      <c r="EN3548" s="5" t="s">
        <v>238</v>
      </c>
      <c r="EO3548" s="5" t="s">
        <v>238</v>
      </c>
      <c r="EP3548" s="5" t="s">
        <v>238</v>
      </c>
      <c r="EQ3548" s="5" t="s">
        <v>238</v>
      </c>
      <c r="ER3548" s="5" t="s">
        <v>238</v>
      </c>
      <c r="ES3548" s="5" t="s">
        <v>238</v>
      </c>
      <c r="ET3548" s="5" t="s">
        <v>238</v>
      </c>
      <c r="EU3548" s="5" t="s">
        <v>238</v>
      </c>
      <c r="EV3548" s="5" t="s">
        <v>238</v>
      </c>
      <c r="EW3548" s="5" t="s">
        <v>238</v>
      </c>
      <c r="EX3548" s="5" t="s">
        <v>238</v>
      </c>
      <c r="EY3548" s="5" t="s">
        <v>238</v>
      </c>
      <c r="EZ3548" s="5" t="s">
        <v>238</v>
      </c>
      <c r="FA3548" s="5" t="s">
        <v>238</v>
      </c>
      <c r="FB3548" s="5" t="s">
        <v>238</v>
      </c>
      <c r="FC3548" s="5" t="s">
        <v>238</v>
      </c>
      <c r="FD3548" s="5" t="s">
        <v>238</v>
      </c>
      <c r="FE3548" s="5" t="s">
        <v>238</v>
      </c>
      <c r="FF3548" s="5" t="s">
        <v>238</v>
      </c>
      <c r="FG3548" s="5" t="s">
        <v>238</v>
      </c>
      <c r="FH3548" s="5" t="s">
        <v>238</v>
      </c>
      <c r="FI3548" s="5" t="s">
        <v>238</v>
      </c>
      <c r="FJ3548" s="5" t="s">
        <v>238</v>
      </c>
      <c r="FK3548" s="5" t="s">
        <v>238</v>
      </c>
      <c r="FL3548" s="5" t="s">
        <v>238</v>
      </c>
      <c r="FM3548" s="5" t="s">
        <v>238</v>
      </c>
      <c r="FN3548" s="5" t="s">
        <v>238</v>
      </c>
      <c r="FO3548" s="5" t="s">
        <v>238</v>
      </c>
      <c r="FP3548" s="5" t="s">
        <v>238</v>
      </c>
      <c r="FQ3548" s="5" t="s">
        <v>238</v>
      </c>
      <c r="FR3548" s="5" t="s">
        <v>238</v>
      </c>
      <c r="FS3548" s="5" t="s">
        <v>238</v>
      </c>
      <c r="FT3548" s="5" t="s">
        <v>238</v>
      </c>
      <c r="FU3548" s="5" t="s">
        <v>238</v>
      </c>
      <c r="FV3548" s="5" t="s">
        <v>238</v>
      </c>
      <c r="FW3548" s="5" t="s">
        <v>238</v>
      </c>
      <c r="FX3548" s="5" t="s">
        <v>238</v>
      </c>
      <c r="FY3548" s="5" t="s">
        <v>238</v>
      </c>
      <c r="FZ3548" s="5" t="s">
        <v>238</v>
      </c>
      <c r="GA3548" s="5" t="s">
        <v>238</v>
      </c>
      <c r="GB3548" s="5" t="s">
        <v>238</v>
      </c>
      <c r="GC3548" s="5" t="s">
        <v>238</v>
      </c>
      <c r="GD3548" s="5" t="s">
        <v>238</v>
      </c>
      <c r="GE3548" s="5" t="s">
        <v>238</v>
      </c>
      <c r="GF3548" s="5" t="s">
        <v>238</v>
      </c>
      <c r="GG3548" s="5" t="s">
        <v>238</v>
      </c>
      <c r="GH3548" s="5" t="s">
        <v>238</v>
      </c>
      <c r="GI3548" s="5" t="s">
        <v>238</v>
      </c>
      <c r="GJ3548" s="5" t="s">
        <v>238</v>
      </c>
      <c r="GK3548" s="5" t="s">
        <v>238</v>
      </c>
      <c r="GL3548" s="5" t="s">
        <v>238</v>
      </c>
      <c r="GM3548" s="5" t="s">
        <v>238</v>
      </c>
      <c r="GN3548" s="5" t="s">
        <v>238</v>
      </c>
      <c r="GO3548" s="5" t="s">
        <v>238</v>
      </c>
      <c r="GP3548" s="5" t="s">
        <v>238</v>
      </c>
      <c r="GQ3548" s="5" t="s">
        <v>238</v>
      </c>
      <c r="GR3548" s="5" t="s">
        <v>238</v>
      </c>
      <c r="GS3548" s="5" t="s">
        <v>238</v>
      </c>
      <c r="GT3548" s="5" t="s">
        <v>238</v>
      </c>
      <c r="GU3548" s="5" t="s">
        <v>238</v>
      </c>
      <c r="GV3548" s="5" t="s">
        <v>238</v>
      </c>
      <c r="GW3548" s="5" t="s">
        <v>238</v>
      </c>
      <c r="GX3548" s="5" t="s">
        <v>238</v>
      </c>
      <c r="GY3548" s="5" t="s">
        <v>238</v>
      </c>
      <c r="GZ3548" s="5" t="s">
        <v>238</v>
      </c>
      <c r="HA3548" s="5" t="s">
        <v>238</v>
      </c>
      <c r="HB3548" s="5" t="s">
        <v>238</v>
      </c>
      <c r="HC3548" s="5" t="s">
        <v>238</v>
      </c>
      <c r="HD3548" s="5" t="s">
        <v>238</v>
      </c>
      <c r="HE3548" s="5" t="s">
        <v>238</v>
      </c>
      <c r="HF3548" s="5" t="s">
        <v>238</v>
      </c>
      <c r="HG3548" s="5" t="s">
        <v>238</v>
      </c>
      <c r="HH3548" s="5" t="s">
        <v>238</v>
      </c>
      <c r="HI3548" s="5" t="s">
        <v>238</v>
      </c>
      <c r="HJ3548" s="5" t="s">
        <v>238</v>
      </c>
      <c r="HK3548" s="5" t="s">
        <v>238</v>
      </c>
      <c r="HL3548" s="5" t="s">
        <v>238</v>
      </c>
      <c r="HM3548" s="5" t="s">
        <v>264</v>
      </c>
      <c r="HN3548" s="5" t="s">
        <v>238</v>
      </c>
      <c r="HO3548" s="5" t="s">
        <v>238</v>
      </c>
      <c r="HP3548" s="5" t="s">
        <v>238</v>
      </c>
      <c r="HQ3548" s="5" t="s">
        <v>238</v>
      </c>
      <c r="HR3548" s="5" t="s">
        <v>238</v>
      </c>
      <c r="HS3548" s="5" t="s">
        <v>238</v>
      </c>
      <c r="HT3548" s="5" t="s">
        <v>238</v>
      </c>
      <c r="HU3548" s="5" t="s">
        <v>238</v>
      </c>
      <c r="HV3548" s="5" t="s">
        <v>238</v>
      </c>
      <c r="HW3548" s="5" t="s">
        <v>238</v>
      </c>
      <c r="HX3548" s="5" t="s">
        <v>238</v>
      </c>
      <c r="HY3548" s="5" t="s">
        <v>238</v>
      </c>
      <c r="HZ3548" s="5" t="s">
        <v>238</v>
      </c>
      <c r="IA3548" s="5" t="s">
        <v>238</v>
      </c>
      <c r="IB3548" s="5" t="s">
        <v>238</v>
      </c>
      <c r="IC3548" s="5" t="s">
        <v>238</v>
      </c>
      <c r="ID3548" s="5" t="s">
        <v>238</v>
      </c>
    </row>
    <row r="3549" spans="1:238" x14ac:dyDescent="0.4">
      <c r="A3549" s="5">
        <v>9267</v>
      </c>
      <c r="B3549" s="5">
        <v>1</v>
      </c>
      <c r="C3549" s="5">
        <v>1</v>
      </c>
      <c r="D3549" s="5" t="s">
        <v>484</v>
      </c>
      <c r="E3549" s="5" t="s">
        <v>485</v>
      </c>
      <c r="F3549" s="5" t="s">
        <v>248</v>
      </c>
      <c r="G3549" s="5" t="s">
        <v>4868</v>
      </c>
      <c r="H3549" s="6" t="s">
        <v>4870</v>
      </c>
      <c r="I3549" s="8">
        <f>1</f>
        <v>1</v>
      </c>
      <c r="J3549" s="5" t="s">
        <v>499</v>
      </c>
      <c r="K3549" s="8">
        <f>1</f>
        <v>1</v>
      </c>
      <c r="L3549" s="6" t="s">
        <v>242</v>
      </c>
      <c r="M3549" s="5" t="s">
        <v>267</v>
      </c>
      <c r="N3549" s="5" t="s">
        <v>482</v>
      </c>
      <c r="O3549" s="5" t="s">
        <v>238</v>
      </c>
      <c r="P3549" s="5" t="s">
        <v>238</v>
      </c>
      <c r="Q3549" s="5" t="s">
        <v>239</v>
      </c>
      <c r="R3549" s="5" t="s">
        <v>270</v>
      </c>
      <c r="S3549" s="5" t="s">
        <v>238</v>
      </c>
      <c r="T3549" s="5" t="s">
        <v>238</v>
      </c>
      <c r="U3549" s="5" t="s">
        <v>238</v>
      </c>
      <c r="V3549" s="5" t="s">
        <v>238</v>
      </c>
      <c r="W3549" s="6" t="s">
        <v>238</v>
      </c>
      <c r="X3549" s="6" t="s">
        <v>238</v>
      </c>
      <c r="Y3549" s="5" t="s">
        <v>238</v>
      </c>
      <c r="Z3549" s="6" t="s">
        <v>238</v>
      </c>
      <c r="AA3549" s="6" t="s">
        <v>243</v>
      </c>
      <c r="AB3549" s="5" t="s">
        <v>4869</v>
      </c>
      <c r="AC3549" s="5" t="s">
        <v>244</v>
      </c>
      <c r="AD3549" s="5" t="s">
        <v>245</v>
      </c>
      <c r="AE3549" s="5" t="s">
        <v>238</v>
      </c>
      <c r="AF3549" s="5" t="s">
        <v>238</v>
      </c>
      <c r="AG3549" s="5" t="s">
        <v>238</v>
      </c>
      <c r="AH3549" s="5" t="s">
        <v>238</v>
      </c>
      <c r="AI3549" s="5" t="s">
        <v>238</v>
      </c>
      <c r="AJ3549" s="5" t="s">
        <v>238</v>
      </c>
      <c r="AK3549" s="5" t="s">
        <v>238</v>
      </c>
      <c r="AL3549" s="5" t="s">
        <v>238</v>
      </c>
      <c r="AM3549" s="6" t="s">
        <v>238</v>
      </c>
      <c r="AN3549" s="6" t="s">
        <v>238</v>
      </c>
      <c r="AO3549" s="6" t="s">
        <v>238</v>
      </c>
      <c r="AP3549" s="6" t="s">
        <v>238</v>
      </c>
      <c r="AQ3549" s="5" t="s">
        <v>238</v>
      </c>
      <c r="AR3549" s="5" t="s">
        <v>488</v>
      </c>
      <c r="AS3549" s="5" t="s">
        <v>488</v>
      </c>
      <c r="AT3549" s="5" t="s">
        <v>246</v>
      </c>
      <c r="AU3549" s="5" t="s">
        <v>489</v>
      </c>
      <c r="AV3549" s="5" t="s">
        <v>247</v>
      </c>
      <c r="AW3549" s="5" t="s">
        <v>238</v>
      </c>
      <c r="AX3549" s="5" t="s">
        <v>249</v>
      </c>
      <c r="AY3549" s="5" t="s">
        <v>490</v>
      </c>
      <c r="BA3549" s="5" t="s">
        <v>238</v>
      </c>
      <c r="BC3549" s="5" t="s">
        <v>491</v>
      </c>
      <c r="BD3549" s="6" t="s">
        <v>492</v>
      </c>
      <c r="BE3549" s="5" t="s">
        <v>493</v>
      </c>
      <c r="BF3549" s="5" t="s">
        <v>493</v>
      </c>
      <c r="BG3549" s="5" t="s">
        <v>238</v>
      </c>
      <c r="BH3549" s="8">
        <f>1</f>
        <v>1</v>
      </c>
      <c r="BI3549" s="8">
        <f>1</f>
        <v>1</v>
      </c>
      <c r="BJ3549" s="5" t="s">
        <v>253</v>
      </c>
      <c r="BK3549" s="5" t="s">
        <v>254</v>
      </c>
      <c r="BL3549" s="5" t="s">
        <v>238</v>
      </c>
      <c r="BM3549" s="5" t="s">
        <v>238</v>
      </c>
      <c r="BN3549" s="5" t="s">
        <v>238</v>
      </c>
      <c r="BO3549" s="5" t="s">
        <v>238</v>
      </c>
      <c r="BP3549" s="5" t="s">
        <v>238</v>
      </c>
      <c r="BQ3549" s="5" t="s">
        <v>238</v>
      </c>
      <c r="BR3549" s="5" t="s">
        <v>238</v>
      </c>
      <c r="BS3549" s="5" t="s">
        <v>238</v>
      </c>
      <c r="BT3549" s="6" t="s">
        <v>238</v>
      </c>
      <c r="BU3549" s="5" t="s">
        <v>238</v>
      </c>
      <c r="BV3549" s="5" t="s">
        <v>238</v>
      </c>
      <c r="BW3549" s="5" t="s">
        <v>238</v>
      </c>
      <c r="BX3549" s="5" t="s">
        <v>254</v>
      </c>
      <c r="BY3549" s="5" t="s">
        <v>238</v>
      </c>
      <c r="BZ3549" s="5" t="s">
        <v>238</v>
      </c>
      <c r="CA3549" s="5" t="s">
        <v>238</v>
      </c>
      <c r="CB3549" s="5" t="s">
        <v>238</v>
      </c>
      <c r="CC3549" s="5" t="s">
        <v>238</v>
      </c>
      <c r="CD3549" s="5" t="s">
        <v>273</v>
      </c>
      <c r="CE3549" s="5" t="s">
        <v>256</v>
      </c>
      <c r="CF3549" s="5" t="s">
        <v>238</v>
      </c>
      <c r="CH3549" s="5" t="s">
        <v>494</v>
      </c>
      <c r="CI3549" s="6" t="s">
        <v>257</v>
      </c>
      <c r="CJ3549" s="5" t="s">
        <v>495</v>
      </c>
      <c r="CK3549" s="5" t="s">
        <v>258</v>
      </c>
      <c r="CL3549" s="5" t="s">
        <v>496</v>
      </c>
      <c r="CM3549" s="5" t="s">
        <v>238</v>
      </c>
      <c r="CN3549" s="5">
        <v>0</v>
      </c>
      <c r="CO3549" s="5" t="s">
        <v>497</v>
      </c>
      <c r="CP3549" s="5" t="s">
        <v>260</v>
      </c>
      <c r="CQ3549" s="5" t="s">
        <v>260</v>
      </c>
      <c r="CR3549" s="5" t="s">
        <v>261</v>
      </c>
      <c r="CS3549" s="5" t="s">
        <v>498</v>
      </c>
      <c r="CT3549" s="7">
        <f>1</f>
        <v>1</v>
      </c>
      <c r="CU3549" s="8">
        <f>1</f>
        <v>1</v>
      </c>
      <c r="CV3549" s="8">
        <f>0</f>
        <v>0</v>
      </c>
      <c r="CX3549" s="8">
        <f>1</f>
        <v>1</v>
      </c>
      <c r="CY3549" s="8">
        <f>1</f>
        <v>1</v>
      </c>
      <c r="CZ3549" s="8" t="s">
        <v>238</v>
      </c>
      <c r="DA3549" s="5" t="s">
        <v>238</v>
      </c>
      <c r="DB3549" s="5" t="s">
        <v>238</v>
      </c>
      <c r="DC3549" s="5" t="s">
        <v>238</v>
      </c>
      <c r="DD3549" s="5" t="s">
        <v>238</v>
      </c>
      <c r="DE3549" s="8">
        <f>0</f>
        <v>0</v>
      </c>
      <c r="DG3549" s="5" t="s">
        <v>238</v>
      </c>
      <c r="DH3549" s="5" t="s">
        <v>238</v>
      </c>
      <c r="DI3549" s="5" t="s">
        <v>238</v>
      </c>
      <c r="DJ3549" s="5" t="s">
        <v>238</v>
      </c>
      <c r="DK3549" s="5" t="s">
        <v>238</v>
      </c>
      <c r="DL3549" s="5" t="s">
        <v>238</v>
      </c>
      <c r="DM3549" s="8" t="s">
        <v>238</v>
      </c>
      <c r="DN3549" s="5" t="s">
        <v>238</v>
      </c>
      <c r="DO3549" s="5" t="s">
        <v>238</v>
      </c>
      <c r="DP3549" s="5" t="s">
        <v>490</v>
      </c>
      <c r="DQ3549" s="5" t="s">
        <v>490</v>
      </c>
      <c r="DR3549" s="5" t="s">
        <v>238</v>
      </c>
      <c r="DS3549" s="5" t="s">
        <v>238</v>
      </c>
      <c r="DT3549" s="5" t="s">
        <v>500</v>
      </c>
      <c r="DU3549" s="5" t="s">
        <v>691</v>
      </c>
      <c r="DV3549" s="5" t="s">
        <v>238</v>
      </c>
      <c r="DW3549" s="5" t="s">
        <v>238</v>
      </c>
      <c r="DX3549" s="5" t="s">
        <v>238</v>
      </c>
      <c r="DY3549" s="5" t="s">
        <v>238</v>
      </c>
      <c r="DZ3549" s="5" t="s">
        <v>238</v>
      </c>
      <c r="EA3549" s="5" t="s">
        <v>238</v>
      </c>
      <c r="EB3549" s="5" t="s">
        <v>238</v>
      </c>
      <c r="EC3549" s="5" t="s">
        <v>238</v>
      </c>
      <c r="ED3549" s="5" t="s">
        <v>238</v>
      </c>
      <c r="EE3549" s="5" t="s">
        <v>238</v>
      </c>
      <c r="EF3549" s="5" t="s">
        <v>238</v>
      </c>
      <c r="EG3549" s="5" t="s">
        <v>238</v>
      </c>
      <c r="EH3549" s="5" t="s">
        <v>238</v>
      </c>
      <c r="EI3549" s="5" t="s">
        <v>238</v>
      </c>
      <c r="EJ3549" s="5" t="s">
        <v>238</v>
      </c>
      <c r="EK3549" s="5" t="s">
        <v>238</v>
      </c>
      <c r="EL3549" s="5" t="s">
        <v>238</v>
      </c>
      <c r="EM3549" s="5" t="s">
        <v>238</v>
      </c>
      <c r="EN3549" s="5" t="s">
        <v>238</v>
      </c>
      <c r="EO3549" s="5" t="s">
        <v>238</v>
      </c>
      <c r="EP3549" s="5" t="s">
        <v>238</v>
      </c>
      <c r="EQ3549" s="5" t="s">
        <v>238</v>
      </c>
      <c r="ER3549" s="5" t="s">
        <v>238</v>
      </c>
      <c r="ES3549" s="5" t="s">
        <v>238</v>
      </c>
      <c r="ET3549" s="5" t="s">
        <v>238</v>
      </c>
      <c r="EU3549" s="5" t="s">
        <v>238</v>
      </c>
      <c r="EV3549" s="5" t="s">
        <v>238</v>
      </c>
      <c r="EW3549" s="5" t="s">
        <v>238</v>
      </c>
      <c r="EX3549" s="5" t="s">
        <v>238</v>
      </c>
      <c r="EY3549" s="5" t="s">
        <v>238</v>
      </c>
      <c r="EZ3549" s="5" t="s">
        <v>238</v>
      </c>
      <c r="FA3549" s="5" t="s">
        <v>238</v>
      </c>
      <c r="FB3549" s="5" t="s">
        <v>238</v>
      </c>
      <c r="FC3549" s="5" t="s">
        <v>238</v>
      </c>
      <c r="FD3549" s="5" t="s">
        <v>238</v>
      </c>
      <c r="FE3549" s="5" t="s">
        <v>238</v>
      </c>
      <c r="FF3549" s="5" t="s">
        <v>238</v>
      </c>
      <c r="FG3549" s="5" t="s">
        <v>238</v>
      </c>
      <c r="FH3549" s="5" t="s">
        <v>238</v>
      </c>
      <c r="FI3549" s="5" t="s">
        <v>238</v>
      </c>
      <c r="FJ3549" s="5" t="s">
        <v>238</v>
      </c>
      <c r="FK3549" s="5" t="s">
        <v>238</v>
      </c>
      <c r="FL3549" s="5" t="s">
        <v>238</v>
      </c>
      <c r="FM3549" s="5" t="s">
        <v>238</v>
      </c>
      <c r="FN3549" s="5" t="s">
        <v>238</v>
      </c>
      <c r="FO3549" s="5" t="s">
        <v>238</v>
      </c>
      <c r="FP3549" s="5" t="s">
        <v>238</v>
      </c>
      <c r="FQ3549" s="5" t="s">
        <v>238</v>
      </c>
      <c r="FR3549" s="5" t="s">
        <v>238</v>
      </c>
      <c r="FS3549" s="5" t="s">
        <v>238</v>
      </c>
      <c r="FT3549" s="5" t="s">
        <v>238</v>
      </c>
      <c r="FU3549" s="5" t="s">
        <v>238</v>
      </c>
      <c r="FV3549" s="5" t="s">
        <v>238</v>
      </c>
      <c r="FW3549" s="5" t="s">
        <v>238</v>
      </c>
      <c r="FX3549" s="5" t="s">
        <v>238</v>
      </c>
      <c r="FY3549" s="5" t="s">
        <v>238</v>
      </c>
      <c r="FZ3549" s="5" t="s">
        <v>238</v>
      </c>
      <c r="GA3549" s="5" t="s">
        <v>238</v>
      </c>
      <c r="GB3549" s="5" t="s">
        <v>238</v>
      </c>
      <c r="GC3549" s="5" t="s">
        <v>238</v>
      </c>
      <c r="GD3549" s="5" t="s">
        <v>238</v>
      </c>
      <c r="GE3549" s="5" t="s">
        <v>238</v>
      </c>
      <c r="GF3549" s="5" t="s">
        <v>238</v>
      </c>
      <c r="GG3549" s="5" t="s">
        <v>238</v>
      </c>
      <c r="GH3549" s="5" t="s">
        <v>238</v>
      </c>
      <c r="GI3549" s="5" t="s">
        <v>238</v>
      </c>
      <c r="GJ3549" s="5" t="s">
        <v>238</v>
      </c>
      <c r="GK3549" s="5" t="s">
        <v>238</v>
      </c>
      <c r="GL3549" s="5" t="s">
        <v>238</v>
      </c>
      <c r="GM3549" s="5" t="s">
        <v>238</v>
      </c>
      <c r="GN3549" s="5" t="s">
        <v>238</v>
      </c>
      <c r="GO3549" s="5" t="s">
        <v>238</v>
      </c>
      <c r="GP3549" s="5" t="s">
        <v>238</v>
      </c>
      <c r="GQ3549" s="5" t="s">
        <v>238</v>
      </c>
      <c r="GR3549" s="5" t="s">
        <v>238</v>
      </c>
      <c r="GS3549" s="5" t="s">
        <v>238</v>
      </c>
      <c r="GT3549" s="5" t="s">
        <v>238</v>
      </c>
      <c r="GU3549" s="5" t="s">
        <v>238</v>
      </c>
      <c r="GV3549" s="5" t="s">
        <v>238</v>
      </c>
      <c r="GW3549" s="5" t="s">
        <v>238</v>
      </c>
      <c r="GX3549" s="5" t="s">
        <v>238</v>
      </c>
      <c r="GY3549" s="5" t="s">
        <v>238</v>
      </c>
      <c r="GZ3549" s="5" t="s">
        <v>238</v>
      </c>
      <c r="HA3549" s="5" t="s">
        <v>238</v>
      </c>
      <c r="HB3549" s="5" t="s">
        <v>238</v>
      </c>
      <c r="HC3549" s="5" t="s">
        <v>238</v>
      </c>
      <c r="HD3549" s="5" t="s">
        <v>238</v>
      </c>
      <c r="HE3549" s="5" t="s">
        <v>238</v>
      </c>
      <c r="HF3549" s="5" t="s">
        <v>238</v>
      </c>
      <c r="HG3549" s="5" t="s">
        <v>238</v>
      </c>
      <c r="HH3549" s="5" t="s">
        <v>238</v>
      </c>
      <c r="HI3549" s="5" t="s">
        <v>238</v>
      </c>
      <c r="HJ3549" s="5" t="s">
        <v>238</v>
      </c>
      <c r="HK3549" s="5" t="s">
        <v>238</v>
      </c>
      <c r="HL3549" s="5" t="s">
        <v>238</v>
      </c>
      <c r="HM3549" s="5" t="s">
        <v>264</v>
      </c>
      <c r="HN3549" s="5" t="s">
        <v>238</v>
      </c>
      <c r="HO3549" s="5" t="s">
        <v>238</v>
      </c>
      <c r="HP3549" s="5" t="s">
        <v>238</v>
      </c>
      <c r="HQ3549" s="5" t="s">
        <v>238</v>
      </c>
      <c r="HR3549" s="5" t="s">
        <v>238</v>
      </c>
      <c r="HS3549" s="5" t="s">
        <v>238</v>
      </c>
      <c r="HT3549" s="5" t="s">
        <v>238</v>
      </c>
      <c r="HU3549" s="5" t="s">
        <v>238</v>
      </c>
      <c r="HV3549" s="5" t="s">
        <v>238</v>
      </c>
      <c r="HW3549" s="5" t="s">
        <v>238</v>
      </c>
      <c r="HX3549" s="5" t="s">
        <v>238</v>
      </c>
      <c r="HY3549" s="5" t="s">
        <v>238</v>
      </c>
      <c r="HZ3549" s="5" t="s">
        <v>238</v>
      </c>
      <c r="IA3549" s="5" t="s">
        <v>238</v>
      </c>
      <c r="IB3549" s="5" t="s">
        <v>238</v>
      </c>
      <c r="IC3549" s="5" t="s">
        <v>238</v>
      </c>
      <c r="ID3549" s="5" t="s">
        <v>238</v>
      </c>
    </row>
    <row r="3550" spans="1:238" x14ac:dyDescent="0.4">
      <c r="A3550" s="5">
        <v>9268</v>
      </c>
      <c r="B3550" s="5">
        <v>1</v>
      </c>
      <c r="C3550" s="5">
        <v>1</v>
      </c>
      <c r="D3550" s="5" t="s">
        <v>484</v>
      </c>
      <c r="E3550" s="5" t="s">
        <v>485</v>
      </c>
      <c r="F3550" s="5" t="s">
        <v>248</v>
      </c>
      <c r="G3550" s="5" t="s">
        <v>3941</v>
      </c>
      <c r="H3550" s="6" t="s">
        <v>3943</v>
      </c>
      <c r="I3550" s="8">
        <f>1</f>
        <v>1</v>
      </c>
      <c r="J3550" s="5" t="s">
        <v>499</v>
      </c>
      <c r="K3550" s="8">
        <f>1</f>
        <v>1</v>
      </c>
      <c r="L3550" s="6" t="s">
        <v>242</v>
      </c>
      <c r="M3550" s="5" t="s">
        <v>267</v>
      </c>
      <c r="N3550" s="5" t="s">
        <v>482</v>
      </c>
      <c r="O3550" s="5" t="s">
        <v>238</v>
      </c>
      <c r="P3550" s="5" t="s">
        <v>238</v>
      </c>
      <c r="Q3550" s="5" t="s">
        <v>239</v>
      </c>
      <c r="R3550" s="5" t="s">
        <v>270</v>
      </c>
      <c r="S3550" s="5" t="s">
        <v>238</v>
      </c>
      <c r="T3550" s="5" t="s">
        <v>238</v>
      </c>
      <c r="U3550" s="5" t="s">
        <v>238</v>
      </c>
      <c r="V3550" s="5" t="s">
        <v>238</v>
      </c>
      <c r="W3550" s="6" t="s">
        <v>238</v>
      </c>
      <c r="X3550" s="6" t="s">
        <v>238</v>
      </c>
      <c r="Y3550" s="5" t="s">
        <v>238</v>
      </c>
      <c r="Z3550" s="6" t="s">
        <v>238</v>
      </c>
      <c r="AA3550" s="6" t="s">
        <v>243</v>
      </c>
      <c r="AB3550" s="5" t="s">
        <v>3942</v>
      </c>
      <c r="AC3550" s="5" t="s">
        <v>244</v>
      </c>
      <c r="AD3550" s="5" t="s">
        <v>245</v>
      </c>
      <c r="AE3550" s="5" t="s">
        <v>238</v>
      </c>
      <c r="AF3550" s="5" t="s">
        <v>238</v>
      </c>
      <c r="AG3550" s="5" t="s">
        <v>238</v>
      </c>
      <c r="AH3550" s="5" t="s">
        <v>238</v>
      </c>
      <c r="AI3550" s="5" t="s">
        <v>238</v>
      </c>
      <c r="AJ3550" s="5" t="s">
        <v>238</v>
      </c>
      <c r="AK3550" s="5" t="s">
        <v>238</v>
      </c>
      <c r="AL3550" s="5" t="s">
        <v>238</v>
      </c>
      <c r="AM3550" s="6" t="s">
        <v>238</v>
      </c>
      <c r="AN3550" s="6" t="s">
        <v>238</v>
      </c>
      <c r="AO3550" s="6" t="s">
        <v>238</v>
      </c>
      <c r="AP3550" s="6" t="s">
        <v>238</v>
      </c>
      <c r="AQ3550" s="5" t="s">
        <v>238</v>
      </c>
      <c r="AR3550" s="5" t="s">
        <v>488</v>
      </c>
      <c r="AS3550" s="5" t="s">
        <v>488</v>
      </c>
      <c r="AT3550" s="5" t="s">
        <v>246</v>
      </c>
      <c r="AU3550" s="5" t="s">
        <v>489</v>
      </c>
      <c r="AV3550" s="5" t="s">
        <v>247</v>
      </c>
      <c r="AW3550" s="5" t="s">
        <v>238</v>
      </c>
      <c r="AX3550" s="5" t="s">
        <v>249</v>
      </c>
      <c r="AY3550" s="5" t="s">
        <v>490</v>
      </c>
      <c r="BA3550" s="5" t="s">
        <v>238</v>
      </c>
      <c r="BC3550" s="5" t="s">
        <v>491</v>
      </c>
      <c r="BD3550" s="6" t="s">
        <v>492</v>
      </c>
      <c r="BE3550" s="5" t="s">
        <v>493</v>
      </c>
      <c r="BF3550" s="5" t="s">
        <v>493</v>
      </c>
      <c r="BG3550" s="5" t="s">
        <v>238</v>
      </c>
      <c r="BH3550" s="8">
        <f>1</f>
        <v>1</v>
      </c>
      <c r="BI3550" s="8">
        <f>1</f>
        <v>1</v>
      </c>
      <c r="BJ3550" s="5" t="s">
        <v>253</v>
      </c>
      <c r="BK3550" s="5" t="s">
        <v>254</v>
      </c>
      <c r="BL3550" s="5" t="s">
        <v>238</v>
      </c>
      <c r="BM3550" s="5" t="s">
        <v>238</v>
      </c>
      <c r="BN3550" s="5" t="s">
        <v>238</v>
      </c>
      <c r="BO3550" s="5" t="s">
        <v>238</v>
      </c>
      <c r="BP3550" s="5" t="s">
        <v>238</v>
      </c>
      <c r="BQ3550" s="5" t="s">
        <v>238</v>
      </c>
      <c r="BR3550" s="5" t="s">
        <v>238</v>
      </c>
      <c r="BS3550" s="5" t="s">
        <v>238</v>
      </c>
      <c r="BT3550" s="6" t="s">
        <v>238</v>
      </c>
      <c r="BU3550" s="5" t="s">
        <v>238</v>
      </c>
      <c r="BV3550" s="5" t="s">
        <v>238</v>
      </c>
      <c r="BW3550" s="5" t="s">
        <v>238</v>
      </c>
      <c r="BX3550" s="5" t="s">
        <v>254</v>
      </c>
      <c r="BY3550" s="5" t="s">
        <v>238</v>
      </c>
      <c r="BZ3550" s="5" t="s">
        <v>238</v>
      </c>
      <c r="CA3550" s="5" t="s">
        <v>238</v>
      </c>
      <c r="CB3550" s="5" t="s">
        <v>238</v>
      </c>
      <c r="CC3550" s="5" t="s">
        <v>238</v>
      </c>
      <c r="CD3550" s="5" t="s">
        <v>273</v>
      </c>
      <c r="CE3550" s="5" t="s">
        <v>256</v>
      </c>
      <c r="CF3550" s="5" t="s">
        <v>238</v>
      </c>
      <c r="CH3550" s="5" t="s">
        <v>494</v>
      </c>
      <c r="CI3550" s="6" t="s">
        <v>257</v>
      </c>
      <c r="CJ3550" s="5" t="s">
        <v>495</v>
      </c>
      <c r="CK3550" s="5" t="s">
        <v>258</v>
      </c>
      <c r="CL3550" s="5" t="s">
        <v>496</v>
      </c>
      <c r="CM3550" s="5" t="s">
        <v>238</v>
      </c>
      <c r="CN3550" s="5">
        <v>0</v>
      </c>
      <c r="CO3550" s="5" t="s">
        <v>497</v>
      </c>
      <c r="CP3550" s="5" t="s">
        <v>260</v>
      </c>
      <c r="CQ3550" s="5" t="s">
        <v>260</v>
      </c>
      <c r="CR3550" s="5" t="s">
        <v>261</v>
      </c>
      <c r="CS3550" s="5" t="s">
        <v>498</v>
      </c>
      <c r="CT3550" s="7">
        <f>1</f>
        <v>1</v>
      </c>
      <c r="CU3550" s="8">
        <f>1</f>
        <v>1</v>
      </c>
      <c r="CV3550" s="8">
        <f>0</f>
        <v>0</v>
      </c>
      <c r="CX3550" s="8">
        <f>1</f>
        <v>1</v>
      </c>
      <c r="CY3550" s="8">
        <f>1</f>
        <v>1</v>
      </c>
      <c r="CZ3550" s="8" t="s">
        <v>238</v>
      </c>
      <c r="DA3550" s="5" t="s">
        <v>238</v>
      </c>
      <c r="DB3550" s="5" t="s">
        <v>238</v>
      </c>
      <c r="DC3550" s="5" t="s">
        <v>238</v>
      </c>
      <c r="DD3550" s="5" t="s">
        <v>238</v>
      </c>
      <c r="DE3550" s="8">
        <f>0</f>
        <v>0</v>
      </c>
      <c r="DG3550" s="5" t="s">
        <v>238</v>
      </c>
      <c r="DH3550" s="5" t="s">
        <v>238</v>
      </c>
      <c r="DI3550" s="5" t="s">
        <v>238</v>
      </c>
      <c r="DJ3550" s="5" t="s">
        <v>238</v>
      </c>
      <c r="DK3550" s="5" t="s">
        <v>238</v>
      </c>
      <c r="DL3550" s="5" t="s">
        <v>238</v>
      </c>
      <c r="DM3550" s="8" t="s">
        <v>238</v>
      </c>
      <c r="DN3550" s="5" t="s">
        <v>238</v>
      </c>
      <c r="DO3550" s="5" t="s">
        <v>238</v>
      </c>
      <c r="DP3550" s="5" t="s">
        <v>490</v>
      </c>
      <c r="DQ3550" s="5" t="s">
        <v>490</v>
      </c>
      <c r="DR3550" s="5" t="s">
        <v>238</v>
      </c>
      <c r="DS3550" s="5" t="s">
        <v>238</v>
      </c>
      <c r="DT3550" s="5" t="s">
        <v>500</v>
      </c>
      <c r="DU3550" s="5" t="s">
        <v>677</v>
      </c>
      <c r="DV3550" s="5" t="s">
        <v>238</v>
      </c>
      <c r="DW3550" s="5" t="s">
        <v>238</v>
      </c>
      <c r="DX3550" s="5" t="s">
        <v>238</v>
      </c>
      <c r="DY3550" s="5" t="s">
        <v>238</v>
      </c>
      <c r="DZ3550" s="5" t="s">
        <v>238</v>
      </c>
      <c r="EA3550" s="5" t="s">
        <v>238</v>
      </c>
      <c r="EB3550" s="5" t="s">
        <v>238</v>
      </c>
      <c r="EC3550" s="5" t="s">
        <v>238</v>
      </c>
      <c r="ED3550" s="5" t="s">
        <v>238</v>
      </c>
      <c r="EE3550" s="5" t="s">
        <v>238</v>
      </c>
      <c r="EF3550" s="5" t="s">
        <v>238</v>
      </c>
      <c r="EG3550" s="5" t="s">
        <v>238</v>
      </c>
      <c r="EH3550" s="5" t="s">
        <v>238</v>
      </c>
      <c r="EI3550" s="5" t="s">
        <v>238</v>
      </c>
      <c r="EJ3550" s="5" t="s">
        <v>238</v>
      </c>
      <c r="EK3550" s="5" t="s">
        <v>238</v>
      </c>
      <c r="EL3550" s="5" t="s">
        <v>238</v>
      </c>
      <c r="EM3550" s="5" t="s">
        <v>238</v>
      </c>
      <c r="EN3550" s="5" t="s">
        <v>238</v>
      </c>
      <c r="EO3550" s="5" t="s">
        <v>238</v>
      </c>
      <c r="EP3550" s="5" t="s">
        <v>238</v>
      </c>
      <c r="EQ3550" s="5" t="s">
        <v>238</v>
      </c>
      <c r="ER3550" s="5" t="s">
        <v>238</v>
      </c>
      <c r="ES3550" s="5" t="s">
        <v>238</v>
      </c>
      <c r="ET3550" s="5" t="s">
        <v>238</v>
      </c>
      <c r="EU3550" s="5" t="s">
        <v>238</v>
      </c>
      <c r="EV3550" s="5" t="s">
        <v>238</v>
      </c>
      <c r="EW3550" s="5" t="s">
        <v>238</v>
      </c>
      <c r="EX3550" s="5" t="s">
        <v>238</v>
      </c>
      <c r="EY3550" s="5" t="s">
        <v>238</v>
      </c>
      <c r="EZ3550" s="5" t="s">
        <v>238</v>
      </c>
      <c r="FA3550" s="5" t="s">
        <v>238</v>
      </c>
      <c r="FB3550" s="5" t="s">
        <v>238</v>
      </c>
      <c r="FC3550" s="5" t="s">
        <v>238</v>
      </c>
      <c r="FD3550" s="5" t="s">
        <v>238</v>
      </c>
      <c r="FE3550" s="5" t="s">
        <v>238</v>
      </c>
      <c r="FF3550" s="5" t="s">
        <v>238</v>
      </c>
      <c r="FG3550" s="5" t="s">
        <v>238</v>
      </c>
      <c r="FH3550" s="5" t="s">
        <v>238</v>
      </c>
      <c r="FI3550" s="5" t="s">
        <v>238</v>
      </c>
      <c r="FJ3550" s="5" t="s">
        <v>238</v>
      </c>
      <c r="FK3550" s="5" t="s">
        <v>238</v>
      </c>
      <c r="FL3550" s="5" t="s">
        <v>238</v>
      </c>
      <c r="FM3550" s="5" t="s">
        <v>238</v>
      </c>
      <c r="FN3550" s="5" t="s">
        <v>238</v>
      </c>
      <c r="FO3550" s="5" t="s">
        <v>238</v>
      </c>
      <c r="FP3550" s="5" t="s">
        <v>238</v>
      </c>
      <c r="FQ3550" s="5" t="s">
        <v>238</v>
      </c>
      <c r="FR3550" s="5" t="s">
        <v>238</v>
      </c>
      <c r="FS3550" s="5" t="s">
        <v>238</v>
      </c>
      <c r="FT3550" s="5" t="s">
        <v>238</v>
      </c>
      <c r="FU3550" s="5" t="s">
        <v>238</v>
      </c>
      <c r="FV3550" s="5" t="s">
        <v>238</v>
      </c>
      <c r="FW3550" s="5" t="s">
        <v>238</v>
      </c>
      <c r="FX3550" s="5" t="s">
        <v>238</v>
      </c>
      <c r="FY3550" s="5" t="s">
        <v>238</v>
      </c>
      <c r="FZ3550" s="5" t="s">
        <v>238</v>
      </c>
      <c r="GA3550" s="5" t="s">
        <v>238</v>
      </c>
      <c r="GB3550" s="5" t="s">
        <v>238</v>
      </c>
      <c r="GC3550" s="5" t="s">
        <v>238</v>
      </c>
      <c r="GD3550" s="5" t="s">
        <v>238</v>
      </c>
      <c r="GE3550" s="5" t="s">
        <v>238</v>
      </c>
      <c r="GF3550" s="5" t="s">
        <v>238</v>
      </c>
      <c r="GG3550" s="5" t="s">
        <v>238</v>
      </c>
      <c r="GH3550" s="5" t="s">
        <v>238</v>
      </c>
      <c r="GI3550" s="5" t="s">
        <v>238</v>
      </c>
      <c r="GJ3550" s="5" t="s">
        <v>238</v>
      </c>
      <c r="GK3550" s="5" t="s">
        <v>238</v>
      </c>
      <c r="GL3550" s="5" t="s">
        <v>238</v>
      </c>
      <c r="GM3550" s="5" t="s">
        <v>238</v>
      </c>
      <c r="GN3550" s="5" t="s">
        <v>238</v>
      </c>
      <c r="GO3550" s="5" t="s">
        <v>238</v>
      </c>
      <c r="GP3550" s="5" t="s">
        <v>238</v>
      </c>
      <c r="GQ3550" s="5" t="s">
        <v>238</v>
      </c>
      <c r="GR3550" s="5" t="s">
        <v>238</v>
      </c>
      <c r="GS3550" s="5" t="s">
        <v>238</v>
      </c>
      <c r="GT3550" s="5" t="s">
        <v>238</v>
      </c>
      <c r="GU3550" s="5" t="s">
        <v>238</v>
      </c>
      <c r="GV3550" s="5" t="s">
        <v>238</v>
      </c>
      <c r="GW3550" s="5" t="s">
        <v>238</v>
      </c>
      <c r="GX3550" s="5" t="s">
        <v>238</v>
      </c>
      <c r="GY3550" s="5" t="s">
        <v>238</v>
      </c>
      <c r="GZ3550" s="5" t="s">
        <v>238</v>
      </c>
      <c r="HA3550" s="5" t="s">
        <v>238</v>
      </c>
      <c r="HB3550" s="5" t="s">
        <v>238</v>
      </c>
      <c r="HC3550" s="5" t="s">
        <v>238</v>
      </c>
      <c r="HD3550" s="5" t="s">
        <v>238</v>
      </c>
      <c r="HE3550" s="5" t="s">
        <v>238</v>
      </c>
      <c r="HF3550" s="5" t="s">
        <v>238</v>
      </c>
      <c r="HG3550" s="5" t="s">
        <v>238</v>
      </c>
      <c r="HH3550" s="5" t="s">
        <v>238</v>
      </c>
      <c r="HI3550" s="5" t="s">
        <v>238</v>
      </c>
      <c r="HJ3550" s="5" t="s">
        <v>238</v>
      </c>
      <c r="HK3550" s="5" t="s">
        <v>238</v>
      </c>
      <c r="HL3550" s="5" t="s">
        <v>238</v>
      </c>
      <c r="HM3550" s="5" t="s">
        <v>264</v>
      </c>
      <c r="HN3550" s="5" t="s">
        <v>238</v>
      </c>
      <c r="HO3550" s="5" t="s">
        <v>238</v>
      </c>
      <c r="HP3550" s="5" t="s">
        <v>238</v>
      </c>
      <c r="HQ3550" s="5" t="s">
        <v>238</v>
      </c>
      <c r="HR3550" s="5" t="s">
        <v>238</v>
      </c>
      <c r="HS3550" s="5" t="s">
        <v>238</v>
      </c>
      <c r="HT3550" s="5" t="s">
        <v>238</v>
      </c>
      <c r="HU3550" s="5" t="s">
        <v>238</v>
      </c>
      <c r="HV3550" s="5" t="s">
        <v>238</v>
      </c>
      <c r="HW3550" s="5" t="s">
        <v>238</v>
      </c>
      <c r="HX3550" s="5" t="s">
        <v>238</v>
      </c>
      <c r="HY3550" s="5" t="s">
        <v>238</v>
      </c>
      <c r="HZ3550" s="5" t="s">
        <v>238</v>
      </c>
      <c r="IA3550" s="5" t="s">
        <v>238</v>
      </c>
      <c r="IB3550" s="5" t="s">
        <v>238</v>
      </c>
      <c r="IC3550" s="5" t="s">
        <v>238</v>
      </c>
      <c r="ID3550" s="5" t="s">
        <v>238</v>
      </c>
    </row>
    <row r="3551" spans="1:238" x14ac:dyDescent="0.4">
      <c r="A3551" s="5">
        <v>9269</v>
      </c>
      <c r="B3551" s="5">
        <v>1</v>
      </c>
      <c r="C3551" s="5">
        <v>1</v>
      </c>
      <c r="D3551" s="5" t="s">
        <v>484</v>
      </c>
      <c r="E3551" s="5" t="s">
        <v>485</v>
      </c>
      <c r="F3551" s="5" t="s">
        <v>248</v>
      </c>
      <c r="G3551" s="5" t="s">
        <v>4663</v>
      </c>
      <c r="H3551" s="6" t="s">
        <v>4665</v>
      </c>
      <c r="I3551" s="8">
        <f>1</f>
        <v>1</v>
      </c>
      <c r="J3551" s="5" t="s">
        <v>499</v>
      </c>
      <c r="K3551" s="8">
        <f>1</f>
        <v>1</v>
      </c>
      <c r="L3551" s="6" t="s">
        <v>242</v>
      </c>
      <c r="M3551" s="5" t="s">
        <v>267</v>
      </c>
      <c r="N3551" s="5" t="s">
        <v>482</v>
      </c>
      <c r="O3551" s="5" t="s">
        <v>238</v>
      </c>
      <c r="P3551" s="5" t="s">
        <v>238</v>
      </c>
      <c r="Q3551" s="5" t="s">
        <v>239</v>
      </c>
      <c r="R3551" s="5" t="s">
        <v>270</v>
      </c>
      <c r="S3551" s="5" t="s">
        <v>238</v>
      </c>
      <c r="T3551" s="5" t="s">
        <v>238</v>
      </c>
      <c r="U3551" s="5" t="s">
        <v>238</v>
      </c>
      <c r="V3551" s="5" t="s">
        <v>238</v>
      </c>
      <c r="W3551" s="6" t="s">
        <v>238</v>
      </c>
      <c r="X3551" s="6" t="s">
        <v>238</v>
      </c>
      <c r="Y3551" s="5" t="s">
        <v>238</v>
      </c>
      <c r="Z3551" s="6" t="s">
        <v>238</v>
      </c>
      <c r="AA3551" s="6" t="s">
        <v>243</v>
      </c>
      <c r="AB3551" s="5" t="s">
        <v>4664</v>
      </c>
      <c r="AC3551" s="5" t="s">
        <v>244</v>
      </c>
      <c r="AD3551" s="5" t="s">
        <v>245</v>
      </c>
      <c r="AE3551" s="5" t="s">
        <v>238</v>
      </c>
      <c r="AF3551" s="5" t="s">
        <v>238</v>
      </c>
      <c r="AG3551" s="5" t="s">
        <v>238</v>
      </c>
      <c r="AH3551" s="5" t="s">
        <v>238</v>
      </c>
      <c r="AI3551" s="5" t="s">
        <v>238</v>
      </c>
      <c r="AJ3551" s="5" t="s">
        <v>238</v>
      </c>
      <c r="AK3551" s="5" t="s">
        <v>238</v>
      </c>
      <c r="AL3551" s="5" t="s">
        <v>238</v>
      </c>
      <c r="AM3551" s="6" t="s">
        <v>238</v>
      </c>
      <c r="AN3551" s="6" t="s">
        <v>238</v>
      </c>
      <c r="AO3551" s="6" t="s">
        <v>238</v>
      </c>
      <c r="AP3551" s="6" t="s">
        <v>238</v>
      </c>
      <c r="AQ3551" s="5" t="s">
        <v>238</v>
      </c>
      <c r="AR3551" s="5" t="s">
        <v>488</v>
      </c>
      <c r="AS3551" s="5" t="s">
        <v>488</v>
      </c>
      <c r="AT3551" s="5" t="s">
        <v>246</v>
      </c>
      <c r="AU3551" s="5" t="s">
        <v>489</v>
      </c>
      <c r="AV3551" s="5" t="s">
        <v>247</v>
      </c>
      <c r="AW3551" s="5" t="s">
        <v>238</v>
      </c>
      <c r="AX3551" s="5" t="s">
        <v>249</v>
      </c>
      <c r="AY3551" s="5" t="s">
        <v>490</v>
      </c>
      <c r="BA3551" s="5" t="s">
        <v>238</v>
      </c>
      <c r="BC3551" s="5" t="s">
        <v>491</v>
      </c>
      <c r="BD3551" s="6" t="s">
        <v>492</v>
      </c>
      <c r="BE3551" s="5" t="s">
        <v>493</v>
      </c>
      <c r="BF3551" s="5" t="s">
        <v>493</v>
      </c>
      <c r="BG3551" s="5" t="s">
        <v>238</v>
      </c>
      <c r="BH3551" s="8">
        <f>1</f>
        <v>1</v>
      </c>
      <c r="BI3551" s="8">
        <f>1</f>
        <v>1</v>
      </c>
      <c r="BJ3551" s="5" t="s">
        <v>253</v>
      </c>
      <c r="BK3551" s="5" t="s">
        <v>254</v>
      </c>
      <c r="BL3551" s="5" t="s">
        <v>238</v>
      </c>
      <c r="BM3551" s="5" t="s">
        <v>238</v>
      </c>
      <c r="BN3551" s="5" t="s">
        <v>238</v>
      </c>
      <c r="BO3551" s="5" t="s">
        <v>238</v>
      </c>
      <c r="BP3551" s="5" t="s">
        <v>238</v>
      </c>
      <c r="BQ3551" s="5" t="s">
        <v>238</v>
      </c>
      <c r="BR3551" s="5" t="s">
        <v>238</v>
      </c>
      <c r="BS3551" s="5" t="s">
        <v>238</v>
      </c>
      <c r="BT3551" s="6" t="s">
        <v>238</v>
      </c>
      <c r="BU3551" s="5" t="s">
        <v>238</v>
      </c>
      <c r="BV3551" s="5" t="s">
        <v>238</v>
      </c>
      <c r="BW3551" s="5" t="s">
        <v>238</v>
      </c>
      <c r="BX3551" s="5" t="s">
        <v>254</v>
      </c>
      <c r="BY3551" s="5" t="s">
        <v>238</v>
      </c>
      <c r="BZ3551" s="5" t="s">
        <v>238</v>
      </c>
      <c r="CA3551" s="5" t="s">
        <v>238</v>
      </c>
      <c r="CB3551" s="5" t="s">
        <v>238</v>
      </c>
      <c r="CC3551" s="5" t="s">
        <v>238</v>
      </c>
      <c r="CD3551" s="5" t="s">
        <v>273</v>
      </c>
      <c r="CE3551" s="5" t="s">
        <v>256</v>
      </c>
      <c r="CF3551" s="5" t="s">
        <v>238</v>
      </c>
      <c r="CH3551" s="5" t="s">
        <v>494</v>
      </c>
      <c r="CI3551" s="6" t="s">
        <v>257</v>
      </c>
      <c r="CJ3551" s="5" t="s">
        <v>495</v>
      </c>
      <c r="CK3551" s="5" t="s">
        <v>258</v>
      </c>
      <c r="CL3551" s="5" t="s">
        <v>496</v>
      </c>
      <c r="CM3551" s="5" t="s">
        <v>238</v>
      </c>
      <c r="CN3551" s="5">
        <v>0</v>
      </c>
      <c r="CO3551" s="5" t="s">
        <v>497</v>
      </c>
      <c r="CP3551" s="5" t="s">
        <v>260</v>
      </c>
      <c r="CQ3551" s="5" t="s">
        <v>260</v>
      </c>
      <c r="CR3551" s="5" t="s">
        <v>261</v>
      </c>
      <c r="CS3551" s="5" t="s">
        <v>498</v>
      </c>
      <c r="CT3551" s="7">
        <f>1</f>
        <v>1</v>
      </c>
      <c r="CU3551" s="8">
        <f>1</f>
        <v>1</v>
      </c>
      <c r="CV3551" s="8">
        <f>0</f>
        <v>0</v>
      </c>
      <c r="CX3551" s="8">
        <f>1</f>
        <v>1</v>
      </c>
      <c r="CY3551" s="8">
        <f>1</f>
        <v>1</v>
      </c>
      <c r="CZ3551" s="8" t="s">
        <v>238</v>
      </c>
      <c r="DA3551" s="5" t="s">
        <v>238</v>
      </c>
      <c r="DB3551" s="5" t="s">
        <v>238</v>
      </c>
      <c r="DC3551" s="5" t="s">
        <v>238</v>
      </c>
      <c r="DD3551" s="5" t="s">
        <v>238</v>
      </c>
      <c r="DE3551" s="8">
        <f>0</f>
        <v>0</v>
      </c>
      <c r="DG3551" s="5" t="s">
        <v>238</v>
      </c>
      <c r="DH3551" s="5" t="s">
        <v>238</v>
      </c>
      <c r="DI3551" s="5" t="s">
        <v>238</v>
      </c>
      <c r="DJ3551" s="5" t="s">
        <v>238</v>
      </c>
      <c r="DK3551" s="5" t="s">
        <v>238</v>
      </c>
      <c r="DL3551" s="5" t="s">
        <v>238</v>
      </c>
      <c r="DM3551" s="8" t="s">
        <v>238</v>
      </c>
      <c r="DN3551" s="5" t="s">
        <v>238</v>
      </c>
      <c r="DO3551" s="5" t="s">
        <v>238</v>
      </c>
      <c r="DP3551" s="5" t="s">
        <v>490</v>
      </c>
      <c r="DQ3551" s="5" t="s">
        <v>490</v>
      </c>
      <c r="DR3551" s="5" t="s">
        <v>238</v>
      </c>
      <c r="DS3551" s="5" t="s">
        <v>238</v>
      </c>
      <c r="DT3551" s="5" t="s">
        <v>500</v>
      </c>
      <c r="DU3551" s="5" t="s">
        <v>1102</v>
      </c>
      <c r="DV3551" s="5" t="s">
        <v>238</v>
      </c>
      <c r="DW3551" s="5" t="s">
        <v>238</v>
      </c>
      <c r="DX3551" s="5" t="s">
        <v>238</v>
      </c>
      <c r="DY3551" s="5" t="s">
        <v>238</v>
      </c>
      <c r="DZ3551" s="5" t="s">
        <v>238</v>
      </c>
      <c r="EA3551" s="5" t="s">
        <v>238</v>
      </c>
      <c r="EB3551" s="5" t="s">
        <v>238</v>
      </c>
      <c r="EC3551" s="5" t="s">
        <v>238</v>
      </c>
      <c r="ED3551" s="5" t="s">
        <v>238</v>
      </c>
      <c r="EE3551" s="5" t="s">
        <v>238</v>
      </c>
      <c r="EF3551" s="5" t="s">
        <v>238</v>
      </c>
      <c r="EG3551" s="5" t="s">
        <v>238</v>
      </c>
      <c r="EH3551" s="5" t="s">
        <v>238</v>
      </c>
      <c r="EI3551" s="5" t="s">
        <v>238</v>
      </c>
      <c r="EJ3551" s="5" t="s">
        <v>238</v>
      </c>
      <c r="EK3551" s="5" t="s">
        <v>238</v>
      </c>
      <c r="EL3551" s="5" t="s">
        <v>238</v>
      </c>
      <c r="EM3551" s="5" t="s">
        <v>238</v>
      </c>
      <c r="EN3551" s="5" t="s">
        <v>238</v>
      </c>
      <c r="EO3551" s="5" t="s">
        <v>238</v>
      </c>
      <c r="EP3551" s="5" t="s">
        <v>238</v>
      </c>
      <c r="EQ3551" s="5" t="s">
        <v>238</v>
      </c>
      <c r="ER3551" s="5" t="s">
        <v>238</v>
      </c>
      <c r="ES3551" s="5" t="s">
        <v>238</v>
      </c>
      <c r="ET3551" s="5" t="s">
        <v>238</v>
      </c>
      <c r="EU3551" s="5" t="s">
        <v>238</v>
      </c>
      <c r="EV3551" s="5" t="s">
        <v>238</v>
      </c>
      <c r="EW3551" s="5" t="s">
        <v>238</v>
      </c>
      <c r="EX3551" s="5" t="s">
        <v>238</v>
      </c>
      <c r="EY3551" s="5" t="s">
        <v>238</v>
      </c>
      <c r="EZ3551" s="5" t="s">
        <v>238</v>
      </c>
      <c r="FA3551" s="5" t="s">
        <v>238</v>
      </c>
      <c r="FB3551" s="5" t="s">
        <v>238</v>
      </c>
      <c r="FC3551" s="5" t="s">
        <v>238</v>
      </c>
      <c r="FD3551" s="5" t="s">
        <v>238</v>
      </c>
      <c r="FE3551" s="5" t="s">
        <v>238</v>
      </c>
      <c r="FF3551" s="5" t="s">
        <v>238</v>
      </c>
      <c r="FG3551" s="5" t="s">
        <v>238</v>
      </c>
      <c r="FH3551" s="5" t="s">
        <v>238</v>
      </c>
      <c r="FI3551" s="5" t="s">
        <v>238</v>
      </c>
      <c r="FJ3551" s="5" t="s">
        <v>238</v>
      </c>
      <c r="FK3551" s="5" t="s">
        <v>238</v>
      </c>
      <c r="FL3551" s="5" t="s">
        <v>238</v>
      </c>
      <c r="FM3551" s="5" t="s">
        <v>238</v>
      </c>
      <c r="FN3551" s="5" t="s">
        <v>238</v>
      </c>
      <c r="FO3551" s="5" t="s">
        <v>238</v>
      </c>
      <c r="FP3551" s="5" t="s">
        <v>238</v>
      </c>
      <c r="FQ3551" s="5" t="s">
        <v>238</v>
      </c>
      <c r="FR3551" s="5" t="s">
        <v>238</v>
      </c>
      <c r="FS3551" s="5" t="s">
        <v>238</v>
      </c>
      <c r="FT3551" s="5" t="s">
        <v>238</v>
      </c>
      <c r="FU3551" s="5" t="s">
        <v>238</v>
      </c>
      <c r="FV3551" s="5" t="s">
        <v>238</v>
      </c>
      <c r="FW3551" s="5" t="s">
        <v>238</v>
      </c>
      <c r="FX3551" s="5" t="s">
        <v>238</v>
      </c>
      <c r="FY3551" s="5" t="s">
        <v>238</v>
      </c>
      <c r="FZ3551" s="5" t="s">
        <v>238</v>
      </c>
      <c r="GA3551" s="5" t="s">
        <v>238</v>
      </c>
      <c r="GB3551" s="5" t="s">
        <v>238</v>
      </c>
      <c r="GC3551" s="5" t="s">
        <v>238</v>
      </c>
      <c r="GD3551" s="5" t="s">
        <v>238</v>
      </c>
      <c r="GE3551" s="5" t="s">
        <v>238</v>
      </c>
      <c r="GF3551" s="5" t="s">
        <v>238</v>
      </c>
      <c r="GG3551" s="5" t="s">
        <v>238</v>
      </c>
      <c r="GH3551" s="5" t="s">
        <v>238</v>
      </c>
      <c r="GI3551" s="5" t="s">
        <v>238</v>
      </c>
      <c r="GJ3551" s="5" t="s">
        <v>238</v>
      </c>
      <c r="GK3551" s="5" t="s">
        <v>238</v>
      </c>
      <c r="GL3551" s="5" t="s">
        <v>238</v>
      </c>
      <c r="GM3551" s="5" t="s">
        <v>238</v>
      </c>
      <c r="GN3551" s="5" t="s">
        <v>238</v>
      </c>
      <c r="GO3551" s="5" t="s">
        <v>238</v>
      </c>
      <c r="GP3551" s="5" t="s">
        <v>238</v>
      </c>
      <c r="GQ3551" s="5" t="s">
        <v>238</v>
      </c>
      <c r="GR3551" s="5" t="s">
        <v>238</v>
      </c>
      <c r="GS3551" s="5" t="s">
        <v>238</v>
      </c>
      <c r="GT3551" s="5" t="s">
        <v>238</v>
      </c>
      <c r="GU3551" s="5" t="s">
        <v>238</v>
      </c>
      <c r="GV3551" s="5" t="s">
        <v>238</v>
      </c>
      <c r="GW3551" s="5" t="s">
        <v>238</v>
      </c>
      <c r="GX3551" s="5" t="s">
        <v>238</v>
      </c>
      <c r="GY3551" s="5" t="s">
        <v>238</v>
      </c>
      <c r="GZ3551" s="5" t="s">
        <v>238</v>
      </c>
      <c r="HA3551" s="5" t="s">
        <v>238</v>
      </c>
      <c r="HB3551" s="5" t="s">
        <v>238</v>
      </c>
      <c r="HC3551" s="5" t="s">
        <v>238</v>
      </c>
      <c r="HD3551" s="5" t="s">
        <v>238</v>
      </c>
      <c r="HE3551" s="5" t="s">
        <v>238</v>
      </c>
      <c r="HF3551" s="5" t="s">
        <v>238</v>
      </c>
      <c r="HG3551" s="5" t="s">
        <v>238</v>
      </c>
      <c r="HH3551" s="5" t="s">
        <v>238</v>
      </c>
      <c r="HI3551" s="5" t="s">
        <v>238</v>
      </c>
      <c r="HJ3551" s="5" t="s">
        <v>238</v>
      </c>
      <c r="HK3551" s="5" t="s">
        <v>238</v>
      </c>
      <c r="HL3551" s="5" t="s">
        <v>238</v>
      </c>
      <c r="HM3551" s="5" t="s">
        <v>264</v>
      </c>
      <c r="HN3551" s="5" t="s">
        <v>238</v>
      </c>
      <c r="HO3551" s="5" t="s">
        <v>238</v>
      </c>
      <c r="HP3551" s="5" t="s">
        <v>238</v>
      </c>
      <c r="HQ3551" s="5" t="s">
        <v>238</v>
      </c>
      <c r="HR3551" s="5" t="s">
        <v>238</v>
      </c>
      <c r="HS3551" s="5" t="s">
        <v>238</v>
      </c>
      <c r="HT3551" s="5" t="s">
        <v>238</v>
      </c>
      <c r="HU3551" s="5" t="s">
        <v>238</v>
      </c>
      <c r="HV3551" s="5" t="s">
        <v>238</v>
      </c>
      <c r="HW3551" s="5" t="s">
        <v>238</v>
      </c>
      <c r="HX3551" s="5" t="s">
        <v>238</v>
      </c>
      <c r="HY3551" s="5" t="s">
        <v>238</v>
      </c>
      <c r="HZ3551" s="5" t="s">
        <v>238</v>
      </c>
      <c r="IA3551" s="5" t="s">
        <v>238</v>
      </c>
      <c r="IB3551" s="5" t="s">
        <v>238</v>
      </c>
      <c r="IC3551" s="5" t="s">
        <v>238</v>
      </c>
      <c r="ID3551" s="5" t="s">
        <v>238</v>
      </c>
    </row>
    <row r="3552" spans="1:238" x14ac:dyDescent="0.4">
      <c r="A3552" s="5">
        <v>9270</v>
      </c>
      <c r="B3552" s="5">
        <v>1</v>
      </c>
      <c r="C3552" s="5">
        <v>1</v>
      </c>
      <c r="D3552" s="5" t="s">
        <v>484</v>
      </c>
      <c r="E3552" s="5" t="s">
        <v>485</v>
      </c>
      <c r="F3552" s="5" t="s">
        <v>248</v>
      </c>
      <c r="G3552" s="5" t="s">
        <v>5775</v>
      </c>
      <c r="H3552" s="6" t="s">
        <v>5777</v>
      </c>
      <c r="I3552" s="8">
        <f>1</f>
        <v>1</v>
      </c>
      <c r="J3552" s="5" t="s">
        <v>499</v>
      </c>
      <c r="K3552" s="8">
        <f>1</f>
        <v>1</v>
      </c>
      <c r="L3552" s="6" t="s">
        <v>242</v>
      </c>
      <c r="M3552" s="5" t="s">
        <v>267</v>
      </c>
      <c r="N3552" s="5" t="s">
        <v>482</v>
      </c>
      <c r="O3552" s="5" t="s">
        <v>238</v>
      </c>
      <c r="P3552" s="5" t="s">
        <v>238</v>
      </c>
      <c r="Q3552" s="5" t="s">
        <v>239</v>
      </c>
      <c r="R3552" s="5" t="s">
        <v>270</v>
      </c>
      <c r="S3552" s="5" t="s">
        <v>238</v>
      </c>
      <c r="T3552" s="5" t="s">
        <v>238</v>
      </c>
      <c r="U3552" s="5" t="s">
        <v>238</v>
      </c>
      <c r="V3552" s="5" t="s">
        <v>238</v>
      </c>
      <c r="W3552" s="6" t="s">
        <v>238</v>
      </c>
      <c r="X3552" s="6" t="s">
        <v>238</v>
      </c>
      <c r="Y3552" s="5" t="s">
        <v>238</v>
      </c>
      <c r="Z3552" s="6" t="s">
        <v>238</v>
      </c>
      <c r="AA3552" s="6" t="s">
        <v>243</v>
      </c>
      <c r="AB3552" s="5" t="s">
        <v>5776</v>
      </c>
      <c r="AC3552" s="5" t="s">
        <v>244</v>
      </c>
      <c r="AD3552" s="5" t="s">
        <v>245</v>
      </c>
      <c r="AE3552" s="5" t="s">
        <v>238</v>
      </c>
      <c r="AF3552" s="5" t="s">
        <v>238</v>
      </c>
      <c r="AG3552" s="5" t="s">
        <v>238</v>
      </c>
      <c r="AH3552" s="5" t="s">
        <v>238</v>
      </c>
      <c r="AI3552" s="5" t="s">
        <v>238</v>
      </c>
      <c r="AJ3552" s="5" t="s">
        <v>238</v>
      </c>
      <c r="AK3552" s="5" t="s">
        <v>238</v>
      </c>
      <c r="AL3552" s="5" t="s">
        <v>238</v>
      </c>
      <c r="AM3552" s="6" t="s">
        <v>238</v>
      </c>
      <c r="AN3552" s="6" t="s">
        <v>238</v>
      </c>
      <c r="AO3552" s="6" t="s">
        <v>238</v>
      </c>
      <c r="AP3552" s="6" t="s">
        <v>238</v>
      </c>
      <c r="AQ3552" s="5" t="s">
        <v>238</v>
      </c>
      <c r="AR3552" s="5" t="s">
        <v>488</v>
      </c>
      <c r="AS3552" s="5" t="s">
        <v>488</v>
      </c>
      <c r="AT3552" s="5" t="s">
        <v>246</v>
      </c>
      <c r="AU3552" s="5" t="s">
        <v>489</v>
      </c>
      <c r="AV3552" s="5" t="s">
        <v>247</v>
      </c>
      <c r="AW3552" s="5" t="s">
        <v>238</v>
      </c>
      <c r="AX3552" s="5" t="s">
        <v>249</v>
      </c>
      <c r="AY3552" s="5" t="s">
        <v>490</v>
      </c>
      <c r="BA3552" s="5" t="s">
        <v>238</v>
      </c>
      <c r="BC3552" s="5" t="s">
        <v>491</v>
      </c>
      <c r="BD3552" s="6" t="s">
        <v>492</v>
      </c>
      <c r="BE3552" s="5" t="s">
        <v>493</v>
      </c>
      <c r="BF3552" s="5" t="s">
        <v>493</v>
      </c>
      <c r="BG3552" s="5" t="s">
        <v>238</v>
      </c>
      <c r="BH3552" s="8">
        <f>1</f>
        <v>1</v>
      </c>
      <c r="BI3552" s="8">
        <f>1</f>
        <v>1</v>
      </c>
      <c r="BJ3552" s="5" t="s">
        <v>253</v>
      </c>
      <c r="BK3552" s="5" t="s">
        <v>254</v>
      </c>
      <c r="BL3552" s="5" t="s">
        <v>238</v>
      </c>
      <c r="BM3552" s="5" t="s">
        <v>238</v>
      </c>
      <c r="BN3552" s="5" t="s">
        <v>238</v>
      </c>
      <c r="BO3552" s="5" t="s">
        <v>238</v>
      </c>
      <c r="BP3552" s="5" t="s">
        <v>238</v>
      </c>
      <c r="BQ3552" s="5" t="s">
        <v>238</v>
      </c>
      <c r="BR3552" s="5" t="s">
        <v>238</v>
      </c>
      <c r="BS3552" s="5" t="s">
        <v>238</v>
      </c>
      <c r="BT3552" s="6" t="s">
        <v>238</v>
      </c>
      <c r="BU3552" s="5" t="s">
        <v>238</v>
      </c>
      <c r="BV3552" s="5" t="s">
        <v>238</v>
      </c>
      <c r="BW3552" s="5" t="s">
        <v>238</v>
      </c>
      <c r="BX3552" s="5" t="s">
        <v>254</v>
      </c>
      <c r="BY3552" s="5" t="s">
        <v>238</v>
      </c>
      <c r="BZ3552" s="5" t="s">
        <v>238</v>
      </c>
      <c r="CA3552" s="5" t="s">
        <v>238</v>
      </c>
      <c r="CB3552" s="5" t="s">
        <v>238</v>
      </c>
      <c r="CC3552" s="5" t="s">
        <v>238</v>
      </c>
      <c r="CD3552" s="5" t="s">
        <v>273</v>
      </c>
      <c r="CE3552" s="5" t="s">
        <v>256</v>
      </c>
      <c r="CF3552" s="5" t="s">
        <v>238</v>
      </c>
      <c r="CH3552" s="5" t="s">
        <v>494</v>
      </c>
      <c r="CI3552" s="6" t="s">
        <v>257</v>
      </c>
      <c r="CJ3552" s="5" t="s">
        <v>495</v>
      </c>
      <c r="CK3552" s="5" t="s">
        <v>258</v>
      </c>
      <c r="CL3552" s="5" t="s">
        <v>496</v>
      </c>
      <c r="CM3552" s="5" t="s">
        <v>238</v>
      </c>
      <c r="CN3552" s="5">
        <v>0</v>
      </c>
      <c r="CO3552" s="5" t="s">
        <v>497</v>
      </c>
      <c r="CP3552" s="5" t="s">
        <v>260</v>
      </c>
      <c r="CQ3552" s="5" t="s">
        <v>260</v>
      </c>
      <c r="CR3552" s="5" t="s">
        <v>261</v>
      </c>
      <c r="CS3552" s="5" t="s">
        <v>498</v>
      </c>
      <c r="CT3552" s="7">
        <f>1</f>
        <v>1</v>
      </c>
      <c r="CU3552" s="8">
        <f>1</f>
        <v>1</v>
      </c>
      <c r="CV3552" s="8">
        <f>0</f>
        <v>0</v>
      </c>
      <c r="CX3552" s="8">
        <f>1</f>
        <v>1</v>
      </c>
      <c r="CY3552" s="8">
        <f>1</f>
        <v>1</v>
      </c>
      <c r="CZ3552" s="8" t="s">
        <v>238</v>
      </c>
      <c r="DA3552" s="5" t="s">
        <v>238</v>
      </c>
      <c r="DB3552" s="5" t="s">
        <v>238</v>
      </c>
      <c r="DC3552" s="5" t="s">
        <v>238</v>
      </c>
      <c r="DD3552" s="5" t="s">
        <v>238</v>
      </c>
      <c r="DE3552" s="8">
        <f>0</f>
        <v>0</v>
      </c>
      <c r="DG3552" s="5" t="s">
        <v>238</v>
      </c>
      <c r="DH3552" s="5" t="s">
        <v>238</v>
      </c>
      <c r="DI3552" s="5" t="s">
        <v>238</v>
      </c>
      <c r="DJ3552" s="5" t="s">
        <v>238</v>
      </c>
      <c r="DK3552" s="5" t="s">
        <v>238</v>
      </c>
      <c r="DL3552" s="5" t="s">
        <v>238</v>
      </c>
      <c r="DM3552" s="8" t="s">
        <v>238</v>
      </c>
      <c r="DN3552" s="5" t="s">
        <v>238</v>
      </c>
      <c r="DO3552" s="5" t="s">
        <v>238</v>
      </c>
      <c r="DP3552" s="5" t="s">
        <v>490</v>
      </c>
      <c r="DQ3552" s="5" t="s">
        <v>490</v>
      </c>
      <c r="DR3552" s="5" t="s">
        <v>238</v>
      </c>
      <c r="DS3552" s="5" t="s">
        <v>238</v>
      </c>
      <c r="DT3552" s="5" t="s">
        <v>500</v>
      </c>
      <c r="DU3552" s="5" t="s">
        <v>3171</v>
      </c>
      <c r="DV3552" s="5" t="s">
        <v>238</v>
      </c>
      <c r="DW3552" s="5" t="s">
        <v>238</v>
      </c>
      <c r="DX3552" s="5" t="s">
        <v>238</v>
      </c>
      <c r="DY3552" s="5" t="s">
        <v>238</v>
      </c>
      <c r="DZ3552" s="5" t="s">
        <v>238</v>
      </c>
      <c r="EA3552" s="5" t="s">
        <v>238</v>
      </c>
      <c r="EB3552" s="5" t="s">
        <v>238</v>
      </c>
      <c r="EC3552" s="5" t="s">
        <v>238</v>
      </c>
      <c r="ED3552" s="5" t="s">
        <v>238</v>
      </c>
      <c r="EE3552" s="5" t="s">
        <v>238</v>
      </c>
      <c r="EF3552" s="5" t="s">
        <v>238</v>
      </c>
      <c r="EG3552" s="5" t="s">
        <v>238</v>
      </c>
      <c r="EH3552" s="5" t="s">
        <v>238</v>
      </c>
      <c r="EI3552" s="5" t="s">
        <v>238</v>
      </c>
      <c r="EJ3552" s="5" t="s">
        <v>238</v>
      </c>
      <c r="EK3552" s="5" t="s">
        <v>238</v>
      </c>
      <c r="EL3552" s="5" t="s">
        <v>238</v>
      </c>
      <c r="EM3552" s="5" t="s">
        <v>238</v>
      </c>
      <c r="EN3552" s="5" t="s">
        <v>238</v>
      </c>
      <c r="EO3552" s="5" t="s">
        <v>238</v>
      </c>
      <c r="EP3552" s="5" t="s">
        <v>238</v>
      </c>
      <c r="EQ3552" s="5" t="s">
        <v>238</v>
      </c>
      <c r="ER3552" s="5" t="s">
        <v>238</v>
      </c>
      <c r="ES3552" s="5" t="s">
        <v>238</v>
      </c>
      <c r="ET3552" s="5" t="s">
        <v>238</v>
      </c>
      <c r="EU3552" s="5" t="s">
        <v>238</v>
      </c>
      <c r="EV3552" s="5" t="s">
        <v>238</v>
      </c>
      <c r="EW3552" s="5" t="s">
        <v>238</v>
      </c>
      <c r="EX3552" s="5" t="s">
        <v>238</v>
      </c>
      <c r="EY3552" s="5" t="s">
        <v>238</v>
      </c>
      <c r="EZ3552" s="5" t="s">
        <v>238</v>
      </c>
      <c r="FA3552" s="5" t="s">
        <v>238</v>
      </c>
      <c r="FB3552" s="5" t="s">
        <v>238</v>
      </c>
      <c r="FC3552" s="5" t="s">
        <v>238</v>
      </c>
      <c r="FD3552" s="5" t="s">
        <v>238</v>
      </c>
      <c r="FE3552" s="5" t="s">
        <v>238</v>
      </c>
      <c r="FF3552" s="5" t="s">
        <v>238</v>
      </c>
      <c r="FG3552" s="5" t="s">
        <v>238</v>
      </c>
      <c r="FH3552" s="5" t="s">
        <v>238</v>
      </c>
      <c r="FI3552" s="5" t="s">
        <v>238</v>
      </c>
      <c r="FJ3552" s="5" t="s">
        <v>238</v>
      </c>
      <c r="FK3552" s="5" t="s">
        <v>238</v>
      </c>
      <c r="FL3552" s="5" t="s">
        <v>238</v>
      </c>
      <c r="FM3552" s="5" t="s">
        <v>238</v>
      </c>
      <c r="FN3552" s="5" t="s">
        <v>238</v>
      </c>
      <c r="FO3552" s="5" t="s">
        <v>238</v>
      </c>
      <c r="FP3552" s="5" t="s">
        <v>238</v>
      </c>
      <c r="FQ3552" s="5" t="s">
        <v>238</v>
      </c>
      <c r="FR3552" s="5" t="s">
        <v>238</v>
      </c>
      <c r="FS3552" s="5" t="s">
        <v>238</v>
      </c>
      <c r="FT3552" s="5" t="s">
        <v>238</v>
      </c>
      <c r="FU3552" s="5" t="s">
        <v>238</v>
      </c>
      <c r="FV3552" s="5" t="s">
        <v>238</v>
      </c>
      <c r="FW3552" s="5" t="s">
        <v>238</v>
      </c>
      <c r="FX3552" s="5" t="s">
        <v>238</v>
      </c>
      <c r="FY3552" s="5" t="s">
        <v>238</v>
      </c>
      <c r="FZ3552" s="5" t="s">
        <v>238</v>
      </c>
      <c r="GA3552" s="5" t="s">
        <v>238</v>
      </c>
      <c r="GB3552" s="5" t="s">
        <v>238</v>
      </c>
      <c r="GC3552" s="5" t="s">
        <v>238</v>
      </c>
      <c r="GD3552" s="5" t="s">
        <v>238</v>
      </c>
      <c r="GE3552" s="5" t="s">
        <v>238</v>
      </c>
      <c r="GF3552" s="5" t="s">
        <v>238</v>
      </c>
      <c r="GG3552" s="5" t="s">
        <v>238</v>
      </c>
      <c r="GH3552" s="5" t="s">
        <v>238</v>
      </c>
      <c r="GI3552" s="5" t="s">
        <v>238</v>
      </c>
      <c r="GJ3552" s="5" t="s">
        <v>238</v>
      </c>
      <c r="GK3552" s="5" t="s">
        <v>238</v>
      </c>
      <c r="GL3552" s="5" t="s">
        <v>238</v>
      </c>
      <c r="GM3552" s="5" t="s">
        <v>238</v>
      </c>
      <c r="GN3552" s="5" t="s">
        <v>238</v>
      </c>
      <c r="GO3552" s="5" t="s">
        <v>238</v>
      </c>
      <c r="GP3552" s="5" t="s">
        <v>238</v>
      </c>
      <c r="GQ3552" s="5" t="s">
        <v>238</v>
      </c>
      <c r="GR3552" s="5" t="s">
        <v>238</v>
      </c>
      <c r="GS3552" s="5" t="s">
        <v>238</v>
      </c>
      <c r="GT3552" s="5" t="s">
        <v>238</v>
      </c>
      <c r="GU3552" s="5" t="s">
        <v>238</v>
      </c>
      <c r="GV3552" s="5" t="s">
        <v>238</v>
      </c>
      <c r="GW3552" s="5" t="s">
        <v>238</v>
      </c>
      <c r="GX3552" s="5" t="s">
        <v>238</v>
      </c>
      <c r="GY3552" s="5" t="s">
        <v>238</v>
      </c>
      <c r="GZ3552" s="5" t="s">
        <v>238</v>
      </c>
      <c r="HA3552" s="5" t="s">
        <v>238</v>
      </c>
      <c r="HB3552" s="5" t="s">
        <v>238</v>
      </c>
      <c r="HC3552" s="5" t="s">
        <v>238</v>
      </c>
      <c r="HD3552" s="5" t="s">
        <v>238</v>
      </c>
      <c r="HE3552" s="5" t="s">
        <v>238</v>
      </c>
      <c r="HF3552" s="5" t="s">
        <v>238</v>
      </c>
      <c r="HG3552" s="5" t="s">
        <v>238</v>
      </c>
      <c r="HH3552" s="5" t="s">
        <v>238</v>
      </c>
      <c r="HI3552" s="5" t="s">
        <v>238</v>
      </c>
      <c r="HJ3552" s="5" t="s">
        <v>238</v>
      </c>
      <c r="HK3552" s="5" t="s">
        <v>238</v>
      </c>
      <c r="HL3552" s="5" t="s">
        <v>238</v>
      </c>
      <c r="HM3552" s="5" t="s">
        <v>264</v>
      </c>
      <c r="HN3552" s="5" t="s">
        <v>238</v>
      </c>
      <c r="HO3552" s="5" t="s">
        <v>238</v>
      </c>
      <c r="HP3552" s="5" t="s">
        <v>238</v>
      </c>
      <c r="HQ3552" s="5" t="s">
        <v>238</v>
      </c>
      <c r="HR3552" s="5" t="s">
        <v>238</v>
      </c>
      <c r="HS3552" s="5" t="s">
        <v>238</v>
      </c>
      <c r="HT3552" s="5" t="s">
        <v>238</v>
      </c>
      <c r="HU3552" s="5" t="s">
        <v>238</v>
      </c>
      <c r="HV3552" s="5" t="s">
        <v>238</v>
      </c>
      <c r="HW3552" s="5" t="s">
        <v>238</v>
      </c>
      <c r="HX3552" s="5" t="s">
        <v>238</v>
      </c>
      <c r="HY3552" s="5" t="s">
        <v>238</v>
      </c>
      <c r="HZ3552" s="5" t="s">
        <v>238</v>
      </c>
      <c r="IA3552" s="5" t="s">
        <v>238</v>
      </c>
      <c r="IB3552" s="5" t="s">
        <v>238</v>
      </c>
      <c r="IC3552" s="5" t="s">
        <v>238</v>
      </c>
      <c r="ID3552" s="5" t="s">
        <v>238</v>
      </c>
    </row>
    <row r="3553" spans="1:238" x14ac:dyDescent="0.4">
      <c r="A3553" s="5">
        <v>9271</v>
      </c>
      <c r="B3553" s="5">
        <v>1</v>
      </c>
      <c r="C3553" s="5">
        <v>1</v>
      </c>
      <c r="D3553" s="5" t="s">
        <v>484</v>
      </c>
      <c r="E3553" s="5" t="s">
        <v>485</v>
      </c>
      <c r="F3553" s="5" t="s">
        <v>248</v>
      </c>
      <c r="G3553" s="5" t="s">
        <v>4843</v>
      </c>
      <c r="H3553" s="6" t="s">
        <v>4845</v>
      </c>
      <c r="I3553" s="8">
        <f>1</f>
        <v>1</v>
      </c>
      <c r="J3553" s="5" t="s">
        <v>499</v>
      </c>
      <c r="K3553" s="8">
        <f>1</f>
        <v>1</v>
      </c>
      <c r="L3553" s="6" t="s">
        <v>242</v>
      </c>
      <c r="M3553" s="5" t="s">
        <v>267</v>
      </c>
      <c r="N3553" s="5" t="s">
        <v>482</v>
      </c>
      <c r="O3553" s="5" t="s">
        <v>238</v>
      </c>
      <c r="P3553" s="5" t="s">
        <v>238</v>
      </c>
      <c r="Q3553" s="5" t="s">
        <v>239</v>
      </c>
      <c r="R3553" s="5" t="s">
        <v>270</v>
      </c>
      <c r="S3553" s="5" t="s">
        <v>238</v>
      </c>
      <c r="T3553" s="5" t="s">
        <v>238</v>
      </c>
      <c r="U3553" s="5" t="s">
        <v>238</v>
      </c>
      <c r="V3553" s="5" t="s">
        <v>238</v>
      </c>
      <c r="W3553" s="6" t="s">
        <v>238</v>
      </c>
      <c r="X3553" s="6" t="s">
        <v>238</v>
      </c>
      <c r="Y3553" s="5" t="s">
        <v>238</v>
      </c>
      <c r="Z3553" s="6" t="s">
        <v>238</v>
      </c>
      <c r="AA3553" s="6" t="s">
        <v>243</v>
      </c>
      <c r="AB3553" s="5" t="s">
        <v>4844</v>
      </c>
      <c r="AC3553" s="5" t="s">
        <v>244</v>
      </c>
      <c r="AD3553" s="5" t="s">
        <v>245</v>
      </c>
      <c r="AE3553" s="5" t="s">
        <v>238</v>
      </c>
      <c r="AF3553" s="5" t="s">
        <v>238</v>
      </c>
      <c r="AG3553" s="5" t="s">
        <v>238</v>
      </c>
      <c r="AH3553" s="5" t="s">
        <v>238</v>
      </c>
      <c r="AI3553" s="5" t="s">
        <v>238</v>
      </c>
      <c r="AJ3553" s="5" t="s">
        <v>238</v>
      </c>
      <c r="AK3553" s="5" t="s">
        <v>238</v>
      </c>
      <c r="AL3553" s="5" t="s">
        <v>238</v>
      </c>
      <c r="AM3553" s="6" t="s">
        <v>238</v>
      </c>
      <c r="AN3553" s="6" t="s">
        <v>238</v>
      </c>
      <c r="AO3553" s="6" t="s">
        <v>238</v>
      </c>
      <c r="AP3553" s="6" t="s">
        <v>238</v>
      </c>
      <c r="AQ3553" s="5" t="s">
        <v>238</v>
      </c>
      <c r="AR3553" s="5" t="s">
        <v>488</v>
      </c>
      <c r="AS3553" s="5" t="s">
        <v>488</v>
      </c>
      <c r="AT3553" s="5" t="s">
        <v>246</v>
      </c>
      <c r="AU3553" s="5" t="s">
        <v>489</v>
      </c>
      <c r="AV3553" s="5" t="s">
        <v>247</v>
      </c>
      <c r="AW3553" s="5" t="s">
        <v>238</v>
      </c>
      <c r="AX3553" s="5" t="s">
        <v>249</v>
      </c>
      <c r="AY3553" s="5" t="s">
        <v>490</v>
      </c>
      <c r="BA3553" s="5" t="s">
        <v>238</v>
      </c>
      <c r="BC3553" s="5" t="s">
        <v>491</v>
      </c>
      <c r="BD3553" s="6" t="s">
        <v>492</v>
      </c>
      <c r="BE3553" s="5" t="s">
        <v>493</v>
      </c>
      <c r="BF3553" s="5" t="s">
        <v>493</v>
      </c>
      <c r="BG3553" s="5" t="s">
        <v>238</v>
      </c>
      <c r="BH3553" s="8">
        <f>1</f>
        <v>1</v>
      </c>
      <c r="BI3553" s="8">
        <f>1</f>
        <v>1</v>
      </c>
      <c r="BJ3553" s="5" t="s">
        <v>253</v>
      </c>
      <c r="BK3553" s="5" t="s">
        <v>254</v>
      </c>
      <c r="BL3553" s="5" t="s">
        <v>238</v>
      </c>
      <c r="BM3553" s="5" t="s">
        <v>238</v>
      </c>
      <c r="BN3553" s="5" t="s">
        <v>238</v>
      </c>
      <c r="BO3553" s="5" t="s">
        <v>238</v>
      </c>
      <c r="BP3553" s="5" t="s">
        <v>238</v>
      </c>
      <c r="BQ3553" s="5" t="s">
        <v>238</v>
      </c>
      <c r="BR3553" s="5" t="s">
        <v>238</v>
      </c>
      <c r="BS3553" s="5" t="s">
        <v>238</v>
      </c>
      <c r="BT3553" s="6" t="s">
        <v>238</v>
      </c>
      <c r="BU3553" s="5" t="s">
        <v>238</v>
      </c>
      <c r="BV3553" s="5" t="s">
        <v>238</v>
      </c>
      <c r="BW3553" s="5" t="s">
        <v>238</v>
      </c>
      <c r="BX3553" s="5" t="s">
        <v>254</v>
      </c>
      <c r="BY3553" s="5" t="s">
        <v>238</v>
      </c>
      <c r="BZ3553" s="5" t="s">
        <v>238</v>
      </c>
      <c r="CA3553" s="5" t="s">
        <v>238</v>
      </c>
      <c r="CB3553" s="5" t="s">
        <v>238</v>
      </c>
      <c r="CC3553" s="5" t="s">
        <v>238</v>
      </c>
      <c r="CD3553" s="5" t="s">
        <v>273</v>
      </c>
      <c r="CE3553" s="5" t="s">
        <v>256</v>
      </c>
      <c r="CF3553" s="5" t="s">
        <v>238</v>
      </c>
      <c r="CH3553" s="5" t="s">
        <v>494</v>
      </c>
      <c r="CI3553" s="6" t="s">
        <v>257</v>
      </c>
      <c r="CJ3553" s="5" t="s">
        <v>495</v>
      </c>
      <c r="CK3553" s="5" t="s">
        <v>258</v>
      </c>
      <c r="CL3553" s="5" t="s">
        <v>496</v>
      </c>
      <c r="CM3553" s="5" t="s">
        <v>238</v>
      </c>
      <c r="CN3553" s="5">
        <v>0</v>
      </c>
      <c r="CO3553" s="5" t="s">
        <v>497</v>
      </c>
      <c r="CP3553" s="5" t="s">
        <v>260</v>
      </c>
      <c r="CQ3553" s="5" t="s">
        <v>260</v>
      </c>
      <c r="CR3553" s="5" t="s">
        <v>261</v>
      </c>
      <c r="CS3553" s="5" t="s">
        <v>498</v>
      </c>
      <c r="CT3553" s="7">
        <f>1</f>
        <v>1</v>
      </c>
      <c r="CU3553" s="8">
        <f>1</f>
        <v>1</v>
      </c>
      <c r="CV3553" s="8">
        <f>0</f>
        <v>0</v>
      </c>
      <c r="CX3553" s="8">
        <f>1</f>
        <v>1</v>
      </c>
      <c r="CY3553" s="8">
        <f>1</f>
        <v>1</v>
      </c>
      <c r="CZ3553" s="8" t="s">
        <v>238</v>
      </c>
      <c r="DA3553" s="5" t="s">
        <v>238</v>
      </c>
      <c r="DB3553" s="5" t="s">
        <v>238</v>
      </c>
      <c r="DC3553" s="5" t="s">
        <v>238</v>
      </c>
      <c r="DD3553" s="5" t="s">
        <v>238</v>
      </c>
      <c r="DE3553" s="8">
        <f>0</f>
        <v>0</v>
      </c>
      <c r="DG3553" s="5" t="s">
        <v>238</v>
      </c>
      <c r="DH3553" s="5" t="s">
        <v>238</v>
      </c>
      <c r="DI3553" s="5" t="s">
        <v>238</v>
      </c>
      <c r="DJ3553" s="5" t="s">
        <v>238</v>
      </c>
      <c r="DK3553" s="5" t="s">
        <v>238</v>
      </c>
      <c r="DL3553" s="5" t="s">
        <v>238</v>
      </c>
      <c r="DM3553" s="8" t="s">
        <v>238</v>
      </c>
      <c r="DN3553" s="5" t="s">
        <v>238</v>
      </c>
      <c r="DO3553" s="5" t="s">
        <v>238</v>
      </c>
      <c r="DP3553" s="5" t="s">
        <v>490</v>
      </c>
      <c r="DQ3553" s="5" t="s">
        <v>490</v>
      </c>
      <c r="DR3553" s="5" t="s">
        <v>238</v>
      </c>
      <c r="DS3553" s="5" t="s">
        <v>238</v>
      </c>
      <c r="DT3553" s="5" t="s">
        <v>500</v>
      </c>
      <c r="DU3553" s="5" t="s">
        <v>654</v>
      </c>
      <c r="DV3553" s="5" t="s">
        <v>238</v>
      </c>
      <c r="DW3553" s="5" t="s">
        <v>238</v>
      </c>
      <c r="DX3553" s="5" t="s">
        <v>238</v>
      </c>
      <c r="DY3553" s="5" t="s">
        <v>238</v>
      </c>
      <c r="DZ3553" s="5" t="s">
        <v>238</v>
      </c>
      <c r="EA3553" s="5" t="s">
        <v>238</v>
      </c>
      <c r="EB3553" s="5" t="s">
        <v>238</v>
      </c>
      <c r="EC3553" s="5" t="s">
        <v>238</v>
      </c>
      <c r="ED3553" s="5" t="s">
        <v>238</v>
      </c>
      <c r="EE3553" s="5" t="s">
        <v>238</v>
      </c>
      <c r="EF3553" s="5" t="s">
        <v>238</v>
      </c>
      <c r="EG3553" s="5" t="s">
        <v>238</v>
      </c>
      <c r="EH3553" s="5" t="s">
        <v>238</v>
      </c>
      <c r="EI3553" s="5" t="s">
        <v>238</v>
      </c>
      <c r="EJ3553" s="5" t="s">
        <v>238</v>
      </c>
      <c r="EK3553" s="5" t="s">
        <v>238</v>
      </c>
      <c r="EL3553" s="5" t="s">
        <v>238</v>
      </c>
      <c r="EM3553" s="5" t="s">
        <v>238</v>
      </c>
      <c r="EN3553" s="5" t="s">
        <v>238</v>
      </c>
      <c r="EO3553" s="5" t="s">
        <v>238</v>
      </c>
      <c r="EP3553" s="5" t="s">
        <v>238</v>
      </c>
      <c r="EQ3553" s="5" t="s">
        <v>238</v>
      </c>
      <c r="ER3553" s="5" t="s">
        <v>238</v>
      </c>
      <c r="ES3553" s="5" t="s">
        <v>238</v>
      </c>
      <c r="ET3553" s="5" t="s">
        <v>238</v>
      </c>
      <c r="EU3553" s="5" t="s">
        <v>238</v>
      </c>
      <c r="EV3553" s="5" t="s">
        <v>238</v>
      </c>
      <c r="EW3553" s="5" t="s">
        <v>238</v>
      </c>
      <c r="EX3553" s="5" t="s">
        <v>238</v>
      </c>
      <c r="EY3553" s="5" t="s">
        <v>238</v>
      </c>
      <c r="EZ3553" s="5" t="s">
        <v>238</v>
      </c>
      <c r="FA3553" s="5" t="s">
        <v>238</v>
      </c>
      <c r="FB3553" s="5" t="s">
        <v>238</v>
      </c>
      <c r="FC3553" s="5" t="s">
        <v>238</v>
      </c>
      <c r="FD3553" s="5" t="s">
        <v>238</v>
      </c>
      <c r="FE3553" s="5" t="s">
        <v>238</v>
      </c>
      <c r="FF3553" s="5" t="s">
        <v>238</v>
      </c>
      <c r="FG3553" s="5" t="s">
        <v>238</v>
      </c>
      <c r="FH3553" s="5" t="s">
        <v>238</v>
      </c>
      <c r="FI3553" s="5" t="s">
        <v>238</v>
      </c>
      <c r="FJ3553" s="5" t="s">
        <v>238</v>
      </c>
      <c r="FK3553" s="5" t="s">
        <v>238</v>
      </c>
      <c r="FL3553" s="5" t="s">
        <v>238</v>
      </c>
      <c r="FM3553" s="5" t="s">
        <v>238</v>
      </c>
      <c r="FN3553" s="5" t="s">
        <v>238</v>
      </c>
      <c r="FO3553" s="5" t="s">
        <v>238</v>
      </c>
      <c r="FP3553" s="5" t="s">
        <v>238</v>
      </c>
      <c r="FQ3553" s="5" t="s">
        <v>238</v>
      </c>
      <c r="FR3553" s="5" t="s">
        <v>238</v>
      </c>
      <c r="FS3553" s="5" t="s">
        <v>238</v>
      </c>
      <c r="FT3553" s="5" t="s">
        <v>238</v>
      </c>
      <c r="FU3553" s="5" t="s">
        <v>238</v>
      </c>
      <c r="FV3553" s="5" t="s">
        <v>238</v>
      </c>
      <c r="FW3553" s="5" t="s">
        <v>238</v>
      </c>
      <c r="FX3553" s="5" t="s">
        <v>238</v>
      </c>
      <c r="FY3553" s="5" t="s">
        <v>238</v>
      </c>
      <c r="FZ3553" s="5" t="s">
        <v>238</v>
      </c>
      <c r="GA3553" s="5" t="s">
        <v>238</v>
      </c>
      <c r="GB3553" s="5" t="s">
        <v>238</v>
      </c>
      <c r="GC3553" s="5" t="s">
        <v>238</v>
      </c>
      <c r="GD3553" s="5" t="s">
        <v>238</v>
      </c>
      <c r="GE3553" s="5" t="s">
        <v>238</v>
      </c>
      <c r="GF3553" s="5" t="s">
        <v>238</v>
      </c>
      <c r="GG3553" s="5" t="s">
        <v>238</v>
      </c>
      <c r="GH3553" s="5" t="s">
        <v>238</v>
      </c>
      <c r="GI3553" s="5" t="s">
        <v>238</v>
      </c>
      <c r="GJ3553" s="5" t="s">
        <v>238</v>
      </c>
      <c r="GK3553" s="5" t="s">
        <v>238</v>
      </c>
      <c r="GL3553" s="5" t="s">
        <v>238</v>
      </c>
      <c r="GM3553" s="5" t="s">
        <v>238</v>
      </c>
      <c r="GN3553" s="5" t="s">
        <v>238</v>
      </c>
      <c r="GO3553" s="5" t="s">
        <v>238</v>
      </c>
      <c r="GP3553" s="5" t="s">
        <v>238</v>
      </c>
      <c r="GQ3553" s="5" t="s">
        <v>238</v>
      </c>
      <c r="GR3553" s="5" t="s">
        <v>238</v>
      </c>
      <c r="GS3553" s="5" t="s">
        <v>238</v>
      </c>
      <c r="GT3553" s="5" t="s">
        <v>238</v>
      </c>
      <c r="GU3553" s="5" t="s">
        <v>238</v>
      </c>
      <c r="GV3553" s="5" t="s">
        <v>238</v>
      </c>
      <c r="GW3553" s="5" t="s">
        <v>238</v>
      </c>
      <c r="GX3553" s="5" t="s">
        <v>238</v>
      </c>
      <c r="GY3553" s="5" t="s">
        <v>238</v>
      </c>
      <c r="GZ3553" s="5" t="s">
        <v>238</v>
      </c>
      <c r="HA3553" s="5" t="s">
        <v>238</v>
      </c>
      <c r="HB3553" s="5" t="s">
        <v>238</v>
      </c>
      <c r="HC3553" s="5" t="s">
        <v>238</v>
      </c>
      <c r="HD3553" s="5" t="s">
        <v>238</v>
      </c>
      <c r="HE3553" s="5" t="s">
        <v>238</v>
      </c>
      <c r="HF3553" s="5" t="s">
        <v>238</v>
      </c>
      <c r="HG3553" s="5" t="s">
        <v>238</v>
      </c>
      <c r="HH3553" s="5" t="s">
        <v>238</v>
      </c>
      <c r="HI3553" s="5" t="s">
        <v>238</v>
      </c>
      <c r="HJ3553" s="5" t="s">
        <v>238</v>
      </c>
      <c r="HK3553" s="5" t="s">
        <v>238</v>
      </c>
      <c r="HL3553" s="5" t="s">
        <v>238</v>
      </c>
      <c r="HM3553" s="5" t="s">
        <v>264</v>
      </c>
      <c r="HN3553" s="5" t="s">
        <v>238</v>
      </c>
      <c r="HO3553" s="5" t="s">
        <v>238</v>
      </c>
      <c r="HP3553" s="5" t="s">
        <v>238</v>
      </c>
      <c r="HQ3553" s="5" t="s">
        <v>238</v>
      </c>
      <c r="HR3553" s="5" t="s">
        <v>238</v>
      </c>
      <c r="HS3553" s="5" t="s">
        <v>238</v>
      </c>
      <c r="HT3553" s="5" t="s">
        <v>238</v>
      </c>
      <c r="HU3553" s="5" t="s">
        <v>238</v>
      </c>
      <c r="HV3553" s="5" t="s">
        <v>238</v>
      </c>
      <c r="HW3553" s="5" t="s">
        <v>238</v>
      </c>
      <c r="HX3553" s="5" t="s">
        <v>238</v>
      </c>
      <c r="HY3553" s="5" t="s">
        <v>238</v>
      </c>
      <c r="HZ3553" s="5" t="s">
        <v>238</v>
      </c>
      <c r="IA3553" s="5" t="s">
        <v>238</v>
      </c>
      <c r="IB3553" s="5" t="s">
        <v>238</v>
      </c>
      <c r="IC3553" s="5" t="s">
        <v>238</v>
      </c>
      <c r="ID3553" s="5" t="s">
        <v>238</v>
      </c>
    </row>
    <row r="3554" spans="1:238" x14ac:dyDescent="0.4">
      <c r="A3554" s="5">
        <v>9272</v>
      </c>
      <c r="B3554" s="5">
        <v>1</v>
      </c>
      <c r="C3554" s="5">
        <v>1</v>
      </c>
      <c r="D3554" s="5" t="s">
        <v>484</v>
      </c>
      <c r="E3554" s="5" t="s">
        <v>485</v>
      </c>
      <c r="F3554" s="5" t="s">
        <v>248</v>
      </c>
      <c r="G3554" s="5" t="s">
        <v>6425</v>
      </c>
      <c r="H3554" s="6" t="s">
        <v>6426</v>
      </c>
      <c r="I3554" s="8">
        <f>1</f>
        <v>1</v>
      </c>
      <c r="J3554" s="5" t="s">
        <v>499</v>
      </c>
      <c r="K3554" s="8">
        <f>1</f>
        <v>1</v>
      </c>
      <c r="L3554" s="6" t="s">
        <v>242</v>
      </c>
      <c r="M3554" s="5" t="s">
        <v>267</v>
      </c>
      <c r="N3554" s="5" t="s">
        <v>482</v>
      </c>
      <c r="O3554" s="5" t="s">
        <v>238</v>
      </c>
      <c r="P3554" s="5" t="s">
        <v>238</v>
      </c>
      <c r="Q3554" s="5" t="s">
        <v>239</v>
      </c>
      <c r="R3554" s="5" t="s">
        <v>270</v>
      </c>
      <c r="S3554" s="5" t="s">
        <v>238</v>
      </c>
      <c r="T3554" s="5" t="s">
        <v>238</v>
      </c>
      <c r="U3554" s="5" t="s">
        <v>238</v>
      </c>
      <c r="V3554" s="5" t="s">
        <v>238</v>
      </c>
      <c r="W3554" s="6" t="s">
        <v>238</v>
      </c>
      <c r="X3554" s="6" t="s">
        <v>238</v>
      </c>
      <c r="Y3554" s="5" t="s">
        <v>238</v>
      </c>
      <c r="Z3554" s="6" t="s">
        <v>238</v>
      </c>
      <c r="AA3554" s="6" t="s">
        <v>243</v>
      </c>
      <c r="AB3554" s="5" t="s">
        <v>486</v>
      </c>
      <c r="AC3554" s="5" t="s">
        <v>244</v>
      </c>
      <c r="AD3554" s="5" t="s">
        <v>245</v>
      </c>
      <c r="AE3554" s="5" t="s">
        <v>238</v>
      </c>
      <c r="AF3554" s="5" t="s">
        <v>238</v>
      </c>
      <c r="AG3554" s="5" t="s">
        <v>238</v>
      </c>
      <c r="AH3554" s="5" t="s">
        <v>238</v>
      </c>
      <c r="AI3554" s="5" t="s">
        <v>238</v>
      </c>
      <c r="AJ3554" s="5" t="s">
        <v>238</v>
      </c>
      <c r="AK3554" s="5" t="s">
        <v>238</v>
      </c>
      <c r="AL3554" s="5" t="s">
        <v>238</v>
      </c>
      <c r="AM3554" s="6" t="s">
        <v>238</v>
      </c>
      <c r="AN3554" s="6" t="s">
        <v>238</v>
      </c>
      <c r="AO3554" s="6" t="s">
        <v>238</v>
      </c>
      <c r="AP3554" s="6" t="s">
        <v>238</v>
      </c>
      <c r="AQ3554" s="5" t="s">
        <v>238</v>
      </c>
      <c r="AR3554" s="5" t="s">
        <v>488</v>
      </c>
      <c r="AS3554" s="5" t="s">
        <v>488</v>
      </c>
      <c r="AT3554" s="5" t="s">
        <v>246</v>
      </c>
      <c r="AU3554" s="5" t="s">
        <v>489</v>
      </c>
      <c r="AV3554" s="5" t="s">
        <v>247</v>
      </c>
      <c r="AW3554" s="5" t="s">
        <v>238</v>
      </c>
      <c r="AX3554" s="5" t="s">
        <v>249</v>
      </c>
      <c r="AY3554" s="5" t="s">
        <v>490</v>
      </c>
      <c r="BA3554" s="5" t="s">
        <v>238</v>
      </c>
      <c r="BC3554" s="5" t="s">
        <v>491</v>
      </c>
      <c r="BD3554" s="6" t="s">
        <v>492</v>
      </c>
      <c r="BE3554" s="5" t="s">
        <v>493</v>
      </c>
      <c r="BF3554" s="5" t="s">
        <v>493</v>
      </c>
      <c r="BG3554" s="5" t="s">
        <v>238</v>
      </c>
      <c r="BH3554" s="8">
        <f>1</f>
        <v>1</v>
      </c>
      <c r="BI3554" s="8">
        <f>1</f>
        <v>1</v>
      </c>
      <c r="BJ3554" s="5" t="s">
        <v>253</v>
      </c>
      <c r="BK3554" s="5" t="s">
        <v>254</v>
      </c>
      <c r="BL3554" s="5" t="s">
        <v>238</v>
      </c>
      <c r="BM3554" s="5" t="s">
        <v>238</v>
      </c>
      <c r="BN3554" s="5" t="s">
        <v>238</v>
      </c>
      <c r="BO3554" s="5" t="s">
        <v>238</v>
      </c>
      <c r="BP3554" s="5" t="s">
        <v>238</v>
      </c>
      <c r="BQ3554" s="5" t="s">
        <v>238</v>
      </c>
      <c r="BR3554" s="5" t="s">
        <v>238</v>
      </c>
      <c r="BS3554" s="5" t="s">
        <v>238</v>
      </c>
      <c r="BT3554" s="6" t="s">
        <v>238</v>
      </c>
      <c r="BU3554" s="5" t="s">
        <v>238</v>
      </c>
      <c r="BV3554" s="5" t="s">
        <v>238</v>
      </c>
      <c r="BW3554" s="5" t="s">
        <v>238</v>
      </c>
      <c r="BX3554" s="5" t="s">
        <v>254</v>
      </c>
      <c r="BY3554" s="5" t="s">
        <v>238</v>
      </c>
      <c r="BZ3554" s="5" t="s">
        <v>238</v>
      </c>
      <c r="CA3554" s="5" t="s">
        <v>238</v>
      </c>
      <c r="CB3554" s="5" t="s">
        <v>238</v>
      </c>
      <c r="CC3554" s="5" t="s">
        <v>238</v>
      </c>
      <c r="CD3554" s="5" t="s">
        <v>273</v>
      </c>
      <c r="CE3554" s="5" t="s">
        <v>256</v>
      </c>
      <c r="CF3554" s="5" t="s">
        <v>238</v>
      </c>
      <c r="CH3554" s="5" t="s">
        <v>494</v>
      </c>
      <c r="CI3554" s="6" t="s">
        <v>257</v>
      </c>
      <c r="CJ3554" s="5" t="s">
        <v>495</v>
      </c>
      <c r="CK3554" s="5" t="s">
        <v>258</v>
      </c>
      <c r="CL3554" s="5" t="s">
        <v>496</v>
      </c>
      <c r="CM3554" s="5" t="s">
        <v>238</v>
      </c>
      <c r="CN3554" s="5">
        <v>0</v>
      </c>
      <c r="CO3554" s="5" t="s">
        <v>497</v>
      </c>
      <c r="CP3554" s="5" t="s">
        <v>260</v>
      </c>
      <c r="CQ3554" s="5" t="s">
        <v>260</v>
      </c>
      <c r="CR3554" s="5" t="s">
        <v>261</v>
      </c>
      <c r="CS3554" s="5" t="s">
        <v>498</v>
      </c>
      <c r="CT3554" s="7">
        <f>1</f>
        <v>1</v>
      </c>
      <c r="CU3554" s="8">
        <f>1</f>
        <v>1</v>
      </c>
      <c r="CV3554" s="8">
        <f>0</f>
        <v>0</v>
      </c>
      <c r="CX3554" s="8">
        <f>1</f>
        <v>1</v>
      </c>
      <c r="CY3554" s="8">
        <f>1</f>
        <v>1</v>
      </c>
      <c r="CZ3554" s="8" t="s">
        <v>238</v>
      </c>
      <c r="DA3554" s="5" t="s">
        <v>238</v>
      </c>
      <c r="DB3554" s="5" t="s">
        <v>238</v>
      </c>
      <c r="DC3554" s="5" t="s">
        <v>238</v>
      </c>
      <c r="DD3554" s="5" t="s">
        <v>238</v>
      </c>
      <c r="DE3554" s="8">
        <f>0</f>
        <v>0</v>
      </c>
      <c r="DG3554" s="5" t="s">
        <v>238</v>
      </c>
      <c r="DH3554" s="5" t="s">
        <v>238</v>
      </c>
      <c r="DI3554" s="5" t="s">
        <v>238</v>
      </c>
      <c r="DJ3554" s="5" t="s">
        <v>238</v>
      </c>
      <c r="DK3554" s="5" t="s">
        <v>238</v>
      </c>
      <c r="DL3554" s="5" t="s">
        <v>238</v>
      </c>
      <c r="DM3554" s="8" t="s">
        <v>238</v>
      </c>
      <c r="DN3554" s="5" t="s">
        <v>238</v>
      </c>
      <c r="DO3554" s="5" t="s">
        <v>238</v>
      </c>
      <c r="DP3554" s="5" t="s">
        <v>490</v>
      </c>
      <c r="DQ3554" s="5" t="s">
        <v>490</v>
      </c>
      <c r="DR3554" s="5" t="s">
        <v>238</v>
      </c>
      <c r="DS3554" s="5" t="s">
        <v>238</v>
      </c>
      <c r="DT3554" s="5" t="s">
        <v>500</v>
      </c>
      <c r="DU3554" s="5" t="s">
        <v>1116</v>
      </c>
      <c r="DV3554" s="5" t="s">
        <v>238</v>
      </c>
      <c r="DW3554" s="5" t="s">
        <v>238</v>
      </c>
      <c r="DX3554" s="5" t="s">
        <v>238</v>
      </c>
      <c r="DY3554" s="5" t="s">
        <v>238</v>
      </c>
      <c r="DZ3554" s="5" t="s">
        <v>238</v>
      </c>
      <c r="EA3554" s="5" t="s">
        <v>238</v>
      </c>
      <c r="EB3554" s="5" t="s">
        <v>238</v>
      </c>
      <c r="EC3554" s="5" t="s">
        <v>238</v>
      </c>
      <c r="ED3554" s="5" t="s">
        <v>238</v>
      </c>
      <c r="EE3554" s="5" t="s">
        <v>238</v>
      </c>
      <c r="EF3554" s="5" t="s">
        <v>238</v>
      </c>
      <c r="EG3554" s="5" t="s">
        <v>238</v>
      </c>
      <c r="EH3554" s="5" t="s">
        <v>238</v>
      </c>
      <c r="EI3554" s="5" t="s">
        <v>238</v>
      </c>
      <c r="EJ3554" s="5" t="s">
        <v>238</v>
      </c>
      <c r="EK3554" s="5" t="s">
        <v>238</v>
      </c>
      <c r="EL3554" s="5" t="s">
        <v>238</v>
      </c>
      <c r="EM3554" s="5" t="s">
        <v>238</v>
      </c>
      <c r="EN3554" s="5" t="s">
        <v>238</v>
      </c>
      <c r="EO3554" s="5" t="s">
        <v>238</v>
      </c>
      <c r="EP3554" s="5" t="s">
        <v>238</v>
      </c>
      <c r="EQ3554" s="5" t="s">
        <v>238</v>
      </c>
      <c r="ER3554" s="5" t="s">
        <v>238</v>
      </c>
      <c r="ES3554" s="5" t="s">
        <v>238</v>
      </c>
      <c r="ET3554" s="5" t="s">
        <v>238</v>
      </c>
      <c r="EU3554" s="5" t="s">
        <v>238</v>
      </c>
      <c r="EV3554" s="5" t="s">
        <v>238</v>
      </c>
      <c r="EW3554" s="5" t="s">
        <v>238</v>
      </c>
      <c r="EX3554" s="5" t="s">
        <v>238</v>
      </c>
      <c r="EY3554" s="5" t="s">
        <v>238</v>
      </c>
      <c r="EZ3554" s="5" t="s">
        <v>238</v>
      </c>
      <c r="FA3554" s="5" t="s">
        <v>238</v>
      </c>
      <c r="FB3554" s="5" t="s">
        <v>238</v>
      </c>
      <c r="FC3554" s="5" t="s">
        <v>238</v>
      </c>
      <c r="FD3554" s="5" t="s">
        <v>238</v>
      </c>
      <c r="FE3554" s="5" t="s">
        <v>238</v>
      </c>
      <c r="FF3554" s="5" t="s">
        <v>238</v>
      </c>
      <c r="FG3554" s="5" t="s">
        <v>238</v>
      </c>
      <c r="FH3554" s="5" t="s">
        <v>238</v>
      </c>
      <c r="FI3554" s="5" t="s">
        <v>238</v>
      </c>
      <c r="FJ3554" s="5" t="s">
        <v>238</v>
      </c>
      <c r="FK3554" s="5" t="s">
        <v>238</v>
      </c>
      <c r="FL3554" s="5" t="s">
        <v>238</v>
      </c>
      <c r="FM3554" s="5" t="s">
        <v>238</v>
      </c>
      <c r="FN3554" s="5" t="s">
        <v>238</v>
      </c>
      <c r="FO3554" s="5" t="s">
        <v>238</v>
      </c>
      <c r="FP3554" s="5" t="s">
        <v>238</v>
      </c>
      <c r="FQ3554" s="5" t="s">
        <v>238</v>
      </c>
      <c r="FR3554" s="5" t="s">
        <v>238</v>
      </c>
      <c r="FS3554" s="5" t="s">
        <v>238</v>
      </c>
      <c r="FT3554" s="5" t="s">
        <v>238</v>
      </c>
      <c r="FU3554" s="5" t="s">
        <v>238</v>
      </c>
      <c r="FV3554" s="5" t="s">
        <v>238</v>
      </c>
      <c r="FW3554" s="5" t="s">
        <v>238</v>
      </c>
      <c r="FX3554" s="5" t="s">
        <v>238</v>
      </c>
      <c r="FY3554" s="5" t="s">
        <v>238</v>
      </c>
      <c r="FZ3554" s="5" t="s">
        <v>238</v>
      </c>
      <c r="GA3554" s="5" t="s">
        <v>238</v>
      </c>
      <c r="GB3554" s="5" t="s">
        <v>238</v>
      </c>
      <c r="GC3554" s="5" t="s">
        <v>238</v>
      </c>
      <c r="GD3554" s="5" t="s">
        <v>238</v>
      </c>
      <c r="GE3554" s="5" t="s">
        <v>238</v>
      </c>
      <c r="GF3554" s="5" t="s">
        <v>238</v>
      </c>
      <c r="GG3554" s="5" t="s">
        <v>238</v>
      </c>
      <c r="GH3554" s="5" t="s">
        <v>238</v>
      </c>
      <c r="GI3554" s="5" t="s">
        <v>238</v>
      </c>
      <c r="GJ3554" s="5" t="s">
        <v>238</v>
      </c>
      <c r="GK3554" s="5" t="s">
        <v>238</v>
      </c>
      <c r="GL3554" s="5" t="s">
        <v>238</v>
      </c>
      <c r="GM3554" s="5" t="s">
        <v>238</v>
      </c>
      <c r="GN3554" s="5" t="s">
        <v>238</v>
      </c>
      <c r="GO3554" s="5" t="s">
        <v>238</v>
      </c>
      <c r="GP3554" s="5" t="s">
        <v>238</v>
      </c>
      <c r="GQ3554" s="5" t="s">
        <v>238</v>
      </c>
      <c r="GR3554" s="5" t="s">
        <v>238</v>
      </c>
      <c r="GS3554" s="5" t="s">
        <v>238</v>
      </c>
      <c r="GT3554" s="5" t="s">
        <v>238</v>
      </c>
      <c r="GU3554" s="5" t="s">
        <v>238</v>
      </c>
      <c r="GV3554" s="5" t="s">
        <v>238</v>
      </c>
      <c r="GW3554" s="5" t="s">
        <v>238</v>
      </c>
      <c r="GX3554" s="5" t="s">
        <v>238</v>
      </c>
      <c r="GY3554" s="5" t="s">
        <v>238</v>
      </c>
      <c r="GZ3554" s="5" t="s">
        <v>238</v>
      </c>
      <c r="HA3554" s="5" t="s">
        <v>238</v>
      </c>
      <c r="HB3554" s="5" t="s">
        <v>238</v>
      </c>
      <c r="HC3554" s="5" t="s">
        <v>238</v>
      </c>
      <c r="HD3554" s="5" t="s">
        <v>238</v>
      </c>
      <c r="HE3554" s="5" t="s">
        <v>238</v>
      </c>
      <c r="HF3554" s="5" t="s">
        <v>238</v>
      </c>
      <c r="HG3554" s="5" t="s">
        <v>238</v>
      </c>
      <c r="HH3554" s="5" t="s">
        <v>238</v>
      </c>
      <c r="HI3554" s="5" t="s">
        <v>238</v>
      </c>
      <c r="HJ3554" s="5" t="s">
        <v>238</v>
      </c>
      <c r="HK3554" s="5" t="s">
        <v>238</v>
      </c>
      <c r="HL3554" s="5" t="s">
        <v>238</v>
      </c>
      <c r="HM3554" s="5" t="s">
        <v>264</v>
      </c>
      <c r="HN3554" s="5" t="s">
        <v>238</v>
      </c>
      <c r="HO3554" s="5" t="s">
        <v>238</v>
      </c>
      <c r="HP3554" s="5" t="s">
        <v>238</v>
      </c>
      <c r="HQ3554" s="5" t="s">
        <v>238</v>
      </c>
      <c r="HR3554" s="5" t="s">
        <v>238</v>
      </c>
      <c r="HS3554" s="5" t="s">
        <v>238</v>
      </c>
      <c r="HT3554" s="5" t="s">
        <v>238</v>
      </c>
      <c r="HU3554" s="5" t="s">
        <v>238</v>
      </c>
      <c r="HV3554" s="5" t="s">
        <v>238</v>
      </c>
      <c r="HW3554" s="5" t="s">
        <v>238</v>
      </c>
      <c r="HX3554" s="5" t="s">
        <v>238</v>
      </c>
      <c r="HY3554" s="5" t="s">
        <v>238</v>
      </c>
      <c r="HZ3554" s="5" t="s">
        <v>238</v>
      </c>
      <c r="IA3554" s="5" t="s">
        <v>238</v>
      </c>
      <c r="IB3554" s="5" t="s">
        <v>238</v>
      </c>
      <c r="IC3554" s="5" t="s">
        <v>238</v>
      </c>
      <c r="ID3554" s="5" t="s">
        <v>238</v>
      </c>
    </row>
    <row r="3555" spans="1:238" x14ac:dyDescent="0.4">
      <c r="A3555" s="5">
        <v>9273</v>
      </c>
      <c r="B3555" s="5">
        <v>1</v>
      </c>
      <c r="C3555" s="5">
        <v>1</v>
      </c>
      <c r="D3555" s="5" t="s">
        <v>484</v>
      </c>
      <c r="E3555" s="5" t="s">
        <v>485</v>
      </c>
      <c r="F3555" s="5" t="s">
        <v>248</v>
      </c>
      <c r="G3555" s="5" t="s">
        <v>6405</v>
      </c>
      <c r="H3555" s="6" t="s">
        <v>6407</v>
      </c>
      <c r="I3555" s="8">
        <f>1</f>
        <v>1</v>
      </c>
      <c r="J3555" s="5" t="s">
        <v>499</v>
      </c>
      <c r="K3555" s="8">
        <f>1</f>
        <v>1</v>
      </c>
      <c r="L3555" s="6" t="s">
        <v>242</v>
      </c>
      <c r="M3555" s="5" t="s">
        <v>267</v>
      </c>
      <c r="N3555" s="5" t="s">
        <v>482</v>
      </c>
      <c r="O3555" s="5" t="s">
        <v>238</v>
      </c>
      <c r="P3555" s="5" t="s">
        <v>238</v>
      </c>
      <c r="Q3555" s="5" t="s">
        <v>239</v>
      </c>
      <c r="R3555" s="5" t="s">
        <v>270</v>
      </c>
      <c r="S3555" s="5" t="s">
        <v>238</v>
      </c>
      <c r="T3555" s="5" t="s">
        <v>238</v>
      </c>
      <c r="U3555" s="5" t="s">
        <v>238</v>
      </c>
      <c r="V3555" s="5" t="s">
        <v>238</v>
      </c>
      <c r="W3555" s="6" t="s">
        <v>238</v>
      </c>
      <c r="X3555" s="6" t="s">
        <v>238</v>
      </c>
      <c r="Y3555" s="5" t="s">
        <v>238</v>
      </c>
      <c r="Z3555" s="6" t="s">
        <v>238</v>
      </c>
      <c r="AA3555" s="6" t="s">
        <v>243</v>
      </c>
      <c r="AB3555" s="5" t="s">
        <v>6406</v>
      </c>
      <c r="AC3555" s="5" t="s">
        <v>244</v>
      </c>
      <c r="AD3555" s="5" t="s">
        <v>245</v>
      </c>
      <c r="AE3555" s="5" t="s">
        <v>238</v>
      </c>
      <c r="AF3555" s="5" t="s">
        <v>238</v>
      </c>
      <c r="AG3555" s="5" t="s">
        <v>238</v>
      </c>
      <c r="AH3555" s="5" t="s">
        <v>238</v>
      </c>
      <c r="AI3555" s="5" t="s">
        <v>238</v>
      </c>
      <c r="AJ3555" s="5" t="s">
        <v>238</v>
      </c>
      <c r="AK3555" s="5" t="s">
        <v>238</v>
      </c>
      <c r="AL3555" s="5" t="s">
        <v>238</v>
      </c>
      <c r="AM3555" s="6" t="s">
        <v>238</v>
      </c>
      <c r="AN3555" s="6" t="s">
        <v>238</v>
      </c>
      <c r="AO3555" s="6" t="s">
        <v>238</v>
      </c>
      <c r="AP3555" s="6" t="s">
        <v>238</v>
      </c>
      <c r="AQ3555" s="5" t="s">
        <v>238</v>
      </c>
      <c r="AR3555" s="5" t="s">
        <v>488</v>
      </c>
      <c r="AS3555" s="5" t="s">
        <v>488</v>
      </c>
      <c r="AT3555" s="5" t="s">
        <v>246</v>
      </c>
      <c r="AU3555" s="5" t="s">
        <v>489</v>
      </c>
      <c r="AV3555" s="5" t="s">
        <v>247</v>
      </c>
      <c r="AW3555" s="5" t="s">
        <v>238</v>
      </c>
      <c r="AX3555" s="5" t="s">
        <v>249</v>
      </c>
      <c r="AY3555" s="5" t="s">
        <v>490</v>
      </c>
      <c r="BA3555" s="5" t="s">
        <v>238</v>
      </c>
      <c r="BC3555" s="5" t="s">
        <v>491</v>
      </c>
      <c r="BD3555" s="6" t="s">
        <v>492</v>
      </c>
      <c r="BE3555" s="5" t="s">
        <v>493</v>
      </c>
      <c r="BF3555" s="5" t="s">
        <v>493</v>
      </c>
      <c r="BG3555" s="5" t="s">
        <v>238</v>
      </c>
      <c r="BH3555" s="8">
        <f>1</f>
        <v>1</v>
      </c>
      <c r="BI3555" s="8">
        <f>1</f>
        <v>1</v>
      </c>
      <c r="BJ3555" s="5" t="s">
        <v>253</v>
      </c>
      <c r="BK3555" s="5" t="s">
        <v>254</v>
      </c>
      <c r="BL3555" s="5" t="s">
        <v>238</v>
      </c>
      <c r="BM3555" s="5" t="s">
        <v>238</v>
      </c>
      <c r="BN3555" s="5" t="s">
        <v>238</v>
      </c>
      <c r="BO3555" s="5" t="s">
        <v>238</v>
      </c>
      <c r="BP3555" s="5" t="s">
        <v>238</v>
      </c>
      <c r="BQ3555" s="5" t="s">
        <v>238</v>
      </c>
      <c r="BR3555" s="5" t="s">
        <v>238</v>
      </c>
      <c r="BS3555" s="5" t="s">
        <v>238</v>
      </c>
      <c r="BT3555" s="6" t="s">
        <v>238</v>
      </c>
      <c r="BU3555" s="5" t="s">
        <v>238</v>
      </c>
      <c r="BV3555" s="5" t="s">
        <v>238</v>
      </c>
      <c r="BW3555" s="5" t="s">
        <v>238</v>
      </c>
      <c r="BX3555" s="5" t="s">
        <v>254</v>
      </c>
      <c r="BY3555" s="5" t="s">
        <v>238</v>
      </c>
      <c r="BZ3555" s="5" t="s">
        <v>238</v>
      </c>
      <c r="CA3555" s="5" t="s">
        <v>238</v>
      </c>
      <c r="CB3555" s="5" t="s">
        <v>238</v>
      </c>
      <c r="CC3555" s="5" t="s">
        <v>238</v>
      </c>
      <c r="CD3555" s="5" t="s">
        <v>273</v>
      </c>
      <c r="CE3555" s="5" t="s">
        <v>256</v>
      </c>
      <c r="CF3555" s="5" t="s">
        <v>238</v>
      </c>
      <c r="CH3555" s="5" t="s">
        <v>494</v>
      </c>
      <c r="CI3555" s="6" t="s">
        <v>257</v>
      </c>
      <c r="CJ3555" s="5" t="s">
        <v>495</v>
      </c>
      <c r="CK3555" s="5" t="s">
        <v>258</v>
      </c>
      <c r="CL3555" s="5" t="s">
        <v>496</v>
      </c>
      <c r="CM3555" s="5" t="s">
        <v>238</v>
      </c>
      <c r="CN3555" s="5">
        <v>0</v>
      </c>
      <c r="CO3555" s="5" t="s">
        <v>497</v>
      </c>
      <c r="CP3555" s="5" t="s">
        <v>260</v>
      </c>
      <c r="CQ3555" s="5" t="s">
        <v>260</v>
      </c>
      <c r="CR3555" s="5" t="s">
        <v>261</v>
      </c>
      <c r="CS3555" s="5" t="s">
        <v>498</v>
      </c>
      <c r="CT3555" s="7">
        <f>1</f>
        <v>1</v>
      </c>
      <c r="CU3555" s="8">
        <f>1</f>
        <v>1</v>
      </c>
      <c r="CV3555" s="8">
        <f>0</f>
        <v>0</v>
      </c>
      <c r="CX3555" s="8">
        <f>1</f>
        <v>1</v>
      </c>
      <c r="CY3555" s="8">
        <f>1</f>
        <v>1</v>
      </c>
      <c r="CZ3555" s="8" t="s">
        <v>238</v>
      </c>
      <c r="DA3555" s="5" t="s">
        <v>238</v>
      </c>
      <c r="DB3555" s="5" t="s">
        <v>238</v>
      </c>
      <c r="DC3555" s="5" t="s">
        <v>238</v>
      </c>
      <c r="DD3555" s="5" t="s">
        <v>238</v>
      </c>
      <c r="DE3555" s="8">
        <f>0</f>
        <v>0</v>
      </c>
      <c r="DG3555" s="5" t="s">
        <v>238</v>
      </c>
      <c r="DH3555" s="5" t="s">
        <v>238</v>
      </c>
      <c r="DI3555" s="5" t="s">
        <v>238</v>
      </c>
      <c r="DJ3555" s="5" t="s">
        <v>238</v>
      </c>
      <c r="DK3555" s="5" t="s">
        <v>238</v>
      </c>
      <c r="DL3555" s="5" t="s">
        <v>238</v>
      </c>
      <c r="DM3555" s="8" t="s">
        <v>238</v>
      </c>
      <c r="DN3555" s="5" t="s">
        <v>238</v>
      </c>
      <c r="DO3555" s="5" t="s">
        <v>238</v>
      </c>
      <c r="DP3555" s="5" t="s">
        <v>490</v>
      </c>
      <c r="DQ3555" s="5" t="s">
        <v>490</v>
      </c>
      <c r="DR3555" s="5" t="s">
        <v>238</v>
      </c>
      <c r="DS3555" s="5" t="s">
        <v>238</v>
      </c>
      <c r="DT3555" s="5" t="s">
        <v>500</v>
      </c>
      <c r="DU3555" s="5" t="s">
        <v>638</v>
      </c>
      <c r="DV3555" s="5" t="s">
        <v>238</v>
      </c>
      <c r="DW3555" s="5" t="s">
        <v>238</v>
      </c>
      <c r="DX3555" s="5" t="s">
        <v>238</v>
      </c>
      <c r="DY3555" s="5" t="s">
        <v>238</v>
      </c>
      <c r="DZ3555" s="5" t="s">
        <v>238</v>
      </c>
      <c r="EA3555" s="5" t="s">
        <v>238</v>
      </c>
      <c r="EB3555" s="5" t="s">
        <v>238</v>
      </c>
      <c r="EC3555" s="5" t="s">
        <v>238</v>
      </c>
      <c r="ED3555" s="5" t="s">
        <v>238</v>
      </c>
      <c r="EE3555" s="5" t="s">
        <v>238</v>
      </c>
      <c r="EF3555" s="5" t="s">
        <v>238</v>
      </c>
      <c r="EG3555" s="5" t="s">
        <v>238</v>
      </c>
      <c r="EH3555" s="5" t="s">
        <v>238</v>
      </c>
      <c r="EI3555" s="5" t="s">
        <v>238</v>
      </c>
      <c r="EJ3555" s="5" t="s">
        <v>238</v>
      </c>
      <c r="EK3555" s="5" t="s">
        <v>238</v>
      </c>
      <c r="EL3555" s="5" t="s">
        <v>238</v>
      </c>
      <c r="EM3555" s="5" t="s">
        <v>238</v>
      </c>
      <c r="EN3555" s="5" t="s">
        <v>238</v>
      </c>
      <c r="EO3555" s="5" t="s">
        <v>238</v>
      </c>
      <c r="EP3555" s="5" t="s">
        <v>238</v>
      </c>
      <c r="EQ3555" s="5" t="s">
        <v>238</v>
      </c>
      <c r="ER3555" s="5" t="s">
        <v>238</v>
      </c>
      <c r="ES3555" s="5" t="s">
        <v>238</v>
      </c>
      <c r="ET3555" s="5" t="s">
        <v>238</v>
      </c>
      <c r="EU3555" s="5" t="s">
        <v>238</v>
      </c>
      <c r="EV3555" s="5" t="s">
        <v>238</v>
      </c>
      <c r="EW3555" s="5" t="s">
        <v>238</v>
      </c>
      <c r="EX3555" s="5" t="s">
        <v>238</v>
      </c>
      <c r="EY3555" s="5" t="s">
        <v>238</v>
      </c>
      <c r="EZ3555" s="5" t="s">
        <v>238</v>
      </c>
      <c r="FA3555" s="5" t="s">
        <v>238</v>
      </c>
      <c r="FB3555" s="5" t="s">
        <v>238</v>
      </c>
      <c r="FC3555" s="5" t="s">
        <v>238</v>
      </c>
      <c r="FD3555" s="5" t="s">
        <v>238</v>
      </c>
      <c r="FE3555" s="5" t="s">
        <v>238</v>
      </c>
      <c r="FF3555" s="5" t="s">
        <v>238</v>
      </c>
      <c r="FG3555" s="5" t="s">
        <v>238</v>
      </c>
      <c r="FH3555" s="5" t="s">
        <v>238</v>
      </c>
      <c r="FI3555" s="5" t="s">
        <v>238</v>
      </c>
      <c r="FJ3555" s="5" t="s">
        <v>238</v>
      </c>
      <c r="FK3555" s="5" t="s">
        <v>238</v>
      </c>
      <c r="FL3555" s="5" t="s">
        <v>238</v>
      </c>
      <c r="FM3555" s="5" t="s">
        <v>238</v>
      </c>
      <c r="FN3555" s="5" t="s">
        <v>238</v>
      </c>
      <c r="FO3555" s="5" t="s">
        <v>238</v>
      </c>
      <c r="FP3555" s="5" t="s">
        <v>238</v>
      </c>
      <c r="FQ3555" s="5" t="s">
        <v>238</v>
      </c>
      <c r="FR3555" s="5" t="s">
        <v>238</v>
      </c>
      <c r="FS3555" s="5" t="s">
        <v>238</v>
      </c>
      <c r="FT3555" s="5" t="s">
        <v>238</v>
      </c>
      <c r="FU3555" s="5" t="s">
        <v>238</v>
      </c>
      <c r="FV3555" s="5" t="s">
        <v>238</v>
      </c>
      <c r="FW3555" s="5" t="s">
        <v>238</v>
      </c>
      <c r="FX3555" s="5" t="s">
        <v>238</v>
      </c>
      <c r="FY3555" s="5" t="s">
        <v>238</v>
      </c>
      <c r="FZ3555" s="5" t="s">
        <v>238</v>
      </c>
      <c r="GA3555" s="5" t="s">
        <v>238</v>
      </c>
      <c r="GB3555" s="5" t="s">
        <v>238</v>
      </c>
      <c r="GC3555" s="5" t="s">
        <v>238</v>
      </c>
      <c r="GD3555" s="5" t="s">
        <v>238</v>
      </c>
      <c r="GE3555" s="5" t="s">
        <v>238</v>
      </c>
      <c r="GF3555" s="5" t="s">
        <v>238</v>
      </c>
      <c r="GG3555" s="5" t="s">
        <v>238</v>
      </c>
      <c r="GH3555" s="5" t="s">
        <v>238</v>
      </c>
      <c r="GI3555" s="5" t="s">
        <v>238</v>
      </c>
      <c r="GJ3555" s="5" t="s">
        <v>238</v>
      </c>
      <c r="GK3555" s="5" t="s">
        <v>238</v>
      </c>
      <c r="GL3555" s="5" t="s">
        <v>238</v>
      </c>
      <c r="GM3555" s="5" t="s">
        <v>238</v>
      </c>
      <c r="GN3555" s="5" t="s">
        <v>238</v>
      </c>
      <c r="GO3555" s="5" t="s">
        <v>238</v>
      </c>
      <c r="GP3555" s="5" t="s">
        <v>238</v>
      </c>
      <c r="GQ3555" s="5" t="s">
        <v>238</v>
      </c>
      <c r="GR3555" s="5" t="s">
        <v>238</v>
      </c>
      <c r="GS3555" s="5" t="s">
        <v>238</v>
      </c>
      <c r="GT3555" s="5" t="s">
        <v>238</v>
      </c>
      <c r="GU3555" s="5" t="s">
        <v>238</v>
      </c>
      <c r="GV3555" s="5" t="s">
        <v>238</v>
      </c>
      <c r="GW3555" s="5" t="s">
        <v>238</v>
      </c>
      <c r="GX3555" s="5" t="s">
        <v>238</v>
      </c>
      <c r="GY3555" s="5" t="s">
        <v>238</v>
      </c>
      <c r="GZ3555" s="5" t="s">
        <v>238</v>
      </c>
      <c r="HA3555" s="5" t="s">
        <v>238</v>
      </c>
      <c r="HB3555" s="5" t="s">
        <v>238</v>
      </c>
      <c r="HC3555" s="5" t="s">
        <v>238</v>
      </c>
      <c r="HD3555" s="5" t="s">
        <v>238</v>
      </c>
      <c r="HE3555" s="5" t="s">
        <v>238</v>
      </c>
      <c r="HF3555" s="5" t="s">
        <v>238</v>
      </c>
      <c r="HG3555" s="5" t="s">
        <v>238</v>
      </c>
      <c r="HH3555" s="5" t="s">
        <v>238</v>
      </c>
      <c r="HI3555" s="5" t="s">
        <v>238</v>
      </c>
      <c r="HJ3555" s="5" t="s">
        <v>238</v>
      </c>
      <c r="HK3555" s="5" t="s">
        <v>238</v>
      </c>
      <c r="HL3555" s="5" t="s">
        <v>238</v>
      </c>
      <c r="HM3555" s="5" t="s">
        <v>264</v>
      </c>
      <c r="HN3555" s="5" t="s">
        <v>238</v>
      </c>
      <c r="HO3555" s="5" t="s">
        <v>238</v>
      </c>
      <c r="HP3555" s="5" t="s">
        <v>238</v>
      </c>
      <c r="HQ3555" s="5" t="s">
        <v>238</v>
      </c>
      <c r="HR3555" s="5" t="s">
        <v>238</v>
      </c>
      <c r="HS3555" s="5" t="s">
        <v>238</v>
      </c>
      <c r="HT3555" s="5" t="s">
        <v>238</v>
      </c>
      <c r="HU3555" s="5" t="s">
        <v>238</v>
      </c>
      <c r="HV3555" s="5" t="s">
        <v>238</v>
      </c>
      <c r="HW3555" s="5" t="s">
        <v>238</v>
      </c>
      <c r="HX3555" s="5" t="s">
        <v>238</v>
      </c>
      <c r="HY3555" s="5" t="s">
        <v>238</v>
      </c>
      <c r="HZ3555" s="5" t="s">
        <v>238</v>
      </c>
      <c r="IA3555" s="5" t="s">
        <v>238</v>
      </c>
      <c r="IB3555" s="5" t="s">
        <v>238</v>
      </c>
      <c r="IC3555" s="5" t="s">
        <v>238</v>
      </c>
      <c r="ID3555" s="5" t="s">
        <v>238</v>
      </c>
    </row>
    <row r="3556" spans="1:238" x14ac:dyDescent="0.4">
      <c r="A3556" s="5">
        <v>9274</v>
      </c>
      <c r="B3556" s="5">
        <v>1</v>
      </c>
      <c r="C3556" s="5">
        <v>1</v>
      </c>
      <c r="D3556" s="5" t="s">
        <v>484</v>
      </c>
      <c r="E3556" s="5" t="s">
        <v>485</v>
      </c>
      <c r="F3556" s="5" t="s">
        <v>248</v>
      </c>
      <c r="G3556" s="5" t="s">
        <v>4871</v>
      </c>
      <c r="H3556" s="6" t="s">
        <v>4873</v>
      </c>
      <c r="I3556" s="8">
        <f>1</f>
        <v>1</v>
      </c>
      <c r="J3556" s="5" t="s">
        <v>499</v>
      </c>
      <c r="K3556" s="8">
        <f>1</f>
        <v>1</v>
      </c>
      <c r="L3556" s="6" t="s">
        <v>242</v>
      </c>
      <c r="M3556" s="5" t="s">
        <v>267</v>
      </c>
      <c r="N3556" s="5" t="s">
        <v>482</v>
      </c>
      <c r="O3556" s="5" t="s">
        <v>238</v>
      </c>
      <c r="P3556" s="5" t="s">
        <v>238</v>
      </c>
      <c r="Q3556" s="5" t="s">
        <v>239</v>
      </c>
      <c r="R3556" s="5" t="s">
        <v>270</v>
      </c>
      <c r="S3556" s="5" t="s">
        <v>238</v>
      </c>
      <c r="T3556" s="5" t="s">
        <v>238</v>
      </c>
      <c r="U3556" s="5" t="s">
        <v>238</v>
      </c>
      <c r="V3556" s="5" t="s">
        <v>238</v>
      </c>
      <c r="W3556" s="6" t="s">
        <v>238</v>
      </c>
      <c r="X3556" s="6" t="s">
        <v>238</v>
      </c>
      <c r="Y3556" s="5" t="s">
        <v>238</v>
      </c>
      <c r="Z3556" s="6" t="s">
        <v>238</v>
      </c>
      <c r="AA3556" s="6" t="s">
        <v>243</v>
      </c>
      <c r="AB3556" s="5" t="s">
        <v>4872</v>
      </c>
      <c r="AC3556" s="5" t="s">
        <v>244</v>
      </c>
      <c r="AD3556" s="5" t="s">
        <v>245</v>
      </c>
      <c r="AE3556" s="5" t="s">
        <v>238</v>
      </c>
      <c r="AF3556" s="5" t="s">
        <v>238</v>
      </c>
      <c r="AG3556" s="5" t="s">
        <v>238</v>
      </c>
      <c r="AH3556" s="5" t="s">
        <v>238</v>
      </c>
      <c r="AI3556" s="5" t="s">
        <v>238</v>
      </c>
      <c r="AJ3556" s="5" t="s">
        <v>238</v>
      </c>
      <c r="AK3556" s="5" t="s">
        <v>238</v>
      </c>
      <c r="AL3556" s="5" t="s">
        <v>238</v>
      </c>
      <c r="AM3556" s="6" t="s">
        <v>238</v>
      </c>
      <c r="AN3556" s="6" t="s">
        <v>238</v>
      </c>
      <c r="AO3556" s="6" t="s">
        <v>238</v>
      </c>
      <c r="AP3556" s="6" t="s">
        <v>238</v>
      </c>
      <c r="AQ3556" s="5" t="s">
        <v>238</v>
      </c>
      <c r="AR3556" s="5" t="s">
        <v>488</v>
      </c>
      <c r="AS3556" s="5" t="s">
        <v>488</v>
      </c>
      <c r="AT3556" s="5" t="s">
        <v>246</v>
      </c>
      <c r="AU3556" s="5" t="s">
        <v>489</v>
      </c>
      <c r="AV3556" s="5" t="s">
        <v>247</v>
      </c>
      <c r="AW3556" s="5" t="s">
        <v>238</v>
      </c>
      <c r="AX3556" s="5" t="s">
        <v>249</v>
      </c>
      <c r="AY3556" s="5" t="s">
        <v>490</v>
      </c>
      <c r="BA3556" s="5" t="s">
        <v>238</v>
      </c>
      <c r="BC3556" s="5" t="s">
        <v>491</v>
      </c>
      <c r="BD3556" s="6" t="s">
        <v>492</v>
      </c>
      <c r="BE3556" s="5" t="s">
        <v>493</v>
      </c>
      <c r="BF3556" s="5" t="s">
        <v>493</v>
      </c>
      <c r="BG3556" s="5" t="s">
        <v>238</v>
      </c>
      <c r="BH3556" s="8">
        <f>1</f>
        <v>1</v>
      </c>
      <c r="BI3556" s="8">
        <f>1</f>
        <v>1</v>
      </c>
      <c r="BJ3556" s="5" t="s">
        <v>253</v>
      </c>
      <c r="BK3556" s="5" t="s">
        <v>254</v>
      </c>
      <c r="BL3556" s="5" t="s">
        <v>238</v>
      </c>
      <c r="BM3556" s="5" t="s">
        <v>238</v>
      </c>
      <c r="BN3556" s="5" t="s">
        <v>238</v>
      </c>
      <c r="BO3556" s="5" t="s">
        <v>238</v>
      </c>
      <c r="BP3556" s="5" t="s">
        <v>238</v>
      </c>
      <c r="BQ3556" s="5" t="s">
        <v>238</v>
      </c>
      <c r="BR3556" s="5" t="s">
        <v>238</v>
      </c>
      <c r="BS3556" s="5" t="s">
        <v>238</v>
      </c>
      <c r="BT3556" s="6" t="s">
        <v>238</v>
      </c>
      <c r="BU3556" s="5" t="s">
        <v>238</v>
      </c>
      <c r="BV3556" s="5" t="s">
        <v>238</v>
      </c>
      <c r="BW3556" s="5" t="s">
        <v>238</v>
      </c>
      <c r="BX3556" s="5" t="s">
        <v>254</v>
      </c>
      <c r="BY3556" s="5" t="s">
        <v>238</v>
      </c>
      <c r="BZ3556" s="5" t="s">
        <v>238</v>
      </c>
      <c r="CA3556" s="5" t="s">
        <v>238</v>
      </c>
      <c r="CB3556" s="5" t="s">
        <v>238</v>
      </c>
      <c r="CC3556" s="5" t="s">
        <v>238</v>
      </c>
      <c r="CD3556" s="5" t="s">
        <v>273</v>
      </c>
      <c r="CE3556" s="5" t="s">
        <v>256</v>
      </c>
      <c r="CF3556" s="5" t="s">
        <v>238</v>
      </c>
      <c r="CH3556" s="5" t="s">
        <v>494</v>
      </c>
      <c r="CI3556" s="6" t="s">
        <v>257</v>
      </c>
      <c r="CJ3556" s="5" t="s">
        <v>495</v>
      </c>
      <c r="CK3556" s="5" t="s">
        <v>258</v>
      </c>
      <c r="CL3556" s="5" t="s">
        <v>496</v>
      </c>
      <c r="CM3556" s="5" t="s">
        <v>238</v>
      </c>
      <c r="CN3556" s="5">
        <v>0</v>
      </c>
      <c r="CO3556" s="5" t="s">
        <v>497</v>
      </c>
      <c r="CP3556" s="5" t="s">
        <v>260</v>
      </c>
      <c r="CQ3556" s="5" t="s">
        <v>260</v>
      </c>
      <c r="CR3556" s="5" t="s">
        <v>261</v>
      </c>
      <c r="CS3556" s="5" t="s">
        <v>498</v>
      </c>
      <c r="CT3556" s="7">
        <f>1</f>
        <v>1</v>
      </c>
      <c r="CU3556" s="8">
        <f>1</f>
        <v>1</v>
      </c>
      <c r="CV3556" s="8">
        <f>0</f>
        <v>0</v>
      </c>
      <c r="CX3556" s="8">
        <f>1</f>
        <v>1</v>
      </c>
      <c r="CY3556" s="8">
        <f>1</f>
        <v>1</v>
      </c>
      <c r="CZ3556" s="8" t="s">
        <v>238</v>
      </c>
      <c r="DA3556" s="5" t="s">
        <v>238</v>
      </c>
      <c r="DB3556" s="5" t="s">
        <v>238</v>
      </c>
      <c r="DC3556" s="5" t="s">
        <v>238</v>
      </c>
      <c r="DD3556" s="5" t="s">
        <v>238</v>
      </c>
      <c r="DE3556" s="8">
        <f>0</f>
        <v>0</v>
      </c>
      <c r="DG3556" s="5" t="s">
        <v>238</v>
      </c>
      <c r="DH3556" s="5" t="s">
        <v>238</v>
      </c>
      <c r="DI3556" s="5" t="s">
        <v>238</v>
      </c>
      <c r="DJ3556" s="5" t="s">
        <v>238</v>
      </c>
      <c r="DK3556" s="5" t="s">
        <v>238</v>
      </c>
      <c r="DL3556" s="5" t="s">
        <v>238</v>
      </c>
      <c r="DM3556" s="8" t="s">
        <v>238</v>
      </c>
      <c r="DN3556" s="5" t="s">
        <v>238</v>
      </c>
      <c r="DO3556" s="5" t="s">
        <v>238</v>
      </c>
      <c r="DP3556" s="5" t="s">
        <v>490</v>
      </c>
      <c r="DQ3556" s="5" t="s">
        <v>490</v>
      </c>
      <c r="DR3556" s="5" t="s">
        <v>238</v>
      </c>
      <c r="DS3556" s="5" t="s">
        <v>238</v>
      </c>
      <c r="DT3556" s="5" t="s">
        <v>500</v>
      </c>
      <c r="DU3556" s="5" t="s">
        <v>624</v>
      </c>
      <c r="DV3556" s="5" t="s">
        <v>238</v>
      </c>
      <c r="DW3556" s="5" t="s">
        <v>238</v>
      </c>
      <c r="DX3556" s="5" t="s">
        <v>238</v>
      </c>
      <c r="DY3556" s="5" t="s">
        <v>238</v>
      </c>
      <c r="DZ3556" s="5" t="s">
        <v>238</v>
      </c>
      <c r="EA3556" s="5" t="s">
        <v>238</v>
      </c>
      <c r="EB3556" s="5" t="s">
        <v>238</v>
      </c>
      <c r="EC3556" s="5" t="s">
        <v>238</v>
      </c>
      <c r="ED3556" s="5" t="s">
        <v>238</v>
      </c>
      <c r="EE3556" s="5" t="s">
        <v>238</v>
      </c>
      <c r="EF3556" s="5" t="s">
        <v>238</v>
      </c>
      <c r="EG3556" s="5" t="s">
        <v>238</v>
      </c>
      <c r="EH3556" s="5" t="s">
        <v>238</v>
      </c>
      <c r="EI3556" s="5" t="s">
        <v>238</v>
      </c>
      <c r="EJ3556" s="5" t="s">
        <v>238</v>
      </c>
      <c r="EK3556" s="5" t="s">
        <v>238</v>
      </c>
      <c r="EL3556" s="5" t="s">
        <v>238</v>
      </c>
      <c r="EM3556" s="5" t="s">
        <v>238</v>
      </c>
      <c r="EN3556" s="5" t="s">
        <v>238</v>
      </c>
      <c r="EO3556" s="5" t="s">
        <v>238</v>
      </c>
      <c r="EP3556" s="5" t="s">
        <v>238</v>
      </c>
      <c r="EQ3556" s="5" t="s">
        <v>238</v>
      </c>
      <c r="ER3556" s="5" t="s">
        <v>238</v>
      </c>
      <c r="ES3556" s="5" t="s">
        <v>238</v>
      </c>
      <c r="ET3556" s="5" t="s">
        <v>238</v>
      </c>
      <c r="EU3556" s="5" t="s">
        <v>238</v>
      </c>
      <c r="EV3556" s="5" t="s">
        <v>238</v>
      </c>
      <c r="EW3556" s="5" t="s">
        <v>238</v>
      </c>
      <c r="EX3556" s="5" t="s">
        <v>238</v>
      </c>
      <c r="EY3556" s="5" t="s">
        <v>238</v>
      </c>
      <c r="EZ3556" s="5" t="s">
        <v>238</v>
      </c>
      <c r="FA3556" s="5" t="s">
        <v>238</v>
      </c>
      <c r="FB3556" s="5" t="s">
        <v>238</v>
      </c>
      <c r="FC3556" s="5" t="s">
        <v>238</v>
      </c>
      <c r="FD3556" s="5" t="s">
        <v>238</v>
      </c>
      <c r="FE3556" s="5" t="s">
        <v>238</v>
      </c>
      <c r="FF3556" s="5" t="s">
        <v>238</v>
      </c>
      <c r="FG3556" s="5" t="s">
        <v>238</v>
      </c>
      <c r="FH3556" s="5" t="s">
        <v>238</v>
      </c>
      <c r="FI3556" s="5" t="s">
        <v>238</v>
      </c>
      <c r="FJ3556" s="5" t="s">
        <v>238</v>
      </c>
      <c r="FK3556" s="5" t="s">
        <v>238</v>
      </c>
      <c r="FL3556" s="5" t="s">
        <v>238</v>
      </c>
      <c r="FM3556" s="5" t="s">
        <v>238</v>
      </c>
      <c r="FN3556" s="5" t="s">
        <v>238</v>
      </c>
      <c r="FO3556" s="5" t="s">
        <v>238</v>
      </c>
      <c r="FP3556" s="5" t="s">
        <v>238</v>
      </c>
      <c r="FQ3556" s="5" t="s">
        <v>238</v>
      </c>
      <c r="FR3556" s="5" t="s">
        <v>238</v>
      </c>
      <c r="FS3556" s="5" t="s">
        <v>238</v>
      </c>
      <c r="FT3556" s="5" t="s">
        <v>238</v>
      </c>
      <c r="FU3556" s="5" t="s">
        <v>238</v>
      </c>
      <c r="FV3556" s="5" t="s">
        <v>238</v>
      </c>
      <c r="FW3556" s="5" t="s">
        <v>238</v>
      </c>
      <c r="FX3556" s="5" t="s">
        <v>238</v>
      </c>
      <c r="FY3556" s="5" t="s">
        <v>238</v>
      </c>
      <c r="FZ3556" s="5" t="s">
        <v>238</v>
      </c>
      <c r="GA3556" s="5" t="s">
        <v>238</v>
      </c>
      <c r="GB3556" s="5" t="s">
        <v>238</v>
      </c>
      <c r="GC3556" s="5" t="s">
        <v>238</v>
      </c>
      <c r="GD3556" s="5" t="s">
        <v>238</v>
      </c>
      <c r="GE3556" s="5" t="s">
        <v>238</v>
      </c>
      <c r="GF3556" s="5" t="s">
        <v>238</v>
      </c>
      <c r="GG3556" s="5" t="s">
        <v>238</v>
      </c>
      <c r="GH3556" s="5" t="s">
        <v>238</v>
      </c>
      <c r="GI3556" s="5" t="s">
        <v>238</v>
      </c>
      <c r="GJ3556" s="5" t="s">
        <v>238</v>
      </c>
      <c r="GK3556" s="5" t="s">
        <v>238</v>
      </c>
      <c r="GL3556" s="5" t="s">
        <v>238</v>
      </c>
      <c r="GM3556" s="5" t="s">
        <v>238</v>
      </c>
      <c r="GN3556" s="5" t="s">
        <v>238</v>
      </c>
      <c r="GO3556" s="5" t="s">
        <v>238</v>
      </c>
      <c r="GP3556" s="5" t="s">
        <v>238</v>
      </c>
      <c r="GQ3556" s="5" t="s">
        <v>238</v>
      </c>
      <c r="GR3556" s="5" t="s">
        <v>238</v>
      </c>
      <c r="GS3556" s="5" t="s">
        <v>238</v>
      </c>
      <c r="GT3556" s="5" t="s">
        <v>238</v>
      </c>
      <c r="GU3556" s="5" t="s">
        <v>238</v>
      </c>
      <c r="GV3556" s="5" t="s">
        <v>238</v>
      </c>
      <c r="GW3556" s="5" t="s">
        <v>238</v>
      </c>
      <c r="GX3556" s="5" t="s">
        <v>238</v>
      </c>
      <c r="GY3556" s="5" t="s">
        <v>238</v>
      </c>
      <c r="GZ3556" s="5" t="s">
        <v>238</v>
      </c>
      <c r="HA3556" s="5" t="s">
        <v>238</v>
      </c>
      <c r="HB3556" s="5" t="s">
        <v>238</v>
      </c>
      <c r="HC3556" s="5" t="s">
        <v>238</v>
      </c>
      <c r="HD3556" s="5" t="s">
        <v>238</v>
      </c>
      <c r="HE3556" s="5" t="s">
        <v>238</v>
      </c>
      <c r="HF3556" s="5" t="s">
        <v>238</v>
      </c>
      <c r="HG3556" s="5" t="s">
        <v>238</v>
      </c>
      <c r="HH3556" s="5" t="s">
        <v>238</v>
      </c>
      <c r="HI3556" s="5" t="s">
        <v>238</v>
      </c>
      <c r="HJ3556" s="5" t="s">
        <v>238</v>
      </c>
      <c r="HK3556" s="5" t="s">
        <v>238</v>
      </c>
      <c r="HL3556" s="5" t="s">
        <v>238</v>
      </c>
      <c r="HM3556" s="5" t="s">
        <v>264</v>
      </c>
      <c r="HN3556" s="5" t="s">
        <v>238</v>
      </c>
      <c r="HO3556" s="5" t="s">
        <v>238</v>
      </c>
      <c r="HP3556" s="5" t="s">
        <v>238</v>
      </c>
      <c r="HQ3556" s="5" t="s">
        <v>238</v>
      </c>
      <c r="HR3556" s="5" t="s">
        <v>238</v>
      </c>
      <c r="HS3556" s="5" t="s">
        <v>238</v>
      </c>
      <c r="HT3556" s="5" t="s">
        <v>238</v>
      </c>
      <c r="HU3556" s="5" t="s">
        <v>238</v>
      </c>
      <c r="HV3556" s="5" t="s">
        <v>238</v>
      </c>
      <c r="HW3556" s="5" t="s">
        <v>238</v>
      </c>
      <c r="HX3556" s="5" t="s">
        <v>238</v>
      </c>
      <c r="HY3556" s="5" t="s">
        <v>238</v>
      </c>
      <c r="HZ3556" s="5" t="s">
        <v>238</v>
      </c>
      <c r="IA3556" s="5" t="s">
        <v>238</v>
      </c>
      <c r="IB3556" s="5" t="s">
        <v>238</v>
      </c>
      <c r="IC3556" s="5" t="s">
        <v>238</v>
      </c>
      <c r="ID3556" s="5" t="s">
        <v>238</v>
      </c>
    </row>
    <row r="3557" spans="1:238" x14ac:dyDescent="0.4">
      <c r="A3557" s="5">
        <v>9275</v>
      </c>
      <c r="B3557" s="5">
        <v>1</v>
      </c>
      <c r="C3557" s="5">
        <v>1</v>
      </c>
      <c r="D3557" s="5" t="s">
        <v>484</v>
      </c>
      <c r="E3557" s="5" t="s">
        <v>485</v>
      </c>
      <c r="F3557" s="5" t="s">
        <v>248</v>
      </c>
      <c r="G3557" s="5" t="s">
        <v>4685</v>
      </c>
      <c r="H3557" s="6" t="s">
        <v>4687</v>
      </c>
      <c r="I3557" s="8">
        <f>1</f>
        <v>1</v>
      </c>
      <c r="J3557" s="5" t="s">
        <v>499</v>
      </c>
      <c r="K3557" s="8">
        <f>1</f>
        <v>1</v>
      </c>
      <c r="L3557" s="6" t="s">
        <v>242</v>
      </c>
      <c r="M3557" s="5" t="s">
        <v>267</v>
      </c>
      <c r="N3557" s="5" t="s">
        <v>482</v>
      </c>
      <c r="O3557" s="5" t="s">
        <v>238</v>
      </c>
      <c r="P3557" s="5" t="s">
        <v>238</v>
      </c>
      <c r="Q3557" s="5" t="s">
        <v>239</v>
      </c>
      <c r="R3557" s="5" t="s">
        <v>270</v>
      </c>
      <c r="S3557" s="5" t="s">
        <v>238</v>
      </c>
      <c r="T3557" s="5" t="s">
        <v>238</v>
      </c>
      <c r="U3557" s="5" t="s">
        <v>238</v>
      </c>
      <c r="V3557" s="5" t="s">
        <v>238</v>
      </c>
      <c r="W3557" s="6" t="s">
        <v>238</v>
      </c>
      <c r="X3557" s="6" t="s">
        <v>238</v>
      </c>
      <c r="Y3557" s="5" t="s">
        <v>238</v>
      </c>
      <c r="Z3557" s="6" t="s">
        <v>238</v>
      </c>
      <c r="AA3557" s="6" t="s">
        <v>243</v>
      </c>
      <c r="AB3557" s="5" t="s">
        <v>4686</v>
      </c>
      <c r="AC3557" s="5" t="s">
        <v>244</v>
      </c>
      <c r="AD3557" s="5" t="s">
        <v>245</v>
      </c>
      <c r="AE3557" s="5" t="s">
        <v>238</v>
      </c>
      <c r="AF3557" s="5" t="s">
        <v>238</v>
      </c>
      <c r="AG3557" s="5" t="s">
        <v>238</v>
      </c>
      <c r="AH3557" s="5" t="s">
        <v>238</v>
      </c>
      <c r="AI3557" s="5" t="s">
        <v>238</v>
      </c>
      <c r="AJ3557" s="5" t="s">
        <v>238</v>
      </c>
      <c r="AK3557" s="5" t="s">
        <v>238</v>
      </c>
      <c r="AL3557" s="5" t="s">
        <v>238</v>
      </c>
      <c r="AM3557" s="6" t="s">
        <v>238</v>
      </c>
      <c r="AN3557" s="6" t="s">
        <v>238</v>
      </c>
      <c r="AO3557" s="6" t="s">
        <v>238</v>
      </c>
      <c r="AP3557" s="6" t="s">
        <v>238</v>
      </c>
      <c r="AQ3557" s="5" t="s">
        <v>238</v>
      </c>
      <c r="AR3557" s="5" t="s">
        <v>488</v>
      </c>
      <c r="AS3557" s="5" t="s">
        <v>488</v>
      </c>
      <c r="AT3557" s="5" t="s">
        <v>246</v>
      </c>
      <c r="AU3557" s="5" t="s">
        <v>489</v>
      </c>
      <c r="AV3557" s="5" t="s">
        <v>247</v>
      </c>
      <c r="AW3557" s="5" t="s">
        <v>238</v>
      </c>
      <c r="AX3557" s="5" t="s">
        <v>249</v>
      </c>
      <c r="AY3557" s="5" t="s">
        <v>490</v>
      </c>
      <c r="BA3557" s="5" t="s">
        <v>238</v>
      </c>
      <c r="BC3557" s="5" t="s">
        <v>491</v>
      </c>
      <c r="BD3557" s="6" t="s">
        <v>492</v>
      </c>
      <c r="BE3557" s="5" t="s">
        <v>493</v>
      </c>
      <c r="BF3557" s="5" t="s">
        <v>493</v>
      </c>
      <c r="BG3557" s="5" t="s">
        <v>238</v>
      </c>
      <c r="BH3557" s="8">
        <f>1</f>
        <v>1</v>
      </c>
      <c r="BI3557" s="8">
        <f>1</f>
        <v>1</v>
      </c>
      <c r="BJ3557" s="5" t="s">
        <v>253</v>
      </c>
      <c r="BK3557" s="5" t="s">
        <v>254</v>
      </c>
      <c r="BL3557" s="5" t="s">
        <v>238</v>
      </c>
      <c r="BM3557" s="5" t="s">
        <v>238</v>
      </c>
      <c r="BN3557" s="5" t="s">
        <v>238</v>
      </c>
      <c r="BO3557" s="5" t="s">
        <v>238</v>
      </c>
      <c r="BP3557" s="5" t="s">
        <v>238</v>
      </c>
      <c r="BQ3557" s="5" t="s">
        <v>238</v>
      </c>
      <c r="BR3557" s="5" t="s">
        <v>238</v>
      </c>
      <c r="BS3557" s="5" t="s">
        <v>238</v>
      </c>
      <c r="BT3557" s="6" t="s">
        <v>238</v>
      </c>
      <c r="BU3557" s="5" t="s">
        <v>238</v>
      </c>
      <c r="BV3557" s="5" t="s">
        <v>238</v>
      </c>
      <c r="BW3557" s="5" t="s">
        <v>238</v>
      </c>
      <c r="BX3557" s="5" t="s">
        <v>254</v>
      </c>
      <c r="BY3557" s="5" t="s">
        <v>238</v>
      </c>
      <c r="BZ3557" s="5" t="s">
        <v>238</v>
      </c>
      <c r="CA3557" s="5" t="s">
        <v>238</v>
      </c>
      <c r="CB3557" s="5" t="s">
        <v>238</v>
      </c>
      <c r="CC3557" s="5" t="s">
        <v>238</v>
      </c>
      <c r="CD3557" s="5" t="s">
        <v>273</v>
      </c>
      <c r="CE3557" s="5" t="s">
        <v>256</v>
      </c>
      <c r="CF3557" s="5" t="s">
        <v>238</v>
      </c>
      <c r="CH3557" s="5" t="s">
        <v>494</v>
      </c>
      <c r="CI3557" s="6" t="s">
        <v>257</v>
      </c>
      <c r="CJ3557" s="5" t="s">
        <v>495</v>
      </c>
      <c r="CK3557" s="5" t="s">
        <v>258</v>
      </c>
      <c r="CL3557" s="5" t="s">
        <v>496</v>
      </c>
      <c r="CM3557" s="5" t="s">
        <v>238</v>
      </c>
      <c r="CN3557" s="5">
        <v>0</v>
      </c>
      <c r="CO3557" s="5" t="s">
        <v>497</v>
      </c>
      <c r="CP3557" s="5" t="s">
        <v>260</v>
      </c>
      <c r="CQ3557" s="5" t="s">
        <v>260</v>
      </c>
      <c r="CR3557" s="5" t="s">
        <v>261</v>
      </c>
      <c r="CS3557" s="5" t="s">
        <v>498</v>
      </c>
      <c r="CT3557" s="7">
        <f>1</f>
        <v>1</v>
      </c>
      <c r="CU3557" s="8">
        <f>1</f>
        <v>1</v>
      </c>
      <c r="CV3557" s="8">
        <f>0</f>
        <v>0</v>
      </c>
      <c r="CX3557" s="8">
        <f>1</f>
        <v>1</v>
      </c>
      <c r="CY3557" s="8">
        <f>1</f>
        <v>1</v>
      </c>
      <c r="CZ3557" s="8" t="s">
        <v>238</v>
      </c>
      <c r="DA3557" s="5" t="s">
        <v>238</v>
      </c>
      <c r="DB3557" s="5" t="s">
        <v>238</v>
      </c>
      <c r="DC3557" s="5" t="s">
        <v>238</v>
      </c>
      <c r="DD3557" s="5" t="s">
        <v>238</v>
      </c>
      <c r="DE3557" s="8">
        <f>0</f>
        <v>0</v>
      </c>
      <c r="DG3557" s="5" t="s">
        <v>238</v>
      </c>
      <c r="DH3557" s="5" t="s">
        <v>238</v>
      </c>
      <c r="DI3557" s="5" t="s">
        <v>238</v>
      </c>
      <c r="DJ3557" s="5" t="s">
        <v>238</v>
      </c>
      <c r="DK3557" s="5" t="s">
        <v>238</v>
      </c>
      <c r="DL3557" s="5" t="s">
        <v>238</v>
      </c>
      <c r="DM3557" s="8" t="s">
        <v>238</v>
      </c>
      <c r="DN3557" s="5" t="s">
        <v>238</v>
      </c>
      <c r="DO3557" s="5" t="s">
        <v>238</v>
      </c>
      <c r="DP3557" s="5" t="s">
        <v>490</v>
      </c>
      <c r="DQ3557" s="5" t="s">
        <v>490</v>
      </c>
      <c r="DR3557" s="5" t="s">
        <v>238</v>
      </c>
      <c r="DS3557" s="5" t="s">
        <v>238</v>
      </c>
      <c r="DT3557" s="5" t="s">
        <v>500</v>
      </c>
      <c r="DU3557" s="5" t="s">
        <v>612</v>
      </c>
      <c r="DV3557" s="5" t="s">
        <v>238</v>
      </c>
      <c r="DW3557" s="5" t="s">
        <v>238</v>
      </c>
      <c r="DX3557" s="5" t="s">
        <v>238</v>
      </c>
      <c r="DY3557" s="5" t="s">
        <v>238</v>
      </c>
      <c r="DZ3557" s="5" t="s">
        <v>238</v>
      </c>
      <c r="EA3557" s="5" t="s">
        <v>238</v>
      </c>
      <c r="EB3557" s="5" t="s">
        <v>238</v>
      </c>
      <c r="EC3557" s="5" t="s">
        <v>238</v>
      </c>
      <c r="ED3557" s="5" t="s">
        <v>238</v>
      </c>
      <c r="EE3557" s="5" t="s">
        <v>238</v>
      </c>
      <c r="EF3557" s="5" t="s">
        <v>238</v>
      </c>
      <c r="EG3557" s="5" t="s">
        <v>238</v>
      </c>
      <c r="EH3557" s="5" t="s">
        <v>238</v>
      </c>
      <c r="EI3557" s="5" t="s">
        <v>238</v>
      </c>
      <c r="EJ3557" s="5" t="s">
        <v>238</v>
      </c>
      <c r="EK3557" s="5" t="s">
        <v>238</v>
      </c>
      <c r="EL3557" s="5" t="s">
        <v>238</v>
      </c>
      <c r="EM3557" s="5" t="s">
        <v>238</v>
      </c>
      <c r="EN3557" s="5" t="s">
        <v>238</v>
      </c>
      <c r="EO3557" s="5" t="s">
        <v>238</v>
      </c>
      <c r="EP3557" s="5" t="s">
        <v>238</v>
      </c>
      <c r="EQ3557" s="5" t="s">
        <v>238</v>
      </c>
      <c r="ER3557" s="5" t="s">
        <v>238</v>
      </c>
      <c r="ES3557" s="5" t="s">
        <v>238</v>
      </c>
      <c r="ET3557" s="5" t="s">
        <v>238</v>
      </c>
      <c r="EU3557" s="5" t="s">
        <v>238</v>
      </c>
      <c r="EV3557" s="5" t="s">
        <v>238</v>
      </c>
      <c r="EW3557" s="5" t="s">
        <v>238</v>
      </c>
      <c r="EX3557" s="5" t="s">
        <v>238</v>
      </c>
      <c r="EY3557" s="5" t="s">
        <v>238</v>
      </c>
      <c r="EZ3557" s="5" t="s">
        <v>238</v>
      </c>
      <c r="FA3557" s="5" t="s">
        <v>238</v>
      </c>
      <c r="FB3557" s="5" t="s">
        <v>238</v>
      </c>
      <c r="FC3557" s="5" t="s">
        <v>238</v>
      </c>
      <c r="FD3557" s="5" t="s">
        <v>238</v>
      </c>
      <c r="FE3557" s="5" t="s">
        <v>238</v>
      </c>
      <c r="FF3557" s="5" t="s">
        <v>238</v>
      </c>
      <c r="FG3557" s="5" t="s">
        <v>238</v>
      </c>
      <c r="FH3557" s="5" t="s">
        <v>238</v>
      </c>
      <c r="FI3557" s="5" t="s">
        <v>238</v>
      </c>
      <c r="FJ3557" s="5" t="s">
        <v>238</v>
      </c>
      <c r="FK3557" s="5" t="s">
        <v>238</v>
      </c>
      <c r="FL3557" s="5" t="s">
        <v>238</v>
      </c>
      <c r="FM3557" s="5" t="s">
        <v>238</v>
      </c>
      <c r="FN3557" s="5" t="s">
        <v>238</v>
      </c>
      <c r="FO3557" s="5" t="s">
        <v>238</v>
      </c>
      <c r="FP3557" s="5" t="s">
        <v>238</v>
      </c>
      <c r="FQ3557" s="5" t="s">
        <v>238</v>
      </c>
      <c r="FR3557" s="5" t="s">
        <v>238</v>
      </c>
      <c r="FS3557" s="5" t="s">
        <v>238</v>
      </c>
      <c r="FT3557" s="5" t="s">
        <v>238</v>
      </c>
      <c r="FU3557" s="5" t="s">
        <v>238</v>
      </c>
      <c r="FV3557" s="5" t="s">
        <v>238</v>
      </c>
      <c r="FW3557" s="5" t="s">
        <v>238</v>
      </c>
      <c r="FX3557" s="5" t="s">
        <v>238</v>
      </c>
      <c r="FY3557" s="5" t="s">
        <v>238</v>
      </c>
      <c r="FZ3557" s="5" t="s">
        <v>238</v>
      </c>
      <c r="GA3557" s="5" t="s">
        <v>238</v>
      </c>
      <c r="GB3557" s="5" t="s">
        <v>238</v>
      </c>
      <c r="GC3557" s="5" t="s">
        <v>238</v>
      </c>
      <c r="GD3557" s="5" t="s">
        <v>238</v>
      </c>
      <c r="GE3557" s="5" t="s">
        <v>238</v>
      </c>
      <c r="GF3557" s="5" t="s">
        <v>238</v>
      </c>
      <c r="GG3557" s="5" t="s">
        <v>238</v>
      </c>
      <c r="GH3557" s="5" t="s">
        <v>238</v>
      </c>
      <c r="GI3557" s="5" t="s">
        <v>238</v>
      </c>
      <c r="GJ3557" s="5" t="s">
        <v>238</v>
      </c>
      <c r="GK3557" s="5" t="s">
        <v>238</v>
      </c>
      <c r="GL3557" s="5" t="s">
        <v>238</v>
      </c>
      <c r="GM3557" s="5" t="s">
        <v>238</v>
      </c>
      <c r="GN3557" s="5" t="s">
        <v>238</v>
      </c>
      <c r="GO3557" s="5" t="s">
        <v>238</v>
      </c>
      <c r="GP3557" s="5" t="s">
        <v>238</v>
      </c>
      <c r="GQ3557" s="5" t="s">
        <v>238</v>
      </c>
      <c r="GR3557" s="5" t="s">
        <v>238</v>
      </c>
      <c r="GS3557" s="5" t="s">
        <v>238</v>
      </c>
      <c r="GT3557" s="5" t="s">
        <v>238</v>
      </c>
      <c r="GU3557" s="5" t="s">
        <v>238</v>
      </c>
      <c r="GV3557" s="5" t="s">
        <v>238</v>
      </c>
      <c r="GW3557" s="5" t="s">
        <v>238</v>
      </c>
      <c r="GX3557" s="5" t="s">
        <v>238</v>
      </c>
      <c r="GY3557" s="5" t="s">
        <v>238</v>
      </c>
      <c r="GZ3557" s="5" t="s">
        <v>238</v>
      </c>
      <c r="HA3557" s="5" t="s">
        <v>238</v>
      </c>
      <c r="HB3557" s="5" t="s">
        <v>238</v>
      </c>
      <c r="HC3557" s="5" t="s">
        <v>238</v>
      </c>
      <c r="HD3557" s="5" t="s">
        <v>238</v>
      </c>
      <c r="HE3557" s="5" t="s">
        <v>238</v>
      </c>
      <c r="HF3557" s="5" t="s">
        <v>238</v>
      </c>
      <c r="HG3557" s="5" t="s">
        <v>238</v>
      </c>
      <c r="HH3557" s="5" t="s">
        <v>238</v>
      </c>
      <c r="HI3557" s="5" t="s">
        <v>238</v>
      </c>
      <c r="HJ3557" s="5" t="s">
        <v>238</v>
      </c>
      <c r="HK3557" s="5" t="s">
        <v>238</v>
      </c>
      <c r="HL3557" s="5" t="s">
        <v>238</v>
      </c>
      <c r="HM3557" s="5" t="s">
        <v>264</v>
      </c>
      <c r="HN3557" s="5" t="s">
        <v>238</v>
      </c>
      <c r="HO3557" s="5" t="s">
        <v>238</v>
      </c>
      <c r="HP3557" s="5" t="s">
        <v>238</v>
      </c>
      <c r="HQ3557" s="5" t="s">
        <v>238</v>
      </c>
      <c r="HR3557" s="5" t="s">
        <v>238</v>
      </c>
      <c r="HS3557" s="5" t="s">
        <v>238</v>
      </c>
      <c r="HT3557" s="5" t="s">
        <v>238</v>
      </c>
      <c r="HU3557" s="5" t="s">
        <v>238</v>
      </c>
      <c r="HV3557" s="5" t="s">
        <v>238</v>
      </c>
      <c r="HW3557" s="5" t="s">
        <v>238</v>
      </c>
      <c r="HX3557" s="5" t="s">
        <v>238</v>
      </c>
      <c r="HY3557" s="5" t="s">
        <v>238</v>
      </c>
      <c r="HZ3557" s="5" t="s">
        <v>238</v>
      </c>
      <c r="IA3557" s="5" t="s">
        <v>238</v>
      </c>
      <c r="IB3557" s="5" t="s">
        <v>238</v>
      </c>
      <c r="IC3557" s="5" t="s">
        <v>238</v>
      </c>
      <c r="ID3557" s="5" t="s">
        <v>238</v>
      </c>
    </row>
    <row r="3558" spans="1:238" x14ac:dyDescent="0.4">
      <c r="A3558" s="5">
        <v>9276</v>
      </c>
      <c r="B3558" s="5">
        <v>1</v>
      </c>
      <c r="C3558" s="5">
        <v>1</v>
      </c>
      <c r="D3558" s="5" t="s">
        <v>484</v>
      </c>
      <c r="E3558" s="5" t="s">
        <v>485</v>
      </c>
      <c r="F3558" s="5" t="s">
        <v>248</v>
      </c>
      <c r="G3558" s="5" t="s">
        <v>4434</v>
      </c>
      <c r="H3558" s="6" t="s">
        <v>4436</v>
      </c>
      <c r="I3558" s="8">
        <f>1</f>
        <v>1</v>
      </c>
      <c r="J3558" s="5" t="s">
        <v>499</v>
      </c>
      <c r="K3558" s="8">
        <f>1</f>
        <v>1</v>
      </c>
      <c r="L3558" s="6" t="s">
        <v>242</v>
      </c>
      <c r="M3558" s="5" t="s">
        <v>267</v>
      </c>
      <c r="N3558" s="5" t="s">
        <v>482</v>
      </c>
      <c r="O3558" s="5" t="s">
        <v>238</v>
      </c>
      <c r="P3558" s="5" t="s">
        <v>238</v>
      </c>
      <c r="Q3558" s="5" t="s">
        <v>239</v>
      </c>
      <c r="R3558" s="5" t="s">
        <v>270</v>
      </c>
      <c r="S3558" s="5" t="s">
        <v>238</v>
      </c>
      <c r="T3558" s="5" t="s">
        <v>238</v>
      </c>
      <c r="U3558" s="5" t="s">
        <v>238</v>
      </c>
      <c r="V3558" s="5" t="s">
        <v>238</v>
      </c>
      <c r="W3558" s="6" t="s">
        <v>238</v>
      </c>
      <c r="X3558" s="6" t="s">
        <v>238</v>
      </c>
      <c r="Y3558" s="5" t="s">
        <v>238</v>
      </c>
      <c r="Z3558" s="6" t="s">
        <v>238</v>
      </c>
      <c r="AA3558" s="6" t="s">
        <v>243</v>
      </c>
      <c r="AB3558" s="5" t="s">
        <v>4435</v>
      </c>
      <c r="AC3558" s="5" t="s">
        <v>244</v>
      </c>
      <c r="AD3558" s="5" t="s">
        <v>245</v>
      </c>
      <c r="AE3558" s="5" t="s">
        <v>238</v>
      </c>
      <c r="AF3558" s="5" t="s">
        <v>238</v>
      </c>
      <c r="AG3558" s="5" t="s">
        <v>238</v>
      </c>
      <c r="AH3558" s="5" t="s">
        <v>238</v>
      </c>
      <c r="AI3558" s="5" t="s">
        <v>238</v>
      </c>
      <c r="AJ3558" s="5" t="s">
        <v>238</v>
      </c>
      <c r="AK3558" s="5" t="s">
        <v>238</v>
      </c>
      <c r="AL3558" s="5" t="s">
        <v>238</v>
      </c>
      <c r="AM3558" s="6" t="s">
        <v>238</v>
      </c>
      <c r="AN3558" s="6" t="s">
        <v>238</v>
      </c>
      <c r="AO3558" s="6" t="s">
        <v>238</v>
      </c>
      <c r="AP3558" s="6" t="s">
        <v>238</v>
      </c>
      <c r="AQ3558" s="5" t="s">
        <v>238</v>
      </c>
      <c r="AR3558" s="5" t="s">
        <v>488</v>
      </c>
      <c r="AS3558" s="5" t="s">
        <v>488</v>
      </c>
      <c r="AT3558" s="5" t="s">
        <v>246</v>
      </c>
      <c r="AU3558" s="5" t="s">
        <v>489</v>
      </c>
      <c r="AV3558" s="5" t="s">
        <v>247</v>
      </c>
      <c r="AW3558" s="5" t="s">
        <v>238</v>
      </c>
      <c r="AX3558" s="5" t="s">
        <v>249</v>
      </c>
      <c r="AY3558" s="5" t="s">
        <v>490</v>
      </c>
      <c r="BA3558" s="5" t="s">
        <v>238</v>
      </c>
      <c r="BC3558" s="5" t="s">
        <v>491</v>
      </c>
      <c r="BD3558" s="6" t="s">
        <v>492</v>
      </c>
      <c r="BE3558" s="5" t="s">
        <v>493</v>
      </c>
      <c r="BF3558" s="5" t="s">
        <v>493</v>
      </c>
      <c r="BG3558" s="5" t="s">
        <v>238</v>
      </c>
      <c r="BH3558" s="8">
        <f>1</f>
        <v>1</v>
      </c>
      <c r="BI3558" s="8">
        <f>1</f>
        <v>1</v>
      </c>
      <c r="BJ3558" s="5" t="s">
        <v>253</v>
      </c>
      <c r="BK3558" s="5" t="s">
        <v>254</v>
      </c>
      <c r="BL3558" s="5" t="s">
        <v>238</v>
      </c>
      <c r="BM3558" s="5" t="s">
        <v>238</v>
      </c>
      <c r="BN3558" s="5" t="s">
        <v>238</v>
      </c>
      <c r="BO3558" s="5" t="s">
        <v>238</v>
      </c>
      <c r="BP3558" s="5" t="s">
        <v>238</v>
      </c>
      <c r="BQ3558" s="5" t="s">
        <v>238</v>
      </c>
      <c r="BR3558" s="5" t="s">
        <v>238</v>
      </c>
      <c r="BS3558" s="5" t="s">
        <v>238</v>
      </c>
      <c r="BT3558" s="6" t="s">
        <v>238</v>
      </c>
      <c r="BU3558" s="5" t="s">
        <v>238</v>
      </c>
      <c r="BV3558" s="5" t="s">
        <v>238</v>
      </c>
      <c r="BW3558" s="5" t="s">
        <v>238</v>
      </c>
      <c r="BX3558" s="5" t="s">
        <v>254</v>
      </c>
      <c r="BY3558" s="5" t="s">
        <v>238</v>
      </c>
      <c r="BZ3558" s="5" t="s">
        <v>238</v>
      </c>
      <c r="CA3558" s="5" t="s">
        <v>238</v>
      </c>
      <c r="CB3558" s="5" t="s">
        <v>238</v>
      </c>
      <c r="CC3558" s="5" t="s">
        <v>238</v>
      </c>
      <c r="CD3558" s="5" t="s">
        <v>273</v>
      </c>
      <c r="CE3558" s="5" t="s">
        <v>256</v>
      </c>
      <c r="CF3558" s="5" t="s">
        <v>238</v>
      </c>
      <c r="CH3558" s="5" t="s">
        <v>494</v>
      </c>
      <c r="CI3558" s="6" t="s">
        <v>257</v>
      </c>
      <c r="CJ3558" s="5" t="s">
        <v>495</v>
      </c>
      <c r="CK3558" s="5" t="s">
        <v>258</v>
      </c>
      <c r="CL3558" s="5" t="s">
        <v>496</v>
      </c>
      <c r="CM3558" s="5" t="s">
        <v>238</v>
      </c>
      <c r="CN3558" s="5">
        <v>0</v>
      </c>
      <c r="CO3558" s="5" t="s">
        <v>497</v>
      </c>
      <c r="CP3558" s="5" t="s">
        <v>260</v>
      </c>
      <c r="CQ3558" s="5" t="s">
        <v>260</v>
      </c>
      <c r="CR3558" s="5" t="s">
        <v>261</v>
      </c>
      <c r="CS3558" s="5" t="s">
        <v>498</v>
      </c>
      <c r="CT3558" s="7">
        <f>1</f>
        <v>1</v>
      </c>
      <c r="CU3558" s="8">
        <f>1</f>
        <v>1</v>
      </c>
      <c r="CV3558" s="8">
        <f>0</f>
        <v>0</v>
      </c>
      <c r="CX3558" s="8">
        <f>1</f>
        <v>1</v>
      </c>
      <c r="CY3558" s="8">
        <f>1</f>
        <v>1</v>
      </c>
      <c r="CZ3558" s="8" t="s">
        <v>238</v>
      </c>
      <c r="DA3558" s="5" t="s">
        <v>238</v>
      </c>
      <c r="DB3558" s="5" t="s">
        <v>238</v>
      </c>
      <c r="DC3558" s="5" t="s">
        <v>238</v>
      </c>
      <c r="DD3558" s="5" t="s">
        <v>238</v>
      </c>
      <c r="DE3558" s="8">
        <f>0</f>
        <v>0</v>
      </c>
      <c r="DG3558" s="5" t="s">
        <v>238</v>
      </c>
      <c r="DH3558" s="5" t="s">
        <v>238</v>
      </c>
      <c r="DI3558" s="5" t="s">
        <v>238</v>
      </c>
      <c r="DJ3558" s="5" t="s">
        <v>238</v>
      </c>
      <c r="DK3558" s="5" t="s">
        <v>238</v>
      </c>
      <c r="DL3558" s="5" t="s">
        <v>238</v>
      </c>
      <c r="DM3558" s="8" t="s">
        <v>238</v>
      </c>
      <c r="DN3558" s="5" t="s">
        <v>238</v>
      </c>
      <c r="DO3558" s="5" t="s">
        <v>238</v>
      </c>
      <c r="DP3558" s="5" t="s">
        <v>490</v>
      </c>
      <c r="DQ3558" s="5" t="s">
        <v>490</v>
      </c>
      <c r="DR3558" s="5" t="s">
        <v>238</v>
      </c>
      <c r="DS3558" s="5" t="s">
        <v>238</v>
      </c>
      <c r="DT3558" s="5" t="s">
        <v>500</v>
      </c>
      <c r="DU3558" s="5" t="s">
        <v>1128</v>
      </c>
      <c r="DV3558" s="5" t="s">
        <v>238</v>
      </c>
      <c r="DW3558" s="5" t="s">
        <v>238</v>
      </c>
      <c r="DX3558" s="5" t="s">
        <v>238</v>
      </c>
      <c r="DY3558" s="5" t="s">
        <v>238</v>
      </c>
      <c r="DZ3558" s="5" t="s">
        <v>238</v>
      </c>
      <c r="EA3558" s="5" t="s">
        <v>238</v>
      </c>
      <c r="EB3558" s="5" t="s">
        <v>238</v>
      </c>
      <c r="EC3558" s="5" t="s">
        <v>238</v>
      </c>
      <c r="ED3558" s="5" t="s">
        <v>238</v>
      </c>
      <c r="EE3558" s="5" t="s">
        <v>238</v>
      </c>
      <c r="EF3558" s="5" t="s">
        <v>238</v>
      </c>
      <c r="EG3558" s="5" t="s">
        <v>238</v>
      </c>
      <c r="EH3558" s="5" t="s">
        <v>238</v>
      </c>
      <c r="EI3558" s="5" t="s">
        <v>238</v>
      </c>
      <c r="EJ3558" s="5" t="s">
        <v>238</v>
      </c>
      <c r="EK3558" s="5" t="s">
        <v>238</v>
      </c>
      <c r="EL3558" s="5" t="s">
        <v>238</v>
      </c>
      <c r="EM3558" s="5" t="s">
        <v>238</v>
      </c>
      <c r="EN3558" s="5" t="s">
        <v>238</v>
      </c>
      <c r="EO3558" s="5" t="s">
        <v>238</v>
      </c>
      <c r="EP3558" s="5" t="s">
        <v>238</v>
      </c>
      <c r="EQ3558" s="5" t="s">
        <v>238</v>
      </c>
      <c r="ER3558" s="5" t="s">
        <v>238</v>
      </c>
      <c r="ES3558" s="5" t="s">
        <v>238</v>
      </c>
      <c r="ET3558" s="5" t="s">
        <v>238</v>
      </c>
      <c r="EU3558" s="5" t="s">
        <v>238</v>
      </c>
      <c r="EV3558" s="5" t="s">
        <v>238</v>
      </c>
      <c r="EW3558" s="5" t="s">
        <v>238</v>
      </c>
      <c r="EX3558" s="5" t="s">
        <v>238</v>
      </c>
      <c r="EY3558" s="5" t="s">
        <v>238</v>
      </c>
      <c r="EZ3558" s="5" t="s">
        <v>238</v>
      </c>
      <c r="FA3558" s="5" t="s">
        <v>238</v>
      </c>
      <c r="FB3558" s="5" t="s">
        <v>238</v>
      </c>
      <c r="FC3558" s="5" t="s">
        <v>238</v>
      </c>
      <c r="FD3558" s="5" t="s">
        <v>238</v>
      </c>
      <c r="FE3558" s="5" t="s">
        <v>238</v>
      </c>
      <c r="FF3558" s="5" t="s">
        <v>238</v>
      </c>
      <c r="FG3558" s="5" t="s">
        <v>238</v>
      </c>
      <c r="FH3558" s="5" t="s">
        <v>238</v>
      </c>
      <c r="FI3558" s="5" t="s">
        <v>238</v>
      </c>
      <c r="FJ3558" s="5" t="s">
        <v>238</v>
      </c>
      <c r="FK3558" s="5" t="s">
        <v>238</v>
      </c>
      <c r="FL3558" s="5" t="s">
        <v>238</v>
      </c>
      <c r="FM3558" s="5" t="s">
        <v>238</v>
      </c>
      <c r="FN3558" s="5" t="s">
        <v>238</v>
      </c>
      <c r="FO3558" s="5" t="s">
        <v>238</v>
      </c>
      <c r="FP3558" s="5" t="s">
        <v>238</v>
      </c>
      <c r="FQ3558" s="5" t="s">
        <v>238</v>
      </c>
      <c r="FR3558" s="5" t="s">
        <v>238</v>
      </c>
      <c r="FS3558" s="5" t="s">
        <v>238</v>
      </c>
      <c r="FT3558" s="5" t="s">
        <v>238</v>
      </c>
      <c r="FU3558" s="5" t="s">
        <v>238</v>
      </c>
      <c r="FV3558" s="5" t="s">
        <v>238</v>
      </c>
      <c r="FW3558" s="5" t="s">
        <v>238</v>
      </c>
      <c r="FX3558" s="5" t="s">
        <v>238</v>
      </c>
      <c r="FY3558" s="5" t="s">
        <v>238</v>
      </c>
      <c r="FZ3558" s="5" t="s">
        <v>238</v>
      </c>
      <c r="GA3558" s="5" t="s">
        <v>238</v>
      </c>
      <c r="GB3558" s="5" t="s">
        <v>238</v>
      </c>
      <c r="GC3558" s="5" t="s">
        <v>238</v>
      </c>
      <c r="GD3558" s="5" t="s">
        <v>238</v>
      </c>
      <c r="GE3558" s="5" t="s">
        <v>238</v>
      </c>
      <c r="GF3558" s="5" t="s">
        <v>238</v>
      </c>
      <c r="GG3558" s="5" t="s">
        <v>238</v>
      </c>
      <c r="GH3558" s="5" t="s">
        <v>238</v>
      </c>
      <c r="GI3558" s="5" t="s">
        <v>238</v>
      </c>
      <c r="GJ3558" s="5" t="s">
        <v>238</v>
      </c>
      <c r="GK3558" s="5" t="s">
        <v>238</v>
      </c>
      <c r="GL3558" s="5" t="s">
        <v>238</v>
      </c>
      <c r="GM3558" s="5" t="s">
        <v>238</v>
      </c>
      <c r="GN3558" s="5" t="s">
        <v>238</v>
      </c>
      <c r="GO3558" s="5" t="s">
        <v>238</v>
      </c>
      <c r="GP3558" s="5" t="s">
        <v>238</v>
      </c>
      <c r="GQ3558" s="5" t="s">
        <v>238</v>
      </c>
      <c r="GR3558" s="5" t="s">
        <v>238</v>
      </c>
      <c r="GS3558" s="5" t="s">
        <v>238</v>
      </c>
      <c r="GT3558" s="5" t="s">
        <v>238</v>
      </c>
      <c r="GU3558" s="5" t="s">
        <v>238</v>
      </c>
      <c r="GV3558" s="5" t="s">
        <v>238</v>
      </c>
      <c r="GW3558" s="5" t="s">
        <v>238</v>
      </c>
      <c r="GX3558" s="5" t="s">
        <v>238</v>
      </c>
      <c r="GY3558" s="5" t="s">
        <v>238</v>
      </c>
      <c r="GZ3558" s="5" t="s">
        <v>238</v>
      </c>
      <c r="HA3558" s="5" t="s">
        <v>238</v>
      </c>
      <c r="HB3558" s="5" t="s">
        <v>238</v>
      </c>
      <c r="HC3558" s="5" t="s">
        <v>238</v>
      </c>
      <c r="HD3558" s="5" t="s">
        <v>238</v>
      </c>
      <c r="HE3558" s="5" t="s">
        <v>238</v>
      </c>
      <c r="HF3558" s="5" t="s">
        <v>238</v>
      </c>
      <c r="HG3558" s="5" t="s">
        <v>238</v>
      </c>
      <c r="HH3558" s="5" t="s">
        <v>238</v>
      </c>
      <c r="HI3558" s="5" t="s">
        <v>238</v>
      </c>
      <c r="HJ3558" s="5" t="s">
        <v>238</v>
      </c>
      <c r="HK3558" s="5" t="s">
        <v>238</v>
      </c>
      <c r="HL3558" s="5" t="s">
        <v>238</v>
      </c>
      <c r="HM3558" s="5" t="s">
        <v>264</v>
      </c>
      <c r="HN3558" s="5" t="s">
        <v>238</v>
      </c>
      <c r="HO3558" s="5" t="s">
        <v>238</v>
      </c>
      <c r="HP3558" s="5" t="s">
        <v>238</v>
      </c>
      <c r="HQ3558" s="5" t="s">
        <v>238</v>
      </c>
      <c r="HR3558" s="5" t="s">
        <v>238</v>
      </c>
      <c r="HS3558" s="5" t="s">
        <v>238</v>
      </c>
      <c r="HT3558" s="5" t="s">
        <v>238</v>
      </c>
      <c r="HU3558" s="5" t="s">
        <v>238</v>
      </c>
      <c r="HV3558" s="5" t="s">
        <v>238</v>
      </c>
      <c r="HW3558" s="5" t="s">
        <v>238</v>
      </c>
      <c r="HX3558" s="5" t="s">
        <v>238</v>
      </c>
      <c r="HY3558" s="5" t="s">
        <v>238</v>
      </c>
      <c r="HZ3558" s="5" t="s">
        <v>238</v>
      </c>
      <c r="IA3558" s="5" t="s">
        <v>238</v>
      </c>
      <c r="IB3558" s="5" t="s">
        <v>238</v>
      </c>
      <c r="IC3558" s="5" t="s">
        <v>238</v>
      </c>
      <c r="ID3558" s="5" t="s">
        <v>238</v>
      </c>
    </row>
    <row r="3559" spans="1:238" x14ac:dyDescent="0.4">
      <c r="A3559" s="5">
        <v>9277</v>
      </c>
      <c r="B3559" s="5">
        <v>1</v>
      </c>
      <c r="C3559" s="5">
        <v>1</v>
      </c>
      <c r="D3559" s="5" t="s">
        <v>484</v>
      </c>
      <c r="E3559" s="5" t="s">
        <v>485</v>
      </c>
      <c r="F3559" s="5" t="s">
        <v>248</v>
      </c>
      <c r="G3559" s="5" t="s">
        <v>4881</v>
      </c>
      <c r="H3559" s="6" t="s">
        <v>4882</v>
      </c>
      <c r="I3559" s="8">
        <f>1</f>
        <v>1</v>
      </c>
      <c r="J3559" s="5" t="s">
        <v>499</v>
      </c>
      <c r="K3559" s="8">
        <f>1</f>
        <v>1</v>
      </c>
      <c r="L3559" s="6" t="s">
        <v>242</v>
      </c>
      <c r="M3559" s="5" t="s">
        <v>267</v>
      </c>
      <c r="N3559" s="5" t="s">
        <v>482</v>
      </c>
      <c r="O3559" s="5" t="s">
        <v>238</v>
      </c>
      <c r="P3559" s="5" t="s">
        <v>238</v>
      </c>
      <c r="Q3559" s="5" t="s">
        <v>239</v>
      </c>
      <c r="R3559" s="5" t="s">
        <v>270</v>
      </c>
      <c r="S3559" s="5" t="s">
        <v>238</v>
      </c>
      <c r="T3559" s="5" t="s">
        <v>238</v>
      </c>
      <c r="U3559" s="5" t="s">
        <v>238</v>
      </c>
      <c r="V3559" s="5" t="s">
        <v>238</v>
      </c>
      <c r="W3559" s="6" t="s">
        <v>238</v>
      </c>
      <c r="X3559" s="6" t="s">
        <v>238</v>
      </c>
      <c r="Y3559" s="5" t="s">
        <v>238</v>
      </c>
      <c r="Z3559" s="6" t="s">
        <v>238</v>
      </c>
      <c r="AA3559" s="6" t="s">
        <v>243</v>
      </c>
      <c r="AB3559" s="5" t="s">
        <v>486</v>
      </c>
      <c r="AC3559" s="5" t="s">
        <v>244</v>
      </c>
      <c r="AD3559" s="5" t="s">
        <v>245</v>
      </c>
      <c r="AE3559" s="5" t="s">
        <v>238</v>
      </c>
      <c r="AF3559" s="5" t="s">
        <v>238</v>
      </c>
      <c r="AG3559" s="5" t="s">
        <v>238</v>
      </c>
      <c r="AH3559" s="5" t="s">
        <v>238</v>
      </c>
      <c r="AI3559" s="5" t="s">
        <v>238</v>
      </c>
      <c r="AJ3559" s="5" t="s">
        <v>238</v>
      </c>
      <c r="AK3559" s="5" t="s">
        <v>238</v>
      </c>
      <c r="AL3559" s="5" t="s">
        <v>238</v>
      </c>
      <c r="AM3559" s="6" t="s">
        <v>238</v>
      </c>
      <c r="AN3559" s="6" t="s">
        <v>238</v>
      </c>
      <c r="AO3559" s="6" t="s">
        <v>238</v>
      </c>
      <c r="AP3559" s="6" t="s">
        <v>238</v>
      </c>
      <c r="AQ3559" s="5" t="s">
        <v>238</v>
      </c>
      <c r="AR3559" s="5" t="s">
        <v>488</v>
      </c>
      <c r="AS3559" s="5" t="s">
        <v>488</v>
      </c>
      <c r="AT3559" s="5" t="s">
        <v>246</v>
      </c>
      <c r="AU3559" s="5" t="s">
        <v>489</v>
      </c>
      <c r="AV3559" s="5" t="s">
        <v>247</v>
      </c>
      <c r="AW3559" s="5" t="s">
        <v>238</v>
      </c>
      <c r="AX3559" s="5" t="s">
        <v>249</v>
      </c>
      <c r="AY3559" s="5" t="s">
        <v>490</v>
      </c>
      <c r="BA3559" s="5" t="s">
        <v>238</v>
      </c>
      <c r="BC3559" s="5" t="s">
        <v>491</v>
      </c>
      <c r="BD3559" s="6" t="s">
        <v>492</v>
      </c>
      <c r="BE3559" s="5" t="s">
        <v>493</v>
      </c>
      <c r="BF3559" s="5" t="s">
        <v>493</v>
      </c>
      <c r="BG3559" s="5" t="s">
        <v>238</v>
      </c>
      <c r="BH3559" s="8">
        <f>1</f>
        <v>1</v>
      </c>
      <c r="BI3559" s="8">
        <f>1</f>
        <v>1</v>
      </c>
      <c r="BJ3559" s="5" t="s">
        <v>253</v>
      </c>
      <c r="BK3559" s="5" t="s">
        <v>254</v>
      </c>
      <c r="BL3559" s="5" t="s">
        <v>238</v>
      </c>
      <c r="BM3559" s="5" t="s">
        <v>238</v>
      </c>
      <c r="BN3559" s="5" t="s">
        <v>238</v>
      </c>
      <c r="BO3559" s="5" t="s">
        <v>238</v>
      </c>
      <c r="BP3559" s="5" t="s">
        <v>238</v>
      </c>
      <c r="BQ3559" s="5" t="s">
        <v>238</v>
      </c>
      <c r="BR3559" s="5" t="s">
        <v>238</v>
      </c>
      <c r="BS3559" s="5" t="s">
        <v>238</v>
      </c>
      <c r="BT3559" s="6" t="s">
        <v>238</v>
      </c>
      <c r="BU3559" s="5" t="s">
        <v>238</v>
      </c>
      <c r="BV3559" s="5" t="s">
        <v>238</v>
      </c>
      <c r="BW3559" s="5" t="s">
        <v>238</v>
      </c>
      <c r="BX3559" s="5" t="s">
        <v>254</v>
      </c>
      <c r="BY3559" s="5" t="s">
        <v>238</v>
      </c>
      <c r="BZ3559" s="5" t="s">
        <v>238</v>
      </c>
      <c r="CA3559" s="5" t="s">
        <v>238</v>
      </c>
      <c r="CB3559" s="5" t="s">
        <v>238</v>
      </c>
      <c r="CC3559" s="5" t="s">
        <v>238</v>
      </c>
      <c r="CD3559" s="5" t="s">
        <v>273</v>
      </c>
      <c r="CE3559" s="5" t="s">
        <v>256</v>
      </c>
      <c r="CF3559" s="5" t="s">
        <v>238</v>
      </c>
      <c r="CH3559" s="5" t="s">
        <v>494</v>
      </c>
      <c r="CI3559" s="6" t="s">
        <v>257</v>
      </c>
      <c r="CJ3559" s="5" t="s">
        <v>495</v>
      </c>
      <c r="CK3559" s="5" t="s">
        <v>258</v>
      </c>
      <c r="CL3559" s="5" t="s">
        <v>496</v>
      </c>
      <c r="CM3559" s="5" t="s">
        <v>238</v>
      </c>
      <c r="CN3559" s="5">
        <v>0</v>
      </c>
      <c r="CO3559" s="5" t="s">
        <v>497</v>
      </c>
      <c r="CP3559" s="5" t="s">
        <v>260</v>
      </c>
      <c r="CQ3559" s="5" t="s">
        <v>260</v>
      </c>
      <c r="CR3559" s="5" t="s">
        <v>261</v>
      </c>
      <c r="CS3559" s="5" t="s">
        <v>498</v>
      </c>
      <c r="CT3559" s="7">
        <f>1</f>
        <v>1</v>
      </c>
      <c r="CU3559" s="8">
        <f>1</f>
        <v>1</v>
      </c>
      <c r="CV3559" s="8">
        <f>0</f>
        <v>0</v>
      </c>
      <c r="CX3559" s="8">
        <f>1</f>
        <v>1</v>
      </c>
      <c r="CY3559" s="8">
        <f>1</f>
        <v>1</v>
      </c>
      <c r="CZ3559" s="8" t="s">
        <v>238</v>
      </c>
      <c r="DA3559" s="5" t="s">
        <v>238</v>
      </c>
      <c r="DB3559" s="5" t="s">
        <v>238</v>
      </c>
      <c r="DC3559" s="5" t="s">
        <v>238</v>
      </c>
      <c r="DD3559" s="5" t="s">
        <v>238</v>
      </c>
      <c r="DE3559" s="8">
        <f>0</f>
        <v>0</v>
      </c>
      <c r="DG3559" s="5" t="s">
        <v>238</v>
      </c>
      <c r="DH3559" s="5" t="s">
        <v>238</v>
      </c>
      <c r="DI3559" s="5" t="s">
        <v>238</v>
      </c>
      <c r="DJ3559" s="5" t="s">
        <v>238</v>
      </c>
      <c r="DK3559" s="5" t="s">
        <v>238</v>
      </c>
      <c r="DL3559" s="5" t="s">
        <v>238</v>
      </c>
      <c r="DM3559" s="8" t="s">
        <v>238</v>
      </c>
      <c r="DN3559" s="5" t="s">
        <v>238</v>
      </c>
      <c r="DO3559" s="5" t="s">
        <v>238</v>
      </c>
      <c r="DP3559" s="5" t="s">
        <v>490</v>
      </c>
      <c r="DQ3559" s="5" t="s">
        <v>490</v>
      </c>
      <c r="DR3559" s="5" t="s">
        <v>238</v>
      </c>
      <c r="DS3559" s="5" t="s">
        <v>238</v>
      </c>
      <c r="DT3559" s="5" t="s">
        <v>500</v>
      </c>
      <c r="DU3559" s="5" t="s">
        <v>596</v>
      </c>
      <c r="DV3559" s="5" t="s">
        <v>238</v>
      </c>
      <c r="DW3559" s="5" t="s">
        <v>238</v>
      </c>
      <c r="DX3559" s="5" t="s">
        <v>238</v>
      </c>
      <c r="DY3559" s="5" t="s">
        <v>238</v>
      </c>
      <c r="DZ3559" s="5" t="s">
        <v>238</v>
      </c>
      <c r="EA3559" s="5" t="s">
        <v>238</v>
      </c>
      <c r="EB3559" s="5" t="s">
        <v>238</v>
      </c>
      <c r="EC3559" s="5" t="s">
        <v>238</v>
      </c>
      <c r="ED3559" s="5" t="s">
        <v>238</v>
      </c>
      <c r="EE3559" s="5" t="s">
        <v>238</v>
      </c>
      <c r="EF3559" s="5" t="s">
        <v>238</v>
      </c>
      <c r="EG3559" s="5" t="s">
        <v>238</v>
      </c>
      <c r="EH3559" s="5" t="s">
        <v>238</v>
      </c>
      <c r="EI3559" s="5" t="s">
        <v>238</v>
      </c>
      <c r="EJ3559" s="5" t="s">
        <v>238</v>
      </c>
      <c r="EK3559" s="5" t="s">
        <v>238</v>
      </c>
      <c r="EL3559" s="5" t="s">
        <v>238</v>
      </c>
      <c r="EM3559" s="5" t="s">
        <v>238</v>
      </c>
      <c r="EN3559" s="5" t="s">
        <v>238</v>
      </c>
      <c r="EO3559" s="5" t="s">
        <v>238</v>
      </c>
      <c r="EP3559" s="5" t="s">
        <v>238</v>
      </c>
      <c r="EQ3559" s="5" t="s">
        <v>238</v>
      </c>
      <c r="ER3559" s="5" t="s">
        <v>238</v>
      </c>
      <c r="ES3559" s="5" t="s">
        <v>238</v>
      </c>
      <c r="ET3559" s="5" t="s">
        <v>238</v>
      </c>
      <c r="EU3559" s="5" t="s">
        <v>238</v>
      </c>
      <c r="EV3559" s="5" t="s">
        <v>238</v>
      </c>
      <c r="EW3559" s="5" t="s">
        <v>238</v>
      </c>
      <c r="EX3559" s="5" t="s">
        <v>238</v>
      </c>
      <c r="EY3559" s="5" t="s">
        <v>238</v>
      </c>
      <c r="EZ3559" s="5" t="s">
        <v>238</v>
      </c>
      <c r="FA3559" s="5" t="s">
        <v>238</v>
      </c>
      <c r="FB3559" s="5" t="s">
        <v>238</v>
      </c>
      <c r="FC3559" s="5" t="s">
        <v>238</v>
      </c>
      <c r="FD3559" s="5" t="s">
        <v>238</v>
      </c>
      <c r="FE3559" s="5" t="s">
        <v>238</v>
      </c>
      <c r="FF3559" s="5" t="s">
        <v>238</v>
      </c>
      <c r="FG3559" s="5" t="s">
        <v>238</v>
      </c>
      <c r="FH3559" s="5" t="s">
        <v>238</v>
      </c>
      <c r="FI3559" s="5" t="s">
        <v>238</v>
      </c>
      <c r="FJ3559" s="5" t="s">
        <v>238</v>
      </c>
      <c r="FK3559" s="5" t="s">
        <v>238</v>
      </c>
      <c r="FL3559" s="5" t="s">
        <v>238</v>
      </c>
      <c r="FM3559" s="5" t="s">
        <v>238</v>
      </c>
      <c r="FN3559" s="5" t="s">
        <v>238</v>
      </c>
      <c r="FO3559" s="5" t="s">
        <v>238</v>
      </c>
      <c r="FP3559" s="5" t="s">
        <v>238</v>
      </c>
      <c r="FQ3559" s="5" t="s">
        <v>238</v>
      </c>
      <c r="FR3559" s="5" t="s">
        <v>238</v>
      </c>
      <c r="FS3559" s="5" t="s">
        <v>238</v>
      </c>
      <c r="FT3559" s="5" t="s">
        <v>238</v>
      </c>
      <c r="FU3559" s="5" t="s">
        <v>238</v>
      </c>
      <c r="FV3559" s="5" t="s">
        <v>238</v>
      </c>
      <c r="FW3559" s="5" t="s">
        <v>238</v>
      </c>
      <c r="FX3559" s="5" t="s">
        <v>238</v>
      </c>
      <c r="FY3559" s="5" t="s">
        <v>238</v>
      </c>
      <c r="FZ3559" s="5" t="s">
        <v>238</v>
      </c>
      <c r="GA3559" s="5" t="s">
        <v>238</v>
      </c>
      <c r="GB3559" s="5" t="s">
        <v>238</v>
      </c>
      <c r="GC3559" s="5" t="s">
        <v>238</v>
      </c>
      <c r="GD3559" s="5" t="s">
        <v>238</v>
      </c>
      <c r="GE3559" s="5" t="s">
        <v>238</v>
      </c>
      <c r="GF3559" s="5" t="s">
        <v>238</v>
      </c>
      <c r="GG3559" s="5" t="s">
        <v>238</v>
      </c>
      <c r="GH3559" s="5" t="s">
        <v>238</v>
      </c>
      <c r="GI3559" s="5" t="s">
        <v>238</v>
      </c>
      <c r="GJ3559" s="5" t="s">
        <v>238</v>
      </c>
      <c r="GK3559" s="5" t="s">
        <v>238</v>
      </c>
      <c r="GL3559" s="5" t="s">
        <v>238</v>
      </c>
      <c r="GM3559" s="5" t="s">
        <v>238</v>
      </c>
      <c r="GN3559" s="5" t="s">
        <v>238</v>
      </c>
      <c r="GO3559" s="5" t="s">
        <v>238</v>
      </c>
      <c r="GP3559" s="5" t="s">
        <v>238</v>
      </c>
      <c r="GQ3559" s="5" t="s">
        <v>238</v>
      </c>
      <c r="GR3559" s="5" t="s">
        <v>238</v>
      </c>
      <c r="GS3559" s="5" t="s">
        <v>238</v>
      </c>
      <c r="GT3559" s="5" t="s">
        <v>238</v>
      </c>
      <c r="GU3559" s="5" t="s">
        <v>238</v>
      </c>
      <c r="GV3559" s="5" t="s">
        <v>238</v>
      </c>
      <c r="GW3559" s="5" t="s">
        <v>238</v>
      </c>
      <c r="GX3559" s="5" t="s">
        <v>238</v>
      </c>
      <c r="GY3559" s="5" t="s">
        <v>238</v>
      </c>
      <c r="GZ3559" s="5" t="s">
        <v>238</v>
      </c>
      <c r="HA3559" s="5" t="s">
        <v>238</v>
      </c>
      <c r="HB3559" s="5" t="s">
        <v>238</v>
      </c>
      <c r="HC3559" s="5" t="s">
        <v>238</v>
      </c>
      <c r="HD3559" s="5" t="s">
        <v>238</v>
      </c>
      <c r="HE3559" s="5" t="s">
        <v>238</v>
      </c>
      <c r="HF3559" s="5" t="s">
        <v>238</v>
      </c>
      <c r="HG3559" s="5" t="s">
        <v>238</v>
      </c>
      <c r="HH3559" s="5" t="s">
        <v>238</v>
      </c>
      <c r="HI3559" s="5" t="s">
        <v>238</v>
      </c>
      <c r="HJ3559" s="5" t="s">
        <v>238</v>
      </c>
      <c r="HK3559" s="5" t="s">
        <v>238</v>
      </c>
      <c r="HL3559" s="5" t="s">
        <v>238</v>
      </c>
      <c r="HM3559" s="5" t="s">
        <v>264</v>
      </c>
      <c r="HN3559" s="5" t="s">
        <v>238</v>
      </c>
      <c r="HO3559" s="5" t="s">
        <v>238</v>
      </c>
      <c r="HP3559" s="5" t="s">
        <v>238</v>
      </c>
      <c r="HQ3559" s="5" t="s">
        <v>238</v>
      </c>
      <c r="HR3559" s="5" t="s">
        <v>238</v>
      </c>
      <c r="HS3559" s="5" t="s">
        <v>238</v>
      </c>
      <c r="HT3559" s="5" t="s">
        <v>238</v>
      </c>
      <c r="HU3559" s="5" t="s">
        <v>238</v>
      </c>
      <c r="HV3559" s="5" t="s">
        <v>238</v>
      </c>
      <c r="HW3559" s="5" t="s">
        <v>238</v>
      </c>
      <c r="HX3559" s="5" t="s">
        <v>238</v>
      </c>
      <c r="HY3559" s="5" t="s">
        <v>238</v>
      </c>
      <c r="HZ3559" s="5" t="s">
        <v>238</v>
      </c>
      <c r="IA3559" s="5" t="s">
        <v>238</v>
      </c>
      <c r="IB3559" s="5" t="s">
        <v>238</v>
      </c>
      <c r="IC3559" s="5" t="s">
        <v>238</v>
      </c>
      <c r="ID3559" s="5" t="s">
        <v>238</v>
      </c>
    </row>
    <row r="3560" spans="1:238" x14ac:dyDescent="0.4">
      <c r="A3560" s="5">
        <v>9278</v>
      </c>
      <c r="B3560" s="5">
        <v>1</v>
      </c>
      <c r="C3560" s="5">
        <v>1</v>
      </c>
      <c r="D3560" s="5" t="s">
        <v>484</v>
      </c>
      <c r="E3560" s="5" t="s">
        <v>485</v>
      </c>
      <c r="F3560" s="5" t="s">
        <v>248</v>
      </c>
      <c r="G3560" s="5" t="s">
        <v>4677</v>
      </c>
      <c r="H3560" s="6" t="s">
        <v>4678</v>
      </c>
      <c r="I3560" s="8">
        <f>1</f>
        <v>1</v>
      </c>
      <c r="J3560" s="5" t="s">
        <v>499</v>
      </c>
      <c r="K3560" s="8">
        <f>1</f>
        <v>1</v>
      </c>
      <c r="L3560" s="6" t="s">
        <v>242</v>
      </c>
      <c r="M3560" s="5" t="s">
        <v>267</v>
      </c>
      <c r="N3560" s="5" t="s">
        <v>482</v>
      </c>
      <c r="O3560" s="5" t="s">
        <v>238</v>
      </c>
      <c r="P3560" s="5" t="s">
        <v>238</v>
      </c>
      <c r="Q3560" s="5" t="s">
        <v>239</v>
      </c>
      <c r="R3560" s="5" t="s">
        <v>270</v>
      </c>
      <c r="S3560" s="5" t="s">
        <v>238</v>
      </c>
      <c r="T3560" s="5" t="s">
        <v>238</v>
      </c>
      <c r="U3560" s="5" t="s">
        <v>238</v>
      </c>
      <c r="V3560" s="5" t="s">
        <v>238</v>
      </c>
      <c r="W3560" s="6" t="s">
        <v>238</v>
      </c>
      <c r="X3560" s="6" t="s">
        <v>238</v>
      </c>
      <c r="Y3560" s="5" t="s">
        <v>238</v>
      </c>
      <c r="Z3560" s="6" t="s">
        <v>238</v>
      </c>
      <c r="AA3560" s="6" t="s">
        <v>243</v>
      </c>
      <c r="AB3560" s="5" t="s">
        <v>486</v>
      </c>
      <c r="AC3560" s="5" t="s">
        <v>244</v>
      </c>
      <c r="AD3560" s="5" t="s">
        <v>245</v>
      </c>
      <c r="AE3560" s="5" t="s">
        <v>238</v>
      </c>
      <c r="AF3560" s="5" t="s">
        <v>238</v>
      </c>
      <c r="AG3560" s="5" t="s">
        <v>238</v>
      </c>
      <c r="AH3560" s="5" t="s">
        <v>238</v>
      </c>
      <c r="AI3560" s="5" t="s">
        <v>238</v>
      </c>
      <c r="AJ3560" s="5" t="s">
        <v>238</v>
      </c>
      <c r="AK3560" s="5" t="s">
        <v>238</v>
      </c>
      <c r="AL3560" s="5" t="s">
        <v>238</v>
      </c>
      <c r="AM3560" s="6" t="s">
        <v>238</v>
      </c>
      <c r="AN3560" s="6" t="s">
        <v>238</v>
      </c>
      <c r="AO3560" s="6" t="s">
        <v>238</v>
      </c>
      <c r="AP3560" s="6" t="s">
        <v>238</v>
      </c>
      <c r="AQ3560" s="5" t="s">
        <v>238</v>
      </c>
      <c r="AR3560" s="5" t="s">
        <v>488</v>
      </c>
      <c r="AS3560" s="5" t="s">
        <v>488</v>
      </c>
      <c r="AT3560" s="5" t="s">
        <v>246</v>
      </c>
      <c r="AU3560" s="5" t="s">
        <v>489</v>
      </c>
      <c r="AV3560" s="5" t="s">
        <v>247</v>
      </c>
      <c r="AW3560" s="5" t="s">
        <v>238</v>
      </c>
      <c r="AX3560" s="5" t="s">
        <v>249</v>
      </c>
      <c r="AY3560" s="5" t="s">
        <v>490</v>
      </c>
      <c r="BA3560" s="5" t="s">
        <v>238</v>
      </c>
      <c r="BC3560" s="5" t="s">
        <v>491</v>
      </c>
      <c r="BD3560" s="6" t="s">
        <v>492</v>
      </c>
      <c r="BE3560" s="5" t="s">
        <v>493</v>
      </c>
      <c r="BF3560" s="5" t="s">
        <v>493</v>
      </c>
      <c r="BG3560" s="5" t="s">
        <v>238</v>
      </c>
      <c r="BH3560" s="8">
        <f>1</f>
        <v>1</v>
      </c>
      <c r="BI3560" s="8">
        <f>1</f>
        <v>1</v>
      </c>
      <c r="BJ3560" s="5" t="s">
        <v>253</v>
      </c>
      <c r="BK3560" s="5" t="s">
        <v>254</v>
      </c>
      <c r="BL3560" s="5" t="s">
        <v>238</v>
      </c>
      <c r="BM3560" s="5" t="s">
        <v>238</v>
      </c>
      <c r="BN3560" s="5" t="s">
        <v>238</v>
      </c>
      <c r="BO3560" s="5" t="s">
        <v>238</v>
      </c>
      <c r="BP3560" s="5" t="s">
        <v>238</v>
      </c>
      <c r="BQ3560" s="5" t="s">
        <v>238</v>
      </c>
      <c r="BR3560" s="5" t="s">
        <v>238</v>
      </c>
      <c r="BS3560" s="5" t="s">
        <v>238</v>
      </c>
      <c r="BT3560" s="6" t="s">
        <v>238</v>
      </c>
      <c r="BU3560" s="5" t="s">
        <v>238</v>
      </c>
      <c r="BV3560" s="5" t="s">
        <v>238</v>
      </c>
      <c r="BW3560" s="5" t="s">
        <v>238</v>
      </c>
      <c r="BX3560" s="5" t="s">
        <v>254</v>
      </c>
      <c r="BY3560" s="5" t="s">
        <v>238</v>
      </c>
      <c r="BZ3560" s="5" t="s">
        <v>238</v>
      </c>
      <c r="CA3560" s="5" t="s">
        <v>238</v>
      </c>
      <c r="CB3560" s="5" t="s">
        <v>238</v>
      </c>
      <c r="CC3560" s="5" t="s">
        <v>238</v>
      </c>
      <c r="CD3560" s="5" t="s">
        <v>273</v>
      </c>
      <c r="CE3560" s="5" t="s">
        <v>256</v>
      </c>
      <c r="CF3560" s="5" t="s">
        <v>238</v>
      </c>
      <c r="CH3560" s="5" t="s">
        <v>494</v>
      </c>
      <c r="CI3560" s="6" t="s">
        <v>257</v>
      </c>
      <c r="CJ3560" s="5" t="s">
        <v>495</v>
      </c>
      <c r="CK3560" s="5" t="s">
        <v>258</v>
      </c>
      <c r="CL3560" s="5" t="s">
        <v>496</v>
      </c>
      <c r="CM3560" s="5" t="s">
        <v>238</v>
      </c>
      <c r="CN3560" s="5">
        <v>0</v>
      </c>
      <c r="CO3560" s="5" t="s">
        <v>497</v>
      </c>
      <c r="CP3560" s="5" t="s">
        <v>260</v>
      </c>
      <c r="CQ3560" s="5" t="s">
        <v>260</v>
      </c>
      <c r="CR3560" s="5" t="s">
        <v>261</v>
      </c>
      <c r="CS3560" s="5" t="s">
        <v>498</v>
      </c>
      <c r="CT3560" s="7">
        <f>1</f>
        <v>1</v>
      </c>
      <c r="CU3560" s="8">
        <f>1</f>
        <v>1</v>
      </c>
      <c r="CV3560" s="8">
        <f>0</f>
        <v>0</v>
      </c>
      <c r="CX3560" s="8">
        <f>1</f>
        <v>1</v>
      </c>
      <c r="CY3560" s="8">
        <f>1</f>
        <v>1</v>
      </c>
      <c r="CZ3560" s="8" t="s">
        <v>238</v>
      </c>
      <c r="DA3560" s="5" t="s">
        <v>238</v>
      </c>
      <c r="DB3560" s="5" t="s">
        <v>238</v>
      </c>
      <c r="DC3560" s="5" t="s">
        <v>238</v>
      </c>
      <c r="DD3560" s="5" t="s">
        <v>238</v>
      </c>
      <c r="DE3560" s="8">
        <f>0</f>
        <v>0</v>
      </c>
      <c r="DG3560" s="5" t="s">
        <v>238</v>
      </c>
      <c r="DH3560" s="5" t="s">
        <v>238</v>
      </c>
      <c r="DI3560" s="5" t="s">
        <v>238</v>
      </c>
      <c r="DJ3560" s="5" t="s">
        <v>238</v>
      </c>
      <c r="DK3560" s="5" t="s">
        <v>238</v>
      </c>
      <c r="DL3560" s="5" t="s">
        <v>238</v>
      </c>
      <c r="DM3560" s="8" t="s">
        <v>238</v>
      </c>
      <c r="DN3560" s="5" t="s">
        <v>238</v>
      </c>
      <c r="DO3560" s="5" t="s">
        <v>238</v>
      </c>
      <c r="DP3560" s="5" t="s">
        <v>490</v>
      </c>
      <c r="DQ3560" s="5" t="s">
        <v>490</v>
      </c>
      <c r="DR3560" s="5" t="s">
        <v>238</v>
      </c>
      <c r="DS3560" s="5" t="s">
        <v>238</v>
      </c>
      <c r="DT3560" s="5" t="s">
        <v>500</v>
      </c>
      <c r="DU3560" s="5" t="s">
        <v>584</v>
      </c>
      <c r="DV3560" s="5" t="s">
        <v>238</v>
      </c>
      <c r="DW3560" s="5" t="s">
        <v>238</v>
      </c>
      <c r="DX3560" s="5" t="s">
        <v>238</v>
      </c>
      <c r="DY3560" s="5" t="s">
        <v>238</v>
      </c>
      <c r="DZ3560" s="5" t="s">
        <v>238</v>
      </c>
      <c r="EA3560" s="5" t="s">
        <v>238</v>
      </c>
      <c r="EB3560" s="5" t="s">
        <v>238</v>
      </c>
      <c r="EC3560" s="5" t="s">
        <v>238</v>
      </c>
      <c r="ED3560" s="5" t="s">
        <v>238</v>
      </c>
      <c r="EE3560" s="5" t="s">
        <v>238</v>
      </c>
      <c r="EF3560" s="5" t="s">
        <v>238</v>
      </c>
      <c r="EG3560" s="5" t="s">
        <v>238</v>
      </c>
      <c r="EH3560" s="5" t="s">
        <v>238</v>
      </c>
      <c r="EI3560" s="5" t="s">
        <v>238</v>
      </c>
      <c r="EJ3560" s="5" t="s">
        <v>238</v>
      </c>
      <c r="EK3560" s="5" t="s">
        <v>238</v>
      </c>
      <c r="EL3560" s="5" t="s">
        <v>238</v>
      </c>
      <c r="EM3560" s="5" t="s">
        <v>238</v>
      </c>
      <c r="EN3560" s="5" t="s">
        <v>238</v>
      </c>
      <c r="EO3560" s="5" t="s">
        <v>238</v>
      </c>
      <c r="EP3560" s="5" t="s">
        <v>238</v>
      </c>
      <c r="EQ3560" s="5" t="s">
        <v>238</v>
      </c>
      <c r="ER3560" s="5" t="s">
        <v>238</v>
      </c>
      <c r="ES3560" s="5" t="s">
        <v>238</v>
      </c>
      <c r="ET3560" s="5" t="s">
        <v>238</v>
      </c>
      <c r="EU3560" s="5" t="s">
        <v>238</v>
      </c>
      <c r="EV3560" s="5" t="s">
        <v>238</v>
      </c>
      <c r="EW3560" s="5" t="s">
        <v>238</v>
      </c>
      <c r="EX3560" s="5" t="s">
        <v>238</v>
      </c>
      <c r="EY3560" s="5" t="s">
        <v>238</v>
      </c>
      <c r="EZ3560" s="5" t="s">
        <v>238</v>
      </c>
      <c r="FA3560" s="5" t="s">
        <v>238</v>
      </c>
      <c r="FB3560" s="5" t="s">
        <v>238</v>
      </c>
      <c r="FC3560" s="5" t="s">
        <v>238</v>
      </c>
      <c r="FD3560" s="5" t="s">
        <v>238</v>
      </c>
      <c r="FE3560" s="5" t="s">
        <v>238</v>
      </c>
      <c r="FF3560" s="5" t="s">
        <v>238</v>
      </c>
      <c r="FG3560" s="5" t="s">
        <v>238</v>
      </c>
      <c r="FH3560" s="5" t="s">
        <v>238</v>
      </c>
      <c r="FI3560" s="5" t="s">
        <v>238</v>
      </c>
      <c r="FJ3560" s="5" t="s">
        <v>238</v>
      </c>
      <c r="FK3560" s="5" t="s">
        <v>238</v>
      </c>
      <c r="FL3560" s="5" t="s">
        <v>238</v>
      </c>
      <c r="FM3560" s="5" t="s">
        <v>238</v>
      </c>
      <c r="FN3560" s="5" t="s">
        <v>238</v>
      </c>
      <c r="FO3560" s="5" t="s">
        <v>238</v>
      </c>
      <c r="FP3560" s="5" t="s">
        <v>238</v>
      </c>
      <c r="FQ3560" s="5" t="s">
        <v>238</v>
      </c>
      <c r="FR3560" s="5" t="s">
        <v>238</v>
      </c>
      <c r="FS3560" s="5" t="s">
        <v>238</v>
      </c>
      <c r="FT3560" s="5" t="s">
        <v>238</v>
      </c>
      <c r="FU3560" s="5" t="s">
        <v>238</v>
      </c>
      <c r="FV3560" s="5" t="s">
        <v>238</v>
      </c>
      <c r="FW3560" s="5" t="s">
        <v>238</v>
      </c>
      <c r="FX3560" s="5" t="s">
        <v>238</v>
      </c>
      <c r="FY3560" s="5" t="s">
        <v>238</v>
      </c>
      <c r="FZ3560" s="5" t="s">
        <v>238</v>
      </c>
      <c r="GA3560" s="5" t="s">
        <v>238</v>
      </c>
      <c r="GB3560" s="5" t="s">
        <v>238</v>
      </c>
      <c r="GC3560" s="5" t="s">
        <v>238</v>
      </c>
      <c r="GD3560" s="5" t="s">
        <v>238</v>
      </c>
      <c r="GE3560" s="5" t="s">
        <v>238</v>
      </c>
      <c r="GF3560" s="5" t="s">
        <v>238</v>
      </c>
      <c r="GG3560" s="5" t="s">
        <v>238</v>
      </c>
      <c r="GH3560" s="5" t="s">
        <v>238</v>
      </c>
      <c r="GI3560" s="5" t="s">
        <v>238</v>
      </c>
      <c r="GJ3560" s="5" t="s">
        <v>238</v>
      </c>
      <c r="GK3560" s="5" t="s">
        <v>238</v>
      </c>
      <c r="GL3560" s="5" t="s">
        <v>238</v>
      </c>
      <c r="GM3560" s="5" t="s">
        <v>238</v>
      </c>
      <c r="GN3560" s="5" t="s">
        <v>238</v>
      </c>
      <c r="GO3560" s="5" t="s">
        <v>238</v>
      </c>
      <c r="GP3560" s="5" t="s">
        <v>238</v>
      </c>
      <c r="GQ3560" s="5" t="s">
        <v>238</v>
      </c>
      <c r="GR3560" s="5" t="s">
        <v>238</v>
      </c>
      <c r="GS3560" s="5" t="s">
        <v>238</v>
      </c>
      <c r="GT3560" s="5" t="s">
        <v>238</v>
      </c>
      <c r="GU3560" s="5" t="s">
        <v>238</v>
      </c>
      <c r="GV3560" s="5" t="s">
        <v>238</v>
      </c>
      <c r="GW3560" s="5" t="s">
        <v>238</v>
      </c>
      <c r="GX3560" s="5" t="s">
        <v>238</v>
      </c>
      <c r="GY3560" s="5" t="s">
        <v>238</v>
      </c>
      <c r="GZ3560" s="5" t="s">
        <v>238</v>
      </c>
      <c r="HA3560" s="5" t="s">
        <v>238</v>
      </c>
      <c r="HB3560" s="5" t="s">
        <v>238</v>
      </c>
      <c r="HC3560" s="5" t="s">
        <v>238</v>
      </c>
      <c r="HD3560" s="5" t="s">
        <v>238</v>
      </c>
      <c r="HE3560" s="5" t="s">
        <v>238</v>
      </c>
      <c r="HF3560" s="5" t="s">
        <v>238</v>
      </c>
      <c r="HG3560" s="5" t="s">
        <v>238</v>
      </c>
      <c r="HH3560" s="5" t="s">
        <v>238</v>
      </c>
      <c r="HI3560" s="5" t="s">
        <v>238</v>
      </c>
      <c r="HJ3560" s="5" t="s">
        <v>238</v>
      </c>
      <c r="HK3560" s="5" t="s">
        <v>238</v>
      </c>
      <c r="HL3560" s="5" t="s">
        <v>238</v>
      </c>
      <c r="HM3560" s="5" t="s">
        <v>264</v>
      </c>
      <c r="HN3560" s="5" t="s">
        <v>238</v>
      </c>
      <c r="HO3560" s="5" t="s">
        <v>238</v>
      </c>
      <c r="HP3560" s="5" t="s">
        <v>238</v>
      </c>
      <c r="HQ3560" s="5" t="s">
        <v>238</v>
      </c>
      <c r="HR3560" s="5" t="s">
        <v>238</v>
      </c>
      <c r="HS3560" s="5" t="s">
        <v>238</v>
      </c>
      <c r="HT3560" s="5" t="s">
        <v>238</v>
      </c>
      <c r="HU3560" s="5" t="s">
        <v>238</v>
      </c>
      <c r="HV3560" s="5" t="s">
        <v>238</v>
      </c>
      <c r="HW3560" s="5" t="s">
        <v>238</v>
      </c>
      <c r="HX3560" s="5" t="s">
        <v>238</v>
      </c>
      <c r="HY3560" s="5" t="s">
        <v>238</v>
      </c>
      <c r="HZ3560" s="5" t="s">
        <v>238</v>
      </c>
      <c r="IA3560" s="5" t="s">
        <v>238</v>
      </c>
      <c r="IB3560" s="5" t="s">
        <v>238</v>
      </c>
      <c r="IC3560" s="5" t="s">
        <v>238</v>
      </c>
      <c r="ID3560" s="5" t="s">
        <v>238</v>
      </c>
    </row>
    <row r="3561" spans="1:238" x14ac:dyDescent="0.4">
      <c r="A3561" s="5">
        <v>9279</v>
      </c>
      <c r="B3561" s="5">
        <v>1</v>
      </c>
      <c r="C3561" s="5">
        <v>1</v>
      </c>
      <c r="D3561" s="5" t="s">
        <v>484</v>
      </c>
      <c r="E3561" s="5" t="s">
        <v>485</v>
      </c>
      <c r="F3561" s="5" t="s">
        <v>248</v>
      </c>
      <c r="G3561" s="5" t="s">
        <v>6442</v>
      </c>
      <c r="H3561" s="6" t="s">
        <v>6443</v>
      </c>
      <c r="I3561" s="8">
        <f>1</f>
        <v>1</v>
      </c>
      <c r="J3561" s="5" t="s">
        <v>499</v>
      </c>
      <c r="K3561" s="8">
        <f>1</f>
        <v>1</v>
      </c>
      <c r="L3561" s="6" t="s">
        <v>242</v>
      </c>
      <c r="M3561" s="5" t="s">
        <v>267</v>
      </c>
      <c r="N3561" s="5" t="s">
        <v>482</v>
      </c>
      <c r="O3561" s="5" t="s">
        <v>238</v>
      </c>
      <c r="P3561" s="5" t="s">
        <v>238</v>
      </c>
      <c r="Q3561" s="5" t="s">
        <v>239</v>
      </c>
      <c r="R3561" s="5" t="s">
        <v>270</v>
      </c>
      <c r="S3561" s="5" t="s">
        <v>238</v>
      </c>
      <c r="T3561" s="5" t="s">
        <v>238</v>
      </c>
      <c r="U3561" s="5" t="s">
        <v>238</v>
      </c>
      <c r="V3561" s="5" t="s">
        <v>238</v>
      </c>
      <c r="W3561" s="6" t="s">
        <v>238</v>
      </c>
      <c r="X3561" s="6" t="s">
        <v>238</v>
      </c>
      <c r="Y3561" s="5" t="s">
        <v>238</v>
      </c>
      <c r="Z3561" s="6" t="s">
        <v>238</v>
      </c>
      <c r="AA3561" s="6" t="s">
        <v>243</v>
      </c>
      <c r="AB3561" s="5" t="s">
        <v>486</v>
      </c>
      <c r="AC3561" s="5" t="s">
        <v>244</v>
      </c>
      <c r="AD3561" s="5" t="s">
        <v>245</v>
      </c>
      <c r="AE3561" s="5" t="s">
        <v>238</v>
      </c>
      <c r="AF3561" s="5" t="s">
        <v>238</v>
      </c>
      <c r="AG3561" s="5" t="s">
        <v>238</v>
      </c>
      <c r="AH3561" s="5" t="s">
        <v>238</v>
      </c>
      <c r="AI3561" s="5" t="s">
        <v>238</v>
      </c>
      <c r="AJ3561" s="5" t="s">
        <v>238</v>
      </c>
      <c r="AK3561" s="5" t="s">
        <v>238</v>
      </c>
      <c r="AL3561" s="5" t="s">
        <v>238</v>
      </c>
      <c r="AM3561" s="6" t="s">
        <v>238</v>
      </c>
      <c r="AN3561" s="6" t="s">
        <v>238</v>
      </c>
      <c r="AO3561" s="6" t="s">
        <v>238</v>
      </c>
      <c r="AP3561" s="6" t="s">
        <v>238</v>
      </c>
      <c r="AQ3561" s="5" t="s">
        <v>238</v>
      </c>
      <c r="AR3561" s="5" t="s">
        <v>488</v>
      </c>
      <c r="AS3561" s="5" t="s">
        <v>488</v>
      </c>
      <c r="AT3561" s="5" t="s">
        <v>246</v>
      </c>
      <c r="AU3561" s="5" t="s">
        <v>489</v>
      </c>
      <c r="AV3561" s="5" t="s">
        <v>247</v>
      </c>
      <c r="AW3561" s="5" t="s">
        <v>238</v>
      </c>
      <c r="AX3561" s="5" t="s">
        <v>249</v>
      </c>
      <c r="AY3561" s="5" t="s">
        <v>490</v>
      </c>
      <c r="BA3561" s="5" t="s">
        <v>238</v>
      </c>
      <c r="BC3561" s="5" t="s">
        <v>491</v>
      </c>
      <c r="BD3561" s="6" t="s">
        <v>492</v>
      </c>
      <c r="BE3561" s="5" t="s">
        <v>493</v>
      </c>
      <c r="BF3561" s="5" t="s">
        <v>493</v>
      </c>
      <c r="BG3561" s="5" t="s">
        <v>238</v>
      </c>
      <c r="BH3561" s="8">
        <f>1</f>
        <v>1</v>
      </c>
      <c r="BI3561" s="8">
        <f>1</f>
        <v>1</v>
      </c>
      <c r="BJ3561" s="5" t="s">
        <v>253</v>
      </c>
      <c r="BK3561" s="5" t="s">
        <v>254</v>
      </c>
      <c r="BL3561" s="5" t="s">
        <v>238</v>
      </c>
      <c r="BM3561" s="5" t="s">
        <v>238</v>
      </c>
      <c r="BN3561" s="5" t="s">
        <v>238</v>
      </c>
      <c r="BO3561" s="5" t="s">
        <v>238</v>
      </c>
      <c r="BP3561" s="5" t="s">
        <v>238</v>
      </c>
      <c r="BQ3561" s="5" t="s">
        <v>238</v>
      </c>
      <c r="BR3561" s="5" t="s">
        <v>238</v>
      </c>
      <c r="BS3561" s="5" t="s">
        <v>238</v>
      </c>
      <c r="BT3561" s="6" t="s">
        <v>238</v>
      </c>
      <c r="BU3561" s="5" t="s">
        <v>238</v>
      </c>
      <c r="BV3561" s="5" t="s">
        <v>238</v>
      </c>
      <c r="BW3561" s="5" t="s">
        <v>238</v>
      </c>
      <c r="BX3561" s="5" t="s">
        <v>254</v>
      </c>
      <c r="BY3561" s="5" t="s">
        <v>238</v>
      </c>
      <c r="BZ3561" s="5" t="s">
        <v>238</v>
      </c>
      <c r="CA3561" s="5" t="s">
        <v>238</v>
      </c>
      <c r="CB3561" s="5" t="s">
        <v>238</v>
      </c>
      <c r="CC3561" s="5" t="s">
        <v>238</v>
      </c>
      <c r="CD3561" s="5" t="s">
        <v>273</v>
      </c>
      <c r="CE3561" s="5" t="s">
        <v>256</v>
      </c>
      <c r="CF3561" s="5" t="s">
        <v>238</v>
      </c>
      <c r="CH3561" s="5" t="s">
        <v>494</v>
      </c>
      <c r="CI3561" s="6" t="s">
        <v>257</v>
      </c>
      <c r="CJ3561" s="5" t="s">
        <v>495</v>
      </c>
      <c r="CK3561" s="5" t="s">
        <v>258</v>
      </c>
      <c r="CL3561" s="5" t="s">
        <v>496</v>
      </c>
      <c r="CM3561" s="5" t="s">
        <v>238</v>
      </c>
      <c r="CN3561" s="5">
        <v>0</v>
      </c>
      <c r="CO3561" s="5" t="s">
        <v>497</v>
      </c>
      <c r="CP3561" s="5" t="s">
        <v>260</v>
      </c>
      <c r="CQ3561" s="5" t="s">
        <v>260</v>
      </c>
      <c r="CR3561" s="5" t="s">
        <v>261</v>
      </c>
      <c r="CS3561" s="5" t="s">
        <v>498</v>
      </c>
      <c r="CT3561" s="7">
        <f>1</f>
        <v>1</v>
      </c>
      <c r="CU3561" s="8">
        <f>1</f>
        <v>1</v>
      </c>
      <c r="CV3561" s="8">
        <f>0</f>
        <v>0</v>
      </c>
      <c r="CX3561" s="8">
        <f>1</f>
        <v>1</v>
      </c>
      <c r="CY3561" s="8">
        <f>1</f>
        <v>1</v>
      </c>
      <c r="CZ3561" s="8" t="s">
        <v>238</v>
      </c>
      <c r="DA3561" s="5" t="s">
        <v>238</v>
      </c>
      <c r="DB3561" s="5" t="s">
        <v>238</v>
      </c>
      <c r="DC3561" s="5" t="s">
        <v>238</v>
      </c>
      <c r="DD3561" s="5" t="s">
        <v>238</v>
      </c>
      <c r="DE3561" s="8">
        <f>0</f>
        <v>0</v>
      </c>
      <c r="DG3561" s="5" t="s">
        <v>238</v>
      </c>
      <c r="DH3561" s="5" t="s">
        <v>238</v>
      </c>
      <c r="DI3561" s="5" t="s">
        <v>238</v>
      </c>
      <c r="DJ3561" s="5" t="s">
        <v>238</v>
      </c>
      <c r="DK3561" s="5" t="s">
        <v>238</v>
      </c>
      <c r="DL3561" s="5" t="s">
        <v>238</v>
      </c>
      <c r="DM3561" s="8" t="s">
        <v>238</v>
      </c>
      <c r="DN3561" s="5" t="s">
        <v>238</v>
      </c>
      <c r="DO3561" s="5" t="s">
        <v>238</v>
      </c>
      <c r="DP3561" s="5" t="s">
        <v>490</v>
      </c>
      <c r="DQ3561" s="5" t="s">
        <v>490</v>
      </c>
      <c r="DR3561" s="5" t="s">
        <v>238</v>
      </c>
      <c r="DS3561" s="5" t="s">
        <v>238</v>
      </c>
      <c r="DT3561" s="5" t="s">
        <v>500</v>
      </c>
      <c r="DU3561" s="5" t="s">
        <v>570</v>
      </c>
      <c r="DV3561" s="5" t="s">
        <v>238</v>
      </c>
      <c r="DW3561" s="5" t="s">
        <v>238</v>
      </c>
      <c r="DX3561" s="5" t="s">
        <v>238</v>
      </c>
      <c r="DY3561" s="5" t="s">
        <v>238</v>
      </c>
      <c r="DZ3561" s="5" t="s">
        <v>238</v>
      </c>
      <c r="EA3561" s="5" t="s">
        <v>238</v>
      </c>
      <c r="EB3561" s="5" t="s">
        <v>238</v>
      </c>
      <c r="EC3561" s="5" t="s">
        <v>238</v>
      </c>
      <c r="ED3561" s="5" t="s">
        <v>238</v>
      </c>
      <c r="EE3561" s="5" t="s">
        <v>238</v>
      </c>
      <c r="EF3561" s="5" t="s">
        <v>238</v>
      </c>
      <c r="EG3561" s="5" t="s">
        <v>238</v>
      </c>
      <c r="EH3561" s="5" t="s">
        <v>238</v>
      </c>
      <c r="EI3561" s="5" t="s">
        <v>238</v>
      </c>
      <c r="EJ3561" s="5" t="s">
        <v>238</v>
      </c>
      <c r="EK3561" s="5" t="s">
        <v>238</v>
      </c>
      <c r="EL3561" s="5" t="s">
        <v>238</v>
      </c>
      <c r="EM3561" s="5" t="s">
        <v>238</v>
      </c>
      <c r="EN3561" s="5" t="s">
        <v>238</v>
      </c>
      <c r="EO3561" s="5" t="s">
        <v>238</v>
      </c>
      <c r="EP3561" s="5" t="s">
        <v>238</v>
      </c>
      <c r="EQ3561" s="5" t="s">
        <v>238</v>
      </c>
      <c r="ER3561" s="5" t="s">
        <v>238</v>
      </c>
      <c r="ES3561" s="5" t="s">
        <v>238</v>
      </c>
      <c r="ET3561" s="5" t="s">
        <v>238</v>
      </c>
      <c r="EU3561" s="5" t="s">
        <v>238</v>
      </c>
      <c r="EV3561" s="5" t="s">
        <v>238</v>
      </c>
      <c r="EW3561" s="5" t="s">
        <v>238</v>
      </c>
      <c r="EX3561" s="5" t="s">
        <v>238</v>
      </c>
      <c r="EY3561" s="5" t="s">
        <v>238</v>
      </c>
      <c r="EZ3561" s="5" t="s">
        <v>238</v>
      </c>
      <c r="FA3561" s="5" t="s">
        <v>238</v>
      </c>
      <c r="FB3561" s="5" t="s">
        <v>238</v>
      </c>
      <c r="FC3561" s="5" t="s">
        <v>238</v>
      </c>
      <c r="FD3561" s="5" t="s">
        <v>238</v>
      </c>
      <c r="FE3561" s="5" t="s">
        <v>238</v>
      </c>
      <c r="FF3561" s="5" t="s">
        <v>238</v>
      </c>
      <c r="FG3561" s="5" t="s">
        <v>238</v>
      </c>
      <c r="FH3561" s="5" t="s">
        <v>238</v>
      </c>
      <c r="FI3561" s="5" t="s">
        <v>238</v>
      </c>
      <c r="FJ3561" s="5" t="s">
        <v>238</v>
      </c>
      <c r="FK3561" s="5" t="s">
        <v>238</v>
      </c>
      <c r="FL3561" s="5" t="s">
        <v>238</v>
      </c>
      <c r="FM3561" s="5" t="s">
        <v>238</v>
      </c>
      <c r="FN3561" s="5" t="s">
        <v>238</v>
      </c>
      <c r="FO3561" s="5" t="s">
        <v>238</v>
      </c>
      <c r="FP3561" s="5" t="s">
        <v>238</v>
      </c>
      <c r="FQ3561" s="5" t="s">
        <v>238</v>
      </c>
      <c r="FR3561" s="5" t="s">
        <v>238</v>
      </c>
      <c r="FS3561" s="5" t="s">
        <v>238</v>
      </c>
      <c r="FT3561" s="5" t="s">
        <v>238</v>
      </c>
      <c r="FU3561" s="5" t="s">
        <v>238</v>
      </c>
      <c r="FV3561" s="5" t="s">
        <v>238</v>
      </c>
      <c r="FW3561" s="5" t="s">
        <v>238</v>
      </c>
      <c r="FX3561" s="5" t="s">
        <v>238</v>
      </c>
      <c r="FY3561" s="5" t="s">
        <v>238</v>
      </c>
      <c r="FZ3561" s="5" t="s">
        <v>238</v>
      </c>
      <c r="GA3561" s="5" t="s">
        <v>238</v>
      </c>
      <c r="GB3561" s="5" t="s">
        <v>238</v>
      </c>
      <c r="GC3561" s="5" t="s">
        <v>238</v>
      </c>
      <c r="GD3561" s="5" t="s">
        <v>238</v>
      </c>
      <c r="GE3561" s="5" t="s">
        <v>238</v>
      </c>
      <c r="GF3561" s="5" t="s">
        <v>238</v>
      </c>
      <c r="GG3561" s="5" t="s">
        <v>238</v>
      </c>
      <c r="GH3561" s="5" t="s">
        <v>238</v>
      </c>
      <c r="GI3561" s="5" t="s">
        <v>238</v>
      </c>
      <c r="GJ3561" s="5" t="s">
        <v>238</v>
      </c>
      <c r="GK3561" s="5" t="s">
        <v>238</v>
      </c>
      <c r="GL3561" s="5" t="s">
        <v>238</v>
      </c>
      <c r="GM3561" s="5" t="s">
        <v>238</v>
      </c>
      <c r="GN3561" s="5" t="s">
        <v>238</v>
      </c>
      <c r="GO3561" s="5" t="s">
        <v>238</v>
      </c>
      <c r="GP3561" s="5" t="s">
        <v>238</v>
      </c>
      <c r="GQ3561" s="5" t="s">
        <v>238</v>
      </c>
      <c r="GR3561" s="5" t="s">
        <v>238</v>
      </c>
      <c r="GS3561" s="5" t="s">
        <v>238</v>
      </c>
      <c r="GT3561" s="5" t="s">
        <v>238</v>
      </c>
      <c r="GU3561" s="5" t="s">
        <v>238</v>
      </c>
      <c r="GV3561" s="5" t="s">
        <v>238</v>
      </c>
      <c r="GW3561" s="5" t="s">
        <v>238</v>
      </c>
      <c r="GX3561" s="5" t="s">
        <v>238</v>
      </c>
      <c r="GY3561" s="5" t="s">
        <v>238</v>
      </c>
      <c r="GZ3561" s="5" t="s">
        <v>238</v>
      </c>
      <c r="HA3561" s="5" t="s">
        <v>238</v>
      </c>
      <c r="HB3561" s="5" t="s">
        <v>238</v>
      </c>
      <c r="HC3561" s="5" t="s">
        <v>238</v>
      </c>
      <c r="HD3561" s="5" t="s">
        <v>238</v>
      </c>
      <c r="HE3561" s="5" t="s">
        <v>238</v>
      </c>
      <c r="HF3561" s="5" t="s">
        <v>238</v>
      </c>
      <c r="HG3561" s="5" t="s">
        <v>238</v>
      </c>
      <c r="HH3561" s="5" t="s">
        <v>238</v>
      </c>
      <c r="HI3561" s="5" t="s">
        <v>238</v>
      </c>
      <c r="HJ3561" s="5" t="s">
        <v>238</v>
      </c>
      <c r="HK3561" s="5" t="s">
        <v>238</v>
      </c>
      <c r="HL3561" s="5" t="s">
        <v>238</v>
      </c>
      <c r="HM3561" s="5" t="s">
        <v>264</v>
      </c>
      <c r="HN3561" s="5" t="s">
        <v>238</v>
      </c>
      <c r="HO3561" s="5" t="s">
        <v>238</v>
      </c>
      <c r="HP3561" s="5" t="s">
        <v>238</v>
      </c>
      <c r="HQ3561" s="5" t="s">
        <v>238</v>
      </c>
      <c r="HR3561" s="5" t="s">
        <v>238</v>
      </c>
      <c r="HS3561" s="5" t="s">
        <v>238</v>
      </c>
      <c r="HT3561" s="5" t="s">
        <v>238</v>
      </c>
      <c r="HU3561" s="5" t="s">
        <v>238</v>
      </c>
      <c r="HV3561" s="5" t="s">
        <v>238</v>
      </c>
      <c r="HW3561" s="5" t="s">
        <v>238</v>
      </c>
      <c r="HX3561" s="5" t="s">
        <v>238</v>
      </c>
      <c r="HY3561" s="5" t="s">
        <v>238</v>
      </c>
      <c r="HZ3561" s="5" t="s">
        <v>238</v>
      </c>
      <c r="IA3561" s="5" t="s">
        <v>238</v>
      </c>
      <c r="IB3561" s="5" t="s">
        <v>238</v>
      </c>
      <c r="IC3561" s="5" t="s">
        <v>238</v>
      </c>
      <c r="ID3561" s="5" t="s">
        <v>238</v>
      </c>
    </row>
    <row r="3562" spans="1:238" x14ac:dyDescent="0.4">
      <c r="A3562" s="5">
        <v>9280</v>
      </c>
      <c r="B3562" s="5">
        <v>1</v>
      </c>
      <c r="C3562" s="5">
        <v>1</v>
      </c>
      <c r="D3562" s="5" t="s">
        <v>484</v>
      </c>
      <c r="E3562" s="5" t="s">
        <v>485</v>
      </c>
      <c r="F3562" s="5" t="s">
        <v>248</v>
      </c>
      <c r="G3562" s="5" t="s">
        <v>4519</v>
      </c>
      <c r="H3562" s="6" t="s">
        <v>4520</v>
      </c>
      <c r="I3562" s="8">
        <f>1</f>
        <v>1</v>
      </c>
      <c r="J3562" s="5" t="s">
        <v>499</v>
      </c>
      <c r="K3562" s="8">
        <f>1</f>
        <v>1</v>
      </c>
      <c r="L3562" s="6" t="s">
        <v>242</v>
      </c>
      <c r="M3562" s="5" t="s">
        <v>267</v>
      </c>
      <c r="N3562" s="5" t="s">
        <v>482</v>
      </c>
      <c r="O3562" s="5" t="s">
        <v>238</v>
      </c>
      <c r="P3562" s="5" t="s">
        <v>238</v>
      </c>
      <c r="Q3562" s="5" t="s">
        <v>239</v>
      </c>
      <c r="R3562" s="5" t="s">
        <v>270</v>
      </c>
      <c r="S3562" s="5" t="s">
        <v>238</v>
      </c>
      <c r="T3562" s="5" t="s">
        <v>238</v>
      </c>
      <c r="U3562" s="5" t="s">
        <v>238</v>
      </c>
      <c r="V3562" s="5" t="s">
        <v>238</v>
      </c>
      <c r="W3562" s="6" t="s">
        <v>238</v>
      </c>
      <c r="X3562" s="6" t="s">
        <v>238</v>
      </c>
      <c r="Y3562" s="5" t="s">
        <v>238</v>
      </c>
      <c r="Z3562" s="6" t="s">
        <v>238</v>
      </c>
      <c r="AA3562" s="6" t="s">
        <v>243</v>
      </c>
      <c r="AB3562" s="5" t="s">
        <v>486</v>
      </c>
      <c r="AC3562" s="5" t="s">
        <v>244</v>
      </c>
      <c r="AD3562" s="5" t="s">
        <v>245</v>
      </c>
      <c r="AE3562" s="5" t="s">
        <v>238</v>
      </c>
      <c r="AF3562" s="5" t="s">
        <v>238</v>
      </c>
      <c r="AG3562" s="5" t="s">
        <v>238</v>
      </c>
      <c r="AH3562" s="5" t="s">
        <v>238</v>
      </c>
      <c r="AI3562" s="5" t="s">
        <v>238</v>
      </c>
      <c r="AJ3562" s="5" t="s">
        <v>238</v>
      </c>
      <c r="AK3562" s="5" t="s">
        <v>238</v>
      </c>
      <c r="AL3562" s="5" t="s">
        <v>238</v>
      </c>
      <c r="AM3562" s="6" t="s">
        <v>238</v>
      </c>
      <c r="AN3562" s="6" t="s">
        <v>238</v>
      </c>
      <c r="AO3562" s="6" t="s">
        <v>238</v>
      </c>
      <c r="AP3562" s="6" t="s">
        <v>238</v>
      </c>
      <c r="AQ3562" s="5" t="s">
        <v>238</v>
      </c>
      <c r="AR3562" s="5" t="s">
        <v>488</v>
      </c>
      <c r="AS3562" s="5" t="s">
        <v>488</v>
      </c>
      <c r="AT3562" s="5" t="s">
        <v>246</v>
      </c>
      <c r="AU3562" s="5" t="s">
        <v>489</v>
      </c>
      <c r="AV3562" s="5" t="s">
        <v>247</v>
      </c>
      <c r="AW3562" s="5" t="s">
        <v>238</v>
      </c>
      <c r="AX3562" s="5" t="s">
        <v>249</v>
      </c>
      <c r="AY3562" s="5" t="s">
        <v>490</v>
      </c>
      <c r="BA3562" s="5" t="s">
        <v>238</v>
      </c>
      <c r="BC3562" s="5" t="s">
        <v>491</v>
      </c>
      <c r="BD3562" s="6" t="s">
        <v>492</v>
      </c>
      <c r="BE3562" s="5" t="s">
        <v>493</v>
      </c>
      <c r="BF3562" s="5" t="s">
        <v>493</v>
      </c>
      <c r="BG3562" s="5" t="s">
        <v>238</v>
      </c>
      <c r="BH3562" s="8">
        <f>1</f>
        <v>1</v>
      </c>
      <c r="BI3562" s="8">
        <f>1</f>
        <v>1</v>
      </c>
      <c r="BJ3562" s="5" t="s">
        <v>253</v>
      </c>
      <c r="BK3562" s="5" t="s">
        <v>254</v>
      </c>
      <c r="BL3562" s="5" t="s">
        <v>238</v>
      </c>
      <c r="BM3562" s="5" t="s">
        <v>238</v>
      </c>
      <c r="BN3562" s="5" t="s">
        <v>238</v>
      </c>
      <c r="BO3562" s="5" t="s">
        <v>238</v>
      </c>
      <c r="BP3562" s="5" t="s">
        <v>238</v>
      </c>
      <c r="BQ3562" s="5" t="s">
        <v>238</v>
      </c>
      <c r="BR3562" s="5" t="s">
        <v>238</v>
      </c>
      <c r="BS3562" s="5" t="s">
        <v>238</v>
      </c>
      <c r="BT3562" s="6" t="s">
        <v>238</v>
      </c>
      <c r="BU3562" s="5" t="s">
        <v>238</v>
      </c>
      <c r="BV3562" s="5" t="s">
        <v>238</v>
      </c>
      <c r="BW3562" s="5" t="s">
        <v>238</v>
      </c>
      <c r="BX3562" s="5" t="s">
        <v>254</v>
      </c>
      <c r="BY3562" s="5" t="s">
        <v>238</v>
      </c>
      <c r="BZ3562" s="5" t="s">
        <v>238</v>
      </c>
      <c r="CA3562" s="5" t="s">
        <v>238</v>
      </c>
      <c r="CB3562" s="5" t="s">
        <v>238</v>
      </c>
      <c r="CC3562" s="5" t="s">
        <v>238</v>
      </c>
      <c r="CD3562" s="5" t="s">
        <v>273</v>
      </c>
      <c r="CE3562" s="5" t="s">
        <v>256</v>
      </c>
      <c r="CF3562" s="5" t="s">
        <v>238</v>
      </c>
      <c r="CH3562" s="5" t="s">
        <v>494</v>
      </c>
      <c r="CI3562" s="6" t="s">
        <v>257</v>
      </c>
      <c r="CJ3562" s="5" t="s">
        <v>495</v>
      </c>
      <c r="CK3562" s="5" t="s">
        <v>258</v>
      </c>
      <c r="CL3562" s="5" t="s">
        <v>496</v>
      </c>
      <c r="CM3562" s="5" t="s">
        <v>238</v>
      </c>
      <c r="CN3562" s="5">
        <v>0</v>
      </c>
      <c r="CO3562" s="5" t="s">
        <v>497</v>
      </c>
      <c r="CP3562" s="5" t="s">
        <v>260</v>
      </c>
      <c r="CQ3562" s="5" t="s">
        <v>260</v>
      </c>
      <c r="CR3562" s="5" t="s">
        <v>261</v>
      </c>
      <c r="CS3562" s="5" t="s">
        <v>498</v>
      </c>
      <c r="CT3562" s="7">
        <f>1</f>
        <v>1</v>
      </c>
      <c r="CU3562" s="8">
        <f>1</f>
        <v>1</v>
      </c>
      <c r="CV3562" s="8">
        <f>0</f>
        <v>0</v>
      </c>
      <c r="CX3562" s="8">
        <f>1</f>
        <v>1</v>
      </c>
      <c r="CY3562" s="8">
        <f>1</f>
        <v>1</v>
      </c>
      <c r="CZ3562" s="8" t="s">
        <v>238</v>
      </c>
      <c r="DA3562" s="5" t="s">
        <v>238</v>
      </c>
      <c r="DB3562" s="5" t="s">
        <v>238</v>
      </c>
      <c r="DC3562" s="5" t="s">
        <v>238</v>
      </c>
      <c r="DD3562" s="5" t="s">
        <v>238</v>
      </c>
      <c r="DE3562" s="8">
        <f>0</f>
        <v>0</v>
      </c>
      <c r="DG3562" s="5" t="s">
        <v>238</v>
      </c>
      <c r="DH3562" s="5" t="s">
        <v>238</v>
      </c>
      <c r="DI3562" s="5" t="s">
        <v>238</v>
      </c>
      <c r="DJ3562" s="5" t="s">
        <v>238</v>
      </c>
      <c r="DK3562" s="5" t="s">
        <v>238</v>
      </c>
      <c r="DL3562" s="5" t="s">
        <v>238</v>
      </c>
      <c r="DM3562" s="8" t="s">
        <v>238</v>
      </c>
      <c r="DN3562" s="5" t="s">
        <v>238</v>
      </c>
      <c r="DO3562" s="5" t="s">
        <v>238</v>
      </c>
      <c r="DP3562" s="5" t="s">
        <v>490</v>
      </c>
      <c r="DQ3562" s="5" t="s">
        <v>490</v>
      </c>
      <c r="DR3562" s="5" t="s">
        <v>238</v>
      </c>
      <c r="DS3562" s="5" t="s">
        <v>238</v>
      </c>
      <c r="DT3562" s="5" t="s">
        <v>500</v>
      </c>
      <c r="DU3562" s="5" t="s">
        <v>390</v>
      </c>
      <c r="DV3562" s="5" t="s">
        <v>238</v>
      </c>
      <c r="DW3562" s="5" t="s">
        <v>238</v>
      </c>
      <c r="DX3562" s="5" t="s">
        <v>238</v>
      </c>
      <c r="DY3562" s="5" t="s">
        <v>238</v>
      </c>
      <c r="DZ3562" s="5" t="s">
        <v>238</v>
      </c>
      <c r="EA3562" s="5" t="s">
        <v>238</v>
      </c>
      <c r="EB3562" s="5" t="s">
        <v>238</v>
      </c>
      <c r="EC3562" s="5" t="s">
        <v>238</v>
      </c>
      <c r="ED3562" s="5" t="s">
        <v>238</v>
      </c>
      <c r="EE3562" s="5" t="s">
        <v>238</v>
      </c>
      <c r="EF3562" s="5" t="s">
        <v>238</v>
      </c>
      <c r="EG3562" s="5" t="s">
        <v>238</v>
      </c>
      <c r="EH3562" s="5" t="s">
        <v>238</v>
      </c>
      <c r="EI3562" s="5" t="s">
        <v>238</v>
      </c>
      <c r="EJ3562" s="5" t="s">
        <v>238</v>
      </c>
      <c r="EK3562" s="5" t="s">
        <v>238</v>
      </c>
      <c r="EL3562" s="5" t="s">
        <v>238</v>
      </c>
      <c r="EM3562" s="5" t="s">
        <v>238</v>
      </c>
      <c r="EN3562" s="5" t="s">
        <v>238</v>
      </c>
      <c r="EO3562" s="5" t="s">
        <v>238</v>
      </c>
      <c r="EP3562" s="5" t="s">
        <v>238</v>
      </c>
      <c r="EQ3562" s="5" t="s">
        <v>238</v>
      </c>
      <c r="ER3562" s="5" t="s">
        <v>238</v>
      </c>
      <c r="ES3562" s="5" t="s">
        <v>238</v>
      </c>
      <c r="ET3562" s="5" t="s">
        <v>238</v>
      </c>
      <c r="EU3562" s="5" t="s">
        <v>238</v>
      </c>
      <c r="EV3562" s="5" t="s">
        <v>238</v>
      </c>
      <c r="EW3562" s="5" t="s">
        <v>238</v>
      </c>
      <c r="EX3562" s="5" t="s">
        <v>238</v>
      </c>
      <c r="EY3562" s="5" t="s">
        <v>238</v>
      </c>
      <c r="EZ3562" s="5" t="s">
        <v>238</v>
      </c>
      <c r="FA3562" s="5" t="s">
        <v>238</v>
      </c>
      <c r="FB3562" s="5" t="s">
        <v>238</v>
      </c>
      <c r="FC3562" s="5" t="s">
        <v>238</v>
      </c>
      <c r="FD3562" s="5" t="s">
        <v>238</v>
      </c>
      <c r="FE3562" s="5" t="s">
        <v>238</v>
      </c>
      <c r="FF3562" s="5" t="s">
        <v>238</v>
      </c>
      <c r="FG3562" s="5" t="s">
        <v>238</v>
      </c>
      <c r="FH3562" s="5" t="s">
        <v>238</v>
      </c>
      <c r="FI3562" s="5" t="s">
        <v>238</v>
      </c>
      <c r="FJ3562" s="5" t="s">
        <v>238</v>
      </c>
      <c r="FK3562" s="5" t="s">
        <v>238</v>
      </c>
      <c r="FL3562" s="5" t="s">
        <v>238</v>
      </c>
      <c r="FM3562" s="5" t="s">
        <v>238</v>
      </c>
      <c r="FN3562" s="5" t="s">
        <v>238</v>
      </c>
      <c r="FO3562" s="5" t="s">
        <v>238</v>
      </c>
      <c r="FP3562" s="5" t="s">
        <v>238</v>
      </c>
      <c r="FQ3562" s="5" t="s">
        <v>238</v>
      </c>
      <c r="FR3562" s="5" t="s">
        <v>238</v>
      </c>
      <c r="FS3562" s="5" t="s">
        <v>238</v>
      </c>
      <c r="FT3562" s="5" t="s">
        <v>238</v>
      </c>
      <c r="FU3562" s="5" t="s">
        <v>238</v>
      </c>
      <c r="FV3562" s="5" t="s">
        <v>238</v>
      </c>
      <c r="FW3562" s="5" t="s">
        <v>238</v>
      </c>
      <c r="FX3562" s="5" t="s">
        <v>238</v>
      </c>
      <c r="FY3562" s="5" t="s">
        <v>238</v>
      </c>
      <c r="FZ3562" s="5" t="s">
        <v>238</v>
      </c>
      <c r="GA3562" s="5" t="s">
        <v>238</v>
      </c>
      <c r="GB3562" s="5" t="s">
        <v>238</v>
      </c>
      <c r="GC3562" s="5" t="s">
        <v>238</v>
      </c>
      <c r="GD3562" s="5" t="s">
        <v>238</v>
      </c>
      <c r="GE3562" s="5" t="s">
        <v>238</v>
      </c>
      <c r="GF3562" s="5" t="s">
        <v>238</v>
      </c>
      <c r="GG3562" s="5" t="s">
        <v>238</v>
      </c>
      <c r="GH3562" s="5" t="s">
        <v>238</v>
      </c>
      <c r="GI3562" s="5" t="s">
        <v>238</v>
      </c>
      <c r="GJ3562" s="5" t="s">
        <v>238</v>
      </c>
      <c r="GK3562" s="5" t="s">
        <v>238</v>
      </c>
      <c r="GL3562" s="5" t="s">
        <v>238</v>
      </c>
      <c r="GM3562" s="5" t="s">
        <v>238</v>
      </c>
      <c r="GN3562" s="5" t="s">
        <v>238</v>
      </c>
      <c r="GO3562" s="5" t="s">
        <v>238</v>
      </c>
      <c r="GP3562" s="5" t="s">
        <v>238</v>
      </c>
      <c r="GQ3562" s="5" t="s">
        <v>238</v>
      </c>
      <c r="GR3562" s="5" t="s">
        <v>238</v>
      </c>
      <c r="GS3562" s="5" t="s">
        <v>238</v>
      </c>
      <c r="GT3562" s="5" t="s">
        <v>238</v>
      </c>
      <c r="GU3562" s="5" t="s">
        <v>238</v>
      </c>
      <c r="GV3562" s="5" t="s">
        <v>238</v>
      </c>
      <c r="GW3562" s="5" t="s">
        <v>238</v>
      </c>
      <c r="GX3562" s="5" t="s">
        <v>238</v>
      </c>
      <c r="GY3562" s="5" t="s">
        <v>238</v>
      </c>
      <c r="GZ3562" s="5" t="s">
        <v>238</v>
      </c>
      <c r="HA3562" s="5" t="s">
        <v>238</v>
      </c>
      <c r="HB3562" s="5" t="s">
        <v>238</v>
      </c>
      <c r="HC3562" s="5" t="s">
        <v>238</v>
      </c>
      <c r="HD3562" s="5" t="s">
        <v>238</v>
      </c>
      <c r="HE3562" s="5" t="s">
        <v>238</v>
      </c>
      <c r="HF3562" s="5" t="s">
        <v>238</v>
      </c>
      <c r="HG3562" s="5" t="s">
        <v>238</v>
      </c>
      <c r="HH3562" s="5" t="s">
        <v>238</v>
      </c>
      <c r="HI3562" s="5" t="s">
        <v>238</v>
      </c>
      <c r="HJ3562" s="5" t="s">
        <v>238</v>
      </c>
      <c r="HK3562" s="5" t="s">
        <v>238</v>
      </c>
      <c r="HL3562" s="5" t="s">
        <v>238</v>
      </c>
      <c r="HM3562" s="5" t="s">
        <v>264</v>
      </c>
      <c r="HN3562" s="5" t="s">
        <v>238</v>
      </c>
      <c r="HO3562" s="5" t="s">
        <v>238</v>
      </c>
      <c r="HP3562" s="5" t="s">
        <v>238</v>
      </c>
      <c r="HQ3562" s="5" t="s">
        <v>238</v>
      </c>
      <c r="HR3562" s="5" t="s">
        <v>238</v>
      </c>
      <c r="HS3562" s="5" t="s">
        <v>238</v>
      </c>
      <c r="HT3562" s="5" t="s">
        <v>238</v>
      </c>
      <c r="HU3562" s="5" t="s">
        <v>238</v>
      </c>
      <c r="HV3562" s="5" t="s">
        <v>238</v>
      </c>
      <c r="HW3562" s="5" t="s">
        <v>238</v>
      </c>
      <c r="HX3562" s="5" t="s">
        <v>238</v>
      </c>
      <c r="HY3562" s="5" t="s">
        <v>238</v>
      </c>
      <c r="HZ3562" s="5" t="s">
        <v>238</v>
      </c>
      <c r="IA3562" s="5" t="s">
        <v>238</v>
      </c>
      <c r="IB3562" s="5" t="s">
        <v>238</v>
      </c>
      <c r="IC3562" s="5" t="s">
        <v>238</v>
      </c>
      <c r="ID3562" s="5" t="s">
        <v>238</v>
      </c>
    </row>
    <row r="3563" spans="1:238" x14ac:dyDescent="0.4">
      <c r="A3563" s="5">
        <v>9281</v>
      </c>
      <c r="B3563" s="5">
        <v>1</v>
      </c>
      <c r="C3563" s="5">
        <v>1</v>
      </c>
      <c r="D3563" s="5" t="s">
        <v>484</v>
      </c>
      <c r="E3563" s="5" t="s">
        <v>485</v>
      </c>
      <c r="F3563" s="5" t="s">
        <v>248</v>
      </c>
      <c r="G3563" s="5" t="s">
        <v>5349</v>
      </c>
      <c r="H3563" s="6" t="s">
        <v>5350</v>
      </c>
      <c r="I3563" s="8">
        <f>1</f>
        <v>1</v>
      </c>
      <c r="J3563" s="5" t="s">
        <v>499</v>
      </c>
      <c r="K3563" s="8">
        <f>1</f>
        <v>1</v>
      </c>
      <c r="L3563" s="6" t="s">
        <v>242</v>
      </c>
      <c r="M3563" s="5" t="s">
        <v>267</v>
      </c>
      <c r="N3563" s="5" t="s">
        <v>482</v>
      </c>
      <c r="O3563" s="5" t="s">
        <v>238</v>
      </c>
      <c r="P3563" s="5" t="s">
        <v>238</v>
      </c>
      <c r="Q3563" s="5" t="s">
        <v>239</v>
      </c>
      <c r="R3563" s="5" t="s">
        <v>270</v>
      </c>
      <c r="S3563" s="5" t="s">
        <v>238</v>
      </c>
      <c r="T3563" s="5" t="s">
        <v>238</v>
      </c>
      <c r="U3563" s="5" t="s">
        <v>238</v>
      </c>
      <c r="V3563" s="5" t="s">
        <v>238</v>
      </c>
      <c r="W3563" s="6" t="s">
        <v>238</v>
      </c>
      <c r="X3563" s="6" t="s">
        <v>238</v>
      </c>
      <c r="Y3563" s="5" t="s">
        <v>238</v>
      </c>
      <c r="Z3563" s="6" t="s">
        <v>238</v>
      </c>
      <c r="AA3563" s="6" t="s">
        <v>243</v>
      </c>
      <c r="AB3563" s="5" t="s">
        <v>486</v>
      </c>
      <c r="AC3563" s="5" t="s">
        <v>244</v>
      </c>
      <c r="AD3563" s="5" t="s">
        <v>245</v>
      </c>
      <c r="AE3563" s="5" t="s">
        <v>238</v>
      </c>
      <c r="AF3563" s="5" t="s">
        <v>238</v>
      </c>
      <c r="AG3563" s="5" t="s">
        <v>238</v>
      </c>
      <c r="AH3563" s="5" t="s">
        <v>238</v>
      </c>
      <c r="AI3563" s="5" t="s">
        <v>238</v>
      </c>
      <c r="AJ3563" s="5" t="s">
        <v>238</v>
      </c>
      <c r="AK3563" s="5" t="s">
        <v>238</v>
      </c>
      <c r="AL3563" s="5" t="s">
        <v>238</v>
      </c>
      <c r="AM3563" s="6" t="s">
        <v>238</v>
      </c>
      <c r="AN3563" s="6" t="s">
        <v>238</v>
      </c>
      <c r="AO3563" s="6" t="s">
        <v>238</v>
      </c>
      <c r="AP3563" s="6" t="s">
        <v>238</v>
      </c>
      <c r="AQ3563" s="5" t="s">
        <v>238</v>
      </c>
      <c r="AR3563" s="5" t="s">
        <v>488</v>
      </c>
      <c r="AS3563" s="5" t="s">
        <v>488</v>
      </c>
      <c r="AT3563" s="5" t="s">
        <v>246</v>
      </c>
      <c r="AU3563" s="5" t="s">
        <v>489</v>
      </c>
      <c r="AV3563" s="5" t="s">
        <v>247</v>
      </c>
      <c r="AW3563" s="5" t="s">
        <v>238</v>
      </c>
      <c r="AX3563" s="5" t="s">
        <v>249</v>
      </c>
      <c r="AY3563" s="5" t="s">
        <v>490</v>
      </c>
      <c r="BA3563" s="5" t="s">
        <v>238</v>
      </c>
      <c r="BC3563" s="5" t="s">
        <v>491</v>
      </c>
      <c r="BD3563" s="6" t="s">
        <v>492</v>
      </c>
      <c r="BE3563" s="5" t="s">
        <v>493</v>
      </c>
      <c r="BF3563" s="5" t="s">
        <v>493</v>
      </c>
      <c r="BG3563" s="5" t="s">
        <v>238</v>
      </c>
      <c r="BH3563" s="8">
        <f>1</f>
        <v>1</v>
      </c>
      <c r="BI3563" s="8">
        <f>1</f>
        <v>1</v>
      </c>
      <c r="BJ3563" s="5" t="s">
        <v>253</v>
      </c>
      <c r="BK3563" s="5" t="s">
        <v>254</v>
      </c>
      <c r="BL3563" s="5" t="s">
        <v>238</v>
      </c>
      <c r="BM3563" s="5" t="s">
        <v>238</v>
      </c>
      <c r="BN3563" s="5" t="s">
        <v>238</v>
      </c>
      <c r="BO3563" s="5" t="s">
        <v>238</v>
      </c>
      <c r="BP3563" s="5" t="s">
        <v>238</v>
      </c>
      <c r="BQ3563" s="5" t="s">
        <v>238</v>
      </c>
      <c r="BR3563" s="5" t="s">
        <v>238</v>
      </c>
      <c r="BS3563" s="5" t="s">
        <v>238</v>
      </c>
      <c r="BT3563" s="6" t="s">
        <v>238</v>
      </c>
      <c r="BU3563" s="5" t="s">
        <v>238</v>
      </c>
      <c r="BV3563" s="5" t="s">
        <v>238</v>
      </c>
      <c r="BW3563" s="5" t="s">
        <v>238</v>
      </c>
      <c r="BX3563" s="5" t="s">
        <v>254</v>
      </c>
      <c r="BY3563" s="5" t="s">
        <v>238</v>
      </c>
      <c r="BZ3563" s="5" t="s">
        <v>238</v>
      </c>
      <c r="CA3563" s="5" t="s">
        <v>238</v>
      </c>
      <c r="CB3563" s="5" t="s">
        <v>238</v>
      </c>
      <c r="CC3563" s="5" t="s">
        <v>238</v>
      </c>
      <c r="CD3563" s="5" t="s">
        <v>273</v>
      </c>
      <c r="CE3563" s="5" t="s">
        <v>256</v>
      </c>
      <c r="CF3563" s="5" t="s">
        <v>238</v>
      </c>
      <c r="CH3563" s="5" t="s">
        <v>494</v>
      </c>
      <c r="CI3563" s="6" t="s">
        <v>257</v>
      </c>
      <c r="CJ3563" s="5" t="s">
        <v>495</v>
      </c>
      <c r="CK3563" s="5" t="s">
        <v>258</v>
      </c>
      <c r="CL3563" s="5" t="s">
        <v>496</v>
      </c>
      <c r="CM3563" s="5" t="s">
        <v>238</v>
      </c>
      <c r="CN3563" s="5">
        <v>0</v>
      </c>
      <c r="CO3563" s="5" t="s">
        <v>497</v>
      </c>
      <c r="CP3563" s="5" t="s">
        <v>260</v>
      </c>
      <c r="CQ3563" s="5" t="s">
        <v>260</v>
      </c>
      <c r="CR3563" s="5" t="s">
        <v>261</v>
      </c>
      <c r="CS3563" s="5" t="s">
        <v>498</v>
      </c>
      <c r="CT3563" s="7">
        <f>1</f>
        <v>1</v>
      </c>
      <c r="CU3563" s="8">
        <f>1</f>
        <v>1</v>
      </c>
      <c r="CV3563" s="8">
        <f>0</f>
        <v>0</v>
      </c>
      <c r="CX3563" s="8">
        <f>1</f>
        <v>1</v>
      </c>
      <c r="CY3563" s="8">
        <f>1</f>
        <v>1</v>
      </c>
      <c r="CZ3563" s="8" t="s">
        <v>238</v>
      </c>
      <c r="DA3563" s="5" t="s">
        <v>238</v>
      </c>
      <c r="DB3563" s="5" t="s">
        <v>238</v>
      </c>
      <c r="DC3563" s="5" t="s">
        <v>238</v>
      </c>
      <c r="DD3563" s="5" t="s">
        <v>238</v>
      </c>
      <c r="DE3563" s="8">
        <f>0</f>
        <v>0</v>
      </c>
      <c r="DG3563" s="5" t="s">
        <v>238</v>
      </c>
      <c r="DH3563" s="5" t="s">
        <v>238</v>
      </c>
      <c r="DI3563" s="5" t="s">
        <v>238</v>
      </c>
      <c r="DJ3563" s="5" t="s">
        <v>238</v>
      </c>
      <c r="DK3563" s="5" t="s">
        <v>238</v>
      </c>
      <c r="DL3563" s="5" t="s">
        <v>238</v>
      </c>
      <c r="DM3563" s="8" t="s">
        <v>238</v>
      </c>
      <c r="DN3563" s="5" t="s">
        <v>238</v>
      </c>
      <c r="DO3563" s="5" t="s">
        <v>238</v>
      </c>
      <c r="DP3563" s="5" t="s">
        <v>490</v>
      </c>
      <c r="DQ3563" s="5" t="s">
        <v>490</v>
      </c>
      <c r="DR3563" s="5" t="s">
        <v>238</v>
      </c>
      <c r="DS3563" s="5" t="s">
        <v>238</v>
      </c>
      <c r="DT3563" s="5" t="s">
        <v>500</v>
      </c>
      <c r="DU3563" s="5" t="s">
        <v>560</v>
      </c>
      <c r="DV3563" s="5" t="s">
        <v>238</v>
      </c>
      <c r="DW3563" s="5" t="s">
        <v>238</v>
      </c>
      <c r="DX3563" s="5" t="s">
        <v>238</v>
      </c>
      <c r="DY3563" s="5" t="s">
        <v>238</v>
      </c>
      <c r="DZ3563" s="5" t="s">
        <v>238</v>
      </c>
      <c r="EA3563" s="5" t="s">
        <v>238</v>
      </c>
      <c r="EB3563" s="5" t="s">
        <v>238</v>
      </c>
      <c r="EC3563" s="5" t="s">
        <v>238</v>
      </c>
      <c r="ED3563" s="5" t="s">
        <v>238</v>
      </c>
      <c r="EE3563" s="5" t="s">
        <v>238</v>
      </c>
      <c r="EF3563" s="5" t="s">
        <v>238</v>
      </c>
      <c r="EG3563" s="5" t="s">
        <v>238</v>
      </c>
      <c r="EH3563" s="5" t="s">
        <v>238</v>
      </c>
      <c r="EI3563" s="5" t="s">
        <v>238</v>
      </c>
      <c r="EJ3563" s="5" t="s">
        <v>238</v>
      </c>
      <c r="EK3563" s="5" t="s">
        <v>238</v>
      </c>
      <c r="EL3563" s="5" t="s">
        <v>238</v>
      </c>
      <c r="EM3563" s="5" t="s">
        <v>238</v>
      </c>
      <c r="EN3563" s="5" t="s">
        <v>238</v>
      </c>
      <c r="EO3563" s="5" t="s">
        <v>238</v>
      </c>
      <c r="EP3563" s="5" t="s">
        <v>238</v>
      </c>
      <c r="EQ3563" s="5" t="s">
        <v>238</v>
      </c>
      <c r="ER3563" s="5" t="s">
        <v>238</v>
      </c>
      <c r="ES3563" s="5" t="s">
        <v>238</v>
      </c>
      <c r="ET3563" s="5" t="s">
        <v>238</v>
      </c>
      <c r="EU3563" s="5" t="s">
        <v>238</v>
      </c>
      <c r="EV3563" s="5" t="s">
        <v>238</v>
      </c>
      <c r="EW3563" s="5" t="s">
        <v>238</v>
      </c>
      <c r="EX3563" s="5" t="s">
        <v>238</v>
      </c>
      <c r="EY3563" s="5" t="s">
        <v>238</v>
      </c>
      <c r="EZ3563" s="5" t="s">
        <v>238</v>
      </c>
      <c r="FA3563" s="5" t="s">
        <v>238</v>
      </c>
      <c r="FB3563" s="5" t="s">
        <v>238</v>
      </c>
      <c r="FC3563" s="5" t="s">
        <v>238</v>
      </c>
      <c r="FD3563" s="5" t="s">
        <v>238</v>
      </c>
      <c r="FE3563" s="5" t="s">
        <v>238</v>
      </c>
      <c r="FF3563" s="5" t="s">
        <v>238</v>
      </c>
      <c r="FG3563" s="5" t="s">
        <v>238</v>
      </c>
      <c r="FH3563" s="5" t="s">
        <v>238</v>
      </c>
      <c r="FI3563" s="5" t="s">
        <v>238</v>
      </c>
      <c r="FJ3563" s="5" t="s">
        <v>238</v>
      </c>
      <c r="FK3563" s="5" t="s">
        <v>238</v>
      </c>
      <c r="FL3563" s="5" t="s">
        <v>238</v>
      </c>
      <c r="FM3563" s="5" t="s">
        <v>238</v>
      </c>
      <c r="FN3563" s="5" t="s">
        <v>238</v>
      </c>
      <c r="FO3563" s="5" t="s">
        <v>238</v>
      </c>
      <c r="FP3563" s="5" t="s">
        <v>238</v>
      </c>
      <c r="FQ3563" s="5" t="s">
        <v>238</v>
      </c>
      <c r="FR3563" s="5" t="s">
        <v>238</v>
      </c>
      <c r="FS3563" s="5" t="s">
        <v>238</v>
      </c>
      <c r="FT3563" s="5" t="s">
        <v>238</v>
      </c>
      <c r="FU3563" s="5" t="s">
        <v>238</v>
      </c>
      <c r="FV3563" s="5" t="s">
        <v>238</v>
      </c>
      <c r="FW3563" s="5" t="s">
        <v>238</v>
      </c>
      <c r="FX3563" s="5" t="s">
        <v>238</v>
      </c>
      <c r="FY3563" s="5" t="s">
        <v>238</v>
      </c>
      <c r="FZ3563" s="5" t="s">
        <v>238</v>
      </c>
      <c r="GA3563" s="5" t="s">
        <v>238</v>
      </c>
      <c r="GB3563" s="5" t="s">
        <v>238</v>
      </c>
      <c r="GC3563" s="5" t="s">
        <v>238</v>
      </c>
      <c r="GD3563" s="5" t="s">
        <v>238</v>
      </c>
      <c r="GE3563" s="5" t="s">
        <v>238</v>
      </c>
      <c r="GF3563" s="5" t="s">
        <v>238</v>
      </c>
      <c r="GG3563" s="5" t="s">
        <v>238</v>
      </c>
      <c r="GH3563" s="5" t="s">
        <v>238</v>
      </c>
      <c r="GI3563" s="5" t="s">
        <v>238</v>
      </c>
      <c r="GJ3563" s="5" t="s">
        <v>238</v>
      </c>
      <c r="GK3563" s="5" t="s">
        <v>238</v>
      </c>
      <c r="GL3563" s="5" t="s">
        <v>238</v>
      </c>
      <c r="GM3563" s="5" t="s">
        <v>238</v>
      </c>
      <c r="GN3563" s="5" t="s">
        <v>238</v>
      </c>
      <c r="GO3563" s="5" t="s">
        <v>238</v>
      </c>
      <c r="GP3563" s="5" t="s">
        <v>238</v>
      </c>
      <c r="GQ3563" s="5" t="s">
        <v>238</v>
      </c>
      <c r="GR3563" s="5" t="s">
        <v>238</v>
      </c>
      <c r="GS3563" s="5" t="s">
        <v>238</v>
      </c>
      <c r="GT3563" s="5" t="s">
        <v>238</v>
      </c>
      <c r="GU3563" s="5" t="s">
        <v>238</v>
      </c>
      <c r="GV3563" s="5" t="s">
        <v>238</v>
      </c>
      <c r="GW3563" s="5" t="s">
        <v>238</v>
      </c>
      <c r="GX3563" s="5" t="s">
        <v>238</v>
      </c>
      <c r="GY3563" s="5" t="s">
        <v>238</v>
      </c>
      <c r="GZ3563" s="5" t="s">
        <v>238</v>
      </c>
      <c r="HA3563" s="5" t="s">
        <v>238</v>
      </c>
      <c r="HB3563" s="5" t="s">
        <v>238</v>
      </c>
      <c r="HC3563" s="5" t="s">
        <v>238</v>
      </c>
      <c r="HD3563" s="5" t="s">
        <v>238</v>
      </c>
      <c r="HE3563" s="5" t="s">
        <v>238</v>
      </c>
      <c r="HF3563" s="5" t="s">
        <v>238</v>
      </c>
      <c r="HG3563" s="5" t="s">
        <v>238</v>
      </c>
      <c r="HH3563" s="5" t="s">
        <v>238</v>
      </c>
      <c r="HI3563" s="5" t="s">
        <v>238</v>
      </c>
      <c r="HJ3563" s="5" t="s">
        <v>238</v>
      </c>
      <c r="HK3563" s="5" t="s">
        <v>238</v>
      </c>
      <c r="HL3563" s="5" t="s">
        <v>238</v>
      </c>
      <c r="HM3563" s="5" t="s">
        <v>264</v>
      </c>
      <c r="HN3563" s="5" t="s">
        <v>238</v>
      </c>
      <c r="HO3563" s="5" t="s">
        <v>238</v>
      </c>
      <c r="HP3563" s="5" t="s">
        <v>238</v>
      </c>
      <c r="HQ3563" s="5" t="s">
        <v>238</v>
      </c>
      <c r="HR3563" s="5" t="s">
        <v>238</v>
      </c>
      <c r="HS3563" s="5" t="s">
        <v>238</v>
      </c>
      <c r="HT3563" s="5" t="s">
        <v>238</v>
      </c>
      <c r="HU3563" s="5" t="s">
        <v>238</v>
      </c>
      <c r="HV3563" s="5" t="s">
        <v>238</v>
      </c>
      <c r="HW3563" s="5" t="s">
        <v>238</v>
      </c>
      <c r="HX3563" s="5" t="s">
        <v>238</v>
      </c>
      <c r="HY3563" s="5" t="s">
        <v>238</v>
      </c>
      <c r="HZ3563" s="5" t="s">
        <v>238</v>
      </c>
      <c r="IA3563" s="5" t="s">
        <v>238</v>
      </c>
      <c r="IB3563" s="5" t="s">
        <v>238</v>
      </c>
      <c r="IC3563" s="5" t="s">
        <v>238</v>
      </c>
      <c r="ID3563" s="5" t="s">
        <v>238</v>
      </c>
    </row>
    <row r="3564" spans="1:238" x14ac:dyDescent="0.4">
      <c r="A3564" s="5">
        <v>9282</v>
      </c>
      <c r="B3564" s="5">
        <v>1</v>
      </c>
      <c r="C3564" s="5">
        <v>1</v>
      </c>
      <c r="D3564" s="5" t="s">
        <v>484</v>
      </c>
      <c r="E3564" s="5" t="s">
        <v>485</v>
      </c>
      <c r="F3564" s="5" t="s">
        <v>248</v>
      </c>
      <c r="G3564" s="5" t="s">
        <v>759</v>
      </c>
      <c r="H3564" s="6" t="s">
        <v>760</v>
      </c>
      <c r="I3564" s="8">
        <f>1</f>
        <v>1</v>
      </c>
      <c r="J3564" s="5" t="s">
        <v>499</v>
      </c>
      <c r="K3564" s="8">
        <f>1</f>
        <v>1</v>
      </c>
      <c r="L3564" s="6" t="s">
        <v>242</v>
      </c>
      <c r="M3564" s="5" t="s">
        <v>267</v>
      </c>
      <c r="N3564" s="5" t="s">
        <v>482</v>
      </c>
      <c r="O3564" s="5" t="s">
        <v>238</v>
      </c>
      <c r="P3564" s="5" t="s">
        <v>238</v>
      </c>
      <c r="Q3564" s="5" t="s">
        <v>239</v>
      </c>
      <c r="R3564" s="5" t="s">
        <v>270</v>
      </c>
      <c r="S3564" s="5" t="s">
        <v>238</v>
      </c>
      <c r="T3564" s="5" t="s">
        <v>238</v>
      </c>
      <c r="U3564" s="5" t="s">
        <v>238</v>
      </c>
      <c r="V3564" s="5" t="s">
        <v>238</v>
      </c>
      <c r="W3564" s="6" t="s">
        <v>238</v>
      </c>
      <c r="X3564" s="6" t="s">
        <v>238</v>
      </c>
      <c r="Y3564" s="5" t="s">
        <v>238</v>
      </c>
      <c r="Z3564" s="6" t="s">
        <v>238</v>
      </c>
      <c r="AA3564" s="6" t="s">
        <v>243</v>
      </c>
      <c r="AB3564" s="5" t="s">
        <v>486</v>
      </c>
      <c r="AC3564" s="5" t="s">
        <v>244</v>
      </c>
      <c r="AD3564" s="5" t="s">
        <v>245</v>
      </c>
      <c r="AE3564" s="5" t="s">
        <v>238</v>
      </c>
      <c r="AF3564" s="5" t="s">
        <v>238</v>
      </c>
      <c r="AG3564" s="5" t="s">
        <v>238</v>
      </c>
      <c r="AH3564" s="5" t="s">
        <v>238</v>
      </c>
      <c r="AI3564" s="5" t="s">
        <v>238</v>
      </c>
      <c r="AJ3564" s="5" t="s">
        <v>238</v>
      </c>
      <c r="AK3564" s="5" t="s">
        <v>238</v>
      </c>
      <c r="AL3564" s="5" t="s">
        <v>238</v>
      </c>
      <c r="AM3564" s="6" t="s">
        <v>238</v>
      </c>
      <c r="AN3564" s="6" t="s">
        <v>238</v>
      </c>
      <c r="AO3564" s="6" t="s">
        <v>238</v>
      </c>
      <c r="AP3564" s="6" t="s">
        <v>238</v>
      </c>
      <c r="AQ3564" s="5" t="s">
        <v>238</v>
      </c>
      <c r="AR3564" s="5" t="s">
        <v>488</v>
      </c>
      <c r="AS3564" s="5" t="s">
        <v>488</v>
      </c>
      <c r="AT3564" s="5" t="s">
        <v>246</v>
      </c>
      <c r="AU3564" s="5" t="s">
        <v>489</v>
      </c>
      <c r="AV3564" s="5" t="s">
        <v>247</v>
      </c>
      <c r="AW3564" s="5" t="s">
        <v>238</v>
      </c>
      <c r="AX3564" s="5" t="s">
        <v>249</v>
      </c>
      <c r="AY3564" s="5" t="s">
        <v>490</v>
      </c>
      <c r="BA3564" s="5" t="s">
        <v>238</v>
      </c>
      <c r="BC3564" s="5" t="s">
        <v>491</v>
      </c>
      <c r="BD3564" s="6" t="s">
        <v>492</v>
      </c>
      <c r="BE3564" s="5" t="s">
        <v>493</v>
      </c>
      <c r="BF3564" s="5" t="s">
        <v>493</v>
      </c>
      <c r="BG3564" s="5" t="s">
        <v>238</v>
      </c>
      <c r="BH3564" s="8">
        <f>1</f>
        <v>1</v>
      </c>
      <c r="BI3564" s="8">
        <f>1</f>
        <v>1</v>
      </c>
      <c r="BJ3564" s="5" t="s">
        <v>253</v>
      </c>
      <c r="BK3564" s="5" t="s">
        <v>254</v>
      </c>
      <c r="BL3564" s="5" t="s">
        <v>238</v>
      </c>
      <c r="BM3564" s="5" t="s">
        <v>238</v>
      </c>
      <c r="BN3564" s="5" t="s">
        <v>238</v>
      </c>
      <c r="BO3564" s="5" t="s">
        <v>238</v>
      </c>
      <c r="BP3564" s="5" t="s">
        <v>238</v>
      </c>
      <c r="BQ3564" s="5" t="s">
        <v>238</v>
      </c>
      <c r="BR3564" s="5" t="s">
        <v>238</v>
      </c>
      <c r="BS3564" s="5" t="s">
        <v>238</v>
      </c>
      <c r="BT3564" s="6" t="s">
        <v>238</v>
      </c>
      <c r="BU3564" s="5" t="s">
        <v>238</v>
      </c>
      <c r="BV3564" s="5" t="s">
        <v>238</v>
      </c>
      <c r="BW3564" s="5" t="s">
        <v>238</v>
      </c>
      <c r="BX3564" s="5" t="s">
        <v>254</v>
      </c>
      <c r="BY3564" s="5" t="s">
        <v>238</v>
      </c>
      <c r="BZ3564" s="5" t="s">
        <v>238</v>
      </c>
      <c r="CA3564" s="5" t="s">
        <v>238</v>
      </c>
      <c r="CB3564" s="5" t="s">
        <v>238</v>
      </c>
      <c r="CC3564" s="5" t="s">
        <v>238</v>
      </c>
      <c r="CD3564" s="5" t="s">
        <v>273</v>
      </c>
      <c r="CE3564" s="5" t="s">
        <v>256</v>
      </c>
      <c r="CF3564" s="5" t="s">
        <v>238</v>
      </c>
      <c r="CH3564" s="5" t="s">
        <v>494</v>
      </c>
      <c r="CI3564" s="6" t="s">
        <v>257</v>
      </c>
      <c r="CJ3564" s="5" t="s">
        <v>495</v>
      </c>
      <c r="CK3564" s="5" t="s">
        <v>258</v>
      </c>
      <c r="CL3564" s="5" t="s">
        <v>496</v>
      </c>
      <c r="CM3564" s="5" t="s">
        <v>238</v>
      </c>
      <c r="CN3564" s="5">
        <v>0</v>
      </c>
      <c r="CO3564" s="5" t="s">
        <v>497</v>
      </c>
      <c r="CP3564" s="5" t="s">
        <v>260</v>
      </c>
      <c r="CQ3564" s="5" t="s">
        <v>260</v>
      </c>
      <c r="CR3564" s="5" t="s">
        <v>261</v>
      </c>
      <c r="CS3564" s="5" t="s">
        <v>498</v>
      </c>
      <c r="CT3564" s="7">
        <f>1</f>
        <v>1</v>
      </c>
      <c r="CU3564" s="8">
        <f>1</f>
        <v>1</v>
      </c>
      <c r="CV3564" s="8">
        <f>0</f>
        <v>0</v>
      </c>
      <c r="CX3564" s="8">
        <f>1</f>
        <v>1</v>
      </c>
      <c r="CY3564" s="8">
        <f>1</f>
        <v>1</v>
      </c>
      <c r="CZ3564" s="8" t="s">
        <v>238</v>
      </c>
      <c r="DA3564" s="5" t="s">
        <v>238</v>
      </c>
      <c r="DB3564" s="5" t="s">
        <v>238</v>
      </c>
      <c r="DC3564" s="5" t="s">
        <v>238</v>
      </c>
      <c r="DD3564" s="5" t="s">
        <v>238</v>
      </c>
      <c r="DE3564" s="8">
        <f>0</f>
        <v>0</v>
      </c>
      <c r="DG3564" s="5" t="s">
        <v>238</v>
      </c>
      <c r="DH3564" s="5" t="s">
        <v>238</v>
      </c>
      <c r="DI3564" s="5" t="s">
        <v>238</v>
      </c>
      <c r="DJ3564" s="5" t="s">
        <v>238</v>
      </c>
      <c r="DK3564" s="5" t="s">
        <v>238</v>
      </c>
      <c r="DL3564" s="5" t="s">
        <v>238</v>
      </c>
      <c r="DM3564" s="8" t="s">
        <v>238</v>
      </c>
      <c r="DN3564" s="5" t="s">
        <v>238</v>
      </c>
      <c r="DO3564" s="5" t="s">
        <v>238</v>
      </c>
      <c r="DP3564" s="5" t="s">
        <v>490</v>
      </c>
      <c r="DQ3564" s="5" t="s">
        <v>490</v>
      </c>
      <c r="DR3564" s="5" t="s">
        <v>238</v>
      </c>
      <c r="DS3564" s="5" t="s">
        <v>238</v>
      </c>
      <c r="DT3564" s="5" t="s">
        <v>500</v>
      </c>
      <c r="DU3564" s="5" t="s">
        <v>546</v>
      </c>
      <c r="DV3564" s="5" t="s">
        <v>238</v>
      </c>
      <c r="DW3564" s="5" t="s">
        <v>238</v>
      </c>
      <c r="DX3564" s="5" t="s">
        <v>238</v>
      </c>
      <c r="DY3564" s="5" t="s">
        <v>238</v>
      </c>
      <c r="DZ3564" s="5" t="s">
        <v>238</v>
      </c>
      <c r="EA3564" s="5" t="s">
        <v>238</v>
      </c>
      <c r="EB3564" s="5" t="s">
        <v>238</v>
      </c>
      <c r="EC3564" s="5" t="s">
        <v>238</v>
      </c>
      <c r="ED3564" s="5" t="s">
        <v>238</v>
      </c>
      <c r="EE3564" s="5" t="s">
        <v>238</v>
      </c>
      <c r="EF3564" s="5" t="s">
        <v>238</v>
      </c>
      <c r="EG3564" s="5" t="s">
        <v>238</v>
      </c>
      <c r="EH3564" s="5" t="s">
        <v>238</v>
      </c>
      <c r="EI3564" s="5" t="s">
        <v>238</v>
      </c>
      <c r="EJ3564" s="5" t="s">
        <v>238</v>
      </c>
      <c r="EK3564" s="5" t="s">
        <v>238</v>
      </c>
      <c r="EL3564" s="5" t="s">
        <v>238</v>
      </c>
      <c r="EM3564" s="5" t="s">
        <v>238</v>
      </c>
      <c r="EN3564" s="5" t="s">
        <v>238</v>
      </c>
      <c r="EO3564" s="5" t="s">
        <v>238</v>
      </c>
      <c r="EP3564" s="5" t="s">
        <v>238</v>
      </c>
      <c r="EQ3564" s="5" t="s">
        <v>238</v>
      </c>
      <c r="ER3564" s="5" t="s">
        <v>238</v>
      </c>
      <c r="ES3564" s="5" t="s">
        <v>238</v>
      </c>
      <c r="ET3564" s="5" t="s">
        <v>238</v>
      </c>
      <c r="EU3564" s="5" t="s">
        <v>238</v>
      </c>
      <c r="EV3564" s="5" t="s">
        <v>238</v>
      </c>
      <c r="EW3564" s="5" t="s">
        <v>238</v>
      </c>
      <c r="EX3564" s="5" t="s">
        <v>238</v>
      </c>
      <c r="EY3564" s="5" t="s">
        <v>238</v>
      </c>
      <c r="EZ3564" s="5" t="s">
        <v>238</v>
      </c>
      <c r="FA3564" s="5" t="s">
        <v>238</v>
      </c>
      <c r="FB3564" s="5" t="s">
        <v>238</v>
      </c>
      <c r="FC3564" s="5" t="s">
        <v>238</v>
      </c>
      <c r="FD3564" s="5" t="s">
        <v>238</v>
      </c>
      <c r="FE3564" s="5" t="s">
        <v>238</v>
      </c>
      <c r="FF3564" s="5" t="s">
        <v>238</v>
      </c>
      <c r="FG3564" s="5" t="s">
        <v>238</v>
      </c>
      <c r="FH3564" s="5" t="s">
        <v>238</v>
      </c>
      <c r="FI3564" s="5" t="s">
        <v>238</v>
      </c>
      <c r="FJ3564" s="5" t="s">
        <v>238</v>
      </c>
      <c r="FK3564" s="5" t="s">
        <v>238</v>
      </c>
      <c r="FL3564" s="5" t="s">
        <v>238</v>
      </c>
      <c r="FM3564" s="5" t="s">
        <v>238</v>
      </c>
      <c r="FN3564" s="5" t="s">
        <v>238</v>
      </c>
      <c r="FO3564" s="5" t="s">
        <v>238</v>
      </c>
      <c r="FP3564" s="5" t="s">
        <v>238</v>
      </c>
      <c r="FQ3564" s="5" t="s">
        <v>238</v>
      </c>
      <c r="FR3564" s="5" t="s">
        <v>238</v>
      </c>
      <c r="FS3564" s="5" t="s">
        <v>238</v>
      </c>
      <c r="FT3564" s="5" t="s">
        <v>238</v>
      </c>
      <c r="FU3564" s="5" t="s">
        <v>238</v>
      </c>
      <c r="FV3564" s="5" t="s">
        <v>238</v>
      </c>
      <c r="FW3564" s="5" t="s">
        <v>238</v>
      </c>
      <c r="FX3564" s="5" t="s">
        <v>238</v>
      </c>
      <c r="FY3564" s="5" t="s">
        <v>238</v>
      </c>
      <c r="FZ3564" s="5" t="s">
        <v>238</v>
      </c>
      <c r="GA3564" s="5" t="s">
        <v>238</v>
      </c>
      <c r="GB3564" s="5" t="s">
        <v>238</v>
      </c>
      <c r="GC3564" s="5" t="s">
        <v>238</v>
      </c>
      <c r="GD3564" s="5" t="s">
        <v>238</v>
      </c>
      <c r="GE3564" s="5" t="s">
        <v>238</v>
      </c>
      <c r="GF3564" s="5" t="s">
        <v>238</v>
      </c>
      <c r="GG3564" s="5" t="s">
        <v>238</v>
      </c>
      <c r="GH3564" s="5" t="s">
        <v>238</v>
      </c>
      <c r="GI3564" s="5" t="s">
        <v>238</v>
      </c>
      <c r="GJ3564" s="5" t="s">
        <v>238</v>
      </c>
      <c r="GK3564" s="5" t="s">
        <v>238</v>
      </c>
      <c r="GL3564" s="5" t="s">
        <v>238</v>
      </c>
      <c r="GM3564" s="5" t="s">
        <v>238</v>
      </c>
      <c r="GN3564" s="5" t="s">
        <v>238</v>
      </c>
      <c r="GO3564" s="5" t="s">
        <v>238</v>
      </c>
      <c r="GP3564" s="5" t="s">
        <v>238</v>
      </c>
      <c r="GQ3564" s="5" t="s">
        <v>238</v>
      </c>
      <c r="GR3564" s="5" t="s">
        <v>238</v>
      </c>
      <c r="GS3564" s="5" t="s">
        <v>238</v>
      </c>
      <c r="GT3564" s="5" t="s">
        <v>238</v>
      </c>
      <c r="GU3564" s="5" t="s">
        <v>238</v>
      </c>
      <c r="GV3564" s="5" t="s">
        <v>238</v>
      </c>
      <c r="GW3564" s="5" t="s">
        <v>238</v>
      </c>
      <c r="GX3564" s="5" t="s">
        <v>238</v>
      </c>
      <c r="GY3564" s="5" t="s">
        <v>238</v>
      </c>
      <c r="GZ3564" s="5" t="s">
        <v>238</v>
      </c>
      <c r="HA3564" s="5" t="s">
        <v>238</v>
      </c>
      <c r="HB3564" s="5" t="s">
        <v>238</v>
      </c>
      <c r="HC3564" s="5" t="s">
        <v>238</v>
      </c>
      <c r="HD3564" s="5" t="s">
        <v>238</v>
      </c>
      <c r="HE3564" s="5" t="s">
        <v>238</v>
      </c>
      <c r="HF3564" s="5" t="s">
        <v>238</v>
      </c>
      <c r="HG3564" s="5" t="s">
        <v>238</v>
      </c>
      <c r="HH3564" s="5" t="s">
        <v>238</v>
      </c>
      <c r="HI3564" s="5" t="s">
        <v>238</v>
      </c>
      <c r="HJ3564" s="5" t="s">
        <v>238</v>
      </c>
      <c r="HK3564" s="5" t="s">
        <v>238</v>
      </c>
      <c r="HL3564" s="5" t="s">
        <v>238</v>
      </c>
      <c r="HM3564" s="5" t="s">
        <v>264</v>
      </c>
      <c r="HN3564" s="5" t="s">
        <v>238</v>
      </c>
      <c r="HO3564" s="5" t="s">
        <v>238</v>
      </c>
      <c r="HP3564" s="5" t="s">
        <v>238</v>
      </c>
      <c r="HQ3564" s="5" t="s">
        <v>238</v>
      </c>
      <c r="HR3564" s="5" t="s">
        <v>238</v>
      </c>
      <c r="HS3564" s="5" t="s">
        <v>238</v>
      </c>
      <c r="HT3564" s="5" t="s">
        <v>238</v>
      </c>
      <c r="HU3564" s="5" t="s">
        <v>238</v>
      </c>
      <c r="HV3564" s="5" t="s">
        <v>238</v>
      </c>
      <c r="HW3564" s="5" t="s">
        <v>238</v>
      </c>
      <c r="HX3564" s="5" t="s">
        <v>238</v>
      </c>
      <c r="HY3564" s="5" t="s">
        <v>238</v>
      </c>
      <c r="HZ3564" s="5" t="s">
        <v>238</v>
      </c>
      <c r="IA3564" s="5" t="s">
        <v>238</v>
      </c>
      <c r="IB3564" s="5" t="s">
        <v>238</v>
      </c>
      <c r="IC3564" s="5" t="s">
        <v>238</v>
      </c>
      <c r="ID3564" s="5" t="s">
        <v>238</v>
      </c>
    </row>
    <row r="3565" spans="1:238" x14ac:dyDescent="0.4">
      <c r="A3565" s="5">
        <v>9283</v>
      </c>
      <c r="B3565" s="5">
        <v>1</v>
      </c>
      <c r="C3565" s="5">
        <v>1</v>
      </c>
      <c r="D3565" s="5" t="s">
        <v>484</v>
      </c>
      <c r="E3565" s="5" t="s">
        <v>485</v>
      </c>
      <c r="F3565" s="5" t="s">
        <v>248</v>
      </c>
      <c r="G3565" s="5" t="s">
        <v>5726</v>
      </c>
      <c r="H3565" s="6" t="s">
        <v>5728</v>
      </c>
      <c r="I3565" s="8">
        <f>1</f>
        <v>1</v>
      </c>
      <c r="J3565" s="5" t="s">
        <v>499</v>
      </c>
      <c r="K3565" s="8">
        <f>1</f>
        <v>1</v>
      </c>
      <c r="L3565" s="6" t="s">
        <v>242</v>
      </c>
      <c r="M3565" s="5" t="s">
        <v>267</v>
      </c>
      <c r="N3565" s="5" t="s">
        <v>482</v>
      </c>
      <c r="O3565" s="5" t="s">
        <v>238</v>
      </c>
      <c r="P3565" s="5" t="s">
        <v>238</v>
      </c>
      <c r="Q3565" s="5" t="s">
        <v>239</v>
      </c>
      <c r="R3565" s="5" t="s">
        <v>270</v>
      </c>
      <c r="S3565" s="5" t="s">
        <v>238</v>
      </c>
      <c r="T3565" s="5" t="s">
        <v>238</v>
      </c>
      <c r="U3565" s="5" t="s">
        <v>238</v>
      </c>
      <c r="V3565" s="5" t="s">
        <v>238</v>
      </c>
      <c r="W3565" s="6" t="s">
        <v>238</v>
      </c>
      <c r="X3565" s="6" t="s">
        <v>238</v>
      </c>
      <c r="Y3565" s="5" t="s">
        <v>238</v>
      </c>
      <c r="Z3565" s="6" t="s">
        <v>238</v>
      </c>
      <c r="AA3565" s="6" t="s">
        <v>243</v>
      </c>
      <c r="AB3565" s="5" t="s">
        <v>5727</v>
      </c>
      <c r="AC3565" s="5" t="s">
        <v>244</v>
      </c>
      <c r="AD3565" s="5" t="s">
        <v>245</v>
      </c>
      <c r="AE3565" s="5" t="s">
        <v>238</v>
      </c>
      <c r="AF3565" s="5" t="s">
        <v>238</v>
      </c>
      <c r="AG3565" s="5" t="s">
        <v>238</v>
      </c>
      <c r="AH3565" s="5" t="s">
        <v>238</v>
      </c>
      <c r="AI3565" s="5" t="s">
        <v>238</v>
      </c>
      <c r="AJ3565" s="5" t="s">
        <v>238</v>
      </c>
      <c r="AK3565" s="5" t="s">
        <v>238</v>
      </c>
      <c r="AL3565" s="5" t="s">
        <v>238</v>
      </c>
      <c r="AM3565" s="6" t="s">
        <v>238</v>
      </c>
      <c r="AN3565" s="6" t="s">
        <v>238</v>
      </c>
      <c r="AO3565" s="6" t="s">
        <v>238</v>
      </c>
      <c r="AP3565" s="6" t="s">
        <v>238</v>
      </c>
      <c r="AQ3565" s="5" t="s">
        <v>238</v>
      </c>
      <c r="AR3565" s="5" t="s">
        <v>488</v>
      </c>
      <c r="AS3565" s="5" t="s">
        <v>488</v>
      </c>
      <c r="AT3565" s="5" t="s">
        <v>246</v>
      </c>
      <c r="AU3565" s="5" t="s">
        <v>489</v>
      </c>
      <c r="AV3565" s="5" t="s">
        <v>247</v>
      </c>
      <c r="AW3565" s="5" t="s">
        <v>238</v>
      </c>
      <c r="AX3565" s="5" t="s">
        <v>249</v>
      </c>
      <c r="AY3565" s="5" t="s">
        <v>490</v>
      </c>
      <c r="BA3565" s="5" t="s">
        <v>238</v>
      </c>
      <c r="BC3565" s="5" t="s">
        <v>491</v>
      </c>
      <c r="BD3565" s="6" t="s">
        <v>492</v>
      </c>
      <c r="BE3565" s="5" t="s">
        <v>493</v>
      </c>
      <c r="BF3565" s="5" t="s">
        <v>493</v>
      </c>
      <c r="BG3565" s="5" t="s">
        <v>238</v>
      </c>
      <c r="BH3565" s="8">
        <f>1</f>
        <v>1</v>
      </c>
      <c r="BI3565" s="8">
        <f>1</f>
        <v>1</v>
      </c>
      <c r="BJ3565" s="5" t="s">
        <v>253</v>
      </c>
      <c r="BK3565" s="5" t="s">
        <v>254</v>
      </c>
      <c r="BL3565" s="5" t="s">
        <v>238</v>
      </c>
      <c r="BM3565" s="5" t="s">
        <v>238</v>
      </c>
      <c r="BN3565" s="5" t="s">
        <v>238</v>
      </c>
      <c r="BO3565" s="5" t="s">
        <v>238</v>
      </c>
      <c r="BP3565" s="5" t="s">
        <v>238</v>
      </c>
      <c r="BQ3565" s="5" t="s">
        <v>238</v>
      </c>
      <c r="BR3565" s="5" t="s">
        <v>238</v>
      </c>
      <c r="BS3565" s="5" t="s">
        <v>238</v>
      </c>
      <c r="BT3565" s="6" t="s">
        <v>238</v>
      </c>
      <c r="BU3565" s="5" t="s">
        <v>238</v>
      </c>
      <c r="BV3565" s="5" t="s">
        <v>238</v>
      </c>
      <c r="BW3565" s="5" t="s">
        <v>238</v>
      </c>
      <c r="BX3565" s="5" t="s">
        <v>254</v>
      </c>
      <c r="BY3565" s="5" t="s">
        <v>238</v>
      </c>
      <c r="BZ3565" s="5" t="s">
        <v>238</v>
      </c>
      <c r="CA3565" s="5" t="s">
        <v>238</v>
      </c>
      <c r="CB3565" s="5" t="s">
        <v>238</v>
      </c>
      <c r="CC3565" s="5" t="s">
        <v>238</v>
      </c>
      <c r="CD3565" s="5" t="s">
        <v>273</v>
      </c>
      <c r="CE3565" s="5" t="s">
        <v>256</v>
      </c>
      <c r="CF3565" s="5" t="s">
        <v>238</v>
      </c>
      <c r="CH3565" s="5" t="s">
        <v>494</v>
      </c>
      <c r="CI3565" s="6" t="s">
        <v>257</v>
      </c>
      <c r="CJ3565" s="5" t="s">
        <v>495</v>
      </c>
      <c r="CK3565" s="5" t="s">
        <v>258</v>
      </c>
      <c r="CL3565" s="5" t="s">
        <v>496</v>
      </c>
      <c r="CM3565" s="5" t="s">
        <v>238</v>
      </c>
      <c r="CN3565" s="5">
        <v>0</v>
      </c>
      <c r="CO3565" s="5" t="s">
        <v>497</v>
      </c>
      <c r="CP3565" s="5" t="s">
        <v>260</v>
      </c>
      <c r="CQ3565" s="5" t="s">
        <v>260</v>
      </c>
      <c r="CR3565" s="5" t="s">
        <v>261</v>
      </c>
      <c r="CS3565" s="5" t="s">
        <v>498</v>
      </c>
      <c r="CT3565" s="7">
        <f>1</f>
        <v>1</v>
      </c>
      <c r="CU3565" s="8">
        <f>1</f>
        <v>1</v>
      </c>
      <c r="CV3565" s="8">
        <f>0</f>
        <v>0</v>
      </c>
      <c r="CX3565" s="8">
        <f>1</f>
        <v>1</v>
      </c>
      <c r="CY3565" s="8">
        <f>1</f>
        <v>1</v>
      </c>
      <c r="CZ3565" s="8" t="s">
        <v>238</v>
      </c>
      <c r="DA3565" s="5" t="s">
        <v>238</v>
      </c>
      <c r="DB3565" s="5" t="s">
        <v>238</v>
      </c>
      <c r="DC3565" s="5" t="s">
        <v>238</v>
      </c>
      <c r="DD3565" s="5" t="s">
        <v>238</v>
      </c>
      <c r="DE3565" s="8">
        <f>0</f>
        <v>0</v>
      </c>
      <c r="DG3565" s="5" t="s">
        <v>238</v>
      </c>
      <c r="DH3565" s="5" t="s">
        <v>238</v>
      </c>
      <c r="DI3565" s="5" t="s">
        <v>238</v>
      </c>
      <c r="DJ3565" s="5" t="s">
        <v>238</v>
      </c>
      <c r="DK3565" s="5" t="s">
        <v>238</v>
      </c>
      <c r="DL3565" s="5" t="s">
        <v>238</v>
      </c>
      <c r="DM3565" s="8" t="s">
        <v>238</v>
      </c>
      <c r="DN3565" s="5" t="s">
        <v>238</v>
      </c>
      <c r="DO3565" s="5" t="s">
        <v>238</v>
      </c>
      <c r="DP3565" s="5" t="s">
        <v>490</v>
      </c>
      <c r="DQ3565" s="5" t="s">
        <v>490</v>
      </c>
      <c r="DR3565" s="5" t="s">
        <v>238</v>
      </c>
      <c r="DS3565" s="5" t="s">
        <v>238</v>
      </c>
      <c r="DT3565" s="5" t="s">
        <v>500</v>
      </c>
      <c r="DU3565" s="5" t="s">
        <v>528</v>
      </c>
      <c r="DV3565" s="5" t="s">
        <v>238</v>
      </c>
      <c r="DW3565" s="5" t="s">
        <v>238</v>
      </c>
      <c r="DX3565" s="5" t="s">
        <v>238</v>
      </c>
      <c r="DY3565" s="5" t="s">
        <v>238</v>
      </c>
      <c r="DZ3565" s="5" t="s">
        <v>238</v>
      </c>
      <c r="EA3565" s="5" t="s">
        <v>238</v>
      </c>
      <c r="EB3565" s="5" t="s">
        <v>238</v>
      </c>
      <c r="EC3565" s="5" t="s">
        <v>238</v>
      </c>
      <c r="ED3565" s="5" t="s">
        <v>238</v>
      </c>
      <c r="EE3565" s="5" t="s">
        <v>238</v>
      </c>
      <c r="EF3565" s="5" t="s">
        <v>238</v>
      </c>
      <c r="EG3565" s="5" t="s">
        <v>238</v>
      </c>
      <c r="EH3565" s="5" t="s">
        <v>238</v>
      </c>
      <c r="EI3565" s="5" t="s">
        <v>238</v>
      </c>
      <c r="EJ3565" s="5" t="s">
        <v>238</v>
      </c>
      <c r="EK3565" s="5" t="s">
        <v>238</v>
      </c>
      <c r="EL3565" s="5" t="s">
        <v>238</v>
      </c>
      <c r="EM3565" s="5" t="s">
        <v>238</v>
      </c>
      <c r="EN3565" s="5" t="s">
        <v>238</v>
      </c>
      <c r="EO3565" s="5" t="s">
        <v>238</v>
      </c>
      <c r="EP3565" s="5" t="s">
        <v>238</v>
      </c>
      <c r="EQ3565" s="5" t="s">
        <v>238</v>
      </c>
      <c r="ER3565" s="5" t="s">
        <v>238</v>
      </c>
      <c r="ES3565" s="5" t="s">
        <v>238</v>
      </c>
      <c r="ET3565" s="5" t="s">
        <v>238</v>
      </c>
      <c r="EU3565" s="5" t="s">
        <v>238</v>
      </c>
      <c r="EV3565" s="5" t="s">
        <v>238</v>
      </c>
      <c r="EW3565" s="5" t="s">
        <v>238</v>
      </c>
      <c r="EX3565" s="5" t="s">
        <v>238</v>
      </c>
      <c r="EY3565" s="5" t="s">
        <v>238</v>
      </c>
      <c r="EZ3565" s="5" t="s">
        <v>238</v>
      </c>
      <c r="FA3565" s="5" t="s">
        <v>238</v>
      </c>
      <c r="FB3565" s="5" t="s">
        <v>238</v>
      </c>
      <c r="FC3565" s="5" t="s">
        <v>238</v>
      </c>
      <c r="FD3565" s="5" t="s">
        <v>238</v>
      </c>
      <c r="FE3565" s="5" t="s">
        <v>238</v>
      </c>
      <c r="FF3565" s="5" t="s">
        <v>238</v>
      </c>
      <c r="FG3565" s="5" t="s">
        <v>238</v>
      </c>
      <c r="FH3565" s="5" t="s">
        <v>238</v>
      </c>
      <c r="FI3565" s="5" t="s">
        <v>238</v>
      </c>
      <c r="FJ3565" s="5" t="s">
        <v>238</v>
      </c>
      <c r="FK3565" s="5" t="s">
        <v>238</v>
      </c>
      <c r="FL3565" s="5" t="s">
        <v>238</v>
      </c>
      <c r="FM3565" s="5" t="s">
        <v>238</v>
      </c>
      <c r="FN3565" s="5" t="s">
        <v>238</v>
      </c>
      <c r="FO3565" s="5" t="s">
        <v>238</v>
      </c>
      <c r="FP3565" s="5" t="s">
        <v>238</v>
      </c>
      <c r="FQ3565" s="5" t="s">
        <v>238</v>
      </c>
      <c r="FR3565" s="5" t="s">
        <v>238</v>
      </c>
      <c r="FS3565" s="5" t="s">
        <v>238</v>
      </c>
      <c r="FT3565" s="5" t="s">
        <v>238</v>
      </c>
      <c r="FU3565" s="5" t="s">
        <v>238</v>
      </c>
      <c r="FV3565" s="5" t="s">
        <v>238</v>
      </c>
      <c r="FW3565" s="5" t="s">
        <v>238</v>
      </c>
      <c r="FX3565" s="5" t="s">
        <v>238</v>
      </c>
      <c r="FY3565" s="5" t="s">
        <v>238</v>
      </c>
      <c r="FZ3565" s="5" t="s">
        <v>238</v>
      </c>
      <c r="GA3565" s="5" t="s">
        <v>238</v>
      </c>
      <c r="GB3565" s="5" t="s">
        <v>238</v>
      </c>
      <c r="GC3565" s="5" t="s">
        <v>238</v>
      </c>
      <c r="GD3565" s="5" t="s">
        <v>238</v>
      </c>
      <c r="GE3565" s="5" t="s">
        <v>238</v>
      </c>
      <c r="GF3565" s="5" t="s">
        <v>238</v>
      </c>
      <c r="GG3565" s="5" t="s">
        <v>238</v>
      </c>
      <c r="GH3565" s="5" t="s">
        <v>238</v>
      </c>
      <c r="GI3565" s="5" t="s">
        <v>238</v>
      </c>
      <c r="GJ3565" s="5" t="s">
        <v>238</v>
      </c>
      <c r="GK3565" s="5" t="s">
        <v>238</v>
      </c>
      <c r="GL3565" s="5" t="s">
        <v>238</v>
      </c>
      <c r="GM3565" s="5" t="s">
        <v>238</v>
      </c>
      <c r="GN3565" s="5" t="s">
        <v>238</v>
      </c>
      <c r="GO3565" s="5" t="s">
        <v>238</v>
      </c>
      <c r="GP3565" s="5" t="s">
        <v>238</v>
      </c>
      <c r="GQ3565" s="5" t="s">
        <v>238</v>
      </c>
      <c r="GR3565" s="5" t="s">
        <v>238</v>
      </c>
      <c r="GS3565" s="5" t="s">
        <v>238</v>
      </c>
      <c r="GT3565" s="5" t="s">
        <v>238</v>
      </c>
      <c r="GU3565" s="5" t="s">
        <v>238</v>
      </c>
      <c r="GV3565" s="5" t="s">
        <v>238</v>
      </c>
      <c r="GW3565" s="5" t="s">
        <v>238</v>
      </c>
      <c r="GX3565" s="5" t="s">
        <v>238</v>
      </c>
      <c r="GY3565" s="5" t="s">
        <v>238</v>
      </c>
      <c r="GZ3565" s="5" t="s">
        <v>238</v>
      </c>
      <c r="HA3565" s="5" t="s">
        <v>238</v>
      </c>
      <c r="HB3565" s="5" t="s">
        <v>238</v>
      </c>
      <c r="HC3565" s="5" t="s">
        <v>238</v>
      </c>
      <c r="HD3565" s="5" t="s">
        <v>238</v>
      </c>
      <c r="HE3565" s="5" t="s">
        <v>238</v>
      </c>
      <c r="HF3565" s="5" t="s">
        <v>238</v>
      </c>
      <c r="HG3565" s="5" t="s">
        <v>238</v>
      </c>
      <c r="HH3565" s="5" t="s">
        <v>238</v>
      </c>
      <c r="HI3565" s="5" t="s">
        <v>238</v>
      </c>
      <c r="HJ3565" s="5" t="s">
        <v>238</v>
      </c>
      <c r="HK3565" s="5" t="s">
        <v>238</v>
      </c>
      <c r="HL3565" s="5" t="s">
        <v>238</v>
      </c>
      <c r="HM3565" s="5" t="s">
        <v>264</v>
      </c>
      <c r="HN3565" s="5" t="s">
        <v>238</v>
      </c>
      <c r="HO3565" s="5" t="s">
        <v>238</v>
      </c>
      <c r="HP3565" s="5" t="s">
        <v>238</v>
      </c>
      <c r="HQ3565" s="5" t="s">
        <v>238</v>
      </c>
      <c r="HR3565" s="5" t="s">
        <v>238</v>
      </c>
      <c r="HS3565" s="5" t="s">
        <v>238</v>
      </c>
      <c r="HT3565" s="5" t="s">
        <v>238</v>
      </c>
      <c r="HU3565" s="5" t="s">
        <v>238</v>
      </c>
      <c r="HV3565" s="5" t="s">
        <v>238</v>
      </c>
      <c r="HW3565" s="5" t="s">
        <v>238</v>
      </c>
      <c r="HX3565" s="5" t="s">
        <v>238</v>
      </c>
      <c r="HY3565" s="5" t="s">
        <v>238</v>
      </c>
      <c r="HZ3565" s="5" t="s">
        <v>238</v>
      </c>
      <c r="IA3565" s="5" t="s">
        <v>238</v>
      </c>
      <c r="IB3565" s="5" t="s">
        <v>238</v>
      </c>
      <c r="IC3565" s="5" t="s">
        <v>238</v>
      </c>
      <c r="ID3565" s="5" t="s">
        <v>238</v>
      </c>
    </row>
    <row r="3566" spans="1:238" x14ac:dyDescent="0.4">
      <c r="A3566" s="5">
        <v>9284</v>
      </c>
      <c r="B3566" s="5">
        <v>1</v>
      </c>
      <c r="C3566" s="5">
        <v>1</v>
      </c>
      <c r="D3566" s="5" t="s">
        <v>484</v>
      </c>
      <c r="E3566" s="5" t="s">
        <v>485</v>
      </c>
      <c r="F3566" s="5" t="s">
        <v>248</v>
      </c>
      <c r="G3566" s="5" t="s">
        <v>4425</v>
      </c>
      <c r="H3566" s="6" t="s">
        <v>4427</v>
      </c>
      <c r="I3566" s="8">
        <f>1</f>
        <v>1</v>
      </c>
      <c r="J3566" s="5" t="s">
        <v>499</v>
      </c>
      <c r="K3566" s="8">
        <f>1</f>
        <v>1</v>
      </c>
      <c r="L3566" s="6" t="s">
        <v>242</v>
      </c>
      <c r="M3566" s="5" t="s">
        <v>267</v>
      </c>
      <c r="N3566" s="5" t="s">
        <v>482</v>
      </c>
      <c r="O3566" s="5" t="s">
        <v>238</v>
      </c>
      <c r="P3566" s="5" t="s">
        <v>238</v>
      </c>
      <c r="Q3566" s="5" t="s">
        <v>239</v>
      </c>
      <c r="R3566" s="5" t="s">
        <v>270</v>
      </c>
      <c r="S3566" s="5" t="s">
        <v>238</v>
      </c>
      <c r="T3566" s="5" t="s">
        <v>238</v>
      </c>
      <c r="U3566" s="5" t="s">
        <v>238</v>
      </c>
      <c r="V3566" s="5" t="s">
        <v>238</v>
      </c>
      <c r="W3566" s="6" t="s">
        <v>238</v>
      </c>
      <c r="X3566" s="6" t="s">
        <v>238</v>
      </c>
      <c r="Y3566" s="5" t="s">
        <v>238</v>
      </c>
      <c r="Z3566" s="6" t="s">
        <v>238</v>
      </c>
      <c r="AA3566" s="6" t="s">
        <v>243</v>
      </c>
      <c r="AB3566" s="5" t="s">
        <v>4426</v>
      </c>
      <c r="AC3566" s="5" t="s">
        <v>244</v>
      </c>
      <c r="AD3566" s="5" t="s">
        <v>245</v>
      </c>
      <c r="AE3566" s="5" t="s">
        <v>238</v>
      </c>
      <c r="AF3566" s="5" t="s">
        <v>238</v>
      </c>
      <c r="AG3566" s="5" t="s">
        <v>238</v>
      </c>
      <c r="AH3566" s="5" t="s">
        <v>238</v>
      </c>
      <c r="AI3566" s="5" t="s">
        <v>238</v>
      </c>
      <c r="AJ3566" s="5" t="s">
        <v>238</v>
      </c>
      <c r="AK3566" s="5" t="s">
        <v>238</v>
      </c>
      <c r="AL3566" s="5" t="s">
        <v>238</v>
      </c>
      <c r="AM3566" s="6" t="s">
        <v>238</v>
      </c>
      <c r="AN3566" s="6" t="s">
        <v>238</v>
      </c>
      <c r="AO3566" s="6" t="s">
        <v>238</v>
      </c>
      <c r="AP3566" s="6" t="s">
        <v>238</v>
      </c>
      <c r="AQ3566" s="5" t="s">
        <v>238</v>
      </c>
      <c r="AR3566" s="5" t="s">
        <v>488</v>
      </c>
      <c r="AS3566" s="5" t="s">
        <v>488</v>
      </c>
      <c r="AT3566" s="5" t="s">
        <v>246</v>
      </c>
      <c r="AU3566" s="5" t="s">
        <v>489</v>
      </c>
      <c r="AV3566" s="5" t="s">
        <v>247</v>
      </c>
      <c r="AW3566" s="5" t="s">
        <v>238</v>
      </c>
      <c r="AX3566" s="5" t="s">
        <v>249</v>
      </c>
      <c r="AY3566" s="5" t="s">
        <v>490</v>
      </c>
      <c r="BA3566" s="5" t="s">
        <v>238</v>
      </c>
      <c r="BC3566" s="5" t="s">
        <v>491</v>
      </c>
      <c r="BD3566" s="6" t="s">
        <v>492</v>
      </c>
      <c r="BE3566" s="5" t="s">
        <v>493</v>
      </c>
      <c r="BF3566" s="5" t="s">
        <v>493</v>
      </c>
      <c r="BG3566" s="5" t="s">
        <v>238</v>
      </c>
      <c r="BH3566" s="8">
        <f>1</f>
        <v>1</v>
      </c>
      <c r="BI3566" s="8">
        <f>1</f>
        <v>1</v>
      </c>
      <c r="BJ3566" s="5" t="s">
        <v>253</v>
      </c>
      <c r="BK3566" s="5" t="s">
        <v>254</v>
      </c>
      <c r="BL3566" s="5" t="s">
        <v>238</v>
      </c>
      <c r="BM3566" s="5" t="s">
        <v>238</v>
      </c>
      <c r="BN3566" s="5" t="s">
        <v>238</v>
      </c>
      <c r="BO3566" s="5" t="s">
        <v>238</v>
      </c>
      <c r="BP3566" s="5" t="s">
        <v>238</v>
      </c>
      <c r="BQ3566" s="5" t="s">
        <v>238</v>
      </c>
      <c r="BR3566" s="5" t="s">
        <v>238</v>
      </c>
      <c r="BS3566" s="5" t="s">
        <v>238</v>
      </c>
      <c r="BT3566" s="6" t="s">
        <v>238</v>
      </c>
      <c r="BU3566" s="5" t="s">
        <v>238</v>
      </c>
      <c r="BV3566" s="5" t="s">
        <v>238</v>
      </c>
      <c r="BW3566" s="5" t="s">
        <v>238</v>
      </c>
      <c r="BX3566" s="5" t="s">
        <v>254</v>
      </c>
      <c r="BY3566" s="5" t="s">
        <v>238</v>
      </c>
      <c r="BZ3566" s="5" t="s">
        <v>238</v>
      </c>
      <c r="CA3566" s="5" t="s">
        <v>238</v>
      </c>
      <c r="CB3566" s="5" t="s">
        <v>238</v>
      </c>
      <c r="CC3566" s="5" t="s">
        <v>238</v>
      </c>
      <c r="CD3566" s="5" t="s">
        <v>273</v>
      </c>
      <c r="CE3566" s="5" t="s">
        <v>256</v>
      </c>
      <c r="CF3566" s="5" t="s">
        <v>238</v>
      </c>
      <c r="CH3566" s="5" t="s">
        <v>494</v>
      </c>
      <c r="CI3566" s="6" t="s">
        <v>257</v>
      </c>
      <c r="CJ3566" s="5" t="s">
        <v>495</v>
      </c>
      <c r="CK3566" s="5" t="s">
        <v>258</v>
      </c>
      <c r="CL3566" s="5" t="s">
        <v>496</v>
      </c>
      <c r="CM3566" s="5" t="s">
        <v>238</v>
      </c>
      <c r="CN3566" s="5">
        <v>0</v>
      </c>
      <c r="CO3566" s="5" t="s">
        <v>497</v>
      </c>
      <c r="CP3566" s="5" t="s">
        <v>260</v>
      </c>
      <c r="CQ3566" s="5" t="s">
        <v>260</v>
      </c>
      <c r="CR3566" s="5" t="s">
        <v>261</v>
      </c>
      <c r="CS3566" s="5" t="s">
        <v>498</v>
      </c>
      <c r="CT3566" s="7">
        <f>1</f>
        <v>1</v>
      </c>
      <c r="CU3566" s="8">
        <f>1</f>
        <v>1</v>
      </c>
      <c r="CV3566" s="8">
        <f>0</f>
        <v>0</v>
      </c>
      <c r="CX3566" s="8">
        <f>1</f>
        <v>1</v>
      </c>
      <c r="CY3566" s="8">
        <f>1</f>
        <v>1</v>
      </c>
      <c r="CZ3566" s="8" t="s">
        <v>238</v>
      </c>
      <c r="DA3566" s="5" t="s">
        <v>238</v>
      </c>
      <c r="DB3566" s="5" t="s">
        <v>238</v>
      </c>
      <c r="DC3566" s="5" t="s">
        <v>238</v>
      </c>
      <c r="DD3566" s="5" t="s">
        <v>238</v>
      </c>
      <c r="DE3566" s="8">
        <f>0</f>
        <v>0</v>
      </c>
      <c r="DG3566" s="5" t="s">
        <v>238</v>
      </c>
      <c r="DH3566" s="5" t="s">
        <v>238</v>
      </c>
      <c r="DI3566" s="5" t="s">
        <v>238</v>
      </c>
      <c r="DJ3566" s="5" t="s">
        <v>238</v>
      </c>
      <c r="DK3566" s="5" t="s">
        <v>238</v>
      </c>
      <c r="DL3566" s="5" t="s">
        <v>238</v>
      </c>
      <c r="DM3566" s="8" t="s">
        <v>238</v>
      </c>
      <c r="DN3566" s="5" t="s">
        <v>238</v>
      </c>
      <c r="DO3566" s="5" t="s">
        <v>238</v>
      </c>
      <c r="DP3566" s="5" t="s">
        <v>490</v>
      </c>
      <c r="DQ3566" s="5" t="s">
        <v>490</v>
      </c>
      <c r="DR3566" s="5" t="s">
        <v>238</v>
      </c>
      <c r="DS3566" s="5" t="s">
        <v>238</v>
      </c>
      <c r="DT3566" s="5" t="s">
        <v>500</v>
      </c>
      <c r="DU3566" s="5" t="s">
        <v>1148</v>
      </c>
      <c r="DV3566" s="5" t="s">
        <v>238</v>
      </c>
      <c r="DW3566" s="5" t="s">
        <v>238</v>
      </c>
      <c r="DX3566" s="5" t="s">
        <v>238</v>
      </c>
      <c r="DY3566" s="5" t="s">
        <v>238</v>
      </c>
      <c r="DZ3566" s="5" t="s">
        <v>238</v>
      </c>
      <c r="EA3566" s="5" t="s">
        <v>238</v>
      </c>
      <c r="EB3566" s="5" t="s">
        <v>238</v>
      </c>
      <c r="EC3566" s="5" t="s">
        <v>238</v>
      </c>
      <c r="ED3566" s="5" t="s">
        <v>238</v>
      </c>
      <c r="EE3566" s="5" t="s">
        <v>238</v>
      </c>
      <c r="EF3566" s="5" t="s">
        <v>238</v>
      </c>
      <c r="EG3566" s="5" t="s">
        <v>238</v>
      </c>
      <c r="EH3566" s="5" t="s">
        <v>238</v>
      </c>
      <c r="EI3566" s="5" t="s">
        <v>238</v>
      </c>
      <c r="EJ3566" s="5" t="s">
        <v>238</v>
      </c>
      <c r="EK3566" s="5" t="s">
        <v>238</v>
      </c>
      <c r="EL3566" s="5" t="s">
        <v>238</v>
      </c>
      <c r="EM3566" s="5" t="s">
        <v>238</v>
      </c>
      <c r="EN3566" s="5" t="s">
        <v>238</v>
      </c>
      <c r="EO3566" s="5" t="s">
        <v>238</v>
      </c>
      <c r="EP3566" s="5" t="s">
        <v>238</v>
      </c>
      <c r="EQ3566" s="5" t="s">
        <v>238</v>
      </c>
      <c r="ER3566" s="5" t="s">
        <v>238</v>
      </c>
      <c r="ES3566" s="5" t="s">
        <v>238</v>
      </c>
      <c r="ET3566" s="5" t="s">
        <v>238</v>
      </c>
      <c r="EU3566" s="5" t="s">
        <v>238</v>
      </c>
      <c r="EV3566" s="5" t="s">
        <v>238</v>
      </c>
      <c r="EW3566" s="5" t="s">
        <v>238</v>
      </c>
      <c r="EX3566" s="5" t="s">
        <v>238</v>
      </c>
      <c r="EY3566" s="5" t="s">
        <v>238</v>
      </c>
      <c r="EZ3566" s="5" t="s">
        <v>238</v>
      </c>
      <c r="FA3566" s="5" t="s">
        <v>238</v>
      </c>
      <c r="FB3566" s="5" t="s">
        <v>238</v>
      </c>
      <c r="FC3566" s="5" t="s">
        <v>238</v>
      </c>
      <c r="FD3566" s="5" t="s">
        <v>238</v>
      </c>
      <c r="FE3566" s="5" t="s">
        <v>238</v>
      </c>
      <c r="FF3566" s="5" t="s">
        <v>238</v>
      </c>
      <c r="FG3566" s="5" t="s">
        <v>238</v>
      </c>
      <c r="FH3566" s="5" t="s">
        <v>238</v>
      </c>
      <c r="FI3566" s="5" t="s">
        <v>238</v>
      </c>
      <c r="FJ3566" s="5" t="s">
        <v>238</v>
      </c>
      <c r="FK3566" s="5" t="s">
        <v>238</v>
      </c>
      <c r="FL3566" s="5" t="s">
        <v>238</v>
      </c>
      <c r="FM3566" s="5" t="s">
        <v>238</v>
      </c>
      <c r="FN3566" s="5" t="s">
        <v>238</v>
      </c>
      <c r="FO3566" s="5" t="s">
        <v>238</v>
      </c>
      <c r="FP3566" s="5" t="s">
        <v>238</v>
      </c>
      <c r="FQ3566" s="5" t="s">
        <v>238</v>
      </c>
      <c r="FR3566" s="5" t="s">
        <v>238</v>
      </c>
      <c r="FS3566" s="5" t="s">
        <v>238</v>
      </c>
      <c r="FT3566" s="5" t="s">
        <v>238</v>
      </c>
      <c r="FU3566" s="5" t="s">
        <v>238</v>
      </c>
      <c r="FV3566" s="5" t="s">
        <v>238</v>
      </c>
      <c r="FW3566" s="5" t="s">
        <v>238</v>
      </c>
      <c r="FX3566" s="5" t="s">
        <v>238</v>
      </c>
      <c r="FY3566" s="5" t="s">
        <v>238</v>
      </c>
      <c r="FZ3566" s="5" t="s">
        <v>238</v>
      </c>
      <c r="GA3566" s="5" t="s">
        <v>238</v>
      </c>
      <c r="GB3566" s="5" t="s">
        <v>238</v>
      </c>
      <c r="GC3566" s="5" t="s">
        <v>238</v>
      </c>
      <c r="GD3566" s="5" t="s">
        <v>238</v>
      </c>
      <c r="GE3566" s="5" t="s">
        <v>238</v>
      </c>
      <c r="GF3566" s="5" t="s">
        <v>238</v>
      </c>
      <c r="GG3566" s="5" t="s">
        <v>238</v>
      </c>
      <c r="GH3566" s="5" t="s">
        <v>238</v>
      </c>
      <c r="GI3566" s="5" t="s">
        <v>238</v>
      </c>
      <c r="GJ3566" s="5" t="s">
        <v>238</v>
      </c>
      <c r="GK3566" s="5" t="s">
        <v>238</v>
      </c>
      <c r="GL3566" s="5" t="s">
        <v>238</v>
      </c>
      <c r="GM3566" s="5" t="s">
        <v>238</v>
      </c>
      <c r="GN3566" s="5" t="s">
        <v>238</v>
      </c>
      <c r="GO3566" s="5" t="s">
        <v>238</v>
      </c>
      <c r="GP3566" s="5" t="s">
        <v>238</v>
      </c>
      <c r="GQ3566" s="5" t="s">
        <v>238</v>
      </c>
      <c r="GR3566" s="5" t="s">
        <v>238</v>
      </c>
      <c r="GS3566" s="5" t="s">
        <v>238</v>
      </c>
      <c r="GT3566" s="5" t="s">
        <v>238</v>
      </c>
      <c r="GU3566" s="5" t="s">
        <v>238</v>
      </c>
      <c r="GV3566" s="5" t="s">
        <v>238</v>
      </c>
      <c r="GW3566" s="5" t="s">
        <v>238</v>
      </c>
      <c r="GX3566" s="5" t="s">
        <v>238</v>
      </c>
      <c r="GY3566" s="5" t="s">
        <v>238</v>
      </c>
      <c r="GZ3566" s="5" t="s">
        <v>238</v>
      </c>
      <c r="HA3566" s="5" t="s">
        <v>238</v>
      </c>
      <c r="HB3566" s="5" t="s">
        <v>238</v>
      </c>
      <c r="HC3566" s="5" t="s">
        <v>238</v>
      </c>
      <c r="HD3566" s="5" t="s">
        <v>238</v>
      </c>
      <c r="HE3566" s="5" t="s">
        <v>238</v>
      </c>
      <c r="HF3566" s="5" t="s">
        <v>238</v>
      </c>
      <c r="HG3566" s="5" t="s">
        <v>238</v>
      </c>
      <c r="HH3566" s="5" t="s">
        <v>238</v>
      </c>
      <c r="HI3566" s="5" t="s">
        <v>238</v>
      </c>
      <c r="HJ3566" s="5" t="s">
        <v>238</v>
      </c>
      <c r="HK3566" s="5" t="s">
        <v>238</v>
      </c>
      <c r="HL3566" s="5" t="s">
        <v>238</v>
      </c>
      <c r="HM3566" s="5" t="s">
        <v>264</v>
      </c>
      <c r="HN3566" s="5" t="s">
        <v>238</v>
      </c>
      <c r="HO3566" s="5" t="s">
        <v>238</v>
      </c>
      <c r="HP3566" s="5" t="s">
        <v>238</v>
      </c>
      <c r="HQ3566" s="5" t="s">
        <v>238</v>
      </c>
      <c r="HR3566" s="5" t="s">
        <v>238</v>
      </c>
      <c r="HS3566" s="5" t="s">
        <v>238</v>
      </c>
      <c r="HT3566" s="5" t="s">
        <v>238</v>
      </c>
      <c r="HU3566" s="5" t="s">
        <v>238</v>
      </c>
      <c r="HV3566" s="5" t="s">
        <v>238</v>
      </c>
      <c r="HW3566" s="5" t="s">
        <v>238</v>
      </c>
      <c r="HX3566" s="5" t="s">
        <v>238</v>
      </c>
      <c r="HY3566" s="5" t="s">
        <v>238</v>
      </c>
      <c r="HZ3566" s="5" t="s">
        <v>238</v>
      </c>
      <c r="IA3566" s="5" t="s">
        <v>238</v>
      </c>
      <c r="IB3566" s="5" t="s">
        <v>238</v>
      </c>
      <c r="IC3566" s="5" t="s">
        <v>238</v>
      </c>
      <c r="ID3566" s="5" t="s">
        <v>238</v>
      </c>
    </row>
    <row r="3567" spans="1:238" x14ac:dyDescent="0.4">
      <c r="A3567" s="5">
        <v>9285</v>
      </c>
      <c r="B3567" s="5">
        <v>1</v>
      </c>
      <c r="C3567" s="5">
        <v>1</v>
      </c>
      <c r="D3567" s="5" t="s">
        <v>484</v>
      </c>
      <c r="E3567" s="5" t="s">
        <v>485</v>
      </c>
      <c r="F3567" s="5" t="s">
        <v>248</v>
      </c>
      <c r="G3567" s="5" t="s">
        <v>6400</v>
      </c>
      <c r="H3567" s="6" t="s">
        <v>6402</v>
      </c>
      <c r="I3567" s="8">
        <f>1</f>
        <v>1</v>
      </c>
      <c r="J3567" s="5" t="s">
        <v>499</v>
      </c>
      <c r="K3567" s="8">
        <f>1</f>
        <v>1</v>
      </c>
      <c r="L3567" s="6" t="s">
        <v>242</v>
      </c>
      <c r="M3567" s="5" t="s">
        <v>267</v>
      </c>
      <c r="N3567" s="5" t="s">
        <v>482</v>
      </c>
      <c r="O3567" s="5" t="s">
        <v>238</v>
      </c>
      <c r="P3567" s="5" t="s">
        <v>238</v>
      </c>
      <c r="Q3567" s="5" t="s">
        <v>239</v>
      </c>
      <c r="R3567" s="5" t="s">
        <v>270</v>
      </c>
      <c r="S3567" s="5" t="s">
        <v>238</v>
      </c>
      <c r="T3567" s="5" t="s">
        <v>238</v>
      </c>
      <c r="U3567" s="5" t="s">
        <v>238</v>
      </c>
      <c r="V3567" s="5" t="s">
        <v>238</v>
      </c>
      <c r="W3567" s="6" t="s">
        <v>238</v>
      </c>
      <c r="X3567" s="6" t="s">
        <v>238</v>
      </c>
      <c r="Y3567" s="5" t="s">
        <v>238</v>
      </c>
      <c r="Z3567" s="6" t="s">
        <v>238</v>
      </c>
      <c r="AA3567" s="6" t="s">
        <v>243</v>
      </c>
      <c r="AB3567" s="5" t="s">
        <v>6401</v>
      </c>
      <c r="AC3567" s="5" t="s">
        <v>244</v>
      </c>
      <c r="AD3567" s="5" t="s">
        <v>245</v>
      </c>
      <c r="AE3567" s="5" t="s">
        <v>238</v>
      </c>
      <c r="AF3567" s="5" t="s">
        <v>238</v>
      </c>
      <c r="AG3567" s="5" t="s">
        <v>238</v>
      </c>
      <c r="AH3567" s="5" t="s">
        <v>238</v>
      </c>
      <c r="AI3567" s="5" t="s">
        <v>238</v>
      </c>
      <c r="AJ3567" s="5" t="s">
        <v>238</v>
      </c>
      <c r="AK3567" s="5" t="s">
        <v>238</v>
      </c>
      <c r="AL3567" s="5" t="s">
        <v>238</v>
      </c>
      <c r="AM3567" s="6" t="s">
        <v>238</v>
      </c>
      <c r="AN3567" s="6" t="s">
        <v>238</v>
      </c>
      <c r="AO3567" s="6" t="s">
        <v>238</v>
      </c>
      <c r="AP3567" s="6" t="s">
        <v>238</v>
      </c>
      <c r="AQ3567" s="5" t="s">
        <v>238</v>
      </c>
      <c r="AR3567" s="5" t="s">
        <v>488</v>
      </c>
      <c r="AS3567" s="5" t="s">
        <v>488</v>
      </c>
      <c r="AT3567" s="5" t="s">
        <v>246</v>
      </c>
      <c r="AU3567" s="5" t="s">
        <v>489</v>
      </c>
      <c r="AV3567" s="5" t="s">
        <v>247</v>
      </c>
      <c r="AW3567" s="5" t="s">
        <v>238</v>
      </c>
      <c r="AX3567" s="5" t="s">
        <v>249</v>
      </c>
      <c r="AY3567" s="5" t="s">
        <v>490</v>
      </c>
      <c r="BA3567" s="5" t="s">
        <v>238</v>
      </c>
      <c r="BC3567" s="5" t="s">
        <v>491</v>
      </c>
      <c r="BD3567" s="6" t="s">
        <v>492</v>
      </c>
      <c r="BE3567" s="5" t="s">
        <v>493</v>
      </c>
      <c r="BF3567" s="5" t="s">
        <v>493</v>
      </c>
      <c r="BG3567" s="5" t="s">
        <v>238</v>
      </c>
      <c r="BH3567" s="8">
        <f>1</f>
        <v>1</v>
      </c>
      <c r="BI3567" s="8">
        <f>1</f>
        <v>1</v>
      </c>
      <c r="BJ3567" s="5" t="s">
        <v>253</v>
      </c>
      <c r="BK3567" s="5" t="s">
        <v>254</v>
      </c>
      <c r="BL3567" s="5" t="s">
        <v>238</v>
      </c>
      <c r="BM3567" s="5" t="s">
        <v>238</v>
      </c>
      <c r="BN3567" s="5" t="s">
        <v>238</v>
      </c>
      <c r="BO3567" s="5" t="s">
        <v>238</v>
      </c>
      <c r="BP3567" s="5" t="s">
        <v>238</v>
      </c>
      <c r="BQ3567" s="5" t="s">
        <v>238</v>
      </c>
      <c r="BR3567" s="5" t="s">
        <v>238</v>
      </c>
      <c r="BS3567" s="5" t="s">
        <v>238</v>
      </c>
      <c r="BT3567" s="6" t="s">
        <v>238</v>
      </c>
      <c r="BU3567" s="5" t="s">
        <v>238</v>
      </c>
      <c r="BV3567" s="5" t="s">
        <v>238</v>
      </c>
      <c r="BW3567" s="5" t="s">
        <v>238</v>
      </c>
      <c r="BX3567" s="5" t="s">
        <v>254</v>
      </c>
      <c r="BY3567" s="5" t="s">
        <v>238</v>
      </c>
      <c r="BZ3567" s="5" t="s">
        <v>238</v>
      </c>
      <c r="CA3567" s="5" t="s">
        <v>238</v>
      </c>
      <c r="CB3567" s="5" t="s">
        <v>238</v>
      </c>
      <c r="CC3567" s="5" t="s">
        <v>238</v>
      </c>
      <c r="CD3567" s="5" t="s">
        <v>273</v>
      </c>
      <c r="CE3567" s="5" t="s">
        <v>256</v>
      </c>
      <c r="CF3567" s="5" t="s">
        <v>238</v>
      </c>
      <c r="CH3567" s="5" t="s">
        <v>494</v>
      </c>
      <c r="CI3567" s="6" t="s">
        <v>257</v>
      </c>
      <c r="CJ3567" s="5" t="s">
        <v>495</v>
      </c>
      <c r="CK3567" s="5" t="s">
        <v>258</v>
      </c>
      <c r="CL3567" s="5" t="s">
        <v>496</v>
      </c>
      <c r="CM3567" s="5" t="s">
        <v>238</v>
      </c>
      <c r="CN3567" s="5">
        <v>0</v>
      </c>
      <c r="CO3567" s="5" t="s">
        <v>497</v>
      </c>
      <c r="CP3567" s="5" t="s">
        <v>260</v>
      </c>
      <c r="CQ3567" s="5" t="s">
        <v>260</v>
      </c>
      <c r="CR3567" s="5" t="s">
        <v>261</v>
      </c>
      <c r="CS3567" s="5" t="s">
        <v>498</v>
      </c>
      <c r="CT3567" s="7">
        <f>1</f>
        <v>1</v>
      </c>
      <c r="CU3567" s="8">
        <f>1</f>
        <v>1</v>
      </c>
      <c r="CV3567" s="8">
        <f>0</f>
        <v>0</v>
      </c>
      <c r="CX3567" s="8">
        <f>1</f>
        <v>1</v>
      </c>
      <c r="CY3567" s="8">
        <f>1</f>
        <v>1</v>
      </c>
      <c r="CZ3567" s="8" t="s">
        <v>238</v>
      </c>
      <c r="DA3567" s="5" t="s">
        <v>238</v>
      </c>
      <c r="DB3567" s="5" t="s">
        <v>238</v>
      </c>
      <c r="DC3567" s="5" t="s">
        <v>238</v>
      </c>
      <c r="DD3567" s="5" t="s">
        <v>238</v>
      </c>
      <c r="DE3567" s="8">
        <f>0</f>
        <v>0</v>
      </c>
      <c r="DG3567" s="5" t="s">
        <v>238</v>
      </c>
      <c r="DH3567" s="5" t="s">
        <v>238</v>
      </c>
      <c r="DI3567" s="5" t="s">
        <v>238</v>
      </c>
      <c r="DJ3567" s="5" t="s">
        <v>238</v>
      </c>
      <c r="DK3567" s="5" t="s">
        <v>238</v>
      </c>
      <c r="DL3567" s="5" t="s">
        <v>238</v>
      </c>
      <c r="DM3567" s="8" t="s">
        <v>238</v>
      </c>
      <c r="DN3567" s="5" t="s">
        <v>238</v>
      </c>
      <c r="DO3567" s="5" t="s">
        <v>238</v>
      </c>
      <c r="DP3567" s="5" t="s">
        <v>490</v>
      </c>
      <c r="DQ3567" s="5" t="s">
        <v>490</v>
      </c>
      <c r="DR3567" s="5" t="s">
        <v>238</v>
      </c>
      <c r="DS3567" s="5" t="s">
        <v>238</v>
      </c>
      <c r="DT3567" s="5" t="s">
        <v>500</v>
      </c>
      <c r="DU3567" s="5" t="s">
        <v>518</v>
      </c>
      <c r="DV3567" s="5" t="s">
        <v>238</v>
      </c>
      <c r="DW3567" s="5" t="s">
        <v>238</v>
      </c>
      <c r="DX3567" s="5" t="s">
        <v>238</v>
      </c>
      <c r="DY3567" s="5" t="s">
        <v>238</v>
      </c>
      <c r="DZ3567" s="5" t="s">
        <v>238</v>
      </c>
      <c r="EA3567" s="5" t="s">
        <v>238</v>
      </c>
      <c r="EB3567" s="5" t="s">
        <v>238</v>
      </c>
      <c r="EC3567" s="5" t="s">
        <v>238</v>
      </c>
      <c r="ED3567" s="5" t="s">
        <v>238</v>
      </c>
      <c r="EE3567" s="5" t="s">
        <v>238</v>
      </c>
      <c r="EF3567" s="5" t="s">
        <v>238</v>
      </c>
      <c r="EG3567" s="5" t="s">
        <v>238</v>
      </c>
      <c r="EH3567" s="5" t="s">
        <v>238</v>
      </c>
      <c r="EI3567" s="5" t="s">
        <v>238</v>
      </c>
      <c r="EJ3567" s="5" t="s">
        <v>238</v>
      </c>
      <c r="EK3567" s="5" t="s">
        <v>238</v>
      </c>
      <c r="EL3567" s="5" t="s">
        <v>238</v>
      </c>
      <c r="EM3567" s="5" t="s">
        <v>238</v>
      </c>
      <c r="EN3567" s="5" t="s">
        <v>238</v>
      </c>
      <c r="EO3567" s="5" t="s">
        <v>238</v>
      </c>
      <c r="EP3567" s="5" t="s">
        <v>238</v>
      </c>
      <c r="EQ3567" s="5" t="s">
        <v>238</v>
      </c>
      <c r="ER3567" s="5" t="s">
        <v>238</v>
      </c>
      <c r="ES3567" s="5" t="s">
        <v>238</v>
      </c>
      <c r="ET3567" s="5" t="s">
        <v>238</v>
      </c>
      <c r="EU3567" s="5" t="s">
        <v>238</v>
      </c>
      <c r="EV3567" s="5" t="s">
        <v>238</v>
      </c>
      <c r="EW3567" s="5" t="s">
        <v>238</v>
      </c>
      <c r="EX3567" s="5" t="s">
        <v>238</v>
      </c>
      <c r="EY3567" s="5" t="s">
        <v>238</v>
      </c>
      <c r="EZ3567" s="5" t="s">
        <v>238</v>
      </c>
      <c r="FA3567" s="5" t="s">
        <v>238</v>
      </c>
      <c r="FB3567" s="5" t="s">
        <v>238</v>
      </c>
      <c r="FC3567" s="5" t="s">
        <v>238</v>
      </c>
      <c r="FD3567" s="5" t="s">
        <v>238</v>
      </c>
      <c r="FE3567" s="5" t="s">
        <v>238</v>
      </c>
      <c r="FF3567" s="5" t="s">
        <v>238</v>
      </c>
      <c r="FG3567" s="5" t="s">
        <v>238</v>
      </c>
      <c r="FH3567" s="5" t="s">
        <v>238</v>
      </c>
      <c r="FI3567" s="5" t="s">
        <v>238</v>
      </c>
      <c r="FJ3567" s="5" t="s">
        <v>238</v>
      </c>
      <c r="FK3567" s="5" t="s">
        <v>238</v>
      </c>
      <c r="FL3567" s="5" t="s">
        <v>238</v>
      </c>
      <c r="FM3567" s="5" t="s">
        <v>238</v>
      </c>
      <c r="FN3567" s="5" t="s">
        <v>238</v>
      </c>
      <c r="FO3567" s="5" t="s">
        <v>238</v>
      </c>
      <c r="FP3567" s="5" t="s">
        <v>238</v>
      </c>
      <c r="FQ3567" s="5" t="s">
        <v>238</v>
      </c>
      <c r="FR3567" s="5" t="s">
        <v>238</v>
      </c>
      <c r="FS3567" s="5" t="s">
        <v>238</v>
      </c>
      <c r="FT3567" s="5" t="s">
        <v>238</v>
      </c>
      <c r="FU3567" s="5" t="s">
        <v>238</v>
      </c>
      <c r="FV3567" s="5" t="s">
        <v>238</v>
      </c>
      <c r="FW3567" s="5" t="s">
        <v>238</v>
      </c>
      <c r="FX3567" s="5" t="s">
        <v>238</v>
      </c>
      <c r="FY3567" s="5" t="s">
        <v>238</v>
      </c>
      <c r="FZ3567" s="5" t="s">
        <v>238</v>
      </c>
      <c r="GA3567" s="5" t="s">
        <v>238</v>
      </c>
      <c r="GB3567" s="5" t="s">
        <v>238</v>
      </c>
      <c r="GC3567" s="5" t="s">
        <v>238</v>
      </c>
      <c r="GD3567" s="5" t="s">
        <v>238</v>
      </c>
      <c r="GE3567" s="5" t="s">
        <v>238</v>
      </c>
      <c r="GF3567" s="5" t="s">
        <v>238</v>
      </c>
      <c r="GG3567" s="5" t="s">
        <v>238</v>
      </c>
      <c r="GH3567" s="5" t="s">
        <v>238</v>
      </c>
      <c r="GI3567" s="5" t="s">
        <v>238</v>
      </c>
      <c r="GJ3567" s="5" t="s">
        <v>238</v>
      </c>
      <c r="GK3567" s="5" t="s">
        <v>238</v>
      </c>
      <c r="GL3567" s="5" t="s">
        <v>238</v>
      </c>
      <c r="GM3567" s="5" t="s">
        <v>238</v>
      </c>
      <c r="GN3567" s="5" t="s">
        <v>238</v>
      </c>
      <c r="GO3567" s="5" t="s">
        <v>238</v>
      </c>
      <c r="GP3567" s="5" t="s">
        <v>238</v>
      </c>
      <c r="GQ3567" s="5" t="s">
        <v>238</v>
      </c>
      <c r="GR3567" s="5" t="s">
        <v>238</v>
      </c>
      <c r="GS3567" s="5" t="s">
        <v>238</v>
      </c>
      <c r="GT3567" s="5" t="s">
        <v>238</v>
      </c>
      <c r="GU3567" s="5" t="s">
        <v>238</v>
      </c>
      <c r="GV3567" s="5" t="s">
        <v>238</v>
      </c>
      <c r="GW3567" s="5" t="s">
        <v>238</v>
      </c>
      <c r="GX3567" s="5" t="s">
        <v>238</v>
      </c>
      <c r="GY3567" s="5" t="s">
        <v>238</v>
      </c>
      <c r="GZ3567" s="5" t="s">
        <v>238</v>
      </c>
      <c r="HA3567" s="5" t="s">
        <v>238</v>
      </c>
      <c r="HB3567" s="5" t="s">
        <v>238</v>
      </c>
      <c r="HC3567" s="5" t="s">
        <v>238</v>
      </c>
      <c r="HD3567" s="5" t="s">
        <v>238</v>
      </c>
      <c r="HE3567" s="5" t="s">
        <v>238</v>
      </c>
      <c r="HF3567" s="5" t="s">
        <v>238</v>
      </c>
      <c r="HG3567" s="5" t="s">
        <v>238</v>
      </c>
      <c r="HH3567" s="5" t="s">
        <v>238</v>
      </c>
      <c r="HI3567" s="5" t="s">
        <v>238</v>
      </c>
      <c r="HJ3567" s="5" t="s">
        <v>238</v>
      </c>
      <c r="HK3567" s="5" t="s">
        <v>238</v>
      </c>
      <c r="HL3567" s="5" t="s">
        <v>238</v>
      </c>
      <c r="HM3567" s="5" t="s">
        <v>264</v>
      </c>
      <c r="HN3567" s="5" t="s">
        <v>238</v>
      </c>
      <c r="HO3567" s="5" t="s">
        <v>238</v>
      </c>
      <c r="HP3567" s="5" t="s">
        <v>238</v>
      </c>
      <c r="HQ3567" s="5" t="s">
        <v>238</v>
      </c>
      <c r="HR3567" s="5" t="s">
        <v>238</v>
      </c>
      <c r="HS3567" s="5" t="s">
        <v>238</v>
      </c>
      <c r="HT3567" s="5" t="s">
        <v>238</v>
      </c>
      <c r="HU3567" s="5" t="s">
        <v>238</v>
      </c>
      <c r="HV3567" s="5" t="s">
        <v>238</v>
      </c>
      <c r="HW3567" s="5" t="s">
        <v>238</v>
      </c>
      <c r="HX3567" s="5" t="s">
        <v>238</v>
      </c>
      <c r="HY3567" s="5" t="s">
        <v>238</v>
      </c>
      <c r="HZ3567" s="5" t="s">
        <v>238</v>
      </c>
      <c r="IA3567" s="5" t="s">
        <v>238</v>
      </c>
      <c r="IB3567" s="5" t="s">
        <v>238</v>
      </c>
      <c r="IC3567" s="5" t="s">
        <v>238</v>
      </c>
      <c r="ID3567" s="5" t="s">
        <v>238</v>
      </c>
    </row>
    <row r="3568" spans="1:238" x14ac:dyDescent="0.4">
      <c r="A3568" s="5">
        <v>9286</v>
      </c>
      <c r="B3568" s="5">
        <v>1</v>
      </c>
      <c r="C3568" s="5">
        <v>1</v>
      </c>
      <c r="D3568" s="5" t="s">
        <v>484</v>
      </c>
      <c r="E3568" s="5" t="s">
        <v>485</v>
      </c>
      <c r="F3568" s="5" t="s">
        <v>248</v>
      </c>
      <c r="G3568" s="5" t="s">
        <v>4640</v>
      </c>
      <c r="H3568" s="6" t="s">
        <v>4641</v>
      </c>
      <c r="I3568" s="8">
        <f>1</f>
        <v>1</v>
      </c>
      <c r="J3568" s="5" t="s">
        <v>499</v>
      </c>
      <c r="K3568" s="8">
        <f>1</f>
        <v>1</v>
      </c>
      <c r="L3568" s="6" t="s">
        <v>242</v>
      </c>
      <c r="M3568" s="5" t="s">
        <v>267</v>
      </c>
      <c r="N3568" s="5" t="s">
        <v>482</v>
      </c>
      <c r="O3568" s="5" t="s">
        <v>238</v>
      </c>
      <c r="P3568" s="5" t="s">
        <v>238</v>
      </c>
      <c r="Q3568" s="5" t="s">
        <v>239</v>
      </c>
      <c r="R3568" s="5" t="s">
        <v>270</v>
      </c>
      <c r="S3568" s="5" t="s">
        <v>238</v>
      </c>
      <c r="T3568" s="5" t="s">
        <v>238</v>
      </c>
      <c r="U3568" s="5" t="s">
        <v>238</v>
      </c>
      <c r="V3568" s="5" t="s">
        <v>238</v>
      </c>
      <c r="W3568" s="6" t="s">
        <v>238</v>
      </c>
      <c r="X3568" s="6" t="s">
        <v>238</v>
      </c>
      <c r="Y3568" s="5" t="s">
        <v>238</v>
      </c>
      <c r="Z3568" s="6" t="s">
        <v>238</v>
      </c>
      <c r="AA3568" s="6" t="s">
        <v>243</v>
      </c>
      <c r="AB3568" s="5" t="s">
        <v>486</v>
      </c>
      <c r="AC3568" s="5" t="s">
        <v>244</v>
      </c>
      <c r="AD3568" s="5" t="s">
        <v>245</v>
      </c>
      <c r="AE3568" s="5" t="s">
        <v>238</v>
      </c>
      <c r="AF3568" s="5" t="s">
        <v>238</v>
      </c>
      <c r="AG3568" s="5" t="s">
        <v>238</v>
      </c>
      <c r="AH3568" s="5" t="s">
        <v>238</v>
      </c>
      <c r="AI3568" s="5" t="s">
        <v>238</v>
      </c>
      <c r="AJ3568" s="5" t="s">
        <v>238</v>
      </c>
      <c r="AK3568" s="5" t="s">
        <v>238</v>
      </c>
      <c r="AL3568" s="5" t="s">
        <v>238</v>
      </c>
      <c r="AM3568" s="6" t="s">
        <v>238</v>
      </c>
      <c r="AN3568" s="6" t="s">
        <v>238</v>
      </c>
      <c r="AO3568" s="6" t="s">
        <v>238</v>
      </c>
      <c r="AP3568" s="6" t="s">
        <v>238</v>
      </c>
      <c r="AQ3568" s="5" t="s">
        <v>238</v>
      </c>
      <c r="AR3568" s="5" t="s">
        <v>488</v>
      </c>
      <c r="AS3568" s="5" t="s">
        <v>488</v>
      </c>
      <c r="AT3568" s="5" t="s">
        <v>246</v>
      </c>
      <c r="AU3568" s="5" t="s">
        <v>489</v>
      </c>
      <c r="AV3568" s="5" t="s">
        <v>247</v>
      </c>
      <c r="AW3568" s="5" t="s">
        <v>238</v>
      </c>
      <c r="AX3568" s="5" t="s">
        <v>249</v>
      </c>
      <c r="AY3568" s="5" t="s">
        <v>490</v>
      </c>
      <c r="BA3568" s="5" t="s">
        <v>238</v>
      </c>
      <c r="BC3568" s="5" t="s">
        <v>491</v>
      </c>
      <c r="BD3568" s="6" t="s">
        <v>492</v>
      </c>
      <c r="BE3568" s="5" t="s">
        <v>493</v>
      </c>
      <c r="BF3568" s="5" t="s">
        <v>493</v>
      </c>
      <c r="BG3568" s="5" t="s">
        <v>238</v>
      </c>
      <c r="BH3568" s="8">
        <f>1</f>
        <v>1</v>
      </c>
      <c r="BI3568" s="8">
        <f>1</f>
        <v>1</v>
      </c>
      <c r="BJ3568" s="5" t="s">
        <v>253</v>
      </c>
      <c r="BK3568" s="5" t="s">
        <v>254</v>
      </c>
      <c r="BL3568" s="5" t="s">
        <v>238</v>
      </c>
      <c r="BM3568" s="5" t="s">
        <v>238</v>
      </c>
      <c r="BN3568" s="5" t="s">
        <v>238</v>
      </c>
      <c r="BO3568" s="5" t="s">
        <v>238</v>
      </c>
      <c r="BP3568" s="5" t="s">
        <v>238</v>
      </c>
      <c r="BQ3568" s="5" t="s">
        <v>238</v>
      </c>
      <c r="BR3568" s="5" t="s">
        <v>238</v>
      </c>
      <c r="BS3568" s="5" t="s">
        <v>238</v>
      </c>
      <c r="BT3568" s="6" t="s">
        <v>238</v>
      </c>
      <c r="BU3568" s="5" t="s">
        <v>238</v>
      </c>
      <c r="BV3568" s="5" t="s">
        <v>238</v>
      </c>
      <c r="BW3568" s="5" t="s">
        <v>238</v>
      </c>
      <c r="BX3568" s="5" t="s">
        <v>254</v>
      </c>
      <c r="BY3568" s="5" t="s">
        <v>238</v>
      </c>
      <c r="BZ3568" s="5" t="s">
        <v>238</v>
      </c>
      <c r="CA3568" s="5" t="s">
        <v>238</v>
      </c>
      <c r="CB3568" s="5" t="s">
        <v>238</v>
      </c>
      <c r="CC3568" s="5" t="s">
        <v>238</v>
      </c>
      <c r="CD3568" s="5" t="s">
        <v>273</v>
      </c>
      <c r="CE3568" s="5" t="s">
        <v>256</v>
      </c>
      <c r="CF3568" s="5" t="s">
        <v>238</v>
      </c>
      <c r="CH3568" s="5" t="s">
        <v>494</v>
      </c>
      <c r="CI3568" s="6" t="s">
        <v>257</v>
      </c>
      <c r="CJ3568" s="5" t="s">
        <v>495</v>
      </c>
      <c r="CK3568" s="5" t="s">
        <v>258</v>
      </c>
      <c r="CL3568" s="5" t="s">
        <v>496</v>
      </c>
      <c r="CM3568" s="5" t="s">
        <v>238</v>
      </c>
      <c r="CN3568" s="5">
        <v>0</v>
      </c>
      <c r="CO3568" s="5" t="s">
        <v>497</v>
      </c>
      <c r="CP3568" s="5" t="s">
        <v>260</v>
      </c>
      <c r="CQ3568" s="5" t="s">
        <v>260</v>
      </c>
      <c r="CR3568" s="5" t="s">
        <v>261</v>
      </c>
      <c r="CS3568" s="5" t="s">
        <v>498</v>
      </c>
      <c r="CT3568" s="7">
        <f>1</f>
        <v>1</v>
      </c>
      <c r="CU3568" s="8">
        <f>1</f>
        <v>1</v>
      </c>
      <c r="CV3568" s="8">
        <f>0</f>
        <v>0</v>
      </c>
      <c r="CX3568" s="8">
        <f>1</f>
        <v>1</v>
      </c>
      <c r="CY3568" s="8">
        <f>1</f>
        <v>1</v>
      </c>
      <c r="CZ3568" s="8" t="s">
        <v>238</v>
      </c>
      <c r="DA3568" s="5" t="s">
        <v>238</v>
      </c>
      <c r="DB3568" s="5" t="s">
        <v>238</v>
      </c>
      <c r="DC3568" s="5" t="s">
        <v>238</v>
      </c>
      <c r="DD3568" s="5" t="s">
        <v>238</v>
      </c>
      <c r="DE3568" s="8">
        <f>0</f>
        <v>0</v>
      </c>
      <c r="DG3568" s="5" t="s">
        <v>238</v>
      </c>
      <c r="DH3568" s="5" t="s">
        <v>238</v>
      </c>
      <c r="DI3568" s="5" t="s">
        <v>238</v>
      </c>
      <c r="DJ3568" s="5" t="s">
        <v>238</v>
      </c>
      <c r="DK3568" s="5" t="s">
        <v>238</v>
      </c>
      <c r="DL3568" s="5" t="s">
        <v>238</v>
      </c>
      <c r="DM3568" s="8" t="s">
        <v>238</v>
      </c>
      <c r="DN3568" s="5" t="s">
        <v>238</v>
      </c>
      <c r="DO3568" s="5" t="s">
        <v>238</v>
      </c>
      <c r="DP3568" s="5" t="s">
        <v>490</v>
      </c>
      <c r="DQ3568" s="5" t="s">
        <v>490</v>
      </c>
      <c r="DR3568" s="5" t="s">
        <v>238</v>
      </c>
      <c r="DS3568" s="5" t="s">
        <v>238</v>
      </c>
      <c r="DT3568" s="5" t="s">
        <v>500</v>
      </c>
      <c r="DU3568" s="5" t="s">
        <v>506</v>
      </c>
      <c r="DV3568" s="5" t="s">
        <v>238</v>
      </c>
      <c r="DW3568" s="5" t="s">
        <v>238</v>
      </c>
      <c r="DX3568" s="5" t="s">
        <v>238</v>
      </c>
      <c r="DY3568" s="5" t="s">
        <v>238</v>
      </c>
      <c r="DZ3568" s="5" t="s">
        <v>238</v>
      </c>
      <c r="EA3568" s="5" t="s">
        <v>238</v>
      </c>
      <c r="EB3568" s="5" t="s">
        <v>238</v>
      </c>
      <c r="EC3568" s="5" t="s">
        <v>238</v>
      </c>
      <c r="ED3568" s="5" t="s">
        <v>238</v>
      </c>
      <c r="EE3568" s="5" t="s">
        <v>238</v>
      </c>
      <c r="EF3568" s="5" t="s">
        <v>238</v>
      </c>
      <c r="EG3568" s="5" t="s">
        <v>238</v>
      </c>
      <c r="EH3568" s="5" t="s">
        <v>238</v>
      </c>
      <c r="EI3568" s="5" t="s">
        <v>238</v>
      </c>
      <c r="EJ3568" s="5" t="s">
        <v>238</v>
      </c>
      <c r="EK3568" s="5" t="s">
        <v>238</v>
      </c>
      <c r="EL3568" s="5" t="s">
        <v>238</v>
      </c>
      <c r="EM3568" s="5" t="s">
        <v>238</v>
      </c>
      <c r="EN3568" s="5" t="s">
        <v>238</v>
      </c>
      <c r="EO3568" s="5" t="s">
        <v>238</v>
      </c>
      <c r="EP3568" s="5" t="s">
        <v>238</v>
      </c>
      <c r="EQ3568" s="5" t="s">
        <v>238</v>
      </c>
      <c r="ER3568" s="5" t="s">
        <v>238</v>
      </c>
      <c r="ES3568" s="5" t="s">
        <v>238</v>
      </c>
      <c r="ET3568" s="5" t="s">
        <v>238</v>
      </c>
      <c r="EU3568" s="5" t="s">
        <v>238</v>
      </c>
      <c r="EV3568" s="5" t="s">
        <v>238</v>
      </c>
      <c r="EW3568" s="5" t="s">
        <v>238</v>
      </c>
      <c r="EX3568" s="5" t="s">
        <v>238</v>
      </c>
      <c r="EY3568" s="5" t="s">
        <v>238</v>
      </c>
      <c r="EZ3568" s="5" t="s">
        <v>238</v>
      </c>
      <c r="FA3568" s="5" t="s">
        <v>238</v>
      </c>
      <c r="FB3568" s="5" t="s">
        <v>238</v>
      </c>
      <c r="FC3568" s="5" t="s">
        <v>238</v>
      </c>
      <c r="FD3568" s="5" t="s">
        <v>238</v>
      </c>
      <c r="FE3568" s="5" t="s">
        <v>238</v>
      </c>
      <c r="FF3568" s="5" t="s">
        <v>238</v>
      </c>
      <c r="FG3568" s="5" t="s">
        <v>238</v>
      </c>
      <c r="FH3568" s="5" t="s">
        <v>238</v>
      </c>
      <c r="FI3568" s="5" t="s">
        <v>238</v>
      </c>
      <c r="FJ3568" s="5" t="s">
        <v>238</v>
      </c>
      <c r="FK3568" s="5" t="s">
        <v>238</v>
      </c>
      <c r="FL3568" s="5" t="s">
        <v>238</v>
      </c>
      <c r="FM3568" s="5" t="s">
        <v>238</v>
      </c>
      <c r="FN3568" s="5" t="s">
        <v>238</v>
      </c>
      <c r="FO3568" s="5" t="s">
        <v>238</v>
      </c>
      <c r="FP3568" s="5" t="s">
        <v>238</v>
      </c>
      <c r="FQ3568" s="5" t="s">
        <v>238</v>
      </c>
      <c r="FR3568" s="5" t="s">
        <v>238</v>
      </c>
      <c r="FS3568" s="5" t="s">
        <v>238</v>
      </c>
      <c r="FT3568" s="5" t="s">
        <v>238</v>
      </c>
      <c r="FU3568" s="5" t="s">
        <v>238</v>
      </c>
      <c r="FV3568" s="5" t="s">
        <v>238</v>
      </c>
      <c r="FW3568" s="5" t="s">
        <v>238</v>
      </c>
      <c r="FX3568" s="5" t="s">
        <v>238</v>
      </c>
      <c r="FY3568" s="5" t="s">
        <v>238</v>
      </c>
      <c r="FZ3568" s="5" t="s">
        <v>238</v>
      </c>
      <c r="GA3568" s="5" t="s">
        <v>238</v>
      </c>
      <c r="GB3568" s="5" t="s">
        <v>238</v>
      </c>
      <c r="GC3568" s="5" t="s">
        <v>238</v>
      </c>
      <c r="GD3568" s="5" t="s">
        <v>238</v>
      </c>
      <c r="GE3568" s="5" t="s">
        <v>238</v>
      </c>
      <c r="GF3568" s="5" t="s">
        <v>238</v>
      </c>
      <c r="GG3568" s="5" t="s">
        <v>238</v>
      </c>
      <c r="GH3568" s="5" t="s">
        <v>238</v>
      </c>
      <c r="GI3568" s="5" t="s">
        <v>238</v>
      </c>
      <c r="GJ3568" s="5" t="s">
        <v>238</v>
      </c>
      <c r="GK3568" s="5" t="s">
        <v>238</v>
      </c>
      <c r="GL3568" s="5" t="s">
        <v>238</v>
      </c>
      <c r="GM3568" s="5" t="s">
        <v>238</v>
      </c>
      <c r="GN3568" s="5" t="s">
        <v>238</v>
      </c>
      <c r="GO3568" s="5" t="s">
        <v>238</v>
      </c>
      <c r="GP3568" s="5" t="s">
        <v>238</v>
      </c>
      <c r="GQ3568" s="5" t="s">
        <v>238</v>
      </c>
      <c r="GR3568" s="5" t="s">
        <v>238</v>
      </c>
      <c r="GS3568" s="5" t="s">
        <v>238</v>
      </c>
      <c r="GT3568" s="5" t="s">
        <v>238</v>
      </c>
      <c r="GU3568" s="5" t="s">
        <v>238</v>
      </c>
      <c r="GV3568" s="5" t="s">
        <v>238</v>
      </c>
      <c r="GW3568" s="5" t="s">
        <v>238</v>
      </c>
      <c r="GX3568" s="5" t="s">
        <v>238</v>
      </c>
      <c r="GY3568" s="5" t="s">
        <v>238</v>
      </c>
      <c r="GZ3568" s="5" t="s">
        <v>238</v>
      </c>
      <c r="HA3568" s="5" t="s">
        <v>238</v>
      </c>
      <c r="HB3568" s="5" t="s">
        <v>238</v>
      </c>
      <c r="HC3568" s="5" t="s">
        <v>238</v>
      </c>
      <c r="HD3568" s="5" t="s">
        <v>238</v>
      </c>
      <c r="HE3568" s="5" t="s">
        <v>238</v>
      </c>
      <c r="HF3568" s="5" t="s">
        <v>238</v>
      </c>
      <c r="HG3568" s="5" t="s">
        <v>238</v>
      </c>
      <c r="HH3568" s="5" t="s">
        <v>238</v>
      </c>
      <c r="HI3568" s="5" t="s">
        <v>238</v>
      </c>
      <c r="HJ3568" s="5" t="s">
        <v>238</v>
      </c>
      <c r="HK3568" s="5" t="s">
        <v>238</v>
      </c>
      <c r="HL3568" s="5" t="s">
        <v>238</v>
      </c>
      <c r="HM3568" s="5" t="s">
        <v>264</v>
      </c>
      <c r="HN3568" s="5" t="s">
        <v>238</v>
      </c>
      <c r="HO3568" s="5" t="s">
        <v>238</v>
      </c>
      <c r="HP3568" s="5" t="s">
        <v>238</v>
      </c>
      <c r="HQ3568" s="5" t="s">
        <v>238</v>
      </c>
      <c r="HR3568" s="5" t="s">
        <v>238</v>
      </c>
      <c r="HS3568" s="5" t="s">
        <v>238</v>
      </c>
      <c r="HT3568" s="5" t="s">
        <v>238</v>
      </c>
      <c r="HU3568" s="5" t="s">
        <v>238</v>
      </c>
      <c r="HV3568" s="5" t="s">
        <v>238</v>
      </c>
      <c r="HW3568" s="5" t="s">
        <v>238</v>
      </c>
      <c r="HX3568" s="5" t="s">
        <v>238</v>
      </c>
      <c r="HY3568" s="5" t="s">
        <v>238</v>
      </c>
      <c r="HZ3568" s="5" t="s">
        <v>238</v>
      </c>
      <c r="IA3568" s="5" t="s">
        <v>238</v>
      </c>
      <c r="IB3568" s="5" t="s">
        <v>238</v>
      </c>
      <c r="IC3568" s="5" t="s">
        <v>238</v>
      </c>
      <c r="ID3568" s="5" t="s">
        <v>238</v>
      </c>
    </row>
    <row r="3569" spans="1:238" x14ac:dyDescent="0.4">
      <c r="A3569" s="5">
        <v>9287</v>
      </c>
      <c r="B3569" s="5">
        <v>1</v>
      </c>
      <c r="C3569" s="5">
        <v>1</v>
      </c>
      <c r="D3569" s="5" t="s">
        <v>484</v>
      </c>
      <c r="E3569" s="5" t="s">
        <v>485</v>
      </c>
      <c r="F3569" s="5" t="s">
        <v>248</v>
      </c>
      <c r="G3569" s="5" t="s">
        <v>5668</v>
      </c>
      <c r="H3569" s="6" t="s">
        <v>5669</v>
      </c>
      <c r="I3569" s="8">
        <f>1</f>
        <v>1</v>
      </c>
      <c r="J3569" s="5" t="s">
        <v>499</v>
      </c>
      <c r="K3569" s="8">
        <f>1</f>
        <v>1</v>
      </c>
      <c r="L3569" s="6" t="s">
        <v>242</v>
      </c>
      <c r="M3569" s="5" t="s">
        <v>267</v>
      </c>
      <c r="N3569" s="5" t="s">
        <v>482</v>
      </c>
      <c r="O3569" s="5" t="s">
        <v>238</v>
      </c>
      <c r="P3569" s="5" t="s">
        <v>238</v>
      </c>
      <c r="Q3569" s="5" t="s">
        <v>239</v>
      </c>
      <c r="R3569" s="5" t="s">
        <v>270</v>
      </c>
      <c r="S3569" s="5" t="s">
        <v>238</v>
      </c>
      <c r="T3569" s="5" t="s">
        <v>238</v>
      </c>
      <c r="U3569" s="5" t="s">
        <v>238</v>
      </c>
      <c r="V3569" s="5" t="s">
        <v>238</v>
      </c>
      <c r="W3569" s="6" t="s">
        <v>238</v>
      </c>
      <c r="X3569" s="6" t="s">
        <v>238</v>
      </c>
      <c r="Y3569" s="5" t="s">
        <v>238</v>
      </c>
      <c r="Z3569" s="6" t="s">
        <v>238</v>
      </c>
      <c r="AA3569" s="6" t="s">
        <v>243</v>
      </c>
      <c r="AB3569" s="5" t="s">
        <v>486</v>
      </c>
      <c r="AC3569" s="5" t="s">
        <v>244</v>
      </c>
      <c r="AD3569" s="5" t="s">
        <v>245</v>
      </c>
      <c r="AE3569" s="5" t="s">
        <v>238</v>
      </c>
      <c r="AF3569" s="5" t="s">
        <v>238</v>
      </c>
      <c r="AG3569" s="5" t="s">
        <v>238</v>
      </c>
      <c r="AH3569" s="5" t="s">
        <v>238</v>
      </c>
      <c r="AI3569" s="5" t="s">
        <v>238</v>
      </c>
      <c r="AJ3569" s="5" t="s">
        <v>238</v>
      </c>
      <c r="AK3569" s="5" t="s">
        <v>238</v>
      </c>
      <c r="AL3569" s="5" t="s">
        <v>238</v>
      </c>
      <c r="AM3569" s="6" t="s">
        <v>238</v>
      </c>
      <c r="AN3569" s="6" t="s">
        <v>238</v>
      </c>
      <c r="AO3569" s="6" t="s">
        <v>238</v>
      </c>
      <c r="AP3569" s="6" t="s">
        <v>238</v>
      </c>
      <c r="AQ3569" s="5" t="s">
        <v>238</v>
      </c>
      <c r="AR3569" s="5" t="s">
        <v>488</v>
      </c>
      <c r="AS3569" s="5" t="s">
        <v>488</v>
      </c>
      <c r="AT3569" s="5" t="s">
        <v>246</v>
      </c>
      <c r="AU3569" s="5" t="s">
        <v>489</v>
      </c>
      <c r="AV3569" s="5" t="s">
        <v>247</v>
      </c>
      <c r="AW3569" s="5" t="s">
        <v>238</v>
      </c>
      <c r="AX3569" s="5" t="s">
        <v>249</v>
      </c>
      <c r="AY3569" s="5" t="s">
        <v>490</v>
      </c>
      <c r="BA3569" s="5" t="s">
        <v>238</v>
      </c>
      <c r="BC3569" s="5" t="s">
        <v>491</v>
      </c>
      <c r="BD3569" s="6" t="s">
        <v>492</v>
      </c>
      <c r="BE3569" s="5" t="s">
        <v>493</v>
      </c>
      <c r="BF3569" s="5" t="s">
        <v>493</v>
      </c>
      <c r="BG3569" s="5" t="s">
        <v>238</v>
      </c>
      <c r="BH3569" s="8">
        <f>1</f>
        <v>1</v>
      </c>
      <c r="BI3569" s="8">
        <f>1</f>
        <v>1</v>
      </c>
      <c r="BJ3569" s="5" t="s">
        <v>253</v>
      </c>
      <c r="BK3569" s="5" t="s">
        <v>254</v>
      </c>
      <c r="BL3569" s="5" t="s">
        <v>238</v>
      </c>
      <c r="BM3569" s="5" t="s">
        <v>238</v>
      </c>
      <c r="BN3569" s="5" t="s">
        <v>238</v>
      </c>
      <c r="BO3569" s="5" t="s">
        <v>238</v>
      </c>
      <c r="BP3569" s="5" t="s">
        <v>238</v>
      </c>
      <c r="BQ3569" s="5" t="s">
        <v>238</v>
      </c>
      <c r="BR3569" s="5" t="s">
        <v>238</v>
      </c>
      <c r="BS3569" s="5" t="s">
        <v>238</v>
      </c>
      <c r="BT3569" s="6" t="s">
        <v>238</v>
      </c>
      <c r="BU3569" s="5" t="s">
        <v>238</v>
      </c>
      <c r="BV3569" s="5" t="s">
        <v>238</v>
      </c>
      <c r="BW3569" s="5" t="s">
        <v>238</v>
      </c>
      <c r="BX3569" s="5" t="s">
        <v>254</v>
      </c>
      <c r="BY3569" s="5" t="s">
        <v>238</v>
      </c>
      <c r="BZ3569" s="5" t="s">
        <v>238</v>
      </c>
      <c r="CA3569" s="5" t="s">
        <v>238</v>
      </c>
      <c r="CB3569" s="5" t="s">
        <v>238</v>
      </c>
      <c r="CC3569" s="5" t="s">
        <v>238</v>
      </c>
      <c r="CD3569" s="5" t="s">
        <v>273</v>
      </c>
      <c r="CE3569" s="5" t="s">
        <v>256</v>
      </c>
      <c r="CF3569" s="5" t="s">
        <v>238</v>
      </c>
      <c r="CH3569" s="5" t="s">
        <v>494</v>
      </c>
      <c r="CI3569" s="6" t="s">
        <v>257</v>
      </c>
      <c r="CJ3569" s="5" t="s">
        <v>495</v>
      </c>
      <c r="CK3569" s="5" t="s">
        <v>258</v>
      </c>
      <c r="CL3569" s="5" t="s">
        <v>496</v>
      </c>
      <c r="CM3569" s="5" t="s">
        <v>238</v>
      </c>
      <c r="CN3569" s="5">
        <v>0</v>
      </c>
      <c r="CO3569" s="5" t="s">
        <v>497</v>
      </c>
      <c r="CP3569" s="5" t="s">
        <v>260</v>
      </c>
      <c r="CQ3569" s="5" t="s">
        <v>260</v>
      </c>
      <c r="CR3569" s="5" t="s">
        <v>261</v>
      </c>
      <c r="CS3569" s="5" t="s">
        <v>498</v>
      </c>
      <c r="CT3569" s="7">
        <f>1</f>
        <v>1</v>
      </c>
      <c r="CU3569" s="8">
        <f>1</f>
        <v>1</v>
      </c>
      <c r="CV3569" s="8">
        <f>0</f>
        <v>0</v>
      </c>
      <c r="CX3569" s="8">
        <f>1</f>
        <v>1</v>
      </c>
      <c r="CY3569" s="8">
        <f>1</f>
        <v>1</v>
      </c>
      <c r="CZ3569" s="8" t="s">
        <v>238</v>
      </c>
      <c r="DA3569" s="5" t="s">
        <v>238</v>
      </c>
      <c r="DB3569" s="5" t="s">
        <v>238</v>
      </c>
      <c r="DC3569" s="5" t="s">
        <v>238</v>
      </c>
      <c r="DD3569" s="5" t="s">
        <v>238</v>
      </c>
      <c r="DE3569" s="8">
        <f>0</f>
        <v>0</v>
      </c>
      <c r="DG3569" s="5" t="s">
        <v>238</v>
      </c>
      <c r="DH3569" s="5" t="s">
        <v>238</v>
      </c>
      <c r="DI3569" s="5" t="s">
        <v>238</v>
      </c>
      <c r="DJ3569" s="5" t="s">
        <v>238</v>
      </c>
      <c r="DK3569" s="5" t="s">
        <v>238</v>
      </c>
      <c r="DL3569" s="5" t="s">
        <v>238</v>
      </c>
      <c r="DM3569" s="8" t="s">
        <v>238</v>
      </c>
      <c r="DN3569" s="5" t="s">
        <v>238</v>
      </c>
      <c r="DO3569" s="5" t="s">
        <v>238</v>
      </c>
      <c r="DP3569" s="5" t="s">
        <v>490</v>
      </c>
      <c r="DQ3569" s="5" t="s">
        <v>490</v>
      </c>
      <c r="DR3569" s="5" t="s">
        <v>238</v>
      </c>
      <c r="DS3569" s="5" t="s">
        <v>238</v>
      </c>
      <c r="DT3569" s="5" t="s">
        <v>500</v>
      </c>
      <c r="DU3569" s="5" t="s">
        <v>1162</v>
      </c>
      <c r="DV3569" s="5" t="s">
        <v>238</v>
      </c>
      <c r="DW3569" s="5" t="s">
        <v>238</v>
      </c>
      <c r="DX3569" s="5" t="s">
        <v>238</v>
      </c>
      <c r="DY3569" s="5" t="s">
        <v>238</v>
      </c>
      <c r="DZ3569" s="5" t="s">
        <v>238</v>
      </c>
      <c r="EA3569" s="5" t="s">
        <v>238</v>
      </c>
      <c r="EB3569" s="5" t="s">
        <v>238</v>
      </c>
      <c r="EC3569" s="5" t="s">
        <v>238</v>
      </c>
      <c r="ED3569" s="5" t="s">
        <v>238</v>
      </c>
      <c r="EE3569" s="5" t="s">
        <v>238</v>
      </c>
      <c r="EF3569" s="5" t="s">
        <v>238</v>
      </c>
      <c r="EG3569" s="5" t="s">
        <v>238</v>
      </c>
      <c r="EH3569" s="5" t="s">
        <v>238</v>
      </c>
      <c r="EI3569" s="5" t="s">
        <v>238</v>
      </c>
      <c r="EJ3569" s="5" t="s">
        <v>238</v>
      </c>
      <c r="EK3569" s="5" t="s">
        <v>238</v>
      </c>
      <c r="EL3569" s="5" t="s">
        <v>238</v>
      </c>
      <c r="EM3569" s="5" t="s">
        <v>238</v>
      </c>
      <c r="EN3569" s="5" t="s">
        <v>238</v>
      </c>
      <c r="EO3569" s="5" t="s">
        <v>238</v>
      </c>
      <c r="EP3569" s="5" t="s">
        <v>238</v>
      </c>
      <c r="EQ3569" s="5" t="s">
        <v>238</v>
      </c>
      <c r="ER3569" s="5" t="s">
        <v>238</v>
      </c>
      <c r="ES3569" s="5" t="s">
        <v>238</v>
      </c>
      <c r="ET3569" s="5" t="s">
        <v>238</v>
      </c>
      <c r="EU3569" s="5" t="s">
        <v>238</v>
      </c>
      <c r="EV3569" s="5" t="s">
        <v>238</v>
      </c>
      <c r="EW3569" s="5" t="s">
        <v>238</v>
      </c>
      <c r="EX3569" s="5" t="s">
        <v>238</v>
      </c>
      <c r="EY3569" s="5" t="s">
        <v>238</v>
      </c>
      <c r="EZ3569" s="5" t="s">
        <v>238</v>
      </c>
      <c r="FA3569" s="5" t="s">
        <v>238</v>
      </c>
      <c r="FB3569" s="5" t="s">
        <v>238</v>
      </c>
      <c r="FC3569" s="5" t="s">
        <v>238</v>
      </c>
      <c r="FD3569" s="5" t="s">
        <v>238</v>
      </c>
      <c r="FE3569" s="5" t="s">
        <v>238</v>
      </c>
      <c r="FF3569" s="5" t="s">
        <v>238</v>
      </c>
      <c r="FG3569" s="5" t="s">
        <v>238</v>
      </c>
      <c r="FH3569" s="5" t="s">
        <v>238</v>
      </c>
      <c r="FI3569" s="5" t="s">
        <v>238</v>
      </c>
      <c r="FJ3569" s="5" t="s">
        <v>238</v>
      </c>
      <c r="FK3569" s="5" t="s">
        <v>238</v>
      </c>
      <c r="FL3569" s="5" t="s">
        <v>238</v>
      </c>
      <c r="FM3569" s="5" t="s">
        <v>238</v>
      </c>
      <c r="FN3569" s="5" t="s">
        <v>238</v>
      </c>
      <c r="FO3569" s="5" t="s">
        <v>238</v>
      </c>
      <c r="FP3569" s="5" t="s">
        <v>238</v>
      </c>
      <c r="FQ3569" s="5" t="s">
        <v>238</v>
      </c>
      <c r="FR3569" s="5" t="s">
        <v>238</v>
      </c>
      <c r="FS3569" s="5" t="s">
        <v>238</v>
      </c>
      <c r="FT3569" s="5" t="s">
        <v>238</v>
      </c>
      <c r="FU3569" s="5" t="s">
        <v>238</v>
      </c>
      <c r="FV3569" s="5" t="s">
        <v>238</v>
      </c>
      <c r="FW3569" s="5" t="s">
        <v>238</v>
      </c>
      <c r="FX3569" s="5" t="s">
        <v>238</v>
      </c>
      <c r="FY3569" s="5" t="s">
        <v>238</v>
      </c>
      <c r="FZ3569" s="5" t="s">
        <v>238</v>
      </c>
      <c r="GA3569" s="5" t="s">
        <v>238</v>
      </c>
      <c r="GB3569" s="5" t="s">
        <v>238</v>
      </c>
      <c r="GC3569" s="5" t="s">
        <v>238</v>
      </c>
      <c r="GD3569" s="5" t="s">
        <v>238</v>
      </c>
      <c r="GE3569" s="5" t="s">
        <v>238</v>
      </c>
      <c r="GF3569" s="5" t="s">
        <v>238</v>
      </c>
      <c r="GG3569" s="5" t="s">
        <v>238</v>
      </c>
      <c r="GH3569" s="5" t="s">
        <v>238</v>
      </c>
      <c r="GI3569" s="5" t="s">
        <v>238</v>
      </c>
      <c r="GJ3569" s="5" t="s">
        <v>238</v>
      </c>
      <c r="GK3569" s="5" t="s">
        <v>238</v>
      </c>
      <c r="GL3569" s="5" t="s">
        <v>238</v>
      </c>
      <c r="GM3569" s="5" t="s">
        <v>238</v>
      </c>
      <c r="GN3569" s="5" t="s">
        <v>238</v>
      </c>
      <c r="GO3569" s="5" t="s">
        <v>238</v>
      </c>
      <c r="GP3569" s="5" t="s">
        <v>238</v>
      </c>
      <c r="GQ3569" s="5" t="s">
        <v>238</v>
      </c>
      <c r="GR3569" s="5" t="s">
        <v>238</v>
      </c>
      <c r="GS3569" s="5" t="s">
        <v>238</v>
      </c>
      <c r="GT3569" s="5" t="s">
        <v>238</v>
      </c>
      <c r="GU3569" s="5" t="s">
        <v>238</v>
      </c>
      <c r="GV3569" s="5" t="s">
        <v>238</v>
      </c>
      <c r="GW3569" s="5" t="s">
        <v>238</v>
      </c>
      <c r="GX3569" s="5" t="s">
        <v>238</v>
      </c>
      <c r="GY3569" s="5" t="s">
        <v>238</v>
      </c>
      <c r="GZ3569" s="5" t="s">
        <v>238</v>
      </c>
      <c r="HA3569" s="5" t="s">
        <v>238</v>
      </c>
      <c r="HB3569" s="5" t="s">
        <v>238</v>
      </c>
      <c r="HC3569" s="5" t="s">
        <v>238</v>
      </c>
      <c r="HD3569" s="5" t="s">
        <v>238</v>
      </c>
      <c r="HE3569" s="5" t="s">
        <v>238</v>
      </c>
      <c r="HF3569" s="5" t="s">
        <v>238</v>
      </c>
      <c r="HG3569" s="5" t="s">
        <v>238</v>
      </c>
      <c r="HH3569" s="5" t="s">
        <v>238</v>
      </c>
      <c r="HI3569" s="5" t="s">
        <v>238</v>
      </c>
      <c r="HJ3569" s="5" t="s">
        <v>238</v>
      </c>
      <c r="HK3569" s="5" t="s">
        <v>238</v>
      </c>
      <c r="HL3569" s="5" t="s">
        <v>238</v>
      </c>
      <c r="HM3569" s="5" t="s">
        <v>264</v>
      </c>
      <c r="HN3569" s="5" t="s">
        <v>238</v>
      </c>
      <c r="HO3569" s="5" t="s">
        <v>238</v>
      </c>
      <c r="HP3569" s="5" t="s">
        <v>238</v>
      </c>
      <c r="HQ3569" s="5" t="s">
        <v>238</v>
      </c>
      <c r="HR3569" s="5" t="s">
        <v>238</v>
      </c>
      <c r="HS3569" s="5" t="s">
        <v>238</v>
      </c>
      <c r="HT3569" s="5" t="s">
        <v>238</v>
      </c>
      <c r="HU3569" s="5" t="s">
        <v>238</v>
      </c>
      <c r="HV3569" s="5" t="s">
        <v>238</v>
      </c>
      <c r="HW3569" s="5" t="s">
        <v>238</v>
      </c>
      <c r="HX3569" s="5" t="s">
        <v>238</v>
      </c>
      <c r="HY3569" s="5" t="s">
        <v>238</v>
      </c>
      <c r="HZ3569" s="5" t="s">
        <v>238</v>
      </c>
      <c r="IA3569" s="5" t="s">
        <v>238</v>
      </c>
      <c r="IB3569" s="5" t="s">
        <v>238</v>
      </c>
      <c r="IC3569" s="5" t="s">
        <v>238</v>
      </c>
      <c r="ID3569" s="5" t="s">
        <v>238</v>
      </c>
    </row>
    <row r="3570" spans="1:238" x14ac:dyDescent="0.4">
      <c r="A3570" s="5">
        <v>9288</v>
      </c>
      <c r="B3570" s="5">
        <v>1</v>
      </c>
      <c r="C3570" s="5">
        <v>1</v>
      </c>
      <c r="D3570" s="5" t="s">
        <v>484</v>
      </c>
      <c r="E3570" s="5" t="s">
        <v>485</v>
      </c>
      <c r="F3570" s="5" t="s">
        <v>248</v>
      </c>
      <c r="G3570" s="5" t="s">
        <v>4500</v>
      </c>
      <c r="H3570" s="6" t="s">
        <v>4501</v>
      </c>
      <c r="I3570" s="8">
        <f>1</f>
        <v>1</v>
      </c>
      <c r="J3570" s="5" t="s">
        <v>499</v>
      </c>
      <c r="K3570" s="8">
        <f>1</f>
        <v>1</v>
      </c>
      <c r="L3570" s="6" t="s">
        <v>242</v>
      </c>
      <c r="M3570" s="5" t="s">
        <v>267</v>
      </c>
      <c r="N3570" s="5" t="s">
        <v>482</v>
      </c>
      <c r="O3570" s="5" t="s">
        <v>238</v>
      </c>
      <c r="P3570" s="5" t="s">
        <v>238</v>
      </c>
      <c r="Q3570" s="5" t="s">
        <v>239</v>
      </c>
      <c r="R3570" s="5" t="s">
        <v>270</v>
      </c>
      <c r="S3570" s="5" t="s">
        <v>238</v>
      </c>
      <c r="T3570" s="5" t="s">
        <v>238</v>
      </c>
      <c r="U3570" s="5" t="s">
        <v>238</v>
      </c>
      <c r="V3570" s="5" t="s">
        <v>238</v>
      </c>
      <c r="W3570" s="6" t="s">
        <v>238</v>
      </c>
      <c r="X3570" s="6" t="s">
        <v>238</v>
      </c>
      <c r="Y3570" s="5" t="s">
        <v>238</v>
      </c>
      <c r="Z3570" s="6" t="s">
        <v>238</v>
      </c>
      <c r="AA3570" s="6" t="s">
        <v>243</v>
      </c>
      <c r="AB3570" s="5" t="s">
        <v>486</v>
      </c>
      <c r="AC3570" s="5" t="s">
        <v>244</v>
      </c>
      <c r="AD3570" s="5" t="s">
        <v>245</v>
      </c>
      <c r="AE3570" s="5" t="s">
        <v>238</v>
      </c>
      <c r="AF3570" s="5" t="s">
        <v>238</v>
      </c>
      <c r="AG3570" s="5" t="s">
        <v>238</v>
      </c>
      <c r="AH3570" s="5" t="s">
        <v>238</v>
      </c>
      <c r="AI3570" s="5" t="s">
        <v>238</v>
      </c>
      <c r="AJ3570" s="5" t="s">
        <v>238</v>
      </c>
      <c r="AK3570" s="5" t="s">
        <v>238</v>
      </c>
      <c r="AL3570" s="5" t="s">
        <v>238</v>
      </c>
      <c r="AM3570" s="6" t="s">
        <v>238</v>
      </c>
      <c r="AN3570" s="6" t="s">
        <v>238</v>
      </c>
      <c r="AO3570" s="6" t="s">
        <v>238</v>
      </c>
      <c r="AP3570" s="6" t="s">
        <v>238</v>
      </c>
      <c r="AQ3570" s="5" t="s">
        <v>238</v>
      </c>
      <c r="AR3570" s="5" t="s">
        <v>488</v>
      </c>
      <c r="AS3570" s="5" t="s">
        <v>488</v>
      </c>
      <c r="AT3570" s="5" t="s">
        <v>246</v>
      </c>
      <c r="AU3570" s="5" t="s">
        <v>489</v>
      </c>
      <c r="AV3570" s="5" t="s">
        <v>247</v>
      </c>
      <c r="AW3570" s="5" t="s">
        <v>238</v>
      </c>
      <c r="AX3570" s="5" t="s">
        <v>249</v>
      </c>
      <c r="AY3570" s="5" t="s">
        <v>490</v>
      </c>
      <c r="BA3570" s="5" t="s">
        <v>238</v>
      </c>
      <c r="BC3570" s="5" t="s">
        <v>491</v>
      </c>
      <c r="BD3570" s="6" t="s">
        <v>492</v>
      </c>
      <c r="BE3570" s="5" t="s">
        <v>493</v>
      </c>
      <c r="BF3570" s="5" t="s">
        <v>493</v>
      </c>
      <c r="BG3570" s="5" t="s">
        <v>238</v>
      </c>
      <c r="BH3570" s="8">
        <f>1</f>
        <v>1</v>
      </c>
      <c r="BI3570" s="8">
        <f>1</f>
        <v>1</v>
      </c>
      <c r="BJ3570" s="5" t="s">
        <v>253</v>
      </c>
      <c r="BK3570" s="5" t="s">
        <v>254</v>
      </c>
      <c r="BL3570" s="5" t="s">
        <v>238</v>
      </c>
      <c r="BM3570" s="5" t="s">
        <v>238</v>
      </c>
      <c r="BN3570" s="5" t="s">
        <v>238</v>
      </c>
      <c r="BO3570" s="5" t="s">
        <v>238</v>
      </c>
      <c r="BP3570" s="5" t="s">
        <v>238</v>
      </c>
      <c r="BQ3570" s="5" t="s">
        <v>238</v>
      </c>
      <c r="BR3570" s="5" t="s">
        <v>238</v>
      </c>
      <c r="BS3570" s="5" t="s">
        <v>238</v>
      </c>
      <c r="BT3570" s="6" t="s">
        <v>238</v>
      </c>
      <c r="BU3570" s="5" t="s">
        <v>238</v>
      </c>
      <c r="BV3570" s="5" t="s">
        <v>238</v>
      </c>
      <c r="BW3570" s="5" t="s">
        <v>238</v>
      </c>
      <c r="BX3570" s="5" t="s">
        <v>254</v>
      </c>
      <c r="BY3570" s="5" t="s">
        <v>238</v>
      </c>
      <c r="BZ3570" s="5" t="s">
        <v>238</v>
      </c>
      <c r="CA3570" s="5" t="s">
        <v>238</v>
      </c>
      <c r="CB3570" s="5" t="s">
        <v>238</v>
      </c>
      <c r="CC3570" s="5" t="s">
        <v>238</v>
      </c>
      <c r="CD3570" s="5" t="s">
        <v>273</v>
      </c>
      <c r="CE3570" s="5" t="s">
        <v>256</v>
      </c>
      <c r="CF3570" s="5" t="s">
        <v>238</v>
      </c>
      <c r="CH3570" s="5" t="s">
        <v>494</v>
      </c>
      <c r="CI3570" s="6" t="s">
        <v>257</v>
      </c>
      <c r="CJ3570" s="5" t="s">
        <v>495</v>
      </c>
      <c r="CK3570" s="5" t="s">
        <v>258</v>
      </c>
      <c r="CL3570" s="5" t="s">
        <v>496</v>
      </c>
      <c r="CM3570" s="5" t="s">
        <v>238</v>
      </c>
      <c r="CN3570" s="5">
        <v>0</v>
      </c>
      <c r="CO3570" s="5" t="s">
        <v>497</v>
      </c>
      <c r="CP3570" s="5" t="s">
        <v>260</v>
      </c>
      <c r="CQ3570" s="5" t="s">
        <v>260</v>
      </c>
      <c r="CR3570" s="5" t="s">
        <v>261</v>
      </c>
      <c r="CS3570" s="5" t="s">
        <v>498</v>
      </c>
      <c r="CT3570" s="7">
        <f>1</f>
        <v>1</v>
      </c>
      <c r="CU3570" s="8">
        <f>1</f>
        <v>1</v>
      </c>
      <c r="CV3570" s="8">
        <f>0</f>
        <v>0</v>
      </c>
      <c r="CX3570" s="8">
        <f>1</f>
        <v>1</v>
      </c>
      <c r="CY3570" s="8">
        <f>1</f>
        <v>1</v>
      </c>
      <c r="CZ3570" s="8" t="s">
        <v>238</v>
      </c>
      <c r="DA3570" s="5" t="s">
        <v>238</v>
      </c>
      <c r="DB3570" s="5" t="s">
        <v>238</v>
      </c>
      <c r="DC3570" s="5" t="s">
        <v>238</v>
      </c>
      <c r="DD3570" s="5" t="s">
        <v>238</v>
      </c>
      <c r="DE3570" s="8">
        <f>0</f>
        <v>0</v>
      </c>
      <c r="DG3570" s="5" t="s">
        <v>238</v>
      </c>
      <c r="DH3570" s="5" t="s">
        <v>238</v>
      </c>
      <c r="DI3570" s="5" t="s">
        <v>238</v>
      </c>
      <c r="DJ3570" s="5" t="s">
        <v>238</v>
      </c>
      <c r="DK3570" s="5" t="s">
        <v>238</v>
      </c>
      <c r="DL3570" s="5" t="s">
        <v>238</v>
      </c>
      <c r="DM3570" s="8" t="s">
        <v>238</v>
      </c>
      <c r="DN3570" s="5" t="s">
        <v>238</v>
      </c>
      <c r="DO3570" s="5" t="s">
        <v>238</v>
      </c>
      <c r="DP3570" s="5" t="s">
        <v>490</v>
      </c>
      <c r="DQ3570" s="5" t="s">
        <v>490</v>
      </c>
      <c r="DR3570" s="5" t="s">
        <v>238</v>
      </c>
      <c r="DS3570" s="5" t="s">
        <v>238</v>
      </c>
      <c r="DT3570" s="5" t="s">
        <v>500</v>
      </c>
      <c r="DU3570" s="5" t="s">
        <v>477</v>
      </c>
      <c r="DV3570" s="5" t="s">
        <v>238</v>
      </c>
      <c r="DW3570" s="5" t="s">
        <v>238</v>
      </c>
      <c r="DX3570" s="5" t="s">
        <v>238</v>
      </c>
      <c r="DY3570" s="5" t="s">
        <v>238</v>
      </c>
      <c r="DZ3570" s="5" t="s">
        <v>238</v>
      </c>
      <c r="EA3570" s="5" t="s">
        <v>238</v>
      </c>
      <c r="EB3570" s="5" t="s">
        <v>238</v>
      </c>
      <c r="EC3570" s="5" t="s">
        <v>238</v>
      </c>
      <c r="ED3570" s="5" t="s">
        <v>238</v>
      </c>
      <c r="EE3570" s="5" t="s">
        <v>238</v>
      </c>
      <c r="EF3570" s="5" t="s">
        <v>238</v>
      </c>
      <c r="EG3570" s="5" t="s">
        <v>238</v>
      </c>
      <c r="EH3570" s="5" t="s">
        <v>238</v>
      </c>
      <c r="EI3570" s="5" t="s">
        <v>238</v>
      </c>
      <c r="EJ3570" s="5" t="s">
        <v>238</v>
      </c>
      <c r="EK3570" s="5" t="s">
        <v>238</v>
      </c>
      <c r="EL3570" s="5" t="s">
        <v>238</v>
      </c>
      <c r="EM3570" s="5" t="s">
        <v>238</v>
      </c>
      <c r="EN3570" s="5" t="s">
        <v>238</v>
      </c>
      <c r="EO3570" s="5" t="s">
        <v>238</v>
      </c>
      <c r="EP3570" s="5" t="s">
        <v>238</v>
      </c>
      <c r="EQ3570" s="5" t="s">
        <v>238</v>
      </c>
      <c r="ER3570" s="5" t="s">
        <v>238</v>
      </c>
      <c r="ES3570" s="5" t="s">
        <v>238</v>
      </c>
      <c r="ET3570" s="5" t="s">
        <v>238</v>
      </c>
      <c r="EU3570" s="5" t="s">
        <v>238</v>
      </c>
      <c r="EV3570" s="5" t="s">
        <v>238</v>
      </c>
      <c r="EW3570" s="5" t="s">
        <v>238</v>
      </c>
      <c r="EX3570" s="5" t="s">
        <v>238</v>
      </c>
      <c r="EY3570" s="5" t="s">
        <v>238</v>
      </c>
      <c r="EZ3570" s="5" t="s">
        <v>238</v>
      </c>
      <c r="FA3570" s="5" t="s">
        <v>238</v>
      </c>
      <c r="FB3570" s="5" t="s">
        <v>238</v>
      </c>
      <c r="FC3570" s="5" t="s">
        <v>238</v>
      </c>
      <c r="FD3570" s="5" t="s">
        <v>238</v>
      </c>
      <c r="FE3570" s="5" t="s">
        <v>238</v>
      </c>
      <c r="FF3570" s="5" t="s">
        <v>238</v>
      </c>
      <c r="FG3570" s="5" t="s">
        <v>238</v>
      </c>
      <c r="FH3570" s="5" t="s">
        <v>238</v>
      </c>
      <c r="FI3570" s="5" t="s">
        <v>238</v>
      </c>
      <c r="FJ3570" s="5" t="s">
        <v>238</v>
      </c>
      <c r="FK3570" s="5" t="s">
        <v>238</v>
      </c>
      <c r="FL3570" s="5" t="s">
        <v>238</v>
      </c>
      <c r="FM3570" s="5" t="s">
        <v>238</v>
      </c>
      <c r="FN3570" s="5" t="s">
        <v>238</v>
      </c>
      <c r="FO3570" s="5" t="s">
        <v>238</v>
      </c>
      <c r="FP3570" s="5" t="s">
        <v>238</v>
      </c>
      <c r="FQ3570" s="5" t="s">
        <v>238</v>
      </c>
      <c r="FR3570" s="5" t="s">
        <v>238</v>
      </c>
      <c r="FS3570" s="5" t="s">
        <v>238</v>
      </c>
      <c r="FT3570" s="5" t="s">
        <v>238</v>
      </c>
      <c r="FU3570" s="5" t="s">
        <v>238</v>
      </c>
      <c r="FV3570" s="5" t="s">
        <v>238</v>
      </c>
      <c r="FW3570" s="5" t="s">
        <v>238</v>
      </c>
      <c r="FX3570" s="5" t="s">
        <v>238</v>
      </c>
      <c r="FY3570" s="5" t="s">
        <v>238</v>
      </c>
      <c r="FZ3570" s="5" t="s">
        <v>238</v>
      </c>
      <c r="GA3570" s="5" t="s">
        <v>238</v>
      </c>
      <c r="GB3570" s="5" t="s">
        <v>238</v>
      </c>
      <c r="GC3570" s="5" t="s">
        <v>238</v>
      </c>
      <c r="GD3570" s="5" t="s">
        <v>238</v>
      </c>
      <c r="GE3570" s="5" t="s">
        <v>238</v>
      </c>
      <c r="GF3570" s="5" t="s">
        <v>238</v>
      </c>
      <c r="GG3570" s="5" t="s">
        <v>238</v>
      </c>
      <c r="GH3570" s="5" t="s">
        <v>238</v>
      </c>
      <c r="GI3570" s="5" t="s">
        <v>238</v>
      </c>
      <c r="GJ3570" s="5" t="s">
        <v>238</v>
      </c>
      <c r="GK3570" s="5" t="s">
        <v>238</v>
      </c>
      <c r="GL3570" s="5" t="s">
        <v>238</v>
      </c>
      <c r="GM3570" s="5" t="s">
        <v>238</v>
      </c>
      <c r="GN3570" s="5" t="s">
        <v>238</v>
      </c>
      <c r="GO3570" s="5" t="s">
        <v>238</v>
      </c>
      <c r="GP3570" s="5" t="s">
        <v>238</v>
      </c>
      <c r="GQ3570" s="5" t="s">
        <v>238</v>
      </c>
      <c r="GR3570" s="5" t="s">
        <v>238</v>
      </c>
      <c r="GS3570" s="5" t="s">
        <v>238</v>
      </c>
      <c r="GT3570" s="5" t="s">
        <v>238</v>
      </c>
      <c r="GU3570" s="5" t="s">
        <v>238</v>
      </c>
      <c r="GV3570" s="5" t="s">
        <v>238</v>
      </c>
      <c r="GW3570" s="5" t="s">
        <v>238</v>
      </c>
      <c r="GX3570" s="5" t="s">
        <v>238</v>
      </c>
      <c r="GY3570" s="5" t="s">
        <v>238</v>
      </c>
      <c r="GZ3570" s="5" t="s">
        <v>238</v>
      </c>
      <c r="HA3570" s="5" t="s">
        <v>238</v>
      </c>
      <c r="HB3570" s="5" t="s">
        <v>238</v>
      </c>
      <c r="HC3570" s="5" t="s">
        <v>238</v>
      </c>
      <c r="HD3570" s="5" t="s">
        <v>238</v>
      </c>
      <c r="HE3570" s="5" t="s">
        <v>238</v>
      </c>
      <c r="HF3570" s="5" t="s">
        <v>238</v>
      </c>
      <c r="HG3570" s="5" t="s">
        <v>238</v>
      </c>
      <c r="HH3570" s="5" t="s">
        <v>238</v>
      </c>
      <c r="HI3570" s="5" t="s">
        <v>238</v>
      </c>
      <c r="HJ3570" s="5" t="s">
        <v>238</v>
      </c>
      <c r="HK3570" s="5" t="s">
        <v>238</v>
      </c>
      <c r="HL3570" s="5" t="s">
        <v>238</v>
      </c>
      <c r="HM3570" s="5" t="s">
        <v>264</v>
      </c>
      <c r="HN3570" s="5" t="s">
        <v>238</v>
      </c>
      <c r="HO3570" s="5" t="s">
        <v>238</v>
      </c>
      <c r="HP3570" s="5" t="s">
        <v>238</v>
      </c>
      <c r="HQ3570" s="5" t="s">
        <v>238</v>
      </c>
      <c r="HR3570" s="5" t="s">
        <v>238</v>
      </c>
      <c r="HS3570" s="5" t="s">
        <v>238</v>
      </c>
      <c r="HT3570" s="5" t="s">
        <v>238</v>
      </c>
      <c r="HU3570" s="5" t="s">
        <v>238</v>
      </c>
      <c r="HV3570" s="5" t="s">
        <v>238</v>
      </c>
      <c r="HW3570" s="5" t="s">
        <v>238</v>
      </c>
      <c r="HX3570" s="5" t="s">
        <v>238</v>
      </c>
      <c r="HY3570" s="5" t="s">
        <v>238</v>
      </c>
      <c r="HZ3570" s="5" t="s">
        <v>238</v>
      </c>
      <c r="IA3570" s="5" t="s">
        <v>238</v>
      </c>
      <c r="IB3570" s="5" t="s">
        <v>238</v>
      </c>
      <c r="IC3570" s="5" t="s">
        <v>238</v>
      </c>
      <c r="ID3570" s="5" t="s">
        <v>238</v>
      </c>
    </row>
    <row r="3571" spans="1:238" x14ac:dyDescent="0.4">
      <c r="A3571" s="5">
        <v>9289</v>
      </c>
      <c r="B3571" s="5">
        <v>1</v>
      </c>
      <c r="C3571" s="5">
        <v>1</v>
      </c>
      <c r="D3571" s="5" t="s">
        <v>484</v>
      </c>
      <c r="E3571" s="5" t="s">
        <v>485</v>
      </c>
      <c r="F3571" s="5" t="s">
        <v>248</v>
      </c>
      <c r="G3571" s="5" t="s">
        <v>5821</v>
      </c>
      <c r="H3571" s="6" t="s">
        <v>5823</v>
      </c>
      <c r="I3571" s="8">
        <f>1</f>
        <v>1</v>
      </c>
      <c r="J3571" s="5" t="s">
        <v>499</v>
      </c>
      <c r="K3571" s="8">
        <f>1</f>
        <v>1</v>
      </c>
      <c r="L3571" s="6" t="s">
        <v>242</v>
      </c>
      <c r="M3571" s="5" t="s">
        <v>267</v>
      </c>
      <c r="N3571" s="5" t="s">
        <v>482</v>
      </c>
      <c r="O3571" s="5" t="s">
        <v>238</v>
      </c>
      <c r="P3571" s="5" t="s">
        <v>238</v>
      </c>
      <c r="Q3571" s="5" t="s">
        <v>239</v>
      </c>
      <c r="R3571" s="5" t="s">
        <v>270</v>
      </c>
      <c r="S3571" s="5" t="s">
        <v>238</v>
      </c>
      <c r="T3571" s="5" t="s">
        <v>238</v>
      </c>
      <c r="U3571" s="5" t="s">
        <v>238</v>
      </c>
      <c r="V3571" s="5" t="s">
        <v>238</v>
      </c>
      <c r="W3571" s="6" t="s">
        <v>238</v>
      </c>
      <c r="X3571" s="6" t="s">
        <v>238</v>
      </c>
      <c r="Y3571" s="5" t="s">
        <v>238</v>
      </c>
      <c r="Z3571" s="6" t="s">
        <v>238</v>
      </c>
      <c r="AA3571" s="6" t="s">
        <v>243</v>
      </c>
      <c r="AB3571" s="5" t="s">
        <v>5822</v>
      </c>
      <c r="AC3571" s="5" t="s">
        <v>244</v>
      </c>
      <c r="AD3571" s="5" t="s">
        <v>245</v>
      </c>
      <c r="AE3571" s="5" t="s">
        <v>238</v>
      </c>
      <c r="AF3571" s="5" t="s">
        <v>238</v>
      </c>
      <c r="AG3571" s="5" t="s">
        <v>238</v>
      </c>
      <c r="AH3571" s="5" t="s">
        <v>238</v>
      </c>
      <c r="AI3571" s="5" t="s">
        <v>238</v>
      </c>
      <c r="AJ3571" s="5" t="s">
        <v>238</v>
      </c>
      <c r="AK3571" s="5" t="s">
        <v>238</v>
      </c>
      <c r="AL3571" s="5" t="s">
        <v>238</v>
      </c>
      <c r="AM3571" s="6" t="s">
        <v>238</v>
      </c>
      <c r="AN3571" s="6" t="s">
        <v>238</v>
      </c>
      <c r="AO3571" s="6" t="s">
        <v>238</v>
      </c>
      <c r="AP3571" s="6" t="s">
        <v>238</v>
      </c>
      <c r="AQ3571" s="5" t="s">
        <v>238</v>
      </c>
      <c r="AR3571" s="5" t="s">
        <v>488</v>
      </c>
      <c r="AS3571" s="5" t="s">
        <v>488</v>
      </c>
      <c r="AT3571" s="5" t="s">
        <v>246</v>
      </c>
      <c r="AU3571" s="5" t="s">
        <v>489</v>
      </c>
      <c r="AV3571" s="5" t="s">
        <v>247</v>
      </c>
      <c r="AW3571" s="5" t="s">
        <v>238</v>
      </c>
      <c r="AX3571" s="5" t="s">
        <v>249</v>
      </c>
      <c r="AY3571" s="5" t="s">
        <v>490</v>
      </c>
      <c r="BA3571" s="5" t="s">
        <v>238</v>
      </c>
      <c r="BC3571" s="5" t="s">
        <v>491</v>
      </c>
      <c r="BD3571" s="6" t="s">
        <v>492</v>
      </c>
      <c r="BE3571" s="5" t="s">
        <v>493</v>
      </c>
      <c r="BF3571" s="5" t="s">
        <v>493</v>
      </c>
      <c r="BG3571" s="5" t="s">
        <v>238</v>
      </c>
      <c r="BH3571" s="8">
        <f>1</f>
        <v>1</v>
      </c>
      <c r="BI3571" s="8">
        <f>1</f>
        <v>1</v>
      </c>
      <c r="BJ3571" s="5" t="s">
        <v>253</v>
      </c>
      <c r="BK3571" s="5" t="s">
        <v>254</v>
      </c>
      <c r="BL3571" s="5" t="s">
        <v>238</v>
      </c>
      <c r="BM3571" s="5" t="s">
        <v>238</v>
      </c>
      <c r="BN3571" s="5" t="s">
        <v>238</v>
      </c>
      <c r="BO3571" s="5" t="s">
        <v>238</v>
      </c>
      <c r="BP3571" s="5" t="s">
        <v>238</v>
      </c>
      <c r="BQ3571" s="5" t="s">
        <v>238</v>
      </c>
      <c r="BR3571" s="5" t="s">
        <v>238</v>
      </c>
      <c r="BS3571" s="5" t="s">
        <v>238</v>
      </c>
      <c r="BT3571" s="6" t="s">
        <v>238</v>
      </c>
      <c r="BU3571" s="5" t="s">
        <v>238</v>
      </c>
      <c r="BV3571" s="5" t="s">
        <v>238</v>
      </c>
      <c r="BW3571" s="5" t="s">
        <v>238</v>
      </c>
      <c r="BX3571" s="5" t="s">
        <v>254</v>
      </c>
      <c r="BY3571" s="5" t="s">
        <v>238</v>
      </c>
      <c r="BZ3571" s="5" t="s">
        <v>238</v>
      </c>
      <c r="CA3571" s="5" t="s">
        <v>238</v>
      </c>
      <c r="CB3571" s="5" t="s">
        <v>238</v>
      </c>
      <c r="CC3571" s="5" t="s">
        <v>238</v>
      </c>
      <c r="CD3571" s="5" t="s">
        <v>273</v>
      </c>
      <c r="CE3571" s="5" t="s">
        <v>256</v>
      </c>
      <c r="CF3571" s="5" t="s">
        <v>238</v>
      </c>
      <c r="CH3571" s="5" t="s">
        <v>494</v>
      </c>
      <c r="CI3571" s="6" t="s">
        <v>257</v>
      </c>
      <c r="CJ3571" s="5" t="s">
        <v>495</v>
      </c>
      <c r="CK3571" s="5" t="s">
        <v>258</v>
      </c>
      <c r="CL3571" s="5" t="s">
        <v>496</v>
      </c>
      <c r="CM3571" s="5" t="s">
        <v>238</v>
      </c>
      <c r="CN3571" s="5">
        <v>0</v>
      </c>
      <c r="CO3571" s="5" t="s">
        <v>497</v>
      </c>
      <c r="CP3571" s="5" t="s">
        <v>260</v>
      </c>
      <c r="CQ3571" s="5" t="s">
        <v>260</v>
      </c>
      <c r="CR3571" s="5" t="s">
        <v>261</v>
      </c>
      <c r="CS3571" s="5" t="s">
        <v>498</v>
      </c>
      <c r="CT3571" s="7">
        <f>1</f>
        <v>1</v>
      </c>
      <c r="CU3571" s="8">
        <f>1</f>
        <v>1</v>
      </c>
      <c r="CV3571" s="8">
        <f>0</f>
        <v>0</v>
      </c>
      <c r="CX3571" s="8">
        <f>1</f>
        <v>1</v>
      </c>
      <c r="CY3571" s="8">
        <f>1</f>
        <v>1</v>
      </c>
      <c r="CZ3571" s="8" t="s">
        <v>238</v>
      </c>
      <c r="DA3571" s="5" t="s">
        <v>238</v>
      </c>
      <c r="DB3571" s="5" t="s">
        <v>238</v>
      </c>
      <c r="DC3571" s="5" t="s">
        <v>238</v>
      </c>
      <c r="DD3571" s="5" t="s">
        <v>238</v>
      </c>
      <c r="DE3571" s="8">
        <f>0</f>
        <v>0</v>
      </c>
      <c r="DG3571" s="5" t="s">
        <v>238</v>
      </c>
      <c r="DH3571" s="5" t="s">
        <v>238</v>
      </c>
      <c r="DI3571" s="5" t="s">
        <v>238</v>
      </c>
      <c r="DJ3571" s="5" t="s">
        <v>238</v>
      </c>
      <c r="DK3571" s="5" t="s">
        <v>238</v>
      </c>
      <c r="DL3571" s="5" t="s">
        <v>238</v>
      </c>
      <c r="DM3571" s="8" t="s">
        <v>238</v>
      </c>
      <c r="DN3571" s="5" t="s">
        <v>238</v>
      </c>
      <c r="DO3571" s="5" t="s">
        <v>238</v>
      </c>
      <c r="DP3571" s="5" t="s">
        <v>490</v>
      </c>
      <c r="DQ3571" s="5" t="s">
        <v>490</v>
      </c>
      <c r="DR3571" s="5" t="s">
        <v>238</v>
      </c>
      <c r="DS3571" s="5" t="s">
        <v>238</v>
      </c>
      <c r="DT3571" s="5" t="s">
        <v>500</v>
      </c>
      <c r="DU3571" s="5" t="s">
        <v>466</v>
      </c>
      <c r="DV3571" s="5" t="s">
        <v>238</v>
      </c>
      <c r="DW3571" s="5" t="s">
        <v>238</v>
      </c>
      <c r="DX3571" s="5" t="s">
        <v>238</v>
      </c>
      <c r="DY3571" s="5" t="s">
        <v>238</v>
      </c>
      <c r="DZ3571" s="5" t="s">
        <v>238</v>
      </c>
      <c r="EA3571" s="5" t="s">
        <v>238</v>
      </c>
      <c r="EB3571" s="5" t="s">
        <v>238</v>
      </c>
      <c r="EC3571" s="5" t="s">
        <v>238</v>
      </c>
      <c r="ED3571" s="5" t="s">
        <v>238</v>
      </c>
      <c r="EE3571" s="5" t="s">
        <v>238</v>
      </c>
      <c r="EF3571" s="5" t="s">
        <v>238</v>
      </c>
      <c r="EG3571" s="5" t="s">
        <v>238</v>
      </c>
      <c r="EH3571" s="5" t="s">
        <v>238</v>
      </c>
      <c r="EI3571" s="5" t="s">
        <v>238</v>
      </c>
      <c r="EJ3571" s="5" t="s">
        <v>238</v>
      </c>
      <c r="EK3571" s="5" t="s">
        <v>238</v>
      </c>
      <c r="EL3571" s="5" t="s">
        <v>238</v>
      </c>
      <c r="EM3571" s="5" t="s">
        <v>238</v>
      </c>
      <c r="EN3571" s="5" t="s">
        <v>238</v>
      </c>
      <c r="EO3571" s="5" t="s">
        <v>238</v>
      </c>
      <c r="EP3571" s="5" t="s">
        <v>238</v>
      </c>
      <c r="EQ3571" s="5" t="s">
        <v>238</v>
      </c>
      <c r="ER3571" s="5" t="s">
        <v>238</v>
      </c>
      <c r="ES3571" s="5" t="s">
        <v>238</v>
      </c>
      <c r="ET3571" s="5" t="s">
        <v>238</v>
      </c>
      <c r="EU3571" s="5" t="s">
        <v>238</v>
      </c>
      <c r="EV3571" s="5" t="s">
        <v>238</v>
      </c>
      <c r="EW3571" s="5" t="s">
        <v>238</v>
      </c>
      <c r="EX3571" s="5" t="s">
        <v>238</v>
      </c>
      <c r="EY3571" s="5" t="s">
        <v>238</v>
      </c>
      <c r="EZ3571" s="5" t="s">
        <v>238</v>
      </c>
      <c r="FA3571" s="5" t="s">
        <v>238</v>
      </c>
      <c r="FB3571" s="5" t="s">
        <v>238</v>
      </c>
      <c r="FC3571" s="5" t="s">
        <v>238</v>
      </c>
      <c r="FD3571" s="5" t="s">
        <v>238</v>
      </c>
      <c r="FE3571" s="5" t="s">
        <v>238</v>
      </c>
      <c r="FF3571" s="5" t="s">
        <v>238</v>
      </c>
      <c r="FG3571" s="5" t="s">
        <v>238</v>
      </c>
      <c r="FH3571" s="5" t="s">
        <v>238</v>
      </c>
      <c r="FI3571" s="5" t="s">
        <v>238</v>
      </c>
      <c r="FJ3571" s="5" t="s">
        <v>238</v>
      </c>
      <c r="FK3571" s="5" t="s">
        <v>238</v>
      </c>
      <c r="FL3571" s="5" t="s">
        <v>238</v>
      </c>
      <c r="FM3571" s="5" t="s">
        <v>238</v>
      </c>
      <c r="FN3571" s="5" t="s">
        <v>238</v>
      </c>
      <c r="FO3571" s="5" t="s">
        <v>238</v>
      </c>
      <c r="FP3571" s="5" t="s">
        <v>238</v>
      </c>
      <c r="FQ3571" s="5" t="s">
        <v>238</v>
      </c>
      <c r="FR3571" s="5" t="s">
        <v>238</v>
      </c>
      <c r="FS3571" s="5" t="s">
        <v>238</v>
      </c>
      <c r="FT3571" s="5" t="s">
        <v>238</v>
      </c>
      <c r="FU3571" s="5" t="s">
        <v>238</v>
      </c>
      <c r="FV3571" s="5" t="s">
        <v>238</v>
      </c>
      <c r="FW3571" s="5" t="s">
        <v>238</v>
      </c>
      <c r="FX3571" s="5" t="s">
        <v>238</v>
      </c>
      <c r="FY3571" s="5" t="s">
        <v>238</v>
      </c>
      <c r="FZ3571" s="5" t="s">
        <v>238</v>
      </c>
      <c r="GA3571" s="5" t="s">
        <v>238</v>
      </c>
      <c r="GB3571" s="5" t="s">
        <v>238</v>
      </c>
      <c r="GC3571" s="5" t="s">
        <v>238</v>
      </c>
      <c r="GD3571" s="5" t="s">
        <v>238</v>
      </c>
      <c r="GE3571" s="5" t="s">
        <v>238</v>
      </c>
      <c r="GF3571" s="5" t="s">
        <v>238</v>
      </c>
      <c r="GG3571" s="5" t="s">
        <v>238</v>
      </c>
      <c r="GH3571" s="5" t="s">
        <v>238</v>
      </c>
      <c r="GI3571" s="5" t="s">
        <v>238</v>
      </c>
      <c r="GJ3571" s="5" t="s">
        <v>238</v>
      </c>
      <c r="GK3571" s="5" t="s">
        <v>238</v>
      </c>
      <c r="GL3571" s="5" t="s">
        <v>238</v>
      </c>
      <c r="GM3571" s="5" t="s">
        <v>238</v>
      </c>
      <c r="GN3571" s="5" t="s">
        <v>238</v>
      </c>
      <c r="GO3571" s="5" t="s">
        <v>238</v>
      </c>
      <c r="GP3571" s="5" t="s">
        <v>238</v>
      </c>
      <c r="GQ3571" s="5" t="s">
        <v>238</v>
      </c>
      <c r="GR3571" s="5" t="s">
        <v>238</v>
      </c>
      <c r="GS3571" s="5" t="s">
        <v>238</v>
      </c>
      <c r="GT3571" s="5" t="s">
        <v>238</v>
      </c>
      <c r="GU3571" s="5" t="s">
        <v>238</v>
      </c>
      <c r="GV3571" s="5" t="s">
        <v>238</v>
      </c>
      <c r="GW3571" s="5" t="s">
        <v>238</v>
      </c>
      <c r="GX3571" s="5" t="s">
        <v>238</v>
      </c>
      <c r="GY3571" s="5" t="s">
        <v>238</v>
      </c>
      <c r="GZ3571" s="5" t="s">
        <v>238</v>
      </c>
      <c r="HA3571" s="5" t="s">
        <v>238</v>
      </c>
      <c r="HB3571" s="5" t="s">
        <v>238</v>
      </c>
      <c r="HC3571" s="5" t="s">
        <v>238</v>
      </c>
      <c r="HD3571" s="5" t="s">
        <v>238</v>
      </c>
      <c r="HE3571" s="5" t="s">
        <v>238</v>
      </c>
      <c r="HF3571" s="5" t="s">
        <v>238</v>
      </c>
      <c r="HG3571" s="5" t="s">
        <v>238</v>
      </c>
      <c r="HH3571" s="5" t="s">
        <v>238</v>
      </c>
      <c r="HI3571" s="5" t="s">
        <v>238</v>
      </c>
      <c r="HJ3571" s="5" t="s">
        <v>238</v>
      </c>
      <c r="HK3571" s="5" t="s">
        <v>238</v>
      </c>
      <c r="HL3571" s="5" t="s">
        <v>238</v>
      </c>
      <c r="HM3571" s="5" t="s">
        <v>264</v>
      </c>
      <c r="HN3571" s="5" t="s">
        <v>238</v>
      </c>
      <c r="HO3571" s="5" t="s">
        <v>238</v>
      </c>
      <c r="HP3571" s="5" t="s">
        <v>238</v>
      </c>
      <c r="HQ3571" s="5" t="s">
        <v>238</v>
      </c>
      <c r="HR3571" s="5" t="s">
        <v>238</v>
      </c>
      <c r="HS3571" s="5" t="s">
        <v>238</v>
      </c>
      <c r="HT3571" s="5" t="s">
        <v>238</v>
      </c>
      <c r="HU3571" s="5" t="s">
        <v>238</v>
      </c>
      <c r="HV3571" s="5" t="s">
        <v>238</v>
      </c>
      <c r="HW3571" s="5" t="s">
        <v>238</v>
      </c>
      <c r="HX3571" s="5" t="s">
        <v>238</v>
      </c>
      <c r="HY3571" s="5" t="s">
        <v>238</v>
      </c>
      <c r="HZ3571" s="5" t="s">
        <v>238</v>
      </c>
      <c r="IA3571" s="5" t="s">
        <v>238</v>
      </c>
      <c r="IB3571" s="5" t="s">
        <v>238</v>
      </c>
      <c r="IC3571" s="5" t="s">
        <v>238</v>
      </c>
      <c r="ID3571" s="5" t="s">
        <v>238</v>
      </c>
    </row>
    <row r="3572" spans="1:238" x14ac:dyDescent="0.4">
      <c r="A3572" s="5">
        <v>9290</v>
      </c>
      <c r="B3572" s="5">
        <v>1</v>
      </c>
      <c r="C3572" s="5">
        <v>1</v>
      </c>
      <c r="D3572" s="5" t="s">
        <v>484</v>
      </c>
      <c r="E3572" s="5" t="s">
        <v>485</v>
      </c>
      <c r="F3572" s="5" t="s">
        <v>248</v>
      </c>
      <c r="G3572" s="5" t="s">
        <v>4428</v>
      </c>
      <c r="H3572" s="6" t="s">
        <v>4429</v>
      </c>
      <c r="I3572" s="8">
        <f>1</f>
        <v>1</v>
      </c>
      <c r="J3572" s="5" t="s">
        <v>499</v>
      </c>
      <c r="K3572" s="8">
        <f>1</f>
        <v>1</v>
      </c>
      <c r="L3572" s="6" t="s">
        <v>242</v>
      </c>
      <c r="M3572" s="5" t="s">
        <v>267</v>
      </c>
      <c r="N3572" s="5" t="s">
        <v>482</v>
      </c>
      <c r="O3572" s="5" t="s">
        <v>238</v>
      </c>
      <c r="P3572" s="5" t="s">
        <v>238</v>
      </c>
      <c r="Q3572" s="5" t="s">
        <v>239</v>
      </c>
      <c r="R3572" s="5" t="s">
        <v>270</v>
      </c>
      <c r="S3572" s="5" t="s">
        <v>238</v>
      </c>
      <c r="T3572" s="5" t="s">
        <v>238</v>
      </c>
      <c r="U3572" s="5" t="s">
        <v>238</v>
      </c>
      <c r="V3572" s="5" t="s">
        <v>238</v>
      </c>
      <c r="W3572" s="6" t="s">
        <v>238</v>
      </c>
      <c r="X3572" s="6" t="s">
        <v>238</v>
      </c>
      <c r="Y3572" s="5" t="s">
        <v>238</v>
      </c>
      <c r="Z3572" s="6" t="s">
        <v>238</v>
      </c>
      <c r="AA3572" s="6" t="s">
        <v>243</v>
      </c>
      <c r="AB3572" s="5" t="s">
        <v>486</v>
      </c>
      <c r="AC3572" s="5" t="s">
        <v>244</v>
      </c>
      <c r="AD3572" s="5" t="s">
        <v>245</v>
      </c>
      <c r="AE3572" s="5" t="s">
        <v>238</v>
      </c>
      <c r="AF3572" s="5" t="s">
        <v>238</v>
      </c>
      <c r="AG3572" s="5" t="s">
        <v>238</v>
      </c>
      <c r="AH3572" s="5" t="s">
        <v>238</v>
      </c>
      <c r="AI3572" s="5" t="s">
        <v>238</v>
      </c>
      <c r="AJ3572" s="5" t="s">
        <v>238</v>
      </c>
      <c r="AK3572" s="5" t="s">
        <v>238</v>
      </c>
      <c r="AL3572" s="5" t="s">
        <v>238</v>
      </c>
      <c r="AM3572" s="6" t="s">
        <v>238</v>
      </c>
      <c r="AN3572" s="6" t="s">
        <v>238</v>
      </c>
      <c r="AO3572" s="6" t="s">
        <v>238</v>
      </c>
      <c r="AP3572" s="6" t="s">
        <v>238</v>
      </c>
      <c r="AQ3572" s="5" t="s">
        <v>238</v>
      </c>
      <c r="AR3572" s="5" t="s">
        <v>488</v>
      </c>
      <c r="AS3572" s="5" t="s">
        <v>488</v>
      </c>
      <c r="AT3572" s="5" t="s">
        <v>246</v>
      </c>
      <c r="AU3572" s="5" t="s">
        <v>489</v>
      </c>
      <c r="AV3572" s="5" t="s">
        <v>247</v>
      </c>
      <c r="AW3572" s="5" t="s">
        <v>238</v>
      </c>
      <c r="AX3572" s="5" t="s">
        <v>249</v>
      </c>
      <c r="AY3572" s="5" t="s">
        <v>490</v>
      </c>
      <c r="BA3572" s="5" t="s">
        <v>238</v>
      </c>
      <c r="BC3572" s="5" t="s">
        <v>491</v>
      </c>
      <c r="BD3572" s="6" t="s">
        <v>492</v>
      </c>
      <c r="BE3572" s="5" t="s">
        <v>493</v>
      </c>
      <c r="BF3572" s="5" t="s">
        <v>493</v>
      </c>
      <c r="BG3572" s="5" t="s">
        <v>238</v>
      </c>
      <c r="BH3572" s="8">
        <f>1</f>
        <v>1</v>
      </c>
      <c r="BI3572" s="8">
        <f>1</f>
        <v>1</v>
      </c>
      <c r="BJ3572" s="5" t="s">
        <v>253</v>
      </c>
      <c r="BK3572" s="5" t="s">
        <v>254</v>
      </c>
      <c r="BL3572" s="5" t="s">
        <v>238</v>
      </c>
      <c r="BM3572" s="5" t="s">
        <v>238</v>
      </c>
      <c r="BN3572" s="5" t="s">
        <v>238</v>
      </c>
      <c r="BO3572" s="5" t="s">
        <v>238</v>
      </c>
      <c r="BP3572" s="5" t="s">
        <v>238</v>
      </c>
      <c r="BQ3572" s="5" t="s">
        <v>238</v>
      </c>
      <c r="BR3572" s="5" t="s">
        <v>238</v>
      </c>
      <c r="BS3572" s="5" t="s">
        <v>238</v>
      </c>
      <c r="BT3572" s="6" t="s">
        <v>238</v>
      </c>
      <c r="BU3572" s="5" t="s">
        <v>238</v>
      </c>
      <c r="BV3572" s="5" t="s">
        <v>238</v>
      </c>
      <c r="BW3572" s="5" t="s">
        <v>238</v>
      </c>
      <c r="BX3572" s="5" t="s">
        <v>254</v>
      </c>
      <c r="BY3572" s="5" t="s">
        <v>238</v>
      </c>
      <c r="BZ3572" s="5" t="s">
        <v>238</v>
      </c>
      <c r="CA3572" s="5" t="s">
        <v>238</v>
      </c>
      <c r="CB3572" s="5" t="s">
        <v>238</v>
      </c>
      <c r="CC3572" s="5" t="s">
        <v>238</v>
      </c>
      <c r="CD3572" s="5" t="s">
        <v>273</v>
      </c>
      <c r="CE3572" s="5" t="s">
        <v>256</v>
      </c>
      <c r="CF3572" s="5" t="s">
        <v>238</v>
      </c>
      <c r="CH3572" s="5" t="s">
        <v>494</v>
      </c>
      <c r="CI3572" s="6" t="s">
        <v>257</v>
      </c>
      <c r="CJ3572" s="5" t="s">
        <v>495</v>
      </c>
      <c r="CK3572" s="5" t="s">
        <v>258</v>
      </c>
      <c r="CL3572" s="5" t="s">
        <v>496</v>
      </c>
      <c r="CM3572" s="5" t="s">
        <v>238</v>
      </c>
      <c r="CN3572" s="5">
        <v>0</v>
      </c>
      <c r="CO3572" s="5" t="s">
        <v>497</v>
      </c>
      <c r="CP3572" s="5" t="s">
        <v>260</v>
      </c>
      <c r="CQ3572" s="5" t="s">
        <v>260</v>
      </c>
      <c r="CR3572" s="5" t="s">
        <v>261</v>
      </c>
      <c r="CS3572" s="5" t="s">
        <v>498</v>
      </c>
      <c r="CT3572" s="7">
        <f>1</f>
        <v>1</v>
      </c>
      <c r="CU3572" s="8">
        <f>1</f>
        <v>1</v>
      </c>
      <c r="CV3572" s="8">
        <f>0</f>
        <v>0</v>
      </c>
      <c r="CX3572" s="8">
        <f>1</f>
        <v>1</v>
      </c>
      <c r="CY3572" s="8">
        <f>1</f>
        <v>1</v>
      </c>
      <c r="CZ3572" s="8" t="s">
        <v>238</v>
      </c>
      <c r="DA3572" s="5" t="s">
        <v>238</v>
      </c>
      <c r="DB3572" s="5" t="s">
        <v>238</v>
      </c>
      <c r="DC3572" s="5" t="s">
        <v>238</v>
      </c>
      <c r="DD3572" s="5" t="s">
        <v>238</v>
      </c>
      <c r="DE3572" s="8">
        <f>0</f>
        <v>0</v>
      </c>
      <c r="DG3572" s="5" t="s">
        <v>238</v>
      </c>
      <c r="DH3572" s="5" t="s">
        <v>238</v>
      </c>
      <c r="DI3572" s="5" t="s">
        <v>238</v>
      </c>
      <c r="DJ3572" s="5" t="s">
        <v>238</v>
      </c>
      <c r="DK3572" s="5" t="s">
        <v>238</v>
      </c>
      <c r="DL3572" s="5" t="s">
        <v>238</v>
      </c>
      <c r="DM3572" s="8" t="s">
        <v>238</v>
      </c>
      <c r="DN3572" s="5" t="s">
        <v>238</v>
      </c>
      <c r="DO3572" s="5" t="s">
        <v>238</v>
      </c>
      <c r="DP3572" s="5" t="s">
        <v>490</v>
      </c>
      <c r="DQ3572" s="5" t="s">
        <v>490</v>
      </c>
      <c r="DR3572" s="5" t="s">
        <v>238</v>
      </c>
      <c r="DS3572" s="5" t="s">
        <v>238</v>
      </c>
      <c r="DT3572" s="5" t="s">
        <v>500</v>
      </c>
      <c r="DU3572" s="5" t="s">
        <v>454</v>
      </c>
      <c r="DV3572" s="5" t="s">
        <v>238</v>
      </c>
      <c r="DW3572" s="5" t="s">
        <v>238</v>
      </c>
      <c r="DX3572" s="5" t="s">
        <v>238</v>
      </c>
      <c r="DY3572" s="5" t="s">
        <v>238</v>
      </c>
      <c r="DZ3572" s="5" t="s">
        <v>238</v>
      </c>
      <c r="EA3572" s="5" t="s">
        <v>238</v>
      </c>
      <c r="EB3572" s="5" t="s">
        <v>238</v>
      </c>
      <c r="EC3572" s="5" t="s">
        <v>238</v>
      </c>
      <c r="ED3572" s="5" t="s">
        <v>238</v>
      </c>
      <c r="EE3572" s="5" t="s">
        <v>238</v>
      </c>
      <c r="EF3572" s="5" t="s">
        <v>238</v>
      </c>
      <c r="EG3572" s="5" t="s">
        <v>238</v>
      </c>
      <c r="EH3572" s="5" t="s">
        <v>238</v>
      </c>
      <c r="EI3572" s="5" t="s">
        <v>238</v>
      </c>
      <c r="EJ3572" s="5" t="s">
        <v>238</v>
      </c>
      <c r="EK3572" s="5" t="s">
        <v>238</v>
      </c>
      <c r="EL3572" s="5" t="s">
        <v>238</v>
      </c>
      <c r="EM3572" s="5" t="s">
        <v>238</v>
      </c>
      <c r="EN3572" s="5" t="s">
        <v>238</v>
      </c>
      <c r="EO3572" s="5" t="s">
        <v>238</v>
      </c>
      <c r="EP3572" s="5" t="s">
        <v>238</v>
      </c>
      <c r="EQ3572" s="5" t="s">
        <v>238</v>
      </c>
      <c r="ER3572" s="5" t="s">
        <v>238</v>
      </c>
      <c r="ES3572" s="5" t="s">
        <v>238</v>
      </c>
      <c r="ET3572" s="5" t="s">
        <v>238</v>
      </c>
      <c r="EU3572" s="5" t="s">
        <v>238</v>
      </c>
      <c r="EV3572" s="5" t="s">
        <v>238</v>
      </c>
      <c r="EW3572" s="5" t="s">
        <v>238</v>
      </c>
      <c r="EX3572" s="5" t="s">
        <v>238</v>
      </c>
      <c r="EY3572" s="5" t="s">
        <v>238</v>
      </c>
      <c r="EZ3572" s="5" t="s">
        <v>238</v>
      </c>
      <c r="FA3572" s="5" t="s">
        <v>238</v>
      </c>
      <c r="FB3572" s="5" t="s">
        <v>238</v>
      </c>
      <c r="FC3572" s="5" t="s">
        <v>238</v>
      </c>
      <c r="FD3572" s="5" t="s">
        <v>238</v>
      </c>
      <c r="FE3572" s="5" t="s">
        <v>238</v>
      </c>
      <c r="FF3572" s="5" t="s">
        <v>238</v>
      </c>
      <c r="FG3572" s="5" t="s">
        <v>238</v>
      </c>
      <c r="FH3572" s="5" t="s">
        <v>238</v>
      </c>
      <c r="FI3572" s="5" t="s">
        <v>238</v>
      </c>
      <c r="FJ3572" s="5" t="s">
        <v>238</v>
      </c>
      <c r="FK3572" s="5" t="s">
        <v>238</v>
      </c>
      <c r="FL3572" s="5" t="s">
        <v>238</v>
      </c>
      <c r="FM3572" s="5" t="s">
        <v>238</v>
      </c>
      <c r="FN3572" s="5" t="s">
        <v>238</v>
      </c>
      <c r="FO3572" s="5" t="s">
        <v>238</v>
      </c>
      <c r="FP3572" s="5" t="s">
        <v>238</v>
      </c>
      <c r="FQ3572" s="5" t="s">
        <v>238</v>
      </c>
      <c r="FR3572" s="5" t="s">
        <v>238</v>
      </c>
      <c r="FS3572" s="5" t="s">
        <v>238</v>
      </c>
      <c r="FT3572" s="5" t="s">
        <v>238</v>
      </c>
      <c r="FU3572" s="5" t="s">
        <v>238</v>
      </c>
      <c r="FV3572" s="5" t="s">
        <v>238</v>
      </c>
      <c r="FW3572" s="5" t="s">
        <v>238</v>
      </c>
      <c r="FX3572" s="5" t="s">
        <v>238</v>
      </c>
      <c r="FY3572" s="5" t="s">
        <v>238</v>
      </c>
      <c r="FZ3572" s="5" t="s">
        <v>238</v>
      </c>
      <c r="GA3572" s="5" t="s">
        <v>238</v>
      </c>
      <c r="GB3572" s="5" t="s">
        <v>238</v>
      </c>
      <c r="GC3572" s="5" t="s">
        <v>238</v>
      </c>
      <c r="GD3572" s="5" t="s">
        <v>238</v>
      </c>
      <c r="GE3572" s="5" t="s">
        <v>238</v>
      </c>
      <c r="GF3572" s="5" t="s">
        <v>238</v>
      </c>
      <c r="GG3572" s="5" t="s">
        <v>238</v>
      </c>
      <c r="GH3572" s="5" t="s">
        <v>238</v>
      </c>
      <c r="GI3572" s="5" t="s">
        <v>238</v>
      </c>
      <c r="GJ3572" s="5" t="s">
        <v>238</v>
      </c>
      <c r="GK3572" s="5" t="s">
        <v>238</v>
      </c>
      <c r="GL3572" s="5" t="s">
        <v>238</v>
      </c>
      <c r="GM3572" s="5" t="s">
        <v>238</v>
      </c>
      <c r="GN3572" s="5" t="s">
        <v>238</v>
      </c>
      <c r="GO3572" s="5" t="s">
        <v>238</v>
      </c>
      <c r="GP3572" s="5" t="s">
        <v>238</v>
      </c>
      <c r="GQ3572" s="5" t="s">
        <v>238</v>
      </c>
      <c r="GR3572" s="5" t="s">
        <v>238</v>
      </c>
      <c r="GS3572" s="5" t="s">
        <v>238</v>
      </c>
      <c r="GT3572" s="5" t="s">
        <v>238</v>
      </c>
      <c r="GU3572" s="5" t="s">
        <v>238</v>
      </c>
      <c r="GV3572" s="5" t="s">
        <v>238</v>
      </c>
      <c r="GW3572" s="5" t="s">
        <v>238</v>
      </c>
      <c r="GX3572" s="5" t="s">
        <v>238</v>
      </c>
      <c r="GY3572" s="5" t="s">
        <v>238</v>
      </c>
      <c r="GZ3572" s="5" t="s">
        <v>238</v>
      </c>
      <c r="HA3572" s="5" t="s">
        <v>238</v>
      </c>
      <c r="HB3572" s="5" t="s">
        <v>238</v>
      </c>
      <c r="HC3572" s="5" t="s">
        <v>238</v>
      </c>
      <c r="HD3572" s="5" t="s">
        <v>238</v>
      </c>
      <c r="HE3572" s="5" t="s">
        <v>238</v>
      </c>
      <c r="HF3572" s="5" t="s">
        <v>238</v>
      </c>
      <c r="HG3572" s="5" t="s">
        <v>238</v>
      </c>
      <c r="HH3572" s="5" t="s">
        <v>238</v>
      </c>
      <c r="HI3572" s="5" t="s">
        <v>238</v>
      </c>
      <c r="HJ3572" s="5" t="s">
        <v>238</v>
      </c>
      <c r="HK3572" s="5" t="s">
        <v>238</v>
      </c>
      <c r="HL3572" s="5" t="s">
        <v>238</v>
      </c>
      <c r="HM3572" s="5" t="s">
        <v>264</v>
      </c>
      <c r="HN3572" s="5" t="s">
        <v>238</v>
      </c>
      <c r="HO3572" s="5" t="s">
        <v>238</v>
      </c>
      <c r="HP3572" s="5" t="s">
        <v>238</v>
      </c>
      <c r="HQ3572" s="5" t="s">
        <v>238</v>
      </c>
      <c r="HR3572" s="5" t="s">
        <v>238</v>
      </c>
      <c r="HS3572" s="5" t="s">
        <v>238</v>
      </c>
      <c r="HT3572" s="5" t="s">
        <v>238</v>
      </c>
      <c r="HU3572" s="5" t="s">
        <v>238</v>
      </c>
      <c r="HV3572" s="5" t="s">
        <v>238</v>
      </c>
      <c r="HW3572" s="5" t="s">
        <v>238</v>
      </c>
      <c r="HX3572" s="5" t="s">
        <v>238</v>
      </c>
      <c r="HY3572" s="5" t="s">
        <v>238</v>
      </c>
      <c r="HZ3572" s="5" t="s">
        <v>238</v>
      </c>
      <c r="IA3572" s="5" t="s">
        <v>238</v>
      </c>
      <c r="IB3572" s="5" t="s">
        <v>238</v>
      </c>
      <c r="IC3572" s="5" t="s">
        <v>238</v>
      </c>
      <c r="ID3572" s="5" t="s">
        <v>238</v>
      </c>
    </row>
    <row r="3573" spans="1:238" x14ac:dyDescent="0.4">
      <c r="A3573" s="5">
        <v>9291</v>
      </c>
      <c r="B3573" s="5">
        <v>1</v>
      </c>
      <c r="C3573" s="5">
        <v>1</v>
      </c>
      <c r="D3573" s="5" t="s">
        <v>484</v>
      </c>
      <c r="E3573" s="5" t="s">
        <v>485</v>
      </c>
      <c r="F3573" s="5" t="s">
        <v>248</v>
      </c>
      <c r="G3573" s="5" t="s">
        <v>5373</v>
      </c>
      <c r="H3573" s="6" t="s">
        <v>5375</v>
      </c>
      <c r="I3573" s="8">
        <f>1</f>
        <v>1</v>
      </c>
      <c r="J3573" s="5" t="s">
        <v>499</v>
      </c>
      <c r="K3573" s="8">
        <f>1</f>
        <v>1</v>
      </c>
      <c r="L3573" s="6" t="s">
        <v>242</v>
      </c>
      <c r="M3573" s="5" t="s">
        <v>267</v>
      </c>
      <c r="N3573" s="5" t="s">
        <v>482</v>
      </c>
      <c r="O3573" s="5" t="s">
        <v>238</v>
      </c>
      <c r="P3573" s="5" t="s">
        <v>238</v>
      </c>
      <c r="Q3573" s="5" t="s">
        <v>239</v>
      </c>
      <c r="R3573" s="5" t="s">
        <v>270</v>
      </c>
      <c r="S3573" s="5" t="s">
        <v>238</v>
      </c>
      <c r="T3573" s="5" t="s">
        <v>238</v>
      </c>
      <c r="U3573" s="5" t="s">
        <v>238</v>
      </c>
      <c r="V3573" s="5" t="s">
        <v>238</v>
      </c>
      <c r="W3573" s="6" t="s">
        <v>238</v>
      </c>
      <c r="X3573" s="6" t="s">
        <v>238</v>
      </c>
      <c r="Y3573" s="5" t="s">
        <v>238</v>
      </c>
      <c r="Z3573" s="6" t="s">
        <v>238</v>
      </c>
      <c r="AA3573" s="6" t="s">
        <v>243</v>
      </c>
      <c r="AB3573" s="5" t="s">
        <v>5374</v>
      </c>
      <c r="AC3573" s="5" t="s">
        <v>244</v>
      </c>
      <c r="AD3573" s="5" t="s">
        <v>245</v>
      </c>
      <c r="AE3573" s="5" t="s">
        <v>238</v>
      </c>
      <c r="AF3573" s="5" t="s">
        <v>238</v>
      </c>
      <c r="AG3573" s="5" t="s">
        <v>238</v>
      </c>
      <c r="AH3573" s="5" t="s">
        <v>238</v>
      </c>
      <c r="AI3573" s="5" t="s">
        <v>238</v>
      </c>
      <c r="AJ3573" s="5" t="s">
        <v>238</v>
      </c>
      <c r="AK3573" s="5" t="s">
        <v>238</v>
      </c>
      <c r="AL3573" s="5" t="s">
        <v>238</v>
      </c>
      <c r="AM3573" s="6" t="s">
        <v>238</v>
      </c>
      <c r="AN3573" s="6" t="s">
        <v>238</v>
      </c>
      <c r="AO3573" s="6" t="s">
        <v>238</v>
      </c>
      <c r="AP3573" s="6" t="s">
        <v>238</v>
      </c>
      <c r="AQ3573" s="5" t="s">
        <v>238</v>
      </c>
      <c r="AR3573" s="5" t="s">
        <v>488</v>
      </c>
      <c r="AS3573" s="5" t="s">
        <v>488</v>
      </c>
      <c r="AT3573" s="5" t="s">
        <v>246</v>
      </c>
      <c r="AU3573" s="5" t="s">
        <v>489</v>
      </c>
      <c r="AV3573" s="5" t="s">
        <v>247</v>
      </c>
      <c r="AW3573" s="5" t="s">
        <v>238</v>
      </c>
      <c r="AX3573" s="5" t="s">
        <v>249</v>
      </c>
      <c r="AY3573" s="5" t="s">
        <v>490</v>
      </c>
      <c r="BA3573" s="5" t="s">
        <v>238</v>
      </c>
      <c r="BC3573" s="5" t="s">
        <v>491</v>
      </c>
      <c r="BD3573" s="6" t="s">
        <v>492</v>
      </c>
      <c r="BE3573" s="5" t="s">
        <v>493</v>
      </c>
      <c r="BF3573" s="5" t="s">
        <v>493</v>
      </c>
      <c r="BG3573" s="5" t="s">
        <v>238</v>
      </c>
      <c r="BH3573" s="8">
        <f>1</f>
        <v>1</v>
      </c>
      <c r="BI3573" s="8">
        <f>1</f>
        <v>1</v>
      </c>
      <c r="BJ3573" s="5" t="s">
        <v>253</v>
      </c>
      <c r="BK3573" s="5" t="s">
        <v>254</v>
      </c>
      <c r="BL3573" s="5" t="s">
        <v>238</v>
      </c>
      <c r="BM3573" s="5" t="s">
        <v>238</v>
      </c>
      <c r="BN3573" s="5" t="s">
        <v>238</v>
      </c>
      <c r="BO3573" s="5" t="s">
        <v>238</v>
      </c>
      <c r="BP3573" s="5" t="s">
        <v>238</v>
      </c>
      <c r="BQ3573" s="5" t="s">
        <v>238</v>
      </c>
      <c r="BR3573" s="5" t="s">
        <v>238</v>
      </c>
      <c r="BS3573" s="5" t="s">
        <v>238</v>
      </c>
      <c r="BT3573" s="6" t="s">
        <v>238</v>
      </c>
      <c r="BU3573" s="5" t="s">
        <v>238</v>
      </c>
      <c r="BV3573" s="5" t="s">
        <v>238</v>
      </c>
      <c r="BW3573" s="5" t="s">
        <v>238</v>
      </c>
      <c r="BX3573" s="5" t="s">
        <v>254</v>
      </c>
      <c r="BY3573" s="5" t="s">
        <v>238</v>
      </c>
      <c r="BZ3573" s="5" t="s">
        <v>238</v>
      </c>
      <c r="CA3573" s="5" t="s">
        <v>238</v>
      </c>
      <c r="CB3573" s="5" t="s">
        <v>238</v>
      </c>
      <c r="CC3573" s="5" t="s">
        <v>238</v>
      </c>
      <c r="CD3573" s="5" t="s">
        <v>273</v>
      </c>
      <c r="CE3573" s="5" t="s">
        <v>256</v>
      </c>
      <c r="CF3573" s="5" t="s">
        <v>238</v>
      </c>
      <c r="CH3573" s="5" t="s">
        <v>494</v>
      </c>
      <c r="CI3573" s="6" t="s">
        <v>257</v>
      </c>
      <c r="CJ3573" s="5" t="s">
        <v>495</v>
      </c>
      <c r="CK3573" s="5" t="s">
        <v>258</v>
      </c>
      <c r="CL3573" s="5" t="s">
        <v>496</v>
      </c>
      <c r="CM3573" s="5" t="s">
        <v>238</v>
      </c>
      <c r="CN3573" s="5">
        <v>0</v>
      </c>
      <c r="CO3573" s="5" t="s">
        <v>497</v>
      </c>
      <c r="CP3573" s="5" t="s">
        <v>260</v>
      </c>
      <c r="CQ3573" s="5" t="s">
        <v>260</v>
      </c>
      <c r="CR3573" s="5" t="s">
        <v>261</v>
      </c>
      <c r="CS3573" s="5" t="s">
        <v>498</v>
      </c>
      <c r="CT3573" s="7">
        <f>1</f>
        <v>1</v>
      </c>
      <c r="CU3573" s="8">
        <f>1</f>
        <v>1</v>
      </c>
      <c r="CV3573" s="8">
        <f>0</f>
        <v>0</v>
      </c>
      <c r="CX3573" s="8">
        <f>1</f>
        <v>1</v>
      </c>
      <c r="CY3573" s="8">
        <f>1</f>
        <v>1</v>
      </c>
      <c r="CZ3573" s="8" t="s">
        <v>238</v>
      </c>
      <c r="DA3573" s="5" t="s">
        <v>238</v>
      </c>
      <c r="DB3573" s="5" t="s">
        <v>238</v>
      </c>
      <c r="DC3573" s="5" t="s">
        <v>238</v>
      </c>
      <c r="DD3573" s="5" t="s">
        <v>238</v>
      </c>
      <c r="DE3573" s="8">
        <f>0</f>
        <v>0</v>
      </c>
      <c r="DG3573" s="5" t="s">
        <v>238</v>
      </c>
      <c r="DH3573" s="5" t="s">
        <v>238</v>
      </c>
      <c r="DI3573" s="5" t="s">
        <v>238</v>
      </c>
      <c r="DJ3573" s="5" t="s">
        <v>238</v>
      </c>
      <c r="DK3573" s="5" t="s">
        <v>238</v>
      </c>
      <c r="DL3573" s="5" t="s">
        <v>238</v>
      </c>
      <c r="DM3573" s="8" t="s">
        <v>238</v>
      </c>
      <c r="DN3573" s="5" t="s">
        <v>238</v>
      </c>
      <c r="DO3573" s="5" t="s">
        <v>238</v>
      </c>
      <c r="DP3573" s="5" t="s">
        <v>490</v>
      </c>
      <c r="DQ3573" s="5" t="s">
        <v>490</v>
      </c>
      <c r="DR3573" s="5" t="s">
        <v>238</v>
      </c>
      <c r="DS3573" s="5" t="s">
        <v>238</v>
      </c>
      <c r="DT3573" s="5" t="s">
        <v>500</v>
      </c>
      <c r="DU3573" s="5" t="s">
        <v>666</v>
      </c>
      <c r="DV3573" s="5" t="s">
        <v>238</v>
      </c>
      <c r="DW3573" s="5" t="s">
        <v>238</v>
      </c>
      <c r="DX3573" s="5" t="s">
        <v>238</v>
      </c>
      <c r="DY3573" s="5" t="s">
        <v>238</v>
      </c>
      <c r="DZ3573" s="5" t="s">
        <v>238</v>
      </c>
      <c r="EA3573" s="5" t="s">
        <v>238</v>
      </c>
      <c r="EB3573" s="5" t="s">
        <v>238</v>
      </c>
      <c r="EC3573" s="5" t="s">
        <v>238</v>
      </c>
      <c r="ED3573" s="5" t="s">
        <v>238</v>
      </c>
      <c r="EE3573" s="5" t="s">
        <v>238</v>
      </c>
      <c r="EF3573" s="5" t="s">
        <v>238</v>
      </c>
      <c r="EG3573" s="5" t="s">
        <v>238</v>
      </c>
      <c r="EH3573" s="5" t="s">
        <v>238</v>
      </c>
      <c r="EI3573" s="5" t="s">
        <v>238</v>
      </c>
      <c r="EJ3573" s="5" t="s">
        <v>238</v>
      </c>
      <c r="EK3573" s="5" t="s">
        <v>238</v>
      </c>
      <c r="EL3573" s="5" t="s">
        <v>238</v>
      </c>
      <c r="EM3573" s="5" t="s">
        <v>238</v>
      </c>
      <c r="EN3573" s="5" t="s">
        <v>238</v>
      </c>
      <c r="EO3573" s="5" t="s">
        <v>238</v>
      </c>
      <c r="EP3573" s="5" t="s">
        <v>238</v>
      </c>
      <c r="EQ3573" s="5" t="s">
        <v>238</v>
      </c>
      <c r="ER3573" s="5" t="s">
        <v>238</v>
      </c>
      <c r="ES3573" s="5" t="s">
        <v>238</v>
      </c>
      <c r="ET3573" s="5" t="s">
        <v>238</v>
      </c>
      <c r="EU3573" s="5" t="s">
        <v>238</v>
      </c>
      <c r="EV3573" s="5" t="s">
        <v>238</v>
      </c>
      <c r="EW3573" s="5" t="s">
        <v>238</v>
      </c>
      <c r="EX3573" s="5" t="s">
        <v>238</v>
      </c>
      <c r="EY3573" s="5" t="s">
        <v>238</v>
      </c>
      <c r="EZ3573" s="5" t="s">
        <v>238</v>
      </c>
      <c r="FA3573" s="5" t="s">
        <v>238</v>
      </c>
      <c r="FB3573" s="5" t="s">
        <v>238</v>
      </c>
      <c r="FC3573" s="5" t="s">
        <v>238</v>
      </c>
      <c r="FD3573" s="5" t="s">
        <v>238</v>
      </c>
      <c r="FE3573" s="5" t="s">
        <v>238</v>
      </c>
      <c r="FF3573" s="5" t="s">
        <v>238</v>
      </c>
      <c r="FG3573" s="5" t="s">
        <v>238</v>
      </c>
      <c r="FH3573" s="5" t="s">
        <v>238</v>
      </c>
      <c r="FI3573" s="5" t="s">
        <v>238</v>
      </c>
      <c r="FJ3573" s="5" t="s">
        <v>238</v>
      </c>
      <c r="FK3573" s="5" t="s">
        <v>238</v>
      </c>
      <c r="FL3573" s="5" t="s">
        <v>238</v>
      </c>
      <c r="FM3573" s="5" t="s">
        <v>238</v>
      </c>
      <c r="FN3573" s="5" t="s">
        <v>238</v>
      </c>
      <c r="FO3573" s="5" t="s">
        <v>238</v>
      </c>
      <c r="FP3573" s="5" t="s">
        <v>238</v>
      </c>
      <c r="FQ3573" s="5" t="s">
        <v>238</v>
      </c>
      <c r="FR3573" s="5" t="s">
        <v>238</v>
      </c>
      <c r="FS3573" s="5" t="s">
        <v>238</v>
      </c>
      <c r="FT3573" s="5" t="s">
        <v>238</v>
      </c>
      <c r="FU3573" s="5" t="s">
        <v>238</v>
      </c>
      <c r="FV3573" s="5" t="s">
        <v>238</v>
      </c>
      <c r="FW3573" s="5" t="s">
        <v>238</v>
      </c>
      <c r="FX3573" s="5" t="s">
        <v>238</v>
      </c>
      <c r="FY3573" s="5" t="s">
        <v>238</v>
      </c>
      <c r="FZ3573" s="5" t="s">
        <v>238</v>
      </c>
      <c r="GA3573" s="5" t="s">
        <v>238</v>
      </c>
      <c r="GB3573" s="5" t="s">
        <v>238</v>
      </c>
      <c r="GC3573" s="5" t="s">
        <v>238</v>
      </c>
      <c r="GD3573" s="5" t="s">
        <v>238</v>
      </c>
      <c r="GE3573" s="5" t="s">
        <v>238</v>
      </c>
      <c r="GF3573" s="5" t="s">
        <v>238</v>
      </c>
      <c r="GG3573" s="5" t="s">
        <v>238</v>
      </c>
      <c r="GH3573" s="5" t="s">
        <v>238</v>
      </c>
      <c r="GI3573" s="5" t="s">
        <v>238</v>
      </c>
      <c r="GJ3573" s="5" t="s">
        <v>238</v>
      </c>
      <c r="GK3573" s="5" t="s">
        <v>238</v>
      </c>
      <c r="GL3573" s="5" t="s">
        <v>238</v>
      </c>
      <c r="GM3573" s="5" t="s">
        <v>238</v>
      </c>
      <c r="GN3573" s="5" t="s">
        <v>238</v>
      </c>
      <c r="GO3573" s="5" t="s">
        <v>238</v>
      </c>
      <c r="GP3573" s="5" t="s">
        <v>238</v>
      </c>
      <c r="GQ3573" s="5" t="s">
        <v>238</v>
      </c>
      <c r="GR3573" s="5" t="s">
        <v>238</v>
      </c>
      <c r="GS3573" s="5" t="s">
        <v>238</v>
      </c>
      <c r="GT3573" s="5" t="s">
        <v>238</v>
      </c>
      <c r="GU3573" s="5" t="s">
        <v>238</v>
      </c>
      <c r="GV3573" s="5" t="s">
        <v>238</v>
      </c>
      <c r="GW3573" s="5" t="s">
        <v>238</v>
      </c>
      <c r="GX3573" s="5" t="s">
        <v>238</v>
      </c>
      <c r="GY3573" s="5" t="s">
        <v>238</v>
      </c>
      <c r="GZ3573" s="5" t="s">
        <v>238</v>
      </c>
      <c r="HA3573" s="5" t="s">
        <v>238</v>
      </c>
      <c r="HB3573" s="5" t="s">
        <v>238</v>
      </c>
      <c r="HC3573" s="5" t="s">
        <v>238</v>
      </c>
      <c r="HD3573" s="5" t="s">
        <v>238</v>
      </c>
      <c r="HE3573" s="5" t="s">
        <v>238</v>
      </c>
      <c r="HF3573" s="5" t="s">
        <v>238</v>
      </c>
      <c r="HG3573" s="5" t="s">
        <v>238</v>
      </c>
      <c r="HH3573" s="5" t="s">
        <v>238</v>
      </c>
      <c r="HI3573" s="5" t="s">
        <v>238</v>
      </c>
      <c r="HJ3573" s="5" t="s">
        <v>238</v>
      </c>
      <c r="HK3573" s="5" t="s">
        <v>238</v>
      </c>
      <c r="HL3573" s="5" t="s">
        <v>238</v>
      </c>
      <c r="HM3573" s="5" t="s">
        <v>264</v>
      </c>
      <c r="HN3573" s="5" t="s">
        <v>238</v>
      </c>
      <c r="HO3573" s="5" t="s">
        <v>238</v>
      </c>
      <c r="HP3573" s="5" t="s">
        <v>238</v>
      </c>
      <c r="HQ3573" s="5" t="s">
        <v>238</v>
      </c>
      <c r="HR3573" s="5" t="s">
        <v>238</v>
      </c>
      <c r="HS3573" s="5" t="s">
        <v>238</v>
      </c>
      <c r="HT3573" s="5" t="s">
        <v>238</v>
      </c>
      <c r="HU3573" s="5" t="s">
        <v>238</v>
      </c>
      <c r="HV3573" s="5" t="s">
        <v>238</v>
      </c>
      <c r="HW3573" s="5" t="s">
        <v>238</v>
      </c>
      <c r="HX3573" s="5" t="s">
        <v>238</v>
      </c>
      <c r="HY3573" s="5" t="s">
        <v>238</v>
      </c>
      <c r="HZ3573" s="5" t="s">
        <v>238</v>
      </c>
      <c r="IA3573" s="5" t="s">
        <v>238</v>
      </c>
      <c r="IB3573" s="5" t="s">
        <v>238</v>
      </c>
      <c r="IC3573" s="5" t="s">
        <v>238</v>
      </c>
      <c r="ID3573" s="5" t="s">
        <v>238</v>
      </c>
    </row>
    <row r="3574" spans="1:238" x14ac:dyDescent="0.4">
      <c r="A3574" s="5">
        <v>9292</v>
      </c>
      <c r="B3574" s="5">
        <v>1</v>
      </c>
      <c r="C3574" s="5">
        <v>1</v>
      </c>
      <c r="D3574" s="5" t="s">
        <v>484</v>
      </c>
      <c r="E3574" s="5" t="s">
        <v>485</v>
      </c>
      <c r="F3574" s="5" t="s">
        <v>248</v>
      </c>
      <c r="G3574" s="5" t="s">
        <v>4891</v>
      </c>
      <c r="H3574" s="6" t="s">
        <v>4893</v>
      </c>
      <c r="I3574" s="8">
        <f>1</f>
        <v>1</v>
      </c>
      <c r="J3574" s="5" t="s">
        <v>499</v>
      </c>
      <c r="K3574" s="8">
        <f>1</f>
        <v>1</v>
      </c>
      <c r="L3574" s="6" t="s">
        <v>242</v>
      </c>
      <c r="M3574" s="5" t="s">
        <v>267</v>
      </c>
      <c r="N3574" s="5" t="s">
        <v>482</v>
      </c>
      <c r="O3574" s="5" t="s">
        <v>238</v>
      </c>
      <c r="P3574" s="5" t="s">
        <v>238</v>
      </c>
      <c r="Q3574" s="5" t="s">
        <v>239</v>
      </c>
      <c r="R3574" s="5" t="s">
        <v>270</v>
      </c>
      <c r="S3574" s="5" t="s">
        <v>238</v>
      </c>
      <c r="T3574" s="5" t="s">
        <v>238</v>
      </c>
      <c r="U3574" s="5" t="s">
        <v>238</v>
      </c>
      <c r="V3574" s="5" t="s">
        <v>238</v>
      </c>
      <c r="W3574" s="6" t="s">
        <v>238</v>
      </c>
      <c r="X3574" s="6" t="s">
        <v>238</v>
      </c>
      <c r="Y3574" s="5" t="s">
        <v>238</v>
      </c>
      <c r="Z3574" s="6" t="s">
        <v>238</v>
      </c>
      <c r="AA3574" s="6" t="s">
        <v>243</v>
      </c>
      <c r="AB3574" s="5" t="s">
        <v>4892</v>
      </c>
      <c r="AC3574" s="5" t="s">
        <v>244</v>
      </c>
      <c r="AD3574" s="5" t="s">
        <v>245</v>
      </c>
      <c r="AE3574" s="5" t="s">
        <v>238</v>
      </c>
      <c r="AF3574" s="5" t="s">
        <v>238</v>
      </c>
      <c r="AG3574" s="5" t="s">
        <v>238</v>
      </c>
      <c r="AH3574" s="5" t="s">
        <v>238</v>
      </c>
      <c r="AI3574" s="5" t="s">
        <v>238</v>
      </c>
      <c r="AJ3574" s="5" t="s">
        <v>238</v>
      </c>
      <c r="AK3574" s="5" t="s">
        <v>238</v>
      </c>
      <c r="AL3574" s="5" t="s">
        <v>238</v>
      </c>
      <c r="AM3574" s="6" t="s">
        <v>238</v>
      </c>
      <c r="AN3574" s="6" t="s">
        <v>238</v>
      </c>
      <c r="AO3574" s="6" t="s">
        <v>238</v>
      </c>
      <c r="AP3574" s="6" t="s">
        <v>238</v>
      </c>
      <c r="AQ3574" s="5" t="s">
        <v>238</v>
      </c>
      <c r="AR3574" s="5" t="s">
        <v>488</v>
      </c>
      <c r="AS3574" s="5" t="s">
        <v>488</v>
      </c>
      <c r="AT3574" s="5" t="s">
        <v>246</v>
      </c>
      <c r="AU3574" s="5" t="s">
        <v>489</v>
      </c>
      <c r="AV3574" s="5" t="s">
        <v>247</v>
      </c>
      <c r="AW3574" s="5" t="s">
        <v>238</v>
      </c>
      <c r="AX3574" s="5" t="s">
        <v>249</v>
      </c>
      <c r="AY3574" s="5" t="s">
        <v>490</v>
      </c>
      <c r="BA3574" s="5" t="s">
        <v>238</v>
      </c>
      <c r="BC3574" s="5" t="s">
        <v>491</v>
      </c>
      <c r="BD3574" s="6" t="s">
        <v>492</v>
      </c>
      <c r="BE3574" s="5" t="s">
        <v>493</v>
      </c>
      <c r="BF3574" s="5" t="s">
        <v>493</v>
      </c>
      <c r="BG3574" s="5" t="s">
        <v>238</v>
      </c>
      <c r="BH3574" s="8">
        <f>1</f>
        <v>1</v>
      </c>
      <c r="BI3574" s="8">
        <f>1</f>
        <v>1</v>
      </c>
      <c r="BJ3574" s="5" t="s">
        <v>253</v>
      </c>
      <c r="BK3574" s="5" t="s">
        <v>254</v>
      </c>
      <c r="BL3574" s="5" t="s">
        <v>238</v>
      </c>
      <c r="BM3574" s="5" t="s">
        <v>238</v>
      </c>
      <c r="BN3574" s="5" t="s">
        <v>238</v>
      </c>
      <c r="BO3574" s="5" t="s">
        <v>238</v>
      </c>
      <c r="BP3574" s="5" t="s">
        <v>238</v>
      </c>
      <c r="BQ3574" s="5" t="s">
        <v>238</v>
      </c>
      <c r="BR3574" s="5" t="s">
        <v>238</v>
      </c>
      <c r="BS3574" s="5" t="s">
        <v>238</v>
      </c>
      <c r="BT3574" s="6" t="s">
        <v>238</v>
      </c>
      <c r="BU3574" s="5" t="s">
        <v>238</v>
      </c>
      <c r="BV3574" s="5" t="s">
        <v>238</v>
      </c>
      <c r="BW3574" s="5" t="s">
        <v>238</v>
      </c>
      <c r="BX3574" s="5" t="s">
        <v>254</v>
      </c>
      <c r="BY3574" s="5" t="s">
        <v>238</v>
      </c>
      <c r="BZ3574" s="5" t="s">
        <v>238</v>
      </c>
      <c r="CA3574" s="5" t="s">
        <v>238</v>
      </c>
      <c r="CB3574" s="5" t="s">
        <v>238</v>
      </c>
      <c r="CC3574" s="5" t="s">
        <v>238</v>
      </c>
      <c r="CD3574" s="5" t="s">
        <v>273</v>
      </c>
      <c r="CE3574" s="5" t="s">
        <v>256</v>
      </c>
      <c r="CF3574" s="5" t="s">
        <v>238</v>
      </c>
      <c r="CH3574" s="5" t="s">
        <v>494</v>
      </c>
      <c r="CI3574" s="6" t="s">
        <v>257</v>
      </c>
      <c r="CJ3574" s="5" t="s">
        <v>495</v>
      </c>
      <c r="CK3574" s="5" t="s">
        <v>258</v>
      </c>
      <c r="CL3574" s="5" t="s">
        <v>496</v>
      </c>
      <c r="CM3574" s="5" t="s">
        <v>238</v>
      </c>
      <c r="CN3574" s="5">
        <v>0</v>
      </c>
      <c r="CO3574" s="5" t="s">
        <v>497</v>
      </c>
      <c r="CP3574" s="5" t="s">
        <v>260</v>
      </c>
      <c r="CQ3574" s="5" t="s">
        <v>260</v>
      </c>
      <c r="CR3574" s="5" t="s">
        <v>261</v>
      </c>
      <c r="CS3574" s="5" t="s">
        <v>498</v>
      </c>
      <c r="CT3574" s="7">
        <f>1</f>
        <v>1</v>
      </c>
      <c r="CU3574" s="8">
        <f>1</f>
        <v>1</v>
      </c>
      <c r="CV3574" s="8">
        <f>0</f>
        <v>0</v>
      </c>
      <c r="CX3574" s="8">
        <f>1</f>
        <v>1</v>
      </c>
      <c r="CY3574" s="8">
        <f>1</f>
        <v>1</v>
      </c>
      <c r="CZ3574" s="8" t="s">
        <v>238</v>
      </c>
      <c r="DA3574" s="5" t="s">
        <v>238</v>
      </c>
      <c r="DB3574" s="5" t="s">
        <v>238</v>
      </c>
      <c r="DC3574" s="5" t="s">
        <v>238</v>
      </c>
      <c r="DD3574" s="5" t="s">
        <v>238</v>
      </c>
      <c r="DE3574" s="8">
        <f>0</f>
        <v>0</v>
      </c>
      <c r="DG3574" s="5" t="s">
        <v>238</v>
      </c>
      <c r="DH3574" s="5" t="s">
        <v>238</v>
      </c>
      <c r="DI3574" s="5" t="s">
        <v>238</v>
      </c>
      <c r="DJ3574" s="5" t="s">
        <v>238</v>
      </c>
      <c r="DK3574" s="5" t="s">
        <v>238</v>
      </c>
      <c r="DL3574" s="5" t="s">
        <v>238</v>
      </c>
      <c r="DM3574" s="8" t="s">
        <v>238</v>
      </c>
      <c r="DN3574" s="5" t="s">
        <v>238</v>
      </c>
      <c r="DO3574" s="5" t="s">
        <v>238</v>
      </c>
      <c r="DP3574" s="5" t="s">
        <v>490</v>
      </c>
      <c r="DQ3574" s="5" t="s">
        <v>490</v>
      </c>
      <c r="DR3574" s="5" t="s">
        <v>238</v>
      </c>
      <c r="DS3574" s="5" t="s">
        <v>238</v>
      </c>
      <c r="DT3574" s="5" t="s">
        <v>500</v>
      </c>
      <c r="DU3574" s="5" t="s">
        <v>444</v>
      </c>
      <c r="DV3574" s="5" t="s">
        <v>238</v>
      </c>
      <c r="DW3574" s="5" t="s">
        <v>238</v>
      </c>
      <c r="DX3574" s="5" t="s">
        <v>238</v>
      </c>
      <c r="DY3574" s="5" t="s">
        <v>238</v>
      </c>
      <c r="DZ3574" s="5" t="s">
        <v>238</v>
      </c>
      <c r="EA3574" s="5" t="s">
        <v>238</v>
      </c>
      <c r="EB3574" s="5" t="s">
        <v>238</v>
      </c>
      <c r="EC3574" s="5" t="s">
        <v>238</v>
      </c>
      <c r="ED3574" s="5" t="s">
        <v>238</v>
      </c>
      <c r="EE3574" s="5" t="s">
        <v>238</v>
      </c>
      <c r="EF3574" s="5" t="s">
        <v>238</v>
      </c>
      <c r="EG3574" s="5" t="s">
        <v>238</v>
      </c>
      <c r="EH3574" s="5" t="s">
        <v>238</v>
      </c>
      <c r="EI3574" s="5" t="s">
        <v>238</v>
      </c>
      <c r="EJ3574" s="5" t="s">
        <v>238</v>
      </c>
      <c r="EK3574" s="5" t="s">
        <v>238</v>
      </c>
      <c r="EL3574" s="5" t="s">
        <v>238</v>
      </c>
      <c r="EM3574" s="5" t="s">
        <v>238</v>
      </c>
      <c r="EN3574" s="5" t="s">
        <v>238</v>
      </c>
      <c r="EO3574" s="5" t="s">
        <v>238</v>
      </c>
      <c r="EP3574" s="5" t="s">
        <v>238</v>
      </c>
      <c r="EQ3574" s="5" t="s">
        <v>238</v>
      </c>
      <c r="ER3574" s="5" t="s">
        <v>238</v>
      </c>
      <c r="ES3574" s="5" t="s">
        <v>238</v>
      </c>
      <c r="ET3574" s="5" t="s">
        <v>238</v>
      </c>
      <c r="EU3574" s="5" t="s">
        <v>238</v>
      </c>
      <c r="EV3574" s="5" t="s">
        <v>238</v>
      </c>
      <c r="EW3574" s="5" t="s">
        <v>238</v>
      </c>
      <c r="EX3574" s="5" t="s">
        <v>238</v>
      </c>
      <c r="EY3574" s="5" t="s">
        <v>238</v>
      </c>
      <c r="EZ3574" s="5" t="s">
        <v>238</v>
      </c>
      <c r="FA3574" s="5" t="s">
        <v>238</v>
      </c>
      <c r="FB3574" s="5" t="s">
        <v>238</v>
      </c>
      <c r="FC3574" s="5" t="s">
        <v>238</v>
      </c>
      <c r="FD3574" s="5" t="s">
        <v>238</v>
      </c>
      <c r="FE3574" s="5" t="s">
        <v>238</v>
      </c>
      <c r="FF3574" s="5" t="s">
        <v>238</v>
      </c>
      <c r="FG3574" s="5" t="s">
        <v>238</v>
      </c>
      <c r="FH3574" s="5" t="s">
        <v>238</v>
      </c>
      <c r="FI3574" s="5" t="s">
        <v>238</v>
      </c>
      <c r="FJ3574" s="5" t="s">
        <v>238</v>
      </c>
      <c r="FK3574" s="5" t="s">
        <v>238</v>
      </c>
      <c r="FL3574" s="5" t="s">
        <v>238</v>
      </c>
      <c r="FM3574" s="5" t="s">
        <v>238</v>
      </c>
      <c r="FN3574" s="5" t="s">
        <v>238</v>
      </c>
      <c r="FO3574" s="5" t="s">
        <v>238</v>
      </c>
      <c r="FP3574" s="5" t="s">
        <v>238</v>
      </c>
      <c r="FQ3574" s="5" t="s">
        <v>238</v>
      </c>
      <c r="FR3574" s="5" t="s">
        <v>238</v>
      </c>
      <c r="FS3574" s="5" t="s">
        <v>238</v>
      </c>
      <c r="FT3574" s="5" t="s">
        <v>238</v>
      </c>
      <c r="FU3574" s="5" t="s">
        <v>238</v>
      </c>
      <c r="FV3574" s="5" t="s">
        <v>238</v>
      </c>
      <c r="FW3574" s="5" t="s">
        <v>238</v>
      </c>
      <c r="FX3574" s="5" t="s">
        <v>238</v>
      </c>
      <c r="FY3574" s="5" t="s">
        <v>238</v>
      </c>
      <c r="FZ3574" s="5" t="s">
        <v>238</v>
      </c>
      <c r="GA3574" s="5" t="s">
        <v>238</v>
      </c>
      <c r="GB3574" s="5" t="s">
        <v>238</v>
      </c>
      <c r="GC3574" s="5" t="s">
        <v>238</v>
      </c>
      <c r="GD3574" s="5" t="s">
        <v>238</v>
      </c>
      <c r="GE3574" s="5" t="s">
        <v>238</v>
      </c>
      <c r="GF3574" s="5" t="s">
        <v>238</v>
      </c>
      <c r="GG3574" s="5" t="s">
        <v>238</v>
      </c>
      <c r="GH3574" s="5" t="s">
        <v>238</v>
      </c>
      <c r="GI3574" s="5" t="s">
        <v>238</v>
      </c>
      <c r="GJ3574" s="5" t="s">
        <v>238</v>
      </c>
      <c r="GK3574" s="5" t="s">
        <v>238</v>
      </c>
      <c r="GL3574" s="5" t="s">
        <v>238</v>
      </c>
      <c r="GM3574" s="5" t="s">
        <v>238</v>
      </c>
      <c r="GN3574" s="5" t="s">
        <v>238</v>
      </c>
      <c r="GO3574" s="5" t="s">
        <v>238</v>
      </c>
      <c r="GP3574" s="5" t="s">
        <v>238</v>
      </c>
      <c r="GQ3574" s="5" t="s">
        <v>238</v>
      </c>
      <c r="GR3574" s="5" t="s">
        <v>238</v>
      </c>
      <c r="GS3574" s="5" t="s">
        <v>238</v>
      </c>
      <c r="GT3574" s="5" t="s">
        <v>238</v>
      </c>
      <c r="GU3574" s="5" t="s">
        <v>238</v>
      </c>
      <c r="GV3574" s="5" t="s">
        <v>238</v>
      </c>
      <c r="GW3574" s="5" t="s">
        <v>238</v>
      </c>
      <c r="GX3574" s="5" t="s">
        <v>238</v>
      </c>
      <c r="GY3574" s="5" t="s">
        <v>238</v>
      </c>
      <c r="GZ3574" s="5" t="s">
        <v>238</v>
      </c>
      <c r="HA3574" s="5" t="s">
        <v>238</v>
      </c>
      <c r="HB3574" s="5" t="s">
        <v>238</v>
      </c>
      <c r="HC3574" s="5" t="s">
        <v>238</v>
      </c>
      <c r="HD3574" s="5" t="s">
        <v>238</v>
      </c>
      <c r="HE3574" s="5" t="s">
        <v>238</v>
      </c>
      <c r="HF3574" s="5" t="s">
        <v>238</v>
      </c>
      <c r="HG3574" s="5" t="s">
        <v>238</v>
      </c>
      <c r="HH3574" s="5" t="s">
        <v>238</v>
      </c>
      <c r="HI3574" s="5" t="s">
        <v>238</v>
      </c>
      <c r="HJ3574" s="5" t="s">
        <v>238</v>
      </c>
      <c r="HK3574" s="5" t="s">
        <v>238</v>
      </c>
      <c r="HL3574" s="5" t="s">
        <v>238</v>
      </c>
      <c r="HM3574" s="5" t="s">
        <v>264</v>
      </c>
      <c r="HN3574" s="5" t="s">
        <v>238</v>
      </c>
      <c r="HO3574" s="5" t="s">
        <v>238</v>
      </c>
      <c r="HP3574" s="5" t="s">
        <v>238</v>
      </c>
      <c r="HQ3574" s="5" t="s">
        <v>238</v>
      </c>
      <c r="HR3574" s="5" t="s">
        <v>238</v>
      </c>
      <c r="HS3574" s="5" t="s">
        <v>238</v>
      </c>
      <c r="HT3574" s="5" t="s">
        <v>238</v>
      </c>
      <c r="HU3574" s="5" t="s">
        <v>238</v>
      </c>
      <c r="HV3574" s="5" t="s">
        <v>238</v>
      </c>
      <c r="HW3574" s="5" t="s">
        <v>238</v>
      </c>
      <c r="HX3574" s="5" t="s">
        <v>238</v>
      </c>
      <c r="HY3574" s="5" t="s">
        <v>238</v>
      </c>
      <c r="HZ3574" s="5" t="s">
        <v>238</v>
      </c>
      <c r="IA3574" s="5" t="s">
        <v>238</v>
      </c>
      <c r="IB3574" s="5" t="s">
        <v>238</v>
      </c>
      <c r="IC3574" s="5" t="s">
        <v>238</v>
      </c>
      <c r="ID3574" s="5" t="s">
        <v>238</v>
      </c>
    </row>
    <row r="3575" spans="1:238" x14ac:dyDescent="0.4">
      <c r="A3575" s="5">
        <v>9293</v>
      </c>
      <c r="B3575" s="5">
        <v>1</v>
      </c>
      <c r="C3575" s="5">
        <v>1</v>
      </c>
      <c r="D3575" s="5" t="s">
        <v>484</v>
      </c>
      <c r="E3575" s="5" t="s">
        <v>485</v>
      </c>
      <c r="F3575" s="5" t="s">
        <v>248</v>
      </c>
      <c r="G3575" s="5" t="s">
        <v>4440</v>
      </c>
      <c r="H3575" s="6" t="s">
        <v>4441</v>
      </c>
      <c r="I3575" s="8">
        <f>1</f>
        <v>1</v>
      </c>
      <c r="J3575" s="5" t="s">
        <v>499</v>
      </c>
      <c r="K3575" s="8">
        <f>1</f>
        <v>1</v>
      </c>
      <c r="L3575" s="6" t="s">
        <v>242</v>
      </c>
      <c r="M3575" s="5" t="s">
        <v>267</v>
      </c>
      <c r="N3575" s="5" t="s">
        <v>482</v>
      </c>
      <c r="O3575" s="5" t="s">
        <v>238</v>
      </c>
      <c r="P3575" s="5" t="s">
        <v>238</v>
      </c>
      <c r="Q3575" s="5" t="s">
        <v>239</v>
      </c>
      <c r="R3575" s="5" t="s">
        <v>270</v>
      </c>
      <c r="S3575" s="5" t="s">
        <v>238</v>
      </c>
      <c r="T3575" s="5" t="s">
        <v>238</v>
      </c>
      <c r="U3575" s="5" t="s">
        <v>238</v>
      </c>
      <c r="V3575" s="5" t="s">
        <v>238</v>
      </c>
      <c r="W3575" s="6" t="s">
        <v>238</v>
      </c>
      <c r="X3575" s="6" t="s">
        <v>238</v>
      </c>
      <c r="Y3575" s="5" t="s">
        <v>238</v>
      </c>
      <c r="Z3575" s="6" t="s">
        <v>238</v>
      </c>
      <c r="AA3575" s="6" t="s">
        <v>243</v>
      </c>
      <c r="AB3575" s="5" t="s">
        <v>486</v>
      </c>
      <c r="AC3575" s="5" t="s">
        <v>244</v>
      </c>
      <c r="AD3575" s="5" t="s">
        <v>245</v>
      </c>
      <c r="AE3575" s="5" t="s">
        <v>238</v>
      </c>
      <c r="AF3575" s="5" t="s">
        <v>238</v>
      </c>
      <c r="AG3575" s="5" t="s">
        <v>238</v>
      </c>
      <c r="AH3575" s="5" t="s">
        <v>238</v>
      </c>
      <c r="AI3575" s="5" t="s">
        <v>238</v>
      </c>
      <c r="AJ3575" s="5" t="s">
        <v>238</v>
      </c>
      <c r="AK3575" s="5" t="s">
        <v>238</v>
      </c>
      <c r="AL3575" s="5" t="s">
        <v>238</v>
      </c>
      <c r="AM3575" s="6" t="s">
        <v>238</v>
      </c>
      <c r="AN3575" s="6" t="s">
        <v>238</v>
      </c>
      <c r="AO3575" s="6" t="s">
        <v>238</v>
      </c>
      <c r="AP3575" s="6" t="s">
        <v>238</v>
      </c>
      <c r="AQ3575" s="5" t="s">
        <v>238</v>
      </c>
      <c r="AR3575" s="5" t="s">
        <v>488</v>
      </c>
      <c r="AS3575" s="5" t="s">
        <v>488</v>
      </c>
      <c r="AT3575" s="5" t="s">
        <v>246</v>
      </c>
      <c r="AU3575" s="5" t="s">
        <v>489</v>
      </c>
      <c r="AV3575" s="5" t="s">
        <v>247</v>
      </c>
      <c r="AW3575" s="5" t="s">
        <v>238</v>
      </c>
      <c r="AX3575" s="5" t="s">
        <v>249</v>
      </c>
      <c r="AY3575" s="5" t="s">
        <v>490</v>
      </c>
      <c r="BA3575" s="5" t="s">
        <v>238</v>
      </c>
      <c r="BC3575" s="5" t="s">
        <v>491</v>
      </c>
      <c r="BD3575" s="6" t="s">
        <v>492</v>
      </c>
      <c r="BE3575" s="5" t="s">
        <v>493</v>
      </c>
      <c r="BF3575" s="5" t="s">
        <v>493</v>
      </c>
      <c r="BG3575" s="5" t="s">
        <v>238</v>
      </c>
      <c r="BH3575" s="8">
        <f>1</f>
        <v>1</v>
      </c>
      <c r="BI3575" s="8">
        <f>1</f>
        <v>1</v>
      </c>
      <c r="BJ3575" s="5" t="s">
        <v>253</v>
      </c>
      <c r="BK3575" s="5" t="s">
        <v>254</v>
      </c>
      <c r="BL3575" s="5" t="s">
        <v>238</v>
      </c>
      <c r="BM3575" s="5" t="s">
        <v>238</v>
      </c>
      <c r="BN3575" s="5" t="s">
        <v>238</v>
      </c>
      <c r="BO3575" s="5" t="s">
        <v>238</v>
      </c>
      <c r="BP3575" s="5" t="s">
        <v>238</v>
      </c>
      <c r="BQ3575" s="5" t="s">
        <v>238</v>
      </c>
      <c r="BR3575" s="5" t="s">
        <v>238</v>
      </c>
      <c r="BS3575" s="5" t="s">
        <v>238</v>
      </c>
      <c r="BT3575" s="6" t="s">
        <v>238</v>
      </c>
      <c r="BU3575" s="5" t="s">
        <v>238</v>
      </c>
      <c r="BV3575" s="5" t="s">
        <v>238</v>
      </c>
      <c r="BW3575" s="5" t="s">
        <v>238</v>
      </c>
      <c r="BX3575" s="5" t="s">
        <v>254</v>
      </c>
      <c r="BY3575" s="5" t="s">
        <v>238</v>
      </c>
      <c r="BZ3575" s="5" t="s">
        <v>238</v>
      </c>
      <c r="CA3575" s="5" t="s">
        <v>238</v>
      </c>
      <c r="CB3575" s="5" t="s">
        <v>238</v>
      </c>
      <c r="CC3575" s="5" t="s">
        <v>238</v>
      </c>
      <c r="CD3575" s="5" t="s">
        <v>273</v>
      </c>
      <c r="CE3575" s="5" t="s">
        <v>256</v>
      </c>
      <c r="CF3575" s="5" t="s">
        <v>238</v>
      </c>
      <c r="CH3575" s="5" t="s">
        <v>494</v>
      </c>
      <c r="CI3575" s="6" t="s">
        <v>257</v>
      </c>
      <c r="CJ3575" s="5" t="s">
        <v>495</v>
      </c>
      <c r="CK3575" s="5" t="s">
        <v>258</v>
      </c>
      <c r="CL3575" s="5" t="s">
        <v>496</v>
      </c>
      <c r="CM3575" s="5" t="s">
        <v>238</v>
      </c>
      <c r="CN3575" s="5">
        <v>0</v>
      </c>
      <c r="CO3575" s="5" t="s">
        <v>497</v>
      </c>
      <c r="CP3575" s="5" t="s">
        <v>260</v>
      </c>
      <c r="CQ3575" s="5" t="s">
        <v>260</v>
      </c>
      <c r="CR3575" s="5" t="s">
        <v>261</v>
      </c>
      <c r="CS3575" s="5" t="s">
        <v>498</v>
      </c>
      <c r="CT3575" s="7">
        <f>1</f>
        <v>1</v>
      </c>
      <c r="CU3575" s="8">
        <f>1</f>
        <v>1</v>
      </c>
      <c r="CV3575" s="8">
        <f>0</f>
        <v>0</v>
      </c>
      <c r="CX3575" s="8">
        <f>1</f>
        <v>1</v>
      </c>
      <c r="CY3575" s="8">
        <f>1</f>
        <v>1</v>
      </c>
      <c r="CZ3575" s="8" t="s">
        <v>238</v>
      </c>
      <c r="DA3575" s="5" t="s">
        <v>238</v>
      </c>
      <c r="DB3575" s="5" t="s">
        <v>238</v>
      </c>
      <c r="DC3575" s="5" t="s">
        <v>238</v>
      </c>
      <c r="DD3575" s="5" t="s">
        <v>238</v>
      </c>
      <c r="DE3575" s="8">
        <f>0</f>
        <v>0</v>
      </c>
      <c r="DG3575" s="5" t="s">
        <v>238</v>
      </c>
      <c r="DH3575" s="5" t="s">
        <v>238</v>
      </c>
      <c r="DI3575" s="5" t="s">
        <v>238</v>
      </c>
      <c r="DJ3575" s="5" t="s">
        <v>238</v>
      </c>
      <c r="DK3575" s="5" t="s">
        <v>238</v>
      </c>
      <c r="DL3575" s="5" t="s">
        <v>238</v>
      </c>
      <c r="DM3575" s="8" t="s">
        <v>238</v>
      </c>
      <c r="DN3575" s="5" t="s">
        <v>238</v>
      </c>
      <c r="DO3575" s="5" t="s">
        <v>238</v>
      </c>
      <c r="DP3575" s="5" t="s">
        <v>490</v>
      </c>
      <c r="DQ3575" s="5" t="s">
        <v>490</v>
      </c>
      <c r="DR3575" s="5" t="s">
        <v>238</v>
      </c>
      <c r="DS3575" s="5" t="s">
        <v>238</v>
      </c>
      <c r="DT3575" s="5" t="s">
        <v>500</v>
      </c>
      <c r="DU3575" s="5" t="s">
        <v>432</v>
      </c>
      <c r="DV3575" s="5" t="s">
        <v>238</v>
      </c>
      <c r="DW3575" s="5" t="s">
        <v>238</v>
      </c>
      <c r="DX3575" s="5" t="s">
        <v>238</v>
      </c>
      <c r="DY3575" s="5" t="s">
        <v>238</v>
      </c>
      <c r="DZ3575" s="5" t="s">
        <v>238</v>
      </c>
      <c r="EA3575" s="5" t="s">
        <v>238</v>
      </c>
      <c r="EB3575" s="5" t="s">
        <v>238</v>
      </c>
      <c r="EC3575" s="5" t="s">
        <v>238</v>
      </c>
      <c r="ED3575" s="5" t="s">
        <v>238</v>
      </c>
      <c r="EE3575" s="5" t="s">
        <v>238</v>
      </c>
      <c r="EF3575" s="5" t="s">
        <v>238</v>
      </c>
      <c r="EG3575" s="5" t="s">
        <v>238</v>
      </c>
      <c r="EH3575" s="5" t="s">
        <v>238</v>
      </c>
      <c r="EI3575" s="5" t="s">
        <v>238</v>
      </c>
      <c r="EJ3575" s="5" t="s">
        <v>238</v>
      </c>
      <c r="EK3575" s="5" t="s">
        <v>238</v>
      </c>
      <c r="EL3575" s="5" t="s">
        <v>238</v>
      </c>
      <c r="EM3575" s="5" t="s">
        <v>238</v>
      </c>
      <c r="EN3575" s="5" t="s">
        <v>238</v>
      </c>
      <c r="EO3575" s="5" t="s">
        <v>238</v>
      </c>
      <c r="EP3575" s="5" t="s">
        <v>238</v>
      </c>
      <c r="EQ3575" s="5" t="s">
        <v>238</v>
      </c>
      <c r="ER3575" s="5" t="s">
        <v>238</v>
      </c>
      <c r="ES3575" s="5" t="s">
        <v>238</v>
      </c>
      <c r="ET3575" s="5" t="s">
        <v>238</v>
      </c>
      <c r="EU3575" s="5" t="s">
        <v>238</v>
      </c>
      <c r="EV3575" s="5" t="s">
        <v>238</v>
      </c>
      <c r="EW3575" s="5" t="s">
        <v>238</v>
      </c>
      <c r="EX3575" s="5" t="s">
        <v>238</v>
      </c>
      <c r="EY3575" s="5" t="s">
        <v>238</v>
      </c>
      <c r="EZ3575" s="5" t="s">
        <v>238</v>
      </c>
      <c r="FA3575" s="5" t="s">
        <v>238</v>
      </c>
      <c r="FB3575" s="5" t="s">
        <v>238</v>
      </c>
      <c r="FC3575" s="5" t="s">
        <v>238</v>
      </c>
      <c r="FD3575" s="5" t="s">
        <v>238</v>
      </c>
      <c r="FE3575" s="5" t="s">
        <v>238</v>
      </c>
      <c r="FF3575" s="5" t="s">
        <v>238</v>
      </c>
      <c r="FG3575" s="5" t="s">
        <v>238</v>
      </c>
      <c r="FH3575" s="5" t="s">
        <v>238</v>
      </c>
      <c r="FI3575" s="5" t="s">
        <v>238</v>
      </c>
      <c r="FJ3575" s="5" t="s">
        <v>238</v>
      </c>
      <c r="FK3575" s="5" t="s">
        <v>238</v>
      </c>
      <c r="FL3575" s="5" t="s">
        <v>238</v>
      </c>
      <c r="FM3575" s="5" t="s">
        <v>238</v>
      </c>
      <c r="FN3575" s="5" t="s">
        <v>238</v>
      </c>
      <c r="FO3575" s="5" t="s">
        <v>238</v>
      </c>
      <c r="FP3575" s="5" t="s">
        <v>238</v>
      </c>
      <c r="FQ3575" s="5" t="s">
        <v>238</v>
      </c>
      <c r="FR3575" s="5" t="s">
        <v>238</v>
      </c>
      <c r="FS3575" s="5" t="s">
        <v>238</v>
      </c>
      <c r="FT3575" s="5" t="s">
        <v>238</v>
      </c>
      <c r="FU3575" s="5" t="s">
        <v>238</v>
      </c>
      <c r="FV3575" s="5" t="s">
        <v>238</v>
      </c>
      <c r="FW3575" s="5" t="s">
        <v>238</v>
      </c>
      <c r="FX3575" s="5" t="s">
        <v>238</v>
      </c>
      <c r="FY3575" s="5" t="s">
        <v>238</v>
      </c>
      <c r="FZ3575" s="5" t="s">
        <v>238</v>
      </c>
      <c r="GA3575" s="5" t="s">
        <v>238</v>
      </c>
      <c r="GB3575" s="5" t="s">
        <v>238</v>
      </c>
      <c r="GC3575" s="5" t="s">
        <v>238</v>
      </c>
      <c r="GD3575" s="5" t="s">
        <v>238</v>
      </c>
      <c r="GE3575" s="5" t="s">
        <v>238</v>
      </c>
      <c r="GF3575" s="5" t="s">
        <v>238</v>
      </c>
      <c r="GG3575" s="5" t="s">
        <v>238</v>
      </c>
      <c r="GH3575" s="5" t="s">
        <v>238</v>
      </c>
      <c r="GI3575" s="5" t="s">
        <v>238</v>
      </c>
      <c r="GJ3575" s="5" t="s">
        <v>238</v>
      </c>
      <c r="GK3575" s="5" t="s">
        <v>238</v>
      </c>
      <c r="GL3575" s="5" t="s">
        <v>238</v>
      </c>
      <c r="GM3575" s="5" t="s">
        <v>238</v>
      </c>
      <c r="GN3575" s="5" t="s">
        <v>238</v>
      </c>
      <c r="GO3575" s="5" t="s">
        <v>238</v>
      </c>
      <c r="GP3575" s="5" t="s">
        <v>238</v>
      </c>
      <c r="GQ3575" s="5" t="s">
        <v>238</v>
      </c>
      <c r="GR3575" s="5" t="s">
        <v>238</v>
      </c>
      <c r="GS3575" s="5" t="s">
        <v>238</v>
      </c>
      <c r="GT3575" s="5" t="s">
        <v>238</v>
      </c>
      <c r="GU3575" s="5" t="s">
        <v>238</v>
      </c>
      <c r="GV3575" s="5" t="s">
        <v>238</v>
      </c>
      <c r="GW3575" s="5" t="s">
        <v>238</v>
      </c>
      <c r="GX3575" s="5" t="s">
        <v>238</v>
      </c>
      <c r="GY3575" s="5" t="s">
        <v>238</v>
      </c>
      <c r="GZ3575" s="5" t="s">
        <v>238</v>
      </c>
      <c r="HA3575" s="5" t="s">
        <v>238</v>
      </c>
      <c r="HB3575" s="5" t="s">
        <v>238</v>
      </c>
      <c r="HC3575" s="5" t="s">
        <v>238</v>
      </c>
      <c r="HD3575" s="5" t="s">
        <v>238</v>
      </c>
      <c r="HE3575" s="5" t="s">
        <v>238</v>
      </c>
      <c r="HF3575" s="5" t="s">
        <v>238</v>
      </c>
      <c r="HG3575" s="5" t="s">
        <v>238</v>
      </c>
      <c r="HH3575" s="5" t="s">
        <v>238</v>
      </c>
      <c r="HI3575" s="5" t="s">
        <v>238</v>
      </c>
      <c r="HJ3575" s="5" t="s">
        <v>238</v>
      </c>
      <c r="HK3575" s="5" t="s">
        <v>238</v>
      </c>
      <c r="HL3575" s="5" t="s">
        <v>238</v>
      </c>
      <c r="HM3575" s="5" t="s">
        <v>264</v>
      </c>
      <c r="HN3575" s="5" t="s">
        <v>238</v>
      </c>
      <c r="HO3575" s="5" t="s">
        <v>238</v>
      </c>
      <c r="HP3575" s="5" t="s">
        <v>238</v>
      </c>
      <c r="HQ3575" s="5" t="s">
        <v>238</v>
      </c>
      <c r="HR3575" s="5" t="s">
        <v>238</v>
      </c>
      <c r="HS3575" s="5" t="s">
        <v>238</v>
      </c>
      <c r="HT3575" s="5" t="s">
        <v>238</v>
      </c>
      <c r="HU3575" s="5" t="s">
        <v>238</v>
      </c>
      <c r="HV3575" s="5" t="s">
        <v>238</v>
      </c>
      <c r="HW3575" s="5" t="s">
        <v>238</v>
      </c>
      <c r="HX3575" s="5" t="s">
        <v>238</v>
      </c>
      <c r="HY3575" s="5" t="s">
        <v>238</v>
      </c>
      <c r="HZ3575" s="5" t="s">
        <v>238</v>
      </c>
      <c r="IA3575" s="5" t="s">
        <v>238</v>
      </c>
      <c r="IB3575" s="5" t="s">
        <v>238</v>
      </c>
      <c r="IC3575" s="5" t="s">
        <v>238</v>
      </c>
      <c r="ID3575" s="5" t="s">
        <v>238</v>
      </c>
    </row>
    <row r="3576" spans="1:238" x14ac:dyDescent="0.4">
      <c r="A3576" s="5">
        <v>9294</v>
      </c>
      <c r="B3576" s="5">
        <v>1</v>
      </c>
      <c r="C3576" s="5">
        <v>1</v>
      </c>
      <c r="D3576" s="5" t="s">
        <v>484</v>
      </c>
      <c r="E3576" s="5" t="s">
        <v>485</v>
      </c>
      <c r="F3576" s="5" t="s">
        <v>248</v>
      </c>
      <c r="G3576" s="5" t="s">
        <v>4621</v>
      </c>
      <c r="H3576" s="6" t="s">
        <v>4623</v>
      </c>
      <c r="I3576" s="8">
        <f>1</f>
        <v>1</v>
      </c>
      <c r="J3576" s="5" t="s">
        <v>499</v>
      </c>
      <c r="K3576" s="8">
        <f>1</f>
        <v>1</v>
      </c>
      <c r="L3576" s="6" t="s">
        <v>242</v>
      </c>
      <c r="M3576" s="5" t="s">
        <v>267</v>
      </c>
      <c r="N3576" s="5" t="s">
        <v>482</v>
      </c>
      <c r="O3576" s="5" t="s">
        <v>238</v>
      </c>
      <c r="P3576" s="5" t="s">
        <v>238</v>
      </c>
      <c r="Q3576" s="5" t="s">
        <v>239</v>
      </c>
      <c r="R3576" s="5" t="s">
        <v>270</v>
      </c>
      <c r="S3576" s="5" t="s">
        <v>238</v>
      </c>
      <c r="T3576" s="5" t="s">
        <v>238</v>
      </c>
      <c r="U3576" s="5" t="s">
        <v>238</v>
      </c>
      <c r="V3576" s="5" t="s">
        <v>238</v>
      </c>
      <c r="W3576" s="6" t="s">
        <v>238</v>
      </c>
      <c r="X3576" s="6" t="s">
        <v>238</v>
      </c>
      <c r="Y3576" s="5" t="s">
        <v>238</v>
      </c>
      <c r="Z3576" s="6" t="s">
        <v>238</v>
      </c>
      <c r="AA3576" s="6" t="s">
        <v>243</v>
      </c>
      <c r="AB3576" s="5" t="s">
        <v>4622</v>
      </c>
      <c r="AC3576" s="5" t="s">
        <v>244</v>
      </c>
      <c r="AD3576" s="5" t="s">
        <v>245</v>
      </c>
      <c r="AE3576" s="5" t="s">
        <v>238</v>
      </c>
      <c r="AF3576" s="5" t="s">
        <v>238</v>
      </c>
      <c r="AG3576" s="5" t="s">
        <v>238</v>
      </c>
      <c r="AH3576" s="5" t="s">
        <v>238</v>
      </c>
      <c r="AI3576" s="5" t="s">
        <v>238</v>
      </c>
      <c r="AJ3576" s="5" t="s">
        <v>238</v>
      </c>
      <c r="AK3576" s="5" t="s">
        <v>238</v>
      </c>
      <c r="AL3576" s="5" t="s">
        <v>238</v>
      </c>
      <c r="AM3576" s="6" t="s">
        <v>238</v>
      </c>
      <c r="AN3576" s="6" t="s">
        <v>238</v>
      </c>
      <c r="AO3576" s="6" t="s">
        <v>238</v>
      </c>
      <c r="AP3576" s="6" t="s">
        <v>238</v>
      </c>
      <c r="AQ3576" s="5" t="s">
        <v>238</v>
      </c>
      <c r="AR3576" s="5" t="s">
        <v>488</v>
      </c>
      <c r="AS3576" s="5" t="s">
        <v>488</v>
      </c>
      <c r="AT3576" s="5" t="s">
        <v>246</v>
      </c>
      <c r="AU3576" s="5" t="s">
        <v>489</v>
      </c>
      <c r="AV3576" s="5" t="s">
        <v>247</v>
      </c>
      <c r="AW3576" s="5" t="s">
        <v>238</v>
      </c>
      <c r="AX3576" s="5" t="s">
        <v>249</v>
      </c>
      <c r="AY3576" s="5" t="s">
        <v>490</v>
      </c>
      <c r="BA3576" s="5" t="s">
        <v>238</v>
      </c>
      <c r="BC3576" s="5" t="s">
        <v>491</v>
      </c>
      <c r="BD3576" s="6" t="s">
        <v>492</v>
      </c>
      <c r="BE3576" s="5" t="s">
        <v>493</v>
      </c>
      <c r="BF3576" s="5" t="s">
        <v>493</v>
      </c>
      <c r="BG3576" s="5" t="s">
        <v>238</v>
      </c>
      <c r="BH3576" s="8">
        <f>1</f>
        <v>1</v>
      </c>
      <c r="BI3576" s="8">
        <f>1</f>
        <v>1</v>
      </c>
      <c r="BJ3576" s="5" t="s">
        <v>253</v>
      </c>
      <c r="BK3576" s="5" t="s">
        <v>254</v>
      </c>
      <c r="BL3576" s="5" t="s">
        <v>238</v>
      </c>
      <c r="BM3576" s="5" t="s">
        <v>238</v>
      </c>
      <c r="BN3576" s="5" t="s">
        <v>238</v>
      </c>
      <c r="BO3576" s="5" t="s">
        <v>238</v>
      </c>
      <c r="BP3576" s="5" t="s">
        <v>238</v>
      </c>
      <c r="BQ3576" s="5" t="s">
        <v>238</v>
      </c>
      <c r="BR3576" s="5" t="s">
        <v>238</v>
      </c>
      <c r="BS3576" s="5" t="s">
        <v>238</v>
      </c>
      <c r="BT3576" s="6" t="s">
        <v>238</v>
      </c>
      <c r="BU3576" s="5" t="s">
        <v>238</v>
      </c>
      <c r="BV3576" s="5" t="s">
        <v>238</v>
      </c>
      <c r="BW3576" s="5" t="s">
        <v>238</v>
      </c>
      <c r="BX3576" s="5" t="s">
        <v>254</v>
      </c>
      <c r="BY3576" s="5" t="s">
        <v>238</v>
      </c>
      <c r="BZ3576" s="5" t="s">
        <v>238</v>
      </c>
      <c r="CA3576" s="5" t="s">
        <v>238</v>
      </c>
      <c r="CB3576" s="5" t="s">
        <v>238</v>
      </c>
      <c r="CC3576" s="5" t="s">
        <v>238</v>
      </c>
      <c r="CD3576" s="5" t="s">
        <v>273</v>
      </c>
      <c r="CE3576" s="5" t="s">
        <v>256</v>
      </c>
      <c r="CF3576" s="5" t="s">
        <v>238</v>
      </c>
      <c r="CH3576" s="5" t="s">
        <v>494</v>
      </c>
      <c r="CI3576" s="6" t="s">
        <v>257</v>
      </c>
      <c r="CJ3576" s="5" t="s">
        <v>495</v>
      </c>
      <c r="CK3576" s="5" t="s">
        <v>258</v>
      </c>
      <c r="CL3576" s="5" t="s">
        <v>496</v>
      </c>
      <c r="CM3576" s="5" t="s">
        <v>238</v>
      </c>
      <c r="CN3576" s="5">
        <v>0</v>
      </c>
      <c r="CO3576" s="5" t="s">
        <v>497</v>
      </c>
      <c r="CP3576" s="5" t="s">
        <v>260</v>
      </c>
      <c r="CQ3576" s="5" t="s">
        <v>260</v>
      </c>
      <c r="CR3576" s="5" t="s">
        <v>261</v>
      </c>
      <c r="CS3576" s="5" t="s">
        <v>498</v>
      </c>
      <c r="CT3576" s="7">
        <f>1</f>
        <v>1</v>
      </c>
      <c r="CU3576" s="8">
        <f>1</f>
        <v>1</v>
      </c>
      <c r="CV3576" s="8">
        <f>0</f>
        <v>0</v>
      </c>
      <c r="CX3576" s="8">
        <f>1</f>
        <v>1</v>
      </c>
      <c r="CY3576" s="8">
        <f>1</f>
        <v>1</v>
      </c>
      <c r="CZ3576" s="8" t="s">
        <v>238</v>
      </c>
      <c r="DA3576" s="5" t="s">
        <v>238</v>
      </c>
      <c r="DB3576" s="5" t="s">
        <v>238</v>
      </c>
      <c r="DC3576" s="5" t="s">
        <v>238</v>
      </c>
      <c r="DD3576" s="5" t="s">
        <v>238</v>
      </c>
      <c r="DE3576" s="8">
        <f>0</f>
        <v>0</v>
      </c>
      <c r="DG3576" s="5" t="s">
        <v>238</v>
      </c>
      <c r="DH3576" s="5" t="s">
        <v>238</v>
      </c>
      <c r="DI3576" s="5" t="s">
        <v>238</v>
      </c>
      <c r="DJ3576" s="5" t="s">
        <v>238</v>
      </c>
      <c r="DK3576" s="5" t="s">
        <v>238</v>
      </c>
      <c r="DL3576" s="5" t="s">
        <v>238</v>
      </c>
      <c r="DM3576" s="8" t="s">
        <v>238</v>
      </c>
      <c r="DN3576" s="5" t="s">
        <v>238</v>
      </c>
      <c r="DO3576" s="5" t="s">
        <v>238</v>
      </c>
      <c r="DP3576" s="5" t="s">
        <v>490</v>
      </c>
      <c r="DQ3576" s="5" t="s">
        <v>490</v>
      </c>
      <c r="DR3576" s="5" t="s">
        <v>238</v>
      </c>
      <c r="DS3576" s="5" t="s">
        <v>238</v>
      </c>
      <c r="DT3576" s="5" t="s">
        <v>500</v>
      </c>
      <c r="DU3576" s="5" t="s">
        <v>420</v>
      </c>
      <c r="DV3576" s="5" t="s">
        <v>238</v>
      </c>
      <c r="DW3576" s="5" t="s">
        <v>238</v>
      </c>
      <c r="DX3576" s="5" t="s">
        <v>238</v>
      </c>
      <c r="DY3576" s="5" t="s">
        <v>238</v>
      </c>
      <c r="DZ3576" s="5" t="s">
        <v>238</v>
      </c>
      <c r="EA3576" s="5" t="s">
        <v>238</v>
      </c>
      <c r="EB3576" s="5" t="s">
        <v>238</v>
      </c>
      <c r="EC3576" s="5" t="s">
        <v>238</v>
      </c>
      <c r="ED3576" s="5" t="s">
        <v>238</v>
      </c>
      <c r="EE3576" s="5" t="s">
        <v>238</v>
      </c>
      <c r="EF3576" s="5" t="s">
        <v>238</v>
      </c>
      <c r="EG3576" s="5" t="s">
        <v>238</v>
      </c>
      <c r="EH3576" s="5" t="s">
        <v>238</v>
      </c>
      <c r="EI3576" s="5" t="s">
        <v>238</v>
      </c>
      <c r="EJ3576" s="5" t="s">
        <v>238</v>
      </c>
      <c r="EK3576" s="5" t="s">
        <v>238</v>
      </c>
      <c r="EL3576" s="5" t="s">
        <v>238</v>
      </c>
      <c r="EM3576" s="5" t="s">
        <v>238</v>
      </c>
      <c r="EN3576" s="5" t="s">
        <v>238</v>
      </c>
      <c r="EO3576" s="5" t="s">
        <v>238</v>
      </c>
      <c r="EP3576" s="5" t="s">
        <v>238</v>
      </c>
      <c r="EQ3576" s="5" t="s">
        <v>238</v>
      </c>
      <c r="ER3576" s="5" t="s">
        <v>238</v>
      </c>
      <c r="ES3576" s="5" t="s">
        <v>238</v>
      </c>
      <c r="ET3576" s="5" t="s">
        <v>238</v>
      </c>
      <c r="EU3576" s="5" t="s">
        <v>238</v>
      </c>
      <c r="EV3576" s="5" t="s">
        <v>238</v>
      </c>
      <c r="EW3576" s="5" t="s">
        <v>238</v>
      </c>
      <c r="EX3576" s="5" t="s">
        <v>238</v>
      </c>
      <c r="EY3576" s="5" t="s">
        <v>238</v>
      </c>
      <c r="EZ3576" s="5" t="s">
        <v>238</v>
      </c>
      <c r="FA3576" s="5" t="s">
        <v>238</v>
      </c>
      <c r="FB3576" s="5" t="s">
        <v>238</v>
      </c>
      <c r="FC3576" s="5" t="s">
        <v>238</v>
      </c>
      <c r="FD3576" s="5" t="s">
        <v>238</v>
      </c>
      <c r="FE3576" s="5" t="s">
        <v>238</v>
      </c>
      <c r="FF3576" s="5" t="s">
        <v>238</v>
      </c>
      <c r="FG3576" s="5" t="s">
        <v>238</v>
      </c>
      <c r="FH3576" s="5" t="s">
        <v>238</v>
      </c>
      <c r="FI3576" s="5" t="s">
        <v>238</v>
      </c>
      <c r="FJ3576" s="5" t="s">
        <v>238</v>
      </c>
      <c r="FK3576" s="5" t="s">
        <v>238</v>
      </c>
      <c r="FL3576" s="5" t="s">
        <v>238</v>
      </c>
      <c r="FM3576" s="5" t="s">
        <v>238</v>
      </c>
      <c r="FN3576" s="5" t="s">
        <v>238</v>
      </c>
      <c r="FO3576" s="5" t="s">
        <v>238</v>
      </c>
      <c r="FP3576" s="5" t="s">
        <v>238</v>
      </c>
      <c r="FQ3576" s="5" t="s">
        <v>238</v>
      </c>
      <c r="FR3576" s="5" t="s">
        <v>238</v>
      </c>
      <c r="FS3576" s="5" t="s">
        <v>238</v>
      </c>
      <c r="FT3576" s="5" t="s">
        <v>238</v>
      </c>
      <c r="FU3576" s="5" t="s">
        <v>238</v>
      </c>
      <c r="FV3576" s="5" t="s">
        <v>238</v>
      </c>
      <c r="FW3576" s="5" t="s">
        <v>238</v>
      </c>
      <c r="FX3576" s="5" t="s">
        <v>238</v>
      </c>
      <c r="FY3576" s="5" t="s">
        <v>238</v>
      </c>
      <c r="FZ3576" s="5" t="s">
        <v>238</v>
      </c>
      <c r="GA3576" s="5" t="s">
        <v>238</v>
      </c>
      <c r="GB3576" s="5" t="s">
        <v>238</v>
      </c>
      <c r="GC3576" s="5" t="s">
        <v>238</v>
      </c>
      <c r="GD3576" s="5" t="s">
        <v>238</v>
      </c>
      <c r="GE3576" s="5" t="s">
        <v>238</v>
      </c>
      <c r="GF3576" s="5" t="s">
        <v>238</v>
      </c>
      <c r="GG3576" s="5" t="s">
        <v>238</v>
      </c>
      <c r="GH3576" s="5" t="s">
        <v>238</v>
      </c>
      <c r="GI3576" s="5" t="s">
        <v>238</v>
      </c>
      <c r="GJ3576" s="5" t="s">
        <v>238</v>
      </c>
      <c r="GK3576" s="5" t="s">
        <v>238</v>
      </c>
      <c r="GL3576" s="5" t="s">
        <v>238</v>
      </c>
      <c r="GM3576" s="5" t="s">
        <v>238</v>
      </c>
      <c r="GN3576" s="5" t="s">
        <v>238</v>
      </c>
      <c r="GO3576" s="5" t="s">
        <v>238</v>
      </c>
      <c r="GP3576" s="5" t="s">
        <v>238</v>
      </c>
      <c r="GQ3576" s="5" t="s">
        <v>238</v>
      </c>
      <c r="GR3576" s="5" t="s">
        <v>238</v>
      </c>
      <c r="GS3576" s="5" t="s">
        <v>238</v>
      </c>
      <c r="GT3576" s="5" t="s">
        <v>238</v>
      </c>
      <c r="GU3576" s="5" t="s">
        <v>238</v>
      </c>
      <c r="GV3576" s="5" t="s">
        <v>238</v>
      </c>
      <c r="GW3576" s="5" t="s">
        <v>238</v>
      </c>
      <c r="GX3576" s="5" t="s">
        <v>238</v>
      </c>
      <c r="GY3576" s="5" t="s">
        <v>238</v>
      </c>
      <c r="GZ3576" s="5" t="s">
        <v>238</v>
      </c>
      <c r="HA3576" s="5" t="s">
        <v>238</v>
      </c>
      <c r="HB3576" s="5" t="s">
        <v>238</v>
      </c>
      <c r="HC3576" s="5" t="s">
        <v>238</v>
      </c>
      <c r="HD3576" s="5" t="s">
        <v>238</v>
      </c>
      <c r="HE3576" s="5" t="s">
        <v>238</v>
      </c>
      <c r="HF3576" s="5" t="s">
        <v>238</v>
      </c>
      <c r="HG3576" s="5" t="s">
        <v>238</v>
      </c>
      <c r="HH3576" s="5" t="s">
        <v>238</v>
      </c>
      <c r="HI3576" s="5" t="s">
        <v>238</v>
      </c>
      <c r="HJ3576" s="5" t="s">
        <v>238</v>
      </c>
      <c r="HK3576" s="5" t="s">
        <v>238</v>
      </c>
      <c r="HL3576" s="5" t="s">
        <v>238</v>
      </c>
      <c r="HM3576" s="5" t="s">
        <v>264</v>
      </c>
      <c r="HN3576" s="5" t="s">
        <v>238</v>
      </c>
      <c r="HO3576" s="5" t="s">
        <v>238</v>
      </c>
      <c r="HP3576" s="5" t="s">
        <v>238</v>
      </c>
      <c r="HQ3576" s="5" t="s">
        <v>238</v>
      </c>
      <c r="HR3576" s="5" t="s">
        <v>238</v>
      </c>
      <c r="HS3576" s="5" t="s">
        <v>238</v>
      </c>
      <c r="HT3576" s="5" t="s">
        <v>238</v>
      </c>
      <c r="HU3576" s="5" t="s">
        <v>238</v>
      </c>
      <c r="HV3576" s="5" t="s">
        <v>238</v>
      </c>
      <c r="HW3576" s="5" t="s">
        <v>238</v>
      </c>
      <c r="HX3576" s="5" t="s">
        <v>238</v>
      </c>
      <c r="HY3576" s="5" t="s">
        <v>238</v>
      </c>
      <c r="HZ3576" s="5" t="s">
        <v>238</v>
      </c>
      <c r="IA3576" s="5" t="s">
        <v>238</v>
      </c>
      <c r="IB3576" s="5" t="s">
        <v>238</v>
      </c>
      <c r="IC3576" s="5" t="s">
        <v>238</v>
      </c>
      <c r="ID3576" s="5" t="s">
        <v>238</v>
      </c>
    </row>
    <row r="3577" spans="1:238" x14ac:dyDescent="0.4">
      <c r="A3577" s="5">
        <v>9295</v>
      </c>
      <c r="B3577" s="5">
        <v>1</v>
      </c>
      <c r="C3577" s="5">
        <v>1</v>
      </c>
      <c r="D3577" s="5" t="s">
        <v>484</v>
      </c>
      <c r="E3577" s="5" t="s">
        <v>485</v>
      </c>
      <c r="F3577" s="5" t="s">
        <v>248</v>
      </c>
      <c r="G3577" s="5" t="s">
        <v>5438</v>
      </c>
      <c r="H3577" s="6" t="s">
        <v>5439</v>
      </c>
      <c r="I3577" s="8">
        <f>1</f>
        <v>1</v>
      </c>
      <c r="J3577" s="5" t="s">
        <v>499</v>
      </c>
      <c r="K3577" s="8">
        <f>1</f>
        <v>1</v>
      </c>
      <c r="L3577" s="6" t="s">
        <v>242</v>
      </c>
      <c r="M3577" s="5" t="s">
        <v>267</v>
      </c>
      <c r="N3577" s="5" t="s">
        <v>482</v>
      </c>
      <c r="O3577" s="5" t="s">
        <v>238</v>
      </c>
      <c r="P3577" s="5" t="s">
        <v>238</v>
      </c>
      <c r="Q3577" s="5" t="s">
        <v>239</v>
      </c>
      <c r="R3577" s="5" t="s">
        <v>270</v>
      </c>
      <c r="S3577" s="5" t="s">
        <v>238</v>
      </c>
      <c r="T3577" s="5" t="s">
        <v>238</v>
      </c>
      <c r="U3577" s="5" t="s">
        <v>238</v>
      </c>
      <c r="V3577" s="5" t="s">
        <v>238</v>
      </c>
      <c r="W3577" s="6" t="s">
        <v>238</v>
      </c>
      <c r="X3577" s="6" t="s">
        <v>238</v>
      </c>
      <c r="Y3577" s="5" t="s">
        <v>238</v>
      </c>
      <c r="Z3577" s="6" t="s">
        <v>238</v>
      </c>
      <c r="AA3577" s="6" t="s">
        <v>243</v>
      </c>
      <c r="AB3577" s="5" t="s">
        <v>486</v>
      </c>
      <c r="AC3577" s="5" t="s">
        <v>244</v>
      </c>
      <c r="AD3577" s="5" t="s">
        <v>245</v>
      </c>
      <c r="AE3577" s="5" t="s">
        <v>238</v>
      </c>
      <c r="AF3577" s="5" t="s">
        <v>238</v>
      </c>
      <c r="AG3577" s="5" t="s">
        <v>238</v>
      </c>
      <c r="AH3577" s="5" t="s">
        <v>238</v>
      </c>
      <c r="AI3577" s="5" t="s">
        <v>238</v>
      </c>
      <c r="AJ3577" s="5" t="s">
        <v>238</v>
      </c>
      <c r="AK3577" s="5" t="s">
        <v>238</v>
      </c>
      <c r="AL3577" s="5" t="s">
        <v>238</v>
      </c>
      <c r="AM3577" s="6" t="s">
        <v>238</v>
      </c>
      <c r="AN3577" s="6" t="s">
        <v>238</v>
      </c>
      <c r="AO3577" s="6" t="s">
        <v>238</v>
      </c>
      <c r="AP3577" s="6" t="s">
        <v>238</v>
      </c>
      <c r="AQ3577" s="5" t="s">
        <v>238</v>
      </c>
      <c r="AR3577" s="5" t="s">
        <v>488</v>
      </c>
      <c r="AS3577" s="5" t="s">
        <v>488</v>
      </c>
      <c r="AT3577" s="5" t="s">
        <v>246</v>
      </c>
      <c r="AU3577" s="5" t="s">
        <v>489</v>
      </c>
      <c r="AV3577" s="5" t="s">
        <v>247</v>
      </c>
      <c r="AW3577" s="5" t="s">
        <v>238</v>
      </c>
      <c r="AX3577" s="5" t="s">
        <v>249</v>
      </c>
      <c r="AY3577" s="5" t="s">
        <v>490</v>
      </c>
      <c r="BA3577" s="5" t="s">
        <v>238</v>
      </c>
      <c r="BC3577" s="5" t="s">
        <v>491</v>
      </c>
      <c r="BD3577" s="6" t="s">
        <v>492</v>
      </c>
      <c r="BE3577" s="5" t="s">
        <v>493</v>
      </c>
      <c r="BF3577" s="5" t="s">
        <v>493</v>
      </c>
      <c r="BG3577" s="5" t="s">
        <v>238</v>
      </c>
      <c r="BH3577" s="8">
        <f>1</f>
        <v>1</v>
      </c>
      <c r="BI3577" s="8">
        <f>1</f>
        <v>1</v>
      </c>
      <c r="BJ3577" s="5" t="s">
        <v>253</v>
      </c>
      <c r="BK3577" s="5" t="s">
        <v>254</v>
      </c>
      <c r="BL3577" s="5" t="s">
        <v>238</v>
      </c>
      <c r="BM3577" s="5" t="s">
        <v>238</v>
      </c>
      <c r="BN3577" s="5" t="s">
        <v>238</v>
      </c>
      <c r="BO3577" s="5" t="s">
        <v>238</v>
      </c>
      <c r="BP3577" s="5" t="s">
        <v>238</v>
      </c>
      <c r="BQ3577" s="5" t="s">
        <v>238</v>
      </c>
      <c r="BR3577" s="5" t="s">
        <v>238</v>
      </c>
      <c r="BS3577" s="5" t="s">
        <v>238</v>
      </c>
      <c r="BT3577" s="6" t="s">
        <v>238</v>
      </c>
      <c r="BU3577" s="5" t="s">
        <v>238</v>
      </c>
      <c r="BV3577" s="5" t="s">
        <v>238</v>
      </c>
      <c r="BW3577" s="5" t="s">
        <v>238</v>
      </c>
      <c r="BX3577" s="5" t="s">
        <v>254</v>
      </c>
      <c r="BY3577" s="5" t="s">
        <v>238</v>
      </c>
      <c r="BZ3577" s="5" t="s">
        <v>238</v>
      </c>
      <c r="CA3577" s="5" t="s">
        <v>238</v>
      </c>
      <c r="CB3577" s="5" t="s">
        <v>238</v>
      </c>
      <c r="CC3577" s="5" t="s">
        <v>238</v>
      </c>
      <c r="CD3577" s="5" t="s">
        <v>273</v>
      </c>
      <c r="CE3577" s="5" t="s">
        <v>256</v>
      </c>
      <c r="CF3577" s="5" t="s">
        <v>238</v>
      </c>
      <c r="CH3577" s="5" t="s">
        <v>494</v>
      </c>
      <c r="CI3577" s="6" t="s">
        <v>257</v>
      </c>
      <c r="CJ3577" s="5" t="s">
        <v>495</v>
      </c>
      <c r="CK3577" s="5" t="s">
        <v>258</v>
      </c>
      <c r="CL3577" s="5" t="s">
        <v>496</v>
      </c>
      <c r="CM3577" s="5" t="s">
        <v>238</v>
      </c>
      <c r="CN3577" s="5">
        <v>0</v>
      </c>
      <c r="CO3577" s="5" t="s">
        <v>497</v>
      </c>
      <c r="CP3577" s="5" t="s">
        <v>260</v>
      </c>
      <c r="CQ3577" s="5" t="s">
        <v>260</v>
      </c>
      <c r="CR3577" s="5" t="s">
        <v>261</v>
      </c>
      <c r="CS3577" s="5" t="s">
        <v>498</v>
      </c>
      <c r="CT3577" s="7">
        <f>1</f>
        <v>1</v>
      </c>
      <c r="CU3577" s="8">
        <f>1</f>
        <v>1</v>
      </c>
      <c r="CV3577" s="8">
        <f>0</f>
        <v>0</v>
      </c>
      <c r="CX3577" s="8">
        <f>1</f>
        <v>1</v>
      </c>
      <c r="CY3577" s="8">
        <f>1</f>
        <v>1</v>
      </c>
      <c r="CZ3577" s="8" t="s">
        <v>238</v>
      </c>
      <c r="DA3577" s="5" t="s">
        <v>238</v>
      </c>
      <c r="DB3577" s="5" t="s">
        <v>238</v>
      </c>
      <c r="DC3577" s="5" t="s">
        <v>238</v>
      </c>
      <c r="DD3577" s="5" t="s">
        <v>238</v>
      </c>
      <c r="DE3577" s="8">
        <f>0</f>
        <v>0</v>
      </c>
      <c r="DG3577" s="5" t="s">
        <v>238</v>
      </c>
      <c r="DH3577" s="5" t="s">
        <v>238</v>
      </c>
      <c r="DI3577" s="5" t="s">
        <v>238</v>
      </c>
      <c r="DJ3577" s="5" t="s">
        <v>238</v>
      </c>
      <c r="DK3577" s="5" t="s">
        <v>238</v>
      </c>
      <c r="DL3577" s="5" t="s">
        <v>238</v>
      </c>
      <c r="DM3577" s="8" t="s">
        <v>238</v>
      </c>
      <c r="DN3577" s="5" t="s">
        <v>238</v>
      </c>
      <c r="DO3577" s="5" t="s">
        <v>238</v>
      </c>
      <c r="DP3577" s="5" t="s">
        <v>490</v>
      </c>
      <c r="DQ3577" s="5" t="s">
        <v>490</v>
      </c>
      <c r="DR3577" s="5" t="s">
        <v>238</v>
      </c>
      <c r="DS3577" s="5" t="s">
        <v>238</v>
      </c>
      <c r="DT3577" s="5" t="s">
        <v>500</v>
      </c>
      <c r="DU3577" s="5" t="s">
        <v>839</v>
      </c>
      <c r="DV3577" s="5" t="s">
        <v>238</v>
      </c>
      <c r="DW3577" s="5" t="s">
        <v>238</v>
      </c>
      <c r="DX3577" s="5" t="s">
        <v>238</v>
      </c>
      <c r="DY3577" s="5" t="s">
        <v>238</v>
      </c>
      <c r="DZ3577" s="5" t="s">
        <v>238</v>
      </c>
      <c r="EA3577" s="5" t="s">
        <v>238</v>
      </c>
      <c r="EB3577" s="5" t="s">
        <v>238</v>
      </c>
      <c r="EC3577" s="5" t="s">
        <v>238</v>
      </c>
      <c r="ED3577" s="5" t="s">
        <v>238</v>
      </c>
      <c r="EE3577" s="5" t="s">
        <v>238</v>
      </c>
      <c r="EF3577" s="5" t="s">
        <v>238</v>
      </c>
      <c r="EG3577" s="5" t="s">
        <v>238</v>
      </c>
      <c r="EH3577" s="5" t="s">
        <v>238</v>
      </c>
      <c r="EI3577" s="5" t="s">
        <v>238</v>
      </c>
      <c r="EJ3577" s="5" t="s">
        <v>238</v>
      </c>
      <c r="EK3577" s="5" t="s">
        <v>238</v>
      </c>
      <c r="EL3577" s="5" t="s">
        <v>238</v>
      </c>
      <c r="EM3577" s="5" t="s">
        <v>238</v>
      </c>
      <c r="EN3577" s="5" t="s">
        <v>238</v>
      </c>
      <c r="EO3577" s="5" t="s">
        <v>238</v>
      </c>
      <c r="EP3577" s="5" t="s">
        <v>238</v>
      </c>
      <c r="EQ3577" s="5" t="s">
        <v>238</v>
      </c>
      <c r="ER3577" s="5" t="s">
        <v>238</v>
      </c>
      <c r="ES3577" s="5" t="s">
        <v>238</v>
      </c>
      <c r="ET3577" s="5" t="s">
        <v>238</v>
      </c>
      <c r="EU3577" s="5" t="s">
        <v>238</v>
      </c>
      <c r="EV3577" s="5" t="s">
        <v>238</v>
      </c>
      <c r="EW3577" s="5" t="s">
        <v>238</v>
      </c>
      <c r="EX3577" s="5" t="s">
        <v>238</v>
      </c>
      <c r="EY3577" s="5" t="s">
        <v>238</v>
      </c>
      <c r="EZ3577" s="5" t="s">
        <v>238</v>
      </c>
      <c r="FA3577" s="5" t="s">
        <v>238</v>
      </c>
      <c r="FB3577" s="5" t="s">
        <v>238</v>
      </c>
      <c r="FC3577" s="5" t="s">
        <v>238</v>
      </c>
      <c r="FD3577" s="5" t="s">
        <v>238</v>
      </c>
      <c r="FE3577" s="5" t="s">
        <v>238</v>
      </c>
      <c r="FF3577" s="5" t="s">
        <v>238</v>
      </c>
      <c r="FG3577" s="5" t="s">
        <v>238</v>
      </c>
      <c r="FH3577" s="5" t="s">
        <v>238</v>
      </c>
      <c r="FI3577" s="5" t="s">
        <v>238</v>
      </c>
      <c r="FJ3577" s="5" t="s">
        <v>238</v>
      </c>
      <c r="FK3577" s="5" t="s">
        <v>238</v>
      </c>
      <c r="FL3577" s="5" t="s">
        <v>238</v>
      </c>
      <c r="FM3577" s="5" t="s">
        <v>238</v>
      </c>
      <c r="FN3577" s="5" t="s">
        <v>238</v>
      </c>
      <c r="FO3577" s="5" t="s">
        <v>238</v>
      </c>
      <c r="FP3577" s="5" t="s">
        <v>238</v>
      </c>
      <c r="FQ3577" s="5" t="s">
        <v>238</v>
      </c>
      <c r="FR3577" s="5" t="s">
        <v>238</v>
      </c>
      <c r="FS3577" s="5" t="s">
        <v>238</v>
      </c>
      <c r="FT3577" s="5" t="s">
        <v>238</v>
      </c>
      <c r="FU3577" s="5" t="s">
        <v>238</v>
      </c>
      <c r="FV3577" s="5" t="s">
        <v>238</v>
      </c>
      <c r="FW3577" s="5" t="s">
        <v>238</v>
      </c>
      <c r="FX3577" s="5" t="s">
        <v>238</v>
      </c>
      <c r="FY3577" s="5" t="s">
        <v>238</v>
      </c>
      <c r="FZ3577" s="5" t="s">
        <v>238</v>
      </c>
      <c r="GA3577" s="5" t="s">
        <v>238</v>
      </c>
      <c r="GB3577" s="5" t="s">
        <v>238</v>
      </c>
      <c r="GC3577" s="5" t="s">
        <v>238</v>
      </c>
      <c r="GD3577" s="5" t="s">
        <v>238</v>
      </c>
      <c r="GE3577" s="5" t="s">
        <v>238</v>
      </c>
      <c r="GF3577" s="5" t="s">
        <v>238</v>
      </c>
      <c r="GG3577" s="5" t="s">
        <v>238</v>
      </c>
      <c r="GH3577" s="5" t="s">
        <v>238</v>
      </c>
      <c r="GI3577" s="5" t="s">
        <v>238</v>
      </c>
      <c r="GJ3577" s="5" t="s">
        <v>238</v>
      </c>
      <c r="GK3577" s="5" t="s">
        <v>238</v>
      </c>
      <c r="GL3577" s="5" t="s">
        <v>238</v>
      </c>
      <c r="GM3577" s="5" t="s">
        <v>238</v>
      </c>
      <c r="GN3577" s="5" t="s">
        <v>238</v>
      </c>
      <c r="GO3577" s="5" t="s">
        <v>238</v>
      </c>
      <c r="GP3577" s="5" t="s">
        <v>238</v>
      </c>
      <c r="GQ3577" s="5" t="s">
        <v>238</v>
      </c>
      <c r="GR3577" s="5" t="s">
        <v>238</v>
      </c>
      <c r="GS3577" s="5" t="s">
        <v>238</v>
      </c>
      <c r="GT3577" s="5" t="s">
        <v>238</v>
      </c>
      <c r="GU3577" s="5" t="s">
        <v>238</v>
      </c>
      <c r="GV3577" s="5" t="s">
        <v>238</v>
      </c>
      <c r="GW3577" s="5" t="s">
        <v>238</v>
      </c>
      <c r="GX3577" s="5" t="s">
        <v>238</v>
      </c>
      <c r="GY3577" s="5" t="s">
        <v>238</v>
      </c>
      <c r="GZ3577" s="5" t="s">
        <v>238</v>
      </c>
      <c r="HA3577" s="5" t="s">
        <v>238</v>
      </c>
      <c r="HB3577" s="5" t="s">
        <v>238</v>
      </c>
      <c r="HC3577" s="5" t="s">
        <v>238</v>
      </c>
      <c r="HD3577" s="5" t="s">
        <v>238</v>
      </c>
      <c r="HE3577" s="5" t="s">
        <v>238</v>
      </c>
      <c r="HF3577" s="5" t="s">
        <v>238</v>
      </c>
      <c r="HG3577" s="5" t="s">
        <v>238</v>
      </c>
      <c r="HH3577" s="5" t="s">
        <v>238</v>
      </c>
      <c r="HI3577" s="5" t="s">
        <v>238</v>
      </c>
      <c r="HJ3577" s="5" t="s">
        <v>238</v>
      </c>
      <c r="HK3577" s="5" t="s">
        <v>238</v>
      </c>
      <c r="HL3577" s="5" t="s">
        <v>238</v>
      </c>
      <c r="HM3577" s="5" t="s">
        <v>264</v>
      </c>
      <c r="HN3577" s="5" t="s">
        <v>238</v>
      </c>
      <c r="HO3577" s="5" t="s">
        <v>238</v>
      </c>
      <c r="HP3577" s="5" t="s">
        <v>238</v>
      </c>
      <c r="HQ3577" s="5" t="s">
        <v>238</v>
      </c>
      <c r="HR3577" s="5" t="s">
        <v>238</v>
      </c>
      <c r="HS3577" s="5" t="s">
        <v>238</v>
      </c>
      <c r="HT3577" s="5" t="s">
        <v>238</v>
      </c>
      <c r="HU3577" s="5" t="s">
        <v>238</v>
      </c>
      <c r="HV3577" s="5" t="s">
        <v>238</v>
      </c>
      <c r="HW3577" s="5" t="s">
        <v>238</v>
      </c>
      <c r="HX3577" s="5" t="s">
        <v>238</v>
      </c>
      <c r="HY3577" s="5" t="s">
        <v>238</v>
      </c>
      <c r="HZ3577" s="5" t="s">
        <v>238</v>
      </c>
      <c r="IA3577" s="5" t="s">
        <v>238</v>
      </c>
      <c r="IB3577" s="5" t="s">
        <v>238</v>
      </c>
      <c r="IC3577" s="5" t="s">
        <v>238</v>
      </c>
      <c r="ID3577" s="5" t="s">
        <v>238</v>
      </c>
    </row>
    <row r="3578" spans="1:238" x14ac:dyDescent="0.4">
      <c r="A3578" s="5">
        <v>9296</v>
      </c>
      <c r="B3578" s="5">
        <v>1</v>
      </c>
      <c r="C3578" s="5">
        <v>1</v>
      </c>
      <c r="D3578" s="5" t="s">
        <v>484</v>
      </c>
      <c r="E3578" s="5" t="s">
        <v>485</v>
      </c>
      <c r="F3578" s="5" t="s">
        <v>248</v>
      </c>
      <c r="G3578" s="5" t="s">
        <v>5782</v>
      </c>
      <c r="H3578" s="6" t="s">
        <v>5784</v>
      </c>
      <c r="I3578" s="8">
        <f>1</f>
        <v>1</v>
      </c>
      <c r="J3578" s="5" t="s">
        <v>499</v>
      </c>
      <c r="K3578" s="8">
        <f>1</f>
        <v>1</v>
      </c>
      <c r="L3578" s="6" t="s">
        <v>242</v>
      </c>
      <c r="M3578" s="5" t="s">
        <v>267</v>
      </c>
      <c r="N3578" s="5" t="s">
        <v>482</v>
      </c>
      <c r="O3578" s="5" t="s">
        <v>238</v>
      </c>
      <c r="P3578" s="5" t="s">
        <v>238</v>
      </c>
      <c r="Q3578" s="5" t="s">
        <v>239</v>
      </c>
      <c r="R3578" s="5" t="s">
        <v>270</v>
      </c>
      <c r="S3578" s="5" t="s">
        <v>238</v>
      </c>
      <c r="T3578" s="5" t="s">
        <v>238</v>
      </c>
      <c r="U3578" s="5" t="s">
        <v>238</v>
      </c>
      <c r="V3578" s="5" t="s">
        <v>238</v>
      </c>
      <c r="W3578" s="6" t="s">
        <v>238</v>
      </c>
      <c r="X3578" s="6" t="s">
        <v>238</v>
      </c>
      <c r="Y3578" s="5" t="s">
        <v>238</v>
      </c>
      <c r="Z3578" s="6" t="s">
        <v>238</v>
      </c>
      <c r="AA3578" s="6" t="s">
        <v>243</v>
      </c>
      <c r="AB3578" s="5" t="s">
        <v>5783</v>
      </c>
      <c r="AC3578" s="5" t="s">
        <v>244</v>
      </c>
      <c r="AD3578" s="5" t="s">
        <v>245</v>
      </c>
      <c r="AE3578" s="5" t="s">
        <v>238</v>
      </c>
      <c r="AF3578" s="5" t="s">
        <v>238</v>
      </c>
      <c r="AG3578" s="5" t="s">
        <v>238</v>
      </c>
      <c r="AH3578" s="5" t="s">
        <v>238</v>
      </c>
      <c r="AI3578" s="5" t="s">
        <v>238</v>
      </c>
      <c r="AJ3578" s="5" t="s">
        <v>238</v>
      </c>
      <c r="AK3578" s="5" t="s">
        <v>238</v>
      </c>
      <c r="AL3578" s="5" t="s">
        <v>238</v>
      </c>
      <c r="AM3578" s="6" t="s">
        <v>238</v>
      </c>
      <c r="AN3578" s="6" t="s">
        <v>238</v>
      </c>
      <c r="AO3578" s="6" t="s">
        <v>238</v>
      </c>
      <c r="AP3578" s="6" t="s">
        <v>238</v>
      </c>
      <c r="AQ3578" s="5" t="s">
        <v>238</v>
      </c>
      <c r="AR3578" s="5" t="s">
        <v>488</v>
      </c>
      <c r="AS3578" s="5" t="s">
        <v>488</v>
      </c>
      <c r="AT3578" s="5" t="s">
        <v>246</v>
      </c>
      <c r="AU3578" s="5" t="s">
        <v>489</v>
      </c>
      <c r="AV3578" s="5" t="s">
        <v>247</v>
      </c>
      <c r="AW3578" s="5" t="s">
        <v>238</v>
      </c>
      <c r="AX3578" s="5" t="s">
        <v>249</v>
      </c>
      <c r="AY3578" s="5" t="s">
        <v>490</v>
      </c>
      <c r="BA3578" s="5" t="s">
        <v>238</v>
      </c>
      <c r="BC3578" s="5" t="s">
        <v>491</v>
      </c>
      <c r="BD3578" s="6" t="s">
        <v>492</v>
      </c>
      <c r="BE3578" s="5" t="s">
        <v>493</v>
      </c>
      <c r="BF3578" s="5" t="s">
        <v>493</v>
      </c>
      <c r="BG3578" s="5" t="s">
        <v>238</v>
      </c>
      <c r="BH3578" s="8">
        <f>1</f>
        <v>1</v>
      </c>
      <c r="BI3578" s="8">
        <f>1</f>
        <v>1</v>
      </c>
      <c r="BJ3578" s="5" t="s">
        <v>253</v>
      </c>
      <c r="BK3578" s="5" t="s">
        <v>254</v>
      </c>
      <c r="BL3578" s="5" t="s">
        <v>238</v>
      </c>
      <c r="BM3578" s="5" t="s">
        <v>238</v>
      </c>
      <c r="BN3578" s="5" t="s">
        <v>238</v>
      </c>
      <c r="BO3578" s="5" t="s">
        <v>238</v>
      </c>
      <c r="BP3578" s="5" t="s">
        <v>238</v>
      </c>
      <c r="BQ3578" s="5" t="s">
        <v>238</v>
      </c>
      <c r="BR3578" s="5" t="s">
        <v>238</v>
      </c>
      <c r="BS3578" s="5" t="s">
        <v>238</v>
      </c>
      <c r="BT3578" s="6" t="s">
        <v>238</v>
      </c>
      <c r="BU3578" s="5" t="s">
        <v>238</v>
      </c>
      <c r="BV3578" s="5" t="s">
        <v>238</v>
      </c>
      <c r="BW3578" s="5" t="s">
        <v>238</v>
      </c>
      <c r="BX3578" s="5" t="s">
        <v>254</v>
      </c>
      <c r="BY3578" s="5" t="s">
        <v>238</v>
      </c>
      <c r="BZ3578" s="5" t="s">
        <v>238</v>
      </c>
      <c r="CA3578" s="5" t="s">
        <v>238</v>
      </c>
      <c r="CB3578" s="5" t="s">
        <v>238</v>
      </c>
      <c r="CC3578" s="5" t="s">
        <v>238</v>
      </c>
      <c r="CD3578" s="5" t="s">
        <v>273</v>
      </c>
      <c r="CE3578" s="5" t="s">
        <v>256</v>
      </c>
      <c r="CF3578" s="5" t="s">
        <v>238</v>
      </c>
      <c r="CH3578" s="5" t="s">
        <v>494</v>
      </c>
      <c r="CI3578" s="6" t="s">
        <v>257</v>
      </c>
      <c r="CJ3578" s="5" t="s">
        <v>495</v>
      </c>
      <c r="CK3578" s="5" t="s">
        <v>258</v>
      </c>
      <c r="CL3578" s="5" t="s">
        <v>496</v>
      </c>
      <c r="CM3578" s="5" t="s">
        <v>238</v>
      </c>
      <c r="CN3578" s="5">
        <v>0</v>
      </c>
      <c r="CO3578" s="5" t="s">
        <v>497</v>
      </c>
      <c r="CP3578" s="5" t="s">
        <v>260</v>
      </c>
      <c r="CQ3578" s="5" t="s">
        <v>260</v>
      </c>
      <c r="CR3578" s="5" t="s">
        <v>261</v>
      </c>
      <c r="CS3578" s="5" t="s">
        <v>498</v>
      </c>
      <c r="CT3578" s="7">
        <f>1</f>
        <v>1</v>
      </c>
      <c r="CU3578" s="8">
        <f>1</f>
        <v>1</v>
      </c>
      <c r="CV3578" s="8">
        <f>0</f>
        <v>0</v>
      </c>
      <c r="CX3578" s="8">
        <f>1</f>
        <v>1</v>
      </c>
      <c r="CY3578" s="8">
        <f>1</f>
        <v>1</v>
      </c>
      <c r="CZ3578" s="8" t="s">
        <v>238</v>
      </c>
      <c r="DA3578" s="5" t="s">
        <v>238</v>
      </c>
      <c r="DB3578" s="5" t="s">
        <v>238</v>
      </c>
      <c r="DC3578" s="5" t="s">
        <v>238</v>
      </c>
      <c r="DD3578" s="5" t="s">
        <v>238</v>
      </c>
      <c r="DE3578" s="8">
        <f>0</f>
        <v>0</v>
      </c>
      <c r="DG3578" s="5" t="s">
        <v>238</v>
      </c>
      <c r="DH3578" s="5" t="s">
        <v>238</v>
      </c>
      <c r="DI3578" s="5" t="s">
        <v>238</v>
      </c>
      <c r="DJ3578" s="5" t="s">
        <v>238</v>
      </c>
      <c r="DK3578" s="5" t="s">
        <v>238</v>
      </c>
      <c r="DL3578" s="5" t="s">
        <v>238</v>
      </c>
      <c r="DM3578" s="8" t="s">
        <v>238</v>
      </c>
      <c r="DN3578" s="5" t="s">
        <v>238</v>
      </c>
      <c r="DO3578" s="5" t="s">
        <v>238</v>
      </c>
      <c r="DP3578" s="5" t="s">
        <v>490</v>
      </c>
      <c r="DQ3578" s="5" t="s">
        <v>490</v>
      </c>
      <c r="DR3578" s="5" t="s">
        <v>238</v>
      </c>
      <c r="DS3578" s="5" t="s">
        <v>238</v>
      </c>
      <c r="DT3578" s="5" t="s">
        <v>500</v>
      </c>
      <c r="DU3578" s="5" t="s">
        <v>408</v>
      </c>
      <c r="DV3578" s="5" t="s">
        <v>238</v>
      </c>
      <c r="DW3578" s="5" t="s">
        <v>238</v>
      </c>
      <c r="DX3578" s="5" t="s">
        <v>238</v>
      </c>
      <c r="DY3578" s="5" t="s">
        <v>238</v>
      </c>
      <c r="DZ3578" s="5" t="s">
        <v>238</v>
      </c>
      <c r="EA3578" s="5" t="s">
        <v>238</v>
      </c>
      <c r="EB3578" s="5" t="s">
        <v>238</v>
      </c>
      <c r="EC3578" s="5" t="s">
        <v>238</v>
      </c>
      <c r="ED3578" s="5" t="s">
        <v>238</v>
      </c>
      <c r="EE3578" s="5" t="s">
        <v>238</v>
      </c>
      <c r="EF3578" s="5" t="s">
        <v>238</v>
      </c>
      <c r="EG3578" s="5" t="s">
        <v>238</v>
      </c>
      <c r="EH3578" s="5" t="s">
        <v>238</v>
      </c>
      <c r="EI3578" s="5" t="s">
        <v>238</v>
      </c>
      <c r="EJ3578" s="5" t="s">
        <v>238</v>
      </c>
      <c r="EK3578" s="5" t="s">
        <v>238</v>
      </c>
      <c r="EL3578" s="5" t="s">
        <v>238</v>
      </c>
      <c r="EM3578" s="5" t="s">
        <v>238</v>
      </c>
      <c r="EN3578" s="5" t="s">
        <v>238</v>
      </c>
      <c r="EO3578" s="5" t="s">
        <v>238</v>
      </c>
      <c r="EP3578" s="5" t="s">
        <v>238</v>
      </c>
      <c r="EQ3578" s="5" t="s">
        <v>238</v>
      </c>
      <c r="ER3578" s="5" t="s">
        <v>238</v>
      </c>
      <c r="ES3578" s="5" t="s">
        <v>238</v>
      </c>
      <c r="ET3578" s="5" t="s">
        <v>238</v>
      </c>
      <c r="EU3578" s="5" t="s">
        <v>238</v>
      </c>
      <c r="EV3578" s="5" t="s">
        <v>238</v>
      </c>
      <c r="EW3578" s="5" t="s">
        <v>238</v>
      </c>
      <c r="EX3578" s="5" t="s">
        <v>238</v>
      </c>
      <c r="EY3578" s="5" t="s">
        <v>238</v>
      </c>
      <c r="EZ3578" s="5" t="s">
        <v>238</v>
      </c>
      <c r="FA3578" s="5" t="s">
        <v>238</v>
      </c>
      <c r="FB3578" s="5" t="s">
        <v>238</v>
      </c>
      <c r="FC3578" s="5" t="s">
        <v>238</v>
      </c>
      <c r="FD3578" s="5" t="s">
        <v>238</v>
      </c>
      <c r="FE3578" s="5" t="s">
        <v>238</v>
      </c>
      <c r="FF3578" s="5" t="s">
        <v>238</v>
      </c>
      <c r="FG3578" s="5" t="s">
        <v>238</v>
      </c>
      <c r="FH3578" s="5" t="s">
        <v>238</v>
      </c>
      <c r="FI3578" s="5" t="s">
        <v>238</v>
      </c>
      <c r="FJ3578" s="5" t="s">
        <v>238</v>
      </c>
      <c r="FK3578" s="5" t="s">
        <v>238</v>
      </c>
      <c r="FL3578" s="5" t="s">
        <v>238</v>
      </c>
      <c r="FM3578" s="5" t="s">
        <v>238</v>
      </c>
      <c r="FN3578" s="5" t="s">
        <v>238</v>
      </c>
      <c r="FO3578" s="5" t="s">
        <v>238</v>
      </c>
      <c r="FP3578" s="5" t="s">
        <v>238</v>
      </c>
      <c r="FQ3578" s="5" t="s">
        <v>238</v>
      </c>
      <c r="FR3578" s="5" t="s">
        <v>238</v>
      </c>
      <c r="FS3578" s="5" t="s">
        <v>238</v>
      </c>
      <c r="FT3578" s="5" t="s">
        <v>238</v>
      </c>
      <c r="FU3578" s="5" t="s">
        <v>238</v>
      </c>
      <c r="FV3578" s="5" t="s">
        <v>238</v>
      </c>
      <c r="FW3578" s="5" t="s">
        <v>238</v>
      </c>
      <c r="FX3578" s="5" t="s">
        <v>238</v>
      </c>
      <c r="FY3578" s="5" t="s">
        <v>238</v>
      </c>
      <c r="FZ3578" s="5" t="s">
        <v>238</v>
      </c>
      <c r="GA3578" s="5" t="s">
        <v>238</v>
      </c>
      <c r="GB3578" s="5" t="s">
        <v>238</v>
      </c>
      <c r="GC3578" s="5" t="s">
        <v>238</v>
      </c>
      <c r="GD3578" s="5" t="s">
        <v>238</v>
      </c>
      <c r="GE3578" s="5" t="s">
        <v>238</v>
      </c>
      <c r="GF3578" s="5" t="s">
        <v>238</v>
      </c>
      <c r="GG3578" s="5" t="s">
        <v>238</v>
      </c>
      <c r="GH3578" s="5" t="s">
        <v>238</v>
      </c>
      <c r="GI3578" s="5" t="s">
        <v>238</v>
      </c>
      <c r="GJ3578" s="5" t="s">
        <v>238</v>
      </c>
      <c r="GK3578" s="5" t="s">
        <v>238</v>
      </c>
      <c r="GL3578" s="5" t="s">
        <v>238</v>
      </c>
      <c r="GM3578" s="5" t="s">
        <v>238</v>
      </c>
      <c r="GN3578" s="5" t="s">
        <v>238</v>
      </c>
      <c r="GO3578" s="5" t="s">
        <v>238</v>
      </c>
      <c r="GP3578" s="5" t="s">
        <v>238</v>
      </c>
      <c r="GQ3578" s="5" t="s">
        <v>238</v>
      </c>
      <c r="GR3578" s="5" t="s">
        <v>238</v>
      </c>
      <c r="GS3578" s="5" t="s">
        <v>238</v>
      </c>
      <c r="GT3578" s="5" t="s">
        <v>238</v>
      </c>
      <c r="GU3578" s="5" t="s">
        <v>238</v>
      </c>
      <c r="GV3578" s="5" t="s">
        <v>238</v>
      </c>
      <c r="GW3578" s="5" t="s">
        <v>238</v>
      </c>
      <c r="GX3578" s="5" t="s">
        <v>238</v>
      </c>
      <c r="GY3578" s="5" t="s">
        <v>238</v>
      </c>
      <c r="GZ3578" s="5" t="s">
        <v>238</v>
      </c>
      <c r="HA3578" s="5" t="s">
        <v>238</v>
      </c>
      <c r="HB3578" s="5" t="s">
        <v>238</v>
      </c>
      <c r="HC3578" s="5" t="s">
        <v>238</v>
      </c>
      <c r="HD3578" s="5" t="s">
        <v>238</v>
      </c>
      <c r="HE3578" s="5" t="s">
        <v>238</v>
      </c>
      <c r="HF3578" s="5" t="s">
        <v>238</v>
      </c>
      <c r="HG3578" s="5" t="s">
        <v>238</v>
      </c>
      <c r="HH3578" s="5" t="s">
        <v>238</v>
      </c>
      <c r="HI3578" s="5" t="s">
        <v>238</v>
      </c>
      <c r="HJ3578" s="5" t="s">
        <v>238</v>
      </c>
      <c r="HK3578" s="5" t="s">
        <v>238</v>
      </c>
      <c r="HL3578" s="5" t="s">
        <v>238</v>
      </c>
      <c r="HM3578" s="5" t="s">
        <v>264</v>
      </c>
      <c r="HN3578" s="5" t="s">
        <v>238</v>
      </c>
      <c r="HO3578" s="5" t="s">
        <v>238</v>
      </c>
      <c r="HP3578" s="5" t="s">
        <v>238</v>
      </c>
      <c r="HQ3578" s="5" t="s">
        <v>238</v>
      </c>
      <c r="HR3578" s="5" t="s">
        <v>238</v>
      </c>
      <c r="HS3578" s="5" t="s">
        <v>238</v>
      </c>
      <c r="HT3578" s="5" t="s">
        <v>238</v>
      </c>
      <c r="HU3578" s="5" t="s">
        <v>238</v>
      </c>
      <c r="HV3578" s="5" t="s">
        <v>238</v>
      </c>
      <c r="HW3578" s="5" t="s">
        <v>238</v>
      </c>
      <c r="HX3578" s="5" t="s">
        <v>238</v>
      </c>
      <c r="HY3578" s="5" t="s">
        <v>238</v>
      </c>
      <c r="HZ3578" s="5" t="s">
        <v>238</v>
      </c>
      <c r="IA3578" s="5" t="s">
        <v>238</v>
      </c>
      <c r="IB3578" s="5" t="s">
        <v>238</v>
      </c>
      <c r="IC3578" s="5" t="s">
        <v>238</v>
      </c>
      <c r="ID3578" s="5" t="s">
        <v>238</v>
      </c>
    </row>
    <row r="3579" spans="1:238" x14ac:dyDescent="0.4">
      <c r="A3579" s="5">
        <v>9297</v>
      </c>
      <c r="B3579" s="5">
        <v>1</v>
      </c>
      <c r="C3579" s="5">
        <v>1</v>
      </c>
      <c r="D3579" s="5" t="s">
        <v>484</v>
      </c>
      <c r="E3579" s="5" t="s">
        <v>485</v>
      </c>
      <c r="F3579" s="5" t="s">
        <v>248</v>
      </c>
      <c r="G3579" s="5" t="s">
        <v>4958</v>
      </c>
      <c r="H3579" s="6" t="s">
        <v>4959</v>
      </c>
      <c r="I3579" s="8">
        <f>1</f>
        <v>1</v>
      </c>
      <c r="J3579" s="5" t="s">
        <v>499</v>
      </c>
      <c r="K3579" s="8">
        <f>1</f>
        <v>1</v>
      </c>
      <c r="L3579" s="6" t="s">
        <v>242</v>
      </c>
      <c r="M3579" s="5" t="s">
        <v>267</v>
      </c>
      <c r="N3579" s="5" t="s">
        <v>482</v>
      </c>
      <c r="O3579" s="5" t="s">
        <v>238</v>
      </c>
      <c r="P3579" s="5" t="s">
        <v>238</v>
      </c>
      <c r="Q3579" s="5" t="s">
        <v>239</v>
      </c>
      <c r="R3579" s="5" t="s">
        <v>270</v>
      </c>
      <c r="S3579" s="5" t="s">
        <v>238</v>
      </c>
      <c r="T3579" s="5" t="s">
        <v>238</v>
      </c>
      <c r="U3579" s="5" t="s">
        <v>238</v>
      </c>
      <c r="V3579" s="5" t="s">
        <v>238</v>
      </c>
      <c r="W3579" s="6" t="s">
        <v>238</v>
      </c>
      <c r="X3579" s="6" t="s">
        <v>238</v>
      </c>
      <c r="Y3579" s="5" t="s">
        <v>238</v>
      </c>
      <c r="Z3579" s="6" t="s">
        <v>238</v>
      </c>
      <c r="AA3579" s="6" t="s">
        <v>243</v>
      </c>
      <c r="AB3579" s="5" t="s">
        <v>486</v>
      </c>
      <c r="AC3579" s="5" t="s">
        <v>244</v>
      </c>
      <c r="AD3579" s="5" t="s">
        <v>245</v>
      </c>
      <c r="AE3579" s="5" t="s">
        <v>238</v>
      </c>
      <c r="AF3579" s="5" t="s">
        <v>238</v>
      </c>
      <c r="AG3579" s="5" t="s">
        <v>238</v>
      </c>
      <c r="AH3579" s="5" t="s">
        <v>238</v>
      </c>
      <c r="AI3579" s="5" t="s">
        <v>238</v>
      </c>
      <c r="AJ3579" s="5" t="s">
        <v>238</v>
      </c>
      <c r="AK3579" s="5" t="s">
        <v>238</v>
      </c>
      <c r="AL3579" s="5" t="s">
        <v>238</v>
      </c>
      <c r="AM3579" s="6" t="s">
        <v>238</v>
      </c>
      <c r="AN3579" s="6" t="s">
        <v>238</v>
      </c>
      <c r="AO3579" s="6" t="s">
        <v>238</v>
      </c>
      <c r="AP3579" s="6" t="s">
        <v>238</v>
      </c>
      <c r="AQ3579" s="5" t="s">
        <v>238</v>
      </c>
      <c r="AR3579" s="5" t="s">
        <v>488</v>
      </c>
      <c r="AS3579" s="5" t="s">
        <v>488</v>
      </c>
      <c r="AT3579" s="5" t="s">
        <v>246</v>
      </c>
      <c r="AU3579" s="5" t="s">
        <v>489</v>
      </c>
      <c r="AV3579" s="5" t="s">
        <v>247</v>
      </c>
      <c r="AW3579" s="5" t="s">
        <v>238</v>
      </c>
      <c r="AX3579" s="5" t="s">
        <v>249</v>
      </c>
      <c r="AY3579" s="5" t="s">
        <v>490</v>
      </c>
      <c r="BA3579" s="5" t="s">
        <v>238</v>
      </c>
      <c r="BC3579" s="5" t="s">
        <v>491</v>
      </c>
      <c r="BD3579" s="6" t="s">
        <v>492</v>
      </c>
      <c r="BE3579" s="5" t="s">
        <v>493</v>
      </c>
      <c r="BF3579" s="5" t="s">
        <v>493</v>
      </c>
      <c r="BG3579" s="5" t="s">
        <v>238</v>
      </c>
      <c r="BH3579" s="8">
        <f>1</f>
        <v>1</v>
      </c>
      <c r="BI3579" s="8">
        <f>1</f>
        <v>1</v>
      </c>
      <c r="BJ3579" s="5" t="s">
        <v>253</v>
      </c>
      <c r="BK3579" s="5" t="s">
        <v>254</v>
      </c>
      <c r="BL3579" s="5" t="s">
        <v>238</v>
      </c>
      <c r="BM3579" s="5" t="s">
        <v>238</v>
      </c>
      <c r="BN3579" s="5" t="s">
        <v>238</v>
      </c>
      <c r="BO3579" s="5" t="s">
        <v>238</v>
      </c>
      <c r="BP3579" s="5" t="s">
        <v>238</v>
      </c>
      <c r="BQ3579" s="5" t="s">
        <v>238</v>
      </c>
      <c r="BR3579" s="5" t="s">
        <v>238</v>
      </c>
      <c r="BS3579" s="5" t="s">
        <v>238</v>
      </c>
      <c r="BT3579" s="6" t="s">
        <v>238</v>
      </c>
      <c r="BU3579" s="5" t="s">
        <v>238</v>
      </c>
      <c r="BV3579" s="5" t="s">
        <v>238</v>
      </c>
      <c r="BW3579" s="5" t="s">
        <v>238</v>
      </c>
      <c r="BX3579" s="5" t="s">
        <v>254</v>
      </c>
      <c r="BY3579" s="5" t="s">
        <v>238</v>
      </c>
      <c r="BZ3579" s="5" t="s">
        <v>238</v>
      </c>
      <c r="CA3579" s="5" t="s">
        <v>238</v>
      </c>
      <c r="CB3579" s="5" t="s">
        <v>238</v>
      </c>
      <c r="CC3579" s="5" t="s">
        <v>238</v>
      </c>
      <c r="CD3579" s="5" t="s">
        <v>273</v>
      </c>
      <c r="CE3579" s="5" t="s">
        <v>256</v>
      </c>
      <c r="CF3579" s="5" t="s">
        <v>238</v>
      </c>
      <c r="CH3579" s="5" t="s">
        <v>494</v>
      </c>
      <c r="CI3579" s="6" t="s">
        <v>257</v>
      </c>
      <c r="CJ3579" s="5" t="s">
        <v>495</v>
      </c>
      <c r="CK3579" s="5" t="s">
        <v>258</v>
      </c>
      <c r="CL3579" s="5" t="s">
        <v>496</v>
      </c>
      <c r="CM3579" s="5" t="s">
        <v>238</v>
      </c>
      <c r="CN3579" s="5">
        <v>0</v>
      </c>
      <c r="CO3579" s="5" t="s">
        <v>497</v>
      </c>
      <c r="CP3579" s="5" t="s">
        <v>260</v>
      </c>
      <c r="CQ3579" s="5" t="s">
        <v>260</v>
      </c>
      <c r="CR3579" s="5" t="s">
        <v>261</v>
      </c>
      <c r="CS3579" s="5" t="s">
        <v>498</v>
      </c>
      <c r="CT3579" s="7">
        <f>1</f>
        <v>1</v>
      </c>
      <c r="CU3579" s="8">
        <f>1</f>
        <v>1</v>
      </c>
      <c r="CV3579" s="8">
        <f>0</f>
        <v>0</v>
      </c>
      <c r="CX3579" s="8">
        <f>1</f>
        <v>1</v>
      </c>
      <c r="CY3579" s="8">
        <f>1</f>
        <v>1</v>
      </c>
      <c r="CZ3579" s="8" t="s">
        <v>238</v>
      </c>
      <c r="DA3579" s="5" t="s">
        <v>238</v>
      </c>
      <c r="DB3579" s="5" t="s">
        <v>238</v>
      </c>
      <c r="DC3579" s="5" t="s">
        <v>238</v>
      </c>
      <c r="DD3579" s="5" t="s">
        <v>238</v>
      </c>
      <c r="DE3579" s="8">
        <f>0</f>
        <v>0</v>
      </c>
      <c r="DG3579" s="5" t="s">
        <v>238</v>
      </c>
      <c r="DH3579" s="5" t="s">
        <v>238</v>
      </c>
      <c r="DI3579" s="5" t="s">
        <v>238</v>
      </c>
      <c r="DJ3579" s="5" t="s">
        <v>238</v>
      </c>
      <c r="DK3579" s="5" t="s">
        <v>238</v>
      </c>
      <c r="DL3579" s="5" t="s">
        <v>238</v>
      </c>
      <c r="DM3579" s="8" t="s">
        <v>238</v>
      </c>
      <c r="DN3579" s="5" t="s">
        <v>238</v>
      </c>
      <c r="DO3579" s="5" t="s">
        <v>238</v>
      </c>
      <c r="DP3579" s="5" t="s">
        <v>490</v>
      </c>
      <c r="DQ3579" s="5" t="s">
        <v>490</v>
      </c>
      <c r="DR3579" s="5" t="s">
        <v>238</v>
      </c>
      <c r="DS3579" s="5" t="s">
        <v>238</v>
      </c>
      <c r="DT3579" s="5" t="s">
        <v>500</v>
      </c>
      <c r="DU3579" s="5" t="s">
        <v>394</v>
      </c>
      <c r="DV3579" s="5" t="s">
        <v>238</v>
      </c>
      <c r="DW3579" s="5" t="s">
        <v>238</v>
      </c>
      <c r="DX3579" s="5" t="s">
        <v>238</v>
      </c>
      <c r="DY3579" s="5" t="s">
        <v>238</v>
      </c>
      <c r="DZ3579" s="5" t="s">
        <v>238</v>
      </c>
      <c r="EA3579" s="5" t="s">
        <v>238</v>
      </c>
      <c r="EB3579" s="5" t="s">
        <v>238</v>
      </c>
      <c r="EC3579" s="5" t="s">
        <v>238</v>
      </c>
      <c r="ED3579" s="5" t="s">
        <v>238</v>
      </c>
      <c r="EE3579" s="5" t="s">
        <v>238</v>
      </c>
      <c r="EF3579" s="5" t="s">
        <v>238</v>
      </c>
      <c r="EG3579" s="5" t="s">
        <v>238</v>
      </c>
      <c r="EH3579" s="5" t="s">
        <v>238</v>
      </c>
      <c r="EI3579" s="5" t="s">
        <v>238</v>
      </c>
      <c r="EJ3579" s="5" t="s">
        <v>238</v>
      </c>
      <c r="EK3579" s="5" t="s">
        <v>238</v>
      </c>
      <c r="EL3579" s="5" t="s">
        <v>238</v>
      </c>
      <c r="EM3579" s="5" t="s">
        <v>238</v>
      </c>
      <c r="EN3579" s="5" t="s">
        <v>238</v>
      </c>
      <c r="EO3579" s="5" t="s">
        <v>238</v>
      </c>
      <c r="EP3579" s="5" t="s">
        <v>238</v>
      </c>
      <c r="EQ3579" s="5" t="s">
        <v>238</v>
      </c>
      <c r="ER3579" s="5" t="s">
        <v>238</v>
      </c>
      <c r="ES3579" s="5" t="s">
        <v>238</v>
      </c>
      <c r="ET3579" s="5" t="s">
        <v>238</v>
      </c>
      <c r="EU3579" s="5" t="s">
        <v>238</v>
      </c>
      <c r="EV3579" s="5" t="s">
        <v>238</v>
      </c>
      <c r="EW3579" s="5" t="s">
        <v>238</v>
      </c>
      <c r="EX3579" s="5" t="s">
        <v>238</v>
      </c>
      <c r="EY3579" s="5" t="s">
        <v>238</v>
      </c>
      <c r="EZ3579" s="5" t="s">
        <v>238</v>
      </c>
      <c r="FA3579" s="5" t="s">
        <v>238</v>
      </c>
      <c r="FB3579" s="5" t="s">
        <v>238</v>
      </c>
      <c r="FC3579" s="5" t="s">
        <v>238</v>
      </c>
      <c r="FD3579" s="5" t="s">
        <v>238</v>
      </c>
      <c r="FE3579" s="5" t="s">
        <v>238</v>
      </c>
      <c r="FF3579" s="5" t="s">
        <v>238</v>
      </c>
      <c r="FG3579" s="5" t="s">
        <v>238</v>
      </c>
      <c r="FH3579" s="5" t="s">
        <v>238</v>
      </c>
      <c r="FI3579" s="5" t="s">
        <v>238</v>
      </c>
      <c r="FJ3579" s="5" t="s">
        <v>238</v>
      </c>
      <c r="FK3579" s="5" t="s">
        <v>238</v>
      </c>
      <c r="FL3579" s="5" t="s">
        <v>238</v>
      </c>
      <c r="FM3579" s="5" t="s">
        <v>238</v>
      </c>
      <c r="FN3579" s="5" t="s">
        <v>238</v>
      </c>
      <c r="FO3579" s="5" t="s">
        <v>238</v>
      </c>
      <c r="FP3579" s="5" t="s">
        <v>238</v>
      </c>
      <c r="FQ3579" s="5" t="s">
        <v>238</v>
      </c>
      <c r="FR3579" s="5" t="s">
        <v>238</v>
      </c>
      <c r="FS3579" s="5" t="s">
        <v>238</v>
      </c>
      <c r="FT3579" s="5" t="s">
        <v>238</v>
      </c>
      <c r="FU3579" s="5" t="s">
        <v>238</v>
      </c>
      <c r="FV3579" s="5" t="s">
        <v>238</v>
      </c>
      <c r="FW3579" s="5" t="s">
        <v>238</v>
      </c>
      <c r="FX3579" s="5" t="s">
        <v>238</v>
      </c>
      <c r="FY3579" s="5" t="s">
        <v>238</v>
      </c>
      <c r="FZ3579" s="5" t="s">
        <v>238</v>
      </c>
      <c r="GA3579" s="5" t="s">
        <v>238</v>
      </c>
      <c r="GB3579" s="5" t="s">
        <v>238</v>
      </c>
      <c r="GC3579" s="5" t="s">
        <v>238</v>
      </c>
      <c r="GD3579" s="5" t="s">
        <v>238</v>
      </c>
      <c r="GE3579" s="5" t="s">
        <v>238</v>
      </c>
      <c r="GF3579" s="5" t="s">
        <v>238</v>
      </c>
      <c r="GG3579" s="5" t="s">
        <v>238</v>
      </c>
      <c r="GH3579" s="5" t="s">
        <v>238</v>
      </c>
      <c r="GI3579" s="5" t="s">
        <v>238</v>
      </c>
      <c r="GJ3579" s="5" t="s">
        <v>238</v>
      </c>
      <c r="GK3579" s="5" t="s">
        <v>238</v>
      </c>
      <c r="GL3579" s="5" t="s">
        <v>238</v>
      </c>
      <c r="GM3579" s="5" t="s">
        <v>238</v>
      </c>
      <c r="GN3579" s="5" t="s">
        <v>238</v>
      </c>
      <c r="GO3579" s="5" t="s">
        <v>238</v>
      </c>
      <c r="GP3579" s="5" t="s">
        <v>238</v>
      </c>
      <c r="GQ3579" s="5" t="s">
        <v>238</v>
      </c>
      <c r="GR3579" s="5" t="s">
        <v>238</v>
      </c>
      <c r="GS3579" s="5" t="s">
        <v>238</v>
      </c>
      <c r="GT3579" s="5" t="s">
        <v>238</v>
      </c>
      <c r="GU3579" s="5" t="s">
        <v>238</v>
      </c>
      <c r="GV3579" s="5" t="s">
        <v>238</v>
      </c>
      <c r="GW3579" s="5" t="s">
        <v>238</v>
      </c>
      <c r="GX3579" s="5" t="s">
        <v>238</v>
      </c>
      <c r="GY3579" s="5" t="s">
        <v>238</v>
      </c>
      <c r="GZ3579" s="5" t="s">
        <v>238</v>
      </c>
      <c r="HA3579" s="5" t="s">
        <v>238</v>
      </c>
      <c r="HB3579" s="5" t="s">
        <v>238</v>
      </c>
      <c r="HC3579" s="5" t="s">
        <v>238</v>
      </c>
      <c r="HD3579" s="5" t="s">
        <v>238</v>
      </c>
      <c r="HE3579" s="5" t="s">
        <v>238</v>
      </c>
      <c r="HF3579" s="5" t="s">
        <v>238</v>
      </c>
      <c r="HG3579" s="5" t="s">
        <v>238</v>
      </c>
      <c r="HH3579" s="5" t="s">
        <v>238</v>
      </c>
      <c r="HI3579" s="5" t="s">
        <v>238</v>
      </c>
      <c r="HJ3579" s="5" t="s">
        <v>238</v>
      </c>
      <c r="HK3579" s="5" t="s">
        <v>238</v>
      </c>
      <c r="HL3579" s="5" t="s">
        <v>238</v>
      </c>
      <c r="HM3579" s="5" t="s">
        <v>264</v>
      </c>
      <c r="HN3579" s="5" t="s">
        <v>238</v>
      </c>
      <c r="HO3579" s="5" t="s">
        <v>238</v>
      </c>
      <c r="HP3579" s="5" t="s">
        <v>238</v>
      </c>
      <c r="HQ3579" s="5" t="s">
        <v>238</v>
      </c>
      <c r="HR3579" s="5" t="s">
        <v>238</v>
      </c>
      <c r="HS3579" s="5" t="s">
        <v>238</v>
      </c>
      <c r="HT3579" s="5" t="s">
        <v>238</v>
      </c>
      <c r="HU3579" s="5" t="s">
        <v>238</v>
      </c>
      <c r="HV3579" s="5" t="s">
        <v>238</v>
      </c>
      <c r="HW3579" s="5" t="s">
        <v>238</v>
      </c>
      <c r="HX3579" s="5" t="s">
        <v>238</v>
      </c>
      <c r="HY3579" s="5" t="s">
        <v>238</v>
      </c>
      <c r="HZ3579" s="5" t="s">
        <v>238</v>
      </c>
      <c r="IA3579" s="5" t="s">
        <v>238</v>
      </c>
      <c r="IB3579" s="5" t="s">
        <v>238</v>
      </c>
      <c r="IC3579" s="5" t="s">
        <v>238</v>
      </c>
      <c r="ID3579" s="5" t="s">
        <v>238</v>
      </c>
    </row>
    <row r="3580" spans="1:238" x14ac:dyDescent="0.4">
      <c r="A3580" s="5">
        <v>9298</v>
      </c>
      <c r="B3580" s="5">
        <v>1</v>
      </c>
      <c r="C3580" s="5">
        <v>1</v>
      </c>
      <c r="D3580" s="5" t="s">
        <v>484</v>
      </c>
      <c r="E3580" s="5" t="s">
        <v>485</v>
      </c>
      <c r="F3580" s="5" t="s">
        <v>248</v>
      </c>
      <c r="G3580" s="5" t="s">
        <v>4745</v>
      </c>
      <c r="H3580" s="6" t="s">
        <v>4747</v>
      </c>
      <c r="I3580" s="8">
        <f>1</f>
        <v>1</v>
      </c>
      <c r="J3580" s="5" t="s">
        <v>499</v>
      </c>
      <c r="K3580" s="8">
        <f>1</f>
        <v>1</v>
      </c>
      <c r="L3580" s="6" t="s">
        <v>242</v>
      </c>
      <c r="M3580" s="5" t="s">
        <v>267</v>
      </c>
      <c r="N3580" s="5" t="s">
        <v>482</v>
      </c>
      <c r="O3580" s="5" t="s">
        <v>238</v>
      </c>
      <c r="P3580" s="5" t="s">
        <v>238</v>
      </c>
      <c r="Q3580" s="5" t="s">
        <v>239</v>
      </c>
      <c r="R3580" s="5" t="s">
        <v>270</v>
      </c>
      <c r="S3580" s="5" t="s">
        <v>238</v>
      </c>
      <c r="T3580" s="5" t="s">
        <v>238</v>
      </c>
      <c r="U3580" s="5" t="s">
        <v>238</v>
      </c>
      <c r="V3580" s="5" t="s">
        <v>238</v>
      </c>
      <c r="W3580" s="6" t="s">
        <v>238</v>
      </c>
      <c r="X3580" s="6" t="s">
        <v>238</v>
      </c>
      <c r="Y3580" s="5" t="s">
        <v>238</v>
      </c>
      <c r="Z3580" s="6" t="s">
        <v>238</v>
      </c>
      <c r="AA3580" s="6" t="s">
        <v>243</v>
      </c>
      <c r="AB3580" s="5" t="s">
        <v>4746</v>
      </c>
      <c r="AC3580" s="5" t="s">
        <v>244</v>
      </c>
      <c r="AD3580" s="5" t="s">
        <v>245</v>
      </c>
      <c r="AE3580" s="5" t="s">
        <v>238</v>
      </c>
      <c r="AF3580" s="5" t="s">
        <v>238</v>
      </c>
      <c r="AG3580" s="5" t="s">
        <v>238</v>
      </c>
      <c r="AH3580" s="5" t="s">
        <v>238</v>
      </c>
      <c r="AI3580" s="5" t="s">
        <v>238</v>
      </c>
      <c r="AJ3580" s="5" t="s">
        <v>238</v>
      </c>
      <c r="AK3580" s="5" t="s">
        <v>238</v>
      </c>
      <c r="AL3580" s="5" t="s">
        <v>238</v>
      </c>
      <c r="AM3580" s="6" t="s">
        <v>238</v>
      </c>
      <c r="AN3580" s="6" t="s">
        <v>238</v>
      </c>
      <c r="AO3580" s="6" t="s">
        <v>238</v>
      </c>
      <c r="AP3580" s="6" t="s">
        <v>238</v>
      </c>
      <c r="AQ3580" s="5" t="s">
        <v>238</v>
      </c>
      <c r="AR3580" s="5" t="s">
        <v>488</v>
      </c>
      <c r="AS3580" s="5" t="s">
        <v>488</v>
      </c>
      <c r="AT3580" s="5" t="s">
        <v>246</v>
      </c>
      <c r="AU3580" s="5" t="s">
        <v>489</v>
      </c>
      <c r="AV3580" s="5" t="s">
        <v>247</v>
      </c>
      <c r="AW3580" s="5" t="s">
        <v>238</v>
      </c>
      <c r="AX3580" s="5" t="s">
        <v>249</v>
      </c>
      <c r="AY3580" s="5" t="s">
        <v>490</v>
      </c>
      <c r="BA3580" s="5" t="s">
        <v>238</v>
      </c>
      <c r="BC3580" s="5" t="s">
        <v>491</v>
      </c>
      <c r="BD3580" s="6" t="s">
        <v>492</v>
      </c>
      <c r="BE3580" s="5" t="s">
        <v>493</v>
      </c>
      <c r="BF3580" s="5" t="s">
        <v>493</v>
      </c>
      <c r="BG3580" s="5" t="s">
        <v>238</v>
      </c>
      <c r="BH3580" s="8">
        <f>1</f>
        <v>1</v>
      </c>
      <c r="BI3580" s="8">
        <f>1</f>
        <v>1</v>
      </c>
      <c r="BJ3580" s="5" t="s">
        <v>253</v>
      </c>
      <c r="BK3580" s="5" t="s">
        <v>254</v>
      </c>
      <c r="BL3580" s="5" t="s">
        <v>238</v>
      </c>
      <c r="BM3580" s="5" t="s">
        <v>238</v>
      </c>
      <c r="BN3580" s="5" t="s">
        <v>238</v>
      </c>
      <c r="BO3580" s="5" t="s">
        <v>238</v>
      </c>
      <c r="BP3580" s="5" t="s">
        <v>238</v>
      </c>
      <c r="BQ3580" s="5" t="s">
        <v>238</v>
      </c>
      <c r="BR3580" s="5" t="s">
        <v>238</v>
      </c>
      <c r="BS3580" s="5" t="s">
        <v>238</v>
      </c>
      <c r="BT3580" s="6" t="s">
        <v>238</v>
      </c>
      <c r="BU3580" s="5" t="s">
        <v>238</v>
      </c>
      <c r="BV3580" s="5" t="s">
        <v>238</v>
      </c>
      <c r="BW3580" s="5" t="s">
        <v>238</v>
      </c>
      <c r="BX3580" s="5" t="s">
        <v>254</v>
      </c>
      <c r="BY3580" s="5" t="s">
        <v>238</v>
      </c>
      <c r="BZ3580" s="5" t="s">
        <v>238</v>
      </c>
      <c r="CA3580" s="5" t="s">
        <v>238</v>
      </c>
      <c r="CB3580" s="5" t="s">
        <v>238</v>
      </c>
      <c r="CC3580" s="5" t="s">
        <v>238</v>
      </c>
      <c r="CD3580" s="5" t="s">
        <v>273</v>
      </c>
      <c r="CE3580" s="5" t="s">
        <v>256</v>
      </c>
      <c r="CF3580" s="5" t="s">
        <v>238</v>
      </c>
      <c r="CH3580" s="5" t="s">
        <v>494</v>
      </c>
      <c r="CI3580" s="6" t="s">
        <v>257</v>
      </c>
      <c r="CJ3580" s="5" t="s">
        <v>495</v>
      </c>
      <c r="CK3580" s="5" t="s">
        <v>258</v>
      </c>
      <c r="CL3580" s="5" t="s">
        <v>496</v>
      </c>
      <c r="CM3580" s="5" t="s">
        <v>238</v>
      </c>
      <c r="CN3580" s="5">
        <v>0</v>
      </c>
      <c r="CO3580" s="5" t="s">
        <v>497</v>
      </c>
      <c r="CP3580" s="5" t="s">
        <v>260</v>
      </c>
      <c r="CQ3580" s="5" t="s">
        <v>260</v>
      </c>
      <c r="CR3580" s="5" t="s">
        <v>261</v>
      </c>
      <c r="CS3580" s="5" t="s">
        <v>498</v>
      </c>
      <c r="CT3580" s="7">
        <f>1</f>
        <v>1</v>
      </c>
      <c r="CU3580" s="8">
        <f>1</f>
        <v>1</v>
      </c>
      <c r="CV3580" s="8">
        <f>0</f>
        <v>0</v>
      </c>
      <c r="CX3580" s="8">
        <f>1</f>
        <v>1</v>
      </c>
      <c r="CY3580" s="8">
        <f>1</f>
        <v>1</v>
      </c>
      <c r="CZ3580" s="8" t="s">
        <v>238</v>
      </c>
      <c r="DA3580" s="5" t="s">
        <v>238</v>
      </c>
      <c r="DB3580" s="5" t="s">
        <v>238</v>
      </c>
      <c r="DC3580" s="5" t="s">
        <v>238</v>
      </c>
      <c r="DD3580" s="5" t="s">
        <v>238</v>
      </c>
      <c r="DE3580" s="8">
        <f>0</f>
        <v>0</v>
      </c>
      <c r="DG3580" s="5" t="s">
        <v>238</v>
      </c>
      <c r="DH3580" s="5" t="s">
        <v>238</v>
      </c>
      <c r="DI3580" s="5" t="s">
        <v>238</v>
      </c>
      <c r="DJ3580" s="5" t="s">
        <v>238</v>
      </c>
      <c r="DK3580" s="5" t="s">
        <v>238</v>
      </c>
      <c r="DL3580" s="5" t="s">
        <v>238</v>
      </c>
      <c r="DM3580" s="8" t="s">
        <v>238</v>
      </c>
      <c r="DN3580" s="5" t="s">
        <v>238</v>
      </c>
      <c r="DO3580" s="5" t="s">
        <v>238</v>
      </c>
      <c r="DP3580" s="5" t="s">
        <v>490</v>
      </c>
      <c r="DQ3580" s="5" t="s">
        <v>490</v>
      </c>
      <c r="DR3580" s="5" t="s">
        <v>238</v>
      </c>
      <c r="DS3580" s="5" t="s">
        <v>238</v>
      </c>
      <c r="DT3580" s="5" t="s">
        <v>500</v>
      </c>
      <c r="DU3580" s="5" t="s">
        <v>984</v>
      </c>
      <c r="DV3580" s="5" t="s">
        <v>238</v>
      </c>
      <c r="DW3580" s="5" t="s">
        <v>238</v>
      </c>
      <c r="DX3580" s="5" t="s">
        <v>238</v>
      </c>
      <c r="DY3580" s="5" t="s">
        <v>238</v>
      </c>
      <c r="DZ3580" s="5" t="s">
        <v>238</v>
      </c>
      <c r="EA3580" s="5" t="s">
        <v>238</v>
      </c>
      <c r="EB3580" s="5" t="s">
        <v>238</v>
      </c>
      <c r="EC3580" s="5" t="s">
        <v>238</v>
      </c>
      <c r="ED3580" s="5" t="s">
        <v>238</v>
      </c>
      <c r="EE3580" s="5" t="s">
        <v>238</v>
      </c>
      <c r="EF3580" s="5" t="s">
        <v>238</v>
      </c>
      <c r="EG3580" s="5" t="s">
        <v>238</v>
      </c>
      <c r="EH3580" s="5" t="s">
        <v>238</v>
      </c>
      <c r="EI3580" s="5" t="s">
        <v>238</v>
      </c>
      <c r="EJ3580" s="5" t="s">
        <v>238</v>
      </c>
      <c r="EK3580" s="5" t="s">
        <v>238</v>
      </c>
      <c r="EL3580" s="5" t="s">
        <v>238</v>
      </c>
      <c r="EM3580" s="5" t="s">
        <v>238</v>
      </c>
      <c r="EN3580" s="5" t="s">
        <v>238</v>
      </c>
      <c r="EO3580" s="5" t="s">
        <v>238</v>
      </c>
      <c r="EP3580" s="5" t="s">
        <v>238</v>
      </c>
      <c r="EQ3580" s="5" t="s">
        <v>238</v>
      </c>
      <c r="ER3580" s="5" t="s">
        <v>238</v>
      </c>
      <c r="ES3580" s="5" t="s">
        <v>238</v>
      </c>
      <c r="ET3580" s="5" t="s">
        <v>238</v>
      </c>
      <c r="EU3580" s="5" t="s">
        <v>238</v>
      </c>
      <c r="EV3580" s="5" t="s">
        <v>238</v>
      </c>
      <c r="EW3580" s="5" t="s">
        <v>238</v>
      </c>
      <c r="EX3580" s="5" t="s">
        <v>238</v>
      </c>
      <c r="EY3580" s="5" t="s">
        <v>238</v>
      </c>
      <c r="EZ3580" s="5" t="s">
        <v>238</v>
      </c>
      <c r="FA3580" s="5" t="s">
        <v>238</v>
      </c>
      <c r="FB3580" s="5" t="s">
        <v>238</v>
      </c>
      <c r="FC3580" s="5" t="s">
        <v>238</v>
      </c>
      <c r="FD3580" s="5" t="s">
        <v>238</v>
      </c>
      <c r="FE3580" s="5" t="s">
        <v>238</v>
      </c>
      <c r="FF3580" s="5" t="s">
        <v>238</v>
      </c>
      <c r="FG3580" s="5" t="s">
        <v>238</v>
      </c>
      <c r="FH3580" s="5" t="s">
        <v>238</v>
      </c>
      <c r="FI3580" s="5" t="s">
        <v>238</v>
      </c>
      <c r="FJ3580" s="5" t="s">
        <v>238</v>
      </c>
      <c r="FK3580" s="5" t="s">
        <v>238</v>
      </c>
      <c r="FL3580" s="5" t="s">
        <v>238</v>
      </c>
      <c r="FM3580" s="5" t="s">
        <v>238</v>
      </c>
      <c r="FN3580" s="5" t="s">
        <v>238</v>
      </c>
      <c r="FO3580" s="5" t="s">
        <v>238</v>
      </c>
      <c r="FP3580" s="5" t="s">
        <v>238</v>
      </c>
      <c r="FQ3580" s="5" t="s">
        <v>238</v>
      </c>
      <c r="FR3580" s="5" t="s">
        <v>238</v>
      </c>
      <c r="FS3580" s="5" t="s">
        <v>238</v>
      </c>
      <c r="FT3580" s="5" t="s">
        <v>238</v>
      </c>
      <c r="FU3580" s="5" t="s">
        <v>238</v>
      </c>
      <c r="FV3580" s="5" t="s">
        <v>238</v>
      </c>
      <c r="FW3580" s="5" t="s">
        <v>238</v>
      </c>
      <c r="FX3580" s="5" t="s">
        <v>238</v>
      </c>
      <c r="FY3580" s="5" t="s">
        <v>238</v>
      </c>
      <c r="FZ3580" s="5" t="s">
        <v>238</v>
      </c>
      <c r="GA3580" s="5" t="s">
        <v>238</v>
      </c>
      <c r="GB3580" s="5" t="s">
        <v>238</v>
      </c>
      <c r="GC3580" s="5" t="s">
        <v>238</v>
      </c>
      <c r="GD3580" s="5" t="s">
        <v>238</v>
      </c>
      <c r="GE3580" s="5" t="s">
        <v>238</v>
      </c>
      <c r="GF3580" s="5" t="s">
        <v>238</v>
      </c>
      <c r="GG3580" s="5" t="s">
        <v>238</v>
      </c>
      <c r="GH3580" s="5" t="s">
        <v>238</v>
      </c>
      <c r="GI3580" s="5" t="s">
        <v>238</v>
      </c>
      <c r="GJ3580" s="5" t="s">
        <v>238</v>
      </c>
      <c r="GK3580" s="5" t="s">
        <v>238</v>
      </c>
      <c r="GL3580" s="5" t="s">
        <v>238</v>
      </c>
      <c r="GM3580" s="5" t="s">
        <v>238</v>
      </c>
      <c r="GN3580" s="5" t="s">
        <v>238</v>
      </c>
      <c r="GO3580" s="5" t="s">
        <v>238</v>
      </c>
      <c r="GP3580" s="5" t="s">
        <v>238</v>
      </c>
      <c r="GQ3580" s="5" t="s">
        <v>238</v>
      </c>
      <c r="GR3580" s="5" t="s">
        <v>238</v>
      </c>
      <c r="GS3580" s="5" t="s">
        <v>238</v>
      </c>
      <c r="GT3580" s="5" t="s">
        <v>238</v>
      </c>
      <c r="GU3580" s="5" t="s">
        <v>238</v>
      </c>
      <c r="GV3580" s="5" t="s">
        <v>238</v>
      </c>
      <c r="GW3580" s="5" t="s">
        <v>238</v>
      </c>
      <c r="GX3580" s="5" t="s">
        <v>238</v>
      </c>
      <c r="GY3580" s="5" t="s">
        <v>238</v>
      </c>
      <c r="GZ3580" s="5" t="s">
        <v>238</v>
      </c>
      <c r="HA3580" s="5" t="s">
        <v>238</v>
      </c>
      <c r="HB3580" s="5" t="s">
        <v>238</v>
      </c>
      <c r="HC3580" s="5" t="s">
        <v>238</v>
      </c>
      <c r="HD3580" s="5" t="s">
        <v>238</v>
      </c>
      <c r="HE3580" s="5" t="s">
        <v>238</v>
      </c>
      <c r="HF3580" s="5" t="s">
        <v>238</v>
      </c>
      <c r="HG3580" s="5" t="s">
        <v>238</v>
      </c>
      <c r="HH3580" s="5" t="s">
        <v>238</v>
      </c>
      <c r="HI3580" s="5" t="s">
        <v>238</v>
      </c>
      <c r="HJ3580" s="5" t="s">
        <v>238</v>
      </c>
      <c r="HK3580" s="5" t="s">
        <v>238</v>
      </c>
      <c r="HL3580" s="5" t="s">
        <v>238</v>
      </c>
      <c r="HM3580" s="5" t="s">
        <v>264</v>
      </c>
      <c r="HN3580" s="5" t="s">
        <v>238</v>
      </c>
      <c r="HO3580" s="5" t="s">
        <v>238</v>
      </c>
      <c r="HP3580" s="5" t="s">
        <v>238</v>
      </c>
      <c r="HQ3580" s="5" t="s">
        <v>238</v>
      </c>
      <c r="HR3580" s="5" t="s">
        <v>238</v>
      </c>
      <c r="HS3580" s="5" t="s">
        <v>238</v>
      </c>
      <c r="HT3580" s="5" t="s">
        <v>238</v>
      </c>
      <c r="HU3580" s="5" t="s">
        <v>238</v>
      </c>
      <c r="HV3580" s="5" t="s">
        <v>238</v>
      </c>
      <c r="HW3580" s="5" t="s">
        <v>238</v>
      </c>
      <c r="HX3580" s="5" t="s">
        <v>238</v>
      </c>
      <c r="HY3580" s="5" t="s">
        <v>238</v>
      </c>
      <c r="HZ3580" s="5" t="s">
        <v>238</v>
      </c>
      <c r="IA3580" s="5" t="s">
        <v>238</v>
      </c>
      <c r="IB3580" s="5" t="s">
        <v>238</v>
      </c>
      <c r="IC3580" s="5" t="s">
        <v>238</v>
      </c>
      <c r="ID3580" s="5" t="s">
        <v>238</v>
      </c>
    </row>
    <row r="3581" spans="1:238" x14ac:dyDescent="0.4">
      <c r="A3581" s="5">
        <v>9299</v>
      </c>
      <c r="B3581" s="5">
        <v>1</v>
      </c>
      <c r="C3581" s="5">
        <v>1</v>
      </c>
      <c r="D3581" s="5" t="s">
        <v>484</v>
      </c>
      <c r="E3581" s="5" t="s">
        <v>485</v>
      </c>
      <c r="F3581" s="5" t="s">
        <v>248</v>
      </c>
      <c r="G3581" s="5" t="s">
        <v>5653</v>
      </c>
      <c r="H3581" s="6" t="s">
        <v>5654</v>
      </c>
      <c r="I3581" s="8">
        <f>1</f>
        <v>1</v>
      </c>
      <c r="J3581" s="5" t="s">
        <v>499</v>
      </c>
      <c r="K3581" s="8">
        <f>1</f>
        <v>1</v>
      </c>
      <c r="L3581" s="6" t="s">
        <v>242</v>
      </c>
      <c r="M3581" s="5" t="s">
        <v>267</v>
      </c>
      <c r="N3581" s="5" t="s">
        <v>482</v>
      </c>
      <c r="O3581" s="5" t="s">
        <v>238</v>
      </c>
      <c r="P3581" s="5" t="s">
        <v>238</v>
      </c>
      <c r="Q3581" s="5" t="s">
        <v>239</v>
      </c>
      <c r="R3581" s="5" t="s">
        <v>270</v>
      </c>
      <c r="S3581" s="5" t="s">
        <v>238</v>
      </c>
      <c r="T3581" s="5" t="s">
        <v>238</v>
      </c>
      <c r="U3581" s="5" t="s">
        <v>238</v>
      </c>
      <c r="V3581" s="5" t="s">
        <v>238</v>
      </c>
      <c r="W3581" s="6" t="s">
        <v>238</v>
      </c>
      <c r="X3581" s="6" t="s">
        <v>238</v>
      </c>
      <c r="Y3581" s="5" t="s">
        <v>238</v>
      </c>
      <c r="Z3581" s="6" t="s">
        <v>238</v>
      </c>
      <c r="AA3581" s="6" t="s">
        <v>243</v>
      </c>
      <c r="AB3581" s="5" t="s">
        <v>486</v>
      </c>
      <c r="AC3581" s="5" t="s">
        <v>244</v>
      </c>
      <c r="AD3581" s="5" t="s">
        <v>245</v>
      </c>
      <c r="AE3581" s="5" t="s">
        <v>238</v>
      </c>
      <c r="AF3581" s="5" t="s">
        <v>238</v>
      </c>
      <c r="AG3581" s="5" t="s">
        <v>238</v>
      </c>
      <c r="AH3581" s="5" t="s">
        <v>238</v>
      </c>
      <c r="AI3581" s="5" t="s">
        <v>238</v>
      </c>
      <c r="AJ3581" s="5" t="s">
        <v>238</v>
      </c>
      <c r="AK3581" s="5" t="s">
        <v>238</v>
      </c>
      <c r="AL3581" s="5" t="s">
        <v>238</v>
      </c>
      <c r="AM3581" s="6" t="s">
        <v>238</v>
      </c>
      <c r="AN3581" s="6" t="s">
        <v>238</v>
      </c>
      <c r="AO3581" s="6" t="s">
        <v>238</v>
      </c>
      <c r="AP3581" s="6" t="s">
        <v>238</v>
      </c>
      <c r="AQ3581" s="5" t="s">
        <v>238</v>
      </c>
      <c r="AR3581" s="5" t="s">
        <v>488</v>
      </c>
      <c r="AS3581" s="5" t="s">
        <v>488</v>
      </c>
      <c r="AT3581" s="5" t="s">
        <v>246</v>
      </c>
      <c r="AU3581" s="5" t="s">
        <v>489</v>
      </c>
      <c r="AV3581" s="5" t="s">
        <v>247</v>
      </c>
      <c r="AW3581" s="5" t="s">
        <v>238</v>
      </c>
      <c r="AX3581" s="5" t="s">
        <v>249</v>
      </c>
      <c r="AY3581" s="5" t="s">
        <v>490</v>
      </c>
      <c r="BA3581" s="5" t="s">
        <v>238</v>
      </c>
      <c r="BC3581" s="5" t="s">
        <v>491</v>
      </c>
      <c r="BD3581" s="6" t="s">
        <v>492</v>
      </c>
      <c r="BE3581" s="5" t="s">
        <v>493</v>
      </c>
      <c r="BF3581" s="5" t="s">
        <v>493</v>
      </c>
      <c r="BG3581" s="5" t="s">
        <v>238</v>
      </c>
      <c r="BH3581" s="8">
        <f>1</f>
        <v>1</v>
      </c>
      <c r="BI3581" s="8">
        <f>1</f>
        <v>1</v>
      </c>
      <c r="BJ3581" s="5" t="s">
        <v>253</v>
      </c>
      <c r="BK3581" s="5" t="s">
        <v>254</v>
      </c>
      <c r="BL3581" s="5" t="s">
        <v>238</v>
      </c>
      <c r="BM3581" s="5" t="s">
        <v>238</v>
      </c>
      <c r="BN3581" s="5" t="s">
        <v>238</v>
      </c>
      <c r="BO3581" s="5" t="s">
        <v>238</v>
      </c>
      <c r="BP3581" s="5" t="s">
        <v>238</v>
      </c>
      <c r="BQ3581" s="5" t="s">
        <v>238</v>
      </c>
      <c r="BR3581" s="5" t="s">
        <v>238</v>
      </c>
      <c r="BS3581" s="5" t="s">
        <v>238</v>
      </c>
      <c r="BT3581" s="6" t="s">
        <v>238</v>
      </c>
      <c r="BU3581" s="5" t="s">
        <v>238</v>
      </c>
      <c r="BV3581" s="5" t="s">
        <v>238</v>
      </c>
      <c r="BW3581" s="5" t="s">
        <v>238</v>
      </c>
      <c r="BX3581" s="5" t="s">
        <v>254</v>
      </c>
      <c r="BY3581" s="5" t="s">
        <v>238</v>
      </c>
      <c r="BZ3581" s="5" t="s">
        <v>238</v>
      </c>
      <c r="CA3581" s="5" t="s">
        <v>238</v>
      </c>
      <c r="CB3581" s="5" t="s">
        <v>238</v>
      </c>
      <c r="CC3581" s="5" t="s">
        <v>238</v>
      </c>
      <c r="CD3581" s="5" t="s">
        <v>273</v>
      </c>
      <c r="CE3581" s="5" t="s">
        <v>256</v>
      </c>
      <c r="CF3581" s="5" t="s">
        <v>238</v>
      </c>
      <c r="CH3581" s="5" t="s">
        <v>494</v>
      </c>
      <c r="CI3581" s="6" t="s">
        <v>257</v>
      </c>
      <c r="CJ3581" s="5" t="s">
        <v>495</v>
      </c>
      <c r="CK3581" s="5" t="s">
        <v>258</v>
      </c>
      <c r="CL3581" s="5" t="s">
        <v>496</v>
      </c>
      <c r="CM3581" s="5" t="s">
        <v>238</v>
      </c>
      <c r="CN3581" s="5">
        <v>0</v>
      </c>
      <c r="CO3581" s="5" t="s">
        <v>497</v>
      </c>
      <c r="CP3581" s="5" t="s">
        <v>260</v>
      </c>
      <c r="CQ3581" s="5" t="s">
        <v>260</v>
      </c>
      <c r="CR3581" s="5" t="s">
        <v>261</v>
      </c>
      <c r="CS3581" s="5" t="s">
        <v>498</v>
      </c>
      <c r="CT3581" s="7">
        <f>1</f>
        <v>1</v>
      </c>
      <c r="CU3581" s="8">
        <f>1</f>
        <v>1</v>
      </c>
      <c r="CV3581" s="8">
        <f>0</f>
        <v>0</v>
      </c>
      <c r="CX3581" s="8">
        <f>1</f>
        <v>1</v>
      </c>
      <c r="CY3581" s="8">
        <f>1</f>
        <v>1</v>
      </c>
      <c r="CZ3581" s="8" t="s">
        <v>238</v>
      </c>
      <c r="DA3581" s="5" t="s">
        <v>238</v>
      </c>
      <c r="DB3581" s="5" t="s">
        <v>238</v>
      </c>
      <c r="DC3581" s="5" t="s">
        <v>238</v>
      </c>
      <c r="DD3581" s="5" t="s">
        <v>238</v>
      </c>
      <c r="DE3581" s="8">
        <f>0</f>
        <v>0</v>
      </c>
      <c r="DG3581" s="5" t="s">
        <v>238</v>
      </c>
      <c r="DH3581" s="5" t="s">
        <v>238</v>
      </c>
      <c r="DI3581" s="5" t="s">
        <v>238</v>
      </c>
      <c r="DJ3581" s="5" t="s">
        <v>238</v>
      </c>
      <c r="DK3581" s="5" t="s">
        <v>238</v>
      </c>
      <c r="DL3581" s="5" t="s">
        <v>238</v>
      </c>
      <c r="DM3581" s="8" t="s">
        <v>238</v>
      </c>
      <c r="DN3581" s="5" t="s">
        <v>238</v>
      </c>
      <c r="DO3581" s="5" t="s">
        <v>238</v>
      </c>
      <c r="DP3581" s="5" t="s">
        <v>490</v>
      </c>
      <c r="DQ3581" s="5" t="s">
        <v>490</v>
      </c>
      <c r="DR3581" s="5" t="s">
        <v>238</v>
      </c>
      <c r="DS3581" s="5" t="s">
        <v>238</v>
      </c>
      <c r="DT3581" s="5" t="s">
        <v>500</v>
      </c>
      <c r="DU3581" s="5" t="s">
        <v>382</v>
      </c>
      <c r="DV3581" s="5" t="s">
        <v>238</v>
      </c>
      <c r="DW3581" s="5" t="s">
        <v>238</v>
      </c>
      <c r="DX3581" s="5" t="s">
        <v>238</v>
      </c>
      <c r="DY3581" s="5" t="s">
        <v>238</v>
      </c>
      <c r="DZ3581" s="5" t="s">
        <v>238</v>
      </c>
      <c r="EA3581" s="5" t="s">
        <v>238</v>
      </c>
      <c r="EB3581" s="5" t="s">
        <v>238</v>
      </c>
      <c r="EC3581" s="5" t="s">
        <v>238</v>
      </c>
      <c r="ED3581" s="5" t="s">
        <v>238</v>
      </c>
      <c r="EE3581" s="5" t="s">
        <v>238</v>
      </c>
      <c r="EF3581" s="5" t="s">
        <v>238</v>
      </c>
      <c r="EG3581" s="5" t="s">
        <v>238</v>
      </c>
      <c r="EH3581" s="5" t="s">
        <v>238</v>
      </c>
      <c r="EI3581" s="5" t="s">
        <v>238</v>
      </c>
      <c r="EJ3581" s="5" t="s">
        <v>238</v>
      </c>
      <c r="EK3581" s="5" t="s">
        <v>238</v>
      </c>
      <c r="EL3581" s="5" t="s">
        <v>238</v>
      </c>
      <c r="EM3581" s="5" t="s">
        <v>238</v>
      </c>
      <c r="EN3581" s="5" t="s">
        <v>238</v>
      </c>
      <c r="EO3581" s="5" t="s">
        <v>238</v>
      </c>
      <c r="EP3581" s="5" t="s">
        <v>238</v>
      </c>
      <c r="EQ3581" s="5" t="s">
        <v>238</v>
      </c>
      <c r="ER3581" s="5" t="s">
        <v>238</v>
      </c>
      <c r="ES3581" s="5" t="s">
        <v>238</v>
      </c>
      <c r="ET3581" s="5" t="s">
        <v>238</v>
      </c>
      <c r="EU3581" s="5" t="s">
        <v>238</v>
      </c>
      <c r="EV3581" s="5" t="s">
        <v>238</v>
      </c>
      <c r="EW3581" s="5" t="s">
        <v>238</v>
      </c>
      <c r="EX3581" s="5" t="s">
        <v>238</v>
      </c>
      <c r="EY3581" s="5" t="s">
        <v>238</v>
      </c>
      <c r="EZ3581" s="5" t="s">
        <v>238</v>
      </c>
      <c r="FA3581" s="5" t="s">
        <v>238</v>
      </c>
      <c r="FB3581" s="5" t="s">
        <v>238</v>
      </c>
      <c r="FC3581" s="5" t="s">
        <v>238</v>
      </c>
      <c r="FD3581" s="5" t="s">
        <v>238</v>
      </c>
      <c r="FE3581" s="5" t="s">
        <v>238</v>
      </c>
      <c r="FF3581" s="5" t="s">
        <v>238</v>
      </c>
      <c r="FG3581" s="5" t="s">
        <v>238</v>
      </c>
      <c r="FH3581" s="5" t="s">
        <v>238</v>
      </c>
      <c r="FI3581" s="5" t="s">
        <v>238</v>
      </c>
      <c r="FJ3581" s="5" t="s">
        <v>238</v>
      </c>
      <c r="FK3581" s="5" t="s">
        <v>238</v>
      </c>
      <c r="FL3581" s="5" t="s">
        <v>238</v>
      </c>
      <c r="FM3581" s="5" t="s">
        <v>238</v>
      </c>
      <c r="FN3581" s="5" t="s">
        <v>238</v>
      </c>
      <c r="FO3581" s="5" t="s">
        <v>238</v>
      </c>
      <c r="FP3581" s="5" t="s">
        <v>238</v>
      </c>
      <c r="FQ3581" s="5" t="s">
        <v>238</v>
      </c>
      <c r="FR3581" s="5" t="s">
        <v>238</v>
      </c>
      <c r="FS3581" s="5" t="s">
        <v>238</v>
      </c>
      <c r="FT3581" s="5" t="s">
        <v>238</v>
      </c>
      <c r="FU3581" s="5" t="s">
        <v>238</v>
      </c>
      <c r="FV3581" s="5" t="s">
        <v>238</v>
      </c>
      <c r="FW3581" s="5" t="s">
        <v>238</v>
      </c>
      <c r="FX3581" s="5" t="s">
        <v>238</v>
      </c>
      <c r="FY3581" s="5" t="s">
        <v>238</v>
      </c>
      <c r="FZ3581" s="5" t="s">
        <v>238</v>
      </c>
      <c r="GA3581" s="5" t="s">
        <v>238</v>
      </c>
      <c r="GB3581" s="5" t="s">
        <v>238</v>
      </c>
      <c r="GC3581" s="5" t="s">
        <v>238</v>
      </c>
      <c r="GD3581" s="5" t="s">
        <v>238</v>
      </c>
      <c r="GE3581" s="5" t="s">
        <v>238</v>
      </c>
      <c r="GF3581" s="5" t="s">
        <v>238</v>
      </c>
      <c r="GG3581" s="5" t="s">
        <v>238</v>
      </c>
      <c r="GH3581" s="5" t="s">
        <v>238</v>
      </c>
      <c r="GI3581" s="5" t="s">
        <v>238</v>
      </c>
      <c r="GJ3581" s="5" t="s">
        <v>238</v>
      </c>
      <c r="GK3581" s="5" t="s">
        <v>238</v>
      </c>
      <c r="GL3581" s="5" t="s">
        <v>238</v>
      </c>
      <c r="GM3581" s="5" t="s">
        <v>238</v>
      </c>
      <c r="GN3581" s="5" t="s">
        <v>238</v>
      </c>
      <c r="GO3581" s="5" t="s">
        <v>238</v>
      </c>
      <c r="GP3581" s="5" t="s">
        <v>238</v>
      </c>
      <c r="GQ3581" s="5" t="s">
        <v>238</v>
      </c>
      <c r="GR3581" s="5" t="s">
        <v>238</v>
      </c>
      <c r="GS3581" s="5" t="s">
        <v>238</v>
      </c>
      <c r="GT3581" s="5" t="s">
        <v>238</v>
      </c>
      <c r="GU3581" s="5" t="s">
        <v>238</v>
      </c>
      <c r="GV3581" s="5" t="s">
        <v>238</v>
      </c>
      <c r="GW3581" s="5" t="s">
        <v>238</v>
      </c>
      <c r="GX3581" s="5" t="s">
        <v>238</v>
      </c>
      <c r="GY3581" s="5" t="s">
        <v>238</v>
      </c>
      <c r="GZ3581" s="5" t="s">
        <v>238</v>
      </c>
      <c r="HA3581" s="5" t="s">
        <v>238</v>
      </c>
      <c r="HB3581" s="5" t="s">
        <v>238</v>
      </c>
      <c r="HC3581" s="5" t="s">
        <v>238</v>
      </c>
      <c r="HD3581" s="5" t="s">
        <v>238</v>
      </c>
      <c r="HE3581" s="5" t="s">
        <v>238</v>
      </c>
      <c r="HF3581" s="5" t="s">
        <v>238</v>
      </c>
      <c r="HG3581" s="5" t="s">
        <v>238</v>
      </c>
      <c r="HH3581" s="5" t="s">
        <v>238</v>
      </c>
      <c r="HI3581" s="5" t="s">
        <v>238</v>
      </c>
      <c r="HJ3581" s="5" t="s">
        <v>238</v>
      </c>
      <c r="HK3581" s="5" t="s">
        <v>238</v>
      </c>
      <c r="HL3581" s="5" t="s">
        <v>238</v>
      </c>
      <c r="HM3581" s="5" t="s">
        <v>264</v>
      </c>
      <c r="HN3581" s="5" t="s">
        <v>238</v>
      </c>
      <c r="HO3581" s="5" t="s">
        <v>238</v>
      </c>
      <c r="HP3581" s="5" t="s">
        <v>238</v>
      </c>
      <c r="HQ3581" s="5" t="s">
        <v>238</v>
      </c>
      <c r="HR3581" s="5" t="s">
        <v>238</v>
      </c>
      <c r="HS3581" s="5" t="s">
        <v>238</v>
      </c>
      <c r="HT3581" s="5" t="s">
        <v>238</v>
      </c>
      <c r="HU3581" s="5" t="s">
        <v>238</v>
      </c>
      <c r="HV3581" s="5" t="s">
        <v>238</v>
      </c>
      <c r="HW3581" s="5" t="s">
        <v>238</v>
      </c>
      <c r="HX3581" s="5" t="s">
        <v>238</v>
      </c>
      <c r="HY3581" s="5" t="s">
        <v>238</v>
      </c>
      <c r="HZ3581" s="5" t="s">
        <v>238</v>
      </c>
      <c r="IA3581" s="5" t="s">
        <v>238</v>
      </c>
      <c r="IB3581" s="5" t="s">
        <v>238</v>
      </c>
      <c r="IC3581" s="5" t="s">
        <v>238</v>
      </c>
      <c r="ID3581" s="5" t="s">
        <v>238</v>
      </c>
    </row>
    <row r="3582" spans="1:238" x14ac:dyDescent="0.4">
      <c r="A3582" s="5">
        <v>9300</v>
      </c>
      <c r="B3582" s="5">
        <v>1</v>
      </c>
      <c r="C3582" s="5">
        <v>1</v>
      </c>
      <c r="D3582" s="5" t="s">
        <v>484</v>
      </c>
      <c r="E3582" s="5" t="s">
        <v>485</v>
      </c>
      <c r="F3582" s="5" t="s">
        <v>248</v>
      </c>
      <c r="G3582" s="5" t="s">
        <v>6440</v>
      </c>
      <c r="H3582" s="6" t="s">
        <v>6441</v>
      </c>
      <c r="I3582" s="8">
        <f>1</f>
        <v>1</v>
      </c>
      <c r="J3582" s="5" t="s">
        <v>499</v>
      </c>
      <c r="K3582" s="8">
        <f>1</f>
        <v>1</v>
      </c>
      <c r="L3582" s="6" t="s">
        <v>242</v>
      </c>
      <c r="M3582" s="5" t="s">
        <v>267</v>
      </c>
      <c r="N3582" s="5" t="s">
        <v>482</v>
      </c>
      <c r="O3582" s="5" t="s">
        <v>238</v>
      </c>
      <c r="P3582" s="5" t="s">
        <v>238</v>
      </c>
      <c r="Q3582" s="5" t="s">
        <v>239</v>
      </c>
      <c r="R3582" s="5" t="s">
        <v>270</v>
      </c>
      <c r="S3582" s="5" t="s">
        <v>238</v>
      </c>
      <c r="T3582" s="5" t="s">
        <v>238</v>
      </c>
      <c r="U3582" s="5" t="s">
        <v>238</v>
      </c>
      <c r="V3582" s="5" t="s">
        <v>238</v>
      </c>
      <c r="W3582" s="6" t="s">
        <v>238</v>
      </c>
      <c r="X3582" s="6" t="s">
        <v>238</v>
      </c>
      <c r="Y3582" s="5" t="s">
        <v>238</v>
      </c>
      <c r="Z3582" s="6" t="s">
        <v>238</v>
      </c>
      <c r="AA3582" s="6" t="s">
        <v>243</v>
      </c>
      <c r="AB3582" s="5" t="s">
        <v>486</v>
      </c>
      <c r="AC3582" s="5" t="s">
        <v>244</v>
      </c>
      <c r="AD3582" s="5" t="s">
        <v>245</v>
      </c>
      <c r="AE3582" s="5" t="s">
        <v>238</v>
      </c>
      <c r="AF3582" s="5" t="s">
        <v>238</v>
      </c>
      <c r="AG3582" s="5" t="s">
        <v>238</v>
      </c>
      <c r="AH3582" s="5" t="s">
        <v>238</v>
      </c>
      <c r="AI3582" s="5" t="s">
        <v>238</v>
      </c>
      <c r="AJ3582" s="5" t="s">
        <v>238</v>
      </c>
      <c r="AK3582" s="5" t="s">
        <v>238</v>
      </c>
      <c r="AL3582" s="5" t="s">
        <v>238</v>
      </c>
      <c r="AM3582" s="6" t="s">
        <v>238</v>
      </c>
      <c r="AN3582" s="6" t="s">
        <v>238</v>
      </c>
      <c r="AO3582" s="6" t="s">
        <v>238</v>
      </c>
      <c r="AP3582" s="6" t="s">
        <v>238</v>
      </c>
      <c r="AQ3582" s="5" t="s">
        <v>238</v>
      </c>
      <c r="AR3582" s="5" t="s">
        <v>488</v>
      </c>
      <c r="AS3582" s="5" t="s">
        <v>488</v>
      </c>
      <c r="AT3582" s="5" t="s">
        <v>246</v>
      </c>
      <c r="AU3582" s="5" t="s">
        <v>489</v>
      </c>
      <c r="AV3582" s="5" t="s">
        <v>247</v>
      </c>
      <c r="AW3582" s="5" t="s">
        <v>238</v>
      </c>
      <c r="AX3582" s="5" t="s">
        <v>249</v>
      </c>
      <c r="AY3582" s="5" t="s">
        <v>490</v>
      </c>
      <c r="BA3582" s="5" t="s">
        <v>238</v>
      </c>
      <c r="BC3582" s="5" t="s">
        <v>491</v>
      </c>
      <c r="BD3582" s="6" t="s">
        <v>492</v>
      </c>
      <c r="BE3582" s="5" t="s">
        <v>493</v>
      </c>
      <c r="BF3582" s="5" t="s">
        <v>493</v>
      </c>
      <c r="BG3582" s="5" t="s">
        <v>238</v>
      </c>
      <c r="BH3582" s="8">
        <f>1</f>
        <v>1</v>
      </c>
      <c r="BI3582" s="8">
        <f>1</f>
        <v>1</v>
      </c>
      <c r="BJ3582" s="5" t="s">
        <v>253</v>
      </c>
      <c r="BK3582" s="5" t="s">
        <v>254</v>
      </c>
      <c r="BL3582" s="5" t="s">
        <v>238</v>
      </c>
      <c r="BM3582" s="5" t="s">
        <v>238</v>
      </c>
      <c r="BN3582" s="5" t="s">
        <v>238</v>
      </c>
      <c r="BO3582" s="5" t="s">
        <v>238</v>
      </c>
      <c r="BP3582" s="5" t="s">
        <v>238</v>
      </c>
      <c r="BQ3582" s="5" t="s">
        <v>238</v>
      </c>
      <c r="BR3582" s="5" t="s">
        <v>238</v>
      </c>
      <c r="BS3582" s="5" t="s">
        <v>238</v>
      </c>
      <c r="BT3582" s="6" t="s">
        <v>238</v>
      </c>
      <c r="BU3582" s="5" t="s">
        <v>238</v>
      </c>
      <c r="BV3582" s="5" t="s">
        <v>238</v>
      </c>
      <c r="BW3582" s="5" t="s">
        <v>238</v>
      </c>
      <c r="BX3582" s="5" t="s">
        <v>254</v>
      </c>
      <c r="BY3582" s="5" t="s">
        <v>238</v>
      </c>
      <c r="BZ3582" s="5" t="s">
        <v>238</v>
      </c>
      <c r="CA3582" s="5" t="s">
        <v>238</v>
      </c>
      <c r="CB3582" s="5" t="s">
        <v>238</v>
      </c>
      <c r="CC3582" s="5" t="s">
        <v>238</v>
      </c>
      <c r="CD3582" s="5" t="s">
        <v>273</v>
      </c>
      <c r="CE3582" s="5" t="s">
        <v>256</v>
      </c>
      <c r="CF3582" s="5" t="s">
        <v>238</v>
      </c>
      <c r="CH3582" s="5" t="s">
        <v>494</v>
      </c>
      <c r="CI3582" s="6" t="s">
        <v>257</v>
      </c>
      <c r="CJ3582" s="5" t="s">
        <v>495</v>
      </c>
      <c r="CK3582" s="5" t="s">
        <v>258</v>
      </c>
      <c r="CL3582" s="5" t="s">
        <v>496</v>
      </c>
      <c r="CM3582" s="5" t="s">
        <v>238</v>
      </c>
      <c r="CN3582" s="5">
        <v>0</v>
      </c>
      <c r="CO3582" s="5" t="s">
        <v>497</v>
      </c>
      <c r="CP3582" s="5" t="s">
        <v>260</v>
      </c>
      <c r="CQ3582" s="5" t="s">
        <v>260</v>
      </c>
      <c r="CR3582" s="5" t="s">
        <v>261</v>
      </c>
      <c r="CS3582" s="5" t="s">
        <v>498</v>
      </c>
      <c r="CT3582" s="7">
        <f>1</f>
        <v>1</v>
      </c>
      <c r="CU3582" s="8">
        <f>1</f>
        <v>1</v>
      </c>
      <c r="CV3582" s="8">
        <f>0</f>
        <v>0</v>
      </c>
      <c r="CX3582" s="8">
        <f>1</f>
        <v>1</v>
      </c>
      <c r="CY3582" s="8">
        <f>1</f>
        <v>1</v>
      </c>
      <c r="CZ3582" s="8" t="s">
        <v>238</v>
      </c>
      <c r="DA3582" s="5" t="s">
        <v>238</v>
      </c>
      <c r="DB3582" s="5" t="s">
        <v>238</v>
      </c>
      <c r="DC3582" s="5" t="s">
        <v>238</v>
      </c>
      <c r="DD3582" s="5" t="s">
        <v>238</v>
      </c>
      <c r="DE3582" s="8">
        <f>0</f>
        <v>0</v>
      </c>
      <c r="DG3582" s="5" t="s">
        <v>238</v>
      </c>
      <c r="DH3582" s="5" t="s">
        <v>238</v>
      </c>
      <c r="DI3582" s="5" t="s">
        <v>238</v>
      </c>
      <c r="DJ3582" s="5" t="s">
        <v>238</v>
      </c>
      <c r="DK3582" s="5" t="s">
        <v>238</v>
      </c>
      <c r="DL3582" s="5" t="s">
        <v>238</v>
      </c>
      <c r="DM3582" s="8" t="s">
        <v>238</v>
      </c>
      <c r="DN3582" s="5" t="s">
        <v>238</v>
      </c>
      <c r="DO3582" s="5" t="s">
        <v>238</v>
      </c>
      <c r="DP3582" s="5" t="s">
        <v>490</v>
      </c>
      <c r="DQ3582" s="5" t="s">
        <v>490</v>
      </c>
      <c r="DR3582" s="5" t="s">
        <v>238</v>
      </c>
      <c r="DS3582" s="5" t="s">
        <v>238</v>
      </c>
      <c r="DT3582" s="5" t="s">
        <v>500</v>
      </c>
      <c r="DU3582" s="5" t="s">
        <v>368</v>
      </c>
      <c r="DV3582" s="5" t="s">
        <v>238</v>
      </c>
      <c r="DW3582" s="5" t="s">
        <v>238</v>
      </c>
      <c r="DX3582" s="5" t="s">
        <v>238</v>
      </c>
      <c r="DY3582" s="5" t="s">
        <v>238</v>
      </c>
      <c r="DZ3582" s="5" t="s">
        <v>238</v>
      </c>
      <c r="EA3582" s="5" t="s">
        <v>238</v>
      </c>
      <c r="EB3582" s="5" t="s">
        <v>238</v>
      </c>
      <c r="EC3582" s="5" t="s">
        <v>238</v>
      </c>
      <c r="ED3582" s="5" t="s">
        <v>238</v>
      </c>
      <c r="EE3582" s="5" t="s">
        <v>238</v>
      </c>
      <c r="EF3582" s="5" t="s">
        <v>238</v>
      </c>
      <c r="EG3582" s="5" t="s">
        <v>238</v>
      </c>
      <c r="EH3582" s="5" t="s">
        <v>238</v>
      </c>
      <c r="EI3582" s="5" t="s">
        <v>238</v>
      </c>
      <c r="EJ3582" s="5" t="s">
        <v>238</v>
      </c>
      <c r="EK3582" s="5" t="s">
        <v>238</v>
      </c>
      <c r="EL3582" s="5" t="s">
        <v>238</v>
      </c>
      <c r="EM3582" s="5" t="s">
        <v>238</v>
      </c>
      <c r="EN3582" s="5" t="s">
        <v>238</v>
      </c>
      <c r="EO3582" s="5" t="s">
        <v>238</v>
      </c>
      <c r="EP3582" s="5" t="s">
        <v>238</v>
      </c>
      <c r="EQ3582" s="5" t="s">
        <v>238</v>
      </c>
      <c r="ER3582" s="5" t="s">
        <v>238</v>
      </c>
      <c r="ES3582" s="5" t="s">
        <v>238</v>
      </c>
      <c r="ET3582" s="5" t="s">
        <v>238</v>
      </c>
      <c r="EU3582" s="5" t="s">
        <v>238</v>
      </c>
      <c r="EV3582" s="5" t="s">
        <v>238</v>
      </c>
      <c r="EW3582" s="5" t="s">
        <v>238</v>
      </c>
      <c r="EX3582" s="5" t="s">
        <v>238</v>
      </c>
      <c r="EY3582" s="5" t="s">
        <v>238</v>
      </c>
      <c r="EZ3582" s="5" t="s">
        <v>238</v>
      </c>
      <c r="FA3582" s="5" t="s">
        <v>238</v>
      </c>
      <c r="FB3582" s="5" t="s">
        <v>238</v>
      </c>
      <c r="FC3582" s="5" t="s">
        <v>238</v>
      </c>
      <c r="FD3582" s="5" t="s">
        <v>238</v>
      </c>
      <c r="FE3582" s="5" t="s">
        <v>238</v>
      </c>
      <c r="FF3582" s="5" t="s">
        <v>238</v>
      </c>
      <c r="FG3582" s="5" t="s">
        <v>238</v>
      </c>
      <c r="FH3582" s="5" t="s">
        <v>238</v>
      </c>
      <c r="FI3582" s="5" t="s">
        <v>238</v>
      </c>
      <c r="FJ3582" s="5" t="s">
        <v>238</v>
      </c>
      <c r="FK3582" s="5" t="s">
        <v>238</v>
      </c>
      <c r="FL3582" s="5" t="s">
        <v>238</v>
      </c>
      <c r="FM3582" s="5" t="s">
        <v>238</v>
      </c>
      <c r="FN3582" s="5" t="s">
        <v>238</v>
      </c>
      <c r="FO3582" s="5" t="s">
        <v>238</v>
      </c>
      <c r="FP3582" s="5" t="s">
        <v>238</v>
      </c>
      <c r="FQ3582" s="5" t="s">
        <v>238</v>
      </c>
      <c r="FR3582" s="5" t="s">
        <v>238</v>
      </c>
      <c r="FS3582" s="5" t="s">
        <v>238</v>
      </c>
      <c r="FT3582" s="5" t="s">
        <v>238</v>
      </c>
      <c r="FU3582" s="5" t="s">
        <v>238</v>
      </c>
      <c r="FV3582" s="5" t="s">
        <v>238</v>
      </c>
      <c r="FW3582" s="5" t="s">
        <v>238</v>
      </c>
      <c r="FX3582" s="5" t="s">
        <v>238</v>
      </c>
      <c r="FY3582" s="5" t="s">
        <v>238</v>
      </c>
      <c r="FZ3582" s="5" t="s">
        <v>238</v>
      </c>
      <c r="GA3582" s="5" t="s">
        <v>238</v>
      </c>
      <c r="GB3582" s="5" t="s">
        <v>238</v>
      </c>
      <c r="GC3582" s="5" t="s">
        <v>238</v>
      </c>
      <c r="GD3582" s="5" t="s">
        <v>238</v>
      </c>
      <c r="GE3582" s="5" t="s">
        <v>238</v>
      </c>
      <c r="GF3582" s="5" t="s">
        <v>238</v>
      </c>
      <c r="GG3582" s="5" t="s">
        <v>238</v>
      </c>
      <c r="GH3582" s="5" t="s">
        <v>238</v>
      </c>
      <c r="GI3582" s="5" t="s">
        <v>238</v>
      </c>
      <c r="GJ3582" s="5" t="s">
        <v>238</v>
      </c>
      <c r="GK3582" s="5" t="s">
        <v>238</v>
      </c>
      <c r="GL3582" s="5" t="s">
        <v>238</v>
      </c>
      <c r="GM3582" s="5" t="s">
        <v>238</v>
      </c>
      <c r="GN3582" s="5" t="s">
        <v>238</v>
      </c>
      <c r="GO3582" s="5" t="s">
        <v>238</v>
      </c>
      <c r="GP3582" s="5" t="s">
        <v>238</v>
      </c>
      <c r="GQ3582" s="5" t="s">
        <v>238</v>
      </c>
      <c r="GR3582" s="5" t="s">
        <v>238</v>
      </c>
      <c r="GS3582" s="5" t="s">
        <v>238</v>
      </c>
      <c r="GT3582" s="5" t="s">
        <v>238</v>
      </c>
      <c r="GU3582" s="5" t="s">
        <v>238</v>
      </c>
      <c r="GV3582" s="5" t="s">
        <v>238</v>
      </c>
      <c r="GW3582" s="5" t="s">
        <v>238</v>
      </c>
      <c r="GX3582" s="5" t="s">
        <v>238</v>
      </c>
      <c r="GY3582" s="5" t="s">
        <v>238</v>
      </c>
      <c r="GZ3582" s="5" t="s">
        <v>238</v>
      </c>
      <c r="HA3582" s="5" t="s">
        <v>238</v>
      </c>
      <c r="HB3582" s="5" t="s">
        <v>238</v>
      </c>
      <c r="HC3582" s="5" t="s">
        <v>238</v>
      </c>
      <c r="HD3582" s="5" t="s">
        <v>238</v>
      </c>
      <c r="HE3582" s="5" t="s">
        <v>238</v>
      </c>
      <c r="HF3582" s="5" t="s">
        <v>238</v>
      </c>
      <c r="HG3582" s="5" t="s">
        <v>238</v>
      </c>
      <c r="HH3582" s="5" t="s">
        <v>238</v>
      </c>
      <c r="HI3582" s="5" t="s">
        <v>238</v>
      </c>
      <c r="HJ3582" s="5" t="s">
        <v>238</v>
      </c>
      <c r="HK3582" s="5" t="s">
        <v>238</v>
      </c>
      <c r="HL3582" s="5" t="s">
        <v>238</v>
      </c>
      <c r="HM3582" s="5" t="s">
        <v>264</v>
      </c>
      <c r="HN3582" s="5" t="s">
        <v>238</v>
      </c>
      <c r="HO3582" s="5" t="s">
        <v>238</v>
      </c>
      <c r="HP3582" s="5" t="s">
        <v>238</v>
      </c>
      <c r="HQ3582" s="5" t="s">
        <v>238</v>
      </c>
      <c r="HR3582" s="5" t="s">
        <v>238</v>
      </c>
      <c r="HS3582" s="5" t="s">
        <v>238</v>
      </c>
      <c r="HT3582" s="5" t="s">
        <v>238</v>
      </c>
      <c r="HU3582" s="5" t="s">
        <v>238</v>
      </c>
      <c r="HV3582" s="5" t="s">
        <v>238</v>
      </c>
      <c r="HW3582" s="5" t="s">
        <v>238</v>
      </c>
      <c r="HX3582" s="5" t="s">
        <v>238</v>
      </c>
      <c r="HY3582" s="5" t="s">
        <v>238</v>
      </c>
      <c r="HZ3582" s="5" t="s">
        <v>238</v>
      </c>
      <c r="IA3582" s="5" t="s">
        <v>238</v>
      </c>
      <c r="IB3582" s="5" t="s">
        <v>238</v>
      </c>
      <c r="IC3582" s="5" t="s">
        <v>238</v>
      </c>
      <c r="ID3582" s="5" t="s">
        <v>238</v>
      </c>
    </row>
    <row r="3583" spans="1:238" x14ac:dyDescent="0.4">
      <c r="A3583" s="5">
        <v>9301</v>
      </c>
      <c r="B3583" s="5">
        <v>1</v>
      </c>
      <c r="C3583" s="5">
        <v>1</v>
      </c>
      <c r="D3583" s="5" t="s">
        <v>484</v>
      </c>
      <c r="E3583" s="5" t="s">
        <v>485</v>
      </c>
      <c r="F3583" s="5" t="s">
        <v>248</v>
      </c>
      <c r="G3583" s="5" t="s">
        <v>4791</v>
      </c>
      <c r="H3583" s="6" t="s">
        <v>4792</v>
      </c>
      <c r="I3583" s="8">
        <f>1</f>
        <v>1</v>
      </c>
      <c r="J3583" s="5" t="s">
        <v>499</v>
      </c>
      <c r="K3583" s="8">
        <f>1</f>
        <v>1</v>
      </c>
      <c r="L3583" s="6" t="s">
        <v>242</v>
      </c>
      <c r="M3583" s="5" t="s">
        <v>267</v>
      </c>
      <c r="N3583" s="5" t="s">
        <v>482</v>
      </c>
      <c r="O3583" s="5" t="s">
        <v>238</v>
      </c>
      <c r="P3583" s="5" t="s">
        <v>238</v>
      </c>
      <c r="Q3583" s="5" t="s">
        <v>239</v>
      </c>
      <c r="R3583" s="5" t="s">
        <v>270</v>
      </c>
      <c r="S3583" s="5" t="s">
        <v>238</v>
      </c>
      <c r="T3583" s="5" t="s">
        <v>238</v>
      </c>
      <c r="U3583" s="5" t="s">
        <v>238</v>
      </c>
      <c r="V3583" s="5" t="s">
        <v>238</v>
      </c>
      <c r="W3583" s="6" t="s">
        <v>238</v>
      </c>
      <c r="X3583" s="6" t="s">
        <v>238</v>
      </c>
      <c r="Y3583" s="5" t="s">
        <v>238</v>
      </c>
      <c r="Z3583" s="6" t="s">
        <v>238</v>
      </c>
      <c r="AA3583" s="6" t="s">
        <v>243</v>
      </c>
      <c r="AB3583" s="5" t="s">
        <v>486</v>
      </c>
      <c r="AC3583" s="5" t="s">
        <v>244</v>
      </c>
      <c r="AD3583" s="5" t="s">
        <v>245</v>
      </c>
      <c r="AE3583" s="5" t="s">
        <v>238</v>
      </c>
      <c r="AF3583" s="5" t="s">
        <v>238</v>
      </c>
      <c r="AG3583" s="5" t="s">
        <v>238</v>
      </c>
      <c r="AH3583" s="5" t="s">
        <v>238</v>
      </c>
      <c r="AI3583" s="5" t="s">
        <v>238</v>
      </c>
      <c r="AJ3583" s="5" t="s">
        <v>238</v>
      </c>
      <c r="AK3583" s="5" t="s">
        <v>238</v>
      </c>
      <c r="AL3583" s="5" t="s">
        <v>238</v>
      </c>
      <c r="AM3583" s="6" t="s">
        <v>238</v>
      </c>
      <c r="AN3583" s="6" t="s">
        <v>238</v>
      </c>
      <c r="AO3583" s="6" t="s">
        <v>238</v>
      </c>
      <c r="AP3583" s="6" t="s">
        <v>238</v>
      </c>
      <c r="AQ3583" s="5" t="s">
        <v>238</v>
      </c>
      <c r="AR3583" s="5" t="s">
        <v>488</v>
      </c>
      <c r="AS3583" s="5" t="s">
        <v>488</v>
      </c>
      <c r="AT3583" s="5" t="s">
        <v>246</v>
      </c>
      <c r="AU3583" s="5" t="s">
        <v>489</v>
      </c>
      <c r="AV3583" s="5" t="s">
        <v>247</v>
      </c>
      <c r="AW3583" s="5" t="s">
        <v>238</v>
      </c>
      <c r="AX3583" s="5" t="s">
        <v>249</v>
      </c>
      <c r="AY3583" s="5" t="s">
        <v>490</v>
      </c>
      <c r="BA3583" s="5" t="s">
        <v>238</v>
      </c>
      <c r="BC3583" s="5" t="s">
        <v>491</v>
      </c>
      <c r="BD3583" s="6" t="s">
        <v>492</v>
      </c>
      <c r="BE3583" s="5" t="s">
        <v>493</v>
      </c>
      <c r="BF3583" s="5" t="s">
        <v>493</v>
      </c>
      <c r="BG3583" s="5" t="s">
        <v>238</v>
      </c>
      <c r="BH3583" s="8">
        <f>1</f>
        <v>1</v>
      </c>
      <c r="BI3583" s="8">
        <f>1</f>
        <v>1</v>
      </c>
      <c r="BJ3583" s="5" t="s">
        <v>253</v>
      </c>
      <c r="BK3583" s="5" t="s">
        <v>254</v>
      </c>
      <c r="BL3583" s="5" t="s">
        <v>238</v>
      </c>
      <c r="BM3583" s="5" t="s">
        <v>238</v>
      </c>
      <c r="BN3583" s="5" t="s">
        <v>238</v>
      </c>
      <c r="BO3583" s="5" t="s">
        <v>238</v>
      </c>
      <c r="BP3583" s="5" t="s">
        <v>238</v>
      </c>
      <c r="BQ3583" s="5" t="s">
        <v>238</v>
      </c>
      <c r="BR3583" s="5" t="s">
        <v>238</v>
      </c>
      <c r="BS3583" s="5" t="s">
        <v>238</v>
      </c>
      <c r="BT3583" s="6" t="s">
        <v>238</v>
      </c>
      <c r="BU3583" s="5" t="s">
        <v>238</v>
      </c>
      <c r="BV3583" s="5" t="s">
        <v>238</v>
      </c>
      <c r="BW3583" s="5" t="s">
        <v>238</v>
      </c>
      <c r="BX3583" s="5" t="s">
        <v>254</v>
      </c>
      <c r="BY3583" s="5" t="s">
        <v>238</v>
      </c>
      <c r="BZ3583" s="5" t="s">
        <v>238</v>
      </c>
      <c r="CA3583" s="5" t="s">
        <v>238</v>
      </c>
      <c r="CB3583" s="5" t="s">
        <v>238</v>
      </c>
      <c r="CC3583" s="5" t="s">
        <v>238</v>
      </c>
      <c r="CD3583" s="5" t="s">
        <v>273</v>
      </c>
      <c r="CE3583" s="5" t="s">
        <v>256</v>
      </c>
      <c r="CF3583" s="5" t="s">
        <v>238</v>
      </c>
      <c r="CH3583" s="5" t="s">
        <v>494</v>
      </c>
      <c r="CI3583" s="6" t="s">
        <v>257</v>
      </c>
      <c r="CJ3583" s="5" t="s">
        <v>495</v>
      </c>
      <c r="CK3583" s="5" t="s">
        <v>258</v>
      </c>
      <c r="CL3583" s="5" t="s">
        <v>496</v>
      </c>
      <c r="CM3583" s="5" t="s">
        <v>238</v>
      </c>
      <c r="CN3583" s="5">
        <v>0</v>
      </c>
      <c r="CO3583" s="5" t="s">
        <v>497</v>
      </c>
      <c r="CP3583" s="5" t="s">
        <v>260</v>
      </c>
      <c r="CQ3583" s="5" t="s">
        <v>260</v>
      </c>
      <c r="CR3583" s="5" t="s">
        <v>261</v>
      </c>
      <c r="CS3583" s="5" t="s">
        <v>498</v>
      </c>
      <c r="CT3583" s="7">
        <f>1</f>
        <v>1</v>
      </c>
      <c r="CU3583" s="8">
        <f>1</f>
        <v>1</v>
      </c>
      <c r="CV3583" s="8">
        <f>0</f>
        <v>0</v>
      </c>
      <c r="CX3583" s="8">
        <f>1</f>
        <v>1</v>
      </c>
      <c r="CY3583" s="8">
        <f>1</f>
        <v>1</v>
      </c>
      <c r="CZ3583" s="8" t="s">
        <v>238</v>
      </c>
      <c r="DA3583" s="5" t="s">
        <v>238</v>
      </c>
      <c r="DB3583" s="5" t="s">
        <v>238</v>
      </c>
      <c r="DC3583" s="5" t="s">
        <v>238</v>
      </c>
      <c r="DD3583" s="5" t="s">
        <v>238</v>
      </c>
      <c r="DE3583" s="8">
        <f>0</f>
        <v>0</v>
      </c>
      <c r="DG3583" s="5" t="s">
        <v>238</v>
      </c>
      <c r="DH3583" s="5" t="s">
        <v>238</v>
      </c>
      <c r="DI3583" s="5" t="s">
        <v>238</v>
      </c>
      <c r="DJ3583" s="5" t="s">
        <v>238</v>
      </c>
      <c r="DK3583" s="5" t="s">
        <v>238</v>
      </c>
      <c r="DL3583" s="5" t="s">
        <v>238</v>
      </c>
      <c r="DM3583" s="8" t="s">
        <v>238</v>
      </c>
      <c r="DN3583" s="5" t="s">
        <v>238</v>
      </c>
      <c r="DO3583" s="5" t="s">
        <v>238</v>
      </c>
      <c r="DP3583" s="5" t="s">
        <v>490</v>
      </c>
      <c r="DQ3583" s="5" t="s">
        <v>490</v>
      </c>
      <c r="DR3583" s="5" t="s">
        <v>238</v>
      </c>
      <c r="DS3583" s="5" t="s">
        <v>238</v>
      </c>
      <c r="DT3583" s="5" t="s">
        <v>500</v>
      </c>
      <c r="DU3583" s="5" t="s">
        <v>352</v>
      </c>
      <c r="DV3583" s="5" t="s">
        <v>238</v>
      </c>
      <c r="DW3583" s="5" t="s">
        <v>238</v>
      </c>
      <c r="DX3583" s="5" t="s">
        <v>238</v>
      </c>
      <c r="DY3583" s="5" t="s">
        <v>238</v>
      </c>
      <c r="DZ3583" s="5" t="s">
        <v>238</v>
      </c>
      <c r="EA3583" s="5" t="s">
        <v>238</v>
      </c>
      <c r="EB3583" s="5" t="s">
        <v>238</v>
      </c>
      <c r="EC3583" s="5" t="s">
        <v>238</v>
      </c>
      <c r="ED3583" s="5" t="s">
        <v>238</v>
      </c>
      <c r="EE3583" s="5" t="s">
        <v>238</v>
      </c>
      <c r="EF3583" s="5" t="s">
        <v>238</v>
      </c>
      <c r="EG3583" s="5" t="s">
        <v>238</v>
      </c>
      <c r="EH3583" s="5" t="s">
        <v>238</v>
      </c>
      <c r="EI3583" s="5" t="s">
        <v>238</v>
      </c>
      <c r="EJ3583" s="5" t="s">
        <v>238</v>
      </c>
      <c r="EK3583" s="5" t="s">
        <v>238</v>
      </c>
      <c r="EL3583" s="5" t="s">
        <v>238</v>
      </c>
      <c r="EM3583" s="5" t="s">
        <v>238</v>
      </c>
      <c r="EN3583" s="5" t="s">
        <v>238</v>
      </c>
      <c r="EO3583" s="5" t="s">
        <v>238</v>
      </c>
      <c r="EP3583" s="5" t="s">
        <v>238</v>
      </c>
      <c r="EQ3583" s="5" t="s">
        <v>238</v>
      </c>
      <c r="ER3583" s="5" t="s">
        <v>238</v>
      </c>
      <c r="ES3583" s="5" t="s">
        <v>238</v>
      </c>
      <c r="ET3583" s="5" t="s">
        <v>238</v>
      </c>
      <c r="EU3583" s="5" t="s">
        <v>238</v>
      </c>
      <c r="EV3583" s="5" t="s">
        <v>238</v>
      </c>
      <c r="EW3583" s="5" t="s">
        <v>238</v>
      </c>
      <c r="EX3583" s="5" t="s">
        <v>238</v>
      </c>
      <c r="EY3583" s="5" t="s">
        <v>238</v>
      </c>
      <c r="EZ3583" s="5" t="s">
        <v>238</v>
      </c>
      <c r="FA3583" s="5" t="s">
        <v>238</v>
      </c>
      <c r="FB3583" s="5" t="s">
        <v>238</v>
      </c>
      <c r="FC3583" s="5" t="s">
        <v>238</v>
      </c>
      <c r="FD3583" s="5" t="s">
        <v>238</v>
      </c>
      <c r="FE3583" s="5" t="s">
        <v>238</v>
      </c>
      <c r="FF3583" s="5" t="s">
        <v>238</v>
      </c>
      <c r="FG3583" s="5" t="s">
        <v>238</v>
      </c>
      <c r="FH3583" s="5" t="s">
        <v>238</v>
      </c>
      <c r="FI3583" s="5" t="s">
        <v>238</v>
      </c>
      <c r="FJ3583" s="5" t="s">
        <v>238</v>
      </c>
      <c r="FK3583" s="5" t="s">
        <v>238</v>
      </c>
      <c r="FL3583" s="5" t="s">
        <v>238</v>
      </c>
      <c r="FM3583" s="5" t="s">
        <v>238</v>
      </c>
      <c r="FN3583" s="5" t="s">
        <v>238</v>
      </c>
      <c r="FO3583" s="5" t="s">
        <v>238</v>
      </c>
      <c r="FP3583" s="5" t="s">
        <v>238</v>
      </c>
      <c r="FQ3583" s="5" t="s">
        <v>238</v>
      </c>
      <c r="FR3583" s="5" t="s">
        <v>238</v>
      </c>
      <c r="FS3583" s="5" t="s">
        <v>238</v>
      </c>
      <c r="FT3583" s="5" t="s">
        <v>238</v>
      </c>
      <c r="FU3583" s="5" t="s">
        <v>238</v>
      </c>
      <c r="FV3583" s="5" t="s">
        <v>238</v>
      </c>
      <c r="FW3583" s="5" t="s">
        <v>238</v>
      </c>
      <c r="FX3583" s="5" t="s">
        <v>238</v>
      </c>
      <c r="FY3583" s="5" t="s">
        <v>238</v>
      </c>
      <c r="FZ3583" s="5" t="s">
        <v>238</v>
      </c>
      <c r="GA3583" s="5" t="s">
        <v>238</v>
      </c>
      <c r="GB3583" s="5" t="s">
        <v>238</v>
      </c>
      <c r="GC3583" s="5" t="s">
        <v>238</v>
      </c>
      <c r="GD3583" s="5" t="s">
        <v>238</v>
      </c>
      <c r="GE3583" s="5" t="s">
        <v>238</v>
      </c>
      <c r="GF3583" s="5" t="s">
        <v>238</v>
      </c>
      <c r="GG3583" s="5" t="s">
        <v>238</v>
      </c>
      <c r="GH3583" s="5" t="s">
        <v>238</v>
      </c>
      <c r="GI3583" s="5" t="s">
        <v>238</v>
      </c>
      <c r="GJ3583" s="5" t="s">
        <v>238</v>
      </c>
      <c r="GK3583" s="5" t="s">
        <v>238</v>
      </c>
      <c r="GL3583" s="5" t="s">
        <v>238</v>
      </c>
      <c r="GM3583" s="5" t="s">
        <v>238</v>
      </c>
      <c r="GN3583" s="5" t="s">
        <v>238</v>
      </c>
      <c r="GO3583" s="5" t="s">
        <v>238</v>
      </c>
      <c r="GP3583" s="5" t="s">
        <v>238</v>
      </c>
      <c r="GQ3583" s="5" t="s">
        <v>238</v>
      </c>
      <c r="GR3583" s="5" t="s">
        <v>238</v>
      </c>
      <c r="GS3583" s="5" t="s">
        <v>238</v>
      </c>
      <c r="GT3583" s="5" t="s">
        <v>238</v>
      </c>
      <c r="GU3583" s="5" t="s">
        <v>238</v>
      </c>
      <c r="GV3583" s="5" t="s">
        <v>238</v>
      </c>
      <c r="GW3583" s="5" t="s">
        <v>238</v>
      </c>
      <c r="GX3583" s="5" t="s">
        <v>238</v>
      </c>
      <c r="GY3583" s="5" t="s">
        <v>238</v>
      </c>
      <c r="GZ3583" s="5" t="s">
        <v>238</v>
      </c>
      <c r="HA3583" s="5" t="s">
        <v>238</v>
      </c>
      <c r="HB3583" s="5" t="s">
        <v>238</v>
      </c>
      <c r="HC3583" s="5" t="s">
        <v>238</v>
      </c>
      <c r="HD3583" s="5" t="s">
        <v>238</v>
      </c>
      <c r="HE3583" s="5" t="s">
        <v>238</v>
      </c>
      <c r="HF3583" s="5" t="s">
        <v>238</v>
      </c>
      <c r="HG3583" s="5" t="s">
        <v>238</v>
      </c>
      <c r="HH3583" s="5" t="s">
        <v>238</v>
      </c>
      <c r="HI3583" s="5" t="s">
        <v>238</v>
      </c>
      <c r="HJ3583" s="5" t="s">
        <v>238</v>
      </c>
      <c r="HK3583" s="5" t="s">
        <v>238</v>
      </c>
      <c r="HL3583" s="5" t="s">
        <v>238</v>
      </c>
      <c r="HM3583" s="5" t="s">
        <v>264</v>
      </c>
      <c r="HN3583" s="5" t="s">
        <v>238</v>
      </c>
      <c r="HO3583" s="5" t="s">
        <v>238</v>
      </c>
      <c r="HP3583" s="5" t="s">
        <v>238</v>
      </c>
      <c r="HQ3583" s="5" t="s">
        <v>238</v>
      </c>
      <c r="HR3583" s="5" t="s">
        <v>238</v>
      </c>
      <c r="HS3583" s="5" t="s">
        <v>238</v>
      </c>
      <c r="HT3583" s="5" t="s">
        <v>238</v>
      </c>
      <c r="HU3583" s="5" t="s">
        <v>238</v>
      </c>
      <c r="HV3583" s="5" t="s">
        <v>238</v>
      </c>
      <c r="HW3583" s="5" t="s">
        <v>238</v>
      </c>
      <c r="HX3583" s="5" t="s">
        <v>238</v>
      </c>
      <c r="HY3583" s="5" t="s">
        <v>238</v>
      </c>
      <c r="HZ3583" s="5" t="s">
        <v>238</v>
      </c>
      <c r="IA3583" s="5" t="s">
        <v>238</v>
      </c>
      <c r="IB3583" s="5" t="s">
        <v>238</v>
      </c>
      <c r="IC3583" s="5" t="s">
        <v>238</v>
      </c>
      <c r="ID3583" s="5" t="s">
        <v>238</v>
      </c>
    </row>
    <row r="3584" spans="1:238" x14ac:dyDescent="0.4">
      <c r="A3584" s="5">
        <v>9302</v>
      </c>
      <c r="B3584" s="5">
        <v>1</v>
      </c>
      <c r="C3584" s="5">
        <v>1</v>
      </c>
      <c r="D3584" s="5" t="s">
        <v>484</v>
      </c>
      <c r="E3584" s="5" t="s">
        <v>485</v>
      </c>
      <c r="F3584" s="5" t="s">
        <v>248</v>
      </c>
      <c r="G3584" s="5" t="s">
        <v>5132</v>
      </c>
      <c r="H3584" s="6" t="s">
        <v>5134</v>
      </c>
      <c r="I3584" s="8">
        <f>1</f>
        <v>1</v>
      </c>
      <c r="J3584" s="5" t="s">
        <v>499</v>
      </c>
      <c r="K3584" s="8">
        <f>1</f>
        <v>1</v>
      </c>
      <c r="L3584" s="6" t="s">
        <v>242</v>
      </c>
      <c r="M3584" s="5" t="s">
        <v>267</v>
      </c>
      <c r="N3584" s="5" t="s">
        <v>482</v>
      </c>
      <c r="O3584" s="5" t="s">
        <v>238</v>
      </c>
      <c r="P3584" s="5" t="s">
        <v>238</v>
      </c>
      <c r="Q3584" s="5" t="s">
        <v>239</v>
      </c>
      <c r="R3584" s="5" t="s">
        <v>270</v>
      </c>
      <c r="S3584" s="5" t="s">
        <v>238</v>
      </c>
      <c r="T3584" s="5" t="s">
        <v>238</v>
      </c>
      <c r="U3584" s="5" t="s">
        <v>238</v>
      </c>
      <c r="V3584" s="5" t="s">
        <v>238</v>
      </c>
      <c r="W3584" s="6" t="s">
        <v>238</v>
      </c>
      <c r="X3584" s="6" t="s">
        <v>238</v>
      </c>
      <c r="Y3584" s="5" t="s">
        <v>238</v>
      </c>
      <c r="Z3584" s="6" t="s">
        <v>238</v>
      </c>
      <c r="AA3584" s="6" t="s">
        <v>243</v>
      </c>
      <c r="AB3584" s="5" t="s">
        <v>5133</v>
      </c>
      <c r="AC3584" s="5" t="s">
        <v>244</v>
      </c>
      <c r="AD3584" s="5" t="s">
        <v>245</v>
      </c>
      <c r="AE3584" s="5" t="s">
        <v>238</v>
      </c>
      <c r="AF3584" s="5" t="s">
        <v>238</v>
      </c>
      <c r="AG3584" s="5" t="s">
        <v>238</v>
      </c>
      <c r="AH3584" s="5" t="s">
        <v>238</v>
      </c>
      <c r="AI3584" s="5" t="s">
        <v>238</v>
      </c>
      <c r="AJ3584" s="5" t="s">
        <v>238</v>
      </c>
      <c r="AK3584" s="5" t="s">
        <v>238</v>
      </c>
      <c r="AL3584" s="5" t="s">
        <v>238</v>
      </c>
      <c r="AM3584" s="6" t="s">
        <v>238</v>
      </c>
      <c r="AN3584" s="6" t="s">
        <v>238</v>
      </c>
      <c r="AO3584" s="6" t="s">
        <v>238</v>
      </c>
      <c r="AP3584" s="6" t="s">
        <v>238</v>
      </c>
      <c r="AQ3584" s="5" t="s">
        <v>238</v>
      </c>
      <c r="AR3584" s="5" t="s">
        <v>488</v>
      </c>
      <c r="AS3584" s="5" t="s">
        <v>488</v>
      </c>
      <c r="AT3584" s="5" t="s">
        <v>246</v>
      </c>
      <c r="AU3584" s="5" t="s">
        <v>489</v>
      </c>
      <c r="AV3584" s="5" t="s">
        <v>247</v>
      </c>
      <c r="AW3584" s="5" t="s">
        <v>238</v>
      </c>
      <c r="AX3584" s="5" t="s">
        <v>249</v>
      </c>
      <c r="AY3584" s="5" t="s">
        <v>490</v>
      </c>
      <c r="BA3584" s="5" t="s">
        <v>238</v>
      </c>
      <c r="BC3584" s="5" t="s">
        <v>491</v>
      </c>
      <c r="BD3584" s="6" t="s">
        <v>492</v>
      </c>
      <c r="BE3584" s="5" t="s">
        <v>493</v>
      </c>
      <c r="BF3584" s="5" t="s">
        <v>493</v>
      </c>
      <c r="BG3584" s="5" t="s">
        <v>238</v>
      </c>
      <c r="BH3584" s="8">
        <f>1</f>
        <v>1</v>
      </c>
      <c r="BI3584" s="8">
        <f>1</f>
        <v>1</v>
      </c>
      <c r="BJ3584" s="5" t="s">
        <v>253</v>
      </c>
      <c r="BK3584" s="5" t="s">
        <v>254</v>
      </c>
      <c r="BL3584" s="5" t="s">
        <v>238</v>
      </c>
      <c r="BM3584" s="5" t="s">
        <v>238</v>
      </c>
      <c r="BN3584" s="5" t="s">
        <v>238</v>
      </c>
      <c r="BO3584" s="5" t="s">
        <v>238</v>
      </c>
      <c r="BP3584" s="5" t="s">
        <v>238</v>
      </c>
      <c r="BQ3584" s="5" t="s">
        <v>238</v>
      </c>
      <c r="BR3584" s="5" t="s">
        <v>238</v>
      </c>
      <c r="BS3584" s="5" t="s">
        <v>238</v>
      </c>
      <c r="BT3584" s="6" t="s">
        <v>238</v>
      </c>
      <c r="BU3584" s="5" t="s">
        <v>238</v>
      </c>
      <c r="BV3584" s="5" t="s">
        <v>238</v>
      </c>
      <c r="BW3584" s="5" t="s">
        <v>238</v>
      </c>
      <c r="BX3584" s="5" t="s">
        <v>254</v>
      </c>
      <c r="BY3584" s="5" t="s">
        <v>238</v>
      </c>
      <c r="BZ3584" s="5" t="s">
        <v>238</v>
      </c>
      <c r="CA3584" s="5" t="s">
        <v>238</v>
      </c>
      <c r="CB3584" s="5" t="s">
        <v>238</v>
      </c>
      <c r="CC3584" s="5" t="s">
        <v>238</v>
      </c>
      <c r="CD3584" s="5" t="s">
        <v>273</v>
      </c>
      <c r="CE3584" s="5" t="s">
        <v>256</v>
      </c>
      <c r="CF3584" s="5" t="s">
        <v>238</v>
      </c>
      <c r="CH3584" s="5" t="s">
        <v>494</v>
      </c>
      <c r="CI3584" s="6" t="s">
        <v>257</v>
      </c>
      <c r="CJ3584" s="5" t="s">
        <v>495</v>
      </c>
      <c r="CK3584" s="5" t="s">
        <v>258</v>
      </c>
      <c r="CL3584" s="5" t="s">
        <v>496</v>
      </c>
      <c r="CM3584" s="5" t="s">
        <v>238</v>
      </c>
      <c r="CN3584" s="5">
        <v>0</v>
      </c>
      <c r="CO3584" s="5" t="s">
        <v>497</v>
      </c>
      <c r="CP3584" s="5" t="s">
        <v>260</v>
      </c>
      <c r="CQ3584" s="5" t="s">
        <v>260</v>
      </c>
      <c r="CR3584" s="5" t="s">
        <v>261</v>
      </c>
      <c r="CS3584" s="5" t="s">
        <v>498</v>
      </c>
      <c r="CT3584" s="7">
        <f>1</f>
        <v>1</v>
      </c>
      <c r="CU3584" s="8">
        <f>1</f>
        <v>1</v>
      </c>
      <c r="CV3584" s="8">
        <f>0</f>
        <v>0</v>
      </c>
      <c r="CX3584" s="8">
        <f>1</f>
        <v>1</v>
      </c>
      <c r="CY3584" s="8">
        <f>1</f>
        <v>1</v>
      </c>
      <c r="CZ3584" s="8" t="s">
        <v>238</v>
      </c>
      <c r="DA3584" s="5" t="s">
        <v>238</v>
      </c>
      <c r="DB3584" s="5" t="s">
        <v>238</v>
      </c>
      <c r="DC3584" s="5" t="s">
        <v>238</v>
      </c>
      <c r="DD3584" s="5" t="s">
        <v>238</v>
      </c>
      <c r="DE3584" s="8">
        <f>0</f>
        <v>0</v>
      </c>
      <c r="DG3584" s="5" t="s">
        <v>238</v>
      </c>
      <c r="DH3584" s="5" t="s">
        <v>238</v>
      </c>
      <c r="DI3584" s="5" t="s">
        <v>238</v>
      </c>
      <c r="DJ3584" s="5" t="s">
        <v>238</v>
      </c>
      <c r="DK3584" s="5" t="s">
        <v>238</v>
      </c>
      <c r="DL3584" s="5" t="s">
        <v>238</v>
      </c>
      <c r="DM3584" s="8" t="s">
        <v>238</v>
      </c>
      <c r="DN3584" s="5" t="s">
        <v>238</v>
      </c>
      <c r="DO3584" s="5" t="s">
        <v>238</v>
      </c>
      <c r="DP3584" s="5" t="s">
        <v>490</v>
      </c>
      <c r="DQ3584" s="5" t="s">
        <v>490</v>
      </c>
      <c r="DR3584" s="5" t="s">
        <v>238</v>
      </c>
      <c r="DS3584" s="5" t="s">
        <v>238</v>
      </c>
      <c r="DT3584" s="5" t="s">
        <v>500</v>
      </c>
      <c r="DU3584" s="5" t="s">
        <v>1217</v>
      </c>
      <c r="DV3584" s="5" t="s">
        <v>238</v>
      </c>
      <c r="DW3584" s="5" t="s">
        <v>238</v>
      </c>
      <c r="DX3584" s="5" t="s">
        <v>238</v>
      </c>
      <c r="DY3584" s="5" t="s">
        <v>238</v>
      </c>
      <c r="DZ3584" s="5" t="s">
        <v>238</v>
      </c>
      <c r="EA3584" s="5" t="s">
        <v>238</v>
      </c>
      <c r="EB3584" s="5" t="s">
        <v>238</v>
      </c>
      <c r="EC3584" s="5" t="s">
        <v>238</v>
      </c>
      <c r="ED3584" s="5" t="s">
        <v>238</v>
      </c>
      <c r="EE3584" s="5" t="s">
        <v>238</v>
      </c>
      <c r="EF3584" s="5" t="s">
        <v>238</v>
      </c>
      <c r="EG3584" s="5" t="s">
        <v>238</v>
      </c>
      <c r="EH3584" s="5" t="s">
        <v>238</v>
      </c>
      <c r="EI3584" s="5" t="s">
        <v>238</v>
      </c>
      <c r="EJ3584" s="5" t="s">
        <v>238</v>
      </c>
      <c r="EK3584" s="5" t="s">
        <v>238</v>
      </c>
      <c r="EL3584" s="5" t="s">
        <v>238</v>
      </c>
      <c r="EM3584" s="5" t="s">
        <v>238</v>
      </c>
      <c r="EN3584" s="5" t="s">
        <v>238</v>
      </c>
      <c r="EO3584" s="5" t="s">
        <v>238</v>
      </c>
      <c r="EP3584" s="5" t="s">
        <v>238</v>
      </c>
      <c r="EQ3584" s="5" t="s">
        <v>238</v>
      </c>
      <c r="ER3584" s="5" t="s">
        <v>238</v>
      </c>
      <c r="ES3584" s="5" t="s">
        <v>238</v>
      </c>
      <c r="ET3584" s="5" t="s">
        <v>238</v>
      </c>
      <c r="EU3584" s="5" t="s">
        <v>238</v>
      </c>
      <c r="EV3584" s="5" t="s">
        <v>238</v>
      </c>
      <c r="EW3584" s="5" t="s">
        <v>238</v>
      </c>
      <c r="EX3584" s="5" t="s">
        <v>238</v>
      </c>
      <c r="EY3584" s="5" t="s">
        <v>238</v>
      </c>
      <c r="EZ3584" s="5" t="s">
        <v>238</v>
      </c>
      <c r="FA3584" s="5" t="s">
        <v>238</v>
      </c>
      <c r="FB3584" s="5" t="s">
        <v>238</v>
      </c>
      <c r="FC3584" s="5" t="s">
        <v>238</v>
      </c>
      <c r="FD3584" s="5" t="s">
        <v>238</v>
      </c>
      <c r="FE3584" s="5" t="s">
        <v>238</v>
      </c>
      <c r="FF3584" s="5" t="s">
        <v>238</v>
      </c>
      <c r="FG3584" s="5" t="s">
        <v>238</v>
      </c>
      <c r="FH3584" s="5" t="s">
        <v>238</v>
      </c>
      <c r="FI3584" s="5" t="s">
        <v>238</v>
      </c>
      <c r="FJ3584" s="5" t="s">
        <v>238</v>
      </c>
      <c r="FK3584" s="5" t="s">
        <v>238</v>
      </c>
      <c r="FL3584" s="5" t="s">
        <v>238</v>
      </c>
      <c r="FM3584" s="5" t="s">
        <v>238</v>
      </c>
      <c r="FN3584" s="5" t="s">
        <v>238</v>
      </c>
      <c r="FO3584" s="5" t="s">
        <v>238</v>
      </c>
      <c r="FP3584" s="5" t="s">
        <v>238</v>
      </c>
      <c r="FQ3584" s="5" t="s">
        <v>238</v>
      </c>
      <c r="FR3584" s="5" t="s">
        <v>238</v>
      </c>
      <c r="FS3584" s="5" t="s">
        <v>238</v>
      </c>
      <c r="FT3584" s="5" t="s">
        <v>238</v>
      </c>
      <c r="FU3584" s="5" t="s">
        <v>238</v>
      </c>
      <c r="FV3584" s="5" t="s">
        <v>238</v>
      </c>
      <c r="FW3584" s="5" t="s">
        <v>238</v>
      </c>
      <c r="FX3584" s="5" t="s">
        <v>238</v>
      </c>
      <c r="FY3584" s="5" t="s">
        <v>238</v>
      </c>
      <c r="FZ3584" s="5" t="s">
        <v>238</v>
      </c>
      <c r="GA3584" s="5" t="s">
        <v>238</v>
      </c>
      <c r="GB3584" s="5" t="s">
        <v>238</v>
      </c>
      <c r="GC3584" s="5" t="s">
        <v>238</v>
      </c>
      <c r="GD3584" s="5" t="s">
        <v>238</v>
      </c>
      <c r="GE3584" s="5" t="s">
        <v>238</v>
      </c>
      <c r="GF3584" s="5" t="s">
        <v>238</v>
      </c>
      <c r="GG3584" s="5" t="s">
        <v>238</v>
      </c>
      <c r="GH3584" s="5" t="s">
        <v>238</v>
      </c>
      <c r="GI3584" s="5" t="s">
        <v>238</v>
      </c>
      <c r="GJ3584" s="5" t="s">
        <v>238</v>
      </c>
      <c r="GK3584" s="5" t="s">
        <v>238</v>
      </c>
      <c r="GL3584" s="5" t="s">
        <v>238</v>
      </c>
      <c r="GM3584" s="5" t="s">
        <v>238</v>
      </c>
      <c r="GN3584" s="5" t="s">
        <v>238</v>
      </c>
      <c r="GO3584" s="5" t="s">
        <v>238</v>
      </c>
      <c r="GP3584" s="5" t="s">
        <v>238</v>
      </c>
      <c r="GQ3584" s="5" t="s">
        <v>238</v>
      </c>
      <c r="GR3584" s="5" t="s">
        <v>238</v>
      </c>
      <c r="GS3584" s="5" t="s">
        <v>238</v>
      </c>
      <c r="GT3584" s="5" t="s">
        <v>238</v>
      </c>
      <c r="GU3584" s="5" t="s">
        <v>238</v>
      </c>
      <c r="GV3584" s="5" t="s">
        <v>238</v>
      </c>
      <c r="GW3584" s="5" t="s">
        <v>238</v>
      </c>
      <c r="GX3584" s="5" t="s">
        <v>238</v>
      </c>
      <c r="GY3584" s="5" t="s">
        <v>238</v>
      </c>
      <c r="GZ3584" s="5" t="s">
        <v>238</v>
      </c>
      <c r="HA3584" s="5" t="s">
        <v>238</v>
      </c>
      <c r="HB3584" s="5" t="s">
        <v>238</v>
      </c>
      <c r="HC3584" s="5" t="s">
        <v>238</v>
      </c>
      <c r="HD3584" s="5" t="s">
        <v>238</v>
      </c>
      <c r="HE3584" s="5" t="s">
        <v>238</v>
      </c>
      <c r="HF3584" s="5" t="s">
        <v>238</v>
      </c>
      <c r="HG3584" s="5" t="s">
        <v>238</v>
      </c>
      <c r="HH3584" s="5" t="s">
        <v>238</v>
      </c>
      <c r="HI3584" s="5" t="s">
        <v>238</v>
      </c>
      <c r="HJ3584" s="5" t="s">
        <v>238</v>
      </c>
      <c r="HK3584" s="5" t="s">
        <v>238</v>
      </c>
      <c r="HL3584" s="5" t="s">
        <v>238</v>
      </c>
      <c r="HM3584" s="5" t="s">
        <v>264</v>
      </c>
      <c r="HN3584" s="5" t="s">
        <v>238</v>
      </c>
      <c r="HO3584" s="5" t="s">
        <v>238</v>
      </c>
      <c r="HP3584" s="5" t="s">
        <v>238</v>
      </c>
      <c r="HQ3584" s="5" t="s">
        <v>238</v>
      </c>
      <c r="HR3584" s="5" t="s">
        <v>238</v>
      </c>
      <c r="HS3584" s="5" t="s">
        <v>238</v>
      </c>
      <c r="HT3584" s="5" t="s">
        <v>238</v>
      </c>
      <c r="HU3584" s="5" t="s">
        <v>238</v>
      </c>
      <c r="HV3584" s="5" t="s">
        <v>238</v>
      </c>
      <c r="HW3584" s="5" t="s">
        <v>238</v>
      </c>
      <c r="HX3584" s="5" t="s">
        <v>238</v>
      </c>
      <c r="HY3584" s="5" t="s">
        <v>238</v>
      </c>
      <c r="HZ3584" s="5" t="s">
        <v>238</v>
      </c>
      <c r="IA3584" s="5" t="s">
        <v>238</v>
      </c>
      <c r="IB3584" s="5" t="s">
        <v>238</v>
      </c>
      <c r="IC3584" s="5" t="s">
        <v>238</v>
      </c>
      <c r="ID3584" s="5" t="s">
        <v>238</v>
      </c>
    </row>
    <row r="3585" spans="1:238" x14ac:dyDescent="0.4">
      <c r="A3585" s="5">
        <v>9303</v>
      </c>
      <c r="B3585" s="5">
        <v>1</v>
      </c>
      <c r="C3585" s="5">
        <v>1</v>
      </c>
      <c r="D3585" s="5" t="s">
        <v>484</v>
      </c>
      <c r="E3585" s="5" t="s">
        <v>485</v>
      </c>
      <c r="F3585" s="5" t="s">
        <v>248</v>
      </c>
      <c r="G3585" s="5" t="s">
        <v>4525</v>
      </c>
      <c r="H3585" s="6" t="s">
        <v>4527</v>
      </c>
      <c r="I3585" s="8">
        <f>1</f>
        <v>1</v>
      </c>
      <c r="J3585" s="5" t="s">
        <v>499</v>
      </c>
      <c r="K3585" s="8">
        <f>1</f>
        <v>1</v>
      </c>
      <c r="L3585" s="6" t="s">
        <v>242</v>
      </c>
      <c r="M3585" s="5" t="s">
        <v>267</v>
      </c>
      <c r="N3585" s="5" t="s">
        <v>482</v>
      </c>
      <c r="O3585" s="5" t="s">
        <v>238</v>
      </c>
      <c r="P3585" s="5" t="s">
        <v>238</v>
      </c>
      <c r="Q3585" s="5" t="s">
        <v>239</v>
      </c>
      <c r="R3585" s="5" t="s">
        <v>270</v>
      </c>
      <c r="S3585" s="5" t="s">
        <v>238</v>
      </c>
      <c r="T3585" s="5" t="s">
        <v>238</v>
      </c>
      <c r="U3585" s="5" t="s">
        <v>238</v>
      </c>
      <c r="V3585" s="5" t="s">
        <v>238</v>
      </c>
      <c r="W3585" s="6" t="s">
        <v>238</v>
      </c>
      <c r="X3585" s="6" t="s">
        <v>238</v>
      </c>
      <c r="Y3585" s="5" t="s">
        <v>238</v>
      </c>
      <c r="Z3585" s="6" t="s">
        <v>238</v>
      </c>
      <c r="AA3585" s="6" t="s">
        <v>243</v>
      </c>
      <c r="AB3585" s="5" t="s">
        <v>4526</v>
      </c>
      <c r="AC3585" s="5" t="s">
        <v>244</v>
      </c>
      <c r="AD3585" s="5" t="s">
        <v>245</v>
      </c>
      <c r="AE3585" s="5" t="s">
        <v>238</v>
      </c>
      <c r="AF3585" s="5" t="s">
        <v>238</v>
      </c>
      <c r="AG3585" s="5" t="s">
        <v>238</v>
      </c>
      <c r="AH3585" s="5" t="s">
        <v>238</v>
      </c>
      <c r="AI3585" s="5" t="s">
        <v>238</v>
      </c>
      <c r="AJ3585" s="5" t="s">
        <v>238</v>
      </c>
      <c r="AK3585" s="5" t="s">
        <v>238</v>
      </c>
      <c r="AL3585" s="5" t="s">
        <v>238</v>
      </c>
      <c r="AM3585" s="6" t="s">
        <v>238</v>
      </c>
      <c r="AN3585" s="6" t="s">
        <v>238</v>
      </c>
      <c r="AO3585" s="6" t="s">
        <v>238</v>
      </c>
      <c r="AP3585" s="6" t="s">
        <v>238</v>
      </c>
      <c r="AQ3585" s="5" t="s">
        <v>238</v>
      </c>
      <c r="AR3585" s="5" t="s">
        <v>488</v>
      </c>
      <c r="AS3585" s="5" t="s">
        <v>488</v>
      </c>
      <c r="AT3585" s="5" t="s">
        <v>246</v>
      </c>
      <c r="AU3585" s="5" t="s">
        <v>489</v>
      </c>
      <c r="AV3585" s="5" t="s">
        <v>247</v>
      </c>
      <c r="AW3585" s="5" t="s">
        <v>238</v>
      </c>
      <c r="AX3585" s="5" t="s">
        <v>249</v>
      </c>
      <c r="AY3585" s="5" t="s">
        <v>490</v>
      </c>
      <c r="BA3585" s="5" t="s">
        <v>238</v>
      </c>
      <c r="BC3585" s="5" t="s">
        <v>491</v>
      </c>
      <c r="BD3585" s="6" t="s">
        <v>492</v>
      </c>
      <c r="BE3585" s="5" t="s">
        <v>493</v>
      </c>
      <c r="BF3585" s="5" t="s">
        <v>493</v>
      </c>
      <c r="BG3585" s="5" t="s">
        <v>238</v>
      </c>
      <c r="BH3585" s="8">
        <f>1</f>
        <v>1</v>
      </c>
      <c r="BI3585" s="8">
        <f>1</f>
        <v>1</v>
      </c>
      <c r="BJ3585" s="5" t="s">
        <v>253</v>
      </c>
      <c r="BK3585" s="5" t="s">
        <v>254</v>
      </c>
      <c r="BL3585" s="5" t="s">
        <v>238</v>
      </c>
      <c r="BM3585" s="5" t="s">
        <v>238</v>
      </c>
      <c r="BN3585" s="5" t="s">
        <v>238</v>
      </c>
      <c r="BO3585" s="5" t="s">
        <v>238</v>
      </c>
      <c r="BP3585" s="5" t="s">
        <v>238</v>
      </c>
      <c r="BQ3585" s="5" t="s">
        <v>238</v>
      </c>
      <c r="BR3585" s="5" t="s">
        <v>238</v>
      </c>
      <c r="BS3585" s="5" t="s">
        <v>238</v>
      </c>
      <c r="BT3585" s="6" t="s">
        <v>238</v>
      </c>
      <c r="BU3585" s="5" t="s">
        <v>238</v>
      </c>
      <c r="BV3585" s="5" t="s">
        <v>238</v>
      </c>
      <c r="BW3585" s="5" t="s">
        <v>238</v>
      </c>
      <c r="BX3585" s="5" t="s">
        <v>254</v>
      </c>
      <c r="BY3585" s="5" t="s">
        <v>238</v>
      </c>
      <c r="BZ3585" s="5" t="s">
        <v>238</v>
      </c>
      <c r="CA3585" s="5" t="s">
        <v>238</v>
      </c>
      <c r="CB3585" s="5" t="s">
        <v>238</v>
      </c>
      <c r="CC3585" s="5" t="s">
        <v>238</v>
      </c>
      <c r="CD3585" s="5" t="s">
        <v>273</v>
      </c>
      <c r="CE3585" s="5" t="s">
        <v>256</v>
      </c>
      <c r="CF3585" s="5" t="s">
        <v>238</v>
      </c>
      <c r="CH3585" s="5" t="s">
        <v>494</v>
      </c>
      <c r="CI3585" s="6" t="s">
        <v>257</v>
      </c>
      <c r="CJ3585" s="5" t="s">
        <v>495</v>
      </c>
      <c r="CK3585" s="5" t="s">
        <v>258</v>
      </c>
      <c r="CL3585" s="5" t="s">
        <v>496</v>
      </c>
      <c r="CM3585" s="5" t="s">
        <v>238</v>
      </c>
      <c r="CN3585" s="5">
        <v>0</v>
      </c>
      <c r="CO3585" s="5" t="s">
        <v>497</v>
      </c>
      <c r="CP3585" s="5" t="s">
        <v>260</v>
      </c>
      <c r="CQ3585" s="5" t="s">
        <v>260</v>
      </c>
      <c r="CR3585" s="5" t="s">
        <v>261</v>
      </c>
      <c r="CS3585" s="5" t="s">
        <v>498</v>
      </c>
      <c r="CT3585" s="7">
        <f>1</f>
        <v>1</v>
      </c>
      <c r="CU3585" s="8">
        <f>1</f>
        <v>1</v>
      </c>
      <c r="CV3585" s="8">
        <f>0</f>
        <v>0</v>
      </c>
      <c r="CX3585" s="8">
        <f>1</f>
        <v>1</v>
      </c>
      <c r="CY3585" s="8">
        <f>1</f>
        <v>1</v>
      </c>
      <c r="CZ3585" s="8" t="s">
        <v>238</v>
      </c>
      <c r="DA3585" s="5" t="s">
        <v>238</v>
      </c>
      <c r="DB3585" s="5" t="s">
        <v>238</v>
      </c>
      <c r="DC3585" s="5" t="s">
        <v>238</v>
      </c>
      <c r="DD3585" s="5" t="s">
        <v>238</v>
      </c>
      <c r="DE3585" s="8">
        <f>0</f>
        <v>0</v>
      </c>
      <c r="DG3585" s="5" t="s">
        <v>238</v>
      </c>
      <c r="DH3585" s="5" t="s">
        <v>238</v>
      </c>
      <c r="DI3585" s="5" t="s">
        <v>238</v>
      </c>
      <c r="DJ3585" s="5" t="s">
        <v>238</v>
      </c>
      <c r="DK3585" s="5" t="s">
        <v>238</v>
      </c>
      <c r="DL3585" s="5" t="s">
        <v>238</v>
      </c>
      <c r="DM3585" s="8" t="s">
        <v>238</v>
      </c>
      <c r="DN3585" s="5" t="s">
        <v>238</v>
      </c>
      <c r="DO3585" s="5" t="s">
        <v>238</v>
      </c>
      <c r="DP3585" s="5" t="s">
        <v>490</v>
      </c>
      <c r="DQ3585" s="5" t="s">
        <v>490</v>
      </c>
      <c r="DR3585" s="5" t="s">
        <v>238</v>
      </c>
      <c r="DS3585" s="5" t="s">
        <v>238</v>
      </c>
      <c r="DT3585" s="5" t="s">
        <v>500</v>
      </c>
      <c r="DU3585" s="5" t="s">
        <v>336</v>
      </c>
      <c r="DV3585" s="5" t="s">
        <v>238</v>
      </c>
      <c r="DW3585" s="5" t="s">
        <v>238</v>
      </c>
      <c r="DX3585" s="5" t="s">
        <v>238</v>
      </c>
      <c r="DY3585" s="5" t="s">
        <v>238</v>
      </c>
      <c r="DZ3585" s="5" t="s">
        <v>238</v>
      </c>
      <c r="EA3585" s="5" t="s">
        <v>238</v>
      </c>
      <c r="EB3585" s="5" t="s">
        <v>238</v>
      </c>
      <c r="EC3585" s="5" t="s">
        <v>238</v>
      </c>
      <c r="ED3585" s="5" t="s">
        <v>238</v>
      </c>
      <c r="EE3585" s="5" t="s">
        <v>238</v>
      </c>
      <c r="EF3585" s="5" t="s">
        <v>238</v>
      </c>
      <c r="EG3585" s="5" t="s">
        <v>238</v>
      </c>
      <c r="EH3585" s="5" t="s">
        <v>238</v>
      </c>
      <c r="EI3585" s="5" t="s">
        <v>238</v>
      </c>
      <c r="EJ3585" s="5" t="s">
        <v>238</v>
      </c>
      <c r="EK3585" s="5" t="s">
        <v>238</v>
      </c>
      <c r="EL3585" s="5" t="s">
        <v>238</v>
      </c>
      <c r="EM3585" s="5" t="s">
        <v>238</v>
      </c>
      <c r="EN3585" s="5" t="s">
        <v>238</v>
      </c>
      <c r="EO3585" s="5" t="s">
        <v>238</v>
      </c>
      <c r="EP3585" s="5" t="s">
        <v>238</v>
      </c>
      <c r="EQ3585" s="5" t="s">
        <v>238</v>
      </c>
      <c r="ER3585" s="5" t="s">
        <v>238</v>
      </c>
      <c r="ES3585" s="5" t="s">
        <v>238</v>
      </c>
      <c r="ET3585" s="5" t="s">
        <v>238</v>
      </c>
      <c r="EU3585" s="5" t="s">
        <v>238</v>
      </c>
      <c r="EV3585" s="5" t="s">
        <v>238</v>
      </c>
      <c r="EW3585" s="5" t="s">
        <v>238</v>
      </c>
      <c r="EX3585" s="5" t="s">
        <v>238</v>
      </c>
      <c r="EY3585" s="5" t="s">
        <v>238</v>
      </c>
      <c r="EZ3585" s="5" t="s">
        <v>238</v>
      </c>
      <c r="FA3585" s="5" t="s">
        <v>238</v>
      </c>
      <c r="FB3585" s="5" t="s">
        <v>238</v>
      </c>
      <c r="FC3585" s="5" t="s">
        <v>238</v>
      </c>
      <c r="FD3585" s="5" t="s">
        <v>238</v>
      </c>
      <c r="FE3585" s="5" t="s">
        <v>238</v>
      </c>
      <c r="FF3585" s="5" t="s">
        <v>238</v>
      </c>
      <c r="FG3585" s="5" t="s">
        <v>238</v>
      </c>
      <c r="FH3585" s="5" t="s">
        <v>238</v>
      </c>
      <c r="FI3585" s="5" t="s">
        <v>238</v>
      </c>
      <c r="FJ3585" s="5" t="s">
        <v>238</v>
      </c>
      <c r="FK3585" s="5" t="s">
        <v>238</v>
      </c>
      <c r="FL3585" s="5" t="s">
        <v>238</v>
      </c>
      <c r="FM3585" s="5" t="s">
        <v>238</v>
      </c>
      <c r="FN3585" s="5" t="s">
        <v>238</v>
      </c>
      <c r="FO3585" s="5" t="s">
        <v>238</v>
      </c>
      <c r="FP3585" s="5" t="s">
        <v>238</v>
      </c>
      <c r="FQ3585" s="5" t="s">
        <v>238</v>
      </c>
      <c r="FR3585" s="5" t="s">
        <v>238</v>
      </c>
      <c r="FS3585" s="5" t="s">
        <v>238</v>
      </c>
      <c r="FT3585" s="5" t="s">
        <v>238</v>
      </c>
      <c r="FU3585" s="5" t="s">
        <v>238</v>
      </c>
      <c r="FV3585" s="5" t="s">
        <v>238</v>
      </c>
      <c r="FW3585" s="5" t="s">
        <v>238</v>
      </c>
      <c r="FX3585" s="5" t="s">
        <v>238</v>
      </c>
      <c r="FY3585" s="5" t="s">
        <v>238</v>
      </c>
      <c r="FZ3585" s="5" t="s">
        <v>238</v>
      </c>
      <c r="GA3585" s="5" t="s">
        <v>238</v>
      </c>
      <c r="GB3585" s="5" t="s">
        <v>238</v>
      </c>
      <c r="GC3585" s="5" t="s">
        <v>238</v>
      </c>
      <c r="GD3585" s="5" t="s">
        <v>238</v>
      </c>
      <c r="GE3585" s="5" t="s">
        <v>238</v>
      </c>
      <c r="GF3585" s="5" t="s">
        <v>238</v>
      </c>
      <c r="GG3585" s="5" t="s">
        <v>238</v>
      </c>
      <c r="GH3585" s="5" t="s">
        <v>238</v>
      </c>
      <c r="GI3585" s="5" t="s">
        <v>238</v>
      </c>
      <c r="GJ3585" s="5" t="s">
        <v>238</v>
      </c>
      <c r="GK3585" s="5" t="s">
        <v>238</v>
      </c>
      <c r="GL3585" s="5" t="s">
        <v>238</v>
      </c>
      <c r="GM3585" s="5" t="s">
        <v>238</v>
      </c>
      <c r="GN3585" s="5" t="s">
        <v>238</v>
      </c>
      <c r="GO3585" s="5" t="s">
        <v>238</v>
      </c>
      <c r="GP3585" s="5" t="s">
        <v>238</v>
      </c>
      <c r="GQ3585" s="5" t="s">
        <v>238</v>
      </c>
      <c r="GR3585" s="5" t="s">
        <v>238</v>
      </c>
      <c r="GS3585" s="5" t="s">
        <v>238</v>
      </c>
      <c r="GT3585" s="5" t="s">
        <v>238</v>
      </c>
      <c r="GU3585" s="5" t="s">
        <v>238</v>
      </c>
      <c r="GV3585" s="5" t="s">
        <v>238</v>
      </c>
      <c r="GW3585" s="5" t="s">
        <v>238</v>
      </c>
      <c r="GX3585" s="5" t="s">
        <v>238</v>
      </c>
      <c r="GY3585" s="5" t="s">
        <v>238</v>
      </c>
      <c r="GZ3585" s="5" t="s">
        <v>238</v>
      </c>
      <c r="HA3585" s="5" t="s">
        <v>238</v>
      </c>
      <c r="HB3585" s="5" t="s">
        <v>238</v>
      </c>
      <c r="HC3585" s="5" t="s">
        <v>238</v>
      </c>
      <c r="HD3585" s="5" t="s">
        <v>238</v>
      </c>
      <c r="HE3585" s="5" t="s">
        <v>238</v>
      </c>
      <c r="HF3585" s="5" t="s">
        <v>238</v>
      </c>
      <c r="HG3585" s="5" t="s">
        <v>238</v>
      </c>
      <c r="HH3585" s="5" t="s">
        <v>238</v>
      </c>
      <c r="HI3585" s="5" t="s">
        <v>238</v>
      </c>
      <c r="HJ3585" s="5" t="s">
        <v>238</v>
      </c>
      <c r="HK3585" s="5" t="s">
        <v>238</v>
      </c>
      <c r="HL3585" s="5" t="s">
        <v>238</v>
      </c>
      <c r="HM3585" s="5" t="s">
        <v>264</v>
      </c>
      <c r="HN3585" s="5" t="s">
        <v>238</v>
      </c>
      <c r="HO3585" s="5" t="s">
        <v>238</v>
      </c>
      <c r="HP3585" s="5" t="s">
        <v>238</v>
      </c>
      <c r="HQ3585" s="5" t="s">
        <v>238</v>
      </c>
      <c r="HR3585" s="5" t="s">
        <v>238</v>
      </c>
      <c r="HS3585" s="5" t="s">
        <v>238</v>
      </c>
      <c r="HT3585" s="5" t="s">
        <v>238</v>
      </c>
      <c r="HU3585" s="5" t="s">
        <v>238</v>
      </c>
      <c r="HV3585" s="5" t="s">
        <v>238</v>
      </c>
      <c r="HW3585" s="5" t="s">
        <v>238</v>
      </c>
      <c r="HX3585" s="5" t="s">
        <v>238</v>
      </c>
      <c r="HY3585" s="5" t="s">
        <v>238</v>
      </c>
      <c r="HZ3585" s="5" t="s">
        <v>238</v>
      </c>
      <c r="IA3585" s="5" t="s">
        <v>238</v>
      </c>
      <c r="IB3585" s="5" t="s">
        <v>238</v>
      </c>
      <c r="IC3585" s="5" t="s">
        <v>238</v>
      </c>
      <c r="ID3585" s="5" t="s">
        <v>238</v>
      </c>
    </row>
    <row r="3586" spans="1:238" x14ac:dyDescent="0.4">
      <c r="A3586" s="5">
        <v>9304</v>
      </c>
      <c r="B3586" s="5">
        <v>1</v>
      </c>
      <c r="C3586" s="5">
        <v>1</v>
      </c>
      <c r="D3586" s="5" t="s">
        <v>484</v>
      </c>
      <c r="E3586" s="5" t="s">
        <v>485</v>
      </c>
      <c r="F3586" s="5" t="s">
        <v>248</v>
      </c>
      <c r="G3586" s="5" t="s">
        <v>5498</v>
      </c>
      <c r="H3586" s="6" t="s">
        <v>5500</v>
      </c>
      <c r="I3586" s="8">
        <f>1</f>
        <v>1</v>
      </c>
      <c r="J3586" s="5" t="s">
        <v>499</v>
      </c>
      <c r="K3586" s="8">
        <f>1</f>
        <v>1</v>
      </c>
      <c r="L3586" s="6" t="s">
        <v>242</v>
      </c>
      <c r="M3586" s="5" t="s">
        <v>267</v>
      </c>
      <c r="N3586" s="5" t="s">
        <v>482</v>
      </c>
      <c r="O3586" s="5" t="s">
        <v>238</v>
      </c>
      <c r="P3586" s="5" t="s">
        <v>238</v>
      </c>
      <c r="Q3586" s="5" t="s">
        <v>239</v>
      </c>
      <c r="R3586" s="5" t="s">
        <v>270</v>
      </c>
      <c r="S3586" s="5" t="s">
        <v>238</v>
      </c>
      <c r="T3586" s="5" t="s">
        <v>238</v>
      </c>
      <c r="U3586" s="5" t="s">
        <v>238</v>
      </c>
      <c r="V3586" s="5" t="s">
        <v>238</v>
      </c>
      <c r="W3586" s="6" t="s">
        <v>238</v>
      </c>
      <c r="X3586" s="6" t="s">
        <v>238</v>
      </c>
      <c r="Y3586" s="5" t="s">
        <v>238</v>
      </c>
      <c r="Z3586" s="6" t="s">
        <v>238</v>
      </c>
      <c r="AA3586" s="6" t="s">
        <v>243</v>
      </c>
      <c r="AB3586" s="5" t="s">
        <v>5499</v>
      </c>
      <c r="AC3586" s="5" t="s">
        <v>244</v>
      </c>
      <c r="AD3586" s="5" t="s">
        <v>245</v>
      </c>
      <c r="AE3586" s="5" t="s">
        <v>238</v>
      </c>
      <c r="AF3586" s="5" t="s">
        <v>238</v>
      </c>
      <c r="AG3586" s="5" t="s">
        <v>238</v>
      </c>
      <c r="AH3586" s="5" t="s">
        <v>238</v>
      </c>
      <c r="AI3586" s="5" t="s">
        <v>238</v>
      </c>
      <c r="AJ3586" s="5" t="s">
        <v>238</v>
      </c>
      <c r="AK3586" s="5" t="s">
        <v>238</v>
      </c>
      <c r="AL3586" s="5" t="s">
        <v>238</v>
      </c>
      <c r="AM3586" s="6" t="s">
        <v>238</v>
      </c>
      <c r="AN3586" s="6" t="s">
        <v>238</v>
      </c>
      <c r="AO3586" s="6" t="s">
        <v>238</v>
      </c>
      <c r="AP3586" s="6" t="s">
        <v>238</v>
      </c>
      <c r="AQ3586" s="5" t="s">
        <v>238</v>
      </c>
      <c r="AR3586" s="5" t="s">
        <v>488</v>
      </c>
      <c r="AS3586" s="5" t="s">
        <v>488</v>
      </c>
      <c r="AT3586" s="5" t="s">
        <v>246</v>
      </c>
      <c r="AU3586" s="5" t="s">
        <v>489</v>
      </c>
      <c r="AV3586" s="5" t="s">
        <v>247</v>
      </c>
      <c r="AW3586" s="5" t="s">
        <v>238</v>
      </c>
      <c r="AX3586" s="5" t="s">
        <v>249</v>
      </c>
      <c r="AY3586" s="5" t="s">
        <v>490</v>
      </c>
      <c r="BA3586" s="5" t="s">
        <v>238</v>
      </c>
      <c r="BC3586" s="5" t="s">
        <v>491</v>
      </c>
      <c r="BD3586" s="6" t="s">
        <v>492</v>
      </c>
      <c r="BE3586" s="5" t="s">
        <v>493</v>
      </c>
      <c r="BF3586" s="5" t="s">
        <v>493</v>
      </c>
      <c r="BG3586" s="5" t="s">
        <v>238</v>
      </c>
      <c r="BH3586" s="8">
        <f>1</f>
        <v>1</v>
      </c>
      <c r="BI3586" s="8">
        <f>1</f>
        <v>1</v>
      </c>
      <c r="BJ3586" s="5" t="s">
        <v>253</v>
      </c>
      <c r="BK3586" s="5" t="s">
        <v>254</v>
      </c>
      <c r="BL3586" s="5" t="s">
        <v>238</v>
      </c>
      <c r="BM3586" s="5" t="s">
        <v>238</v>
      </c>
      <c r="BN3586" s="5" t="s">
        <v>238</v>
      </c>
      <c r="BO3586" s="5" t="s">
        <v>238</v>
      </c>
      <c r="BP3586" s="5" t="s">
        <v>238</v>
      </c>
      <c r="BQ3586" s="5" t="s">
        <v>238</v>
      </c>
      <c r="BR3586" s="5" t="s">
        <v>238</v>
      </c>
      <c r="BS3586" s="5" t="s">
        <v>238</v>
      </c>
      <c r="BT3586" s="6" t="s">
        <v>238</v>
      </c>
      <c r="BU3586" s="5" t="s">
        <v>238</v>
      </c>
      <c r="BV3586" s="5" t="s">
        <v>238</v>
      </c>
      <c r="BW3586" s="5" t="s">
        <v>238</v>
      </c>
      <c r="BX3586" s="5" t="s">
        <v>254</v>
      </c>
      <c r="BY3586" s="5" t="s">
        <v>238</v>
      </c>
      <c r="BZ3586" s="5" t="s">
        <v>238</v>
      </c>
      <c r="CA3586" s="5" t="s">
        <v>238</v>
      </c>
      <c r="CB3586" s="5" t="s">
        <v>238</v>
      </c>
      <c r="CC3586" s="5" t="s">
        <v>238</v>
      </c>
      <c r="CD3586" s="5" t="s">
        <v>273</v>
      </c>
      <c r="CE3586" s="5" t="s">
        <v>256</v>
      </c>
      <c r="CF3586" s="5" t="s">
        <v>238</v>
      </c>
      <c r="CH3586" s="5" t="s">
        <v>494</v>
      </c>
      <c r="CI3586" s="6" t="s">
        <v>257</v>
      </c>
      <c r="CJ3586" s="5" t="s">
        <v>495</v>
      </c>
      <c r="CK3586" s="5" t="s">
        <v>258</v>
      </c>
      <c r="CL3586" s="5" t="s">
        <v>496</v>
      </c>
      <c r="CM3586" s="5" t="s">
        <v>238</v>
      </c>
      <c r="CN3586" s="5">
        <v>0</v>
      </c>
      <c r="CO3586" s="5" t="s">
        <v>497</v>
      </c>
      <c r="CP3586" s="5" t="s">
        <v>260</v>
      </c>
      <c r="CQ3586" s="5" t="s">
        <v>260</v>
      </c>
      <c r="CR3586" s="5" t="s">
        <v>261</v>
      </c>
      <c r="CS3586" s="5" t="s">
        <v>498</v>
      </c>
      <c r="CT3586" s="7">
        <f>1</f>
        <v>1</v>
      </c>
      <c r="CU3586" s="8">
        <f>1</f>
        <v>1</v>
      </c>
      <c r="CV3586" s="8">
        <f>0</f>
        <v>0</v>
      </c>
      <c r="CX3586" s="8">
        <f>1</f>
        <v>1</v>
      </c>
      <c r="CY3586" s="8">
        <f>1</f>
        <v>1</v>
      </c>
      <c r="CZ3586" s="8" t="s">
        <v>238</v>
      </c>
      <c r="DA3586" s="5" t="s">
        <v>238</v>
      </c>
      <c r="DB3586" s="5" t="s">
        <v>238</v>
      </c>
      <c r="DC3586" s="5" t="s">
        <v>238</v>
      </c>
      <c r="DD3586" s="5" t="s">
        <v>238</v>
      </c>
      <c r="DE3586" s="8">
        <f>0</f>
        <v>0</v>
      </c>
      <c r="DG3586" s="5" t="s">
        <v>238</v>
      </c>
      <c r="DH3586" s="5" t="s">
        <v>238</v>
      </c>
      <c r="DI3586" s="5" t="s">
        <v>238</v>
      </c>
      <c r="DJ3586" s="5" t="s">
        <v>238</v>
      </c>
      <c r="DK3586" s="5" t="s">
        <v>238</v>
      </c>
      <c r="DL3586" s="5" t="s">
        <v>238</v>
      </c>
      <c r="DM3586" s="8" t="s">
        <v>238</v>
      </c>
      <c r="DN3586" s="5" t="s">
        <v>238</v>
      </c>
      <c r="DO3586" s="5" t="s">
        <v>238</v>
      </c>
      <c r="DP3586" s="5" t="s">
        <v>490</v>
      </c>
      <c r="DQ3586" s="5" t="s">
        <v>490</v>
      </c>
      <c r="DR3586" s="5" t="s">
        <v>238</v>
      </c>
      <c r="DS3586" s="5" t="s">
        <v>238</v>
      </c>
      <c r="DT3586" s="5" t="s">
        <v>500</v>
      </c>
      <c r="DU3586" s="5" t="s">
        <v>3355</v>
      </c>
      <c r="DV3586" s="5" t="s">
        <v>238</v>
      </c>
      <c r="DW3586" s="5" t="s">
        <v>238</v>
      </c>
      <c r="DX3586" s="5" t="s">
        <v>238</v>
      </c>
      <c r="DY3586" s="5" t="s">
        <v>238</v>
      </c>
      <c r="DZ3586" s="5" t="s">
        <v>238</v>
      </c>
      <c r="EA3586" s="5" t="s">
        <v>238</v>
      </c>
      <c r="EB3586" s="5" t="s">
        <v>238</v>
      </c>
      <c r="EC3586" s="5" t="s">
        <v>238</v>
      </c>
      <c r="ED3586" s="5" t="s">
        <v>238</v>
      </c>
      <c r="EE3586" s="5" t="s">
        <v>238</v>
      </c>
      <c r="EF3586" s="5" t="s">
        <v>238</v>
      </c>
      <c r="EG3586" s="5" t="s">
        <v>238</v>
      </c>
      <c r="EH3586" s="5" t="s">
        <v>238</v>
      </c>
      <c r="EI3586" s="5" t="s">
        <v>238</v>
      </c>
      <c r="EJ3586" s="5" t="s">
        <v>238</v>
      </c>
      <c r="EK3586" s="5" t="s">
        <v>238</v>
      </c>
      <c r="EL3586" s="5" t="s">
        <v>238</v>
      </c>
      <c r="EM3586" s="5" t="s">
        <v>238</v>
      </c>
      <c r="EN3586" s="5" t="s">
        <v>238</v>
      </c>
      <c r="EO3586" s="5" t="s">
        <v>238</v>
      </c>
      <c r="EP3586" s="5" t="s">
        <v>238</v>
      </c>
      <c r="EQ3586" s="5" t="s">
        <v>238</v>
      </c>
      <c r="ER3586" s="5" t="s">
        <v>238</v>
      </c>
      <c r="ES3586" s="5" t="s">
        <v>238</v>
      </c>
      <c r="ET3586" s="5" t="s">
        <v>238</v>
      </c>
      <c r="EU3586" s="5" t="s">
        <v>238</v>
      </c>
      <c r="EV3586" s="5" t="s">
        <v>238</v>
      </c>
      <c r="EW3586" s="5" t="s">
        <v>238</v>
      </c>
      <c r="EX3586" s="5" t="s">
        <v>238</v>
      </c>
      <c r="EY3586" s="5" t="s">
        <v>238</v>
      </c>
      <c r="EZ3586" s="5" t="s">
        <v>238</v>
      </c>
      <c r="FA3586" s="5" t="s">
        <v>238</v>
      </c>
      <c r="FB3586" s="5" t="s">
        <v>238</v>
      </c>
      <c r="FC3586" s="5" t="s">
        <v>238</v>
      </c>
      <c r="FD3586" s="5" t="s">
        <v>238</v>
      </c>
      <c r="FE3586" s="5" t="s">
        <v>238</v>
      </c>
      <c r="FF3586" s="5" t="s">
        <v>238</v>
      </c>
      <c r="FG3586" s="5" t="s">
        <v>238</v>
      </c>
      <c r="FH3586" s="5" t="s">
        <v>238</v>
      </c>
      <c r="FI3586" s="5" t="s">
        <v>238</v>
      </c>
      <c r="FJ3586" s="5" t="s">
        <v>238</v>
      </c>
      <c r="FK3586" s="5" t="s">
        <v>238</v>
      </c>
      <c r="FL3586" s="5" t="s">
        <v>238</v>
      </c>
      <c r="FM3586" s="5" t="s">
        <v>238</v>
      </c>
      <c r="FN3586" s="5" t="s">
        <v>238</v>
      </c>
      <c r="FO3586" s="5" t="s">
        <v>238</v>
      </c>
      <c r="FP3586" s="5" t="s">
        <v>238</v>
      </c>
      <c r="FQ3586" s="5" t="s">
        <v>238</v>
      </c>
      <c r="FR3586" s="5" t="s">
        <v>238</v>
      </c>
      <c r="FS3586" s="5" t="s">
        <v>238</v>
      </c>
      <c r="FT3586" s="5" t="s">
        <v>238</v>
      </c>
      <c r="FU3586" s="5" t="s">
        <v>238</v>
      </c>
      <c r="FV3586" s="5" t="s">
        <v>238</v>
      </c>
      <c r="FW3586" s="5" t="s">
        <v>238</v>
      </c>
      <c r="FX3586" s="5" t="s">
        <v>238</v>
      </c>
      <c r="FY3586" s="5" t="s">
        <v>238</v>
      </c>
      <c r="FZ3586" s="5" t="s">
        <v>238</v>
      </c>
      <c r="GA3586" s="5" t="s">
        <v>238</v>
      </c>
      <c r="GB3586" s="5" t="s">
        <v>238</v>
      </c>
      <c r="GC3586" s="5" t="s">
        <v>238</v>
      </c>
      <c r="GD3586" s="5" t="s">
        <v>238</v>
      </c>
      <c r="GE3586" s="5" t="s">
        <v>238</v>
      </c>
      <c r="GF3586" s="5" t="s">
        <v>238</v>
      </c>
      <c r="GG3586" s="5" t="s">
        <v>238</v>
      </c>
      <c r="GH3586" s="5" t="s">
        <v>238</v>
      </c>
      <c r="GI3586" s="5" t="s">
        <v>238</v>
      </c>
      <c r="GJ3586" s="5" t="s">
        <v>238</v>
      </c>
      <c r="GK3586" s="5" t="s">
        <v>238</v>
      </c>
      <c r="GL3586" s="5" t="s">
        <v>238</v>
      </c>
      <c r="GM3586" s="5" t="s">
        <v>238</v>
      </c>
      <c r="GN3586" s="5" t="s">
        <v>238</v>
      </c>
      <c r="GO3586" s="5" t="s">
        <v>238</v>
      </c>
      <c r="GP3586" s="5" t="s">
        <v>238</v>
      </c>
      <c r="GQ3586" s="5" t="s">
        <v>238</v>
      </c>
      <c r="GR3586" s="5" t="s">
        <v>238</v>
      </c>
      <c r="GS3586" s="5" t="s">
        <v>238</v>
      </c>
      <c r="GT3586" s="5" t="s">
        <v>238</v>
      </c>
      <c r="GU3586" s="5" t="s">
        <v>238</v>
      </c>
      <c r="GV3586" s="5" t="s">
        <v>238</v>
      </c>
      <c r="GW3586" s="5" t="s">
        <v>238</v>
      </c>
      <c r="GX3586" s="5" t="s">
        <v>238</v>
      </c>
      <c r="GY3586" s="5" t="s">
        <v>238</v>
      </c>
      <c r="GZ3586" s="5" t="s">
        <v>238</v>
      </c>
      <c r="HA3586" s="5" t="s">
        <v>238</v>
      </c>
      <c r="HB3586" s="5" t="s">
        <v>238</v>
      </c>
      <c r="HC3586" s="5" t="s">
        <v>238</v>
      </c>
      <c r="HD3586" s="5" t="s">
        <v>238</v>
      </c>
      <c r="HE3586" s="5" t="s">
        <v>238</v>
      </c>
      <c r="HF3586" s="5" t="s">
        <v>238</v>
      </c>
      <c r="HG3586" s="5" t="s">
        <v>238</v>
      </c>
      <c r="HH3586" s="5" t="s">
        <v>238</v>
      </c>
      <c r="HI3586" s="5" t="s">
        <v>238</v>
      </c>
      <c r="HJ3586" s="5" t="s">
        <v>238</v>
      </c>
      <c r="HK3586" s="5" t="s">
        <v>238</v>
      </c>
      <c r="HL3586" s="5" t="s">
        <v>238</v>
      </c>
      <c r="HM3586" s="5" t="s">
        <v>264</v>
      </c>
      <c r="HN3586" s="5" t="s">
        <v>238</v>
      </c>
      <c r="HO3586" s="5" t="s">
        <v>238</v>
      </c>
      <c r="HP3586" s="5" t="s">
        <v>238</v>
      </c>
      <c r="HQ3586" s="5" t="s">
        <v>238</v>
      </c>
      <c r="HR3586" s="5" t="s">
        <v>238</v>
      </c>
      <c r="HS3586" s="5" t="s">
        <v>238</v>
      </c>
      <c r="HT3586" s="5" t="s">
        <v>238</v>
      </c>
      <c r="HU3586" s="5" t="s">
        <v>238</v>
      </c>
      <c r="HV3586" s="5" t="s">
        <v>238</v>
      </c>
      <c r="HW3586" s="5" t="s">
        <v>238</v>
      </c>
      <c r="HX3586" s="5" t="s">
        <v>238</v>
      </c>
      <c r="HY3586" s="5" t="s">
        <v>238</v>
      </c>
      <c r="HZ3586" s="5" t="s">
        <v>238</v>
      </c>
      <c r="IA3586" s="5" t="s">
        <v>238</v>
      </c>
      <c r="IB3586" s="5" t="s">
        <v>238</v>
      </c>
      <c r="IC3586" s="5" t="s">
        <v>238</v>
      </c>
      <c r="ID3586" s="5" t="s">
        <v>238</v>
      </c>
    </row>
    <row r="3587" spans="1:238" x14ac:dyDescent="0.4">
      <c r="A3587" s="5">
        <v>9305</v>
      </c>
      <c r="B3587" s="5">
        <v>1</v>
      </c>
      <c r="C3587" s="5">
        <v>1</v>
      </c>
      <c r="D3587" s="5" t="s">
        <v>484</v>
      </c>
      <c r="E3587" s="5" t="s">
        <v>485</v>
      </c>
      <c r="F3587" s="5" t="s">
        <v>248</v>
      </c>
      <c r="G3587" s="5" t="s">
        <v>4549</v>
      </c>
      <c r="H3587" s="6" t="s">
        <v>4551</v>
      </c>
      <c r="I3587" s="8">
        <f>1</f>
        <v>1</v>
      </c>
      <c r="J3587" s="5" t="s">
        <v>499</v>
      </c>
      <c r="K3587" s="8">
        <f>1</f>
        <v>1</v>
      </c>
      <c r="L3587" s="6" t="s">
        <v>242</v>
      </c>
      <c r="M3587" s="5" t="s">
        <v>267</v>
      </c>
      <c r="N3587" s="5" t="s">
        <v>482</v>
      </c>
      <c r="O3587" s="5" t="s">
        <v>238</v>
      </c>
      <c r="P3587" s="5" t="s">
        <v>238</v>
      </c>
      <c r="Q3587" s="5" t="s">
        <v>239</v>
      </c>
      <c r="R3587" s="5" t="s">
        <v>270</v>
      </c>
      <c r="S3587" s="5" t="s">
        <v>238</v>
      </c>
      <c r="T3587" s="5" t="s">
        <v>238</v>
      </c>
      <c r="U3587" s="5" t="s">
        <v>238</v>
      </c>
      <c r="V3587" s="5" t="s">
        <v>238</v>
      </c>
      <c r="W3587" s="6" t="s">
        <v>238</v>
      </c>
      <c r="X3587" s="6" t="s">
        <v>238</v>
      </c>
      <c r="Y3587" s="5" t="s">
        <v>238</v>
      </c>
      <c r="Z3587" s="6" t="s">
        <v>238</v>
      </c>
      <c r="AA3587" s="6" t="s">
        <v>243</v>
      </c>
      <c r="AB3587" s="5" t="s">
        <v>4550</v>
      </c>
      <c r="AC3587" s="5" t="s">
        <v>244</v>
      </c>
      <c r="AD3587" s="5" t="s">
        <v>245</v>
      </c>
      <c r="AE3587" s="5" t="s">
        <v>238</v>
      </c>
      <c r="AF3587" s="5" t="s">
        <v>238</v>
      </c>
      <c r="AG3587" s="5" t="s">
        <v>238</v>
      </c>
      <c r="AH3587" s="5" t="s">
        <v>238</v>
      </c>
      <c r="AI3587" s="5" t="s">
        <v>238</v>
      </c>
      <c r="AJ3587" s="5" t="s">
        <v>238</v>
      </c>
      <c r="AK3587" s="5" t="s">
        <v>238</v>
      </c>
      <c r="AL3587" s="5" t="s">
        <v>238</v>
      </c>
      <c r="AM3587" s="6" t="s">
        <v>238</v>
      </c>
      <c r="AN3587" s="6" t="s">
        <v>238</v>
      </c>
      <c r="AO3587" s="6" t="s">
        <v>238</v>
      </c>
      <c r="AP3587" s="6" t="s">
        <v>238</v>
      </c>
      <c r="AQ3587" s="5" t="s">
        <v>238</v>
      </c>
      <c r="AR3587" s="5" t="s">
        <v>488</v>
      </c>
      <c r="AS3587" s="5" t="s">
        <v>488</v>
      </c>
      <c r="AT3587" s="5" t="s">
        <v>246</v>
      </c>
      <c r="AU3587" s="5" t="s">
        <v>489</v>
      </c>
      <c r="AV3587" s="5" t="s">
        <v>247</v>
      </c>
      <c r="AW3587" s="5" t="s">
        <v>238</v>
      </c>
      <c r="AX3587" s="5" t="s">
        <v>249</v>
      </c>
      <c r="AY3587" s="5" t="s">
        <v>490</v>
      </c>
      <c r="BA3587" s="5" t="s">
        <v>238</v>
      </c>
      <c r="BC3587" s="5" t="s">
        <v>491</v>
      </c>
      <c r="BD3587" s="6" t="s">
        <v>492</v>
      </c>
      <c r="BE3587" s="5" t="s">
        <v>493</v>
      </c>
      <c r="BF3587" s="5" t="s">
        <v>493</v>
      </c>
      <c r="BG3587" s="5" t="s">
        <v>238</v>
      </c>
      <c r="BH3587" s="8">
        <f>1</f>
        <v>1</v>
      </c>
      <c r="BI3587" s="8">
        <f>1</f>
        <v>1</v>
      </c>
      <c r="BJ3587" s="5" t="s">
        <v>253</v>
      </c>
      <c r="BK3587" s="5" t="s">
        <v>254</v>
      </c>
      <c r="BL3587" s="5" t="s">
        <v>238</v>
      </c>
      <c r="BM3587" s="5" t="s">
        <v>238</v>
      </c>
      <c r="BN3587" s="5" t="s">
        <v>238</v>
      </c>
      <c r="BO3587" s="5" t="s">
        <v>238</v>
      </c>
      <c r="BP3587" s="5" t="s">
        <v>238</v>
      </c>
      <c r="BQ3587" s="5" t="s">
        <v>238</v>
      </c>
      <c r="BR3587" s="5" t="s">
        <v>238</v>
      </c>
      <c r="BS3587" s="5" t="s">
        <v>238</v>
      </c>
      <c r="BT3587" s="6" t="s">
        <v>238</v>
      </c>
      <c r="BU3587" s="5" t="s">
        <v>238</v>
      </c>
      <c r="BV3587" s="5" t="s">
        <v>238</v>
      </c>
      <c r="BW3587" s="5" t="s">
        <v>238</v>
      </c>
      <c r="BX3587" s="5" t="s">
        <v>254</v>
      </c>
      <c r="BY3587" s="5" t="s">
        <v>238</v>
      </c>
      <c r="BZ3587" s="5" t="s">
        <v>238</v>
      </c>
      <c r="CA3587" s="5" t="s">
        <v>238</v>
      </c>
      <c r="CB3587" s="5" t="s">
        <v>238</v>
      </c>
      <c r="CC3587" s="5" t="s">
        <v>238</v>
      </c>
      <c r="CD3587" s="5" t="s">
        <v>273</v>
      </c>
      <c r="CE3587" s="5" t="s">
        <v>256</v>
      </c>
      <c r="CF3587" s="5" t="s">
        <v>238</v>
      </c>
      <c r="CH3587" s="5" t="s">
        <v>494</v>
      </c>
      <c r="CI3587" s="6" t="s">
        <v>257</v>
      </c>
      <c r="CJ3587" s="5" t="s">
        <v>495</v>
      </c>
      <c r="CK3587" s="5" t="s">
        <v>258</v>
      </c>
      <c r="CL3587" s="5" t="s">
        <v>496</v>
      </c>
      <c r="CM3587" s="5" t="s">
        <v>238</v>
      </c>
      <c r="CN3587" s="5">
        <v>0</v>
      </c>
      <c r="CO3587" s="5" t="s">
        <v>497</v>
      </c>
      <c r="CP3587" s="5" t="s">
        <v>260</v>
      </c>
      <c r="CQ3587" s="5" t="s">
        <v>260</v>
      </c>
      <c r="CR3587" s="5" t="s">
        <v>261</v>
      </c>
      <c r="CS3587" s="5" t="s">
        <v>498</v>
      </c>
      <c r="CT3587" s="7">
        <f>1</f>
        <v>1</v>
      </c>
      <c r="CU3587" s="8">
        <f>1</f>
        <v>1</v>
      </c>
      <c r="CV3587" s="8">
        <f>0</f>
        <v>0</v>
      </c>
      <c r="CX3587" s="8">
        <f>1</f>
        <v>1</v>
      </c>
      <c r="CY3587" s="8">
        <f>1</f>
        <v>1</v>
      </c>
      <c r="CZ3587" s="8" t="s">
        <v>238</v>
      </c>
      <c r="DA3587" s="5" t="s">
        <v>238</v>
      </c>
      <c r="DB3587" s="5" t="s">
        <v>238</v>
      </c>
      <c r="DC3587" s="5" t="s">
        <v>238</v>
      </c>
      <c r="DD3587" s="5" t="s">
        <v>238</v>
      </c>
      <c r="DE3587" s="8">
        <f>0</f>
        <v>0</v>
      </c>
      <c r="DG3587" s="5" t="s">
        <v>238</v>
      </c>
      <c r="DH3587" s="5" t="s">
        <v>238</v>
      </c>
      <c r="DI3587" s="5" t="s">
        <v>238</v>
      </c>
      <c r="DJ3587" s="5" t="s">
        <v>238</v>
      </c>
      <c r="DK3587" s="5" t="s">
        <v>238</v>
      </c>
      <c r="DL3587" s="5" t="s">
        <v>238</v>
      </c>
      <c r="DM3587" s="8" t="s">
        <v>238</v>
      </c>
      <c r="DN3587" s="5" t="s">
        <v>238</v>
      </c>
      <c r="DO3587" s="5" t="s">
        <v>238</v>
      </c>
      <c r="DP3587" s="5" t="s">
        <v>490</v>
      </c>
      <c r="DQ3587" s="5" t="s">
        <v>490</v>
      </c>
      <c r="DR3587" s="5" t="s">
        <v>238</v>
      </c>
      <c r="DS3587" s="5" t="s">
        <v>238</v>
      </c>
      <c r="DT3587" s="5" t="s">
        <v>500</v>
      </c>
      <c r="DU3587" s="5" t="s">
        <v>314</v>
      </c>
      <c r="DV3587" s="5" t="s">
        <v>238</v>
      </c>
      <c r="DW3587" s="5" t="s">
        <v>238</v>
      </c>
      <c r="DX3587" s="5" t="s">
        <v>238</v>
      </c>
      <c r="DY3587" s="5" t="s">
        <v>238</v>
      </c>
      <c r="DZ3587" s="5" t="s">
        <v>238</v>
      </c>
      <c r="EA3587" s="5" t="s">
        <v>238</v>
      </c>
      <c r="EB3587" s="5" t="s">
        <v>238</v>
      </c>
      <c r="EC3587" s="5" t="s">
        <v>238</v>
      </c>
      <c r="ED3587" s="5" t="s">
        <v>238</v>
      </c>
      <c r="EE3587" s="5" t="s">
        <v>238</v>
      </c>
      <c r="EF3587" s="5" t="s">
        <v>238</v>
      </c>
      <c r="EG3587" s="5" t="s">
        <v>238</v>
      </c>
      <c r="EH3587" s="5" t="s">
        <v>238</v>
      </c>
      <c r="EI3587" s="5" t="s">
        <v>238</v>
      </c>
      <c r="EJ3587" s="5" t="s">
        <v>238</v>
      </c>
      <c r="EK3587" s="5" t="s">
        <v>238</v>
      </c>
      <c r="EL3587" s="5" t="s">
        <v>238</v>
      </c>
      <c r="EM3587" s="5" t="s">
        <v>238</v>
      </c>
      <c r="EN3587" s="5" t="s">
        <v>238</v>
      </c>
      <c r="EO3587" s="5" t="s">
        <v>238</v>
      </c>
      <c r="EP3587" s="5" t="s">
        <v>238</v>
      </c>
      <c r="EQ3587" s="5" t="s">
        <v>238</v>
      </c>
      <c r="ER3587" s="5" t="s">
        <v>238</v>
      </c>
      <c r="ES3587" s="5" t="s">
        <v>238</v>
      </c>
      <c r="ET3587" s="5" t="s">
        <v>238</v>
      </c>
      <c r="EU3587" s="5" t="s">
        <v>238</v>
      </c>
      <c r="EV3587" s="5" t="s">
        <v>238</v>
      </c>
      <c r="EW3587" s="5" t="s">
        <v>238</v>
      </c>
      <c r="EX3587" s="5" t="s">
        <v>238</v>
      </c>
      <c r="EY3587" s="5" t="s">
        <v>238</v>
      </c>
      <c r="EZ3587" s="5" t="s">
        <v>238</v>
      </c>
      <c r="FA3587" s="5" t="s">
        <v>238</v>
      </c>
      <c r="FB3587" s="5" t="s">
        <v>238</v>
      </c>
      <c r="FC3587" s="5" t="s">
        <v>238</v>
      </c>
      <c r="FD3587" s="5" t="s">
        <v>238</v>
      </c>
      <c r="FE3587" s="5" t="s">
        <v>238</v>
      </c>
      <c r="FF3587" s="5" t="s">
        <v>238</v>
      </c>
      <c r="FG3587" s="5" t="s">
        <v>238</v>
      </c>
      <c r="FH3587" s="5" t="s">
        <v>238</v>
      </c>
      <c r="FI3587" s="5" t="s">
        <v>238</v>
      </c>
      <c r="FJ3587" s="5" t="s">
        <v>238</v>
      </c>
      <c r="FK3587" s="5" t="s">
        <v>238</v>
      </c>
      <c r="FL3587" s="5" t="s">
        <v>238</v>
      </c>
      <c r="FM3587" s="5" t="s">
        <v>238</v>
      </c>
      <c r="FN3587" s="5" t="s">
        <v>238</v>
      </c>
      <c r="FO3587" s="5" t="s">
        <v>238</v>
      </c>
      <c r="FP3587" s="5" t="s">
        <v>238</v>
      </c>
      <c r="FQ3587" s="5" t="s">
        <v>238</v>
      </c>
      <c r="FR3587" s="5" t="s">
        <v>238</v>
      </c>
      <c r="FS3587" s="5" t="s">
        <v>238</v>
      </c>
      <c r="FT3587" s="5" t="s">
        <v>238</v>
      </c>
      <c r="FU3587" s="5" t="s">
        <v>238</v>
      </c>
      <c r="FV3587" s="5" t="s">
        <v>238</v>
      </c>
      <c r="FW3587" s="5" t="s">
        <v>238</v>
      </c>
      <c r="FX3587" s="5" t="s">
        <v>238</v>
      </c>
      <c r="FY3587" s="5" t="s">
        <v>238</v>
      </c>
      <c r="FZ3587" s="5" t="s">
        <v>238</v>
      </c>
      <c r="GA3587" s="5" t="s">
        <v>238</v>
      </c>
      <c r="GB3587" s="5" t="s">
        <v>238</v>
      </c>
      <c r="GC3587" s="5" t="s">
        <v>238</v>
      </c>
      <c r="GD3587" s="5" t="s">
        <v>238</v>
      </c>
      <c r="GE3587" s="5" t="s">
        <v>238</v>
      </c>
      <c r="GF3587" s="5" t="s">
        <v>238</v>
      </c>
      <c r="GG3587" s="5" t="s">
        <v>238</v>
      </c>
      <c r="GH3587" s="5" t="s">
        <v>238</v>
      </c>
      <c r="GI3587" s="5" t="s">
        <v>238</v>
      </c>
      <c r="GJ3587" s="5" t="s">
        <v>238</v>
      </c>
      <c r="GK3587" s="5" t="s">
        <v>238</v>
      </c>
      <c r="GL3587" s="5" t="s">
        <v>238</v>
      </c>
      <c r="GM3587" s="5" t="s">
        <v>238</v>
      </c>
      <c r="GN3587" s="5" t="s">
        <v>238</v>
      </c>
      <c r="GO3587" s="5" t="s">
        <v>238</v>
      </c>
      <c r="GP3587" s="5" t="s">
        <v>238</v>
      </c>
      <c r="GQ3587" s="5" t="s">
        <v>238</v>
      </c>
      <c r="GR3587" s="5" t="s">
        <v>238</v>
      </c>
      <c r="GS3587" s="5" t="s">
        <v>238</v>
      </c>
      <c r="GT3587" s="5" t="s">
        <v>238</v>
      </c>
      <c r="GU3587" s="5" t="s">
        <v>238</v>
      </c>
      <c r="GV3587" s="5" t="s">
        <v>238</v>
      </c>
      <c r="GW3587" s="5" t="s">
        <v>238</v>
      </c>
      <c r="GX3587" s="5" t="s">
        <v>238</v>
      </c>
      <c r="GY3587" s="5" t="s">
        <v>238</v>
      </c>
      <c r="GZ3587" s="5" t="s">
        <v>238</v>
      </c>
      <c r="HA3587" s="5" t="s">
        <v>238</v>
      </c>
      <c r="HB3587" s="5" t="s">
        <v>238</v>
      </c>
      <c r="HC3587" s="5" t="s">
        <v>238</v>
      </c>
      <c r="HD3587" s="5" t="s">
        <v>238</v>
      </c>
      <c r="HE3587" s="5" t="s">
        <v>238</v>
      </c>
      <c r="HF3587" s="5" t="s">
        <v>238</v>
      </c>
      <c r="HG3587" s="5" t="s">
        <v>238</v>
      </c>
      <c r="HH3587" s="5" t="s">
        <v>238</v>
      </c>
      <c r="HI3587" s="5" t="s">
        <v>238</v>
      </c>
      <c r="HJ3587" s="5" t="s">
        <v>238</v>
      </c>
      <c r="HK3587" s="5" t="s">
        <v>238</v>
      </c>
      <c r="HL3587" s="5" t="s">
        <v>238</v>
      </c>
      <c r="HM3587" s="5" t="s">
        <v>264</v>
      </c>
      <c r="HN3587" s="5" t="s">
        <v>238</v>
      </c>
      <c r="HO3587" s="5" t="s">
        <v>238</v>
      </c>
      <c r="HP3587" s="5" t="s">
        <v>238</v>
      </c>
      <c r="HQ3587" s="5" t="s">
        <v>238</v>
      </c>
      <c r="HR3587" s="5" t="s">
        <v>238</v>
      </c>
      <c r="HS3587" s="5" t="s">
        <v>238</v>
      </c>
      <c r="HT3587" s="5" t="s">
        <v>238</v>
      </c>
      <c r="HU3587" s="5" t="s">
        <v>238</v>
      </c>
      <c r="HV3587" s="5" t="s">
        <v>238</v>
      </c>
      <c r="HW3587" s="5" t="s">
        <v>238</v>
      </c>
      <c r="HX3587" s="5" t="s">
        <v>238</v>
      </c>
      <c r="HY3587" s="5" t="s">
        <v>238</v>
      </c>
      <c r="HZ3587" s="5" t="s">
        <v>238</v>
      </c>
      <c r="IA3587" s="5" t="s">
        <v>238</v>
      </c>
      <c r="IB3587" s="5" t="s">
        <v>238</v>
      </c>
      <c r="IC3587" s="5" t="s">
        <v>238</v>
      </c>
      <c r="ID3587" s="5" t="s">
        <v>238</v>
      </c>
    </row>
    <row r="3588" spans="1:238" x14ac:dyDescent="0.4">
      <c r="A3588" s="5">
        <v>9306</v>
      </c>
      <c r="B3588" s="5">
        <v>1</v>
      </c>
      <c r="C3588" s="5">
        <v>1</v>
      </c>
      <c r="D3588" s="5" t="s">
        <v>484</v>
      </c>
      <c r="E3588" s="5" t="s">
        <v>485</v>
      </c>
      <c r="F3588" s="5" t="s">
        <v>248</v>
      </c>
      <c r="G3588" s="5" t="s">
        <v>5257</v>
      </c>
      <c r="H3588" s="6" t="s">
        <v>5258</v>
      </c>
      <c r="I3588" s="8">
        <f>1</f>
        <v>1</v>
      </c>
      <c r="J3588" s="5" t="s">
        <v>499</v>
      </c>
      <c r="K3588" s="8">
        <f>1</f>
        <v>1</v>
      </c>
      <c r="L3588" s="6" t="s">
        <v>242</v>
      </c>
      <c r="M3588" s="5" t="s">
        <v>267</v>
      </c>
      <c r="N3588" s="5" t="s">
        <v>482</v>
      </c>
      <c r="O3588" s="5" t="s">
        <v>238</v>
      </c>
      <c r="P3588" s="5" t="s">
        <v>238</v>
      </c>
      <c r="Q3588" s="5" t="s">
        <v>239</v>
      </c>
      <c r="R3588" s="5" t="s">
        <v>270</v>
      </c>
      <c r="S3588" s="5" t="s">
        <v>238</v>
      </c>
      <c r="T3588" s="5" t="s">
        <v>238</v>
      </c>
      <c r="U3588" s="5" t="s">
        <v>238</v>
      </c>
      <c r="V3588" s="5" t="s">
        <v>238</v>
      </c>
      <c r="W3588" s="6" t="s">
        <v>238</v>
      </c>
      <c r="X3588" s="6" t="s">
        <v>238</v>
      </c>
      <c r="Y3588" s="5" t="s">
        <v>238</v>
      </c>
      <c r="Z3588" s="6" t="s">
        <v>238</v>
      </c>
      <c r="AA3588" s="6" t="s">
        <v>243</v>
      </c>
      <c r="AB3588" s="5" t="s">
        <v>486</v>
      </c>
      <c r="AC3588" s="5" t="s">
        <v>244</v>
      </c>
      <c r="AD3588" s="5" t="s">
        <v>245</v>
      </c>
      <c r="AE3588" s="5" t="s">
        <v>238</v>
      </c>
      <c r="AF3588" s="5" t="s">
        <v>238</v>
      </c>
      <c r="AG3588" s="5" t="s">
        <v>238</v>
      </c>
      <c r="AH3588" s="5" t="s">
        <v>238</v>
      </c>
      <c r="AI3588" s="5" t="s">
        <v>238</v>
      </c>
      <c r="AJ3588" s="5" t="s">
        <v>238</v>
      </c>
      <c r="AK3588" s="5" t="s">
        <v>238</v>
      </c>
      <c r="AL3588" s="5" t="s">
        <v>238</v>
      </c>
      <c r="AM3588" s="6" t="s">
        <v>238</v>
      </c>
      <c r="AN3588" s="6" t="s">
        <v>238</v>
      </c>
      <c r="AO3588" s="6" t="s">
        <v>238</v>
      </c>
      <c r="AP3588" s="6" t="s">
        <v>238</v>
      </c>
      <c r="AQ3588" s="5" t="s">
        <v>238</v>
      </c>
      <c r="AR3588" s="5" t="s">
        <v>488</v>
      </c>
      <c r="AS3588" s="5" t="s">
        <v>488</v>
      </c>
      <c r="AT3588" s="5" t="s">
        <v>246</v>
      </c>
      <c r="AU3588" s="5" t="s">
        <v>489</v>
      </c>
      <c r="AV3588" s="5" t="s">
        <v>247</v>
      </c>
      <c r="AW3588" s="5" t="s">
        <v>238</v>
      </c>
      <c r="AX3588" s="5" t="s">
        <v>249</v>
      </c>
      <c r="AY3588" s="5" t="s">
        <v>490</v>
      </c>
      <c r="BA3588" s="5" t="s">
        <v>238</v>
      </c>
      <c r="BC3588" s="5" t="s">
        <v>491</v>
      </c>
      <c r="BD3588" s="6" t="s">
        <v>492</v>
      </c>
      <c r="BE3588" s="5" t="s">
        <v>493</v>
      </c>
      <c r="BF3588" s="5" t="s">
        <v>493</v>
      </c>
      <c r="BG3588" s="5" t="s">
        <v>238</v>
      </c>
      <c r="BH3588" s="8">
        <f>1</f>
        <v>1</v>
      </c>
      <c r="BI3588" s="8">
        <f>1</f>
        <v>1</v>
      </c>
      <c r="BJ3588" s="5" t="s">
        <v>253</v>
      </c>
      <c r="BK3588" s="5" t="s">
        <v>254</v>
      </c>
      <c r="BL3588" s="5" t="s">
        <v>238</v>
      </c>
      <c r="BM3588" s="5" t="s">
        <v>238</v>
      </c>
      <c r="BN3588" s="5" t="s">
        <v>238</v>
      </c>
      <c r="BO3588" s="5" t="s">
        <v>238</v>
      </c>
      <c r="BP3588" s="5" t="s">
        <v>238</v>
      </c>
      <c r="BQ3588" s="5" t="s">
        <v>238</v>
      </c>
      <c r="BR3588" s="5" t="s">
        <v>238</v>
      </c>
      <c r="BS3588" s="5" t="s">
        <v>238</v>
      </c>
      <c r="BT3588" s="6" t="s">
        <v>238</v>
      </c>
      <c r="BU3588" s="5" t="s">
        <v>238</v>
      </c>
      <c r="BV3588" s="5" t="s">
        <v>238</v>
      </c>
      <c r="BW3588" s="5" t="s">
        <v>238</v>
      </c>
      <c r="BX3588" s="5" t="s">
        <v>254</v>
      </c>
      <c r="BY3588" s="5" t="s">
        <v>238</v>
      </c>
      <c r="BZ3588" s="5" t="s">
        <v>238</v>
      </c>
      <c r="CA3588" s="5" t="s">
        <v>238</v>
      </c>
      <c r="CB3588" s="5" t="s">
        <v>238</v>
      </c>
      <c r="CC3588" s="5" t="s">
        <v>238</v>
      </c>
      <c r="CD3588" s="5" t="s">
        <v>273</v>
      </c>
      <c r="CE3588" s="5" t="s">
        <v>256</v>
      </c>
      <c r="CF3588" s="5" t="s">
        <v>238</v>
      </c>
      <c r="CH3588" s="5" t="s">
        <v>494</v>
      </c>
      <c r="CI3588" s="6" t="s">
        <v>257</v>
      </c>
      <c r="CJ3588" s="5" t="s">
        <v>495</v>
      </c>
      <c r="CK3588" s="5" t="s">
        <v>258</v>
      </c>
      <c r="CL3588" s="5" t="s">
        <v>496</v>
      </c>
      <c r="CM3588" s="5" t="s">
        <v>238</v>
      </c>
      <c r="CN3588" s="5">
        <v>0</v>
      </c>
      <c r="CO3588" s="5" t="s">
        <v>497</v>
      </c>
      <c r="CP3588" s="5" t="s">
        <v>260</v>
      </c>
      <c r="CQ3588" s="5" t="s">
        <v>260</v>
      </c>
      <c r="CR3588" s="5" t="s">
        <v>261</v>
      </c>
      <c r="CS3588" s="5" t="s">
        <v>498</v>
      </c>
      <c r="CT3588" s="7">
        <f>1</f>
        <v>1</v>
      </c>
      <c r="CU3588" s="8">
        <f>1</f>
        <v>1</v>
      </c>
      <c r="CV3588" s="8">
        <f>0</f>
        <v>0</v>
      </c>
      <c r="CX3588" s="8">
        <f>1</f>
        <v>1</v>
      </c>
      <c r="CY3588" s="8">
        <f>1</f>
        <v>1</v>
      </c>
      <c r="CZ3588" s="8" t="s">
        <v>238</v>
      </c>
      <c r="DA3588" s="5" t="s">
        <v>238</v>
      </c>
      <c r="DB3588" s="5" t="s">
        <v>238</v>
      </c>
      <c r="DC3588" s="5" t="s">
        <v>238</v>
      </c>
      <c r="DD3588" s="5" t="s">
        <v>238</v>
      </c>
      <c r="DE3588" s="8">
        <f>0</f>
        <v>0</v>
      </c>
      <c r="DG3588" s="5" t="s">
        <v>238</v>
      </c>
      <c r="DH3588" s="5" t="s">
        <v>238</v>
      </c>
      <c r="DI3588" s="5" t="s">
        <v>238</v>
      </c>
      <c r="DJ3588" s="5" t="s">
        <v>238</v>
      </c>
      <c r="DK3588" s="5" t="s">
        <v>238</v>
      </c>
      <c r="DL3588" s="5" t="s">
        <v>238</v>
      </c>
      <c r="DM3588" s="8" t="s">
        <v>238</v>
      </c>
      <c r="DN3588" s="5" t="s">
        <v>238</v>
      </c>
      <c r="DO3588" s="5" t="s">
        <v>238</v>
      </c>
      <c r="DP3588" s="5" t="s">
        <v>490</v>
      </c>
      <c r="DQ3588" s="5" t="s">
        <v>490</v>
      </c>
      <c r="DR3588" s="5" t="s">
        <v>238</v>
      </c>
      <c r="DS3588" s="5" t="s">
        <v>238</v>
      </c>
      <c r="DT3588" s="5" t="s">
        <v>500</v>
      </c>
      <c r="DU3588" s="5" t="s">
        <v>1232</v>
      </c>
      <c r="DV3588" s="5" t="s">
        <v>238</v>
      </c>
      <c r="DW3588" s="5" t="s">
        <v>238</v>
      </c>
      <c r="DX3588" s="5" t="s">
        <v>238</v>
      </c>
      <c r="DY3588" s="5" t="s">
        <v>238</v>
      </c>
      <c r="DZ3588" s="5" t="s">
        <v>238</v>
      </c>
      <c r="EA3588" s="5" t="s">
        <v>238</v>
      </c>
      <c r="EB3588" s="5" t="s">
        <v>238</v>
      </c>
      <c r="EC3588" s="5" t="s">
        <v>238</v>
      </c>
      <c r="ED3588" s="5" t="s">
        <v>238</v>
      </c>
      <c r="EE3588" s="5" t="s">
        <v>238</v>
      </c>
      <c r="EF3588" s="5" t="s">
        <v>238</v>
      </c>
      <c r="EG3588" s="5" t="s">
        <v>238</v>
      </c>
      <c r="EH3588" s="5" t="s">
        <v>238</v>
      </c>
      <c r="EI3588" s="5" t="s">
        <v>238</v>
      </c>
      <c r="EJ3588" s="5" t="s">
        <v>238</v>
      </c>
      <c r="EK3588" s="5" t="s">
        <v>238</v>
      </c>
      <c r="EL3588" s="5" t="s">
        <v>238</v>
      </c>
      <c r="EM3588" s="5" t="s">
        <v>238</v>
      </c>
      <c r="EN3588" s="5" t="s">
        <v>238</v>
      </c>
      <c r="EO3588" s="5" t="s">
        <v>238</v>
      </c>
      <c r="EP3588" s="5" t="s">
        <v>238</v>
      </c>
      <c r="EQ3588" s="5" t="s">
        <v>238</v>
      </c>
      <c r="ER3588" s="5" t="s">
        <v>238</v>
      </c>
      <c r="ES3588" s="5" t="s">
        <v>238</v>
      </c>
      <c r="ET3588" s="5" t="s">
        <v>238</v>
      </c>
      <c r="EU3588" s="5" t="s">
        <v>238</v>
      </c>
      <c r="EV3588" s="5" t="s">
        <v>238</v>
      </c>
      <c r="EW3588" s="5" t="s">
        <v>238</v>
      </c>
      <c r="EX3588" s="5" t="s">
        <v>238</v>
      </c>
      <c r="EY3588" s="5" t="s">
        <v>238</v>
      </c>
      <c r="EZ3588" s="5" t="s">
        <v>238</v>
      </c>
      <c r="FA3588" s="5" t="s">
        <v>238</v>
      </c>
      <c r="FB3588" s="5" t="s">
        <v>238</v>
      </c>
      <c r="FC3588" s="5" t="s">
        <v>238</v>
      </c>
      <c r="FD3588" s="5" t="s">
        <v>238</v>
      </c>
      <c r="FE3588" s="5" t="s">
        <v>238</v>
      </c>
      <c r="FF3588" s="5" t="s">
        <v>238</v>
      </c>
      <c r="FG3588" s="5" t="s">
        <v>238</v>
      </c>
      <c r="FH3588" s="5" t="s">
        <v>238</v>
      </c>
      <c r="FI3588" s="5" t="s">
        <v>238</v>
      </c>
      <c r="FJ3588" s="5" t="s">
        <v>238</v>
      </c>
      <c r="FK3588" s="5" t="s">
        <v>238</v>
      </c>
      <c r="FL3588" s="5" t="s">
        <v>238</v>
      </c>
      <c r="FM3588" s="5" t="s">
        <v>238</v>
      </c>
      <c r="FN3588" s="5" t="s">
        <v>238</v>
      </c>
      <c r="FO3588" s="5" t="s">
        <v>238</v>
      </c>
      <c r="FP3588" s="5" t="s">
        <v>238</v>
      </c>
      <c r="FQ3588" s="5" t="s">
        <v>238</v>
      </c>
      <c r="FR3588" s="5" t="s">
        <v>238</v>
      </c>
      <c r="FS3588" s="5" t="s">
        <v>238</v>
      </c>
      <c r="FT3588" s="5" t="s">
        <v>238</v>
      </c>
      <c r="FU3588" s="5" t="s">
        <v>238</v>
      </c>
      <c r="FV3588" s="5" t="s">
        <v>238</v>
      </c>
      <c r="FW3588" s="5" t="s">
        <v>238</v>
      </c>
      <c r="FX3588" s="5" t="s">
        <v>238</v>
      </c>
      <c r="FY3588" s="5" t="s">
        <v>238</v>
      </c>
      <c r="FZ3588" s="5" t="s">
        <v>238</v>
      </c>
      <c r="GA3588" s="5" t="s">
        <v>238</v>
      </c>
      <c r="GB3588" s="5" t="s">
        <v>238</v>
      </c>
      <c r="GC3588" s="5" t="s">
        <v>238</v>
      </c>
      <c r="GD3588" s="5" t="s">
        <v>238</v>
      </c>
      <c r="GE3588" s="5" t="s">
        <v>238</v>
      </c>
      <c r="GF3588" s="5" t="s">
        <v>238</v>
      </c>
      <c r="GG3588" s="5" t="s">
        <v>238</v>
      </c>
      <c r="GH3588" s="5" t="s">
        <v>238</v>
      </c>
      <c r="GI3588" s="5" t="s">
        <v>238</v>
      </c>
      <c r="GJ3588" s="5" t="s">
        <v>238</v>
      </c>
      <c r="GK3588" s="5" t="s">
        <v>238</v>
      </c>
      <c r="GL3588" s="5" t="s">
        <v>238</v>
      </c>
      <c r="GM3588" s="5" t="s">
        <v>238</v>
      </c>
      <c r="GN3588" s="5" t="s">
        <v>238</v>
      </c>
      <c r="GO3588" s="5" t="s">
        <v>238</v>
      </c>
      <c r="GP3588" s="5" t="s">
        <v>238</v>
      </c>
      <c r="GQ3588" s="5" t="s">
        <v>238</v>
      </c>
      <c r="GR3588" s="5" t="s">
        <v>238</v>
      </c>
      <c r="GS3588" s="5" t="s">
        <v>238</v>
      </c>
      <c r="GT3588" s="5" t="s">
        <v>238</v>
      </c>
      <c r="GU3588" s="5" t="s">
        <v>238</v>
      </c>
      <c r="GV3588" s="5" t="s">
        <v>238</v>
      </c>
      <c r="GW3588" s="5" t="s">
        <v>238</v>
      </c>
      <c r="GX3588" s="5" t="s">
        <v>238</v>
      </c>
      <c r="GY3588" s="5" t="s">
        <v>238</v>
      </c>
      <c r="GZ3588" s="5" t="s">
        <v>238</v>
      </c>
      <c r="HA3588" s="5" t="s">
        <v>238</v>
      </c>
      <c r="HB3588" s="5" t="s">
        <v>238</v>
      </c>
      <c r="HC3588" s="5" t="s">
        <v>238</v>
      </c>
      <c r="HD3588" s="5" t="s">
        <v>238</v>
      </c>
      <c r="HE3588" s="5" t="s">
        <v>238</v>
      </c>
      <c r="HF3588" s="5" t="s">
        <v>238</v>
      </c>
      <c r="HG3588" s="5" t="s">
        <v>238</v>
      </c>
      <c r="HH3588" s="5" t="s">
        <v>238</v>
      </c>
      <c r="HI3588" s="5" t="s">
        <v>238</v>
      </c>
      <c r="HJ3588" s="5" t="s">
        <v>238</v>
      </c>
      <c r="HK3588" s="5" t="s">
        <v>238</v>
      </c>
      <c r="HL3588" s="5" t="s">
        <v>238</v>
      </c>
      <c r="HM3588" s="5" t="s">
        <v>264</v>
      </c>
      <c r="HN3588" s="5" t="s">
        <v>238</v>
      </c>
      <c r="HO3588" s="5" t="s">
        <v>238</v>
      </c>
      <c r="HP3588" s="5" t="s">
        <v>238</v>
      </c>
      <c r="HQ3588" s="5" t="s">
        <v>238</v>
      </c>
      <c r="HR3588" s="5" t="s">
        <v>238</v>
      </c>
      <c r="HS3588" s="5" t="s">
        <v>238</v>
      </c>
      <c r="HT3588" s="5" t="s">
        <v>238</v>
      </c>
      <c r="HU3588" s="5" t="s">
        <v>238</v>
      </c>
      <c r="HV3588" s="5" t="s">
        <v>238</v>
      </c>
      <c r="HW3588" s="5" t="s">
        <v>238</v>
      </c>
      <c r="HX3588" s="5" t="s">
        <v>238</v>
      </c>
      <c r="HY3588" s="5" t="s">
        <v>238</v>
      </c>
      <c r="HZ3588" s="5" t="s">
        <v>238</v>
      </c>
      <c r="IA3588" s="5" t="s">
        <v>238</v>
      </c>
      <c r="IB3588" s="5" t="s">
        <v>238</v>
      </c>
      <c r="IC3588" s="5" t="s">
        <v>238</v>
      </c>
      <c r="ID3588" s="5" t="s">
        <v>238</v>
      </c>
    </row>
    <row r="3589" spans="1:238" x14ac:dyDescent="0.4">
      <c r="A3589" s="5">
        <v>9307</v>
      </c>
      <c r="B3589" s="5">
        <v>1</v>
      </c>
      <c r="C3589" s="5">
        <v>1</v>
      </c>
      <c r="D3589" s="5" t="s">
        <v>484</v>
      </c>
      <c r="E3589" s="5" t="s">
        <v>485</v>
      </c>
      <c r="F3589" s="5" t="s">
        <v>248</v>
      </c>
      <c r="G3589" s="5" t="s">
        <v>821</v>
      </c>
      <c r="H3589" s="6" t="s">
        <v>823</v>
      </c>
      <c r="I3589" s="8">
        <f>1</f>
        <v>1</v>
      </c>
      <c r="J3589" s="5" t="s">
        <v>499</v>
      </c>
      <c r="K3589" s="8">
        <f>1</f>
        <v>1</v>
      </c>
      <c r="L3589" s="6" t="s">
        <v>242</v>
      </c>
      <c r="M3589" s="5" t="s">
        <v>267</v>
      </c>
      <c r="N3589" s="5" t="s">
        <v>482</v>
      </c>
      <c r="O3589" s="5" t="s">
        <v>238</v>
      </c>
      <c r="P3589" s="5" t="s">
        <v>238</v>
      </c>
      <c r="Q3589" s="5" t="s">
        <v>239</v>
      </c>
      <c r="R3589" s="5" t="s">
        <v>270</v>
      </c>
      <c r="S3589" s="5" t="s">
        <v>238</v>
      </c>
      <c r="T3589" s="5" t="s">
        <v>238</v>
      </c>
      <c r="U3589" s="5" t="s">
        <v>238</v>
      </c>
      <c r="V3589" s="5" t="s">
        <v>238</v>
      </c>
      <c r="W3589" s="6" t="s">
        <v>238</v>
      </c>
      <c r="X3589" s="6" t="s">
        <v>238</v>
      </c>
      <c r="Y3589" s="5" t="s">
        <v>238</v>
      </c>
      <c r="Z3589" s="6" t="s">
        <v>238</v>
      </c>
      <c r="AA3589" s="6" t="s">
        <v>243</v>
      </c>
      <c r="AB3589" s="5" t="s">
        <v>822</v>
      </c>
      <c r="AC3589" s="5" t="s">
        <v>244</v>
      </c>
      <c r="AD3589" s="5" t="s">
        <v>245</v>
      </c>
      <c r="AE3589" s="5" t="s">
        <v>238</v>
      </c>
      <c r="AF3589" s="5" t="s">
        <v>238</v>
      </c>
      <c r="AG3589" s="5" t="s">
        <v>238</v>
      </c>
      <c r="AH3589" s="5" t="s">
        <v>238</v>
      </c>
      <c r="AI3589" s="5" t="s">
        <v>238</v>
      </c>
      <c r="AJ3589" s="5" t="s">
        <v>238</v>
      </c>
      <c r="AK3589" s="5" t="s">
        <v>238</v>
      </c>
      <c r="AL3589" s="5" t="s">
        <v>238</v>
      </c>
      <c r="AM3589" s="6" t="s">
        <v>238</v>
      </c>
      <c r="AN3589" s="6" t="s">
        <v>238</v>
      </c>
      <c r="AO3589" s="6" t="s">
        <v>238</v>
      </c>
      <c r="AP3589" s="6" t="s">
        <v>238</v>
      </c>
      <c r="AQ3589" s="5" t="s">
        <v>238</v>
      </c>
      <c r="AR3589" s="5" t="s">
        <v>488</v>
      </c>
      <c r="AS3589" s="5" t="s">
        <v>488</v>
      </c>
      <c r="AT3589" s="5" t="s">
        <v>246</v>
      </c>
      <c r="AU3589" s="5" t="s">
        <v>489</v>
      </c>
      <c r="AV3589" s="5" t="s">
        <v>247</v>
      </c>
      <c r="AW3589" s="5" t="s">
        <v>238</v>
      </c>
      <c r="AX3589" s="5" t="s">
        <v>249</v>
      </c>
      <c r="AY3589" s="5" t="s">
        <v>490</v>
      </c>
      <c r="BA3589" s="5" t="s">
        <v>238</v>
      </c>
      <c r="BC3589" s="5" t="s">
        <v>491</v>
      </c>
      <c r="BD3589" s="6" t="s">
        <v>492</v>
      </c>
      <c r="BE3589" s="5" t="s">
        <v>493</v>
      </c>
      <c r="BF3589" s="5" t="s">
        <v>493</v>
      </c>
      <c r="BG3589" s="5" t="s">
        <v>238</v>
      </c>
      <c r="BH3589" s="8">
        <f>1</f>
        <v>1</v>
      </c>
      <c r="BI3589" s="8">
        <f>1</f>
        <v>1</v>
      </c>
      <c r="BJ3589" s="5" t="s">
        <v>253</v>
      </c>
      <c r="BK3589" s="5" t="s">
        <v>254</v>
      </c>
      <c r="BL3589" s="5" t="s">
        <v>238</v>
      </c>
      <c r="BM3589" s="5" t="s">
        <v>238</v>
      </c>
      <c r="BN3589" s="5" t="s">
        <v>238</v>
      </c>
      <c r="BO3589" s="5" t="s">
        <v>238</v>
      </c>
      <c r="BP3589" s="5" t="s">
        <v>238</v>
      </c>
      <c r="BQ3589" s="5" t="s">
        <v>238</v>
      </c>
      <c r="BR3589" s="5" t="s">
        <v>238</v>
      </c>
      <c r="BS3589" s="5" t="s">
        <v>238</v>
      </c>
      <c r="BT3589" s="6" t="s">
        <v>238</v>
      </c>
      <c r="BU3589" s="5" t="s">
        <v>238</v>
      </c>
      <c r="BV3589" s="5" t="s">
        <v>238</v>
      </c>
      <c r="BW3589" s="5" t="s">
        <v>238</v>
      </c>
      <c r="BX3589" s="5" t="s">
        <v>254</v>
      </c>
      <c r="BY3589" s="5" t="s">
        <v>238</v>
      </c>
      <c r="BZ3589" s="5" t="s">
        <v>238</v>
      </c>
      <c r="CA3589" s="5" t="s">
        <v>238</v>
      </c>
      <c r="CB3589" s="5" t="s">
        <v>238</v>
      </c>
      <c r="CC3589" s="5" t="s">
        <v>238</v>
      </c>
      <c r="CD3589" s="5" t="s">
        <v>273</v>
      </c>
      <c r="CE3589" s="5" t="s">
        <v>256</v>
      </c>
      <c r="CF3589" s="5" t="s">
        <v>238</v>
      </c>
      <c r="CH3589" s="5" t="s">
        <v>494</v>
      </c>
      <c r="CI3589" s="6" t="s">
        <v>257</v>
      </c>
      <c r="CJ3589" s="5" t="s">
        <v>495</v>
      </c>
      <c r="CK3589" s="5" t="s">
        <v>258</v>
      </c>
      <c r="CL3589" s="5" t="s">
        <v>496</v>
      </c>
      <c r="CM3589" s="5" t="s">
        <v>238</v>
      </c>
      <c r="CN3589" s="5">
        <v>0</v>
      </c>
      <c r="CO3589" s="5" t="s">
        <v>497</v>
      </c>
      <c r="CP3589" s="5" t="s">
        <v>260</v>
      </c>
      <c r="CQ3589" s="5" t="s">
        <v>260</v>
      </c>
      <c r="CR3589" s="5" t="s">
        <v>261</v>
      </c>
      <c r="CS3589" s="5" t="s">
        <v>498</v>
      </c>
      <c r="CT3589" s="7">
        <f>1</f>
        <v>1</v>
      </c>
      <c r="CU3589" s="8">
        <f>1</f>
        <v>1</v>
      </c>
      <c r="CV3589" s="8">
        <f>0</f>
        <v>0</v>
      </c>
      <c r="CX3589" s="8">
        <f>1</f>
        <v>1</v>
      </c>
      <c r="CY3589" s="8">
        <f>1</f>
        <v>1</v>
      </c>
      <c r="CZ3589" s="8" t="s">
        <v>238</v>
      </c>
      <c r="DA3589" s="5" t="s">
        <v>238</v>
      </c>
      <c r="DB3589" s="5" t="s">
        <v>238</v>
      </c>
      <c r="DC3589" s="5" t="s">
        <v>238</v>
      </c>
      <c r="DD3589" s="5" t="s">
        <v>238</v>
      </c>
      <c r="DE3589" s="8">
        <f>0</f>
        <v>0</v>
      </c>
      <c r="DG3589" s="5" t="s">
        <v>238</v>
      </c>
      <c r="DH3589" s="5" t="s">
        <v>238</v>
      </c>
      <c r="DI3589" s="5" t="s">
        <v>238</v>
      </c>
      <c r="DJ3589" s="5" t="s">
        <v>238</v>
      </c>
      <c r="DK3589" s="5" t="s">
        <v>238</v>
      </c>
      <c r="DL3589" s="5" t="s">
        <v>238</v>
      </c>
      <c r="DM3589" s="8" t="s">
        <v>238</v>
      </c>
      <c r="DN3589" s="5" t="s">
        <v>238</v>
      </c>
      <c r="DO3589" s="5" t="s">
        <v>238</v>
      </c>
      <c r="DP3589" s="5" t="s">
        <v>490</v>
      </c>
      <c r="DQ3589" s="5" t="s">
        <v>490</v>
      </c>
      <c r="DR3589" s="5" t="s">
        <v>238</v>
      </c>
      <c r="DS3589" s="5" t="s">
        <v>238</v>
      </c>
      <c r="DT3589" s="5" t="s">
        <v>500</v>
      </c>
      <c r="DU3589" s="5" t="s">
        <v>300</v>
      </c>
      <c r="DV3589" s="5" t="s">
        <v>238</v>
      </c>
      <c r="DW3589" s="5" t="s">
        <v>238</v>
      </c>
      <c r="DX3589" s="5" t="s">
        <v>238</v>
      </c>
      <c r="DY3589" s="5" t="s">
        <v>238</v>
      </c>
      <c r="DZ3589" s="5" t="s">
        <v>238</v>
      </c>
      <c r="EA3589" s="5" t="s">
        <v>238</v>
      </c>
      <c r="EB3589" s="5" t="s">
        <v>238</v>
      </c>
      <c r="EC3589" s="5" t="s">
        <v>238</v>
      </c>
      <c r="ED3589" s="5" t="s">
        <v>238</v>
      </c>
      <c r="EE3589" s="5" t="s">
        <v>238</v>
      </c>
      <c r="EF3589" s="5" t="s">
        <v>238</v>
      </c>
      <c r="EG3589" s="5" t="s">
        <v>238</v>
      </c>
      <c r="EH3589" s="5" t="s">
        <v>238</v>
      </c>
      <c r="EI3589" s="5" t="s">
        <v>238</v>
      </c>
      <c r="EJ3589" s="5" t="s">
        <v>238</v>
      </c>
      <c r="EK3589" s="5" t="s">
        <v>238</v>
      </c>
      <c r="EL3589" s="5" t="s">
        <v>238</v>
      </c>
      <c r="EM3589" s="5" t="s">
        <v>238</v>
      </c>
      <c r="EN3589" s="5" t="s">
        <v>238</v>
      </c>
      <c r="EO3589" s="5" t="s">
        <v>238</v>
      </c>
      <c r="EP3589" s="5" t="s">
        <v>238</v>
      </c>
      <c r="EQ3589" s="5" t="s">
        <v>238</v>
      </c>
      <c r="ER3589" s="5" t="s">
        <v>238</v>
      </c>
      <c r="ES3589" s="5" t="s">
        <v>238</v>
      </c>
      <c r="ET3589" s="5" t="s">
        <v>238</v>
      </c>
      <c r="EU3589" s="5" t="s">
        <v>238</v>
      </c>
      <c r="EV3589" s="5" t="s">
        <v>238</v>
      </c>
      <c r="EW3589" s="5" t="s">
        <v>238</v>
      </c>
      <c r="EX3589" s="5" t="s">
        <v>238</v>
      </c>
      <c r="EY3589" s="5" t="s">
        <v>238</v>
      </c>
      <c r="EZ3589" s="5" t="s">
        <v>238</v>
      </c>
      <c r="FA3589" s="5" t="s">
        <v>238</v>
      </c>
      <c r="FB3589" s="5" t="s">
        <v>238</v>
      </c>
      <c r="FC3589" s="5" t="s">
        <v>238</v>
      </c>
      <c r="FD3589" s="5" t="s">
        <v>238</v>
      </c>
      <c r="FE3589" s="5" t="s">
        <v>238</v>
      </c>
      <c r="FF3589" s="5" t="s">
        <v>238</v>
      </c>
      <c r="FG3589" s="5" t="s">
        <v>238</v>
      </c>
      <c r="FH3589" s="5" t="s">
        <v>238</v>
      </c>
      <c r="FI3589" s="5" t="s">
        <v>238</v>
      </c>
      <c r="FJ3589" s="5" t="s">
        <v>238</v>
      </c>
      <c r="FK3589" s="5" t="s">
        <v>238</v>
      </c>
      <c r="FL3589" s="5" t="s">
        <v>238</v>
      </c>
      <c r="FM3589" s="5" t="s">
        <v>238</v>
      </c>
      <c r="FN3589" s="5" t="s">
        <v>238</v>
      </c>
      <c r="FO3589" s="5" t="s">
        <v>238</v>
      </c>
      <c r="FP3589" s="5" t="s">
        <v>238</v>
      </c>
      <c r="FQ3589" s="5" t="s">
        <v>238</v>
      </c>
      <c r="FR3589" s="5" t="s">
        <v>238</v>
      </c>
      <c r="FS3589" s="5" t="s">
        <v>238</v>
      </c>
      <c r="FT3589" s="5" t="s">
        <v>238</v>
      </c>
      <c r="FU3589" s="5" t="s">
        <v>238</v>
      </c>
      <c r="FV3589" s="5" t="s">
        <v>238</v>
      </c>
      <c r="FW3589" s="5" t="s">
        <v>238</v>
      </c>
      <c r="FX3589" s="5" t="s">
        <v>238</v>
      </c>
      <c r="FY3589" s="5" t="s">
        <v>238</v>
      </c>
      <c r="FZ3589" s="5" t="s">
        <v>238</v>
      </c>
      <c r="GA3589" s="5" t="s">
        <v>238</v>
      </c>
      <c r="GB3589" s="5" t="s">
        <v>238</v>
      </c>
      <c r="GC3589" s="5" t="s">
        <v>238</v>
      </c>
      <c r="GD3589" s="5" t="s">
        <v>238</v>
      </c>
      <c r="GE3589" s="5" t="s">
        <v>238</v>
      </c>
      <c r="GF3589" s="5" t="s">
        <v>238</v>
      </c>
      <c r="GG3589" s="5" t="s">
        <v>238</v>
      </c>
      <c r="GH3589" s="5" t="s">
        <v>238</v>
      </c>
      <c r="GI3589" s="5" t="s">
        <v>238</v>
      </c>
      <c r="GJ3589" s="5" t="s">
        <v>238</v>
      </c>
      <c r="GK3589" s="5" t="s">
        <v>238</v>
      </c>
      <c r="GL3589" s="5" t="s">
        <v>238</v>
      </c>
      <c r="GM3589" s="5" t="s">
        <v>238</v>
      </c>
      <c r="GN3589" s="5" t="s">
        <v>238</v>
      </c>
      <c r="GO3589" s="5" t="s">
        <v>238</v>
      </c>
      <c r="GP3589" s="5" t="s">
        <v>238</v>
      </c>
      <c r="GQ3589" s="5" t="s">
        <v>238</v>
      </c>
      <c r="GR3589" s="5" t="s">
        <v>238</v>
      </c>
      <c r="GS3589" s="5" t="s">
        <v>238</v>
      </c>
      <c r="GT3589" s="5" t="s">
        <v>238</v>
      </c>
      <c r="GU3589" s="5" t="s">
        <v>238</v>
      </c>
      <c r="GV3589" s="5" t="s">
        <v>238</v>
      </c>
      <c r="GW3589" s="5" t="s">
        <v>238</v>
      </c>
      <c r="GX3589" s="5" t="s">
        <v>238</v>
      </c>
      <c r="GY3589" s="5" t="s">
        <v>238</v>
      </c>
      <c r="GZ3589" s="5" t="s">
        <v>238</v>
      </c>
      <c r="HA3589" s="5" t="s">
        <v>238</v>
      </c>
      <c r="HB3589" s="5" t="s">
        <v>238</v>
      </c>
      <c r="HC3589" s="5" t="s">
        <v>238</v>
      </c>
      <c r="HD3589" s="5" t="s">
        <v>238</v>
      </c>
      <c r="HE3589" s="5" t="s">
        <v>238</v>
      </c>
      <c r="HF3589" s="5" t="s">
        <v>238</v>
      </c>
      <c r="HG3589" s="5" t="s">
        <v>238</v>
      </c>
      <c r="HH3589" s="5" t="s">
        <v>238</v>
      </c>
      <c r="HI3589" s="5" t="s">
        <v>238</v>
      </c>
      <c r="HJ3589" s="5" t="s">
        <v>238</v>
      </c>
      <c r="HK3589" s="5" t="s">
        <v>238</v>
      </c>
      <c r="HL3589" s="5" t="s">
        <v>238</v>
      </c>
      <c r="HM3589" s="5" t="s">
        <v>264</v>
      </c>
      <c r="HN3589" s="5" t="s">
        <v>238</v>
      </c>
      <c r="HO3589" s="5" t="s">
        <v>238</v>
      </c>
      <c r="HP3589" s="5" t="s">
        <v>238</v>
      </c>
      <c r="HQ3589" s="5" t="s">
        <v>238</v>
      </c>
      <c r="HR3589" s="5" t="s">
        <v>238</v>
      </c>
      <c r="HS3589" s="5" t="s">
        <v>238</v>
      </c>
      <c r="HT3589" s="5" t="s">
        <v>238</v>
      </c>
      <c r="HU3589" s="5" t="s">
        <v>238</v>
      </c>
      <c r="HV3589" s="5" t="s">
        <v>238</v>
      </c>
      <c r="HW3589" s="5" t="s">
        <v>238</v>
      </c>
      <c r="HX3589" s="5" t="s">
        <v>238</v>
      </c>
      <c r="HY3589" s="5" t="s">
        <v>238</v>
      </c>
      <c r="HZ3589" s="5" t="s">
        <v>238</v>
      </c>
      <c r="IA3589" s="5" t="s">
        <v>238</v>
      </c>
      <c r="IB3589" s="5" t="s">
        <v>238</v>
      </c>
      <c r="IC3589" s="5" t="s">
        <v>238</v>
      </c>
      <c r="ID3589" s="5" t="s">
        <v>238</v>
      </c>
    </row>
    <row r="3590" spans="1:238" x14ac:dyDescent="0.4">
      <c r="A3590" s="5">
        <v>9308</v>
      </c>
      <c r="B3590" s="5">
        <v>1</v>
      </c>
      <c r="C3590" s="5">
        <v>1</v>
      </c>
      <c r="D3590" s="5" t="s">
        <v>484</v>
      </c>
      <c r="E3590" s="5" t="s">
        <v>485</v>
      </c>
      <c r="F3590" s="5" t="s">
        <v>248</v>
      </c>
      <c r="G3590" s="5" t="s">
        <v>5575</v>
      </c>
      <c r="H3590" s="6" t="s">
        <v>5576</v>
      </c>
      <c r="I3590" s="8">
        <f>1</f>
        <v>1</v>
      </c>
      <c r="J3590" s="5" t="s">
        <v>499</v>
      </c>
      <c r="K3590" s="8">
        <f>1</f>
        <v>1</v>
      </c>
      <c r="L3590" s="6" t="s">
        <v>242</v>
      </c>
      <c r="M3590" s="5" t="s">
        <v>267</v>
      </c>
      <c r="N3590" s="5" t="s">
        <v>482</v>
      </c>
      <c r="O3590" s="5" t="s">
        <v>238</v>
      </c>
      <c r="P3590" s="5" t="s">
        <v>238</v>
      </c>
      <c r="Q3590" s="5" t="s">
        <v>239</v>
      </c>
      <c r="R3590" s="5" t="s">
        <v>270</v>
      </c>
      <c r="S3590" s="5" t="s">
        <v>238</v>
      </c>
      <c r="T3590" s="5" t="s">
        <v>238</v>
      </c>
      <c r="U3590" s="5" t="s">
        <v>238</v>
      </c>
      <c r="V3590" s="5" t="s">
        <v>238</v>
      </c>
      <c r="W3590" s="6" t="s">
        <v>238</v>
      </c>
      <c r="X3590" s="6" t="s">
        <v>238</v>
      </c>
      <c r="Y3590" s="5" t="s">
        <v>238</v>
      </c>
      <c r="Z3590" s="6" t="s">
        <v>238</v>
      </c>
      <c r="AA3590" s="6" t="s">
        <v>243</v>
      </c>
      <c r="AB3590" s="5" t="s">
        <v>486</v>
      </c>
      <c r="AC3590" s="5" t="s">
        <v>244</v>
      </c>
      <c r="AD3590" s="5" t="s">
        <v>245</v>
      </c>
      <c r="AE3590" s="5" t="s">
        <v>238</v>
      </c>
      <c r="AF3590" s="5" t="s">
        <v>238</v>
      </c>
      <c r="AG3590" s="5" t="s">
        <v>238</v>
      </c>
      <c r="AH3590" s="5" t="s">
        <v>238</v>
      </c>
      <c r="AI3590" s="5" t="s">
        <v>238</v>
      </c>
      <c r="AJ3590" s="5" t="s">
        <v>238</v>
      </c>
      <c r="AK3590" s="5" t="s">
        <v>238</v>
      </c>
      <c r="AL3590" s="5" t="s">
        <v>238</v>
      </c>
      <c r="AM3590" s="6" t="s">
        <v>238</v>
      </c>
      <c r="AN3590" s="6" t="s">
        <v>238</v>
      </c>
      <c r="AO3590" s="6" t="s">
        <v>238</v>
      </c>
      <c r="AP3590" s="6" t="s">
        <v>238</v>
      </c>
      <c r="AQ3590" s="5" t="s">
        <v>238</v>
      </c>
      <c r="AR3590" s="5" t="s">
        <v>488</v>
      </c>
      <c r="AS3590" s="5" t="s">
        <v>488</v>
      </c>
      <c r="AT3590" s="5" t="s">
        <v>246</v>
      </c>
      <c r="AU3590" s="5" t="s">
        <v>489</v>
      </c>
      <c r="AV3590" s="5" t="s">
        <v>247</v>
      </c>
      <c r="AW3590" s="5" t="s">
        <v>238</v>
      </c>
      <c r="AX3590" s="5" t="s">
        <v>249</v>
      </c>
      <c r="AY3590" s="5" t="s">
        <v>490</v>
      </c>
      <c r="BA3590" s="5" t="s">
        <v>238</v>
      </c>
      <c r="BC3590" s="5" t="s">
        <v>491</v>
      </c>
      <c r="BD3590" s="6" t="s">
        <v>492</v>
      </c>
      <c r="BE3590" s="5" t="s">
        <v>493</v>
      </c>
      <c r="BF3590" s="5" t="s">
        <v>493</v>
      </c>
      <c r="BG3590" s="5" t="s">
        <v>238</v>
      </c>
      <c r="BH3590" s="8">
        <f>1</f>
        <v>1</v>
      </c>
      <c r="BI3590" s="8">
        <f>1</f>
        <v>1</v>
      </c>
      <c r="BJ3590" s="5" t="s">
        <v>253</v>
      </c>
      <c r="BK3590" s="5" t="s">
        <v>254</v>
      </c>
      <c r="BL3590" s="5" t="s">
        <v>238</v>
      </c>
      <c r="BM3590" s="5" t="s">
        <v>238</v>
      </c>
      <c r="BN3590" s="5" t="s">
        <v>238</v>
      </c>
      <c r="BO3590" s="5" t="s">
        <v>238</v>
      </c>
      <c r="BP3590" s="5" t="s">
        <v>238</v>
      </c>
      <c r="BQ3590" s="5" t="s">
        <v>238</v>
      </c>
      <c r="BR3590" s="5" t="s">
        <v>238</v>
      </c>
      <c r="BS3590" s="5" t="s">
        <v>238</v>
      </c>
      <c r="BT3590" s="6" t="s">
        <v>238</v>
      </c>
      <c r="BU3590" s="5" t="s">
        <v>238</v>
      </c>
      <c r="BV3590" s="5" t="s">
        <v>238</v>
      </c>
      <c r="BW3590" s="5" t="s">
        <v>238</v>
      </c>
      <c r="BX3590" s="5" t="s">
        <v>254</v>
      </c>
      <c r="BY3590" s="5" t="s">
        <v>238</v>
      </c>
      <c r="BZ3590" s="5" t="s">
        <v>238</v>
      </c>
      <c r="CA3590" s="5" t="s">
        <v>238</v>
      </c>
      <c r="CB3590" s="5" t="s">
        <v>238</v>
      </c>
      <c r="CC3590" s="5" t="s">
        <v>238</v>
      </c>
      <c r="CD3590" s="5" t="s">
        <v>273</v>
      </c>
      <c r="CE3590" s="5" t="s">
        <v>256</v>
      </c>
      <c r="CF3590" s="5" t="s">
        <v>238</v>
      </c>
      <c r="CH3590" s="5" t="s">
        <v>494</v>
      </c>
      <c r="CI3590" s="6" t="s">
        <v>257</v>
      </c>
      <c r="CJ3590" s="5" t="s">
        <v>495</v>
      </c>
      <c r="CK3590" s="5" t="s">
        <v>258</v>
      </c>
      <c r="CL3590" s="5" t="s">
        <v>496</v>
      </c>
      <c r="CM3590" s="5" t="s">
        <v>238</v>
      </c>
      <c r="CN3590" s="5">
        <v>0</v>
      </c>
      <c r="CO3590" s="5" t="s">
        <v>497</v>
      </c>
      <c r="CP3590" s="5" t="s">
        <v>260</v>
      </c>
      <c r="CQ3590" s="5" t="s">
        <v>260</v>
      </c>
      <c r="CR3590" s="5" t="s">
        <v>261</v>
      </c>
      <c r="CS3590" s="5" t="s">
        <v>498</v>
      </c>
      <c r="CT3590" s="7">
        <f>1</f>
        <v>1</v>
      </c>
      <c r="CU3590" s="8">
        <f>1</f>
        <v>1</v>
      </c>
      <c r="CV3590" s="8">
        <f>0</f>
        <v>0</v>
      </c>
      <c r="CX3590" s="8">
        <f>1</f>
        <v>1</v>
      </c>
      <c r="CY3590" s="8">
        <f>1</f>
        <v>1</v>
      </c>
      <c r="CZ3590" s="8" t="s">
        <v>238</v>
      </c>
      <c r="DA3590" s="5" t="s">
        <v>238</v>
      </c>
      <c r="DB3590" s="5" t="s">
        <v>238</v>
      </c>
      <c r="DC3590" s="5" t="s">
        <v>238</v>
      </c>
      <c r="DD3590" s="5" t="s">
        <v>238</v>
      </c>
      <c r="DE3590" s="8">
        <f>0</f>
        <v>0</v>
      </c>
      <c r="DG3590" s="5" t="s">
        <v>238</v>
      </c>
      <c r="DH3590" s="5" t="s">
        <v>238</v>
      </c>
      <c r="DI3590" s="5" t="s">
        <v>238</v>
      </c>
      <c r="DJ3590" s="5" t="s">
        <v>238</v>
      </c>
      <c r="DK3590" s="5" t="s">
        <v>238</v>
      </c>
      <c r="DL3590" s="5" t="s">
        <v>238</v>
      </c>
      <c r="DM3590" s="8" t="s">
        <v>238</v>
      </c>
      <c r="DN3590" s="5" t="s">
        <v>238</v>
      </c>
      <c r="DO3590" s="5" t="s">
        <v>238</v>
      </c>
      <c r="DP3590" s="5" t="s">
        <v>490</v>
      </c>
      <c r="DQ3590" s="5" t="s">
        <v>490</v>
      </c>
      <c r="DR3590" s="5" t="s">
        <v>238</v>
      </c>
      <c r="DS3590" s="5" t="s">
        <v>238</v>
      </c>
      <c r="DT3590" s="5" t="s">
        <v>500</v>
      </c>
      <c r="DU3590" s="5" t="s">
        <v>1252</v>
      </c>
      <c r="DV3590" s="5" t="s">
        <v>238</v>
      </c>
      <c r="DW3590" s="5" t="s">
        <v>238</v>
      </c>
      <c r="DX3590" s="5" t="s">
        <v>238</v>
      </c>
      <c r="DY3590" s="5" t="s">
        <v>238</v>
      </c>
      <c r="DZ3590" s="5" t="s">
        <v>238</v>
      </c>
      <c r="EA3590" s="5" t="s">
        <v>238</v>
      </c>
      <c r="EB3590" s="5" t="s">
        <v>238</v>
      </c>
      <c r="EC3590" s="5" t="s">
        <v>238</v>
      </c>
      <c r="ED3590" s="5" t="s">
        <v>238</v>
      </c>
      <c r="EE3590" s="5" t="s">
        <v>238</v>
      </c>
      <c r="EF3590" s="5" t="s">
        <v>238</v>
      </c>
      <c r="EG3590" s="5" t="s">
        <v>238</v>
      </c>
      <c r="EH3590" s="5" t="s">
        <v>238</v>
      </c>
      <c r="EI3590" s="5" t="s">
        <v>238</v>
      </c>
      <c r="EJ3590" s="5" t="s">
        <v>238</v>
      </c>
      <c r="EK3590" s="5" t="s">
        <v>238</v>
      </c>
      <c r="EL3590" s="5" t="s">
        <v>238</v>
      </c>
      <c r="EM3590" s="5" t="s">
        <v>238</v>
      </c>
      <c r="EN3590" s="5" t="s">
        <v>238</v>
      </c>
      <c r="EO3590" s="5" t="s">
        <v>238</v>
      </c>
      <c r="EP3590" s="5" t="s">
        <v>238</v>
      </c>
      <c r="EQ3590" s="5" t="s">
        <v>238</v>
      </c>
      <c r="ER3590" s="5" t="s">
        <v>238</v>
      </c>
      <c r="ES3590" s="5" t="s">
        <v>238</v>
      </c>
      <c r="ET3590" s="5" t="s">
        <v>238</v>
      </c>
      <c r="EU3590" s="5" t="s">
        <v>238</v>
      </c>
      <c r="EV3590" s="5" t="s">
        <v>238</v>
      </c>
      <c r="EW3590" s="5" t="s">
        <v>238</v>
      </c>
      <c r="EX3590" s="5" t="s">
        <v>238</v>
      </c>
      <c r="EY3590" s="5" t="s">
        <v>238</v>
      </c>
      <c r="EZ3590" s="5" t="s">
        <v>238</v>
      </c>
      <c r="FA3590" s="5" t="s">
        <v>238</v>
      </c>
      <c r="FB3590" s="5" t="s">
        <v>238</v>
      </c>
      <c r="FC3590" s="5" t="s">
        <v>238</v>
      </c>
      <c r="FD3590" s="5" t="s">
        <v>238</v>
      </c>
      <c r="FE3590" s="5" t="s">
        <v>238</v>
      </c>
      <c r="FF3590" s="5" t="s">
        <v>238</v>
      </c>
      <c r="FG3590" s="5" t="s">
        <v>238</v>
      </c>
      <c r="FH3590" s="5" t="s">
        <v>238</v>
      </c>
      <c r="FI3590" s="5" t="s">
        <v>238</v>
      </c>
      <c r="FJ3590" s="5" t="s">
        <v>238</v>
      </c>
      <c r="FK3590" s="5" t="s">
        <v>238</v>
      </c>
      <c r="FL3590" s="5" t="s">
        <v>238</v>
      </c>
      <c r="FM3590" s="5" t="s">
        <v>238</v>
      </c>
      <c r="FN3590" s="5" t="s">
        <v>238</v>
      </c>
      <c r="FO3590" s="5" t="s">
        <v>238</v>
      </c>
      <c r="FP3590" s="5" t="s">
        <v>238</v>
      </c>
      <c r="FQ3590" s="5" t="s">
        <v>238</v>
      </c>
      <c r="FR3590" s="5" t="s">
        <v>238</v>
      </c>
      <c r="FS3590" s="5" t="s">
        <v>238</v>
      </c>
      <c r="FT3590" s="5" t="s">
        <v>238</v>
      </c>
      <c r="FU3590" s="5" t="s">
        <v>238</v>
      </c>
      <c r="FV3590" s="5" t="s">
        <v>238</v>
      </c>
      <c r="FW3590" s="5" t="s">
        <v>238</v>
      </c>
      <c r="FX3590" s="5" t="s">
        <v>238</v>
      </c>
      <c r="FY3590" s="5" t="s">
        <v>238</v>
      </c>
      <c r="FZ3590" s="5" t="s">
        <v>238</v>
      </c>
      <c r="GA3590" s="5" t="s">
        <v>238</v>
      </c>
      <c r="GB3590" s="5" t="s">
        <v>238</v>
      </c>
      <c r="GC3590" s="5" t="s">
        <v>238</v>
      </c>
      <c r="GD3590" s="5" t="s">
        <v>238</v>
      </c>
      <c r="GE3590" s="5" t="s">
        <v>238</v>
      </c>
      <c r="GF3590" s="5" t="s">
        <v>238</v>
      </c>
      <c r="GG3590" s="5" t="s">
        <v>238</v>
      </c>
      <c r="GH3590" s="5" t="s">
        <v>238</v>
      </c>
      <c r="GI3590" s="5" t="s">
        <v>238</v>
      </c>
      <c r="GJ3590" s="5" t="s">
        <v>238</v>
      </c>
      <c r="GK3590" s="5" t="s">
        <v>238</v>
      </c>
      <c r="GL3590" s="5" t="s">
        <v>238</v>
      </c>
      <c r="GM3590" s="5" t="s">
        <v>238</v>
      </c>
      <c r="GN3590" s="5" t="s">
        <v>238</v>
      </c>
      <c r="GO3590" s="5" t="s">
        <v>238</v>
      </c>
      <c r="GP3590" s="5" t="s">
        <v>238</v>
      </c>
      <c r="GQ3590" s="5" t="s">
        <v>238</v>
      </c>
      <c r="GR3590" s="5" t="s">
        <v>238</v>
      </c>
      <c r="GS3590" s="5" t="s">
        <v>238</v>
      </c>
      <c r="GT3590" s="5" t="s">
        <v>238</v>
      </c>
      <c r="GU3590" s="5" t="s">
        <v>238</v>
      </c>
      <c r="GV3590" s="5" t="s">
        <v>238</v>
      </c>
      <c r="GW3590" s="5" t="s">
        <v>238</v>
      </c>
      <c r="GX3590" s="5" t="s">
        <v>238</v>
      </c>
      <c r="GY3590" s="5" t="s">
        <v>238</v>
      </c>
      <c r="GZ3590" s="5" t="s">
        <v>238</v>
      </c>
      <c r="HA3590" s="5" t="s">
        <v>238</v>
      </c>
      <c r="HB3590" s="5" t="s">
        <v>238</v>
      </c>
      <c r="HC3590" s="5" t="s">
        <v>238</v>
      </c>
      <c r="HD3590" s="5" t="s">
        <v>238</v>
      </c>
      <c r="HE3590" s="5" t="s">
        <v>238</v>
      </c>
      <c r="HF3590" s="5" t="s">
        <v>238</v>
      </c>
      <c r="HG3590" s="5" t="s">
        <v>238</v>
      </c>
      <c r="HH3590" s="5" t="s">
        <v>238</v>
      </c>
      <c r="HI3590" s="5" t="s">
        <v>238</v>
      </c>
      <c r="HJ3590" s="5" t="s">
        <v>238</v>
      </c>
      <c r="HK3590" s="5" t="s">
        <v>238</v>
      </c>
      <c r="HL3590" s="5" t="s">
        <v>238</v>
      </c>
      <c r="HM3590" s="5" t="s">
        <v>264</v>
      </c>
      <c r="HN3590" s="5" t="s">
        <v>238</v>
      </c>
      <c r="HO3590" s="5" t="s">
        <v>238</v>
      </c>
      <c r="HP3590" s="5" t="s">
        <v>238</v>
      </c>
      <c r="HQ3590" s="5" t="s">
        <v>238</v>
      </c>
      <c r="HR3590" s="5" t="s">
        <v>238</v>
      </c>
      <c r="HS3590" s="5" t="s">
        <v>238</v>
      </c>
      <c r="HT3590" s="5" t="s">
        <v>238</v>
      </c>
      <c r="HU3590" s="5" t="s">
        <v>238</v>
      </c>
      <c r="HV3590" s="5" t="s">
        <v>238</v>
      </c>
      <c r="HW3590" s="5" t="s">
        <v>238</v>
      </c>
      <c r="HX3590" s="5" t="s">
        <v>238</v>
      </c>
      <c r="HY3590" s="5" t="s">
        <v>238</v>
      </c>
      <c r="HZ3590" s="5" t="s">
        <v>238</v>
      </c>
      <c r="IA3590" s="5" t="s">
        <v>238</v>
      </c>
      <c r="IB3590" s="5" t="s">
        <v>238</v>
      </c>
      <c r="IC3590" s="5" t="s">
        <v>238</v>
      </c>
      <c r="ID3590" s="5" t="s">
        <v>238</v>
      </c>
    </row>
    <row r="3591" spans="1:238" x14ac:dyDescent="0.4">
      <c r="A3591" s="5">
        <v>9309</v>
      </c>
      <c r="B3591" s="5">
        <v>1</v>
      </c>
      <c r="C3591" s="5">
        <v>1</v>
      </c>
      <c r="D3591" s="5" t="s">
        <v>484</v>
      </c>
      <c r="E3591" s="5" t="s">
        <v>485</v>
      </c>
      <c r="F3591" s="5" t="s">
        <v>248</v>
      </c>
      <c r="G3591" s="5" t="s">
        <v>5629</v>
      </c>
      <c r="H3591" s="6" t="s">
        <v>5630</v>
      </c>
      <c r="I3591" s="8">
        <f>1</f>
        <v>1</v>
      </c>
      <c r="J3591" s="5" t="s">
        <v>499</v>
      </c>
      <c r="K3591" s="8">
        <f>1</f>
        <v>1</v>
      </c>
      <c r="L3591" s="6" t="s">
        <v>242</v>
      </c>
      <c r="M3591" s="5" t="s">
        <v>267</v>
      </c>
      <c r="N3591" s="5" t="s">
        <v>482</v>
      </c>
      <c r="O3591" s="5" t="s">
        <v>238</v>
      </c>
      <c r="P3591" s="5" t="s">
        <v>238</v>
      </c>
      <c r="Q3591" s="5" t="s">
        <v>239</v>
      </c>
      <c r="R3591" s="5" t="s">
        <v>270</v>
      </c>
      <c r="S3591" s="5" t="s">
        <v>238</v>
      </c>
      <c r="T3591" s="5" t="s">
        <v>238</v>
      </c>
      <c r="U3591" s="5" t="s">
        <v>238</v>
      </c>
      <c r="V3591" s="5" t="s">
        <v>238</v>
      </c>
      <c r="W3591" s="6" t="s">
        <v>238</v>
      </c>
      <c r="X3591" s="6" t="s">
        <v>238</v>
      </c>
      <c r="Y3591" s="5" t="s">
        <v>238</v>
      </c>
      <c r="Z3591" s="6" t="s">
        <v>238</v>
      </c>
      <c r="AA3591" s="6" t="s">
        <v>243</v>
      </c>
      <c r="AB3591" s="5" t="s">
        <v>486</v>
      </c>
      <c r="AC3591" s="5" t="s">
        <v>244</v>
      </c>
      <c r="AD3591" s="5" t="s">
        <v>245</v>
      </c>
      <c r="AE3591" s="5" t="s">
        <v>238</v>
      </c>
      <c r="AF3591" s="5" t="s">
        <v>238</v>
      </c>
      <c r="AG3591" s="5" t="s">
        <v>238</v>
      </c>
      <c r="AH3591" s="5" t="s">
        <v>238</v>
      </c>
      <c r="AI3591" s="5" t="s">
        <v>238</v>
      </c>
      <c r="AJ3591" s="5" t="s">
        <v>238</v>
      </c>
      <c r="AK3591" s="5" t="s">
        <v>238</v>
      </c>
      <c r="AL3591" s="5" t="s">
        <v>238</v>
      </c>
      <c r="AM3591" s="6" t="s">
        <v>238</v>
      </c>
      <c r="AN3591" s="6" t="s">
        <v>238</v>
      </c>
      <c r="AO3591" s="6" t="s">
        <v>238</v>
      </c>
      <c r="AP3591" s="6" t="s">
        <v>238</v>
      </c>
      <c r="AQ3591" s="5" t="s">
        <v>238</v>
      </c>
      <c r="AR3591" s="5" t="s">
        <v>488</v>
      </c>
      <c r="AS3591" s="5" t="s">
        <v>488</v>
      </c>
      <c r="AT3591" s="5" t="s">
        <v>246</v>
      </c>
      <c r="AU3591" s="5" t="s">
        <v>489</v>
      </c>
      <c r="AV3591" s="5" t="s">
        <v>247</v>
      </c>
      <c r="AW3591" s="5" t="s">
        <v>238</v>
      </c>
      <c r="AX3591" s="5" t="s">
        <v>249</v>
      </c>
      <c r="AY3591" s="5" t="s">
        <v>490</v>
      </c>
      <c r="BA3591" s="5" t="s">
        <v>238</v>
      </c>
      <c r="BC3591" s="5" t="s">
        <v>491</v>
      </c>
      <c r="BD3591" s="6" t="s">
        <v>492</v>
      </c>
      <c r="BE3591" s="5" t="s">
        <v>493</v>
      </c>
      <c r="BF3591" s="5" t="s">
        <v>493</v>
      </c>
      <c r="BG3591" s="5" t="s">
        <v>238</v>
      </c>
      <c r="BH3591" s="8">
        <f>1</f>
        <v>1</v>
      </c>
      <c r="BI3591" s="8">
        <f>1</f>
        <v>1</v>
      </c>
      <c r="BJ3591" s="5" t="s">
        <v>253</v>
      </c>
      <c r="BK3591" s="5" t="s">
        <v>254</v>
      </c>
      <c r="BL3591" s="5" t="s">
        <v>238</v>
      </c>
      <c r="BM3591" s="5" t="s">
        <v>238</v>
      </c>
      <c r="BN3591" s="5" t="s">
        <v>238</v>
      </c>
      <c r="BO3591" s="5" t="s">
        <v>238</v>
      </c>
      <c r="BP3591" s="5" t="s">
        <v>238</v>
      </c>
      <c r="BQ3591" s="5" t="s">
        <v>238</v>
      </c>
      <c r="BR3591" s="5" t="s">
        <v>238</v>
      </c>
      <c r="BS3591" s="5" t="s">
        <v>238</v>
      </c>
      <c r="BT3591" s="6" t="s">
        <v>238</v>
      </c>
      <c r="BU3591" s="5" t="s">
        <v>238</v>
      </c>
      <c r="BV3591" s="5" t="s">
        <v>238</v>
      </c>
      <c r="BW3591" s="5" t="s">
        <v>238</v>
      </c>
      <c r="BX3591" s="5" t="s">
        <v>254</v>
      </c>
      <c r="BY3591" s="5" t="s">
        <v>238</v>
      </c>
      <c r="BZ3591" s="5" t="s">
        <v>238</v>
      </c>
      <c r="CA3591" s="5" t="s">
        <v>238</v>
      </c>
      <c r="CB3591" s="5" t="s">
        <v>238</v>
      </c>
      <c r="CC3591" s="5" t="s">
        <v>238</v>
      </c>
      <c r="CD3591" s="5" t="s">
        <v>273</v>
      </c>
      <c r="CE3591" s="5" t="s">
        <v>256</v>
      </c>
      <c r="CF3591" s="5" t="s">
        <v>238</v>
      </c>
      <c r="CH3591" s="5" t="s">
        <v>494</v>
      </c>
      <c r="CI3591" s="6" t="s">
        <v>257</v>
      </c>
      <c r="CJ3591" s="5" t="s">
        <v>495</v>
      </c>
      <c r="CK3591" s="5" t="s">
        <v>258</v>
      </c>
      <c r="CL3591" s="5" t="s">
        <v>496</v>
      </c>
      <c r="CM3591" s="5" t="s">
        <v>238</v>
      </c>
      <c r="CN3591" s="5">
        <v>0</v>
      </c>
      <c r="CO3591" s="5" t="s">
        <v>497</v>
      </c>
      <c r="CP3591" s="5" t="s">
        <v>260</v>
      </c>
      <c r="CQ3591" s="5" t="s">
        <v>260</v>
      </c>
      <c r="CR3591" s="5" t="s">
        <v>261</v>
      </c>
      <c r="CS3591" s="5" t="s">
        <v>498</v>
      </c>
      <c r="CT3591" s="7">
        <f>1</f>
        <v>1</v>
      </c>
      <c r="CU3591" s="8">
        <f>1</f>
        <v>1</v>
      </c>
      <c r="CV3591" s="8">
        <f>0</f>
        <v>0</v>
      </c>
      <c r="CX3591" s="8">
        <f>1</f>
        <v>1</v>
      </c>
      <c r="CY3591" s="8">
        <f>1</f>
        <v>1</v>
      </c>
      <c r="CZ3591" s="8" t="s">
        <v>238</v>
      </c>
      <c r="DA3591" s="5" t="s">
        <v>238</v>
      </c>
      <c r="DB3591" s="5" t="s">
        <v>238</v>
      </c>
      <c r="DC3591" s="5" t="s">
        <v>238</v>
      </c>
      <c r="DD3591" s="5" t="s">
        <v>238</v>
      </c>
      <c r="DE3591" s="8">
        <f>0</f>
        <v>0</v>
      </c>
      <c r="DG3591" s="5" t="s">
        <v>238</v>
      </c>
      <c r="DH3591" s="5" t="s">
        <v>238</v>
      </c>
      <c r="DI3591" s="5" t="s">
        <v>238</v>
      </c>
      <c r="DJ3591" s="5" t="s">
        <v>238</v>
      </c>
      <c r="DK3591" s="5" t="s">
        <v>238</v>
      </c>
      <c r="DL3591" s="5" t="s">
        <v>238</v>
      </c>
      <c r="DM3591" s="8" t="s">
        <v>238</v>
      </c>
      <c r="DN3591" s="5" t="s">
        <v>238</v>
      </c>
      <c r="DO3591" s="5" t="s">
        <v>238</v>
      </c>
      <c r="DP3591" s="5" t="s">
        <v>490</v>
      </c>
      <c r="DQ3591" s="5" t="s">
        <v>490</v>
      </c>
      <c r="DR3591" s="5" t="s">
        <v>238</v>
      </c>
      <c r="DS3591" s="5" t="s">
        <v>238</v>
      </c>
      <c r="DT3591" s="5" t="s">
        <v>500</v>
      </c>
      <c r="DU3591" s="5" t="s">
        <v>849</v>
      </c>
      <c r="DV3591" s="5" t="s">
        <v>238</v>
      </c>
      <c r="DW3591" s="5" t="s">
        <v>238</v>
      </c>
      <c r="DX3591" s="5" t="s">
        <v>238</v>
      </c>
      <c r="DY3591" s="5" t="s">
        <v>238</v>
      </c>
      <c r="DZ3591" s="5" t="s">
        <v>238</v>
      </c>
      <c r="EA3591" s="5" t="s">
        <v>238</v>
      </c>
      <c r="EB3591" s="5" t="s">
        <v>238</v>
      </c>
      <c r="EC3591" s="5" t="s">
        <v>238</v>
      </c>
      <c r="ED3591" s="5" t="s">
        <v>238</v>
      </c>
      <c r="EE3591" s="5" t="s">
        <v>238</v>
      </c>
      <c r="EF3591" s="5" t="s">
        <v>238</v>
      </c>
      <c r="EG3591" s="5" t="s">
        <v>238</v>
      </c>
      <c r="EH3591" s="5" t="s">
        <v>238</v>
      </c>
      <c r="EI3591" s="5" t="s">
        <v>238</v>
      </c>
      <c r="EJ3591" s="5" t="s">
        <v>238</v>
      </c>
      <c r="EK3591" s="5" t="s">
        <v>238</v>
      </c>
      <c r="EL3591" s="5" t="s">
        <v>238</v>
      </c>
      <c r="EM3591" s="5" t="s">
        <v>238</v>
      </c>
      <c r="EN3591" s="5" t="s">
        <v>238</v>
      </c>
      <c r="EO3591" s="5" t="s">
        <v>238</v>
      </c>
      <c r="EP3591" s="5" t="s">
        <v>238</v>
      </c>
      <c r="EQ3591" s="5" t="s">
        <v>238</v>
      </c>
      <c r="ER3591" s="5" t="s">
        <v>238</v>
      </c>
      <c r="ES3591" s="5" t="s">
        <v>238</v>
      </c>
      <c r="ET3591" s="5" t="s">
        <v>238</v>
      </c>
      <c r="EU3591" s="5" t="s">
        <v>238</v>
      </c>
      <c r="EV3591" s="5" t="s">
        <v>238</v>
      </c>
      <c r="EW3591" s="5" t="s">
        <v>238</v>
      </c>
      <c r="EX3591" s="5" t="s">
        <v>238</v>
      </c>
      <c r="EY3591" s="5" t="s">
        <v>238</v>
      </c>
      <c r="EZ3591" s="5" t="s">
        <v>238</v>
      </c>
      <c r="FA3591" s="5" t="s">
        <v>238</v>
      </c>
      <c r="FB3591" s="5" t="s">
        <v>238</v>
      </c>
      <c r="FC3591" s="5" t="s">
        <v>238</v>
      </c>
      <c r="FD3591" s="5" t="s">
        <v>238</v>
      </c>
      <c r="FE3591" s="5" t="s">
        <v>238</v>
      </c>
      <c r="FF3591" s="5" t="s">
        <v>238</v>
      </c>
      <c r="FG3591" s="5" t="s">
        <v>238</v>
      </c>
      <c r="FH3591" s="5" t="s">
        <v>238</v>
      </c>
      <c r="FI3591" s="5" t="s">
        <v>238</v>
      </c>
      <c r="FJ3591" s="5" t="s">
        <v>238</v>
      </c>
      <c r="FK3591" s="5" t="s">
        <v>238</v>
      </c>
      <c r="FL3591" s="5" t="s">
        <v>238</v>
      </c>
      <c r="FM3591" s="5" t="s">
        <v>238</v>
      </c>
      <c r="FN3591" s="5" t="s">
        <v>238</v>
      </c>
      <c r="FO3591" s="5" t="s">
        <v>238</v>
      </c>
      <c r="FP3591" s="5" t="s">
        <v>238</v>
      </c>
      <c r="FQ3591" s="5" t="s">
        <v>238</v>
      </c>
      <c r="FR3591" s="5" t="s">
        <v>238</v>
      </c>
      <c r="FS3591" s="5" t="s">
        <v>238</v>
      </c>
      <c r="FT3591" s="5" t="s">
        <v>238</v>
      </c>
      <c r="FU3591" s="5" t="s">
        <v>238</v>
      </c>
      <c r="FV3591" s="5" t="s">
        <v>238</v>
      </c>
      <c r="FW3591" s="5" t="s">
        <v>238</v>
      </c>
      <c r="FX3591" s="5" t="s">
        <v>238</v>
      </c>
      <c r="FY3591" s="5" t="s">
        <v>238</v>
      </c>
      <c r="FZ3591" s="5" t="s">
        <v>238</v>
      </c>
      <c r="GA3591" s="5" t="s">
        <v>238</v>
      </c>
      <c r="GB3591" s="5" t="s">
        <v>238</v>
      </c>
      <c r="GC3591" s="5" t="s">
        <v>238</v>
      </c>
      <c r="GD3591" s="5" t="s">
        <v>238</v>
      </c>
      <c r="GE3591" s="5" t="s">
        <v>238</v>
      </c>
      <c r="GF3591" s="5" t="s">
        <v>238</v>
      </c>
      <c r="GG3591" s="5" t="s">
        <v>238</v>
      </c>
      <c r="GH3591" s="5" t="s">
        <v>238</v>
      </c>
      <c r="GI3591" s="5" t="s">
        <v>238</v>
      </c>
      <c r="GJ3591" s="5" t="s">
        <v>238</v>
      </c>
      <c r="GK3591" s="5" t="s">
        <v>238</v>
      </c>
      <c r="GL3591" s="5" t="s">
        <v>238</v>
      </c>
      <c r="GM3591" s="5" t="s">
        <v>238</v>
      </c>
      <c r="GN3591" s="5" t="s">
        <v>238</v>
      </c>
      <c r="GO3591" s="5" t="s">
        <v>238</v>
      </c>
      <c r="GP3591" s="5" t="s">
        <v>238</v>
      </c>
      <c r="GQ3591" s="5" t="s">
        <v>238</v>
      </c>
      <c r="GR3591" s="5" t="s">
        <v>238</v>
      </c>
      <c r="GS3591" s="5" t="s">
        <v>238</v>
      </c>
      <c r="GT3591" s="5" t="s">
        <v>238</v>
      </c>
      <c r="GU3591" s="5" t="s">
        <v>238</v>
      </c>
      <c r="GV3591" s="5" t="s">
        <v>238</v>
      </c>
      <c r="GW3591" s="5" t="s">
        <v>238</v>
      </c>
      <c r="GX3591" s="5" t="s">
        <v>238</v>
      </c>
      <c r="GY3591" s="5" t="s">
        <v>238</v>
      </c>
      <c r="GZ3591" s="5" t="s">
        <v>238</v>
      </c>
      <c r="HA3591" s="5" t="s">
        <v>238</v>
      </c>
      <c r="HB3591" s="5" t="s">
        <v>238</v>
      </c>
      <c r="HC3591" s="5" t="s">
        <v>238</v>
      </c>
      <c r="HD3591" s="5" t="s">
        <v>238</v>
      </c>
      <c r="HE3591" s="5" t="s">
        <v>238</v>
      </c>
      <c r="HF3591" s="5" t="s">
        <v>238</v>
      </c>
      <c r="HG3591" s="5" t="s">
        <v>238</v>
      </c>
      <c r="HH3591" s="5" t="s">
        <v>238</v>
      </c>
      <c r="HI3591" s="5" t="s">
        <v>238</v>
      </c>
      <c r="HJ3591" s="5" t="s">
        <v>238</v>
      </c>
      <c r="HK3591" s="5" t="s">
        <v>238</v>
      </c>
      <c r="HL3591" s="5" t="s">
        <v>238</v>
      </c>
      <c r="HM3591" s="5" t="s">
        <v>264</v>
      </c>
      <c r="HN3591" s="5" t="s">
        <v>238</v>
      </c>
      <c r="HO3591" s="5" t="s">
        <v>238</v>
      </c>
      <c r="HP3591" s="5" t="s">
        <v>238</v>
      </c>
      <c r="HQ3591" s="5" t="s">
        <v>238</v>
      </c>
      <c r="HR3591" s="5" t="s">
        <v>238</v>
      </c>
      <c r="HS3591" s="5" t="s">
        <v>238</v>
      </c>
      <c r="HT3591" s="5" t="s">
        <v>238</v>
      </c>
      <c r="HU3591" s="5" t="s">
        <v>238</v>
      </c>
      <c r="HV3591" s="5" t="s">
        <v>238</v>
      </c>
      <c r="HW3591" s="5" t="s">
        <v>238</v>
      </c>
      <c r="HX3591" s="5" t="s">
        <v>238</v>
      </c>
      <c r="HY3591" s="5" t="s">
        <v>238</v>
      </c>
      <c r="HZ3591" s="5" t="s">
        <v>238</v>
      </c>
      <c r="IA3591" s="5" t="s">
        <v>238</v>
      </c>
      <c r="IB3591" s="5" t="s">
        <v>238</v>
      </c>
      <c r="IC3591" s="5" t="s">
        <v>238</v>
      </c>
      <c r="ID3591" s="5" t="s">
        <v>238</v>
      </c>
    </row>
    <row r="3592" spans="1:238" x14ac:dyDescent="0.4">
      <c r="A3592" s="5">
        <v>9310</v>
      </c>
      <c r="B3592" s="5">
        <v>1</v>
      </c>
      <c r="C3592" s="5">
        <v>1</v>
      </c>
      <c r="D3592" s="5" t="s">
        <v>484</v>
      </c>
      <c r="E3592" s="5" t="s">
        <v>485</v>
      </c>
      <c r="F3592" s="5" t="s">
        <v>248</v>
      </c>
      <c r="G3592" s="5" t="s">
        <v>5811</v>
      </c>
      <c r="H3592" s="6" t="s">
        <v>5812</v>
      </c>
      <c r="I3592" s="8">
        <f>1</f>
        <v>1</v>
      </c>
      <c r="J3592" s="5" t="s">
        <v>499</v>
      </c>
      <c r="K3592" s="8">
        <f>1</f>
        <v>1</v>
      </c>
      <c r="L3592" s="6" t="s">
        <v>242</v>
      </c>
      <c r="M3592" s="5" t="s">
        <v>267</v>
      </c>
      <c r="N3592" s="5" t="s">
        <v>482</v>
      </c>
      <c r="O3592" s="5" t="s">
        <v>238</v>
      </c>
      <c r="P3592" s="5" t="s">
        <v>238</v>
      </c>
      <c r="Q3592" s="5" t="s">
        <v>239</v>
      </c>
      <c r="R3592" s="5" t="s">
        <v>270</v>
      </c>
      <c r="S3592" s="5" t="s">
        <v>238</v>
      </c>
      <c r="T3592" s="5" t="s">
        <v>238</v>
      </c>
      <c r="U3592" s="5" t="s">
        <v>238</v>
      </c>
      <c r="V3592" s="5" t="s">
        <v>238</v>
      </c>
      <c r="W3592" s="6" t="s">
        <v>238</v>
      </c>
      <c r="X3592" s="6" t="s">
        <v>238</v>
      </c>
      <c r="Y3592" s="5" t="s">
        <v>238</v>
      </c>
      <c r="Z3592" s="6" t="s">
        <v>238</v>
      </c>
      <c r="AA3592" s="6" t="s">
        <v>243</v>
      </c>
      <c r="AB3592" s="5" t="s">
        <v>486</v>
      </c>
      <c r="AC3592" s="5" t="s">
        <v>244</v>
      </c>
      <c r="AD3592" s="5" t="s">
        <v>245</v>
      </c>
      <c r="AE3592" s="5" t="s">
        <v>238</v>
      </c>
      <c r="AF3592" s="5" t="s">
        <v>238</v>
      </c>
      <c r="AG3592" s="5" t="s">
        <v>238</v>
      </c>
      <c r="AH3592" s="5" t="s">
        <v>238</v>
      </c>
      <c r="AI3592" s="5" t="s">
        <v>238</v>
      </c>
      <c r="AJ3592" s="5" t="s">
        <v>238</v>
      </c>
      <c r="AK3592" s="5" t="s">
        <v>238</v>
      </c>
      <c r="AL3592" s="5" t="s">
        <v>238</v>
      </c>
      <c r="AM3592" s="6" t="s">
        <v>238</v>
      </c>
      <c r="AN3592" s="6" t="s">
        <v>238</v>
      </c>
      <c r="AO3592" s="6" t="s">
        <v>238</v>
      </c>
      <c r="AP3592" s="6" t="s">
        <v>238</v>
      </c>
      <c r="AQ3592" s="5" t="s">
        <v>238</v>
      </c>
      <c r="AR3592" s="5" t="s">
        <v>488</v>
      </c>
      <c r="AS3592" s="5" t="s">
        <v>488</v>
      </c>
      <c r="AT3592" s="5" t="s">
        <v>246</v>
      </c>
      <c r="AU3592" s="5" t="s">
        <v>489</v>
      </c>
      <c r="AV3592" s="5" t="s">
        <v>247</v>
      </c>
      <c r="AW3592" s="5" t="s">
        <v>238</v>
      </c>
      <c r="AX3592" s="5" t="s">
        <v>249</v>
      </c>
      <c r="AY3592" s="5" t="s">
        <v>490</v>
      </c>
      <c r="BA3592" s="5" t="s">
        <v>238</v>
      </c>
      <c r="BC3592" s="5" t="s">
        <v>491</v>
      </c>
      <c r="BD3592" s="6" t="s">
        <v>492</v>
      </c>
      <c r="BE3592" s="5" t="s">
        <v>493</v>
      </c>
      <c r="BF3592" s="5" t="s">
        <v>493</v>
      </c>
      <c r="BG3592" s="5" t="s">
        <v>238</v>
      </c>
      <c r="BH3592" s="8">
        <f>1</f>
        <v>1</v>
      </c>
      <c r="BI3592" s="8">
        <f>1</f>
        <v>1</v>
      </c>
      <c r="BJ3592" s="5" t="s">
        <v>253</v>
      </c>
      <c r="BK3592" s="5" t="s">
        <v>254</v>
      </c>
      <c r="BL3592" s="5" t="s">
        <v>238</v>
      </c>
      <c r="BM3592" s="5" t="s">
        <v>238</v>
      </c>
      <c r="BN3592" s="5" t="s">
        <v>238</v>
      </c>
      <c r="BO3592" s="5" t="s">
        <v>238</v>
      </c>
      <c r="BP3592" s="5" t="s">
        <v>238</v>
      </c>
      <c r="BQ3592" s="5" t="s">
        <v>238</v>
      </c>
      <c r="BR3592" s="5" t="s">
        <v>238</v>
      </c>
      <c r="BS3592" s="5" t="s">
        <v>238</v>
      </c>
      <c r="BT3592" s="6" t="s">
        <v>238</v>
      </c>
      <c r="BU3592" s="5" t="s">
        <v>238</v>
      </c>
      <c r="BV3592" s="5" t="s">
        <v>238</v>
      </c>
      <c r="BW3592" s="5" t="s">
        <v>238</v>
      </c>
      <c r="BX3592" s="5" t="s">
        <v>254</v>
      </c>
      <c r="BY3592" s="5" t="s">
        <v>238</v>
      </c>
      <c r="BZ3592" s="5" t="s">
        <v>238</v>
      </c>
      <c r="CA3592" s="5" t="s">
        <v>238</v>
      </c>
      <c r="CB3592" s="5" t="s">
        <v>238</v>
      </c>
      <c r="CC3592" s="5" t="s">
        <v>238</v>
      </c>
      <c r="CD3592" s="5" t="s">
        <v>273</v>
      </c>
      <c r="CE3592" s="5" t="s">
        <v>256</v>
      </c>
      <c r="CF3592" s="5" t="s">
        <v>238</v>
      </c>
      <c r="CH3592" s="5" t="s">
        <v>494</v>
      </c>
      <c r="CI3592" s="6" t="s">
        <v>257</v>
      </c>
      <c r="CJ3592" s="5" t="s">
        <v>495</v>
      </c>
      <c r="CK3592" s="5" t="s">
        <v>258</v>
      </c>
      <c r="CL3592" s="5" t="s">
        <v>496</v>
      </c>
      <c r="CM3592" s="5" t="s">
        <v>238</v>
      </c>
      <c r="CN3592" s="5">
        <v>0</v>
      </c>
      <c r="CO3592" s="5" t="s">
        <v>497</v>
      </c>
      <c r="CP3592" s="5" t="s">
        <v>260</v>
      </c>
      <c r="CQ3592" s="5" t="s">
        <v>260</v>
      </c>
      <c r="CR3592" s="5" t="s">
        <v>261</v>
      </c>
      <c r="CS3592" s="5" t="s">
        <v>498</v>
      </c>
      <c r="CT3592" s="7">
        <f>1</f>
        <v>1</v>
      </c>
      <c r="CU3592" s="8">
        <f>1</f>
        <v>1</v>
      </c>
      <c r="CV3592" s="8">
        <f>0</f>
        <v>0</v>
      </c>
      <c r="CX3592" s="8">
        <f>1</f>
        <v>1</v>
      </c>
      <c r="CY3592" s="8">
        <f>1</f>
        <v>1</v>
      </c>
      <c r="CZ3592" s="8" t="s">
        <v>238</v>
      </c>
      <c r="DA3592" s="5" t="s">
        <v>238</v>
      </c>
      <c r="DB3592" s="5" t="s">
        <v>238</v>
      </c>
      <c r="DC3592" s="5" t="s">
        <v>238</v>
      </c>
      <c r="DD3592" s="5" t="s">
        <v>238</v>
      </c>
      <c r="DE3592" s="8">
        <f>0</f>
        <v>0</v>
      </c>
      <c r="DG3592" s="5" t="s">
        <v>238</v>
      </c>
      <c r="DH3592" s="5" t="s">
        <v>238</v>
      </c>
      <c r="DI3592" s="5" t="s">
        <v>238</v>
      </c>
      <c r="DJ3592" s="5" t="s">
        <v>238</v>
      </c>
      <c r="DK3592" s="5" t="s">
        <v>238</v>
      </c>
      <c r="DL3592" s="5" t="s">
        <v>238</v>
      </c>
      <c r="DM3592" s="8" t="s">
        <v>238</v>
      </c>
      <c r="DN3592" s="5" t="s">
        <v>238</v>
      </c>
      <c r="DO3592" s="5" t="s">
        <v>238</v>
      </c>
      <c r="DP3592" s="5" t="s">
        <v>490</v>
      </c>
      <c r="DQ3592" s="5" t="s">
        <v>490</v>
      </c>
      <c r="DR3592" s="5" t="s">
        <v>238</v>
      </c>
      <c r="DS3592" s="5" t="s">
        <v>238</v>
      </c>
      <c r="DT3592" s="5" t="s">
        <v>500</v>
      </c>
      <c r="DU3592" s="5" t="s">
        <v>820</v>
      </c>
      <c r="DV3592" s="5" t="s">
        <v>238</v>
      </c>
      <c r="DW3592" s="5" t="s">
        <v>238</v>
      </c>
      <c r="DX3592" s="5" t="s">
        <v>238</v>
      </c>
      <c r="DY3592" s="5" t="s">
        <v>238</v>
      </c>
      <c r="DZ3592" s="5" t="s">
        <v>238</v>
      </c>
      <c r="EA3592" s="5" t="s">
        <v>238</v>
      </c>
      <c r="EB3592" s="5" t="s">
        <v>238</v>
      </c>
      <c r="EC3592" s="5" t="s">
        <v>238</v>
      </c>
      <c r="ED3592" s="5" t="s">
        <v>238</v>
      </c>
      <c r="EE3592" s="5" t="s">
        <v>238</v>
      </c>
      <c r="EF3592" s="5" t="s">
        <v>238</v>
      </c>
      <c r="EG3592" s="5" t="s">
        <v>238</v>
      </c>
      <c r="EH3592" s="5" t="s">
        <v>238</v>
      </c>
      <c r="EI3592" s="5" t="s">
        <v>238</v>
      </c>
      <c r="EJ3592" s="5" t="s">
        <v>238</v>
      </c>
      <c r="EK3592" s="5" t="s">
        <v>238</v>
      </c>
      <c r="EL3592" s="5" t="s">
        <v>238</v>
      </c>
      <c r="EM3592" s="5" t="s">
        <v>238</v>
      </c>
      <c r="EN3592" s="5" t="s">
        <v>238</v>
      </c>
      <c r="EO3592" s="5" t="s">
        <v>238</v>
      </c>
      <c r="EP3592" s="5" t="s">
        <v>238</v>
      </c>
      <c r="EQ3592" s="5" t="s">
        <v>238</v>
      </c>
      <c r="ER3592" s="5" t="s">
        <v>238</v>
      </c>
      <c r="ES3592" s="5" t="s">
        <v>238</v>
      </c>
      <c r="ET3592" s="5" t="s">
        <v>238</v>
      </c>
      <c r="EU3592" s="5" t="s">
        <v>238</v>
      </c>
      <c r="EV3592" s="5" t="s">
        <v>238</v>
      </c>
      <c r="EW3592" s="5" t="s">
        <v>238</v>
      </c>
      <c r="EX3592" s="5" t="s">
        <v>238</v>
      </c>
      <c r="EY3592" s="5" t="s">
        <v>238</v>
      </c>
      <c r="EZ3592" s="5" t="s">
        <v>238</v>
      </c>
      <c r="FA3592" s="5" t="s">
        <v>238</v>
      </c>
      <c r="FB3592" s="5" t="s">
        <v>238</v>
      </c>
      <c r="FC3592" s="5" t="s">
        <v>238</v>
      </c>
      <c r="FD3592" s="5" t="s">
        <v>238</v>
      </c>
      <c r="FE3592" s="5" t="s">
        <v>238</v>
      </c>
      <c r="FF3592" s="5" t="s">
        <v>238</v>
      </c>
      <c r="FG3592" s="5" t="s">
        <v>238</v>
      </c>
      <c r="FH3592" s="5" t="s">
        <v>238</v>
      </c>
      <c r="FI3592" s="5" t="s">
        <v>238</v>
      </c>
      <c r="FJ3592" s="5" t="s">
        <v>238</v>
      </c>
      <c r="FK3592" s="5" t="s">
        <v>238</v>
      </c>
      <c r="FL3592" s="5" t="s">
        <v>238</v>
      </c>
      <c r="FM3592" s="5" t="s">
        <v>238</v>
      </c>
      <c r="FN3592" s="5" t="s">
        <v>238</v>
      </c>
      <c r="FO3592" s="5" t="s">
        <v>238</v>
      </c>
      <c r="FP3592" s="5" t="s">
        <v>238</v>
      </c>
      <c r="FQ3592" s="5" t="s">
        <v>238</v>
      </c>
      <c r="FR3592" s="5" t="s">
        <v>238</v>
      </c>
      <c r="FS3592" s="5" t="s">
        <v>238</v>
      </c>
      <c r="FT3592" s="5" t="s">
        <v>238</v>
      </c>
      <c r="FU3592" s="5" t="s">
        <v>238</v>
      </c>
      <c r="FV3592" s="5" t="s">
        <v>238</v>
      </c>
      <c r="FW3592" s="5" t="s">
        <v>238</v>
      </c>
      <c r="FX3592" s="5" t="s">
        <v>238</v>
      </c>
      <c r="FY3592" s="5" t="s">
        <v>238</v>
      </c>
      <c r="FZ3592" s="5" t="s">
        <v>238</v>
      </c>
      <c r="GA3592" s="5" t="s">
        <v>238</v>
      </c>
      <c r="GB3592" s="5" t="s">
        <v>238</v>
      </c>
      <c r="GC3592" s="5" t="s">
        <v>238</v>
      </c>
      <c r="GD3592" s="5" t="s">
        <v>238</v>
      </c>
      <c r="GE3592" s="5" t="s">
        <v>238</v>
      </c>
      <c r="GF3592" s="5" t="s">
        <v>238</v>
      </c>
      <c r="GG3592" s="5" t="s">
        <v>238</v>
      </c>
      <c r="GH3592" s="5" t="s">
        <v>238</v>
      </c>
      <c r="GI3592" s="5" t="s">
        <v>238</v>
      </c>
      <c r="GJ3592" s="5" t="s">
        <v>238</v>
      </c>
      <c r="GK3592" s="5" t="s">
        <v>238</v>
      </c>
      <c r="GL3592" s="5" t="s">
        <v>238</v>
      </c>
      <c r="GM3592" s="5" t="s">
        <v>238</v>
      </c>
      <c r="GN3592" s="5" t="s">
        <v>238</v>
      </c>
      <c r="GO3592" s="5" t="s">
        <v>238</v>
      </c>
      <c r="GP3592" s="5" t="s">
        <v>238</v>
      </c>
      <c r="GQ3592" s="5" t="s">
        <v>238</v>
      </c>
      <c r="GR3592" s="5" t="s">
        <v>238</v>
      </c>
      <c r="GS3592" s="5" t="s">
        <v>238</v>
      </c>
      <c r="GT3592" s="5" t="s">
        <v>238</v>
      </c>
      <c r="GU3592" s="5" t="s">
        <v>238</v>
      </c>
      <c r="GV3592" s="5" t="s">
        <v>238</v>
      </c>
      <c r="GW3592" s="5" t="s">
        <v>238</v>
      </c>
      <c r="GX3592" s="5" t="s">
        <v>238</v>
      </c>
      <c r="GY3592" s="5" t="s">
        <v>238</v>
      </c>
      <c r="GZ3592" s="5" t="s">
        <v>238</v>
      </c>
      <c r="HA3592" s="5" t="s">
        <v>238</v>
      </c>
      <c r="HB3592" s="5" t="s">
        <v>238</v>
      </c>
      <c r="HC3592" s="5" t="s">
        <v>238</v>
      </c>
      <c r="HD3592" s="5" t="s">
        <v>238</v>
      </c>
      <c r="HE3592" s="5" t="s">
        <v>238</v>
      </c>
      <c r="HF3592" s="5" t="s">
        <v>238</v>
      </c>
      <c r="HG3592" s="5" t="s">
        <v>238</v>
      </c>
      <c r="HH3592" s="5" t="s">
        <v>238</v>
      </c>
      <c r="HI3592" s="5" t="s">
        <v>238</v>
      </c>
      <c r="HJ3592" s="5" t="s">
        <v>238</v>
      </c>
      <c r="HK3592" s="5" t="s">
        <v>238</v>
      </c>
      <c r="HL3592" s="5" t="s">
        <v>238</v>
      </c>
      <c r="HM3592" s="5" t="s">
        <v>264</v>
      </c>
      <c r="HN3592" s="5" t="s">
        <v>238</v>
      </c>
      <c r="HO3592" s="5" t="s">
        <v>238</v>
      </c>
      <c r="HP3592" s="5" t="s">
        <v>238</v>
      </c>
      <c r="HQ3592" s="5" t="s">
        <v>238</v>
      </c>
      <c r="HR3592" s="5" t="s">
        <v>238</v>
      </c>
      <c r="HS3592" s="5" t="s">
        <v>238</v>
      </c>
      <c r="HT3592" s="5" t="s">
        <v>238</v>
      </c>
      <c r="HU3592" s="5" t="s">
        <v>238</v>
      </c>
      <c r="HV3592" s="5" t="s">
        <v>238</v>
      </c>
      <c r="HW3592" s="5" t="s">
        <v>238</v>
      </c>
      <c r="HX3592" s="5" t="s">
        <v>238</v>
      </c>
      <c r="HY3592" s="5" t="s">
        <v>238</v>
      </c>
      <c r="HZ3592" s="5" t="s">
        <v>238</v>
      </c>
      <c r="IA3592" s="5" t="s">
        <v>238</v>
      </c>
      <c r="IB3592" s="5" t="s">
        <v>238</v>
      </c>
      <c r="IC3592" s="5" t="s">
        <v>238</v>
      </c>
      <c r="ID3592" s="5" t="s">
        <v>238</v>
      </c>
    </row>
    <row r="3593" spans="1:238" x14ac:dyDescent="0.4">
      <c r="A3593" s="5">
        <v>9311</v>
      </c>
      <c r="B3593" s="5">
        <v>1</v>
      </c>
      <c r="C3593" s="5">
        <v>1</v>
      </c>
      <c r="D3593" s="5" t="s">
        <v>484</v>
      </c>
      <c r="E3593" s="5" t="s">
        <v>485</v>
      </c>
      <c r="F3593" s="5" t="s">
        <v>248</v>
      </c>
      <c r="G3593" s="5" t="s">
        <v>3934</v>
      </c>
      <c r="H3593" s="6" t="s">
        <v>3936</v>
      </c>
      <c r="I3593" s="8">
        <f>1</f>
        <v>1</v>
      </c>
      <c r="J3593" s="5" t="s">
        <v>499</v>
      </c>
      <c r="K3593" s="8">
        <f>1</f>
        <v>1</v>
      </c>
      <c r="L3593" s="6" t="s">
        <v>242</v>
      </c>
      <c r="M3593" s="5" t="s">
        <v>267</v>
      </c>
      <c r="N3593" s="5" t="s">
        <v>482</v>
      </c>
      <c r="O3593" s="5" t="s">
        <v>238</v>
      </c>
      <c r="P3593" s="5" t="s">
        <v>238</v>
      </c>
      <c r="Q3593" s="5" t="s">
        <v>239</v>
      </c>
      <c r="R3593" s="5" t="s">
        <v>270</v>
      </c>
      <c r="S3593" s="5" t="s">
        <v>238</v>
      </c>
      <c r="T3593" s="5" t="s">
        <v>238</v>
      </c>
      <c r="U3593" s="5" t="s">
        <v>238</v>
      </c>
      <c r="V3593" s="5" t="s">
        <v>238</v>
      </c>
      <c r="W3593" s="6" t="s">
        <v>238</v>
      </c>
      <c r="X3593" s="6" t="s">
        <v>238</v>
      </c>
      <c r="Y3593" s="5" t="s">
        <v>238</v>
      </c>
      <c r="Z3593" s="6" t="s">
        <v>238</v>
      </c>
      <c r="AA3593" s="6" t="s">
        <v>243</v>
      </c>
      <c r="AB3593" s="5" t="s">
        <v>3935</v>
      </c>
      <c r="AC3593" s="5" t="s">
        <v>244</v>
      </c>
      <c r="AD3593" s="5" t="s">
        <v>245</v>
      </c>
      <c r="AE3593" s="5" t="s">
        <v>238</v>
      </c>
      <c r="AF3593" s="5" t="s">
        <v>238</v>
      </c>
      <c r="AG3593" s="5" t="s">
        <v>238</v>
      </c>
      <c r="AH3593" s="5" t="s">
        <v>238</v>
      </c>
      <c r="AI3593" s="5" t="s">
        <v>238</v>
      </c>
      <c r="AJ3593" s="5" t="s">
        <v>238</v>
      </c>
      <c r="AK3593" s="5" t="s">
        <v>238</v>
      </c>
      <c r="AL3593" s="5" t="s">
        <v>238</v>
      </c>
      <c r="AM3593" s="6" t="s">
        <v>238</v>
      </c>
      <c r="AN3593" s="6" t="s">
        <v>238</v>
      </c>
      <c r="AO3593" s="6" t="s">
        <v>238</v>
      </c>
      <c r="AP3593" s="6" t="s">
        <v>238</v>
      </c>
      <c r="AQ3593" s="5" t="s">
        <v>238</v>
      </c>
      <c r="AR3593" s="5" t="s">
        <v>488</v>
      </c>
      <c r="AS3593" s="5" t="s">
        <v>488</v>
      </c>
      <c r="AT3593" s="5" t="s">
        <v>246</v>
      </c>
      <c r="AU3593" s="5" t="s">
        <v>489</v>
      </c>
      <c r="AV3593" s="5" t="s">
        <v>247</v>
      </c>
      <c r="AW3593" s="5" t="s">
        <v>238</v>
      </c>
      <c r="AX3593" s="5" t="s">
        <v>249</v>
      </c>
      <c r="AY3593" s="5" t="s">
        <v>490</v>
      </c>
      <c r="BA3593" s="5" t="s">
        <v>238</v>
      </c>
      <c r="BC3593" s="5" t="s">
        <v>491</v>
      </c>
      <c r="BD3593" s="6" t="s">
        <v>492</v>
      </c>
      <c r="BE3593" s="5" t="s">
        <v>493</v>
      </c>
      <c r="BF3593" s="5" t="s">
        <v>493</v>
      </c>
      <c r="BG3593" s="5" t="s">
        <v>238</v>
      </c>
      <c r="BH3593" s="8">
        <f>1</f>
        <v>1</v>
      </c>
      <c r="BI3593" s="8">
        <f>1</f>
        <v>1</v>
      </c>
      <c r="BJ3593" s="5" t="s">
        <v>253</v>
      </c>
      <c r="BK3593" s="5" t="s">
        <v>254</v>
      </c>
      <c r="BL3593" s="5" t="s">
        <v>238</v>
      </c>
      <c r="BM3593" s="5" t="s">
        <v>238</v>
      </c>
      <c r="BN3593" s="5" t="s">
        <v>238</v>
      </c>
      <c r="BO3593" s="5" t="s">
        <v>238</v>
      </c>
      <c r="BP3593" s="5" t="s">
        <v>238</v>
      </c>
      <c r="BQ3593" s="5" t="s">
        <v>238</v>
      </c>
      <c r="BR3593" s="5" t="s">
        <v>238</v>
      </c>
      <c r="BS3593" s="5" t="s">
        <v>238</v>
      </c>
      <c r="BT3593" s="6" t="s">
        <v>238</v>
      </c>
      <c r="BU3593" s="5" t="s">
        <v>238</v>
      </c>
      <c r="BV3593" s="5" t="s">
        <v>238</v>
      </c>
      <c r="BW3593" s="5" t="s">
        <v>238</v>
      </c>
      <c r="BX3593" s="5" t="s">
        <v>254</v>
      </c>
      <c r="BY3593" s="5" t="s">
        <v>238</v>
      </c>
      <c r="BZ3593" s="5" t="s">
        <v>238</v>
      </c>
      <c r="CA3593" s="5" t="s">
        <v>238</v>
      </c>
      <c r="CB3593" s="5" t="s">
        <v>238</v>
      </c>
      <c r="CC3593" s="5" t="s">
        <v>238</v>
      </c>
      <c r="CD3593" s="5" t="s">
        <v>273</v>
      </c>
      <c r="CE3593" s="5" t="s">
        <v>256</v>
      </c>
      <c r="CF3593" s="5" t="s">
        <v>238</v>
      </c>
      <c r="CH3593" s="5" t="s">
        <v>494</v>
      </c>
      <c r="CI3593" s="6" t="s">
        <v>257</v>
      </c>
      <c r="CJ3593" s="5" t="s">
        <v>495</v>
      </c>
      <c r="CK3593" s="5" t="s">
        <v>258</v>
      </c>
      <c r="CL3593" s="5" t="s">
        <v>496</v>
      </c>
      <c r="CM3593" s="5" t="s">
        <v>238</v>
      </c>
      <c r="CN3593" s="5">
        <v>0</v>
      </c>
      <c r="CO3593" s="5" t="s">
        <v>497</v>
      </c>
      <c r="CP3593" s="5" t="s">
        <v>260</v>
      </c>
      <c r="CQ3593" s="5" t="s">
        <v>260</v>
      </c>
      <c r="CR3593" s="5" t="s">
        <v>261</v>
      </c>
      <c r="CS3593" s="5" t="s">
        <v>498</v>
      </c>
      <c r="CT3593" s="7">
        <f>1</f>
        <v>1</v>
      </c>
      <c r="CU3593" s="8">
        <f>1</f>
        <v>1</v>
      </c>
      <c r="CV3593" s="8">
        <f>0</f>
        <v>0</v>
      </c>
      <c r="CX3593" s="8">
        <f>1</f>
        <v>1</v>
      </c>
      <c r="CY3593" s="8">
        <f>1</f>
        <v>1</v>
      </c>
      <c r="CZ3593" s="8" t="s">
        <v>238</v>
      </c>
      <c r="DA3593" s="5" t="s">
        <v>238</v>
      </c>
      <c r="DB3593" s="5" t="s">
        <v>238</v>
      </c>
      <c r="DC3593" s="5" t="s">
        <v>238</v>
      </c>
      <c r="DD3593" s="5" t="s">
        <v>238</v>
      </c>
      <c r="DE3593" s="8">
        <f>0</f>
        <v>0</v>
      </c>
      <c r="DG3593" s="5" t="s">
        <v>238</v>
      </c>
      <c r="DH3593" s="5" t="s">
        <v>238</v>
      </c>
      <c r="DI3593" s="5" t="s">
        <v>238</v>
      </c>
      <c r="DJ3593" s="5" t="s">
        <v>238</v>
      </c>
      <c r="DK3593" s="5" t="s">
        <v>238</v>
      </c>
      <c r="DL3593" s="5" t="s">
        <v>238</v>
      </c>
      <c r="DM3593" s="8" t="s">
        <v>238</v>
      </c>
      <c r="DN3593" s="5" t="s">
        <v>238</v>
      </c>
      <c r="DO3593" s="5" t="s">
        <v>238</v>
      </c>
      <c r="DP3593" s="5" t="s">
        <v>490</v>
      </c>
      <c r="DQ3593" s="5" t="s">
        <v>490</v>
      </c>
      <c r="DR3593" s="5" t="s">
        <v>238</v>
      </c>
      <c r="DS3593" s="5" t="s">
        <v>238</v>
      </c>
      <c r="DT3593" s="5" t="s">
        <v>500</v>
      </c>
      <c r="DU3593" s="5" t="s">
        <v>808</v>
      </c>
      <c r="DV3593" s="5" t="s">
        <v>238</v>
      </c>
      <c r="DW3593" s="5" t="s">
        <v>238</v>
      </c>
      <c r="DX3593" s="5" t="s">
        <v>238</v>
      </c>
      <c r="DY3593" s="5" t="s">
        <v>238</v>
      </c>
      <c r="DZ3593" s="5" t="s">
        <v>238</v>
      </c>
      <c r="EA3593" s="5" t="s">
        <v>238</v>
      </c>
      <c r="EB3593" s="5" t="s">
        <v>238</v>
      </c>
      <c r="EC3593" s="5" t="s">
        <v>238</v>
      </c>
      <c r="ED3593" s="5" t="s">
        <v>238</v>
      </c>
      <c r="EE3593" s="5" t="s">
        <v>238</v>
      </c>
      <c r="EF3593" s="5" t="s">
        <v>238</v>
      </c>
      <c r="EG3593" s="5" t="s">
        <v>238</v>
      </c>
      <c r="EH3593" s="5" t="s">
        <v>238</v>
      </c>
      <c r="EI3593" s="5" t="s">
        <v>238</v>
      </c>
      <c r="EJ3593" s="5" t="s">
        <v>238</v>
      </c>
      <c r="EK3593" s="5" t="s">
        <v>238</v>
      </c>
      <c r="EL3593" s="5" t="s">
        <v>238</v>
      </c>
      <c r="EM3593" s="5" t="s">
        <v>238</v>
      </c>
      <c r="EN3593" s="5" t="s">
        <v>238</v>
      </c>
      <c r="EO3593" s="5" t="s">
        <v>238</v>
      </c>
      <c r="EP3593" s="5" t="s">
        <v>238</v>
      </c>
      <c r="EQ3593" s="5" t="s">
        <v>238</v>
      </c>
      <c r="ER3593" s="5" t="s">
        <v>238</v>
      </c>
      <c r="ES3593" s="5" t="s">
        <v>238</v>
      </c>
      <c r="ET3593" s="5" t="s">
        <v>238</v>
      </c>
      <c r="EU3593" s="5" t="s">
        <v>238</v>
      </c>
      <c r="EV3593" s="5" t="s">
        <v>238</v>
      </c>
      <c r="EW3593" s="5" t="s">
        <v>238</v>
      </c>
      <c r="EX3593" s="5" t="s">
        <v>238</v>
      </c>
      <c r="EY3593" s="5" t="s">
        <v>238</v>
      </c>
      <c r="EZ3593" s="5" t="s">
        <v>238</v>
      </c>
      <c r="FA3593" s="5" t="s">
        <v>238</v>
      </c>
      <c r="FB3593" s="5" t="s">
        <v>238</v>
      </c>
      <c r="FC3593" s="5" t="s">
        <v>238</v>
      </c>
      <c r="FD3593" s="5" t="s">
        <v>238</v>
      </c>
      <c r="FE3593" s="5" t="s">
        <v>238</v>
      </c>
      <c r="FF3593" s="5" t="s">
        <v>238</v>
      </c>
      <c r="FG3593" s="5" t="s">
        <v>238</v>
      </c>
      <c r="FH3593" s="5" t="s">
        <v>238</v>
      </c>
      <c r="FI3593" s="5" t="s">
        <v>238</v>
      </c>
      <c r="FJ3593" s="5" t="s">
        <v>238</v>
      </c>
      <c r="FK3593" s="5" t="s">
        <v>238</v>
      </c>
      <c r="FL3593" s="5" t="s">
        <v>238</v>
      </c>
      <c r="FM3593" s="5" t="s">
        <v>238</v>
      </c>
      <c r="FN3593" s="5" t="s">
        <v>238</v>
      </c>
      <c r="FO3593" s="5" t="s">
        <v>238</v>
      </c>
      <c r="FP3593" s="5" t="s">
        <v>238</v>
      </c>
      <c r="FQ3593" s="5" t="s">
        <v>238</v>
      </c>
      <c r="FR3593" s="5" t="s">
        <v>238</v>
      </c>
      <c r="FS3593" s="5" t="s">
        <v>238</v>
      </c>
      <c r="FT3593" s="5" t="s">
        <v>238</v>
      </c>
      <c r="FU3593" s="5" t="s">
        <v>238</v>
      </c>
      <c r="FV3593" s="5" t="s">
        <v>238</v>
      </c>
      <c r="FW3593" s="5" t="s">
        <v>238</v>
      </c>
      <c r="FX3593" s="5" t="s">
        <v>238</v>
      </c>
      <c r="FY3593" s="5" t="s">
        <v>238</v>
      </c>
      <c r="FZ3593" s="5" t="s">
        <v>238</v>
      </c>
      <c r="GA3593" s="5" t="s">
        <v>238</v>
      </c>
      <c r="GB3593" s="5" t="s">
        <v>238</v>
      </c>
      <c r="GC3593" s="5" t="s">
        <v>238</v>
      </c>
      <c r="GD3593" s="5" t="s">
        <v>238</v>
      </c>
      <c r="GE3593" s="5" t="s">
        <v>238</v>
      </c>
      <c r="GF3593" s="5" t="s">
        <v>238</v>
      </c>
      <c r="GG3593" s="5" t="s">
        <v>238</v>
      </c>
      <c r="GH3593" s="5" t="s">
        <v>238</v>
      </c>
      <c r="GI3593" s="5" t="s">
        <v>238</v>
      </c>
      <c r="GJ3593" s="5" t="s">
        <v>238</v>
      </c>
      <c r="GK3593" s="5" t="s">
        <v>238</v>
      </c>
      <c r="GL3593" s="5" t="s">
        <v>238</v>
      </c>
      <c r="GM3593" s="5" t="s">
        <v>238</v>
      </c>
      <c r="GN3593" s="5" t="s">
        <v>238</v>
      </c>
      <c r="GO3593" s="5" t="s">
        <v>238</v>
      </c>
      <c r="GP3593" s="5" t="s">
        <v>238</v>
      </c>
      <c r="GQ3593" s="5" t="s">
        <v>238</v>
      </c>
      <c r="GR3593" s="5" t="s">
        <v>238</v>
      </c>
      <c r="GS3593" s="5" t="s">
        <v>238</v>
      </c>
      <c r="GT3593" s="5" t="s">
        <v>238</v>
      </c>
      <c r="GU3593" s="5" t="s">
        <v>238</v>
      </c>
      <c r="GV3593" s="5" t="s">
        <v>238</v>
      </c>
      <c r="GW3593" s="5" t="s">
        <v>238</v>
      </c>
      <c r="GX3593" s="5" t="s">
        <v>238</v>
      </c>
      <c r="GY3593" s="5" t="s">
        <v>238</v>
      </c>
      <c r="GZ3593" s="5" t="s">
        <v>238</v>
      </c>
      <c r="HA3593" s="5" t="s">
        <v>238</v>
      </c>
      <c r="HB3593" s="5" t="s">
        <v>238</v>
      </c>
      <c r="HC3593" s="5" t="s">
        <v>238</v>
      </c>
      <c r="HD3593" s="5" t="s">
        <v>238</v>
      </c>
      <c r="HE3593" s="5" t="s">
        <v>238</v>
      </c>
      <c r="HF3593" s="5" t="s">
        <v>238</v>
      </c>
      <c r="HG3593" s="5" t="s">
        <v>238</v>
      </c>
      <c r="HH3593" s="5" t="s">
        <v>238</v>
      </c>
      <c r="HI3593" s="5" t="s">
        <v>238</v>
      </c>
      <c r="HJ3593" s="5" t="s">
        <v>238</v>
      </c>
      <c r="HK3593" s="5" t="s">
        <v>238</v>
      </c>
      <c r="HL3593" s="5" t="s">
        <v>238</v>
      </c>
      <c r="HM3593" s="5" t="s">
        <v>264</v>
      </c>
      <c r="HN3593" s="5" t="s">
        <v>238</v>
      </c>
      <c r="HO3593" s="5" t="s">
        <v>238</v>
      </c>
      <c r="HP3593" s="5" t="s">
        <v>238</v>
      </c>
      <c r="HQ3593" s="5" t="s">
        <v>238</v>
      </c>
      <c r="HR3593" s="5" t="s">
        <v>238</v>
      </c>
      <c r="HS3593" s="5" t="s">
        <v>238</v>
      </c>
      <c r="HT3593" s="5" t="s">
        <v>238</v>
      </c>
      <c r="HU3593" s="5" t="s">
        <v>238</v>
      </c>
      <c r="HV3593" s="5" t="s">
        <v>238</v>
      </c>
      <c r="HW3593" s="5" t="s">
        <v>238</v>
      </c>
      <c r="HX3593" s="5" t="s">
        <v>238</v>
      </c>
      <c r="HY3593" s="5" t="s">
        <v>238</v>
      </c>
      <c r="HZ3593" s="5" t="s">
        <v>238</v>
      </c>
      <c r="IA3593" s="5" t="s">
        <v>238</v>
      </c>
      <c r="IB3593" s="5" t="s">
        <v>238</v>
      </c>
      <c r="IC3593" s="5" t="s">
        <v>238</v>
      </c>
      <c r="ID3593" s="5" t="s">
        <v>238</v>
      </c>
    </row>
    <row r="3594" spans="1:238" x14ac:dyDescent="0.4">
      <c r="A3594" s="5">
        <v>9312</v>
      </c>
      <c r="B3594" s="5">
        <v>1</v>
      </c>
      <c r="C3594" s="5">
        <v>1</v>
      </c>
      <c r="D3594" s="5" t="s">
        <v>484</v>
      </c>
      <c r="E3594" s="5" t="s">
        <v>485</v>
      </c>
      <c r="F3594" s="5" t="s">
        <v>248</v>
      </c>
      <c r="G3594" s="5" t="s">
        <v>6462</v>
      </c>
      <c r="H3594" s="6" t="s">
        <v>6464</v>
      </c>
      <c r="I3594" s="8">
        <f>1</f>
        <v>1</v>
      </c>
      <c r="J3594" s="5" t="s">
        <v>499</v>
      </c>
      <c r="K3594" s="8">
        <f>1</f>
        <v>1</v>
      </c>
      <c r="L3594" s="6" t="s">
        <v>242</v>
      </c>
      <c r="M3594" s="5" t="s">
        <v>267</v>
      </c>
      <c r="N3594" s="5" t="s">
        <v>482</v>
      </c>
      <c r="O3594" s="5" t="s">
        <v>238</v>
      </c>
      <c r="P3594" s="5" t="s">
        <v>238</v>
      </c>
      <c r="Q3594" s="5" t="s">
        <v>239</v>
      </c>
      <c r="R3594" s="5" t="s">
        <v>270</v>
      </c>
      <c r="S3594" s="5" t="s">
        <v>238</v>
      </c>
      <c r="T3594" s="5" t="s">
        <v>238</v>
      </c>
      <c r="U3594" s="5" t="s">
        <v>238</v>
      </c>
      <c r="V3594" s="5" t="s">
        <v>238</v>
      </c>
      <c r="W3594" s="6" t="s">
        <v>238</v>
      </c>
      <c r="X3594" s="6" t="s">
        <v>238</v>
      </c>
      <c r="Y3594" s="5" t="s">
        <v>238</v>
      </c>
      <c r="Z3594" s="6" t="s">
        <v>238</v>
      </c>
      <c r="AA3594" s="6" t="s">
        <v>243</v>
      </c>
      <c r="AB3594" s="5" t="s">
        <v>6463</v>
      </c>
      <c r="AC3594" s="5" t="s">
        <v>244</v>
      </c>
      <c r="AD3594" s="5" t="s">
        <v>245</v>
      </c>
      <c r="AE3594" s="5" t="s">
        <v>238</v>
      </c>
      <c r="AF3594" s="5" t="s">
        <v>238</v>
      </c>
      <c r="AG3594" s="5" t="s">
        <v>238</v>
      </c>
      <c r="AH3594" s="5" t="s">
        <v>238</v>
      </c>
      <c r="AI3594" s="5" t="s">
        <v>238</v>
      </c>
      <c r="AJ3594" s="5" t="s">
        <v>238</v>
      </c>
      <c r="AK3594" s="5" t="s">
        <v>238</v>
      </c>
      <c r="AL3594" s="5" t="s">
        <v>238</v>
      </c>
      <c r="AM3594" s="6" t="s">
        <v>238</v>
      </c>
      <c r="AN3594" s="6" t="s">
        <v>238</v>
      </c>
      <c r="AO3594" s="6" t="s">
        <v>238</v>
      </c>
      <c r="AP3594" s="6" t="s">
        <v>238</v>
      </c>
      <c r="AQ3594" s="5" t="s">
        <v>238</v>
      </c>
      <c r="AR3594" s="5" t="s">
        <v>488</v>
      </c>
      <c r="AS3594" s="5" t="s">
        <v>488</v>
      </c>
      <c r="AT3594" s="5" t="s">
        <v>246</v>
      </c>
      <c r="AU3594" s="5" t="s">
        <v>489</v>
      </c>
      <c r="AV3594" s="5" t="s">
        <v>247</v>
      </c>
      <c r="AW3594" s="5" t="s">
        <v>238</v>
      </c>
      <c r="AX3594" s="5" t="s">
        <v>249</v>
      </c>
      <c r="AY3594" s="5" t="s">
        <v>490</v>
      </c>
      <c r="BA3594" s="5" t="s">
        <v>238</v>
      </c>
      <c r="BC3594" s="5" t="s">
        <v>491</v>
      </c>
      <c r="BD3594" s="6" t="s">
        <v>492</v>
      </c>
      <c r="BE3594" s="5" t="s">
        <v>493</v>
      </c>
      <c r="BF3594" s="5" t="s">
        <v>493</v>
      </c>
      <c r="BG3594" s="5" t="s">
        <v>238</v>
      </c>
      <c r="BH3594" s="8">
        <f>1</f>
        <v>1</v>
      </c>
      <c r="BI3594" s="8">
        <f>1</f>
        <v>1</v>
      </c>
      <c r="BJ3594" s="5" t="s">
        <v>253</v>
      </c>
      <c r="BK3594" s="5" t="s">
        <v>254</v>
      </c>
      <c r="BL3594" s="5" t="s">
        <v>238</v>
      </c>
      <c r="BM3594" s="5" t="s">
        <v>238</v>
      </c>
      <c r="BN3594" s="5" t="s">
        <v>238</v>
      </c>
      <c r="BO3594" s="5" t="s">
        <v>238</v>
      </c>
      <c r="BP3594" s="5" t="s">
        <v>238</v>
      </c>
      <c r="BQ3594" s="5" t="s">
        <v>238</v>
      </c>
      <c r="BR3594" s="5" t="s">
        <v>238</v>
      </c>
      <c r="BS3594" s="5" t="s">
        <v>238</v>
      </c>
      <c r="BT3594" s="6" t="s">
        <v>238</v>
      </c>
      <c r="BU3594" s="5" t="s">
        <v>238</v>
      </c>
      <c r="BV3594" s="5" t="s">
        <v>238</v>
      </c>
      <c r="BW3594" s="5" t="s">
        <v>238</v>
      </c>
      <c r="BX3594" s="5" t="s">
        <v>254</v>
      </c>
      <c r="BY3594" s="5" t="s">
        <v>238</v>
      </c>
      <c r="BZ3594" s="5" t="s">
        <v>238</v>
      </c>
      <c r="CA3594" s="5" t="s">
        <v>238</v>
      </c>
      <c r="CB3594" s="5" t="s">
        <v>238</v>
      </c>
      <c r="CC3594" s="5" t="s">
        <v>238</v>
      </c>
      <c r="CD3594" s="5" t="s">
        <v>273</v>
      </c>
      <c r="CE3594" s="5" t="s">
        <v>256</v>
      </c>
      <c r="CF3594" s="5" t="s">
        <v>238</v>
      </c>
      <c r="CH3594" s="5" t="s">
        <v>494</v>
      </c>
      <c r="CI3594" s="6" t="s">
        <v>257</v>
      </c>
      <c r="CJ3594" s="5" t="s">
        <v>495</v>
      </c>
      <c r="CK3594" s="5" t="s">
        <v>258</v>
      </c>
      <c r="CL3594" s="5" t="s">
        <v>496</v>
      </c>
      <c r="CM3594" s="5" t="s">
        <v>238</v>
      </c>
      <c r="CN3594" s="5">
        <v>0</v>
      </c>
      <c r="CO3594" s="5" t="s">
        <v>497</v>
      </c>
      <c r="CP3594" s="5" t="s">
        <v>260</v>
      </c>
      <c r="CQ3594" s="5" t="s">
        <v>260</v>
      </c>
      <c r="CR3594" s="5" t="s">
        <v>261</v>
      </c>
      <c r="CS3594" s="5" t="s">
        <v>498</v>
      </c>
      <c r="CT3594" s="7">
        <f>1</f>
        <v>1</v>
      </c>
      <c r="CU3594" s="8">
        <f>1</f>
        <v>1</v>
      </c>
      <c r="CV3594" s="8">
        <f>0</f>
        <v>0</v>
      </c>
      <c r="CX3594" s="8">
        <f>1</f>
        <v>1</v>
      </c>
      <c r="CY3594" s="8">
        <f>1</f>
        <v>1</v>
      </c>
      <c r="CZ3594" s="8" t="s">
        <v>238</v>
      </c>
      <c r="DA3594" s="5" t="s">
        <v>238</v>
      </c>
      <c r="DB3594" s="5" t="s">
        <v>238</v>
      </c>
      <c r="DC3594" s="5" t="s">
        <v>238</v>
      </c>
      <c r="DD3594" s="5" t="s">
        <v>238</v>
      </c>
      <c r="DE3594" s="8">
        <f>0</f>
        <v>0</v>
      </c>
      <c r="DG3594" s="5" t="s">
        <v>238</v>
      </c>
      <c r="DH3594" s="5" t="s">
        <v>238</v>
      </c>
      <c r="DI3594" s="5" t="s">
        <v>238</v>
      </c>
      <c r="DJ3594" s="5" t="s">
        <v>238</v>
      </c>
      <c r="DK3594" s="5" t="s">
        <v>238</v>
      </c>
      <c r="DL3594" s="5" t="s">
        <v>238</v>
      </c>
      <c r="DM3594" s="8" t="s">
        <v>238</v>
      </c>
      <c r="DN3594" s="5" t="s">
        <v>238</v>
      </c>
      <c r="DO3594" s="5" t="s">
        <v>238</v>
      </c>
      <c r="DP3594" s="5" t="s">
        <v>490</v>
      </c>
      <c r="DQ3594" s="5" t="s">
        <v>490</v>
      </c>
      <c r="DR3594" s="5" t="s">
        <v>238</v>
      </c>
      <c r="DS3594" s="5" t="s">
        <v>238</v>
      </c>
      <c r="DT3594" s="5" t="s">
        <v>500</v>
      </c>
      <c r="DU3594" s="5" t="s">
        <v>795</v>
      </c>
      <c r="DV3594" s="5" t="s">
        <v>238</v>
      </c>
      <c r="DW3594" s="5" t="s">
        <v>238</v>
      </c>
      <c r="DX3594" s="5" t="s">
        <v>238</v>
      </c>
      <c r="DY3594" s="5" t="s">
        <v>238</v>
      </c>
      <c r="DZ3594" s="5" t="s">
        <v>238</v>
      </c>
      <c r="EA3594" s="5" t="s">
        <v>238</v>
      </c>
      <c r="EB3594" s="5" t="s">
        <v>238</v>
      </c>
      <c r="EC3594" s="5" t="s">
        <v>238</v>
      </c>
      <c r="ED3594" s="5" t="s">
        <v>238</v>
      </c>
      <c r="EE3594" s="5" t="s">
        <v>238</v>
      </c>
      <c r="EF3594" s="5" t="s">
        <v>238</v>
      </c>
      <c r="EG3594" s="5" t="s">
        <v>238</v>
      </c>
      <c r="EH3594" s="5" t="s">
        <v>238</v>
      </c>
      <c r="EI3594" s="5" t="s">
        <v>238</v>
      </c>
      <c r="EJ3594" s="5" t="s">
        <v>238</v>
      </c>
      <c r="EK3594" s="5" t="s">
        <v>238</v>
      </c>
      <c r="EL3594" s="5" t="s">
        <v>238</v>
      </c>
      <c r="EM3594" s="5" t="s">
        <v>238</v>
      </c>
      <c r="EN3594" s="5" t="s">
        <v>238</v>
      </c>
      <c r="EO3594" s="5" t="s">
        <v>238</v>
      </c>
      <c r="EP3594" s="5" t="s">
        <v>238</v>
      </c>
      <c r="EQ3594" s="5" t="s">
        <v>238</v>
      </c>
      <c r="ER3594" s="5" t="s">
        <v>238</v>
      </c>
      <c r="ES3594" s="5" t="s">
        <v>238</v>
      </c>
      <c r="ET3594" s="5" t="s">
        <v>238</v>
      </c>
      <c r="EU3594" s="5" t="s">
        <v>238</v>
      </c>
      <c r="EV3594" s="5" t="s">
        <v>238</v>
      </c>
      <c r="EW3594" s="5" t="s">
        <v>238</v>
      </c>
      <c r="EX3594" s="5" t="s">
        <v>238</v>
      </c>
      <c r="EY3594" s="5" t="s">
        <v>238</v>
      </c>
      <c r="EZ3594" s="5" t="s">
        <v>238</v>
      </c>
      <c r="FA3594" s="5" t="s">
        <v>238</v>
      </c>
      <c r="FB3594" s="5" t="s">
        <v>238</v>
      </c>
      <c r="FC3594" s="5" t="s">
        <v>238</v>
      </c>
      <c r="FD3594" s="5" t="s">
        <v>238</v>
      </c>
      <c r="FE3594" s="5" t="s">
        <v>238</v>
      </c>
      <c r="FF3594" s="5" t="s">
        <v>238</v>
      </c>
      <c r="FG3594" s="5" t="s">
        <v>238</v>
      </c>
      <c r="FH3594" s="5" t="s">
        <v>238</v>
      </c>
      <c r="FI3594" s="5" t="s">
        <v>238</v>
      </c>
      <c r="FJ3594" s="5" t="s">
        <v>238</v>
      </c>
      <c r="FK3594" s="5" t="s">
        <v>238</v>
      </c>
      <c r="FL3594" s="5" t="s">
        <v>238</v>
      </c>
      <c r="FM3594" s="5" t="s">
        <v>238</v>
      </c>
      <c r="FN3594" s="5" t="s">
        <v>238</v>
      </c>
      <c r="FO3594" s="5" t="s">
        <v>238</v>
      </c>
      <c r="FP3594" s="5" t="s">
        <v>238</v>
      </c>
      <c r="FQ3594" s="5" t="s">
        <v>238</v>
      </c>
      <c r="FR3594" s="5" t="s">
        <v>238</v>
      </c>
      <c r="FS3594" s="5" t="s">
        <v>238</v>
      </c>
      <c r="FT3594" s="5" t="s">
        <v>238</v>
      </c>
      <c r="FU3594" s="5" t="s">
        <v>238</v>
      </c>
      <c r="FV3594" s="5" t="s">
        <v>238</v>
      </c>
      <c r="FW3594" s="5" t="s">
        <v>238</v>
      </c>
      <c r="FX3594" s="5" t="s">
        <v>238</v>
      </c>
      <c r="FY3594" s="5" t="s">
        <v>238</v>
      </c>
      <c r="FZ3594" s="5" t="s">
        <v>238</v>
      </c>
      <c r="GA3594" s="5" t="s">
        <v>238</v>
      </c>
      <c r="GB3594" s="5" t="s">
        <v>238</v>
      </c>
      <c r="GC3594" s="5" t="s">
        <v>238</v>
      </c>
      <c r="GD3594" s="5" t="s">
        <v>238</v>
      </c>
      <c r="GE3594" s="5" t="s">
        <v>238</v>
      </c>
      <c r="GF3594" s="5" t="s">
        <v>238</v>
      </c>
      <c r="GG3594" s="5" t="s">
        <v>238</v>
      </c>
      <c r="GH3594" s="5" t="s">
        <v>238</v>
      </c>
      <c r="GI3594" s="5" t="s">
        <v>238</v>
      </c>
      <c r="GJ3594" s="5" t="s">
        <v>238</v>
      </c>
      <c r="GK3594" s="5" t="s">
        <v>238</v>
      </c>
      <c r="GL3594" s="5" t="s">
        <v>238</v>
      </c>
      <c r="GM3594" s="5" t="s">
        <v>238</v>
      </c>
      <c r="GN3594" s="5" t="s">
        <v>238</v>
      </c>
      <c r="GO3594" s="5" t="s">
        <v>238</v>
      </c>
      <c r="GP3594" s="5" t="s">
        <v>238</v>
      </c>
      <c r="GQ3594" s="5" t="s">
        <v>238</v>
      </c>
      <c r="GR3594" s="5" t="s">
        <v>238</v>
      </c>
      <c r="GS3594" s="5" t="s">
        <v>238</v>
      </c>
      <c r="GT3594" s="5" t="s">
        <v>238</v>
      </c>
      <c r="GU3594" s="5" t="s">
        <v>238</v>
      </c>
      <c r="GV3594" s="5" t="s">
        <v>238</v>
      </c>
      <c r="GW3594" s="5" t="s">
        <v>238</v>
      </c>
      <c r="GX3594" s="5" t="s">
        <v>238</v>
      </c>
      <c r="GY3594" s="5" t="s">
        <v>238</v>
      </c>
      <c r="GZ3594" s="5" t="s">
        <v>238</v>
      </c>
      <c r="HA3594" s="5" t="s">
        <v>238</v>
      </c>
      <c r="HB3594" s="5" t="s">
        <v>238</v>
      </c>
      <c r="HC3594" s="5" t="s">
        <v>238</v>
      </c>
      <c r="HD3594" s="5" t="s">
        <v>238</v>
      </c>
      <c r="HE3594" s="5" t="s">
        <v>238</v>
      </c>
      <c r="HF3594" s="5" t="s">
        <v>238</v>
      </c>
      <c r="HG3594" s="5" t="s">
        <v>238</v>
      </c>
      <c r="HH3594" s="5" t="s">
        <v>238</v>
      </c>
      <c r="HI3594" s="5" t="s">
        <v>238</v>
      </c>
      <c r="HJ3594" s="5" t="s">
        <v>238</v>
      </c>
      <c r="HK3594" s="5" t="s">
        <v>238</v>
      </c>
      <c r="HL3594" s="5" t="s">
        <v>238</v>
      </c>
      <c r="HM3594" s="5" t="s">
        <v>264</v>
      </c>
      <c r="HN3594" s="5" t="s">
        <v>238</v>
      </c>
      <c r="HO3594" s="5" t="s">
        <v>238</v>
      </c>
      <c r="HP3594" s="5" t="s">
        <v>238</v>
      </c>
      <c r="HQ3594" s="5" t="s">
        <v>238</v>
      </c>
      <c r="HR3594" s="5" t="s">
        <v>238</v>
      </c>
      <c r="HS3594" s="5" t="s">
        <v>238</v>
      </c>
      <c r="HT3594" s="5" t="s">
        <v>238</v>
      </c>
      <c r="HU3594" s="5" t="s">
        <v>238</v>
      </c>
      <c r="HV3594" s="5" t="s">
        <v>238</v>
      </c>
      <c r="HW3594" s="5" t="s">
        <v>238</v>
      </c>
      <c r="HX3594" s="5" t="s">
        <v>238</v>
      </c>
      <c r="HY3594" s="5" t="s">
        <v>238</v>
      </c>
      <c r="HZ3594" s="5" t="s">
        <v>238</v>
      </c>
      <c r="IA3594" s="5" t="s">
        <v>238</v>
      </c>
      <c r="IB3594" s="5" t="s">
        <v>238</v>
      </c>
      <c r="IC3594" s="5" t="s">
        <v>238</v>
      </c>
      <c r="ID3594" s="5" t="s">
        <v>238</v>
      </c>
    </row>
    <row r="3595" spans="1:238" x14ac:dyDescent="0.4">
      <c r="A3595" s="5">
        <v>9313</v>
      </c>
      <c r="B3595" s="5">
        <v>1</v>
      </c>
      <c r="C3595" s="5">
        <v>1</v>
      </c>
      <c r="D3595" s="5" t="s">
        <v>484</v>
      </c>
      <c r="E3595" s="5" t="s">
        <v>485</v>
      </c>
      <c r="F3595" s="5" t="s">
        <v>248</v>
      </c>
      <c r="G3595" s="5" t="s">
        <v>5800</v>
      </c>
      <c r="H3595" s="6" t="s">
        <v>5801</v>
      </c>
      <c r="I3595" s="8">
        <f>1</f>
        <v>1</v>
      </c>
      <c r="J3595" s="5" t="s">
        <v>499</v>
      </c>
      <c r="K3595" s="8">
        <f>1</f>
        <v>1</v>
      </c>
      <c r="L3595" s="6" t="s">
        <v>242</v>
      </c>
      <c r="M3595" s="5" t="s">
        <v>267</v>
      </c>
      <c r="N3595" s="5" t="s">
        <v>482</v>
      </c>
      <c r="O3595" s="5" t="s">
        <v>238</v>
      </c>
      <c r="P3595" s="5" t="s">
        <v>238</v>
      </c>
      <c r="Q3595" s="5" t="s">
        <v>239</v>
      </c>
      <c r="R3595" s="5" t="s">
        <v>270</v>
      </c>
      <c r="S3595" s="5" t="s">
        <v>238</v>
      </c>
      <c r="T3595" s="5" t="s">
        <v>238</v>
      </c>
      <c r="U3595" s="5" t="s">
        <v>238</v>
      </c>
      <c r="V3595" s="5" t="s">
        <v>238</v>
      </c>
      <c r="W3595" s="6" t="s">
        <v>238</v>
      </c>
      <c r="X3595" s="6" t="s">
        <v>238</v>
      </c>
      <c r="Y3595" s="5" t="s">
        <v>238</v>
      </c>
      <c r="Z3595" s="6" t="s">
        <v>238</v>
      </c>
      <c r="AA3595" s="6" t="s">
        <v>243</v>
      </c>
      <c r="AB3595" s="5" t="s">
        <v>486</v>
      </c>
      <c r="AC3595" s="5" t="s">
        <v>244</v>
      </c>
      <c r="AD3595" s="5" t="s">
        <v>245</v>
      </c>
      <c r="AE3595" s="5" t="s">
        <v>238</v>
      </c>
      <c r="AF3595" s="5" t="s">
        <v>238</v>
      </c>
      <c r="AG3595" s="5" t="s">
        <v>238</v>
      </c>
      <c r="AH3595" s="5" t="s">
        <v>238</v>
      </c>
      <c r="AI3595" s="5" t="s">
        <v>238</v>
      </c>
      <c r="AJ3595" s="5" t="s">
        <v>238</v>
      </c>
      <c r="AK3595" s="5" t="s">
        <v>238</v>
      </c>
      <c r="AL3595" s="5" t="s">
        <v>238</v>
      </c>
      <c r="AM3595" s="6" t="s">
        <v>238</v>
      </c>
      <c r="AN3595" s="6" t="s">
        <v>238</v>
      </c>
      <c r="AO3595" s="6" t="s">
        <v>238</v>
      </c>
      <c r="AP3595" s="6" t="s">
        <v>238</v>
      </c>
      <c r="AQ3595" s="5" t="s">
        <v>238</v>
      </c>
      <c r="AR3595" s="5" t="s">
        <v>488</v>
      </c>
      <c r="AS3595" s="5" t="s">
        <v>488</v>
      </c>
      <c r="AT3595" s="5" t="s">
        <v>246</v>
      </c>
      <c r="AU3595" s="5" t="s">
        <v>489</v>
      </c>
      <c r="AV3595" s="5" t="s">
        <v>247</v>
      </c>
      <c r="AW3595" s="5" t="s">
        <v>238</v>
      </c>
      <c r="AX3595" s="5" t="s">
        <v>249</v>
      </c>
      <c r="AY3595" s="5" t="s">
        <v>490</v>
      </c>
      <c r="BA3595" s="5" t="s">
        <v>238</v>
      </c>
      <c r="BC3595" s="5" t="s">
        <v>491</v>
      </c>
      <c r="BD3595" s="6" t="s">
        <v>492</v>
      </c>
      <c r="BE3595" s="5" t="s">
        <v>493</v>
      </c>
      <c r="BF3595" s="5" t="s">
        <v>493</v>
      </c>
      <c r="BG3595" s="5" t="s">
        <v>238</v>
      </c>
      <c r="BH3595" s="8">
        <f>1</f>
        <v>1</v>
      </c>
      <c r="BI3595" s="8">
        <f>1</f>
        <v>1</v>
      </c>
      <c r="BJ3595" s="5" t="s">
        <v>253</v>
      </c>
      <c r="BK3595" s="5" t="s">
        <v>254</v>
      </c>
      <c r="BL3595" s="5" t="s">
        <v>238</v>
      </c>
      <c r="BM3595" s="5" t="s">
        <v>238</v>
      </c>
      <c r="BN3595" s="5" t="s">
        <v>238</v>
      </c>
      <c r="BO3595" s="5" t="s">
        <v>238</v>
      </c>
      <c r="BP3595" s="5" t="s">
        <v>238</v>
      </c>
      <c r="BQ3595" s="5" t="s">
        <v>238</v>
      </c>
      <c r="BR3595" s="5" t="s">
        <v>238</v>
      </c>
      <c r="BS3595" s="5" t="s">
        <v>238</v>
      </c>
      <c r="BT3595" s="6" t="s">
        <v>238</v>
      </c>
      <c r="BU3595" s="5" t="s">
        <v>238</v>
      </c>
      <c r="BV3595" s="5" t="s">
        <v>238</v>
      </c>
      <c r="BW3595" s="5" t="s">
        <v>238</v>
      </c>
      <c r="BX3595" s="5" t="s">
        <v>254</v>
      </c>
      <c r="BY3595" s="5" t="s">
        <v>238</v>
      </c>
      <c r="BZ3595" s="5" t="s">
        <v>238</v>
      </c>
      <c r="CA3595" s="5" t="s">
        <v>238</v>
      </c>
      <c r="CB3595" s="5" t="s">
        <v>238</v>
      </c>
      <c r="CC3595" s="5" t="s">
        <v>238</v>
      </c>
      <c r="CD3595" s="5" t="s">
        <v>273</v>
      </c>
      <c r="CE3595" s="5" t="s">
        <v>256</v>
      </c>
      <c r="CF3595" s="5" t="s">
        <v>238</v>
      </c>
      <c r="CH3595" s="5" t="s">
        <v>494</v>
      </c>
      <c r="CI3595" s="6" t="s">
        <v>257</v>
      </c>
      <c r="CJ3595" s="5" t="s">
        <v>495</v>
      </c>
      <c r="CK3595" s="5" t="s">
        <v>258</v>
      </c>
      <c r="CL3595" s="5" t="s">
        <v>496</v>
      </c>
      <c r="CM3595" s="5" t="s">
        <v>238</v>
      </c>
      <c r="CN3595" s="5">
        <v>0</v>
      </c>
      <c r="CO3595" s="5" t="s">
        <v>497</v>
      </c>
      <c r="CP3595" s="5" t="s">
        <v>260</v>
      </c>
      <c r="CQ3595" s="5" t="s">
        <v>260</v>
      </c>
      <c r="CR3595" s="5" t="s">
        <v>261</v>
      </c>
      <c r="CS3595" s="5" t="s">
        <v>498</v>
      </c>
      <c r="CT3595" s="7">
        <f>1</f>
        <v>1</v>
      </c>
      <c r="CU3595" s="8">
        <f>1</f>
        <v>1</v>
      </c>
      <c r="CV3595" s="8">
        <f>0</f>
        <v>0</v>
      </c>
      <c r="CX3595" s="8">
        <f>1</f>
        <v>1</v>
      </c>
      <c r="CY3595" s="8">
        <f>1</f>
        <v>1</v>
      </c>
      <c r="CZ3595" s="8" t="s">
        <v>238</v>
      </c>
      <c r="DA3595" s="5" t="s">
        <v>238</v>
      </c>
      <c r="DB3595" s="5" t="s">
        <v>238</v>
      </c>
      <c r="DC3595" s="5" t="s">
        <v>238</v>
      </c>
      <c r="DD3595" s="5" t="s">
        <v>238</v>
      </c>
      <c r="DE3595" s="8">
        <f>0</f>
        <v>0</v>
      </c>
      <c r="DG3595" s="5" t="s">
        <v>238</v>
      </c>
      <c r="DH3595" s="5" t="s">
        <v>238</v>
      </c>
      <c r="DI3595" s="5" t="s">
        <v>238</v>
      </c>
      <c r="DJ3595" s="5" t="s">
        <v>238</v>
      </c>
      <c r="DK3595" s="5" t="s">
        <v>238</v>
      </c>
      <c r="DL3595" s="5" t="s">
        <v>238</v>
      </c>
      <c r="DM3595" s="8" t="s">
        <v>238</v>
      </c>
      <c r="DN3595" s="5" t="s">
        <v>238</v>
      </c>
      <c r="DO3595" s="5" t="s">
        <v>238</v>
      </c>
      <c r="DP3595" s="5" t="s">
        <v>490</v>
      </c>
      <c r="DQ3595" s="5" t="s">
        <v>490</v>
      </c>
      <c r="DR3595" s="5" t="s">
        <v>238</v>
      </c>
      <c r="DS3595" s="5" t="s">
        <v>238</v>
      </c>
      <c r="DT3595" s="5" t="s">
        <v>500</v>
      </c>
      <c r="DU3595" s="5" t="s">
        <v>1043</v>
      </c>
      <c r="DV3595" s="5" t="s">
        <v>238</v>
      </c>
      <c r="DW3595" s="5" t="s">
        <v>238</v>
      </c>
      <c r="DX3595" s="5" t="s">
        <v>238</v>
      </c>
      <c r="DY3595" s="5" t="s">
        <v>238</v>
      </c>
      <c r="DZ3595" s="5" t="s">
        <v>238</v>
      </c>
      <c r="EA3595" s="5" t="s">
        <v>238</v>
      </c>
      <c r="EB3595" s="5" t="s">
        <v>238</v>
      </c>
      <c r="EC3595" s="5" t="s">
        <v>238</v>
      </c>
      <c r="ED3595" s="5" t="s">
        <v>238</v>
      </c>
      <c r="EE3595" s="5" t="s">
        <v>238</v>
      </c>
      <c r="EF3595" s="5" t="s">
        <v>238</v>
      </c>
      <c r="EG3595" s="5" t="s">
        <v>238</v>
      </c>
      <c r="EH3595" s="5" t="s">
        <v>238</v>
      </c>
      <c r="EI3595" s="5" t="s">
        <v>238</v>
      </c>
      <c r="EJ3595" s="5" t="s">
        <v>238</v>
      </c>
      <c r="EK3595" s="5" t="s">
        <v>238</v>
      </c>
      <c r="EL3595" s="5" t="s">
        <v>238</v>
      </c>
      <c r="EM3595" s="5" t="s">
        <v>238</v>
      </c>
      <c r="EN3595" s="5" t="s">
        <v>238</v>
      </c>
      <c r="EO3595" s="5" t="s">
        <v>238</v>
      </c>
      <c r="EP3595" s="5" t="s">
        <v>238</v>
      </c>
      <c r="EQ3595" s="5" t="s">
        <v>238</v>
      </c>
      <c r="ER3595" s="5" t="s">
        <v>238</v>
      </c>
      <c r="ES3595" s="5" t="s">
        <v>238</v>
      </c>
      <c r="ET3595" s="5" t="s">
        <v>238</v>
      </c>
      <c r="EU3595" s="5" t="s">
        <v>238</v>
      </c>
      <c r="EV3595" s="5" t="s">
        <v>238</v>
      </c>
      <c r="EW3595" s="5" t="s">
        <v>238</v>
      </c>
      <c r="EX3595" s="5" t="s">
        <v>238</v>
      </c>
      <c r="EY3595" s="5" t="s">
        <v>238</v>
      </c>
      <c r="EZ3595" s="5" t="s">
        <v>238</v>
      </c>
      <c r="FA3595" s="5" t="s">
        <v>238</v>
      </c>
      <c r="FB3595" s="5" t="s">
        <v>238</v>
      </c>
      <c r="FC3595" s="5" t="s">
        <v>238</v>
      </c>
      <c r="FD3595" s="5" t="s">
        <v>238</v>
      </c>
      <c r="FE3595" s="5" t="s">
        <v>238</v>
      </c>
      <c r="FF3595" s="5" t="s">
        <v>238</v>
      </c>
      <c r="FG3595" s="5" t="s">
        <v>238</v>
      </c>
      <c r="FH3595" s="5" t="s">
        <v>238</v>
      </c>
      <c r="FI3595" s="5" t="s">
        <v>238</v>
      </c>
      <c r="FJ3595" s="5" t="s">
        <v>238</v>
      </c>
      <c r="FK3595" s="5" t="s">
        <v>238</v>
      </c>
      <c r="FL3595" s="5" t="s">
        <v>238</v>
      </c>
      <c r="FM3595" s="5" t="s">
        <v>238</v>
      </c>
      <c r="FN3595" s="5" t="s">
        <v>238</v>
      </c>
      <c r="FO3595" s="5" t="s">
        <v>238</v>
      </c>
      <c r="FP3595" s="5" t="s">
        <v>238</v>
      </c>
      <c r="FQ3595" s="5" t="s">
        <v>238</v>
      </c>
      <c r="FR3595" s="5" t="s">
        <v>238</v>
      </c>
      <c r="FS3595" s="5" t="s">
        <v>238</v>
      </c>
      <c r="FT3595" s="5" t="s">
        <v>238</v>
      </c>
      <c r="FU3595" s="5" t="s">
        <v>238</v>
      </c>
      <c r="FV3595" s="5" t="s">
        <v>238</v>
      </c>
      <c r="FW3595" s="5" t="s">
        <v>238</v>
      </c>
      <c r="FX3595" s="5" t="s">
        <v>238</v>
      </c>
      <c r="FY3595" s="5" t="s">
        <v>238</v>
      </c>
      <c r="FZ3595" s="5" t="s">
        <v>238</v>
      </c>
      <c r="GA3595" s="5" t="s">
        <v>238</v>
      </c>
      <c r="GB3595" s="5" t="s">
        <v>238</v>
      </c>
      <c r="GC3595" s="5" t="s">
        <v>238</v>
      </c>
      <c r="GD3595" s="5" t="s">
        <v>238</v>
      </c>
      <c r="GE3595" s="5" t="s">
        <v>238</v>
      </c>
      <c r="GF3595" s="5" t="s">
        <v>238</v>
      </c>
      <c r="GG3595" s="5" t="s">
        <v>238</v>
      </c>
      <c r="GH3595" s="5" t="s">
        <v>238</v>
      </c>
      <c r="GI3595" s="5" t="s">
        <v>238</v>
      </c>
      <c r="GJ3595" s="5" t="s">
        <v>238</v>
      </c>
      <c r="GK3595" s="5" t="s">
        <v>238</v>
      </c>
      <c r="GL3595" s="5" t="s">
        <v>238</v>
      </c>
      <c r="GM3595" s="5" t="s">
        <v>238</v>
      </c>
      <c r="GN3595" s="5" t="s">
        <v>238</v>
      </c>
      <c r="GO3595" s="5" t="s">
        <v>238</v>
      </c>
      <c r="GP3595" s="5" t="s">
        <v>238</v>
      </c>
      <c r="GQ3595" s="5" t="s">
        <v>238</v>
      </c>
      <c r="GR3595" s="5" t="s">
        <v>238</v>
      </c>
      <c r="GS3595" s="5" t="s">
        <v>238</v>
      </c>
      <c r="GT3595" s="5" t="s">
        <v>238</v>
      </c>
      <c r="GU3595" s="5" t="s">
        <v>238</v>
      </c>
      <c r="GV3595" s="5" t="s">
        <v>238</v>
      </c>
      <c r="GW3595" s="5" t="s">
        <v>238</v>
      </c>
      <c r="GX3595" s="5" t="s">
        <v>238</v>
      </c>
      <c r="GY3595" s="5" t="s">
        <v>238</v>
      </c>
      <c r="GZ3595" s="5" t="s">
        <v>238</v>
      </c>
      <c r="HA3595" s="5" t="s">
        <v>238</v>
      </c>
      <c r="HB3595" s="5" t="s">
        <v>238</v>
      </c>
      <c r="HC3595" s="5" t="s">
        <v>238</v>
      </c>
      <c r="HD3595" s="5" t="s">
        <v>238</v>
      </c>
      <c r="HE3595" s="5" t="s">
        <v>238</v>
      </c>
      <c r="HF3595" s="5" t="s">
        <v>238</v>
      </c>
      <c r="HG3595" s="5" t="s">
        <v>238</v>
      </c>
      <c r="HH3595" s="5" t="s">
        <v>238</v>
      </c>
      <c r="HI3595" s="5" t="s">
        <v>238</v>
      </c>
      <c r="HJ3595" s="5" t="s">
        <v>238</v>
      </c>
      <c r="HK3595" s="5" t="s">
        <v>238</v>
      </c>
      <c r="HL3595" s="5" t="s">
        <v>238</v>
      </c>
      <c r="HM3595" s="5" t="s">
        <v>264</v>
      </c>
      <c r="HN3595" s="5" t="s">
        <v>238</v>
      </c>
      <c r="HO3595" s="5" t="s">
        <v>238</v>
      </c>
      <c r="HP3595" s="5" t="s">
        <v>238</v>
      </c>
      <c r="HQ3595" s="5" t="s">
        <v>238</v>
      </c>
      <c r="HR3595" s="5" t="s">
        <v>238</v>
      </c>
      <c r="HS3595" s="5" t="s">
        <v>238</v>
      </c>
      <c r="HT3595" s="5" t="s">
        <v>238</v>
      </c>
      <c r="HU3595" s="5" t="s">
        <v>238</v>
      </c>
      <c r="HV3595" s="5" t="s">
        <v>238</v>
      </c>
      <c r="HW3595" s="5" t="s">
        <v>238</v>
      </c>
      <c r="HX3595" s="5" t="s">
        <v>238</v>
      </c>
      <c r="HY3595" s="5" t="s">
        <v>238</v>
      </c>
      <c r="HZ3595" s="5" t="s">
        <v>238</v>
      </c>
      <c r="IA3595" s="5" t="s">
        <v>238</v>
      </c>
      <c r="IB3595" s="5" t="s">
        <v>238</v>
      </c>
      <c r="IC3595" s="5" t="s">
        <v>238</v>
      </c>
      <c r="ID3595" s="5" t="s">
        <v>238</v>
      </c>
    </row>
    <row r="3596" spans="1:238" x14ac:dyDescent="0.4">
      <c r="A3596" s="5">
        <v>9314</v>
      </c>
      <c r="B3596" s="5">
        <v>1</v>
      </c>
      <c r="C3596" s="5">
        <v>1</v>
      </c>
      <c r="D3596" s="5" t="s">
        <v>484</v>
      </c>
      <c r="E3596" s="5" t="s">
        <v>485</v>
      </c>
      <c r="F3596" s="5" t="s">
        <v>248</v>
      </c>
      <c r="G3596" s="5" t="s">
        <v>4956</v>
      </c>
      <c r="H3596" s="6" t="s">
        <v>4957</v>
      </c>
      <c r="I3596" s="8">
        <f>1</f>
        <v>1</v>
      </c>
      <c r="J3596" s="5" t="s">
        <v>499</v>
      </c>
      <c r="K3596" s="8">
        <f>1</f>
        <v>1</v>
      </c>
      <c r="L3596" s="6" t="s">
        <v>242</v>
      </c>
      <c r="M3596" s="5" t="s">
        <v>267</v>
      </c>
      <c r="N3596" s="5" t="s">
        <v>482</v>
      </c>
      <c r="O3596" s="5" t="s">
        <v>238</v>
      </c>
      <c r="P3596" s="5" t="s">
        <v>238</v>
      </c>
      <c r="Q3596" s="5" t="s">
        <v>239</v>
      </c>
      <c r="R3596" s="5" t="s">
        <v>270</v>
      </c>
      <c r="S3596" s="5" t="s">
        <v>238</v>
      </c>
      <c r="T3596" s="5" t="s">
        <v>238</v>
      </c>
      <c r="U3596" s="5" t="s">
        <v>238</v>
      </c>
      <c r="V3596" s="5" t="s">
        <v>238</v>
      </c>
      <c r="W3596" s="6" t="s">
        <v>238</v>
      </c>
      <c r="X3596" s="6" t="s">
        <v>238</v>
      </c>
      <c r="Y3596" s="5" t="s">
        <v>238</v>
      </c>
      <c r="Z3596" s="6" t="s">
        <v>238</v>
      </c>
      <c r="AA3596" s="6" t="s">
        <v>243</v>
      </c>
      <c r="AB3596" s="5" t="s">
        <v>486</v>
      </c>
      <c r="AC3596" s="5" t="s">
        <v>244</v>
      </c>
      <c r="AD3596" s="5" t="s">
        <v>245</v>
      </c>
      <c r="AE3596" s="5" t="s">
        <v>238</v>
      </c>
      <c r="AF3596" s="5" t="s">
        <v>238</v>
      </c>
      <c r="AG3596" s="5" t="s">
        <v>238</v>
      </c>
      <c r="AH3596" s="5" t="s">
        <v>238</v>
      </c>
      <c r="AI3596" s="5" t="s">
        <v>238</v>
      </c>
      <c r="AJ3596" s="5" t="s">
        <v>238</v>
      </c>
      <c r="AK3596" s="5" t="s">
        <v>238</v>
      </c>
      <c r="AL3596" s="5" t="s">
        <v>238</v>
      </c>
      <c r="AM3596" s="6" t="s">
        <v>238</v>
      </c>
      <c r="AN3596" s="6" t="s">
        <v>238</v>
      </c>
      <c r="AO3596" s="6" t="s">
        <v>238</v>
      </c>
      <c r="AP3596" s="6" t="s">
        <v>238</v>
      </c>
      <c r="AQ3596" s="5" t="s">
        <v>238</v>
      </c>
      <c r="AR3596" s="5" t="s">
        <v>488</v>
      </c>
      <c r="AS3596" s="5" t="s">
        <v>488</v>
      </c>
      <c r="AT3596" s="5" t="s">
        <v>246</v>
      </c>
      <c r="AU3596" s="5" t="s">
        <v>489</v>
      </c>
      <c r="AV3596" s="5" t="s">
        <v>247</v>
      </c>
      <c r="AW3596" s="5" t="s">
        <v>238</v>
      </c>
      <c r="AX3596" s="5" t="s">
        <v>249</v>
      </c>
      <c r="AY3596" s="5" t="s">
        <v>490</v>
      </c>
      <c r="BA3596" s="5" t="s">
        <v>238</v>
      </c>
      <c r="BC3596" s="5" t="s">
        <v>491</v>
      </c>
      <c r="BD3596" s="6" t="s">
        <v>492</v>
      </c>
      <c r="BE3596" s="5" t="s">
        <v>493</v>
      </c>
      <c r="BF3596" s="5" t="s">
        <v>493</v>
      </c>
      <c r="BG3596" s="5" t="s">
        <v>238</v>
      </c>
      <c r="BH3596" s="8">
        <f>1</f>
        <v>1</v>
      </c>
      <c r="BI3596" s="8">
        <f>1</f>
        <v>1</v>
      </c>
      <c r="BJ3596" s="5" t="s">
        <v>253</v>
      </c>
      <c r="BK3596" s="5" t="s">
        <v>254</v>
      </c>
      <c r="BL3596" s="5" t="s">
        <v>238</v>
      </c>
      <c r="BM3596" s="5" t="s">
        <v>238</v>
      </c>
      <c r="BN3596" s="5" t="s">
        <v>238</v>
      </c>
      <c r="BO3596" s="5" t="s">
        <v>238</v>
      </c>
      <c r="BP3596" s="5" t="s">
        <v>238</v>
      </c>
      <c r="BQ3596" s="5" t="s">
        <v>238</v>
      </c>
      <c r="BR3596" s="5" t="s">
        <v>238</v>
      </c>
      <c r="BS3596" s="5" t="s">
        <v>238</v>
      </c>
      <c r="BT3596" s="6" t="s">
        <v>238</v>
      </c>
      <c r="BU3596" s="5" t="s">
        <v>238</v>
      </c>
      <c r="BV3596" s="5" t="s">
        <v>238</v>
      </c>
      <c r="BW3596" s="5" t="s">
        <v>238</v>
      </c>
      <c r="BX3596" s="5" t="s">
        <v>254</v>
      </c>
      <c r="BY3596" s="5" t="s">
        <v>238</v>
      </c>
      <c r="BZ3596" s="5" t="s">
        <v>238</v>
      </c>
      <c r="CA3596" s="5" t="s">
        <v>238</v>
      </c>
      <c r="CB3596" s="5" t="s">
        <v>238</v>
      </c>
      <c r="CC3596" s="5" t="s">
        <v>238</v>
      </c>
      <c r="CD3596" s="5" t="s">
        <v>273</v>
      </c>
      <c r="CE3596" s="5" t="s">
        <v>256</v>
      </c>
      <c r="CF3596" s="5" t="s">
        <v>238</v>
      </c>
      <c r="CH3596" s="5" t="s">
        <v>494</v>
      </c>
      <c r="CI3596" s="6" t="s">
        <v>257</v>
      </c>
      <c r="CJ3596" s="5" t="s">
        <v>495</v>
      </c>
      <c r="CK3596" s="5" t="s">
        <v>258</v>
      </c>
      <c r="CL3596" s="5" t="s">
        <v>496</v>
      </c>
      <c r="CM3596" s="5" t="s">
        <v>238</v>
      </c>
      <c r="CN3596" s="5">
        <v>0</v>
      </c>
      <c r="CO3596" s="5" t="s">
        <v>497</v>
      </c>
      <c r="CP3596" s="5" t="s">
        <v>260</v>
      </c>
      <c r="CQ3596" s="5" t="s">
        <v>260</v>
      </c>
      <c r="CR3596" s="5" t="s">
        <v>261</v>
      </c>
      <c r="CS3596" s="5" t="s">
        <v>498</v>
      </c>
      <c r="CT3596" s="7">
        <f>1</f>
        <v>1</v>
      </c>
      <c r="CU3596" s="8">
        <f>1</f>
        <v>1</v>
      </c>
      <c r="CV3596" s="8">
        <f>0</f>
        <v>0</v>
      </c>
      <c r="CX3596" s="8">
        <f>1</f>
        <v>1</v>
      </c>
      <c r="CY3596" s="8">
        <f>1</f>
        <v>1</v>
      </c>
      <c r="CZ3596" s="8" t="s">
        <v>238</v>
      </c>
      <c r="DA3596" s="5" t="s">
        <v>238</v>
      </c>
      <c r="DB3596" s="5" t="s">
        <v>238</v>
      </c>
      <c r="DC3596" s="5" t="s">
        <v>238</v>
      </c>
      <c r="DD3596" s="5" t="s">
        <v>238</v>
      </c>
      <c r="DE3596" s="8">
        <f>0</f>
        <v>0</v>
      </c>
      <c r="DG3596" s="5" t="s">
        <v>238</v>
      </c>
      <c r="DH3596" s="5" t="s">
        <v>238</v>
      </c>
      <c r="DI3596" s="5" t="s">
        <v>238</v>
      </c>
      <c r="DJ3596" s="5" t="s">
        <v>238</v>
      </c>
      <c r="DK3596" s="5" t="s">
        <v>238</v>
      </c>
      <c r="DL3596" s="5" t="s">
        <v>238</v>
      </c>
      <c r="DM3596" s="8" t="s">
        <v>238</v>
      </c>
      <c r="DN3596" s="5" t="s">
        <v>238</v>
      </c>
      <c r="DO3596" s="5" t="s">
        <v>238</v>
      </c>
      <c r="DP3596" s="5" t="s">
        <v>490</v>
      </c>
      <c r="DQ3596" s="5" t="s">
        <v>490</v>
      </c>
      <c r="DR3596" s="5" t="s">
        <v>238</v>
      </c>
      <c r="DS3596" s="5" t="s">
        <v>238</v>
      </c>
      <c r="DT3596" s="5" t="s">
        <v>500</v>
      </c>
      <c r="DU3596" s="5" t="s">
        <v>994</v>
      </c>
      <c r="DV3596" s="5" t="s">
        <v>238</v>
      </c>
      <c r="DW3596" s="5" t="s">
        <v>238</v>
      </c>
      <c r="DX3596" s="5" t="s">
        <v>238</v>
      </c>
      <c r="DY3596" s="5" t="s">
        <v>238</v>
      </c>
      <c r="DZ3596" s="5" t="s">
        <v>238</v>
      </c>
      <c r="EA3596" s="5" t="s">
        <v>238</v>
      </c>
      <c r="EB3596" s="5" t="s">
        <v>238</v>
      </c>
      <c r="EC3596" s="5" t="s">
        <v>238</v>
      </c>
      <c r="ED3596" s="5" t="s">
        <v>238</v>
      </c>
      <c r="EE3596" s="5" t="s">
        <v>238</v>
      </c>
      <c r="EF3596" s="5" t="s">
        <v>238</v>
      </c>
      <c r="EG3596" s="5" t="s">
        <v>238</v>
      </c>
      <c r="EH3596" s="5" t="s">
        <v>238</v>
      </c>
      <c r="EI3596" s="5" t="s">
        <v>238</v>
      </c>
      <c r="EJ3596" s="5" t="s">
        <v>238</v>
      </c>
      <c r="EK3596" s="5" t="s">
        <v>238</v>
      </c>
      <c r="EL3596" s="5" t="s">
        <v>238</v>
      </c>
      <c r="EM3596" s="5" t="s">
        <v>238</v>
      </c>
      <c r="EN3596" s="5" t="s">
        <v>238</v>
      </c>
      <c r="EO3596" s="5" t="s">
        <v>238</v>
      </c>
      <c r="EP3596" s="5" t="s">
        <v>238</v>
      </c>
      <c r="EQ3596" s="5" t="s">
        <v>238</v>
      </c>
      <c r="ER3596" s="5" t="s">
        <v>238</v>
      </c>
      <c r="ES3596" s="5" t="s">
        <v>238</v>
      </c>
      <c r="ET3596" s="5" t="s">
        <v>238</v>
      </c>
      <c r="EU3596" s="5" t="s">
        <v>238</v>
      </c>
      <c r="EV3596" s="5" t="s">
        <v>238</v>
      </c>
      <c r="EW3596" s="5" t="s">
        <v>238</v>
      </c>
      <c r="EX3596" s="5" t="s">
        <v>238</v>
      </c>
      <c r="EY3596" s="5" t="s">
        <v>238</v>
      </c>
      <c r="EZ3596" s="5" t="s">
        <v>238</v>
      </c>
      <c r="FA3596" s="5" t="s">
        <v>238</v>
      </c>
      <c r="FB3596" s="5" t="s">
        <v>238</v>
      </c>
      <c r="FC3596" s="5" t="s">
        <v>238</v>
      </c>
      <c r="FD3596" s="5" t="s">
        <v>238</v>
      </c>
      <c r="FE3596" s="5" t="s">
        <v>238</v>
      </c>
      <c r="FF3596" s="5" t="s">
        <v>238</v>
      </c>
      <c r="FG3596" s="5" t="s">
        <v>238</v>
      </c>
      <c r="FH3596" s="5" t="s">
        <v>238</v>
      </c>
      <c r="FI3596" s="5" t="s">
        <v>238</v>
      </c>
      <c r="FJ3596" s="5" t="s">
        <v>238</v>
      </c>
      <c r="FK3596" s="5" t="s">
        <v>238</v>
      </c>
      <c r="FL3596" s="5" t="s">
        <v>238</v>
      </c>
      <c r="FM3596" s="5" t="s">
        <v>238</v>
      </c>
      <c r="FN3596" s="5" t="s">
        <v>238</v>
      </c>
      <c r="FO3596" s="5" t="s">
        <v>238</v>
      </c>
      <c r="FP3596" s="5" t="s">
        <v>238</v>
      </c>
      <c r="FQ3596" s="5" t="s">
        <v>238</v>
      </c>
      <c r="FR3596" s="5" t="s">
        <v>238</v>
      </c>
      <c r="FS3596" s="5" t="s">
        <v>238</v>
      </c>
      <c r="FT3596" s="5" t="s">
        <v>238</v>
      </c>
      <c r="FU3596" s="5" t="s">
        <v>238</v>
      </c>
      <c r="FV3596" s="5" t="s">
        <v>238</v>
      </c>
      <c r="FW3596" s="5" t="s">
        <v>238</v>
      </c>
      <c r="FX3596" s="5" t="s">
        <v>238</v>
      </c>
      <c r="FY3596" s="5" t="s">
        <v>238</v>
      </c>
      <c r="FZ3596" s="5" t="s">
        <v>238</v>
      </c>
      <c r="GA3596" s="5" t="s">
        <v>238</v>
      </c>
      <c r="GB3596" s="5" t="s">
        <v>238</v>
      </c>
      <c r="GC3596" s="5" t="s">
        <v>238</v>
      </c>
      <c r="GD3596" s="5" t="s">
        <v>238</v>
      </c>
      <c r="GE3596" s="5" t="s">
        <v>238</v>
      </c>
      <c r="GF3596" s="5" t="s">
        <v>238</v>
      </c>
      <c r="GG3596" s="5" t="s">
        <v>238</v>
      </c>
      <c r="GH3596" s="5" t="s">
        <v>238</v>
      </c>
      <c r="GI3596" s="5" t="s">
        <v>238</v>
      </c>
      <c r="GJ3596" s="5" t="s">
        <v>238</v>
      </c>
      <c r="GK3596" s="5" t="s">
        <v>238</v>
      </c>
      <c r="GL3596" s="5" t="s">
        <v>238</v>
      </c>
      <c r="GM3596" s="5" t="s">
        <v>238</v>
      </c>
      <c r="GN3596" s="5" t="s">
        <v>238</v>
      </c>
      <c r="GO3596" s="5" t="s">
        <v>238</v>
      </c>
      <c r="GP3596" s="5" t="s">
        <v>238</v>
      </c>
      <c r="GQ3596" s="5" t="s">
        <v>238</v>
      </c>
      <c r="GR3596" s="5" t="s">
        <v>238</v>
      </c>
      <c r="GS3596" s="5" t="s">
        <v>238</v>
      </c>
      <c r="GT3596" s="5" t="s">
        <v>238</v>
      </c>
      <c r="GU3596" s="5" t="s">
        <v>238</v>
      </c>
      <c r="GV3596" s="5" t="s">
        <v>238</v>
      </c>
      <c r="GW3596" s="5" t="s">
        <v>238</v>
      </c>
      <c r="GX3596" s="5" t="s">
        <v>238</v>
      </c>
      <c r="GY3596" s="5" t="s">
        <v>238</v>
      </c>
      <c r="GZ3596" s="5" t="s">
        <v>238</v>
      </c>
      <c r="HA3596" s="5" t="s">
        <v>238</v>
      </c>
      <c r="HB3596" s="5" t="s">
        <v>238</v>
      </c>
      <c r="HC3596" s="5" t="s">
        <v>238</v>
      </c>
      <c r="HD3596" s="5" t="s">
        <v>238</v>
      </c>
      <c r="HE3596" s="5" t="s">
        <v>238</v>
      </c>
      <c r="HF3596" s="5" t="s">
        <v>238</v>
      </c>
      <c r="HG3596" s="5" t="s">
        <v>238</v>
      </c>
      <c r="HH3596" s="5" t="s">
        <v>238</v>
      </c>
      <c r="HI3596" s="5" t="s">
        <v>238</v>
      </c>
      <c r="HJ3596" s="5" t="s">
        <v>238</v>
      </c>
      <c r="HK3596" s="5" t="s">
        <v>238</v>
      </c>
      <c r="HL3596" s="5" t="s">
        <v>238</v>
      </c>
      <c r="HM3596" s="5" t="s">
        <v>264</v>
      </c>
      <c r="HN3596" s="5" t="s">
        <v>238</v>
      </c>
      <c r="HO3596" s="5" t="s">
        <v>238</v>
      </c>
      <c r="HP3596" s="5" t="s">
        <v>238</v>
      </c>
      <c r="HQ3596" s="5" t="s">
        <v>238</v>
      </c>
      <c r="HR3596" s="5" t="s">
        <v>238</v>
      </c>
      <c r="HS3596" s="5" t="s">
        <v>238</v>
      </c>
      <c r="HT3596" s="5" t="s">
        <v>238</v>
      </c>
      <c r="HU3596" s="5" t="s">
        <v>238</v>
      </c>
      <c r="HV3596" s="5" t="s">
        <v>238</v>
      </c>
      <c r="HW3596" s="5" t="s">
        <v>238</v>
      </c>
      <c r="HX3596" s="5" t="s">
        <v>238</v>
      </c>
      <c r="HY3596" s="5" t="s">
        <v>238</v>
      </c>
      <c r="HZ3596" s="5" t="s">
        <v>238</v>
      </c>
      <c r="IA3596" s="5" t="s">
        <v>238</v>
      </c>
      <c r="IB3596" s="5" t="s">
        <v>238</v>
      </c>
      <c r="IC3596" s="5" t="s">
        <v>238</v>
      </c>
      <c r="ID3596" s="5" t="s">
        <v>238</v>
      </c>
    </row>
    <row r="3597" spans="1:238" x14ac:dyDescent="0.4">
      <c r="A3597" s="5">
        <v>9315</v>
      </c>
      <c r="B3597" s="5">
        <v>1</v>
      </c>
      <c r="C3597" s="5">
        <v>1</v>
      </c>
      <c r="D3597" s="5" t="s">
        <v>484</v>
      </c>
      <c r="E3597" s="5" t="s">
        <v>485</v>
      </c>
      <c r="F3597" s="5" t="s">
        <v>248</v>
      </c>
      <c r="G3597" s="5" t="s">
        <v>5104</v>
      </c>
      <c r="H3597" s="6" t="s">
        <v>5105</v>
      </c>
      <c r="I3597" s="8">
        <f>1</f>
        <v>1</v>
      </c>
      <c r="J3597" s="5" t="s">
        <v>499</v>
      </c>
      <c r="K3597" s="8">
        <f>1</f>
        <v>1</v>
      </c>
      <c r="L3597" s="6" t="s">
        <v>242</v>
      </c>
      <c r="M3597" s="5" t="s">
        <v>267</v>
      </c>
      <c r="N3597" s="5" t="s">
        <v>482</v>
      </c>
      <c r="O3597" s="5" t="s">
        <v>238</v>
      </c>
      <c r="P3597" s="5" t="s">
        <v>238</v>
      </c>
      <c r="Q3597" s="5" t="s">
        <v>239</v>
      </c>
      <c r="R3597" s="5" t="s">
        <v>270</v>
      </c>
      <c r="S3597" s="5" t="s">
        <v>238</v>
      </c>
      <c r="T3597" s="5" t="s">
        <v>238</v>
      </c>
      <c r="U3597" s="5" t="s">
        <v>238</v>
      </c>
      <c r="V3597" s="5" t="s">
        <v>238</v>
      </c>
      <c r="W3597" s="6" t="s">
        <v>238</v>
      </c>
      <c r="X3597" s="6" t="s">
        <v>238</v>
      </c>
      <c r="Y3597" s="5" t="s">
        <v>238</v>
      </c>
      <c r="Z3597" s="6" t="s">
        <v>238</v>
      </c>
      <c r="AA3597" s="6" t="s">
        <v>243</v>
      </c>
      <c r="AB3597" s="5" t="s">
        <v>486</v>
      </c>
      <c r="AC3597" s="5" t="s">
        <v>244</v>
      </c>
      <c r="AD3597" s="5" t="s">
        <v>245</v>
      </c>
      <c r="AE3597" s="5" t="s">
        <v>238</v>
      </c>
      <c r="AF3597" s="5" t="s">
        <v>238</v>
      </c>
      <c r="AG3597" s="5" t="s">
        <v>238</v>
      </c>
      <c r="AH3597" s="5" t="s">
        <v>238</v>
      </c>
      <c r="AI3597" s="5" t="s">
        <v>238</v>
      </c>
      <c r="AJ3597" s="5" t="s">
        <v>238</v>
      </c>
      <c r="AK3597" s="5" t="s">
        <v>238</v>
      </c>
      <c r="AL3597" s="5" t="s">
        <v>238</v>
      </c>
      <c r="AM3597" s="6" t="s">
        <v>238</v>
      </c>
      <c r="AN3597" s="6" t="s">
        <v>238</v>
      </c>
      <c r="AO3597" s="6" t="s">
        <v>238</v>
      </c>
      <c r="AP3597" s="6" t="s">
        <v>238</v>
      </c>
      <c r="AQ3597" s="5" t="s">
        <v>238</v>
      </c>
      <c r="AR3597" s="5" t="s">
        <v>488</v>
      </c>
      <c r="AS3597" s="5" t="s">
        <v>488</v>
      </c>
      <c r="AT3597" s="5" t="s">
        <v>246</v>
      </c>
      <c r="AU3597" s="5" t="s">
        <v>489</v>
      </c>
      <c r="AV3597" s="5" t="s">
        <v>247</v>
      </c>
      <c r="AW3597" s="5" t="s">
        <v>238</v>
      </c>
      <c r="AX3597" s="5" t="s">
        <v>249</v>
      </c>
      <c r="AY3597" s="5" t="s">
        <v>490</v>
      </c>
      <c r="BA3597" s="5" t="s">
        <v>238</v>
      </c>
      <c r="BC3597" s="5" t="s">
        <v>491</v>
      </c>
      <c r="BD3597" s="6" t="s">
        <v>492</v>
      </c>
      <c r="BE3597" s="5" t="s">
        <v>493</v>
      </c>
      <c r="BF3597" s="5" t="s">
        <v>493</v>
      </c>
      <c r="BG3597" s="5" t="s">
        <v>238</v>
      </c>
      <c r="BH3597" s="8">
        <f>1</f>
        <v>1</v>
      </c>
      <c r="BI3597" s="8">
        <f>1</f>
        <v>1</v>
      </c>
      <c r="BJ3597" s="5" t="s">
        <v>253</v>
      </c>
      <c r="BK3597" s="5" t="s">
        <v>254</v>
      </c>
      <c r="BL3597" s="5" t="s">
        <v>238</v>
      </c>
      <c r="BM3597" s="5" t="s">
        <v>238</v>
      </c>
      <c r="BN3597" s="5" t="s">
        <v>238</v>
      </c>
      <c r="BO3597" s="5" t="s">
        <v>238</v>
      </c>
      <c r="BP3597" s="5" t="s">
        <v>238</v>
      </c>
      <c r="BQ3597" s="5" t="s">
        <v>238</v>
      </c>
      <c r="BR3597" s="5" t="s">
        <v>238</v>
      </c>
      <c r="BS3597" s="5" t="s">
        <v>238</v>
      </c>
      <c r="BT3597" s="6" t="s">
        <v>238</v>
      </c>
      <c r="BU3597" s="5" t="s">
        <v>238</v>
      </c>
      <c r="BV3597" s="5" t="s">
        <v>238</v>
      </c>
      <c r="BW3597" s="5" t="s">
        <v>238</v>
      </c>
      <c r="BX3597" s="5" t="s">
        <v>254</v>
      </c>
      <c r="BY3597" s="5" t="s">
        <v>238</v>
      </c>
      <c r="BZ3597" s="5" t="s">
        <v>238</v>
      </c>
      <c r="CA3597" s="5" t="s">
        <v>238</v>
      </c>
      <c r="CB3597" s="5" t="s">
        <v>238</v>
      </c>
      <c r="CC3597" s="5" t="s">
        <v>238</v>
      </c>
      <c r="CD3597" s="5" t="s">
        <v>273</v>
      </c>
      <c r="CE3597" s="5" t="s">
        <v>256</v>
      </c>
      <c r="CF3597" s="5" t="s">
        <v>238</v>
      </c>
      <c r="CH3597" s="5" t="s">
        <v>494</v>
      </c>
      <c r="CI3597" s="6" t="s">
        <v>257</v>
      </c>
      <c r="CJ3597" s="5" t="s">
        <v>495</v>
      </c>
      <c r="CK3597" s="5" t="s">
        <v>258</v>
      </c>
      <c r="CL3597" s="5" t="s">
        <v>496</v>
      </c>
      <c r="CM3597" s="5" t="s">
        <v>238</v>
      </c>
      <c r="CN3597" s="5">
        <v>0</v>
      </c>
      <c r="CO3597" s="5" t="s">
        <v>497</v>
      </c>
      <c r="CP3597" s="5" t="s">
        <v>260</v>
      </c>
      <c r="CQ3597" s="5" t="s">
        <v>260</v>
      </c>
      <c r="CR3597" s="5" t="s">
        <v>261</v>
      </c>
      <c r="CS3597" s="5" t="s">
        <v>498</v>
      </c>
      <c r="CT3597" s="7">
        <f>1</f>
        <v>1</v>
      </c>
      <c r="CU3597" s="8">
        <f>1</f>
        <v>1</v>
      </c>
      <c r="CV3597" s="8">
        <f>0</f>
        <v>0</v>
      </c>
      <c r="CX3597" s="8">
        <f>1</f>
        <v>1</v>
      </c>
      <c r="CY3597" s="8">
        <f>1</f>
        <v>1</v>
      </c>
      <c r="CZ3597" s="8" t="s">
        <v>238</v>
      </c>
      <c r="DA3597" s="5" t="s">
        <v>238</v>
      </c>
      <c r="DB3597" s="5" t="s">
        <v>238</v>
      </c>
      <c r="DC3597" s="5" t="s">
        <v>238</v>
      </c>
      <c r="DD3597" s="5" t="s">
        <v>238</v>
      </c>
      <c r="DE3597" s="8">
        <f>0</f>
        <v>0</v>
      </c>
      <c r="DG3597" s="5" t="s">
        <v>238</v>
      </c>
      <c r="DH3597" s="5" t="s">
        <v>238</v>
      </c>
      <c r="DI3597" s="5" t="s">
        <v>238</v>
      </c>
      <c r="DJ3597" s="5" t="s">
        <v>238</v>
      </c>
      <c r="DK3597" s="5" t="s">
        <v>238</v>
      </c>
      <c r="DL3597" s="5" t="s">
        <v>238</v>
      </c>
      <c r="DM3597" s="8" t="s">
        <v>238</v>
      </c>
      <c r="DN3597" s="5" t="s">
        <v>238</v>
      </c>
      <c r="DO3597" s="5" t="s">
        <v>238</v>
      </c>
      <c r="DP3597" s="5" t="s">
        <v>490</v>
      </c>
      <c r="DQ3597" s="5" t="s">
        <v>490</v>
      </c>
      <c r="DR3597" s="5" t="s">
        <v>238</v>
      </c>
      <c r="DS3597" s="5" t="s">
        <v>238</v>
      </c>
      <c r="DT3597" s="5" t="s">
        <v>500</v>
      </c>
      <c r="DU3597" s="5" t="s">
        <v>1299</v>
      </c>
      <c r="DV3597" s="5" t="s">
        <v>238</v>
      </c>
      <c r="DW3597" s="5" t="s">
        <v>238</v>
      </c>
      <c r="DX3597" s="5" t="s">
        <v>238</v>
      </c>
      <c r="DY3597" s="5" t="s">
        <v>238</v>
      </c>
      <c r="DZ3597" s="5" t="s">
        <v>238</v>
      </c>
      <c r="EA3597" s="5" t="s">
        <v>238</v>
      </c>
      <c r="EB3597" s="5" t="s">
        <v>238</v>
      </c>
      <c r="EC3597" s="5" t="s">
        <v>238</v>
      </c>
      <c r="ED3597" s="5" t="s">
        <v>238</v>
      </c>
      <c r="EE3597" s="5" t="s">
        <v>238</v>
      </c>
      <c r="EF3597" s="5" t="s">
        <v>238</v>
      </c>
      <c r="EG3597" s="5" t="s">
        <v>238</v>
      </c>
      <c r="EH3597" s="5" t="s">
        <v>238</v>
      </c>
      <c r="EI3597" s="5" t="s">
        <v>238</v>
      </c>
      <c r="EJ3597" s="5" t="s">
        <v>238</v>
      </c>
      <c r="EK3597" s="5" t="s">
        <v>238</v>
      </c>
      <c r="EL3597" s="5" t="s">
        <v>238</v>
      </c>
      <c r="EM3597" s="5" t="s">
        <v>238</v>
      </c>
      <c r="EN3597" s="5" t="s">
        <v>238</v>
      </c>
      <c r="EO3597" s="5" t="s">
        <v>238</v>
      </c>
      <c r="EP3597" s="5" t="s">
        <v>238</v>
      </c>
      <c r="EQ3597" s="5" t="s">
        <v>238</v>
      </c>
      <c r="ER3597" s="5" t="s">
        <v>238</v>
      </c>
      <c r="ES3597" s="5" t="s">
        <v>238</v>
      </c>
      <c r="ET3597" s="5" t="s">
        <v>238</v>
      </c>
      <c r="EU3597" s="5" t="s">
        <v>238</v>
      </c>
      <c r="EV3597" s="5" t="s">
        <v>238</v>
      </c>
      <c r="EW3597" s="5" t="s">
        <v>238</v>
      </c>
      <c r="EX3597" s="5" t="s">
        <v>238</v>
      </c>
      <c r="EY3597" s="5" t="s">
        <v>238</v>
      </c>
      <c r="EZ3597" s="5" t="s">
        <v>238</v>
      </c>
      <c r="FA3597" s="5" t="s">
        <v>238</v>
      </c>
      <c r="FB3597" s="5" t="s">
        <v>238</v>
      </c>
      <c r="FC3597" s="5" t="s">
        <v>238</v>
      </c>
      <c r="FD3597" s="5" t="s">
        <v>238</v>
      </c>
      <c r="FE3597" s="5" t="s">
        <v>238</v>
      </c>
      <c r="FF3597" s="5" t="s">
        <v>238</v>
      </c>
      <c r="FG3597" s="5" t="s">
        <v>238</v>
      </c>
      <c r="FH3597" s="5" t="s">
        <v>238</v>
      </c>
      <c r="FI3597" s="5" t="s">
        <v>238</v>
      </c>
      <c r="FJ3597" s="5" t="s">
        <v>238</v>
      </c>
      <c r="FK3597" s="5" t="s">
        <v>238</v>
      </c>
      <c r="FL3597" s="5" t="s">
        <v>238</v>
      </c>
      <c r="FM3597" s="5" t="s">
        <v>238</v>
      </c>
      <c r="FN3597" s="5" t="s">
        <v>238</v>
      </c>
      <c r="FO3597" s="5" t="s">
        <v>238</v>
      </c>
      <c r="FP3597" s="5" t="s">
        <v>238</v>
      </c>
      <c r="FQ3597" s="5" t="s">
        <v>238</v>
      </c>
      <c r="FR3597" s="5" t="s">
        <v>238</v>
      </c>
      <c r="FS3597" s="5" t="s">
        <v>238</v>
      </c>
      <c r="FT3597" s="5" t="s">
        <v>238</v>
      </c>
      <c r="FU3597" s="5" t="s">
        <v>238</v>
      </c>
      <c r="FV3597" s="5" t="s">
        <v>238</v>
      </c>
      <c r="FW3597" s="5" t="s">
        <v>238</v>
      </c>
      <c r="FX3597" s="5" t="s">
        <v>238</v>
      </c>
      <c r="FY3597" s="5" t="s">
        <v>238</v>
      </c>
      <c r="FZ3597" s="5" t="s">
        <v>238</v>
      </c>
      <c r="GA3597" s="5" t="s">
        <v>238</v>
      </c>
      <c r="GB3597" s="5" t="s">
        <v>238</v>
      </c>
      <c r="GC3597" s="5" t="s">
        <v>238</v>
      </c>
      <c r="GD3597" s="5" t="s">
        <v>238</v>
      </c>
      <c r="GE3597" s="5" t="s">
        <v>238</v>
      </c>
      <c r="GF3597" s="5" t="s">
        <v>238</v>
      </c>
      <c r="GG3597" s="5" t="s">
        <v>238</v>
      </c>
      <c r="GH3597" s="5" t="s">
        <v>238</v>
      </c>
      <c r="GI3597" s="5" t="s">
        <v>238</v>
      </c>
      <c r="GJ3597" s="5" t="s">
        <v>238</v>
      </c>
      <c r="GK3597" s="5" t="s">
        <v>238</v>
      </c>
      <c r="GL3597" s="5" t="s">
        <v>238</v>
      </c>
      <c r="GM3597" s="5" t="s">
        <v>238</v>
      </c>
      <c r="GN3597" s="5" t="s">
        <v>238</v>
      </c>
      <c r="GO3597" s="5" t="s">
        <v>238</v>
      </c>
      <c r="GP3597" s="5" t="s">
        <v>238</v>
      </c>
      <c r="GQ3597" s="5" t="s">
        <v>238</v>
      </c>
      <c r="GR3597" s="5" t="s">
        <v>238</v>
      </c>
      <c r="GS3597" s="5" t="s">
        <v>238</v>
      </c>
      <c r="GT3597" s="5" t="s">
        <v>238</v>
      </c>
      <c r="GU3597" s="5" t="s">
        <v>238</v>
      </c>
      <c r="GV3597" s="5" t="s">
        <v>238</v>
      </c>
      <c r="GW3597" s="5" t="s">
        <v>238</v>
      </c>
      <c r="GX3597" s="5" t="s">
        <v>238</v>
      </c>
      <c r="GY3597" s="5" t="s">
        <v>238</v>
      </c>
      <c r="GZ3597" s="5" t="s">
        <v>238</v>
      </c>
      <c r="HA3597" s="5" t="s">
        <v>238</v>
      </c>
      <c r="HB3597" s="5" t="s">
        <v>238</v>
      </c>
      <c r="HC3597" s="5" t="s">
        <v>238</v>
      </c>
      <c r="HD3597" s="5" t="s">
        <v>238</v>
      </c>
      <c r="HE3597" s="5" t="s">
        <v>238</v>
      </c>
      <c r="HF3597" s="5" t="s">
        <v>238</v>
      </c>
      <c r="HG3597" s="5" t="s">
        <v>238</v>
      </c>
      <c r="HH3597" s="5" t="s">
        <v>238</v>
      </c>
      <c r="HI3597" s="5" t="s">
        <v>238</v>
      </c>
      <c r="HJ3597" s="5" t="s">
        <v>238</v>
      </c>
      <c r="HK3597" s="5" t="s">
        <v>238</v>
      </c>
      <c r="HL3597" s="5" t="s">
        <v>238</v>
      </c>
      <c r="HM3597" s="5" t="s">
        <v>264</v>
      </c>
      <c r="HN3597" s="5" t="s">
        <v>238</v>
      </c>
      <c r="HO3597" s="5" t="s">
        <v>238</v>
      </c>
      <c r="HP3597" s="5" t="s">
        <v>238</v>
      </c>
      <c r="HQ3597" s="5" t="s">
        <v>238</v>
      </c>
      <c r="HR3597" s="5" t="s">
        <v>238</v>
      </c>
      <c r="HS3597" s="5" t="s">
        <v>238</v>
      </c>
      <c r="HT3597" s="5" t="s">
        <v>238</v>
      </c>
      <c r="HU3597" s="5" t="s">
        <v>238</v>
      </c>
      <c r="HV3597" s="5" t="s">
        <v>238</v>
      </c>
      <c r="HW3597" s="5" t="s">
        <v>238</v>
      </c>
      <c r="HX3597" s="5" t="s">
        <v>238</v>
      </c>
      <c r="HY3597" s="5" t="s">
        <v>238</v>
      </c>
      <c r="HZ3597" s="5" t="s">
        <v>238</v>
      </c>
      <c r="IA3597" s="5" t="s">
        <v>238</v>
      </c>
      <c r="IB3597" s="5" t="s">
        <v>238</v>
      </c>
      <c r="IC3597" s="5" t="s">
        <v>238</v>
      </c>
      <c r="ID3597" s="5" t="s">
        <v>238</v>
      </c>
    </row>
    <row r="3598" spans="1:238" x14ac:dyDescent="0.4">
      <c r="A3598" s="5">
        <v>9316</v>
      </c>
      <c r="B3598" s="5">
        <v>1</v>
      </c>
      <c r="C3598" s="5">
        <v>1</v>
      </c>
      <c r="D3598" s="5" t="s">
        <v>484</v>
      </c>
      <c r="E3598" s="5" t="s">
        <v>485</v>
      </c>
      <c r="F3598" s="5" t="s">
        <v>248</v>
      </c>
      <c r="G3598" s="5" t="s">
        <v>4809</v>
      </c>
      <c r="H3598" s="6" t="s">
        <v>4810</v>
      </c>
      <c r="I3598" s="8">
        <f>1</f>
        <v>1</v>
      </c>
      <c r="J3598" s="5" t="s">
        <v>499</v>
      </c>
      <c r="K3598" s="8">
        <f>1</f>
        <v>1</v>
      </c>
      <c r="L3598" s="6" t="s">
        <v>242</v>
      </c>
      <c r="M3598" s="5" t="s">
        <v>267</v>
      </c>
      <c r="N3598" s="5" t="s">
        <v>482</v>
      </c>
      <c r="O3598" s="5" t="s">
        <v>238</v>
      </c>
      <c r="P3598" s="5" t="s">
        <v>238</v>
      </c>
      <c r="Q3598" s="5" t="s">
        <v>239</v>
      </c>
      <c r="R3598" s="5" t="s">
        <v>270</v>
      </c>
      <c r="S3598" s="5" t="s">
        <v>238</v>
      </c>
      <c r="T3598" s="5" t="s">
        <v>238</v>
      </c>
      <c r="U3598" s="5" t="s">
        <v>238</v>
      </c>
      <c r="V3598" s="5" t="s">
        <v>238</v>
      </c>
      <c r="W3598" s="6" t="s">
        <v>238</v>
      </c>
      <c r="X3598" s="6" t="s">
        <v>238</v>
      </c>
      <c r="Y3598" s="5" t="s">
        <v>238</v>
      </c>
      <c r="Z3598" s="6" t="s">
        <v>238</v>
      </c>
      <c r="AA3598" s="6" t="s">
        <v>243</v>
      </c>
      <c r="AB3598" s="5" t="s">
        <v>486</v>
      </c>
      <c r="AC3598" s="5" t="s">
        <v>244</v>
      </c>
      <c r="AD3598" s="5" t="s">
        <v>245</v>
      </c>
      <c r="AE3598" s="5" t="s">
        <v>238</v>
      </c>
      <c r="AF3598" s="5" t="s">
        <v>238</v>
      </c>
      <c r="AG3598" s="5" t="s">
        <v>238</v>
      </c>
      <c r="AH3598" s="5" t="s">
        <v>238</v>
      </c>
      <c r="AI3598" s="5" t="s">
        <v>238</v>
      </c>
      <c r="AJ3598" s="5" t="s">
        <v>238</v>
      </c>
      <c r="AK3598" s="5" t="s">
        <v>238</v>
      </c>
      <c r="AL3598" s="5" t="s">
        <v>238</v>
      </c>
      <c r="AM3598" s="6" t="s">
        <v>238</v>
      </c>
      <c r="AN3598" s="6" t="s">
        <v>238</v>
      </c>
      <c r="AO3598" s="6" t="s">
        <v>238</v>
      </c>
      <c r="AP3598" s="6" t="s">
        <v>238</v>
      </c>
      <c r="AQ3598" s="5" t="s">
        <v>238</v>
      </c>
      <c r="AR3598" s="5" t="s">
        <v>488</v>
      </c>
      <c r="AS3598" s="5" t="s">
        <v>488</v>
      </c>
      <c r="AT3598" s="5" t="s">
        <v>246</v>
      </c>
      <c r="AU3598" s="5" t="s">
        <v>489</v>
      </c>
      <c r="AV3598" s="5" t="s">
        <v>247</v>
      </c>
      <c r="AW3598" s="5" t="s">
        <v>238</v>
      </c>
      <c r="AX3598" s="5" t="s">
        <v>249</v>
      </c>
      <c r="AY3598" s="5" t="s">
        <v>490</v>
      </c>
      <c r="BA3598" s="5" t="s">
        <v>238</v>
      </c>
      <c r="BC3598" s="5" t="s">
        <v>491</v>
      </c>
      <c r="BD3598" s="6" t="s">
        <v>492</v>
      </c>
      <c r="BE3598" s="5" t="s">
        <v>493</v>
      </c>
      <c r="BF3598" s="5" t="s">
        <v>493</v>
      </c>
      <c r="BG3598" s="5" t="s">
        <v>238</v>
      </c>
      <c r="BH3598" s="8">
        <f>1</f>
        <v>1</v>
      </c>
      <c r="BI3598" s="8">
        <f>1</f>
        <v>1</v>
      </c>
      <c r="BJ3598" s="5" t="s">
        <v>253</v>
      </c>
      <c r="BK3598" s="5" t="s">
        <v>254</v>
      </c>
      <c r="BL3598" s="5" t="s">
        <v>238</v>
      </c>
      <c r="BM3598" s="5" t="s">
        <v>238</v>
      </c>
      <c r="BN3598" s="5" t="s">
        <v>238</v>
      </c>
      <c r="BO3598" s="5" t="s">
        <v>238</v>
      </c>
      <c r="BP3598" s="5" t="s">
        <v>238</v>
      </c>
      <c r="BQ3598" s="5" t="s">
        <v>238</v>
      </c>
      <c r="BR3598" s="5" t="s">
        <v>238</v>
      </c>
      <c r="BS3598" s="5" t="s">
        <v>238</v>
      </c>
      <c r="BT3598" s="6" t="s">
        <v>238</v>
      </c>
      <c r="BU3598" s="5" t="s">
        <v>238</v>
      </c>
      <c r="BV3598" s="5" t="s">
        <v>238</v>
      </c>
      <c r="BW3598" s="5" t="s">
        <v>238</v>
      </c>
      <c r="BX3598" s="5" t="s">
        <v>254</v>
      </c>
      <c r="BY3598" s="5" t="s">
        <v>238</v>
      </c>
      <c r="BZ3598" s="5" t="s">
        <v>238</v>
      </c>
      <c r="CA3598" s="5" t="s">
        <v>238</v>
      </c>
      <c r="CB3598" s="5" t="s">
        <v>238</v>
      </c>
      <c r="CC3598" s="5" t="s">
        <v>238</v>
      </c>
      <c r="CD3598" s="5" t="s">
        <v>273</v>
      </c>
      <c r="CE3598" s="5" t="s">
        <v>256</v>
      </c>
      <c r="CF3598" s="5" t="s">
        <v>238</v>
      </c>
      <c r="CH3598" s="5" t="s">
        <v>494</v>
      </c>
      <c r="CI3598" s="6" t="s">
        <v>257</v>
      </c>
      <c r="CJ3598" s="5" t="s">
        <v>495</v>
      </c>
      <c r="CK3598" s="5" t="s">
        <v>258</v>
      </c>
      <c r="CL3598" s="5" t="s">
        <v>496</v>
      </c>
      <c r="CM3598" s="5" t="s">
        <v>238</v>
      </c>
      <c r="CN3598" s="5">
        <v>0</v>
      </c>
      <c r="CO3598" s="5" t="s">
        <v>497</v>
      </c>
      <c r="CP3598" s="5" t="s">
        <v>260</v>
      </c>
      <c r="CQ3598" s="5" t="s">
        <v>260</v>
      </c>
      <c r="CR3598" s="5" t="s">
        <v>261</v>
      </c>
      <c r="CS3598" s="5" t="s">
        <v>498</v>
      </c>
      <c r="CT3598" s="7">
        <f>1</f>
        <v>1</v>
      </c>
      <c r="CU3598" s="8">
        <f>1</f>
        <v>1</v>
      </c>
      <c r="CV3598" s="8">
        <f>0</f>
        <v>0</v>
      </c>
      <c r="CX3598" s="8">
        <f>1</f>
        <v>1</v>
      </c>
      <c r="CY3598" s="8">
        <f>1</f>
        <v>1</v>
      </c>
      <c r="CZ3598" s="8" t="s">
        <v>238</v>
      </c>
      <c r="DA3598" s="5" t="s">
        <v>238</v>
      </c>
      <c r="DB3598" s="5" t="s">
        <v>238</v>
      </c>
      <c r="DC3598" s="5" t="s">
        <v>238</v>
      </c>
      <c r="DD3598" s="5" t="s">
        <v>238</v>
      </c>
      <c r="DE3598" s="8">
        <f>0</f>
        <v>0</v>
      </c>
      <c r="DG3598" s="5" t="s">
        <v>238</v>
      </c>
      <c r="DH3598" s="5" t="s">
        <v>238</v>
      </c>
      <c r="DI3598" s="5" t="s">
        <v>238</v>
      </c>
      <c r="DJ3598" s="5" t="s">
        <v>238</v>
      </c>
      <c r="DK3598" s="5" t="s">
        <v>238</v>
      </c>
      <c r="DL3598" s="5" t="s">
        <v>238</v>
      </c>
      <c r="DM3598" s="8" t="s">
        <v>238</v>
      </c>
      <c r="DN3598" s="5" t="s">
        <v>238</v>
      </c>
      <c r="DO3598" s="5" t="s">
        <v>238</v>
      </c>
      <c r="DP3598" s="5" t="s">
        <v>490</v>
      </c>
      <c r="DQ3598" s="5" t="s">
        <v>490</v>
      </c>
      <c r="DR3598" s="5" t="s">
        <v>238</v>
      </c>
      <c r="DS3598" s="5" t="s">
        <v>238</v>
      </c>
      <c r="DT3598" s="5" t="s">
        <v>500</v>
      </c>
      <c r="DU3598" s="5" t="s">
        <v>1007</v>
      </c>
      <c r="DV3598" s="5" t="s">
        <v>238</v>
      </c>
      <c r="DW3598" s="5" t="s">
        <v>238</v>
      </c>
      <c r="DX3598" s="5" t="s">
        <v>238</v>
      </c>
      <c r="DY3598" s="5" t="s">
        <v>238</v>
      </c>
      <c r="DZ3598" s="5" t="s">
        <v>238</v>
      </c>
      <c r="EA3598" s="5" t="s">
        <v>238</v>
      </c>
      <c r="EB3598" s="5" t="s">
        <v>238</v>
      </c>
      <c r="EC3598" s="5" t="s">
        <v>238</v>
      </c>
      <c r="ED3598" s="5" t="s">
        <v>238</v>
      </c>
      <c r="EE3598" s="5" t="s">
        <v>238</v>
      </c>
      <c r="EF3598" s="5" t="s">
        <v>238</v>
      </c>
      <c r="EG3598" s="5" t="s">
        <v>238</v>
      </c>
      <c r="EH3598" s="5" t="s">
        <v>238</v>
      </c>
      <c r="EI3598" s="5" t="s">
        <v>238</v>
      </c>
      <c r="EJ3598" s="5" t="s">
        <v>238</v>
      </c>
      <c r="EK3598" s="5" t="s">
        <v>238</v>
      </c>
      <c r="EL3598" s="5" t="s">
        <v>238</v>
      </c>
      <c r="EM3598" s="5" t="s">
        <v>238</v>
      </c>
      <c r="EN3598" s="5" t="s">
        <v>238</v>
      </c>
      <c r="EO3598" s="5" t="s">
        <v>238</v>
      </c>
      <c r="EP3598" s="5" t="s">
        <v>238</v>
      </c>
      <c r="EQ3598" s="5" t="s">
        <v>238</v>
      </c>
      <c r="ER3598" s="5" t="s">
        <v>238</v>
      </c>
      <c r="ES3598" s="5" t="s">
        <v>238</v>
      </c>
      <c r="ET3598" s="5" t="s">
        <v>238</v>
      </c>
      <c r="EU3598" s="5" t="s">
        <v>238</v>
      </c>
      <c r="EV3598" s="5" t="s">
        <v>238</v>
      </c>
      <c r="EW3598" s="5" t="s">
        <v>238</v>
      </c>
      <c r="EX3598" s="5" t="s">
        <v>238</v>
      </c>
      <c r="EY3598" s="5" t="s">
        <v>238</v>
      </c>
      <c r="EZ3598" s="5" t="s">
        <v>238</v>
      </c>
      <c r="FA3598" s="5" t="s">
        <v>238</v>
      </c>
      <c r="FB3598" s="5" t="s">
        <v>238</v>
      </c>
      <c r="FC3598" s="5" t="s">
        <v>238</v>
      </c>
      <c r="FD3598" s="5" t="s">
        <v>238</v>
      </c>
      <c r="FE3598" s="5" t="s">
        <v>238</v>
      </c>
      <c r="FF3598" s="5" t="s">
        <v>238</v>
      </c>
      <c r="FG3598" s="5" t="s">
        <v>238</v>
      </c>
      <c r="FH3598" s="5" t="s">
        <v>238</v>
      </c>
      <c r="FI3598" s="5" t="s">
        <v>238</v>
      </c>
      <c r="FJ3598" s="5" t="s">
        <v>238</v>
      </c>
      <c r="FK3598" s="5" t="s">
        <v>238</v>
      </c>
      <c r="FL3598" s="5" t="s">
        <v>238</v>
      </c>
      <c r="FM3598" s="5" t="s">
        <v>238</v>
      </c>
      <c r="FN3598" s="5" t="s">
        <v>238</v>
      </c>
      <c r="FO3598" s="5" t="s">
        <v>238</v>
      </c>
      <c r="FP3598" s="5" t="s">
        <v>238</v>
      </c>
      <c r="FQ3598" s="5" t="s">
        <v>238</v>
      </c>
      <c r="FR3598" s="5" t="s">
        <v>238</v>
      </c>
      <c r="FS3598" s="5" t="s">
        <v>238</v>
      </c>
      <c r="FT3598" s="5" t="s">
        <v>238</v>
      </c>
      <c r="FU3598" s="5" t="s">
        <v>238</v>
      </c>
      <c r="FV3598" s="5" t="s">
        <v>238</v>
      </c>
      <c r="FW3598" s="5" t="s">
        <v>238</v>
      </c>
      <c r="FX3598" s="5" t="s">
        <v>238</v>
      </c>
      <c r="FY3598" s="5" t="s">
        <v>238</v>
      </c>
      <c r="FZ3598" s="5" t="s">
        <v>238</v>
      </c>
      <c r="GA3598" s="5" t="s">
        <v>238</v>
      </c>
      <c r="GB3598" s="5" t="s">
        <v>238</v>
      </c>
      <c r="GC3598" s="5" t="s">
        <v>238</v>
      </c>
      <c r="GD3598" s="5" t="s">
        <v>238</v>
      </c>
      <c r="GE3598" s="5" t="s">
        <v>238</v>
      </c>
      <c r="GF3598" s="5" t="s">
        <v>238</v>
      </c>
      <c r="GG3598" s="5" t="s">
        <v>238</v>
      </c>
      <c r="GH3598" s="5" t="s">
        <v>238</v>
      </c>
      <c r="GI3598" s="5" t="s">
        <v>238</v>
      </c>
      <c r="GJ3598" s="5" t="s">
        <v>238</v>
      </c>
      <c r="GK3598" s="5" t="s">
        <v>238</v>
      </c>
      <c r="GL3598" s="5" t="s">
        <v>238</v>
      </c>
      <c r="GM3598" s="5" t="s">
        <v>238</v>
      </c>
      <c r="GN3598" s="5" t="s">
        <v>238</v>
      </c>
      <c r="GO3598" s="5" t="s">
        <v>238</v>
      </c>
      <c r="GP3598" s="5" t="s">
        <v>238</v>
      </c>
      <c r="GQ3598" s="5" t="s">
        <v>238</v>
      </c>
      <c r="GR3598" s="5" t="s">
        <v>238</v>
      </c>
      <c r="GS3598" s="5" t="s">
        <v>238</v>
      </c>
      <c r="GT3598" s="5" t="s">
        <v>238</v>
      </c>
      <c r="GU3598" s="5" t="s">
        <v>238</v>
      </c>
      <c r="GV3598" s="5" t="s">
        <v>238</v>
      </c>
      <c r="GW3598" s="5" t="s">
        <v>238</v>
      </c>
      <c r="GX3598" s="5" t="s">
        <v>238</v>
      </c>
      <c r="GY3598" s="5" t="s">
        <v>238</v>
      </c>
      <c r="GZ3598" s="5" t="s">
        <v>238</v>
      </c>
      <c r="HA3598" s="5" t="s">
        <v>238</v>
      </c>
      <c r="HB3598" s="5" t="s">
        <v>238</v>
      </c>
      <c r="HC3598" s="5" t="s">
        <v>238</v>
      </c>
      <c r="HD3598" s="5" t="s">
        <v>238</v>
      </c>
      <c r="HE3598" s="5" t="s">
        <v>238</v>
      </c>
      <c r="HF3598" s="5" t="s">
        <v>238</v>
      </c>
      <c r="HG3598" s="5" t="s">
        <v>238</v>
      </c>
      <c r="HH3598" s="5" t="s">
        <v>238</v>
      </c>
      <c r="HI3598" s="5" t="s">
        <v>238</v>
      </c>
      <c r="HJ3598" s="5" t="s">
        <v>238</v>
      </c>
      <c r="HK3598" s="5" t="s">
        <v>238</v>
      </c>
      <c r="HL3598" s="5" t="s">
        <v>238</v>
      </c>
      <c r="HM3598" s="5" t="s">
        <v>264</v>
      </c>
      <c r="HN3598" s="5" t="s">
        <v>238</v>
      </c>
      <c r="HO3598" s="5" t="s">
        <v>238</v>
      </c>
      <c r="HP3598" s="5" t="s">
        <v>238</v>
      </c>
      <c r="HQ3598" s="5" t="s">
        <v>238</v>
      </c>
      <c r="HR3598" s="5" t="s">
        <v>238</v>
      </c>
      <c r="HS3598" s="5" t="s">
        <v>238</v>
      </c>
      <c r="HT3598" s="5" t="s">
        <v>238</v>
      </c>
      <c r="HU3598" s="5" t="s">
        <v>238</v>
      </c>
      <c r="HV3598" s="5" t="s">
        <v>238</v>
      </c>
      <c r="HW3598" s="5" t="s">
        <v>238</v>
      </c>
      <c r="HX3598" s="5" t="s">
        <v>238</v>
      </c>
      <c r="HY3598" s="5" t="s">
        <v>238</v>
      </c>
      <c r="HZ3598" s="5" t="s">
        <v>238</v>
      </c>
      <c r="IA3598" s="5" t="s">
        <v>238</v>
      </c>
      <c r="IB3598" s="5" t="s">
        <v>238</v>
      </c>
      <c r="IC3598" s="5" t="s">
        <v>238</v>
      </c>
      <c r="ID3598" s="5" t="s">
        <v>238</v>
      </c>
    </row>
    <row r="3599" spans="1:238" x14ac:dyDescent="0.4">
      <c r="A3599" s="5">
        <v>9317</v>
      </c>
      <c r="B3599" s="5">
        <v>1</v>
      </c>
      <c r="C3599" s="5">
        <v>1</v>
      </c>
      <c r="D3599" s="5" t="s">
        <v>484</v>
      </c>
      <c r="E3599" s="5" t="s">
        <v>485</v>
      </c>
      <c r="F3599" s="5" t="s">
        <v>248</v>
      </c>
      <c r="G3599" s="5" t="s">
        <v>6421</v>
      </c>
      <c r="H3599" s="6" t="s">
        <v>6422</v>
      </c>
      <c r="I3599" s="8">
        <f>1</f>
        <v>1</v>
      </c>
      <c r="J3599" s="5" t="s">
        <v>499</v>
      </c>
      <c r="K3599" s="8">
        <f>1</f>
        <v>1</v>
      </c>
      <c r="L3599" s="6" t="s">
        <v>242</v>
      </c>
      <c r="M3599" s="5" t="s">
        <v>267</v>
      </c>
      <c r="N3599" s="5" t="s">
        <v>482</v>
      </c>
      <c r="O3599" s="5" t="s">
        <v>238</v>
      </c>
      <c r="P3599" s="5" t="s">
        <v>238</v>
      </c>
      <c r="Q3599" s="5" t="s">
        <v>239</v>
      </c>
      <c r="R3599" s="5" t="s">
        <v>270</v>
      </c>
      <c r="S3599" s="5" t="s">
        <v>238</v>
      </c>
      <c r="T3599" s="5" t="s">
        <v>238</v>
      </c>
      <c r="U3599" s="5" t="s">
        <v>238</v>
      </c>
      <c r="V3599" s="5" t="s">
        <v>238</v>
      </c>
      <c r="W3599" s="6" t="s">
        <v>238</v>
      </c>
      <c r="X3599" s="6" t="s">
        <v>238</v>
      </c>
      <c r="Y3599" s="5" t="s">
        <v>238</v>
      </c>
      <c r="Z3599" s="6" t="s">
        <v>238</v>
      </c>
      <c r="AA3599" s="6" t="s">
        <v>243</v>
      </c>
      <c r="AB3599" s="5" t="s">
        <v>486</v>
      </c>
      <c r="AC3599" s="5" t="s">
        <v>244</v>
      </c>
      <c r="AD3599" s="5" t="s">
        <v>245</v>
      </c>
      <c r="AE3599" s="5" t="s">
        <v>238</v>
      </c>
      <c r="AF3599" s="5" t="s">
        <v>238</v>
      </c>
      <c r="AG3599" s="5" t="s">
        <v>238</v>
      </c>
      <c r="AH3599" s="5" t="s">
        <v>238</v>
      </c>
      <c r="AI3599" s="5" t="s">
        <v>238</v>
      </c>
      <c r="AJ3599" s="5" t="s">
        <v>238</v>
      </c>
      <c r="AK3599" s="5" t="s">
        <v>238</v>
      </c>
      <c r="AL3599" s="5" t="s">
        <v>238</v>
      </c>
      <c r="AM3599" s="6" t="s">
        <v>238</v>
      </c>
      <c r="AN3599" s="6" t="s">
        <v>238</v>
      </c>
      <c r="AO3599" s="6" t="s">
        <v>238</v>
      </c>
      <c r="AP3599" s="6" t="s">
        <v>238</v>
      </c>
      <c r="AQ3599" s="5" t="s">
        <v>238</v>
      </c>
      <c r="AR3599" s="5" t="s">
        <v>488</v>
      </c>
      <c r="AS3599" s="5" t="s">
        <v>488</v>
      </c>
      <c r="AT3599" s="5" t="s">
        <v>246</v>
      </c>
      <c r="AU3599" s="5" t="s">
        <v>489</v>
      </c>
      <c r="AV3599" s="5" t="s">
        <v>247</v>
      </c>
      <c r="AW3599" s="5" t="s">
        <v>238</v>
      </c>
      <c r="AX3599" s="5" t="s">
        <v>249</v>
      </c>
      <c r="AY3599" s="5" t="s">
        <v>490</v>
      </c>
      <c r="BA3599" s="5" t="s">
        <v>238</v>
      </c>
      <c r="BC3599" s="5" t="s">
        <v>491</v>
      </c>
      <c r="BD3599" s="6" t="s">
        <v>492</v>
      </c>
      <c r="BE3599" s="5" t="s">
        <v>493</v>
      </c>
      <c r="BF3599" s="5" t="s">
        <v>493</v>
      </c>
      <c r="BG3599" s="5" t="s">
        <v>238</v>
      </c>
      <c r="BH3599" s="8">
        <f>1</f>
        <v>1</v>
      </c>
      <c r="BI3599" s="8">
        <f>1</f>
        <v>1</v>
      </c>
      <c r="BJ3599" s="5" t="s">
        <v>253</v>
      </c>
      <c r="BK3599" s="5" t="s">
        <v>254</v>
      </c>
      <c r="BL3599" s="5" t="s">
        <v>238</v>
      </c>
      <c r="BM3599" s="5" t="s">
        <v>238</v>
      </c>
      <c r="BN3599" s="5" t="s">
        <v>238</v>
      </c>
      <c r="BO3599" s="5" t="s">
        <v>238</v>
      </c>
      <c r="BP3599" s="5" t="s">
        <v>238</v>
      </c>
      <c r="BQ3599" s="5" t="s">
        <v>238</v>
      </c>
      <c r="BR3599" s="5" t="s">
        <v>238</v>
      </c>
      <c r="BS3599" s="5" t="s">
        <v>238</v>
      </c>
      <c r="BT3599" s="6" t="s">
        <v>238</v>
      </c>
      <c r="BU3599" s="5" t="s">
        <v>238</v>
      </c>
      <c r="BV3599" s="5" t="s">
        <v>238</v>
      </c>
      <c r="BW3599" s="5" t="s">
        <v>238</v>
      </c>
      <c r="BX3599" s="5" t="s">
        <v>254</v>
      </c>
      <c r="BY3599" s="5" t="s">
        <v>238</v>
      </c>
      <c r="BZ3599" s="5" t="s">
        <v>238</v>
      </c>
      <c r="CA3599" s="5" t="s">
        <v>238</v>
      </c>
      <c r="CB3599" s="5" t="s">
        <v>238</v>
      </c>
      <c r="CC3599" s="5" t="s">
        <v>238</v>
      </c>
      <c r="CD3599" s="5" t="s">
        <v>273</v>
      </c>
      <c r="CE3599" s="5" t="s">
        <v>256</v>
      </c>
      <c r="CF3599" s="5" t="s">
        <v>238</v>
      </c>
      <c r="CH3599" s="5" t="s">
        <v>494</v>
      </c>
      <c r="CI3599" s="6" t="s">
        <v>257</v>
      </c>
      <c r="CJ3599" s="5" t="s">
        <v>495</v>
      </c>
      <c r="CK3599" s="5" t="s">
        <v>258</v>
      </c>
      <c r="CL3599" s="5" t="s">
        <v>496</v>
      </c>
      <c r="CM3599" s="5" t="s">
        <v>238</v>
      </c>
      <c r="CN3599" s="5">
        <v>0</v>
      </c>
      <c r="CO3599" s="5" t="s">
        <v>497</v>
      </c>
      <c r="CP3599" s="5" t="s">
        <v>260</v>
      </c>
      <c r="CQ3599" s="5" t="s">
        <v>260</v>
      </c>
      <c r="CR3599" s="5" t="s">
        <v>261</v>
      </c>
      <c r="CS3599" s="5" t="s">
        <v>498</v>
      </c>
      <c r="CT3599" s="7">
        <f>1</f>
        <v>1</v>
      </c>
      <c r="CU3599" s="8">
        <f>1</f>
        <v>1</v>
      </c>
      <c r="CV3599" s="8">
        <f>0</f>
        <v>0</v>
      </c>
      <c r="CX3599" s="8">
        <f>1</f>
        <v>1</v>
      </c>
      <c r="CY3599" s="8">
        <f>1</f>
        <v>1</v>
      </c>
      <c r="CZ3599" s="8" t="s">
        <v>238</v>
      </c>
      <c r="DA3599" s="5" t="s">
        <v>238</v>
      </c>
      <c r="DB3599" s="5" t="s">
        <v>238</v>
      </c>
      <c r="DC3599" s="5" t="s">
        <v>238</v>
      </c>
      <c r="DD3599" s="5" t="s">
        <v>238</v>
      </c>
      <c r="DE3599" s="8">
        <f>0</f>
        <v>0</v>
      </c>
      <c r="DG3599" s="5" t="s">
        <v>238</v>
      </c>
      <c r="DH3599" s="5" t="s">
        <v>238</v>
      </c>
      <c r="DI3599" s="5" t="s">
        <v>238</v>
      </c>
      <c r="DJ3599" s="5" t="s">
        <v>238</v>
      </c>
      <c r="DK3599" s="5" t="s">
        <v>238</v>
      </c>
      <c r="DL3599" s="5" t="s">
        <v>238</v>
      </c>
      <c r="DM3599" s="8" t="s">
        <v>238</v>
      </c>
      <c r="DN3599" s="5" t="s">
        <v>238</v>
      </c>
      <c r="DO3599" s="5" t="s">
        <v>238</v>
      </c>
      <c r="DP3599" s="5" t="s">
        <v>490</v>
      </c>
      <c r="DQ3599" s="5" t="s">
        <v>490</v>
      </c>
      <c r="DR3599" s="5" t="s">
        <v>238</v>
      </c>
      <c r="DS3599" s="5" t="s">
        <v>238</v>
      </c>
      <c r="DT3599" s="5" t="s">
        <v>500</v>
      </c>
      <c r="DU3599" s="5" t="s">
        <v>1019</v>
      </c>
      <c r="DV3599" s="5" t="s">
        <v>238</v>
      </c>
      <c r="DW3599" s="5" t="s">
        <v>238</v>
      </c>
      <c r="DX3599" s="5" t="s">
        <v>238</v>
      </c>
      <c r="DY3599" s="5" t="s">
        <v>238</v>
      </c>
      <c r="DZ3599" s="5" t="s">
        <v>238</v>
      </c>
      <c r="EA3599" s="5" t="s">
        <v>238</v>
      </c>
      <c r="EB3599" s="5" t="s">
        <v>238</v>
      </c>
      <c r="EC3599" s="5" t="s">
        <v>238</v>
      </c>
      <c r="ED3599" s="5" t="s">
        <v>238</v>
      </c>
      <c r="EE3599" s="5" t="s">
        <v>238</v>
      </c>
      <c r="EF3599" s="5" t="s">
        <v>238</v>
      </c>
      <c r="EG3599" s="5" t="s">
        <v>238</v>
      </c>
      <c r="EH3599" s="5" t="s">
        <v>238</v>
      </c>
      <c r="EI3599" s="5" t="s">
        <v>238</v>
      </c>
      <c r="EJ3599" s="5" t="s">
        <v>238</v>
      </c>
      <c r="EK3599" s="5" t="s">
        <v>238</v>
      </c>
      <c r="EL3599" s="5" t="s">
        <v>238</v>
      </c>
      <c r="EM3599" s="5" t="s">
        <v>238</v>
      </c>
      <c r="EN3599" s="5" t="s">
        <v>238</v>
      </c>
      <c r="EO3599" s="5" t="s">
        <v>238</v>
      </c>
      <c r="EP3599" s="5" t="s">
        <v>238</v>
      </c>
      <c r="EQ3599" s="5" t="s">
        <v>238</v>
      </c>
      <c r="ER3599" s="5" t="s">
        <v>238</v>
      </c>
      <c r="ES3599" s="5" t="s">
        <v>238</v>
      </c>
      <c r="ET3599" s="5" t="s">
        <v>238</v>
      </c>
      <c r="EU3599" s="5" t="s">
        <v>238</v>
      </c>
      <c r="EV3599" s="5" t="s">
        <v>238</v>
      </c>
      <c r="EW3599" s="5" t="s">
        <v>238</v>
      </c>
      <c r="EX3599" s="5" t="s">
        <v>238</v>
      </c>
      <c r="EY3599" s="5" t="s">
        <v>238</v>
      </c>
      <c r="EZ3599" s="5" t="s">
        <v>238</v>
      </c>
      <c r="FA3599" s="5" t="s">
        <v>238</v>
      </c>
      <c r="FB3599" s="5" t="s">
        <v>238</v>
      </c>
      <c r="FC3599" s="5" t="s">
        <v>238</v>
      </c>
      <c r="FD3599" s="5" t="s">
        <v>238</v>
      </c>
      <c r="FE3599" s="5" t="s">
        <v>238</v>
      </c>
      <c r="FF3599" s="5" t="s">
        <v>238</v>
      </c>
      <c r="FG3599" s="5" t="s">
        <v>238</v>
      </c>
      <c r="FH3599" s="5" t="s">
        <v>238</v>
      </c>
      <c r="FI3599" s="5" t="s">
        <v>238</v>
      </c>
      <c r="FJ3599" s="5" t="s">
        <v>238</v>
      </c>
      <c r="FK3599" s="5" t="s">
        <v>238</v>
      </c>
      <c r="FL3599" s="5" t="s">
        <v>238</v>
      </c>
      <c r="FM3599" s="5" t="s">
        <v>238</v>
      </c>
      <c r="FN3599" s="5" t="s">
        <v>238</v>
      </c>
      <c r="FO3599" s="5" t="s">
        <v>238</v>
      </c>
      <c r="FP3599" s="5" t="s">
        <v>238</v>
      </c>
      <c r="FQ3599" s="5" t="s">
        <v>238</v>
      </c>
      <c r="FR3599" s="5" t="s">
        <v>238</v>
      </c>
      <c r="FS3599" s="5" t="s">
        <v>238</v>
      </c>
      <c r="FT3599" s="5" t="s">
        <v>238</v>
      </c>
      <c r="FU3599" s="5" t="s">
        <v>238</v>
      </c>
      <c r="FV3599" s="5" t="s">
        <v>238</v>
      </c>
      <c r="FW3599" s="5" t="s">
        <v>238</v>
      </c>
      <c r="FX3599" s="5" t="s">
        <v>238</v>
      </c>
      <c r="FY3599" s="5" t="s">
        <v>238</v>
      </c>
      <c r="FZ3599" s="5" t="s">
        <v>238</v>
      </c>
      <c r="GA3599" s="5" t="s">
        <v>238</v>
      </c>
      <c r="GB3599" s="5" t="s">
        <v>238</v>
      </c>
      <c r="GC3599" s="5" t="s">
        <v>238</v>
      </c>
      <c r="GD3599" s="5" t="s">
        <v>238</v>
      </c>
      <c r="GE3599" s="5" t="s">
        <v>238</v>
      </c>
      <c r="GF3599" s="5" t="s">
        <v>238</v>
      </c>
      <c r="GG3599" s="5" t="s">
        <v>238</v>
      </c>
      <c r="GH3599" s="5" t="s">
        <v>238</v>
      </c>
      <c r="GI3599" s="5" t="s">
        <v>238</v>
      </c>
      <c r="GJ3599" s="5" t="s">
        <v>238</v>
      </c>
      <c r="GK3599" s="5" t="s">
        <v>238</v>
      </c>
      <c r="GL3599" s="5" t="s">
        <v>238</v>
      </c>
      <c r="GM3599" s="5" t="s">
        <v>238</v>
      </c>
      <c r="GN3599" s="5" t="s">
        <v>238</v>
      </c>
      <c r="GO3599" s="5" t="s">
        <v>238</v>
      </c>
      <c r="GP3599" s="5" t="s">
        <v>238</v>
      </c>
      <c r="GQ3599" s="5" t="s">
        <v>238</v>
      </c>
      <c r="GR3599" s="5" t="s">
        <v>238</v>
      </c>
      <c r="GS3599" s="5" t="s">
        <v>238</v>
      </c>
      <c r="GT3599" s="5" t="s">
        <v>238</v>
      </c>
      <c r="GU3599" s="5" t="s">
        <v>238</v>
      </c>
      <c r="GV3599" s="5" t="s">
        <v>238</v>
      </c>
      <c r="GW3599" s="5" t="s">
        <v>238</v>
      </c>
      <c r="GX3599" s="5" t="s">
        <v>238</v>
      </c>
      <c r="GY3599" s="5" t="s">
        <v>238</v>
      </c>
      <c r="GZ3599" s="5" t="s">
        <v>238</v>
      </c>
      <c r="HA3599" s="5" t="s">
        <v>238</v>
      </c>
      <c r="HB3599" s="5" t="s">
        <v>238</v>
      </c>
      <c r="HC3599" s="5" t="s">
        <v>238</v>
      </c>
      <c r="HD3599" s="5" t="s">
        <v>238</v>
      </c>
      <c r="HE3599" s="5" t="s">
        <v>238</v>
      </c>
      <c r="HF3599" s="5" t="s">
        <v>238</v>
      </c>
      <c r="HG3599" s="5" t="s">
        <v>238</v>
      </c>
      <c r="HH3599" s="5" t="s">
        <v>238</v>
      </c>
      <c r="HI3599" s="5" t="s">
        <v>238</v>
      </c>
      <c r="HJ3599" s="5" t="s">
        <v>238</v>
      </c>
      <c r="HK3599" s="5" t="s">
        <v>238</v>
      </c>
      <c r="HL3599" s="5" t="s">
        <v>238</v>
      </c>
      <c r="HM3599" s="5" t="s">
        <v>264</v>
      </c>
      <c r="HN3599" s="5" t="s">
        <v>238</v>
      </c>
      <c r="HO3599" s="5" t="s">
        <v>238</v>
      </c>
      <c r="HP3599" s="5" t="s">
        <v>238</v>
      </c>
      <c r="HQ3599" s="5" t="s">
        <v>238</v>
      </c>
      <c r="HR3599" s="5" t="s">
        <v>238</v>
      </c>
      <c r="HS3599" s="5" t="s">
        <v>238</v>
      </c>
      <c r="HT3599" s="5" t="s">
        <v>238</v>
      </c>
      <c r="HU3599" s="5" t="s">
        <v>238</v>
      </c>
      <c r="HV3599" s="5" t="s">
        <v>238</v>
      </c>
      <c r="HW3599" s="5" t="s">
        <v>238</v>
      </c>
      <c r="HX3599" s="5" t="s">
        <v>238</v>
      </c>
      <c r="HY3599" s="5" t="s">
        <v>238</v>
      </c>
      <c r="HZ3599" s="5" t="s">
        <v>238</v>
      </c>
      <c r="IA3599" s="5" t="s">
        <v>238</v>
      </c>
      <c r="IB3599" s="5" t="s">
        <v>238</v>
      </c>
      <c r="IC3599" s="5" t="s">
        <v>238</v>
      </c>
      <c r="ID3599" s="5" t="s">
        <v>238</v>
      </c>
    </row>
    <row r="3600" spans="1:238" x14ac:dyDescent="0.4">
      <c r="A3600" s="5">
        <v>9318</v>
      </c>
      <c r="B3600" s="5">
        <v>1</v>
      </c>
      <c r="C3600" s="5">
        <v>1</v>
      </c>
      <c r="D3600" s="5" t="s">
        <v>484</v>
      </c>
      <c r="E3600" s="5" t="s">
        <v>485</v>
      </c>
      <c r="F3600" s="5" t="s">
        <v>248</v>
      </c>
      <c r="G3600" s="5" t="s">
        <v>6447</v>
      </c>
      <c r="H3600" s="6" t="s">
        <v>6448</v>
      </c>
      <c r="I3600" s="8">
        <f>1</f>
        <v>1</v>
      </c>
      <c r="J3600" s="5" t="s">
        <v>499</v>
      </c>
      <c r="K3600" s="8">
        <f>1</f>
        <v>1</v>
      </c>
      <c r="L3600" s="6" t="s">
        <v>242</v>
      </c>
      <c r="M3600" s="5" t="s">
        <v>267</v>
      </c>
      <c r="N3600" s="5" t="s">
        <v>482</v>
      </c>
      <c r="O3600" s="5" t="s">
        <v>238</v>
      </c>
      <c r="P3600" s="5" t="s">
        <v>238</v>
      </c>
      <c r="Q3600" s="5" t="s">
        <v>239</v>
      </c>
      <c r="R3600" s="5" t="s">
        <v>270</v>
      </c>
      <c r="S3600" s="5" t="s">
        <v>238</v>
      </c>
      <c r="T3600" s="5" t="s">
        <v>238</v>
      </c>
      <c r="U3600" s="5" t="s">
        <v>238</v>
      </c>
      <c r="V3600" s="5" t="s">
        <v>238</v>
      </c>
      <c r="W3600" s="6" t="s">
        <v>238</v>
      </c>
      <c r="X3600" s="6" t="s">
        <v>238</v>
      </c>
      <c r="Y3600" s="5" t="s">
        <v>238</v>
      </c>
      <c r="Z3600" s="6" t="s">
        <v>238</v>
      </c>
      <c r="AA3600" s="6" t="s">
        <v>243</v>
      </c>
      <c r="AB3600" s="5" t="s">
        <v>486</v>
      </c>
      <c r="AC3600" s="5" t="s">
        <v>244</v>
      </c>
      <c r="AD3600" s="5" t="s">
        <v>245</v>
      </c>
      <c r="AE3600" s="5" t="s">
        <v>238</v>
      </c>
      <c r="AF3600" s="5" t="s">
        <v>238</v>
      </c>
      <c r="AG3600" s="5" t="s">
        <v>238</v>
      </c>
      <c r="AH3600" s="5" t="s">
        <v>238</v>
      </c>
      <c r="AI3600" s="5" t="s">
        <v>238</v>
      </c>
      <c r="AJ3600" s="5" t="s">
        <v>238</v>
      </c>
      <c r="AK3600" s="5" t="s">
        <v>238</v>
      </c>
      <c r="AL3600" s="5" t="s">
        <v>238</v>
      </c>
      <c r="AM3600" s="6" t="s">
        <v>238</v>
      </c>
      <c r="AN3600" s="6" t="s">
        <v>238</v>
      </c>
      <c r="AO3600" s="6" t="s">
        <v>238</v>
      </c>
      <c r="AP3600" s="6" t="s">
        <v>238</v>
      </c>
      <c r="AQ3600" s="5" t="s">
        <v>238</v>
      </c>
      <c r="AR3600" s="5" t="s">
        <v>488</v>
      </c>
      <c r="AS3600" s="5" t="s">
        <v>488</v>
      </c>
      <c r="AT3600" s="5" t="s">
        <v>246</v>
      </c>
      <c r="AU3600" s="5" t="s">
        <v>489</v>
      </c>
      <c r="AV3600" s="5" t="s">
        <v>247</v>
      </c>
      <c r="AW3600" s="5" t="s">
        <v>238</v>
      </c>
      <c r="AX3600" s="5" t="s">
        <v>249</v>
      </c>
      <c r="AY3600" s="5" t="s">
        <v>490</v>
      </c>
      <c r="BA3600" s="5" t="s">
        <v>238</v>
      </c>
      <c r="BC3600" s="5" t="s">
        <v>491</v>
      </c>
      <c r="BD3600" s="6" t="s">
        <v>492</v>
      </c>
      <c r="BE3600" s="5" t="s">
        <v>493</v>
      </c>
      <c r="BF3600" s="5" t="s">
        <v>493</v>
      </c>
      <c r="BG3600" s="5" t="s">
        <v>238</v>
      </c>
      <c r="BH3600" s="8">
        <f>1</f>
        <v>1</v>
      </c>
      <c r="BI3600" s="8">
        <f>1</f>
        <v>1</v>
      </c>
      <c r="BJ3600" s="5" t="s">
        <v>253</v>
      </c>
      <c r="BK3600" s="5" t="s">
        <v>254</v>
      </c>
      <c r="BL3600" s="5" t="s">
        <v>238</v>
      </c>
      <c r="BM3600" s="5" t="s">
        <v>238</v>
      </c>
      <c r="BN3600" s="5" t="s">
        <v>238</v>
      </c>
      <c r="BO3600" s="5" t="s">
        <v>238</v>
      </c>
      <c r="BP3600" s="5" t="s">
        <v>238</v>
      </c>
      <c r="BQ3600" s="5" t="s">
        <v>238</v>
      </c>
      <c r="BR3600" s="5" t="s">
        <v>238</v>
      </c>
      <c r="BS3600" s="5" t="s">
        <v>238</v>
      </c>
      <c r="BT3600" s="6" t="s">
        <v>238</v>
      </c>
      <c r="BU3600" s="5" t="s">
        <v>238</v>
      </c>
      <c r="BV3600" s="5" t="s">
        <v>238</v>
      </c>
      <c r="BW3600" s="5" t="s">
        <v>238</v>
      </c>
      <c r="BX3600" s="5" t="s">
        <v>254</v>
      </c>
      <c r="BY3600" s="5" t="s">
        <v>238</v>
      </c>
      <c r="BZ3600" s="5" t="s">
        <v>238</v>
      </c>
      <c r="CA3600" s="5" t="s">
        <v>238</v>
      </c>
      <c r="CB3600" s="5" t="s">
        <v>238</v>
      </c>
      <c r="CC3600" s="5" t="s">
        <v>238</v>
      </c>
      <c r="CD3600" s="5" t="s">
        <v>273</v>
      </c>
      <c r="CE3600" s="5" t="s">
        <v>256</v>
      </c>
      <c r="CF3600" s="5" t="s">
        <v>238</v>
      </c>
      <c r="CH3600" s="5" t="s">
        <v>494</v>
      </c>
      <c r="CI3600" s="6" t="s">
        <v>257</v>
      </c>
      <c r="CJ3600" s="5" t="s">
        <v>495</v>
      </c>
      <c r="CK3600" s="5" t="s">
        <v>258</v>
      </c>
      <c r="CL3600" s="5" t="s">
        <v>496</v>
      </c>
      <c r="CM3600" s="5" t="s">
        <v>238</v>
      </c>
      <c r="CN3600" s="5">
        <v>0</v>
      </c>
      <c r="CO3600" s="5" t="s">
        <v>497</v>
      </c>
      <c r="CP3600" s="5" t="s">
        <v>260</v>
      </c>
      <c r="CQ3600" s="5" t="s">
        <v>260</v>
      </c>
      <c r="CR3600" s="5" t="s">
        <v>261</v>
      </c>
      <c r="CS3600" s="5" t="s">
        <v>498</v>
      </c>
      <c r="CT3600" s="7">
        <f>1</f>
        <v>1</v>
      </c>
      <c r="CU3600" s="8">
        <f>1</f>
        <v>1</v>
      </c>
      <c r="CV3600" s="8">
        <f>0</f>
        <v>0</v>
      </c>
      <c r="CX3600" s="8">
        <f>1</f>
        <v>1</v>
      </c>
      <c r="CY3600" s="8">
        <f>1</f>
        <v>1</v>
      </c>
      <c r="CZ3600" s="8" t="s">
        <v>238</v>
      </c>
      <c r="DA3600" s="5" t="s">
        <v>238</v>
      </c>
      <c r="DB3600" s="5" t="s">
        <v>238</v>
      </c>
      <c r="DC3600" s="5" t="s">
        <v>238</v>
      </c>
      <c r="DD3600" s="5" t="s">
        <v>238</v>
      </c>
      <c r="DE3600" s="8">
        <f>0</f>
        <v>0</v>
      </c>
      <c r="DG3600" s="5" t="s">
        <v>238</v>
      </c>
      <c r="DH3600" s="5" t="s">
        <v>238</v>
      </c>
      <c r="DI3600" s="5" t="s">
        <v>238</v>
      </c>
      <c r="DJ3600" s="5" t="s">
        <v>238</v>
      </c>
      <c r="DK3600" s="5" t="s">
        <v>238</v>
      </c>
      <c r="DL3600" s="5" t="s">
        <v>238</v>
      </c>
      <c r="DM3600" s="8" t="s">
        <v>238</v>
      </c>
      <c r="DN3600" s="5" t="s">
        <v>238</v>
      </c>
      <c r="DO3600" s="5" t="s">
        <v>238</v>
      </c>
      <c r="DP3600" s="5" t="s">
        <v>490</v>
      </c>
      <c r="DQ3600" s="5" t="s">
        <v>490</v>
      </c>
      <c r="DR3600" s="5" t="s">
        <v>238</v>
      </c>
      <c r="DS3600" s="5" t="s">
        <v>238</v>
      </c>
      <c r="DT3600" s="5" t="s">
        <v>500</v>
      </c>
      <c r="DU3600" s="5" t="s">
        <v>602</v>
      </c>
      <c r="DV3600" s="5" t="s">
        <v>238</v>
      </c>
      <c r="DW3600" s="5" t="s">
        <v>238</v>
      </c>
      <c r="DX3600" s="5" t="s">
        <v>238</v>
      </c>
      <c r="DY3600" s="5" t="s">
        <v>238</v>
      </c>
      <c r="DZ3600" s="5" t="s">
        <v>238</v>
      </c>
      <c r="EA3600" s="5" t="s">
        <v>238</v>
      </c>
      <c r="EB3600" s="5" t="s">
        <v>238</v>
      </c>
      <c r="EC3600" s="5" t="s">
        <v>238</v>
      </c>
      <c r="ED3600" s="5" t="s">
        <v>238</v>
      </c>
      <c r="EE3600" s="5" t="s">
        <v>238</v>
      </c>
      <c r="EF3600" s="5" t="s">
        <v>238</v>
      </c>
      <c r="EG3600" s="5" t="s">
        <v>238</v>
      </c>
      <c r="EH3600" s="5" t="s">
        <v>238</v>
      </c>
      <c r="EI3600" s="5" t="s">
        <v>238</v>
      </c>
      <c r="EJ3600" s="5" t="s">
        <v>238</v>
      </c>
      <c r="EK3600" s="5" t="s">
        <v>238</v>
      </c>
      <c r="EL3600" s="5" t="s">
        <v>238</v>
      </c>
      <c r="EM3600" s="5" t="s">
        <v>238</v>
      </c>
      <c r="EN3600" s="5" t="s">
        <v>238</v>
      </c>
      <c r="EO3600" s="5" t="s">
        <v>238</v>
      </c>
      <c r="EP3600" s="5" t="s">
        <v>238</v>
      </c>
      <c r="EQ3600" s="5" t="s">
        <v>238</v>
      </c>
      <c r="ER3600" s="5" t="s">
        <v>238</v>
      </c>
      <c r="ES3600" s="5" t="s">
        <v>238</v>
      </c>
      <c r="ET3600" s="5" t="s">
        <v>238</v>
      </c>
      <c r="EU3600" s="5" t="s">
        <v>238</v>
      </c>
      <c r="EV3600" s="5" t="s">
        <v>238</v>
      </c>
      <c r="EW3600" s="5" t="s">
        <v>238</v>
      </c>
      <c r="EX3600" s="5" t="s">
        <v>238</v>
      </c>
      <c r="EY3600" s="5" t="s">
        <v>238</v>
      </c>
      <c r="EZ3600" s="5" t="s">
        <v>238</v>
      </c>
      <c r="FA3600" s="5" t="s">
        <v>238</v>
      </c>
      <c r="FB3600" s="5" t="s">
        <v>238</v>
      </c>
      <c r="FC3600" s="5" t="s">
        <v>238</v>
      </c>
      <c r="FD3600" s="5" t="s">
        <v>238</v>
      </c>
      <c r="FE3600" s="5" t="s">
        <v>238</v>
      </c>
      <c r="FF3600" s="5" t="s">
        <v>238</v>
      </c>
      <c r="FG3600" s="5" t="s">
        <v>238</v>
      </c>
      <c r="FH3600" s="5" t="s">
        <v>238</v>
      </c>
      <c r="FI3600" s="5" t="s">
        <v>238</v>
      </c>
      <c r="FJ3600" s="5" t="s">
        <v>238</v>
      </c>
      <c r="FK3600" s="5" t="s">
        <v>238</v>
      </c>
      <c r="FL3600" s="5" t="s">
        <v>238</v>
      </c>
      <c r="FM3600" s="5" t="s">
        <v>238</v>
      </c>
      <c r="FN3600" s="5" t="s">
        <v>238</v>
      </c>
      <c r="FO3600" s="5" t="s">
        <v>238</v>
      </c>
      <c r="FP3600" s="5" t="s">
        <v>238</v>
      </c>
      <c r="FQ3600" s="5" t="s">
        <v>238</v>
      </c>
      <c r="FR3600" s="5" t="s">
        <v>238</v>
      </c>
      <c r="FS3600" s="5" t="s">
        <v>238</v>
      </c>
      <c r="FT3600" s="5" t="s">
        <v>238</v>
      </c>
      <c r="FU3600" s="5" t="s">
        <v>238</v>
      </c>
      <c r="FV3600" s="5" t="s">
        <v>238</v>
      </c>
      <c r="FW3600" s="5" t="s">
        <v>238</v>
      </c>
      <c r="FX3600" s="5" t="s">
        <v>238</v>
      </c>
      <c r="FY3600" s="5" t="s">
        <v>238</v>
      </c>
      <c r="FZ3600" s="5" t="s">
        <v>238</v>
      </c>
      <c r="GA3600" s="5" t="s">
        <v>238</v>
      </c>
      <c r="GB3600" s="5" t="s">
        <v>238</v>
      </c>
      <c r="GC3600" s="5" t="s">
        <v>238</v>
      </c>
      <c r="GD3600" s="5" t="s">
        <v>238</v>
      </c>
      <c r="GE3600" s="5" t="s">
        <v>238</v>
      </c>
      <c r="GF3600" s="5" t="s">
        <v>238</v>
      </c>
      <c r="GG3600" s="5" t="s">
        <v>238</v>
      </c>
      <c r="GH3600" s="5" t="s">
        <v>238</v>
      </c>
      <c r="GI3600" s="5" t="s">
        <v>238</v>
      </c>
      <c r="GJ3600" s="5" t="s">
        <v>238</v>
      </c>
      <c r="GK3600" s="5" t="s">
        <v>238</v>
      </c>
      <c r="GL3600" s="5" t="s">
        <v>238</v>
      </c>
      <c r="GM3600" s="5" t="s">
        <v>238</v>
      </c>
      <c r="GN3600" s="5" t="s">
        <v>238</v>
      </c>
      <c r="GO3600" s="5" t="s">
        <v>238</v>
      </c>
      <c r="GP3600" s="5" t="s">
        <v>238</v>
      </c>
      <c r="GQ3600" s="5" t="s">
        <v>238</v>
      </c>
      <c r="GR3600" s="5" t="s">
        <v>238</v>
      </c>
      <c r="GS3600" s="5" t="s">
        <v>238</v>
      </c>
      <c r="GT3600" s="5" t="s">
        <v>238</v>
      </c>
      <c r="GU3600" s="5" t="s">
        <v>238</v>
      </c>
      <c r="GV3600" s="5" t="s">
        <v>238</v>
      </c>
      <c r="GW3600" s="5" t="s">
        <v>238</v>
      </c>
      <c r="GX3600" s="5" t="s">
        <v>238</v>
      </c>
      <c r="GY3600" s="5" t="s">
        <v>238</v>
      </c>
      <c r="GZ3600" s="5" t="s">
        <v>238</v>
      </c>
      <c r="HA3600" s="5" t="s">
        <v>238</v>
      </c>
      <c r="HB3600" s="5" t="s">
        <v>238</v>
      </c>
      <c r="HC3600" s="5" t="s">
        <v>238</v>
      </c>
      <c r="HD3600" s="5" t="s">
        <v>238</v>
      </c>
      <c r="HE3600" s="5" t="s">
        <v>238</v>
      </c>
      <c r="HF3600" s="5" t="s">
        <v>238</v>
      </c>
      <c r="HG3600" s="5" t="s">
        <v>238</v>
      </c>
      <c r="HH3600" s="5" t="s">
        <v>238</v>
      </c>
      <c r="HI3600" s="5" t="s">
        <v>238</v>
      </c>
      <c r="HJ3600" s="5" t="s">
        <v>238</v>
      </c>
      <c r="HK3600" s="5" t="s">
        <v>238</v>
      </c>
      <c r="HL3600" s="5" t="s">
        <v>238</v>
      </c>
      <c r="HM3600" s="5" t="s">
        <v>264</v>
      </c>
      <c r="HN3600" s="5" t="s">
        <v>238</v>
      </c>
      <c r="HO3600" s="5" t="s">
        <v>238</v>
      </c>
      <c r="HP3600" s="5" t="s">
        <v>238</v>
      </c>
      <c r="HQ3600" s="5" t="s">
        <v>238</v>
      </c>
      <c r="HR3600" s="5" t="s">
        <v>238</v>
      </c>
      <c r="HS3600" s="5" t="s">
        <v>238</v>
      </c>
      <c r="HT3600" s="5" t="s">
        <v>238</v>
      </c>
      <c r="HU3600" s="5" t="s">
        <v>238</v>
      </c>
      <c r="HV3600" s="5" t="s">
        <v>238</v>
      </c>
      <c r="HW3600" s="5" t="s">
        <v>238</v>
      </c>
      <c r="HX3600" s="5" t="s">
        <v>238</v>
      </c>
      <c r="HY3600" s="5" t="s">
        <v>238</v>
      </c>
      <c r="HZ3600" s="5" t="s">
        <v>238</v>
      </c>
      <c r="IA3600" s="5" t="s">
        <v>238</v>
      </c>
      <c r="IB3600" s="5" t="s">
        <v>238</v>
      </c>
      <c r="IC3600" s="5" t="s">
        <v>238</v>
      </c>
      <c r="ID3600" s="5" t="s">
        <v>238</v>
      </c>
    </row>
    <row r="3601" spans="1:238" x14ac:dyDescent="0.4">
      <c r="A3601" s="5">
        <v>9319</v>
      </c>
      <c r="B3601" s="5">
        <v>1</v>
      </c>
      <c r="C3601" s="5">
        <v>1</v>
      </c>
      <c r="D3601" s="5" t="s">
        <v>484</v>
      </c>
      <c r="E3601" s="5" t="s">
        <v>485</v>
      </c>
      <c r="F3601" s="5" t="s">
        <v>248</v>
      </c>
      <c r="G3601" s="5" t="s">
        <v>6474</v>
      </c>
      <c r="H3601" s="6" t="s">
        <v>6476</v>
      </c>
      <c r="I3601" s="8">
        <f>1</f>
        <v>1</v>
      </c>
      <c r="J3601" s="5" t="s">
        <v>499</v>
      </c>
      <c r="K3601" s="8">
        <f>1</f>
        <v>1</v>
      </c>
      <c r="L3601" s="6" t="s">
        <v>242</v>
      </c>
      <c r="M3601" s="5" t="s">
        <v>267</v>
      </c>
      <c r="N3601" s="5" t="s">
        <v>482</v>
      </c>
      <c r="O3601" s="5" t="s">
        <v>238</v>
      </c>
      <c r="P3601" s="5" t="s">
        <v>238</v>
      </c>
      <c r="Q3601" s="5" t="s">
        <v>239</v>
      </c>
      <c r="R3601" s="5" t="s">
        <v>270</v>
      </c>
      <c r="S3601" s="5" t="s">
        <v>238</v>
      </c>
      <c r="T3601" s="5" t="s">
        <v>238</v>
      </c>
      <c r="U3601" s="5" t="s">
        <v>238</v>
      </c>
      <c r="V3601" s="5" t="s">
        <v>238</v>
      </c>
      <c r="W3601" s="6" t="s">
        <v>238</v>
      </c>
      <c r="X3601" s="6" t="s">
        <v>238</v>
      </c>
      <c r="Y3601" s="5" t="s">
        <v>238</v>
      </c>
      <c r="Z3601" s="6" t="s">
        <v>238</v>
      </c>
      <c r="AA3601" s="6" t="s">
        <v>243</v>
      </c>
      <c r="AB3601" s="5" t="s">
        <v>6475</v>
      </c>
      <c r="AC3601" s="5" t="s">
        <v>244</v>
      </c>
      <c r="AD3601" s="5" t="s">
        <v>245</v>
      </c>
      <c r="AE3601" s="5" t="s">
        <v>238</v>
      </c>
      <c r="AF3601" s="5" t="s">
        <v>238</v>
      </c>
      <c r="AG3601" s="5" t="s">
        <v>238</v>
      </c>
      <c r="AH3601" s="5" t="s">
        <v>238</v>
      </c>
      <c r="AI3601" s="5" t="s">
        <v>238</v>
      </c>
      <c r="AJ3601" s="5" t="s">
        <v>238</v>
      </c>
      <c r="AK3601" s="5" t="s">
        <v>238</v>
      </c>
      <c r="AL3601" s="5" t="s">
        <v>238</v>
      </c>
      <c r="AM3601" s="6" t="s">
        <v>238</v>
      </c>
      <c r="AN3601" s="6" t="s">
        <v>238</v>
      </c>
      <c r="AO3601" s="6" t="s">
        <v>238</v>
      </c>
      <c r="AP3601" s="6" t="s">
        <v>238</v>
      </c>
      <c r="AQ3601" s="5" t="s">
        <v>238</v>
      </c>
      <c r="AR3601" s="5" t="s">
        <v>488</v>
      </c>
      <c r="AS3601" s="5" t="s">
        <v>488</v>
      </c>
      <c r="AT3601" s="5" t="s">
        <v>246</v>
      </c>
      <c r="AU3601" s="5" t="s">
        <v>489</v>
      </c>
      <c r="AV3601" s="5" t="s">
        <v>247</v>
      </c>
      <c r="AW3601" s="5" t="s">
        <v>238</v>
      </c>
      <c r="AX3601" s="5" t="s">
        <v>249</v>
      </c>
      <c r="AY3601" s="5" t="s">
        <v>490</v>
      </c>
      <c r="BA3601" s="5" t="s">
        <v>238</v>
      </c>
      <c r="BC3601" s="5" t="s">
        <v>491</v>
      </c>
      <c r="BD3601" s="6" t="s">
        <v>492</v>
      </c>
      <c r="BE3601" s="5" t="s">
        <v>493</v>
      </c>
      <c r="BF3601" s="5" t="s">
        <v>493</v>
      </c>
      <c r="BG3601" s="5" t="s">
        <v>238</v>
      </c>
      <c r="BH3601" s="8">
        <f>1</f>
        <v>1</v>
      </c>
      <c r="BI3601" s="8">
        <f>1</f>
        <v>1</v>
      </c>
      <c r="BJ3601" s="5" t="s">
        <v>253</v>
      </c>
      <c r="BK3601" s="5" t="s">
        <v>254</v>
      </c>
      <c r="BL3601" s="5" t="s">
        <v>238</v>
      </c>
      <c r="BM3601" s="5" t="s">
        <v>238</v>
      </c>
      <c r="BN3601" s="5" t="s">
        <v>238</v>
      </c>
      <c r="BO3601" s="5" t="s">
        <v>238</v>
      </c>
      <c r="BP3601" s="5" t="s">
        <v>238</v>
      </c>
      <c r="BQ3601" s="5" t="s">
        <v>238</v>
      </c>
      <c r="BR3601" s="5" t="s">
        <v>238</v>
      </c>
      <c r="BS3601" s="5" t="s">
        <v>238</v>
      </c>
      <c r="BT3601" s="6" t="s">
        <v>238</v>
      </c>
      <c r="BU3601" s="5" t="s">
        <v>238</v>
      </c>
      <c r="BV3601" s="5" t="s">
        <v>238</v>
      </c>
      <c r="BW3601" s="5" t="s">
        <v>238</v>
      </c>
      <c r="BX3601" s="5" t="s">
        <v>254</v>
      </c>
      <c r="BY3601" s="5" t="s">
        <v>238</v>
      </c>
      <c r="BZ3601" s="5" t="s">
        <v>238</v>
      </c>
      <c r="CA3601" s="5" t="s">
        <v>238</v>
      </c>
      <c r="CB3601" s="5" t="s">
        <v>238</v>
      </c>
      <c r="CC3601" s="5" t="s">
        <v>238</v>
      </c>
      <c r="CD3601" s="5" t="s">
        <v>273</v>
      </c>
      <c r="CE3601" s="5" t="s">
        <v>256</v>
      </c>
      <c r="CF3601" s="5" t="s">
        <v>238</v>
      </c>
      <c r="CH3601" s="5" t="s">
        <v>494</v>
      </c>
      <c r="CI3601" s="6" t="s">
        <v>257</v>
      </c>
      <c r="CJ3601" s="5" t="s">
        <v>495</v>
      </c>
      <c r="CK3601" s="5" t="s">
        <v>258</v>
      </c>
      <c r="CL3601" s="5" t="s">
        <v>496</v>
      </c>
      <c r="CM3601" s="5" t="s">
        <v>238</v>
      </c>
      <c r="CN3601" s="5">
        <v>0</v>
      </c>
      <c r="CO3601" s="5" t="s">
        <v>497</v>
      </c>
      <c r="CP3601" s="5" t="s">
        <v>260</v>
      </c>
      <c r="CQ3601" s="5" t="s">
        <v>260</v>
      </c>
      <c r="CR3601" s="5" t="s">
        <v>261</v>
      </c>
      <c r="CS3601" s="5" t="s">
        <v>498</v>
      </c>
      <c r="CT3601" s="7">
        <f>1</f>
        <v>1</v>
      </c>
      <c r="CU3601" s="8">
        <f>1</f>
        <v>1</v>
      </c>
      <c r="CV3601" s="8">
        <f>0</f>
        <v>0</v>
      </c>
      <c r="CX3601" s="8">
        <f>1</f>
        <v>1</v>
      </c>
      <c r="CY3601" s="8">
        <f>1</f>
        <v>1</v>
      </c>
      <c r="CZ3601" s="8" t="s">
        <v>238</v>
      </c>
      <c r="DA3601" s="5" t="s">
        <v>238</v>
      </c>
      <c r="DB3601" s="5" t="s">
        <v>238</v>
      </c>
      <c r="DC3601" s="5" t="s">
        <v>238</v>
      </c>
      <c r="DD3601" s="5" t="s">
        <v>238</v>
      </c>
      <c r="DE3601" s="8">
        <f>0</f>
        <v>0</v>
      </c>
      <c r="DG3601" s="5" t="s">
        <v>238</v>
      </c>
      <c r="DH3601" s="5" t="s">
        <v>238</v>
      </c>
      <c r="DI3601" s="5" t="s">
        <v>238</v>
      </c>
      <c r="DJ3601" s="5" t="s">
        <v>238</v>
      </c>
      <c r="DK3601" s="5" t="s">
        <v>238</v>
      </c>
      <c r="DL3601" s="5" t="s">
        <v>238</v>
      </c>
      <c r="DM3601" s="8" t="s">
        <v>238</v>
      </c>
      <c r="DN3601" s="5" t="s">
        <v>238</v>
      </c>
      <c r="DO3601" s="5" t="s">
        <v>238</v>
      </c>
      <c r="DP3601" s="5" t="s">
        <v>490</v>
      </c>
      <c r="DQ3601" s="5" t="s">
        <v>490</v>
      </c>
      <c r="DR3601" s="5" t="s">
        <v>238</v>
      </c>
      <c r="DS3601" s="5" t="s">
        <v>238</v>
      </c>
      <c r="DT3601" s="5" t="s">
        <v>500</v>
      </c>
      <c r="DU3601" s="5" t="s">
        <v>1031</v>
      </c>
      <c r="DV3601" s="5" t="s">
        <v>238</v>
      </c>
      <c r="DW3601" s="5" t="s">
        <v>238</v>
      </c>
      <c r="DX3601" s="5" t="s">
        <v>238</v>
      </c>
      <c r="DY3601" s="5" t="s">
        <v>238</v>
      </c>
      <c r="DZ3601" s="5" t="s">
        <v>238</v>
      </c>
      <c r="EA3601" s="5" t="s">
        <v>238</v>
      </c>
      <c r="EB3601" s="5" t="s">
        <v>238</v>
      </c>
      <c r="EC3601" s="5" t="s">
        <v>238</v>
      </c>
      <c r="ED3601" s="5" t="s">
        <v>238</v>
      </c>
      <c r="EE3601" s="5" t="s">
        <v>238</v>
      </c>
      <c r="EF3601" s="5" t="s">
        <v>238</v>
      </c>
      <c r="EG3601" s="5" t="s">
        <v>238</v>
      </c>
      <c r="EH3601" s="5" t="s">
        <v>238</v>
      </c>
      <c r="EI3601" s="5" t="s">
        <v>238</v>
      </c>
      <c r="EJ3601" s="5" t="s">
        <v>238</v>
      </c>
      <c r="EK3601" s="5" t="s">
        <v>238</v>
      </c>
      <c r="EL3601" s="5" t="s">
        <v>238</v>
      </c>
      <c r="EM3601" s="5" t="s">
        <v>238</v>
      </c>
      <c r="EN3601" s="5" t="s">
        <v>238</v>
      </c>
      <c r="EO3601" s="5" t="s">
        <v>238</v>
      </c>
      <c r="EP3601" s="5" t="s">
        <v>238</v>
      </c>
      <c r="EQ3601" s="5" t="s">
        <v>238</v>
      </c>
      <c r="ER3601" s="5" t="s">
        <v>238</v>
      </c>
      <c r="ES3601" s="5" t="s">
        <v>238</v>
      </c>
      <c r="ET3601" s="5" t="s">
        <v>238</v>
      </c>
      <c r="EU3601" s="5" t="s">
        <v>238</v>
      </c>
      <c r="EV3601" s="5" t="s">
        <v>238</v>
      </c>
      <c r="EW3601" s="5" t="s">
        <v>238</v>
      </c>
      <c r="EX3601" s="5" t="s">
        <v>238</v>
      </c>
      <c r="EY3601" s="5" t="s">
        <v>238</v>
      </c>
      <c r="EZ3601" s="5" t="s">
        <v>238</v>
      </c>
      <c r="FA3601" s="5" t="s">
        <v>238</v>
      </c>
      <c r="FB3601" s="5" t="s">
        <v>238</v>
      </c>
      <c r="FC3601" s="5" t="s">
        <v>238</v>
      </c>
      <c r="FD3601" s="5" t="s">
        <v>238</v>
      </c>
      <c r="FE3601" s="5" t="s">
        <v>238</v>
      </c>
      <c r="FF3601" s="5" t="s">
        <v>238</v>
      </c>
      <c r="FG3601" s="5" t="s">
        <v>238</v>
      </c>
      <c r="FH3601" s="5" t="s">
        <v>238</v>
      </c>
      <c r="FI3601" s="5" t="s">
        <v>238</v>
      </c>
      <c r="FJ3601" s="5" t="s">
        <v>238</v>
      </c>
      <c r="FK3601" s="5" t="s">
        <v>238</v>
      </c>
      <c r="FL3601" s="5" t="s">
        <v>238</v>
      </c>
      <c r="FM3601" s="5" t="s">
        <v>238</v>
      </c>
      <c r="FN3601" s="5" t="s">
        <v>238</v>
      </c>
      <c r="FO3601" s="5" t="s">
        <v>238</v>
      </c>
      <c r="FP3601" s="5" t="s">
        <v>238</v>
      </c>
      <c r="FQ3601" s="5" t="s">
        <v>238</v>
      </c>
      <c r="FR3601" s="5" t="s">
        <v>238</v>
      </c>
      <c r="FS3601" s="5" t="s">
        <v>238</v>
      </c>
      <c r="FT3601" s="5" t="s">
        <v>238</v>
      </c>
      <c r="FU3601" s="5" t="s">
        <v>238</v>
      </c>
      <c r="FV3601" s="5" t="s">
        <v>238</v>
      </c>
      <c r="FW3601" s="5" t="s">
        <v>238</v>
      </c>
      <c r="FX3601" s="5" t="s">
        <v>238</v>
      </c>
      <c r="FY3601" s="5" t="s">
        <v>238</v>
      </c>
      <c r="FZ3601" s="5" t="s">
        <v>238</v>
      </c>
      <c r="GA3601" s="5" t="s">
        <v>238</v>
      </c>
      <c r="GB3601" s="5" t="s">
        <v>238</v>
      </c>
      <c r="GC3601" s="5" t="s">
        <v>238</v>
      </c>
      <c r="GD3601" s="5" t="s">
        <v>238</v>
      </c>
      <c r="GE3601" s="5" t="s">
        <v>238</v>
      </c>
      <c r="GF3601" s="5" t="s">
        <v>238</v>
      </c>
      <c r="GG3601" s="5" t="s">
        <v>238</v>
      </c>
      <c r="GH3601" s="5" t="s">
        <v>238</v>
      </c>
      <c r="GI3601" s="5" t="s">
        <v>238</v>
      </c>
      <c r="GJ3601" s="5" t="s">
        <v>238</v>
      </c>
      <c r="GK3601" s="5" t="s">
        <v>238</v>
      </c>
      <c r="GL3601" s="5" t="s">
        <v>238</v>
      </c>
      <c r="GM3601" s="5" t="s">
        <v>238</v>
      </c>
      <c r="GN3601" s="5" t="s">
        <v>238</v>
      </c>
      <c r="GO3601" s="5" t="s">
        <v>238</v>
      </c>
      <c r="GP3601" s="5" t="s">
        <v>238</v>
      </c>
      <c r="GQ3601" s="5" t="s">
        <v>238</v>
      </c>
      <c r="GR3601" s="5" t="s">
        <v>238</v>
      </c>
      <c r="GS3601" s="5" t="s">
        <v>238</v>
      </c>
      <c r="GT3601" s="5" t="s">
        <v>238</v>
      </c>
      <c r="GU3601" s="5" t="s">
        <v>238</v>
      </c>
      <c r="GV3601" s="5" t="s">
        <v>238</v>
      </c>
      <c r="GW3601" s="5" t="s">
        <v>238</v>
      </c>
      <c r="GX3601" s="5" t="s">
        <v>238</v>
      </c>
      <c r="GY3601" s="5" t="s">
        <v>238</v>
      </c>
      <c r="GZ3601" s="5" t="s">
        <v>238</v>
      </c>
      <c r="HA3601" s="5" t="s">
        <v>238</v>
      </c>
      <c r="HB3601" s="5" t="s">
        <v>238</v>
      </c>
      <c r="HC3601" s="5" t="s">
        <v>238</v>
      </c>
      <c r="HD3601" s="5" t="s">
        <v>238</v>
      </c>
      <c r="HE3601" s="5" t="s">
        <v>238</v>
      </c>
      <c r="HF3601" s="5" t="s">
        <v>238</v>
      </c>
      <c r="HG3601" s="5" t="s">
        <v>238</v>
      </c>
      <c r="HH3601" s="5" t="s">
        <v>238</v>
      </c>
      <c r="HI3601" s="5" t="s">
        <v>238</v>
      </c>
      <c r="HJ3601" s="5" t="s">
        <v>238</v>
      </c>
      <c r="HK3601" s="5" t="s">
        <v>238</v>
      </c>
      <c r="HL3601" s="5" t="s">
        <v>238</v>
      </c>
      <c r="HM3601" s="5" t="s">
        <v>264</v>
      </c>
      <c r="HN3601" s="5" t="s">
        <v>238</v>
      </c>
      <c r="HO3601" s="5" t="s">
        <v>238</v>
      </c>
      <c r="HP3601" s="5" t="s">
        <v>238</v>
      </c>
      <c r="HQ3601" s="5" t="s">
        <v>238</v>
      </c>
      <c r="HR3601" s="5" t="s">
        <v>238</v>
      </c>
      <c r="HS3601" s="5" t="s">
        <v>238</v>
      </c>
      <c r="HT3601" s="5" t="s">
        <v>238</v>
      </c>
      <c r="HU3601" s="5" t="s">
        <v>238</v>
      </c>
      <c r="HV3601" s="5" t="s">
        <v>238</v>
      </c>
      <c r="HW3601" s="5" t="s">
        <v>238</v>
      </c>
      <c r="HX3601" s="5" t="s">
        <v>238</v>
      </c>
      <c r="HY3601" s="5" t="s">
        <v>238</v>
      </c>
      <c r="HZ3601" s="5" t="s">
        <v>238</v>
      </c>
      <c r="IA3601" s="5" t="s">
        <v>238</v>
      </c>
      <c r="IB3601" s="5" t="s">
        <v>238</v>
      </c>
      <c r="IC3601" s="5" t="s">
        <v>238</v>
      </c>
      <c r="ID3601" s="5" t="s">
        <v>238</v>
      </c>
    </row>
    <row r="3602" spans="1:238" x14ac:dyDescent="0.4">
      <c r="A3602" s="5">
        <v>9320</v>
      </c>
      <c r="B3602" s="5">
        <v>1</v>
      </c>
      <c r="C3602" s="5">
        <v>1</v>
      </c>
      <c r="D3602" s="5" t="s">
        <v>484</v>
      </c>
      <c r="E3602" s="5" t="s">
        <v>485</v>
      </c>
      <c r="F3602" s="5" t="s">
        <v>248</v>
      </c>
      <c r="G3602" s="5" t="s">
        <v>4856</v>
      </c>
      <c r="H3602" s="6" t="s">
        <v>4857</v>
      </c>
      <c r="I3602" s="8">
        <f>1</f>
        <v>1</v>
      </c>
      <c r="J3602" s="5" t="s">
        <v>499</v>
      </c>
      <c r="K3602" s="8">
        <f>1</f>
        <v>1</v>
      </c>
      <c r="L3602" s="6" t="s">
        <v>242</v>
      </c>
      <c r="M3602" s="5" t="s">
        <v>267</v>
      </c>
      <c r="N3602" s="5" t="s">
        <v>482</v>
      </c>
      <c r="O3602" s="5" t="s">
        <v>238</v>
      </c>
      <c r="P3602" s="5" t="s">
        <v>238</v>
      </c>
      <c r="Q3602" s="5" t="s">
        <v>239</v>
      </c>
      <c r="R3602" s="5" t="s">
        <v>270</v>
      </c>
      <c r="S3602" s="5" t="s">
        <v>238</v>
      </c>
      <c r="T3602" s="5" t="s">
        <v>238</v>
      </c>
      <c r="U3602" s="5" t="s">
        <v>238</v>
      </c>
      <c r="V3602" s="5" t="s">
        <v>238</v>
      </c>
      <c r="W3602" s="6" t="s">
        <v>238</v>
      </c>
      <c r="X3602" s="6" t="s">
        <v>238</v>
      </c>
      <c r="Y3602" s="5" t="s">
        <v>238</v>
      </c>
      <c r="Z3602" s="6" t="s">
        <v>238</v>
      </c>
      <c r="AA3602" s="6" t="s">
        <v>243</v>
      </c>
      <c r="AB3602" s="5" t="s">
        <v>486</v>
      </c>
      <c r="AC3602" s="5" t="s">
        <v>244</v>
      </c>
      <c r="AD3602" s="5" t="s">
        <v>245</v>
      </c>
      <c r="AE3602" s="5" t="s">
        <v>238</v>
      </c>
      <c r="AF3602" s="5" t="s">
        <v>238</v>
      </c>
      <c r="AG3602" s="5" t="s">
        <v>238</v>
      </c>
      <c r="AH3602" s="5" t="s">
        <v>238</v>
      </c>
      <c r="AI3602" s="5" t="s">
        <v>238</v>
      </c>
      <c r="AJ3602" s="5" t="s">
        <v>238</v>
      </c>
      <c r="AK3602" s="5" t="s">
        <v>238</v>
      </c>
      <c r="AL3602" s="5" t="s">
        <v>238</v>
      </c>
      <c r="AM3602" s="6" t="s">
        <v>238</v>
      </c>
      <c r="AN3602" s="6" t="s">
        <v>238</v>
      </c>
      <c r="AO3602" s="6" t="s">
        <v>238</v>
      </c>
      <c r="AP3602" s="6" t="s">
        <v>238</v>
      </c>
      <c r="AQ3602" s="5" t="s">
        <v>238</v>
      </c>
      <c r="AR3602" s="5" t="s">
        <v>488</v>
      </c>
      <c r="AS3602" s="5" t="s">
        <v>488</v>
      </c>
      <c r="AT3602" s="5" t="s">
        <v>246</v>
      </c>
      <c r="AU3602" s="5" t="s">
        <v>489</v>
      </c>
      <c r="AV3602" s="5" t="s">
        <v>247</v>
      </c>
      <c r="AW3602" s="5" t="s">
        <v>238</v>
      </c>
      <c r="AX3602" s="5" t="s">
        <v>249</v>
      </c>
      <c r="AY3602" s="5" t="s">
        <v>490</v>
      </c>
      <c r="BA3602" s="5" t="s">
        <v>238</v>
      </c>
      <c r="BC3602" s="5" t="s">
        <v>491</v>
      </c>
      <c r="BD3602" s="6" t="s">
        <v>492</v>
      </c>
      <c r="BE3602" s="5" t="s">
        <v>493</v>
      </c>
      <c r="BF3602" s="5" t="s">
        <v>493</v>
      </c>
      <c r="BG3602" s="5" t="s">
        <v>238</v>
      </c>
      <c r="BH3602" s="8">
        <f>1</f>
        <v>1</v>
      </c>
      <c r="BI3602" s="8">
        <f>1</f>
        <v>1</v>
      </c>
      <c r="BJ3602" s="5" t="s">
        <v>253</v>
      </c>
      <c r="BK3602" s="5" t="s">
        <v>254</v>
      </c>
      <c r="BL3602" s="5" t="s">
        <v>238</v>
      </c>
      <c r="BM3602" s="5" t="s">
        <v>238</v>
      </c>
      <c r="BN3602" s="5" t="s">
        <v>238</v>
      </c>
      <c r="BO3602" s="5" t="s">
        <v>238</v>
      </c>
      <c r="BP3602" s="5" t="s">
        <v>238</v>
      </c>
      <c r="BQ3602" s="5" t="s">
        <v>238</v>
      </c>
      <c r="BR3602" s="5" t="s">
        <v>238</v>
      </c>
      <c r="BS3602" s="5" t="s">
        <v>238</v>
      </c>
      <c r="BT3602" s="6" t="s">
        <v>238</v>
      </c>
      <c r="BU3602" s="5" t="s">
        <v>238</v>
      </c>
      <c r="BV3602" s="5" t="s">
        <v>238</v>
      </c>
      <c r="BW3602" s="5" t="s">
        <v>238</v>
      </c>
      <c r="BX3602" s="5" t="s">
        <v>254</v>
      </c>
      <c r="BY3602" s="5" t="s">
        <v>238</v>
      </c>
      <c r="BZ3602" s="5" t="s">
        <v>238</v>
      </c>
      <c r="CA3602" s="5" t="s">
        <v>238</v>
      </c>
      <c r="CB3602" s="5" t="s">
        <v>238</v>
      </c>
      <c r="CC3602" s="5" t="s">
        <v>238</v>
      </c>
      <c r="CD3602" s="5" t="s">
        <v>273</v>
      </c>
      <c r="CE3602" s="5" t="s">
        <v>256</v>
      </c>
      <c r="CF3602" s="5" t="s">
        <v>238</v>
      </c>
      <c r="CH3602" s="5" t="s">
        <v>494</v>
      </c>
      <c r="CI3602" s="6" t="s">
        <v>257</v>
      </c>
      <c r="CJ3602" s="5" t="s">
        <v>495</v>
      </c>
      <c r="CK3602" s="5" t="s">
        <v>258</v>
      </c>
      <c r="CL3602" s="5" t="s">
        <v>496</v>
      </c>
      <c r="CM3602" s="5" t="s">
        <v>238</v>
      </c>
      <c r="CN3602" s="5">
        <v>0</v>
      </c>
      <c r="CO3602" s="5" t="s">
        <v>497</v>
      </c>
      <c r="CP3602" s="5" t="s">
        <v>260</v>
      </c>
      <c r="CQ3602" s="5" t="s">
        <v>260</v>
      </c>
      <c r="CR3602" s="5" t="s">
        <v>261</v>
      </c>
      <c r="CS3602" s="5" t="s">
        <v>498</v>
      </c>
      <c r="CT3602" s="7">
        <f>1</f>
        <v>1</v>
      </c>
      <c r="CU3602" s="8">
        <f>1</f>
        <v>1</v>
      </c>
      <c r="CV3602" s="8">
        <f>0</f>
        <v>0</v>
      </c>
      <c r="CX3602" s="8">
        <f>1</f>
        <v>1</v>
      </c>
      <c r="CY3602" s="8">
        <f>1</f>
        <v>1</v>
      </c>
      <c r="CZ3602" s="8" t="s">
        <v>238</v>
      </c>
      <c r="DA3602" s="5" t="s">
        <v>238</v>
      </c>
      <c r="DB3602" s="5" t="s">
        <v>238</v>
      </c>
      <c r="DC3602" s="5" t="s">
        <v>238</v>
      </c>
      <c r="DD3602" s="5" t="s">
        <v>238</v>
      </c>
      <c r="DE3602" s="8">
        <f>0</f>
        <v>0</v>
      </c>
      <c r="DG3602" s="5" t="s">
        <v>238</v>
      </c>
      <c r="DH3602" s="5" t="s">
        <v>238</v>
      </c>
      <c r="DI3602" s="5" t="s">
        <v>238</v>
      </c>
      <c r="DJ3602" s="5" t="s">
        <v>238</v>
      </c>
      <c r="DK3602" s="5" t="s">
        <v>238</v>
      </c>
      <c r="DL3602" s="5" t="s">
        <v>238</v>
      </c>
      <c r="DM3602" s="8" t="s">
        <v>238</v>
      </c>
      <c r="DN3602" s="5" t="s">
        <v>238</v>
      </c>
      <c r="DO3602" s="5" t="s">
        <v>238</v>
      </c>
      <c r="DP3602" s="5" t="s">
        <v>490</v>
      </c>
      <c r="DQ3602" s="5" t="s">
        <v>490</v>
      </c>
      <c r="DR3602" s="5" t="s">
        <v>238</v>
      </c>
      <c r="DS3602" s="5" t="s">
        <v>238</v>
      </c>
      <c r="DT3602" s="5" t="s">
        <v>500</v>
      </c>
      <c r="DU3602" s="5" t="s">
        <v>1327</v>
      </c>
      <c r="DV3602" s="5" t="s">
        <v>238</v>
      </c>
      <c r="DW3602" s="5" t="s">
        <v>238</v>
      </c>
      <c r="DX3602" s="5" t="s">
        <v>238</v>
      </c>
      <c r="DY3602" s="5" t="s">
        <v>238</v>
      </c>
      <c r="DZ3602" s="5" t="s">
        <v>238</v>
      </c>
      <c r="EA3602" s="5" t="s">
        <v>238</v>
      </c>
      <c r="EB3602" s="5" t="s">
        <v>238</v>
      </c>
      <c r="EC3602" s="5" t="s">
        <v>238</v>
      </c>
      <c r="ED3602" s="5" t="s">
        <v>238</v>
      </c>
      <c r="EE3602" s="5" t="s">
        <v>238</v>
      </c>
      <c r="EF3602" s="5" t="s">
        <v>238</v>
      </c>
      <c r="EG3602" s="5" t="s">
        <v>238</v>
      </c>
      <c r="EH3602" s="5" t="s">
        <v>238</v>
      </c>
      <c r="EI3602" s="5" t="s">
        <v>238</v>
      </c>
      <c r="EJ3602" s="5" t="s">
        <v>238</v>
      </c>
      <c r="EK3602" s="5" t="s">
        <v>238</v>
      </c>
      <c r="EL3602" s="5" t="s">
        <v>238</v>
      </c>
      <c r="EM3602" s="5" t="s">
        <v>238</v>
      </c>
      <c r="EN3602" s="5" t="s">
        <v>238</v>
      </c>
      <c r="EO3602" s="5" t="s">
        <v>238</v>
      </c>
      <c r="EP3602" s="5" t="s">
        <v>238</v>
      </c>
      <c r="EQ3602" s="5" t="s">
        <v>238</v>
      </c>
      <c r="ER3602" s="5" t="s">
        <v>238</v>
      </c>
      <c r="ES3602" s="5" t="s">
        <v>238</v>
      </c>
      <c r="ET3602" s="5" t="s">
        <v>238</v>
      </c>
      <c r="EU3602" s="5" t="s">
        <v>238</v>
      </c>
      <c r="EV3602" s="5" t="s">
        <v>238</v>
      </c>
      <c r="EW3602" s="5" t="s">
        <v>238</v>
      </c>
      <c r="EX3602" s="5" t="s">
        <v>238</v>
      </c>
      <c r="EY3602" s="5" t="s">
        <v>238</v>
      </c>
      <c r="EZ3602" s="5" t="s">
        <v>238</v>
      </c>
      <c r="FA3602" s="5" t="s">
        <v>238</v>
      </c>
      <c r="FB3602" s="5" t="s">
        <v>238</v>
      </c>
      <c r="FC3602" s="5" t="s">
        <v>238</v>
      </c>
      <c r="FD3602" s="5" t="s">
        <v>238</v>
      </c>
      <c r="FE3602" s="5" t="s">
        <v>238</v>
      </c>
      <c r="FF3602" s="5" t="s">
        <v>238</v>
      </c>
      <c r="FG3602" s="5" t="s">
        <v>238</v>
      </c>
      <c r="FH3602" s="5" t="s">
        <v>238</v>
      </c>
      <c r="FI3602" s="5" t="s">
        <v>238</v>
      </c>
      <c r="FJ3602" s="5" t="s">
        <v>238</v>
      </c>
      <c r="FK3602" s="5" t="s">
        <v>238</v>
      </c>
      <c r="FL3602" s="5" t="s">
        <v>238</v>
      </c>
      <c r="FM3602" s="5" t="s">
        <v>238</v>
      </c>
      <c r="FN3602" s="5" t="s">
        <v>238</v>
      </c>
      <c r="FO3602" s="5" t="s">
        <v>238</v>
      </c>
      <c r="FP3602" s="5" t="s">
        <v>238</v>
      </c>
      <c r="FQ3602" s="5" t="s">
        <v>238</v>
      </c>
      <c r="FR3602" s="5" t="s">
        <v>238</v>
      </c>
      <c r="FS3602" s="5" t="s">
        <v>238</v>
      </c>
      <c r="FT3602" s="5" t="s">
        <v>238</v>
      </c>
      <c r="FU3602" s="5" t="s">
        <v>238</v>
      </c>
      <c r="FV3602" s="5" t="s">
        <v>238</v>
      </c>
      <c r="FW3602" s="5" t="s">
        <v>238</v>
      </c>
      <c r="FX3602" s="5" t="s">
        <v>238</v>
      </c>
      <c r="FY3602" s="5" t="s">
        <v>238</v>
      </c>
      <c r="FZ3602" s="5" t="s">
        <v>238</v>
      </c>
      <c r="GA3602" s="5" t="s">
        <v>238</v>
      </c>
      <c r="GB3602" s="5" t="s">
        <v>238</v>
      </c>
      <c r="GC3602" s="5" t="s">
        <v>238</v>
      </c>
      <c r="GD3602" s="5" t="s">
        <v>238</v>
      </c>
      <c r="GE3602" s="5" t="s">
        <v>238</v>
      </c>
      <c r="GF3602" s="5" t="s">
        <v>238</v>
      </c>
      <c r="GG3602" s="5" t="s">
        <v>238</v>
      </c>
      <c r="GH3602" s="5" t="s">
        <v>238</v>
      </c>
      <c r="GI3602" s="5" t="s">
        <v>238</v>
      </c>
      <c r="GJ3602" s="5" t="s">
        <v>238</v>
      </c>
      <c r="GK3602" s="5" t="s">
        <v>238</v>
      </c>
      <c r="GL3602" s="5" t="s">
        <v>238</v>
      </c>
      <c r="GM3602" s="5" t="s">
        <v>238</v>
      </c>
      <c r="GN3602" s="5" t="s">
        <v>238</v>
      </c>
      <c r="GO3602" s="5" t="s">
        <v>238</v>
      </c>
      <c r="GP3602" s="5" t="s">
        <v>238</v>
      </c>
      <c r="GQ3602" s="5" t="s">
        <v>238</v>
      </c>
      <c r="GR3602" s="5" t="s">
        <v>238</v>
      </c>
      <c r="GS3602" s="5" t="s">
        <v>238</v>
      </c>
      <c r="GT3602" s="5" t="s">
        <v>238</v>
      </c>
      <c r="GU3602" s="5" t="s">
        <v>238</v>
      </c>
      <c r="GV3602" s="5" t="s">
        <v>238</v>
      </c>
      <c r="GW3602" s="5" t="s">
        <v>238</v>
      </c>
      <c r="GX3602" s="5" t="s">
        <v>238</v>
      </c>
      <c r="GY3602" s="5" t="s">
        <v>238</v>
      </c>
      <c r="GZ3602" s="5" t="s">
        <v>238</v>
      </c>
      <c r="HA3602" s="5" t="s">
        <v>238</v>
      </c>
      <c r="HB3602" s="5" t="s">
        <v>238</v>
      </c>
      <c r="HC3602" s="5" t="s">
        <v>238</v>
      </c>
      <c r="HD3602" s="5" t="s">
        <v>238</v>
      </c>
      <c r="HE3602" s="5" t="s">
        <v>238</v>
      </c>
      <c r="HF3602" s="5" t="s">
        <v>238</v>
      </c>
      <c r="HG3602" s="5" t="s">
        <v>238</v>
      </c>
      <c r="HH3602" s="5" t="s">
        <v>238</v>
      </c>
      <c r="HI3602" s="5" t="s">
        <v>238</v>
      </c>
      <c r="HJ3602" s="5" t="s">
        <v>238</v>
      </c>
      <c r="HK3602" s="5" t="s">
        <v>238</v>
      </c>
      <c r="HL3602" s="5" t="s">
        <v>238</v>
      </c>
      <c r="HM3602" s="5" t="s">
        <v>264</v>
      </c>
      <c r="HN3602" s="5" t="s">
        <v>238</v>
      </c>
      <c r="HO3602" s="5" t="s">
        <v>238</v>
      </c>
      <c r="HP3602" s="5" t="s">
        <v>238</v>
      </c>
      <c r="HQ3602" s="5" t="s">
        <v>238</v>
      </c>
      <c r="HR3602" s="5" t="s">
        <v>238</v>
      </c>
      <c r="HS3602" s="5" t="s">
        <v>238</v>
      </c>
      <c r="HT3602" s="5" t="s">
        <v>238</v>
      </c>
      <c r="HU3602" s="5" t="s">
        <v>238</v>
      </c>
      <c r="HV3602" s="5" t="s">
        <v>238</v>
      </c>
      <c r="HW3602" s="5" t="s">
        <v>238</v>
      </c>
      <c r="HX3602" s="5" t="s">
        <v>238</v>
      </c>
      <c r="HY3602" s="5" t="s">
        <v>238</v>
      </c>
      <c r="HZ3602" s="5" t="s">
        <v>238</v>
      </c>
      <c r="IA3602" s="5" t="s">
        <v>238</v>
      </c>
      <c r="IB3602" s="5" t="s">
        <v>238</v>
      </c>
      <c r="IC3602" s="5" t="s">
        <v>238</v>
      </c>
      <c r="ID3602" s="5" t="s">
        <v>238</v>
      </c>
    </row>
    <row r="3603" spans="1:238" x14ac:dyDescent="0.4">
      <c r="A3603" s="5">
        <v>9321</v>
      </c>
      <c r="B3603" s="5">
        <v>1</v>
      </c>
      <c r="C3603" s="5">
        <v>1</v>
      </c>
      <c r="D3603" s="5" t="s">
        <v>484</v>
      </c>
      <c r="E3603" s="5" t="s">
        <v>485</v>
      </c>
      <c r="F3603" s="5" t="s">
        <v>248</v>
      </c>
      <c r="G3603" s="5" t="s">
        <v>5808</v>
      </c>
      <c r="H3603" s="6" t="s">
        <v>5809</v>
      </c>
      <c r="I3603" s="8">
        <f>1</f>
        <v>1</v>
      </c>
      <c r="J3603" s="5" t="s">
        <v>499</v>
      </c>
      <c r="K3603" s="8">
        <f>1</f>
        <v>1</v>
      </c>
      <c r="L3603" s="6" t="s">
        <v>242</v>
      </c>
      <c r="M3603" s="5" t="s">
        <v>267</v>
      </c>
      <c r="N3603" s="5" t="s">
        <v>482</v>
      </c>
      <c r="O3603" s="5" t="s">
        <v>238</v>
      </c>
      <c r="P3603" s="5" t="s">
        <v>238</v>
      </c>
      <c r="Q3603" s="5" t="s">
        <v>239</v>
      </c>
      <c r="R3603" s="5" t="s">
        <v>270</v>
      </c>
      <c r="S3603" s="5" t="s">
        <v>238</v>
      </c>
      <c r="T3603" s="5" t="s">
        <v>238</v>
      </c>
      <c r="U3603" s="5" t="s">
        <v>238</v>
      </c>
      <c r="V3603" s="5" t="s">
        <v>238</v>
      </c>
      <c r="W3603" s="6" t="s">
        <v>238</v>
      </c>
      <c r="X3603" s="6" t="s">
        <v>238</v>
      </c>
      <c r="Y3603" s="5" t="s">
        <v>238</v>
      </c>
      <c r="Z3603" s="6" t="s">
        <v>238</v>
      </c>
      <c r="AA3603" s="6" t="s">
        <v>243</v>
      </c>
      <c r="AB3603" s="5" t="s">
        <v>486</v>
      </c>
      <c r="AC3603" s="5" t="s">
        <v>244</v>
      </c>
      <c r="AD3603" s="5" t="s">
        <v>245</v>
      </c>
      <c r="AE3603" s="5" t="s">
        <v>238</v>
      </c>
      <c r="AF3603" s="5" t="s">
        <v>238</v>
      </c>
      <c r="AG3603" s="5" t="s">
        <v>238</v>
      </c>
      <c r="AH3603" s="5" t="s">
        <v>238</v>
      </c>
      <c r="AI3603" s="5" t="s">
        <v>238</v>
      </c>
      <c r="AJ3603" s="5" t="s">
        <v>238</v>
      </c>
      <c r="AK3603" s="5" t="s">
        <v>238</v>
      </c>
      <c r="AL3603" s="5" t="s">
        <v>238</v>
      </c>
      <c r="AM3603" s="6" t="s">
        <v>238</v>
      </c>
      <c r="AN3603" s="6" t="s">
        <v>238</v>
      </c>
      <c r="AO3603" s="6" t="s">
        <v>238</v>
      </c>
      <c r="AP3603" s="6" t="s">
        <v>238</v>
      </c>
      <c r="AQ3603" s="5" t="s">
        <v>238</v>
      </c>
      <c r="AR3603" s="5" t="s">
        <v>488</v>
      </c>
      <c r="AS3603" s="5" t="s">
        <v>488</v>
      </c>
      <c r="AT3603" s="5" t="s">
        <v>246</v>
      </c>
      <c r="AU3603" s="5" t="s">
        <v>489</v>
      </c>
      <c r="AV3603" s="5" t="s">
        <v>247</v>
      </c>
      <c r="AW3603" s="5" t="s">
        <v>238</v>
      </c>
      <c r="AX3603" s="5" t="s">
        <v>249</v>
      </c>
      <c r="AY3603" s="5" t="s">
        <v>490</v>
      </c>
      <c r="BA3603" s="5" t="s">
        <v>238</v>
      </c>
      <c r="BC3603" s="5" t="s">
        <v>491</v>
      </c>
      <c r="BD3603" s="6" t="s">
        <v>492</v>
      </c>
      <c r="BE3603" s="5" t="s">
        <v>493</v>
      </c>
      <c r="BF3603" s="5" t="s">
        <v>493</v>
      </c>
      <c r="BG3603" s="5" t="s">
        <v>238</v>
      </c>
      <c r="BH3603" s="8">
        <f>1</f>
        <v>1</v>
      </c>
      <c r="BI3603" s="8">
        <f>1</f>
        <v>1</v>
      </c>
      <c r="BJ3603" s="5" t="s">
        <v>253</v>
      </c>
      <c r="BK3603" s="5" t="s">
        <v>254</v>
      </c>
      <c r="BL3603" s="5" t="s">
        <v>238</v>
      </c>
      <c r="BM3603" s="5" t="s">
        <v>238</v>
      </c>
      <c r="BN3603" s="5" t="s">
        <v>238</v>
      </c>
      <c r="BO3603" s="5" t="s">
        <v>238</v>
      </c>
      <c r="BP3603" s="5" t="s">
        <v>238</v>
      </c>
      <c r="BQ3603" s="5" t="s">
        <v>238</v>
      </c>
      <c r="BR3603" s="5" t="s">
        <v>238</v>
      </c>
      <c r="BS3603" s="5" t="s">
        <v>238</v>
      </c>
      <c r="BT3603" s="6" t="s">
        <v>238</v>
      </c>
      <c r="BU3603" s="5" t="s">
        <v>238</v>
      </c>
      <c r="BV3603" s="5" t="s">
        <v>238</v>
      </c>
      <c r="BW3603" s="5" t="s">
        <v>238</v>
      </c>
      <c r="BX3603" s="5" t="s">
        <v>254</v>
      </c>
      <c r="BY3603" s="5" t="s">
        <v>238</v>
      </c>
      <c r="BZ3603" s="5" t="s">
        <v>238</v>
      </c>
      <c r="CA3603" s="5" t="s">
        <v>238</v>
      </c>
      <c r="CB3603" s="5" t="s">
        <v>238</v>
      </c>
      <c r="CC3603" s="5" t="s">
        <v>238</v>
      </c>
      <c r="CD3603" s="5" t="s">
        <v>273</v>
      </c>
      <c r="CE3603" s="5" t="s">
        <v>256</v>
      </c>
      <c r="CF3603" s="5" t="s">
        <v>238</v>
      </c>
      <c r="CH3603" s="5" t="s">
        <v>494</v>
      </c>
      <c r="CI3603" s="6" t="s">
        <v>257</v>
      </c>
      <c r="CJ3603" s="5" t="s">
        <v>495</v>
      </c>
      <c r="CK3603" s="5" t="s">
        <v>258</v>
      </c>
      <c r="CL3603" s="5" t="s">
        <v>496</v>
      </c>
      <c r="CM3603" s="5" t="s">
        <v>238</v>
      </c>
      <c r="CN3603" s="5">
        <v>0</v>
      </c>
      <c r="CO3603" s="5" t="s">
        <v>497</v>
      </c>
      <c r="CP3603" s="5" t="s">
        <v>260</v>
      </c>
      <c r="CQ3603" s="5" t="s">
        <v>260</v>
      </c>
      <c r="CR3603" s="5" t="s">
        <v>261</v>
      </c>
      <c r="CS3603" s="5" t="s">
        <v>498</v>
      </c>
      <c r="CT3603" s="7">
        <f>1</f>
        <v>1</v>
      </c>
      <c r="CU3603" s="8">
        <f>1</f>
        <v>1</v>
      </c>
      <c r="CV3603" s="8">
        <f>0</f>
        <v>0</v>
      </c>
      <c r="CX3603" s="8">
        <f>1</f>
        <v>1</v>
      </c>
      <c r="CY3603" s="8">
        <f>1</f>
        <v>1</v>
      </c>
      <c r="CZ3603" s="8" t="s">
        <v>238</v>
      </c>
      <c r="DA3603" s="5" t="s">
        <v>238</v>
      </c>
      <c r="DB3603" s="5" t="s">
        <v>238</v>
      </c>
      <c r="DC3603" s="5" t="s">
        <v>238</v>
      </c>
      <c r="DD3603" s="5" t="s">
        <v>238</v>
      </c>
      <c r="DE3603" s="8">
        <f>0</f>
        <v>0</v>
      </c>
      <c r="DG3603" s="5" t="s">
        <v>238</v>
      </c>
      <c r="DH3603" s="5" t="s">
        <v>238</v>
      </c>
      <c r="DI3603" s="5" t="s">
        <v>238</v>
      </c>
      <c r="DJ3603" s="5" t="s">
        <v>238</v>
      </c>
      <c r="DK3603" s="5" t="s">
        <v>238</v>
      </c>
      <c r="DL3603" s="5" t="s">
        <v>238</v>
      </c>
      <c r="DM3603" s="8" t="s">
        <v>238</v>
      </c>
      <c r="DN3603" s="5" t="s">
        <v>238</v>
      </c>
      <c r="DO3603" s="5" t="s">
        <v>238</v>
      </c>
      <c r="DP3603" s="5" t="s">
        <v>490</v>
      </c>
      <c r="DQ3603" s="5" t="s">
        <v>490</v>
      </c>
      <c r="DR3603" s="5" t="s">
        <v>238</v>
      </c>
      <c r="DS3603" s="5" t="s">
        <v>238</v>
      </c>
      <c r="DT3603" s="5" t="s">
        <v>500</v>
      </c>
      <c r="DU3603" s="5" t="s">
        <v>1334</v>
      </c>
      <c r="DV3603" s="5" t="s">
        <v>238</v>
      </c>
      <c r="DW3603" s="5" t="s">
        <v>238</v>
      </c>
      <c r="DX3603" s="5" t="s">
        <v>238</v>
      </c>
      <c r="DY3603" s="5" t="s">
        <v>238</v>
      </c>
      <c r="DZ3603" s="5" t="s">
        <v>238</v>
      </c>
      <c r="EA3603" s="5" t="s">
        <v>238</v>
      </c>
      <c r="EB3603" s="5" t="s">
        <v>238</v>
      </c>
      <c r="EC3603" s="5" t="s">
        <v>238</v>
      </c>
      <c r="ED3603" s="5" t="s">
        <v>238</v>
      </c>
      <c r="EE3603" s="5" t="s">
        <v>238</v>
      </c>
      <c r="EF3603" s="5" t="s">
        <v>238</v>
      </c>
      <c r="EG3603" s="5" t="s">
        <v>238</v>
      </c>
      <c r="EH3603" s="5" t="s">
        <v>238</v>
      </c>
      <c r="EI3603" s="5" t="s">
        <v>238</v>
      </c>
      <c r="EJ3603" s="5" t="s">
        <v>238</v>
      </c>
      <c r="EK3603" s="5" t="s">
        <v>238</v>
      </c>
      <c r="EL3603" s="5" t="s">
        <v>238</v>
      </c>
      <c r="EM3603" s="5" t="s">
        <v>238</v>
      </c>
      <c r="EN3603" s="5" t="s">
        <v>238</v>
      </c>
      <c r="EO3603" s="5" t="s">
        <v>238</v>
      </c>
      <c r="EP3603" s="5" t="s">
        <v>238</v>
      </c>
      <c r="EQ3603" s="5" t="s">
        <v>238</v>
      </c>
      <c r="ER3603" s="5" t="s">
        <v>238</v>
      </c>
      <c r="ES3603" s="5" t="s">
        <v>238</v>
      </c>
      <c r="ET3603" s="5" t="s">
        <v>238</v>
      </c>
      <c r="EU3603" s="5" t="s">
        <v>238</v>
      </c>
      <c r="EV3603" s="5" t="s">
        <v>238</v>
      </c>
      <c r="EW3603" s="5" t="s">
        <v>238</v>
      </c>
      <c r="EX3603" s="5" t="s">
        <v>238</v>
      </c>
      <c r="EY3603" s="5" t="s">
        <v>238</v>
      </c>
      <c r="EZ3603" s="5" t="s">
        <v>238</v>
      </c>
      <c r="FA3603" s="5" t="s">
        <v>238</v>
      </c>
      <c r="FB3603" s="5" t="s">
        <v>238</v>
      </c>
      <c r="FC3603" s="5" t="s">
        <v>238</v>
      </c>
      <c r="FD3603" s="5" t="s">
        <v>238</v>
      </c>
      <c r="FE3603" s="5" t="s">
        <v>238</v>
      </c>
      <c r="FF3603" s="5" t="s">
        <v>238</v>
      </c>
      <c r="FG3603" s="5" t="s">
        <v>238</v>
      </c>
      <c r="FH3603" s="5" t="s">
        <v>238</v>
      </c>
      <c r="FI3603" s="5" t="s">
        <v>238</v>
      </c>
      <c r="FJ3603" s="5" t="s">
        <v>238</v>
      </c>
      <c r="FK3603" s="5" t="s">
        <v>238</v>
      </c>
      <c r="FL3603" s="5" t="s">
        <v>238</v>
      </c>
      <c r="FM3603" s="5" t="s">
        <v>238</v>
      </c>
      <c r="FN3603" s="5" t="s">
        <v>238</v>
      </c>
      <c r="FO3603" s="5" t="s">
        <v>238</v>
      </c>
      <c r="FP3603" s="5" t="s">
        <v>238</v>
      </c>
      <c r="FQ3603" s="5" t="s">
        <v>238</v>
      </c>
      <c r="FR3603" s="5" t="s">
        <v>238</v>
      </c>
      <c r="FS3603" s="5" t="s">
        <v>238</v>
      </c>
      <c r="FT3603" s="5" t="s">
        <v>238</v>
      </c>
      <c r="FU3603" s="5" t="s">
        <v>238</v>
      </c>
      <c r="FV3603" s="5" t="s">
        <v>238</v>
      </c>
      <c r="FW3603" s="5" t="s">
        <v>238</v>
      </c>
      <c r="FX3603" s="5" t="s">
        <v>238</v>
      </c>
      <c r="FY3603" s="5" t="s">
        <v>238</v>
      </c>
      <c r="FZ3603" s="5" t="s">
        <v>238</v>
      </c>
      <c r="GA3603" s="5" t="s">
        <v>238</v>
      </c>
      <c r="GB3603" s="5" t="s">
        <v>238</v>
      </c>
      <c r="GC3603" s="5" t="s">
        <v>238</v>
      </c>
      <c r="GD3603" s="5" t="s">
        <v>238</v>
      </c>
      <c r="GE3603" s="5" t="s">
        <v>238</v>
      </c>
      <c r="GF3603" s="5" t="s">
        <v>238</v>
      </c>
      <c r="GG3603" s="5" t="s">
        <v>238</v>
      </c>
      <c r="GH3603" s="5" t="s">
        <v>238</v>
      </c>
      <c r="GI3603" s="5" t="s">
        <v>238</v>
      </c>
      <c r="GJ3603" s="5" t="s">
        <v>238</v>
      </c>
      <c r="GK3603" s="5" t="s">
        <v>238</v>
      </c>
      <c r="GL3603" s="5" t="s">
        <v>238</v>
      </c>
      <c r="GM3603" s="5" t="s">
        <v>238</v>
      </c>
      <c r="GN3603" s="5" t="s">
        <v>238</v>
      </c>
      <c r="GO3603" s="5" t="s">
        <v>238</v>
      </c>
      <c r="GP3603" s="5" t="s">
        <v>238</v>
      </c>
      <c r="GQ3603" s="5" t="s">
        <v>238</v>
      </c>
      <c r="GR3603" s="5" t="s">
        <v>238</v>
      </c>
      <c r="GS3603" s="5" t="s">
        <v>238</v>
      </c>
      <c r="GT3603" s="5" t="s">
        <v>238</v>
      </c>
      <c r="GU3603" s="5" t="s">
        <v>238</v>
      </c>
      <c r="GV3603" s="5" t="s">
        <v>238</v>
      </c>
      <c r="GW3603" s="5" t="s">
        <v>238</v>
      </c>
      <c r="GX3603" s="5" t="s">
        <v>238</v>
      </c>
      <c r="GY3603" s="5" t="s">
        <v>238</v>
      </c>
      <c r="GZ3603" s="5" t="s">
        <v>238</v>
      </c>
      <c r="HA3603" s="5" t="s">
        <v>238</v>
      </c>
      <c r="HB3603" s="5" t="s">
        <v>238</v>
      </c>
      <c r="HC3603" s="5" t="s">
        <v>238</v>
      </c>
      <c r="HD3603" s="5" t="s">
        <v>238</v>
      </c>
      <c r="HE3603" s="5" t="s">
        <v>238</v>
      </c>
      <c r="HF3603" s="5" t="s">
        <v>238</v>
      </c>
      <c r="HG3603" s="5" t="s">
        <v>238</v>
      </c>
      <c r="HH3603" s="5" t="s">
        <v>238</v>
      </c>
      <c r="HI3603" s="5" t="s">
        <v>238</v>
      </c>
      <c r="HJ3603" s="5" t="s">
        <v>238</v>
      </c>
      <c r="HK3603" s="5" t="s">
        <v>238</v>
      </c>
      <c r="HL3603" s="5" t="s">
        <v>238</v>
      </c>
      <c r="HM3603" s="5" t="s">
        <v>264</v>
      </c>
      <c r="HN3603" s="5" t="s">
        <v>238</v>
      </c>
      <c r="HO3603" s="5" t="s">
        <v>238</v>
      </c>
      <c r="HP3603" s="5" t="s">
        <v>238</v>
      </c>
      <c r="HQ3603" s="5" t="s">
        <v>238</v>
      </c>
      <c r="HR3603" s="5" t="s">
        <v>238</v>
      </c>
      <c r="HS3603" s="5" t="s">
        <v>238</v>
      </c>
      <c r="HT3603" s="5" t="s">
        <v>238</v>
      </c>
      <c r="HU3603" s="5" t="s">
        <v>238</v>
      </c>
      <c r="HV3603" s="5" t="s">
        <v>238</v>
      </c>
      <c r="HW3603" s="5" t="s">
        <v>238</v>
      </c>
      <c r="HX3603" s="5" t="s">
        <v>238</v>
      </c>
      <c r="HY3603" s="5" t="s">
        <v>238</v>
      </c>
      <c r="HZ3603" s="5" t="s">
        <v>238</v>
      </c>
      <c r="IA3603" s="5" t="s">
        <v>238</v>
      </c>
      <c r="IB3603" s="5" t="s">
        <v>238</v>
      </c>
      <c r="IC3603" s="5" t="s">
        <v>238</v>
      </c>
      <c r="ID3603" s="5" t="s">
        <v>238</v>
      </c>
    </row>
    <row r="3604" spans="1:238" x14ac:dyDescent="0.4">
      <c r="A3604" s="5">
        <v>9322</v>
      </c>
      <c r="B3604" s="5">
        <v>1</v>
      </c>
      <c r="C3604" s="5">
        <v>1</v>
      </c>
      <c r="D3604" s="5" t="s">
        <v>484</v>
      </c>
      <c r="E3604" s="5" t="s">
        <v>485</v>
      </c>
      <c r="F3604" s="5" t="s">
        <v>248</v>
      </c>
      <c r="G3604" s="5" t="s">
        <v>6418</v>
      </c>
      <c r="H3604" s="6" t="s">
        <v>6420</v>
      </c>
      <c r="I3604" s="8">
        <f>1</f>
        <v>1</v>
      </c>
      <c r="J3604" s="5" t="s">
        <v>499</v>
      </c>
      <c r="K3604" s="8">
        <f>1</f>
        <v>1</v>
      </c>
      <c r="L3604" s="6" t="s">
        <v>242</v>
      </c>
      <c r="M3604" s="5" t="s">
        <v>267</v>
      </c>
      <c r="N3604" s="5" t="s">
        <v>482</v>
      </c>
      <c r="O3604" s="5" t="s">
        <v>238</v>
      </c>
      <c r="P3604" s="5" t="s">
        <v>238</v>
      </c>
      <c r="Q3604" s="5" t="s">
        <v>239</v>
      </c>
      <c r="R3604" s="5" t="s">
        <v>270</v>
      </c>
      <c r="S3604" s="5" t="s">
        <v>238</v>
      </c>
      <c r="T3604" s="5" t="s">
        <v>238</v>
      </c>
      <c r="U3604" s="5" t="s">
        <v>238</v>
      </c>
      <c r="V3604" s="5" t="s">
        <v>238</v>
      </c>
      <c r="W3604" s="6" t="s">
        <v>238</v>
      </c>
      <c r="X3604" s="6" t="s">
        <v>238</v>
      </c>
      <c r="Y3604" s="5" t="s">
        <v>238</v>
      </c>
      <c r="Z3604" s="6" t="s">
        <v>238</v>
      </c>
      <c r="AA3604" s="6" t="s">
        <v>243</v>
      </c>
      <c r="AB3604" s="5" t="s">
        <v>6419</v>
      </c>
      <c r="AC3604" s="5" t="s">
        <v>244</v>
      </c>
      <c r="AD3604" s="5" t="s">
        <v>245</v>
      </c>
      <c r="AE3604" s="5" t="s">
        <v>238</v>
      </c>
      <c r="AF3604" s="5" t="s">
        <v>238</v>
      </c>
      <c r="AG3604" s="5" t="s">
        <v>238</v>
      </c>
      <c r="AH3604" s="5" t="s">
        <v>238</v>
      </c>
      <c r="AI3604" s="5" t="s">
        <v>238</v>
      </c>
      <c r="AJ3604" s="5" t="s">
        <v>238</v>
      </c>
      <c r="AK3604" s="5" t="s">
        <v>238</v>
      </c>
      <c r="AL3604" s="5" t="s">
        <v>238</v>
      </c>
      <c r="AM3604" s="6" t="s">
        <v>238</v>
      </c>
      <c r="AN3604" s="6" t="s">
        <v>238</v>
      </c>
      <c r="AO3604" s="6" t="s">
        <v>238</v>
      </c>
      <c r="AP3604" s="6" t="s">
        <v>238</v>
      </c>
      <c r="AQ3604" s="5" t="s">
        <v>238</v>
      </c>
      <c r="AR3604" s="5" t="s">
        <v>488</v>
      </c>
      <c r="AS3604" s="5" t="s">
        <v>488</v>
      </c>
      <c r="AT3604" s="5" t="s">
        <v>246</v>
      </c>
      <c r="AU3604" s="5" t="s">
        <v>489</v>
      </c>
      <c r="AV3604" s="5" t="s">
        <v>247</v>
      </c>
      <c r="AW3604" s="5" t="s">
        <v>238</v>
      </c>
      <c r="AX3604" s="5" t="s">
        <v>249</v>
      </c>
      <c r="AY3604" s="5" t="s">
        <v>490</v>
      </c>
      <c r="BA3604" s="5" t="s">
        <v>238</v>
      </c>
      <c r="BC3604" s="5" t="s">
        <v>491</v>
      </c>
      <c r="BD3604" s="6" t="s">
        <v>492</v>
      </c>
      <c r="BE3604" s="5" t="s">
        <v>493</v>
      </c>
      <c r="BF3604" s="5" t="s">
        <v>493</v>
      </c>
      <c r="BG3604" s="5" t="s">
        <v>238</v>
      </c>
      <c r="BH3604" s="8">
        <f>1</f>
        <v>1</v>
      </c>
      <c r="BI3604" s="8">
        <f>1</f>
        <v>1</v>
      </c>
      <c r="BJ3604" s="5" t="s">
        <v>253</v>
      </c>
      <c r="BK3604" s="5" t="s">
        <v>254</v>
      </c>
      <c r="BL3604" s="5" t="s">
        <v>238</v>
      </c>
      <c r="BM3604" s="5" t="s">
        <v>238</v>
      </c>
      <c r="BN3604" s="5" t="s">
        <v>238</v>
      </c>
      <c r="BO3604" s="5" t="s">
        <v>238</v>
      </c>
      <c r="BP3604" s="5" t="s">
        <v>238</v>
      </c>
      <c r="BQ3604" s="5" t="s">
        <v>238</v>
      </c>
      <c r="BR3604" s="5" t="s">
        <v>238</v>
      </c>
      <c r="BS3604" s="5" t="s">
        <v>238</v>
      </c>
      <c r="BT3604" s="6" t="s">
        <v>238</v>
      </c>
      <c r="BU3604" s="5" t="s">
        <v>238</v>
      </c>
      <c r="BV3604" s="5" t="s">
        <v>238</v>
      </c>
      <c r="BW3604" s="5" t="s">
        <v>238</v>
      </c>
      <c r="BX3604" s="5" t="s">
        <v>254</v>
      </c>
      <c r="BY3604" s="5" t="s">
        <v>238</v>
      </c>
      <c r="BZ3604" s="5" t="s">
        <v>238</v>
      </c>
      <c r="CA3604" s="5" t="s">
        <v>238</v>
      </c>
      <c r="CB3604" s="5" t="s">
        <v>238</v>
      </c>
      <c r="CC3604" s="5" t="s">
        <v>238</v>
      </c>
      <c r="CD3604" s="5" t="s">
        <v>273</v>
      </c>
      <c r="CE3604" s="5" t="s">
        <v>256</v>
      </c>
      <c r="CF3604" s="5" t="s">
        <v>238</v>
      </c>
      <c r="CH3604" s="5" t="s">
        <v>494</v>
      </c>
      <c r="CI3604" s="6" t="s">
        <v>257</v>
      </c>
      <c r="CJ3604" s="5" t="s">
        <v>495</v>
      </c>
      <c r="CK3604" s="5" t="s">
        <v>258</v>
      </c>
      <c r="CL3604" s="5" t="s">
        <v>496</v>
      </c>
      <c r="CM3604" s="5" t="s">
        <v>238</v>
      </c>
      <c r="CN3604" s="5">
        <v>0</v>
      </c>
      <c r="CO3604" s="5" t="s">
        <v>497</v>
      </c>
      <c r="CP3604" s="5" t="s">
        <v>260</v>
      </c>
      <c r="CQ3604" s="5" t="s">
        <v>260</v>
      </c>
      <c r="CR3604" s="5" t="s">
        <v>261</v>
      </c>
      <c r="CS3604" s="5" t="s">
        <v>498</v>
      </c>
      <c r="CT3604" s="7">
        <f>1</f>
        <v>1</v>
      </c>
      <c r="CU3604" s="8">
        <f>1</f>
        <v>1</v>
      </c>
      <c r="CV3604" s="8">
        <f>0</f>
        <v>0</v>
      </c>
      <c r="CX3604" s="8">
        <f>1</f>
        <v>1</v>
      </c>
      <c r="CY3604" s="8">
        <f>1</f>
        <v>1</v>
      </c>
      <c r="CZ3604" s="8" t="s">
        <v>238</v>
      </c>
      <c r="DA3604" s="5" t="s">
        <v>238</v>
      </c>
      <c r="DB3604" s="5" t="s">
        <v>238</v>
      </c>
      <c r="DC3604" s="5" t="s">
        <v>238</v>
      </c>
      <c r="DD3604" s="5" t="s">
        <v>238</v>
      </c>
      <c r="DE3604" s="8">
        <f>0</f>
        <v>0</v>
      </c>
      <c r="DG3604" s="5" t="s">
        <v>238</v>
      </c>
      <c r="DH3604" s="5" t="s">
        <v>238</v>
      </c>
      <c r="DI3604" s="5" t="s">
        <v>238</v>
      </c>
      <c r="DJ3604" s="5" t="s">
        <v>238</v>
      </c>
      <c r="DK3604" s="5" t="s">
        <v>238</v>
      </c>
      <c r="DL3604" s="5" t="s">
        <v>238</v>
      </c>
      <c r="DM3604" s="8" t="s">
        <v>238</v>
      </c>
      <c r="DN3604" s="5" t="s">
        <v>238</v>
      </c>
      <c r="DO3604" s="5" t="s">
        <v>238</v>
      </c>
      <c r="DP3604" s="5" t="s">
        <v>490</v>
      </c>
      <c r="DQ3604" s="5" t="s">
        <v>490</v>
      </c>
      <c r="DR3604" s="5" t="s">
        <v>238</v>
      </c>
      <c r="DS3604" s="5" t="s">
        <v>238</v>
      </c>
      <c r="DT3604" s="5" t="s">
        <v>500</v>
      </c>
      <c r="DU3604" s="5" t="s">
        <v>1350</v>
      </c>
      <c r="DV3604" s="5" t="s">
        <v>238</v>
      </c>
      <c r="DW3604" s="5" t="s">
        <v>238</v>
      </c>
      <c r="DX3604" s="5" t="s">
        <v>238</v>
      </c>
      <c r="DY3604" s="5" t="s">
        <v>238</v>
      </c>
      <c r="DZ3604" s="5" t="s">
        <v>238</v>
      </c>
      <c r="EA3604" s="5" t="s">
        <v>238</v>
      </c>
      <c r="EB3604" s="5" t="s">
        <v>238</v>
      </c>
      <c r="EC3604" s="5" t="s">
        <v>238</v>
      </c>
      <c r="ED3604" s="5" t="s">
        <v>238</v>
      </c>
      <c r="EE3604" s="5" t="s">
        <v>238</v>
      </c>
      <c r="EF3604" s="5" t="s">
        <v>238</v>
      </c>
      <c r="EG3604" s="5" t="s">
        <v>238</v>
      </c>
      <c r="EH3604" s="5" t="s">
        <v>238</v>
      </c>
      <c r="EI3604" s="5" t="s">
        <v>238</v>
      </c>
      <c r="EJ3604" s="5" t="s">
        <v>238</v>
      </c>
      <c r="EK3604" s="5" t="s">
        <v>238</v>
      </c>
      <c r="EL3604" s="5" t="s">
        <v>238</v>
      </c>
      <c r="EM3604" s="5" t="s">
        <v>238</v>
      </c>
      <c r="EN3604" s="5" t="s">
        <v>238</v>
      </c>
      <c r="EO3604" s="5" t="s">
        <v>238</v>
      </c>
      <c r="EP3604" s="5" t="s">
        <v>238</v>
      </c>
      <c r="EQ3604" s="5" t="s">
        <v>238</v>
      </c>
      <c r="ER3604" s="5" t="s">
        <v>238</v>
      </c>
      <c r="ES3604" s="5" t="s">
        <v>238</v>
      </c>
      <c r="ET3604" s="5" t="s">
        <v>238</v>
      </c>
      <c r="EU3604" s="5" t="s">
        <v>238</v>
      </c>
      <c r="EV3604" s="5" t="s">
        <v>238</v>
      </c>
      <c r="EW3604" s="5" t="s">
        <v>238</v>
      </c>
      <c r="EX3604" s="5" t="s">
        <v>238</v>
      </c>
      <c r="EY3604" s="5" t="s">
        <v>238</v>
      </c>
      <c r="EZ3604" s="5" t="s">
        <v>238</v>
      </c>
      <c r="FA3604" s="5" t="s">
        <v>238</v>
      </c>
      <c r="FB3604" s="5" t="s">
        <v>238</v>
      </c>
      <c r="FC3604" s="5" t="s">
        <v>238</v>
      </c>
      <c r="FD3604" s="5" t="s">
        <v>238</v>
      </c>
      <c r="FE3604" s="5" t="s">
        <v>238</v>
      </c>
      <c r="FF3604" s="5" t="s">
        <v>238</v>
      </c>
      <c r="FG3604" s="5" t="s">
        <v>238</v>
      </c>
      <c r="FH3604" s="5" t="s">
        <v>238</v>
      </c>
      <c r="FI3604" s="5" t="s">
        <v>238</v>
      </c>
      <c r="FJ3604" s="5" t="s">
        <v>238</v>
      </c>
      <c r="FK3604" s="5" t="s">
        <v>238</v>
      </c>
      <c r="FL3604" s="5" t="s">
        <v>238</v>
      </c>
      <c r="FM3604" s="5" t="s">
        <v>238</v>
      </c>
      <c r="FN3604" s="5" t="s">
        <v>238</v>
      </c>
      <c r="FO3604" s="5" t="s">
        <v>238</v>
      </c>
      <c r="FP3604" s="5" t="s">
        <v>238</v>
      </c>
      <c r="FQ3604" s="5" t="s">
        <v>238</v>
      </c>
      <c r="FR3604" s="5" t="s">
        <v>238</v>
      </c>
      <c r="FS3604" s="5" t="s">
        <v>238</v>
      </c>
      <c r="FT3604" s="5" t="s">
        <v>238</v>
      </c>
      <c r="FU3604" s="5" t="s">
        <v>238</v>
      </c>
      <c r="FV3604" s="5" t="s">
        <v>238</v>
      </c>
      <c r="FW3604" s="5" t="s">
        <v>238</v>
      </c>
      <c r="FX3604" s="5" t="s">
        <v>238</v>
      </c>
      <c r="FY3604" s="5" t="s">
        <v>238</v>
      </c>
      <c r="FZ3604" s="5" t="s">
        <v>238</v>
      </c>
      <c r="GA3604" s="5" t="s">
        <v>238</v>
      </c>
      <c r="GB3604" s="5" t="s">
        <v>238</v>
      </c>
      <c r="GC3604" s="5" t="s">
        <v>238</v>
      </c>
      <c r="GD3604" s="5" t="s">
        <v>238</v>
      </c>
      <c r="GE3604" s="5" t="s">
        <v>238</v>
      </c>
      <c r="GF3604" s="5" t="s">
        <v>238</v>
      </c>
      <c r="GG3604" s="5" t="s">
        <v>238</v>
      </c>
      <c r="GH3604" s="5" t="s">
        <v>238</v>
      </c>
      <c r="GI3604" s="5" t="s">
        <v>238</v>
      </c>
      <c r="GJ3604" s="5" t="s">
        <v>238</v>
      </c>
      <c r="GK3604" s="5" t="s">
        <v>238</v>
      </c>
      <c r="GL3604" s="5" t="s">
        <v>238</v>
      </c>
      <c r="GM3604" s="5" t="s">
        <v>238</v>
      </c>
      <c r="GN3604" s="5" t="s">
        <v>238</v>
      </c>
      <c r="GO3604" s="5" t="s">
        <v>238</v>
      </c>
      <c r="GP3604" s="5" t="s">
        <v>238</v>
      </c>
      <c r="GQ3604" s="5" t="s">
        <v>238</v>
      </c>
      <c r="GR3604" s="5" t="s">
        <v>238</v>
      </c>
      <c r="GS3604" s="5" t="s">
        <v>238</v>
      </c>
      <c r="GT3604" s="5" t="s">
        <v>238</v>
      </c>
      <c r="GU3604" s="5" t="s">
        <v>238</v>
      </c>
      <c r="GV3604" s="5" t="s">
        <v>238</v>
      </c>
      <c r="GW3604" s="5" t="s">
        <v>238</v>
      </c>
      <c r="GX3604" s="5" t="s">
        <v>238</v>
      </c>
      <c r="GY3604" s="5" t="s">
        <v>238</v>
      </c>
      <c r="GZ3604" s="5" t="s">
        <v>238</v>
      </c>
      <c r="HA3604" s="5" t="s">
        <v>238</v>
      </c>
      <c r="HB3604" s="5" t="s">
        <v>238</v>
      </c>
      <c r="HC3604" s="5" t="s">
        <v>238</v>
      </c>
      <c r="HD3604" s="5" t="s">
        <v>238</v>
      </c>
      <c r="HE3604" s="5" t="s">
        <v>238</v>
      </c>
      <c r="HF3604" s="5" t="s">
        <v>238</v>
      </c>
      <c r="HG3604" s="5" t="s">
        <v>238</v>
      </c>
      <c r="HH3604" s="5" t="s">
        <v>238</v>
      </c>
      <c r="HI3604" s="5" t="s">
        <v>238</v>
      </c>
      <c r="HJ3604" s="5" t="s">
        <v>238</v>
      </c>
      <c r="HK3604" s="5" t="s">
        <v>238</v>
      </c>
      <c r="HL3604" s="5" t="s">
        <v>238</v>
      </c>
      <c r="HM3604" s="5" t="s">
        <v>264</v>
      </c>
      <c r="HN3604" s="5" t="s">
        <v>238</v>
      </c>
      <c r="HO3604" s="5" t="s">
        <v>238</v>
      </c>
      <c r="HP3604" s="5" t="s">
        <v>238</v>
      </c>
      <c r="HQ3604" s="5" t="s">
        <v>238</v>
      </c>
      <c r="HR3604" s="5" t="s">
        <v>238</v>
      </c>
      <c r="HS3604" s="5" t="s">
        <v>238</v>
      </c>
      <c r="HT3604" s="5" t="s">
        <v>238</v>
      </c>
      <c r="HU3604" s="5" t="s">
        <v>238</v>
      </c>
      <c r="HV3604" s="5" t="s">
        <v>238</v>
      </c>
      <c r="HW3604" s="5" t="s">
        <v>238</v>
      </c>
      <c r="HX3604" s="5" t="s">
        <v>238</v>
      </c>
      <c r="HY3604" s="5" t="s">
        <v>238</v>
      </c>
      <c r="HZ3604" s="5" t="s">
        <v>238</v>
      </c>
      <c r="IA3604" s="5" t="s">
        <v>238</v>
      </c>
      <c r="IB3604" s="5" t="s">
        <v>238</v>
      </c>
      <c r="IC3604" s="5" t="s">
        <v>238</v>
      </c>
      <c r="ID3604" s="5" t="s">
        <v>238</v>
      </c>
    </row>
    <row r="3605" spans="1:238" x14ac:dyDescent="0.4">
      <c r="A3605" s="5">
        <v>9323</v>
      </c>
      <c r="B3605" s="5">
        <v>1</v>
      </c>
      <c r="C3605" s="5">
        <v>1</v>
      </c>
      <c r="D3605" s="5" t="s">
        <v>484</v>
      </c>
      <c r="E3605" s="5" t="s">
        <v>485</v>
      </c>
      <c r="F3605" s="5" t="s">
        <v>248</v>
      </c>
      <c r="G3605" s="5" t="s">
        <v>4420</v>
      </c>
      <c r="H3605" s="6" t="s">
        <v>4421</v>
      </c>
      <c r="I3605" s="8">
        <f>1</f>
        <v>1</v>
      </c>
      <c r="J3605" s="5" t="s">
        <v>499</v>
      </c>
      <c r="K3605" s="8">
        <f>1</f>
        <v>1</v>
      </c>
      <c r="L3605" s="6" t="s">
        <v>242</v>
      </c>
      <c r="M3605" s="5" t="s">
        <v>267</v>
      </c>
      <c r="N3605" s="5" t="s">
        <v>482</v>
      </c>
      <c r="O3605" s="5" t="s">
        <v>238</v>
      </c>
      <c r="P3605" s="5" t="s">
        <v>238</v>
      </c>
      <c r="Q3605" s="5" t="s">
        <v>239</v>
      </c>
      <c r="R3605" s="5" t="s">
        <v>270</v>
      </c>
      <c r="S3605" s="5" t="s">
        <v>238</v>
      </c>
      <c r="T3605" s="5" t="s">
        <v>238</v>
      </c>
      <c r="U3605" s="5" t="s">
        <v>238</v>
      </c>
      <c r="V3605" s="5" t="s">
        <v>238</v>
      </c>
      <c r="W3605" s="6" t="s">
        <v>238</v>
      </c>
      <c r="X3605" s="6" t="s">
        <v>238</v>
      </c>
      <c r="Y3605" s="5" t="s">
        <v>238</v>
      </c>
      <c r="Z3605" s="6" t="s">
        <v>238</v>
      </c>
      <c r="AA3605" s="6" t="s">
        <v>243</v>
      </c>
      <c r="AB3605" s="5" t="s">
        <v>486</v>
      </c>
      <c r="AC3605" s="5" t="s">
        <v>244</v>
      </c>
      <c r="AD3605" s="5" t="s">
        <v>245</v>
      </c>
      <c r="AE3605" s="5" t="s">
        <v>238</v>
      </c>
      <c r="AF3605" s="5" t="s">
        <v>238</v>
      </c>
      <c r="AG3605" s="5" t="s">
        <v>238</v>
      </c>
      <c r="AH3605" s="5" t="s">
        <v>238</v>
      </c>
      <c r="AI3605" s="5" t="s">
        <v>238</v>
      </c>
      <c r="AJ3605" s="5" t="s">
        <v>238</v>
      </c>
      <c r="AK3605" s="5" t="s">
        <v>238</v>
      </c>
      <c r="AL3605" s="5" t="s">
        <v>238</v>
      </c>
      <c r="AM3605" s="6" t="s">
        <v>238</v>
      </c>
      <c r="AN3605" s="6" t="s">
        <v>238</v>
      </c>
      <c r="AO3605" s="6" t="s">
        <v>238</v>
      </c>
      <c r="AP3605" s="6" t="s">
        <v>238</v>
      </c>
      <c r="AQ3605" s="5" t="s">
        <v>238</v>
      </c>
      <c r="AR3605" s="5" t="s">
        <v>488</v>
      </c>
      <c r="AS3605" s="5" t="s">
        <v>488</v>
      </c>
      <c r="AT3605" s="5" t="s">
        <v>246</v>
      </c>
      <c r="AU3605" s="5" t="s">
        <v>489</v>
      </c>
      <c r="AV3605" s="5" t="s">
        <v>247</v>
      </c>
      <c r="AW3605" s="5" t="s">
        <v>238</v>
      </c>
      <c r="AX3605" s="5" t="s">
        <v>249</v>
      </c>
      <c r="AY3605" s="5" t="s">
        <v>490</v>
      </c>
      <c r="BA3605" s="5" t="s">
        <v>238</v>
      </c>
      <c r="BC3605" s="5" t="s">
        <v>491</v>
      </c>
      <c r="BD3605" s="6" t="s">
        <v>492</v>
      </c>
      <c r="BE3605" s="5" t="s">
        <v>493</v>
      </c>
      <c r="BF3605" s="5" t="s">
        <v>493</v>
      </c>
      <c r="BG3605" s="5" t="s">
        <v>238</v>
      </c>
      <c r="BH3605" s="8">
        <f>1</f>
        <v>1</v>
      </c>
      <c r="BI3605" s="8">
        <f>1</f>
        <v>1</v>
      </c>
      <c r="BJ3605" s="5" t="s">
        <v>253</v>
      </c>
      <c r="BK3605" s="5" t="s">
        <v>254</v>
      </c>
      <c r="BL3605" s="5" t="s">
        <v>238</v>
      </c>
      <c r="BM3605" s="5" t="s">
        <v>238</v>
      </c>
      <c r="BN3605" s="5" t="s">
        <v>238</v>
      </c>
      <c r="BO3605" s="5" t="s">
        <v>238</v>
      </c>
      <c r="BP3605" s="5" t="s">
        <v>238</v>
      </c>
      <c r="BQ3605" s="5" t="s">
        <v>238</v>
      </c>
      <c r="BR3605" s="5" t="s">
        <v>238</v>
      </c>
      <c r="BS3605" s="5" t="s">
        <v>238</v>
      </c>
      <c r="BT3605" s="6" t="s">
        <v>238</v>
      </c>
      <c r="BU3605" s="5" t="s">
        <v>238</v>
      </c>
      <c r="BV3605" s="5" t="s">
        <v>238</v>
      </c>
      <c r="BW3605" s="5" t="s">
        <v>238</v>
      </c>
      <c r="BX3605" s="5" t="s">
        <v>254</v>
      </c>
      <c r="BY3605" s="5" t="s">
        <v>238</v>
      </c>
      <c r="BZ3605" s="5" t="s">
        <v>238</v>
      </c>
      <c r="CA3605" s="5" t="s">
        <v>238</v>
      </c>
      <c r="CB3605" s="5" t="s">
        <v>238</v>
      </c>
      <c r="CC3605" s="5" t="s">
        <v>238</v>
      </c>
      <c r="CD3605" s="5" t="s">
        <v>273</v>
      </c>
      <c r="CE3605" s="5" t="s">
        <v>256</v>
      </c>
      <c r="CF3605" s="5" t="s">
        <v>238</v>
      </c>
      <c r="CH3605" s="5" t="s">
        <v>494</v>
      </c>
      <c r="CI3605" s="6" t="s">
        <v>257</v>
      </c>
      <c r="CJ3605" s="5" t="s">
        <v>495</v>
      </c>
      <c r="CK3605" s="5" t="s">
        <v>258</v>
      </c>
      <c r="CL3605" s="5" t="s">
        <v>496</v>
      </c>
      <c r="CM3605" s="5" t="s">
        <v>238</v>
      </c>
      <c r="CN3605" s="5">
        <v>0</v>
      </c>
      <c r="CO3605" s="5" t="s">
        <v>497</v>
      </c>
      <c r="CP3605" s="5" t="s">
        <v>260</v>
      </c>
      <c r="CQ3605" s="5" t="s">
        <v>260</v>
      </c>
      <c r="CR3605" s="5" t="s">
        <v>261</v>
      </c>
      <c r="CS3605" s="5" t="s">
        <v>498</v>
      </c>
      <c r="CT3605" s="7">
        <f>1</f>
        <v>1</v>
      </c>
      <c r="CU3605" s="8">
        <f>1</f>
        <v>1</v>
      </c>
      <c r="CV3605" s="8">
        <f>0</f>
        <v>0</v>
      </c>
      <c r="CX3605" s="8">
        <f>1</f>
        <v>1</v>
      </c>
      <c r="CY3605" s="8">
        <f>1</f>
        <v>1</v>
      </c>
      <c r="CZ3605" s="8" t="s">
        <v>238</v>
      </c>
      <c r="DA3605" s="5" t="s">
        <v>238</v>
      </c>
      <c r="DB3605" s="5" t="s">
        <v>238</v>
      </c>
      <c r="DC3605" s="5" t="s">
        <v>238</v>
      </c>
      <c r="DD3605" s="5" t="s">
        <v>238</v>
      </c>
      <c r="DE3605" s="8">
        <f>0</f>
        <v>0</v>
      </c>
      <c r="DG3605" s="5" t="s">
        <v>238</v>
      </c>
      <c r="DH3605" s="5" t="s">
        <v>238</v>
      </c>
      <c r="DI3605" s="5" t="s">
        <v>238</v>
      </c>
      <c r="DJ3605" s="5" t="s">
        <v>238</v>
      </c>
      <c r="DK3605" s="5" t="s">
        <v>238</v>
      </c>
      <c r="DL3605" s="5" t="s">
        <v>238</v>
      </c>
      <c r="DM3605" s="8" t="s">
        <v>238</v>
      </c>
      <c r="DN3605" s="5" t="s">
        <v>238</v>
      </c>
      <c r="DO3605" s="5" t="s">
        <v>238</v>
      </c>
      <c r="DP3605" s="5" t="s">
        <v>490</v>
      </c>
      <c r="DQ3605" s="5" t="s">
        <v>490</v>
      </c>
      <c r="DR3605" s="5" t="s">
        <v>238</v>
      </c>
      <c r="DS3605" s="5" t="s">
        <v>238</v>
      </c>
      <c r="DT3605" s="5" t="s">
        <v>500</v>
      </c>
      <c r="DU3605" s="5" t="s">
        <v>1370</v>
      </c>
      <c r="DV3605" s="5" t="s">
        <v>238</v>
      </c>
      <c r="DW3605" s="5" t="s">
        <v>238</v>
      </c>
      <c r="DX3605" s="5" t="s">
        <v>238</v>
      </c>
      <c r="DY3605" s="5" t="s">
        <v>238</v>
      </c>
      <c r="DZ3605" s="5" t="s">
        <v>238</v>
      </c>
      <c r="EA3605" s="5" t="s">
        <v>238</v>
      </c>
      <c r="EB3605" s="5" t="s">
        <v>238</v>
      </c>
      <c r="EC3605" s="5" t="s">
        <v>238</v>
      </c>
      <c r="ED3605" s="5" t="s">
        <v>238</v>
      </c>
      <c r="EE3605" s="5" t="s">
        <v>238</v>
      </c>
      <c r="EF3605" s="5" t="s">
        <v>238</v>
      </c>
      <c r="EG3605" s="5" t="s">
        <v>238</v>
      </c>
      <c r="EH3605" s="5" t="s">
        <v>238</v>
      </c>
      <c r="EI3605" s="5" t="s">
        <v>238</v>
      </c>
      <c r="EJ3605" s="5" t="s">
        <v>238</v>
      </c>
      <c r="EK3605" s="5" t="s">
        <v>238</v>
      </c>
      <c r="EL3605" s="5" t="s">
        <v>238</v>
      </c>
      <c r="EM3605" s="5" t="s">
        <v>238</v>
      </c>
      <c r="EN3605" s="5" t="s">
        <v>238</v>
      </c>
      <c r="EO3605" s="5" t="s">
        <v>238</v>
      </c>
      <c r="EP3605" s="5" t="s">
        <v>238</v>
      </c>
      <c r="EQ3605" s="5" t="s">
        <v>238</v>
      </c>
      <c r="ER3605" s="5" t="s">
        <v>238</v>
      </c>
      <c r="ES3605" s="5" t="s">
        <v>238</v>
      </c>
      <c r="ET3605" s="5" t="s">
        <v>238</v>
      </c>
      <c r="EU3605" s="5" t="s">
        <v>238</v>
      </c>
      <c r="EV3605" s="5" t="s">
        <v>238</v>
      </c>
      <c r="EW3605" s="5" t="s">
        <v>238</v>
      </c>
      <c r="EX3605" s="5" t="s">
        <v>238</v>
      </c>
      <c r="EY3605" s="5" t="s">
        <v>238</v>
      </c>
      <c r="EZ3605" s="5" t="s">
        <v>238</v>
      </c>
      <c r="FA3605" s="5" t="s">
        <v>238</v>
      </c>
      <c r="FB3605" s="5" t="s">
        <v>238</v>
      </c>
      <c r="FC3605" s="5" t="s">
        <v>238</v>
      </c>
      <c r="FD3605" s="5" t="s">
        <v>238</v>
      </c>
      <c r="FE3605" s="5" t="s">
        <v>238</v>
      </c>
      <c r="FF3605" s="5" t="s">
        <v>238</v>
      </c>
      <c r="FG3605" s="5" t="s">
        <v>238</v>
      </c>
      <c r="FH3605" s="5" t="s">
        <v>238</v>
      </c>
      <c r="FI3605" s="5" t="s">
        <v>238</v>
      </c>
      <c r="FJ3605" s="5" t="s">
        <v>238</v>
      </c>
      <c r="FK3605" s="5" t="s">
        <v>238</v>
      </c>
      <c r="FL3605" s="5" t="s">
        <v>238</v>
      </c>
      <c r="FM3605" s="5" t="s">
        <v>238</v>
      </c>
      <c r="FN3605" s="5" t="s">
        <v>238</v>
      </c>
      <c r="FO3605" s="5" t="s">
        <v>238</v>
      </c>
      <c r="FP3605" s="5" t="s">
        <v>238</v>
      </c>
      <c r="FQ3605" s="5" t="s">
        <v>238</v>
      </c>
      <c r="FR3605" s="5" t="s">
        <v>238</v>
      </c>
      <c r="FS3605" s="5" t="s">
        <v>238</v>
      </c>
      <c r="FT3605" s="5" t="s">
        <v>238</v>
      </c>
      <c r="FU3605" s="5" t="s">
        <v>238</v>
      </c>
      <c r="FV3605" s="5" t="s">
        <v>238</v>
      </c>
      <c r="FW3605" s="5" t="s">
        <v>238</v>
      </c>
      <c r="FX3605" s="5" t="s">
        <v>238</v>
      </c>
      <c r="FY3605" s="5" t="s">
        <v>238</v>
      </c>
      <c r="FZ3605" s="5" t="s">
        <v>238</v>
      </c>
      <c r="GA3605" s="5" t="s">
        <v>238</v>
      </c>
      <c r="GB3605" s="5" t="s">
        <v>238</v>
      </c>
      <c r="GC3605" s="5" t="s">
        <v>238</v>
      </c>
      <c r="GD3605" s="5" t="s">
        <v>238</v>
      </c>
      <c r="GE3605" s="5" t="s">
        <v>238</v>
      </c>
      <c r="GF3605" s="5" t="s">
        <v>238</v>
      </c>
      <c r="GG3605" s="5" t="s">
        <v>238</v>
      </c>
      <c r="GH3605" s="5" t="s">
        <v>238</v>
      </c>
      <c r="GI3605" s="5" t="s">
        <v>238</v>
      </c>
      <c r="GJ3605" s="5" t="s">
        <v>238</v>
      </c>
      <c r="GK3605" s="5" t="s">
        <v>238</v>
      </c>
      <c r="GL3605" s="5" t="s">
        <v>238</v>
      </c>
      <c r="GM3605" s="5" t="s">
        <v>238</v>
      </c>
      <c r="GN3605" s="5" t="s">
        <v>238</v>
      </c>
      <c r="GO3605" s="5" t="s">
        <v>238</v>
      </c>
      <c r="GP3605" s="5" t="s">
        <v>238</v>
      </c>
      <c r="GQ3605" s="5" t="s">
        <v>238</v>
      </c>
      <c r="GR3605" s="5" t="s">
        <v>238</v>
      </c>
      <c r="GS3605" s="5" t="s">
        <v>238</v>
      </c>
      <c r="GT3605" s="5" t="s">
        <v>238</v>
      </c>
      <c r="GU3605" s="5" t="s">
        <v>238</v>
      </c>
      <c r="GV3605" s="5" t="s">
        <v>238</v>
      </c>
      <c r="GW3605" s="5" t="s">
        <v>238</v>
      </c>
      <c r="GX3605" s="5" t="s">
        <v>238</v>
      </c>
      <c r="GY3605" s="5" t="s">
        <v>238</v>
      </c>
      <c r="GZ3605" s="5" t="s">
        <v>238</v>
      </c>
      <c r="HA3605" s="5" t="s">
        <v>238</v>
      </c>
      <c r="HB3605" s="5" t="s">
        <v>238</v>
      </c>
      <c r="HC3605" s="5" t="s">
        <v>238</v>
      </c>
      <c r="HD3605" s="5" t="s">
        <v>238</v>
      </c>
      <c r="HE3605" s="5" t="s">
        <v>238</v>
      </c>
      <c r="HF3605" s="5" t="s">
        <v>238</v>
      </c>
      <c r="HG3605" s="5" t="s">
        <v>238</v>
      </c>
      <c r="HH3605" s="5" t="s">
        <v>238</v>
      </c>
      <c r="HI3605" s="5" t="s">
        <v>238</v>
      </c>
      <c r="HJ3605" s="5" t="s">
        <v>238</v>
      </c>
      <c r="HK3605" s="5" t="s">
        <v>238</v>
      </c>
      <c r="HL3605" s="5" t="s">
        <v>238</v>
      </c>
      <c r="HM3605" s="5" t="s">
        <v>264</v>
      </c>
      <c r="HN3605" s="5" t="s">
        <v>238</v>
      </c>
      <c r="HO3605" s="5" t="s">
        <v>238</v>
      </c>
      <c r="HP3605" s="5" t="s">
        <v>238</v>
      </c>
      <c r="HQ3605" s="5" t="s">
        <v>238</v>
      </c>
      <c r="HR3605" s="5" t="s">
        <v>238</v>
      </c>
      <c r="HS3605" s="5" t="s">
        <v>238</v>
      </c>
      <c r="HT3605" s="5" t="s">
        <v>238</v>
      </c>
      <c r="HU3605" s="5" t="s">
        <v>238</v>
      </c>
      <c r="HV3605" s="5" t="s">
        <v>238</v>
      </c>
      <c r="HW3605" s="5" t="s">
        <v>238</v>
      </c>
      <c r="HX3605" s="5" t="s">
        <v>238</v>
      </c>
      <c r="HY3605" s="5" t="s">
        <v>238</v>
      </c>
      <c r="HZ3605" s="5" t="s">
        <v>238</v>
      </c>
      <c r="IA3605" s="5" t="s">
        <v>238</v>
      </c>
      <c r="IB3605" s="5" t="s">
        <v>238</v>
      </c>
      <c r="IC3605" s="5" t="s">
        <v>238</v>
      </c>
      <c r="ID3605" s="5" t="s">
        <v>238</v>
      </c>
    </row>
    <row r="3606" spans="1:238" x14ac:dyDescent="0.4">
      <c r="A3606" s="5">
        <v>9324</v>
      </c>
      <c r="B3606" s="5">
        <v>1</v>
      </c>
      <c r="C3606" s="5">
        <v>1</v>
      </c>
      <c r="D3606" s="5" t="s">
        <v>484</v>
      </c>
      <c r="E3606" s="5" t="s">
        <v>485</v>
      </c>
      <c r="F3606" s="5" t="s">
        <v>248</v>
      </c>
      <c r="G3606" s="5" t="s">
        <v>5423</v>
      </c>
      <c r="H3606" s="6" t="s">
        <v>5424</v>
      </c>
      <c r="I3606" s="8">
        <f>1</f>
        <v>1</v>
      </c>
      <c r="J3606" s="5" t="s">
        <v>499</v>
      </c>
      <c r="K3606" s="8">
        <f>1</f>
        <v>1</v>
      </c>
      <c r="L3606" s="6" t="s">
        <v>242</v>
      </c>
      <c r="M3606" s="5" t="s">
        <v>267</v>
      </c>
      <c r="N3606" s="5" t="s">
        <v>482</v>
      </c>
      <c r="O3606" s="5" t="s">
        <v>238</v>
      </c>
      <c r="P3606" s="5" t="s">
        <v>238</v>
      </c>
      <c r="Q3606" s="5" t="s">
        <v>239</v>
      </c>
      <c r="R3606" s="5" t="s">
        <v>270</v>
      </c>
      <c r="S3606" s="5" t="s">
        <v>238</v>
      </c>
      <c r="T3606" s="5" t="s">
        <v>238</v>
      </c>
      <c r="U3606" s="5" t="s">
        <v>238</v>
      </c>
      <c r="V3606" s="5" t="s">
        <v>238</v>
      </c>
      <c r="W3606" s="6" t="s">
        <v>238</v>
      </c>
      <c r="X3606" s="6" t="s">
        <v>238</v>
      </c>
      <c r="Y3606" s="5" t="s">
        <v>238</v>
      </c>
      <c r="Z3606" s="6" t="s">
        <v>238</v>
      </c>
      <c r="AA3606" s="6" t="s">
        <v>243</v>
      </c>
      <c r="AB3606" s="5" t="s">
        <v>486</v>
      </c>
      <c r="AC3606" s="5" t="s">
        <v>244</v>
      </c>
      <c r="AD3606" s="5" t="s">
        <v>245</v>
      </c>
      <c r="AE3606" s="5" t="s">
        <v>238</v>
      </c>
      <c r="AF3606" s="5" t="s">
        <v>238</v>
      </c>
      <c r="AG3606" s="5" t="s">
        <v>238</v>
      </c>
      <c r="AH3606" s="5" t="s">
        <v>238</v>
      </c>
      <c r="AI3606" s="5" t="s">
        <v>238</v>
      </c>
      <c r="AJ3606" s="5" t="s">
        <v>238</v>
      </c>
      <c r="AK3606" s="5" t="s">
        <v>238</v>
      </c>
      <c r="AL3606" s="5" t="s">
        <v>238</v>
      </c>
      <c r="AM3606" s="6" t="s">
        <v>238</v>
      </c>
      <c r="AN3606" s="6" t="s">
        <v>238</v>
      </c>
      <c r="AO3606" s="6" t="s">
        <v>238</v>
      </c>
      <c r="AP3606" s="6" t="s">
        <v>238</v>
      </c>
      <c r="AQ3606" s="5" t="s">
        <v>238</v>
      </c>
      <c r="AR3606" s="5" t="s">
        <v>488</v>
      </c>
      <c r="AS3606" s="5" t="s">
        <v>488</v>
      </c>
      <c r="AT3606" s="5" t="s">
        <v>246</v>
      </c>
      <c r="AU3606" s="5" t="s">
        <v>489</v>
      </c>
      <c r="AV3606" s="5" t="s">
        <v>247</v>
      </c>
      <c r="AW3606" s="5" t="s">
        <v>238</v>
      </c>
      <c r="AX3606" s="5" t="s">
        <v>249</v>
      </c>
      <c r="AY3606" s="5" t="s">
        <v>490</v>
      </c>
      <c r="BA3606" s="5" t="s">
        <v>238</v>
      </c>
      <c r="BC3606" s="5" t="s">
        <v>491</v>
      </c>
      <c r="BD3606" s="6" t="s">
        <v>492</v>
      </c>
      <c r="BE3606" s="5" t="s">
        <v>493</v>
      </c>
      <c r="BF3606" s="5" t="s">
        <v>493</v>
      </c>
      <c r="BG3606" s="5" t="s">
        <v>238</v>
      </c>
      <c r="BH3606" s="8">
        <f>1</f>
        <v>1</v>
      </c>
      <c r="BI3606" s="8">
        <f>1</f>
        <v>1</v>
      </c>
      <c r="BJ3606" s="5" t="s">
        <v>253</v>
      </c>
      <c r="BK3606" s="5" t="s">
        <v>254</v>
      </c>
      <c r="BL3606" s="5" t="s">
        <v>238</v>
      </c>
      <c r="BM3606" s="5" t="s">
        <v>238</v>
      </c>
      <c r="BN3606" s="5" t="s">
        <v>238</v>
      </c>
      <c r="BO3606" s="5" t="s">
        <v>238</v>
      </c>
      <c r="BP3606" s="5" t="s">
        <v>238</v>
      </c>
      <c r="BQ3606" s="5" t="s">
        <v>238</v>
      </c>
      <c r="BR3606" s="5" t="s">
        <v>238</v>
      </c>
      <c r="BS3606" s="5" t="s">
        <v>238</v>
      </c>
      <c r="BT3606" s="6" t="s">
        <v>238</v>
      </c>
      <c r="BU3606" s="5" t="s">
        <v>238</v>
      </c>
      <c r="BV3606" s="5" t="s">
        <v>238</v>
      </c>
      <c r="BW3606" s="5" t="s">
        <v>238</v>
      </c>
      <c r="BX3606" s="5" t="s">
        <v>254</v>
      </c>
      <c r="BY3606" s="5" t="s">
        <v>238</v>
      </c>
      <c r="BZ3606" s="5" t="s">
        <v>238</v>
      </c>
      <c r="CA3606" s="5" t="s">
        <v>238</v>
      </c>
      <c r="CB3606" s="5" t="s">
        <v>238</v>
      </c>
      <c r="CC3606" s="5" t="s">
        <v>238</v>
      </c>
      <c r="CD3606" s="5" t="s">
        <v>273</v>
      </c>
      <c r="CE3606" s="5" t="s">
        <v>256</v>
      </c>
      <c r="CF3606" s="5" t="s">
        <v>238</v>
      </c>
      <c r="CH3606" s="5" t="s">
        <v>494</v>
      </c>
      <c r="CI3606" s="6" t="s">
        <v>257</v>
      </c>
      <c r="CJ3606" s="5" t="s">
        <v>495</v>
      </c>
      <c r="CK3606" s="5" t="s">
        <v>258</v>
      </c>
      <c r="CL3606" s="5" t="s">
        <v>496</v>
      </c>
      <c r="CM3606" s="5" t="s">
        <v>238</v>
      </c>
      <c r="CN3606" s="5">
        <v>0</v>
      </c>
      <c r="CO3606" s="5" t="s">
        <v>497</v>
      </c>
      <c r="CP3606" s="5" t="s">
        <v>260</v>
      </c>
      <c r="CQ3606" s="5" t="s">
        <v>260</v>
      </c>
      <c r="CR3606" s="5" t="s">
        <v>261</v>
      </c>
      <c r="CS3606" s="5" t="s">
        <v>498</v>
      </c>
      <c r="CT3606" s="7">
        <f>1</f>
        <v>1</v>
      </c>
      <c r="CU3606" s="8">
        <f>1</f>
        <v>1</v>
      </c>
      <c r="CV3606" s="8">
        <f>0</f>
        <v>0</v>
      </c>
      <c r="CX3606" s="8">
        <f>1</f>
        <v>1</v>
      </c>
      <c r="CY3606" s="8">
        <f>1</f>
        <v>1</v>
      </c>
      <c r="CZ3606" s="8" t="s">
        <v>238</v>
      </c>
      <c r="DA3606" s="5" t="s">
        <v>238</v>
      </c>
      <c r="DB3606" s="5" t="s">
        <v>238</v>
      </c>
      <c r="DC3606" s="5" t="s">
        <v>238</v>
      </c>
      <c r="DD3606" s="5" t="s">
        <v>238</v>
      </c>
      <c r="DE3606" s="8">
        <f>0</f>
        <v>0</v>
      </c>
      <c r="DG3606" s="5" t="s">
        <v>238</v>
      </c>
      <c r="DH3606" s="5" t="s">
        <v>238</v>
      </c>
      <c r="DI3606" s="5" t="s">
        <v>238</v>
      </c>
      <c r="DJ3606" s="5" t="s">
        <v>238</v>
      </c>
      <c r="DK3606" s="5" t="s">
        <v>238</v>
      </c>
      <c r="DL3606" s="5" t="s">
        <v>238</v>
      </c>
      <c r="DM3606" s="8" t="s">
        <v>238</v>
      </c>
      <c r="DN3606" s="5" t="s">
        <v>238</v>
      </c>
      <c r="DO3606" s="5" t="s">
        <v>238</v>
      </c>
      <c r="DP3606" s="5" t="s">
        <v>490</v>
      </c>
      <c r="DQ3606" s="5" t="s">
        <v>490</v>
      </c>
      <c r="DR3606" s="5" t="s">
        <v>238</v>
      </c>
      <c r="DS3606" s="5" t="s">
        <v>238</v>
      </c>
      <c r="DT3606" s="5" t="s">
        <v>500</v>
      </c>
      <c r="DU3606" s="5" t="s">
        <v>911</v>
      </c>
      <c r="DV3606" s="5" t="s">
        <v>238</v>
      </c>
      <c r="DW3606" s="5" t="s">
        <v>238</v>
      </c>
      <c r="DX3606" s="5" t="s">
        <v>238</v>
      </c>
      <c r="DY3606" s="5" t="s">
        <v>238</v>
      </c>
      <c r="DZ3606" s="5" t="s">
        <v>238</v>
      </c>
      <c r="EA3606" s="5" t="s">
        <v>238</v>
      </c>
      <c r="EB3606" s="5" t="s">
        <v>238</v>
      </c>
      <c r="EC3606" s="5" t="s">
        <v>238</v>
      </c>
      <c r="ED3606" s="5" t="s">
        <v>238</v>
      </c>
      <c r="EE3606" s="5" t="s">
        <v>238</v>
      </c>
      <c r="EF3606" s="5" t="s">
        <v>238</v>
      </c>
      <c r="EG3606" s="5" t="s">
        <v>238</v>
      </c>
      <c r="EH3606" s="5" t="s">
        <v>238</v>
      </c>
      <c r="EI3606" s="5" t="s">
        <v>238</v>
      </c>
      <c r="EJ3606" s="5" t="s">
        <v>238</v>
      </c>
      <c r="EK3606" s="5" t="s">
        <v>238</v>
      </c>
      <c r="EL3606" s="5" t="s">
        <v>238</v>
      </c>
      <c r="EM3606" s="5" t="s">
        <v>238</v>
      </c>
      <c r="EN3606" s="5" t="s">
        <v>238</v>
      </c>
      <c r="EO3606" s="5" t="s">
        <v>238</v>
      </c>
      <c r="EP3606" s="5" t="s">
        <v>238</v>
      </c>
      <c r="EQ3606" s="5" t="s">
        <v>238</v>
      </c>
      <c r="ER3606" s="5" t="s">
        <v>238</v>
      </c>
      <c r="ES3606" s="5" t="s">
        <v>238</v>
      </c>
      <c r="ET3606" s="5" t="s">
        <v>238</v>
      </c>
      <c r="EU3606" s="5" t="s">
        <v>238</v>
      </c>
      <c r="EV3606" s="5" t="s">
        <v>238</v>
      </c>
      <c r="EW3606" s="5" t="s">
        <v>238</v>
      </c>
      <c r="EX3606" s="5" t="s">
        <v>238</v>
      </c>
      <c r="EY3606" s="5" t="s">
        <v>238</v>
      </c>
      <c r="EZ3606" s="5" t="s">
        <v>238</v>
      </c>
      <c r="FA3606" s="5" t="s">
        <v>238</v>
      </c>
      <c r="FB3606" s="5" t="s">
        <v>238</v>
      </c>
      <c r="FC3606" s="5" t="s">
        <v>238</v>
      </c>
      <c r="FD3606" s="5" t="s">
        <v>238</v>
      </c>
      <c r="FE3606" s="5" t="s">
        <v>238</v>
      </c>
      <c r="FF3606" s="5" t="s">
        <v>238</v>
      </c>
      <c r="FG3606" s="5" t="s">
        <v>238</v>
      </c>
      <c r="FH3606" s="5" t="s">
        <v>238</v>
      </c>
      <c r="FI3606" s="5" t="s">
        <v>238</v>
      </c>
      <c r="FJ3606" s="5" t="s">
        <v>238</v>
      </c>
      <c r="FK3606" s="5" t="s">
        <v>238</v>
      </c>
      <c r="FL3606" s="5" t="s">
        <v>238</v>
      </c>
      <c r="FM3606" s="5" t="s">
        <v>238</v>
      </c>
      <c r="FN3606" s="5" t="s">
        <v>238</v>
      </c>
      <c r="FO3606" s="5" t="s">
        <v>238</v>
      </c>
      <c r="FP3606" s="5" t="s">
        <v>238</v>
      </c>
      <c r="FQ3606" s="5" t="s">
        <v>238</v>
      </c>
      <c r="FR3606" s="5" t="s">
        <v>238</v>
      </c>
      <c r="FS3606" s="5" t="s">
        <v>238</v>
      </c>
      <c r="FT3606" s="5" t="s">
        <v>238</v>
      </c>
      <c r="FU3606" s="5" t="s">
        <v>238</v>
      </c>
      <c r="FV3606" s="5" t="s">
        <v>238</v>
      </c>
      <c r="FW3606" s="5" t="s">
        <v>238</v>
      </c>
      <c r="FX3606" s="5" t="s">
        <v>238</v>
      </c>
      <c r="FY3606" s="5" t="s">
        <v>238</v>
      </c>
      <c r="FZ3606" s="5" t="s">
        <v>238</v>
      </c>
      <c r="GA3606" s="5" t="s">
        <v>238</v>
      </c>
      <c r="GB3606" s="5" t="s">
        <v>238</v>
      </c>
      <c r="GC3606" s="5" t="s">
        <v>238</v>
      </c>
      <c r="GD3606" s="5" t="s">
        <v>238</v>
      </c>
      <c r="GE3606" s="5" t="s">
        <v>238</v>
      </c>
      <c r="GF3606" s="5" t="s">
        <v>238</v>
      </c>
      <c r="GG3606" s="5" t="s">
        <v>238</v>
      </c>
      <c r="GH3606" s="5" t="s">
        <v>238</v>
      </c>
      <c r="GI3606" s="5" t="s">
        <v>238</v>
      </c>
      <c r="GJ3606" s="5" t="s">
        <v>238</v>
      </c>
      <c r="GK3606" s="5" t="s">
        <v>238</v>
      </c>
      <c r="GL3606" s="5" t="s">
        <v>238</v>
      </c>
      <c r="GM3606" s="5" t="s">
        <v>238</v>
      </c>
      <c r="GN3606" s="5" t="s">
        <v>238</v>
      </c>
      <c r="GO3606" s="5" t="s">
        <v>238</v>
      </c>
      <c r="GP3606" s="5" t="s">
        <v>238</v>
      </c>
      <c r="GQ3606" s="5" t="s">
        <v>238</v>
      </c>
      <c r="GR3606" s="5" t="s">
        <v>238</v>
      </c>
      <c r="GS3606" s="5" t="s">
        <v>238</v>
      </c>
      <c r="GT3606" s="5" t="s">
        <v>238</v>
      </c>
      <c r="GU3606" s="5" t="s">
        <v>238</v>
      </c>
      <c r="GV3606" s="5" t="s">
        <v>238</v>
      </c>
      <c r="GW3606" s="5" t="s">
        <v>238</v>
      </c>
      <c r="GX3606" s="5" t="s">
        <v>238</v>
      </c>
      <c r="GY3606" s="5" t="s">
        <v>238</v>
      </c>
      <c r="GZ3606" s="5" t="s">
        <v>238</v>
      </c>
      <c r="HA3606" s="5" t="s">
        <v>238</v>
      </c>
      <c r="HB3606" s="5" t="s">
        <v>238</v>
      </c>
      <c r="HC3606" s="5" t="s">
        <v>238</v>
      </c>
      <c r="HD3606" s="5" t="s">
        <v>238</v>
      </c>
      <c r="HE3606" s="5" t="s">
        <v>238</v>
      </c>
      <c r="HF3606" s="5" t="s">
        <v>238</v>
      </c>
      <c r="HG3606" s="5" t="s">
        <v>238</v>
      </c>
      <c r="HH3606" s="5" t="s">
        <v>238</v>
      </c>
      <c r="HI3606" s="5" t="s">
        <v>238</v>
      </c>
      <c r="HJ3606" s="5" t="s">
        <v>238</v>
      </c>
      <c r="HK3606" s="5" t="s">
        <v>238</v>
      </c>
      <c r="HL3606" s="5" t="s">
        <v>238</v>
      </c>
      <c r="HM3606" s="5" t="s">
        <v>264</v>
      </c>
      <c r="HN3606" s="5" t="s">
        <v>238</v>
      </c>
      <c r="HO3606" s="5" t="s">
        <v>238</v>
      </c>
      <c r="HP3606" s="5" t="s">
        <v>238</v>
      </c>
      <c r="HQ3606" s="5" t="s">
        <v>238</v>
      </c>
      <c r="HR3606" s="5" t="s">
        <v>238</v>
      </c>
      <c r="HS3606" s="5" t="s">
        <v>238</v>
      </c>
      <c r="HT3606" s="5" t="s">
        <v>238</v>
      </c>
      <c r="HU3606" s="5" t="s">
        <v>238</v>
      </c>
      <c r="HV3606" s="5" t="s">
        <v>238</v>
      </c>
      <c r="HW3606" s="5" t="s">
        <v>238</v>
      </c>
      <c r="HX3606" s="5" t="s">
        <v>238</v>
      </c>
      <c r="HY3606" s="5" t="s">
        <v>238</v>
      </c>
      <c r="HZ3606" s="5" t="s">
        <v>238</v>
      </c>
      <c r="IA3606" s="5" t="s">
        <v>238</v>
      </c>
      <c r="IB3606" s="5" t="s">
        <v>238</v>
      </c>
      <c r="IC3606" s="5" t="s">
        <v>238</v>
      </c>
      <c r="ID3606" s="5" t="s">
        <v>238</v>
      </c>
    </row>
    <row r="3607" spans="1:238" x14ac:dyDescent="0.4">
      <c r="A3607" s="5">
        <v>9325</v>
      </c>
      <c r="B3607" s="5">
        <v>1</v>
      </c>
      <c r="C3607" s="5">
        <v>1</v>
      </c>
      <c r="D3607" s="5" t="s">
        <v>484</v>
      </c>
      <c r="E3607" s="5" t="s">
        <v>485</v>
      </c>
      <c r="F3607" s="5" t="s">
        <v>248</v>
      </c>
      <c r="G3607" s="5" t="s">
        <v>4476</v>
      </c>
      <c r="H3607" s="6" t="s">
        <v>4477</v>
      </c>
      <c r="I3607" s="8">
        <f>1</f>
        <v>1</v>
      </c>
      <c r="J3607" s="5" t="s">
        <v>499</v>
      </c>
      <c r="K3607" s="8">
        <f>1</f>
        <v>1</v>
      </c>
      <c r="L3607" s="6" t="s">
        <v>242</v>
      </c>
      <c r="M3607" s="5" t="s">
        <v>267</v>
      </c>
      <c r="N3607" s="5" t="s">
        <v>482</v>
      </c>
      <c r="O3607" s="5" t="s">
        <v>238</v>
      </c>
      <c r="P3607" s="5" t="s">
        <v>238</v>
      </c>
      <c r="Q3607" s="5" t="s">
        <v>239</v>
      </c>
      <c r="R3607" s="5" t="s">
        <v>270</v>
      </c>
      <c r="S3607" s="5" t="s">
        <v>238</v>
      </c>
      <c r="T3607" s="5" t="s">
        <v>238</v>
      </c>
      <c r="U3607" s="5" t="s">
        <v>238</v>
      </c>
      <c r="V3607" s="5" t="s">
        <v>238</v>
      </c>
      <c r="W3607" s="6" t="s">
        <v>238</v>
      </c>
      <c r="X3607" s="6" t="s">
        <v>238</v>
      </c>
      <c r="Y3607" s="5" t="s">
        <v>238</v>
      </c>
      <c r="Z3607" s="6" t="s">
        <v>238</v>
      </c>
      <c r="AA3607" s="6" t="s">
        <v>243</v>
      </c>
      <c r="AB3607" s="5" t="s">
        <v>486</v>
      </c>
      <c r="AC3607" s="5" t="s">
        <v>244</v>
      </c>
      <c r="AD3607" s="5" t="s">
        <v>245</v>
      </c>
      <c r="AE3607" s="5" t="s">
        <v>238</v>
      </c>
      <c r="AF3607" s="5" t="s">
        <v>238</v>
      </c>
      <c r="AG3607" s="5" t="s">
        <v>238</v>
      </c>
      <c r="AH3607" s="5" t="s">
        <v>238</v>
      </c>
      <c r="AI3607" s="5" t="s">
        <v>238</v>
      </c>
      <c r="AJ3607" s="5" t="s">
        <v>238</v>
      </c>
      <c r="AK3607" s="5" t="s">
        <v>238</v>
      </c>
      <c r="AL3607" s="5" t="s">
        <v>238</v>
      </c>
      <c r="AM3607" s="6" t="s">
        <v>238</v>
      </c>
      <c r="AN3607" s="6" t="s">
        <v>238</v>
      </c>
      <c r="AO3607" s="6" t="s">
        <v>238</v>
      </c>
      <c r="AP3607" s="6" t="s">
        <v>238</v>
      </c>
      <c r="AQ3607" s="5" t="s">
        <v>238</v>
      </c>
      <c r="AR3607" s="5" t="s">
        <v>488</v>
      </c>
      <c r="AS3607" s="5" t="s">
        <v>488</v>
      </c>
      <c r="AT3607" s="5" t="s">
        <v>246</v>
      </c>
      <c r="AU3607" s="5" t="s">
        <v>489</v>
      </c>
      <c r="AV3607" s="5" t="s">
        <v>247</v>
      </c>
      <c r="AW3607" s="5" t="s">
        <v>238</v>
      </c>
      <c r="AX3607" s="5" t="s">
        <v>249</v>
      </c>
      <c r="AY3607" s="5" t="s">
        <v>490</v>
      </c>
      <c r="BA3607" s="5" t="s">
        <v>238</v>
      </c>
      <c r="BC3607" s="5" t="s">
        <v>491</v>
      </c>
      <c r="BD3607" s="6" t="s">
        <v>492</v>
      </c>
      <c r="BE3607" s="5" t="s">
        <v>493</v>
      </c>
      <c r="BF3607" s="5" t="s">
        <v>493</v>
      </c>
      <c r="BG3607" s="5" t="s">
        <v>238</v>
      </c>
      <c r="BH3607" s="8">
        <f>1</f>
        <v>1</v>
      </c>
      <c r="BI3607" s="8">
        <f>1</f>
        <v>1</v>
      </c>
      <c r="BJ3607" s="5" t="s">
        <v>253</v>
      </c>
      <c r="BK3607" s="5" t="s">
        <v>254</v>
      </c>
      <c r="BL3607" s="5" t="s">
        <v>238</v>
      </c>
      <c r="BM3607" s="5" t="s">
        <v>238</v>
      </c>
      <c r="BN3607" s="5" t="s">
        <v>238</v>
      </c>
      <c r="BO3607" s="5" t="s">
        <v>238</v>
      </c>
      <c r="BP3607" s="5" t="s">
        <v>238</v>
      </c>
      <c r="BQ3607" s="5" t="s">
        <v>238</v>
      </c>
      <c r="BR3607" s="5" t="s">
        <v>238</v>
      </c>
      <c r="BS3607" s="5" t="s">
        <v>238</v>
      </c>
      <c r="BT3607" s="6" t="s">
        <v>238</v>
      </c>
      <c r="BU3607" s="5" t="s">
        <v>238</v>
      </c>
      <c r="BV3607" s="5" t="s">
        <v>238</v>
      </c>
      <c r="BW3607" s="5" t="s">
        <v>238</v>
      </c>
      <c r="BX3607" s="5" t="s">
        <v>254</v>
      </c>
      <c r="BY3607" s="5" t="s">
        <v>238</v>
      </c>
      <c r="BZ3607" s="5" t="s">
        <v>238</v>
      </c>
      <c r="CA3607" s="5" t="s">
        <v>238</v>
      </c>
      <c r="CB3607" s="5" t="s">
        <v>238</v>
      </c>
      <c r="CC3607" s="5" t="s">
        <v>238</v>
      </c>
      <c r="CD3607" s="5" t="s">
        <v>273</v>
      </c>
      <c r="CE3607" s="5" t="s">
        <v>256</v>
      </c>
      <c r="CF3607" s="5" t="s">
        <v>238</v>
      </c>
      <c r="CH3607" s="5" t="s">
        <v>494</v>
      </c>
      <c r="CI3607" s="6" t="s">
        <v>257</v>
      </c>
      <c r="CJ3607" s="5" t="s">
        <v>495</v>
      </c>
      <c r="CK3607" s="5" t="s">
        <v>258</v>
      </c>
      <c r="CL3607" s="5" t="s">
        <v>496</v>
      </c>
      <c r="CM3607" s="5" t="s">
        <v>238</v>
      </c>
      <c r="CN3607" s="5">
        <v>0</v>
      </c>
      <c r="CO3607" s="5" t="s">
        <v>497</v>
      </c>
      <c r="CP3607" s="5" t="s">
        <v>260</v>
      </c>
      <c r="CQ3607" s="5" t="s">
        <v>260</v>
      </c>
      <c r="CR3607" s="5" t="s">
        <v>261</v>
      </c>
      <c r="CS3607" s="5" t="s">
        <v>498</v>
      </c>
      <c r="CT3607" s="7">
        <f>1</f>
        <v>1</v>
      </c>
      <c r="CU3607" s="8">
        <f>1</f>
        <v>1</v>
      </c>
      <c r="CV3607" s="8">
        <f>0</f>
        <v>0</v>
      </c>
      <c r="CX3607" s="8">
        <f>1</f>
        <v>1</v>
      </c>
      <c r="CY3607" s="8">
        <f>1</f>
        <v>1</v>
      </c>
      <c r="CZ3607" s="8" t="s">
        <v>238</v>
      </c>
      <c r="DA3607" s="5" t="s">
        <v>238</v>
      </c>
      <c r="DB3607" s="5" t="s">
        <v>238</v>
      </c>
      <c r="DC3607" s="5" t="s">
        <v>238</v>
      </c>
      <c r="DD3607" s="5" t="s">
        <v>238</v>
      </c>
      <c r="DE3607" s="8">
        <f>0</f>
        <v>0</v>
      </c>
      <c r="DG3607" s="5" t="s">
        <v>238</v>
      </c>
      <c r="DH3607" s="5" t="s">
        <v>238</v>
      </c>
      <c r="DI3607" s="5" t="s">
        <v>238</v>
      </c>
      <c r="DJ3607" s="5" t="s">
        <v>238</v>
      </c>
      <c r="DK3607" s="5" t="s">
        <v>238</v>
      </c>
      <c r="DL3607" s="5" t="s">
        <v>238</v>
      </c>
      <c r="DM3607" s="8" t="s">
        <v>238</v>
      </c>
      <c r="DN3607" s="5" t="s">
        <v>238</v>
      </c>
      <c r="DO3607" s="5" t="s">
        <v>238</v>
      </c>
      <c r="DP3607" s="5" t="s">
        <v>490</v>
      </c>
      <c r="DQ3607" s="5" t="s">
        <v>490</v>
      </c>
      <c r="DR3607" s="5" t="s">
        <v>238</v>
      </c>
      <c r="DS3607" s="5" t="s">
        <v>238</v>
      </c>
      <c r="DT3607" s="5" t="s">
        <v>500</v>
      </c>
      <c r="DU3607" s="5" t="s">
        <v>862</v>
      </c>
      <c r="DV3607" s="5" t="s">
        <v>238</v>
      </c>
      <c r="DW3607" s="5" t="s">
        <v>238</v>
      </c>
      <c r="DX3607" s="5" t="s">
        <v>238</v>
      </c>
      <c r="DY3607" s="5" t="s">
        <v>238</v>
      </c>
      <c r="DZ3607" s="5" t="s">
        <v>238</v>
      </c>
      <c r="EA3607" s="5" t="s">
        <v>238</v>
      </c>
      <c r="EB3607" s="5" t="s">
        <v>238</v>
      </c>
      <c r="EC3607" s="5" t="s">
        <v>238</v>
      </c>
      <c r="ED3607" s="5" t="s">
        <v>238</v>
      </c>
      <c r="EE3607" s="5" t="s">
        <v>238</v>
      </c>
      <c r="EF3607" s="5" t="s">
        <v>238</v>
      </c>
      <c r="EG3607" s="5" t="s">
        <v>238</v>
      </c>
      <c r="EH3607" s="5" t="s">
        <v>238</v>
      </c>
      <c r="EI3607" s="5" t="s">
        <v>238</v>
      </c>
      <c r="EJ3607" s="5" t="s">
        <v>238</v>
      </c>
      <c r="EK3607" s="5" t="s">
        <v>238</v>
      </c>
      <c r="EL3607" s="5" t="s">
        <v>238</v>
      </c>
      <c r="EM3607" s="5" t="s">
        <v>238</v>
      </c>
      <c r="EN3607" s="5" t="s">
        <v>238</v>
      </c>
      <c r="EO3607" s="5" t="s">
        <v>238</v>
      </c>
      <c r="EP3607" s="5" t="s">
        <v>238</v>
      </c>
      <c r="EQ3607" s="5" t="s">
        <v>238</v>
      </c>
      <c r="ER3607" s="5" t="s">
        <v>238</v>
      </c>
      <c r="ES3607" s="5" t="s">
        <v>238</v>
      </c>
      <c r="ET3607" s="5" t="s">
        <v>238</v>
      </c>
      <c r="EU3607" s="5" t="s">
        <v>238</v>
      </c>
      <c r="EV3607" s="5" t="s">
        <v>238</v>
      </c>
      <c r="EW3607" s="5" t="s">
        <v>238</v>
      </c>
      <c r="EX3607" s="5" t="s">
        <v>238</v>
      </c>
      <c r="EY3607" s="5" t="s">
        <v>238</v>
      </c>
      <c r="EZ3607" s="5" t="s">
        <v>238</v>
      </c>
      <c r="FA3607" s="5" t="s">
        <v>238</v>
      </c>
      <c r="FB3607" s="5" t="s">
        <v>238</v>
      </c>
      <c r="FC3607" s="5" t="s">
        <v>238</v>
      </c>
      <c r="FD3607" s="5" t="s">
        <v>238</v>
      </c>
      <c r="FE3607" s="5" t="s">
        <v>238</v>
      </c>
      <c r="FF3607" s="5" t="s">
        <v>238</v>
      </c>
      <c r="FG3607" s="5" t="s">
        <v>238</v>
      </c>
      <c r="FH3607" s="5" t="s">
        <v>238</v>
      </c>
      <c r="FI3607" s="5" t="s">
        <v>238</v>
      </c>
      <c r="FJ3607" s="5" t="s">
        <v>238</v>
      </c>
      <c r="FK3607" s="5" t="s">
        <v>238</v>
      </c>
      <c r="FL3607" s="5" t="s">
        <v>238</v>
      </c>
      <c r="FM3607" s="5" t="s">
        <v>238</v>
      </c>
      <c r="FN3607" s="5" t="s">
        <v>238</v>
      </c>
      <c r="FO3607" s="5" t="s">
        <v>238</v>
      </c>
      <c r="FP3607" s="5" t="s">
        <v>238</v>
      </c>
      <c r="FQ3607" s="5" t="s">
        <v>238</v>
      </c>
      <c r="FR3607" s="5" t="s">
        <v>238</v>
      </c>
      <c r="FS3607" s="5" t="s">
        <v>238</v>
      </c>
      <c r="FT3607" s="5" t="s">
        <v>238</v>
      </c>
      <c r="FU3607" s="5" t="s">
        <v>238</v>
      </c>
      <c r="FV3607" s="5" t="s">
        <v>238</v>
      </c>
      <c r="FW3607" s="5" t="s">
        <v>238</v>
      </c>
      <c r="FX3607" s="5" t="s">
        <v>238</v>
      </c>
      <c r="FY3607" s="5" t="s">
        <v>238</v>
      </c>
      <c r="FZ3607" s="5" t="s">
        <v>238</v>
      </c>
      <c r="GA3607" s="5" t="s">
        <v>238</v>
      </c>
      <c r="GB3607" s="5" t="s">
        <v>238</v>
      </c>
      <c r="GC3607" s="5" t="s">
        <v>238</v>
      </c>
      <c r="GD3607" s="5" t="s">
        <v>238</v>
      </c>
      <c r="GE3607" s="5" t="s">
        <v>238</v>
      </c>
      <c r="GF3607" s="5" t="s">
        <v>238</v>
      </c>
      <c r="GG3607" s="5" t="s">
        <v>238</v>
      </c>
      <c r="GH3607" s="5" t="s">
        <v>238</v>
      </c>
      <c r="GI3607" s="5" t="s">
        <v>238</v>
      </c>
      <c r="GJ3607" s="5" t="s">
        <v>238</v>
      </c>
      <c r="GK3607" s="5" t="s">
        <v>238</v>
      </c>
      <c r="GL3607" s="5" t="s">
        <v>238</v>
      </c>
      <c r="GM3607" s="5" t="s">
        <v>238</v>
      </c>
      <c r="GN3607" s="5" t="s">
        <v>238</v>
      </c>
      <c r="GO3607" s="5" t="s">
        <v>238</v>
      </c>
      <c r="GP3607" s="5" t="s">
        <v>238</v>
      </c>
      <c r="GQ3607" s="5" t="s">
        <v>238</v>
      </c>
      <c r="GR3607" s="5" t="s">
        <v>238</v>
      </c>
      <c r="GS3607" s="5" t="s">
        <v>238</v>
      </c>
      <c r="GT3607" s="5" t="s">
        <v>238</v>
      </c>
      <c r="GU3607" s="5" t="s">
        <v>238</v>
      </c>
      <c r="GV3607" s="5" t="s">
        <v>238</v>
      </c>
      <c r="GW3607" s="5" t="s">
        <v>238</v>
      </c>
      <c r="GX3607" s="5" t="s">
        <v>238</v>
      </c>
      <c r="GY3607" s="5" t="s">
        <v>238</v>
      </c>
      <c r="GZ3607" s="5" t="s">
        <v>238</v>
      </c>
      <c r="HA3607" s="5" t="s">
        <v>238</v>
      </c>
      <c r="HB3607" s="5" t="s">
        <v>238</v>
      </c>
      <c r="HC3607" s="5" t="s">
        <v>238</v>
      </c>
      <c r="HD3607" s="5" t="s">
        <v>238</v>
      </c>
      <c r="HE3607" s="5" t="s">
        <v>238</v>
      </c>
      <c r="HF3607" s="5" t="s">
        <v>238</v>
      </c>
      <c r="HG3607" s="5" t="s">
        <v>238</v>
      </c>
      <c r="HH3607" s="5" t="s">
        <v>238</v>
      </c>
      <c r="HI3607" s="5" t="s">
        <v>238</v>
      </c>
      <c r="HJ3607" s="5" t="s">
        <v>238</v>
      </c>
      <c r="HK3607" s="5" t="s">
        <v>238</v>
      </c>
      <c r="HL3607" s="5" t="s">
        <v>238</v>
      </c>
      <c r="HM3607" s="5" t="s">
        <v>264</v>
      </c>
      <c r="HN3607" s="5" t="s">
        <v>238</v>
      </c>
      <c r="HO3607" s="5" t="s">
        <v>238</v>
      </c>
      <c r="HP3607" s="5" t="s">
        <v>238</v>
      </c>
      <c r="HQ3607" s="5" t="s">
        <v>238</v>
      </c>
      <c r="HR3607" s="5" t="s">
        <v>238</v>
      </c>
      <c r="HS3607" s="5" t="s">
        <v>238</v>
      </c>
      <c r="HT3607" s="5" t="s">
        <v>238</v>
      </c>
      <c r="HU3607" s="5" t="s">
        <v>238</v>
      </c>
      <c r="HV3607" s="5" t="s">
        <v>238</v>
      </c>
      <c r="HW3607" s="5" t="s">
        <v>238</v>
      </c>
      <c r="HX3607" s="5" t="s">
        <v>238</v>
      </c>
      <c r="HY3607" s="5" t="s">
        <v>238</v>
      </c>
      <c r="HZ3607" s="5" t="s">
        <v>238</v>
      </c>
      <c r="IA3607" s="5" t="s">
        <v>238</v>
      </c>
      <c r="IB3607" s="5" t="s">
        <v>238</v>
      </c>
      <c r="IC3607" s="5" t="s">
        <v>238</v>
      </c>
      <c r="ID3607" s="5" t="s">
        <v>238</v>
      </c>
    </row>
    <row r="3608" spans="1:238" x14ac:dyDescent="0.4">
      <c r="A3608" s="5">
        <v>9326</v>
      </c>
      <c r="B3608" s="5">
        <v>1</v>
      </c>
      <c r="C3608" s="5">
        <v>1</v>
      </c>
      <c r="D3608" s="5" t="s">
        <v>484</v>
      </c>
      <c r="E3608" s="5" t="s">
        <v>485</v>
      </c>
      <c r="F3608" s="5" t="s">
        <v>248</v>
      </c>
      <c r="G3608" s="5" t="s">
        <v>4410</v>
      </c>
      <c r="H3608" s="6" t="s">
        <v>4411</v>
      </c>
      <c r="I3608" s="8">
        <f>1</f>
        <v>1</v>
      </c>
      <c r="J3608" s="5" t="s">
        <v>499</v>
      </c>
      <c r="K3608" s="8">
        <f>1</f>
        <v>1</v>
      </c>
      <c r="L3608" s="6" t="s">
        <v>242</v>
      </c>
      <c r="M3608" s="5" t="s">
        <v>267</v>
      </c>
      <c r="N3608" s="5" t="s">
        <v>482</v>
      </c>
      <c r="O3608" s="5" t="s">
        <v>238</v>
      </c>
      <c r="P3608" s="5" t="s">
        <v>238</v>
      </c>
      <c r="Q3608" s="5" t="s">
        <v>239</v>
      </c>
      <c r="R3608" s="5" t="s">
        <v>270</v>
      </c>
      <c r="S3608" s="5" t="s">
        <v>238</v>
      </c>
      <c r="T3608" s="5" t="s">
        <v>238</v>
      </c>
      <c r="U3608" s="5" t="s">
        <v>238</v>
      </c>
      <c r="V3608" s="5" t="s">
        <v>238</v>
      </c>
      <c r="W3608" s="6" t="s">
        <v>238</v>
      </c>
      <c r="X3608" s="6" t="s">
        <v>238</v>
      </c>
      <c r="Y3608" s="5" t="s">
        <v>238</v>
      </c>
      <c r="Z3608" s="6" t="s">
        <v>238</v>
      </c>
      <c r="AA3608" s="6" t="s">
        <v>243</v>
      </c>
      <c r="AB3608" s="5" t="s">
        <v>486</v>
      </c>
      <c r="AC3608" s="5" t="s">
        <v>244</v>
      </c>
      <c r="AD3608" s="5" t="s">
        <v>245</v>
      </c>
      <c r="AE3608" s="5" t="s">
        <v>238</v>
      </c>
      <c r="AF3608" s="5" t="s">
        <v>238</v>
      </c>
      <c r="AG3608" s="5" t="s">
        <v>238</v>
      </c>
      <c r="AH3608" s="5" t="s">
        <v>238</v>
      </c>
      <c r="AI3608" s="5" t="s">
        <v>238</v>
      </c>
      <c r="AJ3608" s="5" t="s">
        <v>238</v>
      </c>
      <c r="AK3608" s="5" t="s">
        <v>238</v>
      </c>
      <c r="AL3608" s="5" t="s">
        <v>238</v>
      </c>
      <c r="AM3608" s="6" t="s">
        <v>238</v>
      </c>
      <c r="AN3608" s="6" t="s">
        <v>238</v>
      </c>
      <c r="AO3608" s="6" t="s">
        <v>238</v>
      </c>
      <c r="AP3608" s="6" t="s">
        <v>238</v>
      </c>
      <c r="AQ3608" s="5" t="s">
        <v>238</v>
      </c>
      <c r="AR3608" s="5" t="s">
        <v>488</v>
      </c>
      <c r="AS3608" s="5" t="s">
        <v>488</v>
      </c>
      <c r="AT3608" s="5" t="s">
        <v>246</v>
      </c>
      <c r="AU3608" s="5" t="s">
        <v>489</v>
      </c>
      <c r="AV3608" s="5" t="s">
        <v>247</v>
      </c>
      <c r="AW3608" s="5" t="s">
        <v>238</v>
      </c>
      <c r="AX3608" s="5" t="s">
        <v>249</v>
      </c>
      <c r="AY3608" s="5" t="s">
        <v>490</v>
      </c>
      <c r="BA3608" s="5" t="s">
        <v>238</v>
      </c>
      <c r="BC3608" s="5" t="s">
        <v>491</v>
      </c>
      <c r="BD3608" s="6" t="s">
        <v>492</v>
      </c>
      <c r="BE3608" s="5" t="s">
        <v>493</v>
      </c>
      <c r="BF3608" s="5" t="s">
        <v>493</v>
      </c>
      <c r="BG3608" s="5" t="s">
        <v>238</v>
      </c>
      <c r="BH3608" s="8">
        <f>1</f>
        <v>1</v>
      </c>
      <c r="BI3608" s="8">
        <f>1</f>
        <v>1</v>
      </c>
      <c r="BJ3608" s="5" t="s">
        <v>253</v>
      </c>
      <c r="BK3608" s="5" t="s">
        <v>254</v>
      </c>
      <c r="BL3608" s="5" t="s">
        <v>238</v>
      </c>
      <c r="BM3608" s="5" t="s">
        <v>238</v>
      </c>
      <c r="BN3608" s="5" t="s">
        <v>238</v>
      </c>
      <c r="BO3608" s="5" t="s">
        <v>238</v>
      </c>
      <c r="BP3608" s="5" t="s">
        <v>238</v>
      </c>
      <c r="BQ3608" s="5" t="s">
        <v>238</v>
      </c>
      <c r="BR3608" s="5" t="s">
        <v>238</v>
      </c>
      <c r="BS3608" s="5" t="s">
        <v>238</v>
      </c>
      <c r="BT3608" s="6" t="s">
        <v>238</v>
      </c>
      <c r="BU3608" s="5" t="s">
        <v>238</v>
      </c>
      <c r="BV3608" s="5" t="s">
        <v>238</v>
      </c>
      <c r="BW3608" s="5" t="s">
        <v>238</v>
      </c>
      <c r="BX3608" s="5" t="s">
        <v>254</v>
      </c>
      <c r="BY3608" s="5" t="s">
        <v>238</v>
      </c>
      <c r="BZ3608" s="5" t="s">
        <v>238</v>
      </c>
      <c r="CA3608" s="5" t="s">
        <v>238</v>
      </c>
      <c r="CB3608" s="5" t="s">
        <v>238</v>
      </c>
      <c r="CC3608" s="5" t="s">
        <v>238</v>
      </c>
      <c r="CD3608" s="5" t="s">
        <v>273</v>
      </c>
      <c r="CE3608" s="5" t="s">
        <v>256</v>
      </c>
      <c r="CF3608" s="5" t="s">
        <v>238</v>
      </c>
      <c r="CH3608" s="5" t="s">
        <v>494</v>
      </c>
      <c r="CI3608" s="6" t="s">
        <v>257</v>
      </c>
      <c r="CJ3608" s="5" t="s">
        <v>495</v>
      </c>
      <c r="CK3608" s="5" t="s">
        <v>258</v>
      </c>
      <c r="CL3608" s="5" t="s">
        <v>496</v>
      </c>
      <c r="CM3608" s="5" t="s">
        <v>238</v>
      </c>
      <c r="CN3608" s="5">
        <v>0</v>
      </c>
      <c r="CO3608" s="5" t="s">
        <v>497</v>
      </c>
      <c r="CP3608" s="5" t="s">
        <v>260</v>
      </c>
      <c r="CQ3608" s="5" t="s">
        <v>260</v>
      </c>
      <c r="CR3608" s="5" t="s">
        <v>261</v>
      </c>
      <c r="CS3608" s="5" t="s">
        <v>498</v>
      </c>
      <c r="CT3608" s="7">
        <f>1</f>
        <v>1</v>
      </c>
      <c r="CU3608" s="8">
        <f>1</f>
        <v>1</v>
      </c>
      <c r="CV3608" s="8">
        <f>0</f>
        <v>0</v>
      </c>
      <c r="CX3608" s="8">
        <f>1</f>
        <v>1</v>
      </c>
      <c r="CY3608" s="8">
        <f>1</f>
        <v>1</v>
      </c>
      <c r="CZ3608" s="8" t="s">
        <v>238</v>
      </c>
      <c r="DA3608" s="5" t="s">
        <v>238</v>
      </c>
      <c r="DB3608" s="5" t="s">
        <v>238</v>
      </c>
      <c r="DC3608" s="5" t="s">
        <v>238</v>
      </c>
      <c r="DD3608" s="5" t="s">
        <v>238</v>
      </c>
      <c r="DE3608" s="8">
        <f>0</f>
        <v>0</v>
      </c>
      <c r="DG3608" s="5" t="s">
        <v>238</v>
      </c>
      <c r="DH3608" s="5" t="s">
        <v>238</v>
      </c>
      <c r="DI3608" s="5" t="s">
        <v>238</v>
      </c>
      <c r="DJ3608" s="5" t="s">
        <v>238</v>
      </c>
      <c r="DK3608" s="5" t="s">
        <v>238</v>
      </c>
      <c r="DL3608" s="5" t="s">
        <v>238</v>
      </c>
      <c r="DM3608" s="8" t="s">
        <v>238</v>
      </c>
      <c r="DN3608" s="5" t="s">
        <v>238</v>
      </c>
      <c r="DO3608" s="5" t="s">
        <v>238</v>
      </c>
      <c r="DP3608" s="5" t="s">
        <v>490</v>
      </c>
      <c r="DQ3608" s="5" t="s">
        <v>490</v>
      </c>
      <c r="DR3608" s="5" t="s">
        <v>238</v>
      </c>
      <c r="DS3608" s="5" t="s">
        <v>238</v>
      </c>
      <c r="DT3608" s="5" t="s">
        <v>500</v>
      </c>
      <c r="DU3608" s="5" t="s">
        <v>874</v>
      </c>
      <c r="DV3608" s="5" t="s">
        <v>238</v>
      </c>
      <c r="DW3608" s="5" t="s">
        <v>238</v>
      </c>
      <c r="DX3608" s="5" t="s">
        <v>238</v>
      </c>
      <c r="DY3608" s="5" t="s">
        <v>238</v>
      </c>
      <c r="DZ3608" s="5" t="s">
        <v>238</v>
      </c>
      <c r="EA3608" s="5" t="s">
        <v>238</v>
      </c>
      <c r="EB3608" s="5" t="s">
        <v>238</v>
      </c>
      <c r="EC3608" s="5" t="s">
        <v>238</v>
      </c>
      <c r="ED3608" s="5" t="s">
        <v>238</v>
      </c>
      <c r="EE3608" s="5" t="s">
        <v>238</v>
      </c>
      <c r="EF3608" s="5" t="s">
        <v>238</v>
      </c>
      <c r="EG3608" s="5" t="s">
        <v>238</v>
      </c>
      <c r="EH3608" s="5" t="s">
        <v>238</v>
      </c>
      <c r="EI3608" s="5" t="s">
        <v>238</v>
      </c>
      <c r="EJ3608" s="5" t="s">
        <v>238</v>
      </c>
      <c r="EK3608" s="5" t="s">
        <v>238</v>
      </c>
      <c r="EL3608" s="5" t="s">
        <v>238</v>
      </c>
      <c r="EM3608" s="5" t="s">
        <v>238</v>
      </c>
      <c r="EN3608" s="5" t="s">
        <v>238</v>
      </c>
      <c r="EO3608" s="5" t="s">
        <v>238</v>
      </c>
      <c r="EP3608" s="5" t="s">
        <v>238</v>
      </c>
      <c r="EQ3608" s="5" t="s">
        <v>238</v>
      </c>
      <c r="ER3608" s="5" t="s">
        <v>238</v>
      </c>
      <c r="ES3608" s="5" t="s">
        <v>238</v>
      </c>
      <c r="ET3608" s="5" t="s">
        <v>238</v>
      </c>
      <c r="EU3608" s="5" t="s">
        <v>238</v>
      </c>
      <c r="EV3608" s="5" t="s">
        <v>238</v>
      </c>
      <c r="EW3608" s="5" t="s">
        <v>238</v>
      </c>
      <c r="EX3608" s="5" t="s">
        <v>238</v>
      </c>
      <c r="EY3608" s="5" t="s">
        <v>238</v>
      </c>
      <c r="EZ3608" s="5" t="s">
        <v>238</v>
      </c>
      <c r="FA3608" s="5" t="s">
        <v>238</v>
      </c>
      <c r="FB3608" s="5" t="s">
        <v>238</v>
      </c>
      <c r="FC3608" s="5" t="s">
        <v>238</v>
      </c>
      <c r="FD3608" s="5" t="s">
        <v>238</v>
      </c>
      <c r="FE3608" s="5" t="s">
        <v>238</v>
      </c>
      <c r="FF3608" s="5" t="s">
        <v>238</v>
      </c>
      <c r="FG3608" s="5" t="s">
        <v>238</v>
      </c>
      <c r="FH3608" s="5" t="s">
        <v>238</v>
      </c>
      <c r="FI3608" s="5" t="s">
        <v>238</v>
      </c>
      <c r="FJ3608" s="5" t="s">
        <v>238</v>
      </c>
      <c r="FK3608" s="5" t="s">
        <v>238</v>
      </c>
      <c r="FL3608" s="5" t="s">
        <v>238</v>
      </c>
      <c r="FM3608" s="5" t="s">
        <v>238</v>
      </c>
      <c r="FN3608" s="5" t="s">
        <v>238</v>
      </c>
      <c r="FO3608" s="5" t="s">
        <v>238</v>
      </c>
      <c r="FP3608" s="5" t="s">
        <v>238</v>
      </c>
      <c r="FQ3608" s="5" t="s">
        <v>238</v>
      </c>
      <c r="FR3608" s="5" t="s">
        <v>238</v>
      </c>
      <c r="FS3608" s="5" t="s">
        <v>238</v>
      </c>
      <c r="FT3608" s="5" t="s">
        <v>238</v>
      </c>
      <c r="FU3608" s="5" t="s">
        <v>238</v>
      </c>
      <c r="FV3608" s="5" t="s">
        <v>238</v>
      </c>
      <c r="FW3608" s="5" t="s">
        <v>238</v>
      </c>
      <c r="FX3608" s="5" t="s">
        <v>238</v>
      </c>
      <c r="FY3608" s="5" t="s">
        <v>238</v>
      </c>
      <c r="FZ3608" s="5" t="s">
        <v>238</v>
      </c>
      <c r="GA3608" s="5" t="s">
        <v>238</v>
      </c>
      <c r="GB3608" s="5" t="s">
        <v>238</v>
      </c>
      <c r="GC3608" s="5" t="s">
        <v>238</v>
      </c>
      <c r="GD3608" s="5" t="s">
        <v>238</v>
      </c>
      <c r="GE3608" s="5" t="s">
        <v>238</v>
      </c>
      <c r="GF3608" s="5" t="s">
        <v>238</v>
      </c>
      <c r="GG3608" s="5" t="s">
        <v>238</v>
      </c>
      <c r="GH3608" s="5" t="s">
        <v>238</v>
      </c>
      <c r="GI3608" s="5" t="s">
        <v>238</v>
      </c>
      <c r="GJ3608" s="5" t="s">
        <v>238</v>
      </c>
      <c r="GK3608" s="5" t="s">
        <v>238</v>
      </c>
      <c r="GL3608" s="5" t="s">
        <v>238</v>
      </c>
      <c r="GM3608" s="5" t="s">
        <v>238</v>
      </c>
      <c r="GN3608" s="5" t="s">
        <v>238</v>
      </c>
      <c r="GO3608" s="5" t="s">
        <v>238</v>
      </c>
      <c r="GP3608" s="5" t="s">
        <v>238</v>
      </c>
      <c r="GQ3608" s="5" t="s">
        <v>238</v>
      </c>
      <c r="GR3608" s="5" t="s">
        <v>238</v>
      </c>
      <c r="GS3608" s="5" t="s">
        <v>238</v>
      </c>
      <c r="GT3608" s="5" t="s">
        <v>238</v>
      </c>
      <c r="GU3608" s="5" t="s">
        <v>238</v>
      </c>
      <c r="GV3608" s="5" t="s">
        <v>238</v>
      </c>
      <c r="GW3608" s="5" t="s">
        <v>238</v>
      </c>
      <c r="GX3608" s="5" t="s">
        <v>238</v>
      </c>
      <c r="GY3608" s="5" t="s">
        <v>238</v>
      </c>
      <c r="GZ3608" s="5" t="s">
        <v>238</v>
      </c>
      <c r="HA3608" s="5" t="s">
        <v>238</v>
      </c>
      <c r="HB3608" s="5" t="s">
        <v>238</v>
      </c>
      <c r="HC3608" s="5" t="s">
        <v>238</v>
      </c>
      <c r="HD3608" s="5" t="s">
        <v>238</v>
      </c>
      <c r="HE3608" s="5" t="s">
        <v>238</v>
      </c>
      <c r="HF3608" s="5" t="s">
        <v>238</v>
      </c>
      <c r="HG3608" s="5" t="s">
        <v>238</v>
      </c>
      <c r="HH3608" s="5" t="s">
        <v>238</v>
      </c>
      <c r="HI3608" s="5" t="s">
        <v>238</v>
      </c>
      <c r="HJ3608" s="5" t="s">
        <v>238</v>
      </c>
      <c r="HK3608" s="5" t="s">
        <v>238</v>
      </c>
      <c r="HL3608" s="5" t="s">
        <v>238</v>
      </c>
      <c r="HM3608" s="5" t="s">
        <v>264</v>
      </c>
      <c r="HN3608" s="5" t="s">
        <v>238</v>
      </c>
      <c r="HO3608" s="5" t="s">
        <v>238</v>
      </c>
      <c r="HP3608" s="5" t="s">
        <v>238</v>
      </c>
      <c r="HQ3608" s="5" t="s">
        <v>238</v>
      </c>
      <c r="HR3608" s="5" t="s">
        <v>238</v>
      </c>
      <c r="HS3608" s="5" t="s">
        <v>238</v>
      </c>
      <c r="HT3608" s="5" t="s">
        <v>238</v>
      </c>
      <c r="HU3608" s="5" t="s">
        <v>238</v>
      </c>
      <c r="HV3608" s="5" t="s">
        <v>238</v>
      </c>
      <c r="HW3608" s="5" t="s">
        <v>238</v>
      </c>
      <c r="HX3608" s="5" t="s">
        <v>238</v>
      </c>
      <c r="HY3608" s="5" t="s">
        <v>238</v>
      </c>
      <c r="HZ3608" s="5" t="s">
        <v>238</v>
      </c>
      <c r="IA3608" s="5" t="s">
        <v>238</v>
      </c>
      <c r="IB3608" s="5" t="s">
        <v>238</v>
      </c>
      <c r="IC3608" s="5" t="s">
        <v>238</v>
      </c>
      <c r="ID3608" s="5" t="s">
        <v>238</v>
      </c>
    </row>
    <row r="3609" spans="1:238" x14ac:dyDescent="0.4">
      <c r="A3609" s="5">
        <v>9327</v>
      </c>
      <c r="B3609" s="5">
        <v>1</v>
      </c>
      <c r="C3609" s="5">
        <v>1</v>
      </c>
      <c r="D3609" s="5" t="s">
        <v>484</v>
      </c>
      <c r="E3609" s="5" t="s">
        <v>485</v>
      </c>
      <c r="F3609" s="5" t="s">
        <v>248</v>
      </c>
      <c r="G3609" s="5" t="s">
        <v>4508</v>
      </c>
      <c r="H3609" s="6" t="s">
        <v>4508</v>
      </c>
      <c r="I3609" s="8">
        <f>1</f>
        <v>1</v>
      </c>
      <c r="J3609" s="5" t="s">
        <v>499</v>
      </c>
      <c r="K3609" s="8">
        <f>1</f>
        <v>1</v>
      </c>
      <c r="L3609" s="6" t="s">
        <v>242</v>
      </c>
      <c r="M3609" s="5" t="s">
        <v>267</v>
      </c>
      <c r="N3609" s="5" t="s">
        <v>482</v>
      </c>
      <c r="O3609" s="5" t="s">
        <v>238</v>
      </c>
      <c r="P3609" s="5" t="s">
        <v>238</v>
      </c>
      <c r="Q3609" s="5" t="s">
        <v>239</v>
      </c>
      <c r="R3609" s="5" t="s">
        <v>270</v>
      </c>
      <c r="S3609" s="5" t="s">
        <v>238</v>
      </c>
      <c r="T3609" s="5" t="s">
        <v>238</v>
      </c>
      <c r="U3609" s="5" t="s">
        <v>238</v>
      </c>
      <c r="V3609" s="5" t="s">
        <v>238</v>
      </c>
      <c r="W3609" s="6" t="s">
        <v>238</v>
      </c>
      <c r="X3609" s="6" t="s">
        <v>238</v>
      </c>
      <c r="Y3609" s="5" t="s">
        <v>238</v>
      </c>
      <c r="Z3609" s="6" t="s">
        <v>238</v>
      </c>
      <c r="AA3609" s="6" t="s">
        <v>243</v>
      </c>
      <c r="AB3609" s="5" t="s">
        <v>4509</v>
      </c>
      <c r="AC3609" s="5" t="s">
        <v>244</v>
      </c>
      <c r="AD3609" s="5" t="s">
        <v>245</v>
      </c>
      <c r="AE3609" s="5" t="s">
        <v>238</v>
      </c>
      <c r="AF3609" s="5" t="s">
        <v>238</v>
      </c>
      <c r="AG3609" s="5" t="s">
        <v>238</v>
      </c>
      <c r="AH3609" s="5" t="s">
        <v>238</v>
      </c>
      <c r="AI3609" s="5" t="s">
        <v>238</v>
      </c>
      <c r="AJ3609" s="5" t="s">
        <v>238</v>
      </c>
      <c r="AK3609" s="5" t="s">
        <v>238</v>
      </c>
      <c r="AL3609" s="5" t="s">
        <v>238</v>
      </c>
      <c r="AM3609" s="6" t="s">
        <v>238</v>
      </c>
      <c r="AN3609" s="6" t="s">
        <v>238</v>
      </c>
      <c r="AO3609" s="6" t="s">
        <v>238</v>
      </c>
      <c r="AP3609" s="6" t="s">
        <v>238</v>
      </c>
      <c r="AQ3609" s="5" t="s">
        <v>238</v>
      </c>
      <c r="AR3609" s="5" t="s">
        <v>488</v>
      </c>
      <c r="AS3609" s="5" t="s">
        <v>488</v>
      </c>
      <c r="AT3609" s="5" t="s">
        <v>246</v>
      </c>
      <c r="AU3609" s="5" t="s">
        <v>489</v>
      </c>
      <c r="AV3609" s="5" t="s">
        <v>247</v>
      </c>
      <c r="AW3609" s="5" t="s">
        <v>238</v>
      </c>
      <c r="AX3609" s="5" t="s">
        <v>249</v>
      </c>
      <c r="AY3609" s="5" t="s">
        <v>490</v>
      </c>
      <c r="BA3609" s="5" t="s">
        <v>238</v>
      </c>
      <c r="BC3609" s="5" t="s">
        <v>491</v>
      </c>
      <c r="BD3609" s="6" t="s">
        <v>492</v>
      </c>
      <c r="BE3609" s="5" t="s">
        <v>493</v>
      </c>
      <c r="BF3609" s="5" t="s">
        <v>493</v>
      </c>
      <c r="BG3609" s="5" t="s">
        <v>238</v>
      </c>
      <c r="BH3609" s="8">
        <f>1</f>
        <v>1</v>
      </c>
      <c r="BI3609" s="8">
        <f>1</f>
        <v>1</v>
      </c>
      <c r="BJ3609" s="5" t="s">
        <v>253</v>
      </c>
      <c r="BK3609" s="5" t="s">
        <v>254</v>
      </c>
      <c r="BL3609" s="5" t="s">
        <v>238</v>
      </c>
      <c r="BM3609" s="5" t="s">
        <v>238</v>
      </c>
      <c r="BN3609" s="5" t="s">
        <v>238</v>
      </c>
      <c r="BO3609" s="5" t="s">
        <v>238</v>
      </c>
      <c r="BP3609" s="5" t="s">
        <v>238</v>
      </c>
      <c r="BQ3609" s="5" t="s">
        <v>238</v>
      </c>
      <c r="BR3609" s="5" t="s">
        <v>238</v>
      </c>
      <c r="BS3609" s="5" t="s">
        <v>238</v>
      </c>
      <c r="BT3609" s="6" t="s">
        <v>238</v>
      </c>
      <c r="BU3609" s="5" t="s">
        <v>238</v>
      </c>
      <c r="BV3609" s="5" t="s">
        <v>238</v>
      </c>
      <c r="BW3609" s="5" t="s">
        <v>238</v>
      </c>
      <c r="BX3609" s="5" t="s">
        <v>254</v>
      </c>
      <c r="BY3609" s="5" t="s">
        <v>238</v>
      </c>
      <c r="BZ3609" s="5" t="s">
        <v>238</v>
      </c>
      <c r="CA3609" s="5" t="s">
        <v>238</v>
      </c>
      <c r="CB3609" s="5" t="s">
        <v>238</v>
      </c>
      <c r="CC3609" s="5" t="s">
        <v>238</v>
      </c>
      <c r="CD3609" s="5" t="s">
        <v>273</v>
      </c>
      <c r="CE3609" s="5" t="s">
        <v>256</v>
      </c>
      <c r="CF3609" s="5" t="s">
        <v>238</v>
      </c>
      <c r="CH3609" s="5" t="s">
        <v>494</v>
      </c>
      <c r="CI3609" s="6" t="s">
        <v>257</v>
      </c>
      <c r="CJ3609" s="5" t="s">
        <v>495</v>
      </c>
      <c r="CK3609" s="5" t="s">
        <v>258</v>
      </c>
      <c r="CL3609" s="5" t="s">
        <v>496</v>
      </c>
      <c r="CM3609" s="5" t="s">
        <v>238</v>
      </c>
      <c r="CN3609" s="5">
        <v>0</v>
      </c>
      <c r="CO3609" s="5" t="s">
        <v>497</v>
      </c>
      <c r="CP3609" s="5" t="s">
        <v>260</v>
      </c>
      <c r="CQ3609" s="5" t="s">
        <v>260</v>
      </c>
      <c r="CR3609" s="5" t="s">
        <v>261</v>
      </c>
      <c r="CS3609" s="5" t="s">
        <v>498</v>
      </c>
      <c r="CT3609" s="7">
        <f>1</f>
        <v>1</v>
      </c>
      <c r="CU3609" s="8">
        <f>1</f>
        <v>1</v>
      </c>
      <c r="CV3609" s="8">
        <f>0</f>
        <v>0</v>
      </c>
      <c r="CX3609" s="8">
        <f>1</f>
        <v>1</v>
      </c>
      <c r="CY3609" s="8">
        <f>1</f>
        <v>1</v>
      </c>
      <c r="CZ3609" s="8" t="s">
        <v>238</v>
      </c>
      <c r="DA3609" s="5" t="s">
        <v>238</v>
      </c>
      <c r="DB3609" s="5" t="s">
        <v>238</v>
      </c>
      <c r="DC3609" s="5" t="s">
        <v>238</v>
      </c>
      <c r="DD3609" s="5" t="s">
        <v>238</v>
      </c>
      <c r="DE3609" s="8">
        <f>0</f>
        <v>0</v>
      </c>
      <c r="DG3609" s="5" t="s">
        <v>238</v>
      </c>
      <c r="DH3609" s="5" t="s">
        <v>238</v>
      </c>
      <c r="DI3609" s="5" t="s">
        <v>238</v>
      </c>
      <c r="DJ3609" s="5" t="s">
        <v>238</v>
      </c>
      <c r="DK3609" s="5" t="s">
        <v>238</v>
      </c>
      <c r="DL3609" s="5" t="s">
        <v>238</v>
      </c>
      <c r="DM3609" s="8" t="s">
        <v>238</v>
      </c>
      <c r="DN3609" s="5" t="s">
        <v>238</v>
      </c>
      <c r="DO3609" s="5" t="s">
        <v>238</v>
      </c>
      <c r="DP3609" s="5" t="s">
        <v>490</v>
      </c>
      <c r="DQ3609" s="5" t="s">
        <v>490</v>
      </c>
      <c r="DR3609" s="5" t="s">
        <v>238</v>
      </c>
      <c r="DS3609" s="5" t="s">
        <v>238</v>
      </c>
      <c r="DT3609" s="5" t="s">
        <v>500</v>
      </c>
      <c r="DU3609" s="5" t="s">
        <v>3109</v>
      </c>
      <c r="DV3609" s="5" t="s">
        <v>238</v>
      </c>
      <c r="DW3609" s="5" t="s">
        <v>238</v>
      </c>
      <c r="DX3609" s="5" t="s">
        <v>238</v>
      </c>
      <c r="DY3609" s="5" t="s">
        <v>238</v>
      </c>
      <c r="DZ3609" s="5" t="s">
        <v>238</v>
      </c>
      <c r="EA3609" s="5" t="s">
        <v>238</v>
      </c>
      <c r="EB3609" s="5" t="s">
        <v>238</v>
      </c>
      <c r="EC3609" s="5" t="s">
        <v>238</v>
      </c>
      <c r="ED3609" s="5" t="s">
        <v>238</v>
      </c>
      <c r="EE3609" s="5" t="s">
        <v>238</v>
      </c>
      <c r="EF3609" s="5" t="s">
        <v>238</v>
      </c>
      <c r="EG3609" s="5" t="s">
        <v>238</v>
      </c>
      <c r="EH3609" s="5" t="s">
        <v>238</v>
      </c>
      <c r="EI3609" s="5" t="s">
        <v>238</v>
      </c>
      <c r="EJ3609" s="5" t="s">
        <v>238</v>
      </c>
      <c r="EK3609" s="5" t="s">
        <v>238</v>
      </c>
      <c r="EL3609" s="5" t="s">
        <v>238</v>
      </c>
      <c r="EM3609" s="5" t="s">
        <v>238</v>
      </c>
      <c r="EN3609" s="5" t="s">
        <v>238</v>
      </c>
      <c r="EO3609" s="5" t="s">
        <v>238</v>
      </c>
      <c r="EP3609" s="5" t="s">
        <v>238</v>
      </c>
      <c r="EQ3609" s="5" t="s">
        <v>238</v>
      </c>
      <c r="ER3609" s="5" t="s">
        <v>238</v>
      </c>
      <c r="ES3609" s="5" t="s">
        <v>238</v>
      </c>
      <c r="ET3609" s="5" t="s">
        <v>238</v>
      </c>
      <c r="EU3609" s="5" t="s">
        <v>238</v>
      </c>
      <c r="EV3609" s="5" t="s">
        <v>238</v>
      </c>
      <c r="EW3609" s="5" t="s">
        <v>238</v>
      </c>
      <c r="EX3609" s="5" t="s">
        <v>238</v>
      </c>
      <c r="EY3609" s="5" t="s">
        <v>238</v>
      </c>
      <c r="EZ3609" s="5" t="s">
        <v>238</v>
      </c>
      <c r="FA3609" s="5" t="s">
        <v>238</v>
      </c>
      <c r="FB3609" s="5" t="s">
        <v>238</v>
      </c>
      <c r="FC3609" s="5" t="s">
        <v>238</v>
      </c>
      <c r="FD3609" s="5" t="s">
        <v>238</v>
      </c>
      <c r="FE3609" s="5" t="s">
        <v>238</v>
      </c>
      <c r="FF3609" s="5" t="s">
        <v>238</v>
      </c>
      <c r="FG3609" s="5" t="s">
        <v>238</v>
      </c>
      <c r="FH3609" s="5" t="s">
        <v>238</v>
      </c>
      <c r="FI3609" s="5" t="s">
        <v>238</v>
      </c>
      <c r="FJ3609" s="5" t="s">
        <v>238</v>
      </c>
      <c r="FK3609" s="5" t="s">
        <v>238</v>
      </c>
      <c r="FL3609" s="5" t="s">
        <v>238</v>
      </c>
      <c r="FM3609" s="5" t="s">
        <v>238</v>
      </c>
      <c r="FN3609" s="5" t="s">
        <v>238</v>
      </c>
      <c r="FO3609" s="5" t="s">
        <v>238</v>
      </c>
      <c r="FP3609" s="5" t="s">
        <v>238</v>
      </c>
      <c r="FQ3609" s="5" t="s">
        <v>238</v>
      </c>
      <c r="FR3609" s="5" t="s">
        <v>238</v>
      </c>
      <c r="FS3609" s="5" t="s">
        <v>238</v>
      </c>
      <c r="FT3609" s="5" t="s">
        <v>238</v>
      </c>
      <c r="FU3609" s="5" t="s">
        <v>238</v>
      </c>
      <c r="FV3609" s="5" t="s">
        <v>238</v>
      </c>
      <c r="FW3609" s="5" t="s">
        <v>238</v>
      </c>
      <c r="FX3609" s="5" t="s">
        <v>238</v>
      </c>
      <c r="FY3609" s="5" t="s">
        <v>238</v>
      </c>
      <c r="FZ3609" s="5" t="s">
        <v>238</v>
      </c>
      <c r="GA3609" s="5" t="s">
        <v>238</v>
      </c>
      <c r="GB3609" s="5" t="s">
        <v>238</v>
      </c>
      <c r="GC3609" s="5" t="s">
        <v>238</v>
      </c>
      <c r="GD3609" s="5" t="s">
        <v>238</v>
      </c>
      <c r="GE3609" s="5" t="s">
        <v>238</v>
      </c>
      <c r="GF3609" s="5" t="s">
        <v>238</v>
      </c>
      <c r="GG3609" s="5" t="s">
        <v>238</v>
      </c>
      <c r="GH3609" s="5" t="s">
        <v>238</v>
      </c>
      <c r="GI3609" s="5" t="s">
        <v>238</v>
      </c>
      <c r="GJ3609" s="5" t="s">
        <v>238</v>
      </c>
      <c r="GK3609" s="5" t="s">
        <v>238</v>
      </c>
      <c r="GL3609" s="5" t="s">
        <v>238</v>
      </c>
      <c r="GM3609" s="5" t="s">
        <v>238</v>
      </c>
      <c r="GN3609" s="5" t="s">
        <v>238</v>
      </c>
      <c r="GO3609" s="5" t="s">
        <v>238</v>
      </c>
      <c r="GP3609" s="5" t="s">
        <v>238</v>
      </c>
      <c r="GQ3609" s="5" t="s">
        <v>238</v>
      </c>
      <c r="GR3609" s="5" t="s">
        <v>238</v>
      </c>
      <c r="GS3609" s="5" t="s">
        <v>238</v>
      </c>
      <c r="GT3609" s="5" t="s">
        <v>238</v>
      </c>
      <c r="GU3609" s="5" t="s">
        <v>238</v>
      </c>
      <c r="GV3609" s="5" t="s">
        <v>238</v>
      </c>
      <c r="GW3609" s="5" t="s">
        <v>238</v>
      </c>
      <c r="GX3609" s="5" t="s">
        <v>238</v>
      </c>
      <c r="GY3609" s="5" t="s">
        <v>238</v>
      </c>
      <c r="GZ3609" s="5" t="s">
        <v>238</v>
      </c>
      <c r="HA3609" s="5" t="s">
        <v>238</v>
      </c>
      <c r="HB3609" s="5" t="s">
        <v>238</v>
      </c>
      <c r="HC3609" s="5" t="s">
        <v>238</v>
      </c>
      <c r="HD3609" s="5" t="s">
        <v>238</v>
      </c>
      <c r="HE3609" s="5" t="s">
        <v>238</v>
      </c>
      <c r="HF3609" s="5" t="s">
        <v>238</v>
      </c>
      <c r="HG3609" s="5" t="s">
        <v>238</v>
      </c>
      <c r="HH3609" s="5" t="s">
        <v>238</v>
      </c>
      <c r="HI3609" s="5" t="s">
        <v>238</v>
      </c>
      <c r="HJ3609" s="5" t="s">
        <v>238</v>
      </c>
      <c r="HK3609" s="5" t="s">
        <v>238</v>
      </c>
      <c r="HL3609" s="5" t="s">
        <v>238</v>
      </c>
      <c r="HM3609" s="5" t="s">
        <v>264</v>
      </c>
      <c r="HN3609" s="5" t="s">
        <v>238</v>
      </c>
      <c r="HO3609" s="5" t="s">
        <v>238</v>
      </c>
      <c r="HP3609" s="5" t="s">
        <v>238</v>
      </c>
      <c r="HQ3609" s="5" t="s">
        <v>238</v>
      </c>
      <c r="HR3609" s="5" t="s">
        <v>238</v>
      </c>
      <c r="HS3609" s="5" t="s">
        <v>238</v>
      </c>
      <c r="HT3609" s="5" t="s">
        <v>238</v>
      </c>
      <c r="HU3609" s="5" t="s">
        <v>238</v>
      </c>
      <c r="HV3609" s="5" t="s">
        <v>238</v>
      </c>
      <c r="HW3609" s="5" t="s">
        <v>238</v>
      </c>
      <c r="HX3609" s="5" t="s">
        <v>238</v>
      </c>
      <c r="HY3609" s="5" t="s">
        <v>238</v>
      </c>
      <c r="HZ3609" s="5" t="s">
        <v>238</v>
      </c>
      <c r="IA3609" s="5" t="s">
        <v>238</v>
      </c>
      <c r="IB3609" s="5" t="s">
        <v>238</v>
      </c>
      <c r="IC3609" s="5" t="s">
        <v>238</v>
      </c>
      <c r="ID3609" s="5" t="s">
        <v>238</v>
      </c>
    </row>
    <row r="3610" spans="1:238" x14ac:dyDescent="0.4">
      <c r="A3610" s="5">
        <v>9328</v>
      </c>
      <c r="B3610" s="5">
        <v>1</v>
      </c>
      <c r="C3610" s="5">
        <v>1</v>
      </c>
      <c r="D3610" s="5" t="s">
        <v>484</v>
      </c>
      <c r="E3610" s="5" t="s">
        <v>485</v>
      </c>
      <c r="F3610" s="5" t="s">
        <v>248</v>
      </c>
      <c r="G3610" s="5" t="s">
        <v>4926</v>
      </c>
      <c r="H3610" s="6" t="s">
        <v>4928</v>
      </c>
      <c r="I3610" s="8">
        <f>1</f>
        <v>1</v>
      </c>
      <c r="J3610" s="5" t="s">
        <v>499</v>
      </c>
      <c r="K3610" s="8">
        <f>1</f>
        <v>1</v>
      </c>
      <c r="L3610" s="6" t="s">
        <v>242</v>
      </c>
      <c r="M3610" s="5" t="s">
        <v>267</v>
      </c>
      <c r="N3610" s="5" t="s">
        <v>482</v>
      </c>
      <c r="O3610" s="5" t="s">
        <v>238</v>
      </c>
      <c r="P3610" s="5" t="s">
        <v>238</v>
      </c>
      <c r="Q3610" s="5" t="s">
        <v>239</v>
      </c>
      <c r="R3610" s="5" t="s">
        <v>270</v>
      </c>
      <c r="S3610" s="5" t="s">
        <v>238</v>
      </c>
      <c r="T3610" s="5" t="s">
        <v>238</v>
      </c>
      <c r="U3610" s="5" t="s">
        <v>238</v>
      </c>
      <c r="V3610" s="5" t="s">
        <v>238</v>
      </c>
      <c r="W3610" s="6" t="s">
        <v>238</v>
      </c>
      <c r="X3610" s="6" t="s">
        <v>238</v>
      </c>
      <c r="Y3610" s="5" t="s">
        <v>238</v>
      </c>
      <c r="Z3610" s="6" t="s">
        <v>238</v>
      </c>
      <c r="AA3610" s="6" t="s">
        <v>243</v>
      </c>
      <c r="AB3610" s="5" t="s">
        <v>4927</v>
      </c>
      <c r="AC3610" s="5" t="s">
        <v>244</v>
      </c>
      <c r="AD3610" s="5" t="s">
        <v>245</v>
      </c>
      <c r="AE3610" s="5" t="s">
        <v>238</v>
      </c>
      <c r="AF3610" s="5" t="s">
        <v>238</v>
      </c>
      <c r="AG3610" s="5" t="s">
        <v>238</v>
      </c>
      <c r="AH3610" s="5" t="s">
        <v>238</v>
      </c>
      <c r="AI3610" s="5" t="s">
        <v>238</v>
      </c>
      <c r="AJ3610" s="5" t="s">
        <v>238</v>
      </c>
      <c r="AK3610" s="5" t="s">
        <v>238</v>
      </c>
      <c r="AL3610" s="5" t="s">
        <v>238</v>
      </c>
      <c r="AM3610" s="6" t="s">
        <v>238</v>
      </c>
      <c r="AN3610" s="6" t="s">
        <v>238</v>
      </c>
      <c r="AO3610" s="6" t="s">
        <v>238</v>
      </c>
      <c r="AP3610" s="6" t="s">
        <v>238</v>
      </c>
      <c r="AQ3610" s="5" t="s">
        <v>238</v>
      </c>
      <c r="AR3610" s="5" t="s">
        <v>488</v>
      </c>
      <c r="AS3610" s="5" t="s">
        <v>488</v>
      </c>
      <c r="AT3610" s="5" t="s">
        <v>246</v>
      </c>
      <c r="AU3610" s="5" t="s">
        <v>489</v>
      </c>
      <c r="AV3610" s="5" t="s">
        <v>247</v>
      </c>
      <c r="AW3610" s="5" t="s">
        <v>238</v>
      </c>
      <c r="AX3610" s="5" t="s">
        <v>249</v>
      </c>
      <c r="AY3610" s="5" t="s">
        <v>490</v>
      </c>
      <c r="BA3610" s="5" t="s">
        <v>238</v>
      </c>
      <c r="BC3610" s="5" t="s">
        <v>491</v>
      </c>
      <c r="BD3610" s="6" t="s">
        <v>492</v>
      </c>
      <c r="BE3610" s="5" t="s">
        <v>493</v>
      </c>
      <c r="BF3610" s="5" t="s">
        <v>493</v>
      </c>
      <c r="BG3610" s="5" t="s">
        <v>238</v>
      </c>
      <c r="BH3610" s="8">
        <f>1</f>
        <v>1</v>
      </c>
      <c r="BI3610" s="8">
        <f>1</f>
        <v>1</v>
      </c>
      <c r="BJ3610" s="5" t="s">
        <v>253</v>
      </c>
      <c r="BK3610" s="5" t="s">
        <v>254</v>
      </c>
      <c r="BL3610" s="5" t="s">
        <v>238</v>
      </c>
      <c r="BM3610" s="5" t="s">
        <v>238</v>
      </c>
      <c r="BN3610" s="5" t="s">
        <v>238</v>
      </c>
      <c r="BO3610" s="5" t="s">
        <v>238</v>
      </c>
      <c r="BP3610" s="5" t="s">
        <v>238</v>
      </c>
      <c r="BQ3610" s="5" t="s">
        <v>238</v>
      </c>
      <c r="BR3610" s="5" t="s">
        <v>238</v>
      </c>
      <c r="BS3610" s="5" t="s">
        <v>238</v>
      </c>
      <c r="BT3610" s="6" t="s">
        <v>238</v>
      </c>
      <c r="BU3610" s="5" t="s">
        <v>238</v>
      </c>
      <c r="BV3610" s="5" t="s">
        <v>238</v>
      </c>
      <c r="BW3610" s="5" t="s">
        <v>238</v>
      </c>
      <c r="BX3610" s="5" t="s">
        <v>254</v>
      </c>
      <c r="BY3610" s="5" t="s">
        <v>238</v>
      </c>
      <c r="BZ3610" s="5" t="s">
        <v>238</v>
      </c>
      <c r="CA3610" s="5" t="s">
        <v>238</v>
      </c>
      <c r="CB3610" s="5" t="s">
        <v>238</v>
      </c>
      <c r="CC3610" s="5" t="s">
        <v>238</v>
      </c>
      <c r="CD3610" s="5" t="s">
        <v>273</v>
      </c>
      <c r="CE3610" s="5" t="s">
        <v>256</v>
      </c>
      <c r="CF3610" s="5" t="s">
        <v>238</v>
      </c>
      <c r="CH3610" s="5" t="s">
        <v>494</v>
      </c>
      <c r="CI3610" s="6" t="s">
        <v>257</v>
      </c>
      <c r="CJ3610" s="5" t="s">
        <v>495</v>
      </c>
      <c r="CK3610" s="5" t="s">
        <v>258</v>
      </c>
      <c r="CL3610" s="5" t="s">
        <v>496</v>
      </c>
      <c r="CM3610" s="5" t="s">
        <v>238</v>
      </c>
      <c r="CN3610" s="5">
        <v>0</v>
      </c>
      <c r="CO3610" s="5" t="s">
        <v>497</v>
      </c>
      <c r="CP3610" s="5" t="s">
        <v>260</v>
      </c>
      <c r="CQ3610" s="5" t="s">
        <v>260</v>
      </c>
      <c r="CR3610" s="5" t="s">
        <v>261</v>
      </c>
      <c r="CS3610" s="5" t="s">
        <v>498</v>
      </c>
      <c r="CT3610" s="7">
        <f>1</f>
        <v>1</v>
      </c>
      <c r="CU3610" s="8">
        <f>1</f>
        <v>1</v>
      </c>
      <c r="CV3610" s="8">
        <f>0</f>
        <v>0</v>
      </c>
      <c r="CX3610" s="8">
        <f>1</f>
        <v>1</v>
      </c>
      <c r="CY3610" s="8">
        <f>1</f>
        <v>1</v>
      </c>
      <c r="CZ3610" s="8" t="s">
        <v>238</v>
      </c>
      <c r="DA3610" s="5" t="s">
        <v>238</v>
      </c>
      <c r="DB3610" s="5" t="s">
        <v>238</v>
      </c>
      <c r="DC3610" s="5" t="s">
        <v>238</v>
      </c>
      <c r="DD3610" s="5" t="s">
        <v>238</v>
      </c>
      <c r="DE3610" s="8">
        <f>0</f>
        <v>0</v>
      </c>
      <c r="DG3610" s="5" t="s">
        <v>238</v>
      </c>
      <c r="DH3610" s="5" t="s">
        <v>238</v>
      </c>
      <c r="DI3610" s="5" t="s">
        <v>238</v>
      </c>
      <c r="DJ3610" s="5" t="s">
        <v>238</v>
      </c>
      <c r="DK3610" s="5" t="s">
        <v>238</v>
      </c>
      <c r="DL3610" s="5" t="s">
        <v>238</v>
      </c>
      <c r="DM3610" s="8" t="s">
        <v>238</v>
      </c>
      <c r="DN3610" s="5" t="s">
        <v>238</v>
      </c>
      <c r="DO3610" s="5" t="s">
        <v>238</v>
      </c>
      <c r="DP3610" s="5" t="s">
        <v>490</v>
      </c>
      <c r="DQ3610" s="5" t="s">
        <v>490</v>
      </c>
      <c r="DR3610" s="5" t="s">
        <v>238</v>
      </c>
      <c r="DS3610" s="5" t="s">
        <v>238</v>
      </c>
      <c r="DT3610" s="5" t="s">
        <v>500</v>
      </c>
      <c r="DU3610" s="5" t="s">
        <v>264</v>
      </c>
      <c r="DV3610" s="5" t="s">
        <v>238</v>
      </c>
      <c r="DW3610" s="5" t="s">
        <v>238</v>
      </c>
      <c r="DX3610" s="5" t="s">
        <v>238</v>
      </c>
      <c r="DY3610" s="5" t="s">
        <v>238</v>
      </c>
      <c r="DZ3610" s="5" t="s">
        <v>238</v>
      </c>
      <c r="EA3610" s="5" t="s">
        <v>238</v>
      </c>
      <c r="EB3610" s="5" t="s">
        <v>238</v>
      </c>
      <c r="EC3610" s="5" t="s">
        <v>238</v>
      </c>
      <c r="ED3610" s="5" t="s">
        <v>238</v>
      </c>
      <c r="EE3610" s="5" t="s">
        <v>238</v>
      </c>
      <c r="EF3610" s="5" t="s">
        <v>238</v>
      </c>
      <c r="EG3610" s="5" t="s">
        <v>238</v>
      </c>
      <c r="EH3610" s="5" t="s">
        <v>238</v>
      </c>
      <c r="EI3610" s="5" t="s">
        <v>238</v>
      </c>
      <c r="EJ3610" s="5" t="s">
        <v>238</v>
      </c>
      <c r="EK3610" s="5" t="s">
        <v>238</v>
      </c>
      <c r="EL3610" s="5" t="s">
        <v>238</v>
      </c>
      <c r="EM3610" s="5" t="s">
        <v>238</v>
      </c>
      <c r="EN3610" s="5" t="s">
        <v>238</v>
      </c>
      <c r="EO3610" s="5" t="s">
        <v>238</v>
      </c>
      <c r="EP3610" s="5" t="s">
        <v>238</v>
      </c>
      <c r="EQ3610" s="5" t="s">
        <v>238</v>
      </c>
      <c r="ER3610" s="5" t="s">
        <v>238</v>
      </c>
      <c r="ES3610" s="5" t="s">
        <v>238</v>
      </c>
      <c r="ET3610" s="5" t="s">
        <v>238</v>
      </c>
      <c r="EU3610" s="5" t="s">
        <v>238</v>
      </c>
      <c r="EV3610" s="5" t="s">
        <v>238</v>
      </c>
      <c r="EW3610" s="5" t="s">
        <v>238</v>
      </c>
      <c r="EX3610" s="5" t="s">
        <v>238</v>
      </c>
      <c r="EY3610" s="5" t="s">
        <v>238</v>
      </c>
      <c r="EZ3610" s="5" t="s">
        <v>238</v>
      </c>
      <c r="FA3610" s="5" t="s">
        <v>238</v>
      </c>
      <c r="FB3610" s="5" t="s">
        <v>238</v>
      </c>
      <c r="FC3610" s="5" t="s">
        <v>238</v>
      </c>
      <c r="FD3610" s="5" t="s">
        <v>238</v>
      </c>
      <c r="FE3610" s="5" t="s">
        <v>238</v>
      </c>
      <c r="FF3610" s="5" t="s">
        <v>238</v>
      </c>
      <c r="FG3610" s="5" t="s">
        <v>238</v>
      </c>
      <c r="FH3610" s="5" t="s">
        <v>238</v>
      </c>
      <c r="FI3610" s="5" t="s">
        <v>238</v>
      </c>
      <c r="FJ3610" s="5" t="s">
        <v>238</v>
      </c>
      <c r="FK3610" s="5" t="s">
        <v>238</v>
      </c>
      <c r="FL3610" s="5" t="s">
        <v>238</v>
      </c>
      <c r="FM3610" s="5" t="s">
        <v>238</v>
      </c>
      <c r="FN3610" s="5" t="s">
        <v>238</v>
      </c>
      <c r="FO3610" s="5" t="s">
        <v>238</v>
      </c>
      <c r="FP3610" s="5" t="s">
        <v>238</v>
      </c>
      <c r="FQ3610" s="5" t="s">
        <v>238</v>
      </c>
      <c r="FR3610" s="5" t="s">
        <v>238</v>
      </c>
      <c r="FS3610" s="5" t="s">
        <v>238</v>
      </c>
      <c r="FT3610" s="5" t="s">
        <v>238</v>
      </c>
      <c r="FU3610" s="5" t="s">
        <v>238</v>
      </c>
      <c r="FV3610" s="5" t="s">
        <v>238</v>
      </c>
      <c r="FW3610" s="5" t="s">
        <v>238</v>
      </c>
      <c r="FX3610" s="5" t="s">
        <v>238</v>
      </c>
      <c r="FY3610" s="5" t="s">
        <v>238</v>
      </c>
      <c r="FZ3610" s="5" t="s">
        <v>238</v>
      </c>
      <c r="GA3610" s="5" t="s">
        <v>238</v>
      </c>
      <c r="GB3610" s="5" t="s">
        <v>238</v>
      </c>
      <c r="GC3610" s="5" t="s">
        <v>238</v>
      </c>
      <c r="GD3610" s="5" t="s">
        <v>238</v>
      </c>
      <c r="GE3610" s="5" t="s">
        <v>238</v>
      </c>
      <c r="GF3610" s="5" t="s">
        <v>238</v>
      </c>
      <c r="GG3610" s="5" t="s">
        <v>238</v>
      </c>
      <c r="GH3610" s="5" t="s">
        <v>238</v>
      </c>
      <c r="GI3610" s="5" t="s">
        <v>238</v>
      </c>
      <c r="GJ3610" s="5" t="s">
        <v>238</v>
      </c>
      <c r="GK3610" s="5" t="s">
        <v>238</v>
      </c>
      <c r="GL3610" s="5" t="s">
        <v>238</v>
      </c>
      <c r="GM3610" s="5" t="s">
        <v>238</v>
      </c>
      <c r="GN3610" s="5" t="s">
        <v>238</v>
      </c>
      <c r="GO3610" s="5" t="s">
        <v>238</v>
      </c>
      <c r="GP3610" s="5" t="s">
        <v>238</v>
      </c>
      <c r="GQ3610" s="5" t="s">
        <v>238</v>
      </c>
      <c r="GR3610" s="5" t="s">
        <v>238</v>
      </c>
      <c r="GS3610" s="5" t="s">
        <v>238</v>
      </c>
      <c r="GT3610" s="5" t="s">
        <v>238</v>
      </c>
      <c r="GU3610" s="5" t="s">
        <v>238</v>
      </c>
      <c r="GV3610" s="5" t="s">
        <v>238</v>
      </c>
      <c r="GW3610" s="5" t="s">
        <v>238</v>
      </c>
      <c r="GX3610" s="5" t="s">
        <v>238</v>
      </c>
      <c r="GY3610" s="5" t="s">
        <v>238</v>
      </c>
      <c r="GZ3610" s="5" t="s">
        <v>238</v>
      </c>
      <c r="HA3610" s="5" t="s">
        <v>238</v>
      </c>
      <c r="HB3610" s="5" t="s">
        <v>238</v>
      </c>
      <c r="HC3610" s="5" t="s">
        <v>238</v>
      </c>
      <c r="HD3610" s="5" t="s">
        <v>238</v>
      </c>
      <c r="HE3610" s="5" t="s">
        <v>238</v>
      </c>
      <c r="HF3610" s="5" t="s">
        <v>238</v>
      </c>
      <c r="HG3610" s="5" t="s">
        <v>238</v>
      </c>
      <c r="HH3610" s="5" t="s">
        <v>238</v>
      </c>
      <c r="HI3610" s="5" t="s">
        <v>238</v>
      </c>
      <c r="HJ3610" s="5" t="s">
        <v>238</v>
      </c>
      <c r="HK3610" s="5" t="s">
        <v>238</v>
      </c>
      <c r="HL3610" s="5" t="s">
        <v>238</v>
      </c>
      <c r="HM3610" s="5" t="s">
        <v>264</v>
      </c>
      <c r="HN3610" s="5" t="s">
        <v>238</v>
      </c>
      <c r="HO3610" s="5" t="s">
        <v>238</v>
      </c>
      <c r="HP3610" s="5" t="s">
        <v>238</v>
      </c>
      <c r="HQ3610" s="5" t="s">
        <v>238</v>
      </c>
      <c r="HR3610" s="5" t="s">
        <v>238</v>
      </c>
      <c r="HS3610" s="5" t="s">
        <v>238</v>
      </c>
      <c r="HT3610" s="5" t="s">
        <v>238</v>
      </c>
      <c r="HU3610" s="5" t="s">
        <v>238</v>
      </c>
      <c r="HV3610" s="5" t="s">
        <v>238</v>
      </c>
      <c r="HW3610" s="5" t="s">
        <v>238</v>
      </c>
      <c r="HX3610" s="5" t="s">
        <v>238</v>
      </c>
      <c r="HY3610" s="5" t="s">
        <v>238</v>
      </c>
      <c r="HZ3610" s="5" t="s">
        <v>238</v>
      </c>
      <c r="IA3610" s="5" t="s">
        <v>238</v>
      </c>
      <c r="IB3610" s="5" t="s">
        <v>238</v>
      </c>
      <c r="IC3610" s="5" t="s">
        <v>238</v>
      </c>
      <c r="ID3610" s="5" t="s">
        <v>238</v>
      </c>
    </row>
    <row r="3611" spans="1:238" x14ac:dyDescent="0.4">
      <c r="A3611" s="5">
        <v>9329</v>
      </c>
      <c r="B3611" s="5">
        <v>1</v>
      </c>
      <c r="C3611" s="5">
        <v>1</v>
      </c>
      <c r="D3611" s="5" t="s">
        <v>484</v>
      </c>
      <c r="E3611" s="5" t="s">
        <v>485</v>
      </c>
      <c r="F3611" s="5" t="s">
        <v>248</v>
      </c>
      <c r="G3611" s="5" t="s">
        <v>4901</v>
      </c>
      <c r="H3611" s="6" t="s">
        <v>4902</v>
      </c>
      <c r="I3611" s="8">
        <f>1</f>
        <v>1</v>
      </c>
      <c r="J3611" s="5" t="s">
        <v>499</v>
      </c>
      <c r="K3611" s="8">
        <f>1</f>
        <v>1</v>
      </c>
      <c r="L3611" s="6" t="s">
        <v>242</v>
      </c>
      <c r="M3611" s="5" t="s">
        <v>267</v>
      </c>
      <c r="N3611" s="5" t="s">
        <v>482</v>
      </c>
      <c r="O3611" s="5" t="s">
        <v>238</v>
      </c>
      <c r="P3611" s="5" t="s">
        <v>238</v>
      </c>
      <c r="Q3611" s="5" t="s">
        <v>239</v>
      </c>
      <c r="R3611" s="5" t="s">
        <v>270</v>
      </c>
      <c r="S3611" s="5" t="s">
        <v>238</v>
      </c>
      <c r="T3611" s="5" t="s">
        <v>238</v>
      </c>
      <c r="U3611" s="5" t="s">
        <v>238</v>
      </c>
      <c r="V3611" s="5" t="s">
        <v>238</v>
      </c>
      <c r="W3611" s="6" t="s">
        <v>238</v>
      </c>
      <c r="X3611" s="6" t="s">
        <v>238</v>
      </c>
      <c r="Y3611" s="5" t="s">
        <v>238</v>
      </c>
      <c r="Z3611" s="6" t="s">
        <v>238</v>
      </c>
      <c r="AA3611" s="6" t="s">
        <v>243</v>
      </c>
      <c r="AB3611" s="5" t="s">
        <v>486</v>
      </c>
      <c r="AC3611" s="5" t="s">
        <v>244</v>
      </c>
      <c r="AD3611" s="5" t="s">
        <v>245</v>
      </c>
      <c r="AE3611" s="5" t="s">
        <v>238</v>
      </c>
      <c r="AF3611" s="5" t="s">
        <v>238</v>
      </c>
      <c r="AG3611" s="5" t="s">
        <v>238</v>
      </c>
      <c r="AH3611" s="5" t="s">
        <v>238</v>
      </c>
      <c r="AI3611" s="5" t="s">
        <v>238</v>
      </c>
      <c r="AJ3611" s="5" t="s">
        <v>238</v>
      </c>
      <c r="AK3611" s="5" t="s">
        <v>238</v>
      </c>
      <c r="AL3611" s="5" t="s">
        <v>238</v>
      </c>
      <c r="AM3611" s="6" t="s">
        <v>238</v>
      </c>
      <c r="AN3611" s="6" t="s">
        <v>238</v>
      </c>
      <c r="AO3611" s="6" t="s">
        <v>238</v>
      </c>
      <c r="AP3611" s="6" t="s">
        <v>238</v>
      </c>
      <c r="AQ3611" s="5" t="s">
        <v>238</v>
      </c>
      <c r="AR3611" s="5" t="s">
        <v>488</v>
      </c>
      <c r="AS3611" s="5" t="s">
        <v>488</v>
      </c>
      <c r="AT3611" s="5" t="s">
        <v>246</v>
      </c>
      <c r="AU3611" s="5" t="s">
        <v>489</v>
      </c>
      <c r="AV3611" s="5" t="s">
        <v>247</v>
      </c>
      <c r="AW3611" s="5" t="s">
        <v>238</v>
      </c>
      <c r="AX3611" s="5" t="s">
        <v>249</v>
      </c>
      <c r="AY3611" s="5" t="s">
        <v>490</v>
      </c>
      <c r="BA3611" s="5" t="s">
        <v>238</v>
      </c>
      <c r="BC3611" s="5" t="s">
        <v>491</v>
      </c>
      <c r="BD3611" s="6" t="s">
        <v>492</v>
      </c>
      <c r="BE3611" s="5" t="s">
        <v>493</v>
      </c>
      <c r="BF3611" s="5" t="s">
        <v>493</v>
      </c>
      <c r="BG3611" s="5" t="s">
        <v>238</v>
      </c>
      <c r="BH3611" s="8">
        <f>1</f>
        <v>1</v>
      </c>
      <c r="BI3611" s="8">
        <f>1</f>
        <v>1</v>
      </c>
      <c r="BJ3611" s="5" t="s">
        <v>253</v>
      </c>
      <c r="BK3611" s="5" t="s">
        <v>254</v>
      </c>
      <c r="BL3611" s="5" t="s">
        <v>238</v>
      </c>
      <c r="BM3611" s="5" t="s">
        <v>238</v>
      </c>
      <c r="BN3611" s="5" t="s">
        <v>238</v>
      </c>
      <c r="BO3611" s="5" t="s">
        <v>238</v>
      </c>
      <c r="BP3611" s="5" t="s">
        <v>238</v>
      </c>
      <c r="BQ3611" s="5" t="s">
        <v>238</v>
      </c>
      <c r="BR3611" s="5" t="s">
        <v>238</v>
      </c>
      <c r="BS3611" s="5" t="s">
        <v>238</v>
      </c>
      <c r="BT3611" s="6" t="s">
        <v>238</v>
      </c>
      <c r="BU3611" s="5" t="s">
        <v>238</v>
      </c>
      <c r="BV3611" s="5" t="s">
        <v>238</v>
      </c>
      <c r="BW3611" s="5" t="s">
        <v>238</v>
      </c>
      <c r="BX3611" s="5" t="s">
        <v>254</v>
      </c>
      <c r="BY3611" s="5" t="s">
        <v>238</v>
      </c>
      <c r="BZ3611" s="5" t="s">
        <v>238</v>
      </c>
      <c r="CA3611" s="5" t="s">
        <v>238</v>
      </c>
      <c r="CB3611" s="5" t="s">
        <v>238</v>
      </c>
      <c r="CC3611" s="5" t="s">
        <v>238</v>
      </c>
      <c r="CD3611" s="5" t="s">
        <v>273</v>
      </c>
      <c r="CE3611" s="5" t="s">
        <v>256</v>
      </c>
      <c r="CF3611" s="5" t="s">
        <v>238</v>
      </c>
      <c r="CH3611" s="5" t="s">
        <v>494</v>
      </c>
      <c r="CI3611" s="6" t="s">
        <v>257</v>
      </c>
      <c r="CJ3611" s="5" t="s">
        <v>495</v>
      </c>
      <c r="CK3611" s="5" t="s">
        <v>258</v>
      </c>
      <c r="CL3611" s="5" t="s">
        <v>496</v>
      </c>
      <c r="CM3611" s="5" t="s">
        <v>238</v>
      </c>
      <c r="CN3611" s="5">
        <v>0</v>
      </c>
      <c r="CO3611" s="5" t="s">
        <v>497</v>
      </c>
      <c r="CP3611" s="5" t="s">
        <v>260</v>
      </c>
      <c r="CQ3611" s="5" t="s">
        <v>260</v>
      </c>
      <c r="CR3611" s="5" t="s">
        <v>261</v>
      </c>
      <c r="CS3611" s="5" t="s">
        <v>498</v>
      </c>
      <c r="CT3611" s="7">
        <f>1</f>
        <v>1</v>
      </c>
      <c r="CU3611" s="8">
        <f>1</f>
        <v>1</v>
      </c>
      <c r="CV3611" s="8">
        <f>0</f>
        <v>0</v>
      </c>
      <c r="CX3611" s="8">
        <f>1</f>
        <v>1</v>
      </c>
      <c r="CY3611" s="8">
        <f>1</f>
        <v>1</v>
      </c>
      <c r="CZ3611" s="8" t="s">
        <v>238</v>
      </c>
      <c r="DA3611" s="5" t="s">
        <v>238</v>
      </c>
      <c r="DB3611" s="5" t="s">
        <v>238</v>
      </c>
      <c r="DC3611" s="5" t="s">
        <v>238</v>
      </c>
      <c r="DD3611" s="5" t="s">
        <v>238</v>
      </c>
      <c r="DE3611" s="8">
        <f>0</f>
        <v>0</v>
      </c>
      <c r="DG3611" s="5" t="s">
        <v>238</v>
      </c>
      <c r="DH3611" s="5" t="s">
        <v>238</v>
      </c>
      <c r="DI3611" s="5" t="s">
        <v>238</v>
      </c>
      <c r="DJ3611" s="5" t="s">
        <v>238</v>
      </c>
      <c r="DK3611" s="5" t="s">
        <v>238</v>
      </c>
      <c r="DL3611" s="5" t="s">
        <v>238</v>
      </c>
      <c r="DM3611" s="8" t="s">
        <v>238</v>
      </c>
      <c r="DN3611" s="5" t="s">
        <v>238</v>
      </c>
      <c r="DO3611" s="5" t="s">
        <v>238</v>
      </c>
      <c r="DP3611" s="5" t="s">
        <v>490</v>
      </c>
      <c r="DQ3611" s="5" t="s">
        <v>490</v>
      </c>
      <c r="DR3611" s="5" t="s">
        <v>238</v>
      </c>
      <c r="DS3611" s="5" t="s">
        <v>238</v>
      </c>
      <c r="DT3611" s="5" t="s">
        <v>500</v>
      </c>
      <c r="DU3611" s="5" t="s">
        <v>892</v>
      </c>
      <c r="DV3611" s="5" t="s">
        <v>238</v>
      </c>
      <c r="DW3611" s="5" t="s">
        <v>238</v>
      </c>
      <c r="DX3611" s="5" t="s">
        <v>238</v>
      </c>
      <c r="DY3611" s="5" t="s">
        <v>238</v>
      </c>
      <c r="DZ3611" s="5" t="s">
        <v>238</v>
      </c>
      <c r="EA3611" s="5" t="s">
        <v>238</v>
      </c>
      <c r="EB3611" s="5" t="s">
        <v>238</v>
      </c>
      <c r="EC3611" s="5" t="s">
        <v>238</v>
      </c>
      <c r="ED3611" s="5" t="s">
        <v>238</v>
      </c>
      <c r="EE3611" s="5" t="s">
        <v>238</v>
      </c>
      <c r="EF3611" s="5" t="s">
        <v>238</v>
      </c>
      <c r="EG3611" s="5" t="s">
        <v>238</v>
      </c>
      <c r="EH3611" s="5" t="s">
        <v>238</v>
      </c>
      <c r="EI3611" s="5" t="s">
        <v>238</v>
      </c>
      <c r="EJ3611" s="5" t="s">
        <v>238</v>
      </c>
      <c r="EK3611" s="5" t="s">
        <v>238</v>
      </c>
      <c r="EL3611" s="5" t="s">
        <v>238</v>
      </c>
      <c r="EM3611" s="5" t="s">
        <v>238</v>
      </c>
      <c r="EN3611" s="5" t="s">
        <v>238</v>
      </c>
      <c r="EO3611" s="5" t="s">
        <v>238</v>
      </c>
      <c r="EP3611" s="5" t="s">
        <v>238</v>
      </c>
      <c r="EQ3611" s="5" t="s">
        <v>238</v>
      </c>
      <c r="ER3611" s="5" t="s">
        <v>238</v>
      </c>
      <c r="ES3611" s="5" t="s">
        <v>238</v>
      </c>
      <c r="ET3611" s="5" t="s">
        <v>238</v>
      </c>
      <c r="EU3611" s="5" t="s">
        <v>238</v>
      </c>
      <c r="EV3611" s="5" t="s">
        <v>238</v>
      </c>
      <c r="EW3611" s="5" t="s">
        <v>238</v>
      </c>
      <c r="EX3611" s="5" t="s">
        <v>238</v>
      </c>
      <c r="EY3611" s="5" t="s">
        <v>238</v>
      </c>
      <c r="EZ3611" s="5" t="s">
        <v>238</v>
      </c>
      <c r="FA3611" s="5" t="s">
        <v>238</v>
      </c>
      <c r="FB3611" s="5" t="s">
        <v>238</v>
      </c>
      <c r="FC3611" s="5" t="s">
        <v>238</v>
      </c>
      <c r="FD3611" s="5" t="s">
        <v>238</v>
      </c>
      <c r="FE3611" s="5" t="s">
        <v>238</v>
      </c>
      <c r="FF3611" s="5" t="s">
        <v>238</v>
      </c>
      <c r="FG3611" s="5" t="s">
        <v>238</v>
      </c>
      <c r="FH3611" s="5" t="s">
        <v>238</v>
      </c>
      <c r="FI3611" s="5" t="s">
        <v>238</v>
      </c>
      <c r="FJ3611" s="5" t="s">
        <v>238</v>
      </c>
      <c r="FK3611" s="5" t="s">
        <v>238</v>
      </c>
      <c r="FL3611" s="5" t="s">
        <v>238</v>
      </c>
      <c r="FM3611" s="5" t="s">
        <v>238</v>
      </c>
      <c r="FN3611" s="5" t="s">
        <v>238</v>
      </c>
      <c r="FO3611" s="5" t="s">
        <v>238</v>
      </c>
      <c r="FP3611" s="5" t="s">
        <v>238</v>
      </c>
      <c r="FQ3611" s="5" t="s">
        <v>238</v>
      </c>
      <c r="FR3611" s="5" t="s">
        <v>238</v>
      </c>
      <c r="FS3611" s="5" t="s">
        <v>238</v>
      </c>
      <c r="FT3611" s="5" t="s">
        <v>238</v>
      </c>
      <c r="FU3611" s="5" t="s">
        <v>238</v>
      </c>
      <c r="FV3611" s="5" t="s">
        <v>238</v>
      </c>
      <c r="FW3611" s="5" t="s">
        <v>238</v>
      </c>
      <c r="FX3611" s="5" t="s">
        <v>238</v>
      </c>
      <c r="FY3611" s="5" t="s">
        <v>238</v>
      </c>
      <c r="FZ3611" s="5" t="s">
        <v>238</v>
      </c>
      <c r="GA3611" s="5" t="s">
        <v>238</v>
      </c>
      <c r="GB3611" s="5" t="s">
        <v>238</v>
      </c>
      <c r="GC3611" s="5" t="s">
        <v>238</v>
      </c>
      <c r="GD3611" s="5" t="s">
        <v>238</v>
      </c>
      <c r="GE3611" s="5" t="s">
        <v>238</v>
      </c>
      <c r="GF3611" s="5" t="s">
        <v>238</v>
      </c>
      <c r="GG3611" s="5" t="s">
        <v>238</v>
      </c>
      <c r="GH3611" s="5" t="s">
        <v>238</v>
      </c>
      <c r="GI3611" s="5" t="s">
        <v>238</v>
      </c>
      <c r="GJ3611" s="5" t="s">
        <v>238</v>
      </c>
      <c r="GK3611" s="5" t="s">
        <v>238</v>
      </c>
      <c r="GL3611" s="5" t="s">
        <v>238</v>
      </c>
      <c r="GM3611" s="5" t="s">
        <v>238</v>
      </c>
      <c r="GN3611" s="5" t="s">
        <v>238</v>
      </c>
      <c r="GO3611" s="5" t="s">
        <v>238</v>
      </c>
      <c r="GP3611" s="5" t="s">
        <v>238</v>
      </c>
      <c r="GQ3611" s="5" t="s">
        <v>238</v>
      </c>
      <c r="GR3611" s="5" t="s">
        <v>238</v>
      </c>
      <c r="GS3611" s="5" t="s">
        <v>238</v>
      </c>
      <c r="GT3611" s="5" t="s">
        <v>238</v>
      </c>
      <c r="GU3611" s="5" t="s">
        <v>238</v>
      </c>
      <c r="GV3611" s="5" t="s">
        <v>238</v>
      </c>
      <c r="GW3611" s="5" t="s">
        <v>238</v>
      </c>
      <c r="GX3611" s="5" t="s">
        <v>238</v>
      </c>
      <c r="GY3611" s="5" t="s">
        <v>238</v>
      </c>
      <c r="GZ3611" s="5" t="s">
        <v>238</v>
      </c>
      <c r="HA3611" s="5" t="s">
        <v>238</v>
      </c>
      <c r="HB3611" s="5" t="s">
        <v>238</v>
      </c>
      <c r="HC3611" s="5" t="s">
        <v>238</v>
      </c>
      <c r="HD3611" s="5" t="s">
        <v>238</v>
      </c>
      <c r="HE3611" s="5" t="s">
        <v>238</v>
      </c>
      <c r="HF3611" s="5" t="s">
        <v>238</v>
      </c>
      <c r="HG3611" s="5" t="s">
        <v>238</v>
      </c>
      <c r="HH3611" s="5" t="s">
        <v>238</v>
      </c>
      <c r="HI3611" s="5" t="s">
        <v>238</v>
      </c>
      <c r="HJ3611" s="5" t="s">
        <v>238</v>
      </c>
      <c r="HK3611" s="5" t="s">
        <v>238</v>
      </c>
      <c r="HL3611" s="5" t="s">
        <v>238</v>
      </c>
      <c r="HM3611" s="5" t="s">
        <v>264</v>
      </c>
      <c r="HN3611" s="5" t="s">
        <v>238</v>
      </c>
      <c r="HO3611" s="5" t="s">
        <v>238</v>
      </c>
      <c r="HP3611" s="5" t="s">
        <v>238</v>
      </c>
      <c r="HQ3611" s="5" t="s">
        <v>238</v>
      </c>
      <c r="HR3611" s="5" t="s">
        <v>238</v>
      </c>
      <c r="HS3611" s="5" t="s">
        <v>238</v>
      </c>
      <c r="HT3611" s="5" t="s">
        <v>238</v>
      </c>
      <c r="HU3611" s="5" t="s">
        <v>238</v>
      </c>
      <c r="HV3611" s="5" t="s">
        <v>238</v>
      </c>
      <c r="HW3611" s="5" t="s">
        <v>238</v>
      </c>
      <c r="HX3611" s="5" t="s">
        <v>238</v>
      </c>
      <c r="HY3611" s="5" t="s">
        <v>238</v>
      </c>
      <c r="HZ3611" s="5" t="s">
        <v>238</v>
      </c>
      <c r="IA3611" s="5" t="s">
        <v>238</v>
      </c>
      <c r="IB3611" s="5" t="s">
        <v>238</v>
      </c>
      <c r="IC3611" s="5" t="s">
        <v>238</v>
      </c>
      <c r="ID3611" s="5" t="s">
        <v>238</v>
      </c>
    </row>
    <row r="3612" spans="1:238" x14ac:dyDescent="0.4">
      <c r="A3612" s="5">
        <v>9330</v>
      </c>
      <c r="B3612" s="5">
        <v>1</v>
      </c>
      <c r="C3612" s="5">
        <v>1</v>
      </c>
      <c r="D3612" s="5" t="s">
        <v>484</v>
      </c>
      <c r="E3612" s="5" t="s">
        <v>485</v>
      </c>
      <c r="F3612" s="5" t="s">
        <v>248</v>
      </c>
      <c r="G3612" s="5" t="s">
        <v>5832</v>
      </c>
      <c r="H3612" s="6" t="s">
        <v>5833</v>
      </c>
      <c r="I3612" s="8">
        <f>1</f>
        <v>1</v>
      </c>
      <c r="J3612" s="5" t="s">
        <v>499</v>
      </c>
      <c r="K3612" s="8">
        <f>1</f>
        <v>1</v>
      </c>
      <c r="L3612" s="6" t="s">
        <v>242</v>
      </c>
      <c r="M3612" s="5" t="s">
        <v>267</v>
      </c>
      <c r="N3612" s="5" t="s">
        <v>482</v>
      </c>
      <c r="O3612" s="5" t="s">
        <v>238</v>
      </c>
      <c r="P3612" s="5" t="s">
        <v>238</v>
      </c>
      <c r="Q3612" s="5" t="s">
        <v>239</v>
      </c>
      <c r="R3612" s="5" t="s">
        <v>270</v>
      </c>
      <c r="S3612" s="5" t="s">
        <v>238</v>
      </c>
      <c r="T3612" s="5" t="s">
        <v>238</v>
      </c>
      <c r="U3612" s="5" t="s">
        <v>238</v>
      </c>
      <c r="V3612" s="5" t="s">
        <v>238</v>
      </c>
      <c r="W3612" s="6" t="s">
        <v>238</v>
      </c>
      <c r="X3612" s="6" t="s">
        <v>238</v>
      </c>
      <c r="Y3612" s="5" t="s">
        <v>238</v>
      </c>
      <c r="Z3612" s="6" t="s">
        <v>238</v>
      </c>
      <c r="AA3612" s="6" t="s">
        <v>243</v>
      </c>
      <c r="AB3612" s="5" t="s">
        <v>486</v>
      </c>
      <c r="AC3612" s="5" t="s">
        <v>244</v>
      </c>
      <c r="AD3612" s="5" t="s">
        <v>245</v>
      </c>
      <c r="AE3612" s="5" t="s">
        <v>238</v>
      </c>
      <c r="AF3612" s="5" t="s">
        <v>238</v>
      </c>
      <c r="AG3612" s="5" t="s">
        <v>238</v>
      </c>
      <c r="AH3612" s="5" t="s">
        <v>238</v>
      </c>
      <c r="AI3612" s="5" t="s">
        <v>238</v>
      </c>
      <c r="AJ3612" s="5" t="s">
        <v>238</v>
      </c>
      <c r="AK3612" s="5" t="s">
        <v>238</v>
      </c>
      <c r="AL3612" s="5" t="s">
        <v>238</v>
      </c>
      <c r="AM3612" s="6" t="s">
        <v>238</v>
      </c>
      <c r="AN3612" s="6" t="s">
        <v>238</v>
      </c>
      <c r="AO3612" s="6" t="s">
        <v>238</v>
      </c>
      <c r="AP3612" s="6" t="s">
        <v>238</v>
      </c>
      <c r="AQ3612" s="5" t="s">
        <v>238</v>
      </c>
      <c r="AR3612" s="5" t="s">
        <v>488</v>
      </c>
      <c r="AS3612" s="5" t="s">
        <v>488</v>
      </c>
      <c r="AT3612" s="5" t="s">
        <v>246</v>
      </c>
      <c r="AU3612" s="5" t="s">
        <v>489</v>
      </c>
      <c r="AV3612" s="5" t="s">
        <v>247</v>
      </c>
      <c r="AW3612" s="5" t="s">
        <v>238</v>
      </c>
      <c r="AX3612" s="5" t="s">
        <v>249</v>
      </c>
      <c r="AY3612" s="5" t="s">
        <v>490</v>
      </c>
      <c r="BA3612" s="5" t="s">
        <v>238</v>
      </c>
      <c r="BC3612" s="5" t="s">
        <v>491</v>
      </c>
      <c r="BD3612" s="6" t="s">
        <v>492</v>
      </c>
      <c r="BE3612" s="5" t="s">
        <v>493</v>
      </c>
      <c r="BF3612" s="5" t="s">
        <v>493</v>
      </c>
      <c r="BG3612" s="5" t="s">
        <v>238</v>
      </c>
      <c r="BH3612" s="8">
        <f>1</f>
        <v>1</v>
      </c>
      <c r="BI3612" s="8">
        <f>1</f>
        <v>1</v>
      </c>
      <c r="BJ3612" s="5" t="s">
        <v>253</v>
      </c>
      <c r="BK3612" s="5" t="s">
        <v>254</v>
      </c>
      <c r="BL3612" s="5" t="s">
        <v>238</v>
      </c>
      <c r="BM3612" s="5" t="s">
        <v>238</v>
      </c>
      <c r="BN3612" s="5" t="s">
        <v>238</v>
      </c>
      <c r="BO3612" s="5" t="s">
        <v>238</v>
      </c>
      <c r="BP3612" s="5" t="s">
        <v>238</v>
      </c>
      <c r="BQ3612" s="5" t="s">
        <v>238</v>
      </c>
      <c r="BR3612" s="5" t="s">
        <v>238</v>
      </c>
      <c r="BS3612" s="5" t="s">
        <v>238</v>
      </c>
      <c r="BT3612" s="6" t="s">
        <v>238</v>
      </c>
      <c r="BU3612" s="5" t="s">
        <v>238</v>
      </c>
      <c r="BV3612" s="5" t="s">
        <v>238</v>
      </c>
      <c r="BW3612" s="5" t="s">
        <v>238</v>
      </c>
      <c r="BX3612" s="5" t="s">
        <v>254</v>
      </c>
      <c r="BY3612" s="5" t="s">
        <v>238</v>
      </c>
      <c r="BZ3612" s="5" t="s">
        <v>238</v>
      </c>
      <c r="CA3612" s="5" t="s">
        <v>238</v>
      </c>
      <c r="CB3612" s="5" t="s">
        <v>238</v>
      </c>
      <c r="CC3612" s="5" t="s">
        <v>238</v>
      </c>
      <c r="CD3612" s="5" t="s">
        <v>273</v>
      </c>
      <c r="CE3612" s="5" t="s">
        <v>256</v>
      </c>
      <c r="CF3612" s="5" t="s">
        <v>238</v>
      </c>
      <c r="CH3612" s="5" t="s">
        <v>494</v>
      </c>
      <c r="CI3612" s="6" t="s">
        <v>257</v>
      </c>
      <c r="CJ3612" s="5" t="s">
        <v>495</v>
      </c>
      <c r="CK3612" s="5" t="s">
        <v>258</v>
      </c>
      <c r="CL3612" s="5" t="s">
        <v>496</v>
      </c>
      <c r="CM3612" s="5" t="s">
        <v>238</v>
      </c>
      <c r="CN3612" s="5">
        <v>0</v>
      </c>
      <c r="CO3612" s="5" t="s">
        <v>497</v>
      </c>
      <c r="CP3612" s="5" t="s">
        <v>260</v>
      </c>
      <c r="CQ3612" s="5" t="s">
        <v>260</v>
      </c>
      <c r="CR3612" s="5" t="s">
        <v>261</v>
      </c>
      <c r="CS3612" s="5" t="s">
        <v>498</v>
      </c>
      <c r="CT3612" s="7">
        <f>1</f>
        <v>1</v>
      </c>
      <c r="CU3612" s="8">
        <f>1</f>
        <v>1</v>
      </c>
      <c r="CV3612" s="8">
        <f>0</f>
        <v>0</v>
      </c>
      <c r="CX3612" s="8">
        <f>1</f>
        <v>1</v>
      </c>
      <c r="CY3612" s="8">
        <f>1</f>
        <v>1</v>
      </c>
      <c r="CZ3612" s="8" t="s">
        <v>238</v>
      </c>
      <c r="DA3612" s="5" t="s">
        <v>238</v>
      </c>
      <c r="DB3612" s="5" t="s">
        <v>238</v>
      </c>
      <c r="DC3612" s="5" t="s">
        <v>238</v>
      </c>
      <c r="DD3612" s="5" t="s">
        <v>238</v>
      </c>
      <c r="DE3612" s="8">
        <f>0</f>
        <v>0</v>
      </c>
      <c r="DG3612" s="5" t="s">
        <v>238</v>
      </c>
      <c r="DH3612" s="5" t="s">
        <v>238</v>
      </c>
      <c r="DI3612" s="5" t="s">
        <v>238</v>
      </c>
      <c r="DJ3612" s="5" t="s">
        <v>238</v>
      </c>
      <c r="DK3612" s="5" t="s">
        <v>238</v>
      </c>
      <c r="DL3612" s="5" t="s">
        <v>238</v>
      </c>
      <c r="DM3612" s="8" t="s">
        <v>238</v>
      </c>
      <c r="DN3612" s="5" t="s">
        <v>238</v>
      </c>
      <c r="DO3612" s="5" t="s">
        <v>238</v>
      </c>
      <c r="DP3612" s="5" t="s">
        <v>490</v>
      </c>
      <c r="DQ3612" s="5" t="s">
        <v>490</v>
      </c>
      <c r="DR3612" s="5" t="s">
        <v>238</v>
      </c>
      <c r="DS3612" s="5" t="s">
        <v>238</v>
      </c>
      <c r="DT3612" s="5" t="s">
        <v>500</v>
      </c>
      <c r="DU3612" s="5" t="s">
        <v>3186</v>
      </c>
      <c r="DV3612" s="5" t="s">
        <v>238</v>
      </c>
      <c r="DW3612" s="5" t="s">
        <v>238</v>
      </c>
      <c r="DX3612" s="5" t="s">
        <v>238</v>
      </c>
      <c r="DY3612" s="5" t="s">
        <v>238</v>
      </c>
      <c r="DZ3612" s="5" t="s">
        <v>238</v>
      </c>
      <c r="EA3612" s="5" t="s">
        <v>238</v>
      </c>
      <c r="EB3612" s="5" t="s">
        <v>238</v>
      </c>
      <c r="EC3612" s="5" t="s">
        <v>238</v>
      </c>
      <c r="ED3612" s="5" t="s">
        <v>238</v>
      </c>
      <c r="EE3612" s="5" t="s">
        <v>238</v>
      </c>
      <c r="EF3612" s="5" t="s">
        <v>238</v>
      </c>
      <c r="EG3612" s="5" t="s">
        <v>238</v>
      </c>
      <c r="EH3612" s="5" t="s">
        <v>238</v>
      </c>
      <c r="EI3612" s="5" t="s">
        <v>238</v>
      </c>
      <c r="EJ3612" s="5" t="s">
        <v>238</v>
      </c>
      <c r="EK3612" s="5" t="s">
        <v>238</v>
      </c>
      <c r="EL3612" s="5" t="s">
        <v>238</v>
      </c>
      <c r="EM3612" s="5" t="s">
        <v>238</v>
      </c>
      <c r="EN3612" s="5" t="s">
        <v>238</v>
      </c>
      <c r="EO3612" s="5" t="s">
        <v>238</v>
      </c>
      <c r="EP3612" s="5" t="s">
        <v>238</v>
      </c>
      <c r="EQ3612" s="5" t="s">
        <v>238</v>
      </c>
      <c r="ER3612" s="5" t="s">
        <v>238</v>
      </c>
      <c r="ES3612" s="5" t="s">
        <v>238</v>
      </c>
      <c r="ET3612" s="5" t="s">
        <v>238</v>
      </c>
      <c r="EU3612" s="5" t="s">
        <v>238</v>
      </c>
      <c r="EV3612" s="5" t="s">
        <v>238</v>
      </c>
      <c r="EW3612" s="5" t="s">
        <v>238</v>
      </c>
      <c r="EX3612" s="5" t="s">
        <v>238</v>
      </c>
      <c r="EY3612" s="5" t="s">
        <v>238</v>
      </c>
      <c r="EZ3612" s="5" t="s">
        <v>238</v>
      </c>
      <c r="FA3612" s="5" t="s">
        <v>238</v>
      </c>
      <c r="FB3612" s="5" t="s">
        <v>238</v>
      </c>
      <c r="FC3612" s="5" t="s">
        <v>238</v>
      </c>
      <c r="FD3612" s="5" t="s">
        <v>238</v>
      </c>
      <c r="FE3612" s="5" t="s">
        <v>238</v>
      </c>
      <c r="FF3612" s="5" t="s">
        <v>238</v>
      </c>
      <c r="FG3612" s="5" t="s">
        <v>238</v>
      </c>
      <c r="FH3612" s="5" t="s">
        <v>238</v>
      </c>
      <c r="FI3612" s="5" t="s">
        <v>238</v>
      </c>
      <c r="FJ3612" s="5" t="s">
        <v>238</v>
      </c>
      <c r="FK3612" s="5" t="s">
        <v>238</v>
      </c>
      <c r="FL3612" s="5" t="s">
        <v>238</v>
      </c>
      <c r="FM3612" s="5" t="s">
        <v>238</v>
      </c>
      <c r="FN3612" s="5" t="s">
        <v>238</v>
      </c>
      <c r="FO3612" s="5" t="s">
        <v>238</v>
      </c>
      <c r="FP3612" s="5" t="s">
        <v>238</v>
      </c>
      <c r="FQ3612" s="5" t="s">
        <v>238</v>
      </c>
      <c r="FR3612" s="5" t="s">
        <v>238</v>
      </c>
      <c r="FS3612" s="5" t="s">
        <v>238</v>
      </c>
      <c r="FT3612" s="5" t="s">
        <v>238</v>
      </c>
      <c r="FU3612" s="5" t="s">
        <v>238</v>
      </c>
      <c r="FV3612" s="5" t="s">
        <v>238</v>
      </c>
      <c r="FW3612" s="5" t="s">
        <v>238</v>
      </c>
      <c r="FX3612" s="5" t="s">
        <v>238</v>
      </c>
      <c r="FY3612" s="5" t="s">
        <v>238</v>
      </c>
      <c r="FZ3612" s="5" t="s">
        <v>238</v>
      </c>
      <c r="GA3612" s="5" t="s">
        <v>238</v>
      </c>
      <c r="GB3612" s="5" t="s">
        <v>238</v>
      </c>
      <c r="GC3612" s="5" t="s">
        <v>238</v>
      </c>
      <c r="GD3612" s="5" t="s">
        <v>238</v>
      </c>
      <c r="GE3612" s="5" t="s">
        <v>238</v>
      </c>
      <c r="GF3612" s="5" t="s">
        <v>238</v>
      </c>
      <c r="GG3612" s="5" t="s">
        <v>238</v>
      </c>
      <c r="GH3612" s="5" t="s">
        <v>238</v>
      </c>
      <c r="GI3612" s="5" t="s">
        <v>238</v>
      </c>
      <c r="GJ3612" s="5" t="s">
        <v>238</v>
      </c>
      <c r="GK3612" s="5" t="s">
        <v>238</v>
      </c>
      <c r="GL3612" s="5" t="s">
        <v>238</v>
      </c>
      <c r="GM3612" s="5" t="s">
        <v>238</v>
      </c>
      <c r="GN3612" s="5" t="s">
        <v>238</v>
      </c>
      <c r="GO3612" s="5" t="s">
        <v>238</v>
      </c>
      <c r="GP3612" s="5" t="s">
        <v>238</v>
      </c>
      <c r="GQ3612" s="5" t="s">
        <v>238</v>
      </c>
      <c r="GR3612" s="5" t="s">
        <v>238</v>
      </c>
      <c r="GS3612" s="5" t="s">
        <v>238</v>
      </c>
      <c r="GT3612" s="5" t="s">
        <v>238</v>
      </c>
      <c r="GU3612" s="5" t="s">
        <v>238</v>
      </c>
      <c r="GV3612" s="5" t="s">
        <v>238</v>
      </c>
      <c r="GW3612" s="5" t="s">
        <v>238</v>
      </c>
      <c r="GX3612" s="5" t="s">
        <v>238</v>
      </c>
      <c r="GY3612" s="5" t="s">
        <v>238</v>
      </c>
      <c r="GZ3612" s="5" t="s">
        <v>238</v>
      </c>
      <c r="HA3612" s="5" t="s">
        <v>238</v>
      </c>
      <c r="HB3612" s="5" t="s">
        <v>238</v>
      </c>
      <c r="HC3612" s="5" t="s">
        <v>238</v>
      </c>
      <c r="HD3612" s="5" t="s">
        <v>238</v>
      </c>
      <c r="HE3612" s="5" t="s">
        <v>238</v>
      </c>
      <c r="HF3612" s="5" t="s">
        <v>238</v>
      </c>
      <c r="HG3612" s="5" t="s">
        <v>238</v>
      </c>
      <c r="HH3612" s="5" t="s">
        <v>238</v>
      </c>
      <c r="HI3612" s="5" t="s">
        <v>238</v>
      </c>
      <c r="HJ3612" s="5" t="s">
        <v>238</v>
      </c>
      <c r="HK3612" s="5" t="s">
        <v>238</v>
      </c>
      <c r="HL3612" s="5" t="s">
        <v>238</v>
      </c>
      <c r="HM3612" s="5" t="s">
        <v>264</v>
      </c>
      <c r="HN3612" s="5" t="s">
        <v>238</v>
      </c>
      <c r="HO3612" s="5" t="s">
        <v>238</v>
      </c>
      <c r="HP3612" s="5" t="s">
        <v>238</v>
      </c>
      <c r="HQ3612" s="5" t="s">
        <v>238</v>
      </c>
      <c r="HR3612" s="5" t="s">
        <v>238</v>
      </c>
      <c r="HS3612" s="5" t="s">
        <v>238</v>
      </c>
      <c r="HT3612" s="5" t="s">
        <v>238</v>
      </c>
      <c r="HU3612" s="5" t="s">
        <v>238</v>
      </c>
      <c r="HV3612" s="5" t="s">
        <v>238</v>
      </c>
      <c r="HW3612" s="5" t="s">
        <v>238</v>
      </c>
      <c r="HX3612" s="5" t="s">
        <v>238</v>
      </c>
      <c r="HY3612" s="5" t="s">
        <v>238</v>
      </c>
      <c r="HZ3612" s="5" t="s">
        <v>238</v>
      </c>
      <c r="IA3612" s="5" t="s">
        <v>238</v>
      </c>
      <c r="IB3612" s="5" t="s">
        <v>238</v>
      </c>
      <c r="IC3612" s="5" t="s">
        <v>238</v>
      </c>
      <c r="ID3612" s="5" t="s">
        <v>238</v>
      </c>
    </row>
    <row r="3613" spans="1:238" x14ac:dyDescent="0.4">
      <c r="A3613" s="5">
        <v>9331</v>
      </c>
      <c r="B3613" s="5">
        <v>1</v>
      </c>
      <c r="C3613" s="5">
        <v>1</v>
      </c>
      <c r="D3613" s="5" t="s">
        <v>484</v>
      </c>
      <c r="E3613" s="5" t="s">
        <v>485</v>
      </c>
      <c r="F3613" s="5" t="s">
        <v>248</v>
      </c>
      <c r="G3613" s="5" t="s">
        <v>5724</v>
      </c>
      <c r="H3613" s="6" t="s">
        <v>5724</v>
      </c>
      <c r="I3613" s="8">
        <f>1</f>
        <v>1</v>
      </c>
      <c r="J3613" s="5" t="s">
        <v>499</v>
      </c>
      <c r="K3613" s="8">
        <f>1</f>
        <v>1</v>
      </c>
      <c r="L3613" s="6" t="s">
        <v>242</v>
      </c>
      <c r="M3613" s="5" t="s">
        <v>267</v>
      </c>
      <c r="N3613" s="5" t="s">
        <v>482</v>
      </c>
      <c r="O3613" s="5" t="s">
        <v>238</v>
      </c>
      <c r="P3613" s="5" t="s">
        <v>238</v>
      </c>
      <c r="Q3613" s="5" t="s">
        <v>239</v>
      </c>
      <c r="R3613" s="5" t="s">
        <v>270</v>
      </c>
      <c r="S3613" s="5" t="s">
        <v>238</v>
      </c>
      <c r="T3613" s="5" t="s">
        <v>238</v>
      </c>
      <c r="U3613" s="5" t="s">
        <v>238</v>
      </c>
      <c r="V3613" s="5" t="s">
        <v>238</v>
      </c>
      <c r="W3613" s="6" t="s">
        <v>238</v>
      </c>
      <c r="X3613" s="6" t="s">
        <v>238</v>
      </c>
      <c r="Y3613" s="5" t="s">
        <v>238</v>
      </c>
      <c r="Z3613" s="6" t="s">
        <v>238</v>
      </c>
      <c r="AA3613" s="6" t="s">
        <v>243</v>
      </c>
      <c r="AB3613" s="5" t="s">
        <v>4446</v>
      </c>
      <c r="AC3613" s="5" t="s">
        <v>244</v>
      </c>
      <c r="AD3613" s="5" t="s">
        <v>245</v>
      </c>
      <c r="AE3613" s="5" t="s">
        <v>238</v>
      </c>
      <c r="AF3613" s="5" t="s">
        <v>238</v>
      </c>
      <c r="AG3613" s="5" t="s">
        <v>238</v>
      </c>
      <c r="AH3613" s="5" t="s">
        <v>238</v>
      </c>
      <c r="AI3613" s="5" t="s">
        <v>238</v>
      </c>
      <c r="AJ3613" s="5" t="s">
        <v>238</v>
      </c>
      <c r="AK3613" s="5" t="s">
        <v>238</v>
      </c>
      <c r="AL3613" s="5" t="s">
        <v>238</v>
      </c>
      <c r="AM3613" s="6" t="s">
        <v>238</v>
      </c>
      <c r="AN3613" s="6" t="s">
        <v>238</v>
      </c>
      <c r="AO3613" s="6" t="s">
        <v>238</v>
      </c>
      <c r="AP3613" s="6" t="s">
        <v>238</v>
      </c>
      <c r="AQ3613" s="5" t="s">
        <v>238</v>
      </c>
      <c r="AR3613" s="5" t="s">
        <v>488</v>
      </c>
      <c r="AS3613" s="5" t="s">
        <v>488</v>
      </c>
      <c r="AT3613" s="5" t="s">
        <v>246</v>
      </c>
      <c r="AU3613" s="5" t="s">
        <v>489</v>
      </c>
      <c r="AV3613" s="5" t="s">
        <v>247</v>
      </c>
      <c r="AW3613" s="5" t="s">
        <v>238</v>
      </c>
      <c r="AX3613" s="5" t="s">
        <v>249</v>
      </c>
      <c r="AY3613" s="5" t="s">
        <v>490</v>
      </c>
      <c r="BA3613" s="5" t="s">
        <v>238</v>
      </c>
      <c r="BC3613" s="5" t="s">
        <v>491</v>
      </c>
      <c r="BD3613" s="6" t="s">
        <v>492</v>
      </c>
      <c r="BE3613" s="5" t="s">
        <v>493</v>
      </c>
      <c r="BF3613" s="5" t="s">
        <v>493</v>
      </c>
      <c r="BG3613" s="5" t="s">
        <v>238</v>
      </c>
      <c r="BH3613" s="8">
        <f>1</f>
        <v>1</v>
      </c>
      <c r="BI3613" s="8">
        <f>1</f>
        <v>1</v>
      </c>
      <c r="BJ3613" s="5" t="s">
        <v>253</v>
      </c>
      <c r="BK3613" s="5" t="s">
        <v>254</v>
      </c>
      <c r="BL3613" s="5" t="s">
        <v>238</v>
      </c>
      <c r="BM3613" s="5" t="s">
        <v>238</v>
      </c>
      <c r="BN3613" s="5" t="s">
        <v>238</v>
      </c>
      <c r="BO3613" s="5" t="s">
        <v>238</v>
      </c>
      <c r="BP3613" s="5" t="s">
        <v>238</v>
      </c>
      <c r="BQ3613" s="5" t="s">
        <v>238</v>
      </c>
      <c r="BR3613" s="5" t="s">
        <v>238</v>
      </c>
      <c r="BS3613" s="5" t="s">
        <v>238</v>
      </c>
      <c r="BT3613" s="6" t="s">
        <v>238</v>
      </c>
      <c r="BU3613" s="5" t="s">
        <v>238</v>
      </c>
      <c r="BV3613" s="5" t="s">
        <v>238</v>
      </c>
      <c r="BW3613" s="5" t="s">
        <v>238</v>
      </c>
      <c r="BX3613" s="5" t="s">
        <v>254</v>
      </c>
      <c r="BY3613" s="5" t="s">
        <v>238</v>
      </c>
      <c r="BZ3613" s="5" t="s">
        <v>238</v>
      </c>
      <c r="CA3613" s="5" t="s">
        <v>238</v>
      </c>
      <c r="CB3613" s="5" t="s">
        <v>238</v>
      </c>
      <c r="CC3613" s="5" t="s">
        <v>238</v>
      </c>
      <c r="CD3613" s="5" t="s">
        <v>273</v>
      </c>
      <c r="CE3613" s="5" t="s">
        <v>256</v>
      </c>
      <c r="CF3613" s="5" t="s">
        <v>238</v>
      </c>
      <c r="CH3613" s="5" t="s">
        <v>494</v>
      </c>
      <c r="CI3613" s="6" t="s">
        <v>257</v>
      </c>
      <c r="CJ3613" s="5" t="s">
        <v>495</v>
      </c>
      <c r="CK3613" s="5" t="s">
        <v>258</v>
      </c>
      <c r="CL3613" s="5" t="s">
        <v>496</v>
      </c>
      <c r="CM3613" s="5" t="s">
        <v>238</v>
      </c>
      <c r="CN3613" s="5">
        <v>0</v>
      </c>
      <c r="CO3613" s="5" t="s">
        <v>497</v>
      </c>
      <c r="CP3613" s="5" t="s">
        <v>260</v>
      </c>
      <c r="CQ3613" s="5" t="s">
        <v>260</v>
      </c>
      <c r="CR3613" s="5" t="s">
        <v>261</v>
      </c>
      <c r="CS3613" s="5" t="s">
        <v>498</v>
      </c>
      <c r="CT3613" s="7">
        <f>1</f>
        <v>1</v>
      </c>
      <c r="CU3613" s="8">
        <f>1</f>
        <v>1</v>
      </c>
      <c r="CV3613" s="8">
        <f>0</f>
        <v>0</v>
      </c>
      <c r="CX3613" s="8">
        <f>1</f>
        <v>1</v>
      </c>
      <c r="CY3613" s="8">
        <f>1</f>
        <v>1</v>
      </c>
      <c r="CZ3613" s="8" t="s">
        <v>238</v>
      </c>
      <c r="DA3613" s="5" t="s">
        <v>238</v>
      </c>
      <c r="DB3613" s="5" t="s">
        <v>238</v>
      </c>
      <c r="DC3613" s="5" t="s">
        <v>238</v>
      </c>
      <c r="DD3613" s="5" t="s">
        <v>238</v>
      </c>
      <c r="DE3613" s="8">
        <f>0</f>
        <v>0</v>
      </c>
      <c r="DG3613" s="5" t="s">
        <v>238</v>
      </c>
      <c r="DH3613" s="5" t="s">
        <v>238</v>
      </c>
      <c r="DI3613" s="5" t="s">
        <v>238</v>
      </c>
      <c r="DJ3613" s="5" t="s">
        <v>238</v>
      </c>
      <c r="DK3613" s="5" t="s">
        <v>238</v>
      </c>
      <c r="DL3613" s="5" t="s">
        <v>238</v>
      </c>
      <c r="DM3613" s="8" t="s">
        <v>238</v>
      </c>
      <c r="DN3613" s="5" t="s">
        <v>238</v>
      </c>
      <c r="DO3613" s="5" t="s">
        <v>238</v>
      </c>
      <c r="DP3613" s="5" t="s">
        <v>490</v>
      </c>
      <c r="DQ3613" s="5" t="s">
        <v>490</v>
      </c>
      <c r="DR3613" s="5" t="s">
        <v>238</v>
      </c>
      <c r="DS3613" s="5" t="s">
        <v>238</v>
      </c>
      <c r="DT3613" s="5" t="s">
        <v>500</v>
      </c>
      <c r="DU3613" s="5" t="s">
        <v>3125</v>
      </c>
      <c r="DV3613" s="5" t="s">
        <v>238</v>
      </c>
      <c r="DW3613" s="5" t="s">
        <v>238</v>
      </c>
      <c r="DX3613" s="5" t="s">
        <v>238</v>
      </c>
      <c r="DY3613" s="5" t="s">
        <v>238</v>
      </c>
      <c r="DZ3613" s="5" t="s">
        <v>238</v>
      </c>
      <c r="EA3613" s="5" t="s">
        <v>238</v>
      </c>
      <c r="EB3613" s="5" t="s">
        <v>238</v>
      </c>
      <c r="EC3613" s="5" t="s">
        <v>238</v>
      </c>
      <c r="ED3613" s="5" t="s">
        <v>238</v>
      </c>
      <c r="EE3613" s="5" t="s">
        <v>238</v>
      </c>
      <c r="EF3613" s="5" t="s">
        <v>238</v>
      </c>
      <c r="EG3613" s="5" t="s">
        <v>238</v>
      </c>
      <c r="EH3613" s="5" t="s">
        <v>238</v>
      </c>
      <c r="EI3613" s="5" t="s">
        <v>238</v>
      </c>
      <c r="EJ3613" s="5" t="s">
        <v>238</v>
      </c>
      <c r="EK3613" s="5" t="s">
        <v>238</v>
      </c>
      <c r="EL3613" s="5" t="s">
        <v>238</v>
      </c>
      <c r="EM3613" s="5" t="s">
        <v>238</v>
      </c>
      <c r="EN3613" s="5" t="s">
        <v>238</v>
      </c>
      <c r="EO3613" s="5" t="s">
        <v>238</v>
      </c>
      <c r="EP3613" s="5" t="s">
        <v>238</v>
      </c>
      <c r="EQ3613" s="5" t="s">
        <v>238</v>
      </c>
      <c r="ER3613" s="5" t="s">
        <v>238</v>
      </c>
      <c r="ES3613" s="5" t="s">
        <v>238</v>
      </c>
      <c r="ET3613" s="5" t="s">
        <v>238</v>
      </c>
      <c r="EU3613" s="5" t="s">
        <v>238</v>
      </c>
      <c r="EV3613" s="5" t="s">
        <v>238</v>
      </c>
      <c r="EW3613" s="5" t="s">
        <v>238</v>
      </c>
      <c r="EX3613" s="5" t="s">
        <v>238</v>
      </c>
      <c r="EY3613" s="5" t="s">
        <v>238</v>
      </c>
      <c r="EZ3613" s="5" t="s">
        <v>238</v>
      </c>
      <c r="FA3613" s="5" t="s">
        <v>238</v>
      </c>
      <c r="FB3613" s="5" t="s">
        <v>238</v>
      </c>
      <c r="FC3613" s="5" t="s">
        <v>238</v>
      </c>
      <c r="FD3613" s="5" t="s">
        <v>238</v>
      </c>
      <c r="FE3613" s="5" t="s">
        <v>238</v>
      </c>
      <c r="FF3613" s="5" t="s">
        <v>238</v>
      </c>
      <c r="FG3613" s="5" t="s">
        <v>238</v>
      </c>
      <c r="FH3613" s="5" t="s">
        <v>238</v>
      </c>
      <c r="FI3613" s="5" t="s">
        <v>238</v>
      </c>
      <c r="FJ3613" s="5" t="s">
        <v>238</v>
      </c>
      <c r="FK3613" s="5" t="s">
        <v>238</v>
      </c>
      <c r="FL3613" s="5" t="s">
        <v>238</v>
      </c>
      <c r="FM3613" s="5" t="s">
        <v>238</v>
      </c>
      <c r="FN3613" s="5" t="s">
        <v>238</v>
      </c>
      <c r="FO3613" s="5" t="s">
        <v>238</v>
      </c>
      <c r="FP3613" s="5" t="s">
        <v>238</v>
      </c>
      <c r="FQ3613" s="5" t="s">
        <v>238</v>
      </c>
      <c r="FR3613" s="5" t="s">
        <v>238</v>
      </c>
      <c r="FS3613" s="5" t="s">
        <v>238</v>
      </c>
      <c r="FT3613" s="5" t="s">
        <v>238</v>
      </c>
      <c r="FU3613" s="5" t="s">
        <v>238</v>
      </c>
      <c r="FV3613" s="5" t="s">
        <v>238</v>
      </c>
      <c r="FW3613" s="5" t="s">
        <v>238</v>
      </c>
      <c r="FX3613" s="5" t="s">
        <v>238</v>
      </c>
      <c r="FY3613" s="5" t="s">
        <v>238</v>
      </c>
      <c r="FZ3613" s="5" t="s">
        <v>238</v>
      </c>
      <c r="GA3613" s="5" t="s">
        <v>238</v>
      </c>
      <c r="GB3613" s="5" t="s">
        <v>238</v>
      </c>
      <c r="GC3613" s="5" t="s">
        <v>238</v>
      </c>
      <c r="GD3613" s="5" t="s">
        <v>238</v>
      </c>
      <c r="GE3613" s="5" t="s">
        <v>238</v>
      </c>
      <c r="GF3613" s="5" t="s">
        <v>238</v>
      </c>
      <c r="GG3613" s="5" t="s">
        <v>238</v>
      </c>
      <c r="GH3613" s="5" t="s">
        <v>238</v>
      </c>
      <c r="GI3613" s="5" t="s">
        <v>238</v>
      </c>
      <c r="GJ3613" s="5" t="s">
        <v>238</v>
      </c>
      <c r="GK3613" s="5" t="s">
        <v>238</v>
      </c>
      <c r="GL3613" s="5" t="s">
        <v>238</v>
      </c>
      <c r="GM3613" s="5" t="s">
        <v>238</v>
      </c>
      <c r="GN3613" s="5" t="s">
        <v>238</v>
      </c>
      <c r="GO3613" s="5" t="s">
        <v>238</v>
      </c>
      <c r="GP3613" s="5" t="s">
        <v>238</v>
      </c>
      <c r="GQ3613" s="5" t="s">
        <v>238</v>
      </c>
      <c r="GR3613" s="5" t="s">
        <v>238</v>
      </c>
      <c r="GS3613" s="5" t="s">
        <v>238</v>
      </c>
      <c r="GT3613" s="5" t="s">
        <v>238</v>
      </c>
      <c r="GU3613" s="5" t="s">
        <v>238</v>
      </c>
      <c r="GV3613" s="5" t="s">
        <v>238</v>
      </c>
      <c r="GW3613" s="5" t="s">
        <v>238</v>
      </c>
      <c r="GX3613" s="5" t="s">
        <v>238</v>
      </c>
      <c r="GY3613" s="5" t="s">
        <v>238</v>
      </c>
      <c r="GZ3613" s="5" t="s">
        <v>238</v>
      </c>
      <c r="HA3613" s="5" t="s">
        <v>238</v>
      </c>
      <c r="HB3613" s="5" t="s">
        <v>238</v>
      </c>
      <c r="HC3613" s="5" t="s">
        <v>238</v>
      </c>
      <c r="HD3613" s="5" t="s">
        <v>238</v>
      </c>
      <c r="HE3613" s="5" t="s">
        <v>238</v>
      </c>
      <c r="HF3613" s="5" t="s">
        <v>238</v>
      </c>
      <c r="HG3613" s="5" t="s">
        <v>238</v>
      </c>
      <c r="HH3613" s="5" t="s">
        <v>238</v>
      </c>
      <c r="HI3613" s="5" t="s">
        <v>238</v>
      </c>
      <c r="HJ3613" s="5" t="s">
        <v>238</v>
      </c>
      <c r="HK3613" s="5" t="s">
        <v>238</v>
      </c>
      <c r="HL3613" s="5" t="s">
        <v>238</v>
      </c>
      <c r="HM3613" s="5" t="s">
        <v>264</v>
      </c>
      <c r="HN3613" s="5" t="s">
        <v>238</v>
      </c>
      <c r="HO3613" s="5" t="s">
        <v>238</v>
      </c>
      <c r="HP3613" s="5" t="s">
        <v>238</v>
      </c>
      <c r="HQ3613" s="5" t="s">
        <v>238</v>
      </c>
      <c r="HR3613" s="5" t="s">
        <v>238</v>
      </c>
      <c r="HS3613" s="5" t="s">
        <v>238</v>
      </c>
      <c r="HT3613" s="5" t="s">
        <v>238</v>
      </c>
      <c r="HU3613" s="5" t="s">
        <v>238</v>
      </c>
      <c r="HV3613" s="5" t="s">
        <v>238</v>
      </c>
      <c r="HW3613" s="5" t="s">
        <v>238</v>
      </c>
      <c r="HX3613" s="5" t="s">
        <v>238</v>
      </c>
      <c r="HY3613" s="5" t="s">
        <v>238</v>
      </c>
      <c r="HZ3613" s="5" t="s">
        <v>238</v>
      </c>
      <c r="IA3613" s="5" t="s">
        <v>238</v>
      </c>
      <c r="IB3613" s="5" t="s">
        <v>238</v>
      </c>
      <c r="IC3613" s="5" t="s">
        <v>238</v>
      </c>
      <c r="ID3613" s="5" t="s">
        <v>238</v>
      </c>
    </row>
    <row r="3614" spans="1:238" x14ac:dyDescent="0.4">
      <c r="A3614" s="5">
        <v>9332</v>
      </c>
      <c r="B3614" s="5">
        <v>1</v>
      </c>
      <c r="C3614" s="5">
        <v>1</v>
      </c>
      <c r="D3614" s="5" t="s">
        <v>484</v>
      </c>
      <c r="E3614" s="5" t="s">
        <v>485</v>
      </c>
      <c r="F3614" s="5" t="s">
        <v>248</v>
      </c>
      <c r="G3614" s="5" t="s">
        <v>5298</v>
      </c>
      <c r="H3614" s="6" t="s">
        <v>5299</v>
      </c>
      <c r="I3614" s="8">
        <f>1</f>
        <v>1</v>
      </c>
      <c r="J3614" s="5" t="s">
        <v>499</v>
      </c>
      <c r="K3614" s="8">
        <f>1</f>
        <v>1</v>
      </c>
      <c r="L3614" s="6" t="s">
        <v>242</v>
      </c>
      <c r="M3614" s="5" t="s">
        <v>267</v>
      </c>
      <c r="N3614" s="5" t="s">
        <v>482</v>
      </c>
      <c r="O3614" s="5" t="s">
        <v>238</v>
      </c>
      <c r="P3614" s="5" t="s">
        <v>238</v>
      </c>
      <c r="Q3614" s="5" t="s">
        <v>239</v>
      </c>
      <c r="R3614" s="5" t="s">
        <v>270</v>
      </c>
      <c r="S3614" s="5" t="s">
        <v>238</v>
      </c>
      <c r="T3614" s="5" t="s">
        <v>238</v>
      </c>
      <c r="U3614" s="5" t="s">
        <v>238</v>
      </c>
      <c r="V3614" s="5" t="s">
        <v>238</v>
      </c>
      <c r="W3614" s="6" t="s">
        <v>238</v>
      </c>
      <c r="X3614" s="6" t="s">
        <v>238</v>
      </c>
      <c r="Y3614" s="5" t="s">
        <v>238</v>
      </c>
      <c r="Z3614" s="6" t="s">
        <v>238</v>
      </c>
      <c r="AA3614" s="6" t="s">
        <v>243</v>
      </c>
      <c r="AB3614" s="5" t="s">
        <v>486</v>
      </c>
      <c r="AC3614" s="5" t="s">
        <v>244</v>
      </c>
      <c r="AD3614" s="5" t="s">
        <v>245</v>
      </c>
      <c r="AE3614" s="5" t="s">
        <v>238</v>
      </c>
      <c r="AF3614" s="5" t="s">
        <v>238</v>
      </c>
      <c r="AG3614" s="5" t="s">
        <v>238</v>
      </c>
      <c r="AH3614" s="5" t="s">
        <v>238</v>
      </c>
      <c r="AI3614" s="5" t="s">
        <v>238</v>
      </c>
      <c r="AJ3614" s="5" t="s">
        <v>238</v>
      </c>
      <c r="AK3614" s="5" t="s">
        <v>238</v>
      </c>
      <c r="AL3614" s="5" t="s">
        <v>238</v>
      </c>
      <c r="AM3614" s="6" t="s">
        <v>238</v>
      </c>
      <c r="AN3614" s="6" t="s">
        <v>238</v>
      </c>
      <c r="AO3614" s="6" t="s">
        <v>238</v>
      </c>
      <c r="AP3614" s="6" t="s">
        <v>238</v>
      </c>
      <c r="AQ3614" s="5" t="s">
        <v>238</v>
      </c>
      <c r="AR3614" s="5" t="s">
        <v>488</v>
      </c>
      <c r="AS3614" s="5" t="s">
        <v>488</v>
      </c>
      <c r="AT3614" s="5" t="s">
        <v>246</v>
      </c>
      <c r="AU3614" s="5" t="s">
        <v>489</v>
      </c>
      <c r="AV3614" s="5" t="s">
        <v>247</v>
      </c>
      <c r="AW3614" s="5" t="s">
        <v>238</v>
      </c>
      <c r="AX3614" s="5" t="s">
        <v>249</v>
      </c>
      <c r="AY3614" s="5" t="s">
        <v>490</v>
      </c>
      <c r="BA3614" s="5" t="s">
        <v>238</v>
      </c>
      <c r="BC3614" s="5" t="s">
        <v>491</v>
      </c>
      <c r="BD3614" s="6" t="s">
        <v>492</v>
      </c>
      <c r="BE3614" s="5" t="s">
        <v>493</v>
      </c>
      <c r="BF3614" s="5" t="s">
        <v>493</v>
      </c>
      <c r="BG3614" s="5" t="s">
        <v>238</v>
      </c>
      <c r="BH3614" s="8">
        <f>1</f>
        <v>1</v>
      </c>
      <c r="BI3614" s="8">
        <f>1</f>
        <v>1</v>
      </c>
      <c r="BJ3614" s="5" t="s">
        <v>253</v>
      </c>
      <c r="BK3614" s="5" t="s">
        <v>254</v>
      </c>
      <c r="BL3614" s="5" t="s">
        <v>238</v>
      </c>
      <c r="BM3614" s="5" t="s">
        <v>238</v>
      </c>
      <c r="BN3614" s="5" t="s">
        <v>238</v>
      </c>
      <c r="BO3614" s="5" t="s">
        <v>238</v>
      </c>
      <c r="BP3614" s="5" t="s">
        <v>238</v>
      </c>
      <c r="BQ3614" s="5" t="s">
        <v>238</v>
      </c>
      <c r="BR3614" s="5" t="s">
        <v>238</v>
      </c>
      <c r="BS3614" s="5" t="s">
        <v>238</v>
      </c>
      <c r="BT3614" s="6" t="s">
        <v>238</v>
      </c>
      <c r="BU3614" s="5" t="s">
        <v>238</v>
      </c>
      <c r="BV3614" s="5" t="s">
        <v>238</v>
      </c>
      <c r="BW3614" s="5" t="s">
        <v>238</v>
      </c>
      <c r="BX3614" s="5" t="s">
        <v>254</v>
      </c>
      <c r="BY3614" s="5" t="s">
        <v>238</v>
      </c>
      <c r="BZ3614" s="5" t="s">
        <v>238</v>
      </c>
      <c r="CA3614" s="5" t="s">
        <v>238</v>
      </c>
      <c r="CB3614" s="5" t="s">
        <v>238</v>
      </c>
      <c r="CC3614" s="5" t="s">
        <v>238</v>
      </c>
      <c r="CD3614" s="5" t="s">
        <v>273</v>
      </c>
      <c r="CE3614" s="5" t="s">
        <v>256</v>
      </c>
      <c r="CF3614" s="5" t="s">
        <v>238</v>
      </c>
      <c r="CH3614" s="5" t="s">
        <v>494</v>
      </c>
      <c r="CI3614" s="6" t="s">
        <v>257</v>
      </c>
      <c r="CJ3614" s="5" t="s">
        <v>495</v>
      </c>
      <c r="CK3614" s="5" t="s">
        <v>258</v>
      </c>
      <c r="CL3614" s="5" t="s">
        <v>496</v>
      </c>
      <c r="CM3614" s="5" t="s">
        <v>238</v>
      </c>
      <c r="CN3614" s="5">
        <v>0</v>
      </c>
      <c r="CO3614" s="5" t="s">
        <v>497</v>
      </c>
      <c r="CP3614" s="5" t="s">
        <v>260</v>
      </c>
      <c r="CQ3614" s="5" t="s">
        <v>260</v>
      </c>
      <c r="CR3614" s="5" t="s">
        <v>261</v>
      </c>
      <c r="CS3614" s="5" t="s">
        <v>498</v>
      </c>
      <c r="CT3614" s="7">
        <f>1</f>
        <v>1</v>
      </c>
      <c r="CU3614" s="8">
        <f>1</f>
        <v>1</v>
      </c>
      <c r="CV3614" s="8">
        <f>0</f>
        <v>0</v>
      </c>
      <c r="CX3614" s="8">
        <f>1</f>
        <v>1</v>
      </c>
      <c r="CY3614" s="8">
        <f>1</f>
        <v>1</v>
      </c>
      <c r="CZ3614" s="8" t="s">
        <v>238</v>
      </c>
      <c r="DA3614" s="5" t="s">
        <v>238</v>
      </c>
      <c r="DB3614" s="5" t="s">
        <v>238</v>
      </c>
      <c r="DC3614" s="5" t="s">
        <v>238</v>
      </c>
      <c r="DD3614" s="5" t="s">
        <v>238</v>
      </c>
      <c r="DE3614" s="8">
        <f>0</f>
        <v>0</v>
      </c>
      <c r="DG3614" s="5" t="s">
        <v>238</v>
      </c>
      <c r="DH3614" s="5" t="s">
        <v>238</v>
      </c>
      <c r="DI3614" s="5" t="s">
        <v>238</v>
      </c>
      <c r="DJ3614" s="5" t="s">
        <v>238</v>
      </c>
      <c r="DK3614" s="5" t="s">
        <v>238</v>
      </c>
      <c r="DL3614" s="5" t="s">
        <v>238</v>
      </c>
      <c r="DM3614" s="8" t="s">
        <v>238</v>
      </c>
      <c r="DN3614" s="5" t="s">
        <v>238</v>
      </c>
      <c r="DO3614" s="5" t="s">
        <v>238</v>
      </c>
      <c r="DP3614" s="5" t="s">
        <v>490</v>
      </c>
      <c r="DQ3614" s="5" t="s">
        <v>490</v>
      </c>
      <c r="DR3614" s="5" t="s">
        <v>238</v>
      </c>
      <c r="DS3614" s="5" t="s">
        <v>238</v>
      </c>
      <c r="DT3614" s="5" t="s">
        <v>500</v>
      </c>
      <c r="DU3614" s="5" t="s">
        <v>917</v>
      </c>
      <c r="DV3614" s="5" t="s">
        <v>238</v>
      </c>
      <c r="DW3614" s="5" t="s">
        <v>238</v>
      </c>
      <c r="DX3614" s="5" t="s">
        <v>238</v>
      </c>
      <c r="DY3614" s="5" t="s">
        <v>238</v>
      </c>
      <c r="DZ3614" s="5" t="s">
        <v>238</v>
      </c>
      <c r="EA3614" s="5" t="s">
        <v>238</v>
      </c>
      <c r="EB3614" s="5" t="s">
        <v>238</v>
      </c>
      <c r="EC3614" s="5" t="s">
        <v>238</v>
      </c>
      <c r="ED3614" s="5" t="s">
        <v>238</v>
      </c>
      <c r="EE3614" s="5" t="s">
        <v>238</v>
      </c>
      <c r="EF3614" s="5" t="s">
        <v>238</v>
      </c>
      <c r="EG3614" s="5" t="s">
        <v>238</v>
      </c>
      <c r="EH3614" s="5" t="s">
        <v>238</v>
      </c>
      <c r="EI3614" s="5" t="s">
        <v>238</v>
      </c>
      <c r="EJ3614" s="5" t="s">
        <v>238</v>
      </c>
      <c r="EK3614" s="5" t="s">
        <v>238</v>
      </c>
      <c r="EL3614" s="5" t="s">
        <v>238</v>
      </c>
      <c r="EM3614" s="5" t="s">
        <v>238</v>
      </c>
      <c r="EN3614" s="5" t="s">
        <v>238</v>
      </c>
      <c r="EO3614" s="5" t="s">
        <v>238</v>
      </c>
      <c r="EP3614" s="5" t="s">
        <v>238</v>
      </c>
      <c r="EQ3614" s="5" t="s">
        <v>238</v>
      </c>
      <c r="ER3614" s="5" t="s">
        <v>238</v>
      </c>
      <c r="ES3614" s="5" t="s">
        <v>238</v>
      </c>
      <c r="ET3614" s="5" t="s">
        <v>238</v>
      </c>
      <c r="EU3614" s="5" t="s">
        <v>238</v>
      </c>
      <c r="EV3614" s="5" t="s">
        <v>238</v>
      </c>
      <c r="EW3614" s="5" t="s">
        <v>238</v>
      </c>
      <c r="EX3614" s="5" t="s">
        <v>238</v>
      </c>
      <c r="EY3614" s="5" t="s">
        <v>238</v>
      </c>
      <c r="EZ3614" s="5" t="s">
        <v>238</v>
      </c>
      <c r="FA3614" s="5" t="s">
        <v>238</v>
      </c>
      <c r="FB3614" s="5" t="s">
        <v>238</v>
      </c>
      <c r="FC3614" s="5" t="s">
        <v>238</v>
      </c>
      <c r="FD3614" s="5" t="s">
        <v>238</v>
      </c>
      <c r="FE3614" s="5" t="s">
        <v>238</v>
      </c>
      <c r="FF3614" s="5" t="s">
        <v>238</v>
      </c>
      <c r="FG3614" s="5" t="s">
        <v>238</v>
      </c>
      <c r="FH3614" s="5" t="s">
        <v>238</v>
      </c>
      <c r="FI3614" s="5" t="s">
        <v>238</v>
      </c>
      <c r="FJ3614" s="5" t="s">
        <v>238</v>
      </c>
      <c r="FK3614" s="5" t="s">
        <v>238</v>
      </c>
      <c r="FL3614" s="5" t="s">
        <v>238</v>
      </c>
      <c r="FM3614" s="5" t="s">
        <v>238</v>
      </c>
      <c r="FN3614" s="5" t="s">
        <v>238</v>
      </c>
      <c r="FO3614" s="5" t="s">
        <v>238</v>
      </c>
      <c r="FP3614" s="5" t="s">
        <v>238</v>
      </c>
      <c r="FQ3614" s="5" t="s">
        <v>238</v>
      </c>
      <c r="FR3614" s="5" t="s">
        <v>238</v>
      </c>
      <c r="FS3614" s="5" t="s">
        <v>238</v>
      </c>
      <c r="FT3614" s="5" t="s">
        <v>238</v>
      </c>
      <c r="FU3614" s="5" t="s">
        <v>238</v>
      </c>
      <c r="FV3614" s="5" t="s">
        <v>238</v>
      </c>
      <c r="FW3614" s="5" t="s">
        <v>238</v>
      </c>
      <c r="FX3614" s="5" t="s">
        <v>238</v>
      </c>
      <c r="FY3614" s="5" t="s">
        <v>238</v>
      </c>
      <c r="FZ3614" s="5" t="s">
        <v>238</v>
      </c>
      <c r="GA3614" s="5" t="s">
        <v>238</v>
      </c>
      <c r="GB3614" s="5" t="s">
        <v>238</v>
      </c>
      <c r="GC3614" s="5" t="s">
        <v>238</v>
      </c>
      <c r="GD3614" s="5" t="s">
        <v>238</v>
      </c>
      <c r="GE3614" s="5" t="s">
        <v>238</v>
      </c>
      <c r="GF3614" s="5" t="s">
        <v>238</v>
      </c>
      <c r="GG3614" s="5" t="s">
        <v>238</v>
      </c>
      <c r="GH3614" s="5" t="s">
        <v>238</v>
      </c>
      <c r="GI3614" s="5" t="s">
        <v>238</v>
      </c>
      <c r="GJ3614" s="5" t="s">
        <v>238</v>
      </c>
      <c r="GK3614" s="5" t="s">
        <v>238</v>
      </c>
      <c r="GL3614" s="5" t="s">
        <v>238</v>
      </c>
      <c r="GM3614" s="5" t="s">
        <v>238</v>
      </c>
      <c r="GN3614" s="5" t="s">
        <v>238</v>
      </c>
      <c r="GO3614" s="5" t="s">
        <v>238</v>
      </c>
      <c r="GP3614" s="5" t="s">
        <v>238</v>
      </c>
      <c r="GQ3614" s="5" t="s">
        <v>238</v>
      </c>
      <c r="GR3614" s="5" t="s">
        <v>238</v>
      </c>
      <c r="GS3614" s="5" t="s">
        <v>238</v>
      </c>
      <c r="GT3614" s="5" t="s">
        <v>238</v>
      </c>
      <c r="GU3614" s="5" t="s">
        <v>238</v>
      </c>
      <c r="GV3614" s="5" t="s">
        <v>238</v>
      </c>
      <c r="GW3614" s="5" t="s">
        <v>238</v>
      </c>
      <c r="GX3614" s="5" t="s">
        <v>238</v>
      </c>
      <c r="GY3614" s="5" t="s">
        <v>238</v>
      </c>
      <c r="GZ3614" s="5" t="s">
        <v>238</v>
      </c>
      <c r="HA3614" s="5" t="s">
        <v>238</v>
      </c>
      <c r="HB3614" s="5" t="s">
        <v>238</v>
      </c>
      <c r="HC3614" s="5" t="s">
        <v>238</v>
      </c>
      <c r="HD3614" s="5" t="s">
        <v>238</v>
      </c>
      <c r="HE3614" s="5" t="s">
        <v>238</v>
      </c>
      <c r="HF3614" s="5" t="s">
        <v>238</v>
      </c>
      <c r="HG3614" s="5" t="s">
        <v>238</v>
      </c>
      <c r="HH3614" s="5" t="s">
        <v>238</v>
      </c>
      <c r="HI3614" s="5" t="s">
        <v>238</v>
      </c>
      <c r="HJ3614" s="5" t="s">
        <v>238</v>
      </c>
      <c r="HK3614" s="5" t="s">
        <v>238</v>
      </c>
      <c r="HL3614" s="5" t="s">
        <v>238</v>
      </c>
      <c r="HM3614" s="5" t="s">
        <v>264</v>
      </c>
      <c r="HN3614" s="5" t="s">
        <v>238</v>
      </c>
      <c r="HO3614" s="5" t="s">
        <v>238</v>
      </c>
      <c r="HP3614" s="5" t="s">
        <v>238</v>
      </c>
      <c r="HQ3614" s="5" t="s">
        <v>238</v>
      </c>
      <c r="HR3614" s="5" t="s">
        <v>238</v>
      </c>
      <c r="HS3614" s="5" t="s">
        <v>238</v>
      </c>
      <c r="HT3614" s="5" t="s">
        <v>238</v>
      </c>
      <c r="HU3614" s="5" t="s">
        <v>238</v>
      </c>
      <c r="HV3614" s="5" t="s">
        <v>238</v>
      </c>
      <c r="HW3614" s="5" t="s">
        <v>238</v>
      </c>
      <c r="HX3614" s="5" t="s">
        <v>238</v>
      </c>
      <c r="HY3614" s="5" t="s">
        <v>238</v>
      </c>
      <c r="HZ3614" s="5" t="s">
        <v>238</v>
      </c>
      <c r="IA3614" s="5" t="s">
        <v>238</v>
      </c>
      <c r="IB3614" s="5" t="s">
        <v>238</v>
      </c>
      <c r="IC3614" s="5" t="s">
        <v>238</v>
      </c>
      <c r="ID3614" s="5" t="s">
        <v>238</v>
      </c>
    </row>
    <row r="3615" spans="1:238" x14ac:dyDescent="0.4">
      <c r="A3615" s="5">
        <v>9333</v>
      </c>
      <c r="B3615" s="5">
        <v>1</v>
      </c>
      <c r="C3615" s="5">
        <v>1</v>
      </c>
      <c r="D3615" s="5" t="s">
        <v>484</v>
      </c>
      <c r="E3615" s="5" t="s">
        <v>485</v>
      </c>
      <c r="F3615" s="5" t="s">
        <v>248</v>
      </c>
      <c r="G3615" s="5" t="s">
        <v>4694</v>
      </c>
      <c r="H3615" s="6" t="s">
        <v>4695</v>
      </c>
      <c r="I3615" s="8">
        <f>1</f>
        <v>1</v>
      </c>
      <c r="J3615" s="5" t="s">
        <v>499</v>
      </c>
      <c r="K3615" s="8">
        <f>1</f>
        <v>1</v>
      </c>
      <c r="L3615" s="6" t="s">
        <v>242</v>
      </c>
      <c r="M3615" s="5" t="s">
        <v>267</v>
      </c>
      <c r="N3615" s="5" t="s">
        <v>482</v>
      </c>
      <c r="O3615" s="5" t="s">
        <v>238</v>
      </c>
      <c r="P3615" s="5" t="s">
        <v>238</v>
      </c>
      <c r="Q3615" s="5" t="s">
        <v>239</v>
      </c>
      <c r="R3615" s="5" t="s">
        <v>270</v>
      </c>
      <c r="S3615" s="5" t="s">
        <v>238</v>
      </c>
      <c r="T3615" s="5" t="s">
        <v>238</v>
      </c>
      <c r="U3615" s="5" t="s">
        <v>238</v>
      </c>
      <c r="V3615" s="5" t="s">
        <v>238</v>
      </c>
      <c r="W3615" s="6" t="s">
        <v>238</v>
      </c>
      <c r="X3615" s="6" t="s">
        <v>238</v>
      </c>
      <c r="Y3615" s="5" t="s">
        <v>238</v>
      </c>
      <c r="Z3615" s="6" t="s">
        <v>238</v>
      </c>
      <c r="AA3615" s="6" t="s">
        <v>243</v>
      </c>
      <c r="AB3615" s="5" t="s">
        <v>486</v>
      </c>
      <c r="AC3615" s="5" t="s">
        <v>244</v>
      </c>
      <c r="AD3615" s="5" t="s">
        <v>245</v>
      </c>
      <c r="AE3615" s="5" t="s">
        <v>238</v>
      </c>
      <c r="AF3615" s="5" t="s">
        <v>238</v>
      </c>
      <c r="AG3615" s="5" t="s">
        <v>238</v>
      </c>
      <c r="AH3615" s="5" t="s">
        <v>238</v>
      </c>
      <c r="AI3615" s="5" t="s">
        <v>238</v>
      </c>
      <c r="AJ3615" s="5" t="s">
        <v>238</v>
      </c>
      <c r="AK3615" s="5" t="s">
        <v>238</v>
      </c>
      <c r="AL3615" s="5" t="s">
        <v>238</v>
      </c>
      <c r="AM3615" s="6" t="s">
        <v>238</v>
      </c>
      <c r="AN3615" s="6" t="s">
        <v>238</v>
      </c>
      <c r="AO3615" s="6" t="s">
        <v>238</v>
      </c>
      <c r="AP3615" s="6" t="s">
        <v>238</v>
      </c>
      <c r="AQ3615" s="5" t="s">
        <v>238</v>
      </c>
      <c r="AR3615" s="5" t="s">
        <v>488</v>
      </c>
      <c r="AS3615" s="5" t="s">
        <v>488</v>
      </c>
      <c r="AT3615" s="5" t="s">
        <v>246</v>
      </c>
      <c r="AU3615" s="5" t="s">
        <v>489</v>
      </c>
      <c r="AV3615" s="5" t="s">
        <v>247</v>
      </c>
      <c r="AW3615" s="5" t="s">
        <v>238</v>
      </c>
      <c r="AX3615" s="5" t="s">
        <v>249</v>
      </c>
      <c r="AY3615" s="5" t="s">
        <v>490</v>
      </c>
      <c r="BA3615" s="5" t="s">
        <v>238</v>
      </c>
      <c r="BC3615" s="5" t="s">
        <v>491</v>
      </c>
      <c r="BD3615" s="6" t="s">
        <v>492</v>
      </c>
      <c r="BE3615" s="5" t="s">
        <v>493</v>
      </c>
      <c r="BF3615" s="5" t="s">
        <v>493</v>
      </c>
      <c r="BG3615" s="5" t="s">
        <v>238</v>
      </c>
      <c r="BH3615" s="8">
        <f>1</f>
        <v>1</v>
      </c>
      <c r="BI3615" s="8">
        <f>1</f>
        <v>1</v>
      </c>
      <c r="BJ3615" s="5" t="s">
        <v>253</v>
      </c>
      <c r="BK3615" s="5" t="s">
        <v>254</v>
      </c>
      <c r="BL3615" s="5" t="s">
        <v>238</v>
      </c>
      <c r="BM3615" s="5" t="s">
        <v>238</v>
      </c>
      <c r="BN3615" s="5" t="s">
        <v>238</v>
      </c>
      <c r="BO3615" s="5" t="s">
        <v>238</v>
      </c>
      <c r="BP3615" s="5" t="s">
        <v>238</v>
      </c>
      <c r="BQ3615" s="5" t="s">
        <v>238</v>
      </c>
      <c r="BR3615" s="5" t="s">
        <v>238</v>
      </c>
      <c r="BS3615" s="5" t="s">
        <v>238</v>
      </c>
      <c r="BT3615" s="6" t="s">
        <v>238</v>
      </c>
      <c r="BU3615" s="5" t="s">
        <v>238</v>
      </c>
      <c r="BV3615" s="5" t="s">
        <v>238</v>
      </c>
      <c r="BW3615" s="5" t="s">
        <v>238</v>
      </c>
      <c r="BX3615" s="5" t="s">
        <v>254</v>
      </c>
      <c r="BY3615" s="5" t="s">
        <v>238</v>
      </c>
      <c r="BZ3615" s="5" t="s">
        <v>238</v>
      </c>
      <c r="CA3615" s="5" t="s">
        <v>238</v>
      </c>
      <c r="CB3615" s="5" t="s">
        <v>238</v>
      </c>
      <c r="CC3615" s="5" t="s">
        <v>238</v>
      </c>
      <c r="CD3615" s="5" t="s">
        <v>273</v>
      </c>
      <c r="CE3615" s="5" t="s">
        <v>256</v>
      </c>
      <c r="CF3615" s="5" t="s">
        <v>238</v>
      </c>
      <c r="CH3615" s="5" t="s">
        <v>494</v>
      </c>
      <c r="CI3615" s="6" t="s">
        <v>257</v>
      </c>
      <c r="CJ3615" s="5" t="s">
        <v>495</v>
      </c>
      <c r="CK3615" s="5" t="s">
        <v>258</v>
      </c>
      <c r="CL3615" s="5" t="s">
        <v>496</v>
      </c>
      <c r="CM3615" s="5" t="s">
        <v>238</v>
      </c>
      <c r="CN3615" s="5">
        <v>0</v>
      </c>
      <c r="CO3615" s="5" t="s">
        <v>497</v>
      </c>
      <c r="CP3615" s="5" t="s">
        <v>260</v>
      </c>
      <c r="CQ3615" s="5" t="s">
        <v>260</v>
      </c>
      <c r="CR3615" s="5" t="s">
        <v>261</v>
      </c>
      <c r="CS3615" s="5" t="s">
        <v>498</v>
      </c>
      <c r="CT3615" s="7">
        <f>1</f>
        <v>1</v>
      </c>
      <c r="CU3615" s="8">
        <f>1</f>
        <v>1</v>
      </c>
      <c r="CV3615" s="8">
        <f>0</f>
        <v>0</v>
      </c>
      <c r="CX3615" s="8">
        <f>1</f>
        <v>1</v>
      </c>
      <c r="CY3615" s="8">
        <f>1</f>
        <v>1</v>
      </c>
      <c r="CZ3615" s="8" t="s">
        <v>238</v>
      </c>
      <c r="DA3615" s="5" t="s">
        <v>238</v>
      </c>
      <c r="DB3615" s="5" t="s">
        <v>238</v>
      </c>
      <c r="DC3615" s="5" t="s">
        <v>238</v>
      </c>
      <c r="DD3615" s="5" t="s">
        <v>238</v>
      </c>
      <c r="DE3615" s="8">
        <f>0</f>
        <v>0</v>
      </c>
      <c r="DG3615" s="5" t="s">
        <v>238</v>
      </c>
      <c r="DH3615" s="5" t="s">
        <v>238</v>
      </c>
      <c r="DI3615" s="5" t="s">
        <v>238</v>
      </c>
      <c r="DJ3615" s="5" t="s">
        <v>238</v>
      </c>
      <c r="DK3615" s="5" t="s">
        <v>238</v>
      </c>
      <c r="DL3615" s="5" t="s">
        <v>238</v>
      </c>
      <c r="DM3615" s="8" t="s">
        <v>238</v>
      </c>
      <c r="DN3615" s="5" t="s">
        <v>238</v>
      </c>
      <c r="DO3615" s="5" t="s">
        <v>238</v>
      </c>
      <c r="DP3615" s="5" t="s">
        <v>490</v>
      </c>
      <c r="DQ3615" s="5" t="s">
        <v>490</v>
      </c>
      <c r="DR3615" s="5" t="s">
        <v>238</v>
      </c>
      <c r="DS3615" s="5" t="s">
        <v>238</v>
      </c>
      <c r="DT3615" s="5" t="s">
        <v>500</v>
      </c>
      <c r="DU3615" s="5" t="s">
        <v>928</v>
      </c>
      <c r="DV3615" s="5" t="s">
        <v>238</v>
      </c>
      <c r="DW3615" s="5" t="s">
        <v>238</v>
      </c>
      <c r="DX3615" s="5" t="s">
        <v>238</v>
      </c>
      <c r="DY3615" s="5" t="s">
        <v>238</v>
      </c>
      <c r="DZ3615" s="5" t="s">
        <v>238</v>
      </c>
      <c r="EA3615" s="5" t="s">
        <v>238</v>
      </c>
      <c r="EB3615" s="5" t="s">
        <v>238</v>
      </c>
      <c r="EC3615" s="5" t="s">
        <v>238</v>
      </c>
      <c r="ED3615" s="5" t="s">
        <v>238</v>
      </c>
      <c r="EE3615" s="5" t="s">
        <v>238</v>
      </c>
      <c r="EF3615" s="5" t="s">
        <v>238</v>
      </c>
      <c r="EG3615" s="5" t="s">
        <v>238</v>
      </c>
      <c r="EH3615" s="5" t="s">
        <v>238</v>
      </c>
      <c r="EI3615" s="5" t="s">
        <v>238</v>
      </c>
      <c r="EJ3615" s="5" t="s">
        <v>238</v>
      </c>
      <c r="EK3615" s="5" t="s">
        <v>238</v>
      </c>
      <c r="EL3615" s="5" t="s">
        <v>238</v>
      </c>
      <c r="EM3615" s="5" t="s">
        <v>238</v>
      </c>
      <c r="EN3615" s="5" t="s">
        <v>238</v>
      </c>
      <c r="EO3615" s="5" t="s">
        <v>238</v>
      </c>
      <c r="EP3615" s="5" t="s">
        <v>238</v>
      </c>
      <c r="EQ3615" s="5" t="s">
        <v>238</v>
      </c>
      <c r="ER3615" s="5" t="s">
        <v>238</v>
      </c>
      <c r="ES3615" s="5" t="s">
        <v>238</v>
      </c>
      <c r="ET3615" s="5" t="s">
        <v>238</v>
      </c>
      <c r="EU3615" s="5" t="s">
        <v>238</v>
      </c>
      <c r="EV3615" s="5" t="s">
        <v>238</v>
      </c>
      <c r="EW3615" s="5" t="s">
        <v>238</v>
      </c>
      <c r="EX3615" s="5" t="s">
        <v>238</v>
      </c>
      <c r="EY3615" s="5" t="s">
        <v>238</v>
      </c>
      <c r="EZ3615" s="5" t="s">
        <v>238</v>
      </c>
      <c r="FA3615" s="5" t="s">
        <v>238</v>
      </c>
      <c r="FB3615" s="5" t="s">
        <v>238</v>
      </c>
      <c r="FC3615" s="5" t="s">
        <v>238</v>
      </c>
      <c r="FD3615" s="5" t="s">
        <v>238</v>
      </c>
      <c r="FE3615" s="5" t="s">
        <v>238</v>
      </c>
      <c r="FF3615" s="5" t="s">
        <v>238</v>
      </c>
      <c r="FG3615" s="5" t="s">
        <v>238</v>
      </c>
      <c r="FH3615" s="5" t="s">
        <v>238</v>
      </c>
      <c r="FI3615" s="5" t="s">
        <v>238</v>
      </c>
      <c r="FJ3615" s="5" t="s">
        <v>238</v>
      </c>
      <c r="FK3615" s="5" t="s">
        <v>238</v>
      </c>
      <c r="FL3615" s="5" t="s">
        <v>238</v>
      </c>
      <c r="FM3615" s="5" t="s">
        <v>238</v>
      </c>
      <c r="FN3615" s="5" t="s">
        <v>238</v>
      </c>
      <c r="FO3615" s="5" t="s">
        <v>238</v>
      </c>
      <c r="FP3615" s="5" t="s">
        <v>238</v>
      </c>
      <c r="FQ3615" s="5" t="s">
        <v>238</v>
      </c>
      <c r="FR3615" s="5" t="s">
        <v>238</v>
      </c>
      <c r="FS3615" s="5" t="s">
        <v>238</v>
      </c>
      <c r="FT3615" s="5" t="s">
        <v>238</v>
      </c>
      <c r="FU3615" s="5" t="s">
        <v>238</v>
      </c>
      <c r="FV3615" s="5" t="s">
        <v>238</v>
      </c>
      <c r="FW3615" s="5" t="s">
        <v>238</v>
      </c>
      <c r="FX3615" s="5" t="s">
        <v>238</v>
      </c>
      <c r="FY3615" s="5" t="s">
        <v>238</v>
      </c>
      <c r="FZ3615" s="5" t="s">
        <v>238</v>
      </c>
      <c r="GA3615" s="5" t="s">
        <v>238</v>
      </c>
      <c r="GB3615" s="5" t="s">
        <v>238</v>
      </c>
      <c r="GC3615" s="5" t="s">
        <v>238</v>
      </c>
      <c r="GD3615" s="5" t="s">
        <v>238</v>
      </c>
      <c r="GE3615" s="5" t="s">
        <v>238</v>
      </c>
      <c r="GF3615" s="5" t="s">
        <v>238</v>
      </c>
      <c r="GG3615" s="5" t="s">
        <v>238</v>
      </c>
      <c r="GH3615" s="5" t="s">
        <v>238</v>
      </c>
      <c r="GI3615" s="5" t="s">
        <v>238</v>
      </c>
      <c r="GJ3615" s="5" t="s">
        <v>238</v>
      </c>
      <c r="GK3615" s="5" t="s">
        <v>238</v>
      </c>
      <c r="GL3615" s="5" t="s">
        <v>238</v>
      </c>
      <c r="GM3615" s="5" t="s">
        <v>238</v>
      </c>
      <c r="GN3615" s="5" t="s">
        <v>238</v>
      </c>
      <c r="GO3615" s="5" t="s">
        <v>238</v>
      </c>
      <c r="GP3615" s="5" t="s">
        <v>238</v>
      </c>
      <c r="GQ3615" s="5" t="s">
        <v>238</v>
      </c>
      <c r="GR3615" s="5" t="s">
        <v>238</v>
      </c>
      <c r="GS3615" s="5" t="s">
        <v>238</v>
      </c>
      <c r="GT3615" s="5" t="s">
        <v>238</v>
      </c>
      <c r="GU3615" s="5" t="s">
        <v>238</v>
      </c>
      <c r="GV3615" s="5" t="s">
        <v>238</v>
      </c>
      <c r="GW3615" s="5" t="s">
        <v>238</v>
      </c>
      <c r="GX3615" s="5" t="s">
        <v>238</v>
      </c>
      <c r="GY3615" s="5" t="s">
        <v>238</v>
      </c>
      <c r="GZ3615" s="5" t="s">
        <v>238</v>
      </c>
      <c r="HA3615" s="5" t="s">
        <v>238</v>
      </c>
      <c r="HB3615" s="5" t="s">
        <v>238</v>
      </c>
      <c r="HC3615" s="5" t="s">
        <v>238</v>
      </c>
      <c r="HD3615" s="5" t="s">
        <v>238</v>
      </c>
      <c r="HE3615" s="5" t="s">
        <v>238</v>
      </c>
      <c r="HF3615" s="5" t="s">
        <v>238</v>
      </c>
      <c r="HG3615" s="5" t="s">
        <v>238</v>
      </c>
      <c r="HH3615" s="5" t="s">
        <v>238</v>
      </c>
      <c r="HI3615" s="5" t="s">
        <v>238</v>
      </c>
      <c r="HJ3615" s="5" t="s">
        <v>238</v>
      </c>
      <c r="HK3615" s="5" t="s">
        <v>238</v>
      </c>
      <c r="HL3615" s="5" t="s">
        <v>238</v>
      </c>
      <c r="HM3615" s="5" t="s">
        <v>264</v>
      </c>
      <c r="HN3615" s="5" t="s">
        <v>238</v>
      </c>
      <c r="HO3615" s="5" t="s">
        <v>238</v>
      </c>
      <c r="HP3615" s="5" t="s">
        <v>238</v>
      </c>
      <c r="HQ3615" s="5" t="s">
        <v>238</v>
      </c>
      <c r="HR3615" s="5" t="s">
        <v>238</v>
      </c>
      <c r="HS3615" s="5" t="s">
        <v>238</v>
      </c>
      <c r="HT3615" s="5" t="s">
        <v>238</v>
      </c>
      <c r="HU3615" s="5" t="s">
        <v>238</v>
      </c>
      <c r="HV3615" s="5" t="s">
        <v>238</v>
      </c>
      <c r="HW3615" s="5" t="s">
        <v>238</v>
      </c>
      <c r="HX3615" s="5" t="s">
        <v>238</v>
      </c>
      <c r="HY3615" s="5" t="s">
        <v>238</v>
      </c>
      <c r="HZ3615" s="5" t="s">
        <v>238</v>
      </c>
      <c r="IA3615" s="5" t="s">
        <v>238</v>
      </c>
      <c r="IB3615" s="5" t="s">
        <v>238</v>
      </c>
      <c r="IC3615" s="5" t="s">
        <v>238</v>
      </c>
      <c r="ID3615" s="5" t="s">
        <v>238</v>
      </c>
    </row>
    <row r="3616" spans="1:238" x14ac:dyDescent="0.4">
      <c r="A3616" s="5">
        <v>9334</v>
      </c>
      <c r="B3616" s="5">
        <v>1</v>
      </c>
      <c r="C3616" s="5">
        <v>1</v>
      </c>
      <c r="D3616" s="5" t="s">
        <v>484</v>
      </c>
      <c r="E3616" s="5" t="s">
        <v>485</v>
      </c>
      <c r="F3616" s="5" t="s">
        <v>248</v>
      </c>
      <c r="G3616" s="5" t="s">
        <v>4445</v>
      </c>
      <c r="H3616" s="6" t="s">
        <v>4445</v>
      </c>
      <c r="I3616" s="8">
        <f>1</f>
        <v>1</v>
      </c>
      <c r="J3616" s="5" t="s">
        <v>499</v>
      </c>
      <c r="K3616" s="8">
        <f>1</f>
        <v>1</v>
      </c>
      <c r="L3616" s="6" t="s">
        <v>242</v>
      </c>
      <c r="M3616" s="5" t="s">
        <v>267</v>
      </c>
      <c r="N3616" s="5" t="s">
        <v>482</v>
      </c>
      <c r="O3616" s="5" t="s">
        <v>238</v>
      </c>
      <c r="P3616" s="5" t="s">
        <v>238</v>
      </c>
      <c r="Q3616" s="5" t="s">
        <v>239</v>
      </c>
      <c r="R3616" s="5" t="s">
        <v>270</v>
      </c>
      <c r="S3616" s="5" t="s">
        <v>238</v>
      </c>
      <c r="T3616" s="5" t="s">
        <v>238</v>
      </c>
      <c r="U3616" s="5" t="s">
        <v>238</v>
      </c>
      <c r="V3616" s="5" t="s">
        <v>238</v>
      </c>
      <c r="W3616" s="6" t="s">
        <v>238</v>
      </c>
      <c r="X3616" s="6" t="s">
        <v>238</v>
      </c>
      <c r="Y3616" s="5" t="s">
        <v>238</v>
      </c>
      <c r="Z3616" s="6" t="s">
        <v>238</v>
      </c>
      <c r="AA3616" s="6" t="s">
        <v>243</v>
      </c>
      <c r="AB3616" s="5" t="s">
        <v>4446</v>
      </c>
      <c r="AC3616" s="5" t="s">
        <v>244</v>
      </c>
      <c r="AD3616" s="5" t="s">
        <v>245</v>
      </c>
      <c r="AE3616" s="5" t="s">
        <v>238</v>
      </c>
      <c r="AF3616" s="5" t="s">
        <v>238</v>
      </c>
      <c r="AG3616" s="5" t="s">
        <v>238</v>
      </c>
      <c r="AH3616" s="5" t="s">
        <v>238</v>
      </c>
      <c r="AI3616" s="5" t="s">
        <v>238</v>
      </c>
      <c r="AJ3616" s="5" t="s">
        <v>238</v>
      </c>
      <c r="AK3616" s="5" t="s">
        <v>238</v>
      </c>
      <c r="AL3616" s="5" t="s">
        <v>238</v>
      </c>
      <c r="AM3616" s="6" t="s">
        <v>238</v>
      </c>
      <c r="AN3616" s="6" t="s">
        <v>238</v>
      </c>
      <c r="AO3616" s="6" t="s">
        <v>238</v>
      </c>
      <c r="AP3616" s="6" t="s">
        <v>238</v>
      </c>
      <c r="AQ3616" s="5" t="s">
        <v>238</v>
      </c>
      <c r="AR3616" s="5" t="s">
        <v>488</v>
      </c>
      <c r="AS3616" s="5" t="s">
        <v>488</v>
      </c>
      <c r="AT3616" s="5" t="s">
        <v>246</v>
      </c>
      <c r="AU3616" s="5" t="s">
        <v>489</v>
      </c>
      <c r="AV3616" s="5" t="s">
        <v>247</v>
      </c>
      <c r="AW3616" s="5" t="s">
        <v>238</v>
      </c>
      <c r="AX3616" s="5" t="s">
        <v>249</v>
      </c>
      <c r="AY3616" s="5" t="s">
        <v>490</v>
      </c>
      <c r="BA3616" s="5" t="s">
        <v>238</v>
      </c>
      <c r="BC3616" s="5" t="s">
        <v>491</v>
      </c>
      <c r="BD3616" s="6" t="s">
        <v>492</v>
      </c>
      <c r="BE3616" s="5" t="s">
        <v>493</v>
      </c>
      <c r="BF3616" s="5" t="s">
        <v>493</v>
      </c>
      <c r="BG3616" s="5" t="s">
        <v>238</v>
      </c>
      <c r="BH3616" s="8">
        <f>1</f>
        <v>1</v>
      </c>
      <c r="BI3616" s="8">
        <f>1</f>
        <v>1</v>
      </c>
      <c r="BJ3616" s="5" t="s">
        <v>253</v>
      </c>
      <c r="BK3616" s="5" t="s">
        <v>254</v>
      </c>
      <c r="BL3616" s="5" t="s">
        <v>238</v>
      </c>
      <c r="BM3616" s="5" t="s">
        <v>238</v>
      </c>
      <c r="BN3616" s="5" t="s">
        <v>238</v>
      </c>
      <c r="BO3616" s="5" t="s">
        <v>238</v>
      </c>
      <c r="BP3616" s="5" t="s">
        <v>238</v>
      </c>
      <c r="BQ3616" s="5" t="s">
        <v>238</v>
      </c>
      <c r="BR3616" s="5" t="s">
        <v>238</v>
      </c>
      <c r="BS3616" s="5" t="s">
        <v>238</v>
      </c>
      <c r="BT3616" s="6" t="s">
        <v>238</v>
      </c>
      <c r="BU3616" s="5" t="s">
        <v>238</v>
      </c>
      <c r="BV3616" s="5" t="s">
        <v>238</v>
      </c>
      <c r="BW3616" s="5" t="s">
        <v>238</v>
      </c>
      <c r="BX3616" s="5" t="s">
        <v>254</v>
      </c>
      <c r="BY3616" s="5" t="s">
        <v>238</v>
      </c>
      <c r="BZ3616" s="5" t="s">
        <v>238</v>
      </c>
      <c r="CA3616" s="5" t="s">
        <v>238</v>
      </c>
      <c r="CB3616" s="5" t="s">
        <v>238</v>
      </c>
      <c r="CC3616" s="5" t="s">
        <v>238</v>
      </c>
      <c r="CD3616" s="5" t="s">
        <v>273</v>
      </c>
      <c r="CE3616" s="5" t="s">
        <v>256</v>
      </c>
      <c r="CF3616" s="5" t="s">
        <v>238</v>
      </c>
      <c r="CH3616" s="5" t="s">
        <v>494</v>
      </c>
      <c r="CI3616" s="6" t="s">
        <v>257</v>
      </c>
      <c r="CJ3616" s="5" t="s">
        <v>495</v>
      </c>
      <c r="CK3616" s="5" t="s">
        <v>258</v>
      </c>
      <c r="CL3616" s="5" t="s">
        <v>496</v>
      </c>
      <c r="CM3616" s="5" t="s">
        <v>238</v>
      </c>
      <c r="CN3616" s="5">
        <v>0</v>
      </c>
      <c r="CO3616" s="5" t="s">
        <v>497</v>
      </c>
      <c r="CP3616" s="5" t="s">
        <v>260</v>
      </c>
      <c r="CQ3616" s="5" t="s">
        <v>260</v>
      </c>
      <c r="CR3616" s="5" t="s">
        <v>261</v>
      </c>
      <c r="CS3616" s="5" t="s">
        <v>498</v>
      </c>
      <c r="CT3616" s="7">
        <f>1</f>
        <v>1</v>
      </c>
      <c r="CU3616" s="8">
        <f>1</f>
        <v>1</v>
      </c>
      <c r="CV3616" s="8">
        <f>0</f>
        <v>0</v>
      </c>
      <c r="CX3616" s="8">
        <f>1</f>
        <v>1</v>
      </c>
      <c r="CY3616" s="8">
        <f>1</f>
        <v>1</v>
      </c>
      <c r="CZ3616" s="8" t="s">
        <v>238</v>
      </c>
      <c r="DA3616" s="5" t="s">
        <v>238</v>
      </c>
      <c r="DB3616" s="5" t="s">
        <v>238</v>
      </c>
      <c r="DC3616" s="5" t="s">
        <v>238</v>
      </c>
      <c r="DD3616" s="5" t="s">
        <v>238</v>
      </c>
      <c r="DE3616" s="8">
        <f>0</f>
        <v>0</v>
      </c>
      <c r="DG3616" s="5" t="s">
        <v>238</v>
      </c>
      <c r="DH3616" s="5" t="s">
        <v>238</v>
      </c>
      <c r="DI3616" s="5" t="s">
        <v>238</v>
      </c>
      <c r="DJ3616" s="5" t="s">
        <v>238</v>
      </c>
      <c r="DK3616" s="5" t="s">
        <v>238</v>
      </c>
      <c r="DL3616" s="5" t="s">
        <v>238</v>
      </c>
      <c r="DM3616" s="8" t="s">
        <v>238</v>
      </c>
      <c r="DN3616" s="5" t="s">
        <v>238</v>
      </c>
      <c r="DO3616" s="5" t="s">
        <v>238</v>
      </c>
      <c r="DP3616" s="5" t="s">
        <v>490</v>
      </c>
      <c r="DQ3616" s="5" t="s">
        <v>490</v>
      </c>
      <c r="DR3616" s="5" t="s">
        <v>238</v>
      </c>
      <c r="DS3616" s="5" t="s">
        <v>238</v>
      </c>
      <c r="DT3616" s="5" t="s">
        <v>500</v>
      </c>
      <c r="DU3616" s="5" t="s">
        <v>3135</v>
      </c>
      <c r="DV3616" s="5" t="s">
        <v>238</v>
      </c>
      <c r="DW3616" s="5" t="s">
        <v>238</v>
      </c>
      <c r="DX3616" s="5" t="s">
        <v>238</v>
      </c>
      <c r="DY3616" s="5" t="s">
        <v>238</v>
      </c>
      <c r="DZ3616" s="5" t="s">
        <v>238</v>
      </c>
      <c r="EA3616" s="5" t="s">
        <v>238</v>
      </c>
      <c r="EB3616" s="5" t="s">
        <v>238</v>
      </c>
      <c r="EC3616" s="5" t="s">
        <v>238</v>
      </c>
      <c r="ED3616" s="5" t="s">
        <v>238</v>
      </c>
      <c r="EE3616" s="5" t="s">
        <v>238</v>
      </c>
      <c r="EF3616" s="5" t="s">
        <v>238</v>
      </c>
      <c r="EG3616" s="5" t="s">
        <v>238</v>
      </c>
      <c r="EH3616" s="5" t="s">
        <v>238</v>
      </c>
      <c r="EI3616" s="5" t="s">
        <v>238</v>
      </c>
      <c r="EJ3616" s="5" t="s">
        <v>238</v>
      </c>
      <c r="EK3616" s="5" t="s">
        <v>238</v>
      </c>
      <c r="EL3616" s="5" t="s">
        <v>238</v>
      </c>
      <c r="EM3616" s="5" t="s">
        <v>238</v>
      </c>
      <c r="EN3616" s="5" t="s">
        <v>238</v>
      </c>
      <c r="EO3616" s="5" t="s">
        <v>238</v>
      </c>
      <c r="EP3616" s="5" t="s">
        <v>238</v>
      </c>
      <c r="EQ3616" s="5" t="s">
        <v>238</v>
      </c>
      <c r="ER3616" s="5" t="s">
        <v>238</v>
      </c>
      <c r="ES3616" s="5" t="s">
        <v>238</v>
      </c>
      <c r="ET3616" s="5" t="s">
        <v>238</v>
      </c>
      <c r="EU3616" s="5" t="s">
        <v>238</v>
      </c>
      <c r="EV3616" s="5" t="s">
        <v>238</v>
      </c>
      <c r="EW3616" s="5" t="s">
        <v>238</v>
      </c>
      <c r="EX3616" s="5" t="s">
        <v>238</v>
      </c>
      <c r="EY3616" s="5" t="s">
        <v>238</v>
      </c>
      <c r="EZ3616" s="5" t="s">
        <v>238</v>
      </c>
      <c r="FA3616" s="5" t="s">
        <v>238</v>
      </c>
      <c r="FB3616" s="5" t="s">
        <v>238</v>
      </c>
      <c r="FC3616" s="5" t="s">
        <v>238</v>
      </c>
      <c r="FD3616" s="5" t="s">
        <v>238</v>
      </c>
      <c r="FE3616" s="5" t="s">
        <v>238</v>
      </c>
      <c r="FF3616" s="5" t="s">
        <v>238</v>
      </c>
      <c r="FG3616" s="5" t="s">
        <v>238</v>
      </c>
      <c r="FH3616" s="5" t="s">
        <v>238</v>
      </c>
      <c r="FI3616" s="5" t="s">
        <v>238</v>
      </c>
      <c r="FJ3616" s="5" t="s">
        <v>238</v>
      </c>
      <c r="FK3616" s="5" t="s">
        <v>238</v>
      </c>
      <c r="FL3616" s="5" t="s">
        <v>238</v>
      </c>
      <c r="FM3616" s="5" t="s">
        <v>238</v>
      </c>
      <c r="FN3616" s="5" t="s">
        <v>238</v>
      </c>
      <c r="FO3616" s="5" t="s">
        <v>238</v>
      </c>
      <c r="FP3616" s="5" t="s">
        <v>238</v>
      </c>
      <c r="FQ3616" s="5" t="s">
        <v>238</v>
      </c>
      <c r="FR3616" s="5" t="s">
        <v>238</v>
      </c>
      <c r="FS3616" s="5" t="s">
        <v>238</v>
      </c>
      <c r="FT3616" s="5" t="s">
        <v>238</v>
      </c>
      <c r="FU3616" s="5" t="s">
        <v>238</v>
      </c>
      <c r="FV3616" s="5" t="s">
        <v>238</v>
      </c>
      <c r="FW3616" s="5" t="s">
        <v>238</v>
      </c>
      <c r="FX3616" s="5" t="s">
        <v>238</v>
      </c>
      <c r="FY3616" s="5" t="s">
        <v>238</v>
      </c>
      <c r="FZ3616" s="5" t="s">
        <v>238</v>
      </c>
      <c r="GA3616" s="5" t="s">
        <v>238</v>
      </c>
      <c r="GB3616" s="5" t="s">
        <v>238</v>
      </c>
      <c r="GC3616" s="5" t="s">
        <v>238</v>
      </c>
      <c r="GD3616" s="5" t="s">
        <v>238</v>
      </c>
      <c r="GE3616" s="5" t="s">
        <v>238</v>
      </c>
      <c r="GF3616" s="5" t="s">
        <v>238</v>
      </c>
      <c r="GG3616" s="5" t="s">
        <v>238</v>
      </c>
      <c r="GH3616" s="5" t="s">
        <v>238</v>
      </c>
      <c r="GI3616" s="5" t="s">
        <v>238</v>
      </c>
      <c r="GJ3616" s="5" t="s">
        <v>238</v>
      </c>
      <c r="GK3616" s="5" t="s">
        <v>238</v>
      </c>
      <c r="GL3616" s="5" t="s">
        <v>238</v>
      </c>
      <c r="GM3616" s="5" t="s">
        <v>238</v>
      </c>
      <c r="GN3616" s="5" t="s">
        <v>238</v>
      </c>
      <c r="GO3616" s="5" t="s">
        <v>238</v>
      </c>
      <c r="GP3616" s="5" t="s">
        <v>238</v>
      </c>
      <c r="GQ3616" s="5" t="s">
        <v>238</v>
      </c>
      <c r="GR3616" s="5" t="s">
        <v>238</v>
      </c>
      <c r="GS3616" s="5" t="s">
        <v>238</v>
      </c>
      <c r="GT3616" s="5" t="s">
        <v>238</v>
      </c>
      <c r="GU3616" s="5" t="s">
        <v>238</v>
      </c>
      <c r="GV3616" s="5" t="s">
        <v>238</v>
      </c>
      <c r="GW3616" s="5" t="s">
        <v>238</v>
      </c>
      <c r="GX3616" s="5" t="s">
        <v>238</v>
      </c>
      <c r="GY3616" s="5" t="s">
        <v>238</v>
      </c>
      <c r="GZ3616" s="5" t="s">
        <v>238</v>
      </c>
      <c r="HA3616" s="5" t="s">
        <v>238</v>
      </c>
      <c r="HB3616" s="5" t="s">
        <v>238</v>
      </c>
      <c r="HC3616" s="5" t="s">
        <v>238</v>
      </c>
      <c r="HD3616" s="5" t="s">
        <v>238</v>
      </c>
      <c r="HE3616" s="5" t="s">
        <v>238</v>
      </c>
      <c r="HF3616" s="5" t="s">
        <v>238</v>
      </c>
      <c r="HG3616" s="5" t="s">
        <v>238</v>
      </c>
      <c r="HH3616" s="5" t="s">
        <v>238</v>
      </c>
      <c r="HI3616" s="5" t="s">
        <v>238</v>
      </c>
      <c r="HJ3616" s="5" t="s">
        <v>238</v>
      </c>
      <c r="HK3616" s="5" t="s">
        <v>238</v>
      </c>
      <c r="HL3616" s="5" t="s">
        <v>238</v>
      </c>
      <c r="HM3616" s="5" t="s">
        <v>264</v>
      </c>
      <c r="HN3616" s="5" t="s">
        <v>238</v>
      </c>
      <c r="HO3616" s="5" t="s">
        <v>238</v>
      </c>
      <c r="HP3616" s="5" t="s">
        <v>238</v>
      </c>
      <c r="HQ3616" s="5" t="s">
        <v>238</v>
      </c>
      <c r="HR3616" s="5" t="s">
        <v>238</v>
      </c>
      <c r="HS3616" s="5" t="s">
        <v>238</v>
      </c>
      <c r="HT3616" s="5" t="s">
        <v>238</v>
      </c>
      <c r="HU3616" s="5" t="s">
        <v>238</v>
      </c>
      <c r="HV3616" s="5" t="s">
        <v>238</v>
      </c>
      <c r="HW3616" s="5" t="s">
        <v>238</v>
      </c>
      <c r="HX3616" s="5" t="s">
        <v>238</v>
      </c>
      <c r="HY3616" s="5" t="s">
        <v>238</v>
      </c>
      <c r="HZ3616" s="5" t="s">
        <v>238</v>
      </c>
      <c r="IA3616" s="5" t="s">
        <v>238</v>
      </c>
      <c r="IB3616" s="5" t="s">
        <v>238</v>
      </c>
      <c r="IC3616" s="5" t="s">
        <v>238</v>
      </c>
      <c r="ID3616" s="5" t="s">
        <v>238</v>
      </c>
    </row>
    <row r="3617" spans="1:238" x14ac:dyDescent="0.4">
      <c r="A3617" s="5">
        <v>9335</v>
      </c>
      <c r="B3617" s="5">
        <v>1</v>
      </c>
      <c r="C3617" s="5">
        <v>1</v>
      </c>
      <c r="D3617" s="5" t="s">
        <v>484</v>
      </c>
      <c r="E3617" s="5" t="s">
        <v>485</v>
      </c>
      <c r="F3617" s="5" t="s">
        <v>248</v>
      </c>
      <c r="G3617" s="5" t="s">
        <v>4933</v>
      </c>
      <c r="H3617" s="6" t="s">
        <v>4933</v>
      </c>
      <c r="I3617" s="8">
        <f>1</f>
        <v>1</v>
      </c>
      <c r="J3617" s="5" t="s">
        <v>499</v>
      </c>
      <c r="K3617" s="8">
        <f>1</f>
        <v>1</v>
      </c>
      <c r="L3617" s="6" t="s">
        <v>242</v>
      </c>
      <c r="M3617" s="5" t="s">
        <v>267</v>
      </c>
      <c r="N3617" s="5" t="s">
        <v>482</v>
      </c>
      <c r="O3617" s="5" t="s">
        <v>238</v>
      </c>
      <c r="P3617" s="5" t="s">
        <v>238</v>
      </c>
      <c r="Q3617" s="5" t="s">
        <v>239</v>
      </c>
      <c r="R3617" s="5" t="s">
        <v>270</v>
      </c>
      <c r="S3617" s="5" t="s">
        <v>238</v>
      </c>
      <c r="T3617" s="5" t="s">
        <v>238</v>
      </c>
      <c r="U3617" s="5" t="s">
        <v>238</v>
      </c>
      <c r="V3617" s="5" t="s">
        <v>238</v>
      </c>
      <c r="W3617" s="6" t="s">
        <v>238</v>
      </c>
      <c r="X3617" s="6" t="s">
        <v>238</v>
      </c>
      <c r="Y3617" s="5" t="s">
        <v>238</v>
      </c>
      <c r="Z3617" s="6" t="s">
        <v>238</v>
      </c>
      <c r="AA3617" s="6" t="s">
        <v>243</v>
      </c>
      <c r="AB3617" s="5" t="s">
        <v>4934</v>
      </c>
      <c r="AC3617" s="5" t="s">
        <v>244</v>
      </c>
      <c r="AD3617" s="5" t="s">
        <v>245</v>
      </c>
      <c r="AE3617" s="5" t="s">
        <v>238</v>
      </c>
      <c r="AF3617" s="5" t="s">
        <v>238</v>
      </c>
      <c r="AG3617" s="5" t="s">
        <v>238</v>
      </c>
      <c r="AH3617" s="5" t="s">
        <v>238</v>
      </c>
      <c r="AI3617" s="5" t="s">
        <v>238</v>
      </c>
      <c r="AJ3617" s="5" t="s">
        <v>238</v>
      </c>
      <c r="AK3617" s="5" t="s">
        <v>238</v>
      </c>
      <c r="AL3617" s="5" t="s">
        <v>238</v>
      </c>
      <c r="AM3617" s="6" t="s">
        <v>238</v>
      </c>
      <c r="AN3617" s="6" t="s">
        <v>238</v>
      </c>
      <c r="AO3617" s="6" t="s">
        <v>238</v>
      </c>
      <c r="AP3617" s="6" t="s">
        <v>238</v>
      </c>
      <c r="AQ3617" s="5" t="s">
        <v>238</v>
      </c>
      <c r="AR3617" s="5" t="s">
        <v>488</v>
      </c>
      <c r="AS3617" s="5" t="s">
        <v>488</v>
      </c>
      <c r="AT3617" s="5" t="s">
        <v>246</v>
      </c>
      <c r="AU3617" s="5" t="s">
        <v>489</v>
      </c>
      <c r="AV3617" s="5" t="s">
        <v>247</v>
      </c>
      <c r="AW3617" s="5" t="s">
        <v>238</v>
      </c>
      <c r="AX3617" s="5" t="s">
        <v>249</v>
      </c>
      <c r="AY3617" s="5" t="s">
        <v>490</v>
      </c>
      <c r="BA3617" s="5" t="s">
        <v>238</v>
      </c>
      <c r="BC3617" s="5" t="s">
        <v>491</v>
      </c>
      <c r="BD3617" s="6" t="s">
        <v>492</v>
      </c>
      <c r="BE3617" s="5" t="s">
        <v>493</v>
      </c>
      <c r="BF3617" s="5" t="s">
        <v>493</v>
      </c>
      <c r="BG3617" s="5" t="s">
        <v>238</v>
      </c>
      <c r="BH3617" s="8">
        <f>1</f>
        <v>1</v>
      </c>
      <c r="BI3617" s="8">
        <f>1</f>
        <v>1</v>
      </c>
      <c r="BJ3617" s="5" t="s">
        <v>253</v>
      </c>
      <c r="BK3617" s="5" t="s">
        <v>254</v>
      </c>
      <c r="BL3617" s="5" t="s">
        <v>238</v>
      </c>
      <c r="BM3617" s="5" t="s">
        <v>238</v>
      </c>
      <c r="BN3617" s="5" t="s">
        <v>238</v>
      </c>
      <c r="BO3617" s="5" t="s">
        <v>238</v>
      </c>
      <c r="BP3617" s="5" t="s">
        <v>238</v>
      </c>
      <c r="BQ3617" s="5" t="s">
        <v>238</v>
      </c>
      <c r="BR3617" s="5" t="s">
        <v>238</v>
      </c>
      <c r="BS3617" s="5" t="s">
        <v>238</v>
      </c>
      <c r="BT3617" s="6" t="s">
        <v>238</v>
      </c>
      <c r="BU3617" s="5" t="s">
        <v>238</v>
      </c>
      <c r="BV3617" s="5" t="s">
        <v>238</v>
      </c>
      <c r="BW3617" s="5" t="s">
        <v>238</v>
      </c>
      <c r="BX3617" s="5" t="s">
        <v>254</v>
      </c>
      <c r="BY3617" s="5" t="s">
        <v>238</v>
      </c>
      <c r="BZ3617" s="5" t="s">
        <v>238</v>
      </c>
      <c r="CA3617" s="5" t="s">
        <v>238</v>
      </c>
      <c r="CB3617" s="5" t="s">
        <v>238</v>
      </c>
      <c r="CC3617" s="5" t="s">
        <v>238</v>
      </c>
      <c r="CD3617" s="5" t="s">
        <v>273</v>
      </c>
      <c r="CE3617" s="5" t="s">
        <v>256</v>
      </c>
      <c r="CF3617" s="5" t="s">
        <v>238</v>
      </c>
      <c r="CH3617" s="5" t="s">
        <v>494</v>
      </c>
      <c r="CI3617" s="6" t="s">
        <v>257</v>
      </c>
      <c r="CJ3617" s="5" t="s">
        <v>495</v>
      </c>
      <c r="CK3617" s="5" t="s">
        <v>258</v>
      </c>
      <c r="CL3617" s="5" t="s">
        <v>496</v>
      </c>
      <c r="CM3617" s="5" t="s">
        <v>238</v>
      </c>
      <c r="CN3617" s="5">
        <v>0</v>
      </c>
      <c r="CO3617" s="5" t="s">
        <v>497</v>
      </c>
      <c r="CP3617" s="5" t="s">
        <v>260</v>
      </c>
      <c r="CQ3617" s="5" t="s">
        <v>260</v>
      </c>
      <c r="CR3617" s="5" t="s">
        <v>261</v>
      </c>
      <c r="CS3617" s="5" t="s">
        <v>498</v>
      </c>
      <c r="CT3617" s="7">
        <f>1</f>
        <v>1</v>
      </c>
      <c r="CU3617" s="8">
        <f>1</f>
        <v>1</v>
      </c>
      <c r="CV3617" s="8">
        <f>0</f>
        <v>0</v>
      </c>
      <c r="CX3617" s="8">
        <f>1</f>
        <v>1</v>
      </c>
      <c r="CY3617" s="8">
        <f>1</f>
        <v>1</v>
      </c>
      <c r="CZ3617" s="8" t="s">
        <v>238</v>
      </c>
      <c r="DA3617" s="5" t="s">
        <v>238</v>
      </c>
      <c r="DB3617" s="5" t="s">
        <v>238</v>
      </c>
      <c r="DC3617" s="5" t="s">
        <v>238</v>
      </c>
      <c r="DD3617" s="5" t="s">
        <v>238</v>
      </c>
      <c r="DE3617" s="8">
        <f>0</f>
        <v>0</v>
      </c>
      <c r="DG3617" s="5" t="s">
        <v>238</v>
      </c>
      <c r="DH3617" s="5" t="s">
        <v>238</v>
      </c>
      <c r="DI3617" s="5" t="s">
        <v>238</v>
      </c>
      <c r="DJ3617" s="5" t="s">
        <v>238</v>
      </c>
      <c r="DK3617" s="5" t="s">
        <v>238</v>
      </c>
      <c r="DL3617" s="5" t="s">
        <v>238</v>
      </c>
      <c r="DM3617" s="8" t="s">
        <v>238</v>
      </c>
      <c r="DN3617" s="5" t="s">
        <v>238</v>
      </c>
      <c r="DO3617" s="5" t="s">
        <v>238</v>
      </c>
      <c r="DP3617" s="5" t="s">
        <v>490</v>
      </c>
      <c r="DQ3617" s="5" t="s">
        <v>490</v>
      </c>
      <c r="DR3617" s="5" t="s">
        <v>238</v>
      </c>
      <c r="DS3617" s="5" t="s">
        <v>238</v>
      </c>
      <c r="DT3617" s="5" t="s">
        <v>500</v>
      </c>
      <c r="DU3617" s="5" t="s">
        <v>3093</v>
      </c>
      <c r="DV3617" s="5" t="s">
        <v>238</v>
      </c>
      <c r="DW3617" s="5" t="s">
        <v>238</v>
      </c>
      <c r="DX3617" s="5" t="s">
        <v>238</v>
      </c>
      <c r="DY3617" s="5" t="s">
        <v>238</v>
      </c>
      <c r="DZ3617" s="5" t="s">
        <v>238</v>
      </c>
      <c r="EA3617" s="5" t="s">
        <v>238</v>
      </c>
      <c r="EB3617" s="5" t="s">
        <v>238</v>
      </c>
      <c r="EC3617" s="5" t="s">
        <v>238</v>
      </c>
      <c r="ED3617" s="5" t="s">
        <v>238</v>
      </c>
      <c r="EE3617" s="5" t="s">
        <v>238</v>
      </c>
      <c r="EF3617" s="5" t="s">
        <v>238</v>
      </c>
      <c r="EG3617" s="5" t="s">
        <v>238</v>
      </c>
      <c r="EH3617" s="5" t="s">
        <v>238</v>
      </c>
      <c r="EI3617" s="5" t="s">
        <v>238</v>
      </c>
      <c r="EJ3617" s="5" t="s">
        <v>238</v>
      </c>
      <c r="EK3617" s="5" t="s">
        <v>238</v>
      </c>
      <c r="EL3617" s="5" t="s">
        <v>238</v>
      </c>
      <c r="EM3617" s="5" t="s">
        <v>238</v>
      </c>
      <c r="EN3617" s="5" t="s">
        <v>238</v>
      </c>
      <c r="EO3617" s="5" t="s">
        <v>238</v>
      </c>
      <c r="EP3617" s="5" t="s">
        <v>238</v>
      </c>
      <c r="EQ3617" s="5" t="s">
        <v>238</v>
      </c>
      <c r="ER3617" s="5" t="s">
        <v>238</v>
      </c>
      <c r="ES3617" s="5" t="s">
        <v>238</v>
      </c>
      <c r="ET3617" s="5" t="s">
        <v>238</v>
      </c>
      <c r="EU3617" s="5" t="s">
        <v>238</v>
      </c>
      <c r="EV3617" s="5" t="s">
        <v>238</v>
      </c>
      <c r="EW3617" s="5" t="s">
        <v>238</v>
      </c>
      <c r="EX3617" s="5" t="s">
        <v>238</v>
      </c>
      <c r="EY3617" s="5" t="s">
        <v>238</v>
      </c>
      <c r="EZ3617" s="5" t="s">
        <v>238</v>
      </c>
      <c r="FA3617" s="5" t="s">
        <v>238</v>
      </c>
      <c r="FB3617" s="5" t="s">
        <v>238</v>
      </c>
      <c r="FC3617" s="5" t="s">
        <v>238</v>
      </c>
      <c r="FD3617" s="5" t="s">
        <v>238</v>
      </c>
      <c r="FE3617" s="5" t="s">
        <v>238</v>
      </c>
      <c r="FF3617" s="5" t="s">
        <v>238</v>
      </c>
      <c r="FG3617" s="5" t="s">
        <v>238</v>
      </c>
      <c r="FH3617" s="5" t="s">
        <v>238</v>
      </c>
      <c r="FI3617" s="5" t="s">
        <v>238</v>
      </c>
      <c r="FJ3617" s="5" t="s">
        <v>238</v>
      </c>
      <c r="FK3617" s="5" t="s">
        <v>238</v>
      </c>
      <c r="FL3617" s="5" t="s">
        <v>238</v>
      </c>
      <c r="FM3617" s="5" t="s">
        <v>238</v>
      </c>
      <c r="FN3617" s="5" t="s">
        <v>238</v>
      </c>
      <c r="FO3617" s="5" t="s">
        <v>238</v>
      </c>
      <c r="FP3617" s="5" t="s">
        <v>238</v>
      </c>
      <c r="FQ3617" s="5" t="s">
        <v>238</v>
      </c>
      <c r="FR3617" s="5" t="s">
        <v>238</v>
      </c>
      <c r="FS3617" s="5" t="s">
        <v>238</v>
      </c>
      <c r="FT3617" s="5" t="s">
        <v>238</v>
      </c>
      <c r="FU3617" s="5" t="s">
        <v>238</v>
      </c>
      <c r="FV3617" s="5" t="s">
        <v>238</v>
      </c>
      <c r="FW3617" s="5" t="s">
        <v>238</v>
      </c>
      <c r="FX3617" s="5" t="s">
        <v>238</v>
      </c>
      <c r="FY3617" s="5" t="s">
        <v>238</v>
      </c>
      <c r="FZ3617" s="5" t="s">
        <v>238</v>
      </c>
      <c r="GA3617" s="5" t="s">
        <v>238</v>
      </c>
      <c r="GB3617" s="5" t="s">
        <v>238</v>
      </c>
      <c r="GC3617" s="5" t="s">
        <v>238</v>
      </c>
      <c r="GD3617" s="5" t="s">
        <v>238</v>
      </c>
      <c r="GE3617" s="5" t="s">
        <v>238</v>
      </c>
      <c r="GF3617" s="5" t="s">
        <v>238</v>
      </c>
      <c r="GG3617" s="5" t="s">
        <v>238</v>
      </c>
      <c r="GH3617" s="5" t="s">
        <v>238</v>
      </c>
      <c r="GI3617" s="5" t="s">
        <v>238</v>
      </c>
      <c r="GJ3617" s="5" t="s">
        <v>238</v>
      </c>
      <c r="GK3617" s="5" t="s">
        <v>238</v>
      </c>
      <c r="GL3617" s="5" t="s">
        <v>238</v>
      </c>
      <c r="GM3617" s="5" t="s">
        <v>238</v>
      </c>
      <c r="GN3617" s="5" t="s">
        <v>238</v>
      </c>
      <c r="GO3617" s="5" t="s">
        <v>238</v>
      </c>
      <c r="GP3617" s="5" t="s">
        <v>238</v>
      </c>
      <c r="GQ3617" s="5" t="s">
        <v>238</v>
      </c>
      <c r="GR3617" s="5" t="s">
        <v>238</v>
      </c>
      <c r="GS3617" s="5" t="s">
        <v>238</v>
      </c>
      <c r="GT3617" s="5" t="s">
        <v>238</v>
      </c>
      <c r="GU3617" s="5" t="s">
        <v>238</v>
      </c>
      <c r="GV3617" s="5" t="s">
        <v>238</v>
      </c>
      <c r="GW3617" s="5" t="s">
        <v>238</v>
      </c>
      <c r="GX3617" s="5" t="s">
        <v>238</v>
      </c>
      <c r="GY3617" s="5" t="s">
        <v>238</v>
      </c>
      <c r="GZ3617" s="5" t="s">
        <v>238</v>
      </c>
      <c r="HA3617" s="5" t="s">
        <v>238</v>
      </c>
      <c r="HB3617" s="5" t="s">
        <v>238</v>
      </c>
      <c r="HC3617" s="5" t="s">
        <v>238</v>
      </c>
      <c r="HD3617" s="5" t="s">
        <v>238</v>
      </c>
      <c r="HE3617" s="5" t="s">
        <v>238</v>
      </c>
      <c r="HF3617" s="5" t="s">
        <v>238</v>
      </c>
      <c r="HG3617" s="5" t="s">
        <v>238</v>
      </c>
      <c r="HH3617" s="5" t="s">
        <v>238</v>
      </c>
      <c r="HI3617" s="5" t="s">
        <v>238</v>
      </c>
      <c r="HJ3617" s="5" t="s">
        <v>238</v>
      </c>
      <c r="HK3617" s="5" t="s">
        <v>238</v>
      </c>
      <c r="HL3617" s="5" t="s">
        <v>238</v>
      </c>
      <c r="HM3617" s="5" t="s">
        <v>264</v>
      </c>
      <c r="HN3617" s="5" t="s">
        <v>238</v>
      </c>
      <c r="HO3617" s="5" t="s">
        <v>238</v>
      </c>
      <c r="HP3617" s="5" t="s">
        <v>238</v>
      </c>
      <c r="HQ3617" s="5" t="s">
        <v>238</v>
      </c>
      <c r="HR3617" s="5" t="s">
        <v>238</v>
      </c>
      <c r="HS3617" s="5" t="s">
        <v>238</v>
      </c>
      <c r="HT3617" s="5" t="s">
        <v>238</v>
      </c>
      <c r="HU3617" s="5" t="s">
        <v>238</v>
      </c>
      <c r="HV3617" s="5" t="s">
        <v>238</v>
      </c>
      <c r="HW3617" s="5" t="s">
        <v>238</v>
      </c>
      <c r="HX3617" s="5" t="s">
        <v>238</v>
      </c>
      <c r="HY3617" s="5" t="s">
        <v>238</v>
      </c>
      <c r="HZ3617" s="5" t="s">
        <v>238</v>
      </c>
      <c r="IA3617" s="5" t="s">
        <v>238</v>
      </c>
      <c r="IB3617" s="5" t="s">
        <v>238</v>
      </c>
      <c r="IC3617" s="5" t="s">
        <v>238</v>
      </c>
      <c r="ID3617" s="5" t="s">
        <v>238</v>
      </c>
    </row>
    <row r="3618" spans="1:238" x14ac:dyDescent="0.4">
      <c r="A3618" s="5">
        <v>9336</v>
      </c>
      <c r="B3618" s="5">
        <v>1</v>
      </c>
      <c r="C3618" s="5">
        <v>1</v>
      </c>
      <c r="D3618" s="5" t="s">
        <v>484</v>
      </c>
      <c r="E3618" s="5" t="s">
        <v>485</v>
      </c>
      <c r="F3618" s="5" t="s">
        <v>248</v>
      </c>
      <c r="G3618" s="5" t="s">
        <v>5266</v>
      </c>
      <c r="H3618" s="6" t="s">
        <v>5266</v>
      </c>
      <c r="I3618" s="8">
        <f>1</f>
        <v>1</v>
      </c>
      <c r="J3618" s="5" t="s">
        <v>499</v>
      </c>
      <c r="K3618" s="8">
        <f>1</f>
        <v>1</v>
      </c>
      <c r="L3618" s="6" t="s">
        <v>242</v>
      </c>
      <c r="M3618" s="5" t="s">
        <v>267</v>
      </c>
      <c r="N3618" s="5" t="s">
        <v>482</v>
      </c>
      <c r="O3618" s="5" t="s">
        <v>238</v>
      </c>
      <c r="P3618" s="5" t="s">
        <v>238</v>
      </c>
      <c r="Q3618" s="5" t="s">
        <v>239</v>
      </c>
      <c r="R3618" s="5" t="s">
        <v>270</v>
      </c>
      <c r="S3618" s="5" t="s">
        <v>238</v>
      </c>
      <c r="T3618" s="5" t="s">
        <v>238</v>
      </c>
      <c r="U3618" s="5" t="s">
        <v>238</v>
      </c>
      <c r="V3618" s="5" t="s">
        <v>238</v>
      </c>
      <c r="W3618" s="6" t="s">
        <v>238</v>
      </c>
      <c r="X3618" s="6" t="s">
        <v>238</v>
      </c>
      <c r="Y3618" s="5" t="s">
        <v>238</v>
      </c>
      <c r="Z3618" s="6" t="s">
        <v>238</v>
      </c>
      <c r="AA3618" s="6" t="s">
        <v>243</v>
      </c>
      <c r="AB3618" s="5" t="s">
        <v>5267</v>
      </c>
      <c r="AC3618" s="5" t="s">
        <v>244</v>
      </c>
      <c r="AD3618" s="5" t="s">
        <v>245</v>
      </c>
      <c r="AE3618" s="5" t="s">
        <v>238</v>
      </c>
      <c r="AF3618" s="5" t="s">
        <v>238</v>
      </c>
      <c r="AG3618" s="5" t="s">
        <v>238</v>
      </c>
      <c r="AH3618" s="5" t="s">
        <v>238</v>
      </c>
      <c r="AI3618" s="5" t="s">
        <v>238</v>
      </c>
      <c r="AJ3618" s="5" t="s">
        <v>238</v>
      </c>
      <c r="AK3618" s="5" t="s">
        <v>238</v>
      </c>
      <c r="AL3618" s="5" t="s">
        <v>238</v>
      </c>
      <c r="AM3618" s="6" t="s">
        <v>238</v>
      </c>
      <c r="AN3618" s="6" t="s">
        <v>238</v>
      </c>
      <c r="AO3618" s="6" t="s">
        <v>238</v>
      </c>
      <c r="AP3618" s="6" t="s">
        <v>238</v>
      </c>
      <c r="AQ3618" s="5" t="s">
        <v>238</v>
      </c>
      <c r="AR3618" s="5" t="s">
        <v>488</v>
      </c>
      <c r="AS3618" s="5" t="s">
        <v>488</v>
      </c>
      <c r="AT3618" s="5" t="s">
        <v>246</v>
      </c>
      <c r="AU3618" s="5" t="s">
        <v>489</v>
      </c>
      <c r="AV3618" s="5" t="s">
        <v>247</v>
      </c>
      <c r="AW3618" s="5" t="s">
        <v>238</v>
      </c>
      <c r="AX3618" s="5" t="s">
        <v>249</v>
      </c>
      <c r="AY3618" s="5" t="s">
        <v>490</v>
      </c>
      <c r="BA3618" s="5" t="s">
        <v>238</v>
      </c>
      <c r="BC3618" s="5" t="s">
        <v>491</v>
      </c>
      <c r="BD3618" s="6" t="s">
        <v>492</v>
      </c>
      <c r="BE3618" s="5" t="s">
        <v>493</v>
      </c>
      <c r="BF3618" s="5" t="s">
        <v>493</v>
      </c>
      <c r="BG3618" s="5" t="s">
        <v>238</v>
      </c>
      <c r="BH3618" s="8">
        <f>1</f>
        <v>1</v>
      </c>
      <c r="BI3618" s="8">
        <f>1</f>
        <v>1</v>
      </c>
      <c r="BJ3618" s="5" t="s">
        <v>253</v>
      </c>
      <c r="BK3618" s="5" t="s">
        <v>254</v>
      </c>
      <c r="BL3618" s="5" t="s">
        <v>238</v>
      </c>
      <c r="BM3618" s="5" t="s">
        <v>238</v>
      </c>
      <c r="BN3618" s="5" t="s">
        <v>238</v>
      </c>
      <c r="BO3618" s="5" t="s">
        <v>238</v>
      </c>
      <c r="BP3618" s="5" t="s">
        <v>238</v>
      </c>
      <c r="BQ3618" s="5" t="s">
        <v>238</v>
      </c>
      <c r="BR3618" s="5" t="s">
        <v>238</v>
      </c>
      <c r="BS3618" s="5" t="s">
        <v>238</v>
      </c>
      <c r="BT3618" s="6" t="s">
        <v>238</v>
      </c>
      <c r="BU3618" s="5" t="s">
        <v>238</v>
      </c>
      <c r="BV3618" s="5" t="s">
        <v>238</v>
      </c>
      <c r="BW3618" s="5" t="s">
        <v>238</v>
      </c>
      <c r="BX3618" s="5" t="s">
        <v>254</v>
      </c>
      <c r="BY3618" s="5" t="s">
        <v>238</v>
      </c>
      <c r="BZ3618" s="5" t="s">
        <v>238</v>
      </c>
      <c r="CA3618" s="5" t="s">
        <v>238</v>
      </c>
      <c r="CB3618" s="5" t="s">
        <v>238</v>
      </c>
      <c r="CC3618" s="5" t="s">
        <v>238</v>
      </c>
      <c r="CD3618" s="5" t="s">
        <v>273</v>
      </c>
      <c r="CE3618" s="5" t="s">
        <v>256</v>
      </c>
      <c r="CF3618" s="5" t="s">
        <v>238</v>
      </c>
      <c r="CH3618" s="5" t="s">
        <v>494</v>
      </c>
      <c r="CI3618" s="6" t="s">
        <v>257</v>
      </c>
      <c r="CJ3618" s="5" t="s">
        <v>495</v>
      </c>
      <c r="CK3618" s="5" t="s">
        <v>258</v>
      </c>
      <c r="CL3618" s="5" t="s">
        <v>496</v>
      </c>
      <c r="CM3618" s="5" t="s">
        <v>238</v>
      </c>
      <c r="CN3618" s="5">
        <v>0</v>
      </c>
      <c r="CO3618" s="5" t="s">
        <v>497</v>
      </c>
      <c r="CP3618" s="5" t="s">
        <v>260</v>
      </c>
      <c r="CQ3618" s="5" t="s">
        <v>260</v>
      </c>
      <c r="CR3618" s="5" t="s">
        <v>261</v>
      </c>
      <c r="CS3618" s="5" t="s">
        <v>498</v>
      </c>
      <c r="CT3618" s="7">
        <f>1</f>
        <v>1</v>
      </c>
      <c r="CU3618" s="8">
        <f>1</f>
        <v>1</v>
      </c>
      <c r="CV3618" s="8">
        <f>0</f>
        <v>0</v>
      </c>
      <c r="CX3618" s="8">
        <f>1</f>
        <v>1</v>
      </c>
      <c r="CY3618" s="8">
        <f>1</f>
        <v>1</v>
      </c>
      <c r="CZ3618" s="8" t="s">
        <v>238</v>
      </c>
      <c r="DA3618" s="5" t="s">
        <v>238</v>
      </c>
      <c r="DB3618" s="5" t="s">
        <v>238</v>
      </c>
      <c r="DC3618" s="5" t="s">
        <v>238</v>
      </c>
      <c r="DD3618" s="5" t="s">
        <v>238</v>
      </c>
      <c r="DE3618" s="8">
        <f>0</f>
        <v>0</v>
      </c>
      <c r="DG3618" s="5" t="s">
        <v>238</v>
      </c>
      <c r="DH3618" s="5" t="s">
        <v>238</v>
      </c>
      <c r="DI3618" s="5" t="s">
        <v>238</v>
      </c>
      <c r="DJ3618" s="5" t="s">
        <v>238</v>
      </c>
      <c r="DK3618" s="5" t="s">
        <v>238</v>
      </c>
      <c r="DL3618" s="5" t="s">
        <v>238</v>
      </c>
      <c r="DM3618" s="8" t="s">
        <v>238</v>
      </c>
      <c r="DN3618" s="5" t="s">
        <v>238</v>
      </c>
      <c r="DO3618" s="5" t="s">
        <v>238</v>
      </c>
      <c r="DP3618" s="5" t="s">
        <v>490</v>
      </c>
      <c r="DQ3618" s="5" t="s">
        <v>490</v>
      </c>
      <c r="DR3618" s="5" t="s">
        <v>238</v>
      </c>
      <c r="DS3618" s="5" t="s">
        <v>238</v>
      </c>
      <c r="DT3618" s="5" t="s">
        <v>500</v>
      </c>
      <c r="DU3618" s="5" t="s">
        <v>3154</v>
      </c>
      <c r="DV3618" s="5" t="s">
        <v>238</v>
      </c>
      <c r="DW3618" s="5" t="s">
        <v>238</v>
      </c>
      <c r="DX3618" s="5" t="s">
        <v>238</v>
      </c>
      <c r="DY3618" s="5" t="s">
        <v>238</v>
      </c>
      <c r="DZ3618" s="5" t="s">
        <v>238</v>
      </c>
      <c r="EA3618" s="5" t="s">
        <v>238</v>
      </c>
      <c r="EB3618" s="5" t="s">
        <v>238</v>
      </c>
      <c r="EC3618" s="5" t="s">
        <v>238</v>
      </c>
      <c r="ED3618" s="5" t="s">
        <v>238</v>
      </c>
      <c r="EE3618" s="5" t="s">
        <v>238</v>
      </c>
      <c r="EF3618" s="5" t="s">
        <v>238</v>
      </c>
      <c r="EG3618" s="5" t="s">
        <v>238</v>
      </c>
      <c r="EH3618" s="5" t="s">
        <v>238</v>
      </c>
      <c r="EI3618" s="5" t="s">
        <v>238</v>
      </c>
      <c r="EJ3618" s="5" t="s">
        <v>238</v>
      </c>
      <c r="EK3618" s="5" t="s">
        <v>238</v>
      </c>
      <c r="EL3618" s="5" t="s">
        <v>238</v>
      </c>
      <c r="EM3618" s="5" t="s">
        <v>238</v>
      </c>
      <c r="EN3618" s="5" t="s">
        <v>238</v>
      </c>
      <c r="EO3618" s="5" t="s">
        <v>238</v>
      </c>
      <c r="EP3618" s="5" t="s">
        <v>238</v>
      </c>
      <c r="EQ3618" s="5" t="s">
        <v>238</v>
      </c>
      <c r="ER3618" s="5" t="s">
        <v>238</v>
      </c>
      <c r="ES3618" s="5" t="s">
        <v>238</v>
      </c>
      <c r="ET3618" s="5" t="s">
        <v>238</v>
      </c>
      <c r="EU3618" s="5" t="s">
        <v>238</v>
      </c>
      <c r="EV3618" s="5" t="s">
        <v>238</v>
      </c>
      <c r="EW3618" s="5" t="s">
        <v>238</v>
      </c>
      <c r="EX3618" s="5" t="s">
        <v>238</v>
      </c>
      <c r="EY3618" s="5" t="s">
        <v>238</v>
      </c>
      <c r="EZ3618" s="5" t="s">
        <v>238</v>
      </c>
      <c r="FA3618" s="5" t="s">
        <v>238</v>
      </c>
      <c r="FB3618" s="5" t="s">
        <v>238</v>
      </c>
      <c r="FC3618" s="5" t="s">
        <v>238</v>
      </c>
      <c r="FD3618" s="5" t="s">
        <v>238</v>
      </c>
      <c r="FE3618" s="5" t="s">
        <v>238</v>
      </c>
      <c r="FF3618" s="5" t="s">
        <v>238</v>
      </c>
      <c r="FG3618" s="5" t="s">
        <v>238</v>
      </c>
      <c r="FH3618" s="5" t="s">
        <v>238</v>
      </c>
      <c r="FI3618" s="5" t="s">
        <v>238</v>
      </c>
      <c r="FJ3618" s="5" t="s">
        <v>238</v>
      </c>
      <c r="FK3618" s="5" t="s">
        <v>238</v>
      </c>
      <c r="FL3618" s="5" t="s">
        <v>238</v>
      </c>
      <c r="FM3618" s="5" t="s">
        <v>238</v>
      </c>
      <c r="FN3618" s="5" t="s">
        <v>238</v>
      </c>
      <c r="FO3618" s="5" t="s">
        <v>238</v>
      </c>
      <c r="FP3618" s="5" t="s">
        <v>238</v>
      </c>
      <c r="FQ3618" s="5" t="s">
        <v>238</v>
      </c>
      <c r="FR3618" s="5" t="s">
        <v>238</v>
      </c>
      <c r="FS3618" s="5" t="s">
        <v>238</v>
      </c>
      <c r="FT3618" s="5" t="s">
        <v>238</v>
      </c>
      <c r="FU3618" s="5" t="s">
        <v>238</v>
      </c>
      <c r="FV3618" s="5" t="s">
        <v>238</v>
      </c>
      <c r="FW3618" s="5" t="s">
        <v>238</v>
      </c>
      <c r="FX3618" s="5" t="s">
        <v>238</v>
      </c>
      <c r="FY3618" s="5" t="s">
        <v>238</v>
      </c>
      <c r="FZ3618" s="5" t="s">
        <v>238</v>
      </c>
      <c r="GA3618" s="5" t="s">
        <v>238</v>
      </c>
      <c r="GB3618" s="5" t="s">
        <v>238</v>
      </c>
      <c r="GC3618" s="5" t="s">
        <v>238</v>
      </c>
      <c r="GD3618" s="5" t="s">
        <v>238</v>
      </c>
      <c r="GE3618" s="5" t="s">
        <v>238</v>
      </c>
      <c r="GF3618" s="5" t="s">
        <v>238</v>
      </c>
      <c r="GG3618" s="5" t="s">
        <v>238</v>
      </c>
      <c r="GH3618" s="5" t="s">
        <v>238</v>
      </c>
      <c r="GI3618" s="5" t="s">
        <v>238</v>
      </c>
      <c r="GJ3618" s="5" t="s">
        <v>238</v>
      </c>
      <c r="GK3618" s="5" t="s">
        <v>238</v>
      </c>
      <c r="GL3618" s="5" t="s">
        <v>238</v>
      </c>
      <c r="GM3618" s="5" t="s">
        <v>238</v>
      </c>
      <c r="GN3618" s="5" t="s">
        <v>238</v>
      </c>
      <c r="GO3618" s="5" t="s">
        <v>238</v>
      </c>
      <c r="GP3618" s="5" t="s">
        <v>238</v>
      </c>
      <c r="GQ3618" s="5" t="s">
        <v>238</v>
      </c>
      <c r="GR3618" s="5" t="s">
        <v>238</v>
      </c>
      <c r="GS3618" s="5" t="s">
        <v>238</v>
      </c>
      <c r="GT3618" s="5" t="s">
        <v>238</v>
      </c>
      <c r="GU3618" s="5" t="s">
        <v>238</v>
      </c>
      <c r="GV3618" s="5" t="s">
        <v>238</v>
      </c>
      <c r="GW3618" s="5" t="s">
        <v>238</v>
      </c>
      <c r="GX3618" s="5" t="s">
        <v>238</v>
      </c>
      <c r="GY3618" s="5" t="s">
        <v>238</v>
      </c>
      <c r="GZ3618" s="5" t="s">
        <v>238</v>
      </c>
      <c r="HA3618" s="5" t="s">
        <v>238</v>
      </c>
      <c r="HB3618" s="5" t="s">
        <v>238</v>
      </c>
      <c r="HC3618" s="5" t="s">
        <v>238</v>
      </c>
      <c r="HD3618" s="5" t="s">
        <v>238</v>
      </c>
      <c r="HE3618" s="5" t="s">
        <v>238</v>
      </c>
      <c r="HF3618" s="5" t="s">
        <v>238</v>
      </c>
      <c r="HG3618" s="5" t="s">
        <v>238</v>
      </c>
      <c r="HH3618" s="5" t="s">
        <v>238</v>
      </c>
      <c r="HI3618" s="5" t="s">
        <v>238</v>
      </c>
      <c r="HJ3618" s="5" t="s">
        <v>238</v>
      </c>
      <c r="HK3618" s="5" t="s">
        <v>238</v>
      </c>
      <c r="HL3618" s="5" t="s">
        <v>238</v>
      </c>
      <c r="HM3618" s="5" t="s">
        <v>264</v>
      </c>
      <c r="HN3618" s="5" t="s">
        <v>238</v>
      </c>
      <c r="HO3618" s="5" t="s">
        <v>238</v>
      </c>
      <c r="HP3618" s="5" t="s">
        <v>238</v>
      </c>
      <c r="HQ3618" s="5" t="s">
        <v>238</v>
      </c>
      <c r="HR3618" s="5" t="s">
        <v>238</v>
      </c>
      <c r="HS3618" s="5" t="s">
        <v>238</v>
      </c>
      <c r="HT3618" s="5" t="s">
        <v>238</v>
      </c>
      <c r="HU3618" s="5" t="s">
        <v>238</v>
      </c>
      <c r="HV3618" s="5" t="s">
        <v>238</v>
      </c>
      <c r="HW3618" s="5" t="s">
        <v>238</v>
      </c>
      <c r="HX3618" s="5" t="s">
        <v>238</v>
      </c>
      <c r="HY3618" s="5" t="s">
        <v>238</v>
      </c>
      <c r="HZ3618" s="5" t="s">
        <v>238</v>
      </c>
      <c r="IA3618" s="5" t="s">
        <v>238</v>
      </c>
      <c r="IB3618" s="5" t="s">
        <v>238</v>
      </c>
      <c r="IC3618" s="5" t="s">
        <v>238</v>
      </c>
      <c r="ID3618" s="5" t="s">
        <v>238</v>
      </c>
    </row>
    <row r="3619" spans="1:238" x14ac:dyDescent="0.4">
      <c r="A3619" s="5">
        <v>9337</v>
      </c>
      <c r="B3619" s="5">
        <v>1</v>
      </c>
      <c r="C3619" s="5">
        <v>1</v>
      </c>
      <c r="D3619" s="5" t="s">
        <v>484</v>
      </c>
      <c r="E3619" s="5" t="s">
        <v>485</v>
      </c>
      <c r="F3619" s="5" t="s">
        <v>248</v>
      </c>
      <c r="G3619" s="5" t="s">
        <v>5137</v>
      </c>
      <c r="H3619" s="6" t="s">
        <v>5137</v>
      </c>
      <c r="I3619" s="8">
        <f>1</f>
        <v>1</v>
      </c>
      <c r="J3619" s="5" t="s">
        <v>499</v>
      </c>
      <c r="K3619" s="8">
        <f>1</f>
        <v>1</v>
      </c>
      <c r="L3619" s="6" t="s">
        <v>242</v>
      </c>
      <c r="M3619" s="5" t="s">
        <v>267</v>
      </c>
      <c r="N3619" s="5" t="s">
        <v>482</v>
      </c>
      <c r="O3619" s="5" t="s">
        <v>238</v>
      </c>
      <c r="P3619" s="5" t="s">
        <v>238</v>
      </c>
      <c r="Q3619" s="5" t="s">
        <v>239</v>
      </c>
      <c r="R3619" s="5" t="s">
        <v>270</v>
      </c>
      <c r="S3619" s="5" t="s">
        <v>238</v>
      </c>
      <c r="T3619" s="5" t="s">
        <v>238</v>
      </c>
      <c r="U3619" s="5" t="s">
        <v>238</v>
      </c>
      <c r="V3619" s="5" t="s">
        <v>238</v>
      </c>
      <c r="W3619" s="6" t="s">
        <v>238</v>
      </c>
      <c r="X3619" s="6" t="s">
        <v>238</v>
      </c>
      <c r="Y3619" s="5" t="s">
        <v>238</v>
      </c>
      <c r="Z3619" s="6" t="s">
        <v>238</v>
      </c>
      <c r="AA3619" s="6" t="s">
        <v>243</v>
      </c>
      <c r="AB3619" s="5" t="s">
        <v>5138</v>
      </c>
      <c r="AC3619" s="5" t="s">
        <v>244</v>
      </c>
      <c r="AD3619" s="5" t="s">
        <v>245</v>
      </c>
      <c r="AE3619" s="5" t="s">
        <v>238</v>
      </c>
      <c r="AF3619" s="5" t="s">
        <v>238</v>
      </c>
      <c r="AG3619" s="5" t="s">
        <v>238</v>
      </c>
      <c r="AH3619" s="5" t="s">
        <v>238</v>
      </c>
      <c r="AI3619" s="5" t="s">
        <v>238</v>
      </c>
      <c r="AJ3619" s="5" t="s">
        <v>238</v>
      </c>
      <c r="AK3619" s="5" t="s">
        <v>238</v>
      </c>
      <c r="AL3619" s="5" t="s">
        <v>238</v>
      </c>
      <c r="AM3619" s="6" t="s">
        <v>238</v>
      </c>
      <c r="AN3619" s="6" t="s">
        <v>238</v>
      </c>
      <c r="AO3619" s="6" t="s">
        <v>238</v>
      </c>
      <c r="AP3619" s="6" t="s">
        <v>238</v>
      </c>
      <c r="AQ3619" s="5" t="s">
        <v>238</v>
      </c>
      <c r="AR3619" s="5" t="s">
        <v>488</v>
      </c>
      <c r="AS3619" s="5" t="s">
        <v>488</v>
      </c>
      <c r="AT3619" s="5" t="s">
        <v>246</v>
      </c>
      <c r="AU3619" s="5" t="s">
        <v>489</v>
      </c>
      <c r="AV3619" s="5" t="s">
        <v>247</v>
      </c>
      <c r="AW3619" s="5" t="s">
        <v>238</v>
      </c>
      <c r="AX3619" s="5" t="s">
        <v>249</v>
      </c>
      <c r="AY3619" s="5" t="s">
        <v>490</v>
      </c>
      <c r="BA3619" s="5" t="s">
        <v>238</v>
      </c>
      <c r="BC3619" s="5" t="s">
        <v>491</v>
      </c>
      <c r="BD3619" s="6" t="s">
        <v>492</v>
      </c>
      <c r="BE3619" s="5" t="s">
        <v>493</v>
      </c>
      <c r="BF3619" s="5" t="s">
        <v>493</v>
      </c>
      <c r="BG3619" s="5" t="s">
        <v>238</v>
      </c>
      <c r="BH3619" s="8">
        <f>1</f>
        <v>1</v>
      </c>
      <c r="BI3619" s="8">
        <f>1</f>
        <v>1</v>
      </c>
      <c r="BJ3619" s="5" t="s">
        <v>253</v>
      </c>
      <c r="BK3619" s="5" t="s">
        <v>254</v>
      </c>
      <c r="BL3619" s="5" t="s">
        <v>238</v>
      </c>
      <c r="BM3619" s="5" t="s">
        <v>238</v>
      </c>
      <c r="BN3619" s="5" t="s">
        <v>238</v>
      </c>
      <c r="BO3619" s="5" t="s">
        <v>238</v>
      </c>
      <c r="BP3619" s="5" t="s">
        <v>238</v>
      </c>
      <c r="BQ3619" s="5" t="s">
        <v>238</v>
      </c>
      <c r="BR3619" s="5" t="s">
        <v>238</v>
      </c>
      <c r="BS3619" s="5" t="s">
        <v>238</v>
      </c>
      <c r="BT3619" s="6" t="s">
        <v>238</v>
      </c>
      <c r="BU3619" s="5" t="s">
        <v>238</v>
      </c>
      <c r="BV3619" s="5" t="s">
        <v>238</v>
      </c>
      <c r="BW3619" s="5" t="s">
        <v>238</v>
      </c>
      <c r="BX3619" s="5" t="s">
        <v>254</v>
      </c>
      <c r="BY3619" s="5" t="s">
        <v>238</v>
      </c>
      <c r="BZ3619" s="5" t="s">
        <v>238</v>
      </c>
      <c r="CA3619" s="5" t="s">
        <v>238</v>
      </c>
      <c r="CB3619" s="5" t="s">
        <v>238</v>
      </c>
      <c r="CC3619" s="5" t="s">
        <v>238</v>
      </c>
      <c r="CD3619" s="5" t="s">
        <v>273</v>
      </c>
      <c r="CE3619" s="5" t="s">
        <v>256</v>
      </c>
      <c r="CF3619" s="5" t="s">
        <v>238</v>
      </c>
      <c r="CH3619" s="5" t="s">
        <v>494</v>
      </c>
      <c r="CI3619" s="6" t="s">
        <v>257</v>
      </c>
      <c r="CJ3619" s="5" t="s">
        <v>495</v>
      </c>
      <c r="CK3619" s="5" t="s">
        <v>258</v>
      </c>
      <c r="CL3619" s="5" t="s">
        <v>496</v>
      </c>
      <c r="CM3619" s="5" t="s">
        <v>238</v>
      </c>
      <c r="CN3619" s="5">
        <v>0</v>
      </c>
      <c r="CO3619" s="5" t="s">
        <v>497</v>
      </c>
      <c r="CP3619" s="5" t="s">
        <v>260</v>
      </c>
      <c r="CQ3619" s="5" t="s">
        <v>260</v>
      </c>
      <c r="CR3619" s="5" t="s">
        <v>261</v>
      </c>
      <c r="CS3619" s="5" t="s">
        <v>498</v>
      </c>
      <c r="CT3619" s="7">
        <f>1</f>
        <v>1</v>
      </c>
      <c r="CU3619" s="8">
        <f>1</f>
        <v>1</v>
      </c>
      <c r="CV3619" s="8">
        <f>0</f>
        <v>0</v>
      </c>
      <c r="CX3619" s="8">
        <f>1</f>
        <v>1</v>
      </c>
      <c r="CY3619" s="8">
        <f>1</f>
        <v>1</v>
      </c>
      <c r="CZ3619" s="8" t="s">
        <v>238</v>
      </c>
      <c r="DA3619" s="5" t="s">
        <v>238</v>
      </c>
      <c r="DB3619" s="5" t="s">
        <v>238</v>
      </c>
      <c r="DC3619" s="5" t="s">
        <v>238</v>
      </c>
      <c r="DD3619" s="5" t="s">
        <v>238</v>
      </c>
      <c r="DE3619" s="8">
        <f>0</f>
        <v>0</v>
      </c>
      <c r="DG3619" s="5" t="s">
        <v>238</v>
      </c>
      <c r="DH3619" s="5" t="s">
        <v>238</v>
      </c>
      <c r="DI3619" s="5" t="s">
        <v>238</v>
      </c>
      <c r="DJ3619" s="5" t="s">
        <v>238</v>
      </c>
      <c r="DK3619" s="5" t="s">
        <v>238</v>
      </c>
      <c r="DL3619" s="5" t="s">
        <v>238</v>
      </c>
      <c r="DM3619" s="8" t="s">
        <v>238</v>
      </c>
      <c r="DN3619" s="5" t="s">
        <v>238</v>
      </c>
      <c r="DO3619" s="5" t="s">
        <v>238</v>
      </c>
      <c r="DP3619" s="5" t="s">
        <v>490</v>
      </c>
      <c r="DQ3619" s="5" t="s">
        <v>490</v>
      </c>
      <c r="DR3619" s="5" t="s">
        <v>238</v>
      </c>
      <c r="DS3619" s="5" t="s">
        <v>238</v>
      </c>
      <c r="DT3619" s="5" t="s">
        <v>500</v>
      </c>
      <c r="DU3619" s="5" t="s">
        <v>3142</v>
      </c>
      <c r="DV3619" s="5" t="s">
        <v>238</v>
      </c>
      <c r="DW3619" s="5" t="s">
        <v>238</v>
      </c>
      <c r="DX3619" s="5" t="s">
        <v>238</v>
      </c>
      <c r="DY3619" s="5" t="s">
        <v>238</v>
      </c>
      <c r="DZ3619" s="5" t="s">
        <v>238</v>
      </c>
      <c r="EA3619" s="5" t="s">
        <v>238</v>
      </c>
      <c r="EB3619" s="5" t="s">
        <v>238</v>
      </c>
      <c r="EC3619" s="5" t="s">
        <v>238</v>
      </c>
      <c r="ED3619" s="5" t="s">
        <v>238</v>
      </c>
      <c r="EE3619" s="5" t="s">
        <v>238</v>
      </c>
      <c r="EF3619" s="5" t="s">
        <v>238</v>
      </c>
      <c r="EG3619" s="5" t="s">
        <v>238</v>
      </c>
      <c r="EH3619" s="5" t="s">
        <v>238</v>
      </c>
      <c r="EI3619" s="5" t="s">
        <v>238</v>
      </c>
      <c r="EJ3619" s="5" t="s">
        <v>238</v>
      </c>
      <c r="EK3619" s="5" t="s">
        <v>238</v>
      </c>
      <c r="EL3619" s="5" t="s">
        <v>238</v>
      </c>
      <c r="EM3619" s="5" t="s">
        <v>238</v>
      </c>
      <c r="EN3619" s="5" t="s">
        <v>238</v>
      </c>
      <c r="EO3619" s="5" t="s">
        <v>238</v>
      </c>
      <c r="EP3619" s="5" t="s">
        <v>238</v>
      </c>
      <c r="EQ3619" s="5" t="s">
        <v>238</v>
      </c>
      <c r="ER3619" s="5" t="s">
        <v>238</v>
      </c>
      <c r="ES3619" s="5" t="s">
        <v>238</v>
      </c>
      <c r="ET3619" s="5" t="s">
        <v>238</v>
      </c>
      <c r="EU3619" s="5" t="s">
        <v>238</v>
      </c>
      <c r="EV3619" s="5" t="s">
        <v>238</v>
      </c>
      <c r="EW3619" s="5" t="s">
        <v>238</v>
      </c>
      <c r="EX3619" s="5" t="s">
        <v>238</v>
      </c>
      <c r="EY3619" s="5" t="s">
        <v>238</v>
      </c>
      <c r="EZ3619" s="5" t="s">
        <v>238</v>
      </c>
      <c r="FA3619" s="5" t="s">
        <v>238</v>
      </c>
      <c r="FB3619" s="5" t="s">
        <v>238</v>
      </c>
      <c r="FC3619" s="5" t="s">
        <v>238</v>
      </c>
      <c r="FD3619" s="5" t="s">
        <v>238</v>
      </c>
      <c r="FE3619" s="5" t="s">
        <v>238</v>
      </c>
      <c r="FF3619" s="5" t="s">
        <v>238</v>
      </c>
      <c r="FG3619" s="5" t="s">
        <v>238</v>
      </c>
      <c r="FH3619" s="5" t="s">
        <v>238</v>
      </c>
      <c r="FI3619" s="5" t="s">
        <v>238</v>
      </c>
      <c r="FJ3619" s="5" t="s">
        <v>238</v>
      </c>
      <c r="FK3619" s="5" t="s">
        <v>238</v>
      </c>
      <c r="FL3619" s="5" t="s">
        <v>238</v>
      </c>
      <c r="FM3619" s="5" t="s">
        <v>238</v>
      </c>
      <c r="FN3619" s="5" t="s">
        <v>238</v>
      </c>
      <c r="FO3619" s="5" t="s">
        <v>238</v>
      </c>
      <c r="FP3619" s="5" t="s">
        <v>238</v>
      </c>
      <c r="FQ3619" s="5" t="s">
        <v>238</v>
      </c>
      <c r="FR3619" s="5" t="s">
        <v>238</v>
      </c>
      <c r="FS3619" s="5" t="s">
        <v>238</v>
      </c>
      <c r="FT3619" s="5" t="s">
        <v>238</v>
      </c>
      <c r="FU3619" s="5" t="s">
        <v>238</v>
      </c>
      <c r="FV3619" s="5" t="s">
        <v>238</v>
      </c>
      <c r="FW3619" s="5" t="s">
        <v>238</v>
      </c>
      <c r="FX3619" s="5" t="s">
        <v>238</v>
      </c>
      <c r="FY3619" s="5" t="s">
        <v>238</v>
      </c>
      <c r="FZ3619" s="5" t="s">
        <v>238</v>
      </c>
      <c r="GA3619" s="5" t="s">
        <v>238</v>
      </c>
      <c r="GB3619" s="5" t="s">
        <v>238</v>
      </c>
      <c r="GC3619" s="5" t="s">
        <v>238</v>
      </c>
      <c r="GD3619" s="5" t="s">
        <v>238</v>
      </c>
      <c r="GE3619" s="5" t="s">
        <v>238</v>
      </c>
      <c r="GF3619" s="5" t="s">
        <v>238</v>
      </c>
      <c r="GG3619" s="5" t="s">
        <v>238</v>
      </c>
      <c r="GH3619" s="5" t="s">
        <v>238</v>
      </c>
      <c r="GI3619" s="5" t="s">
        <v>238</v>
      </c>
      <c r="GJ3619" s="5" t="s">
        <v>238</v>
      </c>
      <c r="GK3619" s="5" t="s">
        <v>238</v>
      </c>
      <c r="GL3619" s="5" t="s">
        <v>238</v>
      </c>
      <c r="GM3619" s="5" t="s">
        <v>238</v>
      </c>
      <c r="GN3619" s="5" t="s">
        <v>238</v>
      </c>
      <c r="GO3619" s="5" t="s">
        <v>238</v>
      </c>
      <c r="GP3619" s="5" t="s">
        <v>238</v>
      </c>
      <c r="GQ3619" s="5" t="s">
        <v>238</v>
      </c>
      <c r="GR3619" s="5" t="s">
        <v>238</v>
      </c>
      <c r="GS3619" s="5" t="s">
        <v>238</v>
      </c>
      <c r="GT3619" s="5" t="s">
        <v>238</v>
      </c>
      <c r="GU3619" s="5" t="s">
        <v>238</v>
      </c>
      <c r="GV3619" s="5" t="s">
        <v>238</v>
      </c>
      <c r="GW3619" s="5" t="s">
        <v>238</v>
      </c>
      <c r="GX3619" s="5" t="s">
        <v>238</v>
      </c>
      <c r="GY3619" s="5" t="s">
        <v>238</v>
      </c>
      <c r="GZ3619" s="5" t="s">
        <v>238</v>
      </c>
      <c r="HA3619" s="5" t="s">
        <v>238</v>
      </c>
      <c r="HB3619" s="5" t="s">
        <v>238</v>
      </c>
      <c r="HC3619" s="5" t="s">
        <v>238</v>
      </c>
      <c r="HD3619" s="5" t="s">
        <v>238</v>
      </c>
      <c r="HE3619" s="5" t="s">
        <v>238</v>
      </c>
      <c r="HF3619" s="5" t="s">
        <v>238</v>
      </c>
      <c r="HG3619" s="5" t="s">
        <v>238</v>
      </c>
      <c r="HH3619" s="5" t="s">
        <v>238</v>
      </c>
      <c r="HI3619" s="5" t="s">
        <v>238</v>
      </c>
      <c r="HJ3619" s="5" t="s">
        <v>238</v>
      </c>
      <c r="HK3619" s="5" t="s">
        <v>238</v>
      </c>
      <c r="HL3619" s="5" t="s">
        <v>238</v>
      </c>
      <c r="HM3619" s="5" t="s">
        <v>264</v>
      </c>
      <c r="HN3619" s="5" t="s">
        <v>238</v>
      </c>
      <c r="HO3619" s="5" t="s">
        <v>238</v>
      </c>
      <c r="HP3619" s="5" t="s">
        <v>238</v>
      </c>
      <c r="HQ3619" s="5" t="s">
        <v>238</v>
      </c>
      <c r="HR3619" s="5" t="s">
        <v>238</v>
      </c>
      <c r="HS3619" s="5" t="s">
        <v>238</v>
      </c>
      <c r="HT3619" s="5" t="s">
        <v>238</v>
      </c>
      <c r="HU3619" s="5" t="s">
        <v>238</v>
      </c>
      <c r="HV3619" s="5" t="s">
        <v>238</v>
      </c>
      <c r="HW3619" s="5" t="s">
        <v>238</v>
      </c>
      <c r="HX3619" s="5" t="s">
        <v>238</v>
      </c>
      <c r="HY3619" s="5" t="s">
        <v>238</v>
      </c>
      <c r="HZ3619" s="5" t="s">
        <v>238</v>
      </c>
      <c r="IA3619" s="5" t="s">
        <v>238</v>
      </c>
      <c r="IB3619" s="5" t="s">
        <v>238</v>
      </c>
      <c r="IC3619" s="5" t="s">
        <v>238</v>
      </c>
      <c r="ID3619" s="5" t="s">
        <v>238</v>
      </c>
    </row>
    <row r="3620" spans="1:238" x14ac:dyDescent="0.4">
      <c r="A3620" s="5">
        <v>9338</v>
      </c>
      <c r="B3620" s="5">
        <v>1</v>
      </c>
      <c r="C3620" s="5">
        <v>1</v>
      </c>
      <c r="D3620" s="5" t="s">
        <v>484</v>
      </c>
      <c r="E3620" s="5" t="s">
        <v>485</v>
      </c>
      <c r="F3620" s="5" t="s">
        <v>248</v>
      </c>
      <c r="G3620" s="5" t="s">
        <v>4743</v>
      </c>
      <c r="H3620" s="6" t="s">
        <v>4743</v>
      </c>
      <c r="I3620" s="8">
        <f>1</f>
        <v>1</v>
      </c>
      <c r="J3620" s="5" t="s">
        <v>499</v>
      </c>
      <c r="K3620" s="8">
        <f>1</f>
        <v>1</v>
      </c>
      <c r="L3620" s="6" t="s">
        <v>242</v>
      </c>
      <c r="M3620" s="5" t="s">
        <v>267</v>
      </c>
      <c r="N3620" s="5" t="s">
        <v>482</v>
      </c>
      <c r="O3620" s="5" t="s">
        <v>238</v>
      </c>
      <c r="P3620" s="5" t="s">
        <v>238</v>
      </c>
      <c r="Q3620" s="5" t="s">
        <v>239</v>
      </c>
      <c r="R3620" s="5" t="s">
        <v>270</v>
      </c>
      <c r="S3620" s="5" t="s">
        <v>238</v>
      </c>
      <c r="T3620" s="5" t="s">
        <v>238</v>
      </c>
      <c r="U3620" s="5" t="s">
        <v>238</v>
      </c>
      <c r="V3620" s="5" t="s">
        <v>238</v>
      </c>
      <c r="W3620" s="6" t="s">
        <v>238</v>
      </c>
      <c r="X3620" s="6" t="s">
        <v>238</v>
      </c>
      <c r="Y3620" s="5" t="s">
        <v>238</v>
      </c>
      <c r="Z3620" s="6" t="s">
        <v>238</v>
      </c>
      <c r="AA3620" s="6" t="s">
        <v>243</v>
      </c>
      <c r="AB3620" s="5" t="s">
        <v>4744</v>
      </c>
      <c r="AC3620" s="5" t="s">
        <v>244</v>
      </c>
      <c r="AD3620" s="5" t="s">
        <v>245</v>
      </c>
      <c r="AE3620" s="5" t="s">
        <v>238</v>
      </c>
      <c r="AF3620" s="5" t="s">
        <v>238</v>
      </c>
      <c r="AG3620" s="5" t="s">
        <v>238</v>
      </c>
      <c r="AH3620" s="5" t="s">
        <v>238</v>
      </c>
      <c r="AI3620" s="5" t="s">
        <v>238</v>
      </c>
      <c r="AJ3620" s="5" t="s">
        <v>238</v>
      </c>
      <c r="AK3620" s="5" t="s">
        <v>238</v>
      </c>
      <c r="AL3620" s="5" t="s">
        <v>238</v>
      </c>
      <c r="AM3620" s="6" t="s">
        <v>238</v>
      </c>
      <c r="AN3620" s="6" t="s">
        <v>238</v>
      </c>
      <c r="AO3620" s="6" t="s">
        <v>238</v>
      </c>
      <c r="AP3620" s="6" t="s">
        <v>238</v>
      </c>
      <c r="AQ3620" s="5" t="s">
        <v>238</v>
      </c>
      <c r="AR3620" s="5" t="s">
        <v>488</v>
      </c>
      <c r="AS3620" s="5" t="s">
        <v>488</v>
      </c>
      <c r="AT3620" s="5" t="s">
        <v>246</v>
      </c>
      <c r="AU3620" s="5" t="s">
        <v>489</v>
      </c>
      <c r="AV3620" s="5" t="s">
        <v>247</v>
      </c>
      <c r="AW3620" s="5" t="s">
        <v>238</v>
      </c>
      <c r="AX3620" s="5" t="s">
        <v>249</v>
      </c>
      <c r="AY3620" s="5" t="s">
        <v>490</v>
      </c>
      <c r="BA3620" s="5" t="s">
        <v>238</v>
      </c>
      <c r="BC3620" s="5" t="s">
        <v>491</v>
      </c>
      <c r="BD3620" s="6" t="s">
        <v>492</v>
      </c>
      <c r="BE3620" s="5" t="s">
        <v>493</v>
      </c>
      <c r="BF3620" s="5" t="s">
        <v>493</v>
      </c>
      <c r="BG3620" s="5" t="s">
        <v>238</v>
      </c>
      <c r="BH3620" s="8">
        <f>1</f>
        <v>1</v>
      </c>
      <c r="BI3620" s="8">
        <f>1</f>
        <v>1</v>
      </c>
      <c r="BJ3620" s="5" t="s">
        <v>253</v>
      </c>
      <c r="BK3620" s="5" t="s">
        <v>254</v>
      </c>
      <c r="BL3620" s="5" t="s">
        <v>238</v>
      </c>
      <c r="BM3620" s="5" t="s">
        <v>238</v>
      </c>
      <c r="BN3620" s="5" t="s">
        <v>238</v>
      </c>
      <c r="BO3620" s="5" t="s">
        <v>238</v>
      </c>
      <c r="BP3620" s="5" t="s">
        <v>238</v>
      </c>
      <c r="BQ3620" s="5" t="s">
        <v>238</v>
      </c>
      <c r="BR3620" s="5" t="s">
        <v>238</v>
      </c>
      <c r="BS3620" s="5" t="s">
        <v>238</v>
      </c>
      <c r="BT3620" s="6" t="s">
        <v>238</v>
      </c>
      <c r="BU3620" s="5" t="s">
        <v>238</v>
      </c>
      <c r="BV3620" s="5" t="s">
        <v>238</v>
      </c>
      <c r="BW3620" s="5" t="s">
        <v>238</v>
      </c>
      <c r="BX3620" s="5" t="s">
        <v>254</v>
      </c>
      <c r="BY3620" s="5" t="s">
        <v>238</v>
      </c>
      <c r="BZ3620" s="5" t="s">
        <v>238</v>
      </c>
      <c r="CA3620" s="5" t="s">
        <v>238</v>
      </c>
      <c r="CB3620" s="5" t="s">
        <v>238</v>
      </c>
      <c r="CC3620" s="5" t="s">
        <v>238</v>
      </c>
      <c r="CD3620" s="5" t="s">
        <v>273</v>
      </c>
      <c r="CE3620" s="5" t="s">
        <v>256</v>
      </c>
      <c r="CF3620" s="5" t="s">
        <v>238</v>
      </c>
      <c r="CH3620" s="5" t="s">
        <v>494</v>
      </c>
      <c r="CI3620" s="6" t="s">
        <v>257</v>
      </c>
      <c r="CJ3620" s="5" t="s">
        <v>495</v>
      </c>
      <c r="CK3620" s="5" t="s">
        <v>258</v>
      </c>
      <c r="CL3620" s="5" t="s">
        <v>496</v>
      </c>
      <c r="CM3620" s="5" t="s">
        <v>238</v>
      </c>
      <c r="CN3620" s="5">
        <v>0</v>
      </c>
      <c r="CO3620" s="5" t="s">
        <v>497</v>
      </c>
      <c r="CP3620" s="5" t="s">
        <v>260</v>
      </c>
      <c r="CQ3620" s="5" t="s">
        <v>260</v>
      </c>
      <c r="CR3620" s="5" t="s">
        <v>261</v>
      </c>
      <c r="CS3620" s="5" t="s">
        <v>498</v>
      </c>
      <c r="CT3620" s="7">
        <f>1</f>
        <v>1</v>
      </c>
      <c r="CU3620" s="8">
        <f>1</f>
        <v>1</v>
      </c>
      <c r="CV3620" s="8">
        <f>0</f>
        <v>0</v>
      </c>
      <c r="CX3620" s="8">
        <f>1</f>
        <v>1</v>
      </c>
      <c r="CY3620" s="8">
        <f>1</f>
        <v>1</v>
      </c>
      <c r="CZ3620" s="8" t="s">
        <v>238</v>
      </c>
      <c r="DA3620" s="5" t="s">
        <v>238</v>
      </c>
      <c r="DB3620" s="5" t="s">
        <v>238</v>
      </c>
      <c r="DC3620" s="5" t="s">
        <v>238</v>
      </c>
      <c r="DD3620" s="5" t="s">
        <v>238</v>
      </c>
      <c r="DE3620" s="8">
        <f>0</f>
        <v>0</v>
      </c>
      <c r="DG3620" s="5" t="s">
        <v>238</v>
      </c>
      <c r="DH3620" s="5" t="s">
        <v>238</v>
      </c>
      <c r="DI3620" s="5" t="s">
        <v>238</v>
      </c>
      <c r="DJ3620" s="5" t="s">
        <v>238</v>
      </c>
      <c r="DK3620" s="5" t="s">
        <v>238</v>
      </c>
      <c r="DL3620" s="5" t="s">
        <v>238</v>
      </c>
      <c r="DM3620" s="8" t="s">
        <v>238</v>
      </c>
      <c r="DN3620" s="5" t="s">
        <v>238</v>
      </c>
      <c r="DO3620" s="5" t="s">
        <v>238</v>
      </c>
      <c r="DP3620" s="5" t="s">
        <v>490</v>
      </c>
      <c r="DQ3620" s="5" t="s">
        <v>490</v>
      </c>
      <c r="DR3620" s="5" t="s">
        <v>238</v>
      </c>
      <c r="DS3620" s="5" t="s">
        <v>238</v>
      </c>
      <c r="DT3620" s="5" t="s">
        <v>500</v>
      </c>
      <c r="DU3620" s="5" t="s">
        <v>3101</v>
      </c>
      <c r="DV3620" s="5" t="s">
        <v>238</v>
      </c>
      <c r="DW3620" s="5" t="s">
        <v>238</v>
      </c>
      <c r="DX3620" s="5" t="s">
        <v>238</v>
      </c>
      <c r="DY3620" s="5" t="s">
        <v>238</v>
      </c>
      <c r="DZ3620" s="5" t="s">
        <v>238</v>
      </c>
      <c r="EA3620" s="5" t="s">
        <v>238</v>
      </c>
      <c r="EB3620" s="5" t="s">
        <v>238</v>
      </c>
      <c r="EC3620" s="5" t="s">
        <v>238</v>
      </c>
      <c r="ED3620" s="5" t="s">
        <v>238</v>
      </c>
      <c r="EE3620" s="5" t="s">
        <v>238</v>
      </c>
      <c r="EF3620" s="5" t="s">
        <v>238</v>
      </c>
      <c r="EG3620" s="5" t="s">
        <v>238</v>
      </c>
      <c r="EH3620" s="5" t="s">
        <v>238</v>
      </c>
      <c r="EI3620" s="5" t="s">
        <v>238</v>
      </c>
      <c r="EJ3620" s="5" t="s">
        <v>238</v>
      </c>
      <c r="EK3620" s="5" t="s">
        <v>238</v>
      </c>
      <c r="EL3620" s="5" t="s">
        <v>238</v>
      </c>
      <c r="EM3620" s="5" t="s">
        <v>238</v>
      </c>
      <c r="EN3620" s="5" t="s">
        <v>238</v>
      </c>
      <c r="EO3620" s="5" t="s">
        <v>238</v>
      </c>
      <c r="EP3620" s="5" t="s">
        <v>238</v>
      </c>
      <c r="EQ3620" s="5" t="s">
        <v>238</v>
      </c>
      <c r="ER3620" s="5" t="s">
        <v>238</v>
      </c>
      <c r="ES3620" s="5" t="s">
        <v>238</v>
      </c>
      <c r="ET3620" s="5" t="s">
        <v>238</v>
      </c>
      <c r="EU3620" s="5" t="s">
        <v>238</v>
      </c>
      <c r="EV3620" s="5" t="s">
        <v>238</v>
      </c>
      <c r="EW3620" s="5" t="s">
        <v>238</v>
      </c>
      <c r="EX3620" s="5" t="s">
        <v>238</v>
      </c>
      <c r="EY3620" s="5" t="s">
        <v>238</v>
      </c>
      <c r="EZ3620" s="5" t="s">
        <v>238</v>
      </c>
      <c r="FA3620" s="5" t="s">
        <v>238</v>
      </c>
      <c r="FB3620" s="5" t="s">
        <v>238</v>
      </c>
      <c r="FC3620" s="5" t="s">
        <v>238</v>
      </c>
      <c r="FD3620" s="5" t="s">
        <v>238</v>
      </c>
      <c r="FE3620" s="5" t="s">
        <v>238</v>
      </c>
      <c r="FF3620" s="5" t="s">
        <v>238</v>
      </c>
      <c r="FG3620" s="5" t="s">
        <v>238</v>
      </c>
      <c r="FH3620" s="5" t="s">
        <v>238</v>
      </c>
      <c r="FI3620" s="5" t="s">
        <v>238</v>
      </c>
      <c r="FJ3620" s="5" t="s">
        <v>238</v>
      </c>
      <c r="FK3620" s="5" t="s">
        <v>238</v>
      </c>
      <c r="FL3620" s="5" t="s">
        <v>238</v>
      </c>
      <c r="FM3620" s="5" t="s">
        <v>238</v>
      </c>
      <c r="FN3620" s="5" t="s">
        <v>238</v>
      </c>
      <c r="FO3620" s="5" t="s">
        <v>238</v>
      </c>
      <c r="FP3620" s="5" t="s">
        <v>238</v>
      </c>
      <c r="FQ3620" s="5" t="s">
        <v>238</v>
      </c>
      <c r="FR3620" s="5" t="s">
        <v>238</v>
      </c>
      <c r="FS3620" s="5" t="s">
        <v>238</v>
      </c>
      <c r="FT3620" s="5" t="s">
        <v>238</v>
      </c>
      <c r="FU3620" s="5" t="s">
        <v>238</v>
      </c>
      <c r="FV3620" s="5" t="s">
        <v>238</v>
      </c>
      <c r="FW3620" s="5" t="s">
        <v>238</v>
      </c>
      <c r="FX3620" s="5" t="s">
        <v>238</v>
      </c>
      <c r="FY3620" s="5" t="s">
        <v>238</v>
      </c>
      <c r="FZ3620" s="5" t="s">
        <v>238</v>
      </c>
      <c r="GA3620" s="5" t="s">
        <v>238</v>
      </c>
      <c r="GB3620" s="5" t="s">
        <v>238</v>
      </c>
      <c r="GC3620" s="5" t="s">
        <v>238</v>
      </c>
      <c r="GD3620" s="5" t="s">
        <v>238</v>
      </c>
      <c r="GE3620" s="5" t="s">
        <v>238</v>
      </c>
      <c r="GF3620" s="5" t="s">
        <v>238</v>
      </c>
      <c r="GG3620" s="5" t="s">
        <v>238</v>
      </c>
      <c r="GH3620" s="5" t="s">
        <v>238</v>
      </c>
      <c r="GI3620" s="5" t="s">
        <v>238</v>
      </c>
      <c r="GJ3620" s="5" t="s">
        <v>238</v>
      </c>
      <c r="GK3620" s="5" t="s">
        <v>238</v>
      </c>
      <c r="GL3620" s="5" t="s">
        <v>238</v>
      </c>
      <c r="GM3620" s="5" t="s">
        <v>238</v>
      </c>
      <c r="GN3620" s="5" t="s">
        <v>238</v>
      </c>
      <c r="GO3620" s="5" t="s">
        <v>238</v>
      </c>
      <c r="GP3620" s="5" t="s">
        <v>238</v>
      </c>
      <c r="GQ3620" s="5" t="s">
        <v>238</v>
      </c>
      <c r="GR3620" s="5" t="s">
        <v>238</v>
      </c>
      <c r="GS3620" s="5" t="s">
        <v>238</v>
      </c>
      <c r="GT3620" s="5" t="s">
        <v>238</v>
      </c>
      <c r="GU3620" s="5" t="s">
        <v>238</v>
      </c>
      <c r="GV3620" s="5" t="s">
        <v>238</v>
      </c>
      <c r="GW3620" s="5" t="s">
        <v>238</v>
      </c>
      <c r="GX3620" s="5" t="s">
        <v>238</v>
      </c>
      <c r="GY3620" s="5" t="s">
        <v>238</v>
      </c>
      <c r="GZ3620" s="5" t="s">
        <v>238</v>
      </c>
      <c r="HA3620" s="5" t="s">
        <v>238</v>
      </c>
      <c r="HB3620" s="5" t="s">
        <v>238</v>
      </c>
      <c r="HC3620" s="5" t="s">
        <v>238</v>
      </c>
      <c r="HD3620" s="5" t="s">
        <v>238</v>
      </c>
      <c r="HE3620" s="5" t="s">
        <v>238</v>
      </c>
      <c r="HF3620" s="5" t="s">
        <v>238</v>
      </c>
      <c r="HG3620" s="5" t="s">
        <v>238</v>
      </c>
      <c r="HH3620" s="5" t="s">
        <v>238</v>
      </c>
      <c r="HI3620" s="5" t="s">
        <v>238</v>
      </c>
      <c r="HJ3620" s="5" t="s">
        <v>238</v>
      </c>
      <c r="HK3620" s="5" t="s">
        <v>238</v>
      </c>
      <c r="HL3620" s="5" t="s">
        <v>238</v>
      </c>
      <c r="HM3620" s="5" t="s">
        <v>264</v>
      </c>
      <c r="HN3620" s="5" t="s">
        <v>238</v>
      </c>
      <c r="HO3620" s="5" t="s">
        <v>238</v>
      </c>
      <c r="HP3620" s="5" t="s">
        <v>238</v>
      </c>
      <c r="HQ3620" s="5" t="s">
        <v>238</v>
      </c>
      <c r="HR3620" s="5" t="s">
        <v>238</v>
      </c>
      <c r="HS3620" s="5" t="s">
        <v>238</v>
      </c>
      <c r="HT3620" s="5" t="s">
        <v>238</v>
      </c>
      <c r="HU3620" s="5" t="s">
        <v>238</v>
      </c>
      <c r="HV3620" s="5" t="s">
        <v>238</v>
      </c>
      <c r="HW3620" s="5" t="s">
        <v>238</v>
      </c>
      <c r="HX3620" s="5" t="s">
        <v>238</v>
      </c>
      <c r="HY3620" s="5" t="s">
        <v>238</v>
      </c>
      <c r="HZ3620" s="5" t="s">
        <v>238</v>
      </c>
      <c r="IA3620" s="5" t="s">
        <v>238</v>
      </c>
      <c r="IB3620" s="5" t="s">
        <v>238</v>
      </c>
      <c r="IC3620" s="5" t="s">
        <v>238</v>
      </c>
      <c r="ID3620" s="5" t="s">
        <v>238</v>
      </c>
    </row>
    <row r="3621" spans="1:238" x14ac:dyDescent="0.4">
      <c r="A3621" s="5">
        <v>9339</v>
      </c>
      <c r="B3621" s="5">
        <v>1</v>
      </c>
      <c r="C3621" s="5">
        <v>1</v>
      </c>
      <c r="D3621" s="5" t="s">
        <v>484</v>
      </c>
      <c r="E3621" s="5" t="s">
        <v>485</v>
      </c>
      <c r="F3621" s="5" t="s">
        <v>248</v>
      </c>
      <c r="G3621" s="5" t="s">
        <v>4866</v>
      </c>
      <c r="H3621" s="6" t="s">
        <v>4866</v>
      </c>
      <c r="I3621" s="8">
        <f>1</f>
        <v>1</v>
      </c>
      <c r="J3621" s="5" t="s">
        <v>499</v>
      </c>
      <c r="K3621" s="8">
        <f>1</f>
        <v>1</v>
      </c>
      <c r="L3621" s="6" t="s">
        <v>242</v>
      </c>
      <c r="M3621" s="5" t="s">
        <v>267</v>
      </c>
      <c r="N3621" s="5" t="s">
        <v>482</v>
      </c>
      <c r="O3621" s="5" t="s">
        <v>238</v>
      </c>
      <c r="P3621" s="5" t="s">
        <v>238</v>
      </c>
      <c r="Q3621" s="5" t="s">
        <v>239</v>
      </c>
      <c r="R3621" s="5" t="s">
        <v>270</v>
      </c>
      <c r="S3621" s="5" t="s">
        <v>238</v>
      </c>
      <c r="T3621" s="5" t="s">
        <v>238</v>
      </c>
      <c r="U3621" s="5" t="s">
        <v>238</v>
      </c>
      <c r="V3621" s="5" t="s">
        <v>238</v>
      </c>
      <c r="W3621" s="6" t="s">
        <v>238</v>
      </c>
      <c r="X3621" s="6" t="s">
        <v>238</v>
      </c>
      <c r="Y3621" s="5" t="s">
        <v>238</v>
      </c>
      <c r="Z3621" s="6" t="s">
        <v>238</v>
      </c>
      <c r="AA3621" s="6" t="s">
        <v>243</v>
      </c>
      <c r="AB3621" s="5" t="s">
        <v>4867</v>
      </c>
      <c r="AC3621" s="5" t="s">
        <v>244</v>
      </c>
      <c r="AD3621" s="5" t="s">
        <v>245</v>
      </c>
      <c r="AE3621" s="5" t="s">
        <v>238</v>
      </c>
      <c r="AF3621" s="5" t="s">
        <v>238</v>
      </c>
      <c r="AG3621" s="5" t="s">
        <v>238</v>
      </c>
      <c r="AH3621" s="5" t="s">
        <v>238</v>
      </c>
      <c r="AI3621" s="5" t="s">
        <v>238</v>
      </c>
      <c r="AJ3621" s="5" t="s">
        <v>238</v>
      </c>
      <c r="AK3621" s="5" t="s">
        <v>238</v>
      </c>
      <c r="AL3621" s="5" t="s">
        <v>238</v>
      </c>
      <c r="AM3621" s="6" t="s">
        <v>238</v>
      </c>
      <c r="AN3621" s="6" t="s">
        <v>238</v>
      </c>
      <c r="AO3621" s="6" t="s">
        <v>238</v>
      </c>
      <c r="AP3621" s="6" t="s">
        <v>238</v>
      </c>
      <c r="AQ3621" s="5" t="s">
        <v>238</v>
      </c>
      <c r="AR3621" s="5" t="s">
        <v>488</v>
      </c>
      <c r="AS3621" s="5" t="s">
        <v>488</v>
      </c>
      <c r="AT3621" s="5" t="s">
        <v>246</v>
      </c>
      <c r="AU3621" s="5" t="s">
        <v>489</v>
      </c>
      <c r="AV3621" s="5" t="s">
        <v>247</v>
      </c>
      <c r="AW3621" s="5" t="s">
        <v>238</v>
      </c>
      <c r="AX3621" s="5" t="s">
        <v>249</v>
      </c>
      <c r="AY3621" s="5" t="s">
        <v>490</v>
      </c>
      <c r="BA3621" s="5" t="s">
        <v>238</v>
      </c>
      <c r="BC3621" s="5" t="s">
        <v>491</v>
      </c>
      <c r="BD3621" s="6" t="s">
        <v>492</v>
      </c>
      <c r="BE3621" s="5" t="s">
        <v>493</v>
      </c>
      <c r="BF3621" s="5" t="s">
        <v>493</v>
      </c>
      <c r="BG3621" s="5" t="s">
        <v>238</v>
      </c>
      <c r="BH3621" s="8">
        <f>1</f>
        <v>1</v>
      </c>
      <c r="BI3621" s="8">
        <f>1</f>
        <v>1</v>
      </c>
      <c r="BJ3621" s="5" t="s">
        <v>253</v>
      </c>
      <c r="BK3621" s="5" t="s">
        <v>254</v>
      </c>
      <c r="BL3621" s="5" t="s">
        <v>238</v>
      </c>
      <c r="BM3621" s="5" t="s">
        <v>238</v>
      </c>
      <c r="BN3621" s="5" t="s">
        <v>238</v>
      </c>
      <c r="BO3621" s="5" t="s">
        <v>238</v>
      </c>
      <c r="BP3621" s="5" t="s">
        <v>238</v>
      </c>
      <c r="BQ3621" s="5" t="s">
        <v>238</v>
      </c>
      <c r="BR3621" s="5" t="s">
        <v>238</v>
      </c>
      <c r="BS3621" s="5" t="s">
        <v>238</v>
      </c>
      <c r="BT3621" s="6" t="s">
        <v>238</v>
      </c>
      <c r="BU3621" s="5" t="s">
        <v>238</v>
      </c>
      <c r="BV3621" s="5" t="s">
        <v>238</v>
      </c>
      <c r="BW3621" s="5" t="s">
        <v>238</v>
      </c>
      <c r="BX3621" s="5" t="s">
        <v>254</v>
      </c>
      <c r="BY3621" s="5" t="s">
        <v>238</v>
      </c>
      <c r="BZ3621" s="5" t="s">
        <v>238</v>
      </c>
      <c r="CA3621" s="5" t="s">
        <v>238</v>
      </c>
      <c r="CB3621" s="5" t="s">
        <v>238</v>
      </c>
      <c r="CC3621" s="5" t="s">
        <v>238</v>
      </c>
      <c r="CD3621" s="5" t="s">
        <v>273</v>
      </c>
      <c r="CE3621" s="5" t="s">
        <v>256</v>
      </c>
      <c r="CF3621" s="5" t="s">
        <v>238</v>
      </c>
      <c r="CH3621" s="5" t="s">
        <v>494</v>
      </c>
      <c r="CI3621" s="6" t="s">
        <v>257</v>
      </c>
      <c r="CJ3621" s="5" t="s">
        <v>495</v>
      </c>
      <c r="CK3621" s="5" t="s">
        <v>258</v>
      </c>
      <c r="CL3621" s="5" t="s">
        <v>496</v>
      </c>
      <c r="CM3621" s="5" t="s">
        <v>238</v>
      </c>
      <c r="CN3621" s="5">
        <v>0</v>
      </c>
      <c r="CO3621" s="5" t="s">
        <v>497</v>
      </c>
      <c r="CP3621" s="5" t="s">
        <v>260</v>
      </c>
      <c r="CQ3621" s="5" t="s">
        <v>260</v>
      </c>
      <c r="CR3621" s="5" t="s">
        <v>261</v>
      </c>
      <c r="CS3621" s="5" t="s">
        <v>498</v>
      </c>
      <c r="CT3621" s="7">
        <f>1</f>
        <v>1</v>
      </c>
      <c r="CU3621" s="8">
        <f>1</f>
        <v>1</v>
      </c>
      <c r="CV3621" s="8">
        <f>0</f>
        <v>0</v>
      </c>
      <c r="CX3621" s="8">
        <f>1</f>
        <v>1</v>
      </c>
      <c r="CY3621" s="8">
        <f>1</f>
        <v>1</v>
      </c>
      <c r="CZ3621" s="8" t="s">
        <v>238</v>
      </c>
      <c r="DA3621" s="5" t="s">
        <v>238</v>
      </c>
      <c r="DB3621" s="5" t="s">
        <v>238</v>
      </c>
      <c r="DC3621" s="5" t="s">
        <v>238</v>
      </c>
      <c r="DD3621" s="5" t="s">
        <v>238</v>
      </c>
      <c r="DE3621" s="8">
        <f>0</f>
        <v>0</v>
      </c>
      <c r="DG3621" s="5" t="s">
        <v>238</v>
      </c>
      <c r="DH3621" s="5" t="s">
        <v>238</v>
      </c>
      <c r="DI3621" s="5" t="s">
        <v>238</v>
      </c>
      <c r="DJ3621" s="5" t="s">
        <v>238</v>
      </c>
      <c r="DK3621" s="5" t="s">
        <v>238</v>
      </c>
      <c r="DL3621" s="5" t="s">
        <v>238</v>
      </c>
      <c r="DM3621" s="8" t="s">
        <v>238</v>
      </c>
      <c r="DN3621" s="5" t="s">
        <v>238</v>
      </c>
      <c r="DO3621" s="5" t="s">
        <v>238</v>
      </c>
      <c r="DP3621" s="5" t="s">
        <v>490</v>
      </c>
      <c r="DQ3621" s="5" t="s">
        <v>490</v>
      </c>
      <c r="DR3621" s="5" t="s">
        <v>238</v>
      </c>
      <c r="DS3621" s="5" t="s">
        <v>238</v>
      </c>
      <c r="DT3621" s="5" t="s">
        <v>500</v>
      </c>
      <c r="DU3621" s="5" t="s">
        <v>3117</v>
      </c>
      <c r="DV3621" s="5" t="s">
        <v>238</v>
      </c>
      <c r="DW3621" s="5" t="s">
        <v>238</v>
      </c>
      <c r="DX3621" s="5" t="s">
        <v>238</v>
      </c>
      <c r="DY3621" s="5" t="s">
        <v>238</v>
      </c>
      <c r="DZ3621" s="5" t="s">
        <v>238</v>
      </c>
      <c r="EA3621" s="5" t="s">
        <v>238</v>
      </c>
      <c r="EB3621" s="5" t="s">
        <v>238</v>
      </c>
      <c r="EC3621" s="5" t="s">
        <v>238</v>
      </c>
      <c r="ED3621" s="5" t="s">
        <v>238</v>
      </c>
      <c r="EE3621" s="5" t="s">
        <v>238</v>
      </c>
      <c r="EF3621" s="5" t="s">
        <v>238</v>
      </c>
      <c r="EG3621" s="5" t="s">
        <v>238</v>
      </c>
      <c r="EH3621" s="5" t="s">
        <v>238</v>
      </c>
      <c r="EI3621" s="5" t="s">
        <v>238</v>
      </c>
      <c r="EJ3621" s="5" t="s">
        <v>238</v>
      </c>
      <c r="EK3621" s="5" t="s">
        <v>238</v>
      </c>
      <c r="EL3621" s="5" t="s">
        <v>238</v>
      </c>
      <c r="EM3621" s="5" t="s">
        <v>238</v>
      </c>
      <c r="EN3621" s="5" t="s">
        <v>238</v>
      </c>
      <c r="EO3621" s="5" t="s">
        <v>238</v>
      </c>
      <c r="EP3621" s="5" t="s">
        <v>238</v>
      </c>
      <c r="EQ3621" s="5" t="s">
        <v>238</v>
      </c>
      <c r="ER3621" s="5" t="s">
        <v>238</v>
      </c>
      <c r="ES3621" s="5" t="s">
        <v>238</v>
      </c>
      <c r="ET3621" s="5" t="s">
        <v>238</v>
      </c>
      <c r="EU3621" s="5" t="s">
        <v>238</v>
      </c>
      <c r="EV3621" s="5" t="s">
        <v>238</v>
      </c>
      <c r="EW3621" s="5" t="s">
        <v>238</v>
      </c>
      <c r="EX3621" s="5" t="s">
        <v>238</v>
      </c>
      <c r="EY3621" s="5" t="s">
        <v>238</v>
      </c>
      <c r="EZ3621" s="5" t="s">
        <v>238</v>
      </c>
      <c r="FA3621" s="5" t="s">
        <v>238</v>
      </c>
      <c r="FB3621" s="5" t="s">
        <v>238</v>
      </c>
      <c r="FC3621" s="5" t="s">
        <v>238</v>
      </c>
      <c r="FD3621" s="5" t="s">
        <v>238</v>
      </c>
      <c r="FE3621" s="5" t="s">
        <v>238</v>
      </c>
      <c r="FF3621" s="5" t="s">
        <v>238</v>
      </c>
      <c r="FG3621" s="5" t="s">
        <v>238</v>
      </c>
      <c r="FH3621" s="5" t="s">
        <v>238</v>
      </c>
      <c r="FI3621" s="5" t="s">
        <v>238</v>
      </c>
      <c r="FJ3621" s="5" t="s">
        <v>238</v>
      </c>
      <c r="FK3621" s="5" t="s">
        <v>238</v>
      </c>
      <c r="FL3621" s="5" t="s">
        <v>238</v>
      </c>
      <c r="FM3621" s="5" t="s">
        <v>238</v>
      </c>
      <c r="FN3621" s="5" t="s">
        <v>238</v>
      </c>
      <c r="FO3621" s="5" t="s">
        <v>238</v>
      </c>
      <c r="FP3621" s="5" t="s">
        <v>238</v>
      </c>
      <c r="FQ3621" s="5" t="s">
        <v>238</v>
      </c>
      <c r="FR3621" s="5" t="s">
        <v>238</v>
      </c>
      <c r="FS3621" s="5" t="s">
        <v>238</v>
      </c>
      <c r="FT3621" s="5" t="s">
        <v>238</v>
      </c>
      <c r="FU3621" s="5" t="s">
        <v>238</v>
      </c>
      <c r="FV3621" s="5" t="s">
        <v>238</v>
      </c>
      <c r="FW3621" s="5" t="s">
        <v>238</v>
      </c>
      <c r="FX3621" s="5" t="s">
        <v>238</v>
      </c>
      <c r="FY3621" s="5" t="s">
        <v>238</v>
      </c>
      <c r="FZ3621" s="5" t="s">
        <v>238</v>
      </c>
      <c r="GA3621" s="5" t="s">
        <v>238</v>
      </c>
      <c r="GB3621" s="5" t="s">
        <v>238</v>
      </c>
      <c r="GC3621" s="5" t="s">
        <v>238</v>
      </c>
      <c r="GD3621" s="5" t="s">
        <v>238</v>
      </c>
      <c r="GE3621" s="5" t="s">
        <v>238</v>
      </c>
      <c r="GF3621" s="5" t="s">
        <v>238</v>
      </c>
      <c r="GG3621" s="5" t="s">
        <v>238</v>
      </c>
      <c r="GH3621" s="5" t="s">
        <v>238</v>
      </c>
      <c r="GI3621" s="5" t="s">
        <v>238</v>
      </c>
      <c r="GJ3621" s="5" t="s">
        <v>238</v>
      </c>
      <c r="GK3621" s="5" t="s">
        <v>238</v>
      </c>
      <c r="GL3621" s="5" t="s">
        <v>238</v>
      </c>
      <c r="GM3621" s="5" t="s">
        <v>238</v>
      </c>
      <c r="GN3621" s="5" t="s">
        <v>238</v>
      </c>
      <c r="GO3621" s="5" t="s">
        <v>238</v>
      </c>
      <c r="GP3621" s="5" t="s">
        <v>238</v>
      </c>
      <c r="GQ3621" s="5" t="s">
        <v>238</v>
      </c>
      <c r="GR3621" s="5" t="s">
        <v>238</v>
      </c>
      <c r="GS3621" s="5" t="s">
        <v>238</v>
      </c>
      <c r="GT3621" s="5" t="s">
        <v>238</v>
      </c>
      <c r="GU3621" s="5" t="s">
        <v>238</v>
      </c>
      <c r="GV3621" s="5" t="s">
        <v>238</v>
      </c>
      <c r="GW3621" s="5" t="s">
        <v>238</v>
      </c>
      <c r="GX3621" s="5" t="s">
        <v>238</v>
      </c>
      <c r="GY3621" s="5" t="s">
        <v>238</v>
      </c>
      <c r="GZ3621" s="5" t="s">
        <v>238</v>
      </c>
      <c r="HA3621" s="5" t="s">
        <v>238</v>
      </c>
      <c r="HB3621" s="5" t="s">
        <v>238</v>
      </c>
      <c r="HC3621" s="5" t="s">
        <v>238</v>
      </c>
      <c r="HD3621" s="5" t="s">
        <v>238</v>
      </c>
      <c r="HE3621" s="5" t="s">
        <v>238</v>
      </c>
      <c r="HF3621" s="5" t="s">
        <v>238</v>
      </c>
      <c r="HG3621" s="5" t="s">
        <v>238</v>
      </c>
      <c r="HH3621" s="5" t="s">
        <v>238</v>
      </c>
      <c r="HI3621" s="5" t="s">
        <v>238</v>
      </c>
      <c r="HJ3621" s="5" t="s">
        <v>238</v>
      </c>
      <c r="HK3621" s="5" t="s">
        <v>238</v>
      </c>
      <c r="HL3621" s="5" t="s">
        <v>238</v>
      </c>
      <c r="HM3621" s="5" t="s">
        <v>264</v>
      </c>
      <c r="HN3621" s="5" t="s">
        <v>238</v>
      </c>
      <c r="HO3621" s="5" t="s">
        <v>238</v>
      </c>
      <c r="HP3621" s="5" t="s">
        <v>238</v>
      </c>
      <c r="HQ3621" s="5" t="s">
        <v>238</v>
      </c>
      <c r="HR3621" s="5" t="s">
        <v>238</v>
      </c>
      <c r="HS3621" s="5" t="s">
        <v>238</v>
      </c>
      <c r="HT3621" s="5" t="s">
        <v>238</v>
      </c>
      <c r="HU3621" s="5" t="s">
        <v>238</v>
      </c>
      <c r="HV3621" s="5" t="s">
        <v>238</v>
      </c>
      <c r="HW3621" s="5" t="s">
        <v>238</v>
      </c>
      <c r="HX3621" s="5" t="s">
        <v>238</v>
      </c>
      <c r="HY3621" s="5" t="s">
        <v>238</v>
      </c>
      <c r="HZ3621" s="5" t="s">
        <v>238</v>
      </c>
      <c r="IA3621" s="5" t="s">
        <v>238</v>
      </c>
      <c r="IB3621" s="5" t="s">
        <v>238</v>
      </c>
      <c r="IC3621" s="5" t="s">
        <v>238</v>
      </c>
      <c r="ID3621" s="5" t="s">
        <v>238</v>
      </c>
    </row>
    <row r="3622" spans="1:238" x14ac:dyDescent="0.4">
      <c r="A3622" s="5">
        <v>9340</v>
      </c>
      <c r="B3622" s="5">
        <v>1</v>
      </c>
      <c r="C3622" s="5">
        <v>1</v>
      </c>
      <c r="D3622" s="5" t="s">
        <v>484</v>
      </c>
      <c r="E3622" s="5" t="s">
        <v>485</v>
      </c>
      <c r="F3622" s="5" t="s">
        <v>248</v>
      </c>
      <c r="G3622" s="5" t="s">
        <v>5805</v>
      </c>
      <c r="H3622" s="6" t="s">
        <v>5806</v>
      </c>
      <c r="I3622" s="8">
        <f>1</f>
        <v>1</v>
      </c>
      <c r="J3622" s="5" t="s">
        <v>499</v>
      </c>
      <c r="K3622" s="8">
        <f>1</f>
        <v>1</v>
      </c>
      <c r="L3622" s="6" t="s">
        <v>242</v>
      </c>
      <c r="M3622" s="5" t="s">
        <v>267</v>
      </c>
      <c r="N3622" s="5" t="s">
        <v>482</v>
      </c>
      <c r="O3622" s="5" t="s">
        <v>238</v>
      </c>
      <c r="P3622" s="5" t="s">
        <v>238</v>
      </c>
      <c r="Q3622" s="5" t="s">
        <v>239</v>
      </c>
      <c r="R3622" s="5" t="s">
        <v>270</v>
      </c>
      <c r="S3622" s="5" t="s">
        <v>238</v>
      </c>
      <c r="T3622" s="5" t="s">
        <v>238</v>
      </c>
      <c r="U3622" s="5" t="s">
        <v>238</v>
      </c>
      <c r="V3622" s="5" t="s">
        <v>238</v>
      </c>
      <c r="W3622" s="6" t="s">
        <v>238</v>
      </c>
      <c r="X3622" s="6" t="s">
        <v>238</v>
      </c>
      <c r="Y3622" s="5" t="s">
        <v>238</v>
      </c>
      <c r="Z3622" s="6" t="s">
        <v>238</v>
      </c>
      <c r="AA3622" s="6" t="s">
        <v>243</v>
      </c>
      <c r="AB3622" s="5" t="s">
        <v>486</v>
      </c>
      <c r="AC3622" s="5" t="s">
        <v>244</v>
      </c>
      <c r="AD3622" s="5" t="s">
        <v>245</v>
      </c>
      <c r="AE3622" s="5" t="s">
        <v>238</v>
      </c>
      <c r="AF3622" s="5" t="s">
        <v>238</v>
      </c>
      <c r="AG3622" s="5" t="s">
        <v>238</v>
      </c>
      <c r="AH3622" s="5" t="s">
        <v>238</v>
      </c>
      <c r="AI3622" s="5" t="s">
        <v>238</v>
      </c>
      <c r="AJ3622" s="5" t="s">
        <v>238</v>
      </c>
      <c r="AK3622" s="5" t="s">
        <v>238</v>
      </c>
      <c r="AL3622" s="5" t="s">
        <v>238</v>
      </c>
      <c r="AM3622" s="6" t="s">
        <v>238</v>
      </c>
      <c r="AN3622" s="6" t="s">
        <v>238</v>
      </c>
      <c r="AO3622" s="6" t="s">
        <v>238</v>
      </c>
      <c r="AP3622" s="6" t="s">
        <v>238</v>
      </c>
      <c r="AQ3622" s="5" t="s">
        <v>238</v>
      </c>
      <c r="AR3622" s="5" t="s">
        <v>488</v>
      </c>
      <c r="AS3622" s="5" t="s">
        <v>488</v>
      </c>
      <c r="AT3622" s="5" t="s">
        <v>246</v>
      </c>
      <c r="AU3622" s="5" t="s">
        <v>489</v>
      </c>
      <c r="AV3622" s="5" t="s">
        <v>247</v>
      </c>
      <c r="AW3622" s="5" t="s">
        <v>238</v>
      </c>
      <c r="AX3622" s="5" t="s">
        <v>249</v>
      </c>
      <c r="AY3622" s="5" t="s">
        <v>490</v>
      </c>
      <c r="BA3622" s="5" t="s">
        <v>238</v>
      </c>
      <c r="BC3622" s="5" t="s">
        <v>491</v>
      </c>
      <c r="BD3622" s="6" t="s">
        <v>492</v>
      </c>
      <c r="BE3622" s="5" t="s">
        <v>493</v>
      </c>
      <c r="BF3622" s="5" t="s">
        <v>493</v>
      </c>
      <c r="BG3622" s="5" t="s">
        <v>238</v>
      </c>
      <c r="BH3622" s="8">
        <f>1</f>
        <v>1</v>
      </c>
      <c r="BI3622" s="8">
        <f>1</f>
        <v>1</v>
      </c>
      <c r="BJ3622" s="5" t="s">
        <v>253</v>
      </c>
      <c r="BK3622" s="5" t="s">
        <v>254</v>
      </c>
      <c r="BL3622" s="5" t="s">
        <v>238</v>
      </c>
      <c r="BM3622" s="5" t="s">
        <v>238</v>
      </c>
      <c r="BN3622" s="5" t="s">
        <v>238</v>
      </c>
      <c r="BO3622" s="5" t="s">
        <v>238</v>
      </c>
      <c r="BP3622" s="5" t="s">
        <v>238</v>
      </c>
      <c r="BQ3622" s="5" t="s">
        <v>238</v>
      </c>
      <c r="BR3622" s="5" t="s">
        <v>238</v>
      </c>
      <c r="BS3622" s="5" t="s">
        <v>238</v>
      </c>
      <c r="BT3622" s="6" t="s">
        <v>238</v>
      </c>
      <c r="BU3622" s="5" t="s">
        <v>238</v>
      </c>
      <c r="BV3622" s="5" t="s">
        <v>238</v>
      </c>
      <c r="BW3622" s="5" t="s">
        <v>238</v>
      </c>
      <c r="BX3622" s="5" t="s">
        <v>254</v>
      </c>
      <c r="BY3622" s="5" t="s">
        <v>238</v>
      </c>
      <c r="BZ3622" s="5" t="s">
        <v>238</v>
      </c>
      <c r="CA3622" s="5" t="s">
        <v>238</v>
      </c>
      <c r="CB3622" s="5" t="s">
        <v>238</v>
      </c>
      <c r="CC3622" s="5" t="s">
        <v>238</v>
      </c>
      <c r="CD3622" s="5" t="s">
        <v>273</v>
      </c>
      <c r="CE3622" s="5" t="s">
        <v>256</v>
      </c>
      <c r="CF3622" s="5" t="s">
        <v>238</v>
      </c>
      <c r="CH3622" s="5" t="s">
        <v>494</v>
      </c>
      <c r="CI3622" s="6" t="s">
        <v>257</v>
      </c>
      <c r="CJ3622" s="5" t="s">
        <v>495</v>
      </c>
      <c r="CK3622" s="5" t="s">
        <v>258</v>
      </c>
      <c r="CL3622" s="5" t="s">
        <v>496</v>
      </c>
      <c r="CM3622" s="5" t="s">
        <v>238</v>
      </c>
      <c r="CN3622" s="5">
        <v>0</v>
      </c>
      <c r="CO3622" s="5" t="s">
        <v>497</v>
      </c>
      <c r="CP3622" s="5" t="s">
        <v>260</v>
      </c>
      <c r="CQ3622" s="5" t="s">
        <v>260</v>
      </c>
      <c r="CR3622" s="5" t="s">
        <v>261</v>
      </c>
      <c r="CS3622" s="5" t="s">
        <v>498</v>
      </c>
      <c r="CT3622" s="7">
        <f>1</f>
        <v>1</v>
      </c>
      <c r="CU3622" s="8">
        <f>1</f>
        <v>1</v>
      </c>
      <c r="CV3622" s="8">
        <f>0</f>
        <v>0</v>
      </c>
      <c r="CX3622" s="8">
        <f>1</f>
        <v>1</v>
      </c>
      <c r="CY3622" s="8">
        <f>1</f>
        <v>1</v>
      </c>
      <c r="CZ3622" s="8" t="s">
        <v>238</v>
      </c>
      <c r="DA3622" s="5" t="s">
        <v>238</v>
      </c>
      <c r="DB3622" s="5" t="s">
        <v>238</v>
      </c>
      <c r="DC3622" s="5" t="s">
        <v>238</v>
      </c>
      <c r="DD3622" s="5" t="s">
        <v>238</v>
      </c>
      <c r="DE3622" s="8">
        <f>0</f>
        <v>0</v>
      </c>
      <c r="DG3622" s="5" t="s">
        <v>238</v>
      </c>
      <c r="DH3622" s="5" t="s">
        <v>238</v>
      </c>
      <c r="DI3622" s="5" t="s">
        <v>238</v>
      </c>
      <c r="DJ3622" s="5" t="s">
        <v>238</v>
      </c>
      <c r="DK3622" s="5" t="s">
        <v>238</v>
      </c>
      <c r="DL3622" s="5" t="s">
        <v>238</v>
      </c>
      <c r="DM3622" s="8" t="s">
        <v>238</v>
      </c>
      <c r="DN3622" s="5" t="s">
        <v>238</v>
      </c>
      <c r="DO3622" s="5" t="s">
        <v>238</v>
      </c>
      <c r="DP3622" s="5" t="s">
        <v>490</v>
      </c>
      <c r="DQ3622" s="5" t="s">
        <v>490</v>
      </c>
      <c r="DR3622" s="5" t="s">
        <v>238</v>
      </c>
      <c r="DS3622" s="5" t="s">
        <v>238</v>
      </c>
      <c r="DT3622" s="5" t="s">
        <v>500</v>
      </c>
      <c r="DU3622" s="5" t="s">
        <v>837</v>
      </c>
      <c r="DV3622" s="5" t="s">
        <v>238</v>
      </c>
      <c r="DW3622" s="5" t="s">
        <v>238</v>
      </c>
      <c r="DX3622" s="5" t="s">
        <v>238</v>
      </c>
      <c r="DY3622" s="5" t="s">
        <v>238</v>
      </c>
      <c r="DZ3622" s="5" t="s">
        <v>238</v>
      </c>
      <c r="EA3622" s="5" t="s">
        <v>238</v>
      </c>
      <c r="EB3622" s="5" t="s">
        <v>238</v>
      </c>
      <c r="EC3622" s="5" t="s">
        <v>238</v>
      </c>
      <c r="ED3622" s="5" t="s">
        <v>238</v>
      </c>
      <c r="EE3622" s="5" t="s">
        <v>238</v>
      </c>
      <c r="EF3622" s="5" t="s">
        <v>238</v>
      </c>
      <c r="EG3622" s="5" t="s">
        <v>238</v>
      </c>
      <c r="EH3622" s="5" t="s">
        <v>238</v>
      </c>
      <c r="EI3622" s="5" t="s">
        <v>238</v>
      </c>
      <c r="EJ3622" s="5" t="s">
        <v>238</v>
      </c>
      <c r="EK3622" s="5" t="s">
        <v>238</v>
      </c>
      <c r="EL3622" s="5" t="s">
        <v>238</v>
      </c>
      <c r="EM3622" s="5" t="s">
        <v>238</v>
      </c>
      <c r="EN3622" s="5" t="s">
        <v>238</v>
      </c>
      <c r="EO3622" s="5" t="s">
        <v>238</v>
      </c>
      <c r="EP3622" s="5" t="s">
        <v>238</v>
      </c>
      <c r="EQ3622" s="5" t="s">
        <v>238</v>
      </c>
      <c r="ER3622" s="5" t="s">
        <v>238</v>
      </c>
      <c r="ES3622" s="5" t="s">
        <v>238</v>
      </c>
      <c r="ET3622" s="5" t="s">
        <v>238</v>
      </c>
      <c r="EU3622" s="5" t="s">
        <v>238</v>
      </c>
      <c r="EV3622" s="5" t="s">
        <v>238</v>
      </c>
      <c r="EW3622" s="5" t="s">
        <v>238</v>
      </c>
      <c r="EX3622" s="5" t="s">
        <v>238</v>
      </c>
      <c r="EY3622" s="5" t="s">
        <v>238</v>
      </c>
      <c r="EZ3622" s="5" t="s">
        <v>238</v>
      </c>
      <c r="FA3622" s="5" t="s">
        <v>238</v>
      </c>
      <c r="FB3622" s="5" t="s">
        <v>238</v>
      </c>
      <c r="FC3622" s="5" t="s">
        <v>238</v>
      </c>
      <c r="FD3622" s="5" t="s">
        <v>238</v>
      </c>
      <c r="FE3622" s="5" t="s">
        <v>238</v>
      </c>
      <c r="FF3622" s="5" t="s">
        <v>238</v>
      </c>
      <c r="FG3622" s="5" t="s">
        <v>238</v>
      </c>
      <c r="FH3622" s="5" t="s">
        <v>238</v>
      </c>
      <c r="FI3622" s="5" t="s">
        <v>238</v>
      </c>
      <c r="FJ3622" s="5" t="s">
        <v>238</v>
      </c>
      <c r="FK3622" s="5" t="s">
        <v>238</v>
      </c>
      <c r="FL3622" s="5" t="s">
        <v>238</v>
      </c>
      <c r="FM3622" s="5" t="s">
        <v>238</v>
      </c>
      <c r="FN3622" s="5" t="s">
        <v>238</v>
      </c>
      <c r="FO3622" s="5" t="s">
        <v>238</v>
      </c>
      <c r="FP3622" s="5" t="s">
        <v>238</v>
      </c>
      <c r="FQ3622" s="5" t="s">
        <v>238</v>
      </c>
      <c r="FR3622" s="5" t="s">
        <v>238</v>
      </c>
      <c r="FS3622" s="5" t="s">
        <v>238</v>
      </c>
      <c r="FT3622" s="5" t="s">
        <v>238</v>
      </c>
      <c r="FU3622" s="5" t="s">
        <v>238</v>
      </c>
      <c r="FV3622" s="5" t="s">
        <v>238</v>
      </c>
      <c r="FW3622" s="5" t="s">
        <v>238</v>
      </c>
      <c r="FX3622" s="5" t="s">
        <v>238</v>
      </c>
      <c r="FY3622" s="5" t="s">
        <v>238</v>
      </c>
      <c r="FZ3622" s="5" t="s">
        <v>238</v>
      </c>
      <c r="GA3622" s="5" t="s">
        <v>238</v>
      </c>
      <c r="GB3622" s="5" t="s">
        <v>238</v>
      </c>
      <c r="GC3622" s="5" t="s">
        <v>238</v>
      </c>
      <c r="GD3622" s="5" t="s">
        <v>238</v>
      </c>
      <c r="GE3622" s="5" t="s">
        <v>238</v>
      </c>
      <c r="GF3622" s="5" t="s">
        <v>238</v>
      </c>
      <c r="GG3622" s="5" t="s">
        <v>238</v>
      </c>
      <c r="GH3622" s="5" t="s">
        <v>238</v>
      </c>
      <c r="GI3622" s="5" t="s">
        <v>238</v>
      </c>
      <c r="GJ3622" s="5" t="s">
        <v>238</v>
      </c>
      <c r="GK3622" s="5" t="s">
        <v>238</v>
      </c>
      <c r="GL3622" s="5" t="s">
        <v>238</v>
      </c>
      <c r="GM3622" s="5" t="s">
        <v>238</v>
      </c>
      <c r="GN3622" s="5" t="s">
        <v>238</v>
      </c>
      <c r="GO3622" s="5" t="s">
        <v>238</v>
      </c>
      <c r="GP3622" s="5" t="s">
        <v>238</v>
      </c>
      <c r="GQ3622" s="5" t="s">
        <v>238</v>
      </c>
      <c r="GR3622" s="5" t="s">
        <v>238</v>
      </c>
      <c r="GS3622" s="5" t="s">
        <v>238</v>
      </c>
      <c r="GT3622" s="5" t="s">
        <v>238</v>
      </c>
      <c r="GU3622" s="5" t="s">
        <v>238</v>
      </c>
      <c r="GV3622" s="5" t="s">
        <v>238</v>
      </c>
      <c r="GW3622" s="5" t="s">
        <v>238</v>
      </c>
      <c r="GX3622" s="5" t="s">
        <v>238</v>
      </c>
      <c r="GY3622" s="5" t="s">
        <v>238</v>
      </c>
      <c r="GZ3622" s="5" t="s">
        <v>238</v>
      </c>
      <c r="HA3622" s="5" t="s">
        <v>238</v>
      </c>
      <c r="HB3622" s="5" t="s">
        <v>238</v>
      </c>
      <c r="HC3622" s="5" t="s">
        <v>238</v>
      </c>
      <c r="HD3622" s="5" t="s">
        <v>238</v>
      </c>
      <c r="HE3622" s="5" t="s">
        <v>238</v>
      </c>
      <c r="HF3622" s="5" t="s">
        <v>238</v>
      </c>
      <c r="HG3622" s="5" t="s">
        <v>238</v>
      </c>
      <c r="HH3622" s="5" t="s">
        <v>238</v>
      </c>
      <c r="HI3622" s="5" t="s">
        <v>238</v>
      </c>
      <c r="HJ3622" s="5" t="s">
        <v>238</v>
      </c>
      <c r="HK3622" s="5" t="s">
        <v>238</v>
      </c>
      <c r="HL3622" s="5" t="s">
        <v>238</v>
      </c>
      <c r="HM3622" s="5" t="s">
        <v>264</v>
      </c>
      <c r="HN3622" s="5" t="s">
        <v>238</v>
      </c>
      <c r="HO3622" s="5" t="s">
        <v>238</v>
      </c>
      <c r="HP3622" s="5" t="s">
        <v>238</v>
      </c>
      <c r="HQ3622" s="5" t="s">
        <v>238</v>
      </c>
      <c r="HR3622" s="5" t="s">
        <v>238</v>
      </c>
      <c r="HS3622" s="5" t="s">
        <v>238</v>
      </c>
      <c r="HT3622" s="5" t="s">
        <v>238</v>
      </c>
      <c r="HU3622" s="5" t="s">
        <v>238</v>
      </c>
      <c r="HV3622" s="5" t="s">
        <v>238</v>
      </c>
      <c r="HW3622" s="5" t="s">
        <v>238</v>
      </c>
      <c r="HX3622" s="5" t="s">
        <v>238</v>
      </c>
      <c r="HY3622" s="5" t="s">
        <v>238</v>
      </c>
      <c r="HZ3622" s="5" t="s">
        <v>238</v>
      </c>
      <c r="IA3622" s="5" t="s">
        <v>238</v>
      </c>
      <c r="IB3622" s="5" t="s">
        <v>238</v>
      </c>
      <c r="IC3622" s="5" t="s">
        <v>238</v>
      </c>
      <c r="ID3622" s="5" t="s">
        <v>238</v>
      </c>
    </row>
    <row r="3623" spans="1:238" x14ac:dyDescent="0.4">
      <c r="A3623" s="5">
        <v>9341</v>
      </c>
      <c r="B3623" s="5">
        <v>1</v>
      </c>
      <c r="C3623" s="5">
        <v>1</v>
      </c>
      <c r="D3623" s="5" t="s">
        <v>484</v>
      </c>
      <c r="E3623" s="5" t="s">
        <v>485</v>
      </c>
      <c r="F3623" s="5" t="s">
        <v>248</v>
      </c>
      <c r="G3623" s="5" t="s">
        <v>4422</v>
      </c>
      <c r="H3623" s="6" t="s">
        <v>4424</v>
      </c>
      <c r="I3623" s="8">
        <f>1</f>
        <v>1</v>
      </c>
      <c r="J3623" s="5" t="s">
        <v>499</v>
      </c>
      <c r="K3623" s="8">
        <f>1</f>
        <v>1</v>
      </c>
      <c r="L3623" s="6" t="s">
        <v>242</v>
      </c>
      <c r="M3623" s="5" t="s">
        <v>267</v>
      </c>
      <c r="N3623" s="5" t="s">
        <v>482</v>
      </c>
      <c r="O3623" s="5" t="s">
        <v>238</v>
      </c>
      <c r="P3623" s="5" t="s">
        <v>238</v>
      </c>
      <c r="Q3623" s="5" t="s">
        <v>239</v>
      </c>
      <c r="R3623" s="5" t="s">
        <v>270</v>
      </c>
      <c r="S3623" s="5" t="s">
        <v>238</v>
      </c>
      <c r="T3623" s="5" t="s">
        <v>238</v>
      </c>
      <c r="U3623" s="5" t="s">
        <v>238</v>
      </c>
      <c r="V3623" s="5" t="s">
        <v>238</v>
      </c>
      <c r="W3623" s="6" t="s">
        <v>238</v>
      </c>
      <c r="X3623" s="6" t="s">
        <v>238</v>
      </c>
      <c r="Y3623" s="5" t="s">
        <v>238</v>
      </c>
      <c r="Z3623" s="6" t="s">
        <v>238</v>
      </c>
      <c r="AA3623" s="6" t="s">
        <v>243</v>
      </c>
      <c r="AB3623" s="5" t="s">
        <v>4423</v>
      </c>
      <c r="AC3623" s="5" t="s">
        <v>244</v>
      </c>
      <c r="AD3623" s="5" t="s">
        <v>245</v>
      </c>
      <c r="AE3623" s="5" t="s">
        <v>238</v>
      </c>
      <c r="AF3623" s="5" t="s">
        <v>238</v>
      </c>
      <c r="AG3623" s="5" t="s">
        <v>238</v>
      </c>
      <c r="AH3623" s="5" t="s">
        <v>238</v>
      </c>
      <c r="AI3623" s="5" t="s">
        <v>238</v>
      </c>
      <c r="AJ3623" s="5" t="s">
        <v>238</v>
      </c>
      <c r="AK3623" s="5" t="s">
        <v>238</v>
      </c>
      <c r="AL3623" s="5" t="s">
        <v>238</v>
      </c>
      <c r="AM3623" s="6" t="s">
        <v>238</v>
      </c>
      <c r="AN3623" s="6" t="s">
        <v>238</v>
      </c>
      <c r="AO3623" s="6" t="s">
        <v>238</v>
      </c>
      <c r="AP3623" s="6" t="s">
        <v>238</v>
      </c>
      <c r="AQ3623" s="5" t="s">
        <v>238</v>
      </c>
      <c r="AR3623" s="5" t="s">
        <v>488</v>
      </c>
      <c r="AS3623" s="5" t="s">
        <v>488</v>
      </c>
      <c r="AT3623" s="5" t="s">
        <v>246</v>
      </c>
      <c r="AU3623" s="5" t="s">
        <v>489</v>
      </c>
      <c r="AV3623" s="5" t="s">
        <v>247</v>
      </c>
      <c r="AW3623" s="5" t="s">
        <v>238</v>
      </c>
      <c r="AX3623" s="5" t="s">
        <v>249</v>
      </c>
      <c r="AY3623" s="5" t="s">
        <v>490</v>
      </c>
      <c r="BA3623" s="5" t="s">
        <v>238</v>
      </c>
      <c r="BC3623" s="5" t="s">
        <v>491</v>
      </c>
      <c r="BD3623" s="6" t="s">
        <v>492</v>
      </c>
      <c r="BE3623" s="5" t="s">
        <v>493</v>
      </c>
      <c r="BF3623" s="5" t="s">
        <v>493</v>
      </c>
      <c r="BG3623" s="5" t="s">
        <v>238</v>
      </c>
      <c r="BH3623" s="8">
        <f>1</f>
        <v>1</v>
      </c>
      <c r="BI3623" s="8">
        <f>1</f>
        <v>1</v>
      </c>
      <c r="BJ3623" s="5" t="s">
        <v>253</v>
      </c>
      <c r="BK3623" s="5" t="s">
        <v>254</v>
      </c>
      <c r="BL3623" s="5" t="s">
        <v>238</v>
      </c>
      <c r="BM3623" s="5" t="s">
        <v>238</v>
      </c>
      <c r="BN3623" s="5" t="s">
        <v>238</v>
      </c>
      <c r="BO3623" s="5" t="s">
        <v>238</v>
      </c>
      <c r="BP3623" s="5" t="s">
        <v>238</v>
      </c>
      <c r="BQ3623" s="5" t="s">
        <v>238</v>
      </c>
      <c r="BR3623" s="5" t="s">
        <v>238</v>
      </c>
      <c r="BS3623" s="5" t="s">
        <v>238</v>
      </c>
      <c r="BT3623" s="6" t="s">
        <v>238</v>
      </c>
      <c r="BU3623" s="5" t="s">
        <v>238</v>
      </c>
      <c r="BV3623" s="5" t="s">
        <v>238</v>
      </c>
      <c r="BW3623" s="5" t="s">
        <v>238</v>
      </c>
      <c r="BX3623" s="5" t="s">
        <v>254</v>
      </c>
      <c r="BY3623" s="5" t="s">
        <v>238</v>
      </c>
      <c r="BZ3623" s="5" t="s">
        <v>238</v>
      </c>
      <c r="CA3623" s="5" t="s">
        <v>238</v>
      </c>
      <c r="CB3623" s="5" t="s">
        <v>238</v>
      </c>
      <c r="CC3623" s="5" t="s">
        <v>238</v>
      </c>
      <c r="CD3623" s="5" t="s">
        <v>273</v>
      </c>
      <c r="CE3623" s="5" t="s">
        <v>256</v>
      </c>
      <c r="CF3623" s="5" t="s">
        <v>238</v>
      </c>
      <c r="CH3623" s="5" t="s">
        <v>494</v>
      </c>
      <c r="CI3623" s="6" t="s">
        <v>257</v>
      </c>
      <c r="CJ3623" s="5" t="s">
        <v>495</v>
      </c>
      <c r="CK3623" s="5" t="s">
        <v>258</v>
      </c>
      <c r="CL3623" s="5" t="s">
        <v>496</v>
      </c>
      <c r="CM3623" s="5" t="s">
        <v>238</v>
      </c>
      <c r="CN3623" s="5">
        <v>0</v>
      </c>
      <c r="CO3623" s="5" t="s">
        <v>497</v>
      </c>
      <c r="CP3623" s="5" t="s">
        <v>260</v>
      </c>
      <c r="CQ3623" s="5" t="s">
        <v>260</v>
      </c>
      <c r="CR3623" s="5" t="s">
        <v>261</v>
      </c>
      <c r="CS3623" s="5" t="s">
        <v>498</v>
      </c>
      <c r="CT3623" s="7">
        <f>1</f>
        <v>1</v>
      </c>
      <c r="CU3623" s="8">
        <f>1</f>
        <v>1</v>
      </c>
      <c r="CV3623" s="8">
        <f>0</f>
        <v>0</v>
      </c>
      <c r="CX3623" s="8">
        <f>1</f>
        <v>1</v>
      </c>
      <c r="CY3623" s="8">
        <f>1</f>
        <v>1</v>
      </c>
      <c r="CZ3623" s="8" t="s">
        <v>238</v>
      </c>
      <c r="DA3623" s="5" t="s">
        <v>238</v>
      </c>
      <c r="DB3623" s="5" t="s">
        <v>238</v>
      </c>
      <c r="DC3623" s="5" t="s">
        <v>238</v>
      </c>
      <c r="DD3623" s="5" t="s">
        <v>238</v>
      </c>
      <c r="DE3623" s="8">
        <f>0</f>
        <v>0</v>
      </c>
      <c r="DG3623" s="5" t="s">
        <v>238</v>
      </c>
      <c r="DH3623" s="5" t="s">
        <v>238</v>
      </c>
      <c r="DI3623" s="5" t="s">
        <v>238</v>
      </c>
      <c r="DJ3623" s="5" t="s">
        <v>238</v>
      </c>
      <c r="DK3623" s="5" t="s">
        <v>238</v>
      </c>
      <c r="DL3623" s="5" t="s">
        <v>238</v>
      </c>
      <c r="DM3623" s="8" t="s">
        <v>238</v>
      </c>
      <c r="DN3623" s="5" t="s">
        <v>238</v>
      </c>
      <c r="DO3623" s="5" t="s">
        <v>238</v>
      </c>
      <c r="DP3623" s="5" t="s">
        <v>490</v>
      </c>
      <c r="DQ3623" s="5" t="s">
        <v>490</v>
      </c>
      <c r="DR3623" s="5" t="s">
        <v>238</v>
      </c>
      <c r="DS3623" s="5" t="s">
        <v>238</v>
      </c>
      <c r="DT3623" s="5" t="s">
        <v>500</v>
      </c>
      <c r="DU3623" s="5" t="s">
        <v>1268</v>
      </c>
      <c r="DV3623" s="5" t="s">
        <v>238</v>
      </c>
      <c r="DW3623" s="5" t="s">
        <v>238</v>
      </c>
      <c r="DX3623" s="5" t="s">
        <v>238</v>
      </c>
      <c r="DY3623" s="5" t="s">
        <v>238</v>
      </c>
      <c r="DZ3623" s="5" t="s">
        <v>238</v>
      </c>
      <c r="EA3623" s="5" t="s">
        <v>238</v>
      </c>
      <c r="EB3623" s="5" t="s">
        <v>238</v>
      </c>
      <c r="EC3623" s="5" t="s">
        <v>238</v>
      </c>
      <c r="ED3623" s="5" t="s">
        <v>238</v>
      </c>
      <c r="EE3623" s="5" t="s">
        <v>238</v>
      </c>
      <c r="EF3623" s="5" t="s">
        <v>238</v>
      </c>
      <c r="EG3623" s="5" t="s">
        <v>238</v>
      </c>
      <c r="EH3623" s="5" t="s">
        <v>238</v>
      </c>
      <c r="EI3623" s="5" t="s">
        <v>238</v>
      </c>
      <c r="EJ3623" s="5" t="s">
        <v>238</v>
      </c>
      <c r="EK3623" s="5" t="s">
        <v>238</v>
      </c>
      <c r="EL3623" s="5" t="s">
        <v>238</v>
      </c>
      <c r="EM3623" s="5" t="s">
        <v>238</v>
      </c>
      <c r="EN3623" s="5" t="s">
        <v>238</v>
      </c>
      <c r="EO3623" s="5" t="s">
        <v>238</v>
      </c>
      <c r="EP3623" s="5" t="s">
        <v>238</v>
      </c>
      <c r="EQ3623" s="5" t="s">
        <v>238</v>
      </c>
      <c r="ER3623" s="5" t="s">
        <v>238</v>
      </c>
      <c r="ES3623" s="5" t="s">
        <v>238</v>
      </c>
      <c r="ET3623" s="5" t="s">
        <v>238</v>
      </c>
      <c r="EU3623" s="5" t="s">
        <v>238</v>
      </c>
      <c r="EV3623" s="5" t="s">
        <v>238</v>
      </c>
      <c r="EW3623" s="5" t="s">
        <v>238</v>
      </c>
      <c r="EX3623" s="5" t="s">
        <v>238</v>
      </c>
      <c r="EY3623" s="5" t="s">
        <v>238</v>
      </c>
      <c r="EZ3623" s="5" t="s">
        <v>238</v>
      </c>
      <c r="FA3623" s="5" t="s">
        <v>238</v>
      </c>
      <c r="FB3623" s="5" t="s">
        <v>238</v>
      </c>
      <c r="FC3623" s="5" t="s">
        <v>238</v>
      </c>
      <c r="FD3623" s="5" t="s">
        <v>238</v>
      </c>
      <c r="FE3623" s="5" t="s">
        <v>238</v>
      </c>
      <c r="FF3623" s="5" t="s">
        <v>238</v>
      </c>
      <c r="FG3623" s="5" t="s">
        <v>238</v>
      </c>
      <c r="FH3623" s="5" t="s">
        <v>238</v>
      </c>
      <c r="FI3623" s="5" t="s">
        <v>238</v>
      </c>
      <c r="FJ3623" s="5" t="s">
        <v>238</v>
      </c>
      <c r="FK3623" s="5" t="s">
        <v>238</v>
      </c>
      <c r="FL3623" s="5" t="s">
        <v>238</v>
      </c>
      <c r="FM3623" s="5" t="s">
        <v>238</v>
      </c>
      <c r="FN3623" s="5" t="s">
        <v>238</v>
      </c>
      <c r="FO3623" s="5" t="s">
        <v>238</v>
      </c>
      <c r="FP3623" s="5" t="s">
        <v>238</v>
      </c>
      <c r="FQ3623" s="5" t="s">
        <v>238</v>
      </c>
      <c r="FR3623" s="5" t="s">
        <v>238</v>
      </c>
      <c r="FS3623" s="5" t="s">
        <v>238</v>
      </c>
      <c r="FT3623" s="5" t="s">
        <v>238</v>
      </c>
      <c r="FU3623" s="5" t="s">
        <v>238</v>
      </c>
      <c r="FV3623" s="5" t="s">
        <v>238</v>
      </c>
      <c r="FW3623" s="5" t="s">
        <v>238</v>
      </c>
      <c r="FX3623" s="5" t="s">
        <v>238</v>
      </c>
      <c r="FY3623" s="5" t="s">
        <v>238</v>
      </c>
      <c r="FZ3623" s="5" t="s">
        <v>238</v>
      </c>
      <c r="GA3623" s="5" t="s">
        <v>238</v>
      </c>
      <c r="GB3623" s="5" t="s">
        <v>238</v>
      </c>
      <c r="GC3623" s="5" t="s">
        <v>238</v>
      </c>
      <c r="GD3623" s="5" t="s">
        <v>238</v>
      </c>
      <c r="GE3623" s="5" t="s">
        <v>238</v>
      </c>
      <c r="GF3623" s="5" t="s">
        <v>238</v>
      </c>
      <c r="GG3623" s="5" t="s">
        <v>238</v>
      </c>
      <c r="GH3623" s="5" t="s">
        <v>238</v>
      </c>
      <c r="GI3623" s="5" t="s">
        <v>238</v>
      </c>
      <c r="GJ3623" s="5" t="s">
        <v>238</v>
      </c>
      <c r="GK3623" s="5" t="s">
        <v>238</v>
      </c>
      <c r="GL3623" s="5" t="s">
        <v>238</v>
      </c>
      <c r="GM3623" s="5" t="s">
        <v>238</v>
      </c>
      <c r="GN3623" s="5" t="s">
        <v>238</v>
      </c>
      <c r="GO3623" s="5" t="s">
        <v>238</v>
      </c>
      <c r="GP3623" s="5" t="s">
        <v>238</v>
      </c>
      <c r="GQ3623" s="5" t="s">
        <v>238</v>
      </c>
      <c r="GR3623" s="5" t="s">
        <v>238</v>
      </c>
      <c r="GS3623" s="5" t="s">
        <v>238</v>
      </c>
      <c r="GT3623" s="5" t="s">
        <v>238</v>
      </c>
      <c r="GU3623" s="5" t="s">
        <v>238</v>
      </c>
      <c r="GV3623" s="5" t="s">
        <v>238</v>
      </c>
      <c r="GW3623" s="5" t="s">
        <v>238</v>
      </c>
      <c r="GX3623" s="5" t="s">
        <v>238</v>
      </c>
      <c r="GY3623" s="5" t="s">
        <v>238</v>
      </c>
      <c r="GZ3623" s="5" t="s">
        <v>238</v>
      </c>
      <c r="HA3623" s="5" t="s">
        <v>238</v>
      </c>
      <c r="HB3623" s="5" t="s">
        <v>238</v>
      </c>
      <c r="HC3623" s="5" t="s">
        <v>238</v>
      </c>
      <c r="HD3623" s="5" t="s">
        <v>238</v>
      </c>
      <c r="HE3623" s="5" t="s">
        <v>238</v>
      </c>
      <c r="HF3623" s="5" t="s">
        <v>238</v>
      </c>
      <c r="HG3623" s="5" t="s">
        <v>238</v>
      </c>
      <c r="HH3623" s="5" t="s">
        <v>238</v>
      </c>
      <c r="HI3623" s="5" t="s">
        <v>238</v>
      </c>
      <c r="HJ3623" s="5" t="s">
        <v>238</v>
      </c>
      <c r="HK3623" s="5" t="s">
        <v>238</v>
      </c>
      <c r="HL3623" s="5" t="s">
        <v>238</v>
      </c>
      <c r="HM3623" s="5" t="s">
        <v>264</v>
      </c>
      <c r="HN3623" s="5" t="s">
        <v>238</v>
      </c>
      <c r="HO3623" s="5" t="s">
        <v>238</v>
      </c>
      <c r="HP3623" s="5" t="s">
        <v>238</v>
      </c>
      <c r="HQ3623" s="5" t="s">
        <v>238</v>
      </c>
      <c r="HR3623" s="5" t="s">
        <v>238</v>
      </c>
      <c r="HS3623" s="5" t="s">
        <v>238</v>
      </c>
      <c r="HT3623" s="5" t="s">
        <v>238</v>
      </c>
      <c r="HU3623" s="5" t="s">
        <v>238</v>
      </c>
      <c r="HV3623" s="5" t="s">
        <v>238</v>
      </c>
      <c r="HW3623" s="5" t="s">
        <v>238</v>
      </c>
      <c r="HX3623" s="5" t="s">
        <v>238</v>
      </c>
      <c r="HY3623" s="5" t="s">
        <v>238</v>
      </c>
      <c r="HZ3623" s="5" t="s">
        <v>238</v>
      </c>
      <c r="IA3623" s="5" t="s">
        <v>238</v>
      </c>
      <c r="IB3623" s="5" t="s">
        <v>238</v>
      </c>
      <c r="IC3623" s="5" t="s">
        <v>238</v>
      </c>
      <c r="ID3623" s="5" t="s">
        <v>238</v>
      </c>
    </row>
    <row r="3624" spans="1:238" x14ac:dyDescent="0.4">
      <c r="A3624" s="5">
        <v>9342</v>
      </c>
      <c r="B3624" s="5">
        <v>1</v>
      </c>
      <c r="C3624" s="5">
        <v>1</v>
      </c>
      <c r="D3624" s="5" t="s">
        <v>484</v>
      </c>
      <c r="E3624" s="5" t="s">
        <v>485</v>
      </c>
      <c r="F3624" s="5" t="s">
        <v>248</v>
      </c>
      <c r="G3624" s="5" t="s">
        <v>4786</v>
      </c>
      <c r="H3624" s="6" t="s">
        <v>4787</v>
      </c>
      <c r="I3624" s="8">
        <f>1</f>
        <v>1</v>
      </c>
      <c r="J3624" s="5" t="s">
        <v>499</v>
      </c>
      <c r="K3624" s="8">
        <f>1</f>
        <v>1</v>
      </c>
      <c r="L3624" s="6" t="s">
        <v>242</v>
      </c>
      <c r="M3624" s="5" t="s">
        <v>267</v>
      </c>
      <c r="N3624" s="5" t="s">
        <v>482</v>
      </c>
      <c r="O3624" s="5" t="s">
        <v>238</v>
      </c>
      <c r="P3624" s="5" t="s">
        <v>238</v>
      </c>
      <c r="Q3624" s="5" t="s">
        <v>239</v>
      </c>
      <c r="R3624" s="5" t="s">
        <v>270</v>
      </c>
      <c r="S3624" s="5" t="s">
        <v>238</v>
      </c>
      <c r="T3624" s="5" t="s">
        <v>238</v>
      </c>
      <c r="U3624" s="5" t="s">
        <v>238</v>
      </c>
      <c r="V3624" s="5" t="s">
        <v>238</v>
      </c>
      <c r="W3624" s="6" t="s">
        <v>238</v>
      </c>
      <c r="X3624" s="6" t="s">
        <v>238</v>
      </c>
      <c r="Y3624" s="5" t="s">
        <v>238</v>
      </c>
      <c r="Z3624" s="6" t="s">
        <v>238</v>
      </c>
      <c r="AA3624" s="6" t="s">
        <v>243</v>
      </c>
      <c r="AB3624" s="5" t="s">
        <v>486</v>
      </c>
      <c r="AC3624" s="5" t="s">
        <v>244</v>
      </c>
      <c r="AD3624" s="5" t="s">
        <v>245</v>
      </c>
      <c r="AE3624" s="5" t="s">
        <v>238</v>
      </c>
      <c r="AF3624" s="5" t="s">
        <v>238</v>
      </c>
      <c r="AG3624" s="5" t="s">
        <v>238</v>
      </c>
      <c r="AH3624" s="5" t="s">
        <v>238</v>
      </c>
      <c r="AI3624" s="5" t="s">
        <v>238</v>
      </c>
      <c r="AJ3624" s="5" t="s">
        <v>238</v>
      </c>
      <c r="AK3624" s="5" t="s">
        <v>238</v>
      </c>
      <c r="AL3624" s="5" t="s">
        <v>238</v>
      </c>
      <c r="AM3624" s="6" t="s">
        <v>238</v>
      </c>
      <c r="AN3624" s="6" t="s">
        <v>238</v>
      </c>
      <c r="AO3624" s="6" t="s">
        <v>238</v>
      </c>
      <c r="AP3624" s="6" t="s">
        <v>238</v>
      </c>
      <c r="AQ3624" s="5" t="s">
        <v>238</v>
      </c>
      <c r="AR3624" s="5" t="s">
        <v>488</v>
      </c>
      <c r="AS3624" s="5" t="s">
        <v>488</v>
      </c>
      <c r="AT3624" s="5" t="s">
        <v>246</v>
      </c>
      <c r="AU3624" s="5" t="s">
        <v>489</v>
      </c>
      <c r="AV3624" s="5" t="s">
        <v>247</v>
      </c>
      <c r="AW3624" s="5" t="s">
        <v>238</v>
      </c>
      <c r="AX3624" s="5" t="s">
        <v>249</v>
      </c>
      <c r="AY3624" s="5" t="s">
        <v>490</v>
      </c>
      <c r="BA3624" s="5" t="s">
        <v>238</v>
      </c>
      <c r="BC3624" s="5" t="s">
        <v>491</v>
      </c>
      <c r="BD3624" s="6" t="s">
        <v>492</v>
      </c>
      <c r="BE3624" s="5" t="s">
        <v>493</v>
      </c>
      <c r="BF3624" s="5" t="s">
        <v>493</v>
      </c>
      <c r="BG3624" s="5" t="s">
        <v>238</v>
      </c>
      <c r="BH3624" s="8">
        <f>1</f>
        <v>1</v>
      </c>
      <c r="BI3624" s="8">
        <f>1</f>
        <v>1</v>
      </c>
      <c r="BJ3624" s="5" t="s">
        <v>253</v>
      </c>
      <c r="BK3624" s="5" t="s">
        <v>254</v>
      </c>
      <c r="BL3624" s="5" t="s">
        <v>238</v>
      </c>
      <c r="BM3624" s="5" t="s">
        <v>238</v>
      </c>
      <c r="BN3624" s="5" t="s">
        <v>238</v>
      </c>
      <c r="BO3624" s="5" t="s">
        <v>238</v>
      </c>
      <c r="BP3624" s="5" t="s">
        <v>238</v>
      </c>
      <c r="BQ3624" s="5" t="s">
        <v>238</v>
      </c>
      <c r="BR3624" s="5" t="s">
        <v>238</v>
      </c>
      <c r="BS3624" s="5" t="s">
        <v>238</v>
      </c>
      <c r="BT3624" s="6" t="s">
        <v>238</v>
      </c>
      <c r="BU3624" s="5" t="s">
        <v>238</v>
      </c>
      <c r="BV3624" s="5" t="s">
        <v>238</v>
      </c>
      <c r="BW3624" s="5" t="s">
        <v>238</v>
      </c>
      <c r="BX3624" s="5" t="s">
        <v>254</v>
      </c>
      <c r="BY3624" s="5" t="s">
        <v>238</v>
      </c>
      <c r="BZ3624" s="5" t="s">
        <v>238</v>
      </c>
      <c r="CA3624" s="5" t="s">
        <v>238</v>
      </c>
      <c r="CB3624" s="5" t="s">
        <v>238</v>
      </c>
      <c r="CC3624" s="5" t="s">
        <v>238</v>
      </c>
      <c r="CD3624" s="5" t="s">
        <v>273</v>
      </c>
      <c r="CE3624" s="5" t="s">
        <v>256</v>
      </c>
      <c r="CF3624" s="5" t="s">
        <v>238</v>
      </c>
      <c r="CH3624" s="5" t="s">
        <v>494</v>
      </c>
      <c r="CI3624" s="6" t="s">
        <v>257</v>
      </c>
      <c r="CJ3624" s="5" t="s">
        <v>495</v>
      </c>
      <c r="CK3624" s="5" t="s">
        <v>258</v>
      </c>
      <c r="CL3624" s="5" t="s">
        <v>496</v>
      </c>
      <c r="CM3624" s="5" t="s">
        <v>238</v>
      </c>
      <c r="CN3624" s="5">
        <v>0</v>
      </c>
      <c r="CO3624" s="5" t="s">
        <v>497</v>
      </c>
      <c r="CP3624" s="5" t="s">
        <v>260</v>
      </c>
      <c r="CQ3624" s="5" t="s">
        <v>260</v>
      </c>
      <c r="CR3624" s="5" t="s">
        <v>261</v>
      </c>
      <c r="CS3624" s="5" t="s">
        <v>498</v>
      </c>
      <c r="CT3624" s="7">
        <f>1</f>
        <v>1</v>
      </c>
      <c r="CU3624" s="8">
        <f>1</f>
        <v>1</v>
      </c>
      <c r="CV3624" s="8">
        <f>0</f>
        <v>0</v>
      </c>
      <c r="CX3624" s="8">
        <f>1</f>
        <v>1</v>
      </c>
      <c r="CY3624" s="8">
        <f>1</f>
        <v>1</v>
      </c>
      <c r="CZ3624" s="8" t="s">
        <v>238</v>
      </c>
      <c r="DA3624" s="5" t="s">
        <v>238</v>
      </c>
      <c r="DB3624" s="5" t="s">
        <v>238</v>
      </c>
      <c r="DC3624" s="5" t="s">
        <v>238</v>
      </c>
      <c r="DD3624" s="5" t="s">
        <v>238</v>
      </c>
      <c r="DE3624" s="8">
        <f>0</f>
        <v>0</v>
      </c>
      <c r="DG3624" s="5" t="s">
        <v>238</v>
      </c>
      <c r="DH3624" s="5" t="s">
        <v>238</v>
      </c>
      <c r="DI3624" s="5" t="s">
        <v>238</v>
      </c>
      <c r="DJ3624" s="5" t="s">
        <v>238</v>
      </c>
      <c r="DK3624" s="5" t="s">
        <v>238</v>
      </c>
      <c r="DL3624" s="5" t="s">
        <v>238</v>
      </c>
      <c r="DM3624" s="8" t="s">
        <v>238</v>
      </c>
      <c r="DN3624" s="5" t="s">
        <v>238</v>
      </c>
      <c r="DO3624" s="5" t="s">
        <v>238</v>
      </c>
      <c r="DP3624" s="5" t="s">
        <v>490</v>
      </c>
      <c r="DQ3624" s="5" t="s">
        <v>490</v>
      </c>
      <c r="DR3624" s="5" t="s">
        <v>238</v>
      </c>
      <c r="DS3624" s="5" t="s">
        <v>238</v>
      </c>
      <c r="DT3624" s="5" t="s">
        <v>500</v>
      </c>
      <c r="DU3624" s="5" t="s">
        <v>1284</v>
      </c>
      <c r="DV3624" s="5" t="s">
        <v>238</v>
      </c>
      <c r="DW3624" s="5" t="s">
        <v>238</v>
      </c>
      <c r="DX3624" s="5" t="s">
        <v>238</v>
      </c>
      <c r="DY3624" s="5" t="s">
        <v>238</v>
      </c>
      <c r="DZ3624" s="5" t="s">
        <v>238</v>
      </c>
      <c r="EA3624" s="5" t="s">
        <v>238</v>
      </c>
      <c r="EB3624" s="5" t="s">
        <v>238</v>
      </c>
      <c r="EC3624" s="5" t="s">
        <v>238</v>
      </c>
      <c r="ED3624" s="5" t="s">
        <v>238</v>
      </c>
      <c r="EE3624" s="5" t="s">
        <v>238</v>
      </c>
      <c r="EF3624" s="5" t="s">
        <v>238</v>
      </c>
      <c r="EG3624" s="5" t="s">
        <v>238</v>
      </c>
      <c r="EH3624" s="5" t="s">
        <v>238</v>
      </c>
      <c r="EI3624" s="5" t="s">
        <v>238</v>
      </c>
      <c r="EJ3624" s="5" t="s">
        <v>238</v>
      </c>
      <c r="EK3624" s="5" t="s">
        <v>238</v>
      </c>
      <c r="EL3624" s="5" t="s">
        <v>238</v>
      </c>
      <c r="EM3624" s="5" t="s">
        <v>238</v>
      </c>
      <c r="EN3624" s="5" t="s">
        <v>238</v>
      </c>
      <c r="EO3624" s="5" t="s">
        <v>238</v>
      </c>
      <c r="EP3624" s="5" t="s">
        <v>238</v>
      </c>
      <c r="EQ3624" s="5" t="s">
        <v>238</v>
      </c>
      <c r="ER3624" s="5" t="s">
        <v>238</v>
      </c>
      <c r="ES3624" s="5" t="s">
        <v>238</v>
      </c>
      <c r="ET3624" s="5" t="s">
        <v>238</v>
      </c>
      <c r="EU3624" s="5" t="s">
        <v>238</v>
      </c>
      <c r="EV3624" s="5" t="s">
        <v>238</v>
      </c>
      <c r="EW3624" s="5" t="s">
        <v>238</v>
      </c>
      <c r="EX3624" s="5" t="s">
        <v>238</v>
      </c>
      <c r="EY3624" s="5" t="s">
        <v>238</v>
      </c>
      <c r="EZ3624" s="5" t="s">
        <v>238</v>
      </c>
      <c r="FA3624" s="5" t="s">
        <v>238</v>
      </c>
      <c r="FB3624" s="5" t="s">
        <v>238</v>
      </c>
      <c r="FC3624" s="5" t="s">
        <v>238</v>
      </c>
      <c r="FD3624" s="5" t="s">
        <v>238</v>
      </c>
      <c r="FE3624" s="5" t="s">
        <v>238</v>
      </c>
      <c r="FF3624" s="5" t="s">
        <v>238</v>
      </c>
      <c r="FG3624" s="5" t="s">
        <v>238</v>
      </c>
      <c r="FH3624" s="5" t="s">
        <v>238</v>
      </c>
      <c r="FI3624" s="5" t="s">
        <v>238</v>
      </c>
      <c r="FJ3624" s="5" t="s">
        <v>238</v>
      </c>
      <c r="FK3624" s="5" t="s">
        <v>238</v>
      </c>
      <c r="FL3624" s="5" t="s">
        <v>238</v>
      </c>
      <c r="FM3624" s="5" t="s">
        <v>238</v>
      </c>
      <c r="FN3624" s="5" t="s">
        <v>238</v>
      </c>
      <c r="FO3624" s="5" t="s">
        <v>238</v>
      </c>
      <c r="FP3624" s="5" t="s">
        <v>238</v>
      </c>
      <c r="FQ3624" s="5" t="s">
        <v>238</v>
      </c>
      <c r="FR3624" s="5" t="s">
        <v>238</v>
      </c>
      <c r="FS3624" s="5" t="s">
        <v>238</v>
      </c>
      <c r="FT3624" s="5" t="s">
        <v>238</v>
      </c>
      <c r="FU3624" s="5" t="s">
        <v>238</v>
      </c>
      <c r="FV3624" s="5" t="s">
        <v>238</v>
      </c>
      <c r="FW3624" s="5" t="s">
        <v>238</v>
      </c>
      <c r="FX3624" s="5" t="s">
        <v>238</v>
      </c>
      <c r="FY3624" s="5" t="s">
        <v>238</v>
      </c>
      <c r="FZ3624" s="5" t="s">
        <v>238</v>
      </c>
      <c r="GA3624" s="5" t="s">
        <v>238</v>
      </c>
      <c r="GB3624" s="5" t="s">
        <v>238</v>
      </c>
      <c r="GC3624" s="5" t="s">
        <v>238</v>
      </c>
      <c r="GD3624" s="5" t="s">
        <v>238</v>
      </c>
      <c r="GE3624" s="5" t="s">
        <v>238</v>
      </c>
      <c r="GF3624" s="5" t="s">
        <v>238</v>
      </c>
      <c r="GG3624" s="5" t="s">
        <v>238</v>
      </c>
      <c r="GH3624" s="5" t="s">
        <v>238</v>
      </c>
      <c r="GI3624" s="5" t="s">
        <v>238</v>
      </c>
      <c r="GJ3624" s="5" t="s">
        <v>238</v>
      </c>
      <c r="GK3624" s="5" t="s">
        <v>238</v>
      </c>
      <c r="GL3624" s="5" t="s">
        <v>238</v>
      </c>
      <c r="GM3624" s="5" t="s">
        <v>238</v>
      </c>
      <c r="GN3624" s="5" t="s">
        <v>238</v>
      </c>
      <c r="GO3624" s="5" t="s">
        <v>238</v>
      </c>
      <c r="GP3624" s="5" t="s">
        <v>238</v>
      </c>
      <c r="GQ3624" s="5" t="s">
        <v>238</v>
      </c>
      <c r="GR3624" s="5" t="s">
        <v>238</v>
      </c>
      <c r="GS3624" s="5" t="s">
        <v>238</v>
      </c>
      <c r="GT3624" s="5" t="s">
        <v>238</v>
      </c>
      <c r="GU3624" s="5" t="s">
        <v>238</v>
      </c>
      <c r="GV3624" s="5" t="s">
        <v>238</v>
      </c>
      <c r="GW3624" s="5" t="s">
        <v>238</v>
      </c>
      <c r="GX3624" s="5" t="s">
        <v>238</v>
      </c>
      <c r="GY3624" s="5" t="s">
        <v>238</v>
      </c>
      <c r="GZ3624" s="5" t="s">
        <v>238</v>
      </c>
      <c r="HA3624" s="5" t="s">
        <v>238</v>
      </c>
      <c r="HB3624" s="5" t="s">
        <v>238</v>
      </c>
      <c r="HC3624" s="5" t="s">
        <v>238</v>
      </c>
      <c r="HD3624" s="5" t="s">
        <v>238</v>
      </c>
      <c r="HE3624" s="5" t="s">
        <v>238</v>
      </c>
      <c r="HF3624" s="5" t="s">
        <v>238</v>
      </c>
      <c r="HG3624" s="5" t="s">
        <v>238</v>
      </c>
      <c r="HH3624" s="5" t="s">
        <v>238</v>
      </c>
      <c r="HI3624" s="5" t="s">
        <v>238</v>
      </c>
      <c r="HJ3624" s="5" t="s">
        <v>238</v>
      </c>
      <c r="HK3624" s="5" t="s">
        <v>238</v>
      </c>
      <c r="HL3624" s="5" t="s">
        <v>238</v>
      </c>
      <c r="HM3624" s="5" t="s">
        <v>264</v>
      </c>
      <c r="HN3624" s="5" t="s">
        <v>238</v>
      </c>
      <c r="HO3624" s="5" t="s">
        <v>238</v>
      </c>
      <c r="HP3624" s="5" t="s">
        <v>238</v>
      </c>
      <c r="HQ3624" s="5" t="s">
        <v>238</v>
      </c>
      <c r="HR3624" s="5" t="s">
        <v>238</v>
      </c>
      <c r="HS3624" s="5" t="s">
        <v>238</v>
      </c>
      <c r="HT3624" s="5" t="s">
        <v>238</v>
      </c>
      <c r="HU3624" s="5" t="s">
        <v>238</v>
      </c>
      <c r="HV3624" s="5" t="s">
        <v>238</v>
      </c>
      <c r="HW3624" s="5" t="s">
        <v>238</v>
      </c>
      <c r="HX3624" s="5" t="s">
        <v>238</v>
      </c>
      <c r="HY3624" s="5" t="s">
        <v>238</v>
      </c>
      <c r="HZ3624" s="5" t="s">
        <v>238</v>
      </c>
      <c r="IA3624" s="5" t="s">
        <v>238</v>
      </c>
      <c r="IB3624" s="5" t="s">
        <v>238</v>
      </c>
      <c r="IC3624" s="5" t="s">
        <v>238</v>
      </c>
      <c r="ID3624" s="5" t="s">
        <v>238</v>
      </c>
    </row>
    <row r="3625" spans="1:238" x14ac:dyDescent="0.4">
      <c r="A3625" s="5">
        <v>9343</v>
      </c>
      <c r="B3625" s="5">
        <v>1</v>
      </c>
      <c r="C3625" s="5">
        <v>1</v>
      </c>
      <c r="D3625" s="5" t="s">
        <v>484</v>
      </c>
      <c r="E3625" s="5" t="s">
        <v>485</v>
      </c>
      <c r="F3625" s="5" t="s">
        <v>248</v>
      </c>
      <c r="G3625" s="5" t="s">
        <v>5294</v>
      </c>
      <c r="H3625" s="6" t="s">
        <v>5296</v>
      </c>
      <c r="I3625" s="8">
        <f>1</f>
        <v>1</v>
      </c>
      <c r="J3625" s="5" t="s">
        <v>499</v>
      </c>
      <c r="K3625" s="8">
        <f>1</f>
        <v>1</v>
      </c>
      <c r="L3625" s="6" t="s">
        <v>242</v>
      </c>
      <c r="M3625" s="5" t="s">
        <v>267</v>
      </c>
      <c r="N3625" s="5" t="s">
        <v>482</v>
      </c>
      <c r="O3625" s="5" t="s">
        <v>238</v>
      </c>
      <c r="P3625" s="5" t="s">
        <v>238</v>
      </c>
      <c r="Q3625" s="5" t="s">
        <v>239</v>
      </c>
      <c r="R3625" s="5" t="s">
        <v>270</v>
      </c>
      <c r="S3625" s="5" t="s">
        <v>238</v>
      </c>
      <c r="T3625" s="5" t="s">
        <v>238</v>
      </c>
      <c r="U3625" s="5" t="s">
        <v>238</v>
      </c>
      <c r="V3625" s="5" t="s">
        <v>238</v>
      </c>
      <c r="W3625" s="6" t="s">
        <v>238</v>
      </c>
      <c r="X3625" s="6" t="s">
        <v>238</v>
      </c>
      <c r="Y3625" s="5" t="s">
        <v>238</v>
      </c>
      <c r="Z3625" s="6" t="s">
        <v>238</v>
      </c>
      <c r="AA3625" s="6" t="s">
        <v>243</v>
      </c>
      <c r="AB3625" s="5" t="s">
        <v>5295</v>
      </c>
      <c r="AC3625" s="5" t="s">
        <v>244</v>
      </c>
      <c r="AD3625" s="5" t="s">
        <v>245</v>
      </c>
      <c r="AE3625" s="5" t="s">
        <v>238</v>
      </c>
      <c r="AF3625" s="5" t="s">
        <v>238</v>
      </c>
      <c r="AG3625" s="5" t="s">
        <v>238</v>
      </c>
      <c r="AH3625" s="5" t="s">
        <v>238</v>
      </c>
      <c r="AI3625" s="5" t="s">
        <v>238</v>
      </c>
      <c r="AJ3625" s="5" t="s">
        <v>238</v>
      </c>
      <c r="AK3625" s="5" t="s">
        <v>238</v>
      </c>
      <c r="AL3625" s="5" t="s">
        <v>238</v>
      </c>
      <c r="AM3625" s="6" t="s">
        <v>238</v>
      </c>
      <c r="AN3625" s="6" t="s">
        <v>238</v>
      </c>
      <c r="AO3625" s="6" t="s">
        <v>238</v>
      </c>
      <c r="AP3625" s="6" t="s">
        <v>238</v>
      </c>
      <c r="AQ3625" s="5" t="s">
        <v>238</v>
      </c>
      <c r="AR3625" s="5" t="s">
        <v>488</v>
      </c>
      <c r="AS3625" s="5" t="s">
        <v>488</v>
      </c>
      <c r="AT3625" s="5" t="s">
        <v>246</v>
      </c>
      <c r="AU3625" s="5" t="s">
        <v>489</v>
      </c>
      <c r="AV3625" s="5" t="s">
        <v>247</v>
      </c>
      <c r="AW3625" s="5" t="s">
        <v>238</v>
      </c>
      <c r="AX3625" s="5" t="s">
        <v>249</v>
      </c>
      <c r="AY3625" s="5" t="s">
        <v>490</v>
      </c>
      <c r="BA3625" s="5" t="s">
        <v>238</v>
      </c>
      <c r="BC3625" s="5" t="s">
        <v>491</v>
      </c>
      <c r="BD3625" s="6" t="s">
        <v>492</v>
      </c>
      <c r="BE3625" s="5" t="s">
        <v>493</v>
      </c>
      <c r="BF3625" s="5" t="s">
        <v>493</v>
      </c>
      <c r="BG3625" s="5" t="s">
        <v>238</v>
      </c>
      <c r="BH3625" s="8">
        <f>1</f>
        <v>1</v>
      </c>
      <c r="BI3625" s="8">
        <f>1</f>
        <v>1</v>
      </c>
      <c r="BJ3625" s="5" t="s">
        <v>253</v>
      </c>
      <c r="BK3625" s="5" t="s">
        <v>254</v>
      </c>
      <c r="BL3625" s="5" t="s">
        <v>238</v>
      </c>
      <c r="BM3625" s="5" t="s">
        <v>238</v>
      </c>
      <c r="BN3625" s="5" t="s">
        <v>238</v>
      </c>
      <c r="BO3625" s="5" t="s">
        <v>238</v>
      </c>
      <c r="BP3625" s="5" t="s">
        <v>238</v>
      </c>
      <c r="BQ3625" s="5" t="s">
        <v>238</v>
      </c>
      <c r="BR3625" s="5" t="s">
        <v>238</v>
      </c>
      <c r="BS3625" s="5" t="s">
        <v>238</v>
      </c>
      <c r="BT3625" s="6" t="s">
        <v>238</v>
      </c>
      <c r="BU3625" s="5" t="s">
        <v>238</v>
      </c>
      <c r="BV3625" s="5" t="s">
        <v>238</v>
      </c>
      <c r="BW3625" s="5" t="s">
        <v>238</v>
      </c>
      <c r="BX3625" s="5" t="s">
        <v>254</v>
      </c>
      <c r="BY3625" s="5" t="s">
        <v>238</v>
      </c>
      <c r="BZ3625" s="5" t="s">
        <v>238</v>
      </c>
      <c r="CA3625" s="5" t="s">
        <v>238</v>
      </c>
      <c r="CB3625" s="5" t="s">
        <v>238</v>
      </c>
      <c r="CC3625" s="5" t="s">
        <v>238</v>
      </c>
      <c r="CD3625" s="5" t="s">
        <v>273</v>
      </c>
      <c r="CE3625" s="5" t="s">
        <v>256</v>
      </c>
      <c r="CF3625" s="5" t="s">
        <v>238</v>
      </c>
      <c r="CH3625" s="5" t="s">
        <v>494</v>
      </c>
      <c r="CI3625" s="6" t="s">
        <v>257</v>
      </c>
      <c r="CJ3625" s="5" t="s">
        <v>495</v>
      </c>
      <c r="CK3625" s="5" t="s">
        <v>258</v>
      </c>
      <c r="CL3625" s="5" t="s">
        <v>496</v>
      </c>
      <c r="CM3625" s="5" t="s">
        <v>238</v>
      </c>
      <c r="CN3625" s="5">
        <v>0</v>
      </c>
      <c r="CO3625" s="5" t="s">
        <v>497</v>
      </c>
      <c r="CP3625" s="5" t="s">
        <v>260</v>
      </c>
      <c r="CQ3625" s="5" t="s">
        <v>260</v>
      </c>
      <c r="CR3625" s="5" t="s">
        <v>261</v>
      </c>
      <c r="CS3625" s="5" t="s">
        <v>498</v>
      </c>
      <c r="CT3625" s="7">
        <f>1</f>
        <v>1</v>
      </c>
      <c r="CU3625" s="8">
        <f>1</f>
        <v>1</v>
      </c>
      <c r="CV3625" s="8">
        <f>0</f>
        <v>0</v>
      </c>
      <c r="CX3625" s="8">
        <f>1</f>
        <v>1</v>
      </c>
      <c r="CY3625" s="8">
        <f>1</f>
        <v>1</v>
      </c>
      <c r="CZ3625" s="8" t="s">
        <v>238</v>
      </c>
      <c r="DA3625" s="5" t="s">
        <v>238</v>
      </c>
      <c r="DB3625" s="5" t="s">
        <v>238</v>
      </c>
      <c r="DC3625" s="5" t="s">
        <v>238</v>
      </c>
      <c r="DD3625" s="5" t="s">
        <v>238</v>
      </c>
      <c r="DE3625" s="8">
        <f>0</f>
        <v>0</v>
      </c>
      <c r="DG3625" s="5" t="s">
        <v>238</v>
      </c>
      <c r="DH3625" s="5" t="s">
        <v>238</v>
      </c>
      <c r="DI3625" s="5" t="s">
        <v>238</v>
      </c>
      <c r="DJ3625" s="5" t="s">
        <v>238</v>
      </c>
      <c r="DK3625" s="5" t="s">
        <v>238</v>
      </c>
      <c r="DL3625" s="5" t="s">
        <v>238</v>
      </c>
      <c r="DM3625" s="8" t="s">
        <v>238</v>
      </c>
      <c r="DN3625" s="5" t="s">
        <v>238</v>
      </c>
      <c r="DO3625" s="5" t="s">
        <v>238</v>
      </c>
      <c r="DP3625" s="5" t="s">
        <v>490</v>
      </c>
      <c r="DQ3625" s="5" t="s">
        <v>490</v>
      </c>
      <c r="DR3625" s="5" t="s">
        <v>238</v>
      </c>
      <c r="DS3625" s="5" t="s">
        <v>238</v>
      </c>
      <c r="DT3625" s="5" t="s">
        <v>500</v>
      </c>
      <c r="DU3625" s="5" t="s">
        <v>284</v>
      </c>
      <c r="DV3625" s="5" t="s">
        <v>238</v>
      </c>
      <c r="DW3625" s="5" t="s">
        <v>238</v>
      </c>
      <c r="DX3625" s="5" t="s">
        <v>238</v>
      </c>
      <c r="DY3625" s="5" t="s">
        <v>238</v>
      </c>
      <c r="DZ3625" s="5" t="s">
        <v>238</v>
      </c>
      <c r="EA3625" s="5" t="s">
        <v>238</v>
      </c>
      <c r="EB3625" s="5" t="s">
        <v>238</v>
      </c>
      <c r="EC3625" s="5" t="s">
        <v>238</v>
      </c>
      <c r="ED3625" s="5" t="s">
        <v>238</v>
      </c>
      <c r="EE3625" s="5" t="s">
        <v>238</v>
      </c>
      <c r="EF3625" s="5" t="s">
        <v>238</v>
      </c>
      <c r="EG3625" s="5" t="s">
        <v>238</v>
      </c>
      <c r="EH3625" s="5" t="s">
        <v>238</v>
      </c>
      <c r="EI3625" s="5" t="s">
        <v>238</v>
      </c>
      <c r="EJ3625" s="5" t="s">
        <v>238</v>
      </c>
      <c r="EK3625" s="5" t="s">
        <v>238</v>
      </c>
      <c r="EL3625" s="5" t="s">
        <v>238</v>
      </c>
      <c r="EM3625" s="5" t="s">
        <v>238</v>
      </c>
      <c r="EN3625" s="5" t="s">
        <v>238</v>
      </c>
      <c r="EO3625" s="5" t="s">
        <v>238</v>
      </c>
      <c r="EP3625" s="5" t="s">
        <v>238</v>
      </c>
      <c r="EQ3625" s="5" t="s">
        <v>238</v>
      </c>
      <c r="ER3625" s="5" t="s">
        <v>238</v>
      </c>
      <c r="ES3625" s="5" t="s">
        <v>238</v>
      </c>
      <c r="ET3625" s="5" t="s">
        <v>238</v>
      </c>
      <c r="EU3625" s="5" t="s">
        <v>238</v>
      </c>
      <c r="EV3625" s="5" t="s">
        <v>238</v>
      </c>
      <c r="EW3625" s="5" t="s">
        <v>238</v>
      </c>
      <c r="EX3625" s="5" t="s">
        <v>238</v>
      </c>
      <c r="EY3625" s="5" t="s">
        <v>238</v>
      </c>
      <c r="EZ3625" s="5" t="s">
        <v>238</v>
      </c>
      <c r="FA3625" s="5" t="s">
        <v>238</v>
      </c>
      <c r="FB3625" s="5" t="s">
        <v>238</v>
      </c>
      <c r="FC3625" s="5" t="s">
        <v>238</v>
      </c>
      <c r="FD3625" s="5" t="s">
        <v>238</v>
      </c>
      <c r="FE3625" s="5" t="s">
        <v>238</v>
      </c>
      <c r="FF3625" s="5" t="s">
        <v>238</v>
      </c>
      <c r="FG3625" s="5" t="s">
        <v>238</v>
      </c>
      <c r="FH3625" s="5" t="s">
        <v>238</v>
      </c>
      <c r="FI3625" s="5" t="s">
        <v>238</v>
      </c>
      <c r="FJ3625" s="5" t="s">
        <v>238</v>
      </c>
      <c r="FK3625" s="5" t="s">
        <v>238</v>
      </c>
      <c r="FL3625" s="5" t="s">
        <v>238</v>
      </c>
      <c r="FM3625" s="5" t="s">
        <v>238</v>
      </c>
      <c r="FN3625" s="5" t="s">
        <v>238</v>
      </c>
      <c r="FO3625" s="5" t="s">
        <v>238</v>
      </c>
      <c r="FP3625" s="5" t="s">
        <v>238</v>
      </c>
      <c r="FQ3625" s="5" t="s">
        <v>238</v>
      </c>
      <c r="FR3625" s="5" t="s">
        <v>238</v>
      </c>
      <c r="FS3625" s="5" t="s">
        <v>238</v>
      </c>
      <c r="FT3625" s="5" t="s">
        <v>238</v>
      </c>
      <c r="FU3625" s="5" t="s">
        <v>238</v>
      </c>
      <c r="FV3625" s="5" t="s">
        <v>238</v>
      </c>
      <c r="FW3625" s="5" t="s">
        <v>238</v>
      </c>
      <c r="FX3625" s="5" t="s">
        <v>238</v>
      </c>
      <c r="FY3625" s="5" t="s">
        <v>238</v>
      </c>
      <c r="FZ3625" s="5" t="s">
        <v>238</v>
      </c>
      <c r="GA3625" s="5" t="s">
        <v>238</v>
      </c>
      <c r="GB3625" s="5" t="s">
        <v>238</v>
      </c>
      <c r="GC3625" s="5" t="s">
        <v>238</v>
      </c>
      <c r="GD3625" s="5" t="s">
        <v>238</v>
      </c>
      <c r="GE3625" s="5" t="s">
        <v>238</v>
      </c>
      <c r="GF3625" s="5" t="s">
        <v>238</v>
      </c>
      <c r="GG3625" s="5" t="s">
        <v>238</v>
      </c>
      <c r="GH3625" s="5" t="s">
        <v>238</v>
      </c>
      <c r="GI3625" s="5" t="s">
        <v>238</v>
      </c>
      <c r="GJ3625" s="5" t="s">
        <v>238</v>
      </c>
      <c r="GK3625" s="5" t="s">
        <v>238</v>
      </c>
      <c r="GL3625" s="5" t="s">
        <v>238</v>
      </c>
      <c r="GM3625" s="5" t="s">
        <v>238</v>
      </c>
      <c r="GN3625" s="5" t="s">
        <v>238</v>
      </c>
      <c r="GO3625" s="5" t="s">
        <v>238</v>
      </c>
      <c r="GP3625" s="5" t="s">
        <v>238</v>
      </c>
      <c r="GQ3625" s="5" t="s">
        <v>238</v>
      </c>
      <c r="GR3625" s="5" t="s">
        <v>238</v>
      </c>
      <c r="GS3625" s="5" t="s">
        <v>238</v>
      </c>
      <c r="GT3625" s="5" t="s">
        <v>238</v>
      </c>
      <c r="GU3625" s="5" t="s">
        <v>238</v>
      </c>
      <c r="GV3625" s="5" t="s">
        <v>238</v>
      </c>
      <c r="GW3625" s="5" t="s">
        <v>238</v>
      </c>
      <c r="GX3625" s="5" t="s">
        <v>238</v>
      </c>
      <c r="GY3625" s="5" t="s">
        <v>238</v>
      </c>
      <c r="GZ3625" s="5" t="s">
        <v>238</v>
      </c>
      <c r="HA3625" s="5" t="s">
        <v>238</v>
      </c>
      <c r="HB3625" s="5" t="s">
        <v>238</v>
      </c>
      <c r="HC3625" s="5" t="s">
        <v>238</v>
      </c>
      <c r="HD3625" s="5" t="s">
        <v>238</v>
      </c>
      <c r="HE3625" s="5" t="s">
        <v>238</v>
      </c>
      <c r="HF3625" s="5" t="s">
        <v>238</v>
      </c>
      <c r="HG3625" s="5" t="s">
        <v>238</v>
      </c>
      <c r="HH3625" s="5" t="s">
        <v>238</v>
      </c>
      <c r="HI3625" s="5" t="s">
        <v>238</v>
      </c>
      <c r="HJ3625" s="5" t="s">
        <v>238</v>
      </c>
      <c r="HK3625" s="5" t="s">
        <v>238</v>
      </c>
      <c r="HL3625" s="5" t="s">
        <v>238</v>
      </c>
      <c r="HM3625" s="5" t="s">
        <v>264</v>
      </c>
      <c r="HN3625" s="5" t="s">
        <v>238</v>
      </c>
      <c r="HO3625" s="5" t="s">
        <v>238</v>
      </c>
      <c r="HP3625" s="5" t="s">
        <v>238</v>
      </c>
      <c r="HQ3625" s="5" t="s">
        <v>238</v>
      </c>
      <c r="HR3625" s="5" t="s">
        <v>238</v>
      </c>
      <c r="HS3625" s="5" t="s">
        <v>238</v>
      </c>
      <c r="HT3625" s="5" t="s">
        <v>238</v>
      </c>
      <c r="HU3625" s="5" t="s">
        <v>238</v>
      </c>
      <c r="HV3625" s="5" t="s">
        <v>238</v>
      </c>
      <c r="HW3625" s="5" t="s">
        <v>238</v>
      </c>
      <c r="HX3625" s="5" t="s">
        <v>238</v>
      </c>
      <c r="HY3625" s="5" t="s">
        <v>238</v>
      </c>
      <c r="HZ3625" s="5" t="s">
        <v>238</v>
      </c>
      <c r="IA3625" s="5" t="s">
        <v>238</v>
      </c>
      <c r="IB3625" s="5" t="s">
        <v>238</v>
      </c>
      <c r="IC3625" s="5" t="s">
        <v>238</v>
      </c>
      <c r="ID3625" s="5" t="s">
        <v>238</v>
      </c>
    </row>
    <row r="3626" spans="1:238" x14ac:dyDescent="0.4">
      <c r="A3626" s="5">
        <v>9344</v>
      </c>
      <c r="B3626" s="5">
        <v>1</v>
      </c>
      <c r="C3626" s="5">
        <v>1</v>
      </c>
      <c r="D3626" s="5" t="s">
        <v>484</v>
      </c>
      <c r="E3626" s="5" t="s">
        <v>485</v>
      </c>
      <c r="F3626" s="5" t="s">
        <v>248</v>
      </c>
      <c r="G3626" s="5" t="s">
        <v>5110</v>
      </c>
      <c r="H3626" s="6" t="s">
        <v>5112</v>
      </c>
      <c r="I3626" s="8">
        <f>1</f>
        <v>1</v>
      </c>
      <c r="J3626" s="5" t="s">
        <v>499</v>
      </c>
      <c r="K3626" s="8">
        <f>1</f>
        <v>1</v>
      </c>
      <c r="L3626" s="6" t="s">
        <v>242</v>
      </c>
      <c r="M3626" s="5" t="s">
        <v>267</v>
      </c>
      <c r="N3626" s="5" t="s">
        <v>482</v>
      </c>
      <c r="O3626" s="5" t="s">
        <v>238</v>
      </c>
      <c r="P3626" s="5" t="s">
        <v>238</v>
      </c>
      <c r="Q3626" s="5" t="s">
        <v>239</v>
      </c>
      <c r="R3626" s="5" t="s">
        <v>270</v>
      </c>
      <c r="S3626" s="5" t="s">
        <v>238</v>
      </c>
      <c r="T3626" s="5" t="s">
        <v>238</v>
      </c>
      <c r="U3626" s="5" t="s">
        <v>238</v>
      </c>
      <c r="V3626" s="5" t="s">
        <v>238</v>
      </c>
      <c r="W3626" s="6" t="s">
        <v>238</v>
      </c>
      <c r="X3626" s="6" t="s">
        <v>238</v>
      </c>
      <c r="Y3626" s="5" t="s">
        <v>238</v>
      </c>
      <c r="Z3626" s="6" t="s">
        <v>238</v>
      </c>
      <c r="AA3626" s="6" t="s">
        <v>243</v>
      </c>
      <c r="AB3626" s="5" t="s">
        <v>5111</v>
      </c>
      <c r="AC3626" s="5" t="s">
        <v>244</v>
      </c>
      <c r="AD3626" s="5" t="s">
        <v>245</v>
      </c>
      <c r="AE3626" s="5" t="s">
        <v>238</v>
      </c>
      <c r="AF3626" s="5" t="s">
        <v>238</v>
      </c>
      <c r="AG3626" s="5" t="s">
        <v>238</v>
      </c>
      <c r="AH3626" s="5" t="s">
        <v>238</v>
      </c>
      <c r="AI3626" s="5" t="s">
        <v>238</v>
      </c>
      <c r="AJ3626" s="5" t="s">
        <v>238</v>
      </c>
      <c r="AK3626" s="5" t="s">
        <v>238</v>
      </c>
      <c r="AL3626" s="5" t="s">
        <v>238</v>
      </c>
      <c r="AM3626" s="6" t="s">
        <v>238</v>
      </c>
      <c r="AN3626" s="6" t="s">
        <v>238</v>
      </c>
      <c r="AO3626" s="6" t="s">
        <v>238</v>
      </c>
      <c r="AP3626" s="6" t="s">
        <v>238</v>
      </c>
      <c r="AQ3626" s="5" t="s">
        <v>238</v>
      </c>
      <c r="AR3626" s="5" t="s">
        <v>488</v>
      </c>
      <c r="AS3626" s="5" t="s">
        <v>488</v>
      </c>
      <c r="AT3626" s="5" t="s">
        <v>246</v>
      </c>
      <c r="AU3626" s="5" t="s">
        <v>489</v>
      </c>
      <c r="AV3626" s="5" t="s">
        <v>247</v>
      </c>
      <c r="AW3626" s="5" t="s">
        <v>238</v>
      </c>
      <c r="AX3626" s="5" t="s">
        <v>249</v>
      </c>
      <c r="AY3626" s="5" t="s">
        <v>490</v>
      </c>
      <c r="BA3626" s="5" t="s">
        <v>238</v>
      </c>
      <c r="BC3626" s="5" t="s">
        <v>491</v>
      </c>
      <c r="BD3626" s="6" t="s">
        <v>492</v>
      </c>
      <c r="BE3626" s="5" t="s">
        <v>493</v>
      </c>
      <c r="BF3626" s="5" t="s">
        <v>493</v>
      </c>
      <c r="BG3626" s="5" t="s">
        <v>238</v>
      </c>
      <c r="BH3626" s="8">
        <f>1</f>
        <v>1</v>
      </c>
      <c r="BI3626" s="8">
        <f>1</f>
        <v>1</v>
      </c>
      <c r="BJ3626" s="5" t="s">
        <v>253</v>
      </c>
      <c r="BK3626" s="5" t="s">
        <v>254</v>
      </c>
      <c r="BL3626" s="5" t="s">
        <v>238</v>
      </c>
      <c r="BM3626" s="5" t="s">
        <v>238</v>
      </c>
      <c r="BN3626" s="5" t="s">
        <v>238</v>
      </c>
      <c r="BO3626" s="5" t="s">
        <v>238</v>
      </c>
      <c r="BP3626" s="5" t="s">
        <v>238</v>
      </c>
      <c r="BQ3626" s="5" t="s">
        <v>238</v>
      </c>
      <c r="BR3626" s="5" t="s">
        <v>238</v>
      </c>
      <c r="BS3626" s="5" t="s">
        <v>238</v>
      </c>
      <c r="BT3626" s="6" t="s">
        <v>238</v>
      </c>
      <c r="BU3626" s="5" t="s">
        <v>238</v>
      </c>
      <c r="BV3626" s="5" t="s">
        <v>238</v>
      </c>
      <c r="BW3626" s="5" t="s">
        <v>238</v>
      </c>
      <c r="BX3626" s="5" t="s">
        <v>254</v>
      </c>
      <c r="BY3626" s="5" t="s">
        <v>238</v>
      </c>
      <c r="BZ3626" s="5" t="s">
        <v>238</v>
      </c>
      <c r="CA3626" s="5" t="s">
        <v>238</v>
      </c>
      <c r="CB3626" s="5" t="s">
        <v>238</v>
      </c>
      <c r="CC3626" s="5" t="s">
        <v>238</v>
      </c>
      <c r="CD3626" s="5" t="s">
        <v>273</v>
      </c>
      <c r="CE3626" s="5" t="s">
        <v>256</v>
      </c>
      <c r="CF3626" s="5" t="s">
        <v>238</v>
      </c>
      <c r="CH3626" s="5" t="s">
        <v>494</v>
      </c>
      <c r="CI3626" s="6" t="s">
        <v>257</v>
      </c>
      <c r="CJ3626" s="5" t="s">
        <v>495</v>
      </c>
      <c r="CK3626" s="5" t="s">
        <v>258</v>
      </c>
      <c r="CL3626" s="5" t="s">
        <v>496</v>
      </c>
      <c r="CM3626" s="5" t="s">
        <v>238</v>
      </c>
      <c r="CN3626" s="5">
        <v>0</v>
      </c>
      <c r="CO3626" s="5" t="s">
        <v>497</v>
      </c>
      <c r="CP3626" s="5" t="s">
        <v>260</v>
      </c>
      <c r="CQ3626" s="5" t="s">
        <v>260</v>
      </c>
      <c r="CR3626" s="5" t="s">
        <v>261</v>
      </c>
      <c r="CS3626" s="5" t="s">
        <v>498</v>
      </c>
      <c r="CT3626" s="7">
        <f>1</f>
        <v>1</v>
      </c>
      <c r="CU3626" s="8">
        <f>1</f>
        <v>1</v>
      </c>
      <c r="CV3626" s="8">
        <f>0</f>
        <v>0</v>
      </c>
      <c r="CX3626" s="8">
        <f>1</f>
        <v>1</v>
      </c>
      <c r="CY3626" s="8">
        <f>1</f>
        <v>1</v>
      </c>
      <c r="CZ3626" s="8" t="s">
        <v>238</v>
      </c>
      <c r="DA3626" s="5" t="s">
        <v>238</v>
      </c>
      <c r="DB3626" s="5" t="s">
        <v>238</v>
      </c>
      <c r="DC3626" s="5" t="s">
        <v>238</v>
      </c>
      <c r="DD3626" s="5" t="s">
        <v>238</v>
      </c>
      <c r="DE3626" s="8">
        <f>0</f>
        <v>0</v>
      </c>
      <c r="DG3626" s="5" t="s">
        <v>238</v>
      </c>
      <c r="DH3626" s="5" t="s">
        <v>238</v>
      </c>
      <c r="DI3626" s="5" t="s">
        <v>238</v>
      </c>
      <c r="DJ3626" s="5" t="s">
        <v>238</v>
      </c>
      <c r="DK3626" s="5" t="s">
        <v>238</v>
      </c>
      <c r="DL3626" s="5" t="s">
        <v>238</v>
      </c>
      <c r="DM3626" s="8" t="s">
        <v>238</v>
      </c>
      <c r="DN3626" s="5" t="s">
        <v>238</v>
      </c>
      <c r="DO3626" s="5" t="s">
        <v>238</v>
      </c>
      <c r="DP3626" s="5" t="s">
        <v>490</v>
      </c>
      <c r="DQ3626" s="5" t="s">
        <v>490</v>
      </c>
      <c r="DR3626" s="5" t="s">
        <v>238</v>
      </c>
      <c r="DS3626" s="5" t="s">
        <v>238</v>
      </c>
      <c r="DT3626" s="5" t="s">
        <v>500</v>
      </c>
      <c r="DU3626" s="5" t="s">
        <v>456</v>
      </c>
      <c r="DV3626" s="5" t="s">
        <v>238</v>
      </c>
      <c r="DW3626" s="5" t="s">
        <v>238</v>
      </c>
      <c r="DX3626" s="5" t="s">
        <v>238</v>
      </c>
      <c r="DY3626" s="5" t="s">
        <v>238</v>
      </c>
      <c r="DZ3626" s="5" t="s">
        <v>238</v>
      </c>
      <c r="EA3626" s="5" t="s">
        <v>238</v>
      </c>
      <c r="EB3626" s="5" t="s">
        <v>238</v>
      </c>
      <c r="EC3626" s="5" t="s">
        <v>238</v>
      </c>
      <c r="ED3626" s="5" t="s">
        <v>238</v>
      </c>
      <c r="EE3626" s="5" t="s">
        <v>238</v>
      </c>
      <c r="EF3626" s="5" t="s">
        <v>238</v>
      </c>
      <c r="EG3626" s="5" t="s">
        <v>238</v>
      </c>
      <c r="EH3626" s="5" t="s">
        <v>238</v>
      </c>
      <c r="EI3626" s="5" t="s">
        <v>238</v>
      </c>
      <c r="EJ3626" s="5" t="s">
        <v>238</v>
      </c>
      <c r="EK3626" s="5" t="s">
        <v>238</v>
      </c>
      <c r="EL3626" s="5" t="s">
        <v>238</v>
      </c>
      <c r="EM3626" s="5" t="s">
        <v>238</v>
      </c>
      <c r="EN3626" s="5" t="s">
        <v>238</v>
      </c>
      <c r="EO3626" s="5" t="s">
        <v>238</v>
      </c>
      <c r="EP3626" s="5" t="s">
        <v>238</v>
      </c>
      <c r="EQ3626" s="5" t="s">
        <v>238</v>
      </c>
      <c r="ER3626" s="5" t="s">
        <v>238</v>
      </c>
      <c r="ES3626" s="5" t="s">
        <v>238</v>
      </c>
      <c r="ET3626" s="5" t="s">
        <v>238</v>
      </c>
      <c r="EU3626" s="5" t="s">
        <v>238</v>
      </c>
      <c r="EV3626" s="5" t="s">
        <v>238</v>
      </c>
      <c r="EW3626" s="5" t="s">
        <v>238</v>
      </c>
      <c r="EX3626" s="5" t="s">
        <v>238</v>
      </c>
      <c r="EY3626" s="5" t="s">
        <v>238</v>
      </c>
      <c r="EZ3626" s="5" t="s">
        <v>238</v>
      </c>
      <c r="FA3626" s="5" t="s">
        <v>238</v>
      </c>
      <c r="FB3626" s="5" t="s">
        <v>238</v>
      </c>
      <c r="FC3626" s="5" t="s">
        <v>238</v>
      </c>
      <c r="FD3626" s="5" t="s">
        <v>238</v>
      </c>
      <c r="FE3626" s="5" t="s">
        <v>238</v>
      </c>
      <c r="FF3626" s="5" t="s">
        <v>238</v>
      </c>
      <c r="FG3626" s="5" t="s">
        <v>238</v>
      </c>
      <c r="FH3626" s="5" t="s">
        <v>238</v>
      </c>
      <c r="FI3626" s="5" t="s">
        <v>238</v>
      </c>
      <c r="FJ3626" s="5" t="s">
        <v>238</v>
      </c>
      <c r="FK3626" s="5" t="s">
        <v>238</v>
      </c>
      <c r="FL3626" s="5" t="s">
        <v>238</v>
      </c>
      <c r="FM3626" s="5" t="s">
        <v>238</v>
      </c>
      <c r="FN3626" s="5" t="s">
        <v>238</v>
      </c>
      <c r="FO3626" s="5" t="s">
        <v>238</v>
      </c>
      <c r="FP3626" s="5" t="s">
        <v>238</v>
      </c>
      <c r="FQ3626" s="5" t="s">
        <v>238</v>
      </c>
      <c r="FR3626" s="5" t="s">
        <v>238</v>
      </c>
      <c r="FS3626" s="5" t="s">
        <v>238</v>
      </c>
      <c r="FT3626" s="5" t="s">
        <v>238</v>
      </c>
      <c r="FU3626" s="5" t="s">
        <v>238</v>
      </c>
      <c r="FV3626" s="5" t="s">
        <v>238</v>
      </c>
      <c r="FW3626" s="5" t="s">
        <v>238</v>
      </c>
      <c r="FX3626" s="5" t="s">
        <v>238</v>
      </c>
      <c r="FY3626" s="5" t="s">
        <v>238</v>
      </c>
      <c r="FZ3626" s="5" t="s">
        <v>238</v>
      </c>
      <c r="GA3626" s="5" t="s">
        <v>238</v>
      </c>
      <c r="GB3626" s="5" t="s">
        <v>238</v>
      </c>
      <c r="GC3626" s="5" t="s">
        <v>238</v>
      </c>
      <c r="GD3626" s="5" t="s">
        <v>238</v>
      </c>
      <c r="GE3626" s="5" t="s">
        <v>238</v>
      </c>
      <c r="GF3626" s="5" t="s">
        <v>238</v>
      </c>
      <c r="GG3626" s="5" t="s">
        <v>238</v>
      </c>
      <c r="GH3626" s="5" t="s">
        <v>238</v>
      </c>
      <c r="GI3626" s="5" t="s">
        <v>238</v>
      </c>
      <c r="GJ3626" s="5" t="s">
        <v>238</v>
      </c>
      <c r="GK3626" s="5" t="s">
        <v>238</v>
      </c>
      <c r="GL3626" s="5" t="s">
        <v>238</v>
      </c>
      <c r="GM3626" s="5" t="s">
        <v>238</v>
      </c>
      <c r="GN3626" s="5" t="s">
        <v>238</v>
      </c>
      <c r="GO3626" s="5" t="s">
        <v>238</v>
      </c>
      <c r="GP3626" s="5" t="s">
        <v>238</v>
      </c>
      <c r="GQ3626" s="5" t="s">
        <v>238</v>
      </c>
      <c r="GR3626" s="5" t="s">
        <v>238</v>
      </c>
      <c r="GS3626" s="5" t="s">
        <v>238</v>
      </c>
      <c r="GT3626" s="5" t="s">
        <v>238</v>
      </c>
      <c r="GU3626" s="5" t="s">
        <v>238</v>
      </c>
      <c r="GV3626" s="5" t="s">
        <v>238</v>
      </c>
      <c r="GW3626" s="5" t="s">
        <v>238</v>
      </c>
      <c r="GX3626" s="5" t="s">
        <v>238</v>
      </c>
      <c r="GY3626" s="5" t="s">
        <v>238</v>
      </c>
      <c r="GZ3626" s="5" t="s">
        <v>238</v>
      </c>
      <c r="HA3626" s="5" t="s">
        <v>238</v>
      </c>
      <c r="HB3626" s="5" t="s">
        <v>238</v>
      </c>
      <c r="HC3626" s="5" t="s">
        <v>238</v>
      </c>
      <c r="HD3626" s="5" t="s">
        <v>238</v>
      </c>
      <c r="HE3626" s="5" t="s">
        <v>238</v>
      </c>
      <c r="HF3626" s="5" t="s">
        <v>238</v>
      </c>
      <c r="HG3626" s="5" t="s">
        <v>238</v>
      </c>
      <c r="HH3626" s="5" t="s">
        <v>238</v>
      </c>
      <c r="HI3626" s="5" t="s">
        <v>238</v>
      </c>
      <c r="HJ3626" s="5" t="s">
        <v>238</v>
      </c>
      <c r="HK3626" s="5" t="s">
        <v>238</v>
      </c>
      <c r="HL3626" s="5" t="s">
        <v>238</v>
      </c>
      <c r="HM3626" s="5" t="s">
        <v>264</v>
      </c>
      <c r="HN3626" s="5" t="s">
        <v>238</v>
      </c>
      <c r="HO3626" s="5" t="s">
        <v>238</v>
      </c>
      <c r="HP3626" s="5" t="s">
        <v>238</v>
      </c>
      <c r="HQ3626" s="5" t="s">
        <v>238</v>
      </c>
      <c r="HR3626" s="5" t="s">
        <v>238</v>
      </c>
      <c r="HS3626" s="5" t="s">
        <v>238</v>
      </c>
      <c r="HT3626" s="5" t="s">
        <v>238</v>
      </c>
      <c r="HU3626" s="5" t="s">
        <v>238</v>
      </c>
      <c r="HV3626" s="5" t="s">
        <v>238</v>
      </c>
      <c r="HW3626" s="5" t="s">
        <v>238</v>
      </c>
      <c r="HX3626" s="5" t="s">
        <v>238</v>
      </c>
      <c r="HY3626" s="5" t="s">
        <v>238</v>
      </c>
      <c r="HZ3626" s="5" t="s">
        <v>238</v>
      </c>
      <c r="IA3626" s="5" t="s">
        <v>238</v>
      </c>
      <c r="IB3626" s="5" t="s">
        <v>238</v>
      </c>
      <c r="IC3626" s="5" t="s">
        <v>238</v>
      </c>
      <c r="ID3626" s="5" t="s">
        <v>238</v>
      </c>
    </row>
    <row r="3627" spans="1:238" x14ac:dyDescent="0.4">
      <c r="A3627" s="5">
        <v>9345</v>
      </c>
      <c r="B3627" s="5">
        <v>1</v>
      </c>
      <c r="C3627" s="5">
        <v>1</v>
      </c>
      <c r="D3627" s="5" t="s">
        <v>484</v>
      </c>
      <c r="E3627" s="5" t="s">
        <v>485</v>
      </c>
      <c r="F3627" s="5" t="s">
        <v>248</v>
      </c>
      <c r="G3627" s="5" t="s">
        <v>4668</v>
      </c>
      <c r="H3627" s="6" t="s">
        <v>4670</v>
      </c>
      <c r="I3627" s="8">
        <f>1</f>
        <v>1</v>
      </c>
      <c r="J3627" s="5" t="s">
        <v>499</v>
      </c>
      <c r="K3627" s="8">
        <f>1</f>
        <v>1</v>
      </c>
      <c r="L3627" s="6" t="s">
        <v>242</v>
      </c>
      <c r="M3627" s="5" t="s">
        <v>267</v>
      </c>
      <c r="N3627" s="5" t="s">
        <v>482</v>
      </c>
      <c r="O3627" s="5" t="s">
        <v>238</v>
      </c>
      <c r="P3627" s="5" t="s">
        <v>238</v>
      </c>
      <c r="Q3627" s="5" t="s">
        <v>239</v>
      </c>
      <c r="R3627" s="5" t="s">
        <v>270</v>
      </c>
      <c r="S3627" s="5" t="s">
        <v>238</v>
      </c>
      <c r="T3627" s="5" t="s">
        <v>238</v>
      </c>
      <c r="U3627" s="5" t="s">
        <v>238</v>
      </c>
      <c r="V3627" s="5" t="s">
        <v>238</v>
      </c>
      <c r="W3627" s="6" t="s">
        <v>238</v>
      </c>
      <c r="X3627" s="6" t="s">
        <v>238</v>
      </c>
      <c r="Y3627" s="5" t="s">
        <v>238</v>
      </c>
      <c r="Z3627" s="6" t="s">
        <v>238</v>
      </c>
      <c r="AA3627" s="6" t="s">
        <v>243</v>
      </c>
      <c r="AB3627" s="5" t="s">
        <v>4669</v>
      </c>
      <c r="AC3627" s="5" t="s">
        <v>244</v>
      </c>
      <c r="AD3627" s="5" t="s">
        <v>245</v>
      </c>
      <c r="AE3627" s="5" t="s">
        <v>238</v>
      </c>
      <c r="AF3627" s="5" t="s">
        <v>238</v>
      </c>
      <c r="AG3627" s="5" t="s">
        <v>238</v>
      </c>
      <c r="AH3627" s="5" t="s">
        <v>238</v>
      </c>
      <c r="AI3627" s="5" t="s">
        <v>238</v>
      </c>
      <c r="AJ3627" s="5" t="s">
        <v>238</v>
      </c>
      <c r="AK3627" s="5" t="s">
        <v>238</v>
      </c>
      <c r="AL3627" s="5" t="s">
        <v>238</v>
      </c>
      <c r="AM3627" s="6" t="s">
        <v>238</v>
      </c>
      <c r="AN3627" s="6" t="s">
        <v>238</v>
      </c>
      <c r="AO3627" s="6" t="s">
        <v>238</v>
      </c>
      <c r="AP3627" s="6" t="s">
        <v>238</v>
      </c>
      <c r="AQ3627" s="5" t="s">
        <v>238</v>
      </c>
      <c r="AR3627" s="5" t="s">
        <v>488</v>
      </c>
      <c r="AS3627" s="5" t="s">
        <v>488</v>
      </c>
      <c r="AT3627" s="5" t="s">
        <v>246</v>
      </c>
      <c r="AU3627" s="5" t="s">
        <v>489</v>
      </c>
      <c r="AV3627" s="5" t="s">
        <v>247</v>
      </c>
      <c r="AW3627" s="5" t="s">
        <v>238</v>
      </c>
      <c r="AX3627" s="5" t="s">
        <v>249</v>
      </c>
      <c r="AY3627" s="5" t="s">
        <v>490</v>
      </c>
      <c r="BA3627" s="5" t="s">
        <v>238</v>
      </c>
      <c r="BC3627" s="5" t="s">
        <v>491</v>
      </c>
      <c r="BD3627" s="6" t="s">
        <v>492</v>
      </c>
      <c r="BE3627" s="5" t="s">
        <v>493</v>
      </c>
      <c r="BF3627" s="5" t="s">
        <v>493</v>
      </c>
      <c r="BG3627" s="5" t="s">
        <v>238</v>
      </c>
      <c r="BH3627" s="8">
        <f>1</f>
        <v>1</v>
      </c>
      <c r="BI3627" s="8">
        <f>1</f>
        <v>1</v>
      </c>
      <c r="BJ3627" s="5" t="s">
        <v>253</v>
      </c>
      <c r="BK3627" s="5" t="s">
        <v>254</v>
      </c>
      <c r="BL3627" s="5" t="s">
        <v>238</v>
      </c>
      <c r="BM3627" s="5" t="s">
        <v>238</v>
      </c>
      <c r="BN3627" s="5" t="s">
        <v>238</v>
      </c>
      <c r="BO3627" s="5" t="s">
        <v>238</v>
      </c>
      <c r="BP3627" s="5" t="s">
        <v>238</v>
      </c>
      <c r="BQ3627" s="5" t="s">
        <v>238</v>
      </c>
      <c r="BR3627" s="5" t="s">
        <v>238</v>
      </c>
      <c r="BS3627" s="5" t="s">
        <v>238</v>
      </c>
      <c r="BT3627" s="6" t="s">
        <v>238</v>
      </c>
      <c r="BU3627" s="5" t="s">
        <v>238</v>
      </c>
      <c r="BV3627" s="5" t="s">
        <v>238</v>
      </c>
      <c r="BW3627" s="5" t="s">
        <v>238</v>
      </c>
      <c r="BX3627" s="5" t="s">
        <v>254</v>
      </c>
      <c r="BY3627" s="5" t="s">
        <v>238</v>
      </c>
      <c r="BZ3627" s="5" t="s">
        <v>238</v>
      </c>
      <c r="CA3627" s="5" t="s">
        <v>238</v>
      </c>
      <c r="CB3627" s="5" t="s">
        <v>238</v>
      </c>
      <c r="CC3627" s="5" t="s">
        <v>238</v>
      </c>
      <c r="CD3627" s="5" t="s">
        <v>273</v>
      </c>
      <c r="CE3627" s="5" t="s">
        <v>256</v>
      </c>
      <c r="CF3627" s="5" t="s">
        <v>238</v>
      </c>
      <c r="CH3627" s="5" t="s">
        <v>494</v>
      </c>
      <c r="CI3627" s="6" t="s">
        <v>257</v>
      </c>
      <c r="CJ3627" s="5" t="s">
        <v>495</v>
      </c>
      <c r="CK3627" s="5" t="s">
        <v>258</v>
      </c>
      <c r="CL3627" s="5" t="s">
        <v>496</v>
      </c>
      <c r="CM3627" s="5" t="s">
        <v>238</v>
      </c>
      <c r="CN3627" s="5">
        <v>0</v>
      </c>
      <c r="CO3627" s="5" t="s">
        <v>497</v>
      </c>
      <c r="CP3627" s="5" t="s">
        <v>260</v>
      </c>
      <c r="CQ3627" s="5" t="s">
        <v>260</v>
      </c>
      <c r="CR3627" s="5" t="s">
        <v>261</v>
      </c>
      <c r="CS3627" s="5" t="s">
        <v>498</v>
      </c>
      <c r="CT3627" s="7">
        <f>1</f>
        <v>1</v>
      </c>
      <c r="CU3627" s="8">
        <f>1</f>
        <v>1</v>
      </c>
      <c r="CV3627" s="8">
        <f>0</f>
        <v>0</v>
      </c>
      <c r="CX3627" s="8">
        <f>1</f>
        <v>1</v>
      </c>
      <c r="CY3627" s="8">
        <f>1</f>
        <v>1</v>
      </c>
      <c r="CZ3627" s="8" t="s">
        <v>238</v>
      </c>
      <c r="DA3627" s="5" t="s">
        <v>238</v>
      </c>
      <c r="DB3627" s="5" t="s">
        <v>238</v>
      </c>
      <c r="DC3627" s="5" t="s">
        <v>238</v>
      </c>
      <c r="DD3627" s="5" t="s">
        <v>238</v>
      </c>
      <c r="DE3627" s="8">
        <f>0</f>
        <v>0</v>
      </c>
      <c r="DG3627" s="5" t="s">
        <v>238</v>
      </c>
      <c r="DH3627" s="5" t="s">
        <v>238</v>
      </c>
      <c r="DI3627" s="5" t="s">
        <v>238</v>
      </c>
      <c r="DJ3627" s="5" t="s">
        <v>238</v>
      </c>
      <c r="DK3627" s="5" t="s">
        <v>238</v>
      </c>
      <c r="DL3627" s="5" t="s">
        <v>238</v>
      </c>
      <c r="DM3627" s="8" t="s">
        <v>238</v>
      </c>
      <c r="DN3627" s="5" t="s">
        <v>238</v>
      </c>
      <c r="DO3627" s="5" t="s">
        <v>238</v>
      </c>
      <c r="DP3627" s="5" t="s">
        <v>490</v>
      </c>
      <c r="DQ3627" s="5" t="s">
        <v>490</v>
      </c>
      <c r="DR3627" s="5" t="s">
        <v>238</v>
      </c>
      <c r="DS3627" s="5" t="s">
        <v>238</v>
      </c>
      <c r="DT3627" s="5" t="s">
        <v>500</v>
      </c>
      <c r="DU3627" s="5" t="s">
        <v>245</v>
      </c>
      <c r="DV3627" s="5" t="s">
        <v>238</v>
      </c>
      <c r="DW3627" s="5" t="s">
        <v>238</v>
      </c>
      <c r="DX3627" s="5" t="s">
        <v>238</v>
      </c>
      <c r="DY3627" s="5" t="s">
        <v>238</v>
      </c>
      <c r="DZ3627" s="5" t="s">
        <v>238</v>
      </c>
      <c r="EA3627" s="5" t="s">
        <v>238</v>
      </c>
      <c r="EB3627" s="5" t="s">
        <v>238</v>
      </c>
      <c r="EC3627" s="5" t="s">
        <v>238</v>
      </c>
      <c r="ED3627" s="5" t="s">
        <v>238</v>
      </c>
      <c r="EE3627" s="5" t="s">
        <v>238</v>
      </c>
      <c r="EF3627" s="5" t="s">
        <v>238</v>
      </c>
      <c r="EG3627" s="5" t="s">
        <v>238</v>
      </c>
      <c r="EH3627" s="5" t="s">
        <v>238</v>
      </c>
      <c r="EI3627" s="5" t="s">
        <v>238</v>
      </c>
      <c r="EJ3627" s="5" t="s">
        <v>238</v>
      </c>
      <c r="EK3627" s="5" t="s">
        <v>238</v>
      </c>
      <c r="EL3627" s="5" t="s">
        <v>238</v>
      </c>
      <c r="EM3627" s="5" t="s">
        <v>238</v>
      </c>
      <c r="EN3627" s="5" t="s">
        <v>238</v>
      </c>
      <c r="EO3627" s="5" t="s">
        <v>238</v>
      </c>
      <c r="EP3627" s="5" t="s">
        <v>238</v>
      </c>
      <c r="EQ3627" s="5" t="s">
        <v>238</v>
      </c>
      <c r="ER3627" s="5" t="s">
        <v>238</v>
      </c>
      <c r="ES3627" s="5" t="s">
        <v>238</v>
      </c>
      <c r="ET3627" s="5" t="s">
        <v>238</v>
      </c>
      <c r="EU3627" s="5" t="s">
        <v>238</v>
      </c>
      <c r="EV3627" s="5" t="s">
        <v>238</v>
      </c>
      <c r="EW3627" s="5" t="s">
        <v>238</v>
      </c>
      <c r="EX3627" s="5" t="s">
        <v>238</v>
      </c>
      <c r="EY3627" s="5" t="s">
        <v>238</v>
      </c>
      <c r="EZ3627" s="5" t="s">
        <v>238</v>
      </c>
      <c r="FA3627" s="5" t="s">
        <v>238</v>
      </c>
      <c r="FB3627" s="5" t="s">
        <v>238</v>
      </c>
      <c r="FC3627" s="5" t="s">
        <v>238</v>
      </c>
      <c r="FD3627" s="5" t="s">
        <v>238</v>
      </c>
      <c r="FE3627" s="5" t="s">
        <v>238</v>
      </c>
      <c r="FF3627" s="5" t="s">
        <v>238</v>
      </c>
      <c r="FG3627" s="5" t="s">
        <v>238</v>
      </c>
      <c r="FH3627" s="5" t="s">
        <v>238</v>
      </c>
      <c r="FI3627" s="5" t="s">
        <v>238</v>
      </c>
      <c r="FJ3627" s="5" t="s">
        <v>238</v>
      </c>
      <c r="FK3627" s="5" t="s">
        <v>238</v>
      </c>
      <c r="FL3627" s="5" t="s">
        <v>238</v>
      </c>
      <c r="FM3627" s="5" t="s">
        <v>238</v>
      </c>
      <c r="FN3627" s="5" t="s">
        <v>238</v>
      </c>
      <c r="FO3627" s="5" t="s">
        <v>238</v>
      </c>
      <c r="FP3627" s="5" t="s">
        <v>238</v>
      </c>
      <c r="FQ3627" s="5" t="s">
        <v>238</v>
      </c>
      <c r="FR3627" s="5" t="s">
        <v>238</v>
      </c>
      <c r="FS3627" s="5" t="s">
        <v>238</v>
      </c>
      <c r="FT3627" s="5" t="s">
        <v>238</v>
      </c>
      <c r="FU3627" s="5" t="s">
        <v>238</v>
      </c>
      <c r="FV3627" s="5" t="s">
        <v>238</v>
      </c>
      <c r="FW3627" s="5" t="s">
        <v>238</v>
      </c>
      <c r="FX3627" s="5" t="s">
        <v>238</v>
      </c>
      <c r="FY3627" s="5" t="s">
        <v>238</v>
      </c>
      <c r="FZ3627" s="5" t="s">
        <v>238</v>
      </c>
      <c r="GA3627" s="5" t="s">
        <v>238</v>
      </c>
      <c r="GB3627" s="5" t="s">
        <v>238</v>
      </c>
      <c r="GC3627" s="5" t="s">
        <v>238</v>
      </c>
      <c r="GD3627" s="5" t="s">
        <v>238</v>
      </c>
      <c r="GE3627" s="5" t="s">
        <v>238</v>
      </c>
      <c r="GF3627" s="5" t="s">
        <v>238</v>
      </c>
      <c r="GG3627" s="5" t="s">
        <v>238</v>
      </c>
      <c r="GH3627" s="5" t="s">
        <v>238</v>
      </c>
      <c r="GI3627" s="5" t="s">
        <v>238</v>
      </c>
      <c r="GJ3627" s="5" t="s">
        <v>238</v>
      </c>
      <c r="GK3627" s="5" t="s">
        <v>238</v>
      </c>
      <c r="GL3627" s="5" t="s">
        <v>238</v>
      </c>
      <c r="GM3627" s="5" t="s">
        <v>238</v>
      </c>
      <c r="GN3627" s="5" t="s">
        <v>238</v>
      </c>
      <c r="GO3627" s="5" t="s">
        <v>238</v>
      </c>
      <c r="GP3627" s="5" t="s">
        <v>238</v>
      </c>
      <c r="GQ3627" s="5" t="s">
        <v>238</v>
      </c>
      <c r="GR3627" s="5" t="s">
        <v>238</v>
      </c>
      <c r="GS3627" s="5" t="s">
        <v>238</v>
      </c>
      <c r="GT3627" s="5" t="s">
        <v>238</v>
      </c>
      <c r="GU3627" s="5" t="s">
        <v>238</v>
      </c>
      <c r="GV3627" s="5" t="s">
        <v>238</v>
      </c>
      <c r="GW3627" s="5" t="s">
        <v>238</v>
      </c>
      <c r="GX3627" s="5" t="s">
        <v>238</v>
      </c>
      <c r="GY3627" s="5" t="s">
        <v>238</v>
      </c>
      <c r="GZ3627" s="5" t="s">
        <v>238</v>
      </c>
      <c r="HA3627" s="5" t="s">
        <v>238</v>
      </c>
      <c r="HB3627" s="5" t="s">
        <v>238</v>
      </c>
      <c r="HC3627" s="5" t="s">
        <v>238</v>
      </c>
      <c r="HD3627" s="5" t="s">
        <v>238</v>
      </c>
      <c r="HE3627" s="5" t="s">
        <v>238</v>
      </c>
      <c r="HF3627" s="5" t="s">
        <v>238</v>
      </c>
      <c r="HG3627" s="5" t="s">
        <v>238</v>
      </c>
      <c r="HH3627" s="5" t="s">
        <v>238</v>
      </c>
      <c r="HI3627" s="5" t="s">
        <v>238</v>
      </c>
      <c r="HJ3627" s="5" t="s">
        <v>238</v>
      </c>
      <c r="HK3627" s="5" t="s">
        <v>238</v>
      </c>
      <c r="HL3627" s="5" t="s">
        <v>238</v>
      </c>
      <c r="HM3627" s="5" t="s">
        <v>264</v>
      </c>
      <c r="HN3627" s="5" t="s">
        <v>238</v>
      </c>
      <c r="HO3627" s="5" t="s">
        <v>238</v>
      </c>
      <c r="HP3627" s="5" t="s">
        <v>238</v>
      </c>
      <c r="HQ3627" s="5" t="s">
        <v>238</v>
      </c>
      <c r="HR3627" s="5" t="s">
        <v>238</v>
      </c>
      <c r="HS3627" s="5" t="s">
        <v>238</v>
      </c>
      <c r="HT3627" s="5" t="s">
        <v>238</v>
      </c>
      <c r="HU3627" s="5" t="s">
        <v>238</v>
      </c>
      <c r="HV3627" s="5" t="s">
        <v>238</v>
      </c>
      <c r="HW3627" s="5" t="s">
        <v>238</v>
      </c>
      <c r="HX3627" s="5" t="s">
        <v>238</v>
      </c>
      <c r="HY3627" s="5" t="s">
        <v>238</v>
      </c>
      <c r="HZ3627" s="5" t="s">
        <v>238</v>
      </c>
      <c r="IA3627" s="5" t="s">
        <v>238</v>
      </c>
      <c r="IB3627" s="5" t="s">
        <v>238</v>
      </c>
      <c r="IC3627" s="5" t="s">
        <v>238</v>
      </c>
      <c r="ID3627" s="5" t="s">
        <v>238</v>
      </c>
    </row>
    <row r="3628" spans="1:238" x14ac:dyDescent="0.4">
      <c r="A3628" s="5">
        <v>9346</v>
      </c>
      <c r="B3628" s="5">
        <v>1</v>
      </c>
      <c r="C3628" s="5">
        <v>1</v>
      </c>
      <c r="D3628" s="5" t="s">
        <v>484</v>
      </c>
      <c r="E3628" s="5" t="s">
        <v>485</v>
      </c>
      <c r="F3628" s="5" t="s">
        <v>248</v>
      </c>
      <c r="G3628" s="5" t="s">
        <v>6396</v>
      </c>
      <c r="H3628" s="6" t="s">
        <v>6397</v>
      </c>
      <c r="I3628" s="8">
        <f>1</f>
        <v>1</v>
      </c>
      <c r="J3628" s="5" t="s">
        <v>499</v>
      </c>
      <c r="K3628" s="8">
        <f>1</f>
        <v>1</v>
      </c>
      <c r="L3628" s="6" t="s">
        <v>242</v>
      </c>
      <c r="M3628" s="5" t="s">
        <v>267</v>
      </c>
      <c r="N3628" s="5" t="s">
        <v>482</v>
      </c>
      <c r="O3628" s="5" t="s">
        <v>238</v>
      </c>
      <c r="P3628" s="5" t="s">
        <v>238</v>
      </c>
      <c r="Q3628" s="5" t="s">
        <v>239</v>
      </c>
      <c r="R3628" s="5" t="s">
        <v>270</v>
      </c>
      <c r="S3628" s="5" t="s">
        <v>238</v>
      </c>
      <c r="T3628" s="5" t="s">
        <v>238</v>
      </c>
      <c r="U3628" s="5" t="s">
        <v>238</v>
      </c>
      <c r="V3628" s="5" t="s">
        <v>238</v>
      </c>
      <c r="W3628" s="6" t="s">
        <v>238</v>
      </c>
      <c r="X3628" s="6" t="s">
        <v>238</v>
      </c>
      <c r="Y3628" s="5" t="s">
        <v>238</v>
      </c>
      <c r="Z3628" s="6" t="s">
        <v>238</v>
      </c>
      <c r="AA3628" s="6" t="s">
        <v>243</v>
      </c>
      <c r="AB3628" s="5" t="s">
        <v>486</v>
      </c>
      <c r="AC3628" s="5" t="s">
        <v>244</v>
      </c>
      <c r="AD3628" s="5" t="s">
        <v>245</v>
      </c>
      <c r="AE3628" s="5" t="s">
        <v>238</v>
      </c>
      <c r="AF3628" s="5" t="s">
        <v>238</v>
      </c>
      <c r="AG3628" s="5" t="s">
        <v>238</v>
      </c>
      <c r="AH3628" s="5" t="s">
        <v>238</v>
      </c>
      <c r="AI3628" s="5" t="s">
        <v>238</v>
      </c>
      <c r="AJ3628" s="5" t="s">
        <v>238</v>
      </c>
      <c r="AK3628" s="5" t="s">
        <v>238</v>
      </c>
      <c r="AL3628" s="5" t="s">
        <v>238</v>
      </c>
      <c r="AM3628" s="6" t="s">
        <v>238</v>
      </c>
      <c r="AN3628" s="6" t="s">
        <v>238</v>
      </c>
      <c r="AO3628" s="6" t="s">
        <v>238</v>
      </c>
      <c r="AP3628" s="6" t="s">
        <v>238</v>
      </c>
      <c r="AQ3628" s="5" t="s">
        <v>238</v>
      </c>
      <c r="AR3628" s="5" t="s">
        <v>488</v>
      </c>
      <c r="AS3628" s="5" t="s">
        <v>488</v>
      </c>
      <c r="AT3628" s="5" t="s">
        <v>246</v>
      </c>
      <c r="AU3628" s="5" t="s">
        <v>489</v>
      </c>
      <c r="AV3628" s="5" t="s">
        <v>247</v>
      </c>
      <c r="AW3628" s="5" t="s">
        <v>238</v>
      </c>
      <c r="AX3628" s="5" t="s">
        <v>249</v>
      </c>
      <c r="AY3628" s="5" t="s">
        <v>490</v>
      </c>
      <c r="BA3628" s="5" t="s">
        <v>238</v>
      </c>
      <c r="BC3628" s="5" t="s">
        <v>491</v>
      </c>
      <c r="BD3628" s="6" t="s">
        <v>492</v>
      </c>
      <c r="BE3628" s="5" t="s">
        <v>493</v>
      </c>
      <c r="BF3628" s="5" t="s">
        <v>493</v>
      </c>
      <c r="BG3628" s="5" t="s">
        <v>238</v>
      </c>
      <c r="BH3628" s="8">
        <f>1</f>
        <v>1</v>
      </c>
      <c r="BI3628" s="8">
        <f>1</f>
        <v>1</v>
      </c>
      <c r="BJ3628" s="5" t="s">
        <v>253</v>
      </c>
      <c r="BK3628" s="5" t="s">
        <v>254</v>
      </c>
      <c r="BL3628" s="5" t="s">
        <v>238</v>
      </c>
      <c r="BM3628" s="5" t="s">
        <v>238</v>
      </c>
      <c r="BN3628" s="5" t="s">
        <v>238</v>
      </c>
      <c r="BO3628" s="5" t="s">
        <v>238</v>
      </c>
      <c r="BP3628" s="5" t="s">
        <v>238</v>
      </c>
      <c r="BQ3628" s="5" t="s">
        <v>238</v>
      </c>
      <c r="BR3628" s="5" t="s">
        <v>238</v>
      </c>
      <c r="BS3628" s="5" t="s">
        <v>238</v>
      </c>
      <c r="BT3628" s="6" t="s">
        <v>238</v>
      </c>
      <c r="BU3628" s="5" t="s">
        <v>238</v>
      </c>
      <c r="BV3628" s="5" t="s">
        <v>238</v>
      </c>
      <c r="BW3628" s="5" t="s">
        <v>238</v>
      </c>
      <c r="BX3628" s="5" t="s">
        <v>254</v>
      </c>
      <c r="BY3628" s="5" t="s">
        <v>238</v>
      </c>
      <c r="BZ3628" s="5" t="s">
        <v>238</v>
      </c>
      <c r="CA3628" s="5" t="s">
        <v>238</v>
      </c>
      <c r="CB3628" s="5" t="s">
        <v>238</v>
      </c>
      <c r="CC3628" s="5" t="s">
        <v>238</v>
      </c>
      <c r="CD3628" s="5" t="s">
        <v>273</v>
      </c>
      <c r="CE3628" s="5" t="s">
        <v>256</v>
      </c>
      <c r="CF3628" s="5" t="s">
        <v>238</v>
      </c>
      <c r="CH3628" s="5" t="s">
        <v>494</v>
      </c>
      <c r="CI3628" s="6" t="s">
        <v>257</v>
      </c>
      <c r="CJ3628" s="5" t="s">
        <v>495</v>
      </c>
      <c r="CK3628" s="5" t="s">
        <v>258</v>
      </c>
      <c r="CL3628" s="5" t="s">
        <v>496</v>
      </c>
      <c r="CM3628" s="5" t="s">
        <v>238</v>
      </c>
      <c r="CN3628" s="5">
        <v>0</v>
      </c>
      <c r="CO3628" s="5" t="s">
        <v>497</v>
      </c>
      <c r="CP3628" s="5" t="s">
        <v>260</v>
      </c>
      <c r="CQ3628" s="5" t="s">
        <v>260</v>
      </c>
      <c r="CR3628" s="5" t="s">
        <v>261</v>
      </c>
      <c r="CS3628" s="5" t="s">
        <v>498</v>
      </c>
      <c r="CT3628" s="7">
        <f>1</f>
        <v>1</v>
      </c>
      <c r="CU3628" s="8">
        <f>1</f>
        <v>1</v>
      </c>
      <c r="CV3628" s="8">
        <f>0</f>
        <v>0</v>
      </c>
      <c r="CX3628" s="8">
        <f>1</f>
        <v>1</v>
      </c>
      <c r="CY3628" s="8">
        <f>1</f>
        <v>1</v>
      </c>
      <c r="CZ3628" s="8" t="s">
        <v>238</v>
      </c>
      <c r="DA3628" s="5" t="s">
        <v>238</v>
      </c>
      <c r="DB3628" s="5" t="s">
        <v>238</v>
      </c>
      <c r="DC3628" s="5" t="s">
        <v>238</v>
      </c>
      <c r="DD3628" s="5" t="s">
        <v>238</v>
      </c>
      <c r="DE3628" s="8">
        <f>0</f>
        <v>0</v>
      </c>
      <c r="DG3628" s="5" t="s">
        <v>238</v>
      </c>
      <c r="DH3628" s="5" t="s">
        <v>238</v>
      </c>
      <c r="DI3628" s="5" t="s">
        <v>238</v>
      </c>
      <c r="DJ3628" s="5" t="s">
        <v>238</v>
      </c>
      <c r="DK3628" s="5" t="s">
        <v>238</v>
      </c>
      <c r="DL3628" s="5" t="s">
        <v>238</v>
      </c>
      <c r="DM3628" s="8" t="s">
        <v>238</v>
      </c>
      <c r="DN3628" s="5" t="s">
        <v>238</v>
      </c>
      <c r="DO3628" s="5" t="s">
        <v>238</v>
      </c>
      <c r="DP3628" s="5" t="s">
        <v>490</v>
      </c>
      <c r="DQ3628" s="5" t="s">
        <v>490</v>
      </c>
      <c r="DR3628" s="5" t="s">
        <v>238</v>
      </c>
      <c r="DS3628" s="5" t="s">
        <v>238</v>
      </c>
      <c r="DT3628" s="5" t="s">
        <v>500</v>
      </c>
      <c r="DU3628" s="5" t="s">
        <v>1068</v>
      </c>
      <c r="DV3628" s="5" t="s">
        <v>238</v>
      </c>
      <c r="DW3628" s="5" t="s">
        <v>238</v>
      </c>
      <c r="DX3628" s="5" t="s">
        <v>238</v>
      </c>
      <c r="DY3628" s="5" t="s">
        <v>238</v>
      </c>
      <c r="DZ3628" s="5" t="s">
        <v>238</v>
      </c>
      <c r="EA3628" s="5" t="s">
        <v>238</v>
      </c>
      <c r="EB3628" s="5" t="s">
        <v>238</v>
      </c>
      <c r="EC3628" s="5" t="s">
        <v>238</v>
      </c>
      <c r="ED3628" s="5" t="s">
        <v>238</v>
      </c>
      <c r="EE3628" s="5" t="s">
        <v>238</v>
      </c>
      <c r="EF3628" s="5" t="s">
        <v>238</v>
      </c>
      <c r="EG3628" s="5" t="s">
        <v>238</v>
      </c>
      <c r="EH3628" s="5" t="s">
        <v>238</v>
      </c>
      <c r="EI3628" s="5" t="s">
        <v>238</v>
      </c>
      <c r="EJ3628" s="5" t="s">
        <v>238</v>
      </c>
      <c r="EK3628" s="5" t="s">
        <v>238</v>
      </c>
      <c r="EL3628" s="5" t="s">
        <v>238</v>
      </c>
      <c r="EM3628" s="5" t="s">
        <v>238</v>
      </c>
      <c r="EN3628" s="5" t="s">
        <v>238</v>
      </c>
      <c r="EO3628" s="5" t="s">
        <v>238</v>
      </c>
      <c r="EP3628" s="5" t="s">
        <v>238</v>
      </c>
      <c r="EQ3628" s="5" t="s">
        <v>238</v>
      </c>
      <c r="ER3628" s="5" t="s">
        <v>238</v>
      </c>
      <c r="ES3628" s="5" t="s">
        <v>238</v>
      </c>
      <c r="ET3628" s="5" t="s">
        <v>238</v>
      </c>
      <c r="EU3628" s="5" t="s">
        <v>238</v>
      </c>
      <c r="EV3628" s="5" t="s">
        <v>238</v>
      </c>
      <c r="EW3628" s="5" t="s">
        <v>238</v>
      </c>
      <c r="EX3628" s="5" t="s">
        <v>238</v>
      </c>
      <c r="EY3628" s="5" t="s">
        <v>238</v>
      </c>
      <c r="EZ3628" s="5" t="s">
        <v>238</v>
      </c>
      <c r="FA3628" s="5" t="s">
        <v>238</v>
      </c>
      <c r="FB3628" s="5" t="s">
        <v>238</v>
      </c>
      <c r="FC3628" s="5" t="s">
        <v>238</v>
      </c>
      <c r="FD3628" s="5" t="s">
        <v>238</v>
      </c>
      <c r="FE3628" s="5" t="s">
        <v>238</v>
      </c>
      <c r="FF3628" s="5" t="s">
        <v>238</v>
      </c>
      <c r="FG3628" s="5" t="s">
        <v>238</v>
      </c>
      <c r="FH3628" s="5" t="s">
        <v>238</v>
      </c>
      <c r="FI3628" s="5" t="s">
        <v>238</v>
      </c>
      <c r="FJ3628" s="5" t="s">
        <v>238</v>
      </c>
      <c r="FK3628" s="5" t="s">
        <v>238</v>
      </c>
      <c r="FL3628" s="5" t="s">
        <v>238</v>
      </c>
      <c r="FM3628" s="5" t="s">
        <v>238</v>
      </c>
      <c r="FN3628" s="5" t="s">
        <v>238</v>
      </c>
      <c r="FO3628" s="5" t="s">
        <v>238</v>
      </c>
      <c r="FP3628" s="5" t="s">
        <v>238</v>
      </c>
      <c r="FQ3628" s="5" t="s">
        <v>238</v>
      </c>
      <c r="FR3628" s="5" t="s">
        <v>238</v>
      </c>
      <c r="FS3628" s="5" t="s">
        <v>238</v>
      </c>
      <c r="FT3628" s="5" t="s">
        <v>238</v>
      </c>
      <c r="FU3628" s="5" t="s">
        <v>238</v>
      </c>
      <c r="FV3628" s="5" t="s">
        <v>238</v>
      </c>
      <c r="FW3628" s="5" t="s">
        <v>238</v>
      </c>
      <c r="FX3628" s="5" t="s">
        <v>238</v>
      </c>
      <c r="FY3628" s="5" t="s">
        <v>238</v>
      </c>
      <c r="FZ3628" s="5" t="s">
        <v>238</v>
      </c>
      <c r="GA3628" s="5" t="s">
        <v>238</v>
      </c>
      <c r="GB3628" s="5" t="s">
        <v>238</v>
      </c>
      <c r="GC3628" s="5" t="s">
        <v>238</v>
      </c>
      <c r="GD3628" s="5" t="s">
        <v>238</v>
      </c>
      <c r="GE3628" s="5" t="s">
        <v>238</v>
      </c>
      <c r="GF3628" s="5" t="s">
        <v>238</v>
      </c>
      <c r="GG3628" s="5" t="s">
        <v>238</v>
      </c>
      <c r="GH3628" s="5" t="s">
        <v>238</v>
      </c>
      <c r="GI3628" s="5" t="s">
        <v>238</v>
      </c>
      <c r="GJ3628" s="5" t="s">
        <v>238</v>
      </c>
      <c r="GK3628" s="5" t="s">
        <v>238</v>
      </c>
      <c r="GL3628" s="5" t="s">
        <v>238</v>
      </c>
      <c r="GM3628" s="5" t="s">
        <v>238</v>
      </c>
      <c r="GN3628" s="5" t="s">
        <v>238</v>
      </c>
      <c r="GO3628" s="5" t="s">
        <v>238</v>
      </c>
      <c r="GP3628" s="5" t="s">
        <v>238</v>
      </c>
      <c r="GQ3628" s="5" t="s">
        <v>238</v>
      </c>
      <c r="GR3628" s="5" t="s">
        <v>238</v>
      </c>
      <c r="GS3628" s="5" t="s">
        <v>238</v>
      </c>
      <c r="GT3628" s="5" t="s">
        <v>238</v>
      </c>
      <c r="GU3628" s="5" t="s">
        <v>238</v>
      </c>
      <c r="GV3628" s="5" t="s">
        <v>238</v>
      </c>
      <c r="GW3628" s="5" t="s">
        <v>238</v>
      </c>
      <c r="GX3628" s="5" t="s">
        <v>238</v>
      </c>
      <c r="GY3628" s="5" t="s">
        <v>238</v>
      </c>
      <c r="GZ3628" s="5" t="s">
        <v>238</v>
      </c>
      <c r="HA3628" s="5" t="s">
        <v>238</v>
      </c>
      <c r="HB3628" s="5" t="s">
        <v>238</v>
      </c>
      <c r="HC3628" s="5" t="s">
        <v>238</v>
      </c>
      <c r="HD3628" s="5" t="s">
        <v>238</v>
      </c>
      <c r="HE3628" s="5" t="s">
        <v>238</v>
      </c>
      <c r="HF3628" s="5" t="s">
        <v>238</v>
      </c>
      <c r="HG3628" s="5" t="s">
        <v>238</v>
      </c>
      <c r="HH3628" s="5" t="s">
        <v>238</v>
      </c>
      <c r="HI3628" s="5" t="s">
        <v>238</v>
      </c>
      <c r="HJ3628" s="5" t="s">
        <v>238</v>
      </c>
      <c r="HK3628" s="5" t="s">
        <v>238</v>
      </c>
      <c r="HL3628" s="5" t="s">
        <v>238</v>
      </c>
      <c r="HM3628" s="5" t="s">
        <v>264</v>
      </c>
      <c r="HN3628" s="5" t="s">
        <v>238</v>
      </c>
      <c r="HO3628" s="5" t="s">
        <v>238</v>
      </c>
      <c r="HP3628" s="5" t="s">
        <v>238</v>
      </c>
      <c r="HQ3628" s="5" t="s">
        <v>238</v>
      </c>
      <c r="HR3628" s="5" t="s">
        <v>238</v>
      </c>
      <c r="HS3628" s="5" t="s">
        <v>238</v>
      </c>
      <c r="HT3628" s="5" t="s">
        <v>238</v>
      </c>
      <c r="HU3628" s="5" t="s">
        <v>238</v>
      </c>
      <c r="HV3628" s="5" t="s">
        <v>238</v>
      </c>
      <c r="HW3628" s="5" t="s">
        <v>238</v>
      </c>
      <c r="HX3628" s="5" t="s">
        <v>238</v>
      </c>
      <c r="HY3628" s="5" t="s">
        <v>238</v>
      </c>
      <c r="HZ3628" s="5" t="s">
        <v>238</v>
      </c>
      <c r="IA3628" s="5" t="s">
        <v>238</v>
      </c>
      <c r="IB3628" s="5" t="s">
        <v>238</v>
      </c>
      <c r="IC3628" s="5" t="s">
        <v>238</v>
      </c>
      <c r="ID3628" s="5" t="s">
        <v>238</v>
      </c>
    </row>
    <row r="3629" spans="1:238" x14ac:dyDescent="0.4">
      <c r="A3629" s="5">
        <v>9347</v>
      </c>
      <c r="B3629" s="5">
        <v>1</v>
      </c>
      <c r="C3629" s="5">
        <v>1</v>
      </c>
      <c r="D3629" s="5" t="s">
        <v>484</v>
      </c>
      <c r="E3629" s="5" t="s">
        <v>485</v>
      </c>
      <c r="F3629" s="5" t="s">
        <v>248</v>
      </c>
      <c r="G3629" s="5" t="s">
        <v>5338</v>
      </c>
      <c r="H3629" s="6" t="s">
        <v>5340</v>
      </c>
      <c r="I3629" s="8">
        <f>1</f>
        <v>1</v>
      </c>
      <c r="J3629" s="5" t="s">
        <v>499</v>
      </c>
      <c r="K3629" s="8">
        <f>1</f>
        <v>1</v>
      </c>
      <c r="L3629" s="6" t="s">
        <v>242</v>
      </c>
      <c r="M3629" s="5" t="s">
        <v>267</v>
      </c>
      <c r="N3629" s="5" t="s">
        <v>482</v>
      </c>
      <c r="O3629" s="5" t="s">
        <v>238</v>
      </c>
      <c r="P3629" s="5" t="s">
        <v>238</v>
      </c>
      <c r="Q3629" s="5" t="s">
        <v>239</v>
      </c>
      <c r="R3629" s="5" t="s">
        <v>270</v>
      </c>
      <c r="S3629" s="5" t="s">
        <v>238</v>
      </c>
      <c r="T3629" s="5" t="s">
        <v>238</v>
      </c>
      <c r="U3629" s="5" t="s">
        <v>238</v>
      </c>
      <c r="V3629" s="5" t="s">
        <v>238</v>
      </c>
      <c r="W3629" s="6" t="s">
        <v>238</v>
      </c>
      <c r="X3629" s="6" t="s">
        <v>238</v>
      </c>
      <c r="Y3629" s="5" t="s">
        <v>238</v>
      </c>
      <c r="Z3629" s="6" t="s">
        <v>238</v>
      </c>
      <c r="AA3629" s="6" t="s">
        <v>243</v>
      </c>
      <c r="AB3629" s="5" t="s">
        <v>5339</v>
      </c>
      <c r="AC3629" s="5" t="s">
        <v>244</v>
      </c>
      <c r="AD3629" s="5" t="s">
        <v>245</v>
      </c>
      <c r="AE3629" s="5" t="s">
        <v>238</v>
      </c>
      <c r="AF3629" s="5" t="s">
        <v>238</v>
      </c>
      <c r="AG3629" s="5" t="s">
        <v>238</v>
      </c>
      <c r="AH3629" s="5" t="s">
        <v>238</v>
      </c>
      <c r="AI3629" s="5" t="s">
        <v>238</v>
      </c>
      <c r="AJ3629" s="5" t="s">
        <v>238</v>
      </c>
      <c r="AK3629" s="5" t="s">
        <v>238</v>
      </c>
      <c r="AL3629" s="5" t="s">
        <v>238</v>
      </c>
      <c r="AM3629" s="6" t="s">
        <v>238</v>
      </c>
      <c r="AN3629" s="6" t="s">
        <v>238</v>
      </c>
      <c r="AO3629" s="6" t="s">
        <v>238</v>
      </c>
      <c r="AP3629" s="6" t="s">
        <v>238</v>
      </c>
      <c r="AQ3629" s="5" t="s">
        <v>238</v>
      </c>
      <c r="AR3629" s="5" t="s">
        <v>488</v>
      </c>
      <c r="AS3629" s="5" t="s">
        <v>488</v>
      </c>
      <c r="AT3629" s="5" t="s">
        <v>246</v>
      </c>
      <c r="AU3629" s="5" t="s">
        <v>489</v>
      </c>
      <c r="AV3629" s="5" t="s">
        <v>247</v>
      </c>
      <c r="AW3629" s="5" t="s">
        <v>238</v>
      </c>
      <c r="AX3629" s="5" t="s">
        <v>249</v>
      </c>
      <c r="AY3629" s="5" t="s">
        <v>490</v>
      </c>
      <c r="BA3629" s="5" t="s">
        <v>238</v>
      </c>
      <c r="BC3629" s="5" t="s">
        <v>491</v>
      </c>
      <c r="BD3629" s="6" t="s">
        <v>492</v>
      </c>
      <c r="BE3629" s="5" t="s">
        <v>493</v>
      </c>
      <c r="BF3629" s="5" t="s">
        <v>493</v>
      </c>
      <c r="BG3629" s="5" t="s">
        <v>238</v>
      </c>
      <c r="BH3629" s="8">
        <f>1</f>
        <v>1</v>
      </c>
      <c r="BI3629" s="8">
        <f>1</f>
        <v>1</v>
      </c>
      <c r="BJ3629" s="5" t="s">
        <v>253</v>
      </c>
      <c r="BK3629" s="5" t="s">
        <v>254</v>
      </c>
      <c r="BL3629" s="5" t="s">
        <v>238</v>
      </c>
      <c r="BM3629" s="5" t="s">
        <v>238</v>
      </c>
      <c r="BN3629" s="5" t="s">
        <v>238</v>
      </c>
      <c r="BO3629" s="5" t="s">
        <v>238</v>
      </c>
      <c r="BP3629" s="5" t="s">
        <v>238</v>
      </c>
      <c r="BQ3629" s="5" t="s">
        <v>238</v>
      </c>
      <c r="BR3629" s="5" t="s">
        <v>238</v>
      </c>
      <c r="BS3629" s="5" t="s">
        <v>238</v>
      </c>
      <c r="BT3629" s="6" t="s">
        <v>238</v>
      </c>
      <c r="BU3629" s="5" t="s">
        <v>238</v>
      </c>
      <c r="BV3629" s="5" t="s">
        <v>238</v>
      </c>
      <c r="BW3629" s="5" t="s">
        <v>238</v>
      </c>
      <c r="BX3629" s="5" t="s">
        <v>254</v>
      </c>
      <c r="BY3629" s="5" t="s">
        <v>238</v>
      </c>
      <c r="BZ3629" s="5" t="s">
        <v>238</v>
      </c>
      <c r="CA3629" s="5" t="s">
        <v>238</v>
      </c>
      <c r="CB3629" s="5" t="s">
        <v>238</v>
      </c>
      <c r="CC3629" s="5" t="s">
        <v>238</v>
      </c>
      <c r="CD3629" s="5" t="s">
        <v>273</v>
      </c>
      <c r="CE3629" s="5" t="s">
        <v>256</v>
      </c>
      <c r="CF3629" s="5" t="s">
        <v>238</v>
      </c>
      <c r="CH3629" s="5" t="s">
        <v>494</v>
      </c>
      <c r="CI3629" s="6" t="s">
        <v>257</v>
      </c>
      <c r="CJ3629" s="5" t="s">
        <v>495</v>
      </c>
      <c r="CK3629" s="5" t="s">
        <v>258</v>
      </c>
      <c r="CL3629" s="5" t="s">
        <v>496</v>
      </c>
      <c r="CM3629" s="5" t="s">
        <v>238</v>
      </c>
      <c r="CN3629" s="5">
        <v>0</v>
      </c>
      <c r="CO3629" s="5" t="s">
        <v>497</v>
      </c>
      <c r="CP3629" s="5" t="s">
        <v>260</v>
      </c>
      <c r="CQ3629" s="5" t="s">
        <v>260</v>
      </c>
      <c r="CR3629" s="5" t="s">
        <v>261</v>
      </c>
      <c r="CS3629" s="5" t="s">
        <v>498</v>
      </c>
      <c r="CT3629" s="7">
        <f>1</f>
        <v>1</v>
      </c>
      <c r="CU3629" s="8">
        <f>1</f>
        <v>1</v>
      </c>
      <c r="CV3629" s="8">
        <f>0</f>
        <v>0</v>
      </c>
      <c r="CX3629" s="8">
        <f>1</f>
        <v>1</v>
      </c>
      <c r="CY3629" s="8">
        <f>1</f>
        <v>1</v>
      </c>
      <c r="CZ3629" s="8" t="s">
        <v>238</v>
      </c>
      <c r="DA3629" s="5" t="s">
        <v>238</v>
      </c>
      <c r="DB3629" s="5" t="s">
        <v>238</v>
      </c>
      <c r="DC3629" s="5" t="s">
        <v>238</v>
      </c>
      <c r="DD3629" s="5" t="s">
        <v>238</v>
      </c>
      <c r="DE3629" s="8">
        <f>0</f>
        <v>0</v>
      </c>
      <c r="DG3629" s="5" t="s">
        <v>238</v>
      </c>
      <c r="DH3629" s="5" t="s">
        <v>238</v>
      </c>
      <c r="DI3629" s="5" t="s">
        <v>238</v>
      </c>
      <c r="DJ3629" s="5" t="s">
        <v>238</v>
      </c>
      <c r="DK3629" s="5" t="s">
        <v>238</v>
      </c>
      <c r="DL3629" s="5" t="s">
        <v>238</v>
      </c>
      <c r="DM3629" s="8" t="s">
        <v>238</v>
      </c>
      <c r="DN3629" s="5" t="s">
        <v>238</v>
      </c>
      <c r="DO3629" s="5" t="s">
        <v>238</v>
      </c>
      <c r="DP3629" s="5" t="s">
        <v>490</v>
      </c>
      <c r="DQ3629" s="5" t="s">
        <v>490</v>
      </c>
      <c r="DR3629" s="5" t="s">
        <v>238</v>
      </c>
      <c r="DS3629" s="5" t="s">
        <v>238</v>
      </c>
      <c r="DT3629" s="5" t="s">
        <v>500</v>
      </c>
      <c r="DU3629" s="5" t="s">
        <v>1082</v>
      </c>
      <c r="DV3629" s="5" t="s">
        <v>238</v>
      </c>
      <c r="DW3629" s="5" t="s">
        <v>238</v>
      </c>
      <c r="DX3629" s="5" t="s">
        <v>238</v>
      </c>
      <c r="DY3629" s="5" t="s">
        <v>238</v>
      </c>
      <c r="DZ3629" s="5" t="s">
        <v>238</v>
      </c>
      <c r="EA3629" s="5" t="s">
        <v>238</v>
      </c>
      <c r="EB3629" s="5" t="s">
        <v>238</v>
      </c>
      <c r="EC3629" s="5" t="s">
        <v>238</v>
      </c>
      <c r="ED3629" s="5" t="s">
        <v>238</v>
      </c>
      <c r="EE3629" s="5" t="s">
        <v>238</v>
      </c>
      <c r="EF3629" s="5" t="s">
        <v>238</v>
      </c>
      <c r="EG3629" s="5" t="s">
        <v>238</v>
      </c>
      <c r="EH3629" s="5" t="s">
        <v>238</v>
      </c>
      <c r="EI3629" s="5" t="s">
        <v>238</v>
      </c>
      <c r="EJ3629" s="5" t="s">
        <v>238</v>
      </c>
      <c r="EK3629" s="5" t="s">
        <v>238</v>
      </c>
      <c r="EL3629" s="5" t="s">
        <v>238</v>
      </c>
      <c r="EM3629" s="5" t="s">
        <v>238</v>
      </c>
      <c r="EN3629" s="5" t="s">
        <v>238</v>
      </c>
      <c r="EO3629" s="5" t="s">
        <v>238</v>
      </c>
      <c r="EP3629" s="5" t="s">
        <v>238</v>
      </c>
      <c r="EQ3629" s="5" t="s">
        <v>238</v>
      </c>
      <c r="ER3629" s="5" t="s">
        <v>238</v>
      </c>
      <c r="ES3629" s="5" t="s">
        <v>238</v>
      </c>
      <c r="ET3629" s="5" t="s">
        <v>238</v>
      </c>
      <c r="EU3629" s="5" t="s">
        <v>238</v>
      </c>
      <c r="EV3629" s="5" t="s">
        <v>238</v>
      </c>
      <c r="EW3629" s="5" t="s">
        <v>238</v>
      </c>
      <c r="EX3629" s="5" t="s">
        <v>238</v>
      </c>
      <c r="EY3629" s="5" t="s">
        <v>238</v>
      </c>
      <c r="EZ3629" s="5" t="s">
        <v>238</v>
      </c>
      <c r="FA3629" s="5" t="s">
        <v>238</v>
      </c>
      <c r="FB3629" s="5" t="s">
        <v>238</v>
      </c>
      <c r="FC3629" s="5" t="s">
        <v>238</v>
      </c>
      <c r="FD3629" s="5" t="s">
        <v>238</v>
      </c>
      <c r="FE3629" s="5" t="s">
        <v>238</v>
      </c>
      <c r="FF3629" s="5" t="s">
        <v>238</v>
      </c>
      <c r="FG3629" s="5" t="s">
        <v>238</v>
      </c>
      <c r="FH3629" s="5" t="s">
        <v>238</v>
      </c>
      <c r="FI3629" s="5" t="s">
        <v>238</v>
      </c>
      <c r="FJ3629" s="5" t="s">
        <v>238</v>
      </c>
      <c r="FK3629" s="5" t="s">
        <v>238</v>
      </c>
      <c r="FL3629" s="5" t="s">
        <v>238</v>
      </c>
      <c r="FM3629" s="5" t="s">
        <v>238</v>
      </c>
      <c r="FN3629" s="5" t="s">
        <v>238</v>
      </c>
      <c r="FO3629" s="5" t="s">
        <v>238</v>
      </c>
      <c r="FP3629" s="5" t="s">
        <v>238</v>
      </c>
      <c r="FQ3629" s="5" t="s">
        <v>238</v>
      </c>
      <c r="FR3629" s="5" t="s">
        <v>238</v>
      </c>
      <c r="FS3629" s="5" t="s">
        <v>238</v>
      </c>
      <c r="FT3629" s="5" t="s">
        <v>238</v>
      </c>
      <c r="FU3629" s="5" t="s">
        <v>238</v>
      </c>
      <c r="FV3629" s="5" t="s">
        <v>238</v>
      </c>
      <c r="FW3629" s="5" t="s">
        <v>238</v>
      </c>
      <c r="FX3629" s="5" t="s">
        <v>238</v>
      </c>
      <c r="FY3629" s="5" t="s">
        <v>238</v>
      </c>
      <c r="FZ3629" s="5" t="s">
        <v>238</v>
      </c>
      <c r="GA3629" s="5" t="s">
        <v>238</v>
      </c>
      <c r="GB3629" s="5" t="s">
        <v>238</v>
      </c>
      <c r="GC3629" s="5" t="s">
        <v>238</v>
      </c>
      <c r="GD3629" s="5" t="s">
        <v>238</v>
      </c>
      <c r="GE3629" s="5" t="s">
        <v>238</v>
      </c>
      <c r="GF3629" s="5" t="s">
        <v>238</v>
      </c>
      <c r="GG3629" s="5" t="s">
        <v>238</v>
      </c>
      <c r="GH3629" s="5" t="s">
        <v>238</v>
      </c>
      <c r="GI3629" s="5" t="s">
        <v>238</v>
      </c>
      <c r="GJ3629" s="5" t="s">
        <v>238</v>
      </c>
      <c r="GK3629" s="5" t="s">
        <v>238</v>
      </c>
      <c r="GL3629" s="5" t="s">
        <v>238</v>
      </c>
      <c r="GM3629" s="5" t="s">
        <v>238</v>
      </c>
      <c r="GN3629" s="5" t="s">
        <v>238</v>
      </c>
      <c r="GO3629" s="5" t="s">
        <v>238</v>
      </c>
      <c r="GP3629" s="5" t="s">
        <v>238</v>
      </c>
      <c r="GQ3629" s="5" t="s">
        <v>238</v>
      </c>
      <c r="GR3629" s="5" t="s">
        <v>238</v>
      </c>
      <c r="GS3629" s="5" t="s">
        <v>238</v>
      </c>
      <c r="GT3629" s="5" t="s">
        <v>238</v>
      </c>
      <c r="GU3629" s="5" t="s">
        <v>238</v>
      </c>
      <c r="GV3629" s="5" t="s">
        <v>238</v>
      </c>
      <c r="GW3629" s="5" t="s">
        <v>238</v>
      </c>
      <c r="GX3629" s="5" t="s">
        <v>238</v>
      </c>
      <c r="GY3629" s="5" t="s">
        <v>238</v>
      </c>
      <c r="GZ3629" s="5" t="s">
        <v>238</v>
      </c>
      <c r="HA3629" s="5" t="s">
        <v>238</v>
      </c>
      <c r="HB3629" s="5" t="s">
        <v>238</v>
      </c>
      <c r="HC3629" s="5" t="s">
        <v>238</v>
      </c>
      <c r="HD3629" s="5" t="s">
        <v>238</v>
      </c>
      <c r="HE3629" s="5" t="s">
        <v>238</v>
      </c>
      <c r="HF3629" s="5" t="s">
        <v>238</v>
      </c>
      <c r="HG3629" s="5" t="s">
        <v>238</v>
      </c>
      <c r="HH3629" s="5" t="s">
        <v>238</v>
      </c>
      <c r="HI3629" s="5" t="s">
        <v>238</v>
      </c>
      <c r="HJ3629" s="5" t="s">
        <v>238</v>
      </c>
      <c r="HK3629" s="5" t="s">
        <v>238</v>
      </c>
      <c r="HL3629" s="5" t="s">
        <v>238</v>
      </c>
      <c r="HM3629" s="5" t="s">
        <v>264</v>
      </c>
      <c r="HN3629" s="5" t="s">
        <v>238</v>
      </c>
      <c r="HO3629" s="5" t="s">
        <v>238</v>
      </c>
      <c r="HP3629" s="5" t="s">
        <v>238</v>
      </c>
      <c r="HQ3629" s="5" t="s">
        <v>238</v>
      </c>
      <c r="HR3629" s="5" t="s">
        <v>238</v>
      </c>
      <c r="HS3629" s="5" t="s">
        <v>238</v>
      </c>
      <c r="HT3629" s="5" t="s">
        <v>238</v>
      </c>
      <c r="HU3629" s="5" t="s">
        <v>238</v>
      </c>
      <c r="HV3629" s="5" t="s">
        <v>238</v>
      </c>
      <c r="HW3629" s="5" t="s">
        <v>238</v>
      </c>
      <c r="HX3629" s="5" t="s">
        <v>238</v>
      </c>
      <c r="HY3629" s="5" t="s">
        <v>238</v>
      </c>
      <c r="HZ3629" s="5" t="s">
        <v>238</v>
      </c>
      <c r="IA3629" s="5" t="s">
        <v>238</v>
      </c>
      <c r="IB3629" s="5" t="s">
        <v>238</v>
      </c>
      <c r="IC3629" s="5" t="s">
        <v>238</v>
      </c>
      <c r="ID3629" s="5" t="s">
        <v>238</v>
      </c>
    </row>
    <row r="3630" spans="1:238" x14ac:dyDescent="0.4">
      <c r="A3630" s="5">
        <v>9348</v>
      </c>
      <c r="B3630" s="5">
        <v>1</v>
      </c>
      <c r="C3630" s="5">
        <v>1</v>
      </c>
      <c r="D3630" s="5" t="s">
        <v>484</v>
      </c>
      <c r="E3630" s="5" t="s">
        <v>485</v>
      </c>
      <c r="F3630" s="5" t="s">
        <v>248</v>
      </c>
      <c r="G3630" s="5" t="s">
        <v>4288</v>
      </c>
      <c r="H3630" s="6" t="s">
        <v>4289</v>
      </c>
      <c r="I3630" s="8">
        <f>1</f>
        <v>1</v>
      </c>
      <c r="J3630" s="5" t="s">
        <v>499</v>
      </c>
      <c r="K3630" s="8">
        <f>1</f>
        <v>1</v>
      </c>
      <c r="L3630" s="6" t="s">
        <v>242</v>
      </c>
      <c r="M3630" s="5" t="s">
        <v>267</v>
      </c>
      <c r="N3630" s="5" t="s">
        <v>482</v>
      </c>
      <c r="O3630" s="5" t="s">
        <v>238</v>
      </c>
      <c r="P3630" s="5" t="s">
        <v>238</v>
      </c>
      <c r="Q3630" s="5" t="s">
        <v>239</v>
      </c>
      <c r="R3630" s="5" t="s">
        <v>270</v>
      </c>
      <c r="S3630" s="5" t="s">
        <v>238</v>
      </c>
      <c r="T3630" s="5" t="s">
        <v>238</v>
      </c>
      <c r="U3630" s="5" t="s">
        <v>238</v>
      </c>
      <c r="V3630" s="5" t="s">
        <v>238</v>
      </c>
      <c r="W3630" s="6" t="s">
        <v>238</v>
      </c>
      <c r="X3630" s="6" t="s">
        <v>238</v>
      </c>
      <c r="Y3630" s="5" t="s">
        <v>238</v>
      </c>
      <c r="Z3630" s="6" t="s">
        <v>238</v>
      </c>
      <c r="AA3630" s="6" t="s">
        <v>243</v>
      </c>
      <c r="AB3630" s="5" t="s">
        <v>486</v>
      </c>
      <c r="AC3630" s="5" t="s">
        <v>244</v>
      </c>
      <c r="AD3630" s="5" t="s">
        <v>245</v>
      </c>
      <c r="AE3630" s="5" t="s">
        <v>238</v>
      </c>
      <c r="AF3630" s="5" t="s">
        <v>238</v>
      </c>
      <c r="AG3630" s="5" t="s">
        <v>238</v>
      </c>
      <c r="AH3630" s="5" t="s">
        <v>238</v>
      </c>
      <c r="AI3630" s="5" t="s">
        <v>238</v>
      </c>
      <c r="AJ3630" s="5" t="s">
        <v>238</v>
      </c>
      <c r="AK3630" s="5" t="s">
        <v>238</v>
      </c>
      <c r="AL3630" s="5" t="s">
        <v>238</v>
      </c>
      <c r="AM3630" s="6" t="s">
        <v>238</v>
      </c>
      <c r="AN3630" s="6" t="s">
        <v>238</v>
      </c>
      <c r="AO3630" s="6" t="s">
        <v>238</v>
      </c>
      <c r="AP3630" s="6" t="s">
        <v>238</v>
      </c>
      <c r="AQ3630" s="5" t="s">
        <v>238</v>
      </c>
      <c r="AR3630" s="5" t="s">
        <v>488</v>
      </c>
      <c r="AS3630" s="5" t="s">
        <v>488</v>
      </c>
      <c r="AT3630" s="5" t="s">
        <v>246</v>
      </c>
      <c r="AU3630" s="5" t="s">
        <v>489</v>
      </c>
      <c r="AV3630" s="5" t="s">
        <v>247</v>
      </c>
      <c r="AW3630" s="5" t="s">
        <v>238</v>
      </c>
      <c r="AX3630" s="5" t="s">
        <v>249</v>
      </c>
      <c r="AY3630" s="5" t="s">
        <v>490</v>
      </c>
      <c r="BA3630" s="5" t="s">
        <v>238</v>
      </c>
      <c r="BC3630" s="5" t="s">
        <v>491</v>
      </c>
      <c r="BD3630" s="6" t="s">
        <v>492</v>
      </c>
      <c r="BE3630" s="5" t="s">
        <v>493</v>
      </c>
      <c r="BF3630" s="5" t="s">
        <v>493</v>
      </c>
      <c r="BG3630" s="5" t="s">
        <v>238</v>
      </c>
      <c r="BH3630" s="8">
        <f>1</f>
        <v>1</v>
      </c>
      <c r="BI3630" s="8">
        <f>1</f>
        <v>1</v>
      </c>
      <c r="BJ3630" s="5" t="s">
        <v>253</v>
      </c>
      <c r="BK3630" s="5" t="s">
        <v>254</v>
      </c>
      <c r="BL3630" s="5" t="s">
        <v>238</v>
      </c>
      <c r="BM3630" s="5" t="s">
        <v>238</v>
      </c>
      <c r="BN3630" s="5" t="s">
        <v>238</v>
      </c>
      <c r="BO3630" s="5" t="s">
        <v>238</v>
      </c>
      <c r="BP3630" s="5" t="s">
        <v>238</v>
      </c>
      <c r="BQ3630" s="5" t="s">
        <v>238</v>
      </c>
      <c r="BR3630" s="5" t="s">
        <v>238</v>
      </c>
      <c r="BS3630" s="5" t="s">
        <v>238</v>
      </c>
      <c r="BT3630" s="6" t="s">
        <v>238</v>
      </c>
      <c r="BU3630" s="5" t="s">
        <v>238</v>
      </c>
      <c r="BV3630" s="5" t="s">
        <v>238</v>
      </c>
      <c r="BW3630" s="5" t="s">
        <v>238</v>
      </c>
      <c r="BX3630" s="5" t="s">
        <v>254</v>
      </c>
      <c r="BY3630" s="5" t="s">
        <v>238</v>
      </c>
      <c r="BZ3630" s="5" t="s">
        <v>238</v>
      </c>
      <c r="CA3630" s="5" t="s">
        <v>238</v>
      </c>
      <c r="CB3630" s="5" t="s">
        <v>238</v>
      </c>
      <c r="CC3630" s="5" t="s">
        <v>238</v>
      </c>
      <c r="CD3630" s="5" t="s">
        <v>273</v>
      </c>
      <c r="CE3630" s="5" t="s">
        <v>256</v>
      </c>
      <c r="CF3630" s="5" t="s">
        <v>238</v>
      </c>
      <c r="CH3630" s="5" t="s">
        <v>494</v>
      </c>
      <c r="CI3630" s="6" t="s">
        <v>257</v>
      </c>
      <c r="CJ3630" s="5" t="s">
        <v>495</v>
      </c>
      <c r="CK3630" s="5" t="s">
        <v>258</v>
      </c>
      <c r="CL3630" s="5" t="s">
        <v>496</v>
      </c>
      <c r="CM3630" s="5" t="s">
        <v>238</v>
      </c>
      <c r="CN3630" s="5">
        <v>0</v>
      </c>
      <c r="CO3630" s="5" t="s">
        <v>497</v>
      </c>
      <c r="CP3630" s="5" t="s">
        <v>260</v>
      </c>
      <c r="CQ3630" s="5" t="s">
        <v>260</v>
      </c>
      <c r="CR3630" s="5" t="s">
        <v>261</v>
      </c>
      <c r="CS3630" s="5" t="s">
        <v>498</v>
      </c>
      <c r="CT3630" s="7">
        <f>1</f>
        <v>1</v>
      </c>
      <c r="CU3630" s="8">
        <f>1</f>
        <v>1</v>
      </c>
      <c r="CV3630" s="8">
        <f>0</f>
        <v>0</v>
      </c>
      <c r="CX3630" s="8">
        <f>1</f>
        <v>1</v>
      </c>
      <c r="CY3630" s="8">
        <f>1</f>
        <v>1</v>
      </c>
      <c r="CZ3630" s="8" t="s">
        <v>238</v>
      </c>
      <c r="DA3630" s="5" t="s">
        <v>238</v>
      </c>
      <c r="DB3630" s="5" t="s">
        <v>238</v>
      </c>
      <c r="DC3630" s="5" t="s">
        <v>238</v>
      </c>
      <c r="DD3630" s="5" t="s">
        <v>238</v>
      </c>
      <c r="DE3630" s="8">
        <f>0</f>
        <v>0</v>
      </c>
      <c r="DG3630" s="5" t="s">
        <v>238</v>
      </c>
      <c r="DH3630" s="5" t="s">
        <v>238</v>
      </c>
      <c r="DI3630" s="5" t="s">
        <v>238</v>
      </c>
      <c r="DJ3630" s="5" t="s">
        <v>238</v>
      </c>
      <c r="DK3630" s="5" t="s">
        <v>238</v>
      </c>
      <c r="DL3630" s="5" t="s">
        <v>238</v>
      </c>
      <c r="DM3630" s="8" t="s">
        <v>238</v>
      </c>
      <c r="DN3630" s="5" t="s">
        <v>238</v>
      </c>
      <c r="DO3630" s="5" t="s">
        <v>238</v>
      </c>
      <c r="DP3630" s="5" t="s">
        <v>490</v>
      </c>
      <c r="DQ3630" s="5" t="s">
        <v>490</v>
      </c>
      <c r="DR3630" s="5" t="s">
        <v>238</v>
      </c>
      <c r="DS3630" s="5" t="s">
        <v>238</v>
      </c>
      <c r="DT3630" s="5" t="s">
        <v>500</v>
      </c>
      <c r="DU3630" s="5" t="s">
        <v>1098</v>
      </c>
      <c r="DV3630" s="5" t="s">
        <v>238</v>
      </c>
      <c r="DW3630" s="5" t="s">
        <v>238</v>
      </c>
      <c r="DX3630" s="5" t="s">
        <v>238</v>
      </c>
      <c r="DY3630" s="5" t="s">
        <v>238</v>
      </c>
      <c r="DZ3630" s="5" t="s">
        <v>238</v>
      </c>
      <c r="EA3630" s="5" t="s">
        <v>238</v>
      </c>
      <c r="EB3630" s="5" t="s">
        <v>238</v>
      </c>
      <c r="EC3630" s="5" t="s">
        <v>238</v>
      </c>
      <c r="ED3630" s="5" t="s">
        <v>238</v>
      </c>
      <c r="EE3630" s="5" t="s">
        <v>238</v>
      </c>
      <c r="EF3630" s="5" t="s">
        <v>238</v>
      </c>
      <c r="EG3630" s="5" t="s">
        <v>238</v>
      </c>
      <c r="EH3630" s="5" t="s">
        <v>238</v>
      </c>
      <c r="EI3630" s="5" t="s">
        <v>238</v>
      </c>
      <c r="EJ3630" s="5" t="s">
        <v>238</v>
      </c>
      <c r="EK3630" s="5" t="s">
        <v>238</v>
      </c>
      <c r="EL3630" s="5" t="s">
        <v>238</v>
      </c>
      <c r="EM3630" s="5" t="s">
        <v>238</v>
      </c>
      <c r="EN3630" s="5" t="s">
        <v>238</v>
      </c>
      <c r="EO3630" s="5" t="s">
        <v>238</v>
      </c>
      <c r="EP3630" s="5" t="s">
        <v>238</v>
      </c>
      <c r="EQ3630" s="5" t="s">
        <v>238</v>
      </c>
      <c r="ER3630" s="5" t="s">
        <v>238</v>
      </c>
      <c r="ES3630" s="5" t="s">
        <v>238</v>
      </c>
      <c r="ET3630" s="5" t="s">
        <v>238</v>
      </c>
      <c r="EU3630" s="5" t="s">
        <v>238</v>
      </c>
      <c r="EV3630" s="5" t="s">
        <v>238</v>
      </c>
      <c r="EW3630" s="5" t="s">
        <v>238</v>
      </c>
      <c r="EX3630" s="5" t="s">
        <v>238</v>
      </c>
      <c r="EY3630" s="5" t="s">
        <v>238</v>
      </c>
      <c r="EZ3630" s="5" t="s">
        <v>238</v>
      </c>
      <c r="FA3630" s="5" t="s">
        <v>238</v>
      </c>
      <c r="FB3630" s="5" t="s">
        <v>238</v>
      </c>
      <c r="FC3630" s="5" t="s">
        <v>238</v>
      </c>
      <c r="FD3630" s="5" t="s">
        <v>238</v>
      </c>
      <c r="FE3630" s="5" t="s">
        <v>238</v>
      </c>
      <c r="FF3630" s="5" t="s">
        <v>238</v>
      </c>
      <c r="FG3630" s="5" t="s">
        <v>238</v>
      </c>
      <c r="FH3630" s="5" t="s">
        <v>238</v>
      </c>
      <c r="FI3630" s="5" t="s">
        <v>238</v>
      </c>
      <c r="FJ3630" s="5" t="s">
        <v>238</v>
      </c>
      <c r="FK3630" s="5" t="s">
        <v>238</v>
      </c>
      <c r="FL3630" s="5" t="s">
        <v>238</v>
      </c>
      <c r="FM3630" s="5" t="s">
        <v>238</v>
      </c>
      <c r="FN3630" s="5" t="s">
        <v>238</v>
      </c>
      <c r="FO3630" s="5" t="s">
        <v>238</v>
      </c>
      <c r="FP3630" s="5" t="s">
        <v>238</v>
      </c>
      <c r="FQ3630" s="5" t="s">
        <v>238</v>
      </c>
      <c r="FR3630" s="5" t="s">
        <v>238</v>
      </c>
      <c r="FS3630" s="5" t="s">
        <v>238</v>
      </c>
      <c r="FT3630" s="5" t="s">
        <v>238</v>
      </c>
      <c r="FU3630" s="5" t="s">
        <v>238</v>
      </c>
      <c r="FV3630" s="5" t="s">
        <v>238</v>
      </c>
      <c r="FW3630" s="5" t="s">
        <v>238</v>
      </c>
      <c r="FX3630" s="5" t="s">
        <v>238</v>
      </c>
      <c r="FY3630" s="5" t="s">
        <v>238</v>
      </c>
      <c r="FZ3630" s="5" t="s">
        <v>238</v>
      </c>
      <c r="GA3630" s="5" t="s">
        <v>238</v>
      </c>
      <c r="GB3630" s="5" t="s">
        <v>238</v>
      </c>
      <c r="GC3630" s="5" t="s">
        <v>238</v>
      </c>
      <c r="GD3630" s="5" t="s">
        <v>238</v>
      </c>
      <c r="GE3630" s="5" t="s">
        <v>238</v>
      </c>
      <c r="GF3630" s="5" t="s">
        <v>238</v>
      </c>
      <c r="GG3630" s="5" t="s">
        <v>238</v>
      </c>
      <c r="GH3630" s="5" t="s">
        <v>238</v>
      </c>
      <c r="GI3630" s="5" t="s">
        <v>238</v>
      </c>
      <c r="GJ3630" s="5" t="s">
        <v>238</v>
      </c>
      <c r="GK3630" s="5" t="s">
        <v>238</v>
      </c>
      <c r="GL3630" s="5" t="s">
        <v>238</v>
      </c>
      <c r="GM3630" s="5" t="s">
        <v>238</v>
      </c>
      <c r="GN3630" s="5" t="s">
        <v>238</v>
      </c>
      <c r="GO3630" s="5" t="s">
        <v>238</v>
      </c>
      <c r="GP3630" s="5" t="s">
        <v>238</v>
      </c>
      <c r="GQ3630" s="5" t="s">
        <v>238</v>
      </c>
      <c r="GR3630" s="5" t="s">
        <v>238</v>
      </c>
      <c r="GS3630" s="5" t="s">
        <v>238</v>
      </c>
      <c r="GT3630" s="5" t="s">
        <v>238</v>
      </c>
      <c r="GU3630" s="5" t="s">
        <v>238</v>
      </c>
      <c r="GV3630" s="5" t="s">
        <v>238</v>
      </c>
      <c r="GW3630" s="5" t="s">
        <v>238</v>
      </c>
      <c r="GX3630" s="5" t="s">
        <v>238</v>
      </c>
      <c r="GY3630" s="5" t="s">
        <v>238</v>
      </c>
      <c r="GZ3630" s="5" t="s">
        <v>238</v>
      </c>
      <c r="HA3630" s="5" t="s">
        <v>238</v>
      </c>
      <c r="HB3630" s="5" t="s">
        <v>238</v>
      </c>
      <c r="HC3630" s="5" t="s">
        <v>238</v>
      </c>
      <c r="HD3630" s="5" t="s">
        <v>238</v>
      </c>
      <c r="HE3630" s="5" t="s">
        <v>238</v>
      </c>
      <c r="HF3630" s="5" t="s">
        <v>238</v>
      </c>
      <c r="HG3630" s="5" t="s">
        <v>238</v>
      </c>
      <c r="HH3630" s="5" t="s">
        <v>238</v>
      </c>
      <c r="HI3630" s="5" t="s">
        <v>238</v>
      </c>
      <c r="HJ3630" s="5" t="s">
        <v>238</v>
      </c>
      <c r="HK3630" s="5" t="s">
        <v>238</v>
      </c>
      <c r="HL3630" s="5" t="s">
        <v>238</v>
      </c>
      <c r="HM3630" s="5" t="s">
        <v>264</v>
      </c>
      <c r="HN3630" s="5" t="s">
        <v>238</v>
      </c>
      <c r="HO3630" s="5" t="s">
        <v>238</v>
      </c>
      <c r="HP3630" s="5" t="s">
        <v>238</v>
      </c>
      <c r="HQ3630" s="5" t="s">
        <v>238</v>
      </c>
      <c r="HR3630" s="5" t="s">
        <v>238</v>
      </c>
      <c r="HS3630" s="5" t="s">
        <v>238</v>
      </c>
      <c r="HT3630" s="5" t="s">
        <v>238</v>
      </c>
      <c r="HU3630" s="5" t="s">
        <v>238</v>
      </c>
      <c r="HV3630" s="5" t="s">
        <v>238</v>
      </c>
      <c r="HW3630" s="5" t="s">
        <v>238</v>
      </c>
      <c r="HX3630" s="5" t="s">
        <v>238</v>
      </c>
      <c r="HY3630" s="5" t="s">
        <v>238</v>
      </c>
      <c r="HZ3630" s="5" t="s">
        <v>238</v>
      </c>
      <c r="IA3630" s="5" t="s">
        <v>238</v>
      </c>
      <c r="IB3630" s="5" t="s">
        <v>238</v>
      </c>
      <c r="IC3630" s="5" t="s">
        <v>238</v>
      </c>
      <c r="ID3630" s="5" t="s">
        <v>238</v>
      </c>
    </row>
    <row r="3631" spans="1:238" x14ac:dyDescent="0.4">
      <c r="A3631" s="5">
        <v>9349</v>
      </c>
      <c r="B3631" s="5">
        <v>1</v>
      </c>
      <c r="C3631" s="5">
        <v>1</v>
      </c>
      <c r="D3631" s="5" t="s">
        <v>484</v>
      </c>
      <c r="E3631" s="5" t="s">
        <v>485</v>
      </c>
      <c r="F3631" s="5" t="s">
        <v>248</v>
      </c>
      <c r="G3631" s="5" t="s">
        <v>6456</v>
      </c>
      <c r="H3631" s="6" t="s">
        <v>6457</v>
      </c>
      <c r="I3631" s="8">
        <f>1</f>
        <v>1</v>
      </c>
      <c r="J3631" s="5" t="s">
        <v>499</v>
      </c>
      <c r="K3631" s="8">
        <f>1</f>
        <v>1</v>
      </c>
      <c r="L3631" s="6" t="s">
        <v>242</v>
      </c>
      <c r="M3631" s="5" t="s">
        <v>267</v>
      </c>
      <c r="N3631" s="5" t="s">
        <v>482</v>
      </c>
      <c r="O3631" s="5" t="s">
        <v>238</v>
      </c>
      <c r="P3631" s="5" t="s">
        <v>238</v>
      </c>
      <c r="Q3631" s="5" t="s">
        <v>239</v>
      </c>
      <c r="R3631" s="5" t="s">
        <v>270</v>
      </c>
      <c r="S3631" s="5" t="s">
        <v>238</v>
      </c>
      <c r="T3631" s="5" t="s">
        <v>238</v>
      </c>
      <c r="U3631" s="5" t="s">
        <v>238</v>
      </c>
      <c r="V3631" s="5" t="s">
        <v>238</v>
      </c>
      <c r="W3631" s="6" t="s">
        <v>238</v>
      </c>
      <c r="X3631" s="6" t="s">
        <v>238</v>
      </c>
      <c r="Y3631" s="5" t="s">
        <v>238</v>
      </c>
      <c r="Z3631" s="6" t="s">
        <v>238</v>
      </c>
      <c r="AA3631" s="6" t="s">
        <v>243</v>
      </c>
      <c r="AB3631" s="5" t="s">
        <v>486</v>
      </c>
      <c r="AC3631" s="5" t="s">
        <v>244</v>
      </c>
      <c r="AD3631" s="5" t="s">
        <v>245</v>
      </c>
      <c r="AE3631" s="5" t="s">
        <v>238</v>
      </c>
      <c r="AF3631" s="5" t="s">
        <v>238</v>
      </c>
      <c r="AG3631" s="5" t="s">
        <v>238</v>
      </c>
      <c r="AH3631" s="5" t="s">
        <v>238</v>
      </c>
      <c r="AI3631" s="5" t="s">
        <v>238</v>
      </c>
      <c r="AJ3631" s="5" t="s">
        <v>238</v>
      </c>
      <c r="AK3631" s="5" t="s">
        <v>238</v>
      </c>
      <c r="AL3631" s="5" t="s">
        <v>238</v>
      </c>
      <c r="AM3631" s="6" t="s">
        <v>238</v>
      </c>
      <c r="AN3631" s="6" t="s">
        <v>238</v>
      </c>
      <c r="AO3631" s="6" t="s">
        <v>238</v>
      </c>
      <c r="AP3631" s="6" t="s">
        <v>238</v>
      </c>
      <c r="AQ3631" s="5" t="s">
        <v>238</v>
      </c>
      <c r="AR3631" s="5" t="s">
        <v>488</v>
      </c>
      <c r="AS3631" s="5" t="s">
        <v>488</v>
      </c>
      <c r="AT3631" s="5" t="s">
        <v>246</v>
      </c>
      <c r="AU3631" s="5" t="s">
        <v>489</v>
      </c>
      <c r="AV3631" s="5" t="s">
        <v>247</v>
      </c>
      <c r="AW3631" s="5" t="s">
        <v>238</v>
      </c>
      <c r="AX3631" s="5" t="s">
        <v>249</v>
      </c>
      <c r="AY3631" s="5" t="s">
        <v>490</v>
      </c>
      <c r="BA3631" s="5" t="s">
        <v>238</v>
      </c>
      <c r="BC3631" s="5" t="s">
        <v>491</v>
      </c>
      <c r="BD3631" s="6" t="s">
        <v>492</v>
      </c>
      <c r="BE3631" s="5" t="s">
        <v>493</v>
      </c>
      <c r="BF3631" s="5" t="s">
        <v>493</v>
      </c>
      <c r="BG3631" s="5" t="s">
        <v>238</v>
      </c>
      <c r="BH3631" s="8">
        <f>1</f>
        <v>1</v>
      </c>
      <c r="BI3631" s="8">
        <f>1</f>
        <v>1</v>
      </c>
      <c r="BJ3631" s="5" t="s">
        <v>253</v>
      </c>
      <c r="BK3631" s="5" t="s">
        <v>254</v>
      </c>
      <c r="BL3631" s="5" t="s">
        <v>238</v>
      </c>
      <c r="BM3631" s="5" t="s">
        <v>238</v>
      </c>
      <c r="BN3631" s="5" t="s">
        <v>238</v>
      </c>
      <c r="BO3631" s="5" t="s">
        <v>238</v>
      </c>
      <c r="BP3631" s="5" t="s">
        <v>238</v>
      </c>
      <c r="BQ3631" s="5" t="s">
        <v>238</v>
      </c>
      <c r="BR3631" s="5" t="s">
        <v>238</v>
      </c>
      <c r="BS3631" s="5" t="s">
        <v>238</v>
      </c>
      <c r="BT3631" s="6" t="s">
        <v>238</v>
      </c>
      <c r="BU3631" s="5" t="s">
        <v>238</v>
      </c>
      <c r="BV3631" s="5" t="s">
        <v>238</v>
      </c>
      <c r="BW3631" s="5" t="s">
        <v>238</v>
      </c>
      <c r="BX3631" s="5" t="s">
        <v>254</v>
      </c>
      <c r="BY3631" s="5" t="s">
        <v>238</v>
      </c>
      <c r="BZ3631" s="5" t="s">
        <v>238</v>
      </c>
      <c r="CA3631" s="5" t="s">
        <v>238</v>
      </c>
      <c r="CB3631" s="5" t="s">
        <v>238</v>
      </c>
      <c r="CC3631" s="5" t="s">
        <v>238</v>
      </c>
      <c r="CD3631" s="5" t="s">
        <v>273</v>
      </c>
      <c r="CE3631" s="5" t="s">
        <v>256</v>
      </c>
      <c r="CF3631" s="5" t="s">
        <v>238</v>
      </c>
      <c r="CH3631" s="5" t="s">
        <v>494</v>
      </c>
      <c r="CI3631" s="6" t="s">
        <v>257</v>
      </c>
      <c r="CJ3631" s="5" t="s">
        <v>495</v>
      </c>
      <c r="CK3631" s="5" t="s">
        <v>258</v>
      </c>
      <c r="CL3631" s="5" t="s">
        <v>496</v>
      </c>
      <c r="CM3631" s="5" t="s">
        <v>238</v>
      </c>
      <c r="CN3631" s="5">
        <v>0</v>
      </c>
      <c r="CO3631" s="5" t="s">
        <v>497</v>
      </c>
      <c r="CP3631" s="5" t="s">
        <v>260</v>
      </c>
      <c r="CQ3631" s="5" t="s">
        <v>260</v>
      </c>
      <c r="CR3631" s="5" t="s">
        <v>261</v>
      </c>
      <c r="CS3631" s="5" t="s">
        <v>498</v>
      </c>
      <c r="CT3631" s="7">
        <f>1</f>
        <v>1</v>
      </c>
      <c r="CU3631" s="8">
        <f>1</f>
        <v>1</v>
      </c>
      <c r="CV3631" s="8">
        <f>0</f>
        <v>0</v>
      </c>
      <c r="CX3631" s="8">
        <f>1</f>
        <v>1</v>
      </c>
      <c r="CY3631" s="8">
        <f>1</f>
        <v>1</v>
      </c>
      <c r="CZ3631" s="8" t="s">
        <v>238</v>
      </c>
      <c r="DA3631" s="5" t="s">
        <v>238</v>
      </c>
      <c r="DB3631" s="5" t="s">
        <v>238</v>
      </c>
      <c r="DC3631" s="5" t="s">
        <v>238</v>
      </c>
      <c r="DD3631" s="5" t="s">
        <v>238</v>
      </c>
      <c r="DE3631" s="8">
        <f>0</f>
        <v>0</v>
      </c>
      <c r="DG3631" s="5" t="s">
        <v>238</v>
      </c>
      <c r="DH3631" s="5" t="s">
        <v>238</v>
      </c>
      <c r="DI3631" s="5" t="s">
        <v>238</v>
      </c>
      <c r="DJ3631" s="5" t="s">
        <v>238</v>
      </c>
      <c r="DK3631" s="5" t="s">
        <v>238</v>
      </c>
      <c r="DL3631" s="5" t="s">
        <v>238</v>
      </c>
      <c r="DM3631" s="8" t="s">
        <v>238</v>
      </c>
      <c r="DN3631" s="5" t="s">
        <v>238</v>
      </c>
      <c r="DO3631" s="5" t="s">
        <v>238</v>
      </c>
      <c r="DP3631" s="5" t="s">
        <v>490</v>
      </c>
      <c r="DQ3631" s="5" t="s">
        <v>490</v>
      </c>
      <c r="DR3631" s="5" t="s">
        <v>238</v>
      </c>
      <c r="DS3631" s="5" t="s">
        <v>238</v>
      </c>
      <c r="DT3631" s="5" t="s">
        <v>500</v>
      </c>
      <c r="DU3631" s="5" t="s">
        <v>1112</v>
      </c>
      <c r="DV3631" s="5" t="s">
        <v>238</v>
      </c>
      <c r="DW3631" s="5" t="s">
        <v>238</v>
      </c>
      <c r="DX3631" s="5" t="s">
        <v>238</v>
      </c>
      <c r="DY3631" s="5" t="s">
        <v>238</v>
      </c>
      <c r="DZ3631" s="5" t="s">
        <v>238</v>
      </c>
      <c r="EA3631" s="5" t="s">
        <v>238</v>
      </c>
      <c r="EB3631" s="5" t="s">
        <v>238</v>
      </c>
      <c r="EC3631" s="5" t="s">
        <v>238</v>
      </c>
      <c r="ED3631" s="5" t="s">
        <v>238</v>
      </c>
      <c r="EE3631" s="5" t="s">
        <v>238</v>
      </c>
      <c r="EF3631" s="5" t="s">
        <v>238</v>
      </c>
      <c r="EG3631" s="5" t="s">
        <v>238</v>
      </c>
      <c r="EH3631" s="5" t="s">
        <v>238</v>
      </c>
      <c r="EI3631" s="5" t="s">
        <v>238</v>
      </c>
      <c r="EJ3631" s="5" t="s">
        <v>238</v>
      </c>
      <c r="EK3631" s="5" t="s">
        <v>238</v>
      </c>
      <c r="EL3631" s="5" t="s">
        <v>238</v>
      </c>
      <c r="EM3631" s="5" t="s">
        <v>238</v>
      </c>
      <c r="EN3631" s="5" t="s">
        <v>238</v>
      </c>
      <c r="EO3631" s="5" t="s">
        <v>238</v>
      </c>
      <c r="EP3631" s="5" t="s">
        <v>238</v>
      </c>
      <c r="EQ3631" s="5" t="s">
        <v>238</v>
      </c>
      <c r="ER3631" s="5" t="s">
        <v>238</v>
      </c>
      <c r="ES3631" s="5" t="s">
        <v>238</v>
      </c>
      <c r="ET3631" s="5" t="s">
        <v>238</v>
      </c>
      <c r="EU3631" s="5" t="s">
        <v>238</v>
      </c>
      <c r="EV3631" s="5" t="s">
        <v>238</v>
      </c>
      <c r="EW3631" s="5" t="s">
        <v>238</v>
      </c>
      <c r="EX3631" s="5" t="s">
        <v>238</v>
      </c>
      <c r="EY3631" s="5" t="s">
        <v>238</v>
      </c>
      <c r="EZ3631" s="5" t="s">
        <v>238</v>
      </c>
      <c r="FA3631" s="5" t="s">
        <v>238</v>
      </c>
      <c r="FB3631" s="5" t="s">
        <v>238</v>
      </c>
      <c r="FC3631" s="5" t="s">
        <v>238</v>
      </c>
      <c r="FD3631" s="5" t="s">
        <v>238</v>
      </c>
      <c r="FE3631" s="5" t="s">
        <v>238</v>
      </c>
      <c r="FF3631" s="5" t="s">
        <v>238</v>
      </c>
      <c r="FG3631" s="5" t="s">
        <v>238</v>
      </c>
      <c r="FH3631" s="5" t="s">
        <v>238</v>
      </c>
      <c r="FI3631" s="5" t="s">
        <v>238</v>
      </c>
      <c r="FJ3631" s="5" t="s">
        <v>238</v>
      </c>
      <c r="FK3631" s="5" t="s">
        <v>238</v>
      </c>
      <c r="FL3631" s="5" t="s">
        <v>238</v>
      </c>
      <c r="FM3631" s="5" t="s">
        <v>238</v>
      </c>
      <c r="FN3631" s="5" t="s">
        <v>238</v>
      </c>
      <c r="FO3631" s="5" t="s">
        <v>238</v>
      </c>
      <c r="FP3631" s="5" t="s">
        <v>238</v>
      </c>
      <c r="FQ3631" s="5" t="s">
        <v>238</v>
      </c>
      <c r="FR3631" s="5" t="s">
        <v>238</v>
      </c>
      <c r="FS3631" s="5" t="s">
        <v>238</v>
      </c>
      <c r="FT3631" s="5" t="s">
        <v>238</v>
      </c>
      <c r="FU3631" s="5" t="s">
        <v>238</v>
      </c>
      <c r="FV3631" s="5" t="s">
        <v>238</v>
      </c>
      <c r="FW3631" s="5" t="s">
        <v>238</v>
      </c>
      <c r="FX3631" s="5" t="s">
        <v>238</v>
      </c>
      <c r="FY3631" s="5" t="s">
        <v>238</v>
      </c>
      <c r="FZ3631" s="5" t="s">
        <v>238</v>
      </c>
      <c r="GA3631" s="5" t="s">
        <v>238</v>
      </c>
      <c r="GB3631" s="5" t="s">
        <v>238</v>
      </c>
      <c r="GC3631" s="5" t="s">
        <v>238</v>
      </c>
      <c r="GD3631" s="5" t="s">
        <v>238</v>
      </c>
      <c r="GE3631" s="5" t="s">
        <v>238</v>
      </c>
      <c r="GF3631" s="5" t="s">
        <v>238</v>
      </c>
      <c r="GG3631" s="5" t="s">
        <v>238</v>
      </c>
      <c r="GH3631" s="5" t="s">
        <v>238</v>
      </c>
      <c r="GI3631" s="5" t="s">
        <v>238</v>
      </c>
      <c r="GJ3631" s="5" t="s">
        <v>238</v>
      </c>
      <c r="GK3631" s="5" t="s">
        <v>238</v>
      </c>
      <c r="GL3631" s="5" t="s">
        <v>238</v>
      </c>
      <c r="GM3631" s="5" t="s">
        <v>238</v>
      </c>
      <c r="GN3631" s="5" t="s">
        <v>238</v>
      </c>
      <c r="GO3631" s="5" t="s">
        <v>238</v>
      </c>
      <c r="GP3631" s="5" t="s">
        <v>238</v>
      </c>
      <c r="GQ3631" s="5" t="s">
        <v>238</v>
      </c>
      <c r="GR3631" s="5" t="s">
        <v>238</v>
      </c>
      <c r="GS3631" s="5" t="s">
        <v>238</v>
      </c>
      <c r="GT3631" s="5" t="s">
        <v>238</v>
      </c>
      <c r="GU3631" s="5" t="s">
        <v>238</v>
      </c>
      <c r="GV3631" s="5" t="s">
        <v>238</v>
      </c>
      <c r="GW3631" s="5" t="s">
        <v>238</v>
      </c>
      <c r="GX3631" s="5" t="s">
        <v>238</v>
      </c>
      <c r="GY3631" s="5" t="s">
        <v>238</v>
      </c>
      <c r="GZ3631" s="5" t="s">
        <v>238</v>
      </c>
      <c r="HA3631" s="5" t="s">
        <v>238</v>
      </c>
      <c r="HB3631" s="5" t="s">
        <v>238</v>
      </c>
      <c r="HC3631" s="5" t="s">
        <v>238</v>
      </c>
      <c r="HD3631" s="5" t="s">
        <v>238</v>
      </c>
      <c r="HE3631" s="5" t="s">
        <v>238</v>
      </c>
      <c r="HF3631" s="5" t="s">
        <v>238</v>
      </c>
      <c r="HG3631" s="5" t="s">
        <v>238</v>
      </c>
      <c r="HH3631" s="5" t="s">
        <v>238</v>
      </c>
      <c r="HI3631" s="5" t="s">
        <v>238</v>
      </c>
      <c r="HJ3631" s="5" t="s">
        <v>238</v>
      </c>
      <c r="HK3631" s="5" t="s">
        <v>238</v>
      </c>
      <c r="HL3631" s="5" t="s">
        <v>238</v>
      </c>
      <c r="HM3631" s="5" t="s">
        <v>264</v>
      </c>
      <c r="HN3631" s="5" t="s">
        <v>238</v>
      </c>
      <c r="HO3631" s="5" t="s">
        <v>238</v>
      </c>
      <c r="HP3631" s="5" t="s">
        <v>238</v>
      </c>
      <c r="HQ3631" s="5" t="s">
        <v>238</v>
      </c>
      <c r="HR3631" s="5" t="s">
        <v>238</v>
      </c>
      <c r="HS3631" s="5" t="s">
        <v>238</v>
      </c>
      <c r="HT3631" s="5" t="s">
        <v>238</v>
      </c>
      <c r="HU3631" s="5" t="s">
        <v>238</v>
      </c>
      <c r="HV3631" s="5" t="s">
        <v>238</v>
      </c>
      <c r="HW3631" s="5" t="s">
        <v>238</v>
      </c>
      <c r="HX3631" s="5" t="s">
        <v>238</v>
      </c>
      <c r="HY3631" s="5" t="s">
        <v>238</v>
      </c>
      <c r="HZ3631" s="5" t="s">
        <v>238</v>
      </c>
      <c r="IA3631" s="5" t="s">
        <v>238</v>
      </c>
      <c r="IB3631" s="5" t="s">
        <v>238</v>
      </c>
      <c r="IC3631" s="5" t="s">
        <v>238</v>
      </c>
      <c r="ID3631" s="5" t="s">
        <v>238</v>
      </c>
    </row>
    <row r="3632" spans="1:238" x14ac:dyDescent="0.4">
      <c r="A3632" s="5">
        <v>9350</v>
      </c>
      <c r="B3632" s="5">
        <v>1</v>
      </c>
      <c r="C3632" s="5">
        <v>1</v>
      </c>
      <c r="D3632" s="5" t="s">
        <v>484</v>
      </c>
      <c r="E3632" s="5" t="s">
        <v>485</v>
      </c>
      <c r="F3632" s="5" t="s">
        <v>248</v>
      </c>
      <c r="G3632" s="5" t="s">
        <v>4178</v>
      </c>
      <c r="H3632" s="6" t="s">
        <v>4180</v>
      </c>
      <c r="I3632" s="8">
        <f>1</f>
        <v>1</v>
      </c>
      <c r="J3632" s="5" t="s">
        <v>499</v>
      </c>
      <c r="K3632" s="8">
        <f>1</f>
        <v>1</v>
      </c>
      <c r="L3632" s="6" t="s">
        <v>242</v>
      </c>
      <c r="M3632" s="5" t="s">
        <v>267</v>
      </c>
      <c r="N3632" s="5" t="s">
        <v>482</v>
      </c>
      <c r="O3632" s="5" t="s">
        <v>238</v>
      </c>
      <c r="P3632" s="5" t="s">
        <v>238</v>
      </c>
      <c r="Q3632" s="5" t="s">
        <v>239</v>
      </c>
      <c r="R3632" s="5" t="s">
        <v>270</v>
      </c>
      <c r="S3632" s="5" t="s">
        <v>238</v>
      </c>
      <c r="T3632" s="5" t="s">
        <v>238</v>
      </c>
      <c r="U3632" s="5" t="s">
        <v>238</v>
      </c>
      <c r="V3632" s="5" t="s">
        <v>238</v>
      </c>
      <c r="W3632" s="6" t="s">
        <v>238</v>
      </c>
      <c r="X3632" s="6" t="s">
        <v>238</v>
      </c>
      <c r="Y3632" s="5" t="s">
        <v>238</v>
      </c>
      <c r="Z3632" s="6" t="s">
        <v>238</v>
      </c>
      <c r="AA3632" s="6" t="s">
        <v>243</v>
      </c>
      <c r="AB3632" s="5" t="s">
        <v>4179</v>
      </c>
      <c r="AC3632" s="5" t="s">
        <v>244</v>
      </c>
      <c r="AD3632" s="5" t="s">
        <v>245</v>
      </c>
      <c r="AE3632" s="5" t="s">
        <v>238</v>
      </c>
      <c r="AF3632" s="5" t="s">
        <v>238</v>
      </c>
      <c r="AG3632" s="5" t="s">
        <v>238</v>
      </c>
      <c r="AH3632" s="5" t="s">
        <v>238</v>
      </c>
      <c r="AI3632" s="5" t="s">
        <v>238</v>
      </c>
      <c r="AJ3632" s="5" t="s">
        <v>238</v>
      </c>
      <c r="AK3632" s="5" t="s">
        <v>238</v>
      </c>
      <c r="AL3632" s="5" t="s">
        <v>238</v>
      </c>
      <c r="AM3632" s="6" t="s">
        <v>238</v>
      </c>
      <c r="AN3632" s="6" t="s">
        <v>238</v>
      </c>
      <c r="AO3632" s="6" t="s">
        <v>238</v>
      </c>
      <c r="AP3632" s="6" t="s">
        <v>238</v>
      </c>
      <c r="AQ3632" s="5" t="s">
        <v>238</v>
      </c>
      <c r="AR3632" s="5" t="s">
        <v>488</v>
      </c>
      <c r="AS3632" s="5" t="s">
        <v>488</v>
      </c>
      <c r="AT3632" s="5" t="s">
        <v>246</v>
      </c>
      <c r="AU3632" s="5" t="s">
        <v>489</v>
      </c>
      <c r="AV3632" s="5" t="s">
        <v>247</v>
      </c>
      <c r="AW3632" s="5" t="s">
        <v>238</v>
      </c>
      <c r="AX3632" s="5" t="s">
        <v>249</v>
      </c>
      <c r="AY3632" s="5" t="s">
        <v>490</v>
      </c>
      <c r="BA3632" s="5" t="s">
        <v>238</v>
      </c>
      <c r="BC3632" s="5" t="s">
        <v>491</v>
      </c>
      <c r="BD3632" s="6" t="s">
        <v>492</v>
      </c>
      <c r="BE3632" s="5" t="s">
        <v>493</v>
      </c>
      <c r="BF3632" s="5" t="s">
        <v>493</v>
      </c>
      <c r="BG3632" s="5" t="s">
        <v>238</v>
      </c>
      <c r="BH3632" s="8">
        <f>1</f>
        <v>1</v>
      </c>
      <c r="BI3632" s="8">
        <f>1</f>
        <v>1</v>
      </c>
      <c r="BJ3632" s="5" t="s">
        <v>253</v>
      </c>
      <c r="BK3632" s="5" t="s">
        <v>254</v>
      </c>
      <c r="BL3632" s="5" t="s">
        <v>238</v>
      </c>
      <c r="BM3632" s="5" t="s">
        <v>238</v>
      </c>
      <c r="BN3632" s="5" t="s">
        <v>238</v>
      </c>
      <c r="BO3632" s="5" t="s">
        <v>238</v>
      </c>
      <c r="BP3632" s="5" t="s">
        <v>238</v>
      </c>
      <c r="BQ3632" s="5" t="s">
        <v>238</v>
      </c>
      <c r="BR3632" s="5" t="s">
        <v>238</v>
      </c>
      <c r="BS3632" s="5" t="s">
        <v>238</v>
      </c>
      <c r="BT3632" s="6" t="s">
        <v>238</v>
      </c>
      <c r="BU3632" s="5" t="s">
        <v>238</v>
      </c>
      <c r="BV3632" s="5" t="s">
        <v>238</v>
      </c>
      <c r="BW3632" s="5" t="s">
        <v>238</v>
      </c>
      <c r="BX3632" s="5" t="s">
        <v>254</v>
      </c>
      <c r="BY3632" s="5" t="s">
        <v>238</v>
      </c>
      <c r="BZ3632" s="5" t="s">
        <v>238</v>
      </c>
      <c r="CA3632" s="5" t="s">
        <v>238</v>
      </c>
      <c r="CB3632" s="5" t="s">
        <v>238</v>
      </c>
      <c r="CC3632" s="5" t="s">
        <v>238</v>
      </c>
      <c r="CD3632" s="5" t="s">
        <v>273</v>
      </c>
      <c r="CE3632" s="5" t="s">
        <v>256</v>
      </c>
      <c r="CF3632" s="5" t="s">
        <v>238</v>
      </c>
      <c r="CH3632" s="5" t="s">
        <v>494</v>
      </c>
      <c r="CI3632" s="6" t="s">
        <v>257</v>
      </c>
      <c r="CJ3632" s="5" t="s">
        <v>495</v>
      </c>
      <c r="CK3632" s="5" t="s">
        <v>258</v>
      </c>
      <c r="CL3632" s="5" t="s">
        <v>496</v>
      </c>
      <c r="CM3632" s="5" t="s">
        <v>238</v>
      </c>
      <c r="CN3632" s="5">
        <v>0</v>
      </c>
      <c r="CO3632" s="5" t="s">
        <v>497</v>
      </c>
      <c r="CP3632" s="5" t="s">
        <v>260</v>
      </c>
      <c r="CQ3632" s="5" t="s">
        <v>260</v>
      </c>
      <c r="CR3632" s="5" t="s">
        <v>261</v>
      </c>
      <c r="CS3632" s="5" t="s">
        <v>498</v>
      </c>
      <c r="CT3632" s="7">
        <f>1</f>
        <v>1</v>
      </c>
      <c r="CU3632" s="8">
        <f>1</f>
        <v>1</v>
      </c>
      <c r="CV3632" s="8">
        <f>0</f>
        <v>0</v>
      </c>
      <c r="CX3632" s="8">
        <f>1</f>
        <v>1</v>
      </c>
      <c r="CY3632" s="8">
        <f>1</f>
        <v>1</v>
      </c>
      <c r="CZ3632" s="8" t="s">
        <v>238</v>
      </c>
      <c r="DA3632" s="5" t="s">
        <v>238</v>
      </c>
      <c r="DB3632" s="5" t="s">
        <v>238</v>
      </c>
      <c r="DC3632" s="5" t="s">
        <v>238</v>
      </c>
      <c r="DD3632" s="5" t="s">
        <v>238</v>
      </c>
      <c r="DE3632" s="8">
        <f>0</f>
        <v>0</v>
      </c>
      <c r="DG3632" s="5" t="s">
        <v>238</v>
      </c>
      <c r="DH3632" s="5" t="s">
        <v>238</v>
      </c>
      <c r="DI3632" s="5" t="s">
        <v>238</v>
      </c>
      <c r="DJ3632" s="5" t="s">
        <v>238</v>
      </c>
      <c r="DK3632" s="5" t="s">
        <v>238</v>
      </c>
      <c r="DL3632" s="5" t="s">
        <v>238</v>
      </c>
      <c r="DM3632" s="8" t="s">
        <v>238</v>
      </c>
      <c r="DN3632" s="5" t="s">
        <v>238</v>
      </c>
      <c r="DO3632" s="5" t="s">
        <v>238</v>
      </c>
      <c r="DP3632" s="5" t="s">
        <v>490</v>
      </c>
      <c r="DQ3632" s="5" t="s">
        <v>490</v>
      </c>
      <c r="DR3632" s="5" t="s">
        <v>238</v>
      </c>
      <c r="DS3632" s="5" t="s">
        <v>238</v>
      </c>
      <c r="DT3632" s="5" t="s">
        <v>500</v>
      </c>
      <c r="DU3632" s="5" t="s">
        <v>1126</v>
      </c>
      <c r="DV3632" s="5" t="s">
        <v>238</v>
      </c>
      <c r="DW3632" s="5" t="s">
        <v>238</v>
      </c>
      <c r="DX3632" s="5" t="s">
        <v>238</v>
      </c>
      <c r="DY3632" s="5" t="s">
        <v>238</v>
      </c>
      <c r="DZ3632" s="5" t="s">
        <v>238</v>
      </c>
      <c r="EA3632" s="5" t="s">
        <v>238</v>
      </c>
      <c r="EB3632" s="5" t="s">
        <v>238</v>
      </c>
      <c r="EC3632" s="5" t="s">
        <v>238</v>
      </c>
      <c r="ED3632" s="5" t="s">
        <v>238</v>
      </c>
      <c r="EE3632" s="5" t="s">
        <v>238</v>
      </c>
      <c r="EF3632" s="5" t="s">
        <v>238</v>
      </c>
      <c r="EG3632" s="5" t="s">
        <v>238</v>
      </c>
      <c r="EH3632" s="5" t="s">
        <v>238</v>
      </c>
      <c r="EI3632" s="5" t="s">
        <v>238</v>
      </c>
      <c r="EJ3632" s="5" t="s">
        <v>238</v>
      </c>
      <c r="EK3632" s="5" t="s">
        <v>238</v>
      </c>
      <c r="EL3632" s="5" t="s">
        <v>238</v>
      </c>
      <c r="EM3632" s="5" t="s">
        <v>238</v>
      </c>
      <c r="EN3632" s="5" t="s">
        <v>238</v>
      </c>
      <c r="EO3632" s="5" t="s">
        <v>238</v>
      </c>
      <c r="EP3632" s="5" t="s">
        <v>238</v>
      </c>
      <c r="EQ3632" s="5" t="s">
        <v>238</v>
      </c>
      <c r="ER3632" s="5" t="s">
        <v>238</v>
      </c>
      <c r="ES3632" s="5" t="s">
        <v>238</v>
      </c>
      <c r="ET3632" s="5" t="s">
        <v>238</v>
      </c>
      <c r="EU3632" s="5" t="s">
        <v>238</v>
      </c>
      <c r="EV3632" s="5" t="s">
        <v>238</v>
      </c>
      <c r="EW3632" s="5" t="s">
        <v>238</v>
      </c>
      <c r="EX3632" s="5" t="s">
        <v>238</v>
      </c>
      <c r="EY3632" s="5" t="s">
        <v>238</v>
      </c>
      <c r="EZ3632" s="5" t="s">
        <v>238</v>
      </c>
      <c r="FA3632" s="5" t="s">
        <v>238</v>
      </c>
      <c r="FB3632" s="5" t="s">
        <v>238</v>
      </c>
      <c r="FC3632" s="5" t="s">
        <v>238</v>
      </c>
      <c r="FD3632" s="5" t="s">
        <v>238</v>
      </c>
      <c r="FE3632" s="5" t="s">
        <v>238</v>
      </c>
      <c r="FF3632" s="5" t="s">
        <v>238</v>
      </c>
      <c r="FG3632" s="5" t="s">
        <v>238</v>
      </c>
      <c r="FH3632" s="5" t="s">
        <v>238</v>
      </c>
      <c r="FI3632" s="5" t="s">
        <v>238</v>
      </c>
      <c r="FJ3632" s="5" t="s">
        <v>238</v>
      </c>
      <c r="FK3632" s="5" t="s">
        <v>238</v>
      </c>
      <c r="FL3632" s="5" t="s">
        <v>238</v>
      </c>
      <c r="FM3632" s="5" t="s">
        <v>238</v>
      </c>
      <c r="FN3632" s="5" t="s">
        <v>238</v>
      </c>
      <c r="FO3632" s="5" t="s">
        <v>238</v>
      </c>
      <c r="FP3632" s="5" t="s">
        <v>238</v>
      </c>
      <c r="FQ3632" s="5" t="s">
        <v>238</v>
      </c>
      <c r="FR3632" s="5" t="s">
        <v>238</v>
      </c>
      <c r="FS3632" s="5" t="s">
        <v>238</v>
      </c>
      <c r="FT3632" s="5" t="s">
        <v>238</v>
      </c>
      <c r="FU3632" s="5" t="s">
        <v>238</v>
      </c>
      <c r="FV3632" s="5" t="s">
        <v>238</v>
      </c>
      <c r="FW3632" s="5" t="s">
        <v>238</v>
      </c>
      <c r="FX3632" s="5" t="s">
        <v>238</v>
      </c>
      <c r="FY3632" s="5" t="s">
        <v>238</v>
      </c>
      <c r="FZ3632" s="5" t="s">
        <v>238</v>
      </c>
      <c r="GA3632" s="5" t="s">
        <v>238</v>
      </c>
      <c r="GB3632" s="5" t="s">
        <v>238</v>
      </c>
      <c r="GC3632" s="5" t="s">
        <v>238</v>
      </c>
      <c r="GD3632" s="5" t="s">
        <v>238</v>
      </c>
      <c r="GE3632" s="5" t="s">
        <v>238</v>
      </c>
      <c r="GF3632" s="5" t="s">
        <v>238</v>
      </c>
      <c r="GG3632" s="5" t="s">
        <v>238</v>
      </c>
      <c r="GH3632" s="5" t="s">
        <v>238</v>
      </c>
      <c r="GI3632" s="5" t="s">
        <v>238</v>
      </c>
      <c r="GJ3632" s="5" t="s">
        <v>238</v>
      </c>
      <c r="GK3632" s="5" t="s">
        <v>238</v>
      </c>
      <c r="GL3632" s="5" t="s">
        <v>238</v>
      </c>
      <c r="GM3632" s="5" t="s">
        <v>238</v>
      </c>
      <c r="GN3632" s="5" t="s">
        <v>238</v>
      </c>
      <c r="GO3632" s="5" t="s">
        <v>238</v>
      </c>
      <c r="GP3632" s="5" t="s">
        <v>238</v>
      </c>
      <c r="GQ3632" s="5" t="s">
        <v>238</v>
      </c>
      <c r="GR3632" s="5" t="s">
        <v>238</v>
      </c>
      <c r="GS3632" s="5" t="s">
        <v>238</v>
      </c>
      <c r="GT3632" s="5" t="s">
        <v>238</v>
      </c>
      <c r="GU3632" s="5" t="s">
        <v>238</v>
      </c>
      <c r="GV3632" s="5" t="s">
        <v>238</v>
      </c>
      <c r="GW3632" s="5" t="s">
        <v>238</v>
      </c>
      <c r="GX3632" s="5" t="s">
        <v>238</v>
      </c>
      <c r="GY3632" s="5" t="s">
        <v>238</v>
      </c>
      <c r="GZ3632" s="5" t="s">
        <v>238</v>
      </c>
      <c r="HA3632" s="5" t="s">
        <v>238</v>
      </c>
      <c r="HB3632" s="5" t="s">
        <v>238</v>
      </c>
      <c r="HC3632" s="5" t="s">
        <v>238</v>
      </c>
      <c r="HD3632" s="5" t="s">
        <v>238</v>
      </c>
      <c r="HE3632" s="5" t="s">
        <v>238</v>
      </c>
      <c r="HF3632" s="5" t="s">
        <v>238</v>
      </c>
      <c r="HG3632" s="5" t="s">
        <v>238</v>
      </c>
      <c r="HH3632" s="5" t="s">
        <v>238</v>
      </c>
      <c r="HI3632" s="5" t="s">
        <v>238</v>
      </c>
      <c r="HJ3632" s="5" t="s">
        <v>238</v>
      </c>
      <c r="HK3632" s="5" t="s">
        <v>238</v>
      </c>
      <c r="HL3632" s="5" t="s">
        <v>238</v>
      </c>
      <c r="HM3632" s="5" t="s">
        <v>264</v>
      </c>
      <c r="HN3632" s="5" t="s">
        <v>238</v>
      </c>
      <c r="HO3632" s="5" t="s">
        <v>238</v>
      </c>
      <c r="HP3632" s="5" t="s">
        <v>238</v>
      </c>
      <c r="HQ3632" s="5" t="s">
        <v>238</v>
      </c>
      <c r="HR3632" s="5" t="s">
        <v>238</v>
      </c>
      <c r="HS3632" s="5" t="s">
        <v>238</v>
      </c>
      <c r="HT3632" s="5" t="s">
        <v>238</v>
      </c>
      <c r="HU3632" s="5" t="s">
        <v>238</v>
      </c>
      <c r="HV3632" s="5" t="s">
        <v>238</v>
      </c>
      <c r="HW3632" s="5" t="s">
        <v>238</v>
      </c>
      <c r="HX3632" s="5" t="s">
        <v>238</v>
      </c>
      <c r="HY3632" s="5" t="s">
        <v>238</v>
      </c>
      <c r="HZ3632" s="5" t="s">
        <v>238</v>
      </c>
      <c r="IA3632" s="5" t="s">
        <v>238</v>
      </c>
      <c r="IB3632" s="5" t="s">
        <v>238</v>
      </c>
      <c r="IC3632" s="5" t="s">
        <v>238</v>
      </c>
      <c r="ID3632" s="5" t="s">
        <v>238</v>
      </c>
    </row>
    <row r="3633" spans="1:238" x14ac:dyDescent="0.4">
      <c r="A3633" s="5">
        <v>9351</v>
      </c>
      <c r="B3633" s="5">
        <v>1</v>
      </c>
      <c r="C3633" s="5">
        <v>1</v>
      </c>
      <c r="D3633" s="5" t="s">
        <v>484</v>
      </c>
      <c r="E3633" s="5" t="s">
        <v>485</v>
      </c>
      <c r="F3633" s="5" t="s">
        <v>248</v>
      </c>
      <c r="G3633" s="5" t="s">
        <v>5741</v>
      </c>
      <c r="H3633" s="6" t="s">
        <v>5742</v>
      </c>
      <c r="I3633" s="8">
        <f>1</f>
        <v>1</v>
      </c>
      <c r="J3633" s="5" t="s">
        <v>499</v>
      </c>
      <c r="K3633" s="8">
        <f>1</f>
        <v>1</v>
      </c>
      <c r="L3633" s="6" t="s">
        <v>242</v>
      </c>
      <c r="M3633" s="5" t="s">
        <v>267</v>
      </c>
      <c r="N3633" s="5" t="s">
        <v>482</v>
      </c>
      <c r="O3633" s="5" t="s">
        <v>238</v>
      </c>
      <c r="P3633" s="5" t="s">
        <v>238</v>
      </c>
      <c r="Q3633" s="5" t="s">
        <v>239</v>
      </c>
      <c r="R3633" s="5" t="s">
        <v>270</v>
      </c>
      <c r="S3633" s="5" t="s">
        <v>238</v>
      </c>
      <c r="T3633" s="5" t="s">
        <v>238</v>
      </c>
      <c r="U3633" s="5" t="s">
        <v>238</v>
      </c>
      <c r="V3633" s="5" t="s">
        <v>238</v>
      </c>
      <c r="W3633" s="6" t="s">
        <v>238</v>
      </c>
      <c r="X3633" s="6" t="s">
        <v>238</v>
      </c>
      <c r="Y3633" s="5" t="s">
        <v>238</v>
      </c>
      <c r="Z3633" s="6" t="s">
        <v>238</v>
      </c>
      <c r="AA3633" s="6" t="s">
        <v>243</v>
      </c>
      <c r="AB3633" s="5" t="s">
        <v>486</v>
      </c>
      <c r="AC3633" s="5" t="s">
        <v>244</v>
      </c>
      <c r="AD3633" s="5" t="s">
        <v>245</v>
      </c>
      <c r="AE3633" s="5" t="s">
        <v>238</v>
      </c>
      <c r="AF3633" s="5" t="s">
        <v>238</v>
      </c>
      <c r="AG3633" s="5" t="s">
        <v>238</v>
      </c>
      <c r="AH3633" s="5" t="s">
        <v>238</v>
      </c>
      <c r="AI3633" s="5" t="s">
        <v>238</v>
      </c>
      <c r="AJ3633" s="5" t="s">
        <v>238</v>
      </c>
      <c r="AK3633" s="5" t="s">
        <v>238</v>
      </c>
      <c r="AL3633" s="5" t="s">
        <v>238</v>
      </c>
      <c r="AM3633" s="6" t="s">
        <v>238</v>
      </c>
      <c r="AN3633" s="6" t="s">
        <v>238</v>
      </c>
      <c r="AO3633" s="6" t="s">
        <v>238</v>
      </c>
      <c r="AP3633" s="6" t="s">
        <v>238</v>
      </c>
      <c r="AQ3633" s="5" t="s">
        <v>238</v>
      </c>
      <c r="AR3633" s="5" t="s">
        <v>488</v>
      </c>
      <c r="AS3633" s="5" t="s">
        <v>488</v>
      </c>
      <c r="AT3633" s="5" t="s">
        <v>246</v>
      </c>
      <c r="AU3633" s="5" t="s">
        <v>489</v>
      </c>
      <c r="AV3633" s="5" t="s">
        <v>247</v>
      </c>
      <c r="AW3633" s="5" t="s">
        <v>238</v>
      </c>
      <c r="AX3633" s="5" t="s">
        <v>249</v>
      </c>
      <c r="AY3633" s="5" t="s">
        <v>490</v>
      </c>
      <c r="BA3633" s="5" t="s">
        <v>238</v>
      </c>
      <c r="BC3633" s="5" t="s">
        <v>491</v>
      </c>
      <c r="BD3633" s="6" t="s">
        <v>492</v>
      </c>
      <c r="BE3633" s="5" t="s">
        <v>493</v>
      </c>
      <c r="BF3633" s="5" t="s">
        <v>493</v>
      </c>
      <c r="BG3633" s="5" t="s">
        <v>238</v>
      </c>
      <c r="BH3633" s="8">
        <f>1</f>
        <v>1</v>
      </c>
      <c r="BI3633" s="8">
        <f>1</f>
        <v>1</v>
      </c>
      <c r="BJ3633" s="5" t="s">
        <v>253</v>
      </c>
      <c r="BK3633" s="5" t="s">
        <v>254</v>
      </c>
      <c r="BL3633" s="5" t="s">
        <v>238</v>
      </c>
      <c r="BM3633" s="5" t="s">
        <v>238</v>
      </c>
      <c r="BN3633" s="5" t="s">
        <v>238</v>
      </c>
      <c r="BO3633" s="5" t="s">
        <v>238</v>
      </c>
      <c r="BP3633" s="5" t="s">
        <v>238</v>
      </c>
      <c r="BQ3633" s="5" t="s">
        <v>238</v>
      </c>
      <c r="BR3633" s="5" t="s">
        <v>238</v>
      </c>
      <c r="BS3633" s="5" t="s">
        <v>238</v>
      </c>
      <c r="BT3633" s="6" t="s">
        <v>238</v>
      </c>
      <c r="BU3633" s="5" t="s">
        <v>238</v>
      </c>
      <c r="BV3633" s="5" t="s">
        <v>238</v>
      </c>
      <c r="BW3633" s="5" t="s">
        <v>238</v>
      </c>
      <c r="BX3633" s="5" t="s">
        <v>254</v>
      </c>
      <c r="BY3633" s="5" t="s">
        <v>238</v>
      </c>
      <c r="BZ3633" s="5" t="s">
        <v>238</v>
      </c>
      <c r="CA3633" s="5" t="s">
        <v>238</v>
      </c>
      <c r="CB3633" s="5" t="s">
        <v>238</v>
      </c>
      <c r="CC3633" s="5" t="s">
        <v>238</v>
      </c>
      <c r="CD3633" s="5" t="s">
        <v>273</v>
      </c>
      <c r="CE3633" s="5" t="s">
        <v>256</v>
      </c>
      <c r="CF3633" s="5" t="s">
        <v>238</v>
      </c>
      <c r="CH3633" s="5" t="s">
        <v>494</v>
      </c>
      <c r="CI3633" s="6" t="s">
        <v>257</v>
      </c>
      <c r="CJ3633" s="5" t="s">
        <v>495</v>
      </c>
      <c r="CK3633" s="5" t="s">
        <v>258</v>
      </c>
      <c r="CL3633" s="5" t="s">
        <v>496</v>
      </c>
      <c r="CM3633" s="5" t="s">
        <v>238</v>
      </c>
      <c r="CN3633" s="5">
        <v>0</v>
      </c>
      <c r="CO3633" s="5" t="s">
        <v>497</v>
      </c>
      <c r="CP3633" s="5" t="s">
        <v>260</v>
      </c>
      <c r="CQ3633" s="5" t="s">
        <v>260</v>
      </c>
      <c r="CR3633" s="5" t="s">
        <v>261</v>
      </c>
      <c r="CS3633" s="5" t="s">
        <v>498</v>
      </c>
      <c r="CT3633" s="7">
        <f>1</f>
        <v>1</v>
      </c>
      <c r="CU3633" s="8">
        <f>1</f>
        <v>1</v>
      </c>
      <c r="CV3633" s="8">
        <f>0</f>
        <v>0</v>
      </c>
      <c r="CX3633" s="8">
        <f>1</f>
        <v>1</v>
      </c>
      <c r="CY3633" s="8">
        <f>1</f>
        <v>1</v>
      </c>
      <c r="CZ3633" s="8" t="s">
        <v>238</v>
      </c>
      <c r="DA3633" s="5" t="s">
        <v>238</v>
      </c>
      <c r="DB3633" s="5" t="s">
        <v>238</v>
      </c>
      <c r="DC3633" s="5" t="s">
        <v>238</v>
      </c>
      <c r="DD3633" s="5" t="s">
        <v>238</v>
      </c>
      <c r="DE3633" s="8">
        <f>0</f>
        <v>0</v>
      </c>
      <c r="DG3633" s="5" t="s">
        <v>238</v>
      </c>
      <c r="DH3633" s="5" t="s">
        <v>238</v>
      </c>
      <c r="DI3633" s="5" t="s">
        <v>238</v>
      </c>
      <c r="DJ3633" s="5" t="s">
        <v>238</v>
      </c>
      <c r="DK3633" s="5" t="s">
        <v>238</v>
      </c>
      <c r="DL3633" s="5" t="s">
        <v>238</v>
      </c>
      <c r="DM3633" s="8" t="s">
        <v>238</v>
      </c>
      <c r="DN3633" s="5" t="s">
        <v>238</v>
      </c>
      <c r="DO3633" s="5" t="s">
        <v>238</v>
      </c>
      <c r="DP3633" s="5" t="s">
        <v>490</v>
      </c>
      <c r="DQ3633" s="5" t="s">
        <v>490</v>
      </c>
      <c r="DR3633" s="5" t="s">
        <v>238</v>
      </c>
      <c r="DS3633" s="5" t="s">
        <v>238</v>
      </c>
      <c r="DT3633" s="5" t="s">
        <v>500</v>
      </c>
      <c r="DU3633" s="5" t="s">
        <v>1137</v>
      </c>
      <c r="DV3633" s="5" t="s">
        <v>238</v>
      </c>
      <c r="DW3633" s="5" t="s">
        <v>238</v>
      </c>
      <c r="DX3633" s="5" t="s">
        <v>238</v>
      </c>
      <c r="DY3633" s="5" t="s">
        <v>238</v>
      </c>
      <c r="DZ3633" s="5" t="s">
        <v>238</v>
      </c>
      <c r="EA3633" s="5" t="s">
        <v>238</v>
      </c>
      <c r="EB3633" s="5" t="s">
        <v>238</v>
      </c>
      <c r="EC3633" s="5" t="s">
        <v>238</v>
      </c>
      <c r="ED3633" s="5" t="s">
        <v>238</v>
      </c>
      <c r="EE3633" s="5" t="s">
        <v>238</v>
      </c>
      <c r="EF3633" s="5" t="s">
        <v>238</v>
      </c>
      <c r="EG3633" s="5" t="s">
        <v>238</v>
      </c>
      <c r="EH3633" s="5" t="s">
        <v>238</v>
      </c>
      <c r="EI3633" s="5" t="s">
        <v>238</v>
      </c>
      <c r="EJ3633" s="5" t="s">
        <v>238</v>
      </c>
      <c r="EK3633" s="5" t="s">
        <v>238</v>
      </c>
      <c r="EL3633" s="5" t="s">
        <v>238</v>
      </c>
      <c r="EM3633" s="5" t="s">
        <v>238</v>
      </c>
      <c r="EN3633" s="5" t="s">
        <v>238</v>
      </c>
      <c r="EO3633" s="5" t="s">
        <v>238</v>
      </c>
      <c r="EP3633" s="5" t="s">
        <v>238</v>
      </c>
      <c r="EQ3633" s="5" t="s">
        <v>238</v>
      </c>
      <c r="ER3633" s="5" t="s">
        <v>238</v>
      </c>
      <c r="ES3633" s="5" t="s">
        <v>238</v>
      </c>
      <c r="ET3633" s="5" t="s">
        <v>238</v>
      </c>
      <c r="EU3633" s="5" t="s">
        <v>238</v>
      </c>
      <c r="EV3633" s="5" t="s">
        <v>238</v>
      </c>
      <c r="EW3633" s="5" t="s">
        <v>238</v>
      </c>
      <c r="EX3633" s="5" t="s">
        <v>238</v>
      </c>
      <c r="EY3633" s="5" t="s">
        <v>238</v>
      </c>
      <c r="EZ3633" s="5" t="s">
        <v>238</v>
      </c>
      <c r="FA3633" s="5" t="s">
        <v>238</v>
      </c>
      <c r="FB3633" s="5" t="s">
        <v>238</v>
      </c>
      <c r="FC3633" s="5" t="s">
        <v>238</v>
      </c>
      <c r="FD3633" s="5" t="s">
        <v>238</v>
      </c>
      <c r="FE3633" s="5" t="s">
        <v>238</v>
      </c>
      <c r="FF3633" s="5" t="s">
        <v>238</v>
      </c>
      <c r="FG3633" s="5" t="s">
        <v>238</v>
      </c>
      <c r="FH3633" s="5" t="s">
        <v>238</v>
      </c>
      <c r="FI3633" s="5" t="s">
        <v>238</v>
      </c>
      <c r="FJ3633" s="5" t="s">
        <v>238</v>
      </c>
      <c r="FK3633" s="5" t="s">
        <v>238</v>
      </c>
      <c r="FL3633" s="5" t="s">
        <v>238</v>
      </c>
      <c r="FM3633" s="5" t="s">
        <v>238</v>
      </c>
      <c r="FN3633" s="5" t="s">
        <v>238</v>
      </c>
      <c r="FO3633" s="5" t="s">
        <v>238</v>
      </c>
      <c r="FP3633" s="5" t="s">
        <v>238</v>
      </c>
      <c r="FQ3633" s="5" t="s">
        <v>238</v>
      </c>
      <c r="FR3633" s="5" t="s">
        <v>238</v>
      </c>
      <c r="FS3633" s="5" t="s">
        <v>238</v>
      </c>
      <c r="FT3633" s="5" t="s">
        <v>238</v>
      </c>
      <c r="FU3633" s="5" t="s">
        <v>238</v>
      </c>
      <c r="FV3633" s="5" t="s">
        <v>238</v>
      </c>
      <c r="FW3633" s="5" t="s">
        <v>238</v>
      </c>
      <c r="FX3633" s="5" t="s">
        <v>238</v>
      </c>
      <c r="FY3633" s="5" t="s">
        <v>238</v>
      </c>
      <c r="FZ3633" s="5" t="s">
        <v>238</v>
      </c>
      <c r="GA3633" s="5" t="s">
        <v>238</v>
      </c>
      <c r="GB3633" s="5" t="s">
        <v>238</v>
      </c>
      <c r="GC3633" s="5" t="s">
        <v>238</v>
      </c>
      <c r="GD3633" s="5" t="s">
        <v>238</v>
      </c>
      <c r="GE3633" s="5" t="s">
        <v>238</v>
      </c>
      <c r="GF3633" s="5" t="s">
        <v>238</v>
      </c>
      <c r="GG3633" s="5" t="s">
        <v>238</v>
      </c>
      <c r="GH3633" s="5" t="s">
        <v>238</v>
      </c>
      <c r="GI3633" s="5" t="s">
        <v>238</v>
      </c>
      <c r="GJ3633" s="5" t="s">
        <v>238</v>
      </c>
      <c r="GK3633" s="5" t="s">
        <v>238</v>
      </c>
      <c r="GL3633" s="5" t="s">
        <v>238</v>
      </c>
      <c r="GM3633" s="5" t="s">
        <v>238</v>
      </c>
      <c r="GN3633" s="5" t="s">
        <v>238</v>
      </c>
      <c r="GO3633" s="5" t="s">
        <v>238</v>
      </c>
      <c r="GP3633" s="5" t="s">
        <v>238</v>
      </c>
      <c r="GQ3633" s="5" t="s">
        <v>238</v>
      </c>
      <c r="GR3633" s="5" t="s">
        <v>238</v>
      </c>
      <c r="GS3633" s="5" t="s">
        <v>238</v>
      </c>
      <c r="GT3633" s="5" t="s">
        <v>238</v>
      </c>
      <c r="GU3633" s="5" t="s">
        <v>238</v>
      </c>
      <c r="GV3633" s="5" t="s">
        <v>238</v>
      </c>
      <c r="GW3633" s="5" t="s">
        <v>238</v>
      </c>
      <c r="GX3633" s="5" t="s">
        <v>238</v>
      </c>
      <c r="GY3633" s="5" t="s">
        <v>238</v>
      </c>
      <c r="GZ3633" s="5" t="s">
        <v>238</v>
      </c>
      <c r="HA3633" s="5" t="s">
        <v>238</v>
      </c>
      <c r="HB3633" s="5" t="s">
        <v>238</v>
      </c>
      <c r="HC3633" s="5" t="s">
        <v>238</v>
      </c>
      <c r="HD3633" s="5" t="s">
        <v>238</v>
      </c>
      <c r="HE3633" s="5" t="s">
        <v>238</v>
      </c>
      <c r="HF3633" s="5" t="s">
        <v>238</v>
      </c>
      <c r="HG3633" s="5" t="s">
        <v>238</v>
      </c>
      <c r="HH3633" s="5" t="s">
        <v>238</v>
      </c>
      <c r="HI3633" s="5" t="s">
        <v>238</v>
      </c>
      <c r="HJ3633" s="5" t="s">
        <v>238</v>
      </c>
      <c r="HK3633" s="5" t="s">
        <v>238</v>
      </c>
      <c r="HL3633" s="5" t="s">
        <v>238</v>
      </c>
      <c r="HM3633" s="5" t="s">
        <v>264</v>
      </c>
      <c r="HN3633" s="5" t="s">
        <v>238</v>
      </c>
      <c r="HO3633" s="5" t="s">
        <v>238</v>
      </c>
      <c r="HP3633" s="5" t="s">
        <v>238</v>
      </c>
      <c r="HQ3633" s="5" t="s">
        <v>238</v>
      </c>
      <c r="HR3633" s="5" t="s">
        <v>238</v>
      </c>
      <c r="HS3633" s="5" t="s">
        <v>238</v>
      </c>
      <c r="HT3633" s="5" t="s">
        <v>238</v>
      </c>
      <c r="HU3633" s="5" t="s">
        <v>238</v>
      </c>
      <c r="HV3633" s="5" t="s">
        <v>238</v>
      </c>
      <c r="HW3633" s="5" t="s">
        <v>238</v>
      </c>
      <c r="HX3633" s="5" t="s">
        <v>238</v>
      </c>
      <c r="HY3633" s="5" t="s">
        <v>238</v>
      </c>
      <c r="HZ3633" s="5" t="s">
        <v>238</v>
      </c>
      <c r="IA3633" s="5" t="s">
        <v>238</v>
      </c>
      <c r="IB3633" s="5" t="s">
        <v>238</v>
      </c>
      <c r="IC3633" s="5" t="s">
        <v>238</v>
      </c>
      <c r="ID3633" s="5" t="s">
        <v>238</v>
      </c>
    </row>
    <row r="3634" spans="1:238" x14ac:dyDescent="0.4">
      <c r="A3634" s="5">
        <v>9352</v>
      </c>
      <c r="B3634" s="5">
        <v>1</v>
      </c>
      <c r="C3634" s="5">
        <v>1</v>
      </c>
      <c r="D3634" s="5" t="s">
        <v>484</v>
      </c>
      <c r="E3634" s="5" t="s">
        <v>485</v>
      </c>
      <c r="F3634" s="5" t="s">
        <v>248</v>
      </c>
      <c r="G3634" s="5" t="s">
        <v>5556</v>
      </c>
      <c r="H3634" s="6" t="s">
        <v>5557</v>
      </c>
      <c r="I3634" s="8">
        <f>1</f>
        <v>1</v>
      </c>
      <c r="J3634" s="5" t="s">
        <v>499</v>
      </c>
      <c r="K3634" s="8">
        <f>1</f>
        <v>1</v>
      </c>
      <c r="L3634" s="6" t="s">
        <v>242</v>
      </c>
      <c r="M3634" s="5" t="s">
        <v>267</v>
      </c>
      <c r="N3634" s="5" t="s">
        <v>482</v>
      </c>
      <c r="O3634" s="5" t="s">
        <v>238</v>
      </c>
      <c r="P3634" s="5" t="s">
        <v>238</v>
      </c>
      <c r="Q3634" s="5" t="s">
        <v>239</v>
      </c>
      <c r="R3634" s="5" t="s">
        <v>270</v>
      </c>
      <c r="S3634" s="5" t="s">
        <v>238</v>
      </c>
      <c r="T3634" s="5" t="s">
        <v>238</v>
      </c>
      <c r="U3634" s="5" t="s">
        <v>238</v>
      </c>
      <c r="V3634" s="5" t="s">
        <v>238</v>
      </c>
      <c r="W3634" s="6" t="s">
        <v>238</v>
      </c>
      <c r="X3634" s="6" t="s">
        <v>238</v>
      </c>
      <c r="Y3634" s="5" t="s">
        <v>238</v>
      </c>
      <c r="Z3634" s="6" t="s">
        <v>238</v>
      </c>
      <c r="AA3634" s="6" t="s">
        <v>243</v>
      </c>
      <c r="AB3634" s="5" t="s">
        <v>486</v>
      </c>
      <c r="AC3634" s="5" t="s">
        <v>244</v>
      </c>
      <c r="AD3634" s="5" t="s">
        <v>245</v>
      </c>
      <c r="AE3634" s="5" t="s">
        <v>238</v>
      </c>
      <c r="AF3634" s="5" t="s">
        <v>238</v>
      </c>
      <c r="AG3634" s="5" t="s">
        <v>238</v>
      </c>
      <c r="AH3634" s="5" t="s">
        <v>238</v>
      </c>
      <c r="AI3634" s="5" t="s">
        <v>238</v>
      </c>
      <c r="AJ3634" s="5" t="s">
        <v>238</v>
      </c>
      <c r="AK3634" s="5" t="s">
        <v>238</v>
      </c>
      <c r="AL3634" s="5" t="s">
        <v>238</v>
      </c>
      <c r="AM3634" s="6" t="s">
        <v>238</v>
      </c>
      <c r="AN3634" s="6" t="s">
        <v>238</v>
      </c>
      <c r="AO3634" s="6" t="s">
        <v>238</v>
      </c>
      <c r="AP3634" s="6" t="s">
        <v>238</v>
      </c>
      <c r="AQ3634" s="5" t="s">
        <v>238</v>
      </c>
      <c r="AR3634" s="5" t="s">
        <v>488</v>
      </c>
      <c r="AS3634" s="5" t="s">
        <v>488</v>
      </c>
      <c r="AT3634" s="5" t="s">
        <v>246</v>
      </c>
      <c r="AU3634" s="5" t="s">
        <v>489</v>
      </c>
      <c r="AV3634" s="5" t="s">
        <v>247</v>
      </c>
      <c r="AW3634" s="5" t="s">
        <v>238</v>
      </c>
      <c r="AX3634" s="5" t="s">
        <v>249</v>
      </c>
      <c r="AY3634" s="5" t="s">
        <v>490</v>
      </c>
      <c r="BA3634" s="5" t="s">
        <v>238</v>
      </c>
      <c r="BC3634" s="5" t="s">
        <v>491</v>
      </c>
      <c r="BD3634" s="6" t="s">
        <v>492</v>
      </c>
      <c r="BE3634" s="5" t="s">
        <v>493</v>
      </c>
      <c r="BF3634" s="5" t="s">
        <v>493</v>
      </c>
      <c r="BG3634" s="5" t="s">
        <v>238</v>
      </c>
      <c r="BH3634" s="8">
        <f>1</f>
        <v>1</v>
      </c>
      <c r="BI3634" s="8">
        <f>1</f>
        <v>1</v>
      </c>
      <c r="BJ3634" s="5" t="s">
        <v>253</v>
      </c>
      <c r="BK3634" s="5" t="s">
        <v>254</v>
      </c>
      <c r="BL3634" s="5" t="s">
        <v>238</v>
      </c>
      <c r="BM3634" s="5" t="s">
        <v>238</v>
      </c>
      <c r="BN3634" s="5" t="s">
        <v>238</v>
      </c>
      <c r="BO3634" s="5" t="s">
        <v>238</v>
      </c>
      <c r="BP3634" s="5" t="s">
        <v>238</v>
      </c>
      <c r="BQ3634" s="5" t="s">
        <v>238</v>
      </c>
      <c r="BR3634" s="5" t="s">
        <v>238</v>
      </c>
      <c r="BS3634" s="5" t="s">
        <v>238</v>
      </c>
      <c r="BT3634" s="6" t="s">
        <v>238</v>
      </c>
      <c r="BU3634" s="5" t="s">
        <v>238</v>
      </c>
      <c r="BV3634" s="5" t="s">
        <v>238</v>
      </c>
      <c r="BW3634" s="5" t="s">
        <v>238</v>
      </c>
      <c r="BX3634" s="5" t="s">
        <v>254</v>
      </c>
      <c r="BY3634" s="5" t="s">
        <v>238</v>
      </c>
      <c r="BZ3634" s="5" t="s">
        <v>238</v>
      </c>
      <c r="CA3634" s="5" t="s">
        <v>238</v>
      </c>
      <c r="CB3634" s="5" t="s">
        <v>238</v>
      </c>
      <c r="CC3634" s="5" t="s">
        <v>238</v>
      </c>
      <c r="CD3634" s="5" t="s">
        <v>273</v>
      </c>
      <c r="CE3634" s="5" t="s">
        <v>256</v>
      </c>
      <c r="CF3634" s="5" t="s">
        <v>238</v>
      </c>
      <c r="CH3634" s="5" t="s">
        <v>494</v>
      </c>
      <c r="CI3634" s="6" t="s">
        <v>257</v>
      </c>
      <c r="CJ3634" s="5" t="s">
        <v>495</v>
      </c>
      <c r="CK3634" s="5" t="s">
        <v>258</v>
      </c>
      <c r="CL3634" s="5" t="s">
        <v>496</v>
      </c>
      <c r="CM3634" s="5" t="s">
        <v>238</v>
      </c>
      <c r="CN3634" s="5">
        <v>0</v>
      </c>
      <c r="CO3634" s="5" t="s">
        <v>497</v>
      </c>
      <c r="CP3634" s="5" t="s">
        <v>260</v>
      </c>
      <c r="CQ3634" s="5" t="s">
        <v>260</v>
      </c>
      <c r="CR3634" s="5" t="s">
        <v>261</v>
      </c>
      <c r="CS3634" s="5" t="s">
        <v>498</v>
      </c>
      <c r="CT3634" s="7">
        <f>1</f>
        <v>1</v>
      </c>
      <c r="CU3634" s="8">
        <f>1</f>
        <v>1</v>
      </c>
      <c r="CV3634" s="8">
        <f>0</f>
        <v>0</v>
      </c>
      <c r="CX3634" s="8">
        <f>1</f>
        <v>1</v>
      </c>
      <c r="CY3634" s="8">
        <f>1</f>
        <v>1</v>
      </c>
      <c r="CZ3634" s="8" t="s">
        <v>238</v>
      </c>
      <c r="DA3634" s="5" t="s">
        <v>238</v>
      </c>
      <c r="DB3634" s="5" t="s">
        <v>238</v>
      </c>
      <c r="DC3634" s="5" t="s">
        <v>238</v>
      </c>
      <c r="DD3634" s="5" t="s">
        <v>238</v>
      </c>
      <c r="DE3634" s="8">
        <f>0</f>
        <v>0</v>
      </c>
      <c r="DG3634" s="5" t="s">
        <v>238</v>
      </c>
      <c r="DH3634" s="5" t="s">
        <v>238</v>
      </c>
      <c r="DI3634" s="5" t="s">
        <v>238</v>
      </c>
      <c r="DJ3634" s="5" t="s">
        <v>238</v>
      </c>
      <c r="DK3634" s="5" t="s">
        <v>238</v>
      </c>
      <c r="DL3634" s="5" t="s">
        <v>238</v>
      </c>
      <c r="DM3634" s="8" t="s">
        <v>238</v>
      </c>
      <c r="DN3634" s="5" t="s">
        <v>238</v>
      </c>
      <c r="DO3634" s="5" t="s">
        <v>238</v>
      </c>
      <c r="DP3634" s="5" t="s">
        <v>490</v>
      </c>
      <c r="DQ3634" s="5" t="s">
        <v>490</v>
      </c>
      <c r="DR3634" s="5" t="s">
        <v>238</v>
      </c>
      <c r="DS3634" s="5" t="s">
        <v>238</v>
      </c>
      <c r="DT3634" s="5" t="s">
        <v>500</v>
      </c>
      <c r="DU3634" s="5" t="s">
        <v>1146</v>
      </c>
      <c r="DV3634" s="5" t="s">
        <v>238</v>
      </c>
      <c r="DW3634" s="5" t="s">
        <v>238</v>
      </c>
      <c r="DX3634" s="5" t="s">
        <v>238</v>
      </c>
      <c r="DY3634" s="5" t="s">
        <v>238</v>
      </c>
      <c r="DZ3634" s="5" t="s">
        <v>238</v>
      </c>
      <c r="EA3634" s="5" t="s">
        <v>238</v>
      </c>
      <c r="EB3634" s="5" t="s">
        <v>238</v>
      </c>
      <c r="EC3634" s="5" t="s">
        <v>238</v>
      </c>
      <c r="ED3634" s="5" t="s">
        <v>238</v>
      </c>
      <c r="EE3634" s="5" t="s">
        <v>238</v>
      </c>
      <c r="EF3634" s="5" t="s">
        <v>238</v>
      </c>
      <c r="EG3634" s="5" t="s">
        <v>238</v>
      </c>
      <c r="EH3634" s="5" t="s">
        <v>238</v>
      </c>
      <c r="EI3634" s="5" t="s">
        <v>238</v>
      </c>
      <c r="EJ3634" s="5" t="s">
        <v>238</v>
      </c>
      <c r="EK3634" s="5" t="s">
        <v>238</v>
      </c>
      <c r="EL3634" s="5" t="s">
        <v>238</v>
      </c>
      <c r="EM3634" s="5" t="s">
        <v>238</v>
      </c>
      <c r="EN3634" s="5" t="s">
        <v>238</v>
      </c>
      <c r="EO3634" s="5" t="s">
        <v>238</v>
      </c>
      <c r="EP3634" s="5" t="s">
        <v>238</v>
      </c>
      <c r="EQ3634" s="5" t="s">
        <v>238</v>
      </c>
      <c r="ER3634" s="5" t="s">
        <v>238</v>
      </c>
      <c r="ES3634" s="5" t="s">
        <v>238</v>
      </c>
      <c r="ET3634" s="5" t="s">
        <v>238</v>
      </c>
      <c r="EU3634" s="5" t="s">
        <v>238</v>
      </c>
      <c r="EV3634" s="5" t="s">
        <v>238</v>
      </c>
      <c r="EW3634" s="5" t="s">
        <v>238</v>
      </c>
      <c r="EX3634" s="5" t="s">
        <v>238</v>
      </c>
      <c r="EY3634" s="5" t="s">
        <v>238</v>
      </c>
      <c r="EZ3634" s="5" t="s">
        <v>238</v>
      </c>
      <c r="FA3634" s="5" t="s">
        <v>238</v>
      </c>
      <c r="FB3634" s="5" t="s">
        <v>238</v>
      </c>
      <c r="FC3634" s="5" t="s">
        <v>238</v>
      </c>
      <c r="FD3634" s="5" t="s">
        <v>238</v>
      </c>
      <c r="FE3634" s="5" t="s">
        <v>238</v>
      </c>
      <c r="FF3634" s="5" t="s">
        <v>238</v>
      </c>
      <c r="FG3634" s="5" t="s">
        <v>238</v>
      </c>
      <c r="FH3634" s="5" t="s">
        <v>238</v>
      </c>
      <c r="FI3634" s="5" t="s">
        <v>238</v>
      </c>
      <c r="FJ3634" s="5" t="s">
        <v>238</v>
      </c>
      <c r="FK3634" s="5" t="s">
        <v>238</v>
      </c>
      <c r="FL3634" s="5" t="s">
        <v>238</v>
      </c>
      <c r="FM3634" s="5" t="s">
        <v>238</v>
      </c>
      <c r="FN3634" s="5" t="s">
        <v>238</v>
      </c>
      <c r="FO3634" s="5" t="s">
        <v>238</v>
      </c>
      <c r="FP3634" s="5" t="s">
        <v>238</v>
      </c>
      <c r="FQ3634" s="5" t="s">
        <v>238</v>
      </c>
      <c r="FR3634" s="5" t="s">
        <v>238</v>
      </c>
      <c r="FS3634" s="5" t="s">
        <v>238</v>
      </c>
      <c r="FT3634" s="5" t="s">
        <v>238</v>
      </c>
      <c r="FU3634" s="5" t="s">
        <v>238</v>
      </c>
      <c r="FV3634" s="5" t="s">
        <v>238</v>
      </c>
      <c r="FW3634" s="5" t="s">
        <v>238</v>
      </c>
      <c r="FX3634" s="5" t="s">
        <v>238</v>
      </c>
      <c r="FY3634" s="5" t="s">
        <v>238</v>
      </c>
      <c r="FZ3634" s="5" t="s">
        <v>238</v>
      </c>
      <c r="GA3634" s="5" t="s">
        <v>238</v>
      </c>
      <c r="GB3634" s="5" t="s">
        <v>238</v>
      </c>
      <c r="GC3634" s="5" t="s">
        <v>238</v>
      </c>
      <c r="GD3634" s="5" t="s">
        <v>238</v>
      </c>
      <c r="GE3634" s="5" t="s">
        <v>238</v>
      </c>
      <c r="GF3634" s="5" t="s">
        <v>238</v>
      </c>
      <c r="GG3634" s="5" t="s">
        <v>238</v>
      </c>
      <c r="GH3634" s="5" t="s">
        <v>238</v>
      </c>
      <c r="GI3634" s="5" t="s">
        <v>238</v>
      </c>
      <c r="GJ3634" s="5" t="s">
        <v>238</v>
      </c>
      <c r="GK3634" s="5" t="s">
        <v>238</v>
      </c>
      <c r="GL3634" s="5" t="s">
        <v>238</v>
      </c>
      <c r="GM3634" s="5" t="s">
        <v>238</v>
      </c>
      <c r="GN3634" s="5" t="s">
        <v>238</v>
      </c>
      <c r="GO3634" s="5" t="s">
        <v>238</v>
      </c>
      <c r="GP3634" s="5" t="s">
        <v>238</v>
      </c>
      <c r="GQ3634" s="5" t="s">
        <v>238</v>
      </c>
      <c r="GR3634" s="5" t="s">
        <v>238</v>
      </c>
      <c r="GS3634" s="5" t="s">
        <v>238</v>
      </c>
      <c r="GT3634" s="5" t="s">
        <v>238</v>
      </c>
      <c r="GU3634" s="5" t="s">
        <v>238</v>
      </c>
      <c r="GV3634" s="5" t="s">
        <v>238</v>
      </c>
      <c r="GW3634" s="5" t="s">
        <v>238</v>
      </c>
      <c r="GX3634" s="5" t="s">
        <v>238</v>
      </c>
      <c r="GY3634" s="5" t="s">
        <v>238</v>
      </c>
      <c r="GZ3634" s="5" t="s">
        <v>238</v>
      </c>
      <c r="HA3634" s="5" t="s">
        <v>238</v>
      </c>
      <c r="HB3634" s="5" t="s">
        <v>238</v>
      </c>
      <c r="HC3634" s="5" t="s">
        <v>238</v>
      </c>
      <c r="HD3634" s="5" t="s">
        <v>238</v>
      </c>
      <c r="HE3634" s="5" t="s">
        <v>238</v>
      </c>
      <c r="HF3634" s="5" t="s">
        <v>238</v>
      </c>
      <c r="HG3634" s="5" t="s">
        <v>238</v>
      </c>
      <c r="HH3634" s="5" t="s">
        <v>238</v>
      </c>
      <c r="HI3634" s="5" t="s">
        <v>238</v>
      </c>
      <c r="HJ3634" s="5" t="s">
        <v>238</v>
      </c>
      <c r="HK3634" s="5" t="s">
        <v>238</v>
      </c>
      <c r="HL3634" s="5" t="s">
        <v>238</v>
      </c>
      <c r="HM3634" s="5" t="s">
        <v>264</v>
      </c>
      <c r="HN3634" s="5" t="s">
        <v>238</v>
      </c>
      <c r="HO3634" s="5" t="s">
        <v>238</v>
      </c>
      <c r="HP3634" s="5" t="s">
        <v>238</v>
      </c>
      <c r="HQ3634" s="5" t="s">
        <v>238</v>
      </c>
      <c r="HR3634" s="5" t="s">
        <v>238</v>
      </c>
      <c r="HS3634" s="5" t="s">
        <v>238</v>
      </c>
      <c r="HT3634" s="5" t="s">
        <v>238</v>
      </c>
      <c r="HU3634" s="5" t="s">
        <v>238</v>
      </c>
      <c r="HV3634" s="5" t="s">
        <v>238</v>
      </c>
      <c r="HW3634" s="5" t="s">
        <v>238</v>
      </c>
      <c r="HX3634" s="5" t="s">
        <v>238</v>
      </c>
      <c r="HY3634" s="5" t="s">
        <v>238</v>
      </c>
      <c r="HZ3634" s="5" t="s">
        <v>238</v>
      </c>
      <c r="IA3634" s="5" t="s">
        <v>238</v>
      </c>
      <c r="IB3634" s="5" t="s">
        <v>238</v>
      </c>
      <c r="IC3634" s="5" t="s">
        <v>238</v>
      </c>
      <c r="ID3634" s="5" t="s">
        <v>238</v>
      </c>
    </row>
    <row r="3635" spans="1:238" x14ac:dyDescent="0.4">
      <c r="A3635" s="5">
        <v>9353</v>
      </c>
      <c r="B3635" s="5">
        <v>1</v>
      </c>
      <c r="C3635" s="5">
        <v>1</v>
      </c>
      <c r="D3635" s="5" t="s">
        <v>484</v>
      </c>
      <c r="E3635" s="5" t="s">
        <v>485</v>
      </c>
      <c r="F3635" s="5" t="s">
        <v>248</v>
      </c>
      <c r="G3635" s="5" t="s">
        <v>5095</v>
      </c>
      <c r="H3635" s="6" t="s">
        <v>5096</v>
      </c>
      <c r="I3635" s="8">
        <f>1</f>
        <v>1</v>
      </c>
      <c r="J3635" s="5" t="s">
        <v>499</v>
      </c>
      <c r="K3635" s="8">
        <f>1</f>
        <v>1</v>
      </c>
      <c r="L3635" s="6" t="s">
        <v>242</v>
      </c>
      <c r="M3635" s="5" t="s">
        <v>267</v>
      </c>
      <c r="N3635" s="5" t="s">
        <v>482</v>
      </c>
      <c r="O3635" s="5" t="s">
        <v>238</v>
      </c>
      <c r="P3635" s="5" t="s">
        <v>238</v>
      </c>
      <c r="Q3635" s="5" t="s">
        <v>239</v>
      </c>
      <c r="R3635" s="5" t="s">
        <v>270</v>
      </c>
      <c r="S3635" s="5" t="s">
        <v>238</v>
      </c>
      <c r="T3635" s="5" t="s">
        <v>238</v>
      </c>
      <c r="U3635" s="5" t="s">
        <v>238</v>
      </c>
      <c r="V3635" s="5" t="s">
        <v>238</v>
      </c>
      <c r="W3635" s="6" t="s">
        <v>238</v>
      </c>
      <c r="X3635" s="6" t="s">
        <v>238</v>
      </c>
      <c r="Y3635" s="5" t="s">
        <v>238</v>
      </c>
      <c r="Z3635" s="6" t="s">
        <v>238</v>
      </c>
      <c r="AA3635" s="6" t="s">
        <v>243</v>
      </c>
      <c r="AB3635" s="5" t="s">
        <v>486</v>
      </c>
      <c r="AC3635" s="5" t="s">
        <v>244</v>
      </c>
      <c r="AD3635" s="5" t="s">
        <v>245</v>
      </c>
      <c r="AE3635" s="5" t="s">
        <v>238</v>
      </c>
      <c r="AF3635" s="5" t="s">
        <v>238</v>
      </c>
      <c r="AG3635" s="5" t="s">
        <v>238</v>
      </c>
      <c r="AH3635" s="5" t="s">
        <v>238</v>
      </c>
      <c r="AI3635" s="5" t="s">
        <v>238</v>
      </c>
      <c r="AJ3635" s="5" t="s">
        <v>238</v>
      </c>
      <c r="AK3635" s="5" t="s">
        <v>238</v>
      </c>
      <c r="AL3635" s="5" t="s">
        <v>238</v>
      </c>
      <c r="AM3635" s="6" t="s">
        <v>238</v>
      </c>
      <c r="AN3635" s="6" t="s">
        <v>238</v>
      </c>
      <c r="AO3635" s="6" t="s">
        <v>238</v>
      </c>
      <c r="AP3635" s="6" t="s">
        <v>238</v>
      </c>
      <c r="AQ3635" s="5" t="s">
        <v>238</v>
      </c>
      <c r="AR3635" s="5" t="s">
        <v>488</v>
      </c>
      <c r="AS3635" s="5" t="s">
        <v>488</v>
      </c>
      <c r="AT3635" s="5" t="s">
        <v>246</v>
      </c>
      <c r="AU3635" s="5" t="s">
        <v>489</v>
      </c>
      <c r="AV3635" s="5" t="s">
        <v>247</v>
      </c>
      <c r="AW3635" s="5" t="s">
        <v>238</v>
      </c>
      <c r="AX3635" s="5" t="s">
        <v>249</v>
      </c>
      <c r="AY3635" s="5" t="s">
        <v>490</v>
      </c>
      <c r="BA3635" s="5" t="s">
        <v>238</v>
      </c>
      <c r="BC3635" s="5" t="s">
        <v>491</v>
      </c>
      <c r="BD3635" s="6" t="s">
        <v>492</v>
      </c>
      <c r="BE3635" s="5" t="s">
        <v>493</v>
      </c>
      <c r="BF3635" s="5" t="s">
        <v>493</v>
      </c>
      <c r="BG3635" s="5" t="s">
        <v>238</v>
      </c>
      <c r="BH3635" s="8">
        <f>1</f>
        <v>1</v>
      </c>
      <c r="BI3635" s="8">
        <f>1</f>
        <v>1</v>
      </c>
      <c r="BJ3635" s="5" t="s">
        <v>253</v>
      </c>
      <c r="BK3635" s="5" t="s">
        <v>254</v>
      </c>
      <c r="BL3635" s="5" t="s">
        <v>238</v>
      </c>
      <c r="BM3635" s="5" t="s">
        <v>238</v>
      </c>
      <c r="BN3635" s="5" t="s">
        <v>238</v>
      </c>
      <c r="BO3635" s="5" t="s">
        <v>238</v>
      </c>
      <c r="BP3635" s="5" t="s">
        <v>238</v>
      </c>
      <c r="BQ3635" s="5" t="s">
        <v>238</v>
      </c>
      <c r="BR3635" s="5" t="s">
        <v>238</v>
      </c>
      <c r="BS3635" s="5" t="s">
        <v>238</v>
      </c>
      <c r="BT3635" s="6" t="s">
        <v>238</v>
      </c>
      <c r="BU3635" s="5" t="s">
        <v>238</v>
      </c>
      <c r="BV3635" s="5" t="s">
        <v>238</v>
      </c>
      <c r="BW3635" s="5" t="s">
        <v>238</v>
      </c>
      <c r="BX3635" s="5" t="s">
        <v>254</v>
      </c>
      <c r="BY3635" s="5" t="s">
        <v>238</v>
      </c>
      <c r="BZ3635" s="5" t="s">
        <v>238</v>
      </c>
      <c r="CA3635" s="5" t="s">
        <v>238</v>
      </c>
      <c r="CB3635" s="5" t="s">
        <v>238</v>
      </c>
      <c r="CC3635" s="5" t="s">
        <v>238</v>
      </c>
      <c r="CD3635" s="5" t="s">
        <v>273</v>
      </c>
      <c r="CE3635" s="5" t="s">
        <v>256</v>
      </c>
      <c r="CF3635" s="5" t="s">
        <v>238</v>
      </c>
      <c r="CH3635" s="5" t="s">
        <v>494</v>
      </c>
      <c r="CI3635" s="6" t="s">
        <v>257</v>
      </c>
      <c r="CJ3635" s="5" t="s">
        <v>495</v>
      </c>
      <c r="CK3635" s="5" t="s">
        <v>258</v>
      </c>
      <c r="CL3635" s="5" t="s">
        <v>496</v>
      </c>
      <c r="CM3635" s="5" t="s">
        <v>238</v>
      </c>
      <c r="CN3635" s="5">
        <v>0</v>
      </c>
      <c r="CO3635" s="5" t="s">
        <v>497</v>
      </c>
      <c r="CP3635" s="5" t="s">
        <v>260</v>
      </c>
      <c r="CQ3635" s="5" t="s">
        <v>260</v>
      </c>
      <c r="CR3635" s="5" t="s">
        <v>261</v>
      </c>
      <c r="CS3635" s="5" t="s">
        <v>498</v>
      </c>
      <c r="CT3635" s="7">
        <f>1</f>
        <v>1</v>
      </c>
      <c r="CU3635" s="8">
        <f>1</f>
        <v>1</v>
      </c>
      <c r="CV3635" s="8">
        <f>0</f>
        <v>0</v>
      </c>
      <c r="CX3635" s="8">
        <f>1</f>
        <v>1</v>
      </c>
      <c r="CY3635" s="8">
        <f>1</f>
        <v>1</v>
      </c>
      <c r="CZ3635" s="8" t="s">
        <v>238</v>
      </c>
      <c r="DA3635" s="5" t="s">
        <v>238</v>
      </c>
      <c r="DB3635" s="5" t="s">
        <v>238</v>
      </c>
      <c r="DC3635" s="5" t="s">
        <v>238</v>
      </c>
      <c r="DD3635" s="5" t="s">
        <v>238</v>
      </c>
      <c r="DE3635" s="8">
        <f>0</f>
        <v>0</v>
      </c>
      <c r="DG3635" s="5" t="s">
        <v>238</v>
      </c>
      <c r="DH3635" s="5" t="s">
        <v>238</v>
      </c>
      <c r="DI3635" s="5" t="s">
        <v>238</v>
      </c>
      <c r="DJ3635" s="5" t="s">
        <v>238</v>
      </c>
      <c r="DK3635" s="5" t="s">
        <v>238</v>
      </c>
      <c r="DL3635" s="5" t="s">
        <v>238</v>
      </c>
      <c r="DM3635" s="8" t="s">
        <v>238</v>
      </c>
      <c r="DN3635" s="5" t="s">
        <v>238</v>
      </c>
      <c r="DO3635" s="5" t="s">
        <v>238</v>
      </c>
      <c r="DP3635" s="5" t="s">
        <v>490</v>
      </c>
      <c r="DQ3635" s="5" t="s">
        <v>490</v>
      </c>
      <c r="DR3635" s="5" t="s">
        <v>238</v>
      </c>
      <c r="DS3635" s="5" t="s">
        <v>238</v>
      </c>
      <c r="DT3635" s="5" t="s">
        <v>500</v>
      </c>
      <c r="DU3635" s="5" t="s">
        <v>1158</v>
      </c>
      <c r="DV3635" s="5" t="s">
        <v>238</v>
      </c>
      <c r="DW3635" s="5" t="s">
        <v>238</v>
      </c>
      <c r="DX3635" s="5" t="s">
        <v>238</v>
      </c>
      <c r="DY3635" s="5" t="s">
        <v>238</v>
      </c>
      <c r="DZ3635" s="5" t="s">
        <v>238</v>
      </c>
      <c r="EA3635" s="5" t="s">
        <v>238</v>
      </c>
      <c r="EB3635" s="5" t="s">
        <v>238</v>
      </c>
      <c r="EC3635" s="5" t="s">
        <v>238</v>
      </c>
      <c r="ED3635" s="5" t="s">
        <v>238</v>
      </c>
      <c r="EE3635" s="5" t="s">
        <v>238</v>
      </c>
      <c r="EF3635" s="5" t="s">
        <v>238</v>
      </c>
      <c r="EG3635" s="5" t="s">
        <v>238</v>
      </c>
      <c r="EH3635" s="5" t="s">
        <v>238</v>
      </c>
      <c r="EI3635" s="5" t="s">
        <v>238</v>
      </c>
      <c r="EJ3635" s="5" t="s">
        <v>238</v>
      </c>
      <c r="EK3635" s="5" t="s">
        <v>238</v>
      </c>
      <c r="EL3635" s="5" t="s">
        <v>238</v>
      </c>
      <c r="EM3635" s="5" t="s">
        <v>238</v>
      </c>
      <c r="EN3635" s="5" t="s">
        <v>238</v>
      </c>
      <c r="EO3635" s="5" t="s">
        <v>238</v>
      </c>
      <c r="EP3635" s="5" t="s">
        <v>238</v>
      </c>
      <c r="EQ3635" s="5" t="s">
        <v>238</v>
      </c>
      <c r="ER3635" s="5" t="s">
        <v>238</v>
      </c>
      <c r="ES3635" s="5" t="s">
        <v>238</v>
      </c>
      <c r="ET3635" s="5" t="s">
        <v>238</v>
      </c>
      <c r="EU3635" s="5" t="s">
        <v>238</v>
      </c>
      <c r="EV3635" s="5" t="s">
        <v>238</v>
      </c>
      <c r="EW3635" s="5" t="s">
        <v>238</v>
      </c>
      <c r="EX3635" s="5" t="s">
        <v>238</v>
      </c>
      <c r="EY3635" s="5" t="s">
        <v>238</v>
      </c>
      <c r="EZ3635" s="5" t="s">
        <v>238</v>
      </c>
      <c r="FA3635" s="5" t="s">
        <v>238</v>
      </c>
      <c r="FB3635" s="5" t="s">
        <v>238</v>
      </c>
      <c r="FC3635" s="5" t="s">
        <v>238</v>
      </c>
      <c r="FD3635" s="5" t="s">
        <v>238</v>
      </c>
      <c r="FE3635" s="5" t="s">
        <v>238</v>
      </c>
      <c r="FF3635" s="5" t="s">
        <v>238</v>
      </c>
      <c r="FG3635" s="5" t="s">
        <v>238</v>
      </c>
      <c r="FH3635" s="5" t="s">
        <v>238</v>
      </c>
      <c r="FI3635" s="5" t="s">
        <v>238</v>
      </c>
      <c r="FJ3635" s="5" t="s">
        <v>238</v>
      </c>
      <c r="FK3635" s="5" t="s">
        <v>238</v>
      </c>
      <c r="FL3635" s="5" t="s">
        <v>238</v>
      </c>
      <c r="FM3635" s="5" t="s">
        <v>238</v>
      </c>
      <c r="FN3635" s="5" t="s">
        <v>238</v>
      </c>
      <c r="FO3635" s="5" t="s">
        <v>238</v>
      </c>
      <c r="FP3635" s="5" t="s">
        <v>238</v>
      </c>
      <c r="FQ3635" s="5" t="s">
        <v>238</v>
      </c>
      <c r="FR3635" s="5" t="s">
        <v>238</v>
      </c>
      <c r="FS3635" s="5" t="s">
        <v>238</v>
      </c>
      <c r="FT3635" s="5" t="s">
        <v>238</v>
      </c>
      <c r="FU3635" s="5" t="s">
        <v>238</v>
      </c>
      <c r="FV3635" s="5" t="s">
        <v>238</v>
      </c>
      <c r="FW3635" s="5" t="s">
        <v>238</v>
      </c>
      <c r="FX3635" s="5" t="s">
        <v>238</v>
      </c>
      <c r="FY3635" s="5" t="s">
        <v>238</v>
      </c>
      <c r="FZ3635" s="5" t="s">
        <v>238</v>
      </c>
      <c r="GA3635" s="5" t="s">
        <v>238</v>
      </c>
      <c r="GB3635" s="5" t="s">
        <v>238</v>
      </c>
      <c r="GC3635" s="5" t="s">
        <v>238</v>
      </c>
      <c r="GD3635" s="5" t="s">
        <v>238</v>
      </c>
      <c r="GE3635" s="5" t="s">
        <v>238</v>
      </c>
      <c r="GF3635" s="5" t="s">
        <v>238</v>
      </c>
      <c r="GG3635" s="5" t="s">
        <v>238</v>
      </c>
      <c r="GH3635" s="5" t="s">
        <v>238</v>
      </c>
      <c r="GI3635" s="5" t="s">
        <v>238</v>
      </c>
      <c r="GJ3635" s="5" t="s">
        <v>238</v>
      </c>
      <c r="GK3635" s="5" t="s">
        <v>238</v>
      </c>
      <c r="GL3635" s="5" t="s">
        <v>238</v>
      </c>
      <c r="GM3635" s="5" t="s">
        <v>238</v>
      </c>
      <c r="GN3635" s="5" t="s">
        <v>238</v>
      </c>
      <c r="GO3635" s="5" t="s">
        <v>238</v>
      </c>
      <c r="GP3635" s="5" t="s">
        <v>238</v>
      </c>
      <c r="GQ3635" s="5" t="s">
        <v>238</v>
      </c>
      <c r="GR3635" s="5" t="s">
        <v>238</v>
      </c>
      <c r="GS3635" s="5" t="s">
        <v>238</v>
      </c>
      <c r="GT3635" s="5" t="s">
        <v>238</v>
      </c>
      <c r="GU3635" s="5" t="s">
        <v>238</v>
      </c>
      <c r="GV3635" s="5" t="s">
        <v>238</v>
      </c>
      <c r="GW3635" s="5" t="s">
        <v>238</v>
      </c>
      <c r="GX3635" s="5" t="s">
        <v>238</v>
      </c>
      <c r="GY3635" s="5" t="s">
        <v>238</v>
      </c>
      <c r="GZ3635" s="5" t="s">
        <v>238</v>
      </c>
      <c r="HA3635" s="5" t="s">
        <v>238</v>
      </c>
      <c r="HB3635" s="5" t="s">
        <v>238</v>
      </c>
      <c r="HC3635" s="5" t="s">
        <v>238</v>
      </c>
      <c r="HD3635" s="5" t="s">
        <v>238</v>
      </c>
      <c r="HE3635" s="5" t="s">
        <v>238</v>
      </c>
      <c r="HF3635" s="5" t="s">
        <v>238</v>
      </c>
      <c r="HG3635" s="5" t="s">
        <v>238</v>
      </c>
      <c r="HH3635" s="5" t="s">
        <v>238</v>
      </c>
      <c r="HI3635" s="5" t="s">
        <v>238</v>
      </c>
      <c r="HJ3635" s="5" t="s">
        <v>238</v>
      </c>
      <c r="HK3635" s="5" t="s">
        <v>238</v>
      </c>
      <c r="HL3635" s="5" t="s">
        <v>238</v>
      </c>
      <c r="HM3635" s="5" t="s">
        <v>264</v>
      </c>
      <c r="HN3635" s="5" t="s">
        <v>238</v>
      </c>
      <c r="HO3635" s="5" t="s">
        <v>238</v>
      </c>
      <c r="HP3635" s="5" t="s">
        <v>238</v>
      </c>
      <c r="HQ3635" s="5" t="s">
        <v>238</v>
      </c>
      <c r="HR3635" s="5" t="s">
        <v>238</v>
      </c>
      <c r="HS3635" s="5" t="s">
        <v>238</v>
      </c>
      <c r="HT3635" s="5" t="s">
        <v>238</v>
      </c>
      <c r="HU3635" s="5" t="s">
        <v>238</v>
      </c>
      <c r="HV3635" s="5" t="s">
        <v>238</v>
      </c>
      <c r="HW3635" s="5" t="s">
        <v>238</v>
      </c>
      <c r="HX3635" s="5" t="s">
        <v>238</v>
      </c>
      <c r="HY3635" s="5" t="s">
        <v>238</v>
      </c>
      <c r="HZ3635" s="5" t="s">
        <v>238</v>
      </c>
      <c r="IA3635" s="5" t="s">
        <v>238</v>
      </c>
      <c r="IB3635" s="5" t="s">
        <v>238</v>
      </c>
      <c r="IC3635" s="5" t="s">
        <v>238</v>
      </c>
      <c r="ID3635" s="5" t="s">
        <v>238</v>
      </c>
    </row>
    <row r="3636" spans="1:238" x14ac:dyDescent="0.4">
      <c r="A3636" s="5">
        <v>9354</v>
      </c>
      <c r="B3636" s="5">
        <v>1</v>
      </c>
      <c r="C3636" s="5">
        <v>1</v>
      </c>
      <c r="D3636" s="5" t="s">
        <v>484</v>
      </c>
      <c r="E3636" s="5" t="s">
        <v>485</v>
      </c>
      <c r="F3636" s="5" t="s">
        <v>248</v>
      </c>
      <c r="G3636" s="5" t="s">
        <v>5603</v>
      </c>
      <c r="H3636" s="6" t="s">
        <v>5605</v>
      </c>
      <c r="I3636" s="8">
        <f>1</f>
        <v>1</v>
      </c>
      <c r="J3636" s="5" t="s">
        <v>499</v>
      </c>
      <c r="K3636" s="8">
        <f>1</f>
        <v>1</v>
      </c>
      <c r="L3636" s="6" t="s">
        <v>242</v>
      </c>
      <c r="M3636" s="5" t="s">
        <v>267</v>
      </c>
      <c r="N3636" s="5" t="s">
        <v>482</v>
      </c>
      <c r="O3636" s="5" t="s">
        <v>238</v>
      </c>
      <c r="P3636" s="5" t="s">
        <v>238</v>
      </c>
      <c r="Q3636" s="5" t="s">
        <v>239</v>
      </c>
      <c r="R3636" s="5" t="s">
        <v>270</v>
      </c>
      <c r="S3636" s="5" t="s">
        <v>238</v>
      </c>
      <c r="T3636" s="5" t="s">
        <v>238</v>
      </c>
      <c r="U3636" s="5" t="s">
        <v>238</v>
      </c>
      <c r="V3636" s="5" t="s">
        <v>238</v>
      </c>
      <c r="W3636" s="6" t="s">
        <v>238</v>
      </c>
      <c r="X3636" s="6" t="s">
        <v>238</v>
      </c>
      <c r="Y3636" s="5" t="s">
        <v>238</v>
      </c>
      <c r="Z3636" s="6" t="s">
        <v>238</v>
      </c>
      <c r="AA3636" s="6" t="s">
        <v>243</v>
      </c>
      <c r="AB3636" s="5" t="s">
        <v>5604</v>
      </c>
      <c r="AC3636" s="5" t="s">
        <v>244</v>
      </c>
      <c r="AD3636" s="5" t="s">
        <v>245</v>
      </c>
      <c r="AE3636" s="5" t="s">
        <v>238</v>
      </c>
      <c r="AF3636" s="5" t="s">
        <v>238</v>
      </c>
      <c r="AG3636" s="5" t="s">
        <v>238</v>
      </c>
      <c r="AH3636" s="5" t="s">
        <v>238</v>
      </c>
      <c r="AI3636" s="5" t="s">
        <v>238</v>
      </c>
      <c r="AJ3636" s="5" t="s">
        <v>238</v>
      </c>
      <c r="AK3636" s="5" t="s">
        <v>238</v>
      </c>
      <c r="AL3636" s="5" t="s">
        <v>238</v>
      </c>
      <c r="AM3636" s="6" t="s">
        <v>238</v>
      </c>
      <c r="AN3636" s="6" t="s">
        <v>238</v>
      </c>
      <c r="AO3636" s="6" t="s">
        <v>238</v>
      </c>
      <c r="AP3636" s="6" t="s">
        <v>238</v>
      </c>
      <c r="AQ3636" s="5" t="s">
        <v>238</v>
      </c>
      <c r="AR3636" s="5" t="s">
        <v>488</v>
      </c>
      <c r="AS3636" s="5" t="s">
        <v>488</v>
      </c>
      <c r="AT3636" s="5" t="s">
        <v>246</v>
      </c>
      <c r="AU3636" s="5" t="s">
        <v>489</v>
      </c>
      <c r="AV3636" s="5" t="s">
        <v>247</v>
      </c>
      <c r="AW3636" s="5" t="s">
        <v>238</v>
      </c>
      <c r="AX3636" s="5" t="s">
        <v>249</v>
      </c>
      <c r="AY3636" s="5" t="s">
        <v>490</v>
      </c>
      <c r="BA3636" s="5" t="s">
        <v>238</v>
      </c>
      <c r="BC3636" s="5" t="s">
        <v>491</v>
      </c>
      <c r="BD3636" s="6" t="s">
        <v>492</v>
      </c>
      <c r="BE3636" s="5" t="s">
        <v>493</v>
      </c>
      <c r="BF3636" s="5" t="s">
        <v>493</v>
      </c>
      <c r="BG3636" s="5" t="s">
        <v>238</v>
      </c>
      <c r="BH3636" s="8">
        <f>1</f>
        <v>1</v>
      </c>
      <c r="BI3636" s="8">
        <f>1</f>
        <v>1</v>
      </c>
      <c r="BJ3636" s="5" t="s">
        <v>253</v>
      </c>
      <c r="BK3636" s="5" t="s">
        <v>254</v>
      </c>
      <c r="BL3636" s="5" t="s">
        <v>238</v>
      </c>
      <c r="BM3636" s="5" t="s">
        <v>238</v>
      </c>
      <c r="BN3636" s="5" t="s">
        <v>238</v>
      </c>
      <c r="BO3636" s="5" t="s">
        <v>238</v>
      </c>
      <c r="BP3636" s="5" t="s">
        <v>238</v>
      </c>
      <c r="BQ3636" s="5" t="s">
        <v>238</v>
      </c>
      <c r="BR3636" s="5" t="s">
        <v>238</v>
      </c>
      <c r="BS3636" s="5" t="s">
        <v>238</v>
      </c>
      <c r="BT3636" s="6" t="s">
        <v>238</v>
      </c>
      <c r="BU3636" s="5" t="s">
        <v>238</v>
      </c>
      <c r="BV3636" s="5" t="s">
        <v>238</v>
      </c>
      <c r="BW3636" s="5" t="s">
        <v>238</v>
      </c>
      <c r="BX3636" s="5" t="s">
        <v>254</v>
      </c>
      <c r="BY3636" s="5" t="s">
        <v>238</v>
      </c>
      <c r="BZ3636" s="5" t="s">
        <v>238</v>
      </c>
      <c r="CA3636" s="5" t="s">
        <v>238</v>
      </c>
      <c r="CB3636" s="5" t="s">
        <v>238</v>
      </c>
      <c r="CC3636" s="5" t="s">
        <v>238</v>
      </c>
      <c r="CD3636" s="5" t="s">
        <v>273</v>
      </c>
      <c r="CE3636" s="5" t="s">
        <v>256</v>
      </c>
      <c r="CF3636" s="5" t="s">
        <v>238</v>
      </c>
      <c r="CH3636" s="5" t="s">
        <v>494</v>
      </c>
      <c r="CI3636" s="6" t="s">
        <v>257</v>
      </c>
      <c r="CJ3636" s="5" t="s">
        <v>495</v>
      </c>
      <c r="CK3636" s="5" t="s">
        <v>258</v>
      </c>
      <c r="CL3636" s="5" t="s">
        <v>496</v>
      </c>
      <c r="CM3636" s="5" t="s">
        <v>238</v>
      </c>
      <c r="CN3636" s="5">
        <v>0</v>
      </c>
      <c r="CO3636" s="5" t="s">
        <v>497</v>
      </c>
      <c r="CP3636" s="5" t="s">
        <v>260</v>
      </c>
      <c r="CQ3636" s="5" t="s">
        <v>260</v>
      </c>
      <c r="CR3636" s="5" t="s">
        <v>261</v>
      </c>
      <c r="CS3636" s="5" t="s">
        <v>498</v>
      </c>
      <c r="CT3636" s="7">
        <f>1</f>
        <v>1</v>
      </c>
      <c r="CU3636" s="8">
        <f>1</f>
        <v>1</v>
      </c>
      <c r="CV3636" s="8">
        <f>0</f>
        <v>0</v>
      </c>
      <c r="CX3636" s="8">
        <f>1</f>
        <v>1</v>
      </c>
      <c r="CY3636" s="8">
        <f>1</f>
        <v>1</v>
      </c>
      <c r="CZ3636" s="8" t="s">
        <v>238</v>
      </c>
      <c r="DA3636" s="5" t="s">
        <v>238</v>
      </c>
      <c r="DB3636" s="5" t="s">
        <v>238</v>
      </c>
      <c r="DC3636" s="5" t="s">
        <v>238</v>
      </c>
      <c r="DD3636" s="5" t="s">
        <v>238</v>
      </c>
      <c r="DE3636" s="8">
        <f>0</f>
        <v>0</v>
      </c>
      <c r="DG3636" s="5" t="s">
        <v>238</v>
      </c>
      <c r="DH3636" s="5" t="s">
        <v>238</v>
      </c>
      <c r="DI3636" s="5" t="s">
        <v>238</v>
      </c>
      <c r="DJ3636" s="5" t="s">
        <v>238</v>
      </c>
      <c r="DK3636" s="5" t="s">
        <v>238</v>
      </c>
      <c r="DL3636" s="5" t="s">
        <v>238</v>
      </c>
      <c r="DM3636" s="8" t="s">
        <v>238</v>
      </c>
      <c r="DN3636" s="5" t="s">
        <v>238</v>
      </c>
      <c r="DO3636" s="5" t="s">
        <v>238</v>
      </c>
      <c r="DP3636" s="5" t="s">
        <v>490</v>
      </c>
      <c r="DQ3636" s="5" t="s">
        <v>490</v>
      </c>
      <c r="DR3636" s="5" t="s">
        <v>238</v>
      </c>
      <c r="DS3636" s="5" t="s">
        <v>238</v>
      </c>
      <c r="DT3636" s="5" t="s">
        <v>500</v>
      </c>
      <c r="DU3636" s="5" t="s">
        <v>536</v>
      </c>
      <c r="DV3636" s="5" t="s">
        <v>238</v>
      </c>
      <c r="DW3636" s="5" t="s">
        <v>238</v>
      </c>
      <c r="DX3636" s="5" t="s">
        <v>238</v>
      </c>
      <c r="DY3636" s="5" t="s">
        <v>238</v>
      </c>
      <c r="DZ3636" s="5" t="s">
        <v>238</v>
      </c>
      <c r="EA3636" s="5" t="s">
        <v>238</v>
      </c>
      <c r="EB3636" s="5" t="s">
        <v>238</v>
      </c>
      <c r="EC3636" s="5" t="s">
        <v>238</v>
      </c>
      <c r="ED3636" s="5" t="s">
        <v>238</v>
      </c>
      <c r="EE3636" s="5" t="s">
        <v>238</v>
      </c>
      <c r="EF3636" s="5" t="s">
        <v>238</v>
      </c>
      <c r="EG3636" s="5" t="s">
        <v>238</v>
      </c>
      <c r="EH3636" s="5" t="s">
        <v>238</v>
      </c>
      <c r="EI3636" s="5" t="s">
        <v>238</v>
      </c>
      <c r="EJ3636" s="5" t="s">
        <v>238</v>
      </c>
      <c r="EK3636" s="5" t="s">
        <v>238</v>
      </c>
      <c r="EL3636" s="5" t="s">
        <v>238</v>
      </c>
      <c r="EM3636" s="5" t="s">
        <v>238</v>
      </c>
      <c r="EN3636" s="5" t="s">
        <v>238</v>
      </c>
      <c r="EO3636" s="5" t="s">
        <v>238</v>
      </c>
      <c r="EP3636" s="5" t="s">
        <v>238</v>
      </c>
      <c r="EQ3636" s="5" t="s">
        <v>238</v>
      </c>
      <c r="ER3636" s="5" t="s">
        <v>238</v>
      </c>
      <c r="ES3636" s="5" t="s">
        <v>238</v>
      </c>
      <c r="ET3636" s="5" t="s">
        <v>238</v>
      </c>
      <c r="EU3636" s="5" t="s">
        <v>238</v>
      </c>
      <c r="EV3636" s="5" t="s">
        <v>238</v>
      </c>
      <c r="EW3636" s="5" t="s">
        <v>238</v>
      </c>
      <c r="EX3636" s="5" t="s">
        <v>238</v>
      </c>
      <c r="EY3636" s="5" t="s">
        <v>238</v>
      </c>
      <c r="EZ3636" s="5" t="s">
        <v>238</v>
      </c>
      <c r="FA3636" s="5" t="s">
        <v>238</v>
      </c>
      <c r="FB3636" s="5" t="s">
        <v>238</v>
      </c>
      <c r="FC3636" s="5" t="s">
        <v>238</v>
      </c>
      <c r="FD3636" s="5" t="s">
        <v>238</v>
      </c>
      <c r="FE3636" s="5" t="s">
        <v>238</v>
      </c>
      <c r="FF3636" s="5" t="s">
        <v>238</v>
      </c>
      <c r="FG3636" s="5" t="s">
        <v>238</v>
      </c>
      <c r="FH3636" s="5" t="s">
        <v>238</v>
      </c>
      <c r="FI3636" s="5" t="s">
        <v>238</v>
      </c>
      <c r="FJ3636" s="5" t="s">
        <v>238</v>
      </c>
      <c r="FK3636" s="5" t="s">
        <v>238</v>
      </c>
      <c r="FL3636" s="5" t="s">
        <v>238</v>
      </c>
      <c r="FM3636" s="5" t="s">
        <v>238</v>
      </c>
      <c r="FN3636" s="5" t="s">
        <v>238</v>
      </c>
      <c r="FO3636" s="5" t="s">
        <v>238</v>
      </c>
      <c r="FP3636" s="5" t="s">
        <v>238</v>
      </c>
      <c r="FQ3636" s="5" t="s">
        <v>238</v>
      </c>
      <c r="FR3636" s="5" t="s">
        <v>238</v>
      </c>
      <c r="FS3636" s="5" t="s">
        <v>238</v>
      </c>
      <c r="FT3636" s="5" t="s">
        <v>238</v>
      </c>
      <c r="FU3636" s="5" t="s">
        <v>238</v>
      </c>
      <c r="FV3636" s="5" t="s">
        <v>238</v>
      </c>
      <c r="FW3636" s="5" t="s">
        <v>238</v>
      </c>
      <c r="FX3636" s="5" t="s">
        <v>238</v>
      </c>
      <c r="FY3636" s="5" t="s">
        <v>238</v>
      </c>
      <c r="FZ3636" s="5" t="s">
        <v>238</v>
      </c>
      <c r="GA3636" s="5" t="s">
        <v>238</v>
      </c>
      <c r="GB3636" s="5" t="s">
        <v>238</v>
      </c>
      <c r="GC3636" s="5" t="s">
        <v>238</v>
      </c>
      <c r="GD3636" s="5" t="s">
        <v>238</v>
      </c>
      <c r="GE3636" s="5" t="s">
        <v>238</v>
      </c>
      <c r="GF3636" s="5" t="s">
        <v>238</v>
      </c>
      <c r="GG3636" s="5" t="s">
        <v>238</v>
      </c>
      <c r="GH3636" s="5" t="s">
        <v>238</v>
      </c>
      <c r="GI3636" s="5" t="s">
        <v>238</v>
      </c>
      <c r="GJ3636" s="5" t="s">
        <v>238</v>
      </c>
      <c r="GK3636" s="5" t="s">
        <v>238</v>
      </c>
      <c r="GL3636" s="5" t="s">
        <v>238</v>
      </c>
      <c r="GM3636" s="5" t="s">
        <v>238</v>
      </c>
      <c r="GN3636" s="5" t="s">
        <v>238</v>
      </c>
      <c r="GO3636" s="5" t="s">
        <v>238</v>
      </c>
      <c r="GP3636" s="5" t="s">
        <v>238</v>
      </c>
      <c r="GQ3636" s="5" t="s">
        <v>238</v>
      </c>
      <c r="GR3636" s="5" t="s">
        <v>238</v>
      </c>
      <c r="GS3636" s="5" t="s">
        <v>238</v>
      </c>
      <c r="GT3636" s="5" t="s">
        <v>238</v>
      </c>
      <c r="GU3636" s="5" t="s">
        <v>238</v>
      </c>
      <c r="GV3636" s="5" t="s">
        <v>238</v>
      </c>
      <c r="GW3636" s="5" t="s">
        <v>238</v>
      </c>
      <c r="GX3636" s="5" t="s">
        <v>238</v>
      </c>
      <c r="GY3636" s="5" t="s">
        <v>238</v>
      </c>
      <c r="GZ3636" s="5" t="s">
        <v>238</v>
      </c>
      <c r="HA3636" s="5" t="s">
        <v>238</v>
      </c>
      <c r="HB3636" s="5" t="s">
        <v>238</v>
      </c>
      <c r="HC3636" s="5" t="s">
        <v>238</v>
      </c>
      <c r="HD3636" s="5" t="s">
        <v>238</v>
      </c>
      <c r="HE3636" s="5" t="s">
        <v>238</v>
      </c>
      <c r="HF3636" s="5" t="s">
        <v>238</v>
      </c>
      <c r="HG3636" s="5" t="s">
        <v>238</v>
      </c>
      <c r="HH3636" s="5" t="s">
        <v>238</v>
      </c>
      <c r="HI3636" s="5" t="s">
        <v>238</v>
      </c>
      <c r="HJ3636" s="5" t="s">
        <v>238</v>
      </c>
      <c r="HK3636" s="5" t="s">
        <v>238</v>
      </c>
      <c r="HL3636" s="5" t="s">
        <v>238</v>
      </c>
      <c r="HM3636" s="5" t="s">
        <v>264</v>
      </c>
      <c r="HN3636" s="5" t="s">
        <v>238</v>
      </c>
      <c r="HO3636" s="5" t="s">
        <v>238</v>
      </c>
      <c r="HP3636" s="5" t="s">
        <v>238</v>
      </c>
      <c r="HQ3636" s="5" t="s">
        <v>238</v>
      </c>
      <c r="HR3636" s="5" t="s">
        <v>238</v>
      </c>
      <c r="HS3636" s="5" t="s">
        <v>238</v>
      </c>
      <c r="HT3636" s="5" t="s">
        <v>238</v>
      </c>
      <c r="HU3636" s="5" t="s">
        <v>238</v>
      </c>
      <c r="HV3636" s="5" t="s">
        <v>238</v>
      </c>
      <c r="HW3636" s="5" t="s">
        <v>238</v>
      </c>
      <c r="HX3636" s="5" t="s">
        <v>238</v>
      </c>
      <c r="HY3636" s="5" t="s">
        <v>238</v>
      </c>
      <c r="HZ3636" s="5" t="s">
        <v>238</v>
      </c>
      <c r="IA3636" s="5" t="s">
        <v>238</v>
      </c>
      <c r="IB3636" s="5" t="s">
        <v>238</v>
      </c>
      <c r="IC3636" s="5" t="s">
        <v>238</v>
      </c>
      <c r="ID3636" s="5" t="s">
        <v>238</v>
      </c>
    </row>
    <row r="3637" spans="1:238" x14ac:dyDescent="0.4">
      <c r="A3637" s="5">
        <v>9355</v>
      </c>
      <c r="B3637" s="5">
        <v>1</v>
      </c>
      <c r="C3637" s="5">
        <v>1</v>
      </c>
      <c r="D3637" s="5" t="s">
        <v>484</v>
      </c>
      <c r="E3637" s="5" t="s">
        <v>485</v>
      </c>
      <c r="F3637" s="5" t="s">
        <v>248</v>
      </c>
      <c r="G3637" s="5" t="s">
        <v>5091</v>
      </c>
      <c r="H3637" s="6" t="s">
        <v>5092</v>
      </c>
      <c r="I3637" s="8">
        <f>1</f>
        <v>1</v>
      </c>
      <c r="J3637" s="5" t="s">
        <v>499</v>
      </c>
      <c r="K3637" s="8">
        <f>1</f>
        <v>1</v>
      </c>
      <c r="L3637" s="6" t="s">
        <v>242</v>
      </c>
      <c r="M3637" s="5" t="s">
        <v>267</v>
      </c>
      <c r="N3637" s="5" t="s">
        <v>482</v>
      </c>
      <c r="O3637" s="5" t="s">
        <v>238</v>
      </c>
      <c r="P3637" s="5" t="s">
        <v>238</v>
      </c>
      <c r="Q3637" s="5" t="s">
        <v>239</v>
      </c>
      <c r="R3637" s="5" t="s">
        <v>270</v>
      </c>
      <c r="S3637" s="5" t="s">
        <v>238</v>
      </c>
      <c r="T3637" s="5" t="s">
        <v>238</v>
      </c>
      <c r="U3637" s="5" t="s">
        <v>238</v>
      </c>
      <c r="V3637" s="5" t="s">
        <v>238</v>
      </c>
      <c r="W3637" s="6" t="s">
        <v>238</v>
      </c>
      <c r="X3637" s="6" t="s">
        <v>238</v>
      </c>
      <c r="Y3637" s="5" t="s">
        <v>238</v>
      </c>
      <c r="Z3637" s="6" t="s">
        <v>238</v>
      </c>
      <c r="AA3637" s="6" t="s">
        <v>243</v>
      </c>
      <c r="AB3637" s="5" t="s">
        <v>486</v>
      </c>
      <c r="AC3637" s="5" t="s">
        <v>244</v>
      </c>
      <c r="AD3637" s="5" t="s">
        <v>245</v>
      </c>
      <c r="AE3637" s="5" t="s">
        <v>238</v>
      </c>
      <c r="AF3637" s="5" t="s">
        <v>238</v>
      </c>
      <c r="AG3637" s="5" t="s">
        <v>238</v>
      </c>
      <c r="AH3637" s="5" t="s">
        <v>238</v>
      </c>
      <c r="AI3637" s="5" t="s">
        <v>238</v>
      </c>
      <c r="AJ3637" s="5" t="s">
        <v>238</v>
      </c>
      <c r="AK3637" s="5" t="s">
        <v>238</v>
      </c>
      <c r="AL3637" s="5" t="s">
        <v>238</v>
      </c>
      <c r="AM3637" s="6" t="s">
        <v>238</v>
      </c>
      <c r="AN3637" s="6" t="s">
        <v>238</v>
      </c>
      <c r="AO3637" s="6" t="s">
        <v>238</v>
      </c>
      <c r="AP3637" s="6" t="s">
        <v>238</v>
      </c>
      <c r="AQ3637" s="5" t="s">
        <v>238</v>
      </c>
      <c r="AR3637" s="5" t="s">
        <v>488</v>
      </c>
      <c r="AS3637" s="5" t="s">
        <v>488</v>
      </c>
      <c r="AT3637" s="5" t="s">
        <v>246</v>
      </c>
      <c r="AU3637" s="5" t="s">
        <v>489</v>
      </c>
      <c r="AV3637" s="5" t="s">
        <v>247</v>
      </c>
      <c r="AW3637" s="5" t="s">
        <v>238</v>
      </c>
      <c r="AX3637" s="5" t="s">
        <v>249</v>
      </c>
      <c r="AY3637" s="5" t="s">
        <v>490</v>
      </c>
      <c r="BA3637" s="5" t="s">
        <v>238</v>
      </c>
      <c r="BC3637" s="5" t="s">
        <v>491</v>
      </c>
      <c r="BD3637" s="6" t="s">
        <v>492</v>
      </c>
      <c r="BE3637" s="5" t="s">
        <v>493</v>
      </c>
      <c r="BF3637" s="5" t="s">
        <v>493</v>
      </c>
      <c r="BG3637" s="5" t="s">
        <v>238</v>
      </c>
      <c r="BH3637" s="8">
        <f>1</f>
        <v>1</v>
      </c>
      <c r="BI3637" s="8">
        <f>1</f>
        <v>1</v>
      </c>
      <c r="BJ3637" s="5" t="s">
        <v>253</v>
      </c>
      <c r="BK3637" s="5" t="s">
        <v>254</v>
      </c>
      <c r="BL3637" s="5" t="s">
        <v>238</v>
      </c>
      <c r="BM3637" s="5" t="s">
        <v>238</v>
      </c>
      <c r="BN3637" s="5" t="s">
        <v>238</v>
      </c>
      <c r="BO3637" s="5" t="s">
        <v>238</v>
      </c>
      <c r="BP3637" s="5" t="s">
        <v>238</v>
      </c>
      <c r="BQ3637" s="5" t="s">
        <v>238</v>
      </c>
      <c r="BR3637" s="5" t="s">
        <v>238</v>
      </c>
      <c r="BS3637" s="5" t="s">
        <v>238</v>
      </c>
      <c r="BT3637" s="6" t="s">
        <v>238</v>
      </c>
      <c r="BU3637" s="5" t="s">
        <v>238</v>
      </c>
      <c r="BV3637" s="5" t="s">
        <v>238</v>
      </c>
      <c r="BW3637" s="5" t="s">
        <v>238</v>
      </c>
      <c r="BX3637" s="5" t="s">
        <v>254</v>
      </c>
      <c r="BY3637" s="5" t="s">
        <v>238</v>
      </c>
      <c r="BZ3637" s="5" t="s">
        <v>238</v>
      </c>
      <c r="CA3637" s="5" t="s">
        <v>238</v>
      </c>
      <c r="CB3637" s="5" t="s">
        <v>238</v>
      </c>
      <c r="CC3637" s="5" t="s">
        <v>238</v>
      </c>
      <c r="CD3637" s="5" t="s">
        <v>273</v>
      </c>
      <c r="CE3637" s="5" t="s">
        <v>256</v>
      </c>
      <c r="CF3637" s="5" t="s">
        <v>238</v>
      </c>
      <c r="CH3637" s="5" t="s">
        <v>494</v>
      </c>
      <c r="CI3637" s="6" t="s">
        <v>257</v>
      </c>
      <c r="CJ3637" s="5" t="s">
        <v>495</v>
      </c>
      <c r="CK3637" s="5" t="s">
        <v>258</v>
      </c>
      <c r="CL3637" s="5" t="s">
        <v>496</v>
      </c>
      <c r="CM3637" s="5" t="s">
        <v>238</v>
      </c>
      <c r="CN3637" s="5">
        <v>0</v>
      </c>
      <c r="CO3637" s="5" t="s">
        <v>497</v>
      </c>
      <c r="CP3637" s="5" t="s">
        <v>260</v>
      </c>
      <c r="CQ3637" s="5" t="s">
        <v>260</v>
      </c>
      <c r="CR3637" s="5" t="s">
        <v>261</v>
      </c>
      <c r="CS3637" s="5" t="s">
        <v>498</v>
      </c>
      <c r="CT3637" s="7">
        <f>1</f>
        <v>1</v>
      </c>
      <c r="CU3637" s="8">
        <f>1</f>
        <v>1</v>
      </c>
      <c r="CV3637" s="8">
        <f>0</f>
        <v>0</v>
      </c>
      <c r="CX3637" s="8">
        <f>1</f>
        <v>1</v>
      </c>
      <c r="CY3637" s="8">
        <f>1</f>
        <v>1</v>
      </c>
      <c r="CZ3637" s="8" t="s">
        <v>238</v>
      </c>
      <c r="DA3637" s="5" t="s">
        <v>238</v>
      </c>
      <c r="DB3637" s="5" t="s">
        <v>238</v>
      </c>
      <c r="DC3637" s="5" t="s">
        <v>238</v>
      </c>
      <c r="DD3637" s="5" t="s">
        <v>238</v>
      </c>
      <c r="DE3637" s="8">
        <f>0</f>
        <v>0</v>
      </c>
      <c r="DG3637" s="5" t="s">
        <v>238</v>
      </c>
      <c r="DH3637" s="5" t="s">
        <v>238</v>
      </c>
      <c r="DI3637" s="5" t="s">
        <v>238</v>
      </c>
      <c r="DJ3637" s="5" t="s">
        <v>238</v>
      </c>
      <c r="DK3637" s="5" t="s">
        <v>238</v>
      </c>
      <c r="DL3637" s="5" t="s">
        <v>238</v>
      </c>
      <c r="DM3637" s="8" t="s">
        <v>238</v>
      </c>
      <c r="DN3637" s="5" t="s">
        <v>238</v>
      </c>
      <c r="DO3637" s="5" t="s">
        <v>238</v>
      </c>
      <c r="DP3637" s="5" t="s">
        <v>490</v>
      </c>
      <c r="DQ3637" s="5" t="s">
        <v>490</v>
      </c>
      <c r="DR3637" s="5" t="s">
        <v>238</v>
      </c>
      <c r="DS3637" s="5" t="s">
        <v>238</v>
      </c>
      <c r="DT3637" s="5" t="s">
        <v>500</v>
      </c>
      <c r="DU3637" s="5" t="s">
        <v>776</v>
      </c>
      <c r="DV3637" s="5" t="s">
        <v>238</v>
      </c>
      <c r="DW3637" s="5" t="s">
        <v>238</v>
      </c>
      <c r="DX3637" s="5" t="s">
        <v>238</v>
      </c>
      <c r="DY3637" s="5" t="s">
        <v>238</v>
      </c>
      <c r="DZ3637" s="5" t="s">
        <v>238</v>
      </c>
      <c r="EA3637" s="5" t="s">
        <v>238</v>
      </c>
      <c r="EB3637" s="5" t="s">
        <v>238</v>
      </c>
      <c r="EC3637" s="5" t="s">
        <v>238</v>
      </c>
      <c r="ED3637" s="5" t="s">
        <v>238</v>
      </c>
      <c r="EE3637" s="5" t="s">
        <v>238</v>
      </c>
      <c r="EF3637" s="5" t="s">
        <v>238</v>
      </c>
      <c r="EG3637" s="5" t="s">
        <v>238</v>
      </c>
      <c r="EH3637" s="5" t="s">
        <v>238</v>
      </c>
      <c r="EI3637" s="5" t="s">
        <v>238</v>
      </c>
      <c r="EJ3637" s="5" t="s">
        <v>238</v>
      </c>
      <c r="EK3637" s="5" t="s">
        <v>238</v>
      </c>
      <c r="EL3637" s="5" t="s">
        <v>238</v>
      </c>
      <c r="EM3637" s="5" t="s">
        <v>238</v>
      </c>
      <c r="EN3637" s="5" t="s">
        <v>238</v>
      </c>
      <c r="EO3637" s="5" t="s">
        <v>238</v>
      </c>
      <c r="EP3637" s="5" t="s">
        <v>238</v>
      </c>
      <c r="EQ3637" s="5" t="s">
        <v>238</v>
      </c>
      <c r="ER3637" s="5" t="s">
        <v>238</v>
      </c>
      <c r="ES3637" s="5" t="s">
        <v>238</v>
      </c>
      <c r="ET3637" s="5" t="s">
        <v>238</v>
      </c>
      <c r="EU3637" s="5" t="s">
        <v>238</v>
      </c>
      <c r="EV3637" s="5" t="s">
        <v>238</v>
      </c>
      <c r="EW3637" s="5" t="s">
        <v>238</v>
      </c>
      <c r="EX3637" s="5" t="s">
        <v>238</v>
      </c>
      <c r="EY3637" s="5" t="s">
        <v>238</v>
      </c>
      <c r="EZ3637" s="5" t="s">
        <v>238</v>
      </c>
      <c r="FA3637" s="5" t="s">
        <v>238</v>
      </c>
      <c r="FB3637" s="5" t="s">
        <v>238</v>
      </c>
      <c r="FC3637" s="5" t="s">
        <v>238</v>
      </c>
      <c r="FD3637" s="5" t="s">
        <v>238</v>
      </c>
      <c r="FE3637" s="5" t="s">
        <v>238</v>
      </c>
      <c r="FF3637" s="5" t="s">
        <v>238</v>
      </c>
      <c r="FG3637" s="5" t="s">
        <v>238</v>
      </c>
      <c r="FH3637" s="5" t="s">
        <v>238</v>
      </c>
      <c r="FI3637" s="5" t="s">
        <v>238</v>
      </c>
      <c r="FJ3637" s="5" t="s">
        <v>238</v>
      </c>
      <c r="FK3637" s="5" t="s">
        <v>238</v>
      </c>
      <c r="FL3637" s="5" t="s">
        <v>238</v>
      </c>
      <c r="FM3637" s="5" t="s">
        <v>238</v>
      </c>
      <c r="FN3637" s="5" t="s">
        <v>238</v>
      </c>
      <c r="FO3637" s="5" t="s">
        <v>238</v>
      </c>
      <c r="FP3637" s="5" t="s">
        <v>238</v>
      </c>
      <c r="FQ3637" s="5" t="s">
        <v>238</v>
      </c>
      <c r="FR3637" s="5" t="s">
        <v>238</v>
      </c>
      <c r="FS3637" s="5" t="s">
        <v>238</v>
      </c>
      <c r="FT3637" s="5" t="s">
        <v>238</v>
      </c>
      <c r="FU3637" s="5" t="s">
        <v>238</v>
      </c>
      <c r="FV3637" s="5" t="s">
        <v>238</v>
      </c>
      <c r="FW3637" s="5" t="s">
        <v>238</v>
      </c>
      <c r="FX3637" s="5" t="s">
        <v>238</v>
      </c>
      <c r="FY3637" s="5" t="s">
        <v>238</v>
      </c>
      <c r="FZ3637" s="5" t="s">
        <v>238</v>
      </c>
      <c r="GA3637" s="5" t="s">
        <v>238</v>
      </c>
      <c r="GB3637" s="5" t="s">
        <v>238</v>
      </c>
      <c r="GC3637" s="5" t="s">
        <v>238</v>
      </c>
      <c r="GD3637" s="5" t="s">
        <v>238</v>
      </c>
      <c r="GE3637" s="5" t="s">
        <v>238</v>
      </c>
      <c r="GF3637" s="5" t="s">
        <v>238</v>
      </c>
      <c r="GG3637" s="5" t="s">
        <v>238</v>
      </c>
      <c r="GH3637" s="5" t="s">
        <v>238</v>
      </c>
      <c r="GI3637" s="5" t="s">
        <v>238</v>
      </c>
      <c r="GJ3637" s="5" t="s">
        <v>238</v>
      </c>
      <c r="GK3637" s="5" t="s">
        <v>238</v>
      </c>
      <c r="GL3637" s="5" t="s">
        <v>238</v>
      </c>
      <c r="GM3637" s="5" t="s">
        <v>238</v>
      </c>
      <c r="GN3637" s="5" t="s">
        <v>238</v>
      </c>
      <c r="GO3637" s="5" t="s">
        <v>238</v>
      </c>
      <c r="GP3637" s="5" t="s">
        <v>238</v>
      </c>
      <c r="GQ3637" s="5" t="s">
        <v>238</v>
      </c>
      <c r="GR3637" s="5" t="s">
        <v>238</v>
      </c>
      <c r="GS3637" s="5" t="s">
        <v>238</v>
      </c>
      <c r="GT3637" s="5" t="s">
        <v>238</v>
      </c>
      <c r="GU3637" s="5" t="s">
        <v>238</v>
      </c>
      <c r="GV3637" s="5" t="s">
        <v>238</v>
      </c>
      <c r="GW3637" s="5" t="s">
        <v>238</v>
      </c>
      <c r="GX3637" s="5" t="s">
        <v>238</v>
      </c>
      <c r="GY3637" s="5" t="s">
        <v>238</v>
      </c>
      <c r="GZ3637" s="5" t="s">
        <v>238</v>
      </c>
      <c r="HA3637" s="5" t="s">
        <v>238</v>
      </c>
      <c r="HB3637" s="5" t="s">
        <v>238</v>
      </c>
      <c r="HC3637" s="5" t="s">
        <v>238</v>
      </c>
      <c r="HD3637" s="5" t="s">
        <v>238</v>
      </c>
      <c r="HE3637" s="5" t="s">
        <v>238</v>
      </c>
      <c r="HF3637" s="5" t="s">
        <v>238</v>
      </c>
      <c r="HG3637" s="5" t="s">
        <v>238</v>
      </c>
      <c r="HH3637" s="5" t="s">
        <v>238</v>
      </c>
      <c r="HI3637" s="5" t="s">
        <v>238</v>
      </c>
      <c r="HJ3637" s="5" t="s">
        <v>238</v>
      </c>
      <c r="HK3637" s="5" t="s">
        <v>238</v>
      </c>
      <c r="HL3637" s="5" t="s">
        <v>238</v>
      </c>
      <c r="HM3637" s="5" t="s">
        <v>264</v>
      </c>
      <c r="HN3637" s="5" t="s">
        <v>238</v>
      </c>
      <c r="HO3637" s="5" t="s">
        <v>238</v>
      </c>
      <c r="HP3637" s="5" t="s">
        <v>238</v>
      </c>
      <c r="HQ3637" s="5" t="s">
        <v>238</v>
      </c>
      <c r="HR3637" s="5" t="s">
        <v>238</v>
      </c>
      <c r="HS3637" s="5" t="s">
        <v>238</v>
      </c>
      <c r="HT3637" s="5" t="s">
        <v>238</v>
      </c>
      <c r="HU3637" s="5" t="s">
        <v>238</v>
      </c>
      <c r="HV3637" s="5" t="s">
        <v>238</v>
      </c>
      <c r="HW3637" s="5" t="s">
        <v>238</v>
      </c>
      <c r="HX3637" s="5" t="s">
        <v>238</v>
      </c>
      <c r="HY3637" s="5" t="s">
        <v>238</v>
      </c>
      <c r="HZ3637" s="5" t="s">
        <v>238</v>
      </c>
      <c r="IA3637" s="5" t="s">
        <v>238</v>
      </c>
      <c r="IB3637" s="5" t="s">
        <v>238</v>
      </c>
      <c r="IC3637" s="5" t="s">
        <v>238</v>
      </c>
      <c r="ID3637" s="5" t="s">
        <v>238</v>
      </c>
    </row>
    <row r="3638" spans="1:238" x14ac:dyDescent="0.4">
      <c r="A3638" s="5">
        <v>9356</v>
      </c>
      <c r="B3638" s="5">
        <v>1</v>
      </c>
      <c r="C3638" s="5">
        <v>1</v>
      </c>
      <c r="D3638" s="5" t="s">
        <v>484</v>
      </c>
      <c r="E3638" s="5" t="s">
        <v>485</v>
      </c>
      <c r="F3638" s="5" t="s">
        <v>248</v>
      </c>
      <c r="G3638" s="5" t="s">
        <v>4636</v>
      </c>
      <c r="H3638" s="6" t="s">
        <v>4637</v>
      </c>
      <c r="I3638" s="8">
        <f>1</f>
        <v>1</v>
      </c>
      <c r="J3638" s="5" t="s">
        <v>499</v>
      </c>
      <c r="K3638" s="8">
        <f>1</f>
        <v>1</v>
      </c>
      <c r="L3638" s="6" t="s">
        <v>242</v>
      </c>
      <c r="M3638" s="5" t="s">
        <v>267</v>
      </c>
      <c r="N3638" s="5" t="s">
        <v>482</v>
      </c>
      <c r="O3638" s="5" t="s">
        <v>238</v>
      </c>
      <c r="P3638" s="5" t="s">
        <v>238</v>
      </c>
      <c r="Q3638" s="5" t="s">
        <v>239</v>
      </c>
      <c r="R3638" s="5" t="s">
        <v>270</v>
      </c>
      <c r="S3638" s="5" t="s">
        <v>238</v>
      </c>
      <c r="T3638" s="5" t="s">
        <v>238</v>
      </c>
      <c r="U3638" s="5" t="s">
        <v>238</v>
      </c>
      <c r="V3638" s="5" t="s">
        <v>238</v>
      </c>
      <c r="W3638" s="6" t="s">
        <v>238</v>
      </c>
      <c r="X3638" s="6" t="s">
        <v>238</v>
      </c>
      <c r="Y3638" s="5" t="s">
        <v>238</v>
      </c>
      <c r="Z3638" s="6" t="s">
        <v>238</v>
      </c>
      <c r="AA3638" s="6" t="s">
        <v>243</v>
      </c>
      <c r="AB3638" s="5" t="s">
        <v>486</v>
      </c>
      <c r="AC3638" s="5" t="s">
        <v>244</v>
      </c>
      <c r="AD3638" s="5" t="s">
        <v>245</v>
      </c>
      <c r="AE3638" s="5" t="s">
        <v>238</v>
      </c>
      <c r="AF3638" s="5" t="s">
        <v>238</v>
      </c>
      <c r="AG3638" s="5" t="s">
        <v>238</v>
      </c>
      <c r="AH3638" s="5" t="s">
        <v>238</v>
      </c>
      <c r="AI3638" s="5" t="s">
        <v>238</v>
      </c>
      <c r="AJ3638" s="5" t="s">
        <v>238</v>
      </c>
      <c r="AK3638" s="5" t="s">
        <v>238</v>
      </c>
      <c r="AL3638" s="5" t="s">
        <v>238</v>
      </c>
      <c r="AM3638" s="6" t="s">
        <v>238</v>
      </c>
      <c r="AN3638" s="6" t="s">
        <v>238</v>
      </c>
      <c r="AO3638" s="6" t="s">
        <v>238</v>
      </c>
      <c r="AP3638" s="6" t="s">
        <v>238</v>
      </c>
      <c r="AQ3638" s="5" t="s">
        <v>238</v>
      </c>
      <c r="AR3638" s="5" t="s">
        <v>488</v>
      </c>
      <c r="AS3638" s="5" t="s">
        <v>488</v>
      </c>
      <c r="AT3638" s="5" t="s">
        <v>246</v>
      </c>
      <c r="AU3638" s="5" t="s">
        <v>489</v>
      </c>
      <c r="AV3638" s="5" t="s">
        <v>247</v>
      </c>
      <c r="AW3638" s="5" t="s">
        <v>238</v>
      </c>
      <c r="AX3638" s="5" t="s">
        <v>249</v>
      </c>
      <c r="AY3638" s="5" t="s">
        <v>490</v>
      </c>
      <c r="BA3638" s="5" t="s">
        <v>238</v>
      </c>
      <c r="BC3638" s="5" t="s">
        <v>491</v>
      </c>
      <c r="BD3638" s="6" t="s">
        <v>492</v>
      </c>
      <c r="BE3638" s="5" t="s">
        <v>493</v>
      </c>
      <c r="BF3638" s="5" t="s">
        <v>493</v>
      </c>
      <c r="BG3638" s="5" t="s">
        <v>238</v>
      </c>
      <c r="BH3638" s="8">
        <f>1</f>
        <v>1</v>
      </c>
      <c r="BI3638" s="8">
        <f>1</f>
        <v>1</v>
      </c>
      <c r="BJ3638" s="5" t="s">
        <v>253</v>
      </c>
      <c r="BK3638" s="5" t="s">
        <v>254</v>
      </c>
      <c r="BL3638" s="5" t="s">
        <v>238</v>
      </c>
      <c r="BM3638" s="5" t="s">
        <v>238</v>
      </c>
      <c r="BN3638" s="5" t="s">
        <v>238</v>
      </c>
      <c r="BO3638" s="5" t="s">
        <v>238</v>
      </c>
      <c r="BP3638" s="5" t="s">
        <v>238</v>
      </c>
      <c r="BQ3638" s="5" t="s">
        <v>238</v>
      </c>
      <c r="BR3638" s="5" t="s">
        <v>238</v>
      </c>
      <c r="BS3638" s="5" t="s">
        <v>238</v>
      </c>
      <c r="BT3638" s="6" t="s">
        <v>238</v>
      </c>
      <c r="BU3638" s="5" t="s">
        <v>238</v>
      </c>
      <c r="BV3638" s="5" t="s">
        <v>238</v>
      </c>
      <c r="BW3638" s="5" t="s">
        <v>238</v>
      </c>
      <c r="BX3638" s="5" t="s">
        <v>254</v>
      </c>
      <c r="BY3638" s="5" t="s">
        <v>238</v>
      </c>
      <c r="BZ3638" s="5" t="s">
        <v>238</v>
      </c>
      <c r="CA3638" s="5" t="s">
        <v>238</v>
      </c>
      <c r="CB3638" s="5" t="s">
        <v>238</v>
      </c>
      <c r="CC3638" s="5" t="s">
        <v>238</v>
      </c>
      <c r="CD3638" s="5" t="s">
        <v>273</v>
      </c>
      <c r="CE3638" s="5" t="s">
        <v>256</v>
      </c>
      <c r="CF3638" s="5" t="s">
        <v>238</v>
      </c>
      <c r="CH3638" s="5" t="s">
        <v>494</v>
      </c>
      <c r="CI3638" s="6" t="s">
        <v>257</v>
      </c>
      <c r="CJ3638" s="5" t="s">
        <v>495</v>
      </c>
      <c r="CK3638" s="5" t="s">
        <v>258</v>
      </c>
      <c r="CL3638" s="5" t="s">
        <v>496</v>
      </c>
      <c r="CM3638" s="5" t="s">
        <v>238</v>
      </c>
      <c r="CN3638" s="5">
        <v>0</v>
      </c>
      <c r="CO3638" s="5" t="s">
        <v>497</v>
      </c>
      <c r="CP3638" s="5" t="s">
        <v>260</v>
      </c>
      <c r="CQ3638" s="5" t="s">
        <v>260</v>
      </c>
      <c r="CR3638" s="5" t="s">
        <v>261</v>
      </c>
      <c r="CS3638" s="5" t="s">
        <v>498</v>
      </c>
      <c r="CT3638" s="7">
        <f>1</f>
        <v>1</v>
      </c>
      <c r="CU3638" s="8">
        <f>1</f>
        <v>1</v>
      </c>
      <c r="CV3638" s="8">
        <f>0</f>
        <v>0</v>
      </c>
      <c r="CX3638" s="8">
        <f>1</f>
        <v>1</v>
      </c>
      <c r="CY3638" s="8">
        <f>1</f>
        <v>1</v>
      </c>
      <c r="CZ3638" s="8" t="s">
        <v>238</v>
      </c>
      <c r="DA3638" s="5" t="s">
        <v>238</v>
      </c>
      <c r="DB3638" s="5" t="s">
        <v>238</v>
      </c>
      <c r="DC3638" s="5" t="s">
        <v>238</v>
      </c>
      <c r="DD3638" s="5" t="s">
        <v>238</v>
      </c>
      <c r="DE3638" s="8">
        <f>0</f>
        <v>0</v>
      </c>
      <c r="DG3638" s="5" t="s">
        <v>238</v>
      </c>
      <c r="DH3638" s="5" t="s">
        <v>238</v>
      </c>
      <c r="DI3638" s="5" t="s">
        <v>238</v>
      </c>
      <c r="DJ3638" s="5" t="s">
        <v>238</v>
      </c>
      <c r="DK3638" s="5" t="s">
        <v>238</v>
      </c>
      <c r="DL3638" s="5" t="s">
        <v>238</v>
      </c>
      <c r="DM3638" s="8" t="s">
        <v>238</v>
      </c>
      <c r="DN3638" s="5" t="s">
        <v>238</v>
      </c>
      <c r="DO3638" s="5" t="s">
        <v>238</v>
      </c>
      <c r="DP3638" s="5" t="s">
        <v>490</v>
      </c>
      <c r="DQ3638" s="5" t="s">
        <v>490</v>
      </c>
      <c r="DR3638" s="5" t="s">
        <v>238</v>
      </c>
      <c r="DS3638" s="5" t="s">
        <v>238</v>
      </c>
      <c r="DT3638" s="5" t="s">
        <v>500</v>
      </c>
      <c r="DU3638" s="5" t="s">
        <v>952</v>
      </c>
      <c r="DV3638" s="5" t="s">
        <v>238</v>
      </c>
      <c r="DW3638" s="5" t="s">
        <v>238</v>
      </c>
      <c r="DX3638" s="5" t="s">
        <v>238</v>
      </c>
      <c r="DY3638" s="5" t="s">
        <v>238</v>
      </c>
      <c r="DZ3638" s="5" t="s">
        <v>238</v>
      </c>
      <c r="EA3638" s="5" t="s">
        <v>238</v>
      </c>
      <c r="EB3638" s="5" t="s">
        <v>238</v>
      </c>
      <c r="EC3638" s="5" t="s">
        <v>238</v>
      </c>
      <c r="ED3638" s="5" t="s">
        <v>238</v>
      </c>
      <c r="EE3638" s="5" t="s">
        <v>238</v>
      </c>
      <c r="EF3638" s="5" t="s">
        <v>238</v>
      </c>
      <c r="EG3638" s="5" t="s">
        <v>238</v>
      </c>
      <c r="EH3638" s="5" t="s">
        <v>238</v>
      </c>
      <c r="EI3638" s="5" t="s">
        <v>238</v>
      </c>
      <c r="EJ3638" s="5" t="s">
        <v>238</v>
      </c>
      <c r="EK3638" s="5" t="s">
        <v>238</v>
      </c>
      <c r="EL3638" s="5" t="s">
        <v>238</v>
      </c>
      <c r="EM3638" s="5" t="s">
        <v>238</v>
      </c>
      <c r="EN3638" s="5" t="s">
        <v>238</v>
      </c>
      <c r="EO3638" s="5" t="s">
        <v>238</v>
      </c>
      <c r="EP3638" s="5" t="s">
        <v>238</v>
      </c>
      <c r="EQ3638" s="5" t="s">
        <v>238</v>
      </c>
      <c r="ER3638" s="5" t="s">
        <v>238</v>
      </c>
      <c r="ES3638" s="5" t="s">
        <v>238</v>
      </c>
      <c r="ET3638" s="5" t="s">
        <v>238</v>
      </c>
      <c r="EU3638" s="5" t="s">
        <v>238</v>
      </c>
      <c r="EV3638" s="5" t="s">
        <v>238</v>
      </c>
      <c r="EW3638" s="5" t="s">
        <v>238</v>
      </c>
      <c r="EX3638" s="5" t="s">
        <v>238</v>
      </c>
      <c r="EY3638" s="5" t="s">
        <v>238</v>
      </c>
      <c r="EZ3638" s="5" t="s">
        <v>238</v>
      </c>
      <c r="FA3638" s="5" t="s">
        <v>238</v>
      </c>
      <c r="FB3638" s="5" t="s">
        <v>238</v>
      </c>
      <c r="FC3638" s="5" t="s">
        <v>238</v>
      </c>
      <c r="FD3638" s="5" t="s">
        <v>238</v>
      </c>
      <c r="FE3638" s="5" t="s">
        <v>238</v>
      </c>
      <c r="FF3638" s="5" t="s">
        <v>238</v>
      </c>
      <c r="FG3638" s="5" t="s">
        <v>238</v>
      </c>
      <c r="FH3638" s="5" t="s">
        <v>238</v>
      </c>
      <c r="FI3638" s="5" t="s">
        <v>238</v>
      </c>
      <c r="FJ3638" s="5" t="s">
        <v>238</v>
      </c>
      <c r="FK3638" s="5" t="s">
        <v>238</v>
      </c>
      <c r="FL3638" s="5" t="s">
        <v>238</v>
      </c>
      <c r="FM3638" s="5" t="s">
        <v>238</v>
      </c>
      <c r="FN3638" s="5" t="s">
        <v>238</v>
      </c>
      <c r="FO3638" s="5" t="s">
        <v>238</v>
      </c>
      <c r="FP3638" s="5" t="s">
        <v>238</v>
      </c>
      <c r="FQ3638" s="5" t="s">
        <v>238</v>
      </c>
      <c r="FR3638" s="5" t="s">
        <v>238</v>
      </c>
      <c r="FS3638" s="5" t="s">
        <v>238</v>
      </c>
      <c r="FT3638" s="5" t="s">
        <v>238</v>
      </c>
      <c r="FU3638" s="5" t="s">
        <v>238</v>
      </c>
      <c r="FV3638" s="5" t="s">
        <v>238</v>
      </c>
      <c r="FW3638" s="5" t="s">
        <v>238</v>
      </c>
      <c r="FX3638" s="5" t="s">
        <v>238</v>
      </c>
      <c r="FY3638" s="5" t="s">
        <v>238</v>
      </c>
      <c r="FZ3638" s="5" t="s">
        <v>238</v>
      </c>
      <c r="GA3638" s="5" t="s">
        <v>238</v>
      </c>
      <c r="GB3638" s="5" t="s">
        <v>238</v>
      </c>
      <c r="GC3638" s="5" t="s">
        <v>238</v>
      </c>
      <c r="GD3638" s="5" t="s">
        <v>238</v>
      </c>
      <c r="GE3638" s="5" t="s">
        <v>238</v>
      </c>
      <c r="GF3638" s="5" t="s">
        <v>238</v>
      </c>
      <c r="GG3638" s="5" t="s">
        <v>238</v>
      </c>
      <c r="GH3638" s="5" t="s">
        <v>238</v>
      </c>
      <c r="GI3638" s="5" t="s">
        <v>238</v>
      </c>
      <c r="GJ3638" s="5" t="s">
        <v>238</v>
      </c>
      <c r="GK3638" s="5" t="s">
        <v>238</v>
      </c>
      <c r="GL3638" s="5" t="s">
        <v>238</v>
      </c>
      <c r="GM3638" s="5" t="s">
        <v>238</v>
      </c>
      <c r="GN3638" s="5" t="s">
        <v>238</v>
      </c>
      <c r="GO3638" s="5" t="s">
        <v>238</v>
      </c>
      <c r="GP3638" s="5" t="s">
        <v>238</v>
      </c>
      <c r="GQ3638" s="5" t="s">
        <v>238</v>
      </c>
      <c r="GR3638" s="5" t="s">
        <v>238</v>
      </c>
      <c r="GS3638" s="5" t="s">
        <v>238</v>
      </c>
      <c r="GT3638" s="5" t="s">
        <v>238</v>
      </c>
      <c r="GU3638" s="5" t="s">
        <v>238</v>
      </c>
      <c r="GV3638" s="5" t="s">
        <v>238</v>
      </c>
      <c r="GW3638" s="5" t="s">
        <v>238</v>
      </c>
      <c r="GX3638" s="5" t="s">
        <v>238</v>
      </c>
      <c r="GY3638" s="5" t="s">
        <v>238</v>
      </c>
      <c r="GZ3638" s="5" t="s">
        <v>238</v>
      </c>
      <c r="HA3638" s="5" t="s">
        <v>238</v>
      </c>
      <c r="HB3638" s="5" t="s">
        <v>238</v>
      </c>
      <c r="HC3638" s="5" t="s">
        <v>238</v>
      </c>
      <c r="HD3638" s="5" t="s">
        <v>238</v>
      </c>
      <c r="HE3638" s="5" t="s">
        <v>238</v>
      </c>
      <c r="HF3638" s="5" t="s">
        <v>238</v>
      </c>
      <c r="HG3638" s="5" t="s">
        <v>238</v>
      </c>
      <c r="HH3638" s="5" t="s">
        <v>238</v>
      </c>
      <c r="HI3638" s="5" t="s">
        <v>238</v>
      </c>
      <c r="HJ3638" s="5" t="s">
        <v>238</v>
      </c>
      <c r="HK3638" s="5" t="s">
        <v>238</v>
      </c>
      <c r="HL3638" s="5" t="s">
        <v>238</v>
      </c>
      <c r="HM3638" s="5" t="s">
        <v>264</v>
      </c>
      <c r="HN3638" s="5" t="s">
        <v>238</v>
      </c>
      <c r="HO3638" s="5" t="s">
        <v>238</v>
      </c>
      <c r="HP3638" s="5" t="s">
        <v>238</v>
      </c>
      <c r="HQ3638" s="5" t="s">
        <v>238</v>
      </c>
      <c r="HR3638" s="5" t="s">
        <v>238</v>
      </c>
      <c r="HS3638" s="5" t="s">
        <v>238</v>
      </c>
      <c r="HT3638" s="5" t="s">
        <v>238</v>
      </c>
      <c r="HU3638" s="5" t="s">
        <v>238</v>
      </c>
      <c r="HV3638" s="5" t="s">
        <v>238</v>
      </c>
      <c r="HW3638" s="5" t="s">
        <v>238</v>
      </c>
      <c r="HX3638" s="5" t="s">
        <v>238</v>
      </c>
      <c r="HY3638" s="5" t="s">
        <v>238</v>
      </c>
      <c r="HZ3638" s="5" t="s">
        <v>238</v>
      </c>
      <c r="IA3638" s="5" t="s">
        <v>238</v>
      </c>
      <c r="IB3638" s="5" t="s">
        <v>238</v>
      </c>
      <c r="IC3638" s="5" t="s">
        <v>238</v>
      </c>
      <c r="ID3638" s="5" t="s">
        <v>238</v>
      </c>
    </row>
    <row r="3639" spans="1:238" x14ac:dyDescent="0.4">
      <c r="A3639" s="5">
        <v>9357</v>
      </c>
      <c r="B3639" s="5">
        <v>1</v>
      </c>
      <c r="C3639" s="5">
        <v>1</v>
      </c>
      <c r="D3639" s="5" t="s">
        <v>484</v>
      </c>
      <c r="E3639" s="5" t="s">
        <v>485</v>
      </c>
      <c r="F3639" s="5" t="s">
        <v>248</v>
      </c>
      <c r="G3639" s="5" t="s">
        <v>5757</v>
      </c>
      <c r="H3639" s="6" t="s">
        <v>5759</v>
      </c>
      <c r="I3639" s="8">
        <f>1</f>
        <v>1</v>
      </c>
      <c r="J3639" s="5" t="s">
        <v>499</v>
      </c>
      <c r="K3639" s="8">
        <f>1</f>
        <v>1</v>
      </c>
      <c r="L3639" s="6" t="s">
        <v>242</v>
      </c>
      <c r="M3639" s="5" t="s">
        <v>267</v>
      </c>
      <c r="N3639" s="5" t="s">
        <v>482</v>
      </c>
      <c r="O3639" s="5" t="s">
        <v>238</v>
      </c>
      <c r="P3639" s="5" t="s">
        <v>238</v>
      </c>
      <c r="Q3639" s="5" t="s">
        <v>239</v>
      </c>
      <c r="R3639" s="5" t="s">
        <v>270</v>
      </c>
      <c r="S3639" s="5" t="s">
        <v>238</v>
      </c>
      <c r="T3639" s="5" t="s">
        <v>238</v>
      </c>
      <c r="U3639" s="5" t="s">
        <v>238</v>
      </c>
      <c r="V3639" s="5" t="s">
        <v>238</v>
      </c>
      <c r="W3639" s="6" t="s">
        <v>238</v>
      </c>
      <c r="X3639" s="6" t="s">
        <v>238</v>
      </c>
      <c r="Y3639" s="5" t="s">
        <v>238</v>
      </c>
      <c r="Z3639" s="6" t="s">
        <v>238</v>
      </c>
      <c r="AA3639" s="6" t="s">
        <v>243</v>
      </c>
      <c r="AB3639" s="5" t="s">
        <v>5758</v>
      </c>
      <c r="AC3639" s="5" t="s">
        <v>244</v>
      </c>
      <c r="AD3639" s="5" t="s">
        <v>245</v>
      </c>
      <c r="AE3639" s="5" t="s">
        <v>238</v>
      </c>
      <c r="AF3639" s="5" t="s">
        <v>238</v>
      </c>
      <c r="AG3639" s="5" t="s">
        <v>238</v>
      </c>
      <c r="AH3639" s="5" t="s">
        <v>238</v>
      </c>
      <c r="AI3639" s="5" t="s">
        <v>238</v>
      </c>
      <c r="AJ3639" s="5" t="s">
        <v>238</v>
      </c>
      <c r="AK3639" s="5" t="s">
        <v>238</v>
      </c>
      <c r="AL3639" s="5" t="s">
        <v>238</v>
      </c>
      <c r="AM3639" s="6" t="s">
        <v>238</v>
      </c>
      <c r="AN3639" s="6" t="s">
        <v>238</v>
      </c>
      <c r="AO3639" s="6" t="s">
        <v>238</v>
      </c>
      <c r="AP3639" s="6" t="s">
        <v>238</v>
      </c>
      <c r="AQ3639" s="5" t="s">
        <v>238</v>
      </c>
      <c r="AR3639" s="5" t="s">
        <v>488</v>
      </c>
      <c r="AS3639" s="5" t="s">
        <v>488</v>
      </c>
      <c r="AT3639" s="5" t="s">
        <v>246</v>
      </c>
      <c r="AU3639" s="5" t="s">
        <v>489</v>
      </c>
      <c r="AV3639" s="5" t="s">
        <v>247</v>
      </c>
      <c r="AW3639" s="5" t="s">
        <v>238</v>
      </c>
      <c r="AX3639" s="5" t="s">
        <v>249</v>
      </c>
      <c r="AY3639" s="5" t="s">
        <v>490</v>
      </c>
      <c r="BA3639" s="5" t="s">
        <v>238</v>
      </c>
      <c r="BC3639" s="5" t="s">
        <v>491</v>
      </c>
      <c r="BD3639" s="6" t="s">
        <v>492</v>
      </c>
      <c r="BE3639" s="5" t="s">
        <v>493</v>
      </c>
      <c r="BF3639" s="5" t="s">
        <v>493</v>
      </c>
      <c r="BG3639" s="5" t="s">
        <v>238</v>
      </c>
      <c r="BH3639" s="8">
        <f>1</f>
        <v>1</v>
      </c>
      <c r="BI3639" s="8">
        <f>1</f>
        <v>1</v>
      </c>
      <c r="BJ3639" s="5" t="s">
        <v>253</v>
      </c>
      <c r="BK3639" s="5" t="s">
        <v>254</v>
      </c>
      <c r="BL3639" s="5" t="s">
        <v>238</v>
      </c>
      <c r="BM3639" s="5" t="s">
        <v>238</v>
      </c>
      <c r="BN3639" s="5" t="s">
        <v>238</v>
      </c>
      <c r="BO3639" s="5" t="s">
        <v>238</v>
      </c>
      <c r="BP3639" s="5" t="s">
        <v>238</v>
      </c>
      <c r="BQ3639" s="5" t="s">
        <v>238</v>
      </c>
      <c r="BR3639" s="5" t="s">
        <v>238</v>
      </c>
      <c r="BS3639" s="5" t="s">
        <v>238</v>
      </c>
      <c r="BT3639" s="6" t="s">
        <v>238</v>
      </c>
      <c r="BU3639" s="5" t="s">
        <v>238</v>
      </c>
      <c r="BV3639" s="5" t="s">
        <v>238</v>
      </c>
      <c r="BW3639" s="5" t="s">
        <v>238</v>
      </c>
      <c r="BX3639" s="5" t="s">
        <v>254</v>
      </c>
      <c r="BY3639" s="5" t="s">
        <v>238</v>
      </c>
      <c r="BZ3639" s="5" t="s">
        <v>238</v>
      </c>
      <c r="CA3639" s="5" t="s">
        <v>238</v>
      </c>
      <c r="CB3639" s="5" t="s">
        <v>238</v>
      </c>
      <c r="CC3639" s="5" t="s">
        <v>238</v>
      </c>
      <c r="CD3639" s="5" t="s">
        <v>273</v>
      </c>
      <c r="CE3639" s="5" t="s">
        <v>256</v>
      </c>
      <c r="CF3639" s="5" t="s">
        <v>238</v>
      </c>
      <c r="CH3639" s="5" t="s">
        <v>494</v>
      </c>
      <c r="CI3639" s="6" t="s">
        <v>257</v>
      </c>
      <c r="CJ3639" s="5" t="s">
        <v>495</v>
      </c>
      <c r="CK3639" s="5" t="s">
        <v>258</v>
      </c>
      <c r="CL3639" s="5" t="s">
        <v>496</v>
      </c>
      <c r="CM3639" s="5" t="s">
        <v>238</v>
      </c>
      <c r="CN3639" s="5">
        <v>0</v>
      </c>
      <c r="CO3639" s="5" t="s">
        <v>497</v>
      </c>
      <c r="CP3639" s="5" t="s">
        <v>260</v>
      </c>
      <c r="CQ3639" s="5" t="s">
        <v>260</v>
      </c>
      <c r="CR3639" s="5" t="s">
        <v>261</v>
      </c>
      <c r="CS3639" s="5" t="s">
        <v>498</v>
      </c>
      <c r="CT3639" s="7">
        <f>1</f>
        <v>1</v>
      </c>
      <c r="CU3639" s="8">
        <f>1</f>
        <v>1</v>
      </c>
      <c r="CV3639" s="8">
        <f>0</f>
        <v>0</v>
      </c>
      <c r="CX3639" s="8">
        <f>1</f>
        <v>1</v>
      </c>
      <c r="CY3639" s="8">
        <f>1</f>
        <v>1</v>
      </c>
      <c r="CZ3639" s="8" t="s">
        <v>238</v>
      </c>
      <c r="DA3639" s="5" t="s">
        <v>238</v>
      </c>
      <c r="DB3639" s="5" t="s">
        <v>238</v>
      </c>
      <c r="DC3639" s="5" t="s">
        <v>238</v>
      </c>
      <c r="DD3639" s="5" t="s">
        <v>238</v>
      </c>
      <c r="DE3639" s="8">
        <f>0</f>
        <v>0</v>
      </c>
      <c r="DG3639" s="5" t="s">
        <v>238</v>
      </c>
      <c r="DH3639" s="5" t="s">
        <v>238</v>
      </c>
      <c r="DI3639" s="5" t="s">
        <v>238</v>
      </c>
      <c r="DJ3639" s="5" t="s">
        <v>238</v>
      </c>
      <c r="DK3639" s="5" t="s">
        <v>238</v>
      </c>
      <c r="DL3639" s="5" t="s">
        <v>238</v>
      </c>
      <c r="DM3639" s="8" t="s">
        <v>238</v>
      </c>
      <c r="DN3639" s="5" t="s">
        <v>238</v>
      </c>
      <c r="DO3639" s="5" t="s">
        <v>238</v>
      </c>
      <c r="DP3639" s="5" t="s">
        <v>490</v>
      </c>
      <c r="DQ3639" s="5" t="s">
        <v>490</v>
      </c>
      <c r="DR3639" s="5" t="s">
        <v>238</v>
      </c>
      <c r="DS3639" s="5" t="s">
        <v>238</v>
      </c>
      <c r="DT3639" s="5" t="s">
        <v>500</v>
      </c>
      <c r="DU3639" s="5" t="s">
        <v>1211</v>
      </c>
      <c r="DV3639" s="5" t="s">
        <v>238</v>
      </c>
      <c r="DW3639" s="5" t="s">
        <v>238</v>
      </c>
      <c r="DX3639" s="5" t="s">
        <v>238</v>
      </c>
      <c r="DY3639" s="5" t="s">
        <v>238</v>
      </c>
      <c r="DZ3639" s="5" t="s">
        <v>238</v>
      </c>
      <c r="EA3639" s="5" t="s">
        <v>238</v>
      </c>
      <c r="EB3639" s="5" t="s">
        <v>238</v>
      </c>
      <c r="EC3639" s="5" t="s">
        <v>238</v>
      </c>
      <c r="ED3639" s="5" t="s">
        <v>238</v>
      </c>
      <c r="EE3639" s="5" t="s">
        <v>238</v>
      </c>
      <c r="EF3639" s="5" t="s">
        <v>238</v>
      </c>
      <c r="EG3639" s="5" t="s">
        <v>238</v>
      </c>
      <c r="EH3639" s="5" t="s">
        <v>238</v>
      </c>
      <c r="EI3639" s="5" t="s">
        <v>238</v>
      </c>
      <c r="EJ3639" s="5" t="s">
        <v>238</v>
      </c>
      <c r="EK3639" s="5" t="s">
        <v>238</v>
      </c>
      <c r="EL3639" s="5" t="s">
        <v>238</v>
      </c>
      <c r="EM3639" s="5" t="s">
        <v>238</v>
      </c>
      <c r="EN3639" s="5" t="s">
        <v>238</v>
      </c>
      <c r="EO3639" s="5" t="s">
        <v>238</v>
      </c>
      <c r="EP3639" s="5" t="s">
        <v>238</v>
      </c>
      <c r="EQ3639" s="5" t="s">
        <v>238</v>
      </c>
      <c r="ER3639" s="5" t="s">
        <v>238</v>
      </c>
      <c r="ES3639" s="5" t="s">
        <v>238</v>
      </c>
      <c r="ET3639" s="5" t="s">
        <v>238</v>
      </c>
      <c r="EU3639" s="5" t="s">
        <v>238</v>
      </c>
      <c r="EV3639" s="5" t="s">
        <v>238</v>
      </c>
      <c r="EW3639" s="5" t="s">
        <v>238</v>
      </c>
      <c r="EX3639" s="5" t="s">
        <v>238</v>
      </c>
      <c r="EY3639" s="5" t="s">
        <v>238</v>
      </c>
      <c r="EZ3639" s="5" t="s">
        <v>238</v>
      </c>
      <c r="FA3639" s="5" t="s">
        <v>238</v>
      </c>
      <c r="FB3639" s="5" t="s">
        <v>238</v>
      </c>
      <c r="FC3639" s="5" t="s">
        <v>238</v>
      </c>
      <c r="FD3639" s="5" t="s">
        <v>238</v>
      </c>
      <c r="FE3639" s="5" t="s">
        <v>238</v>
      </c>
      <c r="FF3639" s="5" t="s">
        <v>238</v>
      </c>
      <c r="FG3639" s="5" t="s">
        <v>238</v>
      </c>
      <c r="FH3639" s="5" t="s">
        <v>238</v>
      </c>
      <c r="FI3639" s="5" t="s">
        <v>238</v>
      </c>
      <c r="FJ3639" s="5" t="s">
        <v>238</v>
      </c>
      <c r="FK3639" s="5" t="s">
        <v>238</v>
      </c>
      <c r="FL3639" s="5" t="s">
        <v>238</v>
      </c>
      <c r="FM3639" s="5" t="s">
        <v>238</v>
      </c>
      <c r="FN3639" s="5" t="s">
        <v>238</v>
      </c>
      <c r="FO3639" s="5" t="s">
        <v>238</v>
      </c>
      <c r="FP3639" s="5" t="s">
        <v>238</v>
      </c>
      <c r="FQ3639" s="5" t="s">
        <v>238</v>
      </c>
      <c r="FR3639" s="5" t="s">
        <v>238</v>
      </c>
      <c r="FS3639" s="5" t="s">
        <v>238</v>
      </c>
      <c r="FT3639" s="5" t="s">
        <v>238</v>
      </c>
      <c r="FU3639" s="5" t="s">
        <v>238</v>
      </c>
      <c r="FV3639" s="5" t="s">
        <v>238</v>
      </c>
      <c r="FW3639" s="5" t="s">
        <v>238</v>
      </c>
      <c r="FX3639" s="5" t="s">
        <v>238</v>
      </c>
      <c r="FY3639" s="5" t="s">
        <v>238</v>
      </c>
      <c r="FZ3639" s="5" t="s">
        <v>238</v>
      </c>
      <c r="GA3639" s="5" t="s">
        <v>238</v>
      </c>
      <c r="GB3639" s="5" t="s">
        <v>238</v>
      </c>
      <c r="GC3639" s="5" t="s">
        <v>238</v>
      </c>
      <c r="GD3639" s="5" t="s">
        <v>238</v>
      </c>
      <c r="GE3639" s="5" t="s">
        <v>238</v>
      </c>
      <c r="GF3639" s="5" t="s">
        <v>238</v>
      </c>
      <c r="GG3639" s="5" t="s">
        <v>238</v>
      </c>
      <c r="GH3639" s="5" t="s">
        <v>238</v>
      </c>
      <c r="GI3639" s="5" t="s">
        <v>238</v>
      </c>
      <c r="GJ3639" s="5" t="s">
        <v>238</v>
      </c>
      <c r="GK3639" s="5" t="s">
        <v>238</v>
      </c>
      <c r="GL3639" s="5" t="s">
        <v>238</v>
      </c>
      <c r="GM3639" s="5" t="s">
        <v>238</v>
      </c>
      <c r="GN3639" s="5" t="s">
        <v>238</v>
      </c>
      <c r="GO3639" s="5" t="s">
        <v>238</v>
      </c>
      <c r="GP3639" s="5" t="s">
        <v>238</v>
      </c>
      <c r="GQ3639" s="5" t="s">
        <v>238</v>
      </c>
      <c r="GR3639" s="5" t="s">
        <v>238</v>
      </c>
      <c r="GS3639" s="5" t="s">
        <v>238</v>
      </c>
      <c r="GT3639" s="5" t="s">
        <v>238</v>
      </c>
      <c r="GU3639" s="5" t="s">
        <v>238</v>
      </c>
      <c r="GV3639" s="5" t="s">
        <v>238</v>
      </c>
      <c r="GW3639" s="5" t="s">
        <v>238</v>
      </c>
      <c r="GX3639" s="5" t="s">
        <v>238</v>
      </c>
      <c r="GY3639" s="5" t="s">
        <v>238</v>
      </c>
      <c r="GZ3639" s="5" t="s">
        <v>238</v>
      </c>
      <c r="HA3639" s="5" t="s">
        <v>238</v>
      </c>
      <c r="HB3639" s="5" t="s">
        <v>238</v>
      </c>
      <c r="HC3639" s="5" t="s">
        <v>238</v>
      </c>
      <c r="HD3639" s="5" t="s">
        <v>238</v>
      </c>
      <c r="HE3639" s="5" t="s">
        <v>238</v>
      </c>
      <c r="HF3639" s="5" t="s">
        <v>238</v>
      </c>
      <c r="HG3639" s="5" t="s">
        <v>238</v>
      </c>
      <c r="HH3639" s="5" t="s">
        <v>238</v>
      </c>
      <c r="HI3639" s="5" t="s">
        <v>238</v>
      </c>
      <c r="HJ3639" s="5" t="s">
        <v>238</v>
      </c>
      <c r="HK3639" s="5" t="s">
        <v>238</v>
      </c>
      <c r="HL3639" s="5" t="s">
        <v>238</v>
      </c>
      <c r="HM3639" s="5" t="s">
        <v>264</v>
      </c>
      <c r="HN3639" s="5" t="s">
        <v>238</v>
      </c>
      <c r="HO3639" s="5" t="s">
        <v>238</v>
      </c>
      <c r="HP3639" s="5" t="s">
        <v>238</v>
      </c>
      <c r="HQ3639" s="5" t="s">
        <v>238</v>
      </c>
      <c r="HR3639" s="5" t="s">
        <v>238</v>
      </c>
      <c r="HS3639" s="5" t="s">
        <v>238</v>
      </c>
      <c r="HT3639" s="5" t="s">
        <v>238</v>
      </c>
      <c r="HU3639" s="5" t="s">
        <v>238</v>
      </c>
      <c r="HV3639" s="5" t="s">
        <v>238</v>
      </c>
      <c r="HW3639" s="5" t="s">
        <v>238</v>
      </c>
      <c r="HX3639" s="5" t="s">
        <v>238</v>
      </c>
      <c r="HY3639" s="5" t="s">
        <v>238</v>
      </c>
      <c r="HZ3639" s="5" t="s">
        <v>238</v>
      </c>
      <c r="IA3639" s="5" t="s">
        <v>238</v>
      </c>
      <c r="IB3639" s="5" t="s">
        <v>238</v>
      </c>
      <c r="IC3639" s="5" t="s">
        <v>238</v>
      </c>
      <c r="ID3639" s="5" t="s">
        <v>238</v>
      </c>
    </row>
    <row r="3640" spans="1:238" x14ac:dyDescent="0.4">
      <c r="A3640" s="5">
        <v>9358</v>
      </c>
      <c r="B3640" s="5">
        <v>1</v>
      </c>
      <c r="C3640" s="5">
        <v>1</v>
      </c>
      <c r="D3640" s="5" t="s">
        <v>484</v>
      </c>
      <c r="E3640" s="5" t="s">
        <v>485</v>
      </c>
      <c r="F3640" s="5" t="s">
        <v>248</v>
      </c>
      <c r="G3640" s="5" t="s">
        <v>4376</v>
      </c>
      <c r="H3640" s="6" t="s">
        <v>4378</v>
      </c>
      <c r="I3640" s="8">
        <f>1</f>
        <v>1</v>
      </c>
      <c r="J3640" s="5" t="s">
        <v>499</v>
      </c>
      <c r="K3640" s="8">
        <f>1</f>
        <v>1</v>
      </c>
      <c r="L3640" s="6" t="s">
        <v>242</v>
      </c>
      <c r="M3640" s="5" t="s">
        <v>267</v>
      </c>
      <c r="N3640" s="5" t="s">
        <v>482</v>
      </c>
      <c r="O3640" s="5" t="s">
        <v>238</v>
      </c>
      <c r="P3640" s="5" t="s">
        <v>238</v>
      </c>
      <c r="Q3640" s="5" t="s">
        <v>239</v>
      </c>
      <c r="R3640" s="5" t="s">
        <v>270</v>
      </c>
      <c r="S3640" s="5" t="s">
        <v>238</v>
      </c>
      <c r="T3640" s="5" t="s">
        <v>238</v>
      </c>
      <c r="U3640" s="5" t="s">
        <v>238</v>
      </c>
      <c r="V3640" s="5" t="s">
        <v>238</v>
      </c>
      <c r="W3640" s="6" t="s">
        <v>238</v>
      </c>
      <c r="X3640" s="6" t="s">
        <v>238</v>
      </c>
      <c r="Y3640" s="5" t="s">
        <v>238</v>
      </c>
      <c r="Z3640" s="6" t="s">
        <v>238</v>
      </c>
      <c r="AA3640" s="6" t="s">
        <v>243</v>
      </c>
      <c r="AB3640" s="5" t="s">
        <v>4377</v>
      </c>
      <c r="AC3640" s="5" t="s">
        <v>244</v>
      </c>
      <c r="AD3640" s="5" t="s">
        <v>245</v>
      </c>
      <c r="AE3640" s="5" t="s">
        <v>238</v>
      </c>
      <c r="AF3640" s="5" t="s">
        <v>238</v>
      </c>
      <c r="AG3640" s="5" t="s">
        <v>238</v>
      </c>
      <c r="AH3640" s="5" t="s">
        <v>238</v>
      </c>
      <c r="AI3640" s="5" t="s">
        <v>238</v>
      </c>
      <c r="AJ3640" s="5" t="s">
        <v>238</v>
      </c>
      <c r="AK3640" s="5" t="s">
        <v>238</v>
      </c>
      <c r="AL3640" s="5" t="s">
        <v>238</v>
      </c>
      <c r="AM3640" s="6" t="s">
        <v>238</v>
      </c>
      <c r="AN3640" s="6" t="s">
        <v>238</v>
      </c>
      <c r="AO3640" s="6" t="s">
        <v>238</v>
      </c>
      <c r="AP3640" s="6" t="s">
        <v>238</v>
      </c>
      <c r="AQ3640" s="5" t="s">
        <v>238</v>
      </c>
      <c r="AR3640" s="5" t="s">
        <v>488</v>
      </c>
      <c r="AS3640" s="5" t="s">
        <v>488</v>
      </c>
      <c r="AT3640" s="5" t="s">
        <v>246</v>
      </c>
      <c r="AU3640" s="5" t="s">
        <v>489</v>
      </c>
      <c r="AV3640" s="5" t="s">
        <v>247</v>
      </c>
      <c r="AW3640" s="5" t="s">
        <v>238</v>
      </c>
      <c r="AX3640" s="5" t="s">
        <v>249</v>
      </c>
      <c r="AY3640" s="5" t="s">
        <v>490</v>
      </c>
      <c r="BA3640" s="5" t="s">
        <v>238</v>
      </c>
      <c r="BC3640" s="5" t="s">
        <v>491</v>
      </c>
      <c r="BD3640" s="6" t="s">
        <v>492</v>
      </c>
      <c r="BE3640" s="5" t="s">
        <v>493</v>
      </c>
      <c r="BF3640" s="5" t="s">
        <v>493</v>
      </c>
      <c r="BG3640" s="5" t="s">
        <v>238</v>
      </c>
      <c r="BH3640" s="8">
        <f>1</f>
        <v>1</v>
      </c>
      <c r="BI3640" s="8">
        <f>1</f>
        <v>1</v>
      </c>
      <c r="BJ3640" s="5" t="s">
        <v>253</v>
      </c>
      <c r="BK3640" s="5" t="s">
        <v>254</v>
      </c>
      <c r="BL3640" s="5" t="s">
        <v>238</v>
      </c>
      <c r="BM3640" s="5" t="s">
        <v>238</v>
      </c>
      <c r="BN3640" s="5" t="s">
        <v>238</v>
      </c>
      <c r="BO3640" s="5" t="s">
        <v>238</v>
      </c>
      <c r="BP3640" s="5" t="s">
        <v>238</v>
      </c>
      <c r="BQ3640" s="5" t="s">
        <v>238</v>
      </c>
      <c r="BR3640" s="5" t="s">
        <v>238</v>
      </c>
      <c r="BS3640" s="5" t="s">
        <v>238</v>
      </c>
      <c r="BT3640" s="6" t="s">
        <v>238</v>
      </c>
      <c r="BU3640" s="5" t="s">
        <v>238</v>
      </c>
      <c r="BV3640" s="5" t="s">
        <v>238</v>
      </c>
      <c r="BW3640" s="5" t="s">
        <v>238</v>
      </c>
      <c r="BX3640" s="5" t="s">
        <v>254</v>
      </c>
      <c r="BY3640" s="5" t="s">
        <v>238</v>
      </c>
      <c r="BZ3640" s="5" t="s">
        <v>238</v>
      </c>
      <c r="CA3640" s="5" t="s">
        <v>238</v>
      </c>
      <c r="CB3640" s="5" t="s">
        <v>238</v>
      </c>
      <c r="CC3640" s="5" t="s">
        <v>238</v>
      </c>
      <c r="CD3640" s="5" t="s">
        <v>273</v>
      </c>
      <c r="CE3640" s="5" t="s">
        <v>256</v>
      </c>
      <c r="CF3640" s="5" t="s">
        <v>238</v>
      </c>
      <c r="CH3640" s="5" t="s">
        <v>494</v>
      </c>
      <c r="CI3640" s="6" t="s">
        <v>257</v>
      </c>
      <c r="CJ3640" s="5" t="s">
        <v>495</v>
      </c>
      <c r="CK3640" s="5" t="s">
        <v>258</v>
      </c>
      <c r="CL3640" s="5" t="s">
        <v>496</v>
      </c>
      <c r="CM3640" s="5" t="s">
        <v>238</v>
      </c>
      <c r="CN3640" s="5">
        <v>0</v>
      </c>
      <c r="CO3640" s="5" t="s">
        <v>497</v>
      </c>
      <c r="CP3640" s="5" t="s">
        <v>260</v>
      </c>
      <c r="CQ3640" s="5" t="s">
        <v>260</v>
      </c>
      <c r="CR3640" s="5" t="s">
        <v>261</v>
      </c>
      <c r="CS3640" s="5" t="s">
        <v>498</v>
      </c>
      <c r="CT3640" s="7">
        <f>1</f>
        <v>1</v>
      </c>
      <c r="CU3640" s="8">
        <f>1</f>
        <v>1</v>
      </c>
      <c r="CV3640" s="8">
        <f>0</f>
        <v>0</v>
      </c>
      <c r="CX3640" s="8">
        <f>1</f>
        <v>1</v>
      </c>
      <c r="CY3640" s="8">
        <f>1</f>
        <v>1</v>
      </c>
      <c r="CZ3640" s="8" t="s">
        <v>238</v>
      </c>
      <c r="DA3640" s="5" t="s">
        <v>238</v>
      </c>
      <c r="DB3640" s="5" t="s">
        <v>238</v>
      </c>
      <c r="DC3640" s="5" t="s">
        <v>238</v>
      </c>
      <c r="DD3640" s="5" t="s">
        <v>238</v>
      </c>
      <c r="DE3640" s="8">
        <f>0</f>
        <v>0</v>
      </c>
      <c r="DG3640" s="5" t="s">
        <v>238</v>
      </c>
      <c r="DH3640" s="5" t="s">
        <v>238</v>
      </c>
      <c r="DI3640" s="5" t="s">
        <v>238</v>
      </c>
      <c r="DJ3640" s="5" t="s">
        <v>238</v>
      </c>
      <c r="DK3640" s="5" t="s">
        <v>238</v>
      </c>
      <c r="DL3640" s="5" t="s">
        <v>238</v>
      </c>
      <c r="DM3640" s="8" t="s">
        <v>238</v>
      </c>
      <c r="DN3640" s="5" t="s">
        <v>238</v>
      </c>
      <c r="DO3640" s="5" t="s">
        <v>238</v>
      </c>
      <c r="DP3640" s="5" t="s">
        <v>490</v>
      </c>
      <c r="DQ3640" s="5" t="s">
        <v>490</v>
      </c>
      <c r="DR3640" s="5" t="s">
        <v>238</v>
      </c>
      <c r="DS3640" s="5" t="s">
        <v>238</v>
      </c>
      <c r="DT3640" s="5" t="s">
        <v>500</v>
      </c>
      <c r="DU3640" s="5" t="s">
        <v>1228</v>
      </c>
      <c r="DV3640" s="5" t="s">
        <v>238</v>
      </c>
      <c r="DW3640" s="5" t="s">
        <v>238</v>
      </c>
      <c r="DX3640" s="5" t="s">
        <v>238</v>
      </c>
      <c r="DY3640" s="5" t="s">
        <v>238</v>
      </c>
      <c r="DZ3640" s="5" t="s">
        <v>238</v>
      </c>
      <c r="EA3640" s="5" t="s">
        <v>238</v>
      </c>
      <c r="EB3640" s="5" t="s">
        <v>238</v>
      </c>
      <c r="EC3640" s="5" t="s">
        <v>238</v>
      </c>
      <c r="ED3640" s="5" t="s">
        <v>238</v>
      </c>
      <c r="EE3640" s="5" t="s">
        <v>238</v>
      </c>
      <c r="EF3640" s="5" t="s">
        <v>238</v>
      </c>
      <c r="EG3640" s="5" t="s">
        <v>238</v>
      </c>
      <c r="EH3640" s="5" t="s">
        <v>238</v>
      </c>
      <c r="EI3640" s="5" t="s">
        <v>238</v>
      </c>
      <c r="EJ3640" s="5" t="s">
        <v>238</v>
      </c>
      <c r="EK3640" s="5" t="s">
        <v>238</v>
      </c>
      <c r="EL3640" s="5" t="s">
        <v>238</v>
      </c>
      <c r="EM3640" s="5" t="s">
        <v>238</v>
      </c>
      <c r="EN3640" s="5" t="s">
        <v>238</v>
      </c>
      <c r="EO3640" s="5" t="s">
        <v>238</v>
      </c>
      <c r="EP3640" s="5" t="s">
        <v>238</v>
      </c>
      <c r="EQ3640" s="5" t="s">
        <v>238</v>
      </c>
      <c r="ER3640" s="5" t="s">
        <v>238</v>
      </c>
      <c r="ES3640" s="5" t="s">
        <v>238</v>
      </c>
      <c r="ET3640" s="5" t="s">
        <v>238</v>
      </c>
      <c r="EU3640" s="5" t="s">
        <v>238</v>
      </c>
      <c r="EV3640" s="5" t="s">
        <v>238</v>
      </c>
      <c r="EW3640" s="5" t="s">
        <v>238</v>
      </c>
      <c r="EX3640" s="5" t="s">
        <v>238</v>
      </c>
      <c r="EY3640" s="5" t="s">
        <v>238</v>
      </c>
      <c r="EZ3640" s="5" t="s">
        <v>238</v>
      </c>
      <c r="FA3640" s="5" t="s">
        <v>238</v>
      </c>
      <c r="FB3640" s="5" t="s">
        <v>238</v>
      </c>
      <c r="FC3640" s="5" t="s">
        <v>238</v>
      </c>
      <c r="FD3640" s="5" t="s">
        <v>238</v>
      </c>
      <c r="FE3640" s="5" t="s">
        <v>238</v>
      </c>
      <c r="FF3640" s="5" t="s">
        <v>238</v>
      </c>
      <c r="FG3640" s="5" t="s">
        <v>238</v>
      </c>
      <c r="FH3640" s="5" t="s">
        <v>238</v>
      </c>
      <c r="FI3640" s="5" t="s">
        <v>238</v>
      </c>
      <c r="FJ3640" s="5" t="s">
        <v>238</v>
      </c>
      <c r="FK3640" s="5" t="s">
        <v>238</v>
      </c>
      <c r="FL3640" s="5" t="s">
        <v>238</v>
      </c>
      <c r="FM3640" s="5" t="s">
        <v>238</v>
      </c>
      <c r="FN3640" s="5" t="s">
        <v>238</v>
      </c>
      <c r="FO3640" s="5" t="s">
        <v>238</v>
      </c>
      <c r="FP3640" s="5" t="s">
        <v>238</v>
      </c>
      <c r="FQ3640" s="5" t="s">
        <v>238</v>
      </c>
      <c r="FR3640" s="5" t="s">
        <v>238</v>
      </c>
      <c r="FS3640" s="5" t="s">
        <v>238</v>
      </c>
      <c r="FT3640" s="5" t="s">
        <v>238</v>
      </c>
      <c r="FU3640" s="5" t="s">
        <v>238</v>
      </c>
      <c r="FV3640" s="5" t="s">
        <v>238</v>
      </c>
      <c r="FW3640" s="5" t="s">
        <v>238</v>
      </c>
      <c r="FX3640" s="5" t="s">
        <v>238</v>
      </c>
      <c r="FY3640" s="5" t="s">
        <v>238</v>
      </c>
      <c r="FZ3640" s="5" t="s">
        <v>238</v>
      </c>
      <c r="GA3640" s="5" t="s">
        <v>238</v>
      </c>
      <c r="GB3640" s="5" t="s">
        <v>238</v>
      </c>
      <c r="GC3640" s="5" t="s">
        <v>238</v>
      </c>
      <c r="GD3640" s="5" t="s">
        <v>238</v>
      </c>
      <c r="GE3640" s="5" t="s">
        <v>238</v>
      </c>
      <c r="GF3640" s="5" t="s">
        <v>238</v>
      </c>
      <c r="GG3640" s="5" t="s">
        <v>238</v>
      </c>
      <c r="GH3640" s="5" t="s">
        <v>238</v>
      </c>
      <c r="GI3640" s="5" t="s">
        <v>238</v>
      </c>
      <c r="GJ3640" s="5" t="s">
        <v>238</v>
      </c>
      <c r="GK3640" s="5" t="s">
        <v>238</v>
      </c>
      <c r="GL3640" s="5" t="s">
        <v>238</v>
      </c>
      <c r="GM3640" s="5" t="s">
        <v>238</v>
      </c>
      <c r="GN3640" s="5" t="s">
        <v>238</v>
      </c>
      <c r="GO3640" s="5" t="s">
        <v>238</v>
      </c>
      <c r="GP3640" s="5" t="s">
        <v>238</v>
      </c>
      <c r="GQ3640" s="5" t="s">
        <v>238</v>
      </c>
      <c r="GR3640" s="5" t="s">
        <v>238</v>
      </c>
      <c r="GS3640" s="5" t="s">
        <v>238</v>
      </c>
      <c r="GT3640" s="5" t="s">
        <v>238</v>
      </c>
      <c r="GU3640" s="5" t="s">
        <v>238</v>
      </c>
      <c r="GV3640" s="5" t="s">
        <v>238</v>
      </c>
      <c r="GW3640" s="5" t="s">
        <v>238</v>
      </c>
      <c r="GX3640" s="5" t="s">
        <v>238</v>
      </c>
      <c r="GY3640" s="5" t="s">
        <v>238</v>
      </c>
      <c r="GZ3640" s="5" t="s">
        <v>238</v>
      </c>
      <c r="HA3640" s="5" t="s">
        <v>238</v>
      </c>
      <c r="HB3640" s="5" t="s">
        <v>238</v>
      </c>
      <c r="HC3640" s="5" t="s">
        <v>238</v>
      </c>
      <c r="HD3640" s="5" t="s">
        <v>238</v>
      </c>
      <c r="HE3640" s="5" t="s">
        <v>238</v>
      </c>
      <c r="HF3640" s="5" t="s">
        <v>238</v>
      </c>
      <c r="HG3640" s="5" t="s">
        <v>238</v>
      </c>
      <c r="HH3640" s="5" t="s">
        <v>238</v>
      </c>
      <c r="HI3640" s="5" t="s">
        <v>238</v>
      </c>
      <c r="HJ3640" s="5" t="s">
        <v>238</v>
      </c>
      <c r="HK3640" s="5" t="s">
        <v>238</v>
      </c>
      <c r="HL3640" s="5" t="s">
        <v>238</v>
      </c>
      <c r="HM3640" s="5" t="s">
        <v>264</v>
      </c>
      <c r="HN3640" s="5" t="s">
        <v>238</v>
      </c>
      <c r="HO3640" s="5" t="s">
        <v>238</v>
      </c>
      <c r="HP3640" s="5" t="s">
        <v>238</v>
      </c>
      <c r="HQ3640" s="5" t="s">
        <v>238</v>
      </c>
      <c r="HR3640" s="5" t="s">
        <v>238</v>
      </c>
      <c r="HS3640" s="5" t="s">
        <v>238</v>
      </c>
      <c r="HT3640" s="5" t="s">
        <v>238</v>
      </c>
      <c r="HU3640" s="5" t="s">
        <v>238</v>
      </c>
      <c r="HV3640" s="5" t="s">
        <v>238</v>
      </c>
      <c r="HW3640" s="5" t="s">
        <v>238</v>
      </c>
      <c r="HX3640" s="5" t="s">
        <v>238</v>
      </c>
      <c r="HY3640" s="5" t="s">
        <v>238</v>
      </c>
      <c r="HZ3640" s="5" t="s">
        <v>238</v>
      </c>
      <c r="IA3640" s="5" t="s">
        <v>238</v>
      </c>
      <c r="IB3640" s="5" t="s">
        <v>238</v>
      </c>
      <c r="IC3640" s="5" t="s">
        <v>238</v>
      </c>
      <c r="ID3640" s="5" t="s">
        <v>238</v>
      </c>
    </row>
    <row r="3641" spans="1:238" x14ac:dyDescent="0.4">
      <c r="A3641" s="5">
        <v>9359</v>
      </c>
      <c r="B3641" s="5">
        <v>1</v>
      </c>
      <c r="C3641" s="5">
        <v>1</v>
      </c>
      <c r="D3641" s="5" t="s">
        <v>484</v>
      </c>
      <c r="E3641" s="5" t="s">
        <v>485</v>
      </c>
      <c r="F3641" s="5" t="s">
        <v>248</v>
      </c>
      <c r="G3641" s="5" t="s">
        <v>4398</v>
      </c>
      <c r="H3641" s="6" t="s">
        <v>4399</v>
      </c>
      <c r="I3641" s="8">
        <f>1</f>
        <v>1</v>
      </c>
      <c r="J3641" s="5" t="s">
        <v>499</v>
      </c>
      <c r="K3641" s="8">
        <f>1</f>
        <v>1</v>
      </c>
      <c r="L3641" s="6" t="s">
        <v>242</v>
      </c>
      <c r="M3641" s="5" t="s">
        <v>267</v>
      </c>
      <c r="N3641" s="5" t="s">
        <v>482</v>
      </c>
      <c r="O3641" s="5" t="s">
        <v>238</v>
      </c>
      <c r="P3641" s="5" t="s">
        <v>238</v>
      </c>
      <c r="Q3641" s="5" t="s">
        <v>239</v>
      </c>
      <c r="R3641" s="5" t="s">
        <v>270</v>
      </c>
      <c r="S3641" s="5" t="s">
        <v>238</v>
      </c>
      <c r="T3641" s="5" t="s">
        <v>238</v>
      </c>
      <c r="U3641" s="5" t="s">
        <v>238</v>
      </c>
      <c r="V3641" s="5" t="s">
        <v>238</v>
      </c>
      <c r="W3641" s="6" t="s">
        <v>238</v>
      </c>
      <c r="X3641" s="6" t="s">
        <v>238</v>
      </c>
      <c r="Y3641" s="5" t="s">
        <v>238</v>
      </c>
      <c r="Z3641" s="6" t="s">
        <v>238</v>
      </c>
      <c r="AA3641" s="6" t="s">
        <v>243</v>
      </c>
      <c r="AB3641" s="5" t="s">
        <v>486</v>
      </c>
      <c r="AC3641" s="5" t="s">
        <v>244</v>
      </c>
      <c r="AD3641" s="5" t="s">
        <v>245</v>
      </c>
      <c r="AE3641" s="5" t="s">
        <v>238</v>
      </c>
      <c r="AF3641" s="5" t="s">
        <v>238</v>
      </c>
      <c r="AG3641" s="5" t="s">
        <v>238</v>
      </c>
      <c r="AH3641" s="5" t="s">
        <v>238</v>
      </c>
      <c r="AI3641" s="5" t="s">
        <v>238</v>
      </c>
      <c r="AJ3641" s="5" t="s">
        <v>238</v>
      </c>
      <c r="AK3641" s="5" t="s">
        <v>238</v>
      </c>
      <c r="AL3641" s="5" t="s">
        <v>238</v>
      </c>
      <c r="AM3641" s="6" t="s">
        <v>238</v>
      </c>
      <c r="AN3641" s="6" t="s">
        <v>238</v>
      </c>
      <c r="AO3641" s="6" t="s">
        <v>238</v>
      </c>
      <c r="AP3641" s="6" t="s">
        <v>238</v>
      </c>
      <c r="AQ3641" s="5" t="s">
        <v>238</v>
      </c>
      <c r="AR3641" s="5" t="s">
        <v>488</v>
      </c>
      <c r="AS3641" s="5" t="s">
        <v>488</v>
      </c>
      <c r="AT3641" s="5" t="s">
        <v>246</v>
      </c>
      <c r="AU3641" s="5" t="s">
        <v>489</v>
      </c>
      <c r="AV3641" s="5" t="s">
        <v>247</v>
      </c>
      <c r="AW3641" s="5" t="s">
        <v>238</v>
      </c>
      <c r="AX3641" s="5" t="s">
        <v>249</v>
      </c>
      <c r="AY3641" s="5" t="s">
        <v>490</v>
      </c>
      <c r="BA3641" s="5" t="s">
        <v>238</v>
      </c>
      <c r="BC3641" s="5" t="s">
        <v>491</v>
      </c>
      <c r="BD3641" s="6" t="s">
        <v>492</v>
      </c>
      <c r="BE3641" s="5" t="s">
        <v>493</v>
      </c>
      <c r="BF3641" s="5" t="s">
        <v>493</v>
      </c>
      <c r="BG3641" s="5" t="s">
        <v>238</v>
      </c>
      <c r="BH3641" s="8">
        <f>1</f>
        <v>1</v>
      </c>
      <c r="BI3641" s="8">
        <f>1</f>
        <v>1</v>
      </c>
      <c r="BJ3641" s="5" t="s">
        <v>253</v>
      </c>
      <c r="BK3641" s="5" t="s">
        <v>254</v>
      </c>
      <c r="BL3641" s="5" t="s">
        <v>238</v>
      </c>
      <c r="BM3641" s="5" t="s">
        <v>238</v>
      </c>
      <c r="BN3641" s="5" t="s">
        <v>238</v>
      </c>
      <c r="BO3641" s="5" t="s">
        <v>238</v>
      </c>
      <c r="BP3641" s="5" t="s">
        <v>238</v>
      </c>
      <c r="BQ3641" s="5" t="s">
        <v>238</v>
      </c>
      <c r="BR3641" s="5" t="s">
        <v>238</v>
      </c>
      <c r="BS3641" s="5" t="s">
        <v>238</v>
      </c>
      <c r="BT3641" s="6" t="s">
        <v>238</v>
      </c>
      <c r="BU3641" s="5" t="s">
        <v>238</v>
      </c>
      <c r="BV3641" s="5" t="s">
        <v>238</v>
      </c>
      <c r="BW3641" s="5" t="s">
        <v>238</v>
      </c>
      <c r="BX3641" s="5" t="s">
        <v>254</v>
      </c>
      <c r="BY3641" s="5" t="s">
        <v>238</v>
      </c>
      <c r="BZ3641" s="5" t="s">
        <v>238</v>
      </c>
      <c r="CA3641" s="5" t="s">
        <v>238</v>
      </c>
      <c r="CB3641" s="5" t="s">
        <v>238</v>
      </c>
      <c r="CC3641" s="5" t="s">
        <v>238</v>
      </c>
      <c r="CD3641" s="5" t="s">
        <v>273</v>
      </c>
      <c r="CE3641" s="5" t="s">
        <v>256</v>
      </c>
      <c r="CF3641" s="5" t="s">
        <v>238</v>
      </c>
      <c r="CH3641" s="5" t="s">
        <v>494</v>
      </c>
      <c r="CI3641" s="6" t="s">
        <v>257</v>
      </c>
      <c r="CJ3641" s="5" t="s">
        <v>495</v>
      </c>
      <c r="CK3641" s="5" t="s">
        <v>258</v>
      </c>
      <c r="CL3641" s="5" t="s">
        <v>496</v>
      </c>
      <c r="CM3641" s="5" t="s">
        <v>238</v>
      </c>
      <c r="CN3641" s="5">
        <v>0</v>
      </c>
      <c r="CO3641" s="5" t="s">
        <v>497</v>
      </c>
      <c r="CP3641" s="5" t="s">
        <v>260</v>
      </c>
      <c r="CQ3641" s="5" t="s">
        <v>260</v>
      </c>
      <c r="CR3641" s="5" t="s">
        <v>261</v>
      </c>
      <c r="CS3641" s="5" t="s">
        <v>498</v>
      </c>
      <c r="CT3641" s="7">
        <f>1</f>
        <v>1</v>
      </c>
      <c r="CU3641" s="8">
        <f>1</f>
        <v>1</v>
      </c>
      <c r="CV3641" s="8">
        <f>0</f>
        <v>0</v>
      </c>
      <c r="CX3641" s="8">
        <f>1</f>
        <v>1</v>
      </c>
      <c r="CY3641" s="8">
        <f>1</f>
        <v>1</v>
      </c>
      <c r="CZ3641" s="8" t="s">
        <v>238</v>
      </c>
      <c r="DA3641" s="5" t="s">
        <v>238</v>
      </c>
      <c r="DB3641" s="5" t="s">
        <v>238</v>
      </c>
      <c r="DC3641" s="5" t="s">
        <v>238</v>
      </c>
      <c r="DD3641" s="5" t="s">
        <v>238</v>
      </c>
      <c r="DE3641" s="8">
        <f>0</f>
        <v>0</v>
      </c>
      <c r="DG3641" s="5" t="s">
        <v>238</v>
      </c>
      <c r="DH3641" s="5" t="s">
        <v>238</v>
      </c>
      <c r="DI3641" s="5" t="s">
        <v>238</v>
      </c>
      <c r="DJ3641" s="5" t="s">
        <v>238</v>
      </c>
      <c r="DK3641" s="5" t="s">
        <v>238</v>
      </c>
      <c r="DL3641" s="5" t="s">
        <v>238</v>
      </c>
      <c r="DM3641" s="8" t="s">
        <v>238</v>
      </c>
      <c r="DN3641" s="5" t="s">
        <v>238</v>
      </c>
      <c r="DO3641" s="5" t="s">
        <v>238</v>
      </c>
      <c r="DP3641" s="5" t="s">
        <v>490</v>
      </c>
      <c r="DQ3641" s="5" t="s">
        <v>490</v>
      </c>
      <c r="DR3641" s="5" t="s">
        <v>238</v>
      </c>
      <c r="DS3641" s="5" t="s">
        <v>238</v>
      </c>
      <c r="DT3641" s="5" t="s">
        <v>500</v>
      </c>
      <c r="DU3641" s="5" t="s">
        <v>1245</v>
      </c>
      <c r="DV3641" s="5" t="s">
        <v>238</v>
      </c>
      <c r="DW3641" s="5" t="s">
        <v>238</v>
      </c>
      <c r="DX3641" s="5" t="s">
        <v>238</v>
      </c>
      <c r="DY3641" s="5" t="s">
        <v>238</v>
      </c>
      <c r="DZ3641" s="5" t="s">
        <v>238</v>
      </c>
      <c r="EA3641" s="5" t="s">
        <v>238</v>
      </c>
      <c r="EB3641" s="5" t="s">
        <v>238</v>
      </c>
      <c r="EC3641" s="5" t="s">
        <v>238</v>
      </c>
      <c r="ED3641" s="5" t="s">
        <v>238</v>
      </c>
      <c r="EE3641" s="5" t="s">
        <v>238</v>
      </c>
      <c r="EF3641" s="5" t="s">
        <v>238</v>
      </c>
      <c r="EG3641" s="5" t="s">
        <v>238</v>
      </c>
      <c r="EH3641" s="5" t="s">
        <v>238</v>
      </c>
      <c r="EI3641" s="5" t="s">
        <v>238</v>
      </c>
      <c r="EJ3641" s="5" t="s">
        <v>238</v>
      </c>
      <c r="EK3641" s="5" t="s">
        <v>238</v>
      </c>
      <c r="EL3641" s="5" t="s">
        <v>238</v>
      </c>
      <c r="EM3641" s="5" t="s">
        <v>238</v>
      </c>
      <c r="EN3641" s="5" t="s">
        <v>238</v>
      </c>
      <c r="EO3641" s="5" t="s">
        <v>238</v>
      </c>
      <c r="EP3641" s="5" t="s">
        <v>238</v>
      </c>
      <c r="EQ3641" s="5" t="s">
        <v>238</v>
      </c>
      <c r="ER3641" s="5" t="s">
        <v>238</v>
      </c>
      <c r="ES3641" s="5" t="s">
        <v>238</v>
      </c>
      <c r="ET3641" s="5" t="s">
        <v>238</v>
      </c>
      <c r="EU3641" s="5" t="s">
        <v>238</v>
      </c>
      <c r="EV3641" s="5" t="s">
        <v>238</v>
      </c>
      <c r="EW3641" s="5" t="s">
        <v>238</v>
      </c>
      <c r="EX3641" s="5" t="s">
        <v>238</v>
      </c>
      <c r="EY3641" s="5" t="s">
        <v>238</v>
      </c>
      <c r="EZ3641" s="5" t="s">
        <v>238</v>
      </c>
      <c r="FA3641" s="5" t="s">
        <v>238</v>
      </c>
      <c r="FB3641" s="5" t="s">
        <v>238</v>
      </c>
      <c r="FC3641" s="5" t="s">
        <v>238</v>
      </c>
      <c r="FD3641" s="5" t="s">
        <v>238</v>
      </c>
      <c r="FE3641" s="5" t="s">
        <v>238</v>
      </c>
      <c r="FF3641" s="5" t="s">
        <v>238</v>
      </c>
      <c r="FG3641" s="5" t="s">
        <v>238</v>
      </c>
      <c r="FH3641" s="5" t="s">
        <v>238</v>
      </c>
      <c r="FI3641" s="5" t="s">
        <v>238</v>
      </c>
      <c r="FJ3641" s="5" t="s">
        <v>238</v>
      </c>
      <c r="FK3641" s="5" t="s">
        <v>238</v>
      </c>
      <c r="FL3641" s="5" t="s">
        <v>238</v>
      </c>
      <c r="FM3641" s="5" t="s">
        <v>238</v>
      </c>
      <c r="FN3641" s="5" t="s">
        <v>238</v>
      </c>
      <c r="FO3641" s="5" t="s">
        <v>238</v>
      </c>
      <c r="FP3641" s="5" t="s">
        <v>238</v>
      </c>
      <c r="FQ3641" s="5" t="s">
        <v>238</v>
      </c>
      <c r="FR3641" s="5" t="s">
        <v>238</v>
      </c>
      <c r="FS3641" s="5" t="s">
        <v>238</v>
      </c>
      <c r="FT3641" s="5" t="s">
        <v>238</v>
      </c>
      <c r="FU3641" s="5" t="s">
        <v>238</v>
      </c>
      <c r="FV3641" s="5" t="s">
        <v>238</v>
      </c>
      <c r="FW3641" s="5" t="s">
        <v>238</v>
      </c>
      <c r="FX3641" s="5" t="s">
        <v>238</v>
      </c>
      <c r="FY3641" s="5" t="s">
        <v>238</v>
      </c>
      <c r="FZ3641" s="5" t="s">
        <v>238</v>
      </c>
      <c r="GA3641" s="5" t="s">
        <v>238</v>
      </c>
      <c r="GB3641" s="5" t="s">
        <v>238</v>
      </c>
      <c r="GC3641" s="5" t="s">
        <v>238</v>
      </c>
      <c r="GD3641" s="5" t="s">
        <v>238</v>
      </c>
      <c r="GE3641" s="5" t="s">
        <v>238</v>
      </c>
      <c r="GF3641" s="5" t="s">
        <v>238</v>
      </c>
      <c r="GG3641" s="5" t="s">
        <v>238</v>
      </c>
      <c r="GH3641" s="5" t="s">
        <v>238</v>
      </c>
      <c r="GI3641" s="5" t="s">
        <v>238</v>
      </c>
      <c r="GJ3641" s="5" t="s">
        <v>238</v>
      </c>
      <c r="GK3641" s="5" t="s">
        <v>238</v>
      </c>
      <c r="GL3641" s="5" t="s">
        <v>238</v>
      </c>
      <c r="GM3641" s="5" t="s">
        <v>238</v>
      </c>
      <c r="GN3641" s="5" t="s">
        <v>238</v>
      </c>
      <c r="GO3641" s="5" t="s">
        <v>238</v>
      </c>
      <c r="GP3641" s="5" t="s">
        <v>238</v>
      </c>
      <c r="GQ3641" s="5" t="s">
        <v>238</v>
      </c>
      <c r="GR3641" s="5" t="s">
        <v>238</v>
      </c>
      <c r="GS3641" s="5" t="s">
        <v>238</v>
      </c>
      <c r="GT3641" s="5" t="s">
        <v>238</v>
      </c>
      <c r="GU3641" s="5" t="s">
        <v>238</v>
      </c>
      <c r="GV3641" s="5" t="s">
        <v>238</v>
      </c>
      <c r="GW3641" s="5" t="s">
        <v>238</v>
      </c>
      <c r="GX3641" s="5" t="s">
        <v>238</v>
      </c>
      <c r="GY3641" s="5" t="s">
        <v>238</v>
      </c>
      <c r="GZ3641" s="5" t="s">
        <v>238</v>
      </c>
      <c r="HA3641" s="5" t="s">
        <v>238</v>
      </c>
      <c r="HB3641" s="5" t="s">
        <v>238</v>
      </c>
      <c r="HC3641" s="5" t="s">
        <v>238</v>
      </c>
      <c r="HD3641" s="5" t="s">
        <v>238</v>
      </c>
      <c r="HE3641" s="5" t="s">
        <v>238</v>
      </c>
      <c r="HF3641" s="5" t="s">
        <v>238</v>
      </c>
      <c r="HG3641" s="5" t="s">
        <v>238</v>
      </c>
      <c r="HH3641" s="5" t="s">
        <v>238</v>
      </c>
      <c r="HI3641" s="5" t="s">
        <v>238</v>
      </c>
      <c r="HJ3641" s="5" t="s">
        <v>238</v>
      </c>
      <c r="HK3641" s="5" t="s">
        <v>238</v>
      </c>
      <c r="HL3641" s="5" t="s">
        <v>238</v>
      </c>
      <c r="HM3641" s="5" t="s">
        <v>264</v>
      </c>
      <c r="HN3641" s="5" t="s">
        <v>238</v>
      </c>
      <c r="HO3641" s="5" t="s">
        <v>238</v>
      </c>
      <c r="HP3641" s="5" t="s">
        <v>238</v>
      </c>
      <c r="HQ3641" s="5" t="s">
        <v>238</v>
      </c>
      <c r="HR3641" s="5" t="s">
        <v>238</v>
      </c>
      <c r="HS3641" s="5" t="s">
        <v>238</v>
      </c>
      <c r="HT3641" s="5" t="s">
        <v>238</v>
      </c>
      <c r="HU3641" s="5" t="s">
        <v>238</v>
      </c>
      <c r="HV3641" s="5" t="s">
        <v>238</v>
      </c>
      <c r="HW3641" s="5" t="s">
        <v>238</v>
      </c>
      <c r="HX3641" s="5" t="s">
        <v>238</v>
      </c>
      <c r="HY3641" s="5" t="s">
        <v>238</v>
      </c>
      <c r="HZ3641" s="5" t="s">
        <v>238</v>
      </c>
      <c r="IA3641" s="5" t="s">
        <v>238</v>
      </c>
      <c r="IB3641" s="5" t="s">
        <v>238</v>
      </c>
      <c r="IC3641" s="5" t="s">
        <v>238</v>
      </c>
      <c r="ID3641" s="5" t="s">
        <v>238</v>
      </c>
    </row>
    <row r="3642" spans="1:238" x14ac:dyDescent="0.4">
      <c r="A3642" s="5">
        <v>9360</v>
      </c>
      <c r="B3642" s="5">
        <v>1</v>
      </c>
      <c r="C3642" s="5">
        <v>1</v>
      </c>
      <c r="D3642" s="5" t="s">
        <v>484</v>
      </c>
      <c r="E3642" s="5" t="s">
        <v>485</v>
      </c>
      <c r="F3642" s="5" t="s">
        <v>248</v>
      </c>
      <c r="G3642" s="5" t="s">
        <v>4449</v>
      </c>
      <c r="H3642" s="6" t="s">
        <v>4450</v>
      </c>
      <c r="I3642" s="8">
        <f>1</f>
        <v>1</v>
      </c>
      <c r="J3642" s="5" t="s">
        <v>499</v>
      </c>
      <c r="K3642" s="8">
        <f>1</f>
        <v>1</v>
      </c>
      <c r="L3642" s="6" t="s">
        <v>242</v>
      </c>
      <c r="M3642" s="5" t="s">
        <v>267</v>
      </c>
      <c r="N3642" s="5" t="s">
        <v>482</v>
      </c>
      <c r="O3642" s="5" t="s">
        <v>238</v>
      </c>
      <c r="P3642" s="5" t="s">
        <v>238</v>
      </c>
      <c r="Q3642" s="5" t="s">
        <v>239</v>
      </c>
      <c r="R3642" s="5" t="s">
        <v>270</v>
      </c>
      <c r="S3642" s="5" t="s">
        <v>238</v>
      </c>
      <c r="T3642" s="5" t="s">
        <v>238</v>
      </c>
      <c r="U3642" s="5" t="s">
        <v>238</v>
      </c>
      <c r="V3642" s="5" t="s">
        <v>238</v>
      </c>
      <c r="W3642" s="6" t="s">
        <v>238</v>
      </c>
      <c r="X3642" s="6" t="s">
        <v>238</v>
      </c>
      <c r="Y3642" s="5" t="s">
        <v>238</v>
      </c>
      <c r="Z3642" s="6" t="s">
        <v>238</v>
      </c>
      <c r="AA3642" s="6" t="s">
        <v>243</v>
      </c>
      <c r="AB3642" s="5" t="s">
        <v>486</v>
      </c>
      <c r="AC3642" s="5" t="s">
        <v>244</v>
      </c>
      <c r="AD3642" s="5" t="s">
        <v>245</v>
      </c>
      <c r="AE3642" s="5" t="s">
        <v>238</v>
      </c>
      <c r="AF3642" s="5" t="s">
        <v>238</v>
      </c>
      <c r="AG3642" s="5" t="s">
        <v>238</v>
      </c>
      <c r="AH3642" s="5" t="s">
        <v>238</v>
      </c>
      <c r="AI3642" s="5" t="s">
        <v>238</v>
      </c>
      <c r="AJ3642" s="5" t="s">
        <v>238</v>
      </c>
      <c r="AK3642" s="5" t="s">
        <v>238</v>
      </c>
      <c r="AL3642" s="5" t="s">
        <v>238</v>
      </c>
      <c r="AM3642" s="6" t="s">
        <v>238</v>
      </c>
      <c r="AN3642" s="6" t="s">
        <v>238</v>
      </c>
      <c r="AO3642" s="6" t="s">
        <v>238</v>
      </c>
      <c r="AP3642" s="6" t="s">
        <v>238</v>
      </c>
      <c r="AQ3642" s="5" t="s">
        <v>238</v>
      </c>
      <c r="AR3642" s="5" t="s">
        <v>488</v>
      </c>
      <c r="AS3642" s="5" t="s">
        <v>488</v>
      </c>
      <c r="AT3642" s="5" t="s">
        <v>246</v>
      </c>
      <c r="AU3642" s="5" t="s">
        <v>489</v>
      </c>
      <c r="AV3642" s="5" t="s">
        <v>247</v>
      </c>
      <c r="AW3642" s="5" t="s">
        <v>238</v>
      </c>
      <c r="AX3642" s="5" t="s">
        <v>249</v>
      </c>
      <c r="AY3642" s="5" t="s">
        <v>490</v>
      </c>
      <c r="BA3642" s="5" t="s">
        <v>238</v>
      </c>
      <c r="BC3642" s="5" t="s">
        <v>491</v>
      </c>
      <c r="BD3642" s="6" t="s">
        <v>492</v>
      </c>
      <c r="BE3642" s="5" t="s">
        <v>493</v>
      </c>
      <c r="BF3642" s="5" t="s">
        <v>493</v>
      </c>
      <c r="BG3642" s="5" t="s">
        <v>238</v>
      </c>
      <c r="BH3642" s="8">
        <f>1</f>
        <v>1</v>
      </c>
      <c r="BI3642" s="8">
        <f>1</f>
        <v>1</v>
      </c>
      <c r="BJ3642" s="5" t="s">
        <v>253</v>
      </c>
      <c r="BK3642" s="5" t="s">
        <v>254</v>
      </c>
      <c r="BL3642" s="5" t="s">
        <v>238</v>
      </c>
      <c r="BM3642" s="5" t="s">
        <v>238</v>
      </c>
      <c r="BN3642" s="5" t="s">
        <v>238</v>
      </c>
      <c r="BO3642" s="5" t="s">
        <v>238</v>
      </c>
      <c r="BP3642" s="5" t="s">
        <v>238</v>
      </c>
      <c r="BQ3642" s="5" t="s">
        <v>238</v>
      </c>
      <c r="BR3642" s="5" t="s">
        <v>238</v>
      </c>
      <c r="BS3642" s="5" t="s">
        <v>238</v>
      </c>
      <c r="BT3642" s="6" t="s">
        <v>238</v>
      </c>
      <c r="BU3642" s="5" t="s">
        <v>238</v>
      </c>
      <c r="BV3642" s="5" t="s">
        <v>238</v>
      </c>
      <c r="BW3642" s="5" t="s">
        <v>238</v>
      </c>
      <c r="BX3642" s="5" t="s">
        <v>254</v>
      </c>
      <c r="BY3642" s="5" t="s">
        <v>238</v>
      </c>
      <c r="BZ3642" s="5" t="s">
        <v>238</v>
      </c>
      <c r="CA3642" s="5" t="s">
        <v>238</v>
      </c>
      <c r="CB3642" s="5" t="s">
        <v>238</v>
      </c>
      <c r="CC3642" s="5" t="s">
        <v>238</v>
      </c>
      <c r="CD3642" s="5" t="s">
        <v>273</v>
      </c>
      <c r="CE3642" s="5" t="s">
        <v>256</v>
      </c>
      <c r="CF3642" s="5" t="s">
        <v>238</v>
      </c>
      <c r="CH3642" s="5" t="s">
        <v>494</v>
      </c>
      <c r="CI3642" s="6" t="s">
        <v>257</v>
      </c>
      <c r="CJ3642" s="5" t="s">
        <v>495</v>
      </c>
      <c r="CK3642" s="5" t="s">
        <v>258</v>
      </c>
      <c r="CL3642" s="5" t="s">
        <v>496</v>
      </c>
      <c r="CM3642" s="5" t="s">
        <v>238</v>
      </c>
      <c r="CN3642" s="5">
        <v>0</v>
      </c>
      <c r="CO3642" s="5" t="s">
        <v>497</v>
      </c>
      <c r="CP3642" s="5" t="s">
        <v>260</v>
      </c>
      <c r="CQ3642" s="5" t="s">
        <v>260</v>
      </c>
      <c r="CR3642" s="5" t="s">
        <v>261</v>
      </c>
      <c r="CS3642" s="5" t="s">
        <v>498</v>
      </c>
      <c r="CT3642" s="7">
        <f>1</f>
        <v>1</v>
      </c>
      <c r="CU3642" s="8">
        <f>1</f>
        <v>1</v>
      </c>
      <c r="CV3642" s="8">
        <f>0</f>
        <v>0</v>
      </c>
      <c r="CX3642" s="8">
        <f>1</f>
        <v>1</v>
      </c>
      <c r="CY3642" s="8">
        <f>1</f>
        <v>1</v>
      </c>
      <c r="CZ3642" s="8" t="s">
        <v>238</v>
      </c>
      <c r="DA3642" s="5" t="s">
        <v>238</v>
      </c>
      <c r="DB3642" s="5" t="s">
        <v>238</v>
      </c>
      <c r="DC3642" s="5" t="s">
        <v>238</v>
      </c>
      <c r="DD3642" s="5" t="s">
        <v>238</v>
      </c>
      <c r="DE3642" s="8">
        <f>0</f>
        <v>0</v>
      </c>
      <c r="DG3642" s="5" t="s">
        <v>238</v>
      </c>
      <c r="DH3642" s="5" t="s">
        <v>238</v>
      </c>
      <c r="DI3642" s="5" t="s">
        <v>238</v>
      </c>
      <c r="DJ3642" s="5" t="s">
        <v>238</v>
      </c>
      <c r="DK3642" s="5" t="s">
        <v>238</v>
      </c>
      <c r="DL3642" s="5" t="s">
        <v>238</v>
      </c>
      <c r="DM3642" s="8" t="s">
        <v>238</v>
      </c>
      <c r="DN3642" s="5" t="s">
        <v>238</v>
      </c>
      <c r="DO3642" s="5" t="s">
        <v>238</v>
      </c>
      <c r="DP3642" s="5" t="s">
        <v>490</v>
      </c>
      <c r="DQ3642" s="5" t="s">
        <v>490</v>
      </c>
      <c r="DR3642" s="5" t="s">
        <v>238</v>
      </c>
      <c r="DS3642" s="5" t="s">
        <v>238</v>
      </c>
      <c r="DT3642" s="5" t="s">
        <v>500</v>
      </c>
      <c r="DU3642" s="5" t="s">
        <v>1262</v>
      </c>
      <c r="DV3642" s="5" t="s">
        <v>238</v>
      </c>
      <c r="DW3642" s="5" t="s">
        <v>238</v>
      </c>
      <c r="DX3642" s="5" t="s">
        <v>238</v>
      </c>
      <c r="DY3642" s="5" t="s">
        <v>238</v>
      </c>
      <c r="DZ3642" s="5" t="s">
        <v>238</v>
      </c>
      <c r="EA3642" s="5" t="s">
        <v>238</v>
      </c>
      <c r="EB3642" s="5" t="s">
        <v>238</v>
      </c>
      <c r="EC3642" s="5" t="s">
        <v>238</v>
      </c>
      <c r="ED3642" s="5" t="s">
        <v>238</v>
      </c>
      <c r="EE3642" s="5" t="s">
        <v>238</v>
      </c>
      <c r="EF3642" s="5" t="s">
        <v>238</v>
      </c>
      <c r="EG3642" s="5" t="s">
        <v>238</v>
      </c>
      <c r="EH3642" s="5" t="s">
        <v>238</v>
      </c>
      <c r="EI3642" s="5" t="s">
        <v>238</v>
      </c>
      <c r="EJ3642" s="5" t="s">
        <v>238</v>
      </c>
      <c r="EK3642" s="5" t="s">
        <v>238</v>
      </c>
      <c r="EL3642" s="5" t="s">
        <v>238</v>
      </c>
      <c r="EM3642" s="5" t="s">
        <v>238</v>
      </c>
      <c r="EN3642" s="5" t="s">
        <v>238</v>
      </c>
      <c r="EO3642" s="5" t="s">
        <v>238</v>
      </c>
      <c r="EP3642" s="5" t="s">
        <v>238</v>
      </c>
      <c r="EQ3642" s="5" t="s">
        <v>238</v>
      </c>
      <c r="ER3642" s="5" t="s">
        <v>238</v>
      </c>
      <c r="ES3642" s="5" t="s">
        <v>238</v>
      </c>
      <c r="ET3642" s="5" t="s">
        <v>238</v>
      </c>
      <c r="EU3642" s="5" t="s">
        <v>238</v>
      </c>
      <c r="EV3642" s="5" t="s">
        <v>238</v>
      </c>
      <c r="EW3642" s="5" t="s">
        <v>238</v>
      </c>
      <c r="EX3642" s="5" t="s">
        <v>238</v>
      </c>
      <c r="EY3642" s="5" t="s">
        <v>238</v>
      </c>
      <c r="EZ3642" s="5" t="s">
        <v>238</v>
      </c>
      <c r="FA3642" s="5" t="s">
        <v>238</v>
      </c>
      <c r="FB3642" s="5" t="s">
        <v>238</v>
      </c>
      <c r="FC3642" s="5" t="s">
        <v>238</v>
      </c>
      <c r="FD3642" s="5" t="s">
        <v>238</v>
      </c>
      <c r="FE3642" s="5" t="s">
        <v>238</v>
      </c>
      <c r="FF3642" s="5" t="s">
        <v>238</v>
      </c>
      <c r="FG3642" s="5" t="s">
        <v>238</v>
      </c>
      <c r="FH3642" s="5" t="s">
        <v>238</v>
      </c>
      <c r="FI3642" s="5" t="s">
        <v>238</v>
      </c>
      <c r="FJ3642" s="5" t="s">
        <v>238</v>
      </c>
      <c r="FK3642" s="5" t="s">
        <v>238</v>
      </c>
      <c r="FL3642" s="5" t="s">
        <v>238</v>
      </c>
      <c r="FM3642" s="5" t="s">
        <v>238</v>
      </c>
      <c r="FN3642" s="5" t="s">
        <v>238</v>
      </c>
      <c r="FO3642" s="5" t="s">
        <v>238</v>
      </c>
      <c r="FP3642" s="5" t="s">
        <v>238</v>
      </c>
      <c r="FQ3642" s="5" t="s">
        <v>238</v>
      </c>
      <c r="FR3642" s="5" t="s">
        <v>238</v>
      </c>
      <c r="FS3642" s="5" t="s">
        <v>238</v>
      </c>
      <c r="FT3642" s="5" t="s">
        <v>238</v>
      </c>
      <c r="FU3642" s="5" t="s">
        <v>238</v>
      </c>
      <c r="FV3642" s="5" t="s">
        <v>238</v>
      </c>
      <c r="FW3642" s="5" t="s">
        <v>238</v>
      </c>
      <c r="FX3642" s="5" t="s">
        <v>238</v>
      </c>
      <c r="FY3642" s="5" t="s">
        <v>238</v>
      </c>
      <c r="FZ3642" s="5" t="s">
        <v>238</v>
      </c>
      <c r="GA3642" s="5" t="s">
        <v>238</v>
      </c>
      <c r="GB3642" s="5" t="s">
        <v>238</v>
      </c>
      <c r="GC3642" s="5" t="s">
        <v>238</v>
      </c>
      <c r="GD3642" s="5" t="s">
        <v>238</v>
      </c>
      <c r="GE3642" s="5" t="s">
        <v>238</v>
      </c>
      <c r="GF3642" s="5" t="s">
        <v>238</v>
      </c>
      <c r="GG3642" s="5" t="s">
        <v>238</v>
      </c>
      <c r="GH3642" s="5" t="s">
        <v>238</v>
      </c>
      <c r="GI3642" s="5" t="s">
        <v>238</v>
      </c>
      <c r="GJ3642" s="5" t="s">
        <v>238</v>
      </c>
      <c r="GK3642" s="5" t="s">
        <v>238</v>
      </c>
      <c r="GL3642" s="5" t="s">
        <v>238</v>
      </c>
      <c r="GM3642" s="5" t="s">
        <v>238</v>
      </c>
      <c r="GN3642" s="5" t="s">
        <v>238</v>
      </c>
      <c r="GO3642" s="5" t="s">
        <v>238</v>
      </c>
      <c r="GP3642" s="5" t="s">
        <v>238</v>
      </c>
      <c r="GQ3642" s="5" t="s">
        <v>238</v>
      </c>
      <c r="GR3642" s="5" t="s">
        <v>238</v>
      </c>
      <c r="GS3642" s="5" t="s">
        <v>238</v>
      </c>
      <c r="GT3642" s="5" t="s">
        <v>238</v>
      </c>
      <c r="GU3642" s="5" t="s">
        <v>238</v>
      </c>
      <c r="GV3642" s="5" t="s">
        <v>238</v>
      </c>
      <c r="GW3642" s="5" t="s">
        <v>238</v>
      </c>
      <c r="GX3642" s="5" t="s">
        <v>238</v>
      </c>
      <c r="GY3642" s="5" t="s">
        <v>238</v>
      </c>
      <c r="GZ3642" s="5" t="s">
        <v>238</v>
      </c>
      <c r="HA3642" s="5" t="s">
        <v>238</v>
      </c>
      <c r="HB3642" s="5" t="s">
        <v>238</v>
      </c>
      <c r="HC3642" s="5" t="s">
        <v>238</v>
      </c>
      <c r="HD3642" s="5" t="s">
        <v>238</v>
      </c>
      <c r="HE3642" s="5" t="s">
        <v>238</v>
      </c>
      <c r="HF3642" s="5" t="s">
        <v>238</v>
      </c>
      <c r="HG3642" s="5" t="s">
        <v>238</v>
      </c>
      <c r="HH3642" s="5" t="s">
        <v>238</v>
      </c>
      <c r="HI3642" s="5" t="s">
        <v>238</v>
      </c>
      <c r="HJ3642" s="5" t="s">
        <v>238</v>
      </c>
      <c r="HK3642" s="5" t="s">
        <v>238</v>
      </c>
      <c r="HL3642" s="5" t="s">
        <v>238</v>
      </c>
      <c r="HM3642" s="5" t="s">
        <v>264</v>
      </c>
      <c r="HN3642" s="5" t="s">
        <v>238</v>
      </c>
      <c r="HO3642" s="5" t="s">
        <v>238</v>
      </c>
      <c r="HP3642" s="5" t="s">
        <v>238</v>
      </c>
      <c r="HQ3642" s="5" t="s">
        <v>238</v>
      </c>
      <c r="HR3642" s="5" t="s">
        <v>238</v>
      </c>
      <c r="HS3642" s="5" t="s">
        <v>238</v>
      </c>
      <c r="HT3642" s="5" t="s">
        <v>238</v>
      </c>
      <c r="HU3642" s="5" t="s">
        <v>238</v>
      </c>
      <c r="HV3642" s="5" t="s">
        <v>238</v>
      </c>
      <c r="HW3642" s="5" t="s">
        <v>238</v>
      </c>
      <c r="HX3642" s="5" t="s">
        <v>238</v>
      </c>
      <c r="HY3642" s="5" t="s">
        <v>238</v>
      </c>
      <c r="HZ3642" s="5" t="s">
        <v>238</v>
      </c>
      <c r="IA3642" s="5" t="s">
        <v>238</v>
      </c>
      <c r="IB3642" s="5" t="s">
        <v>238</v>
      </c>
      <c r="IC3642" s="5" t="s">
        <v>238</v>
      </c>
      <c r="ID3642" s="5" t="s">
        <v>238</v>
      </c>
    </row>
    <row r="3643" spans="1:238" x14ac:dyDescent="0.4">
      <c r="A3643" s="5">
        <v>9361</v>
      </c>
      <c r="B3643" s="5">
        <v>1</v>
      </c>
      <c r="C3643" s="5">
        <v>1</v>
      </c>
      <c r="D3643" s="5" t="s">
        <v>484</v>
      </c>
      <c r="E3643" s="5" t="s">
        <v>485</v>
      </c>
      <c r="F3643" s="5" t="s">
        <v>248</v>
      </c>
      <c r="G3643" s="5" t="s">
        <v>4704</v>
      </c>
      <c r="H3643" s="6" t="s">
        <v>4705</v>
      </c>
      <c r="I3643" s="8">
        <f>1</f>
        <v>1</v>
      </c>
      <c r="J3643" s="5" t="s">
        <v>499</v>
      </c>
      <c r="K3643" s="8">
        <f>1</f>
        <v>1</v>
      </c>
      <c r="L3643" s="6" t="s">
        <v>242</v>
      </c>
      <c r="M3643" s="5" t="s">
        <v>267</v>
      </c>
      <c r="N3643" s="5" t="s">
        <v>482</v>
      </c>
      <c r="O3643" s="5" t="s">
        <v>238</v>
      </c>
      <c r="P3643" s="5" t="s">
        <v>238</v>
      </c>
      <c r="Q3643" s="5" t="s">
        <v>239</v>
      </c>
      <c r="R3643" s="5" t="s">
        <v>270</v>
      </c>
      <c r="S3643" s="5" t="s">
        <v>238</v>
      </c>
      <c r="T3643" s="5" t="s">
        <v>238</v>
      </c>
      <c r="U3643" s="5" t="s">
        <v>238</v>
      </c>
      <c r="V3643" s="5" t="s">
        <v>238</v>
      </c>
      <c r="W3643" s="6" t="s">
        <v>238</v>
      </c>
      <c r="X3643" s="6" t="s">
        <v>238</v>
      </c>
      <c r="Y3643" s="5" t="s">
        <v>238</v>
      </c>
      <c r="Z3643" s="6" t="s">
        <v>238</v>
      </c>
      <c r="AA3643" s="6" t="s">
        <v>243</v>
      </c>
      <c r="AB3643" s="5" t="s">
        <v>486</v>
      </c>
      <c r="AC3643" s="5" t="s">
        <v>244</v>
      </c>
      <c r="AD3643" s="5" t="s">
        <v>245</v>
      </c>
      <c r="AE3643" s="5" t="s">
        <v>238</v>
      </c>
      <c r="AF3643" s="5" t="s">
        <v>238</v>
      </c>
      <c r="AG3643" s="5" t="s">
        <v>238</v>
      </c>
      <c r="AH3643" s="5" t="s">
        <v>238</v>
      </c>
      <c r="AI3643" s="5" t="s">
        <v>238</v>
      </c>
      <c r="AJ3643" s="5" t="s">
        <v>238</v>
      </c>
      <c r="AK3643" s="5" t="s">
        <v>238</v>
      </c>
      <c r="AL3643" s="5" t="s">
        <v>238</v>
      </c>
      <c r="AM3643" s="6" t="s">
        <v>238</v>
      </c>
      <c r="AN3643" s="6" t="s">
        <v>238</v>
      </c>
      <c r="AO3643" s="6" t="s">
        <v>238</v>
      </c>
      <c r="AP3643" s="6" t="s">
        <v>238</v>
      </c>
      <c r="AQ3643" s="5" t="s">
        <v>238</v>
      </c>
      <c r="AR3643" s="5" t="s">
        <v>488</v>
      </c>
      <c r="AS3643" s="5" t="s">
        <v>488</v>
      </c>
      <c r="AT3643" s="5" t="s">
        <v>246</v>
      </c>
      <c r="AU3643" s="5" t="s">
        <v>489</v>
      </c>
      <c r="AV3643" s="5" t="s">
        <v>247</v>
      </c>
      <c r="AW3643" s="5" t="s">
        <v>238</v>
      </c>
      <c r="AX3643" s="5" t="s">
        <v>249</v>
      </c>
      <c r="AY3643" s="5" t="s">
        <v>490</v>
      </c>
      <c r="BA3643" s="5" t="s">
        <v>238</v>
      </c>
      <c r="BC3643" s="5" t="s">
        <v>491</v>
      </c>
      <c r="BD3643" s="6" t="s">
        <v>492</v>
      </c>
      <c r="BE3643" s="5" t="s">
        <v>493</v>
      </c>
      <c r="BF3643" s="5" t="s">
        <v>493</v>
      </c>
      <c r="BG3643" s="5" t="s">
        <v>238</v>
      </c>
      <c r="BH3643" s="8">
        <f>1</f>
        <v>1</v>
      </c>
      <c r="BI3643" s="8">
        <f>1</f>
        <v>1</v>
      </c>
      <c r="BJ3643" s="5" t="s">
        <v>253</v>
      </c>
      <c r="BK3643" s="5" t="s">
        <v>254</v>
      </c>
      <c r="BL3643" s="5" t="s">
        <v>238</v>
      </c>
      <c r="BM3643" s="5" t="s">
        <v>238</v>
      </c>
      <c r="BN3643" s="5" t="s">
        <v>238</v>
      </c>
      <c r="BO3643" s="5" t="s">
        <v>238</v>
      </c>
      <c r="BP3643" s="5" t="s">
        <v>238</v>
      </c>
      <c r="BQ3643" s="5" t="s">
        <v>238</v>
      </c>
      <c r="BR3643" s="5" t="s">
        <v>238</v>
      </c>
      <c r="BS3643" s="5" t="s">
        <v>238</v>
      </c>
      <c r="BT3643" s="6" t="s">
        <v>238</v>
      </c>
      <c r="BU3643" s="5" t="s">
        <v>238</v>
      </c>
      <c r="BV3643" s="5" t="s">
        <v>238</v>
      </c>
      <c r="BW3643" s="5" t="s">
        <v>238</v>
      </c>
      <c r="BX3643" s="5" t="s">
        <v>254</v>
      </c>
      <c r="BY3643" s="5" t="s">
        <v>238</v>
      </c>
      <c r="BZ3643" s="5" t="s">
        <v>238</v>
      </c>
      <c r="CA3643" s="5" t="s">
        <v>238</v>
      </c>
      <c r="CB3643" s="5" t="s">
        <v>238</v>
      </c>
      <c r="CC3643" s="5" t="s">
        <v>238</v>
      </c>
      <c r="CD3643" s="5" t="s">
        <v>273</v>
      </c>
      <c r="CE3643" s="5" t="s">
        <v>256</v>
      </c>
      <c r="CF3643" s="5" t="s">
        <v>238</v>
      </c>
      <c r="CH3643" s="5" t="s">
        <v>494</v>
      </c>
      <c r="CI3643" s="6" t="s">
        <v>257</v>
      </c>
      <c r="CJ3643" s="5" t="s">
        <v>495</v>
      </c>
      <c r="CK3643" s="5" t="s">
        <v>258</v>
      </c>
      <c r="CL3643" s="5" t="s">
        <v>496</v>
      </c>
      <c r="CM3643" s="5" t="s">
        <v>238</v>
      </c>
      <c r="CN3643" s="5">
        <v>0</v>
      </c>
      <c r="CO3643" s="5" t="s">
        <v>497</v>
      </c>
      <c r="CP3643" s="5" t="s">
        <v>260</v>
      </c>
      <c r="CQ3643" s="5" t="s">
        <v>260</v>
      </c>
      <c r="CR3643" s="5" t="s">
        <v>261</v>
      </c>
      <c r="CS3643" s="5" t="s">
        <v>498</v>
      </c>
      <c r="CT3643" s="7">
        <f>1</f>
        <v>1</v>
      </c>
      <c r="CU3643" s="8">
        <f>1</f>
        <v>1</v>
      </c>
      <c r="CV3643" s="8">
        <f>0</f>
        <v>0</v>
      </c>
      <c r="CX3643" s="8">
        <f>1</f>
        <v>1</v>
      </c>
      <c r="CY3643" s="8">
        <f>1</f>
        <v>1</v>
      </c>
      <c r="CZ3643" s="8" t="s">
        <v>238</v>
      </c>
      <c r="DA3643" s="5" t="s">
        <v>238</v>
      </c>
      <c r="DB3643" s="5" t="s">
        <v>238</v>
      </c>
      <c r="DC3643" s="5" t="s">
        <v>238</v>
      </c>
      <c r="DD3643" s="5" t="s">
        <v>238</v>
      </c>
      <c r="DE3643" s="8">
        <f>0</f>
        <v>0</v>
      </c>
      <c r="DG3643" s="5" t="s">
        <v>238</v>
      </c>
      <c r="DH3643" s="5" t="s">
        <v>238</v>
      </c>
      <c r="DI3643" s="5" t="s">
        <v>238</v>
      </c>
      <c r="DJ3643" s="5" t="s">
        <v>238</v>
      </c>
      <c r="DK3643" s="5" t="s">
        <v>238</v>
      </c>
      <c r="DL3643" s="5" t="s">
        <v>238</v>
      </c>
      <c r="DM3643" s="8" t="s">
        <v>238</v>
      </c>
      <c r="DN3643" s="5" t="s">
        <v>238</v>
      </c>
      <c r="DO3643" s="5" t="s">
        <v>238</v>
      </c>
      <c r="DP3643" s="5" t="s">
        <v>490</v>
      </c>
      <c r="DQ3643" s="5" t="s">
        <v>490</v>
      </c>
      <c r="DR3643" s="5" t="s">
        <v>238</v>
      </c>
      <c r="DS3643" s="5" t="s">
        <v>238</v>
      </c>
      <c r="DT3643" s="5" t="s">
        <v>500</v>
      </c>
      <c r="DU3643" s="5" t="s">
        <v>1276</v>
      </c>
      <c r="DV3643" s="5" t="s">
        <v>238</v>
      </c>
      <c r="DW3643" s="5" t="s">
        <v>238</v>
      </c>
      <c r="DX3643" s="5" t="s">
        <v>238</v>
      </c>
      <c r="DY3643" s="5" t="s">
        <v>238</v>
      </c>
      <c r="DZ3643" s="5" t="s">
        <v>238</v>
      </c>
      <c r="EA3643" s="5" t="s">
        <v>238</v>
      </c>
      <c r="EB3643" s="5" t="s">
        <v>238</v>
      </c>
      <c r="EC3643" s="5" t="s">
        <v>238</v>
      </c>
      <c r="ED3643" s="5" t="s">
        <v>238</v>
      </c>
      <c r="EE3643" s="5" t="s">
        <v>238</v>
      </c>
      <c r="EF3643" s="5" t="s">
        <v>238</v>
      </c>
      <c r="EG3643" s="5" t="s">
        <v>238</v>
      </c>
      <c r="EH3643" s="5" t="s">
        <v>238</v>
      </c>
      <c r="EI3643" s="5" t="s">
        <v>238</v>
      </c>
      <c r="EJ3643" s="5" t="s">
        <v>238</v>
      </c>
      <c r="EK3643" s="5" t="s">
        <v>238</v>
      </c>
      <c r="EL3643" s="5" t="s">
        <v>238</v>
      </c>
      <c r="EM3643" s="5" t="s">
        <v>238</v>
      </c>
      <c r="EN3643" s="5" t="s">
        <v>238</v>
      </c>
      <c r="EO3643" s="5" t="s">
        <v>238</v>
      </c>
      <c r="EP3643" s="5" t="s">
        <v>238</v>
      </c>
      <c r="EQ3643" s="5" t="s">
        <v>238</v>
      </c>
      <c r="ER3643" s="5" t="s">
        <v>238</v>
      </c>
      <c r="ES3643" s="5" t="s">
        <v>238</v>
      </c>
      <c r="ET3643" s="5" t="s">
        <v>238</v>
      </c>
      <c r="EU3643" s="5" t="s">
        <v>238</v>
      </c>
      <c r="EV3643" s="5" t="s">
        <v>238</v>
      </c>
      <c r="EW3643" s="5" t="s">
        <v>238</v>
      </c>
      <c r="EX3643" s="5" t="s">
        <v>238</v>
      </c>
      <c r="EY3643" s="5" t="s">
        <v>238</v>
      </c>
      <c r="EZ3643" s="5" t="s">
        <v>238</v>
      </c>
      <c r="FA3643" s="5" t="s">
        <v>238</v>
      </c>
      <c r="FB3643" s="5" t="s">
        <v>238</v>
      </c>
      <c r="FC3643" s="5" t="s">
        <v>238</v>
      </c>
      <c r="FD3643" s="5" t="s">
        <v>238</v>
      </c>
      <c r="FE3643" s="5" t="s">
        <v>238</v>
      </c>
      <c r="FF3643" s="5" t="s">
        <v>238</v>
      </c>
      <c r="FG3643" s="5" t="s">
        <v>238</v>
      </c>
      <c r="FH3643" s="5" t="s">
        <v>238</v>
      </c>
      <c r="FI3643" s="5" t="s">
        <v>238</v>
      </c>
      <c r="FJ3643" s="5" t="s">
        <v>238</v>
      </c>
      <c r="FK3643" s="5" t="s">
        <v>238</v>
      </c>
      <c r="FL3643" s="5" t="s">
        <v>238</v>
      </c>
      <c r="FM3643" s="5" t="s">
        <v>238</v>
      </c>
      <c r="FN3643" s="5" t="s">
        <v>238</v>
      </c>
      <c r="FO3643" s="5" t="s">
        <v>238</v>
      </c>
      <c r="FP3643" s="5" t="s">
        <v>238</v>
      </c>
      <c r="FQ3643" s="5" t="s">
        <v>238</v>
      </c>
      <c r="FR3643" s="5" t="s">
        <v>238</v>
      </c>
      <c r="FS3643" s="5" t="s">
        <v>238</v>
      </c>
      <c r="FT3643" s="5" t="s">
        <v>238</v>
      </c>
      <c r="FU3643" s="5" t="s">
        <v>238</v>
      </c>
      <c r="FV3643" s="5" t="s">
        <v>238</v>
      </c>
      <c r="FW3643" s="5" t="s">
        <v>238</v>
      </c>
      <c r="FX3643" s="5" t="s">
        <v>238</v>
      </c>
      <c r="FY3643" s="5" t="s">
        <v>238</v>
      </c>
      <c r="FZ3643" s="5" t="s">
        <v>238</v>
      </c>
      <c r="GA3643" s="5" t="s">
        <v>238</v>
      </c>
      <c r="GB3643" s="5" t="s">
        <v>238</v>
      </c>
      <c r="GC3643" s="5" t="s">
        <v>238</v>
      </c>
      <c r="GD3643" s="5" t="s">
        <v>238</v>
      </c>
      <c r="GE3643" s="5" t="s">
        <v>238</v>
      </c>
      <c r="GF3643" s="5" t="s">
        <v>238</v>
      </c>
      <c r="GG3643" s="5" t="s">
        <v>238</v>
      </c>
      <c r="GH3643" s="5" t="s">
        <v>238</v>
      </c>
      <c r="GI3643" s="5" t="s">
        <v>238</v>
      </c>
      <c r="GJ3643" s="5" t="s">
        <v>238</v>
      </c>
      <c r="GK3643" s="5" t="s">
        <v>238</v>
      </c>
      <c r="GL3643" s="5" t="s">
        <v>238</v>
      </c>
      <c r="GM3643" s="5" t="s">
        <v>238</v>
      </c>
      <c r="GN3643" s="5" t="s">
        <v>238</v>
      </c>
      <c r="GO3643" s="5" t="s">
        <v>238</v>
      </c>
      <c r="GP3643" s="5" t="s">
        <v>238</v>
      </c>
      <c r="GQ3643" s="5" t="s">
        <v>238</v>
      </c>
      <c r="GR3643" s="5" t="s">
        <v>238</v>
      </c>
      <c r="GS3643" s="5" t="s">
        <v>238</v>
      </c>
      <c r="GT3643" s="5" t="s">
        <v>238</v>
      </c>
      <c r="GU3643" s="5" t="s">
        <v>238</v>
      </c>
      <c r="GV3643" s="5" t="s">
        <v>238</v>
      </c>
      <c r="GW3643" s="5" t="s">
        <v>238</v>
      </c>
      <c r="GX3643" s="5" t="s">
        <v>238</v>
      </c>
      <c r="GY3643" s="5" t="s">
        <v>238</v>
      </c>
      <c r="GZ3643" s="5" t="s">
        <v>238</v>
      </c>
      <c r="HA3643" s="5" t="s">
        <v>238</v>
      </c>
      <c r="HB3643" s="5" t="s">
        <v>238</v>
      </c>
      <c r="HC3643" s="5" t="s">
        <v>238</v>
      </c>
      <c r="HD3643" s="5" t="s">
        <v>238</v>
      </c>
      <c r="HE3643" s="5" t="s">
        <v>238</v>
      </c>
      <c r="HF3643" s="5" t="s">
        <v>238</v>
      </c>
      <c r="HG3643" s="5" t="s">
        <v>238</v>
      </c>
      <c r="HH3643" s="5" t="s">
        <v>238</v>
      </c>
      <c r="HI3643" s="5" t="s">
        <v>238</v>
      </c>
      <c r="HJ3643" s="5" t="s">
        <v>238</v>
      </c>
      <c r="HK3643" s="5" t="s">
        <v>238</v>
      </c>
      <c r="HL3643" s="5" t="s">
        <v>238</v>
      </c>
      <c r="HM3643" s="5" t="s">
        <v>264</v>
      </c>
      <c r="HN3643" s="5" t="s">
        <v>238</v>
      </c>
      <c r="HO3643" s="5" t="s">
        <v>238</v>
      </c>
      <c r="HP3643" s="5" t="s">
        <v>238</v>
      </c>
      <c r="HQ3643" s="5" t="s">
        <v>238</v>
      </c>
      <c r="HR3643" s="5" t="s">
        <v>238</v>
      </c>
      <c r="HS3643" s="5" t="s">
        <v>238</v>
      </c>
      <c r="HT3643" s="5" t="s">
        <v>238</v>
      </c>
      <c r="HU3643" s="5" t="s">
        <v>238</v>
      </c>
      <c r="HV3643" s="5" t="s">
        <v>238</v>
      </c>
      <c r="HW3643" s="5" t="s">
        <v>238</v>
      </c>
      <c r="HX3643" s="5" t="s">
        <v>238</v>
      </c>
      <c r="HY3643" s="5" t="s">
        <v>238</v>
      </c>
      <c r="HZ3643" s="5" t="s">
        <v>238</v>
      </c>
      <c r="IA3643" s="5" t="s">
        <v>238</v>
      </c>
      <c r="IB3643" s="5" t="s">
        <v>238</v>
      </c>
      <c r="IC3643" s="5" t="s">
        <v>238</v>
      </c>
      <c r="ID3643" s="5" t="s">
        <v>238</v>
      </c>
    </row>
    <row r="3644" spans="1:238" x14ac:dyDescent="0.4">
      <c r="A3644" s="5">
        <v>9362</v>
      </c>
      <c r="B3644" s="5">
        <v>1</v>
      </c>
      <c r="C3644" s="5">
        <v>1</v>
      </c>
      <c r="D3644" s="5" t="s">
        <v>484</v>
      </c>
      <c r="E3644" s="5" t="s">
        <v>485</v>
      </c>
      <c r="F3644" s="5" t="s">
        <v>248</v>
      </c>
      <c r="G3644" s="5" t="s">
        <v>5560</v>
      </c>
      <c r="H3644" s="6" t="s">
        <v>5561</v>
      </c>
      <c r="I3644" s="8">
        <f>1</f>
        <v>1</v>
      </c>
      <c r="J3644" s="5" t="s">
        <v>499</v>
      </c>
      <c r="K3644" s="8">
        <f>1</f>
        <v>1</v>
      </c>
      <c r="L3644" s="6" t="s">
        <v>242</v>
      </c>
      <c r="M3644" s="5" t="s">
        <v>267</v>
      </c>
      <c r="N3644" s="5" t="s">
        <v>482</v>
      </c>
      <c r="O3644" s="5" t="s">
        <v>238</v>
      </c>
      <c r="P3644" s="5" t="s">
        <v>238</v>
      </c>
      <c r="Q3644" s="5" t="s">
        <v>239</v>
      </c>
      <c r="R3644" s="5" t="s">
        <v>270</v>
      </c>
      <c r="S3644" s="5" t="s">
        <v>238</v>
      </c>
      <c r="T3644" s="5" t="s">
        <v>238</v>
      </c>
      <c r="U3644" s="5" t="s">
        <v>238</v>
      </c>
      <c r="V3644" s="5" t="s">
        <v>238</v>
      </c>
      <c r="W3644" s="6" t="s">
        <v>238</v>
      </c>
      <c r="X3644" s="6" t="s">
        <v>238</v>
      </c>
      <c r="Y3644" s="5" t="s">
        <v>238</v>
      </c>
      <c r="Z3644" s="6" t="s">
        <v>238</v>
      </c>
      <c r="AA3644" s="6" t="s">
        <v>243</v>
      </c>
      <c r="AB3644" s="5" t="s">
        <v>486</v>
      </c>
      <c r="AC3644" s="5" t="s">
        <v>244</v>
      </c>
      <c r="AD3644" s="5" t="s">
        <v>245</v>
      </c>
      <c r="AE3644" s="5" t="s">
        <v>238</v>
      </c>
      <c r="AF3644" s="5" t="s">
        <v>238</v>
      </c>
      <c r="AG3644" s="5" t="s">
        <v>238</v>
      </c>
      <c r="AH3644" s="5" t="s">
        <v>238</v>
      </c>
      <c r="AI3644" s="5" t="s">
        <v>238</v>
      </c>
      <c r="AJ3644" s="5" t="s">
        <v>238</v>
      </c>
      <c r="AK3644" s="5" t="s">
        <v>238</v>
      </c>
      <c r="AL3644" s="5" t="s">
        <v>238</v>
      </c>
      <c r="AM3644" s="6" t="s">
        <v>238</v>
      </c>
      <c r="AN3644" s="6" t="s">
        <v>238</v>
      </c>
      <c r="AO3644" s="6" t="s">
        <v>238</v>
      </c>
      <c r="AP3644" s="6" t="s">
        <v>238</v>
      </c>
      <c r="AQ3644" s="5" t="s">
        <v>238</v>
      </c>
      <c r="AR3644" s="5" t="s">
        <v>488</v>
      </c>
      <c r="AS3644" s="5" t="s">
        <v>488</v>
      </c>
      <c r="AT3644" s="5" t="s">
        <v>246</v>
      </c>
      <c r="AU3644" s="5" t="s">
        <v>489</v>
      </c>
      <c r="AV3644" s="5" t="s">
        <v>247</v>
      </c>
      <c r="AW3644" s="5" t="s">
        <v>238</v>
      </c>
      <c r="AX3644" s="5" t="s">
        <v>249</v>
      </c>
      <c r="AY3644" s="5" t="s">
        <v>490</v>
      </c>
      <c r="BA3644" s="5" t="s">
        <v>238</v>
      </c>
      <c r="BC3644" s="5" t="s">
        <v>491</v>
      </c>
      <c r="BD3644" s="6" t="s">
        <v>492</v>
      </c>
      <c r="BE3644" s="5" t="s">
        <v>493</v>
      </c>
      <c r="BF3644" s="5" t="s">
        <v>493</v>
      </c>
      <c r="BG3644" s="5" t="s">
        <v>238</v>
      </c>
      <c r="BH3644" s="8">
        <f>1</f>
        <v>1</v>
      </c>
      <c r="BI3644" s="8">
        <f>1</f>
        <v>1</v>
      </c>
      <c r="BJ3644" s="5" t="s">
        <v>253</v>
      </c>
      <c r="BK3644" s="5" t="s">
        <v>254</v>
      </c>
      <c r="BL3644" s="5" t="s">
        <v>238</v>
      </c>
      <c r="BM3644" s="5" t="s">
        <v>238</v>
      </c>
      <c r="BN3644" s="5" t="s">
        <v>238</v>
      </c>
      <c r="BO3644" s="5" t="s">
        <v>238</v>
      </c>
      <c r="BP3644" s="5" t="s">
        <v>238</v>
      </c>
      <c r="BQ3644" s="5" t="s">
        <v>238</v>
      </c>
      <c r="BR3644" s="5" t="s">
        <v>238</v>
      </c>
      <c r="BS3644" s="5" t="s">
        <v>238</v>
      </c>
      <c r="BT3644" s="6" t="s">
        <v>238</v>
      </c>
      <c r="BU3644" s="5" t="s">
        <v>238</v>
      </c>
      <c r="BV3644" s="5" t="s">
        <v>238</v>
      </c>
      <c r="BW3644" s="5" t="s">
        <v>238</v>
      </c>
      <c r="BX3644" s="5" t="s">
        <v>254</v>
      </c>
      <c r="BY3644" s="5" t="s">
        <v>238</v>
      </c>
      <c r="BZ3644" s="5" t="s">
        <v>238</v>
      </c>
      <c r="CA3644" s="5" t="s">
        <v>238</v>
      </c>
      <c r="CB3644" s="5" t="s">
        <v>238</v>
      </c>
      <c r="CC3644" s="5" t="s">
        <v>238</v>
      </c>
      <c r="CD3644" s="5" t="s">
        <v>273</v>
      </c>
      <c r="CE3644" s="5" t="s">
        <v>256</v>
      </c>
      <c r="CF3644" s="5" t="s">
        <v>238</v>
      </c>
      <c r="CH3644" s="5" t="s">
        <v>494</v>
      </c>
      <c r="CI3644" s="6" t="s">
        <v>257</v>
      </c>
      <c r="CJ3644" s="5" t="s">
        <v>495</v>
      </c>
      <c r="CK3644" s="5" t="s">
        <v>258</v>
      </c>
      <c r="CL3644" s="5" t="s">
        <v>496</v>
      </c>
      <c r="CM3644" s="5" t="s">
        <v>238</v>
      </c>
      <c r="CN3644" s="5">
        <v>0</v>
      </c>
      <c r="CO3644" s="5" t="s">
        <v>497</v>
      </c>
      <c r="CP3644" s="5" t="s">
        <v>260</v>
      </c>
      <c r="CQ3644" s="5" t="s">
        <v>260</v>
      </c>
      <c r="CR3644" s="5" t="s">
        <v>261</v>
      </c>
      <c r="CS3644" s="5" t="s">
        <v>498</v>
      </c>
      <c r="CT3644" s="7">
        <f>1</f>
        <v>1</v>
      </c>
      <c r="CU3644" s="8">
        <f>1</f>
        <v>1</v>
      </c>
      <c r="CV3644" s="8">
        <f>0</f>
        <v>0</v>
      </c>
      <c r="CX3644" s="8">
        <f>1</f>
        <v>1</v>
      </c>
      <c r="CY3644" s="8">
        <f>1</f>
        <v>1</v>
      </c>
      <c r="CZ3644" s="8" t="s">
        <v>238</v>
      </c>
      <c r="DA3644" s="5" t="s">
        <v>238</v>
      </c>
      <c r="DB3644" s="5" t="s">
        <v>238</v>
      </c>
      <c r="DC3644" s="5" t="s">
        <v>238</v>
      </c>
      <c r="DD3644" s="5" t="s">
        <v>238</v>
      </c>
      <c r="DE3644" s="8">
        <f>0</f>
        <v>0</v>
      </c>
      <c r="DG3644" s="5" t="s">
        <v>238</v>
      </c>
      <c r="DH3644" s="5" t="s">
        <v>238</v>
      </c>
      <c r="DI3644" s="5" t="s">
        <v>238</v>
      </c>
      <c r="DJ3644" s="5" t="s">
        <v>238</v>
      </c>
      <c r="DK3644" s="5" t="s">
        <v>238</v>
      </c>
      <c r="DL3644" s="5" t="s">
        <v>238</v>
      </c>
      <c r="DM3644" s="8" t="s">
        <v>238</v>
      </c>
      <c r="DN3644" s="5" t="s">
        <v>238</v>
      </c>
      <c r="DO3644" s="5" t="s">
        <v>238</v>
      </c>
      <c r="DP3644" s="5" t="s">
        <v>490</v>
      </c>
      <c r="DQ3644" s="5" t="s">
        <v>490</v>
      </c>
      <c r="DR3644" s="5" t="s">
        <v>238</v>
      </c>
      <c r="DS3644" s="5" t="s">
        <v>238</v>
      </c>
      <c r="DT3644" s="5" t="s">
        <v>500</v>
      </c>
      <c r="DU3644" s="5" t="s">
        <v>1291</v>
      </c>
      <c r="DV3644" s="5" t="s">
        <v>238</v>
      </c>
      <c r="DW3644" s="5" t="s">
        <v>238</v>
      </c>
      <c r="DX3644" s="5" t="s">
        <v>238</v>
      </c>
      <c r="DY3644" s="5" t="s">
        <v>238</v>
      </c>
      <c r="DZ3644" s="5" t="s">
        <v>238</v>
      </c>
      <c r="EA3644" s="5" t="s">
        <v>238</v>
      </c>
      <c r="EB3644" s="5" t="s">
        <v>238</v>
      </c>
      <c r="EC3644" s="5" t="s">
        <v>238</v>
      </c>
      <c r="ED3644" s="5" t="s">
        <v>238</v>
      </c>
      <c r="EE3644" s="5" t="s">
        <v>238</v>
      </c>
      <c r="EF3644" s="5" t="s">
        <v>238</v>
      </c>
      <c r="EG3644" s="5" t="s">
        <v>238</v>
      </c>
      <c r="EH3644" s="5" t="s">
        <v>238</v>
      </c>
      <c r="EI3644" s="5" t="s">
        <v>238</v>
      </c>
      <c r="EJ3644" s="5" t="s">
        <v>238</v>
      </c>
      <c r="EK3644" s="5" t="s">
        <v>238</v>
      </c>
      <c r="EL3644" s="5" t="s">
        <v>238</v>
      </c>
      <c r="EM3644" s="5" t="s">
        <v>238</v>
      </c>
      <c r="EN3644" s="5" t="s">
        <v>238</v>
      </c>
      <c r="EO3644" s="5" t="s">
        <v>238</v>
      </c>
      <c r="EP3644" s="5" t="s">
        <v>238</v>
      </c>
      <c r="EQ3644" s="5" t="s">
        <v>238</v>
      </c>
      <c r="ER3644" s="5" t="s">
        <v>238</v>
      </c>
      <c r="ES3644" s="5" t="s">
        <v>238</v>
      </c>
      <c r="ET3644" s="5" t="s">
        <v>238</v>
      </c>
      <c r="EU3644" s="5" t="s">
        <v>238</v>
      </c>
      <c r="EV3644" s="5" t="s">
        <v>238</v>
      </c>
      <c r="EW3644" s="5" t="s">
        <v>238</v>
      </c>
      <c r="EX3644" s="5" t="s">
        <v>238</v>
      </c>
      <c r="EY3644" s="5" t="s">
        <v>238</v>
      </c>
      <c r="EZ3644" s="5" t="s">
        <v>238</v>
      </c>
      <c r="FA3644" s="5" t="s">
        <v>238</v>
      </c>
      <c r="FB3644" s="5" t="s">
        <v>238</v>
      </c>
      <c r="FC3644" s="5" t="s">
        <v>238</v>
      </c>
      <c r="FD3644" s="5" t="s">
        <v>238</v>
      </c>
      <c r="FE3644" s="5" t="s">
        <v>238</v>
      </c>
      <c r="FF3644" s="5" t="s">
        <v>238</v>
      </c>
      <c r="FG3644" s="5" t="s">
        <v>238</v>
      </c>
      <c r="FH3644" s="5" t="s">
        <v>238</v>
      </c>
      <c r="FI3644" s="5" t="s">
        <v>238</v>
      </c>
      <c r="FJ3644" s="5" t="s">
        <v>238</v>
      </c>
      <c r="FK3644" s="5" t="s">
        <v>238</v>
      </c>
      <c r="FL3644" s="5" t="s">
        <v>238</v>
      </c>
      <c r="FM3644" s="5" t="s">
        <v>238</v>
      </c>
      <c r="FN3644" s="5" t="s">
        <v>238</v>
      </c>
      <c r="FO3644" s="5" t="s">
        <v>238</v>
      </c>
      <c r="FP3644" s="5" t="s">
        <v>238</v>
      </c>
      <c r="FQ3644" s="5" t="s">
        <v>238</v>
      </c>
      <c r="FR3644" s="5" t="s">
        <v>238</v>
      </c>
      <c r="FS3644" s="5" t="s">
        <v>238</v>
      </c>
      <c r="FT3644" s="5" t="s">
        <v>238</v>
      </c>
      <c r="FU3644" s="5" t="s">
        <v>238</v>
      </c>
      <c r="FV3644" s="5" t="s">
        <v>238</v>
      </c>
      <c r="FW3644" s="5" t="s">
        <v>238</v>
      </c>
      <c r="FX3644" s="5" t="s">
        <v>238</v>
      </c>
      <c r="FY3644" s="5" t="s">
        <v>238</v>
      </c>
      <c r="FZ3644" s="5" t="s">
        <v>238</v>
      </c>
      <c r="GA3644" s="5" t="s">
        <v>238</v>
      </c>
      <c r="GB3644" s="5" t="s">
        <v>238</v>
      </c>
      <c r="GC3644" s="5" t="s">
        <v>238</v>
      </c>
      <c r="GD3644" s="5" t="s">
        <v>238</v>
      </c>
      <c r="GE3644" s="5" t="s">
        <v>238</v>
      </c>
      <c r="GF3644" s="5" t="s">
        <v>238</v>
      </c>
      <c r="GG3644" s="5" t="s">
        <v>238</v>
      </c>
      <c r="GH3644" s="5" t="s">
        <v>238</v>
      </c>
      <c r="GI3644" s="5" t="s">
        <v>238</v>
      </c>
      <c r="GJ3644" s="5" t="s">
        <v>238</v>
      </c>
      <c r="GK3644" s="5" t="s">
        <v>238</v>
      </c>
      <c r="GL3644" s="5" t="s">
        <v>238</v>
      </c>
      <c r="GM3644" s="5" t="s">
        <v>238</v>
      </c>
      <c r="GN3644" s="5" t="s">
        <v>238</v>
      </c>
      <c r="GO3644" s="5" t="s">
        <v>238</v>
      </c>
      <c r="GP3644" s="5" t="s">
        <v>238</v>
      </c>
      <c r="GQ3644" s="5" t="s">
        <v>238</v>
      </c>
      <c r="GR3644" s="5" t="s">
        <v>238</v>
      </c>
      <c r="GS3644" s="5" t="s">
        <v>238</v>
      </c>
      <c r="GT3644" s="5" t="s">
        <v>238</v>
      </c>
      <c r="GU3644" s="5" t="s">
        <v>238</v>
      </c>
      <c r="GV3644" s="5" t="s">
        <v>238</v>
      </c>
      <c r="GW3644" s="5" t="s">
        <v>238</v>
      </c>
      <c r="GX3644" s="5" t="s">
        <v>238</v>
      </c>
      <c r="GY3644" s="5" t="s">
        <v>238</v>
      </c>
      <c r="GZ3644" s="5" t="s">
        <v>238</v>
      </c>
      <c r="HA3644" s="5" t="s">
        <v>238</v>
      </c>
      <c r="HB3644" s="5" t="s">
        <v>238</v>
      </c>
      <c r="HC3644" s="5" t="s">
        <v>238</v>
      </c>
      <c r="HD3644" s="5" t="s">
        <v>238</v>
      </c>
      <c r="HE3644" s="5" t="s">
        <v>238</v>
      </c>
      <c r="HF3644" s="5" t="s">
        <v>238</v>
      </c>
      <c r="HG3644" s="5" t="s">
        <v>238</v>
      </c>
      <c r="HH3644" s="5" t="s">
        <v>238</v>
      </c>
      <c r="HI3644" s="5" t="s">
        <v>238</v>
      </c>
      <c r="HJ3644" s="5" t="s">
        <v>238</v>
      </c>
      <c r="HK3644" s="5" t="s">
        <v>238</v>
      </c>
      <c r="HL3644" s="5" t="s">
        <v>238</v>
      </c>
      <c r="HM3644" s="5" t="s">
        <v>264</v>
      </c>
      <c r="HN3644" s="5" t="s">
        <v>238</v>
      </c>
      <c r="HO3644" s="5" t="s">
        <v>238</v>
      </c>
      <c r="HP3644" s="5" t="s">
        <v>238</v>
      </c>
      <c r="HQ3644" s="5" t="s">
        <v>238</v>
      </c>
      <c r="HR3644" s="5" t="s">
        <v>238</v>
      </c>
      <c r="HS3644" s="5" t="s">
        <v>238</v>
      </c>
      <c r="HT3644" s="5" t="s">
        <v>238</v>
      </c>
      <c r="HU3644" s="5" t="s">
        <v>238</v>
      </c>
      <c r="HV3644" s="5" t="s">
        <v>238</v>
      </c>
      <c r="HW3644" s="5" t="s">
        <v>238</v>
      </c>
      <c r="HX3644" s="5" t="s">
        <v>238</v>
      </c>
      <c r="HY3644" s="5" t="s">
        <v>238</v>
      </c>
      <c r="HZ3644" s="5" t="s">
        <v>238</v>
      </c>
      <c r="IA3644" s="5" t="s">
        <v>238</v>
      </c>
      <c r="IB3644" s="5" t="s">
        <v>238</v>
      </c>
      <c r="IC3644" s="5" t="s">
        <v>238</v>
      </c>
      <c r="ID3644" s="5" t="s">
        <v>238</v>
      </c>
    </row>
    <row r="3645" spans="1:238" x14ac:dyDescent="0.4">
      <c r="A3645" s="5">
        <v>9363</v>
      </c>
      <c r="B3645" s="5">
        <v>1</v>
      </c>
      <c r="C3645" s="5">
        <v>1</v>
      </c>
      <c r="D3645" s="5" t="s">
        <v>484</v>
      </c>
      <c r="E3645" s="5" t="s">
        <v>485</v>
      </c>
      <c r="F3645" s="5" t="s">
        <v>248</v>
      </c>
      <c r="G3645" s="5" t="s">
        <v>5328</v>
      </c>
      <c r="H3645" s="6" t="s">
        <v>5329</v>
      </c>
      <c r="I3645" s="8">
        <f>1</f>
        <v>1</v>
      </c>
      <c r="J3645" s="5" t="s">
        <v>499</v>
      </c>
      <c r="K3645" s="8">
        <f>1</f>
        <v>1</v>
      </c>
      <c r="L3645" s="6" t="s">
        <v>242</v>
      </c>
      <c r="M3645" s="5" t="s">
        <v>267</v>
      </c>
      <c r="N3645" s="5" t="s">
        <v>482</v>
      </c>
      <c r="O3645" s="5" t="s">
        <v>238</v>
      </c>
      <c r="P3645" s="5" t="s">
        <v>238</v>
      </c>
      <c r="Q3645" s="5" t="s">
        <v>239</v>
      </c>
      <c r="R3645" s="5" t="s">
        <v>270</v>
      </c>
      <c r="S3645" s="5" t="s">
        <v>238</v>
      </c>
      <c r="T3645" s="5" t="s">
        <v>238</v>
      </c>
      <c r="U3645" s="5" t="s">
        <v>238</v>
      </c>
      <c r="V3645" s="5" t="s">
        <v>238</v>
      </c>
      <c r="W3645" s="6" t="s">
        <v>238</v>
      </c>
      <c r="X3645" s="6" t="s">
        <v>238</v>
      </c>
      <c r="Y3645" s="5" t="s">
        <v>238</v>
      </c>
      <c r="Z3645" s="6" t="s">
        <v>238</v>
      </c>
      <c r="AA3645" s="6" t="s">
        <v>243</v>
      </c>
      <c r="AB3645" s="5" t="s">
        <v>486</v>
      </c>
      <c r="AC3645" s="5" t="s">
        <v>244</v>
      </c>
      <c r="AD3645" s="5" t="s">
        <v>245</v>
      </c>
      <c r="AE3645" s="5" t="s">
        <v>238</v>
      </c>
      <c r="AF3645" s="5" t="s">
        <v>238</v>
      </c>
      <c r="AG3645" s="5" t="s">
        <v>238</v>
      </c>
      <c r="AH3645" s="5" t="s">
        <v>238</v>
      </c>
      <c r="AI3645" s="5" t="s">
        <v>238</v>
      </c>
      <c r="AJ3645" s="5" t="s">
        <v>238</v>
      </c>
      <c r="AK3645" s="5" t="s">
        <v>238</v>
      </c>
      <c r="AL3645" s="5" t="s">
        <v>238</v>
      </c>
      <c r="AM3645" s="6" t="s">
        <v>238</v>
      </c>
      <c r="AN3645" s="6" t="s">
        <v>238</v>
      </c>
      <c r="AO3645" s="6" t="s">
        <v>238</v>
      </c>
      <c r="AP3645" s="6" t="s">
        <v>238</v>
      </c>
      <c r="AQ3645" s="5" t="s">
        <v>238</v>
      </c>
      <c r="AR3645" s="5" t="s">
        <v>488</v>
      </c>
      <c r="AS3645" s="5" t="s">
        <v>488</v>
      </c>
      <c r="AT3645" s="5" t="s">
        <v>246</v>
      </c>
      <c r="AU3645" s="5" t="s">
        <v>489</v>
      </c>
      <c r="AV3645" s="5" t="s">
        <v>247</v>
      </c>
      <c r="AW3645" s="5" t="s">
        <v>238</v>
      </c>
      <c r="AX3645" s="5" t="s">
        <v>249</v>
      </c>
      <c r="AY3645" s="5" t="s">
        <v>490</v>
      </c>
      <c r="BA3645" s="5" t="s">
        <v>238</v>
      </c>
      <c r="BC3645" s="5" t="s">
        <v>491</v>
      </c>
      <c r="BD3645" s="6" t="s">
        <v>492</v>
      </c>
      <c r="BE3645" s="5" t="s">
        <v>493</v>
      </c>
      <c r="BF3645" s="5" t="s">
        <v>493</v>
      </c>
      <c r="BG3645" s="5" t="s">
        <v>238</v>
      </c>
      <c r="BH3645" s="8">
        <f>1</f>
        <v>1</v>
      </c>
      <c r="BI3645" s="8">
        <f>1</f>
        <v>1</v>
      </c>
      <c r="BJ3645" s="5" t="s">
        <v>253</v>
      </c>
      <c r="BK3645" s="5" t="s">
        <v>254</v>
      </c>
      <c r="BL3645" s="5" t="s">
        <v>238</v>
      </c>
      <c r="BM3645" s="5" t="s">
        <v>238</v>
      </c>
      <c r="BN3645" s="5" t="s">
        <v>238</v>
      </c>
      <c r="BO3645" s="5" t="s">
        <v>238</v>
      </c>
      <c r="BP3645" s="5" t="s">
        <v>238</v>
      </c>
      <c r="BQ3645" s="5" t="s">
        <v>238</v>
      </c>
      <c r="BR3645" s="5" t="s">
        <v>238</v>
      </c>
      <c r="BS3645" s="5" t="s">
        <v>238</v>
      </c>
      <c r="BT3645" s="6" t="s">
        <v>238</v>
      </c>
      <c r="BU3645" s="5" t="s">
        <v>238</v>
      </c>
      <c r="BV3645" s="5" t="s">
        <v>238</v>
      </c>
      <c r="BW3645" s="5" t="s">
        <v>238</v>
      </c>
      <c r="BX3645" s="5" t="s">
        <v>254</v>
      </c>
      <c r="BY3645" s="5" t="s">
        <v>238</v>
      </c>
      <c r="BZ3645" s="5" t="s">
        <v>238</v>
      </c>
      <c r="CA3645" s="5" t="s">
        <v>238</v>
      </c>
      <c r="CB3645" s="5" t="s">
        <v>238</v>
      </c>
      <c r="CC3645" s="5" t="s">
        <v>238</v>
      </c>
      <c r="CD3645" s="5" t="s">
        <v>273</v>
      </c>
      <c r="CE3645" s="5" t="s">
        <v>256</v>
      </c>
      <c r="CF3645" s="5" t="s">
        <v>238</v>
      </c>
      <c r="CH3645" s="5" t="s">
        <v>494</v>
      </c>
      <c r="CI3645" s="6" t="s">
        <v>257</v>
      </c>
      <c r="CJ3645" s="5" t="s">
        <v>495</v>
      </c>
      <c r="CK3645" s="5" t="s">
        <v>258</v>
      </c>
      <c r="CL3645" s="5" t="s">
        <v>496</v>
      </c>
      <c r="CM3645" s="5" t="s">
        <v>238</v>
      </c>
      <c r="CN3645" s="5">
        <v>0</v>
      </c>
      <c r="CO3645" s="5" t="s">
        <v>497</v>
      </c>
      <c r="CP3645" s="5" t="s">
        <v>260</v>
      </c>
      <c r="CQ3645" s="5" t="s">
        <v>260</v>
      </c>
      <c r="CR3645" s="5" t="s">
        <v>261</v>
      </c>
      <c r="CS3645" s="5" t="s">
        <v>498</v>
      </c>
      <c r="CT3645" s="7">
        <f>1</f>
        <v>1</v>
      </c>
      <c r="CU3645" s="8">
        <f>1</f>
        <v>1</v>
      </c>
      <c r="CV3645" s="8">
        <f>0</f>
        <v>0</v>
      </c>
      <c r="CX3645" s="8">
        <f>1</f>
        <v>1</v>
      </c>
      <c r="CY3645" s="8">
        <f>1</f>
        <v>1</v>
      </c>
      <c r="CZ3645" s="8" t="s">
        <v>238</v>
      </c>
      <c r="DA3645" s="5" t="s">
        <v>238</v>
      </c>
      <c r="DB3645" s="5" t="s">
        <v>238</v>
      </c>
      <c r="DC3645" s="5" t="s">
        <v>238</v>
      </c>
      <c r="DD3645" s="5" t="s">
        <v>238</v>
      </c>
      <c r="DE3645" s="8">
        <f>0</f>
        <v>0</v>
      </c>
      <c r="DG3645" s="5" t="s">
        <v>238</v>
      </c>
      <c r="DH3645" s="5" t="s">
        <v>238</v>
      </c>
      <c r="DI3645" s="5" t="s">
        <v>238</v>
      </c>
      <c r="DJ3645" s="5" t="s">
        <v>238</v>
      </c>
      <c r="DK3645" s="5" t="s">
        <v>238</v>
      </c>
      <c r="DL3645" s="5" t="s">
        <v>238</v>
      </c>
      <c r="DM3645" s="8" t="s">
        <v>238</v>
      </c>
      <c r="DN3645" s="5" t="s">
        <v>238</v>
      </c>
      <c r="DO3645" s="5" t="s">
        <v>238</v>
      </c>
      <c r="DP3645" s="5" t="s">
        <v>490</v>
      </c>
      <c r="DQ3645" s="5" t="s">
        <v>490</v>
      </c>
      <c r="DR3645" s="5" t="s">
        <v>238</v>
      </c>
      <c r="DS3645" s="5" t="s">
        <v>238</v>
      </c>
      <c r="DT3645" s="5" t="s">
        <v>500</v>
      </c>
      <c r="DU3645" s="5" t="s">
        <v>1307</v>
      </c>
      <c r="DV3645" s="5" t="s">
        <v>238</v>
      </c>
      <c r="DW3645" s="5" t="s">
        <v>238</v>
      </c>
      <c r="DX3645" s="5" t="s">
        <v>238</v>
      </c>
      <c r="DY3645" s="5" t="s">
        <v>238</v>
      </c>
      <c r="DZ3645" s="5" t="s">
        <v>238</v>
      </c>
      <c r="EA3645" s="5" t="s">
        <v>238</v>
      </c>
      <c r="EB3645" s="5" t="s">
        <v>238</v>
      </c>
      <c r="EC3645" s="5" t="s">
        <v>238</v>
      </c>
      <c r="ED3645" s="5" t="s">
        <v>238</v>
      </c>
      <c r="EE3645" s="5" t="s">
        <v>238</v>
      </c>
      <c r="EF3645" s="5" t="s">
        <v>238</v>
      </c>
      <c r="EG3645" s="5" t="s">
        <v>238</v>
      </c>
      <c r="EH3645" s="5" t="s">
        <v>238</v>
      </c>
      <c r="EI3645" s="5" t="s">
        <v>238</v>
      </c>
      <c r="EJ3645" s="5" t="s">
        <v>238</v>
      </c>
      <c r="EK3645" s="5" t="s">
        <v>238</v>
      </c>
      <c r="EL3645" s="5" t="s">
        <v>238</v>
      </c>
      <c r="EM3645" s="5" t="s">
        <v>238</v>
      </c>
      <c r="EN3645" s="5" t="s">
        <v>238</v>
      </c>
      <c r="EO3645" s="5" t="s">
        <v>238</v>
      </c>
      <c r="EP3645" s="5" t="s">
        <v>238</v>
      </c>
      <c r="EQ3645" s="5" t="s">
        <v>238</v>
      </c>
      <c r="ER3645" s="5" t="s">
        <v>238</v>
      </c>
      <c r="ES3645" s="5" t="s">
        <v>238</v>
      </c>
      <c r="ET3645" s="5" t="s">
        <v>238</v>
      </c>
      <c r="EU3645" s="5" t="s">
        <v>238</v>
      </c>
      <c r="EV3645" s="5" t="s">
        <v>238</v>
      </c>
      <c r="EW3645" s="5" t="s">
        <v>238</v>
      </c>
      <c r="EX3645" s="5" t="s">
        <v>238</v>
      </c>
      <c r="EY3645" s="5" t="s">
        <v>238</v>
      </c>
      <c r="EZ3645" s="5" t="s">
        <v>238</v>
      </c>
      <c r="FA3645" s="5" t="s">
        <v>238</v>
      </c>
      <c r="FB3645" s="5" t="s">
        <v>238</v>
      </c>
      <c r="FC3645" s="5" t="s">
        <v>238</v>
      </c>
      <c r="FD3645" s="5" t="s">
        <v>238</v>
      </c>
      <c r="FE3645" s="5" t="s">
        <v>238</v>
      </c>
      <c r="FF3645" s="5" t="s">
        <v>238</v>
      </c>
      <c r="FG3645" s="5" t="s">
        <v>238</v>
      </c>
      <c r="FH3645" s="5" t="s">
        <v>238</v>
      </c>
      <c r="FI3645" s="5" t="s">
        <v>238</v>
      </c>
      <c r="FJ3645" s="5" t="s">
        <v>238</v>
      </c>
      <c r="FK3645" s="5" t="s">
        <v>238</v>
      </c>
      <c r="FL3645" s="5" t="s">
        <v>238</v>
      </c>
      <c r="FM3645" s="5" t="s">
        <v>238</v>
      </c>
      <c r="FN3645" s="5" t="s">
        <v>238</v>
      </c>
      <c r="FO3645" s="5" t="s">
        <v>238</v>
      </c>
      <c r="FP3645" s="5" t="s">
        <v>238</v>
      </c>
      <c r="FQ3645" s="5" t="s">
        <v>238</v>
      </c>
      <c r="FR3645" s="5" t="s">
        <v>238</v>
      </c>
      <c r="FS3645" s="5" t="s">
        <v>238</v>
      </c>
      <c r="FT3645" s="5" t="s">
        <v>238</v>
      </c>
      <c r="FU3645" s="5" t="s">
        <v>238</v>
      </c>
      <c r="FV3645" s="5" t="s">
        <v>238</v>
      </c>
      <c r="FW3645" s="5" t="s">
        <v>238</v>
      </c>
      <c r="FX3645" s="5" t="s">
        <v>238</v>
      </c>
      <c r="FY3645" s="5" t="s">
        <v>238</v>
      </c>
      <c r="FZ3645" s="5" t="s">
        <v>238</v>
      </c>
      <c r="GA3645" s="5" t="s">
        <v>238</v>
      </c>
      <c r="GB3645" s="5" t="s">
        <v>238</v>
      </c>
      <c r="GC3645" s="5" t="s">
        <v>238</v>
      </c>
      <c r="GD3645" s="5" t="s">
        <v>238</v>
      </c>
      <c r="GE3645" s="5" t="s">
        <v>238</v>
      </c>
      <c r="GF3645" s="5" t="s">
        <v>238</v>
      </c>
      <c r="GG3645" s="5" t="s">
        <v>238</v>
      </c>
      <c r="GH3645" s="5" t="s">
        <v>238</v>
      </c>
      <c r="GI3645" s="5" t="s">
        <v>238</v>
      </c>
      <c r="GJ3645" s="5" t="s">
        <v>238</v>
      </c>
      <c r="GK3645" s="5" t="s">
        <v>238</v>
      </c>
      <c r="GL3645" s="5" t="s">
        <v>238</v>
      </c>
      <c r="GM3645" s="5" t="s">
        <v>238</v>
      </c>
      <c r="GN3645" s="5" t="s">
        <v>238</v>
      </c>
      <c r="GO3645" s="5" t="s">
        <v>238</v>
      </c>
      <c r="GP3645" s="5" t="s">
        <v>238</v>
      </c>
      <c r="GQ3645" s="5" t="s">
        <v>238</v>
      </c>
      <c r="GR3645" s="5" t="s">
        <v>238</v>
      </c>
      <c r="GS3645" s="5" t="s">
        <v>238</v>
      </c>
      <c r="GT3645" s="5" t="s">
        <v>238</v>
      </c>
      <c r="GU3645" s="5" t="s">
        <v>238</v>
      </c>
      <c r="GV3645" s="5" t="s">
        <v>238</v>
      </c>
      <c r="GW3645" s="5" t="s">
        <v>238</v>
      </c>
      <c r="GX3645" s="5" t="s">
        <v>238</v>
      </c>
      <c r="GY3645" s="5" t="s">
        <v>238</v>
      </c>
      <c r="GZ3645" s="5" t="s">
        <v>238</v>
      </c>
      <c r="HA3645" s="5" t="s">
        <v>238</v>
      </c>
      <c r="HB3645" s="5" t="s">
        <v>238</v>
      </c>
      <c r="HC3645" s="5" t="s">
        <v>238</v>
      </c>
      <c r="HD3645" s="5" t="s">
        <v>238</v>
      </c>
      <c r="HE3645" s="5" t="s">
        <v>238</v>
      </c>
      <c r="HF3645" s="5" t="s">
        <v>238</v>
      </c>
      <c r="HG3645" s="5" t="s">
        <v>238</v>
      </c>
      <c r="HH3645" s="5" t="s">
        <v>238</v>
      </c>
      <c r="HI3645" s="5" t="s">
        <v>238</v>
      </c>
      <c r="HJ3645" s="5" t="s">
        <v>238</v>
      </c>
      <c r="HK3645" s="5" t="s">
        <v>238</v>
      </c>
      <c r="HL3645" s="5" t="s">
        <v>238</v>
      </c>
      <c r="HM3645" s="5" t="s">
        <v>264</v>
      </c>
      <c r="HN3645" s="5" t="s">
        <v>238</v>
      </c>
      <c r="HO3645" s="5" t="s">
        <v>238</v>
      </c>
      <c r="HP3645" s="5" t="s">
        <v>238</v>
      </c>
      <c r="HQ3645" s="5" t="s">
        <v>238</v>
      </c>
      <c r="HR3645" s="5" t="s">
        <v>238</v>
      </c>
      <c r="HS3645" s="5" t="s">
        <v>238</v>
      </c>
      <c r="HT3645" s="5" t="s">
        <v>238</v>
      </c>
      <c r="HU3645" s="5" t="s">
        <v>238</v>
      </c>
      <c r="HV3645" s="5" t="s">
        <v>238</v>
      </c>
      <c r="HW3645" s="5" t="s">
        <v>238</v>
      </c>
      <c r="HX3645" s="5" t="s">
        <v>238</v>
      </c>
      <c r="HY3645" s="5" t="s">
        <v>238</v>
      </c>
      <c r="HZ3645" s="5" t="s">
        <v>238</v>
      </c>
      <c r="IA3645" s="5" t="s">
        <v>238</v>
      </c>
      <c r="IB3645" s="5" t="s">
        <v>238</v>
      </c>
      <c r="IC3645" s="5" t="s">
        <v>238</v>
      </c>
      <c r="ID3645" s="5" t="s">
        <v>238</v>
      </c>
    </row>
    <row r="3646" spans="1:238" x14ac:dyDescent="0.4">
      <c r="A3646" s="5">
        <v>9364</v>
      </c>
      <c r="B3646" s="5">
        <v>1</v>
      </c>
      <c r="C3646" s="5">
        <v>1</v>
      </c>
      <c r="D3646" s="5" t="s">
        <v>484</v>
      </c>
      <c r="E3646" s="5" t="s">
        <v>485</v>
      </c>
      <c r="F3646" s="5" t="s">
        <v>248</v>
      </c>
      <c r="G3646" s="5" t="s">
        <v>5232</v>
      </c>
      <c r="H3646" s="6" t="s">
        <v>5233</v>
      </c>
      <c r="I3646" s="8">
        <f>1</f>
        <v>1</v>
      </c>
      <c r="J3646" s="5" t="s">
        <v>499</v>
      </c>
      <c r="K3646" s="8">
        <f>1</f>
        <v>1</v>
      </c>
      <c r="L3646" s="6" t="s">
        <v>242</v>
      </c>
      <c r="M3646" s="5" t="s">
        <v>267</v>
      </c>
      <c r="N3646" s="5" t="s">
        <v>482</v>
      </c>
      <c r="O3646" s="5" t="s">
        <v>238</v>
      </c>
      <c r="P3646" s="5" t="s">
        <v>238</v>
      </c>
      <c r="Q3646" s="5" t="s">
        <v>239</v>
      </c>
      <c r="R3646" s="5" t="s">
        <v>270</v>
      </c>
      <c r="S3646" s="5" t="s">
        <v>238</v>
      </c>
      <c r="T3646" s="5" t="s">
        <v>238</v>
      </c>
      <c r="U3646" s="5" t="s">
        <v>238</v>
      </c>
      <c r="V3646" s="5" t="s">
        <v>238</v>
      </c>
      <c r="W3646" s="6" t="s">
        <v>238</v>
      </c>
      <c r="X3646" s="6" t="s">
        <v>238</v>
      </c>
      <c r="Y3646" s="5" t="s">
        <v>238</v>
      </c>
      <c r="Z3646" s="6" t="s">
        <v>238</v>
      </c>
      <c r="AA3646" s="6" t="s">
        <v>243</v>
      </c>
      <c r="AB3646" s="5" t="s">
        <v>486</v>
      </c>
      <c r="AC3646" s="5" t="s">
        <v>244</v>
      </c>
      <c r="AD3646" s="5" t="s">
        <v>245</v>
      </c>
      <c r="AE3646" s="5" t="s">
        <v>238</v>
      </c>
      <c r="AF3646" s="5" t="s">
        <v>238</v>
      </c>
      <c r="AG3646" s="5" t="s">
        <v>238</v>
      </c>
      <c r="AH3646" s="5" t="s">
        <v>238</v>
      </c>
      <c r="AI3646" s="5" t="s">
        <v>238</v>
      </c>
      <c r="AJ3646" s="5" t="s">
        <v>238</v>
      </c>
      <c r="AK3646" s="5" t="s">
        <v>238</v>
      </c>
      <c r="AL3646" s="5" t="s">
        <v>238</v>
      </c>
      <c r="AM3646" s="6" t="s">
        <v>238</v>
      </c>
      <c r="AN3646" s="6" t="s">
        <v>238</v>
      </c>
      <c r="AO3646" s="6" t="s">
        <v>238</v>
      </c>
      <c r="AP3646" s="6" t="s">
        <v>238</v>
      </c>
      <c r="AQ3646" s="5" t="s">
        <v>238</v>
      </c>
      <c r="AR3646" s="5" t="s">
        <v>488</v>
      </c>
      <c r="AS3646" s="5" t="s">
        <v>488</v>
      </c>
      <c r="AT3646" s="5" t="s">
        <v>246</v>
      </c>
      <c r="AU3646" s="5" t="s">
        <v>489</v>
      </c>
      <c r="AV3646" s="5" t="s">
        <v>247</v>
      </c>
      <c r="AW3646" s="5" t="s">
        <v>238</v>
      </c>
      <c r="AX3646" s="5" t="s">
        <v>249</v>
      </c>
      <c r="AY3646" s="5" t="s">
        <v>490</v>
      </c>
      <c r="BA3646" s="5" t="s">
        <v>238</v>
      </c>
      <c r="BC3646" s="5" t="s">
        <v>491</v>
      </c>
      <c r="BD3646" s="6" t="s">
        <v>492</v>
      </c>
      <c r="BE3646" s="5" t="s">
        <v>493</v>
      </c>
      <c r="BF3646" s="5" t="s">
        <v>493</v>
      </c>
      <c r="BG3646" s="5" t="s">
        <v>238</v>
      </c>
      <c r="BH3646" s="8">
        <f>1</f>
        <v>1</v>
      </c>
      <c r="BI3646" s="8">
        <f>1</f>
        <v>1</v>
      </c>
      <c r="BJ3646" s="5" t="s">
        <v>253</v>
      </c>
      <c r="BK3646" s="5" t="s">
        <v>254</v>
      </c>
      <c r="BL3646" s="5" t="s">
        <v>238</v>
      </c>
      <c r="BM3646" s="5" t="s">
        <v>238</v>
      </c>
      <c r="BN3646" s="5" t="s">
        <v>238</v>
      </c>
      <c r="BO3646" s="5" t="s">
        <v>238</v>
      </c>
      <c r="BP3646" s="5" t="s">
        <v>238</v>
      </c>
      <c r="BQ3646" s="5" t="s">
        <v>238</v>
      </c>
      <c r="BR3646" s="5" t="s">
        <v>238</v>
      </c>
      <c r="BS3646" s="5" t="s">
        <v>238</v>
      </c>
      <c r="BT3646" s="6" t="s">
        <v>238</v>
      </c>
      <c r="BU3646" s="5" t="s">
        <v>238</v>
      </c>
      <c r="BV3646" s="5" t="s">
        <v>238</v>
      </c>
      <c r="BW3646" s="5" t="s">
        <v>238</v>
      </c>
      <c r="BX3646" s="5" t="s">
        <v>254</v>
      </c>
      <c r="BY3646" s="5" t="s">
        <v>238</v>
      </c>
      <c r="BZ3646" s="5" t="s">
        <v>238</v>
      </c>
      <c r="CA3646" s="5" t="s">
        <v>238</v>
      </c>
      <c r="CB3646" s="5" t="s">
        <v>238</v>
      </c>
      <c r="CC3646" s="5" t="s">
        <v>238</v>
      </c>
      <c r="CD3646" s="5" t="s">
        <v>273</v>
      </c>
      <c r="CE3646" s="5" t="s">
        <v>256</v>
      </c>
      <c r="CF3646" s="5" t="s">
        <v>238</v>
      </c>
      <c r="CH3646" s="5" t="s">
        <v>494</v>
      </c>
      <c r="CI3646" s="6" t="s">
        <v>257</v>
      </c>
      <c r="CJ3646" s="5" t="s">
        <v>495</v>
      </c>
      <c r="CK3646" s="5" t="s">
        <v>258</v>
      </c>
      <c r="CL3646" s="5" t="s">
        <v>496</v>
      </c>
      <c r="CM3646" s="5" t="s">
        <v>238</v>
      </c>
      <c r="CN3646" s="5">
        <v>0</v>
      </c>
      <c r="CO3646" s="5" t="s">
        <v>497</v>
      </c>
      <c r="CP3646" s="5" t="s">
        <v>260</v>
      </c>
      <c r="CQ3646" s="5" t="s">
        <v>260</v>
      </c>
      <c r="CR3646" s="5" t="s">
        <v>261</v>
      </c>
      <c r="CS3646" s="5" t="s">
        <v>498</v>
      </c>
      <c r="CT3646" s="7">
        <f>1</f>
        <v>1</v>
      </c>
      <c r="CU3646" s="8">
        <f>1</f>
        <v>1</v>
      </c>
      <c r="CV3646" s="8">
        <f>0</f>
        <v>0</v>
      </c>
      <c r="CX3646" s="8">
        <f>1</f>
        <v>1</v>
      </c>
      <c r="CY3646" s="8">
        <f>1</f>
        <v>1</v>
      </c>
      <c r="CZ3646" s="8" t="s">
        <v>238</v>
      </c>
      <c r="DA3646" s="5" t="s">
        <v>238</v>
      </c>
      <c r="DB3646" s="5" t="s">
        <v>238</v>
      </c>
      <c r="DC3646" s="5" t="s">
        <v>238</v>
      </c>
      <c r="DD3646" s="5" t="s">
        <v>238</v>
      </c>
      <c r="DE3646" s="8">
        <f>0</f>
        <v>0</v>
      </c>
      <c r="DG3646" s="5" t="s">
        <v>238</v>
      </c>
      <c r="DH3646" s="5" t="s">
        <v>238</v>
      </c>
      <c r="DI3646" s="5" t="s">
        <v>238</v>
      </c>
      <c r="DJ3646" s="5" t="s">
        <v>238</v>
      </c>
      <c r="DK3646" s="5" t="s">
        <v>238</v>
      </c>
      <c r="DL3646" s="5" t="s">
        <v>238</v>
      </c>
      <c r="DM3646" s="8" t="s">
        <v>238</v>
      </c>
      <c r="DN3646" s="5" t="s">
        <v>238</v>
      </c>
      <c r="DO3646" s="5" t="s">
        <v>238</v>
      </c>
      <c r="DP3646" s="5" t="s">
        <v>490</v>
      </c>
      <c r="DQ3646" s="5" t="s">
        <v>490</v>
      </c>
      <c r="DR3646" s="5" t="s">
        <v>238</v>
      </c>
      <c r="DS3646" s="5" t="s">
        <v>238</v>
      </c>
      <c r="DT3646" s="5" t="s">
        <v>500</v>
      </c>
      <c r="DU3646" s="5" t="s">
        <v>1320</v>
      </c>
      <c r="DV3646" s="5" t="s">
        <v>238</v>
      </c>
      <c r="DW3646" s="5" t="s">
        <v>238</v>
      </c>
      <c r="DX3646" s="5" t="s">
        <v>238</v>
      </c>
      <c r="DY3646" s="5" t="s">
        <v>238</v>
      </c>
      <c r="DZ3646" s="5" t="s">
        <v>238</v>
      </c>
      <c r="EA3646" s="5" t="s">
        <v>238</v>
      </c>
      <c r="EB3646" s="5" t="s">
        <v>238</v>
      </c>
      <c r="EC3646" s="5" t="s">
        <v>238</v>
      </c>
      <c r="ED3646" s="5" t="s">
        <v>238</v>
      </c>
      <c r="EE3646" s="5" t="s">
        <v>238</v>
      </c>
      <c r="EF3646" s="5" t="s">
        <v>238</v>
      </c>
      <c r="EG3646" s="5" t="s">
        <v>238</v>
      </c>
      <c r="EH3646" s="5" t="s">
        <v>238</v>
      </c>
      <c r="EI3646" s="5" t="s">
        <v>238</v>
      </c>
      <c r="EJ3646" s="5" t="s">
        <v>238</v>
      </c>
      <c r="EK3646" s="5" t="s">
        <v>238</v>
      </c>
      <c r="EL3646" s="5" t="s">
        <v>238</v>
      </c>
      <c r="EM3646" s="5" t="s">
        <v>238</v>
      </c>
      <c r="EN3646" s="5" t="s">
        <v>238</v>
      </c>
      <c r="EO3646" s="5" t="s">
        <v>238</v>
      </c>
      <c r="EP3646" s="5" t="s">
        <v>238</v>
      </c>
      <c r="EQ3646" s="5" t="s">
        <v>238</v>
      </c>
      <c r="ER3646" s="5" t="s">
        <v>238</v>
      </c>
      <c r="ES3646" s="5" t="s">
        <v>238</v>
      </c>
      <c r="ET3646" s="5" t="s">
        <v>238</v>
      </c>
      <c r="EU3646" s="5" t="s">
        <v>238</v>
      </c>
      <c r="EV3646" s="5" t="s">
        <v>238</v>
      </c>
      <c r="EW3646" s="5" t="s">
        <v>238</v>
      </c>
      <c r="EX3646" s="5" t="s">
        <v>238</v>
      </c>
      <c r="EY3646" s="5" t="s">
        <v>238</v>
      </c>
      <c r="EZ3646" s="5" t="s">
        <v>238</v>
      </c>
      <c r="FA3646" s="5" t="s">
        <v>238</v>
      </c>
      <c r="FB3646" s="5" t="s">
        <v>238</v>
      </c>
      <c r="FC3646" s="5" t="s">
        <v>238</v>
      </c>
      <c r="FD3646" s="5" t="s">
        <v>238</v>
      </c>
      <c r="FE3646" s="5" t="s">
        <v>238</v>
      </c>
      <c r="FF3646" s="5" t="s">
        <v>238</v>
      </c>
      <c r="FG3646" s="5" t="s">
        <v>238</v>
      </c>
      <c r="FH3646" s="5" t="s">
        <v>238</v>
      </c>
      <c r="FI3646" s="5" t="s">
        <v>238</v>
      </c>
      <c r="FJ3646" s="5" t="s">
        <v>238</v>
      </c>
      <c r="FK3646" s="5" t="s">
        <v>238</v>
      </c>
      <c r="FL3646" s="5" t="s">
        <v>238</v>
      </c>
      <c r="FM3646" s="5" t="s">
        <v>238</v>
      </c>
      <c r="FN3646" s="5" t="s">
        <v>238</v>
      </c>
      <c r="FO3646" s="5" t="s">
        <v>238</v>
      </c>
      <c r="FP3646" s="5" t="s">
        <v>238</v>
      </c>
      <c r="FQ3646" s="5" t="s">
        <v>238</v>
      </c>
      <c r="FR3646" s="5" t="s">
        <v>238</v>
      </c>
      <c r="FS3646" s="5" t="s">
        <v>238</v>
      </c>
      <c r="FT3646" s="5" t="s">
        <v>238</v>
      </c>
      <c r="FU3646" s="5" t="s">
        <v>238</v>
      </c>
      <c r="FV3646" s="5" t="s">
        <v>238</v>
      </c>
      <c r="FW3646" s="5" t="s">
        <v>238</v>
      </c>
      <c r="FX3646" s="5" t="s">
        <v>238</v>
      </c>
      <c r="FY3646" s="5" t="s">
        <v>238</v>
      </c>
      <c r="FZ3646" s="5" t="s">
        <v>238</v>
      </c>
      <c r="GA3646" s="5" t="s">
        <v>238</v>
      </c>
      <c r="GB3646" s="5" t="s">
        <v>238</v>
      </c>
      <c r="GC3646" s="5" t="s">
        <v>238</v>
      </c>
      <c r="GD3646" s="5" t="s">
        <v>238</v>
      </c>
      <c r="GE3646" s="5" t="s">
        <v>238</v>
      </c>
      <c r="GF3646" s="5" t="s">
        <v>238</v>
      </c>
      <c r="GG3646" s="5" t="s">
        <v>238</v>
      </c>
      <c r="GH3646" s="5" t="s">
        <v>238</v>
      </c>
      <c r="GI3646" s="5" t="s">
        <v>238</v>
      </c>
      <c r="GJ3646" s="5" t="s">
        <v>238</v>
      </c>
      <c r="GK3646" s="5" t="s">
        <v>238</v>
      </c>
      <c r="GL3646" s="5" t="s">
        <v>238</v>
      </c>
      <c r="GM3646" s="5" t="s">
        <v>238</v>
      </c>
      <c r="GN3646" s="5" t="s">
        <v>238</v>
      </c>
      <c r="GO3646" s="5" t="s">
        <v>238</v>
      </c>
      <c r="GP3646" s="5" t="s">
        <v>238</v>
      </c>
      <c r="GQ3646" s="5" t="s">
        <v>238</v>
      </c>
      <c r="GR3646" s="5" t="s">
        <v>238</v>
      </c>
      <c r="GS3646" s="5" t="s">
        <v>238</v>
      </c>
      <c r="GT3646" s="5" t="s">
        <v>238</v>
      </c>
      <c r="GU3646" s="5" t="s">
        <v>238</v>
      </c>
      <c r="GV3646" s="5" t="s">
        <v>238</v>
      </c>
      <c r="GW3646" s="5" t="s">
        <v>238</v>
      </c>
      <c r="GX3646" s="5" t="s">
        <v>238</v>
      </c>
      <c r="GY3646" s="5" t="s">
        <v>238</v>
      </c>
      <c r="GZ3646" s="5" t="s">
        <v>238</v>
      </c>
      <c r="HA3646" s="5" t="s">
        <v>238</v>
      </c>
      <c r="HB3646" s="5" t="s">
        <v>238</v>
      </c>
      <c r="HC3646" s="5" t="s">
        <v>238</v>
      </c>
      <c r="HD3646" s="5" t="s">
        <v>238</v>
      </c>
      <c r="HE3646" s="5" t="s">
        <v>238</v>
      </c>
      <c r="HF3646" s="5" t="s">
        <v>238</v>
      </c>
      <c r="HG3646" s="5" t="s">
        <v>238</v>
      </c>
      <c r="HH3646" s="5" t="s">
        <v>238</v>
      </c>
      <c r="HI3646" s="5" t="s">
        <v>238</v>
      </c>
      <c r="HJ3646" s="5" t="s">
        <v>238</v>
      </c>
      <c r="HK3646" s="5" t="s">
        <v>238</v>
      </c>
      <c r="HL3646" s="5" t="s">
        <v>238</v>
      </c>
      <c r="HM3646" s="5" t="s">
        <v>264</v>
      </c>
      <c r="HN3646" s="5" t="s">
        <v>238</v>
      </c>
      <c r="HO3646" s="5" t="s">
        <v>238</v>
      </c>
      <c r="HP3646" s="5" t="s">
        <v>238</v>
      </c>
      <c r="HQ3646" s="5" t="s">
        <v>238</v>
      </c>
      <c r="HR3646" s="5" t="s">
        <v>238</v>
      </c>
      <c r="HS3646" s="5" t="s">
        <v>238</v>
      </c>
      <c r="HT3646" s="5" t="s">
        <v>238</v>
      </c>
      <c r="HU3646" s="5" t="s">
        <v>238</v>
      </c>
      <c r="HV3646" s="5" t="s">
        <v>238</v>
      </c>
      <c r="HW3646" s="5" t="s">
        <v>238</v>
      </c>
      <c r="HX3646" s="5" t="s">
        <v>238</v>
      </c>
      <c r="HY3646" s="5" t="s">
        <v>238</v>
      </c>
      <c r="HZ3646" s="5" t="s">
        <v>238</v>
      </c>
      <c r="IA3646" s="5" t="s">
        <v>238</v>
      </c>
      <c r="IB3646" s="5" t="s">
        <v>238</v>
      </c>
      <c r="IC3646" s="5" t="s">
        <v>238</v>
      </c>
      <c r="ID3646" s="5" t="s">
        <v>238</v>
      </c>
    </row>
    <row r="3647" spans="1:238" x14ac:dyDescent="0.4">
      <c r="A3647" s="5">
        <v>9365</v>
      </c>
      <c r="B3647" s="5">
        <v>1</v>
      </c>
      <c r="C3647" s="5">
        <v>1</v>
      </c>
      <c r="D3647" s="5" t="s">
        <v>484</v>
      </c>
      <c r="E3647" s="5" t="s">
        <v>485</v>
      </c>
      <c r="F3647" s="5" t="s">
        <v>248</v>
      </c>
      <c r="G3647" s="5" t="s">
        <v>5643</v>
      </c>
      <c r="H3647" s="6" t="s">
        <v>5644</v>
      </c>
      <c r="I3647" s="8">
        <f>1</f>
        <v>1</v>
      </c>
      <c r="J3647" s="5" t="s">
        <v>499</v>
      </c>
      <c r="K3647" s="8">
        <f>1</f>
        <v>1</v>
      </c>
      <c r="L3647" s="6" t="s">
        <v>242</v>
      </c>
      <c r="M3647" s="5" t="s">
        <v>267</v>
      </c>
      <c r="N3647" s="5" t="s">
        <v>482</v>
      </c>
      <c r="O3647" s="5" t="s">
        <v>238</v>
      </c>
      <c r="P3647" s="5" t="s">
        <v>238</v>
      </c>
      <c r="Q3647" s="5" t="s">
        <v>239</v>
      </c>
      <c r="R3647" s="5" t="s">
        <v>270</v>
      </c>
      <c r="S3647" s="5" t="s">
        <v>238</v>
      </c>
      <c r="T3647" s="5" t="s">
        <v>238</v>
      </c>
      <c r="U3647" s="5" t="s">
        <v>238</v>
      </c>
      <c r="V3647" s="5" t="s">
        <v>238</v>
      </c>
      <c r="W3647" s="6" t="s">
        <v>238</v>
      </c>
      <c r="X3647" s="6" t="s">
        <v>238</v>
      </c>
      <c r="Y3647" s="5" t="s">
        <v>238</v>
      </c>
      <c r="Z3647" s="6" t="s">
        <v>238</v>
      </c>
      <c r="AA3647" s="6" t="s">
        <v>243</v>
      </c>
      <c r="AB3647" s="5" t="s">
        <v>486</v>
      </c>
      <c r="AC3647" s="5" t="s">
        <v>244</v>
      </c>
      <c r="AD3647" s="5" t="s">
        <v>245</v>
      </c>
      <c r="AE3647" s="5" t="s">
        <v>238</v>
      </c>
      <c r="AF3647" s="5" t="s">
        <v>238</v>
      </c>
      <c r="AG3647" s="5" t="s">
        <v>238</v>
      </c>
      <c r="AH3647" s="5" t="s">
        <v>238</v>
      </c>
      <c r="AI3647" s="5" t="s">
        <v>238</v>
      </c>
      <c r="AJ3647" s="5" t="s">
        <v>238</v>
      </c>
      <c r="AK3647" s="5" t="s">
        <v>238</v>
      </c>
      <c r="AL3647" s="5" t="s">
        <v>238</v>
      </c>
      <c r="AM3647" s="6" t="s">
        <v>238</v>
      </c>
      <c r="AN3647" s="6" t="s">
        <v>238</v>
      </c>
      <c r="AO3647" s="6" t="s">
        <v>238</v>
      </c>
      <c r="AP3647" s="6" t="s">
        <v>238</v>
      </c>
      <c r="AQ3647" s="5" t="s">
        <v>238</v>
      </c>
      <c r="AR3647" s="5" t="s">
        <v>488</v>
      </c>
      <c r="AS3647" s="5" t="s">
        <v>488</v>
      </c>
      <c r="AT3647" s="5" t="s">
        <v>246</v>
      </c>
      <c r="AU3647" s="5" t="s">
        <v>489</v>
      </c>
      <c r="AV3647" s="5" t="s">
        <v>247</v>
      </c>
      <c r="AW3647" s="5" t="s">
        <v>238</v>
      </c>
      <c r="AX3647" s="5" t="s">
        <v>249</v>
      </c>
      <c r="AY3647" s="5" t="s">
        <v>490</v>
      </c>
      <c r="BA3647" s="5" t="s">
        <v>238</v>
      </c>
      <c r="BC3647" s="5" t="s">
        <v>491</v>
      </c>
      <c r="BD3647" s="6" t="s">
        <v>492</v>
      </c>
      <c r="BE3647" s="5" t="s">
        <v>493</v>
      </c>
      <c r="BF3647" s="5" t="s">
        <v>493</v>
      </c>
      <c r="BG3647" s="5" t="s">
        <v>238</v>
      </c>
      <c r="BH3647" s="8">
        <f>1</f>
        <v>1</v>
      </c>
      <c r="BI3647" s="8">
        <f>1</f>
        <v>1</v>
      </c>
      <c r="BJ3647" s="5" t="s">
        <v>253</v>
      </c>
      <c r="BK3647" s="5" t="s">
        <v>254</v>
      </c>
      <c r="BL3647" s="5" t="s">
        <v>238</v>
      </c>
      <c r="BM3647" s="5" t="s">
        <v>238</v>
      </c>
      <c r="BN3647" s="5" t="s">
        <v>238</v>
      </c>
      <c r="BO3647" s="5" t="s">
        <v>238</v>
      </c>
      <c r="BP3647" s="5" t="s">
        <v>238</v>
      </c>
      <c r="BQ3647" s="5" t="s">
        <v>238</v>
      </c>
      <c r="BR3647" s="5" t="s">
        <v>238</v>
      </c>
      <c r="BS3647" s="5" t="s">
        <v>238</v>
      </c>
      <c r="BT3647" s="6" t="s">
        <v>238</v>
      </c>
      <c r="BU3647" s="5" t="s">
        <v>238</v>
      </c>
      <c r="BV3647" s="5" t="s">
        <v>238</v>
      </c>
      <c r="BW3647" s="5" t="s">
        <v>238</v>
      </c>
      <c r="BX3647" s="5" t="s">
        <v>254</v>
      </c>
      <c r="BY3647" s="5" t="s">
        <v>238</v>
      </c>
      <c r="BZ3647" s="5" t="s">
        <v>238</v>
      </c>
      <c r="CA3647" s="5" t="s">
        <v>238</v>
      </c>
      <c r="CB3647" s="5" t="s">
        <v>238</v>
      </c>
      <c r="CC3647" s="5" t="s">
        <v>238</v>
      </c>
      <c r="CD3647" s="5" t="s">
        <v>273</v>
      </c>
      <c r="CE3647" s="5" t="s">
        <v>256</v>
      </c>
      <c r="CF3647" s="5" t="s">
        <v>238</v>
      </c>
      <c r="CH3647" s="5" t="s">
        <v>494</v>
      </c>
      <c r="CI3647" s="6" t="s">
        <v>257</v>
      </c>
      <c r="CJ3647" s="5" t="s">
        <v>495</v>
      </c>
      <c r="CK3647" s="5" t="s">
        <v>258</v>
      </c>
      <c r="CL3647" s="5" t="s">
        <v>496</v>
      </c>
      <c r="CM3647" s="5" t="s">
        <v>238</v>
      </c>
      <c r="CN3647" s="5">
        <v>0</v>
      </c>
      <c r="CO3647" s="5" t="s">
        <v>497</v>
      </c>
      <c r="CP3647" s="5" t="s">
        <v>260</v>
      </c>
      <c r="CQ3647" s="5" t="s">
        <v>260</v>
      </c>
      <c r="CR3647" s="5" t="s">
        <v>261</v>
      </c>
      <c r="CS3647" s="5" t="s">
        <v>498</v>
      </c>
      <c r="CT3647" s="7">
        <f>1</f>
        <v>1</v>
      </c>
      <c r="CU3647" s="8">
        <f>1</f>
        <v>1</v>
      </c>
      <c r="CV3647" s="8">
        <f>0</f>
        <v>0</v>
      </c>
      <c r="CX3647" s="8">
        <f>1</f>
        <v>1</v>
      </c>
      <c r="CY3647" s="8">
        <f>1</f>
        <v>1</v>
      </c>
      <c r="CZ3647" s="8" t="s">
        <v>238</v>
      </c>
      <c r="DA3647" s="5" t="s">
        <v>238</v>
      </c>
      <c r="DB3647" s="5" t="s">
        <v>238</v>
      </c>
      <c r="DC3647" s="5" t="s">
        <v>238</v>
      </c>
      <c r="DD3647" s="5" t="s">
        <v>238</v>
      </c>
      <c r="DE3647" s="8">
        <f>0</f>
        <v>0</v>
      </c>
      <c r="DG3647" s="5" t="s">
        <v>238</v>
      </c>
      <c r="DH3647" s="5" t="s">
        <v>238</v>
      </c>
      <c r="DI3647" s="5" t="s">
        <v>238</v>
      </c>
      <c r="DJ3647" s="5" t="s">
        <v>238</v>
      </c>
      <c r="DK3647" s="5" t="s">
        <v>238</v>
      </c>
      <c r="DL3647" s="5" t="s">
        <v>238</v>
      </c>
      <c r="DM3647" s="8" t="s">
        <v>238</v>
      </c>
      <c r="DN3647" s="5" t="s">
        <v>238</v>
      </c>
      <c r="DO3647" s="5" t="s">
        <v>238</v>
      </c>
      <c r="DP3647" s="5" t="s">
        <v>490</v>
      </c>
      <c r="DQ3647" s="5" t="s">
        <v>490</v>
      </c>
      <c r="DR3647" s="5" t="s">
        <v>238</v>
      </c>
      <c r="DS3647" s="5" t="s">
        <v>238</v>
      </c>
      <c r="DT3647" s="5" t="s">
        <v>500</v>
      </c>
      <c r="DU3647" s="5" t="s">
        <v>882</v>
      </c>
      <c r="DV3647" s="5" t="s">
        <v>238</v>
      </c>
      <c r="DW3647" s="5" t="s">
        <v>238</v>
      </c>
      <c r="DX3647" s="5" t="s">
        <v>238</v>
      </c>
      <c r="DY3647" s="5" t="s">
        <v>238</v>
      </c>
      <c r="DZ3647" s="5" t="s">
        <v>238</v>
      </c>
      <c r="EA3647" s="5" t="s">
        <v>238</v>
      </c>
      <c r="EB3647" s="5" t="s">
        <v>238</v>
      </c>
      <c r="EC3647" s="5" t="s">
        <v>238</v>
      </c>
      <c r="ED3647" s="5" t="s">
        <v>238</v>
      </c>
      <c r="EE3647" s="5" t="s">
        <v>238</v>
      </c>
      <c r="EF3647" s="5" t="s">
        <v>238</v>
      </c>
      <c r="EG3647" s="5" t="s">
        <v>238</v>
      </c>
      <c r="EH3647" s="5" t="s">
        <v>238</v>
      </c>
      <c r="EI3647" s="5" t="s">
        <v>238</v>
      </c>
      <c r="EJ3647" s="5" t="s">
        <v>238</v>
      </c>
      <c r="EK3647" s="5" t="s">
        <v>238</v>
      </c>
      <c r="EL3647" s="5" t="s">
        <v>238</v>
      </c>
      <c r="EM3647" s="5" t="s">
        <v>238</v>
      </c>
      <c r="EN3647" s="5" t="s">
        <v>238</v>
      </c>
      <c r="EO3647" s="5" t="s">
        <v>238</v>
      </c>
      <c r="EP3647" s="5" t="s">
        <v>238</v>
      </c>
      <c r="EQ3647" s="5" t="s">
        <v>238</v>
      </c>
      <c r="ER3647" s="5" t="s">
        <v>238</v>
      </c>
      <c r="ES3647" s="5" t="s">
        <v>238</v>
      </c>
      <c r="ET3647" s="5" t="s">
        <v>238</v>
      </c>
      <c r="EU3647" s="5" t="s">
        <v>238</v>
      </c>
      <c r="EV3647" s="5" t="s">
        <v>238</v>
      </c>
      <c r="EW3647" s="5" t="s">
        <v>238</v>
      </c>
      <c r="EX3647" s="5" t="s">
        <v>238</v>
      </c>
      <c r="EY3647" s="5" t="s">
        <v>238</v>
      </c>
      <c r="EZ3647" s="5" t="s">
        <v>238</v>
      </c>
      <c r="FA3647" s="5" t="s">
        <v>238</v>
      </c>
      <c r="FB3647" s="5" t="s">
        <v>238</v>
      </c>
      <c r="FC3647" s="5" t="s">
        <v>238</v>
      </c>
      <c r="FD3647" s="5" t="s">
        <v>238</v>
      </c>
      <c r="FE3647" s="5" t="s">
        <v>238</v>
      </c>
      <c r="FF3647" s="5" t="s">
        <v>238</v>
      </c>
      <c r="FG3647" s="5" t="s">
        <v>238</v>
      </c>
      <c r="FH3647" s="5" t="s">
        <v>238</v>
      </c>
      <c r="FI3647" s="5" t="s">
        <v>238</v>
      </c>
      <c r="FJ3647" s="5" t="s">
        <v>238</v>
      </c>
      <c r="FK3647" s="5" t="s">
        <v>238</v>
      </c>
      <c r="FL3647" s="5" t="s">
        <v>238</v>
      </c>
      <c r="FM3647" s="5" t="s">
        <v>238</v>
      </c>
      <c r="FN3647" s="5" t="s">
        <v>238</v>
      </c>
      <c r="FO3647" s="5" t="s">
        <v>238</v>
      </c>
      <c r="FP3647" s="5" t="s">
        <v>238</v>
      </c>
      <c r="FQ3647" s="5" t="s">
        <v>238</v>
      </c>
      <c r="FR3647" s="5" t="s">
        <v>238</v>
      </c>
      <c r="FS3647" s="5" t="s">
        <v>238</v>
      </c>
      <c r="FT3647" s="5" t="s">
        <v>238</v>
      </c>
      <c r="FU3647" s="5" t="s">
        <v>238</v>
      </c>
      <c r="FV3647" s="5" t="s">
        <v>238</v>
      </c>
      <c r="FW3647" s="5" t="s">
        <v>238</v>
      </c>
      <c r="FX3647" s="5" t="s">
        <v>238</v>
      </c>
      <c r="FY3647" s="5" t="s">
        <v>238</v>
      </c>
      <c r="FZ3647" s="5" t="s">
        <v>238</v>
      </c>
      <c r="GA3647" s="5" t="s">
        <v>238</v>
      </c>
      <c r="GB3647" s="5" t="s">
        <v>238</v>
      </c>
      <c r="GC3647" s="5" t="s">
        <v>238</v>
      </c>
      <c r="GD3647" s="5" t="s">
        <v>238</v>
      </c>
      <c r="GE3647" s="5" t="s">
        <v>238</v>
      </c>
      <c r="GF3647" s="5" t="s">
        <v>238</v>
      </c>
      <c r="GG3647" s="5" t="s">
        <v>238</v>
      </c>
      <c r="GH3647" s="5" t="s">
        <v>238</v>
      </c>
      <c r="GI3647" s="5" t="s">
        <v>238</v>
      </c>
      <c r="GJ3647" s="5" t="s">
        <v>238</v>
      </c>
      <c r="GK3647" s="5" t="s">
        <v>238</v>
      </c>
      <c r="GL3647" s="5" t="s">
        <v>238</v>
      </c>
      <c r="GM3647" s="5" t="s">
        <v>238</v>
      </c>
      <c r="GN3647" s="5" t="s">
        <v>238</v>
      </c>
      <c r="GO3647" s="5" t="s">
        <v>238</v>
      </c>
      <c r="GP3647" s="5" t="s">
        <v>238</v>
      </c>
      <c r="GQ3647" s="5" t="s">
        <v>238</v>
      </c>
      <c r="GR3647" s="5" t="s">
        <v>238</v>
      </c>
      <c r="GS3647" s="5" t="s">
        <v>238</v>
      </c>
      <c r="GT3647" s="5" t="s">
        <v>238</v>
      </c>
      <c r="GU3647" s="5" t="s">
        <v>238</v>
      </c>
      <c r="GV3647" s="5" t="s">
        <v>238</v>
      </c>
      <c r="GW3647" s="5" t="s">
        <v>238</v>
      </c>
      <c r="GX3647" s="5" t="s">
        <v>238</v>
      </c>
      <c r="GY3647" s="5" t="s">
        <v>238</v>
      </c>
      <c r="GZ3647" s="5" t="s">
        <v>238</v>
      </c>
      <c r="HA3647" s="5" t="s">
        <v>238</v>
      </c>
      <c r="HB3647" s="5" t="s">
        <v>238</v>
      </c>
      <c r="HC3647" s="5" t="s">
        <v>238</v>
      </c>
      <c r="HD3647" s="5" t="s">
        <v>238</v>
      </c>
      <c r="HE3647" s="5" t="s">
        <v>238</v>
      </c>
      <c r="HF3647" s="5" t="s">
        <v>238</v>
      </c>
      <c r="HG3647" s="5" t="s">
        <v>238</v>
      </c>
      <c r="HH3647" s="5" t="s">
        <v>238</v>
      </c>
      <c r="HI3647" s="5" t="s">
        <v>238</v>
      </c>
      <c r="HJ3647" s="5" t="s">
        <v>238</v>
      </c>
      <c r="HK3647" s="5" t="s">
        <v>238</v>
      </c>
      <c r="HL3647" s="5" t="s">
        <v>238</v>
      </c>
      <c r="HM3647" s="5" t="s">
        <v>264</v>
      </c>
      <c r="HN3647" s="5" t="s">
        <v>238</v>
      </c>
      <c r="HO3647" s="5" t="s">
        <v>238</v>
      </c>
      <c r="HP3647" s="5" t="s">
        <v>238</v>
      </c>
      <c r="HQ3647" s="5" t="s">
        <v>238</v>
      </c>
      <c r="HR3647" s="5" t="s">
        <v>238</v>
      </c>
      <c r="HS3647" s="5" t="s">
        <v>238</v>
      </c>
      <c r="HT3647" s="5" t="s">
        <v>238</v>
      </c>
      <c r="HU3647" s="5" t="s">
        <v>238</v>
      </c>
      <c r="HV3647" s="5" t="s">
        <v>238</v>
      </c>
      <c r="HW3647" s="5" t="s">
        <v>238</v>
      </c>
      <c r="HX3647" s="5" t="s">
        <v>238</v>
      </c>
      <c r="HY3647" s="5" t="s">
        <v>238</v>
      </c>
      <c r="HZ3647" s="5" t="s">
        <v>238</v>
      </c>
      <c r="IA3647" s="5" t="s">
        <v>238</v>
      </c>
      <c r="IB3647" s="5" t="s">
        <v>238</v>
      </c>
      <c r="IC3647" s="5" t="s">
        <v>238</v>
      </c>
      <c r="ID3647" s="5" t="s">
        <v>238</v>
      </c>
    </row>
    <row r="3648" spans="1:238" x14ac:dyDescent="0.4">
      <c r="A3648" s="5">
        <v>9366</v>
      </c>
      <c r="B3648" s="5">
        <v>1</v>
      </c>
      <c r="C3648" s="5">
        <v>1</v>
      </c>
      <c r="D3648" s="5" t="s">
        <v>484</v>
      </c>
      <c r="E3648" s="5" t="s">
        <v>485</v>
      </c>
      <c r="F3648" s="5" t="s">
        <v>248</v>
      </c>
      <c r="G3648" s="5" t="s">
        <v>4604</v>
      </c>
      <c r="H3648" s="6" t="s">
        <v>4606</v>
      </c>
      <c r="I3648" s="8">
        <f>1</f>
        <v>1</v>
      </c>
      <c r="J3648" s="5" t="s">
        <v>499</v>
      </c>
      <c r="K3648" s="8">
        <f>1</f>
        <v>1</v>
      </c>
      <c r="L3648" s="6" t="s">
        <v>242</v>
      </c>
      <c r="M3648" s="5" t="s">
        <v>267</v>
      </c>
      <c r="N3648" s="5" t="s">
        <v>482</v>
      </c>
      <c r="O3648" s="5" t="s">
        <v>238</v>
      </c>
      <c r="P3648" s="5" t="s">
        <v>238</v>
      </c>
      <c r="Q3648" s="5" t="s">
        <v>239</v>
      </c>
      <c r="R3648" s="5" t="s">
        <v>270</v>
      </c>
      <c r="S3648" s="5" t="s">
        <v>238</v>
      </c>
      <c r="T3648" s="5" t="s">
        <v>238</v>
      </c>
      <c r="U3648" s="5" t="s">
        <v>238</v>
      </c>
      <c r="V3648" s="5" t="s">
        <v>238</v>
      </c>
      <c r="W3648" s="6" t="s">
        <v>238</v>
      </c>
      <c r="X3648" s="6" t="s">
        <v>238</v>
      </c>
      <c r="Y3648" s="5" t="s">
        <v>238</v>
      </c>
      <c r="Z3648" s="6" t="s">
        <v>238</v>
      </c>
      <c r="AA3648" s="6" t="s">
        <v>243</v>
      </c>
      <c r="AB3648" s="5" t="s">
        <v>4605</v>
      </c>
      <c r="AC3648" s="5" t="s">
        <v>244</v>
      </c>
      <c r="AD3648" s="5" t="s">
        <v>245</v>
      </c>
      <c r="AE3648" s="5" t="s">
        <v>238</v>
      </c>
      <c r="AF3648" s="5" t="s">
        <v>238</v>
      </c>
      <c r="AG3648" s="5" t="s">
        <v>238</v>
      </c>
      <c r="AH3648" s="5" t="s">
        <v>238</v>
      </c>
      <c r="AI3648" s="5" t="s">
        <v>238</v>
      </c>
      <c r="AJ3648" s="5" t="s">
        <v>238</v>
      </c>
      <c r="AK3648" s="5" t="s">
        <v>238</v>
      </c>
      <c r="AL3648" s="5" t="s">
        <v>238</v>
      </c>
      <c r="AM3648" s="6" t="s">
        <v>238</v>
      </c>
      <c r="AN3648" s="6" t="s">
        <v>238</v>
      </c>
      <c r="AO3648" s="6" t="s">
        <v>238</v>
      </c>
      <c r="AP3648" s="6" t="s">
        <v>238</v>
      </c>
      <c r="AQ3648" s="5" t="s">
        <v>238</v>
      </c>
      <c r="AR3648" s="5" t="s">
        <v>488</v>
      </c>
      <c r="AS3648" s="5" t="s">
        <v>488</v>
      </c>
      <c r="AT3648" s="5" t="s">
        <v>246</v>
      </c>
      <c r="AU3648" s="5" t="s">
        <v>489</v>
      </c>
      <c r="AV3648" s="5" t="s">
        <v>247</v>
      </c>
      <c r="AW3648" s="5" t="s">
        <v>238</v>
      </c>
      <c r="AX3648" s="5" t="s">
        <v>249</v>
      </c>
      <c r="AY3648" s="5" t="s">
        <v>490</v>
      </c>
      <c r="BA3648" s="5" t="s">
        <v>238</v>
      </c>
      <c r="BC3648" s="5" t="s">
        <v>491</v>
      </c>
      <c r="BD3648" s="6" t="s">
        <v>492</v>
      </c>
      <c r="BE3648" s="5" t="s">
        <v>493</v>
      </c>
      <c r="BF3648" s="5" t="s">
        <v>493</v>
      </c>
      <c r="BG3648" s="5" t="s">
        <v>238</v>
      </c>
      <c r="BH3648" s="8">
        <f>1</f>
        <v>1</v>
      </c>
      <c r="BI3648" s="8">
        <f>1</f>
        <v>1</v>
      </c>
      <c r="BJ3648" s="5" t="s">
        <v>253</v>
      </c>
      <c r="BK3648" s="5" t="s">
        <v>254</v>
      </c>
      <c r="BL3648" s="5" t="s">
        <v>238</v>
      </c>
      <c r="BM3648" s="5" t="s">
        <v>238</v>
      </c>
      <c r="BN3648" s="5" t="s">
        <v>238</v>
      </c>
      <c r="BO3648" s="5" t="s">
        <v>238</v>
      </c>
      <c r="BP3648" s="5" t="s">
        <v>238</v>
      </c>
      <c r="BQ3648" s="5" t="s">
        <v>238</v>
      </c>
      <c r="BR3648" s="5" t="s">
        <v>238</v>
      </c>
      <c r="BS3648" s="5" t="s">
        <v>238</v>
      </c>
      <c r="BT3648" s="6" t="s">
        <v>238</v>
      </c>
      <c r="BU3648" s="5" t="s">
        <v>238</v>
      </c>
      <c r="BV3648" s="5" t="s">
        <v>238</v>
      </c>
      <c r="BW3648" s="5" t="s">
        <v>238</v>
      </c>
      <c r="BX3648" s="5" t="s">
        <v>254</v>
      </c>
      <c r="BY3648" s="5" t="s">
        <v>238</v>
      </c>
      <c r="BZ3648" s="5" t="s">
        <v>238</v>
      </c>
      <c r="CA3648" s="5" t="s">
        <v>238</v>
      </c>
      <c r="CB3648" s="5" t="s">
        <v>238</v>
      </c>
      <c r="CC3648" s="5" t="s">
        <v>238</v>
      </c>
      <c r="CD3648" s="5" t="s">
        <v>273</v>
      </c>
      <c r="CE3648" s="5" t="s">
        <v>256</v>
      </c>
      <c r="CF3648" s="5" t="s">
        <v>238</v>
      </c>
      <c r="CH3648" s="5" t="s">
        <v>494</v>
      </c>
      <c r="CI3648" s="6" t="s">
        <v>257</v>
      </c>
      <c r="CJ3648" s="5" t="s">
        <v>495</v>
      </c>
      <c r="CK3648" s="5" t="s">
        <v>258</v>
      </c>
      <c r="CL3648" s="5" t="s">
        <v>496</v>
      </c>
      <c r="CM3648" s="5" t="s">
        <v>238</v>
      </c>
      <c r="CN3648" s="5">
        <v>0</v>
      </c>
      <c r="CO3648" s="5" t="s">
        <v>497</v>
      </c>
      <c r="CP3648" s="5" t="s">
        <v>260</v>
      </c>
      <c r="CQ3648" s="5" t="s">
        <v>260</v>
      </c>
      <c r="CR3648" s="5" t="s">
        <v>261</v>
      </c>
      <c r="CS3648" s="5" t="s">
        <v>498</v>
      </c>
      <c r="CT3648" s="7">
        <f>1</f>
        <v>1</v>
      </c>
      <c r="CU3648" s="8">
        <f>1</f>
        <v>1</v>
      </c>
      <c r="CV3648" s="8">
        <f>0</f>
        <v>0</v>
      </c>
      <c r="CX3648" s="8">
        <f>1</f>
        <v>1</v>
      </c>
      <c r="CY3648" s="8">
        <f>1</f>
        <v>1</v>
      </c>
      <c r="CZ3648" s="8" t="s">
        <v>238</v>
      </c>
      <c r="DA3648" s="5" t="s">
        <v>238</v>
      </c>
      <c r="DB3648" s="5" t="s">
        <v>238</v>
      </c>
      <c r="DC3648" s="5" t="s">
        <v>238</v>
      </c>
      <c r="DD3648" s="5" t="s">
        <v>238</v>
      </c>
      <c r="DE3648" s="8">
        <f>0</f>
        <v>0</v>
      </c>
      <c r="DG3648" s="5" t="s">
        <v>238</v>
      </c>
      <c r="DH3648" s="5" t="s">
        <v>238</v>
      </c>
      <c r="DI3648" s="5" t="s">
        <v>238</v>
      </c>
      <c r="DJ3648" s="5" t="s">
        <v>238</v>
      </c>
      <c r="DK3648" s="5" t="s">
        <v>238</v>
      </c>
      <c r="DL3648" s="5" t="s">
        <v>238</v>
      </c>
      <c r="DM3648" s="8" t="s">
        <v>238</v>
      </c>
      <c r="DN3648" s="5" t="s">
        <v>238</v>
      </c>
      <c r="DO3648" s="5" t="s">
        <v>238</v>
      </c>
      <c r="DP3648" s="5" t="s">
        <v>490</v>
      </c>
      <c r="DQ3648" s="5" t="s">
        <v>490</v>
      </c>
      <c r="DR3648" s="5" t="s">
        <v>238</v>
      </c>
      <c r="DS3648" s="5" t="s">
        <v>238</v>
      </c>
      <c r="DT3648" s="5" t="s">
        <v>500</v>
      </c>
      <c r="DU3648" s="5" t="s">
        <v>1346</v>
      </c>
      <c r="DV3648" s="5" t="s">
        <v>238</v>
      </c>
      <c r="DW3648" s="5" t="s">
        <v>238</v>
      </c>
      <c r="DX3648" s="5" t="s">
        <v>238</v>
      </c>
      <c r="DY3648" s="5" t="s">
        <v>238</v>
      </c>
      <c r="DZ3648" s="5" t="s">
        <v>238</v>
      </c>
      <c r="EA3648" s="5" t="s">
        <v>238</v>
      </c>
      <c r="EB3648" s="5" t="s">
        <v>238</v>
      </c>
      <c r="EC3648" s="5" t="s">
        <v>238</v>
      </c>
      <c r="ED3648" s="5" t="s">
        <v>238</v>
      </c>
      <c r="EE3648" s="5" t="s">
        <v>238</v>
      </c>
      <c r="EF3648" s="5" t="s">
        <v>238</v>
      </c>
      <c r="EG3648" s="5" t="s">
        <v>238</v>
      </c>
      <c r="EH3648" s="5" t="s">
        <v>238</v>
      </c>
      <c r="EI3648" s="5" t="s">
        <v>238</v>
      </c>
      <c r="EJ3648" s="5" t="s">
        <v>238</v>
      </c>
      <c r="EK3648" s="5" t="s">
        <v>238</v>
      </c>
      <c r="EL3648" s="5" t="s">
        <v>238</v>
      </c>
      <c r="EM3648" s="5" t="s">
        <v>238</v>
      </c>
      <c r="EN3648" s="5" t="s">
        <v>238</v>
      </c>
      <c r="EO3648" s="5" t="s">
        <v>238</v>
      </c>
      <c r="EP3648" s="5" t="s">
        <v>238</v>
      </c>
      <c r="EQ3648" s="5" t="s">
        <v>238</v>
      </c>
      <c r="ER3648" s="5" t="s">
        <v>238</v>
      </c>
      <c r="ES3648" s="5" t="s">
        <v>238</v>
      </c>
      <c r="ET3648" s="5" t="s">
        <v>238</v>
      </c>
      <c r="EU3648" s="5" t="s">
        <v>238</v>
      </c>
      <c r="EV3648" s="5" t="s">
        <v>238</v>
      </c>
      <c r="EW3648" s="5" t="s">
        <v>238</v>
      </c>
      <c r="EX3648" s="5" t="s">
        <v>238</v>
      </c>
      <c r="EY3648" s="5" t="s">
        <v>238</v>
      </c>
      <c r="EZ3648" s="5" t="s">
        <v>238</v>
      </c>
      <c r="FA3648" s="5" t="s">
        <v>238</v>
      </c>
      <c r="FB3648" s="5" t="s">
        <v>238</v>
      </c>
      <c r="FC3648" s="5" t="s">
        <v>238</v>
      </c>
      <c r="FD3648" s="5" t="s">
        <v>238</v>
      </c>
      <c r="FE3648" s="5" t="s">
        <v>238</v>
      </c>
      <c r="FF3648" s="5" t="s">
        <v>238</v>
      </c>
      <c r="FG3648" s="5" t="s">
        <v>238</v>
      </c>
      <c r="FH3648" s="5" t="s">
        <v>238</v>
      </c>
      <c r="FI3648" s="5" t="s">
        <v>238</v>
      </c>
      <c r="FJ3648" s="5" t="s">
        <v>238</v>
      </c>
      <c r="FK3648" s="5" t="s">
        <v>238</v>
      </c>
      <c r="FL3648" s="5" t="s">
        <v>238</v>
      </c>
      <c r="FM3648" s="5" t="s">
        <v>238</v>
      </c>
      <c r="FN3648" s="5" t="s">
        <v>238</v>
      </c>
      <c r="FO3648" s="5" t="s">
        <v>238</v>
      </c>
      <c r="FP3648" s="5" t="s">
        <v>238</v>
      </c>
      <c r="FQ3648" s="5" t="s">
        <v>238</v>
      </c>
      <c r="FR3648" s="5" t="s">
        <v>238</v>
      </c>
      <c r="FS3648" s="5" t="s">
        <v>238</v>
      </c>
      <c r="FT3648" s="5" t="s">
        <v>238</v>
      </c>
      <c r="FU3648" s="5" t="s">
        <v>238</v>
      </c>
      <c r="FV3648" s="5" t="s">
        <v>238</v>
      </c>
      <c r="FW3648" s="5" t="s">
        <v>238</v>
      </c>
      <c r="FX3648" s="5" t="s">
        <v>238</v>
      </c>
      <c r="FY3648" s="5" t="s">
        <v>238</v>
      </c>
      <c r="FZ3648" s="5" t="s">
        <v>238</v>
      </c>
      <c r="GA3648" s="5" t="s">
        <v>238</v>
      </c>
      <c r="GB3648" s="5" t="s">
        <v>238</v>
      </c>
      <c r="GC3648" s="5" t="s">
        <v>238</v>
      </c>
      <c r="GD3648" s="5" t="s">
        <v>238</v>
      </c>
      <c r="GE3648" s="5" t="s">
        <v>238</v>
      </c>
      <c r="GF3648" s="5" t="s">
        <v>238</v>
      </c>
      <c r="GG3648" s="5" t="s">
        <v>238</v>
      </c>
      <c r="GH3648" s="5" t="s">
        <v>238</v>
      </c>
      <c r="GI3648" s="5" t="s">
        <v>238</v>
      </c>
      <c r="GJ3648" s="5" t="s">
        <v>238</v>
      </c>
      <c r="GK3648" s="5" t="s">
        <v>238</v>
      </c>
      <c r="GL3648" s="5" t="s">
        <v>238</v>
      </c>
      <c r="GM3648" s="5" t="s">
        <v>238</v>
      </c>
      <c r="GN3648" s="5" t="s">
        <v>238</v>
      </c>
      <c r="GO3648" s="5" t="s">
        <v>238</v>
      </c>
      <c r="GP3648" s="5" t="s">
        <v>238</v>
      </c>
      <c r="GQ3648" s="5" t="s">
        <v>238</v>
      </c>
      <c r="GR3648" s="5" t="s">
        <v>238</v>
      </c>
      <c r="GS3648" s="5" t="s">
        <v>238</v>
      </c>
      <c r="GT3648" s="5" t="s">
        <v>238</v>
      </c>
      <c r="GU3648" s="5" t="s">
        <v>238</v>
      </c>
      <c r="GV3648" s="5" t="s">
        <v>238</v>
      </c>
      <c r="GW3648" s="5" t="s">
        <v>238</v>
      </c>
      <c r="GX3648" s="5" t="s">
        <v>238</v>
      </c>
      <c r="GY3648" s="5" t="s">
        <v>238</v>
      </c>
      <c r="GZ3648" s="5" t="s">
        <v>238</v>
      </c>
      <c r="HA3648" s="5" t="s">
        <v>238</v>
      </c>
      <c r="HB3648" s="5" t="s">
        <v>238</v>
      </c>
      <c r="HC3648" s="5" t="s">
        <v>238</v>
      </c>
      <c r="HD3648" s="5" t="s">
        <v>238</v>
      </c>
      <c r="HE3648" s="5" t="s">
        <v>238</v>
      </c>
      <c r="HF3648" s="5" t="s">
        <v>238</v>
      </c>
      <c r="HG3648" s="5" t="s">
        <v>238</v>
      </c>
      <c r="HH3648" s="5" t="s">
        <v>238</v>
      </c>
      <c r="HI3648" s="5" t="s">
        <v>238</v>
      </c>
      <c r="HJ3648" s="5" t="s">
        <v>238</v>
      </c>
      <c r="HK3648" s="5" t="s">
        <v>238</v>
      </c>
      <c r="HL3648" s="5" t="s">
        <v>238</v>
      </c>
      <c r="HM3648" s="5" t="s">
        <v>264</v>
      </c>
      <c r="HN3648" s="5" t="s">
        <v>238</v>
      </c>
      <c r="HO3648" s="5" t="s">
        <v>238</v>
      </c>
      <c r="HP3648" s="5" t="s">
        <v>238</v>
      </c>
      <c r="HQ3648" s="5" t="s">
        <v>238</v>
      </c>
      <c r="HR3648" s="5" t="s">
        <v>238</v>
      </c>
      <c r="HS3648" s="5" t="s">
        <v>238</v>
      </c>
      <c r="HT3648" s="5" t="s">
        <v>238</v>
      </c>
      <c r="HU3648" s="5" t="s">
        <v>238</v>
      </c>
      <c r="HV3648" s="5" t="s">
        <v>238</v>
      </c>
      <c r="HW3648" s="5" t="s">
        <v>238</v>
      </c>
      <c r="HX3648" s="5" t="s">
        <v>238</v>
      </c>
      <c r="HY3648" s="5" t="s">
        <v>238</v>
      </c>
      <c r="HZ3648" s="5" t="s">
        <v>238</v>
      </c>
      <c r="IA3648" s="5" t="s">
        <v>238</v>
      </c>
      <c r="IB3648" s="5" t="s">
        <v>238</v>
      </c>
      <c r="IC3648" s="5" t="s">
        <v>238</v>
      </c>
      <c r="ID3648" s="5" t="s">
        <v>238</v>
      </c>
    </row>
    <row r="3649" spans="1:238" x14ac:dyDescent="0.4">
      <c r="A3649" s="5">
        <v>9367</v>
      </c>
      <c r="B3649" s="5">
        <v>1</v>
      </c>
      <c r="C3649" s="5">
        <v>1</v>
      </c>
      <c r="D3649" s="5" t="s">
        <v>484</v>
      </c>
      <c r="E3649" s="5" t="s">
        <v>485</v>
      </c>
      <c r="F3649" s="5" t="s">
        <v>248</v>
      </c>
      <c r="G3649" s="5" t="s">
        <v>4513</v>
      </c>
      <c r="H3649" s="6" t="s">
        <v>4514</v>
      </c>
      <c r="I3649" s="8">
        <f>1</f>
        <v>1</v>
      </c>
      <c r="J3649" s="5" t="s">
        <v>499</v>
      </c>
      <c r="K3649" s="8">
        <f>1</f>
        <v>1</v>
      </c>
      <c r="L3649" s="6" t="s">
        <v>242</v>
      </c>
      <c r="M3649" s="5" t="s">
        <v>267</v>
      </c>
      <c r="N3649" s="5" t="s">
        <v>482</v>
      </c>
      <c r="O3649" s="5" t="s">
        <v>238</v>
      </c>
      <c r="P3649" s="5" t="s">
        <v>238</v>
      </c>
      <c r="Q3649" s="5" t="s">
        <v>239</v>
      </c>
      <c r="R3649" s="5" t="s">
        <v>270</v>
      </c>
      <c r="S3649" s="5" t="s">
        <v>238</v>
      </c>
      <c r="T3649" s="5" t="s">
        <v>238</v>
      </c>
      <c r="U3649" s="5" t="s">
        <v>238</v>
      </c>
      <c r="V3649" s="5" t="s">
        <v>238</v>
      </c>
      <c r="W3649" s="6" t="s">
        <v>238</v>
      </c>
      <c r="X3649" s="6" t="s">
        <v>238</v>
      </c>
      <c r="Y3649" s="5" t="s">
        <v>238</v>
      </c>
      <c r="Z3649" s="6" t="s">
        <v>238</v>
      </c>
      <c r="AA3649" s="6" t="s">
        <v>243</v>
      </c>
      <c r="AB3649" s="5" t="s">
        <v>486</v>
      </c>
      <c r="AC3649" s="5" t="s">
        <v>244</v>
      </c>
      <c r="AD3649" s="5" t="s">
        <v>245</v>
      </c>
      <c r="AE3649" s="5" t="s">
        <v>238</v>
      </c>
      <c r="AF3649" s="5" t="s">
        <v>238</v>
      </c>
      <c r="AG3649" s="5" t="s">
        <v>238</v>
      </c>
      <c r="AH3649" s="5" t="s">
        <v>238</v>
      </c>
      <c r="AI3649" s="5" t="s">
        <v>238</v>
      </c>
      <c r="AJ3649" s="5" t="s">
        <v>238</v>
      </c>
      <c r="AK3649" s="5" t="s">
        <v>238</v>
      </c>
      <c r="AL3649" s="5" t="s">
        <v>238</v>
      </c>
      <c r="AM3649" s="6" t="s">
        <v>238</v>
      </c>
      <c r="AN3649" s="6" t="s">
        <v>238</v>
      </c>
      <c r="AO3649" s="6" t="s">
        <v>238</v>
      </c>
      <c r="AP3649" s="6" t="s">
        <v>238</v>
      </c>
      <c r="AQ3649" s="5" t="s">
        <v>238</v>
      </c>
      <c r="AR3649" s="5" t="s">
        <v>488</v>
      </c>
      <c r="AS3649" s="5" t="s">
        <v>488</v>
      </c>
      <c r="AT3649" s="5" t="s">
        <v>246</v>
      </c>
      <c r="AU3649" s="5" t="s">
        <v>489</v>
      </c>
      <c r="AV3649" s="5" t="s">
        <v>247</v>
      </c>
      <c r="AW3649" s="5" t="s">
        <v>238</v>
      </c>
      <c r="AX3649" s="5" t="s">
        <v>249</v>
      </c>
      <c r="AY3649" s="5" t="s">
        <v>490</v>
      </c>
      <c r="BA3649" s="5" t="s">
        <v>238</v>
      </c>
      <c r="BC3649" s="5" t="s">
        <v>491</v>
      </c>
      <c r="BD3649" s="6" t="s">
        <v>492</v>
      </c>
      <c r="BE3649" s="5" t="s">
        <v>493</v>
      </c>
      <c r="BF3649" s="5" t="s">
        <v>493</v>
      </c>
      <c r="BG3649" s="5" t="s">
        <v>238</v>
      </c>
      <c r="BH3649" s="8">
        <f>1</f>
        <v>1</v>
      </c>
      <c r="BI3649" s="8">
        <f>1</f>
        <v>1</v>
      </c>
      <c r="BJ3649" s="5" t="s">
        <v>253</v>
      </c>
      <c r="BK3649" s="5" t="s">
        <v>254</v>
      </c>
      <c r="BL3649" s="5" t="s">
        <v>238</v>
      </c>
      <c r="BM3649" s="5" t="s">
        <v>238</v>
      </c>
      <c r="BN3649" s="5" t="s">
        <v>238</v>
      </c>
      <c r="BO3649" s="5" t="s">
        <v>238</v>
      </c>
      <c r="BP3649" s="5" t="s">
        <v>238</v>
      </c>
      <c r="BQ3649" s="5" t="s">
        <v>238</v>
      </c>
      <c r="BR3649" s="5" t="s">
        <v>238</v>
      </c>
      <c r="BS3649" s="5" t="s">
        <v>238</v>
      </c>
      <c r="BT3649" s="6" t="s">
        <v>238</v>
      </c>
      <c r="BU3649" s="5" t="s">
        <v>238</v>
      </c>
      <c r="BV3649" s="5" t="s">
        <v>238</v>
      </c>
      <c r="BW3649" s="5" t="s">
        <v>238</v>
      </c>
      <c r="BX3649" s="5" t="s">
        <v>254</v>
      </c>
      <c r="BY3649" s="5" t="s">
        <v>238</v>
      </c>
      <c r="BZ3649" s="5" t="s">
        <v>238</v>
      </c>
      <c r="CA3649" s="5" t="s">
        <v>238</v>
      </c>
      <c r="CB3649" s="5" t="s">
        <v>238</v>
      </c>
      <c r="CC3649" s="5" t="s">
        <v>238</v>
      </c>
      <c r="CD3649" s="5" t="s">
        <v>273</v>
      </c>
      <c r="CE3649" s="5" t="s">
        <v>256</v>
      </c>
      <c r="CF3649" s="5" t="s">
        <v>238</v>
      </c>
      <c r="CH3649" s="5" t="s">
        <v>494</v>
      </c>
      <c r="CI3649" s="6" t="s">
        <v>257</v>
      </c>
      <c r="CJ3649" s="5" t="s">
        <v>495</v>
      </c>
      <c r="CK3649" s="5" t="s">
        <v>258</v>
      </c>
      <c r="CL3649" s="5" t="s">
        <v>496</v>
      </c>
      <c r="CM3649" s="5" t="s">
        <v>238</v>
      </c>
      <c r="CN3649" s="5">
        <v>0</v>
      </c>
      <c r="CO3649" s="5" t="s">
        <v>497</v>
      </c>
      <c r="CP3649" s="5" t="s">
        <v>260</v>
      </c>
      <c r="CQ3649" s="5" t="s">
        <v>260</v>
      </c>
      <c r="CR3649" s="5" t="s">
        <v>261</v>
      </c>
      <c r="CS3649" s="5" t="s">
        <v>498</v>
      </c>
      <c r="CT3649" s="7">
        <f>1</f>
        <v>1</v>
      </c>
      <c r="CU3649" s="8">
        <f>1</f>
        <v>1</v>
      </c>
      <c r="CV3649" s="8">
        <f>0</f>
        <v>0</v>
      </c>
      <c r="CX3649" s="8">
        <f>1</f>
        <v>1</v>
      </c>
      <c r="CY3649" s="8">
        <f>1</f>
        <v>1</v>
      </c>
      <c r="CZ3649" s="8" t="s">
        <v>238</v>
      </c>
      <c r="DA3649" s="5" t="s">
        <v>238</v>
      </c>
      <c r="DB3649" s="5" t="s">
        <v>238</v>
      </c>
      <c r="DC3649" s="5" t="s">
        <v>238</v>
      </c>
      <c r="DD3649" s="5" t="s">
        <v>238</v>
      </c>
      <c r="DE3649" s="8">
        <f>0</f>
        <v>0</v>
      </c>
      <c r="DG3649" s="5" t="s">
        <v>238</v>
      </c>
      <c r="DH3649" s="5" t="s">
        <v>238</v>
      </c>
      <c r="DI3649" s="5" t="s">
        <v>238</v>
      </c>
      <c r="DJ3649" s="5" t="s">
        <v>238</v>
      </c>
      <c r="DK3649" s="5" t="s">
        <v>238</v>
      </c>
      <c r="DL3649" s="5" t="s">
        <v>238</v>
      </c>
      <c r="DM3649" s="8" t="s">
        <v>238</v>
      </c>
      <c r="DN3649" s="5" t="s">
        <v>238</v>
      </c>
      <c r="DO3649" s="5" t="s">
        <v>238</v>
      </c>
      <c r="DP3649" s="5" t="s">
        <v>490</v>
      </c>
      <c r="DQ3649" s="5" t="s">
        <v>490</v>
      </c>
      <c r="DR3649" s="5" t="s">
        <v>238</v>
      </c>
      <c r="DS3649" s="5" t="s">
        <v>238</v>
      </c>
      <c r="DT3649" s="5" t="s">
        <v>500</v>
      </c>
      <c r="DU3649" s="5" t="s">
        <v>1364</v>
      </c>
      <c r="DV3649" s="5" t="s">
        <v>238</v>
      </c>
      <c r="DW3649" s="5" t="s">
        <v>238</v>
      </c>
      <c r="DX3649" s="5" t="s">
        <v>238</v>
      </c>
      <c r="DY3649" s="5" t="s">
        <v>238</v>
      </c>
      <c r="DZ3649" s="5" t="s">
        <v>238</v>
      </c>
      <c r="EA3649" s="5" t="s">
        <v>238</v>
      </c>
      <c r="EB3649" s="5" t="s">
        <v>238</v>
      </c>
      <c r="EC3649" s="5" t="s">
        <v>238</v>
      </c>
      <c r="ED3649" s="5" t="s">
        <v>238</v>
      </c>
      <c r="EE3649" s="5" t="s">
        <v>238</v>
      </c>
      <c r="EF3649" s="5" t="s">
        <v>238</v>
      </c>
      <c r="EG3649" s="5" t="s">
        <v>238</v>
      </c>
      <c r="EH3649" s="5" t="s">
        <v>238</v>
      </c>
      <c r="EI3649" s="5" t="s">
        <v>238</v>
      </c>
      <c r="EJ3649" s="5" t="s">
        <v>238</v>
      </c>
      <c r="EK3649" s="5" t="s">
        <v>238</v>
      </c>
      <c r="EL3649" s="5" t="s">
        <v>238</v>
      </c>
      <c r="EM3649" s="5" t="s">
        <v>238</v>
      </c>
      <c r="EN3649" s="5" t="s">
        <v>238</v>
      </c>
      <c r="EO3649" s="5" t="s">
        <v>238</v>
      </c>
      <c r="EP3649" s="5" t="s">
        <v>238</v>
      </c>
      <c r="EQ3649" s="5" t="s">
        <v>238</v>
      </c>
      <c r="ER3649" s="5" t="s">
        <v>238</v>
      </c>
      <c r="ES3649" s="5" t="s">
        <v>238</v>
      </c>
      <c r="ET3649" s="5" t="s">
        <v>238</v>
      </c>
      <c r="EU3649" s="5" t="s">
        <v>238</v>
      </c>
      <c r="EV3649" s="5" t="s">
        <v>238</v>
      </c>
      <c r="EW3649" s="5" t="s">
        <v>238</v>
      </c>
      <c r="EX3649" s="5" t="s">
        <v>238</v>
      </c>
      <c r="EY3649" s="5" t="s">
        <v>238</v>
      </c>
      <c r="EZ3649" s="5" t="s">
        <v>238</v>
      </c>
      <c r="FA3649" s="5" t="s">
        <v>238</v>
      </c>
      <c r="FB3649" s="5" t="s">
        <v>238</v>
      </c>
      <c r="FC3649" s="5" t="s">
        <v>238</v>
      </c>
      <c r="FD3649" s="5" t="s">
        <v>238</v>
      </c>
      <c r="FE3649" s="5" t="s">
        <v>238</v>
      </c>
      <c r="FF3649" s="5" t="s">
        <v>238</v>
      </c>
      <c r="FG3649" s="5" t="s">
        <v>238</v>
      </c>
      <c r="FH3649" s="5" t="s">
        <v>238</v>
      </c>
      <c r="FI3649" s="5" t="s">
        <v>238</v>
      </c>
      <c r="FJ3649" s="5" t="s">
        <v>238</v>
      </c>
      <c r="FK3649" s="5" t="s">
        <v>238</v>
      </c>
      <c r="FL3649" s="5" t="s">
        <v>238</v>
      </c>
      <c r="FM3649" s="5" t="s">
        <v>238</v>
      </c>
      <c r="FN3649" s="5" t="s">
        <v>238</v>
      </c>
      <c r="FO3649" s="5" t="s">
        <v>238</v>
      </c>
      <c r="FP3649" s="5" t="s">
        <v>238</v>
      </c>
      <c r="FQ3649" s="5" t="s">
        <v>238</v>
      </c>
      <c r="FR3649" s="5" t="s">
        <v>238</v>
      </c>
      <c r="FS3649" s="5" t="s">
        <v>238</v>
      </c>
      <c r="FT3649" s="5" t="s">
        <v>238</v>
      </c>
      <c r="FU3649" s="5" t="s">
        <v>238</v>
      </c>
      <c r="FV3649" s="5" t="s">
        <v>238</v>
      </c>
      <c r="FW3649" s="5" t="s">
        <v>238</v>
      </c>
      <c r="FX3649" s="5" t="s">
        <v>238</v>
      </c>
      <c r="FY3649" s="5" t="s">
        <v>238</v>
      </c>
      <c r="FZ3649" s="5" t="s">
        <v>238</v>
      </c>
      <c r="GA3649" s="5" t="s">
        <v>238</v>
      </c>
      <c r="GB3649" s="5" t="s">
        <v>238</v>
      </c>
      <c r="GC3649" s="5" t="s">
        <v>238</v>
      </c>
      <c r="GD3649" s="5" t="s">
        <v>238</v>
      </c>
      <c r="GE3649" s="5" t="s">
        <v>238</v>
      </c>
      <c r="GF3649" s="5" t="s">
        <v>238</v>
      </c>
      <c r="GG3649" s="5" t="s">
        <v>238</v>
      </c>
      <c r="GH3649" s="5" t="s">
        <v>238</v>
      </c>
      <c r="GI3649" s="5" t="s">
        <v>238</v>
      </c>
      <c r="GJ3649" s="5" t="s">
        <v>238</v>
      </c>
      <c r="GK3649" s="5" t="s">
        <v>238</v>
      </c>
      <c r="GL3649" s="5" t="s">
        <v>238</v>
      </c>
      <c r="GM3649" s="5" t="s">
        <v>238</v>
      </c>
      <c r="GN3649" s="5" t="s">
        <v>238</v>
      </c>
      <c r="GO3649" s="5" t="s">
        <v>238</v>
      </c>
      <c r="GP3649" s="5" t="s">
        <v>238</v>
      </c>
      <c r="GQ3649" s="5" t="s">
        <v>238</v>
      </c>
      <c r="GR3649" s="5" t="s">
        <v>238</v>
      </c>
      <c r="GS3649" s="5" t="s">
        <v>238</v>
      </c>
      <c r="GT3649" s="5" t="s">
        <v>238</v>
      </c>
      <c r="GU3649" s="5" t="s">
        <v>238</v>
      </c>
      <c r="GV3649" s="5" t="s">
        <v>238</v>
      </c>
      <c r="GW3649" s="5" t="s">
        <v>238</v>
      </c>
      <c r="GX3649" s="5" t="s">
        <v>238</v>
      </c>
      <c r="GY3649" s="5" t="s">
        <v>238</v>
      </c>
      <c r="GZ3649" s="5" t="s">
        <v>238</v>
      </c>
      <c r="HA3649" s="5" t="s">
        <v>238</v>
      </c>
      <c r="HB3649" s="5" t="s">
        <v>238</v>
      </c>
      <c r="HC3649" s="5" t="s">
        <v>238</v>
      </c>
      <c r="HD3649" s="5" t="s">
        <v>238</v>
      </c>
      <c r="HE3649" s="5" t="s">
        <v>238</v>
      </c>
      <c r="HF3649" s="5" t="s">
        <v>238</v>
      </c>
      <c r="HG3649" s="5" t="s">
        <v>238</v>
      </c>
      <c r="HH3649" s="5" t="s">
        <v>238</v>
      </c>
      <c r="HI3649" s="5" t="s">
        <v>238</v>
      </c>
      <c r="HJ3649" s="5" t="s">
        <v>238</v>
      </c>
      <c r="HK3649" s="5" t="s">
        <v>238</v>
      </c>
      <c r="HL3649" s="5" t="s">
        <v>238</v>
      </c>
      <c r="HM3649" s="5" t="s">
        <v>264</v>
      </c>
      <c r="HN3649" s="5" t="s">
        <v>238</v>
      </c>
      <c r="HO3649" s="5" t="s">
        <v>238</v>
      </c>
      <c r="HP3649" s="5" t="s">
        <v>238</v>
      </c>
      <c r="HQ3649" s="5" t="s">
        <v>238</v>
      </c>
      <c r="HR3649" s="5" t="s">
        <v>238</v>
      </c>
      <c r="HS3649" s="5" t="s">
        <v>238</v>
      </c>
      <c r="HT3649" s="5" t="s">
        <v>238</v>
      </c>
      <c r="HU3649" s="5" t="s">
        <v>238</v>
      </c>
      <c r="HV3649" s="5" t="s">
        <v>238</v>
      </c>
      <c r="HW3649" s="5" t="s">
        <v>238</v>
      </c>
      <c r="HX3649" s="5" t="s">
        <v>238</v>
      </c>
      <c r="HY3649" s="5" t="s">
        <v>238</v>
      </c>
      <c r="HZ3649" s="5" t="s">
        <v>238</v>
      </c>
      <c r="IA3649" s="5" t="s">
        <v>238</v>
      </c>
      <c r="IB3649" s="5" t="s">
        <v>238</v>
      </c>
      <c r="IC3649" s="5" t="s">
        <v>238</v>
      </c>
      <c r="ID3649" s="5" t="s">
        <v>238</v>
      </c>
    </row>
    <row r="3650" spans="1:238" x14ac:dyDescent="0.4">
      <c r="A3650" s="5">
        <v>9368</v>
      </c>
      <c r="B3650" s="5">
        <v>1</v>
      </c>
      <c r="C3650" s="5">
        <v>1</v>
      </c>
      <c r="D3650" s="5" t="s">
        <v>484</v>
      </c>
      <c r="E3650" s="5" t="s">
        <v>485</v>
      </c>
      <c r="F3650" s="5" t="s">
        <v>248</v>
      </c>
      <c r="G3650" s="5" t="s">
        <v>6377</v>
      </c>
      <c r="H3650" s="6" t="s">
        <v>6378</v>
      </c>
      <c r="I3650" s="8">
        <f>1</f>
        <v>1</v>
      </c>
      <c r="J3650" s="5" t="s">
        <v>499</v>
      </c>
      <c r="K3650" s="8">
        <f>1</f>
        <v>1</v>
      </c>
      <c r="L3650" s="6" t="s">
        <v>242</v>
      </c>
      <c r="M3650" s="5" t="s">
        <v>267</v>
      </c>
      <c r="N3650" s="5" t="s">
        <v>482</v>
      </c>
      <c r="O3650" s="5" t="s">
        <v>238</v>
      </c>
      <c r="P3650" s="5" t="s">
        <v>238</v>
      </c>
      <c r="Q3650" s="5" t="s">
        <v>239</v>
      </c>
      <c r="R3650" s="5" t="s">
        <v>270</v>
      </c>
      <c r="S3650" s="5" t="s">
        <v>238</v>
      </c>
      <c r="T3650" s="5" t="s">
        <v>238</v>
      </c>
      <c r="U3650" s="5" t="s">
        <v>238</v>
      </c>
      <c r="V3650" s="5" t="s">
        <v>238</v>
      </c>
      <c r="W3650" s="6" t="s">
        <v>238</v>
      </c>
      <c r="X3650" s="6" t="s">
        <v>238</v>
      </c>
      <c r="Y3650" s="5" t="s">
        <v>238</v>
      </c>
      <c r="Z3650" s="6" t="s">
        <v>238</v>
      </c>
      <c r="AA3650" s="6" t="s">
        <v>243</v>
      </c>
      <c r="AB3650" s="5" t="s">
        <v>486</v>
      </c>
      <c r="AC3650" s="5" t="s">
        <v>244</v>
      </c>
      <c r="AD3650" s="5" t="s">
        <v>245</v>
      </c>
      <c r="AE3650" s="5" t="s">
        <v>238</v>
      </c>
      <c r="AF3650" s="5" t="s">
        <v>238</v>
      </c>
      <c r="AG3650" s="5" t="s">
        <v>238</v>
      </c>
      <c r="AH3650" s="5" t="s">
        <v>238</v>
      </c>
      <c r="AI3650" s="5" t="s">
        <v>238</v>
      </c>
      <c r="AJ3650" s="5" t="s">
        <v>238</v>
      </c>
      <c r="AK3650" s="5" t="s">
        <v>238</v>
      </c>
      <c r="AL3650" s="5" t="s">
        <v>238</v>
      </c>
      <c r="AM3650" s="6" t="s">
        <v>238</v>
      </c>
      <c r="AN3650" s="6" t="s">
        <v>238</v>
      </c>
      <c r="AO3650" s="6" t="s">
        <v>238</v>
      </c>
      <c r="AP3650" s="6" t="s">
        <v>238</v>
      </c>
      <c r="AQ3650" s="5" t="s">
        <v>238</v>
      </c>
      <c r="AR3650" s="5" t="s">
        <v>488</v>
      </c>
      <c r="AS3650" s="5" t="s">
        <v>488</v>
      </c>
      <c r="AT3650" s="5" t="s">
        <v>246</v>
      </c>
      <c r="AU3650" s="5" t="s">
        <v>489</v>
      </c>
      <c r="AV3650" s="5" t="s">
        <v>247</v>
      </c>
      <c r="AW3650" s="5" t="s">
        <v>238</v>
      </c>
      <c r="AX3650" s="5" t="s">
        <v>249</v>
      </c>
      <c r="AY3650" s="5" t="s">
        <v>490</v>
      </c>
      <c r="BA3650" s="5" t="s">
        <v>238</v>
      </c>
      <c r="BC3650" s="5" t="s">
        <v>491</v>
      </c>
      <c r="BD3650" s="6" t="s">
        <v>492</v>
      </c>
      <c r="BE3650" s="5" t="s">
        <v>493</v>
      </c>
      <c r="BF3650" s="5" t="s">
        <v>493</v>
      </c>
      <c r="BG3650" s="5" t="s">
        <v>238</v>
      </c>
      <c r="BH3650" s="8">
        <f>1</f>
        <v>1</v>
      </c>
      <c r="BI3650" s="8">
        <f>1</f>
        <v>1</v>
      </c>
      <c r="BJ3650" s="5" t="s">
        <v>253</v>
      </c>
      <c r="BK3650" s="5" t="s">
        <v>254</v>
      </c>
      <c r="BL3650" s="5" t="s">
        <v>238</v>
      </c>
      <c r="BM3650" s="5" t="s">
        <v>238</v>
      </c>
      <c r="BN3650" s="5" t="s">
        <v>238</v>
      </c>
      <c r="BO3650" s="5" t="s">
        <v>238</v>
      </c>
      <c r="BP3650" s="5" t="s">
        <v>238</v>
      </c>
      <c r="BQ3650" s="5" t="s">
        <v>238</v>
      </c>
      <c r="BR3650" s="5" t="s">
        <v>238</v>
      </c>
      <c r="BS3650" s="5" t="s">
        <v>238</v>
      </c>
      <c r="BT3650" s="6" t="s">
        <v>238</v>
      </c>
      <c r="BU3650" s="5" t="s">
        <v>238</v>
      </c>
      <c r="BV3650" s="5" t="s">
        <v>238</v>
      </c>
      <c r="BW3650" s="5" t="s">
        <v>238</v>
      </c>
      <c r="BX3650" s="5" t="s">
        <v>254</v>
      </c>
      <c r="BY3650" s="5" t="s">
        <v>238</v>
      </c>
      <c r="BZ3650" s="5" t="s">
        <v>238</v>
      </c>
      <c r="CA3650" s="5" t="s">
        <v>238</v>
      </c>
      <c r="CB3650" s="5" t="s">
        <v>238</v>
      </c>
      <c r="CC3650" s="5" t="s">
        <v>238</v>
      </c>
      <c r="CD3650" s="5" t="s">
        <v>273</v>
      </c>
      <c r="CE3650" s="5" t="s">
        <v>256</v>
      </c>
      <c r="CF3650" s="5" t="s">
        <v>238</v>
      </c>
      <c r="CH3650" s="5" t="s">
        <v>494</v>
      </c>
      <c r="CI3650" s="6" t="s">
        <v>257</v>
      </c>
      <c r="CJ3650" s="5" t="s">
        <v>495</v>
      </c>
      <c r="CK3650" s="5" t="s">
        <v>258</v>
      </c>
      <c r="CL3650" s="5" t="s">
        <v>496</v>
      </c>
      <c r="CM3650" s="5" t="s">
        <v>238</v>
      </c>
      <c r="CN3650" s="5">
        <v>0</v>
      </c>
      <c r="CO3650" s="5" t="s">
        <v>497</v>
      </c>
      <c r="CP3650" s="5" t="s">
        <v>260</v>
      </c>
      <c r="CQ3650" s="5" t="s">
        <v>260</v>
      </c>
      <c r="CR3650" s="5" t="s">
        <v>261</v>
      </c>
      <c r="CS3650" s="5" t="s">
        <v>498</v>
      </c>
      <c r="CT3650" s="7">
        <f>1</f>
        <v>1</v>
      </c>
      <c r="CU3650" s="8">
        <f>1</f>
        <v>1</v>
      </c>
      <c r="CV3650" s="8">
        <f>0</f>
        <v>0</v>
      </c>
      <c r="CX3650" s="8">
        <f>1</f>
        <v>1</v>
      </c>
      <c r="CY3650" s="8">
        <f>1</f>
        <v>1</v>
      </c>
      <c r="CZ3650" s="8" t="s">
        <v>238</v>
      </c>
      <c r="DA3650" s="5" t="s">
        <v>238</v>
      </c>
      <c r="DB3650" s="5" t="s">
        <v>238</v>
      </c>
      <c r="DC3650" s="5" t="s">
        <v>238</v>
      </c>
      <c r="DD3650" s="5" t="s">
        <v>238</v>
      </c>
      <c r="DE3650" s="8">
        <f>0</f>
        <v>0</v>
      </c>
      <c r="DG3650" s="5" t="s">
        <v>238</v>
      </c>
      <c r="DH3650" s="5" t="s">
        <v>238</v>
      </c>
      <c r="DI3650" s="5" t="s">
        <v>238</v>
      </c>
      <c r="DJ3650" s="5" t="s">
        <v>238</v>
      </c>
      <c r="DK3650" s="5" t="s">
        <v>238</v>
      </c>
      <c r="DL3650" s="5" t="s">
        <v>238</v>
      </c>
      <c r="DM3650" s="8" t="s">
        <v>238</v>
      </c>
      <c r="DN3650" s="5" t="s">
        <v>238</v>
      </c>
      <c r="DO3650" s="5" t="s">
        <v>238</v>
      </c>
      <c r="DP3650" s="5" t="s">
        <v>490</v>
      </c>
      <c r="DQ3650" s="5" t="s">
        <v>490</v>
      </c>
      <c r="DR3650" s="5" t="s">
        <v>238</v>
      </c>
      <c r="DS3650" s="5" t="s">
        <v>238</v>
      </c>
      <c r="DT3650" s="5" t="s">
        <v>500</v>
      </c>
      <c r="DU3650" s="5" t="s">
        <v>967</v>
      </c>
      <c r="DV3650" s="5" t="s">
        <v>238</v>
      </c>
      <c r="DW3650" s="5" t="s">
        <v>238</v>
      </c>
      <c r="DX3650" s="5" t="s">
        <v>238</v>
      </c>
      <c r="DY3650" s="5" t="s">
        <v>238</v>
      </c>
      <c r="DZ3650" s="5" t="s">
        <v>238</v>
      </c>
      <c r="EA3650" s="5" t="s">
        <v>238</v>
      </c>
      <c r="EB3650" s="5" t="s">
        <v>238</v>
      </c>
      <c r="EC3650" s="5" t="s">
        <v>238</v>
      </c>
      <c r="ED3650" s="5" t="s">
        <v>238</v>
      </c>
      <c r="EE3650" s="5" t="s">
        <v>238</v>
      </c>
      <c r="EF3650" s="5" t="s">
        <v>238</v>
      </c>
      <c r="EG3650" s="5" t="s">
        <v>238</v>
      </c>
      <c r="EH3650" s="5" t="s">
        <v>238</v>
      </c>
      <c r="EI3650" s="5" t="s">
        <v>238</v>
      </c>
      <c r="EJ3650" s="5" t="s">
        <v>238</v>
      </c>
      <c r="EK3650" s="5" t="s">
        <v>238</v>
      </c>
      <c r="EL3650" s="5" t="s">
        <v>238</v>
      </c>
      <c r="EM3650" s="5" t="s">
        <v>238</v>
      </c>
      <c r="EN3650" s="5" t="s">
        <v>238</v>
      </c>
      <c r="EO3650" s="5" t="s">
        <v>238</v>
      </c>
      <c r="EP3650" s="5" t="s">
        <v>238</v>
      </c>
      <c r="EQ3650" s="5" t="s">
        <v>238</v>
      </c>
      <c r="ER3650" s="5" t="s">
        <v>238</v>
      </c>
      <c r="ES3650" s="5" t="s">
        <v>238</v>
      </c>
      <c r="ET3650" s="5" t="s">
        <v>238</v>
      </c>
      <c r="EU3650" s="5" t="s">
        <v>238</v>
      </c>
      <c r="EV3650" s="5" t="s">
        <v>238</v>
      </c>
      <c r="EW3650" s="5" t="s">
        <v>238</v>
      </c>
      <c r="EX3650" s="5" t="s">
        <v>238</v>
      </c>
      <c r="EY3650" s="5" t="s">
        <v>238</v>
      </c>
      <c r="EZ3650" s="5" t="s">
        <v>238</v>
      </c>
      <c r="FA3650" s="5" t="s">
        <v>238</v>
      </c>
      <c r="FB3650" s="5" t="s">
        <v>238</v>
      </c>
      <c r="FC3650" s="5" t="s">
        <v>238</v>
      </c>
      <c r="FD3650" s="5" t="s">
        <v>238</v>
      </c>
      <c r="FE3650" s="5" t="s">
        <v>238</v>
      </c>
      <c r="FF3650" s="5" t="s">
        <v>238</v>
      </c>
      <c r="FG3650" s="5" t="s">
        <v>238</v>
      </c>
      <c r="FH3650" s="5" t="s">
        <v>238</v>
      </c>
      <c r="FI3650" s="5" t="s">
        <v>238</v>
      </c>
      <c r="FJ3650" s="5" t="s">
        <v>238</v>
      </c>
      <c r="FK3650" s="5" t="s">
        <v>238</v>
      </c>
      <c r="FL3650" s="5" t="s">
        <v>238</v>
      </c>
      <c r="FM3650" s="5" t="s">
        <v>238</v>
      </c>
      <c r="FN3650" s="5" t="s">
        <v>238</v>
      </c>
      <c r="FO3650" s="5" t="s">
        <v>238</v>
      </c>
      <c r="FP3650" s="5" t="s">
        <v>238</v>
      </c>
      <c r="FQ3650" s="5" t="s">
        <v>238</v>
      </c>
      <c r="FR3650" s="5" t="s">
        <v>238</v>
      </c>
      <c r="FS3650" s="5" t="s">
        <v>238</v>
      </c>
      <c r="FT3650" s="5" t="s">
        <v>238</v>
      </c>
      <c r="FU3650" s="5" t="s">
        <v>238</v>
      </c>
      <c r="FV3650" s="5" t="s">
        <v>238</v>
      </c>
      <c r="FW3650" s="5" t="s">
        <v>238</v>
      </c>
      <c r="FX3650" s="5" t="s">
        <v>238</v>
      </c>
      <c r="FY3650" s="5" t="s">
        <v>238</v>
      </c>
      <c r="FZ3650" s="5" t="s">
        <v>238</v>
      </c>
      <c r="GA3650" s="5" t="s">
        <v>238</v>
      </c>
      <c r="GB3650" s="5" t="s">
        <v>238</v>
      </c>
      <c r="GC3650" s="5" t="s">
        <v>238</v>
      </c>
      <c r="GD3650" s="5" t="s">
        <v>238</v>
      </c>
      <c r="GE3650" s="5" t="s">
        <v>238</v>
      </c>
      <c r="GF3650" s="5" t="s">
        <v>238</v>
      </c>
      <c r="GG3650" s="5" t="s">
        <v>238</v>
      </c>
      <c r="GH3650" s="5" t="s">
        <v>238</v>
      </c>
      <c r="GI3650" s="5" t="s">
        <v>238</v>
      </c>
      <c r="GJ3650" s="5" t="s">
        <v>238</v>
      </c>
      <c r="GK3650" s="5" t="s">
        <v>238</v>
      </c>
      <c r="GL3650" s="5" t="s">
        <v>238</v>
      </c>
      <c r="GM3650" s="5" t="s">
        <v>238</v>
      </c>
      <c r="GN3650" s="5" t="s">
        <v>238</v>
      </c>
      <c r="GO3650" s="5" t="s">
        <v>238</v>
      </c>
      <c r="GP3650" s="5" t="s">
        <v>238</v>
      </c>
      <c r="GQ3650" s="5" t="s">
        <v>238</v>
      </c>
      <c r="GR3650" s="5" t="s">
        <v>238</v>
      </c>
      <c r="GS3650" s="5" t="s">
        <v>238</v>
      </c>
      <c r="GT3650" s="5" t="s">
        <v>238</v>
      </c>
      <c r="GU3650" s="5" t="s">
        <v>238</v>
      </c>
      <c r="GV3650" s="5" t="s">
        <v>238</v>
      </c>
      <c r="GW3650" s="5" t="s">
        <v>238</v>
      </c>
      <c r="GX3650" s="5" t="s">
        <v>238</v>
      </c>
      <c r="GY3650" s="5" t="s">
        <v>238</v>
      </c>
      <c r="GZ3650" s="5" t="s">
        <v>238</v>
      </c>
      <c r="HA3650" s="5" t="s">
        <v>238</v>
      </c>
      <c r="HB3650" s="5" t="s">
        <v>238</v>
      </c>
      <c r="HC3650" s="5" t="s">
        <v>238</v>
      </c>
      <c r="HD3650" s="5" t="s">
        <v>238</v>
      </c>
      <c r="HE3650" s="5" t="s">
        <v>238</v>
      </c>
      <c r="HF3650" s="5" t="s">
        <v>238</v>
      </c>
      <c r="HG3650" s="5" t="s">
        <v>238</v>
      </c>
      <c r="HH3650" s="5" t="s">
        <v>238</v>
      </c>
      <c r="HI3650" s="5" t="s">
        <v>238</v>
      </c>
      <c r="HJ3650" s="5" t="s">
        <v>238</v>
      </c>
      <c r="HK3650" s="5" t="s">
        <v>238</v>
      </c>
      <c r="HL3650" s="5" t="s">
        <v>238</v>
      </c>
      <c r="HM3650" s="5" t="s">
        <v>264</v>
      </c>
      <c r="HN3650" s="5" t="s">
        <v>238</v>
      </c>
      <c r="HO3650" s="5" t="s">
        <v>238</v>
      </c>
      <c r="HP3650" s="5" t="s">
        <v>238</v>
      </c>
      <c r="HQ3650" s="5" t="s">
        <v>238</v>
      </c>
      <c r="HR3650" s="5" t="s">
        <v>238</v>
      </c>
      <c r="HS3650" s="5" t="s">
        <v>238</v>
      </c>
      <c r="HT3650" s="5" t="s">
        <v>238</v>
      </c>
      <c r="HU3650" s="5" t="s">
        <v>238</v>
      </c>
      <c r="HV3650" s="5" t="s">
        <v>238</v>
      </c>
      <c r="HW3650" s="5" t="s">
        <v>238</v>
      </c>
      <c r="HX3650" s="5" t="s">
        <v>238</v>
      </c>
      <c r="HY3650" s="5" t="s">
        <v>238</v>
      </c>
      <c r="HZ3650" s="5" t="s">
        <v>238</v>
      </c>
      <c r="IA3650" s="5" t="s">
        <v>238</v>
      </c>
      <c r="IB3650" s="5" t="s">
        <v>238</v>
      </c>
      <c r="IC3650" s="5" t="s">
        <v>238</v>
      </c>
      <c r="ID3650" s="5" t="s">
        <v>238</v>
      </c>
    </row>
    <row r="3651" spans="1:238" x14ac:dyDescent="0.4">
      <c r="A3651" s="5">
        <v>9369</v>
      </c>
      <c r="B3651" s="5">
        <v>1</v>
      </c>
      <c r="C3651" s="5">
        <v>1</v>
      </c>
      <c r="D3651" s="5" t="s">
        <v>484</v>
      </c>
      <c r="E3651" s="5" t="s">
        <v>485</v>
      </c>
      <c r="F3651" s="5" t="s">
        <v>248</v>
      </c>
      <c r="G3651" s="5" t="s">
        <v>4860</v>
      </c>
      <c r="H3651" s="6" t="s">
        <v>4862</v>
      </c>
      <c r="I3651" s="8">
        <f>1</f>
        <v>1</v>
      </c>
      <c r="J3651" s="5" t="s">
        <v>499</v>
      </c>
      <c r="K3651" s="8">
        <f>1</f>
        <v>1</v>
      </c>
      <c r="L3651" s="6" t="s">
        <v>242</v>
      </c>
      <c r="M3651" s="5" t="s">
        <v>267</v>
      </c>
      <c r="N3651" s="5" t="s">
        <v>482</v>
      </c>
      <c r="O3651" s="5" t="s">
        <v>238</v>
      </c>
      <c r="P3651" s="5" t="s">
        <v>238</v>
      </c>
      <c r="Q3651" s="5" t="s">
        <v>239</v>
      </c>
      <c r="R3651" s="5" t="s">
        <v>270</v>
      </c>
      <c r="S3651" s="5" t="s">
        <v>238</v>
      </c>
      <c r="T3651" s="5" t="s">
        <v>238</v>
      </c>
      <c r="U3651" s="5" t="s">
        <v>238</v>
      </c>
      <c r="V3651" s="5" t="s">
        <v>238</v>
      </c>
      <c r="W3651" s="6" t="s">
        <v>238</v>
      </c>
      <c r="X3651" s="6" t="s">
        <v>238</v>
      </c>
      <c r="Y3651" s="5" t="s">
        <v>238</v>
      </c>
      <c r="Z3651" s="6" t="s">
        <v>238</v>
      </c>
      <c r="AA3651" s="6" t="s">
        <v>243</v>
      </c>
      <c r="AB3651" s="5" t="s">
        <v>4861</v>
      </c>
      <c r="AC3651" s="5" t="s">
        <v>244</v>
      </c>
      <c r="AD3651" s="5" t="s">
        <v>245</v>
      </c>
      <c r="AE3651" s="5" t="s">
        <v>238</v>
      </c>
      <c r="AF3651" s="5" t="s">
        <v>238</v>
      </c>
      <c r="AG3651" s="5" t="s">
        <v>238</v>
      </c>
      <c r="AH3651" s="5" t="s">
        <v>238</v>
      </c>
      <c r="AI3651" s="5" t="s">
        <v>238</v>
      </c>
      <c r="AJ3651" s="5" t="s">
        <v>238</v>
      </c>
      <c r="AK3651" s="5" t="s">
        <v>238</v>
      </c>
      <c r="AL3651" s="5" t="s">
        <v>238</v>
      </c>
      <c r="AM3651" s="6" t="s">
        <v>238</v>
      </c>
      <c r="AN3651" s="6" t="s">
        <v>238</v>
      </c>
      <c r="AO3651" s="6" t="s">
        <v>238</v>
      </c>
      <c r="AP3651" s="6" t="s">
        <v>238</v>
      </c>
      <c r="AQ3651" s="5" t="s">
        <v>238</v>
      </c>
      <c r="AR3651" s="5" t="s">
        <v>488</v>
      </c>
      <c r="AS3651" s="5" t="s">
        <v>488</v>
      </c>
      <c r="AT3651" s="5" t="s">
        <v>246</v>
      </c>
      <c r="AU3651" s="5" t="s">
        <v>489</v>
      </c>
      <c r="AV3651" s="5" t="s">
        <v>247</v>
      </c>
      <c r="AW3651" s="5" t="s">
        <v>238</v>
      </c>
      <c r="AX3651" s="5" t="s">
        <v>249</v>
      </c>
      <c r="AY3651" s="5" t="s">
        <v>490</v>
      </c>
      <c r="BA3651" s="5" t="s">
        <v>238</v>
      </c>
      <c r="BC3651" s="5" t="s">
        <v>491</v>
      </c>
      <c r="BD3651" s="6" t="s">
        <v>492</v>
      </c>
      <c r="BE3651" s="5" t="s">
        <v>493</v>
      </c>
      <c r="BF3651" s="5" t="s">
        <v>493</v>
      </c>
      <c r="BG3651" s="5" t="s">
        <v>238</v>
      </c>
      <c r="BH3651" s="8">
        <f>1</f>
        <v>1</v>
      </c>
      <c r="BI3651" s="8">
        <f>1</f>
        <v>1</v>
      </c>
      <c r="BJ3651" s="5" t="s">
        <v>253</v>
      </c>
      <c r="BK3651" s="5" t="s">
        <v>254</v>
      </c>
      <c r="BL3651" s="5" t="s">
        <v>238</v>
      </c>
      <c r="BM3651" s="5" t="s">
        <v>238</v>
      </c>
      <c r="BN3651" s="5" t="s">
        <v>238</v>
      </c>
      <c r="BO3651" s="5" t="s">
        <v>238</v>
      </c>
      <c r="BP3651" s="5" t="s">
        <v>238</v>
      </c>
      <c r="BQ3651" s="5" t="s">
        <v>238</v>
      </c>
      <c r="BR3651" s="5" t="s">
        <v>238</v>
      </c>
      <c r="BS3651" s="5" t="s">
        <v>238</v>
      </c>
      <c r="BT3651" s="6" t="s">
        <v>238</v>
      </c>
      <c r="BU3651" s="5" t="s">
        <v>238</v>
      </c>
      <c r="BV3651" s="5" t="s">
        <v>238</v>
      </c>
      <c r="BW3651" s="5" t="s">
        <v>238</v>
      </c>
      <c r="BX3651" s="5" t="s">
        <v>254</v>
      </c>
      <c r="BY3651" s="5" t="s">
        <v>238</v>
      </c>
      <c r="BZ3651" s="5" t="s">
        <v>238</v>
      </c>
      <c r="CA3651" s="5" t="s">
        <v>238</v>
      </c>
      <c r="CB3651" s="5" t="s">
        <v>238</v>
      </c>
      <c r="CC3651" s="5" t="s">
        <v>238</v>
      </c>
      <c r="CD3651" s="5" t="s">
        <v>273</v>
      </c>
      <c r="CE3651" s="5" t="s">
        <v>256</v>
      </c>
      <c r="CF3651" s="5" t="s">
        <v>238</v>
      </c>
      <c r="CH3651" s="5" t="s">
        <v>494</v>
      </c>
      <c r="CI3651" s="6" t="s">
        <v>257</v>
      </c>
      <c r="CJ3651" s="5" t="s">
        <v>495</v>
      </c>
      <c r="CK3651" s="5" t="s">
        <v>258</v>
      </c>
      <c r="CL3651" s="5" t="s">
        <v>496</v>
      </c>
      <c r="CM3651" s="5" t="s">
        <v>238</v>
      </c>
      <c r="CN3651" s="5">
        <v>0</v>
      </c>
      <c r="CO3651" s="5" t="s">
        <v>497</v>
      </c>
      <c r="CP3651" s="5" t="s">
        <v>260</v>
      </c>
      <c r="CQ3651" s="5" t="s">
        <v>260</v>
      </c>
      <c r="CR3651" s="5" t="s">
        <v>261</v>
      </c>
      <c r="CS3651" s="5" t="s">
        <v>498</v>
      </c>
      <c r="CT3651" s="7">
        <f>1</f>
        <v>1</v>
      </c>
      <c r="CU3651" s="8">
        <f>1</f>
        <v>1</v>
      </c>
      <c r="CV3651" s="8">
        <f>0</f>
        <v>0</v>
      </c>
      <c r="CX3651" s="8">
        <f>1</f>
        <v>1</v>
      </c>
      <c r="CY3651" s="8">
        <f>1</f>
        <v>1</v>
      </c>
      <c r="CZ3651" s="8" t="s">
        <v>238</v>
      </c>
      <c r="DA3651" s="5" t="s">
        <v>238</v>
      </c>
      <c r="DB3651" s="5" t="s">
        <v>238</v>
      </c>
      <c r="DC3651" s="5" t="s">
        <v>238</v>
      </c>
      <c r="DD3651" s="5" t="s">
        <v>238</v>
      </c>
      <c r="DE3651" s="8">
        <f>0</f>
        <v>0</v>
      </c>
      <c r="DG3651" s="5" t="s">
        <v>238</v>
      </c>
      <c r="DH3651" s="5" t="s">
        <v>238</v>
      </c>
      <c r="DI3651" s="5" t="s">
        <v>238</v>
      </c>
      <c r="DJ3651" s="5" t="s">
        <v>238</v>
      </c>
      <c r="DK3651" s="5" t="s">
        <v>238</v>
      </c>
      <c r="DL3651" s="5" t="s">
        <v>238</v>
      </c>
      <c r="DM3651" s="8" t="s">
        <v>238</v>
      </c>
      <c r="DN3651" s="5" t="s">
        <v>238</v>
      </c>
      <c r="DO3651" s="5" t="s">
        <v>238</v>
      </c>
      <c r="DP3651" s="5" t="s">
        <v>490</v>
      </c>
      <c r="DQ3651" s="5" t="s">
        <v>490</v>
      </c>
      <c r="DR3651" s="5" t="s">
        <v>238</v>
      </c>
      <c r="DS3651" s="5" t="s">
        <v>238</v>
      </c>
      <c r="DT3651" s="5" t="s">
        <v>500</v>
      </c>
      <c r="DU3651" s="5" t="s">
        <v>294</v>
      </c>
      <c r="DV3651" s="5" t="s">
        <v>238</v>
      </c>
      <c r="DW3651" s="5" t="s">
        <v>238</v>
      </c>
      <c r="DX3651" s="5" t="s">
        <v>238</v>
      </c>
      <c r="DY3651" s="5" t="s">
        <v>238</v>
      </c>
      <c r="DZ3651" s="5" t="s">
        <v>238</v>
      </c>
      <c r="EA3651" s="5" t="s">
        <v>238</v>
      </c>
      <c r="EB3651" s="5" t="s">
        <v>238</v>
      </c>
      <c r="EC3651" s="5" t="s">
        <v>238</v>
      </c>
      <c r="ED3651" s="5" t="s">
        <v>238</v>
      </c>
      <c r="EE3651" s="5" t="s">
        <v>238</v>
      </c>
      <c r="EF3651" s="5" t="s">
        <v>238</v>
      </c>
      <c r="EG3651" s="5" t="s">
        <v>238</v>
      </c>
      <c r="EH3651" s="5" t="s">
        <v>238</v>
      </c>
      <c r="EI3651" s="5" t="s">
        <v>238</v>
      </c>
      <c r="EJ3651" s="5" t="s">
        <v>238</v>
      </c>
      <c r="EK3651" s="5" t="s">
        <v>238</v>
      </c>
      <c r="EL3651" s="5" t="s">
        <v>238</v>
      </c>
      <c r="EM3651" s="5" t="s">
        <v>238</v>
      </c>
      <c r="EN3651" s="5" t="s">
        <v>238</v>
      </c>
      <c r="EO3651" s="5" t="s">
        <v>238</v>
      </c>
      <c r="EP3651" s="5" t="s">
        <v>238</v>
      </c>
      <c r="EQ3651" s="5" t="s">
        <v>238</v>
      </c>
      <c r="ER3651" s="5" t="s">
        <v>238</v>
      </c>
      <c r="ES3651" s="5" t="s">
        <v>238</v>
      </c>
      <c r="ET3651" s="5" t="s">
        <v>238</v>
      </c>
      <c r="EU3651" s="5" t="s">
        <v>238</v>
      </c>
      <c r="EV3651" s="5" t="s">
        <v>238</v>
      </c>
      <c r="EW3651" s="5" t="s">
        <v>238</v>
      </c>
      <c r="EX3651" s="5" t="s">
        <v>238</v>
      </c>
      <c r="EY3651" s="5" t="s">
        <v>238</v>
      </c>
      <c r="EZ3651" s="5" t="s">
        <v>238</v>
      </c>
      <c r="FA3651" s="5" t="s">
        <v>238</v>
      </c>
      <c r="FB3651" s="5" t="s">
        <v>238</v>
      </c>
      <c r="FC3651" s="5" t="s">
        <v>238</v>
      </c>
      <c r="FD3651" s="5" t="s">
        <v>238</v>
      </c>
      <c r="FE3651" s="5" t="s">
        <v>238</v>
      </c>
      <c r="FF3651" s="5" t="s">
        <v>238</v>
      </c>
      <c r="FG3651" s="5" t="s">
        <v>238</v>
      </c>
      <c r="FH3651" s="5" t="s">
        <v>238</v>
      </c>
      <c r="FI3651" s="5" t="s">
        <v>238</v>
      </c>
      <c r="FJ3651" s="5" t="s">
        <v>238</v>
      </c>
      <c r="FK3651" s="5" t="s">
        <v>238</v>
      </c>
      <c r="FL3651" s="5" t="s">
        <v>238</v>
      </c>
      <c r="FM3651" s="5" t="s">
        <v>238</v>
      </c>
      <c r="FN3651" s="5" t="s">
        <v>238</v>
      </c>
      <c r="FO3651" s="5" t="s">
        <v>238</v>
      </c>
      <c r="FP3651" s="5" t="s">
        <v>238</v>
      </c>
      <c r="FQ3651" s="5" t="s">
        <v>238</v>
      </c>
      <c r="FR3651" s="5" t="s">
        <v>238</v>
      </c>
      <c r="FS3651" s="5" t="s">
        <v>238</v>
      </c>
      <c r="FT3651" s="5" t="s">
        <v>238</v>
      </c>
      <c r="FU3651" s="5" t="s">
        <v>238</v>
      </c>
      <c r="FV3651" s="5" t="s">
        <v>238</v>
      </c>
      <c r="FW3651" s="5" t="s">
        <v>238</v>
      </c>
      <c r="FX3651" s="5" t="s">
        <v>238</v>
      </c>
      <c r="FY3651" s="5" t="s">
        <v>238</v>
      </c>
      <c r="FZ3651" s="5" t="s">
        <v>238</v>
      </c>
      <c r="GA3651" s="5" t="s">
        <v>238</v>
      </c>
      <c r="GB3651" s="5" t="s">
        <v>238</v>
      </c>
      <c r="GC3651" s="5" t="s">
        <v>238</v>
      </c>
      <c r="GD3651" s="5" t="s">
        <v>238</v>
      </c>
      <c r="GE3651" s="5" t="s">
        <v>238</v>
      </c>
      <c r="GF3651" s="5" t="s">
        <v>238</v>
      </c>
      <c r="GG3651" s="5" t="s">
        <v>238</v>
      </c>
      <c r="GH3651" s="5" t="s">
        <v>238</v>
      </c>
      <c r="GI3651" s="5" t="s">
        <v>238</v>
      </c>
      <c r="GJ3651" s="5" t="s">
        <v>238</v>
      </c>
      <c r="GK3651" s="5" t="s">
        <v>238</v>
      </c>
      <c r="GL3651" s="5" t="s">
        <v>238</v>
      </c>
      <c r="GM3651" s="5" t="s">
        <v>238</v>
      </c>
      <c r="GN3651" s="5" t="s">
        <v>238</v>
      </c>
      <c r="GO3651" s="5" t="s">
        <v>238</v>
      </c>
      <c r="GP3651" s="5" t="s">
        <v>238</v>
      </c>
      <c r="GQ3651" s="5" t="s">
        <v>238</v>
      </c>
      <c r="GR3651" s="5" t="s">
        <v>238</v>
      </c>
      <c r="GS3651" s="5" t="s">
        <v>238</v>
      </c>
      <c r="GT3651" s="5" t="s">
        <v>238</v>
      </c>
      <c r="GU3651" s="5" t="s">
        <v>238</v>
      </c>
      <c r="GV3651" s="5" t="s">
        <v>238</v>
      </c>
      <c r="GW3651" s="5" t="s">
        <v>238</v>
      </c>
      <c r="GX3651" s="5" t="s">
        <v>238</v>
      </c>
      <c r="GY3651" s="5" t="s">
        <v>238</v>
      </c>
      <c r="GZ3651" s="5" t="s">
        <v>238</v>
      </c>
      <c r="HA3651" s="5" t="s">
        <v>238</v>
      </c>
      <c r="HB3651" s="5" t="s">
        <v>238</v>
      </c>
      <c r="HC3651" s="5" t="s">
        <v>238</v>
      </c>
      <c r="HD3651" s="5" t="s">
        <v>238</v>
      </c>
      <c r="HE3651" s="5" t="s">
        <v>238</v>
      </c>
      <c r="HF3651" s="5" t="s">
        <v>238</v>
      </c>
      <c r="HG3651" s="5" t="s">
        <v>238</v>
      </c>
      <c r="HH3651" s="5" t="s">
        <v>238</v>
      </c>
      <c r="HI3651" s="5" t="s">
        <v>238</v>
      </c>
      <c r="HJ3651" s="5" t="s">
        <v>238</v>
      </c>
      <c r="HK3651" s="5" t="s">
        <v>238</v>
      </c>
      <c r="HL3651" s="5" t="s">
        <v>238</v>
      </c>
      <c r="HM3651" s="5" t="s">
        <v>264</v>
      </c>
      <c r="HN3651" s="5" t="s">
        <v>238</v>
      </c>
      <c r="HO3651" s="5" t="s">
        <v>238</v>
      </c>
      <c r="HP3651" s="5" t="s">
        <v>238</v>
      </c>
      <c r="HQ3651" s="5" t="s">
        <v>238</v>
      </c>
      <c r="HR3651" s="5" t="s">
        <v>238</v>
      </c>
      <c r="HS3651" s="5" t="s">
        <v>238</v>
      </c>
      <c r="HT3651" s="5" t="s">
        <v>238</v>
      </c>
      <c r="HU3651" s="5" t="s">
        <v>238</v>
      </c>
      <c r="HV3651" s="5" t="s">
        <v>238</v>
      </c>
      <c r="HW3651" s="5" t="s">
        <v>238</v>
      </c>
      <c r="HX3651" s="5" t="s">
        <v>238</v>
      </c>
      <c r="HY3651" s="5" t="s">
        <v>238</v>
      </c>
      <c r="HZ3651" s="5" t="s">
        <v>238</v>
      </c>
      <c r="IA3651" s="5" t="s">
        <v>238</v>
      </c>
      <c r="IB3651" s="5" t="s">
        <v>238</v>
      </c>
      <c r="IC3651" s="5" t="s">
        <v>238</v>
      </c>
      <c r="ID3651" s="5" t="s">
        <v>238</v>
      </c>
    </row>
    <row r="3652" spans="1:238" x14ac:dyDescent="0.4">
      <c r="A3652" s="5">
        <v>9370</v>
      </c>
      <c r="B3652" s="5">
        <v>1</v>
      </c>
      <c r="C3652" s="5">
        <v>1</v>
      </c>
      <c r="D3652" s="5" t="s">
        <v>484</v>
      </c>
      <c r="E3652" s="5" t="s">
        <v>485</v>
      </c>
      <c r="F3652" s="5" t="s">
        <v>248</v>
      </c>
      <c r="G3652" s="5" t="s">
        <v>4898</v>
      </c>
      <c r="H3652" s="6" t="s">
        <v>4898</v>
      </c>
      <c r="I3652" s="8">
        <f>1</f>
        <v>1</v>
      </c>
      <c r="J3652" s="5" t="s">
        <v>499</v>
      </c>
      <c r="K3652" s="8">
        <f>1</f>
        <v>1</v>
      </c>
      <c r="L3652" s="6" t="s">
        <v>242</v>
      </c>
      <c r="M3652" s="5" t="s">
        <v>267</v>
      </c>
      <c r="N3652" s="5" t="s">
        <v>482</v>
      </c>
      <c r="O3652" s="5" t="s">
        <v>238</v>
      </c>
      <c r="P3652" s="5" t="s">
        <v>238</v>
      </c>
      <c r="Q3652" s="5" t="s">
        <v>239</v>
      </c>
      <c r="R3652" s="5" t="s">
        <v>270</v>
      </c>
      <c r="S3652" s="5" t="s">
        <v>238</v>
      </c>
      <c r="T3652" s="5" t="s">
        <v>238</v>
      </c>
      <c r="U3652" s="5" t="s">
        <v>238</v>
      </c>
      <c r="V3652" s="5" t="s">
        <v>238</v>
      </c>
      <c r="W3652" s="6" t="s">
        <v>238</v>
      </c>
      <c r="X3652" s="6" t="s">
        <v>238</v>
      </c>
      <c r="Y3652" s="5" t="s">
        <v>238</v>
      </c>
      <c r="Z3652" s="6" t="s">
        <v>238</v>
      </c>
      <c r="AA3652" s="6" t="s">
        <v>243</v>
      </c>
      <c r="AB3652" s="5" t="s">
        <v>4446</v>
      </c>
      <c r="AC3652" s="5" t="s">
        <v>244</v>
      </c>
      <c r="AD3652" s="5" t="s">
        <v>245</v>
      </c>
      <c r="AE3652" s="5" t="s">
        <v>238</v>
      </c>
      <c r="AF3652" s="5" t="s">
        <v>238</v>
      </c>
      <c r="AG3652" s="5" t="s">
        <v>238</v>
      </c>
      <c r="AH3652" s="5" t="s">
        <v>238</v>
      </c>
      <c r="AI3652" s="5" t="s">
        <v>238</v>
      </c>
      <c r="AJ3652" s="5" t="s">
        <v>238</v>
      </c>
      <c r="AK3652" s="5" t="s">
        <v>238</v>
      </c>
      <c r="AL3652" s="5" t="s">
        <v>238</v>
      </c>
      <c r="AM3652" s="6" t="s">
        <v>238</v>
      </c>
      <c r="AN3652" s="6" t="s">
        <v>238</v>
      </c>
      <c r="AO3652" s="6" t="s">
        <v>238</v>
      </c>
      <c r="AP3652" s="6" t="s">
        <v>238</v>
      </c>
      <c r="AQ3652" s="5" t="s">
        <v>238</v>
      </c>
      <c r="AR3652" s="5" t="s">
        <v>488</v>
      </c>
      <c r="AS3652" s="5" t="s">
        <v>488</v>
      </c>
      <c r="AT3652" s="5" t="s">
        <v>246</v>
      </c>
      <c r="AU3652" s="5" t="s">
        <v>489</v>
      </c>
      <c r="AV3652" s="5" t="s">
        <v>247</v>
      </c>
      <c r="AW3652" s="5" t="s">
        <v>238</v>
      </c>
      <c r="AX3652" s="5" t="s">
        <v>249</v>
      </c>
      <c r="AY3652" s="5" t="s">
        <v>490</v>
      </c>
      <c r="BA3652" s="5" t="s">
        <v>238</v>
      </c>
      <c r="BC3652" s="5" t="s">
        <v>491</v>
      </c>
      <c r="BD3652" s="6" t="s">
        <v>492</v>
      </c>
      <c r="BE3652" s="5" t="s">
        <v>493</v>
      </c>
      <c r="BF3652" s="5" t="s">
        <v>493</v>
      </c>
      <c r="BG3652" s="5" t="s">
        <v>238</v>
      </c>
      <c r="BH3652" s="8">
        <f>1</f>
        <v>1</v>
      </c>
      <c r="BI3652" s="8">
        <f>1</f>
        <v>1</v>
      </c>
      <c r="BJ3652" s="5" t="s">
        <v>253</v>
      </c>
      <c r="BK3652" s="5" t="s">
        <v>254</v>
      </c>
      <c r="BL3652" s="5" t="s">
        <v>238</v>
      </c>
      <c r="BM3652" s="5" t="s">
        <v>238</v>
      </c>
      <c r="BN3652" s="5" t="s">
        <v>238</v>
      </c>
      <c r="BO3652" s="5" t="s">
        <v>238</v>
      </c>
      <c r="BP3652" s="5" t="s">
        <v>238</v>
      </c>
      <c r="BQ3652" s="5" t="s">
        <v>238</v>
      </c>
      <c r="BR3652" s="5" t="s">
        <v>238</v>
      </c>
      <c r="BS3652" s="5" t="s">
        <v>238</v>
      </c>
      <c r="BT3652" s="6" t="s">
        <v>238</v>
      </c>
      <c r="BU3652" s="5" t="s">
        <v>238</v>
      </c>
      <c r="BV3652" s="5" t="s">
        <v>238</v>
      </c>
      <c r="BW3652" s="5" t="s">
        <v>238</v>
      </c>
      <c r="BX3652" s="5" t="s">
        <v>254</v>
      </c>
      <c r="BY3652" s="5" t="s">
        <v>238</v>
      </c>
      <c r="BZ3652" s="5" t="s">
        <v>238</v>
      </c>
      <c r="CA3652" s="5" t="s">
        <v>238</v>
      </c>
      <c r="CB3652" s="5" t="s">
        <v>238</v>
      </c>
      <c r="CC3652" s="5" t="s">
        <v>238</v>
      </c>
      <c r="CD3652" s="5" t="s">
        <v>273</v>
      </c>
      <c r="CE3652" s="5" t="s">
        <v>256</v>
      </c>
      <c r="CF3652" s="5" t="s">
        <v>238</v>
      </c>
      <c r="CH3652" s="5" t="s">
        <v>494</v>
      </c>
      <c r="CI3652" s="6" t="s">
        <v>257</v>
      </c>
      <c r="CJ3652" s="5" t="s">
        <v>495</v>
      </c>
      <c r="CK3652" s="5" t="s">
        <v>258</v>
      </c>
      <c r="CL3652" s="5" t="s">
        <v>496</v>
      </c>
      <c r="CM3652" s="5" t="s">
        <v>238</v>
      </c>
      <c r="CN3652" s="5">
        <v>0</v>
      </c>
      <c r="CO3652" s="5" t="s">
        <v>497</v>
      </c>
      <c r="CP3652" s="5" t="s">
        <v>260</v>
      </c>
      <c r="CQ3652" s="5" t="s">
        <v>260</v>
      </c>
      <c r="CR3652" s="5" t="s">
        <v>261</v>
      </c>
      <c r="CS3652" s="5" t="s">
        <v>498</v>
      </c>
      <c r="CT3652" s="7">
        <f>1</f>
        <v>1</v>
      </c>
      <c r="CU3652" s="8">
        <f>1</f>
        <v>1</v>
      </c>
      <c r="CV3652" s="8">
        <f>0</f>
        <v>0</v>
      </c>
      <c r="CX3652" s="8">
        <f>1</f>
        <v>1</v>
      </c>
      <c r="CY3652" s="8">
        <f>1</f>
        <v>1</v>
      </c>
      <c r="CZ3652" s="8" t="s">
        <v>238</v>
      </c>
      <c r="DA3652" s="5" t="s">
        <v>238</v>
      </c>
      <c r="DB3652" s="5" t="s">
        <v>238</v>
      </c>
      <c r="DC3652" s="5" t="s">
        <v>238</v>
      </c>
      <c r="DD3652" s="5" t="s">
        <v>238</v>
      </c>
      <c r="DE3652" s="8">
        <f>0</f>
        <v>0</v>
      </c>
      <c r="DG3652" s="5" t="s">
        <v>238</v>
      </c>
      <c r="DH3652" s="5" t="s">
        <v>238</v>
      </c>
      <c r="DI3652" s="5" t="s">
        <v>238</v>
      </c>
      <c r="DJ3652" s="5" t="s">
        <v>238</v>
      </c>
      <c r="DK3652" s="5" t="s">
        <v>238</v>
      </c>
      <c r="DL3652" s="5" t="s">
        <v>238</v>
      </c>
      <c r="DM3652" s="8" t="s">
        <v>238</v>
      </c>
      <c r="DN3652" s="5" t="s">
        <v>238</v>
      </c>
      <c r="DO3652" s="5" t="s">
        <v>238</v>
      </c>
      <c r="DP3652" s="5" t="s">
        <v>490</v>
      </c>
      <c r="DQ3652" s="5" t="s">
        <v>490</v>
      </c>
      <c r="DR3652" s="5" t="s">
        <v>238</v>
      </c>
      <c r="DS3652" s="5" t="s">
        <v>238</v>
      </c>
      <c r="DT3652" s="5" t="s">
        <v>500</v>
      </c>
      <c r="DU3652" s="5" t="s">
        <v>3123</v>
      </c>
      <c r="DV3652" s="5" t="s">
        <v>238</v>
      </c>
      <c r="DW3652" s="5" t="s">
        <v>238</v>
      </c>
      <c r="DX3652" s="5" t="s">
        <v>238</v>
      </c>
      <c r="DY3652" s="5" t="s">
        <v>238</v>
      </c>
      <c r="DZ3652" s="5" t="s">
        <v>238</v>
      </c>
      <c r="EA3652" s="5" t="s">
        <v>238</v>
      </c>
      <c r="EB3652" s="5" t="s">
        <v>238</v>
      </c>
      <c r="EC3652" s="5" t="s">
        <v>238</v>
      </c>
      <c r="ED3652" s="5" t="s">
        <v>238</v>
      </c>
      <c r="EE3652" s="5" t="s">
        <v>238</v>
      </c>
      <c r="EF3652" s="5" t="s">
        <v>238</v>
      </c>
      <c r="EG3652" s="5" t="s">
        <v>238</v>
      </c>
      <c r="EH3652" s="5" t="s">
        <v>238</v>
      </c>
      <c r="EI3652" s="5" t="s">
        <v>238</v>
      </c>
      <c r="EJ3652" s="5" t="s">
        <v>238</v>
      </c>
      <c r="EK3652" s="5" t="s">
        <v>238</v>
      </c>
      <c r="EL3652" s="5" t="s">
        <v>238</v>
      </c>
      <c r="EM3652" s="5" t="s">
        <v>238</v>
      </c>
      <c r="EN3652" s="5" t="s">
        <v>238</v>
      </c>
      <c r="EO3652" s="5" t="s">
        <v>238</v>
      </c>
      <c r="EP3652" s="5" t="s">
        <v>238</v>
      </c>
      <c r="EQ3652" s="5" t="s">
        <v>238</v>
      </c>
      <c r="ER3652" s="5" t="s">
        <v>238</v>
      </c>
      <c r="ES3652" s="5" t="s">
        <v>238</v>
      </c>
      <c r="ET3652" s="5" t="s">
        <v>238</v>
      </c>
      <c r="EU3652" s="5" t="s">
        <v>238</v>
      </c>
      <c r="EV3652" s="5" t="s">
        <v>238</v>
      </c>
      <c r="EW3652" s="5" t="s">
        <v>238</v>
      </c>
      <c r="EX3652" s="5" t="s">
        <v>238</v>
      </c>
      <c r="EY3652" s="5" t="s">
        <v>238</v>
      </c>
      <c r="EZ3652" s="5" t="s">
        <v>238</v>
      </c>
      <c r="FA3652" s="5" t="s">
        <v>238</v>
      </c>
      <c r="FB3652" s="5" t="s">
        <v>238</v>
      </c>
      <c r="FC3652" s="5" t="s">
        <v>238</v>
      </c>
      <c r="FD3652" s="5" t="s">
        <v>238</v>
      </c>
      <c r="FE3652" s="5" t="s">
        <v>238</v>
      </c>
      <c r="FF3652" s="5" t="s">
        <v>238</v>
      </c>
      <c r="FG3652" s="5" t="s">
        <v>238</v>
      </c>
      <c r="FH3652" s="5" t="s">
        <v>238</v>
      </c>
      <c r="FI3652" s="5" t="s">
        <v>238</v>
      </c>
      <c r="FJ3652" s="5" t="s">
        <v>238</v>
      </c>
      <c r="FK3652" s="5" t="s">
        <v>238</v>
      </c>
      <c r="FL3652" s="5" t="s">
        <v>238</v>
      </c>
      <c r="FM3652" s="5" t="s">
        <v>238</v>
      </c>
      <c r="FN3652" s="5" t="s">
        <v>238</v>
      </c>
      <c r="FO3652" s="5" t="s">
        <v>238</v>
      </c>
      <c r="FP3652" s="5" t="s">
        <v>238</v>
      </c>
      <c r="FQ3652" s="5" t="s">
        <v>238</v>
      </c>
      <c r="FR3652" s="5" t="s">
        <v>238</v>
      </c>
      <c r="FS3652" s="5" t="s">
        <v>238</v>
      </c>
      <c r="FT3652" s="5" t="s">
        <v>238</v>
      </c>
      <c r="FU3652" s="5" t="s">
        <v>238</v>
      </c>
      <c r="FV3652" s="5" t="s">
        <v>238</v>
      </c>
      <c r="FW3652" s="5" t="s">
        <v>238</v>
      </c>
      <c r="FX3652" s="5" t="s">
        <v>238</v>
      </c>
      <c r="FY3652" s="5" t="s">
        <v>238</v>
      </c>
      <c r="FZ3652" s="5" t="s">
        <v>238</v>
      </c>
      <c r="GA3652" s="5" t="s">
        <v>238</v>
      </c>
      <c r="GB3652" s="5" t="s">
        <v>238</v>
      </c>
      <c r="GC3652" s="5" t="s">
        <v>238</v>
      </c>
      <c r="GD3652" s="5" t="s">
        <v>238</v>
      </c>
      <c r="GE3652" s="5" t="s">
        <v>238</v>
      </c>
      <c r="GF3652" s="5" t="s">
        <v>238</v>
      </c>
      <c r="GG3652" s="5" t="s">
        <v>238</v>
      </c>
      <c r="GH3652" s="5" t="s">
        <v>238</v>
      </c>
      <c r="GI3652" s="5" t="s">
        <v>238</v>
      </c>
      <c r="GJ3652" s="5" t="s">
        <v>238</v>
      </c>
      <c r="GK3652" s="5" t="s">
        <v>238</v>
      </c>
      <c r="GL3652" s="5" t="s">
        <v>238</v>
      </c>
      <c r="GM3652" s="5" t="s">
        <v>238</v>
      </c>
      <c r="GN3652" s="5" t="s">
        <v>238</v>
      </c>
      <c r="GO3652" s="5" t="s">
        <v>238</v>
      </c>
      <c r="GP3652" s="5" t="s">
        <v>238</v>
      </c>
      <c r="GQ3652" s="5" t="s">
        <v>238</v>
      </c>
      <c r="GR3652" s="5" t="s">
        <v>238</v>
      </c>
      <c r="GS3652" s="5" t="s">
        <v>238</v>
      </c>
      <c r="GT3652" s="5" t="s">
        <v>238</v>
      </c>
      <c r="GU3652" s="5" t="s">
        <v>238</v>
      </c>
      <c r="GV3652" s="5" t="s">
        <v>238</v>
      </c>
      <c r="GW3652" s="5" t="s">
        <v>238</v>
      </c>
      <c r="GX3652" s="5" t="s">
        <v>238</v>
      </c>
      <c r="GY3652" s="5" t="s">
        <v>238</v>
      </c>
      <c r="GZ3652" s="5" t="s">
        <v>238</v>
      </c>
      <c r="HA3652" s="5" t="s">
        <v>238</v>
      </c>
      <c r="HB3652" s="5" t="s">
        <v>238</v>
      </c>
      <c r="HC3652" s="5" t="s">
        <v>238</v>
      </c>
      <c r="HD3652" s="5" t="s">
        <v>238</v>
      </c>
      <c r="HE3652" s="5" t="s">
        <v>238</v>
      </c>
      <c r="HF3652" s="5" t="s">
        <v>238</v>
      </c>
      <c r="HG3652" s="5" t="s">
        <v>238</v>
      </c>
      <c r="HH3652" s="5" t="s">
        <v>238</v>
      </c>
      <c r="HI3652" s="5" t="s">
        <v>238</v>
      </c>
      <c r="HJ3652" s="5" t="s">
        <v>238</v>
      </c>
      <c r="HK3652" s="5" t="s">
        <v>238</v>
      </c>
      <c r="HL3652" s="5" t="s">
        <v>238</v>
      </c>
      <c r="HM3652" s="5" t="s">
        <v>264</v>
      </c>
      <c r="HN3652" s="5" t="s">
        <v>238</v>
      </c>
      <c r="HO3652" s="5" t="s">
        <v>238</v>
      </c>
      <c r="HP3652" s="5" t="s">
        <v>238</v>
      </c>
      <c r="HQ3652" s="5" t="s">
        <v>238</v>
      </c>
      <c r="HR3652" s="5" t="s">
        <v>238</v>
      </c>
      <c r="HS3652" s="5" t="s">
        <v>238</v>
      </c>
      <c r="HT3652" s="5" t="s">
        <v>238</v>
      </c>
      <c r="HU3652" s="5" t="s">
        <v>238</v>
      </c>
      <c r="HV3652" s="5" t="s">
        <v>238</v>
      </c>
      <c r="HW3652" s="5" t="s">
        <v>238</v>
      </c>
      <c r="HX3652" s="5" t="s">
        <v>238</v>
      </c>
      <c r="HY3652" s="5" t="s">
        <v>238</v>
      </c>
      <c r="HZ3652" s="5" t="s">
        <v>238</v>
      </c>
      <c r="IA3652" s="5" t="s">
        <v>238</v>
      </c>
      <c r="IB3652" s="5" t="s">
        <v>238</v>
      </c>
      <c r="IC3652" s="5" t="s">
        <v>238</v>
      </c>
      <c r="ID3652" s="5" t="s">
        <v>238</v>
      </c>
    </row>
    <row r="3653" spans="1:238" x14ac:dyDescent="0.4">
      <c r="A3653" s="5">
        <v>9371</v>
      </c>
      <c r="B3653" s="5">
        <v>1</v>
      </c>
      <c r="C3653" s="5">
        <v>1</v>
      </c>
      <c r="D3653" s="5" t="s">
        <v>484</v>
      </c>
      <c r="E3653" s="5" t="s">
        <v>485</v>
      </c>
      <c r="F3653" s="5" t="s">
        <v>248</v>
      </c>
      <c r="G3653" s="5" t="s">
        <v>5607</v>
      </c>
      <c r="H3653" s="6" t="s">
        <v>5607</v>
      </c>
      <c r="I3653" s="8">
        <f>1</f>
        <v>1</v>
      </c>
      <c r="J3653" s="5" t="s">
        <v>499</v>
      </c>
      <c r="K3653" s="8">
        <f>1</f>
        <v>1</v>
      </c>
      <c r="L3653" s="6" t="s">
        <v>242</v>
      </c>
      <c r="M3653" s="5" t="s">
        <v>267</v>
      </c>
      <c r="N3653" s="5" t="s">
        <v>482</v>
      </c>
      <c r="O3653" s="5" t="s">
        <v>238</v>
      </c>
      <c r="P3653" s="5" t="s">
        <v>238</v>
      </c>
      <c r="Q3653" s="5" t="s">
        <v>239</v>
      </c>
      <c r="R3653" s="5" t="s">
        <v>270</v>
      </c>
      <c r="S3653" s="5" t="s">
        <v>238</v>
      </c>
      <c r="T3653" s="5" t="s">
        <v>238</v>
      </c>
      <c r="U3653" s="5" t="s">
        <v>238</v>
      </c>
      <c r="V3653" s="5" t="s">
        <v>238</v>
      </c>
      <c r="W3653" s="6" t="s">
        <v>238</v>
      </c>
      <c r="X3653" s="6" t="s">
        <v>238</v>
      </c>
      <c r="Y3653" s="5" t="s">
        <v>238</v>
      </c>
      <c r="Z3653" s="6" t="s">
        <v>238</v>
      </c>
      <c r="AA3653" s="6" t="s">
        <v>243</v>
      </c>
      <c r="AB3653" s="5" t="s">
        <v>4446</v>
      </c>
      <c r="AC3653" s="5" t="s">
        <v>244</v>
      </c>
      <c r="AD3653" s="5" t="s">
        <v>245</v>
      </c>
      <c r="AE3653" s="5" t="s">
        <v>238</v>
      </c>
      <c r="AF3653" s="5" t="s">
        <v>238</v>
      </c>
      <c r="AG3653" s="5" t="s">
        <v>238</v>
      </c>
      <c r="AH3653" s="5" t="s">
        <v>238</v>
      </c>
      <c r="AI3653" s="5" t="s">
        <v>238</v>
      </c>
      <c r="AJ3653" s="5" t="s">
        <v>238</v>
      </c>
      <c r="AK3653" s="5" t="s">
        <v>238</v>
      </c>
      <c r="AL3653" s="5" t="s">
        <v>238</v>
      </c>
      <c r="AM3653" s="6" t="s">
        <v>238</v>
      </c>
      <c r="AN3653" s="6" t="s">
        <v>238</v>
      </c>
      <c r="AO3653" s="6" t="s">
        <v>238</v>
      </c>
      <c r="AP3653" s="6" t="s">
        <v>238</v>
      </c>
      <c r="AQ3653" s="5" t="s">
        <v>238</v>
      </c>
      <c r="AR3653" s="5" t="s">
        <v>488</v>
      </c>
      <c r="AS3653" s="5" t="s">
        <v>488</v>
      </c>
      <c r="AT3653" s="5" t="s">
        <v>246</v>
      </c>
      <c r="AU3653" s="5" t="s">
        <v>489</v>
      </c>
      <c r="AV3653" s="5" t="s">
        <v>247</v>
      </c>
      <c r="AW3653" s="5" t="s">
        <v>238</v>
      </c>
      <c r="AX3653" s="5" t="s">
        <v>249</v>
      </c>
      <c r="AY3653" s="5" t="s">
        <v>490</v>
      </c>
      <c r="BA3653" s="5" t="s">
        <v>238</v>
      </c>
      <c r="BC3653" s="5" t="s">
        <v>491</v>
      </c>
      <c r="BD3653" s="6" t="s">
        <v>492</v>
      </c>
      <c r="BE3653" s="5" t="s">
        <v>493</v>
      </c>
      <c r="BF3653" s="5" t="s">
        <v>493</v>
      </c>
      <c r="BG3653" s="5" t="s">
        <v>238</v>
      </c>
      <c r="BH3653" s="8">
        <f>1</f>
        <v>1</v>
      </c>
      <c r="BI3653" s="8">
        <f>1</f>
        <v>1</v>
      </c>
      <c r="BJ3653" s="5" t="s">
        <v>253</v>
      </c>
      <c r="BK3653" s="5" t="s">
        <v>254</v>
      </c>
      <c r="BL3653" s="5" t="s">
        <v>238</v>
      </c>
      <c r="BM3653" s="5" t="s">
        <v>238</v>
      </c>
      <c r="BN3653" s="5" t="s">
        <v>238</v>
      </c>
      <c r="BO3653" s="5" t="s">
        <v>238</v>
      </c>
      <c r="BP3653" s="5" t="s">
        <v>238</v>
      </c>
      <c r="BQ3653" s="5" t="s">
        <v>238</v>
      </c>
      <c r="BR3653" s="5" t="s">
        <v>238</v>
      </c>
      <c r="BS3653" s="5" t="s">
        <v>238</v>
      </c>
      <c r="BT3653" s="6" t="s">
        <v>238</v>
      </c>
      <c r="BU3653" s="5" t="s">
        <v>238</v>
      </c>
      <c r="BV3653" s="5" t="s">
        <v>238</v>
      </c>
      <c r="BW3653" s="5" t="s">
        <v>238</v>
      </c>
      <c r="BX3653" s="5" t="s">
        <v>254</v>
      </c>
      <c r="BY3653" s="5" t="s">
        <v>238</v>
      </c>
      <c r="BZ3653" s="5" t="s">
        <v>238</v>
      </c>
      <c r="CA3653" s="5" t="s">
        <v>238</v>
      </c>
      <c r="CB3653" s="5" t="s">
        <v>238</v>
      </c>
      <c r="CC3653" s="5" t="s">
        <v>238</v>
      </c>
      <c r="CD3653" s="5" t="s">
        <v>273</v>
      </c>
      <c r="CE3653" s="5" t="s">
        <v>256</v>
      </c>
      <c r="CF3653" s="5" t="s">
        <v>238</v>
      </c>
      <c r="CH3653" s="5" t="s">
        <v>494</v>
      </c>
      <c r="CI3653" s="6" t="s">
        <v>257</v>
      </c>
      <c r="CJ3653" s="5" t="s">
        <v>495</v>
      </c>
      <c r="CK3653" s="5" t="s">
        <v>258</v>
      </c>
      <c r="CL3653" s="5" t="s">
        <v>496</v>
      </c>
      <c r="CM3653" s="5" t="s">
        <v>238</v>
      </c>
      <c r="CN3653" s="5">
        <v>0</v>
      </c>
      <c r="CO3653" s="5" t="s">
        <v>497</v>
      </c>
      <c r="CP3653" s="5" t="s">
        <v>260</v>
      </c>
      <c r="CQ3653" s="5" t="s">
        <v>260</v>
      </c>
      <c r="CR3653" s="5" t="s">
        <v>261</v>
      </c>
      <c r="CS3653" s="5" t="s">
        <v>498</v>
      </c>
      <c r="CT3653" s="7">
        <f>1</f>
        <v>1</v>
      </c>
      <c r="CU3653" s="8">
        <f>1</f>
        <v>1</v>
      </c>
      <c r="CV3653" s="8">
        <f>0</f>
        <v>0</v>
      </c>
      <c r="CX3653" s="8">
        <f>1</f>
        <v>1</v>
      </c>
      <c r="CY3653" s="8">
        <f>1</f>
        <v>1</v>
      </c>
      <c r="CZ3653" s="8" t="s">
        <v>238</v>
      </c>
      <c r="DA3653" s="5" t="s">
        <v>238</v>
      </c>
      <c r="DB3653" s="5" t="s">
        <v>238</v>
      </c>
      <c r="DC3653" s="5" t="s">
        <v>238</v>
      </c>
      <c r="DD3653" s="5" t="s">
        <v>238</v>
      </c>
      <c r="DE3653" s="8">
        <f>0</f>
        <v>0</v>
      </c>
      <c r="DG3653" s="5" t="s">
        <v>238</v>
      </c>
      <c r="DH3653" s="5" t="s">
        <v>238</v>
      </c>
      <c r="DI3653" s="5" t="s">
        <v>238</v>
      </c>
      <c r="DJ3653" s="5" t="s">
        <v>238</v>
      </c>
      <c r="DK3653" s="5" t="s">
        <v>238</v>
      </c>
      <c r="DL3653" s="5" t="s">
        <v>238</v>
      </c>
      <c r="DM3653" s="8" t="s">
        <v>238</v>
      </c>
      <c r="DN3653" s="5" t="s">
        <v>238</v>
      </c>
      <c r="DO3653" s="5" t="s">
        <v>238</v>
      </c>
      <c r="DP3653" s="5" t="s">
        <v>490</v>
      </c>
      <c r="DQ3653" s="5" t="s">
        <v>490</v>
      </c>
      <c r="DR3653" s="5" t="s">
        <v>238</v>
      </c>
      <c r="DS3653" s="5" t="s">
        <v>238</v>
      </c>
      <c r="DT3653" s="5" t="s">
        <v>500</v>
      </c>
      <c r="DU3653" s="5" t="s">
        <v>3131</v>
      </c>
      <c r="DV3653" s="5" t="s">
        <v>238</v>
      </c>
      <c r="DW3653" s="5" t="s">
        <v>238</v>
      </c>
      <c r="DX3653" s="5" t="s">
        <v>238</v>
      </c>
      <c r="DY3653" s="5" t="s">
        <v>238</v>
      </c>
      <c r="DZ3653" s="5" t="s">
        <v>238</v>
      </c>
      <c r="EA3653" s="5" t="s">
        <v>238</v>
      </c>
      <c r="EB3653" s="5" t="s">
        <v>238</v>
      </c>
      <c r="EC3653" s="5" t="s">
        <v>238</v>
      </c>
      <c r="ED3653" s="5" t="s">
        <v>238</v>
      </c>
      <c r="EE3653" s="5" t="s">
        <v>238</v>
      </c>
      <c r="EF3653" s="5" t="s">
        <v>238</v>
      </c>
      <c r="EG3653" s="5" t="s">
        <v>238</v>
      </c>
      <c r="EH3653" s="5" t="s">
        <v>238</v>
      </c>
      <c r="EI3653" s="5" t="s">
        <v>238</v>
      </c>
      <c r="EJ3653" s="5" t="s">
        <v>238</v>
      </c>
      <c r="EK3653" s="5" t="s">
        <v>238</v>
      </c>
      <c r="EL3653" s="5" t="s">
        <v>238</v>
      </c>
      <c r="EM3653" s="5" t="s">
        <v>238</v>
      </c>
      <c r="EN3653" s="5" t="s">
        <v>238</v>
      </c>
      <c r="EO3653" s="5" t="s">
        <v>238</v>
      </c>
      <c r="EP3653" s="5" t="s">
        <v>238</v>
      </c>
      <c r="EQ3653" s="5" t="s">
        <v>238</v>
      </c>
      <c r="ER3653" s="5" t="s">
        <v>238</v>
      </c>
      <c r="ES3653" s="5" t="s">
        <v>238</v>
      </c>
      <c r="ET3653" s="5" t="s">
        <v>238</v>
      </c>
      <c r="EU3653" s="5" t="s">
        <v>238</v>
      </c>
      <c r="EV3653" s="5" t="s">
        <v>238</v>
      </c>
      <c r="EW3653" s="5" t="s">
        <v>238</v>
      </c>
      <c r="EX3653" s="5" t="s">
        <v>238</v>
      </c>
      <c r="EY3653" s="5" t="s">
        <v>238</v>
      </c>
      <c r="EZ3653" s="5" t="s">
        <v>238</v>
      </c>
      <c r="FA3653" s="5" t="s">
        <v>238</v>
      </c>
      <c r="FB3653" s="5" t="s">
        <v>238</v>
      </c>
      <c r="FC3653" s="5" t="s">
        <v>238</v>
      </c>
      <c r="FD3653" s="5" t="s">
        <v>238</v>
      </c>
      <c r="FE3653" s="5" t="s">
        <v>238</v>
      </c>
      <c r="FF3653" s="5" t="s">
        <v>238</v>
      </c>
      <c r="FG3653" s="5" t="s">
        <v>238</v>
      </c>
      <c r="FH3653" s="5" t="s">
        <v>238</v>
      </c>
      <c r="FI3653" s="5" t="s">
        <v>238</v>
      </c>
      <c r="FJ3653" s="5" t="s">
        <v>238</v>
      </c>
      <c r="FK3653" s="5" t="s">
        <v>238</v>
      </c>
      <c r="FL3653" s="5" t="s">
        <v>238</v>
      </c>
      <c r="FM3653" s="5" t="s">
        <v>238</v>
      </c>
      <c r="FN3653" s="5" t="s">
        <v>238</v>
      </c>
      <c r="FO3653" s="5" t="s">
        <v>238</v>
      </c>
      <c r="FP3653" s="5" t="s">
        <v>238</v>
      </c>
      <c r="FQ3653" s="5" t="s">
        <v>238</v>
      </c>
      <c r="FR3653" s="5" t="s">
        <v>238</v>
      </c>
      <c r="FS3653" s="5" t="s">
        <v>238</v>
      </c>
      <c r="FT3653" s="5" t="s">
        <v>238</v>
      </c>
      <c r="FU3653" s="5" t="s">
        <v>238</v>
      </c>
      <c r="FV3653" s="5" t="s">
        <v>238</v>
      </c>
      <c r="FW3653" s="5" t="s">
        <v>238</v>
      </c>
      <c r="FX3653" s="5" t="s">
        <v>238</v>
      </c>
      <c r="FY3653" s="5" t="s">
        <v>238</v>
      </c>
      <c r="FZ3653" s="5" t="s">
        <v>238</v>
      </c>
      <c r="GA3653" s="5" t="s">
        <v>238</v>
      </c>
      <c r="GB3653" s="5" t="s">
        <v>238</v>
      </c>
      <c r="GC3653" s="5" t="s">
        <v>238</v>
      </c>
      <c r="GD3653" s="5" t="s">
        <v>238</v>
      </c>
      <c r="GE3653" s="5" t="s">
        <v>238</v>
      </c>
      <c r="GF3653" s="5" t="s">
        <v>238</v>
      </c>
      <c r="GG3653" s="5" t="s">
        <v>238</v>
      </c>
      <c r="GH3653" s="5" t="s">
        <v>238</v>
      </c>
      <c r="GI3653" s="5" t="s">
        <v>238</v>
      </c>
      <c r="GJ3653" s="5" t="s">
        <v>238</v>
      </c>
      <c r="GK3653" s="5" t="s">
        <v>238</v>
      </c>
      <c r="GL3653" s="5" t="s">
        <v>238</v>
      </c>
      <c r="GM3653" s="5" t="s">
        <v>238</v>
      </c>
      <c r="GN3653" s="5" t="s">
        <v>238</v>
      </c>
      <c r="GO3653" s="5" t="s">
        <v>238</v>
      </c>
      <c r="GP3653" s="5" t="s">
        <v>238</v>
      </c>
      <c r="GQ3653" s="5" t="s">
        <v>238</v>
      </c>
      <c r="GR3653" s="5" t="s">
        <v>238</v>
      </c>
      <c r="GS3653" s="5" t="s">
        <v>238</v>
      </c>
      <c r="GT3653" s="5" t="s">
        <v>238</v>
      </c>
      <c r="GU3653" s="5" t="s">
        <v>238</v>
      </c>
      <c r="GV3653" s="5" t="s">
        <v>238</v>
      </c>
      <c r="GW3653" s="5" t="s">
        <v>238</v>
      </c>
      <c r="GX3653" s="5" t="s">
        <v>238</v>
      </c>
      <c r="GY3653" s="5" t="s">
        <v>238</v>
      </c>
      <c r="GZ3653" s="5" t="s">
        <v>238</v>
      </c>
      <c r="HA3653" s="5" t="s">
        <v>238</v>
      </c>
      <c r="HB3653" s="5" t="s">
        <v>238</v>
      </c>
      <c r="HC3653" s="5" t="s">
        <v>238</v>
      </c>
      <c r="HD3653" s="5" t="s">
        <v>238</v>
      </c>
      <c r="HE3653" s="5" t="s">
        <v>238</v>
      </c>
      <c r="HF3653" s="5" t="s">
        <v>238</v>
      </c>
      <c r="HG3653" s="5" t="s">
        <v>238</v>
      </c>
      <c r="HH3653" s="5" t="s">
        <v>238</v>
      </c>
      <c r="HI3653" s="5" t="s">
        <v>238</v>
      </c>
      <c r="HJ3653" s="5" t="s">
        <v>238</v>
      </c>
      <c r="HK3653" s="5" t="s">
        <v>238</v>
      </c>
      <c r="HL3653" s="5" t="s">
        <v>238</v>
      </c>
      <c r="HM3653" s="5" t="s">
        <v>264</v>
      </c>
      <c r="HN3653" s="5" t="s">
        <v>238</v>
      </c>
      <c r="HO3653" s="5" t="s">
        <v>238</v>
      </c>
      <c r="HP3653" s="5" t="s">
        <v>238</v>
      </c>
      <c r="HQ3653" s="5" t="s">
        <v>238</v>
      </c>
      <c r="HR3653" s="5" t="s">
        <v>238</v>
      </c>
      <c r="HS3653" s="5" t="s">
        <v>238</v>
      </c>
      <c r="HT3653" s="5" t="s">
        <v>238</v>
      </c>
      <c r="HU3653" s="5" t="s">
        <v>238</v>
      </c>
      <c r="HV3653" s="5" t="s">
        <v>238</v>
      </c>
      <c r="HW3653" s="5" t="s">
        <v>238</v>
      </c>
      <c r="HX3653" s="5" t="s">
        <v>238</v>
      </c>
      <c r="HY3653" s="5" t="s">
        <v>238</v>
      </c>
      <c r="HZ3653" s="5" t="s">
        <v>238</v>
      </c>
      <c r="IA3653" s="5" t="s">
        <v>238</v>
      </c>
      <c r="IB3653" s="5" t="s">
        <v>238</v>
      </c>
      <c r="IC3653" s="5" t="s">
        <v>238</v>
      </c>
      <c r="ID3653" s="5" t="s">
        <v>238</v>
      </c>
    </row>
    <row r="3654" spans="1:238" x14ac:dyDescent="0.4">
      <c r="A3654" s="5">
        <v>9372</v>
      </c>
      <c r="B3654" s="5">
        <v>1</v>
      </c>
      <c r="C3654" s="5">
        <v>1</v>
      </c>
      <c r="D3654" s="5" t="s">
        <v>484</v>
      </c>
      <c r="E3654" s="5" t="s">
        <v>485</v>
      </c>
      <c r="F3654" s="5" t="s">
        <v>248</v>
      </c>
      <c r="G3654" s="5" t="s">
        <v>4739</v>
      </c>
      <c r="H3654" s="6" t="s">
        <v>4739</v>
      </c>
      <c r="I3654" s="8">
        <f>1</f>
        <v>1</v>
      </c>
      <c r="J3654" s="5" t="s">
        <v>499</v>
      </c>
      <c r="K3654" s="8">
        <f>1</f>
        <v>1</v>
      </c>
      <c r="L3654" s="6" t="s">
        <v>242</v>
      </c>
      <c r="M3654" s="5" t="s">
        <v>267</v>
      </c>
      <c r="N3654" s="5" t="s">
        <v>482</v>
      </c>
      <c r="O3654" s="5" t="s">
        <v>238</v>
      </c>
      <c r="P3654" s="5" t="s">
        <v>238</v>
      </c>
      <c r="Q3654" s="5" t="s">
        <v>239</v>
      </c>
      <c r="R3654" s="5" t="s">
        <v>270</v>
      </c>
      <c r="S3654" s="5" t="s">
        <v>238</v>
      </c>
      <c r="T3654" s="5" t="s">
        <v>238</v>
      </c>
      <c r="U3654" s="5" t="s">
        <v>238</v>
      </c>
      <c r="V3654" s="5" t="s">
        <v>238</v>
      </c>
      <c r="W3654" s="6" t="s">
        <v>238</v>
      </c>
      <c r="X3654" s="6" t="s">
        <v>238</v>
      </c>
      <c r="Y3654" s="5" t="s">
        <v>238</v>
      </c>
      <c r="Z3654" s="6" t="s">
        <v>238</v>
      </c>
      <c r="AA3654" s="6" t="s">
        <v>243</v>
      </c>
      <c r="AB3654" s="5" t="s">
        <v>4740</v>
      </c>
      <c r="AC3654" s="5" t="s">
        <v>244</v>
      </c>
      <c r="AD3654" s="5" t="s">
        <v>245</v>
      </c>
      <c r="AE3654" s="5" t="s">
        <v>238</v>
      </c>
      <c r="AF3654" s="5" t="s">
        <v>238</v>
      </c>
      <c r="AG3654" s="5" t="s">
        <v>238</v>
      </c>
      <c r="AH3654" s="5" t="s">
        <v>238</v>
      </c>
      <c r="AI3654" s="5" t="s">
        <v>238</v>
      </c>
      <c r="AJ3654" s="5" t="s">
        <v>238</v>
      </c>
      <c r="AK3654" s="5" t="s">
        <v>238</v>
      </c>
      <c r="AL3654" s="5" t="s">
        <v>238</v>
      </c>
      <c r="AM3654" s="6" t="s">
        <v>238</v>
      </c>
      <c r="AN3654" s="6" t="s">
        <v>238</v>
      </c>
      <c r="AO3654" s="6" t="s">
        <v>238</v>
      </c>
      <c r="AP3654" s="6" t="s">
        <v>238</v>
      </c>
      <c r="AQ3654" s="5" t="s">
        <v>238</v>
      </c>
      <c r="AR3654" s="5" t="s">
        <v>488</v>
      </c>
      <c r="AS3654" s="5" t="s">
        <v>488</v>
      </c>
      <c r="AT3654" s="5" t="s">
        <v>246</v>
      </c>
      <c r="AU3654" s="5" t="s">
        <v>489</v>
      </c>
      <c r="AV3654" s="5" t="s">
        <v>247</v>
      </c>
      <c r="AW3654" s="5" t="s">
        <v>238</v>
      </c>
      <c r="AX3654" s="5" t="s">
        <v>249</v>
      </c>
      <c r="AY3654" s="5" t="s">
        <v>490</v>
      </c>
      <c r="BA3654" s="5" t="s">
        <v>238</v>
      </c>
      <c r="BC3654" s="5" t="s">
        <v>491</v>
      </c>
      <c r="BD3654" s="6" t="s">
        <v>492</v>
      </c>
      <c r="BE3654" s="5" t="s">
        <v>493</v>
      </c>
      <c r="BF3654" s="5" t="s">
        <v>493</v>
      </c>
      <c r="BG3654" s="5" t="s">
        <v>238</v>
      </c>
      <c r="BH3654" s="8">
        <f>1</f>
        <v>1</v>
      </c>
      <c r="BI3654" s="8">
        <f>1</f>
        <v>1</v>
      </c>
      <c r="BJ3654" s="5" t="s">
        <v>253</v>
      </c>
      <c r="BK3654" s="5" t="s">
        <v>254</v>
      </c>
      <c r="BL3654" s="5" t="s">
        <v>238</v>
      </c>
      <c r="BM3654" s="5" t="s">
        <v>238</v>
      </c>
      <c r="BN3654" s="5" t="s">
        <v>238</v>
      </c>
      <c r="BO3654" s="5" t="s">
        <v>238</v>
      </c>
      <c r="BP3654" s="5" t="s">
        <v>238</v>
      </c>
      <c r="BQ3654" s="5" t="s">
        <v>238</v>
      </c>
      <c r="BR3654" s="5" t="s">
        <v>238</v>
      </c>
      <c r="BS3654" s="5" t="s">
        <v>238</v>
      </c>
      <c r="BT3654" s="6" t="s">
        <v>238</v>
      </c>
      <c r="BU3654" s="5" t="s">
        <v>238</v>
      </c>
      <c r="BV3654" s="5" t="s">
        <v>238</v>
      </c>
      <c r="BW3654" s="5" t="s">
        <v>238</v>
      </c>
      <c r="BX3654" s="5" t="s">
        <v>254</v>
      </c>
      <c r="BY3654" s="5" t="s">
        <v>238</v>
      </c>
      <c r="BZ3654" s="5" t="s">
        <v>238</v>
      </c>
      <c r="CA3654" s="5" t="s">
        <v>238</v>
      </c>
      <c r="CB3654" s="5" t="s">
        <v>238</v>
      </c>
      <c r="CC3654" s="5" t="s">
        <v>238</v>
      </c>
      <c r="CD3654" s="5" t="s">
        <v>273</v>
      </c>
      <c r="CE3654" s="5" t="s">
        <v>256</v>
      </c>
      <c r="CF3654" s="5" t="s">
        <v>238</v>
      </c>
      <c r="CH3654" s="5" t="s">
        <v>494</v>
      </c>
      <c r="CI3654" s="6" t="s">
        <v>257</v>
      </c>
      <c r="CJ3654" s="5" t="s">
        <v>495</v>
      </c>
      <c r="CK3654" s="5" t="s">
        <v>258</v>
      </c>
      <c r="CL3654" s="5" t="s">
        <v>496</v>
      </c>
      <c r="CM3654" s="5" t="s">
        <v>238</v>
      </c>
      <c r="CN3654" s="5">
        <v>0</v>
      </c>
      <c r="CO3654" s="5" t="s">
        <v>497</v>
      </c>
      <c r="CP3654" s="5" t="s">
        <v>260</v>
      </c>
      <c r="CQ3654" s="5" t="s">
        <v>260</v>
      </c>
      <c r="CR3654" s="5" t="s">
        <v>261</v>
      </c>
      <c r="CS3654" s="5" t="s">
        <v>498</v>
      </c>
      <c r="CT3654" s="7">
        <f>1</f>
        <v>1</v>
      </c>
      <c r="CU3654" s="8">
        <f>1</f>
        <v>1</v>
      </c>
      <c r="CV3654" s="8">
        <f>0</f>
        <v>0</v>
      </c>
      <c r="CX3654" s="8">
        <f>1</f>
        <v>1</v>
      </c>
      <c r="CY3654" s="8">
        <f>1</f>
        <v>1</v>
      </c>
      <c r="CZ3654" s="8" t="s">
        <v>238</v>
      </c>
      <c r="DA3654" s="5" t="s">
        <v>238</v>
      </c>
      <c r="DB3654" s="5" t="s">
        <v>238</v>
      </c>
      <c r="DC3654" s="5" t="s">
        <v>238</v>
      </c>
      <c r="DD3654" s="5" t="s">
        <v>238</v>
      </c>
      <c r="DE3654" s="8">
        <f>0</f>
        <v>0</v>
      </c>
      <c r="DG3654" s="5" t="s">
        <v>238</v>
      </c>
      <c r="DH3654" s="5" t="s">
        <v>238</v>
      </c>
      <c r="DI3654" s="5" t="s">
        <v>238</v>
      </c>
      <c r="DJ3654" s="5" t="s">
        <v>238</v>
      </c>
      <c r="DK3654" s="5" t="s">
        <v>238</v>
      </c>
      <c r="DL3654" s="5" t="s">
        <v>238</v>
      </c>
      <c r="DM3654" s="8" t="s">
        <v>238</v>
      </c>
      <c r="DN3654" s="5" t="s">
        <v>238</v>
      </c>
      <c r="DO3654" s="5" t="s">
        <v>238</v>
      </c>
      <c r="DP3654" s="5" t="s">
        <v>490</v>
      </c>
      <c r="DQ3654" s="5" t="s">
        <v>490</v>
      </c>
      <c r="DR3654" s="5" t="s">
        <v>238</v>
      </c>
      <c r="DS3654" s="5" t="s">
        <v>238</v>
      </c>
      <c r="DT3654" s="5" t="s">
        <v>500</v>
      </c>
      <c r="DU3654" s="5" t="s">
        <v>3099</v>
      </c>
      <c r="DV3654" s="5" t="s">
        <v>238</v>
      </c>
      <c r="DW3654" s="5" t="s">
        <v>238</v>
      </c>
      <c r="DX3654" s="5" t="s">
        <v>238</v>
      </c>
      <c r="DY3654" s="5" t="s">
        <v>238</v>
      </c>
      <c r="DZ3654" s="5" t="s">
        <v>238</v>
      </c>
      <c r="EA3654" s="5" t="s">
        <v>238</v>
      </c>
      <c r="EB3654" s="5" t="s">
        <v>238</v>
      </c>
      <c r="EC3654" s="5" t="s">
        <v>238</v>
      </c>
      <c r="ED3654" s="5" t="s">
        <v>238</v>
      </c>
      <c r="EE3654" s="5" t="s">
        <v>238</v>
      </c>
      <c r="EF3654" s="5" t="s">
        <v>238</v>
      </c>
      <c r="EG3654" s="5" t="s">
        <v>238</v>
      </c>
      <c r="EH3654" s="5" t="s">
        <v>238</v>
      </c>
      <c r="EI3654" s="5" t="s">
        <v>238</v>
      </c>
      <c r="EJ3654" s="5" t="s">
        <v>238</v>
      </c>
      <c r="EK3654" s="5" t="s">
        <v>238</v>
      </c>
      <c r="EL3654" s="5" t="s">
        <v>238</v>
      </c>
      <c r="EM3654" s="5" t="s">
        <v>238</v>
      </c>
      <c r="EN3654" s="5" t="s">
        <v>238</v>
      </c>
      <c r="EO3654" s="5" t="s">
        <v>238</v>
      </c>
      <c r="EP3654" s="5" t="s">
        <v>238</v>
      </c>
      <c r="EQ3654" s="5" t="s">
        <v>238</v>
      </c>
      <c r="ER3654" s="5" t="s">
        <v>238</v>
      </c>
      <c r="ES3654" s="5" t="s">
        <v>238</v>
      </c>
      <c r="ET3654" s="5" t="s">
        <v>238</v>
      </c>
      <c r="EU3654" s="5" t="s">
        <v>238</v>
      </c>
      <c r="EV3654" s="5" t="s">
        <v>238</v>
      </c>
      <c r="EW3654" s="5" t="s">
        <v>238</v>
      </c>
      <c r="EX3654" s="5" t="s">
        <v>238</v>
      </c>
      <c r="EY3654" s="5" t="s">
        <v>238</v>
      </c>
      <c r="EZ3654" s="5" t="s">
        <v>238</v>
      </c>
      <c r="FA3654" s="5" t="s">
        <v>238</v>
      </c>
      <c r="FB3654" s="5" t="s">
        <v>238</v>
      </c>
      <c r="FC3654" s="5" t="s">
        <v>238</v>
      </c>
      <c r="FD3654" s="5" t="s">
        <v>238</v>
      </c>
      <c r="FE3654" s="5" t="s">
        <v>238</v>
      </c>
      <c r="FF3654" s="5" t="s">
        <v>238</v>
      </c>
      <c r="FG3654" s="5" t="s">
        <v>238</v>
      </c>
      <c r="FH3654" s="5" t="s">
        <v>238</v>
      </c>
      <c r="FI3654" s="5" t="s">
        <v>238</v>
      </c>
      <c r="FJ3654" s="5" t="s">
        <v>238</v>
      </c>
      <c r="FK3654" s="5" t="s">
        <v>238</v>
      </c>
      <c r="FL3654" s="5" t="s">
        <v>238</v>
      </c>
      <c r="FM3654" s="5" t="s">
        <v>238</v>
      </c>
      <c r="FN3654" s="5" t="s">
        <v>238</v>
      </c>
      <c r="FO3654" s="5" t="s">
        <v>238</v>
      </c>
      <c r="FP3654" s="5" t="s">
        <v>238</v>
      </c>
      <c r="FQ3654" s="5" t="s">
        <v>238</v>
      </c>
      <c r="FR3654" s="5" t="s">
        <v>238</v>
      </c>
      <c r="FS3654" s="5" t="s">
        <v>238</v>
      </c>
      <c r="FT3654" s="5" t="s">
        <v>238</v>
      </c>
      <c r="FU3654" s="5" t="s">
        <v>238</v>
      </c>
      <c r="FV3654" s="5" t="s">
        <v>238</v>
      </c>
      <c r="FW3654" s="5" t="s">
        <v>238</v>
      </c>
      <c r="FX3654" s="5" t="s">
        <v>238</v>
      </c>
      <c r="FY3654" s="5" t="s">
        <v>238</v>
      </c>
      <c r="FZ3654" s="5" t="s">
        <v>238</v>
      </c>
      <c r="GA3654" s="5" t="s">
        <v>238</v>
      </c>
      <c r="GB3654" s="5" t="s">
        <v>238</v>
      </c>
      <c r="GC3654" s="5" t="s">
        <v>238</v>
      </c>
      <c r="GD3654" s="5" t="s">
        <v>238</v>
      </c>
      <c r="GE3654" s="5" t="s">
        <v>238</v>
      </c>
      <c r="GF3654" s="5" t="s">
        <v>238</v>
      </c>
      <c r="GG3654" s="5" t="s">
        <v>238</v>
      </c>
      <c r="GH3654" s="5" t="s">
        <v>238</v>
      </c>
      <c r="GI3654" s="5" t="s">
        <v>238</v>
      </c>
      <c r="GJ3654" s="5" t="s">
        <v>238</v>
      </c>
      <c r="GK3654" s="5" t="s">
        <v>238</v>
      </c>
      <c r="GL3654" s="5" t="s">
        <v>238</v>
      </c>
      <c r="GM3654" s="5" t="s">
        <v>238</v>
      </c>
      <c r="GN3654" s="5" t="s">
        <v>238</v>
      </c>
      <c r="GO3654" s="5" t="s">
        <v>238</v>
      </c>
      <c r="GP3654" s="5" t="s">
        <v>238</v>
      </c>
      <c r="GQ3654" s="5" t="s">
        <v>238</v>
      </c>
      <c r="GR3654" s="5" t="s">
        <v>238</v>
      </c>
      <c r="GS3654" s="5" t="s">
        <v>238</v>
      </c>
      <c r="GT3654" s="5" t="s">
        <v>238</v>
      </c>
      <c r="GU3654" s="5" t="s">
        <v>238</v>
      </c>
      <c r="GV3654" s="5" t="s">
        <v>238</v>
      </c>
      <c r="GW3654" s="5" t="s">
        <v>238</v>
      </c>
      <c r="GX3654" s="5" t="s">
        <v>238</v>
      </c>
      <c r="GY3654" s="5" t="s">
        <v>238</v>
      </c>
      <c r="GZ3654" s="5" t="s">
        <v>238</v>
      </c>
      <c r="HA3654" s="5" t="s">
        <v>238</v>
      </c>
      <c r="HB3654" s="5" t="s">
        <v>238</v>
      </c>
      <c r="HC3654" s="5" t="s">
        <v>238</v>
      </c>
      <c r="HD3654" s="5" t="s">
        <v>238</v>
      </c>
      <c r="HE3654" s="5" t="s">
        <v>238</v>
      </c>
      <c r="HF3654" s="5" t="s">
        <v>238</v>
      </c>
      <c r="HG3654" s="5" t="s">
        <v>238</v>
      </c>
      <c r="HH3654" s="5" t="s">
        <v>238</v>
      </c>
      <c r="HI3654" s="5" t="s">
        <v>238</v>
      </c>
      <c r="HJ3654" s="5" t="s">
        <v>238</v>
      </c>
      <c r="HK3654" s="5" t="s">
        <v>238</v>
      </c>
      <c r="HL3654" s="5" t="s">
        <v>238</v>
      </c>
      <c r="HM3654" s="5" t="s">
        <v>264</v>
      </c>
      <c r="HN3654" s="5" t="s">
        <v>238</v>
      </c>
      <c r="HO3654" s="5" t="s">
        <v>238</v>
      </c>
      <c r="HP3654" s="5" t="s">
        <v>238</v>
      </c>
      <c r="HQ3654" s="5" t="s">
        <v>238</v>
      </c>
      <c r="HR3654" s="5" t="s">
        <v>238</v>
      </c>
      <c r="HS3654" s="5" t="s">
        <v>238</v>
      </c>
      <c r="HT3654" s="5" t="s">
        <v>238</v>
      </c>
      <c r="HU3654" s="5" t="s">
        <v>238</v>
      </c>
      <c r="HV3654" s="5" t="s">
        <v>238</v>
      </c>
      <c r="HW3654" s="5" t="s">
        <v>238</v>
      </c>
      <c r="HX3654" s="5" t="s">
        <v>238</v>
      </c>
      <c r="HY3654" s="5" t="s">
        <v>238</v>
      </c>
      <c r="HZ3654" s="5" t="s">
        <v>238</v>
      </c>
      <c r="IA3654" s="5" t="s">
        <v>238</v>
      </c>
      <c r="IB3654" s="5" t="s">
        <v>238</v>
      </c>
      <c r="IC3654" s="5" t="s">
        <v>238</v>
      </c>
      <c r="ID3654" s="5" t="s">
        <v>238</v>
      </c>
    </row>
    <row r="3655" spans="1:238" x14ac:dyDescent="0.4">
      <c r="A3655" s="5">
        <v>9373</v>
      </c>
      <c r="B3655" s="5">
        <v>1</v>
      </c>
      <c r="C3655" s="5">
        <v>1</v>
      </c>
      <c r="D3655" s="5" t="s">
        <v>484</v>
      </c>
      <c r="E3655" s="5" t="s">
        <v>485</v>
      </c>
      <c r="F3655" s="5" t="s">
        <v>248</v>
      </c>
      <c r="G3655" s="5" t="s">
        <v>4778</v>
      </c>
      <c r="H3655" s="6" t="s">
        <v>4778</v>
      </c>
      <c r="I3655" s="8">
        <f>1</f>
        <v>1</v>
      </c>
      <c r="J3655" s="5" t="s">
        <v>499</v>
      </c>
      <c r="K3655" s="8">
        <f>1</f>
        <v>1</v>
      </c>
      <c r="L3655" s="6" t="s">
        <v>242</v>
      </c>
      <c r="M3655" s="5" t="s">
        <v>267</v>
      </c>
      <c r="N3655" s="5" t="s">
        <v>482</v>
      </c>
      <c r="O3655" s="5" t="s">
        <v>238</v>
      </c>
      <c r="P3655" s="5" t="s">
        <v>238</v>
      </c>
      <c r="Q3655" s="5" t="s">
        <v>239</v>
      </c>
      <c r="R3655" s="5" t="s">
        <v>270</v>
      </c>
      <c r="S3655" s="5" t="s">
        <v>238</v>
      </c>
      <c r="T3655" s="5" t="s">
        <v>238</v>
      </c>
      <c r="U3655" s="5" t="s">
        <v>238</v>
      </c>
      <c r="V3655" s="5" t="s">
        <v>238</v>
      </c>
      <c r="W3655" s="6" t="s">
        <v>238</v>
      </c>
      <c r="X3655" s="6" t="s">
        <v>238</v>
      </c>
      <c r="Y3655" s="5" t="s">
        <v>238</v>
      </c>
      <c r="Z3655" s="6" t="s">
        <v>238</v>
      </c>
      <c r="AA3655" s="6" t="s">
        <v>243</v>
      </c>
      <c r="AB3655" s="5" t="s">
        <v>4779</v>
      </c>
      <c r="AC3655" s="5" t="s">
        <v>244</v>
      </c>
      <c r="AD3655" s="5" t="s">
        <v>245</v>
      </c>
      <c r="AE3655" s="5" t="s">
        <v>238</v>
      </c>
      <c r="AF3655" s="5" t="s">
        <v>238</v>
      </c>
      <c r="AG3655" s="5" t="s">
        <v>238</v>
      </c>
      <c r="AH3655" s="5" t="s">
        <v>238</v>
      </c>
      <c r="AI3655" s="5" t="s">
        <v>238</v>
      </c>
      <c r="AJ3655" s="5" t="s">
        <v>238</v>
      </c>
      <c r="AK3655" s="5" t="s">
        <v>238</v>
      </c>
      <c r="AL3655" s="5" t="s">
        <v>238</v>
      </c>
      <c r="AM3655" s="6" t="s">
        <v>238</v>
      </c>
      <c r="AN3655" s="6" t="s">
        <v>238</v>
      </c>
      <c r="AO3655" s="6" t="s">
        <v>238</v>
      </c>
      <c r="AP3655" s="6" t="s">
        <v>238</v>
      </c>
      <c r="AQ3655" s="5" t="s">
        <v>238</v>
      </c>
      <c r="AR3655" s="5" t="s">
        <v>488</v>
      </c>
      <c r="AS3655" s="5" t="s">
        <v>488</v>
      </c>
      <c r="AT3655" s="5" t="s">
        <v>246</v>
      </c>
      <c r="AU3655" s="5" t="s">
        <v>489</v>
      </c>
      <c r="AV3655" s="5" t="s">
        <v>247</v>
      </c>
      <c r="AW3655" s="5" t="s">
        <v>238</v>
      </c>
      <c r="AX3655" s="5" t="s">
        <v>249</v>
      </c>
      <c r="AY3655" s="5" t="s">
        <v>490</v>
      </c>
      <c r="BA3655" s="5" t="s">
        <v>238</v>
      </c>
      <c r="BC3655" s="5" t="s">
        <v>491</v>
      </c>
      <c r="BD3655" s="6" t="s">
        <v>492</v>
      </c>
      <c r="BE3655" s="5" t="s">
        <v>493</v>
      </c>
      <c r="BF3655" s="5" t="s">
        <v>493</v>
      </c>
      <c r="BG3655" s="5" t="s">
        <v>238</v>
      </c>
      <c r="BH3655" s="8">
        <f>1</f>
        <v>1</v>
      </c>
      <c r="BI3655" s="8">
        <f>1</f>
        <v>1</v>
      </c>
      <c r="BJ3655" s="5" t="s">
        <v>253</v>
      </c>
      <c r="BK3655" s="5" t="s">
        <v>254</v>
      </c>
      <c r="BL3655" s="5" t="s">
        <v>238</v>
      </c>
      <c r="BM3655" s="5" t="s">
        <v>238</v>
      </c>
      <c r="BN3655" s="5" t="s">
        <v>238</v>
      </c>
      <c r="BO3655" s="5" t="s">
        <v>238</v>
      </c>
      <c r="BP3655" s="5" t="s">
        <v>238</v>
      </c>
      <c r="BQ3655" s="5" t="s">
        <v>238</v>
      </c>
      <c r="BR3655" s="5" t="s">
        <v>238</v>
      </c>
      <c r="BS3655" s="5" t="s">
        <v>238</v>
      </c>
      <c r="BT3655" s="6" t="s">
        <v>238</v>
      </c>
      <c r="BU3655" s="5" t="s">
        <v>238</v>
      </c>
      <c r="BV3655" s="5" t="s">
        <v>238</v>
      </c>
      <c r="BW3655" s="5" t="s">
        <v>238</v>
      </c>
      <c r="BX3655" s="5" t="s">
        <v>254</v>
      </c>
      <c r="BY3655" s="5" t="s">
        <v>238</v>
      </c>
      <c r="BZ3655" s="5" t="s">
        <v>238</v>
      </c>
      <c r="CA3655" s="5" t="s">
        <v>238</v>
      </c>
      <c r="CB3655" s="5" t="s">
        <v>238</v>
      </c>
      <c r="CC3655" s="5" t="s">
        <v>238</v>
      </c>
      <c r="CD3655" s="5" t="s">
        <v>273</v>
      </c>
      <c r="CE3655" s="5" t="s">
        <v>256</v>
      </c>
      <c r="CF3655" s="5" t="s">
        <v>238</v>
      </c>
      <c r="CH3655" s="5" t="s">
        <v>494</v>
      </c>
      <c r="CI3655" s="6" t="s">
        <v>257</v>
      </c>
      <c r="CJ3655" s="5" t="s">
        <v>495</v>
      </c>
      <c r="CK3655" s="5" t="s">
        <v>258</v>
      </c>
      <c r="CL3655" s="5" t="s">
        <v>496</v>
      </c>
      <c r="CM3655" s="5" t="s">
        <v>238</v>
      </c>
      <c r="CN3655" s="5">
        <v>0</v>
      </c>
      <c r="CO3655" s="5" t="s">
        <v>497</v>
      </c>
      <c r="CP3655" s="5" t="s">
        <v>260</v>
      </c>
      <c r="CQ3655" s="5" t="s">
        <v>260</v>
      </c>
      <c r="CR3655" s="5" t="s">
        <v>261</v>
      </c>
      <c r="CS3655" s="5" t="s">
        <v>498</v>
      </c>
      <c r="CT3655" s="7">
        <f>1</f>
        <v>1</v>
      </c>
      <c r="CU3655" s="8">
        <f>1</f>
        <v>1</v>
      </c>
      <c r="CV3655" s="8">
        <f>0</f>
        <v>0</v>
      </c>
      <c r="CX3655" s="8">
        <f>1</f>
        <v>1</v>
      </c>
      <c r="CY3655" s="8">
        <f>1</f>
        <v>1</v>
      </c>
      <c r="CZ3655" s="8" t="s">
        <v>238</v>
      </c>
      <c r="DA3655" s="5" t="s">
        <v>238</v>
      </c>
      <c r="DB3655" s="5" t="s">
        <v>238</v>
      </c>
      <c r="DC3655" s="5" t="s">
        <v>238</v>
      </c>
      <c r="DD3655" s="5" t="s">
        <v>238</v>
      </c>
      <c r="DE3655" s="8">
        <f>0</f>
        <v>0</v>
      </c>
      <c r="DG3655" s="5" t="s">
        <v>238</v>
      </c>
      <c r="DH3655" s="5" t="s">
        <v>238</v>
      </c>
      <c r="DI3655" s="5" t="s">
        <v>238</v>
      </c>
      <c r="DJ3655" s="5" t="s">
        <v>238</v>
      </c>
      <c r="DK3655" s="5" t="s">
        <v>238</v>
      </c>
      <c r="DL3655" s="5" t="s">
        <v>238</v>
      </c>
      <c r="DM3655" s="8" t="s">
        <v>238</v>
      </c>
      <c r="DN3655" s="5" t="s">
        <v>238</v>
      </c>
      <c r="DO3655" s="5" t="s">
        <v>238</v>
      </c>
      <c r="DP3655" s="5" t="s">
        <v>490</v>
      </c>
      <c r="DQ3655" s="5" t="s">
        <v>490</v>
      </c>
      <c r="DR3655" s="5" t="s">
        <v>238</v>
      </c>
      <c r="DS3655" s="5" t="s">
        <v>238</v>
      </c>
      <c r="DT3655" s="5" t="s">
        <v>500</v>
      </c>
      <c r="DU3655" s="5" t="s">
        <v>3107</v>
      </c>
      <c r="DV3655" s="5" t="s">
        <v>238</v>
      </c>
      <c r="DW3655" s="5" t="s">
        <v>238</v>
      </c>
      <c r="DX3655" s="5" t="s">
        <v>238</v>
      </c>
      <c r="DY3655" s="5" t="s">
        <v>238</v>
      </c>
      <c r="DZ3655" s="5" t="s">
        <v>238</v>
      </c>
      <c r="EA3655" s="5" t="s">
        <v>238</v>
      </c>
      <c r="EB3655" s="5" t="s">
        <v>238</v>
      </c>
      <c r="EC3655" s="5" t="s">
        <v>238</v>
      </c>
      <c r="ED3655" s="5" t="s">
        <v>238</v>
      </c>
      <c r="EE3655" s="5" t="s">
        <v>238</v>
      </c>
      <c r="EF3655" s="5" t="s">
        <v>238</v>
      </c>
      <c r="EG3655" s="5" t="s">
        <v>238</v>
      </c>
      <c r="EH3655" s="5" t="s">
        <v>238</v>
      </c>
      <c r="EI3655" s="5" t="s">
        <v>238</v>
      </c>
      <c r="EJ3655" s="5" t="s">
        <v>238</v>
      </c>
      <c r="EK3655" s="5" t="s">
        <v>238</v>
      </c>
      <c r="EL3655" s="5" t="s">
        <v>238</v>
      </c>
      <c r="EM3655" s="5" t="s">
        <v>238</v>
      </c>
      <c r="EN3655" s="5" t="s">
        <v>238</v>
      </c>
      <c r="EO3655" s="5" t="s">
        <v>238</v>
      </c>
      <c r="EP3655" s="5" t="s">
        <v>238</v>
      </c>
      <c r="EQ3655" s="5" t="s">
        <v>238</v>
      </c>
      <c r="ER3655" s="5" t="s">
        <v>238</v>
      </c>
      <c r="ES3655" s="5" t="s">
        <v>238</v>
      </c>
      <c r="ET3655" s="5" t="s">
        <v>238</v>
      </c>
      <c r="EU3655" s="5" t="s">
        <v>238</v>
      </c>
      <c r="EV3655" s="5" t="s">
        <v>238</v>
      </c>
      <c r="EW3655" s="5" t="s">
        <v>238</v>
      </c>
      <c r="EX3655" s="5" t="s">
        <v>238</v>
      </c>
      <c r="EY3655" s="5" t="s">
        <v>238</v>
      </c>
      <c r="EZ3655" s="5" t="s">
        <v>238</v>
      </c>
      <c r="FA3655" s="5" t="s">
        <v>238</v>
      </c>
      <c r="FB3655" s="5" t="s">
        <v>238</v>
      </c>
      <c r="FC3655" s="5" t="s">
        <v>238</v>
      </c>
      <c r="FD3655" s="5" t="s">
        <v>238</v>
      </c>
      <c r="FE3655" s="5" t="s">
        <v>238</v>
      </c>
      <c r="FF3655" s="5" t="s">
        <v>238</v>
      </c>
      <c r="FG3655" s="5" t="s">
        <v>238</v>
      </c>
      <c r="FH3655" s="5" t="s">
        <v>238</v>
      </c>
      <c r="FI3655" s="5" t="s">
        <v>238</v>
      </c>
      <c r="FJ3655" s="5" t="s">
        <v>238</v>
      </c>
      <c r="FK3655" s="5" t="s">
        <v>238</v>
      </c>
      <c r="FL3655" s="5" t="s">
        <v>238</v>
      </c>
      <c r="FM3655" s="5" t="s">
        <v>238</v>
      </c>
      <c r="FN3655" s="5" t="s">
        <v>238</v>
      </c>
      <c r="FO3655" s="5" t="s">
        <v>238</v>
      </c>
      <c r="FP3655" s="5" t="s">
        <v>238</v>
      </c>
      <c r="FQ3655" s="5" t="s">
        <v>238</v>
      </c>
      <c r="FR3655" s="5" t="s">
        <v>238</v>
      </c>
      <c r="FS3655" s="5" t="s">
        <v>238</v>
      </c>
      <c r="FT3655" s="5" t="s">
        <v>238</v>
      </c>
      <c r="FU3655" s="5" t="s">
        <v>238</v>
      </c>
      <c r="FV3655" s="5" t="s">
        <v>238</v>
      </c>
      <c r="FW3655" s="5" t="s">
        <v>238</v>
      </c>
      <c r="FX3655" s="5" t="s">
        <v>238</v>
      </c>
      <c r="FY3655" s="5" t="s">
        <v>238</v>
      </c>
      <c r="FZ3655" s="5" t="s">
        <v>238</v>
      </c>
      <c r="GA3655" s="5" t="s">
        <v>238</v>
      </c>
      <c r="GB3655" s="5" t="s">
        <v>238</v>
      </c>
      <c r="GC3655" s="5" t="s">
        <v>238</v>
      </c>
      <c r="GD3655" s="5" t="s">
        <v>238</v>
      </c>
      <c r="GE3655" s="5" t="s">
        <v>238</v>
      </c>
      <c r="GF3655" s="5" t="s">
        <v>238</v>
      </c>
      <c r="GG3655" s="5" t="s">
        <v>238</v>
      </c>
      <c r="GH3655" s="5" t="s">
        <v>238</v>
      </c>
      <c r="GI3655" s="5" t="s">
        <v>238</v>
      </c>
      <c r="GJ3655" s="5" t="s">
        <v>238</v>
      </c>
      <c r="GK3655" s="5" t="s">
        <v>238</v>
      </c>
      <c r="GL3655" s="5" t="s">
        <v>238</v>
      </c>
      <c r="GM3655" s="5" t="s">
        <v>238</v>
      </c>
      <c r="GN3655" s="5" t="s">
        <v>238</v>
      </c>
      <c r="GO3655" s="5" t="s">
        <v>238</v>
      </c>
      <c r="GP3655" s="5" t="s">
        <v>238</v>
      </c>
      <c r="GQ3655" s="5" t="s">
        <v>238</v>
      </c>
      <c r="GR3655" s="5" t="s">
        <v>238</v>
      </c>
      <c r="GS3655" s="5" t="s">
        <v>238</v>
      </c>
      <c r="GT3655" s="5" t="s">
        <v>238</v>
      </c>
      <c r="GU3655" s="5" t="s">
        <v>238</v>
      </c>
      <c r="GV3655" s="5" t="s">
        <v>238</v>
      </c>
      <c r="GW3655" s="5" t="s">
        <v>238</v>
      </c>
      <c r="GX3655" s="5" t="s">
        <v>238</v>
      </c>
      <c r="GY3655" s="5" t="s">
        <v>238</v>
      </c>
      <c r="GZ3655" s="5" t="s">
        <v>238</v>
      </c>
      <c r="HA3655" s="5" t="s">
        <v>238</v>
      </c>
      <c r="HB3655" s="5" t="s">
        <v>238</v>
      </c>
      <c r="HC3655" s="5" t="s">
        <v>238</v>
      </c>
      <c r="HD3655" s="5" t="s">
        <v>238</v>
      </c>
      <c r="HE3655" s="5" t="s">
        <v>238</v>
      </c>
      <c r="HF3655" s="5" t="s">
        <v>238</v>
      </c>
      <c r="HG3655" s="5" t="s">
        <v>238</v>
      </c>
      <c r="HH3655" s="5" t="s">
        <v>238</v>
      </c>
      <c r="HI3655" s="5" t="s">
        <v>238</v>
      </c>
      <c r="HJ3655" s="5" t="s">
        <v>238</v>
      </c>
      <c r="HK3655" s="5" t="s">
        <v>238</v>
      </c>
      <c r="HL3655" s="5" t="s">
        <v>238</v>
      </c>
      <c r="HM3655" s="5" t="s">
        <v>264</v>
      </c>
      <c r="HN3655" s="5" t="s">
        <v>238</v>
      </c>
      <c r="HO3655" s="5" t="s">
        <v>238</v>
      </c>
      <c r="HP3655" s="5" t="s">
        <v>238</v>
      </c>
      <c r="HQ3655" s="5" t="s">
        <v>238</v>
      </c>
      <c r="HR3655" s="5" t="s">
        <v>238</v>
      </c>
      <c r="HS3655" s="5" t="s">
        <v>238</v>
      </c>
      <c r="HT3655" s="5" t="s">
        <v>238</v>
      </c>
      <c r="HU3655" s="5" t="s">
        <v>238</v>
      </c>
      <c r="HV3655" s="5" t="s">
        <v>238</v>
      </c>
      <c r="HW3655" s="5" t="s">
        <v>238</v>
      </c>
      <c r="HX3655" s="5" t="s">
        <v>238</v>
      </c>
      <c r="HY3655" s="5" t="s">
        <v>238</v>
      </c>
      <c r="HZ3655" s="5" t="s">
        <v>238</v>
      </c>
      <c r="IA3655" s="5" t="s">
        <v>238</v>
      </c>
      <c r="IB3655" s="5" t="s">
        <v>238</v>
      </c>
      <c r="IC3655" s="5" t="s">
        <v>238</v>
      </c>
      <c r="ID3655" s="5" t="s">
        <v>238</v>
      </c>
    </row>
    <row r="3656" spans="1:238" x14ac:dyDescent="0.4">
      <c r="A3656" s="5">
        <v>9374</v>
      </c>
      <c r="B3656" s="5">
        <v>1</v>
      </c>
      <c r="C3656" s="5">
        <v>1</v>
      </c>
      <c r="D3656" s="5" t="s">
        <v>484</v>
      </c>
      <c r="E3656" s="5" t="s">
        <v>485</v>
      </c>
      <c r="F3656" s="5" t="s">
        <v>248</v>
      </c>
      <c r="G3656" s="5" t="s">
        <v>5660</v>
      </c>
      <c r="H3656" s="6" t="s">
        <v>5660</v>
      </c>
      <c r="I3656" s="8">
        <f>1</f>
        <v>1</v>
      </c>
      <c r="J3656" s="5" t="s">
        <v>499</v>
      </c>
      <c r="K3656" s="8">
        <f>1</f>
        <v>1</v>
      </c>
      <c r="L3656" s="6" t="s">
        <v>242</v>
      </c>
      <c r="M3656" s="5" t="s">
        <v>267</v>
      </c>
      <c r="N3656" s="5" t="s">
        <v>482</v>
      </c>
      <c r="O3656" s="5" t="s">
        <v>238</v>
      </c>
      <c r="P3656" s="5" t="s">
        <v>238</v>
      </c>
      <c r="Q3656" s="5" t="s">
        <v>239</v>
      </c>
      <c r="R3656" s="5" t="s">
        <v>270</v>
      </c>
      <c r="S3656" s="5" t="s">
        <v>238</v>
      </c>
      <c r="T3656" s="5" t="s">
        <v>238</v>
      </c>
      <c r="U3656" s="5" t="s">
        <v>238</v>
      </c>
      <c r="V3656" s="5" t="s">
        <v>238</v>
      </c>
      <c r="W3656" s="6" t="s">
        <v>238</v>
      </c>
      <c r="X3656" s="6" t="s">
        <v>238</v>
      </c>
      <c r="Y3656" s="5" t="s">
        <v>238</v>
      </c>
      <c r="Z3656" s="6" t="s">
        <v>238</v>
      </c>
      <c r="AA3656" s="6" t="s">
        <v>243</v>
      </c>
      <c r="AB3656" s="5" t="s">
        <v>5661</v>
      </c>
      <c r="AC3656" s="5" t="s">
        <v>244</v>
      </c>
      <c r="AD3656" s="5" t="s">
        <v>245</v>
      </c>
      <c r="AE3656" s="5" t="s">
        <v>238</v>
      </c>
      <c r="AF3656" s="5" t="s">
        <v>238</v>
      </c>
      <c r="AG3656" s="5" t="s">
        <v>238</v>
      </c>
      <c r="AH3656" s="5" t="s">
        <v>238</v>
      </c>
      <c r="AI3656" s="5" t="s">
        <v>238</v>
      </c>
      <c r="AJ3656" s="5" t="s">
        <v>238</v>
      </c>
      <c r="AK3656" s="5" t="s">
        <v>238</v>
      </c>
      <c r="AL3656" s="5" t="s">
        <v>238</v>
      </c>
      <c r="AM3656" s="6" t="s">
        <v>238</v>
      </c>
      <c r="AN3656" s="6" t="s">
        <v>238</v>
      </c>
      <c r="AO3656" s="6" t="s">
        <v>238</v>
      </c>
      <c r="AP3656" s="6" t="s">
        <v>238</v>
      </c>
      <c r="AQ3656" s="5" t="s">
        <v>238</v>
      </c>
      <c r="AR3656" s="5" t="s">
        <v>488</v>
      </c>
      <c r="AS3656" s="5" t="s">
        <v>488</v>
      </c>
      <c r="AT3656" s="5" t="s">
        <v>246</v>
      </c>
      <c r="AU3656" s="5" t="s">
        <v>489</v>
      </c>
      <c r="AV3656" s="5" t="s">
        <v>247</v>
      </c>
      <c r="AW3656" s="5" t="s">
        <v>238</v>
      </c>
      <c r="AX3656" s="5" t="s">
        <v>249</v>
      </c>
      <c r="AY3656" s="5" t="s">
        <v>490</v>
      </c>
      <c r="BA3656" s="5" t="s">
        <v>238</v>
      </c>
      <c r="BC3656" s="5" t="s">
        <v>491</v>
      </c>
      <c r="BD3656" s="6" t="s">
        <v>492</v>
      </c>
      <c r="BE3656" s="5" t="s">
        <v>493</v>
      </c>
      <c r="BF3656" s="5" t="s">
        <v>493</v>
      </c>
      <c r="BG3656" s="5" t="s">
        <v>238</v>
      </c>
      <c r="BH3656" s="8">
        <f>1</f>
        <v>1</v>
      </c>
      <c r="BI3656" s="8">
        <f>1</f>
        <v>1</v>
      </c>
      <c r="BJ3656" s="5" t="s">
        <v>253</v>
      </c>
      <c r="BK3656" s="5" t="s">
        <v>254</v>
      </c>
      <c r="BL3656" s="5" t="s">
        <v>238</v>
      </c>
      <c r="BM3656" s="5" t="s">
        <v>238</v>
      </c>
      <c r="BN3656" s="5" t="s">
        <v>238</v>
      </c>
      <c r="BO3656" s="5" t="s">
        <v>238</v>
      </c>
      <c r="BP3656" s="5" t="s">
        <v>238</v>
      </c>
      <c r="BQ3656" s="5" t="s">
        <v>238</v>
      </c>
      <c r="BR3656" s="5" t="s">
        <v>238</v>
      </c>
      <c r="BS3656" s="5" t="s">
        <v>238</v>
      </c>
      <c r="BT3656" s="6" t="s">
        <v>238</v>
      </c>
      <c r="BU3656" s="5" t="s">
        <v>238</v>
      </c>
      <c r="BV3656" s="5" t="s">
        <v>238</v>
      </c>
      <c r="BW3656" s="5" t="s">
        <v>238</v>
      </c>
      <c r="BX3656" s="5" t="s">
        <v>254</v>
      </c>
      <c r="BY3656" s="5" t="s">
        <v>238</v>
      </c>
      <c r="BZ3656" s="5" t="s">
        <v>238</v>
      </c>
      <c r="CA3656" s="5" t="s">
        <v>238</v>
      </c>
      <c r="CB3656" s="5" t="s">
        <v>238</v>
      </c>
      <c r="CC3656" s="5" t="s">
        <v>238</v>
      </c>
      <c r="CD3656" s="5" t="s">
        <v>273</v>
      </c>
      <c r="CE3656" s="5" t="s">
        <v>256</v>
      </c>
      <c r="CF3656" s="5" t="s">
        <v>238</v>
      </c>
      <c r="CH3656" s="5" t="s">
        <v>494</v>
      </c>
      <c r="CI3656" s="6" t="s">
        <v>257</v>
      </c>
      <c r="CJ3656" s="5" t="s">
        <v>495</v>
      </c>
      <c r="CK3656" s="5" t="s">
        <v>258</v>
      </c>
      <c r="CL3656" s="5" t="s">
        <v>496</v>
      </c>
      <c r="CM3656" s="5" t="s">
        <v>238</v>
      </c>
      <c r="CN3656" s="5">
        <v>0</v>
      </c>
      <c r="CO3656" s="5" t="s">
        <v>497</v>
      </c>
      <c r="CP3656" s="5" t="s">
        <v>260</v>
      </c>
      <c r="CQ3656" s="5" t="s">
        <v>260</v>
      </c>
      <c r="CR3656" s="5" t="s">
        <v>261</v>
      </c>
      <c r="CS3656" s="5" t="s">
        <v>498</v>
      </c>
      <c r="CT3656" s="7">
        <f>1</f>
        <v>1</v>
      </c>
      <c r="CU3656" s="8">
        <f>1</f>
        <v>1</v>
      </c>
      <c r="CV3656" s="8">
        <f>0</f>
        <v>0</v>
      </c>
      <c r="CX3656" s="8">
        <f>1</f>
        <v>1</v>
      </c>
      <c r="CY3656" s="8">
        <f>1</f>
        <v>1</v>
      </c>
      <c r="CZ3656" s="8" t="s">
        <v>238</v>
      </c>
      <c r="DA3656" s="5" t="s">
        <v>238</v>
      </c>
      <c r="DB3656" s="5" t="s">
        <v>238</v>
      </c>
      <c r="DC3656" s="5" t="s">
        <v>238</v>
      </c>
      <c r="DD3656" s="5" t="s">
        <v>238</v>
      </c>
      <c r="DE3656" s="8">
        <f>0</f>
        <v>0</v>
      </c>
      <c r="DG3656" s="5" t="s">
        <v>238</v>
      </c>
      <c r="DH3656" s="5" t="s">
        <v>238</v>
      </c>
      <c r="DI3656" s="5" t="s">
        <v>238</v>
      </c>
      <c r="DJ3656" s="5" t="s">
        <v>238</v>
      </c>
      <c r="DK3656" s="5" t="s">
        <v>238</v>
      </c>
      <c r="DL3656" s="5" t="s">
        <v>238</v>
      </c>
      <c r="DM3656" s="8" t="s">
        <v>238</v>
      </c>
      <c r="DN3656" s="5" t="s">
        <v>238</v>
      </c>
      <c r="DO3656" s="5" t="s">
        <v>238</v>
      </c>
      <c r="DP3656" s="5" t="s">
        <v>490</v>
      </c>
      <c r="DQ3656" s="5" t="s">
        <v>490</v>
      </c>
      <c r="DR3656" s="5" t="s">
        <v>238</v>
      </c>
      <c r="DS3656" s="5" t="s">
        <v>238</v>
      </c>
      <c r="DT3656" s="5" t="s">
        <v>500</v>
      </c>
      <c r="DU3656" s="5" t="s">
        <v>3115</v>
      </c>
      <c r="DV3656" s="5" t="s">
        <v>238</v>
      </c>
      <c r="DW3656" s="5" t="s">
        <v>238</v>
      </c>
      <c r="DX3656" s="5" t="s">
        <v>238</v>
      </c>
      <c r="DY3656" s="5" t="s">
        <v>238</v>
      </c>
      <c r="DZ3656" s="5" t="s">
        <v>238</v>
      </c>
      <c r="EA3656" s="5" t="s">
        <v>238</v>
      </c>
      <c r="EB3656" s="5" t="s">
        <v>238</v>
      </c>
      <c r="EC3656" s="5" t="s">
        <v>238</v>
      </c>
      <c r="ED3656" s="5" t="s">
        <v>238</v>
      </c>
      <c r="EE3656" s="5" t="s">
        <v>238</v>
      </c>
      <c r="EF3656" s="5" t="s">
        <v>238</v>
      </c>
      <c r="EG3656" s="5" t="s">
        <v>238</v>
      </c>
      <c r="EH3656" s="5" t="s">
        <v>238</v>
      </c>
      <c r="EI3656" s="5" t="s">
        <v>238</v>
      </c>
      <c r="EJ3656" s="5" t="s">
        <v>238</v>
      </c>
      <c r="EK3656" s="5" t="s">
        <v>238</v>
      </c>
      <c r="EL3656" s="5" t="s">
        <v>238</v>
      </c>
      <c r="EM3656" s="5" t="s">
        <v>238</v>
      </c>
      <c r="EN3656" s="5" t="s">
        <v>238</v>
      </c>
      <c r="EO3656" s="5" t="s">
        <v>238</v>
      </c>
      <c r="EP3656" s="5" t="s">
        <v>238</v>
      </c>
      <c r="EQ3656" s="5" t="s">
        <v>238</v>
      </c>
      <c r="ER3656" s="5" t="s">
        <v>238</v>
      </c>
      <c r="ES3656" s="5" t="s">
        <v>238</v>
      </c>
      <c r="ET3656" s="5" t="s">
        <v>238</v>
      </c>
      <c r="EU3656" s="5" t="s">
        <v>238</v>
      </c>
      <c r="EV3656" s="5" t="s">
        <v>238</v>
      </c>
      <c r="EW3656" s="5" t="s">
        <v>238</v>
      </c>
      <c r="EX3656" s="5" t="s">
        <v>238</v>
      </c>
      <c r="EY3656" s="5" t="s">
        <v>238</v>
      </c>
      <c r="EZ3656" s="5" t="s">
        <v>238</v>
      </c>
      <c r="FA3656" s="5" t="s">
        <v>238</v>
      </c>
      <c r="FB3656" s="5" t="s">
        <v>238</v>
      </c>
      <c r="FC3656" s="5" t="s">
        <v>238</v>
      </c>
      <c r="FD3656" s="5" t="s">
        <v>238</v>
      </c>
      <c r="FE3656" s="5" t="s">
        <v>238</v>
      </c>
      <c r="FF3656" s="5" t="s">
        <v>238</v>
      </c>
      <c r="FG3656" s="5" t="s">
        <v>238</v>
      </c>
      <c r="FH3656" s="5" t="s">
        <v>238</v>
      </c>
      <c r="FI3656" s="5" t="s">
        <v>238</v>
      </c>
      <c r="FJ3656" s="5" t="s">
        <v>238</v>
      </c>
      <c r="FK3656" s="5" t="s">
        <v>238</v>
      </c>
      <c r="FL3656" s="5" t="s">
        <v>238</v>
      </c>
      <c r="FM3656" s="5" t="s">
        <v>238</v>
      </c>
      <c r="FN3656" s="5" t="s">
        <v>238</v>
      </c>
      <c r="FO3656" s="5" t="s">
        <v>238</v>
      </c>
      <c r="FP3656" s="5" t="s">
        <v>238</v>
      </c>
      <c r="FQ3656" s="5" t="s">
        <v>238</v>
      </c>
      <c r="FR3656" s="5" t="s">
        <v>238</v>
      </c>
      <c r="FS3656" s="5" t="s">
        <v>238</v>
      </c>
      <c r="FT3656" s="5" t="s">
        <v>238</v>
      </c>
      <c r="FU3656" s="5" t="s">
        <v>238</v>
      </c>
      <c r="FV3656" s="5" t="s">
        <v>238</v>
      </c>
      <c r="FW3656" s="5" t="s">
        <v>238</v>
      </c>
      <c r="FX3656" s="5" t="s">
        <v>238</v>
      </c>
      <c r="FY3656" s="5" t="s">
        <v>238</v>
      </c>
      <c r="FZ3656" s="5" t="s">
        <v>238</v>
      </c>
      <c r="GA3656" s="5" t="s">
        <v>238</v>
      </c>
      <c r="GB3656" s="5" t="s">
        <v>238</v>
      </c>
      <c r="GC3656" s="5" t="s">
        <v>238</v>
      </c>
      <c r="GD3656" s="5" t="s">
        <v>238</v>
      </c>
      <c r="GE3656" s="5" t="s">
        <v>238</v>
      </c>
      <c r="GF3656" s="5" t="s">
        <v>238</v>
      </c>
      <c r="GG3656" s="5" t="s">
        <v>238</v>
      </c>
      <c r="GH3656" s="5" t="s">
        <v>238</v>
      </c>
      <c r="GI3656" s="5" t="s">
        <v>238</v>
      </c>
      <c r="GJ3656" s="5" t="s">
        <v>238</v>
      </c>
      <c r="GK3656" s="5" t="s">
        <v>238</v>
      </c>
      <c r="GL3656" s="5" t="s">
        <v>238</v>
      </c>
      <c r="GM3656" s="5" t="s">
        <v>238</v>
      </c>
      <c r="GN3656" s="5" t="s">
        <v>238</v>
      </c>
      <c r="GO3656" s="5" t="s">
        <v>238</v>
      </c>
      <c r="GP3656" s="5" t="s">
        <v>238</v>
      </c>
      <c r="GQ3656" s="5" t="s">
        <v>238</v>
      </c>
      <c r="GR3656" s="5" t="s">
        <v>238</v>
      </c>
      <c r="GS3656" s="5" t="s">
        <v>238</v>
      </c>
      <c r="GT3656" s="5" t="s">
        <v>238</v>
      </c>
      <c r="GU3656" s="5" t="s">
        <v>238</v>
      </c>
      <c r="GV3656" s="5" t="s">
        <v>238</v>
      </c>
      <c r="GW3656" s="5" t="s">
        <v>238</v>
      </c>
      <c r="GX3656" s="5" t="s">
        <v>238</v>
      </c>
      <c r="GY3656" s="5" t="s">
        <v>238</v>
      </c>
      <c r="GZ3656" s="5" t="s">
        <v>238</v>
      </c>
      <c r="HA3656" s="5" t="s">
        <v>238</v>
      </c>
      <c r="HB3656" s="5" t="s">
        <v>238</v>
      </c>
      <c r="HC3656" s="5" t="s">
        <v>238</v>
      </c>
      <c r="HD3656" s="5" t="s">
        <v>238</v>
      </c>
      <c r="HE3656" s="5" t="s">
        <v>238</v>
      </c>
      <c r="HF3656" s="5" t="s">
        <v>238</v>
      </c>
      <c r="HG3656" s="5" t="s">
        <v>238</v>
      </c>
      <c r="HH3656" s="5" t="s">
        <v>238</v>
      </c>
      <c r="HI3656" s="5" t="s">
        <v>238</v>
      </c>
      <c r="HJ3656" s="5" t="s">
        <v>238</v>
      </c>
      <c r="HK3656" s="5" t="s">
        <v>238</v>
      </c>
      <c r="HL3656" s="5" t="s">
        <v>238</v>
      </c>
      <c r="HM3656" s="5" t="s">
        <v>264</v>
      </c>
      <c r="HN3656" s="5" t="s">
        <v>238</v>
      </c>
      <c r="HO3656" s="5" t="s">
        <v>238</v>
      </c>
      <c r="HP3656" s="5" t="s">
        <v>238</v>
      </c>
      <c r="HQ3656" s="5" t="s">
        <v>238</v>
      </c>
      <c r="HR3656" s="5" t="s">
        <v>238</v>
      </c>
      <c r="HS3656" s="5" t="s">
        <v>238</v>
      </c>
      <c r="HT3656" s="5" t="s">
        <v>238</v>
      </c>
      <c r="HU3656" s="5" t="s">
        <v>238</v>
      </c>
      <c r="HV3656" s="5" t="s">
        <v>238</v>
      </c>
      <c r="HW3656" s="5" t="s">
        <v>238</v>
      </c>
      <c r="HX3656" s="5" t="s">
        <v>238</v>
      </c>
      <c r="HY3656" s="5" t="s">
        <v>238</v>
      </c>
      <c r="HZ3656" s="5" t="s">
        <v>238</v>
      </c>
      <c r="IA3656" s="5" t="s">
        <v>238</v>
      </c>
      <c r="IB3656" s="5" t="s">
        <v>238</v>
      </c>
      <c r="IC3656" s="5" t="s">
        <v>238</v>
      </c>
      <c r="ID3656" s="5" t="s">
        <v>238</v>
      </c>
    </row>
    <row r="3657" spans="1:238" x14ac:dyDescent="0.4">
      <c r="A3657" s="5">
        <v>9375</v>
      </c>
      <c r="B3657" s="5">
        <v>1</v>
      </c>
      <c r="C3657" s="5">
        <v>1</v>
      </c>
      <c r="D3657" s="5" t="s">
        <v>484</v>
      </c>
      <c r="E3657" s="5" t="s">
        <v>485</v>
      </c>
      <c r="F3657" s="5" t="s">
        <v>248</v>
      </c>
      <c r="G3657" s="5" t="s">
        <v>2206</v>
      </c>
      <c r="H3657" s="6" t="s">
        <v>2206</v>
      </c>
      <c r="I3657" s="8">
        <f>1</f>
        <v>1</v>
      </c>
      <c r="J3657" s="5" t="s">
        <v>499</v>
      </c>
      <c r="K3657" s="8">
        <f>1</f>
        <v>1</v>
      </c>
      <c r="L3657" s="6" t="s">
        <v>242</v>
      </c>
      <c r="M3657" s="5" t="s">
        <v>267</v>
      </c>
      <c r="N3657" s="5" t="s">
        <v>482</v>
      </c>
      <c r="O3657" s="5" t="s">
        <v>238</v>
      </c>
      <c r="P3657" s="5" t="s">
        <v>238</v>
      </c>
      <c r="Q3657" s="5" t="s">
        <v>239</v>
      </c>
      <c r="R3657" s="5" t="s">
        <v>270</v>
      </c>
      <c r="S3657" s="5" t="s">
        <v>238</v>
      </c>
      <c r="T3657" s="5" t="s">
        <v>238</v>
      </c>
      <c r="U3657" s="5" t="s">
        <v>238</v>
      </c>
      <c r="V3657" s="5" t="s">
        <v>238</v>
      </c>
      <c r="W3657" s="6" t="s">
        <v>238</v>
      </c>
      <c r="X3657" s="6" t="s">
        <v>238</v>
      </c>
      <c r="Y3657" s="5" t="s">
        <v>238</v>
      </c>
      <c r="Z3657" s="6" t="s">
        <v>238</v>
      </c>
      <c r="AA3657" s="6" t="s">
        <v>243</v>
      </c>
      <c r="AB3657" s="5" t="s">
        <v>2207</v>
      </c>
      <c r="AC3657" s="5" t="s">
        <v>244</v>
      </c>
      <c r="AD3657" s="5" t="s">
        <v>245</v>
      </c>
      <c r="AE3657" s="5" t="s">
        <v>238</v>
      </c>
      <c r="AF3657" s="5" t="s">
        <v>238</v>
      </c>
      <c r="AG3657" s="5" t="s">
        <v>238</v>
      </c>
      <c r="AH3657" s="5" t="s">
        <v>238</v>
      </c>
      <c r="AI3657" s="5" t="s">
        <v>238</v>
      </c>
      <c r="AJ3657" s="5" t="s">
        <v>238</v>
      </c>
      <c r="AK3657" s="5" t="s">
        <v>238</v>
      </c>
      <c r="AL3657" s="5" t="s">
        <v>238</v>
      </c>
      <c r="AM3657" s="6" t="s">
        <v>238</v>
      </c>
      <c r="AN3657" s="6" t="s">
        <v>238</v>
      </c>
      <c r="AO3657" s="6" t="s">
        <v>238</v>
      </c>
      <c r="AP3657" s="6" t="s">
        <v>238</v>
      </c>
      <c r="AQ3657" s="5" t="s">
        <v>238</v>
      </c>
      <c r="AR3657" s="5" t="s">
        <v>488</v>
      </c>
      <c r="AS3657" s="5" t="s">
        <v>488</v>
      </c>
      <c r="AT3657" s="5" t="s">
        <v>246</v>
      </c>
      <c r="AU3657" s="5" t="s">
        <v>489</v>
      </c>
      <c r="AV3657" s="5" t="s">
        <v>247</v>
      </c>
      <c r="AW3657" s="5" t="s">
        <v>238</v>
      </c>
      <c r="AX3657" s="5" t="s">
        <v>249</v>
      </c>
      <c r="AY3657" s="5" t="s">
        <v>490</v>
      </c>
      <c r="BA3657" s="5" t="s">
        <v>238</v>
      </c>
      <c r="BC3657" s="5" t="s">
        <v>491</v>
      </c>
      <c r="BD3657" s="6" t="s">
        <v>492</v>
      </c>
      <c r="BE3657" s="5" t="s">
        <v>493</v>
      </c>
      <c r="BF3657" s="5" t="s">
        <v>493</v>
      </c>
      <c r="BG3657" s="5" t="s">
        <v>238</v>
      </c>
      <c r="BH3657" s="8">
        <f>1</f>
        <v>1</v>
      </c>
      <c r="BI3657" s="8">
        <f>1</f>
        <v>1</v>
      </c>
      <c r="BJ3657" s="5" t="s">
        <v>253</v>
      </c>
      <c r="BK3657" s="5" t="s">
        <v>254</v>
      </c>
      <c r="BL3657" s="5" t="s">
        <v>238</v>
      </c>
      <c r="BM3657" s="5" t="s">
        <v>238</v>
      </c>
      <c r="BN3657" s="5" t="s">
        <v>238</v>
      </c>
      <c r="BO3657" s="5" t="s">
        <v>238</v>
      </c>
      <c r="BP3657" s="5" t="s">
        <v>238</v>
      </c>
      <c r="BQ3657" s="5" t="s">
        <v>238</v>
      </c>
      <c r="BR3657" s="5" t="s">
        <v>238</v>
      </c>
      <c r="BS3657" s="5" t="s">
        <v>238</v>
      </c>
      <c r="BT3657" s="6" t="s">
        <v>238</v>
      </c>
      <c r="BU3657" s="5" t="s">
        <v>238</v>
      </c>
      <c r="BV3657" s="5" t="s">
        <v>238</v>
      </c>
      <c r="BW3657" s="5" t="s">
        <v>238</v>
      </c>
      <c r="BX3657" s="5" t="s">
        <v>254</v>
      </c>
      <c r="BY3657" s="5" t="s">
        <v>238</v>
      </c>
      <c r="BZ3657" s="5" t="s">
        <v>238</v>
      </c>
      <c r="CA3657" s="5" t="s">
        <v>238</v>
      </c>
      <c r="CB3657" s="5" t="s">
        <v>238</v>
      </c>
      <c r="CC3657" s="5" t="s">
        <v>238</v>
      </c>
      <c r="CD3657" s="5" t="s">
        <v>273</v>
      </c>
      <c r="CE3657" s="5" t="s">
        <v>256</v>
      </c>
      <c r="CF3657" s="5" t="s">
        <v>238</v>
      </c>
      <c r="CH3657" s="5" t="s">
        <v>494</v>
      </c>
      <c r="CI3657" s="6" t="s">
        <v>257</v>
      </c>
      <c r="CJ3657" s="5" t="s">
        <v>495</v>
      </c>
      <c r="CK3657" s="5" t="s">
        <v>258</v>
      </c>
      <c r="CL3657" s="5" t="s">
        <v>496</v>
      </c>
      <c r="CM3657" s="5" t="s">
        <v>238</v>
      </c>
      <c r="CN3657" s="5">
        <v>0</v>
      </c>
      <c r="CO3657" s="5" t="s">
        <v>497</v>
      </c>
      <c r="CP3657" s="5" t="s">
        <v>260</v>
      </c>
      <c r="CQ3657" s="5" t="s">
        <v>260</v>
      </c>
      <c r="CR3657" s="5" t="s">
        <v>261</v>
      </c>
      <c r="CS3657" s="5" t="s">
        <v>498</v>
      </c>
      <c r="CT3657" s="7">
        <f>1</f>
        <v>1</v>
      </c>
      <c r="CU3657" s="8">
        <f>1</f>
        <v>1</v>
      </c>
      <c r="CV3657" s="8">
        <f>0</f>
        <v>0</v>
      </c>
      <c r="CX3657" s="8">
        <f>1</f>
        <v>1</v>
      </c>
      <c r="CY3657" s="8">
        <f>1</f>
        <v>1</v>
      </c>
      <c r="CZ3657" s="8" t="s">
        <v>238</v>
      </c>
      <c r="DA3657" s="5" t="s">
        <v>238</v>
      </c>
      <c r="DB3657" s="5" t="s">
        <v>238</v>
      </c>
      <c r="DC3657" s="5" t="s">
        <v>238</v>
      </c>
      <c r="DD3657" s="5" t="s">
        <v>238</v>
      </c>
      <c r="DE3657" s="8">
        <f>0</f>
        <v>0</v>
      </c>
      <c r="DG3657" s="5" t="s">
        <v>238</v>
      </c>
      <c r="DH3657" s="5" t="s">
        <v>238</v>
      </c>
      <c r="DI3657" s="5" t="s">
        <v>238</v>
      </c>
      <c r="DJ3657" s="5" t="s">
        <v>238</v>
      </c>
      <c r="DK3657" s="5" t="s">
        <v>238</v>
      </c>
      <c r="DL3657" s="5" t="s">
        <v>238</v>
      </c>
      <c r="DM3657" s="8" t="s">
        <v>238</v>
      </c>
      <c r="DN3657" s="5" t="s">
        <v>238</v>
      </c>
      <c r="DO3657" s="5" t="s">
        <v>238</v>
      </c>
      <c r="DP3657" s="5" t="s">
        <v>490</v>
      </c>
      <c r="DQ3657" s="5" t="s">
        <v>490</v>
      </c>
      <c r="DR3657" s="5" t="s">
        <v>238</v>
      </c>
      <c r="DS3657" s="5" t="s">
        <v>238</v>
      </c>
      <c r="DT3657" s="5" t="s">
        <v>500</v>
      </c>
      <c r="DU3657" s="5" t="s">
        <v>2208</v>
      </c>
      <c r="DV3657" s="5" t="s">
        <v>238</v>
      </c>
      <c r="DW3657" s="5" t="s">
        <v>238</v>
      </c>
      <c r="DX3657" s="5" t="s">
        <v>238</v>
      </c>
      <c r="DY3657" s="5" t="s">
        <v>238</v>
      </c>
      <c r="DZ3657" s="5" t="s">
        <v>238</v>
      </c>
      <c r="EA3657" s="5" t="s">
        <v>238</v>
      </c>
      <c r="EB3657" s="5" t="s">
        <v>238</v>
      </c>
      <c r="EC3657" s="5" t="s">
        <v>238</v>
      </c>
      <c r="ED3657" s="5" t="s">
        <v>238</v>
      </c>
      <c r="EE3657" s="5" t="s">
        <v>238</v>
      </c>
      <c r="EF3657" s="5" t="s">
        <v>238</v>
      </c>
      <c r="EG3657" s="5" t="s">
        <v>238</v>
      </c>
      <c r="EH3657" s="5" t="s">
        <v>238</v>
      </c>
      <c r="EI3657" s="5" t="s">
        <v>238</v>
      </c>
      <c r="EJ3657" s="5" t="s">
        <v>238</v>
      </c>
      <c r="EK3657" s="5" t="s">
        <v>238</v>
      </c>
      <c r="EL3657" s="5" t="s">
        <v>238</v>
      </c>
      <c r="EM3657" s="5" t="s">
        <v>238</v>
      </c>
      <c r="EN3657" s="5" t="s">
        <v>238</v>
      </c>
      <c r="EO3657" s="5" t="s">
        <v>238</v>
      </c>
      <c r="EP3657" s="5" t="s">
        <v>238</v>
      </c>
      <c r="EQ3657" s="5" t="s">
        <v>238</v>
      </c>
      <c r="ER3657" s="5" t="s">
        <v>238</v>
      </c>
      <c r="ES3657" s="5" t="s">
        <v>238</v>
      </c>
      <c r="ET3657" s="5" t="s">
        <v>238</v>
      </c>
      <c r="EU3657" s="5" t="s">
        <v>238</v>
      </c>
      <c r="EV3657" s="5" t="s">
        <v>238</v>
      </c>
      <c r="EW3657" s="5" t="s">
        <v>238</v>
      </c>
      <c r="EX3657" s="5" t="s">
        <v>238</v>
      </c>
      <c r="EY3657" s="5" t="s">
        <v>238</v>
      </c>
      <c r="EZ3657" s="5" t="s">
        <v>238</v>
      </c>
      <c r="FA3657" s="5" t="s">
        <v>238</v>
      </c>
      <c r="FB3657" s="5" t="s">
        <v>238</v>
      </c>
      <c r="FC3657" s="5" t="s">
        <v>238</v>
      </c>
      <c r="FD3657" s="5" t="s">
        <v>238</v>
      </c>
      <c r="FE3657" s="5" t="s">
        <v>238</v>
      </c>
      <c r="FF3657" s="5" t="s">
        <v>238</v>
      </c>
      <c r="FG3657" s="5" t="s">
        <v>238</v>
      </c>
      <c r="FH3657" s="5" t="s">
        <v>238</v>
      </c>
      <c r="FI3657" s="5" t="s">
        <v>238</v>
      </c>
      <c r="FJ3657" s="5" t="s">
        <v>238</v>
      </c>
      <c r="FK3657" s="5" t="s">
        <v>238</v>
      </c>
      <c r="FL3657" s="5" t="s">
        <v>238</v>
      </c>
      <c r="FM3657" s="5" t="s">
        <v>238</v>
      </c>
      <c r="FN3657" s="5" t="s">
        <v>238</v>
      </c>
      <c r="FO3657" s="5" t="s">
        <v>238</v>
      </c>
      <c r="FP3657" s="5" t="s">
        <v>238</v>
      </c>
      <c r="FQ3657" s="5" t="s">
        <v>238</v>
      </c>
      <c r="FR3657" s="5" t="s">
        <v>238</v>
      </c>
      <c r="FS3657" s="5" t="s">
        <v>238</v>
      </c>
      <c r="FT3657" s="5" t="s">
        <v>238</v>
      </c>
      <c r="FU3657" s="5" t="s">
        <v>238</v>
      </c>
      <c r="FV3657" s="5" t="s">
        <v>238</v>
      </c>
      <c r="FW3657" s="5" t="s">
        <v>238</v>
      </c>
      <c r="FX3657" s="5" t="s">
        <v>238</v>
      </c>
      <c r="FY3657" s="5" t="s">
        <v>238</v>
      </c>
      <c r="FZ3657" s="5" t="s">
        <v>238</v>
      </c>
      <c r="GA3657" s="5" t="s">
        <v>238</v>
      </c>
      <c r="GB3657" s="5" t="s">
        <v>238</v>
      </c>
      <c r="GC3657" s="5" t="s">
        <v>238</v>
      </c>
      <c r="GD3657" s="5" t="s">
        <v>238</v>
      </c>
      <c r="GE3657" s="5" t="s">
        <v>238</v>
      </c>
      <c r="GF3657" s="5" t="s">
        <v>238</v>
      </c>
      <c r="GG3657" s="5" t="s">
        <v>238</v>
      </c>
      <c r="GH3657" s="5" t="s">
        <v>238</v>
      </c>
      <c r="GI3657" s="5" t="s">
        <v>238</v>
      </c>
      <c r="GJ3657" s="5" t="s">
        <v>238</v>
      </c>
      <c r="GK3657" s="5" t="s">
        <v>238</v>
      </c>
      <c r="GL3657" s="5" t="s">
        <v>238</v>
      </c>
      <c r="GM3657" s="5" t="s">
        <v>238</v>
      </c>
      <c r="GN3657" s="5" t="s">
        <v>238</v>
      </c>
      <c r="GO3657" s="5" t="s">
        <v>238</v>
      </c>
      <c r="GP3657" s="5" t="s">
        <v>238</v>
      </c>
      <c r="GQ3657" s="5" t="s">
        <v>238</v>
      </c>
      <c r="GR3657" s="5" t="s">
        <v>238</v>
      </c>
      <c r="GS3657" s="5" t="s">
        <v>238</v>
      </c>
      <c r="GT3657" s="5" t="s">
        <v>238</v>
      </c>
      <c r="GU3657" s="5" t="s">
        <v>238</v>
      </c>
      <c r="GV3657" s="5" t="s">
        <v>238</v>
      </c>
      <c r="GW3657" s="5" t="s">
        <v>238</v>
      </c>
      <c r="GX3657" s="5" t="s">
        <v>238</v>
      </c>
      <c r="GY3657" s="5" t="s">
        <v>238</v>
      </c>
      <c r="GZ3657" s="5" t="s">
        <v>238</v>
      </c>
      <c r="HA3657" s="5" t="s">
        <v>238</v>
      </c>
      <c r="HB3657" s="5" t="s">
        <v>238</v>
      </c>
      <c r="HC3657" s="5" t="s">
        <v>238</v>
      </c>
      <c r="HD3657" s="5" t="s">
        <v>238</v>
      </c>
      <c r="HE3657" s="5" t="s">
        <v>238</v>
      </c>
      <c r="HF3657" s="5" t="s">
        <v>238</v>
      </c>
      <c r="HG3657" s="5" t="s">
        <v>238</v>
      </c>
      <c r="HH3657" s="5" t="s">
        <v>238</v>
      </c>
      <c r="HI3657" s="5" t="s">
        <v>238</v>
      </c>
      <c r="HJ3657" s="5" t="s">
        <v>238</v>
      </c>
      <c r="HK3657" s="5" t="s">
        <v>238</v>
      </c>
      <c r="HL3657" s="5" t="s">
        <v>238</v>
      </c>
      <c r="HM3657" s="5" t="s">
        <v>264</v>
      </c>
      <c r="HN3657" s="5" t="s">
        <v>238</v>
      </c>
      <c r="HO3657" s="5" t="s">
        <v>238</v>
      </c>
      <c r="HP3657" s="5" t="s">
        <v>238</v>
      </c>
      <c r="HQ3657" s="5" t="s">
        <v>238</v>
      </c>
      <c r="HR3657" s="5" t="s">
        <v>238</v>
      </c>
      <c r="HS3657" s="5" t="s">
        <v>238</v>
      </c>
      <c r="HT3657" s="5" t="s">
        <v>238</v>
      </c>
      <c r="HU3657" s="5" t="s">
        <v>238</v>
      </c>
      <c r="HV3657" s="5" t="s">
        <v>238</v>
      </c>
      <c r="HW3657" s="5" t="s">
        <v>238</v>
      </c>
      <c r="HX3657" s="5" t="s">
        <v>238</v>
      </c>
      <c r="HY3657" s="5" t="s">
        <v>238</v>
      </c>
      <c r="HZ3657" s="5" t="s">
        <v>238</v>
      </c>
      <c r="IA3657" s="5" t="s">
        <v>238</v>
      </c>
      <c r="IB3657" s="5" t="s">
        <v>238</v>
      </c>
      <c r="IC3657" s="5" t="s">
        <v>238</v>
      </c>
      <c r="ID3657" s="5" t="s">
        <v>238</v>
      </c>
    </row>
    <row r="3658" spans="1:238" x14ac:dyDescent="0.4">
      <c r="A3658" s="5">
        <v>9376</v>
      </c>
      <c r="B3658" s="5">
        <v>1</v>
      </c>
      <c r="C3658" s="5">
        <v>1</v>
      </c>
      <c r="D3658" s="5" t="s">
        <v>484</v>
      </c>
      <c r="E3658" s="5" t="s">
        <v>485</v>
      </c>
      <c r="F3658" s="5" t="s">
        <v>248</v>
      </c>
      <c r="G3658" s="5" t="s">
        <v>4863</v>
      </c>
      <c r="H3658" s="6" t="s">
        <v>4863</v>
      </c>
      <c r="I3658" s="8">
        <f>1</f>
        <v>1</v>
      </c>
      <c r="J3658" s="5" t="s">
        <v>499</v>
      </c>
      <c r="K3658" s="8">
        <f>1</f>
        <v>1</v>
      </c>
      <c r="L3658" s="6" t="s">
        <v>242</v>
      </c>
      <c r="M3658" s="5" t="s">
        <v>267</v>
      </c>
      <c r="N3658" s="5" t="s">
        <v>482</v>
      </c>
      <c r="O3658" s="5" t="s">
        <v>238</v>
      </c>
      <c r="P3658" s="5" t="s">
        <v>238</v>
      </c>
      <c r="Q3658" s="5" t="s">
        <v>239</v>
      </c>
      <c r="R3658" s="5" t="s">
        <v>270</v>
      </c>
      <c r="S3658" s="5" t="s">
        <v>238</v>
      </c>
      <c r="T3658" s="5" t="s">
        <v>238</v>
      </c>
      <c r="U3658" s="5" t="s">
        <v>238</v>
      </c>
      <c r="V3658" s="5" t="s">
        <v>238</v>
      </c>
      <c r="W3658" s="6" t="s">
        <v>238</v>
      </c>
      <c r="X3658" s="6" t="s">
        <v>238</v>
      </c>
      <c r="Y3658" s="5" t="s">
        <v>238</v>
      </c>
      <c r="Z3658" s="6" t="s">
        <v>238</v>
      </c>
      <c r="AA3658" s="6" t="s">
        <v>243</v>
      </c>
      <c r="AB3658" s="5" t="s">
        <v>4864</v>
      </c>
      <c r="AC3658" s="5" t="s">
        <v>244</v>
      </c>
      <c r="AD3658" s="5" t="s">
        <v>245</v>
      </c>
      <c r="AE3658" s="5" t="s">
        <v>238</v>
      </c>
      <c r="AF3658" s="5" t="s">
        <v>238</v>
      </c>
      <c r="AG3658" s="5" t="s">
        <v>238</v>
      </c>
      <c r="AH3658" s="5" t="s">
        <v>238</v>
      </c>
      <c r="AI3658" s="5" t="s">
        <v>238</v>
      </c>
      <c r="AJ3658" s="5" t="s">
        <v>238</v>
      </c>
      <c r="AK3658" s="5" t="s">
        <v>238</v>
      </c>
      <c r="AL3658" s="5" t="s">
        <v>238</v>
      </c>
      <c r="AM3658" s="6" t="s">
        <v>238</v>
      </c>
      <c r="AN3658" s="6" t="s">
        <v>238</v>
      </c>
      <c r="AO3658" s="6" t="s">
        <v>238</v>
      </c>
      <c r="AP3658" s="6" t="s">
        <v>238</v>
      </c>
      <c r="AQ3658" s="5" t="s">
        <v>238</v>
      </c>
      <c r="AR3658" s="5" t="s">
        <v>488</v>
      </c>
      <c r="AS3658" s="5" t="s">
        <v>488</v>
      </c>
      <c r="AT3658" s="5" t="s">
        <v>246</v>
      </c>
      <c r="AU3658" s="5" t="s">
        <v>489</v>
      </c>
      <c r="AV3658" s="5" t="s">
        <v>247</v>
      </c>
      <c r="AW3658" s="5" t="s">
        <v>238</v>
      </c>
      <c r="AX3658" s="5" t="s">
        <v>249</v>
      </c>
      <c r="AY3658" s="5" t="s">
        <v>490</v>
      </c>
      <c r="BA3658" s="5" t="s">
        <v>238</v>
      </c>
      <c r="BC3658" s="5" t="s">
        <v>491</v>
      </c>
      <c r="BD3658" s="6" t="s">
        <v>492</v>
      </c>
      <c r="BE3658" s="5" t="s">
        <v>493</v>
      </c>
      <c r="BF3658" s="5" t="s">
        <v>493</v>
      </c>
      <c r="BG3658" s="5" t="s">
        <v>238</v>
      </c>
      <c r="BH3658" s="8">
        <f>1</f>
        <v>1</v>
      </c>
      <c r="BI3658" s="8">
        <f>1</f>
        <v>1</v>
      </c>
      <c r="BJ3658" s="5" t="s">
        <v>253</v>
      </c>
      <c r="BK3658" s="5" t="s">
        <v>254</v>
      </c>
      <c r="BL3658" s="5" t="s">
        <v>238</v>
      </c>
      <c r="BM3658" s="5" t="s">
        <v>238</v>
      </c>
      <c r="BN3658" s="5" t="s">
        <v>238</v>
      </c>
      <c r="BO3658" s="5" t="s">
        <v>238</v>
      </c>
      <c r="BP3658" s="5" t="s">
        <v>238</v>
      </c>
      <c r="BQ3658" s="5" t="s">
        <v>238</v>
      </c>
      <c r="BR3658" s="5" t="s">
        <v>238</v>
      </c>
      <c r="BS3658" s="5" t="s">
        <v>238</v>
      </c>
      <c r="BT3658" s="6" t="s">
        <v>238</v>
      </c>
      <c r="BU3658" s="5" t="s">
        <v>238</v>
      </c>
      <c r="BV3658" s="5" t="s">
        <v>238</v>
      </c>
      <c r="BW3658" s="5" t="s">
        <v>238</v>
      </c>
      <c r="BX3658" s="5" t="s">
        <v>254</v>
      </c>
      <c r="BY3658" s="5" t="s">
        <v>238</v>
      </c>
      <c r="BZ3658" s="5" t="s">
        <v>238</v>
      </c>
      <c r="CA3658" s="5" t="s">
        <v>238</v>
      </c>
      <c r="CB3658" s="5" t="s">
        <v>238</v>
      </c>
      <c r="CC3658" s="5" t="s">
        <v>238</v>
      </c>
      <c r="CD3658" s="5" t="s">
        <v>273</v>
      </c>
      <c r="CE3658" s="5" t="s">
        <v>256</v>
      </c>
      <c r="CF3658" s="5" t="s">
        <v>238</v>
      </c>
      <c r="CH3658" s="5" t="s">
        <v>494</v>
      </c>
      <c r="CI3658" s="6" t="s">
        <v>257</v>
      </c>
      <c r="CJ3658" s="5" t="s">
        <v>495</v>
      </c>
      <c r="CK3658" s="5" t="s">
        <v>258</v>
      </c>
      <c r="CL3658" s="5" t="s">
        <v>496</v>
      </c>
      <c r="CM3658" s="5" t="s">
        <v>238</v>
      </c>
      <c r="CN3658" s="5">
        <v>0</v>
      </c>
      <c r="CO3658" s="5" t="s">
        <v>497</v>
      </c>
      <c r="CP3658" s="5" t="s">
        <v>260</v>
      </c>
      <c r="CQ3658" s="5" t="s">
        <v>260</v>
      </c>
      <c r="CR3658" s="5" t="s">
        <v>261</v>
      </c>
      <c r="CS3658" s="5" t="s">
        <v>498</v>
      </c>
      <c r="CT3658" s="7">
        <f>1</f>
        <v>1</v>
      </c>
      <c r="CU3658" s="8">
        <f>1</f>
        <v>1</v>
      </c>
      <c r="CV3658" s="8">
        <f>0</f>
        <v>0</v>
      </c>
      <c r="CX3658" s="8">
        <f>1</f>
        <v>1</v>
      </c>
      <c r="CY3658" s="8">
        <f>1</f>
        <v>1</v>
      </c>
      <c r="CZ3658" s="8" t="s">
        <v>238</v>
      </c>
      <c r="DA3658" s="5" t="s">
        <v>238</v>
      </c>
      <c r="DB3658" s="5" t="s">
        <v>238</v>
      </c>
      <c r="DC3658" s="5" t="s">
        <v>238</v>
      </c>
      <c r="DD3658" s="5" t="s">
        <v>238</v>
      </c>
      <c r="DE3658" s="8">
        <f>0</f>
        <v>0</v>
      </c>
      <c r="DG3658" s="5" t="s">
        <v>238</v>
      </c>
      <c r="DH3658" s="5" t="s">
        <v>238</v>
      </c>
      <c r="DI3658" s="5" t="s">
        <v>238</v>
      </c>
      <c r="DJ3658" s="5" t="s">
        <v>238</v>
      </c>
      <c r="DK3658" s="5" t="s">
        <v>238</v>
      </c>
      <c r="DL3658" s="5" t="s">
        <v>238</v>
      </c>
      <c r="DM3658" s="8" t="s">
        <v>238</v>
      </c>
      <c r="DN3658" s="5" t="s">
        <v>238</v>
      </c>
      <c r="DO3658" s="5" t="s">
        <v>238</v>
      </c>
      <c r="DP3658" s="5" t="s">
        <v>490</v>
      </c>
      <c r="DQ3658" s="5" t="s">
        <v>490</v>
      </c>
      <c r="DR3658" s="5" t="s">
        <v>238</v>
      </c>
      <c r="DS3658" s="5" t="s">
        <v>238</v>
      </c>
      <c r="DT3658" s="5" t="s">
        <v>500</v>
      </c>
      <c r="DU3658" s="5" t="s">
        <v>3148</v>
      </c>
      <c r="DV3658" s="5" t="s">
        <v>238</v>
      </c>
      <c r="DW3658" s="5" t="s">
        <v>238</v>
      </c>
      <c r="DX3658" s="5" t="s">
        <v>238</v>
      </c>
      <c r="DY3658" s="5" t="s">
        <v>238</v>
      </c>
      <c r="DZ3658" s="5" t="s">
        <v>238</v>
      </c>
      <c r="EA3658" s="5" t="s">
        <v>238</v>
      </c>
      <c r="EB3658" s="5" t="s">
        <v>238</v>
      </c>
      <c r="EC3658" s="5" t="s">
        <v>238</v>
      </c>
      <c r="ED3658" s="5" t="s">
        <v>238</v>
      </c>
      <c r="EE3658" s="5" t="s">
        <v>238</v>
      </c>
      <c r="EF3658" s="5" t="s">
        <v>238</v>
      </c>
      <c r="EG3658" s="5" t="s">
        <v>238</v>
      </c>
      <c r="EH3658" s="5" t="s">
        <v>238</v>
      </c>
      <c r="EI3658" s="5" t="s">
        <v>238</v>
      </c>
      <c r="EJ3658" s="5" t="s">
        <v>238</v>
      </c>
      <c r="EK3658" s="5" t="s">
        <v>238</v>
      </c>
      <c r="EL3658" s="5" t="s">
        <v>238</v>
      </c>
      <c r="EM3658" s="5" t="s">
        <v>238</v>
      </c>
      <c r="EN3658" s="5" t="s">
        <v>238</v>
      </c>
      <c r="EO3658" s="5" t="s">
        <v>238</v>
      </c>
      <c r="EP3658" s="5" t="s">
        <v>238</v>
      </c>
      <c r="EQ3658" s="5" t="s">
        <v>238</v>
      </c>
      <c r="ER3658" s="5" t="s">
        <v>238</v>
      </c>
      <c r="ES3658" s="5" t="s">
        <v>238</v>
      </c>
      <c r="ET3658" s="5" t="s">
        <v>238</v>
      </c>
      <c r="EU3658" s="5" t="s">
        <v>238</v>
      </c>
      <c r="EV3658" s="5" t="s">
        <v>238</v>
      </c>
      <c r="EW3658" s="5" t="s">
        <v>238</v>
      </c>
      <c r="EX3658" s="5" t="s">
        <v>238</v>
      </c>
      <c r="EY3658" s="5" t="s">
        <v>238</v>
      </c>
      <c r="EZ3658" s="5" t="s">
        <v>238</v>
      </c>
      <c r="FA3658" s="5" t="s">
        <v>238</v>
      </c>
      <c r="FB3658" s="5" t="s">
        <v>238</v>
      </c>
      <c r="FC3658" s="5" t="s">
        <v>238</v>
      </c>
      <c r="FD3658" s="5" t="s">
        <v>238</v>
      </c>
      <c r="FE3658" s="5" t="s">
        <v>238</v>
      </c>
      <c r="FF3658" s="5" t="s">
        <v>238</v>
      </c>
      <c r="FG3658" s="5" t="s">
        <v>238</v>
      </c>
      <c r="FH3658" s="5" t="s">
        <v>238</v>
      </c>
      <c r="FI3658" s="5" t="s">
        <v>238</v>
      </c>
      <c r="FJ3658" s="5" t="s">
        <v>238</v>
      </c>
      <c r="FK3658" s="5" t="s">
        <v>238</v>
      </c>
      <c r="FL3658" s="5" t="s">
        <v>238</v>
      </c>
      <c r="FM3658" s="5" t="s">
        <v>238</v>
      </c>
      <c r="FN3658" s="5" t="s">
        <v>238</v>
      </c>
      <c r="FO3658" s="5" t="s">
        <v>238</v>
      </c>
      <c r="FP3658" s="5" t="s">
        <v>238</v>
      </c>
      <c r="FQ3658" s="5" t="s">
        <v>238</v>
      </c>
      <c r="FR3658" s="5" t="s">
        <v>238</v>
      </c>
      <c r="FS3658" s="5" t="s">
        <v>238</v>
      </c>
      <c r="FT3658" s="5" t="s">
        <v>238</v>
      </c>
      <c r="FU3658" s="5" t="s">
        <v>238</v>
      </c>
      <c r="FV3658" s="5" t="s">
        <v>238</v>
      </c>
      <c r="FW3658" s="5" t="s">
        <v>238</v>
      </c>
      <c r="FX3658" s="5" t="s">
        <v>238</v>
      </c>
      <c r="FY3658" s="5" t="s">
        <v>238</v>
      </c>
      <c r="FZ3658" s="5" t="s">
        <v>238</v>
      </c>
      <c r="GA3658" s="5" t="s">
        <v>238</v>
      </c>
      <c r="GB3658" s="5" t="s">
        <v>238</v>
      </c>
      <c r="GC3658" s="5" t="s">
        <v>238</v>
      </c>
      <c r="GD3658" s="5" t="s">
        <v>238</v>
      </c>
      <c r="GE3658" s="5" t="s">
        <v>238</v>
      </c>
      <c r="GF3658" s="5" t="s">
        <v>238</v>
      </c>
      <c r="GG3658" s="5" t="s">
        <v>238</v>
      </c>
      <c r="GH3658" s="5" t="s">
        <v>238</v>
      </c>
      <c r="GI3658" s="5" t="s">
        <v>238</v>
      </c>
      <c r="GJ3658" s="5" t="s">
        <v>238</v>
      </c>
      <c r="GK3658" s="5" t="s">
        <v>238</v>
      </c>
      <c r="GL3658" s="5" t="s">
        <v>238</v>
      </c>
      <c r="GM3658" s="5" t="s">
        <v>238</v>
      </c>
      <c r="GN3658" s="5" t="s">
        <v>238</v>
      </c>
      <c r="GO3658" s="5" t="s">
        <v>238</v>
      </c>
      <c r="GP3658" s="5" t="s">
        <v>238</v>
      </c>
      <c r="GQ3658" s="5" t="s">
        <v>238</v>
      </c>
      <c r="GR3658" s="5" t="s">
        <v>238</v>
      </c>
      <c r="GS3658" s="5" t="s">
        <v>238</v>
      </c>
      <c r="GT3658" s="5" t="s">
        <v>238</v>
      </c>
      <c r="GU3658" s="5" t="s">
        <v>238</v>
      </c>
      <c r="GV3658" s="5" t="s">
        <v>238</v>
      </c>
      <c r="GW3658" s="5" t="s">
        <v>238</v>
      </c>
      <c r="GX3658" s="5" t="s">
        <v>238</v>
      </c>
      <c r="GY3658" s="5" t="s">
        <v>238</v>
      </c>
      <c r="GZ3658" s="5" t="s">
        <v>238</v>
      </c>
      <c r="HA3658" s="5" t="s">
        <v>238</v>
      </c>
      <c r="HB3658" s="5" t="s">
        <v>238</v>
      </c>
      <c r="HC3658" s="5" t="s">
        <v>238</v>
      </c>
      <c r="HD3658" s="5" t="s">
        <v>238</v>
      </c>
      <c r="HE3658" s="5" t="s">
        <v>238</v>
      </c>
      <c r="HF3658" s="5" t="s">
        <v>238</v>
      </c>
      <c r="HG3658" s="5" t="s">
        <v>238</v>
      </c>
      <c r="HH3658" s="5" t="s">
        <v>238</v>
      </c>
      <c r="HI3658" s="5" t="s">
        <v>238</v>
      </c>
      <c r="HJ3658" s="5" t="s">
        <v>238</v>
      </c>
      <c r="HK3658" s="5" t="s">
        <v>238</v>
      </c>
      <c r="HL3658" s="5" t="s">
        <v>238</v>
      </c>
      <c r="HM3658" s="5" t="s">
        <v>264</v>
      </c>
      <c r="HN3658" s="5" t="s">
        <v>238</v>
      </c>
      <c r="HO3658" s="5" t="s">
        <v>238</v>
      </c>
      <c r="HP3658" s="5" t="s">
        <v>238</v>
      </c>
      <c r="HQ3658" s="5" t="s">
        <v>238</v>
      </c>
      <c r="HR3658" s="5" t="s">
        <v>238</v>
      </c>
      <c r="HS3658" s="5" t="s">
        <v>238</v>
      </c>
      <c r="HT3658" s="5" t="s">
        <v>238</v>
      </c>
      <c r="HU3658" s="5" t="s">
        <v>238</v>
      </c>
      <c r="HV3658" s="5" t="s">
        <v>238</v>
      </c>
      <c r="HW3658" s="5" t="s">
        <v>238</v>
      </c>
      <c r="HX3658" s="5" t="s">
        <v>238</v>
      </c>
      <c r="HY3658" s="5" t="s">
        <v>238</v>
      </c>
      <c r="HZ3658" s="5" t="s">
        <v>238</v>
      </c>
      <c r="IA3658" s="5" t="s">
        <v>238</v>
      </c>
      <c r="IB3658" s="5" t="s">
        <v>238</v>
      </c>
      <c r="IC3658" s="5" t="s">
        <v>238</v>
      </c>
      <c r="ID3658" s="5" t="s">
        <v>238</v>
      </c>
    </row>
    <row r="3659" spans="1:238" x14ac:dyDescent="0.4">
      <c r="A3659" s="5">
        <v>9377</v>
      </c>
      <c r="B3659" s="5">
        <v>1</v>
      </c>
      <c r="C3659" s="5">
        <v>1</v>
      </c>
      <c r="D3659" s="5" t="s">
        <v>484</v>
      </c>
      <c r="E3659" s="5" t="s">
        <v>485</v>
      </c>
      <c r="F3659" s="5" t="s">
        <v>248</v>
      </c>
      <c r="G3659" s="5" t="s">
        <v>5206</v>
      </c>
      <c r="H3659" s="6" t="s">
        <v>5207</v>
      </c>
      <c r="I3659" s="8">
        <f>1</f>
        <v>1</v>
      </c>
      <c r="J3659" s="5" t="s">
        <v>499</v>
      </c>
      <c r="K3659" s="8">
        <f>1</f>
        <v>1</v>
      </c>
      <c r="L3659" s="6" t="s">
        <v>242</v>
      </c>
      <c r="M3659" s="5" t="s">
        <v>267</v>
      </c>
      <c r="N3659" s="5" t="s">
        <v>482</v>
      </c>
      <c r="O3659" s="5" t="s">
        <v>238</v>
      </c>
      <c r="P3659" s="5" t="s">
        <v>238</v>
      </c>
      <c r="Q3659" s="5" t="s">
        <v>239</v>
      </c>
      <c r="R3659" s="5" t="s">
        <v>270</v>
      </c>
      <c r="S3659" s="5" t="s">
        <v>238</v>
      </c>
      <c r="T3659" s="5" t="s">
        <v>238</v>
      </c>
      <c r="U3659" s="5" t="s">
        <v>238</v>
      </c>
      <c r="V3659" s="5" t="s">
        <v>238</v>
      </c>
      <c r="W3659" s="6" t="s">
        <v>238</v>
      </c>
      <c r="X3659" s="6" t="s">
        <v>238</v>
      </c>
      <c r="Y3659" s="5" t="s">
        <v>238</v>
      </c>
      <c r="Z3659" s="6" t="s">
        <v>238</v>
      </c>
      <c r="AA3659" s="6" t="s">
        <v>243</v>
      </c>
      <c r="AB3659" s="5" t="s">
        <v>486</v>
      </c>
      <c r="AC3659" s="5" t="s">
        <v>244</v>
      </c>
      <c r="AD3659" s="5" t="s">
        <v>245</v>
      </c>
      <c r="AE3659" s="5" t="s">
        <v>238</v>
      </c>
      <c r="AF3659" s="5" t="s">
        <v>238</v>
      </c>
      <c r="AG3659" s="5" t="s">
        <v>238</v>
      </c>
      <c r="AH3659" s="5" t="s">
        <v>238</v>
      </c>
      <c r="AI3659" s="5" t="s">
        <v>238</v>
      </c>
      <c r="AJ3659" s="5" t="s">
        <v>238</v>
      </c>
      <c r="AK3659" s="5" t="s">
        <v>238</v>
      </c>
      <c r="AL3659" s="5" t="s">
        <v>238</v>
      </c>
      <c r="AM3659" s="6" t="s">
        <v>238</v>
      </c>
      <c r="AN3659" s="6" t="s">
        <v>238</v>
      </c>
      <c r="AO3659" s="6" t="s">
        <v>238</v>
      </c>
      <c r="AP3659" s="6" t="s">
        <v>238</v>
      </c>
      <c r="AQ3659" s="5" t="s">
        <v>238</v>
      </c>
      <c r="AR3659" s="5" t="s">
        <v>488</v>
      </c>
      <c r="AS3659" s="5" t="s">
        <v>488</v>
      </c>
      <c r="AT3659" s="5" t="s">
        <v>246</v>
      </c>
      <c r="AU3659" s="5" t="s">
        <v>489</v>
      </c>
      <c r="AV3659" s="5" t="s">
        <v>247</v>
      </c>
      <c r="AW3659" s="5" t="s">
        <v>238</v>
      </c>
      <c r="AX3659" s="5" t="s">
        <v>249</v>
      </c>
      <c r="AY3659" s="5" t="s">
        <v>490</v>
      </c>
      <c r="BA3659" s="5" t="s">
        <v>238</v>
      </c>
      <c r="BC3659" s="5" t="s">
        <v>491</v>
      </c>
      <c r="BD3659" s="6" t="s">
        <v>492</v>
      </c>
      <c r="BE3659" s="5" t="s">
        <v>493</v>
      </c>
      <c r="BF3659" s="5" t="s">
        <v>493</v>
      </c>
      <c r="BG3659" s="5" t="s">
        <v>238</v>
      </c>
      <c r="BH3659" s="8">
        <f>1</f>
        <v>1</v>
      </c>
      <c r="BI3659" s="8">
        <f>1</f>
        <v>1</v>
      </c>
      <c r="BJ3659" s="5" t="s">
        <v>253</v>
      </c>
      <c r="BK3659" s="5" t="s">
        <v>254</v>
      </c>
      <c r="BL3659" s="5" t="s">
        <v>238</v>
      </c>
      <c r="BM3659" s="5" t="s">
        <v>238</v>
      </c>
      <c r="BN3659" s="5" t="s">
        <v>238</v>
      </c>
      <c r="BO3659" s="5" t="s">
        <v>238</v>
      </c>
      <c r="BP3659" s="5" t="s">
        <v>238</v>
      </c>
      <c r="BQ3659" s="5" t="s">
        <v>238</v>
      </c>
      <c r="BR3659" s="5" t="s">
        <v>238</v>
      </c>
      <c r="BS3659" s="5" t="s">
        <v>238</v>
      </c>
      <c r="BT3659" s="6" t="s">
        <v>238</v>
      </c>
      <c r="BU3659" s="5" t="s">
        <v>238</v>
      </c>
      <c r="BV3659" s="5" t="s">
        <v>238</v>
      </c>
      <c r="BW3659" s="5" t="s">
        <v>238</v>
      </c>
      <c r="BX3659" s="5" t="s">
        <v>254</v>
      </c>
      <c r="BY3659" s="5" t="s">
        <v>238</v>
      </c>
      <c r="BZ3659" s="5" t="s">
        <v>238</v>
      </c>
      <c r="CA3659" s="5" t="s">
        <v>238</v>
      </c>
      <c r="CB3659" s="5" t="s">
        <v>238</v>
      </c>
      <c r="CC3659" s="5" t="s">
        <v>238</v>
      </c>
      <c r="CD3659" s="5" t="s">
        <v>273</v>
      </c>
      <c r="CE3659" s="5" t="s">
        <v>256</v>
      </c>
      <c r="CF3659" s="5" t="s">
        <v>238</v>
      </c>
      <c r="CH3659" s="5" t="s">
        <v>494</v>
      </c>
      <c r="CI3659" s="6" t="s">
        <v>257</v>
      </c>
      <c r="CJ3659" s="5" t="s">
        <v>495</v>
      </c>
      <c r="CK3659" s="5" t="s">
        <v>258</v>
      </c>
      <c r="CL3659" s="5" t="s">
        <v>496</v>
      </c>
      <c r="CM3659" s="5" t="s">
        <v>238</v>
      </c>
      <c r="CN3659" s="5">
        <v>0</v>
      </c>
      <c r="CO3659" s="5" t="s">
        <v>497</v>
      </c>
      <c r="CP3659" s="5" t="s">
        <v>260</v>
      </c>
      <c r="CQ3659" s="5" t="s">
        <v>260</v>
      </c>
      <c r="CR3659" s="5" t="s">
        <v>261</v>
      </c>
      <c r="CS3659" s="5" t="s">
        <v>498</v>
      </c>
      <c r="CT3659" s="7">
        <f>1</f>
        <v>1</v>
      </c>
      <c r="CU3659" s="8">
        <f>1</f>
        <v>1</v>
      </c>
      <c r="CV3659" s="8">
        <f>0</f>
        <v>0</v>
      </c>
      <c r="CX3659" s="8">
        <f>1</f>
        <v>1</v>
      </c>
      <c r="CY3659" s="8">
        <f>1</f>
        <v>1</v>
      </c>
      <c r="CZ3659" s="8" t="s">
        <v>238</v>
      </c>
      <c r="DA3659" s="5" t="s">
        <v>238</v>
      </c>
      <c r="DB3659" s="5" t="s">
        <v>238</v>
      </c>
      <c r="DC3659" s="5" t="s">
        <v>238</v>
      </c>
      <c r="DD3659" s="5" t="s">
        <v>238</v>
      </c>
      <c r="DE3659" s="8">
        <f>0</f>
        <v>0</v>
      </c>
      <c r="DG3659" s="5" t="s">
        <v>238</v>
      </c>
      <c r="DH3659" s="5" t="s">
        <v>238</v>
      </c>
      <c r="DI3659" s="5" t="s">
        <v>238</v>
      </c>
      <c r="DJ3659" s="5" t="s">
        <v>238</v>
      </c>
      <c r="DK3659" s="5" t="s">
        <v>238</v>
      </c>
      <c r="DL3659" s="5" t="s">
        <v>238</v>
      </c>
      <c r="DM3659" s="8" t="s">
        <v>238</v>
      </c>
      <c r="DN3659" s="5" t="s">
        <v>238</v>
      </c>
      <c r="DO3659" s="5" t="s">
        <v>238</v>
      </c>
      <c r="DP3659" s="5" t="s">
        <v>490</v>
      </c>
      <c r="DQ3659" s="5" t="s">
        <v>490</v>
      </c>
      <c r="DR3659" s="5" t="s">
        <v>238</v>
      </c>
      <c r="DS3659" s="5" t="s">
        <v>238</v>
      </c>
      <c r="DT3659" s="5" t="s">
        <v>500</v>
      </c>
      <c r="DU3659" s="5" t="s">
        <v>930</v>
      </c>
      <c r="DV3659" s="5" t="s">
        <v>238</v>
      </c>
      <c r="DW3659" s="5" t="s">
        <v>238</v>
      </c>
      <c r="DX3659" s="5" t="s">
        <v>238</v>
      </c>
      <c r="DY3659" s="5" t="s">
        <v>238</v>
      </c>
      <c r="DZ3659" s="5" t="s">
        <v>238</v>
      </c>
      <c r="EA3659" s="5" t="s">
        <v>238</v>
      </c>
      <c r="EB3659" s="5" t="s">
        <v>238</v>
      </c>
      <c r="EC3659" s="5" t="s">
        <v>238</v>
      </c>
      <c r="ED3659" s="5" t="s">
        <v>238</v>
      </c>
      <c r="EE3659" s="5" t="s">
        <v>238</v>
      </c>
      <c r="EF3659" s="5" t="s">
        <v>238</v>
      </c>
      <c r="EG3659" s="5" t="s">
        <v>238</v>
      </c>
      <c r="EH3659" s="5" t="s">
        <v>238</v>
      </c>
      <c r="EI3659" s="5" t="s">
        <v>238</v>
      </c>
      <c r="EJ3659" s="5" t="s">
        <v>238</v>
      </c>
      <c r="EK3659" s="5" t="s">
        <v>238</v>
      </c>
      <c r="EL3659" s="5" t="s">
        <v>238</v>
      </c>
      <c r="EM3659" s="5" t="s">
        <v>238</v>
      </c>
      <c r="EN3659" s="5" t="s">
        <v>238</v>
      </c>
      <c r="EO3659" s="5" t="s">
        <v>238</v>
      </c>
      <c r="EP3659" s="5" t="s">
        <v>238</v>
      </c>
      <c r="EQ3659" s="5" t="s">
        <v>238</v>
      </c>
      <c r="ER3659" s="5" t="s">
        <v>238</v>
      </c>
      <c r="ES3659" s="5" t="s">
        <v>238</v>
      </c>
      <c r="ET3659" s="5" t="s">
        <v>238</v>
      </c>
      <c r="EU3659" s="5" t="s">
        <v>238</v>
      </c>
      <c r="EV3659" s="5" t="s">
        <v>238</v>
      </c>
      <c r="EW3659" s="5" t="s">
        <v>238</v>
      </c>
      <c r="EX3659" s="5" t="s">
        <v>238</v>
      </c>
      <c r="EY3659" s="5" t="s">
        <v>238</v>
      </c>
      <c r="EZ3659" s="5" t="s">
        <v>238</v>
      </c>
      <c r="FA3659" s="5" t="s">
        <v>238</v>
      </c>
      <c r="FB3659" s="5" t="s">
        <v>238</v>
      </c>
      <c r="FC3659" s="5" t="s">
        <v>238</v>
      </c>
      <c r="FD3659" s="5" t="s">
        <v>238</v>
      </c>
      <c r="FE3659" s="5" t="s">
        <v>238</v>
      </c>
      <c r="FF3659" s="5" t="s">
        <v>238</v>
      </c>
      <c r="FG3659" s="5" t="s">
        <v>238</v>
      </c>
      <c r="FH3659" s="5" t="s">
        <v>238</v>
      </c>
      <c r="FI3659" s="5" t="s">
        <v>238</v>
      </c>
      <c r="FJ3659" s="5" t="s">
        <v>238</v>
      </c>
      <c r="FK3659" s="5" t="s">
        <v>238</v>
      </c>
      <c r="FL3659" s="5" t="s">
        <v>238</v>
      </c>
      <c r="FM3659" s="5" t="s">
        <v>238</v>
      </c>
      <c r="FN3659" s="5" t="s">
        <v>238</v>
      </c>
      <c r="FO3659" s="5" t="s">
        <v>238</v>
      </c>
      <c r="FP3659" s="5" t="s">
        <v>238</v>
      </c>
      <c r="FQ3659" s="5" t="s">
        <v>238</v>
      </c>
      <c r="FR3659" s="5" t="s">
        <v>238</v>
      </c>
      <c r="FS3659" s="5" t="s">
        <v>238</v>
      </c>
      <c r="FT3659" s="5" t="s">
        <v>238</v>
      </c>
      <c r="FU3659" s="5" t="s">
        <v>238</v>
      </c>
      <c r="FV3659" s="5" t="s">
        <v>238</v>
      </c>
      <c r="FW3659" s="5" t="s">
        <v>238</v>
      </c>
      <c r="FX3659" s="5" t="s">
        <v>238</v>
      </c>
      <c r="FY3659" s="5" t="s">
        <v>238</v>
      </c>
      <c r="FZ3659" s="5" t="s">
        <v>238</v>
      </c>
      <c r="GA3659" s="5" t="s">
        <v>238</v>
      </c>
      <c r="GB3659" s="5" t="s">
        <v>238</v>
      </c>
      <c r="GC3659" s="5" t="s">
        <v>238</v>
      </c>
      <c r="GD3659" s="5" t="s">
        <v>238</v>
      </c>
      <c r="GE3659" s="5" t="s">
        <v>238</v>
      </c>
      <c r="GF3659" s="5" t="s">
        <v>238</v>
      </c>
      <c r="GG3659" s="5" t="s">
        <v>238</v>
      </c>
      <c r="GH3659" s="5" t="s">
        <v>238</v>
      </c>
      <c r="GI3659" s="5" t="s">
        <v>238</v>
      </c>
      <c r="GJ3659" s="5" t="s">
        <v>238</v>
      </c>
      <c r="GK3659" s="5" t="s">
        <v>238</v>
      </c>
      <c r="GL3659" s="5" t="s">
        <v>238</v>
      </c>
      <c r="GM3659" s="5" t="s">
        <v>238</v>
      </c>
      <c r="GN3659" s="5" t="s">
        <v>238</v>
      </c>
      <c r="GO3659" s="5" t="s">
        <v>238</v>
      </c>
      <c r="GP3659" s="5" t="s">
        <v>238</v>
      </c>
      <c r="GQ3659" s="5" t="s">
        <v>238</v>
      </c>
      <c r="GR3659" s="5" t="s">
        <v>238</v>
      </c>
      <c r="GS3659" s="5" t="s">
        <v>238</v>
      </c>
      <c r="GT3659" s="5" t="s">
        <v>238</v>
      </c>
      <c r="GU3659" s="5" t="s">
        <v>238</v>
      </c>
      <c r="GV3659" s="5" t="s">
        <v>238</v>
      </c>
      <c r="GW3659" s="5" t="s">
        <v>238</v>
      </c>
      <c r="GX3659" s="5" t="s">
        <v>238</v>
      </c>
      <c r="GY3659" s="5" t="s">
        <v>238</v>
      </c>
      <c r="GZ3659" s="5" t="s">
        <v>238</v>
      </c>
      <c r="HA3659" s="5" t="s">
        <v>238</v>
      </c>
      <c r="HB3659" s="5" t="s">
        <v>238</v>
      </c>
      <c r="HC3659" s="5" t="s">
        <v>238</v>
      </c>
      <c r="HD3659" s="5" t="s">
        <v>238</v>
      </c>
      <c r="HE3659" s="5" t="s">
        <v>238</v>
      </c>
      <c r="HF3659" s="5" t="s">
        <v>238</v>
      </c>
      <c r="HG3659" s="5" t="s">
        <v>238</v>
      </c>
      <c r="HH3659" s="5" t="s">
        <v>238</v>
      </c>
      <c r="HI3659" s="5" t="s">
        <v>238</v>
      </c>
      <c r="HJ3659" s="5" t="s">
        <v>238</v>
      </c>
      <c r="HK3659" s="5" t="s">
        <v>238</v>
      </c>
      <c r="HL3659" s="5" t="s">
        <v>238</v>
      </c>
      <c r="HM3659" s="5" t="s">
        <v>264</v>
      </c>
      <c r="HN3659" s="5" t="s">
        <v>238</v>
      </c>
      <c r="HO3659" s="5" t="s">
        <v>238</v>
      </c>
      <c r="HP3659" s="5" t="s">
        <v>238</v>
      </c>
      <c r="HQ3659" s="5" t="s">
        <v>238</v>
      </c>
      <c r="HR3659" s="5" t="s">
        <v>238</v>
      </c>
      <c r="HS3659" s="5" t="s">
        <v>238</v>
      </c>
      <c r="HT3659" s="5" t="s">
        <v>238</v>
      </c>
      <c r="HU3659" s="5" t="s">
        <v>238</v>
      </c>
      <c r="HV3659" s="5" t="s">
        <v>238</v>
      </c>
      <c r="HW3659" s="5" t="s">
        <v>238</v>
      </c>
      <c r="HX3659" s="5" t="s">
        <v>238</v>
      </c>
      <c r="HY3659" s="5" t="s">
        <v>238</v>
      </c>
      <c r="HZ3659" s="5" t="s">
        <v>238</v>
      </c>
      <c r="IA3659" s="5" t="s">
        <v>238</v>
      </c>
      <c r="IB3659" s="5" t="s">
        <v>238</v>
      </c>
      <c r="IC3659" s="5" t="s">
        <v>238</v>
      </c>
      <c r="ID3659" s="5" t="s">
        <v>238</v>
      </c>
    </row>
    <row r="3660" spans="1:238" x14ac:dyDescent="0.4">
      <c r="A3660" s="5">
        <v>9378</v>
      </c>
      <c r="B3660" s="5">
        <v>1</v>
      </c>
      <c r="C3660" s="5">
        <v>1</v>
      </c>
      <c r="D3660" s="5" t="s">
        <v>484</v>
      </c>
      <c r="E3660" s="5" t="s">
        <v>485</v>
      </c>
      <c r="F3660" s="5" t="s">
        <v>248</v>
      </c>
      <c r="G3660" s="5" t="s">
        <v>4415</v>
      </c>
      <c r="H3660" s="6" t="s">
        <v>4416</v>
      </c>
      <c r="I3660" s="8">
        <f>1</f>
        <v>1</v>
      </c>
      <c r="J3660" s="5" t="s">
        <v>499</v>
      </c>
      <c r="K3660" s="8">
        <f>1</f>
        <v>1</v>
      </c>
      <c r="L3660" s="6" t="s">
        <v>242</v>
      </c>
      <c r="M3660" s="5" t="s">
        <v>267</v>
      </c>
      <c r="N3660" s="5" t="s">
        <v>482</v>
      </c>
      <c r="O3660" s="5" t="s">
        <v>238</v>
      </c>
      <c r="P3660" s="5" t="s">
        <v>238</v>
      </c>
      <c r="Q3660" s="5" t="s">
        <v>239</v>
      </c>
      <c r="R3660" s="5" t="s">
        <v>270</v>
      </c>
      <c r="S3660" s="5" t="s">
        <v>238</v>
      </c>
      <c r="T3660" s="5" t="s">
        <v>238</v>
      </c>
      <c r="U3660" s="5" t="s">
        <v>238</v>
      </c>
      <c r="V3660" s="5" t="s">
        <v>238</v>
      </c>
      <c r="W3660" s="6" t="s">
        <v>238</v>
      </c>
      <c r="X3660" s="6" t="s">
        <v>238</v>
      </c>
      <c r="Y3660" s="5" t="s">
        <v>238</v>
      </c>
      <c r="Z3660" s="6" t="s">
        <v>238</v>
      </c>
      <c r="AA3660" s="6" t="s">
        <v>243</v>
      </c>
      <c r="AB3660" s="5" t="s">
        <v>486</v>
      </c>
      <c r="AC3660" s="5" t="s">
        <v>244</v>
      </c>
      <c r="AD3660" s="5" t="s">
        <v>245</v>
      </c>
      <c r="AE3660" s="5" t="s">
        <v>238</v>
      </c>
      <c r="AF3660" s="5" t="s">
        <v>238</v>
      </c>
      <c r="AG3660" s="5" t="s">
        <v>238</v>
      </c>
      <c r="AH3660" s="5" t="s">
        <v>238</v>
      </c>
      <c r="AI3660" s="5" t="s">
        <v>238</v>
      </c>
      <c r="AJ3660" s="5" t="s">
        <v>238</v>
      </c>
      <c r="AK3660" s="5" t="s">
        <v>238</v>
      </c>
      <c r="AL3660" s="5" t="s">
        <v>238</v>
      </c>
      <c r="AM3660" s="6" t="s">
        <v>238</v>
      </c>
      <c r="AN3660" s="6" t="s">
        <v>238</v>
      </c>
      <c r="AO3660" s="6" t="s">
        <v>238</v>
      </c>
      <c r="AP3660" s="6" t="s">
        <v>238</v>
      </c>
      <c r="AQ3660" s="5" t="s">
        <v>238</v>
      </c>
      <c r="AR3660" s="5" t="s">
        <v>488</v>
      </c>
      <c r="AS3660" s="5" t="s">
        <v>488</v>
      </c>
      <c r="AT3660" s="5" t="s">
        <v>246</v>
      </c>
      <c r="AU3660" s="5" t="s">
        <v>489</v>
      </c>
      <c r="AV3660" s="5" t="s">
        <v>247</v>
      </c>
      <c r="AW3660" s="5" t="s">
        <v>238</v>
      </c>
      <c r="AX3660" s="5" t="s">
        <v>249</v>
      </c>
      <c r="AY3660" s="5" t="s">
        <v>490</v>
      </c>
      <c r="BA3660" s="5" t="s">
        <v>238</v>
      </c>
      <c r="BC3660" s="5" t="s">
        <v>491</v>
      </c>
      <c r="BD3660" s="6" t="s">
        <v>492</v>
      </c>
      <c r="BE3660" s="5" t="s">
        <v>493</v>
      </c>
      <c r="BF3660" s="5" t="s">
        <v>493</v>
      </c>
      <c r="BG3660" s="5" t="s">
        <v>238</v>
      </c>
      <c r="BH3660" s="8">
        <f>1</f>
        <v>1</v>
      </c>
      <c r="BI3660" s="8">
        <f>1</f>
        <v>1</v>
      </c>
      <c r="BJ3660" s="5" t="s">
        <v>253</v>
      </c>
      <c r="BK3660" s="5" t="s">
        <v>254</v>
      </c>
      <c r="BL3660" s="5" t="s">
        <v>238</v>
      </c>
      <c r="BM3660" s="5" t="s">
        <v>238</v>
      </c>
      <c r="BN3660" s="5" t="s">
        <v>238</v>
      </c>
      <c r="BO3660" s="5" t="s">
        <v>238</v>
      </c>
      <c r="BP3660" s="5" t="s">
        <v>238</v>
      </c>
      <c r="BQ3660" s="5" t="s">
        <v>238</v>
      </c>
      <c r="BR3660" s="5" t="s">
        <v>238</v>
      </c>
      <c r="BS3660" s="5" t="s">
        <v>238</v>
      </c>
      <c r="BT3660" s="6" t="s">
        <v>238</v>
      </c>
      <c r="BU3660" s="5" t="s">
        <v>238</v>
      </c>
      <c r="BV3660" s="5" t="s">
        <v>238</v>
      </c>
      <c r="BW3660" s="5" t="s">
        <v>238</v>
      </c>
      <c r="BX3660" s="5" t="s">
        <v>254</v>
      </c>
      <c r="BY3660" s="5" t="s">
        <v>238</v>
      </c>
      <c r="BZ3660" s="5" t="s">
        <v>238</v>
      </c>
      <c r="CA3660" s="5" t="s">
        <v>238</v>
      </c>
      <c r="CB3660" s="5" t="s">
        <v>238</v>
      </c>
      <c r="CC3660" s="5" t="s">
        <v>238</v>
      </c>
      <c r="CD3660" s="5" t="s">
        <v>273</v>
      </c>
      <c r="CE3660" s="5" t="s">
        <v>256</v>
      </c>
      <c r="CF3660" s="5" t="s">
        <v>238</v>
      </c>
      <c r="CH3660" s="5" t="s">
        <v>494</v>
      </c>
      <c r="CI3660" s="6" t="s">
        <v>257</v>
      </c>
      <c r="CJ3660" s="5" t="s">
        <v>495</v>
      </c>
      <c r="CK3660" s="5" t="s">
        <v>258</v>
      </c>
      <c r="CL3660" s="5" t="s">
        <v>496</v>
      </c>
      <c r="CM3660" s="5" t="s">
        <v>238</v>
      </c>
      <c r="CN3660" s="5">
        <v>0</v>
      </c>
      <c r="CO3660" s="5" t="s">
        <v>497</v>
      </c>
      <c r="CP3660" s="5" t="s">
        <v>260</v>
      </c>
      <c r="CQ3660" s="5" t="s">
        <v>260</v>
      </c>
      <c r="CR3660" s="5" t="s">
        <v>261</v>
      </c>
      <c r="CS3660" s="5" t="s">
        <v>498</v>
      </c>
      <c r="CT3660" s="7">
        <f>1</f>
        <v>1</v>
      </c>
      <c r="CU3660" s="8">
        <f>1</f>
        <v>1</v>
      </c>
      <c r="CV3660" s="8">
        <f>0</f>
        <v>0</v>
      </c>
      <c r="CX3660" s="8">
        <f>1</f>
        <v>1</v>
      </c>
      <c r="CY3660" s="8">
        <f>1</f>
        <v>1</v>
      </c>
      <c r="CZ3660" s="8" t="s">
        <v>238</v>
      </c>
      <c r="DA3660" s="5" t="s">
        <v>238</v>
      </c>
      <c r="DB3660" s="5" t="s">
        <v>238</v>
      </c>
      <c r="DC3660" s="5" t="s">
        <v>238</v>
      </c>
      <c r="DD3660" s="5" t="s">
        <v>238</v>
      </c>
      <c r="DE3660" s="8">
        <f>0</f>
        <v>0</v>
      </c>
      <c r="DG3660" s="5" t="s">
        <v>238</v>
      </c>
      <c r="DH3660" s="5" t="s">
        <v>238</v>
      </c>
      <c r="DI3660" s="5" t="s">
        <v>238</v>
      </c>
      <c r="DJ3660" s="5" t="s">
        <v>238</v>
      </c>
      <c r="DK3660" s="5" t="s">
        <v>238</v>
      </c>
      <c r="DL3660" s="5" t="s">
        <v>238</v>
      </c>
      <c r="DM3660" s="8" t="s">
        <v>238</v>
      </c>
      <c r="DN3660" s="5" t="s">
        <v>238</v>
      </c>
      <c r="DO3660" s="5" t="s">
        <v>238</v>
      </c>
      <c r="DP3660" s="5" t="s">
        <v>490</v>
      </c>
      <c r="DQ3660" s="5" t="s">
        <v>490</v>
      </c>
      <c r="DR3660" s="5" t="s">
        <v>238</v>
      </c>
      <c r="DS3660" s="5" t="s">
        <v>238</v>
      </c>
      <c r="DT3660" s="5" t="s">
        <v>500</v>
      </c>
      <c r="DU3660" s="5" t="s">
        <v>3176</v>
      </c>
      <c r="DV3660" s="5" t="s">
        <v>238</v>
      </c>
      <c r="DW3660" s="5" t="s">
        <v>238</v>
      </c>
      <c r="DX3660" s="5" t="s">
        <v>238</v>
      </c>
      <c r="DY3660" s="5" t="s">
        <v>238</v>
      </c>
      <c r="DZ3660" s="5" t="s">
        <v>238</v>
      </c>
      <c r="EA3660" s="5" t="s">
        <v>238</v>
      </c>
      <c r="EB3660" s="5" t="s">
        <v>238</v>
      </c>
      <c r="EC3660" s="5" t="s">
        <v>238</v>
      </c>
      <c r="ED3660" s="5" t="s">
        <v>238</v>
      </c>
      <c r="EE3660" s="5" t="s">
        <v>238</v>
      </c>
      <c r="EF3660" s="5" t="s">
        <v>238</v>
      </c>
      <c r="EG3660" s="5" t="s">
        <v>238</v>
      </c>
      <c r="EH3660" s="5" t="s">
        <v>238</v>
      </c>
      <c r="EI3660" s="5" t="s">
        <v>238</v>
      </c>
      <c r="EJ3660" s="5" t="s">
        <v>238</v>
      </c>
      <c r="EK3660" s="5" t="s">
        <v>238</v>
      </c>
      <c r="EL3660" s="5" t="s">
        <v>238</v>
      </c>
      <c r="EM3660" s="5" t="s">
        <v>238</v>
      </c>
      <c r="EN3660" s="5" t="s">
        <v>238</v>
      </c>
      <c r="EO3660" s="5" t="s">
        <v>238</v>
      </c>
      <c r="EP3660" s="5" t="s">
        <v>238</v>
      </c>
      <c r="EQ3660" s="5" t="s">
        <v>238</v>
      </c>
      <c r="ER3660" s="5" t="s">
        <v>238</v>
      </c>
      <c r="ES3660" s="5" t="s">
        <v>238</v>
      </c>
      <c r="ET3660" s="5" t="s">
        <v>238</v>
      </c>
      <c r="EU3660" s="5" t="s">
        <v>238</v>
      </c>
      <c r="EV3660" s="5" t="s">
        <v>238</v>
      </c>
      <c r="EW3660" s="5" t="s">
        <v>238</v>
      </c>
      <c r="EX3660" s="5" t="s">
        <v>238</v>
      </c>
      <c r="EY3660" s="5" t="s">
        <v>238</v>
      </c>
      <c r="EZ3660" s="5" t="s">
        <v>238</v>
      </c>
      <c r="FA3660" s="5" t="s">
        <v>238</v>
      </c>
      <c r="FB3660" s="5" t="s">
        <v>238</v>
      </c>
      <c r="FC3660" s="5" t="s">
        <v>238</v>
      </c>
      <c r="FD3660" s="5" t="s">
        <v>238</v>
      </c>
      <c r="FE3660" s="5" t="s">
        <v>238</v>
      </c>
      <c r="FF3660" s="5" t="s">
        <v>238</v>
      </c>
      <c r="FG3660" s="5" t="s">
        <v>238</v>
      </c>
      <c r="FH3660" s="5" t="s">
        <v>238</v>
      </c>
      <c r="FI3660" s="5" t="s">
        <v>238</v>
      </c>
      <c r="FJ3660" s="5" t="s">
        <v>238</v>
      </c>
      <c r="FK3660" s="5" t="s">
        <v>238</v>
      </c>
      <c r="FL3660" s="5" t="s">
        <v>238</v>
      </c>
      <c r="FM3660" s="5" t="s">
        <v>238</v>
      </c>
      <c r="FN3660" s="5" t="s">
        <v>238</v>
      </c>
      <c r="FO3660" s="5" t="s">
        <v>238</v>
      </c>
      <c r="FP3660" s="5" t="s">
        <v>238</v>
      </c>
      <c r="FQ3660" s="5" t="s">
        <v>238</v>
      </c>
      <c r="FR3660" s="5" t="s">
        <v>238</v>
      </c>
      <c r="FS3660" s="5" t="s">
        <v>238</v>
      </c>
      <c r="FT3660" s="5" t="s">
        <v>238</v>
      </c>
      <c r="FU3660" s="5" t="s">
        <v>238</v>
      </c>
      <c r="FV3660" s="5" t="s">
        <v>238</v>
      </c>
      <c r="FW3660" s="5" t="s">
        <v>238</v>
      </c>
      <c r="FX3660" s="5" t="s">
        <v>238</v>
      </c>
      <c r="FY3660" s="5" t="s">
        <v>238</v>
      </c>
      <c r="FZ3660" s="5" t="s">
        <v>238</v>
      </c>
      <c r="GA3660" s="5" t="s">
        <v>238</v>
      </c>
      <c r="GB3660" s="5" t="s">
        <v>238</v>
      </c>
      <c r="GC3660" s="5" t="s">
        <v>238</v>
      </c>
      <c r="GD3660" s="5" t="s">
        <v>238</v>
      </c>
      <c r="GE3660" s="5" t="s">
        <v>238</v>
      </c>
      <c r="GF3660" s="5" t="s">
        <v>238</v>
      </c>
      <c r="GG3660" s="5" t="s">
        <v>238</v>
      </c>
      <c r="GH3660" s="5" t="s">
        <v>238</v>
      </c>
      <c r="GI3660" s="5" t="s">
        <v>238</v>
      </c>
      <c r="GJ3660" s="5" t="s">
        <v>238</v>
      </c>
      <c r="GK3660" s="5" t="s">
        <v>238</v>
      </c>
      <c r="GL3660" s="5" t="s">
        <v>238</v>
      </c>
      <c r="GM3660" s="5" t="s">
        <v>238</v>
      </c>
      <c r="GN3660" s="5" t="s">
        <v>238</v>
      </c>
      <c r="GO3660" s="5" t="s">
        <v>238</v>
      </c>
      <c r="GP3660" s="5" t="s">
        <v>238</v>
      </c>
      <c r="GQ3660" s="5" t="s">
        <v>238</v>
      </c>
      <c r="GR3660" s="5" t="s">
        <v>238</v>
      </c>
      <c r="GS3660" s="5" t="s">
        <v>238</v>
      </c>
      <c r="GT3660" s="5" t="s">
        <v>238</v>
      </c>
      <c r="GU3660" s="5" t="s">
        <v>238</v>
      </c>
      <c r="GV3660" s="5" t="s">
        <v>238</v>
      </c>
      <c r="GW3660" s="5" t="s">
        <v>238</v>
      </c>
      <c r="GX3660" s="5" t="s">
        <v>238</v>
      </c>
      <c r="GY3660" s="5" t="s">
        <v>238</v>
      </c>
      <c r="GZ3660" s="5" t="s">
        <v>238</v>
      </c>
      <c r="HA3660" s="5" t="s">
        <v>238</v>
      </c>
      <c r="HB3660" s="5" t="s">
        <v>238</v>
      </c>
      <c r="HC3660" s="5" t="s">
        <v>238</v>
      </c>
      <c r="HD3660" s="5" t="s">
        <v>238</v>
      </c>
      <c r="HE3660" s="5" t="s">
        <v>238</v>
      </c>
      <c r="HF3660" s="5" t="s">
        <v>238</v>
      </c>
      <c r="HG3660" s="5" t="s">
        <v>238</v>
      </c>
      <c r="HH3660" s="5" t="s">
        <v>238</v>
      </c>
      <c r="HI3660" s="5" t="s">
        <v>238</v>
      </c>
      <c r="HJ3660" s="5" t="s">
        <v>238</v>
      </c>
      <c r="HK3660" s="5" t="s">
        <v>238</v>
      </c>
      <c r="HL3660" s="5" t="s">
        <v>238</v>
      </c>
      <c r="HM3660" s="5" t="s">
        <v>264</v>
      </c>
      <c r="HN3660" s="5" t="s">
        <v>238</v>
      </c>
      <c r="HO3660" s="5" t="s">
        <v>238</v>
      </c>
      <c r="HP3660" s="5" t="s">
        <v>238</v>
      </c>
      <c r="HQ3660" s="5" t="s">
        <v>238</v>
      </c>
      <c r="HR3660" s="5" t="s">
        <v>238</v>
      </c>
      <c r="HS3660" s="5" t="s">
        <v>238</v>
      </c>
      <c r="HT3660" s="5" t="s">
        <v>238</v>
      </c>
      <c r="HU3660" s="5" t="s">
        <v>238</v>
      </c>
      <c r="HV3660" s="5" t="s">
        <v>238</v>
      </c>
      <c r="HW3660" s="5" t="s">
        <v>238</v>
      </c>
      <c r="HX3660" s="5" t="s">
        <v>238</v>
      </c>
      <c r="HY3660" s="5" t="s">
        <v>238</v>
      </c>
      <c r="HZ3660" s="5" t="s">
        <v>238</v>
      </c>
      <c r="IA3660" s="5" t="s">
        <v>238</v>
      </c>
      <c r="IB3660" s="5" t="s">
        <v>238</v>
      </c>
      <c r="IC3660" s="5" t="s">
        <v>238</v>
      </c>
      <c r="ID3660" s="5" t="s">
        <v>238</v>
      </c>
    </row>
    <row r="3661" spans="1:238" x14ac:dyDescent="0.4">
      <c r="A3661" s="5">
        <v>9379</v>
      </c>
      <c r="B3661" s="5">
        <v>1</v>
      </c>
      <c r="C3661" s="5">
        <v>1</v>
      </c>
      <c r="D3661" s="5" t="s">
        <v>484</v>
      </c>
      <c r="E3661" s="5" t="s">
        <v>485</v>
      </c>
      <c r="F3661" s="5" t="s">
        <v>248</v>
      </c>
      <c r="G3661" s="5" t="s">
        <v>4811</v>
      </c>
      <c r="H3661" s="6" t="s">
        <v>4812</v>
      </c>
      <c r="I3661" s="8">
        <f>1</f>
        <v>1</v>
      </c>
      <c r="J3661" s="5" t="s">
        <v>499</v>
      </c>
      <c r="K3661" s="8">
        <f>1</f>
        <v>1</v>
      </c>
      <c r="L3661" s="6" t="s">
        <v>242</v>
      </c>
      <c r="M3661" s="5" t="s">
        <v>267</v>
      </c>
      <c r="N3661" s="5" t="s">
        <v>482</v>
      </c>
      <c r="O3661" s="5" t="s">
        <v>238</v>
      </c>
      <c r="P3661" s="5" t="s">
        <v>238</v>
      </c>
      <c r="Q3661" s="5" t="s">
        <v>239</v>
      </c>
      <c r="R3661" s="5" t="s">
        <v>270</v>
      </c>
      <c r="S3661" s="5" t="s">
        <v>238</v>
      </c>
      <c r="T3661" s="5" t="s">
        <v>238</v>
      </c>
      <c r="U3661" s="5" t="s">
        <v>238</v>
      </c>
      <c r="V3661" s="5" t="s">
        <v>238</v>
      </c>
      <c r="W3661" s="6" t="s">
        <v>238</v>
      </c>
      <c r="X3661" s="6" t="s">
        <v>238</v>
      </c>
      <c r="Y3661" s="5" t="s">
        <v>238</v>
      </c>
      <c r="Z3661" s="6" t="s">
        <v>238</v>
      </c>
      <c r="AA3661" s="6" t="s">
        <v>243</v>
      </c>
      <c r="AB3661" s="5" t="s">
        <v>486</v>
      </c>
      <c r="AC3661" s="5" t="s">
        <v>244</v>
      </c>
      <c r="AD3661" s="5" t="s">
        <v>245</v>
      </c>
      <c r="AE3661" s="5" t="s">
        <v>238</v>
      </c>
      <c r="AF3661" s="5" t="s">
        <v>238</v>
      </c>
      <c r="AG3661" s="5" t="s">
        <v>238</v>
      </c>
      <c r="AH3661" s="5" t="s">
        <v>238</v>
      </c>
      <c r="AI3661" s="5" t="s">
        <v>238</v>
      </c>
      <c r="AJ3661" s="5" t="s">
        <v>238</v>
      </c>
      <c r="AK3661" s="5" t="s">
        <v>238</v>
      </c>
      <c r="AL3661" s="5" t="s">
        <v>238</v>
      </c>
      <c r="AM3661" s="6" t="s">
        <v>238</v>
      </c>
      <c r="AN3661" s="6" t="s">
        <v>238</v>
      </c>
      <c r="AO3661" s="6" t="s">
        <v>238</v>
      </c>
      <c r="AP3661" s="6" t="s">
        <v>238</v>
      </c>
      <c r="AQ3661" s="5" t="s">
        <v>238</v>
      </c>
      <c r="AR3661" s="5" t="s">
        <v>488</v>
      </c>
      <c r="AS3661" s="5" t="s">
        <v>488</v>
      </c>
      <c r="AT3661" s="5" t="s">
        <v>246</v>
      </c>
      <c r="AU3661" s="5" t="s">
        <v>489</v>
      </c>
      <c r="AV3661" s="5" t="s">
        <v>247</v>
      </c>
      <c r="AW3661" s="5" t="s">
        <v>238</v>
      </c>
      <c r="AX3661" s="5" t="s">
        <v>249</v>
      </c>
      <c r="AY3661" s="5" t="s">
        <v>490</v>
      </c>
      <c r="BA3661" s="5" t="s">
        <v>238</v>
      </c>
      <c r="BC3661" s="5" t="s">
        <v>491</v>
      </c>
      <c r="BD3661" s="6" t="s">
        <v>492</v>
      </c>
      <c r="BE3661" s="5" t="s">
        <v>493</v>
      </c>
      <c r="BF3661" s="5" t="s">
        <v>493</v>
      </c>
      <c r="BG3661" s="5" t="s">
        <v>238</v>
      </c>
      <c r="BH3661" s="8">
        <f>1</f>
        <v>1</v>
      </c>
      <c r="BI3661" s="8">
        <f>1</f>
        <v>1</v>
      </c>
      <c r="BJ3661" s="5" t="s">
        <v>253</v>
      </c>
      <c r="BK3661" s="5" t="s">
        <v>254</v>
      </c>
      <c r="BL3661" s="5" t="s">
        <v>238</v>
      </c>
      <c r="BM3661" s="5" t="s">
        <v>238</v>
      </c>
      <c r="BN3661" s="5" t="s">
        <v>238</v>
      </c>
      <c r="BO3661" s="5" t="s">
        <v>238</v>
      </c>
      <c r="BP3661" s="5" t="s">
        <v>238</v>
      </c>
      <c r="BQ3661" s="5" t="s">
        <v>238</v>
      </c>
      <c r="BR3661" s="5" t="s">
        <v>238</v>
      </c>
      <c r="BS3661" s="5" t="s">
        <v>238</v>
      </c>
      <c r="BT3661" s="6" t="s">
        <v>238</v>
      </c>
      <c r="BU3661" s="5" t="s">
        <v>238</v>
      </c>
      <c r="BV3661" s="5" t="s">
        <v>238</v>
      </c>
      <c r="BW3661" s="5" t="s">
        <v>238</v>
      </c>
      <c r="BX3661" s="5" t="s">
        <v>254</v>
      </c>
      <c r="BY3661" s="5" t="s">
        <v>238</v>
      </c>
      <c r="BZ3661" s="5" t="s">
        <v>238</v>
      </c>
      <c r="CA3661" s="5" t="s">
        <v>238</v>
      </c>
      <c r="CB3661" s="5" t="s">
        <v>238</v>
      </c>
      <c r="CC3661" s="5" t="s">
        <v>238</v>
      </c>
      <c r="CD3661" s="5" t="s">
        <v>273</v>
      </c>
      <c r="CE3661" s="5" t="s">
        <v>256</v>
      </c>
      <c r="CF3661" s="5" t="s">
        <v>238</v>
      </c>
      <c r="CH3661" s="5" t="s">
        <v>494</v>
      </c>
      <c r="CI3661" s="6" t="s">
        <v>257</v>
      </c>
      <c r="CJ3661" s="5" t="s">
        <v>495</v>
      </c>
      <c r="CK3661" s="5" t="s">
        <v>258</v>
      </c>
      <c r="CL3661" s="5" t="s">
        <v>496</v>
      </c>
      <c r="CM3661" s="5" t="s">
        <v>238</v>
      </c>
      <c r="CN3661" s="5">
        <v>0</v>
      </c>
      <c r="CO3661" s="5" t="s">
        <v>497</v>
      </c>
      <c r="CP3661" s="5" t="s">
        <v>260</v>
      </c>
      <c r="CQ3661" s="5" t="s">
        <v>260</v>
      </c>
      <c r="CR3661" s="5" t="s">
        <v>261</v>
      </c>
      <c r="CS3661" s="5" t="s">
        <v>498</v>
      </c>
      <c r="CT3661" s="7">
        <f>1</f>
        <v>1</v>
      </c>
      <c r="CU3661" s="8">
        <f>1</f>
        <v>1</v>
      </c>
      <c r="CV3661" s="8">
        <f>0</f>
        <v>0</v>
      </c>
      <c r="CX3661" s="8">
        <f>1</f>
        <v>1</v>
      </c>
      <c r="CY3661" s="8">
        <f>1</f>
        <v>1</v>
      </c>
      <c r="CZ3661" s="8" t="s">
        <v>238</v>
      </c>
      <c r="DA3661" s="5" t="s">
        <v>238</v>
      </c>
      <c r="DB3661" s="5" t="s">
        <v>238</v>
      </c>
      <c r="DC3661" s="5" t="s">
        <v>238</v>
      </c>
      <c r="DD3661" s="5" t="s">
        <v>238</v>
      </c>
      <c r="DE3661" s="8">
        <f>0</f>
        <v>0</v>
      </c>
      <c r="DG3661" s="5" t="s">
        <v>238</v>
      </c>
      <c r="DH3661" s="5" t="s">
        <v>238</v>
      </c>
      <c r="DI3661" s="5" t="s">
        <v>238</v>
      </c>
      <c r="DJ3661" s="5" t="s">
        <v>238</v>
      </c>
      <c r="DK3661" s="5" t="s">
        <v>238</v>
      </c>
      <c r="DL3661" s="5" t="s">
        <v>238</v>
      </c>
      <c r="DM3661" s="8" t="s">
        <v>238</v>
      </c>
      <c r="DN3661" s="5" t="s">
        <v>238</v>
      </c>
      <c r="DO3661" s="5" t="s">
        <v>238</v>
      </c>
      <c r="DP3661" s="5" t="s">
        <v>490</v>
      </c>
      <c r="DQ3661" s="5" t="s">
        <v>490</v>
      </c>
      <c r="DR3661" s="5" t="s">
        <v>238</v>
      </c>
      <c r="DS3661" s="5" t="s">
        <v>238</v>
      </c>
      <c r="DT3661" s="5" t="s">
        <v>500</v>
      </c>
      <c r="DU3661" s="5" t="s">
        <v>906</v>
      </c>
      <c r="DV3661" s="5" t="s">
        <v>238</v>
      </c>
      <c r="DW3661" s="5" t="s">
        <v>238</v>
      </c>
      <c r="DX3661" s="5" t="s">
        <v>238</v>
      </c>
      <c r="DY3661" s="5" t="s">
        <v>238</v>
      </c>
      <c r="DZ3661" s="5" t="s">
        <v>238</v>
      </c>
      <c r="EA3661" s="5" t="s">
        <v>238</v>
      </c>
      <c r="EB3661" s="5" t="s">
        <v>238</v>
      </c>
      <c r="EC3661" s="5" t="s">
        <v>238</v>
      </c>
      <c r="ED3661" s="5" t="s">
        <v>238</v>
      </c>
      <c r="EE3661" s="5" t="s">
        <v>238</v>
      </c>
      <c r="EF3661" s="5" t="s">
        <v>238</v>
      </c>
      <c r="EG3661" s="5" t="s">
        <v>238</v>
      </c>
      <c r="EH3661" s="5" t="s">
        <v>238</v>
      </c>
      <c r="EI3661" s="5" t="s">
        <v>238</v>
      </c>
      <c r="EJ3661" s="5" t="s">
        <v>238</v>
      </c>
      <c r="EK3661" s="5" t="s">
        <v>238</v>
      </c>
      <c r="EL3661" s="5" t="s">
        <v>238</v>
      </c>
      <c r="EM3661" s="5" t="s">
        <v>238</v>
      </c>
      <c r="EN3661" s="5" t="s">
        <v>238</v>
      </c>
      <c r="EO3661" s="5" t="s">
        <v>238</v>
      </c>
      <c r="EP3661" s="5" t="s">
        <v>238</v>
      </c>
      <c r="EQ3661" s="5" t="s">
        <v>238</v>
      </c>
      <c r="ER3661" s="5" t="s">
        <v>238</v>
      </c>
      <c r="ES3661" s="5" t="s">
        <v>238</v>
      </c>
      <c r="ET3661" s="5" t="s">
        <v>238</v>
      </c>
      <c r="EU3661" s="5" t="s">
        <v>238</v>
      </c>
      <c r="EV3661" s="5" t="s">
        <v>238</v>
      </c>
      <c r="EW3661" s="5" t="s">
        <v>238</v>
      </c>
      <c r="EX3661" s="5" t="s">
        <v>238</v>
      </c>
      <c r="EY3661" s="5" t="s">
        <v>238</v>
      </c>
      <c r="EZ3661" s="5" t="s">
        <v>238</v>
      </c>
      <c r="FA3661" s="5" t="s">
        <v>238</v>
      </c>
      <c r="FB3661" s="5" t="s">
        <v>238</v>
      </c>
      <c r="FC3661" s="5" t="s">
        <v>238</v>
      </c>
      <c r="FD3661" s="5" t="s">
        <v>238</v>
      </c>
      <c r="FE3661" s="5" t="s">
        <v>238</v>
      </c>
      <c r="FF3661" s="5" t="s">
        <v>238</v>
      </c>
      <c r="FG3661" s="5" t="s">
        <v>238</v>
      </c>
      <c r="FH3661" s="5" t="s">
        <v>238</v>
      </c>
      <c r="FI3661" s="5" t="s">
        <v>238</v>
      </c>
      <c r="FJ3661" s="5" t="s">
        <v>238</v>
      </c>
      <c r="FK3661" s="5" t="s">
        <v>238</v>
      </c>
      <c r="FL3661" s="5" t="s">
        <v>238</v>
      </c>
      <c r="FM3661" s="5" t="s">
        <v>238</v>
      </c>
      <c r="FN3661" s="5" t="s">
        <v>238</v>
      </c>
      <c r="FO3661" s="5" t="s">
        <v>238</v>
      </c>
      <c r="FP3661" s="5" t="s">
        <v>238</v>
      </c>
      <c r="FQ3661" s="5" t="s">
        <v>238</v>
      </c>
      <c r="FR3661" s="5" t="s">
        <v>238</v>
      </c>
      <c r="FS3661" s="5" t="s">
        <v>238</v>
      </c>
      <c r="FT3661" s="5" t="s">
        <v>238</v>
      </c>
      <c r="FU3661" s="5" t="s">
        <v>238</v>
      </c>
      <c r="FV3661" s="5" t="s">
        <v>238</v>
      </c>
      <c r="FW3661" s="5" t="s">
        <v>238</v>
      </c>
      <c r="FX3661" s="5" t="s">
        <v>238</v>
      </c>
      <c r="FY3661" s="5" t="s">
        <v>238</v>
      </c>
      <c r="FZ3661" s="5" t="s">
        <v>238</v>
      </c>
      <c r="GA3661" s="5" t="s">
        <v>238</v>
      </c>
      <c r="GB3661" s="5" t="s">
        <v>238</v>
      </c>
      <c r="GC3661" s="5" t="s">
        <v>238</v>
      </c>
      <c r="GD3661" s="5" t="s">
        <v>238</v>
      </c>
      <c r="GE3661" s="5" t="s">
        <v>238</v>
      </c>
      <c r="GF3661" s="5" t="s">
        <v>238</v>
      </c>
      <c r="GG3661" s="5" t="s">
        <v>238</v>
      </c>
      <c r="GH3661" s="5" t="s">
        <v>238</v>
      </c>
      <c r="GI3661" s="5" t="s">
        <v>238</v>
      </c>
      <c r="GJ3661" s="5" t="s">
        <v>238</v>
      </c>
      <c r="GK3661" s="5" t="s">
        <v>238</v>
      </c>
      <c r="GL3661" s="5" t="s">
        <v>238</v>
      </c>
      <c r="GM3661" s="5" t="s">
        <v>238</v>
      </c>
      <c r="GN3661" s="5" t="s">
        <v>238</v>
      </c>
      <c r="GO3661" s="5" t="s">
        <v>238</v>
      </c>
      <c r="GP3661" s="5" t="s">
        <v>238</v>
      </c>
      <c r="GQ3661" s="5" t="s">
        <v>238</v>
      </c>
      <c r="GR3661" s="5" t="s">
        <v>238</v>
      </c>
      <c r="GS3661" s="5" t="s">
        <v>238</v>
      </c>
      <c r="GT3661" s="5" t="s">
        <v>238</v>
      </c>
      <c r="GU3661" s="5" t="s">
        <v>238</v>
      </c>
      <c r="GV3661" s="5" t="s">
        <v>238</v>
      </c>
      <c r="GW3661" s="5" t="s">
        <v>238</v>
      </c>
      <c r="GX3661" s="5" t="s">
        <v>238</v>
      </c>
      <c r="GY3661" s="5" t="s">
        <v>238</v>
      </c>
      <c r="GZ3661" s="5" t="s">
        <v>238</v>
      </c>
      <c r="HA3661" s="5" t="s">
        <v>238</v>
      </c>
      <c r="HB3661" s="5" t="s">
        <v>238</v>
      </c>
      <c r="HC3661" s="5" t="s">
        <v>238</v>
      </c>
      <c r="HD3661" s="5" t="s">
        <v>238</v>
      </c>
      <c r="HE3661" s="5" t="s">
        <v>238</v>
      </c>
      <c r="HF3661" s="5" t="s">
        <v>238</v>
      </c>
      <c r="HG3661" s="5" t="s">
        <v>238</v>
      </c>
      <c r="HH3661" s="5" t="s">
        <v>238</v>
      </c>
      <c r="HI3661" s="5" t="s">
        <v>238</v>
      </c>
      <c r="HJ3661" s="5" t="s">
        <v>238</v>
      </c>
      <c r="HK3661" s="5" t="s">
        <v>238</v>
      </c>
      <c r="HL3661" s="5" t="s">
        <v>238</v>
      </c>
      <c r="HM3661" s="5" t="s">
        <v>264</v>
      </c>
      <c r="HN3661" s="5" t="s">
        <v>238</v>
      </c>
      <c r="HO3661" s="5" t="s">
        <v>238</v>
      </c>
      <c r="HP3661" s="5" t="s">
        <v>238</v>
      </c>
      <c r="HQ3661" s="5" t="s">
        <v>238</v>
      </c>
      <c r="HR3661" s="5" t="s">
        <v>238</v>
      </c>
      <c r="HS3661" s="5" t="s">
        <v>238</v>
      </c>
      <c r="HT3661" s="5" t="s">
        <v>238</v>
      </c>
      <c r="HU3661" s="5" t="s">
        <v>238</v>
      </c>
      <c r="HV3661" s="5" t="s">
        <v>238</v>
      </c>
      <c r="HW3661" s="5" t="s">
        <v>238</v>
      </c>
      <c r="HX3661" s="5" t="s">
        <v>238</v>
      </c>
      <c r="HY3661" s="5" t="s">
        <v>238</v>
      </c>
      <c r="HZ3661" s="5" t="s">
        <v>238</v>
      </c>
      <c r="IA3661" s="5" t="s">
        <v>238</v>
      </c>
      <c r="IB3661" s="5" t="s">
        <v>238</v>
      </c>
      <c r="IC3661" s="5" t="s">
        <v>238</v>
      </c>
      <c r="ID3661" s="5" t="s">
        <v>238</v>
      </c>
    </row>
    <row r="3662" spans="1:238" x14ac:dyDescent="0.4">
      <c r="A3662" s="5">
        <v>9380</v>
      </c>
      <c r="B3662" s="5">
        <v>1</v>
      </c>
      <c r="C3662" s="5">
        <v>1</v>
      </c>
      <c r="D3662" s="5" t="s">
        <v>484</v>
      </c>
      <c r="E3662" s="5" t="s">
        <v>485</v>
      </c>
      <c r="F3662" s="5" t="s">
        <v>248</v>
      </c>
      <c r="G3662" s="5" t="s">
        <v>5254</v>
      </c>
      <c r="H3662" s="6" t="s">
        <v>5255</v>
      </c>
      <c r="I3662" s="8">
        <f>1</f>
        <v>1</v>
      </c>
      <c r="J3662" s="5" t="s">
        <v>499</v>
      </c>
      <c r="K3662" s="8">
        <f>1</f>
        <v>1</v>
      </c>
      <c r="L3662" s="6" t="s">
        <v>242</v>
      </c>
      <c r="M3662" s="5" t="s">
        <v>267</v>
      </c>
      <c r="N3662" s="5" t="s">
        <v>482</v>
      </c>
      <c r="O3662" s="5" t="s">
        <v>238</v>
      </c>
      <c r="P3662" s="5" t="s">
        <v>238</v>
      </c>
      <c r="Q3662" s="5" t="s">
        <v>239</v>
      </c>
      <c r="R3662" s="5" t="s">
        <v>270</v>
      </c>
      <c r="S3662" s="5" t="s">
        <v>238</v>
      </c>
      <c r="T3662" s="5" t="s">
        <v>238</v>
      </c>
      <c r="U3662" s="5" t="s">
        <v>238</v>
      </c>
      <c r="V3662" s="5" t="s">
        <v>238</v>
      </c>
      <c r="W3662" s="6" t="s">
        <v>238</v>
      </c>
      <c r="X3662" s="6" t="s">
        <v>238</v>
      </c>
      <c r="Y3662" s="5" t="s">
        <v>238</v>
      </c>
      <c r="Z3662" s="6" t="s">
        <v>238</v>
      </c>
      <c r="AA3662" s="6" t="s">
        <v>243</v>
      </c>
      <c r="AB3662" s="5" t="s">
        <v>486</v>
      </c>
      <c r="AC3662" s="5" t="s">
        <v>244</v>
      </c>
      <c r="AD3662" s="5" t="s">
        <v>245</v>
      </c>
      <c r="AE3662" s="5" t="s">
        <v>238</v>
      </c>
      <c r="AF3662" s="5" t="s">
        <v>238</v>
      </c>
      <c r="AG3662" s="5" t="s">
        <v>238</v>
      </c>
      <c r="AH3662" s="5" t="s">
        <v>238</v>
      </c>
      <c r="AI3662" s="5" t="s">
        <v>238</v>
      </c>
      <c r="AJ3662" s="5" t="s">
        <v>238</v>
      </c>
      <c r="AK3662" s="5" t="s">
        <v>238</v>
      </c>
      <c r="AL3662" s="5" t="s">
        <v>238</v>
      </c>
      <c r="AM3662" s="6" t="s">
        <v>238</v>
      </c>
      <c r="AN3662" s="6" t="s">
        <v>238</v>
      </c>
      <c r="AO3662" s="6" t="s">
        <v>238</v>
      </c>
      <c r="AP3662" s="6" t="s">
        <v>238</v>
      </c>
      <c r="AQ3662" s="5" t="s">
        <v>238</v>
      </c>
      <c r="AR3662" s="5" t="s">
        <v>488</v>
      </c>
      <c r="AS3662" s="5" t="s">
        <v>488</v>
      </c>
      <c r="AT3662" s="5" t="s">
        <v>246</v>
      </c>
      <c r="AU3662" s="5" t="s">
        <v>489</v>
      </c>
      <c r="AV3662" s="5" t="s">
        <v>247</v>
      </c>
      <c r="AW3662" s="5" t="s">
        <v>238</v>
      </c>
      <c r="AX3662" s="5" t="s">
        <v>249</v>
      </c>
      <c r="AY3662" s="5" t="s">
        <v>490</v>
      </c>
      <c r="BA3662" s="5" t="s">
        <v>238</v>
      </c>
      <c r="BC3662" s="5" t="s">
        <v>491</v>
      </c>
      <c r="BD3662" s="6" t="s">
        <v>492</v>
      </c>
      <c r="BE3662" s="5" t="s">
        <v>493</v>
      </c>
      <c r="BF3662" s="5" t="s">
        <v>493</v>
      </c>
      <c r="BG3662" s="5" t="s">
        <v>238</v>
      </c>
      <c r="BH3662" s="8">
        <f>1</f>
        <v>1</v>
      </c>
      <c r="BI3662" s="8">
        <f>1</f>
        <v>1</v>
      </c>
      <c r="BJ3662" s="5" t="s">
        <v>253</v>
      </c>
      <c r="BK3662" s="5" t="s">
        <v>254</v>
      </c>
      <c r="BL3662" s="5" t="s">
        <v>238</v>
      </c>
      <c r="BM3662" s="5" t="s">
        <v>238</v>
      </c>
      <c r="BN3662" s="5" t="s">
        <v>238</v>
      </c>
      <c r="BO3662" s="5" t="s">
        <v>238</v>
      </c>
      <c r="BP3662" s="5" t="s">
        <v>238</v>
      </c>
      <c r="BQ3662" s="5" t="s">
        <v>238</v>
      </c>
      <c r="BR3662" s="5" t="s">
        <v>238</v>
      </c>
      <c r="BS3662" s="5" t="s">
        <v>238</v>
      </c>
      <c r="BT3662" s="6" t="s">
        <v>238</v>
      </c>
      <c r="BU3662" s="5" t="s">
        <v>238</v>
      </c>
      <c r="BV3662" s="5" t="s">
        <v>238</v>
      </c>
      <c r="BW3662" s="5" t="s">
        <v>238</v>
      </c>
      <c r="BX3662" s="5" t="s">
        <v>254</v>
      </c>
      <c r="BY3662" s="5" t="s">
        <v>238</v>
      </c>
      <c r="BZ3662" s="5" t="s">
        <v>238</v>
      </c>
      <c r="CA3662" s="5" t="s">
        <v>238</v>
      </c>
      <c r="CB3662" s="5" t="s">
        <v>238</v>
      </c>
      <c r="CC3662" s="5" t="s">
        <v>238</v>
      </c>
      <c r="CD3662" s="5" t="s">
        <v>273</v>
      </c>
      <c r="CE3662" s="5" t="s">
        <v>256</v>
      </c>
      <c r="CF3662" s="5" t="s">
        <v>238</v>
      </c>
      <c r="CH3662" s="5" t="s">
        <v>494</v>
      </c>
      <c r="CI3662" s="6" t="s">
        <v>257</v>
      </c>
      <c r="CJ3662" s="5" t="s">
        <v>495</v>
      </c>
      <c r="CK3662" s="5" t="s">
        <v>258</v>
      </c>
      <c r="CL3662" s="5" t="s">
        <v>496</v>
      </c>
      <c r="CM3662" s="5" t="s">
        <v>238</v>
      </c>
      <c r="CN3662" s="5">
        <v>0</v>
      </c>
      <c r="CO3662" s="5" t="s">
        <v>497</v>
      </c>
      <c r="CP3662" s="5" t="s">
        <v>260</v>
      </c>
      <c r="CQ3662" s="5" t="s">
        <v>260</v>
      </c>
      <c r="CR3662" s="5" t="s">
        <v>261</v>
      </c>
      <c r="CS3662" s="5" t="s">
        <v>498</v>
      </c>
      <c r="CT3662" s="7">
        <f>1</f>
        <v>1</v>
      </c>
      <c r="CU3662" s="8">
        <f>1</f>
        <v>1</v>
      </c>
      <c r="CV3662" s="8">
        <f>0</f>
        <v>0</v>
      </c>
      <c r="CX3662" s="8">
        <f>1</f>
        <v>1</v>
      </c>
      <c r="CY3662" s="8">
        <f>1</f>
        <v>1</v>
      </c>
      <c r="CZ3662" s="8" t="s">
        <v>238</v>
      </c>
      <c r="DA3662" s="5" t="s">
        <v>238</v>
      </c>
      <c r="DB3662" s="5" t="s">
        <v>238</v>
      </c>
      <c r="DC3662" s="5" t="s">
        <v>238</v>
      </c>
      <c r="DD3662" s="5" t="s">
        <v>238</v>
      </c>
      <c r="DE3662" s="8">
        <f>0</f>
        <v>0</v>
      </c>
      <c r="DG3662" s="5" t="s">
        <v>238</v>
      </c>
      <c r="DH3662" s="5" t="s">
        <v>238</v>
      </c>
      <c r="DI3662" s="5" t="s">
        <v>238</v>
      </c>
      <c r="DJ3662" s="5" t="s">
        <v>238</v>
      </c>
      <c r="DK3662" s="5" t="s">
        <v>238</v>
      </c>
      <c r="DL3662" s="5" t="s">
        <v>238</v>
      </c>
      <c r="DM3662" s="8" t="s">
        <v>238</v>
      </c>
      <c r="DN3662" s="5" t="s">
        <v>238</v>
      </c>
      <c r="DO3662" s="5" t="s">
        <v>238</v>
      </c>
      <c r="DP3662" s="5" t="s">
        <v>490</v>
      </c>
      <c r="DQ3662" s="5" t="s">
        <v>490</v>
      </c>
      <c r="DR3662" s="5" t="s">
        <v>238</v>
      </c>
      <c r="DS3662" s="5" t="s">
        <v>238</v>
      </c>
      <c r="DT3662" s="5" t="s">
        <v>500</v>
      </c>
      <c r="DU3662" s="5" t="s">
        <v>894</v>
      </c>
      <c r="DV3662" s="5" t="s">
        <v>238</v>
      </c>
      <c r="DW3662" s="5" t="s">
        <v>238</v>
      </c>
      <c r="DX3662" s="5" t="s">
        <v>238</v>
      </c>
      <c r="DY3662" s="5" t="s">
        <v>238</v>
      </c>
      <c r="DZ3662" s="5" t="s">
        <v>238</v>
      </c>
      <c r="EA3662" s="5" t="s">
        <v>238</v>
      </c>
      <c r="EB3662" s="5" t="s">
        <v>238</v>
      </c>
      <c r="EC3662" s="5" t="s">
        <v>238</v>
      </c>
      <c r="ED3662" s="5" t="s">
        <v>238</v>
      </c>
      <c r="EE3662" s="5" t="s">
        <v>238</v>
      </c>
      <c r="EF3662" s="5" t="s">
        <v>238</v>
      </c>
      <c r="EG3662" s="5" t="s">
        <v>238</v>
      </c>
      <c r="EH3662" s="5" t="s">
        <v>238</v>
      </c>
      <c r="EI3662" s="5" t="s">
        <v>238</v>
      </c>
      <c r="EJ3662" s="5" t="s">
        <v>238</v>
      </c>
      <c r="EK3662" s="5" t="s">
        <v>238</v>
      </c>
      <c r="EL3662" s="5" t="s">
        <v>238</v>
      </c>
      <c r="EM3662" s="5" t="s">
        <v>238</v>
      </c>
      <c r="EN3662" s="5" t="s">
        <v>238</v>
      </c>
      <c r="EO3662" s="5" t="s">
        <v>238</v>
      </c>
      <c r="EP3662" s="5" t="s">
        <v>238</v>
      </c>
      <c r="EQ3662" s="5" t="s">
        <v>238</v>
      </c>
      <c r="ER3662" s="5" t="s">
        <v>238</v>
      </c>
      <c r="ES3662" s="5" t="s">
        <v>238</v>
      </c>
      <c r="ET3662" s="5" t="s">
        <v>238</v>
      </c>
      <c r="EU3662" s="5" t="s">
        <v>238</v>
      </c>
      <c r="EV3662" s="5" t="s">
        <v>238</v>
      </c>
      <c r="EW3662" s="5" t="s">
        <v>238</v>
      </c>
      <c r="EX3662" s="5" t="s">
        <v>238</v>
      </c>
      <c r="EY3662" s="5" t="s">
        <v>238</v>
      </c>
      <c r="EZ3662" s="5" t="s">
        <v>238</v>
      </c>
      <c r="FA3662" s="5" t="s">
        <v>238</v>
      </c>
      <c r="FB3662" s="5" t="s">
        <v>238</v>
      </c>
      <c r="FC3662" s="5" t="s">
        <v>238</v>
      </c>
      <c r="FD3662" s="5" t="s">
        <v>238</v>
      </c>
      <c r="FE3662" s="5" t="s">
        <v>238</v>
      </c>
      <c r="FF3662" s="5" t="s">
        <v>238</v>
      </c>
      <c r="FG3662" s="5" t="s">
        <v>238</v>
      </c>
      <c r="FH3662" s="5" t="s">
        <v>238</v>
      </c>
      <c r="FI3662" s="5" t="s">
        <v>238</v>
      </c>
      <c r="FJ3662" s="5" t="s">
        <v>238</v>
      </c>
      <c r="FK3662" s="5" t="s">
        <v>238</v>
      </c>
      <c r="FL3662" s="5" t="s">
        <v>238</v>
      </c>
      <c r="FM3662" s="5" t="s">
        <v>238</v>
      </c>
      <c r="FN3662" s="5" t="s">
        <v>238</v>
      </c>
      <c r="FO3662" s="5" t="s">
        <v>238</v>
      </c>
      <c r="FP3662" s="5" t="s">
        <v>238</v>
      </c>
      <c r="FQ3662" s="5" t="s">
        <v>238</v>
      </c>
      <c r="FR3662" s="5" t="s">
        <v>238</v>
      </c>
      <c r="FS3662" s="5" t="s">
        <v>238</v>
      </c>
      <c r="FT3662" s="5" t="s">
        <v>238</v>
      </c>
      <c r="FU3662" s="5" t="s">
        <v>238</v>
      </c>
      <c r="FV3662" s="5" t="s">
        <v>238</v>
      </c>
      <c r="FW3662" s="5" t="s">
        <v>238</v>
      </c>
      <c r="FX3662" s="5" t="s">
        <v>238</v>
      </c>
      <c r="FY3662" s="5" t="s">
        <v>238</v>
      </c>
      <c r="FZ3662" s="5" t="s">
        <v>238</v>
      </c>
      <c r="GA3662" s="5" t="s">
        <v>238</v>
      </c>
      <c r="GB3662" s="5" t="s">
        <v>238</v>
      </c>
      <c r="GC3662" s="5" t="s">
        <v>238</v>
      </c>
      <c r="GD3662" s="5" t="s">
        <v>238</v>
      </c>
      <c r="GE3662" s="5" t="s">
        <v>238</v>
      </c>
      <c r="GF3662" s="5" t="s">
        <v>238</v>
      </c>
      <c r="GG3662" s="5" t="s">
        <v>238</v>
      </c>
      <c r="GH3662" s="5" t="s">
        <v>238</v>
      </c>
      <c r="GI3662" s="5" t="s">
        <v>238</v>
      </c>
      <c r="GJ3662" s="5" t="s">
        <v>238</v>
      </c>
      <c r="GK3662" s="5" t="s">
        <v>238</v>
      </c>
      <c r="GL3662" s="5" t="s">
        <v>238</v>
      </c>
      <c r="GM3662" s="5" t="s">
        <v>238</v>
      </c>
      <c r="GN3662" s="5" t="s">
        <v>238</v>
      </c>
      <c r="GO3662" s="5" t="s">
        <v>238</v>
      </c>
      <c r="GP3662" s="5" t="s">
        <v>238</v>
      </c>
      <c r="GQ3662" s="5" t="s">
        <v>238</v>
      </c>
      <c r="GR3662" s="5" t="s">
        <v>238</v>
      </c>
      <c r="GS3662" s="5" t="s">
        <v>238</v>
      </c>
      <c r="GT3662" s="5" t="s">
        <v>238</v>
      </c>
      <c r="GU3662" s="5" t="s">
        <v>238</v>
      </c>
      <c r="GV3662" s="5" t="s">
        <v>238</v>
      </c>
      <c r="GW3662" s="5" t="s">
        <v>238</v>
      </c>
      <c r="GX3662" s="5" t="s">
        <v>238</v>
      </c>
      <c r="GY3662" s="5" t="s">
        <v>238</v>
      </c>
      <c r="GZ3662" s="5" t="s">
        <v>238</v>
      </c>
      <c r="HA3662" s="5" t="s">
        <v>238</v>
      </c>
      <c r="HB3662" s="5" t="s">
        <v>238</v>
      </c>
      <c r="HC3662" s="5" t="s">
        <v>238</v>
      </c>
      <c r="HD3662" s="5" t="s">
        <v>238</v>
      </c>
      <c r="HE3662" s="5" t="s">
        <v>238</v>
      </c>
      <c r="HF3662" s="5" t="s">
        <v>238</v>
      </c>
      <c r="HG3662" s="5" t="s">
        <v>238</v>
      </c>
      <c r="HH3662" s="5" t="s">
        <v>238</v>
      </c>
      <c r="HI3662" s="5" t="s">
        <v>238</v>
      </c>
      <c r="HJ3662" s="5" t="s">
        <v>238</v>
      </c>
      <c r="HK3662" s="5" t="s">
        <v>238</v>
      </c>
      <c r="HL3662" s="5" t="s">
        <v>238</v>
      </c>
      <c r="HM3662" s="5" t="s">
        <v>264</v>
      </c>
      <c r="HN3662" s="5" t="s">
        <v>238</v>
      </c>
      <c r="HO3662" s="5" t="s">
        <v>238</v>
      </c>
      <c r="HP3662" s="5" t="s">
        <v>238</v>
      </c>
      <c r="HQ3662" s="5" t="s">
        <v>238</v>
      </c>
      <c r="HR3662" s="5" t="s">
        <v>238</v>
      </c>
      <c r="HS3662" s="5" t="s">
        <v>238</v>
      </c>
      <c r="HT3662" s="5" t="s">
        <v>238</v>
      </c>
      <c r="HU3662" s="5" t="s">
        <v>238</v>
      </c>
      <c r="HV3662" s="5" t="s">
        <v>238</v>
      </c>
      <c r="HW3662" s="5" t="s">
        <v>238</v>
      </c>
      <c r="HX3662" s="5" t="s">
        <v>238</v>
      </c>
      <c r="HY3662" s="5" t="s">
        <v>238</v>
      </c>
      <c r="HZ3662" s="5" t="s">
        <v>238</v>
      </c>
      <c r="IA3662" s="5" t="s">
        <v>238</v>
      </c>
      <c r="IB3662" s="5" t="s">
        <v>238</v>
      </c>
      <c r="IC3662" s="5" t="s">
        <v>238</v>
      </c>
      <c r="ID3662" s="5" t="s">
        <v>238</v>
      </c>
    </row>
    <row r="3663" spans="1:238" x14ac:dyDescent="0.4">
      <c r="A3663" s="5">
        <v>9381</v>
      </c>
      <c r="B3663" s="5">
        <v>1</v>
      </c>
      <c r="C3663" s="5">
        <v>1</v>
      </c>
      <c r="D3663" s="5" t="s">
        <v>484</v>
      </c>
      <c r="E3663" s="5" t="s">
        <v>485</v>
      </c>
      <c r="F3663" s="5" t="s">
        <v>248</v>
      </c>
      <c r="G3663" s="5" t="s">
        <v>6386</v>
      </c>
      <c r="H3663" s="6" t="s">
        <v>6387</v>
      </c>
      <c r="I3663" s="8">
        <f>1</f>
        <v>1</v>
      </c>
      <c r="J3663" s="5" t="s">
        <v>499</v>
      </c>
      <c r="K3663" s="8">
        <f>1</f>
        <v>1</v>
      </c>
      <c r="L3663" s="6" t="s">
        <v>242</v>
      </c>
      <c r="M3663" s="5" t="s">
        <v>267</v>
      </c>
      <c r="N3663" s="5" t="s">
        <v>482</v>
      </c>
      <c r="O3663" s="5" t="s">
        <v>238</v>
      </c>
      <c r="P3663" s="5" t="s">
        <v>238</v>
      </c>
      <c r="Q3663" s="5" t="s">
        <v>239</v>
      </c>
      <c r="R3663" s="5" t="s">
        <v>270</v>
      </c>
      <c r="S3663" s="5" t="s">
        <v>238</v>
      </c>
      <c r="T3663" s="5" t="s">
        <v>238</v>
      </c>
      <c r="U3663" s="5" t="s">
        <v>238</v>
      </c>
      <c r="V3663" s="5" t="s">
        <v>238</v>
      </c>
      <c r="W3663" s="6" t="s">
        <v>238</v>
      </c>
      <c r="X3663" s="6" t="s">
        <v>238</v>
      </c>
      <c r="Y3663" s="5" t="s">
        <v>238</v>
      </c>
      <c r="Z3663" s="6" t="s">
        <v>238</v>
      </c>
      <c r="AA3663" s="6" t="s">
        <v>243</v>
      </c>
      <c r="AB3663" s="5" t="s">
        <v>486</v>
      </c>
      <c r="AC3663" s="5" t="s">
        <v>244</v>
      </c>
      <c r="AD3663" s="5" t="s">
        <v>245</v>
      </c>
      <c r="AE3663" s="5" t="s">
        <v>238</v>
      </c>
      <c r="AF3663" s="5" t="s">
        <v>238</v>
      </c>
      <c r="AG3663" s="5" t="s">
        <v>238</v>
      </c>
      <c r="AH3663" s="5" t="s">
        <v>238</v>
      </c>
      <c r="AI3663" s="5" t="s">
        <v>238</v>
      </c>
      <c r="AJ3663" s="5" t="s">
        <v>238</v>
      </c>
      <c r="AK3663" s="5" t="s">
        <v>238</v>
      </c>
      <c r="AL3663" s="5" t="s">
        <v>238</v>
      </c>
      <c r="AM3663" s="6" t="s">
        <v>238</v>
      </c>
      <c r="AN3663" s="6" t="s">
        <v>238</v>
      </c>
      <c r="AO3663" s="6" t="s">
        <v>238</v>
      </c>
      <c r="AP3663" s="6" t="s">
        <v>238</v>
      </c>
      <c r="AQ3663" s="5" t="s">
        <v>238</v>
      </c>
      <c r="AR3663" s="5" t="s">
        <v>488</v>
      </c>
      <c r="AS3663" s="5" t="s">
        <v>488</v>
      </c>
      <c r="AT3663" s="5" t="s">
        <v>246</v>
      </c>
      <c r="AU3663" s="5" t="s">
        <v>489</v>
      </c>
      <c r="AV3663" s="5" t="s">
        <v>247</v>
      </c>
      <c r="AW3663" s="5" t="s">
        <v>238</v>
      </c>
      <c r="AX3663" s="5" t="s">
        <v>249</v>
      </c>
      <c r="AY3663" s="5" t="s">
        <v>490</v>
      </c>
      <c r="BA3663" s="5" t="s">
        <v>238</v>
      </c>
      <c r="BC3663" s="5" t="s">
        <v>491</v>
      </c>
      <c r="BD3663" s="6" t="s">
        <v>492</v>
      </c>
      <c r="BE3663" s="5" t="s">
        <v>493</v>
      </c>
      <c r="BF3663" s="5" t="s">
        <v>493</v>
      </c>
      <c r="BG3663" s="5" t="s">
        <v>238</v>
      </c>
      <c r="BH3663" s="8">
        <f>1</f>
        <v>1</v>
      </c>
      <c r="BI3663" s="8">
        <f>1</f>
        <v>1</v>
      </c>
      <c r="BJ3663" s="5" t="s">
        <v>253</v>
      </c>
      <c r="BK3663" s="5" t="s">
        <v>254</v>
      </c>
      <c r="BL3663" s="5" t="s">
        <v>238</v>
      </c>
      <c r="BM3663" s="5" t="s">
        <v>238</v>
      </c>
      <c r="BN3663" s="5" t="s">
        <v>238</v>
      </c>
      <c r="BO3663" s="5" t="s">
        <v>238</v>
      </c>
      <c r="BP3663" s="5" t="s">
        <v>238</v>
      </c>
      <c r="BQ3663" s="5" t="s">
        <v>238</v>
      </c>
      <c r="BR3663" s="5" t="s">
        <v>238</v>
      </c>
      <c r="BS3663" s="5" t="s">
        <v>238</v>
      </c>
      <c r="BT3663" s="6" t="s">
        <v>238</v>
      </c>
      <c r="BU3663" s="5" t="s">
        <v>238</v>
      </c>
      <c r="BV3663" s="5" t="s">
        <v>238</v>
      </c>
      <c r="BW3663" s="5" t="s">
        <v>238</v>
      </c>
      <c r="BX3663" s="5" t="s">
        <v>254</v>
      </c>
      <c r="BY3663" s="5" t="s">
        <v>238</v>
      </c>
      <c r="BZ3663" s="5" t="s">
        <v>238</v>
      </c>
      <c r="CA3663" s="5" t="s">
        <v>238</v>
      </c>
      <c r="CB3663" s="5" t="s">
        <v>238</v>
      </c>
      <c r="CC3663" s="5" t="s">
        <v>238</v>
      </c>
      <c r="CD3663" s="5" t="s">
        <v>273</v>
      </c>
      <c r="CE3663" s="5" t="s">
        <v>256</v>
      </c>
      <c r="CF3663" s="5" t="s">
        <v>238</v>
      </c>
      <c r="CH3663" s="5" t="s">
        <v>494</v>
      </c>
      <c r="CI3663" s="6" t="s">
        <v>257</v>
      </c>
      <c r="CJ3663" s="5" t="s">
        <v>495</v>
      </c>
      <c r="CK3663" s="5" t="s">
        <v>258</v>
      </c>
      <c r="CL3663" s="5" t="s">
        <v>496</v>
      </c>
      <c r="CM3663" s="5" t="s">
        <v>238</v>
      </c>
      <c r="CN3663" s="5">
        <v>0</v>
      </c>
      <c r="CO3663" s="5" t="s">
        <v>497</v>
      </c>
      <c r="CP3663" s="5" t="s">
        <v>260</v>
      </c>
      <c r="CQ3663" s="5" t="s">
        <v>260</v>
      </c>
      <c r="CR3663" s="5" t="s">
        <v>261</v>
      </c>
      <c r="CS3663" s="5" t="s">
        <v>498</v>
      </c>
      <c r="CT3663" s="7">
        <f>1</f>
        <v>1</v>
      </c>
      <c r="CU3663" s="8">
        <f>1</f>
        <v>1</v>
      </c>
      <c r="CV3663" s="8">
        <f>0</f>
        <v>0</v>
      </c>
      <c r="CX3663" s="8">
        <f>1</f>
        <v>1</v>
      </c>
      <c r="CY3663" s="8">
        <f>1</f>
        <v>1</v>
      </c>
      <c r="CZ3663" s="8" t="s">
        <v>238</v>
      </c>
      <c r="DA3663" s="5" t="s">
        <v>238</v>
      </c>
      <c r="DB3663" s="5" t="s">
        <v>238</v>
      </c>
      <c r="DC3663" s="5" t="s">
        <v>238</v>
      </c>
      <c r="DD3663" s="5" t="s">
        <v>238</v>
      </c>
      <c r="DE3663" s="8">
        <f>0</f>
        <v>0</v>
      </c>
      <c r="DG3663" s="5" t="s">
        <v>238</v>
      </c>
      <c r="DH3663" s="5" t="s">
        <v>238</v>
      </c>
      <c r="DI3663" s="5" t="s">
        <v>238</v>
      </c>
      <c r="DJ3663" s="5" t="s">
        <v>238</v>
      </c>
      <c r="DK3663" s="5" t="s">
        <v>238</v>
      </c>
      <c r="DL3663" s="5" t="s">
        <v>238</v>
      </c>
      <c r="DM3663" s="8" t="s">
        <v>238</v>
      </c>
      <c r="DN3663" s="5" t="s">
        <v>238</v>
      </c>
      <c r="DO3663" s="5" t="s">
        <v>238</v>
      </c>
      <c r="DP3663" s="5" t="s">
        <v>490</v>
      </c>
      <c r="DQ3663" s="5" t="s">
        <v>490</v>
      </c>
      <c r="DR3663" s="5" t="s">
        <v>238</v>
      </c>
      <c r="DS3663" s="5" t="s">
        <v>238</v>
      </c>
      <c r="DT3663" s="5" t="s">
        <v>500</v>
      </c>
      <c r="DU3663" s="5" t="s">
        <v>876</v>
      </c>
      <c r="DV3663" s="5" t="s">
        <v>238</v>
      </c>
      <c r="DW3663" s="5" t="s">
        <v>238</v>
      </c>
      <c r="DX3663" s="5" t="s">
        <v>238</v>
      </c>
      <c r="DY3663" s="5" t="s">
        <v>238</v>
      </c>
      <c r="DZ3663" s="5" t="s">
        <v>238</v>
      </c>
      <c r="EA3663" s="5" t="s">
        <v>238</v>
      </c>
      <c r="EB3663" s="5" t="s">
        <v>238</v>
      </c>
      <c r="EC3663" s="5" t="s">
        <v>238</v>
      </c>
      <c r="ED3663" s="5" t="s">
        <v>238</v>
      </c>
      <c r="EE3663" s="5" t="s">
        <v>238</v>
      </c>
      <c r="EF3663" s="5" t="s">
        <v>238</v>
      </c>
      <c r="EG3663" s="5" t="s">
        <v>238</v>
      </c>
      <c r="EH3663" s="5" t="s">
        <v>238</v>
      </c>
      <c r="EI3663" s="5" t="s">
        <v>238</v>
      </c>
      <c r="EJ3663" s="5" t="s">
        <v>238</v>
      </c>
      <c r="EK3663" s="5" t="s">
        <v>238</v>
      </c>
      <c r="EL3663" s="5" t="s">
        <v>238</v>
      </c>
      <c r="EM3663" s="5" t="s">
        <v>238</v>
      </c>
      <c r="EN3663" s="5" t="s">
        <v>238</v>
      </c>
      <c r="EO3663" s="5" t="s">
        <v>238</v>
      </c>
      <c r="EP3663" s="5" t="s">
        <v>238</v>
      </c>
      <c r="EQ3663" s="5" t="s">
        <v>238</v>
      </c>
      <c r="ER3663" s="5" t="s">
        <v>238</v>
      </c>
      <c r="ES3663" s="5" t="s">
        <v>238</v>
      </c>
      <c r="ET3663" s="5" t="s">
        <v>238</v>
      </c>
      <c r="EU3663" s="5" t="s">
        <v>238</v>
      </c>
      <c r="EV3663" s="5" t="s">
        <v>238</v>
      </c>
      <c r="EW3663" s="5" t="s">
        <v>238</v>
      </c>
      <c r="EX3663" s="5" t="s">
        <v>238</v>
      </c>
      <c r="EY3663" s="5" t="s">
        <v>238</v>
      </c>
      <c r="EZ3663" s="5" t="s">
        <v>238</v>
      </c>
      <c r="FA3663" s="5" t="s">
        <v>238</v>
      </c>
      <c r="FB3663" s="5" t="s">
        <v>238</v>
      </c>
      <c r="FC3663" s="5" t="s">
        <v>238</v>
      </c>
      <c r="FD3663" s="5" t="s">
        <v>238</v>
      </c>
      <c r="FE3663" s="5" t="s">
        <v>238</v>
      </c>
      <c r="FF3663" s="5" t="s">
        <v>238</v>
      </c>
      <c r="FG3663" s="5" t="s">
        <v>238</v>
      </c>
      <c r="FH3663" s="5" t="s">
        <v>238</v>
      </c>
      <c r="FI3663" s="5" t="s">
        <v>238</v>
      </c>
      <c r="FJ3663" s="5" t="s">
        <v>238</v>
      </c>
      <c r="FK3663" s="5" t="s">
        <v>238</v>
      </c>
      <c r="FL3663" s="5" t="s">
        <v>238</v>
      </c>
      <c r="FM3663" s="5" t="s">
        <v>238</v>
      </c>
      <c r="FN3663" s="5" t="s">
        <v>238</v>
      </c>
      <c r="FO3663" s="5" t="s">
        <v>238</v>
      </c>
      <c r="FP3663" s="5" t="s">
        <v>238</v>
      </c>
      <c r="FQ3663" s="5" t="s">
        <v>238</v>
      </c>
      <c r="FR3663" s="5" t="s">
        <v>238</v>
      </c>
      <c r="FS3663" s="5" t="s">
        <v>238</v>
      </c>
      <c r="FT3663" s="5" t="s">
        <v>238</v>
      </c>
      <c r="FU3663" s="5" t="s">
        <v>238</v>
      </c>
      <c r="FV3663" s="5" t="s">
        <v>238</v>
      </c>
      <c r="FW3663" s="5" t="s">
        <v>238</v>
      </c>
      <c r="FX3663" s="5" t="s">
        <v>238</v>
      </c>
      <c r="FY3663" s="5" t="s">
        <v>238</v>
      </c>
      <c r="FZ3663" s="5" t="s">
        <v>238</v>
      </c>
      <c r="GA3663" s="5" t="s">
        <v>238</v>
      </c>
      <c r="GB3663" s="5" t="s">
        <v>238</v>
      </c>
      <c r="GC3663" s="5" t="s">
        <v>238</v>
      </c>
      <c r="GD3663" s="5" t="s">
        <v>238</v>
      </c>
      <c r="GE3663" s="5" t="s">
        <v>238</v>
      </c>
      <c r="GF3663" s="5" t="s">
        <v>238</v>
      </c>
      <c r="GG3663" s="5" t="s">
        <v>238</v>
      </c>
      <c r="GH3663" s="5" t="s">
        <v>238</v>
      </c>
      <c r="GI3663" s="5" t="s">
        <v>238</v>
      </c>
      <c r="GJ3663" s="5" t="s">
        <v>238</v>
      </c>
      <c r="GK3663" s="5" t="s">
        <v>238</v>
      </c>
      <c r="GL3663" s="5" t="s">
        <v>238</v>
      </c>
      <c r="GM3663" s="5" t="s">
        <v>238</v>
      </c>
      <c r="GN3663" s="5" t="s">
        <v>238</v>
      </c>
      <c r="GO3663" s="5" t="s">
        <v>238</v>
      </c>
      <c r="GP3663" s="5" t="s">
        <v>238</v>
      </c>
      <c r="GQ3663" s="5" t="s">
        <v>238</v>
      </c>
      <c r="GR3663" s="5" t="s">
        <v>238</v>
      </c>
      <c r="GS3663" s="5" t="s">
        <v>238</v>
      </c>
      <c r="GT3663" s="5" t="s">
        <v>238</v>
      </c>
      <c r="GU3663" s="5" t="s">
        <v>238</v>
      </c>
      <c r="GV3663" s="5" t="s">
        <v>238</v>
      </c>
      <c r="GW3663" s="5" t="s">
        <v>238</v>
      </c>
      <c r="GX3663" s="5" t="s">
        <v>238</v>
      </c>
      <c r="GY3663" s="5" t="s">
        <v>238</v>
      </c>
      <c r="GZ3663" s="5" t="s">
        <v>238</v>
      </c>
      <c r="HA3663" s="5" t="s">
        <v>238</v>
      </c>
      <c r="HB3663" s="5" t="s">
        <v>238</v>
      </c>
      <c r="HC3663" s="5" t="s">
        <v>238</v>
      </c>
      <c r="HD3663" s="5" t="s">
        <v>238</v>
      </c>
      <c r="HE3663" s="5" t="s">
        <v>238</v>
      </c>
      <c r="HF3663" s="5" t="s">
        <v>238</v>
      </c>
      <c r="HG3663" s="5" t="s">
        <v>238</v>
      </c>
      <c r="HH3663" s="5" t="s">
        <v>238</v>
      </c>
      <c r="HI3663" s="5" t="s">
        <v>238</v>
      </c>
      <c r="HJ3663" s="5" t="s">
        <v>238</v>
      </c>
      <c r="HK3663" s="5" t="s">
        <v>238</v>
      </c>
      <c r="HL3663" s="5" t="s">
        <v>238</v>
      </c>
      <c r="HM3663" s="5" t="s">
        <v>264</v>
      </c>
      <c r="HN3663" s="5" t="s">
        <v>238</v>
      </c>
      <c r="HO3663" s="5" t="s">
        <v>238</v>
      </c>
      <c r="HP3663" s="5" t="s">
        <v>238</v>
      </c>
      <c r="HQ3663" s="5" t="s">
        <v>238</v>
      </c>
      <c r="HR3663" s="5" t="s">
        <v>238</v>
      </c>
      <c r="HS3663" s="5" t="s">
        <v>238</v>
      </c>
      <c r="HT3663" s="5" t="s">
        <v>238</v>
      </c>
      <c r="HU3663" s="5" t="s">
        <v>238</v>
      </c>
      <c r="HV3663" s="5" t="s">
        <v>238</v>
      </c>
      <c r="HW3663" s="5" t="s">
        <v>238</v>
      </c>
      <c r="HX3663" s="5" t="s">
        <v>238</v>
      </c>
      <c r="HY3663" s="5" t="s">
        <v>238</v>
      </c>
      <c r="HZ3663" s="5" t="s">
        <v>238</v>
      </c>
      <c r="IA3663" s="5" t="s">
        <v>238</v>
      </c>
      <c r="IB3663" s="5" t="s">
        <v>238</v>
      </c>
      <c r="IC3663" s="5" t="s">
        <v>238</v>
      </c>
      <c r="ID3663" s="5" t="s">
        <v>238</v>
      </c>
    </row>
    <row r="3664" spans="1:238" x14ac:dyDescent="0.4">
      <c r="A3664" s="5">
        <v>9382</v>
      </c>
      <c r="B3664" s="5">
        <v>1</v>
      </c>
      <c r="C3664" s="5">
        <v>1</v>
      </c>
      <c r="D3664" s="5" t="s">
        <v>484</v>
      </c>
      <c r="E3664" s="5" t="s">
        <v>485</v>
      </c>
      <c r="F3664" s="5" t="s">
        <v>248</v>
      </c>
      <c r="G3664" s="5" t="s">
        <v>4504</v>
      </c>
      <c r="H3664" s="6" t="s">
        <v>4505</v>
      </c>
      <c r="I3664" s="8">
        <f>1</f>
        <v>1</v>
      </c>
      <c r="J3664" s="5" t="s">
        <v>499</v>
      </c>
      <c r="K3664" s="8">
        <f>1</f>
        <v>1</v>
      </c>
      <c r="L3664" s="6" t="s">
        <v>242</v>
      </c>
      <c r="M3664" s="5" t="s">
        <v>267</v>
      </c>
      <c r="N3664" s="5" t="s">
        <v>482</v>
      </c>
      <c r="O3664" s="5" t="s">
        <v>238</v>
      </c>
      <c r="P3664" s="5" t="s">
        <v>238</v>
      </c>
      <c r="Q3664" s="5" t="s">
        <v>239</v>
      </c>
      <c r="R3664" s="5" t="s">
        <v>270</v>
      </c>
      <c r="S3664" s="5" t="s">
        <v>238</v>
      </c>
      <c r="T3664" s="5" t="s">
        <v>238</v>
      </c>
      <c r="U3664" s="5" t="s">
        <v>238</v>
      </c>
      <c r="V3664" s="5" t="s">
        <v>238</v>
      </c>
      <c r="W3664" s="6" t="s">
        <v>238</v>
      </c>
      <c r="X3664" s="6" t="s">
        <v>238</v>
      </c>
      <c r="Y3664" s="5" t="s">
        <v>238</v>
      </c>
      <c r="Z3664" s="6" t="s">
        <v>238</v>
      </c>
      <c r="AA3664" s="6" t="s">
        <v>243</v>
      </c>
      <c r="AB3664" s="5" t="s">
        <v>486</v>
      </c>
      <c r="AC3664" s="5" t="s">
        <v>244</v>
      </c>
      <c r="AD3664" s="5" t="s">
        <v>245</v>
      </c>
      <c r="AE3664" s="5" t="s">
        <v>238</v>
      </c>
      <c r="AF3664" s="5" t="s">
        <v>238</v>
      </c>
      <c r="AG3664" s="5" t="s">
        <v>238</v>
      </c>
      <c r="AH3664" s="5" t="s">
        <v>238</v>
      </c>
      <c r="AI3664" s="5" t="s">
        <v>238</v>
      </c>
      <c r="AJ3664" s="5" t="s">
        <v>238</v>
      </c>
      <c r="AK3664" s="5" t="s">
        <v>238</v>
      </c>
      <c r="AL3664" s="5" t="s">
        <v>238</v>
      </c>
      <c r="AM3664" s="6" t="s">
        <v>238</v>
      </c>
      <c r="AN3664" s="6" t="s">
        <v>238</v>
      </c>
      <c r="AO3664" s="6" t="s">
        <v>238</v>
      </c>
      <c r="AP3664" s="6" t="s">
        <v>238</v>
      </c>
      <c r="AQ3664" s="5" t="s">
        <v>238</v>
      </c>
      <c r="AR3664" s="5" t="s">
        <v>488</v>
      </c>
      <c r="AS3664" s="5" t="s">
        <v>488</v>
      </c>
      <c r="AT3664" s="5" t="s">
        <v>246</v>
      </c>
      <c r="AU3664" s="5" t="s">
        <v>489</v>
      </c>
      <c r="AV3664" s="5" t="s">
        <v>247</v>
      </c>
      <c r="AW3664" s="5" t="s">
        <v>238</v>
      </c>
      <c r="AX3664" s="5" t="s">
        <v>249</v>
      </c>
      <c r="AY3664" s="5" t="s">
        <v>490</v>
      </c>
      <c r="BA3664" s="5" t="s">
        <v>238</v>
      </c>
      <c r="BC3664" s="5" t="s">
        <v>491</v>
      </c>
      <c r="BD3664" s="6" t="s">
        <v>492</v>
      </c>
      <c r="BE3664" s="5" t="s">
        <v>493</v>
      </c>
      <c r="BF3664" s="5" t="s">
        <v>493</v>
      </c>
      <c r="BG3664" s="5" t="s">
        <v>238</v>
      </c>
      <c r="BH3664" s="8">
        <f>1</f>
        <v>1</v>
      </c>
      <c r="BI3664" s="8">
        <f>1</f>
        <v>1</v>
      </c>
      <c r="BJ3664" s="5" t="s">
        <v>253</v>
      </c>
      <c r="BK3664" s="5" t="s">
        <v>254</v>
      </c>
      <c r="BL3664" s="5" t="s">
        <v>238</v>
      </c>
      <c r="BM3664" s="5" t="s">
        <v>238</v>
      </c>
      <c r="BN3664" s="5" t="s">
        <v>238</v>
      </c>
      <c r="BO3664" s="5" t="s">
        <v>238</v>
      </c>
      <c r="BP3664" s="5" t="s">
        <v>238</v>
      </c>
      <c r="BQ3664" s="5" t="s">
        <v>238</v>
      </c>
      <c r="BR3664" s="5" t="s">
        <v>238</v>
      </c>
      <c r="BS3664" s="5" t="s">
        <v>238</v>
      </c>
      <c r="BT3664" s="6" t="s">
        <v>238</v>
      </c>
      <c r="BU3664" s="5" t="s">
        <v>238</v>
      </c>
      <c r="BV3664" s="5" t="s">
        <v>238</v>
      </c>
      <c r="BW3664" s="5" t="s">
        <v>238</v>
      </c>
      <c r="BX3664" s="5" t="s">
        <v>254</v>
      </c>
      <c r="BY3664" s="5" t="s">
        <v>238</v>
      </c>
      <c r="BZ3664" s="5" t="s">
        <v>238</v>
      </c>
      <c r="CA3664" s="5" t="s">
        <v>238</v>
      </c>
      <c r="CB3664" s="5" t="s">
        <v>238</v>
      </c>
      <c r="CC3664" s="5" t="s">
        <v>238</v>
      </c>
      <c r="CD3664" s="5" t="s">
        <v>273</v>
      </c>
      <c r="CE3664" s="5" t="s">
        <v>256</v>
      </c>
      <c r="CF3664" s="5" t="s">
        <v>238</v>
      </c>
      <c r="CH3664" s="5" t="s">
        <v>494</v>
      </c>
      <c r="CI3664" s="6" t="s">
        <v>257</v>
      </c>
      <c r="CJ3664" s="5" t="s">
        <v>495</v>
      </c>
      <c r="CK3664" s="5" t="s">
        <v>258</v>
      </c>
      <c r="CL3664" s="5" t="s">
        <v>496</v>
      </c>
      <c r="CM3664" s="5" t="s">
        <v>238</v>
      </c>
      <c r="CN3664" s="5">
        <v>0</v>
      </c>
      <c r="CO3664" s="5" t="s">
        <v>497</v>
      </c>
      <c r="CP3664" s="5" t="s">
        <v>260</v>
      </c>
      <c r="CQ3664" s="5" t="s">
        <v>260</v>
      </c>
      <c r="CR3664" s="5" t="s">
        <v>261</v>
      </c>
      <c r="CS3664" s="5" t="s">
        <v>498</v>
      </c>
      <c r="CT3664" s="7">
        <f>1</f>
        <v>1</v>
      </c>
      <c r="CU3664" s="8">
        <f>1</f>
        <v>1</v>
      </c>
      <c r="CV3664" s="8">
        <f>0</f>
        <v>0</v>
      </c>
      <c r="CX3664" s="8">
        <f>1</f>
        <v>1</v>
      </c>
      <c r="CY3664" s="8">
        <f>1</f>
        <v>1</v>
      </c>
      <c r="CZ3664" s="8" t="s">
        <v>238</v>
      </c>
      <c r="DA3664" s="5" t="s">
        <v>238</v>
      </c>
      <c r="DB3664" s="5" t="s">
        <v>238</v>
      </c>
      <c r="DC3664" s="5" t="s">
        <v>238</v>
      </c>
      <c r="DD3664" s="5" t="s">
        <v>238</v>
      </c>
      <c r="DE3664" s="8">
        <f>0</f>
        <v>0</v>
      </c>
      <c r="DG3664" s="5" t="s">
        <v>238</v>
      </c>
      <c r="DH3664" s="5" t="s">
        <v>238</v>
      </c>
      <c r="DI3664" s="5" t="s">
        <v>238</v>
      </c>
      <c r="DJ3664" s="5" t="s">
        <v>238</v>
      </c>
      <c r="DK3664" s="5" t="s">
        <v>238</v>
      </c>
      <c r="DL3664" s="5" t="s">
        <v>238</v>
      </c>
      <c r="DM3664" s="8" t="s">
        <v>238</v>
      </c>
      <c r="DN3664" s="5" t="s">
        <v>238</v>
      </c>
      <c r="DO3664" s="5" t="s">
        <v>238</v>
      </c>
      <c r="DP3664" s="5" t="s">
        <v>490</v>
      </c>
      <c r="DQ3664" s="5" t="s">
        <v>490</v>
      </c>
      <c r="DR3664" s="5" t="s">
        <v>238</v>
      </c>
      <c r="DS3664" s="5" t="s">
        <v>238</v>
      </c>
      <c r="DT3664" s="5" t="s">
        <v>500</v>
      </c>
      <c r="DU3664" s="5" t="s">
        <v>864</v>
      </c>
      <c r="DV3664" s="5" t="s">
        <v>238</v>
      </c>
      <c r="DW3664" s="5" t="s">
        <v>238</v>
      </c>
      <c r="DX3664" s="5" t="s">
        <v>238</v>
      </c>
      <c r="DY3664" s="5" t="s">
        <v>238</v>
      </c>
      <c r="DZ3664" s="5" t="s">
        <v>238</v>
      </c>
      <c r="EA3664" s="5" t="s">
        <v>238</v>
      </c>
      <c r="EB3664" s="5" t="s">
        <v>238</v>
      </c>
      <c r="EC3664" s="5" t="s">
        <v>238</v>
      </c>
      <c r="ED3664" s="5" t="s">
        <v>238</v>
      </c>
      <c r="EE3664" s="5" t="s">
        <v>238</v>
      </c>
      <c r="EF3664" s="5" t="s">
        <v>238</v>
      </c>
      <c r="EG3664" s="5" t="s">
        <v>238</v>
      </c>
      <c r="EH3664" s="5" t="s">
        <v>238</v>
      </c>
      <c r="EI3664" s="5" t="s">
        <v>238</v>
      </c>
      <c r="EJ3664" s="5" t="s">
        <v>238</v>
      </c>
      <c r="EK3664" s="5" t="s">
        <v>238</v>
      </c>
      <c r="EL3664" s="5" t="s">
        <v>238</v>
      </c>
      <c r="EM3664" s="5" t="s">
        <v>238</v>
      </c>
      <c r="EN3664" s="5" t="s">
        <v>238</v>
      </c>
      <c r="EO3664" s="5" t="s">
        <v>238</v>
      </c>
      <c r="EP3664" s="5" t="s">
        <v>238</v>
      </c>
      <c r="EQ3664" s="5" t="s">
        <v>238</v>
      </c>
      <c r="ER3664" s="5" t="s">
        <v>238</v>
      </c>
      <c r="ES3664" s="5" t="s">
        <v>238</v>
      </c>
      <c r="ET3664" s="5" t="s">
        <v>238</v>
      </c>
      <c r="EU3664" s="5" t="s">
        <v>238</v>
      </c>
      <c r="EV3664" s="5" t="s">
        <v>238</v>
      </c>
      <c r="EW3664" s="5" t="s">
        <v>238</v>
      </c>
      <c r="EX3664" s="5" t="s">
        <v>238</v>
      </c>
      <c r="EY3664" s="5" t="s">
        <v>238</v>
      </c>
      <c r="EZ3664" s="5" t="s">
        <v>238</v>
      </c>
      <c r="FA3664" s="5" t="s">
        <v>238</v>
      </c>
      <c r="FB3664" s="5" t="s">
        <v>238</v>
      </c>
      <c r="FC3664" s="5" t="s">
        <v>238</v>
      </c>
      <c r="FD3664" s="5" t="s">
        <v>238</v>
      </c>
      <c r="FE3664" s="5" t="s">
        <v>238</v>
      </c>
      <c r="FF3664" s="5" t="s">
        <v>238</v>
      </c>
      <c r="FG3664" s="5" t="s">
        <v>238</v>
      </c>
      <c r="FH3664" s="5" t="s">
        <v>238</v>
      </c>
      <c r="FI3664" s="5" t="s">
        <v>238</v>
      </c>
      <c r="FJ3664" s="5" t="s">
        <v>238</v>
      </c>
      <c r="FK3664" s="5" t="s">
        <v>238</v>
      </c>
      <c r="FL3664" s="5" t="s">
        <v>238</v>
      </c>
      <c r="FM3664" s="5" t="s">
        <v>238</v>
      </c>
      <c r="FN3664" s="5" t="s">
        <v>238</v>
      </c>
      <c r="FO3664" s="5" t="s">
        <v>238</v>
      </c>
      <c r="FP3664" s="5" t="s">
        <v>238</v>
      </c>
      <c r="FQ3664" s="5" t="s">
        <v>238</v>
      </c>
      <c r="FR3664" s="5" t="s">
        <v>238</v>
      </c>
      <c r="FS3664" s="5" t="s">
        <v>238</v>
      </c>
      <c r="FT3664" s="5" t="s">
        <v>238</v>
      </c>
      <c r="FU3664" s="5" t="s">
        <v>238</v>
      </c>
      <c r="FV3664" s="5" t="s">
        <v>238</v>
      </c>
      <c r="FW3664" s="5" t="s">
        <v>238</v>
      </c>
      <c r="FX3664" s="5" t="s">
        <v>238</v>
      </c>
      <c r="FY3664" s="5" t="s">
        <v>238</v>
      </c>
      <c r="FZ3664" s="5" t="s">
        <v>238</v>
      </c>
      <c r="GA3664" s="5" t="s">
        <v>238</v>
      </c>
      <c r="GB3664" s="5" t="s">
        <v>238</v>
      </c>
      <c r="GC3664" s="5" t="s">
        <v>238</v>
      </c>
      <c r="GD3664" s="5" t="s">
        <v>238</v>
      </c>
      <c r="GE3664" s="5" t="s">
        <v>238</v>
      </c>
      <c r="GF3664" s="5" t="s">
        <v>238</v>
      </c>
      <c r="GG3664" s="5" t="s">
        <v>238</v>
      </c>
      <c r="GH3664" s="5" t="s">
        <v>238</v>
      </c>
      <c r="GI3664" s="5" t="s">
        <v>238</v>
      </c>
      <c r="GJ3664" s="5" t="s">
        <v>238</v>
      </c>
      <c r="GK3664" s="5" t="s">
        <v>238</v>
      </c>
      <c r="GL3664" s="5" t="s">
        <v>238</v>
      </c>
      <c r="GM3664" s="5" t="s">
        <v>238</v>
      </c>
      <c r="GN3664" s="5" t="s">
        <v>238</v>
      </c>
      <c r="GO3664" s="5" t="s">
        <v>238</v>
      </c>
      <c r="GP3664" s="5" t="s">
        <v>238</v>
      </c>
      <c r="GQ3664" s="5" t="s">
        <v>238</v>
      </c>
      <c r="GR3664" s="5" t="s">
        <v>238</v>
      </c>
      <c r="GS3664" s="5" t="s">
        <v>238</v>
      </c>
      <c r="GT3664" s="5" t="s">
        <v>238</v>
      </c>
      <c r="GU3664" s="5" t="s">
        <v>238</v>
      </c>
      <c r="GV3664" s="5" t="s">
        <v>238</v>
      </c>
      <c r="GW3664" s="5" t="s">
        <v>238</v>
      </c>
      <c r="GX3664" s="5" t="s">
        <v>238</v>
      </c>
      <c r="GY3664" s="5" t="s">
        <v>238</v>
      </c>
      <c r="GZ3664" s="5" t="s">
        <v>238</v>
      </c>
      <c r="HA3664" s="5" t="s">
        <v>238</v>
      </c>
      <c r="HB3664" s="5" t="s">
        <v>238</v>
      </c>
      <c r="HC3664" s="5" t="s">
        <v>238</v>
      </c>
      <c r="HD3664" s="5" t="s">
        <v>238</v>
      </c>
      <c r="HE3664" s="5" t="s">
        <v>238</v>
      </c>
      <c r="HF3664" s="5" t="s">
        <v>238</v>
      </c>
      <c r="HG3664" s="5" t="s">
        <v>238</v>
      </c>
      <c r="HH3664" s="5" t="s">
        <v>238</v>
      </c>
      <c r="HI3664" s="5" t="s">
        <v>238</v>
      </c>
      <c r="HJ3664" s="5" t="s">
        <v>238</v>
      </c>
      <c r="HK3664" s="5" t="s">
        <v>238</v>
      </c>
      <c r="HL3664" s="5" t="s">
        <v>238</v>
      </c>
      <c r="HM3664" s="5" t="s">
        <v>264</v>
      </c>
      <c r="HN3664" s="5" t="s">
        <v>238</v>
      </c>
      <c r="HO3664" s="5" t="s">
        <v>238</v>
      </c>
      <c r="HP3664" s="5" t="s">
        <v>238</v>
      </c>
      <c r="HQ3664" s="5" t="s">
        <v>238</v>
      </c>
      <c r="HR3664" s="5" t="s">
        <v>238</v>
      </c>
      <c r="HS3664" s="5" t="s">
        <v>238</v>
      </c>
      <c r="HT3664" s="5" t="s">
        <v>238</v>
      </c>
      <c r="HU3664" s="5" t="s">
        <v>238</v>
      </c>
      <c r="HV3664" s="5" t="s">
        <v>238</v>
      </c>
      <c r="HW3664" s="5" t="s">
        <v>238</v>
      </c>
      <c r="HX3664" s="5" t="s">
        <v>238</v>
      </c>
      <c r="HY3664" s="5" t="s">
        <v>238</v>
      </c>
      <c r="HZ3664" s="5" t="s">
        <v>238</v>
      </c>
      <c r="IA3664" s="5" t="s">
        <v>238</v>
      </c>
      <c r="IB3664" s="5" t="s">
        <v>238</v>
      </c>
      <c r="IC3664" s="5" t="s">
        <v>238</v>
      </c>
      <c r="ID3664" s="5" t="s">
        <v>238</v>
      </c>
    </row>
    <row r="3665" spans="1:238" x14ac:dyDescent="0.4">
      <c r="A3665" s="5">
        <v>9383</v>
      </c>
      <c r="B3665" s="5">
        <v>1</v>
      </c>
      <c r="C3665" s="5">
        <v>1</v>
      </c>
      <c r="D3665" s="5" t="s">
        <v>484</v>
      </c>
      <c r="E3665" s="5" t="s">
        <v>485</v>
      </c>
      <c r="F3665" s="5" t="s">
        <v>248</v>
      </c>
      <c r="G3665" s="5" t="s">
        <v>4553</v>
      </c>
      <c r="H3665" s="6" t="s">
        <v>4554</v>
      </c>
      <c r="I3665" s="8">
        <f>1</f>
        <v>1</v>
      </c>
      <c r="J3665" s="5" t="s">
        <v>499</v>
      </c>
      <c r="K3665" s="8">
        <f>1</f>
        <v>1</v>
      </c>
      <c r="L3665" s="6" t="s">
        <v>242</v>
      </c>
      <c r="M3665" s="5" t="s">
        <v>267</v>
      </c>
      <c r="N3665" s="5" t="s">
        <v>482</v>
      </c>
      <c r="O3665" s="5" t="s">
        <v>238</v>
      </c>
      <c r="P3665" s="5" t="s">
        <v>238</v>
      </c>
      <c r="Q3665" s="5" t="s">
        <v>239</v>
      </c>
      <c r="R3665" s="5" t="s">
        <v>270</v>
      </c>
      <c r="S3665" s="5" t="s">
        <v>238</v>
      </c>
      <c r="T3665" s="5" t="s">
        <v>238</v>
      </c>
      <c r="U3665" s="5" t="s">
        <v>238</v>
      </c>
      <c r="V3665" s="5" t="s">
        <v>238</v>
      </c>
      <c r="W3665" s="6" t="s">
        <v>238</v>
      </c>
      <c r="X3665" s="6" t="s">
        <v>238</v>
      </c>
      <c r="Y3665" s="5" t="s">
        <v>238</v>
      </c>
      <c r="Z3665" s="6" t="s">
        <v>238</v>
      </c>
      <c r="AA3665" s="6" t="s">
        <v>243</v>
      </c>
      <c r="AB3665" s="5" t="s">
        <v>486</v>
      </c>
      <c r="AC3665" s="5" t="s">
        <v>244</v>
      </c>
      <c r="AD3665" s="5" t="s">
        <v>245</v>
      </c>
      <c r="AE3665" s="5" t="s">
        <v>238</v>
      </c>
      <c r="AF3665" s="5" t="s">
        <v>238</v>
      </c>
      <c r="AG3665" s="5" t="s">
        <v>238</v>
      </c>
      <c r="AH3665" s="5" t="s">
        <v>238</v>
      </c>
      <c r="AI3665" s="5" t="s">
        <v>238</v>
      </c>
      <c r="AJ3665" s="5" t="s">
        <v>238</v>
      </c>
      <c r="AK3665" s="5" t="s">
        <v>238</v>
      </c>
      <c r="AL3665" s="5" t="s">
        <v>238</v>
      </c>
      <c r="AM3665" s="6" t="s">
        <v>238</v>
      </c>
      <c r="AN3665" s="6" t="s">
        <v>238</v>
      </c>
      <c r="AO3665" s="6" t="s">
        <v>238</v>
      </c>
      <c r="AP3665" s="6" t="s">
        <v>238</v>
      </c>
      <c r="AQ3665" s="5" t="s">
        <v>238</v>
      </c>
      <c r="AR3665" s="5" t="s">
        <v>488</v>
      </c>
      <c r="AS3665" s="5" t="s">
        <v>488</v>
      </c>
      <c r="AT3665" s="5" t="s">
        <v>246</v>
      </c>
      <c r="AU3665" s="5" t="s">
        <v>489</v>
      </c>
      <c r="AV3665" s="5" t="s">
        <v>247</v>
      </c>
      <c r="AW3665" s="5" t="s">
        <v>238</v>
      </c>
      <c r="AX3665" s="5" t="s">
        <v>249</v>
      </c>
      <c r="AY3665" s="5" t="s">
        <v>490</v>
      </c>
      <c r="BA3665" s="5" t="s">
        <v>238</v>
      </c>
      <c r="BC3665" s="5" t="s">
        <v>491</v>
      </c>
      <c r="BD3665" s="6" t="s">
        <v>492</v>
      </c>
      <c r="BE3665" s="5" t="s">
        <v>493</v>
      </c>
      <c r="BF3665" s="5" t="s">
        <v>493</v>
      </c>
      <c r="BG3665" s="5" t="s">
        <v>238</v>
      </c>
      <c r="BH3665" s="8">
        <f>1</f>
        <v>1</v>
      </c>
      <c r="BI3665" s="8">
        <f>1</f>
        <v>1</v>
      </c>
      <c r="BJ3665" s="5" t="s">
        <v>253</v>
      </c>
      <c r="BK3665" s="5" t="s">
        <v>254</v>
      </c>
      <c r="BL3665" s="5" t="s">
        <v>238</v>
      </c>
      <c r="BM3665" s="5" t="s">
        <v>238</v>
      </c>
      <c r="BN3665" s="5" t="s">
        <v>238</v>
      </c>
      <c r="BO3665" s="5" t="s">
        <v>238</v>
      </c>
      <c r="BP3665" s="5" t="s">
        <v>238</v>
      </c>
      <c r="BQ3665" s="5" t="s">
        <v>238</v>
      </c>
      <c r="BR3665" s="5" t="s">
        <v>238</v>
      </c>
      <c r="BS3665" s="5" t="s">
        <v>238</v>
      </c>
      <c r="BT3665" s="6" t="s">
        <v>238</v>
      </c>
      <c r="BU3665" s="5" t="s">
        <v>238</v>
      </c>
      <c r="BV3665" s="5" t="s">
        <v>238</v>
      </c>
      <c r="BW3665" s="5" t="s">
        <v>238</v>
      </c>
      <c r="BX3665" s="5" t="s">
        <v>254</v>
      </c>
      <c r="BY3665" s="5" t="s">
        <v>238</v>
      </c>
      <c r="BZ3665" s="5" t="s">
        <v>238</v>
      </c>
      <c r="CA3665" s="5" t="s">
        <v>238</v>
      </c>
      <c r="CB3665" s="5" t="s">
        <v>238</v>
      </c>
      <c r="CC3665" s="5" t="s">
        <v>238</v>
      </c>
      <c r="CD3665" s="5" t="s">
        <v>273</v>
      </c>
      <c r="CE3665" s="5" t="s">
        <v>256</v>
      </c>
      <c r="CF3665" s="5" t="s">
        <v>238</v>
      </c>
      <c r="CH3665" s="5" t="s">
        <v>494</v>
      </c>
      <c r="CI3665" s="6" t="s">
        <v>257</v>
      </c>
      <c r="CJ3665" s="5" t="s">
        <v>495</v>
      </c>
      <c r="CK3665" s="5" t="s">
        <v>258</v>
      </c>
      <c r="CL3665" s="5" t="s">
        <v>496</v>
      </c>
      <c r="CM3665" s="5" t="s">
        <v>238</v>
      </c>
      <c r="CN3665" s="5">
        <v>0</v>
      </c>
      <c r="CO3665" s="5" t="s">
        <v>497</v>
      </c>
      <c r="CP3665" s="5" t="s">
        <v>260</v>
      </c>
      <c r="CQ3665" s="5" t="s">
        <v>260</v>
      </c>
      <c r="CR3665" s="5" t="s">
        <v>261</v>
      </c>
      <c r="CS3665" s="5" t="s">
        <v>498</v>
      </c>
      <c r="CT3665" s="7">
        <f>1</f>
        <v>1</v>
      </c>
      <c r="CU3665" s="8">
        <f>1</f>
        <v>1</v>
      </c>
      <c r="CV3665" s="8">
        <f>0</f>
        <v>0</v>
      </c>
      <c r="CX3665" s="8">
        <f>1</f>
        <v>1</v>
      </c>
      <c r="CY3665" s="8">
        <f>1</f>
        <v>1</v>
      </c>
      <c r="CZ3665" s="8" t="s">
        <v>238</v>
      </c>
      <c r="DA3665" s="5" t="s">
        <v>238</v>
      </c>
      <c r="DB3665" s="5" t="s">
        <v>238</v>
      </c>
      <c r="DC3665" s="5" t="s">
        <v>238</v>
      </c>
      <c r="DD3665" s="5" t="s">
        <v>238</v>
      </c>
      <c r="DE3665" s="8">
        <f>0</f>
        <v>0</v>
      </c>
      <c r="DG3665" s="5" t="s">
        <v>238</v>
      </c>
      <c r="DH3665" s="5" t="s">
        <v>238</v>
      </c>
      <c r="DI3665" s="5" t="s">
        <v>238</v>
      </c>
      <c r="DJ3665" s="5" t="s">
        <v>238</v>
      </c>
      <c r="DK3665" s="5" t="s">
        <v>238</v>
      </c>
      <c r="DL3665" s="5" t="s">
        <v>238</v>
      </c>
      <c r="DM3665" s="8" t="s">
        <v>238</v>
      </c>
      <c r="DN3665" s="5" t="s">
        <v>238</v>
      </c>
      <c r="DO3665" s="5" t="s">
        <v>238</v>
      </c>
      <c r="DP3665" s="5" t="s">
        <v>490</v>
      </c>
      <c r="DQ3665" s="5" t="s">
        <v>490</v>
      </c>
      <c r="DR3665" s="5" t="s">
        <v>238</v>
      </c>
      <c r="DS3665" s="5" t="s">
        <v>238</v>
      </c>
      <c r="DT3665" s="5" t="s">
        <v>500</v>
      </c>
      <c r="DU3665" s="5" t="s">
        <v>851</v>
      </c>
      <c r="DV3665" s="5" t="s">
        <v>238</v>
      </c>
      <c r="DW3665" s="5" t="s">
        <v>238</v>
      </c>
      <c r="DX3665" s="5" t="s">
        <v>238</v>
      </c>
      <c r="DY3665" s="5" t="s">
        <v>238</v>
      </c>
      <c r="DZ3665" s="5" t="s">
        <v>238</v>
      </c>
      <c r="EA3665" s="5" t="s">
        <v>238</v>
      </c>
      <c r="EB3665" s="5" t="s">
        <v>238</v>
      </c>
      <c r="EC3665" s="5" t="s">
        <v>238</v>
      </c>
      <c r="ED3665" s="5" t="s">
        <v>238</v>
      </c>
      <c r="EE3665" s="5" t="s">
        <v>238</v>
      </c>
      <c r="EF3665" s="5" t="s">
        <v>238</v>
      </c>
      <c r="EG3665" s="5" t="s">
        <v>238</v>
      </c>
      <c r="EH3665" s="5" t="s">
        <v>238</v>
      </c>
      <c r="EI3665" s="5" t="s">
        <v>238</v>
      </c>
      <c r="EJ3665" s="5" t="s">
        <v>238</v>
      </c>
      <c r="EK3665" s="5" t="s">
        <v>238</v>
      </c>
      <c r="EL3665" s="5" t="s">
        <v>238</v>
      </c>
      <c r="EM3665" s="5" t="s">
        <v>238</v>
      </c>
      <c r="EN3665" s="5" t="s">
        <v>238</v>
      </c>
      <c r="EO3665" s="5" t="s">
        <v>238</v>
      </c>
      <c r="EP3665" s="5" t="s">
        <v>238</v>
      </c>
      <c r="EQ3665" s="5" t="s">
        <v>238</v>
      </c>
      <c r="ER3665" s="5" t="s">
        <v>238</v>
      </c>
      <c r="ES3665" s="5" t="s">
        <v>238</v>
      </c>
      <c r="ET3665" s="5" t="s">
        <v>238</v>
      </c>
      <c r="EU3665" s="5" t="s">
        <v>238</v>
      </c>
      <c r="EV3665" s="5" t="s">
        <v>238</v>
      </c>
      <c r="EW3665" s="5" t="s">
        <v>238</v>
      </c>
      <c r="EX3665" s="5" t="s">
        <v>238</v>
      </c>
      <c r="EY3665" s="5" t="s">
        <v>238</v>
      </c>
      <c r="EZ3665" s="5" t="s">
        <v>238</v>
      </c>
      <c r="FA3665" s="5" t="s">
        <v>238</v>
      </c>
      <c r="FB3665" s="5" t="s">
        <v>238</v>
      </c>
      <c r="FC3665" s="5" t="s">
        <v>238</v>
      </c>
      <c r="FD3665" s="5" t="s">
        <v>238</v>
      </c>
      <c r="FE3665" s="5" t="s">
        <v>238</v>
      </c>
      <c r="FF3665" s="5" t="s">
        <v>238</v>
      </c>
      <c r="FG3665" s="5" t="s">
        <v>238</v>
      </c>
      <c r="FH3665" s="5" t="s">
        <v>238</v>
      </c>
      <c r="FI3665" s="5" t="s">
        <v>238</v>
      </c>
      <c r="FJ3665" s="5" t="s">
        <v>238</v>
      </c>
      <c r="FK3665" s="5" t="s">
        <v>238</v>
      </c>
      <c r="FL3665" s="5" t="s">
        <v>238</v>
      </c>
      <c r="FM3665" s="5" t="s">
        <v>238</v>
      </c>
      <c r="FN3665" s="5" t="s">
        <v>238</v>
      </c>
      <c r="FO3665" s="5" t="s">
        <v>238</v>
      </c>
      <c r="FP3665" s="5" t="s">
        <v>238</v>
      </c>
      <c r="FQ3665" s="5" t="s">
        <v>238</v>
      </c>
      <c r="FR3665" s="5" t="s">
        <v>238</v>
      </c>
      <c r="FS3665" s="5" t="s">
        <v>238</v>
      </c>
      <c r="FT3665" s="5" t="s">
        <v>238</v>
      </c>
      <c r="FU3665" s="5" t="s">
        <v>238</v>
      </c>
      <c r="FV3665" s="5" t="s">
        <v>238</v>
      </c>
      <c r="FW3665" s="5" t="s">
        <v>238</v>
      </c>
      <c r="FX3665" s="5" t="s">
        <v>238</v>
      </c>
      <c r="FY3665" s="5" t="s">
        <v>238</v>
      </c>
      <c r="FZ3665" s="5" t="s">
        <v>238</v>
      </c>
      <c r="GA3665" s="5" t="s">
        <v>238</v>
      </c>
      <c r="GB3665" s="5" t="s">
        <v>238</v>
      </c>
      <c r="GC3665" s="5" t="s">
        <v>238</v>
      </c>
      <c r="GD3665" s="5" t="s">
        <v>238</v>
      </c>
      <c r="GE3665" s="5" t="s">
        <v>238</v>
      </c>
      <c r="GF3665" s="5" t="s">
        <v>238</v>
      </c>
      <c r="GG3665" s="5" t="s">
        <v>238</v>
      </c>
      <c r="GH3665" s="5" t="s">
        <v>238</v>
      </c>
      <c r="GI3665" s="5" t="s">
        <v>238</v>
      </c>
      <c r="GJ3665" s="5" t="s">
        <v>238</v>
      </c>
      <c r="GK3665" s="5" t="s">
        <v>238</v>
      </c>
      <c r="GL3665" s="5" t="s">
        <v>238</v>
      </c>
      <c r="GM3665" s="5" t="s">
        <v>238</v>
      </c>
      <c r="GN3665" s="5" t="s">
        <v>238</v>
      </c>
      <c r="GO3665" s="5" t="s">
        <v>238</v>
      </c>
      <c r="GP3665" s="5" t="s">
        <v>238</v>
      </c>
      <c r="GQ3665" s="5" t="s">
        <v>238</v>
      </c>
      <c r="GR3665" s="5" t="s">
        <v>238</v>
      </c>
      <c r="GS3665" s="5" t="s">
        <v>238</v>
      </c>
      <c r="GT3665" s="5" t="s">
        <v>238</v>
      </c>
      <c r="GU3665" s="5" t="s">
        <v>238</v>
      </c>
      <c r="GV3665" s="5" t="s">
        <v>238</v>
      </c>
      <c r="GW3665" s="5" t="s">
        <v>238</v>
      </c>
      <c r="GX3665" s="5" t="s">
        <v>238</v>
      </c>
      <c r="GY3665" s="5" t="s">
        <v>238</v>
      </c>
      <c r="GZ3665" s="5" t="s">
        <v>238</v>
      </c>
      <c r="HA3665" s="5" t="s">
        <v>238</v>
      </c>
      <c r="HB3665" s="5" t="s">
        <v>238</v>
      </c>
      <c r="HC3665" s="5" t="s">
        <v>238</v>
      </c>
      <c r="HD3665" s="5" t="s">
        <v>238</v>
      </c>
      <c r="HE3665" s="5" t="s">
        <v>238</v>
      </c>
      <c r="HF3665" s="5" t="s">
        <v>238</v>
      </c>
      <c r="HG3665" s="5" t="s">
        <v>238</v>
      </c>
      <c r="HH3665" s="5" t="s">
        <v>238</v>
      </c>
      <c r="HI3665" s="5" t="s">
        <v>238</v>
      </c>
      <c r="HJ3665" s="5" t="s">
        <v>238</v>
      </c>
      <c r="HK3665" s="5" t="s">
        <v>238</v>
      </c>
      <c r="HL3665" s="5" t="s">
        <v>238</v>
      </c>
      <c r="HM3665" s="5" t="s">
        <v>264</v>
      </c>
      <c r="HN3665" s="5" t="s">
        <v>238</v>
      </c>
      <c r="HO3665" s="5" t="s">
        <v>238</v>
      </c>
      <c r="HP3665" s="5" t="s">
        <v>238</v>
      </c>
      <c r="HQ3665" s="5" t="s">
        <v>238</v>
      </c>
      <c r="HR3665" s="5" t="s">
        <v>238</v>
      </c>
      <c r="HS3665" s="5" t="s">
        <v>238</v>
      </c>
      <c r="HT3665" s="5" t="s">
        <v>238</v>
      </c>
      <c r="HU3665" s="5" t="s">
        <v>238</v>
      </c>
      <c r="HV3665" s="5" t="s">
        <v>238</v>
      </c>
      <c r="HW3665" s="5" t="s">
        <v>238</v>
      </c>
      <c r="HX3665" s="5" t="s">
        <v>238</v>
      </c>
      <c r="HY3665" s="5" t="s">
        <v>238</v>
      </c>
      <c r="HZ3665" s="5" t="s">
        <v>238</v>
      </c>
      <c r="IA3665" s="5" t="s">
        <v>238</v>
      </c>
      <c r="IB3665" s="5" t="s">
        <v>238</v>
      </c>
      <c r="IC3665" s="5" t="s">
        <v>238</v>
      </c>
      <c r="ID3665" s="5" t="s">
        <v>238</v>
      </c>
    </row>
    <row r="3666" spans="1:238" x14ac:dyDescent="0.4">
      <c r="A3666" s="5">
        <v>9384</v>
      </c>
      <c r="B3666" s="5">
        <v>1</v>
      </c>
      <c r="C3666" s="5">
        <v>1</v>
      </c>
      <c r="D3666" s="5" t="s">
        <v>484</v>
      </c>
      <c r="E3666" s="5" t="s">
        <v>485</v>
      </c>
      <c r="F3666" s="5" t="s">
        <v>248</v>
      </c>
      <c r="G3666" s="5" t="s">
        <v>5770</v>
      </c>
      <c r="H3666" s="6" t="s">
        <v>5771</v>
      </c>
      <c r="I3666" s="8">
        <f>1</f>
        <v>1</v>
      </c>
      <c r="J3666" s="5" t="s">
        <v>499</v>
      </c>
      <c r="K3666" s="8">
        <f>1</f>
        <v>1</v>
      </c>
      <c r="L3666" s="6" t="s">
        <v>242</v>
      </c>
      <c r="M3666" s="5" t="s">
        <v>267</v>
      </c>
      <c r="N3666" s="5" t="s">
        <v>482</v>
      </c>
      <c r="O3666" s="5" t="s">
        <v>238</v>
      </c>
      <c r="P3666" s="5" t="s">
        <v>238</v>
      </c>
      <c r="Q3666" s="5" t="s">
        <v>239</v>
      </c>
      <c r="R3666" s="5" t="s">
        <v>270</v>
      </c>
      <c r="S3666" s="5" t="s">
        <v>238</v>
      </c>
      <c r="T3666" s="5" t="s">
        <v>238</v>
      </c>
      <c r="U3666" s="5" t="s">
        <v>238</v>
      </c>
      <c r="V3666" s="5" t="s">
        <v>238</v>
      </c>
      <c r="W3666" s="6" t="s">
        <v>238</v>
      </c>
      <c r="X3666" s="6" t="s">
        <v>238</v>
      </c>
      <c r="Y3666" s="5" t="s">
        <v>238</v>
      </c>
      <c r="Z3666" s="6" t="s">
        <v>238</v>
      </c>
      <c r="AA3666" s="6" t="s">
        <v>243</v>
      </c>
      <c r="AB3666" s="5" t="s">
        <v>486</v>
      </c>
      <c r="AC3666" s="5" t="s">
        <v>244</v>
      </c>
      <c r="AD3666" s="5" t="s">
        <v>245</v>
      </c>
      <c r="AE3666" s="5" t="s">
        <v>238</v>
      </c>
      <c r="AF3666" s="5" t="s">
        <v>238</v>
      </c>
      <c r="AG3666" s="5" t="s">
        <v>238</v>
      </c>
      <c r="AH3666" s="5" t="s">
        <v>238</v>
      </c>
      <c r="AI3666" s="5" t="s">
        <v>238</v>
      </c>
      <c r="AJ3666" s="5" t="s">
        <v>238</v>
      </c>
      <c r="AK3666" s="5" t="s">
        <v>238</v>
      </c>
      <c r="AL3666" s="5" t="s">
        <v>238</v>
      </c>
      <c r="AM3666" s="6" t="s">
        <v>238</v>
      </c>
      <c r="AN3666" s="6" t="s">
        <v>238</v>
      </c>
      <c r="AO3666" s="6" t="s">
        <v>238</v>
      </c>
      <c r="AP3666" s="6" t="s">
        <v>238</v>
      </c>
      <c r="AQ3666" s="5" t="s">
        <v>238</v>
      </c>
      <c r="AR3666" s="5" t="s">
        <v>488</v>
      </c>
      <c r="AS3666" s="5" t="s">
        <v>488</v>
      </c>
      <c r="AT3666" s="5" t="s">
        <v>246</v>
      </c>
      <c r="AU3666" s="5" t="s">
        <v>489</v>
      </c>
      <c r="AV3666" s="5" t="s">
        <v>247</v>
      </c>
      <c r="AW3666" s="5" t="s">
        <v>238</v>
      </c>
      <c r="AX3666" s="5" t="s">
        <v>249</v>
      </c>
      <c r="AY3666" s="5" t="s">
        <v>490</v>
      </c>
      <c r="BA3666" s="5" t="s">
        <v>238</v>
      </c>
      <c r="BC3666" s="5" t="s">
        <v>491</v>
      </c>
      <c r="BD3666" s="6" t="s">
        <v>492</v>
      </c>
      <c r="BE3666" s="5" t="s">
        <v>493</v>
      </c>
      <c r="BF3666" s="5" t="s">
        <v>493</v>
      </c>
      <c r="BG3666" s="5" t="s">
        <v>238</v>
      </c>
      <c r="BH3666" s="8">
        <f>1</f>
        <v>1</v>
      </c>
      <c r="BI3666" s="8">
        <f>1</f>
        <v>1</v>
      </c>
      <c r="BJ3666" s="5" t="s">
        <v>253</v>
      </c>
      <c r="BK3666" s="5" t="s">
        <v>254</v>
      </c>
      <c r="BL3666" s="5" t="s">
        <v>238</v>
      </c>
      <c r="BM3666" s="5" t="s">
        <v>238</v>
      </c>
      <c r="BN3666" s="5" t="s">
        <v>238</v>
      </c>
      <c r="BO3666" s="5" t="s">
        <v>238</v>
      </c>
      <c r="BP3666" s="5" t="s">
        <v>238</v>
      </c>
      <c r="BQ3666" s="5" t="s">
        <v>238</v>
      </c>
      <c r="BR3666" s="5" t="s">
        <v>238</v>
      </c>
      <c r="BS3666" s="5" t="s">
        <v>238</v>
      </c>
      <c r="BT3666" s="6" t="s">
        <v>238</v>
      </c>
      <c r="BU3666" s="5" t="s">
        <v>238</v>
      </c>
      <c r="BV3666" s="5" t="s">
        <v>238</v>
      </c>
      <c r="BW3666" s="5" t="s">
        <v>238</v>
      </c>
      <c r="BX3666" s="5" t="s">
        <v>254</v>
      </c>
      <c r="BY3666" s="5" t="s">
        <v>238</v>
      </c>
      <c r="BZ3666" s="5" t="s">
        <v>238</v>
      </c>
      <c r="CA3666" s="5" t="s">
        <v>238</v>
      </c>
      <c r="CB3666" s="5" t="s">
        <v>238</v>
      </c>
      <c r="CC3666" s="5" t="s">
        <v>238</v>
      </c>
      <c r="CD3666" s="5" t="s">
        <v>273</v>
      </c>
      <c r="CE3666" s="5" t="s">
        <v>256</v>
      </c>
      <c r="CF3666" s="5" t="s">
        <v>238</v>
      </c>
      <c r="CH3666" s="5" t="s">
        <v>494</v>
      </c>
      <c r="CI3666" s="6" t="s">
        <v>257</v>
      </c>
      <c r="CJ3666" s="5" t="s">
        <v>495</v>
      </c>
      <c r="CK3666" s="5" t="s">
        <v>258</v>
      </c>
      <c r="CL3666" s="5" t="s">
        <v>496</v>
      </c>
      <c r="CM3666" s="5" t="s">
        <v>238</v>
      </c>
      <c r="CN3666" s="5">
        <v>0</v>
      </c>
      <c r="CO3666" s="5" t="s">
        <v>497</v>
      </c>
      <c r="CP3666" s="5" t="s">
        <v>260</v>
      </c>
      <c r="CQ3666" s="5" t="s">
        <v>260</v>
      </c>
      <c r="CR3666" s="5" t="s">
        <v>261</v>
      </c>
      <c r="CS3666" s="5" t="s">
        <v>498</v>
      </c>
      <c r="CT3666" s="7">
        <f>1</f>
        <v>1</v>
      </c>
      <c r="CU3666" s="8">
        <f>1</f>
        <v>1</v>
      </c>
      <c r="CV3666" s="8">
        <f>0</f>
        <v>0</v>
      </c>
      <c r="CX3666" s="8">
        <f>1</f>
        <v>1</v>
      </c>
      <c r="CY3666" s="8">
        <f>1</f>
        <v>1</v>
      </c>
      <c r="CZ3666" s="8" t="s">
        <v>238</v>
      </c>
      <c r="DA3666" s="5" t="s">
        <v>238</v>
      </c>
      <c r="DB3666" s="5" t="s">
        <v>238</v>
      </c>
      <c r="DC3666" s="5" t="s">
        <v>238</v>
      </c>
      <c r="DD3666" s="5" t="s">
        <v>238</v>
      </c>
      <c r="DE3666" s="8">
        <f>0</f>
        <v>0</v>
      </c>
      <c r="DG3666" s="5" t="s">
        <v>238</v>
      </c>
      <c r="DH3666" s="5" t="s">
        <v>238</v>
      </c>
      <c r="DI3666" s="5" t="s">
        <v>238</v>
      </c>
      <c r="DJ3666" s="5" t="s">
        <v>238</v>
      </c>
      <c r="DK3666" s="5" t="s">
        <v>238</v>
      </c>
      <c r="DL3666" s="5" t="s">
        <v>238</v>
      </c>
      <c r="DM3666" s="8" t="s">
        <v>238</v>
      </c>
      <c r="DN3666" s="5" t="s">
        <v>238</v>
      </c>
      <c r="DO3666" s="5" t="s">
        <v>238</v>
      </c>
      <c r="DP3666" s="5" t="s">
        <v>490</v>
      </c>
      <c r="DQ3666" s="5" t="s">
        <v>490</v>
      </c>
      <c r="DR3666" s="5" t="s">
        <v>238</v>
      </c>
      <c r="DS3666" s="5" t="s">
        <v>238</v>
      </c>
      <c r="DT3666" s="5" t="s">
        <v>500</v>
      </c>
      <c r="DU3666" s="5" t="s">
        <v>3206</v>
      </c>
      <c r="DV3666" s="5" t="s">
        <v>238</v>
      </c>
      <c r="DW3666" s="5" t="s">
        <v>238</v>
      </c>
      <c r="DX3666" s="5" t="s">
        <v>238</v>
      </c>
      <c r="DY3666" s="5" t="s">
        <v>238</v>
      </c>
      <c r="DZ3666" s="5" t="s">
        <v>238</v>
      </c>
      <c r="EA3666" s="5" t="s">
        <v>238</v>
      </c>
      <c r="EB3666" s="5" t="s">
        <v>238</v>
      </c>
      <c r="EC3666" s="5" t="s">
        <v>238</v>
      </c>
      <c r="ED3666" s="5" t="s">
        <v>238</v>
      </c>
      <c r="EE3666" s="5" t="s">
        <v>238</v>
      </c>
      <c r="EF3666" s="5" t="s">
        <v>238</v>
      </c>
      <c r="EG3666" s="5" t="s">
        <v>238</v>
      </c>
      <c r="EH3666" s="5" t="s">
        <v>238</v>
      </c>
      <c r="EI3666" s="5" t="s">
        <v>238</v>
      </c>
      <c r="EJ3666" s="5" t="s">
        <v>238</v>
      </c>
      <c r="EK3666" s="5" t="s">
        <v>238</v>
      </c>
      <c r="EL3666" s="5" t="s">
        <v>238</v>
      </c>
      <c r="EM3666" s="5" t="s">
        <v>238</v>
      </c>
      <c r="EN3666" s="5" t="s">
        <v>238</v>
      </c>
      <c r="EO3666" s="5" t="s">
        <v>238</v>
      </c>
      <c r="EP3666" s="5" t="s">
        <v>238</v>
      </c>
      <c r="EQ3666" s="5" t="s">
        <v>238</v>
      </c>
      <c r="ER3666" s="5" t="s">
        <v>238</v>
      </c>
      <c r="ES3666" s="5" t="s">
        <v>238</v>
      </c>
      <c r="ET3666" s="5" t="s">
        <v>238</v>
      </c>
      <c r="EU3666" s="5" t="s">
        <v>238</v>
      </c>
      <c r="EV3666" s="5" t="s">
        <v>238</v>
      </c>
      <c r="EW3666" s="5" t="s">
        <v>238</v>
      </c>
      <c r="EX3666" s="5" t="s">
        <v>238</v>
      </c>
      <c r="EY3666" s="5" t="s">
        <v>238</v>
      </c>
      <c r="EZ3666" s="5" t="s">
        <v>238</v>
      </c>
      <c r="FA3666" s="5" t="s">
        <v>238</v>
      </c>
      <c r="FB3666" s="5" t="s">
        <v>238</v>
      </c>
      <c r="FC3666" s="5" t="s">
        <v>238</v>
      </c>
      <c r="FD3666" s="5" t="s">
        <v>238</v>
      </c>
      <c r="FE3666" s="5" t="s">
        <v>238</v>
      </c>
      <c r="FF3666" s="5" t="s">
        <v>238</v>
      </c>
      <c r="FG3666" s="5" t="s">
        <v>238</v>
      </c>
      <c r="FH3666" s="5" t="s">
        <v>238</v>
      </c>
      <c r="FI3666" s="5" t="s">
        <v>238</v>
      </c>
      <c r="FJ3666" s="5" t="s">
        <v>238</v>
      </c>
      <c r="FK3666" s="5" t="s">
        <v>238</v>
      </c>
      <c r="FL3666" s="5" t="s">
        <v>238</v>
      </c>
      <c r="FM3666" s="5" t="s">
        <v>238</v>
      </c>
      <c r="FN3666" s="5" t="s">
        <v>238</v>
      </c>
      <c r="FO3666" s="5" t="s">
        <v>238</v>
      </c>
      <c r="FP3666" s="5" t="s">
        <v>238</v>
      </c>
      <c r="FQ3666" s="5" t="s">
        <v>238</v>
      </c>
      <c r="FR3666" s="5" t="s">
        <v>238</v>
      </c>
      <c r="FS3666" s="5" t="s">
        <v>238</v>
      </c>
      <c r="FT3666" s="5" t="s">
        <v>238</v>
      </c>
      <c r="FU3666" s="5" t="s">
        <v>238</v>
      </c>
      <c r="FV3666" s="5" t="s">
        <v>238</v>
      </c>
      <c r="FW3666" s="5" t="s">
        <v>238</v>
      </c>
      <c r="FX3666" s="5" t="s">
        <v>238</v>
      </c>
      <c r="FY3666" s="5" t="s">
        <v>238</v>
      </c>
      <c r="FZ3666" s="5" t="s">
        <v>238</v>
      </c>
      <c r="GA3666" s="5" t="s">
        <v>238</v>
      </c>
      <c r="GB3666" s="5" t="s">
        <v>238</v>
      </c>
      <c r="GC3666" s="5" t="s">
        <v>238</v>
      </c>
      <c r="GD3666" s="5" t="s">
        <v>238</v>
      </c>
      <c r="GE3666" s="5" t="s">
        <v>238</v>
      </c>
      <c r="GF3666" s="5" t="s">
        <v>238</v>
      </c>
      <c r="GG3666" s="5" t="s">
        <v>238</v>
      </c>
      <c r="GH3666" s="5" t="s">
        <v>238</v>
      </c>
      <c r="GI3666" s="5" t="s">
        <v>238</v>
      </c>
      <c r="GJ3666" s="5" t="s">
        <v>238</v>
      </c>
      <c r="GK3666" s="5" t="s">
        <v>238</v>
      </c>
      <c r="GL3666" s="5" t="s">
        <v>238</v>
      </c>
      <c r="GM3666" s="5" t="s">
        <v>238</v>
      </c>
      <c r="GN3666" s="5" t="s">
        <v>238</v>
      </c>
      <c r="GO3666" s="5" t="s">
        <v>238</v>
      </c>
      <c r="GP3666" s="5" t="s">
        <v>238</v>
      </c>
      <c r="GQ3666" s="5" t="s">
        <v>238</v>
      </c>
      <c r="GR3666" s="5" t="s">
        <v>238</v>
      </c>
      <c r="GS3666" s="5" t="s">
        <v>238</v>
      </c>
      <c r="GT3666" s="5" t="s">
        <v>238</v>
      </c>
      <c r="GU3666" s="5" t="s">
        <v>238</v>
      </c>
      <c r="GV3666" s="5" t="s">
        <v>238</v>
      </c>
      <c r="GW3666" s="5" t="s">
        <v>238</v>
      </c>
      <c r="GX3666" s="5" t="s">
        <v>238</v>
      </c>
      <c r="GY3666" s="5" t="s">
        <v>238</v>
      </c>
      <c r="GZ3666" s="5" t="s">
        <v>238</v>
      </c>
      <c r="HA3666" s="5" t="s">
        <v>238</v>
      </c>
      <c r="HB3666" s="5" t="s">
        <v>238</v>
      </c>
      <c r="HC3666" s="5" t="s">
        <v>238</v>
      </c>
      <c r="HD3666" s="5" t="s">
        <v>238</v>
      </c>
      <c r="HE3666" s="5" t="s">
        <v>238</v>
      </c>
      <c r="HF3666" s="5" t="s">
        <v>238</v>
      </c>
      <c r="HG3666" s="5" t="s">
        <v>238</v>
      </c>
      <c r="HH3666" s="5" t="s">
        <v>238</v>
      </c>
      <c r="HI3666" s="5" t="s">
        <v>238</v>
      </c>
      <c r="HJ3666" s="5" t="s">
        <v>238</v>
      </c>
      <c r="HK3666" s="5" t="s">
        <v>238</v>
      </c>
      <c r="HL3666" s="5" t="s">
        <v>238</v>
      </c>
      <c r="HM3666" s="5" t="s">
        <v>264</v>
      </c>
      <c r="HN3666" s="5" t="s">
        <v>238</v>
      </c>
      <c r="HO3666" s="5" t="s">
        <v>238</v>
      </c>
      <c r="HP3666" s="5" t="s">
        <v>238</v>
      </c>
      <c r="HQ3666" s="5" t="s">
        <v>238</v>
      </c>
      <c r="HR3666" s="5" t="s">
        <v>238</v>
      </c>
      <c r="HS3666" s="5" t="s">
        <v>238</v>
      </c>
      <c r="HT3666" s="5" t="s">
        <v>238</v>
      </c>
      <c r="HU3666" s="5" t="s">
        <v>238</v>
      </c>
      <c r="HV3666" s="5" t="s">
        <v>238</v>
      </c>
      <c r="HW3666" s="5" t="s">
        <v>238</v>
      </c>
      <c r="HX3666" s="5" t="s">
        <v>238</v>
      </c>
      <c r="HY3666" s="5" t="s">
        <v>238</v>
      </c>
      <c r="HZ3666" s="5" t="s">
        <v>238</v>
      </c>
      <c r="IA3666" s="5" t="s">
        <v>238</v>
      </c>
      <c r="IB3666" s="5" t="s">
        <v>238</v>
      </c>
      <c r="IC3666" s="5" t="s">
        <v>238</v>
      </c>
      <c r="ID3666" s="5" t="s">
        <v>238</v>
      </c>
    </row>
    <row r="3667" spans="1:238" x14ac:dyDescent="0.4">
      <c r="A3667" s="5">
        <v>9385</v>
      </c>
      <c r="B3667" s="5">
        <v>1</v>
      </c>
      <c r="C3667" s="5">
        <v>1</v>
      </c>
      <c r="D3667" s="5" t="s">
        <v>484</v>
      </c>
      <c r="E3667" s="5" t="s">
        <v>485</v>
      </c>
      <c r="F3667" s="5" t="s">
        <v>248</v>
      </c>
      <c r="G3667" s="5" t="s">
        <v>5140</v>
      </c>
      <c r="H3667" s="6" t="s">
        <v>5141</v>
      </c>
      <c r="I3667" s="8">
        <f>1</f>
        <v>1</v>
      </c>
      <c r="J3667" s="5" t="s">
        <v>499</v>
      </c>
      <c r="K3667" s="8">
        <f>1</f>
        <v>1</v>
      </c>
      <c r="L3667" s="6" t="s">
        <v>242</v>
      </c>
      <c r="M3667" s="5" t="s">
        <v>267</v>
      </c>
      <c r="N3667" s="5" t="s">
        <v>482</v>
      </c>
      <c r="O3667" s="5" t="s">
        <v>238</v>
      </c>
      <c r="P3667" s="5" t="s">
        <v>238</v>
      </c>
      <c r="Q3667" s="5" t="s">
        <v>239</v>
      </c>
      <c r="R3667" s="5" t="s">
        <v>270</v>
      </c>
      <c r="S3667" s="5" t="s">
        <v>238</v>
      </c>
      <c r="T3667" s="5" t="s">
        <v>238</v>
      </c>
      <c r="U3667" s="5" t="s">
        <v>238</v>
      </c>
      <c r="V3667" s="5" t="s">
        <v>238</v>
      </c>
      <c r="W3667" s="6" t="s">
        <v>238</v>
      </c>
      <c r="X3667" s="6" t="s">
        <v>238</v>
      </c>
      <c r="Y3667" s="5" t="s">
        <v>238</v>
      </c>
      <c r="Z3667" s="6" t="s">
        <v>238</v>
      </c>
      <c r="AA3667" s="6" t="s">
        <v>243</v>
      </c>
      <c r="AB3667" s="5" t="s">
        <v>486</v>
      </c>
      <c r="AC3667" s="5" t="s">
        <v>244</v>
      </c>
      <c r="AD3667" s="5" t="s">
        <v>245</v>
      </c>
      <c r="AE3667" s="5" t="s">
        <v>238</v>
      </c>
      <c r="AF3667" s="5" t="s">
        <v>238</v>
      </c>
      <c r="AG3667" s="5" t="s">
        <v>238</v>
      </c>
      <c r="AH3667" s="5" t="s">
        <v>238</v>
      </c>
      <c r="AI3667" s="5" t="s">
        <v>238</v>
      </c>
      <c r="AJ3667" s="5" t="s">
        <v>238</v>
      </c>
      <c r="AK3667" s="5" t="s">
        <v>238</v>
      </c>
      <c r="AL3667" s="5" t="s">
        <v>238</v>
      </c>
      <c r="AM3667" s="6" t="s">
        <v>238</v>
      </c>
      <c r="AN3667" s="6" t="s">
        <v>238</v>
      </c>
      <c r="AO3667" s="6" t="s">
        <v>238</v>
      </c>
      <c r="AP3667" s="6" t="s">
        <v>238</v>
      </c>
      <c r="AQ3667" s="5" t="s">
        <v>238</v>
      </c>
      <c r="AR3667" s="5" t="s">
        <v>488</v>
      </c>
      <c r="AS3667" s="5" t="s">
        <v>488</v>
      </c>
      <c r="AT3667" s="5" t="s">
        <v>246</v>
      </c>
      <c r="AU3667" s="5" t="s">
        <v>489</v>
      </c>
      <c r="AV3667" s="5" t="s">
        <v>247</v>
      </c>
      <c r="AW3667" s="5" t="s">
        <v>238</v>
      </c>
      <c r="AX3667" s="5" t="s">
        <v>249</v>
      </c>
      <c r="AY3667" s="5" t="s">
        <v>490</v>
      </c>
      <c r="BA3667" s="5" t="s">
        <v>238</v>
      </c>
      <c r="BC3667" s="5" t="s">
        <v>491</v>
      </c>
      <c r="BD3667" s="6" t="s">
        <v>492</v>
      </c>
      <c r="BE3667" s="5" t="s">
        <v>493</v>
      </c>
      <c r="BF3667" s="5" t="s">
        <v>493</v>
      </c>
      <c r="BG3667" s="5" t="s">
        <v>238</v>
      </c>
      <c r="BH3667" s="8">
        <f>1</f>
        <v>1</v>
      </c>
      <c r="BI3667" s="8">
        <f>1</f>
        <v>1</v>
      </c>
      <c r="BJ3667" s="5" t="s">
        <v>253</v>
      </c>
      <c r="BK3667" s="5" t="s">
        <v>254</v>
      </c>
      <c r="BL3667" s="5" t="s">
        <v>238</v>
      </c>
      <c r="BM3667" s="5" t="s">
        <v>238</v>
      </c>
      <c r="BN3667" s="5" t="s">
        <v>238</v>
      </c>
      <c r="BO3667" s="5" t="s">
        <v>238</v>
      </c>
      <c r="BP3667" s="5" t="s">
        <v>238</v>
      </c>
      <c r="BQ3667" s="5" t="s">
        <v>238</v>
      </c>
      <c r="BR3667" s="5" t="s">
        <v>238</v>
      </c>
      <c r="BS3667" s="5" t="s">
        <v>238</v>
      </c>
      <c r="BT3667" s="6" t="s">
        <v>238</v>
      </c>
      <c r="BU3667" s="5" t="s">
        <v>238</v>
      </c>
      <c r="BV3667" s="5" t="s">
        <v>238</v>
      </c>
      <c r="BW3667" s="5" t="s">
        <v>238</v>
      </c>
      <c r="BX3667" s="5" t="s">
        <v>254</v>
      </c>
      <c r="BY3667" s="5" t="s">
        <v>238</v>
      </c>
      <c r="BZ3667" s="5" t="s">
        <v>238</v>
      </c>
      <c r="CA3667" s="5" t="s">
        <v>238</v>
      </c>
      <c r="CB3667" s="5" t="s">
        <v>238</v>
      </c>
      <c r="CC3667" s="5" t="s">
        <v>238</v>
      </c>
      <c r="CD3667" s="5" t="s">
        <v>273</v>
      </c>
      <c r="CE3667" s="5" t="s">
        <v>256</v>
      </c>
      <c r="CF3667" s="5" t="s">
        <v>238</v>
      </c>
      <c r="CH3667" s="5" t="s">
        <v>494</v>
      </c>
      <c r="CI3667" s="6" t="s">
        <v>257</v>
      </c>
      <c r="CJ3667" s="5" t="s">
        <v>495</v>
      </c>
      <c r="CK3667" s="5" t="s">
        <v>258</v>
      </c>
      <c r="CL3667" s="5" t="s">
        <v>496</v>
      </c>
      <c r="CM3667" s="5" t="s">
        <v>238</v>
      </c>
      <c r="CN3667" s="5">
        <v>0</v>
      </c>
      <c r="CO3667" s="5" t="s">
        <v>497</v>
      </c>
      <c r="CP3667" s="5" t="s">
        <v>260</v>
      </c>
      <c r="CQ3667" s="5" t="s">
        <v>260</v>
      </c>
      <c r="CR3667" s="5" t="s">
        <v>261</v>
      </c>
      <c r="CS3667" s="5" t="s">
        <v>498</v>
      </c>
      <c r="CT3667" s="7">
        <f>1</f>
        <v>1</v>
      </c>
      <c r="CU3667" s="8">
        <f>1</f>
        <v>1</v>
      </c>
      <c r="CV3667" s="8">
        <f>0</f>
        <v>0</v>
      </c>
      <c r="CX3667" s="8">
        <f>1</f>
        <v>1</v>
      </c>
      <c r="CY3667" s="8">
        <f>1</f>
        <v>1</v>
      </c>
      <c r="CZ3667" s="8" t="s">
        <v>238</v>
      </c>
      <c r="DA3667" s="5" t="s">
        <v>238</v>
      </c>
      <c r="DB3667" s="5" t="s">
        <v>238</v>
      </c>
      <c r="DC3667" s="5" t="s">
        <v>238</v>
      </c>
      <c r="DD3667" s="5" t="s">
        <v>238</v>
      </c>
      <c r="DE3667" s="8">
        <f>0</f>
        <v>0</v>
      </c>
      <c r="DG3667" s="5" t="s">
        <v>238</v>
      </c>
      <c r="DH3667" s="5" t="s">
        <v>238</v>
      </c>
      <c r="DI3667" s="5" t="s">
        <v>238</v>
      </c>
      <c r="DJ3667" s="5" t="s">
        <v>238</v>
      </c>
      <c r="DK3667" s="5" t="s">
        <v>238</v>
      </c>
      <c r="DL3667" s="5" t="s">
        <v>238</v>
      </c>
      <c r="DM3667" s="8" t="s">
        <v>238</v>
      </c>
      <c r="DN3667" s="5" t="s">
        <v>238</v>
      </c>
      <c r="DO3667" s="5" t="s">
        <v>238</v>
      </c>
      <c r="DP3667" s="5" t="s">
        <v>490</v>
      </c>
      <c r="DQ3667" s="5" t="s">
        <v>490</v>
      </c>
      <c r="DR3667" s="5" t="s">
        <v>238</v>
      </c>
      <c r="DS3667" s="5" t="s">
        <v>238</v>
      </c>
      <c r="DT3667" s="5" t="s">
        <v>500</v>
      </c>
      <c r="DU3667" s="5" t="s">
        <v>3212</v>
      </c>
      <c r="DV3667" s="5" t="s">
        <v>238</v>
      </c>
      <c r="DW3667" s="5" t="s">
        <v>238</v>
      </c>
      <c r="DX3667" s="5" t="s">
        <v>238</v>
      </c>
      <c r="DY3667" s="5" t="s">
        <v>238</v>
      </c>
      <c r="DZ3667" s="5" t="s">
        <v>238</v>
      </c>
      <c r="EA3667" s="5" t="s">
        <v>238</v>
      </c>
      <c r="EB3667" s="5" t="s">
        <v>238</v>
      </c>
      <c r="EC3667" s="5" t="s">
        <v>238</v>
      </c>
      <c r="ED3667" s="5" t="s">
        <v>238</v>
      </c>
      <c r="EE3667" s="5" t="s">
        <v>238</v>
      </c>
      <c r="EF3667" s="5" t="s">
        <v>238</v>
      </c>
      <c r="EG3667" s="5" t="s">
        <v>238</v>
      </c>
      <c r="EH3667" s="5" t="s">
        <v>238</v>
      </c>
      <c r="EI3667" s="5" t="s">
        <v>238</v>
      </c>
      <c r="EJ3667" s="5" t="s">
        <v>238</v>
      </c>
      <c r="EK3667" s="5" t="s">
        <v>238</v>
      </c>
      <c r="EL3667" s="5" t="s">
        <v>238</v>
      </c>
      <c r="EM3667" s="5" t="s">
        <v>238</v>
      </c>
      <c r="EN3667" s="5" t="s">
        <v>238</v>
      </c>
      <c r="EO3667" s="5" t="s">
        <v>238</v>
      </c>
      <c r="EP3667" s="5" t="s">
        <v>238</v>
      </c>
      <c r="EQ3667" s="5" t="s">
        <v>238</v>
      </c>
      <c r="ER3667" s="5" t="s">
        <v>238</v>
      </c>
      <c r="ES3667" s="5" t="s">
        <v>238</v>
      </c>
      <c r="ET3667" s="5" t="s">
        <v>238</v>
      </c>
      <c r="EU3667" s="5" t="s">
        <v>238</v>
      </c>
      <c r="EV3667" s="5" t="s">
        <v>238</v>
      </c>
      <c r="EW3667" s="5" t="s">
        <v>238</v>
      </c>
      <c r="EX3667" s="5" t="s">
        <v>238</v>
      </c>
      <c r="EY3667" s="5" t="s">
        <v>238</v>
      </c>
      <c r="EZ3667" s="5" t="s">
        <v>238</v>
      </c>
      <c r="FA3667" s="5" t="s">
        <v>238</v>
      </c>
      <c r="FB3667" s="5" t="s">
        <v>238</v>
      </c>
      <c r="FC3667" s="5" t="s">
        <v>238</v>
      </c>
      <c r="FD3667" s="5" t="s">
        <v>238</v>
      </c>
      <c r="FE3667" s="5" t="s">
        <v>238</v>
      </c>
      <c r="FF3667" s="5" t="s">
        <v>238</v>
      </c>
      <c r="FG3667" s="5" t="s">
        <v>238</v>
      </c>
      <c r="FH3667" s="5" t="s">
        <v>238</v>
      </c>
      <c r="FI3667" s="5" t="s">
        <v>238</v>
      </c>
      <c r="FJ3667" s="5" t="s">
        <v>238</v>
      </c>
      <c r="FK3667" s="5" t="s">
        <v>238</v>
      </c>
      <c r="FL3667" s="5" t="s">
        <v>238</v>
      </c>
      <c r="FM3667" s="5" t="s">
        <v>238</v>
      </c>
      <c r="FN3667" s="5" t="s">
        <v>238</v>
      </c>
      <c r="FO3667" s="5" t="s">
        <v>238</v>
      </c>
      <c r="FP3667" s="5" t="s">
        <v>238</v>
      </c>
      <c r="FQ3667" s="5" t="s">
        <v>238</v>
      </c>
      <c r="FR3667" s="5" t="s">
        <v>238</v>
      </c>
      <c r="FS3667" s="5" t="s">
        <v>238</v>
      </c>
      <c r="FT3667" s="5" t="s">
        <v>238</v>
      </c>
      <c r="FU3667" s="5" t="s">
        <v>238</v>
      </c>
      <c r="FV3667" s="5" t="s">
        <v>238</v>
      </c>
      <c r="FW3667" s="5" t="s">
        <v>238</v>
      </c>
      <c r="FX3667" s="5" t="s">
        <v>238</v>
      </c>
      <c r="FY3667" s="5" t="s">
        <v>238</v>
      </c>
      <c r="FZ3667" s="5" t="s">
        <v>238</v>
      </c>
      <c r="GA3667" s="5" t="s">
        <v>238</v>
      </c>
      <c r="GB3667" s="5" t="s">
        <v>238</v>
      </c>
      <c r="GC3667" s="5" t="s">
        <v>238</v>
      </c>
      <c r="GD3667" s="5" t="s">
        <v>238</v>
      </c>
      <c r="GE3667" s="5" t="s">
        <v>238</v>
      </c>
      <c r="GF3667" s="5" t="s">
        <v>238</v>
      </c>
      <c r="GG3667" s="5" t="s">
        <v>238</v>
      </c>
      <c r="GH3667" s="5" t="s">
        <v>238</v>
      </c>
      <c r="GI3667" s="5" t="s">
        <v>238</v>
      </c>
      <c r="GJ3667" s="5" t="s">
        <v>238</v>
      </c>
      <c r="GK3667" s="5" t="s">
        <v>238</v>
      </c>
      <c r="GL3667" s="5" t="s">
        <v>238</v>
      </c>
      <c r="GM3667" s="5" t="s">
        <v>238</v>
      </c>
      <c r="GN3667" s="5" t="s">
        <v>238</v>
      </c>
      <c r="GO3667" s="5" t="s">
        <v>238</v>
      </c>
      <c r="GP3667" s="5" t="s">
        <v>238</v>
      </c>
      <c r="GQ3667" s="5" t="s">
        <v>238</v>
      </c>
      <c r="GR3667" s="5" t="s">
        <v>238</v>
      </c>
      <c r="GS3667" s="5" t="s">
        <v>238</v>
      </c>
      <c r="GT3667" s="5" t="s">
        <v>238</v>
      </c>
      <c r="GU3667" s="5" t="s">
        <v>238</v>
      </c>
      <c r="GV3667" s="5" t="s">
        <v>238</v>
      </c>
      <c r="GW3667" s="5" t="s">
        <v>238</v>
      </c>
      <c r="GX3667" s="5" t="s">
        <v>238</v>
      </c>
      <c r="GY3667" s="5" t="s">
        <v>238</v>
      </c>
      <c r="GZ3667" s="5" t="s">
        <v>238</v>
      </c>
      <c r="HA3667" s="5" t="s">
        <v>238</v>
      </c>
      <c r="HB3667" s="5" t="s">
        <v>238</v>
      </c>
      <c r="HC3667" s="5" t="s">
        <v>238</v>
      </c>
      <c r="HD3667" s="5" t="s">
        <v>238</v>
      </c>
      <c r="HE3667" s="5" t="s">
        <v>238</v>
      </c>
      <c r="HF3667" s="5" t="s">
        <v>238</v>
      </c>
      <c r="HG3667" s="5" t="s">
        <v>238</v>
      </c>
      <c r="HH3667" s="5" t="s">
        <v>238</v>
      </c>
      <c r="HI3667" s="5" t="s">
        <v>238</v>
      </c>
      <c r="HJ3667" s="5" t="s">
        <v>238</v>
      </c>
      <c r="HK3667" s="5" t="s">
        <v>238</v>
      </c>
      <c r="HL3667" s="5" t="s">
        <v>238</v>
      </c>
      <c r="HM3667" s="5" t="s">
        <v>264</v>
      </c>
      <c r="HN3667" s="5" t="s">
        <v>238</v>
      </c>
      <c r="HO3667" s="5" t="s">
        <v>238</v>
      </c>
      <c r="HP3667" s="5" t="s">
        <v>238</v>
      </c>
      <c r="HQ3667" s="5" t="s">
        <v>238</v>
      </c>
      <c r="HR3667" s="5" t="s">
        <v>238</v>
      </c>
      <c r="HS3667" s="5" t="s">
        <v>238</v>
      </c>
      <c r="HT3667" s="5" t="s">
        <v>238</v>
      </c>
      <c r="HU3667" s="5" t="s">
        <v>238</v>
      </c>
      <c r="HV3667" s="5" t="s">
        <v>238</v>
      </c>
      <c r="HW3667" s="5" t="s">
        <v>238</v>
      </c>
      <c r="HX3667" s="5" t="s">
        <v>238</v>
      </c>
      <c r="HY3667" s="5" t="s">
        <v>238</v>
      </c>
      <c r="HZ3667" s="5" t="s">
        <v>238</v>
      </c>
      <c r="IA3667" s="5" t="s">
        <v>238</v>
      </c>
      <c r="IB3667" s="5" t="s">
        <v>238</v>
      </c>
      <c r="IC3667" s="5" t="s">
        <v>238</v>
      </c>
      <c r="ID3667" s="5" t="s">
        <v>238</v>
      </c>
    </row>
    <row r="3668" spans="1:238" x14ac:dyDescent="0.4">
      <c r="A3668" s="5">
        <v>9386</v>
      </c>
      <c r="B3668" s="5">
        <v>1</v>
      </c>
      <c r="C3668" s="5">
        <v>1</v>
      </c>
      <c r="D3668" s="5" t="s">
        <v>484</v>
      </c>
      <c r="E3668" s="5" t="s">
        <v>485</v>
      </c>
      <c r="F3668" s="5" t="s">
        <v>248</v>
      </c>
      <c r="G3668" s="5" t="s">
        <v>4462</v>
      </c>
      <c r="H3668" s="6" t="s">
        <v>4464</v>
      </c>
      <c r="I3668" s="8">
        <f>1</f>
        <v>1</v>
      </c>
      <c r="J3668" s="5" t="s">
        <v>499</v>
      </c>
      <c r="K3668" s="8">
        <f>1</f>
        <v>1</v>
      </c>
      <c r="L3668" s="6" t="s">
        <v>242</v>
      </c>
      <c r="M3668" s="5" t="s">
        <v>267</v>
      </c>
      <c r="N3668" s="5" t="s">
        <v>482</v>
      </c>
      <c r="O3668" s="5" t="s">
        <v>238</v>
      </c>
      <c r="P3668" s="5" t="s">
        <v>238</v>
      </c>
      <c r="Q3668" s="5" t="s">
        <v>239</v>
      </c>
      <c r="R3668" s="5" t="s">
        <v>270</v>
      </c>
      <c r="S3668" s="5" t="s">
        <v>238</v>
      </c>
      <c r="T3668" s="5" t="s">
        <v>238</v>
      </c>
      <c r="U3668" s="5" t="s">
        <v>238</v>
      </c>
      <c r="V3668" s="5" t="s">
        <v>238</v>
      </c>
      <c r="W3668" s="6" t="s">
        <v>238</v>
      </c>
      <c r="X3668" s="6" t="s">
        <v>238</v>
      </c>
      <c r="Y3668" s="5" t="s">
        <v>238</v>
      </c>
      <c r="Z3668" s="6" t="s">
        <v>238</v>
      </c>
      <c r="AA3668" s="6" t="s">
        <v>243</v>
      </c>
      <c r="AB3668" s="5" t="s">
        <v>4463</v>
      </c>
      <c r="AC3668" s="5" t="s">
        <v>244</v>
      </c>
      <c r="AD3668" s="5" t="s">
        <v>245</v>
      </c>
      <c r="AE3668" s="5" t="s">
        <v>238</v>
      </c>
      <c r="AF3668" s="5" t="s">
        <v>238</v>
      </c>
      <c r="AG3668" s="5" t="s">
        <v>238</v>
      </c>
      <c r="AH3668" s="5" t="s">
        <v>238</v>
      </c>
      <c r="AI3668" s="5" t="s">
        <v>238</v>
      </c>
      <c r="AJ3668" s="5" t="s">
        <v>238</v>
      </c>
      <c r="AK3668" s="5" t="s">
        <v>238</v>
      </c>
      <c r="AL3668" s="5" t="s">
        <v>238</v>
      </c>
      <c r="AM3668" s="6" t="s">
        <v>238</v>
      </c>
      <c r="AN3668" s="6" t="s">
        <v>238</v>
      </c>
      <c r="AO3668" s="6" t="s">
        <v>238</v>
      </c>
      <c r="AP3668" s="6" t="s">
        <v>238</v>
      </c>
      <c r="AQ3668" s="5" t="s">
        <v>238</v>
      </c>
      <c r="AR3668" s="5" t="s">
        <v>488</v>
      </c>
      <c r="AS3668" s="5" t="s">
        <v>488</v>
      </c>
      <c r="AT3668" s="5" t="s">
        <v>246</v>
      </c>
      <c r="AU3668" s="5" t="s">
        <v>489</v>
      </c>
      <c r="AV3668" s="5" t="s">
        <v>247</v>
      </c>
      <c r="AW3668" s="5" t="s">
        <v>238</v>
      </c>
      <c r="AX3668" s="5" t="s">
        <v>249</v>
      </c>
      <c r="AY3668" s="5" t="s">
        <v>490</v>
      </c>
      <c r="BA3668" s="5" t="s">
        <v>238</v>
      </c>
      <c r="BC3668" s="5" t="s">
        <v>491</v>
      </c>
      <c r="BD3668" s="6" t="s">
        <v>492</v>
      </c>
      <c r="BE3668" s="5" t="s">
        <v>493</v>
      </c>
      <c r="BF3668" s="5" t="s">
        <v>493</v>
      </c>
      <c r="BG3668" s="5" t="s">
        <v>238</v>
      </c>
      <c r="BH3668" s="8">
        <f>1</f>
        <v>1</v>
      </c>
      <c r="BI3668" s="8">
        <f>1</f>
        <v>1</v>
      </c>
      <c r="BJ3668" s="5" t="s">
        <v>253</v>
      </c>
      <c r="BK3668" s="5" t="s">
        <v>254</v>
      </c>
      <c r="BL3668" s="5" t="s">
        <v>238</v>
      </c>
      <c r="BM3668" s="5" t="s">
        <v>238</v>
      </c>
      <c r="BN3668" s="5" t="s">
        <v>238</v>
      </c>
      <c r="BO3668" s="5" t="s">
        <v>238</v>
      </c>
      <c r="BP3668" s="5" t="s">
        <v>238</v>
      </c>
      <c r="BQ3668" s="5" t="s">
        <v>238</v>
      </c>
      <c r="BR3668" s="5" t="s">
        <v>238</v>
      </c>
      <c r="BS3668" s="5" t="s">
        <v>238</v>
      </c>
      <c r="BT3668" s="6" t="s">
        <v>238</v>
      </c>
      <c r="BU3668" s="5" t="s">
        <v>238</v>
      </c>
      <c r="BV3668" s="5" t="s">
        <v>238</v>
      </c>
      <c r="BW3668" s="5" t="s">
        <v>238</v>
      </c>
      <c r="BX3668" s="5" t="s">
        <v>254</v>
      </c>
      <c r="BY3668" s="5" t="s">
        <v>238</v>
      </c>
      <c r="BZ3668" s="5" t="s">
        <v>238</v>
      </c>
      <c r="CA3668" s="5" t="s">
        <v>238</v>
      </c>
      <c r="CB3668" s="5" t="s">
        <v>238</v>
      </c>
      <c r="CC3668" s="5" t="s">
        <v>238</v>
      </c>
      <c r="CD3668" s="5" t="s">
        <v>273</v>
      </c>
      <c r="CE3668" s="5" t="s">
        <v>256</v>
      </c>
      <c r="CF3668" s="5" t="s">
        <v>238</v>
      </c>
      <c r="CH3668" s="5" t="s">
        <v>494</v>
      </c>
      <c r="CI3668" s="6" t="s">
        <v>257</v>
      </c>
      <c r="CJ3668" s="5" t="s">
        <v>495</v>
      </c>
      <c r="CK3668" s="5" t="s">
        <v>258</v>
      </c>
      <c r="CL3668" s="5" t="s">
        <v>496</v>
      </c>
      <c r="CM3668" s="5" t="s">
        <v>238</v>
      </c>
      <c r="CN3668" s="5">
        <v>0</v>
      </c>
      <c r="CO3668" s="5" t="s">
        <v>497</v>
      </c>
      <c r="CP3668" s="5" t="s">
        <v>260</v>
      </c>
      <c r="CQ3668" s="5" t="s">
        <v>260</v>
      </c>
      <c r="CR3668" s="5" t="s">
        <v>261</v>
      </c>
      <c r="CS3668" s="5" t="s">
        <v>498</v>
      </c>
      <c r="CT3668" s="7">
        <f>1</f>
        <v>1</v>
      </c>
      <c r="CU3668" s="8">
        <f>1</f>
        <v>1</v>
      </c>
      <c r="CV3668" s="8">
        <f>0</f>
        <v>0</v>
      </c>
      <c r="CX3668" s="8">
        <f>1</f>
        <v>1</v>
      </c>
      <c r="CY3668" s="8">
        <f>1</f>
        <v>1</v>
      </c>
      <c r="CZ3668" s="8" t="s">
        <v>238</v>
      </c>
      <c r="DA3668" s="5" t="s">
        <v>238</v>
      </c>
      <c r="DB3668" s="5" t="s">
        <v>238</v>
      </c>
      <c r="DC3668" s="5" t="s">
        <v>238</v>
      </c>
      <c r="DD3668" s="5" t="s">
        <v>238</v>
      </c>
      <c r="DE3668" s="8">
        <f>0</f>
        <v>0</v>
      </c>
      <c r="DG3668" s="5" t="s">
        <v>238</v>
      </c>
      <c r="DH3668" s="5" t="s">
        <v>238</v>
      </c>
      <c r="DI3668" s="5" t="s">
        <v>238</v>
      </c>
      <c r="DJ3668" s="5" t="s">
        <v>238</v>
      </c>
      <c r="DK3668" s="5" t="s">
        <v>238</v>
      </c>
      <c r="DL3668" s="5" t="s">
        <v>238</v>
      </c>
      <c r="DM3668" s="8" t="s">
        <v>238</v>
      </c>
      <c r="DN3668" s="5" t="s">
        <v>238</v>
      </c>
      <c r="DO3668" s="5" t="s">
        <v>238</v>
      </c>
      <c r="DP3668" s="5" t="s">
        <v>490</v>
      </c>
      <c r="DQ3668" s="5" t="s">
        <v>490</v>
      </c>
      <c r="DR3668" s="5" t="s">
        <v>238</v>
      </c>
      <c r="DS3668" s="5" t="s">
        <v>238</v>
      </c>
      <c r="DT3668" s="5" t="s">
        <v>500</v>
      </c>
      <c r="DU3668" s="5" t="s">
        <v>810</v>
      </c>
      <c r="DV3668" s="5" t="s">
        <v>238</v>
      </c>
      <c r="DW3668" s="5" t="s">
        <v>238</v>
      </c>
      <c r="DX3668" s="5" t="s">
        <v>238</v>
      </c>
      <c r="DY3668" s="5" t="s">
        <v>238</v>
      </c>
      <c r="DZ3668" s="5" t="s">
        <v>238</v>
      </c>
      <c r="EA3668" s="5" t="s">
        <v>238</v>
      </c>
      <c r="EB3668" s="5" t="s">
        <v>238</v>
      </c>
      <c r="EC3668" s="5" t="s">
        <v>238</v>
      </c>
      <c r="ED3668" s="5" t="s">
        <v>238</v>
      </c>
      <c r="EE3668" s="5" t="s">
        <v>238</v>
      </c>
      <c r="EF3668" s="5" t="s">
        <v>238</v>
      </c>
      <c r="EG3668" s="5" t="s">
        <v>238</v>
      </c>
      <c r="EH3668" s="5" t="s">
        <v>238</v>
      </c>
      <c r="EI3668" s="5" t="s">
        <v>238</v>
      </c>
      <c r="EJ3668" s="5" t="s">
        <v>238</v>
      </c>
      <c r="EK3668" s="5" t="s">
        <v>238</v>
      </c>
      <c r="EL3668" s="5" t="s">
        <v>238</v>
      </c>
      <c r="EM3668" s="5" t="s">
        <v>238</v>
      </c>
      <c r="EN3668" s="5" t="s">
        <v>238</v>
      </c>
      <c r="EO3668" s="5" t="s">
        <v>238</v>
      </c>
      <c r="EP3668" s="5" t="s">
        <v>238</v>
      </c>
      <c r="EQ3668" s="5" t="s">
        <v>238</v>
      </c>
      <c r="ER3668" s="5" t="s">
        <v>238</v>
      </c>
      <c r="ES3668" s="5" t="s">
        <v>238</v>
      </c>
      <c r="ET3668" s="5" t="s">
        <v>238</v>
      </c>
      <c r="EU3668" s="5" t="s">
        <v>238</v>
      </c>
      <c r="EV3668" s="5" t="s">
        <v>238</v>
      </c>
      <c r="EW3668" s="5" t="s">
        <v>238</v>
      </c>
      <c r="EX3668" s="5" t="s">
        <v>238</v>
      </c>
      <c r="EY3668" s="5" t="s">
        <v>238</v>
      </c>
      <c r="EZ3668" s="5" t="s">
        <v>238</v>
      </c>
      <c r="FA3668" s="5" t="s">
        <v>238</v>
      </c>
      <c r="FB3668" s="5" t="s">
        <v>238</v>
      </c>
      <c r="FC3668" s="5" t="s">
        <v>238</v>
      </c>
      <c r="FD3668" s="5" t="s">
        <v>238</v>
      </c>
      <c r="FE3668" s="5" t="s">
        <v>238</v>
      </c>
      <c r="FF3668" s="5" t="s">
        <v>238</v>
      </c>
      <c r="FG3668" s="5" t="s">
        <v>238</v>
      </c>
      <c r="FH3668" s="5" t="s">
        <v>238</v>
      </c>
      <c r="FI3668" s="5" t="s">
        <v>238</v>
      </c>
      <c r="FJ3668" s="5" t="s">
        <v>238</v>
      </c>
      <c r="FK3668" s="5" t="s">
        <v>238</v>
      </c>
      <c r="FL3668" s="5" t="s">
        <v>238</v>
      </c>
      <c r="FM3668" s="5" t="s">
        <v>238</v>
      </c>
      <c r="FN3668" s="5" t="s">
        <v>238</v>
      </c>
      <c r="FO3668" s="5" t="s">
        <v>238</v>
      </c>
      <c r="FP3668" s="5" t="s">
        <v>238</v>
      </c>
      <c r="FQ3668" s="5" t="s">
        <v>238</v>
      </c>
      <c r="FR3668" s="5" t="s">
        <v>238</v>
      </c>
      <c r="FS3668" s="5" t="s">
        <v>238</v>
      </c>
      <c r="FT3668" s="5" t="s">
        <v>238</v>
      </c>
      <c r="FU3668" s="5" t="s">
        <v>238</v>
      </c>
      <c r="FV3668" s="5" t="s">
        <v>238</v>
      </c>
      <c r="FW3668" s="5" t="s">
        <v>238</v>
      </c>
      <c r="FX3668" s="5" t="s">
        <v>238</v>
      </c>
      <c r="FY3668" s="5" t="s">
        <v>238</v>
      </c>
      <c r="FZ3668" s="5" t="s">
        <v>238</v>
      </c>
      <c r="GA3668" s="5" t="s">
        <v>238</v>
      </c>
      <c r="GB3668" s="5" t="s">
        <v>238</v>
      </c>
      <c r="GC3668" s="5" t="s">
        <v>238</v>
      </c>
      <c r="GD3668" s="5" t="s">
        <v>238</v>
      </c>
      <c r="GE3668" s="5" t="s">
        <v>238</v>
      </c>
      <c r="GF3668" s="5" t="s">
        <v>238</v>
      </c>
      <c r="GG3668" s="5" t="s">
        <v>238</v>
      </c>
      <c r="GH3668" s="5" t="s">
        <v>238</v>
      </c>
      <c r="GI3668" s="5" t="s">
        <v>238</v>
      </c>
      <c r="GJ3668" s="5" t="s">
        <v>238</v>
      </c>
      <c r="GK3668" s="5" t="s">
        <v>238</v>
      </c>
      <c r="GL3668" s="5" t="s">
        <v>238</v>
      </c>
      <c r="GM3668" s="5" t="s">
        <v>238</v>
      </c>
      <c r="GN3668" s="5" t="s">
        <v>238</v>
      </c>
      <c r="GO3668" s="5" t="s">
        <v>238</v>
      </c>
      <c r="GP3668" s="5" t="s">
        <v>238</v>
      </c>
      <c r="GQ3668" s="5" t="s">
        <v>238</v>
      </c>
      <c r="GR3668" s="5" t="s">
        <v>238</v>
      </c>
      <c r="GS3668" s="5" t="s">
        <v>238</v>
      </c>
      <c r="GT3668" s="5" t="s">
        <v>238</v>
      </c>
      <c r="GU3668" s="5" t="s">
        <v>238</v>
      </c>
      <c r="GV3668" s="5" t="s">
        <v>238</v>
      </c>
      <c r="GW3668" s="5" t="s">
        <v>238</v>
      </c>
      <c r="GX3668" s="5" t="s">
        <v>238</v>
      </c>
      <c r="GY3668" s="5" t="s">
        <v>238</v>
      </c>
      <c r="GZ3668" s="5" t="s">
        <v>238</v>
      </c>
      <c r="HA3668" s="5" t="s">
        <v>238</v>
      </c>
      <c r="HB3668" s="5" t="s">
        <v>238</v>
      </c>
      <c r="HC3668" s="5" t="s">
        <v>238</v>
      </c>
      <c r="HD3668" s="5" t="s">
        <v>238</v>
      </c>
      <c r="HE3668" s="5" t="s">
        <v>238</v>
      </c>
      <c r="HF3668" s="5" t="s">
        <v>238</v>
      </c>
      <c r="HG3668" s="5" t="s">
        <v>238</v>
      </c>
      <c r="HH3668" s="5" t="s">
        <v>238</v>
      </c>
      <c r="HI3668" s="5" t="s">
        <v>238</v>
      </c>
      <c r="HJ3668" s="5" t="s">
        <v>238</v>
      </c>
      <c r="HK3668" s="5" t="s">
        <v>238</v>
      </c>
      <c r="HL3668" s="5" t="s">
        <v>238</v>
      </c>
      <c r="HM3668" s="5" t="s">
        <v>264</v>
      </c>
      <c r="HN3668" s="5" t="s">
        <v>238</v>
      </c>
      <c r="HO3668" s="5" t="s">
        <v>238</v>
      </c>
      <c r="HP3668" s="5" t="s">
        <v>238</v>
      </c>
      <c r="HQ3668" s="5" t="s">
        <v>238</v>
      </c>
      <c r="HR3668" s="5" t="s">
        <v>238</v>
      </c>
      <c r="HS3668" s="5" t="s">
        <v>238</v>
      </c>
      <c r="HT3668" s="5" t="s">
        <v>238</v>
      </c>
      <c r="HU3668" s="5" t="s">
        <v>238</v>
      </c>
      <c r="HV3668" s="5" t="s">
        <v>238</v>
      </c>
      <c r="HW3668" s="5" t="s">
        <v>238</v>
      </c>
      <c r="HX3668" s="5" t="s">
        <v>238</v>
      </c>
      <c r="HY3668" s="5" t="s">
        <v>238</v>
      </c>
      <c r="HZ3668" s="5" t="s">
        <v>238</v>
      </c>
      <c r="IA3668" s="5" t="s">
        <v>238</v>
      </c>
      <c r="IB3668" s="5" t="s">
        <v>238</v>
      </c>
      <c r="IC3668" s="5" t="s">
        <v>238</v>
      </c>
      <c r="ID3668" s="5" t="s">
        <v>238</v>
      </c>
    </row>
    <row r="3669" spans="1:238" x14ac:dyDescent="0.4">
      <c r="A3669" s="5">
        <v>9387</v>
      </c>
      <c r="B3669" s="5">
        <v>1</v>
      </c>
      <c r="C3669" s="5">
        <v>1</v>
      </c>
      <c r="D3669" s="5" t="s">
        <v>484</v>
      </c>
      <c r="E3669" s="5" t="s">
        <v>485</v>
      </c>
      <c r="F3669" s="5" t="s">
        <v>248</v>
      </c>
      <c r="G3669" s="5" t="s">
        <v>6384</v>
      </c>
      <c r="H3669" s="6" t="s">
        <v>6385</v>
      </c>
      <c r="I3669" s="8">
        <f>1</f>
        <v>1</v>
      </c>
      <c r="J3669" s="5" t="s">
        <v>499</v>
      </c>
      <c r="K3669" s="8">
        <f>1</f>
        <v>1</v>
      </c>
      <c r="L3669" s="6" t="s">
        <v>242</v>
      </c>
      <c r="M3669" s="5" t="s">
        <v>267</v>
      </c>
      <c r="N3669" s="5" t="s">
        <v>482</v>
      </c>
      <c r="O3669" s="5" t="s">
        <v>238</v>
      </c>
      <c r="P3669" s="5" t="s">
        <v>238</v>
      </c>
      <c r="Q3669" s="5" t="s">
        <v>239</v>
      </c>
      <c r="R3669" s="5" t="s">
        <v>270</v>
      </c>
      <c r="S3669" s="5" t="s">
        <v>238</v>
      </c>
      <c r="T3669" s="5" t="s">
        <v>238</v>
      </c>
      <c r="U3669" s="5" t="s">
        <v>238</v>
      </c>
      <c r="V3669" s="5" t="s">
        <v>238</v>
      </c>
      <c r="W3669" s="6" t="s">
        <v>238</v>
      </c>
      <c r="X3669" s="6" t="s">
        <v>238</v>
      </c>
      <c r="Y3669" s="5" t="s">
        <v>238</v>
      </c>
      <c r="Z3669" s="6" t="s">
        <v>238</v>
      </c>
      <c r="AA3669" s="6" t="s">
        <v>243</v>
      </c>
      <c r="AB3669" s="5" t="s">
        <v>486</v>
      </c>
      <c r="AC3669" s="5" t="s">
        <v>244</v>
      </c>
      <c r="AD3669" s="5" t="s">
        <v>245</v>
      </c>
      <c r="AE3669" s="5" t="s">
        <v>238</v>
      </c>
      <c r="AF3669" s="5" t="s">
        <v>238</v>
      </c>
      <c r="AG3669" s="5" t="s">
        <v>238</v>
      </c>
      <c r="AH3669" s="5" t="s">
        <v>238</v>
      </c>
      <c r="AI3669" s="5" t="s">
        <v>238</v>
      </c>
      <c r="AJ3669" s="5" t="s">
        <v>238</v>
      </c>
      <c r="AK3669" s="5" t="s">
        <v>238</v>
      </c>
      <c r="AL3669" s="5" t="s">
        <v>238</v>
      </c>
      <c r="AM3669" s="6" t="s">
        <v>238</v>
      </c>
      <c r="AN3669" s="6" t="s">
        <v>238</v>
      </c>
      <c r="AO3669" s="6" t="s">
        <v>238</v>
      </c>
      <c r="AP3669" s="6" t="s">
        <v>238</v>
      </c>
      <c r="AQ3669" s="5" t="s">
        <v>238</v>
      </c>
      <c r="AR3669" s="5" t="s">
        <v>488</v>
      </c>
      <c r="AS3669" s="5" t="s">
        <v>488</v>
      </c>
      <c r="AT3669" s="5" t="s">
        <v>246</v>
      </c>
      <c r="AU3669" s="5" t="s">
        <v>489</v>
      </c>
      <c r="AV3669" s="5" t="s">
        <v>247</v>
      </c>
      <c r="AW3669" s="5" t="s">
        <v>238</v>
      </c>
      <c r="AX3669" s="5" t="s">
        <v>249</v>
      </c>
      <c r="AY3669" s="5" t="s">
        <v>490</v>
      </c>
      <c r="BA3669" s="5" t="s">
        <v>238</v>
      </c>
      <c r="BC3669" s="5" t="s">
        <v>491</v>
      </c>
      <c r="BD3669" s="6" t="s">
        <v>492</v>
      </c>
      <c r="BE3669" s="5" t="s">
        <v>493</v>
      </c>
      <c r="BF3669" s="5" t="s">
        <v>493</v>
      </c>
      <c r="BG3669" s="5" t="s">
        <v>238</v>
      </c>
      <c r="BH3669" s="8">
        <f>1</f>
        <v>1</v>
      </c>
      <c r="BI3669" s="8">
        <f>1</f>
        <v>1</v>
      </c>
      <c r="BJ3669" s="5" t="s">
        <v>253</v>
      </c>
      <c r="BK3669" s="5" t="s">
        <v>254</v>
      </c>
      <c r="BL3669" s="5" t="s">
        <v>238</v>
      </c>
      <c r="BM3669" s="5" t="s">
        <v>238</v>
      </c>
      <c r="BN3669" s="5" t="s">
        <v>238</v>
      </c>
      <c r="BO3669" s="5" t="s">
        <v>238</v>
      </c>
      <c r="BP3669" s="5" t="s">
        <v>238</v>
      </c>
      <c r="BQ3669" s="5" t="s">
        <v>238</v>
      </c>
      <c r="BR3669" s="5" t="s">
        <v>238</v>
      </c>
      <c r="BS3669" s="5" t="s">
        <v>238</v>
      </c>
      <c r="BT3669" s="6" t="s">
        <v>238</v>
      </c>
      <c r="BU3669" s="5" t="s">
        <v>238</v>
      </c>
      <c r="BV3669" s="5" t="s">
        <v>238</v>
      </c>
      <c r="BW3669" s="5" t="s">
        <v>238</v>
      </c>
      <c r="BX3669" s="5" t="s">
        <v>254</v>
      </c>
      <c r="BY3669" s="5" t="s">
        <v>238</v>
      </c>
      <c r="BZ3669" s="5" t="s">
        <v>238</v>
      </c>
      <c r="CA3669" s="5" t="s">
        <v>238</v>
      </c>
      <c r="CB3669" s="5" t="s">
        <v>238</v>
      </c>
      <c r="CC3669" s="5" t="s">
        <v>238</v>
      </c>
      <c r="CD3669" s="5" t="s">
        <v>273</v>
      </c>
      <c r="CE3669" s="5" t="s">
        <v>256</v>
      </c>
      <c r="CF3669" s="5" t="s">
        <v>238</v>
      </c>
      <c r="CH3669" s="5" t="s">
        <v>494</v>
      </c>
      <c r="CI3669" s="6" t="s">
        <v>257</v>
      </c>
      <c r="CJ3669" s="5" t="s">
        <v>495</v>
      </c>
      <c r="CK3669" s="5" t="s">
        <v>258</v>
      </c>
      <c r="CL3669" s="5" t="s">
        <v>496</v>
      </c>
      <c r="CM3669" s="5" t="s">
        <v>238</v>
      </c>
      <c r="CN3669" s="5">
        <v>0</v>
      </c>
      <c r="CO3669" s="5" t="s">
        <v>497</v>
      </c>
      <c r="CP3669" s="5" t="s">
        <v>260</v>
      </c>
      <c r="CQ3669" s="5" t="s">
        <v>260</v>
      </c>
      <c r="CR3669" s="5" t="s">
        <v>261</v>
      </c>
      <c r="CS3669" s="5" t="s">
        <v>498</v>
      </c>
      <c r="CT3669" s="7">
        <f>1</f>
        <v>1</v>
      </c>
      <c r="CU3669" s="8">
        <f>1</f>
        <v>1</v>
      </c>
      <c r="CV3669" s="8">
        <f>0</f>
        <v>0</v>
      </c>
      <c r="CX3669" s="8">
        <f>1</f>
        <v>1</v>
      </c>
      <c r="CY3669" s="8">
        <f>1</f>
        <v>1</v>
      </c>
      <c r="CZ3669" s="8" t="s">
        <v>238</v>
      </c>
      <c r="DA3669" s="5" t="s">
        <v>238</v>
      </c>
      <c r="DB3669" s="5" t="s">
        <v>238</v>
      </c>
      <c r="DC3669" s="5" t="s">
        <v>238</v>
      </c>
      <c r="DD3669" s="5" t="s">
        <v>238</v>
      </c>
      <c r="DE3669" s="8">
        <f>0</f>
        <v>0</v>
      </c>
      <c r="DG3669" s="5" t="s">
        <v>238</v>
      </c>
      <c r="DH3669" s="5" t="s">
        <v>238</v>
      </c>
      <c r="DI3669" s="5" t="s">
        <v>238</v>
      </c>
      <c r="DJ3669" s="5" t="s">
        <v>238</v>
      </c>
      <c r="DK3669" s="5" t="s">
        <v>238</v>
      </c>
      <c r="DL3669" s="5" t="s">
        <v>238</v>
      </c>
      <c r="DM3669" s="8" t="s">
        <v>238</v>
      </c>
      <c r="DN3669" s="5" t="s">
        <v>238</v>
      </c>
      <c r="DO3669" s="5" t="s">
        <v>238</v>
      </c>
      <c r="DP3669" s="5" t="s">
        <v>490</v>
      </c>
      <c r="DQ3669" s="5" t="s">
        <v>490</v>
      </c>
      <c r="DR3669" s="5" t="s">
        <v>238</v>
      </c>
      <c r="DS3669" s="5" t="s">
        <v>238</v>
      </c>
      <c r="DT3669" s="5" t="s">
        <v>500</v>
      </c>
      <c r="DU3669" s="5" t="s">
        <v>797</v>
      </c>
      <c r="DV3669" s="5" t="s">
        <v>238</v>
      </c>
      <c r="DW3669" s="5" t="s">
        <v>238</v>
      </c>
      <c r="DX3669" s="5" t="s">
        <v>238</v>
      </c>
      <c r="DY3669" s="5" t="s">
        <v>238</v>
      </c>
      <c r="DZ3669" s="5" t="s">
        <v>238</v>
      </c>
      <c r="EA3669" s="5" t="s">
        <v>238</v>
      </c>
      <c r="EB3669" s="5" t="s">
        <v>238</v>
      </c>
      <c r="EC3669" s="5" t="s">
        <v>238</v>
      </c>
      <c r="ED3669" s="5" t="s">
        <v>238</v>
      </c>
      <c r="EE3669" s="5" t="s">
        <v>238</v>
      </c>
      <c r="EF3669" s="5" t="s">
        <v>238</v>
      </c>
      <c r="EG3669" s="5" t="s">
        <v>238</v>
      </c>
      <c r="EH3669" s="5" t="s">
        <v>238</v>
      </c>
      <c r="EI3669" s="5" t="s">
        <v>238</v>
      </c>
      <c r="EJ3669" s="5" t="s">
        <v>238</v>
      </c>
      <c r="EK3669" s="5" t="s">
        <v>238</v>
      </c>
      <c r="EL3669" s="5" t="s">
        <v>238</v>
      </c>
      <c r="EM3669" s="5" t="s">
        <v>238</v>
      </c>
      <c r="EN3669" s="5" t="s">
        <v>238</v>
      </c>
      <c r="EO3669" s="5" t="s">
        <v>238</v>
      </c>
      <c r="EP3669" s="5" t="s">
        <v>238</v>
      </c>
      <c r="EQ3669" s="5" t="s">
        <v>238</v>
      </c>
      <c r="ER3669" s="5" t="s">
        <v>238</v>
      </c>
      <c r="ES3669" s="5" t="s">
        <v>238</v>
      </c>
      <c r="ET3669" s="5" t="s">
        <v>238</v>
      </c>
      <c r="EU3669" s="5" t="s">
        <v>238</v>
      </c>
      <c r="EV3669" s="5" t="s">
        <v>238</v>
      </c>
      <c r="EW3669" s="5" t="s">
        <v>238</v>
      </c>
      <c r="EX3669" s="5" t="s">
        <v>238</v>
      </c>
      <c r="EY3669" s="5" t="s">
        <v>238</v>
      </c>
      <c r="EZ3669" s="5" t="s">
        <v>238</v>
      </c>
      <c r="FA3669" s="5" t="s">
        <v>238</v>
      </c>
      <c r="FB3669" s="5" t="s">
        <v>238</v>
      </c>
      <c r="FC3669" s="5" t="s">
        <v>238</v>
      </c>
      <c r="FD3669" s="5" t="s">
        <v>238</v>
      </c>
      <c r="FE3669" s="5" t="s">
        <v>238</v>
      </c>
      <c r="FF3669" s="5" t="s">
        <v>238</v>
      </c>
      <c r="FG3669" s="5" t="s">
        <v>238</v>
      </c>
      <c r="FH3669" s="5" t="s">
        <v>238</v>
      </c>
      <c r="FI3669" s="5" t="s">
        <v>238</v>
      </c>
      <c r="FJ3669" s="5" t="s">
        <v>238</v>
      </c>
      <c r="FK3669" s="5" t="s">
        <v>238</v>
      </c>
      <c r="FL3669" s="5" t="s">
        <v>238</v>
      </c>
      <c r="FM3669" s="5" t="s">
        <v>238</v>
      </c>
      <c r="FN3669" s="5" t="s">
        <v>238</v>
      </c>
      <c r="FO3669" s="5" t="s">
        <v>238</v>
      </c>
      <c r="FP3669" s="5" t="s">
        <v>238</v>
      </c>
      <c r="FQ3669" s="5" t="s">
        <v>238</v>
      </c>
      <c r="FR3669" s="5" t="s">
        <v>238</v>
      </c>
      <c r="FS3669" s="5" t="s">
        <v>238</v>
      </c>
      <c r="FT3669" s="5" t="s">
        <v>238</v>
      </c>
      <c r="FU3669" s="5" t="s">
        <v>238</v>
      </c>
      <c r="FV3669" s="5" t="s">
        <v>238</v>
      </c>
      <c r="FW3669" s="5" t="s">
        <v>238</v>
      </c>
      <c r="FX3669" s="5" t="s">
        <v>238</v>
      </c>
      <c r="FY3669" s="5" t="s">
        <v>238</v>
      </c>
      <c r="FZ3669" s="5" t="s">
        <v>238</v>
      </c>
      <c r="GA3669" s="5" t="s">
        <v>238</v>
      </c>
      <c r="GB3669" s="5" t="s">
        <v>238</v>
      </c>
      <c r="GC3669" s="5" t="s">
        <v>238</v>
      </c>
      <c r="GD3669" s="5" t="s">
        <v>238</v>
      </c>
      <c r="GE3669" s="5" t="s">
        <v>238</v>
      </c>
      <c r="GF3669" s="5" t="s">
        <v>238</v>
      </c>
      <c r="GG3669" s="5" t="s">
        <v>238</v>
      </c>
      <c r="GH3669" s="5" t="s">
        <v>238</v>
      </c>
      <c r="GI3669" s="5" t="s">
        <v>238</v>
      </c>
      <c r="GJ3669" s="5" t="s">
        <v>238</v>
      </c>
      <c r="GK3669" s="5" t="s">
        <v>238</v>
      </c>
      <c r="GL3669" s="5" t="s">
        <v>238</v>
      </c>
      <c r="GM3669" s="5" t="s">
        <v>238</v>
      </c>
      <c r="GN3669" s="5" t="s">
        <v>238</v>
      </c>
      <c r="GO3669" s="5" t="s">
        <v>238</v>
      </c>
      <c r="GP3669" s="5" t="s">
        <v>238</v>
      </c>
      <c r="GQ3669" s="5" t="s">
        <v>238</v>
      </c>
      <c r="GR3669" s="5" t="s">
        <v>238</v>
      </c>
      <c r="GS3669" s="5" t="s">
        <v>238</v>
      </c>
      <c r="GT3669" s="5" t="s">
        <v>238</v>
      </c>
      <c r="GU3669" s="5" t="s">
        <v>238</v>
      </c>
      <c r="GV3669" s="5" t="s">
        <v>238</v>
      </c>
      <c r="GW3669" s="5" t="s">
        <v>238</v>
      </c>
      <c r="GX3669" s="5" t="s">
        <v>238</v>
      </c>
      <c r="GY3669" s="5" t="s">
        <v>238</v>
      </c>
      <c r="GZ3669" s="5" t="s">
        <v>238</v>
      </c>
      <c r="HA3669" s="5" t="s">
        <v>238</v>
      </c>
      <c r="HB3669" s="5" t="s">
        <v>238</v>
      </c>
      <c r="HC3669" s="5" t="s">
        <v>238</v>
      </c>
      <c r="HD3669" s="5" t="s">
        <v>238</v>
      </c>
      <c r="HE3669" s="5" t="s">
        <v>238</v>
      </c>
      <c r="HF3669" s="5" t="s">
        <v>238</v>
      </c>
      <c r="HG3669" s="5" t="s">
        <v>238</v>
      </c>
      <c r="HH3669" s="5" t="s">
        <v>238</v>
      </c>
      <c r="HI3669" s="5" t="s">
        <v>238</v>
      </c>
      <c r="HJ3669" s="5" t="s">
        <v>238</v>
      </c>
      <c r="HK3669" s="5" t="s">
        <v>238</v>
      </c>
      <c r="HL3669" s="5" t="s">
        <v>238</v>
      </c>
      <c r="HM3669" s="5" t="s">
        <v>264</v>
      </c>
      <c r="HN3669" s="5" t="s">
        <v>238</v>
      </c>
      <c r="HO3669" s="5" t="s">
        <v>238</v>
      </c>
      <c r="HP3669" s="5" t="s">
        <v>238</v>
      </c>
      <c r="HQ3669" s="5" t="s">
        <v>238</v>
      </c>
      <c r="HR3669" s="5" t="s">
        <v>238</v>
      </c>
      <c r="HS3669" s="5" t="s">
        <v>238</v>
      </c>
      <c r="HT3669" s="5" t="s">
        <v>238</v>
      </c>
      <c r="HU3669" s="5" t="s">
        <v>238</v>
      </c>
      <c r="HV3669" s="5" t="s">
        <v>238</v>
      </c>
      <c r="HW3669" s="5" t="s">
        <v>238</v>
      </c>
      <c r="HX3669" s="5" t="s">
        <v>238</v>
      </c>
      <c r="HY3669" s="5" t="s">
        <v>238</v>
      </c>
      <c r="HZ3669" s="5" t="s">
        <v>238</v>
      </c>
      <c r="IA3669" s="5" t="s">
        <v>238</v>
      </c>
      <c r="IB3669" s="5" t="s">
        <v>238</v>
      </c>
      <c r="IC3669" s="5" t="s">
        <v>238</v>
      </c>
      <c r="ID3669" s="5" t="s">
        <v>238</v>
      </c>
    </row>
    <row r="3670" spans="1:238" x14ac:dyDescent="0.4">
      <c r="A3670" s="5">
        <v>9388</v>
      </c>
      <c r="B3670" s="5">
        <v>1</v>
      </c>
      <c r="C3670" s="5">
        <v>1</v>
      </c>
      <c r="D3670" s="5" t="s">
        <v>484</v>
      </c>
      <c r="E3670" s="5" t="s">
        <v>485</v>
      </c>
      <c r="F3670" s="5" t="s">
        <v>248</v>
      </c>
      <c r="G3670" s="5" t="s">
        <v>4846</v>
      </c>
      <c r="H3670" s="6" t="s">
        <v>4847</v>
      </c>
      <c r="I3670" s="8">
        <f>1</f>
        <v>1</v>
      </c>
      <c r="J3670" s="5" t="s">
        <v>499</v>
      </c>
      <c r="K3670" s="8">
        <f>1</f>
        <v>1</v>
      </c>
      <c r="L3670" s="6" t="s">
        <v>242</v>
      </c>
      <c r="M3670" s="5" t="s">
        <v>267</v>
      </c>
      <c r="N3670" s="5" t="s">
        <v>482</v>
      </c>
      <c r="O3670" s="5" t="s">
        <v>238</v>
      </c>
      <c r="P3670" s="5" t="s">
        <v>238</v>
      </c>
      <c r="Q3670" s="5" t="s">
        <v>239</v>
      </c>
      <c r="R3670" s="5" t="s">
        <v>270</v>
      </c>
      <c r="S3670" s="5" t="s">
        <v>238</v>
      </c>
      <c r="T3670" s="5" t="s">
        <v>238</v>
      </c>
      <c r="U3670" s="5" t="s">
        <v>238</v>
      </c>
      <c r="V3670" s="5" t="s">
        <v>238</v>
      </c>
      <c r="W3670" s="6" t="s">
        <v>238</v>
      </c>
      <c r="X3670" s="6" t="s">
        <v>238</v>
      </c>
      <c r="Y3670" s="5" t="s">
        <v>238</v>
      </c>
      <c r="Z3670" s="6" t="s">
        <v>238</v>
      </c>
      <c r="AA3670" s="6" t="s">
        <v>243</v>
      </c>
      <c r="AB3670" s="5" t="s">
        <v>486</v>
      </c>
      <c r="AC3670" s="5" t="s">
        <v>244</v>
      </c>
      <c r="AD3670" s="5" t="s">
        <v>245</v>
      </c>
      <c r="AE3670" s="5" t="s">
        <v>238</v>
      </c>
      <c r="AF3670" s="5" t="s">
        <v>238</v>
      </c>
      <c r="AG3670" s="5" t="s">
        <v>238</v>
      </c>
      <c r="AH3670" s="5" t="s">
        <v>238</v>
      </c>
      <c r="AI3670" s="5" t="s">
        <v>238</v>
      </c>
      <c r="AJ3670" s="5" t="s">
        <v>238</v>
      </c>
      <c r="AK3670" s="5" t="s">
        <v>238</v>
      </c>
      <c r="AL3670" s="5" t="s">
        <v>238</v>
      </c>
      <c r="AM3670" s="6" t="s">
        <v>238</v>
      </c>
      <c r="AN3670" s="6" t="s">
        <v>238</v>
      </c>
      <c r="AO3670" s="6" t="s">
        <v>238</v>
      </c>
      <c r="AP3670" s="6" t="s">
        <v>238</v>
      </c>
      <c r="AQ3670" s="5" t="s">
        <v>238</v>
      </c>
      <c r="AR3670" s="5" t="s">
        <v>488</v>
      </c>
      <c r="AS3670" s="5" t="s">
        <v>488</v>
      </c>
      <c r="AT3670" s="5" t="s">
        <v>246</v>
      </c>
      <c r="AU3670" s="5" t="s">
        <v>489</v>
      </c>
      <c r="AV3670" s="5" t="s">
        <v>247</v>
      </c>
      <c r="AW3670" s="5" t="s">
        <v>238</v>
      </c>
      <c r="AX3670" s="5" t="s">
        <v>249</v>
      </c>
      <c r="AY3670" s="5" t="s">
        <v>490</v>
      </c>
      <c r="BA3670" s="5" t="s">
        <v>238</v>
      </c>
      <c r="BC3670" s="5" t="s">
        <v>491</v>
      </c>
      <c r="BD3670" s="6" t="s">
        <v>492</v>
      </c>
      <c r="BE3670" s="5" t="s">
        <v>493</v>
      </c>
      <c r="BF3670" s="5" t="s">
        <v>493</v>
      </c>
      <c r="BG3670" s="5" t="s">
        <v>238</v>
      </c>
      <c r="BH3670" s="8">
        <f>1</f>
        <v>1</v>
      </c>
      <c r="BI3670" s="8">
        <f>1</f>
        <v>1</v>
      </c>
      <c r="BJ3670" s="5" t="s">
        <v>253</v>
      </c>
      <c r="BK3670" s="5" t="s">
        <v>254</v>
      </c>
      <c r="BL3670" s="5" t="s">
        <v>238</v>
      </c>
      <c r="BM3670" s="5" t="s">
        <v>238</v>
      </c>
      <c r="BN3670" s="5" t="s">
        <v>238</v>
      </c>
      <c r="BO3670" s="5" t="s">
        <v>238</v>
      </c>
      <c r="BP3670" s="5" t="s">
        <v>238</v>
      </c>
      <c r="BQ3670" s="5" t="s">
        <v>238</v>
      </c>
      <c r="BR3670" s="5" t="s">
        <v>238</v>
      </c>
      <c r="BS3670" s="5" t="s">
        <v>238</v>
      </c>
      <c r="BT3670" s="6" t="s">
        <v>238</v>
      </c>
      <c r="BU3670" s="5" t="s">
        <v>238</v>
      </c>
      <c r="BV3670" s="5" t="s">
        <v>238</v>
      </c>
      <c r="BW3670" s="5" t="s">
        <v>238</v>
      </c>
      <c r="BX3670" s="5" t="s">
        <v>254</v>
      </c>
      <c r="BY3670" s="5" t="s">
        <v>238</v>
      </c>
      <c r="BZ3670" s="5" t="s">
        <v>238</v>
      </c>
      <c r="CA3670" s="5" t="s">
        <v>238</v>
      </c>
      <c r="CB3670" s="5" t="s">
        <v>238</v>
      </c>
      <c r="CC3670" s="5" t="s">
        <v>238</v>
      </c>
      <c r="CD3670" s="5" t="s">
        <v>273</v>
      </c>
      <c r="CE3670" s="5" t="s">
        <v>256</v>
      </c>
      <c r="CF3670" s="5" t="s">
        <v>238</v>
      </c>
      <c r="CH3670" s="5" t="s">
        <v>494</v>
      </c>
      <c r="CI3670" s="6" t="s">
        <v>257</v>
      </c>
      <c r="CJ3670" s="5" t="s">
        <v>495</v>
      </c>
      <c r="CK3670" s="5" t="s">
        <v>258</v>
      </c>
      <c r="CL3670" s="5" t="s">
        <v>496</v>
      </c>
      <c r="CM3670" s="5" t="s">
        <v>238</v>
      </c>
      <c r="CN3670" s="5">
        <v>0</v>
      </c>
      <c r="CO3670" s="5" t="s">
        <v>497</v>
      </c>
      <c r="CP3670" s="5" t="s">
        <v>260</v>
      </c>
      <c r="CQ3670" s="5" t="s">
        <v>260</v>
      </c>
      <c r="CR3670" s="5" t="s">
        <v>261</v>
      </c>
      <c r="CS3670" s="5" t="s">
        <v>498</v>
      </c>
      <c r="CT3670" s="7">
        <f>1</f>
        <v>1</v>
      </c>
      <c r="CU3670" s="8">
        <f>1</f>
        <v>1</v>
      </c>
      <c r="CV3670" s="8">
        <f>0</f>
        <v>0</v>
      </c>
      <c r="CX3670" s="8">
        <f>1</f>
        <v>1</v>
      </c>
      <c r="CY3670" s="8">
        <f>1</f>
        <v>1</v>
      </c>
      <c r="CZ3670" s="8" t="s">
        <v>238</v>
      </c>
      <c r="DA3670" s="5" t="s">
        <v>238</v>
      </c>
      <c r="DB3670" s="5" t="s">
        <v>238</v>
      </c>
      <c r="DC3670" s="5" t="s">
        <v>238</v>
      </c>
      <c r="DD3670" s="5" t="s">
        <v>238</v>
      </c>
      <c r="DE3670" s="8">
        <f>0</f>
        <v>0</v>
      </c>
      <c r="DG3670" s="5" t="s">
        <v>238</v>
      </c>
      <c r="DH3670" s="5" t="s">
        <v>238</v>
      </c>
      <c r="DI3670" s="5" t="s">
        <v>238</v>
      </c>
      <c r="DJ3670" s="5" t="s">
        <v>238</v>
      </c>
      <c r="DK3670" s="5" t="s">
        <v>238</v>
      </c>
      <c r="DL3670" s="5" t="s">
        <v>238</v>
      </c>
      <c r="DM3670" s="8" t="s">
        <v>238</v>
      </c>
      <c r="DN3670" s="5" t="s">
        <v>238</v>
      </c>
      <c r="DO3670" s="5" t="s">
        <v>238</v>
      </c>
      <c r="DP3670" s="5" t="s">
        <v>490</v>
      </c>
      <c r="DQ3670" s="5" t="s">
        <v>490</v>
      </c>
      <c r="DR3670" s="5" t="s">
        <v>238</v>
      </c>
      <c r="DS3670" s="5" t="s">
        <v>238</v>
      </c>
      <c r="DT3670" s="5" t="s">
        <v>500</v>
      </c>
      <c r="DU3670" s="5" t="s">
        <v>786</v>
      </c>
      <c r="DV3670" s="5" t="s">
        <v>238</v>
      </c>
      <c r="DW3670" s="5" t="s">
        <v>238</v>
      </c>
      <c r="DX3670" s="5" t="s">
        <v>238</v>
      </c>
      <c r="DY3670" s="5" t="s">
        <v>238</v>
      </c>
      <c r="DZ3670" s="5" t="s">
        <v>238</v>
      </c>
      <c r="EA3670" s="5" t="s">
        <v>238</v>
      </c>
      <c r="EB3670" s="5" t="s">
        <v>238</v>
      </c>
      <c r="EC3670" s="5" t="s">
        <v>238</v>
      </c>
      <c r="ED3670" s="5" t="s">
        <v>238</v>
      </c>
      <c r="EE3670" s="5" t="s">
        <v>238</v>
      </c>
      <c r="EF3670" s="5" t="s">
        <v>238</v>
      </c>
      <c r="EG3670" s="5" t="s">
        <v>238</v>
      </c>
      <c r="EH3670" s="5" t="s">
        <v>238</v>
      </c>
      <c r="EI3670" s="5" t="s">
        <v>238</v>
      </c>
      <c r="EJ3670" s="5" t="s">
        <v>238</v>
      </c>
      <c r="EK3670" s="5" t="s">
        <v>238</v>
      </c>
      <c r="EL3670" s="5" t="s">
        <v>238</v>
      </c>
      <c r="EM3670" s="5" t="s">
        <v>238</v>
      </c>
      <c r="EN3670" s="5" t="s">
        <v>238</v>
      </c>
      <c r="EO3670" s="5" t="s">
        <v>238</v>
      </c>
      <c r="EP3670" s="5" t="s">
        <v>238</v>
      </c>
      <c r="EQ3670" s="5" t="s">
        <v>238</v>
      </c>
      <c r="ER3670" s="5" t="s">
        <v>238</v>
      </c>
      <c r="ES3670" s="5" t="s">
        <v>238</v>
      </c>
      <c r="ET3670" s="5" t="s">
        <v>238</v>
      </c>
      <c r="EU3670" s="5" t="s">
        <v>238</v>
      </c>
      <c r="EV3670" s="5" t="s">
        <v>238</v>
      </c>
      <c r="EW3670" s="5" t="s">
        <v>238</v>
      </c>
      <c r="EX3670" s="5" t="s">
        <v>238</v>
      </c>
      <c r="EY3670" s="5" t="s">
        <v>238</v>
      </c>
      <c r="EZ3670" s="5" t="s">
        <v>238</v>
      </c>
      <c r="FA3670" s="5" t="s">
        <v>238</v>
      </c>
      <c r="FB3670" s="5" t="s">
        <v>238</v>
      </c>
      <c r="FC3670" s="5" t="s">
        <v>238</v>
      </c>
      <c r="FD3670" s="5" t="s">
        <v>238</v>
      </c>
      <c r="FE3670" s="5" t="s">
        <v>238</v>
      </c>
      <c r="FF3670" s="5" t="s">
        <v>238</v>
      </c>
      <c r="FG3670" s="5" t="s">
        <v>238</v>
      </c>
      <c r="FH3670" s="5" t="s">
        <v>238</v>
      </c>
      <c r="FI3670" s="5" t="s">
        <v>238</v>
      </c>
      <c r="FJ3670" s="5" t="s">
        <v>238</v>
      </c>
      <c r="FK3670" s="5" t="s">
        <v>238</v>
      </c>
      <c r="FL3670" s="5" t="s">
        <v>238</v>
      </c>
      <c r="FM3670" s="5" t="s">
        <v>238</v>
      </c>
      <c r="FN3670" s="5" t="s">
        <v>238</v>
      </c>
      <c r="FO3670" s="5" t="s">
        <v>238</v>
      </c>
      <c r="FP3670" s="5" t="s">
        <v>238</v>
      </c>
      <c r="FQ3670" s="5" t="s">
        <v>238</v>
      </c>
      <c r="FR3670" s="5" t="s">
        <v>238</v>
      </c>
      <c r="FS3670" s="5" t="s">
        <v>238</v>
      </c>
      <c r="FT3670" s="5" t="s">
        <v>238</v>
      </c>
      <c r="FU3670" s="5" t="s">
        <v>238</v>
      </c>
      <c r="FV3670" s="5" t="s">
        <v>238</v>
      </c>
      <c r="FW3670" s="5" t="s">
        <v>238</v>
      </c>
      <c r="FX3670" s="5" t="s">
        <v>238</v>
      </c>
      <c r="FY3670" s="5" t="s">
        <v>238</v>
      </c>
      <c r="FZ3670" s="5" t="s">
        <v>238</v>
      </c>
      <c r="GA3670" s="5" t="s">
        <v>238</v>
      </c>
      <c r="GB3670" s="5" t="s">
        <v>238</v>
      </c>
      <c r="GC3670" s="5" t="s">
        <v>238</v>
      </c>
      <c r="GD3670" s="5" t="s">
        <v>238</v>
      </c>
      <c r="GE3670" s="5" t="s">
        <v>238</v>
      </c>
      <c r="GF3670" s="5" t="s">
        <v>238</v>
      </c>
      <c r="GG3670" s="5" t="s">
        <v>238</v>
      </c>
      <c r="GH3670" s="5" t="s">
        <v>238</v>
      </c>
      <c r="GI3670" s="5" t="s">
        <v>238</v>
      </c>
      <c r="GJ3670" s="5" t="s">
        <v>238</v>
      </c>
      <c r="GK3670" s="5" t="s">
        <v>238</v>
      </c>
      <c r="GL3670" s="5" t="s">
        <v>238</v>
      </c>
      <c r="GM3670" s="5" t="s">
        <v>238</v>
      </c>
      <c r="GN3670" s="5" t="s">
        <v>238</v>
      </c>
      <c r="GO3670" s="5" t="s">
        <v>238</v>
      </c>
      <c r="GP3670" s="5" t="s">
        <v>238</v>
      </c>
      <c r="GQ3670" s="5" t="s">
        <v>238</v>
      </c>
      <c r="GR3670" s="5" t="s">
        <v>238</v>
      </c>
      <c r="GS3670" s="5" t="s">
        <v>238</v>
      </c>
      <c r="GT3670" s="5" t="s">
        <v>238</v>
      </c>
      <c r="GU3670" s="5" t="s">
        <v>238</v>
      </c>
      <c r="GV3670" s="5" t="s">
        <v>238</v>
      </c>
      <c r="GW3670" s="5" t="s">
        <v>238</v>
      </c>
      <c r="GX3670" s="5" t="s">
        <v>238</v>
      </c>
      <c r="GY3670" s="5" t="s">
        <v>238</v>
      </c>
      <c r="GZ3670" s="5" t="s">
        <v>238</v>
      </c>
      <c r="HA3670" s="5" t="s">
        <v>238</v>
      </c>
      <c r="HB3670" s="5" t="s">
        <v>238</v>
      </c>
      <c r="HC3670" s="5" t="s">
        <v>238</v>
      </c>
      <c r="HD3670" s="5" t="s">
        <v>238</v>
      </c>
      <c r="HE3670" s="5" t="s">
        <v>238</v>
      </c>
      <c r="HF3670" s="5" t="s">
        <v>238</v>
      </c>
      <c r="HG3670" s="5" t="s">
        <v>238</v>
      </c>
      <c r="HH3670" s="5" t="s">
        <v>238</v>
      </c>
      <c r="HI3670" s="5" t="s">
        <v>238</v>
      </c>
      <c r="HJ3670" s="5" t="s">
        <v>238</v>
      </c>
      <c r="HK3670" s="5" t="s">
        <v>238</v>
      </c>
      <c r="HL3670" s="5" t="s">
        <v>238</v>
      </c>
      <c r="HM3670" s="5" t="s">
        <v>264</v>
      </c>
      <c r="HN3670" s="5" t="s">
        <v>238</v>
      </c>
      <c r="HO3670" s="5" t="s">
        <v>238</v>
      </c>
      <c r="HP3670" s="5" t="s">
        <v>238</v>
      </c>
      <c r="HQ3670" s="5" t="s">
        <v>238</v>
      </c>
      <c r="HR3670" s="5" t="s">
        <v>238</v>
      </c>
      <c r="HS3670" s="5" t="s">
        <v>238</v>
      </c>
      <c r="HT3670" s="5" t="s">
        <v>238</v>
      </c>
      <c r="HU3670" s="5" t="s">
        <v>238</v>
      </c>
      <c r="HV3670" s="5" t="s">
        <v>238</v>
      </c>
      <c r="HW3670" s="5" t="s">
        <v>238</v>
      </c>
      <c r="HX3670" s="5" t="s">
        <v>238</v>
      </c>
      <c r="HY3670" s="5" t="s">
        <v>238</v>
      </c>
      <c r="HZ3670" s="5" t="s">
        <v>238</v>
      </c>
      <c r="IA3670" s="5" t="s">
        <v>238</v>
      </c>
      <c r="IB3670" s="5" t="s">
        <v>238</v>
      </c>
      <c r="IC3670" s="5" t="s">
        <v>238</v>
      </c>
      <c r="ID3670" s="5" t="s">
        <v>238</v>
      </c>
    </row>
    <row r="3671" spans="1:238" x14ac:dyDescent="0.4">
      <c r="A3671" s="5">
        <v>9389</v>
      </c>
      <c r="B3671" s="5">
        <v>1</v>
      </c>
      <c r="C3671" s="5">
        <v>1</v>
      </c>
      <c r="D3671" s="5" t="s">
        <v>484</v>
      </c>
      <c r="E3671" s="5" t="s">
        <v>485</v>
      </c>
      <c r="F3671" s="5" t="s">
        <v>248</v>
      </c>
      <c r="G3671" s="5" t="s">
        <v>696</v>
      </c>
      <c r="H3671" s="6" t="s">
        <v>697</v>
      </c>
      <c r="I3671" s="8">
        <f>1</f>
        <v>1</v>
      </c>
      <c r="J3671" s="5" t="s">
        <v>499</v>
      </c>
      <c r="K3671" s="8">
        <f>1</f>
        <v>1</v>
      </c>
      <c r="L3671" s="6" t="s">
        <v>242</v>
      </c>
      <c r="M3671" s="5" t="s">
        <v>267</v>
      </c>
      <c r="N3671" s="5" t="s">
        <v>482</v>
      </c>
      <c r="O3671" s="5" t="s">
        <v>238</v>
      </c>
      <c r="P3671" s="5" t="s">
        <v>238</v>
      </c>
      <c r="Q3671" s="5" t="s">
        <v>239</v>
      </c>
      <c r="R3671" s="5" t="s">
        <v>270</v>
      </c>
      <c r="S3671" s="5" t="s">
        <v>238</v>
      </c>
      <c r="T3671" s="5" t="s">
        <v>238</v>
      </c>
      <c r="U3671" s="5" t="s">
        <v>238</v>
      </c>
      <c r="V3671" s="5" t="s">
        <v>238</v>
      </c>
      <c r="W3671" s="6" t="s">
        <v>238</v>
      </c>
      <c r="X3671" s="6" t="s">
        <v>238</v>
      </c>
      <c r="Y3671" s="5" t="s">
        <v>238</v>
      </c>
      <c r="Z3671" s="6" t="s">
        <v>238</v>
      </c>
      <c r="AA3671" s="6" t="s">
        <v>243</v>
      </c>
      <c r="AB3671" s="5" t="s">
        <v>486</v>
      </c>
      <c r="AC3671" s="5" t="s">
        <v>244</v>
      </c>
      <c r="AD3671" s="5" t="s">
        <v>245</v>
      </c>
      <c r="AE3671" s="5" t="s">
        <v>238</v>
      </c>
      <c r="AF3671" s="5" t="s">
        <v>238</v>
      </c>
      <c r="AG3671" s="5" t="s">
        <v>238</v>
      </c>
      <c r="AH3671" s="5" t="s">
        <v>238</v>
      </c>
      <c r="AI3671" s="5" t="s">
        <v>238</v>
      </c>
      <c r="AJ3671" s="5" t="s">
        <v>238</v>
      </c>
      <c r="AK3671" s="5" t="s">
        <v>238</v>
      </c>
      <c r="AL3671" s="5" t="s">
        <v>238</v>
      </c>
      <c r="AM3671" s="6" t="s">
        <v>238</v>
      </c>
      <c r="AN3671" s="6" t="s">
        <v>238</v>
      </c>
      <c r="AO3671" s="6" t="s">
        <v>238</v>
      </c>
      <c r="AP3671" s="6" t="s">
        <v>238</v>
      </c>
      <c r="AQ3671" s="5" t="s">
        <v>238</v>
      </c>
      <c r="AR3671" s="5" t="s">
        <v>488</v>
      </c>
      <c r="AS3671" s="5" t="s">
        <v>488</v>
      </c>
      <c r="AT3671" s="5" t="s">
        <v>246</v>
      </c>
      <c r="AU3671" s="5" t="s">
        <v>489</v>
      </c>
      <c r="AV3671" s="5" t="s">
        <v>247</v>
      </c>
      <c r="AW3671" s="5" t="s">
        <v>238</v>
      </c>
      <c r="AX3671" s="5" t="s">
        <v>249</v>
      </c>
      <c r="AY3671" s="5" t="s">
        <v>490</v>
      </c>
      <c r="BA3671" s="5" t="s">
        <v>238</v>
      </c>
      <c r="BC3671" s="5" t="s">
        <v>491</v>
      </c>
      <c r="BD3671" s="6" t="s">
        <v>492</v>
      </c>
      <c r="BE3671" s="5" t="s">
        <v>493</v>
      </c>
      <c r="BF3671" s="5" t="s">
        <v>493</v>
      </c>
      <c r="BG3671" s="5" t="s">
        <v>238</v>
      </c>
      <c r="BH3671" s="8">
        <f>1</f>
        <v>1</v>
      </c>
      <c r="BI3671" s="8">
        <f>1</f>
        <v>1</v>
      </c>
      <c r="BJ3671" s="5" t="s">
        <v>253</v>
      </c>
      <c r="BK3671" s="5" t="s">
        <v>254</v>
      </c>
      <c r="BL3671" s="5" t="s">
        <v>238</v>
      </c>
      <c r="BM3671" s="5" t="s">
        <v>238</v>
      </c>
      <c r="BN3671" s="5" t="s">
        <v>238</v>
      </c>
      <c r="BO3671" s="5" t="s">
        <v>238</v>
      </c>
      <c r="BP3671" s="5" t="s">
        <v>238</v>
      </c>
      <c r="BQ3671" s="5" t="s">
        <v>238</v>
      </c>
      <c r="BR3671" s="5" t="s">
        <v>238</v>
      </c>
      <c r="BS3671" s="5" t="s">
        <v>238</v>
      </c>
      <c r="BT3671" s="6" t="s">
        <v>238</v>
      </c>
      <c r="BU3671" s="5" t="s">
        <v>238</v>
      </c>
      <c r="BV3671" s="5" t="s">
        <v>238</v>
      </c>
      <c r="BW3671" s="5" t="s">
        <v>238</v>
      </c>
      <c r="BX3671" s="5" t="s">
        <v>254</v>
      </c>
      <c r="BY3671" s="5" t="s">
        <v>238</v>
      </c>
      <c r="BZ3671" s="5" t="s">
        <v>238</v>
      </c>
      <c r="CA3671" s="5" t="s">
        <v>238</v>
      </c>
      <c r="CB3671" s="5" t="s">
        <v>238</v>
      </c>
      <c r="CC3671" s="5" t="s">
        <v>238</v>
      </c>
      <c r="CD3671" s="5" t="s">
        <v>273</v>
      </c>
      <c r="CE3671" s="5" t="s">
        <v>256</v>
      </c>
      <c r="CF3671" s="5" t="s">
        <v>238</v>
      </c>
      <c r="CH3671" s="5" t="s">
        <v>494</v>
      </c>
      <c r="CI3671" s="6" t="s">
        <v>257</v>
      </c>
      <c r="CJ3671" s="5" t="s">
        <v>495</v>
      </c>
      <c r="CK3671" s="5" t="s">
        <v>258</v>
      </c>
      <c r="CL3671" s="5" t="s">
        <v>496</v>
      </c>
      <c r="CM3671" s="5" t="s">
        <v>238</v>
      </c>
      <c r="CN3671" s="5">
        <v>0</v>
      </c>
      <c r="CO3671" s="5" t="s">
        <v>497</v>
      </c>
      <c r="CP3671" s="5" t="s">
        <v>260</v>
      </c>
      <c r="CQ3671" s="5" t="s">
        <v>260</v>
      </c>
      <c r="CR3671" s="5" t="s">
        <v>261</v>
      </c>
      <c r="CS3671" s="5" t="s">
        <v>498</v>
      </c>
      <c r="CT3671" s="7">
        <f>1</f>
        <v>1</v>
      </c>
      <c r="CU3671" s="8">
        <f>1</f>
        <v>1</v>
      </c>
      <c r="CV3671" s="8">
        <f>0</f>
        <v>0</v>
      </c>
      <c r="CX3671" s="8">
        <f>1</f>
        <v>1</v>
      </c>
      <c r="CY3671" s="8">
        <f>1</f>
        <v>1</v>
      </c>
      <c r="CZ3671" s="8" t="s">
        <v>238</v>
      </c>
      <c r="DA3671" s="5" t="s">
        <v>238</v>
      </c>
      <c r="DB3671" s="5" t="s">
        <v>238</v>
      </c>
      <c r="DC3671" s="5" t="s">
        <v>238</v>
      </c>
      <c r="DD3671" s="5" t="s">
        <v>238</v>
      </c>
      <c r="DE3671" s="8">
        <f>0</f>
        <v>0</v>
      </c>
      <c r="DG3671" s="5" t="s">
        <v>238</v>
      </c>
      <c r="DH3671" s="5" t="s">
        <v>238</v>
      </c>
      <c r="DI3671" s="5" t="s">
        <v>238</v>
      </c>
      <c r="DJ3671" s="5" t="s">
        <v>238</v>
      </c>
      <c r="DK3671" s="5" t="s">
        <v>238</v>
      </c>
      <c r="DL3671" s="5" t="s">
        <v>238</v>
      </c>
      <c r="DM3671" s="8" t="s">
        <v>238</v>
      </c>
      <c r="DN3671" s="5" t="s">
        <v>238</v>
      </c>
      <c r="DO3671" s="5" t="s">
        <v>238</v>
      </c>
      <c r="DP3671" s="5" t="s">
        <v>490</v>
      </c>
      <c r="DQ3671" s="5" t="s">
        <v>490</v>
      </c>
      <c r="DR3671" s="5" t="s">
        <v>238</v>
      </c>
      <c r="DS3671" s="5" t="s">
        <v>238</v>
      </c>
      <c r="DT3671" s="5" t="s">
        <v>500</v>
      </c>
      <c r="DU3671" s="5" t="s">
        <v>698</v>
      </c>
      <c r="DV3671" s="5" t="s">
        <v>238</v>
      </c>
      <c r="DW3671" s="5" t="s">
        <v>238</v>
      </c>
      <c r="DX3671" s="5" t="s">
        <v>238</v>
      </c>
      <c r="DY3671" s="5" t="s">
        <v>238</v>
      </c>
      <c r="DZ3671" s="5" t="s">
        <v>238</v>
      </c>
      <c r="EA3671" s="5" t="s">
        <v>238</v>
      </c>
      <c r="EB3671" s="5" t="s">
        <v>238</v>
      </c>
      <c r="EC3671" s="5" t="s">
        <v>238</v>
      </c>
      <c r="ED3671" s="5" t="s">
        <v>238</v>
      </c>
      <c r="EE3671" s="5" t="s">
        <v>238</v>
      </c>
      <c r="EF3671" s="5" t="s">
        <v>238</v>
      </c>
      <c r="EG3671" s="5" t="s">
        <v>238</v>
      </c>
      <c r="EH3671" s="5" t="s">
        <v>238</v>
      </c>
      <c r="EI3671" s="5" t="s">
        <v>238</v>
      </c>
      <c r="EJ3671" s="5" t="s">
        <v>238</v>
      </c>
      <c r="EK3671" s="5" t="s">
        <v>238</v>
      </c>
      <c r="EL3671" s="5" t="s">
        <v>238</v>
      </c>
      <c r="EM3671" s="5" t="s">
        <v>238</v>
      </c>
      <c r="EN3671" s="5" t="s">
        <v>238</v>
      </c>
      <c r="EO3671" s="5" t="s">
        <v>238</v>
      </c>
      <c r="EP3671" s="5" t="s">
        <v>238</v>
      </c>
      <c r="EQ3671" s="5" t="s">
        <v>238</v>
      </c>
      <c r="ER3671" s="5" t="s">
        <v>238</v>
      </c>
      <c r="ES3671" s="5" t="s">
        <v>238</v>
      </c>
      <c r="ET3671" s="5" t="s">
        <v>238</v>
      </c>
      <c r="EU3671" s="5" t="s">
        <v>238</v>
      </c>
      <c r="EV3671" s="5" t="s">
        <v>238</v>
      </c>
      <c r="EW3671" s="5" t="s">
        <v>238</v>
      </c>
      <c r="EX3671" s="5" t="s">
        <v>238</v>
      </c>
      <c r="EY3671" s="5" t="s">
        <v>238</v>
      </c>
      <c r="EZ3671" s="5" t="s">
        <v>238</v>
      </c>
      <c r="FA3671" s="5" t="s">
        <v>238</v>
      </c>
      <c r="FB3671" s="5" t="s">
        <v>238</v>
      </c>
      <c r="FC3671" s="5" t="s">
        <v>238</v>
      </c>
      <c r="FD3671" s="5" t="s">
        <v>238</v>
      </c>
      <c r="FE3671" s="5" t="s">
        <v>238</v>
      </c>
      <c r="FF3671" s="5" t="s">
        <v>238</v>
      </c>
      <c r="FG3671" s="5" t="s">
        <v>238</v>
      </c>
      <c r="FH3671" s="5" t="s">
        <v>238</v>
      </c>
      <c r="FI3671" s="5" t="s">
        <v>238</v>
      </c>
      <c r="FJ3671" s="5" t="s">
        <v>238</v>
      </c>
      <c r="FK3671" s="5" t="s">
        <v>238</v>
      </c>
      <c r="FL3671" s="5" t="s">
        <v>238</v>
      </c>
      <c r="FM3671" s="5" t="s">
        <v>238</v>
      </c>
      <c r="FN3671" s="5" t="s">
        <v>238</v>
      </c>
      <c r="FO3671" s="5" t="s">
        <v>238</v>
      </c>
      <c r="FP3671" s="5" t="s">
        <v>238</v>
      </c>
      <c r="FQ3671" s="5" t="s">
        <v>238</v>
      </c>
      <c r="FR3671" s="5" t="s">
        <v>238</v>
      </c>
      <c r="FS3671" s="5" t="s">
        <v>238</v>
      </c>
      <c r="FT3671" s="5" t="s">
        <v>238</v>
      </c>
      <c r="FU3671" s="5" t="s">
        <v>238</v>
      </c>
      <c r="FV3671" s="5" t="s">
        <v>238</v>
      </c>
      <c r="FW3671" s="5" t="s">
        <v>238</v>
      </c>
      <c r="FX3671" s="5" t="s">
        <v>238</v>
      </c>
      <c r="FY3671" s="5" t="s">
        <v>238</v>
      </c>
      <c r="FZ3671" s="5" t="s">
        <v>238</v>
      </c>
      <c r="GA3671" s="5" t="s">
        <v>238</v>
      </c>
      <c r="GB3671" s="5" t="s">
        <v>238</v>
      </c>
      <c r="GC3671" s="5" t="s">
        <v>238</v>
      </c>
      <c r="GD3671" s="5" t="s">
        <v>238</v>
      </c>
      <c r="GE3671" s="5" t="s">
        <v>238</v>
      </c>
      <c r="GF3671" s="5" t="s">
        <v>238</v>
      </c>
      <c r="GG3671" s="5" t="s">
        <v>238</v>
      </c>
      <c r="GH3671" s="5" t="s">
        <v>238</v>
      </c>
      <c r="GI3671" s="5" t="s">
        <v>238</v>
      </c>
      <c r="GJ3671" s="5" t="s">
        <v>238</v>
      </c>
      <c r="GK3671" s="5" t="s">
        <v>238</v>
      </c>
      <c r="GL3671" s="5" t="s">
        <v>238</v>
      </c>
      <c r="GM3671" s="5" t="s">
        <v>238</v>
      </c>
      <c r="GN3671" s="5" t="s">
        <v>238</v>
      </c>
      <c r="GO3671" s="5" t="s">
        <v>238</v>
      </c>
      <c r="GP3671" s="5" t="s">
        <v>238</v>
      </c>
      <c r="GQ3671" s="5" t="s">
        <v>238</v>
      </c>
      <c r="GR3671" s="5" t="s">
        <v>238</v>
      </c>
      <c r="GS3671" s="5" t="s">
        <v>238</v>
      </c>
      <c r="GT3671" s="5" t="s">
        <v>238</v>
      </c>
      <c r="GU3671" s="5" t="s">
        <v>238</v>
      </c>
      <c r="GV3671" s="5" t="s">
        <v>238</v>
      </c>
      <c r="GW3671" s="5" t="s">
        <v>238</v>
      </c>
      <c r="GX3671" s="5" t="s">
        <v>238</v>
      </c>
      <c r="GY3671" s="5" t="s">
        <v>238</v>
      </c>
      <c r="GZ3671" s="5" t="s">
        <v>238</v>
      </c>
      <c r="HA3671" s="5" t="s">
        <v>238</v>
      </c>
      <c r="HB3671" s="5" t="s">
        <v>238</v>
      </c>
      <c r="HC3671" s="5" t="s">
        <v>238</v>
      </c>
      <c r="HD3671" s="5" t="s">
        <v>238</v>
      </c>
      <c r="HE3671" s="5" t="s">
        <v>238</v>
      </c>
      <c r="HF3671" s="5" t="s">
        <v>238</v>
      </c>
      <c r="HG3671" s="5" t="s">
        <v>238</v>
      </c>
      <c r="HH3671" s="5" t="s">
        <v>238</v>
      </c>
      <c r="HI3671" s="5" t="s">
        <v>238</v>
      </c>
      <c r="HJ3671" s="5" t="s">
        <v>238</v>
      </c>
      <c r="HK3671" s="5" t="s">
        <v>238</v>
      </c>
      <c r="HL3671" s="5" t="s">
        <v>238</v>
      </c>
      <c r="HM3671" s="5" t="s">
        <v>264</v>
      </c>
      <c r="HN3671" s="5" t="s">
        <v>238</v>
      </c>
      <c r="HO3671" s="5" t="s">
        <v>238</v>
      </c>
      <c r="HP3671" s="5" t="s">
        <v>238</v>
      </c>
      <c r="HQ3671" s="5" t="s">
        <v>238</v>
      </c>
      <c r="HR3671" s="5" t="s">
        <v>238</v>
      </c>
      <c r="HS3671" s="5" t="s">
        <v>238</v>
      </c>
      <c r="HT3671" s="5" t="s">
        <v>238</v>
      </c>
      <c r="HU3671" s="5" t="s">
        <v>238</v>
      </c>
      <c r="HV3671" s="5" t="s">
        <v>238</v>
      </c>
      <c r="HW3671" s="5" t="s">
        <v>238</v>
      </c>
      <c r="HX3671" s="5" t="s">
        <v>238</v>
      </c>
      <c r="HY3671" s="5" t="s">
        <v>238</v>
      </c>
      <c r="HZ3671" s="5" t="s">
        <v>238</v>
      </c>
      <c r="IA3671" s="5" t="s">
        <v>238</v>
      </c>
      <c r="IB3671" s="5" t="s">
        <v>238</v>
      </c>
      <c r="IC3671" s="5" t="s">
        <v>238</v>
      </c>
      <c r="ID3671" s="5" t="s">
        <v>238</v>
      </c>
    </row>
    <row r="3672" spans="1:238" x14ac:dyDescent="0.4">
      <c r="A3672" s="5">
        <v>9390</v>
      </c>
      <c r="B3672" s="5">
        <v>1</v>
      </c>
      <c r="C3672" s="5">
        <v>1</v>
      </c>
      <c r="D3672" s="5" t="s">
        <v>484</v>
      </c>
      <c r="E3672" s="5" t="s">
        <v>485</v>
      </c>
      <c r="F3672" s="5" t="s">
        <v>248</v>
      </c>
      <c r="G3672" s="5" t="s">
        <v>4602</v>
      </c>
      <c r="H3672" s="6" t="s">
        <v>4603</v>
      </c>
      <c r="I3672" s="8">
        <f>1</f>
        <v>1</v>
      </c>
      <c r="J3672" s="5" t="s">
        <v>499</v>
      </c>
      <c r="K3672" s="8">
        <f>1</f>
        <v>1</v>
      </c>
      <c r="L3672" s="6" t="s">
        <v>242</v>
      </c>
      <c r="M3672" s="5" t="s">
        <v>267</v>
      </c>
      <c r="N3672" s="5" t="s">
        <v>482</v>
      </c>
      <c r="O3672" s="5" t="s">
        <v>238</v>
      </c>
      <c r="P3672" s="5" t="s">
        <v>238</v>
      </c>
      <c r="Q3672" s="5" t="s">
        <v>239</v>
      </c>
      <c r="R3672" s="5" t="s">
        <v>270</v>
      </c>
      <c r="S3672" s="5" t="s">
        <v>238</v>
      </c>
      <c r="T3672" s="5" t="s">
        <v>238</v>
      </c>
      <c r="U3672" s="5" t="s">
        <v>238</v>
      </c>
      <c r="V3672" s="5" t="s">
        <v>238</v>
      </c>
      <c r="W3672" s="6" t="s">
        <v>238</v>
      </c>
      <c r="X3672" s="6" t="s">
        <v>238</v>
      </c>
      <c r="Y3672" s="5" t="s">
        <v>238</v>
      </c>
      <c r="Z3672" s="6" t="s">
        <v>238</v>
      </c>
      <c r="AA3672" s="6" t="s">
        <v>243</v>
      </c>
      <c r="AB3672" s="5" t="s">
        <v>486</v>
      </c>
      <c r="AC3672" s="5" t="s">
        <v>244</v>
      </c>
      <c r="AD3672" s="5" t="s">
        <v>245</v>
      </c>
      <c r="AE3672" s="5" t="s">
        <v>238</v>
      </c>
      <c r="AF3672" s="5" t="s">
        <v>238</v>
      </c>
      <c r="AG3672" s="5" t="s">
        <v>238</v>
      </c>
      <c r="AH3672" s="5" t="s">
        <v>238</v>
      </c>
      <c r="AI3672" s="5" t="s">
        <v>238</v>
      </c>
      <c r="AJ3672" s="5" t="s">
        <v>238</v>
      </c>
      <c r="AK3672" s="5" t="s">
        <v>238</v>
      </c>
      <c r="AL3672" s="5" t="s">
        <v>238</v>
      </c>
      <c r="AM3672" s="6" t="s">
        <v>238</v>
      </c>
      <c r="AN3672" s="6" t="s">
        <v>238</v>
      </c>
      <c r="AO3672" s="6" t="s">
        <v>238</v>
      </c>
      <c r="AP3672" s="6" t="s">
        <v>238</v>
      </c>
      <c r="AQ3672" s="5" t="s">
        <v>238</v>
      </c>
      <c r="AR3672" s="5" t="s">
        <v>488</v>
      </c>
      <c r="AS3672" s="5" t="s">
        <v>488</v>
      </c>
      <c r="AT3672" s="5" t="s">
        <v>246</v>
      </c>
      <c r="AU3672" s="5" t="s">
        <v>489</v>
      </c>
      <c r="AV3672" s="5" t="s">
        <v>247</v>
      </c>
      <c r="AW3672" s="5" t="s">
        <v>238</v>
      </c>
      <c r="AX3672" s="5" t="s">
        <v>249</v>
      </c>
      <c r="AY3672" s="5" t="s">
        <v>490</v>
      </c>
      <c r="BA3672" s="5" t="s">
        <v>238</v>
      </c>
      <c r="BC3672" s="5" t="s">
        <v>491</v>
      </c>
      <c r="BD3672" s="6" t="s">
        <v>492</v>
      </c>
      <c r="BE3672" s="5" t="s">
        <v>493</v>
      </c>
      <c r="BF3672" s="5" t="s">
        <v>493</v>
      </c>
      <c r="BG3672" s="5" t="s">
        <v>238</v>
      </c>
      <c r="BH3672" s="8">
        <f>1</f>
        <v>1</v>
      </c>
      <c r="BI3672" s="8">
        <f>1</f>
        <v>1</v>
      </c>
      <c r="BJ3672" s="5" t="s">
        <v>253</v>
      </c>
      <c r="BK3672" s="5" t="s">
        <v>254</v>
      </c>
      <c r="BL3672" s="5" t="s">
        <v>238</v>
      </c>
      <c r="BM3672" s="5" t="s">
        <v>238</v>
      </c>
      <c r="BN3672" s="5" t="s">
        <v>238</v>
      </c>
      <c r="BO3672" s="5" t="s">
        <v>238</v>
      </c>
      <c r="BP3672" s="5" t="s">
        <v>238</v>
      </c>
      <c r="BQ3672" s="5" t="s">
        <v>238</v>
      </c>
      <c r="BR3672" s="5" t="s">
        <v>238</v>
      </c>
      <c r="BS3672" s="5" t="s">
        <v>238</v>
      </c>
      <c r="BT3672" s="6" t="s">
        <v>238</v>
      </c>
      <c r="BU3672" s="5" t="s">
        <v>238</v>
      </c>
      <c r="BV3672" s="5" t="s">
        <v>238</v>
      </c>
      <c r="BW3672" s="5" t="s">
        <v>238</v>
      </c>
      <c r="BX3672" s="5" t="s">
        <v>254</v>
      </c>
      <c r="BY3672" s="5" t="s">
        <v>238</v>
      </c>
      <c r="BZ3672" s="5" t="s">
        <v>238</v>
      </c>
      <c r="CA3672" s="5" t="s">
        <v>238</v>
      </c>
      <c r="CB3672" s="5" t="s">
        <v>238</v>
      </c>
      <c r="CC3672" s="5" t="s">
        <v>238</v>
      </c>
      <c r="CD3672" s="5" t="s">
        <v>273</v>
      </c>
      <c r="CE3672" s="5" t="s">
        <v>256</v>
      </c>
      <c r="CF3672" s="5" t="s">
        <v>238</v>
      </c>
      <c r="CH3672" s="5" t="s">
        <v>494</v>
      </c>
      <c r="CI3672" s="6" t="s">
        <v>257</v>
      </c>
      <c r="CJ3672" s="5" t="s">
        <v>495</v>
      </c>
      <c r="CK3672" s="5" t="s">
        <v>258</v>
      </c>
      <c r="CL3672" s="5" t="s">
        <v>496</v>
      </c>
      <c r="CM3672" s="5" t="s">
        <v>238</v>
      </c>
      <c r="CN3672" s="5">
        <v>0</v>
      </c>
      <c r="CO3672" s="5" t="s">
        <v>497</v>
      </c>
      <c r="CP3672" s="5" t="s">
        <v>260</v>
      </c>
      <c r="CQ3672" s="5" t="s">
        <v>260</v>
      </c>
      <c r="CR3672" s="5" t="s">
        <v>261</v>
      </c>
      <c r="CS3672" s="5" t="s">
        <v>498</v>
      </c>
      <c r="CT3672" s="7">
        <f>1</f>
        <v>1</v>
      </c>
      <c r="CU3672" s="8">
        <f>1</f>
        <v>1</v>
      </c>
      <c r="CV3672" s="8">
        <f>0</f>
        <v>0</v>
      </c>
      <c r="CX3672" s="8">
        <f>1</f>
        <v>1</v>
      </c>
      <c r="CY3672" s="8">
        <f>1</f>
        <v>1</v>
      </c>
      <c r="CZ3672" s="8" t="s">
        <v>238</v>
      </c>
      <c r="DA3672" s="5" t="s">
        <v>238</v>
      </c>
      <c r="DB3672" s="5" t="s">
        <v>238</v>
      </c>
      <c r="DC3672" s="5" t="s">
        <v>238</v>
      </c>
      <c r="DD3672" s="5" t="s">
        <v>238</v>
      </c>
      <c r="DE3672" s="8">
        <f>0</f>
        <v>0</v>
      </c>
      <c r="DG3672" s="5" t="s">
        <v>238</v>
      </c>
      <c r="DH3672" s="5" t="s">
        <v>238</v>
      </c>
      <c r="DI3672" s="5" t="s">
        <v>238</v>
      </c>
      <c r="DJ3672" s="5" t="s">
        <v>238</v>
      </c>
      <c r="DK3672" s="5" t="s">
        <v>238</v>
      </c>
      <c r="DL3672" s="5" t="s">
        <v>238</v>
      </c>
      <c r="DM3672" s="8" t="s">
        <v>238</v>
      </c>
      <c r="DN3672" s="5" t="s">
        <v>238</v>
      </c>
      <c r="DO3672" s="5" t="s">
        <v>238</v>
      </c>
      <c r="DP3672" s="5" t="s">
        <v>490</v>
      </c>
      <c r="DQ3672" s="5" t="s">
        <v>490</v>
      </c>
      <c r="DR3672" s="5" t="s">
        <v>238</v>
      </c>
      <c r="DS3672" s="5" t="s">
        <v>238</v>
      </c>
      <c r="DT3672" s="5" t="s">
        <v>500</v>
      </c>
      <c r="DU3672" s="5" t="s">
        <v>3235</v>
      </c>
      <c r="DV3672" s="5" t="s">
        <v>238</v>
      </c>
      <c r="DW3672" s="5" t="s">
        <v>238</v>
      </c>
      <c r="DX3672" s="5" t="s">
        <v>238</v>
      </c>
      <c r="DY3672" s="5" t="s">
        <v>238</v>
      </c>
      <c r="DZ3672" s="5" t="s">
        <v>238</v>
      </c>
      <c r="EA3672" s="5" t="s">
        <v>238</v>
      </c>
      <c r="EB3672" s="5" t="s">
        <v>238</v>
      </c>
      <c r="EC3672" s="5" t="s">
        <v>238</v>
      </c>
      <c r="ED3672" s="5" t="s">
        <v>238</v>
      </c>
      <c r="EE3672" s="5" t="s">
        <v>238</v>
      </c>
      <c r="EF3672" s="5" t="s">
        <v>238</v>
      </c>
      <c r="EG3672" s="5" t="s">
        <v>238</v>
      </c>
      <c r="EH3672" s="5" t="s">
        <v>238</v>
      </c>
      <c r="EI3672" s="5" t="s">
        <v>238</v>
      </c>
      <c r="EJ3672" s="5" t="s">
        <v>238</v>
      </c>
      <c r="EK3672" s="5" t="s">
        <v>238</v>
      </c>
      <c r="EL3672" s="5" t="s">
        <v>238</v>
      </c>
      <c r="EM3672" s="5" t="s">
        <v>238</v>
      </c>
      <c r="EN3672" s="5" t="s">
        <v>238</v>
      </c>
      <c r="EO3672" s="5" t="s">
        <v>238</v>
      </c>
      <c r="EP3672" s="5" t="s">
        <v>238</v>
      </c>
      <c r="EQ3672" s="5" t="s">
        <v>238</v>
      </c>
      <c r="ER3672" s="5" t="s">
        <v>238</v>
      </c>
      <c r="ES3672" s="5" t="s">
        <v>238</v>
      </c>
      <c r="ET3672" s="5" t="s">
        <v>238</v>
      </c>
      <c r="EU3672" s="5" t="s">
        <v>238</v>
      </c>
      <c r="EV3672" s="5" t="s">
        <v>238</v>
      </c>
      <c r="EW3672" s="5" t="s">
        <v>238</v>
      </c>
      <c r="EX3672" s="5" t="s">
        <v>238</v>
      </c>
      <c r="EY3672" s="5" t="s">
        <v>238</v>
      </c>
      <c r="EZ3672" s="5" t="s">
        <v>238</v>
      </c>
      <c r="FA3672" s="5" t="s">
        <v>238</v>
      </c>
      <c r="FB3672" s="5" t="s">
        <v>238</v>
      </c>
      <c r="FC3672" s="5" t="s">
        <v>238</v>
      </c>
      <c r="FD3672" s="5" t="s">
        <v>238</v>
      </c>
      <c r="FE3672" s="5" t="s">
        <v>238</v>
      </c>
      <c r="FF3672" s="5" t="s">
        <v>238</v>
      </c>
      <c r="FG3672" s="5" t="s">
        <v>238</v>
      </c>
      <c r="FH3672" s="5" t="s">
        <v>238</v>
      </c>
      <c r="FI3672" s="5" t="s">
        <v>238</v>
      </c>
      <c r="FJ3672" s="5" t="s">
        <v>238</v>
      </c>
      <c r="FK3672" s="5" t="s">
        <v>238</v>
      </c>
      <c r="FL3672" s="5" t="s">
        <v>238</v>
      </c>
      <c r="FM3672" s="5" t="s">
        <v>238</v>
      </c>
      <c r="FN3672" s="5" t="s">
        <v>238</v>
      </c>
      <c r="FO3672" s="5" t="s">
        <v>238</v>
      </c>
      <c r="FP3672" s="5" t="s">
        <v>238</v>
      </c>
      <c r="FQ3672" s="5" t="s">
        <v>238</v>
      </c>
      <c r="FR3672" s="5" t="s">
        <v>238</v>
      </c>
      <c r="FS3672" s="5" t="s">
        <v>238</v>
      </c>
      <c r="FT3672" s="5" t="s">
        <v>238</v>
      </c>
      <c r="FU3672" s="5" t="s">
        <v>238</v>
      </c>
      <c r="FV3672" s="5" t="s">
        <v>238</v>
      </c>
      <c r="FW3672" s="5" t="s">
        <v>238</v>
      </c>
      <c r="FX3672" s="5" t="s">
        <v>238</v>
      </c>
      <c r="FY3672" s="5" t="s">
        <v>238</v>
      </c>
      <c r="FZ3672" s="5" t="s">
        <v>238</v>
      </c>
      <c r="GA3672" s="5" t="s">
        <v>238</v>
      </c>
      <c r="GB3672" s="5" t="s">
        <v>238</v>
      </c>
      <c r="GC3672" s="5" t="s">
        <v>238</v>
      </c>
      <c r="GD3672" s="5" t="s">
        <v>238</v>
      </c>
      <c r="GE3672" s="5" t="s">
        <v>238</v>
      </c>
      <c r="GF3672" s="5" t="s">
        <v>238</v>
      </c>
      <c r="GG3672" s="5" t="s">
        <v>238</v>
      </c>
      <c r="GH3672" s="5" t="s">
        <v>238</v>
      </c>
      <c r="GI3672" s="5" t="s">
        <v>238</v>
      </c>
      <c r="GJ3672" s="5" t="s">
        <v>238</v>
      </c>
      <c r="GK3672" s="5" t="s">
        <v>238</v>
      </c>
      <c r="GL3672" s="5" t="s">
        <v>238</v>
      </c>
      <c r="GM3672" s="5" t="s">
        <v>238</v>
      </c>
      <c r="GN3672" s="5" t="s">
        <v>238</v>
      </c>
      <c r="GO3672" s="5" t="s">
        <v>238</v>
      </c>
      <c r="GP3672" s="5" t="s">
        <v>238</v>
      </c>
      <c r="GQ3672" s="5" t="s">
        <v>238</v>
      </c>
      <c r="GR3672" s="5" t="s">
        <v>238</v>
      </c>
      <c r="GS3672" s="5" t="s">
        <v>238</v>
      </c>
      <c r="GT3672" s="5" t="s">
        <v>238</v>
      </c>
      <c r="GU3672" s="5" t="s">
        <v>238</v>
      </c>
      <c r="GV3672" s="5" t="s">
        <v>238</v>
      </c>
      <c r="GW3672" s="5" t="s">
        <v>238</v>
      </c>
      <c r="GX3672" s="5" t="s">
        <v>238</v>
      </c>
      <c r="GY3672" s="5" t="s">
        <v>238</v>
      </c>
      <c r="GZ3672" s="5" t="s">
        <v>238</v>
      </c>
      <c r="HA3672" s="5" t="s">
        <v>238</v>
      </c>
      <c r="HB3672" s="5" t="s">
        <v>238</v>
      </c>
      <c r="HC3672" s="5" t="s">
        <v>238</v>
      </c>
      <c r="HD3672" s="5" t="s">
        <v>238</v>
      </c>
      <c r="HE3672" s="5" t="s">
        <v>238</v>
      </c>
      <c r="HF3672" s="5" t="s">
        <v>238</v>
      </c>
      <c r="HG3672" s="5" t="s">
        <v>238</v>
      </c>
      <c r="HH3672" s="5" t="s">
        <v>238</v>
      </c>
      <c r="HI3672" s="5" t="s">
        <v>238</v>
      </c>
      <c r="HJ3672" s="5" t="s">
        <v>238</v>
      </c>
      <c r="HK3672" s="5" t="s">
        <v>238</v>
      </c>
      <c r="HL3672" s="5" t="s">
        <v>238</v>
      </c>
      <c r="HM3672" s="5" t="s">
        <v>264</v>
      </c>
      <c r="HN3672" s="5" t="s">
        <v>238</v>
      </c>
      <c r="HO3672" s="5" t="s">
        <v>238</v>
      </c>
      <c r="HP3672" s="5" t="s">
        <v>238</v>
      </c>
      <c r="HQ3672" s="5" t="s">
        <v>238</v>
      </c>
      <c r="HR3672" s="5" t="s">
        <v>238</v>
      </c>
      <c r="HS3672" s="5" t="s">
        <v>238</v>
      </c>
      <c r="HT3672" s="5" t="s">
        <v>238</v>
      </c>
      <c r="HU3672" s="5" t="s">
        <v>238</v>
      </c>
      <c r="HV3672" s="5" t="s">
        <v>238</v>
      </c>
      <c r="HW3672" s="5" t="s">
        <v>238</v>
      </c>
      <c r="HX3672" s="5" t="s">
        <v>238</v>
      </c>
      <c r="HY3672" s="5" t="s">
        <v>238</v>
      </c>
      <c r="HZ3672" s="5" t="s">
        <v>238</v>
      </c>
      <c r="IA3672" s="5" t="s">
        <v>238</v>
      </c>
      <c r="IB3672" s="5" t="s">
        <v>238</v>
      </c>
      <c r="IC3672" s="5" t="s">
        <v>238</v>
      </c>
      <c r="ID3672" s="5" t="s">
        <v>238</v>
      </c>
    </row>
    <row r="3673" spans="1:238" x14ac:dyDescent="0.4">
      <c r="A3673" s="5">
        <v>9391</v>
      </c>
      <c r="B3673" s="5">
        <v>1</v>
      </c>
      <c r="C3673" s="5">
        <v>1</v>
      </c>
      <c r="D3673" s="5" t="s">
        <v>484</v>
      </c>
      <c r="E3673" s="5" t="s">
        <v>485</v>
      </c>
      <c r="F3673" s="5" t="s">
        <v>248</v>
      </c>
      <c r="G3673" s="5" t="s">
        <v>6429</v>
      </c>
      <c r="H3673" s="6" t="s">
        <v>6430</v>
      </c>
      <c r="I3673" s="8">
        <f>1</f>
        <v>1</v>
      </c>
      <c r="J3673" s="5" t="s">
        <v>499</v>
      </c>
      <c r="K3673" s="8">
        <f>1</f>
        <v>1</v>
      </c>
      <c r="L3673" s="6" t="s">
        <v>242</v>
      </c>
      <c r="M3673" s="5" t="s">
        <v>267</v>
      </c>
      <c r="N3673" s="5" t="s">
        <v>482</v>
      </c>
      <c r="O3673" s="5" t="s">
        <v>238</v>
      </c>
      <c r="P3673" s="5" t="s">
        <v>238</v>
      </c>
      <c r="Q3673" s="5" t="s">
        <v>239</v>
      </c>
      <c r="R3673" s="5" t="s">
        <v>270</v>
      </c>
      <c r="S3673" s="5" t="s">
        <v>238</v>
      </c>
      <c r="T3673" s="5" t="s">
        <v>238</v>
      </c>
      <c r="U3673" s="5" t="s">
        <v>238</v>
      </c>
      <c r="V3673" s="5" t="s">
        <v>238</v>
      </c>
      <c r="W3673" s="6" t="s">
        <v>238</v>
      </c>
      <c r="X3673" s="6" t="s">
        <v>238</v>
      </c>
      <c r="Y3673" s="5" t="s">
        <v>238</v>
      </c>
      <c r="Z3673" s="6" t="s">
        <v>238</v>
      </c>
      <c r="AA3673" s="6" t="s">
        <v>243</v>
      </c>
      <c r="AB3673" s="5" t="s">
        <v>486</v>
      </c>
      <c r="AC3673" s="5" t="s">
        <v>244</v>
      </c>
      <c r="AD3673" s="5" t="s">
        <v>245</v>
      </c>
      <c r="AE3673" s="5" t="s">
        <v>238</v>
      </c>
      <c r="AF3673" s="5" t="s">
        <v>238</v>
      </c>
      <c r="AG3673" s="5" t="s">
        <v>238</v>
      </c>
      <c r="AH3673" s="5" t="s">
        <v>238</v>
      </c>
      <c r="AI3673" s="5" t="s">
        <v>238</v>
      </c>
      <c r="AJ3673" s="5" t="s">
        <v>238</v>
      </c>
      <c r="AK3673" s="5" t="s">
        <v>238</v>
      </c>
      <c r="AL3673" s="5" t="s">
        <v>238</v>
      </c>
      <c r="AM3673" s="6" t="s">
        <v>238</v>
      </c>
      <c r="AN3673" s="6" t="s">
        <v>238</v>
      </c>
      <c r="AO3673" s="6" t="s">
        <v>238</v>
      </c>
      <c r="AP3673" s="6" t="s">
        <v>238</v>
      </c>
      <c r="AQ3673" s="5" t="s">
        <v>238</v>
      </c>
      <c r="AR3673" s="5" t="s">
        <v>488</v>
      </c>
      <c r="AS3673" s="5" t="s">
        <v>488</v>
      </c>
      <c r="AT3673" s="5" t="s">
        <v>246</v>
      </c>
      <c r="AU3673" s="5" t="s">
        <v>489</v>
      </c>
      <c r="AV3673" s="5" t="s">
        <v>247</v>
      </c>
      <c r="AW3673" s="5" t="s">
        <v>238</v>
      </c>
      <c r="AX3673" s="5" t="s">
        <v>249</v>
      </c>
      <c r="AY3673" s="5" t="s">
        <v>490</v>
      </c>
      <c r="BA3673" s="5" t="s">
        <v>238</v>
      </c>
      <c r="BC3673" s="5" t="s">
        <v>491</v>
      </c>
      <c r="BD3673" s="6" t="s">
        <v>492</v>
      </c>
      <c r="BE3673" s="5" t="s">
        <v>493</v>
      </c>
      <c r="BF3673" s="5" t="s">
        <v>493</v>
      </c>
      <c r="BG3673" s="5" t="s">
        <v>238</v>
      </c>
      <c r="BH3673" s="8">
        <f>1</f>
        <v>1</v>
      </c>
      <c r="BI3673" s="8">
        <f>1</f>
        <v>1</v>
      </c>
      <c r="BJ3673" s="5" t="s">
        <v>253</v>
      </c>
      <c r="BK3673" s="5" t="s">
        <v>254</v>
      </c>
      <c r="BL3673" s="5" t="s">
        <v>238</v>
      </c>
      <c r="BM3673" s="5" t="s">
        <v>238</v>
      </c>
      <c r="BN3673" s="5" t="s">
        <v>238</v>
      </c>
      <c r="BO3673" s="5" t="s">
        <v>238</v>
      </c>
      <c r="BP3673" s="5" t="s">
        <v>238</v>
      </c>
      <c r="BQ3673" s="5" t="s">
        <v>238</v>
      </c>
      <c r="BR3673" s="5" t="s">
        <v>238</v>
      </c>
      <c r="BS3673" s="5" t="s">
        <v>238</v>
      </c>
      <c r="BT3673" s="6" t="s">
        <v>238</v>
      </c>
      <c r="BU3673" s="5" t="s">
        <v>238</v>
      </c>
      <c r="BV3673" s="5" t="s">
        <v>238</v>
      </c>
      <c r="BW3673" s="5" t="s">
        <v>238</v>
      </c>
      <c r="BX3673" s="5" t="s">
        <v>254</v>
      </c>
      <c r="BY3673" s="5" t="s">
        <v>238</v>
      </c>
      <c r="BZ3673" s="5" t="s">
        <v>238</v>
      </c>
      <c r="CA3673" s="5" t="s">
        <v>238</v>
      </c>
      <c r="CB3673" s="5" t="s">
        <v>238</v>
      </c>
      <c r="CC3673" s="5" t="s">
        <v>238</v>
      </c>
      <c r="CD3673" s="5" t="s">
        <v>273</v>
      </c>
      <c r="CE3673" s="5" t="s">
        <v>256</v>
      </c>
      <c r="CF3673" s="5" t="s">
        <v>238</v>
      </c>
      <c r="CH3673" s="5" t="s">
        <v>494</v>
      </c>
      <c r="CI3673" s="6" t="s">
        <v>257</v>
      </c>
      <c r="CJ3673" s="5" t="s">
        <v>495</v>
      </c>
      <c r="CK3673" s="5" t="s">
        <v>258</v>
      </c>
      <c r="CL3673" s="5" t="s">
        <v>496</v>
      </c>
      <c r="CM3673" s="5" t="s">
        <v>238</v>
      </c>
      <c r="CN3673" s="5">
        <v>0</v>
      </c>
      <c r="CO3673" s="5" t="s">
        <v>497</v>
      </c>
      <c r="CP3673" s="5" t="s">
        <v>260</v>
      </c>
      <c r="CQ3673" s="5" t="s">
        <v>260</v>
      </c>
      <c r="CR3673" s="5" t="s">
        <v>261</v>
      </c>
      <c r="CS3673" s="5" t="s">
        <v>498</v>
      </c>
      <c r="CT3673" s="7">
        <f>1</f>
        <v>1</v>
      </c>
      <c r="CU3673" s="8">
        <f>1</f>
        <v>1</v>
      </c>
      <c r="CV3673" s="8">
        <f>0</f>
        <v>0</v>
      </c>
      <c r="CX3673" s="8">
        <f>1</f>
        <v>1</v>
      </c>
      <c r="CY3673" s="8">
        <f>1</f>
        <v>1</v>
      </c>
      <c r="CZ3673" s="8" t="s">
        <v>238</v>
      </c>
      <c r="DA3673" s="5" t="s">
        <v>238</v>
      </c>
      <c r="DB3673" s="5" t="s">
        <v>238</v>
      </c>
      <c r="DC3673" s="5" t="s">
        <v>238</v>
      </c>
      <c r="DD3673" s="5" t="s">
        <v>238</v>
      </c>
      <c r="DE3673" s="8">
        <f>0</f>
        <v>0</v>
      </c>
      <c r="DG3673" s="5" t="s">
        <v>238</v>
      </c>
      <c r="DH3673" s="5" t="s">
        <v>238</v>
      </c>
      <c r="DI3673" s="5" t="s">
        <v>238</v>
      </c>
      <c r="DJ3673" s="5" t="s">
        <v>238</v>
      </c>
      <c r="DK3673" s="5" t="s">
        <v>238</v>
      </c>
      <c r="DL3673" s="5" t="s">
        <v>238</v>
      </c>
      <c r="DM3673" s="8" t="s">
        <v>238</v>
      </c>
      <c r="DN3673" s="5" t="s">
        <v>238</v>
      </c>
      <c r="DO3673" s="5" t="s">
        <v>238</v>
      </c>
      <c r="DP3673" s="5" t="s">
        <v>490</v>
      </c>
      <c r="DQ3673" s="5" t="s">
        <v>490</v>
      </c>
      <c r="DR3673" s="5" t="s">
        <v>238</v>
      </c>
      <c r="DS3673" s="5" t="s">
        <v>238</v>
      </c>
      <c r="DT3673" s="5" t="s">
        <v>500</v>
      </c>
      <c r="DU3673" s="5" t="s">
        <v>748</v>
      </c>
      <c r="DV3673" s="5" t="s">
        <v>238</v>
      </c>
      <c r="DW3673" s="5" t="s">
        <v>238</v>
      </c>
      <c r="DX3673" s="5" t="s">
        <v>238</v>
      </c>
      <c r="DY3673" s="5" t="s">
        <v>238</v>
      </c>
      <c r="DZ3673" s="5" t="s">
        <v>238</v>
      </c>
      <c r="EA3673" s="5" t="s">
        <v>238</v>
      </c>
      <c r="EB3673" s="5" t="s">
        <v>238</v>
      </c>
      <c r="EC3673" s="5" t="s">
        <v>238</v>
      </c>
      <c r="ED3673" s="5" t="s">
        <v>238</v>
      </c>
      <c r="EE3673" s="5" t="s">
        <v>238</v>
      </c>
      <c r="EF3673" s="5" t="s">
        <v>238</v>
      </c>
      <c r="EG3673" s="5" t="s">
        <v>238</v>
      </c>
      <c r="EH3673" s="5" t="s">
        <v>238</v>
      </c>
      <c r="EI3673" s="5" t="s">
        <v>238</v>
      </c>
      <c r="EJ3673" s="5" t="s">
        <v>238</v>
      </c>
      <c r="EK3673" s="5" t="s">
        <v>238</v>
      </c>
      <c r="EL3673" s="5" t="s">
        <v>238</v>
      </c>
      <c r="EM3673" s="5" t="s">
        <v>238</v>
      </c>
      <c r="EN3673" s="5" t="s">
        <v>238</v>
      </c>
      <c r="EO3673" s="5" t="s">
        <v>238</v>
      </c>
      <c r="EP3673" s="5" t="s">
        <v>238</v>
      </c>
      <c r="EQ3673" s="5" t="s">
        <v>238</v>
      </c>
      <c r="ER3673" s="5" t="s">
        <v>238</v>
      </c>
      <c r="ES3673" s="5" t="s">
        <v>238</v>
      </c>
      <c r="ET3673" s="5" t="s">
        <v>238</v>
      </c>
      <c r="EU3673" s="5" t="s">
        <v>238</v>
      </c>
      <c r="EV3673" s="5" t="s">
        <v>238</v>
      </c>
      <c r="EW3673" s="5" t="s">
        <v>238</v>
      </c>
      <c r="EX3673" s="5" t="s">
        <v>238</v>
      </c>
      <c r="EY3673" s="5" t="s">
        <v>238</v>
      </c>
      <c r="EZ3673" s="5" t="s">
        <v>238</v>
      </c>
      <c r="FA3673" s="5" t="s">
        <v>238</v>
      </c>
      <c r="FB3673" s="5" t="s">
        <v>238</v>
      </c>
      <c r="FC3673" s="5" t="s">
        <v>238</v>
      </c>
      <c r="FD3673" s="5" t="s">
        <v>238</v>
      </c>
      <c r="FE3673" s="5" t="s">
        <v>238</v>
      </c>
      <c r="FF3673" s="5" t="s">
        <v>238</v>
      </c>
      <c r="FG3673" s="5" t="s">
        <v>238</v>
      </c>
      <c r="FH3673" s="5" t="s">
        <v>238</v>
      </c>
      <c r="FI3673" s="5" t="s">
        <v>238</v>
      </c>
      <c r="FJ3673" s="5" t="s">
        <v>238</v>
      </c>
      <c r="FK3673" s="5" t="s">
        <v>238</v>
      </c>
      <c r="FL3673" s="5" t="s">
        <v>238</v>
      </c>
      <c r="FM3673" s="5" t="s">
        <v>238</v>
      </c>
      <c r="FN3673" s="5" t="s">
        <v>238</v>
      </c>
      <c r="FO3673" s="5" t="s">
        <v>238</v>
      </c>
      <c r="FP3673" s="5" t="s">
        <v>238</v>
      </c>
      <c r="FQ3673" s="5" t="s">
        <v>238</v>
      </c>
      <c r="FR3673" s="5" t="s">
        <v>238</v>
      </c>
      <c r="FS3673" s="5" t="s">
        <v>238</v>
      </c>
      <c r="FT3673" s="5" t="s">
        <v>238</v>
      </c>
      <c r="FU3673" s="5" t="s">
        <v>238</v>
      </c>
      <c r="FV3673" s="5" t="s">
        <v>238</v>
      </c>
      <c r="FW3673" s="5" t="s">
        <v>238</v>
      </c>
      <c r="FX3673" s="5" t="s">
        <v>238</v>
      </c>
      <c r="FY3673" s="5" t="s">
        <v>238</v>
      </c>
      <c r="FZ3673" s="5" t="s">
        <v>238</v>
      </c>
      <c r="GA3673" s="5" t="s">
        <v>238</v>
      </c>
      <c r="GB3673" s="5" t="s">
        <v>238</v>
      </c>
      <c r="GC3673" s="5" t="s">
        <v>238</v>
      </c>
      <c r="GD3673" s="5" t="s">
        <v>238</v>
      </c>
      <c r="GE3673" s="5" t="s">
        <v>238</v>
      </c>
      <c r="GF3673" s="5" t="s">
        <v>238</v>
      </c>
      <c r="GG3673" s="5" t="s">
        <v>238</v>
      </c>
      <c r="GH3673" s="5" t="s">
        <v>238</v>
      </c>
      <c r="GI3673" s="5" t="s">
        <v>238</v>
      </c>
      <c r="GJ3673" s="5" t="s">
        <v>238</v>
      </c>
      <c r="GK3673" s="5" t="s">
        <v>238</v>
      </c>
      <c r="GL3673" s="5" t="s">
        <v>238</v>
      </c>
      <c r="GM3673" s="5" t="s">
        <v>238</v>
      </c>
      <c r="GN3673" s="5" t="s">
        <v>238</v>
      </c>
      <c r="GO3673" s="5" t="s">
        <v>238</v>
      </c>
      <c r="GP3673" s="5" t="s">
        <v>238</v>
      </c>
      <c r="GQ3673" s="5" t="s">
        <v>238</v>
      </c>
      <c r="GR3673" s="5" t="s">
        <v>238</v>
      </c>
      <c r="GS3673" s="5" t="s">
        <v>238</v>
      </c>
      <c r="GT3673" s="5" t="s">
        <v>238</v>
      </c>
      <c r="GU3673" s="5" t="s">
        <v>238</v>
      </c>
      <c r="GV3673" s="5" t="s">
        <v>238</v>
      </c>
      <c r="GW3673" s="5" t="s">
        <v>238</v>
      </c>
      <c r="GX3673" s="5" t="s">
        <v>238</v>
      </c>
      <c r="GY3673" s="5" t="s">
        <v>238</v>
      </c>
      <c r="GZ3673" s="5" t="s">
        <v>238</v>
      </c>
      <c r="HA3673" s="5" t="s">
        <v>238</v>
      </c>
      <c r="HB3673" s="5" t="s">
        <v>238</v>
      </c>
      <c r="HC3673" s="5" t="s">
        <v>238</v>
      </c>
      <c r="HD3673" s="5" t="s">
        <v>238</v>
      </c>
      <c r="HE3673" s="5" t="s">
        <v>238</v>
      </c>
      <c r="HF3673" s="5" t="s">
        <v>238</v>
      </c>
      <c r="HG3673" s="5" t="s">
        <v>238</v>
      </c>
      <c r="HH3673" s="5" t="s">
        <v>238</v>
      </c>
      <c r="HI3673" s="5" t="s">
        <v>238</v>
      </c>
      <c r="HJ3673" s="5" t="s">
        <v>238</v>
      </c>
      <c r="HK3673" s="5" t="s">
        <v>238</v>
      </c>
      <c r="HL3673" s="5" t="s">
        <v>238</v>
      </c>
      <c r="HM3673" s="5" t="s">
        <v>264</v>
      </c>
      <c r="HN3673" s="5" t="s">
        <v>238</v>
      </c>
      <c r="HO3673" s="5" t="s">
        <v>238</v>
      </c>
      <c r="HP3673" s="5" t="s">
        <v>238</v>
      </c>
      <c r="HQ3673" s="5" t="s">
        <v>238</v>
      </c>
      <c r="HR3673" s="5" t="s">
        <v>238</v>
      </c>
      <c r="HS3673" s="5" t="s">
        <v>238</v>
      </c>
      <c r="HT3673" s="5" t="s">
        <v>238</v>
      </c>
      <c r="HU3673" s="5" t="s">
        <v>238</v>
      </c>
      <c r="HV3673" s="5" t="s">
        <v>238</v>
      </c>
      <c r="HW3673" s="5" t="s">
        <v>238</v>
      </c>
      <c r="HX3673" s="5" t="s">
        <v>238</v>
      </c>
      <c r="HY3673" s="5" t="s">
        <v>238</v>
      </c>
      <c r="HZ3673" s="5" t="s">
        <v>238</v>
      </c>
      <c r="IA3673" s="5" t="s">
        <v>238</v>
      </c>
      <c r="IB3673" s="5" t="s">
        <v>238</v>
      </c>
      <c r="IC3673" s="5" t="s">
        <v>238</v>
      </c>
      <c r="ID3673" s="5" t="s">
        <v>238</v>
      </c>
    </row>
    <row r="3674" spans="1:238" x14ac:dyDescent="0.4">
      <c r="A3674" s="5">
        <v>9392</v>
      </c>
      <c r="B3674" s="5">
        <v>1</v>
      </c>
      <c r="C3674" s="5">
        <v>1</v>
      </c>
      <c r="D3674" s="5" t="s">
        <v>484</v>
      </c>
      <c r="E3674" s="5" t="s">
        <v>485</v>
      </c>
      <c r="F3674" s="5" t="s">
        <v>248</v>
      </c>
      <c r="G3674" s="5" t="s">
        <v>4970</v>
      </c>
      <c r="H3674" s="6" t="s">
        <v>4971</v>
      </c>
      <c r="I3674" s="8">
        <f>1</f>
        <v>1</v>
      </c>
      <c r="J3674" s="5" t="s">
        <v>499</v>
      </c>
      <c r="K3674" s="8">
        <f>1</f>
        <v>1</v>
      </c>
      <c r="L3674" s="6" t="s">
        <v>242</v>
      </c>
      <c r="M3674" s="5" t="s">
        <v>267</v>
      </c>
      <c r="N3674" s="5" t="s">
        <v>482</v>
      </c>
      <c r="O3674" s="5" t="s">
        <v>238</v>
      </c>
      <c r="P3674" s="5" t="s">
        <v>238</v>
      </c>
      <c r="Q3674" s="5" t="s">
        <v>239</v>
      </c>
      <c r="R3674" s="5" t="s">
        <v>270</v>
      </c>
      <c r="S3674" s="5" t="s">
        <v>238</v>
      </c>
      <c r="T3674" s="5" t="s">
        <v>238</v>
      </c>
      <c r="U3674" s="5" t="s">
        <v>238</v>
      </c>
      <c r="V3674" s="5" t="s">
        <v>238</v>
      </c>
      <c r="W3674" s="6" t="s">
        <v>238</v>
      </c>
      <c r="X3674" s="6" t="s">
        <v>238</v>
      </c>
      <c r="Y3674" s="5" t="s">
        <v>238</v>
      </c>
      <c r="Z3674" s="6" t="s">
        <v>238</v>
      </c>
      <c r="AA3674" s="6" t="s">
        <v>243</v>
      </c>
      <c r="AB3674" s="5" t="s">
        <v>486</v>
      </c>
      <c r="AC3674" s="5" t="s">
        <v>244</v>
      </c>
      <c r="AD3674" s="5" t="s">
        <v>245</v>
      </c>
      <c r="AE3674" s="5" t="s">
        <v>238</v>
      </c>
      <c r="AF3674" s="5" t="s">
        <v>238</v>
      </c>
      <c r="AG3674" s="5" t="s">
        <v>238</v>
      </c>
      <c r="AH3674" s="5" t="s">
        <v>238</v>
      </c>
      <c r="AI3674" s="5" t="s">
        <v>238</v>
      </c>
      <c r="AJ3674" s="5" t="s">
        <v>238</v>
      </c>
      <c r="AK3674" s="5" t="s">
        <v>238</v>
      </c>
      <c r="AL3674" s="5" t="s">
        <v>238</v>
      </c>
      <c r="AM3674" s="6" t="s">
        <v>238</v>
      </c>
      <c r="AN3674" s="6" t="s">
        <v>238</v>
      </c>
      <c r="AO3674" s="6" t="s">
        <v>238</v>
      </c>
      <c r="AP3674" s="6" t="s">
        <v>238</v>
      </c>
      <c r="AQ3674" s="5" t="s">
        <v>238</v>
      </c>
      <c r="AR3674" s="5" t="s">
        <v>488</v>
      </c>
      <c r="AS3674" s="5" t="s">
        <v>488</v>
      </c>
      <c r="AT3674" s="5" t="s">
        <v>246</v>
      </c>
      <c r="AU3674" s="5" t="s">
        <v>489</v>
      </c>
      <c r="AV3674" s="5" t="s">
        <v>247</v>
      </c>
      <c r="AW3674" s="5" t="s">
        <v>238</v>
      </c>
      <c r="AX3674" s="5" t="s">
        <v>249</v>
      </c>
      <c r="AY3674" s="5" t="s">
        <v>490</v>
      </c>
      <c r="BA3674" s="5" t="s">
        <v>238</v>
      </c>
      <c r="BC3674" s="5" t="s">
        <v>491</v>
      </c>
      <c r="BD3674" s="6" t="s">
        <v>492</v>
      </c>
      <c r="BE3674" s="5" t="s">
        <v>493</v>
      </c>
      <c r="BF3674" s="5" t="s">
        <v>493</v>
      </c>
      <c r="BG3674" s="5" t="s">
        <v>238</v>
      </c>
      <c r="BH3674" s="8">
        <f>1</f>
        <v>1</v>
      </c>
      <c r="BI3674" s="8">
        <f>1</f>
        <v>1</v>
      </c>
      <c r="BJ3674" s="5" t="s">
        <v>253</v>
      </c>
      <c r="BK3674" s="5" t="s">
        <v>254</v>
      </c>
      <c r="BL3674" s="5" t="s">
        <v>238</v>
      </c>
      <c r="BM3674" s="5" t="s">
        <v>238</v>
      </c>
      <c r="BN3674" s="5" t="s">
        <v>238</v>
      </c>
      <c r="BO3674" s="5" t="s">
        <v>238</v>
      </c>
      <c r="BP3674" s="5" t="s">
        <v>238</v>
      </c>
      <c r="BQ3674" s="5" t="s">
        <v>238</v>
      </c>
      <c r="BR3674" s="5" t="s">
        <v>238</v>
      </c>
      <c r="BS3674" s="5" t="s">
        <v>238</v>
      </c>
      <c r="BT3674" s="6" t="s">
        <v>238</v>
      </c>
      <c r="BU3674" s="5" t="s">
        <v>238</v>
      </c>
      <c r="BV3674" s="5" t="s">
        <v>238</v>
      </c>
      <c r="BW3674" s="5" t="s">
        <v>238</v>
      </c>
      <c r="BX3674" s="5" t="s">
        <v>254</v>
      </c>
      <c r="BY3674" s="5" t="s">
        <v>238</v>
      </c>
      <c r="BZ3674" s="5" t="s">
        <v>238</v>
      </c>
      <c r="CA3674" s="5" t="s">
        <v>238</v>
      </c>
      <c r="CB3674" s="5" t="s">
        <v>238</v>
      </c>
      <c r="CC3674" s="5" t="s">
        <v>238</v>
      </c>
      <c r="CD3674" s="5" t="s">
        <v>273</v>
      </c>
      <c r="CE3674" s="5" t="s">
        <v>256</v>
      </c>
      <c r="CF3674" s="5" t="s">
        <v>238</v>
      </c>
      <c r="CH3674" s="5" t="s">
        <v>494</v>
      </c>
      <c r="CI3674" s="6" t="s">
        <v>257</v>
      </c>
      <c r="CJ3674" s="5" t="s">
        <v>495</v>
      </c>
      <c r="CK3674" s="5" t="s">
        <v>258</v>
      </c>
      <c r="CL3674" s="5" t="s">
        <v>496</v>
      </c>
      <c r="CM3674" s="5" t="s">
        <v>238</v>
      </c>
      <c r="CN3674" s="5">
        <v>0</v>
      </c>
      <c r="CO3674" s="5" t="s">
        <v>497</v>
      </c>
      <c r="CP3674" s="5" t="s">
        <v>260</v>
      </c>
      <c r="CQ3674" s="5" t="s">
        <v>260</v>
      </c>
      <c r="CR3674" s="5" t="s">
        <v>261</v>
      </c>
      <c r="CS3674" s="5" t="s">
        <v>498</v>
      </c>
      <c r="CT3674" s="7">
        <f>1</f>
        <v>1</v>
      </c>
      <c r="CU3674" s="8">
        <f>1</f>
        <v>1</v>
      </c>
      <c r="CV3674" s="8">
        <f>0</f>
        <v>0</v>
      </c>
      <c r="CX3674" s="8">
        <f>1</f>
        <v>1</v>
      </c>
      <c r="CY3674" s="8">
        <f>1</f>
        <v>1</v>
      </c>
      <c r="CZ3674" s="8" t="s">
        <v>238</v>
      </c>
      <c r="DA3674" s="5" t="s">
        <v>238</v>
      </c>
      <c r="DB3674" s="5" t="s">
        <v>238</v>
      </c>
      <c r="DC3674" s="5" t="s">
        <v>238</v>
      </c>
      <c r="DD3674" s="5" t="s">
        <v>238</v>
      </c>
      <c r="DE3674" s="8">
        <f>0</f>
        <v>0</v>
      </c>
      <c r="DG3674" s="5" t="s">
        <v>238</v>
      </c>
      <c r="DH3674" s="5" t="s">
        <v>238</v>
      </c>
      <c r="DI3674" s="5" t="s">
        <v>238</v>
      </c>
      <c r="DJ3674" s="5" t="s">
        <v>238</v>
      </c>
      <c r="DK3674" s="5" t="s">
        <v>238</v>
      </c>
      <c r="DL3674" s="5" t="s">
        <v>238</v>
      </c>
      <c r="DM3674" s="8" t="s">
        <v>238</v>
      </c>
      <c r="DN3674" s="5" t="s">
        <v>238</v>
      </c>
      <c r="DO3674" s="5" t="s">
        <v>238</v>
      </c>
      <c r="DP3674" s="5" t="s">
        <v>490</v>
      </c>
      <c r="DQ3674" s="5" t="s">
        <v>490</v>
      </c>
      <c r="DR3674" s="5" t="s">
        <v>238</v>
      </c>
      <c r="DS3674" s="5" t="s">
        <v>238</v>
      </c>
      <c r="DT3674" s="5" t="s">
        <v>500</v>
      </c>
      <c r="DU3674" s="5" t="s">
        <v>736</v>
      </c>
      <c r="DV3674" s="5" t="s">
        <v>238</v>
      </c>
      <c r="DW3674" s="5" t="s">
        <v>238</v>
      </c>
      <c r="DX3674" s="5" t="s">
        <v>238</v>
      </c>
      <c r="DY3674" s="5" t="s">
        <v>238</v>
      </c>
      <c r="DZ3674" s="5" t="s">
        <v>238</v>
      </c>
      <c r="EA3674" s="5" t="s">
        <v>238</v>
      </c>
      <c r="EB3674" s="5" t="s">
        <v>238</v>
      </c>
      <c r="EC3674" s="5" t="s">
        <v>238</v>
      </c>
      <c r="ED3674" s="5" t="s">
        <v>238</v>
      </c>
      <c r="EE3674" s="5" t="s">
        <v>238</v>
      </c>
      <c r="EF3674" s="5" t="s">
        <v>238</v>
      </c>
      <c r="EG3674" s="5" t="s">
        <v>238</v>
      </c>
      <c r="EH3674" s="5" t="s">
        <v>238</v>
      </c>
      <c r="EI3674" s="5" t="s">
        <v>238</v>
      </c>
      <c r="EJ3674" s="5" t="s">
        <v>238</v>
      </c>
      <c r="EK3674" s="5" t="s">
        <v>238</v>
      </c>
      <c r="EL3674" s="5" t="s">
        <v>238</v>
      </c>
      <c r="EM3674" s="5" t="s">
        <v>238</v>
      </c>
      <c r="EN3674" s="5" t="s">
        <v>238</v>
      </c>
      <c r="EO3674" s="5" t="s">
        <v>238</v>
      </c>
      <c r="EP3674" s="5" t="s">
        <v>238</v>
      </c>
      <c r="EQ3674" s="5" t="s">
        <v>238</v>
      </c>
      <c r="ER3674" s="5" t="s">
        <v>238</v>
      </c>
      <c r="ES3674" s="5" t="s">
        <v>238</v>
      </c>
      <c r="ET3674" s="5" t="s">
        <v>238</v>
      </c>
      <c r="EU3674" s="5" t="s">
        <v>238</v>
      </c>
      <c r="EV3674" s="5" t="s">
        <v>238</v>
      </c>
      <c r="EW3674" s="5" t="s">
        <v>238</v>
      </c>
      <c r="EX3674" s="5" t="s">
        <v>238</v>
      </c>
      <c r="EY3674" s="5" t="s">
        <v>238</v>
      </c>
      <c r="EZ3674" s="5" t="s">
        <v>238</v>
      </c>
      <c r="FA3674" s="5" t="s">
        <v>238</v>
      </c>
      <c r="FB3674" s="5" t="s">
        <v>238</v>
      </c>
      <c r="FC3674" s="5" t="s">
        <v>238</v>
      </c>
      <c r="FD3674" s="5" t="s">
        <v>238</v>
      </c>
      <c r="FE3674" s="5" t="s">
        <v>238</v>
      </c>
      <c r="FF3674" s="5" t="s">
        <v>238</v>
      </c>
      <c r="FG3674" s="5" t="s">
        <v>238</v>
      </c>
      <c r="FH3674" s="5" t="s">
        <v>238</v>
      </c>
      <c r="FI3674" s="5" t="s">
        <v>238</v>
      </c>
      <c r="FJ3674" s="5" t="s">
        <v>238</v>
      </c>
      <c r="FK3674" s="5" t="s">
        <v>238</v>
      </c>
      <c r="FL3674" s="5" t="s">
        <v>238</v>
      </c>
      <c r="FM3674" s="5" t="s">
        <v>238</v>
      </c>
      <c r="FN3674" s="5" t="s">
        <v>238</v>
      </c>
      <c r="FO3674" s="5" t="s">
        <v>238</v>
      </c>
      <c r="FP3674" s="5" t="s">
        <v>238</v>
      </c>
      <c r="FQ3674" s="5" t="s">
        <v>238</v>
      </c>
      <c r="FR3674" s="5" t="s">
        <v>238</v>
      </c>
      <c r="FS3674" s="5" t="s">
        <v>238</v>
      </c>
      <c r="FT3674" s="5" t="s">
        <v>238</v>
      </c>
      <c r="FU3674" s="5" t="s">
        <v>238</v>
      </c>
      <c r="FV3674" s="5" t="s">
        <v>238</v>
      </c>
      <c r="FW3674" s="5" t="s">
        <v>238</v>
      </c>
      <c r="FX3674" s="5" t="s">
        <v>238</v>
      </c>
      <c r="FY3674" s="5" t="s">
        <v>238</v>
      </c>
      <c r="FZ3674" s="5" t="s">
        <v>238</v>
      </c>
      <c r="GA3674" s="5" t="s">
        <v>238</v>
      </c>
      <c r="GB3674" s="5" t="s">
        <v>238</v>
      </c>
      <c r="GC3674" s="5" t="s">
        <v>238</v>
      </c>
      <c r="GD3674" s="5" t="s">
        <v>238</v>
      </c>
      <c r="GE3674" s="5" t="s">
        <v>238</v>
      </c>
      <c r="GF3674" s="5" t="s">
        <v>238</v>
      </c>
      <c r="GG3674" s="5" t="s">
        <v>238</v>
      </c>
      <c r="GH3674" s="5" t="s">
        <v>238</v>
      </c>
      <c r="GI3674" s="5" t="s">
        <v>238</v>
      </c>
      <c r="GJ3674" s="5" t="s">
        <v>238</v>
      </c>
      <c r="GK3674" s="5" t="s">
        <v>238</v>
      </c>
      <c r="GL3674" s="5" t="s">
        <v>238</v>
      </c>
      <c r="GM3674" s="5" t="s">
        <v>238</v>
      </c>
      <c r="GN3674" s="5" t="s">
        <v>238</v>
      </c>
      <c r="GO3674" s="5" t="s">
        <v>238</v>
      </c>
      <c r="GP3674" s="5" t="s">
        <v>238</v>
      </c>
      <c r="GQ3674" s="5" t="s">
        <v>238</v>
      </c>
      <c r="GR3674" s="5" t="s">
        <v>238</v>
      </c>
      <c r="GS3674" s="5" t="s">
        <v>238</v>
      </c>
      <c r="GT3674" s="5" t="s">
        <v>238</v>
      </c>
      <c r="GU3674" s="5" t="s">
        <v>238</v>
      </c>
      <c r="GV3674" s="5" t="s">
        <v>238</v>
      </c>
      <c r="GW3674" s="5" t="s">
        <v>238</v>
      </c>
      <c r="GX3674" s="5" t="s">
        <v>238</v>
      </c>
      <c r="GY3674" s="5" t="s">
        <v>238</v>
      </c>
      <c r="GZ3674" s="5" t="s">
        <v>238</v>
      </c>
      <c r="HA3674" s="5" t="s">
        <v>238</v>
      </c>
      <c r="HB3674" s="5" t="s">
        <v>238</v>
      </c>
      <c r="HC3674" s="5" t="s">
        <v>238</v>
      </c>
      <c r="HD3674" s="5" t="s">
        <v>238</v>
      </c>
      <c r="HE3674" s="5" t="s">
        <v>238</v>
      </c>
      <c r="HF3674" s="5" t="s">
        <v>238</v>
      </c>
      <c r="HG3674" s="5" t="s">
        <v>238</v>
      </c>
      <c r="HH3674" s="5" t="s">
        <v>238</v>
      </c>
      <c r="HI3674" s="5" t="s">
        <v>238</v>
      </c>
      <c r="HJ3674" s="5" t="s">
        <v>238</v>
      </c>
      <c r="HK3674" s="5" t="s">
        <v>238</v>
      </c>
      <c r="HL3674" s="5" t="s">
        <v>238</v>
      </c>
      <c r="HM3674" s="5" t="s">
        <v>264</v>
      </c>
      <c r="HN3674" s="5" t="s">
        <v>238</v>
      </c>
      <c r="HO3674" s="5" t="s">
        <v>238</v>
      </c>
      <c r="HP3674" s="5" t="s">
        <v>238</v>
      </c>
      <c r="HQ3674" s="5" t="s">
        <v>238</v>
      </c>
      <c r="HR3674" s="5" t="s">
        <v>238</v>
      </c>
      <c r="HS3674" s="5" t="s">
        <v>238</v>
      </c>
      <c r="HT3674" s="5" t="s">
        <v>238</v>
      </c>
      <c r="HU3674" s="5" t="s">
        <v>238</v>
      </c>
      <c r="HV3674" s="5" t="s">
        <v>238</v>
      </c>
      <c r="HW3674" s="5" t="s">
        <v>238</v>
      </c>
      <c r="HX3674" s="5" t="s">
        <v>238</v>
      </c>
      <c r="HY3674" s="5" t="s">
        <v>238</v>
      </c>
      <c r="HZ3674" s="5" t="s">
        <v>238</v>
      </c>
      <c r="IA3674" s="5" t="s">
        <v>238</v>
      </c>
      <c r="IB3674" s="5" t="s">
        <v>238</v>
      </c>
      <c r="IC3674" s="5" t="s">
        <v>238</v>
      </c>
      <c r="ID3674" s="5" t="s">
        <v>238</v>
      </c>
    </row>
    <row r="3675" spans="1:238" x14ac:dyDescent="0.4">
      <c r="A3675" s="5">
        <v>9393</v>
      </c>
      <c r="B3675" s="5">
        <v>1</v>
      </c>
      <c r="C3675" s="5">
        <v>1</v>
      </c>
      <c r="D3675" s="5" t="s">
        <v>484</v>
      </c>
      <c r="E3675" s="5" t="s">
        <v>485</v>
      </c>
      <c r="F3675" s="5" t="s">
        <v>248</v>
      </c>
      <c r="G3675" s="5" t="s">
        <v>5388</v>
      </c>
      <c r="H3675" s="6" t="s">
        <v>5390</v>
      </c>
      <c r="I3675" s="8">
        <f>1</f>
        <v>1</v>
      </c>
      <c r="J3675" s="5" t="s">
        <v>499</v>
      </c>
      <c r="K3675" s="8">
        <f>1</f>
        <v>1</v>
      </c>
      <c r="L3675" s="6" t="s">
        <v>242</v>
      </c>
      <c r="M3675" s="5" t="s">
        <v>267</v>
      </c>
      <c r="N3675" s="5" t="s">
        <v>482</v>
      </c>
      <c r="O3675" s="5" t="s">
        <v>238</v>
      </c>
      <c r="P3675" s="5" t="s">
        <v>238</v>
      </c>
      <c r="Q3675" s="5" t="s">
        <v>239</v>
      </c>
      <c r="R3675" s="5" t="s">
        <v>270</v>
      </c>
      <c r="S3675" s="5" t="s">
        <v>238</v>
      </c>
      <c r="T3675" s="5" t="s">
        <v>238</v>
      </c>
      <c r="U3675" s="5" t="s">
        <v>238</v>
      </c>
      <c r="V3675" s="5" t="s">
        <v>238</v>
      </c>
      <c r="W3675" s="6" t="s">
        <v>238</v>
      </c>
      <c r="X3675" s="6" t="s">
        <v>238</v>
      </c>
      <c r="Y3675" s="5" t="s">
        <v>238</v>
      </c>
      <c r="Z3675" s="6" t="s">
        <v>238</v>
      </c>
      <c r="AA3675" s="6" t="s">
        <v>243</v>
      </c>
      <c r="AB3675" s="5" t="s">
        <v>5389</v>
      </c>
      <c r="AC3675" s="5" t="s">
        <v>244</v>
      </c>
      <c r="AD3675" s="5" t="s">
        <v>245</v>
      </c>
      <c r="AE3675" s="5" t="s">
        <v>238</v>
      </c>
      <c r="AF3675" s="5" t="s">
        <v>238</v>
      </c>
      <c r="AG3675" s="5" t="s">
        <v>238</v>
      </c>
      <c r="AH3675" s="5" t="s">
        <v>238</v>
      </c>
      <c r="AI3675" s="5" t="s">
        <v>238</v>
      </c>
      <c r="AJ3675" s="5" t="s">
        <v>238</v>
      </c>
      <c r="AK3675" s="5" t="s">
        <v>238</v>
      </c>
      <c r="AL3675" s="5" t="s">
        <v>238</v>
      </c>
      <c r="AM3675" s="6" t="s">
        <v>238</v>
      </c>
      <c r="AN3675" s="6" t="s">
        <v>238</v>
      </c>
      <c r="AO3675" s="6" t="s">
        <v>238</v>
      </c>
      <c r="AP3675" s="6" t="s">
        <v>238</v>
      </c>
      <c r="AQ3675" s="5" t="s">
        <v>238</v>
      </c>
      <c r="AR3675" s="5" t="s">
        <v>488</v>
      </c>
      <c r="AS3675" s="5" t="s">
        <v>488</v>
      </c>
      <c r="AT3675" s="5" t="s">
        <v>246</v>
      </c>
      <c r="AU3675" s="5" t="s">
        <v>489</v>
      </c>
      <c r="AV3675" s="5" t="s">
        <v>247</v>
      </c>
      <c r="AW3675" s="5" t="s">
        <v>238</v>
      </c>
      <c r="AX3675" s="5" t="s">
        <v>249</v>
      </c>
      <c r="AY3675" s="5" t="s">
        <v>490</v>
      </c>
      <c r="BA3675" s="5" t="s">
        <v>238</v>
      </c>
      <c r="BC3675" s="5" t="s">
        <v>491</v>
      </c>
      <c r="BD3675" s="6" t="s">
        <v>492</v>
      </c>
      <c r="BE3675" s="5" t="s">
        <v>493</v>
      </c>
      <c r="BF3675" s="5" t="s">
        <v>493</v>
      </c>
      <c r="BG3675" s="5" t="s">
        <v>238</v>
      </c>
      <c r="BH3675" s="8">
        <f>1</f>
        <v>1</v>
      </c>
      <c r="BI3675" s="8">
        <f>1</f>
        <v>1</v>
      </c>
      <c r="BJ3675" s="5" t="s">
        <v>253</v>
      </c>
      <c r="BK3675" s="5" t="s">
        <v>254</v>
      </c>
      <c r="BL3675" s="5" t="s">
        <v>238</v>
      </c>
      <c r="BM3675" s="5" t="s">
        <v>238</v>
      </c>
      <c r="BN3675" s="5" t="s">
        <v>238</v>
      </c>
      <c r="BO3675" s="5" t="s">
        <v>238</v>
      </c>
      <c r="BP3675" s="5" t="s">
        <v>238</v>
      </c>
      <c r="BQ3675" s="5" t="s">
        <v>238</v>
      </c>
      <c r="BR3675" s="5" t="s">
        <v>238</v>
      </c>
      <c r="BS3675" s="5" t="s">
        <v>238</v>
      </c>
      <c r="BT3675" s="6" t="s">
        <v>238</v>
      </c>
      <c r="BU3675" s="5" t="s">
        <v>238</v>
      </c>
      <c r="BV3675" s="5" t="s">
        <v>238</v>
      </c>
      <c r="BW3675" s="5" t="s">
        <v>238</v>
      </c>
      <c r="BX3675" s="5" t="s">
        <v>254</v>
      </c>
      <c r="BY3675" s="5" t="s">
        <v>238</v>
      </c>
      <c r="BZ3675" s="5" t="s">
        <v>238</v>
      </c>
      <c r="CA3675" s="5" t="s">
        <v>238</v>
      </c>
      <c r="CB3675" s="5" t="s">
        <v>238</v>
      </c>
      <c r="CC3675" s="5" t="s">
        <v>238</v>
      </c>
      <c r="CD3675" s="5" t="s">
        <v>273</v>
      </c>
      <c r="CE3675" s="5" t="s">
        <v>256</v>
      </c>
      <c r="CF3675" s="5" t="s">
        <v>238</v>
      </c>
      <c r="CH3675" s="5" t="s">
        <v>494</v>
      </c>
      <c r="CI3675" s="6" t="s">
        <v>257</v>
      </c>
      <c r="CJ3675" s="5" t="s">
        <v>495</v>
      </c>
      <c r="CK3675" s="5" t="s">
        <v>258</v>
      </c>
      <c r="CL3675" s="5" t="s">
        <v>496</v>
      </c>
      <c r="CM3675" s="5" t="s">
        <v>238</v>
      </c>
      <c r="CN3675" s="5">
        <v>0</v>
      </c>
      <c r="CO3675" s="5" t="s">
        <v>497</v>
      </c>
      <c r="CP3675" s="5" t="s">
        <v>260</v>
      </c>
      <c r="CQ3675" s="5" t="s">
        <v>260</v>
      </c>
      <c r="CR3675" s="5" t="s">
        <v>261</v>
      </c>
      <c r="CS3675" s="5" t="s">
        <v>498</v>
      </c>
      <c r="CT3675" s="7">
        <f>1</f>
        <v>1</v>
      </c>
      <c r="CU3675" s="8">
        <f>1</f>
        <v>1</v>
      </c>
      <c r="CV3675" s="8">
        <f>0</f>
        <v>0</v>
      </c>
      <c r="CX3675" s="8">
        <f>1</f>
        <v>1</v>
      </c>
      <c r="CY3675" s="8">
        <f>1</f>
        <v>1</v>
      </c>
      <c r="CZ3675" s="8" t="s">
        <v>238</v>
      </c>
      <c r="DA3675" s="5" t="s">
        <v>238</v>
      </c>
      <c r="DB3675" s="5" t="s">
        <v>238</v>
      </c>
      <c r="DC3675" s="5" t="s">
        <v>238</v>
      </c>
      <c r="DD3675" s="5" t="s">
        <v>238</v>
      </c>
      <c r="DE3675" s="8">
        <f>0</f>
        <v>0</v>
      </c>
      <c r="DG3675" s="5" t="s">
        <v>238</v>
      </c>
      <c r="DH3675" s="5" t="s">
        <v>238</v>
      </c>
      <c r="DI3675" s="5" t="s">
        <v>238</v>
      </c>
      <c r="DJ3675" s="5" t="s">
        <v>238</v>
      </c>
      <c r="DK3675" s="5" t="s">
        <v>238</v>
      </c>
      <c r="DL3675" s="5" t="s">
        <v>238</v>
      </c>
      <c r="DM3675" s="8" t="s">
        <v>238</v>
      </c>
      <c r="DN3675" s="5" t="s">
        <v>238</v>
      </c>
      <c r="DO3675" s="5" t="s">
        <v>238</v>
      </c>
      <c r="DP3675" s="5" t="s">
        <v>490</v>
      </c>
      <c r="DQ3675" s="5" t="s">
        <v>490</v>
      </c>
      <c r="DR3675" s="5" t="s">
        <v>238</v>
      </c>
      <c r="DS3675" s="5" t="s">
        <v>238</v>
      </c>
      <c r="DT3675" s="5" t="s">
        <v>500</v>
      </c>
      <c r="DU3675" s="5" t="s">
        <v>722</v>
      </c>
      <c r="DV3675" s="5" t="s">
        <v>238</v>
      </c>
      <c r="DW3675" s="5" t="s">
        <v>238</v>
      </c>
      <c r="DX3675" s="5" t="s">
        <v>238</v>
      </c>
      <c r="DY3675" s="5" t="s">
        <v>238</v>
      </c>
      <c r="DZ3675" s="5" t="s">
        <v>238</v>
      </c>
      <c r="EA3675" s="5" t="s">
        <v>238</v>
      </c>
      <c r="EB3675" s="5" t="s">
        <v>238</v>
      </c>
      <c r="EC3675" s="5" t="s">
        <v>238</v>
      </c>
      <c r="ED3675" s="5" t="s">
        <v>238</v>
      </c>
      <c r="EE3675" s="5" t="s">
        <v>238</v>
      </c>
      <c r="EF3675" s="5" t="s">
        <v>238</v>
      </c>
      <c r="EG3675" s="5" t="s">
        <v>238</v>
      </c>
      <c r="EH3675" s="5" t="s">
        <v>238</v>
      </c>
      <c r="EI3675" s="5" t="s">
        <v>238</v>
      </c>
      <c r="EJ3675" s="5" t="s">
        <v>238</v>
      </c>
      <c r="EK3675" s="5" t="s">
        <v>238</v>
      </c>
      <c r="EL3675" s="5" t="s">
        <v>238</v>
      </c>
      <c r="EM3675" s="5" t="s">
        <v>238</v>
      </c>
      <c r="EN3675" s="5" t="s">
        <v>238</v>
      </c>
      <c r="EO3675" s="5" t="s">
        <v>238</v>
      </c>
      <c r="EP3675" s="5" t="s">
        <v>238</v>
      </c>
      <c r="EQ3675" s="5" t="s">
        <v>238</v>
      </c>
      <c r="ER3675" s="5" t="s">
        <v>238</v>
      </c>
      <c r="ES3675" s="5" t="s">
        <v>238</v>
      </c>
      <c r="ET3675" s="5" t="s">
        <v>238</v>
      </c>
      <c r="EU3675" s="5" t="s">
        <v>238</v>
      </c>
      <c r="EV3675" s="5" t="s">
        <v>238</v>
      </c>
      <c r="EW3675" s="5" t="s">
        <v>238</v>
      </c>
      <c r="EX3675" s="5" t="s">
        <v>238</v>
      </c>
      <c r="EY3675" s="5" t="s">
        <v>238</v>
      </c>
      <c r="EZ3675" s="5" t="s">
        <v>238</v>
      </c>
      <c r="FA3675" s="5" t="s">
        <v>238</v>
      </c>
      <c r="FB3675" s="5" t="s">
        <v>238</v>
      </c>
      <c r="FC3675" s="5" t="s">
        <v>238</v>
      </c>
      <c r="FD3675" s="5" t="s">
        <v>238</v>
      </c>
      <c r="FE3675" s="5" t="s">
        <v>238</v>
      </c>
      <c r="FF3675" s="5" t="s">
        <v>238</v>
      </c>
      <c r="FG3675" s="5" t="s">
        <v>238</v>
      </c>
      <c r="FH3675" s="5" t="s">
        <v>238</v>
      </c>
      <c r="FI3675" s="5" t="s">
        <v>238</v>
      </c>
      <c r="FJ3675" s="5" t="s">
        <v>238</v>
      </c>
      <c r="FK3675" s="5" t="s">
        <v>238</v>
      </c>
      <c r="FL3675" s="5" t="s">
        <v>238</v>
      </c>
      <c r="FM3675" s="5" t="s">
        <v>238</v>
      </c>
      <c r="FN3675" s="5" t="s">
        <v>238</v>
      </c>
      <c r="FO3675" s="5" t="s">
        <v>238</v>
      </c>
      <c r="FP3675" s="5" t="s">
        <v>238</v>
      </c>
      <c r="FQ3675" s="5" t="s">
        <v>238</v>
      </c>
      <c r="FR3675" s="5" t="s">
        <v>238</v>
      </c>
      <c r="FS3675" s="5" t="s">
        <v>238</v>
      </c>
      <c r="FT3675" s="5" t="s">
        <v>238</v>
      </c>
      <c r="FU3675" s="5" t="s">
        <v>238</v>
      </c>
      <c r="FV3675" s="5" t="s">
        <v>238</v>
      </c>
      <c r="FW3675" s="5" t="s">
        <v>238</v>
      </c>
      <c r="FX3675" s="5" t="s">
        <v>238</v>
      </c>
      <c r="FY3675" s="5" t="s">
        <v>238</v>
      </c>
      <c r="FZ3675" s="5" t="s">
        <v>238</v>
      </c>
      <c r="GA3675" s="5" t="s">
        <v>238</v>
      </c>
      <c r="GB3675" s="5" t="s">
        <v>238</v>
      </c>
      <c r="GC3675" s="5" t="s">
        <v>238</v>
      </c>
      <c r="GD3675" s="5" t="s">
        <v>238</v>
      </c>
      <c r="GE3675" s="5" t="s">
        <v>238</v>
      </c>
      <c r="GF3675" s="5" t="s">
        <v>238</v>
      </c>
      <c r="GG3675" s="5" t="s">
        <v>238</v>
      </c>
      <c r="GH3675" s="5" t="s">
        <v>238</v>
      </c>
      <c r="GI3675" s="5" t="s">
        <v>238</v>
      </c>
      <c r="GJ3675" s="5" t="s">
        <v>238</v>
      </c>
      <c r="GK3675" s="5" t="s">
        <v>238</v>
      </c>
      <c r="GL3675" s="5" t="s">
        <v>238</v>
      </c>
      <c r="GM3675" s="5" t="s">
        <v>238</v>
      </c>
      <c r="GN3675" s="5" t="s">
        <v>238</v>
      </c>
      <c r="GO3675" s="5" t="s">
        <v>238</v>
      </c>
      <c r="GP3675" s="5" t="s">
        <v>238</v>
      </c>
      <c r="GQ3675" s="5" t="s">
        <v>238</v>
      </c>
      <c r="GR3675" s="5" t="s">
        <v>238</v>
      </c>
      <c r="GS3675" s="5" t="s">
        <v>238</v>
      </c>
      <c r="GT3675" s="5" t="s">
        <v>238</v>
      </c>
      <c r="GU3675" s="5" t="s">
        <v>238</v>
      </c>
      <c r="GV3675" s="5" t="s">
        <v>238</v>
      </c>
      <c r="GW3675" s="5" t="s">
        <v>238</v>
      </c>
      <c r="GX3675" s="5" t="s">
        <v>238</v>
      </c>
      <c r="GY3675" s="5" t="s">
        <v>238</v>
      </c>
      <c r="GZ3675" s="5" t="s">
        <v>238</v>
      </c>
      <c r="HA3675" s="5" t="s">
        <v>238</v>
      </c>
      <c r="HB3675" s="5" t="s">
        <v>238</v>
      </c>
      <c r="HC3675" s="5" t="s">
        <v>238</v>
      </c>
      <c r="HD3675" s="5" t="s">
        <v>238</v>
      </c>
      <c r="HE3675" s="5" t="s">
        <v>238</v>
      </c>
      <c r="HF3675" s="5" t="s">
        <v>238</v>
      </c>
      <c r="HG3675" s="5" t="s">
        <v>238</v>
      </c>
      <c r="HH3675" s="5" t="s">
        <v>238</v>
      </c>
      <c r="HI3675" s="5" t="s">
        <v>238</v>
      </c>
      <c r="HJ3675" s="5" t="s">
        <v>238</v>
      </c>
      <c r="HK3675" s="5" t="s">
        <v>238</v>
      </c>
      <c r="HL3675" s="5" t="s">
        <v>238</v>
      </c>
      <c r="HM3675" s="5" t="s">
        <v>264</v>
      </c>
      <c r="HN3675" s="5" t="s">
        <v>238</v>
      </c>
      <c r="HO3675" s="5" t="s">
        <v>238</v>
      </c>
      <c r="HP3675" s="5" t="s">
        <v>238</v>
      </c>
      <c r="HQ3675" s="5" t="s">
        <v>238</v>
      </c>
      <c r="HR3675" s="5" t="s">
        <v>238</v>
      </c>
      <c r="HS3675" s="5" t="s">
        <v>238</v>
      </c>
      <c r="HT3675" s="5" t="s">
        <v>238</v>
      </c>
      <c r="HU3675" s="5" t="s">
        <v>238</v>
      </c>
      <c r="HV3675" s="5" t="s">
        <v>238</v>
      </c>
      <c r="HW3675" s="5" t="s">
        <v>238</v>
      </c>
      <c r="HX3675" s="5" t="s">
        <v>238</v>
      </c>
      <c r="HY3675" s="5" t="s">
        <v>238</v>
      </c>
      <c r="HZ3675" s="5" t="s">
        <v>238</v>
      </c>
      <c r="IA3675" s="5" t="s">
        <v>238</v>
      </c>
      <c r="IB3675" s="5" t="s">
        <v>238</v>
      </c>
      <c r="IC3675" s="5" t="s">
        <v>238</v>
      </c>
      <c r="ID3675" s="5" t="s">
        <v>238</v>
      </c>
    </row>
    <row r="3676" spans="1:238" x14ac:dyDescent="0.4">
      <c r="A3676" s="5">
        <v>9394</v>
      </c>
      <c r="B3676" s="5">
        <v>1</v>
      </c>
      <c r="C3676" s="5">
        <v>1</v>
      </c>
      <c r="D3676" s="5" t="s">
        <v>484</v>
      </c>
      <c r="E3676" s="5" t="s">
        <v>485</v>
      </c>
      <c r="F3676" s="5" t="s">
        <v>248</v>
      </c>
      <c r="G3676" s="5" t="s">
        <v>5696</v>
      </c>
      <c r="H3676" s="6" t="s">
        <v>5697</v>
      </c>
      <c r="I3676" s="8">
        <f>1</f>
        <v>1</v>
      </c>
      <c r="J3676" s="5" t="s">
        <v>499</v>
      </c>
      <c r="K3676" s="8">
        <f>1</f>
        <v>1</v>
      </c>
      <c r="L3676" s="6" t="s">
        <v>242</v>
      </c>
      <c r="M3676" s="5" t="s">
        <v>267</v>
      </c>
      <c r="N3676" s="5" t="s">
        <v>482</v>
      </c>
      <c r="O3676" s="5" t="s">
        <v>238</v>
      </c>
      <c r="P3676" s="5" t="s">
        <v>238</v>
      </c>
      <c r="Q3676" s="5" t="s">
        <v>239</v>
      </c>
      <c r="R3676" s="5" t="s">
        <v>270</v>
      </c>
      <c r="S3676" s="5" t="s">
        <v>238</v>
      </c>
      <c r="T3676" s="5" t="s">
        <v>238</v>
      </c>
      <c r="U3676" s="5" t="s">
        <v>238</v>
      </c>
      <c r="V3676" s="5" t="s">
        <v>238</v>
      </c>
      <c r="W3676" s="6" t="s">
        <v>238</v>
      </c>
      <c r="X3676" s="6" t="s">
        <v>238</v>
      </c>
      <c r="Y3676" s="5" t="s">
        <v>238</v>
      </c>
      <c r="Z3676" s="6" t="s">
        <v>238</v>
      </c>
      <c r="AA3676" s="6" t="s">
        <v>243</v>
      </c>
      <c r="AB3676" s="5" t="s">
        <v>486</v>
      </c>
      <c r="AC3676" s="5" t="s">
        <v>244</v>
      </c>
      <c r="AD3676" s="5" t="s">
        <v>245</v>
      </c>
      <c r="AE3676" s="5" t="s">
        <v>238</v>
      </c>
      <c r="AF3676" s="5" t="s">
        <v>238</v>
      </c>
      <c r="AG3676" s="5" t="s">
        <v>238</v>
      </c>
      <c r="AH3676" s="5" t="s">
        <v>238</v>
      </c>
      <c r="AI3676" s="5" t="s">
        <v>238</v>
      </c>
      <c r="AJ3676" s="5" t="s">
        <v>238</v>
      </c>
      <c r="AK3676" s="5" t="s">
        <v>238</v>
      </c>
      <c r="AL3676" s="5" t="s">
        <v>238</v>
      </c>
      <c r="AM3676" s="6" t="s">
        <v>238</v>
      </c>
      <c r="AN3676" s="6" t="s">
        <v>238</v>
      </c>
      <c r="AO3676" s="6" t="s">
        <v>238</v>
      </c>
      <c r="AP3676" s="6" t="s">
        <v>238</v>
      </c>
      <c r="AQ3676" s="5" t="s">
        <v>238</v>
      </c>
      <c r="AR3676" s="5" t="s">
        <v>488</v>
      </c>
      <c r="AS3676" s="5" t="s">
        <v>488</v>
      </c>
      <c r="AT3676" s="5" t="s">
        <v>246</v>
      </c>
      <c r="AU3676" s="5" t="s">
        <v>489</v>
      </c>
      <c r="AV3676" s="5" t="s">
        <v>247</v>
      </c>
      <c r="AW3676" s="5" t="s">
        <v>238</v>
      </c>
      <c r="AX3676" s="5" t="s">
        <v>249</v>
      </c>
      <c r="AY3676" s="5" t="s">
        <v>490</v>
      </c>
      <c r="BA3676" s="5" t="s">
        <v>238</v>
      </c>
      <c r="BC3676" s="5" t="s">
        <v>491</v>
      </c>
      <c r="BD3676" s="6" t="s">
        <v>492</v>
      </c>
      <c r="BE3676" s="5" t="s">
        <v>493</v>
      </c>
      <c r="BF3676" s="5" t="s">
        <v>493</v>
      </c>
      <c r="BG3676" s="5" t="s">
        <v>238</v>
      </c>
      <c r="BH3676" s="8">
        <f>1</f>
        <v>1</v>
      </c>
      <c r="BI3676" s="8">
        <f>1</f>
        <v>1</v>
      </c>
      <c r="BJ3676" s="5" t="s">
        <v>253</v>
      </c>
      <c r="BK3676" s="5" t="s">
        <v>254</v>
      </c>
      <c r="BL3676" s="5" t="s">
        <v>238</v>
      </c>
      <c r="BM3676" s="5" t="s">
        <v>238</v>
      </c>
      <c r="BN3676" s="5" t="s">
        <v>238</v>
      </c>
      <c r="BO3676" s="5" t="s">
        <v>238</v>
      </c>
      <c r="BP3676" s="5" t="s">
        <v>238</v>
      </c>
      <c r="BQ3676" s="5" t="s">
        <v>238</v>
      </c>
      <c r="BR3676" s="5" t="s">
        <v>238</v>
      </c>
      <c r="BS3676" s="5" t="s">
        <v>238</v>
      </c>
      <c r="BT3676" s="6" t="s">
        <v>238</v>
      </c>
      <c r="BU3676" s="5" t="s">
        <v>238</v>
      </c>
      <c r="BV3676" s="5" t="s">
        <v>238</v>
      </c>
      <c r="BW3676" s="5" t="s">
        <v>238</v>
      </c>
      <c r="BX3676" s="5" t="s">
        <v>254</v>
      </c>
      <c r="BY3676" s="5" t="s">
        <v>238</v>
      </c>
      <c r="BZ3676" s="5" t="s">
        <v>238</v>
      </c>
      <c r="CA3676" s="5" t="s">
        <v>238</v>
      </c>
      <c r="CB3676" s="5" t="s">
        <v>238</v>
      </c>
      <c r="CC3676" s="5" t="s">
        <v>238</v>
      </c>
      <c r="CD3676" s="5" t="s">
        <v>273</v>
      </c>
      <c r="CE3676" s="5" t="s">
        <v>256</v>
      </c>
      <c r="CF3676" s="5" t="s">
        <v>238</v>
      </c>
      <c r="CH3676" s="5" t="s">
        <v>494</v>
      </c>
      <c r="CI3676" s="6" t="s">
        <v>257</v>
      </c>
      <c r="CJ3676" s="5" t="s">
        <v>495</v>
      </c>
      <c r="CK3676" s="5" t="s">
        <v>258</v>
      </c>
      <c r="CL3676" s="5" t="s">
        <v>496</v>
      </c>
      <c r="CM3676" s="5" t="s">
        <v>238</v>
      </c>
      <c r="CN3676" s="5">
        <v>0</v>
      </c>
      <c r="CO3676" s="5" t="s">
        <v>497</v>
      </c>
      <c r="CP3676" s="5" t="s">
        <v>260</v>
      </c>
      <c r="CQ3676" s="5" t="s">
        <v>260</v>
      </c>
      <c r="CR3676" s="5" t="s">
        <v>261</v>
      </c>
      <c r="CS3676" s="5" t="s">
        <v>498</v>
      </c>
      <c r="CT3676" s="7">
        <f>1</f>
        <v>1</v>
      </c>
      <c r="CU3676" s="8">
        <f>1</f>
        <v>1</v>
      </c>
      <c r="CV3676" s="8">
        <f>0</f>
        <v>0</v>
      </c>
      <c r="CX3676" s="8">
        <f>1</f>
        <v>1</v>
      </c>
      <c r="CY3676" s="8">
        <f>1</f>
        <v>1</v>
      </c>
      <c r="CZ3676" s="8" t="s">
        <v>238</v>
      </c>
      <c r="DA3676" s="5" t="s">
        <v>238</v>
      </c>
      <c r="DB3676" s="5" t="s">
        <v>238</v>
      </c>
      <c r="DC3676" s="5" t="s">
        <v>238</v>
      </c>
      <c r="DD3676" s="5" t="s">
        <v>238</v>
      </c>
      <c r="DE3676" s="8">
        <f>0</f>
        <v>0</v>
      </c>
      <c r="DG3676" s="5" t="s">
        <v>238</v>
      </c>
      <c r="DH3676" s="5" t="s">
        <v>238</v>
      </c>
      <c r="DI3676" s="5" t="s">
        <v>238</v>
      </c>
      <c r="DJ3676" s="5" t="s">
        <v>238</v>
      </c>
      <c r="DK3676" s="5" t="s">
        <v>238</v>
      </c>
      <c r="DL3676" s="5" t="s">
        <v>238</v>
      </c>
      <c r="DM3676" s="8" t="s">
        <v>238</v>
      </c>
      <c r="DN3676" s="5" t="s">
        <v>238</v>
      </c>
      <c r="DO3676" s="5" t="s">
        <v>238</v>
      </c>
      <c r="DP3676" s="5" t="s">
        <v>490</v>
      </c>
      <c r="DQ3676" s="5" t="s">
        <v>490</v>
      </c>
      <c r="DR3676" s="5" t="s">
        <v>238</v>
      </c>
      <c r="DS3676" s="5" t="s">
        <v>238</v>
      </c>
      <c r="DT3676" s="5" t="s">
        <v>500</v>
      </c>
      <c r="DU3676" s="5" t="s">
        <v>710</v>
      </c>
      <c r="DV3676" s="5" t="s">
        <v>238</v>
      </c>
      <c r="DW3676" s="5" t="s">
        <v>238</v>
      </c>
      <c r="DX3676" s="5" t="s">
        <v>238</v>
      </c>
      <c r="DY3676" s="5" t="s">
        <v>238</v>
      </c>
      <c r="DZ3676" s="5" t="s">
        <v>238</v>
      </c>
      <c r="EA3676" s="5" t="s">
        <v>238</v>
      </c>
      <c r="EB3676" s="5" t="s">
        <v>238</v>
      </c>
      <c r="EC3676" s="5" t="s">
        <v>238</v>
      </c>
      <c r="ED3676" s="5" t="s">
        <v>238</v>
      </c>
      <c r="EE3676" s="5" t="s">
        <v>238</v>
      </c>
      <c r="EF3676" s="5" t="s">
        <v>238</v>
      </c>
      <c r="EG3676" s="5" t="s">
        <v>238</v>
      </c>
      <c r="EH3676" s="5" t="s">
        <v>238</v>
      </c>
      <c r="EI3676" s="5" t="s">
        <v>238</v>
      </c>
      <c r="EJ3676" s="5" t="s">
        <v>238</v>
      </c>
      <c r="EK3676" s="5" t="s">
        <v>238</v>
      </c>
      <c r="EL3676" s="5" t="s">
        <v>238</v>
      </c>
      <c r="EM3676" s="5" t="s">
        <v>238</v>
      </c>
      <c r="EN3676" s="5" t="s">
        <v>238</v>
      </c>
      <c r="EO3676" s="5" t="s">
        <v>238</v>
      </c>
      <c r="EP3676" s="5" t="s">
        <v>238</v>
      </c>
      <c r="EQ3676" s="5" t="s">
        <v>238</v>
      </c>
      <c r="ER3676" s="5" t="s">
        <v>238</v>
      </c>
      <c r="ES3676" s="5" t="s">
        <v>238</v>
      </c>
      <c r="ET3676" s="5" t="s">
        <v>238</v>
      </c>
      <c r="EU3676" s="5" t="s">
        <v>238</v>
      </c>
      <c r="EV3676" s="5" t="s">
        <v>238</v>
      </c>
      <c r="EW3676" s="5" t="s">
        <v>238</v>
      </c>
      <c r="EX3676" s="5" t="s">
        <v>238</v>
      </c>
      <c r="EY3676" s="5" t="s">
        <v>238</v>
      </c>
      <c r="EZ3676" s="5" t="s">
        <v>238</v>
      </c>
      <c r="FA3676" s="5" t="s">
        <v>238</v>
      </c>
      <c r="FB3676" s="5" t="s">
        <v>238</v>
      </c>
      <c r="FC3676" s="5" t="s">
        <v>238</v>
      </c>
      <c r="FD3676" s="5" t="s">
        <v>238</v>
      </c>
      <c r="FE3676" s="5" t="s">
        <v>238</v>
      </c>
      <c r="FF3676" s="5" t="s">
        <v>238</v>
      </c>
      <c r="FG3676" s="5" t="s">
        <v>238</v>
      </c>
      <c r="FH3676" s="5" t="s">
        <v>238</v>
      </c>
      <c r="FI3676" s="5" t="s">
        <v>238</v>
      </c>
      <c r="FJ3676" s="5" t="s">
        <v>238</v>
      </c>
      <c r="FK3676" s="5" t="s">
        <v>238</v>
      </c>
      <c r="FL3676" s="5" t="s">
        <v>238</v>
      </c>
      <c r="FM3676" s="5" t="s">
        <v>238</v>
      </c>
      <c r="FN3676" s="5" t="s">
        <v>238</v>
      </c>
      <c r="FO3676" s="5" t="s">
        <v>238</v>
      </c>
      <c r="FP3676" s="5" t="s">
        <v>238</v>
      </c>
      <c r="FQ3676" s="5" t="s">
        <v>238</v>
      </c>
      <c r="FR3676" s="5" t="s">
        <v>238</v>
      </c>
      <c r="FS3676" s="5" t="s">
        <v>238</v>
      </c>
      <c r="FT3676" s="5" t="s">
        <v>238</v>
      </c>
      <c r="FU3676" s="5" t="s">
        <v>238</v>
      </c>
      <c r="FV3676" s="5" t="s">
        <v>238</v>
      </c>
      <c r="FW3676" s="5" t="s">
        <v>238</v>
      </c>
      <c r="FX3676" s="5" t="s">
        <v>238</v>
      </c>
      <c r="FY3676" s="5" t="s">
        <v>238</v>
      </c>
      <c r="FZ3676" s="5" t="s">
        <v>238</v>
      </c>
      <c r="GA3676" s="5" t="s">
        <v>238</v>
      </c>
      <c r="GB3676" s="5" t="s">
        <v>238</v>
      </c>
      <c r="GC3676" s="5" t="s">
        <v>238</v>
      </c>
      <c r="GD3676" s="5" t="s">
        <v>238</v>
      </c>
      <c r="GE3676" s="5" t="s">
        <v>238</v>
      </c>
      <c r="GF3676" s="5" t="s">
        <v>238</v>
      </c>
      <c r="GG3676" s="5" t="s">
        <v>238</v>
      </c>
      <c r="GH3676" s="5" t="s">
        <v>238</v>
      </c>
      <c r="GI3676" s="5" t="s">
        <v>238</v>
      </c>
      <c r="GJ3676" s="5" t="s">
        <v>238</v>
      </c>
      <c r="GK3676" s="5" t="s">
        <v>238</v>
      </c>
      <c r="GL3676" s="5" t="s">
        <v>238</v>
      </c>
      <c r="GM3676" s="5" t="s">
        <v>238</v>
      </c>
      <c r="GN3676" s="5" t="s">
        <v>238</v>
      </c>
      <c r="GO3676" s="5" t="s">
        <v>238</v>
      </c>
      <c r="GP3676" s="5" t="s">
        <v>238</v>
      </c>
      <c r="GQ3676" s="5" t="s">
        <v>238</v>
      </c>
      <c r="GR3676" s="5" t="s">
        <v>238</v>
      </c>
      <c r="GS3676" s="5" t="s">
        <v>238</v>
      </c>
      <c r="GT3676" s="5" t="s">
        <v>238</v>
      </c>
      <c r="GU3676" s="5" t="s">
        <v>238</v>
      </c>
      <c r="GV3676" s="5" t="s">
        <v>238</v>
      </c>
      <c r="GW3676" s="5" t="s">
        <v>238</v>
      </c>
      <c r="GX3676" s="5" t="s">
        <v>238</v>
      </c>
      <c r="GY3676" s="5" t="s">
        <v>238</v>
      </c>
      <c r="GZ3676" s="5" t="s">
        <v>238</v>
      </c>
      <c r="HA3676" s="5" t="s">
        <v>238</v>
      </c>
      <c r="HB3676" s="5" t="s">
        <v>238</v>
      </c>
      <c r="HC3676" s="5" t="s">
        <v>238</v>
      </c>
      <c r="HD3676" s="5" t="s">
        <v>238</v>
      </c>
      <c r="HE3676" s="5" t="s">
        <v>238</v>
      </c>
      <c r="HF3676" s="5" t="s">
        <v>238</v>
      </c>
      <c r="HG3676" s="5" t="s">
        <v>238</v>
      </c>
      <c r="HH3676" s="5" t="s">
        <v>238</v>
      </c>
      <c r="HI3676" s="5" t="s">
        <v>238</v>
      </c>
      <c r="HJ3676" s="5" t="s">
        <v>238</v>
      </c>
      <c r="HK3676" s="5" t="s">
        <v>238</v>
      </c>
      <c r="HL3676" s="5" t="s">
        <v>238</v>
      </c>
      <c r="HM3676" s="5" t="s">
        <v>264</v>
      </c>
      <c r="HN3676" s="5" t="s">
        <v>238</v>
      </c>
      <c r="HO3676" s="5" t="s">
        <v>238</v>
      </c>
      <c r="HP3676" s="5" t="s">
        <v>238</v>
      </c>
      <c r="HQ3676" s="5" t="s">
        <v>238</v>
      </c>
      <c r="HR3676" s="5" t="s">
        <v>238</v>
      </c>
      <c r="HS3676" s="5" t="s">
        <v>238</v>
      </c>
      <c r="HT3676" s="5" t="s">
        <v>238</v>
      </c>
      <c r="HU3676" s="5" t="s">
        <v>238</v>
      </c>
      <c r="HV3676" s="5" t="s">
        <v>238</v>
      </c>
      <c r="HW3676" s="5" t="s">
        <v>238</v>
      </c>
      <c r="HX3676" s="5" t="s">
        <v>238</v>
      </c>
      <c r="HY3676" s="5" t="s">
        <v>238</v>
      </c>
      <c r="HZ3676" s="5" t="s">
        <v>238</v>
      </c>
      <c r="IA3676" s="5" t="s">
        <v>238</v>
      </c>
      <c r="IB3676" s="5" t="s">
        <v>238</v>
      </c>
      <c r="IC3676" s="5" t="s">
        <v>238</v>
      </c>
      <c r="ID3676" s="5" t="s">
        <v>238</v>
      </c>
    </row>
    <row r="3677" spans="1:238" x14ac:dyDescent="0.4">
      <c r="A3677" s="5">
        <v>9395</v>
      </c>
      <c r="B3677" s="5">
        <v>1</v>
      </c>
      <c r="C3677" s="5">
        <v>1</v>
      </c>
      <c r="D3677" s="5" t="s">
        <v>484</v>
      </c>
      <c r="E3677" s="5" t="s">
        <v>485</v>
      </c>
      <c r="F3677" s="5" t="s">
        <v>248</v>
      </c>
      <c r="G3677" s="5" t="s">
        <v>5397</v>
      </c>
      <c r="H3677" s="6" t="s">
        <v>5399</v>
      </c>
      <c r="I3677" s="8">
        <f>1</f>
        <v>1</v>
      </c>
      <c r="J3677" s="5" t="s">
        <v>499</v>
      </c>
      <c r="K3677" s="8">
        <f>1</f>
        <v>1</v>
      </c>
      <c r="L3677" s="6" t="s">
        <v>242</v>
      </c>
      <c r="M3677" s="5" t="s">
        <v>267</v>
      </c>
      <c r="N3677" s="5" t="s">
        <v>482</v>
      </c>
      <c r="O3677" s="5" t="s">
        <v>238</v>
      </c>
      <c r="P3677" s="5" t="s">
        <v>238</v>
      </c>
      <c r="Q3677" s="5" t="s">
        <v>239</v>
      </c>
      <c r="R3677" s="5" t="s">
        <v>270</v>
      </c>
      <c r="S3677" s="5" t="s">
        <v>238</v>
      </c>
      <c r="T3677" s="5" t="s">
        <v>238</v>
      </c>
      <c r="U3677" s="5" t="s">
        <v>238</v>
      </c>
      <c r="V3677" s="5" t="s">
        <v>238</v>
      </c>
      <c r="W3677" s="6" t="s">
        <v>238</v>
      </c>
      <c r="X3677" s="6" t="s">
        <v>238</v>
      </c>
      <c r="Y3677" s="5" t="s">
        <v>238</v>
      </c>
      <c r="Z3677" s="6" t="s">
        <v>238</v>
      </c>
      <c r="AA3677" s="6" t="s">
        <v>243</v>
      </c>
      <c r="AB3677" s="5" t="s">
        <v>5398</v>
      </c>
      <c r="AC3677" s="5" t="s">
        <v>244</v>
      </c>
      <c r="AD3677" s="5" t="s">
        <v>245</v>
      </c>
      <c r="AE3677" s="5" t="s">
        <v>238</v>
      </c>
      <c r="AF3677" s="5" t="s">
        <v>238</v>
      </c>
      <c r="AG3677" s="5" t="s">
        <v>238</v>
      </c>
      <c r="AH3677" s="5" t="s">
        <v>238</v>
      </c>
      <c r="AI3677" s="5" t="s">
        <v>238</v>
      </c>
      <c r="AJ3677" s="5" t="s">
        <v>238</v>
      </c>
      <c r="AK3677" s="5" t="s">
        <v>238</v>
      </c>
      <c r="AL3677" s="5" t="s">
        <v>238</v>
      </c>
      <c r="AM3677" s="6" t="s">
        <v>238</v>
      </c>
      <c r="AN3677" s="6" t="s">
        <v>238</v>
      </c>
      <c r="AO3677" s="6" t="s">
        <v>238</v>
      </c>
      <c r="AP3677" s="6" t="s">
        <v>238</v>
      </c>
      <c r="AQ3677" s="5" t="s">
        <v>238</v>
      </c>
      <c r="AR3677" s="5" t="s">
        <v>488</v>
      </c>
      <c r="AS3677" s="5" t="s">
        <v>488</v>
      </c>
      <c r="AT3677" s="5" t="s">
        <v>246</v>
      </c>
      <c r="AU3677" s="5" t="s">
        <v>489</v>
      </c>
      <c r="AV3677" s="5" t="s">
        <v>247</v>
      </c>
      <c r="AW3677" s="5" t="s">
        <v>238</v>
      </c>
      <c r="AX3677" s="5" t="s">
        <v>249</v>
      </c>
      <c r="AY3677" s="5" t="s">
        <v>490</v>
      </c>
      <c r="BA3677" s="5" t="s">
        <v>238</v>
      </c>
      <c r="BC3677" s="5" t="s">
        <v>491</v>
      </c>
      <c r="BD3677" s="6" t="s">
        <v>492</v>
      </c>
      <c r="BE3677" s="5" t="s">
        <v>493</v>
      </c>
      <c r="BF3677" s="5" t="s">
        <v>493</v>
      </c>
      <c r="BG3677" s="5" t="s">
        <v>238</v>
      </c>
      <c r="BH3677" s="8">
        <f>1</f>
        <v>1</v>
      </c>
      <c r="BI3677" s="8">
        <f>1</f>
        <v>1</v>
      </c>
      <c r="BJ3677" s="5" t="s">
        <v>253</v>
      </c>
      <c r="BK3677" s="5" t="s">
        <v>254</v>
      </c>
      <c r="BL3677" s="5" t="s">
        <v>238</v>
      </c>
      <c r="BM3677" s="5" t="s">
        <v>238</v>
      </c>
      <c r="BN3677" s="5" t="s">
        <v>238</v>
      </c>
      <c r="BO3677" s="5" t="s">
        <v>238</v>
      </c>
      <c r="BP3677" s="5" t="s">
        <v>238</v>
      </c>
      <c r="BQ3677" s="5" t="s">
        <v>238</v>
      </c>
      <c r="BR3677" s="5" t="s">
        <v>238</v>
      </c>
      <c r="BS3677" s="5" t="s">
        <v>238</v>
      </c>
      <c r="BT3677" s="6" t="s">
        <v>238</v>
      </c>
      <c r="BU3677" s="5" t="s">
        <v>238</v>
      </c>
      <c r="BV3677" s="5" t="s">
        <v>238</v>
      </c>
      <c r="BW3677" s="5" t="s">
        <v>238</v>
      </c>
      <c r="BX3677" s="5" t="s">
        <v>254</v>
      </c>
      <c r="BY3677" s="5" t="s">
        <v>238</v>
      </c>
      <c r="BZ3677" s="5" t="s">
        <v>238</v>
      </c>
      <c r="CA3677" s="5" t="s">
        <v>238</v>
      </c>
      <c r="CB3677" s="5" t="s">
        <v>238</v>
      </c>
      <c r="CC3677" s="5" t="s">
        <v>238</v>
      </c>
      <c r="CD3677" s="5" t="s">
        <v>273</v>
      </c>
      <c r="CE3677" s="5" t="s">
        <v>256</v>
      </c>
      <c r="CF3677" s="5" t="s">
        <v>238</v>
      </c>
      <c r="CH3677" s="5" t="s">
        <v>494</v>
      </c>
      <c r="CI3677" s="6" t="s">
        <v>257</v>
      </c>
      <c r="CJ3677" s="5" t="s">
        <v>495</v>
      </c>
      <c r="CK3677" s="5" t="s">
        <v>258</v>
      </c>
      <c r="CL3677" s="5" t="s">
        <v>496</v>
      </c>
      <c r="CM3677" s="5" t="s">
        <v>238</v>
      </c>
      <c r="CN3677" s="5">
        <v>0</v>
      </c>
      <c r="CO3677" s="5" t="s">
        <v>497</v>
      </c>
      <c r="CP3677" s="5" t="s">
        <v>260</v>
      </c>
      <c r="CQ3677" s="5" t="s">
        <v>260</v>
      </c>
      <c r="CR3677" s="5" t="s">
        <v>261</v>
      </c>
      <c r="CS3677" s="5" t="s">
        <v>498</v>
      </c>
      <c r="CT3677" s="7">
        <f>1</f>
        <v>1</v>
      </c>
      <c r="CU3677" s="8">
        <f>1</f>
        <v>1</v>
      </c>
      <c r="CV3677" s="8">
        <f>0</f>
        <v>0</v>
      </c>
      <c r="CX3677" s="8">
        <f>1</f>
        <v>1</v>
      </c>
      <c r="CY3677" s="8">
        <f>1</f>
        <v>1</v>
      </c>
      <c r="CZ3677" s="8" t="s">
        <v>238</v>
      </c>
      <c r="DA3677" s="5" t="s">
        <v>238</v>
      </c>
      <c r="DB3677" s="5" t="s">
        <v>238</v>
      </c>
      <c r="DC3677" s="5" t="s">
        <v>238</v>
      </c>
      <c r="DD3677" s="5" t="s">
        <v>238</v>
      </c>
      <c r="DE3677" s="8">
        <f>0</f>
        <v>0</v>
      </c>
      <c r="DG3677" s="5" t="s">
        <v>238</v>
      </c>
      <c r="DH3677" s="5" t="s">
        <v>238</v>
      </c>
      <c r="DI3677" s="5" t="s">
        <v>238</v>
      </c>
      <c r="DJ3677" s="5" t="s">
        <v>238</v>
      </c>
      <c r="DK3677" s="5" t="s">
        <v>238</v>
      </c>
      <c r="DL3677" s="5" t="s">
        <v>238</v>
      </c>
      <c r="DM3677" s="8" t="s">
        <v>238</v>
      </c>
      <c r="DN3677" s="5" t="s">
        <v>238</v>
      </c>
      <c r="DO3677" s="5" t="s">
        <v>238</v>
      </c>
      <c r="DP3677" s="5" t="s">
        <v>490</v>
      </c>
      <c r="DQ3677" s="5" t="s">
        <v>490</v>
      </c>
      <c r="DR3677" s="5" t="s">
        <v>238</v>
      </c>
      <c r="DS3677" s="5" t="s">
        <v>238</v>
      </c>
      <c r="DT3677" s="5" t="s">
        <v>500</v>
      </c>
      <c r="DU3677" s="5" t="s">
        <v>693</v>
      </c>
      <c r="DV3677" s="5" t="s">
        <v>238</v>
      </c>
      <c r="DW3677" s="5" t="s">
        <v>238</v>
      </c>
      <c r="DX3677" s="5" t="s">
        <v>238</v>
      </c>
      <c r="DY3677" s="5" t="s">
        <v>238</v>
      </c>
      <c r="DZ3677" s="5" t="s">
        <v>238</v>
      </c>
      <c r="EA3677" s="5" t="s">
        <v>238</v>
      </c>
      <c r="EB3677" s="5" t="s">
        <v>238</v>
      </c>
      <c r="EC3677" s="5" t="s">
        <v>238</v>
      </c>
      <c r="ED3677" s="5" t="s">
        <v>238</v>
      </c>
      <c r="EE3677" s="5" t="s">
        <v>238</v>
      </c>
      <c r="EF3677" s="5" t="s">
        <v>238</v>
      </c>
      <c r="EG3677" s="5" t="s">
        <v>238</v>
      </c>
      <c r="EH3677" s="5" t="s">
        <v>238</v>
      </c>
      <c r="EI3677" s="5" t="s">
        <v>238</v>
      </c>
      <c r="EJ3677" s="5" t="s">
        <v>238</v>
      </c>
      <c r="EK3677" s="5" t="s">
        <v>238</v>
      </c>
      <c r="EL3677" s="5" t="s">
        <v>238</v>
      </c>
      <c r="EM3677" s="5" t="s">
        <v>238</v>
      </c>
      <c r="EN3677" s="5" t="s">
        <v>238</v>
      </c>
      <c r="EO3677" s="5" t="s">
        <v>238</v>
      </c>
      <c r="EP3677" s="5" t="s">
        <v>238</v>
      </c>
      <c r="EQ3677" s="5" t="s">
        <v>238</v>
      </c>
      <c r="ER3677" s="5" t="s">
        <v>238</v>
      </c>
      <c r="ES3677" s="5" t="s">
        <v>238</v>
      </c>
      <c r="ET3677" s="5" t="s">
        <v>238</v>
      </c>
      <c r="EU3677" s="5" t="s">
        <v>238</v>
      </c>
      <c r="EV3677" s="5" t="s">
        <v>238</v>
      </c>
      <c r="EW3677" s="5" t="s">
        <v>238</v>
      </c>
      <c r="EX3677" s="5" t="s">
        <v>238</v>
      </c>
      <c r="EY3677" s="5" t="s">
        <v>238</v>
      </c>
      <c r="EZ3677" s="5" t="s">
        <v>238</v>
      </c>
      <c r="FA3677" s="5" t="s">
        <v>238</v>
      </c>
      <c r="FB3677" s="5" t="s">
        <v>238</v>
      </c>
      <c r="FC3677" s="5" t="s">
        <v>238</v>
      </c>
      <c r="FD3677" s="5" t="s">
        <v>238</v>
      </c>
      <c r="FE3677" s="5" t="s">
        <v>238</v>
      </c>
      <c r="FF3677" s="5" t="s">
        <v>238</v>
      </c>
      <c r="FG3677" s="5" t="s">
        <v>238</v>
      </c>
      <c r="FH3677" s="5" t="s">
        <v>238</v>
      </c>
      <c r="FI3677" s="5" t="s">
        <v>238</v>
      </c>
      <c r="FJ3677" s="5" t="s">
        <v>238</v>
      </c>
      <c r="FK3677" s="5" t="s">
        <v>238</v>
      </c>
      <c r="FL3677" s="5" t="s">
        <v>238</v>
      </c>
      <c r="FM3677" s="5" t="s">
        <v>238</v>
      </c>
      <c r="FN3677" s="5" t="s">
        <v>238</v>
      </c>
      <c r="FO3677" s="5" t="s">
        <v>238</v>
      </c>
      <c r="FP3677" s="5" t="s">
        <v>238</v>
      </c>
      <c r="FQ3677" s="5" t="s">
        <v>238</v>
      </c>
      <c r="FR3677" s="5" t="s">
        <v>238</v>
      </c>
      <c r="FS3677" s="5" t="s">
        <v>238</v>
      </c>
      <c r="FT3677" s="5" t="s">
        <v>238</v>
      </c>
      <c r="FU3677" s="5" t="s">
        <v>238</v>
      </c>
      <c r="FV3677" s="5" t="s">
        <v>238</v>
      </c>
      <c r="FW3677" s="5" t="s">
        <v>238</v>
      </c>
      <c r="FX3677" s="5" t="s">
        <v>238</v>
      </c>
      <c r="FY3677" s="5" t="s">
        <v>238</v>
      </c>
      <c r="FZ3677" s="5" t="s">
        <v>238</v>
      </c>
      <c r="GA3677" s="5" t="s">
        <v>238</v>
      </c>
      <c r="GB3677" s="5" t="s">
        <v>238</v>
      </c>
      <c r="GC3677" s="5" t="s">
        <v>238</v>
      </c>
      <c r="GD3677" s="5" t="s">
        <v>238</v>
      </c>
      <c r="GE3677" s="5" t="s">
        <v>238</v>
      </c>
      <c r="GF3677" s="5" t="s">
        <v>238</v>
      </c>
      <c r="GG3677" s="5" t="s">
        <v>238</v>
      </c>
      <c r="GH3677" s="5" t="s">
        <v>238</v>
      </c>
      <c r="GI3677" s="5" t="s">
        <v>238</v>
      </c>
      <c r="GJ3677" s="5" t="s">
        <v>238</v>
      </c>
      <c r="GK3677" s="5" t="s">
        <v>238</v>
      </c>
      <c r="GL3677" s="5" t="s">
        <v>238</v>
      </c>
      <c r="GM3677" s="5" t="s">
        <v>238</v>
      </c>
      <c r="GN3677" s="5" t="s">
        <v>238</v>
      </c>
      <c r="GO3677" s="5" t="s">
        <v>238</v>
      </c>
      <c r="GP3677" s="5" t="s">
        <v>238</v>
      </c>
      <c r="GQ3677" s="5" t="s">
        <v>238</v>
      </c>
      <c r="GR3677" s="5" t="s">
        <v>238</v>
      </c>
      <c r="GS3677" s="5" t="s">
        <v>238</v>
      </c>
      <c r="GT3677" s="5" t="s">
        <v>238</v>
      </c>
      <c r="GU3677" s="5" t="s">
        <v>238</v>
      </c>
      <c r="GV3677" s="5" t="s">
        <v>238</v>
      </c>
      <c r="GW3677" s="5" t="s">
        <v>238</v>
      </c>
      <c r="GX3677" s="5" t="s">
        <v>238</v>
      </c>
      <c r="GY3677" s="5" t="s">
        <v>238</v>
      </c>
      <c r="GZ3677" s="5" t="s">
        <v>238</v>
      </c>
      <c r="HA3677" s="5" t="s">
        <v>238</v>
      </c>
      <c r="HB3677" s="5" t="s">
        <v>238</v>
      </c>
      <c r="HC3677" s="5" t="s">
        <v>238</v>
      </c>
      <c r="HD3677" s="5" t="s">
        <v>238</v>
      </c>
      <c r="HE3677" s="5" t="s">
        <v>238</v>
      </c>
      <c r="HF3677" s="5" t="s">
        <v>238</v>
      </c>
      <c r="HG3677" s="5" t="s">
        <v>238</v>
      </c>
      <c r="HH3677" s="5" t="s">
        <v>238</v>
      </c>
      <c r="HI3677" s="5" t="s">
        <v>238</v>
      </c>
      <c r="HJ3677" s="5" t="s">
        <v>238</v>
      </c>
      <c r="HK3677" s="5" t="s">
        <v>238</v>
      </c>
      <c r="HL3677" s="5" t="s">
        <v>238</v>
      </c>
      <c r="HM3677" s="5" t="s">
        <v>264</v>
      </c>
      <c r="HN3677" s="5" t="s">
        <v>238</v>
      </c>
      <c r="HO3677" s="5" t="s">
        <v>238</v>
      </c>
      <c r="HP3677" s="5" t="s">
        <v>238</v>
      </c>
      <c r="HQ3677" s="5" t="s">
        <v>238</v>
      </c>
      <c r="HR3677" s="5" t="s">
        <v>238</v>
      </c>
      <c r="HS3677" s="5" t="s">
        <v>238</v>
      </c>
      <c r="HT3677" s="5" t="s">
        <v>238</v>
      </c>
      <c r="HU3677" s="5" t="s">
        <v>238</v>
      </c>
      <c r="HV3677" s="5" t="s">
        <v>238</v>
      </c>
      <c r="HW3677" s="5" t="s">
        <v>238</v>
      </c>
      <c r="HX3677" s="5" t="s">
        <v>238</v>
      </c>
      <c r="HY3677" s="5" t="s">
        <v>238</v>
      </c>
      <c r="HZ3677" s="5" t="s">
        <v>238</v>
      </c>
      <c r="IA3677" s="5" t="s">
        <v>238</v>
      </c>
      <c r="IB3677" s="5" t="s">
        <v>238</v>
      </c>
      <c r="IC3677" s="5" t="s">
        <v>238</v>
      </c>
      <c r="ID3677" s="5" t="s">
        <v>238</v>
      </c>
    </row>
    <row r="3678" spans="1:238" x14ac:dyDescent="0.4">
      <c r="A3678" s="5">
        <v>9396</v>
      </c>
      <c r="B3678" s="5">
        <v>1</v>
      </c>
      <c r="C3678" s="5">
        <v>1</v>
      </c>
      <c r="D3678" s="5" t="s">
        <v>484</v>
      </c>
      <c r="E3678" s="5" t="s">
        <v>485</v>
      </c>
      <c r="F3678" s="5" t="s">
        <v>248</v>
      </c>
      <c r="G3678" s="5" t="s">
        <v>5006</v>
      </c>
      <c r="H3678" s="6" t="s">
        <v>5008</v>
      </c>
      <c r="I3678" s="8">
        <f>1</f>
        <v>1</v>
      </c>
      <c r="J3678" s="5" t="s">
        <v>499</v>
      </c>
      <c r="K3678" s="8">
        <f>1</f>
        <v>1</v>
      </c>
      <c r="L3678" s="6" t="s">
        <v>242</v>
      </c>
      <c r="M3678" s="5" t="s">
        <v>267</v>
      </c>
      <c r="N3678" s="5" t="s">
        <v>482</v>
      </c>
      <c r="O3678" s="5" t="s">
        <v>238</v>
      </c>
      <c r="P3678" s="5" t="s">
        <v>238</v>
      </c>
      <c r="Q3678" s="5" t="s">
        <v>239</v>
      </c>
      <c r="R3678" s="5" t="s">
        <v>270</v>
      </c>
      <c r="S3678" s="5" t="s">
        <v>238</v>
      </c>
      <c r="T3678" s="5" t="s">
        <v>238</v>
      </c>
      <c r="U3678" s="5" t="s">
        <v>238</v>
      </c>
      <c r="V3678" s="5" t="s">
        <v>238</v>
      </c>
      <c r="W3678" s="6" t="s">
        <v>238</v>
      </c>
      <c r="X3678" s="6" t="s">
        <v>238</v>
      </c>
      <c r="Y3678" s="5" t="s">
        <v>238</v>
      </c>
      <c r="Z3678" s="6" t="s">
        <v>238</v>
      </c>
      <c r="AA3678" s="6" t="s">
        <v>243</v>
      </c>
      <c r="AB3678" s="5" t="s">
        <v>5007</v>
      </c>
      <c r="AC3678" s="5" t="s">
        <v>244</v>
      </c>
      <c r="AD3678" s="5" t="s">
        <v>245</v>
      </c>
      <c r="AE3678" s="5" t="s">
        <v>238</v>
      </c>
      <c r="AF3678" s="5" t="s">
        <v>238</v>
      </c>
      <c r="AG3678" s="5" t="s">
        <v>238</v>
      </c>
      <c r="AH3678" s="5" t="s">
        <v>238</v>
      </c>
      <c r="AI3678" s="5" t="s">
        <v>238</v>
      </c>
      <c r="AJ3678" s="5" t="s">
        <v>238</v>
      </c>
      <c r="AK3678" s="5" t="s">
        <v>238</v>
      </c>
      <c r="AL3678" s="5" t="s">
        <v>238</v>
      </c>
      <c r="AM3678" s="6" t="s">
        <v>238</v>
      </c>
      <c r="AN3678" s="6" t="s">
        <v>238</v>
      </c>
      <c r="AO3678" s="6" t="s">
        <v>238</v>
      </c>
      <c r="AP3678" s="6" t="s">
        <v>238</v>
      </c>
      <c r="AQ3678" s="5" t="s">
        <v>238</v>
      </c>
      <c r="AR3678" s="5" t="s">
        <v>488</v>
      </c>
      <c r="AS3678" s="5" t="s">
        <v>488</v>
      </c>
      <c r="AT3678" s="5" t="s">
        <v>246</v>
      </c>
      <c r="AU3678" s="5" t="s">
        <v>489</v>
      </c>
      <c r="AV3678" s="5" t="s">
        <v>247</v>
      </c>
      <c r="AW3678" s="5" t="s">
        <v>238</v>
      </c>
      <c r="AX3678" s="5" t="s">
        <v>249</v>
      </c>
      <c r="AY3678" s="5" t="s">
        <v>490</v>
      </c>
      <c r="BA3678" s="5" t="s">
        <v>238</v>
      </c>
      <c r="BC3678" s="5" t="s">
        <v>491</v>
      </c>
      <c r="BD3678" s="6" t="s">
        <v>492</v>
      </c>
      <c r="BE3678" s="5" t="s">
        <v>493</v>
      </c>
      <c r="BF3678" s="5" t="s">
        <v>493</v>
      </c>
      <c r="BG3678" s="5" t="s">
        <v>238</v>
      </c>
      <c r="BH3678" s="8">
        <f>1</f>
        <v>1</v>
      </c>
      <c r="BI3678" s="8">
        <f>1</f>
        <v>1</v>
      </c>
      <c r="BJ3678" s="5" t="s">
        <v>253</v>
      </c>
      <c r="BK3678" s="5" t="s">
        <v>254</v>
      </c>
      <c r="BL3678" s="5" t="s">
        <v>238</v>
      </c>
      <c r="BM3678" s="5" t="s">
        <v>238</v>
      </c>
      <c r="BN3678" s="5" t="s">
        <v>238</v>
      </c>
      <c r="BO3678" s="5" t="s">
        <v>238</v>
      </c>
      <c r="BP3678" s="5" t="s">
        <v>238</v>
      </c>
      <c r="BQ3678" s="5" t="s">
        <v>238</v>
      </c>
      <c r="BR3678" s="5" t="s">
        <v>238</v>
      </c>
      <c r="BS3678" s="5" t="s">
        <v>238</v>
      </c>
      <c r="BT3678" s="6" t="s">
        <v>238</v>
      </c>
      <c r="BU3678" s="5" t="s">
        <v>238</v>
      </c>
      <c r="BV3678" s="5" t="s">
        <v>238</v>
      </c>
      <c r="BW3678" s="5" t="s">
        <v>238</v>
      </c>
      <c r="BX3678" s="5" t="s">
        <v>254</v>
      </c>
      <c r="BY3678" s="5" t="s">
        <v>238</v>
      </c>
      <c r="BZ3678" s="5" t="s">
        <v>238</v>
      </c>
      <c r="CA3678" s="5" t="s">
        <v>238</v>
      </c>
      <c r="CB3678" s="5" t="s">
        <v>238</v>
      </c>
      <c r="CC3678" s="5" t="s">
        <v>238</v>
      </c>
      <c r="CD3678" s="5" t="s">
        <v>273</v>
      </c>
      <c r="CE3678" s="5" t="s">
        <v>256</v>
      </c>
      <c r="CF3678" s="5" t="s">
        <v>238</v>
      </c>
      <c r="CH3678" s="5" t="s">
        <v>494</v>
      </c>
      <c r="CI3678" s="6" t="s">
        <v>257</v>
      </c>
      <c r="CJ3678" s="5" t="s">
        <v>495</v>
      </c>
      <c r="CK3678" s="5" t="s">
        <v>258</v>
      </c>
      <c r="CL3678" s="5" t="s">
        <v>496</v>
      </c>
      <c r="CM3678" s="5" t="s">
        <v>238</v>
      </c>
      <c r="CN3678" s="5">
        <v>0</v>
      </c>
      <c r="CO3678" s="5" t="s">
        <v>497</v>
      </c>
      <c r="CP3678" s="5" t="s">
        <v>260</v>
      </c>
      <c r="CQ3678" s="5" t="s">
        <v>260</v>
      </c>
      <c r="CR3678" s="5" t="s">
        <v>261</v>
      </c>
      <c r="CS3678" s="5" t="s">
        <v>498</v>
      </c>
      <c r="CT3678" s="7">
        <f>1</f>
        <v>1</v>
      </c>
      <c r="CU3678" s="8">
        <f>1</f>
        <v>1</v>
      </c>
      <c r="CV3678" s="8">
        <f>0</f>
        <v>0</v>
      </c>
      <c r="CX3678" s="8">
        <f>1</f>
        <v>1</v>
      </c>
      <c r="CY3678" s="8">
        <f>1</f>
        <v>1</v>
      </c>
      <c r="CZ3678" s="8" t="s">
        <v>238</v>
      </c>
      <c r="DA3678" s="5" t="s">
        <v>238</v>
      </c>
      <c r="DB3678" s="5" t="s">
        <v>238</v>
      </c>
      <c r="DC3678" s="5" t="s">
        <v>238</v>
      </c>
      <c r="DD3678" s="5" t="s">
        <v>238</v>
      </c>
      <c r="DE3678" s="8">
        <f>0</f>
        <v>0</v>
      </c>
      <c r="DG3678" s="5" t="s">
        <v>238</v>
      </c>
      <c r="DH3678" s="5" t="s">
        <v>238</v>
      </c>
      <c r="DI3678" s="5" t="s">
        <v>238</v>
      </c>
      <c r="DJ3678" s="5" t="s">
        <v>238</v>
      </c>
      <c r="DK3678" s="5" t="s">
        <v>238</v>
      </c>
      <c r="DL3678" s="5" t="s">
        <v>238</v>
      </c>
      <c r="DM3678" s="8" t="s">
        <v>238</v>
      </c>
      <c r="DN3678" s="5" t="s">
        <v>238</v>
      </c>
      <c r="DO3678" s="5" t="s">
        <v>238</v>
      </c>
      <c r="DP3678" s="5" t="s">
        <v>490</v>
      </c>
      <c r="DQ3678" s="5" t="s">
        <v>490</v>
      </c>
      <c r="DR3678" s="5" t="s">
        <v>238</v>
      </c>
      <c r="DS3678" s="5" t="s">
        <v>238</v>
      </c>
      <c r="DT3678" s="5" t="s">
        <v>500</v>
      </c>
      <c r="DU3678" s="5" t="s">
        <v>681</v>
      </c>
      <c r="DV3678" s="5" t="s">
        <v>238</v>
      </c>
      <c r="DW3678" s="5" t="s">
        <v>238</v>
      </c>
      <c r="DX3678" s="5" t="s">
        <v>238</v>
      </c>
      <c r="DY3678" s="5" t="s">
        <v>238</v>
      </c>
      <c r="DZ3678" s="5" t="s">
        <v>238</v>
      </c>
      <c r="EA3678" s="5" t="s">
        <v>238</v>
      </c>
      <c r="EB3678" s="5" t="s">
        <v>238</v>
      </c>
      <c r="EC3678" s="5" t="s">
        <v>238</v>
      </c>
      <c r="ED3678" s="5" t="s">
        <v>238</v>
      </c>
      <c r="EE3678" s="5" t="s">
        <v>238</v>
      </c>
      <c r="EF3678" s="5" t="s">
        <v>238</v>
      </c>
      <c r="EG3678" s="5" t="s">
        <v>238</v>
      </c>
      <c r="EH3678" s="5" t="s">
        <v>238</v>
      </c>
      <c r="EI3678" s="5" t="s">
        <v>238</v>
      </c>
      <c r="EJ3678" s="5" t="s">
        <v>238</v>
      </c>
      <c r="EK3678" s="5" t="s">
        <v>238</v>
      </c>
      <c r="EL3678" s="5" t="s">
        <v>238</v>
      </c>
      <c r="EM3678" s="5" t="s">
        <v>238</v>
      </c>
      <c r="EN3678" s="5" t="s">
        <v>238</v>
      </c>
      <c r="EO3678" s="5" t="s">
        <v>238</v>
      </c>
      <c r="EP3678" s="5" t="s">
        <v>238</v>
      </c>
      <c r="EQ3678" s="5" t="s">
        <v>238</v>
      </c>
      <c r="ER3678" s="5" t="s">
        <v>238</v>
      </c>
      <c r="ES3678" s="5" t="s">
        <v>238</v>
      </c>
      <c r="ET3678" s="5" t="s">
        <v>238</v>
      </c>
      <c r="EU3678" s="5" t="s">
        <v>238</v>
      </c>
      <c r="EV3678" s="5" t="s">
        <v>238</v>
      </c>
      <c r="EW3678" s="5" t="s">
        <v>238</v>
      </c>
      <c r="EX3678" s="5" t="s">
        <v>238</v>
      </c>
      <c r="EY3678" s="5" t="s">
        <v>238</v>
      </c>
      <c r="EZ3678" s="5" t="s">
        <v>238</v>
      </c>
      <c r="FA3678" s="5" t="s">
        <v>238</v>
      </c>
      <c r="FB3678" s="5" t="s">
        <v>238</v>
      </c>
      <c r="FC3678" s="5" t="s">
        <v>238</v>
      </c>
      <c r="FD3678" s="5" t="s">
        <v>238</v>
      </c>
      <c r="FE3678" s="5" t="s">
        <v>238</v>
      </c>
      <c r="FF3678" s="5" t="s">
        <v>238</v>
      </c>
      <c r="FG3678" s="5" t="s">
        <v>238</v>
      </c>
      <c r="FH3678" s="5" t="s">
        <v>238</v>
      </c>
      <c r="FI3678" s="5" t="s">
        <v>238</v>
      </c>
      <c r="FJ3678" s="5" t="s">
        <v>238</v>
      </c>
      <c r="FK3678" s="5" t="s">
        <v>238</v>
      </c>
      <c r="FL3678" s="5" t="s">
        <v>238</v>
      </c>
      <c r="FM3678" s="5" t="s">
        <v>238</v>
      </c>
      <c r="FN3678" s="5" t="s">
        <v>238</v>
      </c>
      <c r="FO3678" s="5" t="s">
        <v>238</v>
      </c>
      <c r="FP3678" s="5" t="s">
        <v>238</v>
      </c>
      <c r="FQ3678" s="5" t="s">
        <v>238</v>
      </c>
      <c r="FR3678" s="5" t="s">
        <v>238</v>
      </c>
      <c r="FS3678" s="5" t="s">
        <v>238</v>
      </c>
      <c r="FT3678" s="5" t="s">
        <v>238</v>
      </c>
      <c r="FU3678" s="5" t="s">
        <v>238</v>
      </c>
      <c r="FV3678" s="5" t="s">
        <v>238</v>
      </c>
      <c r="FW3678" s="5" t="s">
        <v>238</v>
      </c>
      <c r="FX3678" s="5" t="s">
        <v>238</v>
      </c>
      <c r="FY3678" s="5" t="s">
        <v>238</v>
      </c>
      <c r="FZ3678" s="5" t="s">
        <v>238</v>
      </c>
      <c r="GA3678" s="5" t="s">
        <v>238</v>
      </c>
      <c r="GB3678" s="5" t="s">
        <v>238</v>
      </c>
      <c r="GC3678" s="5" t="s">
        <v>238</v>
      </c>
      <c r="GD3678" s="5" t="s">
        <v>238</v>
      </c>
      <c r="GE3678" s="5" t="s">
        <v>238</v>
      </c>
      <c r="GF3678" s="5" t="s">
        <v>238</v>
      </c>
      <c r="GG3678" s="5" t="s">
        <v>238</v>
      </c>
      <c r="GH3678" s="5" t="s">
        <v>238</v>
      </c>
      <c r="GI3678" s="5" t="s">
        <v>238</v>
      </c>
      <c r="GJ3678" s="5" t="s">
        <v>238</v>
      </c>
      <c r="GK3678" s="5" t="s">
        <v>238</v>
      </c>
      <c r="GL3678" s="5" t="s">
        <v>238</v>
      </c>
      <c r="GM3678" s="5" t="s">
        <v>238</v>
      </c>
      <c r="GN3678" s="5" t="s">
        <v>238</v>
      </c>
      <c r="GO3678" s="5" t="s">
        <v>238</v>
      </c>
      <c r="GP3678" s="5" t="s">
        <v>238</v>
      </c>
      <c r="GQ3678" s="5" t="s">
        <v>238</v>
      </c>
      <c r="GR3678" s="5" t="s">
        <v>238</v>
      </c>
      <c r="GS3678" s="5" t="s">
        <v>238</v>
      </c>
      <c r="GT3678" s="5" t="s">
        <v>238</v>
      </c>
      <c r="GU3678" s="5" t="s">
        <v>238</v>
      </c>
      <c r="GV3678" s="5" t="s">
        <v>238</v>
      </c>
      <c r="GW3678" s="5" t="s">
        <v>238</v>
      </c>
      <c r="GX3678" s="5" t="s">
        <v>238</v>
      </c>
      <c r="GY3678" s="5" t="s">
        <v>238</v>
      </c>
      <c r="GZ3678" s="5" t="s">
        <v>238</v>
      </c>
      <c r="HA3678" s="5" t="s">
        <v>238</v>
      </c>
      <c r="HB3678" s="5" t="s">
        <v>238</v>
      </c>
      <c r="HC3678" s="5" t="s">
        <v>238</v>
      </c>
      <c r="HD3678" s="5" t="s">
        <v>238</v>
      </c>
      <c r="HE3678" s="5" t="s">
        <v>238</v>
      </c>
      <c r="HF3678" s="5" t="s">
        <v>238</v>
      </c>
      <c r="HG3678" s="5" t="s">
        <v>238</v>
      </c>
      <c r="HH3678" s="5" t="s">
        <v>238</v>
      </c>
      <c r="HI3678" s="5" t="s">
        <v>238</v>
      </c>
      <c r="HJ3678" s="5" t="s">
        <v>238</v>
      </c>
      <c r="HK3678" s="5" t="s">
        <v>238</v>
      </c>
      <c r="HL3678" s="5" t="s">
        <v>238</v>
      </c>
      <c r="HM3678" s="5" t="s">
        <v>264</v>
      </c>
      <c r="HN3678" s="5" t="s">
        <v>238</v>
      </c>
      <c r="HO3678" s="5" t="s">
        <v>238</v>
      </c>
      <c r="HP3678" s="5" t="s">
        <v>238</v>
      </c>
      <c r="HQ3678" s="5" t="s">
        <v>238</v>
      </c>
      <c r="HR3678" s="5" t="s">
        <v>238</v>
      </c>
      <c r="HS3678" s="5" t="s">
        <v>238</v>
      </c>
      <c r="HT3678" s="5" t="s">
        <v>238</v>
      </c>
      <c r="HU3678" s="5" t="s">
        <v>238</v>
      </c>
      <c r="HV3678" s="5" t="s">
        <v>238</v>
      </c>
      <c r="HW3678" s="5" t="s">
        <v>238</v>
      </c>
      <c r="HX3678" s="5" t="s">
        <v>238</v>
      </c>
      <c r="HY3678" s="5" t="s">
        <v>238</v>
      </c>
      <c r="HZ3678" s="5" t="s">
        <v>238</v>
      </c>
      <c r="IA3678" s="5" t="s">
        <v>238</v>
      </c>
      <c r="IB3678" s="5" t="s">
        <v>238</v>
      </c>
      <c r="IC3678" s="5" t="s">
        <v>238</v>
      </c>
      <c r="ID3678" s="5" t="s">
        <v>238</v>
      </c>
    </row>
    <row r="3679" spans="1:238" x14ac:dyDescent="0.4">
      <c r="A3679" s="5">
        <v>9397</v>
      </c>
      <c r="B3679" s="5">
        <v>1</v>
      </c>
      <c r="C3679" s="5">
        <v>1</v>
      </c>
      <c r="D3679" s="5" t="s">
        <v>484</v>
      </c>
      <c r="E3679" s="5" t="s">
        <v>485</v>
      </c>
      <c r="F3679" s="5" t="s">
        <v>248</v>
      </c>
      <c r="G3679" s="5" t="s">
        <v>4980</v>
      </c>
      <c r="H3679" s="6" t="s">
        <v>4982</v>
      </c>
      <c r="I3679" s="8">
        <f>1</f>
        <v>1</v>
      </c>
      <c r="J3679" s="5" t="s">
        <v>499</v>
      </c>
      <c r="K3679" s="8">
        <f>1</f>
        <v>1</v>
      </c>
      <c r="L3679" s="6" t="s">
        <v>242</v>
      </c>
      <c r="M3679" s="5" t="s">
        <v>267</v>
      </c>
      <c r="N3679" s="5" t="s">
        <v>482</v>
      </c>
      <c r="O3679" s="5" t="s">
        <v>238</v>
      </c>
      <c r="P3679" s="5" t="s">
        <v>238</v>
      </c>
      <c r="Q3679" s="5" t="s">
        <v>239</v>
      </c>
      <c r="R3679" s="5" t="s">
        <v>270</v>
      </c>
      <c r="S3679" s="5" t="s">
        <v>238</v>
      </c>
      <c r="T3679" s="5" t="s">
        <v>238</v>
      </c>
      <c r="U3679" s="5" t="s">
        <v>238</v>
      </c>
      <c r="V3679" s="5" t="s">
        <v>238</v>
      </c>
      <c r="W3679" s="6" t="s">
        <v>238</v>
      </c>
      <c r="X3679" s="6" t="s">
        <v>238</v>
      </c>
      <c r="Y3679" s="5" t="s">
        <v>238</v>
      </c>
      <c r="Z3679" s="6" t="s">
        <v>238</v>
      </c>
      <c r="AA3679" s="6" t="s">
        <v>243</v>
      </c>
      <c r="AB3679" s="5" t="s">
        <v>4981</v>
      </c>
      <c r="AC3679" s="5" t="s">
        <v>244</v>
      </c>
      <c r="AD3679" s="5" t="s">
        <v>245</v>
      </c>
      <c r="AE3679" s="5" t="s">
        <v>238</v>
      </c>
      <c r="AF3679" s="5" t="s">
        <v>238</v>
      </c>
      <c r="AG3679" s="5" t="s">
        <v>238</v>
      </c>
      <c r="AH3679" s="5" t="s">
        <v>238</v>
      </c>
      <c r="AI3679" s="5" t="s">
        <v>238</v>
      </c>
      <c r="AJ3679" s="5" t="s">
        <v>238</v>
      </c>
      <c r="AK3679" s="5" t="s">
        <v>238</v>
      </c>
      <c r="AL3679" s="5" t="s">
        <v>238</v>
      </c>
      <c r="AM3679" s="6" t="s">
        <v>238</v>
      </c>
      <c r="AN3679" s="6" t="s">
        <v>238</v>
      </c>
      <c r="AO3679" s="6" t="s">
        <v>238</v>
      </c>
      <c r="AP3679" s="6" t="s">
        <v>238</v>
      </c>
      <c r="AQ3679" s="5" t="s">
        <v>238</v>
      </c>
      <c r="AR3679" s="5" t="s">
        <v>488</v>
      </c>
      <c r="AS3679" s="5" t="s">
        <v>488</v>
      </c>
      <c r="AT3679" s="5" t="s">
        <v>246</v>
      </c>
      <c r="AU3679" s="5" t="s">
        <v>489</v>
      </c>
      <c r="AV3679" s="5" t="s">
        <v>247</v>
      </c>
      <c r="AW3679" s="5" t="s">
        <v>238</v>
      </c>
      <c r="AX3679" s="5" t="s">
        <v>249</v>
      </c>
      <c r="AY3679" s="5" t="s">
        <v>490</v>
      </c>
      <c r="BA3679" s="5" t="s">
        <v>238</v>
      </c>
      <c r="BC3679" s="5" t="s">
        <v>491</v>
      </c>
      <c r="BD3679" s="6" t="s">
        <v>492</v>
      </c>
      <c r="BE3679" s="5" t="s">
        <v>493</v>
      </c>
      <c r="BF3679" s="5" t="s">
        <v>493</v>
      </c>
      <c r="BG3679" s="5" t="s">
        <v>238</v>
      </c>
      <c r="BH3679" s="8">
        <f>1</f>
        <v>1</v>
      </c>
      <c r="BI3679" s="8">
        <f>1</f>
        <v>1</v>
      </c>
      <c r="BJ3679" s="5" t="s">
        <v>253</v>
      </c>
      <c r="BK3679" s="5" t="s">
        <v>254</v>
      </c>
      <c r="BL3679" s="5" t="s">
        <v>238</v>
      </c>
      <c r="BM3679" s="5" t="s">
        <v>238</v>
      </c>
      <c r="BN3679" s="5" t="s">
        <v>238</v>
      </c>
      <c r="BO3679" s="5" t="s">
        <v>238</v>
      </c>
      <c r="BP3679" s="5" t="s">
        <v>238</v>
      </c>
      <c r="BQ3679" s="5" t="s">
        <v>238</v>
      </c>
      <c r="BR3679" s="5" t="s">
        <v>238</v>
      </c>
      <c r="BS3679" s="5" t="s">
        <v>238</v>
      </c>
      <c r="BT3679" s="6" t="s">
        <v>238</v>
      </c>
      <c r="BU3679" s="5" t="s">
        <v>238</v>
      </c>
      <c r="BV3679" s="5" t="s">
        <v>238</v>
      </c>
      <c r="BW3679" s="5" t="s">
        <v>238</v>
      </c>
      <c r="BX3679" s="5" t="s">
        <v>254</v>
      </c>
      <c r="BY3679" s="5" t="s">
        <v>238</v>
      </c>
      <c r="BZ3679" s="5" t="s">
        <v>238</v>
      </c>
      <c r="CA3679" s="5" t="s">
        <v>238</v>
      </c>
      <c r="CB3679" s="5" t="s">
        <v>238</v>
      </c>
      <c r="CC3679" s="5" t="s">
        <v>238</v>
      </c>
      <c r="CD3679" s="5" t="s">
        <v>273</v>
      </c>
      <c r="CE3679" s="5" t="s">
        <v>256</v>
      </c>
      <c r="CF3679" s="5" t="s">
        <v>238</v>
      </c>
      <c r="CH3679" s="5" t="s">
        <v>494</v>
      </c>
      <c r="CI3679" s="6" t="s">
        <v>257</v>
      </c>
      <c r="CJ3679" s="5" t="s">
        <v>495</v>
      </c>
      <c r="CK3679" s="5" t="s">
        <v>258</v>
      </c>
      <c r="CL3679" s="5" t="s">
        <v>496</v>
      </c>
      <c r="CM3679" s="5" t="s">
        <v>238</v>
      </c>
      <c r="CN3679" s="5">
        <v>0</v>
      </c>
      <c r="CO3679" s="5" t="s">
        <v>497</v>
      </c>
      <c r="CP3679" s="5" t="s">
        <v>260</v>
      </c>
      <c r="CQ3679" s="5" t="s">
        <v>260</v>
      </c>
      <c r="CR3679" s="5" t="s">
        <v>261</v>
      </c>
      <c r="CS3679" s="5" t="s">
        <v>498</v>
      </c>
      <c r="CT3679" s="7">
        <f>1</f>
        <v>1</v>
      </c>
      <c r="CU3679" s="8">
        <f>1</f>
        <v>1</v>
      </c>
      <c r="CV3679" s="8">
        <f>0</f>
        <v>0</v>
      </c>
      <c r="CX3679" s="8">
        <f>1</f>
        <v>1</v>
      </c>
      <c r="CY3679" s="8">
        <f>1</f>
        <v>1</v>
      </c>
      <c r="CZ3679" s="8" t="s">
        <v>238</v>
      </c>
      <c r="DA3679" s="5" t="s">
        <v>238</v>
      </c>
      <c r="DB3679" s="5" t="s">
        <v>238</v>
      </c>
      <c r="DC3679" s="5" t="s">
        <v>238</v>
      </c>
      <c r="DD3679" s="5" t="s">
        <v>238</v>
      </c>
      <c r="DE3679" s="8">
        <f>0</f>
        <v>0</v>
      </c>
      <c r="DG3679" s="5" t="s">
        <v>238</v>
      </c>
      <c r="DH3679" s="5" t="s">
        <v>238</v>
      </c>
      <c r="DI3679" s="5" t="s">
        <v>238</v>
      </c>
      <c r="DJ3679" s="5" t="s">
        <v>238</v>
      </c>
      <c r="DK3679" s="5" t="s">
        <v>238</v>
      </c>
      <c r="DL3679" s="5" t="s">
        <v>238</v>
      </c>
      <c r="DM3679" s="8" t="s">
        <v>238</v>
      </c>
      <c r="DN3679" s="5" t="s">
        <v>238</v>
      </c>
      <c r="DO3679" s="5" t="s">
        <v>238</v>
      </c>
      <c r="DP3679" s="5" t="s">
        <v>490</v>
      </c>
      <c r="DQ3679" s="5" t="s">
        <v>490</v>
      </c>
      <c r="DR3679" s="5" t="s">
        <v>238</v>
      </c>
      <c r="DS3679" s="5" t="s">
        <v>238</v>
      </c>
      <c r="DT3679" s="5" t="s">
        <v>500</v>
      </c>
      <c r="DU3679" s="5" t="s">
        <v>1523</v>
      </c>
      <c r="DV3679" s="5" t="s">
        <v>238</v>
      </c>
      <c r="DW3679" s="5" t="s">
        <v>238</v>
      </c>
      <c r="DX3679" s="5" t="s">
        <v>238</v>
      </c>
      <c r="DY3679" s="5" t="s">
        <v>238</v>
      </c>
      <c r="DZ3679" s="5" t="s">
        <v>238</v>
      </c>
      <c r="EA3679" s="5" t="s">
        <v>238</v>
      </c>
      <c r="EB3679" s="5" t="s">
        <v>238</v>
      </c>
      <c r="EC3679" s="5" t="s">
        <v>238</v>
      </c>
      <c r="ED3679" s="5" t="s">
        <v>238</v>
      </c>
      <c r="EE3679" s="5" t="s">
        <v>238</v>
      </c>
      <c r="EF3679" s="5" t="s">
        <v>238</v>
      </c>
      <c r="EG3679" s="5" t="s">
        <v>238</v>
      </c>
      <c r="EH3679" s="5" t="s">
        <v>238</v>
      </c>
      <c r="EI3679" s="5" t="s">
        <v>238</v>
      </c>
      <c r="EJ3679" s="5" t="s">
        <v>238</v>
      </c>
      <c r="EK3679" s="5" t="s">
        <v>238</v>
      </c>
      <c r="EL3679" s="5" t="s">
        <v>238</v>
      </c>
      <c r="EM3679" s="5" t="s">
        <v>238</v>
      </c>
      <c r="EN3679" s="5" t="s">
        <v>238</v>
      </c>
      <c r="EO3679" s="5" t="s">
        <v>238</v>
      </c>
      <c r="EP3679" s="5" t="s">
        <v>238</v>
      </c>
      <c r="EQ3679" s="5" t="s">
        <v>238</v>
      </c>
      <c r="ER3679" s="5" t="s">
        <v>238</v>
      </c>
      <c r="ES3679" s="5" t="s">
        <v>238</v>
      </c>
      <c r="ET3679" s="5" t="s">
        <v>238</v>
      </c>
      <c r="EU3679" s="5" t="s">
        <v>238</v>
      </c>
      <c r="EV3679" s="5" t="s">
        <v>238</v>
      </c>
      <c r="EW3679" s="5" t="s">
        <v>238</v>
      </c>
      <c r="EX3679" s="5" t="s">
        <v>238</v>
      </c>
      <c r="EY3679" s="5" t="s">
        <v>238</v>
      </c>
      <c r="EZ3679" s="5" t="s">
        <v>238</v>
      </c>
      <c r="FA3679" s="5" t="s">
        <v>238</v>
      </c>
      <c r="FB3679" s="5" t="s">
        <v>238</v>
      </c>
      <c r="FC3679" s="5" t="s">
        <v>238</v>
      </c>
      <c r="FD3679" s="5" t="s">
        <v>238</v>
      </c>
      <c r="FE3679" s="5" t="s">
        <v>238</v>
      </c>
      <c r="FF3679" s="5" t="s">
        <v>238</v>
      </c>
      <c r="FG3679" s="5" t="s">
        <v>238</v>
      </c>
      <c r="FH3679" s="5" t="s">
        <v>238</v>
      </c>
      <c r="FI3679" s="5" t="s">
        <v>238</v>
      </c>
      <c r="FJ3679" s="5" t="s">
        <v>238</v>
      </c>
      <c r="FK3679" s="5" t="s">
        <v>238</v>
      </c>
      <c r="FL3679" s="5" t="s">
        <v>238</v>
      </c>
      <c r="FM3679" s="5" t="s">
        <v>238</v>
      </c>
      <c r="FN3679" s="5" t="s">
        <v>238</v>
      </c>
      <c r="FO3679" s="5" t="s">
        <v>238</v>
      </c>
      <c r="FP3679" s="5" t="s">
        <v>238</v>
      </c>
      <c r="FQ3679" s="5" t="s">
        <v>238</v>
      </c>
      <c r="FR3679" s="5" t="s">
        <v>238</v>
      </c>
      <c r="FS3679" s="5" t="s">
        <v>238</v>
      </c>
      <c r="FT3679" s="5" t="s">
        <v>238</v>
      </c>
      <c r="FU3679" s="5" t="s">
        <v>238</v>
      </c>
      <c r="FV3679" s="5" t="s">
        <v>238</v>
      </c>
      <c r="FW3679" s="5" t="s">
        <v>238</v>
      </c>
      <c r="FX3679" s="5" t="s">
        <v>238</v>
      </c>
      <c r="FY3679" s="5" t="s">
        <v>238</v>
      </c>
      <c r="FZ3679" s="5" t="s">
        <v>238</v>
      </c>
      <c r="GA3679" s="5" t="s">
        <v>238</v>
      </c>
      <c r="GB3679" s="5" t="s">
        <v>238</v>
      </c>
      <c r="GC3679" s="5" t="s">
        <v>238</v>
      </c>
      <c r="GD3679" s="5" t="s">
        <v>238</v>
      </c>
      <c r="GE3679" s="5" t="s">
        <v>238</v>
      </c>
      <c r="GF3679" s="5" t="s">
        <v>238</v>
      </c>
      <c r="GG3679" s="5" t="s">
        <v>238</v>
      </c>
      <c r="GH3679" s="5" t="s">
        <v>238</v>
      </c>
      <c r="GI3679" s="5" t="s">
        <v>238</v>
      </c>
      <c r="GJ3679" s="5" t="s">
        <v>238</v>
      </c>
      <c r="GK3679" s="5" t="s">
        <v>238</v>
      </c>
      <c r="GL3679" s="5" t="s">
        <v>238</v>
      </c>
      <c r="GM3679" s="5" t="s">
        <v>238</v>
      </c>
      <c r="GN3679" s="5" t="s">
        <v>238</v>
      </c>
      <c r="GO3679" s="5" t="s">
        <v>238</v>
      </c>
      <c r="GP3679" s="5" t="s">
        <v>238</v>
      </c>
      <c r="GQ3679" s="5" t="s">
        <v>238</v>
      </c>
      <c r="GR3679" s="5" t="s">
        <v>238</v>
      </c>
      <c r="GS3679" s="5" t="s">
        <v>238</v>
      </c>
      <c r="GT3679" s="5" t="s">
        <v>238</v>
      </c>
      <c r="GU3679" s="5" t="s">
        <v>238</v>
      </c>
      <c r="GV3679" s="5" t="s">
        <v>238</v>
      </c>
      <c r="GW3679" s="5" t="s">
        <v>238</v>
      </c>
      <c r="GX3679" s="5" t="s">
        <v>238</v>
      </c>
      <c r="GY3679" s="5" t="s">
        <v>238</v>
      </c>
      <c r="GZ3679" s="5" t="s">
        <v>238</v>
      </c>
      <c r="HA3679" s="5" t="s">
        <v>238</v>
      </c>
      <c r="HB3679" s="5" t="s">
        <v>238</v>
      </c>
      <c r="HC3679" s="5" t="s">
        <v>238</v>
      </c>
      <c r="HD3679" s="5" t="s">
        <v>238</v>
      </c>
      <c r="HE3679" s="5" t="s">
        <v>238</v>
      </c>
      <c r="HF3679" s="5" t="s">
        <v>238</v>
      </c>
      <c r="HG3679" s="5" t="s">
        <v>238</v>
      </c>
      <c r="HH3679" s="5" t="s">
        <v>238</v>
      </c>
      <c r="HI3679" s="5" t="s">
        <v>238</v>
      </c>
      <c r="HJ3679" s="5" t="s">
        <v>238</v>
      </c>
      <c r="HK3679" s="5" t="s">
        <v>238</v>
      </c>
      <c r="HL3679" s="5" t="s">
        <v>238</v>
      </c>
      <c r="HM3679" s="5" t="s">
        <v>264</v>
      </c>
      <c r="HN3679" s="5" t="s">
        <v>238</v>
      </c>
      <c r="HO3679" s="5" t="s">
        <v>238</v>
      </c>
      <c r="HP3679" s="5" t="s">
        <v>238</v>
      </c>
      <c r="HQ3679" s="5" t="s">
        <v>238</v>
      </c>
      <c r="HR3679" s="5" t="s">
        <v>238</v>
      </c>
      <c r="HS3679" s="5" t="s">
        <v>238</v>
      </c>
      <c r="HT3679" s="5" t="s">
        <v>238</v>
      </c>
      <c r="HU3679" s="5" t="s">
        <v>238</v>
      </c>
      <c r="HV3679" s="5" t="s">
        <v>238</v>
      </c>
      <c r="HW3679" s="5" t="s">
        <v>238</v>
      </c>
      <c r="HX3679" s="5" t="s">
        <v>238</v>
      </c>
      <c r="HY3679" s="5" t="s">
        <v>238</v>
      </c>
      <c r="HZ3679" s="5" t="s">
        <v>238</v>
      </c>
      <c r="IA3679" s="5" t="s">
        <v>238</v>
      </c>
      <c r="IB3679" s="5" t="s">
        <v>238</v>
      </c>
      <c r="IC3679" s="5" t="s">
        <v>238</v>
      </c>
      <c r="ID3679" s="5" t="s">
        <v>238</v>
      </c>
    </row>
    <row r="3680" spans="1:238" x14ac:dyDescent="0.4">
      <c r="A3680" s="5">
        <v>9398</v>
      </c>
      <c r="B3680" s="5">
        <v>1</v>
      </c>
      <c r="C3680" s="5">
        <v>1</v>
      </c>
      <c r="D3680" s="5" t="s">
        <v>484</v>
      </c>
      <c r="E3680" s="5" t="s">
        <v>485</v>
      </c>
      <c r="F3680" s="5" t="s">
        <v>248</v>
      </c>
      <c r="G3680" s="5" t="s">
        <v>5515</v>
      </c>
      <c r="H3680" s="6" t="s">
        <v>5516</v>
      </c>
      <c r="I3680" s="8">
        <f>1</f>
        <v>1</v>
      </c>
      <c r="J3680" s="5" t="s">
        <v>499</v>
      </c>
      <c r="K3680" s="8">
        <f>1</f>
        <v>1</v>
      </c>
      <c r="L3680" s="6" t="s">
        <v>242</v>
      </c>
      <c r="M3680" s="5" t="s">
        <v>267</v>
      </c>
      <c r="N3680" s="5" t="s">
        <v>482</v>
      </c>
      <c r="O3680" s="5" t="s">
        <v>238</v>
      </c>
      <c r="P3680" s="5" t="s">
        <v>238</v>
      </c>
      <c r="Q3680" s="5" t="s">
        <v>239</v>
      </c>
      <c r="R3680" s="5" t="s">
        <v>270</v>
      </c>
      <c r="S3680" s="5" t="s">
        <v>238</v>
      </c>
      <c r="T3680" s="5" t="s">
        <v>238</v>
      </c>
      <c r="U3680" s="5" t="s">
        <v>238</v>
      </c>
      <c r="V3680" s="5" t="s">
        <v>238</v>
      </c>
      <c r="W3680" s="6" t="s">
        <v>238</v>
      </c>
      <c r="X3680" s="6" t="s">
        <v>238</v>
      </c>
      <c r="Y3680" s="5" t="s">
        <v>238</v>
      </c>
      <c r="Z3680" s="6" t="s">
        <v>238</v>
      </c>
      <c r="AA3680" s="6" t="s">
        <v>243</v>
      </c>
      <c r="AB3680" s="5" t="s">
        <v>486</v>
      </c>
      <c r="AC3680" s="5" t="s">
        <v>244</v>
      </c>
      <c r="AD3680" s="5" t="s">
        <v>245</v>
      </c>
      <c r="AE3680" s="5" t="s">
        <v>238</v>
      </c>
      <c r="AF3680" s="5" t="s">
        <v>238</v>
      </c>
      <c r="AG3680" s="5" t="s">
        <v>238</v>
      </c>
      <c r="AH3680" s="5" t="s">
        <v>238</v>
      </c>
      <c r="AI3680" s="5" t="s">
        <v>238</v>
      </c>
      <c r="AJ3680" s="5" t="s">
        <v>238</v>
      </c>
      <c r="AK3680" s="5" t="s">
        <v>238</v>
      </c>
      <c r="AL3680" s="5" t="s">
        <v>238</v>
      </c>
      <c r="AM3680" s="6" t="s">
        <v>238</v>
      </c>
      <c r="AN3680" s="6" t="s">
        <v>238</v>
      </c>
      <c r="AO3680" s="6" t="s">
        <v>238</v>
      </c>
      <c r="AP3680" s="6" t="s">
        <v>238</v>
      </c>
      <c r="AQ3680" s="5" t="s">
        <v>238</v>
      </c>
      <c r="AR3680" s="5" t="s">
        <v>488</v>
      </c>
      <c r="AS3680" s="5" t="s">
        <v>488</v>
      </c>
      <c r="AT3680" s="5" t="s">
        <v>246</v>
      </c>
      <c r="AU3680" s="5" t="s">
        <v>489</v>
      </c>
      <c r="AV3680" s="5" t="s">
        <v>247</v>
      </c>
      <c r="AW3680" s="5" t="s">
        <v>238</v>
      </c>
      <c r="AX3680" s="5" t="s">
        <v>249</v>
      </c>
      <c r="AY3680" s="5" t="s">
        <v>490</v>
      </c>
      <c r="BA3680" s="5" t="s">
        <v>238</v>
      </c>
      <c r="BC3680" s="5" t="s">
        <v>491</v>
      </c>
      <c r="BD3680" s="6" t="s">
        <v>492</v>
      </c>
      <c r="BE3680" s="5" t="s">
        <v>493</v>
      </c>
      <c r="BF3680" s="5" t="s">
        <v>493</v>
      </c>
      <c r="BG3680" s="5" t="s">
        <v>238</v>
      </c>
      <c r="BH3680" s="8">
        <f>1</f>
        <v>1</v>
      </c>
      <c r="BI3680" s="8">
        <f>1</f>
        <v>1</v>
      </c>
      <c r="BJ3680" s="5" t="s">
        <v>253</v>
      </c>
      <c r="BK3680" s="5" t="s">
        <v>254</v>
      </c>
      <c r="BL3680" s="5" t="s">
        <v>238</v>
      </c>
      <c r="BM3680" s="5" t="s">
        <v>238</v>
      </c>
      <c r="BN3680" s="5" t="s">
        <v>238</v>
      </c>
      <c r="BO3680" s="5" t="s">
        <v>238</v>
      </c>
      <c r="BP3680" s="5" t="s">
        <v>238</v>
      </c>
      <c r="BQ3680" s="5" t="s">
        <v>238</v>
      </c>
      <c r="BR3680" s="5" t="s">
        <v>238</v>
      </c>
      <c r="BS3680" s="5" t="s">
        <v>238</v>
      </c>
      <c r="BT3680" s="6" t="s">
        <v>238</v>
      </c>
      <c r="BU3680" s="5" t="s">
        <v>238</v>
      </c>
      <c r="BV3680" s="5" t="s">
        <v>238</v>
      </c>
      <c r="BW3680" s="5" t="s">
        <v>238</v>
      </c>
      <c r="BX3680" s="5" t="s">
        <v>254</v>
      </c>
      <c r="BY3680" s="5" t="s">
        <v>238</v>
      </c>
      <c r="BZ3680" s="5" t="s">
        <v>238</v>
      </c>
      <c r="CA3680" s="5" t="s">
        <v>238</v>
      </c>
      <c r="CB3680" s="5" t="s">
        <v>238</v>
      </c>
      <c r="CC3680" s="5" t="s">
        <v>238</v>
      </c>
      <c r="CD3680" s="5" t="s">
        <v>273</v>
      </c>
      <c r="CE3680" s="5" t="s">
        <v>256</v>
      </c>
      <c r="CF3680" s="5" t="s">
        <v>238</v>
      </c>
      <c r="CH3680" s="5" t="s">
        <v>494</v>
      </c>
      <c r="CI3680" s="6" t="s">
        <v>257</v>
      </c>
      <c r="CJ3680" s="5" t="s">
        <v>495</v>
      </c>
      <c r="CK3680" s="5" t="s">
        <v>258</v>
      </c>
      <c r="CL3680" s="5" t="s">
        <v>496</v>
      </c>
      <c r="CM3680" s="5" t="s">
        <v>238</v>
      </c>
      <c r="CN3680" s="5">
        <v>0</v>
      </c>
      <c r="CO3680" s="5" t="s">
        <v>497</v>
      </c>
      <c r="CP3680" s="5" t="s">
        <v>260</v>
      </c>
      <c r="CQ3680" s="5" t="s">
        <v>260</v>
      </c>
      <c r="CR3680" s="5" t="s">
        <v>261</v>
      </c>
      <c r="CS3680" s="5" t="s">
        <v>498</v>
      </c>
      <c r="CT3680" s="7">
        <f>1</f>
        <v>1</v>
      </c>
      <c r="CU3680" s="8">
        <f>1</f>
        <v>1</v>
      </c>
      <c r="CV3680" s="8">
        <f>0</f>
        <v>0</v>
      </c>
      <c r="CX3680" s="8">
        <f>1</f>
        <v>1</v>
      </c>
      <c r="CY3680" s="8">
        <f>1</f>
        <v>1</v>
      </c>
      <c r="CZ3680" s="8" t="s">
        <v>238</v>
      </c>
      <c r="DA3680" s="5" t="s">
        <v>238</v>
      </c>
      <c r="DB3680" s="5" t="s">
        <v>238</v>
      </c>
      <c r="DC3680" s="5" t="s">
        <v>238</v>
      </c>
      <c r="DD3680" s="5" t="s">
        <v>238</v>
      </c>
      <c r="DE3680" s="8">
        <f>0</f>
        <v>0</v>
      </c>
      <c r="DG3680" s="5" t="s">
        <v>238</v>
      </c>
      <c r="DH3680" s="5" t="s">
        <v>238</v>
      </c>
      <c r="DI3680" s="5" t="s">
        <v>238</v>
      </c>
      <c r="DJ3680" s="5" t="s">
        <v>238</v>
      </c>
      <c r="DK3680" s="5" t="s">
        <v>238</v>
      </c>
      <c r="DL3680" s="5" t="s">
        <v>238</v>
      </c>
      <c r="DM3680" s="8" t="s">
        <v>238</v>
      </c>
      <c r="DN3680" s="5" t="s">
        <v>238</v>
      </c>
      <c r="DO3680" s="5" t="s">
        <v>238</v>
      </c>
      <c r="DP3680" s="5" t="s">
        <v>490</v>
      </c>
      <c r="DQ3680" s="5" t="s">
        <v>490</v>
      </c>
      <c r="DR3680" s="5" t="s">
        <v>238</v>
      </c>
      <c r="DS3680" s="5" t="s">
        <v>238</v>
      </c>
      <c r="DT3680" s="5" t="s">
        <v>500</v>
      </c>
      <c r="DU3680" s="5" t="s">
        <v>658</v>
      </c>
      <c r="DV3680" s="5" t="s">
        <v>238</v>
      </c>
      <c r="DW3680" s="5" t="s">
        <v>238</v>
      </c>
      <c r="DX3680" s="5" t="s">
        <v>238</v>
      </c>
      <c r="DY3680" s="5" t="s">
        <v>238</v>
      </c>
      <c r="DZ3680" s="5" t="s">
        <v>238</v>
      </c>
      <c r="EA3680" s="5" t="s">
        <v>238</v>
      </c>
      <c r="EB3680" s="5" t="s">
        <v>238</v>
      </c>
      <c r="EC3680" s="5" t="s">
        <v>238</v>
      </c>
      <c r="ED3680" s="5" t="s">
        <v>238</v>
      </c>
      <c r="EE3680" s="5" t="s">
        <v>238</v>
      </c>
      <c r="EF3680" s="5" t="s">
        <v>238</v>
      </c>
      <c r="EG3680" s="5" t="s">
        <v>238</v>
      </c>
      <c r="EH3680" s="5" t="s">
        <v>238</v>
      </c>
      <c r="EI3680" s="5" t="s">
        <v>238</v>
      </c>
      <c r="EJ3680" s="5" t="s">
        <v>238</v>
      </c>
      <c r="EK3680" s="5" t="s">
        <v>238</v>
      </c>
      <c r="EL3680" s="5" t="s">
        <v>238</v>
      </c>
      <c r="EM3680" s="5" t="s">
        <v>238</v>
      </c>
      <c r="EN3680" s="5" t="s">
        <v>238</v>
      </c>
      <c r="EO3680" s="5" t="s">
        <v>238</v>
      </c>
      <c r="EP3680" s="5" t="s">
        <v>238</v>
      </c>
      <c r="EQ3680" s="5" t="s">
        <v>238</v>
      </c>
      <c r="ER3680" s="5" t="s">
        <v>238</v>
      </c>
      <c r="ES3680" s="5" t="s">
        <v>238</v>
      </c>
      <c r="ET3680" s="5" t="s">
        <v>238</v>
      </c>
      <c r="EU3680" s="5" t="s">
        <v>238</v>
      </c>
      <c r="EV3680" s="5" t="s">
        <v>238</v>
      </c>
      <c r="EW3680" s="5" t="s">
        <v>238</v>
      </c>
      <c r="EX3680" s="5" t="s">
        <v>238</v>
      </c>
      <c r="EY3680" s="5" t="s">
        <v>238</v>
      </c>
      <c r="EZ3680" s="5" t="s">
        <v>238</v>
      </c>
      <c r="FA3680" s="5" t="s">
        <v>238</v>
      </c>
      <c r="FB3680" s="5" t="s">
        <v>238</v>
      </c>
      <c r="FC3680" s="5" t="s">
        <v>238</v>
      </c>
      <c r="FD3680" s="5" t="s">
        <v>238</v>
      </c>
      <c r="FE3680" s="5" t="s">
        <v>238</v>
      </c>
      <c r="FF3680" s="5" t="s">
        <v>238</v>
      </c>
      <c r="FG3680" s="5" t="s">
        <v>238</v>
      </c>
      <c r="FH3680" s="5" t="s">
        <v>238</v>
      </c>
      <c r="FI3680" s="5" t="s">
        <v>238</v>
      </c>
      <c r="FJ3680" s="5" t="s">
        <v>238</v>
      </c>
      <c r="FK3680" s="5" t="s">
        <v>238</v>
      </c>
      <c r="FL3680" s="5" t="s">
        <v>238</v>
      </c>
      <c r="FM3680" s="5" t="s">
        <v>238</v>
      </c>
      <c r="FN3680" s="5" t="s">
        <v>238</v>
      </c>
      <c r="FO3680" s="5" t="s">
        <v>238</v>
      </c>
      <c r="FP3680" s="5" t="s">
        <v>238</v>
      </c>
      <c r="FQ3680" s="5" t="s">
        <v>238</v>
      </c>
      <c r="FR3680" s="5" t="s">
        <v>238</v>
      </c>
      <c r="FS3680" s="5" t="s">
        <v>238</v>
      </c>
      <c r="FT3680" s="5" t="s">
        <v>238</v>
      </c>
      <c r="FU3680" s="5" t="s">
        <v>238</v>
      </c>
      <c r="FV3680" s="5" t="s">
        <v>238</v>
      </c>
      <c r="FW3680" s="5" t="s">
        <v>238</v>
      </c>
      <c r="FX3680" s="5" t="s">
        <v>238</v>
      </c>
      <c r="FY3680" s="5" t="s">
        <v>238</v>
      </c>
      <c r="FZ3680" s="5" t="s">
        <v>238</v>
      </c>
      <c r="GA3680" s="5" t="s">
        <v>238</v>
      </c>
      <c r="GB3680" s="5" t="s">
        <v>238</v>
      </c>
      <c r="GC3680" s="5" t="s">
        <v>238</v>
      </c>
      <c r="GD3680" s="5" t="s">
        <v>238</v>
      </c>
      <c r="GE3680" s="5" t="s">
        <v>238</v>
      </c>
      <c r="GF3680" s="5" t="s">
        <v>238</v>
      </c>
      <c r="GG3680" s="5" t="s">
        <v>238</v>
      </c>
      <c r="GH3680" s="5" t="s">
        <v>238</v>
      </c>
      <c r="GI3680" s="5" t="s">
        <v>238</v>
      </c>
      <c r="GJ3680" s="5" t="s">
        <v>238</v>
      </c>
      <c r="GK3680" s="5" t="s">
        <v>238</v>
      </c>
      <c r="GL3680" s="5" t="s">
        <v>238</v>
      </c>
      <c r="GM3680" s="5" t="s">
        <v>238</v>
      </c>
      <c r="GN3680" s="5" t="s">
        <v>238</v>
      </c>
      <c r="GO3680" s="5" t="s">
        <v>238</v>
      </c>
      <c r="GP3680" s="5" t="s">
        <v>238</v>
      </c>
      <c r="GQ3680" s="5" t="s">
        <v>238</v>
      </c>
      <c r="GR3680" s="5" t="s">
        <v>238</v>
      </c>
      <c r="GS3680" s="5" t="s">
        <v>238</v>
      </c>
      <c r="GT3680" s="5" t="s">
        <v>238</v>
      </c>
      <c r="GU3680" s="5" t="s">
        <v>238</v>
      </c>
      <c r="GV3680" s="5" t="s">
        <v>238</v>
      </c>
      <c r="GW3680" s="5" t="s">
        <v>238</v>
      </c>
      <c r="GX3680" s="5" t="s">
        <v>238</v>
      </c>
      <c r="GY3680" s="5" t="s">
        <v>238</v>
      </c>
      <c r="GZ3680" s="5" t="s">
        <v>238</v>
      </c>
      <c r="HA3680" s="5" t="s">
        <v>238</v>
      </c>
      <c r="HB3680" s="5" t="s">
        <v>238</v>
      </c>
      <c r="HC3680" s="5" t="s">
        <v>238</v>
      </c>
      <c r="HD3680" s="5" t="s">
        <v>238</v>
      </c>
      <c r="HE3680" s="5" t="s">
        <v>238</v>
      </c>
      <c r="HF3680" s="5" t="s">
        <v>238</v>
      </c>
      <c r="HG3680" s="5" t="s">
        <v>238</v>
      </c>
      <c r="HH3680" s="5" t="s">
        <v>238</v>
      </c>
      <c r="HI3680" s="5" t="s">
        <v>238</v>
      </c>
      <c r="HJ3680" s="5" t="s">
        <v>238</v>
      </c>
      <c r="HK3680" s="5" t="s">
        <v>238</v>
      </c>
      <c r="HL3680" s="5" t="s">
        <v>238</v>
      </c>
      <c r="HM3680" s="5" t="s">
        <v>264</v>
      </c>
      <c r="HN3680" s="5" t="s">
        <v>238</v>
      </c>
      <c r="HO3680" s="5" t="s">
        <v>238</v>
      </c>
      <c r="HP3680" s="5" t="s">
        <v>238</v>
      </c>
      <c r="HQ3680" s="5" t="s">
        <v>238</v>
      </c>
      <c r="HR3680" s="5" t="s">
        <v>238</v>
      </c>
      <c r="HS3680" s="5" t="s">
        <v>238</v>
      </c>
      <c r="HT3680" s="5" t="s">
        <v>238</v>
      </c>
      <c r="HU3680" s="5" t="s">
        <v>238</v>
      </c>
      <c r="HV3680" s="5" t="s">
        <v>238</v>
      </c>
      <c r="HW3680" s="5" t="s">
        <v>238</v>
      </c>
      <c r="HX3680" s="5" t="s">
        <v>238</v>
      </c>
      <c r="HY3680" s="5" t="s">
        <v>238</v>
      </c>
      <c r="HZ3680" s="5" t="s">
        <v>238</v>
      </c>
      <c r="IA3680" s="5" t="s">
        <v>238</v>
      </c>
      <c r="IB3680" s="5" t="s">
        <v>238</v>
      </c>
      <c r="IC3680" s="5" t="s">
        <v>238</v>
      </c>
      <c r="ID3680" s="5" t="s">
        <v>238</v>
      </c>
    </row>
    <row r="3681" spans="1:238" x14ac:dyDescent="0.4">
      <c r="A3681" s="5">
        <v>9399</v>
      </c>
      <c r="B3681" s="5">
        <v>1</v>
      </c>
      <c r="C3681" s="5">
        <v>1</v>
      </c>
      <c r="D3681" s="5" t="s">
        <v>484</v>
      </c>
      <c r="E3681" s="5" t="s">
        <v>485</v>
      </c>
      <c r="F3681" s="5" t="s">
        <v>248</v>
      </c>
      <c r="G3681" s="5" t="s">
        <v>6483</v>
      </c>
      <c r="H3681" s="6" t="s">
        <v>6484</v>
      </c>
      <c r="I3681" s="8">
        <f>1</f>
        <v>1</v>
      </c>
      <c r="J3681" s="5" t="s">
        <v>499</v>
      </c>
      <c r="K3681" s="8">
        <f>1</f>
        <v>1</v>
      </c>
      <c r="L3681" s="6" t="s">
        <v>242</v>
      </c>
      <c r="M3681" s="5" t="s">
        <v>267</v>
      </c>
      <c r="N3681" s="5" t="s">
        <v>482</v>
      </c>
      <c r="O3681" s="5" t="s">
        <v>238</v>
      </c>
      <c r="P3681" s="5" t="s">
        <v>238</v>
      </c>
      <c r="Q3681" s="5" t="s">
        <v>239</v>
      </c>
      <c r="R3681" s="5" t="s">
        <v>270</v>
      </c>
      <c r="S3681" s="5" t="s">
        <v>238</v>
      </c>
      <c r="T3681" s="5" t="s">
        <v>238</v>
      </c>
      <c r="U3681" s="5" t="s">
        <v>238</v>
      </c>
      <c r="V3681" s="5" t="s">
        <v>238</v>
      </c>
      <c r="W3681" s="6" t="s">
        <v>238</v>
      </c>
      <c r="X3681" s="6" t="s">
        <v>238</v>
      </c>
      <c r="Y3681" s="5" t="s">
        <v>238</v>
      </c>
      <c r="Z3681" s="6" t="s">
        <v>238</v>
      </c>
      <c r="AA3681" s="6" t="s">
        <v>243</v>
      </c>
      <c r="AB3681" s="5" t="s">
        <v>486</v>
      </c>
      <c r="AC3681" s="5" t="s">
        <v>244</v>
      </c>
      <c r="AD3681" s="5" t="s">
        <v>245</v>
      </c>
      <c r="AE3681" s="5" t="s">
        <v>238</v>
      </c>
      <c r="AF3681" s="5" t="s">
        <v>238</v>
      </c>
      <c r="AG3681" s="5" t="s">
        <v>238</v>
      </c>
      <c r="AH3681" s="5" t="s">
        <v>238</v>
      </c>
      <c r="AI3681" s="5" t="s">
        <v>238</v>
      </c>
      <c r="AJ3681" s="5" t="s">
        <v>238</v>
      </c>
      <c r="AK3681" s="5" t="s">
        <v>238</v>
      </c>
      <c r="AL3681" s="5" t="s">
        <v>238</v>
      </c>
      <c r="AM3681" s="6" t="s">
        <v>238</v>
      </c>
      <c r="AN3681" s="6" t="s">
        <v>238</v>
      </c>
      <c r="AO3681" s="6" t="s">
        <v>238</v>
      </c>
      <c r="AP3681" s="6" t="s">
        <v>238</v>
      </c>
      <c r="AQ3681" s="5" t="s">
        <v>238</v>
      </c>
      <c r="AR3681" s="5" t="s">
        <v>488</v>
      </c>
      <c r="AS3681" s="5" t="s">
        <v>488</v>
      </c>
      <c r="AT3681" s="5" t="s">
        <v>246</v>
      </c>
      <c r="AU3681" s="5" t="s">
        <v>489</v>
      </c>
      <c r="AV3681" s="5" t="s">
        <v>247</v>
      </c>
      <c r="AW3681" s="5" t="s">
        <v>238</v>
      </c>
      <c r="AX3681" s="5" t="s">
        <v>249</v>
      </c>
      <c r="AY3681" s="5" t="s">
        <v>490</v>
      </c>
      <c r="BA3681" s="5" t="s">
        <v>238</v>
      </c>
      <c r="BC3681" s="5" t="s">
        <v>491</v>
      </c>
      <c r="BD3681" s="6" t="s">
        <v>492</v>
      </c>
      <c r="BE3681" s="5" t="s">
        <v>493</v>
      </c>
      <c r="BF3681" s="5" t="s">
        <v>493</v>
      </c>
      <c r="BG3681" s="5" t="s">
        <v>238</v>
      </c>
      <c r="BH3681" s="8">
        <f>1</f>
        <v>1</v>
      </c>
      <c r="BI3681" s="8">
        <f>1</f>
        <v>1</v>
      </c>
      <c r="BJ3681" s="5" t="s">
        <v>253</v>
      </c>
      <c r="BK3681" s="5" t="s">
        <v>254</v>
      </c>
      <c r="BL3681" s="5" t="s">
        <v>238</v>
      </c>
      <c r="BM3681" s="5" t="s">
        <v>238</v>
      </c>
      <c r="BN3681" s="5" t="s">
        <v>238</v>
      </c>
      <c r="BO3681" s="5" t="s">
        <v>238</v>
      </c>
      <c r="BP3681" s="5" t="s">
        <v>238</v>
      </c>
      <c r="BQ3681" s="5" t="s">
        <v>238</v>
      </c>
      <c r="BR3681" s="5" t="s">
        <v>238</v>
      </c>
      <c r="BS3681" s="5" t="s">
        <v>238</v>
      </c>
      <c r="BT3681" s="6" t="s">
        <v>238</v>
      </c>
      <c r="BU3681" s="5" t="s">
        <v>238</v>
      </c>
      <c r="BV3681" s="5" t="s">
        <v>238</v>
      </c>
      <c r="BW3681" s="5" t="s">
        <v>238</v>
      </c>
      <c r="BX3681" s="5" t="s">
        <v>254</v>
      </c>
      <c r="BY3681" s="5" t="s">
        <v>238</v>
      </c>
      <c r="BZ3681" s="5" t="s">
        <v>238</v>
      </c>
      <c r="CA3681" s="5" t="s">
        <v>238</v>
      </c>
      <c r="CB3681" s="5" t="s">
        <v>238</v>
      </c>
      <c r="CC3681" s="5" t="s">
        <v>238</v>
      </c>
      <c r="CD3681" s="5" t="s">
        <v>273</v>
      </c>
      <c r="CE3681" s="5" t="s">
        <v>256</v>
      </c>
      <c r="CF3681" s="5" t="s">
        <v>238</v>
      </c>
      <c r="CH3681" s="5" t="s">
        <v>494</v>
      </c>
      <c r="CI3681" s="6" t="s">
        <v>257</v>
      </c>
      <c r="CJ3681" s="5" t="s">
        <v>495</v>
      </c>
      <c r="CK3681" s="5" t="s">
        <v>258</v>
      </c>
      <c r="CL3681" s="5" t="s">
        <v>496</v>
      </c>
      <c r="CM3681" s="5" t="s">
        <v>238</v>
      </c>
      <c r="CN3681" s="5">
        <v>0</v>
      </c>
      <c r="CO3681" s="5" t="s">
        <v>497</v>
      </c>
      <c r="CP3681" s="5" t="s">
        <v>260</v>
      </c>
      <c r="CQ3681" s="5" t="s">
        <v>260</v>
      </c>
      <c r="CR3681" s="5" t="s">
        <v>261</v>
      </c>
      <c r="CS3681" s="5" t="s">
        <v>498</v>
      </c>
      <c r="CT3681" s="7">
        <f>1</f>
        <v>1</v>
      </c>
      <c r="CU3681" s="8">
        <f>1</f>
        <v>1</v>
      </c>
      <c r="CV3681" s="8">
        <f>0</f>
        <v>0</v>
      </c>
      <c r="CX3681" s="8">
        <f>1</f>
        <v>1</v>
      </c>
      <c r="CY3681" s="8">
        <f>1</f>
        <v>1</v>
      </c>
      <c r="CZ3681" s="8" t="s">
        <v>238</v>
      </c>
      <c r="DA3681" s="5" t="s">
        <v>238</v>
      </c>
      <c r="DB3681" s="5" t="s">
        <v>238</v>
      </c>
      <c r="DC3681" s="5" t="s">
        <v>238</v>
      </c>
      <c r="DD3681" s="5" t="s">
        <v>238</v>
      </c>
      <c r="DE3681" s="8">
        <f>0</f>
        <v>0</v>
      </c>
      <c r="DG3681" s="5" t="s">
        <v>238</v>
      </c>
      <c r="DH3681" s="5" t="s">
        <v>238</v>
      </c>
      <c r="DI3681" s="5" t="s">
        <v>238</v>
      </c>
      <c r="DJ3681" s="5" t="s">
        <v>238</v>
      </c>
      <c r="DK3681" s="5" t="s">
        <v>238</v>
      </c>
      <c r="DL3681" s="5" t="s">
        <v>238</v>
      </c>
      <c r="DM3681" s="8" t="s">
        <v>238</v>
      </c>
      <c r="DN3681" s="5" t="s">
        <v>238</v>
      </c>
      <c r="DO3681" s="5" t="s">
        <v>238</v>
      </c>
      <c r="DP3681" s="5" t="s">
        <v>490</v>
      </c>
      <c r="DQ3681" s="5" t="s">
        <v>490</v>
      </c>
      <c r="DR3681" s="5" t="s">
        <v>238</v>
      </c>
      <c r="DS3681" s="5" t="s">
        <v>238</v>
      </c>
      <c r="DT3681" s="5" t="s">
        <v>500</v>
      </c>
      <c r="DU3681" s="5" t="s">
        <v>644</v>
      </c>
      <c r="DV3681" s="5" t="s">
        <v>238</v>
      </c>
      <c r="DW3681" s="5" t="s">
        <v>238</v>
      </c>
      <c r="DX3681" s="5" t="s">
        <v>238</v>
      </c>
      <c r="DY3681" s="5" t="s">
        <v>238</v>
      </c>
      <c r="DZ3681" s="5" t="s">
        <v>238</v>
      </c>
      <c r="EA3681" s="5" t="s">
        <v>238</v>
      </c>
      <c r="EB3681" s="5" t="s">
        <v>238</v>
      </c>
      <c r="EC3681" s="5" t="s">
        <v>238</v>
      </c>
      <c r="ED3681" s="5" t="s">
        <v>238</v>
      </c>
      <c r="EE3681" s="5" t="s">
        <v>238</v>
      </c>
      <c r="EF3681" s="5" t="s">
        <v>238</v>
      </c>
      <c r="EG3681" s="5" t="s">
        <v>238</v>
      </c>
      <c r="EH3681" s="5" t="s">
        <v>238</v>
      </c>
      <c r="EI3681" s="5" t="s">
        <v>238</v>
      </c>
      <c r="EJ3681" s="5" t="s">
        <v>238</v>
      </c>
      <c r="EK3681" s="5" t="s">
        <v>238</v>
      </c>
      <c r="EL3681" s="5" t="s">
        <v>238</v>
      </c>
      <c r="EM3681" s="5" t="s">
        <v>238</v>
      </c>
      <c r="EN3681" s="5" t="s">
        <v>238</v>
      </c>
      <c r="EO3681" s="5" t="s">
        <v>238</v>
      </c>
      <c r="EP3681" s="5" t="s">
        <v>238</v>
      </c>
      <c r="EQ3681" s="5" t="s">
        <v>238</v>
      </c>
      <c r="ER3681" s="5" t="s">
        <v>238</v>
      </c>
      <c r="ES3681" s="5" t="s">
        <v>238</v>
      </c>
      <c r="ET3681" s="5" t="s">
        <v>238</v>
      </c>
      <c r="EU3681" s="5" t="s">
        <v>238</v>
      </c>
      <c r="EV3681" s="5" t="s">
        <v>238</v>
      </c>
      <c r="EW3681" s="5" t="s">
        <v>238</v>
      </c>
      <c r="EX3681" s="5" t="s">
        <v>238</v>
      </c>
      <c r="EY3681" s="5" t="s">
        <v>238</v>
      </c>
      <c r="EZ3681" s="5" t="s">
        <v>238</v>
      </c>
      <c r="FA3681" s="5" t="s">
        <v>238</v>
      </c>
      <c r="FB3681" s="5" t="s">
        <v>238</v>
      </c>
      <c r="FC3681" s="5" t="s">
        <v>238</v>
      </c>
      <c r="FD3681" s="5" t="s">
        <v>238</v>
      </c>
      <c r="FE3681" s="5" t="s">
        <v>238</v>
      </c>
      <c r="FF3681" s="5" t="s">
        <v>238</v>
      </c>
      <c r="FG3681" s="5" t="s">
        <v>238</v>
      </c>
      <c r="FH3681" s="5" t="s">
        <v>238</v>
      </c>
      <c r="FI3681" s="5" t="s">
        <v>238</v>
      </c>
      <c r="FJ3681" s="5" t="s">
        <v>238</v>
      </c>
      <c r="FK3681" s="5" t="s">
        <v>238</v>
      </c>
      <c r="FL3681" s="5" t="s">
        <v>238</v>
      </c>
      <c r="FM3681" s="5" t="s">
        <v>238</v>
      </c>
      <c r="FN3681" s="5" t="s">
        <v>238</v>
      </c>
      <c r="FO3681" s="5" t="s">
        <v>238</v>
      </c>
      <c r="FP3681" s="5" t="s">
        <v>238</v>
      </c>
      <c r="FQ3681" s="5" t="s">
        <v>238</v>
      </c>
      <c r="FR3681" s="5" t="s">
        <v>238</v>
      </c>
      <c r="FS3681" s="5" t="s">
        <v>238</v>
      </c>
      <c r="FT3681" s="5" t="s">
        <v>238</v>
      </c>
      <c r="FU3681" s="5" t="s">
        <v>238</v>
      </c>
      <c r="FV3681" s="5" t="s">
        <v>238</v>
      </c>
      <c r="FW3681" s="5" t="s">
        <v>238</v>
      </c>
      <c r="FX3681" s="5" t="s">
        <v>238</v>
      </c>
      <c r="FY3681" s="5" t="s">
        <v>238</v>
      </c>
      <c r="FZ3681" s="5" t="s">
        <v>238</v>
      </c>
      <c r="GA3681" s="5" t="s">
        <v>238</v>
      </c>
      <c r="GB3681" s="5" t="s">
        <v>238</v>
      </c>
      <c r="GC3681" s="5" t="s">
        <v>238</v>
      </c>
      <c r="GD3681" s="5" t="s">
        <v>238</v>
      </c>
      <c r="GE3681" s="5" t="s">
        <v>238</v>
      </c>
      <c r="GF3681" s="5" t="s">
        <v>238</v>
      </c>
      <c r="GG3681" s="5" t="s">
        <v>238</v>
      </c>
      <c r="GH3681" s="5" t="s">
        <v>238</v>
      </c>
      <c r="GI3681" s="5" t="s">
        <v>238</v>
      </c>
      <c r="GJ3681" s="5" t="s">
        <v>238</v>
      </c>
      <c r="GK3681" s="5" t="s">
        <v>238</v>
      </c>
      <c r="GL3681" s="5" t="s">
        <v>238</v>
      </c>
      <c r="GM3681" s="5" t="s">
        <v>238</v>
      </c>
      <c r="GN3681" s="5" t="s">
        <v>238</v>
      </c>
      <c r="GO3681" s="5" t="s">
        <v>238</v>
      </c>
      <c r="GP3681" s="5" t="s">
        <v>238</v>
      </c>
      <c r="GQ3681" s="5" t="s">
        <v>238</v>
      </c>
      <c r="GR3681" s="5" t="s">
        <v>238</v>
      </c>
      <c r="GS3681" s="5" t="s">
        <v>238</v>
      </c>
      <c r="GT3681" s="5" t="s">
        <v>238</v>
      </c>
      <c r="GU3681" s="5" t="s">
        <v>238</v>
      </c>
      <c r="GV3681" s="5" t="s">
        <v>238</v>
      </c>
      <c r="GW3681" s="5" t="s">
        <v>238</v>
      </c>
      <c r="GX3681" s="5" t="s">
        <v>238</v>
      </c>
      <c r="GY3681" s="5" t="s">
        <v>238</v>
      </c>
      <c r="GZ3681" s="5" t="s">
        <v>238</v>
      </c>
      <c r="HA3681" s="5" t="s">
        <v>238</v>
      </c>
      <c r="HB3681" s="5" t="s">
        <v>238</v>
      </c>
      <c r="HC3681" s="5" t="s">
        <v>238</v>
      </c>
      <c r="HD3681" s="5" t="s">
        <v>238</v>
      </c>
      <c r="HE3681" s="5" t="s">
        <v>238</v>
      </c>
      <c r="HF3681" s="5" t="s">
        <v>238</v>
      </c>
      <c r="HG3681" s="5" t="s">
        <v>238</v>
      </c>
      <c r="HH3681" s="5" t="s">
        <v>238</v>
      </c>
      <c r="HI3681" s="5" t="s">
        <v>238</v>
      </c>
      <c r="HJ3681" s="5" t="s">
        <v>238</v>
      </c>
      <c r="HK3681" s="5" t="s">
        <v>238</v>
      </c>
      <c r="HL3681" s="5" t="s">
        <v>238</v>
      </c>
      <c r="HM3681" s="5" t="s">
        <v>264</v>
      </c>
      <c r="HN3681" s="5" t="s">
        <v>238</v>
      </c>
      <c r="HO3681" s="5" t="s">
        <v>238</v>
      </c>
      <c r="HP3681" s="5" t="s">
        <v>238</v>
      </c>
      <c r="HQ3681" s="5" t="s">
        <v>238</v>
      </c>
      <c r="HR3681" s="5" t="s">
        <v>238</v>
      </c>
      <c r="HS3681" s="5" t="s">
        <v>238</v>
      </c>
      <c r="HT3681" s="5" t="s">
        <v>238</v>
      </c>
      <c r="HU3681" s="5" t="s">
        <v>238</v>
      </c>
      <c r="HV3681" s="5" t="s">
        <v>238</v>
      </c>
      <c r="HW3681" s="5" t="s">
        <v>238</v>
      </c>
      <c r="HX3681" s="5" t="s">
        <v>238</v>
      </c>
      <c r="HY3681" s="5" t="s">
        <v>238</v>
      </c>
      <c r="HZ3681" s="5" t="s">
        <v>238</v>
      </c>
      <c r="IA3681" s="5" t="s">
        <v>238</v>
      </c>
      <c r="IB3681" s="5" t="s">
        <v>238</v>
      </c>
      <c r="IC3681" s="5" t="s">
        <v>238</v>
      </c>
      <c r="ID3681" s="5" t="s">
        <v>238</v>
      </c>
    </row>
    <row r="3682" spans="1:238" x14ac:dyDescent="0.4">
      <c r="A3682" s="5">
        <v>9400</v>
      </c>
      <c r="B3682" s="5">
        <v>1</v>
      </c>
      <c r="C3682" s="5">
        <v>1</v>
      </c>
      <c r="D3682" s="5" t="s">
        <v>484</v>
      </c>
      <c r="E3682" s="5" t="s">
        <v>485</v>
      </c>
      <c r="F3682" s="5" t="s">
        <v>248</v>
      </c>
      <c r="G3682" s="5" t="s">
        <v>5119</v>
      </c>
      <c r="H3682" s="6" t="s">
        <v>5121</v>
      </c>
      <c r="I3682" s="8">
        <f>1</f>
        <v>1</v>
      </c>
      <c r="J3682" s="5" t="s">
        <v>499</v>
      </c>
      <c r="K3682" s="8">
        <f>1</f>
        <v>1</v>
      </c>
      <c r="L3682" s="6" t="s">
        <v>242</v>
      </c>
      <c r="M3682" s="5" t="s">
        <v>267</v>
      </c>
      <c r="N3682" s="5" t="s">
        <v>482</v>
      </c>
      <c r="O3682" s="5" t="s">
        <v>238</v>
      </c>
      <c r="P3682" s="5" t="s">
        <v>238</v>
      </c>
      <c r="Q3682" s="5" t="s">
        <v>239</v>
      </c>
      <c r="R3682" s="5" t="s">
        <v>270</v>
      </c>
      <c r="S3682" s="5" t="s">
        <v>238</v>
      </c>
      <c r="T3682" s="5" t="s">
        <v>238</v>
      </c>
      <c r="U3682" s="5" t="s">
        <v>238</v>
      </c>
      <c r="V3682" s="5" t="s">
        <v>238</v>
      </c>
      <c r="W3682" s="6" t="s">
        <v>238</v>
      </c>
      <c r="X3682" s="6" t="s">
        <v>238</v>
      </c>
      <c r="Y3682" s="5" t="s">
        <v>238</v>
      </c>
      <c r="Z3682" s="6" t="s">
        <v>238</v>
      </c>
      <c r="AA3682" s="6" t="s">
        <v>243</v>
      </c>
      <c r="AB3682" s="5" t="s">
        <v>5120</v>
      </c>
      <c r="AC3682" s="5" t="s">
        <v>244</v>
      </c>
      <c r="AD3682" s="5" t="s">
        <v>245</v>
      </c>
      <c r="AE3682" s="5" t="s">
        <v>238</v>
      </c>
      <c r="AF3682" s="5" t="s">
        <v>238</v>
      </c>
      <c r="AG3682" s="5" t="s">
        <v>238</v>
      </c>
      <c r="AH3682" s="5" t="s">
        <v>238</v>
      </c>
      <c r="AI3682" s="5" t="s">
        <v>238</v>
      </c>
      <c r="AJ3682" s="5" t="s">
        <v>238</v>
      </c>
      <c r="AK3682" s="5" t="s">
        <v>238</v>
      </c>
      <c r="AL3682" s="5" t="s">
        <v>238</v>
      </c>
      <c r="AM3682" s="6" t="s">
        <v>238</v>
      </c>
      <c r="AN3682" s="6" t="s">
        <v>238</v>
      </c>
      <c r="AO3682" s="6" t="s">
        <v>238</v>
      </c>
      <c r="AP3682" s="6" t="s">
        <v>238</v>
      </c>
      <c r="AQ3682" s="5" t="s">
        <v>238</v>
      </c>
      <c r="AR3682" s="5" t="s">
        <v>488</v>
      </c>
      <c r="AS3682" s="5" t="s">
        <v>488</v>
      </c>
      <c r="AT3682" s="5" t="s">
        <v>246</v>
      </c>
      <c r="AU3682" s="5" t="s">
        <v>489</v>
      </c>
      <c r="AV3682" s="5" t="s">
        <v>247</v>
      </c>
      <c r="AW3682" s="5" t="s">
        <v>238</v>
      </c>
      <c r="AX3682" s="5" t="s">
        <v>249</v>
      </c>
      <c r="AY3682" s="5" t="s">
        <v>490</v>
      </c>
      <c r="BA3682" s="5" t="s">
        <v>238</v>
      </c>
      <c r="BC3682" s="5" t="s">
        <v>491</v>
      </c>
      <c r="BD3682" s="6" t="s">
        <v>492</v>
      </c>
      <c r="BE3682" s="5" t="s">
        <v>493</v>
      </c>
      <c r="BF3682" s="5" t="s">
        <v>493</v>
      </c>
      <c r="BG3682" s="5" t="s">
        <v>238</v>
      </c>
      <c r="BH3682" s="8">
        <f>1</f>
        <v>1</v>
      </c>
      <c r="BI3682" s="8">
        <f>1</f>
        <v>1</v>
      </c>
      <c r="BJ3682" s="5" t="s">
        <v>253</v>
      </c>
      <c r="BK3682" s="5" t="s">
        <v>254</v>
      </c>
      <c r="BL3682" s="5" t="s">
        <v>238</v>
      </c>
      <c r="BM3682" s="5" t="s">
        <v>238</v>
      </c>
      <c r="BN3682" s="5" t="s">
        <v>238</v>
      </c>
      <c r="BO3682" s="5" t="s">
        <v>238</v>
      </c>
      <c r="BP3682" s="5" t="s">
        <v>238</v>
      </c>
      <c r="BQ3682" s="5" t="s">
        <v>238</v>
      </c>
      <c r="BR3682" s="5" t="s">
        <v>238</v>
      </c>
      <c r="BS3682" s="5" t="s">
        <v>238</v>
      </c>
      <c r="BT3682" s="6" t="s">
        <v>238</v>
      </c>
      <c r="BU3682" s="5" t="s">
        <v>238</v>
      </c>
      <c r="BV3682" s="5" t="s">
        <v>238</v>
      </c>
      <c r="BW3682" s="5" t="s">
        <v>238</v>
      </c>
      <c r="BX3682" s="5" t="s">
        <v>254</v>
      </c>
      <c r="BY3682" s="5" t="s">
        <v>238</v>
      </c>
      <c r="BZ3682" s="5" t="s">
        <v>238</v>
      </c>
      <c r="CA3682" s="5" t="s">
        <v>238</v>
      </c>
      <c r="CB3682" s="5" t="s">
        <v>238</v>
      </c>
      <c r="CC3682" s="5" t="s">
        <v>238</v>
      </c>
      <c r="CD3682" s="5" t="s">
        <v>273</v>
      </c>
      <c r="CE3682" s="5" t="s">
        <v>256</v>
      </c>
      <c r="CF3682" s="5" t="s">
        <v>238</v>
      </c>
      <c r="CH3682" s="5" t="s">
        <v>494</v>
      </c>
      <c r="CI3682" s="6" t="s">
        <v>257</v>
      </c>
      <c r="CJ3682" s="5" t="s">
        <v>495</v>
      </c>
      <c r="CK3682" s="5" t="s">
        <v>258</v>
      </c>
      <c r="CL3682" s="5" t="s">
        <v>496</v>
      </c>
      <c r="CM3682" s="5" t="s">
        <v>238</v>
      </c>
      <c r="CN3682" s="5">
        <v>0</v>
      </c>
      <c r="CO3682" s="5" t="s">
        <v>497</v>
      </c>
      <c r="CP3682" s="5" t="s">
        <v>260</v>
      </c>
      <c r="CQ3682" s="5" t="s">
        <v>260</v>
      </c>
      <c r="CR3682" s="5" t="s">
        <v>261</v>
      </c>
      <c r="CS3682" s="5" t="s">
        <v>498</v>
      </c>
      <c r="CT3682" s="7">
        <f>1</f>
        <v>1</v>
      </c>
      <c r="CU3682" s="8">
        <f>1</f>
        <v>1</v>
      </c>
      <c r="CV3682" s="8">
        <f>0</f>
        <v>0</v>
      </c>
      <c r="CX3682" s="8">
        <f>1</f>
        <v>1</v>
      </c>
      <c r="CY3682" s="8">
        <f>1</f>
        <v>1</v>
      </c>
      <c r="CZ3682" s="8" t="s">
        <v>238</v>
      </c>
      <c r="DA3682" s="5" t="s">
        <v>238</v>
      </c>
      <c r="DB3682" s="5" t="s">
        <v>238</v>
      </c>
      <c r="DC3682" s="5" t="s">
        <v>238</v>
      </c>
      <c r="DD3682" s="5" t="s">
        <v>238</v>
      </c>
      <c r="DE3682" s="8">
        <f>0</f>
        <v>0</v>
      </c>
      <c r="DG3682" s="5" t="s">
        <v>238</v>
      </c>
      <c r="DH3682" s="5" t="s">
        <v>238</v>
      </c>
      <c r="DI3682" s="5" t="s">
        <v>238</v>
      </c>
      <c r="DJ3682" s="5" t="s">
        <v>238</v>
      </c>
      <c r="DK3682" s="5" t="s">
        <v>238</v>
      </c>
      <c r="DL3682" s="5" t="s">
        <v>238</v>
      </c>
      <c r="DM3682" s="8" t="s">
        <v>238</v>
      </c>
      <c r="DN3682" s="5" t="s">
        <v>238</v>
      </c>
      <c r="DO3682" s="5" t="s">
        <v>238</v>
      </c>
      <c r="DP3682" s="5" t="s">
        <v>490</v>
      </c>
      <c r="DQ3682" s="5" t="s">
        <v>490</v>
      </c>
      <c r="DR3682" s="5" t="s">
        <v>238</v>
      </c>
      <c r="DS3682" s="5" t="s">
        <v>238</v>
      </c>
      <c r="DT3682" s="5" t="s">
        <v>500</v>
      </c>
      <c r="DU3682" s="5" t="s">
        <v>630</v>
      </c>
      <c r="DV3682" s="5" t="s">
        <v>238</v>
      </c>
      <c r="DW3682" s="5" t="s">
        <v>238</v>
      </c>
      <c r="DX3682" s="5" t="s">
        <v>238</v>
      </c>
      <c r="DY3682" s="5" t="s">
        <v>238</v>
      </c>
      <c r="DZ3682" s="5" t="s">
        <v>238</v>
      </c>
      <c r="EA3682" s="5" t="s">
        <v>238</v>
      </c>
      <c r="EB3682" s="5" t="s">
        <v>238</v>
      </c>
      <c r="EC3682" s="5" t="s">
        <v>238</v>
      </c>
      <c r="ED3682" s="5" t="s">
        <v>238</v>
      </c>
      <c r="EE3682" s="5" t="s">
        <v>238</v>
      </c>
      <c r="EF3682" s="5" t="s">
        <v>238</v>
      </c>
      <c r="EG3682" s="5" t="s">
        <v>238</v>
      </c>
      <c r="EH3682" s="5" t="s">
        <v>238</v>
      </c>
      <c r="EI3682" s="5" t="s">
        <v>238</v>
      </c>
      <c r="EJ3682" s="5" t="s">
        <v>238</v>
      </c>
      <c r="EK3682" s="5" t="s">
        <v>238</v>
      </c>
      <c r="EL3682" s="5" t="s">
        <v>238</v>
      </c>
      <c r="EM3682" s="5" t="s">
        <v>238</v>
      </c>
      <c r="EN3682" s="5" t="s">
        <v>238</v>
      </c>
      <c r="EO3682" s="5" t="s">
        <v>238</v>
      </c>
      <c r="EP3682" s="5" t="s">
        <v>238</v>
      </c>
      <c r="EQ3682" s="5" t="s">
        <v>238</v>
      </c>
      <c r="ER3682" s="5" t="s">
        <v>238</v>
      </c>
      <c r="ES3682" s="5" t="s">
        <v>238</v>
      </c>
      <c r="ET3682" s="5" t="s">
        <v>238</v>
      </c>
      <c r="EU3682" s="5" t="s">
        <v>238</v>
      </c>
      <c r="EV3682" s="5" t="s">
        <v>238</v>
      </c>
      <c r="EW3682" s="5" t="s">
        <v>238</v>
      </c>
      <c r="EX3682" s="5" t="s">
        <v>238</v>
      </c>
      <c r="EY3682" s="5" t="s">
        <v>238</v>
      </c>
      <c r="EZ3682" s="5" t="s">
        <v>238</v>
      </c>
      <c r="FA3682" s="5" t="s">
        <v>238</v>
      </c>
      <c r="FB3682" s="5" t="s">
        <v>238</v>
      </c>
      <c r="FC3682" s="5" t="s">
        <v>238</v>
      </c>
      <c r="FD3682" s="5" t="s">
        <v>238</v>
      </c>
      <c r="FE3682" s="5" t="s">
        <v>238</v>
      </c>
      <c r="FF3682" s="5" t="s">
        <v>238</v>
      </c>
      <c r="FG3682" s="5" t="s">
        <v>238</v>
      </c>
      <c r="FH3682" s="5" t="s">
        <v>238</v>
      </c>
      <c r="FI3682" s="5" t="s">
        <v>238</v>
      </c>
      <c r="FJ3682" s="5" t="s">
        <v>238</v>
      </c>
      <c r="FK3682" s="5" t="s">
        <v>238</v>
      </c>
      <c r="FL3682" s="5" t="s">
        <v>238</v>
      </c>
      <c r="FM3682" s="5" t="s">
        <v>238</v>
      </c>
      <c r="FN3682" s="5" t="s">
        <v>238</v>
      </c>
      <c r="FO3682" s="5" t="s">
        <v>238</v>
      </c>
      <c r="FP3682" s="5" t="s">
        <v>238</v>
      </c>
      <c r="FQ3682" s="5" t="s">
        <v>238</v>
      </c>
      <c r="FR3682" s="5" t="s">
        <v>238</v>
      </c>
      <c r="FS3682" s="5" t="s">
        <v>238</v>
      </c>
      <c r="FT3682" s="5" t="s">
        <v>238</v>
      </c>
      <c r="FU3682" s="5" t="s">
        <v>238</v>
      </c>
      <c r="FV3682" s="5" t="s">
        <v>238</v>
      </c>
      <c r="FW3682" s="5" t="s">
        <v>238</v>
      </c>
      <c r="FX3682" s="5" t="s">
        <v>238</v>
      </c>
      <c r="FY3682" s="5" t="s">
        <v>238</v>
      </c>
      <c r="FZ3682" s="5" t="s">
        <v>238</v>
      </c>
      <c r="GA3682" s="5" t="s">
        <v>238</v>
      </c>
      <c r="GB3682" s="5" t="s">
        <v>238</v>
      </c>
      <c r="GC3682" s="5" t="s">
        <v>238</v>
      </c>
      <c r="GD3682" s="5" t="s">
        <v>238</v>
      </c>
      <c r="GE3682" s="5" t="s">
        <v>238</v>
      </c>
      <c r="GF3682" s="5" t="s">
        <v>238</v>
      </c>
      <c r="GG3682" s="5" t="s">
        <v>238</v>
      </c>
      <c r="GH3682" s="5" t="s">
        <v>238</v>
      </c>
      <c r="GI3682" s="5" t="s">
        <v>238</v>
      </c>
      <c r="GJ3682" s="5" t="s">
        <v>238</v>
      </c>
      <c r="GK3682" s="5" t="s">
        <v>238</v>
      </c>
      <c r="GL3682" s="5" t="s">
        <v>238</v>
      </c>
      <c r="GM3682" s="5" t="s">
        <v>238</v>
      </c>
      <c r="GN3682" s="5" t="s">
        <v>238</v>
      </c>
      <c r="GO3682" s="5" t="s">
        <v>238</v>
      </c>
      <c r="GP3682" s="5" t="s">
        <v>238</v>
      </c>
      <c r="GQ3682" s="5" t="s">
        <v>238</v>
      </c>
      <c r="GR3682" s="5" t="s">
        <v>238</v>
      </c>
      <c r="GS3682" s="5" t="s">
        <v>238</v>
      </c>
      <c r="GT3682" s="5" t="s">
        <v>238</v>
      </c>
      <c r="GU3682" s="5" t="s">
        <v>238</v>
      </c>
      <c r="GV3682" s="5" t="s">
        <v>238</v>
      </c>
      <c r="GW3682" s="5" t="s">
        <v>238</v>
      </c>
      <c r="GX3682" s="5" t="s">
        <v>238</v>
      </c>
      <c r="GY3682" s="5" t="s">
        <v>238</v>
      </c>
      <c r="GZ3682" s="5" t="s">
        <v>238</v>
      </c>
      <c r="HA3682" s="5" t="s">
        <v>238</v>
      </c>
      <c r="HB3682" s="5" t="s">
        <v>238</v>
      </c>
      <c r="HC3682" s="5" t="s">
        <v>238</v>
      </c>
      <c r="HD3682" s="5" t="s">
        <v>238</v>
      </c>
      <c r="HE3682" s="5" t="s">
        <v>238</v>
      </c>
      <c r="HF3682" s="5" t="s">
        <v>238</v>
      </c>
      <c r="HG3682" s="5" t="s">
        <v>238</v>
      </c>
      <c r="HH3682" s="5" t="s">
        <v>238</v>
      </c>
      <c r="HI3682" s="5" t="s">
        <v>238</v>
      </c>
      <c r="HJ3682" s="5" t="s">
        <v>238</v>
      </c>
      <c r="HK3682" s="5" t="s">
        <v>238</v>
      </c>
      <c r="HL3682" s="5" t="s">
        <v>238</v>
      </c>
      <c r="HM3682" s="5" t="s">
        <v>264</v>
      </c>
      <c r="HN3682" s="5" t="s">
        <v>238</v>
      </c>
      <c r="HO3682" s="5" t="s">
        <v>238</v>
      </c>
      <c r="HP3682" s="5" t="s">
        <v>238</v>
      </c>
      <c r="HQ3682" s="5" t="s">
        <v>238</v>
      </c>
      <c r="HR3682" s="5" t="s">
        <v>238</v>
      </c>
      <c r="HS3682" s="5" t="s">
        <v>238</v>
      </c>
      <c r="HT3682" s="5" t="s">
        <v>238</v>
      </c>
      <c r="HU3682" s="5" t="s">
        <v>238</v>
      </c>
      <c r="HV3682" s="5" t="s">
        <v>238</v>
      </c>
      <c r="HW3682" s="5" t="s">
        <v>238</v>
      </c>
      <c r="HX3682" s="5" t="s">
        <v>238</v>
      </c>
      <c r="HY3682" s="5" t="s">
        <v>238</v>
      </c>
      <c r="HZ3682" s="5" t="s">
        <v>238</v>
      </c>
      <c r="IA3682" s="5" t="s">
        <v>238</v>
      </c>
      <c r="IB3682" s="5" t="s">
        <v>238</v>
      </c>
      <c r="IC3682" s="5" t="s">
        <v>238</v>
      </c>
      <c r="ID3682" s="5" t="s">
        <v>238</v>
      </c>
    </row>
    <row r="3683" spans="1:238" x14ac:dyDescent="0.4">
      <c r="A3683" s="5">
        <v>9401</v>
      </c>
      <c r="B3683" s="5">
        <v>1</v>
      </c>
      <c r="C3683" s="5">
        <v>1</v>
      </c>
      <c r="D3683" s="5" t="s">
        <v>484</v>
      </c>
      <c r="E3683" s="5" t="s">
        <v>485</v>
      </c>
      <c r="F3683" s="5" t="s">
        <v>248</v>
      </c>
      <c r="G3683" s="5" t="s">
        <v>5449</v>
      </c>
      <c r="H3683" s="6" t="s">
        <v>5451</v>
      </c>
      <c r="I3683" s="8">
        <f>1</f>
        <v>1</v>
      </c>
      <c r="J3683" s="5" t="s">
        <v>499</v>
      </c>
      <c r="K3683" s="8">
        <f>1</f>
        <v>1</v>
      </c>
      <c r="L3683" s="6" t="s">
        <v>242</v>
      </c>
      <c r="M3683" s="5" t="s">
        <v>267</v>
      </c>
      <c r="N3683" s="5" t="s">
        <v>482</v>
      </c>
      <c r="O3683" s="5" t="s">
        <v>238</v>
      </c>
      <c r="P3683" s="5" t="s">
        <v>238</v>
      </c>
      <c r="Q3683" s="5" t="s">
        <v>239</v>
      </c>
      <c r="R3683" s="5" t="s">
        <v>270</v>
      </c>
      <c r="S3683" s="5" t="s">
        <v>238</v>
      </c>
      <c r="T3683" s="5" t="s">
        <v>238</v>
      </c>
      <c r="U3683" s="5" t="s">
        <v>238</v>
      </c>
      <c r="V3683" s="5" t="s">
        <v>238</v>
      </c>
      <c r="W3683" s="6" t="s">
        <v>238</v>
      </c>
      <c r="X3683" s="6" t="s">
        <v>238</v>
      </c>
      <c r="Y3683" s="5" t="s">
        <v>238</v>
      </c>
      <c r="Z3683" s="6" t="s">
        <v>238</v>
      </c>
      <c r="AA3683" s="6" t="s">
        <v>243</v>
      </c>
      <c r="AB3683" s="5" t="s">
        <v>5450</v>
      </c>
      <c r="AC3683" s="5" t="s">
        <v>244</v>
      </c>
      <c r="AD3683" s="5" t="s">
        <v>245</v>
      </c>
      <c r="AE3683" s="5" t="s">
        <v>238</v>
      </c>
      <c r="AF3683" s="5" t="s">
        <v>238</v>
      </c>
      <c r="AG3683" s="5" t="s">
        <v>238</v>
      </c>
      <c r="AH3683" s="5" t="s">
        <v>238</v>
      </c>
      <c r="AI3683" s="5" t="s">
        <v>238</v>
      </c>
      <c r="AJ3683" s="5" t="s">
        <v>238</v>
      </c>
      <c r="AK3683" s="5" t="s">
        <v>238</v>
      </c>
      <c r="AL3683" s="5" t="s">
        <v>238</v>
      </c>
      <c r="AM3683" s="6" t="s">
        <v>238</v>
      </c>
      <c r="AN3683" s="6" t="s">
        <v>238</v>
      </c>
      <c r="AO3683" s="6" t="s">
        <v>238</v>
      </c>
      <c r="AP3683" s="6" t="s">
        <v>238</v>
      </c>
      <c r="AQ3683" s="5" t="s">
        <v>238</v>
      </c>
      <c r="AR3683" s="5" t="s">
        <v>488</v>
      </c>
      <c r="AS3683" s="5" t="s">
        <v>488</v>
      </c>
      <c r="AT3683" s="5" t="s">
        <v>246</v>
      </c>
      <c r="AU3683" s="5" t="s">
        <v>489</v>
      </c>
      <c r="AV3683" s="5" t="s">
        <v>247</v>
      </c>
      <c r="AW3683" s="5" t="s">
        <v>238</v>
      </c>
      <c r="AX3683" s="5" t="s">
        <v>249</v>
      </c>
      <c r="AY3683" s="5" t="s">
        <v>490</v>
      </c>
      <c r="BA3683" s="5" t="s">
        <v>238</v>
      </c>
      <c r="BC3683" s="5" t="s">
        <v>491</v>
      </c>
      <c r="BD3683" s="6" t="s">
        <v>492</v>
      </c>
      <c r="BE3683" s="5" t="s">
        <v>493</v>
      </c>
      <c r="BF3683" s="5" t="s">
        <v>493</v>
      </c>
      <c r="BG3683" s="5" t="s">
        <v>238</v>
      </c>
      <c r="BH3683" s="8">
        <f>1</f>
        <v>1</v>
      </c>
      <c r="BI3683" s="8">
        <f>1</f>
        <v>1</v>
      </c>
      <c r="BJ3683" s="5" t="s">
        <v>253</v>
      </c>
      <c r="BK3683" s="5" t="s">
        <v>254</v>
      </c>
      <c r="BL3683" s="5" t="s">
        <v>238</v>
      </c>
      <c r="BM3683" s="5" t="s">
        <v>238</v>
      </c>
      <c r="BN3683" s="5" t="s">
        <v>238</v>
      </c>
      <c r="BO3683" s="5" t="s">
        <v>238</v>
      </c>
      <c r="BP3683" s="5" t="s">
        <v>238</v>
      </c>
      <c r="BQ3683" s="5" t="s">
        <v>238</v>
      </c>
      <c r="BR3683" s="5" t="s">
        <v>238</v>
      </c>
      <c r="BS3683" s="5" t="s">
        <v>238</v>
      </c>
      <c r="BT3683" s="6" t="s">
        <v>238</v>
      </c>
      <c r="BU3683" s="5" t="s">
        <v>238</v>
      </c>
      <c r="BV3683" s="5" t="s">
        <v>238</v>
      </c>
      <c r="BW3683" s="5" t="s">
        <v>238</v>
      </c>
      <c r="BX3683" s="5" t="s">
        <v>254</v>
      </c>
      <c r="BY3683" s="5" t="s">
        <v>238</v>
      </c>
      <c r="BZ3683" s="5" t="s">
        <v>238</v>
      </c>
      <c r="CA3683" s="5" t="s">
        <v>238</v>
      </c>
      <c r="CB3683" s="5" t="s">
        <v>238</v>
      </c>
      <c r="CC3683" s="5" t="s">
        <v>238</v>
      </c>
      <c r="CD3683" s="5" t="s">
        <v>273</v>
      </c>
      <c r="CE3683" s="5" t="s">
        <v>256</v>
      </c>
      <c r="CF3683" s="5" t="s">
        <v>238</v>
      </c>
      <c r="CH3683" s="5" t="s">
        <v>494</v>
      </c>
      <c r="CI3683" s="6" t="s">
        <v>257</v>
      </c>
      <c r="CJ3683" s="5" t="s">
        <v>495</v>
      </c>
      <c r="CK3683" s="5" t="s">
        <v>258</v>
      </c>
      <c r="CL3683" s="5" t="s">
        <v>496</v>
      </c>
      <c r="CM3683" s="5" t="s">
        <v>238</v>
      </c>
      <c r="CN3683" s="5">
        <v>0</v>
      </c>
      <c r="CO3683" s="5" t="s">
        <v>497</v>
      </c>
      <c r="CP3683" s="5" t="s">
        <v>260</v>
      </c>
      <c r="CQ3683" s="5" t="s">
        <v>260</v>
      </c>
      <c r="CR3683" s="5" t="s">
        <v>261</v>
      </c>
      <c r="CS3683" s="5" t="s">
        <v>498</v>
      </c>
      <c r="CT3683" s="7">
        <f>1</f>
        <v>1</v>
      </c>
      <c r="CU3683" s="8">
        <f>1</f>
        <v>1</v>
      </c>
      <c r="CV3683" s="8">
        <f>0</f>
        <v>0</v>
      </c>
      <c r="CX3683" s="8">
        <f>1</f>
        <v>1</v>
      </c>
      <c r="CY3683" s="8">
        <f>1</f>
        <v>1</v>
      </c>
      <c r="CZ3683" s="8" t="s">
        <v>238</v>
      </c>
      <c r="DA3683" s="5" t="s">
        <v>238</v>
      </c>
      <c r="DB3683" s="5" t="s">
        <v>238</v>
      </c>
      <c r="DC3683" s="5" t="s">
        <v>238</v>
      </c>
      <c r="DD3683" s="5" t="s">
        <v>238</v>
      </c>
      <c r="DE3683" s="8">
        <f>0</f>
        <v>0</v>
      </c>
      <c r="DG3683" s="5" t="s">
        <v>238</v>
      </c>
      <c r="DH3683" s="5" t="s">
        <v>238</v>
      </c>
      <c r="DI3683" s="5" t="s">
        <v>238</v>
      </c>
      <c r="DJ3683" s="5" t="s">
        <v>238</v>
      </c>
      <c r="DK3683" s="5" t="s">
        <v>238</v>
      </c>
      <c r="DL3683" s="5" t="s">
        <v>238</v>
      </c>
      <c r="DM3683" s="8" t="s">
        <v>238</v>
      </c>
      <c r="DN3683" s="5" t="s">
        <v>238</v>
      </c>
      <c r="DO3683" s="5" t="s">
        <v>238</v>
      </c>
      <c r="DP3683" s="5" t="s">
        <v>490</v>
      </c>
      <c r="DQ3683" s="5" t="s">
        <v>490</v>
      </c>
      <c r="DR3683" s="5" t="s">
        <v>238</v>
      </c>
      <c r="DS3683" s="5" t="s">
        <v>238</v>
      </c>
      <c r="DT3683" s="5" t="s">
        <v>500</v>
      </c>
      <c r="DU3683" s="5" t="s">
        <v>614</v>
      </c>
      <c r="DV3683" s="5" t="s">
        <v>238</v>
      </c>
      <c r="DW3683" s="5" t="s">
        <v>238</v>
      </c>
      <c r="DX3683" s="5" t="s">
        <v>238</v>
      </c>
      <c r="DY3683" s="5" t="s">
        <v>238</v>
      </c>
      <c r="DZ3683" s="5" t="s">
        <v>238</v>
      </c>
      <c r="EA3683" s="5" t="s">
        <v>238</v>
      </c>
      <c r="EB3683" s="5" t="s">
        <v>238</v>
      </c>
      <c r="EC3683" s="5" t="s">
        <v>238</v>
      </c>
      <c r="ED3683" s="5" t="s">
        <v>238</v>
      </c>
      <c r="EE3683" s="5" t="s">
        <v>238</v>
      </c>
      <c r="EF3683" s="5" t="s">
        <v>238</v>
      </c>
      <c r="EG3683" s="5" t="s">
        <v>238</v>
      </c>
      <c r="EH3683" s="5" t="s">
        <v>238</v>
      </c>
      <c r="EI3683" s="5" t="s">
        <v>238</v>
      </c>
      <c r="EJ3683" s="5" t="s">
        <v>238</v>
      </c>
      <c r="EK3683" s="5" t="s">
        <v>238</v>
      </c>
      <c r="EL3683" s="5" t="s">
        <v>238</v>
      </c>
      <c r="EM3683" s="5" t="s">
        <v>238</v>
      </c>
      <c r="EN3683" s="5" t="s">
        <v>238</v>
      </c>
      <c r="EO3683" s="5" t="s">
        <v>238</v>
      </c>
      <c r="EP3683" s="5" t="s">
        <v>238</v>
      </c>
      <c r="EQ3683" s="5" t="s">
        <v>238</v>
      </c>
      <c r="ER3683" s="5" t="s">
        <v>238</v>
      </c>
      <c r="ES3683" s="5" t="s">
        <v>238</v>
      </c>
      <c r="ET3683" s="5" t="s">
        <v>238</v>
      </c>
      <c r="EU3683" s="5" t="s">
        <v>238</v>
      </c>
      <c r="EV3683" s="5" t="s">
        <v>238</v>
      </c>
      <c r="EW3683" s="5" t="s">
        <v>238</v>
      </c>
      <c r="EX3683" s="5" t="s">
        <v>238</v>
      </c>
      <c r="EY3683" s="5" t="s">
        <v>238</v>
      </c>
      <c r="EZ3683" s="5" t="s">
        <v>238</v>
      </c>
      <c r="FA3683" s="5" t="s">
        <v>238</v>
      </c>
      <c r="FB3683" s="5" t="s">
        <v>238</v>
      </c>
      <c r="FC3683" s="5" t="s">
        <v>238</v>
      </c>
      <c r="FD3683" s="5" t="s">
        <v>238</v>
      </c>
      <c r="FE3683" s="5" t="s">
        <v>238</v>
      </c>
      <c r="FF3683" s="5" t="s">
        <v>238</v>
      </c>
      <c r="FG3683" s="5" t="s">
        <v>238</v>
      </c>
      <c r="FH3683" s="5" t="s">
        <v>238</v>
      </c>
      <c r="FI3683" s="5" t="s">
        <v>238</v>
      </c>
      <c r="FJ3683" s="5" t="s">
        <v>238</v>
      </c>
      <c r="FK3683" s="5" t="s">
        <v>238</v>
      </c>
      <c r="FL3683" s="5" t="s">
        <v>238</v>
      </c>
      <c r="FM3683" s="5" t="s">
        <v>238</v>
      </c>
      <c r="FN3683" s="5" t="s">
        <v>238</v>
      </c>
      <c r="FO3683" s="5" t="s">
        <v>238</v>
      </c>
      <c r="FP3683" s="5" t="s">
        <v>238</v>
      </c>
      <c r="FQ3683" s="5" t="s">
        <v>238</v>
      </c>
      <c r="FR3683" s="5" t="s">
        <v>238</v>
      </c>
      <c r="FS3683" s="5" t="s">
        <v>238</v>
      </c>
      <c r="FT3683" s="5" t="s">
        <v>238</v>
      </c>
      <c r="FU3683" s="5" t="s">
        <v>238</v>
      </c>
      <c r="FV3683" s="5" t="s">
        <v>238</v>
      </c>
      <c r="FW3683" s="5" t="s">
        <v>238</v>
      </c>
      <c r="FX3683" s="5" t="s">
        <v>238</v>
      </c>
      <c r="FY3683" s="5" t="s">
        <v>238</v>
      </c>
      <c r="FZ3683" s="5" t="s">
        <v>238</v>
      </c>
      <c r="GA3683" s="5" t="s">
        <v>238</v>
      </c>
      <c r="GB3683" s="5" t="s">
        <v>238</v>
      </c>
      <c r="GC3683" s="5" t="s">
        <v>238</v>
      </c>
      <c r="GD3683" s="5" t="s">
        <v>238</v>
      </c>
      <c r="GE3683" s="5" t="s">
        <v>238</v>
      </c>
      <c r="GF3683" s="5" t="s">
        <v>238</v>
      </c>
      <c r="GG3683" s="5" t="s">
        <v>238</v>
      </c>
      <c r="GH3683" s="5" t="s">
        <v>238</v>
      </c>
      <c r="GI3683" s="5" t="s">
        <v>238</v>
      </c>
      <c r="GJ3683" s="5" t="s">
        <v>238</v>
      </c>
      <c r="GK3683" s="5" t="s">
        <v>238</v>
      </c>
      <c r="GL3683" s="5" t="s">
        <v>238</v>
      </c>
      <c r="GM3683" s="5" t="s">
        <v>238</v>
      </c>
      <c r="GN3683" s="5" t="s">
        <v>238</v>
      </c>
      <c r="GO3683" s="5" t="s">
        <v>238</v>
      </c>
      <c r="GP3683" s="5" t="s">
        <v>238</v>
      </c>
      <c r="GQ3683" s="5" t="s">
        <v>238</v>
      </c>
      <c r="GR3683" s="5" t="s">
        <v>238</v>
      </c>
      <c r="GS3683" s="5" t="s">
        <v>238</v>
      </c>
      <c r="GT3683" s="5" t="s">
        <v>238</v>
      </c>
      <c r="GU3683" s="5" t="s">
        <v>238</v>
      </c>
      <c r="GV3683" s="5" t="s">
        <v>238</v>
      </c>
      <c r="GW3683" s="5" t="s">
        <v>238</v>
      </c>
      <c r="GX3683" s="5" t="s">
        <v>238</v>
      </c>
      <c r="GY3683" s="5" t="s">
        <v>238</v>
      </c>
      <c r="GZ3683" s="5" t="s">
        <v>238</v>
      </c>
      <c r="HA3683" s="5" t="s">
        <v>238</v>
      </c>
      <c r="HB3683" s="5" t="s">
        <v>238</v>
      </c>
      <c r="HC3683" s="5" t="s">
        <v>238</v>
      </c>
      <c r="HD3683" s="5" t="s">
        <v>238</v>
      </c>
      <c r="HE3683" s="5" t="s">
        <v>238</v>
      </c>
      <c r="HF3683" s="5" t="s">
        <v>238</v>
      </c>
      <c r="HG3683" s="5" t="s">
        <v>238</v>
      </c>
      <c r="HH3683" s="5" t="s">
        <v>238</v>
      </c>
      <c r="HI3683" s="5" t="s">
        <v>238</v>
      </c>
      <c r="HJ3683" s="5" t="s">
        <v>238</v>
      </c>
      <c r="HK3683" s="5" t="s">
        <v>238</v>
      </c>
      <c r="HL3683" s="5" t="s">
        <v>238</v>
      </c>
      <c r="HM3683" s="5" t="s">
        <v>264</v>
      </c>
      <c r="HN3683" s="5" t="s">
        <v>238</v>
      </c>
      <c r="HO3683" s="5" t="s">
        <v>238</v>
      </c>
      <c r="HP3683" s="5" t="s">
        <v>238</v>
      </c>
      <c r="HQ3683" s="5" t="s">
        <v>238</v>
      </c>
      <c r="HR3683" s="5" t="s">
        <v>238</v>
      </c>
      <c r="HS3683" s="5" t="s">
        <v>238</v>
      </c>
      <c r="HT3683" s="5" t="s">
        <v>238</v>
      </c>
      <c r="HU3683" s="5" t="s">
        <v>238</v>
      </c>
      <c r="HV3683" s="5" t="s">
        <v>238</v>
      </c>
      <c r="HW3683" s="5" t="s">
        <v>238</v>
      </c>
      <c r="HX3683" s="5" t="s">
        <v>238</v>
      </c>
      <c r="HY3683" s="5" t="s">
        <v>238</v>
      </c>
      <c r="HZ3683" s="5" t="s">
        <v>238</v>
      </c>
      <c r="IA3683" s="5" t="s">
        <v>238</v>
      </c>
      <c r="IB3683" s="5" t="s">
        <v>238</v>
      </c>
      <c r="IC3683" s="5" t="s">
        <v>238</v>
      </c>
      <c r="ID3683" s="5" t="s">
        <v>238</v>
      </c>
    </row>
    <row r="3684" spans="1:238" x14ac:dyDescent="0.4">
      <c r="A3684" s="5">
        <v>9402</v>
      </c>
      <c r="B3684" s="5">
        <v>1</v>
      </c>
      <c r="C3684" s="5">
        <v>1</v>
      </c>
      <c r="D3684" s="5" t="s">
        <v>484</v>
      </c>
      <c r="E3684" s="5" t="s">
        <v>485</v>
      </c>
      <c r="F3684" s="5" t="s">
        <v>248</v>
      </c>
      <c r="G3684" s="5" t="s">
        <v>5646</v>
      </c>
      <c r="H3684" s="6" t="s">
        <v>5648</v>
      </c>
      <c r="I3684" s="8">
        <f>1</f>
        <v>1</v>
      </c>
      <c r="J3684" s="5" t="s">
        <v>499</v>
      </c>
      <c r="K3684" s="8">
        <f>1</f>
        <v>1</v>
      </c>
      <c r="L3684" s="6" t="s">
        <v>242</v>
      </c>
      <c r="M3684" s="5" t="s">
        <v>267</v>
      </c>
      <c r="N3684" s="5" t="s">
        <v>482</v>
      </c>
      <c r="O3684" s="5" t="s">
        <v>238</v>
      </c>
      <c r="P3684" s="5" t="s">
        <v>238</v>
      </c>
      <c r="Q3684" s="5" t="s">
        <v>239</v>
      </c>
      <c r="R3684" s="5" t="s">
        <v>270</v>
      </c>
      <c r="S3684" s="5" t="s">
        <v>238</v>
      </c>
      <c r="T3684" s="5" t="s">
        <v>238</v>
      </c>
      <c r="U3684" s="5" t="s">
        <v>238</v>
      </c>
      <c r="V3684" s="5" t="s">
        <v>238</v>
      </c>
      <c r="W3684" s="6" t="s">
        <v>238</v>
      </c>
      <c r="X3684" s="6" t="s">
        <v>238</v>
      </c>
      <c r="Y3684" s="5" t="s">
        <v>238</v>
      </c>
      <c r="Z3684" s="6" t="s">
        <v>238</v>
      </c>
      <c r="AA3684" s="6" t="s">
        <v>243</v>
      </c>
      <c r="AB3684" s="5" t="s">
        <v>5647</v>
      </c>
      <c r="AC3684" s="5" t="s">
        <v>244</v>
      </c>
      <c r="AD3684" s="5" t="s">
        <v>245</v>
      </c>
      <c r="AE3684" s="5" t="s">
        <v>238</v>
      </c>
      <c r="AF3684" s="5" t="s">
        <v>238</v>
      </c>
      <c r="AG3684" s="5" t="s">
        <v>238</v>
      </c>
      <c r="AH3684" s="5" t="s">
        <v>238</v>
      </c>
      <c r="AI3684" s="5" t="s">
        <v>238</v>
      </c>
      <c r="AJ3684" s="5" t="s">
        <v>238</v>
      </c>
      <c r="AK3684" s="5" t="s">
        <v>238</v>
      </c>
      <c r="AL3684" s="5" t="s">
        <v>238</v>
      </c>
      <c r="AM3684" s="6" t="s">
        <v>238</v>
      </c>
      <c r="AN3684" s="6" t="s">
        <v>238</v>
      </c>
      <c r="AO3684" s="6" t="s">
        <v>238</v>
      </c>
      <c r="AP3684" s="6" t="s">
        <v>238</v>
      </c>
      <c r="AQ3684" s="5" t="s">
        <v>238</v>
      </c>
      <c r="AR3684" s="5" t="s">
        <v>488</v>
      </c>
      <c r="AS3684" s="5" t="s">
        <v>488</v>
      </c>
      <c r="AT3684" s="5" t="s">
        <v>246</v>
      </c>
      <c r="AU3684" s="5" t="s">
        <v>489</v>
      </c>
      <c r="AV3684" s="5" t="s">
        <v>247</v>
      </c>
      <c r="AW3684" s="5" t="s">
        <v>238</v>
      </c>
      <c r="AX3684" s="5" t="s">
        <v>249</v>
      </c>
      <c r="AY3684" s="5" t="s">
        <v>490</v>
      </c>
      <c r="BA3684" s="5" t="s">
        <v>238</v>
      </c>
      <c r="BC3684" s="5" t="s">
        <v>491</v>
      </c>
      <c r="BD3684" s="6" t="s">
        <v>492</v>
      </c>
      <c r="BE3684" s="5" t="s">
        <v>493</v>
      </c>
      <c r="BF3684" s="5" t="s">
        <v>493</v>
      </c>
      <c r="BG3684" s="5" t="s">
        <v>238</v>
      </c>
      <c r="BH3684" s="8">
        <f>1</f>
        <v>1</v>
      </c>
      <c r="BI3684" s="8">
        <f>1</f>
        <v>1</v>
      </c>
      <c r="BJ3684" s="5" t="s">
        <v>253</v>
      </c>
      <c r="BK3684" s="5" t="s">
        <v>254</v>
      </c>
      <c r="BL3684" s="5" t="s">
        <v>238</v>
      </c>
      <c r="BM3684" s="5" t="s">
        <v>238</v>
      </c>
      <c r="BN3684" s="5" t="s">
        <v>238</v>
      </c>
      <c r="BO3684" s="5" t="s">
        <v>238</v>
      </c>
      <c r="BP3684" s="5" t="s">
        <v>238</v>
      </c>
      <c r="BQ3684" s="5" t="s">
        <v>238</v>
      </c>
      <c r="BR3684" s="5" t="s">
        <v>238</v>
      </c>
      <c r="BS3684" s="5" t="s">
        <v>238</v>
      </c>
      <c r="BT3684" s="6" t="s">
        <v>238</v>
      </c>
      <c r="BU3684" s="5" t="s">
        <v>238</v>
      </c>
      <c r="BV3684" s="5" t="s">
        <v>238</v>
      </c>
      <c r="BW3684" s="5" t="s">
        <v>238</v>
      </c>
      <c r="BX3684" s="5" t="s">
        <v>254</v>
      </c>
      <c r="BY3684" s="5" t="s">
        <v>238</v>
      </c>
      <c r="BZ3684" s="5" t="s">
        <v>238</v>
      </c>
      <c r="CA3684" s="5" t="s">
        <v>238</v>
      </c>
      <c r="CB3684" s="5" t="s">
        <v>238</v>
      </c>
      <c r="CC3684" s="5" t="s">
        <v>238</v>
      </c>
      <c r="CD3684" s="5" t="s">
        <v>273</v>
      </c>
      <c r="CE3684" s="5" t="s">
        <v>256</v>
      </c>
      <c r="CF3684" s="5" t="s">
        <v>238</v>
      </c>
      <c r="CH3684" s="5" t="s">
        <v>494</v>
      </c>
      <c r="CI3684" s="6" t="s">
        <v>257</v>
      </c>
      <c r="CJ3684" s="5" t="s">
        <v>495</v>
      </c>
      <c r="CK3684" s="5" t="s">
        <v>258</v>
      </c>
      <c r="CL3684" s="5" t="s">
        <v>496</v>
      </c>
      <c r="CM3684" s="5" t="s">
        <v>238</v>
      </c>
      <c r="CN3684" s="5">
        <v>0</v>
      </c>
      <c r="CO3684" s="5" t="s">
        <v>497</v>
      </c>
      <c r="CP3684" s="5" t="s">
        <v>260</v>
      </c>
      <c r="CQ3684" s="5" t="s">
        <v>260</v>
      </c>
      <c r="CR3684" s="5" t="s">
        <v>261</v>
      </c>
      <c r="CS3684" s="5" t="s">
        <v>498</v>
      </c>
      <c r="CT3684" s="7">
        <f>1</f>
        <v>1</v>
      </c>
      <c r="CU3684" s="8">
        <f>1</f>
        <v>1</v>
      </c>
      <c r="CV3684" s="8">
        <f>0</f>
        <v>0</v>
      </c>
      <c r="CX3684" s="8">
        <f>1</f>
        <v>1</v>
      </c>
      <c r="CY3684" s="8">
        <f>1</f>
        <v>1</v>
      </c>
      <c r="CZ3684" s="8" t="s">
        <v>238</v>
      </c>
      <c r="DA3684" s="5" t="s">
        <v>238</v>
      </c>
      <c r="DB3684" s="5" t="s">
        <v>238</v>
      </c>
      <c r="DC3684" s="5" t="s">
        <v>238</v>
      </c>
      <c r="DD3684" s="5" t="s">
        <v>238</v>
      </c>
      <c r="DE3684" s="8">
        <f>0</f>
        <v>0</v>
      </c>
      <c r="DG3684" s="5" t="s">
        <v>238</v>
      </c>
      <c r="DH3684" s="5" t="s">
        <v>238</v>
      </c>
      <c r="DI3684" s="5" t="s">
        <v>238</v>
      </c>
      <c r="DJ3684" s="5" t="s">
        <v>238</v>
      </c>
      <c r="DK3684" s="5" t="s">
        <v>238</v>
      </c>
      <c r="DL3684" s="5" t="s">
        <v>238</v>
      </c>
      <c r="DM3684" s="8" t="s">
        <v>238</v>
      </c>
      <c r="DN3684" s="5" t="s">
        <v>238</v>
      </c>
      <c r="DO3684" s="5" t="s">
        <v>238</v>
      </c>
      <c r="DP3684" s="5" t="s">
        <v>490</v>
      </c>
      <c r="DQ3684" s="5" t="s">
        <v>490</v>
      </c>
      <c r="DR3684" s="5" t="s">
        <v>238</v>
      </c>
      <c r="DS3684" s="5" t="s">
        <v>238</v>
      </c>
      <c r="DT3684" s="5" t="s">
        <v>500</v>
      </c>
      <c r="DU3684" s="5" t="s">
        <v>604</v>
      </c>
      <c r="DV3684" s="5" t="s">
        <v>238</v>
      </c>
      <c r="DW3684" s="5" t="s">
        <v>238</v>
      </c>
      <c r="DX3684" s="5" t="s">
        <v>238</v>
      </c>
      <c r="DY3684" s="5" t="s">
        <v>238</v>
      </c>
      <c r="DZ3684" s="5" t="s">
        <v>238</v>
      </c>
      <c r="EA3684" s="5" t="s">
        <v>238</v>
      </c>
      <c r="EB3684" s="5" t="s">
        <v>238</v>
      </c>
      <c r="EC3684" s="5" t="s">
        <v>238</v>
      </c>
      <c r="ED3684" s="5" t="s">
        <v>238</v>
      </c>
      <c r="EE3684" s="5" t="s">
        <v>238</v>
      </c>
      <c r="EF3684" s="5" t="s">
        <v>238</v>
      </c>
      <c r="EG3684" s="5" t="s">
        <v>238</v>
      </c>
      <c r="EH3684" s="5" t="s">
        <v>238</v>
      </c>
      <c r="EI3684" s="5" t="s">
        <v>238</v>
      </c>
      <c r="EJ3684" s="5" t="s">
        <v>238</v>
      </c>
      <c r="EK3684" s="5" t="s">
        <v>238</v>
      </c>
      <c r="EL3684" s="5" t="s">
        <v>238</v>
      </c>
      <c r="EM3684" s="5" t="s">
        <v>238</v>
      </c>
      <c r="EN3684" s="5" t="s">
        <v>238</v>
      </c>
      <c r="EO3684" s="5" t="s">
        <v>238</v>
      </c>
      <c r="EP3684" s="5" t="s">
        <v>238</v>
      </c>
      <c r="EQ3684" s="5" t="s">
        <v>238</v>
      </c>
      <c r="ER3684" s="5" t="s">
        <v>238</v>
      </c>
      <c r="ES3684" s="5" t="s">
        <v>238</v>
      </c>
      <c r="ET3684" s="5" t="s">
        <v>238</v>
      </c>
      <c r="EU3684" s="5" t="s">
        <v>238</v>
      </c>
      <c r="EV3684" s="5" t="s">
        <v>238</v>
      </c>
      <c r="EW3684" s="5" t="s">
        <v>238</v>
      </c>
      <c r="EX3684" s="5" t="s">
        <v>238</v>
      </c>
      <c r="EY3684" s="5" t="s">
        <v>238</v>
      </c>
      <c r="EZ3684" s="5" t="s">
        <v>238</v>
      </c>
      <c r="FA3684" s="5" t="s">
        <v>238</v>
      </c>
      <c r="FB3684" s="5" t="s">
        <v>238</v>
      </c>
      <c r="FC3684" s="5" t="s">
        <v>238</v>
      </c>
      <c r="FD3684" s="5" t="s">
        <v>238</v>
      </c>
      <c r="FE3684" s="5" t="s">
        <v>238</v>
      </c>
      <c r="FF3684" s="5" t="s">
        <v>238</v>
      </c>
      <c r="FG3684" s="5" t="s">
        <v>238</v>
      </c>
      <c r="FH3684" s="5" t="s">
        <v>238</v>
      </c>
      <c r="FI3684" s="5" t="s">
        <v>238</v>
      </c>
      <c r="FJ3684" s="5" t="s">
        <v>238</v>
      </c>
      <c r="FK3684" s="5" t="s">
        <v>238</v>
      </c>
      <c r="FL3684" s="5" t="s">
        <v>238</v>
      </c>
      <c r="FM3684" s="5" t="s">
        <v>238</v>
      </c>
      <c r="FN3684" s="5" t="s">
        <v>238</v>
      </c>
      <c r="FO3684" s="5" t="s">
        <v>238</v>
      </c>
      <c r="FP3684" s="5" t="s">
        <v>238</v>
      </c>
      <c r="FQ3684" s="5" t="s">
        <v>238</v>
      </c>
      <c r="FR3684" s="5" t="s">
        <v>238</v>
      </c>
      <c r="FS3684" s="5" t="s">
        <v>238</v>
      </c>
      <c r="FT3684" s="5" t="s">
        <v>238</v>
      </c>
      <c r="FU3684" s="5" t="s">
        <v>238</v>
      </c>
      <c r="FV3684" s="5" t="s">
        <v>238</v>
      </c>
      <c r="FW3684" s="5" t="s">
        <v>238</v>
      </c>
      <c r="FX3684" s="5" t="s">
        <v>238</v>
      </c>
      <c r="FY3684" s="5" t="s">
        <v>238</v>
      </c>
      <c r="FZ3684" s="5" t="s">
        <v>238</v>
      </c>
      <c r="GA3684" s="5" t="s">
        <v>238</v>
      </c>
      <c r="GB3684" s="5" t="s">
        <v>238</v>
      </c>
      <c r="GC3684" s="5" t="s">
        <v>238</v>
      </c>
      <c r="GD3684" s="5" t="s">
        <v>238</v>
      </c>
      <c r="GE3684" s="5" t="s">
        <v>238</v>
      </c>
      <c r="GF3684" s="5" t="s">
        <v>238</v>
      </c>
      <c r="GG3684" s="5" t="s">
        <v>238</v>
      </c>
      <c r="GH3684" s="5" t="s">
        <v>238</v>
      </c>
      <c r="GI3684" s="5" t="s">
        <v>238</v>
      </c>
      <c r="GJ3684" s="5" t="s">
        <v>238</v>
      </c>
      <c r="GK3684" s="5" t="s">
        <v>238</v>
      </c>
      <c r="GL3684" s="5" t="s">
        <v>238</v>
      </c>
      <c r="GM3684" s="5" t="s">
        <v>238</v>
      </c>
      <c r="GN3684" s="5" t="s">
        <v>238</v>
      </c>
      <c r="GO3684" s="5" t="s">
        <v>238</v>
      </c>
      <c r="GP3684" s="5" t="s">
        <v>238</v>
      </c>
      <c r="GQ3684" s="5" t="s">
        <v>238</v>
      </c>
      <c r="GR3684" s="5" t="s">
        <v>238</v>
      </c>
      <c r="GS3684" s="5" t="s">
        <v>238</v>
      </c>
      <c r="GT3684" s="5" t="s">
        <v>238</v>
      </c>
      <c r="GU3684" s="5" t="s">
        <v>238</v>
      </c>
      <c r="GV3684" s="5" t="s">
        <v>238</v>
      </c>
      <c r="GW3684" s="5" t="s">
        <v>238</v>
      </c>
      <c r="GX3684" s="5" t="s">
        <v>238</v>
      </c>
      <c r="GY3684" s="5" t="s">
        <v>238</v>
      </c>
      <c r="GZ3684" s="5" t="s">
        <v>238</v>
      </c>
      <c r="HA3684" s="5" t="s">
        <v>238</v>
      </c>
      <c r="HB3684" s="5" t="s">
        <v>238</v>
      </c>
      <c r="HC3684" s="5" t="s">
        <v>238</v>
      </c>
      <c r="HD3684" s="5" t="s">
        <v>238</v>
      </c>
      <c r="HE3684" s="5" t="s">
        <v>238</v>
      </c>
      <c r="HF3684" s="5" t="s">
        <v>238</v>
      </c>
      <c r="HG3684" s="5" t="s">
        <v>238</v>
      </c>
      <c r="HH3684" s="5" t="s">
        <v>238</v>
      </c>
      <c r="HI3684" s="5" t="s">
        <v>238</v>
      </c>
      <c r="HJ3684" s="5" t="s">
        <v>238</v>
      </c>
      <c r="HK3684" s="5" t="s">
        <v>238</v>
      </c>
      <c r="HL3684" s="5" t="s">
        <v>238</v>
      </c>
      <c r="HM3684" s="5" t="s">
        <v>264</v>
      </c>
      <c r="HN3684" s="5" t="s">
        <v>238</v>
      </c>
      <c r="HO3684" s="5" t="s">
        <v>238</v>
      </c>
      <c r="HP3684" s="5" t="s">
        <v>238</v>
      </c>
      <c r="HQ3684" s="5" t="s">
        <v>238</v>
      </c>
      <c r="HR3684" s="5" t="s">
        <v>238</v>
      </c>
      <c r="HS3684" s="5" t="s">
        <v>238</v>
      </c>
      <c r="HT3684" s="5" t="s">
        <v>238</v>
      </c>
      <c r="HU3684" s="5" t="s">
        <v>238</v>
      </c>
      <c r="HV3684" s="5" t="s">
        <v>238</v>
      </c>
      <c r="HW3684" s="5" t="s">
        <v>238</v>
      </c>
      <c r="HX3684" s="5" t="s">
        <v>238</v>
      </c>
      <c r="HY3684" s="5" t="s">
        <v>238</v>
      </c>
      <c r="HZ3684" s="5" t="s">
        <v>238</v>
      </c>
      <c r="IA3684" s="5" t="s">
        <v>238</v>
      </c>
      <c r="IB3684" s="5" t="s">
        <v>238</v>
      </c>
      <c r="IC3684" s="5" t="s">
        <v>238</v>
      </c>
      <c r="ID3684" s="5" t="s">
        <v>238</v>
      </c>
    </row>
    <row r="3685" spans="1:238" x14ac:dyDescent="0.4">
      <c r="A3685" s="5">
        <v>9403</v>
      </c>
      <c r="B3685" s="5">
        <v>1</v>
      </c>
      <c r="C3685" s="5">
        <v>1</v>
      </c>
      <c r="D3685" s="5" t="s">
        <v>484</v>
      </c>
      <c r="E3685" s="5" t="s">
        <v>485</v>
      </c>
      <c r="F3685" s="5" t="s">
        <v>248</v>
      </c>
      <c r="G3685" s="5" t="s">
        <v>4951</v>
      </c>
      <c r="H3685" s="6" t="s">
        <v>4952</v>
      </c>
      <c r="I3685" s="8">
        <f>1</f>
        <v>1</v>
      </c>
      <c r="J3685" s="5" t="s">
        <v>499</v>
      </c>
      <c r="K3685" s="8">
        <f>1</f>
        <v>1</v>
      </c>
      <c r="L3685" s="6" t="s">
        <v>242</v>
      </c>
      <c r="M3685" s="5" t="s">
        <v>267</v>
      </c>
      <c r="N3685" s="5" t="s">
        <v>482</v>
      </c>
      <c r="O3685" s="5" t="s">
        <v>238</v>
      </c>
      <c r="P3685" s="5" t="s">
        <v>238</v>
      </c>
      <c r="Q3685" s="5" t="s">
        <v>239</v>
      </c>
      <c r="R3685" s="5" t="s">
        <v>270</v>
      </c>
      <c r="S3685" s="5" t="s">
        <v>238</v>
      </c>
      <c r="T3685" s="5" t="s">
        <v>238</v>
      </c>
      <c r="U3685" s="5" t="s">
        <v>238</v>
      </c>
      <c r="V3685" s="5" t="s">
        <v>238</v>
      </c>
      <c r="W3685" s="6" t="s">
        <v>238</v>
      </c>
      <c r="X3685" s="6" t="s">
        <v>238</v>
      </c>
      <c r="Y3685" s="5" t="s">
        <v>238</v>
      </c>
      <c r="Z3685" s="6" t="s">
        <v>238</v>
      </c>
      <c r="AA3685" s="6" t="s">
        <v>243</v>
      </c>
      <c r="AB3685" s="5" t="s">
        <v>486</v>
      </c>
      <c r="AC3685" s="5" t="s">
        <v>244</v>
      </c>
      <c r="AD3685" s="5" t="s">
        <v>245</v>
      </c>
      <c r="AE3685" s="5" t="s">
        <v>238</v>
      </c>
      <c r="AF3685" s="5" t="s">
        <v>238</v>
      </c>
      <c r="AG3685" s="5" t="s">
        <v>238</v>
      </c>
      <c r="AH3685" s="5" t="s">
        <v>238</v>
      </c>
      <c r="AI3685" s="5" t="s">
        <v>238</v>
      </c>
      <c r="AJ3685" s="5" t="s">
        <v>238</v>
      </c>
      <c r="AK3685" s="5" t="s">
        <v>238</v>
      </c>
      <c r="AL3685" s="5" t="s">
        <v>238</v>
      </c>
      <c r="AM3685" s="6" t="s">
        <v>238</v>
      </c>
      <c r="AN3685" s="6" t="s">
        <v>238</v>
      </c>
      <c r="AO3685" s="6" t="s">
        <v>238</v>
      </c>
      <c r="AP3685" s="6" t="s">
        <v>238</v>
      </c>
      <c r="AQ3685" s="5" t="s">
        <v>238</v>
      </c>
      <c r="AR3685" s="5" t="s">
        <v>488</v>
      </c>
      <c r="AS3685" s="5" t="s">
        <v>488</v>
      </c>
      <c r="AT3685" s="5" t="s">
        <v>246</v>
      </c>
      <c r="AU3685" s="5" t="s">
        <v>489</v>
      </c>
      <c r="AV3685" s="5" t="s">
        <v>247</v>
      </c>
      <c r="AW3685" s="5" t="s">
        <v>238</v>
      </c>
      <c r="AX3685" s="5" t="s">
        <v>249</v>
      </c>
      <c r="AY3685" s="5" t="s">
        <v>490</v>
      </c>
      <c r="BA3685" s="5" t="s">
        <v>238</v>
      </c>
      <c r="BC3685" s="5" t="s">
        <v>491</v>
      </c>
      <c r="BD3685" s="6" t="s">
        <v>492</v>
      </c>
      <c r="BE3685" s="5" t="s">
        <v>493</v>
      </c>
      <c r="BF3685" s="5" t="s">
        <v>493</v>
      </c>
      <c r="BG3685" s="5" t="s">
        <v>238</v>
      </c>
      <c r="BH3685" s="8">
        <f>1</f>
        <v>1</v>
      </c>
      <c r="BI3685" s="8">
        <f>1</f>
        <v>1</v>
      </c>
      <c r="BJ3685" s="5" t="s">
        <v>253</v>
      </c>
      <c r="BK3685" s="5" t="s">
        <v>254</v>
      </c>
      <c r="BL3685" s="5" t="s">
        <v>238</v>
      </c>
      <c r="BM3685" s="5" t="s">
        <v>238</v>
      </c>
      <c r="BN3685" s="5" t="s">
        <v>238</v>
      </c>
      <c r="BO3685" s="5" t="s">
        <v>238</v>
      </c>
      <c r="BP3685" s="5" t="s">
        <v>238</v>
      </c>
      <c r="BQ3685" s="5" t="s">
        <v>238</v>
      </c>
      <c r="BR3685" s="5" t="s">
        <v>238</v>
      </c>
      <c r="BS3685" s="5" t="s">
        <v>238</v>
      </c>
      <c r="BT3685" s="6" t="s">
        <v>238</v>
      </c>
      <c r="BU3685" s="5" t="s">
        <v>238</v>
      </c>
      <c r="BV3685" s="5" t="s">
        <v>238</v>
      </c>
      <c r="BW3685" s="5" t="s">
        <v>238</v>
      </c>
      <c r="BX3685" s="5" t="s">
        <v>254</v>
      </c>
      <c r="BY3685" s="5" t="s">
        <v>238</v>
      </c>
      <c r="BZ3685" s="5" t="s">
        <v>238</v>
      </c>
      <c r="CA3685" s="5" t="s">
        <v>238</v>
      </c>
      <c r="CB3685" s="5" t="s">
        <v>238</v>
      </c>
      <c r="CC3685" s="5" t="s">
        <v>238</v>
      </c>
      <c r="CD3685" s="5" t="s">
        <v>273</v>
      </c>
      <c r="CE3685" s="5" t="s">
        <v>256</v>
      </c>
      <c r="CF3685" s="5" t="s">
        <v>238</v>
      </c>
      <c r="CH3685" s="5" t="s">
        <v>494</v>
      </c>
      <c r="CI3685" s="6" t="s">
        <v>257</v>
      </c>
      <c r="CJ3685" s="5" t="s">
        <v>495</v>
      </c>
      <c r="CK3685" s="5" t="s">
        <v>258</v>
      </c>
      <c r="CL3685" s="5" t="s">
        <v>496</v>
      </c>
      <c r="CM3685" s="5" t="s">
        <v>238</v>
      </c>
      <c r="CN3685" s="5">
        <v>0</v>
      </c>
      <c r="CO3685" s="5" t="s">
        <v>497</v>
      </c>
      <c r="CP3685" s="5" t="s">
        <v>260</v>
      </c>
      <c r="CQ3685" s="5" t="s">
        <v>260</v>
      </c>
      <c r="CR3685" s="5" t="s">
        <v>261</v>
      </c>
      <c r="CS3685" s="5" t="s">
        <v>498</v>
      </c>
      <c r="CT3685" s="7">
        <f>1</f>
        <v>1</v>
      </c>
      <c r="CU3685" s="8">
        <f>1</f>
        <v>1</v>
      </c>
      <c r="CV3685" s="8">
        <f>0</f>
        <v>0</v>
      </c>
      <c r="CX3685" s="8">
        <f>1</f>
        <v>1</v>
      </c>
      <c r="CY3685" s="8">
        <f>1</f>
        <v>1</v>
      </c>
      <c r="CZ3685" s="8" t="s">
        <v>238</v>
      </c>
      <c r="DA3685" s="5" t="s">
        <v>238</v>
      </c>
      <c r="DB3685" s="5" t="s">
        <v>238</v>
      </c>
      <c r="DC3685" s="5" t="s">
        <v>238</v>
      </c>
      <c r="DD3685" s="5" t="s">
        <v>238</v>
      </c>
      <c r="DE3685" s="8">
        <f>0</f>
        <v>0</v>
      </c>
      <c r="DG3685" s="5" t="s">
        <v>238</v>
      </c>
      <c r="DH3685" s="5" t="s">
        <v>238</v>
      </c>
      <c r="DI3685" s="5" t="s">
        <v>238</v>
      </c>
      <c r="DJ3685" s="5" t="s">
        <v>238</v>
      </c>
      <c r="DK3685" s="5" t="s">
        <v>238</v>
      </c>
      <c r="DL3685" s="5" t="s">
        <v>238</v>
      </c>
      <c r="DM3685" s="8" t="s">
        <v>238</v>
      </c>
      <c r="DN3685" s="5" t="s">
        <v>238</v>
      </c>
      <c r="DO3685" s="5" t="s">
        <v>238</v>
      </c>
      <c r="DP3685" s="5" t="s">
        <v>490</v>
      </c>
      <c r="DQ3685" s="5" t="s">
        <v>490</v>
      </c>
      <c r="DR3685" s="5" t="s">
        <v>238</v>
      </c>
      <c r="DS3685" s="5" t="s">
        <v>238</v>
      </c>
      <c r="DT3685" s="5" t="s">
        <v>500</v>
      </c>
      <c r="DU3685" s="5" t="s">
        <v>586</v>
      </c>
      <c r="DV3685" s="5" t="s">
        <v>238</v>
      </c>
      <c r="DW3685" s="5" t="s">
        <v>238</v>
      </c>
      <c r="DX3685" s="5" t="s">
        <v>238</v>
      </c>
      <c r="DY3685" s="5" t="s">
        <v>238</v>
      </c>
      <c r="DZ3685" s="5" t="s">
        <v>238</v>
      </c>
      <c r="EA3685" s="5" t="s">
        <v>238</v>
      </c>
      <c r="EB3685" s="5" t="s">
        <v>238</v>
      </c>
      <c r="EC3685" s="5" t="s">
        <v>238</v>
      </c>
      <c r="ED3685" s="5" t="s">
        <v>238</v>
      </c>
      <c r="EE3685" s="5" t="s">
        <v>238</v>
      </c>
      <c r="EF3685" s="5" t="s">
        <v>238</v>
      </c>
      <c r="EG3685" s="5" t="s">
        <v>238</v>
      </c>
      <c r="EH3685" s="5" t="s">
        <v>238</v>
      </c>
      <c r="EI3685" s="5" t="s">
        <v>238</v>
      </c>
      <c r="EJ3685" s="5" t="s">
        <v>238</v>
      </c>
      <c r="EK3685" s="5" t="s">
        <v>238</v>
      </c>
      <c r="EL3685" s="5" t="s">
        <v>238</v>
      </c>
      <c r="EM3685" s="5" t="s">
        <v>238</v>
      </c>
      <c r="EN3685" s="5" t="s">
        <v>238</v>
      </c>
      <c r="EO3685" s="5" t="s">
        <v>238</v>
      </c>
      <c r="EP3685" s="5" t="s">
        <v>238</v>
      </c>
      <c r="EQ3685" s="5" t="s">
        <v>238</v>
      </c>
      <c r="ER3685" s="5" t="s">
        <v>238</v>
      </c>
      <c r="ES3685" s="5" t="s">
        <v>238</v>
      </c>
      <c r="ET3685" s="5" t="s">
        <v>238</v>
      </c>
      <c r="EU3685" s="5" t="s">
        <v>238</v>
      </c>
      <c r="EV3685" s="5" t="s">
        <v>238</v>
      </c>
      <c r="EW3685" s="5" t="s">
        <v>238</v>
      </c>
      <c r="EX3685" s="5" t="s">
        <v>238</v>
      </c>
      <c r="EY3685" s="5" t="s">
        <v>238</v>
      </c>
      <c r="EZ3685" s="5" t="s">
        <v>238</v>
      </c>
      <c r="FA3685" s="5" t="s">
        <v>238</v>
      </c>
      <c r="FB3685" s="5" t="s">
        <v>238</v>
      </c>
      <c r="FC3685" s="5" t="s">
        <v>238</v>
      </c>
      <c r="FD3685" s="5" t="s">
        <v>238</v>
      </c>
      <c r="FE3685" s="5" t="s">
        <v>238</v>
      </c>
      <c r="FF3685" s="5" t="s">
        <v>238</v>
      </c>
      <c r="FG3685" s="5" t="s">
        <v>238</v>
      </c>
      <c r="FH3685" s="5" t="s">
        <v>238</v>
      </c>
      <c r="FI3685" s="5" t="s">
        <v>238</v>
      </c>
      <c r="FJ3685" s="5" t="s">
        <v>238</v>
      </c>
      <c r="FK3685" s="5" t="s">
        <v>238</v>
      </c>
      <c r="FL3685" s="5" t="s">
        <v>238</v>
      </c>
      <c r="FM3685" s="5" t="s">
        <v>238</v>
      </c>
      <c r="FN3685" s="5" t="s">
        <v>238</v>
      </c>
      <c r="FO3685" s="5" t="s">
        <v>238</v>
      </c>
      <c r="FP3685" s="5" t="s">
        <v>238</v>
      </c>
      <c r="FQ3685" s="5" t="s">
        <v>238</v>
      </c>
      <c r="FR3685" s="5" t="s">
        <v>238</v>
      </c>
      <c r="FS3685" s="5" t="s">
        <v>238</v>
      </c>
      <c r="FT3685" s="5" t="s">
        <v>238</v>
      </c>
      <c r="FU3685" s="5" t="s">
        <v>238</v>
      </c>
      <c r="FV3685" s="5" t="s">
        <v>238</v>
      </c>
      <c r="FW3685" s="5" t="s">
        <v>238</v>
      </c>
      <c r="FX3685" s="5" t="s">
        <v>238</v>
      </c>
      <c r="FY3685" s="5" t="s">
        <v>238</v>
      </c>
      <c r="FZ3685" s="5" t="s">
        <v>238</v>
      </c>
      <c r="GA3685" s="5" t="s">
        <v>238</v>
      </c>
      <c r="GB3685" s="5" t="s">
        <v>238</v>
      </c>
      <c r="GC3685" s="5" t="s">
        <v>238</v>
      </c>
      <c r="GD3685" s="5" t="s">
        <v>238</v>
      </c>
      <c r="GE3685" s="5" t="s">
        <v>238</v>
      </c>
      <c r="GF3685" s="5" t="s">
        <v>238</v>
      </c>
      <c r="GG3685" s="5" t="s">
        <v>238</v>
      </c>
      <c r="GH3685" s="5" t="s">
        <v>238</v>
      </c>
      <c r="GI3685" s="5" t="s">
        <v>238</v>
      </c>
      <c r="GJ3685" s="5" t="s">
        <v>238</v>
      </c>
      <c r="GK3685" s="5" t="s">
        <v>238</v>
      </c>
      <c r="GL3685" s="5" t="s">
        <v>238</v>
      </c>
      <c r="GM3685" s="5" t="s">
        <v>238</v>
      </c>
      <c r="GN3685" s="5" t="s">
        <v>238</v>
      </c>
      <c r="GO3685" s="5" t="s">
        <v>238</v>
      </c>
      <c r="GP3685" s="5" t="s">
        <v>238</v>
      </c>
      <c r="GQ3685" s="5" t="s">
        <v>238</v>
      </c>
      <c r="GR3685" s="5" t="s">
        <v>238</v>
      </c>
      <c r="GS3685" s="5" t="s">
        <v>238</v>
      </c>
      <c r="GT3685" s="5" t="s">
        <v>238</v>
      </c>
      <c r="GU3685" s="5" t="s">
        <v>238</v>
      </c>
      <c r="GV3685" s="5" t="s">
        <v>238</v>
      </c>
      <c r="GW3685" s="5" t="s">
        <v>238</v>
      </c>
      <c r="GX3685" s="5" t="s">
        <v>238</v>
      </c>
      <c r="GY3685" s="5" t="s">
        <v>238</v>
      </c>
      <c r="GZ3685" s="5" t="s">
        <v>238</v>
      </c>
      <c r="HA3685" s="5" t="s">
        <v>238</v>
      </c>
      <c r="HB3685" s="5" t="s">
        <v>238</v>
      </c>
      <c r="HC3685" s="5" t="s">
        <v>238</v>
      </c>
      <c r="HD3685" s="5" t="s">
        <v>238</v>
      </c>
      <c r="HE3685" s="5" t="s">
        <v>238</v>
      </c>
      <c r="HF3685" s="5" t="s">
        <v>238</v>
      </c>
      <c r="HG3685" s="5" t="s">
        <v>238</v>
      </c>
      <c r="HH3685" s="5" t="s">
        <v>238</v>
      </c>
      <c r="HI3685" s="5" t="s">
        <v>238</v>
      </c>
      <c r="HJ3685" s="5" t="s">
        <v>238</v>
      </c>
      <c r="HK3685" s="5" t="s">
        <v>238</v>
      </c>
      <c r="HL3685" s="5" t="s">
        <v>238</v>
      </c>
      <c r="HM3685" s="5" t="s">
        <v>264</v>
      </c>
      <c r="HN3685" s="5" t="s">
        <v>238</v>
      </c>
      <c r="HO3685" s="5" t="s">
        <v>238</v>
      </c>
      <c r="HP3685" s="5" t="s">
        <v>238</v>
      </c>
      <c r="HQ3685" s="5" t="s">
        <v>238</v>
      </c>
      <c r="HR3685" s="5" t="s">
        <v>238</v>
      </c>
      <c r="HS3685" s="5" t="s">
        <v>238</v>
      </c>
      <c r="HT3685" s="5" t="s">
        <v>238</v>
      </c>
      <c r="HU3685" s="5" t="s">
        <v>238</v>
      </c>
      <c r="HV3685" s="5" t="s">
        <v>238</v>
      </c>
      <c r="HW3685" s="5" t="s">
        <v>238</v>
      </c>
      <c r="HX3685" s="5" t="s">
        <v>238</v>
      </c>
      <c r="HY3685" s="5" t="s">
        <v>238</v>
      </c>
      <c r="HZ3685" s="5" t="s">
        <v>238</v>
      </c>
      <c r="IA3685" s="5" t="s">
        <v>238</v>
      </c>
      <c r="IB3685" s="5" t="s">
        <v>238</v>
      </c>
      <c r="IC3685" s="5" t="s">
        <v>238</v>
      </c>
      <c r="ID3685" s="5" t="s">
        <v>238</v>
      </c>
    </row>
    <row r="3686" spans="1:238" x14ac:dyDescent="0.4">
      <c r="A3686" s="5">
        <v>9404</v>
      </c>
      <c r="B3686" s="5">
        <v>1</v>
      </c>
      <c r="C3686" s="5">
        <v>1</v>
      </c>
      <c r="D3686" s="5" t="s">
        <v>484</v>
      </c>
      <c r="E3686" s="5" t="s">
        <v>485</v>
      </c>
      <c r="F3686" s="5" t="s">
        <v>248</v>
      </c>
      <c r="G3686" s="5" t="s">
        <v>4650</v>
      </c>
      <c r="H3686" s="6" t="s">
        <v>4651</v>
      </c>
      <c r="I3686" s="8">
        <f>1</f>
        <v>1</v>
      </c>
      <c r="J3686" s="5" t="s">
        <v>499</v>
      </c>
      <c r="K3686" s="8">
        <f>1</f>
        <v>1</v>
      </c>
      <c r="L3686" s="6" t="s">
        <v>242</v>
      </c>
      <c r="M3686" s="5" t="s">
        <v>267</v>
      </c>
      <c r="N3686" s="5" t="s">
        <v>482</v>
      </c>
      <c r="O3686" s="5" t="s">
        <v>238</v>
      </c>
      <c r="P3686" s="5" t="s">
        <v>238</v>
      </c>
      <c r="Q3686" s="5" t="s">
        <v>239</v>
      </c>
      <c r="R3686" s="5" t="s">
        <v>270</v>
      </c>
      <c r="S3686" s="5" t="s">
        <v>238</v>
      </c>
      <c r="T3686" s="5" t="s">
        <v>238</v>
      </c>
      <c r="U3686" s="5" t="s">
        <v>238</v>
      </c>
      <c r="V3686" s="5" t="s">
        <v>238</v>
      </c>
      <c r="W3686" s="6" t="s">
        <v>238</v>
      </c>
      <c r="X3686" s="6" t="s">
        <v>238</v>
      </c>
      <c r="Y3686" s="5" t="s">
        <v>238</v>
      </c>
      <c r="Z3686" s="6" t="s">
        <v>238</v>
      </c>
      <c r="AA3686" s="6" t="s">
        <v>243</v>
      </c>
      <c r="AB3686" s="5" t="s">
        <v>486</v>
      </c>
      <c r="AC3686" s="5" t="s">
        <v>244</v>
      </c>
      <c r="AD3686" s="5" t="s">
        <v>245</v>
      </c>
      <c r="AE3686" s="5" t="s">
        <v>238</v>
      </c>
      <c r="AF3686" s="5" t="s">
        <v>238</v>
      </c>
      <c r="AG3686" s="5" t="s">
        <v>238</v>
      </c>
      <c r="AH3686" s="5" t="s">
        <v>238</v>
      </c>
      <c r="AI3686" s="5" t="s">
        <v>238</v>
      </c>
      <c r="AJ3686" s="5" t="s">
        <v>238</v>
      </c>
      <c r="AK3686" s="5" t="s">
        <v>238</v>
      </c>
      <c r="AL3686" s="5" t="s">
        <v>238</v>
      </c>
      <c r="AM3686" s="6" t="s">
        <v>238</v>
      </c>
      <c r="AN3686" s="6" t="s">
        <v>238</v>
      </c>
      <c r="AO3686" s="6" t="s">
        <v>238</v>
      </c>
      <c r="AP3686" s="6" t="s">
        <v>238</v>
      </c>
      <c r="AQ3686" s="5" t="s">
        <v>238</v>
      </c>
      <c r="AR3686" s="5" t="s">
        <v>488</v>
      </c>
      <c r="AS3686" s="5" t="s">
        <v>488</v>
      </c>
      <c r="AT3686" s="5" t="s">
        <v>246</v>
      </c>
      <c r="AU3686" s="5" t="s">
        <v>489</v>
      </c>
      <c r="AV3686" s="5" t="s">
        <v>247</v>
      </c>
      <c r="AW3686" s="5" t="s">
        <v>238</v>
      </c>
      <c r="AX3686" s="5" t="s">
        <v>249</v>
      </c>
      <c r="AY3686" s="5" t="s">
        <v>490</v>
      </c>
      <c r="BA3686" s="5" t="s">
        <v>238</v>
      </c>
      <c r="BC3686" s="5" t="s">
        <v>491</v>
      </c>
      <c r="BD3686" s="6" t="s">
        <v>492</v>
      </c>
      <c r="BE3686" s="5" t="s">
        <v>493</v>
      </c>
      <c r="BF3686" s="5" t="s">
        <v>493</v>
      </c>
      <c r="BG3686" s="5" t="s">
        <v>238</v>
      </c>
      <c r="BH3686" s="8">
        <f>1</f>
        <v>1</v>
      </c>
      <c r="BI3686" s="8">
        <f>1</f>
        <v>1</v>
      </c>
      <c r="BJ3686" s="5" t="s">
        <v>253</v>
      </c>
      <c r="BK3686" s="5" t="s">
        <v>254</v>
      </c>
      <c r="BL3686" s="5" t="s">
        <v>238</v>
      </c>
      <c r="BM3686" s="5" t="s">
        <v>238</v>
      </c>
      <c r="BN3686" s="5" t="s">
        <v>238</v>
      </c>
      <c r="BO3686" s="5" t="s">
        <v>238</v>
      </c>
      <c r="BP3686" s="5" t="s">
        <v>238</v>
      </c>
      <c r="BQ3686" s="5" t="s">
        <v>238</v>
      </c>
      <c r="BR3686" s="5" t="s">
        <v>238</v>
      </c>
      <c r="BS3686" s="5" t="s">
        <v>238</v>
      </c>
      <c r="BT3686" s="6" t="s">
        <v>238</v>
      </c>
      <c r="BU3686" s="5" t="s">
        <v>238</v>
      </c>
      <c r="BV3686" s="5" t="s">
        <v>238</v>
      </c>
      <c r="BW3686" s="5" t="s">
        <v>238</v>
      </c>
      <c r="BX3686" s="5" t="s">
        <v>254</v>
      </c>
      <c r="BY3686" s="5" t="s">
        <v>238</v>
      </c>
      <c r="BZ3686" s="5" t="s">
        <v>238</v>
      </c>
      <c r="CA3686" s="5" t="s">
        <v>238</v>
      </c>
      <c r="CB3686" s="5" t="s">
        <v>238</v>
      </c>
      <c r="CC3686" s="5" t="s">
        <v>238</v>
      </c>
      <c r="CD3686" s="5" t="s">
        <v>273</v>
      </c>
      <c r="CE3686" s="5" t="s">
        <v>256</v>
      </c>
      <c r="CF3686" s="5" t="s">
        <v>238</v>
      </c>
      <c r="CH3686" s="5" t="s">
        <v>494</v>
      </c>
      <c r="CI3686" s="6" t="s">
        <v>257</v>
      </c>
      <c r="CJ3686" s="5" t="s">
        <v>495</v>
      </c>
      <c r="CK3686" s="5" t="s">
        <v>258</v>
      </c>
      <c r="CL3686" s="5" t="s">
        <v>496</v>
      </c>
      <c r="CM3686" s="5" t="s">
        <v>238</v>
      </c>
      <c r="CN3686" s="5">
        <v>0</v>
      </c>
      <c r="CO3686" s="5" t="s">
        <v>497</v>
      </c>
      <c r="CP3686" s="5" t="s">
        <v>260</v>
      </c>
      <c r="CQ3686" s="5" t="s">
        <v>260</v>
      </c>
      <c r="CR3686" s="5" t="s">
        <v>261</v>
      </c>
      <c r="CS3686" s="5" t="s">
        <v>498</v>
      </c>
      <c r="CT3686" s="7">
        <f>1</f>
        <v>1</v>
      </c>
      <c r="CU3686" s="8">
        <f>1</f>
        <v>1</v>
      </c>
      <c r="CV3686" s="8">
        <f>0</f>
        <v>0</v>
      </c>
      <c r="CX3686" s="8">
        <f>1</f>
        <v>1</v>
      </c>
      <c r="CY3686" s="8">
        <f>1</f>
        <v>1</v>
      </c>
      <c r="CZ3686" s="8" t="s">
        <v>238</v>
      </c>
      <c r="DA3686" s="5" t="s">
        <v>238</v>
      </c>
      <c r="DB3686" s="5" t="s">
        <v>238</v>
      </c>
      <c r="DC3686" s="5" t="s">
        <v>238</v>
      </c>
      <c r="DD3686" s="5" t="s">
        <v>238</v>
      </c>
      <c r="DE3686" s="8">
        <f>0</f>
        <v>0</v>
      </c>
      <c r="DG3686" s="5" t="s">
        <v>238</v>
      </c>
      <c r="DH3686" s="5" t="s">
        <v>238</v>
      </c>
      <c r="DI3686" s="5" t="s">
        <v>238</v>
      </c>
      <c r="DJ3686" s="5" t="s">
        <v>238</v>
      </c>
      <c r="DK3686" s="5" t="s">
        <v>238</v>
      </c>
      <c r="DL3686" s="5" t="s">
        <v>238</v>
      </c>
      <c r="DM3686" s="8" t="s">
        <v>238</v>
      </c>
      <c r="DN3686" s="5" t="s">
        <v>238</v>
      </c>
      <c r="DO3686" s="5" t="s">
        <v>238</v>
      </c>
      <c r="DP3686" s="5" t="s">
        <v>490</v>
      </c>
      <c r="DQ3686" s="5" t="s">
        <v>490</v>
      </c>
      <c r="DR3686" s="5" t="s">
        <v>238</v>
      </c>
      <c r="DS3686" s="5" t="s">
        <v>238</v>
      </c>
      <c r="DT3686" s="5" t="s">
        <v>500</v>
      </c>
      <c r="DU3686" s="5" t="s">
        <v>574</v>
      </c>
      <c r="DV3686" s="5" t="s">
        <v>238</v>
      </c>
      <c r="DW3686" s="5" t="s">
        <v>238</v>
      </c>
      <c r="DX3686" s="5" t="s">
        <v>238</v>
      </c>
      <c r="DY3686" s="5" t="s">
        <v>238</v>
      </c>
      <c r="DZ3686" s="5" t="s">
        <v>238</v>
      </c>
      <c r="EA3686" s="5" t="s">
        <v>238</v>
      </c>
      <c r="EB3686" s="5" t="s">
        <v>238</v>
      </c>
      <c r="EC3686" s="5" t="s">
        <v>238</v>
      </c>
      <c r="ED3686" s="5" t="s">
        <v>238</v>
      </c>
      <c r="EE3686" s="5" t="s">
        <v>238</v>
      </c>
      <c r="EF3686" s="5" t="s">
        <v>238</v>
      </c>
      <c r="EG3686" s="5" t="s">
        <v>238</v>
      </c>
      <c r="EH3686" s="5" t="s">
        <v>238</v>
      </c>
      <c r="EI3686" s="5" t="s">
        <v>238</v>
      </c>
      <c r="EJ3686" s="5" t="s">
        <v>238</v>
      </c>
      <c r="EK3686" s="5" t="s">
        <v>238</v>
      </c>
      <c r="EL3686" s="5" t="s">
        <v>238</v>
      </c>
      <c r="EM3686" s="5" t="s">
        <v>238</v>
      </c>
      <c r="EN3686" s="5" t="s">
        <v>238</v>
      </c>
      <c r="EO3686" s="5" t="s">
        <v>238</v>
      </c>
      <c r="EP3686" s="5" t="s">
        <v>238</v>
      </c>
      <c r="EQ3686" s="5" t="s">
        <v>238</v>
      </c>
      <c r="ER3686" s="5" t="s">
        <v>238</v>
      </c>
      <c r="ES3686" s="5" t="s">
        <v>238</v>
      </c>
      <c r="ET3686" s="5" t="s">
        <v>238</v>
      </c>
      <c r="EU3686" s="5" t="s">
        <v>238</v>
      </c>
      <c r="EV3686" s="5" t="s">
        <v>238</v>
      </c>
      <c r="EW3686" s="5" t="s">
        <v>238</v>
      </c>
      <c r="EX3686" s="5" t="s">
        <v>238</v>
      </c>
      <c r="EY3686" s="5" t="s">
        <v>238</v>
      </c>
      <c r="EZ3686" s="5" t="s">
        <v>238</v>
      </c>
      <c r="FA3686" s="5" t="s">
        <v>238</v>
      </c>
      <c r="FB3686" s="5" t="s">
        <v>238</v>
      </c>
      <c r="FC3686" s="5" t="s">
        <v>238</v>
      </c>
      <c r="FD3686" s="5" t="s">
        <v>238</v>
      </c>
      <c r="FE3686" s="5" t="s">
        <v>238</v>
      </c>
      <c r="FF3686" s="5" t="s">
        <v>238</v>
      </c>
      <c r="FG3686" s="5" t="s">
        <v>238</v>
      </c>
      <c r="FH3686" s="5" t="s">
        <v>238</v>
      </c>
      <c r="FI3686" s="5" t="s">
        <v>238</v>
      </c>
      <c r="FJ3686" s="5" t="s">
        <v>238</v>
      </c>
      <c r="FK3686" s="5" t="s">
        <v>238</v>
      </c>
      <c r="FL3686" s="5" t="s">
        <v>238</v>
      </c>
      <c r="FM3686" s="5" t="s">
        <v>238</v>
      </c>
      <c r="FN3686" s="5" t="s">
        <v>238</v>
      </c>
      <c r="FO3686" s="5" t="s">
        <v>238</v>
      </c>
      <c r="FP3686" s="5" t="s">
        <v>238</v>
      </c>
      <c r="FQ3686" s="5" t="s">
        <v>238</v>
      </c>
      <c r="FR3686" s="5" t="s">
        <v>238</v>
      </c>
      <c r="FS3686" s="5" t="s">
        <v>238</v>
      </c>
      <c r="FT3686" s="5" t="s">
        <v>238</v>
      </c>
      <c r="FU3686" s="5" t="s">
        <v>238</v>
      </c>
      <c r="FV3686" s="5" t="s">
        <v>238</v>
      </c>
      <c r="FW3686" s="5" t="s">
        <v>238</v>
      </c>
      <c r="FX3686" s="5" t="s">
        <v>238</v>
      </c>
      <c r="FY3686" s="5" t="s">
        <v>238</v>
      </c>
      <c r="FZ3686" s="5" t="s">
        <v>238</v>
      </c>
      <c r="GA3686" s="5" t="s">
        <v>238</v>
      </c>
      <c r="GB3686" s="5" t="s">
        <v>238</v>
      </c>
      <c r="GC3686" s="5" t="s">
        <v>238</v>
      </c>
      <c r="GD3686" s="5" t="s">
        <v>238</v>
      </c>
      <c r="GE3686" s="5" t="s">
        <v>238</v>
      </c>
      <c r="GF3686" s="5" t="s">
        <v>238</v>
      </c>
      <c r="GG3686" s="5" t="s">
        <v>238</v>
      </c>
      <c r="GH3686" s="5" t="s">
        <v>238</v>
      </c>
      <c r="GI3686" s="5" t="s">
        <v>238</v>
      </c>
      <c r="GJ3686" s="5" t="s">
        <v>238</v>
      </c>
      <c r="GK3686" s="5" t="s">
        <v>238</v>
      </c>
      <c r="GL3686" s="5" t="s">
        <v>238</v>
      </c>
      <c r="GM3686" s="5" t="s">
        <v>238</v>
      </c>
      <c r="GN3686" s="5" t="s">
        <v>238</v>
      </c>
      <c r="GO3686" s="5" t="s">
        <v>238</v>
      </c>
      <c r="GP3686" s="5" t="s">
        <v>238</v>
      </c>
      <c r="GQ3686" s="5" t="s">
        <v>238</v>
      </c>
      <c r="GR3686" s="5" t="s">
        <v>238</v>
      </c>
      <c r="GS3686" s="5" t="s">
        <v>238</v>
      </c>
      <c r="GT3686" s="5" t="s">
        <v>238</v>
      </c>
      <c r="GU3686" s="5" t="s">
        <v>238</v>
      </c>
      <c r="GV3686" s="5" t="s">
        <v>238</v>
      </c>
      <c r="GW3686" s="5" t="s">
        <v>238</v>
      </c>
      <c r="GX3686" s="5" t="s">
        <v>238</v>
      </c>
      <c r="GY3686" s="5" t="s">
        <v>238</v>
      </c>
      <c r="GZ3686" s="5" t="s">
        <v>238</v>
      </c>
      <c r="HA3686" s="5" t="s">
        <v>238</v>
      </c>
      <c r="HB3686" s="5" t="s">
        <v>238</v>
      </c>
      <c r="HC3686" s="5" t="s">
        <v>238</v>
      </c>
      <c r="HD3686" s="5" t="s">
        <v>238</v>
      </c>
      <c r="HE3686" s="5" t="s">
        <v>238</v>
      </c>
      <c r="HF3686" s="5" t="s">
        <v>238</v>
      </c>
      <c r="HG3686" s="5" t="s">
        <v>238</v>
      </c>
      <c r="HH3686" s="5" t="s">
        <v>238</v>
      </c>
      <c r="HI3686" s="5" t="s">
        <v>238</v>
      </c>
      <c r="HJ3686" s="5" t="s">
        <v>238</v>
      </c>
      <c r="HK3686" s="5" t="s">
        <v>238</v>
      </c>
      <c r="HL3686" s="5" t="s">
        <v>238</v>
      </c>
      <c r="HM3686" s="5" t="s">
        <v>264</v>
      </c>
      <c r="HN3686" s="5" t="s">
        <v>238</v>
      </c>
      <c r="HO3686" s="5" t="s">
        <v>238</v>
      </c>
      <c r="HP3686" s="5" t="s">
        <v>238</v>
      </c>
      <c r="HQ3686" s="5" t="s">
        <v>238</v>
      </c>
      <c r="HR3686" s="5" t="s">
        <v>238</v>
      </c>
      <c r="HS3686" s="5" t="s">
        <v>238</v>
      </c>
      <c r="HT3686" s="5" t="s">
        <v>238</v>
      </c>
      <c r="HU3686" s="5" t="s">
        <v>238</v>
      </c>
      <c r="HV3686" s="5" t="s">
        <v>238</v>
      </c>
      <c r="HW3686" s="5" t="s">
        <v>238</v>
      </c>
      <c r="HX3686" s="5" t="s">
        <v>238</v>
      </c>
      <c r="HY3686" s="5" t="s">
        <v>238</v>
      </c>
      <c r="HZ3686" s="5" t="s">
        <v>238</v>
      </c>
      <c r="IA3686" s="5" t="s">
        <v>238</v>
      </c>
      <c r="IB3686" s="5" t="s">
        <v>238</v>
      </c>
      <c r="IC3686" s="5" t="s">
        <v>238</v>
      </c>
      <c r="ID3686" s="5" t="s">
        <v>238</v>
      </c>
    </row>
    <row r="3687" spans="1:238" x14ac:dyDescent="0.4">
      <c r="A3687" s="5">
        <v>9405</v>
      </c>
      <c r="B3687" s="5">
        <v>1</v>
      </c>
      <c r="C3687" s="5">
        <v>1</v>
      </c>
      <c r="D3687" s="5" t="s">
        <v>484</v>
      </c>
      <c r="E3687" s="5" t="s">
        <v>485</v>
      </c>
      <c r="F3687" s="5" t="s">
        <v>248</v>
      </c>
      <c r="G3687" s="5" t="s">
        <v>6372</v>
      </c>
      <c r="H3687" s="6" t="s">
        <v>6373</v>
      </c>
      <c r="I3687" s="8">
        <f>1</f>
        <v>1</v>
      </c>
      <c r="J3687" s="5" t="s">
        <v>499</v>
      </c>
      <c r="K3687" s="8">
        <f>1</f>
        <v>1</v>
      </c>
      <c r="L3687" s="6" t="s">
        <v>242</v>
      </c>
      <c r="M3687" s="5" t="s">
        <v>267</v>
      </c>
      <c r="N3687" s="5" t="s">
        <v>482</v>
      </c>
      <c r="O3687" s="5" t="s">
        <v>238</v>
      </c>
      <c r="P3687" s="5" t="s">
        <v>238</v>
      </c>
      <c r="Q3687" s="5" t="s">
        <v>239</v>
      </c>
      <c r="R3687" s="5" t="s">
        <v>270</v>
      </c>
      <c r="S3687" s="5" t="s">
        <v>238</v>
      </c>
      <c r="T3687" s="5" t="s">
        <v>238</v>
      </c>
      <c r="U3687" s="5" t="s">
        <v>238</v>
      </c>
      <c r="V3687" s="5" t="s">
        <v>238</v>
      </c>
      <c r="W3687" s="6" t="s">
        <v>238</v>
      </c>
      <c r="X3687" s="6" t="s">
        <v>238</v>
      </c>
      <c r="Y3687" s="5" t="s">
        <v>238</v>
      </c>
      <c r="Z3687" s="6" t="s">
        <v>238</v>
      </c>
      <c r="AA3687" s="6" t="s">
        <v>243</v>
      </c>
      <c r="AB3687" s="5" t="s">
        <v>486</v>
      </c>
      <c r="AC3687" s="5" t="s">
        <v>244</v>
      </c>
      <c r="AD3687" s="5" t="s">
        <v>245</v>
      </c>
      <c r="AE3687" s="5" t="s">
        <v>238</v>
      </c>
      <c r="AF3687" s="5" t="s">
        <v>238</v>
      </c>
      <c r="AG3687" s="5" t="s">
        <v>238</v>
      </c>
      <c r="AH3687" s="5" t="s">
        <v>238</v>
      </c>
      <c r="AI3687" s="5" t="s">
        <v>238</v>
      </c>
      <c r="AJ3687" s="5" t="s">
        <v>238</v>
      </c>
      <c r="AK3687" s="5" t="s">
        <v>238</v>
      </c>
      <c r="AL3687" s="5" t="s">
        <v>238</v>
      </c>
      <c r="AM3687" s="6" t="s">
        <v>238</v>
      </c>
      <c r="AN3687" s="6" t="s">
        <v>238</v>
      </c>
      <c r="AO3687" s="6" t="s">
        <v>238</v>
      </c>
      <c r="AP3687" s="6" t="s">
        <v>238</v>
      </c>
      <c r="AQ3687" s="5" t="s">
        <v>238</v>
      </c>
      <c r="AR3687" s="5" t="s">
        <v>488</v>
      </c>
      <c r="AS3687" s="5" t="s">
        <v>488</v>
      </c>
      <c r="AT3687" s="5" t="s">
        <v>246</v>
      </c>
      <c r="AU3687" s="5" t="s">
        <v>489</v>
      </c>
      <c r="AV3687" s="5" t="s">
        <v>247</v>
      </c>
      <c r="AW3687" s="5" t="s">
        <v>238</v>
      </c>
      <c r="AX3687" s="5" t="s">
        <v>249</v>
      </c>
      <c r="AY3687" s="5" t="s">
        <v>490</v>
      </c>
      <c r="BA3687" s="5" t="s">
        <v>238</v>
      </c>
      <c r="BC3687" s="5" t="s">
        <v>491</v>
      </c>
      <c r="BD3687" s="6" t="s">
        <v>492</v>
      </c>
      <c r="BE3687" s="5" t="s">
        <v>493</v>
      </c>
      <c r="BF3687" s="5" t="s">
        <v>493</v>
      </c>
      <c r="BG3687" s="5" t="s">
        <v>238</v>
      </c>
      <c r="BH3687" s="8">
        <f>1</f>
        <v>1</v>
      </c>
      <c r="BI3687" s="8">
        <f>1</f>
        <v>1</v>
      </c>
      <c r="BJ3687" s="5" t="s">
        <v>253</v>
      </c>
      <c r="BK3687" s="5" t="s">
        <v>254</v>
      </c>
      <c r="BL3687" s="5" t="s">
        <v>238</v>
      </c>
      <c r="BM3687" s="5" t="s">
        <v>238</v>
      </c>
      <c r="BN3687" s="5" t="s">
        <v>238</v>
      </c>
      <c r="BO3687" s="5" t="s">
        <v>238</v>
      </c>
      <c r="BP3687" s="5" t="s">
        <v>238</v>
      </c>
      <c r="BQ3687" s="5" t="s">
        <v>238</v>
      </c>
      <c r="BR3687" s="5" t="s">
        <v>238</v>
      </c>
      <c r="BS3687" s="5" t="s">
        <v>238</v>
      </c>
      <c r="BT3687" s="6" t="s">
        <v>238</v>
      </c>
      <c r="BU3687" s="5" t="s">
        <v>238</v>
      </c>
      <c r="BV3687" s="5" t="s">
        <v>238</v>
      </c>
      <c r="BW3687" s="5" t="s">
        <v>238</v>
      </c>
      <c r="BX3687" s="5" t="s">
        <v>254</v>
      </c>
      <c r="BY3687" s="5" t="s">
        <v>238</v>
      </c>
      <c r="BZ3687" s="5" t="s">
        <v>238</v>
      </c>
      <c r="CA3687" s="5" t="s">
        <v>238</v>
      </c>
      <c r="CB3687" s="5" t="s">
        <v>238</v>
      </c>
      <c r="CC3687" s="5" t="s">
        <v>238</v>
      </c>
      <c r="CD3687" s="5" t="s">
        <v>273</v>
      </c>
      <c r="CE3687" s="5" t="s">
        <v>256</v>
      </c>
      <c r="CF3687" s="5" t="s">
        <v>238</v>
      </c>
      <c r="CH3687" s="5" t="s">
        <v>494</v>
      </c>
      <c r="CI3687" s="6" t="s">
        <v>257</v>
      </c>
      <c r="CJ3687" s="5" t="s">
        <v>495</v>
      </c>
      <c r="CK3687" s="5" t="s">
        <v>258</v>
      </c>
      <c r="CL3687" s="5" t="s">
        <v>496</v>
      </c>
      <c r="CM3687" s="5" t="s">
        <v>238</v>
      </c>
      <c r="CN3687" s="5">
        <v>0</v>
      </c>
      <c r="CO3687" s="5" t="s">
        <v>497</v>
      </c>
      <c r="CP3687" s="5" t="s">
        <v>260</v>
      </c>
      <c r="CQ3687" s="5" t="s">
        <v>260</v>
      </c>
      <c r="CR3687" s="5" t="s">
        <v>261</v>
      </c>
      <c r="CS3687" s="5" t="s">
        <v>498</v>
      </c>
      <c r="CT3687" s="7">
        <f>1</f>
        <v>1</v>
      </c>
      <c r="CU3687" s="8">
        <f>1</f>
        <v>1</v>
      </c>
      <c r="CV3687" s="8">
        <f>0</f>
        <v>0</v>
      </c>
      <c r="CX3687" s="8">
        <f>1</f>
        <v>1</v>
      </c>
      <c r="CY3687" s="8">
        <f>1</f>
        <v>1</v>
      </c>
      <c r="CZ3687" s="8" t="s">
        <v>238</v>
      </c>
      <c r="DA3687" s="5" t="s">
        <v>238</v>
      </c>
      <c r="DB3687" s="5" t="s">
        <v>238</v>
      </c>
      <c r="DC3687" s="5" t="s">
        <v>238</v>
      </c>
      <c r="DD3687" s="5" t="s">
        <v>238</v>
      </c>
      <c r="DE3687" s="8">
        <f>0</f>
        <v>0</v>
      </c>
      <c r="DG3687" s="5" t="s">
        <v>238</v>
      </c>
      <c r="DH3687" s="5" t="s">
        <v>238</v>
      </c>
      <c r="DI3687" s="5" t="s">
        <v>238</v>
      </c>
      <c r="DJ3687" s="5" t="s">
        <v>238</v>
      </c>
      <c r="DK3687" s="5" t="s">
        <v>238</v>
      </c>
      <c r="DL3687" s="5" t="s">
        <v>238</v>
      </c>
      <c r="DM3687" s="8" t="s">
        <v>238</v>
      </c>
      <c r="DN3687" s="5" t="s">
        <v>238</v>
      </c>
      <c r="DO3687" s="5" t="s">
        <v>238</v>
      </c>
      <c r="DP3687" s="5" t="s">
        <v>490</v>
      </c>
      <c r="DQ3687" s="5" t="s">
        <v>490</v>
      </c>
      <c r="DR3687" s="5" t="s">
        <v>238</v>
      </c>
      <c r="DS3687" s="5" t="s">
        <v>238</v>
      </c>
      <c r="DT3687" s="5" t="s">
        <v>500</v>
      </c>
      <c r="DU3687" s="5" t="s">
        <v>562</v>
      </c>
      <c r="DV3687" s="5" t="s">
        <v>238</v>
      </c>
      <c r="DW3687" s="5" t="s">
        <v>238</v>
      </c>
      <c r="DX3687" s="5" t="s">
        <v>238</v>
      </c>
      <c r="DY3687" s="5" t="s">
        <v>238</v>
      </c>
      <c r="DZ3687" s="5" t="s">
        <v>238</v>
      </c>
      <c r="EA3687" s="5" t="s">
        <v>238</v>
      </c>
      <c r="EB3687" s="5" t="s">
        <v>238</v>
      </c>
      <c r="EC3687" s="5" t="s">
        <v>238</v>
      </c>
      <c r="ED3687" s="5" t="s">
        <v>238</v>
      </c>
      <c r="EE3687" s="5" t="s">
        <v>238</v>
      </c>
      <c r="EF3687" s="5" t="s">
        <v>238</v>
      </c>
      <c r="EG3687" s="5" t="s">
        <v>238</v>
      </c>
      <c r="EH3687" s="5" t="s">
        <v>238</v>
      </c>
      <c r="EI3687" s="5" t="s">
        <v>238</v>
      </c>
      <c r="EJ3687" s="5" t="s">
        <v>238</v>
      </c>
      <c r="EK3687" s="5" t="s">
        <v>238</v>
      </c>
      <c r="EL3687" s="5" t="s">
        <v>238</v>
      </c>
      <c r="EM3687" s="5" t="s">
        <v>238</v>
      </c>
      <c r="EN3687" s="5" t="s">
        <v>238</v>
      </c>
      <c r="EO3687" s="5" t="s">
        <v>238</v>
      </c>
      <c r="EP3687" s="5" t="s">
        <v>238</v>
      </c>
      <c r="EQ3687" s="5" t="s">
        <v>238</v>
      </c>
      <c r="ER3687" s="5" t="s">
        <v>238</v>
      </c>
      <c r="ES3687" s="5" t="s">
        <v>238</v>
      </c>
      <c r="ET3687" s="5" t="s">
        <v>238</v>
      </c>
      <c r="EU3687" s="5" t="s">
        <v>238</v>
      </c>
      <c r="EV3687" s="5" t="s">
        <v>238</v>
      </c>
      <c r="EW3687" s="5" t="s">
        <v>238</v>
      </c>
      <c r="EX3687" s="5" t="s">
        <v>238</v>
      </c>
      <c r="EY3687" s="5" t="s">
        <v>238</v>
      </c>
      <c r="EZ3687" s="5" t="s">
        <v>238</v>
      </c>
      <c r="FA3687" s="5" t="s">
        <v>238</v>
      </c>
      <c r="FB3687" s="5" t="s">
        <v>238</v>
      </c>
      <c r="FC3687" s="5" t="s">
        <v>238</v>
      </c>
      <c r="FD3687" s="5" t="s">
        <v>238</v>
      </c>
      <c r="FE3687" s="5" t="s">
        <v>238</v>
      </c>
      <c r="FF3687" s="5" t="s">
        <v>238</v>
      </c>
      <c r="FG3687" s="5" t="s">
        <v>238</v>
      </c>
      <c r="FH3687" s="5" t="s">
        <v>238</v>
      </c>
      <c r="FI3687" s="5" t="s">
        <v>238</v>
      </c>
      <c r="FJ3687" s="5" t="s">
        <v>238</v>
      </c>
      <c r="FK3687" s="5" t="s">
        <v>238</v>
      </c>
      <c r="FL3687" s="5" t="s">
        <v>238</v>
      </c>
      <c r="FM3687" s="5" t="s">
        <v>238</v>
      </c>
      <c r="FN3687" s="5" t="s">
        <v>238</v>
      </c>
      <c r="FO3687" s="5" t="s">
        <v>238</v>
      </c>
      <c r="FP3687" s="5" t="s">
        <v>238</v>
      </c>
      <c r="FQ3687" s="5" t="s">
        <v>238</v>
      </c>
      <c r="FR3687" s="5" t="s">
        <v>238</v>
      </c>
      <c r="FS3687" s="5" t="s">
        <v>238</v>
      </c>
      <c r="FT3687" s="5" t="s">
        <v>238</v>
      </c>
      <c r="FU3687" s="5" t="s">
        <v>238</v>
      </c>
      <c r="FV3687" s="5" t="s">
        <v>238</v>
      </c>
      <c r="FW3687" s="5" t="s">
        <v>238</v>
      </c>
      <c r="FX3687" s="5" t="s">
        <v>238</v>
      </c>
      <c r="FY3687" s="5" t="s">
        <v>238</v>
      </c>
      <c r="FZ3687" s="5" t="s">
        <v>238</v>
      </c>
      <c r="GA3687" s="5" t="s">
        <v>238</v>
      </c>
      <c r="GB3687" s="5" t="s">
        <v>238</v>
      </c>
      <c r="GC3687" s="5" t="s">
        <v>238</v>
      </c>
      <c r="GD3687" s="5" t="s">
        <v>238</v>
      </c>
      <c r="GE3687" s="5" t="s">
        <v>238</v>
      </c>
      <c r="GF3687" s="5" t="s">
        <v>238</v>
      </c>
      <c r="GG3687" s="5" t="s">
        <v>238</v>
      </c>
      <c r="GH3687" s="5" t="s">
        <v>238</v>
      </c>
      <c r="GI3687" s="5" t="s">
        <v>238</v>
      </c>
      <c r="GJ3687" s="5" t="s">
        <v>238</v>
      </c>
      <c r="GK3687" s="5" t="s">
        <v>238</v>
      </c>
      <c r="GL3687" s="5" t="s">
        <v>238</v>
      </c>
      <c r="GM3687" s="5" t="s">
        <v>238</v>
      </c>
      <c r="GN3687" s="5" t="s">
        <v>238</v>
      </c>
      <c r="GO3687" s="5" t="s">
        <v>238</v>
      </c>
      <c r="GP3687" s="5" t="s">
        <v>238</v>
      </c>
      <c r="GQ3687" s="5" t="s">
        <v>238</v>
      </c>
      <c r="GR3687" s="5" t="s">
        <v>238</v>
      </c>
      <c r="GS3687" s="5" t="s">
        <v>238</v>
      </c>
      <c r="GT3687" s="5" t="s">
        <v>238</v>
      </c>
      <c r="GU3687" s="5" t="s">
        <v>238</v>
      </c>
      <c r="GV3687" s="5" t="s">
        <v>238</v>
      </c>
      <c r="GW3687" s="5" t="s">
        <v>238</v>
      </c>
      <c r="GX3687" s="5" t="s">
        <v>238</v>
      </c>
      <c r="GY3687" s="5" t="s">
        <v>238</v>
      </c>
      <c r="GZ3687" s="5" t="s">
        <v>238</v>
      </c>
      <c r="HA3687" s="5" t="s">
        <v>238</v>
      </c>
      <c r="HB3687" s="5" t="s">
        <v>238</v>
      </c>
      <c r="HC3687" s="5" t="s">
        <v>238</v>
      </c>
      <c r="HD3687" s="5" t="s">
        <v>238</v>
      </c>
      <c r="HE3687" s="5" t="s">
        <v>238</v>
      </c>
      <c r="HF3687" s="5" t="s">
        <v>238</v>
      </c>
      <c r="HG3687" s="5" t="s">
        <v>238</v>
      </c>
      <c r="HH3687" s="5" t="s">
        <v>238</v>
      </c>
      <c r="HI3687" s="5" t="s">
        <v>238</v>
      </c>
      <c r="HJ3687" s="5" t="s">
        <v>238</v>
      </c>
      <c r="HK3687" s="5" t="s">
        <v>238</v>
      </c>
      <c r="HL3687" s="5" t="s">
        <v>238</v>
      </c>
      <c r="HM3687" s="5" t="s">
        <v>264</v>
      </c>
      <c r="HN3687" s="5" t="s">
        <v>238</v>
      </c>
      <c r="HO3687" s="5" t="s">
        <v>238</v>
      </c>
      <c r="HP3687" s="5" t="s">
        <v>238</v>
      </c>
      <c r="HQ3687" s="5" t="s">
        <v>238</v>
      </c>
      <c r="HR3687" s="5" t="s">
        <v>238</v>
      </c>
      <c r="HS3687" s="5" t="s">
        <v>238</v>
      </c>
      <c r="HT3687" s="5" t="s">
        <v>238</v>
      </c>
      <c r="HU3687" s="5" t="s">
        <v>238</v>
      </c>
      <c r="HV3687" s="5" t="s">
        <v>238</v>
      </c>
      <c r="HW3687" s="5" t="s">
        <v>238</v>
      </c>
      <c r="HX3687" s="5" t="s">
        <v>238</v>
      </c>
      <c r="HY3687" s="5" t="s">
        <v>238</v>
      </c>
      <c r="HZ3687" s="5" t="s">
        <v>238</v>
      </c>
      <c r="IA3687" s="5" t="s">
        <v>238</v>
      </c>
      <c r="IB3687" s="5" t="s">
        <v>238</v>
      </c>
      <c r="IC3687" s="5" t="s">
        <v>238</v>
      </c>
      <c r="ID3687" s="5" t="s">
        <v>238</v>
      </c>
    </row>
    <row r="3688" spans="1:238" x14ac:dyDescent="0.4">
      <c r="A3688" s="5">
        <v>9406</v>
      </c>
      <c r="B3688" s="5">
        <v>1</v>
      </c>
      <c r="C3688" s="5">
        <v>1</v>
      </c>
      <c r="D3688" s="5" t="s">
        <v>484</v>
      </c>
      <c r="E3688" s="5" t="s">
        <v>485</v>
      </c>
      <c r="F3688" s="5" t="s">
        <v>248</v>
      </c>
      <c r="G3688" s="5" t="s">
        <v>4788</v>
      </c>
      <c r="H3688" s="6" t="s">
        <v>4789</v>
      </c>
      <c r="I3688" s="8">
        <f>1</f>
        <v>1</v>
      </c>
      <c r="J3688" s="5" t="s">
        <v>499</v>
      </c>
      <c r="K3688" s="8">
        <f>1</f>
        <v>1</v>
      </c>
      <c r="L3688" s="6" t="s">
        <v>242</v>
      </c>
      <c r="M3688" s="5" t="s">
        <v>267</v>
      </c>
      <c r="N3688" s="5" t="s">
        <v>482</v>
      </c>
      <c r="O3688" s="5" t="s">
        <v>238</v>
      </c>
      <c r="P3688" s="5" t="s">
        <v>238</v>
      </c>
      <c r="Q3688" s="5" t="s">
        <v>239</v>
      </c>
      <c r="R3688" s="5" t="s">
        <v>270</v>
      </c>
      <c r="S3688" s="5" t="s">
        <v>238</v>
      </c>
      <c r="T3688" s="5" t="s">
        <v>238</v>
      </c>
      <c r="U3688" s="5" t="s">
        <v>238</v>
      </c>
      <c r="V3688" s="5" t="s">
        <v>238</v>
      </c>
      <c r="W3688" s="6" t="s">
        <v>238</v>
      </c>
      <c r="X3688" s="6" t="s">
        <v>238</v>
      </c>
      <c r="Y3688" s="5" t="s">
        <v>238</v>
      </c>
      <c r="Z3688" s="6" t="s">
        <v>238</v>
      </c>
      <c r="AA3688" s="6" t="s">
        <v>243</v>
      </c>
      <c r="AB3688" s="5" t="s">
        <v>486</v>
      </c>
      <c r="AC3688" s="5" t="s">
        <v>244</v>
      </c>
      <c r="AD3688" s="5" t="s">
        <v>245</v>
      </c>
      <c r="AE3688" s="5" t="s">
        <v>238</v>
      </c>
      <c r="AF3688" s="5" t="s">
        <v>238</v>
      </c>
      <c r="AG3688" s="5" t="s">
        <v>238</v>
      </c>
      <c r="AH3688" s="5" t="s">
        <v>238</v>
      </c>
      <c r="AI3688" s="5" t="s">
        <v>238</v>
      </c>
      <c r="AJ3688" s="5" t="s">
        <v>238</v>
      </c>
      <c r="AK3688" s="5" t="s">
        <v>238</v>
      </c>
      <c r="AL3688" s="5" t="s">
        <v>238</v>
      </c>
      <c r="AM3688" s="6" t="s">
        <v>238</v>
      </c>
      <c r="AN3688" s="6" t="s">
        <v>238</v>
      </c>
      <c r="AO3688" s="6" t="s">
        <v>238</v>
      </c>
      <c r="AP3688" s="6" t="s">
        <v>238</v>
      </c>
      <c r="AQ3688" s="5" t="s">
        <v>238</v>
      </c>
      <c r="AR3688" s="5" t="s">
        <v>488</v>
      </c>
      <c r="AS3688" s="5" t="s">
        <v>488</v>
      </c>
      <c r="AT3688" s="5" t="s">
        <v>246</v>
      </c>
      <c r="AU3688" s="5" t="s">
        <v>489</v>
      </c>
      <c r="AV3688" s="5" t="s">
        <v>247</v>
      </c>
      <c r="AW3688" s="5" t="s">
        <v>238</v>
      </c>
      <c r="AX3688" s="5" t="s">
        <v>249</v>
      </c>
      <c r="AY3688" s="5" t="s">
        <v>490</v>
      </c>
      <c r="BA3688" s="5" t="s">
        <v>238</v>
      </c>
      <c r="BC3688" s="5" t="s">
        <v>491</v>
      </c>
      <c r="BD3688" s="6" t="s">
        <v>492</v>
      </c>
      <c r="BE3688" s="5" t="s">
        <v>493</v>
      </c>
      <c r="BF3688" s="5" t="s">
        <v>493</v>
      </c>
      <c r="BG3688" s="5" t="s">
        <v>238</v>
      </c>
      <c r="BH3688" s="8">
        <f>1</f>
        <v>1</v>
      </c>
      <c r="BI3688" s="8">
        <f>1</f>
        <v>1</v>
      </c>
      <c r="BJ3688" s="5" t="s">
        <v>253</v>
      </c>
      <c r="BK3688" s="5" t="s">
        <v>254</v>
      </c>
      <c r="BL3688" s="5" t="s">
        <v>238</v>
      </c>
      <c r="BM3688" s="5" t="s">
        <v>238</v>
      </c>
      <c r="BN3688" s="5" t="s">
        <v>238</v>
      </c>
      <c r="BO3688" s="5" t="s">
        <v>238</v>
      </c>
      <c r="BP3688" s="5" t="s">
        <v>238</v>
      </c>
      <c r="BQ3688" s="5" t="s">
        <v>238</v>
      </c>
      <c r="BR3688" s="5" t="s">
        <v>238</v>
      </c>
      <c r="BS3688" s="5" t="s">
        <v>238</v>
      </c>
      <c r="BT3688" s="6" t="s">
        <v>238</v>
      </c>
      <c r="BU3688" s="5" t="s">
        <v>238</v>
      </c>
      <c r="BV3688" s="5" t="s">
        <v>238</v>
      </c>
      <c r="BW3688" s="5" t="s">
        <v>238</v>
      </c>
      <c r="BX3688" s="5" t="s">
        <v>254</v>
      </c>
      <c r="BY3688" s="5" t="s">
        <v>238</v>
      </c>
      <c r="BZ3688" s="5" t="s">
        <v>238</v>
      </c>
      <c r="CA3688" s="5" t="s">
        <v>238</v>
      </c>
      <c r="CB3688" s="5" t="s">
        <v>238</v>
      </c>
      <c r="CC3688" s="5" t="s">
        <v>238</v>
      </c>
      <c r="CD3688" s="5" t="s">
        <v>273</v>
      </c>
      <c r="CE3688" s="5" t="s">
        <v>256</v>
      </c>
      <c r="CF3688" s="5" t="s">
        <v>238</v>
      </c>
      <c r="CH3688" s="5" t="s">
        <v>494</v>
      </c>
      <c r="CI3688" s="6" t="s">
        <v>257</v>
      </c>
      <c r="CJ3688" s="5" t="s">
        <v>495</v>
      </c>
      <c r="CK3688" s="5" t="s">
        <v>258</v>
      </c>
      <c r="CL3688" s="5" t="s">
        <v>496</v>
      </c>
      <c r="CM3688" s="5" t="s">
        <v>238</v>
      </c>
      <c r="CN3688" s="5">
        <v>0</v>
      </c>
      <c r="CO3688" s="5" t="s">
        <v>497</v>
      </c>
      <c r="CP3688" s="5" t="s">
        <v>260</v>
      </c>
      <c r="CQ3688" s="5" t="s">
        <v>260</v>
      </c>
      <c r="CR3688" s="5" t="s">
        <v>261</v>
      </c>
      <c r="CS3688" s="5" t="s">
        <v>498</v>
      </c>
      <c r="CT3688" s="7">
        <f>1</f>
        <v>1</v>
      </c>
      <c r="CU3688" s="8">
        <f>1</f>
        <v>1</v>
      </c>
      <c r="CV3688" s="8">
        <f>0</f>
        <v>0</v>
      </c>
      <c r="CX3688" s="8">
        <f>1</f>
        <v>1</v>
      </c>
      <c r="CY3688" s="8">
        <f>1</f>
        <v>1</v>
      </c>
      <c r="CZ3688" s="8" t="s">
        <v>238</v>
      </c>
      <c r="DA3688" s="5" t="s">
        <v>238</v>
      </c>
      <c r="DB3688" s="5" t="s">
        <v>238</v>
      </c>
      <c r="DC3688" s="5" t="s">
        <v>238</v>
      </c>
      <c r="DD3688" s="5" t="s">
        <v>238</v>
      </c>
      <c r="DE3688" s="8">
        <f>0</f>
        <v>0</v>
      </c>
      <c r="DG3688" s="5" t="s">
        <v>238</v>
      </c>
      <c r="DH3688" s="5" t="s">
        <v>238</v>
      </c>
      <c r="DI3688" s="5" t="s">
        <v>238</v>
      </c>
      <c r="DJ3688" s="5" t="s">
        <v>238</v>
      </c>
      <c r="DK3688" s="5" t="s">
        <v>238</v>
      </c>
      <c r="DL3688" s="5" t="s">
        <v>238</v>
      </c>
      <c r="DM3688" s="8" t="s">
        <v>238</v>
      </c>
      <c r="DN3688" s="5" t="s">
        <v>238</v>
      </c>
      <c r="DO3688" s="5" t="s">
        <v>238</v>
      </c>
      <c r="DP3688" s="5" t="s">
        <v>490</v>
      </c>
      <c r="DQ3688" s="5" t="s">
        <v>490</v>
      </c>
      <c r="DR3688" s="5" t="s">
        <v>238</v>
      </c>
      <c r="DS3688" s="5" t="s">
        <v>238</v>
      </c>
      <c r="DT3688" s="5" t="s">
        <v>500</v>
      </c>
      <c r="DU3688" s="5" t="s">
        <v>550</v>
      </c>
      <c r="DV3688" s="5" t="s">
        <v>238</v>
      </c>
      <c r="DW3688" s="5" t="s">
        <v>238</v>
      </c>
      <c r="DX3688" s="5" t="s">
        <v>238</v>
      </c>
      <c r="DY3688" s="5" t="s">
        <v>238</v>
      </c>
      <c r="DZ3688" s="5" t="s">
        <v>238</v>
      </c>
      <c r="EA3688" s="5" t="s">
        <v>238</v>
      </c>
      <c r="EB3688" s="5" t="s">
        <v>238</v>
      </c>
      <c r="EC3688" s="5" t="s">
        <v>238</v>
      </c>
      <c r="ED3688" s="5" t="s">
        <v>238</v>
      </c>
      <c r="EE3688" s="5" t="s">
        <v>238</v>
      </c>
      <c r="EF3688" s="5" t="s">
        <v>238</v>
      </c>
      <c r="EG3688" s="5" t="s">
        <v>238</v>
      </c>
      <c r="EH3688" s="5" t="s">
        <v>238</v>
      </c>
      <c r="EI3688" s="5" t="s">
        <v>238</v>
      </c>
      <c r="EJ3688" s="5" t="s">
        <v>238</v>
      </c>
      <c r="EK3688" s="5" t="s">
        <v>238</v>
      </c>
      <c r="EL3688" s="5" t="s">
        <v>238</v>
      </c>
      <c r="EM3688" s="5" t="s">
        <v>238</v>
      </c>
      <c r="EN3688" s="5" t="s">
        <v>238</v>
      </c>
      <c r="EO3688" s="5" t="s">
        <v>238</v>
      </c>
      <c r="EP3688" s="5" t="s">
        <v>238</v>
      </c>
      <c r="EQ3688" s="5" t="s">
        <v>238</v>
      </c>
      <c r="ER3688" s="5" t="s">
        <v>238</v>
      </c>
      <c r="ES3688" s="5" t="s">
        <v>238</v>
      </c>
      <c r="ET3688" s="5" t="s">
        <v>238</v>
      </c>
      <c r="EU3688" s="5" t="s">
        <v>238</v>
      </c>
      <c r="EV3688" s="5" t="s">
        <v>238</v>
      </c>
      <c r="EW3688" s="5" t="s">
        <v>238</v>
      </c>
      <c r="EX3688" s="5" t="s">
        <v>238</v>
      </c>
      <c r="EY3688" s="5" t="s">
        <v>238</v>
      </c>
      <c r="EZ3688" s="5" t="s">
        <v>238</v>
      </c>
      <c r="FA3688" s="5" t="s">
        <v>238</v>
      </c>
      <c r="FB3688" s="5" t="s">
        <v>238</v>
      </c>
      <c r="FC3688" s="5" t="s">
        <v>238</v>
      </c>
      <c r="FD3688" s="5" t="s">
        <v>238</v>
      </c>
      <c r="FE3688" s="5" t="s">
        <v>238</v>
      </c>
      <c r="FF3688" s="5" t="s">
        <v>238</v>
      </c>
      <c r="FG3688" s="5" t="s">
        <v>238</v>
      </c>
      <c r="FH3688" s="5" t="s">
        <v>238</v>
      </c>
      <c r="FI3688" s="5" t="s">
        <v>238</v>
      </c>
      <c r="FJ3688" s="5" t="s">
        <v>238</v>
      </c>
      <c r="FK3688" s="5" t="s">
        <v>238</v>
      </c>
      <c r="FL3688" s="5" t="s">
        <v>238</v>
      </c>
      <c r="FM3688" s="5" t="s">
        <v>238</v>
      </c>
      <c r="FN3688" s="5" t="s">
        <v>238</v>
      </c>
      <c r="FO3688" s="5" t="s">
        <v>238</v>
      </c>
      <c r="FP3688" s="5" t="s">
        <v>238</v>
      </c>
      <c r="FQ3688" s="5" t="s">
        <v>238</v>
      </c>
      <c r="FR3688" s="5" t="s">
        <v>238</v>
      </c>
      <c r="FS3688" s="5" t="s">
        <v>238</v>
      </c>
      <c r="FT3688" s="5" t="s">
        <v>238</v>
      </c>
      <c r="FU3688" s="5" t="s">
        <v>238</v>
      </c>
      <c r="FV3688" s="5" t="s">
        <v>238</v>
      </c>
      <c r="FW3688" s="5" t="s">
        <v>238</v>
      </c>
      <c r="FX3688" s="5" t="s">
        <v>238</v>
      </c>
      <c r="FY3688" s="5" t="s">
        <v>238</v>
      </c>
      <c r="FZ3688" s="5" t="s">
        <v>238</v>
      </c>
      <c r="GA3688" s="5" t="s">
        <v>238</v>
      </c>
      <c r="GB3688" s="5" t="s">
        <v>238</v>
      </c>
      <c r="GC3688" s="5" t="s">
        <v>238</v>
      </c>
      <c r="GD3688" s="5" t="s">
        <v>238</v>
      </c>
      <c r="GE3688" s="5" t="s">
        <v>238</v>
      </c>
      <c r="GF3688" s="5" t="s">
        <v>238</v>
      </c>
      <c r="GG3688" s="5" t="s">
        <v>238</v>
      </c>
      <c r="GH3688" s="5" t="s">
        <v>238</v>
      </c>
      <c r="GI3688" s="5" t="s">
        <v>238</v>
      </c>
      <c r="GJ3688" s="5" t="s">
        <v>238</v>
      </c>
      <c r="GK3688" s="5" t="s">
        <v>238</v>
      </c>
      <c r="GL3688" s="5" t="s">
        <v>238</v>
      </c>
      <c r="GM3688" s="5" t="s">
        <v>238</v>
      </c>
      <c r="GN3688" s="5" t="s">
        <v>238</v>
      </c>
      <c r="GO3688" s="5" t="s">
        <v>238</v>
      </c>
      <c r="GP3688" s="5" t="s">
        <v>238</v>
      </c>
      <c r="GQ3688" s="5" t="s">
        <v>238</v>
      </c>
      <c r="GR3688" s="5" t="s">
        <v>238</v>
      </c>
      <c r="GS3688" s="5" t="s">
        <v>238</v>
      </c>
      <c r="GT3688" s="5" t="s">
        <v>238</v>
      </c>
      <c r="GU3688" s="5" t="s">
        <v>238</v>
      </c>
      <c r="GV3688" s="5" t="s">
        <v>238</v>
      </c>
      <c r="GW3688" s="5" t="s">
        <v>238</v>
      </c>
      <c r="GX3688" s="5" t="s">
        <v>238</v>
      </c>
      <c r="GY3688" s="5" t="s">
        <v>238</v>
      </c>
      <c r="GZ3688" s="5" t="s">
        <v>238</v>
      </c>
      <c r="HA3688" s="5" t="s">
        <v>238</v>
      </c>
      <c r="HB3688" s="5" t="s">
        <v>238</v>
      </c>
      <c r="HC3688" s="5" t="s">
        <v>238</v>
      </c>
      <c r="HD3688" s="5" t="s">
        <v>238</v>
      </c>
      <c r="HE3688" s="5" t="s">
        <v>238</v>
      </c>
      <c r="HF3688" s="5" t="s">
        <v>238</v>
      </c>
      <c r="HG3688" s="5" t="s">
        <v>238</v>
      </c>
      <c r="HH3688" s="5" t="s">
        <v>238</v>
      </c>
      <c r="HI3688" s="5" t="s">
        <v>238</v>
      </c>
      <c r="HJ3688" s="5" t="s">
        <v>238</v>
      </c>
      <c r="HK3688" s="5" t="s">
        <v>238</v>
      </c>
      <c r="HL3688" s="5" t="s">
        <v>238</v>
      </c>
      <c r="HM3688" s="5" t="s">
        <v>264</v>
      </c>
      <c r="HN3688" s="5" t="s">
        <v>238</v>
      </c>
      <c r="HO3688" s="5" t="s">
        <v>238</v>
      </c>
      <c r="HP3688" s="5" t="s">
        <v>238</v>
      </c>
      <c r="HQ3688" s="5" t="s">
        <v>238</v>
      </c>
      <c r="HR3688" s="5" t="s">
        <v>238</v>
      </c>
      <c r="HS3688" s="5" t="s">
        <v>238</v>
      </c>
      <c r="HT3688" s="5" t="s">
        <v>238</v>
      </c>
      <c r="HU3688" s="5" t="s">
        <v>238</v>
      </c>
      <c r="HV3688" s="5" t="s">
        <v>238</v>
      </c>
      <c r="HW3688" s="5" t="s">
        <v>238</v>
      </c>
      <c r="HX3688" s="5" t="s">
        <v>238</v>
      </c>
      <c r="HY3688" s="5" t="s">
        <v>238</v>
      </c>
      <c r="HZ3688" s="5" t="s">
        <v>238</v>
      </c>
      <c r="IA3688" s="5" t="s">
        <v>238</v>
      </c>
      <c r="IB3688" s="5" t="s">
        <v>238</v>
      </c>
      <c r="IC3688" s="5" t="s">
        <v>238</v>
      </c>
      <c r="ID3688" s="5" t="s">
        <v>238</v>
      </c>
    </row>
    <row r="3689" spans="1:238" x14ac:dyDescent="0.4">
      <c r="A3689" s="5">
        <v>9407</v>
      </c>
      <c r="B3689" s="5">
        <v>1</v>
      </c>
      <c r="C3689" s="5">
        <v>1</v>
      </c>
      <c r="D3689" s="5" t="s">
        <v>484</v>
      </c>
      <c r="E3689" s="5" t="s">
        <v>485</v>
      </c>
      <c r="F3689" s="5" t="s">
        <v>248</v>
      </c>
      <c r="G3689" s="5" t="s">
        <v>4921</v>
      </c>
      <c r="H3689" s="6" t="s">
        <v>4923</v>
      </c>
      <c r="I3689" s="8">
        <f>1</f>
        <v>1</v>
      </c>
      <c r="J3689" s="5" t="s">
        <v>499</v>
      </c>
      <c r="K3689" s="8">
        <f>1</f>
        <v>1</v>
      </c>
      <c r="L3689" s="6" t="s">
        <v>242</v>
      </c>
      <c r="M3689" s="5" t="s">
        <v>267</v>
      </c>
      <c r="N3689" s="5" t="s">
        <v>482</v>
      </c>
      <c r="O3689" s="5" t="s">
        <v>238</v>
      </c>
      <c r="P3689" s="5" t="s">
        <v>238</v>
      </c>
      <c r="Q3689" s="5" t="s">
        <v>239</v>
      </c>
      <c r="R3689" s="5" t="s">
        <v>270</v>
      </c>
      <c r="S3689" s="5" t="s">
        <v>238</v>
      </c>
      <c r="T3689" s="5" t="s">
        <v>238</v>
      </c>
      <c r="U3689" s="5" t="s">
        <v>238</v>
      </c>
      <c r="V3689" s="5" t="s">
        <v>238</v>
      </c>
      <c r="W3689" s="6" t="s">
        <v>238</v>
      </c>
      <c r="X3689" s="6" t="s">
        <v>238</v>
      </c>
      <c r="Y3689" s="5" t="s">
        <v>238</v>
      </c>
      <c r="Z3689" s="6" t="s">
        <v>238</v>
      </c>
      <c r="AA3689" s="6" t="s">
        <v>243</v>
      </c>
      <c r="AB3689" s="5" t="s">
        <v>4922</v>
      </c>
      <c r="AC3689" s="5" t="s">
        <v>244</v>
      </c>
      <c r="AD3689" s="5" t="s">
        <v>245</v>
      </c>
      <c r="AE3689" s="5" t="s">
        <v>238</v>
      </c>
      <c r="AF3689" s="5" t="s">
        <v>238</v>
      </c>
      <c r="AG3689" s="5" t="s">
        <v>238</v>
      </c>
      <c r="AH3689" s="5" t="s">
        <v>238</v>
      </c>
      <c r="AI3689" s="5" t="s">
        <v>238</v>
      </c>
      <c r="AJ3689" s="5" t="s">
        <v>238</v>
      </c>
      <c r="AK3689" s="5" t="s">
        <v>238</v>
      </c>
      <c r="AL3689" s="5" t="s">
        <v>238</v>
      </c>
      <c r="AM3689" s="6" t="s">
        <v>238</v>
      </c>
      <c r="AN3689" s="6" t="s">
        <v>238</v>
      </c>
      <c r="AO3689" s="6" t="s">
        <v>238</v>
      </c>
      <c r="AP3689" s="6" t="s">
        <v>238</v>
      </c>
      <c r="AQ3689" s="5" t="s">
        <v>238</v>
      </c>
      <c r="AR3689" s="5" t="s">
        <v>488</v>
      </c>
      <c r="AS3689" s="5" t="s">
        <v>488</v>
      </c>
      <c r="AT3689" s="5" t="s">
        <v>246</v>
      </c>
      <c r="AU3689" s="5" t="s">
        <v>489</v>
      </c>
      <c r="AV3689" s="5" t="s">
        <v>247</v>
      </c>
      <c r="AW3689" s="5" t="s">
        <v>238</v>
      </c>
      <c r="AX3689" s="5" t="s">
        <v>249</v>
      </c>
      <c r="AY3689" s="5" t="s">
        <v>490</v>
      </c>
      <c r="BA3689" s="5" t="s">
        <v>238</v>
      </c>
      <c r="BC3689" s="5" t="s">
        <v>491</v>
      </c>
      <c r="BD3689" s="6" t="s">
        <v>492</v>
      </c>
      <c r="BE3689" s="5" t="s">
        <v>493</v>
      </c>
      <c r="BF3689" s="5" t="s">
        <v>493</v>
      </c>
      <c r="BG3689" s="5" t="s">
        <v>238</v>
      </c>
      <c r="BH3689" s="8">
        <f>1</f>
        <v>1</v>
      </c>
      <c r="BI3689" s="8">
        <f>1</f>
        <v>1</v>
      </c>
      <c r="BJ3689" s="5" t="s">
        <v>253</v>
      </c>
      <c r="BK3689" s="5" t="s">
        <v>254</v>
      </c>
      <c r="BL3689" s="5" t="s">
        <v>238</v>
      </c>
      <c r="BM3689" s="5" t="s">
        <v>238</v>
      </c>
      <c r="BN3689" s="5" t="s">
        <v>238</v>
      </c>
      <c r="BO3689" s="5" t="s">
        <v>238</v>
      </c>
      <c r="BP3689" s="5" t="s">
        <v>238</v>
      </c>
      <c r="BQ3689" s="5" t="s">
        <v>238</v>
      </c>
      <c r="BR3689" s="5" t="s">
        <v>238</v>
      </c>
      <c r="BS3689" s="5" t="s">
        <v>238</v>
      </c>
      <c r="BT3689" s="6" t="s">
        <v>238</v>
      </c>
      <c r="BU3689" s="5" t="s">
        <v>238</v>
      </c>
      <c r="BV3689" s="5" t="s">
        <v>238</v>
      </c>
      <c r="BW3689" s="5" t="s">
        <v>238</v>
      </c>
      <c r="BX3689" s="5" t="s">
        <v>254</v>
      </c>
      <c r="BY3689" s="5" t="s">
        <v>238</v>
      </c>
      <c r="BZ3689" s="5" t="s">
        <v>238</v>
      </c>
      <c r="CA3689" s="5" t="s">
        <v>238</v>
      </c>
      <c r="CB3689" s="5" t="s">
        <v>238</v>
      </c>
      <c r="CC3689" s="5" t="s">
        <v>238</v>
      </c>
      <c r="CD3689" s="5" t="s">
        <v>273</v>
      </c>
      <c r="CE3689" s="5" t="s">
        <v>256</v>
      </c>
      <c r="CF3689" s="5" t="s">
        <v>238</v>
      </c>
      <c r="CH3689" s="5" t="s">
        <v>494</v>
      </c>
      <c r="CI3689" s="6" t="s">
        <v>257</v>
      </c>
      <c r="CJ3689" s="5" t="s">
        <v>495</v>
      </c>
      <c r="CK3689" s="5" t="s">
        <v>258</v>
      </c>
      <c r="CL3689" s="5" t="s">
        <v>496</v>
      </c>
      <c r="CM3689" s="5" t="s">
        <v>238</v>
      </c>
      <c r="CN3689" s="5">
        <v>0</v>
      </c>
      <c r="CO3689" s="5" t="s">
        <v>497</v>
      </c>
      <c r="CP3689" s="5" t="s">
        <v>260</v>
      </c>
      <c r="CQ3689" s="5" t="s">
        <v>260</v>
      </c>
      <c r="CR3689" s="5" t="s">
        <v>261</v>
      </c>
      <c r="CS3689" s="5" t="s">
        <v>498</v>
      </c>
      <c r="CT3689" s="7">
        <f>1</f>
        <v>1</v>
      </c>
      <c r="CU3689" s="8">
        <f>1</f>
        <v>1</v>
      </c>
      <c r="CV3689" s="8">
        <f>0</f>
        <v>0</v>
      </c>
      <c r="CX3689" s="8">
        <f>1</f>
        <v>1</v>
      </c>
      <c r="CY3689" s="8">
        <f>1</f>
        <v>1</v>
      </c>
      <c r="CZ3689" s="8" t="s">
        <v>238</v>
      </c>
      <c r="DA3689" s="5" t="s">
        <v>238</v>
      </c>
      <c r="DB3689" s="5" t="s">
        <v>238</v>
      </c>
      <c r="DC3689" s="5" t="s">
        <v>238</v>
      </c>
      <c r="DD3689" s="5" t="s">
        <v>238</v>
      </c>
      <c r="DE3689" s="8">
        <f>0</f>
        <v>0</v>
      </c>
      <c r="DG3689" s="5" t="s">
        <v>238</v>
      </c>
      <c r="DH3689" s="5" t="s">
        <v>238</v>
      </c>
      <c r="DI3689" s="5" t="s">
        <v>238</v>
      </c>
      <c r="DJ3689" s="5" t="s">
        <v>238</v>
      </c>
      <c r="DK3689" s="5" t="s">
        <v>238</v>
      </c>
      <c r="DL3689" s="5" t="s">
        <v>238</v>
      </c>
      <c r="DM3689" s="8" t="s">
        <v>238</v>
      </c>
      <c r="DN3689" s="5" t="s">
        <v>238</v>
      </c>
      <c r="DO3689" s="5" t="s">
        <v>238</v>
      </c>
      <c r="DP3689" s="5" t="s">
        <v>490</v>
      </c>
      <c r="DQ3689" s="5" t="s">
        <v>490</v>
      </c>
      <c r="DR3689" s="5" t="s">
        <v>238</v>
      </c>
      <c r="DS3689" s="5" t="s">
        <v>238</v>
      </c>
      <c r="DT3689" s="5" t="s">
        <v>500</v>
      </c>
      <c r="DU3689" s="5" t="s">
        <v>530</v>
      </c>
      <c r="DV3689" s="5" t="s">
        <v>238</v>
      </c>
      <c r="DW3689" s="5" t="s">
        <v>238</v>
      </c>
      <c r="DX3689" s="5" t="s">
        <v>238</v>
      </c>
      <c r="DY3689" s="5" t="s">
        <v>238</v>
      </c>
      <c r="DZ3689" s="5" t="s">
        <v>238</v>
      </c>
      <c r="EA3689" s="5" t="s">
        <v>238</v>
      </c>
      <c r="EB3689" s="5" t="s">
        <v>238</v>
      </c>
      <c r="EC3689" s="5" t="s">
        <v>238</v>
      </c>
      <c r="ED3689" s="5" t="s">
        <v>238</v>
      </c>
      <c r="EE3689" s="5" t="s">
        <v>238</v>
      </c>
      <c r="EF3689" s="5" t="s">
        <v>238</v>
      </c>
      <c r="EG3689" s="5" t="s">
        <v>238</v>
      </c>
      <c r="EH3689" s="5" t="s">
        <v>238</v>
      </c>
      <c r="EI3689" s="5" t="s">
        <v>238</v>
      </c>
      <c r="EJ3689" s="5" t="s">
        <v>238</v>
      </c>
      <c r="EK3689" s="5" t="s">
        <v>238</v>
      </c>
      <c r="EL3689" s="5" t="s">
        <v>238</v>
      </c>
      <c r="EM3689" s="5" t="s">
        <v>238</v>
      </c>
      <c r="EN3689" s="5" t="s">
        <v>238</v>
      </c>
      <c r="EO3689" s="5" t="s">
        <v>238</v>
      </c>
      <c r="EP3689" s="5" t="s">
        <v>238</v>
      </c>
      <c r="EQ3689" s="5" t="s">
        <v>238</v>
      </c>
      <c r="ER3689" s="5" t="s">
        <v>238</v>
      </c>
      <c r="ES3689" s="5" t="s">
        <v>238</v>
      </c>
      <c r="ET3689" s="5" t="s">
        <v>238</v>
      </c>
      <c r="EU3689" s="5" t="s">
        <v>238</v>
      </c>
      <c r="EV3689" s="5" t="s">
        <v>238</v>
      </c>
      <c r="EW3689" s="5" t="s">
        <v>238</v>
      </c>
      <c r="EX3689" s="5" t="s">
        <v>238</v>
      </c>
      <c r="EY3689" s="5" t="s">
        <v>238</v>
      </c>
      <c r="EZ3689" s="5" t="s">
        <v>238</v>
      </c>
      <c r="FA3689" s="5" t="s">
        <v>238</v>
      </c>
      <c r="FB3689" s="5" t="s">
        <v>238</v>
      </c>
      <c r="FC3689" s="5" t="s">
        <v>238</v>
      </c>
      <c r="FD3689" s="5" t="s">
        <v>238</v>
      </c>
      <c r="FE3689" s="5" t="s">
        <v>238</v>
      </c>
      <c r="FF3689" s="5" t="s">
        <v>238</v>
      </c>
      <c r="FG3689" s="5" t="s">
        <v>238</v>
      </c>
      <c r="FH3689" s="5" t="s">
        <v>238</v>
      </c>
      <c r="FI3689" s="5" t="s">
        <v>238</v>
      </c>
      <c r="FJ3689" s="5" t="s">
        <v>238</v>
      </c>
      <c r="FK3689" s="5" t="s">
        <v>238</v>
      </c>
      <c r="FL3689" s="5" t="s">
        <v>238</v>
      </c>
      <c r="FM3689" s="5" t="s">
        <v>238</v>
      </c>
      <c r="FN3689" s="5" t="s">
        <v>238</v>
      </c>
      <c r="FO3689" s="5" t="s">
        <v>238</v>
      </c>
      <c r="FP3689" s="5" t="s">
        <v>238</v>
      </c>
      <c r="FQ3689" s="5" t="s">
        <v>238</v>
      </c>
      <c r="FR3689" s="5" t="s">
        <v>238</v>
      </c>
      <c r="FS3689" s="5" t="s">
        <v>238</v>
      </c>
      <c r="FT3689" s="5" t="s">
        <v>238</v>
      </c>
      <c r="FU3689" s="5" t="s">
        <v>238</v>
      </c>
      <c r="FV3689" s="5" t="s">
        <v>238</v>
      </c>
      <c r="FW3689" s="5" t="s">
        <v>238</v>
      </c>
      <c r="FX3689" s="5" t="s">
        <v>238</v>
      </c>
      <c r="FY3689" s="5" t="s">
        <v>238</v>
      </c>
      <c r="FZ3689" s="5" t="s">
        <v>238</v>
      </c>
      <c r="GA3689" s="5" t="s">
        <v>238</v>
      </c>
      <c r="GB3689" s="5" t="s">
        <v>238</v>
      </c>
      <c r="GC3689" s="5" t="s">
        <v>238</v>
      </c>
      <c r="GD3689" s="5" t="s">
        <v>238</v>
      </c>
      <c r="GE3689" s="5" t="s">
        <v>238</v>
      </c>
      <c r="GF3689" s="5" t="s">
        <v>238</v>
      </c>
      <c r="GG3689" s="5" t="s">
        <v>238</v>
      </c>
      <c r="GH3689" s="5" t="s">
        <v>238</v>
      </c>
      <c r="GI3689" s="5" t="s">
        <v>238</v>
      </c>
      <c r="GJ3689" s="5" t="s">
        <v>238</v>
      </c>
      <c r="GK3689" s="5" t="s">
        <v>238</v>
      </c>
      <c r="GL3689" s="5" t="s">
        <v>238</v>
      </c>
      <c r="GM3689" s="5" t="s">
        <v>238</v>
      </c>
      <c r="GN3689" s="5" t="s">
        <v>238</v>
      </c>
      <c r="GO3689" s="5" t="s">
        <v>238</v>
      </c>
      <c r="GP3689" s="5" t="s">
        <v>238</v>
      </c>
      <c r="GQ3689" s="5" t="s">
        <v>238</v>
      </c>
      <c r="GR3689" s="5" t="s">
        <v>238</v>
      </c>
      <c r="GS3689" s="5" t="s">
        <v>238</v>
      </c>
      <c r="GT3689" s="5" t="s">
        <v>238</v>
      </c>
      <c r="GU3689" s="5" t="s">
        <v>238</v>
      </c>
      <c r="GV3689" s="5" t="s">
        <v>238</v>
      </c>
      <c r="GW3689" s="5" t="s">
        <v>238</v>
      </c>
      <c r="GX3689" s="5" t="s">
        <v>238</v>
      </c>
      <c r="GY3689" s="5" t="s">
        <v>238</v>
      </c>
      <c r="GZ3689" s="5" t="s">
        <v>238</v>
      </c>
      <c r="HA3689" s="5" t="s">
        <v>238</v>
      </c>
      <c r="HB3689" s="5" t="s">
        <v>238</v>
      </c>
      <c r="HC3689" s="5" t="s">
        <v>238</v>
      </c>
      <c r="HD3689" s="5" t="s">
        <v>238</v>
      </c>
      <c r="HE3689" s="5" t="s">
        <v>238</v>
      </c>
      <c r="HF3689" s="5" t="s">
        <v>238</v>
      </c>
      <c r="HG3689" s="5" t="s">
        <v>238</v>
      </c>
      <c r="HH3689" s="5" t="s">
        <v>238</v>
      </c>
      <c r="HI3689" s="5" t="s">
        <v>238</v>
      </c>
      <c r="HJ3689" s="5" t="s">
        <v>238</v>
      </c>
      <c r="HK3689" s="5" t="s">
        <v>238</v>
      </c>
      <c r="HL3689" s="5" t="s">
        <v>238</v>
      </c>
      <c r="HM3689" s="5" t="s">
        <v>264</v>
      </c>
      <c r="HN3689" s="5" t="s">
        <v>238</v>
      </c>
      <c r="HO3689" s="5" t="s">
        <v>238</v>
      </c>
      <c r="HP3689" s="5" t="s">
        <v>238</v>
      </c>
      <c r="HQ3689" s="5" t="s">
        <v>238</v>
      </c>
      <c r="HR3689" s="5" t="s">
        <v>238</v>
      </c>
      <c r="HS3689" s="5" t="s">
        <v>238</v>
      </c>
      <c r="HT3689" s="5" t="s">
        <v>238</v>
      </c>
      <c r="HU3689" s="5" t="s">
        <v>238</v>
      </c>
      <c r="HV3689" s="5" t="s">
        <v>238</v>
      </c>
      <c r="HW3689" s="5" t="s">
        <v>238</v>
      </c>
      <c r="HX3689" s="5" t="s">
        <v>238</v>
      </c>
      <c r="HY3689" s="5" t="s">
        <v>238</v>
      </c>
      <c r="HZ3689" s="5" t="s">
        <v>238</v>
      </c>
      <c r="IA3689" s="5" t="s">
        <v>238</v>
      </c>
      <c r="IB3689" s="5" t="s">
        <v>238</v>
      </c>
      <c r="IC3689" s="5" t="s">
        <v>238</v>
      </c>
      <c r="ID3689" s="5" t="s">
        <v>238</v>
      </c>
    </row>
    <row r="3690" spans="1:238" x14ac:dyDescent="0.4">
      <c r="A3690" s="5">
        <v>9408</v>
      </c>
      <c r="B3690" s="5">
        <v>1</v>
      </c>
      <c r="C3690" s="5">
        <v>1</v>
      </c>
      <c r="D3690" s="5" t="s">
        <v>484</v>
      </c>
      <c r="E3690" s="5" t="s">
        <v>485</v>
      </c>
      <c r="F3690" s="5" t="s">
        <v>248</v>
      </c>
      <c r="G3690" s="5" t="s">
        <v>4690</v>
      </c>
      <c r="H3690" s="6" t="s">
        <v>4692</v>
      </c>
      <c r="I3690" s="8">
        <f>1</f>
        <v>1</v>
      </c>
      <c r="J3690" s="5" t="s">
        <v>499</v>
      </c>
      <c r="K3690" s="8">
        <f>1</f>
        <v>1</v>
      </c>
      <c r="L3690" s="6" t="s">
        <v>242</v>
      </c>
      <c r="M3690" s="5" t="s">
        <v>267</v>
      </c>
      <c r="N3690" s="5" t="s">
        <v>482</v>
      </c>
      <c r="O3690" s="5" t="s">
        <v>238</v>
      </c>
      <c r="P3690" s="5" t="s">
        <v>238</v>
      </c>
      <c r="Q3690" s="5" t="s">
        <v>239</v>
      </c>
      <c r="R3690" s="5" t="s">
        <v>270</v>
      </c>
      <c r="S3690" s="5" t="s">
        <v>238</v>
      </c>
      <c r="T3690" s="5" t="s">
        <v>238</v>
      </c>
      <c r="U3690" s="5" t="s">
        <v>238</v>
      </c>
      <c r="V3690" s="5" t="s">
        <v>238</v>
      </c>
      <c r="W3690" s="6" t="s">
        <v>238</v>
      </c>
      <c r="X3690" s="6" t="s">
        <v>238</v>
      </c>
      <c r="Y3690" s="5" t="s">
        <v>238</v>
      </c>
      <c r="Z3690" s="6" t="s">
        <v>238</v>
      </c>
      <c r="AA3690" s="6" t="s">
        <v>243</v>
      </c>
      <c r="AB3690" s="5" t="s">
        <v>4691</v>
      </c>
      <c r="AC3690" s="5" t="s">
        <v>244</v>
      </c>
      <c r="AD3690" s="5" t="s">
        <v>245</v>
      </c>
      <c r="AE3690" s="5" t="s">
        <v>238</v>
      </c>
      <c r="AF3690" s="5" t="s">
        <v>238</v>
      </c>
      <c r="AG3690" s="5" t="s">
        <v>238</v>
      </c>
      <c r="AH3690" s="5" t="s">
        <v>238</v>
      </c>
      <c r="AI3690" s="5" t="s">
        <v>238</v>
      </c>
      <c r="AJ3690" s="5" t="s">
        <v>238</v>
      </c>
      <c r="AK3690" s="5" t="s">
        <v>238</v>
      </c>
      <c r="AL3690" s="5" t="s">
        <v>238</v>
      </c>
      <c r="AM3690" s="6" t="s">
        <v>238</v>
      </c>
      <c r="AN3690" s="6" t="s">
        <v>238</v>
      </c>
      <c r="AO3690" s="6" t="s">
        <v>238</v>
      </c>
      <c r="AP3690" s="6" t="s">
        <v>238</v>
      </c>
      <c r="AQ3690" s="5" t="s">
        <v>238</v>
      </c>
      <c r="AR3690" s="5" t="s">
        <v>488</v>
      </c>
      <c r="AS3690" s="5" t="s">
        <v>488</v>
      </c>
      <c r="AT3690" s="5" t="s">
        <v>246</v>
      </c>
      <c r="AU3690" s="5" t="s">
        <v>489</v>
      </c>
      <c r="AV3690" s="5" t="s">
        <v>247</v>
      </c>
      <c r="AW3690" s="5" t="s">
        <v>238</v>
      </c>
      <c r="AX3690" s="5" t="s">
        <v>249</v>
      </c>
      <c r="AY3690" s="5" t="s">
        <v>490</v>
      </c>
      <c r="BA3690" s="5" t="s">
        <v>238</v>
      </c>
      <c r="BC3690" s="5" t="s">
        <v>491</v>
      </c>
      <c r="BD3690" s="6" t="s">
        <v>492</v>
      </c>
      <c r="BE3690" s="5" t="s">
        <v>493</v>
      </c>
      <c r="BF3690" s="5" t="s">
        <v>493</v>
      </c>
      <c r="BG3690" s="5" t="s">
        <v>238</v>
      </c>
      <c r="BH3690" s="8">
        <f>1</f>
        <v>1</v>
      </c>
      <c r="BI3690" s="8">
        <f>1</f>
        <v>1</v>
      </c>
      <c r="BJ3690" s="5" t="s">
        <v>253</v>
      </c>
      <c r="BK3690" s="5" t="s">
        <v>254</v>
      </c>
      <c r="BL3690" s="5" t="s">
        <v>238</v>
      </c>
      <c r="BM3690" s="5" t="s">
        <v>238</v>
      </c>
      <c r="BN3690" s="5" t="s">
        <v>238</v>
      </c>
      <c r="BO3690" s="5" t="s">
        <v>238</v>
      </c>
      <c r="BP3690" s="5" t="s">
        <v>238</v>
      </c>
      <c r="BQ3690" s="5" t="s">
        <v>238</v>
      </c>
      <c r="BR3690" s="5" t="s">
        <v>238</v>
      </c>
      <c r="BS3690" s="5" t="s">
        <v>238</v>
      </c>
      <c r="BT3690" s="6" t="s">
        <v>238</v>
      </c>
      <c r="BU3690" s="5" t="s">
        <v>238</v>
      </c>
      <c r="BV3690" s="5" t="s">
        <v>238</v>
      </c>
      <c r="BW3690" s="5" t="s">
        <v>238</v>
      </c>
      <c r="BX3690" s="5" t="s">
        <v>254</v>
      </c>
      <c r="BY3690" s="5" t="s">
        <v>238</v>
      </c>
      <c r="BZ3690" s="5" t="s">
        <v>238</v>
      </c>
      <c r="CA3690" s="5" t="s">
        <v>238</v>
      </c>
      <c r="CB3690" s="5" t="s">
        <v>238</v>
      </c>
      <c r="CC3690" s="5" t="s">
        <v>238</v>
      </c>
      <c r="CD3690" s="5" t="s">
        <v>273</v>
      </c>
      <c r="CE3690" s="5" t="s">
        <v>256</v>
      </c>
      <c r="CF3690" s="5" t="s">
        <v>238</v>
      </c>
      <c r="CH3690" s="5" t="s">
        <v>494</v>
      </c>
      <c r="CI3690" s="6" t="s">
        <v>257</v>
      </c>
      <c r="CJ3690" s="5" t="s">
        <v>495</v>
      </c>
      <c r="CK3690" s="5" t="s">
        <v>258</v>
      </c>
      <c r="CL3690" s="5" t="s">
        <v>496</v>
      </c>
      <c r="CM3690" s="5" t="s">
        <v>238</v>
      </c>
      <c r="CN3690" s="5">
        <v>0</v>
      </c>
      <c r="CO3690" s="5" t="s">
        <v>497</v>
      </c>
      <c r="CP3690" s="5" t="s">
        <v>260</v>
      </c>
      <c r="CQ3690" s="5" t="s">
        <v>260</v>
      </c>
      <c r="CR3690" s="5" t="s">
        <v>261</v>
      </c>
      <c r="CS3690" s="5" t="s">
        <v>498</v>
      </c>
      <c r="CT3690" s="7">
        <f>1</f>
        <v>1</v>
      </c>
      <c r="CU3690" s="8">
        <f>1</f>
        <v>1</v>
      </c>
      <c r="CV3690" s="8">
        <f>0</f>
        <v>0</v>
      </c>
      <c r="CX3690" s="8">
        <f>1</f>
        <v>1</v>
      </c>
      <c r="CY3690" s="8">
        <f>1</f>
        <v>1</v>
      </c>
      <c r="CZ3690" s="8" t="s">
        <v>238</v>
      </c>
      <c r="DA3690" s="5" t="s">
        <v>238</v>
      </c>
      <c r="DB3690" s="5" t="s">
        <v>238</v>
      </c>
      <c r="DC3690" s="5" t="s">
        <v>238</v>
      </c>
      <c r="DD3690" s="5" t="s">
        <v>238</v>
      </c>
      <c r="DE3690" s="8">
        <f>0</f>
        <v>0</v>
      </c>
      <c r="DG3690" s="5" t="s">
        <v>238</v>
      </c>
      <c r="DH3690" s="5" t="s">
        <v>238</v>
      </c>
      <c r="DI3690" s="5" t="s">
        <v>238</v>
      </c>
      <c r="DJ3690" s="5" t="s">
        <v>238</v>
      </c>
      <c r="DK3690" s="5" t="s">
        <v>238</v>
      </c>
      <c r="DL3690" s="5" t="s">
        <v>238</v>
      </c>
      <c r="DM3690" s="8" t="s">
        <v>238</v>
      </c>
      <c r="DN3690" s="5" t="s">
        <v>238</v>
      </c>
      <c r="DO3690" s="5" t="s">
        <v>238</v>
      </c>
      <c r="DP3690" s="5" t="s">
        <v>490</v>
      </c>
      <c r="DQ3690" s="5" t="s">
        <v>490</v>
      </c>
      <c r="DR3690" s="5" t="s">
        <v>238</v>
      </c>
      <c r="DS3690" s="5" t="s">
        <v>238</v>
      </c>
      <c r="DT3690" s="5" t="s">
        <v>500</v>
      </c>
      <c r="DU3690" s="5" t="s">
        <v>520</v>
      </c>
      <c r="DV3690" s="5" t="s">
        <v>238</v>
      </c>
      <c r="DW3690" s="5" t="s">
        <v>238</v>
      </c>
      <c r="DX3690" s="5" t="s">
        <v>238</v>
      </c>
      <c r="DY3690" s="5" t="s">
        <v>238</v>
      </c>
      <c r="DZ3690" s="5" t="s">
        <v>238</v>
      </c>
      <c r="EA3690" s="5" t="s">
        <v>238</v>
      </c>
      <c r="EB3690" s="5" t="s">
        <v>238</v>
      </c>
      <c r="EC3690" s="5" t="s">
        <v>238</v>
      </c>
      <c r="ED3690" s="5" t="s">
        <v>238</v>
      </c>
      <c r="EE3690" s="5" t="s">
        <v>238</v>
      </c>
      <c r="EF3690" s="5" t="s">
        <v>238</v>
      </c>
      <c r="EG3690" s="5" t="s">
        <v>238</v>
      </c>
      <c r="EH3690" s="5" t="s">
        <v>238</v>
      </c>
      <c r="EI3690" s="5" t="s">
        <v>238</v>
      </c>
      <c r="EJ3690" s="5" t="s">
        <v>238</v>
      </c>
      <c r="EK3690" s="5" t="s">
        <v>238</v>
      </c>
      <c r="EL3690" s="5" t="s">
        <v>238</v>
      </c>
      <c r="EM3690" s="5" t="s">
        <v>238</v>
      </c>
      <c r="EN3690" s="5" t="s">
        <v>238</v>
      </c>
      <c r="EO3690" s="5" t="s">
        <v>238</v>
      </c>
      <c r="EP3690" s="5" t="s">
        <v>238</v>
      </c>
      <c r="EQ3690" s="5" t="s">
        <v>238</v>
      </c>
      <c r="ER3690" s="5" t="s">
        <v>238</v>
      </c>
      <c r="ES3690" s="5" t="s">
        <v>238</v>
      </c>
      <c r="ET3690" s="5" t="s">
        <v>238</v>
      </c>
      <c r="EU3690" s="5" t="s">
        <v>238</v>
      </c>
      <c r="EV3690" s="5" t="s">
        <v>238</v>
      </c>
      <c r="EW3690" s="5" t="s">
        <v>238</v>
      </c>
      <c r="EX3690" s="5" t="s">
        <v>238</v>
      </c>
      <c r="EY3690" s="5" t="s">
        <v>238</v>
      </c>
      <c r="EZ3690" s="5" t="s">
        <v>238</v>
      </c>
      <c r="FA3690" s="5" t="s">
        <v>238</v>
      </c>
      <c r="FB3690" s="5" t="s">
        <v>238</v>
      </c>
      <c r="FC3690" s="5" t="s">
        <v>238</v>
      </c>
      <c r="FD3690" s="5" t="s">
        <v>238</v>
      </c>
      <c r="FE3690" s="5" t="s">
        <v>238</v>
      </c>
      <c r="FF3690" s="5" t="s">
        <v>238</v>
      </c>
      <c r="FG3690" s="5" t="s">
        <v>238</v>
      </c>
      <c r="FH3690" s="5" t="s">
        <v>238</v>
      </c>
      <c r="FI3690" s="5" t="s">
        <v>238</v>
      </c>
      <c r="FJ3690" s="5" t="s">
        <v>238</v>
      </c>
      <c r="FK3690" s="5" t="s">
        <v>238</v>
      </c>
      <c r="FL3690" s="5" t="s">
        <v>238</v>
      </c>
      <c r="FM3690" s="5" t="s">
        <v>238</v>
      </c>
      <c r="FN3690" s="5" t="s">
        <v>238</v>
      </c>
      <c r="FO3690" s="5" t="s">
        <v>238</v>
      </c>
      <c r="FP3690" s="5" t="s">
        <v>238</v>
      </c>
      <c r="FQ3690" s="5" t="s">
        <v>238</v>
      </c>
      <c r="FR3690" s="5" t="s">
        <v>238</v>
      </c>
      <c r="FS3690" s="5" t="s">
        <v>238</v>
      </c>
      <c r="FT3690" s="5" t="s">
        <v>238</v>
      </c>
      <c r="FU3690" s="5" t="s">
        <v>238</v>
      </c>
      <c r="FV3690" s="5" t="s">
        <v>238</v>
      </c>
      <c r="FW3690" s="5" t="s">
        <v>238</v>
      </c>
      <c r="FX3690" s="5" t="s">
        <v>238</v>
      </c>
      <c r="FY3690" s="5" t="s">
        <v>238</v>
      </c>
      <c r="FZ3690" s="5" t="s">
        <v>238</v>
      </c>
      <c r="GA3690" s="5" t="s">
        <v>238</v>
      </c>
      <c r="GB3690" s="5" t="s">
        <v>238</v>
      </c>
      <c r="GC3690" s="5" t="s">
        <v>238</v>
      </c>
      <c r="GD3690" s="5" t="s">
        <v>238</v>
      </c>
      <c r="GE3690" s="5" t="s">
        <v>238</v>
      </c>
      <c r="GF3690" s="5" t="s">
        <v>238</v>
      </c>
      <c r="GG3690" s="5" t="s">
        <v>238</v>
      </c>
      <c r="GH3690" s="5" t="s">
        <v>238</v>
      </c>
      <c r="GI3690" s="5" t="s">
        <v>238</v>
      </c>
      <c r="GJ3690" s="5" t="s">
        <v>238</v>
      </c>
      <c r="GK3690" s="5" t="s">
        <v>238</v>
      </c>
      <c r="GL3690" s="5" t="s">
        <v>238</v>
      </c>
      <c r="GM3690" s="5" t="s">
        <v>238</v>
      </c>
      <c r="GN3690" s="5" t="s">
        <v>238</v>
      </c>
      <c r="GO3690" s="5" t="s">
        <v>238</v>
      </c>
      <c r="GP3690" s="5" t="s">
        <v>238</v>
      </c>
      <c r="GQ3690" s="5" t="s">
        <v>238</v>
      </c>
      <c r="GR3690" s="5" t="s">
        <v>238</v>
      </c>
      <c r="GS3690" s="5" t="s">
        <v>238</v>
      </c>
      <c r="GT3690" s="5" t="s">
        <v>238</v>
      </c>
      <c r="GU3690" s="5" t="s">
        <v>238</v>
      </c>
      <c r="GV3690" s="5" t="s">
        <v>238</v>
      </c>
      <c r="GW3690" s="5" t="s">
        <v>238</v>
      </c>
      <c r="GX3690" s="5" t="s">
        <v>238</v>
      </c>
      <c r="GY3690" s="5" t="s">
        <v>238</v>
      </c>
      <c r="GZ3690" s="5" t="s">
        <v>238</v>
      </c>
      <c r="HA3690" s="5" t="s">
        <v>238</v>
      </c>
      <c r="HB3690" s="5" t="s">
        <v>238</v>
      </c>
      <c r="HC3690" s="5" t="s">
        <v>238</v>
      </c>
      <c r="HD3690" s="5" t="s">
        <v>238</v>
      </c>
      <c r="HE3690" s="5" t="s">
        <v>238</v>
      </c>
      <c r="HF3690" s="5" t="s">
        <v>238</v>
      </c>
      <c r="HG3690" s="5" t="s">
        <v>238</v>
      </c>
      <c r="HH3690" s="5" t="s">
        <v>238</v>
      </c>
      <c r="HI3690" s="5" t="s">
        <v>238</v>
      </c>
      <c r="HJ3690" s="5" t="s">
        <v>238</v>
      </c>
      <c r="HK3690" s="5" t="s">
        <v>238</v>
      </c>
      <c r="HL3690" s="5" t="s">
        <v>238</v>
      </c>
      <c r="HM3690" s="5" t="s">
        <v>264</v>
      </c>
      <c r="HN3690" s="5" t="s">
        <v>238</v>
      </c>
      <c r="HO3690" s="5" t="s">
        <v>238</v>
      </c>
      <c r="HP3690" s="5" t="s">
        <v>238</v>
      </c>
      <c r="HQ3690" s="5" t="s">
        <v>238</v>
      </c>
      <c r="HR3690" s="5" t="s">
        <v>238</v>
      </c>
      <c r="HS3690" s="5" t="s">
        <v>238</v>
      </c>
      <c r="HT3690" s="5" t="s">
        <v>238</v>
      </c>
      <c r="HU3690" s="5" t="s">
        <v>238</v>
      </c>
      <c r="HV3690" s="5" t="s">
        <v>238</v>
      </c>
      <c r="HW3690" s="5" t="s">
        <v>238</v>
      </c>
      <c r="HX3690" s="5" t="s">
        <v>238</v>
      </c>
      <c r="HY3690" s="5" t="s">
        <v>238</v>
      </c>
      <c r="HZ3690" s="5" t="s">
        <v>238</v>
      </c>
      <c r="IA3690" s="5" t="s">
        <v>238</v>
      </c>
      <c r="IB3690" s="5" t="s">
        <v>238</v>
      </c>
      <c r="IC3690" s="5" t="s">
        <v>238</v>
      </c>
      <c r="ID3690" s="5" t="s">
        <v>238</v>
      </c>
    </row>
    <row r="3691" spans="1:238" x14ac:dyDescent="0.4">
      <c r="A3691" s="5">
        <v>9409</v>
      </c>
      <c r="B3691" s="5">
        <v>1</v>
      </c>
      <c r="C3691" s="5">
        <v>1</v>
      </c>
      <c r="D3691" s="5" t="s">
        <v>484</v>
      </c>
      <c r="E3691" s="5" t="s">
        <v>485</v>
      </c>
      <c r="F3691" s="5" t="s">
        <v>248</v>
      </c>
      <c r="G3691" s="5" t="s">
        <v>2107</v>
      </c>
      <c r="H3691" s="6" t="s">
        <v>2108</v>
      </c>
      <c r="I3691" s="8">
        <f>1</f>
        <v>1</v>
      </c>
      <c r="J3691" s="5" t="s">
        <v>499</v>
      </c>
      <c r="K3691" s="8">
        <f>1</f>
        <v>1</v>
      </c>
      <c r="L3691" s="6" t="s">
        <v>242</v>
      </c>
      <c r="M3691" s="5" t="s">
        <v>267</v>
      </c>
      <c r="N3691" s="5" t="s">
        <v>482</v>
      </c>
      <c r="O3691" s="5" t="s">
        <v>238</v>
      </c>
      <c r="P3691" s="5" t="s">
        <v>238</v>
      </c>
      <c r="Q3691" s="5" t="s">
        <v>239</v>
      </c>
      <c r="R3691" s="5" t="s">
        <v>270</v>
      </c>
      <c r="S3691" s="5" t="s">
        <v>238</v>
      </c>
      <c r="T3691" s="5" t="s">
        <v>238</v>
      </c>
      <c r="U3691" s="5" t="s">
        <v>238</v>
      </c>
      <c r="V3691" s="5" t="s">
        <v>238</v>
      </c>
      <c r="W3691" s="6" t="s">
        <v>238</v>
      </c>
      <c r="X3691" s="6" t="s">
        <v>238</v>
      </c>
      <c r="Y3691" s="5" t="s">
        <v>238</v>
      </c>
      <c r="Z3691" s="6" t="s">
        <v>238</v>
      </c>
      <c r="AA3691" s="6" t="s">
        <v>243</v>
      </c>
      <c r="AB3691" s="5" t="s">
        <v>486</v>
      </c>
      <c r="AC3691" s="5" t="s">
        <v>244</v>
      </c>
      <c r="AD3691" s="5" t="s">
        <v>245</v>
      </c>
      <c r="AE3691" s="5" t="s">
        <v>238</v>
      </c>
      <c r="AF3691" s="5" t="s">
        <v>238</v>
      </c>
      <c r="AG3691" s="5" t="s">
        <v>238</v>
      </c>
      <c r="AH3691" s="5" t="s">
        <v>238</v>
      </c>
      <c r="AI3691" s="5" t="s">
        <v>238</v>
      </c>
      <c r="AJ3691" s="5" t="s">
        <v>238</v>
      </c>
      <c r="AK3691" s="5" t="s">
        <v>238</v>
      </c>
      <c r="AL3691" s="5" t="s">
        <v>238</v>
      </c>
      <c r="AM3691" s="6" t="s">
        <v>238</v>
      </c>
      <c r="AN3691" s="6" t="s">
        <v>238</v>
      </c>
      <c r="AO3691" s="6" t="s">
        <v>238</v>
      </c>
      <c r="AP3691" s="6" t="s">
        <v>238</v>
      </c>
      <c r="AQ3691" s="5" t="s">
        <v>238</v>
      </c>
      <c r="AR3691" s="5" t="s">
        <v>488</v>
      </c>
      <c r="AS3691" s="5" t="s">
        <v>488</v>
      </c>
      <c r="AT3691" s="5" t="s">
        <v>246</v>
      </c>
      <c r="AU3691" s="5" t="s">
        <v>489</v>
      </c>
      <c r="AV3691" s="5" t="s">
        <v>247</v>
      </c>
      <c r="AW3691" s="5" t="s">
        <v>238</v>
      </c>
      <c r="AX3691" s="5" t="s">
        <v>249</v>
      </c>
      <c r="AY3691" s="5" t="s">
        <v>490</v>
      </c>
      <c r="BA3691" s="5" t="s">
        <v>238</v>
      </c>
      <c r="BC3691" s="5" t="s">
        <v>491</v>
      </c>
      <c r="BD3691" s="6" t="s">
        <v>492</v>
      </c>
      <c r="BE3691" s="5" t="s">
        <v>493</v>
      </c>
      <c r="BF3691" s="5" t="s">
        <v>493</v>
      </c>
      <c r="BG3691" s="5" t="s">
        <v>238</v>
      </c>
      <c r="BH3691" s="8">
        <f>1</f>
        <v>1</v>
      </c>
      <c r="BI3691" s="8">
        <f>1</f>
        <v>1</v>
      </c>
      <c r="BJ3691" s="5" t="s">
        <v>253</v>
      </c>
      <c r="BK3691" s="5" t="s">
        <v>254</v>
      </c>
      <c r="BL3691" s="5" t="s">
        <v>238</v>
      </c>
      <c r="BM3691" s="5" t="s">
        <v>238</v>
      </c>
      <c r="BN3691" s="5" t="s">
        <v>238</v>
      </c>
      <c r="BO3691" s="5" t="s">
        <v>238</v>
      </c>
      <c r="BP3691" s="5" t="s">
        <v>238</v>
      </c>
      <c r="BQ3691" s="5" t="s">
        <v>238</v>
      </c>
      <c r="BR3691" s="5" t="s">
        <v>238</v>
      </c>
      <c r="BS3691" s="5" t="s">
        <v>238</v>
      </c>
      <c r="BT3691" s="6" t="s">
        <v>238</v>
      </c>
      <c r="BU3691" s="5" t="s">
        <v>238</v>
      </c>
      <c r="BV3691" s="5" t="s">
        <v>238</v>
      </c>
      <c r="BW3691" s="5" t="s">
        <v>238</v>
      </c>
      <c r="BX3691" s="5" t="s">
        <v>254</v>
      </c>
      <c r="BY3691" s="5" t="s">
        <v>238</v>
      </c>
      <c r="BZ3691" s="5" t="s">
        <v>238</v>
      </c>
      <c r="CA3691" s="5" t="s">
        <v>238</v>
      </c>
      <c r="CB3691" s="5" t="s">
        <v>238</v>
      </c>
      <c r="CC3691" s="5" t="s">
        <v>238</v>
      </c>
      <c r="CD3691" s="5" t="s">
        <v>273</v>
      </c>
      <c r="CE3691" s="5" t="s">
        <v>256</v>
      </c>
      <c r="CF3691" s="5" t="s">
        <v>238</v>
      </c>
      <c r="CH3691" s="5" t="s">
        <v>494</v>
      </c>
      <c r="CI3691" s="6" t="s">
        <v>257</v>
      </c>
      <c r="CJ3691" s="5" t="s">
        <v>495</v>
      </c>
      <c r="CK3691" s="5" t="s">
        <v>258</v>
      </c>
      <c r="CL3691" s="5" t="s">
        <v>496</v>
      </c>
      <c r="CM3691" s="5" t="s">
        <v>238</v>
      </c>
      <c r="CN3691" s="5">
        <v>0</v>
      </c>
      <c r="CO3691" s="5" t="s">
        <v>497</v>
      </c>
      <c r="CP3691" s="5" t="s">
        <v>260</v>
      </c>
      <c r="CQ3691" s="5" t="s">
        <v>260</v>
      </c>
      <c r="CR3691" s="5" t="s">
        <v>261</v>
      </c>
      <c r="CS3691" s="5" t="s">
        <v>498</v>
      </c>
      <c r="CT3691" s="7">
        <f>1</f>
        <v>1</v>
      </c>
      <c r="CU3691" s="8">
        <f>1</f>
        <v>1</v>
      </c>
      <c r="CV3691" s="8">
        <f>0</f>
        <v>0</v>
      </c>
      <c r="CX3691" s="8">
        <f>1</f>
        <v>1</v>
      </c>
      <c r="CY3691" s="8">
        <f>1</f>
        <v>1</v>
      </c>
      <c r="CZ3691" s="8" t="s">
        <v>238</v>
      </c>
      <c r="DA3691" s="5" t="s">
        <v>238</v>
      </c>
      <c r="DB3691" s="5" t="s">
        <v>238</v>
      </c>
      <c r="DC3691" s="5" t="s">
        <v>238</v>
      </c>
      <c r="DD3691" s="5" t="s">
        <v>238</v>
      </c>
      <c r="DE3691" s="8">
        <f>0</f>
        <v>0</v>
      </c>
      <c r="DG3691" s="5" t="s">
        <v>238</v>
      </c>
      <c r="DH3691" s="5" t="s">
        <v>238</v>
      </c>
      <c r="DI3691" s="5" t="s">
        <v>238</v>
      </c>
      <c r="DJ3691" s="5" t="s">
        <v>238</v>
      </c>
      <c r="DK3691" s="5" t="s">
        <v>238</v>
      </c>
      <c r="DL3691" s="5" t="s">
        <v>238</v>
      </c>
      <c r="DM3691" s="8" t="s">
        <v>238</v>
      </c>
      <c r="DN3691" s="5" t="s">
        <v>238</v>
      </c>
      <c r="DO3691" s="5" t="s">
        <v>238</v>
      </c>
      <c r="DP3691" s="5" t="s">
        <v>490</v>
      </c>
      <c r="DQ3691" s="5" t="s">
        <v>490</v>
      </c>
      <c r="DR3691" s="5" t="s">
        <v>238</v>
      </c>
      <c r="DS3691" s="5" t="s">
        <v>238</v>
      </c>
      <c r="DT3691" s="5" t="s">
        <v>500</v>
      </c>
      <c r="DU3691" s="5" t="s">
        <v>508</v>
      </c>
      <c r="DV3691" s="5" t="s">
        <v>238</v>
      </c>
      <c r="DW3691" s="5" t="s">
        <v>238</v>
      </c>
      <c r="DX3691" s="5" t="s">
        <v>238</v>
      </c>
      <c r="DY3691" s="5" t="s">
        <v>238</v>
      </c>
      <c r="DZ3691" s="5" t="s">
        <v>238</v>
      </c>
      <c r="EA3691" s="5" t="s">
        <v>238</v>
      </c>
      <c r="EB3691" s="5" t="s">
        <v>238</v>
      </c>
      <c r="EC3691" s="5" t="s">
        <v>238</v>
      </c>
      <c r="ED3691" s="5" t="s">
        <v>238</v>
      </c>
      <c r="EE3691" s="5" t="s">
        <v>238</v>
      </c>
      <c r="EF3691" s="5" t="s">
        <v>238</v>
      </c>
      <c r="EG3691" s="5" t="s">
        <v>238</v>
      </c>
      <c r="EH3691" s="5" t="s">
        <v>238</v>
      </c>
      <c r="EI3691" s="5" t="s">
        <v>238</v>
      </c>
      <c r="EJ3691" s="5" t="s">
        <v>238</v>
      </c>
      <c r="EK3691" s="5" t="s">
        <v>238</v>
      </c>
      <c r="EL3691" s="5" t="s">
        <v>238</v>
      </c>
      <c r="EM3691" s="5" t="s">
        <v>238</v>
      </c>
      <c r="EN3691" s="5" t="s">
        <v>238</v>
      </c>
      <c r="EO3691" s="5" t="s">
        <v>238</v>
      </c>
      <c r="EP3691" s="5" t="s">
        <v>238</v>
      </c>
      <c r="EQ3691" s="5" t="s">
        <v>238</v>
      </c>
      <c r="ER3691" s="5" t="s">
        <v>238</v>
      </c>
      <c r="ES3691" s="5" t="s">
        <v>238</v>
      </c>
      <c r="ET3691" s="5" t="s">
        <v>238</v>
      </c>
      <c r="EU3691" s="5" t="s">
        <v>238</v>
      </c>
      <c r="EV3691" s="5" t="s">
        <v>238</v>
      </c>
      <c r="EW3691" s="5" t="s">
        <v>238</v>
      </c>
      <c r="EX3691" s="5" t="s">
        <v>238</v>
      </c>
      <c r="EY3691" s="5" t="s">
        <v>238</v>
      </c>
      <c r="EZ3691" s="5" t="s">
        <v>238</v>
      </c>
      <c r="FA3691" s="5" t="s">
        <v>238</v>
      </c>
      <c r="FB3691" s="5" t="s">
        <v>238</v>
      </c>
      <c r="FC3691" s="5" t="s">
        <v>238</v>
      </c>
      <c r="FD3691" s="5" t="s">
        <v>238</v>
      </c>
      <c r="FE3691" s="5" t="s">
        <v>238</v>
      </c>
      <c r="FF3691" s="5" t="s">
        <v>238</v>
      </c>
      <c r="FG3691" s="5" t="s">
        <v>238</v>
      </c>
      <c r="FH3691" s="5" t="s">
        <v>238</v>
      </c>
      <c r="FI3691" s="5" t="s">
        <v>238</v>
      </c>
      <c r="FJ3691" s="5" t="s">
        <v>238</v>
      </c>
      <c r="FK3691" s="5" t="s">
        <v>238</v>
      </c>
      <c r="FL3691" s="5" t="s">
        <v>238</v>
      </c>
      <c r="FM3691" s="5" t="s">
        <v>238</v>
      </c>
      <c r="FN3691" s="5" t="s">
        <v>238</v>
      </c>
      <c r="FO3691" s="5" t="s">
        <v>238</v>
      </c>
      <c r="FP3691" s="5" t="s">
        <v>238</v>
      </c>
      <c r="FQ3691" s="5" t="s">
        <v>238</v>
      </c>
      <c r="FR3691" s="5" t="s">
        <v>238</v>
      </c>
      <c r="FS3691" s="5" t="s">
        <v>238</v>
      </c>
      <c r="FT3691" s="5" t="s">
        <v>238</v>
      </c>
      <c r="FU3691" s="5" t="s">
        <v>238</v>
      </c>
      <c r="FV3691" s="5" t="s">
        <v>238</v>
      </c>
      <c r="FW3691" s="5" t="s">
        <v>238</v>
      </c>
      <c r="FX3691" s="5" t="s">
        <v>238</v>
      </c>
      <c r="FY3691" s="5" t="s">
        <v>238</v>
      </c>
      <c r="FZ3691" s="5" t="s">
        <v>238</v>
      </c>
      <c r="GA3691" s="5" t="s">
        <v>238</v>
      </c>
      <c r="GB3691" s="5" t="s">
        <v>238</v>
      </c>
      <c r="GC3691" s="5" t="s">
        <v>238</v>
      </c>
      <c r="GD3691" s="5" t="s">
        <v>238</v>
      </c>
      <c r="GE3691" s="5" t="s">
        <v>238</v>
      </c>
      <c r="GF3691" s="5" t="s">
        <v>238</v>
      </c>
      <c r="GG3691" s="5" t="s">
        <v>238</v>
      </c>
      <c r="GH3691" s="5" t="s">
        <v>238</v>
      </c>
      <c r="GI3691" s="5" t="s">
        <v>238</v>
      </c>
      <c r="GJ3691" s="5" t="s">
        <v>238</v>
      </c>
      <c r="GK3691" s="5" t="s">
        <v>238</v>
      </c>
      <c r="GL3691" s="5" t="s">
        <v>238</v>
      </c>
      <c r="GM3691" s="5" t="s">
        <v>238</v>
      </c>
      <c r="GN3691" s="5" t="s">
        <v>238</v>
      </c>
      <c r="GO3691" s="5" t="s">
        <v>238</v>
      </c>
      <c r="GP3691" s="5" t="s">
        <v>238</v>
      </c>
      <c r="GQ3691" s="5" t="s">
        <v>238</v>
      </c>
      <c r="GR3691" s="5" t="s">
        <v>238</v>
      </c>
      <c r="GS3691" s="5" t="s">
        <v>238</v>
      </c>
      <c r="GT3691" s="5" t="s">
        <v>238</v>
      </c>
      <c r="GU3691" s="5" t="s">
        <v>238</v>
      </c>
      <c r="GV3691" s="5" t="s">
        <v>238</v>
      </c>
      <c r="GW3691" s="5" t="s">
        <v>238</v>
      </c>
      <c r="GX3691" s="5" t="s">
        <v>238</v>
      </c>
      <c r="GY3691" s="5" t="s">
        <v>238</v>
      </c>
      <c r="GZ3691" s="5" t="s">
        <v>238</v>
      </c>
      <c r="HA3691" s="5" t="s">
        <v>238</v>
      </c>
      <c r="HB3691" s="5" t="s">
        <v>238</v>
      </c>
      <c r="HC3691" s="5" t="s">
        <v>238</v>
      </c>
      <c r="HD3691" s="5" t="s">
        <v>238</v>
      </c>
      <c r="HE3691" s="5" t="s">
        <v>238</v>
      </c>
      <c r="HF3691" s="5" t="s">
        <v>238</v>
      </c>
      <c r="HG3691" s="5" t="s">
        <v>238</v>
      </c>
      <c r="HH3691" s="5" t="s">
        <v>238</v>
      </c>
      <c r="HI3691" s="5" t="s">
        <v>238</v>
      </c>
      <c r="HJ3691" s="5" t="s">
        <v>238</v>
      </c>
      <c r="HK3691" s="5" t="s">
        <v>238</v>
      </c>
      <c r="HL3691" s="5" t="s">
        <v>238</v>
      </c>
      <c r="HM3691" s="5" t="s">
        <v>264</v>
      </c>
      <c r="HN3691" s="5" t="s">
        <v>238</v>
      </c>
      <c r="HO3691" s="5" t="s">
        <v>238</v>
      </c>
      <c r="HP3691" s="5" t="s">
        <v>238</v>
      </c>
      <c r="HQ3691" s="5" t="s">
        <v>238</v>
      </c>
      <c r="HR3691" s="5" t="s">
        <v>238</v>
      </c>
      <c r="HS3691" s="5" t="s">
        <v>238</v>
      </c>
      <c r="HT3691" s="5" t="s">
        <v>238</v>
      </c>
      <c r="HU3691" s="5" t="s">
        <v>238</v>
      </c>
      <c r="HV3691" s="5" t="s">
        <v>238</v>
      </c>
      <c r="HW3691" s="5" t="s">
        <v>238</v>
      </c>
      <c r="HX3691" s="5" t="s">
        <v>238</v>
      </c>
      <c r="HY3691" s="5" t="s">
        <v>238</v>
      </c>
      <c r="HZ3691" s="5" t="s">
        <v>238</v>
      </c>
      <c r="IA3691" s="5" t="s">
        <v>238</v>
      </c>
      <c r="IB3691" s="5" t="s">
        <v>238</v>
      </c>
      <c r="IC3691" s="5" t="s">
        <v>238</v>
      </c>
      <c r="ID3691" s="5" t="s">
        <v>238</v>
      </c>
    </row>
    <row r="3692" spans="1:238" x14ac:dyDescent="0.4">
      <c r="A3692" s="5">
        <v>9410</v>
      </c>
      <c r="B3692" s="5">
        <v>1</v>
      </c>
      <c r="C3692" s="5">
        <v>1</v>
      </c>
      <c r="D3692" s="5" t="s">
        <v>484</v>
      </c>
      <c r="E3692" s="5" t="s">
        <v>485</v>
      </c>
      <c r="F3692" s="5" t="s">
        <v>248</v>
      </c>
      <c r="G3692" s="5" t="s">
        <v>4413</v>
      </c>
      <c r="H3692" s="6" t="s">
        <v>4414</v>
      </c>
      <c r="I3692" s="8">
        <f>1</f>
        <v>1</v>
      </c>
      <c r="J3692" s="5" t="s">
        <v>499</v>
      </c>
      <c r="K3692" s="8">
        <f>1</f>
        <v>1</v>
      </c>
      <c r="L3692" s="6" t="s">
        <v>242</v>
      </c>
      <c r="M3692" s="5" t="s">
        <v>267</v>
      </c>
      <c r="N3692" s="5" t="s">
        <v>482</v>
      </c>
      <c r="O3692" s="5" t="s">
        <v>238</v>
      </c>
      <c r="P3692" s="5" t="s">
        <v>238</v>
      </c>
      <c r="Q3692" s="5" t="s">
        <v>239</v>
      </c>
      <c r="R3692" s="5" t="s">
        <v>270</v>
      </c>
      <c r="S3692" s="5" t="s">
        <v>238</v>
      </c>
      <c r="T3692" s="5" t="s">
        <v>238</v>
      </c>
      <c r="U3692" s="5" t="s">
        <v>238</v>
      </c>
      <c r="V3692" s="5" t="s">
        <v>238</v>
      </c>
      <c r="W3692" s="6" t="s">
        <v>238</v>
      </c>
      <c r="X3692" s="6" t="s">
        <v>238</v>
      </c>
      <c r="Y3692" s="5" t="s">
        <v>238</v>
      </c>
      <c r="Z3692" s="6" t="s">
        <v>238</v>
      </c>
      <c r="AA3692" s="6" t="s">
        <v>243</v>
      </c>
      <c r="AB3692" s="5" t="s">
        <v>486</v>
      </c>
      <c r="AC3692" s="5" t="s">
        <v>244</v>
      </c>
      <c r="AD3692" s="5" t="s">
        <v>245</v>
      </c>
      <c r="AE3692" s="5" t="s">
        <v>238</v>
      </c>
      <c r="AF3692" s="5" t="s">
        <v>238</v>
      </c>
      <c r="AG3692" s="5" t="s">
        <v>238</v>
      </c>
      <c r="AH3692" s="5" t="s">
        <v>238</v>
      </c>
      <c r="AI3692" s="5" t="s">
        <v>238</v>
      </c>
      <c r="AJ3692" s="5" t="s">
        <v>238</v>
      </c>
      <c r="AK3692" s="5" t="s">
        <v>238</v>
      </c>
      <c r="AL3692" s="5" t="s">
        <v>238</v>
      </c>
      <c r="AM3692" s="6" t="s">
        <v>238</v>
      </c>
      <c r="AN3692" s="6" t="s">
        <v>238</v>
      </c>
      <c r="AO3692" s="6" t="s">
        <v>238</v>
      </c>
      <c r="AP3692" s="6" t="s">
        <v>238</v>
      </c>
      <c r="AQ3692" s="5" t="s">
        <v>238</v>
      </c>
      <c r="AR3692" s="5" t="s">
        <v>488</v>
      </c>
      <c r="AS3692" s="5" t="s">
        <v>488</v>
      </c>
      <c r="AT3692" s="5" t="s">
        <v>246</v>
      </c>
      <c r="AU3692" s="5" t="s">
        <v>489</v>
      </c>
      <c r="AV3692" s="5" t="s">
        <v>247</v>
      </c>
      <c r="AW3692" s="5" t="s">
        <v>238</v>
      </c>
      <c r="AX3692" s="5" t="s">
        <v>249</v>
      </c>
      <c r="AY3692" s="5" t="s">
        <v>490</v>
      </c>
      <c r="BA3692" s="5" t="s">
        <v>238</v>
      </c>
      <c r="BC3692" s="5" t="s">
        <v>491</v>
      </c>
      <c r="BD3692" s="6" t="s">
        <v>492</v>
      </c>
      <c r="BE3692" s="5" t="s">
        <v>493</v>
      </c>
      <c r="BF3692" s="5" t="s">
        <v>493</v>
      </c>
      <c r="BG3692" s="5" t="s">
        <v>238</v>
      </c>
      <c r="BH3692" s="8">
        <f>1</f>
        <v>1</v>
      </c>
      <c r="BI3692" s="8">
        <f>1</f>
        <v>1</v>
      </c>
      <c r="BJ3692" s="5" t="s">
        <v>253</v>
      </c>
      <c r="BK3692" s="5" t="s">
        <v>254</v>
      </c>
      <c r="BL3692" s="5" t="s">
        <v>238</v>
      </c>
      <c r="BM3692" s="5" t="s">
        <v>238</v>
      </c>
      <c r="BN3692" s="5" t="s">
        <v>238</v>
      </c>
      <c r="BO3692" s="5" t="s">
        <v>238</v>
      </c>
      <c r="BP3692" s="5" t="s">
        <v>238</v>
      </c>
      <c r="BQ3692" s="5" t="s">
        <v>238</v>
      </c>
      <c r="BR3692" s="5" t="s">
        <v>238</v>
      </c>
      <c r="BS3692" s="5" t="s">
        <v>238</v>
      </c>
      <c r="BT3692" s="6" t="s">
        <v>238</v>
      </c>
      <c r="BU3692" s="5" t="s">
        <v>238</v>
      </c>
      <c r="BV3692" s="5" t="s">
        <v>238</v>
      </c>
      <c r="BW3692" s="5" t="s">
        <v>238</v>
      </c>
      <c r="BX3692" s="5" t="s">
        <v>254</v>
      </c>
      <c r="BY3692" s="5" t="s">
        <v>238</v>
      </c>
      <c r="BZ3692" s="5" t="s">
        <v>238</v>
      </c>
      <c r="CA3692" s="5" t="s">
        <v>238</v>
      </c>
      <c r="CB3692" s="5" t="s">
        <v>238</v>
      </c>
      <c r="CC3692" s="5" t="s">
        <v>238</v>
      </c>
      <c r="CD3692" s="5" t="s">
        <v>273</v>
      </c>
      <c r="CE3692" s="5" t="s">
        <v>256</v>
      </c>
      <c r="CF3692" s="5" t="s">
        <v>238</v>
      </c>
      <c r="CH3692" s="5" t="s">
        <v>494</v>
      </c>
      <c r="CI3692" s="6" t="s">
        <v>257</v>
      </c>
      <c r="CJ3692" s="5" t="s">
        <v>495</v>
      </c>
      <c r="CK3692" s="5" t="s">
        <v>258</v>
      </c>
      <c r="CL3692" s="5" t="s">
        <v>496</v>
      </c>
      <c r="CM3692" s="5" t="s">
        <v>238</v>
      </c>
      <c r="CN3692" s="5">
        <v>0</v>
      </c>
      <c r="CO3692" s="5" t="s">
        <v>497</v>
      </c>
      <c r="CP3692" s="5" t="s">
        <v>260</v>
      </c>
      <c r="CQ3692" s="5" t="s">
        <v>260</v>
      </c>
      <c r="CR3692" s="5" t="s">
        <v>261</v>
      </c>
      <c r="CS3692" s="5" t="s">
        <v>498</v>
      </c>
      <c r="CT3692" s="7">
        <f>1</f>
        <v>1</v>
      </c>
      <c r="CU3692" s="8">
        <f>1</f>
        <v>1</v>
      </c>
      <c r="CV3692" s="8">
        <f>0</f>
        <v>0</v>
      </c>
      <c r="CX3692" s="8">
        <f>1</f>
        <v>1</v>
      </c>
      <c r="CY3692" s="8">
        <f>1</f>
        <v>1</v>
      </c>
      <c r="CZ3692" s="8" t="s">
        <v>238</v>
      </c>
      <c r="DA3692" s="5" t="s">
        <v>238</v>
      </c>
      <c r="DB3692" s="5" t="s">
        <v>238</v>
      </c>
      <c r="DC3692" s="5" t="s">
        <v>238</v>
      </c>
      <c r="DD3692" s="5" t="s">
        <v>238</v>
      </c>
      <c r="DE3692" s="8">
        <f>0</f>
        <v>0</v>
      </c>
      <c r="DG3692" s="5" t="s">
        <v>238</v>
      </c>
      <c r="DH3692" s="5" t="s">
        <v>238</v>
      </c>
      <c r="DI3692" s="5" t="s">
        <v>238</v>
      </c>
      <c r="DJ3692" s="5" t="s">
        <v>238</v>
      </c>
      <c r="DK3692" s="5" t="s">
        <v>238</v>
      </c>
      <c r="DL3692" s="5" t="s">
        <v>238</v>
      </c>
      <c r="DM3692" s="8" t="s">
        <v>238</v>
      </c>
      <c r="DN3692" s="5" t="s">
        <v>238</v>
      </c>
      <c r="DO3692" s="5" t="s">
        <v>238</v>
      </c>
      <c r="DP3692" s="5" t="s">
        <v>490</v>
      </c>
      <c r="DQ3692" s="5" t="s">
        <v>490</v>
      </c>
      <c r="DR3692" s="5" t="s">
        <v>238</v>
      </c>
      <c r="DS3692" s="5" t="s">
        <v>238</v>
      </c>
      <c r="DT3692" s="5" t="s">
        <v>500</v>
      </c>
      <c r="DU3692" s="5" t="s">
        <v>479</v>
      </c>
      <c r="DV3692" s="5" t="s">
        <v>238</v>
      </c>
      <c r="DW3692" s="5" t="s">
        <v>238</v>
      </c>
      <c r="DX3692" s="5" t="s">
        <v>238</v>
      </c>
      <c r="DY3692" s="5" t="s">
        <v>238</v>
      </c>
      <c r="DZ3692" s="5" t="s">
        <v>238</v>
      </c>
      <c r="EA3692" s="5" t="s">
        <v>238</v>
      </c>
      <c r="EB3692" s="5" t="s">
        <v>238</v>
      </c>
      <c r="EC3692" s="5" t="s">
        <v>238</v>
      </c>
      <c r="ED3692" s="5" t="s">
        <v>238</v>
      </c>
      <c r="EE3692" s="5" t="s">
        <v>238</v>
      </c>
      <c r="EF3692" s="5" t="s">
        <v>238</v>
      </c>
      <c r="EG3692" s="5" t="s">
        <v>238</v>
      </c>
      <c r="EH3692" s="5" t="s">
        <v>238</v>
      </c>
      <c r="EI3692" s="5" t="s">
        <v>238</v>
      </c>
      <c r="EJ3692" s="5" t="s">
        <v>238</v>
      </c>
      <c r="EK3692" s="5" t="s">
        <v>238</v>
      </c>
      <c r="EL3692" s="5" t="s">
        <v>238</v>
      </c>
      <c r="EM3692" s="5" t="s">
        <v>238</v>
      </c>
      <c r="EN3692" s="5" t="s">
        <v>238</v>
      </c>
      <c r="EO3692" s="5" t="s">
        <v>238</v>
      </c>
      <c r="EP3692" s="5" t="s">
        <v>238</v>
      </c>
      <c r="EQ3692" s="5" t="s">
        <v>238</v>
      </c>
      <c r="ER3692" s="5" t="s">
        <v>238</v>
      </c>
      <c r="ES3692" s="5" t="s">
        <v>238</v>
      </c>
      <c r="ET3692" s="5" t="s">
        <v>238</v>
      </c>
      <c r="EU3692" s="5" t="s">
        <v>238</v>
      </c>
      <c r="EV3692" s="5" t="s">
        <v>238</v>
      </c>
      <c r="EW3692" s="5" t="s">
        <v>238</v>
      </c>
      <c r="EX3692" s="5" t="s">
        <v>238</v>
      </c>
      <c r="EY3692" s="5" t="s">
        <v>238</v>
      </c>
      <c r="EZ3692" s="5" t="s">
        <v>238</v>
      </c>
      <c r="FA3692" s="5" t="s">
        <v>238</v>
      </c>
      <c r="FB3692" s="5" t="s">
        <v>238</v>
      </c>
      <c r="FC3692" s="5" t="s">
        <v>238</v>
      </c>
      <c r="FD3692" s="5" t="s">
        <v>238</v>
      </c>
      <c r="FE3692" s="5" t="s">
        <v>238</v>
      </c>
      <c r="FF3692" s="5" t="s">
        <v>238</v>
      </c>
      <c r="FG3692" s="5" t="s">
        <v>238</v>
      </c>
      <c r="FH3692" s="5" t="s">
        <v>238</v>
      </c>
      <c r="FI3692" s="5" t="s">
        <v>238</v>
      </c>
      <c r="FJ3692" s="5" t="s">
        <v>238</v>
      </c>
      <c r="FK3692" s="5" t="s">
        <v>238</v>
      </c>
      <c r="FL3692" s="5" t="s">
        <v>238</v>
      </c>
      <c r="FM3692" s="5" t="s">
        <v>238</v>
      </c>
      <c r="FN3692" s="5" t="s">
        <v>238</v>
      </c>
      <c r="FO3692" s="5" t="s">
        <v>238</v>
      </c>
      <c r="FP3692" s="5" t="s">
        <v>238</v>
      </c>
      <c r="FQ3692" s="5" t="s">
        <v>238</v>
      </c>
      <c r="FR3692" s="5" t="s">
        <v>238</v>
      </c>
      <c r="FS3692" s="5" t="s">
        <v>238</v>
      </c>
      <c r="FT3692" s="5" t="s">
        <v>238</v>
      </c>
      <c r="FU3692" s="5" t="s">
        <v>238</v>
      </c>
      <c r="FV3692" s="5" t="s">
        <v>238</v>
      </c>
      <c r="FW3692" s="5" t="s">
        <v>238</v>
      </c>
      <c r="FX3692" s="5" t="s">
        <v>238</v>
      </c>
      <c r="FY3692" s="5" t="s">
        <v>238</v>
      </c>
      <c r="FZ3692" s="5" t="s">
        <v>238</v>
      </c>
      <c r="GA3692" s="5" t="s">
        <v>238</v>
      </c>
      <c r="GB3692" s="5" t="s">
        <v>238</v>
      </c>
      <c r="GC3692" s="5" t="s">
        <v>238</v>
      </c>
      <c r="GD3692" s="5" t="s">
        <v>238</v>
      </c>
      <c r="GE3692" s="5" t="s">
        <v>238</v>
      </c>
      <c r="GF3692" s="5" t="s">
        <v>238</v>
      </c>
      <c r="GG3692" s="5" t="s">
        <v>238</v>
      </c>
      <c r="GH3692" s="5" t="s">
        <v>238</v>
      </c>
      <c r="GI3692" s="5" t="s">
        <v>238</v>
      </c>
      <c r="GJ3692" s="5" t="s">
        <v>238</v>
      </c>
      <c r="GK3692" s="5" t="s">
        <v>238</v>
      </c>
      <c r="GL3692" s="5" t="s">
        <v>238</v>
      </c>
      <c r="GM3692" s="5" t="s">
        <v>238</v>
      </c>
      <c r="GN3692" s="5" t="s">
        <v>238</v>
      </c>
      <c r="GO3692" s="5" t="s">
        <v>238</v>
      </c>
      <c r="GP3692" s="5" t="s">
        <v>238</v>
      </c>
      <c r="GQ3692" s="5" t="s">
        <v>238</v>
      </c>
      <c r="GR3692" s="5" t="s">
        <v>238</v>
      </c>
      <c r="GS3692" s="5" t="s">
        <v>238</v>
      </c>
      <c r="GT3692" s="5" t="s">
        <v>238</v>
      </c>
      <c r="GU3692" s="5" t="s">
        <v>238</v>
      </c>
      <c r="GV3692" s="5" t="s">
        <v>238</v>
      </c>
      <c r="GW3692" s="5" t="s">
        <v>238</v>
      </c>
      <c r="GX3692" s="5" t="s">
        <v>238</v>
      </c>
      <c r="GY3692" s="5" t="s">
        <v>238</v>
      </c>
      <c r="GZ3692" s="5" t="s">
        <v>238</v>
      </c>
      <c r="HA3692" s="5" t="s">
        <v>238</v>
      </c>
      <c r="HB3692" s="5" t="s">
        <v>238</v>
      </c>
      <c r="HC3692" s="5" t="s">
        <v>238</v>
      </c>
      <c r="HD3692" s="5" t="s">
        <v>238</v>
      </c>
      <c r="HE3692" s="5" t="s">
        <v>238</v>
      </c>
      <c r="HF3692" s="5" t="s">
        <v>238</v>
      </c>
      <c r="HG3692" s="5" t="s">
        <v>238</v>
      </c>
      <c r="HH3692" s="5" t="s">
        <v>238</v>
      </c>
      <c r="HI3692" s="5" t="s">
        <v>238</v>
      </c>
      <c r="HJ3692" s="5" t="s">
        <v>238</v>
      </c>
      <c r="HK3692" s="5" t="s">
        <v>238</v>
      </c>
      <c r="HL3692" s="5" t="s">
        <v>238</v>
      </c>
      <c r="HM3692" s="5" t="s">
        <v>264</v>
      </c>
      <c r="HN3692" s="5" t="s">
        <v>238</v>
      </c>
      <c r="HO3692" s="5" t="s">
        <v>238</v>
      </c>
      <c r="HP3692" s="5" t="s">
        <v>238</v>
      </c>
      <c r="HQ3692" s="5" t="s">
        <v>238</v>
      </c>
      <c r="HR3692" s="5" t="s">
        <v>238</v>
      </c>
      <c r="HS3692" s="5" t="s">
        <v>238</v>
      </c>
      <c r="HT3692" s="5" t="s">
        <v>238</v>
      </c>
      <c r="HU3692" s="5" t="s">
        <v>238</v>
      </c>
      <c r="HV3692" s="5" t="s">
        <v>238</v>
      </c>
      <c r="HW3692" s="5" t="s">
        <v>238</v>
      </c>
      <c r="HX3692" s="5" t="s">
        <v>238</v>
      </c>
      <c r="HY3692" s="5" t="s">
        <v>238</v>
      </c>
      <c r="HZ3692" s="5" t="s">
        <v>238</v>
      </c>
      <c r="IA3692" s="5" t="s">
        <v>238</v>
      </c>
      <c r="IB3692" s="5" t="s">
        <v>238</v>
      </c>
      <c r="IC3692" s="5" t="s">
        <v>238</v>
      </c>
      <c r="ID3692" s="5" t="s">
        <v>238</v>
      </c>
    </row>
    <row r="3693" spans="1:238" x14ac:dyDescent="0.4">
      <c r="A3693" s="5">
        <v>9411</v>
      </c>
      <c r="B3693" s="5">
        <v>1</v>
      </c>
      <c r="C3693" s="5">
        <v>1</v>
      </c>
      <c r="D3693" s="5" t="s">
        <v>484</v>
      </c>
      <c r="E3693" s="5" t="s">
        <v>485</v>
      </c>
      <c r="F3693" s="5" t="s">
        <v>248</v>
      </c>
      <c r="G3693" s="5" t="s">
        <v>6434</v>
      </c>
      <c r="H3693" s="6" t="s">
        <v>6435</v>
      </c>
      <c r="I3693" s="8">
        <f>1</f>
        <v>1</v>
      </c>
      <c r="J3693" s="5" t="s">
        <v>499</v>
      </c>
      <c r="K3693" s="8">
        <f>1</f>
        <v>1</v>
      </c>
      <c r="L3693" s="6" t="s">
        <v>242</v>
      </c>
      <c r="M3693" s="5" t="s">
        <v>267</v>
      </c>
      <c r="N3693" s="5" t="s">
        <v>482</v>
      </c>
      <c r="O3693" s="5" t="s">
        <v>238</v>
      </c>
      <c r="P3693" s="5" t="s">
        <v>238</v>
      </c>
      <c r="Q3693" s="5" t="s">
        <v>239</v>
      </c>
      <c r="R3693" s="5" t="s">
        <v>270</v>
      </c>
      <c r="S3693" s="5" t="s">
        <v>238</v>
      </c>
      <c r="T3693" s="5" t="s">
        <v>238</v>
      </c>
      <c r="U3693" s="5" t="s">
        <v>238</v>
      </c>
      <c r="V3693" s="5" t="s">
        <v>238</v>
      </c>
      <c r="W3693" s="6" t="s">
        <v>238</v>
      </c>
      <c r="X3693" s="6" t="s">
        <v>238</v>
      </c>
      <c r="Y3693" s="5" t="s">
        <v>238</v>
      </c>
      <c r="Z3693" s="6" t="s">
        <v>238</v>
      </c>
      <c r="AA3693" s="6" t="s">
        <v>243</v>
      </c>
      <c r="AB3693" s="5" t="s">
        <v>486</v>
      </c>
      <c r="AC3693" s="5" t="s">
        <v>244</v>
      </c>
      <c r="AD3693" s="5" t="s">
        <v>245</v>
      </c>
      <c r="AE3693" s="5" t="s">
        <v>238</v>
      </c>
      <c r="AF3693" s="5" t="s">
        <v>238</v>
      </c>
      <c r="AG3693" s="5" t="s">
        <v>238</v>
      </c>
      <c r="AH3693" s="5" t="s">
        <v>238</v>
      </c>
      <c r="AI3693" s="5" t="s">
        <v>238</v>
      </c>
      <c r="AJ3693" s="5" t="s">
        <v>238</v>
      </c>
      <c r="AK3693" s="5" t="s">
        <v>238</v>
      </c>
      <c r="AL3693" s="5" t="s">
        <v>238</v>
      </c>
      <c r="AM3693" s="6" t="s">
        <v>238</v>
      </c>
      <c r="AN3693" s="6" t="s">
        <v>238</v>
      </c>
      <c r="AO3693" s="6" t="s">
        <v>238</v>
      </c>
      <c r="AP3693" s="6" t="s">
        <v>238</v>
      </c>
      <c r="AQ3693" s="5" t="s">
        <v>238</v>
      </c>
      <c r="AR3693" s="5" t="s">
        <v>488</v>
      </c>
      <c r="AS3693" s="5" t="s">
        <v>488</v>
      </c>
      <c r="AT3693" s="5" t="s">
        <v>246</v>
      </c>
      <c r="AU3693" s="5" t="s">
        <v>489</v>
      </c>
      <c r="AV3693" s="5" t="s">
        <v>247</v>
      </c>
      <c r="AW3693" s="5" t="s">
        <v>238</v>
      </c>
      <c r="AX3693" s="5" t="s">
        <v>249</v>
      </c>
      <c r="AY3693" s="5" t="s">
        <v>490</v>
      </c>
      <c r="BA3693" s="5" t="s">
        <v>238</v>
      </c>
      <c r="BC3693" s="5" t="s">
        <v>491</v>
      </c>
      <c r="BD3693" s="6" t="s">
        <v>492</v>
      </c>
      <c r="BE3693" s="5" t="s">
        <v>493</v>
      </c>
      <c r="BF3693" s="5" t="s">
        <v>493</v>
      </c>
      <c r="BG3693" s="5" t="s">
        <v>238</v>
      </c>
      <c r="BH3693" s="8">
        <f>1</f>
        <v>1</v>
      </c>
      <c r="BI3693" s="8">
        <f>1</f>
        <v>1</v>
      </c>
      <c r="BJ3693" s="5" t="s">
        <v>253</v>
      </c>
      <c r="BK3693" s="5" t="s">
        <v>254</v>
      </c>
      <c r="BL3693" s="5" t="s">
        <v>238</v>
      </c>
      <c r="BM3693" s="5" t="s">
        <v>238</v>
      </c>
      <c r="BN3693" s="5" t="s">
        <v>238</v>
      </c>
      <c r="BO3693" s="5" t="s">
        <v>238</v>
      </c>
      <c r="BP3693" s="5" t="s">
        <v>238</v>
      </c>
      <c r="BQ3693" s="5" t="s">
        <v>238</v>
      </c>
      <c r="BR3693" s="5" t="s">
        <v>238</v>
      </c>
      <c r="BS3693" s="5" t="s">
        <v>238</v>
      </c>
      <c r="BT3693" s="6" t="s">
        <v>238</v>
      </c>
      <c r="BU3693" s="5" t="s">
        <v>238</v>
      </c>
      <c r="BV3693" s="5" t="s">
        <v>238</v>
      </c>
      <c r="BW3693" s="5" t="s">
        <v>238</v>
      </c>
      <c r="BX3693" s="5" t="s">
        <v>254</v>
      </c>
      <c r="BY3693" s="5" t="s">
        <v>238</v>
      </c>
      <c r="BZ3693" s="5" t="s">
        <v>238</v>
      </c>
      <c r="CA3693" s="5" t="s">
        <v>238</v>
      </c>
      <c r="CB3693" s="5" t="s">
        <v>238</v>
      </c>
      <c r="CC3693" s="5" t="s">
        <v>238</v>
      </c>
      <c r="CD3693" s="5" t="s">
        <v>273</v>
      </c>
      <c r="CE3693" s="5" t="s">
        <v>256</v>
      </c>
      <c r="CF3693" s="5" t="s">
        <v>238</v>
      </c>
      <c r="CH3693" s="5" t="s">
        <v>494</v>
      </c>
      <c r="CI3693" s="6" t="s">
        <v>257</v>
      </c>
      <c r="CJ3693" s="5" t="s">
        <v>495</v>
      </c>
      <c r="CK3693" s="5" t="s">
        <v>258</v>
      </c>
      <c r="CL3693" s="5" t="s">
        <v>496</v>
      </c>
      <c r="CM3693" s="5" t="s">
        <v>238</v>
      </c>
      <c r="CN3693" s="5">
        <v>0</v>
      </c>
      <c r="CO3693" s="5" t="s">
        <v>497</v>
      </c>
      <c r="CP3693" s="5" t="s">
        <v>260</v>
      </c>
      <c r="CQ3693" s="5" t="s">
        <v>260</v>
      </c>
      <c r="CR3693" s="5" t="s">
        <v>261</v>
      </c>
      <c r="CS3693" s="5" t="s">
        <v>498</v>
      </c>
      <c r="CT3693" s="7">
        <f>1</f>
        <v>1</v>
      </c>
      <c r="CU3693" s="8">
        <f>1</f>
        <v>1</v>
      </c>
      <c r="CV3693" s="8">
        <f>0</f>
        <v>0</v>
      </c>
      <c r="CX3693" s="8">
        <f>1</f>
        <v>1</v>
      </c>
      <c r="CY3693" s="8">
        <f>1</f>
        <v>1</v>
      </c>
      <c r="CZ3693" s="8" t="s">
        <v>238</v>
      </c>
      <c r="DA3693" s="5" t="s">
        <v>238</v>
      </c>
      <c r="DB3693" s="5" t="s">
        <v>238</v>
      </c>
      <c r="DC3693" s="5" t="s">
        <v>238</v>
      </c>
      <c r="DD3693" s="5" t="s">
        <v>238</v>
      </c>
      <c r="DE3693" s="8">
        <f>0</f>
        <v>0</v>
      </c>
      <c r="DG3693" s="5" t="s">
        <v>238</v>
      </c>
      <c r="DH3693" s="5" t="s">
        <v>238</v>
      </c>
      <c r="DI3693" s="5" t="s">
        <v>238</v>
      </c>
      <c r="DJ3693" s="5" t="s">
        <v>238</v>
      </c>
      <c r="DK3693" s="5" t="s">
        <v>238</v>
      </c>
      <c r="DL3693" s="5" t="s">
        <v>238</v>
      </c>
      <c r="DM3693" s="8" t="s">
        <v>238</v>
      </c>
      <c r="DN3693" s="5" t="s">
        <v>238</v>
      </c>
      <c r="DO3693" s="5" t="s">
        <v>238</v>
      </c>
      <c r="DP3693" s="5" t="s">
        <v>490</v>
      </c>
      <c r="DQ3693" s="5" t="s">
        <v>490</v>
      </c>
      <c r="DR3693" s="5" t="s">
        <v>238</v>
      </c>
      <c r="DS3693" s="5" t="s">
        <v>238</v>
      </c>
      <c r="DT3693" s="5" t="s">
        <v>500</v>
      </c>
      <c r="DU3693" s="5" t="s">
        <v>468</v>
      </c>
      <c r="DV3693" s="5" t="s">
        <v>238</v>
      </c>
      <c r="DW3693" s="5" t="s">
        <v>238</v>
      </c>
      <c r="DX3693" s="5" t="s">
        <v>238</v>
      </c>
      <c r="DY3693" s="5" t="s">
        <v>238</v>
      </c>
      <c r="DZ3693" s="5" t="s">
        <v>238</v>
      </c>
      <c r="EA3693" s="5" t="s">
        <v>238</v>
      </c>
      <c r="EB3693" s="5" t="s">
        <v>238</v>
      </c>
      <c r="EC3693" s="5" t="s">
        <v>238</v>
      </c>
      <c r="ED3693" s="5" t="s">
        <v>238</v>
      </c>
      <c r="EE3693" s="5" t="s">
        <v>238</v>
      </c>
      <c r="EF3693" s="5" t="s">
        <v>238</v>
      </c>
      <c r="EG3693" s="5" t="s">
        <v>238</v>
      </c>
      <c r="EH3693" s="5" t="s">
        <v>238</v>
      </c>
      <c r="EI3693" s="5" t="s">
        <v>238</v>
      </c>
      <c r="EJ3693" s="5" t="s">
        <v>238</v>
      </c>
      <c r="EK3693" s="5" t="s">
        <v>238</v>
      </c>
      <c r="EL3693" s="5" t="s">
        <v>238</v>
      </c>
      <c r="EM3693" s="5" t="s">
        <v>238</v>
      </c>
      <c r="EN3693" s="5" t="s">
        <v>238</v>
      </c>
      <c r="EO3693" s="5" t="s">
        <v>238</v>
      </c>
      <c r="EP3693" s="5" t="s">
        <v>238</v>
      </c>
      <c r="EQ3693" s="5" t="s">
        <v>238</v>
      </c>
      <c r="ER3693" s="5" t="s">
        <v>238</v>
      </c>
      <c r="ES3693" s="5" t="s">
        <v>238</v>
      </c>
      <c r="ET3693" s="5" t="s">
        <v>238</v>
      </c>
      <c r="EU3693" s="5" t="s">
        <v>238</v>
      </c>
      <c r="EV3693" s="5" t="s">
        <v>238</v>
      </c>
      <c r="EW3693" s="5" t="s">
        <v>238</v>
      </c>
      <c r="EX3693" s="5" t="s">
        <v>238</v>
      </c>
      <c r="EY3693" s="5" t="s">
        <v>238</v>
      </c>
      <c r="EZ3693" s="5" t="s">
        <v>238</v>
      </c>
      <c r="FA3693" s="5" t="s">
        <v>238</v>
      </c>
      <c r="FB3693" s="5" t="s">
        <v>238</v>
      </c>
      <c r="FC3693" s="5" t="s">
        <v>238</v>
      </c>
      <c r="FD3693" s="5" t="s">
        <v>238</v>
      </c>
      <c r="FE3693" s="5" t="s">
        <v>238</v>
      </c>
      <c r="FF3693" s="5" t="s">
        <v>238</v>
      </c>
      <c r="FG3693" s="5" t="s">
        <v>238</v>
      </c>
      <c r="FH3693" s="5" t="s">
        <v>238</v>
      </c>
      <c r="FI3693" s="5" t="s">
        <v>238</v>
      </c>
      <c r="FJ3693" s="5" t="s">
        <v>238</v>
      </c>
      <c r="FK3693" s="5" t="s">
        <v>238</v>
      </c>
      <c r="FL3693" s="5" t="s">
        <v>238</v>
      </c>
      <c r="FM3693" s="5" t="s">
        <v>238</v>
      </c>
      <c r="FN3693" s="5" t="s">
        <v>238</v>
      </c>
      <c r="FO3693" s="5" t="s">
        <v>238</v>
      </c>
      <c r="FP3693" s="5" t="s">
        <v>238</v>
      </c>
      <c r="FQ3693" s="5" t="s">
        <v>238</v>
      </c>
      <c r="FR3693" s="5" t="s">
        <v>238</v>
      </c>
      <c r="FS3693" s="5" t="s">
        <v>238</v>
      </c>
      <c r="FT3693" s="5" t="s">
        <v>238</v>
      </c>
      <c r="FU3693" s="5" t="s">
        <v>238</v>
      </c>
      <c r="FV3693" s="5" t="s">
        <v>238</v>
      </c>
      <c r="FW3693" s="5" t="s">
        <v>238</v>
      </c>
      <c r="FX3693" s="5" t="s">
        <v>238</v>
      </c>
      <c r="FY3693" s="5" t="s">
        <v>238</v>
      </c>
      <c r="FZ3693" s="5" t="s">
        <v>238</v>
      </c>
      <c r="GA3693" s="5" t="s">
        <v>238</v>
      </c>
      <c r="GB3693" s="5" t="s">
        <v>238</v>
      </c>
      <c r="GC3693" s="5" t="s">
        <v>238</v>
      </c>
      <c r="GD3693" s="5" t="s">
        <v>238</v>
      </c>
      <c r="GE3693" s="5" t="s">
        <v>238</v>
      </c>
      <c r="GF3693" s="5" t="s">
        <v>238</v>
      </c>
      <c r="GG3693" s="5" t="s">
        <v>238</v>
      </c>
      <c r="GH3693" s="5" t="s">
        <v>238</v>
      </c>
      <c r="GI3693" s="5" t="s">
        <v>238</v>
      </c>
      <c r="GJ3693" s="5" t="s">
        <v>238</v>
      </c>
      <c r="GK3693" s="5" t="s">
        <v>238</v>
      </c>
      <c r="GL3693" s="5" t="s">
        <v>238</v>
      </c>
      <c r="GM3693" s="5" t="s">
        <v>238</v>
      </c>
      <c r="GN3693" s="5" t="s">
        <v>238</v>
      </c>
      <c r="GO3693" s="5" t="s">
        <v>238</v>
      </c>
      <c r="GP3693" s="5" t="s">
        <v>238</v>
      </c>
      <c r="GQ3693" s="5" t="s">
        <v>238</v>
      </c>
      <c r="GR3693" s="5" t="s">
        <v>238</v>
      </c>
      <c r="GS3693" s="5" t="s">
        <v>238</v>
      </c>
      <c r="GT3693" s="5" t="s">
        <v>238</v>
      </c>
      <c r="GU3693" s="5" t="s">
        <v>238</v>
      </c>
      <c r="GV3693" s="5" t="s">
        <v>238</v>
      </c>
      <c r="GW3693" s="5" t="s">
        <v>238</v>
      </c>
      <c r="GX3693" s="5" t="s">
        <v>238</v>
      </c>
      <c r="GY3693" s="5" t="s">
        <v>238</v>
      </c>
      <c r="GZ3693" s="5" t="s">
        <v>238</v>
      </c>
      <c r="HA3693" s="5" t="s">
        <v>238</v>
      </c>
      <c r="HB3693" s="5" t="s">
        <v>238</v>
      </c>
      <c r="HC3693" s="5" t="s">
        <v>238</v>
      </c>
      <c r="HD3693" s="5" t="s">
        <v>238</v>
      </c>
      <c r="HE3693" s="5" t="s">
        <v>238</v>
      </c>
      <c r="HF3693" s="5" t="s">
        <v>238</v>
      </c>
      <c r="HG3693" s="5" t="s">
        <v>238</v>
      </c>
      <c r="HH3693" s="5" t="s">
        <v>238</v>
      </c>
      <c r="HI3693" s="5" t="s">
        <v>238</v>
      </c>
      <c r="HJ3693" s="5" t="s">
        <v>238</v>
      </c>
      <c r="HK3693" s="5" t="s">
        <v>238</v>
      </c>
      <c r="HL3693" s="5" t="s">
        <v>238</v>
      </c>
      <c r="HM3693" s="5" t="s">
        <v>264</v>
      </c>
      <c r="HN3693" s="5" t="s">
        <v>238</v>
      </c>
      <c r="HO3693" s="5" t="s">
        <v>238</v>
      </c>
      <c r="HP3693" s="5" t="s">
        <v>238</v>
      </c>
      <c r="HQ3693" s="5" t="s">
        <v>238</v>
      </c>
      <c r="HR3693" s="5" t="s">
        <v>238</v>
      </c>
      <c r="HS3693" s="5" t="s">
        <v>238</v>
      </c>
      <c r="HT3693" s="5" t="s">
        <v>238</v>
      </c>
      <c r="HU3693" s="5" t="s">
        <v>238</v>
      </c>
      <c r="HV3693" s="5" t="s">
        <v>238</v>
      </c>
      <c r="HW3693" s="5" t="s">
        <v>238</v>
      </c>
      <c r="HX3693" s="5" t="s">
        <v>238</v>
      </c>
      <c r="HY3693" s="5" t="s">
        <v>238</v>
      </c>
      <c r="HZ3693" s="5" t="s">
        <v>238</v>
      </c>
      <c r="IA3693" s="5" t="s">
        <v>238</v>
      </c>
      <c r="IB3693" s="5" t="s">
        <v>238</v>
      </c>
      <c r="IC3693" s="5" t="s">
        <v>238</v>
      </c>
      <c r="ID3693" s="5" t="s">
        <v>238</v>
      </c>
    </row>
    <row r="3694" spans="1:238" x14ac:dyDescent="0.4">
      <c r="A3694" s="5">
        <v>9412</v>
      </c>
      <c r="B3694" s="5">
        <v>1</v>
      </c>
      <c r="C3694" s="5">
        <v>1</v>
      </c>
      <c r="D3694" s="5" t="s">
        <v>484</v>
      </c>
      <c r="E3694" s="5" t="s">
        <v>485</v>
      </c>
      <c r="F3694" s="5" t="s">
        <v>248</v>
      </c>
      <c r="G3694" s="5" t="s">
        <v>4443</v>
      </c>
      <c r="H3694" s="6" t="s">
        <v>4444</v>
      </c>
      <c r="I3694" s="8">
        <f>1</f>
        <v>1</v>
      </c>
      <c r="J3694" s="5" t="s">
        <v>499</v>
      </c>
      <c r="K3694" s="8">
        <f>1</f>
        <v>1</v>
      </c>
      <c r="L3694" s="6" t="s">
        <v>242</v>
      </c>
      <c r="M3694" s="5" t="s">
        <v>267</v>
      </c>
      <c r="N3694" s="5" t="s">
        <v>482</v>
      </c>
      <c r="O3694" s="5" t="s">
        <v>238</v>
      </c>
      <c r="P3694" s="5" t="s">
        <v>238</v>
      </c>
      <c r="Q3694" s="5" t="s">
        <v>239</v>
      </c>
      <c r="R3694" s="5" t="s">
        <v>270</v>
      </c>
      <c r="S3694" s="5" t="s">
        <v>238</v>
      </c>
      <c r="T3694" s="5" t="s">
        <v>238</v>
      </c>
      <c r="U3694" s="5" t="s">
        <v>238</v>
      </c>
      <c r="V3694" s="5" t="s">
        <v>238</v>
      </c>
      <c r="W3694" s="6" t="s">
        <v>238</v>
      </c>
      <c r="X3694" s="6" t="s">
        <v>238</v>
      </c>
      <c r="Y3694" s="5" t="s">
        <v>238</v>
      </c>
      <c r="Z3694" s="6" t="s">
        <v>238</v>
      </c>
      <c r="AA3694" s="6" t="s">
        <v>243</v>
      </c>
      <c r="AB3694" s="5" t="s">
        <v>486</v>
      </c>
      <c r="AC3694" s="5" t="s">
        <v>244</v>
      </c>
      <c r="AD3694" s="5" t="s">
        <v>245</v>
      </c>
      <c r="AE3694" s="5" t="s">
        <v>238</v>
      </c>
      <c r="AF3694" s="5" t="s">
        <v>238</v>
      </c>
      <c r="AG3694" s="5" t="s">
        <v>238</v>
      </c>
      <c r="AH3694" s="5" t="s">
        <v>238</v>
      </c>
      <c r="AI3694" s="5" t="s">
        <v>238</v>
      </c>
      <c r="AJ3694" s="5" t="s">
        <v>238</v>
      </c>
      <c r="AK3694" s="5" t="s">
        <v>238</v>
      </c>
      <c r="AL3694" s="5" t="s">
        <v>238</v>
      </c>
      <c r="AM3694" s="6" t="s">
        <v>238</v>
      </c>
      <c r="AN3694" s="6" t="s">
        <v>238</v>
      </c>
      <c r="AO3694" s="6" t="s">
        <v>238</v>
      </c>
      <c r="AP3694" s="6" t="s">
        <v>238</v>
      </c>
      <c r="AQ3694" s="5" t="s">
        <v>238</v>
      </c>
      <c r="AR3694" s="5" t="s">
        <v>488</v>
      </c>
      <c r="AS3694" s="5" t="s">
        <v>488</v>
      </c>
      <c r="AT3694" s="5" t="s">
        <v>246</v>
      </c>
      <c r="AU3694" s="5" t="s">
        <v>489</v>
      </c>
      <c r="AV3694" s="5" t="s">
        <v>247</v>
      </c>
      <c r="AW3694" s="5" t="s">
        <v>238</v>
      </c>
      <c r="AX3694" s="5" t="s">
        <v>249</v>
      </c>
      <c r="AY3694" s="5" t="s">
        <v>490</v>
      </c>
      <c r="BA3694" s="5" t="s">
        <v>238</v>
      </c>
      <c r="BC3694" s="5" t="s">
        <v>491</v>
      </c>
      <c r="BD3694" s="6" t="s">
        <v>492</v>
      </c>
      <c r="BE3694" s="5" t="s">
        <v>493</v>
      </c>
      <c r="BF3694" s="5" t="s">
        <v>493</v>
      </c>
      <c r="BG3694" s="5" t="s">
        <v>238</v>
      </c>
      <c r="BH3694" s="8">
        <f>1</f>
        <v>1</v>
      </c>
      <c r="BI3694" s="8">
        <f>1</f>
        <v>1</v>
      </c>
      <c r="BJ3694" s="5" t="s">
        <v>253</v>
      </c>
      <c r="BK3694" s="5" t="s">
        <v>254</v>
      </c>
      <c r="BL3694" s="5" t="s">
        <v>238</v>
      </c>
      <c r="BM3694" s="5" t="s">
        <v>238</v>
      </c>
      <c r="BN3694" s="5" t="s">
        <v>238</v>
      </c>
      <c r="BO3694" s="5" t="s">
        <v>238</v>
      </c>
      <c r="BP3694" s="5" t="s">
        <v>238</v>
      </c>
      <c r="BQ3694" s="5" t="s">
        <v>238</v>
      </c>
      <c r="BR3694" s="5" t="s">
        <v>238</v>
      </c>
      <c r="BS3694" s="5" t="s">
        <v>238</v>
      </c>
      <c r="BT3694" s="6" t="s">
        <v>238</v>
      </c>
      <c r="BU3694" s="5" t="s">
        <v>238</v>
      </c>
      <c r="BV3694" s="5" t="s">
        <v>238</v>
      </c>
      <c r="BW3694" s="5" t="s">
        <v>238</v>
      </c>
      <c r="BX3694" s="5" t="s">
        <v>254</v>
      </c>
      <c r="BY3694" s="5" t="s">
        <v>238</v>
      </c>
      <c r="BZ3694" s="5" t="s">
        <v>238</v>
      </c>
      <c r="CA3694" s="5" t="s">
        <v>238</v>
      </c>
      <c r="CB3694" s="5" t="s">
        <v>238</v>
      </c>
      <c r="CC3694" s="5" t="s">
        <v>238</v>
      </c>
      <c r="CD3694" s="5" t="s">
        <v>273</v>
      </c>
      <c r="CE3694" s="5" t="s">
        <v>256</v>
      </c>
      <c r="CF3694" s="5" t="s">
        <v>238</v>
      </c>
      <c r="CH3694" s="5" t="s">
        <v>494</v>
      </c>
      <c r="CI3694" s="6" t="s">
        <v>257</v>
      </c>
      <c r="CJ3694" s="5" t="s">
        <v>495</v>
      </c>
      <c r="CK3694" s="5" t="s">
        <v>258</v>
      </c>
      <c r="CL3694" s="5" t="s">
        <v>496</v>
      </c>
      <c r="CM3694" s="5" t="s">
        <v>238</v>
      </c>
      <c r="CN3694" s="5">
        <v>0</v>
      </c>
      <c r="CO3694" s="5" t="s">
        <v>497</v>
      </c>
      <c r="CP3694" s="5" t="s">
        <v>260</v>
      </c>
      <c r="CQ3694" s="5" t="s">
        <v>260</v>
      </c>
      <c r="CR3694" s="5" t="s">
        <v>261</v>
      </c>
      <c r="CS3694" s="5" t="s">
        <v>498</v>
      </c>
      <c r="CT3694" s="7">
        <f>1</f>
        <v>1</v>
      </c>
      <c r="CU3694" s="8">
        <f>1</f>
        <v>1</v>
      </c>
      <c r="CV3694" s="8">
        <f>0</f>
        <v>0</v>
      </c>
      <c r="CX3694" s="8">
        <f>1</f>
        <v>1</v>
      </c>
      <c r="CY3694" s="8">
        <f>1</f>
        <v>1</v>
      </c>
      <c r="CZ3694" s="8" t="s">
        <v>238</v>
      </c>
      <c r="DA3694" s="5" t="s">
        <v>238</v>
      </c>
      <c r="DB3694" s="5" t="s">
        <v>238</v>
      </c>
      <c r="DC3694" s="5" t="s">
        <v>238</v>
      </c>
      <c r="DD3694" s="5" t="s">
        <v>238</v>
      </c>
      <c r="DE3694" s="8">
        <f>0</f>
        <v>0</v>
      </c>
      <c r="DG3694" s="5" t="s">
        <v>238</v>
      </c>
      <c r="DH3694" s="5" t="s">
        <v>238</v>
      </c>
      <c r="DI3694" s="5" t="s">
        <v>238</v>
      </c>
      <c r="DJ3694" s="5" t="s">
        <v>238</v>
      </c>
      <c r="DK3694" s="5" t="s">
        <v>238</v>
      </c>
      <c r="DL3694" s="5" t="s">
        <v>238</v>
      </c>
      <c r="DM3694" s="8" t="s">
        <v>238</v>
      </c>
      <c r="DN3694" s="5" t="s">
        <v>238</v>
      </c>
      <c r="DO3694" s="5" t="s">
        <v>238</v>
      </c>
      <c r="DP3694" s="5" t="s">
        <v>490</v>
      </c>
      <c r="DQ3694" s="5" t="s">
        <v>490</v>
      </c>
      <c r="DR3694" s="5" t="s">
        <v>238</v>
      </c>
      <c r="DS3694" s="5" t="s">
        <v>238</v>
      </c>
      <c r="DT3694" s="5" t="s">
        <v>500</v>
      </c>
      <c r="DU3694" s="5" t="s">
        <v>446</v>
      </c>
      <c r="DV3694" s="5" t="s">
        <v>238</v>
      </c>
      <c r="DW3694" s="5" t="s">
        <v>238</v>
      </c>
      <c r="DX3694" s="5" t="s">
        <v>238</v>
      </c>
      <c r="DY3694" s="5" t="s">
        <v>238</v>
      </c>
      <c r="DZ3694" s="5" t="s">
        <v>238</v>
      </c>
      <c r="EA3694" s="5" t="s">
        <v>238</v>
      </c>
      <c r="EB3694" s="5" t="s">
        <v>238</v>
      </c>
      <c r="EC3694" s="5" t="s">
        <v>238</v>
      </c>
      <c r="ED3694" s="5" t="s">
        <v>238</v>
      </c>
      <c r="EE3694" s="5" t="s">
        <v>238</v>
      </c>
      <c r="EF3694" s="5" t="s">
        <v>238</v>
      </c>
      <c r="EG3694" s="5" t="s">
        <v>238</v>
      </c>
      <c r="EH3694" s="5" t="s">
        <v>238</v>
      </c>
      <c r="EI3694" s="5" t="s">
        <v>238</v>
      </c>
      <c r="EJ3694" s="5" t="s">
        <v>238</v>
      </c>
      <c r="EK3694" s="5" t="s">
        <v>238</v>
      </c>
      <c r="EL3694" s="5" t="s">
        <v>238</v>
      </c>
      <c r="EM3694" s="5" t="s">
        <v>238</v>
      </c>
      <c r="EN3694" s="5" t="s">
        <v>238</v>
      </c>
      <c r="EO3694" s="5" t="s">
        <v>238</v>
      </c>
      <c r="EP3694" s="5" t="s">
        <v>238</v>
      </c>
      <c r="EQ3694" s="5" t="s">
        <v>238</v>
      </c>
      <c r="ER3694" s="5" t="s">
        <v>238</v>
      </c>
      <c r="ES3694" s="5" t="s">
        <v>238</v>
      </c>
      <c r="ET3694" s="5" t="s">
        <v>238</v>
      </c>
      <c r="EU3694" s="5" t="s">
        <v>238</v>
      </c>
      <c r="EV3694" s="5" t="s">
        <v>238</v>
      </c>
      <c r="EW3694" s="5" t="s">
        <v>238</v>
      </c>
      <c r="EX3694" s="5" t="s">
        <v>238</v>
      </c>
      <c r="EY3694" s="5" t="s">
        <v>238</v>
      </c>
      <c r="EZ3694" s="5" t="s">
        <v>238</v>
      </c>
      <c r="FA3694" s="5" t="s">
        <v>238</v>
      </c>
      <c r="FB3694" s="5" t="s">
        <v>238</v>
      </c>
      <c r="FC3694" s="5" t="s">
        <v>238</v>
      </c>
      <c r="FD3694" s="5" t="s">
        <v>238</v>
      </c>
      <c r="FE3694" s="5" t="s">
        <v>238</v>
      </c>
      <c r="FF3694" s="5" t="s">
        <v>238</v>
      </c>
      <c r="FG3694" s="5" t="s">
        <v>238</v>
      </c>
      <c r="FH3694" s="5" t="s">
        <v>238</v>
      </c>
      <c r="FI3694" s="5" t="s">
        <v>238</v>
      </c>
      <c r="FJ3694" s="5" t="s">
        <v>238</v>
      </c>
      <c r="FK3694" s="5" t="s">
        <v>238</v>
      </c>
      <c r="FL3694" s="5" t="s">
        <v>238</v>
      </c>
      <c r="FM3694" s="5" t="s">
        <v>238</v>
      </c>
      <c r="FN3694" s="5" t="s">
        <v>238</v>
      </c>
      <c r="FO3694" s="5" t="s">
        <v>238</v>
      </c>
      <c r="FP3694" s="5" t="s">
        <v>238</v>
      </c>
      <c r="FQ3694" s="5" t="s">
        <v>238</v>
      </c>
      <c r="FR3694" s="5" t="s">
        <v>238</v>
      </c>
      <c r="FS3694" s="5" t="s">
        <v>238</v>
      </c>
      <c r="FT3694" s="5" t="s">
        <v>238</v>
      </c>
      <c r="FU3694" s="5" t="s">
        <v>238</v>
      </c>
      <c r="FV3694" s="5" t="s">
        <v>238</v>
      </c>
      <c r="FW3694" s="5" t="s">
        <v>238</v>
      </c>
      <c r="FX3694" s="5" t="s">
        <v>238</v>
      </c>
      <c r="FY3694" s="5" t="s">
        <v>238</v>
      </c>
      <c r="FZ3694" s="5" t="s">
        <v>238</v>
      </c>
      <c r="GA3694" s="5" t="s">
        <v>238</v>
      </c>
      <c r="GB3694" s="5" t="s">
        <v>238</v>
      </c>
      <c r="GC3694" s="5" t="s">
        <v>238</v>
      </c>
      <c r="GD3694" s="5" t="s">
        <v>238</v>
      </c>
      <c r="GE3694" s="5" t="s">
        <v>238</v>
      </c>
      <c r="GF3694" s="5" t="s">
        <v>238</v>
      </c>
      <c r="GG3694" s="5" t="s">
        <v>238</v>
      </c>
      <c r="GH3694" s="5" t="s">
        <v>238</v>
      </c>
      <c r="GI3694" s="5" t="s">
        <v>238</v>
      </c>
      <c r="GJ3694" s="5" t="s">
        <v>238</v>
      </c>
      <c r="GK3694" s="5" t="s">
        <v>238</v>
      </c>
      <c r="GL3694" s="5" t="s">
        <v>238</v>
      </c>
      <c r="GM3694" s="5" t="s">
        <v>238</v>
      </c>
      <c r="GN3694" s="5" t="s">
        <v>238</v>
      </c>
      <c r="GO3694" s="5" t="s">
        <v>238</v>
      </c>
      <c r="GP3694" s="5" t="s">
        <v>238</v>
      </c>
      <c r="GQ3694" s="5" t="s">
        <v>238</v>
      </c>
      <c r="GR3694" s="5" t="s">
        <v>238</v>
      </c>
      <c r="GS3694" s="5" t="s">
        <v>238</v>
      </c>
      <c r="GT3694" s="5" t="s">
        <v>238</v>
      </c>
      <c r="GU3694" s="5" t="s">
        <v>238</v>
      </c>
      <c r="GV3694" s="5" t="s">
        <v>238</v>
      </c>
      <c r="GW3694" s="5" t="s">
        <v>238</v>
      </c>
      <c r="GX3694" s="5" t="s">
        <v>238</v>
      </c>
      <c r="GY3694" s="5" t="s">
        <v>238</v>
      </c>
      <c r="GZ3694" s="5" t="s">
        <v>238</v>
      </c>
      <c r="HA3694" s="5" t="s">
        <v>238</v>
      </c>
      <c r="HB3694" s="5" t="s">
        <v>238</v>
      </c>
      <c r="HC3694" s="5" t="s">
        <v>238</v>
      </c>
      <c r="HD3694" s="5" t="s">
        <v>238</v>
      </c>
      <c r="HE3694" s="5" t="s">
        <v>238</v>
      </c>
      <c r="HF3694" s="5" t="s">
        <v>238</v>
      </c>
      <c r="HG3694" s="5" t="s">
        <v>238</v>
      </c>
      <c r="HH3694" s="5" t="s">
        <v>238</v>
      </c>
      <c r="HI3694" s="5" t="s">
        <v>238</v>
      </c>
      <c r="HJ3694" s="5" t="s">
        <v>238</v>
      </c>
      <c r="HK3694" s="5" t="s">
        <v>238</v>
      </c>
      <c r="HL3694" s="5" t="s">
        <v>238</v>
      </c>
      <c r="HM3694" s="5" t="s">
        <v>264</v>
      </c>
      <c r="HN3694" s="5" t="s">
        <v>238</v>
      </c>
      <c r="HO3694" s="5" t="s">
        <v>238</v>
      </c>
      <c r="HP3694" s="5" t="s">
        <v>238</v>
      </c>
      <c r="HQ3694" s="5" t="s">
        <v>238</v>
      </c>
      <c r="HR3694" s="5" t="s">
        <v>238</v>
      </c>
      <c r="HS3694" s="5" t="s">
        <v>238</v>
      </c>
      <c r="HT3694" s="5" t="s">
        <v>238</v>
      </c>
      <c r="HU3694" s="5" t="s">
        <v>238</v>
      </c>
      <c r="HV3694" s="5" t="s">
        <v>238</v>
      </c>
      <c r="HW3694" s="5" t="s">
        <v>238</v>
      </c>
      <c r="HX3694" s="5" t="s">
        <v>238</v>
      </c>
      <c r="HY3694" s="5" t="s">
        <v>238</v>
      </c>
      <c r="HZ3694" s="5" t="s">
        <v>238</v>
      </c>
      <c r="IA3694" s="5" t="s">
        <v>238</v>
      </c>
      <c r="IB3694" s="5" t="s">
        <v>238</v>
      </c>
      <c r="IC3694" s="5" t="s">
        <v>238</v>
      </c>
      <c r="ID3694" s="5" t="s">
        <v>238</v>
      </c>
    </row>
    <row r="3695" spans="1:238" x14ac:dyDescent="0.4">
      <c r="A3695" s="5">
        <v>9413</v>
      </c>
      <c r="B3695" s="5">
        <v>1</v>
      </c>
      <c r="C3695" s="5">
        <v>1</v>
      </c>
      <c r="D3695" s="5" t="s">
        <v>484</v>
      </c>
      <c r="E3695" s="5" t="s">
        <v>485</v>
      </c>
      <c r="F3695" s="5" t="s">
        <v>248</v>
      </c>
      <c r="G3695" s="5" t="s">
        <v>5290</v>
      </c>
      <c r="H3695" s="6" t="s">
        <v>5291</v>
      </c>
      <c r="I3695" s="8">
        <f>1</f>
        <v>1</v>
      </c>
      <c r="J3695" s="5" t="s">
        <v>499</v>
      </c>
      <c r="K3695" s="8">
        <f>1</f>
        <v>1</v>
      </c>
      <c r="L3695" s="6" t="s">
        <v>242</v>
      </c>
      <c r="M3695" s="5" t="s">
        <v>267</v>
      </c>
      <c r="N3695" s="5" t="s">
        <v>482</v>
      </c>
      <c r="O3695" s="5" t="s">
        <v>238</v>
      </c>
      <c r="P3695" s="5" t="s">
        <v>238</v>
      </c>
      <c r="Q3695" s="5" t="s">
        <v>239</v>
      </c>
      <c r="R3695" s="5" t="s">
        <v>270</v>
      </c>
      <c r="S3695" s="5" t="s">
        <v>238</v>
      </c>
      <c r="T3695" s="5" t="s">
        <v>238</v>
      </c>
      <c r="U3695" s="5" t="s">
        <v>238</v>
      </c>
      <c r="V3695" s="5" t="s">
        <v>238</v>
      </c>
      <c r="W3695" s="6" t="s">
        <v>238</v>
      </c>
      <c r="X3695" s="6" t="s">
        <v>238</v>
      </c>
      <c r="Y3695" s="5" t="s">
        <v>238</v>
      </c>
      <c r="Z3695" s="6" t="s">
        <v>238</v>
      </c>
      <c r="AA3695" s="6" t="s">
        <v>243</v>
      </c>
      <c r="AB3695" s="5" t="s">
        <v>486</v>
      </c>
      <c r="AC3695" s="5" t="s">
        <v>244</v>
      </c>
      <c r="AD3695" s="5" t="s">
        <v>245</v>
      </c>
      <c r="AE3695" s="5" t="s">
        <v>238</v>
      </c>
      <c r="AF3695" s="5" t="s">
        <v>238</v>
      </c>
      <c r="AG3695" s="5" t="s">
        <v>238</v>
      </c>
      <c r="AH3695" s="5" t="s">
        <v>238</v>
      </c>
      <c r="AI3695" s="5" t="s">
        <v>238</v>
      </c>
      <c r="AJ3695" s="5" t="s">
        <v>238</v>
      </c>
      <c r="AK3695" s="5" t="s">
        <v>238</v>
      </c>
      <c r="AL3695" s="5" t="s">
        <v>238</v>
      </c>
      <c r="AM3695" s="6" t="s">
        <v>238</v>
      </c>
      <c r="AN3695" s="6" t="s">
        <v>238</v>
      </c>
      <c r="AO3695" s="6" t="s">
        <v>238</v>
      </c>
      <c r="AP3695" s="6" t="s">
        <v>238</v>
      </c>
      <c r="AQ3695" s="5" t="s">
        <v>238</v>
      </c>
      <c r="AR3695" s="5" t="s">
        <v>488</v>
      </c>
      <c r="AS3695" s="5" t="s">
        <v>488</v>
      </c>
      <c r="AT3695" s="5" t="s">
        <v>246</v>
      </c>
      <c r="AU3695" s="5" t="s">
        <v>489</v>
      </c>
      <c r="AV3695" s="5" t="s">
        <v>247</v>
      </c>
      <c r="AW3695" s="5" t="s">
        <v>238</v>
      </c>
      <c r="AX3695" s="5" t="s">
        <v>249</v>
      </c>
      <c r="AY3695" s="5" t="s">
        <v>490</v>
      </c>
      <c r="BA3695" s="5" t="s">
        <v>238</v>
      </c>
      <c r="BC3695" s="5" t="s">
        <v>491</v>
      </c>
      <c r="BD3695" s="6" t="s">
        <v>492</v>
      </c>
      <c r="BE3695" s="5" t="s">
        <v>493</v>
      </c>
      <c r="BF3695" s="5" t="s">
        <v>493</v>
      </c>
      <c r="BG3695" s="5" t="s">
        <v>238</v>
      </c>
      <c r="BH3695" s="8">
        <f>1</f>
        <v>1</v>
      </c>
      <c r="BI3695" s="8">
        <f>1</f>
        <v>1</v>
      </c>
      <c r="BJ3695" s="5" t="s">
        <v>253</v>
      </c>
      <c r="BK3695" s="5" t="s">
        <v>254</v>
      </c>
      <c r="BL3695" s="5" t="s">
        <v>238</v>
      </c>
      <c r="BM3695" s="5" t="s">
        <v>238</v>
      </c>
      <c r="BN3695" s="5" t="s">
        <v>238</v>
      </c>
      <c r="BO3695" s="5" t="s">
        <v>238</v>
      </c>
      <c r="BP3695" s="5" t="s">
        <v>238</v>
      </c>
      <c r="BQ3695" s="5" t="s">
        <v>238</v>
      </c>
      <c r="BR3695" s="5" t="s">
        <v>238</v>
      </c>
      <c r="BS3695" s="5" t="s">
        <v>238</v>
      </c>
      <c r="BT3695" s="6" t="s">
        <v>238</v>
      </c>
      <c r="BU3695" s="5" t="s">
        <v>238</v>
      </c>
      <c r="BV3695" s="5" t="s">
        <v>238</v>
      </c>
      <c r="BW3695" s="5" t="s">
        <v>238</v>
      </c>
      <c r="BX3695" s="5" t="s">
        <v>254</v>
      </c>
      <c r="BY3695" s="5" t="s">
        <v>238</v>
      </c>
      <c r="BZ3695" s="5" t="s">
        <v>238</v>
      </c>
      <c r="CA3695" s="5" t="s">
        <v>238</v>
      </c>
      <c r="CB3695" s="5" t="s">
        <v>238</v>
      </c>
      <c r="CC3695" s="5" t="s">
        <v>238</v>
      </c>
      <c r="CD3695" s="5" t="s">
        <v>273</v>
      </c>
      <c r="CE3695" s="5" t="s">
        <v>256</v>
      </c>
      <c r="CF3695" s="5" t="s">
        <v>238</v>
      </c>
      <c r="CH3695" s="5" t="s">
        <v>494</v>
      </c>
      <c r="CI3695" s="6" t="s">
        <v>257</v>
      </c>
      <c r="CJ3695" s="5" t="s">
        <v>495</v>
      </c>
      <c r="CK3695" s="5" t="s">
        <v>258</v>
      </c>
      <c r="CL3695" s="5" t="s">
        <v>496</v>
      </c>
      <c r="CM3695" s="5" t="s">
        <v>238</v>
      </c>
      <c r="CN3695" s="5">
        <v>0</v>
      </c>
      <c r="CO3695" s="5" t="s">
        <v>497</v>
      </c>
      <c r="CP3695" s="5" t="s">
        <v>260</v>
      </c>
      <c r="CQ3695" s="5" t="s">
        <v>260</v>
      </c>
      <c r="CR3695" s="5" t="s">
        <v>261</v>
      </c>
      <c r="CS3695" s="5" t="s">
        <v>498</v>
      </c>
      <c r="CT3695" s="7">
        <f>1</f>
        <v>1</v>
      </c>
      <c r="CU3695" s="8">
        <f>1</f>
        <v>1</v>
      </c>
      <c r="CV3695" s="8">
        <f>0</f>
        <v>0</v>
      </c>
      <c r="CX3695" s="8">
        <f>1</f>
        <v>1</v>
      </c>
      <c r="CY3695" s="8">
        <f>1</f>
        <v>1</v>
      </c>
      <c r="CZ3695" s="8" t="s">
        <v>238</v>
      </c>
      <c r="DA3695" s="5" t="s">
        <v>238</v>
      </c>
      <c r="DB3695" s="5" t="s">
        <v>238</v>
      </c>
      <c r="DC3695" s="5" t="s">
        <v>238</v>
      </c>
      <c r="DD3695" s="5" t="s">
        <v>238</v>
      </c>
      <c r="DE3695" s="8">
        <f>0</f>
        <v>0</v>
      </c>
      <c r="DG3695" s="5" t="s">
        <v>238</v>
      </c>
      <c r="DH3695" s="5" t="s">
        <v>238</v>
      </c>
      <c r="DI3695" s="5" t="s">
        <v>238</v>
      </c>
      <c r="DJ3695" s="5" t="s">
        <v>238</v>
      </c>
      <c r="DK3695" s="5" t="s">
        <v>238</v>
      </c>
      <c r="DL3695" s="5" t="s">
        <v>238</v>
      </c>
      <c r="DM3695" s="8" t="s">
        <v>238</v>
      </c>
      <c r="DN3695" s="5" t="s">
        <v>238</v>
      </c>
      <c r="DO3695" s="5" t="s">
        <v>238</v>
      </c>
      <c r="DP3695" s="5" t="s">
        <v>490</v>
      </c>
      <c r="DQ3695" s="5" t="s">
        <v>490</v>
      </c>
      <c r="DR3695" s="5" t="s">
        <v>238</v>
      </c>
      <c r="DS3695" s="5" t="s">
        <v>238</v>
      </c>
      <c r="DT3695" s="5" t="s">
        <v>500</v>
      </c>
      <c r="DU3695" s="5" t="s">
        <v>434</v>
      </c>
      <c r="DV3695" s="5" t="s">
        <v>238</v>
      </c>
      <c r="DW3695" s="5" t="s">
        <v>238</v>
      </c>
      <c r="DX3695" s="5" t="s">
        <v>238</v>
      </c>
      <c r="DY3695" s="5" t="s">
        <v>238</v>
      </c>
      <c r="DZ3695" s="5" t="s">
        <v>238</v>
      </c>
      <c r="EA3695" s="5" t="s">
        <v>238</v>
      </c>
      <c r="EB3695" s="5" t="s">
        <v>238</v>
      </c>
      <c r="EC3695" s="5" t="s">
        <v>238</v>
      </c>
      <c r="ED3695" s="5" t="s">
        <v>238</v>
      </c>
      <c r="EE3695" s="5" t="s">
        <v>238</v>
      </c>
      <c r="EF3695" s="5" t="s">
        <v>238</v>
      </c>
      <c r="EG3695" s="5" t="s">
        <v>238</v>
      </c>
      <c r="EH3695" s="5" t="s">
        <v>238</v>
      </c>
      <c r="EI3695" s="5" t="s">
        <v>238</v>
      </c>
      <c r="EJ3695" s="5" t="s">
        <v>238</v>
      </c>
      <c r="EK3695" s="5" t="s">
        <v>238</v>
      </c>
      <c r="EL3695" s="5" t="s">
        <v>238</v>
      </c>
      <c r="EM3695" s="5" t="s">
        <v>238</v>
      </c>
      <c r="EN3695" s="5" t="s">
        <v>238</v>
      </c>
      <c r="EO3695" s="5" t="s">
        <v>238</v>
      </c>
      <c r="EP3695" s="5" t="s">
        <v>238</v>
      </c>
      <c r="EQ3695" s="5" t="s">
        <v>238</v>
      </c>
      <c r="ER3695" s="5" t="s">
        <v>238</v>
      </c>
      <c r="ES3695" s="5" t="s">
        <v>238</v>
      </c>
      <c r="ET3695" s="5" t="s">
        <v>238</v>
      </c>
      <c r="EU3695" s="5" t="s">
        <v>238</v>
      </c>
      <c r="EV3695" s="5" t="s">
        <v>238</v>
      </c>
      <c r="EW3695" s="5" t="s">
        <v>238</v>
      </c>
      <c r="EX3695" s="5" t="s">
        <v>238</v>
      </c>
      <c r="EY3695" s="5" t="s">
        <v>238</v>
      </c>
      <c r="EZ3695" s="5" t="s">
        <v>238</v>
      </c>
      <c r="FA3695" s="5" t="s">
        <v>238</v>
      </c>
      <c r="FB3695" s="5" t="s">
        <v>238</v>
      </c>
      <c r="FC3695" s="5" t="s">
        <v>238</v>
      </c>
      <c r="FD3695" s="5" t="s">
        <v>238</v>
      </c>
      <c r="FE3695" s="5" t="s">
        <v>238</v>
      </c>
      <c r="FF3695" s="5" t="s">
        <v>238</v>
      </c>
      <c r="FG3695" s="5" t="s">
        <v>238</v>
      </c>
      <c r="FH3695" s="5" t="s">
        <v>238</v>
      </c>
      <c r="FI3695" s="5" t="s">
        <v>238</v>
      </c>
      <c r="FJ3695" s="5" t="s">
        <v>238</v>
      </c>
      <c r="FK3695" s="5" t="s">
        <v>238</v>
      </c>
      <c r="FL3695" s="5" t="s">
        <v>238</v>
      </c>
      <c r="FM3695" s="5" t="s">
        <v>238</v>
      </c>
      <c r="FN3695" s="5" t="s">
        <v>238</v>
      </c>
      <c r="FO3695" s="5" t="s">
        <v>238</v>
      </c>
      <c r="FP3695" s="5" t="s">
        <v>238</v>
      </c>
      <c r="FQ3695" s="5" t="s">
        <v>238</v>
      </c>
      <c r="FR3695" s="5" t="s">
        <v>238</v>
      </c>
      <c r="FS3695" s="5" t="s">
        <v>238</v>
      </c>
      <c r="FT3695" s="5" t="s">
        <v>238</v>
      </c>
      <c r="FU3695" s="5" t="s">
        <v>238</v>
      </c>
      <c r="FV3695" s="5" t="s">
        <v>238</v>
      </c>
      <c r="FW3695" s="5" t="s">
        <v>238</v>
      </c>
      <c r="FX3695" s="5" t="s">
        <v>238</v>
      </c>
      <c r="FY3695" s="5" t="s">
        <v>238</v>
      </c>
      <c r="FZ3695" s="5" t="s">
        <v>238</v>
      </c>
      <c r="GA3695" s="5" t="s">
        <v>238</v>
      </c>
      <c r="GB3695" s="5" t="s">
        <v>238</v>
      </c>
      <c r="GC3695" s="5" t="s">
        <v>238</v>
      </c>
      <c r="GD3695" s="5" t="s">
        <v>238</v>
      </c>
      <c r="GE3695" s="5" t="s">
        <v>238</v>
      </c>
      <c r="GF3695" s="5" t="s">
        <v>238</v>
      </c>
      <c r="GG3695" s="5" t="s">
        <v>238</v>
      </c>
      <c r="GH3695" s="5" t="s">
        <v>238</v>
      </c>
      <c r="GI3695" s="5" t="s">
        <v>238</v>
      </c>
      <c r="GJ3695" s="5" t="s">
        <v>238</v>
      </c>
      <c r="GK3695" s="5" t="s">
        <v>238</v>
      </c>
      <c r="GL3695" s="5" t="s">
        <v>238</v>
      </c>
      <c r="GM3695" s="5" t="s">
        <v>238</v>
      </c>
      <c r="GN3695" s="5" t="s">
        <v>238</v>
      </c>
      <c r="GO3695" s="5" t="s">
        <v>238</v>
      </c>
      <c r="GP3695" s="5" t="s">
        <v>238</v>
      </c>
      <c r="GQ3695" s="5" t="s">
        <v>238</v>
      </c>
      <c r="GR3695" s="5" t="s">
        <v>238</v>
      </c>
      <c r="GS3695" s="5" t="s">
        <v>238</v>
      </c>
      <c r="GT3695" s="5" t="s">
        <v>238</v>
      </c>
      <c r="GU3695" s="5" t="s">
        <v>238</v>
      </c>
      <c r="GV3695" s="5" t="s">
        <v>238</v>
      </c>
      <c r="GW3695" s="5" t="s">
        <v>238</v>
      </c>
      <c r="GX3695" s="5" t="s">
        <v>238</v>
      </c>
      <c r="GY3695" s="5" t="s">
        <v>238</v>
      </c>
      <c r="GZ3695" s="5" t="s">
        <v>238</v>
      </c>
      <c r="HA3695" s="5" t="s">
        <v>238</v>
      </c>
      <c r="HB3695" s="5" t="s">
        <v>238</v>
      </c>
      <c r="HC3695" s="5" t="s">
        <v>238</v>
      </c>
      <c r="HD3695" s="5" t="s">
        <v>238</v>
      </c>
      <c r="HE3695" s="5" t="s">
        <v>238</v>
      </c>
      <c r="HF3695" s="5" t="s">
        <v>238</v>
      </c>
      <c r="HG3695" s="5" t="s">
        <v>238</v>
      </c>
      <c r="HH3695" s="5" t="s">
        <v>238</v>
      </c>
      <c r="HI3695" s="5" t="s">
        <v>238</v>
      </c>
      <c r="HJ3695" s="5" t="s">
        <v>238</v>
      </c>
      <c r="HK3695" s="5" t="s">
        <v>238</v>
      </c>
      <c r="HL3695" s="5" t="s">
        <v>238</v>
      </c>
      <c r="HM3695" s="5" t="s">
        <v>264</v>
      </c>
      <c r="HN3695" s="5" t="s">
        <v>238</v>
      </c>
      <c r="HO3695" s="5" t="s">
        <v>238</v>
      </c>
      <c r="HP3695" s="5" t="s">
        <v>238</v>
      </c>
      <c r="HQ3695" s="5" t="s">
        <v>238</v>
      </c>
      <c r="HR3695" s="5" t="s">
        <v>238</v>
      </c>
      <c r="HS3695" s="5" t="s">
        <v>238</v>
      </c>
      <c r="HT3695" s="5" t="s">
        <v>238</v>
      </c>
      <c r="HU3695" s="5" t="s">
        <v>238</v>
      </c>
      <c r="HV3695" s="5" t="s">
        <v>238</v>
      </c>
      <c r="HW3695" s="5" t="s">
        <v>238</v>
      </c>
      <c r="HX3695" s="5" t="s">
        <v>238</v>
      </c>
      <c r="HY3695" s="5" t="s">
        <v>238</v>
      </c>
      <c r="HZ3695" s="5" t="s">
        <v>238</v>
      </c>
      <c r="IA3695" s="5" t="s">
        <v>238</v>
      </c>
      <c r="IB3695" s="5" t="s">
        <v>238</v>
      </c>
      <c r="IC3695" s="5" t="s">
        <v>238</v>
      </c>
      <c r="ID3695" s="5" t="s">
        <v>238</v>
      </c>
    </row>
    <row r="3696" spans="1:238" x14ac:dyDescent="0.4">
      <c r="A3696" s="5">
        <v>9414</v>
      </c>
      <c r="B3696" s="5">
        <v>1</v>
      </c>
      <c r="C3696" s="5">
        <v>1</v>
      </c>
      <c r="D3696" s="5" t="s">
        <v>484</v>
      </c>
      <c r="E3696" s="5" t="s">
        <v>485</v>
      </c>
      <c r="F3696" s="5" t="s">
        <v>248</v>
      </c>
      <c r="G3696" s="5" t="s">
        <v>4915</v>
      </c>
      <c r="H3696" s="6" t="s">
        <v>4916</v>
      </c>
      <c r="I3696" s="8">
        <f>1</f>
        <v>1</v>
      </c>
      <c r="J3696" s="5" t="s">
        <v>499</v>
      </c>
      <c r="K3696" s="8">
        <f>1</f>
        <v>1</v>
      </c>
      <c r="L3696" s="6" t="s">
        <v>242</v>
      </c>
      <c r="M3696" s="5" t="s">
        <v>267</v>
      </c>
      <c r="N3696" s="5" t="s">
        <v>482</v>
      </c>
      <c r="O3696" s="5" t="s">
        <v>238</v>
      </c>
      <c r="P3696" s="5" t="s">
        <v>238</v>
      </c>
      <c r="Q3696" s="5" t="s">
        <v>239</v>
      </c>
      <c r="R3696" s="5" t="s">
        <v>270</v>
      </c>
      <c r="S3696" s="5" t="s">
        <v>238</v>
      </c>
      <c r="T3696" s="5" t="s">
        <v>238</v>
      </c>
      <c r="U3696" s="5" t="s">
        <v>238</v>
      </c>
      <c r="V3696" s="5" t="s">
        <v>238</v>
      </c>
      <c r="W3696" s="6" t="s">
        <v>238</v>
      </c>
      <c r="X3696" s="6" t="s">
        <v>238</v>
      </c>
      <c r="Y3696" s="5" t="s">
        <v>238</v>
      </c>
      <c r="Z3696" s="6" t="s">
        <v>238</v>
      </c>
      <c r="AA3696" s="6" t="s">
        <v>243</v>
      </c>
      <c r="AB3696" s="5" t="s">
        <v>486</v>
      </c>
      <c r="AC3696" s="5" t="s">
        <v>244</v>
      </c>
      <c r="AD3696" s="5" t="s">
        <v>245</v>
      </c>
      <c r="AE3696" s="5" t="s">
        <v>238</v>
      </c>
      <c r="AF3696" s="5" t="s">
        <v>238</v>
      </c>
      <c r="AG3696" s="5" t="s">
        <v>238</v>
      </c>
      <c r="AH3696" s="5" t="s">
        <v>238</v>
      </c>
      <c r="AI3696" s="5" t="s">
        <v>238</v>
      </c>
      <c r="AJ3696" s="5" t="s">
        <v>238</v>
      </c>
      <c r="AK3696" s="5" t="s">
        <v>238</v>
      </c>
      <c r="AL3696" s="5" t="s">
        <v>238</v>
      </c>
      <c r="AM3696" s="6" t="s">
        <v>238</v>
      </c>
      <c r="AN3696" s="6" t="s">
        <v>238</v>
      </c>
      <c r="AO3696" s="6" t="s">
        <v>238</v>
      </c>
      <c r="AP3696" s="6" t="s">
        <v>238</v>
      </c>
      <c r="AQ3696" s="5" t="s">
        <v>238</v>
      </c>
      <c r="AR3696" s="5" t="s">
        <v>488</v>
      </c>
      <c r="AS3696" s="5" t="s">
        <v>488</v>
      </c>
      <c r="AT3696" s="5" t="s">
        <v>246</v>
      </c>
      <c r="AU3696" s="5" t="s">
        <v>489</v>
      </c>
      <c r="AV3696" s="5" t="s">
        <v>247</v>
      </c>
      <c r="AW3696" s="5" t="s">
        <v>238</v>
      </c>
      <c r="AX3696" s="5" t="s">
        <v>249</v>
      </c>
      <c r="AY3696" s="5" t="s">
        <v>490</v>
      </c>
      <c r="BA3696" s="5" t="s">
        <v>238</v>
      </c>
      <c r="BC3696" s="5" t="s">
        <v>491</v>
      </c>
      <c r="BD3696" s="6" t="s">
        <v>492</v>
      </c>
      <c r="BE3696" s="5" t="s">
        <v>493</v>
      </c>
      <c r="BF3696" s="5" t="s">
        <v>493</v>
      </c>
      <c r="BG3696" s="5" t="s">
        <v>238</v>
      </c>
      <c r="BH3696" s="8">
        <f>1</f>
        <v>1</v>
      </c>
      <c r="BI3696" s="8">
        <f>1</f>
        <v>1</v>
      </c>
      <c r="BJ3696" s="5" t="s">
        <v>253</v>
      </c>
      <c r="BK3696" s="5" t="s">
        <v>254</v>
      </c>
      <c r="BL3696" s="5" t="s">
        <v>238</v>
      </c>
      <c r="BM3696" s="5" t="s">
        <v>238</v>
      </c>
      <c r="BN3696" s="5" t="s">
        <v>238</v>
      </c>
      <c r="BO3696" s="5" t="s">
        <v>238</v>
      </c>
      <c r="BP3696" s="5" t="s">
        <v>238</v>
      </c>
      <c r="BQ3696" s="5" t="s">
        <v>238</v>
      </c>
      <c r="BR3696" s="5" t="s">
        <v>238</v>
      </c>
      <c r="BS3696" s="5" t="s">
        <v>238</v>
      </c>
      <c r="BT3696" s="6" t="s">
        <v>238</v>
      </c>
      <c r="BU3696" s="5" t="s">
        <v>238</v>
      </c>
      <c r="BV3696" s="5" t="s">
        <v>238</v>
      </c>
      <c r="BW3696" s="5" t="s">
        <v>238</v>
      </c>
      <c r="BX3696" s="5" t="s">
        <v>254</v>
      </c>
      <c r="BY3696" s="5" t="s">
        <v>238</v>
      </c>
      <c r="BZ3696" s="5" t="s">
        <v>238</v>
      </c>
      <c r="CA3696" s="5" t="s">
        <v>238</v>
      </c>
      <c r="CB3696" s="5" t="s">
        <v>238</v>
      </c>
      <c r="CC3696" s="5" t="s">
        <v>238</v>
      </c>
      <c r="CD3696" s="5" t="s">
        <v>273</v>
      </c>
      <c r="CE3696" s="5" t="s">
        <v>256</v>
      </c>
      <c r="CF3696" s="5" t="s">
        <v>238</v>
      </c>
      <c r="CH3696" s="5" t="s">
        <v>494</v>
      </c>
      <c r="CI3696" s="6" t="s">
        <v>257</v>
      </c>
      <c r="CJ3696" s="5" t="s">
        <v>495</v>
      </c>
      <c r="CK3696" s="5" t="s">
        <v>258</v>
      </c>
      <c r="CL3696" s="5" t="s">
        <v>496</v>
      </c>
      <c r="CM3696" s="5" t="s">
        <v>238</v>
      </c>
      <c r="CN3696" s="5">
        <v>0</v>
      </c>
      <c r="CO3696" s="5" t="s">
        <v>497</v>
      </c>
      <c r="CP3696" s="5" t="s">
        <v>260</v>
      </c>
      <c r="CQ3696" s="5" t="s">
        <v>260</v>
      </c>
      <c r="CR3696" s="5" t="s">
        <v>261</v>
      </c>
      <c r="CS3696" s="5" t="s">
        <v>498</v>
      </c>
      <c r="CT3696" s="7">
        <f>1</f>
        <v>1</v>
      </c>
      <c r="CU3696" s="8">
        <f>1</f>
        <v>1</v>
      </c>
      <c r="CV3696" s="8">
        <f>0</f>
        <v>0</v>
      </c>
      <c r="CX3696" s="8">
        <f>1</f>
        <v>1</v>
      </c>
      <c r="CY3696" s="8">
        <f>1</f>
        <v>1</v>
      </c>
      <c r="CZ3696" s="8" t="s">
        <v>238</v>
      </c>
      <c r="DA3696" s="5" t="s">
        <v>238</v>
      </c>
      <c r="DB3696" s="5" t="s">
        <v>238</v>
      </c>
      <c r="DC3696" s="5" t="s">
        <v>238</v>
      </c>
      <c r="DD3696" s="5" t="s">
        <v>238</v>
      </c>
      <c r="DE3696" s="8">
        <f>0</f>
        <v>0</v>
      </c>
      <c r="DG3696" s="5" t="s">
        <v>238</v>
      </c>
      <c r="DH3696" s="5" t="s">
        <v>238</v>
      </c>
      <c r="DI3696" s="5" t="s">
        <v>238</v>
      </c>
      <c r="DJ3696" s="5" t="s">
        <v>238</v>
      </c>
      <c r="DK3696" s="5" t="s">
        <v>238</v>
      </c>
      <c r="DL3696" s="5" t="s">
        <v>238</v>
      </c>
      <c r="DM3696" s="8" t="s">
        <v>238</v>
      </c>
      <c r="DN3696" s="5" t="s">
        <v>238</v>
      </c>
      <c r="DO3696" s="5" t="s">
        <v>238</v>
      </c>
      <c r="DP3696" s="5" t="s">
        <v>490</v>
      </c>
      <c r="DQ3696" s="5" t="s">
        <v>490</v>
      </c>
      <c r="DR3696" s="5" t="s">
        <v>238</v>
      </c>
      <c r="DS3696" s="5" t="s">
        <v>238</v>
      </c>
      <c r="DT3696" s="5" t="s">
        <v>500</v>
      </c>
      <c r="DU3696" s="5" t="s">
        <v>3318</v>
      </c>
      <c r="DV3696" s="5" t="s">
        <v>238</v>
      </c>
      <c r="DW3696" s="5" t="s">
        <v>238</v>
      </c>
      <c r="DX3696" s="5" t="s">
        <v>238</v>
      </c>
      <c r="DY3696" s="5" t="s">
        <v>238</v>
      </c>
      <c r="DZ3696" s="5" t="s">
        <v>238</v>
      </c>
      <c r="EA3696" s="5" t="s">
        <v>238</v>
      </c>
      <c r="EB3696" s="5" t="s">
        <v>238</v>
      </c>
      <c r="EC3696" s="5" t="s">
        <v>238</v>
      </c>
      <c r="ED3696" s="5" t="s">
        <v>238</v>
      </c>
      <c r="EE3696" s="5" t="s">
        <v>238</v>
      </c>
      <c r="EF3696" s="5" t="s">
        <v>238</v>
      </c>
      <c r="EG3696" s="5" t="s">
        <v>238</v>
      </c>
      <c r="EH3696" s="5" t="s">
        <v>238</v>
      </c>
      <c r="EI3696" s="5" t="s">
        <v>238</v>
      </c>
      <c r="EJ3696" s="5" t="s">
        <v>238</v>
      </c>
      <c r="EK3696" s="5" t="s">
        <v>238</v>
      </c>
      <c r="EL3696" s="5" t="s">
        <v>238</v>
      </c>
      <c r="EM3696" s="5" t="s">
        <v>238</v>
      </c>
      <c r="EN3696" s="5" t="s">
        <v>238</v>
      </c>
      <c r="EO3696" s="5" t="s">
        <v>238</v>
      </c>
      <c r="EP3696" s="5" t="s">
        <v>238</v>
      </c>
      <c r="EQ3696" s="5" t="s">
        <v>238</v>
      </c>
      <c r="ER3696" s="5" t="s">
        <v>238</v>
      </c>
      <c r="ES3696" s="5" t="s">
        <v>238</v>
      </c>
      <c r="ET3696" s="5" t="s">
        <v>238</v>
      </c>
      <c r="EU3696" s="5" t="s">
        <v>238</v>
      </c>
      <c r="EV3696" s="5" t="s">
        <v>238</v>
      </c>
      <c r="EW3696" s="5" t="s">
        <v>238</v>
      </c>
      <c r="EX3696" s="5" t="s">
        <v>238</v>
      </c>
      <c r="EY3696" s="5" t="s">
        <v>238</v>
      </c>
      <c r="EZ3696" s="5" t="s">
        <v>238</v>
      </c>
      <c r="FA3696" s="5" t="s">
        <v>238</v>
      </c>
      <c r="FB3696" s="5" t="s">
        <v>238</v>
      </c>
      <c r="FC3696" s="5" t="s">
        <v>238</v>
      </c>
      <c r="FD3696" s="5" t="s">
        <v>238</v>
      </c>
      <c r="FE3696" s="5" t="s">
        <v>238</v>
      </c>
      <c r="FF3696" s="5" t="s">
        <v>238</v>
      </c>
      <c r="FG3696" s="5" t="s">
        <v>238</v>
      </c>
      <c r="FH3696" s="5" t="s">
        <v>238</v>
      </c>
      <c r="FI3696" s="5" t="s">
        <v>238</v>
      </c>
      <c r="FJ3696" s="5" t="s">
        <v>238</v>
      </c>
      <c r="FK3696" s="5" t="s">
        <v>238</v>
      </c>
      <c r="FL3696" s="5" t="s">
        <v>238</v>
      </c>
      <c r="FM3696" s="5" t="s">
        <v>238</v>
      </c>
      <c r="FN3696" s="5" t="s">
        <v>238</v>
      </c>
      <c r="FO3696" s="5" t="s">
        <v>238</v>
      </c>
      <c r="FP3696" s="5" t="s">
        <v>238</v>
      </c>
      <c r="FQ3696" s="5" t="s">
        <v>238</v>
      </c>
      <c r="FR3696" s="5" t="s">
        <v>238</v>
      </c>
      <c r="FS3696" s="5" t="s">
        <v>238</v>
      </c>
      <c r="FT3696" s="5" t="s">
        <v>238</v>
      </c>
      <c r="FU3696" s="5" t="s">
        <v>238</v>
      </c>
      <c r="FV3696" s="5" t="s">
        <v>238</v>
      </c>
      <c r="FW3696" s="5" t="s">
        <v>238</v>
      </c>
      <c r="FX3696" s="5" t="s">
        <v>238</v>
      </c>
      <c r="FY3696" s="5" t="s">
        <v>238</v>
      </c>
      <c r="FZ3696" s="5" t="s">
        <v>238</v>
      </c>
      <c r="GA3696" s="5" t="s">
        <v>238</v>
      </c>
      <c r="GB3696" s="5" t="s">
        <v>238</v>
      </c>
      <c r="GC3696" s="5" t="s">
        <v>238</v>
      </c>
      <c r="GD3696" s="5" t="s">
        <v>238</v>
      </c>
      <c r="GE3696" s="5" t="s">
        <v>238</v>
      </c>
      <c r="GF3696" s="5" t="s">
        <v>238</v>
      </c>
      <c r="GG3696" s="5" t="s">
        <v>238</v>
      </c>
      <c r="GH3696" s="5" t="s">
        <v>238</v>
      </c>
      <c r="GI3696" s="5" t="s">
        <v>238</v>
      </c>
      <c r="GJ3696" s="5" t="s">
        <v>238</v>
      </c>
      <c r="GK3696" s="5" t="s">
        <v>238</v>
      </c>
      <c r="GL3696" s="5" t="s">
        <v>238</v>
      </c>
      <c r="GM3696" s="5" t="s">
        <v>238</v>
      </c>
      <c r="GN3696" s="5" t="s">
        <v>238</v>
      </c>
      <c r="GO3696" s="5" t="s">
        <v>238</v>
      </c>
      <c r="GP3696" s="5" t="s">
        <v>238</v>
      </c>
      <c r="GQ3696" s="5" t="s">
        <v>238</v>
      </c>
      <c r="GR3696" s="5" t="s">
        <v>238</v>
      </c>
      <c r="GS3696" s="5" t="s">
        <v>238</v>
      </c>
      <c r="GT3696" s="5" t="s">
        <v>238</v>
      </c>
      <c r="GU3696" s="5" t="s">
        <v>238</v>
      </c>
      <c r="GV3696" s="5" t="s">
        <v>238</v>
      </c>
      <c r="GW3696" s="5" t="s">
        <v>238</v>
      </c>
      <c r="GX3696" s="5" t="s">
        <v>238</v>
      </c>
      <c r="GY3696" s="5" t="s">
        <v>238</v>
      </c>
      <c r="GZ3696" s="5" t="s">
        <v>238</v>
      </c>
      <c r="HA3696" s="5" t="s">
        <v>238</v>
      </c>
      <c r="HB3696" s="5" t="s">
        <v>238</v>
      </c>
      <c r="HC3696" s="5" t="s">
        <v>238</v>
      </c>
      <c r="HD3696" s="5" t="s">
        <v>238</v>
      </c>
      <c r="HE3696" s="5" t="s">
        <v>238</v>
      </c>
      <c r="HF3696" s="5" t="s">
        <v>238</v>
      </c>
      <c r="HG3696" s="5" t="s">
        <v>238</v>
      </c>
      <c r="HH3696" s="5" t="s">
        <v>238</v>
      </c>
      <c r="HI3696" s="5" t="s">
        <v>238</v>
      </c>
      <c r="HJ3696" s="5" t="s">
        <v>238</v>
      </c>
      <c r="HK3696" s="5" t="s">
        <v>238</v>
      </c>
      <c r="HL3696" s="5" t="s">
        <v>238</v>
      </c>
      <c r="HM3696" s="5" t="s">
        <v>264</v>
      </c>
      <c r="HN3696" s="5" t="s">
        <v>238</v>
      </c>
      <c r="HO3696" s="5" t="s">
        <v>238</v>
      </c>
      <c r="HP3696" s="5" t="s">
        <v>238</v>
      </c>
      <c r="HQ3696" s="5" t="s">
        <v>238</v>
      </c>
      <c r="HR3696" s="5" t="s">
        <v>238</v>
      </c>
      <c r="HS3696" s="5" t="s">
        <v>238</v>
      </c>
      <c r="HT3696" s="5" t="s">
        <v>238</v>
      </c>
      <c r="HU3696" s="5" t="s">
        <v>238</v>
      </c>
      <c r="HV3696" s="5" t="s">
        <v>238</v>
      </c>
      <c r="HW3696" s="5" t="s">
        <v>238</v>
      </c>
      <c r="HX3696" s="5" t="s">
        <v>238</v>
      </c>
      <c r="HY3696" s="5" t="s">
        <v>238</v>
      </c>
      <c r="HZ3696" s="5" t="s">
        <v>238</v>
      </c>
      <c r="IA3696" s="5" t="s">
        <v>238</v>
      </c>
      <c r="IB3696" s="5" t="s">
        <v>238</v>
      </c>
      <c r="IC3696" s="5" t="s">
        <v>238</v>
      </c>
      <c r="ID3696" s="5" t="s">
        <v>238</v>
      </c>
    </row>
    <row r="3697" spans="1:238" x14ac:dyDescent="0.4">
      <c r="A3697" s="5">
        <v>9415</v>
      </c>
      <c r="B3697" s="5">
        <v>1</v>
      </c>
      <c r="C3697" s="5">
        <v>1</v>
      </c>
      <c r="D3697" s="5" t="s">
        <v>484</v>
      </c>
      <c r="E3697" s="5" t="s">
        <v>485</v>
      </c>
      <c r="F3697" s="5" t="s">
        <v>248</v>
      </c>
      <c r="G3697" s="5" t="s">
        <v>4963</v>
      </c>
      <c r="H3697" s="6" t="s">
        <v>4965</v>
      </c>
      <c r="I3697" s="8">
        <f>1</f>
        <v>1</v>
      </c>
      <c r="J3697" s="5" t="s">
        <v>499</v>
      </c>
      <c r="K3697" s="8">
        <f>1</f>
        <v>1</v>
      </c>
      <c r="L3697" s="6" t="s">
        <v>242</v>
      </c>
      <c r="M3697" s="5" t="s">
        <v>267</v>
      </c>
      <c r="N3697" s="5" t="s">
        <v>482</v>
      </c>
      <c r="O3697" s="5" t="s">
        <v>238</v>
      </c>
      <c r="P3697" s="5" t="s">
        <v>238</v>
      </c>
      <c r="Q3697" s="5" t="s">
        <v>239</v>
      </c>
      <c r="R3697" s="5" t="s">
        <v>270</v>
      </c>
      <c r="S3697" s="5" t="s">
        <v>238</v>
      </c>
      <c r="T3697" s="5" t="s">
        <v>238</v>
      </c>
      <c r="U3697" s="5" t="s">
        <v>238</v>
      </c>
      <c r="V3697" s="5" t="s">
        <v>238</v>
      </c>
      <c r="W3697" s="6" t="s">
        <v>238</v>
      </c>
      <c r="X3697" s="6" t="s">
        <v>238</v>
      </c>
      <c r="Y3697" s="5" t="s">
        <v>238</v>
      </c>
      <c r="Z3697" s="6" t="s">
        <v>238</v>
      </c>
      <c r="AA3697" s="6" t="s">
        <v>243</v>
      </c>
      <c r="AB3697" s="5" t="s">
        <v>4964</v>
      </c>
      <c r="AC3697" s="5" t="s">
        <v>244</v>
      </c>
      <c r="AD3697" s="5" t="s">
        <v>245</v>
      </c>
      <c r="AE3697" s="5" t="s">
        <v>238</v>
      </c>
      <c r="AF3697" s="5" t="s">
        <v>238</v>
      </c>
      <c r="AG3697" s="5" t="s">
        <v>238</v>
      </c>
      <c r="AH3697" s="5" t="s">
        <v>238</v>
      </c>
      <c r="AI3697" s="5" t="s">
        <v>238</v>
      </c>
      <c r="AJ3697" s="5" t="s">
        <v>238</v>
      </c>
      <c r="AK3697" s="5" t="s">
        <v>238</v>
      </c>
      <c r="AL3697" s="5" t="s">
        <v>238</v>
      </c>
      <c r="AM3697" s="6" t="s">
        <v>238</v>
      </c>
      <c r="AN3697" s="6" t="s">
        <v>238</v>
      </c>
      <c r="AO3697" s="6" t="s">
        <v>238</v>
      </c>
      <c r="AP3697" s="6" t="s">
        <v>238</v>
      </c>
      <c r="AQ3697" s="5" t="s">
        <v>238</v>
      </c>
      <c r="AR3697" s="5" t="s">
        <v>488</v>
      </c>
      <c r="AS3697" s="5" t="s">
        <v>488</v>
      </c>
      <c r="AT3697" s="5" t="s">
        <v>246</v>
      </c>
      <c r="AU3697" s="5" t="s">
        <v>489</v>
      </c>
      <c r="AV3697" s="5" t="s">
        <v>247</v>
      </c>
      <c r="AW3697" s="5" t="s">
        <v>238</v>
      </c>
      <c r="AX3697" s="5" t="s">
        <v>249</v>
      </c>
      <c r="AY3697" s="5" t="s">
        <v>490</v>
      </c>
      <c r="BA3697" s="5" t="s">
        <v>238</v>
      </c>
      <c r="BC3697" s="5" t="s">
        <v>491</v>
      </c>
      <c r="BD3697" s="6" t="s">
        <v>492</v>
      </c>
      <c r="BE3697" s="5" t="s">
        <v>493</v>
      </c>
      <c r="BF3697" s="5" t="s">
        <v>493</v>
      </c>
      <c r="BG3697" s="5" t="s">
        <v>238</v>
      </c>
      <c r="BH3697" s="8">
        <f>1</f>
        <v>1</v>
      </c>
      <c r="BI3697" s="8">
        <f>1</f>
        <v>1</v>
      </c>
      <c r="BJ3697" s="5" t="s">
        <v>253</v>
      </c>
      <c r="BK3697" s="5" t="s">
        <v>254</v>
      </c>
      <c r="BL3697" s="5" t="s">
        <v>238</v>
      </c>
      <c r="BM3697" s="5" t="s">
        <v>238</v>
      </c>
      <c r="BN3697" s="5" t="s">
        <v>238</v>
      </c>
      <c r="BO3697" s="5" t="s">
        <v>238</v>
      </c>
      <c r="BP3697" s="5" t="s">
        <v>238</v>
      </c>
      <c r="BQ3697" s="5" t="s">
        <v>238</v>
      </c>
      <c r="BR3697" s="5" t="s">
        <v>238</v>
      </c>
      <c r="BS3697" s="5" t="s">
        <v>238</v>
      </c>
      <c r="BT3697" s="6" t="s">
        <v>238</v>
      </c>
      <c r="BU3697" s="5" t="s">
        <v>238</v>
      </c>
      <c r="BV3697" s="5" t="s">
        <v>238</v>
      </c>
      <c r="BW3697" s="5" t="s">
        <v>238</v>
      </c>
      <c r="BX3697" s="5" t="s">
        <v>254</v>
      </c>
      <c r="BY3697" s="5" t="s">
        <v>238</v>
      </c>
      <c r="BZ3697" s="5" t="s">
        <v>238</v>
      </c>
      <c r="CA3697" s="5" t="s">
        <v>238</v>
      </c>
      <c r="CB3697" s="5" t="s">
        <v>238</v>
      </c>
      <c r="CC3697" s="5" t="s">
        <v>238</v>
      </c>
      <c r="CD3697" s="5" t="s">
        <v>273</v>
      </c>
      <c r="CE3697" s="5" t="s">
        <v>256</v>
      </c>
      <c r="CF3697" s="5" t="s">
        <v>238</v>
      </c>
      <c r="CH3697" s="5" t="s">
        <v>494</v>
      </c>
      <c r="CI3697" s="6" t="s">
        <v>257</v>
      </c>
      <c r="CJ3697" s="5" t="s">
        <v>495</v>
      </c>
      <c r="CK3697" s="5" t="s">
        <v>258</v>
      </c>
      <c r="CL3697" s="5" t="s">
        <v>496</v>
      </c>
      <c r="CM3697" s="5" t="s">
        <v>238</v>
      </c>
      <c r="CN3697" s="5">
        <v>0</v>
      </c>
      <c r="CO3697" s="5" t="s">
        <v>497</v>
      </c>
      <c r="CP3697" s="5" t="s">
        <v>260</v>
      </c>
      <c r="CQ3697" s="5" t="s">
        <v>260</v>
      </c>
      <c r="CR3697" s="5" t="s">
        <v>261</v>
      </c>
      <c r="CS3697" s="5" t="s">
        <v>498</v>
      </c>
      <c r="CT3697" s="7">
        <f>1</f>
        <v>1</v>
      </c>
      <c r="CU3697" s="8">
        <f>1</f>
        <v>1</v>
      </c>
      <c r="CV3697" s="8">
        <f>0</f>
        <v>0</v>
      </c>
      <c r="CX3697" s="8">
        <f>1</f>
        <v>1</v>
      </c>
      <c r="CY3697" s="8">
        <f>1</f>
        <v>1</v>
      </c>
      <c r="CZ3697" s="8" t="s">
        <v>238</v>
      </c>
      <c r="DA3697" s="5" t="s">
        <v>238</v>
      </c>
      <c r="DB3697" s="5" t="s">
        <v>238</v>
      </c>
      <c r="DC3697" s="5" t="s">
        <v>238</v>
      </c>
      <c r="DD3697" s="5" t="s">
        <v>238</v>
      </c>
      <c r="DE3697" s="8">
        <f>0</f>
        <v>0</v>
      </c>
      <c r="DG3697" s="5" t="s">
        <v>238</v>
      </c>
      <c r="DH3697" s="5" t="s">
        <v>238</v>
      </c>
      <c r="DI3697" s="5" t="s">
        <v>238</v>
      </c>
      <c r="DJ3697" s="5" t="s">
        <v>238</v>
      </c>
      <c r="DK3697" s="5" t="s">
        <v>238</v>
      </c>
      <c r="DL3697" s="5" t="s">
        <v>238</v>
      </c>
      <c r="DM3697" s="8" t="s">
        <v>238</v>
      </c>
      <c r="DN3697" s="5" t="s">
        <v>238</v>
      </c>
      <c r="DO3697" s="5" t="s">
        <v>238</v>
      </c>
      <c r="DP3697" s="5" t="s">
        <v>490</v>
      </c>
      <c r="DQ3697" s="5" t="s">
        <v>490</v>
      </c>
      <c r="DR3697" s="5" t="s">
        <v>238</v>
      </c>
      <c r="DS3697" s="5" t="s">
        <v>238</v>
      </c>
      <c r="DT3697" s="5" t="s">
        <v>500</v>
      </c>
      <c r="DU3697" s="5" t="s">
        <v>410</v>
      </c>
      <c r="DV3697" s="5" t="s">
        <v>238</v>
      </c>
      <c r="DW3697" s="5" t="s">
        <v>238</v>
      </c>
      <c r="DX3697" s="5" t="s">
        <v>238</v>
      </c>
      <c r="DY3697" s="5" t="s">
        <v>238</v>
      </c>
      <c r="DZ3697" s="5" t="s">
        <v>238</v>
      </c>
      <c r="EA3697" s="5" t="s">
        <v>238</v>
      </c>
      <c r="EB3697" s="5" t="s">
        <v>238</v>
      </c>
      <c r="EC3697" s="5" t="s">
        <v>238</v>
      </c>
      <c r="ED3697" s="5" t="s">
        <v>238</v>
      </c>
      <c r="EE3697" s="5" t="s">
        <v>238</v>
      </c>
      <c r="EF3697" s="5" t="s">
        <v>238</v>
      </c>
      <c r="EG3697" s="5" t="s">
        <v>238</v>
      </c>
      <c r="EH3697" s="5" t="s">
        <v>238</v>
      </c>
      <c r="EI3697" s="5" t="s">
        <v>238</v>
      </c>
      <c r="EJ3697" s="5" t="s">
        <v>238</v>
      </c>
      <c r="EK3697" s="5" t="s">
        <v>238</v>
      </c>
      <c r="EL3697" s="5" t="s">
        <v>238</v>
      </c>
      <c r="EM3697" s="5" t="s">
        <v>238</v>
      </c>
      <c r="EN3697" s="5" t="s">
        <v>238</v>
      </c>
      <c r="EO3697" s="5" t="s">
        <v>238</v>
      </c>
      <c r="EP3697" s="5" t="s">
        <v>238</v>
      </c>
      <c r="EQ3697" s="5" t="s">
        <v>238</v>
      </c>
      <c r="ER3697" s="5" t="s">
        <v>238</v>
      </c>
      <c r="ES3697" s="5" t="s">
        <v>238</v>
      </c>
      <c r="ET3697" s="5" t="s">
        <v>238</v>
      </c>
      <c r="EU3697" s="5" t="s">
        <v>238</v>
      </c>
      <c r="EV3697" s="5" t="s">
        <v>238</v>
      </c>
      <c r="EW3697" s="5" t="s">
        <v>238</v>
      </c>
      <c r="EX3697" s="5" t="s">
        <v>238</v>
      </c>
      <c r="EY3697" s="5" t="s">
        <v>238</v>
      </c>
      <c r="EZ3697" s="5" t="s">
        <v>238</v>
      </c>
      <c r="FA3697" s="5" t="s">
        <v>238</v>
      </c>
      <c r="FB3697" s="5" t="s">
        <v>238</v>
      </c>
      <c r="FC3697" s="5" t="s">
        <v>238</v>
      </c>
      <c r="FD3697" s="5" t="s">
        <v>238</v>
      </c>
      <c r="FE3697" s="5" t="s">
        <v>238</v>
      </c>
      <c r="FF3697" s="5" t="s">
        <v>238</v>
      </c>
      <c r="FG3697" s="5" t="s">
        <v>238</v>
      </c>
      <c r="FH3697" s="5" t="s">
        <v>238</v>
      </c>
      <c r="FI3697" s="5" t="s">
        <v>238</v>
      </c>
      <c r="FJ3697" s="5" t="s">
        <v>238</v>
      </c>
      <c r="FK3697" s="5" t="s">
        <v>238</v>
      </c>
      <c r="FL3697" s="5" t="s">
        <v>238</v>
      </c>
      <c r="FM3697" s="5" t="s">
        <v>238</v>
      </c>
      <c r="FN3697" s="5" t="s">
        <v>238</v>
      </c>
      <c r="FO3697" s="5" t="s">
        <v>238</v>
      </c>
      <c r="FP3697" s="5" t="s">
        <v>238</v>
      </c>
      <c r="FQ3697" s="5" t="s">
        <v>238</v>
      </c>
      <c r="FR3697" s="5" t="s">
        <v>238</v>
      </c>
      <c r="FS3697" s="5" t="s">
        <v>238</v>
      </c>
      <c r="FT3697" s="5" t="s">
        <v>238</v>
      </c>
      <c r="FU3697" s="5" t="s">
        <v>238</v>
      </c>
      <c r="FV3697" s="5" t="s">
        <v>238</v>
      </c>
      <c r="FW3697" s="5" t="s">
        <v>238</v>
      </c>
      <c r="FX3697" s="5" t="s">
        <v>238</v>
      </c>
      <c r="FY3697" s="5" t="s">
        <v>238</v>
      </c>
      <c r="FZ3697" s="5" t="s">
        <v>238</v>
      </c>
      <c r="GA3697" s="5" t="s">
        <v>238</v>
      </c>
      <c r="GB3697" s="5" t="s">
        <v>238</v>
      </c>
      <c r="GC3697" s="5" t="s">
        <v>238</v>
      </c>
      <c r="GD3697" s="5" t="s">
        <v>238</v>
      </c>
      <c r="GE3697" s="5" t="s">
        <v>238</v>
      </c>
      <c r="GF3697" s="5" t="s">
        <v>238</v>
      </c>
      <c r="GG3697" s="5" t="s">
        <v>238</v>
      </c>
      <c r="GH3697" s="5" t="s">
        <v>238</v>
      </c>
      <c r="GI3697" s="5" t="s">
        <v>238</v>
      </c>
      <c r="GJ3697" s="5" t="s">
        <v>238</v>
      </c>
      <c r="GK3697" s="5" t="s">
        <v>238</v>
      </c>
      <c r="GL3697" s="5" t="s">
        <v>238</v>
      </c>
      <c r="GM3697" s="5" t="s">
        <v>238</v>
      </c>
      <c r="GN3697" s="5" t="s">
        <v>238</v>
      </c>
      <c r="GO3697" s="5" t="s">
        <v>238</v>
      </c>
      <c r="GP3697" s="5" t="s">
        <v>238</v>
      </c>
      <c r="GQ3697" s="5" t="s">
        <v>238</v>
      </c>
      <c r="GR3697" s="5" t="s">
        <v>238</v>
      </c>
      <c r="GS3697" s="5" t="s">
        <v>238</v>
      </c>
      <c r="GT3697" s="5" t="s">
        <v>238</v>
      </c>
      <c r="GU3697" s="5" t="s">
        <v>238</v>
      </c>
      <c r="GV3697" s="5" t="s">
        <v>238</v>
      </c>
      <c r="GW3697" s="5" t="s">
        <v>238</v>
      </c>
      <c r="GX3697" s="5" t="s">
        <v>238</v>
      </c>
      <c r="GY3697" s="5" t="s">
        <v>238</v>
      </c>
      <c r="GZ3697" s="5" t="s">
        <v>238</v>
      </c>
      <c r="HA3697" s="5" t="s">
        <v>238</v>
      </c>
      <c r="HB3697" s="5" t="s">
        <v>238</v>
      </c>
      <c r="HC3697" s="5" t="s">
        <v>238</v>
      </c>
      <c r="HD3697" s="5" t="s">
        <v>238</v>
      </c>
      <c r="HE3697" s="5" t="s">
        <v>238</v>
      </c>
      <c r="HF3697" s="5" t="s">
        <v>238</v>
      </c>
      <c r="HG3697" s="5" t="s">
        <v>238</v>
      </c>
      <c r="HH3697" s="5" t="s">
        <v>238</v>
      </c>
      <c r="HI3697" s="5" t="s">
        <v>238</v>
      </c>
      <c r="HJ3697" s="5" t="s">
        <v>238</v>
      </c>
      <c r="HK3697" s="5" t="s">
        <v>238</v>
      </c>
      <c r="HL3697" s="5" t="s">
        <v>238</v>
      </c>
      <c r="HM3697" s="5" t="s">
        <v>264</v>
      </c>
      <c r="HN3697" s="5" t="s">
        <v>238</v>
      </c>
      <c r="HO3697" s="5" t="s">
        <v>238</v>
      </c>
      <c r="HP3697" s="5" t="s">
        <v>238</v>
      </c>
      <c r="HQ3697" s="5" t="s">
        <v>238</v>
      </c>
      <c r="HR3697" s="5" t="s">
        <v>238</v>
      </c>
      <c r="HS3697" s="5" t="s">
        <v>238</v>
      </c>
      <c r="HT3697" s="5" t="s">
        <v>238</v>
      </c>
      <c r="HU3697" s="5" t="s">
        <v>238</v>
      </c>
      <c r="HV3697" s="5" t="s">
        <v>238</v>
      </c>
      <c r="HW3697" s="5" t="s">
        <v>238</v>
      </c>
      <c r="HX3697" s="5" t="s">
        <v>238</v>
      </c>
      <c r="HY3697" s="5" t="s">
        <v>238</v>
      </c>
      <c r="HZ3697" s="5" t="s">
        <v>238</v>
      </c>
      <c r="IA3697" s="5" t="s">
        <v>238</v>
      </c>
      <c r="IB3697" s="5" t="s">
        <v>238</v>
      </c>
      <c r="IC3697" s="5" t="s">
        <v>238</v>
      </c>
      <c r="ID3697" s="5" t="s">
        <v>238</v>
      </c>
    </row>
    <row r="3698" spans="1:238" x14ac:dyDescent="0.4">
      <c r="A3698" s="5">
        <v>9416</v>
      </c>
      <c r="B3698" s="5">
        <v>1</v>
      </c>
      <c r="C3698" s="5">
        <v>1</v>
      </c>
      <c r="D3698" s="5" t="s">
        <v>484</v>
      </c>
      <c r="E3698" s="5" t="s">
        <v>485</v>
      </c>
      <c r="F3698" s="5" t="s">
        <v>248</v>
      </c>
      <c r="G3698" s="5" t="s">
        <v>483</v>
      </c>
      <c r="H3698" s="6" t="s">
        <v>487</v>
      </c>
      <c r="I3698" s="8">
        <f>1</f>
        <v>1</v>
      </c>
      <c r="J3698" s="5" t="s">
        <v>499</v>
      </c>
      <c r="K3698" s="8">
        <f>1</f>
        <v>1</v>
      </c>
      <c r="L3698" s="6" t="s">
        <v>242</v>
      </c>
      <c r="M3698" s="5" t="s">
        <v>267</v>
      </c>
      <c r="N3698" s="5" t="s">
        <v>482</v>
      </c>
      <c r="O3698" s="5" t="s">
        <v>238</v>
      </c>
      <c r="P3698" s="5" t="s">
        <v>238</v>
      </c>
      <c r="Q3698" s="5" t="s">
        <v>239</v>
      </c>
      <c r="R3698" s="5" t="s">
        <v>270</v>
      </c>
      <c r="S3698" s="5" t="s">
        <v>238</v>
      </c>
      <c r="T3698" s="5" t="s">
        <v>238</v>
      </c>
      <c r="U3698" s="5" t="s">
        <v>238</v>
      </c>
      <c r="V3698" s="5" t="s">
        <v>238</v>
      </c>
      <c r="W3698" s="6" t="s">
        <v>238</v>
      </c>
      <c r="X3698" s="6" t="s">
        <v>238</v>
      </c>
      <c r="Y3698" s="5" t="s">
        <v>238</v>
      </c>
      <c r="Z3698" s="6" t="s">
        <v>238</v>
      </c>
      <c r="AA3698" s="6" t="s">
        <v>243</v>
      </c>
      <c r="AB3698" s="5" t="s">
        <v>486</v>
      </c>
      <c r="AC3698" s="5" t="s">
        <v>244</v>
      </c>
      <c r="AD3698" s="5" t="s">
        <v>245</v>
      </c>
      <c r="AE3698" s="5" t="s">
        <v>238</v>
      </c>
      <c r="AF3698" s="5" t="s">
        <v>238</v>
      </c>
      <c r="AG3698" s="5" t="s">
        <v>238</v>
      </c>
      <c r="AH3698" s="5" t="s">
        <v>238</v>
      </c>
      <c r="AI3698" s="5" t="s">
        <v>238</v>
      </c>
      <c r="AJ3698" s="5" t="s">
        <v>238</v>
      </c>
      <c r="AK3698" s="5" t="s">
        <v>238</v>
      </c>
      <c r="AL3698" s="5" t="s">
        <v>238</v>
      </c>
      <c r="AM3698" s="6" t="s">
        <v>238</v>
      </c>
      <c r="AN3698" s="6" t="s">
        <v>238</v>
      </c>
      <c r="AO3698" s="6" t="s">
        <v>238</v>
      </c>
      <c r="AP3698" s="6" t="s">
        <v>238</v>
      </c>
      <c r="AQ3698" s="5" t="s">
        <v>238</v>
      </c>
      <c r="AR3698" s="5" t="s">
        <v>488</v>
      </c>
      <c r="AS3698" s="5" t="s">
        <v>488</v>
      </c>
      <c r="AT3698" s="5" t="s">
        <v>246</v>
      </c>
      <c r="AU3698" s="5" t="s">
        <v>489</v>
      </c>
      <c r="AV3698" s="5" t="s">
        <v>247</v>
      </c>
      <c r="AW3698" s="5" t="s">
        <v>238</v>
      </c>
      <c r="AX3698" s="5" t="s">
        <v>249</v>
      </c>
      <c r="AY3698" s="5" t="s">
        <v>490</v>
      </c>
      <c r="BA3698" s="5" t="s">
        <v>238</v>
      </c>
      <c r="BC3698" s="5" t="s">
        <v>491</v>
      </c>
      <c r="BD3698" s="6" t="s">
        <v>492</v>
      </c>
      <c r="BE3698" s="5" t="s">
        <v>493</v>
      </c>
      <c r="BF3698" s="5" t="s">
        <v>493</v>
      </c>
      <c r="BG3698" s="5" t="s">
        <v>238</v>
      </c>
      <c r="BH3698" s="8">
        <f>1</f>
        <v>1</v>
      </c>
      <c r="BI3698" s="8">
        <f>1</f>
        <v>1</v>
      </c>
      <c r="BJ3698" s="5" t="s">
        <v>253</v>
      </c>
      <c r="BK3698" s="5" t="s">
        <v>254</v>
      </c>
      <c r="BL3698" s="5" t="s">
        <v>238</v>
      </c>
      <c r="BM3698" s="5" t="s">
        <v>238</v>
      </c>
      <c r="BN3698" s="5" t="s">
        <v>238</v>
      </c>
      <c r="BO3698" s="5" t="s">
        <v>238</v>
      </c>
      <c r="BP3698" s="5" t="s">
        <v>238</v>
      </c>
      <c r="BQ3698" s="5" t="s">
        <v>238</v>
      </c>
      <c r="BR3698" s="5" t="s">
        <v>238</v>
      </c>
      <c r="BS3698" s="5" t="s">
        <v>238</v>
      </c>
      <c r="BT3698" s="6" t="s">
        <v>238</v>
      </c>
      <c r="BU3698" s="5" t="s">
        <v>238</v>
      </c>
      <c r="BV3698" s="5" t="s">
        <v>238</v>
      </c>
      <c r="BW3698" s="5" t="s">
        <v>238</v>
      </c>
      <c r="BX3698" s="5" t="s">
        <v>254</v>
      </c>
      <c r="BY3698" s="5" t="s">
        <v>238</v>
      </c>
      <c r="BZ3698" s="5" t="s">
        <v>238</v>
      </c>
      <c r="CA3698" s="5" t="s">
        <v>238</v>
      </c>
      <c r="CB3698" s="5" t="s">
        <v>238</v>
      </c>
      <c r="CC3698" s="5" t="s">
        <v>238</v>
      </c>
      <c r="CD3698" s="5" t="s">
        <v>273</v>
      </c>
      <c r="CE3698" s="5" t="s">
        <v>256</v>
      </c>
      <c r="CF3698" s="5" t="s">
        <v>238</v>
      </c>
      <c r="CH3698" s="5" t="s">
        <v>494</v>
      </c>
      <c r="CI3698" s="6" t="s">
        <v>257</v>
      </c>
      <c r="CJ3698" s="5" t="s">
        <v>495</v>
      </c>
      <c r="CK3698" s="5" t="s">
        <v>258</v>
      </c>
      <c r="CL3698" s="5" t="s">
        <v>496</v>
      </c>
      <c r="CM3698" s="5" t="s">
        <v>238</v>
      </c>
      <c r="CN3698" s="5">
        <v>0</v>
      </c>
      <c r="CO3698" s="5" t="s">
        <v>497</v>
      </c>
      <c r="CP3698" s="5" t="s">
        <v>260</v>
      </c>
      <c r="CQ3698" s="5" t="s">
        <v>260</v>
      </c>
      <c r="CR3698" s="5" t="s">
        <v>261</v>
      </c>
      <c r="CS3698" s="5" t="s">
        <v>498</v>
      </c>
      <c r="CT3698" s="7">
        <f>1</f>
        <v>1</v>
      </c>
      <c r="CU3698" s="8">
        <f>1</f>
        <v>1</v>
      </c>
      <c r="CV3698" s="8">
        <f>0</f>
        <v>0</v>
      </c>
      <c r="CX3698" s="8">
        <f>1</f>
        <v>1</v>
      </c>
      <c r="CY3698" s="8">
        <f>1</f>
        <v>1</v>
      </c>
      <c r="CZ3698" s="8" t="s">
        <v>238</v>
      </c>
      <c r="DA3698" s="5" t="s">
        <v>238</v>
      </c>
      <c r="DB3698" s="5" t="s">
        <v>238</v>
      </c>
      <c r="DC3698" s="5" t="s">
        <v>238</v>
      </c>
      <c r="DD3698" s="5" t="s">
        <v>238</v>
      </c>
      <c r="DE3698" s="8">
        <f>0</f>
        <v>0</v>
      </c>
      <c r="DG3698" s="5" t="s">
        <v>238</v>
      </c>
      <c r="DH3698" s="5" t="s">
        <v>238</v>
      </c>
      <c r="DI3698" s="5" t="s">
        <v>238</v>
      </c>
      <c r="DJ3698" s="5" t="s">
        <v>238</v>
      </c>
      <c r="DK3698" s="5" t="s">
        <v>238</v>
      </c>
      <c r="DL3698" s="5" t="s">
        <v>238</v>
      </c>
      <c r="DM3698" s="8" t="s">
        <v>238</v>
      </c>
      <c r="DN3698" s="5" t="s">
        <v>238</v>
      </c>
      <c r="DO3698" s="5" t="s">
        <v>238</v>
      </c>
      <c r="DP3698" s="5" t="s">
        <v>490</v>
      </c>
      <c r="DQ3698" s="5" t="s">
        <v>490</v>
      </c>
      <c r="DR3698" s="5" t="s">
        <v>238</v>
      </c>
      <c r="DS3698" s="5" t="s">
        <v>238</v>
      </c>
      <c r="DT3698" s="5" t="s">
        <v>500</v>
      </c>
      <c r="DU3698" s="5" t="s">
        <v>398</v>
      </c>
      <c r="DV3698" s="5" t="s">
        <v>238</v>
      </c>
      <c r="DW3698" s="5" t="s">
        <v>238</v>
      </c>
      <c r="DX3698" s="5" t="s">
        <v>238</v>
      </c>
      <c r="DY3698" s="5" t="s">
        <v>238</v>
      </c>
      <c r="DZ3698" s="5" t="s">
        <v>238</v>
      </c>
      <c r="EA3698" s="5" t="s">
        <v>238</v>
      </c>
      <c r="EB3698" s="5" t="s">
        <v>238</v>
      </c>
      <c r="EC3698" s="5" t="s">
        <v>238</v>
      </c>
      <c r="ED3698" s="5" t="s">
        <v>238</v>
      </c>
      <c r="EE3698" s="5" t="s">
        <v>238</v>
      </c>
      <c r="EF3698" s="5" t="s">
        <v>238</v>
      </c>
      <c r="EG3698" s="5" t="s">
        <v>238</v>
      </c>
      <c r="EH3698" s="5" t="s">
        <v>238</v>
      </c>
      <c r="EI3698" s="5" t="s">
        <v>238</v>
      </c>
      <c r="EJ3698" s="5" t="s">
        <v>238</v>
      </c>
      <c r="EK3698" s="5" t="s">
        <v>238</v>
      </c>
      <c r="EL3698" s="5" t="s">
        <v>238</v>
      </c>
      <c r="EM3698" s="5" t="s">
        <v>238</v>
      </c>
      <c r="EN3698" s="5" t="s">
        <v>238</v>
      </c>
      <c r="EO3698" s="5" t="s">
        <v>238</v>
      </c>
      <c r="EP3698" s="5" t="s">
        <v>238</v>
      </c>
      <c r="EQ3698" s="5" t="s">
        <v>238</v>
      </c>
      <c r="ER3698" s="5" t="s">
        <v>238</v>
      </c>
      <c r="ES3698" s="5" t="s">
        <v>238</v>
      </c>
      <c r="ET3698" s="5" t="s">
        <v>238</v>
      </c>
      <c r="EU3698" s="5" t="s">
        <v>238</v>
      </c>
      <c r="EV3698" s="5" t="s">
        <v>238</v>
      </c>
      <c r="EW3698" s="5" t="s">
        <v>238</v>
      </c>
      <c r="EX3698" s="5" t="s">
        <v>238</v>
      </c>
      <c r="EY3698" s="5" t="s">
        <v>238</v>
      </c>
      <c r="EZ3698" s="5" t="s">
        <v>238</v>
      </c>
      <c r="FA3698" s="5" t="s">
        <v>238</v>
      </c>
      <c r="FB3698" s="5" t="s">
        <v>238</v>
      </c>
      <c r="FC3698" s="5" t="s">
        <v>238</v>
      </c>
      <c r="FD3698" s="5" t="s">
        <v>238</v>
      </c>
      <c r="FE3698" s="5" t="s">
        <v>238</v>
      </c>
      <c r="FF3698" s="5" t="s">
        <v>238</v>
      </c>
      <c r="FG3698" s="5" t="s">
        <v>238</v>
      </c>
      <c r="FH3698" s="5" t="s">
        <v>238</v>
      </c>
      <c r="FI3698" s="5" t="s">
        <v>238</v>
      </c>
      <c r="FJ3698" s="5" t="s">
        <v>238</v>
      </c>
      <c r="FK3698" s="5" t="s">
        <v>238</v>
      </c>
      <c r="FL3698" s="5" t="s">
        <v>238</v>
      </c>
      <c r="FM3698" s="5" t="s">
        <v>238</v>
      </c>
      <c r="FN3698" s="5" t="s">
        <v>238</v>
      </c>
      <c r="FO3698" s="5" t="s">
        <v>238</v>
      </c>
      <c r="FP3698" s="5" t="s">
        <v>238</v>
      </c>
      <c r="FQ3698" s="5" t="s">
        <v>238</v>
      </c>
      <c r="FR3698" s="5" t="s">
        <v>238</v>
      </c>
      <c r="FS3698" s="5" t="s">
        <v>238</v>
      </c>
      <c r="FT3698" s="5" t="s">
        <v>238</v>
      </c>
      <c r="FU3698" s="5" t="s">
        <v>238</v>
      </c>
      <c r="FV3698" s="5" t="s">
        <v>238</v>
      </c>
      <c r="FW3698" s="5" t="s">
        <v>238</v>
      </c>
      <c r="FX3698" s="5" t="s">
        <v>238</v>
      </c>
      <c r="FY3698" s="5" t="s">
        <v>238</v>
      </c>
      <c r="FZ3698" s="5" t="s">
        <v>238</v>
      </c>
      <c r="GA3698" s="5" t="s">
        <v>238</v>
      </c>
      <c r="GB3698" s="5" t="s">
        <v>238</v>
      </c>
      <c r="GC3698" s="5" t="s">
        <v>238</v>
      </c>
      <c r="GD3698" s="5" t="s">
        <v>238</v>
      </c>
      <c r="GE3698" s="5" t="s">
        <v>238</v>
      </c>
      <c r="GF3698" s="5" t="s">
        <v>238</v>
      </c>
      <c r="GG3698" s="5" t="s">
        <v>238</v>
      </c>
      <c r="GH3698" s="5" t="s">
        <v>238</v>
      </c>
      <c r="GI3698" s="5" t="s">
        <v>238</v>
      </c>
      <c r="GJ3698" s="5" t="s">
        <v>238</v>
      </c>
      <c r="GK3698" s="5" t="s">
        <v>238</v>
      </c>
      <c r="GL3698" s="5" t="s">
        <v>238</v>
      </c>
      <c r="GM3698" s="5" t="s">
        <v>238</v>
      </c>
      <c r="GN3698" s="5" t="s">
        <v>238</v>
      </c>
      <c r="GO3698" s="5" t="s">
        <v>238</v>
      </c>
      <c r="GP3698" s="5" t="s">
        <v>238</v>
      </c>
      <c r="GQ3698" s="5" t="s">
        <v>238</v>
      </c>
      <c r="GR3698" s="5" t="s">
        <v>238</v>
      </c>
      <c r="GS3698" s="5" t="s">
        <v>238</v>
      </c>
      <c r="GT3698" s="5" t="s">
        <v>238</v>
      </c>
      <c r="GU3698" s="5" t="s">
        <v>238</v>
      </c>
      <c r="GV3698" s="5" t="s">
        <v>238</v>
      </c>
      <c r="GW3698" s="5" t="s">
        <v>238</v>
      </c>
      <c r="GX3698" s="5" t="s">
        <v>238</v>
      </c>
      <c r="GY3698" s="5" t="s">
        <v>238</v>
      </c>
      <c r="GZ3698" s="5" t="s">
        <v>238</v>
      </c>
      <c r="HA3698" s="5" t="s">
        <v>238</v>
      </c>
      <c r="HB3698" s="5" t="s">
        <v>238</v>
      </c>
      <c r="HC3698" s="5" t="s">
        <v>238</v>
      </c>
      <c r="HD3698" s="5" t="s">
        <v>238</v>
      </c>
      <c r="HE3698" s="5" t="s">
        <v>238</v>
      </c>
      <c r="HF3698" s="5" t="s">
        <v>238</v>
      </c>
      <c r="HG3698" s="5" t="s">
        <v>238</v>
      </c>
      <c r="HH3698" s="5" t="s">
        <v>238</v>
      </c>
      <c r="HI3698" s="5" t="s">
        <v>238</v>
      </c>
      <c r="HJ3698" s="5" t="s">
        <v>238</v>
      </c>
      <c r="HK3698" s="5" t="s">
        <v>238</v>
      </c>
      <c r="HL3698" s="5" t="s">
        <v>238</v>
      </c>
      <c r="HM3698" s="5" t="s">
        <v>264</v>
      </c>
      <c r="HN3698" s="5" t="s">
        <v>238</v>
      </c>
      <c r="HO3698" s="5" t="s">
        <v>238</v>
      </c>
      <c r="HP3698" s="5" t="s">
        <v>238</v>
      </c>
      <c r="HQ3698" s="5" t="s">
        <v>238</v>
      </c>
      <c r="HR3698" s="5" t="s">
        <v>238</v>
      </c>
      <c r="HS3698" s="5" t="s">
        <v>238</v>
      </c>
      <c r="HT3698" s="5" t="s">
        <v>238</v>
      </c>
      <c r="HU3698" s="5" t="s">
        <v>238</v>
      </c>
      <c r="HV3698" s="5" t="s">
        <v>238</v>
      </c>
      <c r="HW3698" s="5" t="s">
        <v>238</v>
      </c>
      <c r="HX3698" s="5" t="s">
        <v>238</v>
      </c>
      <c r="HY3698" s="5" t="s">
        <v>238</v>
      </c>
      <c r="HZ3698" s="5" t="s">
        <v>238</v>
      </c>
      <c r="IA3698" s="5" t="s">
        <v>238</v>
      </c>
      <c r="IB3698" s="5" t="s">
        <v>238</v>
      </c>
      <c r="IC3698" s="5" t="s">
        <v>238</v>
      </c>
      <c r="ID3698" s="5" t="s">
        <v>238</v>
      </c>
    </row>
    <row r="3699" spans="1:238" x14ac:dyDescent="0.4">
      <c r="A3699" s="5">
        <v>9417</v>
      </c>
      <c r="B3699" s="5">
        <v>1</v>
      </c>
      <c r="C3699" s="5">
        <v>1</v>
      </c>
      <c r="D3699" s="5" t="s">
        <v>484</v>
      </c>
      <c r="E3699" s="5" t="s">
        <v>485</v>
      </c>
      <c r="F3699" s="5" t="s">
        <v>248</v>
      </c>
      <c r="G3699" s="5" t="s">
        <v>4366</v>
      </c>
      <c r="H3699" s="6" t="s">
        <v>4368</v>
      </c>
      <c r="I3699" s="8">
        <f>1</f>
        <v>1</v>
      </c>
      <c r="J3699" s="5" t="s">
        <v>499</v>
      </c>
      <c r="K3699" s="8">
        <f>1</f>
        <v>1</v>
      </c>
      <c r="L3699" s="6" t="s">
        <v>242</v>
      </c>
      <c r="M3699" s="5" t="s">
        <v>267</v>
      </c>
      <c r="N3699" s="5" t="s">
        <v>482</v>
      </c>
      <c r="O3699" s="5" t="s">
        <v>238</v>
      </c>
      <c r="P3699" s="5" t="s">
        <v>238</v>
      </c>
      <c r="Q3699" s="5" t="s">
        <v>239</v>
      </c>
      <c r="R3699" s="5" t="s">
        <v>270</v>
      </c>
      <c r="S3699" s="5" t="s">
        <v>238</v>
      </c>
      <c r="T3699" s="5" t="s">
        <v>238</v>
      </c>
      <c r="U3699" s="5" t="s">
        <v>238</v>
      </c>
      <c r="V3699" s="5" t="s">
        <v>238</v>
      </c>
      <c r="W3699" s="6" t="s">
        <v>238</v>
      </c>
      <c r="X3699" s="6" t="s">
        <v>238</v>
      </c>
      <c r="Y3699" s="5" t="s">
        <v>238</v>
      </c>
      <c r="Z3699" s="6" t="s">
        <v>238</v>
      </c>
      <c r="AA3699" s="6" t="s">
        <v>243</v>
      </c>
      <c r="AB3699" s="5" t="s">
        <v>4367</v>
      </c>
      <c r="AC3699" s="5" t="s">
        <v>244</v>
      </c>
      <c r="AD3699" s="5" t="s">
        <v>245</v>
      </c>
      <c r="AE3699" s="5" t="s">
        <v>238</v>
      </c>
      <c r="AF3699" s="5" t="s">
        <v>238</v>
      </c>
      <c r="AG3699" s="5" t="s">
        <v>238</v>
      </c>
      <c r="AH3699" s="5" t="s">
        <v>238</v>
      </c>
      <c r="AI3699" s="5" t="s">
        <v>238</v>
      </c>
      <c r="AJ3699" s="5" t="s">
        <v>238</v>
      </c>
      <c r="AK3699" s="5" t="s">
        <v>238</v>
      </c>
      <c r="AL3699" s="5" t="s">
        <v>238</v>
      </c>
      <c r="AM3699" s="6" t="s">
        <v>238</v>
      </c>
      <c r="AN3699" s="6" t="s">
        <v>238</v>
      </c>
      <c r="AO3699" s="6" t="s">
        <v>238</v>
      </c>
      <c r="AP3699" s="6" t="s">
        <v>238</v>
      </c>
      <c r="AQ3699" s="5" t="s">
        <v>238</v>
      </c>
      <c r="AR3699" s="5" t="s">
        <v>488</v>
      </c>
      <c r="AS3699" s="5" t="s">
        <v>488</v>
      </c>
      <c r="AT3699" s="5" t="s">
        <v>246</v>
      </c>
      <c r="AU3699" s="5" t="s">
        <v>489</v>
      </c>
      <c r="AV3699" s="5" t="s">
        <v>247</v>
      </c>
      <c r="AW3699" s="5" t="s">
        <v>238</v>
      </c>
      <c r="AX3699" s="5" t="s">
        <v>249</v>
      </c>
      <c r="AY3699" s="5" t="s">
        <v>490</v>
      </c>
      <c r="BA3699" s="5" t="s">
        <v>238</v>
      </c>
      <c r="BC3699" s="5" t="s">
        <v>491</v>
      </c>
      <c r="BD3699" s="6" t="s">
        <v>492</v>
      </c>
      <c r="BE3699" s="5" t="s">
        <v>493</v>
      </c>
      <c r="BF3699" s="5" t="s">
        <v>493</v>
      </c>
      <c r="BG3699" s="5" t="s">
        <v>238</v>
      </c>
      <c r="BH3699" s="8">
        <f>1</f>
        <v>1</v>
      </c>
      <c r="BI3699" s="8">
        <f>1</f>
        <v>1</v>
      </c>
      <c r="BJ3699" s="5" t="s">
        <v>253</v>
      </c>
      <c r="BK3699" s="5" t="s">
        <v>254</v>
      </c>
      <c r="BL3699" s="5" t="s">
        <v>238</v>
      </c>
      <c r="BM3699" s="5" t="s">
        <v>238</v>
      </c>
      <c r="BN3699" s="5" t="s">
        <v>238</v>
      </c>
      <c r="BO3699" s="5" t="s">
        <v>238</v>
      </c>
      <c r="BP3699" s="5" t="s">
        <v>238</v>
      </c>
      <c r="BQ3699" s="5" t="s">
        <v>238</v>
      </c>
      <c r="BR3699" s="5" t="s">
        <v>238</v>
      </c>
      <c r="BS3699" s="5" t="s">
        <v>238</v>
      </c>
      <c r="BT3699" s="6" t="s">
        <v>238</v>
      </c>
      <c r="BU3699" s="5" t="s">
        <v>238</v>
      </c>
      <c r="BV3699" s="5" t="s">
        <v>238</v>
      </c>
      <c r="BW3699" s="5" t="s">
        <v>238</v>
      </c>
      <c r="BX3699" s="5" t="s">
        <v>254</v>
      </c>
      <c r="BY3699" s="5" t="s">
        <v>238</v>
      </c>
      <c r="BZ3699" s="5" t="s">
        <v>238</v>
      </c>
      <c r="CA3699" s="5" t="s">
        <v>238</v>
      </c>
      <c r="CB3699" s="5" t="s">
        <v>238</v>
      </c>
      <c r="CC3699" s="5" t="s">
        <v>238</v>
      </c>
      <c r="CD3699" s="5" t="s">
        <v>273</v>
      </c>
      <c r="CE3699" s="5" t="s">
        <v>256</v>
      </c>
      <c r="CF3699" s="5" t="s">
        <v>238</v>
      </c>
      <c r="CH3699" s="5" t="s">
        <v>494</v>
      </c>
      <c r="CI3699" s="6" t="s">
        <v>257</v>
      </c>
      <c r="CJ3699" s="5" t="s">
        <v>495</v>
      </c>
      <c r="CK3699" s="5" t="s">
        <v>258</v>
      </c>
      <c r="CL3699" s="5" t="s">
        <v>496</v>
      </c>
      <c r="CM3699" s="5" t="s">
        <v>238</v>
      </c>
      <c r="CN3699" s="5">
        <v>0</v>
      </c>
      <c r="CO3699" s="5" t="s">
        <v>497</v>
      </c>
      <c r="CP3699" s="5" t="s">
        <v>260</v>
      </c>
      <c r="CQ3699" s="5" t="s">
        <v>260</v>
      </c>
      <c r="CR3699" s="5" t="s">
        <v>261</v>
      </c>
      <c r="CS3699" s="5" t="s">
        <v>498</v>
      </c>
      <c r="CT3699" s="7">
        <f>1</f>
        <v>1</v>
      </c>
      <c r="CU3699" s="8">
        <f>1</f>
        <v>1</v>
      </c>
      <c r="CV3699" s="8">
        <f>0</f>
        <v>0</v>
      </c>
      <c r="CX3699" s="8">
        <f>1</f>
        <v>1</v>
      </c>
      <c r="CY3699" s="8">
        <f>1</f>
        <v>1</v>
      </c>
      <c r="CZ3699" s="8" t="s">
        <v>238</v>
      </c>
      <c r="DA3699" s="5" t="s">
        <v>238</v>
      </c>
      <c r="DB3699" s="5" t="s">
        <v>238</v>
      </c>
      <c r="DC3699" s="5" t="s">
        <v>238</v>
      </c>
      <c r="DD3699" s="5" t="s">
        <v>238</v>
      </c>
      <c r="DE3699" s="8">
        <f>0</f>
        <v>0</v>
      </c>
      <c r="DG3699" s="5" t="s">
        <v>238</v>
      </c>
      <c r="DH3699" s="5" t="s">
        <v>238</v>
      </c>
      <c r="DI3699" s="5" t="s">
        <v>238</v>
      </c>
      <c r="DJ3699" s="5" t="s">
        <v>238</v>
      </c>
      <c r="DK3699" s="5" t="s">
        <v>238</v>
      </c>
      <c r="DL3699" s="5" t="s">
        <v>238</v>
      </c>
      <c r="DM3699" s="8" t="s">
        <v>238</v>
      </c>
      <c r="DN3699" s="5" t="s">
        <v>238</v>
      </c>
      <c r="DO3699" s="5" t="s">
        <v>238</v>
      </c>
      <c r="DP3699" s="5" t="s">
        <v>490</v>
      </c>
      <c r="DQ3699" s="5" t="s">
        <v>490</v>
      </c>
      <c r="DR3699" s="5" t="s">
        <v>238</v>
      </c>
      <c r="DS3699" s="5" t="s">
        <v>238</v>
      </c>
      <c r="DT3699" s="5" t="s">
        <v>500</v>
      </c>
      <c r="DU3699" s="5" t="s">
        <v>386</v>
      </c>
      <c r="DV3699" s="5" t="s">
        <v>238</v>
      </c>
      <c r="DW3699" s="5" t="s">
        <v>238</v>
      </c>
      <c r="DX3699" s="5" t="s">
        <v>238</v>
      </c>
      <c r="DY3699" s="5" t="s">
        <v>238</v>
      </c>
      <c r="DZ3699" s="5" t="s">
        <v>238</v>
      </c>
      <c r="EA3699" s="5" t="s">
        <v>238</v>
      </c>
      <c r="EB3699" s="5" t="s">
        <v>238</v>
      </c>
      <c r="EC3699" s="5" t="s">
        <v>238</v>
      </c>
      <c r="ED3699" s="5" t="s">
        <v>238</v>
      </c>
      <c r="EE3699" s="5" t="s">
        <v>238</v>
      </c>
      <c r="EF3699" s="5" t="s">
        <v>238</v>
      </c>
      <c r="EG3699" s="5" t="s">
        <v>238</v>
      </c>
      <c r="EH3699" s="5" t="s">
        <v>238</v>
      </c>
      <c r="EI3699" s="5" t="s">
        <v>238</v>
      </c>
      <c r="EJ3699" s="5" t="s">
        <v>238</v>
      </c>
      <c r="EK3699" s="5" t="s">
        <v>238</v>
      </c>
      <c r="EL3699" s="5" t="s">
        <v>238</v>
      </c>
      <c r="EM3699" s="5" t="s">
        <v>238</v>
      </c>
      <c r="EN3699" s="5" t="s">
        <v>238</v>
      </c>
      <c r="EO3699" s="5" t="s">
        <v>238</v>
      </c>
      <c r="EP3699" s="5" t="s">
        <v>238</v>
      </c>
      <c r="EQ3699" s="5" t="s">
        <v>238</v>
      </c>
      <c r="ER3699" s="5" t="s">
        <v>238</v>
      </c>
      <c r="ES3699" s="5" t="s">
        <v>238</v>
      </c>
      <c r="ET3699" s="5" t="s">
        <v>238</v>
      </c>
      <c r="EU3699" s="5" t="s">
        <v>238</v>
      </c>
      <c r="EV3699" s="5" t="s">
        <v>238</v>
      </c>
      <c r="EW3699" s="5" t="s">
        <v>238</v>
      </c>
      <c r="EX3699" s="5" t="s">
        <v>238</v>
      </c>
      <c r="EY3699" s="5" t="s">
        <v>238</v>
      </c>
      <c r="EZ3699" s="5" t="s">
        <v>238</v>
      </c>
      <c r="FA3699" s="5" t="s">
        <v>238</v>
      </c>
      <c r="FB3699" s="5" t="s">
        <v>238</v>
      </c>
      <c r="FC3699" s="5" t="s">
        <v>238</v>
      </c>
      <c r="FD3699" s="5" t="s">
        <v>238</v>
      </c>
      <c r="FE3699" s="5" t="s">
        <v>238</v>
      </c>
      <c r="FF3699" s="5" t="s">
        <v>238</v>
      </c>
      <c r="FG3699" s="5" t="s">
        <v>238</v>
      </c>
      <c r="FH3699" s="5" t="s">
        <v>238</v>
      </c>
      <c r="FI3699" s="5" t="s">
        <v>238</v>
      </c>
      <c r="FJ3699" s="5" t="s">
        <v>238</v>
      </c>
      <c r="FK3699" s="5" t="s">
        <v>238</v>
      </c>
      <c r="FL3699" s="5" t="s">
        <v>238</v>
      </c>
      <c r="FM3699" s="5" t="s">
        <v>238</v>
      </c>
      <c r="FN3699" s="5" t="s">
        <v>238</v>
      </c>
      <c r="FO3699" s="5" t="s">
        <v>238</v>
      </c>
      <c r="FP3699" s="5" t="s">
        <v>238</v>
      </c>
      <c r="FQ3699" s="5" t="s">
        <v>238</v>
      </c>
      <c r="FR3699" s="5" t="s">
        <v>238</v>
      </c>
      <c r="FS3699" s="5" t="s">
        <v>238</v>
      </c>
      <c r="FT3699" s="5" t="s">
        <v>238</v>
      </c>
      <c r="FU3699" s="5" t="s">
        <v>238</v>
      </c>
      <c r="FV3699" s="5" t="s">
        <v>238</v>
      </c>
      <c r="FW3699" s="5" t="s">
        <v>238</v>
      </c>
      <c r="FX3699" s="5" t="s">
        <v>238</v>
      </c>
      <c r="FY3699" s="5" t="s">
        <v>238</v>
      </c>
      <c r="FZ3699" s="5" t="s">
        <v>238</v>
      </c>
      <c r="GA3699" s="5" t="s">
        <v>238</v>
      </c>
      <c r="GB3699" s="5" t="s">
        <v>238</v>
      </c>
      <c r="GC3699" s="5" t="s">
        <v>238</v>
      </c>
      <c r="GD3699" s="5" t="s">
        <v>238</v>
      </c>
      <c r="GE3699" s="5" t="s">
        <v>238</v>
      </c>
      <c r="GF3699" s="5" t="s">
        <v>238</v>
      </c>
      <c r="GG3699" s="5" t="s">
        <v>238</v>
      </c>
      <c r="GH3699" s="5" t="s">
        <v>238</v>
      </c>
      <c r="GI3699" s="5" t="s">
        <v>238</v>
      </c>
      <c r="GJ3699" s="5" t="s">
        <v>238</v>
      </c>
      <c r="GK3699" s="5" t="s">
        <v>238</v>
      </c>
      <c r="GL3699" s="5" t="s">
        <v>238</v>
      </c>
      <c r="GM3699" s="5" t="s">
        <v>238</v>
      </c>
      <c r="GN3699" s="5" t="s">
        <v>238</v>
      </c>
      <c r="GO3699" s="5" t="s">
        <v>238</v>
      </c>
      <c r="GP3699" s="5" t="s">
        <v>238</v>
      </c>
      <c r="GQ3699" s="5" t="s">
        <v>238</v>
      </c>
      <c r="GR3699" s="5" t="s">
        <v>238</v>
      </c>
      <c r="GS3699" s="5" t="s">
        <v>238</v>
      </c>
      <c r="GT3699" s="5" t="s">
        <v>238</v>
      </c>
      <c r="GU3699" s="5" t="s">
        <v>238</v>
      </c>
      <c r="GV3699" s="5" t="s">
        <v>238</v>
      </c>
      <c r="GW3699" s="5" t="s">
        <v>238</v>
      </c>
      <c r="GX3699" s="5" t="s">
        <v>238</v>
      </c>
      <c r="GY3699" s="5" t="s">
        <v>238</v>
      </c>
      <c r="GZ3699" s="5" t="s">
        <v>238</v>
      </c>
      <c r="HA3699" s="5" t="s">
        <v>238</v>
      </c>
      <c r="HB3699" s="5" t="s">
        <v>238</v>
      </c>
      <c r="HC3699" s="5" t="s">
        <v>238</v>
      </c>
      <c r="HD3699" s="5" t="s">
        <v>238</v>
      </c>
      <c r="HE3699" s="5" t="s">
        <v>238</v>
      </c>
      <c r="HF3699" s="5" t="s">
        <v>238</v>
      </c>
      <c r="HG3699" s="5" t="s">
        <v>238</v>
      </c>
      <c r="HH3699" s="5" t="s">
        <v>238</v>
      </c>
      <c r="HI3699" s="5" t="s">
        <v>238</v>
      </c>
      <c r="HJ3699" s="5" t="s">
        <v>238</v>
      </c>
      <c r="HK3699" s="5" t="s">
        <v>238</v>
      </c>
      <c r="HL3699" s="5" t="s">
        <v>238</v>
      </c>
      <c r="HM3699" s="5" t="s">
        <v>264</v>
      </c>
      <c r="HN3699" s="5" t="s">
        <v>238</v>
      </c>
      <c r="HO3699" s="5" t="s">
        <v>238</v>
      </c>
      <c r="HP3699" s="5" t="s">
        <v>238</v>
      </c>
      <c r="HQ3699" s="5" t="s">
        <v>238</v>
      </c>
      <c r="HR3699" s="5" t="s">
        <v>238</v>
      </c>
      <c r="HS3699" s="5" t="s">
        <v>238</v>
      </c>
      <c r="HT3699" s="5" t="s">
        <v>238</v>
      </c>
      <c r="HU3699" s="5" t="s">
        <v>238</v>
      </c>
      <c r="HV3699" s="5" t="s">
        <v>238</v>
      </c>
      <c r="HW3699" s="5" t="s">
        <v>238</v>
      </c>
      <c r="HX3699" s="5" t="s">
        <v>238</v>
      </c>
      <c r="HY3699" s="5" t="s">
        <v>238</v>
      </c>
      <c r="HZ3699" s="5" t="s">
        <v>238</v>
      </c>
      <c r="IA3699" s="5" t="s">
        <v>238</v>
      </c>
      <c r="IB3699" s="5" t="s">
        <v>238</v>
      </c>
      <c r="IC3699" s="5" t="s">
        <v>238</v>
      </c>
      <c r="ID3699" s="5" t="s">
        <v>238</v>
      </c>
    </row>
    <row r="3700" spans="1:238" x14ac:dyDescent="0.4">
      <c r="A3700" s="5">
        <v>9418</v>
      </c>
      <c r="B3700" s="5">
        <v>1</v>
      </c>
      <c r="C3700" s="5">
        <v>1</v>
      </c>
      <c r="D3700" s="5" t="s">
        <v>484</v>
      </c>
      <c r="E3700" s="5" t="s">
        <v>485</v>
      </c>
      <c r="F3700" s="5" t="s">
        <v>248</v>
      </c>
      <c r="G3700" s="5" t="s">
        <v>5130</v>
      </c>
      <c r="H3700" s="6" t="s">
        <v>5131</v>
      </c>
      <c r="I3700" s="8">
        <f>1</f>
        <v>1</v>
      </c>
      <c r="J3700" s="5" t="s">
        <v>499</v>
      </c>
      <c r="K3700" s="8">
        <f>1</f>
        <v>1</v>
      </c>
      <c r="L3700" s="6" t="s">
        <v>242</v>
      </c>
      <c r="M3700" s="5" t="s">
        <v>267</v>
      </c>
      <c r="N3700" s="5" t="s">
        <v>482</v>
      </c>
      <c r="O3700" s="5" t="s">
        <v>238</v>
      </c>
      <c r="P3700" s="5" t="s">
        <v>238</v>
      </c>
      <c r="Q3700" s="5" t="s">
        <v>239</v>
      </c>
      <c r="R3700" s="5" t="s">
        <v>270</v>
      </c>
      <c r="S3700" s="5" t="s">
        <v>238</v>
      </c>
      <c r="T3700" s="5" t="s">
        <v>238</v>
      </c>
      <c r="U3700" s="5" t="s">
        <v>238</v>
      </c>
      <c r="V3700" s="5" t="s">
        <v>238</v>
      </c>
      <c r="W3700" s="6" t="s">
        <v>238</v>
      </c>
      <c r="X3700" s="6" t="s">
        <v>238</v>
      </c>
      <c r="Y3700" s="5" t="s">
        <v>238</v>
      </c>
      <c r="Z3700" s="6" t="s">
        <v>238</v>
      </c>
      <c r="AA3700" s="6" t="s">
        <v>243</v>
      </c>
      <c r="AB3700" s="5" t="s">
        <v>486</v>
      </c>
      <c r="AC3700" s="5" t="s">
        <v>244</v>
      </c>
      <c r="AD3700" s="5" t="s">
        <v>245</v>
      </c>
      <c r="AE3700" s="5" t="s">
        <v>238</v>
      </c>
      <c r="AF3700" s="5" t="s">
        <v>238</v>
      </c>
      <c r="AG3700" s="5" t="s">
        <v>238</v>
      </c>
      <c r="AH3700" s="5" t="s">
        <v>238</v>
      </c>
      <c r="AI3700" s="5" t="s">
        <v>238</v>
      </c>
      <c r="AJ3700" s="5" t="s">
        <v>238</v>
      </c>
      <c r="AK3700" s="5" t="s">
        <v>238</v>
      </c>
      <c r="AL3700" s="5" t="s">
        <v>238</v>
      </c>
      <c r="AM3700" s="6" t="s">
        <v>238</v>
      </c>
      <c r="AN3700" s="6" t="s">
        <v>238</v>
      </c>
      <c r="AO3700" s="6" t="s">
        <v>238</v>
      </c>
      <c r="AP3700" s="6" t="s">
        <v>238</v>
      </c>
      <c r="AQ3700" s="5" t="s">
        <v>238</v>
      </c>
      <c r="AR3700" s="5" t="s">
        <v>488</v>
      </c>
      <c r="AS3700" s="5" t="s">
        <v>488</v>
      </c>
      <c r="AT3700" s="5" t="s">
        <v>246</v>
      </c>
      <c r="AU3700" s="5" t="s">
        <v>489</v>
      </c>
      <c r="AV3700" s="5" t="s">
        <v>247</v>
      </c>
      <c r="AW3700" s="5" t="s">
        <v>238</v>
      </c>
      <c r="AX3700" s="5" t="s">
        <v>249</v>
      </c>
      <c r="AY3700" s="5" t="s">
        <v>490</v>
      </c>
      <c r="BA3700" s="5" t="s">
        <v>238</v>
      </c>
      <c r="BC3700" s="5" t="s">
        <v>491</v>
      </c>
      <c r="BD3700" s="6" t="s">
        <v>492</v>
      </c>
      <c r="BE3700" s="5" t="s">
        <v>493</v>
      </c>
      <c r="BF3700" s="5" t="s">
        <v>493</v>
      </c>
      <c r="BG3700" s="5" t="s">
        <v>238</v>
      </c>
      <c r="BH3700" s="8">
        <f>1</f>
        <v>1</v>
      </c>
      <c r="BI3700" s="8">
        <f>1</f>
        <v>1</v>
      </c>
      <c r="BJ3700" s="5" t="s">
        <v>253</v>
      </c>
      <c r="BK3700" s="5" t="s">
        <v>254</v>
      </c>
      <c r="BL3700" s="5" t="s">
        <v>238</v>
      </c>
      <c r="BM3700" s="5" t="s">
        <v>238</v>
      </c>
      <c r="BN3700" s="5" t="s">
        <v>238</v>
      </c>
      <c r="BO3700" s="5" t="s">
        <v>238</v>
      </c>
      <c r="BP3700" s="5" t="s">
        <v>238</v>
      </c>
      <c r="BQ3700" s="5" t="s">
        <v>238</v>
      </c>
      <c r="BR3700" s="5" t="s">
        <v>238</v>
      </c>
      <c r="BS3700" s="5" t="s">
        <v>238</v>
      </c>
      <c r="BT3700" s="6" t="s">
        <v>238</v>
      </c>
      <c r="BU3700" s="5" t="s">
        <v>238</v>
      </c>
      <c r="BV3700" s="5" t="s">
        <v>238</v>
      </c>
      <c r="BW3700" s="5" t="s">
        <v>238</v>
      </c>
      <c r="BX3700" s="5" t="s">
        <v>254</v>
      </c>
      <c r="BY3700" s="5" t="s">
        <v>238</v>
      </c>
      <c r="BZ3700" s="5" t="s">
        <v>238</v>
      </c>
      <c r="CA3700" s="5" t="s">
        <v>238</v>
      </c>
      <c r="CB3700" s="5" t="s">
        <v>238</v>
      </c>
      <c r="CC3700" s="5" t="s">
        <v>238</v>
      </c>
      <c r="CD3700" s="5" t="s">
        <v>273</v>
      </c>
      <c r="CE3700" s="5" t="s">
        <v>256</v>
      </c>
      <c r="CF3700" s="5" t="s">
        <v>238</v>
      </c>
      <c r="CH3700" s="5" t="s">
        <v>494</v>
      </c>
      <c r="CI3700" s="6" t="s">
        <v>257</v>
      </c>
      <c r="CJ3700" s="5" t="s">
        <v>495</v>
      </c>
      <c r="CK3700" s="5" t="s">
        <v>258</v>
      </c>
      <c r="CL3700" s="5" t="s">
        <v>496</v>
      </c>
      <c r="CM3700" s="5" t="s">
        <v>238</v>
      </c>
      <c r="CN3700" s="5">
        <v>0</v>
      </c>
      <c r="CO3700" s="5" t="s">
        <v>497</v>
      </c>
      <c r="CP3700" s="5" t="s">
        <v>260</v>
      </c>
      <c r="CQ3700" s="5" t="s">
        <v>260</v>
      </c>
      <c r="CR3700" s="5" t="s">
        <v>261</v>
      </c>
      <c r="CS3700" s="5" t="s">
        <v>498</v>
      </c>
      <c r="CT3700" s="7">
        <f>1</f>
        <v>1</v>
      </c>
      <c r="CU3700" s="8">
        <f>1</f>
        <v>1</v>
      </c>
      <c r="CV3700" s="8">
        <f>0</f>
        <v>0</v>
      </c>
      <c r="CX3700" s="8">
        <f>1</f>
        <v>1</v>
      </c>
      <c r="CY3700" s="8">
        <f>1</f>
        <v>1</v>
      </c>
      <c r="CZ3700" s="8" t="s">
        <v>238</v>
      </c>
      <c r="DA3700" s="5" t="s">
        <v>238</v>
      </c>
      <c r="DB3700" s="5" t="s">
        <v>238</v>
      </c>
      <c r="DC3700" s="5" t="s">
        <v>238</v>
      </c>
      <c r="DD3700" s="5" t="s">
        <v>238</v>
      </c>
      <c r="DE3700" s="8">
        <f>0</f>
        <v>0</v>
      </c>
      <c r="DG3700" s="5" t="s">
        <v>238</v>
      </c>
      <c r="DH3700" s="5" t="s">
        <v>238</v>
      </c>
      <c r="DI3700" s="5" t="s">
        <v>238</v>
      </c>
      <c r="DJ3700" s="5" t="s">
        <v>238</v>
      </c>
      <c r="DK3700" s="5" t="s">
        <v>238</v>
      </c>
      <c r="DL3700" s="5" t="s">
        <v>238</v>
      </c>
      <c r="DM3700" s="8" t="s">
        <v>238</v>
      </c>
      <c r="DN3700" s="5" t="s">
        <v>238</v>
      </c>
      <c r="DO3700" s="5" t="s">
        <v>238</v>
      </c>
      <c r="DP3700" s="5" t="s">
        <v>490</v>
      </c>
      <c r="DQ3700" s="5" t="s">
        <v>490</v>
      </c>
      <c r="DR3700" s="5" t="s">
        <v>238</v>
      </c>
      <c r="DS3700" s="5" t="s">
        <v>238</v>
      </c>
      <c r="DT3700" s="5" t="s">
        <v>500</v>
      </c>
      <c r="DU3700" s="5" t="s">
        <v>372</v>
      </c>
      <c r="DV3700" s="5" t="s">
        <v>238</v>
      </c>
      <c r="DW3700" s="5" t="s">
        <v>238</v>
      </c>
      <c r="DX3700" s="5" t="s">
        <v>238</v>
      </c>
      <c r="DY3700" s="5" t="s">
        <v>238</v>
      </c>
      <c r="DZ3700" s="5" t="s">
        <v>238</v>
      </c>
      <c r="EA3700" s="5" t="s">
        <v>238</v>
      </c>
      <c r="EB3700" s="5" t="s">
        <v>238</v>
      </c>
      <c r="EC3700" s="5" t="s">
        <v>238</v>
      </c>
      <c r="ED3700" s="5" t="s">
        <v>238</v>
      </c>
      <c r="EE3700" s="5" t="s">
        <v>238</v>
      </c>
      <c r="EF3700" s="5" t="s">
        <v>238</v>
      </c>
      <c r="EG3700" s="5" t="s">
        <v>238</v>
      </c>
      <c r="EH3700" s="5" t="s">
        <v>238</v>
      </c>
      <c r="EI3700" s="5" t="s">
        <v>238</v>
      </c>
      <c r="EJ3700" s="5" t="s">
        <v>238</v>
      </c>
      <c r="EK3700" s="5" t="s">
        <v>238</v>
      </c>
      <c r="EL3700" s="5" t="s">
        <v>238</v>
      </c>
      <c r="EM3700" s="5" t="s">
        <v>238</v>
      </c>
      <c r="EN3700" s="5" t="s">
        <v>238</v>
      </c>
      <c r="EO3700" s="5" t="s">
        <v>238</v>
      </c>
      <c r="EP3700" s="5" t="s">
        <v>238</v>
      </c>
      <c r="EQ3700" s="5" t="s">
        <v>238</v>
      </c>
      <c r="ER3700" s="5" t="s">
        <v>238</v>
      </c>
      <c r="ES3700" s="5" t="s">
        <v>238</v>
      </c>
      <c r="ET3700" s="5" t="s">
        <v>238</v>
      </c>
      <c r="EU3700" s="5" t="s">
        <v>238</v>
      </c>
      <c r="EV3700" s="5" t="s">
        <v>238</v>
      </c>
      <c r="EW3700" s="5" t="s">
        <v>238</v>
      </c>
      <c r="EX3700" s="5" t="s">
        <v>238</v>
      </c>
      <c r="EY3700" s="5" t="s">
        <v>238</v>
      </c>
      <c r="EZ3700" s="5" t="s">
        <v>238</v>
      </c>
      <c r="FA3700" s="5" t="s">
        <v>238</v>
      </c>
      <c r="FB3700" s="5" t="s">
        <v>238</v>
      </c>
      <c r="FC3700" s="5" t="s">
        <v>238</v>
      </c>
      <c r="FD3700" s="5" t="s">
        <v>238</v>
      </c>
      <c r="FE3700" s="5" t="s">
        <v>238</v>
      </c>
      <c r="FF3700" s="5" t="s">
        <v>238</v>
      </c>
      <c r="FG3700" s="5" t="s">
        <v>238</v>
      </c>
      <c r="FH3700" s="5" t="s">
        <v>238</v>
      </c>
      <c r="FI3700" s="5" t="s">
        <v>238</v>
      </c>
      <c r="FJ3700" s="5" t="s">
        <v>238</v>
      </c>
      <c r="FK3700" s="5" t="s">
        <v>238</v>
      </c>
      <c r="FL3700" s="5" t="s">
        <v>238</v>
      </c>
      <c r="FM3700" s="5" t="s">
        <v>238</v>
      </c>
      <c r="FN3700" s="5" t="s">
        <v>238</v>
      </c>
      <c r="FO3700" s="5" t="s">
        <v>238</v>
      </c>
      <c r="FP3700" s="5" t="s">
        <v>238</v>
      </c>
      <c r="FQ3700" s="5" t="s">
        <v>238</v>
      </c>
      <c r="FR3700" s="5" t="s">
        <v>238</v>
      </c>
      <c r="FS3700" s="5" t="s">
        <v>238</v>
      </c>
      <c r="FT3700" s="5" t="s">
        <v>238</v>
      </c>
      <c r="FU3700" s="5" t="s">
        <v>238</v>
      </c>
      <c r="FV3700" s="5" t="s">
        <v>238</v>
      </c>
      <c r="FW3700" s="5" t="s">
        <v>238</v>
      </c>
      <c r="FX3700" s="5" t="s">
        <v>238</v>
      </c>
      <c r="FY3700" s="5" t="s">
        <v>238</v>
      </c>
      <c r="FZ3700" s="5" t="s">
        <v>238</v>
      </c>
      <c r="GA3700" s="5" t="s">
        <v>238</v>
      </c>
      <c r="GB3700" s="5" t="s">
        <v>238</v>
      </c>
      <c r="GC3700" s="5" t="s">
        <v>238</v>
      </c>
      <c r="GD3700" s="5" t="s">
        <v>238</v>
      </c>
      <c r="GE3700" s="5" t="s">
        <v>238</v>
      </c>
      <c r="GF3700" s="5" t="s">
        <v>238</v>
      </c>
      <c r="GG3700" s="5" t="s">
        <v>238</v>
      </c>
      <c r="GH3700" s="5" t="s">
        <v>238</v>
      </c>
      <c r="GI3700" s="5" t="s">
        <v>238</v>
      </c>
      <c r="GJ3700" s="5" t="s">
        <v>238</v>
      </c>
      <c r="GK3700" s="5" t="s">
        <v>238</v>
      </c>
      <c r="GL3700" s="5" t="s">
        <v>238</v>
      </c>
      <c r="GM3700" s="5" t="s">
        <v>238</v>
      </c>
      <c r="GN3700" s="5" t="s">
        <v>238</v>
      </c>
      <c r="GO3700" s="5" t="s">
        <v>238</v>
      </c>
      <c r="GP3700" s="5" t="s">
        <v>238</v>
      </c>
      <c r="GQ3700" s="5" t="s">
        <v>238</v>
      </c>
      <c r="GR3700" s="5" t="s">
        <v>238</v>
      </c>
      <c r="GS3700" s="5" t="s">
        <v>238</v>
      </c>
      <c r="GT3700" s="5" t="s">
        <v>238</v>
      </c>
      <c r="GU3700" s="5" t="s">
        <v>238</v>
      </c>
      <c r="GV3700" s="5" t="s">
        <v>238</v>
      </c>
      <c r="GW3700" s="5" t="s">
        <v>238</v>
      </c>
      <c r="GX3700" s="5" t="s">
        <v>238</v>
      </c>
      <c r="GY3700" s="5" t="s">
        <v>238</v>
      </c>
      <c r="GZ3700" s="5" t="s">
        <v>238</v>
      </c>
      <c r="HA3700" s="5" t="s">
        <v>238</v>
      </c>
      <c r="HB3700" s="5" t="s">
        <v>238</v>
      </c>
      <c r="HC3700" s="5" t="s">
        <v>238</v>
      </c>
      <c r="HD3700" s="5" t="s">
        <v>238</v>
      </c>
      <c r="HE3700" s="5" t="s">
        <v>238</v>
      </c>
      <c r="HF3700" s="5" t="s">
        <v>238</v>
      </c>
      <c r="HG3700" s="5" t="s">
        <v>238</v>
      </c>
      <c r="HH3700" s="5" t="s">
        <v>238</v>
      </c>
      <c r="HI3700" s="5" t="s">
        <v>238</v>
      </c>
      <c r="HJ3700" s="5" t="s">
        <v>238</v>
      </c>
      <c r="HK3700" s="5" t="s">
        <v>238</v>
      </c>
      <c r="HL3700" s="5" t="s">
        <v>238</v>
      </c>
      <c r="HM3700" s="5" t="s">
        <v>264</v>
      </c>
      <c r="HN3700" s="5" t="s">
        <v>238</v>
      </c>
      <c r="HO3700" s="5" t="s">
        <v>238</v>
      </c>
      <c r="HP3700" s="5" t="s">
        <v>238</v>
      </c>
      <c r="HQ3700" s="5" t="s">
        <v>238</v>
      </c>
      <c r="HR3700" s="5" t="s">
        <v>238</v>
      </c>
      <c r="HS3700" s="5" t="s">
        <v>238</v>
      </c>
      <c r="HT3700" s="5" t="s">
        <v>238</v>
      </c>
      <c r="HU3700" s="5" t="s">
        <v>238</v>
      </c>
      <c r="HV3700" s="5" t="s">
        <v>238</v>
      </c>
      <c r="HW3700" s="5" t="s">
        <v>238</v>
      </c>
      <c r="HX3700" s="5" t="s">
        <v>238</v>
      </c>
      <c r="HY3700" s="5" t="s">
        <v>238</v>
      </c>
      <c r="HZ3700" s="5" t="s">
        <v>238</v>
      </c>
      <c r="IA3700" s="5" t="s">
        <v>238</v>
      </c>
      <c r="IB3700" s="5" t="s">
        <v>238</v>
      </c>
      <c r="IC3700" s="5" t="s">
        <v>238</v>
      </c>
      <c r="ID3700" s="5" t="s">
        <v>238</v>
      </c>
    </row>
    <row r="3701" spans="1:238" x14ac:dyDescent="0.4">
      <c r="A3701" s="5">
        <v>9419</v>
      </c>
      <c r="B3701" s="5">
        <v>1</v>
      </c>
      <c r="C3701" s="5">
        <v>1</v>
      </c>
      <c r="D3701" s="5" t="s">
        <v>484</v>
      </c>
      <c r="E3701" s="5" t="s">
        <v>485</v>
      </c>
      <c r="F3701" s="5" t="s">
        <v>248</v>
      </c>
      <c r="G3701" s="5" t="s">
        <v>6487</v>
      </c>
      <c r="H3701" s="6" t="s">
        <v>6489</v>
      </c>
      <c r="I3701" s="8">
        <f>1</f>
        <v>1</v>
      </c>
      <c r="J3701" s="5" t="s">
        <v>499</v>
      </c>
      <c r="K3701" s="8">
        <f>1</f>
        <v>1</v>
      </c>
      <c r="L3701" s="6" t="s">
        <v>242</v>
      </c>
      <c r="M3701" s="5" t="s">
        <v>267</v>
      </c>
      <c r="N3701" s="5" t="s">
        <v>482</v>
      </c>
      <c r="O3701" s="5" t="s">
        <v>238</v>
      </c>
      <c r="P3701" s="5" t="s">
        <v>238</v>
      </c>
      <c r="Q3701" s="5" t="s">
        <v>239</v>
      </c>
      <c r="R3701" s="5" t="s">
        <v>270</v>
      </c>
      <c r="S3701" s="5" t="s">
        <v>238</v>
      </c>
      <c r="T3701" s="5" t="s">
        <v>238</v>
      </c>
      <c r="U3701" s="5" t="s">
        <v>238</v>
      </c>
      <c r="V3701" s="5" t="s">
        <v>238</v>
      </c>
      <c r="W3701" s="6" t="s">
        <v>238</v>
      </c>
      <c r="X3701" s="6" t="s">
        <v>238</v>
      </c>
      <c r="Y3701" s="5" t="s">
        <v>238</v>
      </c>
      <c r="Z3701" s="6" t="s">
        <v>238</v>
      </c>
      <c r="AA3701" s="6" t="s">
        <v>243</v>
      </c>
      <c r="AB3701" s="5" t="s">
        <v>6488</v>
      </c>
      <c r="AC3701" s="5" t="s">
        <v>244</v>
      </c>
      <c r="AD3701" s="5" t="s">
        <v>245</v>
      </c>
      <c r="AE3701" s="5" t="s">
        <v>238</v>
      </c>
      <c r="AF3701" s="5" t="s">
        <v>238</v>
      </c>
      <c r="AG3701" s="5" t="s">
        <v>238</v>
      </c>
      <c r="AH3701" s="5" t="s">
        <v>238</v>
      </c>
      <c r="AI3701" s="5" t="s">
        <v>238</v>
      </c>
      <c r="AJ3701" s="5" t="s">
        <v>238</v>
      </c>
      <c r="AK3701" s="5" t="s">
        <v>238</v>
      </c>
      <c r="AL3701" s="5" t="s">
        <v>238</v>
      </c>
      <c r="AM3701" s="6" t="s">
        <v>238</v>
      </c>
      <c r="AN3701" s="6" t="s">
        <v>238</v>
      </c>
      <c r="AO3701" s="6" t="s">
        <v>238</v>
      </c>
      <c r="AP3701" s="6" t="s">
        <v>238</v>
      </c>
      <c r="AQ3701" s="5" t="s">
        <v>238</v>
      </c>
      <c r="AR3701" s="5" t="s">
        <v>488</v>
      </c>
      <c r="AS3701" s="5" t="s">
        <v>488</v>
      </c>
      <c r="AT3701" s="5" t="s">
        <v>246</v>
      </c>
      <c r="AU3701" s="5" t="s">
        <v>489</v>
      </c>
      <c r="AV3701" s="5" t="s">
        <v>247</v>
      </c>
      <c r="AW3701" s="5" t="s">
        <v>238</v>
      </c>
      <c r="AX3701" s="5" t="s">
        <v>249</v>
      </c>
      <c r="AY3701" s="5" t="s">
        <v>490</v>
      </c>
      <c r="BA3701" s="5" t="s">
        <v>238</v>
      </c>
      <c r="BC3701" s="5" t="s">
        <v>491</v>
      </c>
      <c r="BD3701" s="6" t="s">
        <v>492</v>
      </c>
      <c r="BE3701" s="5" t="s">
        <v>493</v>
      </c>
      <c r="BF3701" s="5" t="s">
        <v>493</v>
      </c>
      <c r="BG3701" s="5" t="s">
        <v>238</v>
      </c>
      <c r="BH3701" s="8">
        <f>1</f>
        <v>1</v>
      </c>
      <c r="BI3701" s="8">
        <f>1</f>
        <v>1</v>
      </c>
      <c r="BJ3701" s="5" t="s">
        <v>253</v>
      </c>
      <c r="BK3701" s="5" t="s">
        <v>254</v>
      </c>
      <c r="BL3701" s="5" t="s">
        <v>238</v>
      </c>
      <c r="BM3701" s="5" t="s">
        <v>238</v>
      </c>
      <c r="BN3701" s="5" t="s">
        <v>238</v>
      </c>
      <c r="BO3701" s="5" t="s">
        <v>238</v>
      </c>
      <c r="BP3701" s="5" t="s">
        <v>238</v>
      </c>
      <c r="BQ3701" s="5" t="s">
        <v>238</v>
      </c>
      <c r="BR3701" s="5" t="s">
        <v>238</v>
      </c>
      <c r="BS3701" s="5" t="s">
        <v>238</v>
      </c>
      <c r="BT3701" s="6" t="s">
        <v>238</v>
      </c>
      <c r="BU3701" s="5" t="s">
        <v>238</v>
      </c>
      <c r="BV3701" s="5" t="s">
        <v>238</v>
      </c>
      <c r="BW3701" s="5" t="s">
        <v>238</v>
      </c>
      <c r="BX3701" s="5" t="s">
        <v>254</v>
      </c>
      <c r="BY3701" s="5" t="s">
        <v>238</v>
      </c>
      <c r="BZ3701" s="5" t="s">
        <v>238</v>
      </c>
      <c r="CA3701" s="5" t="s">
        <v>238</v>
      </c>
      <c r="CB3701" s="5" t="s">
        <v>238</v>
      </c>
      <c r="CC3701" s="5" t="s">
        <v>238</v>
      </c>
      <c r="CD3701" s="5" t="s">
        <v>273</v>
      </c>
      <c r="CE3701" s="5" t="s">
        <v>256</v>
      </c>
      <c r="CF3701" s="5" t="s">
        <v>238</v>
      </c>
      <c r="CH3701" s="5" t="s">
        <v>494</v>
      </c>
      <c r="CI3701" s="6" t="s">
        <v>257</v>
      </c>
      <c r="CJ3701" s="5" t="s">
        <v>495</v>
      </c>
      <c r="CK3701" s="5" t="s">
        <v>258</v>
      </c>
      <c r="CL3701" s="5" t="s">
        <v>496</v>
      </c>
      <c r="CM3701" s="5" t="s">
        <v>238</v>
      </c>
      <c r="CN3701" s="5">
        <v>0</v>
      </c>
      <c r="CO3701" s="5" t="s">
        <v>497</v>
      </c>
      <c r="CP3701" s="5" t="s">
        <v>260</v>
      </c>
      <c r="CQ3701" s="5" t="s">
        <v>260</v>
      </c>
      <c r="CR3701" s="5" t="s">
        <v>261</v>
      </c>
      <c r="CS3701" s="5" t="s">
        <v>498</v>
      </c>
      <c r="CT3701" s="7">
        <f>1</f>
        <v>1</v>
      </c>
      <c r="CU3701" s="8">
        <f>1</f>
        <v>1</v>
      </c>
      <c r="CV3701" s="8">
        <f>0</f>
        <v>0</v>
      </c>
      <c r="CX3701" s="8">
        <f>1</f>
        <v>1</v>
      </c>
      <c r="CY3701" s="8">
        <f>1</f>
        <v>1</v>
      </c>
      <c r="CZ3701" s="8" t="s">
        <v>238</v>
      </c>
      <c r="DA3701" s="5" t="s">
        <v>238</v>
      </c>
      <c r="DB3701" s="5" t="s">
        <v>238</v>
      </c>
      <c r="DC3701" s="5" t="s">
        <v>238</v>
      </c>
      <c r="DD3701" s="5" t="s">
        <v>238</v>
      </c>
      <c r="DE3701" s="8">
        <f>0</f>
        <v>0</v>
      </c>
      <c r="DG3701" s="5" t="s">
        <v>238</v>
      </c>
      <c r="DH3701" s="5" t="s">
        <v>238</v>
      </c>
      <c r="DI3701" s="5" t="s">
        <v>238</v>
      </c>
      <c r="DJ3701" s="5" t="s">
        <v>238</v>
      </c>
      <c r="DK3701" s="5" t="s">
        <v>238</v>
      </c>
      <c r="DL3701" s="5" t="s">
        <v>238</v>
      </c>
      <c r="DM3701" s="8" t="s">
        <v>238</v>
      </c>
      <c r="DN3701" s="5" t="s">
        <v>238</v>
      </c>
      <c r="DO3701" s="5" t="s">
        <v>238</v>
      </c>
      <c r="DP3701" s="5" t="s">
        <v>490</v>
      </c>
      <c r="DQ3701" s="5" t="s">
        <v>490</v>
      </c>
      <c r="DR3701" s="5" t="s">
        <v>238</v>
      </c>
      <c r="DS3701" s="5" t="s">
        <v>238</v>
      </c>
      <c r="DT3701" s="5" t="s">
        <v>500</v>
      </c>
      <c r="DU3701" s="5" t="s">
        <v>3343</v>
      </c>
      <c r="DV3701" s="5" t="s">
        <v>238</v>
      </c>
      <c r="DW3701" s="5" t="s">
        <v>238</v>
      </c>
      <c r="DX3701" s="5" t="s">
        <v>238</v>
      </c>
      <c r="DY3701" s="5" t="s">
        <v>238</v>
      </c>
      <c r="DZ3701" s="5" t="s">
        <v>238</v>
      </c>
      <c r="EA3701" s="5" t="s">
        <v>238</v>
      </c>
      <c r="EB3701" s="5" t="s">
        <v>238</v>
      </c>
      <c r="EC3701" s="5" t="s">
        <v>238</v>
      </c>
      <c r="ED3701" s="5" t="s">
        <v>238</v>
      </c>
      <c r="EE3701" s="5" t="s">
        <v>238</v>
      </c>
      <c r="EF3701" s="5" t="s">
        <v>238</v>
      </c>
      <c r="EG3701" s="5" t="s">
        <v>238</v>
      </c>
      <c r="EH3701" s="5" t="s">
        <v>238</v>
      </c>
      <c r="EI3701" s="5" t="s">
        <v>238</v>
      </c>
      <c r="EJ3701" s="5" t="s">
        <v>238</v>
      </c>
      <c r="EK3701" s="5" t="s">
        <v>238</v>
      </c>
      <c r="EL3701" s="5" t="s">
        <v>238</v>
      </c>
      <c r="EM3701" s="5" t="s">
        <v>238</v>
      </c>
      <c r="EN3701" s="5" t="s">
        <v>238</v>
      </c>
      <c r="EO3701" s="5" t="s">
        <v>238</v>
      </c>
      <c r="EP3701" s="5" t="s">
        <v>238</v>
      </c>
      <c r="EQ3701" s="5" t="s">
        <v>238</v>
      </c>
      <c r="ER3701" s="5" t="s">
        <v>238</v>
      </c>
      <c r="ES3701" s="5" t="s">
        <v>238</v>
      </c>
      <c r="ET3701" s="5" t="s">
        <v>238</v>
      </c>
      <c r="EU3701" s="5" t="s">
        <v>238</v>
      </c>
      <c r="EV3701" s="5" t="s">
        <v>238</v>
      </c>
      <c r="EW3701" s="5" t="s">
        <v>238</v>
      </c>
      <c r="EX3701" s="5" t="s">
        <v>238</v>
      </c>
      <c r="EY3701" s="5" t="s">
        <v>238</v>
      </c>
      <c r="EZ3701" s="5" t="s">
        <v>238</v>
      </c>
      <c r="FA3701" s="5" t="s">
        <v>238</v>
      </c>
      <c r="FB3701" s="5" t="s">
        <v>238</v>
      </c>
      <c r="FC3701" s="5" t="s">
        <v>238</v>
      </c>
      <c r="FD3701" s="5" t="s">
        <v>238</v>
      </c>
      <c r="FE3701" s="5" t="s">
        <v>238</v>
      </c>
      <c r="FF3701" s="5" t="s">
        <v>238</v>
      </c>
      <c r="FG3701" s="5" t="s">
        <v>238</v>
      </c>
      <c r="FH3701" s="5" t="s">
        <v>238</v>
      </c>
      <c r="FI3701" s="5" t="s">
        <v>238</v>
      </c>
      <c r="FJ3701" s="5" t="s">
        <v>238</v>
      </c>
      <c r="FK3701" s="5" t="s">
        <v>238</v>
      </c>
      <c r="FL3701" s="5" t="s">
        <v>238</v>
      </c>
      <c r="FM3701" s="5" t="s">
        <v>238</v>
      </c>
      <c r="FN3701" s="5" t="s">
        <v>238</v>
      </c>
      <c r="FO3701" s="5" t="s">
        <v>238</v>
      </c>
      <c r="FP3701" s="5" t="s">
        <v>238</v>
      </c>
      <c r="FQ3701" s="5" t="s">
        <v>238</v>
      </c>
      <c r="FR3701" s="5" t="s">
        <v>238</v>
      </c>
      <c r="FS3701" s="5" t="s">
        <v>238</v>
      </c>
      <c r="FT3701" s="5" t="s">
        <v>238</v>
      </c>
      <c r="FU3701" s="5" t="s">
        <v>238</v>
      </c>
      <c r="FV3701" s="5" t="s">
        <v>238</v>
      </c>
      <c r="FW3701" s="5" t="s">
        <v>238</v>
      </c>
      <c r="FX3701" s="5" t="s">
        <v>238</v>
      </c>
      <c r="FY3701" s="5" t="s">
        <v>238</v>
      </c>
      <c r="FZ3701" s="5" t="s">
        <v>238</v>
      </c>
      <c r="GA3701" s="5" t="s">
        <v>238</v>
      </c>
      <c r="GB3701" s="5" t="s">
        <v>238</v>
      </c>
      <c r="GC3701" s="5" t="s">
        <v>238</v>
      </c>
      <c r="GD3701" s="5" t="s">
        <v>238</v>
      </c>
      <c r="GE3701" s="5" t="s">
        <v>238</v>
      </c>
      <c r="GF3701" s="5" t="s">
        <v>238</v>
      </c>
      <c r="GG3701" s="5" t="s">
        <v>238</v>
      </c>
      <c r="GH3701" s="5" t="s">
        <v>238</v>
      </c>
      <c r="GI3701" s="5" t="s">
        <v>238</v>
      </c>
      <c r="GJ3701" s="5" t="s">
        <v>238</v>
      </c>
      <c r="GK3701" s="5" t="s">
        <v>238</v>
      </c>
      <c r="GL3701" s="5" t="s">
        <v>238</v>
      </c>
      <c r="GM3701" s="5" t="s">
        <v>238</v>
      </c>
      <c r="GN3701" s="5" t="s">
        <v>238</v>
      </c>
      <c r="GO3701" s="5" t="s">
        <v>238</v>
      </c>
      <c r="GP3701" s="5" t="s">
        <v>238</v>
      </c>
      <c r="GQ3701" s="5" t="s">
        <v>238</v>
      </c>
      <c r="GR3701" s="5" t="s">
        <v>238</v>
      </c>
      <c r="GS3701" s="5" t="s">
        <v>238</v>
      </c>
      <c r="GT3701" s="5" t="s">
        <v>238</v>
      </c>
      <c r="GU3701" s="5" t="s">
        <v>238</v>
      </c>
      <c r="GV3701" s="5" t="s">
        <v>238</v>
      </c>
      <c r="GW3701" s="5" t="s">
        <v>238</v>
      </c>
      <c r="GX3701" s="5" t="s">
        <v>238</v>
      </c>
      <c r="GY3701" s="5" t="s">
        <v>238</v>
      </c>
      <c r="GZ3701" s="5" t="s">
        <v>238</v>
      </c>
      <c r="HA3701" s="5" t="s">
        <v>238</v>
      </c>
      <c r="HB3701" s="5" t="s">
        <v>238</v>
      </c>
      <c r="HC3701" s="5" t="s">
        <v>238</v>
      </c>
      <c r="HD3701" s="5" t="s">
        <v>238</v>
      </c>
      <c r="HE3701" s="5" t="s">
        <v>238</v>
      </c>
      <c r="HF3701" s="5" t="s">
        <v>238</v>
      </c>
      <c r="HG3701" s="5" t="s">
        <v>238</v>
      </c>
      <c r="HH3701" s="5" t="s">
        <v>238</v>
      </c>
      <c r="HI3701" s="5" t="s">
        <v>238</v>
      </c>
      <c r="HJ3701" s="5" t="s">
        <v>238</v>
      </c>
      <c r="HK3701" s="5" t="s">
        <v>238</v>
      </c>
      <c r="HL3701" s="5" t="s">
        <v>238</v>
      </c>
      <c r="HM3701" s="5" t="s">
        <v>264</v>
      </c>
      <c r="HN3701" s="5" t="s">
        <v>238</v>
      </c>
      <c r="HO3701" s="5" t="s">
        <v>238</v>
      </c>
      <c r="HP3701" s="5" t="s">
        <v>238</v>
      </c>
      <c r="HQ3701" s="5" t="s">
        <v>238</v>
      </c>
      <c r="HR3701" s="5" t="s">
        <v>238</v>
      </c>
      <c r="HS3701" s="5" t="s">
        <v>238</v>
      </c>
      <c r="HT3701" s="5" t="s">
        <v>238</v>
      </c>
      <c r="HU3701" s="5" t="s">
        <v>238</v>
      </c>
      <c r="HV3701" s="5" t="s">
        <v>238</v>
      </c>
      <c r="HW3701" s="5" t="s">
        <v>238</v>
      </c>
      <c r="HX3701" s="5" t="s">
        <v>238</v>
      </c>
      <c r="HY3701" s="5" t="s">
        <v>238</v>
      </c>
      <c r="HZ3701" s="5" t="s">
        <v>238</v>
      </c>
      <c r="IA3701" s="5" t="s">
        <v>238</v>
      </c>
      <c r="IB3701" s="5" t="s">
        <v>238</v>
      </c>
      <c r="IC3701" s="5" t="s">
        <v>238</v>
      </c>
      <c r="ID3701" s="5" t="s">
        <v>238</v>
      </c>
    </row>
    <row r="3702" spans="1:238" x14ac:dyDescent="0.4">
      <c r="A3702" s="5">
        <v>9420</v>
      </c>
      <c r="B3702" s="5">
        <v>1</v>
      </c>
      <c r="C3702" s="5">
        <v>1</v>
      </c>
      <c r="D3702" s="5" t="s">
        <v>484</v>
      </c>
      <c r="E3702" s="5" t="s">
        <v>485</v>
      </c>
      <c r="F3702" s="5" t="s">
        <v>248</v>
      </c>
      <c r="G3702" s="5" t="s">
        <v>5187</v>
      </c>
      <c r="H3702" s="6" t="s">
        <v>5188</v>
      </c>
      <c r="I3702" s="8">
        <f>1</f>
        <v>1</v>
      </c>
      <c r="J3702" s="5" t="s">
        <v>499</v>
      </c>
      <c r="K3702" s="8">
        <f>1</f>
        <v>1</v>
      </c>
      <c r="L3702" s="6" t="s">
        <v>242</v>
      </c>
      <c r="M3702" s="5" t="s">
        <v>267</v>
      </c>
      <c r="N3702" s="5" t="s">
        <v>482</v>
      </c>
      <c r="O3702" s="5" t="s">
        <v>238</v>
      </c>
      <c r="P3702" s="5" t="s">
        <v>238</v>
      </c>
      <c r="Q3702" s="5" t="s">
        <v>239</v>
      </c>
      <c r="R3702" s="5" t="s">
        <v>270</v>
      </c>
      <c r="S3702" s="5" t="s">
        <v>238</v>
      </c>
      <c r="T3702" s="5" t="s">
        <v>238</v>
      </c>
      <c r="U3702" s="5" t="s">
        <v>238</v>
      </c>
      <c r="V3702" s="5" t="s">
        <v>238</v>
      </c>
      <c r="W3702" s="6" t="s">
        <v>238</v>
      </c>
      <c r="X3702" s="6" t="s">
        <v>238</v>
      </c>
      <c r="Y3702" s="5" t="s">
        <v>238</v>
      </c>
      <c r="Z3702" s="6" t="s">
        <v>238</v>
      </c>
      <c r="AA3702" s="6" t="s">
        <v>243</v>
      </c>
      <c r="AB3702" s="5" t="s">
        <v>486</v>
      </c>
      <c r="AC3702" s="5" t="s">
        <v>244</v>
      </c>
      <c r="AD3702" s="5" t="s">
        <v>245</v>
      </c>
      <c r="AE3702" s="5" t="s">
        <v>238</v>
      </c>
      <c r="AF3702" s="5" t="s">
        <v>238</v>
      </c>
      <c r="AG3702" s="5" t="s">
        <v>238</v>
      </c>
      <c r="AH3702" s="5" t="s">
        <v>238</v>
      </c>
      <c r="AI3702" s="5" t="s">
        <v>238</v>
      </c>
      <c r="AJ3702" s="5" t="s">
        <v>238</v>
      </c>
      <c r="AK3702" s="5" t="s">
        <v>238</v>
      </c>
      <c r="AL3702" s="5" t="s">
        <v>238</v>
      </c>
      <c r="AM3702" s="6" t="s">
        <v>238</v>
      </c>
      <c r="AN3702" s="6" t="s">
        <v>238</v>
      </c>
      <c r="AO3702" s="6" t="s">
        <v>238</v>
      </c>
      <c r="AP3702" s="6" t="s">
        <v>238</v>
      </c>
      <c r="AQ3702" s="5" t="s">
        <v>238</v>
      </c>
      <c r="AR3702" s="5" t="s">
        <v>488</v>
      </c>
      <c r="AS3702" s="5" t="s">
        <v>488</v>
      </c>
      <c r="AT3702" s="5" t="s">
        <v>246</v>
      </c>
      <c r="AU3702" s="5" t="s">
        <v>489</v>
      </c>
      <c r="AV3702" s="5" t="s">
        <v>247</v>
      </c>
      <c r="AW3702" s="5" t="s">
        <v>238</v>
      </c>
      <c r="AX3702" s="5" t="s">
        <v>249</v>
      </c>
      <c r="AY3702" s="5" t="s">
        <v>490</v>
      </c>
      <c r="BA3702" s="5" t="s">
        <v>238</v>
      </c>
      <c r="BC3702" s="5" t="s">
        <v>491</v>
      </c>
      <c r="BD3702" s="6" t="s">
        <v>492</v>
      </c>
      <c r="BE3702" s="5" t="s">
        <v>493</v>
      </c>
      <c r="BF3702" s="5" t="s">
        <v>493</v>
      </c>
      <c r="BG3702" s="5" t="s">
        <v>238</v>
      </c>
      <c r="BH3702" s="8">
        <f>1</f>
        <v>1</v>
      </c>
      <c r="BI3702" s="8">
        <f>1</f>
        <v>1</v>
      </c>
      <c r="BJ3702" s="5" t="s">
        <v>253</v>
      </c>
      <c r="BK3702" s="5" t="s">
        <v>254</v>
      </c>
      <c r="BL3702" s="5" t="s">
        <v>238</v>
      </c>
      <c r="BM3702" s="5" t="s">
        <v>238</v>
      </c>
      <c r="BN3702" s="5" t="s">
        <v>238</v>
      </c>
      <c r="BO3702" s="5" t="s">
        <v>238</v>
      </c>
      <c r="BP3702" s="5" t="s">
        <v>238</v>
      </c>
      <c r="BQ3702" s="5" t="s">
        <v>238</v>
      </c>
      <c r="BR3702" s="5" t="s">
        <v>238</v>
      </c>
      <c r="BS3702" s="5" t="s">
        <v>238</v>
      </c>
      <c r="BT3702" s="6" t="s">
        <v>238</v>
      </c>
      <c r="BU3702" s="5" t="s">
        <v>238</v>
      </c>
      <c r="BV3702" s="5" t="s">
        <v>238</v>
      </c>
      <c r="BW3702" s="5" t="s">
        <v>238</v>
      </c>
      <c r="BX3702" s="5" t="s">
        <v>254</v>
      </c>
      <c r="BY3702" s="5" t="s">
        <v>238</v>
      </c>
      <c r="BZ3702" s="5" t="s">
        <v>238</v>
      </c>
      <c r="CA3702" s="5" t="s">
        <v>238</v>
      </c>
      <c r="CB3702" s="5" t="s">
        <v>238</v>
      </c>
      <c r="CC3702" s="5" t="s">
        <v>238</v>
      </c>
      <c r="CD3702" s="5" t="s">
        <v>273</v>
      </c>
      <c r="CE3702" s="5" t="s">
        <v>256</v>
      </c>
      <c r="CF3702" s="5" t="s">
        <v>238</v>
      </c>
      <c r="CH3702" s="5" t="s">
        <v>494</v>
      </c>
      <c r="CI3702" s="6" t="s">
        <v>257</v>
      </c>
      <c r="CJ3702" s="5" t="s">
        <v>495</v>
      </c>
      <c r="CK3702" s="5" t="s">
        <v>258</v>
      </c>
      <c r="CL3702" s="5" t="s">
        <v>496</v>
      </c>
      <c r="CM3702" s="5" t="s">
        <v>238</v>
      </c>
      <c r="CN3702" s="5">
        <v>0</v>
      </c>
      <c r="CO3702" s="5" t="s">
        <v>497</v>
      </c>
      <c r="CP3702" s="5" t="s">
        <v>260</v>
      </c>
      <c r="CQ3702" s="5" t="s">
        <v>260</v>
      </c>
      <c r="CR3702" s="5" t="s">
        <v>261</v>
      </c>
      <c r="CS3702" s="5" t="s">
        <v>498</v>
      </c>
      <c r="CT3702" s="7">
        <f>1</f>
        <v>1</v>
      </c>
      <c r="CU3702" s="8">
        <f>1</f>
        <v>1</v>
      </c>
      <c r="CV3702" s="8">
        <f>0</f>
        <v>0</v>
      </c>
      <c r="CX3702" s="8">
        <f>1</f>
        <v>1</v>
      </c>
      <c r="CY3702" s="8">
        <f>1</f>
        <v>1</v>
      </c>
      <c r="CZ3702" s="8" t="s">
        <v>238</v>
      </c>
      <c r="DA3702" s="5" t="s">
        <v>238</v>
      </c>
      <c r="DB3702" s="5" t="s">
        <v>238</v>
      </c>
      <c r="DC3702" s="5" t="s">
        <v>238</v>
      </c>
      <c r="DD3702" s="5" t="s">
        <v>238</v>
      </c>
      <c r="DE3702" s="8">
        <f>0</f>
        <v>0</v>
      </c>
      <c r="DG3702" s="5" t="s">
        <v>238</v>
      </c>
      <c r="DH3702" s="5" t="s">
        <v>238</v>
      </c>
      <c r="DI3702" s="5" t="s">
        <v>238</v>
      </c>
      <c r="DJ3702" s="5" t="s">
        <v>238</v>
      </c>
      <c r="DK3702" s="5" t="s">
        <v>238</v>
      </c>
      <c r="DL3702" s="5" t="s">
        <v>238</v>
      </c>
      <c r="DM3702" s="8" t="s">
        <v>238</v>
      </c>
      <c r="DN3702" s="5" t="s">
        <v>238</v>
      </c>
      <c r="DO3702" s="5" t="s">
        <v>238</v>
      </c>
      <c r="DP3702" s="5" t="s">
        <v>490</v>
      </c>
      <c r="DQ3702" s="5" t="s">
        <v>490</v>
      </c>
      <c r="DR3702" s="5" t="s">
        <v>238</v>
      </c>
      <c r="DS3702" s="5" t="s">
        <v>238</v>
      </c>
      <c r="DT3702" s="5" t="s">
        <v>500</v>
      </c>
      <c r="DU3702" s="5" t="s">
        <v>340</v>
      </c>
      <c r="DV3702" s="5" t="s">
        <v>238</v>
      </c>
      <c r="DW3702" s="5" t="s">
        <v>238</v>
      </c>
      <c r="DX3702" s="5" t="s">
        <v>238</v>
      </c>
      <c r="DY3702" s="5" t="s">
        <v>238</v>
      </c>
      <c r="DZ3702" s="5" t="s">
        <v>238</v>
      </c>
      <c r="EA3702" s="5" t="s">
        <v>238</v>
      </c>
      <c r="EB3702" s="5" t="s">
        <v>238</v>
      </c>
      <c r="EC3702" s="5" t="s">
        <v>238</v>
      </c>
      <c r="ED3702" s="5" t="s">
        <v>238</v>
      </c>
      <c r="EE3702" s="5" t="s">
        <v>238</v>
      </c>
      <c r="EF3702" s="5" t="s">
        <v>238</v>
      </c>
      <c r="EG3702" s="5" t="s">
        <v>238</v>
      </c>
      <c r="EH3702" s="5" t="s">
        <v>238</v>
      </c>
      <c r="EI3702" s="5" t="s">
        <v>238</v>
      </c>
      <c r="EJ3702" s="5" t="s">
        <v>238</v>
      </c>
      <c r="EK3702" s="5" t="s">
        <v>238</v>
      </c>
      <c r="EL3702" s="5" t="s">
        <v>238</v>
      </c>
      <c r="EM3702" s="5" t="s">
        <v>238</v>
      </c>
      <c r="EN3702" s="5" t="s">
        <v>238</v>
      </c>
      <c r="EO3702" s="5" t="s">
        <v>238</v>
      </c>
      <c r="EP3702" s="5" t="s">
        <v>238</v>
      </c>
      <c r="EQ3702" s="5" t="s">
        <v>238</v>
      </c>
      <c r="ER3702" s="5" t="s">
        <v>238</v>
      </c>
      <c r="ES3702" s="5" t="s">
        <v>238</v>
      </c>
      <c r="ET3702" s="5" t="s">
        <v>238</v>
      </c>
      <c r="EU3702" s="5" t="s">
        <v>238</v>
      </c>
      <c r="EV3702" s="5" t="s">
        <v>238</v>
      </c>
      <c r="EW3702" s="5" t="s">
        <v>238</v>
      </c>
      <c r="EX3702" s="5" t="s">
        <v>238</v>
      </c>
      <c r="EY3702" s="5" t="s">
        <v>238</v>
      </c>
      <c r="EZ3702" s="5" t="s">
        <v>238</v>
      </c>
      <c r="FA3702" s="5" t="s">
        <v>238</v>
      </c>
      <c r="FB3702" s="5" t="s">
        <v>238</v>
      </c>
      <c r="FC3702" s="5" t="s">
        <v>238</v>
      </c>
      <c r="FD3702" s="5" t="s">
        <v>238</v>
      </c>
      <c r="FE3702" s="5" t="s">
        <v>238</v>
      </c>
      <c r="FF3702" s="5" t="s">
        <v>238</v>
      </c>
      <c r="FG3702" s="5" t="s">
        <v>238</v>
      </c>
      <c r="FH3702" s="5" t="s">
        <v>238</v>
      </c>
      <c r="FI3702" s="5" t="s">
        <v>238</v>
      </c>
      <c r="FJ3702" s="5" t="s">
        <v>238</v>
      </c>
      <c r="FK3702" s="5" t="s">
        <v>238</v>
      </c>
      <c r="FL3702" s="5" t="s">
        <v>238</v>
      </c>
      <c r="FM3702" s="5" t="s">
        <v>238</v>
      </c>
      <c r="FN3702" s="5" t="s">
        <v>238</v>
      </c>
      <c r="FO3702" s="5" t="s">
        <v>238</v>
      </c>
      <c r="FP3702" s="5" t="s">
        <v>238</v>
      </c>
      <c r="FQ3702" s="5" t="s">
        <v>238</v>
      </c>
      <c r="FR3702" s="5" t="s">
        <v>238</v>
      </c>
      <c r="FS3702" s="5" t="s">
        <v>238</v>
      </c>
      <c r="FT3702" s="5" t="s">
        <v>238</v>
      </c>
      <c r="FU3702" s="5" t="s">
        <v>238</v>
      </c>
      <c r="FV3702" s="5" t="s">
        <v>238</v>
      </c>
      <c r="FW3702" s="5" t="s">
        <v>238</v>
      </c>
      <c r="FX3702" s="5" t="s">
        <v>238</v>
      </c>
      <c r="FY3702" s="5" t="s">
        <v>238</v>
      </c>
      <c r="FZ3702" s="5" t="s">
        <v>238</v>
      </c>
      <c r="GA3702" s="5" t="s">
        <v>238</v>
      </c>
      <c r="GB3702" s="5" t="s">
        <v>238</v>
      </c>
      <c r="GC3702" s="5" t="s">
        <v>238</v>
      </c>
      <c r="GD3702" s="5" t="s">
        <v>238</v>
      </c>
      <c r="GE3702" s="5" t="s">
        <v>238</v>
      </c>
      <c r="GF3702" s="5" t="s">
        <v>238</v>
      </c>
      <c r="GG3702" s="5" t="s">
        <v>238</v>
      </c>
      <c r="GH3702" s="5" t="s">
        <v>238</v>
      </c>
      <c r="GI3702" s="5" t="s">
        <v>238</v>
      </c>
      <c r="GJ3702" s="5" t="s">
        <v>238</v>
      </c>
      <c r="GK3702" s="5" t="s">
        <v>238</v>
      </c>
      <c r="GL3702" s="5" t="s">
        <v>238</v>
      </c>
      <c r="GM3702" s="5" t="s">
        <v>238</v>
      </c>
      <c r="GN3702" s="5" t="s">
        <v>238</v>
      </c>
      <c r="GO3702" s="5" t="s">
        <v>238</v>
      </c>
      <c r="GP3702" s="5" t="s">
        <v>238</v>
      </c>
      <c r="GQ3702" s="5" t="s">
        <v>238</v>
      </c>
      <c r="GR3702" s="5" t="s">
        <v>238</v>
      </c>
      <c r="GS3702" s="5" t="s">
        <v>238</v>
      </c>
      <c r="GT3702" s="5" t="s">
        <v>238</v>
      </c>
      <c r="GU3702" s="5" t="s">
        <v>238</v>
      </c>
      <c r="GV3702" s="5" t="s">
        <v>238</v>
      </c>
      <c r="GW3702" s="5" t="s">
        <v>238</v>
      </c>
      <c r="GX3702" s="5" t="s">
        <v>238</v>
      </c>
      <c r="GY3702" s="5" t="s">
        <v>238</v>
      </c>
      <c r="GZ3702" s="5" t="s">
        <v>238</v>
      </c>
      <c r="HA3702" s="5" t="s">
        <v>238</v>
      </c>
      <c r="HB3702" s="5" t="s">
        <v>238</v>
      </c>
      <c r="HC3702" s="5" t="s">
        <v>238</v>
      </c>
      <c r="HD3702" s="5" t="s">
        <v>238</v>
      </c>
      <c r="HE3702" s="5" t="s">
        <v>238</v>
      </c>
      <c r="HF3702" s="5" t="s">
        <v>238</v>
      </c>
      <c r="HG3702" s="5" t="s">
        <v>238</v>
      </c>
      <c r="HH3702" s="5" t="s">
        <v>238</v>
      </c>
      <c r="HI3702" s="5" t="s">
        <v>238</v>
      </c>
      <c r="HJ3702" s="5" t="s">
        <v>238</v>
      </c>
      <c r="HK3702" s="5" t="s">
        <v>238</v>
      </c>
      <c r="HL3702" s="5" t="s">
        <v>238</v>
      </c>
      <c r="HM3702" s="5" t="s">
        <v>264</v>
      </c>
      <c r="HN3702" s="5" t="s">
        <v>238</v>
      </c>
      <c r="HO3702" s="5" t="s">
        <v>238</v>
      </c>
      <c r="HP3702" s="5" t="s">
        <v>238</v>
      </c>
      <c r="HQ3702" s="5" t="s">
        <v>238</v>
      </c>
      <c r="HR3702" s="5" t="s">
        <v>238</v>
      </c>
      <c r="HS3702" s="5" t="s">
        <v>238</v>
      </c>
      <c r="HT3702" s="5" t="s">
        <v>238</v>
      </c>
      <c r="HU3702" s="5" t="s">
        <v>238</v>
      </c>
      <c r="HV3702" s="5" t="s">
        <v>238</v>
      </c>
      <c r="HW3702" s="5" t="s">
        <v>238</v>
      </c>
      <c r="HX3702" s="5" t="s">
        <v>238</v>
      </c>
      <c r="HY3702" s="5" t="s">
        <v>238</v>
      </c>
      <c r="HZ3702" s="5" t="s">
        <v>238</v>
      </c>
      <c r="IA3702" s="5" t="s">
        <v>238</v>
      </c>
      <c r="IB3702" s="5" t="s">
        <v>238</v>
      </c>
      <c r="IC3702" s="5" t="s">
        <v>238</v>
      </c>
      <c r="ID3702" s="5" t="s">
        <v>238</v>
      </c>
    </row>
    <row r="3703" spans="1:238" x14ac:dyDescent="0.4">
      <c r="A3703" s="5">
        <v>9421</v>
      </c>
      <c r="B3703" s="5">
        <v>1</v>
      </c>
      <c r="C3703" s="5">
        <v>1</v>
      </c>
      <c r="D3703" s="5" t="s">
        <v>484</v>
      </c>
      <c r="E3703" s="5" t="s">
        <v>485</v>
      </c>
      <c r="F3703" s="5" t="s">
        <v>248</v>
      </c>
      <c r="G3703" s="5" t="s">
        <v>4492</v>
      </c>
      <c r="H3703" s="6" t="s">
        <v>4494</v>
      </c>
      <c r="I3703" s="8">
        <f>1</f>
        <v>1</v>
      </c>
      <c r="J3703" s="5" t="s">
        <v>499</v>
      </c>
      <c r="K3703" s="8">
        <f>1</f>
        <v>1</v>
      </c>
      <c r="L3703" s="6" t="s">
        <v>242</v>
      </c>
      <c r="M3703" s="5" t="s">
        <v>267</v>
      </c>
      <c r="N3703" s="5" t="s">
        <v>482</v>
      </c>
      <c r="O3703" s="5" t="s">
        <v>238</v>
      </c>
      <c r="P3703" s="5" t="s">
        <v>238</v>
      </c>
      <c r="Q3703" s="5" t="s">
        <v>239</v>
      </c>
      <c r="R3703" s="5" t="s">
        <v>270</v>
      </c>
      <c r="S3703" s="5" t="s">
        <v>238</v>
      </c>
      <c r="T3703" s="5" t="s">
        <v>238</v>
      </c>
      <c r="U3703" s="5" t="s">
        <v>238</v>
      </c>
      <c r="V3703" s="5" t="s">
        <v>238</v>
      </c>
      <c r="W3703" s="6" t="s">
        <v>238</v>
      </c>
      <c r="X3703" s="6" t="s">
        <v>238</v>
      </c>
      <c r="Y3703" s="5" t="s">
        <v>238</v>
      </c>
      <c r="Z3703" s="6" t="s">
        <v>238</v>
      </c>
      <c r="AA3703" s="6" t="s">
        <v>243</v>
      </c>
      <c r="AB3703" s="5" t="s">
        <v>4493</v>
      </c>
      <c r="AC3703" s="5" t="s">
        <v>244</v>
      </c>
      <c r="AD3703" s="5" t="s">
        <v>245</v>
      </c>
      <c r="AE3703" s="5" t="s">
        <v>238</v>
      </c>
      <c r="AF3703" s="5" t="s">
        <v>238</v>
      </c>
      <c r="AG3703" s="5" t="s">
        <v>238</v>
      </c>
      <c r="AH3703" s="5" t="s">
        <v>238</v>
      </c>
      <c r="AI3703" s="5" t="s">
        <v>238</v>
      </c>
      <c r="AJ3703" s="5" t="s">
        <v>238</v>
      </c>
      <c r="AK3703" s="5" t="s">
        <v>238</v>
      </c>
      <c r="AL3703" s="5" t="s">
        <v>238</v>
      </c>
      <c r="AM3703" s="6" t="s">
        <v>238</v>
      </c>
      <c r="AN3703" s="6" t="s">
        <v>238</v>
      </c>
      <c r="AO3703" s="6" t="s">
        <v>238</v>
      </c>
      <c r="AP3703" s="6" t="s">
        <v>238</v>
      </c>
      <c r="AQ3703" s="5" t="s">
        <v>238</v>
      </c>
      <c r="AR3703" s="5" t="s">
        <v>488</v>
      </c>
      <c r="AS3703" s="5" t="s">
        <v>488</v>
      </c>
      <c r="AT3703" s="5" t="s">
        <v>246</v>
      </c>
      <c r="AU3703" s="5" t="s">
        <v>489</v>
      </c>
      <c r="AV3703" s="5" t="s">
        <v>247</v>
      </c>
      <c r="AW3703" s="5" t="s">
        <v>238</v>
      </c>
      <c r="AX3703" s="5" t="s">
        <v>249</v>
      </c>
      <c r="AY3703" s="5" t="s">
        <v>490</v>
      </c>
      <c r="BA3703" s="5" t="s">
        <v>238</v>
      </c>
      <c r="BC3703" s="5" t="s">
        <v>491</v>
      </c>
      <c r="BD3703" s="6" t="s">
        <v>492</v>
      </c>
      <c r="BE3703" s="5" t="s">
        <v>493</v>
      </c>
      <c r="BF3703" s="5" t="s">
        <v>493</v>
      </c>
      <c r="BG3703" s="5" t="s">
        <v>238</v>
      </c>
      <c r="BH3703" s="8">
        <f>1</f>
        <v>1</v>
      </c>
      <c r="BI3703" s="8">
        <f>1</f>
        <v>1</v>
      </c>
      <c r="BJ3703" s="5" t="s">
        <v>253</v>
      </c>
      <c r="BK3703" s="5" t="s">
        <v>254</v>
      </c>
      <c r="BL3703" s="5" t="s">
        <v>238</v>
      </c>
      <c r="BM3703" s="5" t="s">
        <v>238</v>
      </c>
      <c r="BN3703" s="5" t="s">
        <v>238</v>
      </c>
      <c r="BO3703" s="5" t="s">
        <v>238</v>
      </c>
      <c r="BP3703" s="5" t="s">
        <v>238</v>
      </c>
      <c r="BQ3703" s="5" t="s">
        <v>238</v>
      </c>
      <c r="BR3703" s="5" t="s">
        <v>238</v>
      </c>
      <c r="BS3703" s="5" t="s">
        <v>238</v>
      </c>
      <c r="BT3703" s="6" t="s">
        <v>238</v>
      </c>
      <c r="BU3703" s="5" t="s">
        <v>238</v>
      </c>
      <c r="BV3703" s="5" t="s">
        <v>238</v>
      </c>
      <c r="BW3703" s="5" t="s">
        <v>238</v>
      </c>
      <c r="BX3703" s="5" t="s">
        <v>254</v>
      </c>
      <c r="BY3703" s="5" t="s">
        <v>238</v>
      </c>
      <c r="BZ3703" s="5" t="s">
        <v>238</v>
      </c>
      <c r="CA3703" s="5" t="s">
        <v>238</v>
      </c>
      <c r="CB3703" s="5" t="s">
        <v>238</v>
      </c>
      <c r="CC3703" s="5" t="s">
        <v>238</v>
      </c>
      <c r="CD3703" s="5" t="s">
        <v>273</v>
      </c>
      <c r="CE3703" s="5" t="s">
        <v>256</v>
      </c>
      <c r="CF3703" s="5" t="s">
        <v>238</v>
      </c>
      <c r="CH3703" s="5" t="s">
        <v>494</v>
      </c>
      <c r="CI3703" s="6" t="s">
        <v>257</v>
      </c>
      <c r="CJ3703" s="5" t="s">
        <v>495</v>
      </c>
      <c r="CK3703" s="5" t="s">
        <v>258</v>
      </c>
      <c r="CL3703" s="5" t="s">
        <v>496</v>
      </c>
      <c r="CM3703" s="5" t="s">
        <v>238</v>
      </c>
      <c r="CN3703" s="5">
        <v>0</v>
      </c>
      <c r="CO3703" s="5" t="s">
        <v>497</v>
      </c>
      <c r="CP3703" s="5" t="s">
        <v>260</v>
      </c>
      <c r="CQ3703" s="5" t="s">
        <v>260</v>
      </c>
      <c r="CR3703" s="5" t="s">
        <v>261</v>
      </c>
      <c r="CS3703" s="5" t="s">
        <v>498</v>
      </c>
      <c r="CT3703" s="7">
        <f>1</f>
        <v>1</v>
      </c>
      <c r="CU3703" s="8">
        <f>1</f>
        <v>1</v>
      </c>
      <c r="CV3703" s="8">
        <f>0</f>
        <v>0</v>
      </c>
      <c r="CX3703" s="8">
        <f>1</f>
        <v>1</v>
      </c>
      <c r="CY3703" s="8">
        <f>1</f>
        <v>1</v>
      </c>
      <c r="CZ3703" s="8" t="s">
        <v>238</v>
      </c>
      <c r="DA3703" s="5" t="s">
        <v>238</v>
      </c>
      <c r="DB3703" s="5" t="s">
        <v>238</v>
      </c>
      <c r="DC3703" s="5" t="s">
        <v>238</v>
      </c>
      <c r="DD3703" s="5" t="s">
        <v>238</v>
      </c>
      <c r="DE3703" s="8">
        <f>0</f>
        <v>0</v>
      </c>
      <c r="DG3703" s="5" t="s">
        <v>238</v>
      </c>
      <c r="DH3703" s="5" t="s">
        <v>238</v>
      </c>
      <c r="DI3703" s="5" t="s">
        <v>238</v>
      </c>
      <c r="DJ3703" s="5" t="s">
        <v>238</v>
      </c>
      <c r="DK3703" s="5" t="s">
        <v>238</v>
      </c>
      <c r="DL3703" s="5" t="s">
        <v>238</v>
      </c>
      <c r="DM3703" s="8" t="s">
        <v>238</v>
      </c>
      <c r="DN3703" s="5" t="s">
        <v>238</v>
      </c>
      <c r="DO3703" s="5" t="s">
        <v>238</v>
      </c>
      <c r="DP3703" s="5" t="s">
        <v>490</v>
      </c>
      <c r="DQ3703" s="5" t="s">
        <v>490</v>
      </c>
      <c r="DR3703" s="5" t="s">
        <v>238</v>
      </c>
      <c r="DS3703" s="5" t="s">
        <v>238</v>
      </c>
      <c r="DT3703" s="5" t="s">
        <v>500</v>
      </c>
      <c r="DU3703" s="5" t="s">
        <v>326</v>
      </c>
      <c r="DV3703" s="5" t="s">
        <v>238</v>
      </c>
      <c r="DW3703" s="5" t="s">
        <v>238</v>
      </c>
      <c r="DX3703" s="5" t="s">
        <v>238</v>
      </c>
      <c r="DY3703" s="5" t="s">
        <v>238</v>
      </c>
      <c r="DZ3703" s="5" t="s">
        <v>238</v>
      </c>
      <c r="EA3703" s="5" t="s">
        <v>238</v>
      </c>
      <c r="EB3703" s="5" t="s">
        <v>238</v>
      </c>
      <c r="EC3703" s="5" t="s">
        <v>238</v>
      </c>
      <c r="ED3703" s="5" t="s">
        <v>238</v>
      </c>
      <c r="EE3703" s="5" t="s">
        <v>238</v>
      </c>
      <c r="EF3703" s="5" t="s">
        <v>238</v>
      </c>
      <c r="EG3703" s="5" t="s">
        <v>238</v>
      </c>
      <c r="EH3703" s="5" t="s">
        <v>238</v>
      </c>
      <c r="EI3703" s="5" t="s">
        <v>238</v>
      </c>
      <c r="EJ3703" s="5" t="s">
        <v>238</v>
      </c>
      <c r="EK3703" s="5" t="s">
        <v>238</v>
      </c>
      <c r="EL3703" s="5" t="s">
        <v>238</v>
      </c>
      <c r="EM3703" s="5" t="s">
        <v>238</v>
      </c>
      <c r="EN3703" s="5" t="s">
        <v>238</v>
      </c>
      <c r="EO3703" s="5" t="s">
        <v>238</v>
      </c>
      <c r="EP3703" s="5" t="s">
        <v>238</v>
      </c>
      <c r="EQ3703" s="5" t="s">
        <v>238</v>
      </c>
      <c r="ER3703" s="5" t="s">
        <v>238</v>
      </c>
      <c r="ES3703" s="5" t="s">
        <v>238</v>
      </c>
      <c r="ET3703" s="5" t="s">
        <v>238</v>
      </c>
      <c r="EU3703" s="5" t="s">
        <v>238</v>
      </c>
      <c r="EV3703" s="5" t="s">
        <v>238</v>
      </c>
      <c r="EW3703" s="5" t="s">
        <v>238</v>
      </c>
      <c r="EX3703" s="5" t="s">
        <v>238</v>
      </c>
      <c r="EY3703" s="5" t="s">
        <v>238</v>
      </c>
      <c r="EZ3703" s="5" t="s">
        <v>238</v>
      </c>
      <c r="FA3703" s="5" t="s">
        <v>238</v>
      </c>
      <c r="FB3703" s="5" t="s">
        <v>238</v>
      </c>
      <c r="FC3703" s="5" t="s">
        <v>238</v>
      </c>
      <c r="FD3703" s="5" t="s">
        <v>238</v>
      </c>
      <c r="FE3703" s="5" t="s">
        <v>238</v>
      </c>
      <c r="FF3703" s="5" t="s">
        <v>238</v>
      </c>
      <c r="FG3703" s="5" t="s">
        <v>238</v>
      </c>
      <c r="FH3703" s="5" t="s">
        <v>238</v>
      </c>
      <c r="FI3703" s="5" t="s">
        <v>238</v>
      </c>
      <c r="FJ3703" s="5" t="s">
        <v>238</v>
      </c>
      <c r="FK3703" s="5" t="s">
        <v>238</v>
      </c>
      <c r="FL3703" s="5" t="s">
        <v>238</v>
      </c>
      <c r="FM3703" s="5" t="s">
        <v>238</v>
      </c>
      <c r="FN3703" s="5" t="s">
        <v>238</v>
      </c>
      <c r="FO3703" s="5" t="s">
        <v>238</v>
      </c>
      <c r="FP3703" s="5" t="s">
        <v>238</v>
      </c>
      <c r="FQ3703" s="5" t="s">
        <v>238</v>
      </c>
      <c r="FR3703" s="5" t="s">
        <v>238</v>
      </c>
      <c r="FS3703" s="5" t="s">
        <v>238</v>
      </c>
      <c r="FT3703" s="5" t="s">
        <v>238</v>
      </c>
      <c r="FU3703" s="5" t="s">
        <v>238</v>
      </c>
      <c r="FV3703" s="5" t="s">
        <v>238</v>
      </c>
      <c r="FW3703" s="5" t="s">
        <v>238</v>
      </c>
      <c r="FX3703" s="5" t="s">
        <v>238</v>
      </c>
      <c r="FY3703" s="5" t="s">
        <v>238</v>
      </c>
      <c r="FZ3703" s="5" t="s">
        <v>238</v>
      </c>
      <c r="GA3703" s="5" t="s">
        <v>238</v>
      </c>
      <c r="GB3703" s="5" t="s">
        <v>238</v>
      </c>
      <c r="GC3703" s="5" t="s">
        <v>238</v>
      </c>
      <c r="GD3703" s="5" t="s">
        <v>238</v>
      </c>
      <c r="GE3703" s="5" t="s">
        <v>238</v>
      </c>
      <c r="GF3703" s="5" t="s">
        <v>238</v>
      </c>
      <c r="GG3703" s="5" t="s">
        <v>238</v>
      </c>
      <c r="GH3703" s="5" t="s">
        <v>238</v>
      </c>
      <c r="GI3703" s="5" t="s">
        <v>238</v>
      </c>
      <c r="GJ3703" s="5" t="s">
        <v>238</v>
      </c>
      <c r="GK3703" s="5" t="s">
        <v>238</v>
      </c>
      <c r="GL3703" s="5" t="s">
        <v>238</v>
      </c>
      <c r="GM3703" s="5" t="s">
        <v>238</v>
      </c>
      <c r="GN3703" s="5" t="s">
        <v>238</v>
      </c>
      <c r="GO3703" s="5" t="s">
        <v>238</v>
      </c>
      <c r="GP3703" s="5" t="s">
        <v>238</v>
      </c>
      <c r="GQ3703" s="5" t="s">
        <v>238</v>
      </c>
      <c r="GR3703" s="5" t="s">
        <v>238</v>
      </c>
      <c r="GS3703" s="5" t="s">
        <v>238</v>
      </c>
      <c r="GT3703" s="5" t="s">
        <v>238</v>
      </c>
      <c r="GU3703" s="5" t="s">
        <v>238</v>
      </c>
      <c r="GV3703" s="5" t="s">
        <v>238</v>
      </c>
      <c r="GW3703" s="5" t="s">
        <v>238</v>
      </c>
      <c r="GX3703" s="5" t="s">
        <v>238</v>
      </c>
      <c r="GY3703" s="5" t="s">
        <v>238</v>
      </c>
      <c r="GZ3703" s="5" t="s">
        <v>238</v>
      </c>
      <c r="HA3703" s="5" t="s">
        <v>238</v>
      </c>
      <c r="HB3703" s="5" t="s">
        <v>238</v>
      </c>
      <c r="HC3703" s="5" t="s">
        <v>238</v>
      </c>
      <c r="HD3703" s="5" t="s">
        <v>238</v>
      </c>
      <c r="HE3703" s="5" t="s">
        <v>238</v>
      </c>
      <c r="HF3703" s="5" t="s">
        <v>238</v>
      </c>
      <c r="HG3703" s="5" t="s">
        <v>238</v>
      </c>
      <c r="HH3703" s="5" t="s">
        <v>238</v>
      </c>
      <c r="HI3703" s="5" t="s">
        <v>238</v>
      </c>
      <c r="HJ3703" s="5" t="s">
        <v>238</v>
      </c>
      <c r="HK3703" s="5" t="s">
        <v>238</v>
      </c>
      <c r="HL3703" s="5" t="s">
        <v>238</v>
      </c>
      <c r="HM3703" s="5" t="s">
        <v>264</v>
      </c>
      <c r="HN3703" s="5" t="s">
        <v>238</v>
      </c>
      <c r="HO3703" s="5" t="s">
        <v>238</v>
      </c>
      <c r="HP3703" s="5" t="s">
        <v>238</v>
      </c>
      <c r="HQ3703" s="5" t="s">
        <v>238</v>
      </c>
      <c r="HR3703" s="5" t="s">
        <v>238</v>
      </c>
      <c r="HS3703" s="5" t="s">
        <v>238</v>
      </c>
      <c r="HT3703" s="5" t="s">
        <v>238</v>
      </c>
      <c r="HU3703" s="5" t="s">
        <v>238</v>
      </c>
      <c r="HV3703" s="5" t="s">
        <v>238</v>
      </c>
      <c r="HW3703" s="5" t="s">
        <v>238</v>
      </c>
      <c r="HX3703" s="5" t="s">
        <v>238</v>
      </c>
      <c r="HY3703" s="5" t="s">
        <v>238</v>
      </c>
      <c r="HZ3703" s="5" t="s">
        <v>238</v>
      </c>
      <c r="IA3703" s="5" t="s">
        <v>238</v>
      </c>
      <c r="IB3703" s="5" t="s">
        <v>238</v>
      </c>
      <c r="IC3703" s="5" t="s">
        <v>238</v>
      </c>
      <c r="ID3703" s="5" t="s">
        <v>238</v>
      </c>
    </row>
    <row r="3704" spans="1:238" x14ac:dyDescent="0.4">
      <c r="A3704" s="5">
        <v>9422</v>
      </c>
      <c r="B3704" s="5">
        <v>1</v>
      </c>
      <c r="C3704" s="5">
        <v>1</v>
      </c>
      <c r="D3704" s="5" t="s">
        <v>484</v>
      </c>
      <c r="E3704" s="5" t="s">
        <v>485</v>
      </c>
      <c r="F3704" s="5" t="s">
        <v>248</v>
      </c>
      <c r="G3704" s="5" t="s">
        <v>4638</v>
      </c>
      <c r="H3704" s="6" t="s">
        <v>4639</v>
      </c>
      <c r="I3704" s="8">
        <f>1</f>
        <v>1</v>
      </c>
      <c r="J3704" s="5" t="s">
        <v>499</v>
      </c>
      <c r="K3704" s="8">
        <f>1</f>
        <v>1</v>
      </c>
      <c r="L3704" s="6" t="s">
        <v>242</v>
      </c>
      <c r="M3704" s="5" t="s">
        <v>267</v>
      </c>
      <c r="N3704" s="5" t="s">
        <v>482</v>
      </c>
      <c r="O3704" s="5" t="s">
        <v>238</v>
      </c>
      <c r="P3704" s="5" t="s">
        <v>238</v>
      </c>
      <c r="Q3704" s="5" t="s">
        <v>239</v>
      </c>
      <c r="R3704" s="5" t="s">
        <v>270</v>
      </c>
      <c r="S3704" s="5" t="s">
        <v>238</v>
      </c>
      <c r="T3704" s="5" t="s">
        <v>238</v>
      </c>
      <c r="U3704" s="5" t="s">
        <v>238</v>
      </c>
      <c r="V3704" s="5" t="s">
        <v>238</v>
      </c>
      <c r="W3704" s="6" t="s">
        <v>238</v>
      </c>
      <c r="X3704" s="6" t="s">
        <v>238</v>
      </c>
      <c r="Y3704" s="5" t="s">
        <v>238</v>
      </c>
      <c r="Z3704" s="6" t="s">
        <v>238</v>
      </c>
      <c r="AA3704" s="6" t="s">
        <v>243</v>
      </c>
      <c r="AB3704" s="5" t="s">
        <v>486</v>
      </c>
      <c r="AC3704" s="5" t="s">
        <v>244</v>
      </c>
      <c r="AD3704" s="5" t="s">
        <v>245</v>
      </c>
      <c r="AE3704" s="5" t="s">
        <v>238</v>
      </c>
      <c r="AF3704" s="5" t="s">
        <v>238</v>
      </c>
      <c r="AG3704" s="5" t="s">
        <v>238</v>
      </c>
      <c r="AH3704" s="5" t="s">
        <v>238</v>
      </c>
      <c r="AI3704" s="5" t="s">
        <v>238</v>
      </c>
      <c r="AJ3704" s="5" t="s">
        <v>238</v>
      </c>
      <c r="AK3704" s="5" t="s">
        <v>238</v>
      </c>
      <c r="AL3704" s="5" t="s">
        <v>238</v>
      </c>
      <c r="AM3704" s="6" t="s">
        <v>238</v>
      </c>
      <c r="AN3704" s="6" t="s">
        <v>238</v>
      </c>
      <c r="AO3704" s="6" t="s">
        <v>238</v>
      </c>
      <c r="AP3704" s="6" t="s">
        <v>238</v>
      </c>
      <c r="AQ3704" s="5" t="s">
        <v>238</v>
      </c>
      <c r="AR3704" s="5" t="s">
        <v>488</v>
      </c>
      <c r="AS3704" s="5" t="s">
        <v>488</v>
      </c>
      <c r="AT3704" s="5" t="s">
        <v>246</v>
      </c>
      <c r="AU3704" s="5" t="s">
        <v>489</v>
      </c>
      <c r="AV3704" s="5" t="s">
        <v>247</v>
      </c>
      <c r="AW3704" s="5" t="s">
        <v>238</v>
      </c>
      <c r="AX3704" s="5" t="s">
        <v>249</v>
      </c>
      <c r="AY3704" s="5" t="s">
        <v>490</v>
      </c>
      <c r="BA3704" s="5" t="s">
        <v>238</v>
      </c>
      <c r="BC3704" s="5" t="s">
        <v>491</v>
      </c>
      <c r="BD3704" s="6" t="s">
        <v>492</v>
      </c>
      <c r="BE3704" s="5" t="s">
        <v>493</v>
      </c>
      <c r="BF3704" s="5" t="s">
        <v>493</v>
      </c>
      <c r="BG3704" s="5" t="s">
        <v>238</v>
      </c>
      <c r="BH3704" s="8">
        <f>1</f>
        <v>1</v>
      </c>
      <c r="BI3704" s="8">
        <f>1</f>
        <v>1</v>
      </c>
      <c r="BJ3704" s="5" t="s">
        <v>253</v>
      </c>
      <c r="BK3704" s="5" t="s">
        <v>254</v>
      </c>
      <c r="BL3704" s="5" t="s">
        <v>238</v>
      </c>
      <c r="BM3704" s="5" t="s">
        <v>238</v>
      </c>
      <c r="BN3704" s="5" t="s">
        <v>238</v>
      </c>
      <c r="BO3704" s="5" t="s">
        <v>238</v>
      </c>
      <c r="BP3704" s="5" t="s">
        <v>238</v>
      </c>
      <c r="BQ3704" s="5" t="s">
        <v>238</v>
      </c>
      <c r="BR3704" s="5" t="s">
        <v>238</v>
      </c>
      <c r="BS3704" s="5" t="s">
        <v>238</v>
      </c>
      <c r="BT3704" s="6" t="s">
        <v>238</v>
      </c>
      <c r="BU3704" s="5" t="s">
        <v>238</v>
      </c>
      <c r="BV3704" s="5" t="s">
        <v>238</v>
      </c>
      <c r="BW3704" s="5" t="s">
        <v>238</v>
      </c>
      <c r="BX3704" s="5" t="s">
        <v>254</v>
      </c>
      <c r="BY3704" s="5" t="s">
        <v>238</v>
      </c>
      <c r="BZ3704" s="5" t="s">
        <v>238</v>
      </c>
      <c r="CA3704" s="5" t="s">
        <v>238</v>
      </c>
      <c r="CB3704" s="5" t="s">
        <v>238</v>
      </c>
      <c r="CC3704" s="5" t="s">
        <v>238</v>
      </c>
      <c r="CD3704" s="5" t="s">
        <v>273</v>
      </c>
      <c r="CE3704" s="5" t="s">
        <v>256</v>
      </c>
      <c r="CF3704" s="5" t="s">
        <v>238</v>
      </c>
      <c r="CH3704" s="5" t="s">
        <v>494</v>
      </c>
      <c r="CI3704" s="6" t="s">
        <v>257</v>
      </c>
      <c r="CJ3704" s="5" t="s">
        <v>495</v>
      </c>
      <c r="CK3704" s="5" t="s">
        <v>258</v>
      </c>
      <c r="CL3704" s="5" t="s">
        <v>496</v>
      </c>
      <c r="CM3704" s="5" t="s">
        <v>238</v>
      </c>
      <c r="CN3704" s="5">
        <v>0</v>
      </c>
      <c r="CO3704" s="5" t="s">
        <v>497</v>
      </c>
      <c r="CP3704" s="5" t="s">
        <v>260</v>
      </c>
      <c r="CQ3704" s="5" t="s">
        <v>260</v>
      </c>
      <c r="CR3704" s="5" t="s">
        <v>261</v>
      </c>
      <c r="CS3704" s="5" t="s">
        <v>498</v>
      </c>
      <c r="CT3704" s="7">
        <f>1</f>
        <v>1</v>
      </c>
      <c r="CU3704" s="8">
        <f>1</f>
        <v>1</v>
      </c>
      <c r="CV3704" s="8">
        <f>0</f>
        <v>0</v>
      </c>
      <c r="CX3704" s="8">
        <f>1</f>
        <v>1</v>
      </c>
      <c r="CY3704" s="8">
        <f>1</f>
        <v>1</v>
      </c>
      <c r="CZ3704" s="8" t="s">
        <v>238</v>
      </c>
      <c r="DA3704" s="5" t="s">
        <v>238</v>
      </c>
      <c r="DB3704" s="5" t="s">
        <v>238</v>
      </c>
      <c r="DC3704" s="5" t="s">
        <v>238</v>
      </c>
      <c r="DD3704" s="5" t="s">
        <v>238</v>
      </c>
      <c r="DE3704" s="8">
        <f>0</f>
        <v>0</v>
      </c>
      <c r="DG3704" s="5" t="s">
        <v>238</v>
      </c>
      <c r="DH3704" s="5" t="s">
        <v>238</v>
      </c>
      <c r="DI3704" s="5" t="s">
        <v>238</v>
      </c>
      <c r="DJ3704" s="5" t="s">
        <v>238</v>
      </c>
      <c r="DK3704" s="5" t="s">
        <v>238</v>
      </c>
      <c r="DL3704" s="5" t="s">
        <v>238</v>
      </c>
      <c r="DM3704" s="8" t="s">
        <v>238</v>
      </c>
      <c r="DN3704" s="5" t="s">
        <v>238</v>
      </c>
      <c r="DO3704" s="5" t="s">
        <v>238</v>
      </c>
      <c r="DP3704" s="5" t="s">
        <v>490</v>
      </c>
      <c r="DQ3704" s="5" t="s">
        <v>490</v>
      </c>
      <c r="DR3704" s="5" t="s">
        <v>238</v>
      </c>
      <c r="DS3704" s="5" t="s">
        <v>238</v>
      </c>
      <c r="DT3704" s="5" t="s">
        <v>500</v>
      </c>
      <c r="DU3704" s="5" t="s">
        <v>316</v>
      </c>
      <c r="DV3704" s="5" t="s">
        <v>238</v>
      </c>
      <c r="DW3704" s="5" t="s">
        <v>238</v>
      </c>
      <c r="DX3704" s="5" t="s">
        <v>238</v>
      </c>
      <c r="DY3704" s="5" t="s">
        <v>238</v>
      </c>
      <c r="DZ3704" s="5" t="s">
        <v>238</v>
      </c>
      <c r="EA3704" s="5" t="s">
        <v>238</v>
      </c>
      <c r="EB3704" s="5" t="s">
        <v>238</v>
      </c>
      <c r="EC3704" s="5" t="s">
        <v>238</v>
      </c>
      <c r="ED3704" s="5" t="s">
        <v>238</v>
      </c>
      <c r="EE3704" s="5" t="s">
        <v>238</v>
      </c>
      <c r="EF3704" s="5" t="s">
        <v>238</v>
      </c>
      <c r="EG3704" s="5" t="s">
        <v>238</v>
      </c>
      <c r="EH3704" s="5" t="s">
        <v>238</v>
      </c>
      <c r="EI3704" s="5" t="s">
        <v>238</v>
      </c>
      <c r="EJ3704" s="5" t="s">
        <v>238</v>
      </c>
      <c r="EK3704" s="5" t="s">
        <v>238</v>
      </c>
      <c r="EL3704" s="5" t="s">
        <v>238</v>
      </c>
      <c r="EM3704" s="5" t="s">
        <v>238</v>
      </c>
      <c r="EN3704" s="5" t="s">
        <v>238</v>
      </c>
      <c r="EO3704" s="5" t="s">
        <v>238</v>
      </c>
      <c r="EP3704" s="5" t="s">
        <v>238</v>
      </c>
      <c r="EQ3704" s="5" t="s">
        <v>238</v>
      </c>
      <c r="ER3704" s="5" t="s">
        <v>238</v>
      </c>
      <c r="ES3704" s="5" t="s">
        <v>238</v>
      </c>
      <c r="ET3704" s="5" t="s">
        <v>238</v>
      </c>
      <c r="EU3704" s="5" t="s">
        <v>238</v>
      </c>
      <c r="EV3704" s="5" t="s">
        <v>238</v>
      </c>
      <c r="EW3704" s="5" t="s">
        <v>238</v>
      </c>
      <c r="EX3704" s="5" t="s">
        <v>238</v>
      </c>
      <c r="EY3704" s="5" t="s">
        <v>238</v>
      </c>
      <c r="EZ3704" s="5" t="s">
        <v>238</v>
      </c>
      <c r="FA3704" s="5" t="s">
        <v>238</v>
      </c>
      <c r="FB3704" s="5" t="s">
        <v>238</v>
      </c>
      <c r="FC3704" s="5" t="s">
        <v>238</v>
      </c>
      <c r="FD3704" s="5" t="s">
        <v>238</v>
      </c>
      <c r="FE3704" s="5" t="s">
        <v>238</v>
      </c>
      <c r="FF3704" s="5" t="s">
        <v>238</v>
      </c>
      <c r="FG3704" s="5" t="s">
        <v>238</v>
      </c>
      <c r="FH3704" s="5" t="s">
        <v>238</v>
      </c>
      <c r="FI3704" s="5" t="s">
        <v>238</v>
      </c>
      <c r="FJ3704" s="5" t="s">
        <v>238</v>
      </c>
      <c r="FK3704" s="5" t="s">
        <v>238</v>
      </c>
      <c r="FL3704" s="5" t="s">
        <v>238</v>
      </c>
      <c r="FM3704" s="5" t="s">
        <v>238</v>
      </c>
      <c r="FN3704" s="5" t="s">
        <v>238</v>
      </c>
      <c r="FO3704" s="5" t="s">
        <v>238</v>
      </c>
      <c r="FP3704" s="5" t="s">
        <v>238</v>
      </c>
      <c r="FQ3704" s="5" t="s">
        <v>238</v>
      </c>
      <c r="FR3704" s="5" t="s">
        <v>238</v>
      </c>
      <c r="FS3704" s="5" t="s">
        <v>238</v>
      </c>
      <c r="FT3704" s="5" t="s">
        <v>238</v>
      </c>
      <c r="FU3704" s="5" t="s">
        <v>238</v>
      </c>
      <c r="FV3704" s="5" t="s">
        <v>238</v>
      </c>
      <c r="FW3704" s="5" t="s">
        <v>238</v>
      </c>
      <c r="FX3704" s="5" t="s">
        <v>238</v>
      </c>
      <c r="FY3704" s="5" t="s">
        <v>238</v>
      </c>
      <c r="FZ3704" s="5" t="s">
        <v>238</v>
      </c>
      <c r="GA3704" s="5" t="s">
        <v>238</v>
      </c>
      <c r="GB3704" s="5" t="s">
        <v>238</v>
      </c>
      <c r="GC3704" s="5" t="s">
        <v>238</v>
      </c>
      <c r="GD3704" s="5" t="s">
        <v>238</v>
      </c>
      <c r="GE3704" s="5" t="s">
        <v>238</v>
      </c>
      <c r="GF3704" s="5" t="s">
        <v>238</v>
      </c>
      <c r="GG3704" s="5" t="s">
        <v>238</v>
      </c>
      <c r="GH3704" s="5" t="s">
        <v>238</v>
      </c>
      <c r="GI3704" s="5" t="s">
        <v>238</v>
      </c>
      <c r="GJ3704" s="5" t="s">
        <v>238</v>
      </c>
      <c r="GK3704" s="5" t="s">
        <v>238</v>
      </c>
      <c r="GL3704" s="5" t="s">
        <v>238</v>
      </c>
      <c r="GM3704" s="5" t="s">
        <v>238</v>
      </c>
      <c r="GN3704" s="5" t="s">
        <v>238</v>
      </c>
      <c r="GO3704" s="5" t="s">
        <v>238</v>
      </c>
      <c r="GP3704" s="5" t="s">
        <v>238</v>
      </c>
      <c r="GQ3704" s="5" t="s">
        <v>238</v>
      </c>
      <c r="GR3704" s="5" t="s">
        <v>238</v>
      </c>
      <c r="GS3704" s="5" t="s">
        <v>238</v>
      </c>
      <c r="GT3704" s="5" t="s">
        <v>238</v>
      </c>
      <c r="GU3704" s="5" t="s">
        <v>238</v>
      </c>
      <c r="GV3704" s="5" t="s">
        <v>238</v>
      </c>
      <c r="GW3704" s="5" t="s">
        <v>238</v>
      </c>
      <c r="GX3704" s="5" t="s">
        <v>238</v>
      </c>
      <c r="GY3704" s="5" t="s">
        <v>238</v>
      </c>
      <c r="GZ3704" s="5" t="s">
        <v>238</v>
      </c>
      <c r="HA3704" s="5" t="s">
        <v>238</v>
      </c>
      <c r="HB3704" s="5" t="s">
        <v>238</v>
      </c>
      <c r="HC3704" s="5" t="s">
        <v>238</v>
      </c>
      <c r="HD3704" s="5" t="s">
        <v>238</v>
      </c>
      <c r="HE3704" s="5" t="s">
        <v>238</v>
      </c>
      <c r="HF3704" s="5" t="s">
        <v>238</v>
      </c>
      <c r="HG3704" s="5" t="s">
        <v>238</v>
      </c>
      <c r="HH3704" s="5" t="s">
        <v>238</v>
      </c>
      <c r="HI3704" s="5" t="s">
        <v>238</v>
      </c>
      <c r="HJ3704" s="5" t="s">
        <v>238</v>
      </c>
      <c r="HK3704" s="5" t="s">
        <v>238</v>
      </c>
      <c r="HL3704" s="5" t="s">
        <v>238</v>
      </c>
      <c r="HM3704" s="5" t="s">
        <v>264</v>
      </c>
      <c r="HN3704" s="5" t="s">
        <v>238</v>
      </c>
      <c r="HO3704" s="5" t="s">
        <v>238</v>
      </c>
      <c r="HP3704" s="5" t="s">
        <v>238</v>
      </c>
      <c r="HQ3704" s="5" t="s">
        <v>238</v>
      </c>
      <c r="HR3704" s="5" t="s">
        <v>238</v>
      </c>
      <c r="HS3704" s="5" t="s">
        <v>238</v>
      </c>
      <c r="HT3704" s="5" t="s">
        <v>238</v>
      </c>
      <c r="HU3704" s="5" t="s">
        <v>238</v>
      </c>
      <c r="HV3704" s="5" t="s">
        <v>238</v>
      </c>
      <c r="HW3704" s="5" t="s">
        <v>238</v>
      </c>
      <c r="HX3704" s="5" t="s">
        <v>238</v>
      </c>
      <c r="HY3704" s="5" t="s">
        <v>238</v>
      </c>
      <c r="HZ3704" s="5" t="s">
        <v>238</v>
      </c>
      <c r="IA3704" s="5" t="s">
        <v>238</v>
      </c>
      <c r="IB3704" s="5" t="s">
        <v>238</v>
      </c>
      <c r="IC3704" s="5" t="s">
        <v>238</v>
      </c>
      <c r="ID3704" s="5" t="s">
        <v>238</v>
      </c>
    </row>
    <row r="3705" spans="1:238" x14ac:dyDescent="0.4">
      <c r="A3705" s="5">
        <v>9423</v>
      </c>
      <c r="B3705" s="5">
        <v>1</v>
      </c>
      <c r="C3705" s="5">
        <v>1</v>
      </c>
      <c r="D3705" s="5" t="s">
        <v>484</v>
      </c>
      <c r="E3705" s="5" t="s">
        <v>485</v>
      </c>
      <c r="F3705" s="5" t="s">
        <v>248</v>
      </c>
      <c r="G3705" s="5" t="s">
        <v>5582</v>
      </c>
      <c r="H3705" s="6" t="s">
        <v>5584</v>
      </c>
      <c r="I3705" s="8">
        <f>1</f>
        <v>1</v>
      </c>
      <c r="J3705" s="5" t="s">
        <v>499</v>
      </c>
      <c r="K3705" s="8">
        <f>1</f>
        <v>1</v>
      </c>
      <c r="L3705" s="6" t="s">
        <v>242</v>
      </c>
      <c r="M3705" s="5" t="s">
        <v>267</v>
      </c>
      <c r="N3705" s="5" t="s">
        <v>482</v>
      </c>
      <c r="O3705" s="5" t="s">
        <v>238</v>
      </c>
      <c r="P3705" s="5" t="s">
        <v>238</v>
      </c>
      <c r="Q3705" s="5" t="s">
        <v>239</v>
      </c>
      <c r="R3705" s="5" t="s">
        <v>270</v>
      </c>
      <c r="S3705" s="5" t="s">
        <v>238</v>
      </c>
      <c r="T3705" s="5" t="s">
        <v>238</v>
      </c>
      <c r="U3705" s="5" t="s">
        <v>238</v>
      </c>
      <c r="V3705" s="5" t="s">
        <v>238</v>
      </c>
      <c r="W3705" s="6" t="s">
        <v>238</v>
      </c>
      <c r="X3705" s="6" t="s">
        <v>238</v>
      </c>
      <c r="Y3705" s="5" t="s">
        <v>238</v>
      </c>
      <c r="Z3705" s="6" t="s">
        <v>238</v>
      </c>
      <c r="AA3705" s="6" t="s">
        <v>243</v>
      </c>
      <c r="AB3705" s="5" t="s">
        <v>5583</v>
      </c>
      <c r="AC3705" s="5" t="s">
        <v>244</v>
      </c>
      <c r="AD3705" s="5" t="s">
        <v>245</v>
      </c>
      <c r="AE3705" s="5" t="s">
        <v>238</v>
      </c>
      <c r="AF3705" s="5" t="s">
        <v>238</v>
      </c>
      <c r="AG3705" s="5" t="s">
        <v>238</v>
      </c>
      <c r="AH3705" s="5" t="s">
        <v>238</v>
      </c>
      <c r="AI3705" s="5" t="s">
        <v>238</v>
      </c>
      <c r="AJ3705" s="5" t="s">
        <v>238</v>
      </c>
      <c r="AK3705" s="5" t="s">
        <v>238</v>
      </c>
      <c r="AL3705" s="5" t="s">
        <v>238</v>
      </c>
      <c r="AM3705" s="6" t="s">
        <v>238</v>
      </c>
      <c r="AN3705" s="6" t="s">
        <v>238</v>
      </c>
      <c r="AO3705" s="6" t="s">
        <v>238</v>
      </c>
      <c r="AP3705" s="6" t="s">
        <v>238</v>
      </c>
      <c r="AQ3705" s="5" t="s">
        <v>238</v>
      </c>
      <c r="AR3705" s="5" t="s">
        <v>488</v>
      </c>
      <c r="AS3705" s="5" t="s">
        <v>488</v>
      </c>
      <c r="AT3705" s="5" t="s">
        <v>246</v>
      </c>
      <c r="AU3705" s="5" t="s">
        <v>489</v>
      </c>
      <c r="AV3705" s="5" t="s">
        <v>247</v>
      </c>
      <c r="AW3705" s="5" t="s">
        <v>238</v>
      </c>
      <c r="AX3705" s="5" t="s">
        <v>249</v>
      </c>
      <c r="AY3705" s="5" t="s">
        <v>490</v>
      </c>
      <c r="BA3705" s="5" t="s">
        <v>238</v>
      </c>
      <c r="BC3705" s="5" t="s">
        <v>491</v>
      </c>
      <c r="BD3705" s="6" t="s">
        <v>492</v>
      </c>
      <c r="BE3705" s="5" t="s">
        <v>493</v>
      </c>
      <c r="BF3705" s="5" t="s">
        <v>493</v>
      </c>
      <c r="BG3705" s="5" t="s">
        <v>238</v>
      </c>
      <c r="BH3705" s="8">
        <f>1</f>
        <v>1</v>
      </c>
      <c r="BI3705" s="8">
        <f>1</f>
        <v>1</v>
      </c>
      <c r="BJ3705" s="5" t="s">
        <v>253</v>
      </c>
      <c r="BK3705" s="5" t="s">
        <v>254</v>
      </c>
      <c r="BL3705" s="5" t="s">
        <v>238</v>
      </c>
      <c r="BM3705" s="5" t="s">
        <v>238</v>
      </c>
      <c r="BN3705" s="5" t="s">
        <v>238</v>
      </c>
      <c r="BO3705" s="5" t="s">
        <v>238</v>
      </c>
      <c r="BP3705" s="5" t="s">
        <v>238</v>
      </c>
      <c r="BQ3705" s="5" t="s">
        <v>238</v>
      </c>
      <c r="BR3705" s="5" t="s">
        <v>238</v>
      </c>
      <c r="BS3705" s="5" t="s">
        <v>238</v>
      </c>
      <c r="BT3705" s="6" t="s">
        <v>238</v>
      </c>
      <c r="BU3705" s="5" t="s">
        <v>238</v>
      </c>
      <c r="BV3705" s="5" t="s">
        <v>238</v>
      </c>
      <c r="BW3705" s="5" t="s">
        <v>238</v>
      </c>
      <c r="BX3705" s="5" t="s">
        <v>254</v>
      </c>
      <c r="BY3705" s="5" t="s">
        <v>238</v>
      </c>
      <c r="BZ3705" s="5" t="s">
        <v>238</v>
      </c>
      <c r="CA3705" s="5" t="s">
        <v>238</v>
      </c>
      <c r="CB3705" s="5" t="s">
        <v>238</v>
      </c>
      <c r="CC3705" s="5" t="s">
        <v>238</v>
      </c>
      <c r="CD3705" s="5" t="s">
        <v>273</v>
      </c>
      <c r="CE3705" s="5" t="s">
        <v>256</v>
      </c>
      <c r="CF3705" s="5" t="s">
        <v>238</v>
      </c>
      <c r="CH3705" s="5" t="s">
        <v>494</v>
      </c>
      <c r="CI3705" s="6" t="s">
        <v>257</v>
      </c>
      <c r="CJ3705" s="5" t="s">
        <v>495</v>
      </c>
      <c r="CK3705" s="5" t="s">
        <v>258</v>
      </c>
      <c r="CL3705" s="5" t="s">
        <v>496</v>
      </c>
      <c r="CM3705" s="5" t="s">
        <v>238</v>
      </c>
      <c r="CN3705" s="5">
        <v>0</v>
      </c>
      <c r="CO3705" s="5" t="s">
        <v>497</v>
      </c>
      <c r="CP3705" s="5" t="s">
        <v>260</v>
      </c>
      <c r="CQ3705" s="5" t="s">
        <v>260</v>
      </c>
      <c r="CR3705" s="5" t="s">
        <v>261</v>
      </c>
      <c r="CS3705" s="5" t="s">
        <v>498</v>
      </c>
      <c r="CT3705" s="7">
        <f>1</f>
        <v>1</v>
      </c>
      <c r="CU3705" s="8">
        <f>1</f>
        <v>1</v>
      </c>
      <c r="CV3705" s="8">
        <f>0</f>
        <v>0</v>
      </c>
      <c r="CX3705" s="8">
        <f>1</f>
        <v>1</v>
      </c>
      <c r="CY3705" s="8">
        <f>1</f>
        <v>1</v>
      </c>
      <c r="CZ3705" s="8" t="s">
        <v>238</v>
      </c>
      <c r="DA3705" s="5" t="s">
        <v>238</v>
      </c>
      <c r="DB3705" s="5" t="s">
        <v>238</v>
      </c>
      <c r="DC3705" s="5" t="s">
        <v>238</v>
      </c>
      <c r="DD3705" s="5" t="s">
        <v>238</v>
      </c>
      <c r="DE3705" s="8">
        <f>0</f>
        <v>0</v>
      </c>
      <c r="DG3705" s="5" t="s">
        <v>238</v>
      </c>
      <c r="DH3705" s="5" t="s">
        <v>238</v>
      </c>
      <c r="DI3705" s="5" t="s">
        <v>238</v>
      </c>
      <c r="DJ3705" s="5" t="s">
        <v>238</v>
      </c>
      <c r="DK3705" s="5" t="s">
        <v>238</v>
      </c>
      <c r="DL3705" s="5" t="s">
        <v>238</v>
      </c>
      <c r="DM3705" s="8" t="s">
        <v>238</v>
      </c>
      <c r="DN3705" s="5" t="s">
        <v>238</v>
      </c>
      <c r="DO3705" s="5" t="s">
        <v>238</v>
      </c>
      <c r="DP3705" s="5" t="s">
        <v>490</v>
      </c>
      <c r="DQ3705" s="5" t="s">
        <v>490</v>
      </c>
      <c r="DR3705" s="5" t="s">
        <v>238</v>
      </c>
      <c r="DS3705" s="5" t="s">
        <v>238</v>
      </c>
      <c r="DT3705" s="5" t="s">
        <v>500</v>
      </c>
      <c r="DU3705" s="5" t="s">
        <v>304</v>
      </c>
      <c r="DV3705" s="5" t="s">
        <v>238</v>
      </c>
      <c r="DW3705" s="5" t="s">
        <v>238</v>
      </c>
      <c r="DX3705" s="5" t="s">
        <v>238</v>
      </c>
      <c r="DY3705" s="5" t="s">
        <v>238</v>
      </c>
      <c r="DZ3705" s="5" t="s">
        <v>238</v>
      </c>
      <c r="EA3705" s="5" t="s">
        <v>238</v>
      </c>
      <c r="EB3705" s="5" t="s">
        <v>238</v>
      </c>
      <c r="EC3705" s="5" t="s">
        <v>238</v>
      </c>
      <c r="ED3705" s="5" t="s">
        <v>238</v>
      </c>
      <c r="EE3705" s="5" t="s">
        <v>238</v>
      </c>
      <c r="EF3705" s="5" t="s">
        <v>238</v>
      </c>
      <c r="EG3705" s="5" t="s">
        <v>238</v>
      </c>
      <c r="EH3705" s="5" t="s">
        <v>238</v>
      </c>
      <c r="EI3705" s="5" t="s">
        <v>238</v>
      </c>
      <c r="EJ3705" s="5" t="s">
        <v>238</v>
      </c>
      <c r="EK3705" s="5" t="s">
        <v>238</v>
      </c>
      <c r="EL3705" s="5" t="s">
        <v>238</v>
      </c>
      <c r="EM3705" s="5" t="s">
        <v>238</v>
      </c>
      <c r="EN3705" s="5" t="s">
        <v>238</v>
      </c>
      <c r="EO3705" s="5" t="s">
        <v>238</v>
      </c>
      <c r="EP3705" s="5" t="s">
        <v>238</v>
      </c>
      <c r="EQ3705" s="5" t="s">
        <v>238</v>
      </c>
      <c r="ER3705" s="5" t="s">
        <v>238</v>
      </c>
      <c r="ES3705" s="5" t="s">
        <v>238</v>
      </c>
      <c r="ET3705" s="5" t="s">
        <v>238</v>
      </c>
      <c r="EU3705" s="5" t="s">
        <v>238</v>
      </c>
      <c r="EV3705" s="5" t="s">
        <v>238</v>
      </c>
      <c r="EW3705" s="5" t="s">
        <v>238</v>
      </c>
      <c r="EX3705" s="5" t="s">
        <v>238</v>
      </c>
      <c r="EY3705" s="5" t="s">
        <v>238</v>
      </c>
      <c r="EZ3705" s="5" t="s">
        <v>238</v>
      </c>
      <c r="FA3705" s="5" t="s">
        <v>238</v>
      </c>
      <c r="FB3705" s="5" t="s">
        <v>238</v>
      </c>
      <c r="FC3705" s="5" t="s">
        <v>238</v>
      </c>
      <c r="FD3705" s="5" t="s">
        <v>238</v>
      </c>
      <c r="FE3705" s="5" t="s">
        <v>238</v>
      </c>
      <c r="FF3705" s="5" t="s">
        <v>238</v>
      </c>
      <c r="FG3705" s="5" t="s">
        <v>238</v>
      </c>
      <c r="FH3705" s="5" t="s">
        <v>238</v>
      </c>
      <c r="FI3705" s="5" t="s">
        <v>238</v>
      </c>
      <c r="FJ3705" s="5" t="s">
        <v>238</v>
      </c>
      <c r="FK3705" s="5" t="s">
        <v>238</v>
      </c>
      <c r="FL3705" s="5" t="s">
        <v>238</v>
      </c>
      <c r="FM3705" s="5" t="s">
        <v>238</v>
      </c>
      <c r="FN3705" s="5" t="s">
        <v>238</v>
      </c>
      <c r="FO3705" s="5" t="s">
        <v>238</v>
      </c>
      <c r="FP3705" s="5" t="s">
        <v>238</v>
      </c>
      <c r="FQ3705" s="5" t="s">
        <v>238</v>
      </c>
      <c r="FR3705" s="5" t="s">
        <v>238</v>
      </c>
      <c r="FS3705" s="5" t="s">
        <v>238</v>
      </c>
      <c r="FT3705" s="5" t="s">
        <v>238</v>
      </c>
      <c r="FU3705" s="5" t="s">
        <v>238</v>
      </c>
      <c r="FV3705" s="5" t="s">
        <v>238</v>
      </c>
      <c r="FW3705" s="5" t="s">
        <v>238</v>
      </c>
      <c r="FX3705" s="5" t="s">
        <v>238</v>
      </c>
      <c r="FY3705" s="5" t="s">
        <v>238</v>
      </c>
      <c r="FZ3705" s="5" t="s">
        <v>238</v>
      </c>
      <c r="GA3705" s="5" t="s">
        <v>238</v>
      </c>
      <c r="GB3705" s="5" t="s">
        <v>238</v>
      </c>
      <c r="GC3705" s="5" t="s">
        <v>238</v>
      </c>
      <c r="GD3705" s="5" t="s">
        <v>238</v>
      </c>
      <c r="GE3705" s="5" t="s">
        <v>238</v>
      </c>
      <c r="GF3705" s="5" t="s">
        <v>238</v>
      </c>
      <c r="GG3705" s="5" t="s">
        <v>238</v>
      </c>
      <c r="GH3705" s="5" t="s">
        <v>238</v>
      </c>
      <c r="GI3705" s="5" t="s">
        <v>238</v>
      </c>
      <c r="GJ3705" s="5" t="s">
        <v>238</v>
      </c>
      <c r="GK3705" s="5" t="s">
        <v>238</v>
      </c>
      <c r="GL3705" s="5" t="s">
        <v>238</v>
      </c>
      <c r="GM3705" s="5" t="s">
        <v>238</v>
      </c>
      <c r="GN3705" s="5" t="s">
        <v>238</v>
      </c>
      <c r="GO3705" s="5" t="s">
        <v>238</v>
      </c>
      <c r="GP3705" s="5" t="s">
        <v>238</v>
      </c>
      <c r="GQ3705" s="5" t="s">
        <v>238</v>
      </c>
      <c r="GR3705" s="5" t="s">
        <v>238</v>
      </c>
      <c r="GS3705" s="5" t="s">
        <v>238</v>
      </c>
      <c r="GT3705" s="5" t="s">
        <v>238</v>
      </c>
      <c r="GU3705" s="5" t="s">
        <v>238</v>
      </c>
      <c r="GV3705" s="5" t="s">
        <v>238</v>
      </c>
      <c r="GW3705" s="5" t="s">
        <v>238</v>
      </c>
      <c r="GX3705" s="5" t="s">
        <v>238</v>
      </c>
      <c r="GY3705" s="5" t="s">
        <v>238</v>
      </c>
      <c r="GZ3705" s="5" t="s">
        <v>238</v>
      </c>
      <c r="HA3705" s="5" t="s">
        <v>238</v>
      </c>
      <c r="HB3705" s="5" t="s">
        <v>238</v>
      </c>
      <c r="HC3705" s="5" t="s">
        <v>238</v>
      </c>
      <c r="HD3705" s="5" t="s">
        <v>238</v>
      </c>
      <c r="HE3705" s="5" t="s">
        <v>238</v>
      </c>
      <c r="HF3705" s="5" t="s">
        <v>238</v>
      </c>
      <c r="HG3705" s="5" t="s">
        <v>238</v>
      </c>
      <c r="HH3705" s="5" t="s">
        <v>238</v>
      </c>
      <c r="HI3705" s="5" t="s">
        <v>238</v>
      </c>
      <c r="HJ3705" s="5" t="s">
        <v>238</v>
      </c>
      <c r="HK3705" s="5" t="s">
        <v>238</v>
      </c>
      <c r="HL3705" s="5" t="s">
        <v>238</v>
      </c>
      <c r="HM3705" s="5" t="s">
        <v>264</v>
      </c>
      <c r="HN3705" s="5" t="s">
        <v>238</v>
      </c>
      <c r="HO3705" s="5" t="s">
        <v>238</v>
      </c>
      <c r="HP3705" s="5" t="s">
        <v>238</v>
      </c>
      <c r="HQ3705" s="5" t="s">
        <v>238</v>
      </c>
      <c r="HR3705" s="5" t="s">
        <v>238</v>
      </c>
      <c r="HS3705" s="5" t="s">
        <v>238</v>
      </c>
      <c r="HT3705" s="5" t="s">
        <v>238</v>
      </c>
      <c r="HU3705" s="5" t="s">
        <v>238</v>
      </c>
      <c r="HV3705" s="5" t="s">
        <v>238</v>
      </c>
      <c r="HW3705" s="5" t="s">
        <v>238</v>
      </c>
      <c r="HX3705" s="5" t="s">
        <v>238</v>
      </c>
      <c r="HY3705" s="5" t="s">
        <v>238</v>
      </c>
      <c r="HZ3705" s="5" t="s">
        <v>238</v>
      </c>
      <c r="IA3705" s="5" t="s">
        <v>238</v>
      </c>
      <c r="IB3705" s="5" t="s">
        <v>238</v>
      </c>
      <c r="IC3705" s="5" t="s">
        <v>238</v>
      </c>
      <c r="ID3705" s="5" t="s">
        <v>238</v>
      </c>
    </row>
    <row r="3706" spans="1:238" x14ac:dyDescent="0.4">
      <c r="A3706" s="5">
        <v>9424</v>
      </c>
      <c r="B3706" s="5">
        <v>1</v>
      </c>
      <c r="C3706" s="5">
        <v>1</v>
      </c>
      <c r="D3706" s="5" t="s">
        <v>484</v>
      </c>
      <c r="E3706" s="5" t="s">
        <v>485</v>
      </c>
      <c r="F3706" s="5" t="s">
        <v>248</v>
      </c>
      <c r="G3706" s="5" t="s">
        <v>4696</v>
      </c>
      <c r="H3706" s="6" t="s">
        <v>4697</v>
      </c>
      <c r="I3706" s="8">
        <f>1</f>
        <v>1</v>
      </c>
      <c r="J3706" s="5" t="s">
        <v>499</v>
      </c>
      <c r="K3706" s="8">
        <f>1</f>
        <v>1</v>
      </c>
      <c r="L3706" s="6" t="s">
        <v>242</v>
      </c>
      <c r="M3706" s="5" t="s">
        <v>267</v>
      </c>
      <c r="N3706" s="5" t="s">
        <v>482</v>
      </c>
      <c r="O3706" s="5" t="s">
        <v>238</v>
      </c>
      <c r="P3706" s="5" t="s">
        <v>238</v>
      </c>
      <c r="Q3706" s="5" t="s">
        <v>239</v>
      </c>
      <c r="R3706" s="5" t="s">
        <v>270</v>
      </c>
      <c r="S3706" s="5" t="s">
        <v>238</v>
      </c>
      <c r="T3706" s="5" t="s">
        <v>238</v>
      </c>
      <c r="U3706" s="5" t="s">
        <v>238</v>
      </c>
      <c r="V3706" s="5" t="s">
        <v>238</v>
      </c>
      <c r="W3706" s="6" t="s">
        <v>238</v>
      </c>
      <c r="X3706" s="6" t="s">
        <v>238</v>
      </c>
      <c r="Y3706" s="5" t="s">
        <v>238</v>
      </c>
      <c r="Z3706" s="6" t="s">
        <v>238</v>
      </c>
      <c r="AA3706" s="6" t="s">
        <v>243</v>
      </c>
      <c r="AB3706" s="5" t="s">
        <v>486</v>
      </c>
      <c r="AC3706" s="5" t="s">
        <v>244</v>
      </c>
      <c r="AD3706" s="5" t="s">
        <v>245</v>
      </c>
      <c r="AE3706" s="5" t="s">
        <v>238</v>
      </c>
      <c r="AF3706" s="5" t="s">
        <v>238</v>
      </c>
      <c r="AG3706" s="5" t="s">
        <v>238</v>
      </c>
      <c r="AH3706" s="5" t="s">
        <v>238</v>
      </c>
      <c r="AI3706" s="5" t="s">
        <v>238</v>
      </c>
      <c r="AJ3706" s="5" t="s">
        <v>238</v>
      </c>
      <c r="AK3706" s="5" t="s">
        <v>238</v>
      </c>
      <c r="AL3706" s="5" t="s">
        <v>238</v>
      </c>
      <c r="AM3706" s="6" t="s">
        <v>238</v>
      </c>
      <c r="AN3706" s="6" t="s">
        <v>238</v>
      </c>
      <c r="AO3706" s="6" t="s">
        <v>238</v>
      </c>
      <c r="AP3706" s="6" t="s">
        <v>238</v>
      </c>
      <c r="AQ3706" s="5" t="s">
        <v>238</v>
      </c>
      <c r="AR3706" s="5" t="s">
        <v>488</v>
      </c>
      <c r="AS3706" s="5" t="s">
        <v>488</v>
      </c>
      <c r="AT3706" s="5" t="s">
        <v>246</v>
      </c>
      <c r="AU3706" s="5" t="s">
        <v>489</v>
      </c>
      <c r="AV3706" s="5" t="s">
        <v>247</v>
      </c>
      <c r="AW3706" s="5" t="s">
        <v>238</v>
      </c>
      <c r="AX3706" s="5" t="s">
        <v>249</v>
      </c>
      <c r="AY3706" s="5" t="s">
        <v>490</v>
      </c>
      <c r="BA3706" s="5" t="s">
        <v>238</v>
      </c>
      <c r="BC3706" s="5" t="s">
        <v>491</v>
      </c>
      <c r="BD3706" s="6" t="s">
        <v>492</v>
      </c>
      <c r="BE3706" s="5" t="s">
        <v>493</v>
      </c>
      <c r="BF3706" s="5" t="s">
        <v>493</v>
      </c>
      <c r="BG3706" s="5" t="s">
        <v>238</v>
      </c>
      <c r="BH3706" s="8">
        <f>1</f>
        <v>1</v>
      </c>
      <c r="BI3706" s="8">
        <f>1</f>
        <v>1</v>
      </c>
      <c r="BJ3706" s="5" t="s">
        <v>253</v>
      </c>
      <c r="BK3706" s="5" t="s">
        <v>254</v>
      </c>
      <c r="BL3706" s="5" t="s">
        <v>238</v>
      </c>
      <c r="BM3706" s="5" t="s">
        <v>238</v>
      </c>
      <c r="BN3706" s="5" t="s">
        <v>238</v>
      </c>
      <c r="BO3706" s="5" t="s">
        <v>238</v>
      </c>
      <c r="BP3706" s="5" t="s">
        <v>238</v>
      </c>
      <c r="BQ3706" s="5" t="s">
        <v>238</v>
      </c>
      <c r="BR3706" s="5" t="s">
        <v>238</v>
      </c>
      <c r="BS3706" s="5" t="s">
        <v>238</v>
      </c>
      <c r="BT3706" s="6" t="s">
        <v>238</v>
      </c>
      <c r="BU3706" s="5" t="s">
        <v>238</v>
      </c>
      <c r="BV3706" s="5" t="s">
        <v>238</v>
      </c>
      <c r="BW3706" s="5" t="s">
        <v>238</v>
      </c>
      <c r="BX3706" s="5" t="s">
        <v>254</v>
      </c>
      <c r="BY3706" s="5" t="s">
        <v>238</v>
      </c>
      <c r="BZ3706" s="5" t="s">
        <v>238</v>
      </c>
      <c r="CA3706" s="5" t="s">
        <v>238</v>
      </c>
      <c r="CB3706" s="5" t="s">
        <v>238</v>
      </c>
      <c r="CC3706" s="5" t="s">
        <v>238</v>
      </c>
      <c r="CD3706" s="5" t="s">
        <v>273</v>
      </c>
      <c r="CE3706" s="5" t="s">
        <v>256</v>
      </c>
      <c r="CF3706" s="5" t="s">
        <v>238</v>
      </c>
      <c r="CH3706" s="5" t="s">
        <v>494</v>
      </c>
      <c r="CI3706" s="6" t="s">
        <v>257</v>
      </c>
      <c r="CJ3706" s="5" t="s">
        <v>495</v>
      </c>
      <c r="CK3706" s="5" t="s">
        <v>258</v>
      </c>
      <c r="CL3706" s="5" t="s">
        <v>496</v>
      </c>
      <c r="CM3706" s="5" t="s">
        <v>238</v>
      </c>
      <c r="CN3706" s="5">
        <v>0</v>
      </c>
      <c r="CO3706" s="5" t="s">
        <v>497</v>
      </c>
      <c r="CP3706" s="5" t="s">
        <v>260</v>
      </c>
      <c r="CQ3706" s="5" t="s">
        <v>260</v>
      </c>
      <c r="CR3706" s="5" t="s">
        <v>261</v>
      </c>
      <c r="CS3706" s="5" t="s">
        <v>498</v>
      </c>
      <c r="CT3706" s="7">
        <f>1</f>
        <v>1</v>
      </c>
      <c r="CU3706" s="8">
        <f>1</f>
        <v>1</v>
      </c>
      <c r="CV3706" s="8">
        <f>0</f>
        <v>0</v>
      </c>
      <c r="CX3706" s="8">
        <f>1</f>
        <v>1</v>
      </c>
      <c r="CY3706" s="8">
        <f>1</f>
        <v>1</v>
      </c>
      <c r="CZ3706" s="8" t="s">
        <v>238</v>
      </c>
      <c r="DA3706" s="5" t="s">
        <v>238</v>
      </c>
      <c r="DB3706" s="5" t="s">
        <v>238</v>
      </c>
      <c r="DC3706" s="5" t="s">
        <v>238</v>
      </c>
      <c r="DD3706" s="5" t="s">
        <v>238</v>
      </c>
      <c r="DE3706" s="8">
        <f>0</f>
        <v>0</v>
      </c>
      <c r="DG3706" s="5" t="s">
        <v>238</v>
      </c>
      <c r="DH3706" s="5" t="s">
        <v>238</v>
      </c>
      <c r="DI3706" s="5" t="s">
        <v>238</v>
      </c>
      <c r="DJ3706" s="5" t="s">
        <v>238</v>
      </c>
      <c r="DK3706" s="5" t="s">
        <v>238</v>
      </c>
      <c r="DL3706" s="5" t="s">
        <v>238</v>
      </c>
      <c r="DM3706" s="8" t="s">
        <v>238</v>
      </c>
      <c r="DN3706" s="5" t="s">
        <v>238</v>
      </c>
      <c r="DO3706" s="5" t="s">
        <v>238</v>
      </c>
      <c r="DP3706" s="5" t="s">
        <v>490</v>
      </c>
      <c r="DQ3706" s="5" t="s">
        <v>490</v>
      </c>
      <c r="DR3706" s="5" t="s">
        <v>238</v>
      </c>
      <c r="DS3706" s="5" t="s">
        <v>238</v>
      </c>
      <c r="DT3706" s="5" t="s">
        <v>500</v>
      </c>
      <c r="DU3706" s="5" t="s">
        <v>288</v>
      </c>
      <c r="DV3706" s="5" t="s">
        <v>238</v>
      </c>
      <c r="DW3706" s="5" t="s">
        <v>238</v>
      </c>
      <c r="DX3706" s="5" t="s">
        <v>238</v>
      </c>
      <c r="DY3706" s="5" t="s">
        <v>238</v>
      </c>
      <c r="DZ3706" s="5" t="s">
        <v>238</v>
      </c>
      <c r="EA3706" s="5" t="s">
        <v>238</v>
      </c>
      <c r="EB3706" s="5" t="s">
        <v>238</v>
      </c>
      <c r="EC3706" s="5" t="s">
        <v>238</v>
      </c>
      <c r="ED3706" s="5" t="s">
        <v>238</v>
      </c>
      <c r="EE3706" s="5" t="s">
        <v>238</v>
      </c>
      <c r="EF3706" s="5" t="s">
        <v>238</v>
      </c>
      <c r="EG3706" s="5" t="s">
        <v>238</v>
      </c>
      <c r="EH3706" s="5" t="s">
        <v>238</v>
      </c>
      <c r="EI3706" s="5" t="s">
        <v>238</v>
      </c>
      <c r="EJ3706" s="5" t="s">
        <v>238</v>
      </c>
      <c r="EK3706" s="5" t="s">
        <v>238</v>
      </c>
      <c r="EL3706" s="5" t="s">
        <v>238</v>
      </c>
      <c r="EM3706" s="5" t="s">
        <v>238</v>
      </c>
      <c r="EN3706" s="5" t="s">
        <v>238</v>
      </c>
      <c r="EO3706" s="5" t="s">
        <v>238</v>
      </c>
      <c r="EP3706" s="5" t="s">
        <v>238</v>
      </c>
      <c r="EQ3706" s="5" t="s">
        <v>238</v>
      </c>
      <c r="ER3706" s="5" t="s">
        <v>238</v>
      </c>
      <c r="ES3706" s="5" t="s">
        <v>238</v>
      </c>
      <c r="ET3706" s="5" t="s">
        <v>238</v>
      </c>
      <c r="EU3706" s="5" t="s">
        <v>238</v>
      </c>
      <c r="EV3706" s="5" t="s">
        <v>238</v>
      </c>
      <c r="EW3706" s="5" t="s">
        <v>238</v>
      </c>
      <c r="EX3706" s="5" t="s">
        <v>238</v>
      </c>
      <c r="EY3706" s="5" t="s">
        <v>238</v>
      </c>
      <c r="EZ3706" s="5" t="s">
        <v>238</v>
      </c>
      <c r="FA3706" s="5" t="s">
        <v>238</v>
      </c>
      <c r="FB3706" s="5" t="s">
        <v>238</v>
      </c>
      <c r="FC3706" s="5" t="s">
        <v>238</v>
      </c>
      <c r="FD3706" s="5" t="s">
        <v>238</v>
      </c>
      <c r="FE3706" s="5" t="s">
        <v>238</v>
      </c>
      <c r="FF3706" s="5" t="s">
        <v>238</v>
      </c>
      <c r="FG3706" s="5" t="s">
        <v>238</v>
      </c>
      <c r="FH3706" s="5" t="s">
        <v>238</v>
      </c>
      <c r="FI3706" s="5" t="s">
        <v>238</v>
      </c>
      <c r="FJ3706" s="5" t="s">
        <v>238</v>
      </c>
      <c r="FK3706" s="5" t="s">
        <v>238</v>
      </c>
      <c r="FL3706" s="5" t="s">
        <v>238</v>
      </c>
      <c r="FM3706" s="5" t="s">
        <v>238</v>
      </c>
      <c r="FN3706" s="5" t="s">
        <v>238</v>
      </c>
      <c r="FO3706" s="5" t="s">
        <v>238</v>
      </c>
      <c r="FP3706" s="5" t="s">
        <v>238</v>
      </c>
      <c r="FQ3706" s="5" t="s">
        <v>238</v>
      </c>
      <c r="FR3706" s="5" t="s">
        <v>238</v>
      </c>
      <c r="FS3706" s="5" t="s">
        <v>238</v>
      </c>
      <c r="FT3706" s="5" t="s">
        <v>238</v>
      </c>
      <c r="FU3706" s="5" t="s">
        <v>238</v>
      </c>
      <c r="FV3706" s="5" t="s">
        <v>238</v>
      </c>
      <c r="FW3706" s="5" t="s">
        <v>238</v>
      </c>
      <c r="FX3706" s="5" t="s">
        <v>238</v>
      </c>
      <c r="FY3706" s="5" t="s">
        <v>238</v>
      </c>
      <c r="FZ3706" s="5" t="s">
        <v>238</v>
      </c>
      <c r="GA3706" s="5" t="s">
        <v>238</v>
      </c>
      <c r="GB3706" s="5" t="s">
        <v>238</v>
      </c>
      <c r="GC3706" s="5" t="s">
        <v>238</v>
      </c>
      <c r="GD3706" s="5" t="s">
        <v>238</v>
      </c>
      <c r="GE3706" s="5" t="s">
        <v>238</v>
      </c>
      <c r="GF3706" s="5" t="s">
        <v>238</v>
      </c>
      <c r="GG3706" s="5" t="s">
        <v>238</v>
      </c>
      <c r="GH3706" s="5" t="s">
        <v>238</v>
      </c>
      <c r="GI3706" s="5" t="s">
        <v>238</v>
      </c>
      <c r="GJ3706" s="5" t="s">
        <v>238</v>
      </c>
      <c r="GK3706" s="5" t="s">
        <v>238</v>
      </c>
      <c r="GL3706" s="5" t="s">
        <v>238</v>
      </c>
      <c r="GM3706" s="5" t="s">
        <v>238</v>
      </c>
      <c r="GN3706" s="5" t="s">
        <v>238</v>
      </c>
      <c r="GO3706" s="5" t="s">
        <v>238</v>
      </c>
      <c r="GP3706" s="5" t="s">
        <v>238</v>
      </c>
      <c r="GQ3706" s="5" t="s">
        <v>238</v>
      </c>
      <c r="GR3706" s="5" t="s">
        <v>238</v>
      </c>
      <c r="GS3706" s="5" t="s">
        <v>238</v>
      </c>
      <c r="GT3706" s="5" t="s">
        <v>238</v>
      </c>
      <c r="GU3706" s="5" t="s">
        <v>238</v>
      </c>
      <c r="GV3706" s="5" t="s">
        <v>238</v>
      </c>
      <c r="GW3706" s="5" t="s">
        <v>238</v>
      </c>
      <c r="GX3706" s="5" t="s">
        <v>238</v>
      </c>
      <c r="GY3706" s="5" t="s">
        <v>238</v>
      </c>
      <c r="GZ3706" s="5" t="s">
        <v>238</v>
      </c>
      <c r="HA3706" s="5" t="s">
        <v>238</v>
      </c>
      <c r="HB3706" s="5" t="s">
        <v>238</v>
      </c>
      <c r="HC3706" s="5" t="s">
        <v>238</v>
      </c>
      <c r="HD3706" s="5" t="s">
        <v>238</v>
      </c>
      <c r="HE3706" s="5" t="s">
        <v>238</v>
      </c>
      <c r="HF3706" s="5" t="s">
        <v>238</v>
      </c>
      <c r="HG3706" s="5" t="s">
        <v>238</v>
      </c>
      <c r="HH3706" s="5" t="s">
        <v>238</v>
      </c>
      <c r="HI3706" s="5" t="s">
        <v>238</v>
      </c>
      <c r="HJ3706" s="5" t="s">
        <v>238</v>
      </c>
      <c r="HK3706" s="5" t="s">
        <v>238</v>
      </c>
      <c r="HL3706" s="5" t="s">
        <v>238</v>
      </c>
      <c r="HM3706" s="5" t="s">
        <v>264</v>
      </c>
      <c r="HN3706" s="5" t="s">
        <v>238</v>
      </c>
      <c r="HO3706" s="5" t="s">
        <v>238</v>
      </c>
      <c r="HP3706" s="5" t="s">
        <v>238</v>
      </c>
      <c r="HQ3706" s="5" t="s">
        <v>238</v>
      </c>
      <c r="HR3706" s="5" t="s">
        <v>238</v>
      </c>
      <c r="HS3706" s="5" t="s">
        <v>238</v>
      </c>
      <c r="HT3706" s="5" t="s">
        <v>238</v>
      </c>
      <c r="HU3706" s="5" t="s">
        <v>238</v>
      </c>
      <c r="HV3706" s="5" t="s">
        <v>238</v>
      </c>
      <c r="HW3706" s="5" t="s">
        <v>238</v>
      </c>
      <c r="HX3706" s="5" t="s">
        <v>238</v>
      </c>
      <c r="HY3706" s="5" t="s">
        <v>238</v>
      </c>
      <c r="HZ3706" s="5" t="s">
        <v>238</v>
      </c>
      <c r="IA3706" s="5" t="s">
        <v>238</v>
      </c>
      <c r="IB3706" s="5" t="s">
        <v>238</v>
      </c>
      <c r="IC3706" s="5" t="s">
        <v>238</v>
      </c>
      <c r="ID3706" s="5" t="s">
        <v>238</v>
      </c>
    </row>
    <row r="3707" spans="1:238" x14ac:dyDescent="0.4">
      <c r="A3707" s="5">
        <v>9425</v>
      </c>
      <c r="B3707" s="5">
        <v>1</v>
      </c>
      <c r="C3707" s="5">
        <v>1</v>
      </c>
      <c r="D3707" s="5" t="s">
        <v>484</v>
      </c>
      <c r="E3707" s="5" t="s">
        <v>485</v>
      </c>
      <c r="F3707" s="5" t="s">
        <v>248</v>
      </c>
      <c r="G3707" s="5" t="s">
        <v>5567</v>
      </c>
      <c r="H3707" s="6" t="s">
        <v>5568</v>
      </c>
      <c r="I3707" s="8">
        <f>1</f>
        <v>1</v>
      </c>
      <c r="J3707" s="5" t="s">
        <v>499</v>
      </c>
      <c r="K3707" s="8">
        <f>1</f>
        <v>1</v>
      </c>
      <c r="L3707" s="6" t="s">
        <v>242</v>
      </c>
      <c r="M3707" s="5" t="s">
        <v>267</v>
      </c>
      <c r="N3707" s="5" t="s">
        <v>482</v>
      </c>
      <c r="O3707" s="5" t="s">
        <v>238</v>
      </c>
      <c r="P3707" s="5" t="s">
        <v>238</v>
      </c>
      <c r="Q3707" s="5" t="s">
        <v>239</v>
      </c>
      <c r="R3707" s="5" t="s">
        <v>270</v>
      </c>
      <c r="S3707" s="5" t="s">
        <v>238</v>
      </c>
      <c r="T3707" s="5" t="s">
        <v>238</v>
      </c>
      <c r="U3707" s="5" t="s">
        <v>238</v>
      </c>
      <c r="V3707" s="5" t="s">
        <v>238</v>
      </c>
      <c r="W3707" s="6" t="s">
        <v>238</v>
      </c>
      <c r="X3707" s="6" t="s">
        <v>238</v>
      </c>
      <c r="Y3707" s="5" t="s">
        <v>238</v>
      </c>
      <c r="Z3707" s="6" t="s">
        <v>238</v>
      </c>
      <c r="AA3707" s="6" t="s">
        <v>243</v>
      </c>
      <c r="AB3707" s="5" t="s">
        <v>486</v>
      </c>
      <c r="AC3707" s="5" t="s">
        <v>244</v>
      </c>
      <c r="AD3707" s="5" t="s">
        <v>245</v>
      </c>
      <c r="AE3707" s="5" t="s">
        <v>238</v>
      </c>
      <c r="AF3707" s="5" t="s">
        <v>238</v>
      </c>
      <c r="AG3707" s="5" t="s">
        <v>238</v>
      </c>
      <c r="AH3707" s="5" t="s">
        <v>238</v>
      </c>
      <c r="AI3707" s="5" t="s">
        <v>238</v>
      </c>
      <c r="AJ3707" s="5" t="s">
        <v>238</v>
      </c>
      <c r="AK3707" s="5" t="s">
        <v>238</v>
      </c>
      <c r="AL3707" s="5" t="s">
        <v>238</v>
      </c>
      <c r="AM3707" s="6" t="s">
        <v>238</v>
      </c>
      <c r="AN3707" s="6" t="s">
        <v>238</v>
      </c>
      <c r="AO3707" s="6" t="s">
        <v>238</v>
      </c>
      <c r="AP3707" s="6" t="s">
        <v>238</v>
      </c>
      <c r="AQ3707" s="5" t="s">
        <v>238</v>
      </c>
      <c r="AR3707" s="5" t="s">
        <v>488</v>
      </c>
      <c r="AS3707" s="5" t="s">
        <v>488</v>
      </c>
      <c r="AT3707" s="5" t="s">
        <v>246</v>
      </c>
      <c r="AU3707" s="5" t="s">
        <v>489</v>
      </c>
      <c r="AV3707" s="5" t="s">
        <v>247</v>
      </c>
      <c r="AW3707" s="5" t="s">
        <v>238</v>
      </c>
      <c r="AX3707" s="5" t="s">
        <v>249</v>
      </c>
      <c r="AY3707" s="5" t="s">
        <v>490</v>
      </c>
      <c r="BA3707" s="5" t="s">
        <v>238</v>
      </c>
      <c r="BC3707" s="5" t="s">
        <v>491</v>
      </c>
      <c r="BD3707" s="6" t="s">
        <v>492</v>
      </c>
      <c r="BE3707" s="5" t="s">
        <v>493</v>
      </c>
      <c r="BF3707" s="5" t="s">
        <v>493</v>
      </c>
      <c r="BG3707" s="5" t="s">
        <v>238</v>
      </c>
      <c r="BH3707" s="8">
        <f>1</f>
        <v>1</v>
      </c>
      <c r="BI3707" s="8">
        <f>1</f>
        <v>1</v>
      </c>
      <c r="BJ3707" s="5" t="s">
        <v>253</v>
      </c>
      <c r="BK3707" s="5" t="s">
        <v>254</v>
      </c>
      <c r="BL3707" s="5" t="s">
        <v>238</v>
      </c>
      <c r="BM3707" s="5" t="s">
        <v>238</v>
      </c>
      <c r="BN3707" s="5" t="s">
        <v>238</v>
      </c>
      <c r="BO3707" s="5" t="s">
        <v>238</v>
      </c>
      <c r="BP3707" s="5" t="s">
        <v>238</v>
      </c>
      <c r="BQ3707" s="5" t="s">
        <v>238</v>
      </c>
      <c r="BR3707" s="5" t="s">
        <v>238</v>
      </c>
      <c r="BS3707" s="5" t="s">
        <v>238</v>
      </c>
      <c r="BT3707" s="6" t="s">
        <v>238</v>
      </c>
      <c r="BU3707" s="5" t="s">
        <v>238</v>
      </c>
      <c r="BV3707" s="5" t="s">
        <v>238</v>
      </c>
      <c r="BW3707" s="5" t="s">
        <v>238</v>
      </c>
      <c r="BX3707" s="5" t="s">
        <v>254</v>
      </c>
      <c r="BY3707" s="5" t="s">
        <v>238</v>
      </c>
      <c r="BZ3707" s="5" t="s">
        <v>238</v>
      </c>
      <c r="CA3707" s="5" t="s">
        <v>238</v>
      </c>
      <c r="CB3707" s="5" t="s">
        <v>238</v>
      </c>
      <c r="CC3707" s="5" t="s">
        <v>238</v>
      </c>
      <c r="CD3707" s="5" t="s">
        <v>273</v>
      </c>
      <c r="CE3707" s="5" t="s">
        <v>256</v>
      </c>
      <c r="CF3707" s="5" t="s">
        <v>238</v>
      </c>
      <c r="CH3707" s="5" t="s">
        <v>494</v>
      </c>
      <c r="CI3707" s="6" t="s">
        <v>257</v>
      </c>
      <c r="CJ3707" s="5" t="s">
        <v>495</v>
      </c>
      <c r="CK3707" s="5" t="s">
        <v>258</v>
      </c>
      <c r="CL3707" s="5" t="s">
        <v>496</v>
      </c>
      <c r="CM3707" s="5" t="s">
        <v>238</v>
      </c>
      <c r="CN3707" s="5">
        <v>0</v>
      </c>
      <c r="CO3707" s="5" t="s">
        <v>497</v>
      </c>
      <c r="CP3707" s="5" t="s">
        <v>260</v>
      </c>
      <c r="CQ3707" s="5" t="s">
        <v>260</v>
      </c>
      <c r="CR3707" s="5" t="s">
        <v>261</v>
      </c>
      <c r="CS3707" s="5" t="s">
        <v>498</v>
      </c>
      <c r="CT3707" s="7">
        <f>1</f>
        <v>1</v>
      </c>
      <c r="CU3707" s="8">
        <f>1</f>
        <v>1</v>
      </c>
      <c r="CV3707" s="8">
        <f>0</f>
        <v>0</v>
      </c>
      <c r="CX3707" s="8">
        <f>1</f>
        <v>1</v>
      </c>
      <c r="CY3707" s="8">
        <f>1</f>
        <v>1</v>
      </c>
      <c r="CZ3707" s="8" t="s">
        <v>238</v>
      </c>
      <c r="DA3707" s="5" t="s">
        <v>238</v>
      </c>
      <c r="DB3707" s="5" t="s">
        <v>238</v>
      </c>
      <c r="DC3707" s="5" t="s">
        <v>238</v>
      </c>
      <c r="DD3707" s="5" t="s">
        <v>238</v>
      </c>
      <c r="DE3707" s="8">
        <f>0</f>
        <v>0</v>
      </c>
      <c r="DG3707" s="5" t="s">
        <v>238</v>
      </c>
      <c r="DH3707" s="5" t="s">
        <v>238</v>
      </c>
      <c r="DI3707" s="5" t="s">
        <v>238</v>
      </c>
      <c r="DJ3707" s="5" t="s">
        <v>238</v>
      </c>
      <c r="DK3707" s="5" t="s">
        <v>238</v>
      </c>
      <c r="DL3707" s="5" t="s">
        <v>238</v>
      </c>
      <c r="DM3707" s="8" t="s">
        <v>238</v>
      </c>
      <c r="DN3707" s="5" t="s">
        <v>238</v>
      </c>
      <c r="DO3707" s="5" t="s">
        <v>238</v>
      </c>
      <c r="DP3707" s="5" t="s">
        <v>490</v>
      </c>
      <c r="DQ3707" s="5" t="s">
        <v>490</v>
      </c>
      <c r="DR3707" s="5" t="s">
        <v>238</v>
      </c>
      <c r="DS3707" s="5" t="s">
        <v>238</v>
      </c>
      <c r="DT3707" s="5" t="s">
        <v>500</v>
      </c>
      <c r="DU3707" s="5" t="s">
        <v>276</v>
      </c>
      <c r="DV3707" s="5" t="s">
        <v>238</v>
      </c>
      <c r="DW3707" s="5" t="s">
        <v>238</v>
      </c>
      <c r="DX3707" s="5" t="s">
        <v>238</v>
      </c>
      <c r="DY3707" s="5" t="s">
        <v>238</v>
      </c>
      <c r="DZ3707" s="5" t="s">
        <v>238</v>
      </c>
      <c r="EA3707" s="5" t="s">
        <v>238</v>
      </c>
      <c r="EB3707" s="5" t="s">
        <v>238</v>
      </c>
      <c r="EC3707" s="5" t="s">
        <v>238</v>
      </c>
      <c r="ED3707" s="5" t="s">
        <v>238</v>
      </c>
      <c r="EE3707" s="5" t="s">
        <v>238</v>
      </c>
      <c r="EF3707" s="5" t="s">
        <v>238</v>
      </c>
      <c r="EG3707" s="5" t="s">
        <v>238</v>
      </c>
      <c r="EH3707" s="5" t="s">
        <v>238</v>
      </c>
      <c r="EI3707" s="5" t="s">
        <v>238</v>
      </c>
      <c r="EJ3707" s="5" t="s">
        <v>238</v>
      </c>
      <c r="EK3707" s="5" t="s">
        <v>238</v>
      </c>
      <c r="EL3707" s="5" t="s">
        <v>238</v>
      </c>
      <c r="EM3707" s="5" t="s">
        <v>238</v>
      </c>
      <c r="EN3707" s="5" t="s">
        <v>238</v>
      </c>
      <c r="EO3707" s="5" t="s">
        <v>238</v>
      </c>
      <c r="EP3707" s="5" t="s">
        <v>238</v>
      </c>
      <c r="EQ3707" s="5" t="s">
        <v>238</v>
      </c>
      <c r="ER3707" s="5" t="s">
        <v>238</v>
      </c>
      <c r="ES3707" s="5" t="s">
        <v>238</v>
      </c>
      <c r="ET3707" s="5" t="s">
        <v>238</v>
      </c>
      <c r="EU3707" s="5" t="s">
        <v>238</v>
      </c>
      <c r="EV3707" s="5" t="s">
        <v>238</v>
      </c>
      <c r="EW3707" s="5" t="s">
        <v>238</v>
      </c>
      <c r="EX3707" s="5" t="s">
        <v>238</v>
      </c>
      <c r="EY3707" s="5" t="s">
        <v>238</v>
      </c>
      <c r="EZ3707" s="5" t="s">
        <v>238</v>
      </c>
      <c r="FA3707" s="5" t="s">
        <v>238</v>
      </c>
      <c r="FB3707" s="5" t="s">
        <v>238</v>
      </c>
      <c r="FC3707" s="5" t="s">
        <v>238</v>
      </c>
      <c r="FD3707" s="5" t="s">
        <v>238</v>
      </c>
      <c r="FE3707" s="5" t="s">
        <v>238</v>
      </c>
      <c r="FF3707" s="5" t="s">
        <v>238</v>
      </c>
      <c r="FG3707" s="5" t="s">
        <v>238</v>
      </c>
      <c r="FH3707" s="5" t="s">
        <v>238</v>
      </c>
      <c r="FI3707" s="5" t="s">
        <v>238</v>
      </c>
      <c r="FJ3707" s="5" t="s">
        <v>238</v>
      </c>
      <c r="FK3707" s="5" t="s">
        <v>238</v>
      </c>
      <c r="FL3707" s="5" t="s">
        <v>238</v>
      </c>
      <c r="FM3707" s="5" t="s">
        <v>238</v>
      </c>
      <c r="FN3707" s="5" t="s">
        <v>238</v>
      </c>
      <c r="FO3707" s="5" t="s">
        <v>238</v>
      </c>
      <c r="FP3707" s="5" t="s">
        <v>238</v>
      </c>
      <c r="FQ3707" s="5" t="s">
        <v>238</v>
      </c>
      <c r="FR3707" s="5" t="s">
        <v>238</v>
      </c>
      <c r="FS3707" s="5" t="s">
        <v>238</v>
      </c>
      <c r="FT3707" s="5" t="s">
        <v>238</v>
      </c>
      <c r="FU3707" s="5" t="s">
        <v>238</v>
      </c>
      <c r="FV3707" s="5" t="s">
        <v>238</v>
      </c>
      <c r="FW3707" s="5" t="s">
        <v>238</v>
      </c>
      <c r="FX3707" s="5" t="s">
        <v>238</v>
      </c>
      <c r="FY3707" s="5" t="s">
        <v>238</v>
      </c>
      <c r="FZ3707" s="5" t="s">
        <v>238</v>
      </c>
      <c r="GA3707" s="5" t="s">
        <v>238</v>
      </c>
      <c r="GB3707" s="5" t="s">
        <v>238</v>
      </c>
      <c r="GC3707" s="5" t="s">
        <v>238</v>
      </c>
      <c r="GD3707" s="5" t="s">
        <v>238</v>
      </c>
      <c r="GE3707" s="5" t="s">
        <v>238</v>
      </c>
      <c r="GF3707" s="5" t="s">
        <v>238</v>
      </c>
      <c r="GG3707" s="5" t="s">
        <v>238</v>
      </c>
      <c r="GH3707" s="5" t="s">
        <v>238</v>
      </c>
      <c r="GI3707" s="5" t="s">
        <v>238</v>
      </c>
      <c r="GJ3707" s="5" t="s">
        <v>238</v>
      </c>
      <c r="GK3707" s="5" t="s">
        <v>238</v>
      </c>
      <c r="GL3707" s="5" t="s">
        <v>238</v>
      </c>
      <c r="GM3707" s="5" t="s">
        <v>238</v>
      </c>
      <c r="GN3707" s="5" t="s">
        <v>238</v>
      </c>
      <c r="GO3707" s="5" t="s">
        <v>238</v>
      </c>
      <c r="GP3707" s="5" t="s">
        <v>238</v>
      </c>
      <c r="GQ3707" s="5" t="s">
        <v>238</v>
      </c>
      <c r="GR3707" s="5" t="s">
        <v>238</v>
      </c>
      <c r="GS3707" s="5" t="s">
        <v>238</v>
      </c>
      <c r="GT3707" s="5" t="s">
        <v>238</v>
      </c>
      <c r="GU3707" s="5" t="s">
        <v>238</v>
      </c>
      <c r="GV3707" s="5" t="s">
        <v>238</v>
      </c>
      <c r="GW3707" s="5" t="s">
        <v>238</v>
      </c>
      <c r="GX3707" s="5" t="s">
        <v>238</v>
      </c>
      <c r="GY3707" s="5" t="s">
        <v>238</v>
      </c>
      <c r="GZ3707" s="5" t="s">
        <v>238</v>
      </c>
      <c r="HA3707" s="5" t="s">
        <v>238</v>
      </c>
      <c r="HB3707" s="5" t="s">
        <v>238</v>
      </c>
      <c r="HC3707" s="5" t="s">
        <v>238</v>
      </c>
      <c r="HD3707" s="5" t="s">
        <v>238</v>
      </c>
      <c r="HE3707" s="5" t="s">
        <v>238</v>
      </c>
      <c r="HF3707" s="5" t="s">
        <v>238</v>
      </c>
      <c r="HG3707" s="5" t="s">
        <v>238</v>
      </c>
      <c r="HH3707" s="5" t="s">
        <v>238</v>
      </c>
      <c r="HI3707" s="5" t="s">
        <v>238</v>
      </c>
      <c r="HJ3707" s="5" t="s">
        <v>238</v>
      </c>
      <c r="HK3707" s="5" t="s">
        <v>238</v>
      </c>
      <c r="HL3707" s="5" t="s">
        <v>238</v>
      </c>
      <c r="HM3707" s="5" t="s">
        <v>264</v>
      </c>
      <c r="HN3707" s="5" t="s">
        <v>238</v>
      </c>
      <c r="HO3707" s="5" t="s">
        <v>238</v>
      </c>
      <c r="HP3707" s="5" t="s">
        <v>238</v>
      </c>
      <c r="HQ3707" s="5" t="s">
        <v>238</v>
      </c>
      <c r="HR3707" s="5" t="s">
        <v>238</v>
      </c>
      <c r="HS3707" s="5" t="s">
        <v>238</v>
      </c>
      <c r="HT3707" s="5" t="s">
        <v>238</v>
      </c>
      <c r="HU3707" s="5" t="s">
        <v>238</v>
      </c>
      <c r="HV3707" s="5" t="s">
        <v>238</v>
      </c>
      <c r="HW3707" s="5" t="s">
        <v>238</v>
      </c>
      <c r="HX3707" s="5" t="s">
        <v>238</v>
      </c>
      <c r="HY3707" s="5" t="s">
        <v>238</v>
      </c>
      <c r="HZ3707" s="5" t="s">
        <v>238</v>
      </c>
      <c r="IA3707" s="5" t="s">
        <v>238</v>
      </c>
      <c r="IB3707" s="5" t="s">
        <v>238</v>
      </c>
      <c r="IC3707" s="5" t="s">
        <v>238</v>
      </c>
      <c r="ID3707" s="5" t="s">
        <v>238</v>
      </c>
    </row>
    <row r="3708" spans="1:238" x14ac:dyDescent="0.4">
      <c r="A3708" s="5">
        <v>9426</v>
      </c>
      <c r="B3708" s="5">
        <v>1</v>
      </c>
      <c r="C3708" s="5">
        <v>1</v>
      </c>
      <c r="D3708" s="5" t="s">
        <v>484</v>
      </c>
      <c r="E3708" s="5" t="s">
        <v>485</v>
      </c>
      <c r="F3708" s="5" t="s">
        <v>248</v>
      </c>
      <c r="G3708" s="5" t="s">
        <v>4733</v>
      </c>
      <c r="H3708" s="6" t="s">
        <v>4734</v>
      </c>
      <c r="I3708" s="8">
        <f>1</f>
        <v>1</v>
      </c>
      <c r="J3708" s="5" t="s">
        <v>499</v>
      </c>
      <c r="K3708" s="8">
        <f>1</f>
        <v>1</v>
      </c>
      <c r="L3708" s="6" t="s">
        <v>242</v>
      </c>
      <c r="M3708" s="5" t="s">
        <v>267</v>
      </c>
      <c r="N3708" s="5" t="s">
        <v>482</v>
      </c>
      <c r="O3708" s="5" t="s">
        <v>238</v>
      </c>
      <c r="P3708" s="5" t="s">
        <v>238</v>
      </c>
      <c r="Q3708" s="5" t="s">
        <v>239</v>
      </c>
      <c r="R3708" s="5" t="s">
        <v>270</v>
      </c>
      <c r="S3708" s="5" t="s">
        <v>238</v>
      </c>
      <c r="T3708" s="5" t="s">
        <v>238</v>
      </c>
      <c r="U3708" s="5" t="s">
        <v>238</v>
      </c>
      <c r="V3708" s="5" t="s">
        <v>238</v>
      </c>
      <c r="W3708" s="6" t="s">
        <v>238</v>
      </c>
      <c r="X3708" s="6" t="s">
        <v>238</v>
      </c>
      <c r="Y3708" s="5" t="s">
        <v>238</v>
      </c>
      <c r="Z3708" s="6" t="s">
        <v>238</v>
      </c>
      <c r="AA3708" s="6" t="s">
        <v>243</v>
      </c>
      <c r="AB3708" s="5" t="s">
        <v>486</v>
      </c>
      <c r="AC3708" s="5" t="s">
        <v>244</v>
      </c>
      <c r="AD3708" s="5" t="s">
        <v>245</v>
      </c>
      <c r="AE3708" s="5" t="s">
        <v>238</v>
      </c>
      <c r="AF3708" s="5" t="s">
        <v>238</v>
      </c>
      <c r="AG3708" s="5" t="s">
        <v>238</v>
      </c>
      <c r="AH3708" s="5" t="s">
        <v>238</v>
      </c>
      <c r="AI3708" s="5" t="s">
        <v>238</v>
      </c>
      <c r="AJ3708" s="5" t="s">
        <v>238</v>
      </c>
      <c r="AK3708" s="5" t="s">
        <v>238</v>
      </c>
      <c r="AL3708" s="5" t="s">
        <v>238</v>
      </c>
      <c r="AM3708" s="6" t="s">
        <v>238</v>
      </c>
      <c r="AN3708" s="6" t="s">
        <v>238</v>
      </c>
      <c r="AO3708" s="6" t="s">
        <v>238</v>
      </c>
      <c r="AP3708" s="6" t="s">
        <v>238</v>
      </c>
      <c r="AQ3708" s="5" t="s">
        <v>238</v>
      </c>
      <c r="AR3708" s="5" t="s">
        <v>488</v>
      </c>
      <c r="AS3708" s="5" t="s">
        <v>488</v>
      </c>
      <c r="AT3708" s="5" t="s">
        <v>246</v>
      </c>
      <c r="AU3708" s="5" t="s">
        <v>489</v>
      </c>
      <c r="AV3708" s="5" t="s">
        <v>247</v>
      </c>
      <c r="AW3708" s="5" t="s">
        <v>238</v>
      </c>
      <c r="AX3708" s="5" t="s">
        <v>249</v>
      </c>
      <c r="AY3708" s="5" t="s">
        <v>490</v>
      </c>
      <c r="BA3708" s="5" t="s">
        <v>238</v>
      </c>
      <c r="BC3708" s="5" t="s">
        <v>491</v>
      </c>
      <c r="BD3708" s="6" t="s">
        <v>492</v>
      </c>
      <c r="BE3708" s="5" t="s">
        <v>493</v>
      </c>
      <c r="BF3708" s="5" t="s">
        <v>493</v>
      </c>
      <c r="BG3708" s="5" t="s">
        <v>238</v>
      </c>
      <c r="BH3708" s="8">
        <f>1</f>
        <v>1</v>
      </c>
      <c r="BI3708" s="8">
        <f>1</f>
        <v>1</v>
      </c>
      <c r="BJ3708" s="5" t="s">
        <v>253</v>
      </c>
      <c r="BK3708" s="5" t="s">
        <v>254</v>
      </c>
      <c r="BL3708" s="5" t="s">
        <v>238</v>
      </c>
      <c r="BM3708" s="5" t="s">
        <v>238</v>
      </c>
      <c r="BN3708" s="5" t="s">
        <v>238</v>
      </c>
      <c r="BO3708" s="5" t="s">
        <v>238</v>
      </c>
      <c r="BP3708" s="5" t="s">
        <v>238</v>
      </c>
      <c r="BQ3708" s="5" t="s">
        <v>238</v>
      </c>
      <c r="BR3708" s="5" t="s">
        <v>238</v>
      </c>
      <c r="BS3708" s="5" t="s">
        <v>238</v>
      </c>
      <c r="BT3708" s="6" t="s">
        <v>238</v>
      </c>
      <c r="BU3708" s="5" t="s">
        <v>238</v>
      </c>
      <c r="BV3708" s="5" t="s">
        <v>238</v>
      </c>
      <c r="BW3708" s="5" t="s">
        <v>238</v>
      </c>
      <c r="BX3708" s="5" t="s">
        <v>254</v>
      </c>
      <c r="BY3708" s="5" t="s">
        <v>238</v>
      </c>
      <c r="BZ3708" s="5" t="s">
        <v>238</v>
      </c>
      <c r="CA3708" s="5" t="s">
        <v>238</v>
      </c>
      <c r="CB3708" s="5" t="s">
        <v>238</v>
      </c>
      <c r="CC3708" s="5" t="s">
        <v>238</v>
      </c>
      <c r="CD3708" s="5" t="s">
        <v>273</v>
      </c>
      <c r="CE3708" s="5" t="s">
        <v>256</v>
      </c>
      <c r="CF3708" s="5" t="s">
        <v>238</v>
      </c>
      <c r="CH3708" s="5" t="s">
        <v>494</v>
      </c>
      <c r="CI3708" s="6" t="s">
        <v>257</v>
      </c>
      <c r="CJ3708" s="5" t="s">
        <v>495</v>
      </c>
      <c r="CK3708" s="5" t="s">
        <v>258</v>
      </c>
      <c r="CL3708" s="5" t="s">
        <v>496</v>
      </c>
      <c r="CM3708" s="5" t="s">
        <v>238</v>
      </c>
      <c r="CN3708" s="5">
        <v>0</v>
      </c>
      <c r="CO3708" s="5" t="s">
        <v>497</v>
      </c>
      <c r="CP3708" s="5" t="s">
        <v>260</v>
      </c>
      <c r="CQ3708" s="5" t="s">
        <v>260</v>
      </c>
      <c r="CR3708" s="5" t="s">
        <v>261</v>
      </c>
      <c r="CS3708" s="5" t="s">
        <v>498</v>
      </c>
      <c r="CT3708" s="7">
        <f>1</f>
        <v>1</v>
      </c>
      <c r="CU3708" s="8">
        <f>1</f>
        <v>1</v>
      </c>
      <c r="CV3708" s="8">
        <f>0</f>
        <v>0</v>
      </c>
      <c r="CX3708" s="8">
        <f>1</f>
        <v>1</v>
      </c>
      <c r="CY3708" s="8">
        <f>1</f>
        <v>1</v>
      </c>
      <c r="CZ3708" s="8" t="s">
        <v>238</v>
      </c>
      <c r="DA3708" s="5" t="s">
        <v>238</v>
      </c>
      <c r="DB3708" s="5" t="s">
        <v>238</v>
      </c>
      <c r="DC3708" s="5" t="s">
        <v>238</v>
      </c>
      <c r="DD3708" s="5" t="s">
        <v>238</v>
      </c>
      <c r="DE3708" s="8">
        <f>0</f>
        <v>0</v>
      </c>
      <c r="DG3708" s="5" t="s">
        <v>238</v>
      </c>
      <c r="DH3708" s="5" t="s">
        <v>238</v>
      </c>
      <c r="DI3708" s="5" t="s">
        <v>238</v>
      </c>
      <c r="DJ3708" s="5" t="s">
        <v>238</v>
      </c>
      <c r="DK3708" s="5" t="s">
        <v>238</v>
      </c>
      <c r="DL3708" s="5" t="s">
        <v>238</v>
      </c>
      <c r="DM3708" s="8" t="s">
        <v>238</v>
      </c>
      <c r="DN3708" s="5" t="s">
        <v>238</v>
      </c>
      <c r="DO3708" s="5" t="s">
        <v>238</v>
      </c>
      <c r="DP3708" s="5" t="s">
        <v>490</v>
      </c>
      <c r="DQ3708" s="5" t="s">
        <v>490</v>
      </c>
      <c r="DR3708" s="5" t="s">
        <v>238</v>
      </c>
      <c r="DS3708" s="5" t="s">
        <v>238</v>
      </c>
      <c r="DT3708" s="5" t="s">
        <v>500</v>
      </c>
      <c r="DU3708" s="5" t="s">
        <v>498</v>
      </c>
      <c r="DV3708" s="5" t="s">
        <v>238</v>
      </c>
      <c r="DW3708" s="5" t="s">
        <v>238</v>
      </c>
      <c r="DX3708" s="5" t="s">
        <v>238</v>
      </c>
      <c r="DY3708" s="5" t="s">
        <v>238</v>
      </c>
      <c r="DZ3708" s="5" t="s">
        <v>238</v>
      </c>
      <c r="EA3708" s="5" t="s">
        <v>238</v>
      </c>
      <c r="EB3708" s="5" t="s">
        <v>238</v>
      </c>
      <c r="EC3708" s="5" t="s">
        <v>238</v>
      </c>
      <c r="ED3708" s="5" t="s">
        <v>238</v>
      </c>
      <c r="EE3708" s="5" t="s">
        <v>238</v>
      </c>
      <c r="EF3708" s="5" t="s">
        <v>238</v>
      </c>
      <c r="EG3708" s="5" t="s">
        <v>238</v>
      </c>
      <c r="EH3708" s="5" t="s">
        <v>238</v>
      </c>
      <c r="EI3708" s="5" t="s">
        <v>238</v>
      </c>
      <c r="EJ3708" s="5" t="s">
        <v>238</v>
      </c>
      <c r="EK3708" s="5" t="s">
        <v>238</v>
      </c>
      <c r="EL3708" s="5" t="s">
        <v>238</v>
      </c>
      <c r="EM3708" s="5" t="s">
        <v>238</v>
      </c>
      <c r="EN3708" s="5" t="s">
        <v>238</v>
      </c>
      <c r="EO3708" s="5" t="s">
        <v>238</v>
      </c>
      <c r="EP3708" s="5" t="s">
        <v>238</v>
      </c>
      <c r="EQ3708" s="5" t="s">
        <v>238</v>
      </c>
      <c r="ER3708" s="5" t="s">
        <v>238</v>
      </c>
      <c r="ES3708" s="5" t="s">
        <v>238</v>
      </c>
      <c r="ET3708" s="5" t="s">
        <v>238</v>
      </c>
      <c r="EU3708" s="5" t="s">
        <v>238</v>
      </c>
      <c r="EV3708" s="5" t="s">
        <v>238</v>
      </c>
      <c r="EW3708" s="5" t="s">
        <v>238</v>
      </c>
      <c r="EX3708" s="5" t="s">
        <v>238</v>
      </c>
      <c r="EY3708" s="5" t="s">
        <v>238</v>
      </c>
      <c r="EZ3708" s="5" t="s">
        <v>238</v>
      </c>
      <c r="FA3708" s="5" t="s">
        <v>238</v>
      </c>
      <c r="FB3708" s="5" t="s">
        <v>238</v>
      </c>
      <c r="FC3708" s="5" t="s">
        <v>238</v>
      </c>
      <c r="FD3708" s="5" t="s">
        <v>238</v>
      </c>
      <c r="FE3708" s="5" t="s">
        <v>238</v>
      </c>
      <c r="FF3708" s="5" t="s">
        <v>238</v>
      </c>
      <c r="FG3708" s="5" t="s">
        <v>238</v>
      </c>
      <c r="FH3708" s="5" t="s">
        <v>238</v>
      </c>
      <c r="FI3708" s="5" t="s">
        <v>238</v>
      </c>
      <c r="FJ3708" s="5" t="s">
        <v>238</v>
      </c>
      <c r="FK3708" s="5" t="s">
        <v>238</v>
      </c>
      <c r="FL3708" s="5" t="s">
        <v>238</v>
      </c>
      <c r="FM3708" s="5" t="s">
        <v>238</v>
      </c>
      <c r="FN3708" s="5" t="s">
        <v>238</v>
      </c>
      <c r="FO3708" s="5" t="s">
        <v>238</v>
      </c>
      <c r="FP3708" s="5" t="s">
        <v>238</v>
      </c>
      <c r="FQ3708" s="5" t="s">
        <v>238</v>
      </c>
      <c r="FR3708" s="5" t="s">
        <v>238</v>
      </c>
      <c r="FS3708" s="5" t="s">
        <v>238</v>
      </c>
      <c r="FT3708" s="5" t="s">
        <v>238</v>
      </c>
      <c r="FU3708" s="5" t="s">
        <v>238</v>
      </c>
      <c r="FV3708" s="5" t="s">
        <v>238</v>
      </c>
      <c r="FW3708" s="5" t="s">
        <v>238</v>
      </c>
      <c r="FX3708" s="5" t="s">
        <v>238</v>
      </c>
      <c r="FY3708" s="5" t="s">
        <v>238</v>
      </c>
      <c r="FZ3708" s="5" t="s">
        <v>238</v>
      </c>
      <c r="GA3708" s="5" t="s">
        <v>238</v>
      </c>
      <c r="GB3708" s="5" t="s">
        <v>238</v>
      </c>
      <c r="GC3708" s="5" t="s">
        <v>238</v>
      </c>
      <c r="GD3708" s="5" t="s">
        <v>238</v>
      </c>
      <c r="GE3708" s="5" t="s">
        <v>238</v>
      </c>
      <c r="GF3708" s="5" t="s">
        <v>238</v>
      </c>
      <c r="GG3708" s="5" t="s">
        <v>238</v>
      </c>
      <c r="GH3708" s="5" t="s">
        <v>238</v>
      </c>
      <c r="GI3708" s="5" t="s">
        <v>238</v>
      </c>
      <c r="GJ3708" s="5" t="s">
        <v>238</v>
      </c>
      <c r="GK3708" s="5" t="s">
        <v>238</v>
      </c>
      <c r="GL3708" s="5" t="s">
        <v>238</v>
      </c>
      <c r="GM3708" s="5" t="s">
        <v>238</v>
      </c>
      <c r="GN3708" s="5" t="s">
        <v>238</v>
      </c>
      <c r="GO3708" s="5" t="s">
        <v>238</v>
      </c>
      <c r="GP3708" s="5" t="s">
        <v>238</v>
      </c>
      <c r="GQ3708" s="5" t="s">
        <v>238</v>
      </c>
      <c r="GR3708" s="5" t="s">
        <v>238</v>
      </c>
      <c r="GS3708" s="5" t="s">
        <v>238</v>
      </c>
      <c r="GT3708" s="5" t="s">
        <v>238</v>
      </c>
      <c r="GU3708" s="5" t="s">
        <v>238</v>
      </c>
      <c r="GV3708" s="5" t="s">
        <v>238</v>
      </c>
      <c r="GW3708" s="5" t="s">
        <v>238</v>
      </c>
      <c r="GX3708" s="5" t="s">
        <v>238</v>
      </c>
      <c r="GY3708" s="5" t="s">
        <v>238</v>
      </c>
      <c r="GZ3708" s="5" t="s">
        <v>238</v>
      </c>
      <c r="HA3708" s="5" t="s">
        <v>238</v>
      </c>
      <c r="HB3708" s="5" t="s">
        <v>238</v>
      </c>
      <c r="HC3708" s="5" t="s">
        <v>238</v>
      </c>
      <c r="HD3708" s="5" t="s">
        <v>238</v>
      </c>
      <c r="HE3708" s="5" t="s">
        <v>238</v>
      </c>
      <c r="HF3708" s="5" t="s">
        <v>238</v>
      </c>
      <c r="HG3708" s="5" t="s">
        <v>238</v>
      </c>
      <c r="HH3708" s="5" t="s">
        <v>238</v>
      </c>
      <c r="HI3708" s="5" t="s">
        <v>238</v>
      </c>
      <c r="HJ3708" s="5" t="s">
        <v>238</v>
      </c>
      <c r="HK3708" s="5" t="s">
        <v>238</v>
      </c>
      <c r="HL3708" s="5" t="s">
        <v>238</v>
      </c>
      <c r="HM3708" s="5" t="s">
        <v>264</v>
      </c>
      <c r="HN3708" s="5" t="s">
        <v>238</v>
      </c>
      <c r="HO3708" s="5" t="s">
        <v>238</v>
      </c>
      <c r="HP3708" s="5" t="s">
        <v>238</v>
      </c>
      <c r="HQ3708" s="5" t="s">
        <v>238</v>
      </c>
      <c r="HR3708" s="5" t="s">
        <v>238</v>
      </c>
      <c r="HS3708" s="5" t="s">
        <v>238</v>
      </c>
      <c r="HT3708" s="5" t="s">
        <v>238</v>
      </c>
      <c r="HU3708" s="5" t="s">
        <v>238</v>
      </c>
      <c r="HV3708" s="5" t="s">
        <v>238</v>
      </c>
      <c r="HW3708" s="5" t="s">
        <v>238</v>
      </c>
      <c r="HX3708" s="5" t="s">
        <v>238</v>
      </c>
      <c r="HY3708" s="5" t="s">
        <v>238</v>
      </c>
      <c r="HZ3708" s="5" t="s">
        <v>238</v>
      </c>
      <c r="IA3708" s="5" t="s">
        <v>238</v>
      </c>
      <c r="IB3708" s="5" t="s">
        <v>238</v>
      </c>
      <c r="IC3708" s="5" t="s">
        <v>238</v>
      </c>
      <c r="ID3708" s="5" t="s">
        <v>238</v>
      </c>
    </row>
    <row r="3709" spans="1:238" x14ac:dyDescent="0.4">
      <c r="A3709" s="5">
        <v>9427</v>
      </c>
      <c r="B3709" s="5">
        <v>1</v>
      </c>
      <c r="C3709" s="5">
        <v>1</v>
      </c>
      <c r="D3709" s="5" t="s">
        <v>484</v>
      </c>
      <c r="E3709" s="5" t="s">
        <v>485</v>
      </c>
      <c r="F3709" s="5" t="s">
        <v>248</v>
      </c>
      <c r="G3709" s="5" t="s">
        <v>4757</v>
      </c>
      <c r="H3709" s="6" t="s">
        <v>4759</v>
      </c>
      <c r="I3709" s="8">
        <f>1</f>
        <v>1</v>
      </c>
      <c r="J3709" s="5" t="s">
        <v>499</v>
      </c>
      <c r="K3709" s="8">
        <f>1</f>
        <v>1</v>
      </c>
      <c r="L3709" s="6" t="s">
        <v>242</v>
      </c>
      <c r="M3709" s="5" t="s">
        <v>267</v>
      </c>
      <c r="N3709" s="5" t="s">
        <v>482</v>
      </c>
      <c r="O3709" s="5" t="s">
        <v>238</v>
      </c>
      <c r="P3709" s="5" t="s">
        <v>238</v>
      </c>
      <c r="Q3709" s="5" t="s">
        <v>239</v>
      </c>
      <c r="R3709" s="5" t="s">
        <v>270</v>
      </c>
      <c r="S3709" s="5" t="s">
        <v>238</v>
      </c>
      <c r="T3709" s="5" t="s">
        <v>238</v>
      </c>
      <c r="U3709" s="5" t="s">
        <v>238</v>
      </c>
      <c r="V3709" s="5" t="s">
        <v>238</v>
      </c>
      <c r="W3709" s="6" t="s">
        <v>238</v>
      </c>
      <c r="X3709" s="6" t="s">
        <v>238</v>
      </c>
      <c r="Y3709" s="5" t="s">
        <v>238</v>
      </c>
      <c r="Z3709" s="6" t="s">
        <v>238</v>
      </c>
      <c r="AA3709" s="6" t="s">
        <v>243</v>
      </c>
      <c r="AB3709" s="5" t="s">
        <v>4758</v>
      </c>
      <c r="AC3709" s="5" t="s">
        <v>244</v>
      </c>
      <c r="AD3709" s="5" t="s">
        <v>245</v>
      </c>
      <c r="AE3709" s="5" t="s">
        <v>238</v>
      </c>
      <c r="AF3709" s="5" t="s">
        <v>238</v>
      </c>
      <c r="AG3709" s="5" t="s">
        <v>238</v>
      </c>
      <c r="AH3709" s="5" t="s">
        <v>238</v>
      </c>
      <c r="AI3709" s="5" t="s">
        <v>238</v>
      </c>
      <c r="AJ3709" s="5" t="s">
        <v>238</v>
      </c>
      <c r="AK3709" s="5" t="s">
        <v>238</v>
      </c>
      <c r="AL3709" s="5" t="s">
        <v>238</v>
      </c>
      <c r="AM3709" s="6" t="s">
        <v>238</v>
      </c>
      <c r="AN3709" s="6" t="s">
        <v>238</v>
      </c>
      <c r="AO3709" s="6" t="s">
        <v>238</v>
      </c>
      <c r="AP3709" s="6" t="s">
        <v>238</v>
      </c>
      <c r="AQ3709" s="5" t="s">
        <v>238</v>
      </c>
      <c r="AR3709" s="5" t="s">
        <v>488</v>
      </c>
      <c r="AS3709" s="5" t="s">
        <v>488</v>
      </c>
      <c r="AT3709" s="5" t="s">
        <v>246</v>
      </c>
      <c r="AU3709" s="5" t="s">
        <v>489</v>
      </c>
      <c r="AV3709" s="5" t="s">
        <v>247</v>
      </c>
      <c r="AW3709" s="5" t="s">
        <v>238</v>
      </c>
      <c r="AX3709" s="5" t="s">
        <v>249</v>
      </c>
      <c r="AY3709" s="5" t="s">
        <v>490</v>
      </c>
      <c r="BA3709" s="5" t="s">
        <v>238</v>
      </c>
      <c r="BC3709" s="5" t="s">
        <v>491</v>
      </c>
      <c r="BD3709" s="6" t="s">
        <v>492</v>
      </c>
      <c r="BE3709" s="5" t="s">
        <v>493</v>
      </c>
      <c r="BF3709" s="5" t="s">
        <v>493</v>
      </c>
      <c r="BG3709" s="5" t="s">
        <v>238</v>
      </c>
      <c r="BH3709" s="8">
        <f>1</f>
        <v>1</v>
      </c>
      <c r="BI3709" s="8">
        <f>1</f>
        <v>1</v>
      </c>
      <c r="BJ3709" s="5" t="s">
        <v>253</v>
      </c>
      <c r="BK3709" s="5" t="s">
        <v>254</v>
      </c>
      <c r="BL3709" s="5" t="s">
        <v>238</v>
      </c>
      <c r="BM3709" s="5" t="s">
        <v>238</v>
      </c>
      <c r="BN3709" s="5" t="s">
        <v>238</v>
      </c>
      <c r="BO3709" s="5" t="s">
        <v>238</v>
      </c>
      <c r="BP3709" s="5" t="s">
        <v>238</v>
      </c>
      <c r="BQ3709" s="5" t="s">
        <v>238</v>
      </c>
      <c r="BR3709" s="5" t="s">
        <v>238</v>
      </c>
      <c r="BS3709" s="5" t="s">
        <v>238</v>
      </c>
      <c r="BT3709" s="6" t="s">
        <v>238</v>
      </c>
      <c r="BU3709" s="5" t="s">
        <v>238</v>
      </c>
      <c r="BV3709" s="5" t="s">
        <v>238</v>
      </c>
      <c r="BW3709" s="5" t="s">
        <v>238</v>
      </c>
      <c r="BX3709" s="5" t="s">
        <v>254</v>
      </c>
      <c r="BY3709" s="5" t="s">
        <v>238</v>
      </c>
      <c r="BZ3709" s="5" t="s">
        <v>238</v>
      </c>
      <c r="CA3709" s="5" t="s">
        <v>238</v>
      </c>
      <c r="CB3709" s="5" t="s">
        <v>238</v>
      </c>
      <c r="CC3709" s="5" t="s">
        <v>238</v>
      </c>
      <c r="CD3709" s="5" t="s">
        <v>273</v>
      </c>
      <c r="CE3709" s="5" t="s">
        <v>256</v>
      </c>
      <c r="CF3709" s="5" t="s">
        <v>238</v>
      </c>
      <c r="CH3709" s="5" t="s">
        <v>494</v>
      </c>
      <c r="CI3709" s="6" t="s">
        <v>257</v>
      </c>
      <c r="CJ3709" s="5" t="s">
        <v>495</v>
      </c>
      <c r="CK3709" s="5" t="s">
        <v>258</v>
      </c>
      <c r="CL3709" s="5" t="s">
        <v>496</v>
      </c>
      <c r="CM3709" s="5" t="s">
        <v>238</v>
      </c>
      <c r="CN3709" s="5">
        <v>0</v>
      </c>
      <c r="CO3709" s="5" t="s">
        <v>497</v>
      </c>
      <c r="CP3709" s="5" t="s">
        <v>260</v>
      </c>
      <c r="CQ3709" s="5" t="s">
        <v>260</v>
      </c>
      <c r="CR3709" s="5" t="s">
        <v>261</v>
      </c>
      <c r="CS3709" s="5" t="s">
        <v>498</v>
      </c>
      <c r="CT3709" s="7">
        <f>1</f>
        <v>1</v>
      </c>
      <c r="CU3709" s="8">
        <f>1</f>
        <v>1</v>
      </c>
      <c r="CV3709" s="8">
        <f>0</f>
        <v>0</v>
      </c>
      <c r="CX3709" s="8">
        <f>1</f>
        <v>1</v>
      </c>
      <c r="CY3709" s="8">
        <f>1</f>
        <v>1</v>
      </c>
      <c r="CZ3709" s="8" t="s">
        <v>238</v>
      </c>
      <c r="DA3709" s="5" t="s">
        <v>238</v>
      </c>
      <c r="DB3709" s="5" t="s">
        <v>238</v>
      </c>
      <c r="DC3709" s="5" t="s">
        <v>238</v>
      </c>
      <c r="DD3709" s="5" t="s">
        <v>238</v>
      </c>
      <c r="DE3709" s="8">
        <f>0</f>
        <v>0</v>
      </c>
      <c r="DG3709" s="5" t="s">
        <v>238</v>
      </c>
      <c r="DH3709" s="5" t="s">
        <v>238</v>
      </c>
      <c r="DI3709" s="5" t="s">
        <v>238</v>
      </c>
      <c r="DJ3709" s="5" t="s">
        <v>238</v>
      </c>
      <c r="DK3709" s="5" t="s">
        <v>238</v>
      </c>
      <c r="DL3709" s="5" t="s">
        <v>238</v>
      </c>
      <c r="DM3709" s="8" t="s">
        <v>238</v>
      </c>
      <c r="DN3709" s="5" t="s">
        <v>238</v>
      </c>
      <c r="DO3709" s="5" t="s">
        <v>238</v>
      </c>
      <c r="DP3709" s="5" t="s">
        <v>490</v>
      </c>
      <c r="DQ3709" s="5" t="s">
        <v>490</v>
      </c>
      <c r="DR3709" s="5" t="s">
        <v>238</v>
      </c>
      <c r="DS3709" s="5" t="s">
        <v>238</v>
      </c>
      <c r="DT3709" s="5" t="s">
        <v>500</v>
      </c>
      <c r="DU3709" s="5" t="s">
        <v>1017</v>
      </c>
      <c r="DV3709" s="5" t="s">
        <v>238</v>
      </c>
      <c r="DW3709" s="5" t="s">
        <v>238</v>
      </c>
      <c r="DX3709" s="5" t="s">
        <v>238</v>
      </c>
      <c r="DY3709" s="5" t="s">
        <v>238</v>
      </c>
      <c r="DZ3709" s="5" t="s">
        <v>238</v>
      </c>
      <c r="EA3709" s="5" t="s">
        <v>238</v>
      </c>
      <c r="EB3709" s="5" t="s">
        <v>238</v>
      </c>
      <c r="EC3709" s="5" t="s">
        <v>238</v>
      </c>
      <c r="ED3709" s="5" t="s">
        <v>238</v>
      </c>
      <c r="EE3709" s="5" t="s">
        <v>238</v>
      </c>
      <c r="EF3709" s="5" t="s">
        <v>238</v>
      </c>
      <c r="EG3709" s="5" t="s">
        <v>238</v>
      </c>
      <c r="EH3709" s="5" t="s">
        <v>238</v>
      </c>
      <c r="EI3709" s="5" t="s">
        <v>238</v>
      </c>
      <c r="EJ3709" s="5" t="s">
        <v>238</v>
      </c>
      <c r="EK3709" s="5" t="s">
        <v>238</v>
      </c>
      <c r="EL3709" s="5" t="s">
        <v>238</v>
      </c>
      <c r="EM3709" s="5" t="s">
        <v>238</v>
      </c>
      <c r="EN3709" s="5" t="s">
        <v>238</v>
      </c>
      <c r="EO3709" s="5" t="s">
        <v>238</v>
      </c>
      <c r="EP3709" s="5" t="s">
        <v>238</v>
      </c>
      <c r="EQ3709" s="5" t="s">
        <v>238</v>
      </c>
      <c r="ER3709" s="5" t="s">
        <v>238</v>
      </c>
      <c r="ES3709" s="5" t="s">
        <v>238</v>
      </c>
      <c r="ET3709" s="5" t="s">
        <v>238</v>
      </c>
      <c r="EU3709" s="5" t="s">
        <v>238</v>
      </c>
      <c r="EV3709" s="5" t="s">
        <v>238</v>
      </c>
      <c r="EW3709" s="5" t="s">
        <v>238</v>
      </c>
      <c r="EX3709" s="5" t="s">
        <v>238</v>
      </c>
      <c r="EY3709" s="5" t="s">
        <v>238</v>
      </c>
      <c r="EZ3709" s="5" t="s">
        <v>238</v>
      </c>
      <c r="FA3709" s="5" t="s">
        <v>238</v>
      </c>
      <c r="FB3709" s="5" t="s">
        <v>238</v>
      </c>
      <c r="FC3709" s="5" t="s">
        <v>238</v>
      </c>
      <c r="FD3709" s="5" t="s">
        <v>238</v>
      </c>
      <c r="FE3709" s="5" t="s">
        <v>238</v>
      </c>
      <c r="FF3709" s="5" t="s">
        <v>238</v>
      </c>
      <c r="FG3709" s="5" t="s">
        <v>238</v>
      </c>
      <c r="FH3709" s="5" t="s">
        <v>238</v>
      </c>
      <c r="FI3709" s="5" t="s">
        <v>238</v>
      </c>
      <c r="FJ3709" s="5" t="s">
        <v>238</v>
      </c>
      <c r="FK3709" s="5" t="s">
        <v>238</v>
      </c>
      <c r="FL3709" s="5" t="s">
        <v>238</v>
      </c>
      <c r="FM3709" s="5" t="s">
        <v>238</v>
      </c>
      <c r="FN3709" s="5" t="s">
        <v>238</v>
      </c>
      <c r="FO3709" s="5" t="s">
        <v>238</v>
      </c>
      <c r="FP3709" s="5" t="s">
        <v>238</v>
      </c>
      <c r="FQ3709" s="5" t="s">
        <v>238</v>
      </c>
      <c r="FR3709" s="5" t="s">
        <v>238</v>
      </c>
      <c r="FS3709" s="5" t="s">
        <v>238</v>
      </c>
      <c r="FT3709" s="5" t="s">
        <v>238</v>
      </c>
      <c r="FU3709" s="5" t="s">
        <v>238</v>
      </c>
      <c r="FV3709" s="5" t="s">
        <v>238</v>
      </c>
      <c r="FW3709" s="5" t="s">
        <v>238</v>
      </c>
      <c r="FX3709" s="5" t="s">
        <v>238</v>
      </c>
      <c r="FY3709" s="5" t="s">
        <v>238</v>
      </c>
      <c r="FZ3709" s="5" t="s">
        <v>238</v>
      </c>
      <c r="GA3709" s="5" t="s">
        <v>238</v>
      </c>
      <c r="GB3709" s="5" t="s">
        <v>238</v>
      </c>
      <c r="GC3709" s="5" t="s">
        <v>238</v>
      </c>
      <c r="GD3709" s="5" t="s">
        <v>238</v>
      </c>
      <c r="GE3709" s="5" t="s">
        <v>238</v>
      </c>
      <c r="GF3709" s="5" t="s">
        <v>238</v>
      </c>
      <c r="GG3709" s="5" t="s">
        <v>238</v>
      </c>
      <c r="GH3709" s="5" t="s">
        <v>238</v>
      </c>
      <c r="GI3709" s="5" t="s">
        <v>238</v>
      </c>
      <c r="GJ3709" s="5" t="s">
        <v>238</v>
      </c>
      <c r="GK3709" s="5" t="s">
        <v>238</v>
      </c>
      <c r="GL3709" s="5" t="s">
        <v>238</v>
      </c>
      <c r="GM3709" s="5" t="s">
        <v>238</v>
      </c>
      <c r="GN3709" s="5" t="s">
        <v>238</v>
      </c>
      <c r="GO3709" s="5" t="s">
        <v>238</v>
      </c>
      <c r="GP3709" s="5" t="s">
        <v>238</v>
      </c>
      <c r="GQ3709" s="5" t="s">
        <v>238</v>
      </c>
      <c r="GR3709" s="5" t="s">
        <v>238</v>
      </c>
      <c r="GS3709" s="5" t="s">
        <v>238</v>
      </c>
      <c r="GT3709" s="5" t="s">
        <v>238</v>
      </c>
      <c r="GU3709" s="5" t="s">
        <v>238</v>
      </c>
      <c r="GV3709" s="5" t="s">
        <v>238</v>
      </c>
      <c r="GW3709" s="5" t="s">
        <v>238</v>
      </c>
      <c r="GX3709" s="5" t="s">
        <v>238</v>
      </c>
      <c r="GY3709" s="5" t="s">
        <v>238</v>
      </c>
      <c r="GZ3709" s="5" t="s">
        <v>238</v>
      </c>
      <c r="HA3709" s="5" t="s">
        <v>238</v>
      </c>
      <c r="HB3709" s="5" t="s">
        <v>238</v>
      </c>
      <c r="HC3709" s="5" t="s">
        <v>238</v>
      </c>
      <c r="HD3709" s="5" t="s">
        <v>238</v>
      </c>
      <c r="HE3709" s="5" t="s">
        <v>238</v>
      </c>
      <c r="HF3709" s="5" t="s">
        <v>238</v>
      </c>
      <c r="HG3709" s="5" t="s">
        <v>238</v>
      </c>
      <c r="HH3709" s="5" t="s">
        <v>238</v>
      </c>
      <c r="HI3709" s="5" t="s">
        <v>238</v>
      </c>
      <c r="HJ3709" s="5" t="s">
        <v>238</v>
      </c>
      <c r="HK3709" s="5" t="s">
        <v>238</v>
      </c>
      <c r="HL3709" s="5" t="s">
        <v>238</v>
      </c>
      <c r="HM3709" s="5" t="s">
        <v>264</v>
      </c>
      <c r="HN3709" s="5" t="s">
        <v>238</v>
      </c>
      <c r="HO3709" s="5" t="s">
        <v>238</v>
      </c>
      <c r="HP3709" s="5" t="s">
        <v>238</v>
      </c>
      <c r="HQ3709" s="5" t="s">
        <v>238</v>
      </c>
      <c r="HR3709" s="5" t="s">
        <v>238</v>
      </c>
      <c r="HS3709" s="5" t="s">
        <v>238</v>
      </c>
      <c r="HT3709" s="5" t="s">
        <v>238</v>
      </c>
      <c r="HU3709" s="5" t="s">
        <v>238</v>
      </c>
      <c r="HV3709" s="5" t="s">
        <v>238</v>
      </c>
      <c r="HW3709" s="5" t="s">
        <v>238</v>
      </c>
      <c r="HX3709" s="5" t="s">
        <v>238</v>
      </c>
      <c r="HY3709" s="5" t="s">
        <v>238</v>
      </c>
      <c r="HZ3709" s="5" t="s">
        <v>238</v>
      </c>
      <c r="IA3709" s="5" t="s">
        <v>238</v>
      </c>
      <c r="IB3709" s="5" t="s">
        <v>238</v>
      </c>
      <c r="IC3709" s="5" t="s">
        <v>238</v>
      </c>
      <c r="ID3709" s="5" t="s">
        <v>238</v>
      </c>
    </row>
    <row r="3710" spans="1:238" x14ac:dyDescent="0.4">
      <c r="A3710" s="5">
        <v>9428</v>
      </c>
      <c r="B3710" s="5">
        <v>1</v>
      </c>
      <c r="C3710" s="5">
        <v>1</v>
      </c>
      <c r="D3710" s="5" t="s">
        <v>484</v>
      </c>
      <c r="E3710" s="5" t="s">
        <v>485</v>
      </c>
      <c r="F3710" s="5" t="s">
        <v>248</v>
      </c>
      <c r="G3710" s="5" t="s">
        <v>5665</v>
      </c>
      <c r="H3710" s="6" t="s">
        <v>5666</v>
      </c>
      <c r="I3710" s="8">
        <f>1</f>
        <v>1</v>
      </c>
      <c r="J3710" s="5" t="s">
        <v>499</v>
      </c>
      <c r="K3710" s="8">
        <f>1</f>
        <v>1</v>
      </c>
      <c r="L3710" s="6" t="s">
        <v>242</v>
      </c>
      <c r="M3710" s="5" t="s">
        <v>267</v>
      </c>
      <c r="N3710" s="5" t="s">
        <v>482</v>
      </c>
      <c r="O3710" s="5" t="s">
        <v>238</v>
      </c>
      <c r="P3710" s="5" t="s">
        <v>238</v>
      </c>
      <c r="Q3710" s="5" t="s">
        <v>239</v>
      </c>
      <c r="R3710" s="5" t="s">
        <v>270</v>
      </c>
      <c r="S3710" s="5" t="s">
        <v>238</v>
      </c>
      <c r="T3710" s="5" t="s">
        <v>238</v>
      </c>
      <c r="U3710" s="5" t="s">
        <v>238</v>
      </c>
      <c r="V3710" s="5" t="s">
        <v>238</v>
      </c>
      <c r="W3710" s="6" t="s">
        <v>238</v>
      </c>
      <c r="X3710" s="6" t="s">
        <v>238</v>
      </c>
      <c r="Y3710" s="5" t="s">
        <v>238</v>
      </c>
      <c r="Z3710" s="6" t="s">
        <v>238</v>
      </c>
      <c r="AA3710" s="6" t="s">
        <v>243</v>
      </c>
      <c r="AB3710" s="5" t="s">
        <v>486</v>
      </c>
      <c r="AC3710" s="5" t="s">
        <v>244</v>
      </c>
      <c r="AD3710" s="5" t="s">
        <v>245</v>
      </c>
      <c r="AE3710" s="5" t="s">
        <v>238</v>
      </c>
      <c r="AF3710" s="5" t="s">
        <v>238</v>
      </c>
      <c r="AG3710" s="5" t="s">
        <v>238</v>
      </c>
      <c r="AH3710" s="5" t="s">
        <v>238</v>
      </c>
      <c r="AI3710" s="5" t="s">
        <v>238</v>
      </c>
      <c r="AJ3710" s="5" t="s">
        <v>238</v>
      </c>
      <c r="AK3710" s="5" t="s">
        <v>238</v>
      </c>
      <c r="AL3710" s="5" t="s">
        <v>238</v>
      </c>
      <c r="AM3710" s="6" t="s">
        <v>238</v>
      </c>
      <c r="AN3710" s="6" t="s">
        <v>238</v>
      </c>
      <c r="AO3710" s="6" t="s">
        <v>238</v>
      </c>
      <c r="AP3710" s="6" t="s">
        <v>238</v>
      </c>
      <c r="AQ3710" s="5" t="s">
        <v>238</v>
      </c>
      <c r="AR3710" s="5" t="s">
        <v>488</v>
      </c>
      <c r="AS3710" s="5" t="s">
        <v>488</v>
      </c>
      <c r="AT3710" s="5" t="s">
        <v>246</v>
      </c>
      <c r="AU3710" s="5" t="s">
        <v>489</v>
      </c>
      <c r="AV3710" s="5" t="s">
        <v>247</v>
      </c>
      <c r="AW3710" s="5" t="s">
        <v>238</v>
      </c>
      <c r="AX3710" s="5" t="s">
        <v>249</v>
      </c>
      <c r="AY3710" s="5" t="s">
        <v>490</v>
      </c>
      <c r="BA3710" s="5" t="s">
        <v>238</v>
      </c>
      <c r="BC3710" s="5" t="s">
        <v>491</v>
      </c>
      <c r="BD3710" s="6" t="s">
        <v>492</v>
      </c>
      <c r="BE3710" s="5" t="s">
        <v>493</v>
      </c>
      <c r="BF3710" s="5" t="s">
        <v>493</v>
      </c>
      <c r="BG3710" s="5" t="s">
        <v>238</v>
      </c>
      <c r="BH3710" s="8">
        <f>1</f>
        <v>1</v>
      </c>
      <c r="BI3710" s="8">
        <f>1</f>
        <v>1</v>
      </c>
      <c r="BJ3710" s="5" t="s">
        <v>253</v>
      </c>
      <c r="BK3710" s="5" t="s">
        <v>254</v>
      </c>
      <c r="BL3710" s="5" t="s">
        <v>238</v>
      </c>
      <c r="BM3710" s="5" t="s">
        <v>238</v>
      </c>
      <c r="BN3710" s="5" t="s">
        <v>238</v>
      </c>
      <c r="BO3710" s="5" t="s">
        <v>238</v>
      </c>
      <c r="BP3710" s="5" t="s">
        <v>238</v>
      </c>
      <c r="BQ3710" s="5" t="s">
        <v>238</v>
      </c>
      <c r="BR3710" s="5" t="s">
        <v>238</v>
      </c>
      <c r="BS3710" s="5" t="s">
        <v>238</v>
      </c>
      <c r="BT3710" s="6" t="s">
        <v>238</v>
      </c>
      <c r="BU3710" s="5" t="s">
        <v>238</v>
      </c>
      <c r="BV3710" s="5" t="s">
        <v>238</v>
      </c>
      <c r="BW3710" s="5" t="s">
        <v>238</v>
      </c>
      <c r="BX3710" s="5" t="s">
        <v>254</v>
      </c>
      <c r="BY3710" s="5" t="s">
        <v>238</v>
      </c>
      <c r="BZ3710" s="5" t="s">
        <v>238</v>
      </c>
      <c r="CA3710" s="5" t="s">
        <v>238</v>
      </c>
      <c r="CB3710" s="5" t="s">
        <v>238</v>
      </c>
      <c r="CC3710" s="5" t="s">
        <v>238</v>
      </c>
      <c r="CD3710" s="5" t="s">
        <v>273</v>
      </c>
      <c r="CE3710" s="5" t="s">
        <v>256</v>
      </c>
      <c r="CF3710" s="5" t="s">
        <v>238</v>
      </c>
      <c r="CH3710" s="5" t="s">
        <v>494</v>
      </c>
      <c r="CI3710" s="6" t="s">
        <v>257</v>
      </c>
      <c r="CJ3710" s="5" t="s">
        <v>495</v>
      </c>
      <c r="CK3710" s="5" t="s">
        <v>258</v>
      </c>
      <c r="CL3710" s="5" t="s">
        <v>496</v>
      </c>
      <c r="CM3710" s="5" t="s">
        <v>238</v>
      </c>
      <c r="CN3710" s="5">
        <v>0</v>
      </c>
      <c r="CO3710" s="5" t="s">
        <v>497</v>
      </c>
      <c r="CP3710" s="5" t="s">
        <v>260</v>
      </c>
      <c r="CQ3710" s="5" t="s">
        <v>260</v>
      </c>
      <c r="CR3710" s="5" t="s">
        <v>261</v>
      </c>
      <c r="CS3710" s="5" t="s">
        <v>498</v>
      </c>
      <c r="CT3710" s="7">
        <f>1</f>
        <v>1</v>
      </c>
      <c r="CU3710" s="8">
        <f>1</f>
        <v>1</v>
      </c>
      <c r="CV3710" s="8">
        <f>0</f>
        <v>0</v>
      </c>
      <c r="CX3710" s="8">
        <f>1</f>
        <v>1</v>
      </c>
      <c r="CY3710" s="8">
        <f>1</f>
        <v>1</v>
      </c>
      <c r="CZ3710" s="8" t="s">
        <v>238</v>
      </c>
      <c r="DA3710" s="5" t="s">
        <v>238</v>
      </c>
      <c r="DB3710" s="5" t="s">
        <v>238</v>
      </c>
      <c r="DC3710" s="5" t="s">
        <v>238</v>
      </c>
      <c r="DD3710" s="5" t="s">
        <v>238</v>
      </c>
      <c r="DE3710" s="8">
        <f>0</f>
        <v>0</v>
      </c>
      <c r="DG3710" s="5" t="s">
        <v>238</v>
      </c>
      <c r="DH3710" s="5" t="s">
        <v>238</v>
      </c>
      <c r="DI3710" s="5" t="s">
        <v>238</v>
      </c>
      <c r="DJ3710" s="5" t="s">
        <v>238</v>
      </c>
      <c r="DK3710" s="5" t="s">
        <v>238</v>
      </c>
      <c r="DL3710" s="5" t="s">
        <v>238</v>
      </c>
      <c r="DM3710" s="8" t="s">
        <v>238</v>
      </c>
      <c r="DN3710" s="5" t="s">
        <v>238</v>
      </c>
      <c r="DO3710" s="5" t="s">
        <v>238</v>
      </c>
      <c r="DP3710" s="5" t="s">
        <v>490</v>
      </c>
      <c r="DQ3710" s="5" t="s">
        <v>490</v>
      </c>
      <c r="DR3710" s="5" t="s">
        <v>238</v>
      </c>
      <c r="DS3710" s="5" t="s">
        <v>238</v>
      </c>
      <c r="DT3710" s="5" t="s">
        <v>500</v>
      </c>
      <c r="DU3710" s="5" t="s">
        <v>1029</v>
      </c>
      <c r="DV3710" s="5" t="s">
        <v>238</v>
      </c>
      <c r="DW3710" s="5" t="s">
        <v>238</v>
      </c>
      <c r="DX3710" s="5" t="s">
        <v>238</v>
      </c>
      <c r="DY3710" s="5" t="s">
        <v>238</v>
      </c>
      <c r="DZ3710" s="5" t="s">
        <v>238</v>
      </c>
      <c r="EA3710" s="5" t="s">
        <v>238</v>
      </c>
      <c r="EB3710" s="5" t="s">
        <v>238</v>
      </c>
      <c r="EC3710" s="5" t="s">
        <v>238</v>
      </c>
      <c r="ED3710" s="5" t="s">
        <v>238</v>
      </c>
      <c r="EE3710" s="5" t="s">
        <v>238</v>
      </c>
      <c r="EF3710" s="5" t="s">
        <v>238</v>
      </c>
      <c r="EG3710" s="5" t="s">
        <v>238</v>
      </c>
      <c r="EH3710" s="5" t="s">
        <v>238</v>
      </c>
      <c r="EI3710" s="5" t="s">
        <v>238</v>
      </c>
      <c r="EJ3710" s="5" t="s">
        <v>238</v>
      </c>
      <c r="EK3710" s="5" t="s">
        <v>238</v>
      </c>
      <c r="EL3710" s="5" t="s">
        <v>238</v>
      </c>
      <c r="EM3710" s="5" t="s">
        <v>238</v>
      </c>
      <c r="EN3710" s="5" t="s">
        <v>238</v>
      </c>
      <c r="EO3710" s="5" t="s">
        <v>238</v>
      </c>
      <c r="EP3710" s="5" t="s">
        <v>238</v>
      </c>
      <c r="EQ3710" s="5" t="s">
        <v>238</v>
      </c>
      <c r="ER3710" s="5" t="s">
        <v>238</v>
      </c>
      <c r="ES3710" s="5" t="s">
        <v>238</v>
      </c>
      <c r="ET3710" s="5" t="s">
        <v>238</v>
      </c>
      <c r="EU3710" s="5" t="s">
        <v>238</v>
      </c>
      <c r="EV3710" s="5" t="s">
        <v>238</v>
      </c>
      <c r="EW3710" s="5" t="s">
        <v>238</v>
      </c>
      <c r="EX3710" s="5" t="s">
        <v>238</v>
      </c>
      <c r="EY3710" s="5" t="s">
        <v>238</v>
      </c>
      <c r="EZ3710" s="5" t="s">
        <v>238</v>
      </c>
      <c r="FA3710" s="5" t="s">
        <v>238</v>
      </c>
      <c r="FB3710" s="5" t="s">
        <v>238</v>
      </c>
      <c r="FC3710" s="5" t="s">
        <v>238</v>
      </c>
      <c r="FD3710" s="5" t="s">
        <v>238</v>
      </c>
      <c r="FE3710" s="5" t="s">
        <v>238</v>
      </c>
      <c r="FF3710" s="5" t="s">
        <v>238</v>
      </c>
      <c r="FG3710" s="5" t="s">
        <v>238</v>
      </c>
      <c r="FH3710" s="5" t="s">
        <v>238</v>
      </c>
      <c r="FI3710" s="5" t="s">
        <v>238</v>
      </c>
      <c r="FJ3710" s="5" t="s">
        <v>238</v>
      </c>
      <c r="FK3710" s="5" t="s">
        <v>238</v>
      </c>
      <c r="FL3710" s="5" t="s">
        <v>238</v>
      </c>
      <c r="FM3710" s="5" t="s">
        <v>238</v>
      </c>
      <c r="FN3710" s="5" t="s">
        <v>238</v>
      </c>
      <c r="FO3710" s="5" t="s">
        <v>238</v>
      </c>
      <c r="FP3710" s="5" t="s">
        <v>238</v>
      </c>
      <c r="FQ3710" s="5" t="s">
        <v>238</v>
      </c>
      <c r="FR3710" s="5" t="s">
        <v>238</v>
      </c>
      <c r="FS3710" s="5" t="s">
        <v>238</v>
      </c>
      <c r="FT3710" s="5" t="s">
        <v>238</v>
      </c>
      <c r="FU3710" s="5" t="s">
        <v>238</v>
      </c>
      <c r="FV3710" s="5" t="s">
        <v>238</v>
      </c>
      <c r="FW3710" s="5" t="s">
        <v>238</v>
      </c>
      <c r="FX3710" s="5" t="s">
        <v>238</v>
      </c>
      <c r="FY3710" s="5" t="s">
        <v>238</v>
      </c>
      <c r="FZ3710" s="5" t="s">
        <v>238</v>
      </c>
      <c r="GA3710" s="5" t="s">
        <v>238</v>
      </c>
      <c r="GB3710" s="5" t="s">
        <v>238</v>
      </c>
      <c r="GC3710" s="5" t="s">
        <v>238</v>
      </c>
      <c r="GD3710" s="5" t="s">
        <v>238</v>
      </c>
      <c r="GE3710" s="5" t="s">
        <v>238</v>
      </c>
      <c r="GF3710" s="5" t="s">
        <v>238</v>
      </c>
      <c r="GG3710" s="5" t="s">
        <v>238</v>
      </c>
      <c r="GH3710" s="5" t="s">
        <v>238</v>
      </c>
      <c r="GI3710" s="5" t="s">
        <v>238</v>
      </c>
      <c r="GJ3710" s="5" t="s">
        <v>238</v>
      </c>
      <c r="GK3710" s="5" t="s">
        <v>238</v>
      </c>
      <c r="GL3710" s="5" t="s">
        <v>238</v>
      </c>
      <c r="GM3710" s="5" t="s">
        <v>238</v>
      </c>
      <c r="GN3710" s="5" t="s">
        <v>238</v>
      </c>
      <c r="GO3710" s="5" t="s">
        <v>238</v>
      </c>
      <c r="GP3710" s="5" t="s">
        <v>238</v>
      </c>
      <c r="GQ3710" s="5" t="s">
        <v>238</v>
      </c>
      <c r="GR3710" s="5" t="s">
        <v>238</v>
      </c>
      <c r="GS3710" s="5" t="s">
        <v>238</v>
      </c>
      <c r="GT3710" s="5" t="s">
        <v>238</v>
      </c>
      <c r="GU3710" s="5" t="s">
        <v>238</v>
      </c>
      <c r="GV3710" s="5" t="s">
        <v>238</v>
      </c>
      <c r="GW3710" s="5" t="s">
        <v>238</v>
      </c>
      <c r="GX3710" s="5" t="s">
        <v>238</v>
      </c>
      <c r="GY3710" s="5" t="s">
        <v>238</v>
      </c>
      <c r="GZ3710" s="5" t="s">
        <v>238</v>
      </c>
      <c r="HA3710" s="5" t="s">
        <v>238</v>
      </c>
      <c r="HB3710" s="5" t="s">
        <v>238</v>
      </c>
      <c r="HC3710" s="5" t="s">
        <v>238</v>
      </c>
      <c r="HD3710" s="5" t="s">
        <v>238</v>
      </c>
      <c r="HE3710" s="5" t="s">
        <v>238</v>
      </c>
      <c r="HF3710" s="5" t="s">
        <v>238</v>
      </c>
      <c r="HG3710" s="5" t="s">
        <v>238</v>
      </c>
      <c r="HH3710" s="5" t="s">
        <v>238</v>
      </c>
      <c r="HI3710" s="5" t="s">
        <v>238</v>
      </c>
      <c r="HJ3710" s="5" t="s">
        <v>238</v>
      </c>
      <c r="HK3710" s="5" t="s">
        <v>238</v>
      </c>
      <c r="HL3710" s="5" t="s">
        <v>238</v>
      </c>
      <c r="HM3710" s="5" t="s">
        <v>264</v>
      </c>
      <c r="HN3710" s="5" t="s">
        <v>238</v>
      </c>
      <c r="HO3710" s="5" t="s">
        <v>238</v>
      </c>
      <c r="HP3710" s="5" t="s">
        <v>238</v>
      </c>
      <c r="HQ3710" s="5" t="s">
        <v>238</v>
      </c>
      <c r="HR3710" s="5" t="s">
        <v>238</v>
      </c>
      <c r="HS3710" s="5" t="s">
        <v>238</v>
      </c>
      <c r="HT3710" s="5" t="s">
        <v>238</v>
      </c>
      <c r="HU3710" s="5" t="s">
        <v>238</v>
      </c>
      <c r="HV3710" s="5" t="s">
        <v>238</v>
      </c>
      <c r="HW3710" s="5" t="s">
        <v>238</v>
      </c>
      <c r="HX3710" s="5" t="s">
        <v>238</v>
      </c>
      <c r="HY3710" s="5" t="s">
        <v>238</v>
      </c>
      <c r="HZ3710" s="5" t="s">
        <v>238</v>
      </c>
      <c r="IA3710" s="5" t="s">
        <v>238</v>
      </c>
      <c r="IB3710" s="5" t="s">
        <v>238</v>
      </c>
      <c r="IC3710" s="5" t="s">
        <v>238</v>
      </c>
      <c r="ID3710" s="5" t="s">
        <v>238</v>
      </c>
    </row>
    <row r="3711" spans="1:238" x14ac:dyDescent="0.4">
      <c r="A3711" s="5">
        <v>9429</v>
      </c>
      <c r="B3711" s="5">
        <v>1</v>
      </c>
      <c r="C3711" s="5">
        <v>1</v>
      </c>
      <c r="D3711" s="5" t="s">
        <v>484</v>
      </c>
      <c r="E3711" s="5" t="s">
        <v>485</v>
      </c>
      <c r="F3711" s="5" t="s">
        <v>248</v>
      </c>
      <c r="G3711" s="5" t="s">
        <v>5385</v>
      </c>
      <c r="H3711" s="6" t="s">
        <v>5386</v>
      </c>
      <c r="I3711" s="8">
        <f>1</f>
        <v>1</v>
      </c>
      <c r="J3711" s="5" t="s">
        <v>499</v>
      </c>
      <c r="K3711" s="8">
        <f>1</f>
        <v>1</v>
      </c>
      <c r="L3711" s="6" t="s">
        <v>242</v>
      </c>
      <c r="M3711" s="5" t="s">
        <v>267</v>
      </c>
      <c r="N3711" s="5" t="s">
        <v>482</v>
      </c>
      <c r="O3711" s="5" t="s">
        <v>238</v>
      </c>
      <c r="P3711" s="5" t="s">
        <v>238</v>
      </c>
      <c r="Q3711" s="5" t="s">
        <v>239</v>
      </c>
      <c r="R3711" s="5" t="s">
        <v>270</v>
      </c>
      <c r="S3711" s="5" t="s">
        <v>238</v>
      </c>
      <c r="T3711" s="5" t="s">
        <v>238</v>
      </c>
      <c r="U3711" s="5" t="s">
        <v>238</v>
      </c>
      <c r="V3711" s="5" t="s">
        <v>238</v>
      </c>
      <c r="W3711" s="6" t="s">
        <v>238</v>
      </c>
      <c r="X3711" s="6" t="s">
        <v>238</v>
      </c>
      <c r="Y3711" s="5" t="s">
        <v>238</v>
      </c>
      <c r="Z3711" s="6" t="s">
        <v>238</v>
      </c>
      <c r="AA3711" s="6" t="s">
        <v>243</v>
      </c>
      <c r="AB3711" s="5" t="s">
        <v>486</v>
      </c>
      <c r="AC3711" s="5" t="s">
        <v>244</v>
      </c>
      <c r="AD3711" s="5" t="s">
        <v>245</v>
      </c>
      <c r="AE3711" s="5" t="s">
        <v>238</v>
      </c>
      <c r="AF3711" s="5" t="s">
        <v>238</v>
      </c>
      <c r="AG3711" s="5" t="s">
        <v>238</v>
      </c>
      <c r="AH3711" s="5" t="s">
        <v>238</v>
      </c>
      <c r="AI3711" s="5" t="s">
        <v>238</v>
      </c>
      <c r="AJ3711" s="5" t="s">
        <v>238</v>
      </c>
      <c r="AK3711" s="5" t="s">
        <v>238</v>
      </c>
      <c r="AL3711" s="5" t="s">
        <v>238</v>
      </c>
      <c r="AM3711" s="6" t="s">
        <v>238</v>
      </c>
      <c r="AN3711" s="6" t="s">
        <v>238</v>
      </c>
      <c r="AO3711" s="6" t="s">
        <v>238</v>
      </c>
      <c r="AP3711" s="6" t="s">
        <v>238</v>
      </c>
      <c r="AQ3711" s="5" t="s">
        <v>238</v>
      </c>
      <c r="AR3711" s="5" t="s">
        <v>488</v>
      </c>
      <c r="AS3711" s="5" t="s">
        <v>488</v>
      </c>
      <c r="AT3711" s="5" t="s">
        <v>246</v>
      </c>
      <c r="AU3711" s="5" t="s">
        <v>489</v>
      </c>
      <c r="AV3711" s="5" t="s">
        <v>247</v>
      </c>
      <c r="AW3711" s="5" t="s">
        <v>238</v>
      </c>
      <c r="AX3711" s="5" t="s">
        <v>249</v>
      </c>
      <c r="AY3711" s="5" t="s">
        <v>490</v>
      </c>
      <c r="BA3711" s="5" t="s">
        <v>238</v>
      </c>
      <c r="BC3711" s="5" t="s">
        <v>491</v>
      </c>
      <c r="BD3711" s="6" t="s">
        <v>492</v>
      </c>
      <c r="BE3711" s="5" t="s">
        <v>493</v>
      </c>
      <c r="BF3711" s="5" t="s">
        <v>493</v>
      </c>
      <c r="BG3711" s="5" t="s">
        <v>238</v>
      </c>
      <c r="BH3711" s="8">
        <f>1</f>
        <v>1</v>
      </c>
      <c r="BI3711" s="8">
        <f>1</f>
        <v>1</v>
      </c>
      <c r="BJ3711" s="5" t="s">
        <v>253</v>
      </c>
      <c r="BK3711" s="5" t="s">
        <v>254</v>
      </c>
      <c r="BL3711" s="5" t="s">
        <v>238</v>
      </c>
      <c r="BM3711" s="5" t="s">
        <v>238</v>
      </c>
      <c r="BN3711" s="5" t="s">
        <v>238</v>
      </c>
      <c r="BO3711" s="5" t="s">
        <v>238</v>
      </c>
      <c r="BP3711" s="5" t="s">
        <v>238</v>
      </c>
      <c r="BQ3711" s="5" t="s">
        <v>238</v>
      </c>
      <c r="BR3711" s="5" t="s">
        <v>238</v>
      </c>
      <c r="BS3711" s="5" t="s">
        <v>238</v>
      </c>
      <c r="BT3711" s="6" t="s">
        <v>238</v>
      </c>
      <c r="BU3711" s="5" t="s">
        <v>238</v>
      </c>
      <c r="BV3711" s="5" t="s">
        <v>238</v>
      </c>
      <c r="BW3711" s="5" t="s">
        <v>238</v>
      </c>
      <c r="BX3711" s="5" t="s">
        <v>254</v>
      </c>
      <c r="BY3711" s="5" t="s">
        <v>238</v>
      </c>
      <c r="BZ3711" s="5" t="s">
        <v>238</v>
      </c>
      <c r="CA3711" s="5" t="s">
        <v>238</v>
      </c>
      <c r="CB3711" s="5" t="s">
        <v>238</v>
      </c>
      <c r="CC3711" s="5" t="s">
        <v>238</v>
      </c>
      <c r="CD3711" s="5" t="s">
        <v>273</v>
      </c>
      <c r="CE3711" s="5" t="s">
        <v>256</v>
      </c>
      <c r="CF3711" s="5" t="s">
        <v>238</v>
      </c>
      <c r="CH3711" s="5" t="s">
        <v>494</v>
      </c>
      <c r="CI3711" s="6" t="s">
        <v>257</v>
      </c>
      <c r="CJ3711" s="5" t="s">
        <v>495</v>
      </c>
      <c r="CK3711" s="5" t="s">
        <v>258</v>
      </c>
      <c r="CL3711" s="5" t="s">
        <v>496</v>
      </c>
      <c r="CM3711" s="5" t="s">
        <v>238</v>
      </c>
      <c r="CN3711" s="5">
        <v>0</v>
      </c>
      <c r="CO3711" s="5" t="s">
        <v>497</v>
      </c>
      <c r="CP3711" s="5" t="s">
        <v>260</v>
      </c>
      <c r="CQ3711" s="5" t="s">
        <v>260</v>
      </c>
      <c r="CR3711" s="5" t="s">
        <v>261</v>
      </c>
      <c r="CS3711" s="5" t="s">
        <v>498</v>
      </c>
      <c r="CT3711" s="7">
        <f>1</f>
        <v>1</v>
      </c>
      <c r="CU3711" s="8">
        <f>1</f>
        <v>1</v>
      </c>
      <c r="CV3711" s="8">
        <f>0</f>
        <v>0</v>
      </c>
      <c r="CX3711" s="8">
        <f>1</f>
        <v>1</v>
      </c>
      <c r="CY3711" s="8">
        <f>1</f>
        <v>1</v>
      </c>
      <c r="CZ3711" s="8" t="s">
        <v>238</v>
      </c>
      <c r="DA3711" s="5" t="s">
        <v>238</v>
      </c>
      <c r="DB3711" s="5" t="s">
        <v>238</v>
      </c>
      <c r="DC3711" s="5" t="s">
        <v>238</v>
      </c>
      <c r="DD3711" s="5" t="s">
        <v>238</v>
      </c>
      <c r="DE3711" s="8">
        <f>0</f>
        <v>0</v>
      </c>
      <c r="DG3711" s="5" t="s">
        <v>238</v>
      </c>
      <c r="DH3711" s="5" t="s">
        <v>238</v>
      </c>
      <c r="DI3711" s="5" t="s">
        <v>238</v>
      </c>
      <c r="DJ3711" s="5" t="s">
        <v>238</v>
      </c>
      <c r="DK3711" s="5" t="s">
        <v>238</v>
      </c>
      <c r="DL3711" s="5" t="s">
        <v>238</v>
      </c>
      <c r="DM3711" s="8" t="s">
        <v>238</v>
      </c>
      <c r="DN3711" s="5" t="s">
        <v>238</v>
      </c>
      <c r="DO3711" s="5" t="s">
        <v>238</v>
      </c>
      <c r="DP3711" s="5" t="s">
        <v>490</v>
      </c>
      <c r="DQ3711" s="5" t="s">
        <v>490</v>
      </c>
      <c r="DR3711" s="5" t="s">
        <v>238</v>
      </c>
      <c r="DS3711" s="5" t="s">
        <v>238</v>
      </c>
      <c r="DT3711" s="5" t="s">
        <v>500</v>
      </c>
      <c r="DU3711" s="5" t="s">
        <v>1041</v>
      </c>
      <c r="DV3711" s="5" t="s">
        <v>238</v>
      </c>
      <c r="DW3711" s="5" t="s">
        <v>238</v>
      </c>
      <c r="DX3711" s="5" t="s">
        <v>238</v>
      </c>
      <c r="DY3711" s="5" t="s">
        <v>238</v>
      </c>
      <c r="DZ3711" s="5" t="s">
        <v>238</v>
      </c>
      <c r="EA3711" s="5" t="s">
        <v>238</v>
      </c>
      <c r="EB3711" s="5" t="s">
        <v>238</v>
      </c>
      <c r="EC3711" s="5" t="s">
        <v>238</v>
      </c>
      <c r="ED3711" s="5" t="s">
        <v>238</v>
      </c>
      <c r="EE3711" s="5" t="s">
        <v>238</v>
      </c>
      <c r="EF3711" s="5" t="s">
        <v>238</v>
      </c>
      <c r="EG3711" s="5" t="s">
        <v>238</v>
      </c>
      <c r="EH3711" s="5" t="s">
        <v>238</v>
      </c>
      <c r="EI3711" s="5" t="s">
        <v>238</v>
      </c>
      <c r="EJ3711" s="5" t="s">
        <v>238</v>
      </c>
      <c r="EK3711" s="5" t="s">
        <v>238</v>
      </c>
      <c r="EL3711" s="5" t="s">
        <v>238</v>
      </c>
      <c r="EM3711" s="5" t="s">
        <v>238</v>
      </c>
      <c r="EN3711" s="5" t="s">
        <v>238</v>
      </c>
      <c r="EO3711" s="5" t="s">
        <v>238</v>
      </c>
      <c r="EP3711" s="5" t="s">
        <v>238</v>
      </c>
      <c r="EQ3711" s="5" t="s">
        <v>238</v>
      </c>
      <c r="ER3711" s="5" t="s">
        <v>238</v>
      </c>
      <c r="ES3711" s="5" t="s">
        <v>238</v>
      </c>
      <c r="ET3711" s="5" t="s">
        <v>238</v>
      </c>
      <c r="EU3711" s="5" t="s">
        <v>238</v>
      </c>
      <c r="EV3711" s="5" t="s">
        <v>238</v>
      </c>
      <c r="EW3711" s="5" t="s">
        <v>238</v>
      </c>
      <c r="EX3711" s="5" t="s">
        <v>238</v>
      </c>
      <c r="EY3711" s="5" t="s">
        <v>238</v>
      </c>
      <c r="EZ3711" s="5" t="s">
        <v>238</v>
      </c>
      <c r="FA3711" s="5" t="s">
        <v>238</v>
      </c>
      <c r="FB3711" s="5" t="s">
        <v>238</v>
      </c>
      <c r="FC3711" s="5" t="s">
        <v>238</v>
      </c>
      <c r="FD3711" s="5" t="s">
        <v>238</v>
      </c>
      <c r="FE3711" s="5" t="s">
        <v>238</v>
      </c>
      <c r="FF3711" s="5" t="s">
        <v>238</v>
      </c>
      <c r="FG3711" s="5" t="s">
        <v>238</v>
      </c>
      <c r="FH3711" s="5" t="s">
        <v>238</v>
      </c>
      <c r="FI3711" s="5" t="s">
        <v>238</v>
      </c>
      <c r="FJ3711" s="5" t="s">
        <v>238</v>
      </c>
      <c r="FK3711" s="5" t="s">
        <v>238</v>
      </c>
      <c r="FL3711" s="5" t="s">
        <v>238</v>
      </c>
      <c r="FM3711" s="5" t="s">
        <v>238</v>
      </c>
      <c r="FN3711" s="5" t="s">
        <v>238</v>
      </c>
      <c r="FO3711" s="5" t="s">
        <v>238</v>
      </c>
      <c r="FP3711" s="5" t="s">
        <v>238</v>
      </c>
      <c r="FQ3711" s="5" t="s">
        <v>238</v>
      </c>
      <c r="FR3711" s="5" t="s">
        <v>238</v>
      </c>
      <c r="FS3711" s="5" t="s">
        <v>238</v>
      </c>
      <c r="FT3711" s="5" t="s">
        <v>238</v>
      </c>
      <c r="FU3711" s="5" t="s">
        <v>238</v>
      </c>
      <c r="FV3711" s="5" t="s">
        <v>238</v>
      </c>
      <c r="FW3711" s="5" t="s">
        <v>238</v>
      </c>
      <c r="FX3711" s="5" t="s">
        <v>238</v>
      </c>
      <c r="FY3711" s="5" t="s">
        <v>238</v>
      </c>
      <c r="FZ3711" s="5" t="s">
        <v>238</v>
      </c>
      <c r="GA3711" s="5" t="s">
        <v>238</v>
      </c>
      <c r="GB3711" s="5" t="s">
        <v>238</v>
      </c>
      <c r="GC3711" s="5" t="s">
        <v>238</v>
      </c>
      <c r="GD3711" s="5" t="s">
        <v>238</v>
      </c>
      <c r="GE3711" s="5" t="s">
        <v>238</v>
      </c>
      <c r="GF3711" s="5" t="s">
        <v>238</v>
      </c>
      <c r="GG3711" s="5" t="s">
        <v>238</v>
      </c>
      <c r="GH3711" s="5" t="s">
        <v>238</v>
      </c>
      <c r="GI3711" s="5" t="s">
        <v>238</v>
      </c>
      <c r="GJ3711" s="5" t="s">
        <v>238</v>
      </c>
      <c r="GK3711" s="5" t="s">
        <v>238</v>
      </c>
      <c r="GL3711" s="5" t="s">
        <v>238</v>
      </c>
      <c r="GM3711" s="5" t="s">
        <v>238</v>
      </c>
      <c r="GN3711" s="5" t="s">
        <v>238</v>
      </c>
      <c r="GO3711" s="5" t="s">
        <v>238</v>
      </c>
      <c r="GP3711" s="5" t="s">
        <v>238</v>
      </c>
      <c r="GQ3711" s="5" t="s">
        <v>238</v>
      </c>
      <c r="GR3711" s="5" t="s">
        <v>238</v>
      </c>
      <c r="GS3711" s="5" t="s">
        <v>238</v>
      </c>
      <c r="GT3711" s="5" t="s">
        <v>238</v>
      </c>
      <c r="GU3711" s="5" t="s">
        <v>238</v>
      </c>
      <c r="GV3711" s="5" t="s">
        <v>238</v>
      </c>
      <c r="GW3711" s="5" t="s">
        <v>238</v>
      </c>
      <c r="GX3711" s="5" t="s">
        <v>238</v>
      </c>
      <c r="GY3711" s="5" t="s">
        <v>238</v>
      </c>
      <c r="GZ3711" s="5" t="s">
        <v>238</v>
      </c>
      <c r="HA3711" s="5" t="s">
        <v>238</v>
      </c>
      <c r="HB3711" s="5" t="s">
        <v>238</v>
      </c>
      <c r="HC3711" s="5" t="s">
        <v>238</v>
      </c>
      <c r="HD3711" s="5" t="s">
        <v>238</v>
      </c>
      <c r="HE3711" s="5" t="s">
        <v>238</v>
      </c>
      <c r="HF3711" s="5" t="s">
        <v>238</v>
      </c>
      <c r="HG3711" s="5" t="s">
        <v>238</v>
      </c>
      <c r="HH3711" s="5" t="s">
        <v>238</v>
      </c>
      <c r="HI3711" s="5" t="s">
        <v>238</v>
      </c>
      <c r="HJ3711" s="5" t="s">
        <v>238</v>
      </c>
      <c r="HK3711" s="5" t="s">
        <v>238</v>
      </c>
      <c r="HL3711" s="5" t="s">
        <v>238</v>
      </c>
      <c r="HM3711" s="5" t="s">
        <v>264</v>
      </c>
      <c r="HN3711" s="5" t="s">
        <v>238</v>
      </c>
      <c r="HO3711" s="5" t="s">
        <v>238</v>
      </c>
      <c r="HP3711" s="5" t="s">
        <v>238</v>
      </c>
      <c r="HQ3711" s="5" t="s">
        <v>238</v>
      </c>
      <c r="HR3711" s="5" t="s">
        <v>238</v>
      </c>
      <c r="HS3711" s="5" t="s">
        <v>238</v>
      </c>
      <c r="HT3711" s="5" t="s">
        <v>238</v>
      </c>
      <c r="HU3711" s="5" t="s">
        <v>238</v>
      </c>
      <c r="HV3711" s="5" t="s">
        <v>238</v>
      </c>
      <c r="HW3711" s="5" t="s">
        <v>238</v>
      </c>
      <c r="HX3711" s="5" t="s">
        <v>238</v>
      </c>
      <c r="HY3711" s="5" t="s">
        <v>238</v>
      </c>
      <c r="HZ3711" s="5" t="s">
        <v>238</v>
      </c>
      <c r="IA3711" s="5" t="s">
        <v>238</v>
      </c>
      <c r="IB3711" s="5" t="s">
        <v>238</v>
      </c>
      <c r="IC3711" s="5" t="s">
        <v>238</v>
      </c>
      <c r="ID3711" s="5" t="s">
        <v>238</v>
      </c>
    </row>
    <row r="3712" spans="1:238" x14ac:dyDescent="0.4">
      <c r="A3712" s="5">
        <v>9430</v>
      </c>
      <c r="B3712" s="5">
        <v>1</v>
      </c>
      <c r="C3712" s="5">
        <v>1</v>
      </c>
      <c r="D3712" s="5" t="s">
        <v>484</v>
      </c>
      <c r="E3712" s="5" t="s">
        <v>485</v>
      </c>
      <c r="F3712" s="5" t="s">
        <v>248</v>
      </c>
      <c r="G3712" s="5" t="s">
        <v>5370</v>
      </c>
      <c r="H3712" s="6" t="s">
        <v>5371</v>
      </c>
      <c r="I3712" s="8">
        <f>1</f>
        <v>1</v>
      </c>
      <c r="J3712" s="5" t="s">
        <v>499</v>
      </c>
      <c r="K3712" s="8">
        <f>1</f>
        <v>1</v>
      </c>
      <c r="L3712" s="6" t="s">
        <v>242</v>
      </c>
      <c r="M3712" s="5" t="s">
        <v>267</v>
      </c>
      <c r="N3712" s="5" t="s">
        <v>482</v>
      </c>
      <c r="O3712" s="5" t="s">
        <v>238</v>
      </c>
      <c r="P3712" s="5" t="s">
        <v>238</v>
      </c>
      <c r="Q3712" s="5" t="s">
        <v>239</v>
      </c>
      <c r="R3712" s="5" t="s">
        <v>270</v>
      </c>
      <c r="S3712" s="5" t="s">
        <v>238</v>
      </c>
      <c r="T3712" s="5" t="s">
        <v>238</v>
      </c>
      <c r="U3712" s="5" t="s">
        <v>238</v>
      </c>
      <c r="V3712" s="5" t="s">
        <v>238</v>
      </c>
      <c r="W3712" s="6" t="s">
        <v>238</v>
      </c>
      <c r="X3712" s="6" t="s">
        <v>238</v>
      </c>
      <c r="Y3712" s="5" t="s">
        <v>238</v>
      </c>
      <c r="Z3712" s="6" t="s">
        <v>238</v>
      </c>
      <c r="AA3712" s="6" t="s">
        <v>243</v>
      </c>
      <c r="AB3712" s="5" t="s">
        <v>598</v>
      </c>
      <c r="AC3712" s="5" t="s">
        <v>244</v>
      </c>
      <c r="AD3712" s="5" t="s">
        <v>245</v>
      </c>
      <c r="AE3712" s="5" t="s">
        <v>238</v>
      </c>
      <c r="AF3712" s="5" t="s">
        <v>238</v>
      </c>
      <c r="AG3712" s="5" t="s">
        <v>238</v>
      </c>
      <c r="AH3712" s="5" t="s">
        <v>238</v>
      </c>
      <c r="AI3712" s="5" t="s">
        <v>238</v>
      </c>
      <c r="AJ3712" s="5" t="s">
        <v>238</v>
      </c>
      <c r="AK3712" s="5" t="s">
        <v>238</v>
      </c>
      <c r="AL3712" s="5" t="s">
        <v>238</v>
      </c>
      <c r="AM3712" s="6" t="s">
        <v>238</v>
      </c>
      <c r="AN3712" s="6" t="s">
        <v>238</v>
      </c>
      <c r="AO3712" s="6" t="s">
        <v>238</v>
      </c>
      <c r="AP3712" s="6" t="s">
        <v>238</v>
      </c>
      <c r="AQ3712" s="5" t="s">
        <v>238</v>
      </c>
      <c r="AR3712" s="5" t="s">
        <v>488</v>
      </c>
      <c r="AS3712" s="5" t="s">
        <v>488</v>
      </c>
      <c r="AT3712" s="5" t="s">
        <v>246</v>
      </c>
      <c r="AU3712" s="5" t="s">
        <v>489</v>
      </c>
      <c r="AV3712" s="5" t="s">
        <v>247</v>
      </c>
      <c r="AW3712" s="5" t="s">
        <v>600</v>
      </c>
      <c r="AX3712" s="5" t="s">
        <v>249</v>
      </c>
      <c r="AY3712" s="5" t="s">
        <v>490</v>
      </c>
      <c r="BA3712" s="5" t="s">
        <v>238</v>
      </c>
      <c r="BC3712" s="5" t="s">
        <v>491</v>
      </c>
      <c r="BD3712" s="6" t="s">
        <v>492</v>
      </c>
      <c r="BE3712" s="5" t="s">
        <v>493</v>
      </c>
      <c r="BF3712" s="5" t="s">
        <v>493</v>
      </c>
      <c r="BG3712" s="5" t="s">
        <v>238</v>
      </c>
      <c r="BH3712" s="8">
        <f>1</f>
        <v>1</v>
      </c>
      <c r="BI3712" s="8">
        <f>1</f>
        <v>1</v>
      </c>
      <c r="BJ3712" s="5" t="s">
        <v>253</v>
      </c>
      <c r="BK3712" s="5" t="s">
        <v>254</v>
      </c>
      <c r="BL3712" s="5" t="s">
        <v>238</v>
      </c>
      <c r="BM3712" s="5" t="s">
        <v>238</v>
      </c>
      <c r="BN3712" s="5" t="s">
        <v>238</v>
      </c>
      <c r="BO3712" s="5" t="s">
        <v>238</v>
      </c>
      <c r="BP3712" s="5" t="s">
        <v>238</v>
      </c>
      <c r="BQ3712" s="5" t="s">
        <v>238</v>
      </c>
      <c r="BR3712" s="5" t="s">
        <v>238</v>
      </c>
      <c r="BS3712" s="5" t="s">
        <v>238</v>
      </c>
      <c r="BT3712" s="6" t="s">
        <v>238</v>
      </c>
      <c r="BU3712" s="5" t="s">
        <v>238</v>
      </c>
      <c r="BV3712" s="5" t="s">
        <v>238</v>
      </c>
      <c r="BW3712" s="5" t="s">
        <v>238</v>
      </c>
      <c r="BX3712" s="5" t="s">
        <v>254</v>
      </c>
      <c r="BY3712" s="5" t="s">
        <v>238</v>
      </c>
      <c r="BZ3712" s="5" t="s">
        <v>238</v>
      </c>
      <c r="CA3712" s="5" t="s">
        <v>238</v>
      </c>
      <c r="CB3712" s="5" t="s">
        <v>238</v>
      </c>
      <c r="CC3712" s="5" t="s">
        <v>238</v>
      </c>
      <c r="CD3712" s="5" t="s">
        <v>273</v>
      </c>
      <c r="CE3712" s="5" t="s">
        <v>256</v>
      </c>
      <c r="CF3712" s="5" t="s">
        <v>261</v>
      </c>
      <c r="CH3712" s="5" t="s">
        <v>494</v>
      </c>
      <c r="CI3712" s="6" t="s">
        <v>257</v>
      </c>
      <c r="CJ3712" s="5" t="s">
        <v>495</v>
      </c>
      <c r="CK3712" s="5" t="s">
        <v>258</v>
      </c>
      <c r="CL3712" s="5" t="s">
        <v>496</v>
      </c>
      <c r="CM3712" s="5" t="s">
        <v>238</v>
      </c>
      <c r="CN3712" s="5">
        <v>0</v>
      </c>
      <c r="CO3712" s="5" t="s">
        <v>497</v>
      </c>
      <c r="CP3712" s="5" t="s">
        <v>260</v>
      </c>
      <c r="CQ3712" s="5" t="s">
        <v>260</v>
      </c>
      <c r="CR3712" s="5" t="s">
        <v>261</v>
      </c>
      <c r="CS3712" s="5" t="s">
        <v>498</v>
      </c>
      <c r="CT3712" s="7">
        <f>1</f>
        <v>1</v>
      </c>
      <c r="CU3712" s="8">
        <f>1</f>
        <v>1</v>
      </c>
      <c r="CV3712" s="8">
        <f>0</f>
        <v>0</v>
      </c>
      <c r="CX3712" s="8">
        <f>1</f>
        <v>1</v>
      </c>
      <c r="CY3712" s="8">
        <f>1</f>
        <v>1</v>
      </c>
      <c r="CZ3712" s="8" t="s">
        <v>238</v>
      </c>
      <c r="DA3712" s="5" t="s">
        <v>238</v>
      </c>
      <c r="DB3712" s="5" t="s">
        <v>238</v>
      </c>
      <c r="DC3712" s="5" t="s">
        <v>238</v>
      </c>
      <c r="DD3712" s="5" t="s">
        <v>238</v>
      </c>
      <c r="DE3712" s="8">
        <f>0</f>
        <v>0</v>
      </c>
      <c r="DG3712" s="5" t="s">
        <v>238</v>
      </c>
      <c r="DH3712" s="5" t="s">
        <v>238</v>
      </c>
      <c r="DI3712" s="5" t="s">
        <v>238</v>
      </c>
      <c r="DJ3712" s="5" t="s">
        <v>238</v>
      </c>
      <c r="DK3712" s="5" t="s">
        <v>238</v>
      </c>
      <c r="DL3712" s="5" t="s">
        <v>238</v>
      </c>
      <c r="DM3712" s="8" t="s">
        <v>238</v>
      </c>
      <c r="DN3712" s="5" t="s">
        <v>238</v>
      </c>
      <c r="DO3712" s="5" t="s">
        <v>244</v>
      </c>
      <c r="DP3712" s="5" t="s">
        <v>490</v>
      </c>
      <c r="DQ3712" s="5" t="s">
        <v>490</v>
      </c>
      <c r="DR3712" s="5" t="s">
        <v>238</v>
      </c>
      <c r="DS3712" s="5" t="s">
        <v>238</v>
      </c>
      <c r="DT3712" s="5" t="s">
        <v>601</v>
      </c>
      <c r="DU3712" s="5" t="s">
        <v>1314</v>
      </c>
      <c r="DV3712" s="5" t="s">
        <v>238</v>
      </c>
      <c r="DW3712" s="5" t="s">
        <v>238</v>
      </c>
      <c r="DX3712" s="5" t="s">
        <v>238</v>
      </c>
      <c r="DY3712" s="5" t="s">
        <v>238</v>
      </c>
      <c r="DZ3712" s="5" t="s">
        <v>238</v>
      </c>
      <c r="EA3712" s="5" t="s">
        <v>238</v>
      </c>
      <c r="EB3712" s="5" t="s">
        <v>238</v>
      </c>
      <c r="EC3712" s="5" t="s">
        <v>238</v>
      </c>
      <c r="ED3712" s="5" t="s">
        <v>238</v>
      </c>
      <c r="EE3712" s="5" t="s">
        <v>238</v>
      </c>
      <c r="EF3712" s="5" t="s">
        <v>238</v>
      </c>
      <c r="EG3712" s="5" t="s">
        <v>238</v>
      </c>
      <c r="EH3712" s="5" t="s">
        <v>238</v>
      </c>
      <c r="EI3712" s="5" t="s">
        <v>238</v>
      </c>
      <c r="EJ3712" s="5" t="s">
        <v>238</v>
      </c>
      <c r="EK3712" s="5" t="s">
        <v>238</v>
      </c>
      <c r="EL3712" s="5" t="s">
        <v>238</v>
      </c>
      <c r="EM3712" s="5" t="s">
        <v>238</v>
      </c>
      <c r="EN3712" s="5" t="s">
        <v>238</v>
      </c>
      <c r="EO3712" s="5" t="s">
        <v>238</v>
      </c>
      <c r="EP3712" s="5" t="s">
        <v>238</v>
      </c>
      <c r="EQ3712" s="5" t="s">
        <v>238</v>
      </c>
      <c r="ER3712" s="5" t="s">
        <v>238</v>
      </c>
      <c r="ES3712" s="5" t="s">
        <v>238</v>
      </c>
      <c r="ET3712" s="5" t="s">
        <v>238</v>
      </c>
      <c r="EU3712" s="5" t="s">
        <v>238</v>
      </c>
      <c r="EV3712" s="5" t="s">
        <v>238</v>
      </c>
      <c r="EW3712" s="5" t="s">
        <v>238</v>
      </c>
      <c r="EX3712" s="5" t="s">
        <v>238</v>
      </c>
      <c r="EY3712" s="5" t="s">
        <v>238</v>
      </c>
      <c r="EZ3712" s="5" t="s">
        <v>238</v>
      </c>
      <c r="FA3712" s="5" t="s">
        <v>238</v>
      </c>
      <c r="FB3712" s="5" t="s">
        <v>238</v>
      </c>
      <c r="FC3712" s="5" t="s">
        <v>238</v>
      </c>
      <c r="FD3712" s="5" t="s">
        <v>238</v>
      </c>
      <c r="FE3712" s="5" t="s">
        <v>238</v>
      </c>
      <c r="FF3712" s="5" t="s">
        <v>238</v>
      </c>
      <c r="FG3712" s="5" t="s">
        <v>238</v>
      </c>
      <c r="FH3712" s="5" t="s">
        <v>238</v>
      </c>
      <c r="FI3712" s="5" t="s">
        <v>238</v>
      </c>
      <c r="FJ3712" s="5" t="s">
        <v>238</v>
      </c>
      <c r="FK3712" s="5" t="s">
        <v>238</v>
      </c>
      <c r="FL3712" s="5" t="s">
        <v>238</v>
      </c>
      <c r="FM3712" s="5" t="s">
        <v>238</v>
      </c>
      <c r="FN3712" s="5" t="s">
        <v>238</v>
      </c>
      <c r="FO3712" s="5" t="s">
        <v>238</v>
      </c>
      <c r="FP3712" s="5" t="s">
        <v>238</v>
      </c>
      <c r="FQ3712" s="5" t="s">
        <v>238</v>
      </c>
      <c r="FR3712" s="5" t="s">
        <v>238</v>
      </c>
      <c r="FS3712" s="5" t="s">
        <v>238</v>
      </c>
      <c r="FT3712" s="5" t="s">
        <v>238</v>
      </c>
      <c r="FU3712" s="5" t="s">
        <v>238</v>
      </c>
      <c r="FV3712" s="5" t="s">
        <v>238</v>
      </c>
      <c r="FW3712" s="5" t="s">
        <v>238</v>
      </c>
      <c r="FX3712" s="5" t="s">
        <v>238</v>
      </c>
      <c r="FY3712" s="5" t="s">
        <v>238</v>
      </c>
      <c r="FZ3712" s="5" t="s">
        <v>238</v>
      </c>
      <c r="GA3712" s="5" t="s">
        <v>238</v>
      </c>
      <c r="GB3712" s="5" t="s">
        <v>238</v>
      </c>
      <c r="GC3712" s="5" t="s">
        <v>238</v>
      </c>
      <c r="GD3712" s="5" t="s">
        <v>238</v>
      </c>
      <c r="GE3712" s="5" t="s">
        <v>238</v>
      </c>
      <c r="GF3712" s="5" t="s">
        <v>238</v>
      </c>
      <c r="GG3712" s="5" t="s">
        <v>238</v>
      </c>
      <c r="GH3712" s="5" t="s">
        <v>238</v>
      </c>
      <c r="GI3712" s="5" t="s">
        <v>238</v>
      </c>
      <c r="GJ3712" s="5" t="s">
        <v>238</v>
      </c>
      <c r="GK3712" s="5" t="s">
        <v>238</v>
      </c>
      <c r="GL3712" s="5" t="s">
        <v>238</v>
      </c>
      <c r="GM3712" s="5" t="s">
        <v>238</v>
      </c>
      <c r="GN3712" s="5" t="s">
        <v>238</v>
      </c>
      <c r="GO3712" s="5" t="s">
        <v>238</v>
      </c>
      <c r="GP3712" s="5" t="s">
        <v>238</v>
      </c>
      <c r="GQ3712" s="5" t="s">
        <v>238</v>
      </c>
      <c r="GR3712" s="5" t="s">
        <v>238</v>
      </c>
      <c r="GS3712" s="5" t="s">
        <v>238</v>
      </c>
      <c r="GT3712" s="5" t="s">
        <v>238</v>
      </c>
      <c r="GU3712" s="5" t="s">
        <v>238</v>
      </c>
      <c r="GV3712" s="5" t="s">
        <v>238</v>
      </c>
      <c r="GW3712" s="5" t="s">
        <v>238</v>
      </c>
      <c r="GX3712" s="5" t="s">
        <v>238</v>
      </c>
      <c r="GY3712" s="5" t="s">
        <v>238</v>
      </c>
      <c r="GZ3712" s="5" t="s">
        <v>238</v>
      </c>
      <c r="HA3712" s="5" t="s">
        <v>238</v>
      </c>
      <c r="HB3712" s="5" t="s">
        <v>238</v>
      </c>
      <c r="HC3712" s="5" t="s">
        <v>238</v>
      </c>
      <c r="HD3712" s="5" t="s">
        <v>238</v>
      </c>
      <c r="HE3712" s="5" t="s">
        <v>238</v>
      </c>
      <c r="HF3712" s="5" t="s">
        <v>238</v>
      </c>
      <c r="HG3712" s="5" t="s">
        <v>238</v>
      </c>
      <c r="HH3712" s="5" t="s">
        <v>238</v>
      </c>
      <c r="HI3712" s="5" t="s">
        <v>238</v>
      </c>
      <c r="HJ3712" s="5" t="s">
        <v>238</v>
      </c>
      <c r="HK3712" s="5" t="s">
        <v>238</v>
      </c>
      <c r="HL3712" s="5" t="s">
        <v>238</v>
      </c>
      <c r="HM3712" s="5" t="s">
        <v>238</v>
      </c>
      <c r="HN3712" s="5" t="s">
        <v>238</v>
      </c>
      <c r="HO3712" s="5" t="s">
        <v>238</v>
      </c>
      <c r="HP3712" s="5" t="s">
        <v>238</v>
      </c>
      <c r="HQ3712" s="5" t="s">
        <v>238</v>
      </c>
      <c r="HR3712" s="5" t="s">
        <v>238</v>
      </c>
      <c r="HS3712" s="5" t="s">
        <v>238</v>
      </c>
      <c r="HT3712" s="5" t="s">
        <v>238</v>
      </c>
      <c r="HU3712" s="5" t="s">
        <v>238</v>
      </c>
      <c r="HV3712" s="5" t="s">
        <v>238</v>
      </c>
      <c r="HW3712" s="5" t="s">
        <v>238</v>
      </c>
      <c r="HX3712" s="5" t="s">
        <v>238</v>
      </c>
      <c r="HY3712" s="5" t="s">
        <v>238</v>
      </c>
      <c r="HZ3712" s="5" t="s">
        <v>238</v>
      </c>
      <c r="IA3712" s="5" t="s">
        <v>238</v>
      </c>
      <c r="IB3712" s="5" t="s">
        <v>238</v>
      </c>
      <c r="IC3712" s="5" t="s">
        <v>238</v>
      </c>
      <c r="ID3712" s="5" t="s">
        <v>238</v>
      </c>
    </row>
    <row r="3713" spans="1:238" x14ac:dyDescent="0.4">
      <c r="A3713" s="5">
        <v>9431</v>
      </c>
      <c r="B3713" s="5">
        <v>1</v>
      </c>
      <c r="C3713" s="5">
        <v>1</v>
      </c>
      <c r="D3713" s="5" t="s">
        <v>484</v>
      </c>
      <c r="E3713" s="5" t="s">
        <v>485</v>
      </c>
      <c r="F3713" s="5" t="s">
        <v>248</v>
      </c>
      <c r="G3713" s="5" t="s">
        <v>597</v>
      </c>
      <c r="H3713" s="6" t="s">
        <v>599</v>
      </c>
      <c r="I3713" s="8">
        <f>1</f>
        <v>1</v>
      </c>
      <c r="J3713" s="5" t="s">
        <v>499</v>
      </c>
      <c r="K3713" s="8">
        <f>1</f>
        <v>1</v>
      </c>
      <c r="L3713" s="6" t="s">
        <v>242</v>
      </c>
      <c r="M3713" s="5" t="s">
        <v>267</v>
      </c>
      <c r="N3713" s="5" t="s">
        <v>482</v>
      </c>
      <c r="O3713" s="5" t="s">
        <v>238</v>
      </c>
      <c r="P3713" s="5" t="s">
        <v>238</v>
      </c>
      <c r="Q3713" s="5" t="s">
        <v>239</v>
      </c>
      <c r="R3713" s="5" t="s">
        <v>270</v>
      </c>
      <c r="S3713" s="5" t="s">
        <v>238</v>
      </c>
      <c r="T3713" s="5" t="s">
        <v>238</v>
      </c>
      <c r="U3713" s="5" t="s">
        <v>238</v>
      </c>
      <c r="V3713" s="5" t="s">
        <v>238</v>
      </c>
      <c r="W3713" s="6" t="s">
        <v>238</v>
      </c>
      <c r="X3713" s="6" t="s">
        <v>238</v>
      </c>
      <c r="Y3713" s="5" t="s">
        <v>238</v>
      </c>
      <c r="Z3713" s="6" t="s">
        <v>238</v>
      </c>
      <c r="AA3713" s="6" t="s">
        <v>243</v>
      </c>
      <c r="AB3713" s="5" t="s">
        <v>598</v>
      </c>
      <c r="AC3713" s="5" t="s">
        <v>244</v>
      </c>
      <c r="AD3713" s="5" t="s">
        <v>245</v>
      </c>
      <c r="AE3713" s="5" t="s">
        <v>238</v>
      </c>
      <c r="AF3713" s="5" t="s">
        <v>238</v>
      </c>
      <c r="AG3713" s="5" t="s">
        <v>238</v>
      </c>
      <c r="AH3713" s="5" t="s">
        <v>238</v>
      </c>
      <c r="AI3713" s="5" t="s">
        <v>238</v>
      </c>
      <c r="AJ3713" s="5" t="s">
        <v>238</v>
      </c>
      <c r="AK3713" s="5" t="s">
        <v>238</v>
      </c>
      <c r="AL3713" s="5" t="s">
        <v>238</v>
      </c>
      <c r="AM3713" s="6" t="s">
        <v>238</v>
      </c>
      <c r="AN3713" s="6" t="s">
        <v>238</v>
      </c>
      <c r="AO3713" s="6" t="s">
        <v>238</v>
      </c>
      <c r="AP3713" s="6" t="s">
        <v>238</v>
      </c>
      <c r="AQ3713" s="5" t="s">
        <v>238</v>
      </c>
      <c r="AR3713" s="5" t="s">
        <v>488</v>
      </c>
      <c r="AS3713" s="5" t="s">
        <v>488</v>
      </c>
      <c r="AT3713" s="5" t="s">
        <v>246</v>
      </c>
      <c r="AU3713" s="5" t="s">
        <v>489</v>
      </c>
      <c r="AV3713" s="5" t="s">
        <v>247</v>
      </c>
      <c r="AW3713" s="5" t="s">
        <v>600</v>
      </c>
      <c r="AX3713" s="5" t="s">
        <v>249</v>
      </c>
      <c r="AY3713" s="5" t="s">
        <v>490</v>
      </c>
      <c r="BA3713" s="5" t="s">
        <v>238</v>
      </c>
      <c r="BC3713" s="5" t="s">
        <v>491</v>
      </c>
      <c r="BD3713" s="6" t="s">
        <v>492</v>
      </c>
      <c r="BE3713" s="5" t="s">
        <v>493</v>
      </c>
      <c r="BF3713" s="5" t="s">
        <v>493</v>
      </c>
      <c r="BG3713" s="5" t="s">
        <v>238</v>
      </c>
      <c r="BH3713" s="8">
        <f>1</f>
        <v>1</v>
      </c>
      <c r="BI3713" s="8">
        <f>1</f>
        <v>1</v>
      </c>
      <c r="BJ3713" s="5" t="s">
        <v>253</v>
      </c>
      <c r="BK3713" s="5" t="s">
        <v>254</v>
      </c>
      <c r="BL3713" s="5" t="s">
        <v>238</v>
      </c>
      <c r="BM3713" s="5" t="s">
        <v>238</v>
      </c>
      <c r="BN3713" s="5" t="s">
        <v>238</v>
      </c>
      <c r="BO3713" s="5" t="s">
        <v>238</v>
      </c>
      <c r="BP3713" s="5" t="s">
        <v>238</v>
      </c>
      <c r="BQ3713" s="5" t="s">
        <v>238</v>
      </c>
      <c r="BR3713" s="5" t="s">
        <v>238</v>
      </c>
      <c r="BS3713" s="5" t="s">
        <v>238</v>
      </c>
      <c r="BT3713" s="6" t="s">
        <v>238</v>
      </c>
      <c r="BU3713" s="5" t="s">
        <v>238</v>
      </c>
      <c r="BV3713" s="5" t="s">
        <v>238</v>
      </c>
      <c r="BW3713" s="5" t="s">
        <v>238</v>
      </c>
      <c r="BX3713" s="5" t="s">
        <v>254</v>
      </c>
      <c r="BY3713" s="5" t="s">
        <v>238</v>
      </c>
      <c r="BZ3713" s="5" t="s">
        <v>238</v>
      </c>
      <c r="CA3713" s="5" t="s">
        <v>238</v>
      </c>
      <c r="CB3713" s="5" t="s">
        <v>238</v>
      </c>
      <c r="CC3713" s="5" t="s">
        <v>238</v>
      </c>
      <c r="CD3713" s="5" t="s">
        <v>273</v>
      </c>
      <c r="CE3713" s="5" t="s">
        <v>256</v>
      </c>
      <c r="CF3713" s="5" t="s">
        <v>261</v>
      </c>
      <c r="CH3713" s="5" t="s">
        <v>494</v>
      </c>
      <c r="CI3713" s="6" t="s">
        <v>257</v>
      </c>
      <c r="CJ3713" s="5" t="s">
        <v>495</v>
      </c>
      <c r="CK3713" s="5" t="s">
        <v>258</v>
      </c>
      <c r="CL3713" s="5" t="s">
        <v>496</v>
      </c>
      <c r="CM3713" s="5" t="s">
        <v>238</v>
      </c>
      <c r="CN3713" s="5">
        <v>0</v>
      </c>
      <c r="CO3713" s="5" t="s">
        <v>497</v>
      </c>
      <c r="CP3713" s="5" t="s">
        <v>260</v>
      </c>
      <c r="CQ3713" s="5" t="s">
        <v>260</v>
      </c>
      <c r="CR3713" s="5" t="s">
        <v>261</v>
      </c>
      <c r="CS3713" s="5" t="s">
        <v>498</v>
      </c>
      <c r="CT3713" s="7">
        <f>1</f>
        <v>1</v>
      </c>
      <c r="CU3713" s="8">
        <f>1</f>
        <v>1</v>
      </c>
      <c r="CV3713" s="8">
        <f>0</f>
        <v>0</v>
      </c>
      <c r="CX3713" s="8">
        <f>1</f>
        <v>1</v>
      </c>
      <c r="CY3713" s="8">
        <f>1</f>
        <v>1</v>
      </c>
      <c r="CZ3713" s="8" t="s">
        <v>238</v>
      </c>
      <c r="DA3713" s="5" t="s">
        <v>238</v>
      </c>
      <c r="DB3713" s="5" t="s">
        <v>238</v>
      </c>
      <c r="DC3713" s="5" t="s">
        <v>238</v>
      </c>
      <c r="DD3713" s="5" t="s">
        <v>238</v>
      </c>
      <c r="DE3713" s="8">
        <f>0</f>
        <v>0</v>
      </c>
      <c r="DG3713" s="5" t="s">
        <v>238</v>
      </c>
      <c r="DH3713" s="5" t="s">
        <v>238</v>
      </c>
      <c r="DI3713" s="5" t="s">
        <v>238</v>
      </c>
      <c r="DJ3713" s="5" t="s">
        <v>238</v>
      </c>
      <c r="DK3713" s="5" t="s">
        <v>238</v>
      </c>
      <c r="DL3713" s="5" t="s">
        <v>238</v>
      </c>
      <c r="DM3713" s="8" t="s">
        <v>238</v>
      </c>
      <c r="DN3713" s="5" t="s">
        <v>238</v>
      </c>
      <c r="DO3713" s="5" t="s">
        <v>244</v>
      </c>
      <c r="DP3713" s="5" t="s">
        <v>490</v>
      </c>
      <c r="DQ3713" s="5" t="s">
        <v>490</v>
      </c>
      <c r="DR3713" s="5" t="s">
        <v>238</v>
      </c>
      <c r="DS3713" s="5" t="s">
        <v>238</v>
      </c>
      <c r="DT3713" s="5" t="s">
        <v>601</v>
      </c>
      <c r="DU3713" s="5" t="s">
        <v>602</v>
      </c>
      <c r="DV3713" s="5" t="s">
        <v>238</v>
      </c>
      <c r="DW3713" s="5" t="s">
        <v>238</v>
      </c>
      <c r="DX3713" s="5" t="s">
        <v>238</v>
      </c>
      <c r="DY3713" s="5" t="s">
        <v>238</v>
      </c>
      <c r="DZ3713" s="5" t="s">
        <v>238</v>
      </c>
      <c r="EA3713" s="5" t="s">
        <v>238</v>
      </c>
      <c r="EB3713" s="5" t="s">
        <v>238</v>
      </c>
      <c r="EC3713" s="5" t="s">
        <v>238</v>
      </c>
      <c r="ED3713" s="5" t="s">
        <v>238</v>
      </c>
      <c r="EE3713" s="5" t="s">
        <v>238</v>
      </c>
      <c r="EF3713" s="5" t="s">
        <v>238</v>
      </c>
      <c r="EG3713" s="5" t="s">
        <v>238</v>
      </c>
      <c r="EH3713" s="5" t="s">
        <v>238</v>
      </c>
      <c r="EI3713" s="5" t="s">
        <v>238</v>
      </c>
      <c r="EJ3713" s="5" t="s">
        <v>238</v>
      </c>
      <c r="EK3713" s="5" t="s">
        <v>238</v>
      </c>
      <c r="EL3713" s="5" t="s">
        <v>238</v>
      </c>
      <c r="EM3713" s="5" t="s">
        <v>238</v>
      </c>
      <c r="EN3713" s="5" t="s">
        <v>238</v>
      </c>
      <c r="EO3713" s="5" t="s">
        <v>238</v>
      </c>
      <c r="EP3713" s="5" t="s">
        <v>238</v>
      </c>
      <c r="EQ3713" s="5" t="s">
        <v>238</v>
      </c>
      <c r="ER3713" s="5" t="s">
        <v>238</v>
      </c>
      <c r="ES3713" s="5" t="s">
        <v>238</v>
      </c>
      <c r="ET3713" s="5" t="s">
        <v>238</v>
      </c>
      <c r="EU3713" s="5" t="s">
        <v>238</v>
      </c>
      <c r="EV3713" s="5" t="s">
        <v>238</v>
      </c>
      <c r="EW3713" s="5" t="s">
        <v>238</v>
      </c>
      <c r="EX3713" s="5" t="s">
        <v>238</v>
      </c>
      <c r="EY3713" s="5" t="s">
        <v>238</v>
      </c>
      <c r="EZ3713" s="5" t="s">
        <v>238</v>
      </c>
      <c r="FA3713" s="5" t="s">
        <v>238</v>
      </c>
      <c r="FB3713" s="5" t="s">
        <v>238</v>
      </c>
      <c r="FC3713" s="5" t="s">
        <v>238</v>
      </c>
      <c r="FD3713" s="5" t="s">
        <v>238</v>
      </c>
      <c r="FE3713" s="5" t="s">
        <v>238</v>
      </c>
      <c r="FF3713" s="5" t="s">
        <v>238</v>
      </c>
      <c r="FG3713" s="5" t="s">
        <v>238</v>
      </c>
      <c r="FH3713" s="5" t="s">
        <v>238</v>
      </c>
      <c r="FI3713" s="5" t="s">
        <v>238</v>
      </c>
      <c r="FJ3713" s="5" t="s">
        <v>238</v>
      </c>
      <c r="FK3713" s="5" t="s">
        <v>238</v>
      </c>
      <c r="FL3713" s="5" t="s">
        <v>238</v>
      </c>
      <c r="FM3713" s="5" t="s">
        <v>238</v>
      </c>
      <c r="FN3713" s="5" t="s">
        <v>238</v>
      </c>
      <c r="FO3713" s="5" t="s">
        <v>238</v>
      </c>
      <c r="FP3713" s="5" t="s">
        <v>238</v>
      </c>
      <c r="FQ3713" s="5" t="s">
        <v>238</v>
      </c>
      <c r="FR3713" s="5" t="s">
        <v>238</v>
      </c>
      <c r="FS3713" s="5" t="s">
        <v>238</v>
      </c>
      <c r="FT3713" s="5" t="s">
        <v>238</v>
      </c>
      <c r="FU3713" s="5" t="s">
        <v>238</v>
      </c>
      <c r="FV3713" s="5" t="s">
        <v>238</v>
      </c>
      <c r="FW3713" s="5" t="s">
        <v>238</v>
      </c>
      <c r="FX3713" s="5" t="s">
        <v>238</v>
      </c>
      <c r="FY3713" s="5" t="s">
        <v>238</v>
      </c>
      <c r="FZ3713" s="5" t="s">
        <v>238</v>
      </c>
      <c r="GA3713" s="5" t="s">
        <v>238</v>
      </c>
      <c r="GB3713" s="5" t="s">
        <v>238</v>
      </c>
      <c r="GC3713" s="5" t="s">
        <v>238</v>
      </c>
      <c r="GD3713" s="5" t="s">
        <v>238</v>
      </c>
      <c r="GE3713" s="5" t="s">
        <v>238</v>
      </c>
      <c r="GF3713" s="5" t="s">
        <v>238</v>
      </c>
      <c r="GG3713" s="5" t="s">
        <v>238</v>
      </c>
      <c r="GH3713" s="5" t="s">
        <v>238</v>
      </c>
      <c r="GI3713" s="5" t="s">
        <v>238</v>
      </c>
      <c r="GJ3713" s="5" t="s">
        <v>238</v>
      </c>
      <c r="GK3713" s="5" t="s">
        <v>238</v>
      </c>
      <c r="GL3713" s="5" t="s">
        <v>238</v>
      </c>
      <c r="GM3713" s="5" t="s">
        <v>238</v>
      </c>
      <c r="GN3713" s="5" t="s">
        <v>238</v>
      </c>
      <c r="GO3713" s="5" t="s">
        <v>238</v>
      </c>
      <c r="GP3713" s="5" t="s">
        <v>238</v>
      </c>
      <c r="GQ3713" s="5" t="s">
        <v>238</v>
      </c>
      <c r="GR3713" s="5" t="s">
        <v>238</v>
      </c>
      <c r="GS3713" s="5" t="s">
        <v>238</v>
      </c>
      <c r="GT3713" s="5" t="s">
        <v>238</v>
      </c>
      <c r="GU3713" s="5" t="s">
        <v>238</v>
      </c>
      <c r="GV3713" s="5" t="s">
        <v>238</v>
      </c>
      <c r="GW3713" s="5" t="s">
        <v>238</v>
      </c>
      <c r="GX3713" s="5" t="s">
        <v>238</v>
      </c>
      <c r="GY3713" s="5" t="s">
        <v>238</v>
      </c>
      <c r="GZ3713" s="5" t="s">
        <v>238</v>
      </c>
      <c r="HA3713" s="5" t="s">
        <v>238</v>
      </c>
      <c r="HB3713" s="5" t="s">
        <v>238</v>
      </c>
      <c r="HC3713" s="5" t="s">
        <v>238</v>
      </c>
      <c r="HD3713" s="5" t="s">
        <v>238</v>
      </c>
      <c r="HE3713" s="5" t="s">
        <v>238</v>
      </c>
      <c r="HF3713" s="5" t="s">
        <v>238</v>
      </c>
      <c r="HG3713" s="5" t="s">
        <v>238</v>
      </c>
      <c r="HH3713" s="5" t="s">
        <v>238</v>
      </c>
      <c r="HI3713" s="5" t="s">
        <v>238</v>
      </c>
      <c r="HJ3713" s="5" t="s">
        <v>238</v>
      </c>
      <c r="HK3713" s="5" t="s">
        <v>238</v>
      </c>
      <c r="HL3713" s="5" t="s">
        <v>238</v>
      </c>
      <c r="HM3713" s="5" t="s">
        <v>238</v>
      </c>
      <c r="HN3713" s="5" t="s">
        <v>238</v>
      </c>
      <c r="HO3713" s="5" t="s">
        <v>238</v>
      </c>
      <c r="HP3713" s="5" t="s">
        <v>238</v>
      </c>
      <c r="HQ3713" s="5" t="s">
        <v>238</v>
      </c>
      <c r="HR3713" s="5" t="s">
        <v>238</v>
      </c>
      <c r="HS3713" s="5" t="s">
        <v>238</v>
      </c>
      <c r="HT3713" s="5" t="s">
        <v>238</v>
      </c>
      <c r="HU3713" s="5" t="s">
        <v>238</v>
      </c>
      <c r="HV3713" s="5" t="s">
        <v>238</v>
      </c>
      <c r="HW3713" s="5" t="s">
        <v>238</v>
      </c>
      <c r="HX3713" s="5" t="s">
        <v>238</v>
      </c>
      <c r="HY3713" s="5" t="s">
        <v>238</v>
      </c>
      <c r="HZ3713" s="5" t="s">
        <v>238</v>
      </c>
      <c r="IA3713" s="5" t="s">
        <v>238</v>
      </c>
      <c r="IB3713" s="5" t="s">
        <v>238</v>
      </c>
      <c r="IC3713" s="5" t="s">
        <v>238</v>
      </c>
      <c r="ID3713" s="5" t="s">
        <v>238</v>
      </c>
    </row>
    <row r="3714" spans="1:238" x14ac:dyDescent="0.4">
      <c r="A3714" s="5">
        <v>9432</v>
      </c>
      <c r="B3714" s="5">
        <v>1</v>
      </c>
      <c r="C3714" s="5">
        <v>1</v>
      </c>
      <c r="D3714" s="5" t="s">
        <v>484</v>
      </c>
      <c r="E3714" s="5" t="s">
        <v>485</v>
      </c>
      <c r="F3714" s="5" t="s">
        <v>248</v>
      </c>
      <c r="G3714" s="5" t="s">
        <v>6449</v>
      </c>
      <c r="H3714" s="6" t="s">
        <v>6450</v>
      </c>
      <c r="I3714" s="8">
        <f>1</f>
        <v>1</v>
      </c>
      <c r="J3714" s="5" t="s">
        <v>499</v>
      </c>
      <c r="K3714" s="8">
        <f>1</f>
        <v>1</v>
      </c>
      <c r="L3714" s="6" t="s">
        <v>242</v>
      </c>
      <c r="M3714" s="5" t="s">
        <v>267</v>
      </c>
      <c r="N3714" s="5" t="s">
        <v>482</v>
      </c>
      <c r="O3714" s="5" t="s">
        <v>238</v>
      </c>
      <c r="P3714" s="5" t="s">
        <v>238</v>
      </c>
      <c r="Q3714" s="5" t="s">
        <v>239</v>
      </c>
      <c r="R3714" s="5" t="s">
        <v>270</v>
      </c>
      <c r="S3714" s="5" t="s">
        <v>238</v>
      </c>
      <c r="T3714" s="5" t="s">
        <v>238</v>
      </c>
      <c r="U3714" s="5" t="s">
        <v>238</v>
      </c>
      <c r="V3714" s="5" t="s">
        <v>238</v>
      </c>
      <c r="W3714" s="6" t="s">
        <v>238</v>
      </c>
      <c r="X3714" s="6" t="s">
        <v>238</v>
      </c>
      <c r="Y3714" s="5" t="s">
        <v>238</v>
      </c>
      <c r="Z3714" s="6" t="s">
        <v>238</v>
      </c>
      <c r="AA3714" s="6" t="s">
        <v>243</v>
      </c>
      <c r="AB3714" s="5" t="s">
        <v>598</v>
      </c>
      <c r="AC3714" s="5" t="s">
        <v>244</v>
      </c>
      <c r="AD3714" s="5" t="s">
        <v>245</v>
      </c>
      <c r="AE3714" s="5" t="s">
        <v>238</v>
      </c>
      <c r="AF3714" s="5" t="s">
        <v>238</v>
      </c>
      <c r="AG3714" s="5" t="s">
        <v>238</v>
      </c>
      <c r="AH3714" s="5" t="s">
        <v>238</v>
      </c>
      <c r="AI3714" s="5" t="s">
        <v>238</v>
      </c>
      <c r="AJ3714" s="5" t="s">
        <v>238</v>
      </c>
      <c r="AK3714" s="5" t="s">
        <v>238</v>
      </c>
      <c r="AL3714" s="5" t="s">
        <v>238</v>
      </c>
      <c r="AM3714" s="6" t="s">
        <v>238</v>
      </c>
      <c r="AN3714" s="6" t="s">
        <v>238</v>
      </c>
      <c r="AO3714" s="6" t="s">
        <v>238</v>
      </c>
      <c r="AP3714" s="6" t="s">
        <v>238</v>
      </c>
      <c r="AQ3714" s="5" t="s">
        <v>238</v>
      </c>
      <c r="AR3714" s="5" t="s">
        <v>488</v>
      </c>
      <c r="AS3714" s="5" t="s">
        <v>488</v>
      </c>
      <c r="AT3714" s="5" t="s">
        <v>246</v>
      </c>
      <c r="AU3714" s="5" t="s">
        <v>489</v>
      </c>
      <c r="AV3714" s="5" t="s">
        <v>247</v>
      </c>
      <c r="AW3714" s="5" t="s">
        <v>600</v>
      </c>
      <c r="AX3714" s="5" t="s">
        <v>249</v>
      </c>
      <c r="AY3714" s="5" t="s">
        <v>490</v>
      </c>
      <c r="BA3714" s="5" t="s">
        <v>238</v>
      </c>
      <c r="BC3714" s="5" t="s">
        <v>491</v>
      </c>
      <c r="BD3714" s="6" t="s">
        <v>492</v>
      </c>
      <c r="BE3714" s="5" t="s">
        <v>493</v>
      </c>
      <c r="BF3714" s="5" t="s">
        <v>493</v>
      </c>
      <c r="BG3714" s="5" t="s">
        <v>238</v>
      </c>
      <c r="BH3714" s="8">
        <f>1</f>
        <v>1</v>
      </c>
      <c r="BI3714" s="8">
        <f>1</f>
        <v>1</v>
      </c>
      <c r="BJ3714" s="5" t="s">
        <v>253</v>
      </c>
      <c r="BK3714" s="5" t="s">
        <v>254</v>
      </c>
      <c r="BL3714" s="5" t="s">
        <v>238</v>
      </c>
      <c r="BM3714" s="5" t="s">
        <v>238</v>
      </c>
      <c r="BN3714" s="5" t="s">
        <v>238</v>
      </c>
      <c r="BO3714" s="5" t="s">
        <v>238</v>
      </c>
      <c r="BP3714" s="5" t="s">
        <v>238</v>
      </c>
      <c r="BQ3714" s="5" t="s">
        <v>238</v>
      </c>
      <c r="BR3714" s="5" t="s">
        <v>238</v>
      </c>
      <c r="BS3714" s="5" t="s">
        <v>238</v>
      </c>
      <c r="BT3714" s="6" t="s">
        <v>238</v>
      </c>
      <c r="BU3714" s="5" t="s">
        <v>238</v>
      </c>
      <c r="BV3714" s="5" t="s">
        <v>238</v>
      </c>
      <c r="BW3714" s="5" t="s">
        <v>238</v>
      </c>
      <c r="BX3714" s="5" t="s">
        <v>254</v>
      </c>
      <c r="BY3714" s="5" t="s">
        <v>238</v>
      </c>
      <c r="BZ3714" s="5" t="s">
        <v>238</v>
      </c>
      <c r="CA3714" s="5" t="s">
        <v>238</v>
      </c>
      <c r="CB3714" s="5" t="s">
        <v>238</v>
      </c>
      <c r="CC3714" s="5" t="s">
        <v>238</v>
      </c>
      <c r="CD3714" s="5" t="s">
        <v>273</v>
      </c>
      <c r="CE3714" s="5" t="s">
        <v>256</v>
      </c>
      <c r="CF3714" s="5" t="s">
        <v>261</v>
      </c>
      <c r="CH3714" s="5" t="s">
        <v>494</v>
      </c>
      <c r="CI3714" s="6" t="s">
        <v>257</v>
      </c>
      <c r="CJ3714" s="5" t="s">
        <v>495</v>
      </c>
      <c r="CK3714" s="5" t="s">
        <v>258</v>
      </c>
      <c r="CL3714" s="5" t="s">
        <v>496</v>
      </c>
      <c r="CM3714" s="5" t="s">
        <v>238</v>
      </c>
      <c r="CN3714" s="5">
        <v>0</v>
      </c>
      <c r="CO3714" s="5" t="s">
        <v>497</v>
      </c>
      <c r="CP3714" s="5" t="s">
        <v>260</v>
      </c>
      <c r="CQ3714" s="5" t="s">
        <v>260</v>
      </c>
      <c r="CR3714" s="5" t="s">
        <v>261</v>
      </c>
      <c r="CS3714" s="5" t="s">
        <v>498</v>
      </c>
      <c r="CT3714" s="7">
        <f>1</f>
        <v>1</v>
      </c>
      <c r="CU3714" s="8">
        <f>1</f>
        <v>1</v>
      </c>
      <c r="CV3714" s="8">
        <f>0</f>
        <v>0</v>
      </c>
      <c r="CX3714" s="8">
        <f>1</f>
        <v>1</v>
      </c>
      <c r="CY3714" s="8">
        <f>1</f>
        <v>1</v>
      </c>
      <c r="CZ3714" s="8" t="s">
        <v>238</v>
      </c>
      <c r="DA3714" s="5" t="s">
        <v>238</v>
      </c>
      <c r="DB3714" s="5" t="s">
        <v>238</v>
      </c>
      <c r="DC3714" s="5" t="s">
        <v>238</v>
      </c>
      <c r="DD3714" s="5" t="s">
        <v>238</v>
      </c>
      <c r="DE3714" s="8">
        <f>0</f>
        <v>0</v>
      </c>
      <c r="DG3714" s="5" t="s">
        <v>238</v>
      </c>
      <c r="DH3714" s="5" t="s">
        <v>238</v>
      </c>
      <c r="DI3714" s="5" t="s">
        <v>238</v>
      </c>
      <c r="DJ3714" s="5" t="s">
        <v>238</v>
      </c>
      <c r="DK3714" s="5" t="s">
        <v>238</v>
      </c>
      <c r="DL3714" s="5" t="s">
        <v>238</v>
      </c>
      <c r="DM3714" s="8" t="s">
        <v>238</v>
      </c>
      <c r="DN3714" s="5" t="s">
        <v>238</v>
      </c>
      <c r="DO3714" s="5" t="s">
        <v>244</v>
      </c>
      <c r="DP3714" s="5" t="s">
        <v>490</v>
      </c>
      <c r="DQ3714" s="5" t="s">
        <v>490</v>
      </c>
      <c r="DR3714" s="5" t="s">
        <v>238</v>
      </c>
      <c r="DS3714" s="5" t="s">
        <v>238</v>
      </c>
      <c r="DT3714" s="5" t="s">
        <v>601</v>
      </c>
      <c r="DU3714" s="5" t="s">
        <v>1307</v>
      </c>
      <c r="DV3714" s="5" t="s">
        <v>238</v>
      </c>
      <c r="DW3714" s="5" t="s">
        <v>238</v>
      </c>
      <c r="DX3714" s="5" t="s">
        <v>238</v>
      </c>
      <c r="DY3714" s="5" t="s">
        <v>238</v>
      </c>
      <c r="DZ3714" s="5" t="s">
        <v>238</v>
      </c>
      <c r="EA3714" s="5" t="s">
        <v>238</v>
      </c>
      <c r="EB3714" s="5" t="s">
        <v>238</v>
      </c>
      <c r="EC3714" s="5" t="s">
        <v>238</v>
      </c>
      <c r="ED3714" s="5" t="s">
        <v>238</v>
      </c>
      <c r="EE3714" s="5" t="s">
        <v>238</v>
      </c>
      <c r="EF3714" s="5" t="s">
        <v>238</v>
      </c>
      <c r="EG3714" s="5" t="s">
        <v>238</v>
      </c>
      <c r="EH3714" s="5" t="s">
        <v>238</v>
      </c>
      <c r="EI3714" s="5" t="s">
        <v>238</v>
      </c>
      <c r="EJ3714" s="5" t="s">
        <v>238</v>
      </c>
      <c r="EK3714" s="5" t="s">
        <v>238</v>
      </c>
      <c r="EL3714" s="5" t="s">
        <v>238</v>
      </c>
      <c r="EM3714" s="5" t="s">
        <v>238</v>
      </c>
      <c r="EN3714" s="5" t="s">
        <v>238</v>
      </c>
      <c r="EO3714" s="5" t="s">
        <v>238</v>
      </c>
      <c r="EP3714" s="5" t="s">
        <v>238</v>
      </c>
      <c r="EQ3714" s="5" t="s">
        <v>238</v>
      </c>
      <c r="ER3714" s="5" t="s">
        <v>238</v>
      </c>
      <c r="ES3714" s="5" t="s">
        <v>238</v>
      </c>
      <c r="ET3714" s="5" t="s">
        <v>238</v>
      </c>
      <c r="EU3714" s="5" t="s">
        <v>238</v>
      </c>
      <c r="EV3714" s="5" t="s">
        <v>238</v>
      </c>
      <c r="EW3714" s="5" t="s">
        <v>238</v>
      </c>
      <c r="EX3714" s="5" t="s">
        <v>238</v>
      </c>
      <c r="EY3714" s="5" t="s">
        <v>238</v>
      </c>
      <c r="EZ3714" s="5" t="s">
        <v>238</v>
      </c>
      <c r="FA3714" s="5" t="s">
        <v>238</v>
      </c>
      <c r="FB3714" s="5" t="s">
        <v>238</v>
      </c>
      <c r="FC3714" s="5" t="s">
        <v>238</v>
      </c>
      <c r="FD3714" s="5" t="s">
        <v>238</v>
      </c>
      <c r="FE3714" s="5" t="s">
        <v>238</v>
      </c>
      <c r="FF3714" s="5" t="s">
        <v>238</v>
      </c>
      <c r="FG3714" s="5" t="s">
        <v>238</v>
      </c>
      <c r="FH3714" s="5" t="s">
        <v>238</v>
      </c>
      <c r="FI3714" s="5" t="s">
        <v>238</v>
      </c>
      <c r="FJ3714" s="5" t="s">
        <v>238</v>
      </c>
      <c r="FK3714" s="5" t="s">
        <v>238</v>
      </c>
      <c r="FL3714" s="5" t="s">
        <v>238</v>
      </c>
      <c r="FM3714" s="5" t="s">
        <v>238</v>
      </c>
      <c r="FN3714" s="5" t="s">
        <v>238</v>
      </c>
      <c r="FO3714" s="5" t="s">
        <v>238</v>
      </c>
      <c r="FP3714" s="5" t="s">
        <v>238</v>
      </c>
      <c r="FQ3714" s="5" t="s">
        <v>238</v>
      </c>
      <c r="FR3714" s="5" t="s">
        <v>238</v>
      </c>
      <c r="FS3714" s="5" t="s">
        <v>238</v>
      </c>
      <c r="FT3714" s="5" t="s">
        <v>238</v>
      </c>
      <c r="FU3714" s="5" t="s">
        <v>238</v>
      </c>
      <c r="FV3714" s="5" t="s">
        <v>238</v>
      </c>
      <c r="FW3714" s="5" t="s">
        <v>238</v>
      </c>
      <c r="FX3714" s="5" t="s">
        <v>238</v>
      </c>
      <c r="FY3714" s="5" t="s">
        <v>238</v>
      </c>
      <c r="FZ3714" s="5" t="s">
        <v>238</v>
      </c>
      <c r="GA3714" s="5" t="s">
        <v>238</v>
      </c>
      <c r="GB3714" s="5" t="s">
        <v>238</v>
      </c>
      <c r="GC3714" s="5" t="s">
        <v>238</v>
      </c>
      <c r="GD3714" s="5" t="s">
        <v>238</v>
      </c>
      <c r="GE3714" s="5" t="s">
        <v>238</v>
      </c>
      <c r="GF3714" s="5" t="s">
        <v>238</v>
      </c>
      <c r="GG3714" s="5" t="s">
        <v>238</v>
      </c>
      <c r="GH3714" s="5" t="s">
        <v>238</v>
      </c>
      <c r="GI3714" s="5" t="s">
        <v>238</v>
      </c>
      <c r="GJ3714" s="5" t="s">
        <v>238</v>
      </c>
      <c r="GK3714" s="5" t="s">
        <v>238</v>
      </c>
      <c r="GL3714" s="5" t="s">
        <v>238</v>
      </c>
      <c r="GM3714" s="5" t="s">
        <v>238</v>
      </c>
      <c r="GN3714" s="5" t="s">
        <v>238</v>
      </c>
      <c r="GO3714" s="5" t="s">
        <v>238</v>
      </c>
      <c r="GP3714" s="5" t="s">
        <v>238</v>
      </c>
      <c r="GQ3714" s="5" t="s">
        <v>238</v>
      </c>
      <c r="GR3714" s="5" t="s">
        <v>238</v>
      </c>
      <c r="GS3714" s="5" t="s">
        <v>238</v>
      </c>
      <c r="GT3714" s="5" t="s">
        <v>238</v>
      </c>
      <c r="GU3714" s="5" t="s">
        <v>238</v>
      </c>
      <c r="GV3714" s="5" t="s">
        <v>238</v>
      </c>
      <c r="GW3714" s="5" t="s">
        <v>238</v>
      </c>
      <c r="GX3714" s="5" t="s">
        <v>238</v>
      </c>
      <c r="GY3714" s="5" t="s">
        <v>238</v>
      </c>
      <c r="GZ3714" s="5" t="s">
        <v>238</v>
      </c>
      <c r="HA3714" s="5" t="s">
        <v>238</v>
      </c>
      <c r="HB3714" s="5" t="s">
        <v>238</v>
      </c>
      <c r="HC3714" s="5" t="s">
        <v>238</v>
      </c>
      <c r="HD3714" s="5" t="s">
        <v>238</v>
      </c>
      <c r="HE3714" s="5" t="s">
        <v>238</v>
      </c>
      <c r="HF3714" s="5" t="s">
        <v>238</v>
      </c>
      <c r="HG3714" s="5" t="s">
        <v>238</v>
      </c>
      <c r="HH3714" s="5" t="s">
        <v>238</v>
      </c>
      <c r="HI3714" s="5" t="s">
        <v>238</v>
      </c>
      <c r="HJ3714" s="5" t="s">
        <v>238</v>
      </c>
      <c r="HK3714" s="5" t="s">
        <v>238</v>
      </c>
      <c r="HL3714" s="5" t="s">
        <v>238</v>
      </c>
      <c r="HM3714" s="5" t="s">
        <v>238</v>
      </c>
      <c r="HN3714" s="5" t="s">
        <v>238</v>
      </c>
      <c r="HO3714" s="5" t="s">
        <v>238</v>
      </c>
      <c r="HP3714" s="5" t="s">
        <v>238</v>
      </c>
      <c r="HQ3714" s="5" t="s">
        <v>238</v>
      </c>
      <c r="HR3714" s="5" t="s">
        <v>238</v>
      </c>
      <c r="HS3714" s="5" t="s">
        <v>238</v>
      </c>
      <c r="HT3714" s="5" t="s">
        <v>238</v>
      </c>
      <c r="HU3714" s="5" t="s">
        <v>238</v>
      </c>
      <c r="HV3714" s="5" t="s">
        <v>238</v>
      </c>
      <c r="HW3714" s="5" t="s">
        <v>238</v>
      </c>
      <c r="HX3714" s="5" t="s">
        <v>238</v>
      </c>
      <c r="HY3714" s="5" t="s">
        <v>238</v>
      </c>
      <c r="HZ3714" s="5" t="s">
        <v>238</v>
      </c>
      <c r="IA3714" s="5" t="s">
        <v>238</v>
      </c>
      <c r="IB3714" s="5" t="s">
        <v>238</v>
      </c>
      <c r="IC3714" s="5" t="s">
        <v>238</v>
      </c>
      <c r="ID3714" s="5" t="s">
        <v>238</v>
      </c>
    </row>
    <row r="3715" spans="1:238" x14ac:dyDescent="0.4">
      <c r="A3715" s="5">
        <v>9433</v>
      </c>
      <c r="B3715" s="5">
        <v>1</v>
      </c>
      <c r="C3715" s="5">
        <v>1</v>
      </c>
      <c r="D3715" s="5" t="s">
        <v>484</v>
      </c>
      <c r="E3715" s="5" t="s">
        <v>485</v>
      </c>
      <c r="F3715" s="5" t="s">
        <v>248</v>
      </c>
      <c r="G3715" s="5" t="s">
        <v>4741</v>
      </c>
      <c r="H3715" s="6" t="s">
        <v>4742</v>
      </c>
      <c r="I3715" s="8">
        <f>1</f>
        <v>1</v>
      </c>
      <c r="J3715" s="5" t="s">
        <v>499</v>
      </c>
      <c r="K3715" s="8">
        <f>1</f>
        <v>1</v>
      </c>
      <c r="L3715" s="6" t="s">
        <v>242</v>
      </c>
      <c r="M3715" s="5" t="s">
        <v>267</v>
      </c>
      <c r="N3715" s="5" t="s">
        <v>482</v>
      </c>
      <c r="O3715" s="5" t="s">
        <v>238</v>
      </c>
      <c r="P3715" s="5" t="s">
        <v>238</v>
      </c>
      <c r="Q3715" s="5" t="s">
        <v>239</v>
      </c>
      <c r="R3715" s="5" t="s">
        <v>270</v>
      </c>
      <c r="S3715" s="5" t="s">
        <v>238</v>
      </c>
      <c r="T3715" s="5" t="s">
        <v>238</v>
      </c>
      <c r="U3715" s="5" t="s">
        <v>238</v>
      </c>
      <c r="V3715" s="5" t="s">
        <v>238</v>
      </c>
      <c r="W3715" s="6" t="s">
        <v>238</v>
      </c>
      <c r="X3715" s="6" t="s">
        <v>238</v>
      </c>
      <c r="Y3715" s="5" t="s">
        <v>238</v>
      </c>
      <c r="Z3715" s="6" t="s">
        <v>238</v>
      </c>
      <c r="AA3715" s="6" t="s">
        <v>243</v>
      </c>
      <c r="AB3715" s="5" t="s">
        <v>598</v>
      </c>
      <c r="AC3715" s="5" t="s">
        <v>244</v>
      </c>
      <c r="AD3715" s="5" t="s">
        <v>245</v>
      </c>
      <c r="AE3715" s="5" t="s">
        <v>238</v>
      </c>
      <c r="AF3715" s="5" t="s">
        <v>238</v>
      </c>
      <c r="AG3715" s="5" t="s">
        <v>238</v>
      </c>
      <c r="AH3715" s="5" t="s">
        <v>238</v>
      </c>
      <c r="AI3715" s="5" t="s">
        <v>238</v>
      </c>
      <c r="AJ3715" s="5" t="s">
        <v>238</v>
      </c>
      <c r="AK3715" s="5" t="s">
        <v>238</v>
      </c>
      <c r="AL3715" s="5" t="s">
        <v>238</v>
      </c>
      <c r="AM3715" s="6" t="s">
        <v>238</v>
      </c>
      <c r="AN3715" s="6" t="s">
        <v>238</v>
      </c>
      <c r="AO3715" s="6" t="s">
        <v>238</v>
      </c>
      <c r="AP3715" s="6" t="s">
        <v>238</v>
      </c>
      <c r="AQ3715" s="5" t="s">
        <v>238</v>
      </c>
      <c r="AR3715" s="5" t="s">
        <v>488</v>
      </c>
      <c r="AS3715" s="5" t="s">
        <v>488</v>
      </c>
      <c r="AT3715" s="5" t="s">
        <v>246</v>
      </c>
      <c r="AU3715" s="5" t="s">
        <v>489</v>
      </c>
      <c r="AV3715" s="5" t="s">
        <v>247</v>
      </c>
      <c r="AW3715" s="5" t="s">
        <v>600</v>
      </c>
      <c r="AX3715" s="5" t="s">
        <v>249</v>
      </c>
      <c r="AY3715" s="5" t="s">
        <v>490</v>
      </c>
      <c r="BA3715" s="5" t="s">
        <v>238</v>
      </c>
      <c r="BC3715" s="5" t="s">
        <v>491</v>
      </c>
      <c r="BD3715" s="6" t="s">
        <v>492</v>
      </c>
      <c r="BE3715" s="5" t="s">
        <v>493</v>
      </c>
      <c r="BF3715" s="5" t="s">
        <v>493</v>
      </c>
      <c r="BG3715" s="5" t="s">
        <v>238</v>
      </c>
      <c r="BH3715" s="8">
        <f>1</f>
        <v>1</v>
      </c>
      <c r="BI3715" s="8">
        <f>1</f>
        <v>1</v>
      </c>
      <c r="BJ3715" s="5" t="s">
        <v>253</v>
      </c>
      <c r="BK3715" s="5" t="s">
        <v>254</v>
      </c>
      <c r="BL3715" s="5" t="s">
        <v>238</v>
      </c>
      <c r="BM3715" s="5" t="s">
        <v>238</v>
      </c>
      <c r="BN3715" s="5" t="s">
        <v>238</v>
      </c>
      <c r="BO3715" s="5" t="s">
        <v>238</v>
      </c>
      <c r="BP3715" s="5" t="s">
        <v>238</v>
      </c>
      <c r="BQ3715" s="5" t="s">
        <v>238</v>
      </c>
      <c r="BR3715" s="5" t="s">
        <v>238</v>
      </c>
      <c r="BS3715" s="5" t="s">
        <v>238</v>
      </c>
      <c r="BT3715" s="6" t="s">
        <v>238</v>
      </c>
      <c r="BU3715" s="5" t="s">
        <v>238</v>
      </c>
      <c r="BV3715" s="5" t="s">
        <v>238</v>
      </c>
      <c r="BW3715" s="5" t="s">
        <v>238</v>
      </c>
      <c r="BX3715" s="5" t="s">
        <v>254</v>
      </c>
      <c r="BY3715" s="5" t="s">
        <v>238</v>
      </c>
      <c r="BZ3715" s="5" t="s">
        <v>238</v>
      </c>
      <c r="CA3715" s="5" t="s">
        <v>238</v>
      </c>
      <c r="CB3715" s="5" t="s">
        <v>238</v>
      </c>
      <c r="CC3715" s="5" t="s">
        <v>238</v>
      </c>
      <c r="CD3715" s="5" t="s">
        <v>273</v>
      </c>
      <c r="CE3715" s="5" t="s">
        <v>256</v>
      </c>
      <c r="CF3715" s="5" t="s">
        <v>261</v>
      </c>
      <c r="CH3715" s="5" t="s">
        <v>494</v>
      </c>
      <c r="CI3715" s="6" t="s">
        <v>257</v>
      </c>
      <c r="CJ3715" s="5" t="s">
        <v>495</v>
      </c>
      <c r="CK3715" s="5" t="s">
        <v>258</v>
      </c>
      <c r="CL3715" s="5" t="s">
        <v>496</v>
      </c>
      <c r="CM3715" s="5" t="s">
        <v>238</v>
      </c>
      <c r="CN3715" s="5">
        <v>0</v>
      </c>
      <c r="CO3715" s="5" t="s">
        <v>497</v>
      </c>
      <c r="CP3715" s="5" t="s">
        <v>260</v>
      </c>
      <c r="CQ3715" s="5" t="s">
        <v>260</v>
      </c>
      <c r="CR3715" s="5" t="s">
        <v>261</v>
      </c>
      <c r="CS3715" s="5" t="s">
        <v>498</v>
      </c>
      <c r="CT3715" s="7">
        <f>1</f>
        <v>1</v>
      </c>
      <c r="CU3715" s="8">
        <f>1</f>
        <v>1</v>
      </c>
      <c r="CV3715" s="8">
        <f>0</f>
        <v>0</v>
      </c>
      <c r="CX3715" s="8">
        <f>1</f>
        <v>1</v>
      </c>
      <c r="CY3715" s="8">
        <f>1</f>
        <v>1</v>
      </c>
      <c r="CZ3715" s="8" t="s">
        <v>238</v>
      </c>
      <c r="DA3715" s="5" t="s">
        <v>238</v>
      </c>
      <c r="DB3715" s="5" t="s">
        <v>238</v>
      </c>
      <c r="DC3715" s="5" t="s">
        <v>238</v>
      </c>
      <c r="DD3715" s="5" t="s">
        <v>238</v>
      </c>
      <c r="DE3715" s="8">
        <f>0</f>
        <v>0</v>
      </c>
      <c r="DG3715" s="5" t="s">
        <v>238</v>
      </c>
      <c r="DH3715" s="5" t="s">
        <v>238</v>
      </c>
      <c r="DI3715" s="5" t="s">
        <v>238</v>
      </c>
      <c r="DJ3715" s="5" t="s">
        <v>238</v>
      </c>
      <c r="DK3715" s="5" t="s">
        <v>238</v>
      </c>
      <c r="DL3715" s="5" t="s">
        <v>238</v>
      </c>
      <c r="DM3715" s="8" t="s">
        <v>238</v>
      </c>
      <c r="DN3715" s="5" t="s">
        <v>238</v>
      </c>
      <c r="DO3715" s="5" t="s">
        <v>244</v>
      </c>
      <c r="DP3715" s="5" t="s">
        <v>490</v>
      </c>
      <c r="DQ3715" s="5" t="s">
        <v>490</v>
      </c>
      <c r="DR3715" s="5" t="s">
        <v>238</v>
      </c>
      <c r="DS3715" s="5" t="s">
        <v>238</v>
      </c>
      <c r="DT3715" s="5" t="s">
        <v>601</v>
      </c>
      <c r="DU3715" s="5" t="s">
        <v>882</v>
      </c>
      <c r="DV3715" s="5" t="s">
        <v>238</v>
      </c>
      <c r="DW3715" s="5" t="s">
        <v>238</v>
      </c>
      <c r="DX3715" s="5" t="s">
        <v>238</v>
      </c>
      <c r="DY3715" s="5" t="s">
        <v>238</v>
      </c>
      <c r="DZ3715" s="5" t="s">
        <v>238</v>
      </c>
      <c r="EA3715" s="5" t="s">
        <v>238</v>
      </c>
      <c r="EB3715" s="5" t="s">
        <v>238</v>
      </c>
      <c r="EC3715" s="5" t="s">
        <v>238</v>
      </c>
      <c r="ED3715" s="5" t="s">
        <v>238</v>
      </c>
      <c r="EE3715" s="5" t="s">
        <v>238</v>
      </c>
      <c r="EF3715" s="5" t="s">
        <v>238</v>
      </c>
      <c r="EG3715" s="5" t="s">
        <v>238</v>
      </c>
      <c r="EH3715" s="5" t="s">
        <v>238</v>
      </c>
      <c r="EI3715" s="5" t="s">
        <v>238</v>
      </c>
      <c r="EJ3715" s="5" t="s">
        <v>238</v>
      </c>
      <c r="EK3715" s="5" t="s">
        <v>238</v>
      </c>
      <c r="EL3715" s="5" t="s">
        <v>238</v>
      </c>
      <c r="EM3715" s="5" t="s">
        <v>238</v>
      </c>
      <c r="EN3715" s="5" t="s">
        <v>238</v>
      </c>
      <c r="EO3715" s="5" t="s">
        <v>238</v>
      </c>
      <c r="EP3715" s="5" t="s">
        <v>238</v>
      </c>
      <c r="EQ3715" s="5" t="s">
        <v>238</v>
      </c>
      <c r="ER3715" s="5" t="s">
        <v>238</v>
      </c>
      <c r="ES3715" s="5" t="s">
        <v>238</v>
      </c>
      <c r="ET3715" s="5" t="s">
        <v>238</v>
      </c>
      <c r="EU3715" s="5" t="s">
        <v>238</v>
      </c>
      <c r="EV3715" s="5" t="s">
        <v>238</v>
      </c>
      <c r="EW3715" s="5" t="s">
        <v>238</v>
      </c>
      <c r="EX3715" s="5" t="s">
        <v>238</v>
      </c>
      <c r="EY3715" s="5" t="s">
        <v>238</v>
      </c>
      <c r="EZ3715" s="5" t="s">
        <v>238</v>
      </c>
      <c r="FA3715" s="5" t="s">
        <v>238</v>
      </c>
      <c r="FB3715" s="5" t="s">
        <v>238</v>
      </c>
      <c r="FC3715" s="5" t="s">
        <v>238</v>
      </c>
      <c r="FD3715" s="5" t="s">
        <v>238</v>
      </c>
      <c r="FE3715" s="5" t="s">
        <v>238</v>
      </c>
      <c r="FF3715" s="5" t="s">
        <v>238</v>
      </c>
      <c r="FG3715" s="5" t="s">
        <v>238</v>
      </c>
      <c r="FH3715" s="5" t="s">
        <v>238</v>
      </c>
      <c r="FI3715" s="5" t="s">
        <v>238</v>
      </c>
      <c r="FJ3715" s="5" t="s">
        <v>238</v>
      </c>
      <c r="FK3715" s="5" t="s">
        <v>238</v>
      </c>
      <c r="FL3715" s="5" t="s">
        <v>238</v>
      </c>
      <c r="FM3715" s="5" t="s">
        <v>238</v>
      </c>
      <c r="FN3715" s="5" t="s">
        <v>238</v>
      </c>
      <c r="FO3715" s="5" t="s">
        <v>238</v>
      </c>
      <c r="FP3715" s="5" t="s">
        <v>238</v>
      </c>
      <c r="FQ3715" s="5" t="s">
        <v>238</v>
      </c>
      <c r="FR3715" s="5" t="s">
        <v>238</v>
      </c>
      <c r="FS3715" s="5" t="s">
        <v>238</v>
      </c>
      <c r="FT3715" s="5" t="s">
        <v>238</v>
      </c>
      <c r="FU3715" s="5" t="s">
        <v>238</v>
      </c>
      <c r="FV3715" s="5" t="s">
        <v>238</v>
      </c>
      <c r="FW3715" s="5" t="s">
        <v>238</v>
      </c>
      <c r="FX3715" s="5" t="s">
        <v>238</v>
      </c>
      <c r="FY3715" s="5" t="s">
        <v>238</v>
      </c>
      <c r="FZ3715" s="5" t="s">
        <v>238</v>
      </c>
      <c r="GA3715" s="5" t="s">
        <v>238</v>
      </c>
      <c r="GB3715" s="5" t="s">
        <v>238</v>
      </c>
      <c r="GC3715" s="5" t="s">
        <v>238</v>
      </c>
      <c r="GD3715" s="5" t="s">
        <v>238</v>
      </c>
      <c r="GE3715" s="5" t="s">
        <v>238</v>
      </c>
      <c r="GF3715" s="5" t="s">
        <v>238</v>
      </c>
      <c r="GG3715" s="5" t="s">
        <v>238</v>
      </c>
      <c r="GH3715" s="5" t="s">
        <v>238</v>
      </c>
      <c r="GI3715" s="5" t="s">
        <v>238</v>
      </c>
      <c r="GJ3715" s="5" t="s">
        <v>238</v>
      </c>
      <c r="GK3715" s="5" t="s">
        <v>238</v>
      </c>
      <c r="GL3715" s="5" t="s">
        <v>238</v>
      </c>
      <c r="GM3715" s="5" t="s">
        <v>238</v>
      </c>
      <c r="GN3715" s="5" t="s">
        <v>238</v>
      </c>
      <c r="GO3715" s="5" t="s">
        <v>238</v>
      </c>
      <c r="GP3715" s="5" t="s">
        <v>238</v>
      </c>
      <c r="GQ3715" s="5" t="s">
        <v>238</v>
      </c>
      <c r="GR3715" s="5" t="s">
        <v>238</v>
      </c>
      <c r="GS3715" s="5" t="s">
        <v>238</v>
      </c>
      <c r="GT3715" s="5" t="s">
        <v>238</v>
      </c>
      <c r="GU3715" s="5" t="s">
        <v>238</v>
      </c>
      <c r="GV3715" s="5" t="s">
        <v>238</v>
      </c>
      <c r="GW3715" s="5" t="s">
        <v>238</v>
      </c>
      <c r="GX3715" s="5" t="s">
        <v>238</v>
      </c>
      <c r="GY3715" s="5" t="s">
        <v>238</v>
      </c>
      <c r="GZ3715" s="5" t="s">
        <v>238</v>
      </c>
      <c r="HA3715" s="5" t="s">
        <v>238</v>
      </c>
      <c r="HB3715" s="5" t="s">
        <v>238</v>
      </c>
      <c r="HC3715" s="5" t="s">
        <v>238</v>
      </c>
      <c r="HD3715" s="5" t="s">
        <v>238</v>
      </c>
      <c r="HE3715" s="5" t="s">
        <v>238</v>
      </c>
      <c r="HF3715" s="5" t="s">
        <v>238</v>
      </c>
      <c r="HG3715" s="5" t="s">
        <v>238</v>
      </c>
      <c r="HH3715" s="5" t="s">
        <v>238</v>
      </c>
      <c r="HI3715" s="5" t="s">
        <v>238</v>
      </c>
      <c r="HJ3715" s="5" t="s">
        <v>238</v>
      </c>
      <c r="HK3715" s="5" t="s">
        <v>238</v>
      </c>
      <c r="HL3715" s="5" t="s">
        <v>238</v>
      </c>
      <c r="HM3715" s="5" t="s">
        <v>238</v>
      </c>
      <c r="HN3715" s="5" t="s">
        <v>238</v>
      </c>
      <c r="HO3715" s="5" t="s">
        <v>238</v>
      </c>
      <c r="HP3715" s="5" t="s">
        <v>238</v>
      </c>
      <c r="HQ3715" s="5" t="s">
        <v>238</v>
      </c>
      <c r="HR3715" s="5" t="s">
        <v>238</v>
      </c>
      <c r="HS3715" s="5" t="s">
        <v>238</v>
      </c>
      <c r="HT3715" s="5" t="s">
        <v>238</v>
      </c>
      <c r="HU3715" s="5" t="s">
        <v>238</v>
      </c>
      <c r="HV3715" s="5" t="s">
        <v>238</v>
      </c>
      <c r="HW3715" s="5" t="s">
        <v>238</v>
      </c>
      <c r="HX3715" s="5" t="s">
        <v>238</v>
      </c>
      <c r="HY3715" s="5" t="s">
        <v>238</v>
      </c>
      <c r="HZ3715" s="5" t="s">
        <v>238</v>
      </c>
      <c r="IA3715" s="5" t="s">
        <v>238</v>
      </c>
      <c r="IB3715" s="5" t="s">
        <v>238</v>
      </c>
      <c r="IC3715" s="5" t="s">
        <v>238</v>
      </c>
      <c r="ID3715" s="5" t="s">
        <v>238</v>
      </c>
    </row>
    <row r="3716" spans="1:238" x14ac:dyDescent="0.4">
      <c r="A3716" s="5">
        <v>9434</v>
      </c>
      <c r="B3716" s="5">
        <v>1</v>
      </c>
      <c r="C3716" s="5">
        <v>1</v>
      </c>
      <c r="D3716" s="5" t="s">
        <v>484</v>
      </c>
      <c r="E3716" s="5" t="s">
        <v>485</v>
      </c>
      <c r="F3716" s="5" t="s">
        <v>248</v>
      </c>
      <c r="G3716" s="5" t="s">
        <v>5171</v>
      </c>
      <c r="H3716" s="6" t="s">
        <v>5172</v>
      </c>
      <c r="I3716" s="8">
        <f>1</f>
        <v>1</v>
      </c>
      <c r="J3716" s="5" t="s">
        <v>499</v>
      </c>
      <c r="K3716" s="8">
        <f>1</f>
        <v>1</v>
      </c>
      <c r="L3716" s="6" t="s">
        <v>242</v>
      </c>
      <c r="M3716" s="5" t="s">
        <v>267</v>
      </c>
      <c r="N3716" s="5" t="s">
        <v>482</v>
      </c>
      <c r="O3716" s="5" t="s">
        <v>238</v>
      </c>
      <c r="P3716" s="5" t="s">
        <v>238</v>
      </c>
      <c r="Q3716" s="5" t="s">
        <v>239</v>
      </c>
      <c r="R3716" s="5" t="s">
        <v>270</v>
      </c>
      <c r="S3716" s="5" t="s">
        <v>238</v>
      </c>
      <c r="T3716" s="5" t="s">
        <v>238</v>
      </c>
      <c r="U3716" s="5" t="s">
        <v>238</v>
      </c>
      <c r="V3716" s="5" t="s">
        <v>238</v>
      </c>
      <c r="W3716" s="6" t="s">
        <v>238</v>
      </c>
      <c r="X3716" s="6" t="s">
        <v>238</v>
      </c>
      <c r="Y3716" s="5" t="s">
        <v>238</v>
      </c>
      <c r="Z3716" s="6" t="s">
        <v>238</v>
      </c>
      <c r="AA3716" s="6" t="s">
        <v>243</v>
      </c>
      <c r="AB3716" s="5" t="s">
        <v>598</v>
      </c>
      <c r="AC3716" s="5" t="s">
        <v>244</v>
      </c>
      <c r="AD3716" s="5" t="s">
        <v>245</v>
      </c>
      <c r="AE3716" s="5" t="s">
        <v>238</v>
      </c>
      <c r="AF3716" s="5" t="s">
        <v>238</v>
      </c>
      <c r="AG3716" s="5" t="s">
        <v>238</v>
      </c>
      <c r="AH3716" s="5" t="s">
        <v>238</v>
      </c>
      <c r="AI3716" s="5" t="s">
        <v>238</v>
      </c>
      <c r="AJ3716" s="5" t="s">
        <v>238</v>
      </c>
      <c r="AK3716" s="5" t="s">
        <v>238</v>
      </c>
      <c r="AL3716" s="5" t="s">
        <v>238</v>
      </c>
      <c r="AM3716" s="6" t="s">
        <v>238</v>
      </c>
      <c r="AN3716" s="6" t="s">
        <v>238</v>
      </c>
      <c r="AO3716" s="6" t="s">
        <v>238</v>
      </c>
      <c r="AP3716" s="6" t="s">
        <v>238</v>
      </c>
      <c r="AQ3716" s="5" t="s">
        <v>238</v>
      </c>
      <c r="AR3716" s="5" t="s">
        <v>488</v>
      </c>
      <c r="AS3716" s="5" t="s">
        <v>488</v>
      </c>
      <c r="AT3716" s="5" t="s">
        <v>246</v>
      </c>
      <c r="AU3716" s="5" t="s">
        <v>489</v>
      </c>
      <c r="AV3716" s="5" t="s">
        <v>247</v>
      </c>
      <c r="AW3716" s="5" t="s">
        <v>600</v>
      </c>
      <c r="AX3716" s="5" t="s">
        <v>249</v>
      </c>
      <c r="AY3716" s="5" t="s">
        <v>490</v>
      </c>
      <c r="BA3716" s="5" t="s">
        <v>238</v>
      </c>
      <c r="BC3716" s="5" t="s">
        <v>491</v>
      </c>
      <c r="BD3716" s="6" t="s">
        <v>492</v>
      </c>
      <c r="BE3716" s="5" t="s">
        <v>493</v>
      </c>
      <c r="BF3716" s="5" t="s">
        <v>493</v>
      </c>
      <c r="BG3716" s="5" t="s">
        <v>238</v>
      </c>
      <c r="BH3716" s="8">
        <f>1</f>
        <v>1</v>
      </c>
      <c r="BI3716" s="8">
        <f>1</f>
        <v>1</v>
      </c>
      <c r="BJ3716" s="5" t="s">
        <v>253</v>
      </c>
      <c r="BK3716" s="5" t="s">
        <v>254</v>
      </c>
      <c r="BL3716" s="5" t="s">
        <v>238</v>
      </c>
      <c r="BM3716" s="5" t="s">
        <v>238</v>
      </c>
      <c r="BN3716" s="5" t="s">
        <v>238</v>
      </c>
      <c r="BO3716" s="5" t="s">
        <v>238</v>
      </c>
      <c r="BP3716" s="5" t="s">
        <v>238</v>
      </c>
      <c r="BQ3716" s="5" t="s">
        <v>238</v>
      </c>
      <c r="BR3716" s="5" t="s">
        <v>238</v>
      </c>
      <c r="BS3716" s="5" t="s">
        <v>238</v>
      </c>
      <c r="BT3716" s="6" t="s">
        <v>238</v>
      </c>
      <c r="BU3716" s="5" t="s">
        <v>238</v>
      </c>
      <c r="BV3716" s="5" t="s">
        <v>238</v>
      </c>
      <c r="BW3716" s="5" t="s">
        <v>238</v>
      </c>
      <c r="BX3716" s="5" t="s">
        <v>254</v>
      </c>
      <c r="BY3716" s="5" t="s">
        <v>238</v>
      </c>
      <c r="BZ3716" s="5" t="s">
        <v>238</v>
      </c>
      <c r="CA3716" s="5" t="s">
        <v>238</v>
      </c>
      <c r="CB3716" s="5" t="s">
        <v>238</v>
      </c>
      <c r="CC3716" s="5" t="s">
        <v>238</v>
      </c>
      <c r="CD3716" s="5" t="s">
        <v>273</v>
      </c>
      <c r="CE3716" s="5" t="s">
        <v>256</v>
      </c>
      <c r="CF3716" s="5" t="s">
        <v>261</v>
      </c>
      <c r="CH3716" s="5" t="s">
        <v>494</v>
      </c>
      <c r="CI3716" s="6" t="s">
        <v>257</v>
      </c>
      <c r="CJ3716" s="5" t="s">
        <v>495</v>
      </c>
      <c r="CK3716" s="5" t="s">
        <v>258</v>
      </c>
      <c r="CL3716" s="5" t="s">
        <v>496</v>
      </c>
      <c r="CM3716" s="5" t="s">
        <v>238</v>
      </c>
      <c r="CN3716" s="5">
        <v>0</v>
      </c>
      <c r="CO3716" s="5" t="s">
        <v>497</v>
      </c>
      <c r="CP3716" s="5" t="s">
        <v>260</v>
      </c>
      <c r="CQ3716" s="5" t="s">
        <v>260</v>
      </c>
      <c r="CR3716" s="5" t="s">
        <v>261</v>
      </c>
      <c r="CS3716" s="5" t="s">
        <v>498</v>
      </c>
      <c r="CT3716" s="7">
        <f>1</f>
        <v>1</v>
      </c>
      <c r="CU3716" s="8">
        <f>1</f>
        <v>1</v>
      </c>
      <c r="CV3716" s="8">
        <f>0</f>
        <v>0</v>
      </c>
      <c r="CX3716" s="8">
        <f>1</f>
        <v>1</v>
      </c>
      <c r="CY3716" s="8">
        <f>1</f>
        <v>1</v>
      </c>
      <c r="CZ3716" s="8" t="s">
        <v>238</v>
      </c>
      <c r="DA3716" s="5" t="s">
        <v>238</v>
      </c>
      <c r="DB3716" s="5" t="s">
        <v>238</v>
      </c>
      <c r="DC3716" s="5" t="s">
        <v>238</v>
      </c>
      <c r="DD3716" s="5" t="s">
        <v>238</v>
      </c>
      <c r="DE3716" s="8">
        <f>0</f>
        <v>0</v>
      </c>
      <c r="DG3716" s="5" t="s">
        <v>238</v>
      </c>
      <c r="DH3716" s="5" t="s">
        <v>238</v>
      </c>
      <c r="DI3716" s="5" t="s">
        <v>238</v>
      </c>
      <c r="DJ3716" s="5" t="s">
        <v>238</v>
      </c>
      <c r="DK3716" s="5" t="s">
        <v>238</v>
      </c>
      <c r="DL3716" s="5" t="s">
        <v>238</v>
      </c>
      <c r="DM3716" s="8" t="s">
        <v>238</v>
      </c>
      <c r="DN3716" s="5" t="s">
        <v>238</v>
      </c>
      <c r="DO3716" s="5" t="s">
        <v>244</v>
      </c>
      <c r="DP3716" s="5" t="s">
        <v>490</v>
      </c>
      <c r="DQ3716" s="5" t="s">
        <v>490</v>
      </c>
      <c r="DR3716" s="5" t="s">
        <v>238</v>
      </c>
      <c r="DS3716" s="5" t="s">
        <v>238</v>
      </c>
      <c r="DT3716" s="5" t="s">
        <v>601</v>
      </c>
      <c r="DU3716" s="5" t="s">
        <v>1594</v>
      </c>
      <c r="DV3716" s="5" t="s">
        <v>238</v>
      </c>
      <c r="DW3716" s="5" t="s">
        <v>238</v>
      </c>
      <c r="DX3716" s="5" t="s">
        <v>238</v>
      </c>
      <c r="DY3716" s="5" t="s">
        <v>238</v>
      </c>
      <c r="DZ3716" s="5" t="s">
        <v>238</v>
      </c>
      <c r="EA3716" s="5" t="s">
        <v>238</v>
      </c>
      <c r="EB3716" s="5" t="s">
        <v>238</v>
      </c>
      <c r="EC3716" s="5" t="s">
        <v>238</v>
      </c>
      <c r="ED3716" s="5" t="s">
        <v>238</v>
      </c>
      <c r="EE3716" s="5" t="s">
        <v>238</v>
      </c>
      <c r="EF3716" s="5" t="s">
        <v>238</v>
      </c>
      <c r="EG3716" s="5" t="s">
        <v>238</v>
      </c>
      <c r="EH3716" s="5" t="s">
        <v>238</v>
      </c>
      <c r="EI3716" s="5" t="s">
        <v>238</v>
      </c>
      <c r="EJ3716" s="5" t="s">
        <v>238</v>
      </c>
      <c r="EK3716" s="5" t="s">
        <v>238</v>
      </c>
      <c r="EL3716" s="5" t="s">
        <v>238</v>
      </c>
      <c r="EM3716" s="5" t="s">
        <v>238</v>
      </c>
      <c r="EN3716" s="5" t="s">
        <v>238</v>
      </c>
      <c r="EO3716" s="5" t="s">
        <v>238</v>
      </c>
      <c r="EP3716" s="5" t="s">
        <v>238</v>
      </c>
      <c r="EQ3716" s="5" t="s">
        <v>238</v>
      </c>
      <c r="ER3716" s="5" t="s">
        <v>238</v>
      </c>
      <c r="ES3716" s="5" t="s">
        <v>238</v>
      </c>
      <c r="ET3716" s="5" t="s">
        <v>238</v>
      </c>
      <c r="EU3716" s="5" t="s">
        <v>238</v>
      </c>
      <c r="EV3716" s="5" t="s">
        <v>238</v>
      </c>
      <c r="EW3716" s="5" t="s">
        <v>238</v>
      </c>
      <c r="EX3716" s="5" t="s">
        <v>238</v>
      </c>
      <c r="EY3716" s="5" t="s">
        <v>238</v>
      </c>
      <c r="EZ3716" s="5" t="s">
        <v>238</v>
      </c>
      <c r="FA3716" s="5" t="s">
        <v>238</v>
      </c>
      <c r="FB3716" s="5" t="s">
        <v>238</v>
      </c>
      <c r="FC3716" s="5" t="s">
        <v>238</v>
      </c>
      <c r="FD3716" s="5" t="s">
        <v>238</v>
      </c>
      <c r="FE3716" s="5" t="s">
        <v>238</v>
      </c>
      <c r="FF3716" s="5" t="s">
        <v>238</v>
      </c>
      <c r="FG3716" s="5" t="s">
        <v>238</v>
      </c>
      <c r="FH3716" s="5" t="s">
        <v>238</v>
      </c>
      <c r="FI3716" s="5" t="s">
        <v>238</v>
      </c>
      <c r="FJ3716" s="5" t="s">
        <v>238</v>
      </c>
      <c r="FK3716" s="5" t="s">
        <v>238</v>
      </c>
      <c r="FL3716" s="5" t="s">
        <v>238</v>
      </c>
      <c r="FM3716" s="5" t="s">
        <v>238</v>
      </c>
      <c r="FN3716" s="5" t="s">
        <v>238</v>
      </c>
      <c r="FO3716" s="5" t="s">
        <v>238</v>
      </c>
      <c r="FP3716" s="5" t="s">
        <v>238</v>
      </c>
      <c r="FQ3716" s="5" t="s">
        <v>238</v>
      </c>
      <c r="FR3716" s="5" t="s">
        <v>238</v>
      </c>
      <c r="FS3716" s="5" t="s">
        <v>238</v>
      </c>
      <c r="FT3716" s="5" t="s">
        <v>238</v>
      </c>
      <c r="FU3716" s="5" t="s">
        <v>238</v>
      </c>
      <c r="FV3716" s="5" t="s">
        <v>238</v>
      </c>
      <c r="FW3716" s="5" t="s">
        <v>238</v>
      </c>
      <c r="FX3716" s="5" t="s">
        <v>238</v>
      </c>
      <c r="FY3716" s="5" t="s">
        <v>238</v>
      </c>
      <c r="FZ3716" s="5" t="s">
        <v>238</v>
      </c>
      <c r="GA3716" s="5" t="s">
        <v>238</v>
      </c>
      <c r="GB3716" s="5" t="s">
        <v>238</v>
      </c>
      <c r="GC3716" s="5" t="s">
        <v>238</v>
      </c>
      <c r="GD3716" s="5" t="s">
        <v>238</v>
      </c>
      <c r="GE3716" s="5" t="s">
        <v>238</v>
      </c>
      <c r="GF3716" s="5" t="s">
        <v>238</v>
      </c>
      <c r="GG3716" s="5" t="s">
        <v>238</v>
      </c>
      <c r="GH3716" s="5" t="s">
        <v>238</v>
      </c>
      <c r="GI3716" s="5" t="s">
        <v>238</v>
      </c>
      <c r="GJ3716" s="5" t="s">
        <v>238</v>
      </c>
      <c r="GK3716" s="5" t="s">
        <v>238</v>
      </c>
      <c r="GL3716" s="5" t="s">
        <v>238</v>
      </c>
      <c r="GM3716" s="5" t="s">
        <v>238</v>
      </c>
      <c r="GN3716" s="5" t="s">
        <v>238</v>
      </c>
      <c r="GO3716" s="5" t="s">
        <v>238</v>
      </c>
      <c r="GP3716" s="5" t="s">
        <v>238</v>
      </c>
      <c r="GQ3716" s="5" t="s">
        <v>238</v>
      </c>
      <c r="GR3716" s="5" t="s">
        <v>238</v>
      </c>
      <c r="GS3716" s="5" t="s">
        <v>238</v>
      </c>
      <c r="GT3716" s="5" t="s">
        <v>238</v>
      </c>
      <c r="GU3716" s="5" t="s">
        <v>238</v>
      </c>
      <c r="GV3716" s="5" t="s">
        <v>238</v>
      </c>
      <c r="GW3716" s="5" t="s">
        <v>238</v>
      </c>
      <c r="GX3716" s="5" t="s">
        <v>238</v>
      </c>
      <c r="GY3716" s="5" t="s">
        <v>238</v>
      </c>
      <c r="GZ3716" s="5" t="s">
        <v>238</v>
      </c>
      <c r="HA3716" s="5" t="s">
        <v>238</v>
      </c>
      <c r="HB3716" s="5" t="s">
        <v>238</v>
      </c>
      <c r="HC3716" s="5" t="s">
        <v>238</v>
      </c>
      <c r="HD3716" s="5" t="s">
        <v>238</v>
      </c>
      <c r="HE3716" s="5" t="s">
        <v>238</v>
      </c>
      <c r="HF3716" s="5" t="s">
        <v>238</v>
      </c>
      <c r="HG3716" s="5" t="s">
        <v>238</v>
      </c>
      <c r="HH3716" s="5" t="s">
        <v>238</v>
      </c>
      <c r="HI3716" s="5" t="s">
        <v>238</v>
      </c>
      <c r="HJ3716" s="5" t="s">
        <v>238</v>
      </c>
      <c r="HK3716" s="5" t="s">
        <v>238</v>
      </c>
      <c r="HL3716" s="5" t="s">
        <v>238</v>
      </c>
      <c r="HM3716" s="5" t="s">
        <v>238</v>
      </c>
      <c r="HN3716" s="5" t="s">
        <v>238</v>
      </c>
      <c r="HO3716" s="5" t="s">
        <v>238</v>
      </c>
      <c r="HP3716" s="5" t="s">
        <v>238</v>
      </c>
      <c r="HQ3716" s="5" t="s">
        <v>238</v>
      </c>
      <c r="HR3716" s="5" t="s">
        <v>238</v>
      </c>
      <c r="HS3716" s="5" t="s">
        <v>238</v>
      </c>
      <c r="HT3716" s="5" t="s">
        <v>238</v>
      </c>
      <c r="HU3716" s="5" t="s">
        <v>238</v>
      </c>
      <c r="HV3716" s="5" t="s">
        <v>238</v>
      </c>
      <c r="HW3716" s="5" t="s">
        <v>238</v>
      </c>
      <c r="HX3716" s="5" t="s">
        <v>238</v>
      </c>
      <c r="HY3716" s="5" t="s">
        <v>238</v>
      </c>
      <c r="HZ3716" s="5" t="s">
        <v>238</v>
      </c>
      <c r="IA3716" s="5" t="s">
        <v>238</v>
      </c>
      <c r="IB3716" s="5" t="s">
        <v>238</v>
      </c>
      <c r="IC3716" s="5" t="s">
        <v>238</v>
      </c>
      <c r="ID3716" s="5" t="s">
        <v>238</v>
      </c>
    </row>
    <row r="3717" spans="1:238" x14ac:dyDescent="0.4">
      <c r="A3717" s="5">
        <v>9435</v>
      </c>
      <c r="B3717" s="5">
        <v>1</v>
      </c>
      <c r="C3717" s="5">
        <v>1</v>
      </c>
      <c r="D3717" s="5" t="s">
        <v>484</v>
      </c>
      <c r="E3717" s="5" t="s">
        <v>485</v>
      </c>
      <c r="F3717" s="5" t="s">
        <v>248</v>
      </c>
      <c r="G3717" s="5" t="s">
        <v>6477</v>
      </c>
      <c r="H3717" s="6" t="s">
        <v>6478</v>
      </c>
      <c r="I3717" s="8">
        <f>1</f>
        <v>1</v>
      </c>
      <c r="J3717" s="5" t="s">
        <v>499</v>
      </c>
      <c r="K3717" s="8">
        <f>1</f>
        <v>1</v>
      </c>
      <c r="L3717" s="6" t="s">
        <v>242</v>
      </c>
      <c r="M3717" s="5" t="s">
        <v>267</v>
      </c>
      <c r="N3717" s="5" t="s">
        <v>482</v>
      </c>
      <c r="O3717" s="5" t="s">
        <v>238</v>
      </c>
      <c r="P3717" s="5" t="s">
        <v>238</v>
      </c>
      <c r="Q3717" s="5" t="s">
        <v>239</v>
      </c>
      <c r="R3717" s="5" t="s">
        <v>270</v>
      </c>
      <c r="S3717" s="5" t="s">
        <v>238</v>
      </c>
      <c r="T3717" s="5" t="s">
        <v>238</v>
      </c>
      <c r="U3717" s="5" t="s">
        <v>238</v>
      </c>
      <c r="V3717" s="5" t="s">
        <v>238</v>
      </c>
      <c r="W3717" s="6" t="s">
        <v>238</v>
      </c>
      <c r="X3717" s="6" t="s">
        <v>238</v>
      </c>
      <c r="Y3717" s="5" t="s">
        <v>238</v>
      </c>
      <c r="Z3717" s="6" t="s">
        <v>238</v>
      </c>
      <c r="AA3717" s="6" t="s">
        <v>243</v>
      </c>
      <c r="AB3717" s="5" t="s">
        <v>598</v>
      </c>
      <c r="AC3717" s="5" t="s">
        <v>244</v>
      </c>
      <c r="AD3717" s="5" t="s">
        <v>245</v>
      </c>
      <c r="AE3717" s="5" t="s">
        <v>238</v>
      </c>
      <c r="AF3717" s="5" t="s">
        <v>238</v>
      </c>
      <c r="AG3717" s="5" t="s">
        <v>238</v>
      </c>
      <c r="AH3717" s="5" t="s">
        <v>238</v>
      </c>
      <c r="AI3717" s="5" t="s">
        <v>238</v>
      </c>
      <c r="AJ3717" s="5" t="s">
        <v>238</v>
      </c>
      <c r="AK3717" s="5" t="s">
        <v>238</v>
      </c>
      <c r="AL3717" s="5" t="s">
        <v>238</v>
      </c>
      <c r="AM3717" s="6" t="s">
        <v>238</v>
      </c>
      <c r="AN3717" s="6" t="s">
        <v>238</v>
      </c>
      <c r="AO3717" s="6" t="s">
        <v>238</v>
      </c>
      <c r="AP3717" s="6" t="s">
        <v>238</v>
      </c>
      <c r="AQ3717" s="5" t="s">
        <v>238</v>
      </c>
      <c r="AR3717" s="5" t="s">
        <v>488</v>
      </c>
      <c r="AS3717" s="5" t="s">
        <v>488</v>
      </c>
      <c r="AT3717" s="5" t="s">
        <v>246</v>
      </c>
      <c r="AU3717" s="5" t="s">
        <v>489</v>
      </c>
      <c r="AV3717" s="5" t="s">
        <v>247</v>
      </c>
      <c r="AW3717" s="5" t="s">
        <v>600</v>
      </c>
      <c r="AX3717" s="5" t="s">
        <v>249</v>
      </c>
      <c r="AY3717" s="5" t="s">
        <v>490</v>
      </c>
      <c r="BA3717" s="5" t="s">
        <v>238</v>
      </c>
      <c r="BC3717" s="5" t="s">
        <v>491</v>
      </c>
      <c r="BD3717" s="6" t="s">
        <v>492</v>
      </c>
      <c r="BE3717" s="5" t="s">
        <v>493</v>
      </c>
      <c r="BF3717" s="5" t="s">
        <v>493</v>
      </c>
      <c r="BG3717" s="5" t="s">
        <v>238</v>
      </c>
      <c r="BH3717" s="8">
        <f>1</f>
        <v>1</v>
      </c>
      <c r="BI3717" s="8">
        <f>1</f>
        <v>1</v>
      </c>
      <c r="BJ3717" s="5" t="s">
        <v>253</v>
      </c>
      <c r="BK3717" s="5" t="s">
        <v>254</v>
      </c>
      <c r="BL3717" s="5" t="s">
        <v>238</v>
      </c>
      <c r="BM3717" s="5" t="s">
        <v>238</v>
      </c>
      <c r="BN3717" s="5" t="s">
        <v>238</v>
      </c>
      <c r="BO3717" s="5" t="s">
        <v>238</v>
      </c>
      <c r="BP3717" s="5" t="s">
        <v>238</v>
      </c>
      <c r="BQ3717" s="5" t="s">
        <v>238</v>
      </c>
      <c r="BR3717" s="5" t="s">
        <v>238</v>
      </c>
      <c r="BS3717" s="5" t="s">
        <v>238</v>
      </c>
      <c r="BT3717" s="6" t="s">
        <v>238</v>
      </c>
      <c r="BU3717" s="5" t="s">
        <v>238</v>
      </c>
      <c r="BV3717" s="5" t="s">
        <v>238</v>
      </c>
      <c r="BW3717" s="5" t="s">
        <v>238</v>
      </c>
      <c r="BX3717" s="5" t="s">
        <v>254</v>
      </c>
      <c r="BY3717" s="5" t="s">
        <v>238</v>
      </c>
      <c r="BZ3717" s="5" t="s">
        <v>238</v>
      </c>
      <c r="CA3717" s="5" t="s">
        <v>238</v>
      </c>
      <c r="CB3717" s="5" t="s">
        <v>238</v>
      </c>
      <c r="CC3717" s="5" t="s">
        <v>238</v>
      </c>
      <c r="CD3717" s="5" t="s">
        <v>273</v>
      </c>
      <c r="CE3717" s="5" t="s">
        <v>256</v>
      </c>
      <c r="CF3717" s="5" t="s">
        <v>261</v>
      </c>
      <c r="CH3717" s="5" t="s">
        <v>494</v>
      </c>
      <c r="CI3717" s="6" t="s">
        <v>257</v>
      </c>
      <c r="CJ3717" s="5" t="s">
        <v>495</v>
      </c>
      <c r="CK3717" s="5" t="s">
        <v>258</v>
      </c>
      <c r="CL3717" s="5" t="s">
        <v>496</v>
      </c>
      <c r="CM3717" s="5" t="s">
        <v>238</v>
      </c>
      <c r="CN3717" s="5">
        <v>0</v>
      </c>
      <c r="CO3717" s="5" t="s">
        <v>497</v>
      </c>
      <c r="CP3717" s="5" t="s">
        <v>260</v>
      </c>
      <c r="CQ3717" s="5" t="s">
        <v>260</v>
      </c>
      <c r="CR3717" s="5" t="s">
        <v>261</v>
      </c>
      <c r="CS3717" s="5" t="s">
        <v>498</v>
      </c>
      <c r="CT3717" s="7">
        <f>1</f>
        <v>1</v>
      </c>
      <c r="CU3717" s="8">
        <f>1</f>
        <v>1</v>
      </c>
      <c r="CV3717" s="8">
        <f>0</f>
        <v>0</v>
      </c>
      <c r="CX3717" s="8">
        <f>1</f>
        <v>1</v>
      </c>
      <c r="CY3717" s="8">
        <f>1</f>
        <v>1</v>
      </c>
      <c r="CZ3717" s="8" t="s">
        <v>238</v>
      </c>
      <c r="DA3717" s="5" t="s">
        <v>238</v>
      </c>
      <c r="DB3717" s="5" t="s">
        <v>238</v>
      </c>
      <c r="DC3717" s="5" t="s">
        <v>238</v>
      </c>
      <c r="DD3717" s="5" t="s">
        <v>238</v>
      </c>
      <c r="DE3717" s="8">
        <f>0</f>
        <v>0</v>
      </c>
      <c r="DG3717" s="5" t="s">
        <v>238</v>
      </c>
      <c r="DH3717" s="5" t="s">
        <v>238</v>
      </c>
      <c r="DI3717" s="5" t="s">
        <v>238</v>
      </c>
      <c r="DJ3717" s="5" t="s">
        <v>238</v>
      </c>
      <c r="DK3717" s="5" t="s">
        <v>238</v>
      </c>
      <c r="DL3717" s="5" t="s">
        <v>238</v>
      </c>
      <c r="DM3717" s="8" t="s">
        <v>238</v>
      </c>
      <c r="DN3717" s="5" t="s">
        <v>238</v>
      </c>
      <c r="DO3717" s="5" t="s">
        <v>244</v>
      </c>
      <c r="DP3717" s="5" t="s">
        <v>490</v>
      </c>
      <c r="DQ3717" s="5" t="s">
        <v>490</v>
      </c>
      <c r="DR3717" s="5" t="s">
        <v>238</v>
      </c>
      <c r="DS3717" s="5" t="s">
        <v>238</v>
      </c>
      <c r="DT3717" s="5" t="s">
        <v>601</v>
      </c>
      <c r="DU3717" s="5" t="s">
        <v>1327</v>
      </c>
      <c r="DV3717" s="5" t="s">
        <v>238</v>
      </c>
      <c r="DW3717" s="5" t="s">
        <v>238</v>
      </c>
      <c r="DX3717" s="5" t="s">
        <v>238</v>
      </c>
      <c r="DY3717" s="5" t="s">
        <v>238</v>
      </c>
      <c r="DZ3717" s="5" t="s">
        <v>238</v>
      </c>
      <c r="EA3717" s="5" t="s">
        <v>238</v>
      </c>
      <c r="EB3717" s="5" t="s">
        <v>238</v>
      </c>
      <c r="EC3717" s="5" t="s">
        <v>238</v>
      </c>
      <c r="ED3717" s="5" t="s">
        <v>238</v>
      </c>
      <c r="EE3717" s="5" t="s">
        <v>238</v>
      </c>
      <c r="EF3717" s="5" t="s">
        <v>238</v>
      </c>
      <c r="EG3717" s="5" t="s">
        <v>238</v>
      </c>
      <c r="EH3717" s="5" t="s">
        <v>238</v>
      </c>
      <c r="EI3717" s="5" t="s">
        <v>238</v>
      </c>
      <c r="EJ3717" s="5" t="s">
        <v>238</v>
      </c>
      <c r="EK3717" s="5" t="s">
        <v>238</v>
      </c>
      <c r="EL3717" s="5" t="s">
        <v>238</v>
      </c>
      <c r="EM3717" s="5" t="s">
        <v>238</v>
      </c>
      <c r="EN3717" s="5" t="s">
        <v>238</v>
      </c>
      <c r="EO3717" s="5" t="s">
        <v>238</v>
      </c>
      <c r="EP3717" s="5" t="s">
        <v>238</v>
      </c>
      <c r="EQ3717" s="5" t="s">
        <v>238</v>
      </c>
      <c r="ER3717" s="5" t="s">
        <v>238</v>
      </c>
      <c r="ES3717" s="5" t="s">
        <v>238</v>
      </c>
      <c r="ET3717" s="5" t="s">
        <v>238</v>
      </c>
      <c r="EU3717" s="5" t="s">
        <v>238</v>
      </c>
      <c r="EV3717" s="5" t="s">
        <v>238</v>
      </c>
      <c r="EW3717" s="5" t="s">
        <v>238</v>
      </c>
      <c r="EX3717" s="5" t="s">
        <v>238</v>
      </c>
      <c r="EY3717" s="5" t="s">
        <v>238</v>
      </c>
      <c r="EZ3717" s="5" t="s">
        <v>238</v>
      </c>
      <c r="FA3717" s="5" t="s">
        <v>238</v>
      </c>
      <c r="FB3717" s="5" t="s">
        <v>238</v>
      </c>
      <c r="FC3717" s="5" t="s">
        <v>238</v>
      </c>
      <c r="FD3717" s="5" t="s">
        <v>238</v>
      </c>
      <c r="FE3717" s="5" t="s">
        <v>238</v>
      </c>
      <c r="FF3717" s="5" t="s">
        <v>238</v>
      </c>
      <c r="FG3717" s="5" t="s">
        <v>238</v>
      </c>
      <c r="FH3717" s="5" t="s">
        <v>238</v>
      </c>
      <c r="FI3717" s="5" t="s">
        <v>238</v>
      </c>
      <c r="FJ3717" s="5" t="s">
        <v>238</v>
      </c>
      <c r="FK3717" s="5" t="s">
        <v>238</v>
      </c>
      <c r="FL3717" s="5" t="s">
        <v>238</v>
      </c>
      <c r="FM3717" s="5" t="s">
        <v>238</v>
      </c>
      <c r="FN3717" s="5" t="s">
        <v>238</v>
      </c>
      <c r="FO3717" s="5" t="s">
        <v>238</v>
      </c>
      <c r="FP3717" s="5" t="s">
        <v>238</v>
      </c>
      <c r="FQ3717" s="5" t="s">
        <v>238</v>
      </c>
      <c r="FR3717" s="5" t="s">
        <v>238</v>
      </c>
      <c r="FS3717" s="5" t="s">
        <v>238</v>
      </c>
      <c r="FT3717" s="5" t="s">
        <v>238</v>
      </c>
      <c r="FU3717" s="5" t="s">
        <v>238</v>
      </c>
      <c r="FV3717" s="5" t="s">
        <v>238</v>
      </c>
      <c r="FW3717" s="5" t="s">
        <v>238</v>
      </c>
      <c r="FX3717" s="5" t="s">
        <v>238</v>
      </c>
      <c r="FY3717" s="5" t="s">
        <v>238</v>
      </c>
      <c r="FZ3717" s="5" t="s">
        <v>238</v>
      </c>
      <c r="GA3717" s="5" t="s">
        <v>238</v>
      </c>
      <c r="GB3717" s="5" t="s">
        <v>238</v>
      </c>
      <c r="GC3717" s="5" t="s">
        <v>238</v>
      </c>
      <c r="GD3717" s="5" t="s">
        <v>238</v>
      </c>
      <c r="GE3717" s="5" t="s">
        <v>238</v>
      </c>
      <c r="GF3717" s="5" t="s">
        <v>238</v>
      </c>
      <c r="GG3717" s="5" t="s">
        <v>238</v>
      </c>
      <c r="GH3717" s="5" t="s">
        <v>238</v>
      </c>
      <c r="GI3717" s="5" t="s">
        <v>238</v>
      </c>
      <c r="GJ3717" s="5" t="s">
        <v>238</v>
      </c>
      <c r="GK3717" s="5" t="s">
        <v>238</v>
      </c>
      <c r="GL3717" s="5" t="s">
        <v>238</v>
      </c>
      <c r="GM3717" s="5" t="s">
        <v>238</v>
      </c>
      <c r="GN3717" s="5" t="s">
        <v>238</v>
      </c>
      <c r="GO3717" s="5" t="s">
        <v>238</v>
      </c>
      <c r="GP3717" s="5" t="s">
        <v>238</v>
      </c>
      <c r="GQ3717" s="5" t="s">
        <v>238</v>
      </c>
      <c r="GR3717" s="5" t="s">
        <v>238</v>
      </c>
      <c r="GS3717" s="5" t="s">
        <v>238</v>
      </c>
      <c r="GT3717" s="5" t="s">
        <v>238</v>
      </c>
      <c r="GU3717" s="5" t="s">
        <v>238</v>
      </c>
      <c r="GV3717" s="5" t="s">
        <v>238</v>
      </c>
      <c r="GW3717" s="5" t="s">
        <v>238</v>
      </c>
      <c r="GX3717" s="5" t="s">
        <v>238</v>
      </c>
      <c r="GY3717" s="5" t="s">
        <v>238</v>
      </c>
      <c r="GZ3717" s="5" t="s">
        <v>238</v>
      </c>
      <c r="HA3717" s="5" t="s">
        <v>238</v>
      </c>
      <c r="HB3717" s="5" t="s">
        <v>238</v>
      </c>
      <c r="HC3717" s="5" t="s">
        <v>238</v>
      </c>
      <c r="HD3717" s="5" t="s">
        <v>238</v>
      </c>
      <c r="HE3717" s="5" t="s">
        <v>238</v>
      </c>
      <c r="HF3717" s="5" t="s">
        <v>238</v>
      </c>
      <c r="HG3717" s="5" t="s">
        <v>238</v>
      </c>
      <c r="HH3717" s="5" t="s">
        <v>238</v>
      </c>
      <c r="HI3717" s="5" t="s">
        <v>238</v>
      </c>
      <c r="HJ3717" s="5" t="s">
        <v>238</v>
      </c>
      <c r="HK3717" s="5" t="s">
        <v>238</v>
      </c>
      <c r="HL3717" s="5" t="s">
        <v>238</v>
      </c>
      <c r="HM3717" s="5" t="s">
        <v>238</v>
      </c>
      <c r="HN3717" s="5" t="s">
        <v>238</v>
      </c>
      <c r="HO3717" s="5" t="s">
        <v>238</v>
      </c>
      <c r="HP3717" s="5" t="s">
        <v>238</v>
      </c>
      <c r="HQ3717" s="5" t="s">
        <v>238</v>
      </c>
      <c r="HR3717" s="5" t="s">
        <v>238</v>
      </c>
      <c r="HS3717" s="5" t="s">
        <v>238</v>
      </c>
      <c r="HT3717" s="5" t="s">
        <v>238</v>
      </c>
      <c r="HU3717" s="5" t="s">
        <v>238</v>
      </c>
      <c r="HV3717" s="5" t="s">
        <v>238</v>
      </c>
      <c r="HW3717" s="5" t="s">
        <v>238</v>
      </c>
      <c r="HX3717" s="5" t="s">
        <v>238</v>
      </c>
      <c r="HY3717" s="5" t="s">
        <v>238</v>
      </c>
      <c r="HZ3717" s="5" t="s">
        <v>238</v>
      </c>
      <c r="IA3717" s="5" t="s">
        <v>238</v>
      </c>
      <c r="IB3717" s="5" t="s">
        <v>238</v>
      </c>
      <c r="IC3717" s="5" t="s">
        <v>238</v>
      </c>
      <c r="ID3717" s="5" t="s">
        <v>238</v>
      </c>
    </row>
    <row r="3718" spans="1:238" x14ac:dyDescent="0.4">
      <c r="A3718" s="5">
        <v>9436</v>
      </c>
      <c r="B3718" s="5">
        <v>1</v>
      </c>
      <c r="C3718" s="5">
        <v>1</v>
      </c>
      <c r="D3718" s="5" t="s">
        <v>484</v>
      </c>
      <c r="E3718" s="5" t="s">
        <v>485</v>
      </c>
      <c r="F3718" s="5" t="s">
        <v>248</v>
      </c>
      <c r="G3718" s="5" t="s">
        <v>4675</v>
      </c>
      <c r="H3718" s="6" t="s">
        <v>4676</v>
      </c>
      <c r="I3718" s="8">
        <f>1</f>
        <v>1</v>
      </c>
      <c r="J3718" s="5" t="s">
        <v>499</v>
      </c>
      <c r="K3718" s="8">
        <f>1</f>
        <v>1</v>
      </c>
      <c r="L3718" s="6" t="s">
        <v>242</v>
      </c>
      <c r="M3718" s="5" t="s">
        <v>267</v>
      </c>
      <c r="N3718" s="5" t="s">
        <v>482</v>
      </c>
      <c r="O3718" s="5" t="s">
        <v>238</v>
      </c>
      <c r="P3718" s="5" t="s">
        <v>238</v>
      </c>
      <c r="Q3718" s="5" t="s">
        <v>239</v>
      </c>
      <c r="R3718" s="5" t="s">
        <v>270</v>
      </c>
      <c r="S3718" s="5" t="s">
        <v>238</v>
      </c>
      <c r="T3718" s="5" t="s">
        <v>238</v>
      </c>
      <c r="U3718" s="5" t="s">
        <v>238</v>
      </c>
      <c r="V3718" s="5" t="s">
        <v>238</v>
      </c>
      <c r="W3718" s="6" t="s">
        <v>238</v>
      </c>
      <c r="X3718" s="6" t="s">
        <v>238</v>
      </c>
      <c r="Y3718" s="5" t="s">
        <v>238</v>
      </c>
      <c r="Z3718" s="6" t="s">
        <v>238</v>
      </c>
      <c r="AA3718" s="6" t="s">
        <v>243</v>
      </c>
      <c r="AB3718" s="5" t="s">
        <v>598</v>
      </c>
      <c r="AC3718" s="5" t="s">
        <v>244</v>
      </c>
      <c r="AD3718" s="5" t="s">
        <v>245</v>
      </c>
      <c r="AE3718" s="5" t="s">
        <v>238</v>
      </c>
      <c r="AF3718" s="5" t="s">
        <v>238</v>
      </c>
      <c r="AG3718" s="5" t="s">
        <v>238</v>
      </c>
      <c r="AH3718" s="5" t="s">
        <v>238</v>
      </c>
      <c r="AI3718" s="5" t="s">
        <v>238</v>
      </c>
      <c r="AJ3718" s="5" t="s">
        <v>238</v>
      </c>
      <c r="AK3718" s="5" t="s">
        <v>238</v>
      </c>
      <c r="AL3718" s="5" t="s">
        <v>238</v>
      </c>
      <c r="AM3718" s="6" t="s">
        <v>238</v>
      </c>
      <c r="AN3718" s="6" t="s">
        <v>238</v>
      </c>
      <c r="AO3718" s="6" t="s">
        <v>238</v>
      </c>
      <c r="AP3718" s="6" t="s">
        <v>238</v>
      </c>
      <c r="AQ3718" s="5" t="s">
        <v>238</v>
      </c>
      <c r="AR3718" s="5" t="s">
        <v>488</v>
      </c>
      <c r="AS3718" s="5" t="s">
        <v>488</v>
      </c>
      <c r="AT3718" s="5" t="s">
        <v>246</v>
      </c>
      <c r="AU3718" s="5" t="s">
        <v>489</v>
      </c>
      <c r="AV3718" s="5" t="s">
        <v>247</v>
      </c>
      <c r="AW3718" s="5" t="s">
        <v>600</v>
      </c>
      <c r="AX3718" s="5" t="s">
        <v>249</v>
      </c>
      <c r="AY3718" s="5" t="s">
        <v>490</v>
      </c>
      <c r="BA3718" s="5" t="s">
        <v>238</v>
      </c>
      <c r="BC3718" s="5" t="s">
        <v>491</v>
      </c>
      <c r="BD3718" s="6" t="s">
        <v>492</v>
      </c>
      <c r="BE3718" s="5" t="s">
        <v>493</v>
      </c>
      <c r="BF3718" s="5" t="s">
        <v>493</v>
      </c>
      <c r="BG3718" s="5" t="s">
        <v>238</v>
      </c>
      <c r="BH3718" s="8">
        <f>1</f>
        <v>1</v>
      </c>
      <c r="BI3718" s="8">
        <f>1</f>
        <v>1</v>
      </c>
      <c r="BJ3718" s="5" t="s">
        <v>253</v>
      </c>
      <c r="BK3718" s="5" t="s">
        <v>254</v>
      </c>
      <c r="BL3718" s="5" t="s">
        <v>238</v>
      </c>
      <c r="BM3718" s="5" t="s">
        <v>238</v>
      </c>
      <c r="BN3718" s="5" t="s">
        <v>238</v>
      </c>
      <c r="BO3718" s="5" t="s">
        <v>238</v>
      </c>
      <c r="BP3718" s="5" t="s">
        <v>238</v>
      </c>
      <c r="BQ3718" s="5" t="s">
        <v>238</v>
      </c>
      <c r="BR3718" s="5" t="s">
        <v>238</v>
      </c>
      <c r="BS3718" s="5" t="s">
        <v>238</v>
      </c>
      <c r="BT3718" s="6" t="s">
        <v>238</v>
      </c>
      <c r="BU3718" s="5" t="s">
        <v>238</v>
      </c>
      <c r="BV3718" s="5" t="s">
        <v>238</v>
      </c>
      <c r="BW3718" s="5" t="s">
        <v>238</v>
      </c>
      <c r="BX3718" s="5" t="s">
        <v>254</v>
      </c>
      <c r="BY3718" s="5" t="s">
        <v>238</v>
      </c>
      <c r="BZ3718" s="5" t="s">
        <v>238</v>
      </c>
      <c r="CA3718" s="5" t="s">
        <v>238</v>
      </c>
      <c r="CB3718" s="5" t="s">
        <v>238</v>
      </c>
      <c r="CC3718" s="5" t="s">
        <v>238</v>
      </c>
      <c r="CD3718" s="5" t="s">
        <v>273</v>
      </c>
      <c r="CE3718" s="5" t="s">
        <v>256</v>
      </c>
      <c r="CF3718" s="5" t="s">
        <v>261</v>
      </c>
      <c r="CH3718" s="5" t="s">
        <v>494</v>
      </c>
      <c r="CI3718" s="6" t="s">
        <v>257</v>
      </c>
      <c r="CJ3718" s="5" t="s">
        <v>495</v>
      </c>
      <c r="CK3718" s="5" t="s">
        <v>258</v>
      </c>
      <c r="CL3718" s="5" t="s">
        <v>496</v>
      </c>
      <c r="CM3718" s="5" t="s">
        <v>238</v>
      </c>
      <c r="CN3718" s="5">
        <v>0</v>
      </c>
      <c r="CO3718" s="5" t="s">
        <v>497</v>
      </c>
      <c r="CP3718" s="5" t="s">
        <v>260</v>
      </c>
      <c r="CQ3718" s="5" t="s">
        <v>260</v>
      </c>
      <c r="CR3718" s="5" t="s">
        <v>261</v>
      </c>
      <c r="CS3718" s="5" t="s">
        <v>498</v>
      </c>
      <c r="CT3718" s="7">
        <f>1</f>
        <v>1</v>
      </c>
      <c r="CU3718" s="8">
        <f>1</f>
        <v>1</v>
      </c>
      <c r="CV3718" s="8">
        <f>0</f>
        <v>0</v>
      </c>
      <c r="CX3718" s="8">
        <f>1</f>
        <v>1</v>
      </c>
      <c r="CY3718" s="8">
        <f>1</f>
        <v>1</v>
      </c>
      <c r="CZ3718" s="8" t="s">
        <v>238</v>
      </c>
      <c r="DA3718" s="5" t="s">
        <v>238</v>
      </c>
      <c r="DB3718" s="5" t="s">
        <v>238</v>
      </c>
      <c r="DC3718" s="5" t="s">
        <v>238</v>
      </c>
      <c r="DD3718" s="5" t="s">
        <v>238</v>
      </c>
      <c r="DE3718" s="8">
        <f>0</f>
        <v>0</v>
      </c>
      <c r="DG3718" s="5" t="s">
        <v>238</v>
      </c>
      <c r="DH3718" s="5" t="s">
        <v>238</v>
      </c>
      <c r="DI3718" s="5" t="s">
        <v>238</v>
      </c>
      <c r="DJ3718" s="5" t="s">
        <v>238</v>
      </c>
      <c r="DK3718" s="5" t="s">
        <v>238</v>
      </c>
      <c r="DL3718" s="5" t="s">
        <v>238</v>
      </c>
      <c r="DM3718" s="8" t="s">
        <v>238</v>
      </c>
      <c r="DN3718" s="5" t="s">
        <v>238</v>
      </c>
      <c r="DO3718" s="5" t="s">
        <v>244</v>
      </c>
      <c r="DP3718" s="5" t="s">
        <v>490</v>
      </c>
      <c r="DQ3718" s="5" t="s">
        <v>490</v>
      </c>
      <c r="DR3718" s="5" t="s">
        <v>238</v>
      </c>
      <c r="DS3718" s="5" t="s">
        <v>238</v>
      </c>
      <c r="DT3718" s="5" t="s">
        <v>601</v>
      </c>
      <c r="DU3718" s="5" t="s">
        <v>1305</v>
      </c>
      <c r="DV3718" s="5" t="s">
        <v>238</v>
      </c>
      <c r="DW3718" s="5" t="s">
        <v>238</v>
      </c>
      <c r="DX3718" s="5" t="s">
        <v>238</v>
      </c>
      <c r="DY3718" s="5" t="s">
        <v>238</v>
      </c>
      <c r="DZ3718" s="5" t="s">
        <v>238</v>
      </c>
      <c r="EA3718" s="5" t="s">
        <v>238</v>
      </c>
      <c r="EB3718" s="5" t="s">
        <v>238</v>
      </c>
      <c r="EC3718" s="5" t="s">
        <v>238</v>
      </c>
      <c r="ED3718" s="5" t="s">
        <v>238</v>
      </c>
      <c r="EE3718" s="5" t="s">
        <v>238</v>
      </c>
      <c r="EF3718" s="5" t="s">
        <v>238</v>
      </c>
      <c r="EG3718" s="5" t="s">
        <v>238</v>
      </c>
      <c r="EH3718" s="5" t="s">
        <v>238</v>
      </c>
      <c r="EI3718" s="5" t="s">
        <v>238</v>
      </c>
      <c r="EJ3718" s="5" t="s">
        <v>238</v>
      </c>
      <c r="EK3718" s="5" t="s">
        <v>238</v>
      </c>
      <c r="EL3718" s="5" t="s">
        <v>238</v>
      </c>
      <c r="EM3718" s="5" t="s">
        <v>238</v>
      </c>
      <c r="EN3718" s="5" t="s">
        <v>238</v>
      </c>
      <c r="EO3718" s="5" t="s">
        <v>238</v>
      </c>
      <c r="EP3718" s="5" t="s">
        <v>238</v>
      </c>
      <c r="EQ3718" s="5" t="s">
        <v>238</v>
      </c>
      <c r="ER3718" s="5" t="s">
        <v>238</v>
      </c>
      <c r="ES3718" s="5" t="s">
        <v>238</v>
      </c>
      <c r="ET3718" s="5" t="s">
        <v>238</v>
      </c>
      <c r="EU3718" s="5" t="s">
        <v>238</v>
      </c>
      <c r="EV3718" s="5" t="s">
        <v>238</v>
      </c>
      <c r="EW3718" s="5" t="s">
        <v>238</v>
      </c>
      <c r="EX3718" s="5" t="s">
        <v>238</v>
      </c>
      <c r="EY3718" s="5" t="s">
        <v>238</v>
      </c>
      <c r="EZ3718" s="5" t="s">
        <v>238</v>
      </c>
      <c r="FA3718" s="5" t="s">
        <v>238</v>
      </c>
      <c r="FB3718" s="5" t="s">
        <v>238</v>
      </c>
      <c r="FC3718" s="5" t="s">
        <v>238</v>
      </c>
      <c r="FD3718" s="5" t="s">
        <v>238</v>
      </c>
      <c r="FE3718" s="5" t="s">
        <v>238</v>
      </c>
      <c r="FF3718" s="5" t="s">
        <v>238</v>
      </c>
      <c r="FG3718" s="5" t="s">
        <v>238</v>
      </c>
      <c r="FH3718" s="5" t="s">
        <v>238</v>
      </c>
      <c r="FI3718" s="5" t="s">
        <v>238</v>
      </c>
      <c r="FJ3718" s="5" t="s">
        <v>238</v>
      </c>
      <c r="FK3718" s="5" t="s">
        <v>238</v>
      </c>
      <c r="FL3718" s="5" t="s">
        <v>238</v>
      </c>
      <c r="FM3718" s="5" t="s">
        <v>238</v>
      </c>
      <c r="FN3718" s="5" t="s">
        <v>238</v>
      </c>
      <c r="FO3718" s="5" t="s">
        <v>238</v>
      </c>
      <c r="FP3718" s="5" t="s">
        <v>238</v>
      </c>
      <c r="FQ3718" s="5" t="s">
        <v>238</v>
      </c>
      <c r="FR3718" s="5" t="s">
        <v>238</v>
      </c>
      <c r="FS3718" s="5" t="s">
        <v>238</v>
      </c>
      <c r="FT3718" s="5" t="s">
        <v>238</v>
      </c>
      <c r="FU3718" s="5" t="s">
        <v>238</v>
      </c>
      <c r="FV3718" s="5" t="s">
        <v>238</v>
      </c>
      <c r="FW3718" s="5" t="s">
        <v>238</v>
      </c>
      <c r="FX3718" s="5" t="s">
        <v>238</v>
      </c>
      <c r="FY3718" s="5" t="s">
        <v>238</v>
      </c>
      <c r="FZ3718" s="5" t="s">
        <v>238</v>
      </c>
      <c r="GA3718" s="5" t="s">
        <v>238</v>
      </c>
      <c r="GB3718" s="5" t="s">
        <v>238</v>
      </c>
      <c r="GC3718" s="5" t="s">
        <v>238</v>
      </c>
      <c r="GD3718" s="5" t="s">
        <v>238</v>
      </c>
      <c r="GE3718" s="5" t="s">
        <v>238</v>
      </c>
      <c r="GF3718" s="5" t="s">
        <v>238</v>
      </c>
      <c r="GG3718" s="5" t="s">
        <v>238</v>
      </c>
      <c r="GH3718" s="5" t="s">
        <v>238</v>
      </c>
      <c r="GI3718" s="5" t="s">
        <v>238</v>
      </c>
      <c r="GJ3718" s="5" t="s">
        <v>238</v>
      </c>
      <c r="GK3718" s="5" t="s">
        <v>238</v>
      </c>
      <c r="GL3718" s="5" t="s">
        <v>238</v>
      </c>
      <c r="GM3718" s="5" t="s">
        <v>238</v>
      </c>
      <c r="GN3718" s="5" t="s">
        <v>238</v>
      </c>
      <c r="GO3718" s="5" t="s">
        <v>238</v>
      </c>
      <c r="GP3718" s="5" t="s">
        <v>238</v>
      </c>
      <c r="GQ3718" s="5" t="s">
        <v>238</v>
      </c>
      <c r="GR3718" s="5" t="s">
        <v>238</v>
      </c>
      <c r="GS3718" s="5" t="s">
        <v>238</v>
      </c>
      <c r="GT3718" s="5" t="s">
        <v>238</v>
      </c>
      <c r="GU3718" s="5" t="s">
        <v>238</v>
      </c>
      <c r="GV3718" s="5" t="s">
        <v>238</v>
      </c>
      <c r="GW3718" s="5" t="s">
        <v>238</v>
      </c>
      <c r="GX3718" s="5" t="s">
        <v>238</v>
      </c>
      <c r="GY3718" s="5" t="s">
        <v>238</v>
      </c>
      <c r="GZ3718" s="5" t="s">
        <v>238</v>
      </c>
      <c r="HA3718" s="5" t="s">
        <v>238</v>
      </c>
      <c r="HB3718" s="5" t="s">
        <v>238</v>
      </c>
      <c r="HC3718" s="5" t="s">
        <v>238</v>
      </c>
      <c r="HD3718" s="5" t="s">
        <v>238</v>
      </c>
      <c r="HE3718" s="5" t="s">
        <v>238</v>
      </c>
      <c r="HF3718" s="5" t="s">
        <v>238</v>
      </c>
      <c r="HG3718" s="5" t="s">
        <v>238</v>
      </c>
      <c r="HH3718" s="5" t="s">
        <v>238</v>
      </c>
      <c r="HI3718" s="5" t="s">
        <v>238</v>
      </c>
      <c r="HJ3718" s="5" t="s">
        <v>238</v>
      </c>
      <c r="HK3718" s="5" t="s">
        <v>238</v>
      </c>
      <c r="HL3718" s="5" t="s">
        <v>238</v>
      </c>
      <c r="HM3718" s="5" t="s">
        <v>238</v>
      </c>
      <c r="HN3718" s="5" t="s">
        <v>238</v>
      </c>
      <c r="HO3718" s="5" t="s">
        <v>238</v>
      </c>
      <c r="HP3718" s="5" t="s">
        <v>238</v>
      </c>
      <c r="HQ3718" s="5" t="s">
        <v>238</v>
      </c>
      <c r="HR3718" s="5" t="s">
        <v>238</v>
      </c>
      <c r="HS3718" s="5" t="s">
        <v>238</v>
      </c>
      <c r="HT3718" s="5" t="s">
        <v>238</v>
      </c>
      <c r="HU3718" s="5" t="s">
        <v>238</v>
      </c>
      <c r="HV3718" s="5" t="s">
        <v>238</v>
      </c>
      <c r="HW3718" s="5" t="s">
        <v>238</v>
      </c>
      <c r="HX3718" s="5" t="s">
        <v>238</v>
      </c>
      <c r="HY3718" s="5" t="s">
        <v>238</v>
      </c>
      <c r="HZ3718" s="5" t="s">
        <v>238</v>
      </c>
      <c r="IA3718" s="5" t="s">
        <v>238</v>
      </c>
      <c r="IB3718" s="5" t="s">
        <v>238</v>
      </c>
      <c r="IC3718" s="5" t="s">
        <v>238</v>
      </c>
      <c r="ID3718" s="5" t="s">
        <v>238</v>
      </c>
    </row>
    <row r="3719" spans="1:238" x14ac:dyDescent="0.4">
      <c r="A3719" s="5">
        <v>9437</v>
      </c>
      <c r="B3719" s="5">
        <v>1</v>
      </c>
      <c r="C3719" s="5">
        <v>1</v>
      </c>
      <c r="D3719" s="5" t="s">
        <v>484</v>
      </c>
      <c r="E3719" s="5" t="s">
        <v>485</v>
      </c>
      <c r="F3719" s="5" t="s">
        <v>248</v>
      </c>
      <c r="G3719" s="5" t="s">
        <v>4904</v>
      </c>
      <c r="H3719" s="6" t="s">
        <v>4906</v>
      </c>
      <c r="I3719" s="8">
        <f>1</f>
        <v>1</v>
      </c>
      <c r="J3719" s="5" t="s">
        <v>499</v>
      </c>
      <c r="K3719" s="8">
        <f>1</f>
        <v>1</v>
      </c>
      <c r="L3719" s="6" t="s">
        <v>242</v>
      </c>
      <c r="M3719" s="5" t="s">
        <v>267</v>
      </c>
      <c r="N3719" s="5" t="s">
        <v>482</v>
      </c>
      <c r="O3719" s="5" t="s">
        <v>238</v>
      </c>
      <c r="P3719" s="5" t="s">
        <v>238</v>
      </c>
      <c r="Q3719" s="5" t="s">
        <v>239</v>
      </c>
      <c r="R3719" s="5" t="s">
        <v>270</v>
      </c>
      <c r="S3719" s="5" t="s">
        <v>238</v>
      </c>
      <c r="T3719" s="5" t="s">
        <v>238</v>
      </c>
      <c r="U3719" s="5" t="s">
        <v>238</v>
      </c>
      <c r="V3719" s="5" t="s">
        <v>238</v>
      </c>
      <c r="W3719" s="6" t="s">
        <v>238</v>
      </c>
      <c r="X3719" s="6" t="s">
        <v>238</v>
      </c>
      <c r="Y3719" s="5" t="s">
        <v>238</v>
      </c>
      <c r="Z3719" s="6" t="s">
        <v>238</v>
      </c>
      <c r="AA3719" s="6" t="s">
        <v>243</v>
      </c>
      <c r="AB3719" s="5" t="s">
        <v>4905</v>
      </c>
      <c r="AC3719" s="5" t="s">
        <v>244</v>
      </c>
      <c r="AD3719" s="5" t="s">
        <v>245</v>
      </c>
      <c r="AE3719" s="5" t="s">
        <v>238</v>
      </c>
      <c r="AF3719" s="5" t="s">
        <v>238</v>
      </c>
      <c r="AG3719" s="5" t="s">
        <v>238</v>
      </c>
      <c r="AH3719" s="5" t="s">
        <v>238</v>
      </c>
      <c r="AI3719" s="5" t="s">
        <v>238</v>
      </c>
      <c r="AJ3719" s="5" t="s">
        <v>238</v>
      </c>
      <c r="AK3719" s="5" t="s">
        <v>238</v>
      </c>
      <c r="AL3719" s="5" t="s">
        <v>238</v>
      </c>
      <c r="AM3719" s="6" t="s">
        <v>238</v>
      </c>
      <c r="AN3719" s="6" t="s">
        <v>238</v>
      </c>
      <c r="AO3719" s="6" t="s">
        <v>238</v>
      </c>
      <c r="AP3719" s="6" t="s">
        <v>238</v>
      </c>
      <c r="AQ3719" s="5" t="s">
        <v>238</v>
      </c>
      <c r="AR3719" s="5" t="s">
        <v>488</v>
      </c>
      <c r="AS3719" s="5" t="s">
        <v>488</v>
      </c>
      <c r="AT3719" s="5" t="s">
        <v>246</v>
      </c>
      <c r="AU3719" s="5" t="s">
        <v>489</v>
      </c>
      <c r="AV3719" s="5" t="s">
        <v>247</v>
      </c>
      <c r="AW3719" s="5" t="s">
        <v>600</v>
      </c>
      <c r="AX3719" s="5" t="s">
        <v>249</v>
      </c>
      <c r="AY3719" s="5" t="s">
        <v>490</v>
      </c>
      <c r="BA3719" s="5" t="s">
        <v>238</v>
      </c>
      <c r="BC3719" s="5" t="s">
        <v>491</v>
      </c>
      <c r="BD3719" s="6" t="s">
        <v>492</v>
      </c>
      <c r="BE3719" s="5" t="s">
        <v>493</v>
      </c>
      <c r="BF3719" s="5" t="s">
        <v>493</v>
      </c>
      <c r="BG3719" s="5" t="s">
        <v>238</v>
      </c>
      <c r="BH3719" s="8">
        <f>1</f>
        <v>1</v>
      </c>
      <c r="BI3719" s="8">
        <f>1</f>
        <v>1</v>
      </c>
      <c r="BJ3719" s="5" t="s">
        <v>253</v>
      </c>
      <c r="BK3719" s="5" t="s">
        <v>254</v>
      </c>
      <c r="BL3719" s="5" t="s">
        <v>238</v>
      </c>
      <c r="BM3719" s="5" t="s">
        <v>238</v>
      </c>
      <c r="BN3719" s="5" t="s">
        <v>238</v>
      </c>
      <c r="BO3719" s="5" t="s">
        <v>238</v>
      </c>
      <c r="BP3719" s="5" t="s">
        <v>238</v>
      </c>
      <c r="BQ3719" s="5" t="s">
        <v>238</v>
      </c>
      <c r="BR3719" s="5" t="s">
        <v>238</v>
      </c>
      <c r="BS3719" s="5" t="s">
        <v>238</v>
      </c>
      <c r="BT3719" s="6" t="s">
        <v>238</v>
      </c>
      <c r="BU3719" s="5" t="s">
        <v>238</v>
      </c>
      <c r="BV3719" s="5" t="s">
        <v>238</v>
      </c>
      <c r="BW3719" s="5" t="s">
        <v>238</v>
      </c>
      <c r="BX3719" s="5" t="s">
        <v>254</v>
      </c>
      <c r="BY3719" s="5" t="s">
        <v>238</v>
      </c>
      <c r="BZ3719" s="5" t="s">
        <v>238</v>
      </c>
      <c r="CA3719" s="5" t="s">
        <v>238</v>
      </c>
      <c r="CB3719" s="5" t="s">
        <v>238</v>
      </c>
      <c r="CC3719" s="5" t="s">
        <v>238</v>
      </c>
      <c r="CD3719" s="5" t="s">
        <v>273</v>
      </c>
      <c r="CE3719" s="5" t="s">
        <v>256</v>
      </c>
      <c r="CF3719" s="5" t="s">
        <v>261</v>
      </c>
      <c r="CH3719" s="5" t="s">
        <v>494</v>
      </c>
      <c r="CI3719" s="6" t="s">
        <v>257</v>
      </c>
      <c r="CJ3719" s="5" t="s">
        <v>495</v>
      </c>
      <c r="CK3719" s="5" t="s">
        <v>258</v>
      </c>
      <c r="CL3719" s="5" t="s">
        <v>496</v>
      </c>
      <c r="CM3719" s="5" t="s">
        <v>238</v>
      </c>
      <c r="CN3719" s="5">
        <v>0</v>
      </c>
      <c r="CO3719" s="5" t="s">
        <v>497</v>
      </c>
      <c r="CP3719" s="5" t="s">
        <v>260</v>
      </c>
      <c r="CQ3719" s="5" t="s">
        <v>260</v>
      </c>
      <c r="CR3719" s="5" t="s">
        <v>261</v>
      </c>
      <c r="CS3719" s="5" t="s">
        <v>498</v>
      </c>
      <c r="CT3719" s="7">
        <f>1</f>
        <v>1</v>
      </c>
      <c r="CU3719" s="8">
        <f>1</f>
        <v>1</v>
      </c>
      <c r="CV3719" s="8">
        <f>0</f>
        <v>0</v>
      </c>
      <c r="CX3719" s="8">
        <f>1</f>
        <v>1</v>
      </c>
      <c r="CY3719" s="8">
        <f>1</f>
        <v>1</v>
      </c>
      <c r="CZ3719" s="8" t="s">
        <v>238</v>
      </c>
      <c r="DA3719" s="5" t="s">
        <v>238</v>
      </c>
      <c r="DB3719" s="5" t="s">
        <v>238</v>
      </c>
      <c r="DC3719" s="5" t="s">
        <v>238</v>
      </c>
      <c r="DD3719" s="5" t="s">
        <v>238</v>
      </c>
      <c r="DE3719" s="8">
        <f>0</f>
        <v>0</v>
      </c>
      <c r="DG3719" s="5" t="s">
        <v>238</v>
      </c>
      <c r="DH3719" s="5" t="s">
        <v>238</v>
      </c>
      <c r="DI3719" s="5" t="s">
        <v>238</v>
      </c>
      <c r="DJ3719" s="5" t="s">
        <v>238</v>
      </c>
      <c r="DK3719" s="5" t="s">
        <v>238</v>
      </c>
      <c r="DL3719" s="5" t="s">
        <v>238</v>
      </c>
      <c r="DM3719" s="8" t="s">
        <v>238</v>
      </c>
      <c r="DN3719" s="5" t="s">
        <v>238</v>
      </c>
      <c r="DO3719" s="5" t="s">
        <v>244</v>
      </c>
      <c r="DP3719" s="5" t="s">
        <v>490</v>
      </c>
      <c r="DQ3719" s="5" t="s">
        <v>490</v>
      </c>
      <c r="DR3719" s="5" t="s">
        <v>238</v>
      </c>
      <c r="DS3719" s="5" t="s">
        <v>238</v>
      </c>
      <c r="DT3719" s="5" t="s">
        <v>601</v>
      </c>
      <c r="DU3719" s="5" t="s">
        <v>1268</v>
      </c>
      <c r="DV3719" s="5" t="s">
        <v>238</v>
      </c>
      <c r="DW3719" s="5" t="s">
        <v>238</v>
      </c>
      <c r="DX3719" s="5" t="s">
        <v>238</v>
      </c>
      <c r="DY3719" s="5" t="s">
        <v>238</v>
      </c>
      <c r="DZ3719" s="5" t="s">
        <v>238</v>
      </c>
      <c r="EA3719" s="5" t="s">
        <v>238</v>
      </c>
      <c r="EB3719" s="5" t="s">
        <v>238</v>
      </c>
      <c r="EC3719" s="5" t="s">
        <v>238</v>
      </c>
      <c r="ED3719" s="5" t="s">
        <v>238</v>
      </c>
      <c r="EE3719" s="5" t="s">
        <v>238</v>
      </c>
      <c r="EF3719" s="5" t="s">
        <v>238</v>
      </c>
      <c r="EG3719" s="5" t="s">
        <v>238</v>
      </c>
      <c r="EH3719" s="5" t="s">
        <v>238</v>
      </c>
      <c r="EI3719" s="5" t="s">
        <v>238</v>
      </c>
      <c r="EJ3719" s="5" t="s">
        <v>238</v>
      </c>
      <c r="EK3719" s="5" t="s">
        <v>238</v>
      </c>
      <c r="EL3719" s="5" t="s">
        <v>238</v>
      </c>
      <c r="EM3719" s="5" t="s">
        <v>238</v>
      </c>
      <c r="EN3719" s="5" t="s">
        <v>238</v>
      </c>
      <c r="EO3719" s="5" t="s">
        <v>238</v>
      </c>
      <c r="EP3719" s="5" t="s">
        <v>238</v>
      </c>
      <c r="EQ3719" s="5" t="s">
        <v>238</v>
      </c>
      <c r="ER3719" s="5" t="s">
        <v>238</v>
      </c>
      <c r="ES3719" s="5" t="s">
        <v>238</v>
      </c>
      <c r="ET3719" s="5" t="s">
        <v>238</v>
      </c>
      <c r="EU3719" s="5" t="s">
        <v>238</v>
      </c>
      <c r="EV3719" s="5" t="s">
        <v>238</v>
      </c>
      <c r="EW3719" s="5" t="s">
        <v>238</v>
      </c>
      <c r="EX3719" s="5" t="s">
        <v>238</v>
      </c>
      <c r="EY3719" s="5" t="s">
        <v>238</v>
      </c>
      <c r="EZ3719" s="5" t="s">
        <v>238</v>
      </c>
      <c r="FA3719" s="5" t="s">
        <v>238</v>
      </c>
      <c r="FB3719" s="5" t="s">
        <v>238</v>
      </c>
      <c r="FC3719" s="5" t="s">
        <v>238</v>
      </c>
      <c r="FD3719" s="5" t="s">
        <v>238</v>
      </c>
      <c r="FE3719" s="5" t="s">
        <v>238</v>
      </c>
      <c r="FF3719" s="5" t="s">
        <v>238</v>
      </c>
      <c r="FG3719" s="5" t="s">
        <v>238</v>
      </c>
      <c r="FH3719" s="5" t="s">
        <v>238</v>
      </c>
      <c r="FI3719" s="5" t="s">
        <v>238</v>
      </c>
      <c r="FJ3719" s="5" t="s">
        <v>238</v>
      </c>
      <c r="FK3719" s="5" t="s">
        <v>238</v>
      </c>
      <c r="FL3719" s="5" t="s">
        <v>238</v>
      </c>
      <c r="FM3719" s="5" t="s">
        <v>238</v>
      </c>
      <c r="FN3719" s="5" t="s">
        <v>238</v>
      </c>
      <c r="FO3719" s="5" t="s">
        <v>238</v>
      </c>
      <c r="FP3719" s="5" t="s">
        <v>238</v>
      </c>
      <c r="FQ3719" s="5" t="s">
        <v>238</v>
      </c>
      <c r="FR3719" s="5" t="s">
        <v>238</v>
      </c>
      <c r="FS3719" s="5" t="s">
        <v>238</v>
      </c>
      <c r="FT3719" s="5" t="s">
        <v>238</v>
      </c>
      <c r="FU3719" s="5" t="s">
        <v>238</v>
      </c>
      <c r="FV3719" s="5" t="s">
        <v>238</v>
      </c>
      <c r="FW3719" s="5" t="s">
        <v>238</v>
      </c>
      <c r="FX3719" s="5" t="s">
        <v>238</v>
      </c>
      <c r="FY3719" s="5" t="s">
        <v>238</v>
      </c>
      <c r="FZ3719" s="5" t="s">
        <v>238</v>
      </c>
      <c r="GA3719" s="5" t="s">
        <v>238</v>
      </c>
      <c r="GB3719" s="5" t="s">
        <v>238</v>
      </c>
      <c r="GC3719" s="5" t="s">
        <v>238</v>
      </c>
      <c r="GD3719" s="5" t="s">
        <v>238</v>
      </c>
      <c r="GE3719" s="5" t="s">
        <v>238</v>
      </c>
      <c r="GF3719" s="5" t="s">
        <v>238</v>
      </c>
      <c r="GG3719" s="5" t="s">
        <v>238</v>
      </c>
      <c r="GH3719" s="5" t="s">
        <v>238</v>
      </c>
      <c r="GI3719" s="5" t="s">
        <v>238</v>
      </c>
      <c r="GJ3719" s="5" t="s">
        <v>238</v>
      </c>
      <c r="GK3719" s="5" t="s">
        <v>238</v>
      </c>
      <c r="GL3719" s="5" t="s">
        <v>238</v>
      </c>
      <c r="GM3719" s="5" t="s">
        <v>238</v>
      </c>
      <c r="GN3719" s="5" t="s">
        <v>238</v>
      </c>
      <c r="GO3719" s="5" t="s">
        <v>238</v>
      </c>
      <c r="GP3719" s="5" t="s">
        <v>238</v>
      </c>
      <c r="GQ3719" s="5" t="s">
        <v>238</v>
      </c>
      <c r="GR3719" s="5" t="s">
        <v>238</v>
      </c>
      <c r="GS3719" s="5" t="s">
        <v>238</v>
      </c>
      <c r="GT3719" s="5" t="s">
        <v>238</v>
      </c>
      <c r="GU3719" s="5" t="s">
        <v>238</v>
      </c>
      <c r="GV3719" s="5" t="s">
        <v>238</v>
      </c>
      <c r="GW3719" s="5" t="s">
        <v>238</v>
      </c>
      <c r="GX3719" s="5" t="s">
        <v>238</v>
      </c>
      <c r="GY3719" s="5" t="s">
        <v>238</v>
      </c>
      <c r="GZ3719" s="5" t="s">
        <v>238</v>
      </c>
      <c r="HA3719" s="5" t="s">
        <v>238</v>
      </c>
      <c r="HB3719" s="5" t="s">
        <v>238</v>
      </c>
      <c r="HC3719" s="5" t="s">
        <v>238</v>
      </c>
      <c r="HD3719" s="5" t="s">
        <v>238</v>
      </c>
      <c r="HE3719" s="5" t="s">
        <v>238</v>
      </c>
      <c r="HF3719" s="5" t="s">
        <v>238</v>
      </c>
      <c r="HG3719" s="5" t="s">
        <v>238</v>
      </c>
      <c r="HH3719" s="5" t="s">
        <v>238</v>
      </c>
      <c r="HI3719" s="5" t="s">
        <v>238</v>
      </c>
      <c r="HJ3719" s="5" t="s">
        <v>238</v>
      </c>
      <c r="HK3719" s="5" t="s">
        <v>238</v>
      </c>
      <c r="HL3719" s="5" t="s">
        <v>238</v>
      </c>
      <c r="HM3719" s="5" t="s">
        <v>238</v>
      </c>
      <c r="HN3719" s="5" t="s">
        <v>238</v>
      </c>
      <c r="HO3719" s="5" t="s">
        <v>238</v>
      </c>
      <c r="HP3719" s="5" t="s">
        <v>238</v>
      </c>
      <c r="HQ3719" s="5" t="s">
        <v>238</v>
      </c>
      <c r="HR3719" s="5" t="s">
        <v>238</v>
      </c>
      <c r="HS3719" s="5" t="s">
        <v>238</v>
      </c>
      <c r="HT3719" s="5" t="s">
        <v>238</v>
      </c>
      <c r="HU3719" s="5" t="s">
        <v>238</v>
      </c>
      <c r="HV3719" s="5" t="s">
        <v>238</v>
      </c>
      <c r="HW3719" s="5" t="s">
        <v>238</v>
      </c>
      <c r="HX3719" s="5" t="s">
        <v>238</v>
      </c>
      <c r="HY3719" s="5" t="s">
        <v>238</v>
      </c>
      <c r="HZ3719" s="5" t="s">
        <v>238</v>
      </c>
      <c r="IA3719" s="5" t="s">
        <v>238</v>
      </c>
      <c r="IB3719" s="5" t="s">
        <v>238</v>
      </c>
      <c r="IC3719" s="5" t="s">
        <v>238</v>
      </c>
      <c r="ID3719" s="5" t="s">
        <v>238</v>
      </c>
    </row>
    <row r="3720" spans="1:238" x14ac:dyDescent="0.4">
      <c r="A3720" s="5">
        <v>9438</v>
      </c>
      <c r="B3720" s="5">
        <v>1</v>
      </c>
      <c r="C3720" s="5">
        <v>1</v>
      </c>
      <c r="D3720" s="5" t="s">
        <v>484</v>
      </c>
      <c r="E3720" s="5" t="s">
        <v>485</v>
      </c>
      <c r="F3720" s="5" t="s">
        <v>248</v>
      </c>
      <c r="G3720" s="5" t="s">
        <v>4972</v>
      </c>
      <c r="H3720" s="6" t="s">
        <v>4973</v>
      </c>
      <c r="I3720" s="8">
        <f>1</f>
        <v>1</v>
      </c>
      <c r="J3720" s="5" t="s">
        <v>499</v>
      </c>
      <c r="K3720" s="8">
        <f>1</f>
        <v>1</v>
      </c>
      <c r="L3720" s="6" t="s">
        <v>242</v>
      </c>
      <c r="M3720" s="5" t="s">
        <v>267</v>
      </c>
      <c r="N3720" s="5" t="s">
        <v>482</v>
      </c>
      <c r="O3720" s="5" t="s">
        <v>238</v>
      </c>
      <c r="P3720" s="5" t="s">
        <v>238</v>
      </c>
      <c r="Q3720" s="5" t="s">
        <v>239</v>
      </c>
      <c r="R3720" s="5" t="s">
        <v>270</v>
      </c>
      <c r="S3720" s="5" t="s">
        <v>238</v>
      </c>
      <c r="T3720" s="5" t="s">
        <v>238</v>
      </c>
      <c r="U3720" s="5" t="s">
        <v>238</v>
      </c>
      <c r="V3720" s="5" t="s">
        <v>238</v>
      </c>
      <c r="W3720" s="6" t="s">
        <v>238</v>
      </c>
      <c r="X3720" s="6" t="s">
        <v>238</v>
      </c>
      <c r="Y3720" s="5" t="s">
        <v>238</v>
      </c>
      <c r="Z3720" s="6" t="s">
        <v>238</v>
      </c>
      <c r="AA3720" s="6" t="s">
        <v>243</v>
      </c>
      <c r="AB3720" s="5" t="s">
        <v>598</v>
      </c>
      <c r="AC3720" s="5" t="s">
        <v>244</v>
      </c>
      <c r="AD3720" s="5" t="s">
        <v>245</v>
      </c>
      <c r="AE3720" s="5" t="s">
        <v>238</v>
      </c>
      <c r="AF3720" s="5" t="s">
        <v>238</v>
      </c>
      <c r="AG3720" s="5" t="s">
        <v>238</v>
      </c>
      <c r="AH3720" s="5" t="s">
        <v>238</v>
      </c>
      <c r="AI3720" s="5" t="s">
        <v>238</v>
      </c>
      <c r="AJ3720" s="5" t="s">
        <v>238</v>
      </c>
      <c r="AK3720" s="5" t="s">
        <v>238</v>
      </c>
      <c r="AL3720" s="5" t="s">
        <v>238</v>
      </c>
      <c r="AM3720" s="6" t="s">
        <v>238</v>
      </c>
      <c r="AN3720" s="6" t="s">
        <v>238</v>
      </c>
      <c r="AO3720" s="6" t="s">
        <v>238</v>
      </c>
      <c r="AP3720" s="6" t="s">
        <v>238</v>
      </c>
      <c r="AQ3720" s="5" t="s">
        <v>238</v>
      </c>
      <c r="AR3720" s="5" t="s">
        <v>488</v>
      </c>
      <c r="AS3720" s="5" t="s">
        <v>488</v>
      </c>
      <c r="AT3720" s="5" t="s">
        <v>246</v>
      </c>
      <c r="AU3720" s="5" t="s">
        <v>489</v>
      </c>
      <c r="AV3720" s="5" t="s">
        <v>247</v>
      </c>
      <c r="AW3720" s="5" t="s">
        <v>600</v>
      </c>
      <c r="AX3720" s="5" t="s">
        <v>249</v>
      </c>
      <c r="AY3720" s="5" t="s">
        <v>490</v>
      </c>
      <c r="BA3720" s="5" t="s">
        <v>238</v>
      </c>
      <c r="BC3720" s="5" t="s">
        <v>491</v>
      </c>
      <c r="BD3720" s="6" t="s">
        <v>492</v>
      </c>
      <c r="BE3720" s="5" t="s">
        <v>493</v>
      </c>
      <c r="BF3720" s="5" t="s">
        <v>493</v>
      </c>
      <c r="BG3720" s="5" t="s">
        <v>238</v>
      </c>
      <c r="BH3720" s="8">
        <f>1</f>
        <v>1</v>
      </c>
      <c r="BI3720" s="8">
        <f>1</f>
        <v>1</v>
      </c>
      <c r="BJ3720" s="5" t="s">
        <v>253</v>
      </c>
      <c r="BK3720" s="5" t="s">
        <v>254</v>
      </c>
      <c r="BL3720" s="5" t="s">
        <v>238</v>
      </c>
      <c r="BM3720" s="5" t="s">
        <v>238</v>
      </c>
      <c r="BN3720" s="5" t="s">
        <v>238</v>
      </c>
      <c r="BO3720" s="5" t="s">
        <v>238</v>
      </c>
      <c r="BP3720" s="5" t="s">
        <v>238</v>
      </c>
      <c r="BQ3720" s="5" t="s">
        <v>238</v>
      </c>
      <c r="BR3720" s="5" t="s">
        <v>238</v>
      </c>
      <c r="BS3720" s="5" t="s">
        <v>238</v>
      </c>
      <c r="BT3720" s="6" t="s">
        <v>238</v>
      </c>
      <c r="BU3720" s="5" t="s">
        <v>238</v>
      </c>
      <c r="BV3720" s="5" t="s">
        <v>238</v>
      </c>
      <c r="BW3720" s="5" t="s">
        <v>238</v>
      </c>
      <c r="BX3720" s="5" t="s">
        <v>254</v>
      </c>
      <c r="BY3720" s="5" t="s">
        <v>238</v>
      </c>
      <c r="BZ3720" s="5" t="s">
        <v>238</v>
      </c>
      <c r="CA3720" s="5" t="s">
        <v>238</v>
      </c>
      <c r="CB3720" s="5" t="s">
        <v>238</v>
      </c>
      <c r="CC3720" s="5" t="s">
        <v>238</v>
      </c>
      <c r="CD3720" s="5" t="s">
        <v>273</v>
      </c>
      <c r="CE3720" s="5" t="s">
        <v>256</v>
      </c>
      <c r="CF3720" s="5" t="s">
        <v>261</v>
      </c>
      <c r="CH3720" s="5" t="s">
        <v>494</v>
      </c>
      <c r="CI3720" s="6" t="s">
        <v>257</v>
      </c>
      <c r="CJ3720" s="5" t="s">
        <v>495</v>
      </c>
      <c r="CK3720" s="5" t="s">
        <v>258</v>
      </c>
      <c r="CL3720" s="5" t="s">
        <v>496</v>
      </c>
      <c r="CM3720" s="5" t="s">
        <v>238</v>
      </c>
      <c r="CN3720" s="5">
        <v>0</v>
      </c>
      <c r="CO3720" s="5" t="s">
        <v>497</v>
      </c>
      <c r="CP3720" s="5" t="s">
        <v>260</v>
      </c>
      <c r="CQ3720" s="5" t="s">
        <v>260</v>
      </c>
      <c r="CR3720" s="5" t="s">
        <v>261</v>
      </c>
      <c r="CS3720" s="5" t="s">
        <v>498</v>
      </c>
      <c r="CT3720" s="7">
        <f>1</f>
        <v>1</v>
      </c>
      <c r="CU3720" s="8">
        <f>1</f>
        <v>1</v>
      </c>
      <c r="CV3720" s="8">
        <f>0</f>
        <v>0</v>
      </c>
      <c r="CX3720" s="8">
        <f>1</f>
        <v>1</v>
      </c>
      <c r="CY3720" s="8">
        <f>1</f>
        <v>1</v>
      </c>
      <c r="CZ3720" s="8" t="s">
        <v>238</v>
      </c>
      <c r="DA3720" s="5" t="s">
        <v>238</v>
      </c>
      <c r="DB3720" s="5" t="s">
        <v>238</v>
      </c>
      <c r="DC3720" s="5" t="s">
        <v>238</v>
      </c>
      <c r="DD3720" s="5" t="s">
        <v>238</v>
      </c>
      <c r="DE3720" s="8">
        <f>0</f>
        <v>0</v>
      </c>
      <c r="DG3720" s="5" t="s">
        <v>238</v>
      </c>
      <c r="DH3720" s="5" t="s">
        <v>238</v>
      </c>
      <c r="DI3720" s="5" t="s">
        <v>238</v>
      </c>
      <c r="DJ3720" s="5" t="s">
        <v>238</v>
      </c>
      <c r="DK3720" s="5" t="s">
        <v>238</v>
      </c>
      <c r="DL3720" s="5" t="s">
        <v>238</v>
      </c>
      <c r="DM3720" s="8" t="s">
        <v>238</v>
      </c>
      <c r="DN3720" s="5" t="s">
        <v>238</v>
      </c>
      <c r="DO3720" s="5" t="s">
        <v>244</v>
      </c>
      <c r="DP3720" s="5" t="s">
        <v>490</v>
      </c>
      <c r="DQ3720" s="5" t="s">
        <v>490</v>
      </c>
      <c r="DR3720" s="5" t="s">
        <v>238</v>
      </c>
      <c r="DS3720" s="5" t="s">
        <v>238</v>
      </c>
      <c r="DT3720" s="5" t="s">
        <v>601</v>
      </c>
      <c r="DU3720" s="5" t="s">
        <v>1258</v>
      </c>
      <c r="DV3720" s="5" t="s">
        <v>238</v>
      </c>
      <c r="DW3720" s="5" t="s">
        <v>238</v>
      </c>
      <c r="DX3720" s="5" t="s">
        <v>238</v>
      </c>
      <c r="DY3720" s="5" t="s">
        <v>238</v>
      </c>
      <c r="DZ3720" s="5" t="s">
        <v>238</v>
      </c>
      <c r="EA3720" s="5" t="s">
        <v>238</v>
      </c>
      <c r="EB3720" s="5" t="s">
        <v>238</v>
      </c>
      <c r="EC3720" s="5" t="s">
        <v>238</v>
      </c>
      <c r="ED3720" s="5" t="s">
        <v>238</v>
      </c>
      <c r="EE3720" s="5" t="s">
        <v>238</v>
      </c>
      <c r="EF3720" s="5" t="s">
        <v>238</v>
      </c>
      <c r="EG3720" s="5" t="s">
        <v>238</v>
      </c>
      <c r="EH3720" s="5" t="s">
        <v>238</v>
      </c>
      <c r="EI3720" s="5" t="s">
        <v>238</v>
      </c>
      <c r="EJ3720" s="5" t="s">
        <v>238</v>
      </c>
      <c r="EK3720" s="5" t="s">
        <v>238</v>
      </c>
      <c r="EL3720" s="5" t="s">
        <v>238</v>
      </c>
      <c r="EM3720" s="5" t="s">
        <v>238</v>
      </c>
      <c r="EN3720" s="5" t="s">
        <v>238</v>
      </c>
      <c r="EO3720" s="5" t="s">
        <v>238</v>
      </c>
      <c r="EP3720" s="5" t="s">
        <v>238</v>
      </c>
      <c r="EQ3720" s="5" t="s">
        <v>238</v>
      </c>
      <c r="ER3720" s="5" t="s">
        <v>238</v>
      </c>
      <c r="ES3720" s="5" t="s">
        <v>238</v>
      </c>
      <c r="ET3720" s="5" t="s">
        <v>238</v>
      </c>
      <c r="EU3720" s="5" t="s">
        <v>238</v>
      </c>
      <c r="EV3720" s="5" t="s">
        <v>238</v>
      </c>
      <c r="EW3720" s="5" t="s">
        <v>238</v>
      </c>
      <c r="EX3720" s="5" t="s">
        <v>238</v>
      </c>
      <c r="EY3720" s="5" t="s">
        <v>238</v>
      </c>
      <c r="EZ3720" s="5" t="s">
        <v>238</v>
      </c>
      <c r="FA3720" s="5" t="s">
        <v>238</v>
      </c>
      <c r="FB3720" s="5" t="s">
        <v>238</v>
      </c>
      <c r="FC3720" s="5" t="s">
        <v>238</v>
      </c>
      <c r="FD3720" s="5" t="s">
        <v>238</v>
      </c>
      <c r="FE3720" s="5" t="s">
        <v>238</v>
      </c>
      <c r="FF3720" s="5" t="s">
        <v>238</v>
      </c>
      <c r="FG3720" s="5" t="s">
        <v>238</v>
      </c>
      <c r="FH3720" s="5" t="s">
        <v>238</v>
      </c>
      <c r="FI3720" s="5" t="s">
        <v>238</v>
      </c>
      <c r="FJ3720" s="5" t="s">
        <v>238</v>
      </c>
      <c r="FK3720" s="5" t="s">
        <v>238</v>
      </c>
      <c r="FL3720" s="5" t="s">
        <v>238</v>
      </c>
      <c r="FM3720" s="5" t="s">
        <v>238</v>
      </c>
      <c r="FN3720" s="5" t="s">
        <v>238</v>
      </c>
      <c r="FO3720" s="5" t="s">
        <v>238</v>
      </c>
      <c r="FP3720" s="5" t="s">
        <v>238</v>
      </c>
      <c r="FQ3720" s="5" t="s">
        <v>238</v>
      </c>
      <c r="FR3720" s="5" t="s">
        <v>238</v>
      </c>
      <c r="FS3720" s="5" t="s">
        <v>238</v>
      </c>
      <c r="FT3720" s="5" t="s">
        <v>238</v>
      </c>
      <c r="FU3720" s="5" t="s">
        <v>238</v>
      </c>
      <c r="FV3720" s="5" t="s">
        <v>238</v>
      </c>
      <c r="FW3720" s="5" t="s">
        <v>238</v>
      </c>
      <c r="FX3720" s="5" t="s">
        <v>238</v>
      </c>
      <c r="FY3720" s="5" t="s">
        <v>238</v>
      </c>
      <c r="FZ3720" s="5" t="s">
        <v>238</v>
      </c>
      <c r="GA3720" s="5" t="s">
        <v>238</v>
      </c>
      <c r="GB3720" s="5" t="s">
        <v>238</v>
      </c>
      <c r="GC3720" s="5" t="s">
        <v>238</v>
      </c>
      <c r="GD3720" s="5" t="s">
        <v>238</v>
      </c>
      <c r="GE3720" s="5" t="s">
        <v>238</v>
      </c>
      <c r="GF3720" s="5" t="s">
        <v>238</v>
      </c>
      <c r="GG3720" s="5" t="s">
        <v>238</v>
      </c>
      <c r="GH3720" s="5" t="s">
        <v>238</v>
      </c>
      <c r="GI3720" s="5" t="s">
        <v>238</v>
      </c>
      <c r="GJ3720" s="5" t="s">
        <v>238</v>
      </c>
      <c r="GK3720" s="5" t="s">
        <v>238</v>
      </c>
      <c r="GL3720" s="5" t="s">
        <v>238</v>
      </c>
      <c r="GM3720" s="5" t="s">
        <v>238</v>
      </c>
      <c r="GN3720" s="5" t="s">
        <v>238</v>
      </c>
      <c r="GO3720" s="5" t="s">
        <v>238</v>
      </c>
      <c r="GP3720" s="5" t="s">
        <v>238</v>
      </c>
      <c r="GQ3720" s="5" t="s">
        <v>238</v>
      </c>
      <c r="GR3720" s="5" t="s">
        <v>238</v>
      </c>
      <c r="GS3720" s="5" t="s">
        <v>238</v>
      </c>
      <c r="GT3720" s="5" t="s">
        <v>238</v>
      </c>
      <c r="GU3720" s="5" t="s">
        <v>238</v>
      </c>
      <c r="GV3720" s="5" t="s">
        <v>238</v>
      </c>
      <c r="GW3720" s="5" t="s">
        <v>238</v>
      </c>
      <c r="GX3720" s="5" t="s">
        <v>238</v>
      </c>
      <c r="GY3720" s="5" t="s">
        <v>238</v>
      </c>
      <c r="GZ3720" s="5" t="s">
        <v>238</v>
      </c>
      <c r="HA3720" s="5" t="s">
        <v>238</v>
      </c>
      <c r="HB3720" s="5" t="s">
        <v>238</v>
      </c>
      <c r="HC3720" s="5" t="s">
        <v>238</v>
      </c>
      <c r="HD3720" s="5" t="s">
        <v>238</v>
      </c>
      <c r="HE3720" s="5" t="s">
        <v>238</v>
      </c>
      <c r="HF3720" s="5" t="s">
        <v>238</v>
      </c>
      <c r="HG3720" s="5" t="s">
        <v>238</v>
      </c>
      <c r="HH3720" s="5" t="s">
        <v>238</v>
      </c>
      <c r="HI3720" s="5" t="s">
        <v>238</v>
      </c>
      <c r="HJ3720" s="5" t="s">
        <v>238</v>
      </c>
      <c r="HK3720" s="5" t="s">
        <v>238</v>
      </c>
      <c r="HL3720" s="5" t="s">
        <v>238</v>
      </c>
      <c r="HM3720" s="5" t="s">
        <v>238</v>
      </c>
      <c r="HN3720" s="5" t="s">
        <v>238</v>
      </c>
      <c r="HO3720" s="5" t="s">
        <v>238</v>
      </c>
      <c r="HP3720" s="5" t="s">
        <v>238</v>
      </c>
      <c r="HQ3720" s="5" t="s">
        <v>238</v>
      </c>
      <c r="HR3720" s="5" t="s">
        <v>238</v>
      </c>
      <c r="HS3720" s="5" t="s">
        <v>238</v>
      </c>
      <c r="HT3720" s="5" t="s">
        <v>238</v>
      </c>
      <c r="HU3720" s="5" t="s">
        <v>238</v>
      </c>
      <c r="HV3720" s="5" t="s">
        <v>238</v>
      </c>
      <c r="HW3720" s="5" t="s">
        <v>238</v>
      </c>
      <c r="HX3720" s="5" t="s">
        <v>238</v>
      </c>
      <c r="HY3720" s="5" t="s">
        <v>238</v>
      </c>
      <c r="HZ3720" s="5" t="s">
        <v>238</v>
      </c>
      <c r="IA3720" s="5" t="s">
        <v>238</v>
      </c>
      <c r="IB3720" s="5" t="s">
        <v>238</v>
      </c>
      <c r="IC3720" s="5" t="s">
        <v>238</v>
      </c>
      <c r="ID3720" s="5" t="s">
        <v>238</v>
      </c>
    </row>
    <row r="3721" spans="1:238" x14ac:dyDescent="0.4">
      <c r="A3721" s="5">
        <v>9439</v>
      </c>
      <c r="B3721" s="5">
        <v>1</v>
      </c>
      <c r="C3721" s="5">
        <v>1</v>
      </c>
      <c r="D3721" s="5" t="s">
        <v>484</v>
      </c>
      <c r="E3721" s="5" t="s">
        <v>485</v>
      </c>
      <c r="F3721" s="5" t="s">
        <v>248</v>
      </c>
      <c r="G3721" s="5" t="s">
        <v>6452</v>
      </c>
      <c r="H3721" s="6" t="s">
        <v>6453</v>
      </c>
      <c r="I3721" s="8">
        <f>1</f>
        <v>1</v>
      </c>
      <c r="J3721" s="5" t="s">
        <v>499</v>
      </c>
      <c r="K3721" s="8">
        <f>1</f>
        <v>1</v>
      </c>
      <c r="L3721" s="6" t="s">
        <v>242</v>
      </c>
      <c r="M3721" s="5" t="s">
        <v>267</v>
      </c>
      <c r="N3721" s="5" t="s">
        <v>482</v>
      </c>
      <c r="O3721" s="5" t="s">
        <v>238</v>
      </c>
      <c r="P3721" s="5" t="s">
        <v>238</v>
      </c>
      <c r="Q3721" s="5" t="s">
        <v>239</v>
      </c>
      <c r="R3721" s="5" t="s">
        <v>270</v>
      </c>
      <c r="S3721" s="5" t="s">
        <v>238</v>
      </c>
      <c r="T3721" s="5" t="s">
        <v>238</v>
      </c>
      <c r="U3721" s="5" t="s">
        <v>238</v>
      </c>
      <c r="V3721" s="5" t="s">
        <v>238</v>
      </c>
      <c r="W3721" s="6" t="s">
        <v>238</v>
      </c>
      <c r="X3721" s="6" t="s">
        <v>238</v>
      </c>
      <c r="Y3721" s="5" t="s">
        <v>238</v>
      </c>
      <c r="Z3721" s="6" t="s">
        <v>238</v>
      </c>
      <c r="AA3721" s="6" t="s">
        <v>243</v>
      </c>
      <c r="AB3721" s="5" t="s">
        <v>598</v>
      </c>
      <c r="AC3721" s="5" t="s">
        <v>244</v>
      </c>
      <c r="AD3721" s="5" t="s">
        <v>245</v>
      </c>
      <c r="AE3721" s="5" t="s">
        <v>238</v>
      </c>
      <c r="AF3721" s="5" t="s">
        <v>238</v>
      </c>
      <c r="AG3721" s="5" t="s">
        <v>238</v>
      </c>
      <c r="AH3721" s="5" t="s">
        <v>238</v>
      </c>
      <c r="AI3721" s="5" t="s">
        <v>238</v>
      </c>
      <c r="AJ3721" s="5" t="s">
        <v>238</v>
      </c>
      <c r="AK3721" s="5" t="s">
        <v>238</v>
      </c>
      <c r="AL3721" s="5" t="s">
        <v>238</v>
      </c>
      <c r="AM3721" s="6" t="s">
        <v>238</v>
      </c>
      <c r="AN3721" s="6" t="s">
        <v>238</v>
      </c>
      <c r="AO3721" s="6" t="s">
        <v>238</v>
      </c>
      <c r="AP3721" s="6" t="s">
        <v>238</v>
      </c>
      <c r="AQ3721" s="5" t="s">
        <v>238</v>
      </c>
      <c r="AR3721" s="5" t="s">
        <v>488</v>
      </c>
      <c r="AS3721" s="5" t="s">
        <v>488</v>
      </c>
      <c r="AT3721" s="5" t="s">
        <v>246</v>
      </c>
      <c r="AU3721" s="5" t="s">
        <v>489</v>
      </c>
      <c r="AV3721" s="5" t="s">
        <v>247</v>
      </c>
      <c r="AW3721" s="5" t="s">
        <v>600</v>
      </c>
      <c r="AX3721" s="5" t="s">
        <v>249</v>
      </c>
      <c r="AY3721" s="5" t="s">
        <v>490</v>
      </c>
      <c r="BA3721" s="5" t="s">
        <v>238</v>
      </c>
      <c r="BC3721" s="5" t="s">
        <v>491</v>
      </c>
      <c r="BD3721" s="6" t="s">
        <v>492</v>
      </c>
      <c r="BE3721" s="5" t="s">
        <v>493</v>
      </c>
      <c r="BF3721" s="5" t="s">
        <v>493</v>
      </c>
      <c r="BG3721" s="5" t="s">
        <v>238</v>
      </c>
      <c r="BH3721" s="8">
        <f>1</f>
        <v>1</v>
      </c>
      <c r="BI3721" s="8">
        <f>1</f>
        <v>1</v>
      </c>
      <c r="BJ3721" s="5" t="s">
        <v>253</v>
      </c>
      <c r="BK3721" s="5" t="s">
        <v>254</v>
      </c>
      <c r="BL3721" s="5" t="s">
        <v>238</v>
      </c>
      <c r="BM3721" s="5" t="s">
        <v>238</v>
      </c>
      <c r="BN3721" s="5" t="s">
        <v>238</v>
      </c>
      <c r="BO3721" s="5" t="s">
        <v>238</v>
      </c>
      <c r="BP3721" s="5" t="s">
        <v>238</v>
      </c>
      <c r="BQ3721" s="5" t="s">
        <v>238</v>
      </c>
      <c r="BR3721" s="5" t="s">
        <v>238</v>
      </c>
      <c r="BS3721" s="5" t="s">
        <v>238</v>
      </c>
      <c r="BT3721" s="6" t="s">
        <v>238</v>
      </c>
      <c r="BU3721" s="5" t="s">
        <v>238</v>
      </c>
      <c r="BV3721" s="5" t="s">
        <v>238</v>
      </c>
      <c r="BW3721" s="5" t="s">
        <v>238</v>
      </c>
      <c r="BX3721" s="5" t="s">
        <v>254</v>
      </c>
      <c r="BY3721" s="5" t="s">
        <v>238</v>
      </c>
      <c r="BZ3721" s="5" t="s">
        <v>238</v>
      </c>
      <c r="CA3721" s="5" t="s">
        <v>238</v>
      </c>
      <c r="CB3721" s="5" t="s">
        <v>238</v>
      </c>
      <c r="CC3721" s="5" t="s">
        <v>238</v>
      </c>
      <c r="CD3721" s="5" t="s">
        <v>273</v>
      </c>
      <c r="CE3721" s="5" t="s">
        <v>256</v>
      </c>
      <c r="CF3721" s="5" t="s">
        <v>261</v>
      </c>
      <c r="CH3721" s="5" t="s">
        <v>494</v>
      </c>
      <c r="CI3721" s="6" t="s">
        <v>257</v>
      </c>
      <c r="CJ3721" s="5" t="s">
        <v>495</v>
      </c>
      <c r="CK3721" s="5" t="s">
        <v>258</v>
      </c>
      <c r="CL3721" s="5" t="s">
        <v>496</v>
      </c>
      <c r="CM3721" s="5" t="s">
        <v>238</v>
      </c>
      <c r="CN3721" s="5">
        <v>0</v>
      </c>
      <c r="CO3721" s="5" t="s">
        <v>497</v>
      </c>
      <c r="CP3721" s="5" t="s">
        <v>260</v>
      </c>
      <c r="CQ3721" s="5" t="s">
        <v>260</v>
      </c>
      <c r="CR3721" s="5" t="s">
        <v>261</v>
      </c>
      <c r="CS3721" s="5" t="s">
        <v>498</v>
      </c>
      <c r="CT3721" s="7">
        <f>1</f>
        <v>1</v>
      </c>
      <c r="CU3721" s="8">
        <f>1</f>
        <v>1</v>
      </c>
      <c r="CV3721" s="8">
        <f>0</f>
        <v>0</v>
      </c>
      <c r="CX3721" s="8">
        <f>1</f>
        <v>1</v>
      </c>
      <c r="CY3721" s="8">
        <f>1</f>
        <v>1</v>
      </c>
      <c r="CZ3721" s="8" t="s">
        <v>238</v>
      </c>
      <c r="DA3721" s="5" t="s">
        <v>238</v>
      </c>
      <c r="DB3721" s="5" t="s">
        <v>238</v>
      </c>
      <c r="DC3721" s="5" t="s">
        <v>238</v>
      </c>
      <c r="DD3721" s="5" t="s">
        <v>238</v>
      </c>
      <c r="DE3721" s="8">
        <f>0</f>
        <v>0</v>
      </c>
      <c r="DG3721" s="5" t="s">
        <v>238</v>
      </c>
      <c r="DH3721" s="5" t="s">
        <v>238</v>
      </c>
      <c r="DI3721" s="5" t="s">
        <v>238</v>
      </c>
      <c r="DJ3721" s="5" t="s">
        <v>238</v>
      </c>
      <c r="DK3721" s="5" t="s">
        <v>238</v>
      </c>
      <c r="DL3721" s="5" t="s">
        <v>238</v>
      </c>
      <c r="DM3721" s="8" t="s">
        <v>238</v>
      </c>
      <c r="DN3721" s="5" t="s">
        <v>238</v>
      </c>
      <c r="DO3721" s="5" t="s">
        <v>244</v>
      </c>
      <c r="DP3721" s="5" t="s">
        <v>490</v>
      </c>
      <c r="DQ3721" s="5" t="s">
        <v>490</v>
      </c>
      <c r="DR3721" s="5" t="s">
        <v>238</v>
      </c>
      <c r="DS3721" s="5" t="s">
        <v>238</v>
      </c>
      <c r="DT3721" s="5" t="s">
        <v>601</v>
      </c>
      <c r="DU3721" s="5" t="s">
        <v>1252</v>
      </c>
      <c r="DV3721" s="5" t="s">
        <v>238</v>
      </c>
      <c r="DW3721" s="5" t="s">
        <v>238</v>
      </c>
      <c r="DX3721" s="5" t="s">
        <v>238</v>
      </c>
      <c r="DY3721" s="5" t="s">
        <v>238</v>
      </c>
      <c r="DZ3721" s="5" t="s">
        <v>238</v>
      </c>
      <c r="EA3721" s="5" t="s">
        <v>238</v>
      </c>
      <c r="EB3721" s="5" t="s">
        <v>238</v>
      </c>
      <c r="EC3721" s="5" t="s">
        <v>238</v>
      </c>
      <c r="ED3721" s="5" t="s">
        <v>238</v>
      </c>
      <c r="EE3721" s="5" t="s">
        <v>238</v>
      </c>
      <c r="EF3721" s="5" t="s">
        <v>238</v>
      </c>
      <c r="EG3721" s="5" t="s">
        <v>238</v>
      </c>
      <c r="EH3721" s="5" t="s">
        <v>238</v>
      </c>
      <c r="EI3721" s="5" t="s">
        <v>238</v>
      </c>
      <c r="EJ3721" s="5" t="s">
        <v>238</v>
      </c>
      <c r="EK3721" s="5" t="s">
        <v>238</v>
      </c>
      <c r="EL3721" s="5" t="s">
        <v>238</v>
      </c>
      <c r="EM3721" s="5" t="s">
        <v>238</v>
      </c>
      <c r="EN3721" s="5" t="s">
        <v>238</v>
      </c>
      <c r="EO3721" s="5" t="s">
        <v>238</v>
      </c>
      <c r="EP3721" s="5" t="s">
        <v>238</v>
      </c>
      <c r="EQ3721" s="5" t="s">
        <v>238</v>
      </c>
      <c r="ER3721" s="5" t="s">
        <v>238</v>
      </c>
      <c r="ES3721" s="5" t="s">
        <v>238</v>
      </c>
      <c r="ET3721" s="5" t="s">
        <v>238</v>
      </c>
      <c r="EU3721" s="5" t="s">
        <v>238</v>
      </c>
      <c r="EV3721" s="5" t="s">
        <v>238</v>
      </c>
      <c r="EW3721" s="5" t="s">
        <v>238</v>
      </c>
      <c r="EX3721" s="5" t="s">
        <v>238</v>
      </c>
      <c r="EY3721" s="5" t="s">
        <v>238</v>
      </c>
      <c r="EZ3721" s="5" t="s">
        <v>238</v>
      </c>
      <c r="FA3721" s="5" t="s">
        <v>238</v>
      </c>
      <c r="FB3721" s="5" t="s">
        <v>238</v>
      </c>
      <c r="FC3721" s="5" t="s">
        <v>238</v>
      </c>
      <c r="FD3721" s="5" t="s">
        <v>238</v>
      </c>
      <c r="FE3721" s="5" t="s">
        <v>238</v>
      </c>
      <c r="FF3721" s="5" t="s">
        <v>238</v>
      </c>
      <c r="FG3721" s="5" t="s">
        <v>238</v>
      </c>
      <c r="FH3721" s="5" t="s">
        <v>238</v>
      </c>
      <c r="FI3721" s="5" t="s">
        <v>238</v>
      </c>
      <c r="FJ3721" s="5" t="s">
        <v>238</v>
      </c>
      <c r="FK3721" s="5" t="s">
        <v>238</v>
      </c>
      <c r="FL3721" s="5" t="s">
        <v>238</v>
      </c>
      <c r="FM3721" s="5" t="s">
        <v>238</v>
      </c>
      <c r="FN3721" s="5" t="s">
        <v>238</v>
      </c>
      <c r="FO3721" s="5" t="s">
        <v>238</v>
      </c>
      <c r="FP3721" s="5" t="s">
        <v>238</v>
      </c>
      <c r="FQ3721" s="5" t="s">
        <v>238</v>
      </c>
      <c r="FR3721" s="5" t="s">
        <v>238</v>
      </c>
      <c r="FS3721" s="5" t="s">
        <v>238</v>
      </c>
      <c r="FT3721" s="5" t="s">
        <v>238</v>
      </c>
      <c r="FU3721" s="5" t="s">
        <v>238</v>
      </c>
      <c r="FV3721" s="5" t="s">
        <v>238</v>
      </c>
      <c r="FW3721" s="5" t="s">
        <v>238</v>
      </c>
      <c r="FX3721" s="5" t="s">
        <v>238</v>
      </c>
      <c r="FY3721" s="5" t="s">
        <v>238</v>
      </c>
      <c r="FZ3721" s="5" t="s">
        <v>238</v>
      </c>
      <c r="GA3721" s="5" t="s">
        <v>238</v>
      </c>
      <c r="GB3721" s="5" t="s">
        <v>238</v>
      </c>
      <c r="GC3721" s="5" t="s">
        <v>238</v>
      </c>
      <c r="GD3721" s="5" t="s">
        <v>238</v>
      </c>
      <c r="GE3721" s="5" t="s">
        <v>238</v>
      </c>
      <c r="GF3721" s="5" t="s">
        <v>238</v>
      </c>
      <c r="GG3721" s="5" t="s">
        <v>238</v>
      </c>
      <c r="GH3721" s="5" t="s">
        <v>238</v>
      </c>
      <c r="GI3721" s="5" t="s">
        <v>238</v>
      </c>
      <c r="GJ3721" s="5" t="s">
        <v>238</v>
      </c>
      <c r="GK3721" s="5" t="s">
        <v>238</v>
      </c>
      <c r="GL3721" s="5" t="s">
        <v>238</v>
      </c>
      <c r="GM3721" s="5" t="s">
        <v>238</v>
      </c>
      <c r="GN3721" s="5" t="s">
        <v>238</v>
      </c>
      <c r="GO3721" s="5" t="s">
        <v>238</v>
      </c>
      <c r="GP3721" s="5" t="s">
        <v>238</v>
      </c>
      <c r="GQ3721" s="5" t="s">
        <v>238</v>
      </c>
      <c r="GR3721" s="5" t="s">
        <v>238</v>
      </c>
      <c r="GS3721" s="5" t="s">
        <v>238</v>
      </c>
      <c r="GT3721" s="5" t="s">
        <v>238</v>
      </c>
      <c r="GU3721" s="5" t="s">
        <v>238</v>
      </c>
      <c r="GV3721" s="5" t="s">
        <v>238</v>
      </c>
      <c r="GW3721" s="5" t="s">
        <v>238</v>
      </c>
      <c r="GX3721" s="5" t="s">
        <v>238</v>
      </c>
      <c r="GY3721" s="5" t="s">
        <v>238</v>
      </c>
      <c r="GZ3721" s="5" t="s">
        <v>238</v>
      </c>
      <c r="HA3721" s="5" t="s">
        <v>238</v>
      </c>
      <c r="HB3721" s="5" t="s">
        <v>238</v>
      </c>
      <c r="HC3721" s="5" t="s">
        <v>238</v>
      </c>
      <c r="HD3721" s="5" t="s">
        <v>238</v>
      </c>
      <c r="HE3721" s="5" t="s">
        <v>238</v>
      </c>
      <c r="HF3721" s="5" t="s">
        <v>238</v>
      </c>
      <c r="HG3721" s="5" t="s">
        <v>238</v>
      </c>
      <c r="HH3721" s="5" t="s">
        <v>238</v>
      </c>
      <c r="HI3721" s="5" t="s">
        <v>238</v>
      </c>
      <c r="HJ3721" s="5" t="s">
        <v>238</v>
      </c>
      <c r="HK3721" s="5" t="s">
        <v>238</v>
      </c>
      <c r="HL3721" s="5" t="s">
        <v>238</v>
      </c>
      <c r="HM3721" s="5" t="s">
        <v>238</v>
      </c>
      <c r="HN3721" s="5" t="s">
        <v>238</v>
      </c>
      <c r="HO3721" s="5" t="s">
        <v>238</v>
      </c>
      <c r="HP3721" s="5" t="s">
        <v>238</v>
      </c>
      <c r="HQ3721" s="5" t="s">
        <v>238</v>
      </c>
      <c r="HR3721" s="5" t="s">
        <v>238</v>
      </c>
      <c r="HS3721" s="5" t="s">
        <v>238</v>
      </c>
      <c r="HT3721" s="5" t="s">
        <v>238</v>
      </c>
      <c r="HU3721" s="5" t="s">
        <v>238</v>
      </c>
      <c r="HV3721" s="5" t="s">
        <v>238</v>
      </c>
      <c r="HW3721" s="5" t="s">
        <v>238</v>
      </c>
      <c r="HX3721" s="5" t="s">
        <v>238</v>
      </c>
      <c r="HY3721" s="5" t="s">
        <v>238</v>
      </c>
      <c r="HZ3721" s="5" t="s">
        <v>238</v>
      </c>
      <c r="IA3721" s="5" t="s">
        <v>238</v>
      </c>
      <c r="IB3721" s="5" t="s">
        <v>238</v>
      </c>
      <c r="IC3721" s="5" t="s">
        <v>238</v>
      </c>
      <c r="ID3721" s="5" t="s">
        <v>238</v>
      </c>
    </row>
    <row r="3722" spans="1:238" x14ac:dyDescent="0.4">
      <c r="A3722" s="5">
        <v>9440</v>
      </c>
      <c r="B3722" s="5">
        <v>1</v>
      </c>
      <c r="C3722" s="5">
        <v>1</v>
      </c>
      <c r="D3722" s="5" t="s">
        <v>484</v>
      </c>
      <c r="E3722" s="5" t="s">
        <v>485</v>
      </c>
      <c r="F3722" s="5" t="s">
        <v>248</v>
      </c>
      <c r="G3722" s="5" t="s">
        <v>4381</v>
      </c>
      <c r="H3722" s="6" t="s">
        <v>4383</v>
      </c>
      <c r="I3722" s="8">
        <f>1</f>
        <v>1</v>
      </c>
      <c r="J3722" s="5" t="s">
        <v>499</v>
      </c>
      <c r="K3722" s="8">
        <f>1</f>
        <v>1</v>
      </c>
      <c r="L3722" s="6" t="s">
        <v>242</v>
      </c>
      <c r="M3722" s="5" t="s">
        <v>267</v>
      </c>
      <c r="N3722" s="5" t="s">
        <v>482</v>
      </c>
      <c r="O3722" s="5" t="s">
        <v>238</v>
      </c>
      <c r="P3722" s="5" t="s">
        <v>238</v>
      </c>
      <c r="Q3722" s="5" t="s">
        <v>239</v>
      </c>
      <c r="R3722" s="5" t="s">
        <v>270</v>
      </c>
      <c r="S3722" s="5" t="s">
        <v>238</v>
      </c>
      <c r="T3722" s="5" t="s">
        <v>238</v>
      </c>
      <c r="U3722" s="5" t="s">
        <v>238</v>
      </c>
      <c r="V3722" s="5" t="s">
        <v>238</v>
      </c>
      <c r="W3722" s="6" t="s">
        <v>238</v>
      </c>
      <c r="X3722" s="6" t="s">
        <v>238</v>
      </c>
      <c r="Y3722" s="5" t="s">
        <v>238</v>
      </c>
      <c r="Z3722" s="6" t="s">
        <v>238</v>
      </c>
      <c r="AA3722" s="6" t="s">
        <v>243</v>
      </c>
      <c r="AB3722" s="5" t="s">
        <v>4382</v>
      </c>
      <c r="AC3722" s="5" t="s">
        <v>244</v>
      </c>
      <c r="AD3722" s="5" t="s">
        <v>245</v>
      </c>
      <c r="AE3722" s="5" t="s">
        <v>238</v>
      </c>
      <c r="AF3722" s="5" t="s">
        <v>238</v>
      </c>
      <c r="AG3722" s="5" t="s">
        <v>238</v>
      </c>
      <c r="AH3722" s="5" t="s">
        <v>238</v>
      </c>
      <c r="AI3722" s="5" t="s">
        <v>238</v>
      </c>
      <c r="AJ3722" s="5" t="s">
        <v>238</v>
      </c>
      <c r="AK3722" s="5" t="s">
        <v>238</v>
      </c>
      <c r="AL3722" s="5" t="s">
        <v>238</v>
      </c>
      <c r="AM3722" s="6" t="s">
        <v>238</v>
      </c>
      <c r="AN3722" s="6" t="s">
        <v>238</v>
      </c>
      <c r="AO3722" s="6" t="s">
        <v>238</v>
      </c>
      <c r="AP3722" s="6" t="s">
        <v>238</v>
      </c>
      <c r="AQ3722" s="5" t="s">
        <v>238</v>
      </c>
      <c r="AR3722" s="5" t="s">
        <v>488</v>
      </c>
      <c r="AS3722" s="5" t="s">
        <v>488</v>
      </c>
      <c r="AT3722" s="5" t="s">
        <v>246</v>
      </c>
      <c r="AU3722" s="5" t="s">
        <v>489</v>
      </c>
      <c r="AV3722" s="5" t="s">
        <v>247</v>
      </c>
      <c r="AW3722" s="5" t="s">
        <v>600</v>
      </c>
      <c r="AX3722" s="5" t="s">
        <v>249</v>
      </c>
      <c r="AY3722" s="5" t="s">
        <v>490</v>
      </c>
      <c r="BA3722" s="5" t="s">
        <v>238</v>
      </c>
      <c r="BC3722" s="5" t="s">
        <v>491</v>
      </c>
      <c r="BD3722" s="6" t="s">
        <v>492</v>
      </c>
      <c r="BE3722" s="5" t="s">
        <v>493</v>
      </c>
      <c r="BF3722" s="5" t="s">
        <v>493</v>
      </c>
      <c r="BG3722" s="5" t="s">
        <v>238</v>
      </c>
      <c r="BH3722" s="8">
        <f>1</f>
        <v>1</v>
      </c>
      <c r="BI3722" s="8">
        <f>1</f>
        <v>1</v>
      </c>
      <c r="BJ3722" s="5" t="s">
        <v>253</v>
      </c>
      <c r="BK3722" s="5" t="s">
        <v>254</v>
      </c>
      <c r="BL3722" s="5" t="s">
        <v>238</v>
      </c>
      <c r="BM3722" s="5" t="s">
        <v>238</v>
      </c>
      <c r="BN3722" s="5" t="s">
        <v>238</v>
      </c>
      <c r="BO3722" s="5" t="s">
        <v>238</v>
      </c>
      <c r="BP3722" s="5" t="s">
        <v>238</v>
      </c>
      <c r="BQ3722" s="5" t="s">
        <v>238</v>
      </c>
      <c r="BR3722" s="5" t="s">
        <v>238</v>
      </c>
      <c r="BS3722" s="5" t="s">
        <v>238</v>
      </c>
      <c r="BT3722" s="6" t="s">
        <v>238</v>
      </c>
      <c r="BU3722" s="5" t="s">
        <v>238</v>
      </c>
      <c r="BV3722" s="5" t="s">
        <v>238</v>
      </c>
      <c r="BW3722" s="5" t="s">
        <v>238</v>
      </c>
      <c r="BX3722" s="5" t="s">
        <v>254</v>
      </c>
      <c r="BY3722" s="5" t="s">
        <v>238</v>
      </c>
      <c r="BZ3722" s="5" t="s">
        <v>238</v>
      </c>
      <c r="CA3722" s="5" t="s">
        <v>238</v>
      </c>
      <c r="CB3722" s="5" t="s">
        <v>238</v>
      </c>
      <c r="CC3722" s="5" t="s">
        <v>238</v>
      </c>
      <c r="CD3722" s="5" t="s">
        <v>273</v>
      </c>
      <c r="CE3722" s="5" t="s">
        <v>256</v>
      </c>
      <c r="CF3722" s="5" t="s">
        <v>261</v>
      </c>
      <c r="CH3722" s="5" t="s">
        <v>494</v>
      </c>
      <c r="CI3722" s="6" t="s">
        <v>257</v>
      </c>
      <c r="CJ3722" s="5" t="s">
        <v>495</v>
      </c>
      <c r="CK3722" s="5" t="s">
        <v>258</v>
      </c>
      <c r="CL3722" s="5" t="s">
        <v>496</v>
      </c>
      <c r="CM3722" s="5" t="s">
        <v>238</v>
      </c>
      <c r="CN3722" s="5">
        <v>0</v>
      </c>
      <c r="CO3722" s="5" t="s">
        <v>497</v>
      </c>
      <c r="CP3722" s="5" t="s">
        <v>260</v>
      </c>
      <c r="CQ3722" s="5" t="s">
        <v>260</v>
      </c>
      <c r="CR3722" s="5" t="s">
        <v>261</v>
      </c>
      <c r="CS3722" s="5" t="s">
        <v>498</v>
      </c>
      <c r="CT3722" s="7">
        <f>1</f>
        <v>1</v>
      </c>
      <c r="CU3722" s="8">
        <f>1</f>
        <v>1</v>
      </c>
      <c r="CV3722" s="8">
        <f>0</f>
        <v>0</v>
      </c>
      <c r="CX3722" s="8">
        <f>1</f>
        <v>1</v>
      </c>
      <c r="CY3722" s="8">
        <f>1</f>
        <v>1</v>
      </c>
      <c r="CZ3722" s="8" t="s">
        <v>238</v>
      </c>
      <c r="DA3722" s="5" t="s">
        <v>238</v>
      </c>
      <c r="DB3722" s="5" t="s">
        <v>238</v>
      </c>
      <c r="DC3722" s="5" t="s">
        <v>238</v>
      </c>
      <c r="DD3722" s="5" t="s">
        <v>238</v>
      </c>
      <c r="DE3722" s="8">
        <f>0</f>
        <v>0</v>
      </c>
      <c r="DG3722" s="5" t="s">
        <v>238</v>
      </c>
      <c r="DH3722" s="5" t="s">
        <v>238</v>
      </c>
      <c r="DI3722" s="5" t="s">
        <v>238</v>
      </c>
      <c r="DJ3722" s="5" t="s">
        <v>238</v>
      </c>
      <c r="DK3722" s="5" t="s">
        <v>238</v>
      </c>
      <c r="DL3722" s="5" t="s">
        <v>238</v>
      </c>
      <c r="DM3722" s="8" t="s">
        <v>238</v>
      </c>
      <c r="DN3722" s="5" t="s">
        <v>238</v>
      </c>
      <c r="DO3722" s="5" t="s">
        <v>244</v>
      </c>
      <c r="DP3722" s="5" t="s">
        <v>490</v>
      </c>
      <c r="DQ3722" s="5" t="s">
        <v>490</v>
      </c>
      <c r="DR3722" s="5" t="s">
        <v>238</v>
      </c>
      <c r="DS3722" s="5" t="s">
        <v>238</v>
      </c>
      <c r="DT3722" s="5" t="s">
        <v>601</v>
      </c>
      <c r="DU3722" s="5" t="s">
        <v>1245</v>
      </c>
      <c r="DV3722" s="5" t="s">
        <v>238</v>
      </c>
      <c r="DW3722" s="5" t="s">
        <v>238</v>
      </c>
      <c r="DX3722" s="5" t="s">
        <v>238</v>
      </c>
      <c r="DY3722" s="5" t="s">
        <v>238</v>
      </c>
      <c r="DZ3722" s="5" t="s">
        <v>238</v>
      </c>
      <c r="EA3722" s="5" t="s">
        <v>238</v>
      </c>
      <c r="EB3722" s="5" t="s">
        <v>238</v>
      </c>
      <c r="EC3722" s="5" t="s">
        <v>238</v>
      </c>
      <c r="ED3722" s="5" t="s">
        <v>238</v>
      </c>
      <c r="EE3722" s="5" t="s">
        <v>238</v>
      </c>
      <c r="EF3722" s="5" t="s">
        <v>238</v>
      </c>
      <c r="EG3722" s="5" t="s">
        <v>238</v>
      </c>
      <c r="EH3722" s="5" t="s">
        <v>238</v>
      </c>
      <c r="EI3722" s="5" t="s">
        <v>238</v>
      </c>
      <c r="EJ3722" s="5" t="s">
        <v>238</v>
      </c>
      <c r="EK3722" s="5" t="s">
        <v>238</v>
      </c>
      <c r="EL3722" s="5" t="s">
        <v>238</v>
      </c>
      <c r="EM3722" s="5" t="s">
        <v>238</v>
      </c>
      <c r="EN3722" s="5" t="s">
        <v>238</v>
      </c>
      <c r="EO3722" s="5" t="s">
        <v>238</v>
      </c>
      <c r="EP3722" s="5" t="s">
        <v>238</v>
      </c>
      <c r="EQ3722" s="5" t="s">
        <v>238</v>
      </c>
      <c r="ER3722" s="5" t="s">
        <v>238</v>
      </c>
      <c r="ES3722" s="5" t="s">
        <v>238</v>
      </c>
      <c r="ET3722" s="5" t="s">
        <v>238</v>
      </c>
      <c r="EU3722" s="5" t="s">
        <v>238</v>
      </c>
      <c r="EV3722" s="5" t="s">
        <v>238</v>
      </c>
      <c r="EW3722" s="5" t="s">
        <v>238</v>
      </c>
      <c r="EX3722" s="5" t="s">
        <v>238</v>
      </c>
      <c r="EY3722" s="5" t="s">
        <v>238</v>
      </c>
      <c r="EZ3722" s="5" t="s">
        <v>238</v>
      </c>
      <c r="FA3722" s="5" t="s">
        <v>238</v>
      </c>
      <c r="FB3722" s="5" t="s">
        <v>238</v>
      </c>
      <c r="FC3722" s="5" t="s">
        <v>238</v>
      </c>
      <c r="FD3722" s="5" t="s">
        <v>238</v>
      </c>
      <c r="FE3722" s="5" t="s">
        <v>238</v>
      </c>
      <c r="FF3722" s="5" t="s">
        <v>238</v>
      </c>
      <c r="FG3722" s="5" t="s">
        <v>238</v>
      </c>
      <c r="FH3722" s="5" t="s">
        <v>238</v>
      </c>
      <c r="FI3722" s="5" t="s">
        <v>238</v>
      </c>
      <c r="FJ3722" s="5" t="s">
        <v>238</v>
      </c>
      <c r="FK3722" s="5" t="s">
        <v>238</v>
      </c>
      <c r="FL3722" s="5" t="s">
        <v>238</v>
      </c>
      <c r="FM3722" s="5" t="s">
        <v>238</v>
      </c>
      <c r="FN3722" s="5" t="s">
        <v>238</v>
      </c>
      <c r="FO3722" s="5" t="s">
        <v>238</v>
      </c>
      <c r="FP3722" s="5" t="s">
        <v>238</v>
      </c>
      <c r="FQ3722" s="5" t="s">
        <v>238</v>
      </c>
      <c r="FR3722" s="5" t="s">
        <v>238</v>
      </c>
      <c r="FS3722" s="5" t="s">
        <v>238</v>
      </c>
      <c r="FT3722" s="5" t="s">
        <v>238</v>
      </c>
      <c r="FU3722" s="5" t="s">
        <v>238</v>
      </c>
      <c r="FV3722" s="5" t="s">
        <v>238</v>
      </c>
      <c r="FW3722" s="5" t="s">
        <v>238</v>
      </c>
      <c r="FX3722" s="5" t="s">
        <v>238</v>
      </c>
      <c r="FY3722" s="5" t="s">
        <v>238</v>
      </c>
      <c r="FZ3722" s="5" t="s">
        <v>238</v>
      </c>
      <c r="GA3722" s="5" t="s">
        <v>238</v>
      </c>
      <c r="GB3722" s="5" t="s">
        <v>238</v>
      </c>
      <c r="GC3722" s="5" t="s">
        <v>238</v>
      </c>
      <c r="GD3722" s="5" t="s">
        <v>238</v>
      </c>
      <c r="GE3722" s="5" t="s">
        <v>238</v>
      </c>
      <c r="GF3722" s="5" t="s">
        <v>238</v>
      </c>
      <c r="GG3722" s="5" t="s">
        <v>238</v>
      </c>
      <c r="GH3722" s="5" t="s">
        <v>238</v>
      </c>
      <c r="GI3722" s="5" t="s">
        <v>238</v>
      </c>
      <c r="GJ3722" s="5" t="s">
        <v>238</v>
      </c>
      <c r="GK3722" s="5" t="s">
        <v>238</v>
      </c>
      <c r="GL3722" s="5" t="s">
        <v>238</v>
      </c>
      <c r="GM3722" s="5" t="s">
        <v>238</v>
      </c>
      <c r="GN3722" s="5" t="s">
        <v>238</v>
      </c>
      <c r="GO3722" s="5" t="s">
        <v>238</v>
      </c>
      <c r="GP3722" s="5" t="s">
        <v>238</v>
      </c>
      <c r="GQ3722" s="5" t="s">
        <v>238</v>
      </c>
      <c r="GR3722" s="5" t="s">
        <v>238</v>
      </c>
      <c r="GS3722" s="5" t="s">
        <v>238</v>
      </c>
      <c r="GT3722" s="5" t="s">
        <v>238</v>
      </c>
      <c r="GU3722" s="5" t="s">
        <v>238</v>
      </c>
      <c r="GV3722" s="5" t="s">
        <v>238</v>
      </c>
      <c r="GW3722" s="5" t="s">
        <v>238</v>
      </c>
      <c r="GX3722" s="5" t="s">
        <v>238</v>
      </c>
      <c r="GY3722" s="5" t="s">
        <v>238</v>
      </c>
      <c r="GZ3722" s="5" t="s">
        <v>238</v>
      </c>
      <c r="HA3722" s="5" t="s">
        <v>238</v>
      </c>
      <c r="HB3722" s="5" t="s">
        <v>238</v>
      </c>
      <c r="HC3722" s="5" t="s">
        <v>238</v>
      </c>
      <c r="HD3722" s="5" t="s">
        <v>238</v>
      </c>
      <c r="HE3722" s="5" t="s">
        <v>238</v>
      </c>
      <c r="HF3722" s="5" t="s">
        <v>238</v>
      </c>
      <c r="HG3722" s="5" t="s">
        <v>238</v>
      </c>
      <c r="HH3722" s="5" t="s">
        <v>238</v>
      </c>
      <c r="HI3722" s="5" t="s">
        <v>238</v>
      </c>
      <c r="HJ3722" s="5" t="s">
        <v>238</v>
      </c>
      <c r="HK3722" s="5" t="s">
        <v>238</v>
      </c>
      <c r="HL3722" s="5" t="s">
        <v>238</v>
      </c>
      <c r="HM3722" s="5" t="s">
        <v>238</v>
      </c>
      <c r="HN3722" s="5" t="s">
        <v>238</v>
      </c>
      <c r="HO3722" s="5" t="s">
        <v>238</v>
      </c>
      <c r="HP3722" s="5" t="s">
        <v>238</v>
      </c>
      <c r="HQ3722" s="5" t="s">
        <v>238</v>
      </c>
      <c r="HR3722" s="5" t="s">
        <v>238</v>
      </c>
      <c r="HS3722" s="5" t="s">
        <v>238</v>
      </c>
      <c r="HT3722" s="5" t="s">
        <v>238</v>
      </c>
      <c r="HU3722" s="5" t="s">
        <v>238</v>
      </c>
      <c r="HV3722" s="5" t="s">
        <v>238</v>
      </c>
      <c r="HW3722" s="5" t="s">
        <v>238</v>
      </c>
      <c r="HX3722" s="5" t="s">
        <v>238</v>
      </c>
      <c r="HY3722" s="5" t="s">
        <v>238</v>
      </c>
      <c r="HZ3722" s="5" t="s">
        <v>238</v>
      </c>
      <c r="IA3722" s="5" t="s">
        <v>238</v>
      </c>
      <c r="IB3722" s="5" t="s">
        <v>238</v>
      </c>
      <c r="IC3722" s="5" t="s">
        <v>238</v>
      </c>
      <c r="ID3722" s="5" t="s">
        <v>238</v>
      </c>
    </row>
    <row r="3723" spans="1:238" x14ac:dyDescent="0.4">
      <c r="A3723" s="5">
        <v>9441</v>
      </c>
      <c r="B3723" s="5">
        <v>1</v>
      </c>
      <c r="C3723" s="5">
        <v>1</v>
      </c>
      <c r="D3723" s="5" t="s">
        <v>484</v>
      </c>
      <c r="E3723" s="5" t="s">
        <v>485</v>
      </c>
      <c r="F3723" s="5" t="s">
        <v>248</v>
      </c>
      <c r="G3723" s="5" t="s">
        <v>4392</v>
      </c>
      <c r="H3723" s="6" t="s">
        <v>4393</v>
      </c>
      <c r="I3723" s="8">
        <f>1</f>
        <v>1</v>
      </c>
      <c r="J3723" s="5" t="s">
        <v>499</v>
      </c>
      <c r="K3723" s="8">
        <f>1</f>
        <v>1</v>
      </c>
      <c r="L3723" s="6" t="s">
        <v>242</v>
      </c>
      <c r="M3723" s="5" t="s">
        <v>267</v>
      </c>
      <c r="N3723" s="5" t="s">
        <v>482</v>
      </c>
      <c r="O3723" s="5" t="s">
        <v>238</v>
      </c>
      <c r="P3723" s="5" t="s">
        <v>238</v>
      </c>
      <c r="Q3723" s="5" t="s">
        <v>239</v>
      </c>
      <c r="R3723" s="5" t="s">
        <v>270</v>
      </c>
      <c r="S3723" s="5" t="s">
        <v>238</v>
      </c>
      <c r="T3723" s="5" t="s">
        <v>238</v>
      </c>
      <c r="U3723" s="5" t="s">
        <v>238</v>
      </c>
      <c r="V3723" s="5" t="s">
        <v>238</v>
      </c>
      <c r="W3723" s="6" t="s">
        <v>238</v>
      </c>
      <c r="X3723" s="6" t="s">
        <v>238</v>
      </c>
      <c r="Y3723" s="5" t="s">
        <v>238</v>
      </c>
      <c r="Z3723" s="6" t="s">
        <v>238</v>
      </c>
      <c r="AA3723" s="6" t="s">
        <v>243</v>
      </c>
      <c r="AB3723" s="5" t="s">
        <v>598</v>
      </c>
      <c r="AC3723" s="5" t="s">
        <v>244</v>
      </c>
      <c r="AD3723" s="5" t="s">
        <v>245</v>
      </c>
      <c r="AE3723" s="5" t="s">
        <v>238</v>
      </c>
      <c r="AF3723" s="5" t="s">
        <v>238</v>
      </c>
      <c r="AG3723" s="5" t="s">
        <v>238</v>
      </c>
      <c r="AH3723" s="5" t="s">
        <v>238</v>
      </c>
      <c r="AI3723" s="5" t="s">
        <v>238</v>
      </c>
      <c r="AJ3723" s="5" t="s">
        <v>238</v>
      </c>
      <c r="AK3723" s="5" t="s">
        <v>238</v>
      </c>
      <c r="AL3723" s="5" t="s">
        <v>238</v>
      </c>
      <c r="AM3723" s="6" t="s">
        <v>238</v>
      </c>
      <c r="AN3723" s="6" t="s">
        <v>238</v>
      </c>
      <c r="AO3723" s="6" t="s">
        <v>238</v>
      </c>
      <c r="AP3723" s="6" t="s">
        <v>238</v>
      </c>
      <c r="AQ3723" s="5" t="s">
        <v>238</v>
      </c>
      <c r="AR3723" s="5" t="s">
        <v>488</v>
      </c>
      <c r="AS3723" s="5" t="s">
        <v>488</v>
      </c>
      <c r="AT3723" s="5" t="s">
        <v>246</v>
      </c>
      <c r="AU3723" s="5" t="s">
        <v>489</v>
      </c>
      <c r="AV3723" s="5" t="s">
        <v>247</v>
      </c>
      <c r="AW3723" s="5" t="s">
        <v>600</v>
      </c>
      <c r="AX3723" s="5" t="s">
        <v>249</v>
      </c>
      <c r="AY3723" s="5" t="s">
        <v>490</v>
      </c>
      <c r="BA3723" s="5" t="s">
        <v>238</v>
      </c>
      <c r="BC3723" s="5" t="s">
        <v>491</v>
      </c>
      <c r="BD3723" s="6" t="s">
        <v>492</v>
      </c>
      <c r="BE3723" s="5" t="s">
        <v>493</v>
      </c>
      <c r="BF3723" s="5" t="s">
        <v>493</v>
      </c>
      <c r="BG3723" s="5" t="s">
        <v>238</v>
      </c>
      <c r="BH3723" s="8">
        <f>1</f>
        <v>1</v>
      </c>
      <c r="BI3723" s="8">
        <f>1</f>
        <v>1</v>
      </c>
      <c r="BJ3723" s="5" t="s">
        <v>253</v>
      </c>
      <c r="BK3723" s="5" t="s">
        <v>254</v>
      </c>
      <c r="BL3723" s="5" t="s">
        <v>238</v>
      </c>
      <c r="BM3723" s="5" t="s">
        <v>238</v>
      </c>
      <c r="BN3723" s="5" t="s">
        <v>238</v>
      </c>
      <c r="BO3723" s="5" t="s">
        <v>238</v>
      </c>
      <c r="BP3723" s="5" t="s">
        <v>238</v>
      </c>
      <c r="BQ3723" s="5" t="s">
        <v>238</v>
      </c>
      <c r="BR3723" s="5" t="s">
        <v>238</v>
      </c>
      <c r="BS3723" s="5" t="s">
        <v>238</v>
      </c>
      <c r="BT3723" s="6" t="s">
        <v>238</v>
      </c>
      <c r="BU3723" s="5" t="s">
        <v>238</v>
      </c>
      <c r="BV3723" s="5" t="s">
        <v>238</v>
      </c>
      <c r="BW3723" s="5" t="s">
        <v>238</v>
      </c>
      <c r="BX3723" s="5" t="s">
        <v>254</v>
      </c>
      <c r="BY3723" s="5" t="s">
        <v>238</v>
      </c>
      <c r="BZ3723" s="5" t="s">
        <v>238</v>
      </c>
      <c r="CA3723" s="5" t="s">
        <v>238</v>
      </c>
      <c r="CB3723" s="5" t="s">
        <v>238</v>
      </c>
      <c r="CC3723" s="5" t="s">
        <v>238</v>
      </c>
      <c r="CD3723" s="5" t="s">
        <v>273</v>
      </c>
      <c r="CE3723" s="5" t="s">
        <v>256</v>
      </c>
      <c r="CF3723" s="5" t="s">
        <v>261</v>
      </c>
      <c r="CH3723" s="5" t="s">
        <v>494</v>
      </c>
      <c r="CI3723" s="6" t="s">
        <v>257</v>
      </c>
      <c r="CJ3723" s="5" t="s">
        <v>495</v>
      </c>
      <c r="CK3723" s="5" t="s">
        <v>258</v>
      </c>
      <c r="CL3723" s="5" t="s">
        <v>496</v>
      </c>
      <c r="CM3723" s="5" t="s">
        <v>238</v>
      </c>
      <c r="CN3723" s="5">
        <v>0</v>
      </c>
      <c r="CO3723" s="5" t="s">
        <v>497</v>
      </c>
      <c r="CP3723" s="5" t="s">
        <v>260</v>
      </c>
      <c r="CQ3723" s="5" t="s">
        <v>260</v>
      </c>
      <c r="CR3723" s="5" t="s">
        <v>261</v>
      </c>
      <c r="CS3723" s="5" t="s">
        <v>498</v>
      </c>
      <c r="CT3723" s="7">
        <f>1</f>
        <v>1</v>
      </c>
      <c r="CU3723" s="8">
        <f>1</f>
        <v>1</v>
      </c>
      <c r="CV3723" s="8">
        <f>0</f>
        <v>0</v>
      </c>
      <c r="CX3723" s="8">
        <f>1</f>
        <v>1</v>
      </c>
      <c r="CY3723" s="8">
        <f>1</f>
        <v>1</v>
      </c>
      <c r="CZ3723" s="8" t="s">
        <v>238</v>
      </c>
      <c r="DA3723" s="5" t="s">
        <v>238</v>
      </c>
      <c r="DB3723" s="5" t="s">
        <v>238</v>
      </c>
      <c r="DC3723" s="5" t="s">
        <v>238</v>
      </c>
      <c r="DD3723" s="5" t="s">
        <v>238</v>
      </c>
      <c r="DE3723" s="8">
        <f>0</f>
        <v>0</v>
      </c>
      <c r="DG3723" s="5" t="s">
        <v>238</v>
      </c>
      <c r="DH3723" s="5" t="s">
        <v>238</v>
      </c>
      <c r="DI3723" s="5" t="s">
        <v>238</v>
      </c>
      <c r="DJ3723" s="5" t="s">
        <v>238</v>
      </c>
      <c r="DK3723" s="5" t="s">
        <v>238</v>
      </c>
      <c r="DL3723" s="5" t="s">
        <v>238</v>
      </c>
      <c r="DM3723" s="8" t="s">
        <v>238</v>
      </c>
      <c r="DN3723" s="5" t="s">
        <v>238</v>
      </c>
      <c r="DO3723" s="5" t="s">
        <v>244</v>
      </c>
      <c r="DP3723" s="5" t="s">
        <v>490</v>
      </c>
      <c r="DQ3723" s="5" t="s">
        <v>490</v>
      </c>
      <c r="DR3723" s="5" t="s">
        <v>238</v>
      </c>
      <c r="DS3723" s="5" t="s">
        <v>238</v>
      </c>
      <c r="DT3723" s="5" t="s">
        <v>601</v>
      </c>
      <c r="DU3723" s="5" t="s">
        <v>1232</v>
      </c>
      <c r="DV3723" s="5" t="s">
        <v>238</v>
      </c>
      <c r="DW3723" s="5" t="s">
        <v>238</v>
      </c>
      <c r="DX3723" s="5" t="s">
        <v>238</v>
      </c>
      <c r="DY3723" s="5" t="s">
        <v>238</v>
      </c>
      <c r="DZ3723" s="5" t="s">
        <v>238</v>
      </c>
      <c r="EA3723" s="5" t="s">
        <v>238</v>
      </c>
      <c r="EB3723" s="5" t="s">
        <v>238</v>
      </c>
      <c r="EC3723" s="5" t="s">
        <v>238</v>
      </c>
      <c r="ED3723" s="5" t="s">
        <v>238</v>
      </c>
      <c r="EE3723" s="5" t="s">
        <v>238</v>
      </c>
      <c r="EF3723" s="5" t="s">
        <v>238</v>
      </c>
      <c r="EG3723" s="5" t="s">
        <v>238</v>
      </c>
      <c r="EH3723" s="5" t="s">
        <v>238</v>
      </c>
      <c r="EI3723" s="5" t="s">
        <v>238</v>
      </c>
      <c r="EJ3723" s="5" t="s">
        <v>238</v>
      </c>
      <c r="EK3723" s="5" t="s">
        <v>238</v>
      </c>
      <c r="EL3723" s="5" t="s">
        <v>238</v>
      </c>
      <c r="EM3723" s="5" t="s">
        <v>238</v>
      </c>
      <c r="EN3723" s="5" t="s">
        <v>238</v>
      </c>
      <c r="EO3723" s="5" t="s">
        <v>238</v>
      </c>
      <c r="EP3723" s="5" t="s">
        <v>238</v>
      </c>
      <c r="EQ3723" s="5" t="s">
        <v>238</v>
      </c>
      <c r="ER3723" s="5" t="s">
        <v>238</v>
      </c>
      <c r="ES3723" s="5" t="s">
        <v>238</v>
      </c>
      <c r="ET3723" s="5" t="s">
        <v>238</v>
      </c>
      <c r="EU3723" s="5" t="s">
        <v>238</v>
      </c>
      <c r="EV3723" s="5" t="s">
        <v>238</v>
      </c>
      <c r="EW3723" s="5" t="s">
        <v>238</v>
      </c>
      <c r="EX3723" s="5" t="s">
        <v>238</v>
      </c>
      <c r="EY3723" s="5" t="s">
        <v>238</v>
      </c>
      <c r="EZ3723" s="5" t="s">
        <v>238</v>
      </c>
      <c r="FA3723" s="5" t="s">
        <v>238</v>
      </c>
      <c r="FB3723" s="5" t="s">
        <v>238</v>
      </c>
      <c r="FC3723" s="5" t="s">
        <v>238</v>
      </c>
      <c r="FD3723" s="5" t="s">
        <v>238</v>
      </c>
      <c r="FE3723" s="5" t="s">
        <v>238</v>
      </c>
      <c r="FF3723" s="5" t="s">
        <v>238</v>
      </c>
      <c r="FG3723" s="5" t="s">
        <v>238</v>
      </c>
      <c r="FH3723" s="5" t="s">
        <v>238</v>
      </c>
      <c r="FI3723" s="5" t="s">
        <v>238</v>
      </c>
      <c r="FJ3723" s="5" t="s">
        <v>238</v>
      </c>
      <c r="FK3723" s="5" t="s">
        <v>238</v>
      </c>
      <c r="FL3723" s="5" t="s">
        <v>238</v>
      </c>
      <c r="FM3723" s="5" t="s">
        <v>238</v>
      </c>
      <c r="FN3723" s="5" t="s">
        <v>238</v>
      </c>
      <c r="FO3723" s="5" t="s">
        <v>238</v>
      </c>
      <c r="FP3723" s="5" t="s">
        <v>238</v>
      </c>
      <c r="FQ3723" s="5" t="s">
        <v>238</v>
      </c>
      <c r="FR3723" s="5" t="s">
        <v>238</v>
      </c>
      <c r="FS3723" s="5" t="s">
        <v>238</v>
      </c>
      <c r="FT3723" s="5" t="s">
        <v>238</v>
      </c>
      <c r="FU3723" s="5" t="s">
        <v>238</v>
      </c>
      <c r="FV3723" s="5" t="s">
        <v>238</v>
      </c>
      <c r="FW3723" s="5" t="s">
        <v>238</v>
      </c>
      <c r="FX3723" s="5" t="s">
        <v>238</v>
      </c>
      <c r="FY3723" s="5" t="s">
        <v>238</v>
      </c>
      <c r="FZ3723" s="5" t="s">
        <v>238</v>
      </c>
      <c r="GA3723" s="5" t="s">
        <v>238</v>
      </c>
      <c r="GB3723" s="5" t="s">
        <v>238</v>
      </c>
      <c r="GC3723" s="5" t="s">
        <v>238</v>
      </c>
      <c r="GD3723" s="5" t="s">
        <v>238</v>
      </c>
      <c r="GE3723" s="5" t="s">
        <v>238</v>
      </c>
      <c r="GF3723" s="5" t="s">
        <v>238</v>
      </c>
      <c r="GG3723" s="5" t="s">
        <v>238</v>
      </c>
      <c r="GH3723" s="5" t="s">
        <v>238</v>
      </c>
      <c r="GI3723" s="5" t="s">
        <v>238</v>
      </c>
      <c r="GJ3723" s="5" t="s">
        <v>238</v>
      </c>
      <c r="GK3723" s="5" t="s">
        <v>238</v>
      </c>
      <c r="GL3723" s="5" t="s">
        <v>238</v>
      </c>
      <c r="GM3723" s="5" t="s">
        <v>238</v>
      </c>
      <c r="GN3723" s="5" t="s">
        <v>238</v>
      </c>
      <c r="GO3723" s="5" t="s">
        <v>238</v>
      </c>
      <c r="GP3723" s="5" t="s">
        <v>238</v>
      </c>
      <c r="GQ3723" s="5" t="s">
        <v>238</v>
      </c>
      <c r="GR3723" s="5" t="s">
        <v>238</v>
      </c>
      <c r="GS3723" s="5" t="s">
        <v>238</v>
      </c>
      <c r="GT3723" s="5" t="s">
        <v>238</v>
      </c>
      <c r="GU3723" s="5" t="s">
        <v>238</v>
      </c>
      <c r="GV3723" s="5" t="s">
        <v>238</v>
      </c>
      <c r="GW3723" s="5" t="s">
        <v>238</v>
      </c>
      <c r="GX3723" s="5" t="s">
        <v>238</v>
      </c>
      <c r="GY3723" s="5" t="s">
        <v>238</v>
      </c>
      <c r="GZ3723" s="5" t="s">
        <v>238</v>
      </c>
      <c r="HA3723" s="5" t="s">
        <v>238</v>
      </c>
      <c r="HB3723" s="5" t="s">
        <v>238</v>
      </c>
      <c r="HC3723" s="5" t="s">
        <v>238</v>
      </c>
      <c r="HD3723" s="5" t="s">
        <v>238</v>
      </c>
      <c r="HE3723" s="5" t="s">
        <v>238</v>
      </c>
      <c r="HF3723" s="5" t="s">
        <v>238</v>
      </c>
      <c r="HG3723" s="5" t="s">
        <v>238</v>
      </c>
      <c r="HH3723" s="5" t="s">
        <v>238</v>
      </c>
      <c r="HI3723" s="5" t="s">
        <v>238</v>
      </c>
      <c r="HJ3723" s="5" t="s">
        <v>238</v>
      </c>
      <c r="HK3723" s="5" t="s">
        <v>238</v>
      </c>
      <c r="HL3723" s="5" t="s">
        <v>238</v>
      </c>
      <c r="HM3723" s="5" t="s">
        <v>238</v>
      </c>
      <c r="HN3723" s="5" t="s">
        <v>238</v>
      </c>
      <c r="HO3723" s="5" t="s">
        <v>238</v>
      </c>
      <c r="HP3723" s="5" t="s">
        <v>238</v>
      </c>
      <c r="HQ3723" s="5" t="s">
        <v>238</v>
      </c>
      <c r="HR3723" s="5" t="s">
        <v>238</v>
      </c>
      <c r="HS3723" s="5" t="s">
        <v>238</v>
      </c>
      <c r="HT3723" s="5" t="s">
        <v>238</v>
      </c>
      <c r="HU3723" s="5" t="s">
        <v>238</v>
      </c>
      <c r="HV3723" s="5" t="s">
        <v>238</v>
      </c>
      <c r="HW3723" s="5" t="s">
        <v>238</v>
      </c>
      <c r="HX3723" s="5" t="s">
        <v>238</v>
      </c>
      <c r="HY3723" s="5" t="s">
        <v>238</v>
      </c>
      <c r="HZ3723" s="5" t="s">
        <v>238</v>
      </c>
      <c r="IA3723" s="5" t="s">
        <v>238</v>
      </c>
      <c r="IB3723" s="5" t="s">
        <v>238</v>
      </c>
      <c r="IC3723" s="5" t="s">
        <v>238</v>
      </c>
      <c r="ID3723" s="5" t="s">
        <v>238</v>
      </c>
    </row>
    <row r="3724" spans="1:238" x14ac:dyDescent="0.4">
      <c r="A3724" s="5">
        <v>9442</v>
      </c>
      <c r="B3724" s="5">
        <v>1</v>
      </c>
      <c r="C3724" s="5">
        <v>1</v>
      </c>
      <c r="D3724" s="5" t="s">
        <v>484</v>
      </c>
      <c r="E3724" s="5" t="s">
        <v>485</v>
      </c>
      <c r="F3724" s="5" t="s">
        <v>248</v>
      </c>
      <c r="G3724" s="5" t="s">
        <v>4815</v>
      </c>
      <c r="H3724" s="6" t="s">
        <v>4816</v>
      </c>
      <c r="I3724" s="8">
        <f>1</f>
        <v>1</v>
      </c>
      <c r="J3724" s="5" t="s">
        <v>499</v>
      </c>
      <c r="K3724" s="8">
        <f>1</f>
        <v>1</v>
      </c>
      <c r="L3724" s="6" t="s">
        <v>242</v>
      </c>
      <c r="M3724" s="5" t="s">
        <v>267</v>
      </c>
      <c r="N3724" s="5" t="s">
        <v>482</v>
      </c>
      <c r="O3724" s="5" t="s">
        <v>238</v>
      </c>
      <c r="P3724" s="5" t="s">
        <v>238</v>
      </c>
      <c r="Q3724" s="5" t="s">
        <v>239</v>
      </c>
      <c r="R3724" s="5" t="s">
        <v>270</v>
      </c>
      <c r="S3724" s="5" t="s">
        <v>238</v>
      </c>
      <c r="T3724" s="5" t="s">
        <v>238</v>
      </c>
      <c r="U3724" s="5" t="s">
        <v>238</v>
      </c>
      <c r="V3724" s="5" t="s">
        <v>238</v>
      </c>
      <c r="W3724" s="6" t="s">
        <v>238</v>
      </c>
      <c r="X3724" s="6" t="s">
        <v>238</v>
      </c>
      <c r="Y3724" s="5" t="s">
        <v>238</v>
      </c>
      <c r="Z3724" s="6" t="s">
        <v>238</v>
      </c>
      <c r="AA3724" s="6" t="s">
        <v>243</v>
      </c>
      <c r="AB3724" s="5" t="s">
        <v>598</v>
      </c>
      <c r="AC3724" s="5" t="s">
        <v>244</v>
      </c>
      <c r="AD3724" s="5" t="s">
        <v>245</v>
      </c>
      <c r="AE3724" s="5" t="s">
        <v>238</v>
      </c>
      <c r="AF3724" s="5" t="s">
        <v>238</v>
      </c>
      <c r="AG3724" s="5" t="s">
        <v>238</v>
      </c>
      <c r="AH3724" s="5" t="s">
        <v>238</v>
      </c>
      <c r="AI3724" s="5" t="s">
        <v>238</v>
      </c>
      <c r="AJ3724" s="5" t="s">
        <v>238</v>
      </c>
      <c r="AK3724" s="5" t="s">
        <v>238</v>
      </c>
      <c r="AL3724" s="5" t="s">
        <v>238</v>
      </c>
      <c r="AM3724" s="6" t="s">
        <v>238</v>
      </c>
      <c r="AN3724" s="6" t="s">
        <v>238</v>
      </c>
      <c r="AO3724" s="6" t="s">
        <v>238</v>
      </c>
      <c r="AP3724" s="6" t="s">
        <v>238</v>
      </c>
      <c r="AQ3724" s="5" t="s">
        <v>238</v>
      </c>
      <c r="AR3724" s="5" t="s">
        <v>488</v>
      </c>
      <c r="AS3724" s="5" t="s">
        <v>488</v>
      </c>
      <c r="AT3724" s="5" t="s">
        <v>246</v>
      </c>
      <c r="AU3724" s="5" t="s">
        <v>489</v>
      </c>
      <c r="AV3724" s="5" t="s">
        <v>247</v>
      </c>
      <c r="AW3724" s="5" t="s">
        <v>600</v>
      </c>
      <c r="AX3724" s="5" t="s">
        <v>249</v>
      </c>
      <c r="AY3724" s="5" t="s">
        <v>490</v>
      </c>
      <c r="BA3724" s="5" t="s">
        <v>238</v>
      </c>
      <c r="BC3724" s="5" t="s">
        <v>491</v>
      </c>
      <c r="BD3724" s="6" t="s">
        <v>492</v>
      </c>
      <c r="BE3724" s="5" t="s">
        <v>493</v>
      </c>
      <c r="BF3724" s="5" t="s">
        <v>493</v>
      </c>
      <c r="BG3724" s="5" t="s">
        <v>238</v>
      </c>
      <c r="BH3724" s="8">
        <f>1</f>
        <v>1</v>
      </c>
      <c r="BI3724" s="8">
        <f>1</f>
        <v>1</v>
      </c>
      <c r="BJ3724" s="5" t="s">
        <v>253</v>
      </c>
      <c r="BK3724" s="5" t="s">
        <v>254</v>
      </c>
      <c r="BL3724" s="5" t="s">
        <v>238</v>
      </c>
      <c r="BM3724" s="5" t="s">
        <v>238</v>
      </c>
      <c r="BN3724" s="5" t="s">
        <v>238</v>
      </c>
      <c r="BO3724" s="5" t="s">
        <v>238</v>
      </c>
      <c r="BP3724" s="5" t="s">
        <v>238</v>
      </c>
      <c r="BQ3724" s="5" t="s">
        <v>238</v>
      </c>
      <c r="BR3724" s="5" t="s">
        <v>238</v>
      </c>
      <c r="BS3724" s="5" t="s">
        <v>238</v>
      </c>
      <c r="BT3724" s="6" t="s">
        <v>238</v>
      </c>
      <c r="BU3724" s="5" t="s">
        <v>238</v>
      </c>
      <c r="BV3724" s="5" t="s">
        <v>238</v>
      </c>
      <c r="BW3724" s="5" t="s">
        <v>238</v>
      </c>
      <c r="BX3724" s="5" t="s">
        <v>254</v>
      </c>
      <c r="BY3724" s="5" t="s">
        <v>238</v>
      </c>
      <c r="BZ3724" s="5" t="s">
        <v>238</v>
      </c>
      <c r="CA3724" s="5" t="s">
        <v>238</v>
      </c>
      <c r="CB3724" s="5" t="s">
        <v>238</v>
      </c>
      <c r="CC3724" s="5" t="s">
        <v>238</v>
      </c>
      <c r="CD3724" s="5" t="s">
        <v>273</v>
      </c>
      <c r="CE3724" s="5" t="s">
        <v>256</v>
      </c>
      <c r="CF3724" s="5" t="s">
        <v>261</v>
      </c>
      <c r="CH3724" s="5" t="s">
        <v>494</v>
      </c>
      <c r="CI3724" s="6" t="s">
        <v>257</v>
      </c>
      <c r="CJ3724" s="5" t="s">
        <v>495</v>
      </c>
      <c r="CK3724" s="5" t="s">
        <v>258</v>
      </c>
      <c r="CL3724" s="5" t="s">
        <v>496</v>
      </c>
      <c r="CM3724" s="5" t="s">
        <v>238</v>
      </c>
      <c r="CN3724" s="5">
        <v>0</v>
      </c>
      <c r="CO3724" s="5" t="s">
        <v>497</v>
      </c>
      <c r="CP3724" s="5" t="s">
        <v>260</v>
      </c>
      <c r="CQ3724" s="5" t="s">
        <v>260</v>
      </c>
      <c r="CR3724" s="5" t="s">
        <v>261</v>
      </c>
      <c r="CS3724" s="5" t="s">
        <v>498</v>
      </c>
      <c r="CT3724" s="7">
        <f>1</f>
        <v>1</v>
      </c>
      <c r="CU3724" s="8">
        <f>1</f>
        <v>1</v>
      </c>
      <c r="CV3724" s="8">
        <f>0</f>
        <v>0</v>
      </c>
      <c r="CX3724" s="8">
        <f>1</f>
        <v>1</v>
      </c>
      <c r="CY3724" s="8">
        <f>1</f>
        <v>1</v>
      </c>
      <c r="CZ3724" s="8" t="s">
        <v>238</v>
      </c>
      <c r="DA3724" s="5" t="s">
        <v>238</v>
      </c>
      <c r="DB3724" s="5" t="s">
        <v>238</v>
      </c>
      <c r="DC3724" s="5" t="s">
        <v>238</v>
      </c>
      <c r="DD3724" s="5" t="s">
        <v>238</v>
      </c>
      <c r="DE3724" s="8">
        <f>0</f>
        <v>0</v>
      </c>
      <c r="DG3724" s="5" t="s">
        <v>238</v>
      </c>
      <c r="DH3724" s="5" t="s">
        <v>238</v>
      </c>
      <c r="DI3724" s="5" t="s">
        <v>238</v>
      </c>
      <c r="DJ3724" s="5" t="s">
        <v>238</v>
      </c>
      <c r="DK3724" s="5" t="s">
        <v>238</v>
      </c>
      <c r="DL3724" s="5" t="s">
        <v>238</v>
      </c>
      <c r="DM3724" s="8" t="s">
        <v>238</v>
      </c>
      <c r="DN3724" s="5" t="s">
        <v>238</v>
      </c>
      <c r="DO3724" s="5" t="s">
        <v>244</v>
      </c>
      <c r="DP3724" s="5" t="s">
        <v>490</v>
      </c>
      <c r="DQ3724" s="5" t="s">
        <v>490</v>
      </c>
      <c r="DR3724" s="5" t="s">
        <v>238</v>
      </c>
      <c r="DS3724" s="5" t="s">
        <v>238</v>
      </c>
      <c r="DT3724" s="5" t="s">
        <v>601</v>
      </c>
      <c r="DU3724" s="5" t="s">
        <v>1226</v>
      </c>
      <c r="DV3724" s="5" t="s">
        <v>238</v>
      </c>
      <c r="DW3724" s="5" t="s">
        <v>238</v>
      </c>
      <c r="DX3724" s="5" t="s">
        <v>238</v>
      </c>
      <c r="DY3724" s="5" t="s">
        <v>238</v>
      </c>
      <c r="DZ3724" s="5" t="s">
        <v>238</v>
      </c>
      <c r="EA3724" s="5" t="s">
        <v>238</v>
      </c>
      <c r="EB3724" s="5" t="s">
        <v>238</v>
      </c>
      <c r="EC3724" s="5" t="s">
        <v>238</v>
      </c>
      <c r="ED3724" s="5" t="s">
        <v>238</v>
      </c>
      <c r="EE3724" s="5" t="s">
        <v>238</v>
      </c>
      <c r="EF3724" s="5" t="s">
        <v>238</v>
      </c>
      <c r="EG3724" s="5" t="s">
        <v>238</v>
      </c>
      <c r="EH3724" s="5" t="s">
        <v>238</v>
      </c>
      <c r="EI3724" s="5" t="s">
        <v>238</v>
      </c>
      <c r="EJ3724" s="5" t="s">
        <v>238</v>
      </c>
      <c r="EK3724" s="5" t="s">
        <v>238</v>
      </c>
      <c r="EL3724" s="5" t="s">
        <v>238</v>
      </c>
      <c r="EM3724" s="5" t="s">
        <v>238</v>
      </c>
      <c r="EN3724" s="5" t="s">
        <v>238</v>
      </c>
      <c r="EO3724" s="5" t="s">
        <v>238</v>
      </c>
      <c r="EP3724" s="5" t="s">
        <v>238</v>
      </c>
      <c r="EQ3724" s="5" t="s">
        <v>238</v>
      </c>
      <c r="ER3724" s="5" t="s">
        <v>238</v>
      </c>
      <c r="ES3724" s="5" t="s">
        <v>238</v>
      </c>
      <c r="ET3724" s="5" t="s">
        <v>238</v>
      </c>
      <c r="EU3724" s="5" t="s">
        <v>238</v>
      </c>
      <c r="EV3724" s="5" t="s">
        <v>238</v>
      </c>
      <c r="EW3724" s="5" t="s">
        <v>238</v>
      </c>
      <c r="EX3724" s="5" t="s">
        <v>238</v>
      </c>
      <c r="EY3724" s="5" t="s">
        <v>238</v>
      </c>
      <c r="EZ3724" s="5" t="s">
        <v>238</v>
      </c>
      <c r="FA3724" s="5" t="s">
        <v>238</v>
      </c>
      <c r="FB3724" s="5" t="s">
        <v>238</v>
      </c>
      <c r="FC3724" s="5" t="s">
        <v>238</v>
      </c>
      <c r="FD3724" s="5" t="s">
        <v>238</v>
      </c>
      <c r="FE3724" s="5" t="s">
        <v>238</v>
      </c>
      <c r="FF3724" s="5" t="s">
        <v>238</v>
      </c>
      <c r="FG3724" s="5" t="s">
        <v>238</v>
      </c>
      <c r="FH3724" s="5" t="s">
        <v>238</v>
      </c>
      <c r="FI3724" s="5" t="s">
        <v>238</v>
      </c>
      <c r="FJ3724" s="5" t="s">
        <v>238</v>
      </c>
      <c r="FK3724" s="5" t="s">
        <v>238</v>
      </c>
      <c r="FL3724" s="5" t="s">
        <v>238</v>
      </c>
      <c r="FM3724" s="5" t="s">
        <v>238</v>
      </c>
      <c r="FN3724" s="5" t="s">
        <v>238</v>
      </c>
      <c r="FO3724" s="5" t="s">
        <v>238</v>
      </c>
      <c r="FP3724" s="5" t="s">
        <v>238</v>
      </c>
      <c r="FQ3724" s="5" t="s">
        <v>238</v>
      </c>
      <c r="FR3724" s="5" t="s">
        <v>238</v>
      </c>
      <c r="FS3724" s="5" t="s">
        <v>238</v>
      </c>
      <c r="FT3724" s="5" t="s">
        <v>238</v>
      </c>
      <c r="FU3724" s="5" t="s">
        <v>238</v>
      </c>
      <c r="FV3724" s="5" t="s">
        <v>238</v>
      </c>
      <c r="FW3724" s="5" t="s">
        <v>238</v>
      </c>
      <c r="FX3724" s="5" t="s">
        <v>238</v>
      </c>
      <c r="FY3724" s="5" t="s">
        <v>238</v>
      </c>
      <c r="FZ3724" s="5" t="s">
        <v>238</v>
      </c>
      <c r="GA3724" s="5" t="s">
        <v>238</v>
      </c>
      <c r="GB3724" s="5" t="s">
        <v>238</v>
      </c>
      <c r="GC3724" s="5" t="s">
        <v>238</v>
      </c>
      <c r="GD3724" s="5" t="s">
        <v>238</v>
      </c>
      <c r="GE3724" s="5" t="s">
        <v>238</v>
      </c>
      <c r="GF3724" s="5" t="s">
        <v>238</v>
      </c>
      <c r="GG3724" s="5" t="s">
        <v>238</v>
      </c>
      <c r="GH3724" s="5" t="s">
        <v>238</v>
      </c>
      <c r="GI3724" s="5" t="s">
        <v>238</v>
      </c>
      <c r="GJ3724" s="5" t="s">
        <v>238</v>
      </c>
      <c r="GK3724" s="5" t="s">
        <v>238</v>
      </c>
      <c r="GL3724" s="5" t="s">
        <v>238</v>
      </c>
      <c r="GM3724" s="5" t="s">
        <v>238</v>
      </c>
      <c r="GN3724" s="5" t="s">
        <v>238</v>
      </c>
      <c r="GO3724" s="5" t="s">
        <v>238</v>
      </c>
      <c r="GP3724" s="5" t="s">
        <v>238</v>
      </c>
      <c r="GQ3724" s="5" t="s">
        <v>238</v>
      </c>
      <c r="GR3724" s="5" t="s">
        <v>238</v>
      </c>
      <c r="GS3724" s="5" t="s">
        <v>238</v>
      </c>
      <c r="GT3724" s="5" t="s">
        <v>238</v>
      </c>
      <c r="GU3724" s="5" t="s">
        <v>238</v>
      </c>
      <c r="GV3724" s="5" t="s">
        <v>238</v>
      </c>
      <c r="GW3724" s="5" t="s">
        <v>238</v>
      </c>
      <c r="GX3724" s="5" t="s">
        <v>238</v>
      </c>
      <c r="GY3724" s="5" t="s">
        <v>238</v>
      </c>
      <c r="GZ3724" s="5" t="s">
        <v>238</v>
      </c>
      <c r="HA3724" s="5" t="s">
        <v>238</v>
      </c>
      <c r="HB3724" s="5" t="s">
        <v>238</v>
      </c>
      <c r="HC3724" s="5" t="s">
        <v>238</v>
      </c>
      <c r="HD3724" s="5" t="s">
        <v>238</v>
      </c>
      <c r="HE3724" s="5" t="s">
        <v>238</v>
      </c>
      <c r="HF3724" s="5" t="s">
        <v>238</v>
      </c>
      <c r="HG3724" s="5" t="s">
        <v>238</v>
      </c>
      <c r="HH3724" s="5" t="s">
        <v>238</v>
      </c>
      <c r="HI3724" s="5" t="s">
        <v>238</v>
      </c>
      <c r="HJ3724" s="5" t="s">
        <v>238</v>
      </c>
      <c r="HK3724" s="5" t="s">
        <v>238</v>
      </c>
      <c r="HL3724" s="5" t="s">
        <v>238</v>
      </c>
      <c r="HM3724" s="5" t="s">
        <v>238</v>
      </c>
      <c r="HN3724" s="5" t="s">
        <v>238</v>
      </c>
      <c r="HO3724" s="5" t="s">
        <v>238</v>
      </c>
      <c r="HP3724" s="5" t="s">
        <v>238</v>
      </c>
      <c r="HQ3724" s="5" t="s">
        <v>238</v>
      </c>
      <c r="HR3724" s="5" t="s">
        <v>238</v>
      </c>
      <c r="HS3724" s="5" t="s">
        <v>238</v>
      </c>
      <c r="HT3724" s="5" t="s">
        <v>238</v>
      </c>
      <c r="HU3724" s="5" t="s">
        <v>238</v>
      </c>
      <c r="HV3724" s="5" t="s">
        <v>238</v>
      </c>
      <c r="HW3724" s="5" t="s">
        <v>238</v>
      </c>
      <c r="HX3724" s="5" t="s">
        <v>238</v>
      </c>
      <c r="HY3724" s="5" t="s">
        <v>238</v>
      </c>
      <c r="HZ3724" s="5" t="s">
        <v>238</v>
      </c>
      <c r="IA3724" s="5" t="s">
        <v>238</v>
      </c>
      <c r="IB3724" s="5" t="s">
        <v>238</v>
      </c>
      <c r="IC3724" s="5" t="s">
        <v>238</v>
      </c>
      <c r="ID3724" s="5" t="s">
        <v>238</v>
      </c>
    </row>
    <row r="3725" spans="1:238" x14ac:dyDescent="0.4">
      <c r="A3725" s="5">
        <v>9443</v>
      </c>
      <c r="B3725" s="5">
        <v>1</v>
      </c>
      <c r="C3725" s="5">
        <v>1</v>
      </c>
      <c r="D3725" s="5" t="s">
        <v>484</v>
      </c>
      <c r="E3725" s="5" t="s">
        <v>485</v>
      </c>
      <c r="F3725" s="5" t="s">
        <v>248</v>
      </c>
      <c r="G3725" s="5" t="s">
        <v>3938</v>
      </c>
      <c r="H3725" s="6" t="s">
        <v>3939</v>
      </c>
      <c r="I3725" s="8">
        <f>1</f>
        <v>1</v>
      </c>
      <c r="J3725" s="5" t="s">
        <v>499</v>
      </c>
      <c r="K3725" s="8">
        <f>1</f>
        <v>1</v>
      </c>
      <c r="L3725" s="6" t="s">
        <v>242</v>
      </c>
      <c r="M3725" s="5" t="s">
        <v>267</v>
      </c>
      <c r="N3725" s="5" t="s">
        <v>482</v>
      </c>
      <c r="O3725" s="5" t="s">
        <v>238</v>
      </c>
      <c r="P3725" s="5" t="s">
        <v>238</v>
      </c>
      <c r="Q3725" s="5" t="s">
        <v>239</v>
      </c>
      <c r="R3725" s="5" t="s">
        <v>270</v>
      </c>
      <c r="S3725" s="5" t="s">
        <v>238</v>
      </c>
      <c r="T3725" s="5" t="s">
        <v>238</v>
      </c>
      <c r="U3725" s="5" t="s">
        <v>238</v>
      </c>
      <c r="V3725" s="5" t="s">
        <v>238</v>
      </c>
      <c r="W3725" s="6" t="s">
        <v>238</v>
      </c>
      <c r="X3725" s="6" t="s">
        <v>238</v>
      </c>
      <c r="Y3725" s="5" t="s">
        <v>238</v>
      </c>
      <c r="Z3725" s="6" t="s">
        <v>238</v>
      </c>
      <c r="AA3725" s="6" t="s">
        <v>243</v>
      </c>
      <c r="AB3725" s="5" t="s">
        <v>598</v>
      </c>
      <c r="AC3725" s="5" t="s">
        <v>244</v>
      </c>
      <c r="AD3725" s="5" t="s">
        <v>245</v>
      </c>
      <c r="AE3725" s="5" t="s">
        <v>238</v>
      </c>
      <c r="AF3725" s="5" t="s">
        <v>238</v>
      </c>
      <c r="AG3725" s="5" t="s">
        <v>238</v>
      </c>
      <c r="AH3725" s="5" t="s">
        <v>238</v>
      </c>
      <c r="AI3725" s="5" t="s">
        <v>238</v>
      </c>
      <c r="AJ3725" s="5" t="s">
        <v>238</v>
      </c>
      <c r="AK3725" s="5" t="s">
        <v>238</v>
      </c>
      <c r="AL3725" s="5" t="s">
        <v>238</v>
      </c>
      <c r="AM3725" s="6" t="s">
        <v>238</v>
      </c>
      <c r="AN3725" s="6" t="s">
        <v>238</v>
      </c>
      <c r="AO3725" s="6" t="s">
        <v>238</v>
      </c>
      <c r="AP3725" s="6" t="s">
        <v>238</v>
      </c>
      <c r="AQ3725" s="5" t="s">
        <v>238</v>
      </c>
      <c r="AR3725" s="5" t="s">
        <v>488</v>
      </c>
      <c r="AS3725" s="5" t="s">
        <v>488</v>
      </c>
      <c r="AT3725" s="5" t="s">
        <v>246</v>
      </c>
      <c r="AU3725" s="5" t="s">
        <v>489</v>
      </c>
      <c r="AV3725" s="5" t="s">
        <v>247</v>
      </c>
      <c r="AW3725" s="5" t="s">
        <v>600</v>
      </c>
      <c r="AX3725" s="5" t="s">
        <v>249</v>
      </c>
      <c r="AY3725" s="5" t="s">
        <v>490</v>
      </c>
      <c r="BA3725" s="5" t="s">
        <v>238</v>
      </c>
      <c r="BC3725" s="5" t="s">
        <v>491</v>
      </c>
      <c r="BD3725" s="6" t="s">
        <v>492</v>
      </c>
      <c r="BE3725" s="5" t="s">
        <v>493</v>
      </c>
      <c r="BF3725" s="5" t="s">
        <v>493</v>
      </c>
      <c r="BG3725" s="5" t="s">
        <v>238</v>
      </c>
      <c r="BH3725" s="8">
        <f>1</f>
        <v>1</v>
      </c>
      <c r="BI3725" s="8">
        <f>1</f>
        <v>1</v>
      </c>
      <c r="BJ3725" s="5" t="s">
        <v>253</v>
      </c>
      <c r="BK3725" s="5" t="s">
        <v>254</v>
      </c>
      <c r="BL3725" s="5" t="s">
        <v>238</v>
      </c>
      <c r="BM3725" s="5" t="s">
        <v>238</v>
      </c>
      <c r="BN3725" s="5" t="s">
        <v>238</v>
      </c>
      <c r="BO3725" s="5" t="s">
        <v>238</v>
      </c>
      <c r="BP3725" s="5" t="s">
        <v>238</v>
      </c>
      <c r="BQ3725" s="5" t="s">
        <v>238</v>
      </c>
      <c r="BR3725" s="5" t="s">
        <v>238</v>
      </c>
      <c r="BS3725" s="5" t="s">
        <v>238</v>
      </c>
      <c r="BT3725" s="6" t="s">
        <v>238</v>
      </c>
      <c r="BU3725" s="5" t="s">
        <v>238</v>
      </c>
      <c r="BV3725" s="5" t="s">
        <v>238</v>
      </c>
      <c r="BW3725" s="5" t="s">
        <v>238</v>
      </c>
      <c r="BX3725" s="5" t="s">
        <v>254</v>
      </c>
      <c r="BY3725" s="5" t="s">
        <v>238</v>
      </c>
      <c r="BZ3725" s="5" t="s">
        <v>238</v>
      </c>
      <c r="CA3725" s="5" t="s">
        <v>238</v>
      </c>
      <c r="CB3725" s="5" t="s">
        <v>238</v>
      </c>
      <c r="CC3725" s="5" t="s">
        <v>238</v>
      </c>
      <c r="CD3725" s="5" t="s">
        <v>273</v>
      </c>
      <c r="CE3725" s="5" t="s">
        <v>256</v>
      </c>
      <c r="CF3725" s="5" t="s">
        <v>261</v>
      </c>
      <c r="CH3725" s="5" t="s">
        <v>494</v>
      </c>
      <c r="CI3725" s="6" t="s">
        <v>257</v>
      </c>
      <c r="CJ3725" s="5" t="s">
        <v>495</v>
      </c>
      <c r="CK3725" s="5" t="s">
        <v>258</v>
      </c>
      <c r="CL3725" s="5" t="s">
        <v>496</v>
      </c>
      <c r="CM3725" s="5" t="s">
        <v>238</v>
      </c>
      <c r="CN3725" s="5">
        <v>0</v>
      </c>
      <c r="CO3725" s="5" t="s">
        <v>497</v>
      </c>
      <c r="CP3725" s="5" t="s">
        <v>260</v>
      </c>
      <c r="CQ3725" s="5" t="s">
        <v>260</v>
      </c>
      <c r="CR3725" s="5" t="s">
        <v>261</v>
      </c>
      <c r="CS3725" s="5" t="s">
        <v>498</v>
      </c>
      <c r="CT3725" s="7">
        <f>1</f>
        <v>1</v>
      </c>
      <c r="CU3725" s="8">
        <f>1</f>
        <v>1</v>
      </c>
      <c r="CV3725" s="8">
        <f>0</f>
        <v>0</v>
      </c>
      <c r="CX3725" s="8">
        <f>1</f>
        <v>1</v>
      </c>
      <c r="CY3725" s="8">
        <f>1</f>
        <v>1</v>
      </c>
      <c r="CZ3725" s="8" t="s">
        <v>238</v>
      </c>
      <c r="DA3725" s="5" t="s">
        <v>238</v>
      </c>
      <c r="DB3725" s="5" t="s">
        <v>238</v>
      </c>
      <c r="DC3725" s="5" t="s">
        <v>238</v>
      </c>
      <c r="DD3725" s="5" t="s">
        <v>238</v>
      </c>
      <c r="DE3725" s="8">
        <f>0</f>
        <v>0</v>
      </c>
      <c r="DG3725" s="5" t="s">
        <v>238</v>
      </c>
      <c r="DH3725" s="5" t="s">
        <v>238</v>
      </c>
      <c r="DI3725" s="5" t="s">
        <v>238</v>
      </c>
      <c r="DJ3725" s="5" t="s">
        <v>238</v>
      </c>
      <c r="DK3725" s="5" t="s">
        <v>238</v>
      </c>
      <c r="DL3725" s="5" t="s">
        <v>238</v>
      </c>
      <c r="DM3725" s="8" t="s">
        <v>238</v>
      </c>
      <c r="DN3725" s="5" t="s">
        <v>238</v>
      </c>
      <c r="DO3725" s="5" t="s">
        <v>244</v>
      </c>
      <c r="DP3725" s="5" t="s">
        <v>490</v>
      </c>
      <c r="DQ3725" s="5" t="s">
        <v>490</v>
      </c>
      <c r="DR3725" s="5" t="s">
        <v>238</v>
      </c>
      <c r="DS3725" s="5" t="s">
        <v>238</v>
      </c>
      <c r="DT3725" s="5" t="s">
        <v>601</v>
      </c>
      <c r="DU3725" s="5" t="s">
        <v>1301</v>
      </c>
      <c r="DV3725" s="5" t="s">
        <v>238</v>
      </c>
      <c r="DW3725" s="5" t="s">
        <v>238</v>
      </c>
      <c r="DX3725" s="5" t="s">
        <v>238</v>
      </c>
      <c r="DY3725" s="5" t="s">
        <v>238</v>
      </c>
      <c r="DZ3725" s="5" t="s">
        <v>238</v>
      </c>
      <c r="EA3725" s="5" t="s">
        <v>238</v>
      </c>
      <c r="EB3725" s="5" t="s">
        <v>238</v>
      </c>
      <c r="EC3725" s="5" t="s">
        <v>238</v>
      </c>
      <c r="ED3725" s="5" t="s">
        <v>238</v>
      </c>
      <c r="EE3725" s="5" t="s">
        <v>238</v>
      </c>
      <c r="EF3725" s="5" t="s">
        <v>238</v>
      </c>
      <c r="EG3725" s="5" t="s">
        <v>238</v>
      </c>
      <c r="EH3725" s="5" t="s">
        <v>238</v>
      </c>
      <c r="EI3725" s="5" t="s">
        <v>238</v>
      </c>
      <c r="EJ3725" s="5" t="s">
        <v>238</v>
      </c>
      <c r="EK3725" s="5" t="s">
        <v>238</v>
      </c>
      <c r="EL3725" s="5" t="s">
        <v>238</v>
      </c>
      <c r="EM3725" s="5" t="s">
        <v>238</v>
      </c>
      <c r="EN3725" s="5" t="s">
        <v>238</v>
      </c>
      <c r="EO3725" s="5" t="s">
        <v>238</v>
      </c>
      <c r="EP3725" s="5" t="s">
        <v>238</v>
      </c>
      <c r="EQ3725" s="5" t="s">
        <v>238</v>
      </c>
      <c r="ER3725" s="5" t="s">
        <v>238</v>
      </c>
      <c r="ES3725" s="5" t="s">
        <v>238</v>
      </c>
      <c r="ET3725" s="5" t="s">
        <v>238</v>
      </c>
      <c r="EU3725" s="5" t="s">
        <v>238</v>
      </c>
      <c r="EV3725" s="5" t="s">
        <v>238</v>
      </c>
      <c r="EW3725" s="5" t="s">
        <v>238</v>
      </c>
      <c r="EX3725" s="5" t="s">
        <v>238</v>
      </c>
      <c r="EY3725" s="5" t="s">
        <v>238</v>
      </c>
      <c r="EZ3725" s="5" t="s">
        <v>238</v>
      </c>
      <c r="FA3725" s="5" t="s">
        <v>238</v>
      </c>
      <c r="FB3725" s="5" t="s">
        <v>238</v>
      </c>
      <c r="FC3725" s="5" t="s">
        <v>238</v>
      </c>
      <c r="FD3725" s="5" t="s">
        <v>238</v>
      </c>
      <c r="FE3725" s="5" t="s">
        <v>238</v>
      </c>
      <c r="FF3725" s="5" t="s">
        <v>238</v>
      </c>
      <c r="FG3725" s="5" t="s">
        <v>238</v>
      </c>
      <c r="FH3725" s="5" t="s">
        <v>238</v>
      </c>
      <c r="FI3725" s="5" t="s">
        <v>238</v>
      </c>
      <c r="FJ3725" s="5" t="s">
        <v>238</v>
      </c>
      <c r="FK3725" s="5" t="s">
        <v>238</v>
      </c>
      <c r="FL3725" s="5" t="s">
        <v>238</v>
      </c>
      <c r="FM3725" s="5" t="s">
        <v>238</v>
      </c>
      <c r="FN3725" s="5" t="s">
        <v>238</v>
      </c>
      <c r="FO3725" s="5" t="s">
        <v>238</v>
      </c>
      <c r="FP3725" s="5" t="s">
        <v>238</v>
      </c>
      <c r="FQ3725" s="5" t="s">
        <v>238</v>
      </c>
      <c r="FR3725" s="5" t="s">
        <v>238</v>
      </c>
      <c r="FS3725" s="5" t="s">
        <v>238</v>
      </c>
      <c r="FT3725" s="5" t="s">
        <v>238</v>
      </c>
      <c r="FU3725" s="5" t="s">
        <v>238</v>
      </c>
      <c r="FV3725" s="5" t="s">
        <v>238</v>
      </c>
      <c r="FW3725" s="5" t="s">
        <v>238</v>
      </c>
      <c r="FX3725" s="5" t="s">
        <v>238</v>
      </c>
      <c r="FY3725" s="5" t="s">
        <v>238</v>
      </c>
      <c r="FZ3725" s="5" t="s">
        <v>238</v>
      </c>
      <c r="GA3725" s="5" t="s">
        <v>238</v>
      </c>
      <c r="GB3725" s="5" t="s">
        <v>238</v>
      </c>
      <c r="GC3725" s="5" t="s">
        <v>238</v>
      </c>
      <c r="GD3725" s="5" t="s">
        <v>238</v>
      </c>
      <c r="GE3725" s="5" t="s">
        <v>238</v>
      </c>
      <c r="GF3725" s="5" t="s">
        <v>238</v>
      </c>
      <c r="GG3725" s="5" t="s">
        <v>238</v>
      </c>
      <c r="GH3725" s="5" t="s">
        <v>238</v>
      </c>
      <c r="GI3725" s="5" t="s">
        <v>238</v>
      </c>
      <c r="GJ3725" s="5" t="s">
        <v>238</v>
      </c>
      <c r="GK3725" s="5" t="s">
        <v>238</v>
      </c>
      <c r="GL3725" s="5" t="s">
        <v>238</v>
      </c>
      <c r="GM3725" s="5" t="s">
        <v>238</v>
      </c>
      <c r="GN3725" s="5" t="s">
        <v>238</v>
      </c>
      <c r="GO3725" s="5" t="s">
        <v>238</v>
      </c>
      <c r="GP3725" s="5" t="s">
        <v>238</v>
      </c>
      <c r="GQ3725" s="5" t="s">
        <v>238</v>
      </c>
      <c r="GR3725" s="5" t="s">
        <v>238</v>
      </c>
      <c r="GS3725" s="5" t="s">
        <v>238</v>
      </c>
      <c r="GT3725" s="5" t="s">
        <v>238</v>
      </c>
      <c r="GU3725" s="5" t="s">
        <v>238</v>
      </c>
      <c r="GV3725" s="5" t="s">
        <v>238</v>
      </c>
      <c r="GW3725" s="5" t="s">
        <v>238</v>
      </c>
      <c r="GX3725" s="5" t="s">
        <v>238</v>
      </c>
      <c r="GY3725" s="5" t="s">
        <v>238</v>
      </c>
      <c r="GZ3725" s="5" t="s">
        <v>238</v>
      </c>
      <c r="HA3725" s="5" t="s">
        <v>238</v>
      </c>
      <c r="HB3725" s="5" t="s">
        <v>238</v>
      </c>
      <c r="HC3725" s="5" t="s">
        <v>238</v>
      </c>
      <c r="HD3725" s="5" t="s">
        <v>238</v>
      </c>
      <c r="HE3725" s="5" t="s">
        <v>238</v>
      </c>
      <c r="HF3725" s="5" t="s">
        <v>238</v>
      </c>
      <c r="HG3725" s="5" t="s">
        <v>238</v>
      </c>
      <c r="HH3725" s="5" t="s">
        <v>238</v>
      </c>
      <c r="HI3725" s="5" t="s">
        <v>238</v>
      </c>
      <c r="HJ3725" s="5" t="s">
        <v>238</v>
      </c>
      <c r="HK3725" s="5" t="s">
        <v>238</v>
      </c>
      <c r="HL3725" s="5" t="s">
        <v>238</v>
      </c>
      <c r="HM3725" s="5" t="s">
        <v>238</v>
      </c>
      <c r="HN3725" s="5" t="s">
        <v>238</v>
      </c>
      <c r="HO3725" s="5" t="s">
        <v>238</v>
      </c>
      <c r="HP3725" s="5" t="s">
        <v>238</v>
      </c>
      <c r="HQ3725" s="5" t="s">
        <v>238</v>
      </c>
      <c r="HR3725" s="5" t="s">
        <v>238</v>
      </c>
      <c r="HS3725" s="5" t="s">
        <v>238</v>
      </c>
      <c r="HT3725" s="5" t="s">
        <v>238</v>
      </c>
      <c r="HU3725" s="5" t="s">
        <v>238</v>
      </c>
      <c r="HV3725" s="5" t="s">
        <v>238</v>
      </c>
      <c r="HW3725" s="5" t="s">
        <v>238</v>
      </c>
      <c r="HX3725" s="5" t="s">
        <v>238</v>
      </c>
      <c r="HY3725" s="5" t="s">
        <v>238</v>
      </c>
      <c r="HZ3725" s="5" t="s">
        <v>238</v>
      </c>
      <c r="IA3725" s="5" t="s">
        <v>238</v>
      </c>
      <c r="IB3725" s="5" t="s">
        <v>238</v>
      </c>
      <c r="IC3725" s="5" t="s">
        <v>238</v>
      </c>
      <c r="ID3725" s="5" t="s">
        <v>238</v>
      </c>
    </row>
    <row r="3726" spans="1:238" x14ac:dyDescent="0.4">
      <c r="A3726" s="5">
        <v>9444</v>
      </c>
      <c r="B3726" s="5">
        <v>1</v>
      </c>
      <c r="C3726" s="5">
        <v>1</v>
      </c>
      <c r="D3726" s="5" t="s">
        <v>484</v>
      </c>
      <c r="E3726" s="5" t="s">
        <v>485</v>
      </c>
      <c r="F3726" s="5" t="s">
        <v>248</v>
      </c>
      <c r="G3726" s="5" t="s">
        <v>4729</v>
      </c>
      <c r="H3726" s="6" t="s">
        <v>4730</v>
      </c>
      <c r="I3726" s="8">
        <f>1</f>
        <v>1</v>
      </c>
      <c r="J3726" s="5" t="s">
        <v>499</v>
      </c>
      <c r="K3726" s="8">
        <f>1</f>
        <v>1</v>
      </c>
      <c r="L3726" s="6" t="s">
        <v>242</v>
      </c>
      <c r="M3726" s="5" t="s">
        <v>267</v>
      </c>
      <c r="N3726" s="5" t="s">
        <v>482</v>
      </c>
      <c r="O3726" s="5" t="s">
        <v>238</v>
      </c>
      <c r="P3726" s="5" t="s">
        <v>238</v>
      </c>
      <c r="Q3726" s="5" t="s">
        <v>239</v>
      </c>
      <c r="R3726" s="5" t="s">
        <v>270</v>
      </c>
      <c r="S3726" s="5" t="s">
        <v>238</v>
      </c>
      <c r="T3726" s="5" t="s">
        <v>238</v>
      </c>
      <c r="U3726" s="5" t="s">
        <v>238</v>
      </c>
      <c r="V3726" s="5" t="s">
        <v>238</v>
      </c>
      <c r="W3726" s="6" t="s">
        <v>238</v>
      </c>
      <c r="X3726" s="6" t="s">
        <v>238</v>
      </c>
      <c r="Y3726" s="5" t="s">
        <v>238</v>
      </c>
      <c r="Z3726" s="6" t="s">
        <v>238</v>
      </c>
      <c r="AA3726" s="6" t="s">
        <v>243</v>
      </c>
      <c r="AB3726" s="5" t="s">
        <v>598</v>
      </c>
      <c r="AC3726" s="5" t="s">
        <v>244</v>
      </c>
      <c r="AD3726" s="5" t="s">
        <v>245</v>
      </c>
      <c r="AE3726" s="5" t="s">
        <v>238</v>
      </c>
      <c r="AF3726" s="5" t="s">
        <v>238</v>
      </c>
      <c r="AG3726" s="5" t="s">
        <v>238</v>
      </c>
      <c r="AH3726" s="5" t="s">
        <v>238</v>
      </c>
      <c r="AI3726" s="5" t="s">
        <v>238</v>
      </c>
      <c r="AJ3726" s="5" t="s">
        <v>238</v>
      </c>
      <c r="AK3726" s="5" t="s">
        <v>238</v>
      </c>
      <c r="AL3726" s="5" t="s">
        <v>238</v>
      </c>
      <c r="AM3726" s="6" t="s">
        <v>238</v>
      </c>
      <c r="AN3726" s="6" t="s">
        <v>238</v>
      </c>
      <c r="AO3726" s="6" t="s">
        <v>238</v>
      </c>
      <c r="AP3726" s="6" t="s">
        <v>238</v>
      </c>
      <c r="AQ3726" s="5" t="s">
        <v>238</v>
      </c>
      <c r="AR3726" s="5" t="s">
        <v>488</v>
      </c>
      <c r="AS3726" s="5" t="s">
        <v>488</v>
      </c>
      <c r="AT3726" s="5" t="s">
        <v>246</v>
      </c>
      <c r="AU3726" s="5" t="s">
        <v>489</v>
      </c>
      <c r="AV3726" s="5" t="s">
        <v>247</v>
      </c>
      <c r="AW3726" s="5" t="s">
        <v>600</v>
      </c>
      <c r="AX3726" s="5" t="s">
        <v>249</v>
      </c>
      <c r="AY3726" s="5" t="s">
        <v>490</v>
      </c>
      <c r="BA3726" s="5" t="s">
        <v>238</v>
      </c>
      <c r="BC3726" s="5" t="s">
        <v>491</v>
      </c>
      <c r="BD3726" s="6" t="s">
        <v>492</v>
      </c>
      <c r="BE3726" s="5" t="s">
        <v>493</v>
      </c>
      <c r="BF3726" s="5" t="s">
        <v>493</v>
      </c>
      <c r="BG3726" s="5" t="s">
        <v>238</v>
      </c>
      <c r="BH3726" s="8">
        <f>1</f>
        <v>1</v>
      </c>
      <c r="BI3726" s="8">
        <f>1</f>
        <v>1</v>
      </c>
      <c r="BJ3726" s="5" t="s">
        <v>253</v>
      </c>
      <c r="BK3726" s="5" t="s">
        <v>254</v>
      </c>
      <c r="BL3726" s="5" t="s">
        <v>238</v>
      </c>
      <c r="BM3726" s="5" t="s">
        <v>238</v>
      </c>
      <c r="BN3726" s="5" t="s">
        <v>238</v>
      </c>
      <c r="BO3726" s="5" t="s">
        <v>238</v>
      </c>
      <c r="BP3726" s="5" t="s">
        <v>238</v>
      </c>
      <c r="BQ3726" s="5" t="s">
        <v>238</v>
      </c>
      <c r="BR3726" s="5" t="s">
        <v>238</v>
      </c>
      <c r="BS3726" s="5" t="s">
        <v>238</v>
      </c>
      <c r="BT3726" s="6" t="s">
        <v>238</v>
      </c>
      <c r="BU3726" s="5" t="s">
        <v>238</v>
      </c>
      <c r="BV3726" s="5" t="s">
        <v>238</v>
      </c>
      <c r="BW3726" s="5" t="s">
        <v>238</v>
      </c>
      <c r="BX3726" s="5" t="s">
        <v>254</v>
      </c>
      <c r="BY3726" s="5" t="s">
        <v>238</v>
      </c>
      <c r="BZ3726" s="5" t="s">
        <v>238</v>
      </c>
      <c r="CA3726" s="5" t="s">
        <v>238</v>
      </c>
      <c r="CB3726" s="5" t="s">
        <v>238</v>
      </c>
      <c r="CC3726" s="5" t="s">
        <v>238</v>
      </c>
      <c r="CD3726" s="5" t="s">
        <v>273</v>
      </c>
      <c r="CE3726" s="5" t="s">
        <v>256</v>
      </c>
      <c r="CF3726" s="5" t="s">
        <v>261</v>
      </c>
      <c r="CH3726" s="5" t="s">
        <v>494</v>
      </c>
      <c r="CI3726" s="6" t="s">
        <v>257</v>
      </c>
      <c r="CJ3726" s="5" t="s">
        <v>495</v>
      </c>
      <c r="CK3726" s="5" t="s">
        <v>258</v>
      </c>
      <c r="CL3726" s="5" t="s">
        <v>496</v>
      </c>
      <c r="CM3726" s="5" t="s">
        <v>238</v>
      </c>
      <c r="CN3726" s="5">
        <v>0</v>
      </c>
      <c r="CO3726" s="5" t="s">
        <v>497</v>
      </c>
      <c r="CP3726" s="5" t="s">
        <v>260</v>
      </c>
      <c r="CQ3726" s="5" t="s">
        <v>260</v>
      </c>
      <c r="CR3726" s="5" t="s">
        <v>261</v>
      </c>
      <c r="CS3726" s="5" t="s">
        <v>498</v>
      </c>
      <c r="CT3726" s="7">
        <f>1</f>
        <v>1</v>
      </c>
      <c r="CU3726" s="8">
        <f>1</f>
        <v>1</v>
      </c>
      <c r="CV3726" s="8">
        <f>0</f>
        <v>0</v>
      </c>
      <c r="CX3726" s="8">
        <f>1</f>
        <v>1</v>
      </c>
      <c r="CY3726" s="8">
        <f>1</f>
        <v>1</v>
      </c>
      <c r="CZ3726" s="8" t="s">
        <v>238</v>
      </c>
      <c r="DA3726" s="5" t="s">
        <v>238</v>
      </c>
      <c r="DB3726" s="5" t="s">
        <v>238</v>
      </c>
      <c r="DC3726" s="5" t="s">
        <v>238</v>
      </c>
      <c r="DD3726" s="5" t="s">
        <v>238</v>
      </c>
      <c r="DE3726" s="8">
        <f>0</f>
        <v>0</v>
      </c>
      <c r="DG3726" s="5" t="s">
        <v>238</v>
      </c>
      <c r="DH3726" s="5" t="s">
        <v>238</v>
      </c>
      <c r="DI3726" s="5" t="s">
        <v>238</v>
      </c>
      <c r="DJ3726" s="5" t="s">
        <v>238</v>
      </c>
      <c r="DK3726" s="5" t="s">
        <v>238</v>
      </c>
      <c r="DL3726" s="5" t="s">
        <v>238</v>
      </c>
      <c r="DM3726" s="8" t="s">
        <v>238</v>
      </c>
      <c r="DN3726" s="5" t="s">
        <v>238</v>
      </c>
      <c r="DO3726" s="5" t="s">
        <v>244</v>
      </c>
      <c r="DP3726" s="5" t="s">
        <v>490</v>
      </c>
      <c r="DQ3726" s="5" t="s">
        <v>490</v>
      </c>
      <c r="DR3726" s="5" t="s">
        <v>238</v>
      </c>
      <c r="DS3726" s="5" t="s">
        <v>238</v>
      </c>
      <c r="DT3726" s="5" t="s">
        <v>601</v>
      </c>
      <c r="DU3726" s="5" t="s">
        <v>1228</v>
      </c>
      <c r="DV3726" s="5" t="s">
        <v>238</v>
      </c>
      <c r="DW3726" s="5" t="s">
        <v>238</v>
      </c>
      <c r="DX3726" s="5" t="s">
        <v>238</v>
      </c>
      <c r="DY3726" s="5" t="s">
        <v>238</v>
      </c>
      <c r="DZ3726" s="5" t="s">
        <v>238</v>
      </c>
      <c r="EA3726" s="5" t="s">
        <v>238</v>
      </c>
      <c r="EB3726" s="5" t="s">
        <v>238</v>
      </c>
      <c r="EC3726" s="5" t="s">
        <v>238</v>
      </c>
      <c r="ED3726" s="5" t="s">
        <v>238</v>
      </c>
      <c r="EE3726" s="5" t="s">
        <v>238</v>
      </c>
      <c r="EF3726" s="5" t="s">
        <v>238</v>
      </c>
      <c r="EG3726" s="5" t="s">
        <v>238</v>
      </c>
      <c r="EH3726" s="5" t="s">
        <v>238</v>
      </c>
      <c r="EI3726" s="5" t="s">
        <v>238</v>
      </c>
      <c r="EJ3726" s="5" t="s">
        <v>238</v>
      </c>
      <c r="EK3726" s="5" t="s">
        <v>238</v>
      </c>
      <c r="EL3726" s="5" t="s">
        <v>238</v>
      </c>
      <c r="EM3726" s="5" t="s">
        <v>238</v>
      </c>
      <c r="EN3726" s="5" t="s">
        <v>238</v>
      </c>
      <c r="EO3726" s="5" t="s">
        <v>238</v>
      </c>
      <c r="EP3726" s="5" t="s">
        <v>238</v>
      </c>
      <c r="EQ3726" s="5" t="s">
        <v>238</v>
      </c>
      <c r="ER3726" s="5" t="s">
        <v>238</v>
      </c>
      <c r="ES3726" s="5" t="s">
        <v>238</v>
      </c>
      <c r="ET3726" s="5" t="s">
        <v>238</v>
      </c>
      <c r="EU3726" s="5" t="s">
        <v>238</v>
      </c>
      <c r="EV3726" s="5" t="s">
        <v>238</v>
      </c>
      <c r="EW3726" s="5" t="s">
        <v>238</v>
      </c>
      <c r="EX3726" s="5" t="s">
        <v>238</v>
      </c>
      <c r="EY3726" s="5" t="s">
        <v>238</v>
      </c>
      <c r="EZ3726" s="5" t="s">
        <v>238</v>
      </c>
      <c r="FA3726" s="5" t="s">
        <v>238</v>
      </c>
      <c r="FB3726" s="5" t="s">
        <v>238</v>
      </c>
      <c r="FC3726" s="5" t="s">
        <v>238</v>
      </c>
      <c r="FD3726" s="5" t="s">
        <v>238</v>
      </c>
      <c r="FE3726" s="5" t="s">
        <v>238</v>
      </c>
      <c r="FF3726" s="5" t="s">
        <v>238</v>
      </c>
      <c r="FG3726" s="5" t="s">
        <v>238</v>
      </c>
      <c r="FH3726" s="5" t="s">
        <v>238</v>
      </c>
      <c r="FI3726" s="5" t="s">
        <v>238</v>
      </c>
      <c r="FJ3726" s="5" t="s">
        <v>238</v>
      </c>
      <c r="FK3726" s="5" t="s">
        <v>238</v>
      </c>
      <c r="FL3726" s="5" t="s">
        <v>238</v>
      </c>
      <c r="FM3726" s="5" t="s">
        <v>238</v>
      </c>
      <c r="FN3726" s="5" t="s">
        <v>238</v>
      </c>
      <c r="FO3726" s="5" t="s">
        <v>238</v>
      </c>
      <c r="FP3726" s="5" t="s">
        <v>238</v>
      </c>
      <c r="FQ3726" s="5" t="s">
        <v>238</v>
      </c>
      <c r="FR3726" s="5" t="s">
        <v>238</v>
      </c>
      <c r="FS3726" s="5" t="s">
        <v>238</v>
      </c>
      <c r="FT3726" s="5" t="s">
        <v>238</v>
      </c>
      <c r="FU3726" s="5" t="s">
        <v>238</v>
      </c>
      <c r="FV3726" s="5" t="s">
        <v>238</v>
      </c>
      <c r="FW3726" s="5" t="s">
        <v>238</v>
      </c>
      <c r="FX3726" s="5" t="s">
        <v>238</v>
      </c>
      <c r="FY3726" s="5" t="s">
        <v>238</v>
      </c>
      <c r="FZ3726" s="5" t="s">
        <v>238</v>
      </c>
      <c r="GA3726" s="5" t="s">
        <v>238</v>
      </c>
      <c r="GB3726" s="5" t="s">
        <v>238</v>
      </c>
      <c r="GC3726" s="5" t="s">
        <v>238</v>
      </c>
      <c r="GD3726" s="5" t="s">
        <v>238</v>
      </c>
      <c r="GE3726" s="5" t="s">
        <v>238</v>
      </c>
      <c r="GF3726" s="5" t="s">
        <v>238</v>
      </c>
      <c r="GG3726" s="5" t="s">
        <v>238</v>
      </c>
      <c r="GH3726" s="5" t="s">
        <v>238</v>
      </c>
      <c r="GI3726" s="5" t="s">
        <v>238</v>
      </c>
      <c r="GJ3726" s="5" t="s">
        <v>238</v>
      </c>
      <c r="GK3726" s="5" t="s">
        <v>238</v>
      </c>
      <c r="GL3726" s="5" t="s">
        <v>238</v>
      </c>
      <c r="GM3726" s="5" t="s">
        <v>238</v>
      </c>
      <c r="GN3726" s="5" t="s">
        <v>238</v>
      </c>
      <c r="GO3726" s="5" t="s">
        <v>238</v>
      </c>
      <c r="GP3726" s="5" t="s">
        <v>238</v>
      </c>
      <c r="GQ3726" s="5" t="s">
        <v>238</v>
      </c>
      <c r="GR3726" s="5" t="s">
        <v>238</v>
      </c>
      <c r="GS3726" s="5" t="s">
        <v>238</v>
      </c>
      <c r="GT3726" s="5" t="s">
        <v>238</v>
      </c>
      <c r="GU3726" s="5" t="s">
        <v>238</v>
      </c>
      <c r="GV3726" s="5" t="s">
        <v>238</v>
      </c>
      <c r="GW3726" s="5" t="s">
        <v>238</v>
      </c>
      <c r="GX3726" s="5" t="s">
        <v>238</v>
      </c>
      <c r="GY3726" s="5" t="s">
        <v>238</v>
      </c>
      <c r="GZ3726" s="5" t="s">
        <v>238</v>
      </c>
      <c r="HA3726" s="5" t="s">
        <v>238</v>
      </c>
      <c r="HB3726" s="5" t="s">
        <v>238</v>
      </c>
      <c r="HC3726" s="5" t="s">
        <v>238</v>
      </c>
      <c r="HD3726" s="5" t="s">
        <v>238</v>
      </c>
      <c r="HE3726" s="5" t="s">
        <v>238</v>
      </c>
      <c r="HF3726" s="5" t="s">
        <v>238</v>
      </c>
      <c r="HG3726" s="5" t="s">
        <v>238</v>
      </c>
      <c r="HH3726" s="5" t="s">
        <v>238</v>
      </c>
      <c r="HI3726" s="5" t="s">
        <v>238</v>
      </c>
      <c r="HJ3726" s="5" t="s">
        <v>238</v>
      </c>
      <c r="HK3726" s="5" t="s">
        <v>238</v>
      </c>
      <c r="HL3726" s="5" t="s">
        <v>238</v>
      </c>
      <c r="HM3726" s="5" t="s">
        <v>238</v>
      </c>
      <c r="HN3726" s="5" t="s">
        <v>238</v>
      </c>
      <c r="HO3726" s="5" t="s">
        <v>238</v>
      </c>
      <c r="HP3726" s="5" t="s">
        <v>238</v>
      </c>
      <c r="HQ3726" s="5" t="s">
        <v>238</v>
      </c>
      <c r="HR3726" s="5" t="s">
        <v>238</v>
      </c>
      <c r="HS3726" s="5" t="s">
        <v>238</v>
      </c>
      <c r="HT3726" s="5" t="s">
        <v>238</v>
      </c>
      <c r="HU3726" s="5" t="s">
        <v>238</v>
      </c>
      <c r="HV3726" s="5" t="s">
        <v>238</v>
      </c>
      <c r="HW3726" s="5" t="s">
        <v>238</v>
      </c>
      <c r="HX3726" s="5" t="s">
        <v>238</v>
      </c>
      <c r="HY3726" s="5" t="s">
        <v>238</v>
      </c>
      <c r="HZ3726" s="5" t="s">
        <v>238</v>
      </c>
      <c r="IA3726" s="5" t="s">
        <v>238</v>
      </c>
      <c r="IB3726" s="5" t="s">
        <v>238</v>
      </c>
      <c r="IC3726" s="5" t="s">
        <v>238</v>
      </c>
      <c r="ID3726" s="5" t="s">
        <v>238</v>
      </c>
    </row>
    <row r="3727" spans="1:238" x14ac:dyDescent="0.4">
      <c r="A3727" s="5">
        <v>9445</v>
      </c>
      <c r="B3727" s="5">
        <v>1</v>
      </c>
      <c r="C3727" s="5">
        <v>1</v>
      </c>
      <c r="D3727" s="5" t="s">
        <v>484</v>
      </c>
      <c r="E3727" s="5" t="s">
        <v>485</v>
      </c>
      <c r="F3727" s="5" t="s">
        <v>248</v>
      </c>
      <c r="G3727" s="5" t="s">
        <v>4714</v>
      </c>
      <c r="H3727" s="6" t="s">
        <v>4715</v>
      </c>
      <c r="I3727" s="8">
        <f>1</f>
        <v>1</v>
      </c>
      <c r="J3727" s="5" t="s">
        <v>499</v>
      </c>
      <c r="K3727" s="8">
        <f>1</f>
        <v>1</v>
      </c>
      <c r="L3727" s="6" t="s">
        <v>242</v>
      </c>
      <c r="M3727" s="5" t="s">
        <v>267</v>
      </c>
      <c r="N3727" s="5" t="s">
        <v>482</v>
      </c>
      <c r="O3727" s="5" t="s">
        <v>238</v>
      </c>
      <c r="P3727" s="5" t="s">
        <v>238</v>
      </c>
      <c r="Q3727" s="5" t="s">
        <v>239</v>
      </c>
      <c r="R3727" s="5" t="s">
        <v>270</v>
      </c>
      <c r="S3727" s="5" t="s">
        <v>238</v>
      </c>
      <c r="T3727" s="5" t="s">
        <v>238</v>
      </c>
      <c r="U3727" s="5" t="s">
        <v>238</v>
      </c>
      <c r="V3727" s="5" t="s">
        <v>238</v>
      </c>
      <c r="W3727" s="6" t="s">
        <v>238</v>
      </c>
      <c r="X3727" s="6" t="s">
        <v>238</v>
      </c>
      <c r="Y3727" s="5" t="s">
        <v>238</v>
      </c>
      <c r="Z3727" s="6" t="s">
        <v>238</v>
      </c>
      <c r="AA3727" s="6" t="s">
        <v>243</v>
      </c>
      <c r="AB3727" s="5" t="s">
        <v>598</v>
      </c>
      <c r="AC3727" s="5" t="s">
        <v>244</v>
      </c>
      <c r="AD3727" s="5" t="s">
        <v>245</v>
      </c>
      <c r="AE3727" s="5" t="s">
        <v>238</v>
      </c>
      <c r="AF3727" s="5" t="s">
        <v>238</v>
      </c>
      <c r="AG3727" s="5" t="s">
        <v>238</v>
      </c>
      <c r="AH3727" s="5" t="s">
        <v>238</v>
      </c>
      <c r="AI3727" s="5" t="s">
        <v>238</v>
      </c>
      <c r="AJ3727" s="5" t="s">
        <v>238</v>
      </c>
      <c r="AK3727" s="5" t="s">
        <v>238</v>
      </c>
      <c r="AL3727" s="5" t="s">
        <v>238</v>
      </c>
      <c r="AM3727" s="6" t="s">
        <v>238</v>
      </c>
      <c r="AN3727" s="6" t="s">
        <v>238</v>
      </c>
      <c r="AO3727" s="6" t="s">
        <v>238</v>
      </c>
      <c r="AP3727" s="6" t="s">
        <v>238</v>
      </c>
      <c r="AQ3727" s="5" t="s">
        <v>238</v>
      </c>
      <c r="AR3727" s="5" t="s">
        <v>488</v>
      </c>
      <c r="AS3727" s="5" t="s">
        <v>488</v>
      </c>
      <c r="AT3727" s="5" t="s">
        <v>246</v>
      </c>
      <c r="AU3727" s="5" t="s">
        <v>489</v>
      </c>
      <c r="AV3727" s="5" t="s">
        <v>247</v>
      </c>
      <c r="AW3727" s="5" t="s">
        <v>600</v>
      </c>
      <c r="AX3727" s="5" t="s">
        <v>249</v>
      </c>
      <c r="AY3727" s="5" t="s">
        <v>490</v>
      </c>
      <c r="BA3727" s="5" t="s">
        <v>238</v>
      </c>
      <c r="BC3727" s="5" t="s">
        <v>491</v>
      </c>
      <c r="BD3727" s="6" t="s">
        <v>492</v>
      </c>
      <c r="BE3727" s="5" t="s">
        <v>493</v>
      </c>
      <c r="BF3727" s="5" t="s">
        <v>493</v>
      </c>
      <c r="BG3727" s="5" t="s">
        <v>238</v>
      </c>
      <c r="BH3727" s="8">
        <f>1</f>
        <v>1</v>
      </c>
      <c r="BI3727" s="8">
        <f>1</f>
        <v>1</v>
      </c>
      <c r="BJ3727" s="5" t="s">
        <v>253</v>
      </c>
      <c r="BK3727" s="5" t="s">
        <v>254</v>
      </c>
      <c r="BL3727" s="5" t="s">
        <v>238</v>
      </c>
      <c r="BM3727" s="5" t="s">
        <v>238</v>
      </c>
      <c r="BN3727" s="5" t="s">
        <v>238</v>
      </c>
      <c r="BO3727" s="5" t="s">
        <v>238</v>
      </c>
      <c r="BP3727" s="5" t="s">
        <v>238</v>
      </c>
      <c r="BQ3727" s="5" t="s">
        <v>238</v>
      </c>
      <c r="BR3727" s="5" t="s">
        <v>238</v>
      </c>
      <c r="BS3727" s="5" t="s">
        <v>238</v>
      </c>
      <c r="BT3727" s="6" t="s">
        <v>238</v>
      </c>
      <c r="BU3727" s="5" t="s">
        <v>238</v>
      </c>
      <c r="BV3727" s="5" t="s">
        <v>238</v>
      </c>
      <c r="BW3727" s="5" t="s">
        <v>238</v>
      </c>
      <c r="BX3727" s="5" t="s">
        <v>254</v>
      </c>
      <c r="BY3727" s="5" t="s">
        <v>238</v>
      </c>
      <c r="BZ3727" s="5" t="s">
        <v>238</v>
      </c>
      <c r="CA3727" s="5" t="s">
        <v>238</v>
      </c>
      <c r="CB3727" s="5" t="s">
        <v>238</v>
      </c>
      <c r="CC3727" s="5" t="s">
        <v>238</v>
      </c>
      <c r="CD3727" s="5" t="s">
        <v>273</v>
      </c>
      <c r="CE3727" s="5" t="s">
        <v>256</v>
      </c>
      <c r="CF3727" s="5" t="s">
        <v>261</v>
      </c>
      <c r="CH3727" s="5" t="s">
        <v>494</v>
      </c>
      <c r="CI3727" s="6" t="s">
        <v>257</v>
      </c>
      <c r="CJ3727" s="5" t="s">
        <v>495</v>
      </c>
      <c r="CK3727" s="5" t="s">
        <v>258</v>
      </c>
      <c r="CL3727" s="5" t="s">
        <v>496</v>
      </c>
      <c r="CM3727" s="5" t="s">
        <v>238</v>
      </c>
      <c r="CN3727" s="5">
        <v>0</v>
      </c>
      <c r="CO3727" s="5" t="s">
        <v>497</v>
      </c>
      <c r="CP3727" s="5" t="s">
        <v>260</v>
      </c>
      <c r="CQ3727" s="5" t="s">
        <v>260</v>
      </c>
      <c r="CR3727" s="5" t="s">
        <v>261</v>
      </c>
      <c r="CS3727" s="5" t="s">
        <v>498</v>
      </c>
      <c r="CT3727" s="7">
        <f>1</f>
        <v>1</v>
      </c>
      <c r="CU3727" s="8">
        <f>1</f>
        <v>1</v>
      </c>
      <c r="CV3727" s="8">
        <f>0</f>
        <v>0</v>
      </c>
      <c r="CX3727" s="8">
        <f>1</f>
        <v>1</v>
      </c>
      <c r="CY3727" s="8">
        <f>1</f>
        <v>1</v>
      </c>
      <c r="CZ3727" s="8" t="s">
        <v>238</v>
      </c>
      <c r="DA3727" s="5" t="s">
        <v>238</v>
      </c>
      <c r="DB3727" s="5" t="s">
        <v>238</v>
      </c>
      <c r="DC3727" s="5" t="s">
        <v>238</v>
      </c>
      <c r="DD3727" s="5" t="s">
        <v>238</v>
      </c>
      <c r="DE3727" s="8">
        <f>0</f>
        <v>0</v>
      </c>
      <c r="DG3727" s="5" t="s">
        <v>238</v>
      </c>
      <c r="DH3727" s="5" t="s">
        <v>238</v>
      </c>
      <c r="DI3727" s="5" t="s">
        <v>238</v>
      </c>
      <c r="DJ3727" s="5" t="s">
        <v>238</v>
      </c>
      <c r="DK3727" s="5" t="s">
        <v>238</v>
      </c>
      <c r="DL3727" s="5" t="s">
        <v>238</v>
      </c>
      <c r="DM3727" s="8" t="s">
        <v>238</v>
      </c>
      <c r="DN3727" s="5" t="s">
        <v>238</v>
      </c>
      <c r="DO3727" s="5" t="s">
        <v>244</v>
      </c>
      <c r="DP3727" s="5" t="s">
        <v>490</v>
      </c>
      <c r="DQ3727" s="5" t="s">
        <v>490</v>
      </c>
      <c r="DR3727" s="5" t="s">
        <v>238</v>
      </c>
      <c r="DS3727" s="5" t="s">
        <v>238</v>
      </c>
      <c r="DT3727" s="5" t="s">
        <v>601</v>
      </c>
      <c r="DU3727" s="5" t="s">
        <v>1299</v>
      </c>
      <c r="DV3727" s="5" t="s">
        <v>238</v>
      </c>
      <c r="DW3727" s="5" t="s">
        <v>238</v>
      </c>
      <c r="DX3727" s="5" t="s">
        <v>238</v>
      </c>
      <c r="DY3727" s="5" t="s">
        <v>238</v>
      </c>
      <c r="DZ3727" s="5" t="s">
        <v>238</v>
      </c>
      <c r="EA3727" s="5" t="s">
        <v>238</v>
      </c>
      <c r="EB3727" s="5" t="s">
        <v>238</v>
      </c>
      <c r="EC3727" s="5" t="s">
        <v>238</v>
      </c>
      <c r="ED3727" s="5" t="s">
        <v>238</v>
      </c>
      <c r="EE3727" s="5" t="s">
        <v>238</v>
      </c>
      <c r="EF3727" s="5" t="s">
        <v>238</v>
      </c>
      <c r="EG3727" s="5" t="s">
        <v>238</v>
      </c>
      <c r="EH3727" s="5" t="s">
        <v>238</v>
      </c>
      <c r="EI3727" s="5" t="s">
        <v>238</v>
      </c>
      <c r="EJ3727" s="5" t="s">
        <v>238</v>
      </c>
      <c r="EK3727" s="5" t="s">
        <v>238</v>
      </c>
      <c r="EL3727" s="5" t="s">
        <v>238</v>
      </c>
      <c r="EM3727" s="5" t="s">
        <v>238</v>
      </c>
      <c r="EN3727" s="5" t="s">
        <v>238</v>
      </c>
      <c r="EO3727" s="5" t="s">
        <v>238</v>
      </c>
      <c r="EP3727" s="5" t="s">
        <v>238</v>
      </c>
      <c r="EQ3727" s="5" t="s">
        <v>238</v>
      </c>
      <c r="ER3727" s="5" t="s">
        <v>238</v>
      </c>
      <c r="ES3727" s="5" t="s">
        <v>238</v>
      </c>
      <c r="ET3727" s="5" t="s">
        <v>238</v>
      </c>
      <c r="EU3727" s="5" t="s">
        <v>238</v>
      </c>
      <c r="EV3727" s="5" t="s">
        <v>238</v>
      </c>
      <c r="EW3727" s="5" t="s">
        <v>238</v>
      </c>
      <c r="EX3727" s="5" t="s">
        <v>238</v>
      </c>
      <c r="EY3727" s="5" t="s">
        <v>238</v>
      </c>
      <c r="EZ3727" s="5" t="s">
        <v>238</v>
      </c>
      <c r="FA3727" s="5" t="s">
        <v>238</v>
      </c>
      <c r="FB3727" s="5" t="s">
        <v>238</v>
      </c>
      <c r="FC3727" s="5" t="s">
        <v>238</v>
      </c>
      <c r="FD3727" s="5" t="s">
        <v>238</v>
      </c>
      <c r="FE3727" s="5" t="s">
        <v>238</v>
      </c>
      <c r="FF3727" s="5" t="s">
        <v>238</v>
      </c>
      <c r="FG3727" s="5" t="s">
        <v>238</v>
      </c>
      <c r="FH3727" s="5" t="s">
        <v>238</v>
      </c>
      <c r="FI3727" s="5" t="s">
        <v>238</v>
      </c>
      <c r="FJ3727" s="5" t="s">
        <v>238</v>
      </c>
      <c r="FK3727" s="5" t="s">
        <v>238</v>
      </c>
      <c r="FL3727" s="5" t="s">
        <v>238</v>
      </c>
      <c r="FM3727" s="5" t="s">
        <v>238</v>
      </c>
      <c r="FN3727" s="5" t="s">
        <v>238</v>
      </c>
      <c r="FO3727" s="5" t="s">
        <v>238</v>
      </c>
      <c r="FP3727" s="5" t="s">
        <v>238</v>
      </c>
      <c r="FQ3727" s="5" t="s">
        <v>238</v>
      </c>
      <c r="FR3727" s="5" t="s">
        <v>238</v>
      </c>
      <c r="FS3727" s="5" t="s">
        <v>238</v>
      </c>
      <c r="FT3727" s="5" t="s">
        <v>238</v>
      </c>
      <c r="FU3727" s="5" t="s">
        <v>238</v>
      </c>
      <c r="FV3727" s="5" t="s">
        <v>238</v>
      </c>
      <c r="FW3727" s="5" t="s">
        <v>238</v>
      </c>
      <c r="FX3727" s="5" t="s">
        <v>238</v>
      </c>
      <c r="FY3727" s="5" t="s">
        <v>238</v>
      </c>
      <c r="FZ3727" s="5" t="s">
        <v>238</v>
      </c>
      <c r="GA3727" s="5" t="s">
        <v>238</v>
      </c>
      <c r="GB3727" s="5" t="s">
        <v>238</v>
      </c>
      <c r="GC3727" s="5" t="s">
        <v>238</v>
      </c>
      <c r="GD3727" s="5" t="s">
        <v>238</v>
      </c>
      <c r="GE3727" s="5" t="s">
        <v>238</v>
      </c>
      <c r="GF3727" s="5" t="s">
        <v>238</v>
      </c>
      <c r="GG3727" s="5" t="s">
        <v>238</v>
      </c>
      <c r="GH3727" s="5" t="s">
        <v>238</v>
      </c>
      <c r="GI3727" s="5" t="s">
        <v>238</v>
      </c>
      <c r="GJ3727" s="5" t="s">
        <v>238</v>
      </c>
      <c r="GK3727" s="5" t="s">
        <v>238</v>
      </c>
      <c r="GL3727" s="5" t="s">
        <v>238</v>
      </c>
      <c r="GM3727" s="5" t="s">
        <v>238</v>
      </c>
      <c r="GN3727" s="5" t="s">
        <v>238</v>
      </c>
      <c r="GO3727" s="5" t="s">
        <v>238</v>
      </c>
      <c r="GP3727" s="5" t="s">
        <v>238</v>
      </c>
      <c r="GQ3727" s="5" t="s">
        <v>238</v>
      </c>
      <c r="GR3727" s="5" t="s">
        <v>238</v>
      </c>
      <c r="GS3727" s="5" t="s">
        <v>238</v>
      </c>
      <c r="GT3727" s="5" t="s">
        <v>238</v>
      </c>
      <c r="GU3727" s="5" t="s">
        <v>238</v>
      </c>
      <c r="GV3727" s="5" t="s">
        <v>238</v>
      </c>
      <c r="GW3727" s="5" t="s">
        <v>238</v>
      </c>
      <c r="GX3727" s="5" t="s">
        <v>238</v>
      </c>
      <c r="GY3727" s="5" t="s">
        <v>238</v>
      </c>
      <c r="GZ3727" s="5" t="s">
        <v>238</v>
      </c>
      <c r="HA3727" s="5" t="s">
        <v>238</v>
      </c>
      <c r="HB3727" s="5" t="s">
        <v>238</v>
      </c>
      <c r="HC3727" s="5" t="s">
        <v>238</v>
      </c>
      <c r="HD3727" s="5" t="s">
        <v>238</v>
      </c>
      <c r="HE3727" s="5" t="s">
        <v>238</v>
      </c>
      <c r="HF3727" s="5" t="s">
        <v>238</v>
      </c>
      <c r="HG3727" s="5" t="s">
        <v>238</v>
      </c>
      <c r="HH3727" s="5" t="s">
        <v>238</v>
      </c>
      <c r="HI3727" s="5" t="s">
        <v>238</v>
      </c>
      <c r="HJ3727" s="5" t="s">
        <v>238</v>
      </c>
      <c r="HK3727" s="5" t="s">
        <v>238</v>
      </c>
      <c r="HL3727" s="5" t="s">
        <v>238</v>
      </c>
      <c r="HM3727" s="5" t="s">
        <v>238</v>
      </c>
      <c r="HN3727" s="5" t="s">
        <v>238</v>
      </c>
      <c r="HO3727" s="5" t="s">
        <v>238</v>
      </c>
      <c r="HP3727" s="5" t="s">
        <v>238</v>
      </c>
      <c r="HQ3727" s="5" t="s">
        <v>238</v>
      </c>
      <c r="HR3727" s="5" t="s">
        <v>238</v>
      </c>
      <c r="HS3727" s="5" t="s">
        <v>238</v>
      </c>
      <c r="HT3727" s="5" t="s">
        <v>238</v>
      </c>
      <c r="HU3727" s="5" t="s">
        <v>238</v>
      </c>
      <c r="HV3727" s="5" t="s">
        <v>238</v>
      </c>
      <c r="HW3727" s="5" t="s">
        <v>238</v>
      </c>
      <c r="HX3727" s="5" t="s">
        <v>238</v>
      </c>
      <c r="HY3727" s="5" t="s">
        <v>238</v>
      </c>
      <c r="HZ3727" s="5" t="s">
        <v>238</v>
      </c>
      <c r="IA3727" s="5" t="s">
        <v>238</v>
      </c>
      <c r="IB3727" s="5" t="s">
        <v>238</v>
      </c>
      <c r="IC3727" s="5" t="s">
        <v>238</v>
      </c>
      <c r="ID3727" s="5" t="s">
        <v>238</v>
      </c>
    </row>
    <row r="3728" spans="1:238" x14ac:dyDescent="0.4">
      <c r="A3728" s="5">
        <v>9446</v>
      </c>
      <c r="B3728" s="5">
        <v>1</v>
      </c>
      <c r="C3728" s="5">
        <v>1</v>
      </c>
      <c r="D3728" s="5" t="s">
        <v>484</v>
      </c>
      <c r="E3728" s="5" t="s">
        <v>485</v>
      </c>
      <c r="F3728" s="5" t="s">
        <v>248</v>
      </c>
      <c r="G3728" s="5" t="s">
        <v>3996</v>
      </c>
      <c r="H3728" s="6" t="s">
        <v>3997</v>
      </c>
      <c r="I3728" s="8">
        <f>1</f>
        <v>1</v>
      </c>
      <c r="J3728" s="5" t="s">
        <v>499</v>
      </c>
      <c r="K3728" s="8">
        <f>1</f>
        <v>1</v>
      </c>
      <c r="L3728" s="6" t="s">
        <v>242</v>
      </c>
      <c r="M3728" s="5" t="s">
        <v>267</v>
      </c>
      <c r="N3728" s="5" t="s">
        <v>482</v>
      </c>
      <c r="O3728" s="5" t="s">
        <v>238</v>
      </c>
      <c r="P3728" s="5" t="s">
        <v>238</v>
      </c>
      <c r="Q3728" s="5" t="s">
        <v>239</v>
      </c>
      <c r="R3728" s="5" t="s">
        <v>270</v>
      </c>
      <c r="S3728" s="5" t="s">
        <v>238</v>
      </c>
      <c r="T3728" s="5" t="s">
        <v>238</v>
      </c>
      <c r="U3728" s="5" t="s">
        <v>238</v>
      </c>
      <c r="V3728" s="5" t="s">
        <v>238</v>
      </c>
      <c r="W3728" s="6" t="s">
        <v>238</v>
      </c>
      <c r="X3728" s="6" t="s">
        <v>238</v>
      </c>
      <c r="Y3728" s="5" t="s">
        <v>238</v>
      </c>
      <c r="Z3728" s="6" t="s">
        <v>238</v>
      </c>
      <c r="AA3728" s="6" t="s">
        <v>243</v>
      </c>
      <c r="AB3728" s="5" t="s">
        <v>598</v>
      </c>
      <c r="AC3728" s="5" t="s">
        <v>244</v>
      </c>
      <c r="AD3728" s="5" t="s">
        <v>245</v>
      </c>
      <c r="AE3728" s="5" t="s">
        <v>238</v>
      </c>
      <c r="AF3728" s="5" t="s">
        <v>238</v>
      </c>
      <c r="AG3728" s="5" t="s">
        <v>238</v>
      </c>
      <c r="AH3728" s="5" t="s">
        <v>238</v>
      </c>
      <c r="AI3728" s="5" t="s">
        <v>238</v>
      </c>
      <c r="AJ3728" s="5" t="s">
        <v>238</v>
      </c>
      <c r="AK3728" s="5" t="s">
        <v>238</v>
      </c>
      <c r="AL3728" s="5" t="s">
        <v>238</v>
      </c>
      <c r="AM3728" s="6" t="s">
        <v>238</v>
      </c>
      <c r="AN3728" s="6" t="s">
        <v>238</v>
      </c>
      <c r="AO3728" s="6" t="s">
        <v>238</v>
      </c>
      <c r="AP3728" s="6" t="s">
        <v>238</v>
      </c>
      <c r="AQ3728" s="5" t="s">
        <v>238</v>
      </c>
      <c r="AR3728" s="5" t="s">
        <v>488</v>
      </c>
      <c r="AS3728" s="5" t="s">
        <v>488</v>
      </c>
      <c r="AT3728" s="5" t="s">
        <v>246</v>
      </c>
      <c r="AU3728" s="5" t="s">
        <v>489</v>
      </c>
      <c r="AV3728" s="5" t="s">
        <v>247</v>
      </c>
      <c r="AW3728" s="5" t="s">
        <v>600</v>
      </c>
      <c r="AX3728" s="5" t="s">
        <v>249</v>
      </c>
      <c r="AY3728" s="5" t="s">
        <v>490</v>
      </c>
      <c r="BA3728" s="5" t="s">
        <v>238</v>
      </c>
      <c r="BC3728" s="5" t="s">
        <v>491</v>
      </c>
      <c r="BD3728" s="6" t="s">
        <v>492</v>
      </c>
      <c r="BE3728" s="5" t="s">
        <v>493</v>
      </c>
      <c r="BF3728" s="5" t="s">
        <v>493</v>
      </c>
      <c r="BG3728" s="5" t="s">
        <v>238</v>
      </c>
      <c r="BH3728" s="8">
        <f>1</f>
        <v>1</v>
      </c>
      <c r="BI3728" s="8">
        <f>1</f>
        <v>1</v>
      </c>
      <c r="BJ3728" s="5" t="s">
        <v>253</v>
      </c>
      <c r="BK3728" s="5" t="s">
        <v>254</v>
      </c>
      <c r="BL3728" s="5" t="s">
        <v>238</v>
      </c>
      <c r="BM3728" s="5" t="s">
        <v>238</v>
      </c>
      <c r="BN3728" s="5" t="s">
        <v>238</v>
      </c>
      <c r="BO3728" s="5" t="s">
        <v>238</v>
      </c>
      <c r="BP3728" s="5" t="s">
        <v>238</v>
      </c>
      <c r="BQ3728" s="5" t="s">
        <v>238</v>
      </c>
      <c r="BR3728" s="5" t="s">
        <v>238</v>
      </c>
      <c r="BS3728" s="5" t="s">
        <v>238</v>
      </c>
      <c r="BT3728" s="6" t="s">
        <v>238</v>
      </c>
      <c r="BU3728" s="5" t="s">
        <v>238</v>
      </c>
      <c r="BV3728" s="5" t="s">
        <v>238</v>
      </c>
      <c r="BW3728" s="5" t="s">
        <v>238</v>
      </c>
      <c r="BX3728" s="5" t="s">
        <v>254</v>
      </c>
      <c r="BY3728" s="5" t="s">
        <v>238</v>
      </c>
      <c r="BZ3728" s="5" t="s">
        <v>238</v>
      </c>
      <c r="CA3728" s="5" t="s">
        <v>238</v>
      </c>
      <c r="CB3728" s="5" t="s">
        <v>238</v>
      </c>
      <c r="CC3728" s="5" t="s">
        <v>238</v>
      </c>
      <c r="CD3728" s="5" t="s">
        <v>273</v>
      </c>
      <c r="CE3728" s="5" t="s">
        <v>256</v>
      </c>
      <c r="CF3728" s="5" t="s">
        <v>261</v>
      </c>
      <c r="CH3728" s="5" t="s">
        <v>494</v>
      </c>
      <c r="CI3728" s="6" t="s">
        <v>257</v>
      </c>
      <c r="CJ3728" s="5" t="s">
        <v>495</v>
      </c>
      <c r="CK3728" s="5" t="s">
        <v>258</v>
      </c>
      <c r="CL3728" s="5" t="s">
        <v>496</v>
      </c>
      <c r="CM3728" s="5" t="s">
        <v>238</v>
      </c>
      <c r="CN3728" s="5">
        <v>0</v>
      </c>
      <c r="CO3728" s="5" t="s">
        <v>497</v>
      </c>
      <c r="CP3728" s="5" t="s">
        <v>260</v>
      </c>
      <c r="CQ3728" s="5" t="s">
        <v>260</v>
      </c>
      <c r="CR3728" s="5" t="s">
        <v>261</v>
      </c>
      <c r="CS3728" s="5" t="s">
        <v>498</v>
      </c>
      <c r="CT3728" s="7">
        <f>1</f>
        <v>1</v>
      </c>
      <c r="CU3728" s="8">
        <f>1</f>
        <v>1</v>
      </c>
      <c r="CV3728" s="8">
        <f>0</f>
        <v>0</v>
      </c>
      <c r="CX3728" s="8">
        <f>1</f>
        <v>1</v>
      </c>
      <c r="CY3728" s="8">
        <f>1</f>
        <v>1</v>
      </c>
      <c r="CZ3728" s="8" t="s">
        <v>238</v>
      </c>
      <c r="DA3728" s="5" t="s">
        <v>238</v>
      </c>
      <c r="DB3728" s="5" t="s">
        <v>238</v>
      </c>
      <c r="DC3728" s="5" t="s">
        <v>238</v>
      </c>
      <c r="DD3728" s="5" t="s">
        <v>238</v>
      </c>
      <c r="DE3728" s="8">
        <f>0</f>
        <v>0</v>
      </c>
      <c r="DG3728" s="5" t="s">
        <v>238</v>
      </c>
      <c r="DH3728" s="5" t="s">
        <v>238</v>
      </c>
      <c r="DI3728" s="5" t="s">
        <v>238</v>
      </c>
      <c r="DJ3728" s="5" t="s">
        <v>238</v>
      </c>
      <c r="DK3728" s="5" t="s">
        <v>238</v>
      </c>
      <c r="DL3728" s="5" t="s">
        <v>238</v>
      </c>
      <c r="DM3728" s="8" t="s">
        <v>238</v>
      </c>
      <c r="DN3728" s="5" t="s">
        <v>238</v>
      </c>
      <c r="DO3728" s="5" t="s">
        <v>244</v>
      </c>
      <c r="DP3728" s="5" t="s">
        <v>490</v>
      </c>
      <c r="DQ3728" s="5" t="s">
        <v>490</v>
      </c>
      <c r="DR3728" s="5" t="s">
        <v>238</v>
      </c>
      <c r="DS3728" s="5" t="s">
        <v>238</v>
      </c>
      <c r="DT3728" s="5" t="s">
        <v>601</v>
      </c>
      <c r="DU3728" s="5" t="s">
        <v>1291</v>
      </c>
      <c r="DV3728" s="5" t="s">
        <v>238</v>
      </c>
      <c r="DW3728" s="5" t="s">
        <v>238</v>
      </c>
      <c r="DX3728" s="5" t="s">
        <v>238</v>
      </c>
      <c r="DY3728" s="5" t="s">
        <v>238</v>
      </c>
      <c r="DZ3728" s="5" t="s">
        <v>238</v>
      </c>
      <c r="EA3728" s="5" t="s">
        <v>238</v>
      </c>
      <c r="EB3728" s="5" t="s">
        <v>238</v>
      </c>
      <c r="EC3728" s="5" t="s">
        <v>238</v>
      </c>
      <c r="ED3728" s="5" t="s">
        <v>238</v>
      </c>
      <c r="EE3728" s="5" t="s">
        <v>238</v>
      </c>
      <c r="EF3728" s="5" t="s">
        <v>238</v>
      </c>
      <c r="EG3728" s="5" t="s">
        <v>238</v>
      </c>
      <c r="EH3728" s="5" t="s">
        <v>238</v>
      </c>
      <c r="EI3728" s="5" t="s">
        <v>238</v>
      </c>
      <c r="EJ3728" s="5" t="s">
        <v>238</v>
      </c>
      <c r="EK3728" s="5" t="s">
        <v>238</v>
      </c>
      <c r="EL3728" s="5" t="s">
        <v>238</v>
      </c>
      <c r="EM3728" s="5" t="s">
        <v>238</v>
      </c>
      <c r="EN3728" s="5" t="s">
        <v>238</v>
      </c>
      <c r="EO3728" s="5" t="s">
        <v>238</v>
      </c>
      <c r="EP3728" s="5" t="s">
        <v>238</v>
      </c>
      <c r="EQ3728" s="5" t="s">
        <v>238</v>
      </c>
      <c r="ER3728" s="5" t="s">
        <v>238</v>
      </c>
      <c r="ES3728" s="5" t="s">
        <v>238</v>
      </c>
      <c r="ET3728" s="5" t="s">
        <v>238</v>
      </c>
      <c r="EU3728" s="5" t="s">
        <v>238</v>
      </c>
      <c r="EV3728" s="5" t="s">
        <v>238</v>
      </c>
      <c r="EW3728" s="5" t="s">
        <v>238</v>
      </c>
      <c r="EX3728" s="5" t="s">
        <v>238</v>
      </c>
      <c r="EY3728" s="5" t="s">
        <v>238</v>
      </c>
      <c r="EZ3728" s="5" t="s">
        <v>238</v>
      </c>
      <c r="FA3728" s="5" t="s">
        <v>238</v>
      </c>
      <c r="FB3728" s="5" t="s">
        <v>238</v>
      </c>
      <c r="FC3728" s="5" t="s">
        <v>238</v>
      </c>
      <c r="FD3728" s="5" t="s">
        <v>238</v>
      </c>
      <c r="FE3728" s="5" t="s">
        <v>238</v>
      </c>
      <c r="FF3728" s="5" t="s">
        <v>238</v>
      </c>
      <c r="FG3728" s="5" t="s">
        <v>238</v>
      </c>
      <c r="FH3728" s="5" t="s">
        <v>238</v>
      </c>
      <c r="FI3728" s="5" t="s">
        <v>238</v>
      </c>
      <c r="FJ3728" s="5" t="s">
        <v>238</v>
      </c>
      <c r="FK3728" s="5" t="s">
        <v>238</v>
      </c>
      <c r="FL3728" s="5" t="s">
        <v>238</v>
      </c>
      <c r="FM3728" s="5" t="s">
        <v>238</v>
      </c>
      <c r="FN3728" s="5" t="s">
        <v>238</v>
      </c>
      <c r="FO3728" s="5" t="s">
        <v>238</v>
      </c>
      <c r="FP3728" s="5" t="s">
        <v>238</v>
      </c>
      <c r="FQ3728" s="5" t="s">
        <v>238</v>
      </c>
      <c r="FR3728" s="5" t="s">
        <v>238</v>
      </c>
      <c r="FS3728" s="5" t="s">
        <v>238</v>
      </c>
      <c r="FT3728" s="5" t="s">
        <v>238</v>
      </c>
      <c r="FU3728" s="5" t="s">
        <v>238</v>
      </c>
      <c r="FV3728" s="5" t="s">
        <v>238</v>
      </c>
      <c r="FW3728" s="5" t="s">
        <v>238</v>
      </c>
      <c r="FX3728" s="5" t="s">
        <v>238</v>
      </c>
      <c r="FY3728" s="5" t="s">
        <v>238</v>
      </c>
      <c r="FZ3728" s="5" t="s">
        <v>238</v>
      </c>
      <c r="GA3728" s="5" t="s">
        <v>238</v>
      </c>
      <c r="GB3728" s="5" t="s">
        <v>238</v>
      </c>
      <c r="GC3728" s="5" t="s">
        <v>238</v>
      </c>
      <c r="GD3728" s="5" t="s">
        <v>238</v>
      </c>
      <c r="GE3728" s="5" t="s">
        <v>238</v>
      </c>
      <c r="GF3728" s="5" t="s">
        <v>238</v>
      </c>
      <c r="GG3728" s="5" t="s">
        <v>238</v>
      </c>
      <c r="GH3728" s="5" t="s">
        <v>238</v>
      </c>
      <c r="GI3728" s="5" t="s">
        <v>238</v>
      </c>
      <c r="GJ3728" s="5" t="s">
        <v>238</v>
      </c>
      <c r="GK3728" s="5" t="s">
        <v>238</v>
      </c>
      <c r="GL3728" s="5" t="s">
        <v>238</v>
      </c>
      <c r="GM3728" s="5" t="s">
        <v>238</v>
      </c>
      <c r="GN3728" s="5" t="s">
        <v>238</v>
      </c>
      <c r="GO3728" s="5" t="s">
        <v>238</v>
      </c>
      <c r="GP3728" s="5" t="s">
        <v>238</v>
      </c>
      <c r="GQ3728" s="5" t="s">
        <v>238</v>
      </c>
      <c r="GR3728" s="5" t="s">
        <v>238</v>
      </c>
      <c r="GS3728" s="5" t="s">
        <v>238</v>
      </c>
      <c r="GT3728" s="5" t="s">
        <v>238</v>
      </c>
      <c r="GU3728" s="5" t="s">
        <v>238</v>
      </c>
      <c r="GV3728" s="5" t="s">
        <v>238</v>
      </c>
      <c r="GW3728" s="5" t="s">
        <v>238</v>
      </c>
      <c r="GX3728" s="5" t="s">
        <v>238</v>
      </c>
      <c r="GY3728" s="5" t="s">
        <v>238</v>
      </c>
      <c r="GZ3728" s="5" t="s">
        <v>238</v>
      </c>
      <c r="HA3728" s="5" t="s">
        <v>238</v>
      </c>
      <c r="HB3728" s="5" t="s">
        <v>238</v>
      </c>
      <c r="HC3728" s="5" t="s">
        <v>238</v>
      </c>
      <c r="HD3728" s="5" t="s">
        <v>238</v>
      </c>
      <c r="HE3728" s="5" t="s">
        <v>238</v>
      </c>
      <c r="HF3728" s="5" t="s">
        <v>238</v>
      </c>
      <c r="HG3728" s="5" t="s">
        <v>238</v>
      </c>
      <c r="HH3728" s="5" t="s">
        <v>238</v>
      </c>
      <c r="HI3728" s="5" t="s">
        <v>238</v>
      </c>
      <c r="HJ3728" s="5" t="s">
        <v>238</v>
      </c>
      <c r="HK3728" s="5" t="s">
        <v>238</v>
      </c>
      <c r="HL3728" s="5" t="s">
        <v>238</v>
      </c>
      <c r="HM3728" s="5" t="s">
        <v>238</v>
      </c>
      <c r="HN3728" s="5" t="s">
        <v>238</v>
      </c>
      <c r="HO3728" s="5" t="s">
        <v>238</v>
      </c>
      <c r="HP3728" s="5" t="s">
        <v>238</v>
      </c>
      <c r="HQ3728" s="5" t="s">
        <v>238</v>
      </c>
      <c r="HR3728" s="5" t="s">
        <v>238</v>
      </c>
      <c r="HS3728" s="5" t="s">
        <v>238</v>
      </c>
      <c r="HT3728" s="5" t="s">
        <v>238</v>
      </c>
      <c r="HU3728" s="5" t="s">
        <v>238</v>
      </c>
      <c r="HV3728" s="5" t="s">
        <v>238</v>
      </c>
      <c r="HW3728" s="5" t="s">
        <v>238</v>
      </c>
      <c r="HX3728" s="5" t="s">
        <v>238</v>
      </c>
      <c r="HY3728" s="5" t="s">
        <v>238</v>
      </c>
      <c r="HZ3728" s="5" t="s">
        <v>238</v>
      </c>
      <c r="IA3728" s="5" t="s">
        <v>238</v>
      </c>
      <c r="IB3728" s="5" t="s">
        <v>238</v>
      </c>
      <c r="IC3728" s="5" t="s">
        <v>238</v>
      </c>
      <c r="ID3728" s="5" t="s">
        <v>238</v>
      </c>
    </row>
    <row r="3729" spans="1:238" x14ac:dyDescent="0.4">
      <c r="A3729" s="5">
        <v>9447</v>
      </c>
      <c r="B3729" s="5">
        <v>1</v>
      </c>
      <c r="C3729" s="5">
        <v>1</v>
      </c>
      <c r="D3729" s="5" t="s">
        <v>484</v>
      </c>
      <c r="E3729" s="5" t="s">
        <v>485</v>
      </c>
      <c r="F3729" s="5" t="s">
        <v>248</v>
      </c>
      <c r="G3729" s="5" t="s">
        <v>4682</v>
      </c>
      <c r="H3729" s="6" t="s">
        <v>4684</v>
      </c>
      <c r="I3729" s="8">
        <f>1</f>
        <v>1</v>
      </c>
      <c r="J3729" s="5" t="s">
        <v>499</v>
      </c>
      <c r="K3729" s="8">
        <f>1</f>
        <v>1</v>
      </c>
      <c r="L3729" s="6" t="s">
        <v>242</v>
      </c>
      <c r="M3729" s="5" t="s">
        <v>267</v>
      </c>
      <c r="N3729" s="5" t="s">
        <v>482</v>
      </c>
      <c r="O3729" s="5" t="s">
        <v>238</v>
      </c>
      <c r="P3729" s="5" t="s">
        <v>238</v>
      </c>
      <c r="Q3729" s="5" t="s">
        <v>239</v>
      </c>
      <c r="R3729" s="5" t="s">
        <v>270</v>
      </c>
      <c r="S3729" s="5" t="s">
        <v>238</v>
      </c>
      <c r="T3729" s="5" t="s">
        <v>238</v>
      </c>
      <c r="U3729" s="5" t="s">
        <v>238</v>
      </c>
      <c r="V3729" s="5" t="s">
        <v>238</v>
      </c>
      <c r="W3729" s="6" t="s">
        <v>238</v>
      </c>
      <c r="X3729" s="6" t="s">
        <v>238</v>
      </c>
      <c r="Y3729" s="5" t="s">
        <v>238</v>
      </c>
      <c r="Z3729" s="6" t="s">
        <v>238</v>
      </c>
      <c r="AA3729" s="6" t="s">
        <v>243</v>
      </c>
      <c r="AB3729" s="5" t="s">
        <v>4683</v>
      </c>
      <c r="AC3729" s="5" t="s">
        <v>244</v>
      </c>
      <c r="AD3729" s="5" t="s">
        <v>245</v>
      </c>
      <c r="AE3729" s="5" t="s">
        <v>238</v>
      </c>
      <c r="AF3729" s="5" t="s">
        <v>238</v>
      </c>
      <c r="AG3729" s="5" t="s">
        <v>238</v>
      </c>
      <c r="AH3729" s="5" t="s">
        <v>238</v>
      </c>
      <c r="AI3729" s="5" t="s">
        <v>238</v>
      </c>
      <c r="AJ3729" s="5" t="s">
        <v>238</v>
      </c>
      <c r="AK3729" s="5" t="s">
        <v>238</v>
      </c>
      <c r="AL3729" s="5" t="s">
        <v>238</v>
      </c>
      <c r="AM3729" s="6" t="s">
        <v>238</v>
      </c>
      <c r="AN3729" s="6" t="s">
        <v>238</v>
      </c>
      <c r="AO3729" s="6" t="s">
        <v>238</v>
      </c>
      <c r="AP3729" s="6" t="s">
        <v>238</v>
      </c>
      <c r="AQ3729" s="5" t="s">
        <v>238</v>
      </c>
      <c r="AR3729" s="5" t="s">
        <v>488</v>
      </c>
      <c r="AS3729" s="5" t="s">
        <v>488</v>
      </c>
      <c r="AT3729" s="5" t="s">
        <v>246</v>
      </c>
      <c r="AU3729" s="5" t="s">
        <v>489</v>
      </c>
      <c r="AV3729" s="5" t="s">
        <v>247</v>
      </c>
      <c r="AW3729" s="5" t="s">
        <v>600</v>
      </c>
      <c r="AX3729" s="5" t="s">
        <v>249</v>
      </c>
      <c r="AY3729" s="5" t="s">
        <v>490</v>
      </c>
      <c r="BA3729" s="5" t="s">
        <v>238</v>
      </c>
      <c r="BC3729" s="5" t="s">
        <v>491</v>
      </c>
      <c r="BD3729" s="6" t="s">
        <v>492</v>
      </c>
      <c r="BE3729" s="5" t="s">
        <v>493</v>
      </c>
      <c r="BF3729" s="5" t="s">
        <v>493</v>
      </c>
      <c r="BG3729" s="5" t="s">
        <v>238</v>
      </c>
      <c r="BH3729" s="8">
        <f>1</f>
        <v>1</v>
      </c>
      <c r="BI3729" s="8">
        <f>1</f>
        <v>1</v>
      </c>
      <c r="BJ3729" s="5" t="s">
        <v>253</v>
      </c>
      <c r="BK3729" s="5" t="s">
        <v>254</v>
      </c>
      <c r="BL3729" s="5" t="s">
        <v>238</v>
      </c>
      <c r="BM3729" s="5" t="s">
        <v>238</v>
      </c>
      <c r="BN3729" s="5" t="s">
        <v>238</v>
      </c>
      <c r="BO3729" s="5" t="s">
        <v>238</v>
      </c>
      <c r="BP3729" s="5" t="s">
        <v>238</v>
      </c>
      <c r="BQ3729" s="5" t="s">
        <v>238</v>
      </c>
      <c r="BR3729" s="5" t="s">
        <v>238</v>
      </c>
      <c r="BS3729" s="5" t="s">
        <v>238</v>
      </c>
      <c r="BT3729" s="6" t="s">
        <v>238</v>
      </c>
      <c r="BU3729" s="5" t="s">
        <v>238</v>
      </c>
      <c r="BV3729" s="5" t="s">
        <v>238</v>
      </c>
      <c r="BW3729" s="5" t="s">
        <v>238</v>
      </c>
      <c r="BX3729" s="5" t="s">
        <v>254</v>
      </c>
      <c r="BY3729" s="5" t="s">
        <v>238</v>
      </c>
      <c r="BZ3729" s="5" t="s">
        <v>238</v>
      </c>
      <c r="CA3729" s="5" t="s">
        <v>238</v>
      </c>
      <c r="CB3729" s="5" t="s">
        <v>238</v>
      </c>
      <c r="CC3729" s="5" t="s">
        <v>238</v>
      </c>
      <c r="CD3729" s="5" t="s">
        <v>273</v>
      </c>
      <c r="CE3729" s="5" t="s">
        <v>256</v>
      </c>
      <c r="CF3729" s="5" t="s">
        <v>261</v>
      </c>
      <c r="CH3729" s="5" t="s">
        <v>494</v>
      </c>
      <c r="CI3729" s="6" t="s">
        <v>257</v>
      </c>
      <c r="CJ3729" s="5" t="s">
        <v>495</v>
      </c>
      <c r="CK3729" s="5" t="s">
        <v>258</v>
      </c>
      <c r="CL3729" s="5" t="s">
        <v>496</v>
      </c>
      <c r="CM3729" s="5" t="s">
        <v>238</v>
      </c>
      <c r="CN3729" s="5">
        <v>0</v>
      </c>
      <c r="CO3729" s="5" t="s">
        <v>497</v>
      </c>
      <c r="CP3729" s="5" t="s">
        <v>260</v>
      </c>
      <c r="CQ3729" s="5" t="s">
        <v>260</v>
      </c>
      <c r="CR3729" s="5" t="s">
        <v>261</v>
      </c>
      <c r="CS3729" s="5" t="s">
        <v>498</v>
      </c>
      <c r="CT3729" s="7">
        <f>1</f>
        <v>1</v>
      </c>
      <c r="CU3729" s="8">
        <f>1</f>
        <v>1</v>
      </c>
      <c r="CV3729" s="8">
        <f>0</f>
        <v>0</v>
      </c>
      <c r="CX3729" s="8">
        <f>1</f>
        <v>1</v>
      </c>
      <c r="CY3729" s="8">
        <f>1</f>
        <v>1</v>
      </c>
      <c r="CZ3729" s="8" t="s">
        <v>238</v>
      </c>
      <c r="DA3729" s="5" t="s">
        <v>238</v>
      </c>
      <c r="DB3729" s="5" t="s">
        <v>238</v>
      </c>
      <c r="DC3729" s="5" t="s">
        <v>238</v>
      </c>
      <c r="DD3729" s="5" t="s">
        <v>238</v>
      </c>
      <c r="DE3729" s="8">
        <f>0</f>
        <v>0</v>
      </c>
      <c r="DG3729" s="5" t="s">
        <v>238</v>
      </c>
      <c r="DH3729" s="5" t="s">
        <v>238</v>
      </c>
      <c r="DI3729" s="5" t="s">
        <v>238</v>
      </c>
      <c r="DJ3729" s="5" t="s">
        <v>238</v>
      </c>
      <c r="DK3729" s="5" t="s">
        <v>238</v>
      </c>
      <c r="DL3729" s="5" t="s">
        <v>238</v>
      </c>
      <c r="DM3729" s="8" t="s">
        <v>238</v>
      </c>
      <c r="DN3729" s="5" t="s">
        <v>238</v>
      </c>
      <c r="DO3729" s="5" t="s">
        <v>244</v>
      </c>
      <c r="DP3729" s="5" t="s">
        <v>490</v>
      </c>
      <c r="DQ3729" s="5" t="s">
        <v>490</v>
      </c>
      <c r="DR3729" s="5" t="s">
        <v>238</v>
      </c>
      <c r="DS3729" s="5" t="s">
        <v>238</v>
      </c>
      <c r="DT3729" s="5" t="s">
        <v>601</v>
      </c>
      <c r="DU3729" s="5" t="s">
        <v>1284</v>
      </c>
      <c r="DV3729" s="5" t="s">
        <v>238</v>
      </c>
      <c r="DW3729" s="5" t="s">
        <v>238</v>
      </c>
      <c r="DX3729" s="5" t="s">
        <v>238</v>
      </c>
      <c r="DY3729" s="5" t="s">
        <v>238</v>
      </c>
      <c r="DZ3729" s="5" t="s">
        <v>238</v>
      </c>
      <c r="EA3729" s="5" t="s">
        <v>238</v>
      </c>
      <c r="EB3729" s="5" t="s">
        <v>238</v>
      </c>
      <c r="EC3729" s="5" t="s">
        <v>238</v>
      </c>
      <c r="ED3729" s="5" t="s">
        <v>238</v>
      </c>
      <c r="EE3729" s="5" t="s">
        <v>238</v>
      </c>
      <c r="EF3729" s="5" t="s">
        <v>238</v>
      </c>
      <c r="EG3729" s="5" t="s">
        <v>238</v>
      </c>
      <c r="EH3729" s="5" t="s">
        <v>238</v>
      </c>
      <c r="EI3729" s="5" t="s">
        <v>238</v>
      </c>
      <c r="EJ3729" s="5" t="s">
        <v>238</v>
      </c>
      <c r="EK3729" s="5" t="s">
        <v>238</v>
      </c>
      <c r="EL3729" s="5" t="s">
        <v>238</v>
      </c>
      <c r="EM3729" s="5" t="s">
        <v>238</v>
      </c>
      <c r="EN3729" s="5" t="s">
        <v>238</v>
      </c>
      <c r="EO3729" s="5" t="s">
        <v>238</v>
      </c>
      <c r="EP3729" s="5" t="s">
        <v>238</v>
      </c>
      <c r="EQ3729" s="5" t="s">
        <v>238</v>
      </c>
      <c r="ER3729" s="5" t="s">
        <v>238</v>
      </c>
      <c r="ES3729" s="5" t="s">
        <v>238</v>
      </c>
      <c r="ET3729" s="5" t="s">
        <v>238</v>
      </c>
      <c r="EU3729" s="5" t="s">
        <v>238</v>
      </c>
      <c r="EV3729" s="5" t="s">
        <v>238</v>
      </c>
      <c r="EW3729" s="5" t="s">
        <v>238</v>
      </c>
      <c r="EX3729" s="5" t="s">
        <v>238</v>
      </c>
      <c r="EY3729" s="5" t="s">
        <v>238</v>
      </c>
      <c r="EZ3729" s="5" t="s">
        <v>238</v>
      </c>
      <c r="FA3729" s="5" t="s">
        <v>238</v>
      </c>
      <c r="FB3729" s="5" t="s">
        <v>238</v>
      </c>
      <c r="FC3729" s="5" t="s">
        <v>238</v>
      </c>
      <c r="FD3729" s="5" t="s">
        <v>238</v>
      </c>
      <c r="FE3729" s="5" t="s">
        <v>238</v>
      </c>
      <c r="FF3729" s="5" t="s">
        <v>238</v>
      </c>
      <c r="FG3729" s="5" t="s">
        <v>238</v>
      </c>
      <c r="FH3729" s="5" t="s">
        <v>238</v>
      </c>
      <c r="FI3729" s="5" t="s">
        <v>238</v>
      </c>
      <c r="FJ3729" s="5" t="s">
        <v>238</v>
      </c>
      <c r="FK3729" s="5" t="s">
        <v>238</v>
      </c>
      <c r="FL3729" s="5" t="s">
        <v>238</v>
      </c>
      <c r="FM3729" s="5" t="s">
        <v>238</v>
      </c>
      <c r="FN3729" s="5" t="s">
        <v>238</v>
      </c>
      <c r="FO3729" s="5" t="s">
        <v>238</v>
      </c>
      <c r="FP3729" s="5" t="s">
        <v>238</v>
      </c>
      <c r="FQ3729" s="5" t="s">
        <v>238</v>
      </c>
      <c r="FR3729" s="5" t="s">
        <v>238</v>
      </c>
      <c r="FS3729" s="5" t="s">
        <v>238</v>
      </c>
      <c r="FT3729" s="5" t="s">
        <v>238</v>
      </c>
      <c r="FU3729" s="5" t="s">
        <v>238</v>
      </c>
      <c r="FV3729" s="5" t="s">
        <v>238</v>
      </c>
      <c r="FW3729" s="5" t="s">
        <v>238</v>
      </c>
      <c r="FX3729" s="5" t="s">
        <v>238</v>
      </c>
      <c r="FY3729" s="5" t="s">
        <v>238</v>
      </c>
      <c r="FZ3729" s="5" t="s">
        <v>238</v>
      </c>
      <c r="GA3729" s="5" t="s">
        <v>238</v>
      </c>
      <c r="GB3729" s="5" t="s">
        <v>238</v>
      </c>
      <c r="GC3729" s="5" t="s">
        <v>238</v>
      </c>
      <c r="GD3729" s="5" t="s">
        <v>238</v>
      </c>
      <c r="GE3729" s="5" t="s">
        <v>238</v>
      </c>
      <c r="GF3729" s="5" t="s">
        <v>238</v>
      </c>
      <c r="GG3729" s="5" t="s">
        <v>238</v>
      </c>
      <c r="GH3729" s="5" t="s">
        <v>238</v>
      </c>
      <c r="GI3729" s="5" t="s">
        <v>238</v>
      </c>
      <c r="GJ3729" s="5" t="s">
        <v>238</v>
      </c>
      <c r="GK3729" s="5" t="s">
        <v>238</v>
      </c>
      <c r="GL3729" s="5" t="s">
        <v>238</v>
      </c>
      <c r="GM3729" s="5" t="s">
        <v>238</v>
      </c>
      <c r="GN3729" s="5" t="s">
        <v>238</v>
      </c>
      <c r="GO3729" s="5" t="s">
        <v>238</v>
      </c>
      <c r="GP3729" s="5" t="s">
        <v>238</v>
      </c>
      <c r="GQ3729" s="5" t="s">
        <v>238</v>
      </c>
      <c r="GR3729" s="5" t="s">
        <v>238</v>
      </c>
      <c r="GS3729" s="5" t="s">
        <v>238</v>
      </c>
      <c r="GT3729" s="5" t="s">
        <v>238</v>
      </c>
      <c r="GU3729" s="5" t="s">
        <v>238</v>
      </c>
      <c r="GV3729" s="5" t="s">
        <v>238</v>
      </c>
      <c r="GW3729" s="5" t="s">
        <v>238</v>
      </c>
      <c r="GX3729" s="5" t="s">
        <v>238</v>
      </c>
      <c r="GY3729" s="5" t="s">
        <v>238</v>
      </c>
      <c r="GZ3729" s="5" t="s">
        <v>238</v>
      </c>
      <c r="HA3729" s="5" t="s">
        <v>238</v>
      </c>
      <c r="HB3729" s="5" t="s">
        <v>238</v>
      </c>
      <c r="HC3729" s="5" t="s">
        <v>238</v>
      </c>
      <c r="HD3729" s="5" t="s">
        <v>238</v>
      </c>
      <c r="HE3729" s="5" t="s">
        <v>238</v>
      </c>
      <c r="HF3729" s="5" t="s">
        <v>238</v>
      </c>
      <c r="HG3729" s="5" t="s">
        <v>238</v>
      </c>
      <c r="HH3729" s="5" t="s">
        <v>238</v>
      </c>
      <c r="HI3729" s="5" t="s">
        <v>238</v>
      </c>
      <c r="HJ3729" s="5" t="s">
        <v>238</v>
      </c>
      <c r="HK3729" s="5" t="s">
        <v>238</v>
      </c>
      <c r="HL3729" s="5" t="s">
        <v>238</v>
      </c>
      <c r="HM3729" s="5" t="s">
        <v>238</v>
      </c>
      <c r="HN3729" s="5" t="s">
        <v>238</v>
      </c>
      <c r="HO3729" s="5" t="s">
        <v>238</v>
      </c>
      <c r="HP3729" s="5" t="s">
        <v>238</v>
      </c>
      <c r="HQ3729" s="5" t="s">
        <v>238</v>
      </c>
      <c r="HR3729" s="5" t="s">
        <v>238</v>
      </c>
      <c r="HS3729" s="5" t="s">
        <v>238</v>
      </c>
      <c r="HT3729" s="5" t="s">
        <v>238</v>
      </c>
      <c r="HU3729" s="5" t="s">
        <v>238</v>
      </c>
      <c r="HV3729" s="5" t="s">
        <v>238</v>
      </c>
      <c r="HW3729" s="5" t="s">
        <v>238</v>
      </c>
      <c r="HX3729" s="5" t="s">
        <v>238</v>
      </c>
      <c r="HY3729" s="5" t="s">
        <v>238</v>
      </c>
      <c r="HZ3729" s="5" t="s">
        <v>238</v>
      </c>
      <c r="IA3729" s="5" t="s">
        <v>238</v>
      </c>
      <c r="IB3729" s="5" t="s">
        <v>238</v>
      </c>
      <c r="IC3729" s="5" t="s">
        <v>238</v>
      </c>
      <c r="ID3729" s="5" t="s">
        <v>238</v>
      </c>
    </row>
    <row r="3730" spans="1:238" x14ac:dyDescent="0.4">
      <c r="A3730" s="5">
        <v>9448</v>
      </c>
      <c r="B3730" s="5">
        <v>1</v>
      </c>
      <c r="C3730" s="5">
        <v>1</v>
      </c>
      <c r="D3730" s="5" t="s">
        <v>484</v>
      </c>
      <c r="E3730" s="5" t="s">
        <v>485</v>
      </c>
      <c r="F3730" s="5" t="s">
        <v>248</v>
      </c>
      <c r="G3730" s="5" t="s">
        <v>4453</v>
      </c>
      <c r="H3730" s="6" t="s">
        <v>4454</v>
      </c>
      <c r="I3730" s="8">
        <f>1</f>
        <v>1</v>
      </c>
      <c r="J3730" s="5" t="s">
        <v>499</v>
      </c>
      <c r="K3730" s="8">
        <f>1</f>
        <v>1</v>
      </c>
      <c r="L3730" s="6" t="s">
        <v>242</v>
      </c>
      <c r="M3730" s="5" t="s">
        <v>267</v>
      </c>
      <c r="N3730" s="5" t="s">
        <v>482</v>
      </c>
      <c r="O3730" s="5" t="s">
        <v>238</v>
      </c>
      <c r="P3730" s="5" t="s">
        <v>238</v>
      </c>
      <c r="Q3730" s="5" t="s">
        <v>239</v>
      </c>
      <c r="R3730" s="5" t="s">
        <v>270</v>
      </c>
      <c r="S3730" s="5" t="s">
        <v>238</v>
      </c>
      <c r="T3730" s="5" t="s">
        <v>238</v>
      </c>
      <c r="U3730" s="5" t="s">
        <v>238</v>
      </c>
      <c r="V3730" s="5" t="s">
        <v>238</v>
      </c>
      <c r="W3730" s="6" t="s">
        <v>238</v>
      </c>
      <c r="X3730" s="6" t="s">
        <v>238</v>
      </c>
      <c r="Y3730" s="5" t="s">
        <v>238</v>
      </c>
      <c r="Z3730" s="6" t="s">
        <v>238</v>
      </c>
      <c r="AA3730" s="6" t="s">
        <v>243</v>
      </c>
      <c r="AB3730" s="5" t="s">
        <v>598</v>
      </c>
      <c r="AC3730" s="5" t="s">
        <v>244</v>
      </c>
      <c r="AD3730" s="5" t="s">
        <v>245</v>
      </c>
      <c r="AE3730" s="5" t="s">
        <v>238</v>
      </c>
      <c r="AF3730" s="5" t="s">
        <v>238</v>
      </c>
      <c r="AG3730" s="5" t="s">
        <v>238</v>
      </c>
      <c r="AH3730" s="5" t="s">
        <v>238</v>
      </c>
      <c r="AI3730" s="5" t="s">
        <v>238</v>
      </c>
      <c r="AJ3730" s="5" t="s">
        <v>238</v>
      </c>
      <c r="AK3730" s="5" t="s">
        <v>238</v>
      </c>
      <c r="AL3730" s="5" t="s">
        <v>238</v>
      </c>
      <c r="AM3730" s="6" t="s">
        <v>238</v>
      </c>
      <c r="AN3730" s="6" t="s">
        <v>238</v>
      </c>
      <c r="AO3730" s="6" t="s">
        <v>238</v>
      </c>
      <c r="AP3730" s="6" t="s">
        <v>238</v>
      </c>
      <c r="AQ3730" s="5" t="s">
        <v>238</v>
      </c>
      <c r="AR3730" s="5" t="s">
        <v>488</v>
      </c>
      <c r="AS3730" s="5" t="s">
        <v>488</v>
      </c>
      <c r="AT3730" s="5" t="s">
        <v>246</v>
      </c>
      <c r="AU3730" s="5" t="s">
        <v>489</v>
      </c>
      <c r="AV3730" s="5" t="s">
        <v>247</v>
      </c>
      <c r="AW3730" s="5" t="s">
        <v>600</v>
      </c>
      <c r="AX3730" s="5" t="s">
        <v>249</v>
      </c>
      <c r="AY3730" s="5" t="s">
        <v>490</v>
      </c>
      <c r="BA3730" s="5" t="s">
        <v>238</v>
      </c>
      <c r="BC3730" s="5" t="s">
        <v>491</v>
      </c>
      <c r="BD3730" s="6" t="s">
        <v>492</v>
      </c>
      <c r="BE3730" s="5" t="s">
        <v>493</v>
      </c>
      <c r="BF3730" s="5" t="s">
        <v>493</v>
      </c>
      <c r="BG3730" s="5" t="s">
        <v>238</v>
      </c>
      <c r="BH3730" s="8">
        <f>1</f>
        <v>1</v>
      </c>
      <c r="BI3730" s="8">
        <f>1</f>
        <v>1</v>
      </c>
      <c r="BJ3730" s="5" t="s">
        <v>253</v>
      </c>
      <c r="BK3730" s="5" t="s">
        <v>254</v>
      </c>
      <c r="BL3730" s="5" t="s">
        <v>238</v>
      </c>
      <c r="BM3730" s="5" t="s">
        <v>238</v>
      </c>
      <c r="BN3730" s="5" t="s">
        <v>238</v>
      </c>
      <c r="BO3730" s="5" t="s">
        <v>238</v>
      </c>
      <c r="BP3730" s="5" t="s">
        <v>238</v>
      </c>
      <c r="BQ3730" s="5" t="s">
        <v>238</v>
      </c>
      <c r="BR3730" s="5" t="s">
        <v>238</v>
      </c>
      <c r="BS3730" s="5" t="s">
        <v>238</v>
      </c>
      <c r="BT3730" s="6" t="s">
        <v>238</v>
      </c>
      <c r="BU3730" s="5" t="s">
        <v>238</v>
      </c>
      <c r="BV3730" s="5" t="s">
        <v>238</v>
      </c>
      <c r="BW3730" s="5" t="s">
        <v>238</v>
      </c>
      <c r="BX3730" s="5" t="s">
        <v>254</v>
      </c>
      <c r="BY3730" s="5" t="s">
        <v>238</v>
      </c>
      <c r="BZ3730" s="5" t="s">
        <v>238</v>
      </c>
      <c r="CA3730" s="5" t="s">
        <v>238</v>
      </c>
      <c r="CB3730" s="5" t="s">
        <v>238</v>
      </c>
      <c r="CC3730" s="5" t="s">
        <v>238</v>
      </c>
      <c r="CD3730" s="5" t="s">
        <v>273</v>
      </c>
      <c r="CE3730" s="5" t="s">
        <v>256</v>
      </c>
      <c r="CF3730" s="5" t="s">
        <v>261</v>
      </c>
      <c r="CH3730" s="5" t="s">
        <v>494</v>
      </c>
      <c r="CI3730" s="6" t="s">
        <v>257</v>
      </c>
      <c r="CJ3730" s="5" t="s">
        <v>495</v>
      </c>
      <c r="CK3730" s="5" t="s">
        <v>258</v>
      </c>
      <c r="CL3730" s="5" t="s">
        <v>496</v>
      </c>
      <c r="CM3730" s="5" t="s">
        <v>238</v>
      </c>
      <c r="CN3730" s="5">
        <v>0</v>
      </c>
      <c r="CO3730" s="5" t="s">
        <v>497</v>
      </c>
      <c r="CP3730" s="5" t="s">
        <v>260</v>
      </c>
      <c r="CQ3730" s="5" t="s">
        <v>260</v>
      </c>
      <c r="CR3730" s="5" t="s">
        <v>261</v>
      </c>
      <c r="CS3730" s="5" t="s">
        <v>498</v>
      </c>
      <c r="CT3730" s="7">
        <f>1</f>
        <v>1</v>
      </c>
      <c r="CU3730" s="8">
        <f>1</f>
        <v>1</v>
      </c>
      <c r="CV3730" s="8">
        <f>0</f>
        <v>0</v>
      </c>
      <c r="CX3730" s="8">
        <f>1</f>
        <v>1</v>
      </c>
      <c r="CY3730" s="8">
        <f>1</f>
        <v>1</v>
      </c>
      <c r="CZ3730" s="8" t="s">
        <v>238</v>
      </c>
      <c r="DA3730" s="5" t="s">
        <v>238</v>
      </c>
      <c r="DB3730" s="5" t="s">
        <v>238</v>
      </c>
      <c r="DC3730" s="5" t="s">
        <v>238</v>
      </c>
      <c r="DD3730" s="5" t="s">
        <v>238</v>
      </c>
      <c r="DE3730" s="8">
        <f>0</f>
        <v>0</v>
      </c>
      <c r="DG3730" s="5" t="s">
        <v>238</v>
      </c>
      <c r="DH3730" s="5" t="s">
        <v>238</v>
      </c>
      <c r="DI3730" s="5" t="s">
        <v>238</v>
      </c>
      <c r="DJ3730" s="5" t="s">
        <v>238</v>
      </c>
      <c r="DK3730" s="5" t="s">
        <v>238</v>
      </c>
      <c r="DL3730" s="5" t="s">
        <v>238</v>
      </c>
      <c r="DM3730" s="8" t="s">
        <v>238</v>
      </c>
      <c r="DN3730" s="5" t="s">
        <v>238</v>
      </c>
      <c r="DO3730" s="5" t="s">
        <v>244</v>
      </c>
      <c r="DP3730" s="5" t="s">
        <v>490</v>
      </c>
      <c r="DQ3730" s="5" t="s">
        <v>490</v>
      </c>
      <c r="DR3730" s="5" t="s">
        <v>238</v>
      </c>
      <c r="DS3730" s="5" t="s">
        <v>238</v>
      </c>
      <c r="DT3730" s="5" t="s">
        <v>601</v>
      </c>
      <c r="DU3730" s="5" t="s">
        <v>1276</v>
      </c>
      <c r="DV3730" s="5" t="s">
        <v>238</v>
      </c>
      <c r="DW3730" s="5" t="s">
        <v>238</v>
      </c>
      <c r="DX3730" s="5" t="s">
        <v>238</v>
      </c>
      <c r="DY3730" s="5" t="s">
        <v>238</v>
      </c>
      <c r="DZ3730" s="5" t="s">
        <v>238</v>
      </c>
      <c r="EA3730" s="5" t="s">
        <v>238</v>
      </c>
      <c r="EB3730" s="5" t="s">
        <v>238</v>
      </c>
      <c r="EC3730" s="5" t="s">
        <v>238</v>
      </c>
      <c r="ED3730" s="5" t="s">
        <v>238</v>
      </c>
      <c r="EE3730" s="5" t="s">
        <v>238</v>
      </c>
      <c r="EF3730" s="5" t="s">
        <v>238</v>
      </c>
      <c r="EG3730" s="5" t="s">
        <v>238</v>
      </c>
      <c r="EH3730" s="5" t="s">
        <v>238</v>
      </c>
      <c r="EI3730" s="5" t="s">
        <v>238</v>
      </c>
      <c r="EJ3730" s="5" t="s">
        <v>238</v>
      </c>
      <c r="EK3730" s="5" t="s">
        <v>238</v>
      </c>
      <c r="EL3730" s="5" t="s">
        <v>238</v>
      </c>
      <c r="EM3730" s="5" t="s">
        <v>238</v>
      </c>
      <c r="EN3730" s="5" t="s">
        <v>238</v>
      </c>
      <c r="EO3730" s="5" t="s">
        <v>238</v>
      </c>
      <c r="EP3730" s="5" t="s">
        <v>238</v>
      </c>
      <c r="EQ3730" s="5" t="s">
        <v>238</v>
      </c>
      <c r="ER3730" s="5" t="s">
        <v>238</v>
      </c>
      <c r="ES3730" s="5" t="s">
        <v>238</v>
      </c>
      <c r="ET3730" s="5" t="s">
        <v>238</v>
      </c>
      <c r="EU3730" s="5" t="s">
        <v>238</v>
      </c>
      <c r="EV3730" s="5" t="s">
        <v>238</v>
      </c>
      <c r="EW3730" s="5" t="s">
        <v>238</v>
      </c>
      <c r="EX3730" s="5" t="s">
        <v>238</v>
      </c>
      <c r="EY3730" s="5" t="s">
        <v>238</v>
      </c>
      <c r="EZ3730" s="5" t="s">
        <v>238</v>
      </c>
      <c r="FA3730" s="5" t="s">
        <v>238</v>
      </c>
      <c r="FB3730" s="5" t="s">
        <v>238</v>
      </c>
      <c r="FC3730" s="5" t="s">
        <v>238</v>
      </c>
      <c r="FD3730" s="5" t="s">
        <v>238</v>
      </c>
      <c r="FE3730" s="5" t="s">
        <v>238</v>
      </c>
      <c r="FF3730" s="5" t="s">
        <v>238</v>
      </c>
      <c r="FG3730" s="5" t="s">
        <v>238</v>
      </c>
      <c r="FH3730" s="5" t="s">
        <v>238</v>
      </c>
      <c r="FI3730" s="5" t="s">
        <v>238</v>
      </c>
      <c r="FJ3730" s="5" t="s">
        <v>238</v>
      </c>
      <c r="FK3730" s="5" t="s">
        <v>238</v>
      </c>
      <c r="FL3730" s="5" t="s">
        <v>238</v>
      </c>
      <c r="FM3730" s="5" t="s">
        <v>238</v>
      </c>
      <c r="FN3730" s="5" t="s">
        <v>238</v>
      </c>
      <c r="FO3730" s="5" t="s">
        <v>238</v>
      </c>
      <c r="FP3730" s="5" t="s">
        <v>238</v>
      </c>
      <c r="FQ3730" s="5" t="s">
        <v>238</v>
      </c>
      <c r="FR3730" s="5" t="s">
        <v>238</v>
      </c>
      <c r="FS3730" s="5" t="s">
        <v>238</v>
      </c>
      <c r="FT3730" s="5" t="s">
        <v>238</v>
      </c>
      <c r="FU3730" s="5" t="s">
        <v>238</v>
      </c>
      <c r="FV3730" s="5" t="s">
        <v>238</v>
      </c>
      <c r="FW3730" s="5" t="s">
        <v>238</v>
      </c>
      <c r="FX3730" s="5" t="s">
        <v>238</v>
      </c>
      <c r="FY3730" s="5" t="s">
        <v>238</v>
      </c>
      <c r="FZ3730" s="5" t="s">
        <v>238</v>
      </c>
      <c r="GA3730" s="5" t="s">
        <v>238</v>
      </c>
      <c r="GB3730" s="5" t="s">
        <v>238</v>
      </c>
      <c r="GC3730" s="5" t="s">
        <v>238</v>
      </c>
      <c r="GD3730" s="5" t="s">
        <v>238</v>
      </c>
      <c r="GE3730" s="5" t="s">
        <v>238</v>
      </c>
      <c r="GF3730" s="5" t="s">
        <v>238</v>
      </c>
      <c r="GG3730" s="5" t="s">
        <v>238</v>
      </c>
      <c r="GH3730" s="5" t="s">
        <v>238</v>
      </c>
      <c r="GI3730" s="5" t="s">
        <v>238</v>
      </c>
      <c r="GJ3730" s="5" t="s">
        <v>238</v>
      </c>
      <c r="GK3730" s="5" t="s">
        <v>238</v>
      </c>
      <c r="GL3730" s="5" t="s">
        <v>238</v>
      </c>
      <c r="GM3730" s="5" t="s">
        <v>238</v>
      </c>
      <c r="GN3730" s="5" t="s">
        <v>238</v>
      </c>
      <c r="GO3730" s="5" t="s">
        <v>238</v>
      </c>
      <c r="GP3730" s="5" t="s">
        <v>238</v>
      </c>
      <c r="GQ3730" s="5" t="s">
        <v>238</v>
      </c>
      <c r="GR3730" s="5" t="s">
        <v>238</v>
      </c>
      <c r="GS3730" s="5" t="s">
        <v>238</v>
      </c>
      <c r="GT3730" s="5" t="s">
        <v>238</v>
      </c>
      <c r="GU3730" s="5" t="s">
        <v>238</v>
      </c>
      <c r="GV3730" s="5" t="s">
        <v>238</v>
      </c>
      <c r="GW3730" s="5" t="s">
        <v>238</v>
      </c>
      <c r="GX3730" s="5" t="s">
        <v>238</v>
      </c>
      <c r="GY3730" s="5" t="s">
        <v>238</v>
      </c>
      <c r="GZ3730" s="5" t="s">
        <v>238</v>
      </c>
      <c r="HA3730" s="5" t="s">
        <v>238</v>
      </c>
      <c r="HB3730" s="5" t="s">
        <v>238</v>
      </c>
      <c r="HC3730" s="5" t="s">
        <v>238</v>
      </c>
      <c r="HD3730" s="5" t="s">
        <v>238</v>
      </c>
      <c r="HE3730" s="5" t="s">
        <v>238</v>
      </c>
      <c r="HF3730" s="5" t="s">
        <v>238</v>
      </c>
      <c r="HG3730" s="5" t="s">
        <v>238</v>
      </c>
      <c r="HH3730" s="5" t="s">
        <v>238</v>
      </c>
      <c r="HI3730" s="5" t="s">
        <v>238</v>
      </c>
      <c r="HJ3730" s="5" t="s">
        <v>238</v>
      </c>
      <c r="HK3730" s="5" t="s">
        <v>238</v>
      </c>
      <c r="HL3730" s="5" t="s">
        <v>238</v>
      </c>
      <c r="HM3730" s="5" t="s">
        <v>238</v>
      </c>
      <c r="HN3730" s="5" t="s">
        <v>238</v>
      </c>
      <c r="HO3730" s="5" t="s">
        <v>238</v>
      </c>
      <c r="HP3730" s="5" t="s">
        <v>238</v>
      </c>
      <c r="HQ3730" s="5" t="s">
        <v>238</v>
      </c>
      <c r="HR3730" s="5" t="s">
        <v>238</v>
      </c>
      <c r="HS3730" s="5" t="s">
        <v>238</v>
      </c>
      <c r="HT3730" s="5" t="s">
        <v>238</v>
      </c>
      <c r="HU3730" s="5" t="s">
        <v>238</v>
      </c>
      <c r="HV3730" s="5" t="s">
        <v>238</v>
      </c>
      <c r="HW3730" s="5" t="s">
        <v>238</v>
      </c>
      <c r="HX3730" s="5" t="s">
        <v>238</v>
      </c>
      <c r="HY3730" s="5" t="s">
        <v>238</v>
      </c>
      <c r="HZ3730" s="5" t="s">
        <v>238</v>
      </c>
      <c r="IA3730" s="5" t="s">
        <v>238</v>
      </c>
      <c r="IB3730" s="5" t="s">
        <v>238</v>
      </c>
      <c r="IC3730" s="5" t="s">
        <v>238</v>
      </c>
      <c r="ID3730" s="5" t="s">
        <v>238</v>
      </c>
    </row>
    <row r="3731" spans="1:238" x14ac:dyDescent="0.4">
      <c r="A3731" s="5">
        <v>9449</v>
      </c>
      <c r="B3731" s="5">
        <v>1</v>
      </c>
      <c r="C3731" s="5">
        <v>1</v>
      </c>
      <c r="D3731" s="5" t="s">
        <v>484</v>
      </c>
      <c r="E3731" s="5" t="s">
        <v>485</v>
      </c>
      <c r="F3731" s="5" t="s">
        <v>248</v>
      </c>
      <c r="G3731" s="5" t="s">
        <v>4706</v>
      </c>
      <c r="H3731" s="6" t="s">
        <v>4707</v>
      </c>
      <c r="I3731" s="8">
        <f>1</f>
        <v>1</v>
      </c>
      <c r="J3731" s="5" t="s">
        <v>499</v>
      </c>
      <c r="K3731" s="8">
        <f>1</f>
        <v>1</v>
      </c>
      <c r="L3731" s="6" t="s">
        <v>242</v>
      </c>
      <c r="M3731" s="5" t="s">
        <v>267</v>
      </c>
      <c r="N3731" s="5" t="s">
        <v>482</v>
      </c>
      <c r="O3731" s="5" t="s">
        <v>238</v>
      </c>
      <c r="P3731" s="5" t="s">
        <v>238</v>
      </c>
      <c r="Q3731" s="5" t="s">
        <v>239</v>
      </c>
      <c r="R3731" s="5" t="s">
        <v>270</v>
      </c>
      <c r="S3731" s="5" t="s">
        <v>238</v>
      </c>
      <c r="T3731" s="5" t="s">
        <v>238</v>
      </c>
      <c r="U3731" s="5" t="s">
        <v>238</v>
      </c>
      <c r="V3731" s="5" t="s">
        <v>238</v>
      </c>
      <c r="W3731" s="6" t="s">
        <v>238</v>
      </c>
      <c r="X3731" s="6" t="s">
        <v>238</v>
      </c>
      <c r="Y3731" s="5" t="s">
        <v>238</v>
      </c>
      <c r="Z3731" s="6" t="s">
        <v>238</v>
      </c>
      <c r="AA3731" s="6" t="s">
        <v>243</v>
      </c>
      <c r="AB3731" s="5" t="s">
        <v>598</v>
      </c>
      <c r="AC3731" s="5" t="s">
        <v>244</v>
      </c>
      <c r="AD3731" s="5" t="s">
        <v>245</v>
      </c>
      <c r="AE3731" s="5" t="s">
        <v>238</v>
      </c>
      <c r="AF3731" s="5" t="s">
        <v>238</v>
      </c>
      <c r="AG3731" s="5" t="s">
        <v>238</v>
      </c>
      <c r="AH3731" s="5" t="s">
        <v>238</v>
      </c>
      <c r="AI3731" s="5" t="s">
        <v>238</v>
      </c>
      <c r="AJ3731" s="5" t="s">
        <v>238</v>
      </c>
      <c r="AK3731" s="5" t="s">
        <v>238</v>
      </c>
      <c r="AL3731" s="5" t="s">
        <v>238</v>
      </c>
      <c r="AM3731" s="6" t="s">
        <v>238</v>
      </c>
      <c r="AN3731" s="6" t="s">
        <v>238</v>
      </c>
      <c r="AO3731" s="6" t="s">
        <v>238</v>
      </c>
      <c r="AP3731" s="6" t="s">
        <v>238</v>
      </c>
      <c r="AQ3731" s="5" t="s">
        <v>238</v>
      </c>
      <c r="AR3731" s="5" t="s">
        <v>488</v>
      </c>
      <c r="AS3731" s="5" t="s">
        <v>488</v>
      </c>
      <c r="AT3731" s="5" t="s">
        <v>246</v>
      </c>
      <c r="AU3731" s="5" t="s">
        <v>489</v>
      </c>
      <c r="AV3731" s="5" t="s">
        <v>247</v>
      </c>
      <c r="AW3731" s="5" t="s">
        <v>600</v>
      </c>
      <c r="AX3731" s="5" t="s">
        <v>249</v>
      </c>
      <c r="AY3731" s="5" t="s">
        <v>490</v>
      </c>
      <c r="BA3731" s="5" t="s">
        <v>238</v>
      </c>
      <c r="BC3731" s="5" t="s">
        <v>491</v>
      </c>
      <c r="BD3731" s="6" t="s">
        <v>492</v>
      </c>
      <c r="BE3731" s="5" t="s">
        <v>493</v>
      </c>
      <c r="BF3731" s="5" t="s">
        <v>493</v>
      </c>
      <c r="BG3731" s="5" t="s">
        <v>238</v>
      </c>
      <c r="BH3731" s="8">
        <f>1</f>
        <v>1</v>
      </c>
      <c r="BI3731" s="8">
        <f>1</f>
        <v>1</v>
      </c>
      <c r="BJ3731" s="5" t="s">
        <v>253</v>
      </c>
      <c r="BK3731" s="5" t="s">
        <v>254</v>
      </c>
      <c r="BL3731" s="5" t="s">
        <v>238</v>
      </c>
      <c r="BM3731" s="5" t="s">
        <v>238</v>
      </c>
      <c r="BN3731" s="5" t="s">
        <v>238</v>
      </c>
      <c r="BO3731" s="5" t="s">
        <v>238</v>
      </c>
      <c r="BP3731" s="5" t="s">
        <v>238</v>
      </c>
      <c r="BQ3731" s="5" t="s">
        <v>238</v>
      </c>
      <c r="BR3731" s="5" t="s">
        <v>238</v>
      </c>
      <c r="BS3731" s="5" t="s">
        <v>238</v>
      </c>
      <c r="BT3731" s="6" t="s">
        <v>238</v>
      </c>
      <c r="BU3731" s="5" t="s">
        <v>238</v>
      </c>
      <c r="BV3731" s="5" t="s">
        <v>238</v>
      </c>
      <c r="BW3731" s="5" t="s">
        <v>238</v>
      </c>
      <c r="BX3731" s="5" t="s">
        <v>254</v>
      </c>
      <c r="BY3731" s="5" t="s">
        <v>238</v>
      </c>
      <c r="BZ3731" s="5" t="s">
        <v>238</v>
      </c>
      <c r="CA3731" s="5" t="s">
        <v>238</v>
      </c>
      <c r="CB3731" s="5" t="s">
        <v>238</v>
      </c>
      <c r="CC3731" s="5" t="s">
        <v>238</v>
      </c>
      <c r="CD3731" s="5" t="s">
        <v>273</v>
      </c>
      <c r="CE3731" s="5" t="s">
        <v>256</v>
      </c>
      <c r="CF3731" s="5" t="s">
        <v>261</v>
      </c>
      <c r="CH3731" s="5" t="s">
        <v>494</v>
      </c>
      <c r="CI3731" s="6" t="s">
        <v>257</v>
      </c>
      <c r="CJ3731" s="5" t="s">
        <v>495</v>
      </c>
      <c r="CK3731" s="5" t="s">
        <v>258</v>
      </c>
      <c r="CL3731" s="5" t="s">
        <v>496</v>
      </c>
      <c r="CM3731" s="5" t="s">
        <v>238</v>
      </c>
      <c r="CN3731" s="5">
        <v>0</v>
      </c>
      <c r="CO3731" s="5" t="s">
        <v>497</v>
      </c>
      <c r="CP3731" s="5" t="s">
        <v>260</v>
      </c>
      <c r="CQ3731" s="5" t="s">
        <v>260</v>
      </c>
      <c r="CR3731" s="5" t="s">
        <v>261</v>
      </c>
      <c r="CS3731" s="5" t="s">
        <v>498</v>
      </c>
      <c r="CT3731" s="7">
        <f>1</f>
        <v>1</v>
      </c>
      <c r="CU3731" s="8">
        <f>1</f>
        <v>1</v>
      </c>
      <c r="CV3731" s="8">
        <f>0</f>
        <v>0</v>
      </c>
      <c r="CX3731" s="8">
        <f>1</f>
        <v>1</v>
      </c>
      <c r="CY3731" s="8">
        <f>1</f>
        <v>1</v>
      </c>
      <c r="CZ3731" s="8" t="s">
        <v>238</v>
      </c>
      <c r="DA3731" s="5" t="s">
        <v>238</v>
      </c>
      <c r="DB3731" s="5" t="s">
        <v>238</v>
      </c>
      <c r="DC3731" s="5" t="s">
        <v>238</v>
      </c>
      <c r="DD3731" s="5" t="s">
        <v>238</v>
      </c>
      <c r="DE3731" s="8">
        <f>0</f>
        <v>0</v>
      </c>
      <c r="DG3731" s="5" t="s">
        <v>238</v>
      </c>
      <c r="DH3731" s="5" t="s">
        <v>238</v>
      </c>
      <c r="DI3731" s="5" t="s">
        <v>238</v>
      </c>
      <c r="DJ3731" s="5" t="s">
        <v>238</v>
      </c>
      <c r="DK3731" s="5" t="s">
        <v>238</v>
      </c>
      <c r="DL3731" s="5" t="s">
        <v>238</v>
      </c>
      <c r="DM3731" s="8" t="s">
        <v>238</v>
      </c>
      <c r="DN3731" s="5" t="s">
        <v>238</v>
      </c>
      <c r="DO3731" s="5" t="s">
        <v>244</v>
      </c>
      <c r="DP3731" s="5" t="s">
        <v>490</v>
      </c>
      <c r="DQ3731" s="5" t="s">
        <v>490</v>
      </c>
      <c r="DR3731" s="5" t="s">
        <v>238</v>
      </c>
      <c r="DS3731" s="5" t="s">
        <v>238</v>
      </c>
      <c r="DT3731" s="5" t="s">
        <v>601</v>
      </c>
      <c r="DU3731" s="5" t="s">
        <v>1274</v>
      </c>
      <c r="DV3731" s="5" t="s">
        <v>238</v>
      </c>
      <c r="DW3731" s="5" t="s">
        <v>238</v>
      </c>
      <c r="DX3731" s="5" t="s">
        <v>238</v>
      </c>
      <c r="DY3731" s="5" t="s">
        <v>238</v>
      </c>
      <c r="DZ3731" s="5" t="s">
        <v>238</v>
      </c>
      <c r="EA3731" s="5" t="s">
        <v>238</v>
      </c>
      <c r="EB3731" s="5" t="s">
        <v>238</v>
      </c>
      <c r="EC3731" s="5" t="s">
        <v>238</v>
      </c>
      <c r="ED3731" s="5" t="s">
        <v>238</v>
      </c>
      <c r="EE3731" s="5" t="s">
        <v>238</v>
      </c>
      <c r="EF3731" s="5" t="s">
        <v>238</v>
      </c>
      <c r="EG3731" s="5" t="s">
        <v>238</v>
      </c>
      <c r="EH3731" s="5" t="s">
        <v>238</v>
      </c>
      <c r="EI3731" s="5" t="s">
        <v>238</v>
      </c>
      <c r="EJ3731" s="5" t="s">
        <v>238</v>
      </c>
      <c r="EK3731" s="5" t="s">
        <v>238</v>
      </c>
      <c r="EL3731" s="5" t="s">
        <v>238</v>
      </c>
      <c r="EM3731" s="5" t="s">
        <v>238</v>
      </c>
      <c r="EN3731" s="5" t="s">
        <v>238</v>
      </c>
      <c r="EO3731" s="5" t="s">
        <v>238</v>
      </c>
      <c r="EP3731" s="5" t="s">
        <v>238</v>
      </c>
      <c r="EQ3731" s="5" t="s">
        <v>238</v>
      </c>
      <c r="ER3731" s="5" t="s">
        <v>238</v>
      </c>
      <c r="ES3731" s="5" t="s">
        <v>238</v>
      </c>
      <c r="ET3731" s="5" t="s">
        <v>238</v>
      </c>
      <c r="EU3731" s="5" t="s">
        <v>238</v>
      </c>
      <c r="EV3731" s="5" t="s">
        <v>238</v>
      </c>
      <c r="EW3731" s="5" t="s">
        <v>238</v>
      </c>
      <c r="EX3731" s="5" t="s">
        <v>238</v>
      </c>
      <c r="EY3731" s="5" t="s">
        <v>238</v>
      </c>
      <c r="EZ3731" s="5" t="s">
        <v>238</v>
      </c>
      <c r="FA3731" s="5" t="s">
        <v>238</v>
      </c>
      <c r="FB3731" s="5" t="s">
        <v>238</v>
      </c>
      <c r="FC3731" s="5" t="s">
        <v>238</v>
      </c>
      <c r="FD3731" s="5" t="s">
        <v>238</v>
      </c>
      <c r="FE3731" s="5" t="s">
        <v>238</v>
      </c>
      <c r="FF3731" s="5" t="s">
        <v>238</v>
      </c>
      <c r="FG3731" s="5" t="s">
        <v>238</v>
      </c>
      <c r="FH3731" s="5" t="s">
        <v>238</v>
      </c>
      <c r="FI3731" s="5" t="s">
        <v>238</v>
      </c>
      <c r="FJ3731" s="5" t="s">
        <v>238</v>
      </c>
      <c r="FK3731" s="5" t="s">
        <v>238</v>
      </c>
      <c r="FL3731" s="5" t="s">
        <v>238</v>
      </c>
      <c r="FM3731" s="5" t="s">
        <v>238</v>
      </c>
      <c r="FN3731" s="5" t="s">
        <v>238</v>
      </c>
      <c r="FO3731" s="5" t="s">
        <v>238</v>
      </c>
      <c r="FP3731" s="5" t="s">
        <v>238</v>
      </c>
      <c r="FQ3731" s="5" t="s">
        <v>238</v>
      </c>
      <c r="FR3731" s="5" t="s">
        <v>238</v>
      </c>
      <c r="FS3731" s="5" t="s">
        <v>238</v>
      </c>
      <c r="FT3731" s="5" t="s">
        <v>238</v>
      </c>
      <c r="FU3731" s="5" t="s">
        <v>238</v>
      </c>
      <c r="FV3731" s="5" t="s">
        <v>238</v>
      </c>
      <c r="FW3731" s="5" t="s">
        <v>238</v>
      </c>
      <c r="FX3731" s="5" t="s">
        <v>238</v>
      </c>
      <c r="FY3731" s="5" t="s">
        <v>238</v>
      </c>
      <c r="FZ3731" s="5" t="s">
        <v>238</v>
      </c>
      <c r="GA3731" s="5" t="s">
        <v>238</v>
      </c>
      <c r="GB3731" s="5" t="s">
        <v>238</v>
      </c>
      <c r="GC3731" s="5" t="s">
        <v>238</v>
      </c>
      <c r="GD3731" s="5" t="s">
        <v>238</v>
      </c>
      <c r="GE3731" s="5" t="s">
        <v>238</v>
      </c>
      <c r="GF3731" s="5" t="s">
        <v>238</v>
      </c>
      <c r="GG3731" s="5" t="s">
        <v>238</v>
      </c>
      <c r="GH3731" s="5" t="s">
        <v>238</v>
      </c>
      <c r="GI3731" s="5" t="s">
        <v>238</v>
      </c>
      <c r="GJ3731" s="5" t="s">
        <v>238</v>
      </c>
      <c r="GK3731" s="5" t="s">
        <v>238</v>
      </c>
      <c r="GL3731" s="5" t="s">
        <v>238</v>
      </c>
      <c r="GM3731" s="5" t="s">
        <v>238</v>
      </c>
      <c r="GN3731" s="5" t="s">
        <v>238</v>
      </c>
      <c r="GO3731" s="5" t="s">
        <v>238</v>
      </c>
      <c r="GP3731" s="5" t="s">
        <v>238</v>
      </c>
      <c r="GQ3731" s="5" t="s">
        <v>238</v>
      </c>
      <c r="GR3731" s="5" t="s">
        <v>238</v>
      </c>
      <c r="GS3731" s="5" t="s">
        <v>238</v>
      </c>
      <c r="GT3731" s="5" t="s">
        <v>238</v>
      </c>
      <c r="GU3731" s="5" t="s">
        <v>238</v>
      </c>
      <c r="GV3731" s="5" t="s">
        <v>238</v>
      </c>
      <c r="GW3731" s="5" t="s">
        <v>238</v>
      </c>
      <c r="GX3731" s="5" t="s">
        <v>238</v>
      </c>
      <c r="GY3731" s="5" t="s">
        <v>238</v>
      </c>
      <c r="GZ3731" s="5" t="s">
        <v>238</v>
      </c>
      <c r="HA3731" s="5" t="s">
        <v>238</v>
      </c>
      <c r="HB3731" s="5" t="s">
        <v>238</v>
      </c>
      <c r="HC3731" s="5" t="s">
        <v>238</v>
      </c>
      <c r="HD3731" s="5" t="s">
        <v>238</v>
      </c>
      <c r="HE3731" s="5" t="s">
        <v>238</v>
      </c>
      <c r="HF3731" s="5" t="s">
        <v>238</v>
      </c>
      <c r="HG3731" s="5" t="s">
        <v>238</v>
      </c>
      <c r="HH3731" s="5" t="s">
        <v>238</v>
      </c>
      <c r="HI3731" s="5" t="s">
        <v>238</v>
      </c>
      <c r="HJ3731" s="5" t="s">
        <v>238</v>
      </c>
      <c r="HK3731" s="5" t="s">
        <v>238</v>
      </c>
      <c r="HL3731" s="5" t="s">
        <v>238</v>
      </c>
      <c r="HM3731" s="5" t="s">
        <v>238</v>
      </c>
      <c r="HN3731" s="5" t="s">
        <v>238</v>
      </c>
      <c r="HO3731" s="5" t="s">
        <v>238</v>
      </c>
      <c r="HP3731" s="5" t="s">
        <v>238</v>
      </c>
      <c r="HQ3731" s="5" t="s">
        <v>238</v>
      </c>
      <c r="HR3731" s="5" t="s">
        <v>238</v>
      </c>
      <c r="HS3731" s="5" t="s">
        <v>238</v>
      </c>
      <c r="HT3731" s="5" t="s">
        <v>238</v>
      </c>
      <c r="HU3731" s="5" t="s">
        <v>238</v>
      </c>
      <c r="HV3731" s="5" t="s">
        <v>238</v>
      </c>
      <c r="HW3731" s="5" t="s">
        <v>238</v>
      </c>
      <c r="HX3731" s="5" t="s">
        <v>238</v>
      </c>
      <c r="HY3731" s="5" t="s">
        <v>238</v>
      </c>
      <c r="HZ3731" s="5" t="s">
        <v>238</v>
      </c>
      <c r="IA3731" s="5" t="s">
        <v>238</v>
      </c>
      <c r="IB3731" s="5" t="s">
        <v>238</v>
      </c>
      <c r="IC3731" s="5" t="s">
        <v>238</v>
      </c>
      <c r="ID3731" s="5" t="s">
        <v>238</v>
      </c>
    </row>
    <row r="3732" spans="1:238" x14ac:dyDescent="0.4">
      <c r="A3732" s="5">
        <v>9450</v>
      </c>
      <c r="B3732" s="5">
        <v>1</v>
      </c>
      <c r="C3732" s="5">
        <v>1</v>
      </c>
      <c r="D3732" s="5" t="s">
        <v>484</v>
      </c>
      <c r="E3732" s="5" t="s">
        <v>485</v>
      </c>
      <c r="F3732" s="5" t="s">
        <v>248</v>
      </c>
      <c r="G3732" s="5" t="s">
        <v>4451</v>
      </c>
      <c r="H3732" s="6" t="s">
        <v>4452</v>
      </c>
      <c r="I3732" s="8">
        <f>1</f>
        <v>1</v>
      </c>
      <c r="J3732" s="5" t="s">
        <v>499</v>
      </c>
      <c r="K3732" s="8">
        <f>1</f>
        <v>1</v>
      </c>
      <c r="L3732" s="6" t="s">
        <v>242</v>
      </c>
      <c r="M3732" s="5" t="s">
        <v>267</v>
      </c>
      <c r="N3732" s="5" t="s">
        <v>482</v>
      </c>
      <c r="O3732" s="5" t="s">
        <v>238</v>
      </c>
      <c r="P3732" s="5" t="s">
        <v>238</v>
      </c>
      <c r="Q3732" s="5" t="s">
        <v>239</v>
      </c>
      <c r="R3732" s="5" t="s">
        <v>270</v>
      </c>
      <c r="S3732" s="5" t="s">
        <v>238</v>
      </c>
      <c r="T3732" s="5" t="s">
        <v>238</v>
      </c>
      <c r="U3732" s="5" t="s">
        <v>238</v>
      </c>
      <c r="V3732" s="5" t="s">
        <v>238</v>
      </c>
      <c r="W3732" s="6" t="s">
        <v>238</v>
      </c>
      <c r="X3732" s="6" t="s">
        <v>238</v>
      </c>
      <c r="Y3732" s="5" t="s">
        <v>238</v>
      </c>
      <c r="Z3732" s="6" t="s">
        <v>238</v>
      </c>
      <c r="AA3732" s="6" t="s">
        <v>243</v>
      </c>
      <c r="AB3732" s="5" t="s">
        <v>598</v>
      </c>
      <c r="AC3732" s="5" t="s">
        <v>244</v>
      </c>
      <c r="AD3732" s="5" t="s">
        <v>245</v>
      </c>
      <c r="AE3732" s="5" t="s">
        <v>238</v>
      </c>
      <c r="AF3732" s="5" t="s">
        <v>238</v>
      </c>
      <c r="AG3732" s="5" t="s">
        <v>238</v>
      </c>
      <c r="AH3732" s="5" t="s">
        <v>238</v>
      </c>
      <c r="AI3732" s="5" t="s">
        <v>238</v>
      </c>
      <c r="AJ3732" s="5" t="s">
        <v>238</v>
      </c>
      <c r="AK3732" s="5" t="s">
        <v>238</v>
      </c>
      <c r="AL3732" s="5" t="s">
        <v>238</v>
      </c>
      <c r="AM3732" s="6" t="s">
        <v>238</v>
      </c>
      <c r="AN3732" s="6" t="s">
        <v>238</v>
      </c>
      <c r="AO3732" s="6" t="s">
        <v>238</v>
      </c>
      <c r="AP3732" s="6" t="s">
        <v>238</v>
      </c>
      <c r="AQ3732" s="5" t="s">
        <v>238</v>
      </c>
      <c r="AR3732" s="5" t="s">
        <v>488</v>
      </c>
      <c r="AS3732" s="5" t="s">
        <v>488</v>
      </c>
      <c r="AT3732" s="5" t="s">
        <v>246</v>
      </c>
      <c r="AU3732" s="5" t="s">
        <v>489</v>
      </c>
      <c r="AV3732" s="5" t="s">
        <v>247</v>
      </c>
      <c r="AW3732" s="5" t="s">
        <v>600</v>
      </c>
      <c r="AX3732" s="5" t="s">
        <v>249</v>
      </c>
      <c r="AY3732" s="5" t="s">
        <v>490</v>
      </c>
      <c r="BA3732" s="5" t="s">
        <v>238</v>
      </c>
      <c r="BC3732" s="5" t="s">
        <v>491</v>
      </c>
      <c r="BD3732" s="6" t="s">
        <v>492</v>
      </c>
      <c r="BE3732" s="5" t="s">
        <v>493</v>
      </c>
      <c r="BF3732" s="5" t="s">
        <v>493</v>
      </c>
      <c r="BG3732" s="5" t="s">
        <v>238</v>
      </c>
      <c r="BH3732" s="8">
        <f>1</f>
        <v>1</v>
      </c>
      <c r="BI3732" s="8">
        <f>1</f>
        <v>1</v>
      </c>
      <c r="BJ3732" s="5" t="s">
        <v>253</v>
      </c>
      <c r="BK3732" s="5" t="s">
        <v>254</v>
      </c>
      <c r="BL3732" s="5" t="s">
        <v>238</v>
      </c>
      <c r="BM3732" s="5" t="s">
        <v>238</v>
      </c>
      <c r="BN3732" s="5" t="s">
        <v>238</v>
      </c>
      <c r="BO3732" s="5" t="s">
        <v>238</v>
      </c>
      <c r="BP3732" s="5" t="s">
        <v>238</v>
      </c>
      <c r="BQ3732" s="5" t="s">
        <v>238</v>
      </c>
      <c r="BR3732" s="5" t="s">
        <v>238</v>
      </c>
      <c r="BS3732" s="5" t="s">
        <v>238</v>
      </c>
      <c r="BT3732" s="6" t="s">
        <v>238</v>
      </c>
      <c r="BU3732" s="5" t="s">
        <v>238</v>
      </c>
      <c r="BV3732" s="5" t="s">
        <v>238</v>
      </c>
      <c r="BW3732" s="5" t="s">
        <v>238</v>
      </c>
      <c r="BX3732" s="5" t="s">
        <v>254</v>
      </c>
      <c r="BY3732" s="5" t="s">
        <v>238</v>
      </c>
      <c r="BZ3732" s="5" t="s">
        <v>238</v>
      </c>
      <c r="CA3732" s="5" t="s">
        <v>238</v>
      </c>
      <c r="CB3732" s="5" t="s">
        <v>238</v>
      </c>
      <c r="CC3732" s="5" t="s">
        <v>238</v>
      </c>
      <c r="CD3732" s="5" t="s">
        <v>273</v>
      </c>
      <c r="CE3732" s="5" t="s">
        <v>256</v>
      </c>
      <c r="CF3732" s="5" t="s">
        <v>261</v>
      </c>
      <c r="CH3732" s="5" t="s">
        <v>494</v>
      </c>
      <c r="CI3732" s="6" t="s">
        <v>257</v>
      </c>
      <c r="CJ3732" s="5" t="s">
        <v>495</v>
      </c>
      <c r="CK3732" s="5" t="s">
        <v>258</v>
      </c>
      <c r="CL3732" s="5" t="s">
        <v>496</v>
      </c>
      <c r="CM3732" s="5" t="s">
        <v>238</v>
      </c>
      <c r="CN3732" s="5">
        <v>0</v>
      </c>
      <c r="CO3732" s="5" t="s">
        <v>497</v>
      </c>
      <c r="CP3732" s="5" t="s">
        <v>260</v>
      </c>
      <c r="CQ3732" s="5" t="s">
        <v>260</v>
      </c>
      <c r="CR3732" s="5" t="s">
        <v>261</v>
      </c>
      <c r="CS3732" s="5" t="s">
        <v>498</v>
      </c>
      <c r="CT3732" s="7">
        <f>1</f>
        <v>1</v>
      </c>
      <c r="CU3732" s="8">
        <f>1</f>
        <v>1</v>
      </c>
      <c r="CV3732" s="8">
        <f>0</f>
        <v>0</v>
      </c>
      <c r="CX3732" s="8">
        <f>1</f>
        <v>1</v>
      </c>
      <c r="CY3732" s="8">
        <f>1</f>
        <v>1</v>
      </c>
      <c r="CZ3732" s="8" t="s">
        <v>238</v>
      </c>
      <c r="DA3732" s="5" t="s">
        <v>238</v>
      </c>
      <c r="DB3732" s="5" t="s">
        <v>238</v>
      </c>
      <c r="DC3732" s="5" t="s">
        <v>238</v>
      </c>
      <c r="DD3732" s="5" t="s">
        <v>238</v>
      </c>
      <c r="DE3732" s="8">
        <f>0</f>
        <v>0</v>
      </c>
      <c r="DG3732" s="5" t="s">
        <v>238</v>
      </c>
      <c r="DH3732" s="5" t="s">
        <v>238</v>
      </c>
      <c r="DI3732" s="5" t="s">
        <v>238</v>
      </c>
      <c r="DJ3732" s="5" t="s">
        <v>238</v>
      </c>
      <c r="DK3732" s="5" t="s">
        <v>238</v>
      </c>
      <c r="DL3732" s="5" t="s">
        <v>238</v>
      </c>
      <c r="DM3732" s="8" t="s">
        <v>238</v>
      </c>
      <c r="DN3732" s="5" t="s">
        <v>238</v>
      </c>
      <c r="DO3732" s="5" t="s">
        <v>244</v>
      </c>
      <c r="DP3732" s="5" t="s">
        <v>490</v>
      </c>
      <c r="DQ3732" s="5" t="s">
        <v>490</v>
      </c>
      <c r="DR3732" s="5" t="s">
        <v>238</v>
      </c>
      <c r="DS3732" s="5" t="s">
        <v>238</v>
      </c>
      <c r="DT3732" s="5" t="s">
        <v>601</v>
      </c>
      <c r="DU3732" s="5" t="s">
        <v>1270</v>
      </c>
      <c r="DV3732" s="5" t="s">
        <v>238</v>
      </c>
      <c r="DW3732" s="5" t="s">
        <v>238</v>
      </c>
      <c r="DX3732" s="5" t="s">
        <v>238</v>
      </c>
      <c r="DY3732" s="5" t="s">
        <v>238</v>
      </c>
      <c r="DZ3732" s="5" t="s">
        <v>238</v>
      </c>
      <c r="EA3732" s="5" t="s">
        <v>238</v>
      </c>
      <c r="EB3732" s="5" t="s">
        <v>238</v>
      </c>
      <c r="EC3732" s="5" t="s">
        <v>238</v>
      </c>
      <c r="ED3732" s="5" t="s">
        <v>238</v>
      </c>
      <c r="EE3732" s="5" t="s">
        <v>238</v>
      </c>
      <c r="EF3732" s="5" t="s">
        <v>238</v>
      </c>
      <c r="EG3732" s="5" t="s">
        <v>238</v>
      </c>
      <c r="EH3732" s="5" t="s">
        <v>238</v>
      </c>
      <c r="EI3732" s="5" t="s">
        <v>238</v>
      </c>
      <c r="EJ3732" s="5" t="s">
        <v>238</v>
      </c>
      <c r="EK3732" s="5" t="s">
        <v>238</v>
      </c>
      <c r="EL3732" s="5" t="s">
        <v>238</v>
      </c>
      <c r="EM3732" s="5" t="s">
        <v>238</v>
      </c>
      <c r="EN3732" s="5" t="s">
        <v>238</v>
      </c>
      <c r="EO3732" s="5" t="s">
        <v>238</v>
      </c>
      <c r="EP3732" s="5" t="s">
        <v>238</v>
      </c>
      <c r="EQ3732" s="5" t="s">
        <v>238</v>
      </c>
      <c r="ER3732" s="5" t="s">
        <v>238</v>
      </c>
      <c r="ES3732" s="5" t="s">
        <v>238</v>
      </c>
      <c r="ET3732" s="5" t="s">
        <v>238</v>
      </c>
      <c r="EU3732" s="5" t="s">
        <v>238</v>
      </c>
      <c r="EV3732" s="5" t="s">
        <v>238</v>
      </c>
      <c r="EW3732" s="5" t="s">
        <v>238</v>
      </c>
      <c r="EX3732" s="5" t="s">
        <v>238</v>
      </c>
      <c r="EY3732" s="5" t="s">
        <v>238</v>
      </c>
      <c r="EZ3732" s="5" t="s">
        <v>238</v>
      </c>
      <c r="FA3732" s="5" t="s">
        <v>238</v>
      </c>
      <c r="FB3732" s="5" t="s">
        <v>238</v>
      </c>
      <c r="FC3732" s="5" t="s">
        <v>238</v>
      </c>
      <c r="FD3732" s="5" t="s">
        <v>238</v>
      </c>
      <c r="FE3732" s="5" t="s">
        <v>238</v>
      </c>
      <c r="FF3732" s="5" t="s">
        <v>238</v>
      </c>
      <c r="FG3732" s="5" t="s">
        <v>238</v>
      </c>
      <c r="FH3732" s="5" t="s">
        <v>238</v>
      </c>
      <c r="FI3732" s="5" t="s">
        <v>238</v>
      </c>
      <c r="FJ3732" s="5" t="s">
        <v>238</v>
      </c>
      <c r="FK3732" s="5" t="s">
        <v>238</v>
      </c>
      <c r="FL3732" s="5" t="s">
        <v>238</v>
      </c>
      <c r="FM3732" s="5" t="s">
        <v>238</v>
      </c>
      <c r="FN3732" s="5" t="s">
        <v>238</v>
      </c>
      <c r="FO3732" s="5" t="s">
        <v>238</v>
      </c>
      <c r="FP3732" s="5" t="s">
        <v>238</v>
      </c>
      <c r="FQ3732" s="5" t="s">
        <v>238</v>
      </c>
      <c r="FR3732" s="5" t="s">
        <v>238</v>
      </c>
      <c r="FS3732" s="5" t="s">
        <v>238</v>
      </c>
      <c r="FT3732" s="5" t="s">
        <v>238</v>
      </c>
      <c r="FU3732" s="5" t="s">
        <v>238</v>
      </c>
      <c r="FV3732" s="5" t="s">
        <v>238</v>
      </c>
      <c r="FW3732" s="5" t="s">
        <v>238</v>
      </c>
      <c r="FX3732" s="5" t="s">
        <v>238</v>
      </c>
      <c r="FY3732" s="5" t="s">
        <v>238</v>
      </c>
      <c r="FZ3732" s="5" t="s">
        <v>238</v>
      </c>
      <c r="GA3732" s="5" t="s">
        <v>238</v>
      </c>
      <c r="GB3732" s="5" t="s">
        <v>238</v>
      </c>
      <c r="GC3732" s="5" t="s">
        <v>238</v>
      </c>
      <c r="GD3732" s="5" t="s">
        <v>238</v>
      </c>
      <c r="GE3732" s="5" t="s">
        <v>238</v>
      </c>
      <c r="GF3732" s="5" t="s">
        <v>238</v>
      </c>
      <c r="GG3732" s="5" t="s">
        <v>238</v>
      </c>
      <c r="GH3732" s="5" t="s">
        <v>238</v>
      </c>
      <c r="GI3732" s="5" t="s">
        <v>238</v>
      </c>
      <c r="GJ3732" s="5" t="s">
        <v>238</v>
      </c>
      <c r="GK3732" s="5" t="s">
        <v>238</v>
      </c>
      <c r="GL3732" s="5" t="s">
        <v>238</v>
      </c>
      <c r="GM3732" s="5" t="s">
        <v>238</v>
      </c>
      <c r="GN3732" s="5" t="s">
        <v>238</v>
      </c>
      <c r="GO3732" s="5" t="s">
        <v>238</v>
      </c>
      <c r="GP3732" s="5" t="s">
        <v>238</v>
      </c>
      <c r="GQ3732" s="5" t="s">
        <v>238</v>
      </c>
      <c r="GR3732" s="5" t="s">
        <v>238</v>
      </c>
      <c r="GS3732" s="5" t="s">
        <v>238</v>
      </c>
      <c r="GT3732" s="5" t="s">
        <v>238</v>
      </c>
      <c r="GU3732" s="5" t="s">
        <v>238</v>
      </c>
      <c r="GV3732" s="5" t="s">
        <v>238</v>
      </c>
      <c r="GW3732" s="5" t="s">
        <v>238</v>
      </c>
      <c r="GX3732" s="5" t="s">
        <v>238</v>
      </c>
      <c r="GY3732" s="5" t="s">
        <v>238</v>
      </c>
      <c r="GZ3732" s="5" t="s">
        <v>238</v>
      </c>
      <c r="HA3732" s="5" t="s">
        <v>238</v>
      </c>
      <c r="HB3732" s="5" t="s">
        <v>238</v>
      </c>
      <c r="HC3732" s="5" t="s">
        <v>238</v>
      </c>
      <c r="HD3732" s="5" t="s">
        <v>238</v>
      </c>
      <c r="HE3732" s="5" t="s">
        <v>238</v>
      </c>
      <c r="HF3732" s="5" t="s">
        <v>238</v>
      </c>
      <c r="HG3732" s="5" t="s">
        <v>238</v>
      </c>
      <c r="HH3732" s="5" t="s">
        <v>238</v>
      </c>
      <c r="HI3732" s="5" t="s">
        <v>238</v>
      </c>
      <c r="HJ3732" s="5" t="s">
        <v>238</v>
      </c>
      <c r="HK3732" s="5" t="s">
        <v>238</v>
      </c>
      <c r="HL3732" s="5" t="s">
        <v>238</v>
      </c>
      <c r="HM3732" s="5" t="s">
        <v>238</v>
      </c>
      <c r="HN3732" s="5" t="s">
        <v>238</v>
      </c>
      <c r="HO3732" s="5" t="s">
        <v>238</v>
      </c>
      <c r="HP3732" s="5" t="s">
        <v>238</v>
      </c>
      <c r="HQ3732" s="5" t="s">
        <v>238</v>
      </c>
      <c r="HR3732" s="5" t="s">
        <v>238</v>
      </c>
      <c r="HS3732" s="5" t="s">
        <v>238</v>
      </c>
      <c r="HT3732" s="5" t="s">
        <v>238</v>
      </c>
      <c r="HU3732" s="5" t="s">
        <v>238</v>
      </c>
      <c r="HV3732" s="5" t="s">
        <v>238</v>
      </c>
      <c r="HW3732" s="5" t="s">
        <v>238</v>
      </c>
      <c r="HX3732" s="5" t="s">
        <v>238</v>
      </c>
      <c r="HY3732" s="5" t="s">
        <v>238</v>
      </c>
      <c r="HZ3732" s="5" t="s">
        <v>238</v>
      </c>
      <c r="IA3732" s="5" t="s">
        <v>238</v>
      </c>
      <c r="IB3732" s="5" t="s">
        <v>238</v>
      </c>
      <c r="IC3732" s="5" t="s">
        <v>238</v>
      </c>
      <c r="ID3732" s="5" t="s">
        <v>238</v>
      </c>
    </row>
    <row r="3733" spans="1:238" x14ac:dyDescent="0.4">
      <c r="A3733" s="5">
        <v>9451</v>
      </c>
      <c r="B3733" s="5">
        <v>1</v>
      </c>
      <c r="C3733" s="5">
        <v>1</v>
      </c>
      <c r="D3733" s="5" t="s">
        <v>484</v>
      </c>
      <c r="E3733" s="5" t="s">
        <v>485</v>
      </c>
      <c r="F3733" s="5" t="s">
        <v>248</v>
      </c>
      <c r="G3733" s="5" t="s">
        <v>6485</v>
      </c>
      <c r="H3733" s="6" t="s">
        <v>6486</v>
      </c>
      <c r="I3733" s="8">
        <f>1</f>
        <v>1</v>
      </c>
      <c r="J3733" s="5" t="s">
        <v>499</v>
      </c>
      <c r="K3733" s="8">
        <f>1</f>
        <v>1</v>
      </c>
      <c r="L3733" s="6" t="s">
        <v>242</v>
      </c>
      <c r="M3733" s="5" t="s">
        <v>267</v>
      </c>
      <c r="N3733" s="5" t="s">
        <v>482</v>
      </c>
      <c r="O3733" s="5" t="s">
        <v>238</v>
      </c>
      <c r="P3733" s="5" t="s">
        <v>238</v>
      </c>
      <c r="Q3733" s="5" t="s">
        <v>239</v>
      </c>
      <c r="R3733" s="5" t="s">
        <v>270</v>
      </c>
      <c r="S3733" s="5" t="s">
        <v>238</v>
      </c>
      <c r="T3733" s="5" t="s">
        <v>238</v>
      </c>
      <c r="U3733" s="5" t="s">
        <v>238</v>
      </c>
      <c r="V3733" s="5" t="s">
        <v>238</v>
      </c>
      <c r="W3733" s="6" t="s">
        <v>238</v>
      </c>
      <c r="X3733" s="6" t="s">
        <v>238</v>
      </c>
      <c r="Y3733" s="5" t="s">
        <v>238</v>
      </c>
      <c r="Z3733" s="6" t="s">
        <v>238</v>
      </c>
      <c r="AA3733" s="6" t="s">
        <v>243</v>
      </c>
      <c r="AB3733" s="5" t="s">
        <v>598</v>
      </c>
      <c r="AC3733" s="5" t="s">
        <v>244</v>
      </c>
      <c r="AD3733" s="5" t="s">
        <v>245</v>
      </c>
      <c r="AE3733" s="5" t="s">
        <v>238</v>
      </c>
      <c r="AF3733" s="5" t="s">
        <v>238</v>
      </c>
      <c r="AG3733" s="5" t="s">
        <v>238</v>
      </c>
      <c r="AH3733" s="5" t="s">
        <v>238</v>
      </c>
      <c r="AI3733" s="5" t="s">
        <v>238</v>
      </c>
      <c r="AJ3733" s="5" t="s">
        <v>238</v>
      </c>
      <c r="AK3733" s="5" t="s">
        <v>238</v>
      </c>
      <c r="AL3733" s="5" t="s">
        <v>238</v>
      </c>
      <c r="AM3733" s="6" t="s">
        <v>238</v>
      </c>
      <c r="AN3733" s="6" t="s">
        <v>238</v>
      </c>
      <c r="AO3733" s="6" t="s">
        <v>238</v>
      </c>
      <c r="AP3733" s="6" t="s">
        <v>238</v>
      </c>
      <c r="AQ3733" s="5" t="s">
        <v>238</v>
      </c>
      <c r="AR3733" s="5" t="s">
        <v>488</v>
      </c>
      <c r="AS3733" s="5" t="s">
        <v>488</v>
      </c>
      <c r="AT3733" s="5" t="s">
        <v>246</v>
      </c>
      <c r="AU3733" s="5" t="s">
        <v>489</v>
      </c>
      <c r="AV3733" s="5" t="s">
        <v>247</v>
      </c>
      <c r="AW3733" s="5" t="s">
        <v>600</v>
      </c>
      <c r="AX3733" s="5" t="s">
        <v>249</v>
      </c>
      <c r="AY3733" s="5" t="s">
        <v>490</v>
      </c>
      <c r="BA3733" s="5" t="s">
        <v>238</v>
      </c>
      <c r="BC3733" s="5" t="s">
        <v>491</v>
      </c>
      <c r="BD3733" s="6" t="s">
        <v>492</v>
      </c>
      <c r="BE3733" s="5" t="s">
        <v>493</v>
      </c>
      <c r="BF3733" s="5" t="s">
        <v>493</v>
      </c>
      <c r="BG3733" s="5" t="s">
        <v>238</v>
      </c>
      <c r="BH3733" s="8">
        <f>1</f>
        <v>1</v>
      </c>
      <c r="BI3733" s="8">
        <f>1</f>
        <v>1</v>
      </c>
      <c r="BJ3733" s="5" t="s">
        <v>253</v>
      </c>
      <c r="BK3733" s="5" t="s">
        <v>254</v>
      </c>
      <c r="BL3733" s="5" t="s">
        <v>238</v>
      </c>
      <c r="BM3733" s="5" t="s">
        <v>238</v>
      </c>
      <c r="BN3733" s="5" t="s">
        <v>238</v>
      </c>
      <c r="BO3733" s="5" t="s">
        <v>238</v>
      </c>
      <c r="BP3733" s="5" t="s">
        <v>238</v>
      </c>
      <c r="BQ3733" s="5" t="s">
        <v>238</v>
      </c>
      <c r="BR3733" s="5" t="s">
        <v>238</v>
      </c>
      <c r="BS3733" s="5" t="s">
        <v>238</v>
      </c>
      <c r="BT3733" s="6" t="s">
        <v>238</v>
      </c>
      <c r="BU3733" s="5" t="s">
        <v>238</v>
      </c>
      <c r="BV3733" s="5" t="s">
        <v>238</v>
      </c>
      <c r="BW3733" s="5" t="s">
        <v>238</v>
      </c>
      <c r="BX3733" s="5" t="s">
        <v>254</v>
      </c>
      <c r="BY3733" s="5" t="s">
        <v>238</v>
      </c>
      <c r="BZ3733" s="5" t="s">
        <v>238</v>
      </c>
      <c r="CA3733" s="5" t="s">
        <v>238</v>
      </c>
      <c r="CB3733" s="5" t="s">
        <v>238</v>
      </c>
      <c r="CC3733" s="5" t="s">
        <v>238</v>
      </c>
      <c r="CD3733" s="5" t="s">
        <v>273</v>
      </c>
      <c r="CE3733" s="5" t="s">
        <v>256</v>
      </c>
      <c r="CF3733" s="5" t="s">
        <v>261</v>
      </c>
      <c r="CH3733" s="5" t="s">
        <v>494</v>
      </c>
      <c r="CI3733" s="6" t="s">
        <v>257</v>
      </c>
      <c r="CJ3733" s="5" t="s">
        <v>495</v>
      </c>
      <c r="CK3733" s="5" t="s">
        <v>258</v>
      </c>
      <c r="CL3733" s="5" t="s">
        <v>496</v>
      </c>
      <c r="CM3733" s="5" t="s">
        <v>238</v>
      </c>
      <c r="CN3733" s="5">
        <v>0</v>
      </c>
      <c r="CO3733" s="5" t="s">
        <v>497</v>
      </c>
      <c r="CP3733" s="5" t="s">
        <v>260</v>
      </c>
      <c r="CQ3733" s="5" t="s">
        <v>260</v>
      </c>
      <c r="CR3733" s="5" t="s">
        <v>261</v>
      </c>
      <c r="CS3733" s="5" t="s">
        <v>498</v>
      </c>
      <c r="CT3733" s="7">
        <f>1</f>
        <v>1</v>
      </c>
      <c r="CU3733" s="8">
        <f>1</f>
        <v>1</v>
      </c>
      <c r="CV3733" s="8">
        <f>0</f>
        <v>0</v>
      </c>
      <c r="CX3733" s="8">
        <f>1</f>
        <v>1</v>
      </c>
      <c r="CY3733" s="8">
        <f>1</f>
        <v>1</v>
      </c>
      <c r="CZ3733" s="8" t="s">
        <v>238</v>
      </c>
      <c r="DA3733" s="5" t="s">
        <v>238</v>
      </c>
      <c r="DB3733" s="5" t="s">
        <v>238</v>
      </c>
      <c r="DC3733" s="5" t="s">
        <v>238</v>
      </c>
      <c r="DD3733" s="5" t="s">
        <v>238</v>
      </c>
      <c r="DE3733" s="8">
        <f>0</f>
        <v>0</v>
      </c>
      <c r="DG3733" s="5" t="s">
        <v>238</v>
      </c>
      <c r="DH3733" s="5" t="s">
        <v>238</v>
      </c>
      <c r="DI3733" s="5" t="s">
        <v>238</v>
      </c>
      <c r="DJ3733" s="5" t="s">
        <v>238</v>
      </c>
      <c r="DK3733" s="5" t="s">
        <v>238</v>
      </c>
      <c r="DL3733" s="5" t="s">
        <v>238</v>
      </c>
      <c r="DM3733" s="8" t="s">
        <v>238</v>
      </c>
      <c r="DN3733" s="5" t="s">
        <v>238</v>
      </c>
      <c r="DO3733" s="5" t="s">
        <v>244</v>
      </c>
      <c r="DP3733" s="5" t="s">
        <v>490</v>
      </c>
      <c r="DQ3733" s="5" t="s">
        <v>490</v>
      </c>
      <c r="DR3733" s="5" t="s">
        <v>238</v>
      </c>
      <c r="DS3733" s="5" t="s">
        <v>238</v>
      </c>
      <c r="DT3733" s="5" t="s">
        <v>601</v>
      </c>
      <c r="DU3733" s="5" t="s">
        <v>1262</v>
      </c>
      <c r="DV3733" s="5" t="s">
        <v>238</v>
      </c>
      <c r="DW3733" s="5" t="s">
        <v>238</v>
      </c>
      <c r="DX3733" s="5" t="s">
        <v>238</v>
      </c>
      <c r="DY3733" s="5" t="s">
        <v>238</v>
      </c>
      <c r="DZ3733" s="5" t="s">
        <v>238</v>
      </c>
      <c r="EA3733" s="5" t="s">
        <v>238</v>
      </c>
      <c r="EB3733" s="5" t="s">
        <v>238</v>
      </c>
      <c r="EC3733" s="5" t="s">
        <v>238</v>
      </c>
      <c r="ED3733" s="5" t="s">
        <v>238</v>
      </c>
      <c r="EE3733" s="5" t="s">
        <v>238</v>
      </c>
      <c r="EF3733" s="5" t="s">
        <v>238</v>
      </c>
      <c r="EG3733" s="5" t="s">
        <v>238</v>
      </c>
      <c r="EH3733" s="5" t="s">
        <v>238</v>
      </c>
      <c r="EI3733" s="5" t="s">
        <v>238</v>
      </c>
      <c r="EJ3733" s="5" t="s">
        <v>238</v>
      </c>
      <c r="EK3733" s="5" t="s">
        <v>238</v>
      </c>
      <c r="EL3733" s="5" t="s">
        <v>238</v>
      </c>
      <c r="EM3733" s="5" t="s">
        <v>238</v>
      </c>
      <c r="EN3733" s="5" t="s">
        <v>238</v>
      </c>
      <c r="EO3733" s="5" t="s">
        <v>238</v>
      </c>
      <c r="EP3733" s="5" t="s">
        <v>238</v>
      </c>
      <c r="EQ3733" s="5" t="s">
        <v>238</v>
      </c>
      <c r="ER3733" s="5" t="s">
        <v>238</v>
      </c>
      <c r="ES3733" s="5" t="s">
        <v>238</v>
      </c>
      <c r="ET3733" s="5" t="s">
        <v>238</v>
      </c>
      <c r="EU3733" s="5" t="s">
        <v>238</v>
      </c>
      <c r="EV3733" s="5" t="s">
        <v>238</v>
      </c>
      <c r="EW3733" s="5" t="s">
        <v>238</v>
      </c>
      <c r="EX3733" s="5" t="s">
        <v>238</v>
      </c>
      <c r="EY3733" s="5" t="s">
        <v>238</v>
      </c>
      <c r="EZ3733" s="5" t="s">
        <v>238</v>
      </c>
      <c r="FA3733" s="5" t="s">
        <v>238</v>
      </c>
      <c r="FB3733" s="5" t="s">
        <v>238</v>
      </c>
      <c r="FC3733" s="5" t="s">
        <v>238</v>
      </c>
      <c r="FD3733" s="5" t="s">
        <v>238</v>
      </c>
      <c r="FE3733" s="5" t="s">
        <v>238</v>
      </c>
      <c r="FF3733" s="5" t="s">
        <v>238</v>
      </c>
      <c r="FG3733" s="5" t="s">
        <v>238</v>
      </c>
      <c r="FH3733" s="5" t="s">
        <v>238</v>
      </c>
      <c r="FI3733" s="5" t="s">
        <v>238</v>
      </c>
      <c r="FJ3733" s="5" t="s">
        <v>238</v>
      </c>
      <c r="FK3733" s="5" t="s">
        <v>238</v>
      </c>
      <c r="FL3733" s="5" t="s">
        <v>238</v>
      </c>
      <c r="FM3733" s="5" t="s">
        <v>238</v>
      </c>
      <c r="FN3733" s="5" t="s">
        <v>238</v>
      </c>
      <c r="FO3733" s="5" t="s">
        <v>238</v>
      </c>
      <c r="FP3733" s="5" t="s">
        <v>238</v>
      </c>
      <c r="FQ3733" s="5" t="s">
        <v>238</v>
      </c>
      <c r="FR3733" s="5" t="s">
        <v>238</v>
      </c>
      <c r="FS3733" s="5" t="s">
        <v>238</v>
      </c>
      <c r="FT3733" s="5" t="s">
        <v>238</v>
      </c>
      <c r="FU3733" s="5" t="s">
        <v>238</v>
      </c>
      <c r="FV3733" s="5" t="s">
        <v>238</v>
      </c>
      <c r="FW3733" s="5" t="s">
        <v>238</v>
      </c>
      <c r="FX3733" s="5" t="s">
        <v>238</v>
      </c>
      <c r="FY3733" s="5" t="s">
        <v>238</v>
      </c>
      <c r="FZ3733" s="5" t="s">
        <v>238</v>
      </c>
      <c r="GA3733" s="5" t="s">
        <v>238</v>
      </c>
      <c r="GB3733" s="5" t="s">
        <v>238</v>
      </c>
      <c r="GC3733" s="5" t="s">
        <v>238</v>
      </c>
      <c r="GD3733" s="5" t="s">
        <v>238</v>
      </c>
      <c r="GE3733" s="5" t="s">
        <v>238</v>
      </c>
      <c r="GF3733" s="5" t="s">
        <v>238</v>
      </c>
      <c r="GG3733" s="5" t="s">
        <v>238</v>
      </c>
      <c r="GH3733" s="5" t="s">
        <v>238</v>
      </c>
      <c r="GI3733" s="5" t="s">
        <v>238</v>
      </c>
      <c r="GJ3733" s="5" t="s">
        <v>238</v>
      </c>
      <c r="GK3733" s="5" t="s">
        <v>238</v>
      </c>
      <c r="GL3733" s="5" t="s">
        <v>238</v>
      </c>
      <c r="GM3733" s="5" t="s">
        <v>238</v>
      </c>
      <c r="GN3733" s="5" t="s">
        <v>238</v>
      </c>
      <c r="GO3733" s="5" t="s">
        <v>238</v>
      </c>
      <c r="GP3733" s="5" t="s">
        <v>238</v>
      </c>
      <c r="GQ3733" s="5" t="s">
        <v>238</v>
      </c>
      <c r="GR3733" s="5" t="s">
        <v>238</v>
      </c>
      <c r="GS3733" s="5" t="s">
        <v>238</v>
      </c>
      <c r="GT3733" s="5" t="s">
        <v>238</v>
      </c>
      <c r="GU3733" s="5" t="s">
        <v>238</v>
      </c>
      <c r="GV3733" s="5" t="s">
        <v>238</v>
      </c>
      <c r="GW3733" s="5" t="s">
        <v>238</v>
      </c>
      <c r="GX3733" s="5" t="s">
        <v>238</v>
      </c>
      <c r="GY3733" s="5" t="s">
        <v>238</v>
      </c>
      <c r="GZ3733" s="5" t="s">
        <v>238</v>
      </c>
      <c r="HA3733" s="5" t="s">
        <v>238</v>
      </c>
      <c r="HB3733" s="5" t="s">
        <v>238</v>
      </c>
      <c r="HC3733" s="5" t="s">
        <v>238</v>
      </c>
      <c r="HD3733" s="5" t="s">
        <v>238</v>
      </c>
      <c r="HE3733" s="5" t="s">
        <v>238</v>
      </c>
      <c r="HF3733" s="5" t="s">
        <v>238</v>
      </c>
      <c r="HG3733" s="5" t="s">
        <v>238</v>
      </c>
      <c r="HH3733" s="5" t="s">
        <v>238</v>
      </c>
      <c r="HI3733" s="5" t="s">
        <v>238</v>
      </c>
      <c r="HJ3733" s="5" t="s">
        <v>238</v>
      </c>
      <c r="HK3733" s="5" t="s">
        <v>238</v>
      </c>
      <c r="HL3733" s="5" t="s">
        <v>238</v>
      </c>
      <c r="HM3733" s="5" t="s">
        <v>238</v>
      </c>
      <c r="HN3733" s="5" t="s">
        <v>238</v>
      </c>
      <c r="HO3733" s="5" t="s">
        <v>238</v>
      </c>
      <c r="HP3733" s="5" t="s">
        <v>238</v>
      </c>
      <c r="HQ3733" s="5" t="s">
        <v>238</v>
      </c>
      <c r="HR3733" s="5" t="s">
        <v>238</v>
      </c>
      <c r="HS3733" s="5" t="s">
        <v>238</v>
      </c>
      <c r="HT3733" s="5" t="s">
        <v>238</v>
      </c>
      <c r="HU3733" s="5" t="s">
        <v>238</v>
      </c>
      <c r="HV3733" s="5" t="s">
        <v>238</v>
      </c>
      <c r="HW3733" s="5" t="s">
        <v>238</v>
      </c>
      <c r="HX3733" s="5" t="s">
        <v>238</v>
      </c>
      <c r="HY3733" s="5" t="s">
        <v>238</v>
      </c>
      <c r="HZ3733" s="5" t="s">
        <v>238</v>
      </c>
      <c r="IA3733" s="5" t="s">
        <v>238</v>
      </c>
      <c r="IB3733" s="5" t="s">
        <v>238</v>
      </c>
      <c r="IC3733" s="5" t="s">
        <v>238</v>
      </c>
      <c r="ID3733" s="5" t="s">
        <v>238</v>
      </c>
    </row>
    <row r="3734" spans="1:238" x14ac:dyDescent="0.4">
      <c r="A3734" s="5">
        <v>9452</v>
      </c>
      <c r="B3734" s="5">
        <v>1</v>
      </c>
      <c r="C3734" s="5">
        <v>1</v>
      </c>
      <c r="D3734" s="5" t="s">
        <v>484</v>
      </c>
      <c r="E3734" s="5" t="s">
        <v>485</v>
      </c>
      <c r="F3734" s="5" t="s">
        <v>248</v>
      </c>
      <c r="G3734" s="5" t="s">
        <v>4919</v>
      </c>
      <c r="H3734" s="6" t="s">
        <v>4920</v>
      </c>
      <c r="I3734" s="8">
        <f>1</f>
        <v>1</v>
      </c>
      <c r="J3734" s="5" t="s">
        <v>499</v>
      </c>
      <c r="K3734" s="8">
        <f>1</f>
        <v>1</v>
      </c>
      <c r="L3734" s="6" t="s">
        <v>242</v>
      </c>
      <c r="M3734" s="5" t="s">
        <v>267</v>
      </c>
      <c r="N3734" s="5" t="s">
        <v>482</v>
      </c>
      <c r="O3734" s="5" t="s">
        <v>238</v>
      </c>
      <c r="P3734" s="5" t="s">
        <v>238</v>
      </c>
      <c r="Q3734" s="5" t="s">
        <v>239</v>
      </c>
      <c r="R3734" s="5" t="s">
        <v>270</v>
      </c>
      <c r="S3734" s="5" t="s">
        <v>238</v>
      </c>
      <c r="T3734" s="5" t="s">
        <v>238</v>
      </c>
      <c r="U3734" s="5" t="s">
        <v>238</v>
      </c>
      <c r="V3734" s="5" t="s">
        <v>238</v>
      </c>
      <c r="W3734" s="6" t="s">
        <v>238</v>
      </c>
      <c r="X3734" s="6" t="s">
        <v>238</v>
      </c>
      <c r="Y3734" s="5" t="s">
        <v>238</v>
      </c>
      <c r="Z3734" s="6" t="s">
        <v>238</v>
      </c>
      <c r="AA3734" s="6" t="s">
        <v>243</v>
      </c>
      <c r="AB3734" s="5" t="s">
        <v>598</v>
      </c>
      <c r="AC3734" s="5" t="s">
        <v>244</v>
      </c>
      <c r="AD3734" s="5" t="s">
        <v>245</v>
      </c>
      <c r="AE3734" s="5" t="s">
        <v>238</v>
      </c>
      <c r="AF3734" s="5" t="s">
        <v>238</v>
      </c>
      <c r="AG3734" s="5" t="s">
        <v>238</v>
      </c>
      <c r="AH3734" s="5" t="s">
        <v>238</v>
      </c>
      <c r="AI3734" s="5" t="s">
        <v>238</v>
      </c>
      <c r="AJ3734" s="5" t="s">
        <v>238</v>
      </c>
      <c r="AK3734" s="5" t="s">
        <v>238</v>
      </c>
      <c r="AL3734" s="5" t="s">
        <v>238</v>
      </c>
      <c r="AM3734" s="6" t="s">
        <v>238</v>
      </c>
      <c r="AN3734" s="6" t="s">
        <v>238</v>
      </c>
      <c r="AO3734" s="6" t="s">
        <v>238</v>
      </c>
      <c r="AP3734" s="6" t="s">
        <v>238</v>
      </c>
      <c r="AQ3734" s="5" t="s">
        <v>238</v>
      </c>
      <c r="AR3734" s="5" t="s">
        <v>488</v>
      </c>
      <c r="AS3734" s="5" t="s">
        <v>488</v>
      </c>
      <c r="AT3734" s="5" t="s">
        <v>246</v>
      </c>
      <c r="AU3734" s="5" t="s">
        <v>489</v>
      </c>
      <c r="AV3734" s="5" t="s">
        <v>247</v>
      </c>
      <c r="AW3734" s="5" t="s">
        <v>600</v>
      </c>
      <c r="AX3734" s="5" t="s">
        <v>249</v>
      </c>
      <c r="AY3734" s="5" t="s">
        <v>490</v>
      </c>
      <c r="BA3734" s="5" t="s">
        <v>238</v>
      </c>
      <c r="BC3734" s="5" t="s">
        <v>491</v>
      </c>
      <c r="BD3734" s="6" t="s">
        <v>492</v>
      </c>
      <c r="BE3734" s="5" t="s">
        <v>493</v>
      </c>
      <c r="BF3734" s="5" t="s">
        <v>493</v>
      </c>
      <c r="BG3734" s="5" t="s">
        <v>238</v>
      </c>
      <c r="BH3734" s="8">
        <f>1</f>
        <v>1</v>
      </c>
      <c r="BI3734" s="8">
        <f>1</f>
        <v>1</v>
      </c>
      <c r="BJ3734" s="5" t="s">
        <v>253</v>
      </c>
      <c r="BK3734" s="5" t="s">
        <v>254</v>
      </c>
      <c r="BL3734" s="5" t="s">
        <v>238</v>
      </c>
      <c r="BM3734" s="5" t="s">
        <v>238</v>
      </c>
      <c r="BN3734" s="5" t="s">
        <v>238</v>
      </c>
      <c r="BO3734" s="5" t="s">
        <v>238</v>
      </c>
      <c r="BP3734" s="5" t="s">
        <v>238</v>
      </c>
      <c r="BQ3734" s="5" t="s">
        <v>238</v>
      </c>
      <c r="BR3734" s="5" t="s">
        <v>238</v>
      </c>
      <c r="BS3734" s="5" t="s">
        <v>238</v>
      </c>
      <c r="BT3734" s="6" t="s">
        <v>238</v>
      </c>
      <c r="BU3734" s="5" t="s">
        <v>238</v>
      </c>
      <c r="BV3734" s="5" t="s">
        <v>238</v>
      </c>
      <c r="BW3734" s="5" t="s">
        <v>238</v>
      </c>
      <c r="BX3734" s="5" t="s">
        <v>254</v>
      </c>
      <c r="BY3734" s="5" t="s">
        <v>238</v>
      </c>
      <c r="BZ3734" s="5" t="s">
        <v>238</v>
      </c>
      <c r="CA3734" s="5" t="s">
        <v>238</v>
      </c>
      <c r="CB3734" s="5" t="s">
        <v>238</v>
      </c>
      <c r="CC3734" s="5" t="s">
        <v>238</v>
      </c>
      <c r="CD3734" s="5" t="s">
        <v>273</v>
      </c>
      <c r="CE3734" s="5" t="s">
        <v>256</v>
      </c>
      <c r="CF3734" s="5" t="s">
        <v>261</v>
      </c>
      <c r="CH3734" s="5" t="s">
        <v>494</v>
      </c>
      <c r="CI3734" s="6" t="s">
        <v>257</v>
      </c>
      <c r="CJ3734" s="5" t="s">
        <v>495</v>
      </c>
      <c r="CK3734" s="5" t="s">
        <v>258</v>
      </c>
      <c r="CL3734" s="5" t="s">
        <v>496</v>
      </c>
      <c r="CM3734" s="5" t="s">
        <v>238</v>
      </c>
      <c r="CN3734" s="5">
        <v>0</v>
      </c>
      <c r="CO3734" s="5" t="s">
        <v>497</v>
      </c>
      <c r="CP3734" s="5" t="s">
        <v>260</v>
      </c>
      <c r="CQ3734" s="5" t="s">
        <v>260</v>
      </c>
      <c r="CR3734" s="5" t="s">
        <v>261</v>
      </c>
      <c r="CS3734" s="5" t="s">
        <v>498</v>
      </c>
      <c r="CT3734" s="7">
        <f>1</f>
        <v>1</v>
      </c>
      <c r="CU3734" s="8">
        <f>1</f>
        <v>1</v>
      </c>
      <c r="CV3734" s="8">
        <f>0</f>
        <v>0</v>
      </c>
      <c r="CX3734" s="8">
        <f>1</f>
        <v>1</v>
      </c>
      <c r="CY3734" s="8">
        <f>1</f>
        <v>1</v>
      </c>
      <c r="CZ3734" s="8" t="s">
        <v>238</v>
      </c>
      <c r="DA3734" s="5" t="s">
        <v>238</v>
      </c>
      <c r="DB3734" s="5" t="s">
        <v>238</v>
      </c>
      <c r="DC3734" s="5" t="s">
        <v>238</v>
      </c>
      <c r="DD3734" s="5" t="s">
        <v>238</v>
      </c>
      <c r="DE3734" s="8">
        <f>0</f>
        <v>0</v>
      </c>
      <c r="DG3734" s="5" t="s">
        <v>238</v>
      </c>
      <c r="DH3734" s="5" t="s">
        <v>238</v>
      </c>
      <c r="DI3734" s="5" t="s">
        <v>238</v>
      </c>
      <c r="DJ3734" s="5" t="s">
        <v>238</v>
      </c>
      <c r="DK3734" s="5" t="s">
        <v>238</v>
      </c>
      <c r="DL3734" s="5" t="s">
        <v>238</v>
      </c>
      <c r="DM3734" s="8" t="s">
        <v>238</v>
      </c>
      <c r="DN3734" s="5" t="s">
        <v>238</v>
      </c>
      <c r="DO3734" s="5" t="s">
        <v>244</v>
      </c>
      <c r="DP3734" s="5" t="s">
        <v>490</v>
      </c>
      <c r="DQ3734" s="5" t="s">
        <v>490</v>
      </c>
      <c r="DR3734" s="5" t="s">
        <v>238</v>
      </c>
      <c r="DS3734" s="5" t="s">
        <v>238</v>
      </c>
      <c r="DT3734" s="5" t="s">
        <v>601</v>
      </c>
      <c r="DU3734" s="5" t="s">
        <v>1256</v>
      </c>
      <c r="DV3734" s="5" t="s">
        <v>238</v>
      </c>
      <c r="DW3734" s="5" t="s">
        <v>238</v>
      </c>
      <c r="DX3734" s="5" t="s">
        <v>238</v>
      </c>
      <c r="DY3734" s="5" t="s">
        <v>238</v>
      </c>
      <c r="DZ3734" s="5" t="s">
        <v>238</v>
      </c>
      <c r="EA3734" s="5" t="s">
        <v>238</v>
      </c>
      <c r="EB3734" s="5" t="s">
        <v>238</v>
      </c>
      <c r="EC3734" s="5" t="s">
        <v>238</v>
      </c>
      <c r="ED3734" s="5" t="s">
        <v>238</v>
      </c>
      <c r="EE3734" s="5" t="s">
        <v>238</v>
      </c>
      <c r="EF3734" s="5" t="s">
        <v>238</v>
      </c>
      <c r="EG3734" s="5" t="s">
        <v>238</v>
      </c>
      <c r="EH3734" s="5" t="s">
        <v>238</v>
      </c>
      <c r="EI3734" s="5" t="s">
        <v>238</v>
      </c>
      <c r="EJ3734" s="5" t="s">
        <v>238</v>
      </c>
      <c r="EK3734" s="5" t="s">
        <v>238</v>
      </c>
      <c r="EL3734" s="5" t="s">
        <v>238</v>
      </c>
      <c r="EM3734" s="5" t="s">
        <v>238</v>
      </c>
      <c r="EN3734" s="5" t="s">
        <v>238</v>
      </c>
      <c r="EO3734" s="5" t="s">
        <v>238</v>
      </c>
      <c r="EP3734" s="5" t="s">
        <v>238</v>
      </c>
      <c r="EQ3734" s="5" t="s">
        <v>238</v>
      </c>
      <c r="ER3734" s="5" t="s">
        <v>238</v>
      </c>
      <c r="ES3734" s="5" t="s">
        <v>238</v>
      </c>
      <c r="ET3734" s="5" t="s">
        <v>238</v>
      </c>
      <c r="EU3734" s="5" t="s">
        <v>238</v>
      </c>
      <c r="EV3734" s="5" t="s">
        <v>238</v>
      </c>
      <c r="EW3734" s="5" t="s">
        <v>238</v>
      </c>
      <c r="EX3734" s="5" t="s">
        <v>238</v>
      </c>
      <c r="EY3734" s="5" t="s">
        <v>238</v>
      </c>
      <c r="EZ3734" s="5" t="s">
        <v>238</v>
      </c>
      <c r="FA3734" s="5" t="s">
        <v>238</v>
      </c>
      <c r="FB3734" s="5" t="s">
        <v>238</v>
      </c>
      <c r="FC3734" s="5" t="s">
        <v>238</v>
      </c>
      <c r="FD3734" s="5" t="s">
        <v>238</v>
      </c>
      <c r="FE3734" s="5" t="s">
        <v>238</v>
      </c>
      <c r="FF3734" s="5" t="s">
        <v>238</v>
      </c>
      <c r="FG3734" s="5" t="s">
        <v>238</v>
      </c>
      <c r="FH3734" s="5" t="s">
        <v>238</v>
      </c>
      <c r="FI3734" s="5" t="s">
        <v>238</v>
      </c>
      <c r="FJ3734" s="5" t="s">
        <v>238</v>
      </c>
      <c r="FK3734" s="5" t="s">
        <v>238</v>
      </c>
      <c r="FL3734" s="5" t="s">
        <v>238</v>
      </c>
      <c r="FM3734" s="5" t="s">
        <v>238</v>
      </c>
      <c r="FN3734" s="5" t="s">
        <v>238</v>
      </c>
      <c r="FO3734" s="5" t="s">
        <v>238</v>
      </c>
      <c r="FP3734" s="5" t="s">
        <v>238</v>
      </c>
      <c r="FQ3734" s="5" t="s">
        <v>238</v>
      </c>
      <c r="FR3734" s="5" t="s">
        <v>238</v>
      </c>
      <c r="FS3734" s="5" t="s">
        <v>238</v>
      </c>
      <c r="FT3734" s="5" t="s">
        <v>238</v>
      </c>
      <c r="FU3734" s="5" t="s">
        <v>238</v>
      </c>
      <c r="FV3734" s="5" t="s">
        <v>238</v>
      </c>
      <c r="FW3734" s="5" t="s">
        <v>238</v>
      </c>
      <c r="FX3734" s="5" t="s">
        <v>238</v>
      </c>
      <c r="FY3734" s="5" t="s">
        <v>238</v>
      </c>
      <c r="FZ3734" s="5" t="s">
        <v>238</v>
      </c>
      <c r="GA3734" s="5" t="s">
        <v>238</v>
      </c>
      <c r="GB3734" s="5" t="s">
        <v>238</v>
      </c>
      <c r="GC3734" s="5" t="s">
        <v>238</v>
      </c>
      <c r="GD3734" s="5" t="s">
        <v>238</v>
      </c>
      <c r="GE3734" s="5" t="s">
        <v>238</v>
      </c>
      <c r="GF3734" s="5" t="s">
        <v>238</v>
      </c>
      <c r="GG3734" s="5" t="s">
        <v>238</v>
      </c>
      <c r="GH3734" s="5" t="s">
        <v>238</v>
      </c>
      <c r="GI3734" s="5" t="s">
        <v>238</v>
      </c>
      <c r="GJ3734" s="5" t="s">
        <v>238</v>
      </c>
      <c r="GK3734" s="5" t="s">
        <v>238</v>
      </c>
      <c r="GL3734" s="5" t="s">
        <v>238</v>
      </c>
      <c r="GM3734" s="5" t="s">
        <v>238</v>
      </c>
      <c r="GN3734" s="5" t="s">
        <v>238</v>
      </c>
      <c r="GO3734" s="5" t="s">
        <v>238</v>
      </c>
      <c r="GP3734" s="5" t="s">
        <v>238</v>
      </c>
      <c r="GQ3734" s="5" t="s">
        <v>238</v>
      </c>
      <c r="GR3734" s="5" t="s">
        <v>238</v>
      </c>
      <c r="GS3734" s="5" t="s">
        <v>238</v>
      </c>
      <c r="GT3734" s="5" t="s">
        <v>238</v>
      </c>
      <c r="GU3734" s="5" t="s">
        <v>238</v>
      </c>
      <c r="GV3734" s="5" t="s">
        <v>238</v>
      </c>
      <c r="GW3734" s="5" t="s">
        <v>238</v>
      </c>
      <c r="GX3734" s="5" t="s">
        <v>238</v>
      </c>
      <c r="GY3734" s="5" t="s">
        <v>238</v>
      </c>
      <c r="GZ3734" s="5" t="s">
        <v>238</v>
      </c>
      <c r="HA3734" s="5" t="s">
        <v>238</v>
      </c>
      <c r="HB3734" s="5" t="s">
        <v>238</v>
      </c>
      <c r="HC3734" s="5" t="s">
        <v>238</v>
      </c>
      <c r="HD3734" s="5" t="s">
        <v>238</v>
      </c>
      <c r="HE3734" s="5" t="s">
        <v>238</v>
      </c>
      <c r="HF3734" s="5" t="s">
        <v>238</v>
      </c>
      <c r="HG3734" s="5" t="s">
        <v>238</v>
      </c>
      <c r="HH3734" s="5" t="s">
        <v>238</v>
      </c>
      <c r="HI3734" s="5" t="s">
        <v>238</v>
      </c>
      <c r="HJ3734" s="5" t="s">
        <v>238</v>
      </c>
      <c r="HK3734" s="5" t="s">
        <v>238</v>
      </c>
      <c r="HL3734" s="5" t="s">
        <v>238</v>
      </c>
      <c r="HM3734" s="5" t="s">
        <v>238</v>
      </c>
      <c r="HN3734" s="5" t="s">
        <v>238</v>
      </c>
      <c r="HO3734" s="5" t="s">
        <v>238</v>
      </c>
      <c r="HP3734" s="5" t="s">
        <v>238</v>
      </c>
      <c r="HQ3734" s="5" t="s">
        <v>238</v>
      </c>
      <c r="HR3734" s="5" t="s">
        <v>238</v>
      </c>
      <c r="HS3734" s="5" t="s">
        <v>238</v>
      </c>
      <c r="HT3734" s="5" t="s">
        <v>238</v>
      </c>
      <c r="HU3734" s="5" t="s">
        <v>238</v>
      </c>
      <c r="HV3734" s="5" t="s">
        <v>238</v>
      </c>
      <c r="HW3734" s="5" t="s">
        <v>238</v>
      </c>
      <c r="HX3734" s="5" t="s">
        <v>238</v>
      </c>
      <c r="HY3734" s="5" t="s">
        <v>238</v>
      </c>
      <c r="HZ3734" s="5" t="s">
        <v>238</v>
      </c>
      <c r="IA3734" s="5" t="s">
        <v>238</v>
      </c>
      <c r="IB3734" s="5" t="s">
        <v>238</v>
      </c>
      <c r="IC3734" s="5" t="s">
        <v>238</v>
      </c>
      <c r="ID3734" s="5" t="s">
        <v>238</v>
      </c>
    </row>
    <row r="3735" spans="1:238" x14ac:dyDescent="0.4">
      <c r="A3735" s="5">
        <v>9453</v>
      </c>
      <c r="B3735" s="5">
        <v>1</v>
      </c>
      <c r="C3735" s="5">
        <v>1</v>
      </c>
      <c r="D3735" s="5" t="s">
        <v>484</v>
      </c>
      <c r="E3735" s="5" t="s">
        <v>485</v>
      </c>
      <c r="F3735" s="5" t="s">
        <v>248</v>
      </c>
      <c r="G3735" s="5" t="s">
        <v>5634</v>
      </c>
      <c r="H3735" s="6" t="s">
        <v>5635</v>
      </c>
      <c r="I3735" s="8">
        <f>1</f>
        <v>1</v>
      </c>
      <c r="J3735" s="5" t="s">
        <v>499</v>
      </c>
      <c r="K3735" s="8">
        <f>1</f>
        <v>1</v>
      </c>
      <c r="L3735" s="6" t="s">
        <v>242</v>
      </c>
      <c r="M3735" s="5" t="s">
        <v>267</v>
      </c>
      <c r="N3735" s="5" t="s">
        <v>482</v>
      </c>
      <c r="O3735" s="5" t="s">
        <v>238</v>
      </c>
      <c r="P3735" s="5" t="s">
        <v>238</v>
      </c>
      <c r="Q3735" s="5" t="s">
        <v>239</v>
      </c>
      <c r="R3735" s="5" t="s">
        <v>270</v>
      </c>
      <c r="S3735" s="5" t="s">
        <v>238</v>
      </c>
      <c r="T3735" s="5" t="s">
        <v>238</v>
      </c>
      <c r="U3735" s="5" t="s">
        <v>238</v>
      </c>
      <c r="V3735" s="5" t="s">
        <v>238</v>
      </c>
      <c r="W3735" s="6" t="s">
        <v>238</v>
      </c>
      <c r="X3735" s="6" t="s">
        <v>238</v>
      </c>
      <c r="Y3735" s="5" t="s">
        <v>238</v>
      </c>
      <c r="Z3735" s="6" t="s">
        <v>238</v>
      </c>
      <c r="AA3735" s="6" t="s">
        <v>243</v>
      </c>
      <c r="AB3735" s="5" t="s">
        <v>598</v>
      </c>
      <c r="AC3735" s="5" t="s">
        <v>244</v>
      </c>
      <c r="AD3735" s="5" t="s">
        <v>245</v>
      </c>
      <c r="AE3735" s="5" t="s">
        <v>238</v>
      </c>
      <c r="AF3735" s="5" t="s">
        <v>238</v>
      </c>
      <c r="AG3735" s="5" t="s">
        <v>238</v>
      </c>
      <c r="AH3735" s="5" t="s">
        <v>238</v>
      </c>
      <c r="AI3735" s="5" t="s">
        <v>238</v>
      </c>
      <c r="AJ3735" s="5" t="s">
        <v>238</v>
      </c>
      <c r="AK3735" s="5" t="s">
        <v>238</v>
      </c>
      <c r="AL3735" s="5" t="s">
        <v>238</v>
      </c>
      <c r="AM3735" s="6" t="s">
        <v>238</v>
      </c>
      <c r="AN3735" s="6" t="s">
        <v>238</v>
      </c>
      <c r="AO3735" s="6" t="s">
        <v>238</v>
      </c>
      <c r="AP3735" s="6" t="s">
        <v>238</v>
      </c>
      <c r="AQ3735" s="5" t="s">
        <v>238</v>
      </c>
      <c r="AR3735" s="5" t="s">
        <v>488</v>
      </c>
      <c r="AS3735" s="5" t="s">
        <v>488</v>
      </c>
      <c r="AT3735" s="5" t="s">
        <v>246</v>
      </c>
      <c r="AU3735" s="5" t="s">
        <v>489</v>
      </c>
      <c r="AV3735" s="5" t="s">
        <v>247</v>
      </c>
      <c r="AW3735" s="5" t="s">
        <v>600</v>
      </c>
      <c r="AX3735" s="5" t="s">
        <v>249</v>
      </c>
      <c r="AY3735" s="5" t="s">
        <v>490</v>
      </c>
      <c r="BA3735" s="5" t="s">
        <v>238</v>
      </c>
      <c r="BC3735" s="5" t="s">
        <v>491</v>
      </c>
      <c r="BD3735" s="6" t="s">
        <v>492</v>
      </c>
      <c r="BE3735" s="5" t="s">
        <v>493</v>
      </c>
      <c r="BF3735" s="5" t="s">
        <v>493</v>
      </c>
      <c r="BG3735" s="5" t="s">
        <v>238</v>
      </c>
      <c r="BH3735" s="8">
        <f>1</f>
        <v>1</v>
      </c>
      <c r="BI3735" s="8">
        <f>1</f>
        <v>1</v>
      </c>
      <c r="BJ3735" s="5" t="s">
        <v>253</v>
      </c>
      <c r="BK3735" s="5" t="s">
        <v>254</v>
      </c>
      <c r="BL3735" s="5" t="s">
        <v>238</v>
      </c>
      <c r="BM3735" s="5" t="s">
        <v>238</v>
      </c>
      <c r="BN3735" s="5" t="s">
        <v>238</v>
      </c>
      <c r="BO3735" s="5" t="s">
        <v>238</v>
      </c>
      <c r="BP3735" s="5" t="s">
        <v>238</v>
      </c>
      <c r="BQ3735" s="5" t="s">
        <v>238</v>
      </c>
      <c r="BR3735" s="5" t="s">
        <v>238</v>
      </c>
      <c r="BS3735" s="5" t="s">
        <v>238</v>
      </c>
      <c r="BT3735" s="6" t="s">
        <v>238</v>
      </c>
      <c r="BU3735" s="5" t="s">
        <v>238</v>
      </c>
      <c r="BV3735" s="5" t="s">
        <v>238</v>
      </c>
      <c r="BW3735" s="5" t="s">
        <v>238</v>
      </c>
      <c r="BX3735" s="5" t="s">
        <v>254</v>
      </c>
      <c r="BY3735" s="5" t="s">
        <v>238</v>
      </c>
      <c r="BZ3735" s="5" t="s">
        <v>238</v>
      </c>
      <c r="CA3735" s="5" t="s">
        <v>238</v>
      </c>
      <c r="CB3735" s="5" t="s">
        <v>238</v>
      </c>
      <c r="CC3735" s="5" t="s">
        <v>238</v>
      </c>
      <c r="CD3735" s="5" t="s">
        <v>273</v>
      </c>
      <c r="CE3735" s="5" t="s">
        <v>256</v>
      </c>
      <c r="CF3735" s="5" t="s">
        <v>261</v>
      </c>
      <c r="CH3735" s="5" t="s">
        <v>494</v>
      </c>
      <c r="CI3735" s="6" t="s">
        <v>257</v>
      </c>
      <c r="CJ3735" s="5" t="s">
        <v>495</v>
      </c>
      <c r="CK3735" s="5" t="s">
        <v>258</v>
      </c>
      <c r="CL3735" s="5" t="s">
        <v>496</v>
      </c>
      <c r="CM3735" s="5" t="s">
        <v>238</v>
      </c>
      <c r="CN3735" s="5">
        <v>0</v>
      </c>
      <c r="CO3735" s="5" t="s">
        <v>497</v>
      </c>
      <c r="CP3735" s="5" t="s">
        <v>260</v>
      </c>
      <c r="CQ3735" s="5" t="s">
        <v>260</v>
      </c>
      <c r="CR3735" s="5" t="s">
        <v>261</v>
      </c>
      <c r="CS3735" s="5" t="s">
        <v>498</v>
      </c>
      <c r="CT3735" s="7">
        <f>1</f>
        <v>1</v>
      </c>
      <c r="CU3735" s="8">
        <f>1</f>
        <v>1</v>
      </c>
      <c r="CV3735" s="8">
        <f>0</f>
        <v>0</v>
      </c>
      <c r="CX3735" s="8">
        <f>1</f>
        <v>1</v>
      </c>
      <c r="CY3735" s="8">
        <f>1</f>
        <v>1</v>
      </c>
      <c r="CZ3735" s="8" t="s">
        <v>238</v>
      </c>
      <c r="DA3735" s="5" t="s">
        <v>238</v>
      </c>
      <c r="DB3735" s="5" t="s">
        <v>238</v>
      </c>
      <c r="DC3735" s="5" t="s">
        <v>238</v>
      </c>
      <c r="DD3735" s="5" t="s">
        <v>238</v>
      </c>
      <c r="DE3735" s="8">
        <f>0</f>
        <v>0</v>
      </c>
      <c r="DG3735" s="5" t="s">
        <v>238</v>
      </c>
      <c r="DH3735" s="5" t="s">
        <v>238</v>
      </c>
      <c r="DI3735" s="5" t="s">
        <v>238</v>
      </c>
      <c r="DJ3735" s="5" t="s">
        <v>238</v>
      </c>
      <c r="DK3735" s="5" t="s">
        <v>238</v>
      </c>
      <c r="DL3735" s="5" t="s">
        <v>238</v>
      </c>
      <c r="DM3735" s="8" t="s">
        <v>238</v>
      </c>
      <c r="DN3735" s="5" t="s">
        <v>238</v>
      </c>
      <c r="DO3735" s="5" t="s">
        <v>244</v>
      </c>
      <c r="DP3735" s="5" t="s">
        <v>490</v>
      </c>
      <c r="DQ3735" s="5" t="s">
        <v>490</v>
      </c>
      <c r="DR3735" s="5" t="s">
        <v>238</v>
      </c>
      <c r="DS3735" s="5" t="s">
        <v>238</v>
      </c>
      <c r="DT3735" s="5" t="s">
        <v>601</v>
      </c>
      <c r="DU3735" s="5" t="s">
        <v>1241</v>
      </c>
      <c r="DV3735" s="5" t="s">
        <v>238</v>
      </c>
      <c r="DW3735" s="5" t="s">
        <v>238</v>
      </c>
      <c r="DX3735" s="5" t="s">
        <v>238</v>
      </c>
      <c r="DY3735" s="5" t="s">
        <v>238</v>
      </c>
      <c r="DZ3735" s="5" t="s">
        <v>238</v>
      </c>
      <c r="EA3735" s="5" t="s">
        <v>238</v>
      </c>
      <c r="EB3735" s="5" t="s">
        <v>238</v>
      </c>
      <c r="EC3735" s="5" t="s">
        <v>238</v>
      </c>
      <c r="ED3735" s="5" t="s">
        <v>238</v>
      </c>
      <c r="EE3735" s="5" t="s">
        <v>238</v>
      </c>
      <c r="EF3735" s="5" t="s">
        <v>238</v>
      </c>
      <c r="EG3735" s="5" t="s">
        <v>238</v>
      </c>
      <c r="EH3735" s="5" t="s">
        <v>238</v>
      </c>
      <c r="EI3735" s="5" t="s">
        <v>238</v>
      </c>
      <c r="EJ3735" s="5" t="s">
        <v>238</v>
      </c>
      <c r="EK3735" s="5" t="s">
        <v>238</v>
      </c>
      <c r="EL3735" s="5" t="s">
        <v>238</v>
      </c>
      <c r="EM3735" s="5" t="s">
        <v>238</v>
      </c>
      <c r="EN3735" s="5" t="s">
        <v>238</v>
      </c>
      <c r="EO3735" s="5" t="s">
        <v>238</v>
      </c>
      <c r="EP3735" s="5" t="s">
        <v>238</v>
      </c>
      <c r="EQ3735" s="5" t="s">
        <v>238</v>
      </c>
      <c r="ER3735" s="5" t="s">
        <v>238</v>
      </c>
      <c r="ES3735" s="5" t="s">
        <v>238</v>
      </c>
      <c r="ET3735" s="5" t="s">
        <v>238</v>
      </c>
      <c r="EU3735" s="5" t="s">
        <v>238</v>
      </c>
      <c r="EV3735" s="5" t="s">
        <v>238</v>
      </c>
      <c r="EW3735" s="5" t="s">
        <v>238</v>
      </c>
      <c r="EX3735" s="5" t="s">
        <v>238</v>
      </c>
      <c r="EY3735" s="5" t="s">
        <v>238</v>
      </c>
      <c r="EZ3735" s="5" t="s">
        <v>238</v>
      </c>
      <c r="FA3735" s="5" t="s">
        <v>238</v>
      </c>
      <c r="FB3735" s="5" t="s">
        <v>238</v>
      </c>
      <c r="FC3735" s="5" t="s">
        <v>238</v>
      </c>
      <c r="FD3735" s="5" t="s">
        <v>238</v>
      </c>
      <c r="FE3735" s="5" t="s">
        <v>238</v>
      </c>
      <c r="FF3735" s="5" t="s">
        <v>238</v>
      </c>
      <c r="FG3735" s="5" t="s">
        <v>238</v>
      </c>
      <c r="FH3735" s="5" t="s">
        <v>238</v>
      </c>
      <c r="FI3735" s="5" t="s">
        <v>238</v>
      </c>
      <c r="FJ3735" s="5" t="s">
        <v>238</v>
      </c>
      <c r="FK3735" s="5" t="s">
        <v>238</v>
      </c>
      <c r="FL3735" s="5" t="s">
        <v>238</v>
      </c>
      <c r="FM3735" s="5" t="s">
        <v>238</v>
      </c>
      <c r="FN3735" s="5" t="s">
        <v>238</v>
      </c>
      <c r="FO3735" s="5" t="s">
        <v>238</v>
      </c>
      <c r="FP3735" s="5" t="s">
        <v>238</v>
      </c>
      <c r="FQ3735" s="5" t="s">
        <v>238</v>
      </c>
      <c r="FR3735" s="5" t="s">
        <v>238</v>
      </c>
      <c r="FS3735" s="5" t="s">
        <v>238</v>
      </c>
      <c r="FT3735" s="5" t="s">
        <v>238</v>
      </c>
      <c r="FU3735" s="5" t="s">
        <v>238</v>
      </c>
      <c r="FV3735" s="5" t="s">
        <v>238</v>
      </c>
      <c r="FW3735" s="5" t="s">
        <v>238</v>
      </c>
      <c r="FX3735" s="5" t="s">
        <v>238</v>
      </c>
      <c r="FY3735" s="5" t="s">
        <v>238</v>
      </c>
      <c r="FZ3735" s="5" t="s">
        <v>238</v>
      </c>
      <c r="GA3735" s="5" t="s">
        <v>238</v>
      </c>
      <c r="GB3735" s="5" t="s">
        <v>238</v>
      </c>
      <c r="GC3735" s="5" t="s">
        <v>238</v>
      </c>
      <c r="GD3735" s="5" t="s">
        <v>238</v>
      </c>
      <c r="GE3735" s="5" t="s">
        <v>238</v>
      </c>
      <c r="GF3735" s="5" t="s">
        <v>238</v>
      </c>
      <c r="GG3735" s="5" t="s">
        <v>238</v>
      </c>
      <c r="GH3735" s="5" t="s">
        <v>238</v>
      </c>
      <c r="GI3735" s="5" t="s">
        <v>238</v>
      </c>
      <c r="GJ3735" s="5" t="s">
        <v>238</v>
      </c>
      <c r="GK3735" s="5" t="s">
        <v>238</v>
      </c>
      <c r="GL3735" s="5" t="s">
        <v>238</v>
      </c>
      <c r="GM3735" s="5" t="s">
        <v>238</v>
      </c>
      <c r="GN3735" s="5" t="s">
        <v>238</v>
      </c>
      <c r="GO3735" s="5" t="s">
        <v>238</v>
      </c>
      <c r="GP3735" s="5" t="s">
        <v>238</v>
      </c>
      <c r="GQ3735" s="5" t="s">
        <v>238</v>
      </c>
      <c r="GR3735" s="5" t="s">
        <v>238</v>
      </c>
      <c r="GS3735" s="5" t="s">
        <v>238</v>
      </c>
      <c r="GT3735" s="5" t="s">
        <v>238</v>
      </c>
      <c r="GU3735" s="5" t="s">
        <v>238</v>
      </c>
      <c r="GV3735" s="5" t="s">
        <v>238</v>
      </c>
      <c r="GW3735" s="5" t="s">
        <v>238</v>
      </c>
      <c r="GX3735" s="5" t="s">
        <v>238</v>
      </c>
      <c r="GY3735" s="5" t="s">
        <v>238</v>
      </c>
      <c r="GZ3735" s="5" t="s">
        <v>238</v>
      </c>
      <c r="HA3735" s="5" t="s">
        <v>238</v>
      </c>
      <c r="HB3735" s="5" t="s">
        <v>238</v>
      </c>
      <c r="HC3735" s="5" t="s">
        <v>238</v>
      </c>
      <c r="HD3735" s="5" t="s">
        <v>238</v>
      </c>
      <c r="HE3735" s="5" t="s">
        <v>238</v>
      </c>
      <c r="HF3735" s="5" t="s">
        <v>238</v>
      </c>
      <c r="HG3735" s="5" t="s">
        <v>238</v>
      </c>
      <c r="HH3735" s="5" t="s">
        <v>238</v>
      </c>
      <c r="HI3735" s="5" t="s">
        <v>238</v>
      </c>
      <c r="HJ3735" s="5" t="s">
        <v>238</v>
      </c>
      <c r="HK3735" s="5" t="s">
        <v>238</v>
      </c>
      <c r="HL3735" s="5" t="s">
        <v>238</v>
      </c>
      <c r="HM3735" s="5" t="s">
        <v>238</v>
      </c>
      <c r="HN3735" s="5" t="s">
        <v>238</v>
      </c>
      <c r="HO3735" s="5" t="s">
        <v>238</v>
      </c>
      <c r="HP3735" s="5" t="s">
        <v>238</v>
      </c>
      <c r="HQ3735" s="5" t="s">
        <v>238</v>
      </c>
      <c r="HR3735" s="5" t="s">
        <v>238</v>
      </c>
      <c r="HS3735" s="5" t="s">
        <v>238</v>
      </c>
      <c r="HT3735" s="5" t="s">
        <v>238</v>
      </c>
      <c r="HU3735" s="5" t="s">
        <v>238</v>
      </c>
      <c r="HV3735" s="5" t="s">
        <v>238</v>
      </c>
      <c r="HW3735" s="5" t="s">
        <v>238</v>
      </c>
      <c r="HX3735" s="5" t="s">
        <v>238</v>
      </c>
      <c r="HY3735" s="5" t="s">
        <v>238</v>
      </c>
      <c r="HZ3735" s="5" t="s">
        <v>238</v>
      </c>
      <c r="IA3735" s="5" t="s">
        <v>238</v>
      </c>
      <c r="IB3735" s="5" t="s">
        <v>238</v>
      </c>
      <c r="IC3735" s="5" t="s">
        <v>238</v>
      </c>
      <c r="ID3735" s="5" t="s">
        <v>238</v>
      </c>
    </row>
    <row r="3736" spans="1:238" x14ac:dyDescent="0.4">
      <c r="A3736" s="5">
        <v>9454</v>
      </c>
      <c r="B3736" s="5">
        <v>1</v>
      </c>
      <c r="C3736" s="5">
        <v>1</v>
      </c>
      <c r="D3736" s="5" t="s">
        <v>484</v>
      </c>
      <c r="E3736" s="5" t="s">
        <v>485</v>
      </c>
      <c r="F3736" s="5" t="s">
        <v>248</v>
      </c>
      <c r="G3736" s="5" t="s">
        <v>5260</v>
      </c>
      <c r="H3736" s="6" t="s">
        <v>5261</v>
      </c>
      <c r="I3736" s="8">
        <f>1</f>
        <v>1</v>
      </c>
      <c r="J3736" s="5" t="s">
        <v>499</v>
      </c>
      <c r="K3736" s="8">
        <f>1</f>
        <v>1</v>
      </c>
      <c r="L3736" s="6" t="s">
        <v>242</v>
      </c>
      <c r="M3736" s="5" t="s">
        <v>267</v>
      </c>
      <c r="N3736" s="5" t="s">
        <v>482</v>
      </c>
      <c r="O3736" s="5" t="s">
        <v>238</v>
      </c>
      <c r="P3736" s="5" t="s">
        <v>238</v>
      </c>
      <c r="Q3736" s="5" t="s">
        <v>239</v>
      </c>
      <c r="R3736" s="5" t="s">
        <v>270</v>
      </c>
      <c r="S3736" s="5" t="s">
        <v>238</v>
      </c>
      <c r="T3736" s="5" t="s">
        <v>238</v>
      </c>
      <c r="U3736" s="5" t="s">
        <v>238</v>
      </c>
      <c r="V3736" s="5" t="s">
        <v>238</v>
      </c>
      <c r="W3736" s="6" t="s">
        <v>238</v>
      </c>
      <c r="X3736" s="6" t="s">
        <v>238</v>
      </c>
      <c r="Y3736" s="5" t="s">
        <v>238</v>
      </c>
      <c r="Z3736" s="6" t="s">
        <v>238</v>
      </c>
      <c r="AA3736" s="6" t="s">
        <v>243</v>
      </c>
      <c r="AB3736" s="5" t="s">
        <v>598</v>
      </c>
      <c r="AC3736" s="5" t="s">
        <v>244</v>
      </c>
      <c r="AD3736" s="5" t="s">
        <v>245</v>
      </c>
      <c r="AE3736" s="5" t="s">
        <v>238</v>
      </c>
      <c r="AF3736" s="5" t="s">
        <v>238</v>
      </c>
      <c r="AG3736" s="5" t="s">
        <v>238</v>
      </c>
      <c r="AH3736" s="5" t="s">
        <v>238</v>
      </c>
      <c r="AI3736" s="5" t="s">
        <v>238</v>
      </c>
      <c r="AJ3736" s="5" t="s">
        <v>238</v>
      </c>
      <c r="AK3736" s="5" t="s">
        <v>238</v>
      </c>
      <c r="AL3736" s="5" t="s">
        <v>238</v>
      </c>
      <c r="AM3736" s="6" t="s">
        <v>238</v>
      </c>
      <c r="AN3736" s="6" t="s">
        <v>238</v>
      </c>
      <c r="AO3736" s="6" t="s">
        <v>238</v>
      </c>
      <c r="AP3736" s="6" t="s">
        <v>238</v>
      </c>
      <c r="AQ3736" s="5" t="s">
        <v>238</v>
      </c>
      <c r="AR3736" s="5" t="s">
        <v>488</v>
      </c>
      <c r="AS3736" s="5" t="s">
        <v>488</v>
      </c>
      <c r="AT3736" s="5" t="s">
        <v>246</v>
      </c>
      <c r="AU3736" s="5" t="s">
        <v>489</v>
      </c>
      <c r="AV3736" s="5" t="s">
        <v>247</v>
      </c>
      <c r="AW3736" s="5" t="s">
        <v>600</v>
      </c>
      <c r="AX3736" s="5" t="s">
        <v>249</v>
      </c>
      <c r="AY3736" s="5" t="s">
        <v>490</v>
      </c>
      <c r="BA3736" s="5" t="s">
        <v>238</v>
      </c>
      <c r="BC3736" s="5" t="s">
        <v>491</v>
      </c>
      <c r="BD3736" s="6" t="s">
        <v>492</v>
      </c>
      <c r="BE3736" s="5" t="s">
        <v>493</v>
      </c>
      <c r="BF3736" s="5" t="s">
        <v>493</v>
      </c>
      <c r="BG3736" s="5" t="s">
        <v>238</v>
      </c>
      <c r="BH3736" s="8">
        <f>1</f>
        <v>1</v>
      </c>
      <c r="BI3736" s="8">
        <f>1</f>
        <v>1</v>
      </c>
      <c r="BJ3736" s="5" t="s">
        <v>253</v>
      </c>
      <c r="BK3736" s="5" t="s">
        <v>254</v>
      </c>
      <c r="BL3736" s="5" t="s">
        <v>238</v>
      </c>
      <c r="BM3736" s="5" t="s">
        <v>238</v>
      </c>
      <c r="BN3736" s="5" t="s">
        <v>238</v>
      </c>
      <c r="BO3736" s="5" t="s">
        <v>238</v>
      </c>
      <c r="BP3736" s="5" t="s">
        <v>238</v>
      </c>
      <c r="BQ3736" s="5" t="s">
        <v>238</v>
      </c>
      <c r="BR3736" s="5" t="s">
        <v>238</v>
      </c>
      <c r="BS3736" s="5" t="s">
        <v>238</v>
      </c>
      <c r="BT3736" s="6" t="s">
        <v>238</v>
      </c>
      <c r="BU3736" s="5" t="s">
        <v>238</v>
      </c>
      <c r="BV3736" s="5" t="s">
        <v>238</v>
      </c>
      <c r="BW3736" s="5" t="s">
        <v>238</v>
      </c>
      <c r="BX3736" s="5" t="s">
        <v>254</v>
      </c>
      <c r="BY3736" s="5" t="s">
        <v>238</v>
      </c>
      <c r="BZ3736" s="5" t="s">
        <v>238</v>
      </c>
      <c r="CA3736" s="5" t="s">
        <v>238</v>
      </c>
      <c r="CB3736" s="5" t="s">
        <v>238</v>
      </c>
      <c r="CC3736" s="5" t="s">
        <v>238</v>
      </c>
      <c r="CD3736" s="5" t="s">
        <v>273</v>
      </c>
      <c r="CE3736" s="5" t="s">
        <v>256</v>
      </c>
      <c r="CF3736" s="5" t="s">
        <v>261</v>
      </c>
      <c r="CH3736" s="5" t="s">
        <v>494</v>
      </c>
      <c r="CI3736" s="6" t="s">
        <v>257</v>
      </c>
      <c r="CJ3736" s="5" t="s">
        <v>495</v>
      </c>
      <c r="CK3736" s="5" t="s">
        <v>258</v>
      </c>
      <c r="CL3736" s="5" t="s">
        <v>496</v>
      </c>
      <c r="CM3736" s="5" t="s">
        <v>238</v>
      </c>
      <c r="CN3736" s="5">
        <v>0</v>
      </c>
      <c r="CO3736" s="5" t="s">
        <v>497</v>
      </c>
      <c r="CP3736" s="5" t="s">
        <v>260</v>
      </c>
      <c r="CQ3736" s="5" t="s">
        <v>260</v>
      </c>
      <c r="CR3736" s="5" t="s">
        <v>261</v>
      </c>
      <c r="CS3736" s="5" t="s">
        <v>498</v>
      </c>
      <c r="CT3736" s="7">
        <f>1</f>
        <v>1</v>
      </c>
      <c r="CU3736" s="8">
        <f>1</f>
        <v>1</v>
      </c>
      <c r="CV3736" s="8">
        <f>0</f>
        <v>0</v>
      </c>
      <c r="CX3736" s="8">
        <f>1</f>
        <v>1</v>
      </c>
      <c r="CY3736" s="8">
        <f>1</f>
        <v>1</v>
      </c>
      <c r="CZ3736" s="8" t="s">
        <v>238</v>
      </c>
      <c r="DA3736" s="5" t="s">
        <v>238</v>
      </c>
      <c r="DB3736" s="5" t="s">
        <v>238</v>
      </c>
      <c r="DC3736" s="5" t="s">
        <v>238</v>
      </c>
      <c r="DD3736" s="5" t="s">
        <v>238</v>
      </c>
      <c r="DE3736" s="8">
        <f>0</f>
        <v>0</v>
      </c>
      <c r="DG3736" s="5" t="s">
        <v>238</v>
      </c>
      <c r="DH3736" s="5" t="s">
        <v>238</v>
      </c>
      <c r="DI3736" s="5" t="s">
        <v>238</v>
      </c>
      <c r="DJ3736" s="5" t="s">
        <v>238</v>
      </c>
      <c r="DK3736" s="5" t="s">
        <v>238</v>
      </c>
      <c r="DL3736" s="5" t="s">
        <v>238</v>
      </c>
      <c r="DM3736" s="8" t="s">
        <v>238</v>
      </c>
      <c r="DN3736" s="5" t="s">
        <v>238</v>
      </c>
      <c r="DO3736" s="5" t="s">
        <v>244</v>
      </c>
      <c r="DP3736" s="5" t="s">
        <v>490</v>
      </c>
      <c r="DQ3736" s="5" t="s">
        <v>490</v>
      </c>
      <c r="DR3736" s="5" t="s">
        <v>238</v>
      </c>
      <c r="DS3736" s="5" t="s">
        <v>238</v>
      </c>
      <c r="DT3736" s="5" t="s">
        <v>601</v>
      </c>
      <c r="DU3736" s="5" t="s">
        <v>1239</v>
      </c>
      <c r="DV3736" s="5" t="s">
        <v>238</v>
      </c>
      <c r="DW3736" s="5" t="s">
        <v>238</v>
      </c>
      <c r="DX3736" s="5" t="s">
        <v>238</v>
      </c>
      <c r="DY3736" s="5" t="s">
        <v>238</v>
      </c>
      <c r="DZ3736" s="5" t="s">
        <v>238</v>
      </c>
      <c r="EA3736" s="5" t="s">
        <v>238</v>
      </c>
      <c r="EB3736" s="5" t="s">
        <v>238</v>
      </c>
      <c r="EC3736" s="5" t="s">
        <v>238</v>
      </c>
      <c r="ED3736" s="5" t="s">
        <v>238</v>
      </c>
      <c r="EE3736" s="5" t="s">
        <v>238</v>
      </c>
      <c r="EF3736" s="5" t="s">
        <v>238</v>
      </c>
      <c r="EG3736" s="5" t="s">
        <v>238</v>
      </c>
      <c r="EH3736" s="5" t="s">
        <v>238</v>
      </c>
      <c r="EI3736" s="5" t="s">
        <v>238</v>
      </c>
      <c r="EJ3736" s="5" t="s">
        <v>238</v>
      </c>
      <c r="EK3736" s="5" t="s">
        <v>238</v>
      </c>
      <c r="EL3736" s="5" t="s">
        <v>238</v>
      </c>
      <c r="EM3736" s="5" t="s">
        <v>238</v>
      </c>
      <c r="EN3736" s="5" t="s">
        <v>238</v>
      </c>
      <c r="EO3736" s="5" t="s">
        <v>238</v>
      </c>
      <c r="EP3736" s="5" t="s">
        <v>238</v>
      </c>
      <c r="EQ3736" s="5" t="s">
        <v>238</v>
      </c>
      <c r="ER3736" s="5" t="s">
        <v>238</v>
      </c>
      <c r="ES3736" s="5" t="s">
        <v>238</v>
      </c>
      <c r="ET3736" s="5" t="s">
        <v>238</v>
      </c>
      <c r="EU3736" s="5" t="s">
        <v>238</v>
      </c>
      <c r="EV3736" s="5" t="s">
        <v>238</v>
      </c>
      <c r="EW3736" s="5" t="s">
        <v>238</v>
      </c>
      <c r="EX3736" s="5" t="s">
        <v>238</v>
      </c>
      <c r="EY3736" s="5" t="s">
        <v>238</v>
      </c>
      <c r="EZ3736" s="5" t="s">
        <v>238</v>
      </c>
      <c r="FA3736" s="5" t="s">
        <v>238</v>
      </c>
      <c r="FB3736" s="5" t="s">
        <v>238</v>
      </c>
      <c r="FC3736" s="5" t="s">
        <v>238</v>
      </c>
      <c r="FD3736" s="5" t="s">
        <v>238</v>
      </c>
      <c r="FE3736" s="5" t="s">
        <v>238</v>
      </c>
      <c r="FF3736" s="5" t="s">
        <v>238</v>
      </c>
      <c r="FG3736" s="5" t="s">
        <v>238</v>
      </c>
      <c r="FH3736" s="5" t="s">
        <v>238</v>
      </c>
      <c r="FI3736" s="5" t="s">
        <v>238</v>
      </c>
      <c r="FJ3736" s="5" t="s">
        <v>238</v>
      </c>
      <c r="FK3736" s="5" t="s">
        <v>238</v>
      </c>
      <c r="FL3736" s="5" t="s">
        <v>238</v>
      </c>
      <c r="FM3736" s="5" t="s">
        <v>238</v>
      </c>
      <c r="FN3736" s="5" t="s">
        <v>238</v>
      </c>
      <c r="FO3736" s="5" t="s">
        <v>238</v>
      </c>
      <c r="FP3736" s="5" t="s">
        <v>238</v>
      </c>
      <c r="FQ3736" s="5" t="s">
        <v>238</v>
      </c>
      <c r="FR3736" s="5" t="s">
        <v>238</v>
      </c>
      <c r="FS3736" s="5" t="s">
        <v>238</v>
      </c>
      <c r="FT3736" s="5" t="s">
        <v>238</v>
      </c>
      <c r="FU3736" s="5" t="s">
        <v>238</v>
      </c>
      <c r="FV3736" s="5" t="s">
        <v>238</v>
      </c>
      <c r="FW3736" s="5" t="s">
        <v>238</v>
      </c>
      <c r="FX3736" s="5" t="s">
        <v>238</v>
      </c>
      <c r="FY3736" s="5" t="s">
        <v>238</v>
      </c>
      <c r="FZ3736" s="5" t="s">
        <v>238</v>
      </c>
      <c r="GA3736" s="5" t="s">
        <v>238</v>
      </c>
      <c r="GB3736" s="5" t="s">
        <v>238</v>
      </c>
      <c r="GC3736" s="5" t="s">
        <v>238</v>
      </c>
      <c r="GD3736" s="5" t="s">
        <v>238</v>
      </c>
      <c r="GE3736" s="5" t="s">
        <v>238</v>
      </c>
      <c r="GF3736" s="5" t="s">
        <v>238</v>
      </c>
      <c r="GG3736" s="5" t="s">
        <v>238</v>
      </c>
      <c r="GH3736" s="5" t="s">
        <v>238</v>
      </c>
      <c r="GI3736" s="5" t="s">
        <v>238</v>
      </c>
      <c r="GJ3736" s="5" t="s">
        <v>238</v>
      </c>
      <c r="GK3736" s="5" t="s">
        <v>238</v>
      </c>
      <c r="GL3736" s="5" t="s">
        <v>238</v>
      </c>
      <c r="GM3736" s="5" t="s">
        <v>238</v>
      </c>
      <c r="GN3736" s="5" t="s">
        <v>238</v>
      </c>
      <c r="GO3736" s="5" t="s">
        <v>238</v>
      </c>
      <c r="GP3736" s="5" t="s">
        <v>238</v>
      </c>
      <c r="GQ3736" s="5" t="s">
        <v>238</v>
      </c>
      <c r="GR3736" s="5" t="s">
        <v>238</v>
      </c>
      <c r="GS3736" s="5" t="s">
        <v>238</v>
      </c>
      <c r="GT3736" s="5" t="s">
        <v>238</v>
      </c>
      <c r="GU3736" s="5" t="s">
        <v>238</v>
      </c>
      <c r="GV3736" s="5" t="s">
        <v>238</v>
      </c>
      <c r="GW3736" s="5" t="s">
        <v>238</v>
      </c>
      <c r="GX3736" s="5" t="s">
        <v>238</v>
      </c>
      <c r="GY3736" s="5" t="s">
        <v>238</v>
      </c>
      <c r="GZ3736" s="5" t="s">
        <v>238</v>
      </c>
      <c r="HA3736" s="5" t="s">
        <v>238</v>
      </c>
      <c r="HB3736" s="5" t="s">
        <v>238</v>
      </c>
      <c r="HC3736" s="5" t="s">
        <v>238</v>
      </c>
      <c r="HD3736" s="5" t="s">
        <v>238</v>
      </c>
      <c r="HE3736" s="5" t="s">
        <v>238</v>
      </c>
      <c r="HF3736" s="5" t="s">
        <v>238</v>
      </c>
      <c r="HG3736" s="5" t="s">
        <v>238</v>
      </c>
      <c r="HH3736" s="5" t="s">
        <v>238</v>
      </c>
      <c r="HI3736" s="5" t="s">
        <v>238</v>
      </c>
      <c r="HJ3736" s="5" t="s">
        <v>238</v>
      </c>
      <c r="HK3736" s="5" t="s">
        <v>238</v>
      </c>
      <c r="HL3736" s="5" t="s">
        <v>238</v>
      </c>
      <c r="HM3736" s="5" t="s">
        <v>238</v>
      </c>
      <c r="HN3736" s="5" t="s">
        <v>238</v>
      </c>
      <c r="HO3736" s="5" t="s">
        <v>238</v>
      </c>
      <c r="HP3736" s="5" t="s">
        <v>238</v>
      </c>
      <c r="HQ3736" s="5" t="s">
        <v>238</v>
      </c>
      <c r="HR3736" s="5" t="s">
        <v>238</v>
      </c>
      <c r="HS3736" s="5" t="s">
        <v>238</v>
      </c>
      <c r="HT3736" s="5" t="s">
        <v>238</v>
      </c>
      <c r="HU3736" s="5" t="s">
        <v>238</v>
      </c>
      <c r="HV3736" s="5" t="s">
        <v>238</v>
      </c>
      <c r="HW3736" s="5" t="s">
        <v>238</v>
      </c>
      <c r="HX3736" s="5" t="s">
        <v>238</v>
      </c>
      <c r="HY3736" s="5" t="s">
        <v>238</v>
      </c>
      <c r="HZ3736" s="5" t="s">
        <v>238</v>
      </c>
      <c r="IA3736" s="5" t="s">
        <v>238</v>
      </c>
      <c r="IB3736" s="5" t="s">
        <v>238</v>
      </c>
      <c r="IC3736" s="5" t="s">
        <v>238</v>
      </c>
      <c r="ID3736" s="5" t="s">
        <v>238</v>
      </c>
    </row>
    <row r="3737" spans="1:238" x14ac:dyDescent="0.4">
      <c r="A3737" s="5">
        <v>9455</v>
      </c>
      <c r="B3737" s="5">
        <v>1</v>
      </c>
      <c r="C3737" s="5">
        <v>1</v>
      </c>
      <c r="D3737" s="5" t="s">
        <v>484</v>
      </c>
      <c r="E3737" s="5" t="s">
        <v>485</v>
      </c>
      <c r="F3737" s="5" t="s">
        <v>248</v>
      </c>
      <c r="G3737" s="5" t="s">
        <v>5362</v>
      </c>
      <c r="H3737" s="6" t="s">
        <v>5363</v>
      </c>
      <c r="I3737" s="8">
        <f>1</f>
        <v>1</v>
      </c>
      <c r="J3737" s="5" t="s">
        <v>499</v>
      </c>
      <c r="K3737" s="8">
        <f>1</f>
        <v>1</v>
      </c>
      <c r="L3737" s="6" t="s">
        <v>242</v>
      </c>
      <c r="M3737" s="5" t="s">
        <v>267</v>
      </c>
      <c r="N3737" s="5" t="s">
        <v>482</v>
      </c>
      <c r="O3737" s="5" t="s">
        <v>238</v>
      </c>
      <c r="P3737" s="5" t="s">
        <v>238</v>
      </c>
      <c r="Q3737" s="5" t="s">
        <v>239</v>
      </c>
      <c r="R3737" s="5" t="s">
        <v>270</v>
      </c>
      <c r="S3737" s="5" t="s">
        <v>238</v>
      </c>
      <c r="T3737" s="5" t="s">
        <v>238</v>
      </c>
      <c r="U3737" s="5" t="s">
        <v>238</v>
      </c>
      <c r="V3737" s="5" t="s">
        <v>238</v>
      </c>
      <c r="W3737" s="6" t="s">
        <v>238</v>
      </c>
      <c r="X3737" s="6" t="s">
        <v>238</v>
      </c>
      <c r="Y3737" s="5" t="s">
        <v>238</v>
      </c>
      <c r="Z3737" s="6" t="s">
        <v>238</v>
      </c>
      <c r="AA3737" s="6" t="s">
        <v>243</v>
      </c>
      <c r="AB3737" s="5" t="s">
        <v>598</v>
      </c>
      <c r="AC3737" s="5" t="s">
        <v>244</v>
      </c>
      <c r="AD3737" s="5" t="s">
        <v>245</v>
      </c>
      <c r="AE3737" s="5" t="s">
        <v>238</v>
      </c>
      <c r="AF3737" s="5" t="s">
        <v>238</v>
      </c>
      <c r="AG3737" s="5" t="s">
        <v>238</v>
      </c>
      <c r="AH3737" s="5" t="s">
        <v>238</v>
      </c>
      <c r="AI3737" s="5" t="s">
        <v>238</v>
      </c>
      <c r="AJ3737" s="5" t="s">
        <v>238</v>
      </c>
      <c r="AK3737" s="5" t="s">
        <v>238</v>
      </c>
      <c r="AL3737" s="5" t="s">
        <v>238</v>
      </c>
      <c r="AM3737" s="6" t="s">
        <v>238</v>
      </c>
      <c r="AN3737" s="6" t="s">
        <v>238</v>
      </c>
      <c r="AO3737" s="6" t="s">
        <v>238</v>
      </c>
      <c r="AP3737" s="6" t="s">
        <v>238</v>
      </c>
      <c r="AQ3737" s="5" t="s">
        <v>238</v>
      </c>
      <c r="AR3737" s="5" t="s">
        <v>488</v>
      </c>
      <c r="AS3737" s="5" t="s">
        <v>488</v>
      </c>
      <c r="AT3737" s="5" t="s">
        <v>246</v>
      </c>
      <c r="AU3737" s="5" t="s">
        <v>489</v>
      </c>
      <c r="AV3737" s="5" t="s">
        <v>247</v>
      </c>
      <c r="AW3737" s="5" t="s">
        <v>600</v>
      </c>
      <c r="AX3737" s="5" t="s">
        <v>249</v>
      </c>
      <c r="AY3737" s="5" t="s">
        <v>490</v>
      </c>
      <c r="BA3737" s="5" t="s">
        <v>238</v>
      </c>
      <c r="BC3737" s="5" t="s">
        <v>491</v>
      </c>
      <c r="BD3737" s="6" t="s">
        <v>492</v>
      </c>
      <c r="BE3737" s="5" t="s">
        <v>493</v>
      </c>
      <c r="BF3737" s="5" t="s">
        <v>493</v>
      </c>
      <c r="BG3737" s="5" t="s">
        <v>238</v>
      </c>
      <c r="BH3737" s="8">
        <f>1</f>
        <v>1</v>
      </c>
      <c r="BI3737" s="8">
        <f>1</f>
        <v>1</v>
      </c>
      <c r="BJ3737" s="5" t="s">
        <v>253</v>
      </c>
      <c r="BK3737" s="5" t="s">
        <v>254</v>
      </c>
      <c r="BL3737" s="5" t="s">
        <v>238</v>
      </c>
      <c r="BM3737" s="5" t="s">
        <v>238</v>
      </c>
      <c r="BN3737" s="5" t="s">
        <v>238</v>
      </c>
      <c r="BO3737" s="5" t="s">
        <v>238</v>
      </c>
      <c r="BP3737" s="5" t="s">
        <v>238</v>
      </c>
      <c r="BQ3737" s="5" t="s">
        <v>238</v>
      </c>
      <c r="BR3737" s="5" t="s">
        <v>238</v>
      </c>
      <c r="BS3737" s="5" t="s">
        <v>238</v>
      </c>
      <c r="BT3737" s="6" t="s">
        <v>238</v>
      </c>
      <c r="BU3737" s="5" t="s">
        <v>238</v>
      </c>
      <c r="BV3737" s="5" t="s">
        <v>238</v>
      </c>
      <c r="BW3737" s="5" t="s">
        <v>238</v>
      </c>
      <c r="BX3737" s="5" t="s">
        <v>254</v>
      </c>
      <c r="BY3737" s="5" t="s">
        <v>238</v>
      </c>
      <c r="BZ3737" s="5" t="s">
        <v>238</v>
      </c>
      <c r="CA3737" s="5" t="s">
        <v>238</v>
      </c>
      <c r="CB3737" s="5" t="s">
        <v>238</v>
      </c>
      <c r="CC3737" s="5" t="s">
        <v>238</v>
      </c>
      <c r="CD3737" s="5" t="s">
        <v>273</v>
      </c>
      <c r="CE3737" s="5" t="s">
        <v>256</v>
      </c>
      <c r="CF3737" s="5" t="s">
        <v>261</v>
      </c>
      <c r="CH3737" s="5" t="s">
        <v>494</v>
      </c>
      <c r="CI3737" s="6" t="s">
        <v>257</v>
      </c>
      <c r="CJ3737" s="5" t="s">
        <v>495</v>
      </c>
      <c r="CK3737" s="5" t="s">
        <v>258</v>
      </c>
      <c r="CL3737" s="5" t="s">
        <v>496</v>
      </c>
      <c r="CM3737" s="5" t="s">
        <v>238</v>
      </c>
      <c r="CN3737" s="5">
        <v>0</v>
      </c>
      <c r="CO3737" s="5" t="s">
        <v>497</v>
      </c>
      <c r="CP3737" s="5" t="s">
        <v>260</v>
      </c>
      <c r="CQ3737" s="5" t="s">
        <v>260</v>
      </c>
      <c r="CR3737" s="5" t="s">
        <v>261</v>
      </c>
      <c r="CS3737" s="5" t="s">
        <v>498</v>
      </c>
      <c r="CT3737" s="7">
        <f>1</f>
        <v>1</v>
      </c>
      <c r="CU3737" s="8">
        <f>1</f>
        <v>1</v>
      </c>
      <c r="CV3737" s="8">
        <f>0</f>
        <v>0</v>
      </c>
      <c r="CX3737" s="8">
        <f>1</f>
        <v>1</v>
      </c>
      <c r="CY3737" s="8">
        <f>1</f>
        <v>1</v>
      </c>
      <c r="CZ3737" s="8" t="s">
        <v>238</v>
      </c>
      <c r="DA3737" s="5" t="s">
        <v>238</v>
      </c>
      <c r="DB3737" s="5" t="s">
        <v>238</v>
      </c>
      <c r="DC3737" s="5" t="s">
        <v>238</v>
      </c>
      <c r="DD3737" s="5" t="s">
        <v>238</v>
      </c>
      <c r="DE3737" s="8">
        <f>0</f>
        <v>0</v>
      </c>
      <c r="DG3737" s="5" t="s">
        <v>238</v>
      </c>
      <c r="DH3737" s="5" t="s">
        <v>238</v>
      </c>
      <c r="DI3737" s="5" t="s">
        <v>238</v>
      </c>
      <c r="DJ3737" s="5" t="s">
        <v>238</v>
      </c>
      <c r="DK3737" s="5" t="s">
        <v>238</v>
      </c>
      <c r="DL3737" s="5" t="s">
        <v>238</v>
      </c>
      <c r="DM3737" s="8" t="s">
        <v>238</v>
      </c>
      <c r="DN3737" s="5" t="s">
        <v>238</v>
      </c>
      <c r="DO3737" s="5" t="s">
        <v>244</v>
      </c>
      <c r="DP3737" s="5" t="s">
        <v>490</v>
      </c>
      <c r="DQ3737" s="5" t="s">
        <v>490</v>
      </c>
      <c r="DR3737" s="5" t="s">
        <v>238</v>
      </c>
      <c r="DS3737" s="5" t="s">
        <v>238</v>
      </c>
      <c r="DT3737" s="5" t="s">
        <v>601</v>
      </c>
      <c r="DU3737" s="5" t="s">
        <v>1289</v>
      </c>
      <c r="DV3737" s="5" t="s">
        <v>238</v>
      </c>
      <c r="DW3737" s="5" t="s">
        <v>238</v>
      </c>
      <c r="DX3737" s="5" t="s">
        <v>238</v>
      </c>
      <c r="DY3737" s="5" t="s">
        <v>238</v>
      </c>
      <c r="DZ3737" s="5" t="s">
        <v>238</v>
      </c>
      <c r="EA3737" s="5" t="s">
        <v>238</v>
      </c>
      <c r="EB3737" s="5" t="s">
        <v>238</v>
      </c>
      <c r="EC3737" s="5" t="s">
        <v>238</v>
      </c>
      <c r="ED3737" s="5" t="s">
        <v>238</v>
      </c>
      <c r="EE3737" s="5" t="s">
        <v>238</v>
      </c>
      <c r="EF3737" s="5" t="s">
        <v>238</v>
      </c>
      <c r="EG3737" s="5" t="s">
        <v>238</v>
      </c>
      <c r="EH3737" s="5" t="s">
        <v>238</v>
      </c>
      <c r="EI3737" s="5" t="s">
        <v>238</v>
      </c>
      <c r="EJ3737" s="5" t="s">
        <v>238</v>
      </c>
      <c r="EK3737" s="5" t="s">
        <v>238</v>
      </c>
      <c r="EL3737" s="5" t="s">
        <v>238</v>
      </c>
      <c r="EM3737" s="5" t="s">
        <v>238</v>
      </c>
      <c r="EN3737" s="5" t="s">
        <v>238</v>
      </c>
      <c r="EO3737" s="5" t="s">
        <v>238</v>
      </c>
      <c r="EP3737" s="5" t="s">
        <v>238</v>
      </c>
      <c r="EQ3737" s="5" t="s">
        <v>238</v>
      </c>
      <c r="ER3737" s="5" t="s">
        <v>238</v>
      </c>
      <c r="ES3737" s="5" t="s">
        <v>238</v>
      </c>
      <c r="ET3737" s="5" t="s">
        <v>238</v>
      </c>
      <c r="EU3737" s="5" t="s">
        <v>238</v>
      </c>
      <c r="EV3737" s="5" t="s">
        <v>238</v>
      </c>
      <c r="EW3737" s="5" t="s">
        <v>238</v>
      </c>
      <c r="EX3737" s="5" t="s">
        <v>238</v>
      </c>
      <c r="EY3737" s="5" t="s">
        <v>238</v>
      </c>
      <c r="EZ3737" s="5" t="s">
        <v>238</v>
      </c>
      <c r="FA3737" s="5" t="s">
        <v>238</v>
      </c>
      <c r="FB3737" s="5" t="s">
        <v>238</v>
      </c>
      <c r="FC3737" s="5" t="s">
        <v>238</v>
      </c>
      <c r="FD3737" s="5" t="s">
        <v>238</v>
      </c>
      <c r="FE3737" s="5" t="s">
        <v>238</v>
      </c>
      <c r="FF3737" s="5" t="s">
        <v>238</v>
      </c>
      <c r="FG3737" s="5" t="s">
        <v>238</v>
      </c>
      <c r="FH3737" s="5" t="s">
        <v>238</v>
      </c>
      <c r="FI3737" s="5" t="s">
        <v>238</v>
      </c>
      <c r="FJ3737" s="5" t="s">
        <v>238</v>
      </c>
      <c r="FK3737" s="5" t="s">
        <v>238</v>
      </c>
      <c r="FL3737" s="5" t="s">
        <v>238</v>
      </c>
      <c r="FM3737" s="5" t="s">
        <v>238</v>
      </c>
      <c r="FN3737" s="5" t="s">
        <v>238</v>
      </c>
      <c r="FO3737" s="5" t="s">
        <v>238</v>
      </c>
      <c r="FP3737" s="5" t="s">
        <v>238</v>
      </c>
      <c r="FQ3737" s="5" t="s">
        <v>238</v>
      </c>
      <c r="FR3737" s="5" t="s">
        <v>238</v>
      </c>
      <c r="FS3737" s="5" t="s">
        <v>238</v>
      </c>
      <c r="FT3737" s="5" t="s">
        <v>238</v>
      </c>
      <c r="FU3737" s="5" t="s">
        <v>238</v>
      </c>
      <c r="FV3737" s="5" t="s">
        <v>238</v>
      </c>
      <c r="FW3737" s="5" t="s">
        <v>238</v>
      </c>
      <c r="FX3737" s="5" t="s">
        <v>238</v>
      </c>
      <c r="FY3737" s="5" t="s">
        <v>238</v>
      </c>
      <c r="FZ3737" s="5" t="s">
        <v>238</v>
      </c>
      <c r="GA3737" s="5" t="s">
        <v>238</v>
      </c>
      <c r="GB3737" s="5" t="s">
        <v>238</v>
      </c>
      <c r="GC3737" s="5" t="s">
        <v>238</v>
      </c>
      <c r="GD3737" s="5" t="s">
        <v>238</v>
      </c>
      <c r="GE3737" s="5" t="s">
        <v>238</v>
      </c>
      <c r="GF3737" s="5" t="s">
        <v>238</v>
      </c>
      <c r="GG3737" s="5" t="s">
        <v>238</v>
      </c>
      <c r="GH3737" s="5" t="s">
        <v>238</v>
      </c>
      <c r="GI3737" s="5" t="s">
        <v>238</v>
      </c>
      <c r="GJ3737" s="5" t="s">
        <v>238</v>
      </c>
      <c r="GK3737" s="5" t="s">
        <v>238</v>
      </c>
      <c r="GL3737" s="5" t="s">
        <v>238</v>
      </c>
      <c r="GM3737" s="5" t="s">
        <v>238</v>
      </c>
      <c r="GN3737" s="5" t="s">
        <v>238</v>
      </c>
      <c r="GO3737" s="5" t="s">
        <v>238</v>
      </c>
      <c r="GP3737" s="5" t="s">
        <v>238</v>
      </c>
      <c r="GQ3737" s="5" t="s">
        <v>238</v>
      </c>
      <c r="GR3737" s="5" t="s">
        <v>238</v>
      </c>
      <c r="GS3737" s="5" t="s">
        <v>238</v>
      </c>
      <c r="GT3737" s="5" t="s">
        <v>238</v>
      </c>
      <c r="GU3737" s="5" t="s">
        <v>238</v>
      </c>
      <c r="GV3737" s="5" t="s">
        <v>238</v>
      </c>
      <c r="GW3737" s="5" t="s">
        <v>238</v>
      </c>
      <c r="GX3737" s="5" t="s">
        <v>238</v>
      </c>
      <c r="GY3737" s="5" t="s">
        <v>238</v>
      </c>
      <c r="GZ3737" s="5" t="s">
        <v>238</v>
      </c>
      <c r="HA3737" s="5" t="s">
        <v>238</v>
      </c>
      <c r="HB3737" s="5" t="s">
        <v>238</v>
      </c>
      <c r="HC3737" s="5" t="s">
        <v>238</v>
      </c>
      <c r="HD3737" s="5" t="s">
        <v>238</v>
      </c>
      <c r="HE3737" s="5" t="s">
        <v>238</v>
      </c>
      <c r="HF3737" s="5" t="s">
        <v>238</v>
      </c>
      <c r="HG3737" s="5" t="s">
        <v>238</v>
      </c>
      <c r="HH3737" s="5" t="s">
        <v>238</v>
      </c>
      <c r="HI3737" s="5" t="s">
        <v>238</v>
      </c>
      <c r="HJ3737" s="5" t="s">
        <v>238</v>
      </c>
      <c r="HK3737" s="5" t="s">
        <v>238</v>
      </c>
      <c r="HL3737" s="5" t="s">
        <v>238</v>
      </c>
      <c r="HM3737" s="5" t="s">
        <v>238</v>
      </c>
      <c r="HN3737" s="5" t="s">
        <v>238</v>
      </c>
      <c r="HO3737" s="5" t="s">
        <v>238</v>
      </c>
      <c r="HP3737" s="5" t="s">
        <v>238</v>
      </c>
      <c r="HQ3737" s="5" t="s">
        <v>238</v>
      </c>
      <c r="HR3737" s="5" t="s">
        <v>238</v>
      </c>
      <c r="HS3737" s="5" t="s">
        <v>238</v>
      </c>
      <c r="HT3737" s="5" t="s">
        <v>238</v>
      </c>
      <c r="HU3737" s="5" t="s">
        <v>238</v>
      </c>
      <c r="HV3737" s="5" t="s">
        <v>238</v>
      </c>
      <c r="HW3737" s="5" t="s">
        <v>238</v>
      </c>
      <c r="HX3737" s="5" t="s">
        <v>238</v>
      </c>
      <c r="HY3737" s="5" t="s">
        <v>238</v>
      </c>
      <c r="HZ3737" s="5" t="s">
        <v>238</v>
      </c>
      <c r="IA3737" s="5" t="s">
        <v>238</v>
      </c>
      <c r="IB3737" s="5" t="s">
        <v>238</v>
      </c>
      <c r="IC3737" s="5" t="s">
        <v>238</v>
      </c>
      <c r="ID3737" s="5" t="s">
        <v>238</v>
      </c>
    </row>
    <row r="3738" spans="1:238" x14ac:dyDescent="0.4">
      <c r="A3738" s="5">
        <v>9456</v>
      </c>
      <c r="B3738" s="5">
        <v>1</v>
      </c>
      <c r="C3738" s="5">
        <v>1</v>
      </c>
      <c r="D3738" s="5" t="s">
        <v>484</v>
      </c>
      <c r="E3738" s="5" t="s">
        <v>485</v>
      </c>
      <c r="F3738" s="5" t="s">
        <v>248</v>
      </c>
      <c r="G3738" s="5" t="s">
        <v>4931</v>
      </c>
      <c r="H3738" s="6" t="s">
        <v>4932</v>
      </c>
      <c r="I3738" s="8">
        <f>1</f>
        <v>1</v>
      </c>
      <c r="J3738" s="5" t="s">
        <v>499</v>
      </c>
      <c r="K3738" s="8">
        <f>1</f>
        <v>1</v>
      </c>
      <c r="L3738" s="6" t="s">
        <v>242</v>
      </c>
      <c r="M3738" s="5" t="s">
        <v>267</v>
      </c>
      <c r="N3738" s="5" t="s">
        <v>482</v>
      </c>
      <c r="O3738" s="5" t="s">
        <v>238</v>
      </c>
      <c r="P3738" s="5" t="s">
        <v>238</v>
      </c>
      <c r="Q3738" s="5" t="s">
        <v>239</v>
      </c>
      <c r="R3738" s="5" t="s">
        <v>270</v>
      </c>
      <c r="S3738" s="5" t="s">
        <v>238</v>
      </c>
      <c r="T3738" s="5" t="s">
        <v>238</v>
      </c>
      <c r="U3738" s="5" t="s">
        <v>238</v>
      </c>
      <c r="V3738" s="5" t="s">
        <v>238</v>
      </c>
      <c r="W3738" s="6" t="s">
        <v>238</v>
      </c>
      <c r="X3738" s="6" t="s">
        <v>238</v>
      </c>
      <c r="Y3738" s="5" t="s">
        <v>238</v>
      </c>
      <c r="Z3738" s="6" t="s">
        <v>238</v>
      </c>
      <c r="AA3738" s="6" t="s">
        <v>243</v>
      </c>
      <c r="AB3738" s="5" t="s">
        <v>598</v>
      </c>
      <c r="AC3738" s="5" t="s">
        <v>244</v>
      </c>
      <c r="AD3738" s="5" t="s">
        <v>245</v>
      </c>
      <c r="AE3738" s="5" t="s">
        <v>238</v>
      </c>
      <c r="AF3738" s="5" t="s">
        <v>238</v>
      </c>
      <c r="AG3738" s="5" t="s">
        <v>238</v>
      </c>
      <c r="AH3738" s="5" t="s">
        <v>238</v>
      </c>
      <c r="AI3738" s="5" t="s">
        <v>238</v>
      </c>
      <c r="AJ3738" s="5" t="s">
        <v>238</v>
      </c>
      <c r="AK3738" s="5" t="s">
        <v>238</v>
      </c>
      <c r="AL3738" s="5" t="s">
        <v>238</v>
      </c>
      <c r="AM3738" s="6" t="s">
        <v>238</v>
      </c>
      <c r="AN3738" s="6" t="s">
        <v>238</v>
      </c>
      <c r="AO3738" s="6" t="s">
        <v>238</v>
      </c>
      <c r="AP3738" s="6" t="s">
        <v>238</v>
      </c>
      <c r="AQ3738" s="5" t="s">
        <v>238</v>
      </c>
      <c r="AR3738" s="5" t="s">
        <v>488</v>
      </c>
      <c r="AS3738" s="5" t="s">
        <v>488</v>
      </c>
      <c r="AT3738" s="5" t="s">
        <v>246</v>
      </c>
      <c r="AU3738" s="5" t="s">
        <v>489</v>
      </c>
      <c r="AV3738" s="5" t="s">
        <v>247</v>
      </c>
      <c r="AW3738" s="5" t="s">
        <v>600</v>
      </c>
      <c r="AX3738" s="5" t="s">
        <v>249</v>
      </c>
      <c r="AY3738" s="5" t="s">
        <v>490</v>
      </c>
      <c r="BA3738" s="5" t="s">
        <v>238</v>
      </c>
      <c r="BC3738" s="5" t="s">
        <v>491</v>
      </c>
      <c r="BD3738" s="6" t="s">
        <v>492</v>
      </c>
      <c r="BE3738" s="5" t="s">
        <v>493</v>
      </c>
      <c r="BF3738" s="5" t="s">
        <v>493</v>
      </c>
      <c r="BG3738" s="5" t="s">
        <v>238</v>
      </c>
      <c r="BH3738" s="8">
        <f>1</f>
        <v>1</v>
      </c>
      <c r="BI3738" s="8">
        <f>1</f>
        <v>1</v>
      </c>
      <c r="BJ3738" s="5" t="s">
        <v>253</v>
      </c>
      <c r="BK3738" s="5" t="s">
        <v>254</v>
      </c>
      <c r="BL3738" s="5" t="s">
        <v>238</v>
      </c>
      <c r="BM3738" s="5" t="s">
        <v>238</v>
      </c>
      <c r="BN3738" s="5" t="s">
        <v>238</v>
      </c>
      <c r="BO3738" s="5" t="s">
        <v>238</v>
      </c>
      <c r="BP3738" s="5" t="s">
        <v>238</v>
      </c>
      <c r="BQ3738" s="5" t="s">
        <v>238</v>
      </c>
      <c r="BR3738" s="5" t="s">
        <v>238</v>
      </c>
      <c r="BS3738" s="5" t="s">
        <v>238</v>
      </c>
      <c r="BT3738" s="6" t="s">
        <v>238</v>
      </c>
      <c r="BU3738" s="5" t="s">
        <v>238</v>
      </c>
      <c r="BV3738" s="5" t="s">
        <v>238</v>
      </c>
      <c r="BW3738" s="5" t="s">
        <v>238</v>
      </c>
      <c r="BX3738" s="5" t="s">
        <v>254</v>
      </c>
      <c r="BY3738" s="5" t="s">
        <v>238</v>
      </c>
      <c r="BZ3738" s="5" t="s">
        <v>238</v>
      </c>
      <c r="CA3738" s="5" t="s">
        <v>238</v>
      </c>
      <c r="CB3738" s="5" t="s">
        <v>238</v>
      </c>
      <c r="CC3738" s="5" t="s">
        <v>238</v>
      </c>
      <c r="CD3738" s="5" t="s">
        <v>273</v>
      </c>
      <c r="CE3738" s="5" t="s">
        <v>256</v>
      </c>
      <c r="CF3738" s="5" t="s">
        <v>261</v>
      </c>
      <c r="CH3738" s="5" t="s">
        <v>494</v>
      </c>
      <c r="CI3738" s="6" t="s">
        <v>257</v>
      </c>
      <c r="CJ3738" s="5" t="s">
        <v>495</v>
      </c>
      <c r="CK3738" s="5" t="s">
        <v>258</v>
      </c>
      <c r="CL3738" s="5" t="s">
        <v>496</v>
      </c>
      <c r="CM3738" s="5" t="s">
        <v>238</v>
      </c>
      <c r="CN3738" s="5">
        <v>0</v>
      </c>
      <c r="CO3738" s="5" t="s">
        <v>497</v>
      </c>
      <c r="CP3738" s="5" t="s">
        <v>260</v>
      </c>
      <c r="CQ3738" s="5" t="s">
        <v>260</v>
      </c>
      <c r="CR3738" s="5" t="s">
        <v>261</v>
      </c>
      <c r="CS3738" s="5" t="s">
        <v>498</v>
      </c>
      <c r="CT3738" s="7">
        <f>1</f>
        <v>1</v>
      </c>
      <c r="CU3738" s="8">
        <f>1</f>
        <v>1</v>
      </c>
      <c r="CV3738" s="8">
        <f>0</f>
        <v>0</v>
      </c>
      <c r="CX3738" s="8">
        <f>1</f>
        <v>1</v>
      </c>
      <c r="CY3738" s="8">
        <f>1</f>
        <v>1</v>
      </c>
      <c r="CZ3738" s="8" t="s">
        <v>238</v>
      </c>
      <c r="DA3738" s="5" t="s">
        <v>238</v>
      </c>
      <c r="DB3738" s="5" t="s">
        <v>238</v>
      </c>
      <c r="DC3738" s="5" t="s">
        <v>238</v>
      </c>
      <c r="DD3738" s="5" t="s">
        <v>238</v>
      </c>
      <c r="DE3738" s="8">
        <f>0</f>
        <v>0</v>
      </c>
      <c r="DG3738" s="5" t="s">
        <v>238</v>
      </c>
      <c r="DH3738" s="5" t="s">
        <v>238</v>
      </c>
      <c r="DI3738" s="5" t="s">
        <v>238</v>
      </c>
      <c r="DJ3738" s="5" t="s">
        <v>238</v>
      </c>
      <c r="DK3738" s="5" t="s">
        <v>238</v>
      </c>
      <c r="DL3738" s="5" t="s">
        <v>238</v>
      </c>
      <c r="DM3738" s="8" t="s">
        <v>238</v>
      </c>
      <c r="DN3738" s="5" t="s">
        <v>238</v>
      </c>
      <c r="DO3738" s="5" t="s">
        <v>244</v>
      </c>
      <c r="DP3738" s="5" t="s">
        <v>490</v>
      </c>
      <c r="DQ3738" s="5" t="s">
        <v>490</v>
      </c>
      <c r="DR3738" s="5" t="s">
        <v>238</v>
      </c>
      <c r="DS3738" s="5" t="s">
        <v>238</v>
      </c>
      <c r="DT3738" s="5" t="s">
        <v>601</v>
      </c>
      <c r="DU3738" s="5" t="s">
        <v>358</v>
      </c>
      <c r="DV3738" s="5" t="s">
        <v>238</v>
      </c>
      <c r="DW3738" s="5" t="s">
        <v>238</v>
      </c>
      <c r="DX3738" s="5" t="s">
        <v>238</v>
      </c>
      <c r="DY3738" s="5" t="s">
        <v>238</v>
      </c>
      <c r="DZ3738" s="5" t="s">
        <v>238</v>
      </c>
      <c r="EA3738" s="5" t="s">
        <v>238</v>
      </c>
      <c r="EB3738" s="5" t="s">
        <v>238</v>
      </c>
      <c r="EC3738" s="5" t="s">
        <v>238</v>
      </c>
      <c r="ED3738" s="5" t="s">
        <v>238</v>
      </c>
      <c r="EE3738" s="5" t="s">
        <v>238</v>
      </c>
      <c r="EF3738" s="5" t="s">
        <v>238</v>
      </c>
      <c r="EG3738" s="5" t="s">
        <v>238</v>
      </c>
      <c r="EH3738" s="5" t="s">
        <v>238</v>
      </c>
      <c r="EI3738" s="5" t="s">
        <v>238</v>
      </c>
      <c r="EJ3738" s="5" t="s">
        <v>238</v>
      </c>
      <c r="EK3738" s="5" t="s">
        <v>238</v>
      </c>
      <c r="EL3738" s="5" t="s">
        <v>238</v>
      </c>
      <c r="EM3738" s="5" t="s">
        <v>238</v>
      </c>
      <c r="EN3738" s="5" t="s">
        <v>238</v>
      </c>
      <c r="EO3738" s="5" t="s">
        <v>238</v>
      </c>
      <c r="EP3738" s="5" t="s">
        <v>238</v>
      </c>
      <c r="EQ3738" s="5" t="s">
        <v>238</v>
      </c>
      <c r="ER3738" s="5" t="s">
        <v>238</v>
      </c>
      <c r="ES3738" s="5" t="s">
        <v>238</v>
      </c>
      <c r="ET3738" s="5" t="s">
        <v>238</v>
      </c>
      <c r="EU3738" s="5" t="s">
        <v>238</v>
      </c>
      <c r="EV3738" s="5" t="s">
        <v>238</v>
      </c>
      <c r="EW3738" s="5" t="s">
        <v>238</v>
      </c>
      <c r="EX3738" s="5" t="s">
        <v>238</v>
      </c>
      <c r="EY3738" s="5" t="s">
        <v>238</v>
      </c>
      <c r="EZ3738" s="5" t="s">
        <v>238</v>
      </c>
      <c r="FA3738" s="5" t="s">
        <v>238</v>
      </c>
      <c r="FB3738" s="5" t="s">
        <v>238</v>
      </c>
      <c r="FC3738" s="5" t="s">
        <v>238</v>
      </c>
      <c r="FD3738" s="5" t="s">
        <v>238</v>
      </c>
      <c r="FE3738" s="5" t="s">
        <v>238</v>
      </c>
      <c r="FF3738" s="5" t="s">
        <v>238</v>
      </c>
      <c r="FG3738" s="5" t="s">
        <v>238</v>
      </c>
      <c r="FH3738" s="5" t="s">
        <v>238</v>
      </c>
      <c r="FI3738" s="5" t="s">
        <v>238</v>
      </c>
      <c r="FJ3738" s="5" t="s">
        <v>238</v>
      </c>
      <c r="FK3738" s="5" t="s">
        <v>238</v>
      </c>
      <c r="FL3738" s="5" t="s">
        <v>238</v>
      </c>
      <c r="FM3738" s="5" t="s">
        <v>238</v>
      </c>
      <c r="FN3738" s="5" t="s">
        <v>238</v>
      </c>
      <c r="FO3738" s="5" t="s">
        <v>238</v>
      </c>
      <c r="FP3738" s="5" t="s">
        <v>238</v>
      </c>
      <c r="FQ3738" s="5" t="s">
        <v>238</v>
      </c>
      <c r="FR3738" s="5" t="s">
        <v>238</v>
      </c>
      <c r="FS3738" s="5" t="s">
        <v>238</v>
      </c>
      <c r="FT3738" s="5" t="s">
        <v>238</v>
      </c>
      <c r="FU3738" s="5" t="s">
        <v>238</v>
      </c>
      <c r="FV3738" s="5" t="s">
        <v>238</v>
      </c>
      <c r="FW3738" s="5" t="s">
        <v>238</v>
      </c>
      <c r="FX3738" s="5" t="s">
        <v>238</v>
      </c>
      <c r="FY3738" s="5" t="s">
        <v>238</v>
      </c>
      <c r="FZ3738" s="5" t="s">
        <v>238</v>
      </c>
      <c r="GA3738" s="5" t="s">
        <v>238</v>
      </c>
      <c r="GB3738" s="5" t="s">
        <v>238</v>
      </c>
      <c r="GC3738" s="5" t="s">
        <v>238</v>
      </c>
      <c r="GD3738" s="5" t="s">
        <v>238</v>
      </c>
      <c r="GE3738" s="5" t="s">
        <v>238</v>
      </c>
      <c r="GF3738" s="5" t="s">
        <v>238</v>
      </c>
      <c r="GG3738" s="5" t="s">
        <v>238</v>
      </c>
      <c r="GH3738" s="5" t="s">
        <v>238</v>
      </c>
      <c r="GI3738" s="5" t="s">
        <v>238</v>
      </c>
      <c r="GJ3738" s="5" t="s">
        <v>238</v>
      </c>
      <c r="GK3738" s="5" t="s">
        <v>238</v>
      </c>
      <c r="GL3738" s="5" t="s">
        <v>238</v>
      </c>
      <c r="GM3738" s="5" t="s">
        <v>238</v>
      </c>
      <c r="GN3738" s="5" t="s">
        <v>238</v>
      </c>
      <c r="GO3738" s="5" t="s">
        <v>238</v>
      </c>
      <c r="GP3738" s="5" t="s">
        <v>238</v>
      </c>
      <c r="GQ3738" s="5" t="s">
        <v>238</v>
      </c>
      <c r="GR3738" s="5" t="s">
        <v>238</v>
      </c>
      <c r="GS3738" s="5" t="s">
        <v>238</v>
      </c>
      <c r="GT3738" s="5" t="s">
        <v>238</v>
      </c>
      <c r="GU3738" s="5" t="s">
        <v>238</v>
      </c>
      <c r="GV3738" s="5" t="s">
        <v>238</v>
      </c>
      <c r="GW3738" s="5" t="s">
        <v>238</v>
      </c>
      <c r="GX3738" s="5" t="s">
        <v>238</v>
      </c>
      <c r="GY3738" s="5" t="s">
        <v>238</v>
      </c>
      <c r="GZ3738" s="5" t="s">
        <v>238</v>
      </c>
      <c r="HA3738" s="5" t="s">
        <v>238</v>
      </c>
      <c r="HB3738" s="5" t="s">
        <v>238</v>
      </c>
      <c r="HC3738" s="5" t="s">
        <v>238</v>
      </c>
      <c r="HD3738" s="5" t="s">
        <v>238</v>
      </c>
      <c r="HE3738" s="5" t="s">
        <v>238</v>
      </c>
      <c r="HF3738" s="5" t="s">
        <v>238</v>
      </c>
      <c r="HG3738" s="5" t="s">
        <v>238</v>
      </c>
      <c r="HH3738" s="5" t="s">
        <v>238</v>
      </c>
      <c r="HI3738" s="5" t="s">
        <v>238</v>
      </c>
      <c r="HJ3738" s="5" t="s">
        <v>238</v>
      </c>
      <c r="HK3738" s="5" t="s">
        <v>238</v>
      </c>
      <c r="HL3738" s="5" t="s">
        <v>238</v>
      </c>
      <c r="HM3738" s="5" t="s">
        <v>238</v>
      </c>
      <c r="HN3738" s="5" t="s">
        <v>238</v>
      </c>
      <c r="HO3738" s="5" t="s">
        <v>238</v>
      </c>
      <c r="HP3738" s="5" t="s">
        <v>238</v>
      </c>
      <c r="HQ3738" s="5" t="s">
        <v>238</v>
      </c>
      <c r="HR3738" s="5" t="s">
        <v>238</v>
      </c>
      <c r="HS3738" s="5" t="s">
        <v>238</v>
      </c>
      <c r="HT3738" s="5" t="s">
        <v>238</v>
      </c>
      <c r="HU3738" s="5" t="s">
        <v>238</v>
      </c>
      <c r="HV3738" s="5" t="s">
        <v>238</v>
      </c>
      <c r="HW3738" s="5" t="s">
        <v>238</v>
      </c>
      <c r="HX3738" s="5" t="s">
        <v>238</v>
      </c>
      <c r="HY3738" s="5" t="s">
        <v>238</v>
      </c>
      <c r="HZ3738" s="5" t="s">
        <v>238</v>
      </c>
      <c r="IA3738" s="5" t="s">
        <v>238</v>
      </c>
      <c r="IB3738" s="5" t="s">
        <v>238</v>
      </c>
      <c r="IC3738" s="5" t="s">
        <v>238</v>
      </c>
      <c r="ID3738" s="5" t="s">
        <v>238</v>
      </c>
    </row>
    <row r="3739" spans="1:238" x14ac:dyDescent="0.4">
      <c r="A3739" s="5">
        <v>9457</v>
      </c>
      <c r="B3739" s="5">
        <v>1</v>
      </c>
      <c r="C3739" s="5">
        <v>1</v>
      </c>
      <c r="D3739" s="5" t="s">
        <v>484</v>
      </c>
      <c r="E3739" s="5" t="s">
        <v>485</v>
      </c>
      <c r="F3739" s="5" t="s">
        <v>248</v>
      </c>
      <c r="G3739" s="5" t="s">
        <v>5687</v>
      </c>
      <c r="H3739" s="6" t="s">
        <v>5688</v>
      </c>
      <c r="I3739" s="8">
        <f>1</f>
        <v>1</v>
      </c>
      <c r="J3739" s="5" t="s">
        <v>499</v>
      </c>
      <c r="K3739" s="8">
        <f>1</f>
        <v>1</v>
      </c>
      <c r="L3739" s="6" t="s">
        <v>242</v>
      </c>
      <c r="M3739" s="5" t="s">
        <v>267</v>
      </c>
      <c r="N3739" s="5" t="s">
        <v>482</v>
      </c>
      <c r="O3739" s="5" t="s">
        <v>238</v>
      </c>
      <c r="P3739" s="5" t="s">
        <v>238</v>
      </c>
      <c r="Q3739" s="5" t="s">
        <v>239</v>
      </c>
      <c r="R3739" s="5" t="s">
        <v>270</v>
      </c>
      <c r="S3739" s="5" t="s">
        <v>238</v>
      </c>
      <c r="T3739" s="5" t="s">
        <v>238</v>
      </c>
      <c r="U3739" s="5" t="s">
        <v>238</v>
      </c>
      <c r="V3739" s="5" t="s">
        <v>238</v>
      </c>
      <c r="W3739" s="6" t="s">
        <v>238</v>
      </c>
      <c r="X3739" s="6" t="s">
        <v>238</v>
      </c>
      <c r="Y3739" s="5" t="s">
        <v>238</v>
      </c>
      <c r="Z3739" s="6" t="s">
        <v>238</v>
      </c>
      <c r="AA3739" s="6" t="s">
        <v>243</v>
      </c>
      <c r="AB3739" s="5" t="s">
        <v>598</v>
      </c>
      <c r="AC3739" s="5" t="s">
        <v>244</v>
      </c>
      <c r="AD3739" s="5" t="s">
        <v>245</v>
      </c>
      <c r="AE3739" s="5" t="s">
        <v>238</v>
      </c>
      <c r="AF3739" s="5" t="s">
        <v>238</v>
      </c>
      <c r="AG3739" s="5" t="s">
        <v>238</v>
      </c>
      <c r="AH3739" s="5" t="s">
        <v>238</v>
      </c>
      <c r="AI3739" s="5" t="s">
        <v>238</v>
      </c>
      <c r="AJ3739" s="5" t="s">
        <v>238</v>
      </c>
      <c r="AK3739" s="5" t="s">
        <v>238</v>
      </c>
      <c r="AL3739" s="5" t="s">
        <v>238</v>
      </c>
      <c r="AM3739" s="6" t="s">
        <v>238</v>
      </c>
      <c r="AN3739" s="6" t="s">
        <v>238</v>
      </c>
      <c r="AO3739" s="6" t="s">
        <v>238</v>
      </c>
      <c r="AP3739" s="6" t="s">
        <v>238</v>
      </c>
      <c r="AQ3739" s="5" t="s">
        <v>238</v>
      </c>
      <c r="AR3739" s="5" t="s">
        <v>488</v>
      </c>
      <c r="AS3739" s="5" t="s">
        <v>488</v>
      </c>
      <c r="AT3739" s="5" t="s">
        <v>246</v>
      </c>
      <c r="AU3739" s="5" t="s">
        <v>489</v>
      </c>
      <c r="AV3739" s="5" t="s">
        <v>247</v>
      </c>
      <c r="AW3739" s="5" t="s">
        <v>600</v>
      </c>
      <c r="AX3739" s="5" t="s">
        <v>249</v>
      </c>
      <c r="AY3739" s="5" t="s">
        <v>490</v>
      </c>
      <c r="BA3739" s="5" t="s">
        <v>238</v>
      </c>
      <c r="BC3739" s="5" t="s">
        <v>491</v>
      </c>
      <c r="BD3739" s="6" t="s">
        <v>492</v>
      </c>
      <c r="BE3739" s="5" t="s">
        <v>493</v>
      </c>
      <c r="BF3739" s="5" t="s">
        <v>493</v>
      </c>
      <c r="BG3739" s="5" t="s">
        <v>238</v>
      </c>
      <c r="BH3739" s="8">
        <f>1</f>
        <v>1</v>
      </c>
      <c r="BI3739" s="8">
        <f>1</f>
        <v>1</v>
      </c>
      <c r="BJ3739" s="5" t="s">
        <v>253</v>
      </c>
      <c r="BK3739" s="5" t="s">
        <v>254</v>
      </c>
      <c r="BL3739" s="5" t="s">
        <v>238</v>
      </c>
      <c r="BM3739" s="5" t="s">
        <v>238</v>
      </c>
      <c r="BN3739" s="5" t="s">
        <v>238</v>
      </c>
      <c r="BO3739" s="5" t="s">
        <v>238</v>
      </c>
      <c r="BP3739" s="5" t="s">
        <v>238</v>
      </c>
      <c r="BQ3739" s="5" t="s">
        <v>238</v>
      </c>
      <c r="BR3739" s="5" t="s">
        <v>238</v>
      </c>
      <c r="BS3739" s="5" t="s">
        <v>238</v>
      </c>
      <c r="BT3739" s="6" t="s">
        <v>238</v>
      </c>
      <c r="BU3739" s="5" t="s">
        <v>238</v>
      </c>
      <c r="BV3739" s="5" t="s">
        <v>238</v>
      </c>
      <c r="BW3739" s="5" t="s">
        <v>238</v>
      </c>
      <c r="BX3739" s="5" t="s">
        <v>254</v>
      </c>
      <c r="BY3739" s="5" t="s">
        <v>238</v>
      </c>
      <c r="BZ3739" s="5" t="s">
        <v>238</v>
      </c>
      <c r="CA3739" s="5" t="s">
        <v>238</v>
      </c>
      <c r="CB3739" s="5" t="s">
        <v>238</v>
      </c>
      <c r="CC3739" s="5" t="s">
        <v>238</v>
      </c>
      <c r="CD3739" s="5" t="s">
        <v>273</v>
      </c>
      <c r="CE3739" s="5" t="s">
        <v>256</v>
      </c>
      <c r="CF3739" s="5" t="s">
        <v>261</v>
      </c>
      <c r="CH3739" s="5" t="s">
        <v>494</v>
      </c>
      <c r="CI3739" s="6" t="s">
        <v>257</v>
      </c>
      <c r="CJ3739" s="5" t="s">
        <v>495</v>
      </c>
      <c r="CK3739" s="5" t="s">
        <v>258</v>
      </c>
      <c r="CL3739" s="5" t="s">
        <v>496</v>
      </c>
      <c r="CM3739" s="5" t="s">
        <v>238</v>
      </c>
      <c r="CN3739" s="5">
        <v>0</v>
      </c>
      <c r="CO3739" s="5" t="s">
        <v>497</v>
      </c>
      <c r="CP3739" s="5" t="s">
        <v>260</v>
      </c>
      <c r="CQ3739" s="5" t="s">
        <v>260</v>
      </c>
      <c r="CR3739" s="5" t="s">
        <v>261</v>
      </c>
      <c r="CS3739" s="5" t="s">
        <v>498</v>
      </c>
      <c r="CT3739" s="7">
        <f>1</f>
        <v>1</v>
      </c>
      <c r="CU3739" s="8">
        <f>1</f>
        <v>1</v>
      </c>
      <c r="CV3739" s="8">
        <f>0</f>
        <v>0</v>
      </c>
      <c r="CX3739" s="8">
        <f>1</f>
        <v>1</v>
      </c>
      <c r="CY3739" s="8">
        <f>1</f>
        <v>1</v>
      </c>
      <c r="CZ3739" s="8" t="s">
        <v>238</v>
      </c>
      <c r="DA3739" s="5" t="s">
        <v>238</v>
      </c>
      <c r="DB3739" s="5" t="s">
        <v>238</v>
      </c>
      <c r="DC3739" s="5" t="s">
        <v>238</v>
      </c>
      <c r="DD3739" s="5" t="s">
        <v>238</v>
      </c>
      <c r="DE3739" s="8">
        <f>0</f>
        <v>0</v>
      </c>
      <c r="DG3739" s="5" t="s">
        <v>238</v>
      </c>
      <c r="DH3739" s="5" t="s">
        <v>238</v>
      </c>
      <c r="DI3739" s="5" t="s">
        <v>238</v>
      </c>
      <c r="DJ3739" s="5" t="s">
        <v>238</v>
      </c>
      <c r="DK3739" s="5" t="s">
        <v>238</v>
      </c>
      <c r="DL3739" s="5" t="s">
        <v>238</v>
      </c>
      <c r="DM3739" s="8" t="s">
        <v>238</v>
      </c>
      <c r="DN3739" s="5" t="s">
        <v>238</v>
      </c>
      <c r="DO3739" s="5" t="s">
        <v>244</v>
      </c>
      <c r="DP3739" s="5" t="s">
        <v>490</v>
      </c>
      <c r="DQ3739" s="5" t="s">
        <v>490</v>
      </c>
      <c r="DR3739" s="5" t="s">
        <v>238</v>
      </c>
      <c r="DS3739" s="5" t="s">
        <v>238</v>
      </c>
      <c r="DT3739" s="5" t="s">
        <v>601</v>
      </c>
      <c r="DU3739" s="5" t="s">
        <v>264</v>
      </c>
      <c r="DV3739" s="5" t="s">
        <v>238</v>
      </c>
      <c r="DW3739" s="5" t="s">
        <v>238</v>
      </c>
      <c r="DX3739" s="5" t="s">
        <v>238</v>
      </c>
      <c r="DY3739" s="5" t="s">
        <v>238</v>
      </c>
      <c r="DZ3739" s="5" t="s">
        <v>238</v>
      </c>
      <c r="EA3739" s="5" t="s">
        <v>238</v>
      </c>
      <c r="EB3739" s="5" t="s">
        <v>238</v>
      </c>
      <c r="EC3739" s="5" t="s">
        <v>238</v>
      </c>
      <c r="ED3739" s="5" t="s">
        <v>238</v>
      </c>
      <c r="EE3739" s="5" t="s">
        <v>238</v>
      </c>
      <c r="EF3739" s="5" t="s">
        <v>238</v>
      </c>
      <c r="EG3739" s="5" t="s">
        <v>238</v>
      </c>
      <c r="EH3739" s="5" t="s">
        <v>238</v>
      </c>
      <c r="EI3739" s="5" t="s">
        <v>238</v>
      </c>
      <c r="EJ3739" s="5" t="s">
        <v>238</v>
      </c>
      <c r="EK3739" s="5" t="s">
        <v>238</v>
      </c>
      <c r="EL3739" s="5" t="s">
        <v>238</v>
      </c>
      <c r="EM3739" s="5" t="s">
        <v>238</v>
      </c>
      <c r="EN3739" s="5" t="s">
        <v>238</v>
      </c>
      <c r="EO3739" s="5" t="s">
        <v>238</v>
      </c>
      <c r="EP3739" s="5" t="s">
        <v>238</v>
      </c>
      <c r="EQ3739" s="5" t="s">
        <v>238</v>
      </c>
      <c r="ER3739" s="5" t="s">
        <v>238</v>
      </c>
      <c r="ES3739" s="5" t="s">
        <v>238</v>
      </c>
      <c r="ET3739" s="5" t="s">
        <v>238</v>
      </c>
      <c r="EU3739" s="5" t="s">
        <v>238</v>
      </c>
      <c r="EV3739" s="5" t="s">
        <v>238</v>
      </c>
      <c r="EW3739" s="5" t="s">
        <v>238</v>
      </c>
      <c r="EX3739" s="5" t="s">
        <v>238</v>
      </c>
      <c r="EY3739" s="5" t="s">
        <v>238</v>
      </c>
      <c r="EZ3739" s="5" t="s">
        <v>238</v>
      </c>
      <c r="FA3739" s="5" t="s">
        <v>238</v>
      </c>
      <c r="FB3739" s="5" t="s">
        <v>238</v>
      </c>
      <c r="FC3739" s="5" t="s">
        <v>238</v>
      </c>
      <c r="FD3739" s="5" t="s">
        <v>238</v>
      </c>
      <c r="FE3739" s="5" t="s">
        <v>238</v>
      </c>
      <c r="FF3739" s="5" t="s">
        <v>238</v>
      </c>
      <c r="FG3739" s="5" t="s">
        <v>238</v>
      </c>
      <c r="FH3739" s="5" t="s">
        <v>238</v>
      </c>
      <c r="FI3739" s="5" t="s">
        <v>238</v>
      </c>
      <c r="FJ3739" s="5" t="s">
        <v>238</v>
      </c>
      <c r="FK3739" s="5" t="s">
        <v>238</v>
      </c>
      <c r="FL3739" s="5" t="s">
        <v>238</v>
      </c>
      <c r="FM3739" s="5" t="s">
        <v>238</v>
      </c>
      <c r="FN3739" s="5" t="s">
        <v>238</v>
      </c>
      <c r="FO3739" s="5" t="s">
        <v>238</v>
      </c>
      <c r="FP3739" s="5" t="s">
        <v>238</v>
      </c>
      <c r="FQ3739" s="5" t="s">
        <v>238</v>
      </c>
      <c r="FR3739" s="5" t="s">
        <v>238</v>
      </c>
      <c r="FS3739" s="5" t="s">
        <v>238</v>
      </c>
      <c r="FT3739" s="5" t="s">
        <v>238</v>
      </c>
      <c r="FU3739" s="5" t="s">
        <v>238</v>
      </c>
      <c r="FV3739" s="5" t="s">
        <v>238</v>
      </c>
      <c r="FW3739" s="5" t="s">
        <v>238</v>
      </c>
      <c r="FX3739" s="5" t="s">
        <v>238</v>
      </c>
      <c r="FY3739" s="5" t="s">
        <v>238</v>
      </c>
      <c r="FZ3739" s="5" t="s">
        <v>238</v>
      </c>
      <c r="GA3739" s="5" t="s">
        <v>238</v>
      </c>
      <c r="GB3739" s="5" t="s">
        <v>238</v>
      </c>
      <c r="GC3739" s="5" t="s">
        <v>238</v>
      </c>
      <c r="GD3739" s="5" t="s">
        <v>238</v>
      </c>
      <c r="GE3739" s="5" t="s">
        <v>238</v>
      </c>
      <c r="GF3739" s="5" t="s">
        <v>238</v>
      </c>
      <c r="GG3739" s="5" t="s">
        <v>238</v>
      </c>
      <c r="GH3739" s="5" t="s">
        <v>238</v>
      </c>
      <c r="GI3739" s="5" t="s">
        <v>238</v>
      </c>
      <c r="GJ3739" s="5" t="s">
        <v>238</v>
      </c>
      <c r="GK3739" s="5" t="s">
        <v>238</v>
      </c>
      <c r="GL3739" s="5" t="s">
        <v>238</v>
      </c>
      <c r="GM3739" s="5" t="s">
        <v>238</v>
      </c>
      <c r="GN3739" s="5" t="s">
        <v>238</v>
      </c>
      <c r="GO3739" s="5" t="s">
        <v>238</v>
      </c>
      <c r="GP3739" s="5" t="s">
        <v>238</v>
      </c>
      <c r="GQ3739" s="5" t="s">
        <v>238</v>
      </c>
      <c r="GR3739" s="5" t="s">
        <v>238</v>
      </c>
      <c r="GS3739" s="5" t="s">
        <v>238</v>
      </c>
      <c r="GT3739" s="5" t="s">
        <v>238</v>
      </c>
      <c r="GU3739" s="5" t="s">
        <v>238</v>
      </c>
      <c r="GV3739" s="5" t="s">
        <v>238</v>
      </c>
      <c r="GW3739" s="5" t="s">
        <v>238</v>
      </c>
      <c r="GX3739" s="5" t="s">
        <v>238</v>
      </c>
      <c r="GY3739" s="5" t="s">
        <v>238</v>
      </c>
      <c r="GZ3739" s="5" t="s">
        <v>238</v>
      </c>
      <c r="HA3739" s="5" t="s">
        <v>238</v>
      </c>
      <c r="HB3739" s="5" t="s">
        <v>238</v>
      </c>
      <c r="HC3739" s="5" t="s">
        <v>238</v>
      </c>
      <c r="HD3739" s="5" t="s">
        <v>238</v>
      </c>
      <c r="HE3739" s="5" t="s">
        <v>238</v>
      </c>
      <c r="HF3739" s="5" t="s">
        <v>238</v>
      </c>
      <c r="HG3739" s="5" t="s">
        <v>238</v>
      </c>
      <c r="HH3739" s="5" t="s">
        <v>238</v>
      </c>
      <c r="HI3739" s="5" t="s">
        <v>238</v>
      </c>
      <c r="HJ3739" s="5" t="s">
        <v>238</v>
      </c>
      <c r="HK3739" s="5" t="s">
        <v>238</v>
      </c>
      <c r="HL3739" s="5" t="s">
        <v>238</v>
      </c>
      <c r="HM3739" s="5" t="s">
        <v>238</v>
      </c>
      <c r="HN3739" s="5" t="s">
        <v>238</v>
      </c>
      <c r="HO3739" s="5" t="s">
        <v>238</v>
      </c>
      <c r="HP3739" s="5" t="s">
        <v>238</v>
      </c>
      <c r="HQ3739" s="5" t="s">
        <v>238</v>
      </c>
      <c r="HR3739" s="5" t="s">
        <v>238</v>
      </c>
      <c r="HS3739" s="5" t="s">
        <v>238</v>
      </c>
      <c r="HT3739" s="5" t="s">
        <v>238</v>
      </c>
      <c r="HU3739" s="5" t="s">
        <v>238</v>
      </c>
      <c r="HV3739" s="5" t="s">
        <v>238</v>
      </c>
      <c r="HW3739" s="5" t="s">
        <v>238</v>
      </c>
      <c r="HX3739" s="5" t="s">
        <v>238</v>
      </c>
      <c r="HY3739" s="5" t="s">
        <v>238</v>
      </c>
      <c r="HZ3739" s="5" t="s">
        <v>238</v>
      </c>
      <c r="IA3739" s="5" t="s">
        <v>238</v>
      </c>
      <c r="IB3739" s="5" t="s">
        <v>238</v>
      </c>
      <c r="IC3739" s="5" t="s">
        <v>238</v>
      </c>
      <c r="ID3739" s="5" t="s">
        <v>238</v>
      </c>
    </row>
    <row r="3740" spans="1:238" x14ac:dyDescent="0.4">
      <c r="A3740" s="5">
        <v>9458</v>
      </c>
      <c r="B3740" s="5">
        <v>1</v>
      </c>
      <c r="C3740" s="5">
        <v>1</v>
      </c>
      <c r="D3740" s="5" t="s">
        <v>484</v>
      </c>
      <c r="E3740" s="5" t="s">
        <v>485</v>
      </c>
      <c r="F3740" s="5" t="s">
        <v>248</v>
      </c>
      <c r="G3740" s="5" t="s">
        <v>5495</v>
      </c>
      <c r="H3740" s="6" t="s">
        <v>5496</v>
      </c>
      <c r="I3740" s="8">
        <f>1</f>
        <v>1</v>
      </c>
      <c r="J3740" s="5" t="s">
        <v>499</v>
      </c>
      <c r="K3740" s="8">
        <f>1</f>
        <v>1</v>
      </c>
      <c r="L3740" s="6" t="s">
        <v>242</v>
      </c>
      <c r="M3740" s="5" t="s">
        <v>267</v>
      </c>
      <c r="N3740" s="5" t="s">
        <v>482</v>
      </c>
      <c r="O3740" s="5" t="s">
        <v>238</v>
      </c>
      <c r="P3740" s="5" t="s">
        <v>238</v>
      </c>
      <c r="Q3740" s="5" t="s">
        <v>239</v>
      </c>
      <c r="R3740" s="5" t="s">
        <v>270</v>
      </c>
      <c r="S3740" s="5" t="s">
        <v>238</v>
      </c>
      <c r="T3740" s="5" t="s">
        <v>238</v>
      </c>
      <c r="U3740" s="5" t="s">
        <v>238</v>
      </c>
      <c r="V3740" s="5" t="s">
        <v>238</v>
      </c>
      <c r="W3740" s="6" t="s">
        <v>238</v>
      </c>
      <c r="X3740" s="6" t="s">
        <v>238</v>
      </c>
      <c r="Y3740" s="5" t="s">
        <v>238</v>
      </c>
      <c r="Z3740" s="6" t="s">
        <v>238</v>
      </c>
      <c r="AA3740" s="6" t="s">
        <v>243</v>
      </c>
      <c r="AB3740" s="5" t="s">
        <v>598</v>
      </c>
      <c r="AC3740" s="5" t="s">
        <v>244</v>
      </c>
      <c r="AD3740" s="5" t="s">
        <v>245</v>
      </c>
      <c r="AE3740" s="5" t="s">
        <v>238</v>
      </c>
      <c r="AF3740" s="5" t="s">
        <v>238</v>
      </c>
      <c r="AG3740" s="5" t="s">
        <v>238</v>
      </c>
      <c r="AH3740" s="5" t="s">
        <v>238</v>
      </c>
      <c r="AI3740" s="5" t="s">
        <v>238</v>
      </c>
      <c r="AJ3740" s="5" t="s">
        <v>238</v>
      </c>
      <c r="AK3740" s="5" t="s">
        <v>238</v>
      </c>
      <c r="AL3740" s="5" t="s">
        <v>238</v>
      </c>
      <c r="AM3740" s="6" t="s">
        <v>238</v>
      </c>
      <c r="AN3740" s="6" t="s">
        <v>238</v>
      </c>
      <c r="AO3740" s="6" t="s">
        <v>238</v>
      </c>
      <c r="AP3740" s="6" t="s">
        <v>238</v>
      </c>
      <c r="AQ3740" s="5" t="s">
        <v>238</v>
      </c>
      <c r="AR3740" s="5" t="s">
        <v>488</v>
      </c>
      <c r="AS3740" s="5" t="s">
        <v>488</v>
      </c>
      <c r="AT3740" s="5" t="s">
        <v>246</v>
      </c>
      <c r="AU3740" s="5" t="s">
        <v>489</v>
      </c>
      <c r="AV3740" s="5" t="s">
        <v>247</v>
      </c>
      <c r="AW3740" s="5" t="s">
        <v>600</v>
      </c>
      <c r="AX3740" s="5" t="s">
        <v>249</v>
      </c>
      <c r="AY3740" s="5" t="s">
        <v>490</v>
      </c>
      <c r="BA3740" s="5" t="s">
        <v>238</v>
      </c>
      <c r="BC3740" s="5" t="s">
        <v>491</v>
      </c>
      <c r="BD3740" s="6" t="s">
        <v>492</v>
      </c>
      <c r="BE3740" s="5" t="s">
        <v>493</v>
      </c>
      <c r="BF3740" s="5" t="s">
        <v>493</v>
      </c>
      <c r="BG3740" s="5" t="s">
        <v>238</v>
      </c>
      <c r="BH3740" s="8">
        <f>1</f>
        <v>1</v>
      </c>
      <c r="BI3740" s="8">
        <f>1</f>
        <v>1</v>
      </c>
      <c r="BJ3740" s="5" t="s">
        <v>253</v>
      </c>
      <c r="BK3740" s="5" t="s">
        <v>254</v>
      </c>
      <c r="BL3740" s="5" t="s">
        <v>238</v>
      </c>
      <c r="BM3740" s="5" t="s">
        <v>238</v>
      </c>
      <c r="BN3740" s="5" t="s">
        <v>238</v>
      </c>
      <c r="BO3740" s="5" t="s">
        <v>238</v>
      </c>
      <c r="BP3740" s="5" t="s">
        <v>238</v>
      </c>
      <c r="BQ3740" s="5" t="s">
        <v>238</v>
      </c>
      <c r="BR3740" s="5" t="s">
        <v>238</v>
      </c>
      <c r="BS3740" s="5" t="s">
        <v>238</v>
      </c>
      <c r="BT3740" s="6" t="s">
        <v>238</v>
      </c>
      <c r="BU3740" s="5" t="s">
        <v>238</v>
      </c>
      <c r="BV3740" s="5" t="s">
        <v>238</v>
      </c>
      <c r="BW3740" s="5" t="s">
        <v>238</v>
      </c>
      <c r="BX3740" s="5" t="s">
        <v>254</v>
      </c>
      <c r="BY3740" s="5" t="s">
        <v>238</v>
      </c>
      <c r="BZ3740" s="5" t="s">
        <v>238</v>
      </c>
      <c r="CA3740" s="5" t="s">
        <v>238</v>
      </c>
      <c r="CB3740" s="5" t="s">
        <v>238</v>
      </c>
      <c r="CC3740" s="5" t="s">
        <v>238</v>
      </c>
      <c r="CD3740" s="5" t="s">
        <v>273</v>
      </c>
      <c r="CE3740" s="5" t="s">
        <v>256</v>
      </c>
      <c r="CF3740" s="5" t="s">
        <v>261</v>
      </c>
      <c r="CH3740" s="5" t="s">
        <v>494</v>
      </c>
      <c r="CI3740" s="6" t="s">
        <v>257</v>
      </c>
      <c r="CJ3740" s="5" t="s">
        <v>495</v>
      </c>
      <c r="CK3740" s="5" t="s">
        <v>258</v>
      </c>
      <c r="CL3740" s="5" t="s">
        <v>496</v>
      </c>
      <c r="CM3740" s="5" t="s">
        <v>238</v>
      </c>
      <c r="CN3740" s="5">
        <v>0</v>
      </c>
      <c r="CO3740" s="5" t="s">
        <v>497</v>
      </c>
      <c r="CP3740" s="5" t="s">
        <v>260</v>
      </c>
      <c r="CQ3740" s="5" t="s">
        <v>260</v>
      </c>
      <c r="CR3740" s="5" t="s">
        <v>261</v>
      </c>
      <c r="CS3740" s="5" t="s">
        <v>498</v>
      </c>
      <c r="CT3740" s="7">
        <f>1</f>
        <v>1</v>
      </c>
      <c r="CU3740" s="8">
        <f>1</f>
        <v>1</v>
      </c>
      <c r="CV3740" s="8">
        <f>0</f>
        <v>0</v>
      </c>
      <c r="CX3740" s="8">
        <f>1</f>
        <v>1</v>
      </c>
      <c r="CY3740" s="8">
        <f>1</f>
        <v>1</v>
      </c>
      <c r="CZ3740" s="8" t="s">
        <v>238</v>
      </c>
      <c r="DA3740" s="5" t="s">
        <v>238</v>
      </c>
      <c r="DB3740" s="5" t="s">
        <v>238</v>
      </c>
      <c r="DC3740" s="5" t="s">
        <v>238</v>
      </c>
      <c r="DD3740" s="5" t="s">
        <v>238</v>
      </c>
      <c r="DE3740" s="8">
        <f>0</f>
        <v>0</v>
      </c>
      <c r="DG3740" s="5" t="s">
        <v>238</v>
      </c>
      <c r="DH3740" s="5" t="s">
        <v>238</v>
      </c>
      <c r="DI3740" s="5" t="s">
        <v>238</v>
      </c>
      <c r="DJ3740" s="5" t="s">
        <v>238</v>
      </c>
      <c r="DK3740" s="5" t="s">
        <v>238</v>
      </c>
      <c r="DL3740" s="5" t="s">
        <v>238</v>
      </c>
      <c r="DM3740" s="8" t="s">
        <v>238</v>
      </c>
      <c r="DN3740" s="5" t="s">
        <v>238</v>
      </c>
      <c r="DO3740" s="5" t="s">
        <v>244</v>
      </c>
      <c r="DP3740" s="5" t="s">
        <v>490</v>
      </c>
      <c r="DQ3740" s="5" t="s">
        <v>490</v>
      </c>
      <c r="DR3740" s="5" t="s">
        <v>238</v>
      </c>
      <c r="DS3740" s="5" t="s">
        <v>238</v>
      </c>
      <c r="DT3740" s="5" t="s">
        <v>601</v>
      </c>
      <c r="DU3740" s="5" t="s">
        <v>294</v>
      </c>
      <c r="DV3740" s="5" t="s">
        <v>238</v>
      </c>
      <c r="DW3740" s="5" t="s">
        <v>238</v>
      </c>
      <c r="DX3740" s="5" t="s">
        <v>238</v>
      </c>
      <c r="DY3740" s="5" t="s">
        <v>238</v>
      </c>
      <c r="DZ3740" s="5" t="s">
        <v>238</v>
      </c>
      <c r="EA3740" s="5" t="s">
        <v>238</v>
      </c>
      <c r="EB3740" s="5" t="s">
        <v>238</v>
      </c>
      <c r="EC3740" s="5" t="s">
        <v>238</v>
      </c>
      <c r="ED3740" s="5" t="s">
        <v>238</v>
      </c>
      <c r="EE3740" s="5" t="s">
        <v>238</v>
      </c>
      <c r="EF3740" s="5" t="s">
        <v>238</v>
      </c>
      <c r="EG3740" s="5" t="s">
        <v>238</v>
      </c>
      <c r="EH3740" s="5" t="s">
        <v>238</v>
      </c>
      <c r="EI3740" s="5" t="s">
        <v>238</v>
      </c>
      <c r="EJ3740" s="5" t="s">
        <v>238</v>
      </c>
      <c r="EK3740" s="5" t="s">
        <v>238</v>
      </c>
      <c r="EL3740" s="5" t="s">
        <v>238</v>
      </c>
      <c r="EM3740" s="5" t="s">
        <v>238</v>
      </c>
      <c r="EN3740" s="5" t="s">
        <v>238</v>
      </c>
      <c r="EO3740" s="5" t="s">
        <v>238</v>
      </c>
      <c r="EP3740" s="5" t="s">
        <v>238</v>
      </c>
      <c r="EQ3740" s="5" t="s">
        <v>238</v>
      </c>
      <c r="ER3740" s="5" t="s">
        <v>238</v>
      </c>
      <c r="ES3740" s="5" t="s">
        <v>238</v>
      </c>
      <c r="ET3740" s="5" t="s">
        <v>238</v>
      </c>
      <c r="EU3740" s="5" t="s">
        <v>238</v>
      </c>
      <c r="EV3740" s="5" t="s">
        <v>238</v>
      </c>
      <c r="EW3740" s="5" t="s">
        <v>238</v>
      </c>
      <c r="EX3740" s="5" t="s">
        <v>238</v>
      </c>
      <c r="EY3740" s="5" t="s">
        <v>238</v>
      </c>
      <c r="EZ3740" s="5" t="s">
        <v>238</v>
      </c>
      <c r="FA3740" s="5" t="s">
        <v>238</v>
      </c>
      <c r="FB3740" s="5" t="s">
        <v>238</v>
      </c>
      <c r="FC3740" s="5" t="s">
        <v>238</v>
      </c>
      <c r="FD3740" s="5" t="s">
        <v>238</v>
      </c>
      <c r="FE3740" s="5" t="s">
        <v>238</v>
      </c>
      <c r="FF3740" s="5" t="s">
        <v>238</v>
      </c>
      <c r="FG3740" s="5" t="s">
        <v>238</v>
      </c>
      <c r="FH3740" s="5" t="s">
        <v>238</v>
      </c>
      <c r="FI3740" s="5" t="s">
        <v>238</v>
      </c>
      <c r="FJ3740" s="5" t="s">
        <v>238</v>
      </c>
      <c r="FK3740" s="5" t="s">
        <v>238</v>
      </c>
      <c r="FL3740" s="5" t="s">
        <v>238</v>
      </c>
      <c r="FM3740" s="5" t="s">
        <v>238</v>
      </c>
      <c r="FN3740" s="5" t="s">
        <v>238</v>
      </c>
      <c r="FO3740" s="5" t="s">
        <v>238</v>
      </c>
      <c r="FP3740" s="5" t="s">
        <v>238</v>
      </c>
      <c r="FQ3740" s="5" t="s">
        <v>238</v>
      </c>
      <c r="FR3740" s="5" t="s">
        <v>238</v>
      </c>
      <c r="FS3740" s="5" t="s">
        <v>238</v>
      </c>
      <c r="FT3740" s="5" t="s">
        <v>238</v>
      </c>
      <c r="FU3740" s="5" t="s">
        <v>238</v>
      </c>
      <c r="FV3740" s="5" t="s">
        <v>238</v>
      </c>
      <c r="FW3740" s="5" t="s">
        <v>238</v>
      </c>
      <c r="FX3740" s="5" t="s">
        <v>238</v>
      </c>
      <c r="FY3740" s="5" t="s">
        <v>238</v>
      </c>
      <c r="FZ3740" s="5" t="s">
        <v>238</v>
      </c>
      <c r="GA3740" s="5" t="s">
        <v>238</v>
      </c>
      <c r="GB3740" s="5" t="s">
        <v>238</v>
      </c>
      <c r="GC3740" s="5" t="s">
        <v>238</v>
      </c>
      <c r="GD3740" s="5" t="s">
        <v>238</v>
      </c>
      <c r="GE3740" s="5" t="s">
        <v>238</v>
      </c>
      <c r="GF3740" s="5" t="s">
        <v>238</v>
      </c>
      <c r="GG3740" s="5" t="s">
        <v>238</v>
      </c>
      <c r="GH3740" s="5" t="s">
        <v>238</v>
      </c>
      <c r="GI3740" s="5" t="s">
        <v>238</v>
      </c>
      <c r="GJ3740" s="5" t="s">
        <v>238</v>
      </c>
      <c r="GK3740" s="5" t="s">
        <v>238</v>
      </c>
      <c r="GL3740" s="5" t="s">
        <v>238</v>
      </c>
      <c r="GM3740" s="5" t="s">
        <v>238</v>
      </c>
      <c r="GN3740" s="5" t="s">
        <v>238</v>
      </c>
      <c r="GO3740" s="5" t="s">
        <v>238</v>
      </c>
      <c r="GP3740" s="5" t="s">
        <v>238</v>
      </c>
      <c r="GQ3740" s="5" t="s">
        <v>238</v>
      </c>
      <c r="GR3740" s="5" t="s">
        <v>238</v>
      </c>
      <c r="GS3740" s="5" t="s">
        <v>238</v>
      </c>
      <c r="GT3740" s="5" t="s">
        <v>238</v>
      </c>
      <c r="GU3740" s="5" t="s">
        <v>238</v>
      </c>
      <c r="GV3740" s="5" t="s">
        <v>238</v>
      </c>
      <c r="GW3740" s="5" t="s">
        <v>238</v>
      </c>
      <c r="GX3740" s="5" t="s">
        <v>238</v>
      </c>
      <c r="GY3740" s="5" t="s">
        <v>238</v>
      </c>
      <c r="GZ3740" s="5" t="s">
        <v>238</v>
      </c>
      <c r="HA3740" s="5" t="s">
        <v>238</v>
      </c>
      <c r="HB3740" s="5" t="s">
        <v>238</v>
      </c>
      <c r="HC3740" s="5" t="s">
        <v>238</v>
      </c>
      <c r="HD3740" s="5" t="s">
        <v>238</v>
      </c>
      <c r="HE3740" s="5" t="s">
        <v>238</v>
      </c>
      <c r="HF3740" s="5" t="s">
        <v>238</v>
      </c>
      <c r="HG3740" s="5" t="s">
        <v>238</v>
      </c>
      <c r="HH3740" s="5" t="s">
        <v>238</v>
      </c>
      <c r="HI3740" s="5" t="s">
        <v>238</v>
      </c>
      <c r="HJ3740" s="5" t="s">
        <v>238</v>
      </c>
      <c r="HK3740" s="5" t="s">
        <v>238</v>
      </c>
      <c r="HL3740" s="5" t="s">
        <v>238</v>
      </c>
      <c r="HM3740" s="5" t="s">
        <v>238</v>
      </c>
      <c r="HN3740" s="5" t="s">
        <v>238</v>
      </c>
      <c r="HO3740" s="5" t="s">
        <v>238</v>
      </c>
      <c r="HP3740" s="5" t="s">
        <v>238</v>
      </c>
      <c r="HQ3740" s="5" t="s">
        <v>238</v>
      </c>
      <c r="HR3740" s="5" t="s">
        <v>238</v>
      </c>
      <c r="HS3740" s="5" t="s">
        <v>238</v>
      </c>
      <c r="HT3740" s="5" t="s">
        <v>238</v>
      </c>
      <c r="HU3740" s="5" t="s">
        <v>238</v>
      </c>
      <c r="HV3740" s="5" t="s">
        <v>238</v>
      </c>
      <c r="HW3740" s="5" t="s">
        <v>238</v>
      </c>
      <c r="HX3740" s="5" t="s">
        <v>238</v>
      </c>
      <c r="HY3740" s="5" t="s">
        <v>238</v>
      </c>
      <c r="HZ3740" s="5" t="s">
        <v>238</v>
      </c>
      <c r="IA3740" s="5" t="s">
        <v>238</v>
      </c>
      <c r="IB3740" s="5" t="s">
        <v>238</v>
      </c>
      <c r="IC3740" s="5" t="s">
        <v>238</v>
      </c>
      <c r="ID3740" s="5" t="s">
        <v>238</v>
      </c>
    </row>
    <row r="3741" spans="1:238" x14ac:dyDescent="0.4">
      <c r="A3741" s="5">
        <v>9459</v>
      </c>
      <c r="B3741" s="5">
        <v>1</v>
      </c>
      <c r="C3741" s="5">
        <v>1</v>
      </c>
      <c r="D3741" s="5" t="s">
        <v>484</v>
      </c>
      <c r="E3741" s="5" t="s">
        <v>485</v>
      </c>
      <c r="F3741" s="5" t="s">
        <v>248</v>
      </c>
      <c r="G3741" s="5" t="s">
        <v>4708</v>
      </c>
      <c r="H3741" s="6" t="s">
        <v>4709</v>
      </c>
      <c r="I3741" s="8">
        <f>1</f>
        <v>1</v>
      </c>
      <c r="J3741" s="5" t="s">
        <v>499</v>
      </c>
      <c r="K3741" s="8">
        <f>1</f>
        <v>1</v>
      </c>
      <c r="L3741" s="6" t="s">
        <v>242</v>
      </c>
      <c r="M3741" s="5" t="s">
        <v>267</v>
      </c>
      <c r="N3741" s="5" t="s">
        <v>482</v>
      </c>
      <c r="O3741" s="5" t="s">
        <v>238</v>
      </c>
      <c r="P3741" s="5" t="s">
        <v>238</v>
      </c>
      <c r="Q3741" s="5" t="s">
        <v>239</v>
      </c>
      <c r="R3741" s="5" t="s">
        <v>270</v>
      </c>
      <c r="S3741" s="5" t="s">
        <v>238</v>
      </c>
      <c r="T3741" s="5" t="s">
        <v>238</v>
      </c>
      <c r="U3741" s="5" t="s">
        <v>238</v>
      </c>
      <c r="V3741" s="5" t="s">
        <v>238</v>
      </c>
      <c r="W3741" s="6" t="s">
        <v>238</v>
      </c>
      <c r="X3741" s="6" t="s">
        <v>238</v>
      </c>
      <c r="Y3741" s="5" t="s">
        <v>238</v>
      </c>
      <c r="Z3741" s="6" t="s">
        <v>238</v>
      </c>
      <c r="AA3741" s="6" t="s">
        <v>243</v>
      </c>
      <c r="AB3741" s="5" t="s">
        <v>598</v>
      </c>
      <c r="AC3741" s="5" t="s">
        <v>244</v>
      </c>
      <c r="AD3741" s="5" t="s">
        <v>245</v>
      </c>
      <c r="AE3741" s="5" t="s">
        <v>238</v>
      </c>
      <c r="AF3741" s="5" t="s">
        <v>238</v>
      </c>
      <c r="AG3741" s="5" t="s">
        <v>238</v>
      </c>
      <c r="AH3741" s="5" t="s">
        <v>238</v>
      </c>
      <c r="AI3741" s="5" t="s">
        <v>238</v>
      </c>
      <c r="AJ3741" s="5" t="s">
        <v>238</v>
      </c>
      <c r="AK3741" s="5" t="s">
        <v>238</v>
      </c>
      <c r="AL3741" s="5" t="s">
        <v>238</v>
      </c>
      <c r="AM3741" s="6" t="s">
        <v>238</v>
      </c>
      <c r="AN3741" s="6" t="s">
        <v>238</v>
      </c>
      <c r="AO3741" s="6" t="s">
        <v>238</v>
      </c>
      <c r="AP3741" s="6" t="s">
        <v>238</v>
      </c>
      <c r="AQ3741" s="5" t="s">
        <v>238</v>
      </c>
      <c r="AR3741" s="5" t="s">
        <v>488</v>
      </c>
      <c r="AS3741" s="5" t="s">
        <v>488</v>
      </c>
      <c r="AT3741" s="5" t="s">
        <v>246</v>
      </c>
      <c r="AU3741" s="5" t="s">
        <v>489</v>
      </c>
      <c r="AV3741" s="5" t="s">
        <v>247</v>
      </c>
      <c r="AW3741" s="5" t="s">
        <v>600</v>
      </c>
      <c r="AX3741" s="5" t="s">
        <v>249</v>
      </c>
      <c r="AY3741" s="5" t="s">
        <v>490</v>
      </c>
      <c r="BA3741" s="5" t="s">
        <v>238</v>
      </c>
      <c r="BC3741" s="5" t="s">
        <v>491</v>
      </c>
      <c r="BD3741" s="6" t="s">
        <v>492</v>
      </c>
      <c r="BE3741" s="5" t="s">
        <v>493</v>
      </c>
      <c r="BF3741" s="5" t="s">
        <v>493</v>
      </c>
      <c r="BG3741" s="5" t="s">
        <v>238</v>
      </c>
      <c r="BH3741" s="8">
        <f>1</f>
        <v>1</v>
      </c>
      <c r="BI3741" s="8">
        <f>1</f>
        <v>1</v>
      </c>
      <c r="BJ3741" s="5" t="s">
        <v>253</v>
      </c>
      <c r="BK3741" s="5" t="s">
        <v>254</v>
      </c>
      <c r="BL3741" s="5" t="s">
        <v>238</v>
      </c>
      <c r="BM3741" s="5" t="s">
        <v>238</v>
      </c>
      <c r="BN3741" s="5" t="s">
        <v>238</v>
      </c>
      <c r="BO3741" s="5" t="s">
        <v>238</v>
      </c>
      <c r="BP3741" s="5" t="s">
        <v>238</v>
      </c>
      <c r="BQ3741" s="5" t="s">
        <v>238</v>
      </c>
      <c r="BR3741" s="5" t="s">
        <v>238</v>
      </c>
      <c r="BS3741" s="5" t="s">
        <v>238</v>
      </c>
      <c r="BT3741" s="6" t="s">
        <v>238</v>
      </c>
      <c r="BU3741" s="5" t="s">
        <v>238</v>
      </c>
      <c r="BV3741" s="5" t="s">
        <v>238</v>
      </c>
      <c r="BW3741" s="5" t="s">
        <v>238</v>
      </c>
      <c r="BX3741" s="5" t="s">
        <v>254</v>
      </c>
      <c r="BY3741" s="5" t="s">
        <v>238</v>
      </c>
      <c r="BZ3741" s="5" t="s">
        <v>238</v>
      </c>
      <c r="CA3741" s="5" t="s">
        <v>238</v>
      </c>
      <c r="CB3741" s="5" t="s">
        <v>238</v>
      </c>
      <c r="CC3741" s="5" t="s">
        <v>238</v>
      </c>
      <c r="CD3741" s="5" t="s">
        <v>273</v>
      </c>
      <c r="CE3741" s="5" t="s">
        <v>256</v>
      </c>
      <c r="CF3741" s="5" t="s">
        <v>261</v>
      </c>
      <c r="CH3741" s="5" t="s">
        <v>494</v>
      </c>
      <c r="CI3741" s="6" t="s">
        <v>257</v>
      </c>
      <c r="CJ3741" s="5" t="s">
        <v>495</v>
      </c>
      <c r="CK3741" s="5" t="s">
        <v>258</v>
      </c>
      <c r="CL3741" s="5" t="s">
        <v>496</v>
      </c>
      <c r="CM3741" s="5" t="s">
        <v>238</v>
      </c>
      <c r="CN3741" s="5">
        <v>0</v>
      </c>
      <c r="CO3741" s="5" t="s">
        <v>497</v>
      </c>
      <c r="CP3741" s="5" t="s">
        <v>260</v>
      </c>
      <c r="CQ3741" s="5" t="s">
        <v>260</v>
      </c>
      <c r="CR3741" s="5" t="s">
        <v>261</v>
      </c>
      <c r="CS3741" s="5" t="s">
        <v>498</v>
      </c>
      <c r="CT3741" s="7">
        <f>1</f>
        <v>1</v>
      </c>
      <c r="CU3741" s="8">
        <f>1</f>
        <v>1</v>
      </c>
      <c r="CV3741" s="8">
        <f>0</f>
        <v>0</v>
      </c>
      <c r="CX3741" s="8">
        <f>1</f>
        <v>1</v>
      </c>
      <c r="CY3741" s="8">
        <f>1</f>
        <v>1</v>
      </c>
      <c r="CZ3741" s="8" t="s">
        <v>238</v>
      </c>
      <c r="DA3741" s="5" t="s">
        <v>238</v>
      </c>
      <c r="DB3741" s="5" t="s">
        <v>238</v>
      </c>
      <c r="DC3741" s="5" t="s">
        <v>238</v>
      </c>
      <c r="DD3741" s="5" t="s">
        <v>238</v>
      </c>
      <c r="DE3741" s="8">
        <f>0</f>
        <v>0</v>
      </c>
      <c r="DG3741" s="5" t="s">
        <v>238</v>
      </c>
      <c r="DH3741" s="5" t="s">
        <v>238</v>
      </c>
      <c r="DI3741" s="5" t="s">
        <v>238</v>
      </c>
      <c r="DJ3741" s="5" t="s">
        <v>238</v>
      </c>
      <c r="DK3741" s="5" t="s">
        <v>238</v>
      </c>
      <c r="DL3741" s="5" t="s">
        <v>238</v>
      </c>
      <c r="DM3741" s="8" t="s">
        <v>238</v>
      </c>
      <c r="DN3741" s="5" t="s">
        <v>238</v>
      </c>
      <c r="DO3741" s="5" t="s">
        <v>244</v>
      </c>
      <c r="DP3741" s="5" t="s">
        <v>490</v>
      </c>
      <c r="DQ3741" s="5" t="s">
        <v>490</v>
      </c>
      <c r="DR3741" s="5" t="s">
        <v>238</v>
      </c>
      <c r="DS3741" s="5" t="s">
        <v>238</v>
      </c>
      <c r="DT3741" s="5" t="s">
        <v>601</v>
      </c>
      <c r="DU3741" s="5" t="s">
        <v>967</v>
      </c>
      <c r="DV3741" s="5" t="s">
        <v>238</v>
      </c>
      <c r="DW3741" s="5" t="s">
        <v>238</v>
      </c>
      <c r="DX3741" s="5" t="s">
        <v>238</v>
      </c>
      <c r="DY3741" s="5" t="s">
        <v>238</v>
      </c>
      <c r="DZ3741" s="5" t="s">
        <v>238</v>
      </c>
      <c r="EA3741" s="5" t="s">
        <v>238</v>
      </c>
      <c r="EB3741" s="5" t="s">
        <v>238</v>
      </c>
      <c r="EC3741" s="5" t="s">
        <v>238</v>
      </c>
      <c r="ED3741" s="5" t="s">
        <v>238</v>
      </c>
      <c r="EE3741" s="5" t="s">
        <v>238</v>
      </c>
      <c r="EF3741" s="5" t="s">
        <v>238</v>
      </c>
      <c r="EG3741" s="5" t="s">
        <v>238</v>
      </c>
      <c r="EH3741" s="5" t="s">
        <v>238</v>
      </c>
      <c r="EI3741" s="5" t="s">
        <v>238</v>
      </c>
      <c r="EJ3741" s="5" t="s">
        <v>238</v>
      </c>
      <c r="EK3741" s="5" t="s">
        <v>238</v>
      </c>
      <c r="EL3741" s="5" t="s">
        <v>238</v>
      </c>
      <c r="EM3741" s="5" t="s">
        <v>238</v>
      </c>
      <c r="EN3741" s="5" t="s">
        <v>238</v>
      </c>
      <c r="EO3741" s="5" t="s">
        <v>238</v>
      </c>
      <c r="EP3741" s="5" t="s">
        <v>238</v>
      </c>
      <c r="EQ3741" s="5" t="s">
        <v>238</v>
      </c>
      <c r="ER3741" s="5" t="s">
        <v>238</v>
      </c>
      <c r="ES3741" s="5" t="s">
        <v>238</v>
      </c>
      <c r="ET3741" s="5" t="s">
        <v>238</v>
      </c>
      <c r="EU3741" s="5" t="s">
        <v>238</v>
      </c>
      <c r="EV3741" s="5" t="s">
        <v>238</v>
      </c>
      <c r="EW3741" s="5" t="s">
        <v>238</v>
      </c>
      <c r="EX3741" s="5" t="s">
        <v>238</v>
      </c>
      <c r="EY3741" s="5" t="s">
        <v>238</v>
      </c>
      <c r="EZ3741" s="5" t="s">
        <v>238</v>
      </c>
      <c r="FA3741" s="5" t="s">
        <v>238</v>
      </c>
      <c r="FB3741" s="5" t="s">
        <v>238</v>
      </c>
      <c r="FC3741" s="5" t="s">
        <v>238</v>
      </c>
      <c r="FD3741" s="5" t="s">
        <v>238</v>
      </c>
      <c r="FE3741" s="5" t="s">
        <v>238</v>
      </c>
      <c r="FF3741" s="5" t="s">
        <v>238</v>
      </c>
      <c r="FG3741" s="5" t="s">
        <v>238</v>
      </c>
      <c r="FH3741" s="5" t="s">
        <v>238</v>
      </c>
      <c r="FI3741" s="5" t="s">
        <v>238</v>
      </c>
      <c r="FJ3741" s="5" t="s">
        <v>238</v>
      </c>
      <c r="FK3741" s="5" t="s">
        <v>238</v>
      </c>
      <c r="FL3741" s="5" t="s">
        <v>238</v>
      </c>
      <c r="FM3741" s="5" t="s">
        <v>238</v>
      </c>
      <c r="FN3741" s="5" t="s">
        <v>238</v>
      </c>
      <c r="FO3741" s="5" t="s">
        <v>238</v>
      </c>
      <c r="FP3741" s="5" t="s">
        <v>238</v>
      </c>
      <c r="FQ3741" s="5" t="s">
        <v>238</v>
      </c>
      <c r="FR3741" s="5" t="s">
        <v>238</v>
      </c>
      <c r="FS3741" s="5" t="s">
        <v>238</v>
      </c>
      <c r="FT3741" s="5" t="s">
        <v>238</v>
      </c>
      <c r="FU3741" s="5" t="s">
        <v>238</v>
      </c>
      <c r="FV3741" s="5" t="s">
        <v>238</v>
      </c>
      <c r="FW3741" s="5" t="s">
        <v>238</v>
      </c>
      <c r="FX3741" s="5" t="s">
        <v>238</v>
      </c>
      <c r="FY3741" s="5" t="s">
        <v>238</v>
      </c>
      <c r="FZ3741" s="5" t="s">
        <v>238</v>
      </c>
      <c r="GA3741" s="5" t="s">
        <v>238</v>
      </c>
      <c r="GB3741" s="5" t="s">
        <v>238</v>
      </c>
      <c r="GC3741" s="5" t="s">
        <v>238</v>
      </c>
      <c r="GD3741" s="5" t="s">
        <v>238</v>
      </c>
      <c r="GE3741" s="5" t="s">
        <v>238</v>
      </c>
      <c r="GF3741" s="5" t="s">
        <v>238</v>
      </c>
      <c r="GG3741" s="5" t="s">
        <v>238</v>
      </c>
      <c r="GH3741" s="5" t="s">
        <v>238</v>
      </c>
      <c r="GI3741" s="5" t="s">
        <v>238</v>
      </c>
      <c r="GJ3741" s="5" t="s">
        <v>238</v>
      </c>
      <c r="GK3741" s="5" t="s">
        <v>238</v>
      </c>
      <c r="GL3741" s="5" t="s">
        <v>238</v>
      </c>
      <c r="GM3741" s="5" t="s">
        <v>238</v>
      </c>
      <c r="GN3741" s="5" t="s">
        <v>238</v>
      </c>
      <c r="GO3741" s="5" t="s">
        <v>238</v>
      </c>
      <c r="GP3741" s="5" t="s">
        <v>238</v>
      </c>
      <c r="GQ3741" s="5" t="s">
        <v>238</v>
      </c>
      <c r="GR3741" s="5" t="s">
        <v>238</v>
      </c>
      <c r="GS3741" s="5" t="s">
        <v>238</v>
      </c>
      <c r="GT3741" s="5" t="s">
        <v>238</v>
      </c>
      <c r="GU3741" s="5" t="s">
        <v>238</v>
      </c>
      <c r="GV3741" s="5" t="s">
        <v>238</v>
      </c>
      <c r="GW3741" s="5" t="s">
        <v>238</v>
      </c>
      <c r="GX3741" s="5" t="s">
        <v>238</v>
      </c>
      <c r="GY3741" s="5" t="s">
        <v>238</v>
      </c>
      <c r="GZ3741" s="5" t="s">
        <v>238</v>
      </c>
      <c r="HA3741" s="5" t="s">
        <v>238</v>
      </c>
      <c r="HB3741" s="5" t="s">
        <v>238</v>
      </c>
      <c r="HC3741" s="5" t="s">
        <v>238</v>
      </c>
      <c r="HD3741" s="5" t="s">
        <v>238</v>
      </c>
      <c r="HE3741" s="5" t="s">
        <v>238</v>
      </c>
      <c r="HF3741" s="5" t="s">
        <v>238</v>
      </c>
      <c r="HG3741" s="5" t="s">
        <v>238</v>
      </c>
      <c r="HH3741" s="5" t="s">
        <v>238</v>
      </c>
      <c r="HI3741" s="5" t="s">
        <v>238</v>
      </c>
      <c r="HJ3741" s="5" t="s">
        <v>238</v>
      </c>
      <c r="HK3741" s="5" t="s">
        <v>238</v>
      </c>
      <c r="HL3741" s="5" t="s">
        <v>238</v>
      </c>
      <c r="HM3741" s="5" t="s">
        <v>238</v>
      </c>
      <c r="HN3741" s="5" t="s">
        <v>238</v>
      </c>
      <c r="HO3741" s="5" t="s">
        <v>238</v>
      </c>
      <c r="HP3741" s="5" t="s">
        <v>238</v>
      </c>
      <c r="HQ3741" s="5" t="s">
        <v>238</v>
      </c>
      <c r="HR3741" s="5" t="s">
        <v>238</v>
      </c>
      <c r="HS3741" s="5" t="s">
        <v>238</v>
      </c>
      <c r="HT3741" s="5" t="s">
        <v>238</v>
      </c>
      <c r="HU3741" s="5" t="s">
        <v>238</v>
      </c>
      <c r="HV3741" s="5" t="s">
        <v>238</v>
      </c>
      <c r="HW3741" s="5" t="s">
        <v>238</v>
      </c>
      <c r="HX3741" s="5" t="s">
        <v>238</v>
      </c>
      <c r="HY3741" s="5" t="s">
        <v>238</v>
      </c>
      <c r="HZ3741" s="5" t="s">
        <v>238</v>
      </c>
      <c r="IA3741" s="5" t="s">
        <v>238</v>
      </c>
      <c r="IB3741" s="5" t="s">
        <v>238</v>
      </c>
      <c r="IC3741" s="5" t="s">
        <v>238</v>
      </c>
      <c r="ID3741" s="5" t="s">
        <v>238</v>
      </c>
    </row>
    <row r="3742" spans="1:238" x14ac:dyDescent="0.4">
      <c r="A3742" s="5">
        <v>9460</v>
      </c>
      <c r="B3742" s="5">
        <v>1</v>
      </c>
      <c r="C3742" s="5">
        <v>1</v>
      </c>
      <c r="D3742" s="5" t="s">
        <v>484</v>
      </c>
      <c r="E3742" s="5" t="s">
        <v>485</v>
      </c>
      <c r="F3742" s="5" t="s">
        <v>248</v>
      </c>
      <c r="G3742" s="5" t="s">
        <v>4679</v>
      </c>
      <c r="H3742" s="6" t="s">
        <v>4681</v>
      </c>
      <c r="I3742" s="8">
        <f>1</f>
        <v>1</v>
      </c>
      <c r="J3742" s="5" t="s">
        <v>499</v>
      </c>
      <c r="K3742" s="8">
        <f>1</f>
        <v>1</v>
      </c>
      <c r="L3742" s="6" t="s">
        <v>242</v>
      </c>
      <c r="M3742" s="5" t="s">
        <v>267</v>
      </c>
      <c r="N3742" s="5" t="s">
        <v>482</v>
      </c>
      <c r="O3742" s="5" t="s">
        <v>238</v>
      </c>
      <c r="P3742" s="5" t="s">
        <v>238</v>
      </c>
      <c r="Q3742" s="5" t="s">
        <v>239</v>
      </c>
      <c r="R3742" s="5" t="s">
        <v>270</v>
      </c>
      <c r="S3742" s="5" t="s">
        <v>238</v>
      </c>
      <c r="T3742" s="5" t="s">
        <v>238</v>
      </c>
      <c r="U3742" s="5" t="s">
        <v>238</v>
      </c>
      <c r="V3742" s="5" t="s">
        <v>238</v>
      </c>
      <c r="W3742" s="6" t="s">
        <v>238</v>
      </c>
      <c r="X3742" s="6" t="s">
        <v>238</v>
      </c>
      <c r="Y3742" s="5" t="s">
        <v>238</v>
      </c>
      <c r="Z3742" s="6" t="s">
        <v>238</v>
      </c>
      <c r="AA3742" s="6" t="s">
        <v>243</v>
      </c>
      <c r="AB3742" s="5" t="s">
        <v>4680</v>
      </c>
      <c r="AC3742" s="5" t="s">
        <v>244</v>
      </c>
      <c r="AD3742" s="5" t="s">
        <v>245</v>
      </c>
      <c r="AE3742" s="5" t="s">
        <v>238</v>
      </c>
      <c r="AF3742" s="5" t="s">
        <v>238</v>
      </c>
      <c r="AG3742" s="5" t="s">
        <v>238</v>
      </c>
      <c r="AH3742" s="5" t="s">
        <v>238</v>
      </c>
      <c r="AI3742" s="5" t="s">
        <v>238</v>
      </c>
      <c r="AJ3742" s="5" t="s">
        <v>238</v>
      </c>
      <c r="AK3742" s="5" t="s">
        <v>238</v>
      </c>
      <c r="AL3742" s="5" t="s">
        <v>238</v>
      </c>
      <c r="AM3742" s="6" t="s">
        <v>238</v>
      </c>
      <c r="AN3742" s="6" t="s">
        <v>238</v>
      </c>
      <c r="AO3742" s="6" t="s">
        <v>238</v>
      </c>
      <c r="AP3742" s="6" t="s">
        <v>238</v>
      </c>
      <c r="AQ3742" s="5" t="s">
        <v>238</v>
      </c>
      <c r="AR3742" s="5" t="s">
        <v>488</v>
      </c>
      <c r="AS3742" s="5" t="s">
        <v>488</v>
      </c>
      <c r="AT3742" s="5" t="s">
        <v>246</v>
      </c>
      <c r="AU3742" s="5" t="s">
        <v>489</v>
      </c>
      <c r="AV3742" s="5" t="s">
        <v>247</v>
      </c>
      <c r="AW3742" s="5" t="s">
        <v>600</v>
      </c>
      <c r="AX3742" s="5" t="s">
        <v>249</v>
      </c>
      <c r="AY3742" s="5" t="s">
        <v>490</v>
      </c>
      <c r="BA3742" s="5" t="s">
        <v>238</v>
      </c>
      <c r="BC3742" s="5" t="s">
        <v>491</v>
      </c>
      <c r="BD3742" s="6" t="s">
        <v>492</v>
      </c>
      <c r="BE3742" s="5" t="s">
        <v>493</v>
      </c>
      <c r="BF3742" s="5" t="s">
        <v>493</v>
      </c>
      <c r="BG3742" s="5" t="s">
        <v>238</v>
      </c>
      <c r="BH3742" s="8">
        <f>1</f>
        <v>1</v>
      </c>
      <c r="BI3742" s="8">
        <f>1</f>
        <v>1</v>
      </c>
      <c r="BJ3742" s="5" t="s">
        <v>253</v>
      </c>
      <c r="BK3742" s="5" t="s">
        <v>254</v>
      </c>
      <c r="BL3742" s="5" t="s">
        <v>238</v>
      </c>
      <c r="BM3742" s="5" t="s">
        <v>238</v>
      </c>
      <c r="BN3742" s="5" t="s">
        <v>238</v>
      </c>
      <c r="BO3742" s="5" t="s">
        <v>238</v>
      </c>
      <c r="BP3742" s="5" t="s">
        <v>238</v>
      </c>
      <c r="BQ3742" s="5" t="s">
        <v>238</v>
      </c>
      <c r="BR3742" s="5" t="s">
        <v>238</v>
      </c>
      <c r="BS3742" s="5" t="s">
        <v>238</v>
      </c>
      <c r="BT3742" s="6" t="s">
        <v>238</v>
      </c>
      <c r="BU3742" s="5" t="s">
        <v>238</v>
      </c>
      <c r="BV3742" s="5" t="s">
        <v>238</v>
      </c>
      <c r="BW3742" s="5" t="s">
        <v>238</v>
      </c>
      <c r="BX3742" s="5" t="s">
        <v>254</v>
      </c>
      <c r="BY3742" s="5" t="s">
        <v>238</v>
      </c>
      <c r="BZ3742" s="5" t="s">
        <v>238</v>
      </c>
      <c r="CA3742" s="5" t="s">
        <v>238</v>
      </c>
      <c r="CB3742" s="5" t="s">
        <v>238</v>
      </c>
      <c r="CC3742" s="5" t="s">
        <v>238</v>
      </c>
      <c r="CD3742" s="5" t="s">
        <v>273</v>
      </c>
      <c r="CE3742" s="5" t="s">
        <v>256</v>
      </c>
      <c r="CF3742" s="5" t="s">
        <v>261</v>
      </c>
      <c r="CH3742" s="5" t="s">
        <v>494</v>
      </c>
      <c r="CI3742" s="6" t="s">
        <v>257</v>
      </c>
      <c r="CJ3742" s="5" t="s">
        <v>495</v>
      </c>
      <c r="CK3742" s="5" t="s">
        <v>258</v>
      </c>
      <c r="CL3742" s="5" t="s">
        <v>496</v>
      </c>
      <c r="CM3742" s="5" t="s">
        <v>238</v>
      </c>
      <c r="CN3742" s="5">
        <v>0</v>
      </c>
      <c r="CO3742" s="5" t="s">
        <v>497</v>
      </c>
      <c r="CP3742" s="5" t="s">
        <v>260</v>
      </c>
      <c r="CQ3742" s="5" t="s">
        <v>260</v>
      </c>
      <c r="CR3742" s="5" t="s">
        <v>261</v>
      </c>
      <c r="CS3742" s="5" t="s">
        <v>498</v>
      </c>
      <c r="CT3742" s="7">
        <f>1</f>
        <v>1</v>
      </c>
      <c r="CU3742" s="8">
        <f>1</f>
        <v>1</v>
      </c>
      <c r="CV3742" s="8">
        <f>0</f>
        <v>0</v>
      </c>
      <c r="CX3742" s="8">
        <f>1</f>
        <v>1</v>
      </c>
      <c r="CY3742" s="8">
        <f>1</f>
        <v>1</v>
      </c>
      <c r="CZ3742" s="8" t="s">
        <v>238</v>
      </c>
      <c r="DA3742" s="5" t="s">
        <v>238</v>
      </c>
      <c r="DB3742" s="5" t="s">
        <v>238</v>
      </c>
      <c r="DC3742" s="5" t="s">
        <v>238</v>
      </c>
      <c r="DD3742" s="5" t="s">
        <v>238</v>
      </c>
      <c r="DE3742" s="8">
        <f>0</f>
        <v>0</v>
      </c>
      <c r="DG3742" s="5" t="s">
        <v>238</v>
      </c>
      <c r="DH3742" s="5" t="s">
        <v>238</v>
      </c>
      <c r="DI3742" s="5" t="s">
        <v>238</v>
      </c>
      <c r="DJ3742" s="5" t="s">
        <v>238</v>
      </c>
      <c r="DK3742" s="5" t="s">
        <v>238</v>
      </c>
      <c r="DL3742" s="5" t="s">
        <v>238</v>
      </c>
      <c r="DM3742" s="8" t="s">
        <v>238</v>
      </c>
      <c r="DN3742" s="5" t="s">
        <v>238</v>
      </c>
      <c r="DO3742" s="5" t="s">
        <v>244</v>
      </c>
      <c r="DP3742" s="5" t="s">
        <v>490</v>
      </c>
      <c r="DQ3742" s="5" t="s">
        <v>490</v>
      </c>
      <c r="DR3742" s="5" t="s">
        <v>238</v>
      </c>
      <c r="DS3742" s="5" t="s">
        <v>238</v>
      </c>
      <c r="DT3742" s="5" t="s">
        <v>601</v>
      </c>
      <c r="DU3742" s="5" t="s">
        <v>1364</v>
      </c>
      <c r="DV3742" s="5" t="s">
        <v>238</v>
      </c>
      <c r="DW3742" s="5" t="s">
        <v>238</v>
      </c>
      <c r="DX3742" s="5" t="s">
        <v>238</v>
      </c>
      <c r="DY3742" s="5" t="s">
        <v>238</v>
      </c>
      <c r="DZ3742" s="5" t="s">
        <v>238</v>
      </c>
      <c r="EA3742" s="5" t="s">
        <v>238</v>
      </c>
      <c r="EB3742" s="5" t="s">
        <v>238</v>
      </c>
      <c r="EC3742" s="5" t="s">
        <v>238</v>
      </c>
      <c r="ED3742" s="5" t="s">
        <v>238</v>
      </c>
      <c r="EE3742" s="5" t="s">
        <v>238</v>
      </c>
      <c r="EF3742" s="5" t="s">
        <v>238</v>
      </c>
      <c r="EG3742" s="5" t="s">
        <v>238</v>
      </c>
      <c r="EH3742" s="5" t="s">
        <v>238</v>
      </c>
      <c r="EI3742" s="5" t="s">
        <v>238</v>
      </c>
      <c r="EJ3742" s="5" t="s">
        <v>238</v>
      </c>
      <c r="EK3742" s="5" t="s">
        <v>238</v>
      </c>
      <c r="EL3742" s="5" t="s">
        <v>238</v>
      </c>
      <c r="EM3742" s="5" t="s">
        <v>238</v>
      </c>
      <c r="EN3742" s="5" t="s">
        <v>238</v>
      </c>
      <c r="EO3742" s="5" t="s">
        <v>238</v>
      </c>
      <c r="EP3742" s="5" t="s">
        <v>238</v>
      </c>
      <c r="EQ3742" s="5" t="s">
        <v>238</v>
      </c>
      <c r="ER3742" s="5" t="s">
        <v>238</v>
      </c>
      <c r="ES3742" s="5" t="s">
        <v>238</v>
      </c>
      <c r="ET3742" s="5" t="s">
        <v>238</v>
      </c>
      <c r="EU3742" s="5" t="s">
        <v>238</v>
      </c>
      <c r="EV3742" s="5" t="s">
        <v>238</v>
      </c>
      <c r="EW3742" s="5" t="s">
        <v>238</v>
      </c>
      <c r="EX3742" s="5" t="s">
        <v>238</v>
      </c>
      <c r="EY3742" s="5" t="s">
        <v>238</v>
      </c>
      <c r="EZ3742" s="5" t="s">
        <v>238</v>
      </c>
      <c r="FA3742" s="5" t="s">
        <v>238</v>
      </c>
      <c r="FB3742" s="5" t="s">
        <v>238</v>
      </c>
      <c r="FC3742" s="5" t="s">
        <v>238</v>
      </c>
      <c r="FD3742" s="5" t="s">
        <v>238</v>
      </c>
      <c r="FE3742" s="5" t="s">
        <v>238</v>
      </c>
      <c r="FF3742" s="5" t="s">
        <v>238</v>
      </c>
      <c r="FG3742" s="5" t="s">
        <v>238</v>
      </c>
      <c r="FH3742" s="5" t="s">
        <v>238</v>
      </c>
      <c r="FI3742" s="5" t="s">
        <v>238</v>
      </c>
      <c r="FJ3742" s="5" t="s">
        <v>238</v>
      </c>
      <c r="FK3742" s="5" t="s">
        <v>238</v>
      </c>
      <c r="FL3742" s="5" t="s">
        <v>238</v>
      </c>
      <c r="FM3742" s="5" t="s">
        <v>238</v>
      </c>
      <c r="FN3742" s="5" t="s">
        <v>238</v>
      </c>
      <c r="FO3742" s="5" t="s">
        <v>238</v>
      </c>
      <c r="FP3742" s="5" t="s">
        <v>238</v>
      </c>
      <c r="FQ3742" s="5" t="s">
        <v>238</v>
      </c>
      <c r="FR3742" s="5" t="s">
        <v>238</v>
      </c>
      <c r="FS3742" s="5" t="s">
        <v>238</v>
      </c>
      <c r="FT3742" s="5" t="s">
        <v>238</v>
      </c>
      <c r="FU3742" s="5" t="s">
        <v>238</v>
      </c>
      <c r="FV3742" s="5" t="s">
        <v>238</v>
      </c>
      <c r="FW3742" s="5" t="s">
        <v>238</v>
      </c>
      <c r="FX3742" s="5" t="s">
        <v>238</v>
      </c>
      <c r="FY3742" s="5" t="s">
        <v>238</v>
      </c>
      <c r="FZ3742" s="5" t="s">
        <v>238</v>
      </c>
      <c r="GA3742" s="5" t="s">
        <v>238</v>
      </c>
      <c r="GB3742" s="5" t="s">
        <v>238</v>
      </c>
      <c r="GC3742" s="5" t="s">
        <v>238</v>
      </c>
      <c r="GD3742" s="5" t="s">
        <v>238</v>
      </c>
      <c r="GE3742" s="5" t="s">
        <v>238</v>
      </c>
      <c r="GF3742" s="5" t="s">
        <v>238</v>
      </c>
      <c r="GG3742" s="5" t="s">
        <v>238</v>
      </c>
      <c r="GH3742" s="5" t="s">
        <v>238</v>
      </c>
      <c r="GI3742" s="5" t="s">
        <v>238</v>
      </c>
      <c r="GJ3742" s="5" t="s">
        <v>238</v>
      </c>
      <c r="GK3742" s="5" t="s">
        <v>238</v>
      </c>
      <c r="GL3742" s="5" t="s">
        <v>238</v>
      </c>
      <c r="GM3742" s="5" t="s">
        <v>238</v>
      </c>
      <c r="GN3742" s="5" t="s">
        <v>238</v>
      </c>
      <c r="GO3742" s="5" t="s">
        <v>238</v>
      </c>
      <c r="GP3742" s="5" t="s">
        <v>238</v>
      </c>
      <c r="GQ3742" s="5" t="s">
        <v>238</v>
      </c>
      <c r="GR3742" s="5" t="s">
        <v>238</v>
      </c>
      <c r="GS3742" s="5" t="s">
        <v>238</v>
      </c>
      <c r="GT3742" s="5" t="s">
        <v>238</v>
      </c>
      <c r="GU3742" s="5" t="s">
        <v>238</v>
      </c>
      <c r="GV3742" s="5" t="s">
        <v>238</v>
      </c>
      <c r="GW3742" s="5" t="s">
        <v>238</v>
      </c>
      <c r="GX3742" s="5" t="s">
        <v>238</v>
      </c>
      <c r="GY3742" s="5" t="s">
        <v>238</v>
      </c>
      <c r="GZ3742" s="5" t="s">
        <v>238</v>
      </c>
      <c r="HA3742" s="5" t="s">
        <v>238</v>
      </c>
      <c r="HB3742" s="5" t="s">
        <v>238</v>
      </c>
      <c r="HC3742" s="5" t="s">
        <v>238</v>
      </c>
      <c r="HD3742" s="5" t="s">
        <v>238</v>
      </c>
      <c r="HE3742" s="5" t="s">
        <v>238</v>
      </c>
      <c r="HF3742" s="5" t="s">
        <v>238</v>
      </c>
      <c r="HG3742" s="5" t="s">
        <v>238</v>
      </c>
      <c r="HH3742" s="5" t="s">
        <v>238</v>
      </c>
      <c r="HI3742" s="5" t="s">
        <v>238</v>
      </c>
      <c r="HJ3742" s="5" t="s">
        <v>238</v>
      </c>
      <c r="HK3742" s="5" t="s">
        <v>238</v>
      </c>
      <c r="HL3742" s="5" t="s">
        <v>238</v>
      </c>
      <c r="HM3742" s="5" t="s">
        <v>238</v>
      </c>
      <c r="HN3742" s="5" t="s">
        <v>238</v>
      </c>
      <c r="HO3742" s="5" t="s">
        <v>238</v>
      </c>
      <c r="HP3742" s="5" t="s">
        <v>238</v>
      </c>
      <c r="HQ3742" s="5" t="s">
        <v>238</v>
      </c>
      <c r="HR3742" s="5" t="s">
        <v>238</v>
      </c>
      <c r="HS3742" s="5" t="s">
        <v>238</v>
      </c>
      <c r="HT3742" s="5" t="s">
        <v>238</v>
      </c>
      <c r="HU3742" s="5" t="s">
        <v>238</v>
      </c>
      <c r="HV3742" s="5" t="s">
        <v>238</v>
      </c>
      <c r="HW3742" s="5" t="s">
        <v>238</v>
      </c>
      <c r="HX3742" s="5" t="s">
        <v>238</v>
      </c>
      <c r="HY3742" s="5" t="s">
        <v>238</v>
      </c>
      <c r="HZ3742" s="5" t="s">
        <v>238</v>
      </c>
      <c r="IA3742" s="5" t="s">
        <v>238</v>
      </c>
      <c r="IB3742" s="5" t="s">
        <v>238</v>
      </c>
      <c r="IC3742" s="5" t="s">
        <v>238</v>
      </c>
      <c r="ID3742" s="5" t="s">
        <v>238</v>
      </c>
    </row>
    <row r="3743" spans="1:238" x14ac:dyDescent="0.4">
      <c r="A3743" s="5">
        <v>9461</v>
      </c>
      <c r="B3743" s="5">
        <v>1</v>
      </c>
      <c r="C3743" s="5">
        <v>1</v>
      </c>
      <c r="D3743" s="5" t="s">
        <v>484</v>
      </c>
      <c r="E3743" s="5" t="s">
        <v>485</v>
      </c>
      <c r="F3743" s="5" t="s">
        <v>248</v>
      </c>
      <c r="G3743" s="5" t="s">
        <v>4628</v>
      </c>
      <c r="H3743" s="6" t="s">
        <v>4629</v>
      </c>
      <c r="I3743" s="8">
        <f>1</f>
        <v>1</v>
      </c>
      <c r="J3743" s="5" t="s">
        <v>499</v>
      </c>
      <c r="K3743" s="8">
        <f>1</f>
        <v>1</v>
      </c>
      <c r="L3743" s="6" t="s">
        <v>242</v>
      </c>
      <c r="M3743" s="5" t="s">
        <v>267</v>
      </c>
      <c r="N3743" s="5" t="s">
        <v>482</v>
      </c>
      <c r="O3743" s="5" t="s">
        <v>238</v>
      </c>
      <c r="P3743" s="5" t="s">
        <v>238</v>
      </c>
      <c r="Q3743" s="5" t="s">
        <v>239</v>
      </c>
      <c r="R3743" s="5" t="s">
        <v>270</v>
      </c>
      <c r="S3743" s="5" t="s">
        <v>238</v>
      </c>
      <c r="T3743" s="5" t="s">
        <v>238</v>
      </c>
      <c r="U3743" s="5" t="s">
        <v>238</v>
      </c>
      <c r="V3743" s="5" t="s">
        <v>238</v>
      </c>
      <c r="W3743" s="6" t="s">
        <v>238</v>
      </c>
      <c r="X3743" s="6" t="s">
        <v>238</v>
      </c>
      <c r="Y3743" s="5" t="s">
        <v>238</v>
      </c>
      <c r="Z3743" s="6" t="s">
        <v>238</v>
      </c>
      <c r="AA3743" s="6" t="s">
        <v>243</v>
      </c>
      <c r="AB3743" s="5" t="s">
        <v>598</v>
      </c>
      <c r="AC3743" s="5" t="s">
        <v>244</v>
      </c>
      <c r="AD3743" s="5" t="s">
        <v>245</v>
      </c>
      <c r="AE3743" s="5" t="s">
        <v>238</v>
      </c>
      <c r="AF3743" s="5" t="s">
        <v>238</v>
      </c>
      <c r="AG3743" s="5" t="s">
        <v>238</v>
      </c>
      <c r="AH3743" s="5" t="s">
        <v>238</v>
      </c>
      <c r="AI3743" s="5" t="s">
        <v>238</v>
      </c>
      <c r="AJ3743" s="5" t="s">
        <v>238</v>
      </c>
      <c r="AK3743" s="5" t="s">
        <v>238</v>
      </c>
      <c r="AL3743" s="5" t="s">
        <v>238</v>
      </c>
      <c r="AM3743" s="6" t="s">
        <v>238</v>
      </c>
      <c r="AN3743" s="6" t="s">
        <v>238</v>
      </c>
      <c r="AO3743" s="6" t="s">
        <v>238</v>
      </c>
      <c r="AP3743" s="6" t="s">
        <v>238</v>
      </c>
      <c r="AQ3743" s="5" t="s">
        <v>238</v>
      </c>
      <c r="AR3743" s="5" t="s">
        <v>488</v>
      </c>
      <c r="AS3743" s="5" t="s">
        <v>488</v>
      </c>
      <c r="AT3743" s="5" t="s">
        <v>246</v>
      </c>
      <c r="AU3743" s="5" t="s">
        <v>489</v>
      </c>
      <c r="AV3743" s="5" t="s">
        <v>247</v>
      </c>
      <c r="AW3743" s="5" t="s">
        <v>600</v>
      </c>
      <c r="AX3743" s="5" t="s">
        <v>249</v>
      </c>
      <c r="AY3743" s="5" t="s">
        <v>490</v>
      </c>
      <c r="BA3743" s="5" t="s">
        <v>238</v>
      </c>
      <c r="BC3743" s="5" t="s">
        <v>491</v>
      </c>
      <c r="BD3743" s="6" t="s">
        <v>492</v>
      </c>
      <c r="BE3743" s="5" t="s">
        <v>493</v>
      </c>
      <c r="BF3743" s="5" t="s">
        <v>493</v>
      </c>
      <c r="BG3743" s="5" t="s">
        <v>238</v>
      </c>
      <c r="BH3743" s="8">
        <f>1</f>
        <v>1</v>
      </c>
      <c r="BI3743" s="8">
        <f>1</f>
        <v>1</v>
      </c>
      <c r="BJ3743" s="5" t="s">
        <v>253</v>
      </c>
      <c r="BK3743" s="5" t="s">
        <v>254</v>
      </c>
      <c r="BL3743" s="5" t="s">
        <v>238</v>
      </c>
      <c r="BM3743" s="5" t="s">
        <v>238</v>
      </c>
      <c r="BN3743" s="5" t="s">
        <v>238</v>
      </c>
      <c r="BO3743" s="5" t="s">
        <v>238</v>
      </c>
      <c r="BP3743" s="5" t="s">
        <v>238</v>
      </c>
      <c r="BQ3743" s="5" t="s">
        <v>238</v>
      </c>
      <c r="BR3743" s="5" t="s">
        <v>238</v>
      </c>
      <c r="BS3743" s="5" t="s">
        <v>238</v>
      </c>
      <c r="BT3743" s="6" t="s">
        <v>238</v>
      </c>
      <c r="BU3743" s="5" t="s">
        <v>238</v>
      </c>
      <c r="BV3743" s="5" t="s">
        <v>238</v>
      </c>
      <c r="BW3743" s="5" t="s">
        <v>238</v>
      </c>
      <c r="BX3743" s="5" t="s">
        <v>254</v>
      </c>
      <c r="BY3743" s="5" t="s">
        <v>238</v>
      </c>
      <c r="BZ3743" s="5" t="s">
        <v>238</v>
      </c>
      <c r="CA3743" s="5" t="s">
        <v>238</v>
      </c>
      <c r="CB3743" s="5" t="s">
        <v>238</v>
      </c>
      <c r="CC3743" s="5" t="s">
        <v>238</v>
      </c>
      <c r="CD3743" s="5" t="s">
        <v>273</v>
      </c>
      <c r="CE3743" s="5" t="s">
        <v>256</v>
      </c>
      <c r="CF3743" s="5" t="s">
        <v>261</v>
      </c>
      <c r="CH3743" s="5" t="s">
        <v>494</v>
      </c>
      <c r="CI3743" s="6" t="s">
        <v>257</v>
      </c>
      <c r="CJ3743" s="5" t="s">
        <v>495</v>
      </c>
      <c r="CK3743" s="5" t="s">
        <v>258</v>
      </c>
      <c r="CL3743" s="5" t="s">
        <v>496</v>
      </c>
      <c r="CM3743" s="5" t="s">
        <v>238</v>
      </c>
      <c r="CN3743" s="5">
        <v>0</v>
      </c>
      <c r="CO3743" s="5" t="s">
        <v>497</v>
      </c>
      <c r="CP3743" s="5" t="s">
        <v>260</v>
      </c>
      <c r="CQ3743" s="5" t="s">
        <v>260</v>
      </c>
      <c r="CR3743" s="5" t="s">
        <v>261</v>
      </c>
      <c r="CS3743" s="5" t="s">
        <v>498</v>
      </c>
      <c r="CT3743" s="7">
        <f>1</f>
        <v>1</v>
      </c>
      <c r="CU3743" s="8">
        <f>1</f>
        <v>1</v>
      </c>
      <c r="CV3743" s="8">
        <f>0</f>
        <v>0</v>
      </c>
      <c r="CX3743" s="8">
        <f>1</f>
        <v>1</v>
      </c>
      <c r="CY3743" s="8">
        <f>1</f>
        <v>1</v>
      </c>
      <c r="CZ3743" s="8" t="s">
        <v>238</v>
      </c>
      <c r="DA3743" s="5" t="s">
        <v>238</v>
      </c>
      <c r="DB3743" s="5" t="s">
        <v>238</v>
      </c>
      <c r="DC3743" s="5" t="s">
        <v>238</v>
      </c>
      <c r="DD3743" s="5" t="s">
        <v>238</v>
      </c>
      <c r="DE3743" s="8">
        <f>0</f>
        <v>0</v>
      </c>
      <c r="DG3743" s="5" t="s">
        <v>238</v>
      </c>
      <c r="DH3743" s="5" t="s">
        <v>238</v>
      </c>
      <c r="DI3743" s="5" t="s">
        <v>238</v>
      </c>
      <c r="DJ3743" s="5" t="s">
        <v>238</v>
      </c>
      <c r="DK3743" s="5" t="s">
        <v>238</v>
      </c>
      <c r="DL3743" s="5" t="s">
        <v>238</v>
      </c>
      <c r="DM3743" s="8" t="s">
        <v>238</v>
      </c>
      <c r="DN3743" s="5" t="s">
        <v>238</v>
      </c>
      <c r="DO3743" s="5" t="s">
        <v>244</v>
      </c>
      <c r="DP3743" s="5" t="s">
        <v>490</v>
      </c>
      <c r="DQ3743" s="5" t="s">
        <v>490</v>
      </c>
      <c r="DR3743" s="5" t="s">
        <v>238</v>
      </c>
      <c r="DS3743" s="5" t="s">
        <v>238</v>
      </c>
      <c r="DT3743" s="5" t="s">
        <v>601</v>
      </c>
      <c r="DU3743" s="5" t="s">
        <v>1354</v>
      </c>
      <c r="DV3743" s="5" t="s">
        <v>238</v>
      </c>
      <c r="DW3743" s="5" t="s">
        <v>238</v>
      </c>
      <c r="DX3743" s="5" t="s">
        <v>238</v>
      </c>
      <c r="DY3743" s="5" t="s">
        <v>238</v>
      </c>
      <c r="DZ3743" s="5" t="s">
        <v>238</v>
      </c>
      <c r="EA3743" s="5" t="s">
        <v>238</v>
      </c>
      <c r="EB3743" s="5" t="s">
        <v>238</v>
      </c>
      <c r="EC3743" s="5" t="s">
        <v>238</v>
      </c>
      <c r="ED3743" s="5" t="s">
        <v>238</v>
      </c>
      <c r="EE3743" s="5" t="s">
        <v>238</v>
      </c>
      <c r="EF3743" s="5" t="s">
        <v>238</v>
      </c>
      <c r="EG3743" s="5" t="s">
        <v>238</v>
      </c>
      <c r="EH3743" s="5" t="s">
        <v>238</v>
      </c>
      <c r="EI3743" s="5" t="s">
        <v>238</v>
      </c>
      <c r="EJ3743" s="5" t="s">
        <v>238</v>
      </c>
      <c r="EK3743" s="5" t="s">
        <v>238</v>
      </c>
      <c r="EL3743" s="5" t="s">
        <v>238</v>
      </c>
      <c r="EM3743" s="5" t="s">
        <v>238</v>
      </c>
      <c r="EN3743" s="5" t="s">
        <v>238</v>
      </c>
      <c r="EO3743" s="5" t="s">
        <v>238</v>
      </c>
      <c r="EP3743" s="5" t="s">
        <v>238</v>
      </c>
      <c r="EQ3743" s="5" t="s">
        <v>238</v>
      </c>
      <c r="ER3743" s="5" t="s">
        <v>238</v>
      </c>
      <c r="ES3743" s="5" t="s">
        <v>238</v>
      </c>
      <c r="ET3743" s="5" t="s">
        <v>238</v>
      </c>
      <c r="EU3743" s="5" t="s">
        <v>238</v>
      </c>
      <c r="EV3743" s="5" t="s">
        <v>238</v>
      </c>
      <c r="EW3743" s="5" t="s">
        <v>238</v>
      </c>
      <c r="EX3743" s="5" t="s">
        <v>238</v>
      </c>
      <c r="EY3743" s="5" t="s">
        <v>238</v>
      </c>
      <c r="EZ3743" s="5" t="s">
        <v>238</v>
      </c>
      <c r="FA3743" s="5" t="s">
        <v>238</v>
      </c>
      <c r="FB3743" s="5" t="s">
        <v>238</v>
      </c>
      <c r="FC3743" s="5" t="s">
        <v>238</v>
      </c>
      <c r="FD3743" s="5" t="s">
        <v>238</v>
      </c>
      <c r="FE3743" s="5" t="s">
        <v>238</v>
      </c>
      <c r="FF3743" s="5" t="s">
        <v>238</v>
      </c>
      <c r="FG3743" s="5" t="s">
        <v>238</v>
      </c>
      <c r="FH3743" s="5" t="s">
        <v>238</v>
      </c>
      <c r="FI3743" s="5" t="s">
        <v>238</v>
      </c>
      <c r="FJ3743" s="5" t="s">
        <v>238</v>
      </c>
      <c r="FK3743" s="5" t="s">
        <v>238</v>
      </c>
      <c r="FL3743" s="5" t="s">
        <v>238</v>
      </c>
      <c r="FM3743" s="5" t="s">
        <v>238</v>
      </c>
      <c r="FN3743" s="5" t="s">
        <v>238</v>
      </c>
      <c r="FO3743" s="5" t="s">
        <v>238</v>
      </c>
      <c r="FP3743" s="5" t="s">
        <v>238</v>
      </c>
      <c r="FQ3743" s="5" t="s">
        <v>238</v>
      </c>
      <c r="FR3743" s="5" t="s">
        <v>238</v>
      </c>
      <c r="FS3743" s="5" t="s">
        <v>238</v>
      </c>
      <c r="FT3743" s="5" t="s">
        <v>238</v>
      </c>
      <c r="FU3743" s="5" t="s">
        <v>238</v>
      </c>
      <c r="FV3743" s="5" t="s">
        <v>238</v>
      </c>
      <c r="FW3743" s="5" t="s">
        <v>238</v>
      </c>
      <c r="FX3743" s="5" t="s">
        <v>238</v>
      </c>
      <c r="FY3743" s="5" t="s">
        <v>238</v>
      </c>
      <c r="FZ3743" s="5" t="s">
        <v>238</v>
      </c>
      <c r="GA3743" s="5" t="s">
        <v>238</v>
      </c>
      <c r="GB3743" s="5" t="s">
        <v>238</v>
      </c>
      <c r="GC3743" s="5" t="s">
        <v>238</v>
      </c>
      <c r="GD3743" s="5" t="s">
        <v>238</v>
      </c>
      <c r="GE3743" s="5" t="s">
        <v>238</v>
      </c>
      <c r="GF3743" s="5" t="s">
        <v>238</v>
      </c>
      <c r="GG3743" s="5" t="s">
        <v>238</v>
      </c>
      <c r="GH3743" s="5" t="s">
        <v>238</v>
      </c>
      <c r="GI3743" s="5" t="s">
        <v>238</v>
      </c>
      <c r="GJ3743" s="5" t="s">
        <v>238</v>
      </c>
      <c r="GK3743" s="5" t="s">
        <v>238</v>
      </c>
      <c r="GL3743" s="5" t="s">
        <v>238</v>
      </c>
      <c r="GM3743" s="5" t="s">
        <v>238</v>
      </c>
      <c r="GN3743" s="5" t="s">
        <v>238</v>
      </c>
      <c r="GO3743" s="5" t="s">
        <v>238</v>
      </c>
      <c r="GP3743" s="5" t="s">
        <v>238</v>
      </c>
      <c r="GQ3743" s="5" t="s">
        <v>238</v>
      </c>
      <c r="GR3743" s="5" t="s">
        <v>238</v>
      </c>
      <c r="GS3743" s="5" t="s">
        <v>238</v>
      </c>
      <c r="GT3743" s="5" t="s">
        <v>238</v>
      </c>
      <c r="GU3743" s="5" t="s">
        <v>238</v>
      </c>
      <c r="GV3743" s="5" t="s">
        <v>238</v>
      </c>
      <c r="GW3743" s="5" t="s">
        <v>238</v>
      </c>
      <c r="GX3743" s="5" t="s">
        <v>238</v>
      </c>
      <c r="GY3743" s="5" t="s">
        <v>238</v>
      </c>
      <c r="GZ3743" s="5" t="s">
        <v>238</v>
      </c>
      <c r="HA3743" s="5" t="s">
        <v>238</v>
      </c>
      <c r="HB3743" s="5" t="s">
        <v>238</v>
      </c>
      <c r="HC3743" s="5" t="s">
        <v>238</v>
      </c>
      <c r="HD3743" s="5" t="s">
        <v>238</v>
      </c>
      <c r="HE3743" s="5" t="s">
        <v>238</v>
      </c>
      <c r="HF3743" s="5" t="s">
        <v>238</v>
      </c>
      <c r="HG3743" s="5" t="s">
        <v>238</v>
      </c>
      <c r="HH3743" s="5" t="s">
        <v>238</v>
      </c>
      <c r="HI3743" s="5" t="s">
        <v>238</v>
      </c>
      <c r="HJ3743" s="5" t="s">
        <v>238</v>
      </c>
      <c r="HK3743" s="5" t="s">
        <v>238</v>
      </c>
      <c r="HL3743" s="5" t="s">
        <v>238</v>
      </c>
      <c r="HM3743" s="5" t="s">
        <v>238</v>
      </c>
      <c r="HN3743" s="5" t="s">
        <v>238</v>
      </c>
      <c r="HO3743" s="5" t="s">
        <v>238</v>
      </c>
      <c r="HP3743" s="5" t="s">
        <v>238</v>
      </c>
      <c r="HQ3743" s="5" t="s">
        <v>238</v>
      </c>
      <c r="HR3743" s="5" t="s">
        <v>238</v>
      </c>
      <c r="HS3743" s="5" t="s">
        <v>238</v>
      </c>
      <c r="HT3743" s="5" t="s">
        <v>238</v>
      </c>
      <c r="HU3743" s="5" t="s">
        <v>238</v>
      </c>
      <c r="HV3743" s="5" t="s">
        <v>238</v>
      </c>
      <c r="HW3743" s="5" t="s">
        <v>238</v>
      </c>
      <c r="HX3743" s="5" t="s">
        <v>238</v>
      </c>
      <c r="HY3743" s="5" t="s">
        <v>238</v>
      </c>
      <c r="HZ3743" s="5" t="s">
        <v>238</v>
      </c>
      <c r="IA3743" s="5" t="s">
        <v>238</v>
      </c>
      <c r="IB3743" s="5" t="s">
        <v>238</v>
      </c>
      <c r="IC3743" s="5" t="s">
        <v>238</v>
      </c>
      <c r="ID3743" s="5" t="s">
        <v>238</v>
      </c>
    </row>
    <row r="3744" spans="1:238" x14ac:dyDescent="0.4">
      <c r="A3744" s="5">
        <v>9462</v>
      </c>
      <c r="B3744" s="5">
        <v>1</v>
      </c>
      <c r="C3744" s="5">
        <v>1</v>
      </c>
      <c r="D3744" s="5" t="s">
        <v>484</v>
      </c>
      <c r="E3744" s="5" t="s">
        <v>485</v>
      </c>
      <c r="F3744" s="5" t="s">
        <v>248</v>
      </c>
      <c r="G3744" s="5" t="s">
        <v>5444</v>
      </c>
      <c r="H3744" s="6" t="s">
        <v>5445</v>
      </c>
      <c r="I3744" s="8">
        <f>1</f>
        <v>1</v>
      </c>
      <c r="J3744" s="5" t="s">
        <v>499</v>
      </c>
      <c r="K3744" s="8">
        <f>1</f>
        <v>1</v>
      </c>
      <c r="L3744" s="6" t="s">
        <v>242</v>
      </c>
      <c r="M3744" s="5" t="s">
        <v>267</v>
      </c>
      <c r="N3744" s="5" t="s">
        <v>482</v>
      </c>
      <c r="O3744" s="5" t="s">
        <v>238</v>
      </c>
      <c r="P3744" s="5" t="s">
        <v>238</v>
      </c>
      <c r="Q3744" s="5" t="s">
        <v>239</v>
      </c>
      <c r="R3744" s="5" t="s">
        <v>270</v>
      </c>
      <c r="S3744" s="5" t="s">
        <v>238</v>
      </c>
      <c r="T3744" s="5" t="s">
        <v>238</v>
      </c>
      <c r="U3744" s="5" t="s">
        <v>238</v>
      </c>
      <c r="V3744" s="5" t="s">
        <v>238</v>
      </c>
      <c r="W3744" s="6" t="s">
        <v>238</v>
      </c>
      <c r="X3744" s="6" t="s">
        <v>238</v>
      </c>
      <c r="Y3744" s="5" t="s">
        <v>238</v>
      </c>
      <c r="Z3744" s="6" t="s">
        <v>238</v>
      </c>
      <c r="AA3744" s="6" t="s">
        <v>243</v>
      </c>
      <c r="AB3744" s="5" t="s">
        <v>598</v>
      </c>
      <c r="AC3744" s="5" t="s">
        <v>244</v>
      </c>
      <c r="AD3744" s="5" t="s">
        <v>245</v>
      </c>
      <c r="AE3744" s="5" t="s">
        <v>238</v>
      </c>
      <c r="AF3744" s="5" t="s">
        <v>238</v>
      </c>
      <c r="AG3744" s="5" t="s">
        <v>238</v>
      </c>
      <c r="AH3744" s="5" t="s">
        <v>238</v>
      </c>
      <c r="AI3744" s="5" t="s">
        <v>238</v>
      </c>
      <c r="AJ3744" s="5" t="s">
        <v>238</v>
      </c>
      <c r="AK3744" s="5" t="s">
        <v>238</v>
      </c>
      <c r="AL3744" s="5" t="s">
        <v>238</v>
      </c>
      <c r="AM3744" s="6" t="s">
        <v>238</v>
      </c>
      <c r="AN3744" s="6" t="s">
        <v>238</v>
      </c>
      <c r="AO3744" s="6" t="s">
        <v>238</v>
      </c>
      <c r="AP3744" s="6" t="s">
        <v>238</v>
      </c>
      <c r="AQ3744" s="5" t="s">
        <v>238</v>
      </c>
      <c r="AR3744" s="5" t="s">
        <v>488</v>
      </c>
      <c r="AS3744" s="5" t="s">
        <v>488</v>
      </c>
      <c r="AT3744" s="5" t="s">
        <v>246</v>
      </c>
      <c r="AU3744" s="5" t="s">
        <v>489</v>
      </c>
      <c r="AV3744" s="5" t="s">
        <v>247</v>
      </c>
      <c r="AW3744" s="5" t="s">
        <v>600</v>
      </c>
      <c r="AX3744" s="5" t="s">
        <v>249</v>
      </c>
      <c r="AY3744" s="5" t="s">
        <v>490</v>
      </c>
      <c r="BA3744" s="5" t="s">
        <v>238</v>
      </c>
      <c r="BC3744" s="5" t="s">
        <v>491</v>
      </c>
      <c r="BD3744" s="6" t="s">
        <v>492</v>
      </c>
      <c r="BE3744" s="5" t="s">
        <v>493</v>
      </c>
      <c r="BF3744" s="5" t="s">
        <v>493</v>
      </c>
      <c r="BG3744" s="5" t="s">
        <v>238</v>
      </c>
      <c r="BH3744" s="8">
        <f>1</f>
        <v>1</v>
      </c>
      <c r="BI3744" s="8">
        <f>1</f>
        <v>1</v>
      </c>
      <c r="BJ3744" s="5" t="s">
        <v>253</v>
      </c>
      <c r="BK3744" s="5" t="s">
        <v>254</v>
      </c>
      <c r="BL3744" s="5" t="s">
        <v>238</v>
      </c>
      <c r="BM3744" s="5" t="s">
        <v>238</v>
      </c>
      <c r="BN3744" s="5" t="s">
        <v>238</v>
      </c>
      <c r="BO3744" s="5" t="s">
        <v>238</v>
      </c>
      <c r="BP3744" s="5" t="s">
        <v>238</v>
      </c>
      <c r="BQ3744" s="5" t="s">
        <v>238</v>
      </c>
      <c r="BR3744" s="5" t="s">
        <v>238</v>
      </c>
      <c r="BS3744" s="5" t="s">
        <v>238</v>
      </c>
      <c r="BT3744" s="6" t="s">
        <v>238</v>
      </c>
      <c r="BU3744" s="5" t="s">
        <v>238</v>
      </c>
      <c r="BV3744" s="5" t="s">
        <v>238</v>
      </c>
      <c r="BW3744" s="5" t="s">
        <v>238</v>
      </c>
      <c r="BX3744" s="5" t="s">
        <v>254</v>
      </c>
      <c r="BY3744" s="5" t="s">
        <v>238</v>
      </c>
      <c r="BZ3744" s="5" t="s">
        <v>238</v>
      </c>
      <c r="CA3744" s="5" t="s">
        <v>238</v>
      </c>
      <c r="CB3744" s="5" t="s">
        <v>238</v>
      </c>
      <c r="CC3744" s="5" t="s">
        <v>238</v>
      </c>
      <c r="CD3744" s="5" t="s">
        <v>273</v>
      </c>
      <c r="CE3744" s="5" t="s">
        <v>256</v>
      </c>
      <c r="CF3744" s="5" t="s">
        <v>261</v>
      </c>
      <c r="CH3744" s="5" t="s">
        <v>494</v>
      </c>
      <c r="CI3744" s="6" t="s">
        <v>257</v>
      </c>
      <c r="CJ3744" s="5" t="s">
        <v>495</v>
      </c>
      <c r="CK3744" s="5" t="s">
        <v>258</v>
      </c>
      <c r="CL3744" s="5" t="s">
        <v>496</v>
      </c>
      <c r="CM3744" s="5" t="s">
        <v>238</v>
      </c>
      <c r="CN3744" s="5">
        <v>0</v>
      </c>
      <c r="CO3744" s="5" t="s">
        <v>497</v>
      </c>
      <c r="CP3744" s="5" t="s">
        <v>260</v>
      </c>
      <c r="CQ3744" s="5" t="s">
        <v>260</v>
      </c>
      <c r="CR3744" s="5" t="s">
        <v>261</v>
      </c>
      <c r="CS3744" s="5" t="s">
        <v>498</v>
      </c>
      <c r="CT3744" s="7">
        <f>1</f>
        <v>1</v>
      </c>
      <c r="CU3744" s="8">
        <f>1</f>
        <v>1</v>
      </c>
      <c r="CV3744" s="8">
        <f>0</f>
        <v>0</v>
      </c>
      <c r="CX3744" s="8">
        <f>1</f>
        <v>1</v>
      </c>
      <c r="CY3744" s="8">
        <f>1</f>
        <v>1</v>
      </c>
      <c r="CZ3744" s="8" t="s">
        <v>238</v>
      </c>
      <c r="DA3744" s="5" t="s">
        <v>238</v>
      </c>
      <c r="DB3744" s="5" t="s">
        <v>238</v>
      </c>
      <c r="DC3744" s="5" t="s">
        <v>238</v>
      </c>
      <c r="DD3744" s="5" t="s">
        <v>238</v>
      </c>
      <c r="DE3744" s="8">
        <f>0</f>
        <v>0</v>
      </c>
      <c r="DG3744" s="5" t="s">
        <v>238</v>
      </c>
      <c r="DH3744" s="5" t="s">
        <v>238</v>
      </c>
      <c r="DI3744" s="5" t="s">
        <v>238</v>
      </c>
      <c r="DJ3744" s="5" t="s">
        <v>238</v>
      </c>
      <c r="DK3744" s="5" t="s">
        <v>238</v>
      </c>
      <c r="DL3744" s="5" t="s">
        <v>238</v>
      </c>
      <c r="DM3744" s="8" t="s">
        <v>238</v>
      </c>
      <c r="DN3744" s="5" t="s">
        <v>238</v>
      </c>
      <c r="DO3744" s="5" t="s">
        <v>244</v>
      </c>
      <c r="DP3744" s="5" t="s">
        <v>490</v>
      </c>
      <c r="DQ3744" s="5" t="s">
        <v>490</v>
      </c>
      <c r="DR3744" s="5" t="s">
        <v>238</v>
      </c>
      <c r="DS3744" s="5" t="s">
        <v>238</v>
      </c>
      <c r="DT3744" s="5" t="s">
        <v>601</v>
      </c>
      <c r="DU3744" s="5" t="s">
        <v>911</v>
      </c>
      <c r="DV3744" s="5" t="s">
        <v>238</v>
      </c>
      <c r="DW3744" s="5" t="s">
        <v>238</v>
      </c>
      <c r="DX3744" s="5" t="s">
        <v>238</v>
      </c>
      <c r="DY3744" s="5" t="s">
        <v>238</v>
      </c>
      <c r="DZ3744" s="5" t="s">
        <v>238</v>
      </c>
      <c r="EA3744" s="5" t="s">
        <v>238</v>
      </c>
      <c r="EB3744" s="5" t="s">
        <v>238</v>
      </c>
      <c r="EC3744" s="5" t="s">
        <v>238</v>
      </c>
      <c r="ED3744" s="5" t="s">
        <v>238</v>
      </c>
      <c r="EE3744" s="5" t="s">
        <v>238</v>
      </c>
      <c r="EF3744" s="5" t="s">
        <v>238</v>
      </c>
      <c r="EG3744" s="5" t="s">
        <v>238</v>
      </c>
      <c r="EH3744" s="5" t="s">
        <v>238</v>
      </c>
      <c r="EI3744" s="5" t="s">
        <v>238</v>
      </c>
      <c r="EJ3744" s="5" t="s">
        <v>238</v>
      </c>
      <c r="EK3744" s="5" t="s">
        <v>238</v>
      </c>
      <c r="EL3744" s="5" t="s">
        <v>238</v>
      </c>
      <c r="EM3744" s="5" t="s">
        <v>238</v>
      </c>
      <c r="EN3744" s="5" t="s">
        <v>238</v>
      </c>
      <c r="EO3744" s="5" t="s">
        <v>238</v>
      </c>
      <c r="EP3744" s="5" t="s">
        <v>238</v>
      </c>
      <c r="EQ3744" s="5" t="s">
        <v>238</v>
      </c>
      <c r="ER3744" s="5" t="s">
        <v>238</v>
      </c>
      <c r="ES3744" s="5" t="s">
        <v>238</v>
      </c>
      <c r="ET3744" s="5" t="s">
        <v>238</v>
      </c>
      <c r="EU3744" s="5" t="s">
        <v>238</v>
      </c>
      <c r="EV3744" s="5" t="s">
        <v>238</v>
      </c>
      <c r="EW3744" s="5" t="s">
        <v>238</v>
      </c>
      <c r="EX3744" s="5" t="s">
        <v>238</v>
      </c>
      <c r="EY3744" s="5" t="s">
        <v>238</v>
      </c>
      <c r="EZ3744" s="5" t="s">
        <v>238</v>
      </c>
      <c r="FA3744" s="5" t="s">
        <v>238</v>
      </c>
      <c r="FB3744" s="5" t="s">
        <v>238</v>
      </c>
      <c r="FC3744" s="5" t="s">
        <v>238</v>
      </c>
      <c r="FD3744" s="5" t="s">
        <v>238</v>
      </c>
      <c r="FE3744" s="5" t="s">
        <v>238</v>
      </c>
      <c r="FF3744" s="5" t="s">
        <v>238</v>
      </c>
      <c r="FG3744" s="5" t="s">
        <v>238</v>
      </c>
      <c r="FH3744" s="5" t="s">
        <v>238</v>
      </c>
      <c r="FI3744" s="5" t="s">
        <v>238</v>
      </c>
      <c r="FJ3744" s="5" t="s">
        <v>238</v>
      </c>
      <c r="FK3744" s="5" t="s">
        <v>238</v>
      </c>
      <c r="FL3744" s="5" t="s">
        <v>238</v>
      </c>
      <c r="FM3744" s="5" t="s">
        <v>238</v>
      </c>
      <c r="FN3744" s="5" t="s">
        <v>238</v>
      </c>
      <c r="FO3744" s="5" t="s">
        <v>238</v>
      </c>
      <c r="FP3744" s="5" t="s">
        <v>238</v>
      </c>
      <c r="FQ3744" s="5" t="s">
        <v>238</v>
      </c>
      <c r="FR3744" s="5" t="s">
        <v>238</v>
      </c>
      <c r="FS3744" s="5" t="s">
        <v>238</v>
      </c>
      <c r="FT3744" s="5" t="s">
        <v>238</v>
      </c>
      <c r="FU3744" s="5" t="s">
        <v>238</v>
      </c>
      <c r="FV3744" s="5" t="s">
        <v>238</v>
      </c>
      <c r="FW3744" s="5" t="s">
        <v>238</v>
      </c>
      <c r="FX3744" s="5" t="s">
        <v>238</v>
      </c>
      <c r="FY3744" s="5" t="s">
        <v>238</v>
      </c>
      <c r="FZ3744" s="5" t="s">
        <v>238</v>
      </c>
      <c r="GA3744" s="5" t="s">
        <v>238</v>
      </c>
      <c r="GB3744" s="5" t="s">
        <v>238</v>
      </c>
      <c r="GC3744" s="5" t="s">
        <v>238</v>
      </c>
      <c r="GD3744" s="5" t="s">
        <v>238</v>
      </c>
      <c r="GE3744" s="5" t="s">
        <v>238</v>
      </c>
      <c r="GF3744" s="5" t="s">
        <v>238</v>
      </c>
      <c r="GG3744" s="5" t="s">
        <v>238</v>
      </c>
      <c r="GH3744" s="5" t="s">
        <v>238</v>
      </c>
      <c r="GI3744" s="5" t="s">
        <v>238</v>
      </c>
      <c r="GJ3744" s="5" t="s">
        <v>238</v>
      </c>
      <c r="GK3744" s="5" t="s">
        <v>238</v>
      </c>
      <c r="GL3744" s="5" t="s">
        <v>238</v>
      </c>
      <c r="GM3744" s="5" t="s">
        <v>238</v>
      </c>
      <c r="GN3744" s="5" t="s">
        <v>238</v>
      </c>
      <c r="GO3744" s="5" t="s">
        <v>238</v>
      </c>
      <c r="GP3744" s="5" t="s">
        <v>238</v>
      </c>
      <c r="GQ3744" s="5" t="s">
        <v>238</v>
      </c>
      <c r="GR3744" s="5" t="s">
        <v>238</v>
      </c>
      <c r="GS3744" s="5" t="s">
        <v>238</v>
      </c>
      <c r="GT3744" s="5" t="s">
        <v>238</v>
      </c>
      <c r="GU3744" s="5" t="s">
        <v>238</v>
      </c>
      <c r="GV3744" s="5" t="s">
        <v>238</v>
      </c>
      <c r="GW3744" s="5" t="s">
        <v>238</v>
      </c>
      <c r="GX3744" s="5" t="s">
        <v>238</v>
      </c>
      <c r="GY3744" s="5" t="s">
        <v>238</v>
      </c>
      <c r="GZ3744" s="5" t="s">
        <v>238</v>
      </c>
      <c r="HA3744" s="5" t="s">
        <v>238</v>
      </c>
      <c r="HB3744" s="5" t="s">
        <v>238</v>
      </c>
      <c r="HC3744" s="5" t="s">
        <v>238</v>
      </c>
      <c r="HD3744" s="5" t="s">
        <v>238</v>
      </c>
      <c r="HE3744" s="5" t="s">
        <v>238</v>
      </c>
      <c r="HF3744" s="5" t="s">
        <v>238</v>
      </c>
      <c r="HG3744" s="5" t="s">
        <v>238</v>
      </c>
      <c r="HH3744" s="5" t="s">
        <v>238</v>
      </c>
      <c r="HI3744" s="5" t="s">
        <v>238</v>
      </c>
      <c r="HJ3744" s="5" t="s">
        <v>238</v>
      </c>
      <c r="HK3744" s="5" t="s">
        <v>238</v>
      </c>
      <c r="HL3744" s="5" t="s">
        <v>238</v>
      </c>
      <c r="HM3744" s="5" t="s">
        <v>238</v>
      </c>
      <c r="HN3744" s="5" t="s">
        <v>238</v>
      </c>
      <c r="HO3744" s="5" t="s">
        <v>238</v>
      </c>
      <c r="HP3744" s="5" t="s">
        <v>238</v>
      </c>
      <c r="HQ3744" s="5" t="s">
        <v>238</v>
      </c>
      <c r="HR3744" s="5" t="s">
        <v>238</v>
      </c>
      <c r="HS3744" s="5" t="s">
        <v>238</v>
      </c>
      <c r="HT3744" s="5" t="s">
        <v>238</v>
      </c>
      <c r="HU3744" s="5" t="s">
        <v>238</v>
      </c>
      <c r="HV3744" s="5" t="s">
        <v>238</v>
      </c>
      <c r="HW3744" s="5" t="s">
        <v>238</v>
      </c>
      <c r="HX3744" s="5" t="s">
        <v>238</v>
      </c>
      <c r="HY3744" s="5" t="s">
        <v>238</v>
      </c>
      <c r="HZ3744" s="5" t="s">
        <v>238</v>
      </c>
      <c r="IA3744" s="5" t="s">
        <v>238</v>
      </c>
      <c r="IB3744" s="5" t="s">
        <v>238</v>
      </c>
      <c r="IC3744" s="5" t="s">
        <v>238</v>
      </c>
      <c r="ID3744" s="5" t="s">
        <v>238</v>
      </c>
    </row>
    <row r="3745" spans="1:238" x14ac:dyDescent="0.4">
      <c r="A3745" s="5">
        <v>9463</v>
      </c>
      <c r="B3745" s="5">
        <v>1</v>
      </c>
      <c r="C3745" s="5">
        <v>1</v>
      </c>
      <c r="D3745" s="5" t="s">
        <v>484</v>
      </c>
      <c r="E3745" s="5" t="s">
        <v>485</v>
      </c>
      <c r="F3745" s="5" t="s">
        <v>248</v>
      </c>
      <c r="G3745" s="5" t="s">
        <v>4498</v>
      </c>
      <c r="H3745" s="6" t="s">
        <v>4499</v>
      </c>
      <c r="I3745" s="8">
        <f>1</f>
        <v>1</v>
      </c>
      <c r="J3745" s="5" t="s">
        <v>499</v>
      </c>
      <c r="K3745" s="8">
        <f>1</f>
        <v>1</v>
      </c>
      <c r="L3745" s="6" t="s">
        <v>242</v>
      </c>
      <c r="M3745" s="5" t="s">
        <v>267</v>
      </c>
      <c r="N3745" s="5" t="s">
        <v>482</v>
      </c>
      <c r="O3745" s="5" t="s">
        <v>238</v>
      </c>
      <c r="P3745" s="5" t="s">
        <v>238</v>
      </c>
      <c r="Q3745" s="5" t="s">
        <v>239</v>
      </c>
      <c r="R3745" s="5" t="s">
        <v>270</v>
      </c>
      <c r="S3745" s="5" t="s">
        <v>238</v>
      </c>
      <c r="T3745" s="5" t="s">
        <v>238</v>
      </c>
      <c r="U3745" s="5" t="s">
        <v>238</v>
      </c>
      <c r="V3745" s="5" t="s">
        <v>238</v>
      </c>
      <c r="W3745" s="6" t="s">
        <v>238</v>
      </c>
      <c r="X3745" s="6" t="s">
        <v>238</v>
      </c>
      <c r="Y3745" s="5" t="s">
        <v>238</v>
      </c>
      <c r="Z3745" s="6" t="s">
        <v>238</v>
      </c>
      <c r="AA3745" s="6" t="s">
        <v>243</v>
      </c>
      <c r="AB3745" s="5" t="s">
        <v>598</v>
      </c>
      <c r="AC3745" s="5" t="s">
        <v>244</v>
      </c>
      <c r="AD3745" s="5" t="s">
        <v>245</v>
      </c>
      <c r="AE3745" s="5" t="s">
        <v>238</v>
      </c>
      <c r="AF3745" s="5" t="s">
        <v>238</v>
      </c>
      <c r="AG3745" s="5" t="s">
        <v>238</v>
      </c>
      <c r="AH3745" s="5" t="s">
        <v>238</v>
      </c>
      <c r="AI3745" s="5" t="s">
        <v>238</v>
      </c>
      <c r="AJ3745" s="5" t="s">
        <v>238</v>
      </c>
      <c r="AK3745" s="5" t="s">
        <v>238</v>
      </c>
      <c r="AL3745" s="5" t="s">
        <v>238</v>
      </c>
      <c r="AM3745" s="6" t="s">
        <v>238</v>
      </c>
      <c r="AN3745" s="6" t="s">
        <v>238</v>
      </c>
      <c r="AO3745" s="6" t="s">
        <v>238</v>
      </c>
      <c r="AP3745" s="6" t="s">
        <v>238</v>
      </c>
      <c r="AQ3745" s="5" t="s">
        <v>238</v>
      </c>
      <c r="AR3745" s="5" t="s">
        <v>488</v>
      </c>
      <c r="AS3745" s="5" t="s">
        <v>488</v>
      </c>
      <c r="AT3745" s="5" t="s">
        <v>246</v>
      </c>
      <c r="AU3745" s="5" t="s">
        <v>489</v>
      </c>
      <c r="AV3745" s="5" t="s">
        <v>247</v>
      </c>
      <c r="AW3745" s="5" t="s">
        <v>600</v>
      </c>
      <c r="AX3745" s="5" t="s">
        <v>249</v>
      </c>
      <c r="AY3745" s="5" t="s">
        <v>490</v>
      </c>
      <c r="BA3745" s="5" t="s">
        <v>238</v>
      </c>
      <c r="BC3745" s="5" t="s">
        <v>491</v>
      </c>
      <c r="BD3745" s="6" t="s">
        <v>492</v>
      </c>
      <c r="BE3745" s="5" t="s">
        <v>493</v>
      </c>
      <c r="BF3745" s="5" t="s">
        <v>493</v>
      </c>
      <c r="BG3745" s="5" t="s">
        <v>238</v>
      </c>
      <c r="BH3745" s="8">
        <f>1</f>
        <v>1</v>
      </c>
      <c r="BI3745" s="8">
        <f>1</f>
        <v>1</v>
      </c>
      <c r="BJ3745" s="5" t="s">
        <v>253</v>
      </c>
      <c r="BK3745" s="5" t="s">
        <v>254</v>
      </c>
      <c r="BL3745" s="5" t="s">
        <v>238</v>
      </c>
      <c r="BM3745" s="5" t="s">
        <v>238</v>
      </c>
      <c r="BN3745" s="5" t="s">
        <v>238</v>
      </c>
      <c r="BO3745" s="5" t="s">
        <v>238</v>
      </c>
      <c r="BP3745" s="5" t="s">
        <v>238</v>
      </c>
      <c r="BQ3745" s="5" t="s">
        <v>238</v>
      </c>
      <c r="BR3745" s="5" t="s">
        <v>238</v>
      </c>
      <c r="BS3745" s="5" t="s">
        <v>238</v>
      </c>
      <c r="BT3745" s="6" t="s">
        <v>238</v>
      </c>
      <c r="BU3745" s="5" t="s">
        <v>238</v>
      </c>
      <c r="BV3745" s="5" t="s">
        <v>238</v>
      </c>
      <c r="BW3745" s="5" t="s">
        <v>238</v>
      </c>
      <c r="BX3745" s="5" t="s">
        <v>254</v>
      </c>
      <c r="BY3745" s="5" t="s">
        <v>238</v>
      </c>
      <c r="BZ3745" s="5" t="s">
        <v>238</v>
      </c>
      <c r="CA3745" s="5" t="s">
        <v>238</v>
      </c>
      <c r="CB3745" s="5" t="s">
        <v>238</v>
      </c>
      <c r="CC3745" s="5" t="s">
        <v>238</v>
      </c>
      <c r="CD3745" s="5" t="s">
        <v>273</v>
      </c>
      <c r="CE3745" s="5" t="s">
        <v>256</v>
      </c>
      <c r="CF3745" s="5" t="s">
        <v>261</v>
      </c>
      <c r="CH3745" s="5" t="s">
        <v>494</v>
      </c>
      <c r="CI3745" s="6" t="s">
        <v>257</v>
      </c>
      <c r="CJ3745" s="5" t="s">
        <v>495</v>
      </c>
      <c r="CK3745" s="5" t="s">
        <v>258</v>
      </c>
      <c r="CL3745" s="5" t="s">
        <v>496</v>
      </c>
      <c r="CM3745" s="5" t="s">
        <v>238</v>
      </c>
      <c r="CN3745" s="5">
        <v>0</v>
      </c>
      <c r="CO3745" s="5" t="s">
        <v>497</v>
      </c>
      <c r="CP3745" s="5" t="s">
        <v>260</v>
      </c>
      <c r="CQ3745" s="5" t="s">
        <v>260</v>
      </c>
      <c r="CR3745" s="5" t="s">
        <v>261</v>
      </c>
      <c r="CS3745" s="5" t="s">
        <v>498</v>
      </c>
      <c r="CT3745" s="7">
        <f>1</f>
        <v>1</v>
      </c>
      <c r="CU3745" s="8">
        <f>1</f>
        <v>1</v>
      </c>
      <c r="CV3745" s="8">
        <f>0</f>
        <v>0</v>
      </c>
      <c r="CX3745" s="8">
        <f>1</f>
        <v>1</v>
      </c>
      <c r="CY3745" s="8">
        <f>1</f>
        <v>1</v>
      </c>
      <c r="CZ3745" s="8" t="s">
        <v>238</v>
      </c>
      <c r="DA3745" s="5" t="s">
        <v>238</v>
      </c>
      <c r="DB3745" s="5" t="s">
        <v>238</v>
      </c>
      <c r="DC3745" s="5" t="s">
        <v>238</v>
      </c>
      <c r="DD3745" s="5" t="s">
        <v>238</v>
      </c>
      <c r="DE3745" s="8">
        <f>0</f>
        <v>0</v>
      </c>
      <c r="DG3745" s="5" t="s">
        <v>238</v>
      </c>
      <c r="DH3745" s="5" t="s">
        <v>238</v>
      </c>
      <c r="DI3745" s="5" t="s">
        <v>238</v>
      </c>
      <c r="DJ3745" s="5" t="s">
        <v>238</v>
      </c>
      <c r="DK3745" s="5" t="s">
        <v>238</v>
      </c>
      <c r="DL3745" s="5" t="s">
        <v>238</v>
      </c>
      <c r="DM3745" s="8" t="s">
        <v>238</v>
      </c>
      <c r="DN3745" s="5" t="s">
        <v>238</v>
      </c>
      <c r="DO3745" s="5" t="s">
        <v>244</v>
      </c>
      <c r="DP3745" s="5" t="s">
        <v>490</v>
      </c>
      <c r="DQ3745" s="5" t="s">
        <v>490</v>
      </c>
      <c r="DR3745" s="5" t="s">
        <v>238</v>
      </c>
      <c r="DS3745" s="5" t="s">
        <v>238</v>
      </c>
      <c r="DT3745" s="5" t="s">
        <v>601</v>
      </c>
      <c r="DU3745" s="5" t="s">
        <v>1370</v>
      </c>
      <c r="DV3745" s="5" t="s">
        <v>238</v>
      </c>
      <c r="DW3745" s="5" t="s">
        <v>238</v>
      </c>
      <c r="DX3745" s="5" t="s">
        <v>238</v>
      </c>
      <c r="DY3745" s="5" t="s">
        <v>238</v>
      </c>
      <c r="DZ3745" s="5" t="s">
        <v>238</v>
      </c>
      <c r="EA3745" s="5" t="s">
        <v>238</v>
      </c>
      <c r="EB3745" s="5" t="s">
        <v>238</v>
      </c>
      <c r="EC3745" s="5" t="s">
        <v>238</v>
      </c>
      <c r="ED3745" s="5" t="s">
        <v>238</v>
      </c>
      <c r="EE3745" s="5" t="s">
        <v>238</v>
      </c>
      <c r="EF3745" s="5" t="s">
        <v>238</v>
      </c>
      <c r="EG3745" s="5" t="s">
        <v>238</v>
      </c>
      <c r="EH3745" s="5" t="s">
        <v>238</v>
      </c>
      <c r="EI3745" s="5" t="s">
        <v>238</v>
      </c>
      <c r="EJ3745" s="5" t="s">
        <v>238</v>
      </c>
      <c r="EK3745" s="5" t="s">
        <v>238</v>
      </c>
      <c r="EL3745" s="5" t="s">
        <v>238</v>
      </c>
      <c r="EM3745" s="5" t="s">
        <v>238</v>
      </c>
      <c r="EN3745" s="5" t="s">
        <v>238</v>
      </c>
      <c r="EO3745" s="5" t="s">
        <v>238</v>
      </c>
      <c r="EP3745" s="5" t="s">
        <v>238</v>
      </c>
      <c r="EQ3745" s="5" t="s">
        <v>238</v>
      </c>
      <c r="ER3745" s="5" t="s">
        <v>238</v>
      </c>
      <c r="ES3745" s="5" t="s">
        <v>238</v>
      </c>
      <c r="ET3745" s="5" t="s">
        <v>238</v>
      </c>
      <c r="EU3745" s="5" t="s">
        <v>238</v>
      </c>
      <c r="EV3745" s="5" t="s">
        <v>238</v>
      </c>
      <c r="EW3745" s="5" t="s">
        <v>238</v>
      </c>
      <c r="EX3745" s="5" t="s">
        <v>238</v>
      </c>
      <c r="EY3745" s="5" t="s">
        <v>238</v>
      </c>
      <c r="EZ3745" s="5" t="s">
        <v>238</v>
      </c>
      <c r="FA3745" s="5" t="s">
        <v>238</v>
      </c>
      <c r="FB3745" s="5" t="s">
        <v>238</v>
      </c>
      <c r="FC3745" s="5" t="s">
        <v>238</v>
      </c>
      <c r="FD3745" s="5" t="s">
        <v>238</v>
      </c>
      <c r="FE3745" s="5" t="s">
        <v>238</v>
      </c>
      <c r="FF3745" s="5" t="s">
        <v>238</v>
      </c>
      <c r="FG3745" s="5" t="s">
        <v>238</v>
      </c>
      <c r="FH3745" s="5" t="s">
        <v>238</v>
      </c>
      <c r="FI3745" s="5" t="s">
        <v>238</v>
      </c>
      <c r="FJ3745" s="5" t="s">
        <v>238</v>
      </c>
      <c r="FK3745" s="5" t="s">
        <v>238</v>
      </c>
      <c r="FL3745" s="5" t="s">
        <v>238</v>
      </c>
      <c r="FM3745" s="5" t="s">
        <v>238</v>
      </c>
      <c r="FN3745" s="5" t="s">
        <v>238</v>
      </c>
      <c r="FO3745" s="5" t="s">
        <v>238</v>
      </c>
      <c r="FP3745" s="5" t="s">
        <v>238</v>
      </c>
      <c r="FQ3745" s="5" t="s">
        <v>238</v>
      </c>
      <c r="FR3745" s="5" t="s">
        <v>238</v>
      </c>
      <c r="FS3745" s="5" t="s">
        <v>238</v>
      </c>
      <c r="FT3745" s="5" t="s">
        <v>238</v>
      </c>
      <c r="FU3745" s="5" t="s">
        <v>238</v>
      </c>
      <c r="FV3745" s="5" t="s">
        <v>238</v>
      </c>
      <c r="FW3745" s="5" t="s">
        <v>238</v>
      </c>
      <c r="FX3745" s="5" t="s">
        <v>238</v>
      </c>
      <c r="FY3745" s="5" t="s">
        <v>238</v>
      </c>
      <c r="FZ3745" s="5" t="s">
        <v>238</v>
      </c>
      <c r="GA3745" s="5" t="s">
        <v>238</v>
      </c>
      <c r="GB3745" s="5" t="s">
        <v>238</v>
      </c>
      <c r="GC3745" s="5" t="s">
        <v>238</v>
      </c>
      <c r="GD3745" s="5" t="s">
        <v>238</v>
      </c>
      <c r="GE3745" s="5" t="s">
        <v>238</v>
      </c>
      <c r="GF3745" s="5" t="s">
        <v>238</v>
      </c>
      <c r="GG3745" s="5" t="s">
        <v>238</v>
      </c>
      <c r="GH3745" s="5" t="s">
        <v>238</v>
      </c>
      <c r="GI3745" s="5" t="s">
        <v>238</v>
      </c>
      <c r="GJ3745" s="5" t="s">
        <v>238</v>
      </c>
      <c r="GK3745" s="5" t="s">
        <v>238</v>
      </c>
      <c r="GL3745" s="5" t="s">
        <v>238</v>
      </c>
      <c r="GM3745" s="5" t="s">
        <v>238</v>
      </c>
      <c r="GN3745" s="5" t="s">
        <v>238</v>
      </c>
      <c r="GO3745" s="5" t="s">
        <v>238</v>
      </c>
      <c r="GP3745" s="5" t="s">
        <v>238</v>
      </c>
      <c r="GQ3745" s="5" t="s">
        <v>238</v>
      </c>
      <c r="GR3745" s="5" t="s">
        <v>238</v>
      </c>
      <c r="GS3745" s="5" t="s">
        <v>238</v>
      </c>
      <c r="GT3745" s="5" t="s">
        <v>238</v>
      </c>
      <c r="GU3745" s="5" t="s">
        <v>238</v>
      </c>
      <c r="GV3745" s="5" t="s">
        <v>238</v>
      </c>
      <c r="GW3745" s="5" t="s">
        <v>238</v>
      </c>
      <c r="GX3745" s="5" t="s">
        <v>238</v>
      </c>
      <c r="GY3745" s="5" t="s">
        <v>238</v>
      </c>
      <c r="GZ3745" s="5" t="s">
        <v>238</v>
      </c>
      <c r="HA3745" s="5" t="s">
        <v>238</v>
      </c>
      <c r="HB3745" s="5" t="s">
        <v>238</v>
      </c>
      <c r="HC3745" s="5" t="s">
        <v>238</v>
      </c>
      <c r="HD3745" s="5" t="s">
        <v>238</v>
      </c>
      <c r="HE3745" s="5" t="s">
        <v>238</v>
      </c>
      <c r="HF3745" s="5" t="s">
        <v>238</v>
      </c>
      <c r="HG3745" s="5" t="s">
        <v>238</v>
      </c>
      <c r="HH3745" s="5" t="s">
        <v>238</v>
      </c>
      <c r="HI3745" s="5" t="s">
        <v>238</v>
      </c>
      <c r="HJ3745" s="5" t="s">
        <v>238</v>
      </c>
      <c r="HK3745" s="5" t="s">
        <v>238</v>
      </c>
      <c r="HL3745" s="5" t="s">
        <v>238</v>
      </c>
      <c r="HM3745" s="5" t="s">
        <v>238</v>
      </c>
      <c r="HN3745" s="5" t="s">
        <v>238</v>
      </c>
      <c r="HO3745" s="5" t="s">
        <v>238</v>
      </c>
      <c r="HP3745" s="5" t="s">
        <v>238</v>
      </c>
      <c r="HQ3745" s="5" t="s">
        <v>238</v>
      </c>
      <c r="HR3745" s="5" t="s">
        <v>238</v>
      </c>
      <c r="HS3745" s="5" t="s">
        <v>238</v>
      </c>
      <c r="HT3745" s="5" t="s">
        <v>238</v>
      </c>
      <c r="HU3745" s="5" t="s">
        <v>238</v>
      </c>
      <c r="HV3745" s="5" t="s">
        <v>238</v>
      </c>
      <c r="HW3745" s="5" t="s">
        <v>238</v>
      </c>
      <c r="HX3745" s="5" t="s">
        <v>238</v>
      </c>
      <c r="HY3745" s="5" t="s">
        <v>238</v>
      </c>
      <c r="HZ3745" s="5" t="s">
        <v>238</v>
      </c>
      <c r="IA3745" s="5" t="s">
        <v>238</v>
      </c>
      <c r="IB3745" s="5" t="s">
        <v>238</v>
      </c>
      <c r="IC3745" s="5" t="s">
        <v>238</v>
      </c>
      <c r="ID3745" s="5" t="s">
        <v>238</v>
      </c>
    </row>
    <row r="3746" spans="1:238" x14ac:dyDescent="0.4">
      <c r="A3746" s="5">
        <v>9464</v>
      </c>
      <c r="B3746" s="5">
        <v>1</v>
      </c>
      <c r="C3746" s="5">
        <v>1</v>
      </c>
      <c r="D3746" s="5" t="s">
        <v>484</v>
      </c>
      <c r="E3746" s="5" t="s">
        <v>485</v>
      </c>
      <c r="F3746" s="5" t="s">
        <v>248</v>
      </c>
      <c r="G3746" s="5" t="s">
        <v>4828</v>
      </c>
      <c r="H3746" s="6" t="s">
        <v>4829</v>
      </c>
      <c r="I3746" s="8">
        <f>1</f>
        <v>1</v>
      </c>
      <c r="J3746" s="5" t="s">
        <v>499</v>
      </c>
      <c r="K3746" s="8">
        <f>1</f>
        <v>1</v>
      </c>
      <c r="L3746" s="6" t="s">
        <v>242</v>
      </c>
      <c r="M3746" s="5" t="s">
        <v>267</v>
      </c>
      <c r="N3746" s="5" t="s">
        <v>482</v>
      </c>
      <c r="O3746" s="5" t="s">
        <v>238</v>
      </c>
      <c r="P3746" s="5" t="s">
        <v>238</v>
      </c>
      <c r="Q3746" s="5" t="s">
        <v>239</v>
      </c>
      <c r="R3746" s="5" t="s">
        <v>270</v>
      </c>
      <c r="S3746" s="5" t="s">
        <v>238</v>
      </c>
      <c r="T3746" s="5" t="s">
        <v>238</v>
      </c>
      <c r="U3746" s="5" t="s">
        <v>238</v>
      </c>
      <c r="V3746" s="5" t="s">
        <v>238</v>
      </c>
      <c r="W3746" s="6" t="s">
        <v>238</v>
      </c>
      <c r="X3746" s="6" t="s">
        <v>238</v>
      </c>
      <c r="Y3746" s="5" t="s">
        <v>238</v>
      </c>
      <c r="Z3746" s="6" t="s">
        <v>238</v>
      </c>
      <c r="AA3746" s="6" t="s">
        <v>243</v>
      </c>
      <c r="AB3746" s="5" t="s">
        <v>598</v>
      </c>
      <c r="AC3746" s="5" t="s">
        <v>244</v>
      </c>
      <c r="AD3746" s="5" t="s">
        <v>245</v>
      </c>
      <c r="AE3746" s="5" t="s">
        <v>238</v>
      </c>
      <c r="AF3746" s="5" t="s">
        <v>238</v>
      </c>
      <c r="AG3746" s="5" t="s">
        <v>238</v>
      </c>
      <c r="AH3746" s="5" t="s">
        <v>238</v>
      </c>
      <c r="AI3746" s="5" t="s">
        <v>238</v>
      </c>
      <c r="AJ3746" s="5" t="s">
        <v>238</v>
      </c>
      <c r="AK3746" s="5" t="s">
        <v>238</v>
      </c>
      <c r="AL3746" s="5" t="s">
        <v>238</v>
      </c>
      <c r="AM3746" s="6" t="s">
        <v>238</v>
      </c>
      <c r="AN3746" s="6" t="s">
        <v>238</v>
      </c>
      <c r="AO3746" s="6" t="s">
        <v>238</v>
      </c>
      <c r="AP3746" s="6" t="s">
        <v>238</v>
      </c>
      <c r="AQ3746" s="5" t="s">
        <v>238</v>
      </c>
      <c r="AR3746" s="5" t="s">
        <v>488</v>
      </c>
      <c r="AS3746" s="5" t="s">
        <v>488</v>
      </c>
      <c r="AT3746" s="5" t="s">
        <v>246</v>
      </c>
      <c r="AU3746" s="5" t="s">
        <v>489</v>
      </c>
      <c r="AV3746" s="5" t="s">
        <v>247</v>
      </c>
      <c r="AW3746" s="5" t="s">
        <v>600</v>
      </c>
      <c r="AX3746" s="5" t="s">
        <v>249</v>
      </c>
      <c r="AY3746" s="5" t="s">
        <v>490</v>
      </c>
      <c r="BA3746" s="5" t="s">
        <v>238</v>
      </c>
      <c r="BC3746" s="5" t="s">
        <v>491</v>
      </c>
      <c r="BD3746" s="6" t="s">
        <v>492</v>
      </c>
      <c r="BE3746" s="5" t="s">
        <v>493</v>
      </c>
      <c r="BF3746" s="5" t="s">
        <v>493</v>
      </c>
      <c r="BG3746" s="5" t="s">
        <v>238</v>
      </c>
      <c r="BH3746" s="8">
        <f>1</f>
        <v>1</v>
      </c>
      <c r="BI3746" s="8">
        <f>1</f>
        <v>1</v>
      </c>
      <c r="BJ3746" s="5" t="s">
        <v>253</v>
      </c>
      <c r="BK3746" s="5" t="s">
        <v>254</v>
      </c>
      <c r="BL3746" s="5" t="s">
        <v>238</v>
      </c>
      <c r="BM3746" s="5" t="s">
        <v>238</v>
      </c>
      <c r="BN3746" s="5" t="s">
        <v>238</v>
      </c>
      <c r="BO3746" s="5" t="s">
        <v>238</v>
      </c>
      <c r="BP3746" s="5" t="s">
        <v>238</v>
      </c>
      <c r="BQ3746" s="5" t="s">
        <v>238</v>
      </c>
      <c r="BR3746" s="5" t="s">
        <v>238</v>
      </c>
      <c r="BS3746" s="5" t="s">
        <v>238</v>
      </c>
      <c r="BT3746" s="6" t="s">
        <v>238</v>
      </c>
      <c r="BU3746" s="5" t="s">
        <v>238</v>
      </c>
      <c r="BV3746" s="5" t="s">
        <v>238</v>
      </c>
      <c r="BW3746" s="5" t="s">
        <v>238</v>
      </c>
      <c r="BX3746" s="5" t="s">
        <v>254</v>
      </c>
      <c r="BY3746" s="5" t="s">
        <v>238</v>
      </c>
      <c r="BZ3746" s="5" t="s">
        <v>238</v>
      </c>
      <c r="CA3746" s="5" t="s">
        <v>238</v>
      </c>
      <c r="CB3746" s="5" t="s">
        <v>238</v>
      </c>
      <c r="CC3746" s="5" t="s">
        <v>238</v>
      </c>
      <c r="CD3746" s="5" t="s">
        <v>273</v>
      </c>
      <c r="CE3746" s="5" t="s">
        <v>256</v>
      </c>
      <c r="CF3746" s="5" t="s">
        <v>261</v>
      </c>
      <c r="CH3746" s="5" t="s">
        <v>494</v>
      </c>
      <c r="CI3746" s="6" t="s">
        <v>257</v>
      </c>
      <c r="CJ3746" s="5" t="s">
        <v>495</v>
      </c>
      <c r="CK3746" s="5" t="s">
        <v>258</v>
      </c>
      <c r="CL3746" s="5" t="s">
        <v>496</v>
      </c>
      <c r="CM3746" s="5" t="s">
        <v>238</v>
      </c>
      <c r="CN3746" s="5">
        <v>0</v>
      </c>
      <c r="CO3746" s="5" t="s">
        <v>497</v>
      </c>
      <c r="CP3746" s="5" t="s">
        <v>260</v>
      </c>
      <c r="CQ3746" s="5" t="s">
        <v>260</v>
      </c>
      <c r="CR3746" s="5" t="s">
        <v>261</v>
      </c>
      <c r="CS3746" s="5" t="s">
        <v>498</v>
      </c>
      <c r="CT3746" s="7">
        <f>1</f>
        <v>1</v>
      </c>
      <c r="CU3746" s="8">
        <f>1</f>
        <v>1</v>
      </c>
      <c r="CV3746" s="8">
        <f>0</f>
        <v>0</v>
      </c>
      <c r="CX3746" s="8">
        <f>1</f>
        <v>1</v>
      </c>
      <c r="CY3746" s="8">
        <f>1</f>
        <v>1</v>
      </c>
      <c r="CZ3746" s="8" t="s">
        <v>238</v>
      </c>
      <c r="DA3746" s="5" t="s">
        <v>238</v>
      </c>
      <c r="DB3746" s="5" t="s">
        <v>238</v>
      </c>
      <c r="DC3746" s="5" t="s">
        <v>238</v>
      </c>
      <c r="DD3746" s="5" t="s">
        <v>238</v>
      </c>
      <c r="DE3746" s="8">
        <f>0</f>
        <v>0</v>
      </c>
      <c r="DG3746" s="5" t="s">
        <v>238</v>
      </c>
      <c r="DH3746" s="5" t="s">
        <v>238</v>
      </c>
      <c r="DI3746" s="5" t="s">
        <v>238</v>
      </c>
      <c r="DJ3746" s="5" t="s">
        <v>238</v>
      </c>
      <c r="DK3746" s="5" t="s">
        <v>238</v>
      </c>
      <c r="DL3746" s="5" t="s">
        <v>238</v>
      </c>
      <c r="DM3746" s="8" t="s">
        <v>238</v>
      </c>
      <c r="DN3746" s="5" t="s">
        <v>238</v>
      </c>
      <c r="DO3746" s="5" t="s">
        <v>244</v>
      </c>
      <c r="DP3746" s="5" t="s">
        <v>490</v>
      </c>
      <c r="DQ3746" s="5" t="s">
        <v>490</v>
      </c>
      <c r="DR3746" s="5" t="s">
        <v>238</v>
      </c>
      <c r="DS3746" s="5" t="s">
        <v>238</v>
      </c>
      <c r="DT3746" s="5" t="s">
        <v>601</v>
      </c>
      <c r="DU3746" s="5" t="s">
        <v>806</v>
      </c>
      <c r="DV3746" s="5" t="s">
        <v>238</v>
      </c>
      <c r="DW3746" s="5" t="s">
        <v>238</v>
      </c>
      <c r="DX3746" s="5" t="s">
        <v>238</v>
      </c>
      <c r="DY3746" s="5" t="s">
        <v>238</v>
      </c>
      <c r="DZ3746" s="5" t="s">
        <v>238</v>
      </c>
      <c r="EA3746" s="5" t="s">
        <v>238</v>
      </c>
      <c r="EB3746" s="5" t="s">
        <v>238</v>
      </c>
      <c r="EC3746" s="5" t="s">
        <v>238</v>
      </c>
      <c r="ED3746" s="5" t="s">
        <v>238</v>
      </c>
      <c r="EE3746" s="5" t="s">
        <v>238</v>
      </c>
      <c r="EF3746" s="5" t="s">
        <v>238</v>
      </c>
      <c r="EG3746" s="5" t="s">
        <v>238</v>
      </c>
      <c r="EH3746" s="5" t="s">
        <v>238</v>
      </c>
      <c r="EI3746" s="5" t="s">
        <v>238</v>
      </c>
      <c r="EJ3746" s="5" t="s">
        <v>238</v>
      </c>
      <c r="EK3746" s="5" t="s">
        <v>238</v>
      </c>
      <c r="EL3746" s="5" t="s">
        <v>238</v>
      </c>
      <c r="EM3746" s="5" t="s">
        <v>238</v>
      </c>
      <c r="EN3746" s="5" t="s">
        <v>238</v>
      </c>
      <c r="EO3746" s="5" t="s">
        <v>238</v>
      </c>
      <c r="EP3746" s="5" t="s">
        <v>238</v>
      </c>
      <c r="EQ3746" s="5" t="s">
        <v>238</v>
      </c>
      <c r="ER3746" s="5" t="s">
        <v>238</v>
      </c>
      <c r="ES3746" s="5" t="s">
        <v>238</v>
      </c>
      <c r="ET3746" s="5" t="s">
        <v>238</v>
      </c>
      <c r="EU3746" s="5" t="s">
        <v>238</v>
      </c>
      <c r="EV3746" s="5" t="s">
        <v>238</v>
      </c>
      <c r="EW3746" s="5" t="s">
        <v>238</v>
      </c>
      <c r="EX3746" s="5" t="s">
        <v>238</v>
      </c>
      <c r="EY3746" s="5" t="s">
        <v>238</v>
      </c>
      <c r="EZ3746" s="5" t="s">
        <v>238</v>
      </c>
      <c r="FA3746" s="5" t="s">
        <v>238</v>
      </c>
      <c r="FB3746" s="5" t="s">
        <v>238</v>
      </c>
      <c r="FC3746" s="5" t="s">
        <v>238</v>
      </c>
      <c r="FD3746" s="5" t="s">
        <v>238</v>
      </c>
      <c r="FE3746" s="5" t="s">
        <v>238</v>
      </c>
      <c r="FF3746" s="5" t="s">
        <v>238</v>
      </c>
      <c r="FG3746" s="5" t="s">
        <v>238</v>
      </c>
      <c r="FH3746" s="5" t="s">
        <v>238</v>
      </c>
      <c r="FI3746" s="5" t="s">
        <v>238</v>
      </c>
      <c r="FJ3746" s="5" t="s">
        <v>238</v>
      </c>
      <c r="FK3746" s="5" t="s">
        <v>238</v>
      </c>
      <c r="FL3746" s="5" t="s">
        <v>238</v>
      </c>
      <c r="FM3746" s="5" t="s">
        <v>238</v>
      </c>
      <c r="FN3746" s="5" t="s">
        <v>238</v>
      </c>
      <c r="FO3746" s="5" t="s">
        <v>238</v>
      </c>
      <c r="FP3746" s="5" t="s">
        <v>238</v>
      </c>
      <c r="FQ3746" s="5" t="s">
        <v>238</v>
      </c>
      <c r="FR3746" s="5" t="s">
        <v>238</v>
      </c>
      <c r="FS3746" s="5" t="s">
        <v>238</v>
      </c>
      <c r="FT3746" s="5" t="s">
        <v>238</v>
      </c>
      <c r="FU3746" s="5" t="s">
        <v>238</v>
      </c>
      <c r="FV3746" s="5" t="s">
        <v>238</v>
      </c>
      <c r="FW3746" s="5" t="s">
        <v>238</v>
      </c>
      <c r="FX3746" s="5" t="s">
        <v>238</v>
      </c>
      <c r="FY3746" s="5" t="s">
        <v>238</v>
      </c>
      <c r="FZ3746" s="5" t="s">
        <v>238</v>
      </c>
      <c r="GA3746" s="5" t="s">
        <v>238</v>
      </c>
      <c r="GB3746" s="5" t="s">
        <v>238</v>
      </c>
      <c r="GC3746" s="5" t="s">
        <v>238</v>
      </c>
      <c r="GD3746" s="5" t="s">
        <v>238</v>
      </c>
      <c r="GE3746" s="5" t="s">
        <v>238</v>
      </c>
      <c r="GF3746" s="5" t="s">
        <v>238</v>
      </c>
      <c r="GG3746" s="5" t="s">
        <v>238</v>
      </c>
      <c r="GH3746" s="5" t="s">
        <v>238</v>
      </c>
      <c r="GI3746" s="5" t="s">
        <v>238</v>
      </c>
      <c r="GJ3746" s="5" t="s">
        <v>238</v>
      </c>
      <c r="GK3746" s="5" t="s">
        <v>238</v>
      </c>
      <c r="GL3746" s="5" t="s">
        <v>238</v>
      </c>
      <c r="GM3746" s="5" t="s">
        <v>238</v>
      </c>
      <c r="GN3746" s="5" t="s">
        <v>238</v>
      </c>
      <c r="GO3746" s="5" t="s">
        <v>238</v>
      </c>
      <c r="GP3746" s="5" t="s">
        <v>238</v>
      </c>
      <c r="GQ3746" s="5" t="s">
        <v>238</v>
      </c>
      <c r="GR3746" s="5" t="s">
        <v>238</v>
      </c>
      <c r="GS3746" s="5" t="s">
        <v>238</v>
      </c>
      <c r="GT3746" s="5" t="s">
        <v>238</v>
      </c>
      <c r="GU3746" s="5" t="s">
        <v>238</v>
      </c>
      <c r="GV3746" s="5" t="s">
        <v>238</v>
      </c>
      <c r="GW3746" s="5" t="s">
        <v>238</v>
      </c>
      <c r="GX3746" s="5" t="s">
        <v>238</v>
      </c>
      <c r="GY3746" s="5" t="s">
        <v>238</v>
      </c>
      <c r="GZ3746" s="5" t="s">
        <v>238</v>
      </c>
      <c r="HA3746" s="5" t="s">
        <v>238</v>
      </c>
      <c r="HB3746" s="5" t="s">
        <v>238</v>
      </c>
      <c r="HC3746" s="5" t="s">
        <v>238</v>
      </c>
      <c r="HD3746" s="5" t="s">
        <v>238</v>
      </c>
      <c r="HE3746" s="5" t="s">
        <v>238</v>
      </c>
      <c r="HF3746" s="5" t="s">
        <v>238</v>
      </c>
      <c r="HG3746" s="5" t="s">
        <v>238</v>
      </c>
      <c r="HH3746" s="5" t="s">
        <v>238</v>
      </c>
      <c r="HI3746" s="5" t="s">
        <v>238</v>
      </c>
      <c r="HJ3746" s="5" t="s">
        <v>238</v>
      </c>
      <c r="HK3746" s="5" t="s">
        <v>238</v>
      </c>
      <c r="HL3746" s="5" t="s">
        <v>238</v>
      </c>
      <c r="HM3746" s="5" t="s">
        <v>238</v>
      </c>
      <c r="HN3746" s="5" t="s">
        <v>238</v>
      </c>
      <c r="HO3746" s="5" t="s">
        <v>238</v>
      </c>
      <c r="HP3746" s="5" t="s">
        <v>238</v>
      </c>
      <c r="HQ3746" s="5" t="s">
        <v>238</v>
      </c>
      <c r="HR3746" s="5" t="s">
        <v>238</v>
      </c>
      <c r="HS3746" s="5" t="s">
        <v>238</v>
      </c>
      <c r="HT3746" s="5" t="s">
        <v>238</v>
      </c>
      <c r="HU3746" s="5" t="s">
        <v>238</v>
      </c>
      <c r="HV3746" s="5" t="s">
        <v>238</v>
      </c>
      <c r="HW3746" s="5" t="s">
        <v>238</v>
      </c>
      <c r="HX3746" s="5" t="s">
        <v>238</v>
      </c>
      <c r="HY3746" s="5" t="s">
        <v>238</v>
      </c>
      <c r="HZ3746" s="5" t="s">
        <v>238</v>
      </c>
      <c r="IA3746" s="5" t="s">
        <v>238</v>
      </c>
      <c r="IB3746" s="5" t="s">
        <v>238</v>
      </c>
      <c r="IC3746" s="5" t="s">
        <v>238</v>
      </c>
      <c r="ID3746" s="5" t="s">
        <v>238</v>
      </c>
    </row>
    <row r="3747" spans="1:238" x14ac:dyDescent="0.4">
      <c r="A3747" s="5">
        <v>9465</v>
      </c>
      <c r="B3747" s="5">
        <v>1</v>
      </c>
      <c r="C3747" s="5">
        <v>1</v>
      </c>
      <c r="D3747" s="5" t="s">
        <v>484</v>
      </c>
      <c r="E3747" s="5" t="s">
        <v>485</v>
      </c>
      <c r="F3747" s="5" t="s">
        <v>248</v>
      </c>
      <c r="G3747" s="5" t="s">
        <v>5287</v>
      </c>
      <c r="H3747" s="6" t="s">
        <v>5288</v>
      </c>
      <c r="I3747" s="8">
        <f>1</f>
        <v>1</v>
      </c>
      <c r="J3747" s="5" t="s">
        <v>499</v>
      </c>
      <c r="K3747" s="8">
        <f>1</f>
        <v>1</v>
      </c>
      <c r="L3747" s="6" t="s">
        <v>242</v>
      </c>
      <c r="M3747" s="5" t="s">
        <v>267</v>
      </c>
      <c r="N3747" s="5" t="s">
        <v>482</v>
      </c>
      <c r="O3747" s="5" t="s">
        <v>238</v>
      </c>
      <c r="P3747" s="5" t="s">
        <v>238</v>
      </c>
      <c r="Q3747" s="5" t="s">
        <v>239</v>
      </c>
      <c r="R3747" s="5" t="s">
        <v>270</v>
      </c>
      <c r="S3747" s="5" t="s">
        <v>238</v>
      </c>
      <c r="T3747" s="5" t="s">
        <v>238</v>
      </c>
      <c r="U3747" s="5" t="s">
        <v>238</v>
      </c>
      <c r="V3747" s="5" t="s">
        <v>238</v>
      </c>
      <c r="W3747" s="6" t="s">
        <v>238</v>
      </c>
      <c r="X3747" s="6" t="s">
        <v>238</v>
      </c>
      <c r="Y3747" s="5" t="s">
        <v>238</v>
      </c>
      <c r="Z3747" s="6" t="s">
        <v>238</v>
      </c>
      <c r="AA3747" s="6" t="s">
        <v>243</v>
      </c>
      <c r="AB3747" s="5" t="s">
        <v>598</v>
      </c>
      <c r="AC3747" s="5" t="s">
        <v>244</v>
      </c>
      <c r="AD3747" s="5" t="s">
        <v>245</v>
      </c>
      <c r="AE3747" s="5" t="s">
        <v>238</v>
      </c>
      <c r="AF3747" s="5" t="s">
        <v>238</v>
      </c>
      <c r="AG3747" s="5" t="s">
        <v>238</v>
      </c>
      <c r="AH3747" s="5" t="s">
        <v>238</v>
      </c>
      <c r="AI3747" s="5" t="s">
        <v>238</v>
      </c>
      <c r="AJ3747" s="5" t="s">
        <v>238</v>
      </c>
      <c r="AK3747" s="5" t="s">
        <v>238</v>
      </c>
      <c r="AL3747" s="5" t="s">
        <v>238</v>
      </c>
      <c r="AM3747" s="6" t="s">
        <v>238</v>
      </c>
      <c r="AN3747" s="6" t="s">
        <v>238</v>
      </c>
      <c r="AO3747" s="6" t="s">
        <v>238</v>
      </c>
      <c r="AP3747" s="6" t="s">
        <v>238</v>
      </c>
      <c r="AQ3747" s="5" t="s">
        <v>238</v>
      </c>
      <c r="AR3747" s="5" t="s">
        <v>488</v>
      </c>
      <c r="AS3747" s="5" t="s">
        <v>488</v>
      </c>
      <c r="AT3747" s="5" t="s">
        <v>246</v>
      </c>
      <c r="AU3747" s="5" t="s">
        <v>489</v>
      </c>
      <c r="AV3747" s="5" t="s">
        <v>247</v>
      </c>
      <c r="AW3747" s="5" t="s">
        <v>600</v>
      </c>
      <c r="AX3747" s="5" t="s">
        <v>249</v>
      </c>
      <c r="AY3747" s="5" t="s">
        <v>490</v>
      </c>
      <c r="BA3747" s="5" t="s">
        <v>238</v>
      </c>
      <c r="BC3747" s="5" t="s">
        <v>491</v>
      </c>
      <c r="BD3747" s="6" t="s">
        <v>492</v>
      </c>
      <c r="BE3747" s="5" t="s">
        <v>493</v>
      </c>
      <c r="BF3747" s="5" t="s">
        <v>493</v>
      </c>
      <c r="BG3747" s="5" t="s">
        <v>238</v>
      </c>
      <c r="BH3747" s="8">
        <f>1</f>
        <v>1</v>
      </c>
      <c r="BI3747" s="8">
        <f>1</f>
        <v>1</v>
      </c>
      <c r="BJ3747" s="5" t="s">
        <v>253</v>
      </c>
      <c r="BK3747" s="5" t="s">
        <v>254</v>
      </c>
      <c r="BL3747" s="5" t="s">
        <v>238</v>
      </c>
      <c r="BM3747" s="5" t="s">
        <v>238</v>
      </c>
      <c r="BN3747" s="5" t="s">
        <v>238</v>
      </c>
      <c r="BO3747" s="5" t="s">
        <v>238</v>
      </c>
      <c r="BP3747" s="5" t="s">
        <v>238</v>
      </c>
      <c r="BQ3747" s="5" t="s">
        <v>238</v>
      </c>
      <c r="BR3747" s="5" t="s">
        <v>238</v>
      </c>
      <c r="BS3747" s="5" t="s">
        <v>238</v>
      </c>
      <c r="BT3747" s="6" t="s">
        <v>238</v>
      </c>
      <c r="BU3747" s="5" t="s">
        <v>238</v>
      </c>
      <c r="BV3747" s="5" t="s">
        <v>238</v>
      </c>
      <c r="BW3747" s="5" t="s">
        <v>238</v>
      </c>
      <c r="BX3747" s="5" t="s">
        <v>254</v>
      </c>
      <c r="BY3747" s="5" t="s">
        <v>238</v>
      </c>
      <c r="BZ3747" s="5" t="s">
        <v>238</v>
      </c>
      <c r="CA3747" s="5" t="s">
        <v>238</v>
      </c>
      <c r="CB3747" s="5" t="s">
        <v>238</v>
      </c>
      <c r="CC3747" s="5" t="s">
        <v>238</v>
      </c>
      <c r="CD3747" s="5" t="s">
        <v>273</v>
      </c>
      <c r="CE3747" s="5" t="s">
        <v>256</v>
      </c>
      <c r="CF3747" s="5" t="s">
        <v>261</v>
      </c>
      <c r="CH3747" s="5" t="s">
        <v>494</v>
      </c>
      <c r="CI3747" s="6" t="s">
        <v>257</v>
      </c>
      <c r="CJ3747" s="5" t="s">
        <v>495</v>
      </c>
      <c r="CK3747" s="5" t="s">
        <v>258</v>
      </c>
      <c r="CL3747" s="5" t="s">
        <v>496</v>
      </c>
      <c r="CM3747" s="5" t="s">
        <v>238</v>
      </c>
      <c r="CN3747" s="5">
        <v>0</v>
      </c>
      <c r="CO3747" s="5" t="s">
        <v>497</v>
      </c>
      <c r="CP3747" s="5" t="s">
        <v>260</v>
      </c>
      <c r="CQ3747" s="5" t="s">
        <v>260</v>
      </c>
      <c r="CR3747" s="5" t="s">
        <v>261</v>
      </c>
      <c r="CS3747" s="5" t="s">
        <v>498</v>
      </c>
      <c r="CT3747" s="7">
        <f>1</f>
        <v>1</v>
      </c>
      <c r="CU3747" s="8">
        <f>1</f>
        <v>1</v>
      </c>
      <c r="CV3747" s="8">
        <f>0</f>
        <v>0</v>
      </c>
      <c r="CX3747" s="8">
        <f>1</f>
        <v>1</v>
      </c>
      <c r="CY3747" s="8">
        <f>1</f>
        <v>1</v>
      </c>
      <c r="CZ3747" s="8" t="s">
        <v>238</v>
      </c>
      <c r="DA3747" s="5" t="s">
        <v>238</v>
      </c>
      <c r="DB3747" s="5" t="s">
        <v>238</v>
      </c>
      <c r="DC3747" s="5" t="s">
        <v>238</v>
      </c>
      <c r="DD3747" s="5" t="s">
        <v>238</v>
      </c>
      <c r="DE3747" s="8">
        <f>0</f>
        <v>0</v>
      </c>
      <c r="DG3747" s="5" t="s">
        <v>238</v>
      </c>
      <c r="DH3747" s="5" t="s">
        <v>238</v>
      </c>
      <c r="DI3747" s="5" t="s">
        <v>238</v>
      </c>
      <c r="DJ3747" s="5" t="s">
        <v>238</v>
      </c>
      <c r="DK3747" s="5" t="s">
        <v>238</v>
      </c>
      <c r="DL3747" s="5" t="s">
        <v>238</v>
      </c>
      <c r="DM3747" s="8" t="s">
        <v>238</v>
      </c>
      <c r="DN3747" s="5" t="s">
        <v>238</v>
      </c>
      <c r="DO3747" s="5" t="s">
        <v>244</v>
      </c>
      <c r="DP3747" s="5" t="s">
        <v>490</v>
      </c>
      <c r="DQ3747" s="5" t="s">
        <v>490</v>
      </c>
      <c r="DR3747" s="5" t="s">
        <v>238</v>
      </c>
      <c r="DS3747" s="5" t="s">
        <v>238</v>
      </c>
      <c r="DT3747" s="5" t="s">
        <v>601</v>
      </c>
      <c r="DU3747" s="5" t="s">
        <v>854</v>
      </c>
      <c r="DV3747" s="5" t="s">
        <v>238</v>
      </c>
      <c r="DW3747" s="5" t="s">
        <v>238</v>
      </c>
      <c r="DX3747" s="5" t="s">
        <v>238</v>
      </c>
      <c r="DY3747" s="5" t="s">
        <v>238</v>
      </c>
      <c r="DZ3747" s="5" t="s">
        <v>238</v>
      </c>
      <c r="EA3747" s="5" t="s">
        <v>238</v>
      </c>
      <c r="EB3747" s="5" t="s">
        <v>238</v>
      </c>
      <c r="EC3747" s="5" t="s">
        <v>238</v>
      </c>
      <c r="ED3747" s="5" t="s">
        <v>238</v>
      </c>
      <c r="EE3747" s="5" t="s">
        <v>238</v>
      </c>
      <c r="EF3747" s="5" t="s">
        <v>238</v>
      </c>
      <c r="EG3747" s="5" t="s">
        <v>238</v>
      </c>
      <c r="EH3747" s="5" t="s">
        <v>238</v>
      </c>
      <c r="EI3747" s="5" t="s">
        <v>238</v>
      </c>
      <c r="EJ3747" s="5" t="s">
        <v>238</v>
      </c>
      <c r="EK3747" s="5" t="s">
        <v>238</v>
      </c>
      <c r="EL3747" s="5" t="s">
        <v>238</v>
      </c>
      <c r="EM3747" s="5" t="s">
        <v>238</v>
      </c>
      <c r="EN3747" s="5" t="s">
        <v>238</v>
      </c>
      <c r="EO3747" s="5" t="s">
        <v>238</v>
      </c>
      <c r="EP3747" s="5" t="s">
        <v>238</v>
      </c>
      <c r="EQ3747" s="5" t="s">
        <v>238</v>
      </c>
      <c r="ER3747" s="5" t="s">
        <v>238</v>
      </c>
      <c r="ES3747" s="5" t="s">
        <v>238</v>
      </c>
      <c r="ET3747" s="5" t="s">
        <v>238</v>
      </c>
      <c r="EU3747" s="5" t="s">
        <v>238</v>
      </c>
      <c r="EV3747" s="5" t="s">
        <v>238</v>
      </c>
      <c r="EW3747" s="5" t="s">
        <v>238</v>
      </c>
      <c r="EX3747" s="5" t="s">
        <v>238</v>
      </c>
      <c r="EY3747" s="5" t="s">
        <v>238</v>
      </c>
      <c r="EZ3747" s="5" t="s">
        <v>238</v>
      </c>
      <c r="FA3747" s="5" t="s">
        <v>238</v>
      </c>
      <c r="FB3747" s="5" t="s">
        <v>238</v>
      </c>
      <c r="FC3747" s="5" t="s">
        <v>238</v>
      </c>
      <c r="FD3747" s="5" t="s">
        <v>238</v>
      </c>
      <c r="FE3747" s="5" t="s">
        <v>238</v>
      </c>
      <c r="FF3747" s="5" t="s">
        <v>238</v>
      </c>
      <c r="FG3747" s="5" t="s">
        <v>238</v>
      </c>
      <c r="FH3747" s="5" t="s">
        <v>238</v>
      </c>
      <c r="FI3747" s="5" t="s">
        <v>238</v>
      </c>
      <c r="FJ3747" s="5" t="s">
        <v>238</v>
      </c>
      <c r="FK3747" s="5" t="s">
        <v>238</v>
      </c>
      <c r="FL3747" s="5" t="s">
        <v>238</v>
      </c>
      <c r="FM3747" s="5" t="s">
        <v>238</v>
      </c>
      <c r="FN3747" s="5" t="s">
        <v>238</v>
      </c>
      <c r="FO3747" s="5" t="s">
        <v>238</v>
      </c>
      <c r="FP3747" s="5" t="s">
        <v>238</v>
      </c>
      <c r="FQ3747" s="5" t="s">
        <v>238</v>
      </c>
      <c r="FR3747" s="5" t="s">
        <v>238</v>
      </c>
      <c r="FS3747" s="5" t="s">
        <v>238</v>
      </c>
      <c r="FT3747" s="5" t="s">
        <v>238</v>
      </c>
      <c r="FU3747" s="5" t="s">
        <v>238</v>
      </c>
      <c r="FV3747" s="5" t="s">
        <v>238</v>
      </c>
      <c r="FW3747" s="5" t="s">
        <v>238</v>
      </c>
      <c r="FX3747" s="5" t="s">
        <v>238</v>
      </c>
      <c r="FY3747" s="5" t="s">
        <v>238</v>
      </c>
      <c r="FZ3747" s="5" t="s">
        <v>238</v>
      </c>
      <c r="GA3747" s="5" t="s">
        <v>238</v>
      </c>
      <c r="GB3747" s="5" t="s">
        <v>238</v>
      </c>
      <c r="GC3747" s="5" t="s">
        <v>238</v>
      </c>
      <c r="GD3747" s="5" t="s">
        <v>238</v>
      </c>
      <c r="GE3747" s="5" t="s">
        <v>238</v>
      </c>
      <c r="GF3747" s="5" t="s">
        <v>238</v>
      </c>
      <c r="GG3747" s="5" t="s">
        <v>238</v>
      </c>
      <c r="GH3747" s="5" t="s">
        <v>238</v>
      </c>
      <c r="GI3747" s="5" t="s">
        <v>238</v>
      </c>
      <c r="GJ3747" s="5" t="s">
        <v>238</v>
      </c>
      <c r="GK3747" s="5" t="s">
        <v>238</v>
      </c>
      <c r="GL3747" s="5" t="s">
        <v>238</v>
      </c>
      <c r="GM3747" s="5" t="s">
        <v>238</v>
      </c>
      <c r="GN3747" s="5" t="s">
        <v>238</v>
      </c>
      <c r="GO3747" s="5" t="s">
        <v>238</v>
      </c>
      <c r="GP3747" s="5" t="s">
        <v>238</v>
      </c>
      <c r="GQ3747" s="5" t="s">
        <v>238</v>
      </c>
      <c r="GR3747" s="5" t="s">
        <v>238</v>
      </c>
      <c r="GS3747" s="5" t="s">
        <v>238</v>
      </c>
      <c r="GT3747" s="5" t="s">
        <v>238</v>
      </c>
      <c r="GU3747" s="5" t="s">
        <v>238</v>
      </c>
      <c r="GV3747" s="5" t="s">
        <v>238</v>
      </c>
      <c r="GW3747" s="5" t="s">
        <v>238</v>
      </c>
      <c r="GX3747" s="5" t="s">
        <v>238</v>
      </c>
      <c r="GY3747" s="5" t="s">
        <v>238</v>
      </c>
      <c r="GZ3747" s="5" t="s">
        <v>238</v>
      </c>
      <c r="HA3747" s="5" t="s">
        <v>238</v>
      </c>
      <c r="HB3747" s="5" t="s">
        <v>238</v>
      </c>
      <c r="HC3747" s="5" t="s">
        <v>238</v>
      </c>
      <c r="HD3747" s="5" t="s">
        <v>238</v>
      </c>
      <c r="HE3747" s="5" t="s">
        <v>238</v>
      </c>
      <c r="HF3747" s="5" t="s">
        <v>238</v>
      </c>
      <c r="HG3747" s="5" t="s">
        <v>238</v>
      </c>
      <c r="HH3747" s="5" t="s">
        <v>238</v>
      </c>
      <c r="HI3747" s="5" t="s">
        <v>238</v>
      </c>
      <c r="HJ3747" s="5" t="s">
        <v>238</v>
      </c>
      <c r="HK3747" s="5" t="s">
        <v>238</v>
      </c>
      <c r="HL3747" s="5" t="s">
        <v>238</v>
      </c>
      <c r="HM3747" s="5" t="s">
        <v>238</v>
      </c>
      <c r="HN3747" s="5" t="s">
        <v>238</v>
      </c>
      <c r="HO3747" s="5" t="s">
        <v>238</v>
      </c>
      <c r="HP3747" s="5" t="s">
        <v>238</v>
      </c>
      <c r="HQ3747" s="5" t="s">
        <v>238</v>
      </c>
      <c r="HR3747" s="5" t="s">
        <v>238</v>
      </c>
      <c r="HS3747" s="5" t="s">
        <v>238</v>
      </c>
      <c r="HT3747" s="5" t="s">
        <v>238</v>
      </c>
      <c r="HU3747" s="5" t="s">
        <v>238</v>
      </c>
      <c r="HV3747" s="5" t="s">
        <v>238</v>
      </c>
      <c r="HW3747" s="5" t="s">
        <v>238</v>
      </c>
      <c r="HX3747" s="5" t="s">
        <v>238</v>
      </c>
      <c r="HY3747" s="5" t="s">
        <v>238</v>
      </c>
      <c r="HZ3747" s="5" t="s">
        <v>238</v>
      </c>
      <c r="IA3747" s="5" t="s">
        <v>238</v>
      </c>
      <c r="IB3747" s="5" t="s">
        <v>238</v>
      </c>
      <c r="IC3747" s="5" t="s">
        <v>238</v>
      </c>
      <c r="ID3747" s="5" t="s">
        <v>238</v>
      </c>
    </row>
    <row r="3748" spans="1:238" x14ac:dyDescent="0.4">
      <c r="A3748" s="5">
        <v>9466</v>
      </c>
      <c r="B3748" s="5">
        <v>1</v>
      </c>
      <c r="C3748" s="5">
        <v>1</v>
      </c>
      <c r="D3748" s="5" t="s">
        <v>484</v>
      </c>
      <c r="E3748" s="5" t="s">
        <v>485</v>
      </c>
      <c r="F3748" s="5" t="s">
        <v>248</v>
      </c>
      <c r="G3748" s="5" t="s">
        <v>5484</v>
      </c>
      <c r="H3748" s="6" t="s">
        <v>5486</v>
      </c>
      <c r="I3748" s="8">
        <f>1</f>
        <v>1</v>
      </c>
      <c r="J3748" s="5" t="s">
        <v>499</v>
      </c>
      <c r="K3748" s="8">
        <f>1</f>
        <v>1</v>
      </c>
      <c r="L3748" s="6" t="s">
        <v>242</v>
      </c>
      <c r="M3748" s="5" t="s">
        <v>267</v>
      </c>
      <c r="N3748" s="5" t="s">
        <v>482</v>
      </c>
      <c r="O3748" s="5" t="s">
        <v>238</v>
      </c>
      <c r="P3748" s="5" t="s">
        <v>238</v>
      </c>
      <c r="Q3748" s="5" t="s">
        <v>239</v>
      </c>
      <c r="R3748" s="5" t="s">
        <v>270</v>
      </c>
      <c r="S3748" s="5" t="s">
        <v>238</v>
      </c>
      <c r="T3748" s="5" t="s">
        <v>238</v>
      </c>
      <c r="U3748" s="5" t="s">
        <v>238</v>
      </c>
      <c r="V3748" s="5" t="s">
        <v>238</v>
      </c>
      <c r="W3748" s="6" t="s">
        <v>238</v>
      </c>
      <c r="X3748" s="6" t="s">
        <v>238</v>
      </c>
      <c r="Y3748" s="5" t="s">
        <v>238</v>
      </c>
      <c r="Z3748" s="6" t="s">
        <v>238</v>
      </c>
      <c r="AA3748" s="6" t="s">
        <v>243</v>
      </c>
      <c r="AB3748" s="5" t="s">
        <v>5485</v>
      </c>
      <c r="AC3748" s="5" t="s">
        <v>244</v>
      </c>
      <c r="AD3748" s="5" t="s">
        <v>245</v>
      </c>
      <c r="AE3748" s="5" t="s">
        <v>238</v>
      </c>
      <c r="AF3748" s="5" t="s">
        <v>238</v>
      </c>
      <c r="AG3748" s="5" t="s">
        <v>238</v>
      </c>
      <c r="AH3748" s="5" t="s">
        <v>238</v>
      </c>
      <c r="AI3748" s="5" t="s">
        <v>238</v>
      </c>
      <c r="AJ3748" s="5" t="s">
        <v>238</v>
      </c>
      <c r="AK3748" s="5" t="s">
        <v>238</v>
      </c>
      <c r="AL3748" s="5" t="s">
        <v>238</v>
      </c>
      <c r="AM3748" s="6" t="s">
        <v>238</v>
      </c>
      <c r="AN3748" s="6" t="s">
        <v>238</v>
      </c>
      <c r="AO3748" s="6" t="s">
        <v>238</v>
      </c>
      <c r="AP3748" s="6" t="s">
        <v>238</v>
      </c>
      <c r="AQ3748" s="5" t="s">
        <v>238</v>
      </c>
      <c r="AR3748" s="5" t="s">
        <v>488</v>
      </c>
      <c r="AS3748" s="5" t="s">
        <v>488</v>
      </c>
      <c r="AT3748" s="5" t="s">
        <v>246</v>
      </c>
      <c r="AU3748" s="5" t="s">
        <v>489</v>
      </c>
      <c r="AV3748" s="5" t="s">
        <v>247</v>
      </c>
      <c r="AW3748" s="5" t="s">
        <v>600</v>
      </c>
      <c r="AX3748" s="5" t="s">
        <v>249</v>
      </c>
      <c r="AY3748" s="5" t="s">
        <v>490</v>
      </c>
      <c r="BA3748" s="5" t="s">
        <v>238</v>
      </c>
      <c r="BC3748" s="5" t="s">
        <v>491</v>
      </c>
      <c r="BD3748" s="6" t="s">
        <v>492</v>
      </c>
      <c r="BE3748" s="5" t="s">
        <v>493</v>
      </c>
      <c r="BF3748" s="5" t="s">
        <v>493</v>
      </c>
      <c r="BG3748" s="5" t="s">
        <v>238</v>
      </c>
      <c r="BH3748" s="8">
        <f>1</f>
        <v>1</v>
      </c>
      <c r="BI3748" s="8">
        <f>1</f>
        <v>1</v>
      </c>
      <c r="BJ3748" s="5" t="s">
        <v>253</v>
      </c>
      <c r="BK3748" s="5" t="s">
        <v>254</v>
      </c>
      <c r="BL3748" s="5" t="s">
        <v>238</v>
      </c>
      <c r="BM3748" s="5" t="s">
        <v>238</v>
      </c>
      <c r="BN3748" s="5" t="s">
        <v>238</v>
      </c>
      <c r="BO3748" s="5" t="s">
        <v>238</v>
      </c>
      <c r="BP3748" s="5" t="s">
        <v>238</v>
      </c>
      <c r="BQ3748" s="5" t="s">
        <v>238</v>
      </c>
      <c r="BR3748" s="5" t="s">
        <v>238</v>
      </c>
      <c r="BS3748" s="5" t="s">
        <v>238</v>
      </c>
      <c r="BT3748" s="6" t="s">
        <v>238</v>
      </c>
      <c r="BU3748" s="5" t="s">
        <v>238</v>
      </c>
      <c r="BV3748" s="5" t="s">
        <v>238</v>
      </c>
      <c r="BW3748" s="5" t="s">
        <v>238</v>
      </c>
      <c r="BX3748" s="5" t="s">
        <v>254</v>
      </c>
      <c r="BY3748" s="5" t="s">
        <v>238</v>
      </c>
      <c r="BZ3748" s="5" t="s">
        <v>238</v>
      </c>
      <c r="CA3748" s="5" t="s">
        <v>238</v>
      </c>
      <c r="CB3748" s="5" t="s">
        <v>238</v>
      </c>
      <c r="CC3748" s="5" t="s">
        <v>238</v>
      </c>
      <c r="CD3748" s="5" t="s">
        <v>273</v>
      </c>
      <c r="CE3748" s="5" t="s">
        <v>256</v>
      </c>
      <c r="CF3748" s="5" t="s">
        <v>261</v>
      </c>
      <c r="CH3748" s="5" t="s">
        <v>494</v>
      </c>
      <c r="CI3748" s="6" t="s">
        <v>257</v>
      </c>
      <c r="CJ3748" s="5" t="s">
        <v>495</v>
      </c>
      <c r="CK3748" s="5" t="s">
        <v>258</v>
      </c>
      <c r="CL3748" s="5" t="s">
        <v>496</v>
      </c>
      <c r="CM3748" s="5" t="s">
        <v>238</v>
      </c>
      <c r="CN3748" s="5">
        <v>0</v>
      </c>
      <c r="CO3748" s="5" t="s">
        <v>497</v>
      </c>
      <c r="CP3748" s="5" t="s">
        <v>260</v>
      </c>
      <c r="CQ3748" s="5" t="s">
        <v>260</v>
      </c>
      <c r="CR3748" s="5" t="s">
        <v>261</v>
      </c>
      <c r="CS3748" s="5" t="s">
        <v>498</v>
      </c>
      <c r="CT3748" s="7">
        <f>1</f>
        <v>1</v>
      </c>
      <c r="CU3748" s="8">
        <f>1</f>
        <v>1</v>
      </c>
      <c r="CV3748" s="8">
        <f>0</f>
        <v>0</v>
      </c>
      <c r="CX3748" s="8">
        <f>1</f>
        <v>1</v>
      </c>
      <c r="CY3748" s="8">
        <f>1</f>
        <v>1</v>
      </c>
      <c r="CZ3748" s="8" t="s">
        <v>238</v>
      </c>
      <c r="DA3748" s="5" t="s">
        <v>238</v>
      </c>
      <c r="DB3748" s="5" t="s">
        <v>238</v>
      </c>
      <c r="DC3748" s="5" t="s">
        <v>238</v>
      </c>
      <c r="DD3748" s="5" t="s">
        <v>238</v>
      </c>
      <c r="DE3748" s="8">
        <f>0</f>
        <v>0</v>
      </c>
      <c r="DG3748" s="5" t="s">
        <v>238</v>
      </c>
      <c r="DH3748" s="5" t="s">
        <v>238</v>
      </c>
      <c r="DI3748" s="5" t="s">
        <v>238</v>
      </c>
      <c r="DJ3748" s="5" t="s">
        <v>238</v>
      </c>
      <c r="DK3748" s="5" t="s">
        <v>238</v>
      </c>
      <c r="DL3748" s="5" t="s">
        <v>238</v>
      </c>
      <c r="DM3748" s="8" t="s">
        <v>238</v>
      </c>
      <c r="DN3748" s="5" t="s">
        <v>238</v>
      </c>
      <c r="DO3748" s="5" t="s">
        <v>244</v>
      </c>
      <c r="DP3748" s="5" t="s">
        <v>490</v>
      </c>
      <c r="DQ3748" s="5" t="s">
        <v>490</v>
      </c>
      <c r="DR3748" s="5" t="s">
        <v>238</v>
      </c>
      <c r="DS3748" s="5" t="s">
        <v>238</v>
      </c>
      <c r="DT3748" s="5" t="s">
        <v>601</v>
      </c>
      <c r="DU3748" s="5" t="s">
        <v>1376</v>
      </c>
      <c r="DV3748" s="5" t="s">
        <v>238</v>
      </c>
      <c r="DW3748" s="5" t="s">
        <v>238</v>
      </c>
      <c r="DX3748" s="5" t="s">
        <v>238</v>
      </c>
      <c r="DY3748" s="5" t="s">
        <v>238</v>
      </c>
      <c r="DZ3748" s="5" t="s">
        <v>238</v>
      </c>
      <c r="EA3748" s="5" t="s">
        <v>238</v>
      </c>
      <c r="EB3748" s="5" t="s">
        <v>238</v>
      </c>
      <c r="EC3748" s="5" t="s">
        <v>238</v>
      </c>
      <c r="ED3748" s="5" t="s">
        <v>238</v>
      </c>
      <c r="EE3748" s="5" t="s">
        <v>238</v>
      </c>
      <c r="EF3748" s="5" t="s">
        <v>238</v>
      </c>
      <c r="EG3748" s="5" t="s">
        <v>238</v>
      </c>
      <c r="EH3748" s="5" t="s">
        <v>238</v>
      </c>
      <c r="EI3748" s="5" t="s">
        <v>238</v>
      </c>
      <c r="EJ3748" s="5" t="s">
        <v>238</v>
      </c>
      <c r="EK3748" s="5" t="s">
        <v>238</v>
      </c>
      <c r="EL3748" s="5" t="s">
        <v>238</v>
      </c>
      <c r="EM3748" s="5" t="s">
        <v>238</v>
      </c>
      <c r="EN3748" s="5" t="s">
        <v>238</v>
      </c>
      <c r="EO3748" s="5" t="s">
        <v>238</v>
      </c>
      <c r="EP3748" s="5" t="s">
        <v>238</v>
      </c>
      <c r="EQ3748" s="5" t="s">
        <v>238</v>
      </c>
      <c r="ER3748" s="5" t="s">
        <v>238</v>
      </c>
      <c r="ES3748" s="5" t="s">
        <v>238</v>
      </c>
      <c r="ET3748" s="5" t="s">
        <v>238</v>
      </c>
      <c r="EU3748" s="5" t="s">
        <v>238</v>
      </c>
      <c r="EV3748" s="5" t="s">
        <v>238</v>
      </c>
      <c r="EW3748" s="5" t="s">
        <v>238</v>
      </c>
      <c r="EX3748" s="5" t="s">
        <v>238</v>
      </c>
      <c r="EY3748" s="5" t="s">
        <v>238</v>
      </c>
      <c r="EZ3748" s="5" t="s">
        <v>238</v>
      </c>
      <c r="FA3748" s="5" t="s">
        <v>238</v>
      </c>
      <c r="FB3748" s="5" t="s">
        <v>238</v>
      </c>
      <c r="FC3748" s="5" t="s">
        <v>238</v>
      </c>
      <c r="FD3748" s="5" t="s">
        <v>238</v>
      </c>
      <c r="FE3748" s="5" t="s">
        <v>238</v>
      </c>
      <c r="FF3748" s="5" t="s">
        <v>238</v>
      </c>
      <c r="FG3748" s="5" t="s">
        <v>238</v>
      </c>
      <c r="FH3748" s="5" t="s">
        <v>238</v>
      </c>
      <c r="FI3748" s="5" t="s">
        <v>238</v>
      </c>
      <c r="FJ3748" s="5" t="s">
        <v>238</v>
      </c>
      <c r="FK3748" s="5" t="s">
        <v>238</v>
      </c>
      <c r="FL3748" s="5" t="s">
        <v>238</v>
      </c>
      <c r="FM3748" s="5" t="s">
        <v>238</v>
      </c>
      <c r="FN3748" s="5" t="s">
        <v>238</v>
      </c>
      <c r="FO3748" s="5" t="s">
        <v>238</v>
      </c>
      <c r="FP3748" s="5" t="s">
        <v>238</v>
      </c>
      <c r="FQ3748" s="5" t="s">
        <v>238</v>
      </c>
      <c r="FR3748" s="5" t="s">
        <v>238</v>
      </c>
      <c r="FS3748" s="5" t="s">
        <v>238</v>
      </c>
      <c r="FT3748" s="5" t="s">
        <v>238</v>
      </c>
      <c r="FU3748" s="5" t="s">
        <v>238</v>
      </c>
      <c r="FV3748" s="5" t="s">
        <v>238</v>
      </c>
      <c r="FW3748" s="5" t="s">
        <v>238</v>
      </c>
      <c r="FX3748" s="5" t="s">
        <v>238</v>
      </c>
      <c r="FY3748" s="5" t="s">
        <v>238</v>
      </c>
      <c r="FZ3748" s="5" t="s">
        <v>238</v>
      </c>
      <c r="GA3748" s="5" t="s">
        <v>238</v>
      </c>
      <c r="GB3748" s="5" t="s">
        <v>238</v>
      </c>
      <c r="GC3748" s="5" t="s">
        <v>238</v>
      </c>
      <c r="GD3748" s="5" t="s">
        <v>238</v>
      </c>
      <c r="GE3748" s="5" t="s">
        <v>238</v>
      </c>
      <c r="GF3748" s="5" t="s">
        <v>238</v>
      </c>
      <c r="GG3748" s="5" t="s">
        <v>238</v>
      </c>
      <c r="GH3748" s="5" t="s">
        <v>238</v>
      </c>
      <c r="GI3748" s="5" t="s">
        <v>238</v>
      </c>
      <c r="GJ3748" s="5" t="s">
        <v>238</v>
      </c>
      <c r="GK3748" s="5" t="s">
        <v>238</v>
      </c>
      <c r="GL3748" s="5" t="s">
        <v>238</v>
      </c>
      <c r="GM3748" s="5" t="s">
        <v>238</v>
      </c>
      <c r="GN3748" s="5" t="s">
        <v>238</v>
      </c>
      <c r="GO3748" s="5" t="s">
        <v>238</v>
      </c>
      <c r="GP3748" s="5" t="s">
        <v>238</v>
      </c>
      <c r="GQ3748" s="5" t="s">
        <v>238</v>
      </c>
      <c r="GR3748" s="5" t="s">
        <v>238</v>
      </c>
      <c r="GS3748" s="5" t="s">
        <v>238</v>
      </c>
      <c r="GT3748" s="5" t="s">
        <v>238</v>
      </c>
      <c r="GU3748" s="5" t="s">
        <v>238</v>
      </c>
      <c r="GV3748" s="5" t="s">
        <v>238</v>
      </c>
      <c r="GW3748" s="5" t="s">
        <v>238</v>
      </c>
      <c r="GX3748" s="5" t="s">
        <v>238</v>
      </c>
      <c r="GY3748" s="5" t="s">
        <v>238</v>
      </c>
      <c r="GZ3748" s="5" t="s">
        <v>238</v>
      </c>
      <c r="HA3748" s="5" t="s">
        <v>238</v>
      </c>
      <c r="HB3748" s="5" t="s">
        <v>238</v>
      </c>
      <c r="HC3748" s="5" t="s">
        <v>238</v>
      </c>
      <c r="HD3748" s="5" t="s">
        <v>238</v>
      </c>
      <c r="HE3748" s="5" t="s">
        <v>238</v>
      </c>
      <c r="HF3748" s="5" t="s">
        <v>238</v>
      </c>
      <c r="HG3748" s="5" t="s">
        <v>238</v>
      </c>
      <c r="HH3748" s="5" t="s">
        <v>238</v>
      </c>
      <c r="HI3748" s="5" t="s">
        <v>238</v>
      </c>
      <c r="HJ3748" s="5" t="s">
        <v>238</v>
      </c>
      <c r="HK3748" s="5" t="s">
        <v>238</v>
      </c>
      <c r="HL3748" s="5" t="s">
        <v>238</v>
      </c>
      <c r="HM3748" s="5" t="s">
        <v>238</v>
      </c>
      <c r="HN3748" s="5" t="s">
        <v>238</v>
      </c>
      <c r="HO3748" s="5" t="s">
        <v>238</v>
      </c>
      <c r="HP3748" s="5" t="s">
        <v>238</v>
      </c>
      <c r="HQ3748" s="5" t="s">
        <v>238</v>
      </c>
      <c r="HR3748" s="5" t="s">
        <v>238</v>
      </c>
      <c r="HS3748" s="5" t="s">
        <v>238</v>
      </c>
      <c r="HT3748" s="5" t="s">
        <v>238</v>
      </c>
      <c r="HU3748" s="5" t="s">
        <v>238</v>
      </c>
      <c r="HV3748" s="5" t="s">
        <v>238</v>
      </c>
      <c r="HW3748" s="5" t="s">
        <v>238</v>
      </c>
      <c r="HX3748" s="5" t="s">
        <v>238</v>
      </c>
      <c r="HY3748" s="5" t="s">
        <v>238</v>
      </c>
      <c r="HZ3748" s="5" t="s">
        <v>238</v>
      </c>
      <c r="IA3748" s="5" t="s">
        <v>238</v>
      </c>
      <c r="IB3748" s="5" t="s">
        <v>238</v>
      </c>
      <c r="IC3748" s="5" t="s">
        <v>238</v>
      </c>
      <c r="ID3748" s="5" t="s">
        <v>238</v>
      </c>
    </row>
    <row r="3749" spans="1:238" x14ac:dyDescent="0.4">
      <c r="A3749" s="5">
        <v>9467</v>
      </c>
      <c r="B3749" s="5">
        <v>1</v>
      </c>
      <c r="C3749" s="5">
        <v>1</v>
      </c>
      <c r="D3749" s="5" t="s">
        <v>484</v>
      </c>
      <c r="E3749" s="5" t="s">
        <v>485</v>
      </c>
      <c r="F3749" s="5" t="s">
        <v>248</v>
      </c>
      <c r="G3749" s="5" t="s">
        <v>5588</v>
      </c>
      <c r="H3749" s="6" t="s">
        <v>5589</v>
      </c>
      <c r="I3749" s="8">
        <f>1</f>
        <v>1</v>
      </c>
      <c r="J3749" s="5" t="s">
        <v>499</v>
      </c>
      <c r="K3749" s="8">
        <f>1</f>
        <v>1</v>
      </c>
      <c r="L3749" s="6" t="s">
        <v>242</v>
      </c>
      <c r="M3749" s="5" t="s">
        <v>267</v>
      </c>
      <c r="N3749" s="5" t="s">
        <v>482</v>
      </c>
      <c r="O3749" s="5" t="s">
        <v>238</v>
      </c>
      <c r="P3749" s="5" t="s">
        <v>238</v>
      </c>
      <c r="Q3749" s="5" t="s">
        <v>239</v>
      </c>
      <c r="R3749" s="5" t="s">
        <v>270</v>
      </c>
      <c r="S3749" s="5" t="s">
        <v>238</v>
      </c>
      <c r="T3749" s="5" t="s">
        <v>238</v>
      </c>
      <c r="U3749" s="5" t="s">
        <v>238</v>
      </c>
      <c r="V3749" s="5" t="s">
        <v>238</v>
      </c>
      <c r="W3749" s="6" t="s">
        <v>238</v>
      </c>
      <c r="X3749" s="6" t="s">
        <v>238</v>
      </c>
      <c r="Y3749" s="5" t="s">
        <v>238</v>
      </c>
      <c r="Z3749" s="6" t="s">
        <v>238</v>
      </c>
      <c r="AA3749" s="6" t="s">
        <v>243</v>
      </c>
      <c r="AB3749" s="5" t="s">
        <v>598</v>
      </c>
      <c r="AC3749" s="5" t="s">
        <v>244</v>
      </c>
      <c r="AD3749" s="5" t="s">
        <v>245</v>
      </c>
      <c r="AE3749" s="5" t="s">
        <v>238</v>
      </c>
      <c r="AF3749" s="5" t="s">
        <v>238</v>
      </c>
      <c r="AG3749" s="5" t="s">
        <v>238</v>
      </c>
      <c r="AH3749" s="5" t="s">
        <v>238</v>
      </c>
      <c r="AI3749" s="5" t="s">
        <v>238</v>
      </c>
      <c r="AJ3749" s="5" t="s">
        <v>238</v>
      </c>
      <c r="AK3749" s="5" t="s">
        <v>238</v>
      </c>
      <c r="AL3749" s="5" t="s">
        <v>238</v>
      </c>
      <c r="AM3749" s="6" t="s">
        <v>238</v>
      </c>
      <c r="AN3749" s="6" t="s">
        <v>238</v>
      </c>
      <c r="AO3749" s="6" t="s">
        <v>238</v>
      </c>
      <c r="AP3749" s="6" t="s">
        <v>238</v>
      </c>
      <c r="AQ3749" s="5" t="s">
        <v>238</v>
      </c>
      <c r="AR3749" s="5" t="s">
        <v>488</v>
      </c>
      <c r="AS3749" s="5" t="s">
        <v>488</v>
      </c>
      <c r="AT3749" s="5" t="s">
        <v>246</v>
      </c>
      <c r="AU3749" s="5" t="s">
        <v>489</v>
      </c>
      <c r="AV3749" s="5" t="s">
        <v>247</v>
      </c>
      <c r="AW3749" s="5" t="s">
        <v>600</v>
      </c>
      <c r="AX3749" s="5" t="s">
        <v>249</v>
      </c>
      <c r="AY3749" s="5" t="s">
        <v>490</v>
      </c>
      <c r="BA3749" s="5" t="s">
        <v>238</v>
      </c>
      <c r="BC3749" s="5" t="s">
        <v>491</v>
      </c>
      <c r="BD3749" s="6" t="s">
        <v>492</v>
      </c>
      <c r="BE3749" s="5" t="s">
        <v>493</v>
      </c>
      <c r="BF3749" s="5" t="s">
        <v>493</v>
      </c>
      <c r="BG3749" s="5" t="s">
        <v>238</v>
      </c>
      <c r="BH3749" s="8">
        <f>1</f>
        <v>1</v>
      </c>
      <c r="BI3749" s="8">
        <f>1</f>
        <v>1</v>
      </c>
      <c r="BJ3749" s="5" t="s">
        <v>253</v>
      </c>
      <c r="BK3749" s="5" t="s">
        <v>254</v>
      </c>
      <c r="BL3749" s="5" t="s">
        <v>238</v>
      </c>
      <c r="BM3749" s="5" t="s">
        <v>238</v>
      </c>
      <c r="BN3749" s="5" t="s">
        <v>238</v>
      </c>
      <c r="BO3749" s="5" t="s">
        <v>238</v>
      </c>
      <c r="BP3749" s="5" t="s">
        <v>238</v>
      </c>
      <c r="BQ3749" s="5" t="s">
        <v>238</v>
      </c>
      <c r="BR3749" s="5" t="s">
        <v>238</v>
      </c>
      <c r="BS3749" s="5" t="s">
        <v>238</v>
      </c>
      <c r="BT3749" s="6" t="s">
        <v>238</v>
      </c>
      <c r="BU3749" s="5" t="s">
        <v>238</v>
      </c>
      <c r="BV3749" s="5" t="s">
        <v>238</v>
      </c>
      <c r="BW3749" s="5" t="s">
        <v>238</v>
      </c>
      <c r="BX3749" s="5" t="s">
        <v>254</v>
      </c>
      <c r="BY3749" s="5" t="s">
        <v>238</v>
      </c>
      <c r="BZ3749" s="5" t="s">
        <v>238</v>
      </c>
      <c r="CA3749" s="5" t="s">
        <v>238</v>
      </c>
      <c r="CB3749" s="5" t="s">
        <v>238</v>
      </c>
      <c r="CC3749" s="5" t="s">
        <v>238</v>
      </c>
      <c r="CD3749" s="5" t="s">
        <v>273</v>
      </c>
      <c r="CE3749" s="5" t="s">
        <v>256</v>
      </c>
      <c r="CF3749" s="5" t="s">
        <v>261</v>
      </c>
      <c r="CH3749" s="5" t="s">
        <v>494</v>
      </c>
      <c r="CI3749" s="6" t="s">
        <v>257</v>
      </c>
      <c r="CJ3749" s="5" t="s">
        <v>495</v>
      </c>
      <c r="CK3749" s="5" t="s">
        <v>258</v>
      </c>
      <c r="CL3749" s="5" t="s">
        <v>496</v>
      </c>
      <c r="CM3749" s="5" t="s">
        <v>238</v>
      </c>
      <c r="CN3749" s="5">
        <v>0</v>
      </c>
      <c r="CO3749" s="5" t="s">
        <v>497</v>
      </c>
      <c r="CP3749" s="5" t="s">
        <v>260</v>
      </c>
      <c r="CQ3749" s="5" t="s">
        <v>260</v>
      </c>
      <c r="CR3749" s="5" t="s">
        <v>261</v>
      </c>
      <c r="CS3749" s="5" t="s">
        <v>498</v>
      </c>
      <c r="CT3749" s="7">
        <f>1</f>
        <v>1</v>
      </c>
      <c r="CU3749" s="8">
        <f>1</f>
        <v>1</v>
      </c>
      <c r="CV3749" s="8">
        <f>0</f>
        <v>0</v>
      </c>
      <c r="CX3749" s="8">
        <f>1</f>
        <v>1</v>
      </c>
      <c r="CY3749" s="8">
        <f>1</f>
        <v>1</v>
      </c>
      <c r="CZ3749" s="8" t="s">
        <v>238</v>
      </c>
      <c r="DA3749" s="5" t="s">
        <v>238</v>
      </c>
      <c r="DB3749" s="5" t="s">
        <v>238</v>
      </c>
      <c r="DC3749" s="5" t="s">
        <v>238</v>
      </c>
      <c r="DD3749" s="5" t="s">
        <v>238</v>
      </c>
      <c r="DE3749" s="8">
        <f>0</f>
        <v>0</v>
      </c>
      <c r="DG3749" s="5" t="s">
        <v>238</v>
      </c>
      <c r="DH3749" s="5" t="s">
        <v>238</v>
      </c>
      <c r="DI3749" s="5" t="s">
        <v>238</v>
      </c>
      <c r="DJ3749" s="5" t="s">
        <v>238</v>
      </c>
      <c r="DK3749" s="5" t="s">
        <v>238</v>
      </c>
      <c r="DL3749" s="5" t="s">
        <v>238</v>
      </c>
      <c r="DM3749" s="8" t="s">
        <v>238</v>
      </c>
      <c r="DN3749" s="5" t="s">
        <v>238</v>
      </c>
      <c r="DO3749" s="5" t="s">
        <v>244</v>
      </c>
      <c r="DP3749" s="5" t="s">
        <v>490</v>
      </c>
      <c r="DQ3749" s="5" t="s">
        <v>490</v>
      </c>
      <c r="DR3749" s="5" t="s">
        <v>238</v>
      </c>
      <c r="DS3749" s="5" t="s">
        <v>238</v>
      </c>
      <c r="DT3749" s="5" t="s">
        <v>601</v>
      </c>
      <c r="DU3749" s="5" t="s">
        <v>1372</v>
      </c>
      <c r="DV3749" s="5" t="s">
        <v>238</v>
      </c>
      <c r="DW3749" s="5" t="s">
        <v>238</v>
      </c>
      <c r="DX3749" s="5" t="s">
        <v>238</v>
      </c>
      <c r="DY3749" s="5" t="s">
        <v>238</v>
      </c>
      <c r="DZ3749" s="5" t="s">
        <v>238</v>
      </c>
      <c r="EA3749" s="5" t="s">
        <v>238</v>
      </c>
      <c r="EB3749" s="5" t="s">
        <v>238</v>
      </c>
      <c r="EC3749" s="5" t="s">
        <v>238</v>
      </c>
      <c r="ED3749" s="5" t="s">
        <v>238</v>
      </c>
      <c r="EE3749" s="5" t="s">
        <v>238</v>
      </c>
      <c r="EF3749" s="5" t="s">
        <v>238</v>
      </c>
      <c r="EG3749" s="5" t="s">
        <v>238</v>
      </c>
      <c r="EH3749" s="5" t="s">
        <v>238</v>
      </c>
      <c r="EI3749" s="5" t="s">
        <v>238</v>
      </c>
      <c r="EJ3749" s="5" t="s">
        <v>238</v>
      </c>
      <c r="EK3749" s="5" t="s">
        <v>238</v>
      </c>
      <c r="EL3749" s="5" t="s">
        <v>238</v>
      </c>
      <c r="EM3749" s="5" t="s">
        <v>238</v>
      </c>
      <c r="EN3749" s="5" t="s">
        <v>238</v>
      </c>
      <c r="EO3749" s="5" t="s">
        <v>238</v>
      </c>
      <c r="EP3749" s="5" t="s">
        <v>238</v>
      </c>
      <c r="EQ3749" s="5" t="s">
        <v>238</v>
      </c>
      <c r="ER3749" s="5" t="s">
        <v>238</v>
      </c>
      <c r="ES3749" s="5" t="s">
        <v>238</v>
      </c>
      <c r="ET3749" s="5" t="s">
        <v>238</v>
      </c>
      <c r="EU3749" s="5" t="s">
        <v>238</v>
      </c>
      <c r="EV3749" s="5" t="s">
        <v>238</v>
      </c>
      <c r="EW3749" s="5" t="s">
        <v>238</v>
      </c>
      <c r="EX3749" s="5" t="s">
        <v>238</v>
      </c>
      <c r="EY3749" s="5" t="s">
        <v>238</v>
      </c>
      <c r="EZ3749" s="5" t="s">
        <v>238</v>
      </c>
      <c r="FA3749" s="5" t="s">
        <v>238</v>
      </c>
      <c r="FB3749" s="5" t="s">
        <v>238</v>
      </c>
      <c r="FC3749" s="5" t="s">
        <v>238</v>
      </c>
      <c r="FD3749" s="5" t="s">
        <v>238</v>
      </c>
      <c r="FE3749" s="5" t="s">
        <v>238</v>
      </c>
      <c r="FF3749" s="5" t="s">
        <v>238</v>
      </c>
      <c r="FG3749" s="5" t="s">
        <v>238</v>
      </c>
      <c r="FH3749" s="5" t="s">
        <v>238</v>
      </c>
      <c r="FI3749" s="5" t="s">
        <v>238</v>
      </c>
      <c r="FJ3749" s="5" t="s">
        <v>238</v>
      </c>
      <c r="FK3749" s="5" t="s">
        <v>238</v>
      </c>
      <c r="FL3749" s="5" t="s">
        <v>238</v>
      </c>
      <c r="FM3749" s="5" t="s">
        <v>238</v>
      </c>
      <c r="FN3749" s="5" t="s">
        <v>238</v>
      </c>
      <c r="FO3749" s="5" t="s">
        <v>238</v>
      </c>
      <c r="FP3749" s="5" t="s">
        <v>238</v>
      </c>
      <c r="FQ3749" s="5" t="s">
        <v>238</v>
      </c>
      <c r="FR3749" s="5" t="s">
        <v>238</v>
      </c>
      <c r="FS3749" s="5" t="s">
        <v>238</v>
      </c>
      <c r="FT3749" s="5" t="s">
        <v>238</v>
      </c>
      <c r="FU3749" s="5" t="s">
        <v>238</v>
      </c>
      <c r="FV3749" s="5" t="s">
        <v>238</v>
      </c>
      <c r="FW3749" s="5" t="s">
        <v>238</v>
      </c>
      <c r="FX3749" s="5" t="s">
        <v>238</v>
      </c>
      <c r="FY3749" s="5" t="s">
        <v>238</v>
      </c>
      <c r="FZ3749" s="5" t="s">
        <v>238</v>
      </c>
      <c r="GA3749" s="5" t="s">
        <v>238</v>
      </c>
      <c r="GB3749" s="5" t="s">
        <v>238</v>
      </c>
      <c r="GC3749" s="5" t="s">
        <v>238</v>
      </c>
      <c r="GD3749" s="5" t="s">
        <v>238</v>
      </c>
      <c r="GE3749" s="5" t="s">
        <v>238</v>
      </c>
      <c r="GF3749" s="5" t="s">
        <v>238</v>
      </c>
      <c r="GG3749" s="5" t="s">
        <v>238</v>
      </c>
      <c r="GH3749" s="5" t="s">
        <v>238</v>
      </c>
      <c r="GI3749" s="5" t="s">
        <v>238</v>
      </c>
      <c r="GJ3749" s="5" t="s">
        <v>238</v>
      </c>
      <c r="GK3749" s="5" t="s">
        <v>238</v>
      </c>
      <c r="GL3749" s="5" t="s">
        <v>238</v>
      </c>
      <c r="GM3749" s="5" t="s">
        <v>238</v>
      </c>
      <c r="GN3749" s="5" t="s">
        <v>238</v>
      </c>
      <c r="GO3749" s="5" t="s">
        <v>238</v>
      </c>
      <c r="GP3749" s="5" t="s">
        <v>238</v>
      </c>
      <c r="GQ3749" s="5" t="s">
        <v>238</v>
      </c>
      <c r="GR3749" s="5" t="s">
        <v>238</v>
      </c>
      <c r="GS3749" s="5" t="s">
        <v>238</v>
      </c>
      <c r="GT3749" s="5" t="s">
        <v>238</v>
      </c>
      <c r="GU3749" s="5" t="s">
        <v>238</v>
      </c>
      <c r="GV3749" s="5" t="s">
        <v>238</v>
      </c>
      <c r="GW3749" s="5" t="s">
        <v>238</v>
      </c>
      <c r="GX3749" s="5" t="s">
        <v>238</v>
      </c>
      <c r="GY3749" s="5" t="s">
        <v>238</v>
      </c>
      <c r="GZ3749" s="5" t="s">
        <v>238</v>
      </c>
      <c r="HA3749" s="5" t="s">
        <v>238</v>
      </c>
      <c r="HB3749" s="5" t="s">
        <v>238</v>
      </c>
      <c r="HC3749" s="5" t="s">
        <v>238</v>
      </c>
      <c r="HD3749" s="5" t="s">
        <v>238</v>
      </c>
      <c r="HE3749" s="5" t="s">
        <v>238</v>
      </c>
      <c r="HF3749" s="5" t="s">
        <v>238</v>
      </c>
      <c r="HG3749" s="5" t="s">
        <v>238</v>
      </c>
      <c r="HH3749" s="5" t="s">
        <v>238</v>
      </c>
      <c r="HI3749" s="5" t="s">
        <v>238</v>
      </c>
      <c r="HJ3749" s="5" t="s">
        <v>238</v>
      </c>
      <c r="HK3749" s="5" t="s">
        <v>238</v>
      </c>
      <c r="HL3749" s="5" t="s">
        <v>238</v>
      </c>
      <c r="HM3749" s="5" t="s">
        <v>238</v>
      </c>
      <c r="HN3749" s="5" t="s">
        <v>238</v>
      </c>
      <c r="HO3749" s="5" t="s">
        <v>238</v>
      </c>
      <c r="HP3749" s="5" t="s">
        <v>238</v>
      </c>
      <c r="HQ3749" s="5" t="s">
        <v>238</v>
      </c>
      <c r="HR3749" s="5" t="s">
        <v>238</v>
      </c>
      <c r="HS3749" s="5" t="s">
        <v>238</v>
      </c>
      <c r="HT3749" s="5" t="s">
        <v>238</v>
      </c>
      <c r="HU3749" s="5" t="s">
        <v>238</v>
      </c>
      <c r="HV3749" s="5" t="s">
        <v>238</v>
      </c>
      <c r="HW3749" s="5" t="s">
        <v>238</v>
      </c>
      <c r="HX3749" s="5" t="s">
        <v>238</v>
      </c>
      <c r="HY3749" s="5" t="s">
        <v>238</v>
      </c>
      <c r="HZ3749" s="5" t="s">
        <v>238</v>
      </c>
      <c r="IA3749" s="5" t="s">
        <v>238</v>
      </c>
      <c r="IB3749" s="5" t="s">
        <v>238</v>
      </c>
      <c r="IC3749" s="5" t="s">
        <v>238</v>
      </c>
      <c r="ID3749" s="5" t="s">
        <v>238</v>
      </c>
    </row>
    <row r="3750" spans="1:238" x14ac:dyDescent="0.4">
      <c r="A3750" s="5">
        <v>9468</v>
      </c>
      <c r="B3750" s="5">
        <v>1</v>
      </c>
      <c r="C3750" s="5">
        <v>1</v>
      </c>
      <c r="D3750" s="5" t="s">
        <v>484</v>
      </c>
      <c r="E3750" s="5" t="s">
        <v>485</v>
      </c>
      <c r="F3750" s="5" t="s">
        <v>248</v>
      </c>
      <c r="G3750" s="5" t="s">
        <v>5431</v>
      </c>
      <c r="H3750" s="6" t="s">
        <v>5432</v>
      </c>
      <c r="I3750" s="8">
        <f>1</f>
        <v>1</v>
      </c>
      <c r="J3750" s="5" t="s">
        <v>499</v>
      </c>
      <c r="K3750" s="8">
        <f>1</f>
        <v>1</v>
      </c>
      <c r="L3750" s="6" t="s">
        <v>242</v>
      </c>
      <c r="M3750" s="5" t="s">
        <v>267</v>
      </c>
      <c r="N3750" s="5" t="s">
        <v>482</v>
      </c>
      <c r="O3750" s="5" t="s">
        <v>238</v>
      </c>
      <c r="P3750" s="5" t="s">
        <v>238</v>
      </c>
      <c r="Q3750" s="5" t="s">
        <v>239</v>
      </c>
      <c r="R3750" s="5" t="s">
        <v>270</v>
      </c>
      <c r="S3750" s="5" t="s">
        <v>238</v>
      </c>
      <c r="T3750" s="5" t="s">
        <v>238</v>
      </c>
      <c r="U3750" s="5" t="s">
        <v>238</v>
      </c>
      <c r="V3750" s="5" t="s">
        <v>238</v>
      </c>
      <c r="W3750" s="6" t="s">
        <v>238</v>
      </c>
      <c r="X3750" s="6" t="s">
        <v>238</v>
      </c>
      <c r="Y3750" s="5" t="s">
        <v>238</v>
      </c>
      <c r="Z3750" s="6" t="s">
        <v>238</v>
      </c>
      <c r="AA3750" s="6" t="s">
        <v>243</v>
      </c>
      <c r="AB3750" s="5" t="s">
        <v>598</v>
      </c>
      <c r="AC3750" s="5" t="s">
        <v>244</v>
      </c>
      <c r="AD3750" s="5" t="s">
        <v>245</v>
      </c>
      <c r="AE3750" s="5" t="s">
        <v>238</v>
      </c>
      <c r="AF3750" s="5" t="s">
        <v>238</v>
      </c>
      <c r="AG3750" s="5" t="s">
        <v>238</v>
      </c>
      <c r="AH3750" s="5" t="s">
        <v>238</v>
      </c>
      <c r="AI3750" s="5" t="s">
        <v>238</v>
      </c>
      <c r="AJ3750" s="5" t="s">
        <v>238</v>
      </c>
      <c r="AK3750" s="5" t="s">
        <v>238</v>
      </c>
      <c r="AL3750" s="5" t="s">
        <v>238</v>
      </c>
      <c r="AM3750" s="6" t="s">
        <v>238</v>
      </c>
      <c r="AN3750" s="6" t="s">
        <v>238</v>
      </c>
      <c r="AO3750" s="6" t="s">
        <v>238</v>
      </c>
      <c r="AP3750" s="6" t="s">
        <v>238</v>
      </c>
      <c r="AQ3750" s="5" t="s">
        <v>238</v>
      </c>
      <c r="AR3750" s="5" t="s">
        <v>488</v>
      </c>
      <c r="AS3750" s="5" t="s">
        <v>488</v>
      </c>
      <c r="AT3750" s="5" t="s">
        <v>246</v>
      </c>
      <c r="AU3750" s="5" t="s">
        <v>489</v>
      </c>
      <c r="AV3750" s="5" t="s">
        <v>247</v>
      </c>
      <c r="AW3750" s="5" t="s">
        <v>600</v>
      </c>
      <c r="AX3750" s="5" t="s">
        <v>249</v>
      </c>
      <c r="AY3750" s="5" t="s">
        <v>490</v>
      </c>
      <c r="BA3750" s="5" t="s">
        <v>238</v>
      </c>
      <c r="BC3750" s="5" t="s">
        <v>491</v>
      </c>
      <c r="BD3750" s="6" t="s">
        <v>492</v>
      </c>
      <c r="BE3750" s="5" t="s">
        <v>493</v>
      </c>
      <c r="BF3750" s="5" t="s">
        <v>493</v>
      </c>
      <c r="BG3750" s="5" t="s">
        <v>238</v>
      </c>
      <c r="BH3750" s="8">
        <f>1</f>
        <v>1</v>
      </c>
      <c r="BI3750" s="8">
        <f>1</f>
        <v>1</v>
      </c>
      <c r="BJ3750" s="5" t="s">
        <v>253</v>
      </c>
      <c r="BK3750" s="5" t="s">
        <v>254</v>
      </c>
      <c r="BL3750" s="5" t="s">
        <v>238</v>
      </c>
      <c r="BM3750" s="5" t="s">
        <v>238</v>
      </c>
      <c r="BN3750" s="5" t="s">
        <v>238</v>
      </c>
      <c r="BO3750" s="5" t="s">
        <v>238</v>
      </c>
      <c r="BP3750" s="5" t="s">
        <v>238</v>
      </c>
      <c r="BQ3750" s="5" t="s">
        <v>238</v>
      </c>
      <c r="BR3750" s="5" t="s">
        <v>238</v>
      </c>
      <c r="BS3750" s="5" t="s">
        <v>238</v>
      </c>
      <c r="BT3750" s="6" t="s">
        <v>238</v>
      </c>
      <c r="BU3750" s="5" t="s">
        <v>238</v>
      </c>
      <c r="BV3750" s="5" t="s">
        <v>238</v>
      </c>
      <c r="BW3750" s="5" t="s">
        <v>238</v>
      </c>
      <c r="BX3750" s="5" t="s">
        <v>254</v>
      </c>
      <c r="BY3750" s="5" t="s">
        <v>238</v>
      </c>
      <c r="BZ3750" s="5" t="s">
        <v>238</v>
      </c>
      <c r="CA3750" s="5" t="s">
        <v>238</v>
      </c>
      <c r="CB3750" s="5" t="s">
        <v>238</v>
      </c>
      <c r="CC3750" s="5" t="s">
        <v>238</v>
      </c>
      <c r="CD3750" s="5" t="s">
        <v>273</v>
      </c>
      <c r="CE3750" s="5" t="s">
        <v>256</v>
      </c>
      <c r="CF3750" s="5" t="s">
        <v>261</v>
      </c>
      <c r="CH3750" s="5" t="s">
        <v>494</v>
      </c>
      <c r="CI3750" s="6" t="s">
        <v>257</v>
      </c>
      <c r="CJ3750" s="5" t="s">
        <v>495</v>
      </c>
      <c r="CK3750" s="5" t="s">
        <v>258</v>
      </c>
      <c r="CL3750" s="5" t="s">
        <v>496</v>
      </c>
      <c r="CM3750" s="5" t="s">
        <v>238</v>
      </c>
      <c r="CN3750" s="5">
        <v>0</v>
      </c>
      <c r="CO3750" s="5" t="s">
        <v>497</v>
      </c>
      <c r="CP3750" s="5" t="s">
        <v>260</v>
      </c>
      <c r="CQ3750" s="5" t="s">
        <v>260</v>
      </c>
      <c r="CR3750" s="5" t="s">
        <v>261</v>
      </c>
      <c r="CS3750" s="5" t="s">
        <v>498</v>
      </c>
      <c r="CT3750" s="7">
        <f>1</f>
        <v>1</v>
      </c>
      <c r="CU3750" s="8">
        <f>1</f>
        <v>1</v>
      </c>
      <c r="CV3750" s="8">
        <f>0</f>
        <v>0</v>
      </c>
      <c r="CX3750" s="8">
        <f>1</f>
        <v>1</v>
      </c>
      <c r="CY3750" s="8">
        <f>1</f>
        <v>1</v>
      </c>
      <c r="CZ3750" s="8" t="s">
        <v>238</v>
      </c>
      <c r="DA3750" s="5" t="s">
        <v>238</v>
      </c>
      <c r="DB3750" s="5" t="s">
        <v>238</v>
      </c>
      <c r="DC3750" s="5" t="s">
        <v>238</v>
      </c>
      <c r="DD3750" s="5" t="s">
        <v>238</v>
      </c>
      <c r="DE3750" s="8">
        <f>0</f>
        <v>0</v>
      </c>
      <c r="DG3750" s="5" t="s">
        <v>238</v>
      </c>
      <c r="DH3750" s="5" t="s">
        <v>238</v>
      </c>
      <c r="DI3750" s="5" t="s">
        <v>238</v>
      </c>
      <c r="DJ3750" s="5" t="s">
        <v>238</v>
      </c>
      <c r="DK3750" s="5" t="s">
        <v>238</v>
      </c>
      <c r="DL3750" s="5" t="s">
        <v>238</v>
      </c>
      <c r="DM3750" s="8" t="s">
        <v>238</v>
      </c>
      <c r="DN3750" s="5" t="s">
        <v>238</v>
      </c>
      <c r="DO3750" s="5" t="s">
        <v>244</v>
      </c>
      <c r="DP3750" s="5" t="s">
        <v>490</v>
      </c>
      <c r="DQ3750" s="5" t="s">
        <v>490</v>
      </c>
      <c r="DR3750" s="5" t="s">
        <v>238</v>
      </c>
      <c r="DS3750" s="5" t="s">
        <v>238</v>
      </c>
      <c r="DT3750" s="5" t="s">
        <v>601</v>
      </c>
      <c r="DU3750" s="5" t="s">
        <v>1360</v>
      </c>
      <c r="DV3750" s="5" t="s">
        <v>238</v>
      </c>
      <c r="DW3750" s="5" t="s">
        <v>238</v>
      </c>
      <c r="DX3750" s="5" t="s">
        <v>238</v>
      </c>
      <c r="DY3750" s="5" t="s">
        <v>238</v>
      </c>
      <c r="DZ3750" s="5" t="s">
        <v>238</v>
      </c>
      <c r="EA3750" s="5" t="s">
        <v>238</v>
      </c>
      <c r="EB3750" s="5" t="s">
        <v>238</v>
      </c>
      <c r="EC3750" s="5" t="s">
        <v>238</v>
      </c>
      <c r="ED3750" s="5" t="s">
        <v>238</v>
      </c>
      <c r="EE3750" s="5" t="s">
        <v>238</v>
      </c>
      <c r="EF3750" s="5" t="s">
        <v>238</v>
      </c>
      <c r="EG3750" s="5" t="s">
        <v>238</v>
      </c>
      <c r="EH3750" s="5" t="s">
        <v>238</v>
      </c>
      <c r="EI3750" s="5" t="s">
        <v>238</v>
      </c>
      <c r="EJ3750" s="5" t="s">
        <v>238</v>
      </c>
      <c r="EK3750" s="5" t="s">
        <v>238</v>
      </c>
      <c r="EL3750" s="5" t="s">
        <v>238</v>
      </c>
      <c r="EM3750" s="5" t="s">
        <v>238</v>
      </c>
      <c r="EN3750" s="5" t="s">
        <v>238</v>
      </c>
      <c r="EO3750" s="5" t="s">
        <v>238</v>
      </c>
      <c r="EP3750" s="5" t="s">
        <v>238</v>
      </c>
      <c r="EQ3750" s="5" t="s">
        <v>238</v>
      </c>
      <c r="ER3750" s="5" t="s">
        <v>238</v>
      </c>
      <c r="ES3750" s="5" t="s">
        <v>238</v>
      </c>
      <c r="ET3750" s="5" t="s">
        <v>238</v>
      </c>
      <c r="EU3750" s="5" t="s">
        <v>238</v>
      </c>
      <c r="EV3750" s="5" t="s">
        <v>238</v>
      </c>
      <c r="EW3750" s="5" t="s">
        <v>238</v>
      </c>
      <c r="EX3750" s="5" t="s">
        <v>238</v>
      </c>
      <c r="EY3750" s="5" t="s">
        <v>238</v>
      </c>
      <c r="EZ3750" s="5" t="s">
        <v>238</v>
      </c>
      <c r="FA3750" s="5" t="s">
        <v>238</v>
      </c>
      <c r="FB3750" s="5" t="s">
        <v>238</v>
      </c>
      <c r="FC3750" s="5" t="s">
        <v>238</v>
      </c>
      <c r="FD3750" s="5" t="s">
        <v>238</v>
      </c>
      <c r="FE3750" s="5" t="s">
        <v>238</v>
      </c>
      <c r="FF3750" s="5" t="s">
        <v>238</v>
      </c>
      <c r="FG3750" s="5" t="s">
        <v>238</v>
      </c>
      <c r="FH3750" s="5" t="s">
        <v>238</v>
      </c>
      <c r="FI3750" s="5" t="s">
        <v>238</v>
      </c>
      <c r="FJ3750" s="5" t="s">
        <v>238</v>
      </c>
      <c r="FK3750" s="5" t="s">
        <v>238</v>
      </c>
      <c r="FL3750" s="5" t="s">
        <v>238</v>
      </c>
      <c r="FM3750" s="5" t="s">
        <v>238</v>
      </c>
      <c r="FN3750" s="5" t="s">
        <v>238</v>
      </c>
      <c r="FO3750" s="5" t="s">
        <v>238</v>
      </c>
      <c r="FP3750" s="5" t="s">
        <v>238</v>
      </c>
      <c r="FQ3750" s="5" t="s">
        <v>238</v>
      </c>
      <c r="FR3750" s="5" t="s">
        <v>238</v>
      </c>
      <c r="FS3750" s="5" t="s">
        <v>238</v>
      </c>
      <c r="FT3750" s="5" t="s">
        <v>238</v>
      </c>
      <c r="FU3750" s="5" t="s">
        <v>238</v>
      </c>
      <c r="FV3750" s="5" t="s">
        <v>238</v>
      </c>
      <c r="FW3750" s="5" t="s">
        <v>238</v>
      </c>
      <c r="FX3750" s="5" t="s">
        <v>238</v>
      </c>
      <c r="FY3750" s="5" t="s">
        <v>238</v>
      </c>
      <c r="FZ3750" s="5" t="s">
        <v>238</v>
      </c>
      <c r="GA3750" s="5" t="s">
        <v>238</v>
      </c>
      <c r="GB3750" s="5" t="s">
        <v>238</v>
      </c>
      <c r="GC3750" s="5" t="s">
        <v>238</v>
      </c>
      <c r="GD3750" s="5" t="s">
        <v>238</v>
      </c>
      <c r="GE3750" s="5" t="s">
        <v>238</v>
      </c>
      <c r="GF3750" s="5" t="s">
        <v>238</v>
      </c>
      <c r="GG3750" s="5" t="s">
        <v>238</v>
      </c>
      <c r="GH3750" s="5" t="s">
        <v>238</v>
      </c>
      <c r="GI3750" s="5" t="s">
        <v>238</v>
      </c>
      <c r="GJ3750" s="5" t="s">
        <v>238</v>
      </c>
      <c r="GK3750" s="5" t="s">
        <v>238</v>
      </c>
      <c r="GL3750" s="5" t="s">
        <v>238</v>
      </c>
      <c r="GM3750" s="5" t="s">
        <v>238</v>
      </c>
      <c r="GN3750" s="5" t="s">
        <v>238</v>
      </c>
      <c r="GO3750" s="5" t="s">
        <v>238</v>
      </c>
      <c r="GP3750" s="5" t="s">
        <v>238</v>
      </c>
      <c r="GQ3750" s="5" t="s">
        <v>238</v>
      </c>
      <c r="GR3750" s="5" t="s">
        <v>238</v>
      </c>
      <c r="GS3750" s="5" t="s">
        <v>238</v>
      </c>
      <c r="GT3750" s="5" t="s">
        <v>238</v>
      </c>
      <c r="GU3750" s="5" t="s">
        <v>238</v>
      </c>
      <c r="GV3750" s="5" t="s">
        <v>238</v>
      </c>
      <c r="GW3750" s="5" t="s">
        <v>238</v>
      </c>
      <c r="GX3750" s="5" t="s">
        <v>238</v>
      </c>
      <c r="GY3750" s="5" t="s">
        <v>238</v>
      </c>
      <c r="GZ3750" s="5" t="s">
        <v>238</v>
      </c>
      <c r="HA3750" s="5" t="s">
        <v>238</v>
      </c>
      <c r="HB3750" s="5" t="s">
        <v>238</v>
      </c>
      <c r="HC3750" s="5" t="s">
        <v>238</v>
      </c>
      <c r="HD3750" s="5" t="s">
        <v>238</v>
      </c>
      <c r="HE3750" s="5" t="s">
        <v>238</v>
      </c>
      <c r="HF3750" s="5" t="s">
        <v>238</v>
      </c>
      <c r="HG3750" s="5" t="s">
        <v>238</v>
      </c>
      <c r="HH3750" s="5" t="s">
        <v>238</v>
      </c>
      <c r="HI3750" s="5" t="s">
        <v>238</v>
      </c>
      <c r="HJ3750" s="5" t="s">
        <v>238</v>
      </c>
      <c r="HK3750" s="5" t="s">
        <v>238</v>
      </c>
      <c r="HL3750" s="5" t="s">
        <v>238</v>
      </c>
      <c r="HM3750" s="5" t="s">
        <v>238</v>
      </c>
      <c r="HN3750" s="5" t="s">
        <v>238</v>
      </c>
      <c r="HO3750" s="5" t="s">
        <v>238</v>
      </c>
      <c r="HP3750" s="5" t="s">
        <v>238</v>
      </c>
      <c r="HQ3750" s="5" t="s">
        <v>238</v>
      </c>
      <c r="HR3750" s="5" t="s">
        <v>238</v>
      </c>
      <c r="HS3750" s="5" t="s">
        <v>238</v>
      </c>
      <c r="HT3750" s="5" t="s">
        <v>238</v>
      </c>
      <c r="HU3750" s="5" t="s">
        <v>238</v>
      </c>
      <c r="HV3750" s="5" t="s">
        <v>238</v>
      </c>
      <c r="HW3750" s="5" t="s">
        <v>238</v>
      </c>
      <c r="HX3750" s="5" t="s">
        <v>238</v>
      </c>
      <c r="HY3750" s="5" t="s">
        <v>238</v>
      </c>
      <c r="HZ3750" s="5" t="s">
        <v>238</v>
      </c>
      <c r="IA3750" s="5" t="s">
        <v>238</v>
      </c>
      <c r="IB3750" s="5" t="s">
        <v>238</v>
      </c>
      <c r="IC3750" s="5" t="s">
        <v>238</v>
      </c>
      <c r="ID3750" s="5" t="s">
        <v>238</v>
      </c>
    </row>
    <row r="3751" spans="1:238" x14ac:dyDescent="0.4">
      <c r="A3751" s="5">
        <v>9469</v>
      </c>
      <c r="B3751" s="5">
        <v>1</v>
      </c>
      <c r="C3751" s="5">
        <v>1</v>
      </c>
      <c r="D3751" s="5" t="s">
        <v>484</v>
      </c>
      <c r="E3751" s="5" t="s">
        <v>485</v>
      </c>
      <c r="F3751" s="5" t="s">
        <v>248</v>
      </c>
      <c r="G3751" s="5" t="s">
        <v>5263</v>
      </c>
      <c r="H3751" s="6" t="s">
        <v>5264</v>
      </c>
      <c r="I3751" s="8">
        <f>1</f>
        <v>1</v>
      </c>
      <c r="J3751" s="5" t="s">
        <v>499</v>
      </c>
      <c r="K3751" s="8">
        <f>1</f>
        <v>1</v>
      </c>
      <c r="L3751" s="6" t="s">
        <v>242</v>
      </c>
      <c r="M3751" s="5" t="s">
        <v>267</v>
      </c>
      <c r="N3751" s="5" t="s">
        <v>482</v>
      </c>
      <c r="O3751" s="5" t="s">
        <v>238</v>
      </c>
      <c r="P3751" s="5" t="s">
        <v>238</v>
      </c>
      <c r="Q3751" s="5" t="s">
        <v>239</v>
      </c>
      <c r="R3751" s="5" t="s">
        <v>270</v>
      </c>
      <c r="S3751" s="5" t="s">
        <v>238</v>
      </c>
      <c r="T3751" s="5" t="s">
        <v>238</v>
      </c>
      <c r="U3751" s="5" t="s">
        <v>238</v>
      </c>
      <c r="V3751" s="5" t="s">
        <v>238</v>
      </c>
      <c r="W3751" s="6" t="s">
        <v>238</v>
      </c>
      <c r="X3751" s="6" t="s">
        <v>238</v>
      </c>
      <c r="Y3751" s="5" t="s">
        <v>238</v>
      </c>
      <c r="Z3751" s="6" t="s">
        <v>238</v>
      </c>
      <c r="AA3751" s="6" t="s">
        <v>243</v>
      </c>
      <c r="AB3751" s="5" t="s">
        <v>598</v>
      </c>
      <c r="AC3751" s="5" t="s">
        <v>244</v>
      </c>
      <c r="AD3751" s="5" t="s">
        <v>245</v>
      </c>
      <c r="AE3751" s="5" t="s">
        <v>238</v>
      </c>
      <c r="AF3751" s="5" t="s">
        <v>238</v>
      </c>
      <c r="AG3751" s="5" t="s">
        <v>238</v>
      </c>
      <c r="AH3751" s="5" t="s">
        <v>238</v>
      </c>
      <c r="AI3751" s="5" t="s">
        <v>238</v>
      </c>
      <c r="AJ3751" s="5" t="s">
        <v>238</v>
      </c>
      <c r="AK3751" s="5" t="s">
        <v>238</v>
      </c>
      <c r="AL3751" s="5" t="s">
        <v>238</v>
      </c>
      <c r="AM3751" s="6" t="s">
        <v>238</v>
      </c>
      <c r="AN3751" s="6" t="s">
        <v>238</v>
      </c>
      <c r="AO3751" s="6" t="s">
        <v>238</v>
      </c>
      <c r="AP3751" s="6" t="s">
        <v>238</v>
      </c>
      <c r="AQ3751" s="5" t="s">
        <v>238</v>
      </c>
      <c r="AR3751" s="5" t="s">
        <v>488</v>
      </c>
      <c r="AS3751" s="5" t="s">
        <v>488</v>
      </c>
      <c r="AT3751" s="5" t="s">
        <v>246</v>
      </c>
      <c r="AU3751" s="5" t="s">
        <v>489</v>
      </c>
      <c r="AV3751" s="5" t="s">
        <v>247</v>
      </c>
      <c r="AW3751" s="5" t="s">
        <v>600</v>
      </c>
      <c r="AX3751" s="5" t="s">
        <v>249</v>
      </c>
      <c r="AY3751" s="5" t="s">
        <v>490</v>
      </c>
      <c r="BA3751" s="5" t="s">
        <v>238</v>
      </c>
      <c r="BC3751" s="5" t="s">
        <v>491</v>
      </c>
      <c r="BD3751" s="6" t="s">
        <v>492</v>
      </c>
      <c r="BE3751" s="5" t="s">
        <v>493</v>
      </c>
      <c r="BF3751" s="5" t="s">
        <v>493</v>
      </c>
      <c r="BG3751" s="5" t="s">
        <v>238</v>
      </c>
      <c r="BH3751" s="8">
        <f>1</f>
        <v>1</v>
      </c>
      <c r="BI3751" s="8">
        <f>1</f>
        <v>1</v>
      </c>
      <c r="BJ3751" s="5" t="s">
        <v>253</v>
      </c>
      <c r="BK3751" s="5" t="s">
        <v>254</v>
      </c>
      <c r="BL3751" s="5" t="s">
        <v>238</v>
      </c>
      <c r="BM3751" s="5" t="s">
        <v>238</v>
      </c>
      <c r="BN3751" s="5" t="s">
        <v>238</v>
      </c>
      <c r="BO3751" s="5" t="s">
        <v>238</v>
      </c>
      <c r="BP3751" s="5" t="s">
        <v>238</v>
      </c>
      <c r="BQ3751" s="5" t="s">
        <v>238</v>
      </c>
      <c r="BR3751" s="5" t="s">
        <v>238</v>
      </c>
      <c r="BS3751" s="5" t="s">
        <v>238</v>
      </c>
      <c r="BT3751" s="6" t="s">
        <v>238</v>
      </c>
      <c r="BU3751" s="5" t="s">
        <v>238</v>
      </c>
      <c r="BV3751" s="5" t="s">
        <v>238</v>
      </c>
      <c r="BW3751" s="5" t="s">
        <v>238</v>
      </c>
      <c r="BX3751" s="5" t="s">
        <v>254</v>
      </c>
      <c r="BY3751" s="5" t="s">
        <v>238</v>
      </c>
      <c r="BZ3751" s="5" t="s">
        <v>238</v>
      </c>
      <c r="CA3751" s="5" t="s">
        <v>238</v>
      </c>
      <c r="CB3751" s="5" t="s">
        <v>238</v>
      </c>
      <c r="CC3751" s="5" t="s">
        <v>238</v>
      </c>
      <c r="CD3751" s="5" t="s">
        <v>273</v>
      </c>
      <c r="CE3751" s="5" t="s">
        <v>256</v>
      </c>
      <c r="CF3751" s="5" t="s">
        <v>261</v>
      </c>
      <c r="CH3751" s="5" t="s">
        <v>494</v>
      </c>
      <c r="CI3751" s="6" t="s">
        <v>257</v>
      </c>
      <c r="CJ3751" s="5" t="s">
        <v>495</v>
      </c>
      <c r="CK3751" s="5" t="s">
        <v>258</v>
      </c>
      <c r="CL3751" s="5" t="s">
        <v>496</v>
      </c>
      <c r="CM3751" s="5" t="s">
        <v>238</v>
      </c>
      <c r="CN3751" s="5">
        <v>0</v>
      </c>
      <c r="CO3751" s="5" t="s">
        <v>497</v>
      </c>
      <c r="CP3751" s="5" t="s">
        <v>260</v>
      </c>
      <c r="CQ3751" s="5" t="s">
        <v>260</v>
      </c>
      <c r="CR3751" s="5" t="s">
        <v>261</v>
      </c>
      <c r="CS3751" s="5" t="s">
        <v>498</v>
      </c>
      <c r="CT3751" s="7">
        <f>1</f>
        <v>1</v>
      </c>
      <c r="CU3751" s="8">
        <f>1</f>
        <v>1</v>
      </c>
      <c r="CV3751" s="8">
        <f>0</f>
        <v>0</v>
      </c>
      <c r="CX3751" s="8">
        <f>1</f>
        <v>1</v>
      </c>
      <c r="CY3751" s="8">
        <f>1</f>
        <v>1</v>
      </c>
      <c r="CZ3751" s="8" t="s">
        <v>238</v>
      </c>
      <c r="DA3751" s="5" t="s">
        <v>238</v>
      </c>
      <c r="DB3751" s="5" t="s">
        <v>238</v>
      </c>
      <c r="DC3751" s="5" t="s">
        <v>238</v>
      </c>
      <c r="DD3751" s="5" t="s">
        <v>238</v>
      </c>
      <c r="DE3751" s="8">
        <f>0</f>
        <v>0</v>
      </c>
      <c r="DG3751" s="5" t="s">
        <v>238</v>
      </c>
      <c r="DH3751" s="5" t="s">
        <v>238</v>
      </c>
      <c r="DI3751" s="5" t="s">
        <v>238</v>
      </c>
      <c r="DJ3751" s="5" t="s">
        <v>238</v>
      </c>
      <c r="DK3751" s="5" t="s">
        <v>238</v>
      </c>
      <c r="DL3751" s="5" t="s">
        <v>238</v>
      </c>
      <c r="DM3751" s="8" t="s">
        <v>238</v>
      </c>
      <c r="DN3751" s="5" t="s">
        <v>238</v>
      </c>
      <c r="DO3751" s="5" t="s">
        <v>244</v>
      </c>
      <c r="DP3751" s="5" t="s">
        <v>490</v>
      </c>
      <c r="DQ3751" s="5" t="s">
        <v>490</v>
      </c>
      <c r="DR3751" s="5" t="s">
        <v>238</v>
      </c>
      <c r="DS3751" s="5" t="s">
        <v>238</v>
      </c>
      <c r="DT3751" s="5" t="s">
        <v>601</v>
      </c>
      <c r="DU3751" s="5" t="s">
        <v>1358</v>
      </c>
      <c r="DV3751" s="5" t="s">
        <v>238</v>
      </c>
      <c r="DW3751" s="5" t="s">
        <v>238</v>
      </c>
      <c r="DX3751" s="5" t="s">
        <v>238</v>
      </c>
      <c r="DY3751" s="5" t="s">
        <v>238</v>
      </c>
      <c r="DZ3751" s="5" t="s">
        <v>238</v>
      </c>
      <c r="EA3751" s="5" t="s">
        <v>238</v>
      </c>
      <c r="EB3751" s="5" t="s">
        <v>238</v>
      </c>
      <c r="EC3751" s="5" t="s">
        <v>238</v>
      </c>
      <c r="ED3751" s="5" t="s">
        <v>238</v>
      </c>
      <c r="EE3751" s="5" t="s">
        <v>238</v>
      </c>
      <c r="EF3751" s="5" t="s">
        <v>238</v>
      </c>
      <c r="EG3751" s="5" t="s">
        <v>238</v>
      </c>
      <c r="EH3751" s="5" t="s">
        <v>238</v>
      </c>
      <c r="EI3751" s="5" t="s">
        <v>238</v>
      </c>
      <c r="EJ3751" s="5" t="s">
        <v>238</v>
      </c>
      <c r="EK3751" s="5" t="s">
        <v>238</v>
      </c>
      <c r="EL3751" s="5" t="s">
        <v>238</v>
      </c>
      <c r="EM3751" s="5" t="s">
        <v>238</v>
      </c>
      <c r="EN3751" s="5" t="s">
        <v>238</v>
      </c>
      <c r="EO3751" s="5" t="s">
        <v>238</v>
      </c>
      <c r="EP3751" s="5" t="s">
        <v>238</v>
      </c>
      <c r="EQ3751" s="5" t="s">
        <v>238</v>
      </c>
      <c r="ER3751" s="5" t="s">
        <v>238</v>
      </c>
      <c r="ES3751" s="5" t="s">
        <v>238</v>
      </c>
      <c r="ET3751" s="5" t="s">
        <v>238</v>
      </c>
      <c r="EU3751" s="5" t="s">
        <v>238</v>
      </c>
      <c r="EV3751" s="5" t="s">
        <v>238</v>
      </c>
      <c r="EW3751" s="5" t="s">
        <v>238</v>
      </c>
      <c r="EX3751" s="5" t="s">
        <v>238</v>
      </c>
      <c r="EY3751" s="5" t="s">
        <v>238</v>
      </c>
      <c r="EZ3751" s="5" t="s">
        <v>238</v>
      </c>
      <c r="FA3751" s="5" t="s">
        <v>238</v>
      </c>
      <c r="FB3751" s="5" t="s">
        <v>238</v>
      </c>
      <c r="FC3751" s="5" t="s">
        <v>238</v>
      </c>
      <c r="FD3751" s="5" t="s">
        <v>238</v>
      </c>
      <c r="FE3751" s="5" t="s">
        <v>238</v>
      </c>
      <c r="FF3751" s="5" t="s">
        <v>238</v>
      </c>
      <c r="FG3751" s="5" t="s">
        <v>238</v>
      </c>
      <c r="FH3751" s="5" t="s">
        <v>238</v>
      </c>
      <c r="FI3751" s="5" t="s">
        <v>238</v>
      </c>
      <c r="FJ3751" s="5" t="s">
        <v>238</v>
      </c>
      <c r="FK3751" s="5" t="s">
        <v>238</v>
      </c>
      <c r="FL3751" s="5" t="s">
        <v>238</v>
      </c>
      <c r="FM3751" s="5" t="s">
        <v>238</v>
      </c>
      <c r="FN3751" s="5" t="s">
        <v>238</v>
      </c>
      <c r="FO3751" s="5" t="s">
        <v>238</v>
      </c>
      <c r="FP3751" s="5" t="s">
        <v>238</v>
      </c>
      <c r="FQ3751" s="5" t="s">
        <v>238</v>
      </c>
      <c r="FR3751" s="5" t="s">
        <v>238</v>
      </c>
      <c r="FS3751" s="5" t="s">
        <v>238</v>
      </c>
      <c r="FT3751" s="5" t="s">
        <v>238</v>
      </c>
      <c r="FU3751" s="5" t="s">
        <v>238</v>
      </c>
      <c r="FV3751" s="5" t="s">
        <v>238</v>
      </c>
      <c r="FW3751" s="5" t="s">
        <v>238</v>
      </c>
      <c r="FX3751" s="5" t="s">
        <v>238</v>
      </c>
      <c r="FY3751" s="5" t="s">
        <v>238</v>
      </c>
      <c r="FZ3751" s="5" t="s">
        <v>238</v>
      </c>
      <c r="GA3751" s="5" t="s">
        <v>238</v>
      </c>
      <c r="GB3751" s="5" t="s">
        <v>238</v>
      </c>
      <c r="GC3751" s="5" t="s">
        <v>238</v>
      </c>
      <c r="GD3751" s="5" t="s">
        <v>238</v>
      </c>
      <c r="GE3751" s="5" t="s">
        <v>238</v>
      </c>
      <c r="GF3751" s="5" t="s">
        <v>238</v>
      </c>
      <c r="GG3751" s="5" t="s">
        <v>238</v>
      </c>
      <c r="GH3751" s="5" t="s">
        <v>238</v>
      </c>
      <c r="GI3751" s="5" t="s">
        <v>238</v>
      </c>
      <c r="GJ3751" s="5" t="s">
        <v>238</v>
      </c>
      <c r="GK3751" s="5" t="s">
        <v>238</v>
      </c>
      <c r="GL3751" s="5" t="s">
        <v>238</v>
      </c>
      <c r="GM3751" s="5" t="s">
        <v>238</v>
      </c>
      <c r="GN3751" s="5" t="s">
        <v>238</v>
      </c>
      <c r="GO3751" s="5" t="s">
        <v>238</v>
      </c>
      <c r="GP3751" s="5" t="s">
        <v>238</v>
      </c>
      <c r="GQ3751" s="5" t="s">
        <v>238</v>
      </c>
      <c r="GR3751" s="5" t="s">
        <v>238</v>
      </c>
      <c r="GS3751" s="5" t="s">
        <v>238</v>
      </c>
      <c r="GT3751" s="5" t="s">
        <v>238</v>
      </c>
      <c r="GU3751" s="5" t="s">
        <v>238</v>
      </c>
      <c r="GV3751" s="5" t="s">
        <v>238</v>
      </c>
      <c r="GW3751" s="5" t="s">
        <v>238</v>
      </c>
      <c r="GX3751" s="5" t="s">
        <v>238</v>
      </c>
      <c r="GY3751" s="5" t="s">
        <v>238</v>
      </c>
      <c r="GZ3751" s="5" t="s">
        <v>238</v>
      </c>
      <c r="HA3751" s="5" t="s">
        <v>238</v>
      </c>
      <c r="HB3751" s="5" t="s">
        <v>238</v>
      </c>
      <c r="HC3751" s="5" t="s">
        <v>238</v>
      </c>
      <c r="HD3751" s="5" t="s">
        <v>238</v>
      </c>
      <c r="HE3751" s="5" t="s">
        <v>238</v>
      </c>
      <c r="HF3751" s="5" t="s">
        <v>238</v>
      </c>
      <c r="HG3751" s="5" t="s">
        <v>238</v>
      </c>
      <c r="HH3751" s="5" t="s">
        <v>238</v>
      </c>
      <c r="HI3751" s="5" t="s">
        <v>238</v>
      </c>
      <c r="HJ3751" s="5" t="s">
        <v>238</v>
      </c>
      <c r="HK3751" s="5" t="s">
        <v>238</v>
      </c>
      <c r="HL3751" s="5" t="s">
        <v>238</v>
      </c>
      <c r="HM3751" s="5" t="s">
        <v>238</v>
      </c>
      <c r="HN3751" s="5" t="s">
        <v>238</v>
      </c>
      <c r="HO3751" s="5" t="s">
        <v>238</v>
      </c>
      <c r="HP3751" s="5" t="s">
        <v>238</v>
      </c>
      <c r="HQ3751" s="5" t="s">
        <v>238</v>
      </c>
      <c r="HR3751" s="5" t="s">
        <v>238</v>
      </c>
      <c r="HS3751" s="5" t="s">
        <v>238</v>
      </c>
      <c r="HT3751" s="5" t="s">
        <v>238</v>
      </c>
      <c r="HU3751" s="5" t="s">
        <v>238</v>
      </c>
      <c r="HV3751" s="5" t="s">
        <v>238</v>
      </c>
      <c r="HW3751" s="5" t="s">
        <v>238</v>
      </c>
      <c r="HX3751" s="5" t="s">
        <v>238</v>
      </c>
      <c r="HY3751" s="5" t="s">
        <v>238</v>
      </c>
      <c r="HZ3751" s="5" t="s">
        <v>238</v>
      </c>
      <c r="IA3751" s="5" t="s">
        <v>238</v>
      </c>
      <c r="IB3751" s="5" t="s">
        <v>238</v>
      </c>
      <c r="IC3751" s="5" t="s">
        <v>238</v>
      </c>
      <c r="ID3751" s="5" t="s">
        <v>238</v>
      </c>
    </row>
    <row r="3752" spans="1:238" x14ac:dyDescent="0.4">
      <c r="A3752" s="5">
        <v>9470</v>
      </c>
      <c r="B3752" s="5">
        <v>1</v>
      </c>
      <c r="C3752" s="5">
        <v>1</v>
      </c>
      <c r="D3752" s="5" t="s">
        <v>484</v>
      </c>
      <c r="E3752" s="5" t="s">
        <v>485</v>
      </c>
      <c r="F3752" s="5" t="s">
        <v>248</v>
      </c>
      <c r="G3752" s="5" t="s">
        <v>5504</v>
      </c>
      <c r="H3752" s="6" t="s">
        <v>5505</v>
      </c>
      <c r="I3752" s="8">
        <f>1</f>
        <v>1</v>
      </c>
      <c r="J3752" s="5" t="s">
        <v>499</v>
      </c>
      <c r="K3752" s="8">
        <f>1</f>
        <v>1</v>
      </c>
      <c r="L3752" s="6" t="s">
        <v>242</v>
      </c>
      <c r="M3752" s="5" t="s">
        <v>267</v>
      </c>
      <c r="N3752" s="5" t="s">
        <v>482</v>
      </c>
      <c r="O3752" s="5" t="s">
        <v>238</v>
      </c>
      <c r="P3752" s="5" t="s">
        <v>238</v>
      </c>
      <c r="Q3752" s="5" t="s">
        <v>239</v>
      </c>
      <c r="R3752" s="5" t="s">
        <v>270</v>
      </c>
      <c r="S3752" s="5" t="s">
        <v>238</v>
      </c>
      <c r="T3752" s="5" t="s">
        <v>238</v>
      </c>
      <c r="U3752" s="5" t="s">
        <v>238</v>
      </c>
      <c r="V3752" s="5" t="s">
        <v>238</v>
      </c>
      <c r="W3752" s="6" t="s">
        <v>238</v>
      </c>
      <c r="X3752" s="6" t="s">
        <v>238</v>
      </c>
      <c r="Y3752" s="5" t="s">
        <v>238</v>
      </c>
      <c r="Z3752" s="6" t="s">
        <v>238</v>
      </c>
      <c r="AA3752" s="6" t="s">
        <v>243</v>
      </c>
      <c r="AB3752" s="5" t="s">
        <v>598</v>
      </c>
      <c r="AC3752" s="5" t="s">
        <v>244</v>
      </c>
      <c r="AD3752" s="5" t="s">
        <v>245</v>
      </c>
      <c r="AE3752" s="5" t="s">
        <v>238</v>
      </c>
      <c r="AF3752" s="5" t="s">
        <v>238</v>
      </c>
      <c r="AG3752" s="5" t="s">
        <v>238</v>
      </c>
      <c r="AH3752" s="5" t="s">
        <v>238</v>
      </c>
      <c r="AI3752" s="5" t="s">
        <v>238</v>
      </c>
      <c r="AJ3752" s="5" t="s">
        <v>238</v>
      </c>
      <c r="AK3752" s="5" t="s">
        <v>238</v>
      </c>
      <c r="AL3752" s="5" t="s">
        <v>238</v>
      </c>
      <c r="AM3752" s="6" t="s">
        <v>238</v>
      </c>
      <c r="AN3752" s="6" t="s">
        <v>238</v>
      </c>
      <c r="AO3752" s="6" t="s">
        <v>238</v>
      </c>
      <c r="AP3752" s="6" t="s">
        <v>238</v>
      </c>
      <c r="AQ3752" s="5" t="s">
        <v>238</v>
      </c>
      <c r="AR3752" s="5" t="s">
        <v>488</v>
      </c>
      <c r="AS3752" s="5" t="s">
        <v>488</v>
      </c>
      <c r="AT3752" s="5" t="s">
        <v>246</v>
      </c>
      <c r="AU3752" s="5" t="s">
        <v>489</v>
      </c>
      <c r="AV3752" s="5" t="s">
        <v>247</v>
      </c>
      <c r="AW3752" s="5" t="s">
        <v>600</v>
      </c>
      <c r="AX3752" s="5" t="s">
        <v>249</v>
      </c>
      <c r="AY3752" s="5" t="s">
        <v>490</v>
      </c>
      <c r="BA3752" s="5" t="s">
        <v>238</v>
      </c>
      <c r="BC3752" s="5" t="s">
        <v>491</v>
      </c>
      <c r="BD3752" s="6" t="s">
        <v>492</v>
      </c>
      <c r="BE3752" s="5" t="s">
        <v>493</v>
      </c>
      <c r="BF3752" s="5" t="s">
        <v>493</v>
      </c>
      <c r="BG3752" s="5" t="s">
        <v>238</v>
      </c>
      <c r="BH3752" s="8">
        <f>1</f>
        <v>1</v>
      </c>
      <c r="BI3752" s="8">
        <f>1</f>
        <v>1</v>
      </c>
      <c r="BJ3752" s="5" t="s">
        <v>253</v>
      </c>
      <c r="BK3752" s="5" t="s">
        <v>254</v>
      </c>
      <c r="BL3752" s="5" t="s">
        <v>238</v>
      </c>
      <c r="BM3752" s="5" t="s">
        <v>238</v>
      </c>
      <c r="BN3752" s="5" t="s">
        <v>238</v>
      </c>
      <c r="BO3752" s="5" t="s">
        <v>238</v>
      </c>
      <c r="BP3752" s="5" t="s">
        <v>238</v>
      </c>
      <c r="BQ3752" s="5" t="s">
        <v>238</v>
      </c>
      <c r="BR3752" s="5" t="s">
        <v>238</v>
      </c>
      <c r="BS3752" s="5" t="s">
        <v>238</v>
      </c>
      <c r="BT3752" s="6" t="s">
        <v>238</v>
      </c>
      <c r="BU3752" s="5" t="s">
        <v>238</v>
      </c>
      <c r="BV3752" s="5" t="s">
        <v>238</v>
      </c>
      <c r="BW3752" s="5" t="s">
        <v>238</v>
      </c>
      <c r="BX3752" s="5" t="s">
        <v>254</v>
      </c>
      <c r="BY3752" s="5" t="s">
        <v>238</v>
      </c>
      <c r="BZ3752" s="5" t="s">
        <v>238</v>
      </c>
      <c r="CA3752" s="5" t="s">
        <v>238</v>
      </c>
      <c r="CB3752" s="5" t="s">
        <v>238</v>
      </c>
      <c r="CC3752" s="5" t="s">
        <v>238</v>
      </c>
      <c r="CD3752" s="5" t="s">
        <v>273</v>
      </c>
      <c r="CE3752" s="5" t="s">
        <v>256</v>
      </c>
      <c r="CF3752" s="5" t="s">
        <v>261</v>
      </c>
      <c r="CH3752" s="5" t="s">
        <v>494</v>
      </c>
      <c r="CI3752" s="6" t="s">
        <v>257</v>
      </c>
      <c r="CJ3752" s="5" t="s">
        <v>495</v>
      </c>
      <c r="CK3752" s="5" t="s">
        <v>258</v>
      </c>
      <c r="CL3752" s="5" t="s">
        <v>496</v>
      </c>
      <c r="CM3752" s="5" t="s">
        <v>238</v>
      </c>
      <c r="CN3752" s="5">
        <v>0</v>
      </c>
      <c r="CO3752" s="5" t="s">
        <v>497</v>
      </c>
      <c r="CP3752" s="5" t="s">
        <v>260</v>
      </c>
      <c r="CQ3752" s="5" t="s">
        <v>260</v>
      </c>
      <c r="CR3752" s="5" t="s">
        <v>261</v>
      </c>
      <c r="CS3752" s="5" t="s">
        <v>498</v>
      </c>
      <c r="CT3752" s="7">
        <f>1</f>
        <v>1</v>
      </c>
      <c r="CU3752" s="8">
        <f>1</f>
        <v>1</v>
      </c>
      <c r="CV3752" s="8">
        <f>0</f>
        <v>0</v>
      </c>
      <c r="CX3752" s="8">
        <f>1</f>
        <v>1</v>
      </c>
      <c r="CY3752" s="8">
        <f>1</f>
        <v>1</v>
      </c>
      <c r="CZ3752" s="8" t="s">
        <v>238</v>
      </c>
      <c r="DA3752" s="5" t="s">
        <v>238</v>
      </c>
      <c r="DB3752" s="5" t="s">
        <v>238</v>
      </c>
      <c r="DC3752" s="5" t="s">
        <v>238</v>
      </c>
      <c r="DD3752" s="5" t="s">
        <v>238</v>
      </c>
      <c r="DE3752" s="8">
        <f>0</f>
        <v>0</v>
      </c>
      <c r="DG3752" s="5" t="s">
        <v>238</v>
      </c>
      <c r="DH3752" s="5" t="s">
        <v>238</v>
      </c>
      <c r="DI3752" s="5" t="s">
        <v>238</v>
      </c>
      <c r="DJ3752" s="5" t="s">
        <v>238</v>
      </c>
      <c r="DK3752" s="5" t="s">
        <v>238</v>
      </c>
      <c r="DL3752" s="5" t="s">
        <v>238</v>
      </c>
      <c r="DM3752" s="8" t="s">
        <v>238</v>
      </c>
      <c r="DN3752" s="5" t="s">
        <v>238</v>
      </c>
      <c r="DO3752" s="5" t="s">
        <v>244</v>
      </c>
      <c r="DP3752" s="5" t="s">
        <v>490</v>
      </c>
      <c r="DQ3752" s="5" t="s">
        <v>490</v>
      </c>
      <c r="DR3752" s="5" t="s">
        <v>238</v>
      </c>
      <c r="DS3752" s="5" t="s">
        <v>238</v>
      </c>
      <c r="DT3752" s="5" t="s">
        <v>601</v>
      </c>
      <c r="DU3752" s="5" t="s">
        <v>976</v>
      </c>
      <c r="DV3752" s="5" t="s">
        <v>238</v>
      </c>
      <c r="DW3752" s="5" t="s">
        <v>238</v>
      </c>
      <c r="DX3752" s="5" t="s">
        <v>238</v>
      </c>
      <c r="DY3752" s="5" t="s">
        <v>238</v>
      </c>
      <c r="DZ3752" s="5" t="s">
        <v>238</v>
      </c>
      <c r="EA3752" s="5" t="s">
        <v>238</v>
      </c>
      <c r="EB3752" s="5" t="s">
        <v>238</v>
      </c>
      <c r="EC3752" s="5" t="s">
        <v>238</v>
      </c>
      <c r="ED3752" s="5" t="s">
        <v>238</v>
      </c>
      <c r="EE3752" s="5" t="s">
        <v>238</v>
      </c>
      <c r="EF3752" s="5" t="s">
        <v>238</v>
      </c>
      <c r="EG3752" s="5" t="s">
        <v>238</v>
      </c>
      <c r="EH3752" s="5" t="s">
        <v>238</v>
      </c>
      <c r="EI3752" s="5" t="s">
        <v>238</v>
      </c>
      <c r="EJ3752" s="5" t="s">
        <v>238</v>
      </c>
      <c r="EK3752" s="5" t="s">
        <v>238</v>
      </c>
      <c r="EL3752" s="5" t="s">
        <v>238</v>
      </c>
      <c r="EM3752" s="5" t="s">
        <v>238</v>
      </c>
      <c r="EN3752" s="5" t="s">
        <v>238</v>
      </c>
      <c r="EO3752" s="5" t="s">
        <v>238</v>
      </c>
      <c r="EP3752" s="5" t="s">
        <v>238</v>
      </c>
      <c r="EQ3752" s="5" t="s">
        <v>238</v>
      </c>
      <c r="ER3752" s="5" t="s">
        <v>238</v>
      </c>
      <c r="ES3752" s="5" t="s">
        <v>238</v>
      </c>
      <c r="ET3752" s="5" t="s">
        <v>238</v>
      </c>
      <c r="EU3752" s="5" t="s">
        <v>238</v>
      </c>
      <c r="EV3752" s="5" t="s">
        <v>238</v>
      </c>
      <c r="EW3752" s="5" t="s">
        <v>238</v>
      </c>
      <c r="EX3752" s="5" t="s">
        <v>238</v>
      </c>
      <c r="EY3752" s="5" t="s">
        <v>238</v>
      </c>
      <c r="EZ3752" s="5" t="s">
        <v>238</v>
      </c>
      <c r="FA3752" s="5" t="s">
        <v>238</v>
      </c>
      <c r="FB3752" s="5" t="s">
        <v>238</v>
      </c>
      <c r="FC3752" s="5" t="s">
        <v>238</v>
      </c>
      <c r="FD3752" s="5" t="s">
        <v>238</v>
      </c>
      <c r="FE3752" s="5" t="s">
        <v>238</v>
      </c>
      <c r="FF3752" s="5" t="s">
        <v>238</v>
      </c>
      <c r="FG3752" s="5" t="s">
        <v>238</v>
      </c>
      <c r="FH3752" s="5" t="s">
        <v>238</v>
      </c>
      <c r="FI3752" s="5" t="s">
        <v>238</v>
      </c>
      <c r="FJ3752" s="5" t="s">
        <v>238</v>
      </c>
      <c r="FK3752" s="5" t="s">
        <v>238</v>
      </c>
      <c r="FL3752" s="5" t="s">
        <v>238</v>
      </c>
      <c r="FM3752" s="5" t="s">
        <v>238</v>
      </c>
      <c r="FN3752" s="5" t="s">
        <v>238</v>
      </c>
      <c r="FO3752" s="5" t="s">
        <v>238</v>
      </c>
      <c r="FP3752" s="5" t="s">
        <v>238</v>
      </c>
      <c r="FQ3752" s="5" t="s">
        <v>238</v>
      </c>
      <c r="FR3752" s="5" t="s">
        <v>238</v>
      </c>
      <c r="FS3752" s="5" t="s">
        <v>238</v>
      </c>
      <c r="FT3752" s="5" t="s">
        <v>238</v>
      </c>
      <c r="FU3752" s="5" t="s">
        <v>238</v>
      </c>
      <c r="FV3752" s="5" t="s">
        <v>238</v>
      </c>
      <c r="FW3752" s="5" t="s">
        <v>238</v>
      </c>
      <c r="FX3752" s="5" t="s">
        <v>238</v>
      </c>
      <c r="FY3752" s="5" t="s">
        <v>238</v>
      </c>
      <c r="FZ3752" s="5" t="s">
        <v>238</v>
      </c>
      <c r="GA3752" s="5" t="s">
        <v>238</v>
      </c>
      <c r="GB3752" s="5" t="s">
        <v>238</v>
      </c>
      <c r="GC3752" s="5" t="s">
        <v>238</v>
      </c>
      <c r="GD3752" s="5" t="s">
        <v>238</v>
      </c>
      <c r="GE3752" s="5" t="s">
        <v>238</v>
      </c>
      <c r="GF3752" s="5" t="s">
        <v>238</v>
      </c>
      <c r="GG3752" s="5" t="s">
        <v>238</v>
      </c>
      <c r="GH3752" s="5" t="s">
        <v>238</v>
      </c>
      <c r="GI3752" s="5" t="s">
        <v>238</v>
      </c>
      <c r="GJ3752" s="5" t="s">
        <v>238</v>
      </c>
      <c r="GK3752" s="5" t="s">
        <v>238</v>
      </c>
      <c r="GL3752" s="5" t="s">
        <v>238</v>
      </c>
      <c r="GM3752" s="5" t="s">
        <v>238</v>
      </c>
      <c r="GN3752" s="5" t="s">
        <v>238</v>
      </c>
      <c r="GO3752" s="5" t="s">
        <v>238</v>
      </c>
      <c r="GP3752" s="5" t="s">
        <v>238</v>
      </c>
      <c r="GQ3752" s="5" t="s">
        <v>238</v>
      </c>
      <c r="GR3752" s="5" t="s">
        <v>238</v>
      </c>
      <c r="GS3752" s="5" t="s">
        <v>238</v>
      </c>
      <c r="GT3752" s="5" t="s">
        <v>238</v>
      </c>
      <c r="GU3752" s="5" t="s">
        <v>238</v>
      </c>
      <c r="GV3752" s="5" t="s">
        <v>238</v>
      </c>
      <c r="GW3752" s="5" t="s">
        <v>238</v>
      </c>
      <c r="GX3752" s="5" t="s">
        <v>238</v>
      </c>
      <c r="GY3752" s="5" t="s">
        <v>238</v>
      </c>
      <c r="GZ3752" s="5" t="s">
        <v>238</v>
      </c>
      <c r="HA3752" s="5" t="s">
        <v>238</v>
      </c>
      <c r="HB3752" s="5" t="s">
        <v>238</v>
      </c>
      <c r="HC3752" s="5" t="s">
        <v>238</v>
      </c>
      <c r="HD3752" s="5" t="s">
        <v>238</v>
      </c>
      <c r="HE3752" s="5" t="s">
        <v>238</v>
      </c>
      <c r="HF3752" s="5" t="s">
        <v>238</v>
      </c>
      <c r="HG3752" s="5" t="s">
        <v>238</v>
      </c>
      <c r="HH3752" s="5" t="s">
        <v>238</v>
      </c>
      <c r="HI3752" s="5" t="s">
        <v>238</v>
      </c>
      <c r="HJ3752" s="5" t="s">
        <v>238</v>
      </c>
      <c r="HK3752" s="5" t="s">
        <v>238</v>
      </c>
      <c r="HL3752" s="5" t="s">
        <v>238</v>
      </c>
      <c r="HM3752" s="5" t="s">
        <v>238</v>
      </c>
      <c r="HN3752" s="5" t="s">
        <v>238</v>
      </c>
      <c r="HO3752" s="5" t="s">
        <v>238</v>
      </c>
      <c r="HP3752" s="5" t="s">
        <v>238</v>
      </c>
      <c r="HQ3752" s="5" t="s">
        <v>238</v>
      </c>
      <c r="HR3752" s="5" t="s">
        <v>238</v>
      </c>
      <c r="HS3752" s="5" t="s">
        <v>238</v>
      </c>
      <c r="HT3752" s="5" t="s">
        <v>238</v>
      </c>
      <c r="HU3752" s="5" t="s">
        <v>238</v>
      </c>
      <c r="HV3752" s="5" t="s">
        <v>238</v>
      </c>
      <c r="HW3752" s="5" t="s">
        <v>238</v>
      </c>
      <c r="HX3752" s="5" t="s">
        <v>238</v>
      </c>
      <c r="HY3752" s="5" t="s">
        <v>238</v>
      </c>
      <c r="HZ3752" s="5" t="s">
        <v>238</v>
      </c>
      <c r="IA3752" s="5" t="s">
        <v>238</v>
      </c>
      <c r="IB3752" s="5" t="s">
        <v>238</v>
      </c>
      <c r="IC3752" s="5" t="s">
        <v>238</v>
      </c>
      <c r="ID3752" s="5" t="s">
        <v>238</v>
      </c>
    </row>
    <row r="3753" spans="1:238" x14ac:dyDescent="0.4">
      <c r="A3753" s="5">
        <v>9471</v>
      </c>
      <c r="B3753" s="5">
        <v>1</v>
      </c>
      <c r="C3753" s="5">
        <v>1</v>
      </c>
      <c r="D3753" s="5" t="s">
        <v>484</v>
      </c>
      <c r="E3753" s="5" t="s">
        <v>485</v>
      </c>
      <c r="F3753" s="5" t="s">
        <v>248</v>
      </c>
      <c r="G3753" s="5" t="s">
        <v>4837</v>
      </c>
      <c r="H3753" s="6" t="s">
        <v>4838</v>
      </c>
      <c r="I3753" s="8">
        <f>1</f>
        <v>1</v>
      </c>
      <c r="J3753" s="5" t="s">
        <v>499</v>
      </c>
      <c r="K3753" s="8">
        <f>1</f>
        <v>1</v>
      </c>
      <c r="L3753" s="6" t="s">
        <v>242</v>
      </c>
      <c r="M3753" s="5" t="s">
        <v>267</v>
      </c>
      <c r="N3753" s="5" t="s">
        <v>482</v>
      </c>
      <c r="O3753" s="5" t="s">
        <v>238</v>
      </c>
      <c r="P3753" s="5" t="s">
        <v>238</v>
      </c>
      <c r="Q3753" s="5" t="s">
        <v>239</v>
      </c>
      <c r="R3753" s="5" t="s">
        <v>270</v>
      </c>
      <c r="S3753" s="5" t="s">
        <v>238</v>
      </c>
      <c r="T3753" s="5" t="s">
        <v>238</v>
      </c>
      <c r="U3753" s="5" t="s">
        <v>238</v>
      </c>
      <c r="V3753" s="5" t="s">
        <v>238</v>
      </c>
      <c r="W3753" s="6" t="s">
        <v>238</v>
      </c>
      <c r="X3753" s="6" t="s">
        <v>238</v>
      </c>
      <c r="Y3753" s="5" t="s">
        <v>238</v>
      </c>
      <c r="Z3753" s="6" t="s">
        <v>238</v>
      </c>
      <c r="AA3753" s="6" t="s">
        <v>243</v>
      </c>
      <c r="AB3753" s="5" t="s">
        <v>598</v>
      </c>
      <c r="AC3753" s="5" t="s">
        <v>244</v>
      </c>
      <c r="AD3753" s="5" t="s">
        <v>245</v>
      </c>
      <c r="AE3753" s="5" t="s">
        <v>238</v>
      </c>
      <c r="AF3753" s="5" t="s">
        <v>238</v>
      </c>
      <c r="AG3753" s="5" t="s">
        <v>238</v>
      </c>
      <c r="AH3753" s="5" t="s">
        <v>238</v>
      </c>
      <c r="AI3753" s="5" t="s">
        <v>238</v>
      </c>
      <c r="AJ3753" s="5" t="s">
        <v>238</v>
      </c>
      <c r="AK3753" s="5" t="s">
        <v>238</v>
      </c>
      <c r="AL3753" s="5" t="s">
        <v>238</v>
      </c>
      <c r="AM3753" s="6" t="s">
        <v>238</v>
      </c>
      <c r="AN3753" s="6" t="s">
        <v>238</v>
      </c>
      <c r="AO3753" s="6" t="s">
        <v>238</v>
      </c>
      <c r="AP3753" s="6" t="s">
        <v>238</v>
      </c>
      <c r="AQ3753" s="5" t="s">
        <v>238</v>
      </c>
      <c r="AR3753" s="5" t="s">
        <v>488</v>
      </c>
      <c r="AS3753" s="5" t="s">
        <v>488</v>
      </c>
      <c r="AT3753" s="5" t="s">
        <v>246</v>
      </c>
      <c r="AU3753" s="5" t="s">
        <v>489</v>
      </c>
      <c r="AV3753" s="5" t="s">
        <v>247</v>
      </c>
      <c r="AW3753" s="5" t="s">
        <v>600</v>
      </c>
      <c r="AX3753" s="5" t="s">
        <v>249</v>
      </c>
      <c r="AY3753" s="5" t="s">
        <v>490</v>
      </c>
      <c r="BA3753" s="5" t="s">
        <v>238</v>
      </c>
      <c r="BC3753" s="5" t="s">
        <v>491</v>
      </c>
      <c r="BD3753" s="6" t="s">
        <v>492</v>
      </c>
      <c r="BE3753" s="5" t="s">
        <v>493</v>
      </c>
      <c r="BF3753" s="5" t="s">
        <v>493</v>
      </c>
      <c r="BG3753" s="5" t="s">
        <v>238</v>
      </c>
      <c r="BH3753" s="8">
        <f>1</f>
        <v>1</v>
      </c>
      <c r="BI3753" s="8">
        <f>1</f>
        <v>1</v>
      </c>
      <c r="BJ3753" s="5" t="s">
        <v>253</v>
      </c>
      <c r="BK3753" s="5" t="s">
        <v>254</v>
      </c>
      <c r="BL3753" s="5" t="s">
        <v>238</v>
      </c>
      <c r="BM3753" s="5" t="s">
        <v>238</v>
      </c>
      <c r="BN3753" s="5" t="s">
        <v>238</v>
      </c>
      <c r="BO3753" s="5" t="s">
        <v>238</v>
      </c>
      <c r="BP3753" s="5" t="s">
        <v>238</v>
      </c>
      <c r="BQ3753" s="5" t="s">
        <v>238</v>
      </c>
      <c r="BR3753" s="5" t="s">
        <v>238</v>
      </c>
      <c r="BS3753" s="5" t="s">
        <v>238</v>
      </c>
      <c r="BT3753" s="6" t="s">
        <v>238</v>
      </c>
      <c r="BU3753" s="5" t="s">
        <v>238</v>
      </c>
      <c r="BV3753" s="5" t="s">
        <v>238</v>
      </c>
      <c r="BW3753" s="5" t="s">
        <v>238</v>
      </c>
      <c r="BX3753" s="5" t="s">
        <v>254</v>
      </c>
      <c r="BY3753" s="5" t="s">
        <v>238</v>
      </c>
      <c r="BZ3753" s="5" t="s">
        <v>238</v>
      </c>
      <c r="CA3753" s="5" t="s">
        <v>238</v>
      </c>
      <c r="CB3753" s="5" t="s">
        <v>238</v>
      </c>
      <c r="CC3753" s="5" t="s">
        <v>238</v>
      </c>
      <c r="CD3753" s="5" t="s">
        <v>273</v>
      </c>
      <c r="CE3753" s="5" t="s">
        <v>256</v>
      </c>
      <c r="CF3753" s="5" t="s">
        <v>261</v>
      </c>
      <c r="CH3753" s="5" t="s">
        <v>494</v>
      </c>
      <c r="CI3753" s="6" t="s">
        <v>257</v>
      </c>
      <c r="CJ3753" s="5" t="s">
        <v>495</v>
      </c>
      <c r="CK3753" s="5" t="s">
        <v>258</v>
      </c>
      <c r="CL3753" s="5" t="s">
        <v>496</v>
      </c>
      <c r="CM3753" s="5" t="s">
        <v>238</v>
      </c>
      <c r="CN3753" s="5">
        <v>0</v>
      </c>
      <c r="CO3753" s="5" t="s">
        <v>497</v>
      </c>
      <c r="CP3753" s="5" t="s">
        <v>260</v>
      </c>
      <c r="CQ3753" s="5" t="s">
        <v>260</v>
      </c>
      <c r="CR3753" s="5" t="s">
        <v>261</v>
      </c>
      <c r="CS3753" s="5" t="s">
        <v>498</v>
      </c>
      <c r="CT3753" s="7">
        <f>1</f>
        <v>1</v>
      </c>
      <c r="CU3753" s="8">
        <f>1</f>
        <v>1</v>
      </c>
      <c r="CV3753" s="8">
        <f>0</f>
        <v>0</v>
      </c>
      <c r="CX3753" s="8">
        <f>1</f>
        <v>1</v>
      </c>
      <c r="CY3753" s="8">
        <f>1</f>
        <v>1</v>
      </c>
      <c r="CZ3753" s="8" t="s">
        <v>238</v>
      </c>
      <c r="DA3753" s="5" t="s">
        <v>238</v>
      </c>
      <c r="DB3753" s="5" t="s">
        <v>238</v>
      </c>
      <c r="DC3753" s="5" t="s">
        <v>238</v>
      </c>
      <c r="DD3753" s="5" t="s">
        <v>238</v>
      </c>
      <c r="DE3753" s="8">
        <f>0</f>
        <v>0</v>
      </c>
      <c r="DG3753" s="5" t="s">
        <v>238</v>
      </c>
      <c r="DH3753" s="5" t="s">
        <v>238</v>
      </c>
      <c r="DI3753" s="5" t="s">
        <v>238</v>
      </c>
      <c r="DJ3753" s="5" t="s">
        <v>238</v>
      </c>
      <c r="DK3753" s="5" t="s">
        <v>238</v>
      </c>
      <c r="DL3753" s="5" t="s">
        <v>238</v>
      </c>
      <c r="DM3753" s="8" t="s">
        <v>238</v>
      </c>
      <c r="DN3753" s="5" t="s">
        <v>238</v>
      </c>
      <c r="DO3753" s="5" t="s">
        <v>244</v>
      </c>
      <c r="DP3753" s="5" t="s">
        <v>490</v>
      </c>
      <c r="DQ3753" s="5" t="s">
        <v>490</v>
      </c>
      <c r="DR3753" s="5" t="s">
        <v>238</v>
      </c>
      <c r="DS3753" s="5" t="s">
        <v>238</v>
      </c>
      <c r="DT3753" s="5" t="s">
        <v>601</v>
      </c>
      <c r="DU3753" s="5" t="s">
        <v>1350</v>
      </c>
      <c r="DV3753" s="5" t="s">
        <v>238</v>
      </c>
      <c r="DW3753" s="5" t="s">
        <v>238</v>
      </c>
      <c r="DX3753" s="5" t="s">
        <v>238</v>
      </c>
      <c r="DY3753" s="5" t="s">
        <v>238</v>
      </c>
      <c r="DZ3753" s="5" t="s">
        <v>238</v>
      </c>
      <c r="EA3753" s="5" t="s">
        <v>238</v>
      </c>
      <c r="EB3753" s="5" t="s">
        <v>238</v>
      </c>
      <c r="EC3753" s="5" t="s">
        <v>238</v>
      </c>
      <c r="ED3753" s="5" t="s">
        <v>238</v>
      </c>
      <c r="EE3753" s="5" t="s">
        <v>238</v>
      </c>
      <c r="EF3753" s="5" t="s">
        <v>238</v>
      </c>
      <c r="EG3753" s="5" t="s">
        <v>238</v>
      </c>
      <c r="EH3753" s="5" t="s">
        <v>238</v>
      </c>
      <c r="EI3753" s="5" t="s">
        <v>238</v>
      </c>
      <c r="EJ3753" s="5" t="s">
        <v>238</v>
      </c>
      <c r="EK3753" s="5" t="s">
        <v>238</v>
      </c>
      <c r="EL3753" s="5" t="s">
        <v>238</v>
      </c>
      <c r="EM3753" s="5" t="s">
        <v>238</v>
      </c>
      <c r="EN3753" s="5" t="s">
        <v>238</v>
      </c>
      <c r="EO3753" s="5" t="s">
        <v>238</v>
      </c>
      <c r="EP3753" s="5" t="s">
        <v>238</v>
      </c>
      <c r="EQ3753" s="5" t="s">
        <v>238</v>
      </c>
      <c r="ER3753" s="5" t="s">
        <v>238</v>
      </c>
      <c r="ES3753" s="5" t="s">
        <v>238</v>
      </c>
      <c r="ET3753" s="5" t="s">
        <v>238</v>
      </c>
      <c r="EU3753" s="5" t="s">
        <v>238</v>
      </c>
      <c r="EV3753" s="5" t="s">
        <v>238</v>
      </c>
      <c r="EW3753" s="5" t="s">
        <v>238</v>
      </c>
      <c r="EX3753" s="5" t="s">
        <v>238</v>
      </c>
      <c r="EY3753" s="5" t="s">
        <v>238</v>
      </c>
      <c r="EZ3753" s="5" t="s">
        <v>238</v>
      </c>
      <c r="FA3753" s="5" t="s">
        <v>238</v>
      </c>
      <c r="FB3753" s="5" t="s">
        <v>238</v>
      </c>
      <c r="FC3753" s="5" t="s">
        <v>238</v>
      </c>
      <c r="FD3753" s="5" t="s">
        <v>238</v>
      </c>
      <c r="FE3753" s="5" t="s">
        <v>238</v>
      </c>
      <c r="FF3753" s="5" t="s">
        <v>238</v>
      </c>
      <c r="FG3753" s="5" t="s">
        <v>238</v>
      </c>
      <c r="FH3753" s="5" t="s">
        <v>238</v>
      </c>
      <c r="FI3753" s="5" t="s">
        <v>238</v>
      </c>
      <c r="FJ3753" s="5" t="s">
        <v>238</v>
      </c>
      <c r="FK3753" s="5" t="s">
        <v>238</v>
      </c>
      <c r="FL3753" s="5" t="s">
        <v>238</v>
      </c>
      <c r="FM3753" s="5" t="s">
        <v>238</v>
      </c>
      <c r="FN3753" s="5" t="s">
        <v>238</v>
      </c>
      <c r="FO3753" s="5" t="s">
        <v>238</v>
      </c>
      <c r="FP3753" s="5" t="s">
        <v>238</v>
      </c>
      <c r="FQ3753" s="5" t="s">
        <v>238</v>
      </c>
      <c r="FR3753" s="5" t="s">
        <v>238</v>
      </c>
      <c r="FS3753" s="5" t="s">
        <v>238</v>
      </c>
      <c r="FT3753" s="5" t="s">
        <v>238</v>
      </c>
      <c r="FU3753" s="5" t="s">
        <v>238</v>
      </c>
      <c r="FV3753" s="5" t="s">
        <v>238</v>
      </c>
      <c r="FW3753" s="5" t="s">
        <v>238</v>
      </c>
      <c r="FX3753" s="5" t="s">
        <v>238</v>
      </c>
      <c r="FY3753" s="5" t="s">
        <v>238</v>
      </c>
      <c r="FZ3753" s="5" t="s">
        <v>238</v>
      </c>
      <c r="GA3753" s="5" t="s">
        <v>238</v>
      </c>
      <c r="GB3753" s="5" t="s">
        <v>238</v>
      </c>
      <c r="GC3753" s="5" t="s">
        <v>238</v>
      </c>
      <c r="GD3753" s="5" t="s">
        <v>238</v>
      </c>
      <c r="GE3753" s="5" t="s">
        <v>238</v>
      </c>
      <c r="GF3753" s="5" t="s">
        <v>238</v>
      </c>
      <c r="GG3753" s="5" t="s">
        <v>238</v>
      </c>
      <c r="GH3753" s="5" t="s">
        <v>238</v>
      </c>
      <c r="GI3753" s="5" t="s">
        <v>238</v>
      </c>
      <c r="GJ3753" s="5" t="s">
        <v>238</v>
      </c>
      <c r="GK3753" s="5" t="s">
        <v>238</v>
      </c>
      <c r="GL3753" s="5" t="s">
        <v>238</v>
      </c>
      <c r="GM3753" s="5" t="s">
        <v>238</v>
      </c>
      <c r="GN3753" s="5" t="s">
        <v>238</v>
      </c>
      <c r="GO3753" s="5" t="s">
        <v>238</v>
      </c>
      <c r="GP3753" s="5" t="s">
        <v>238</v>
      </c>
      <c r="GQ3753" s="5" t="s">
        <v>238</v>
      </c>
      <c r="GR3753" s="5" t="s">
        <v>238</v>
      </c>
      <c r="GS3753" s="5" t="s">
        <v>238</v>
      </c>
      <c r="GT3753" s="5" t="s">
        <v>238</v>
      </c>
      <c r="GU3753" s="5" t="s">
        <v>238</v>
      </c>
      <c r="GV3753" s="5" t="s">
        <v>238</v>
      </c>
      <c r="GW3753" s="5" t="s">
        <v>238</v>
      </c>
      <c r="GX3753" s="5" t="s">
        <v>238</v>
      </c>
      <c r="GY3753" s="5" t="s">
        <v>238</v>
      </c>
      <c r="GZ3753" s="5" t="s">
        <v>238</v>
      </c>
      <c r="HA3753" s="5" t="s">
        <v>238</v>
      </c>
      <c r="HB3753" s="5" t="s">
        <v>238</v>
      </c>
      <c r="HC3753" s="5" t="s">
        <v>238</v>
      </c>
      <c r="HD3753" s="5" t="s">
        <v>238</v>
      </c>
      <c r="HE3753" s="5" t="s">
        <v>238</v>
      </c>
      <c r="HF3753" s="5" t="s">
        <v>238</v>
      </c>
      <c r="HG3753" s="5" t="s">
        <v>238</v>
      </c>
      <c r="HH3753" s="5" t="s">
        <v>238</v>
      </c>
      <c r="HI3753" s="5" t="s">
        <v>238</v>
      </c>
      <c r="HJ3753" s="5" t="s">
        <v>238</v>
      </c>
      <c r="HK3753" s="5" t="s">
        <v>238</v>
      </c>
      <c r="HL3753" s="5" t="s">
        <v>238</v>
      </c>
      <c r="HM3753" s="5" t="s">
        <v>238</v>
      </c>
      <c r="HN3753" s="5" t="s">
        <v>238</v>
      </c>
      <c r="HO3753" s="5" t="s">
        <v>238</v>
      </c>
      <c r="HP3753" s="5" t="s">
        <v>238</v>
      </c>
      <c r="HQ3753" s="5" t="s">
        <v>238</v>
      </c>
      <c r="HR3753" s="5" t="s">
        <v>238</v>
      </c>
      <c r="HS3753" s="5" t="s">
        <v>238</v>
      </c>
      <c r="HT3753" s="5" t="s">
        <v>238</v>
      </c>
      <c r="HU3753" s="5" t="s">
        <v>238</v>
      </c>
      <c r="HV3753" s="5" t="s">
        <v>238</v>
      </c>
      <c r="HW3753" s="5" t="s">
        <v>238</v>
      </c>
      <c r="HX3753" s="5" t="s">
        <v>238</v>
      </c>
      <c r="HY3753" s="5" t="s">
        <v>238</v>
      </c>
      <c r="HZ3753" s="5" t="s">
        <v>238</v>
      </c>
      <c r="IA3753" s="5" t="s">
        <v>238</v>
      </c>
      <c r="IB3753" s="5" t="s">
        <v>238</v>
      </c>
      <c r="IC3753" s="5" t="s">
        <v>238</v>
      </c>
      <c r="ID3753" s="5" t="s">
        <v>238</v>
      </c>
    </row>
    <row r="3754" spans="1:238" x14ac:dyDescent="0.4">
      <c r="A3754" s="5">
        <v>9472</v>
      </c>
      <c r="B3754" s="5">
        <v>1</v>
      </c>
      <c r="C3754" s="5">
        <v>1</v>
      </c>
      <c r="D3754" s="5" t="s">
        <v>484</v>
      </c>
      <c r="E3754" s="5" t="s">
        <v>485</v>
      </c>
      <c r="F3754" s="5" t="s">
        <v>248</v>
      </c>
      <c r="G3754" s="5" t="s">
        <v>6436</v>
      </c>
      <c r="H3754" s="6" t="s">
        <v>6437</v>
      </c>
      <c r="I3754" s="8">
        <f>1</f>
        <v>1</v>
      </c>
      <c r="J3754" s="5" t="s">
        <v>499</v>
      </c>
      <c r="K3754" s="8">
        <f>1</f>
        <v>1</v>
      </c>
      <c r="L3754" s="6" t="s">
        <v>242</v>
      </c>
      <c r="M3754" s="5" t="s">
        <v>267</v>
      </c>
      <c r="N3754" s="5" t="s">
        <v>482</v>
      </c>
      <c r="O3754" s="5" t="s">
        <v>238</v>
      </c>
      <c r="P3754" s="5" t="s">
        <v>238</v>
      </c>
      <c r="Q3754" s="5" t="s">
        <v>239</v>
      </c>
      <c r="R3754" s="5" t="s">
        <v>270</v>
      </c>
      <c r="S3754" s="5" t="s">
        <v>238</v>
      </c>
      <c r="T3754" s="5" t="s">
        <v>238</v>
      </c>
      <c r="U3754" s="5" t="s">
        <v>238</v>
      </c>
      <c r="V3754" s="5" t="s">
        <v>238</v>
      </c>
      <c r="W3754" s="6" t="s">
        <v>238</v>
      </c>
      <c r="X3754" s="6" t="s">
        <v>238</v>
      </c>
      <c r="Y3754" s="5" t="s">
        <v>238</v>
      </c>
      <c r="Z3754" s="6" t="s">
        <v>238</v>
      </c>
      <c r="AA3754" s="6" t="s">
        <v>243</v>
      </c>
      <c r="AB3754" s="5" t="s">
        <v>598</v>
      </c>
      <c r="AC3754" s="5" t="s">
        <v>244</v>
      </c>
      <c r="AD3754" s="5" t="s">
        <v>245</v>
      </c>
      <c r="AE3754" s="5" t="s">
        <v>238</v>
      </c>
      <c r="AF3754" s="5" t="s">
        <v>238</v>
      </c>
      <c r="AG3754" s="5" t="s">
        <v>238</v>
      </c>
      <c r="AH3754" s="5" t="s">
        <v>238</v>
      </c>
      <c r="AI3754" s="5" t="s">
        <v>238</v>
      </c>
      <c r="AJ3754" s="5" t="s">
        <v>238</v>
      </c>
      <c r="AK3754" s="5" t="s">
        <v>238</v>
      </c>
      <c r="AL3754" s="5" t="s">
        <v>238</v>
      </c>
      <c r="AM3754" s="6" t="s">
        <v>238</v>
      </c>
      <c r="AN3754" s="6" t="s">
        <v>238</v>
      </c>
      <c r="AO3754" s="6" t="s">
        <v>238</v>
      </c>
      <c r="AP3754" s="6" t="s">
        <v>238</v>
      </c>
      <c r="AQ3754" s="5" t="s">
        <v>238</v>
      </c>
      <c r="AR3754" s="5" t="s">
        <v>488</v>
      </c>
      <c r="AS3754" s="5" t="s">
        <v>488</v>
      </c>
      <c r="AT3754" s="5" t="s">
        <v>246</v>
      </c>
      <c r="AU3754" s="5" t="s">
        <v>489</v>
      </c>
      <c r="AV3754" s="5" t="s">
        <v>247</v>
      </c>
      <c r="AW3754" s="5" t="s">
        <v>600</v>
      </c>
      <c r="AX3754" s="5" t="s">
        <v>249</v>
      </c>
      <c r="AY3754" s="5" t="s">
        <v>490</v>
      </c>
      <c r="BA3754" s="5" t="s">
        <v>238</v>
      </c>
      <c r="BC3754" s="5" t="s">
        <v>491</v>
      </c>
      <c r="BD3754" s="6" t="s">
        <v>492</v>
      </c>
      <c r="BE3754" s="5" t="s">
        <v>493</v>
      </c>
      <c r="BF3754" s="5" t="s">
        <v>493</v>
      </c>
      <c r="BG3754" s="5" t="s">
        <v>238</v>
      </c>
      <c r="BH3754" s="8">
        <f>1</f>
        <v>1</v>
      </c>
      <c r="BI3754" s="8">
        <f>1</f>
        <v>1</v>
      </c>
      <c r="BJ3754" s="5" t="s">
        <v>253</v>
      </c>
      <c r="BK3754" s="5" t="s">
        <v>254</v>
      </c>
      <c r="BL3754" s="5" t="s">
        <v>238</v>
      </c>
      <c r="BM3754" s="5" t="s">
        <v>238</v>
      </c>
      <c r="BN3754" s="5" t="s">
        <v>238</v>
      </c>
      <c r="BO3754" s="5" t="s">
        <v>238</v>
      </c>
      <c r="BP3754" s="5" t="s">
        <v>238</v>
      </c>
      <c r="BQ3754" s="5" t="s">
        <v>238</v>
      </c>
      <c r="BR3754" s="5" t="s">
        <v>238</v>
      </c>
      <c r="BS3754" s="5" t="s">
        <v>238</v>
      </c>
      <c r="BT3754" s="6" t="s">
        <v>238</v>
      </c>
      <c r="BU3754" s="5" t="s">
        <v>238</v>
      </c>
      <c r="BV3754" s="5" t="s">
        <v>238</v>
      </c>
      <c r="BW3754" s="5" t="s">
        <v>238</v>
      </c>
      <c r="BX3754" s="5" t="s">
        <v>254</v>
      </c>
      <c r="BY3754" s="5" t="s">
        <v>238</v>
      </c>
      <c r="BZ3754" s="5" t="s">
        <v>238</v>
      </c>
      <c r="CA3754" s="5" t="s">
        <v>238</v>
      </c>
      <c r="CB3754" s="5" t="s">
        <v>238</v>
      </c>
      <c r="CC3754" s="5" t="s">
        <v>238</v>
      </c>
      <c r="CD3754" s="5" t="s">
        <v>273</v>
      </c>
      <c r="CE3754" s="5" t="s">
        <v>256</v>
      </c>
      <c r="CF3754" s="5" t="s">
        <v>261</v>
      </c>
      <c r="CH3754" s="5" t="s">
        <v>494</v>
      </c>
      <c r="CI3754" s="6" t="s">
        <v>257</v>
      </c>
      <c r="CJ3754" s="5" t="s">
        <v>495</v>
      </c>
      <c r="CK3754" s="5" t="s">
        <v>258</v>
      </c>
      <c r="CL3754" s="5" t="s">
        <v>496</v>
      </c>
      <c r="CM3754" s="5" t="s">
        <v>238</v>
      </c>
      <c r="CN3754" s="5">
        <v>0</v>
      </c>
      <c r="CO3754" s="5" t="s">
        <v>497</v>
      </c>
      <c r="CP3754" s="5" t="s">
        <v>260</v>
      </c>
      <c r="CQ3754" s="5" t="s">
        <v>260</v>
      </c>
      <c r="CR3754" s="5" t="s">
        <v>261</v>
      </c>
      <c r="CS3754" s="5" t="s">
        <v>498</v>
      </c>
      <c r="CT3754" s="7">
        <f>1</f>
        <v>1</v>
      </c>
      <c r="CU3754" s="8">
        <f>1</f>
        <v>1</v>
      </c>
      <c r="CV3754" s="8">
        <f>0</f>
        <v>0</v>
      </c>
      <c r="CX3754" s="8">
        <f>1</f>
        <v>1</v>
      </c>
      <c r="CY3754" s="8">
        <f>1</f>
        <v>1</v>
      </c>
      <c r="CZ3754" s="8" t="s">
        <v>238</v>
      </c>
      <c r="DA3754" s="5" t="s">
        <v>238</v>
      </c>
      <c r="DB3754" s="5" t="s">
        <v>238</v>
      </c>
      <c r="DC3754" s="5" t="s">
        <v>238</v>
      </c>
      <c r="DD3754" s="5" t="s">
        <v>238</v>
      </c>
      <c r="DE3754" s="8">
        <f>0</f>
        <v>0</v>
      </c>
      <c r="DG3754" s="5" t="s">
        <v>238</v>
      </c>
      <c r="DH3754" s="5" t="s">
        <v>238</v>
      </c>
      <c r="DI3754" s="5" t="s">
        <v>238</v>
      </c>
      <c r="DJ3754" s="5" t="s">
        <v>238</v>
      </c>
      <c r="DK3754" s="5" t="s">
        <v>238</v>
      </c>
      <c r="DL3754" s="5" t="s">
        <v>238</v>
      </c>
      <c r="DM3754" s="8" t="s">
        <v>238</v>
      </c>
      <c r="DN3754" s="5" t="s">
        <v>238</v>
      </c>
      <c r="DO3754" s="5" t="s">
        <v>244</v>
      </c>
      <c r="DP3754" s="5" t="s">
        <v>490</v>
      </c>
      <c r="DQ3754" s="5" t="s">
        <v>490</v>
      </c>
      <c r="DR3754" s="5" t="s">
        <v>238</v>
      </c>
      <c r="DS3754" s="5" t="s">
        <v>238</v>
      </c>
      <c r="DT3754" s="5" t="s">
        <v>601</v>
      </c>
      <c r="DU3754" s="5" t="s">
        <v>1346</v>
      </c>
      <c r="DV3754" s="5" t="s">
        <v>238</v>
      </c>
      <c r="DW3754" s="5" t="s">
        <v>238</v>
      </c>
      <c r="DX3754" s="5" t="s">
        <v>238</v>
      </c>
      <c r="DY3754" s="5" t="s">
        <v>238</v>
      </c>
      <c r="DZ3754" s="5" t="s">
        <v>238</v>
      </c>
      <c r="EA3754" s="5" t="s">
        <v>238</v>
      </c>
      <c r="EB3754" s="5" t="s">
        <v>238</v>
      </c>
      <c r="EC3754" s="5" t="s">
        <v>238</v>
      </c>
      <c r="ED3754" s="5" t="s">
        <v>238</v>
      </c>
      <c r="EE3754" s="5" t="s">
        <v>238</v>
      </c>
      <c r="EF3754" s="5" t="s">
        <v>238</v>
      </c>
      <c r="EG3754" s="5" t="s">
        <v>238</v>
      </c>
      <c r="EH3754" s="5" t="s">
        <v>238</v>
      </c>
      <c r="EI3754" s="5" t="s">
        <v>238</v>
      </c>
      <c r="EJ3754" s="5" t="s">
        <v>238</v>
      </c>
      <c r="EK3754" s="5" t="s">
        <v>238</v>
      </c>
      <c r="EL3754" s="5" t="s">
        <v>238</v>
      </c>
      <c r="EM3754" s="5" t="s">
        <v>238</v>
      </c>
      <c r="EN3754" s="5" t="s">
        <v>238</v>
      </c>
      <c r="EO3754" s="5" t="s">
        <v>238</v>
      </c>
      <c r="EP3754" s="5" t="s">
        <v>238</v>
      </c>
      <c r="EQ3754" s="5" t="s">
        <v>238</v>
      </c>
      <c r="ER3754" s="5" t="s">
        <v>238</v>
      </c>
      <c r="ES3754" s="5" t="s">
        <v>238</v>
      </c>
      <c r="ET3754" s="5" t="s">
        <v>238</v>
      </c>
      <c r="EU3754" s="5" t="s">
        <v>238</v>
      </c>
      <c r="EV3754" s="5" t="s">
        <v>238</v>
      </c>
      <c r="EW3754" s="5" t="s">
        <v>238</v>
      </c>
      <c r="EX3754" s="5" t="s">
        <v>238</v>
      </c>
      <c r="EY3754" s="5" t="s">
        <v>238</v>
      </c>
      <c r="EZ3754" s="5" t="s">
        <v>238</v>
      </c>
      <c r="FA3754" s="5" t="s">
        <v>238</v>
      </c>
      <c r="FB3754" s="5" t="s">
        <v>238</v>
      </c>
      <c r="FC3754" s="5" t="s">
        <v>238</v>
      </c>
      <c r="FD3754" s="5" t="s">
        <v>238</v>
      </c>
      <c r="FE3754" s="5" t="s">
        <v>238</v>
      </c>
      <c r="FF3754" s="5" t="s">
        <v>238</v>
      </c>
      <c r="FG3754" s="5" t="s">
        <v>238</v>
      </c>
      <c r="FH3754" s="5" t="s">
        <v>238</v>
      </c>
      <c r="FI3754" s="5" t="s">
        <v>238</v>
      </c>
      <c r="FJ3754" s="5" t="s">
        <v>238</v>
      </c>
      <c r="FK3754" s="5" t="s">
        <v>238</v>
      </c>
      <c r="FL3754" s="5" t="s">
        <v>238</v>
      </c>
      <c r="FM3754" s="5" t="s">
        <v>238</v>
      </c>
      <c r="FN3754" s="5" t="s">
        <v>238</v>
      </c>
      <c r="FO3754" s="5" t="s">
        <v>238</v>
      </c>
      <c r="FP3754" s="5" t="s">
        <v>238</v>
      </c>
      <c r="FQ3754" s="5" t="s">
        <v>238</v>
      </c>
      <c r="FR3754" s="5" t="s">
        <v>238</v>
      </c>
      <c r="FS3754" s="5" t="s">
        <v>238</v>
      </c>
      <c r="FT3754" s="5" t="s">
        <v>238</v>
      </c>
      <c r="FU3754" s="5" t="s">
        <v>238</v>
      </c>
      <c r="FV3754" s="5" t="s">
        <v>238</v>
      </c>
      <c r="FW3754" s="5" t="s">
        <v>238</v>
      </c>
      <c r="FX3754" s="5" t="s">
        <v>238</v>
      </c>
      <c r="FY3754" s="5" t="s">
        <v>238</v>
      </c>
      <c r="FZ3754" s="5" t="s">
        <v>238</v>
      </c>
      <c r="GA3754" s="5" t="s">
        <v>238</v>
      </c>
      <c r="GB3754" s="5" t="s">
        <v>238</v>
      </c>
      <c r="GC3754" s="5" t="s">
        <v>238</v>
      </c>
      <c r="GD3754" s="5" t="s">
        <v>238</v>
      </c>
      <c r="GE3754" s="5" t="s">
        <v>238</v>
      </c>
      <c r="GF3754" s="5" t="s">
        <v>238</v>
      </c>
      <c r="GG3754" s="5" t="s">
        <v>238</v>
      </c>
      <c r="GH3754" s="5" t="s">
        <v>238</v>
      </c>
      <c r="GI3754" s="5" t="s">
        <v>238</v>
      </c>
      <c r="GJ3754" s="5" t="s">
        <v>238</v>
      </c>
      <c r="GK3754" s="5" t="s">
        <v>238</v>
      </c>
      <c r="GL3754" s="5" t="s">
        <v>238</v>
      </c>
      <c r="GM3754" s="5" t="s">
        <v>238</v>
      </c>
      <c r="GN3754" s="5" t="s">
        <v>238</v>
      </c>
      <c r="GO3754" s="5" t="s">
        <v>238</v>
      </c>
      <c r="GP3754" s="5" t="s">
        <v>238</v>
      </c>
      <c r="GQ3754" s="5" t="s">
        <v>238</v>
      </c>
      <c r="GR3754" s="5" t="s">
        <v>238</v>
      </c>
      <c r="GS3754" s="5" t="s">
        <v>238</v>
      </c>
      <c r="GT3754" s="5" t="s">
        <v>238</v>
      </c>
      <c r="GU3754" s="5" t="s">
        <v>238</v>
      </c>
      <c r="GV3754" s="5" t="s">
        <v>238</v>
      </c>
      <c r="GW3754" s="5" t="s">
        <v>238</v>
      </c>
      <c r="GX3754" s="5" t="s">
        <v>238</v>
      </c>
      <c r="GY3754" s="5" t="s">
        <v>238</v>
      </c>
      <c r="GZ3754" s="5" t="s">
        <v>238</v>
      </c>
      <c r="HA3754" s="5" t="s">
        <v>238</v>
      </c>
      <c r="HB3754" s="5" t="s">
        <v>238</v>
      </c>
      <c r="HC3754" s="5" t="s">
        <v>238</v>
      </c>
      <c r="HD3754" s="5" t="s">
        <v>238</v>
      </c>
      <c r="HE3754" s="5" t="s">
        <v>238</v>
      </c>
      <c r="HF3754" s="5" t="s">
        <v>238</v>
      </c>
      <c r="HG3754" s="5" t="s">
        <v>238</v>
      </c>
      <c r="HH3754" s="5" t="s">
        <v>238</v>
      </c>
      <c r="HI3754" s="5" t="s">
        <v>238</v>
      </c>
      <c r="HJ3754" s="5" t="s">
        <v>238</v>
      </c>
      <c r="HK3754" s="5" t="s">
        <v>238</v>
      </c>
      <c r="HL3754" s="5" t="s">
        <v>238</v>
      </c>
      <c r="HM3754" s="5" t="s">
        <v>238</v>
      </c>
      <c r="HN3754" s="5" t="s">
        <v>238</v>
      </c>
      <c r="HO3754" s="5" t="s">
        <v>238</v>
      </c>
      <c r="HP3754" s="5" t="s">
        <v>238</v>
      </c>
      <c r="HQ3754" s="5" t="s">
        <v>238</v>
      </c>
      <c r="HR3754" s="5" t="s">
        <v>238</v>
      </c>
      <c r="HS3754" s="5" t="s">
        <v>238</v>
      </c>
      <c r="HT3754" s="5" t="s">
        <v>238</v>
      </c>
      <c r="HU3754" s="5" t="s">
        <v>238</v>
      </c>
      <c r="HV3754" s="5" t="s">
        <v>238</v>
      </c>
      <c r="HW3754" s="5" t="s">
        <v>238</v>
      </c>
      <c r="HX3754" s="5" t="s">
        <v>238</v>
      </c>
      <c r="HY3754" s="5" t="s">
        <v>238</v>
      </c>
      <c r="HZ3754" s="5" t="s">
        <v>238</v>
      </c>
      <c r="IA3754" s="5" t="s">
        <v>238</v>
      </c>
      <c r="IB3754" s="5" t="s">
        <v>238</v>
      </c>
      <c r="IC3754" s="5" t="s">
        <v>238</v>
      </c>
      <c r="ID3754" s="5" t="s">
        <v>238</v>
      </c>
    </row>
    <row r="3755" spans="1:238" x14ac:dyDescent="0.4">
      <c r="A3755" s="5">
        <v>9473</v>
      </c>
      <c r="B3755" s="5">
        <v>1</v>
      </c>
      <c r="C3755" s="5">
        <v>1</v>
      </c>
      <c r="D3755" s="5" t="s">
        <v>484</v>
      </c>
      <c r="E3755" s="5" t="s">
        <v>485</v>
      </c>
      <c r="F3755" s="5" t="s">
        <v>248</v>
      </c>
      <c r="G3755" s="5" t="s">
        <v>2143</v>
      </c>
      <c r="H3755" s="6" t="s">
        <v>2144</v>
      </c>
      <c r="I3755" s="8">
        <f>1</f>
        <v>1</v>
      </c>
      <c r="J3755" s="5" t="s">
        <v>499</v>
      </c>
      <c r="K3755" s="8">
        <f>1</f>
        <v>1</v>
      </c>
      <c r="L3755" s="6" t="s">
        <v>242</v>
      </c>
      <c r="M3755" s="5" t="s">
        <v>267</v>
      </c>
      <c r="N3755" s="5" t="s">
        <v>482</v>
      </c>
      <c r="O3755" s="5" t="s">
        <v>238</v>
      </c>
      <c r="P3755" s="5" t="s">
        <v>238</v>
      </c>
      <c r="Q3755" s="5" t="s">
        <v>239</v>
      </c>
      <c r="R3755" s="5" t="s">
        <v>270</v>
      </c>
      <c r="S3755" s="5" t="s">
        <v>238</v>
      </c>
      <c r="T3755" s="5" t="s">
        <v>238</v>
      </c>
      <c r="U3755" s="5" t="s">
        <v>238</v>
      </c>
      <c r="V3755" s="5" t="s">
        <v>238</v>
      </c>
      <c r="W3755" s="6" t="s">
        <v>238</v>
      </c>
      <c r="X3755" s="6" t="s">
        <v>238</v>
      </c>
      <c r="Y3755" s="5" t="s">
        <v>238</v>
      </c>
      <c r="Z3755" s="6" t="s">
        <v>238</v>
      </c>
      <c r="AA3755" s="6" t="s">
        <v>243</v>
      </c>
      <c r="AB3755" s="5" t="s">
        <v>598</v>
      </c>
      <c r="AC3755" s="5" t="s">
        <v>244</v>
      </c>
      <c r="AD3755" s="5" t="s">
        <v>245</v>
      </c>
      <c r="AE3755" s="5" t="s">
        <v>238</v>
      </c>
      <c r="AF3755" s="5" t="s">
        <v>238</v>
      </c>
      <c r="AG3755" s="5" t="s">
        <v>238</v>
      </c>
      <c r="AH3755" s="5" t="s">
        <v>238</v>
      </c>
      <c r="AI3755" s="5" t="s">
        <v>238</v>
      </c>
      <c r="AJ3755" s="5" t="s">
        <v>238</v>
      </c>
      <c r="AK3755" s="5" t="s">
        <v>238</v>
      </c>
      <c r="AL3755" s="5" t="s">
        <v>238</v>
      </c>
      <c r="AM3755" s="6" t="s">
        <v>238</v>
      </c>
      <c r="AN3755" s="6" t="s">
        <v>238</v>
      </c>
      <c r="AO3755" s="6" t="s">
        <v>238</v>
      </c>
      <c r="AP3755" s="6" t="s">
        <v>238</v>
      </c>
      <c r="AQ3755" s="5" t="s">
        <v>238</v>
      </c>
      <c r="AR3755" s="5" t="s">
        <v>488</v>
      </c>
      <c r="AS3755" s="5" t="s">
        <v>488</v>
      </c>
      <c r="AT3755" s="5" t="s">
        <v>246</v>
      </c>
      <c r="AU3755" s="5" t="s">
        <v>489</v>
      </c>
      <c r="AV3755" s="5" t="s">
        <v>247</v>
      </c>
      <c r="AW3755" s="5" t="s">
        <v>600</v>
      </c>
      <c r="AX3755" s="5" t="s">
        <v>249</v>
      </c>
      <c r="AY3755" s="5" t="s">
        <v>490</v>
      </c>
      <c r="BA3755" s="5" t="s">
        <v>238</v>
      </c>
      <c r="BC3755" s="5" t="s">
        <v>491</v>
      </c>
      <c r="BD3755" s="6" t="s">
        <v>492</v>
      </c>
      <c r="BE3755" s="5" t="s">
        <v>493</v>
      </c>
      <c r="BF3755" s="5" t="s">
        <v>493</v>
      </c>
      <c r="BG3755" s="5" t="s">
        <v>238</v>
      </c>
      <c r="BH3755" s="8">
        <f>1</f>
        <v>1</v>
      </c>
      <c r="BI3755" s="8">
        <f>1</f>
        <v>1</v>
      </c>
      <c r="BJ3755" s="5" t="s">
        <v>253</v>
      </c>
      <c r="BK3755" s="5" t="s">
        <v>254</v>
      </c>
      <c r="BL3755" s="5" t="s">
        <v>238</v>
      </c>
      <c r="BM3755" s="5" t="s">
        <v>238</v>
      </c>
      <c r="BN3755" s="5" t="s">
        <v>238</v>
      </c>
      <c r="BO3755" s="5" t="s">
        <v>238</v>
      </c>
      <c r="BP3755" s="5" t="s">
        <v>238</v>
      </c>
      <c r="BQ3755" s="5" t="s">
        <v>238</v>
      </c>
      <c r="BR3755" s="5" t="s">
        <v>238</v>
      </c>
      <c r="BS3755" s="5" t="s">
        <v>238</v>
      </c>
      <c r="BT3755" s="6" t="s">
        <v>238</v>
      </c>
      <c r="BU3755" s="5" t="s">
        <v>238</v>
      </c>
      <c r="BV3755" s="5" t="s">
        <v>238</v>
      </c>
      <c r="BW3755" s="5" t="s">
        <v>238</v>
      </c>
      <c r="BX3755" s="5" t="s">
        <v>254</v>
      </c>
      <c r="BY3755" s="5" t="s">
        <v>238</v>
      </c>
      <c r="BZ3755" s="5" t="s">
        <v>238</v>
      </c>
      <c r="CA3755" s="5" t="s">
        <v>238</v>
      </c>
      <c r="CB3755" s="5" t="s">
        <v>238</v>
      </c>
      <c r="CC3755" s="5" t="s">
        <v>238</v>
      </c>
      <c r="CD3755" s="5" t="s">
        <v>273</v>
      </c>
      <c r="CE3755" s="5" t="s">
        <v>256</v>
      </c>
      <c r="CF3755" s="5" t="s">
        <v>261</v>
      </c>
      <c r="CH3755" s="5" t="s">
        <v>494</v>
      </c>
      <c r="CI3755" s="6" t="s">
        <v>257</v>
      </c>
      <c r="CJ3755" s="5" t="s">
        <v>495</v>
      </c>
      <c r="CK3755" s="5" t="s">
        <v>258</v>
      </c>
      <c r="CL3755" s="5" t="s">
        <v>496</v>
      </c>
      <c r="CM3755" s="5" t="s">
        <v>238</v>
      </c>
      <c r="CN3755" s="5">
        <v>0</v>
      </c>
      <c r="CO3755" s="5" t="s">
        <v>497</v>
      </c>
      <c r="CP3755" s="5" t="s">
        <v>260</v>
      </c>
      <c r="CQ3755" s="5" t="s">
        <v>260</v>
      </c>
      <c r="CR3755" s="5" t="s">
        <v>261</v>
      </c>
      <c r="CS3755" s="5" t="s">
        <v>498</v>
      </c>
      <c r="CT3755" s="7">
        <f>1</f>
        <v>1</v>
      </c>
      <c r="CU3755" s="8">
        <f>1</f>
        <v>1</v>
      </c>
      <c r="CV3755" s="8">
        <f>0</f>
        <v>0</v>
      </c>
      <c r="CX3755" s="8">
        <f>1</f>
        <v>1</v>
      </c>
      <c r="CY3755" s="8">
        <f>1</f>
        <v>1</v>
      </c>
      <c r="CZ3755" s="8" t="s">
        <v>238</v>
      </c>
      <c r="DA3755" s="5" t="s">
        <v>238</v>
      </c>
      <c r="DB3755" s="5" t="s">
        <v>238</v>
      </c>
      <c r="DC3755" s="5" t="s">
        <v>238</v>
      </c>
      <c r="DD3755" s="5" t="s">
        <v>238</v>
      </c>
      <c r="DE3755" s="8">
        <f>0</f>
        <v>0</v>
      </c>
      <c r="DG3755" s="5" t="s">
        <v>238</v>
      </c>
      <c r="DH3755" s="5" t="s">
        <v>238</v>
      </c>
      <c r="DI3755" s="5" t="s">
        <v>238</v>
      </c>
      <c r="DJ3755" s="5" t="s">
        <v>238</v>
      </c>
      <c r="DK3755" s="5" t="s">
        <v>238</v>
      </c>
      <c r="DL3755" s="5" t="s">
        <v>238</v>
      </c>
      <c r="DM3755" s="8" t="s">
        <v>238</v>
      </c>
      <c r="DN3755" s="5" t="s">
        <v>238</v>
      </c>
      <c r="DO3755" s="5" t="s">
        <v>244</v>
      </c>
      <c r="DP3755" s="5" t="s">
        <v>490</v>
      </c>
      <c r="DQ3755" s="5" t="s">
        <v>490</v>
      </c>
      <c r="DR3755" s="5" t="s">
        <v>238</v>
      </c>
      <c r="DS3755" s="5" t="s">
        <v>238</v>
      </c>
      <c r="DT3755" s="5" t="s">
        <v>601</v>
      </c>
      <c r="DU3755" s="5" t="s">
        <v>1342</v>
      </c>
      <c r="DV3755" s="5" t="s">
        <v>238</v>
      </c>
      <c r="DW3755" s="5" t="s">
        <v>238</v>
      </c>
      <c r="DX3755" s="5" t="s">
        <v>238</v>
      </c>
      <c r="DY3755" s="5" t="s">
        <v>238</v>
      </c>
      <c r="DZ3755" s="5" t="s">
        <v>238</v>
      </c>
      <c r="EA3755" s="5" t="s">
        <v>238</v>
      </c>
      <c r="EB3755" s="5" t="s">
        <v>238</v>
      </c>
      <c r="EC3755" s="5" t="s">
        <v>238</v>
      </c>
      <c r="ED3755" s="5" t="s">
        <v>238</v>
      </c>
      <c r="EE3755" s="5" t="s">
        <v>238</v>
      </c>
      <c r="EF3755" s="5" t="s">
        <v>238</v>
      </c>
      <c r="EG3755" s="5" t="s">
        <v>238</v>
      </c>
      <c r="EH3755" s="5" t="s">
        <v>238</v>
      </c>
      <c r="EI3755" s="5" t="s">
        <v>238</v>
      </c>
      <c r="EJ3755" s="5" t="s">
        <v>238</v>
      </c>
      <c r="EK3755" s="5" t="s">
        <v>238</v>
      </c>
      <c r="EL3755" s="5" t="s">
        <v>238</v>
      </c>
      <c r="EM3755" s="5" t="s">
        <v>238</v>
      </c>
      <c r="EN3755" s="5" t="s">
        <v>238</v>
      </c>
      <c r="EO3755" s="5" t="s">
        <v>238</v>
      </c>
      <c r="EP3755" s="5" t="s">
        <v>238</v>
      </c>
      <c r="EQ3755" s="5" t="s">
        <v>238</v>
      </c>
      <c r="ER3755" s="5" t="s">
        <v>238</v>
      </c>
      <c r="ES3755" s="5" t="s">
        <v>238</v>
      </c>
      <c r="ET3755" s="5" t="s">
        <v>238</v>
      </c>
      <c r="EU3755" s="5" t="s">
        <v>238</v>
      </c>
      <c r="EV3755" s="5" t="s">
        <v>238</v>
      </c>
      <c r="EW3755" s="5" t="s">
        <v>238</v>
      </c>
      <c r="EX3755" s="5" t="s">
        <v>238</v>
      </c>
      <c r="EY3755" s="5" t="s">
        <v>238</v>
      </c>
      <c r="EZ3755" s="5" t="s">
        <v>238</v>
      </c>
      <c r="FA3755" s="5" t="s">
        <v>238</v>
      </c>
      <c r="FB3755" s="5" t="s">
        <v>238</v>
      </c>
      <c r="FC3755" s="5" t="s">
        <v>238</v>
      </c>
      <c r="FD3755" s="5" t="s">
        <v>238</v>
      </c>
      <c r="FE3755" s="5" t="s">
        <v>238</v>
      </c>
      <c r="FF3755" s="5" t="s">
        <v>238</v>
      </c>
      <c r="FG3755" s="5" t="s">
        <v>238</v>
      </c>
      <c r="FH3755" s="5" t="s">
        <v>238</v>
      </c>
      <c r="FI3755" s="5" t="s">
        <v>238</v>
      </c>
      <c r="FJ3755" s="5" t="s">
        <v>238</v>
      </c>
      <c r="FK3755" s="5" t="s">
        <v>238</v>
      </c>
      <c r="FL3755" s="5" t="s">
        <v>238</v>
      </c>
      <c r="FM3755" s="5" t="s">
        <v>238</v>
      </c>
      <c r="FN3755" s="5" t="s">
        <v>238</v>
      </c>
      <c r="FO3755" s="5" t="s">
        <v>238</v>
      </c>
      <c r="FP3755" s="5" t="s">
        <v>238</v>
      </c>
      <c r="FQ3755" s="5" t="s">
        <v>238</v>
      </c>
      <c r="FR3755" s="5" t="s">
        <v>238</v>
      </c>
      <c r="FS3755" s="5" t="s">
        <v>238</v>
      </c>
      <c r="FT3755" s="5" t="s">
        <v>238</v>
      </c>
      <c r="FU3755" s="5" t="s">
        <v>238</v>
      </c>
      <c r="FV3755" s="5" t="s">
        <v>238</v>
      </c>
      <c r="FW3755" s="5" t="s">
        <v>238</v>
      </c>
      <c r="FX3755" s="5" t="s">
        <v>238</v>
      </c>
      <c r="FY3755" s="5" t="s">
        <v>238</v>
      </c>
      <c r="FZ3755" s="5" t="s">
        <v>238</v>
      </c>
      <c r="GA3755" s="5" t="s">
        <v>238</v>
      </c>
      <c r="GB3755" s="5" t="s">
        <v>238</v>
      </c>
      <c r="GC3755" s="5" t="s">
        <v>238</v>
      </c>
      <c r="GD3755" s="5" t="s">
        <v>238</v>
      </c>
      <c r="GE3755" s="5" t="s">
        <v>238</v>
      </c>
      <c r="GF3755" s="5" t="s">
        <v>238</v>
      </c>
      <c r="GG3755" s="5" t="s">
        <v>238</v>
      </c>
      <c r="GH3755" s="5" t="s">
        <v>238</v>
      </c>
      <c r="GI3755" s="5" t="s">
        <v>238</v>
      </c>
      <c r="GJ3755" s="5" t="s">
        <v>238</v>
      </c>
      <c r="GK3755" s="5" t="s">
        <v>238</v>
      </c>
      <c r="GL3755" s="5" t="s">
        <v>238</v>
      </c>
      <c r="GM3755" s="5" t="s">
        <v>238</v>
      </c>
      <c r="GN3755" s="5" t="s">
        <v>238</v>
      </c>
      <c r="GO3755" s="5" t="s">
        <v>238</v>
      </c>
      <c r="GP3755" s="5" t="s">
        <v>238</v>
      </c>
      <c r="GQ3755" s="5" t="s">
        <v>238</v>
      </c>
      <c r="GR3755" s="5" t="s">
        <v>238</v>
      </c>
      <c r="GS3755" s="5" t="s">
        <v>238</v>
      </c>
      <c r="GT3755" s="5" t="s">
        <v>238</v>
      </c>
      <c r="GU3755" s="5" t="s">
        <v>238</v>
      </c>
      <c r="GV3755" s="5" t="s">
        <v>238</v>
      </c>
      <c r="GW3755" s="5" t="s">
        <v>238</v>
      </c>
      <c r="GX3755" s="5" t="s">
        <v>238</v>
      </c>
      <c r="GY3755" s="5" t="s">
        <v>238</v>
      </c>
      <c r="GZ3755" s="5" t="s">
        <v>238</v>
      </c>
      <c r="HA3755" s="5" t="s">
        <v>238</v>
      </c>
      <c r="HB3755" s="5" t="s">
        <v>238</v>
      </c>
      <c r="HC3755" s="5" t="s">
        <v>238</v>
      </c>
      <c r="HD3755" s="5" t="s">
        <v>238</v>
      </c>
      <c r="HE3755" s="5" t="s">
        <v>238</v>
      </c>
      <c r="HF3755" s="5" t="s">
        <v>238</v>
      </c>
      <c r="HG3755" s="5" t="s">
        <v>238</v>
      </c>
      <c r="HH3755" s="5" t="s">
        <v>238</v>
      </c>
      <c r="HI3755" s="5" t="s">
        <v>238</v>
      </c>
      <c r="HJ3755" s="5" t="s">
        <v>238</v>
      </c>
      <c r="HK3755" s="5" t="s">
        <v>238</v>
      </c>
      <c r="HL3755" s="5" t="s">
        <v>238</v>
      </c>
      <c r="HM3755" s="5" t="s">
        <v>238</v>
      </c>
      <c r="HN3755" s="5" t="s">
        <v>238</v>
      </c>
      <c r="HO3755" s="5" t="s">
        <v>238</v>
      </c>
      <c r="HP3755" s="5" t="s">
        <v>238</v>
      </c>
      <c r="HQ3755" s="5" t="s">
        <v>238</v>
      </c>
      <c r="HR3755" s="5" t="s">
        <v>238</v>
      </c>
      <c r="HS3755" s="5" t="s">
        <v>238</v>
      </c>
      <c r="HT3755" s="5" t="s">
        <v>238</v>
      </c>
      <c r="HU3755" s="5" t="s">
        <v>238</v>
      </c>
      <c r="HV3755" s="5" t="s">
        <v>238</v>
      </c>
      <c r="HW3755" s="5" t="s">
        <v>238</v>
      </c>
      <c r="HX3755" s="5" t="s">
        <v>238</v>
      </c>
      <c r="HY3755" s="5" t="s">
        <v>238</v>
      </c>
      <c r="HZ3755" s="5" t="s">
        <v>238</v>
      </c>
      <c r="IA3755" s="5" t="s">
        <v>238</v>
      </c>
      <c r="IB3755" s="5" t="s">
        <v>238</v>
      </c>
      <c r="IC3755" s="5" t="s">
        <v>238</v>
      </c>
      <c r="ID3755" s="5" t="s">
        <v>238</v>
      </c>
    </row>
    <row r="3756" spans="1:238" x14ac:dyDescent="0.4">
      <c r="A3756" s="5">
        <v>9474</v>
      </c>
      <c r="B3756" s="5">
        <v>1</v>
      </c>
      <c r="C3756" s="5">
        <v>1</v>
      </c>
      <c r="D3756" s="5" t="s">
        <v>484</v>
      </c>
      <c r="E3756" s="5" t="s">
        <v>485</v>
      </c>
      <c r="F3756" s="5" t="s">
        <v>248</v>
      </c>
      <c r="G3756" s="5" t="s">
        <v>5318</v>
      </c>
      <c r="H3756" s="6" t="s">
        <v>5319</v>
      </c>
      <c r="I3756" s="8">
        <f>1</f>
        <v>1</v>
      </c>
      <c r="J3756" s="5" t="s">
        <v>499</v>
      </c>
      <c r="K3756" s="8">
        <f>1</f>
        <v>1</v>
      </c>
      <c r="L3756" s="6" t="s">
        <v>242</v>
      </c>
      <c r="M3756" s="5" t="s">
        <v>267</v>
      </c>
      <c r="N3756" s="5" t="s">
        <v>482</v>
      </c>
      <c r="O3756" s="5" t="s">
        <v>238</v>
      </c>
      <c r="P3756" s="5" t="s">
        <v>238</v>
      </c>
      <c r="Q3756" s="5" t="s">
        <v>239</v>
      </c>
      <c r="R3756" s="5" t="s">
        <v>270</v>
      </c>
      <c r="S3756" s="5" t="s">
        <v>238</v>
      </c>
      <c r="T3756" s="5" t="s">
        <v>238</v>
      </c>
      <c r="U3756" s="5" t="s">
        <v>238</v>
      </c>
      <c r="V3756" s="5" t="s">
        <v>238</v>
      </c>
      <c r="W3756" s="6" t="s">
        <v>238</v>
      </c>
      <c r="X3756" s="6" t="s">
        <v>238</v>
      </c>
      <c r="Y3756" s="5" t="s">
        <v>238</v>
      </c>
      <c r="Z3756" s="6" t="s">
        <v>238</v>
      </c>
      <c r="AA3756" s="6" t="s">
        <v>243</v>
      </c>
      <c r="AB3756" s="5" t="s">
        <v>598</v>
      </c>
      <c r="AC3756" s="5" t="s">
        <v>244</v>
      </c>
      <c r="AD3756" s="5" t="s">
        <v>245</v>
      </c>
      <c r="AE3756" s="5" t="s">
        <v>238</v>
      </c>
      <c r="AF3756" s="5" t="s">
        <v>238</v>
      </c>
      <c r="AG3756" s="5" t="s">
        <v>238</v>
      </c>
      <c r="AH3756" s="5" t="s">
        <v>238</v>
      </c>
      <c r="AI3756" s="5" t="s">
        <v>238</v>
      </c>
      <c r="AJ3756" s="5" t="s">
        <v>238</v>
      </c>
      <c r="AK3756" s="5" t="s">
        <v>238</v>
      </c>
      <c r="AL3756" s="5" t="s">
        <v>238</v>
      </c>
      <c r="AM3756" s="6" t="s">
        <v>238</v>
      </c>
      <c r="AN3756" s="6" t="s">
        <v>238</v>
      </c>
      <c r="AO3756" s="6" t="s">
        <v>238</v>
      </c>
      <c r="AP3756" s="6" t="s">
        <v>238</v>
      </c>
      <c r="AQ3756" s="5" t="s">
        <v>238</v>
      </c>
      <c r="AR3756" s="5" t="s">
        <v>488</v>
      </c>
      <c r="AS3756" s="5" t="s">
        <v>488</v>
      </c>
      <c r="AT3756" s="5" t="s">
        <v>246</v>
      </c>
      <c r="AU3756" s="5" t="s">
        <v>489</v>
      </c>
      <c r="AV3756" s="5" t="s">
        <v>247</v>
      </c>
      <c r="AW3756" s="5" t="s">
        <v>600</v>
      </c>
      <c r="AX3756" s="5" t="s">
        <v>249</v>
      </c>
      <c r="AY3756" s="5" t="s">
        <v>490</v>
      </c>
      <c r="BA3756" s="5" t="s">
        <v>238</v>
      </c>
      <c r="BC3756" s="5" t="s">
        <v>491</v>
      </c>
      <c r="BD3756" s="6" t="s">
        <v>492</v>
      </c>
      <c r="BE3756" s="5" t="s">
        <v>493</v>
      </c>
      <c r="BF3756" s="5" t="s">
        <v>493</v>
      </c>
      <c r="BG3756" s="5" t="s">
        <v>238</v>
      </c>
      <c r="BH3756" s="8">
        <f>1</f>
        <v>1</v>
      </c>
      <c r="BI3756" s="8">
        <f>1</f>
        <v>1</v>
      </c>
      <c r="BJ3756" s="5" t="s">
        <v>253</v>
      </c>
      <c r="BK3756" s="5" t="s">
        <v>254</v>
      </c>
      <c r="BL3756" s="5" t="s">
        <v>238</v>
      </c>
      <c r="BM3756" s="5" t="s">
        <v>238</v>
      </c>
      <c r="BN3756" s="5" t="s">
        <v>238</v>
      </c>
      <c r="BO3756" s="5" t="s">
        <v>238</v>
      </c>
      <c r="BP3756" s="5" t="s">
        <v>238</v>
      </c>
      <c r="BQ3756" s="5" t="s">
        <v>238</v>
      </c>
      <c r="BR3756" s="5" t="s">
        <v>238</v>
      </c>
      <c r="BS3756" s="5" t="s">
        <v>238</v>
      </c>
      <c r="BT3756" s="6" t="s">
        <v>238</v>
      </c>
      <c r="BU3756" s="5" t="s">
        <v>238</v>
      </c>
      <c r="BV3756" s="5" t="s">
        <v>238</v>
      </c>
      <c r="BW3756" s="5" t="s">
        <v>238</v>
      </c>
      <c r="BX3756" s="5" t="s">
        <v>254</v>
      </c>
      <c r="BY3756" s="5" t="s">
        <v>238</v>
      </c>
      <c r="BZ3756" s="5" t="s">
        <v>238</v>
      </c>
      <c r="CA3756" s="5" t="s">
        <v>238</v>
      </c>
      <c r="CB3756" s="5" t="s">
        <v>238</v>
      </c>
      <c r="CC3756" s="5" t="s">
        <v>238</v>
      </c>
      <c r="CD3756" s="5" t="s">
        <v>273</v>
      </c>
      <c r="CE3756" s="5" t="s">
        <v>256</v>
      </c>
      <c r="CF3756" s="5" t="s">
        <v>261</v>
      </c>
      <c r="CH3756" s="5" t="s">
        <v>494</v>
      </c>
      <c r="CI3756" s="6" t="s">
        <v>257</v>
      </c>
      <c r="CJ3756" s="5" t="s">
        <v>495</v>
      </c>
      <c r="CK3756" s="5" t="s">
        <v>258</v>
      </c>
      <c r="CL3756" s="5" t="s">
        <v>496</v>
      </c>
      <c r="CM3756" s="5" t="s">
        <v>238</v>
      </c>
      <c r="CN3756" s="5">
        <v>0</v>
      </c>
      <c r="CO3756" s="5" t="s">
        <v>497</v>
      </c>
      <c r="CP3756" s="5" t="s">
        <v>260</v>
      </c>
      <c r="CQ3756" s="5" t="s">
        <v>260</v>
      </c>
      <c r="CR3756" s="5" t="s">
        <v>261</v>
      </c>
      <c r="CS3756" s="5" t="s">
        <v>498</v>
      </c>
      <c r="CT3756" s="7">
        <f>1</f>
        <v>1</v>
      </c>
      <c r="CU3756" s="8">
        <f>1</f>
        <v>1</v>
      </c>
      <c r="CV3756" s="8">
        <f>0</f>
        <v>0</v>
      </c>
      <c r="CX3756" s="8">
        <f>1</f>
        <v>1</v>
      </c>
      <c r="CY3756" s="8">
        <f>1</f>
        <v>1</v>
      </c>
      <c r="CZ3756" s="8" t="s">
        <v>238</v>
      </c>
      <c r="DA3756" s="5" t="s">
        <v>238</v>
      </c>
      <c r="DB3756" s="5" t="s">
        <v>238</v>
      </c>
      <c r="DC3756" s="5" t="s">
        <v>238</v>
      </c>
      <c r="DD3756" s="5" t="s">
        <v>238</v>
      </c>
      <c r="DE3756" s="8">
        <f>0</f>
        <v>0</v>
      </c>
      <c r="DG3756" s="5" t="s">
        <v>238</v>
      </c>
      <c r="DH3756" s="5" t="s">
        <v>238</v>
      </c>
      <c r="DI3756" s="5" t="s">
        <v>238</v>
      </c>
      <c r="DJ3756" s="5" t="s">
        <v>238</v>
      </c>
      <c r="DK3756" s="5" t="s">
        <v>238</v>
      </c>
      <c r="DL3756" s="5" t="s">
        <v>238</v>
      </c>
      <c r="DM3756" s="8" t="s">
        <v>238</v>
      </c>
      <c r="DN3756" s="5" t="s">
        <v>238</v>
      </c>
      <c r="DO3756" s="5" t="s">
        <v>244</v>
      </c>
      <c r="DP3756" s="5" t="s">
        <v>490</v>
      </c>
      <c r="DQ3756" s="5" t="s">
        <v>490</v>
      </c>
      <c r="DR3756" s="5" t="s">
        <v>238</v>
      </c>
      <c r="DS3756" s="5" t="s">
        <v>238</v>
      </c>
      <c r="DT3756" s="5" t="s">
        <v>601</v>
      </c>
      <c r="DU3756" s="5" t="s">
        <v>1338</v>
      </c>
      <c r="DV3756" s="5" t="s">
        <v>238</v>
      </c>
      <c r="DW3756" s="5" t="s">
        <v>238</v>
      </c>
      <c r="DX3756" s="5" t="s">
        <v>238</v>
      </c>
      <c r="DY3756" s="5" t="s">
        <v>238</v>
      </c>
      <c r="DZ3756" s="5" t="s">
        <v>238</v>
      </c>
      <c r="EA3756" s="5" t="s">
        <v>238</v>
      </c>
      <c r="EB3756" s="5" t="s">
        <v>238</v>
      </c>
      <c r="EC3756" s="5" t="s">
        <v>238</v>
      </c>
      <c r="ED3756" s="5" t="s">
        <v>238</v>
      </c>
      <c r="EE3756" s="5" t="s">
        <v>238</v>
      </c>
      <c r="EF3756" s="5" t="s">
        <v>238</v>
      </c>
      <c r="EG3756" s="5" t="s">
        <v>238</v>
      </c>
      <c r="EH3756" s="5" t="s">
        <v>238</v>
      </c>
      <c r="EI3756" s="5" t="s">
        <v>238</v>
      </c>
      <c r="EJ3756" s="5" t="s">
        <v>238</v>
      </c>
      <c r="EK3756" s="5" t="s">
        <v>238</v>
      </c>
      <c r="EL3756" s="5" t="s">
        <v>238</v>
      </c>
      <c r="EM3756" s="5" t="s">
        <v>238</v>
      </c>
      <c r="EN3756" s="5" t="s">
        <v>238</v>
      </c>
      <c r="EO3756" s="5" t="s">
        <v>238</v>
      </c>
      <c r="EP3756" s="5" t="s">
        <v>238</v>
      </c>
      <c r="EQ3756" s="5" t="s">
        <v>238</v>
      </c>
      <c r="ER3756" s="5" t="s">
        <v>238</v>
      </c>
      <c r="ES3756" s="5" t="s">
        <v>238</v>
      </c>
      <c r="ET3756" s="5" t="s">
        <v>238</v>
      </c>
      <c r="EU3756" s="5" t="s">
        <v>238</v>
      </c>
      <c r="EV3756" s="5" t="s">
        <v>238</v>
      </c>
      <c r="EW3756" s="5" t="s">
        <v>238</v>
      </c>
      <c r="EX3756" s="5" t="s">
        <v>238</v>
      </c>
      <c r="EY3756" s="5" t="s">
        <v>238</v>
      </c>
      <c r="EZ3756" s="5" t="s">
        <v>238</v>
      </c>
      <c r="FA3756" s="5" t="s">
        <v>238</v>
      </c>
      <c r="FB3756" s="5" t="s">
        <v>238</v>
      </c>
      <c r="FC3756" s="5" t="s">
        <v>238</v>
      </c>
      <c r="FD3756" s="5" t="s">
        <v>238</v>
      </c>
      <c r="FE3756" s="5" t="s">
        <v>238</v>
      </c>
      <c r="FF3756" s="5" t="s">
        <v>238</v>
      </c>
      <c r="FG3756" s="5" t="s">
        <v>238</v>
      </c>
      <c r="FH3756" s="5" t="s">
        <v>238</v>
      </c>
      <c r="FI3756" s="5" t="s">
        <v>238</v>
      </c>
      <c r="FJ3756" s="5" t="s">
        <v>238</v>
      </c>
      <c r="FK3756" s="5" t="s">
        <v>238</v>
      </c>
      <c r="FL3756" s="5" t="s">
        <v>238</v>
      </c>
      <c r="FM3756" s="5" t="s">
        <v>238</v>
      </c>
      <c r="FN3756" s="5" t="s">
        <v>238</v>
      </c>
      <c r="FO3756" s="5" t="s">
        <v>238</v>
      </c>
      <c r="FP3756" s="5" t="s">
        <v>238</v>
      </c>
      <c r="FQ3756" s="5" t="s">
        <v>238</v>
      </c>
      <c r="FR3756" s="5" t="s">
        <v>238</v>
      </c>
      <c r="FS3756" s="5" t="s">
        <v>238</v>
      </c>
      <c r="FT3756" s="5" t="s">
        <v>238</v>
      </c>
      <c r="FU3756" s="5" t="s">
        <v>238</v>
      </c>
      <c r="FV3756" s="5" t="s">
        <v>238</v>
      </c>
      <c r="FW3756" s="5" t="s">
        <v>238</v>
      </c>
      <c r="FX3756" s="5" t="s">
        <v>238</v>
      </c>
      <c r="FY3756" s="5" t="s">
        <v>238</v>
      </c>
      <c r="FZ3756" s="5" t="s">
        <v>238</v>
      </c>
      <c r="GA3756" s="5" t="s">
        <v>238</v>
      </c>
      <c r="GB3756" s="5" t="s">
        <v>238</v>
      </c>
      <c r="GC3756" s="5" t="s">
        <v>238</v>
      </c>
      <c r="GD3756" s="5" t="s">
        <v>238</v>
      </c>
      <c r="GE3756" s="5" t="s">
        <v>238</v>
      </c>
      <c r="GF3756" s="5" t="s">
        <v>238</v>
      </c>
      <c r="GG3756" s="5" t="s">
        <v>238</v>
      </c>
      <c r="GH3756" s="5" t="s">
        <v>238</v>
      </c>
      <c r="GI3756" s="5" t="s">
        <v>238</v>
      </c>
      <c r="GJ3756" s="5" t="s">
        <v>238</v>
      </c>
      <c r="GK3756" s="5" t="s">
        <v>238</v>
      </c>
      <c r="GL3756" s="5" t="s">
        <v>238</v>
      </c>
      <c r="GM3756" s="5" t="s">
        <v>238</v>
      </c>
      <c r="GN3756" s="5" t="s">
        <v>238</v>
      </c>
      <c r="GO3756" s="5" t="s">
        <v>238</v>
      </c>
      <c r="GP3756" s="5" t="s">
        <v>238</v>
      </c>
      <c r="GQ3756" s="5" t="s">
        <v>238</v>
      </c>
      <c r="GR3756" s="5" t="s">
        <v>238</v>
      </c>
      <c r="GS3756" s="5" t="s">
        <v>238</v>
      </c>
      <c r="GT3756" s="5" t="s">
        <v>238</v>
      </c>
      <c r="GU3756" s="5" t="s">
        <v>238</v>
      </c>
      <c r="GV3756" s="5" t="s">
        <v>238</v>
      </c>
      <c r="GW3756" s="5" t="s">
        <v>238</v>
      </c>
      <c r="GX3756" s="5" t="s">
        <v>238</v>
      </c>
      <c r="GY3756" s="5" t="s">
        <v>238</v>
      </c>
      <c r="GZ3756" s="5" t="s">
        <v>238</v>
      </c>
      <c r="HA3756" s="5" t="s">
        <v>238</v>
      </c>
      <c r="HB3756" s="5" t="s">
        <v>238</v>
      </c>
      <c r="HC3756" s="5" t="s">
        <v>238</v>
      </c>
      <c r="HD3756" s="5" t="s">
        <v>238</v>
      </c>
      <c r="HE3756" s="5" t="s">
        <v>238</v>
      </c>
      <c r="HF3756" s="5" t="s">
        <v>238</v>
      </c>
      <c r="HG3756" s="5" t="s">
        <v>238</v>
      </c>
      <c r="HH3756" s="5" t="s">
        <v>238</v>
      </c>
      <c r="HI3756" s="5" t="s">
        <v>238</v>
      </c>
      <c r="HJ3756" s="5" t="s">
        <v>238</v>
      </c>
      <c r="HK3756" s="5" t="s">
        <v>238</v>
      </c>
      <c r="HL3756" s="5" t="s">
        <v>238</v>
      </c>
      <c r="HM3756" s="5" t="s">
        <v>238</v>
      </c>
      <c r="HN3756" s="5" t="s">
        <v>238</v>
      </c>
      <c r="HO3756" s="5" t="s">
        <v>238</v>
      </c>
      <c r="HP3756" s="5" t="s">
        <v>238</v>
      </c>
      <c r="HQ3756" s="5" t="s">
        <v>238</v>
      </c>
      <c r="HR3756" s="5" t="s">
        <v>238</v>
      </c>
      <c r="HS3756" s="5" t="s">
        <v>238</v>
      </c>
      <c r="HT3756" s="5" t="s">
        <v>238</v>
      </c>
      <c r="HU3756" s="5" t="s">
        <v>238</v>
      </c>
      <c r="HV3756" s="5" t="s">
        <v>238</v>
      </c>
      <c r="HW3756" s="5" t="s">
        <v>238</v>
      </c>
      <c r="HX3756" s="5" t="s">
        <v>238</v>
      </c>
      <c r="HY3756" s="5" t="s">
        <v>238</v>
      </c>
      <c r="HZ3756" s="5" t="s">
        <v>238</v>
      </c>
      <c r="IA3756" s="5" t="s">
        <v>238</v>
      </c>
      <c r="IB3756" s="5" t="s">
        <v>238</v>
      </c>
      <c r="IC3756" s="5" t="s">
        <v>238</v>
      </c>
      <c r="ID3756" s="5" t="s">
        <v>238</v>
      </c>
    </row>
    <row r="3757" spans="1:238" x14ac:dyDescent="0.4">
      <c r="A3757" s="5">
        <v>9475</v>
      </c>
      <c r="B3757" s="5">
        <v>1</v>
      </c>
      <c r="C3757" s="5">
        <v>1</v>
      </c>
      <c r="D3757" s="5" t="s">
        <v>484</v>
      </c>
      <c r="E3757" s="5" t="s">
        <v>485</v>
      </c>
      <c r="F3757" s="5" t="s">
        <v>248</v>
      </c>
      <c r="G3757" s="5" t="s">
        <v>5164</v>
      </c>
      <c r="H3757" s="6" t="s">
        <v>5165</v>
      </c>
      <c r="I3757" s="8">
        <f>1</f>
        <v>1</v>
      </c>
      <c r="J3757" s="5" t="s">
        <v>499</v>
      </c>
      <c r="K3757" s="8">
        <f>1</f>
        <v>1</v>
      </c>
      <c r="L3757" s="6" t="s">
        <v>242</v>
      </c>
      <c r="M3757" s="5" t="s">
        <v>267</v>
      </c>
      <c r="N3757" s="5" t="s">
        <v>482</v>
      </c>
      <c r="O3757" s="5" t="s">
        <v>238</v>
      </c>
      <c r="P3757" s="5" t="s">
        <v>238</v>
      </c>
      <c r="Q3757" s="5" t="s">
        <v>239</v>
      </c>
      <c r="R3757" s="5" t="s">
        <v>270</v>
      </c>
      <c r="S3757" s="5" t="s">
        <v>238</v>
      </c>
      <c r="T3757" s="5" t="s">
        <v>238</v>
      </c>
      <c r="U3757" s="5" t="s">
        <v>238</v>
      </c>
      <c r="V3757" s="5" t="s">
        <v>238</v>
      </c>
      <c r="W3757" s="6" t="s">
        <v>238</v>
      </c>
      <c r="X3757" s="6" t="s">
        <v>238</v>
      </c>
      <c r="Y3757" s="5" t="s">
        <v>238</v>
      </c>
      <c r="Z3757" s="6" t="s">
        <v>238</v>
      </c>
      <c r="AA3757" s="6" t="s">
        <v>243</v>
      </c>
      <c r="AB3757" s="5" t="s">
        <v>598</v>
      </c>
      <c r="AC3757" s="5" t="s">
        <v>244</v>
      </c>
      <c r="AD3757" s="5" t="s">
        <v>245</v>
      </c>
      <c r="AE3757" s="5" t="s">
        <v>238</v>
      </c>
      <c r="AF3757" s="5" t="s">
        <v>238</v>
      </c>
      <c r="AG3757" s="5" t="s">
        <v>238</v>
      </c>
      <c r="AH3757" s="5" t="s">
        <v>238</v>
      </c>
      <c r="AI3757" s="5" t="s">
        <v>238</v>
      </c>
      <c r="AJ3757" s="5" t="s">
        <v>238</v>
      </c>
      <c r="AK3757" s="5" t="s">
        <v>238</v>
      </c>
      <c r="AL3757" s="5" t="s">
        <v>238</v>
      </c>
      <c r="AM3757" s="6" t="s">
        <v>238</v>
      </c>
      <c r="AN3757" s="6" t="s">
        <v>238</v>
      </c>
      <c r="AO3757" s="6" t="s">
        <v>238</v>
      </c>
      <c r="AP3757" s="6" t="s">
        <v>238</v>
      </c>
      <c r="AQ3757" s="5" t="s">
        <v>238</v>
      </c>
      <c r="AR3757" s="5" t="s">
        <v>488</v>
      </c>
      <c r="AS3757" s="5" t="s">
        <v>488</v>
      </c>
      <c r="AT3757" s="5" t="s">
        <v>246</v>
      </c>
      <c r="AU3757" s="5" t="s">
        <v>489</v>
      </c>
      <c r="AV3757" s="5" t="s">
        <v>247</v>
      </c>
      <c r="AW3757" s="5" t="s">
        <v>600</v>
      </c>
      <c r="AX3757" s="5" t="s">
        <v>249</v>
      </c>
      <c r="AY3757" s="5" t="s">
        <v>490</v>
      </c>
      <c r="BA3757" s="5" t="s">
        <v>238</v>
      </c>
      <c r="BC3757" s="5" t="s">
        <v>491</v>
      </c>
      <c r="BD3757" s="6" t="s">
        <v>492</v>
      </c>
      <c r="BE3757" s="5" t="s">
        <v>493</v>
      </c>
      <c r="BF3757" s="5" t="s">
        <v>493</v>
      </c>
      <c r="BG3757" s="5" t="s">
        <v>238</v>
      </c>
      <c r="BH3757" s="8">
        <f>1</f>
        <v>1</v>
      </c>
      <c r="BI3757" s="8">
        <f>1</f>
        <v>1</v>
      </c>
      <c r="BJ3757" s="5" t="s">
        <v>253</v>
      </c>
      <c r="BK3757" s="5" t="s">
        <v>254</v>
      </c>
      <c r="BL3757" s="5" t="s">
        <v>238</v>
      </c>
      <c r="BM3757" s="5" t="s">
        <v>238</v>
      </c>
      <c r="BN3757" s="5" t="s">
        <v>238</v>
      </c>
      <c r="BO3757" s="5" t="s">
        <v>238</v>
      </c>
      <c r="BP3757" s="5" t="s">
        <v>238</v>
      </c>
      <c r="BQ3757" s="5" t="s">
        <v>238</v>
      </c>
      <c r="BR3757" s="5" t="s">
        <v>238</v>
      </c>
      <c r="BS3757" s="5" t="s">
        <v>238</v>
      </c>
      <c r="BT3757" s="6" t="s">
        <v>238</v>
      </c>
      <c r="BU3757" s="5" t="s">
        <v>238</v>
      </c>
      <c r="BV3757" s="5" t="s">
        <v>238</v>
      </c>
      <c r="BW3757" s="5" t="s">
        <v>238</v>
      </c>
      <c r="BX3757" s="5" t="s">
        <v>254</v>
      </c>
      <c r="BY3757" s="5" t="s">
        <v>238</v>
      </c>
      <c r="BZ3757" s="5" t="s">
        <v>238</v>
      </c>
      <c r="CA3757" s="5" t="s">
        <v>238</v>
      </c>
      <c r="CB3757" s="5" t="s">
        <v>238</v>
      </c>
      <c r="CC3757" s="5" t="s">
        <v>238</v>
      </c>
      <c r="CD3757" s="5" t="s">
        <v>273</v>
      </c>
      <c r="CE3757" s="5" t="s">
        <v>256</v>
      </c>
      <c r="CF3757" s="5" t="s">
        <v>261</v>
      </c>
      <c r="CH3757" s="5" t="s">
        <v>494</v>
      </c>
      <c r="CI3757" s="6" t="s">
        <v>257</v>
      </c>
      <c r="CJ3757" s="5" t="s">
        <v>495</v>
      </c>
      <c r="CK3757" s="5" t="s">
        <v>258</v>
      </c>
      <c r="CL3757" s="5" t="s">
        <v>496</v>
      </c>
      <c r="CM3757" s="5" t="s">
        <v>238</v>
      </c>
      <c r="CN3757" s="5">
        <v>0</v>
      </c>
      <c r="CO3757" s="5" t="s">
        <v>497</v>
      </c>
      <c r="CP3757" s="5" t="s">
        <v>260</v>
      </c>
      <c r="CQ3757" s="5" t="s">
        <v>260</v>
      </c>
      <c r="CR3757" s="5" t="s">
        <v>261</v>
      </c>
      <c r="CS3757" s="5" t="s">
        <v>498</v>
      </c>
      <c r="CT3757" s="7">
        <f>1</f>
        <v>1</v>
      </c>
      <c r="CU3757" s="8">
        <f>1</f>
        <v>1</v>
      </c>
      <c r="CV3757" s="8">
        <f>0</f>
        <v>0</v>
      </c>
      <c r="CX3757" s="8">
        <f>1</f>
        <v>1</v>
      </c>
      <c r="CY3757" s="8">
        <f>1</f>
        <v>1</v>
      </c>
      <c r="CZ3757" s="8" t="s">
        <v>238</v>
      </c>
      <c r="DA3757" s="5" t="s">
        <v>238</v>
      </c>
      <c r="DB3757" s="5" t="s">
        <v>238</v>
      </c>
      <c r="DC3757" s="5" t="s">
        <v>238</v>
      </c>
      <c r="DD3757" s="5" t="s">
        <v>238</v>
      </c>
      <c r="DE3757" s="8">
        <f>0</f>
        <v>0</v>
      </c>
      <c r="DG3757" s="5" t="s">
        <v>238</v>
      </c>
      <c r="DH3757" s="5" t="s">
        <v>238</v>
      </c>
      <c r="DI3757" s="5" t="s">
        <v>238</v>
      </c>
      <c r="DJ3757" s="5" t="s">
        <v>238</v>
      </c>
      <c r="DK3757" s="5" t="s">
        <v>238</v>
      </c>
      <c r="DL3757" s="5" t="s">
        <v>238</v>
      </c>
      <c r="DM3757" s="8" t="s">
        <v>238</v>
      </c>
      <c r="DN3757" s="5" t="s">
        <v>238</v>
      </c>
      <c r="DO3757" s="5" t="s">
        <v>244</v>
      </c>
      <c r="DP3757" s="5" t="s">
        <v>490</v>
      </c>
      <c r="DQ3757" s="5" t="s">
        <v>490</v>
      </c>
      <c r="DR3757" s="5" t="s">
        <v>238</v>
      </c>
      <c r="DS3757" s="5" t="s">
        <v>238</v>
      </c>
      <c r="DT3757" s="5" t="s">
        <v>601</v>
      </c>
      <c r="DU3757" s="5" t="s">
        <v>1334</v>
      </c>
      <c r="DV3757" s="5" t="s">
        <v>238</v>
      </c>
      <c r="DW3757" s="5" t="s">
        <v>238</v>
      </c>
      <c r="DX3757" s="5" t="s">
        <v>238</v>
      </c>
      <c r="DY3757" s="5" t="s">
        <v>238</v>
      </c>
      <c r="DZ3757" s="5" t="s">
        <v>238</v>
      </c>
      <c r="EA3757" s="5" t="s">
        <v>238</v>
      </c>
      <c r="EB3757" s="5" t="s">
        <v>238</v>
      </c>
      <c r="EC3757" s="5" t="s">
        <v>238</v>
      </c>
      <c r="ED3757" s="5" t="s">
        <v>238</v>
      </c>
      <c r="EE3757" s="5" t="s">
        <v>238</v>
      </c>
      <c r="EF3757" s="5" t="s">
        <v>238</v>
      </c>
      <c r="EG3757" s="5" t="s">
        <v>238</v>
      </c>
      <c r="EH3757" s="5" t="s">
        <v>238</v>
      </c>
      <c r="EI3757" s="5" t="s">
        <v>238</v>
      </c>
      <c r="EJ3757" s="5" t="s">
        <v>238</v>
      </c>
      <c r="EK3757" s="5" t="s">
        <v>238</v>
      </c>
      <c r="EL3757" s="5" t="s">
        <v>238</v>
      </c>
      <c r="EM3757" s="5" t="s">
        <v>238</v>
      </c>
      <c r="EN3757" s="5" t="s">
        <v>238</v>
      </c>
      <c r="EO3757" s="5" t="s">
        <v>238</v>
      </c>
      <c r="EP3757" s="5" t="s">
        <v>238</v>
      </c>
      <c r="EQ3757" s="5" t="s">
        <v>238</v>
      </c>
      <c r="ER3757" s="5" t="s">
        <v>238</v>
      </c>
      <c r="ES3757" s="5" t="s">
        <v>238</v>
      </c>
      <c r="ET3757" s="5" t="s">
        <v>238</v>
      </c>
      <c r="EU3757" s="5" t="s">
        <v>238</v>
      </c>
      <c r="EV3757" s="5" t="s">
        <v>238</v>
      </c>
      <c r="EW3757" s="5" t="s">
        <v>238</v>
      </c>
      <c r="EX3757" s="5" t="s">
        <v>238</v>
      </c>
      <c r="EY3757" s="5" t="s">
        <v>238</v>
      </c>
      <c r="EZ3757" s="5" t="s">
        <v>238</v>
      </c>
      <c r="FA3757" s="5" t="s">
        <v>238</v>
      </c>
      <c r="FB3757" s="5" t="s">
        <v>238</v>
      </c>
      <c r="FC3757" s="5" t="s">
        <v>238</v>
      </c>
      <c r="FD3757" s="5" t="s">
        <v>238</v>
      </c>
      <c r="FE3757" s="5" t="s">
        <v>238</v>
      </c>
      <c r="FF3757" s="5" t="s">
        <v>238</v>
      </c>
      <c r="FG3757" s="5" t="s">
        <v>238</v>
      </c>
      <c r="FH3757" s="5" t="s">
        <v>238</v>
      </c>
      <c r="FI3757" s="5" t="s">
        <v>238</v>
      </c>
      <c r="FJ3757" s="5" t="s">
        <v>238</v>
      </c>
      <c r="FK3757" s="5" t="s">
        <v>238</v>
      </c>
      <c r="FL3757" s="5" t="s">
        <v>238</v>
      </c>
      <c r="FM3757" s="5" t="s">
        <v>238</v>
      </c>
      <c r="FN3757" s="5" t="s">
        <v>238</v>
      </c>
      <c r="FO3757" s="5" t="s">
        <v>238</v>
      </c>
      <c r="FP3757" s="5" t="s">
        <v>238</v>
      </c>
      <c r="FQ3757" s="5" t="s">
        <v>238</v>
      </c>
      <c r="FR3757" s="5" t="s">
        <v>238</v>
      </c>
      <c r="FS3757" s="5" t="s">
        <v>238</v>
      </c>
      <c r="FT3757" s="5" t="s">
        <v>238</v>
      </c>
      <c r="FU3757" s="5" t="s">
        <v>238</v>
      </c>
      <c r="FV3757" s="5" t="s">
        <v>238</v>
      </c>
      <c r="FW3757" s="5" t="s">
        <v>238</v>
      </c>
      <c r="FX3757" s="5" t="s">
        <v>238</v>
      </c>
      <c r="FY3757" s="5" t="s">
        <v>238</v>
      </c>
      <c r="FZ3757" s="5" t="s">
        <v>238</v>
      </c>
      <c r="GA3757" s="5" t="s">
        <v>238</v>
      </c>
      <c r="GB3757" s="5" t="s">
        <v>238</v>
      </c>
      <c r="GC3757" s="5" t="s">
        <v>238</v>
      </c>
      <c r="GD3757" s="5" t="s">
        <v>238</v>
      </c>
      <c r="GE3757" s="5" t="s">
        <v>238</v>
      </c>
      <c r="GF3757" s="5" t="s">
        <v>238</v>
      </c>
      <c r="GG3757" s="5" t="s">
        <v>238</v>
      </c>
      <c r="GH3757" s="5" t="s">
        <v>238</v>
      </c>
      <c r="GI3757" s="5" t="s">
        <v>238</v>
      </c>
      <c r="GJ3757" s="5" t="s">
        <v>238</v>
      </c>
      <c r="GK3757" s="5" t="s">
        <v>238</v>
      </c>
      <c r="GL3757" s="5" t="s">
        <v>238</v>
      </c>
      <c r="GM3757" s="5" t="s">
        <v>238</v>
      </c>
      <c r="GN3757" s="5" t="s">
        <v>238</v>
      </c>
      <c r="GO3757" s="5" t="s">
        <v>238</v>
      </c>
      <c r="GP3757" s="5" t="s">
        <v>238</v>
      </c>
      <c r="GQ3757" s="5" t="s">
        <v>238</v>
      </c>
      <c r="GR3757" s="5" t="s">
        <v>238</v>
      </c>
      <c r="GS3757" s="5" t="s">
        <v>238</v>
      </c>
      <c r="GT3757" s="5" t="s">
        <v>238</v>
      </c>
      <c r="GU3757" s="5" t="s">
        <v>238</v>
      </c>
      <c r="GV3757" s="5" t="s">
        <v>238</v>
      </c>
      <c r="GW3757" s="5" t="s">
        <v>238</v>
      </c>
      <c r="GX3757" s="5" t="s">
        <v>238</v>
      </c>
      <c r="GY3757" s="5" t="s">
        <v>238</v>
      </c>
      <c r="GZ3757" s="5" t="s">
        <v>238</v>
      </c>
      <c r="HA3757" s="5" t="s">
        <v>238</v>
      </c>
      <c r="HB3757" s="5" t="s">
        <v>238</v>
      </c>
      <c r="HC3757" s="5" t="s">
        <v>238</v>
      </c>
      <c r="HD3757" s="5" t="s">
        <v>238</v>
      </c>
      <c r="HE3757" s="5" t="s">
        <v>238</v>
      </c>
      <c r="HF3757" s="5" t="s">
        <v>238</v>
      </c>
      <c r="HG3757" s="5" t="s">
        <v>238</v>
      </c>
      <c r="HH3757" s="5" t="s">
        <v>238</v>
      </c>
      <c r="HI3757" s="5" t="s">
        <v>238</v>
      </c>
      <c r="HJ3757" s="5" t="s">
        <v>238</v>
      </c>
      <c r="HK3757" s="5" t="s">
        <v>238</v>
      </c>
      <c r="HL3757" s="5" t="s">
        <v>238</v>
      </c>
      <c r="HM3757" s="5" t="s">
        <v>238</v>
      </c>
      <c r="HN3757" s="5" t="s">
        <v>238</v>
      </c>
      <c r="HO3757" s="5" t="s">
        <v>238</v>
      </c>
      <c r="HP3757" s="5" t="s">
        <v>238</v>
      </c>
      <c r="HQ3757" s="5" t="s">
        <v>238</v>
      </c>
      <c r="HR3757" s="5" t="s">
        <v>238</v>
      </c>
      <c r="HS3757" s="5" t="s">
        <v>238</v>
      </c>
      <c r="HT3757" s="5" t="s">
        <v>238</v>
      </c>
      <c r="HU3757" s="5" t="s">
        <v>238</v>
      </c>
      <c r="HV3757" s="5" t="s">
        <v>238</v>
      </c>
      <c r="HW3757" s="5" t="s">
        <v>238</v>
      </c>
      <c r="HX3757" s="5" t="s">
        <v>238</v>
      </c>
      <c r="HY3757" s="5" t="s">
        <v>238</v>
      </c>
      <c r="HZ3757" s="5" t="s">
        <v>238</v>
      </c>
      <c r="IA3757" s="5" t="s">
        <v>238</v>
      </c>
      <c r="IB3757" s="5" t="s">
        <v>238</v>
      </c>
      <c r="IC3757" s="5" t="s">
        <v>238</v>
      </c>
      <c r="ID3757" s="5" t="s">
        <v>238</v>
      </c>
    </row>
    <row r="3758" spans="1:238" x14ac:dyDescent="0.4">
      <c r="A3758" s="5">
        <v>9476</v>
      </c>
      <c r="B3758" s="5">
        <v>1</v>
      </c>
      <c r="C3758" s="5">
        <v>1</v>
      </c>
      <c r="D3758" s="5" t="s">
        <v>484</v>
      </c>
      <c r="E3758" s="5" t="s">
        <v>485</v>
      </c>
      <c r="F3758" s="5" t="s">
        <v>248</v>
      </c>
      <c r="G3758" s="5" t="s">
        <v>4833</v>
      </c>
      <c r="H3758" s="6" t="s">
        <v>4834</v>
      </c>
      <c r="I3758" s="8">
        <f>1</f>
        <v>1</v>
      </c>
      <c r="J3758" s="5" t="s">
        <v>499</v>
      </c>
      <c r="K3758" s="8">
        <f>1</f>
        <v>1</v>
      </c>
      <c r="L3758" s="6" t="s">
        <v>242</v>
      </c>
      <c r="M3758" s="5" t="s">
        <v>267</v>
      </c>
      <c r="N3758" s="5" t="s">
        <v>482</v>
      </c>
      <c r="O3758" s="5" t="s">
        <v>238</v>
      </c>
      <c r="P3758" s="5" t="s">
        <v>238</v>
      </c>
      <c r="Q3758" s="5" t="s">
        <v>239</v>
      </c>
      <c r="R3758" s="5" t="s">
        <v>270</v>
      </c>
      <c r="S3758" s="5" t="s">
        <v>238</v>
      </c>
      <c r="T3758" s="5" t="s">
        <v>238</v>
      </c>
      <c r="U3758" s="5" t="s">
        <v>238</v>
      </c>
      <c r="V3758" s="5" t="s">
        <v>238</v>
      </c>
      <c r="W3758" s="6" t="s">
        <v>238</v>
      </c>
      <c r="X3758" s="6" t="s">
        <v>238</v>
      </c>
      <c r="Y3758" s="5" t="s">
        <v>238</v>
      </c>
      <c r="Z3758" s="6" t="s">
        <v>238</v>
      </c>
      <c r="AA3758" s="6" t="s">
        <v>243</v>
      </c>
      <c r="AB3758" s="5" t="s">
        <v>598</v>
      </c>
      <c r="AC3758" s="5" t="s">
        <v>244</v>
      </c>
      <c r="AD3758" s="5" t="s">
        <v>245</v>
      </c>
      <c r="AE3758" s="5" t="s">
        <v>238</v>
      </c>
      <c r="AF3758" s="5" t="s">
        <v>238</v>
      </c>
      <c r="AG3758" s="5" t="s">
        <v>238</v>
      </c>
      <c r="AH3758" s="5" t="s">
        <v>238</v>
      </c>
      <c r="AI3758" s="5" t="s">
        <v>238</v>
      </c>
      <c r="AJ3758" s="5" t="s">
        <v>238</v>
      </c>
      <c r="AK3758" s="5" t="s">
        <v>238</v>
      </c>
      <c r="AL3758" s="5" t="s">
        <v>238</v>
      </c>
      <c r="AM3758" s="6" t="s">
        <v>238</v>
      </c>
      <c r="AN3758" s="6" t="s">
        <v>238</v>
      </c>
      <c r="AO3758" s="6" t="s">
        <v>238</v>
      </c>
      <c r="AP3758" s="6" t="s">
        <v>238</v>
      </c>
      <c r="AQ3758" s="5" t="s">
        <v>238</v>
      </c>
      <c r="AR3758" s="5" t="s">
        <v>488</v>
      </c>
      <c r="AS3758" s="5" t="s">
        <v>488</v>
      </c>
      <c r="AT3758" s="5" t="s">
        <v>246</v>
      </c>
      <c r="AU3758" s="5" t="s">
        <v>489</v>
      </c>
      <c r="AV3758" s="5" t="s">
        <v>247</v>
      </c>
      <c r="AW3758" s="5" t="s">
        <v>600</v>
      </c>
      <c r="AX3758" s="5" t="s">
        <v>249</v>
      </c>
      <c r="AY3758" s="5" t="s">
        <v>490</v>
      </c>
      <c r="BA3758" s="5" t="s">
        <v>238</v>
      </c>
      <c r="BC3758" s="5" t="s">
        <v>491</v>
      </c>
      <c r="BD3758" s="6" t="s">
        <v>492</v>
      </c>
      <c r="BE3758" s="5" t="s">
        <v>493</v>
      </c>
      <c r="BF3758" s="5" t="s">
        <v>493</v>
      </c>
      <c r="BG3758" s="5" t="s">
        <v>238</v>
      </c>
      <c r="BH3758" s="8">
        <f>1</f>
        <v>1</v>
      </c>
      <c r="BI3758" s="8">
        <f>1</f>
        <v>1</v>
      </c>
      <c r="BJ3758" s="5" t="s">
        <v>253</v>
      </c>
      <c r="BK3758" s="5" t="s">
        <v>254</v>
      </c>
      <c r="BL3758" s="5" t="s">
        <v>238</v>
      </c>
      <c r="BM3758" s="5" t="s">
        <v>238</v>
      </c>
      <c r="BN3758" s="5" t="s">
        <v>238</v>
      </c>
      <c r="BO3758" s="5" t="s">
        <v>238</v>
      </c>
      <c r="BP3758" s="5" t="s">
        <v>238</v>
      </c>
      <c r="BQ3758" s="5" t="s">
        <v>238</v>
      </c>
      <c r="BR3758" s="5" t="s">
        <v>238</v>
      </c>
      <c r="BS3758" s="5" t="s">
        <v>238</v>
      </c>
      <c r="BT3758" s="6" t="s">
        <v>238</v>
      </c>
      <c r="BU3758" s="5" t="s">
        <v>238</v>
      </c>
      <c r="BV3758" s="5" t="s">
        <v>238</v>
      </c>
      <c r="BW3758" s="5" t="s">
        <v>238</v>
      </c>
      <c r="BX3758" s="5" t="s">
        <v>254</v>
      </c>
      <c r="BY3758" s="5" t="s">
        <v>238</v>
      </c>
      <c r="BZ3758" s="5" t="s">
        <v>238</v>
      </c>
      <c r="CA3758" s="5" t="s">
        <v>238</v>
      </c>
      <c r="CB3758" s="5" t="s">
        <v>238</v>
      </c>
      <c r="CC3758" s="5" t="s">
        <v>238</v>
      </c>
      <c r="CD3758" s="5" t="s">
        <v>273</v>
      </c>
      <c r="CE3758" s="5" t="s">
        <v>256</v>
      </c>
      <c r="CF3758" s="5" t="s">
        <v>261</v>
      </c>
      <c r="CH3758" s="5" t="s">
        <v>494</v>
      </c>
      <c r="CI3758" s="6" t="s">
        <v>257</v>
      </c>
      <c r="CJ3758" s="5" t="s">
        <v>495</v>
      </c>
      <c r="CK3758" s="5" t="s">
        <v>258</v>
      </c>
      <c r="CL3758" s="5" t="s">
        <v>496</v>
      </c>
      <c r="CM3758" s="5" t="s">
        <v>238</v>
      </c>
      <c r="CN3758" s="5">
        <v>0</v>
      </c>
      <c r="CO3758" s="5" t="s">
        <v>497</v>
      </c>
      <c r="CP3758" s="5" t="s">
        <v>260</v>
      </c>
      <c r="CQ3758" s="5" t="s">
        <v>260</v>
      </c>
      <c r="CR3758" s="5" t="s">
        <v>261</v>
      </c>
      <c r="CS3758" s="5" t="s">
        <v>498</v>
      </c>
      <c r="CT3758" s="7">
        <f>1</f>
        <v>1</v>
      </c>
      <c r="CU3758" s="8">
        <f>1</f>
        <v>1</v>
      </c>
      <c r="CV3758" s="8">
        <f>0</f>
        <v>0</v>
      </c>
      <c r="CX3758" s="8">
        <f>1</f>
        <v>1</v>
      </c>
      <c r="CY3758" s="8">
        <f>1</f>
        <v>1</v>
      </c>
      <c r="CZ3758" s="8" t="s">
        <v>238</v>
      </c>
      <c r="DA3758" s="5" t="s">
        <v>238</v>
      </c>
      <c r="DB3758" s="5" t="s">
        <v>238</v>
      </c>
      <c r="DC3758" s="5" t="s">
        <v>238</v>
      </c>
      <c r="DD3758" s="5" t="s">
        <v>238</v>
      </c>
      <c r="DE3758" s="8">
        <f>0</f>
        <v>0</v>
      </c>
      <c r="DG3758" s="5" t="s">
        <v>238</v>
      </c>
      <c r="DH3758" s="5" t="s">
        <v>238</v>
      </c>
      <c r="DI3758" s="5" t="s">
        <v>238</v>
      </c>
      <c r="DJ3758" s="5" t="s">
        <v>238</v>
      </c>
      <c r="DK3758" s="5" t="s">
        <v>238</v>
      </c>
      <c r="DL3758" s="5" t="s">
        <v>238</v>
      </c>
      <c r="DM3758" s="8" t="s">
        <v>238</v>
      </c>
      <c r="DN3758" s="5" t="s">
        <v>238</v>
      </c>
      <c r="DO3758" s="5" t="s">
        <v>244</v>
      </c>
      <c r="DP3758" s="5" t="s">
        <v>490</v>
      </c>
      <c r="DQ3758" s="5" t="s">
        <v>490</v>
      </c>
      <c r="DR3758" s="5" t="s">
        <v>238</v>
      </c>
      <c r="DS3758" s="5" t="s">
        <v>238</v>
      </c>
      <c r="DT3758" s="5" t="s">
        <v>601</v>
      </c>
      <c r="DU3758" s="5" t="s">
        <v>1329</v>
      </c>
      <c r="DV3758" s="5" t="s">
        <v>238</v>
      </c>
      <c r="DW3758" s="5" t="s">
        <v>238</v>
      </c>
      <c r="DX3758" s="5" t="s">
        <v>238</v>
      </c>
      <c r="DY3758" s="5" t="s">
        <v>238</v>
      </c>
      <c r="DZ3758" s="5" t="s">
        <v>238</v>
      </c>
      <c r="EA3758" s="5" t="s">
        <v>238</v>
      </c>
      <c r="EB3758" s="5" t="s">
        <v>238</v>
      </c>
      <c r="EC3758" s="5" t="s">
        <v>238</v>
      </c>
      <c r="ED3758" s="5" t="s">
        <v>238</v>
      </c>
      <c r="EE3758" s="5" t="s">
        <v>238</v>
      </c>
      <c r="EF3758" s="5" t="s">
        <v>238</v>
      </c>
      <c r="EG3758" s="5" t="s">
        <v>238</v>
      </c>
      <c r="EH3758" s="5" t="s">
        <v>238</v>
      </c>
      <c r="EI3758" s="5" t="s">
        <v>238</v>
      </c>
      <c r="EJ3758" s="5" t="s">
        <v>238</v>
      </c>
      <c r="EK3758" s="5" t="s">
        <v>238</v>
      </c>
      <c r="EL3758" s="5" t="s">
        <v>238</v>
      </c>
      <c r="EM3758" s="5" t="s">
        <v>238</v>
      </c>
      <c r="EN3758" s="5" t="s">
        <v>238</v>
      </c>
      <c r="EO3758" s="5" t="s">
        <v>238</v>
      </c>
      <c r="EP3758" s="5" t="s">
        <v>238</v>
      </c>
      <c r="EQ3758" s="5" t="s">
        <v>238</v>
      </c>
      <c r="ER3758" s="5" t="s">
        <v>238</v>
      </c>
      <c r="ES3758" s="5" t="s">
        <v>238</v>
      </c>
      <c r="ET3758" s="5" t="s">
        <v>238</v>
      </c>
      <c r="EU3758" s="5" t="s">
        <v>238</v>
      </c>
      <c r="EV3758" s="5" t="s">
        <v>238</v>
      </c>
      <c r="EW3758" s="5" t="s">
        <v>238</v>
      </c>
      <c r="EX3758" s="5" t="s">
        <v>238</v>
      </c>
      <c r="EY3758" s="5" t="s">
        <v>238</v>
      </c>
      <c r="EZ3758" s="5" t="s">
        <v>238</v>
      </c>
      <c r="FA3758" s="5" t="s">
        <v>238</v>
      </c>
      <c r="FB3758" s="5" t="s">
        <v>238</v>
      </c>
      <c r="FC3758" s="5" t="s">
        <v>238</v>
      </c>
      <c r="FD3758" s="5" t="s">
        <v>238</v>
      </c>
      <c r="FE3758" s="5" t="s">
        <v>238</v>
      </c>
      <c r="FF3758" s="5" t="s">
        <v>238</v>
      </c>
      <c r="FG3758" s="5" t="s">
        <v>238</v>
      </c>
      <c r="FH3758" s="5" t="s">
        <v>238</v>
      </c>
      <c r="FI3758" s="5" t="s">
        <v>238</v>
      </c>
      <c r="FJ3758" s="5" t="s">
        <v>238</v>
      </c>
      <c r="FK3758" s="5" t="s">
        <v>238</v>
      </c>
      <c r="FL3758" s="5" t="s">
        <v>238</v>
      </c>
      <c r="FM3758" s="5" t="s">
        <v>238</v>
      </c>
      <c r="FN3758" s="5" t="s">
        <v>238</v>
      </c>
      <c r="FO3758" s="5" t="s">
        <v>238</v>
      </c>
      <c r="FP3758" s="5" t="s">
        <v>238</v>
      </c>
      <c r="FQ3758" s="5" t="s">
        <v>238</v>
      </c>
      <c r="FR3758" s="5" t="s">
        <v>238</v>
      </c>
      <c r="FS3758" s="5" t="s">
        <v>238</v>
      </c>
      <c r="FT3758" s="5" t="s">
        <v>238</v>
      </c>
      <c r="FU3758" s="5" t="s">
        <v>238</v>
      </c>
      <c r="FV3758" s="5" t="s">
        <v>238</v>
      </c>
      <c r="FW3758" s="5" t="s">
        <v>238</v>
      </c>
      <c r="FX3758" s="5" t="s">
        <v>238</v>
      </c>
      <c r="FY3758" s="5" t="s">
        <v>238</v>
      </c>
      <c r="FZ3758" s="5" t="s">
        <v>238</v>
      </c>
      <c r="GA3758" s="5" t="s">
        <v>238</v>
      </c>
      <c r="GB3758" s="5" t="s">
        <v>238</v>
      </c>
      <c r="GC3758" s="5" t="s">
        <v>238</v>
      </c>
      <c r="GD3758" s="5" t="s">
        <v>238</v>
      </c>
      <c r="GE3758" s="5" t="s">
        <v>238</v>
      </c>
      <c r="GF3758" s="5" t="s">
        <v>238</v>
      </c>
      <c r="GG3758" s="5" t="s">
        <v>238</v>
      </c>
      <c r="GH3758" s="5" t="s">
        <v>238</v>
      </c>
      <c r="GI3758" s="5" t="s">
        <v>238</v>
      </c>
      <c r="GJ3758" s="5" t="s">
        <v>238</v>
      </c>
      <c r="GK3758" s="5" t="s">
        <v>238</v>
      </c>
      <c r="GL3758" s="5" t="s">
        <v>238</v>
      </c>
      <c r="GM3758" s="5" t="s">
        <v>238</v>
      </c>
      <c r="GN3758" s="5" t="s">
        <v>238</v>
      </c>
      <c r="GO3758" s="5" t="s">
        <v>238</v>
      </c>
      <c r="GP3758" s="5" t="s">
        <v>238</v>
      </c>
      <c r="GQ3758" s="5" t="s">
        <v>238</v>
      </c>
      <c r="GR3758" s="5" t="s">
        <v>238</v>
      </c>
      <c r="GS3758" s="5" t="s">
        <v>238</v>
      </c>
      <c r="GT3758" s="5" t="s">
        <v>238</v>
      </c>
      <c r="GU3758" s="5" t="s">
        <v>238</v>
      </c>
      <c r="GV3758" s="5" t="s">
        <v>238</v>
      </c>
      <c r="GW3758" s="5" t="s">
        <v>238</v>
      </c>
      <c r="GX3758" s="5" t="s">
        <v>238</v>
      </c>
      <c r="GY3758" s="5" t="s">
        <v>238</v>
      </c>
      <c r="GZ3758" s="5" t="s">
        <v>238</v>
      </c>
      <c r="HA3758" s="5" t="s">
        <v>238</v>
      </c>
      <c r="HB3758" s="5" t="s">
        <v>238</v>
      </c>
      <c r="HC3758" s="5" t="s">
        <v>238</v>
      </c>
      <c r="HD3758" s="5" t="s">
        <v>238</v>
      </c>
      <c r="HE3758" s="5" t="s">
        <v>238</v>
      </c>
      <c r="HF3758" s="5" t="s">
        <v>238</v>
      </c>
      <c r="HG3758" s="5" t="s">
        <v>238</v>
      </c>
      <c r="HH3758" s="5" t="s">
        <v>238</v>
      </c>
      <c r="HI3758" s="5" t="s">
        <v>238</v>
      </c>
      <c r="HJ3758" s="5" t="s">
        <v>238</v>
      </c>
      <c r="HK3758" s="5" t="s">
        <v>238</v>
      </c>
      <c r="HL3758" s="5" t="s">
        <v>238</v>
      </c>
      <c r="HM3758" s="5" t="s">
        <v>238</v>
      </c>
      <c r="HN3758" s="5" t="s">
        <v>238</v>
      </c>
      <c r="HO3758" s="5" t="s">
        <v>238</v>
      </c>
      <c r="HP3758" s="5" t="s">
        <v>238</v>
      </c>
      <c r="HQ3758" s="5" t="s">
        <v>238</v>
      </c>
      <c r="HR3758" s="5" t="s">
        <v>238</v>
      </c>
      <c r="HS3758" s="5" t="s">
        <v>238</v>
      </c>
      <c r="HT3758" s="5" t="s">
        <v>238</v>
      </c>
      <c r="HU3758" s="5" t="s">
        <v>238</v>
      </c>
      <c r="HV3758" s="5" t="s">
        <v>238</v>
      </c>
      <c r="HW3758" s="5" t="s">
        <v>238</v>
      </c>
      <c r="HX3758" s="5" t="s">
        <v>238</v>
      </c>
      <c r="HY3758" s="5" t="s">
        <v>238</v>
      </c>
      <c r="HZ3758" s="5" t="s">
        <v>238</v>
      </c>
      <c r="IA3758" s="5" t="s">
        <v>238</v>
      </c>
      <c r="IB3758" s="5" t="s">
        <v>238</v>
      </c>
      <c r="IC3758" s="5" t="s">
        <v>238</v>
      </c>
      <c r="ID3758" s="5" t="s">
        <v>238</v>
      </c>
    </row>
    <row r="3759" spans="1:238" x14ac:dyDescent="0.4">
      <c r="A3759" s="5">
        <v>9477</v>
      </c>
      <c r="B3759" s="5">
        <v>1</v>
      </c>
      <c r="C3759" s="5">
        <v>1</v>
      </c>
      <c r="D3759" s="5" t="s">
        <v>484</v>
      </c>
      <c r="E3759" s="5" t="s">
        <v>485</v>
      </c>
      <c r="F3759" s="5" t="s">
        <v>248</v>
      </c>
      <c r="G3759" s="5" t="s">
        <v>4666</v>
      </c>
      <c r="H3759" s="6" t="s">
        <v>4667</v>
      </c>
      <c r="I3759" s="8">
        <f>1</f>
        <v>1</v>
      </c>
      <c r="J3759" s="5" t="s">
        <v>499</v>
      </c>
      <c r="K3759" s="8">
        <f>1</f>
        <v>1</v>
      </c>
      <c r="L3759" s="6" t="s">
        <v>242</v>
      </c>
      <c r="M3759" s="5" t="s">
        <v>267</v>
      </c>
      <c r="N3759" s="5" t="s">
        <v>482</v>
      </c>
      <c r="O3759" s="5" t="s">
        <v>238</v>
      </c>
      <c r="P3759" s="5" t="s">
        <v>238</v>
      </c>
      <c r="Q3759" s="5" t="s">
        <v>239</v>
      </c>
      <c r="R3759" s="5" t="s">
        <v>270</v>
      </c>
      <c r="S3759" s="5" t="s">
        <v>238</v>
      </c>
      <c r="T3759" s="5" t="s">
        <v>238</v>
      </c>
      <c r="U3759" s="5" t="s">
        <v>238</v>
      </c>
      <c r="V3759" s="5" t="s">
        <v>238</v>
      </c>
      <c r="W3759" s="6" t="s">
        <v>238</v>
      </c>
      <c r="X3759" s="6" t="s">
        <v>238</v>
      </c>
      <c r="Y3759" s="5" t="s">
        <v>238</v>
      </c>
      <c r="Z3759" s="6" t="s">
        <v>238</v>
      </c>
      <c r="AA3759" s="6" t="s">
        <v>243</v>
      </c>
      <c r="AB3759" s="5" t="s">
        <v>598</v>
      </c>
      <c r="AC3759" s="5" t="s">
        <v>244</v>
      </c>
      <c r="AD3759" s="5" t="s">
        <v>245</v>
      </c>
      <c r="AE3759" s="5" t="s">
        <v>238</v>
      </c>
      <c r="AF3759" s="5" t="s">
        <v>238</v>
      </c>
      <c r="AG3759" s="5" t="s">
        <v>238</v>
      </c>
      <c r="AH3759" s="5" t="s">
        <v>238</v>
      </c>
      <c r="AI3759" s="5" t="s">
        <v>238</v>
      </c>
      <c r="AJ3759" s="5" t="s">
        <v>238</v>
      </c>
      <c r="AK3759" s="5" t="s">
        <v>238</v>
      </c>
      <c r="AL3759" s="5" t="s">
        <v>238</v>
      </c>
      <c r="AM3759" s="6" t="s">
        <v>238</v>
      </c>
      <c r="AN3759" s="6" t="s">
        <v>238</v>
      </c>
      <c r="AO3759" s="6" t="s">
        <v>238</v>
      </c>
      <c r="AP3759" s="6" t="s">
        <v>238</v>
      </c>
      <c r="AQ3759" s="5" t="s">
        <v>238</v>
      </c>
      <c r="AR3759" s="5" t="s">
        <v>488</v>
      </c>
      <c r="AS3759" s="5" t="s">
        <v>488</v>
      </c>
      <c r="AT3759" s="5" t="s">
        <v>246</v>
      </c>
      <c r="AU3759" s="5" t="s">
        <v>489</v>
      </c>
      <c r="AV3759" s="5" t="s">
        <v>247</v>
      </c>
      <c r="AW3759" s="5" t="s">
        <v>600</v>
      </c>
      <c r="AX3759" s="5" t="s">
        <v>249</v>
      </c>
      <c r="AY3759" s="5" t="s">
        <v>490</v>
      </c>
      <c r="BA3759" s="5" t="s">
        <v>238</v>
      </c>
      <c r="BC3759" s="5" t="s">
        <v>491</v>
      </c>
      <c r="BD3759" s="6" t="s">
        <v>492</v>
      </c>
      <c r="BE3759" s="5" t="s">
        <v>493</v>
      </c>
      <c r="BF3759" s="5" t="s">
        <v>493</v>
      </c>
      <c r="BG3759" s="5" t="s">
        <v>238</v>
      </c>
      <c r="BH3759" s="8">
        <f>1</f>
        <v>1</v>
      </c>
      <c r="BI3759" s="8">
        <f>1</f>
        <v>1</v>
      </c>
      <c r="BJ3759" s="5" t="s">
        <v>253</v>
      </c>
      <c r="BK3759" s="5" t="s">
        <v>254</v>
      </c>
      <c r="BL3759" s="5" t="s">
        <v>238</v>
      </c>
      <c r="BM3759" s="5" t="s">
        <v>238</v>
      </c>
      <c r="BN3759" s="5" t="s">
        <v>238</v>
      </c>
      <c r="BO3759" s="5" t="s">
        <v>238</v>
      </c>
      <c r="BP3759" s="5" t="s">
        <v>238</v>
      </c>
      <c r="BQ3759" s="5" t="s">
        <v>238</v>
      </c>
      <c r="BR3759" s="5" t="s">
        <v>238</v>
      </c>
      <c r="BS3759" s="5" t="s">
        <v>238</v>
      </c>
      <c r="BT3759" s="6" t="s">
        <v>238</v>
      </c>
      <c r="BU3759" s="5" t="s">
        <v>238</v>
      </c>
      <c r="BV3759" s="5" t="s">
        <v>238</v>
      </c>
      <c r="BW3759" s="5" t="s">
        <v>238</v>
      </c>
      <c r="BX3759" s="5" t="s">
        <v>254</v>
      </c>
      <c r="BY3759" s="5" t="s">
        <v>238</v>
      </c>
      <c r="BZ3759" s="5" t="s">
        <v>238</v>
      </c>
      <c r="CA3759" s="5" t="s">
        <v>238</v>
      </c>
      <c r="CB3759" s="5" t="s">
        <v>238</v>
      </c>
      <c r="CC3759" s="5" t="s">
        <v>238</v>
      </c>
      <c r="CD3759" s="5" t="s">
        <v>273</v>
      </c>
      <c r="CE3759" s="5" t="s">
        <v>256</v>
      </c>
      <c r="CF3759" s="5" t="s">
        <v>261</v>
      </c>
      <c r="CH3759" s="5" t="s">
        <v>494</v>
      </c>
      <c r="CI3759" s="6" t="s">
        <v>257</v>
      </c>
      <c r="CJ3759" s="5" t="s">
        <v>495</v>
      </c>
      <c r="CK3759" s="5" t="s">
        <v>258</v>
      </c>
      <c r="CL3759" s="5" t="s">
        <v>496</v>
      </c>
      <c r="CM3759" s="5" t="s">
        <v>238</v>
      </c>
      <c r="CN3759" s="5">
        <v>0</v>
      </c>
      <c r="CO3759" s="5" t="s">
        <v>497</v>
      </c>
      <c r="CP3759" s="5" t="s">
        <v>260</v>
      </c>
      <c r="CQ3759" s="5" t="s">
        <v>260</v>
      </c>
      <c r="CR3759" s="5" t="s">
        <v>261</v>
      </c>
      <c r="CS3759" s="5" t="s">
        <v>498</v>
      </c>
      <c r="CT3759" s="7">
        <f>1</f>
        <v>1</v>
      </c>
      <c r="CU3759" s="8">
        <f>1</f>
        <v>1</v>
      </c>
      <c r="CV3759" s="8">
        <f>0</f>
        <v>0</v>
      </c>
      <c r="CX3759" s="8">
        <f>1</f>
        <v>1</v>
      </c>
      <c r="CY3759" s="8">
        <f>1</f>
        <v>1</v>
      </c>
      <c r="CZ3759" s="8" t="s">
        <v>238</v>
      </c>
      <c r="DA3759" s="5" t="s">
        <v>238</v>
      </c>
      <c r="DB3759" s="5" t="s">
        <v>238</v>
      </c>
      <c r="DC3759" s="5" t="s">
        <v>238</v>
      </c>
      <c r="DD3759" s="5" t="s">
        <v>238</v>
      </c>
      <c r="DE3759" s="8">
        <f>0</f>
        <v>0</v>
      </c>
      <c r="DG3759" s="5" t="s">
        <v>238</v>
      </c>
      <c r="DH3759" s="5" t="s">
        <v>238</v>
      </c>
      <c r="DI3759" s="5" t="s">
        <v>238</v>
      </c>
      <c r="DJ3759" s="5" t="s">
        <v>238</v>
      </c>
      <c r="DK3759" s="5" t="s">
        <v>238</v>
      </c>
      <c r="DL3759" s="5" t="s">
        <v>238</v>
      </c>
      <c r="DM3759" s="8" t="s">
        <v>238</v>
      </c>
      <c r="DN3759" s="5" t="s">
        <v>238</v>
      </c>
      <c r="DO3759" s="5" t="s">
        <v>244</v>
      </c>
      <c r="DP3759" s="5" t="s">
        <v>490</v>
      </c>
      <c r="DQ3759" s="5" t="s">
        <v>490</v>
      </c>
      <c r="DR3759" s="5" t="s">
        <v>238</v>
      </c>
      <c r="DS3759" s="5" t="s">
        <v>238</v>
      </c>
      <c r="DT3759" s="5" t="s">
        <v>601</v>
      </c>
      <c r="DU3759" s="5" t="s">
        <v>1320</v>
      </c>
      <c r="DV3759" s="5" t="s">
        <v>238</v>
      </c>
      <c r="DW3759" s="5" t="s">
        <v>238</v>
      </c>
      <c r="DX3759" s="5" t="s">
        <v>238</v>
      </c>
      <c r="DY3759" s="5" t="s">
        <v>238</v>
      </c>
      <c r="DZ3759" s="5" t="s">
        <v>238</v>
      </c>
      <c r="EA3759" s="5" t="s">
        <v>238</v>
      </c>
      <c r="EB3759" s="5" t="s">
        <v>238</v>
      </c>
      <c r="EC3759" s="5" t="s">
        <v>238</v>
      </c>
      <c r="ED3759" s="5" t="s">
        <v>238</v>
      </c>
      <c r="EE3759" s="5" t="s">
        <v>238</v>
      </c>
      <c r="EF3759" s="5" t="s">
        <v>238</v>
      </c>
      <c r="EG3759" s="5" t="s">
        <v>238</v>
      </c>
      <c r="EH3759" s="5" t="s">
        <v>238</v>
      </c>
      <c r="EI3759" s="5" t="s">
        <v>238</v>
      </c>
      <c r="EJ3759" s="5" t="s">
        <v>238</v>
      </c>
      <c r="EK3759" s="5" t="s">
        <v>238</v>
      </c>
      <c r="EL3759" s="5" t="s">
        <v>238</v>
      </c>
      <c r="EM3759" s="5" t="s">
        <v>238</v>
      </c>
      <c r="EN3759" s="5" t="s">
        <v>238</v>
      </c>
      <c r="EO3759" s="5" t="s">
        <v>238</v>
      </c>
      <c r="EP3759" s="5" t="s">
        <v>238</v>
      </c>
      <c r="EQ3759" s="5" t="s">
        <v>238</v>
      </c>
      <c r="ER3759" s="5" t="s">
        <v>238</v>
      </c>
      <c r="ES3759" s="5" t="s">
        <v>238</v>
      </c>
      <c r="ET3759" s="5" t="s">
        <v>238</v>
      </c>
      <c r="EU3759" s="5" t="s">
        <v>238</v>
      </c>
      <c r="EV3759" s="5" t="s">
        <v>238</v>
      </c>
      <c r="EW3759" s="5" t="s">
        <v>238</v>
      </c>
      <c r="EX3759" s="5" t="s">
        <v>238</v>
      </c>
      <c r="EY3759" s="5" t="s">
        <v>238</v>
      </c>
      <c r="EZ3759" s="5" t="s">
        <v>238</v>
      </c>
      <c r="FA3759" s="5" t="s">
        <v>238</v>
      </c>
      <c r="FB3759" s="5" t="s">
        <v>238</v>
      </c>
      <c r="FC3759" s="5" t="s">
        <v>238</v>
      </c>
      <c r="FD3759" s="5" t="s">
        <v>238</v>
      </c>
      <c r="FE3759" s="5" t="s">
        <v>238</v>
      </c>
      <c r="FF3759" s="5" t="s">
        <v>238</v>
      </c>
      <c r="FG3759" s="5" t="s">
        <v>238</v>
      </c>
      <c r="FH3759" s="5" t="s">
        <v>238</v>
      </c>
      <c r="FI3759" s="5" t="s">
        <v>238</v>
      </c>
      <c r="FJ3759" s="5" t="s">
        <v>238</v>
      </c>
      <c r="FK3759" s="5" t="s">
        <v>238</v>
      </c>
      <c r="FL3759" s="5" t="s">
        <v>238</v>
      </c>
      <c r="FM3759" s="5" t="s">
        <v>238</v>
      </c>
      <c r="FN3759" s="5" t="s">
        <v>238</v>
      </c>
      <c r="FO3759" s="5" t="s">
        <v>238</v>
      </c>
      <c r="FP3759" s="5" t="s">
        <v>238</v>
      </c>
      <c r="FQ3759" s="5" t="s">
        <v>238</v>
      </c>
      <c r="FR3759" s="5" t="s">
        <v>238</v>
      </c>
      <c r="FS3759" s="5" t="s">
        <v>238</v>
      </c>
      <c r="FT3759" s="5" t="s">
        <v>238</v>
      </c>
      <c r="FU3759" s="5" t="s">
        <v>238</v>
      </c>
      <c r="FV3759" s="5" t="s">
        <v>238</v>
      </c>
      <c r="FW3759" s="5" t="s">
        <v>238</v>
      </c>
      <c r="FX3759" s="5" t="s">
        <v>238</v>
      </c>
      <c r="FY3759" s="5" t="s">
        <v>238</v>
      </c>
      <c r="FZ3759" s="5" t="s">
        <v>238</v>
      </c>
      <c r="GA3759" s="5" t="s">
        <v>238</v>
      </c>
      <c r="GB3759" s="5" t="s">
        <v>238</v>
      </c>
      <c r="GC3759" s="5" t="s">
        <v>238</v>
      </c>
      <c r="GD3759" s="5" t="s">
        <v>238</v>
      </c>
      <c r="GE3759" s="5" t="s">
        <v>238</v>
      </c>
      <c r="GF3759" s="5" t="s">
        <v>238</v>
      </c>
      <c r="GG3759" s="5" t="s">
        <v>238</v>
      </c>
      <c r="GH3759" s="5" t="s">
        <v>238</v>
      </c>
      <c r="GI3759" s="5" t="s">
        <v>238</v>
      </c>
      <c r="GJ3759" s="5" t="s">
        <v>238</v>
      </c>
      <c r="GK3759" s="5" t="s">
        <v>238</v>
      </c>
      <c r="GL3759" s="5" t="s">
        <v>238</v>
      </c>
      <c r="GM3759" s="5" t="s">
        <v>238</v>
      </c>
      <c r="GN3759" s="5" t="s">
        <v>238</v>
      </c>
      <c r="GO3759" s="5" t="s">
        <v>238</v>
      </c>
      <c r="GP3759" s="5" t="s">
        <v>238</v>
      </c>
      <c r="GQ3759" s="5" t="s">
        <v>238</v>
      </c>
      <c r="GR3759" s="5" t="s">
        <v>238</v>
      </c>
      <c r="GS3759" s="5" t="s">
        <v>238</v>
      </c>
      <c r="GT3759" s="5" t="s">
        <v>238</v>
      </c>
      <c r="GU3759" s="5" t="s">
        <v>238</v>
      </c>
      <c r="GV3759" s="5" t="s">
        <v>238</v>
      </c>
      <c r="GW3759" s="5" t="s">
        <v>238</v>
      </c>
      <c r="GX3759" s="5" t="s">
        <v>238</v>
      </c>
      <c r="GY3759" s="5" t="s">
        <v>238</v>
      </c>
      <c r="GZ3759" s="5" t="s">
        <v>238</v>
      </c>
      <c r="HA3759" s="5" t="s">
        <v>238</v>
      </c>
      <c r="HB3759" s="5" t="s">
        <v>238</v>
      </c>
      <c r="HC3759" s="5" t="s">
        <v>238</v>
      </c>
      <c r="HD3759" s="5" t="s">
        <v>238</v>
      </c>
      <c r="HE3759" s="5" t="s">
        <v>238</v>
      </c>
      <c r="HF3759" s="5" t="s">
        <v>238</v>
      </c>
      <c r="HG3759" s="5" t="s">
        <v>238</v>
      </c>
      <c r="HH3759" s="5" t="s">
        <v>238</v>
      </c>
      <c r="HI3759" s="5" t="s">
        <v>238</v>
      </c>
      <c r="HJ3759" s="5" t="s">
        <v>238</v>
      </c>
      <c r="HK3759" s="5" t="s">
        <v>238</v>
      </c>
      <c r="HL3759" s="5" t="s">
        <v>238</v>
      </c>
      <c r="HM3759" s="5" t="s">
        <v>238</v>
      </c>
      <c r="HN3759" s="5" t="s">
        <v>238</v>
      </c>
      <c r="HO3759" s="5" t="s">
        <v>238</v>
      </c>
      <c r="HP3759" s="5" t="s">
        <v>238</v>
      </c>
      <c r="HQ3759" s="5" t="s">
        <v>238</v>
      </c>
      <c r="HR3759" s="5" t="s">
        <v>238</v>
      </c>
      <c r="HS3759" s="5" t="s">
        <v>238</v>
      </c>
      <c r="HT3759" s="5" t="s">
        <v>238</v>
      </c>
      <c r="HU3759" s="5" t="s">
        <v>238</v>
      </c>
      <c r="HV3759" s="5" t="s">
        <v>238</v>
      </c>
      <c r="HW3759" s="5" t="s">
        <v>238</v>
      </c>
      <c r="HX3759" s="5" t="s">
        <v>238</v>
      </c>
      <c r="HY3759" s="5" t="s">
        <v>238</v>
      </c>
      <c r="HZ3759" s="5" t="s">
        <v>238</v>
      </c>
      <c r="IA3759" s="5" t="s">
        <v>238</v>
      </c>
      <c r="IB3759" s="5" t="s">
        <v>238</v>
      </c>
      <c r="IC3759" s="5" t="s">
        <v>238</v>
      </c>
      <c r="ID3759" s="5" t="s">
        <v>238</v>
      </c>
    </row>
    <row r="3760" spans="1:238" x14ac:dyDescent="0.4">
      <c r="A3760" s="5">
        <v>9478</v>
      </c>
      <c r="B3760" s="5">
        <v>1</v>
      </c>
      <c r="C3760" s="5">
        <v>1</v>
      </c>
      <c r="D3760" s="5" t="s">
        <v>484</v>
      </c>
      <c r="E3760" s="5" t="s">
        <v>485</v>
      </c>
      <c r="F3760" s="5" t="s">
        <v>248</v>
      </c>
      <c r="G3760" s="5" t="s">
        <v>6467</v>
      </c>
      <c r="H3760" s="6" t="s">
        <v>6468</v>
      </c>
      <c r="I3760" s="8">
        <f>1</f>
        <v>1</v>
      </c>
      <c r="J3760" s="5" t="s">
        <v>499</v>
      </c>
      <c r="K3760" s="8">
        <f>1</f>
        <v>1</v>
      </c>
      <c r="L3760" s="6" t="s">
        <v>242</v>
      </c>
      <c r="M3760" s="5" t="s">
        <v>267</v>
      </c>
      <c r="N3760" s="5" t="s">
        <v>482</v>
      </c>
      <c r="O3760" s="5" t="s">
        <v>238</v>
      </c>
      <c r="P3760" s="5" t="s">
        <v>238</v>
      </c>
      <c r="Q3760" s="5" t="s">
        <v>239</v>
      </c>
      <c r="R3760" s="5" t="s">
        <v>270</v>
      </c>
      <c r="S3760" s="5" t="s">
        <v>238</v>
      </c>
      <c r="T3760" s="5" t="s">
        <v>238</v>
      </c>
      <c r="U3760" s="5" t="s">
        <v>238</v>
      </c>
      <c r="V3760" s="5" t="s">
        <v>238</v>
      </c>
      <c r="W3760" s="6" t="s">
        <v>238</v>
      </c>
      <c r="X3760" s="6" t="s">
        <v>238</v>
      </c>
      <c r="Y3760" s="5" t="s">
        <v>238</v>
      </c>
      <c r="Z3760" s="6" t="s">
        <v>238</v>
      </c>
      <c r="AA3760" s="6" t="s">
        <v>243</v>
      </c>
      <c r="AB3760" s="5" t="s">
        <v>598</v>
      </c>
      <c r="AC3760" s="5" t="s">
        <v>244</v>
      </c>
      <c r="AD3760" s="5" t="s">
        <v>245</v>
      </c>
      <c r="AE3760" s="5" t="s">
        <v>238</v>
      </c>
      <c r="AF3760" s="5" t="s">
        <v>238</v>
      </c>
      <c r="AG3760" s="5" t="s">
        <v>238</v>
      </c>
      <c r="AH3760" s="5" t="s">
        <v>238</v>
      </c>
      <c r="AI3760" s="5" t="s">
        <v>238</v>
      </c>
      <c r="AJ3760" s="5" t="s">
        <v>238</v>
      </c>
      <c r="AK3760" s="5" t="s">
        <v>238</v>
      </c>
      <c r="AL3760" s="5" t="s">
        <v>238</v>
      </c>
      <c r="AM3760" s="6" t="s">
        <v>238</v>
      </c>
      <c r="AN3760" s="6" t="s">
        <v>238</v>
      </c>
      <c r="AO3760" s="6" t="s">
        <v>238</v>
      </c>
      <c r="AP3760" s="6" t="s">
        <v>238</v>
      </c>
      <c r="AQ3760" s="5" t="s">
        <v>238</v>
      </c>
      <c r="AR3760" s="5" t="s">
        <v>488</v>
      </c>
      <c r="AS3760" s="5" t="s">
        <v>488</v>
      </c>
      <c r="AT3760" s="5" t="s">
        <v>246</v>
      </c>
      <c r="AU3760" s="5" t="s">
        <v>489</v>
      </c>
      <c r="AV3760" s="5" t="s">
        <v>247</v>
      </c>
      <c r="AW3760" s="5" t="s">
        <v>600</v>
      </c>
      <c r="AX3760" s="5" t="s">
        <v>249</v>
      </c>
      <c r="AY3760" s="5" t="s">
        <v>490</v>
      </c>
      <c r="BA3760" s="5" t="s">
        <v>238</v>
      </c>
      <c r="BC3760" s="5" t="s">
        <v>491</v>
      </c>
      <c r="BD3760" s="6" t="s">
        <v>492</v>
      </c>
      <c r="BE3760" s="5" t="s">
        <v>493</v>
      </c>
      <c r="BF3760" s="5" t="s">
        <v>493</v>
      </c>
      <c r="BG3760" s="5" t="s">
        <v>238</v>
      </c>
      <c r="BH3760" s="8">
        <f>1</f>
        <v>1</v>
      </c>
      <c r="BI3760" s="8">
        <f>1</f>
        <v>1</v>
      </c>
      <c r="BJ3760" s="5" t="s">
        <v>253</v>
      </c>
      <c r="BK3760" s="5" t="s">
        <v>254</v>
      </c>
      <c r="BL3760" s="5" t="s">
        <v>238</v>
      </c>
      <c r="BM3760" s="5" t="s">
        <v>238</v>
      </c>
      <c r="BN3760" s="5" t="s">
        <v>238</v>
      </c>
      <c r="BO3760" s="5" t="s">
        <v>238</v>
      </c>
      <c r="BP3760" s="5" t="s">
        <v>238</v>
      </c>
      <c r="BQ3760" s="5" t="s">
        <v>238</v>
      </c>
      <c r="BR3760" s="5" t="s">
        <v>238</v>
      </c>
      <c r="BS3760" s="5" t="s">
        <v>238</v>
      </c>
      <c r="BT3760" s="6" t="s">
        <v>238</v>
      </c>
      <c r="BU3760" s="5" t="s">
        <v>238</v>
      </c>
      <c r="BV3760" s="5" t="s">
        <v>238</v>
      </c>
      <c r="BW3760" s="5" t="s">
        <v>238</v>
      </c>
      <c r="BX3760" s="5" t="s">
        <v>254</v>
      </c>
      <c r="BY3760" s="5" t="s">
        <v>238</v>
      </c>
      <c r="BZ3760" s="5" t="s">
        <v>238</v>
      </c>
      <c r="CA3760" s="5" t="s">
        <v>238</v>
      </c>
      <c r="CB3760" s="5" t="s">
        <v>238</v>
      </c>
      <c r="CC3760" s="5" t="s">
        <v>238</v>
      </c>
      <c r="CD3760" s="5" t="s">
        <v>273</v>
      </c>
      <c r="CE3760" s="5" t="s">
        <v>256</v>
      </c>
      <c r="CF3760" s="5" t="s">
        <v>261</v>
      </c>
      <c r="CH3760" s="5" t="s">
        <v>494</v>
      </c>
      <c r="CI3760" s="6" t="s">
        <v>257</v>
      </c>
      <c r="CJ3760" s="5" t="s">
        <v>495</v>
      </c>
      <c r="CK3760" s="5" t="s">
        <v>258</v>
      </c>
      <c r="CL3760" s="5" t="s">
        <v>496</v>
      </c>
      <c r="CM3760" s="5" t="s">
        <v>238</v>
      </c>
      <c r="CN3760" s="5">
        <v>0</v>
      </c>
      <c r="CO3760" s="5" t="s">
        <v>497</v>
      </c>
      <c r="CP3760" s="5" t="s">
        <v>260</v>
      </c>
      <c r="CQ3760" s="5" t="s">
        <v>260</v>
      </c>
      <c r="CR3760" s="5" t="s">
        <v>261</v>
      </c>
      <c r="CS3760" s="5" t="s">
        <v>498</v>
      </c>
      <c r="CT3760" s="7">
        <f>1</f>
        <v>1</v>
      </c>
      <c r="CU3760" s="8">
        <f>1</f>
        <v>1</v>
      </c>
      <c r="CV3760" s="8">
        <f>0</f>
        <v>0</v>
      </c>
      <c r="CX3760" s="8">
        <f>1</f>
        <v>1</v>
      </c>
      <c r="CY3760" s="8">
        <f>1</f>
        <v>1</v>
      </c>
      <c r="CZ3760" s="8" t="s">
        <v>238</v>
      </c>
      <c r="DA3760" s="5" t="s">
        <v>238</v>
      </c>
      <c r="DB3760" s="5" t="s">
        <v>238</v>
      </c>
      <c r="DC3760" s="5" t="s">
        <v>238</v>
      </c>
      <c r="DD3760" s="5" t="s">
        <v>238</v>
      </c>
      <c r="DE3760" s="8">
        <f>0</f>
        <v>0</v>
      </c>
      <c r="DG3760" s="5" t="s">
        <v>238</v>
      </c>
      <c r="DH3760" s="5" t="s">
        <v>238</v>
      </c>
      <c r="DI3760" s="5" t="s">
        <v>238</v>
      </c>
      <c r="DJ3760" s="5" t="s">
        <v>238</v>
      </c>
      <c r="DK3760" s="5" t="s">
        <v>238</v>
      </c>
      <c r="DL3760" s="5" t="s">
        <v>238</v>
      </c>
      <c r="DM3760" s="8" t="s">
        <v>238</v>
      </c>
      <c r="DN3760" s="5" t="s">
        <v>238</v>
      </c>
      <c r="DO3760" s="5" t="s">
        <v>244</v>
      </c>
      <c r="DP3760" s="5" t="s">
        <v>490</v>
      </c>
      <c r="DQ3760" s="5" t="s">
        <v>490</v>
      </c>
      <c r="DR3760" s="5" t="s">
        <v>238</v>
      </c>
      <c r="DS3760" s="5" t="s">
        <v>238</v>
      </c>
      <c r="DT3760" s="5" t="s">
        <v>601</v>
      </c>
      <c r="DU3760" s="5" t="s">
        <v>1318</v>
      </c>
      <c r="DV3760" s="5" t="s">
        <v>238</v>
      </c>
      <c r="DW3760" s="5" t="s">
        <v>238</v>
      </c>
      <c r="DX3760" s="5" t="s">
        <v>238</v>
      </c>
      <c r="DY3760" s="5" t="s">
        <v>238</v>
      </c>
      <c r="DZ3760" s="5" t="s">
        <v>238</v>
      </c>
      <c r="EA3760" s="5" t="s">
        <v>238</v>
      </c>
      <c r="EB3760" s="5" t="s">
        <v>238</v>
      </c>
      <c r="EC3760" s="5" t="s">
        <v>238</v>
      </c>
      <c r="ED3760" s="5" t="s">
        <v>238</v>
      </c>
      <c r="EE3760" s="5" t="s">
        <v>238</v>
      </c>
      <c r="EF3760" s="5" t="s">
        <v>238</v>
      </c>
      <c r="EG3760" s="5" t="s">
        <v>238</v>
      </c>
      <c r="EH3760" s="5" t="s">
        <v>238</v>
      </c>
      <c r="EI3760" s="5" t="s">
        <v>238</v>
      </c>
      <c r="EJ3760" s="5" t="s">
        <v>238</v>
      </c>
      <c r="EK3760" s="5" t="s">
        <v>238</v>
      </c>
      <c r="EL3760" s="5" t="s">
        <v>238</v>
      </c>
      <c r="EM3760" s="5" t="s">
        <v>238</v>
      </c>
      <c r="EN3760" s="5" t="s">
        <v>238</v>
      </c>
      <c r="EO3760" s="5" t="s">
        <v>238</v>
      </c>
      <c r="EP3760" s="5" t="s">
        <v>238</v>
      </c>
      <c r="EQ3760" s="5" t="s">
        <v>238</v>
      </c>
      <c r="ER3760" s="5" t="s">
        <v>238</v>
      </c>
      <c r="ES3760" s="5" t="s">
        <v>238</v>
      </c>
      <c r="ET3760" s="5" t="s">
        <v>238</v>
      </c>
      <c r="EU3760" s="5" t="s">
        <v>238</v>
      </c>
      <c r="EV3760" s="5" t="s">
        <v>238</v>
      </c>
      <c r="EW3760" s="5" t="s">
        <v>238</v>
      </c>
      <c r="EX3760" s="5" t="s">
        <v>238</v>
      </c>
      <c r="EY3760" s="5" t="s">
        <v>238</v>
      </c>
      <c r="EZ3760" s="5" t="s">
        <v>238</v>
      </c>
      <c r="FA3760" s="5" t="s">
        <v>238</v>
      </c>
      <c r="FB3760" s="5" t="s">
        <v>238</v>
      </c>
      <c r="FC3760" s="5" t="s">
        <v>238</v>
      </c>
      <c r="FD3760" s="5" t="s">
        <v>238</v>
      </c>
      <c r="FE3760" s="5" t="s">
        <v>238</v>
      </c>
      <c r="FF3760" s="5" t="s">
        <v>238</v>
      </c>
      <c r="FG3760" s="5" t="s">
        <v>238</v>
      </c>
      <c r="FH3760" s="5" t="s">
        <v>238</v>
      </c>
      <c r="FI3760" s="5" t="s">
        <v>238</v>
      </c>
      <c r="FJ3760" s="5" t="s">
        <v>238</v>
      </c>
      <c r="FK3760" s="5" t="s">
        <v>238</v>
      </c>
      <c r="FL3760" s="5" t="s">
        <v>238</v>
      </c>
      <c r="FM3760" s="5" t="s">
        <v>238</v>
      </c>
      <c r="FN3760" s="5" t="s">
        <v>238</v>
      </c>
      <c r="FO3760" s="5" t="s">
        <v>238</v>
      </c>
      <c r="FP3760" s="5" t="s">
        <v>238</v>
      </c>
      <c r="FQ3760" s="5" t="s">
        <v>238</v>
      </c>
      <c r="FR3760" s="5" t="s">
        <v>238</v>
      </c>
      <c r="FS3760" s="5" t="s">
        <v>238</v>
      </c>
      <c r="FT3760" s="5" t="s">
        <v>238</v>
      </c>
      <c r="FU3760" s="5" t="s">
        <v>238</v>
      </c>
      <c r="FV3760" s="5" t="s">
        <v>238</v>
      </c>
      <c r="FW3760" s="5" t="s">
        <v>238</v>
      </c>
      <c r="FX3760" s="5" t="s">
        <v>238</v>
      </c>
      <c r="FY3760" s="5" t="s">
        <v>238</v>
      </c>
      <c r="FZ3760" s="5" t="s">
        <v>238</v>
      </c>
      <c r="GA3760" s="5" t="s">
        <v>238</v>
      </c>
      <c r="GB3760" s="5" t="s">
        <v>238</v>
      </c>
      <c r="GC3760" s="5" t="s">
        <v>238</v>
      </c>
      <c r="GD3760" s="5" t="s">
        <v>238</v>
      </c>
      <c r="GE3760" s="5" t="s">
        <v>238</v>
      </c>
      <c r="GF3760" s="5" t="s">
        <v>238</v>
      </c>
      <c r="GG3760" s="5" t="s">
        <v>238</v>
      </c>
      <c r="GH3760" s="5" t="s">
        <v>238</v>
      </c>
      <c r="GI3760" s="5" t="s">
        <v>238</v>
      </c>
      <c r="GJ3760" s="5" t="s">
        <v>238</v>
      </c>
      <c r="GK3760" s="5" t="s">
        <v>238</v>
      </c>
      <c r="GL3760" s="5" t="s">
        <v>238</v>
      </c>
      <c r="GM3760" s="5" t="s">
        <v>238</v>
      </c>
      <c r="GN3760" s="5" t="s">
        <v>238</v>
      </c>
      <c r="GO3760" s="5" t="s">
        <v>238</v>
      </c>
      <c r="GP3760" s="5" t="s">
        <v>238</v>
      </c>
      <c r="GQ3760" s="5" t="s">
        <v>238</v>
      </c>
      <c r="GR3760" s="5" t="s">
        <v>238</v>
      </c>
      <c r="GS3760" s="5" t="s">
        <v>238</v>
      </c>
      <c r="GT3760" s="5" t="s">
        <v>238</v>
      </c>
      <c r="GU3760" s="5" t="s">
        <v>238</v>
      </c>
      <c r="GV3760" s="5" t="s">
        <v>238</v>
      </c>
      <c r="GW3760" s="5" t="s">
        <v>238</v>
      </c>
      <c r="GX3760" s="5" t="s">
        <v>238</v>
      </c>
      <c r="GY3760" s="5" t="s">
        <v>238</v>
      </c>
      <c r="GZ3760" s="5" t="s">
        <v>238</v>
      </c>
      <c r="HA3760" s="5" t="s">
        <v>238</v>
      </c>
      <c r="HB3760" s="5" t="s">
        <v>238</v>
      </c>
      <c r="HC3760" s="5" t="s">
        <v>238</v>
      </c>
      <c r="HD3760" s="5" t="s">
        <v>238</v>
      </c>
      <c r="HE3760" s="5" t="s">
        <v>238</v>
      </c>
      <c r="HF3760" s="5" t="s">
        <v>238</v>
      </c>
      <c r="HG3760" s="5" t="s">
        <v>238</v>
      </c>
      <c r="HH3760" s="5" t="s">
        <v>238</v>
      </c>
      <c r="HI3760" s="5" t="s">
        <v>238</v>
      </c>
      <c r="HJ3760" s="5" t="s">
        <v>238</v>
      </c>
      <c r="HK3760" s="5" t="s">
        <v>238</v>
      </c>
      <c r="HL3760" s="5" t="s">
        <v>238</v>
      </c>
      <c r="HM3760" s="5" t="s">
        <v>238</v>
      </c>
      <c r="HN3760" s="5" t="s">
        <v>238</v>
      </c>
      <c r="HO3760" s="5" t="s">
        <v>238</v>
      </c>
      <c r="HP3760" s="5" t="s">
        <v>238</v>
      </c>
      <c r="HQ3760" s="5" t="s">
        <v>238</v>
      </c>
      <c r="HR3760" s="5" t="s">
        <v>238</v>
      </c>
      <c r="HS3760" s="5" t="s">
        <v>238</v>
      </c>
      <c r="HT3760" s="5" t="s">
        <v>238</v>
      </c>
      <c r="HU3760" s="5" t="s">
        <v>238</v>
      </c>
      <c r="HV3760" s="5" t="s">
        <v>238</v>
      </c>
      <c r="HW3760" s="5" t="s">
        <v>238</v>
      </c>
      <c r="HX3760" s="5" t="s">
        <v>238</v>
      </c>
      <c r="HY3760" s="5" t="s">
        <v>238</v>
      </c>
      <c r="HZ3760" s="5" t="s">
        <v>238</v>
      </c>
      <c r="IA3760" s="5" t="s">
        <v>238</v>
      </c>
      <c r="IB3760" s="5" t="s">
        <v>238</v>
      </c>
      <c r="IC3760" s="5" t="s">
        <v>238</v>
      </c>
      <c r="ID3760" s="5" t="s">
        <v>238</v>
      </c>
    </row>
    <row r="3761" spans="1:238" x14ac:dyDescent="0.4">
      <c r="A3761" s="5">
        <v>9479</v>
      </c>
      <c r="B3761" s="5">
        <v>1</v>
      </c>
      <c r="C3761" s="5">
        <v>1</v>
      </c>
      <c r="D3761" s="5" t="s">
        <v>484</v>
      </c>
      <c r="E3761" s="5" t="s">
        <v>241</v>
      </c>
      <c r="F3761" s="5" t="s">
        <v>1684</v>
      </c>
      <c r="G3761" s="5" t="s">
        <v>531</v>
      </c>
      <c r="H3761" s="6" t="s">
        <v>6904</v>
      </c>
      <c r="I3761" s="7">
        <f>952</f>
        <v>952</v>
      </c>
      <c r="J3761" s="5" t="s">
        <v>262</v>
      </c>
      <c r="K3761" s="8">
        <f>39032</f>
        <v>39032</v>
      </c>
      <c r="L3761" s="6" t="s">
        <v>242</v>
      </c>
      <c r="M3761" s="5" t="s">
        <v>267</v>
      </c>
      <c r="N3761" s="5" t="s">
        <v>482</v>
      </c>
      <c r="Q3761" s="5" t="s">
        <v>239</v>
      </c>
      <c r="R3761" s="5" t="s">
        <v>270</v>
      </c>
      <c r="S3761" s="5" t="s">
        <v>238</v>
      </c>
      <c r="V3761" s="5" t="s">
        <v>238</v>
      </c>
      <c r="W3761" s="6" t="s">
        <v>238</v>
      </c>
      <c r="X3761" s="6" t="s">
        <v>238</v>
      </c>
      <c r="Y3761" s="5" t="s">
        <v>238</v>
      </c>
      <c r="Z3761" s="6" t="s">
        <v>238</v>
      </c>
      <c r="AA3761" s="6" t="s">
        <v>6645</v>
      </c>
      <c r="AB3761" s="5" t="s">
        <v>6903</v>
      </c>
      <c r="AC3761" s="5" t="s">
        <v>244</v>
      </c>
      <c r="AD3761" s="5" t="s">
        <v>245</v>
      </c>
      <c r="AJ3761" s="5" t="s">
        <v>238</v>
      </c>
      <c r="AK3761" s="5" t="s">
        <v>238</v>
      </c>
      <c r="AL3761" s="5" t="s">
        <v>238</v>
      </c>
      <c r="AM3761" s="6" t="s">
        <v>238</v>
      </c>
      <c r="AN3761" s="6" t="s">
        <v>238</v>
      </c>
      <c r="AO3761" s="6" t="s">
        <v>238</v>
      </c>
      <c r="AR3761" s="5" t="s">
        <v>488</v>
      </c>
      <c r="AS3761" s="5" t="s">
        <v>488</v>
      </c>
      <c r="AT3761" s="5" t="s">
        <v>246</v>
      </c>
      <c r="AU3761" s="5" t="s">
        <v>489</v>
      </c>
      <c r="AV3761" s="5" t="s">
        <v>247</v>
      </c>
      <c r="AW3761" s="5" t="s">
        <v>600</v>
      </c>
      <c r="AX3761" s="5" t="s">
        <v>249</v>
      </c>
      <c r="AY3761" s="5" t="s">
        <v>490</v>
      </c>
      <c r="BA3761" s="5" t="s">
        <v>2210</v>
      </c>
      <c r="BC3761" s="5" t="s">
        <v>491</v>
      </c>
      <c r="BD3761" s="6" t="s">
        <v>492</v>
      </c>
      <c r="BE3761" s="5" t="s">
        <v>493</v>
      </c>
      <c r="BF3761" s="5" t="s">
        <v>493</v>
      </c>
      <c r="BG3761" s="5" t="s">
        <v>238</v>
      </c>
      <c r="BH3761" s="7">
        <f>952</f>
        <v>952</v>
      </c>
      <c r="BI3761" s="8">
        <f>39032</f>
        <v>39032</v>
      </c>
      <c r="BJ3761" s="5" t="s">
        <v>253</v>
      </c>
      <c r="BK3761" s="5" t="s">
        <v>254</v>
      </c>
      <c r="BL3761" s="5" t="s">
        <v>238</v>
      </c>
      <c r="BM3761" s="5" t="s">
        <v>238</v>
      </c>
      <c r="BN3761" s="5" t="s">
        <v>238</v>
      </c>
      <c r="BO3761" s="5" t="s">
        <v>238</v>
      </c>
      <c r="BT3761" s="6" t="s">
        <v>238</v>
      </c>
      <c r="BU3761" s="5" t="s">
        <v>238</v>
      </c>
      <c r="BV3761" s="5" t="s">
        <v>238</v>
      </c>
      <c r="BW3761" s="5" t="s">
        <v>238</v>
      </c>
      <c r="BX3761" s="5" t="s">
        <v>254</v>
      </c>
      <c r="BY3761" s="5" t="s">
        <v>238</v>
      </c>
      <c r="BZ3761" s="5" t="s">
        <v>238</v>
      </c>
      <c r="CD3761" s="5" t="s">
        <v>238</v>
      </c>
      <c r="CE3761" s="5" t="s">
        <v>238</v>
      </c>
      <c r="CF3761" s="5" t="s">
        <v>261</v>
      </c>
      <c r="CH3761" s="5" t="s">
        <v>238</v>
      </c>
      <c r="CI3761" s="6" t="s">
        <v>257</v>
      </c>
      <c r="CJ3761" s="5" t="s">
        <v>495</v>
      </c>
      <c r="CK3761" s="5" t="s">
        <v>258</v>
      </c>
      <c r="CL3761" s="5" t="s">
        <v>496</v>
      </c>
      <c r="CM3761" s="5" t="s">
        <v>238</v>
      </c>
      <c r="CN3761" s="5">
        <v>0</v>
      </c>
      <c r="CO3761" s="5" t="s">
        <v>497</v>
      </c>
      <c r="CP3761" s="5" t="s">
        <v>260</v>
      </c>
      <c r="CQ3761" s="5" t="s">
        <v>260</v>
      </c>
      <c r="CR3761" s="5" t="s">
        <v>261</v>
      </c>
      <c r="CS3761" s="5" t="s">
        <v>238</v>
      </c>
      <c r="CT3761" s="7">
        <f>41</f>
        <v>41</v>
      </c>
      <c r="CU3761" s="8">
        <f>39032</f>
        <v>39032</v>
      </c>
      <c r="CV3761" s="8">
        <f>0</f>
        <v>0</v>
      </c>
      <c r="CW3761" s="8">
        <f>0</f>
        <v>0</v>
      </c>
      <c r="CX3761" s="8">
        <f>39032</f>
        <v>39032</v>
      </c>
      <c r="CY3761" s="8">
        <f>39032</f>
        <v>39032</v>
      </c>
      <c r="CZ3761" s="8" t="s">
        <v>238</v>
      </c>
      <c r="DA3761" s="5" t="s">
        <v>238</v>
      </c>
      <c r="DB3761" s="5" t="s">
        <v>238</v>
      </c>
      <c r="DD3761" s="5" t="s">
        <v>389</v>
      </c>
      <c r="DE3761" s="8">
        <f>952</f>
        <v>952</v>
      </c>
      <c r="DF3761" s="6" t="s">
        <v>238</v>
      </c>
      <c r="DG3761" s="5" t="s">
        <v>389</v>
      </c>
      <c r="DH3761" s="5" t="s">
        <v>238</v>
      </c>
      <c r="DI3761" s="5" t="s">
        <v>238</v>
      </c>
      <c r="DJ3761" s="5" t="s">
        <v>238</v>
      </c>
      <c r="DK3761" s="5" t="s">
        <v>238</v>
      </c>
      <c r="DL3761" s="5" t="s">
        <v>238</v>
      </c>
      <c r="DM3761" s="8" t="s">
        <v>238</v>
      </c>
      <c r="DN3761" s="5" t="s">
        <v>238</v>
      </c>
      <c r="DO3761" s="5" t="s">
        <v>244</v>
      </c>
      <c r="DP3761" s="5" t="s">
        <v>490</v>
      </c>
      <c r="DQ3761" s="5" t="s">
        <v>490</v>
      </c>
      <c r="DR3761" s="5" t="s">
        <v>238</v>
      </c>
      <c r="DS3761" s="5" t="s">
        <v>238</v>
      </c>
      <c r="HP3761" s="5" t="s">
        <v>238</v>
      </c>
      <c r="HQ3761" s="5" t="s">
        <v>238</v>
      </c>
      <c r="HR3761" s="5" t="s">
        <v>238</v>
      </c>
      <c r="HS3761" s="5" t="s">
        <v>238</v>
      </c>
      <c r="HT3761" s="5" t="s">
        <v>238</v>
      </c>
      <c r="HU3761" s="5" t="s">
        <v>238</v>
      </c>
      <c r="HV3761" s="5" t="s">
        <v>238</v>
      </c>
      <c r="HW3761" s="5" t="s">
        <v>238</v>
      </c>
      <c r="HX3761" s="5" t="s">
        <v>238</v>
      </c>
      <c r="HY3761" s="5" t="s">
        <v>238</v>
      </c>
      <c r="HZ3761" s="5" t="s">
        <v>238</v>
      </c>
      <c r="IA3761" s="5" t="s">
        <v>238</v>
      </c>
      <c r="IB3761" s="5" t="s">
        <v>238</v>
      </c>
      <c r="IC3761" s="5" t="s">
        <v>238</v>
      </c>
      <c r="ID3761" s="5" t="s">
        <v>238</v>
      </c>
    </row>
    <row r="3762" spans="1:238" x14ac:dyDescent="0.4">
      <c r="A3762" s="5">
        <v>9480</v>
      </c>
      <c r="B3762" s="5">
        <v>1</v>
      </c>
      <c r="C3762" s="5">
        <v>1</v>
      </c>
      <c r="D3762" s="5" t="s">
        <v>484</v>
      </c>
      <c r="E3762" s="5" t="s">
        <v>241</v>
      </c>
      <c r="F3762" s="5" t="s">
        <v>1684</v>
      </c>
      <c r="G3762" s="5" t="s">
        <v>531</v>
      </c>
      <c r="H3762" s="6" t="s">
        <v>6906</v>
      </c>
      <c r="I3762" s="7">
        <f>208</f>
        <v>208</v>
      </c>
      <c r="J3762" s="5" t="s">
        <v>262</v>
      </c>
      <c r="K3762" s="8">
        <f>460720</f>
        <v>460720</v>
      </c>
      <c r="L3762" s="6" t="s">
        <v>242</v>
      </c>
      <c r="M3762" s="5" t="s">
        <v>267</v>
      </c>
      <c r="N3762" s="5" t="s">
        <v>237</v>
      </c>
      <c r="Q3762" s="5" t="s">
        <v>239</v>
      </c>
      <c r="R3762" s="5" t="s">
        <v>270</v>
      </c>
      <c r="S3762" s="5" t="s">
        <v>238</v>
      </c>
      <c r="V3762" s="5" t="s">
        <v>238</v>
      </c>
      <c r="W3762" s="6" t="s">
        <v>238</v>
      </c>
      <c r="X3762" s="6" t="s">
        <v>238</v>
      </c>
      <c r="Y3762" s="5" t="s">
        <v>238</v>
      </c>
      <c r="Z3762" s="6" t="s">
        <v>238</v>
      </c>
      <c r="AA3762" s="6" t="s">
        <v>6645</v>
      </c>
      <c r="AB3762" s="5" t="s">
        <v>6905</v>
      </c>
      <c r="AC3762" s="5" t="s">
        <v>244</v>
      </c>
      <c r="AD3762" s="5" t="s">
        <v>245</v>
      </c>
      <c r="AJ3762" s="5" t="s">
        <v>238</v>
      </c>
      <c r="AK3762" s="5" t="s">
        <v>238</v>
      </c>
      <c r="AL3762" s="5" t="s">
        <v>238</v>
      </c>
      <c r="AM3762" s="6" t="s">
        <v>238</v>
      </c>
      <c r="AN3762" s="6" t="s">
        <v>238</v>
      </c>
      <c r="AO3762" s="6" t="s">
        <v>238</v>
      </c>
      <c r="AR3762" s="5" t="s">
        <v>488</v>
      </c>
      <c r="AS3762" s="5" t="s">
        <v>488</v>
      </c>
      <c r="AT3762" s="5" t="s">
        <v>246</v>
      </c>
      <c r="AU3762" s="5" t="s">
        <v>489</v>
      </c>
      <c r="AV3762" s="5" t="s">
        <v>247</v>
      </c>
      <c r="AW3762" s="5" t="s">
        <v>600</v>
      </c>
      <c r="AX3762" s="5" t="s">
        <v>249</v>
      </c>
      <c r="AY3762" s="5" t="s">
        <v>490</v>
      </c>
      <c r="BA3762" s="5" t="s">
        <v>2210</v>
      </c>
      <c r="BC3762" s="5" t="s">
        <v>491</v>
      </c>
      <c r="BD3762" s="6" t="s">
        <v>492</v>
      </c>
      <c r="BE3762" s="5" t="s">
        <v>493</v>
      </c>
      <c r="BF3762" s="5" t="s">
        <v>493</v>
      </c>
      <c r="BG3762" s="5" t="s">
        <v>238</v>
      </c>
      <c r="BH3762" s="7">
        <f>208</f>
        <v>208</v>
      </c>
      <c r="BI3762" s="8">
        <f>460720</f>
        <v>460720</v>
      </c>
      <c r="BJ3762" s="5" t="s">
        <v>253</v>
      </c>
      <c r="BK3762" s="5" t="s">
        <v>254</v>
      </c>
      <c r="BL3762" s="5" t="s">
        <v>238</v>
      </c>
      <c r="BM3762" s="5" t="s">
        <v>238</v>
      </c>
      <c r="BN3762" s="5" t="s">
        <v>238</v>
      </c>
      <c r="BO3762" s="5" t="s">
        <v>238</v>
      </c>
      <c r="BT3762" s="6" t="s">
        <v>238</v>
      </c>
      <c r="BU3762" s="5" t="s">
        <v>238</v>
      </c>
      <c r="BV3762" s="5" t="s">
        <v>238</v>
      </c>
      <c r="BW3762" s="5" t="s">
        <v>238</v>
      </c>
      <c r="BX3762" s="5" t="s">
        <v>254</v>
      </c>
      <c r="BY3762" s="5" t="s">
        <v>238</v>
      </c>
      <c r="BZ3762" s="5" t="s">
        <v>238</v>
      </c>
      <c r="CD3762" s="5" t="s">
        <v>238</v>
      </c>
      <c r="CE3762" s="5" t="s">
        <v>238</v>
      </c>
      <c r="CF3762" s="5" t="s">
        <v>261</v>
      </c>
      <c r="CH3762" s="5" t="s">
        <v>238</v>
      </c>
      <c r="CI3762" s="6" t="s">
        <v>257</v>
      </c>
      <c r="CJ3762" s="5" t="s">
        <v>495</v>
      </c>
      <c r="CK3762" s="5" t="s">
        <v>258</v>
      </c>
      <c r="CL3762" s="5" t="s">
        <v>496</v>
      </c>
      <c r="CM3762" s="5" t="s">
        <v>238</v>
      </c>
      <c r="CN3762" s="5">
        <v>0</v>
      </c>
      <c r="CO3762" s="5" t="s">
        <v>497</v>
      </c>
      <c r="CP3762" s="5" t="s">
        <v>260</v>
      </c>
      <c r="CQ3762" s="5" t="s">
        <v>260</v>
      </c>
      <c r="CR3762" s="5" t="s">
        <v>261</v>
      </c>
      <c r="CS3762" s="5" t="s">
        <v>238</v>
      </c>
      <c r="CT3762" s="7">
        <f>2215</f>
        <v>2215</v>
      </c>
      <c r="CU3762" s="8">
        <f>460720</f>
        <v>460720</v>
      </c>
      <c r="CV3762" s="8">
        <f>0</f>
        <v>0</v>
      </c>
      <c r="CW3762" s="8">
        <f>0</f>
        <v>0</v>
      </c>
      <c r="CX3762" s="8">
        <f>460720</f>
        <v>460720</v>
      </c>
      <c r="CY3762" s="8">
        <f>460720</f>
        <v>460720</v>
      </c>
      <c r="CZ3762" s="8" t="s">
        <v>238</v>
      </c>
      <c r="DA3762" s="5" t="s">
        <v>238</v>
      </c>
      <c r="DB3762" s="5" t="s">
        <v>238</v>
      </c>
      <c r="DD3762" s="5" t="s">
        <v>238</v>
      </c>
      <c r="DE3762" s="8">
        <f>0</f>
        <v>0</v>
      </c>
      <c r="DF3762" s="6" t="s">
        <v>238</v>
      </c>
      <c r="DG3762" s="5" t="s">
        <v>238</v>
      </c>
      <c r="DH3762" s="5" t="s">
        <v>238</v>
      </c>
      <c r="DI3762" s="5" t="s">
        <v>238</v>
      </c>
      <c r="DJ3762" s="5" t="s">
        <v>238</v>
      </c>
      <c r="DK3762" s="5" t="s">
        <v>238</v>
      </c>
      <c r="DL3762" s="5" t="s">
        <v>238</v>
      </c>
      <c r="DM3762" s="8" t="s">
        <v>238</v>
      </c>
      <c r="DN3762" s="5" t="s">
        <v>238</v>
      </c>
      <c r="DO3762" s="5" t="s">
        <v>244</v>
      </c>
      <c r="DP3762" s="5" t="s">
        <v>490</v>
      </c>
      <c r="DQ3762" s="5" t="s">
        <v>490</v>
      </c>
      <c r="DR3762" s="5" t="s">
        <v>238</v>
      </c>
      <c r="DS3762" s="5" t="s">
        <v>238</v>
      </c>
      <c r="HP3762" s="5" t="s">
        <v>238</v>
      </c>
      <c r="HQ3762" s="5" t="s">
        <v>238</v>
      </c>
      <c r="HR3762" s="5" t="s">
        <v>238</v>
      </c>
      <c r="HS3762" s="5" t="s">
        <v>238</v>
      </c>
      <c r="HT3762" s="5" t="s">
        <v>238</v>
      </c>
      <c r="HU3762" s="5" t="s">
        <v>238</v>
      </c>
      <c r="HV3762" s="5" t="s">
        <v>238</v>
      </c>
      <c r="HW3762" s="5" t="s">
        <v>238</v>
      </c>
      <c r="HX3762" s="5" t="s">
        <v>238</v>
      </c>
      <c r="HY3762" s="5" t="s">
        <v>238</v>
      </c>
      <c r="HZ3762" s="5" t="s">
        <v>238</v>
      </c>
      <c r="IA3762" s="5" t="s">
        <v>238</v>
      </c>
      <c r="IB3762" s="5" t="s">
        <v>238</v>
      </c>
      <c r="IC3762" s="5" t="s">
        <v>238</v>
      </c>
      <c r="ID3762" s="5" t="s">
        <v>238</v>
      </c>
    </row>
    <row r="3763" spans="1:238" x14ac:dyDescent="0.4">
      <c r="A3763" s="5">
        <v>9482</v>
      </c>
      <c r="B3763" s="5">
        <v>1</v>
      </c>
      <c r="C3763" s="5">
        <v>1</v>
      </c>
      <c r="D3763" s="5" t="s">
        <v>6084</v>
      </c>
      <c r="E3763" s="5" t="s">
        <v>4391</v>
      </c>
      <c r="F3763" s="5" t="s">
        <v>1684</v>
      </c>
      <c r="G3763" s="5" t="s">
        <v>6589</v>
      </c>
      <c r="H3763" s="6" t="s">
        <v>6606</v>
      </c>
      <c r="I3763" s="7">
        <f>1287</f>
        <v>1287</v>
      </c>
      <c r="J3763" s="5" t="s">
        <v>262</v>
      </c>
      <c r="K3763" s="8">
        <f>8273571</f>
        <v>8273571</v>
      </c>
      <c r="L3763" s="6" t="s">
        <v>4567</v>
      </c>
      <c r="M3763" s="5" t="s">
        <v>267</v>
      </c>
      <c r="N3763" s="5" t="s">
        <v>237</v>
      </c>
      <c r="Q3763" s="5" t="s">
        <v>239</v>
      </c>
      <c r="R3763" s="5" t="s">
        <v>240</v>
      </c>
      <c r="S3763" s="5" t="s">
        <v>238</v>
      </c>
      <c r="V3763" s="5" t="s">
        <v>878</v>
      </c>
      <c r="W3763" s="6" t="s">
        <v>238</v>
      </c>
      <c r="X3763" s="6" t="s">
        <v>238</v>
      </c>
      <c r="Y3763" s="5" t="s">
        <v>238</v>
      </c>
      <c r="Z3763" s="6" t="s">
        <v>238</v>
      </c>
      <c r="AA3763" s="6" t="s">
        <v>6590</v>
      </c>
      <c r="AB3763" s="5" t="s">
        <v>6605</v>
      </c>
      <c r="AC3763" s="5" t="s">
        <v>244</v>
      </c>
      <c r="AD3763" s="5" t="s">
        <v>245</v>
      </c>
      <c r="AJ3763" s="5" t="s">
        <v>238</v>
      </c>
      <c r="AK3763" s="5" t="s">
        <v>238</v>
      </c>
      <c r="AL3763" s="5" t="s">
        <v>238</v>
      </c>
      <c r="AM3763" s="6" t="s">
        <v>238</v>
      </c>
      <c r="AN3763" s="6" t="s">
        <v>238</v>
      </c>
      <c r="AO3763" s="6" t="s">
        <v>238</v>
      </c>
      <c r="AR3763" s="5" t="s">
        <v>488</v>
      </c>
      <c r="AS3763" s="5" t="s">
        <v>488</v>
      </c>
      <c r="AT3763" s="5" t="s">
        <v>246</v>
      </c>
      <c r="AU3763" s="5" t="s">
        <v>489</v>
      </c>
      <c r="AV3763" s="5" t="s">
        <v>247</v>
      </c>
      <c r="AW3763" s="5" t="s">
        <v>600</v>
      </c>
      <c r="AX3763" s="5" t="s">
        <v>249</v>
      </c>
      <c r="AY3763" s="5" t="s">
        <v>490</v>
      </c>
      <c r="BA3763" s="5" t="s">
        <v>2210</v>
      </c>
      <c r="BC3763" s="5" t="s">
        <v>491</v>
      </c>
      <c r="BD3763" s="6" t="s">
        <v>6593</v>
      </c>
      <c r="BE3763" s="5" t="s">
        <v>493</v>
      </c>
      <c r="BF3763" s="5" t="s">
        <v>493</v>
      </c>
      <c r="BG3763" s="5" t="s">
        <v>238</v>
      </c>
      <c r="BH3763" s="7">
        <f>1287</f>
        <v>1287</v>
      </c>
      <c r="BI3763" s="8">
        <f>8273571</f>
        <v>8273571</v>
      </c>
      <c r="BJ3763" s="5" t="s">
        <v>253</v>
      </c>
      <c r="BK3763" s="5" t="s">
        <v>254</v>
      </c>
      <c r="BL3763" s="5" t="s">
        <v>238</v>
      </c>
      <c r="BM3763" s="5" t="s">
        <v>238</v>
      </c>
      <c r="BN3763" s="5" t="s">
        <v>238</v>
      </c>
      <c r="BO3763" s="5" t="s">
        <v>238</v>
      </c>
      <c r="BT3763" s="6" t="s">
        <v>238</v>
      </c>
      <c r="BU3763" s="5" t="s">
        <v>238</v>
      </c>
      <c r="BV3763" s="5" t="s">
        <v>238</v>
      </c>
      <c r="BW3763" s="5" t="s">
        <v>238</v>
      </c>
      <c r="BX3763" s="5" t="s">
        <v>254</v>
      </c>
      <c r="BY3763" s="5" t="s">
        <v>238</v>
      </c>
      <c r="BZ3763" s="5" t="s">
        <v>238</v>
      </c>
      <c r="CD3763" s="5" t="s">
        <v>255</v>
      </c>
      <c r="CE3763" s="5" t="s">
        <v>256</v>
      </c>
      <c r="CF3763" s="5" t="s">
        <v>261</v>
      </c>
      <c r="CH3763" s="5" t="s">
        <v>238</v>
      </c>
      <c r="CI3763" s="6" t="s">
        <v>257</v>
      </c>
      <c r="CJ3763" s="5" t="s">
        <v>495</v>
      </c>
      <c r="CK3763" s="5" t="s">
        <v>258</v>
      </c>
      <c r="CL3763" s="5" t="s">
        <v>496</v>
      </c>
      <c r="CM3763" s="5" t="s">
        <v>238</v>
      </c>
      <c r="CN3763" s="5">
        <v>0</v>
      </c>
      <c r="CO3763" s="5" t="s">
        <v>497</v>
      </c>
      <c r="CP3763" s="5" t="s">
        <v>260</v>
      </c>
      <c r="CQ3763" s="5" t="s">
        <v>260</v>
      </c>
      <c r="CR3763" s="5" t="s">
        <v>261</v>
      </c>
      <c r="CS3763" s="5" t="s">
        <v>238</v>
      </c>
      <c r="CT3763" s="7">
        <f>6429</f>
        <v>6429</v>
      </c>
      <c r="CU3763" s="8">
        <f>8273571</f>
        <v>8273571</v>
      </c>
      <c r="CV3763" s="8">
        <f>0</f>
        <v>0</v>
      </c>
      <c r="CW3763" s="8">
        <f>0</f>
        <v>0</v>
      </c>
      <c r="CX3763" s="8">
        <f>8273571</f>
        <v>8273571</v>
      </c>
      <c r="CY3763" s="8">
        <f>8273571</f>
        <v>8273571</v>
      </c>
      <c r="CZ3763" s="8" t="s">
        <v>238</v>
      </c>
      <c r="DA3763" s="5" t="s">
        <v>238</v>
      </c>
      <c r="DB3763" s="5" t="s">
        <v>238</v>
      </c>
      <c r="DD3763" s="5" t="s">
        <v>2032</v>
      </c>
      <c r="DE3763" s="8">
        <f>1287</f>
        <v>1287</v>
      </c>
      <c r="DF3763" s="6" t="s">
        <v>6593</v>
      </c>
      <c r="DG3763" s="5" t="s">
        <v>389</v>
      </c>
      <c r="DH3763" s="5" t="s">
        <v>238</v>
      </c>
      <c r="DI3763" s="5" t="s">
        <v>238</v>
      </c>
      <c r="DJ3763" s="5" t="s">
        <v>238</v>
      </c>
      <c r="DK3763" s="5" t="s">
        <v>238</v>
      </c>
      <c r="DL3763" s="5" t="s">
        <v>238</v>
      </c>
      <c r="DM3763" s="8" t="s">
        <v>238</v>
      </c>
      <c r="DN3763" s="5" t="s">
        <v>238</v>
      </c>
      <c r="DO3763" s="5" t="s">
        <v>244</v>
      </c>
      <c r="DP3763" s="5" t="s">
        <v>490</v>
      </c>
      <c r="DQ3763" s="5" t="s">
        <v>490</v>
      </c>
      <c r="DR3763" s="5" t="s">
        <v>238</v>
      </c>
      <c r="DS3763" s="5" t="s">
        <v>238</v>
      </c>
      <c r="HP3763" s="5" t="s">
        <v>238</v>
      </c>
      <c r="HQ3763" s="5" t="s">
        <v>238</v>
      </c>
      <c r="HR3763" s="5" t="s">
        <v>238</v>
      </c>
      <c r="HS3763" s="5" t="s">
        <v>238</v>
      </c>
      <c r="HT3763" s="5" t="s">
        <v>238</v>
      </c>
      <c r="HU3763" s="5" t="s">
        <v>238</v>
      </c>
      <c r="HV3763" s="5" t="s">
        <v>238</v>
      </c>
      <c r="HW3763" s="5" t="s">
        <v>238</v>
      </c>
      <c r="HX3763" s="5" t="s">
        <v>238</v>
      </c>
      <c r="HY3763" s="5" t="s">
        <v>238</v>
      </c>
      <c r="HZ3763" s="5" t="s">
        <v>238</v>
      </c>
      <c r="IA3763" s="5" t="s">
        <v>238</v>
      </c>
      <c r="IB3763" s="5" t="s">
        <v>238</v>
      </c>
      <c r="IC3763" s="5" t="s">
        <v>238</v>
      </c>
      <c r="ID3763" s="5" t="s">
        <v>238</v>
      </c>
    </row>
    <row r="3764" spans="1:238" x14ac:dyDescent="0.4">
      <c r="A3764" s="5">
        <v>9483</v>
      </c>
      <c r="B3764" s="5">
        <v>1</v>
      </c>
      <c r="C3764" s="5">
        <v>1</v>
      </c>
      <c r="D3764" s="5" t="s">
        <v>6084</v>
      </c>
      <c r="E3764" s="5" t="s">
        <v>4391</v>
      </c>
      <c r="F3764" s="5" t="s">
        <v>1684</v>
      </c>
      <c r="G3764" s="5" t="s">
        <v>6589</v>
      </c>
      <c r="H3764" s="6" t="s">
        <v>6592</v>
      </c>
      <c r="I3764" s="7">
        <f>236</f>
        <v>236</v>
      </c>
      <c r="J3764" s="5" t="s">
        <v>262</v>
      </c>
      <c r="K3764" s="8">
        <f>1517143</f>
        <v>1517143</v>
      </c>
      <c r="L3764" s="6" t="s">
        <v>4567</v>
      </c>
      <c r="M3764" s="5" t="s">
        <v>267</v>
      </c>
      <c r="N3764" s="5" t="s">
        <v>237</v>
      </c>
      <c r="Q3764" s="5" t="s">
        <v>239</v>
      </c>
      <c r="R3764" s="5" t="s">
        <v>240</v>
      </c>
      <c r="S3764" s="5" t="s">
        <v>238</v>
      </c>
      <c r="V3764" s="5" t="s">
        <v>878</v>
      </c>
      <c r="W3764" s="6" t="s">
        <v>238</v>
      </c>
      <c r="X3764" s="6" t="s">
        <v>238</v>
      </c>
      <c r="Y3764" s="5" t="s">
        <v>238</v>
      </c>
      <c r="Z3764" s="6" t="s">
        <v>238</v>
      </c>
      <c r="AA3764" s="6" t="s">
        <v>6590</v>
      </c>
      <c r="AB3764" s="5" t="s">
        <v>6591</v>
      </c>
      <c r="AC3764" s="5" t="s">
        <v>244</v>
      </c>
      <c r="AD3764" s="5" t="s">
        <v>245</v>
      </c>
      <c r="AJ3764" s="5" t="s">
        <v>238</v>
      </c>
      <c r="AK3764" s="5" t="s">
        <v>238</v>
      </c>
      <c r="AL3764" s="5" t="s">
        <v>238</v>
      </c>
      <c r="AM3764" s="6" t="s">
        <v>238</v>
      </c>
      <c r="AN3764" s="6" t="s">
        <v>238</v>
      </c>
      <c r="AO3764" s="6" t="s">
        <v>238</v>
      </c>
      <c r="AR3764" s="5" t="s">
        <v>488</v>
      </c>
      <c r="AS3764" s="5" t="s">
        <v>488</v>
      </c>
      <c r="AT3764" s="5" t="s">
        <v>246</v>
      </c>
      <c r="AU3764" s="5" t="s">
        <v>489</v>
      </c>
      <c r="AV3764" s="5" t="s">
        <v>247</v>
      </c>
      <c r="AW3764" s="5" t="s">
        <v>600</v>
      </c>
      <c r="AX3764" s="5" t="s">
        <v>249</v>
      </c>
      <c r="AY3764" s="5" t="s">
        <v>490</v>
      </c>
      <c r="BA3764" s="5" t="s">
        <v>2210</v>
      </c>
      <c r="BC3764" s="5" t="s">
        <v>491</v>
      </c>
      <c r="BD3764" s="6" t="s">
        <v>6593</v>
      </c>
      <c r="BE3764" s="5" t="s">
        <v>493</v>
      </c>
      <c r="BF3764" s="5" t="s">
        <v>493</v>
      </c>
      <c r="BG3764" s="5" t="s">
        <v>238</v>
      </c>
      <c r="BH3764" s="7">
        <f>236</f>
        <v>236</v>
      </c>
      <c r="BI3764" s="8">
        <f>1517143</f>
        <v>1517143</v>
      </c>
      <c r="BJ3764" s="5" t="s">
        <v>253</v>
      </c>
      <c r="BK3764" s="5" t="s">
        <v>254</v>
      </c>
      <c r="BL3764" s="5" t="s">
        <v>238</v>
      </c>
      <c r="BM3764" s="5" t="s">
        <v>238</v>
      </c>
      <c r="BN3764" s="5" t="s">
        <v>238</v>
      </c>
      <c r="BO3764" s="5" t="s">
        <v>238</v>
      </c>
      <c r="BT3764" s="6" t="s">
        <v>238</v>
      </c>
      <c r="BU3764" s="5" t="s">
        <v>238</v>
      </c>
      <c r="BV3764" s="5" t="s">
        <v>238</v>
      </c>
      <c r="BW3764" s="5" t="s">
        <v>238</v>
      </c>
      <c r="BX3764" s="5" t="s">
        <v>254</v>
      </c>
      <c r="BY3764" s="5" t="s">
        <v>238</v>
      </c>
      <c r="BZ3764" s="5" t="s">
        <v>238</v>
      </c>
      <c r="CD3764" s="5" t="s">
        <v>255</v>
      </c>
      <c r="CE3764" s="5" t="s">
        <v>256</v>
      </c>
      <c r="CF3764" s="5" t="s">
        <v>261</v>
      </c>
      <c r="CH3764" s="5" t="s">
        <v>238</v>
      </c>
      <c r="CI3764" s="6" t="s">
        <v>257</v>
      </c>
      <c r="CJ3764" s="5" t="s">
        <v>495</v>
      </c>
      <c r="CK3764" s="5" t="s">
        <v>258</v>
      </c>
      <c r="CL3764" s="5" t="s">
        <v>496</v>
      </c>
      <c r="CM3764" s="5" t="s">
        <v>238</v>
      </c>
      <c r="CN3764" s="5">
        <v>0</v>
      </c>
      <c r="CO3764" s="5" t="s">
        <v>497</v>
      </c>
      <c r="CP3764" s="5" t="s">
        <v>260</v>
      </c>
      <c r="CQ3764" s="5" t="s">
        <v>260</v>
      </c>
      <c r="CR3764" s="5" t="s">
        <v>261</v>
      </c>
      <c r="CS3764" s="5" t="s">
        <v>238</v>
      </c>
      <c r="CT3764" s="7">
        <f>6429</f>
        <v>6429</v>
      </c>
      <c r="CU3764" s="8">
        <f>1517143</f>
        <v>1517143</v>
      </c>
      <c r="CV3764" s="8">
        <f>0</f>
        <v>0</v>
      </c>
      <c r="CW3764" s="8">
        <f>0</f>
        <v>0</v>
      </c>
      <c r="CX3764" s="8">
        <f>1517143</f>
        <v>1517143</v>
      </c>
      <c r="CY3764" s="8">
        <f>1517143</f>
        <v>1517143</v>
      </c>
      <c r="CZ3764" s="8" t="s">
        <v>238</v>
      </c>
      <c r="DA3764" s="5" t="s">
        <v>238</v>
      </c>
      <c r="DB3764" s="5" t="s">
        <v>238</v>
      </c>
      <c r="DD3764" s="5" t="s">
        <v>2032</v>
      </c>
      <c r="DE3764" s="8">
        <f>236</f>
        <v>236</v>
      </c>
      <c r="DF3764" s="6" t="s">
        <v>6593</v>
      </c>
      <c r="DG3764" s="5" t="s">
        <v>389</v>
      </c>
      <c r="DH3764" s="5" t="s">
        <v>238</v>
      </c>
      <c r="DI3764" s="5" t="s">
        <v>238</v>
      </c>
      <c r="DJ3764" s="5" t="s">
        <v>238</v>
      </c>
      <c r="DK3764" s="5" t="s">
        <v>238</v>
      </c>
      <c r="DL3764" s="5" t="s">
        <v>238</v>
      </c>
      <c r="DM3764" s="8" t="s">
        <v>238</v>
      </c>
      <c r="DN3764" s="5" t="s">
        <v>238</v>
      </c>
      <c r="DO3764" s="5" t="s">
        <v>244</v>
      </c>
      <c r="DP3764" s="5" t="s">
        <v>490</v>
      </c>
      <c r="DQ3764" s="5" t="s">
        <v>490</v>
      </c>
      <c r="DR3764" s="5" t="s">
        <v>238</v>
      </c>
      <c r="DS3764" s="5" t="s">
        <v>238</v>
      </c>
      <c r="HP3764" s="5" t="s">
        <v>238</v>
      </c>
      <c r="HQ3764" s="5" t="s">
        <v>238</v>
      </c>
      <c r="HR3764" s="5" t="s">
        <v>238</v>
      </c>
      <c r="HS3764" s="5" t="s">
        <v>238</v>
      </c>
      <c r="HT3764" s="5" t="s">
        <v>238</v>
      </c>
      <c r="HU3764" s="5" t="s">
        <v>238</v>
      </c>
      <c r="HV3764" s="5" t="s">
        <v>238</v>
      </c>
      <c r="HW3764" s="5" t="s">
        <v>238</v>
      </c>
      <c r="HX3764" s="5" t="s">
        <v>238</v>
      </c>
      <c r="HY3764" s="5" t="s">
        <v>238</v>
      </c>
      <c r="HZ3764" s="5" t="s">
        <v>238</v>
      </c>
      <c r="IA3764" s="5" t="s">
        <v>238</v>
      </c>
      <c r="IB3764" s="5" t="s">
        <v>238</v>
      </c>
      <c r="IC3764" s="5" t="s">
        <v>238</v>
      </c>
      <c r="ID3764" s="5" t="s">
        <v>238</v>
      </c>
    </row>
  </sheetData>
  <autoFilter ref="A1:IQ1">
    <sortState ref="A2:IQ3764">
      <sortCondition ref="A1"/>
    </sortState>
  </autoFilter>
  <phoneticPr fontId="1"/>
  <printOptions gridLines="1"/>
  <pageMargins left="0.70866141732283472" right="0.70866141732283472" top="0.74803149606299213" bottom="0.74803149606299213" header="0.31496062992125984" footer="0.31496062992125984"/>
  <pageSetup paperSize="8" scale="44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インフラ土地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藤木 隆雄</dc:creator>
  <cp:lastModifiedBy> </cp:lastModifiedBy>
  <cp:lastPrinted>2024-03-25T23:52:26Z</cp:lastPrinted>
  <dcterms:created xsi:type="dcterms:W3CDTF">2015-11-06T11:18:40Z</dcterms:created>
  <dcterms:modified xsi:type="dcterms:W3CDTF">2024-03-25T23:52:29Z</dcterms:modified>
</cp:coreProperties>
</file>